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chartsheets/sheet1.xml" ContentType="application/vnd.openxmlformats-officedocument.spreadsheetml.chart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2.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15.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9.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omments20.xml" ContentType="application/vnd.openxmlformats-officedocument.spreadsheetml.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8.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omments21.xml" ContentType="application/vnd.openxmlformats-officedocument.spreadsheetml.comments+xml"/>
  <Override PartName="/xl/drawings/drawing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Override PartName="/xl/threadedComments/threadedComment6.xml" ContentType="application/vnd.ms-excel.threadedcomments+xml"/>
  <Override PartName="/xl/threadedComments/threadedComment7.xml" ContentType="application/vnd.ms-excel.threadedcomments+xml"/>
  <Override PartName="/xl/threadedComments/threadedComment8.xml" ContentType="application/vnd.ms-excel.threadedcomments+xml"/>
  <Override PartName="/xl/threadedComments/threadedComment9.xml" ContentType="application/vnd.ms-excel.threadedcomments+xml"/>
  <Override PartName="/xl/threadedComments/threadedComment10.xml" ContentType="application/vnd.ms-excel.threadedcomments+xml"/>
  <Override PartName="/xl/threadedComments/threadedComment11.xml" ContentType="application/vnd.ms-excel.threadedcomments+xml"/>
  <Override PartName="/xl/threadedComments/threadedComment12.xml" ContentType="application/vnd.ms-excel.threadedcomments+xml"/>
  <Override PartName="/xl/threadedComments/threadedComment13.xml" ContentType="application/vnd.ms-excel.threadedcomments+xml"/>
  <Override PartName="/xl/threadedComments/threadedComment14.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Daniel\Downloads\"/>
    </mc:Choice>
  </mc:AlternateContent>
  <xr:revisionPtr revIDLastSave="0" documentId="13_ncr:1_{413167A8-CB47-4269-89D2-95EA92851539}" xr6:coauthVersionLast="47" xr6:coauthVersionMax="47" xr10:uidLastSave="{00000000-0000-0000-0000-000000000000}"/>
  <bookViews>
    <workbookView xWindow="-120" yWindow="-120" windowWidth="29040" windowHeight="15720" firstSheet="8" activeTab="41" xr2:uid="{00000000-000D-0000-FFFF-FFFF00000000}"/>
  </bookViews>
  <sheets>
    <sheet name="INICIO" sheetId="49" r:id="rId1"/>
    <sheet name="PARÁMETROS" sheetId="4" state="hidden" r:id="rId2"/>
    <sheet name="EV PROG TÉCNICOS" sheetId="1" state="hidden" r:id="rId3"/>
    <sheet name="PROG TÉCNICOS" sheetId="3" r:id="rId4"/>
    <sheet name="RESUMEN CANTIDADES" sheetId="52" state="hidden" r:id="rId5"/>
    <sheet name="RESUMEN VOL RECUPERADO" sheetId="53" state="hidden" r:id="rId6"/>
    <sheet name="C UNIT PROG TÉCNICOS" sheetId="2" r:id="rId7"/>
    <sheet name="EV PROG CCIALES" sheetId="13" state="hidden" r:id="rId8"/>
    <sheet name="PROG CCIALES" sheetId="15" r:id="rId9"/>
    <sheet name="C UNIT PROG CCIALES" sheetId="14" state="hidden" r:id="rId10"/>
    <sheet name="RESUMEN CANTIDADES CC" sheetId="58" state="hidden" r:id="rId11"/>
    <sheet name="RESUMEN FINANCIERO" sheetId="12" state="hidden" r:id="rId12"/>
    <sheet name="BC TÉCNICO P1" sheetId="5" state="hidden" r:id="rId13"/>
    <sheet name="BC TÉCNICO P2" sheetId="17" state="hidden" r:id="rId14"/>
    <sheet name="BC TÉCNICO P3" sheetId="18" state="hidden" r:id="rId15"/>
    <sheet name="BC TÉCNICO P4" sheetId="19" state="hidden" r:id="rId16"/>
    <sheet name="BC TÉCNICO P5" sheetId="20" state="hidden" r:id="rId17"/>
    <sheet name="BC TÉCNICO P6" sheetId="21" state="hidden" r:id="rId18"/>
    <sheet name="BC TÉCNICO P7" sheetId="22" state="hidden" r:id="rId19"/>
    <sheet name="BC TÉCNICO P8" sheetId="23" state="hidden" r:id="rId20"/>
    <sheet name="BC TOTAL TÉCNICO" sheetId="24" state="hidden" r:id="rId21"/>
    <sheet name="BC COMERCIAL P9" sheetId="16" state="hidden" r:id="rId22"/>
    <sheet name="BC COMERCIAL P10" sheetId="25" state="hidden" r:id="rId23"/>
    <sheet name="BC COMERCIAL P11" sheetId="26" state="hidden" r:id="rId24"/>
    <sheet name="BC COMERCIAL P12" sheetId="27" state="hidden" r:id="rId25"/>
    <sheet name="BC COMERCIAL P13" sheetId="28" state="hidden" r:id="rId26"/>
    <sheet name="BC COMERCIAL P14" sheetId="29" state="hidden" r:id="rId27"/>
    <sheet name="BC COMERCIAL P15" sheetId="30" state="hidden" r:id="rId28"/>
    <sheet name="BC COMERCIAL P16" sheetId="31" state="hidden" r:id="rId29"/>
    <sheet name="BC COMERCIAL P17" sheetId="32" state="hidden" r:id="rId30"/>
    <sheet name="BC COMERCIAL P18" sheetId="33" state="hidden" r:id="rId31"/>
    <sheet name="BC COMERCIAL P19" sheetId="34" state="hidden" r:id="rId32"/>
    <sheet name="BC TOTAL COMERCIAL" sheetId="35" state="hidden" r:id="rId33"/>
    <sheet name="BC TOTAL PROGRAMAS" sheetId="36" state="hidden" r:id="rId34"/>
    <sheet name="CMO PPERDIDAS" sheetId="9" state="hidden" r:id="rId35"/>
    <sheet name="INV POIR PPERDIDAS" sheetId="10" state="hidden" r:id="rId36"/>
    <sheet name="INDICES" sheetId="6" state="hidden" r:id="rId37"/>
    <sheet name="BANREPÚBLICA" sheetId="7" state="hidden" r:id="rId38"/>
    <sheet name="PROYEC SUSC" sheetId="8" state="hidden" r:id="rId39"/>
    <sheet name="CMI POIR PPERDIDAS" sheetId="11" state="hidden" r:id="rId40"/>
    <sheet name="Consolidado Programas" sheetId="38" state="hidden" r:id="rId41"/>
    <sheet name="Alternativas" sheetId="39" r:id="rId42"/>
    <sheet name="BC PROGR ALTERNATIVA + TARIFA" sheetId="37" state="hidden" r:id="rId43"/>
    <sheet name="EVOLUCION BH" sheetId="50" state="hidden" r:id="rId44"/>
    <sheet name="FCAJA PROYECTO TASA 16,28" sheetId="93" r:id="rId45"/>
    <sheet name="GRÁFICO TASA 16,28" sheetId="94" r:id="rId46"/>
    <sheet name="RESUMEN EJECUTIVO" sheetId="136" r:id="rId47"/>
    <sheet name="Registros" sheetId="202" r:id="rId48"/>
  </sheets>
  <functionGroups builtInGroupCount="19"/>
  <definedNames>
    <definedName name="\0" localSheetId="37">#REF!</definedName>
    <definedName name="\0" localSheetId="22">#REF!</definedName>
    <definedName name="\0" localSheetId="23">#REF!</definedName>
    <definedName name="\0" localSheetId="24">#REF!</definedName>
    <definedName name="\0" localSheetId="25">#REF!</definedName>
    <definedName name="\0" localSheetId="26">#REF!</definedName>
    <definedName name="\0" localSheetId="27">#REF!</definedName>
    <definedName name="\0" localSheetId="28">#REF!</definedName>
    <definedName name="\0" localSheetId="29">#REF!</definedName>
    <definedName name="\0" localSheetId="30">#REF!</definedName>
    <definedName name="\0" localSheetId="31">#REF!</definedName>
    <definedName name="\0" localSheetId="21">#REF!</definedName>
    <definedName name="\0" localSheetId="42">#REF!</definedName>
    <definedName name="\0" localSheetId="12">#REF!</definedName>
    <definedName name="\0" localSheetId="13">#REF!</definedName>
    <definedName name="\0" localSheetId="14">#REF!</definedName>
    <definedName name="\0" localSheetId="15">#REF!</definedName>
    <definedName name="\0" localSheetId="16">#REF!</definedName>
    <definedName name="\0" localSheetId="17">#REF!</definedName>
    <definedName name="\0" localSheetId="18">#REF!</definedName>
    <definedName name="\0" localSheetId="19">#REF!</definedName>
    <definedName name="\0" localSheetId="32">#REF!</definedName>
    <definedName name="\0" localSheetId="33">#REF!</definedName>
    <definedName name="\0" localSheetId="20">#REF!</definedName>
    <definedName name="\0" localSheetId="40">#REF!</definedName>
    <definedName name="\0" localSheetId="36">#REF!</definedName>
    <definedName name="\0" localSheetId="1">#REF!</definedName>
    <definedName name="\0">#REF!</definedName>
    <definedName name="\a">#REF!</definedName>
    <definedName name="\b">#REF!</definedName>
    <definedName name="\c">#REF!</definedName>
    <definedName name="\d">#REF!</definedName>
    <definedName name="\e">#REF!</definedName>
    <definedName name="\g">#REF!</definedName>
    <definedName name="\i">#REF!</definedName>
    <definedName name="\r">#REF!</definedName>
    <definedName name="\t">#REF!</definedName>
    <definedName name="\X" localSheetId="22">[0]!ERR</definedName>
    <definedName name="\X" localSheetId="23">[0]!ERR</definedName>
    <definedName name="\X" localSheetId="24">[0]!ERR</definedName>
    <definedName name="\X" localSheetId="25">[0]!ERR</definedName>
    <definedName name="\X" localSheetId="26">[0]!ERR</definedName>
    <definedName name="\X" localSheetId="27">[0]!ERR</definedName>
    <definedName name="\X" localSheetId="28">[0]!ERR</definedName>
    <definedName name="\X" localSheetId="29">[0]!ERR</definedName>
    <definedName name="\X" localSheetId="30">[0]!ERR</definedName>
    <definedName name="\X" localSheetId="31">[0]!ERR</definedName>
    <definedName name="\X" localSheetId="42">[0]!ERR</definedName>
    <definedName name="\X" localSheetId="13">[0]!ERR</definedName>
    <definedName name="\X" localSheetId="14">[0]!ERR</definedName>
    <definedName name="\X" localSheetId="15">[0]!ERR</definedName>
    <definedName name="\X" localSheetId="16">[0]!ERR</definedName>
    <definedName name="\X" localSheetId="17">[0]!ERR</definedName>
    <definedName name="\X" localSheetId="18">[0]!ERR</definedName>
    <definedName name="\X" localSheetId="19">[0]!ERR</definedName>
    <definedName name="\X" localSheetId="32">[0]!ERR</definedName>
    <definedName name="\X" localSheetId="33">[0]!ERR</definedName>
    <definedName name="\X" localSheetId="20">[0]!ERR</definedName>
    <definedName name="\X" localSheetId="44">[0]!ERR</definedName>
    <definedName name="\X" localSheetId="8">[0]!ERR</definedName>
    <definedName name="\X" localSheetId="10">[0]!ERR</definedName>
    <definedName name="\X">[0]!ERR</definedName>
    <definedName name="\Z" localSheetId="22">[0]!ERR</definedName>
    <definedName name="\Z" localSheetId="23">[0]!ERR</definedName>
    <definedName name="\Z" localSheetId="24">[0]!ERR</definedName>
    <definedName name="\Z" localSheetId="25">[0]!ERR</definedName>
    <definedName name="\Z" localSheetId="26">[0]!ERR</definedName>
    <definedName name="\Z" localSheetId="27">[0]!ERR</definedName>
    <definedName name="\Z" localSheetId="28">[0]!ERR</definedName>
    <definedName name="\Z" localSheetId="29">[0]!ERR</definedName>
    <definedName name="\Z" localSheetId="30">[0]!ERR</definedName>
    <definedName name="\Z" localSheetId="31">[0]!ERR</definedName>
    <definedName name="\Z" localSheetId="42">[0]!ERR</definedName>
    <definedName name="\Z" localSheetId="13">[0]!ERR</definedName>
    <definedName name="\Z" localSheetId="14">[0]!ERR</definedName>
    <definedName name="\Z" localSheetId="15">[0]!ERR</definedName>
    <definedName name="\Z" localSheetId="16">[0]!ERR</definedName>
    <definedName name="\Z" localSheetId="17">[0]!ERR</definedName>
    <definedName name="\Z" localSheetId="18">[0]!ERR</definedName>
    <definedName name="\Z" localSheetId="19">[0]!ERR</definedName>
    <definedName name="\Z" localSheetId="32">[0]!ERR</definedName>
    <definedName name="\Z" localSheetId="33">[0]!ERR</definedName>
    <definedName name="\Z" localSheetId="20">[0]!ERR</definedName>
    <definedName name="\Z" localSheetId="44">[0]!ERR</definedName>
    <definedName name="\Z" localSheetId="8">[0]!ERR</definedName>
    <definedName name="\Z" localSheetId="10">[0]!ERR</definedName>
    <definedName name="\Z">[0]!ERR</definedName>
    <definedName name="__shared_1_0_2">3/12</definedName>
    <definedName name="_1" localSheetId="41">#REF!</definedName>
    <definedName name="_1" localSheetId="37">#REF!</definedName>
    <definedName name="_1" localSheetId="22">#REF!</definedName>
    <definedName name="_1" localSheetId="23">#REF!</definedName>
    <definedName name="_1" localSheetId="24">#REF!</definedName>
    <definedName name="_1" localSheetId="25">#REF!</definedName>
    <definedName name="_1" localSheetId="26">#REF!</definedName>
    <definedName name="_1" localSheetId="27">#REF!</definedName>
    <definedName name="_1" localSheetId="28">#REF!</definedName>
    <definedName name="_1" localSheetId="29">#REF!</definedName>
    <definedName name="_1" localSheetId="30">#REF!</definedName>
    <definedName name="_1" localSheetId="31">#REF!</definedName>
    <definedName name="_1" localSheetId="21">#REF!</definedName>
    <definedName name="_1" localSheetId="42">#REF!</definedName>
    <definedName name="_1" localSheetId="12">#REF!</definedName>
    <definedName name="_1" localSheetId="13">#REF!</definedName>
    <definedName name="_1" localSheetId="14">#REF!</definedName>
    <definedName name="_1" localSheetId="15">#REF!</definedName>
    <definedName name="_1" localSheetId="16">#REF!</definedName>
    <definedName name="_1" localSheetId="17">#REF!</definedName>
    <definedName name="_1" localSheetId="18">#REF!</definedName>
    <definedName name="_1" localSheetId="19">#REF!</definedName>
    <definedName name="_1" localSheetId="32">#REF!</definedName>
    <definedName name="_1" localSheetId="33">#REF!</definedName>
    <definedName name="_1" localSheetId="20">#REF!</definedName>
    <definedName name="_1" localSheetId="40">#REF!</definedName>
    <definedName name="_1" localSheetId="36">#REF!</definedName>
    <definedName name="_1" localSheetId="1">#REF!</definedName>
    <definedName name="_1">#REF!</definedName>
    <definedName name="_10" hidden="1">#REF!,#REF!</definedName>
    <definedName name="_11" hidden="1">#REF!</definedName>
    <definedName name="_12" hidden="1">#REF!,#REF!,#REF!,#REF!,#REF!</definedName>
    <definedName name="_13" hidden="1">#REF!</definedName>
    <definedName name="_14" hidden="1">#REF!,#REF!,#REF!,#REF!,#REF!</definedName>
    <definedName name="_15" hidden="1">#REF!,#REF!</definedName>
    <definedName name="_17" hidden="1">#REF!</definedName>
    <definedName name="_19" hidden="1">#REF!,#REF!,#REF!,#REF!,#REF!</definedName>
    <definedName name="_2" localSheetId="41">#REF!</definedName>
    <definedName name="_2" localSheetId="37">#REF!</definedName>
    <definedName name="_2" localSheetId="22">#REF!</definedName>
    <definedName name="_2" localSheetId="23">#REF!</definedName>
    <definedName name="_2" localSheetId="24">#REF!</definedName>
    <definedName name="_2" localSheetId="25">#REF!</definedName>
    <definedName name="_2" localSheetId="26">#REF!</definedName>
    <definedName name="_2" localSheetId="27">#REF!</definedName>
    <definedName name="_2" localSheetId="28">#REF!</definedName>
    <definedName name="_2" localSheetId="29">#REF!</definedName>
    <definedName name="_2" localSheetId="30">#REF!</definedName>
    <definedName name="_2" localSheetId="31">#REF!</definedName>
    <definedName name="_2" localSheetId="21">#REF!</definedName>
    <definedName name="_2" localSheetId="42">#REF!</definedName>
    <definedName name="_2" localSheetId="12">#REF!</definedName>
    <definedName name="_2" localSheetId="13">#REF!</definedName>
    <definedName name="_2" localSheetId="14">#REF!</definedName>
    <definedName name="_2" localSheetId="15">#REF!</definedName>
    <definedName name="_2" localSheetId="16">#REF!</definedName>
    <definedName name="_2" localSheetId="17">#REF!</definedName>
    <definedName name="_2" localSheetId="18">#REF!</definedName>
    <definedName name="_2" localSheetId="19">#REF!</definedName>
    <definedName name="_2" localSheetId="32">#REF!</definedName>
    <definedName name="_2" localSheetId="33">#REF!</definedName>
    <definedName name="_2" localSheetId="20">#REF!</definedName>
    <definedName name="_2" localSheetId="40">#REF!</definedName>
    <definedName name="_2" localSheetId="36">#REF!</definedName>
    <definedName name="_2" localSheetId="1">#REF!</definedName>
    <definedName name="_2">#REF!</definedName>
    <definedName name="_20" hidden="1">#REF!,#REF!</definedName>
    <definedName name="_3" hidden="1">#REF!</definedName>
    <definedName name="_4" hidden="1">#REF!</definedName>
    <definedName name="_44">#REF!</definedName>
    <definedName name="_5" hidden="1">#REF!,#REF!</definedName>
    <definedName name="_6" hidden="1">#REF!,#REF!</definedName>
    <definedName name="_7" hidden="1">#REF!,#REF!</definedName>
    <definedName name="_8" hidden="1">#REF!,#REF!</definedName>
    <definedName name="_9" hidden="1">#REF!,#REF!</definedName>
    <definedName name="_F4" hidden="1">{"SUMINISTRO E INSTALACIÓN CANALETAS L=7.50"}</definedName>
    <definedName name="_FC">#REF!</definedName>
    <definedName name="_xlnm._FilterDatabase" localSheetId="6" hidden="1">'C UNIT PROG TÉCNICOS'!$A$6:$L$61</definedName>
    <definedName name="_xlnm._FilterDatabase" hidden="1">#REF!</definedName>
    <definedName name="_FS01" localSheetId="22">[0]!ERR</definedName>
    <definedName name="_FS01" localSheetId="23">[0]!ERR</definedName>
    <definedName name="_FS01" localSheetId="24">[0]!ERR</definedName>
    <definedName name="_FS01" localSheetId="25">[0]!ERR</definedName>
    <definedName name="_FS01" localSheetId="26">[0]!ERR</definedName>
    <definedName name="_FS01" localSheetId="27">[0]!ERR</definedName>
    <definedName name="_FS01" localSheetId="28">[0]!ERR</definedName>
    <definedName name="_FS01" localSheetId="29">[0]!ERR</definedName>
    <definedName name="_FS01" localSheetId="30">[0]!ERR</definedName>
    <definedName name="_FS01" localSheetId="31">[0]!ERR</definedName>
    <definedName name="_FS01" localSheetId="42">[0]!ERR</definedName>
    <definedName name="_FS01" localSheetId="13">[0]!ERR</definedName>
    <definedName name="_FS01" localSheetId="14">[0]!ERR</definedName>
    <definedName name="_FS01" localSheetId="15">[0]!ERR</definedName>
    <definedName name="_FS01" localSheetId="16">[0]!ERR</definedName>
    <definedName name="_FS01" localSheetId="17">[0]!ERR</definedName>
    <definedName name="_FS01" localSheetId="18">[0]!ERR</definedName>
    <definedName name="_FS01" localSheetId="19">[0]!ERR</definedName>
    <definedName name="_FS01" localSheetId="32">[0]!ERR</definedName>
    <definedName name="_FS01" localSheetId="33">[0]!ERR</definedName>
    <definedName name="_FS01" localSheetId="20">[0]!ERR</definedName>
    <definedName name="_FS01" localSheetId="44">[0]!ERR</definedName>
    <definedName name="_FS01" localSheetId="8">[0]!ERR</definedName>
    <definedName name="_FS01" localSheetId="10">[0]!ERR</definedName>
    <definedName name="_FS01">[0]!ERR</definedName>
    <definedName name="_Order1" hidden="1">255</definedName>
    <definedName name="_Order2" hidden="1">255</definedName>
    <definedName name="_sgp20091"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a" localSheetId="41">#REF!</definedName>
    <definedName name="a" localSheetId="37">#REF!</definedName>
    <definedName name="a" localSheetId="22">#REF!</definedName>
    <definedName name="a" localSheetId="23">#REF!</definedName>
    <definedName name="a" localSheetId="24">#REF!</definedName>
    <definedName name="a" localSheetId="25">#REF!</definedName>
    <definedName name="a" localSheetId="26">#REF!</definedName>
    <definedName name="a" localSheetId="27">#REF!</definedName>
    <definedName name="a" localSheetId="28">#REF!</definedName>
    <definedName name="a" localSheetId="29">#REF!</definedName>
    <definedName name="a" localSheetId="30">#REF!</definedName>
    <definedName name="a" localSheetId="31">#REF!</definedName>
    <definedName name="a" localSheetId="21">#REF!</definedName>
    <definedName name="a" localSheetId="42">#REF!</definedName>
    <definedName name="a" localSheetId="12">#REF!</definedName>
    <definedName name="a" localSheetId="13">#REF!</definedName>
    <definedName name="a" localSheetId="14">#REF!</definedName>
    <definedName name="a" localSheetId="15">#REF!</definedName>
    <definedName name="a" localSheetId="16">#REF!</definedName>
    <definedName name="a" localSheetId="17">#REF!</definedName>
    <definedName name="a" localSheetId="18">#REF!</definedName>
    <definedName name="a" localSheetId="19">#REF!</definedName>
    <definedName name="a" localSheetId="32">#REF!</definedName>
    <definedName name="a" localSheetId="33">#REF!</definedName>
    <definedName name="a" localSheetId="20">#REF!</definedName>
    <definedName name="a" localSheetId="9">#REF!</definedName>
    <definedName name="a" localSheetId="40">#REF!</definedName>
    <definedName name="a" localSheetId="36">#REF!</definedName>
    <definedName name="a" localSheetId="1">#REF!</definedName>
    <definedName name="a" localSheetId="8">#REF!</definedName>
    <definedName name="a">#REF!</definedName>
    <definedName name="aa" localSheetId="22">[0]!ERR</definedName>
    <definedName name="aa" localSheetId="23">[0]!ERR</definedName>
    <definedName name="aa" localSheetId="24">[0]!ERR</definedName>
    <definedName name="aa" localSheetId="25">[0]!ERR</definedName>
    <definedName name="aa" localSheetId="26">[0]!ERR</definedName>
    <definedName name="aa" localSheetId="27">[0]!ERR</definedName>
    <definedName name="aa" localSheetId="28">[0]!ERR</definedName>
    <definedName name="aa" localSheetId="29">[0]!ERR</definedName>
    <definedName name="aa" localSheetId="30">[0]!ERR</definedName>
    <definedName name="aa" localSheetId="31">[0]!ERR</definedName>
    <definedName name="aa" localSheetId="42">[0]!ERR</definedName>
    <definedName name="aa" localSheetId="13">[0]!ERR</definedName>
    <definedName name="aa" localSheetId="14">[0]!ERR</definedName>
    <definedName name="aa" localSheetId="15">[0]!ERR</definedName>
    <definedName name="aa" localSheetId="16">[0]!ERR</definedName>
    <definedName name="aa" localSheetId="17">[0]!ERR</definedName>
    <definedName name="aa" localSheetId="18">[0]!ERR</definedName>
    <definedName name="aa" localSheetId="19">[0]!ERR</definedName>
    <definedName name="aa" localSheetId="32">[0]!ERR</definedName>
    <definedName name="aa" localSheetId="33">[0]!ERR</definedName>
    <definedName name="aa" localSheetId="20">[0]!ERR</definedName>
    <definedName name="aa" localSheetId="44">[0]!ERR</definedName>
    <definedName name="aa" localSheetId="8">[0]!ERR</definedName>
    <definedName name="aa" localSheetId="10">[0]!ERR</definedName>
    <definedName name="aa">[0]!ERR</definedName>
    <definedName name="aaa" hidden="1">#REF!,#REF!</definedName>
    <definedName name="AAC">#REF!</definedName>
    <definedName name="ab" localSheetId="22">[0]!ERR</definedName>
    <definedName name="ab" localSheetId="23">[0]!ERR</definedName>
    <definedName name="ab" localSheetId="24">[0]!ERR</definedName>
    <definedName name="ab" localSheetId="25">[0]!ERR</definedName>
    <definedName name="ab" localSheetId="26">[0]!ERR</definedName>
    <definedName name="ab" localSheetId="27">[0]!ERR</definedName>
    <definedName name="ab" localSheetId="28">[0]!ERR</definedName>
    <definedName name="ab" localSheetId="29">[0]!ERR</definedName>
    <definedName name="ab" localSheetId="30">[0]!ERR</definedName>
    <definedName name="ab" localSheetId="31">[0]!ERR</definedName>
    <definedName name="ab" localSheetId="42">[0]!ERR</definedName>
    <definedName name="ab" localSheetId="13">[0]!ERR</definedName>
    <definedName name="ab" localSheetId="14">[0]!ERR</definedName>
    <definedName name="ab" localSheetId="15">[0]!ERR</definedName>
    <definedName name="ab" localSheetId="16">[0]!ERR</definedName>
    <definedName name="ab" localSheetId="17">[0]!ERR</definedName>
    <definedName name="ab" localSheetId="18">[0]!ERR</definedName>
    <definedName name="ab" localSheetId="19">[0]!ERR</definedName>
    <definedName name="ab" localSheetId="32">[0]!ERR</definedName>
    <definedName name="ab" localSheetId="33">[0]!ERR</definedName>
    <definedName name="ab" localSheetId="20">[0]!ERR</definedName>
    <definedName name="ab" localSheetId="44">[0]!ERR</definedName>
    <definedName name="ab" localSheetId="8">[0]!ERR</definedName>
    <definedName name="ab" localSheetId="10">[0]!ERR</definedName>
    <definedName name="ab">[0]!ERR</definedName>
    <definedName name="ABG">#REF!</definedName>
    <definedName name="abs">#REF!</definedName>
    <definedName name="AC">#REF!</definedName>
    <definedName name="AccessDatabase" hidden="1">"A:\SAIN.mdb"</definedName>
    <definedName name="acerosolo">2100</definedName>
    <definedName name="AD">#REF!</definedName>
    <definedName name="ADFE" localSheetId="22">[0]!ERR</definedName>
    <definedName name="ADFE" localSheetId="23">[0]!ERR</definedName>
    <definedName name="ADFE" localSheetId="24">[0]!ERR</definedName>
    <definedName name="ADFE" localSheetId="25">[0]!ERR</definedName>
    <definedName name="ADFE" localSheetId="26">[0]!ERR</definedName>
    <definedName name="ADFE" localSheetId="27">[0]!ERR</definedName>
    <definedName name="ADFE" localSheetId="28">[0]!ERR</definedName>
    <definedName name="ADFE" localSheetId="29">[0]!ERR</definedName>
    <definedName name="ADFE" localSheetId="30">[0]!ERR</definedName>
    <definedName name="ADFE" localSheetId="31">[0]!ERR</definedName>
    <definedName name="ADFE" localSheetId="42">[0]!ERR</definedName>
    <definedName name="ADFE" localSheetId="13">[0]!ERR</definedName>
    <definedName name="ADFE" localSheetId="14">[0]!ERR</definedName>
    <definedName name="ADFE" localSheetId="15">[0]!ERR</definedName>
    <definedName name="ADFE" localSheetId="16">[0]!ERR</definedName>
    <definedName name="ADFE" localSheetId="17">[0]!ERR</definedName>
    <definedName name="ADFE" localSheetId="18">[0]!ERR</definedName>
    <definedName name="ADFE" localSheetId="19">[0]!ERR</definedName>
    <definedName name="ADFE" localSheetId="32">[0]!ERR</definedName>
    <definedName name="ADFE" localSheetId="33">[0]!ERR</definedName>
    <definedName name="ADFE" localSheetId="20">[0]!ERR</definedName>
    <definedName name="ADFE" localSheetId="44">[0]!ERR</definedName>
    <definedName name="ADFE" localSheetId="8">[0]!ERR</definedName>
    <definedName name="ADFE" localSheetId="10">[0]!ERR</definedName>
    <definedName name="ADFE">[0]!ERR</definedName>
    <definedName name="AE">#REF!</definedName>
    <definedName name="AER" localSheetId="22">[0]!ERR</definedName>
    <definedName name="AER" localSheetId="23">[0]!ERR</definedName>
    <definedName name="AER" localSheetId="24">[0]!ERR</definedName>
    <definedName name="AER" localSheetId="25">[0]!ERR</definedName>
    <definedName name="AER" localSheetId="26">[0]!ERR</definedName>
    <definedName name="AER" localSheetId="27">[0]!ERR</definedName>
    <definedName name="AER" localSheetId="28">[0]!ERR</definedName>
    <definedName name="AER" localSheetId="29">[0]!ERR</definedName>
    <definedName name="AER" localSheetId="30">[0]!ERR</definedName>
    <definedName name="AER" localSheetId="31">[0]!ERR</definedName>
    <definedName name="AER" localSheetId="42">[0]!ERR</definedName>
    <definedName name="AER" localSheetId="13">[0]!ERR</definedName>
    <definedName name="AER" localSheetId="14">[0]!ERR</definedName>
    <definedName name="AER" localSheetId="15">[0]!ERR</definedName>
    <definedName name="AER" localSheetId="16">[0]!ERR</definedName>
    <definedName name="AER" localSheetId="17">[0]!ERR</definedName>
    <definedName name="AER" localSheetId="18">[0]!ERR</definedName>
    <definedName name="AER" localSheetId="19">[0]!ERR</definedName>
    <definedName name="AER" localSheetId="32">[0]!ERR</definedName>
    <definedName name="AER" localSheetId="33">[0]!ERR</definedName>
    <definedName name="AER" localSheetId="20">[0]!ERR</definedName>
    <definedName name="AER" localSheetId="44">[0]!ERR</definedName>
    <definedName name="AER" localSheetId="8">[0]!ERR</definedName>
    <definedName name="AER" localSheetId="10">[0]!ERR</definedName>
    <definedName name="AER">[0]!ERR</definedName>
    <definedName name="AFP">#REF!</definedName>
    <definedName name="agr" localSheetId="41" hidden="1">#REF!,#REF!,#REF!,#REF!,#REF!,#REF!</definedName>
    <definedName name="agr" localSheetId="37" hidden="1">#REF!,#REF!,#REF!,#REF!,#REF!,#REF!</definedName>
    <definedName name="agr" localSheetId="22" hidden="1">#REF!,#REF!,#REF!,#REF!,#REF!,#REF!</definedName>
    <definedName name="agr" localSheetId="23" hidden="1">#REF!,#REF!,#REF!,#REF!,#REF!,#REF!</definedName>
    <definedName name="agr" localSheetId="24" hidden="1">#REF!,#REF!,#REF!,#REF!,#REF!,#REF!</definedName>
    <definedName name="agr" localSheetId="25" hidden="1">#REF!,#REF!,#REF!,#REF!,#REF!,#REF!</definedName>
    <definedName name="agr" localSheetId="26" hidden="1">#REF!,#REF!,#REF!,#REF!,#REF!,#REF!</definedName>
    <definedName name="agr" localSheetId="27" hidden="1">#REF!,#REF!,#REF!,#REF!,#REF!,#REF!</definedName>
    <definedName name="agr" localSheetId="28" hidden="1">#REF!,#REF!,#REF!,#REF!,#REF!,#REF!</definedName>
    <definedName name="agr" localSheetId="29" hidden="1">#REF!,#REF!,#REF!,#REF!,#REF!,#REF!</definedName>
    <definedName name="agr" localSheetId="30" hidden="1">#REF!,#REF!,#REF!,#REF!,#REF!,#REF!</definedName>
    <definedName name="agr" localSheetId="31" hidden="1">#REF!,#REF!,#REF!,#REF!,#REF!,#REF!</definedName>
    <definedName name="agr" localSheetId="21" hidden="1">#REF!,#REF!,#REF!,#REF!,#REF!,#REF!</definedName>
    <definedName name="agr" localSheetId="42" hidden="1">#REF!,#REF!,#REF!,#REF!,#REF!,#REF!</definedName>
    <definedName name="agr" localSheetId="12" hidden="1">#REF!,#REF!,#REF!,#REF!,#REF!,#REF!</definedName>
    <definedName name="agr" localSheetId="13" hidden="1">#REF!,#REF!,#REF!,#REF!,#REF!,#REF!</definedName>
    <definedName name="agr" localSheetId="14" hidden="1">#REF!,#REF!,#REF!,#REF!,#REF!,#REF!</definedName>
    <definedName name="agr" localSheetId="15" hidden="1">#REF!,#REF!,#REF!,#REF!,#REF!,#REF!</definedName>
    <definedName name="agr" localSheetId="16" hidden="1">#REF!,#REF!,#REF!,#REF!,#REF!,#REF!</definedName>
    <definedName name="agr" localSheetId="17" hidden="1">#REF!,#REF!,#REF!,#REF!,#REF!,#REF!</definedName>
    <definedName name="agr" localSheetId="18" hidden="1">#REF!,#REF!,#REF!,#REF!,#REF!,#REF!</definedName>
    <definedName name="agr" localSheetId="19" hidden="1">#REF!,#REF!,#REF!,#REF!,#REF!,#REF!</definedName>
    <definedName name="agr" localSheetId="32" hidden="1">#REF!,#REF!,#REF!,#REF!,#REF!,#REF!</definedName>
    <definedName name="agr" localSheetId="33" hidden="1">#REF!,#REF!,#REF!,#REF!,#REF!,#REF!</definedName>
    <definedName name="agr" localSheetId="20" hidden="1">#REF!,#REF!,#REF!,#REF!,#REF!,#REF!</definedName>
    <definedName name="agr" localSheetId="40" hidden="1">#REF!,#REF!,#REF!,#REF!,#REF!,#REF!</definedName>
    <definedName name="agr" localSheetId="36" hidden="1">#REF!,#REF!,#REF!,#REF!,#REF!,#REF!</definedName>
    <definedName name="agr" localSheetId="1" hidden="1">#REF!,#REF!,#REF!,#REF!,#REF!,#REF!</definedName>
    <definedName name="agr" hidden="1">#REF!,#REF!,#REF!,#REF!,#REF!,#REF!</definedName>
    <definedName name="AIU">#REF!</definedName>
    <definedName name="alambrenegro">4500</definedName>
    <definedName name="alc">#REF!</definedName>
    <definedName name="ANTICIPO" localSheetId="22">[0]!ERR</definedName>
    <definedName name="ANTICIPO" localSheetId="23">[0]!ERR</definedName>
    <definedName name="ANTICIPO" localSheetId="24">[0]!ERR</definedName>
    <definedName name="ANTICIPO" localSheetId="25">[0]!ERR</definedName>
    <definedName name="ANTICIPO" localSheetId="26">[0]!ERR</definedName>
    <definedName name="ANTICIPO" localSheetId="27">[0]!ERR</definedName>
    <definedName name="ANTICIPO" localSheetId="28">[0]!ERR</definedName>
    <definedName name="ANTICIPO" localSheetId="29">[0]!ERR</definedName>
    <definedName name="ANTICIPO" localSheetId="30">[0]!ERR</definedName>
    <definedName name="ANTICIPO" localSheetId="31">[0]!ERR</definedName>
    <definedName name="ANTICIPO" localSheetId="42">[0]!ERR</definedName>
    <definedName name="ANTICIPO" localSheetId="13">[0]!ERR</definedName>
    <definedName name="ANTICIPO" localSheetId="14">[0]!ERR</definedName>
    <definedName name="ANTICIPO" localSheetId="15">[0]!ERR</definedName>
    <definedName name="ANTICIPO" localSheetId="16">[0]!ERR</definedName>
    <definedName name="ANTICIPO" localSheetId="17">[0]!ERR</definedName>
    <definedName name="ANTICIPO" localSheetId="18">[0]!ERR</definedName>
    <definedName name="ANTICIPO" localSheetId="19">[0]!ERR</definedName>
    <definedName name="ANTICIPO" localSheetId="32">[0]!ERR</definedName>
    <definedName name="ANTICIPO" localSheetId="33">[0]!ERR</definedName>
    <definedName name="ANTICIPO" localSheetId="20">[0]!ERR</definedName>
    <definedName name="ANTICIPO" localSheetId="44">[0]!ERR</definedName>
    <definedName name="ANTICIPO" localSheetId="8">[0]!ERR</definedName>
    <definedName name="ANTICIPO" localSheetId="10">[0]!ERR</definedName>
    <definedName name="ANTICIPO">[0]!ERR</definedName>
    <definedName name="AP.1">'RESUMEN FINANCIERO'!$S$4</definedName>
    <definedName name="AP.10">'RESUMEN FINANCIERO'!$S$21</definedName>
    <definedName name="AP.11">'RESUMEN FINANCIERO'!$S$22</definedName>
    <definedName name="AP.12">'RESUMEN FINANCIERO'!$S$23</definedName>
    <definedName name="AP.13">'RESUMEN FINANCIERO'!$S$24</definedName>
    <definedName name="AP.14">'RESUMEN FINANCIERO'!$S$25</definedName>
    <definedName name="AP.15">'RESUMEN FINANCIERO'!$S$26</definedName>
    <definedName name="AP.16">'RESUMEN FINANCIERO'!$S$27</definedName>
    <definedName name="AP.17">'RESUMEN FINANCIERO'!$S$28</definedName>
    <definedName name="AP.18">'RESUMEN FINANCIERO'!$S$29</definedName>
    <definedName name="AP.19">'RESUMEN FINANCIERO'!$S$30</definedName>
    <definedName name="AP.2">'RESUMEN FINANCIERO'!$S$6</definedName>
    <definedName name="AP.3">'RESUMEN FINANCIERO'!$S$8</definedName>
    <definedName name="AP.4">'RESUMEN FINANCIERO'!$S$10</definedName>
    <definedName name="AP.5">'RESUMEN FINANCIERO'!$S$12</definedName>
    <definedName name="AP.6">'RESUMEN FINANCIERO'!$S$14</definedName>
    <definedName name="AP.7">'RESUMEN FINANCIERO'!$S$16</definedName>
    <definedName name="AP.8">'RESUMEN FINANCIERO'!$S$18</definedName>
    <definedName name="AP.9">'RESUMEN FINANCIERO'!$S$20</definedName>
    <definedName name="aq" localSheetId="22">[0]!ERR</definedName>
    <definedName name="aq" localSheetId="23">[0]!ERR</definedName>
    <definedName name="aq" localSheetId="24">[0]!ERR</definedName>
    <definedName name="aq" localSheetId="25">[0]!ERR</definedName>
    <definedName name="aq" localSheetId="26">[0]!ERR</definedName>
    <definedName name="aq" localSheetId="27">[0]!ERR</definedName>
    <definedName name="aq" localSheetId="28">[0]!ERR</definedName>
    <definedName name="aq" localSheetId="29">[0]!ERR</definedName>
    <definedName name="aq" localSheetId="30">[0]!ERR</definedName>
    <definedName name="aq" localSheetId="31">[0]!ERR</definedName>
    <definedName name="aq" localSheetId="42">[0]!ERR</definedName>
    <definedName name="aq" localSheetId="13">[0]!ERR</definedName>
    <definedName name="aq" localSheetId="14">[0]!ERR</definedName>
    <definedName name="aq" localSheetId="15">[0]!ERR</definedName>
    <definedName name="aq" localSheetId="16">[0]!ERR</definedName>
    <definedName name="aq" localSheetId="17">[0]!ERR</definedName>
    <definedName name="aq" localSheetId="18">[0]!ERR</definedName>
    <definedName name="aq" localSheetId="19">[0]!ERR</definedName>
    <definedName name="aq" localSheetId="32">[0]!ERR</definedName>
    <definedName name="aq" localSheetId="33">[0]!ERR</definedName>
    <definedName name="aq" localSheetId="20">[0]!ERR</definedName>
    <definedName name="aq" localSheetId="44">[0]!ERR</definedName>
    <definedName name="aq" localSheetId="8">[0]!ERR</definedName>
    <definedName name="aq" localSheetId="10">[0]!ERR</definedName>
    <definedName name="aq">[0]!ERR</definedName>
    <definedName name="_xlnm.Extract">#REF!</definedName>
    <definedName name="_xlnm.Print_Area" localSheetId="9">'C UNIT PROG CCIALES'!$A$2:$H$21</definedName>
    <definedName name="_xlnm.Print_Area" localSheetId="4">'RESUMEN CANTIDADES'!$A$1:$N$131</definedName>
    <definedName name="_xlnm.Print_Area" localSheetId="10">'RESUMEN CANTIDADES CC'!$A$1:$N$79</definedName>
    <definedName name="_xlnm.Print_Area" localSheetId="5">'RESUMEN VOL RECUPERADO'!$A$1:$N$84</definedName>
    <definedName name="_xlnm.Print_Area">#REF!</definedName>
    <definedName name="arena">90000</definedName>
    <definedName name="ARP">#REF!</definedName>
    <definedName name="AS" localSheetId="4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4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9">[0]!ERR</definedName>
    <definedName name="AS" localSheetId="4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8">[0]!ERR</definedName>
    <definedName name="AS"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B">#REF!</definedName>
    <definedName name="ay">24330</definedName>
    <definedName name="B" localSheetId="41" hidden="1">#REF!</definedName>
    <definedName name="B" localSheetId="22" hidden="1">#REF!</definedName>
    <definedName name="B" localSheetId="23" hidden="1">#REF!</definedName>
    <definedName name="B" localSheetId="24" hidden="1">#REF!</definedName>
    <definedName name="B" localSheetId="25" hidden="1">#REF!</definedName>
    <definedName name="B" localSheetId="26" hidden="1">#REF!</definedName>
    <definedName name="B" localSheetId="27" hidden="1">#REF!</definedName>
    <definedName name="B" localSheetId="28" hidden="1">#REF!</definedName>
    <definedName name="B" localSheetId="29" hidden="1">#REF!</definedName>
    <definedName name="B" localSheetId="30" hidden="1">#REF!</definedName>
    <definedName name="B" localSheetId="31" hidden="1">#REF!</definedName>
    <definedName name="B" localSheetId="21" hidden="1">#REF!</definedName>
    <definedName name="B" localSheetId="42" hidden="1">#REF!</definedName>
    <definedName name="B" localSheetId="32" hidden="1">#REF!</definedName>
    <definedName name="B" localSheetId="33" hidden="1">#REF!</definedName>
    <definedName name="B" localSheetId="40" hidden="1">#REF!</definedName>
    <definedName name="B" hidden="1">#REF!</definedName>
    <definedName name="Base">#REF!</definedName>
    <definedName name="_xlnm.Database">#REF!</definedName>
    <definedName name="Bd">#REF!</definedName>
    <definedName name="Bla" hidden="1">#REF!,#REF!</definedName>
    <definedName name="caa">#REF!</definedName>
    <definedName name="Cantidad">#REF!</definedName>
    <definedName name="CantObraDefinitiva" hidden="1">{"SUMINISTRO E INSTALACIÓN CANALETAS L=7.50"}</definedName>
    <definedName name="CAP">#REF!</definedName>
    <definedName name="CCF">#REF!</definedName>
    <definedName name="cemento">600</definedName>
    <definedName name="cft">#REF!</definedName>
    <definedName name="cg">#REF!</definedName>
    <definedName name="cgn">#REF!</definedName>
    <definedName name="CI">#REF!</definedName>
    <definedName name="CIF">#REF!</definedName>
    <definedName name="CMInv2" localSheetId="41" hidden="1">{"total",#N/A,FALSE,"TD 0% ";"total",#N/A,FALSE,"TD 12%";"total",#N/A,FALSE,"TD 10%"}</definedName>
    <definedName name="CMInv2" localSheetId="37" hidden="1">{"total",#N/A,FALSE,"TD 0% ";"total",#N/A,FALSE,"TD 12%";"total",#N/A,FALSE,"TD 10%"}</definedName>
    <definedName name="CMInv2" localSheetId="22" hidden="1">{"total",#N/A,FALSE,"TD 0% ";"total",#N/A,FALSE,"TD 12%";"total",#N/A,FALSE,"TD 10%"}</definedName>
    <definedName name="CMInv2" localSheetId="23" hidden="1">{"total",#N/A,FALSE,"TD 0% ";"total",#N/A,FALSE,"TD 12%";"total",#N/A,FALSE,"TD 10%"}</definedName>
    <definedName name="CMInv2" localSheetId="24" hidden="1">{"total",#N/A,FALSE,"TD 0% ";"total",#N/A,FALSE,"TD 12%";"total",#N/A,FALSE,"TD 10%"}</definedName>
    <definedName name="CMInv2" localSheetId="25" hidden="1">{"total",#N/A,FALSE,"TD 0% ";"total",#N/A,FALSE,"TD 12%";"total",#N/A,FALSE,"TD 10%"}</definedName>
    <definedName name="CMInv2" localSheetId="26" hidden="1">{"total",#N/A,FALSE,"TD 0% ";"total",#N/A,FALSE,"TD 12%";"total",#N/A,FALSE,"TD 10%"}</definedName>
    <definedName name="CMInv2" localSheetId="27" hidden="1">{"total",#N/A,FALSE,"TD 0% ";"total",#N/A,FALSE,"TD 12%";"total",#N/A,FALSE,"TD 10%"}</definedName>
    <definedName name="CMInv2" localSheetId="28" hidden="1">{"total",#N/A,FALSE,"TD 0% ";"total",#N/A,FALSE,"TD 12%";"total",#N/A,FALSE,"TD 10%"}</definedName>
    <definedName name="CMInv2" localSheetId="29" hidden="1">{"total",#N/A,FALSE,"TD 0% ";"total",#N/A,FALSE,"TD 12%";"total",#N/A,FALSE,"TD 10%"}</definedName>
    <definedName name="CMInv2" localSheetId="30" hidden="1">{"total",#N/A,FALSE,"TD 0% ";"total",#N/A,FALSE,"TD 12%";"total",#N/A,FALSE,"TD 10%"}</definedName>
    <definedName name="CMInv2" localSheetId="31" hidden="1">{"total",#N/A,FALSE,"TD 0% ";"total",#N/A,FALSE,"TD 12%";"total",#N/A,FALSE,"TD 10%"}</definedName>
    <definedName name="CMInv2" localSheetId="21" hidden="1">{"total",#N/A,FALSE,"TD 0% ";"total",#N/A,FALSE,"TD 12%";"total",#N/A,FALSE,"TD 10%"}</definedName>
    <definedName name="CMInv2" localSheetId="42" hidden="1">{"total",#N/A,FALSE,"TD 0% ";"total",#N/A,FALSE,"TD 12%";"total",#N/A,FALSE,"TD 10%"}</definedName>
    <definedName name="CMInv2" localSheetId="12" hidden="1">{"total",#N/A,FALSE,"TD 0% ";"total",#N/A,FALSE,"TD 12%";"total",#N/A,FALSE,"TD 10%"}</definedName>
    <definedName name="CMInv2" localSheetId="13" hidden="1">{"total",#N/A,FALSE,"TD 0% ";"total",#N/A,FALSE,"TD 12%";"total",#N/A,FALSE,"TD 10%"}</definedName>
    <definedName name="CMInv2" localSheetId="14" hidden="1">{"total",#N/A,FALSE,"TD 0% ";"total",#N/A,FALSE,"TD 12%";"total",#N/A,FALSE,"TD 10%"}</definedName>
    <definedName name="CMInv2" localSheetId="15" hidden="1">{"total",#N/A,FALSE,"TD 0% ";"total",#N/A,FALSE,"TD 12%";"total",#N/A,FALSE,"TD 10%"}</definedName>
    <definedName name="CMInv2" localSheetId="16" hidden="1">{"total",#N/A,FALSE,"TD 0% ";"total",#N/A,FALSE,"TD 12%";"total",#N/A,FALSE,"TD 10%"}</definedName>
    <definedName name="CMInv2" localSheetId="17" hidden="1">{"total",#N/A,FALSE,"TD 0% ";"total",#N/A,FALSE,"TD 12%";"total",#N/A,FALSE,"TD 10%"}</definedName>
    <definedName name="CMInv2" localSheetId="18" hidden="1">{"total",#N/A,FALSE,"TD 0% ";"total",#N/A,FALSE,"TD 12%";"total",#N/A,FALSE,"TD 10%"}</definedName>
    <definedName name="CMInv2" localSheetId="19" hidden="1">{"total",#N/A,FALSE,"TD 0% ";"total",#N/A,FALSE,"TD 12%";"total",#N/A,FALSE,"TD 10%"}</definedName>
    <definedName name="CMInv2" localSheetId="32" hidden="1">{"total",#N/A,FALSE,"TD 0% ";"total",#N/A,FALSE,"TD 12%";"total",#N/A,FALSE,"TD 10%"}</definedName>
    <definedName name="CMInv2" localSheetId="33" hidden="1">{"total",#N/A,FALSE,"TD 0% ";"total",#N/A,FALSE,"TD 12%";"total",#N/A,FALSE,"TD 10%"}</definedName>
    <definedName name="CMInv2" localSheetId="20" hidden="1">{"total",#N/A,FALSE,"TD 0% ";"total",#N/A,FALSE,"TD 12%";"total",#N/A,FALSE,"TD 10%"}</definedName>
    <definedName name="CMInv2" localSheetId="40" hidden="1">{"total",#N/A,FALSE,"TD 0% ";"total",#N/A,FALSE,"TD 12%";"total",#N/A,FALSE,"TD 10%"}</definedName>
    <definedName name="CMInv2" localSheetId="36" hidden="1">{"total",#N/A,FALSE,"TD 0% ";"total",#N/A,FALSE,"TD 12%";"total",#N/A,FALSE,"TD 10%"}</definedName>
    <definedName name="CMInv2" localSheetId="1" hidden="1">{"total",#N/A,FALSE,"TD 0% ";"total",#N/A,FALSE,"TD 12%";"total",#N/A,FALSE,"TD 10%"}</definedName>
    <definedName name="CMInv2" hidden="1">{"total",#N/A,FALSE,"TD 0% ";"total",#N/A,FALSE,"TD 12%";"total",#N/A,FALSE,"TD 10%"}</definedName>
    <definedName name="CMT" localSheetId="41" hidden="1">{"total",#N/A,FALSE,"TD 0% ";"total",#N/A,FALSE,"TD 12%";"total",#N/A,FALSE,"TD 10%"}</definedName>
    <definedName name="CMT" localSheetId="37" hidden="1">{"total",#N/A,FALSE,"TD 0% ";"total",#N/A,FALSE,"TD 12%";"total",#N/A,FALSE,"TD 10%"}</definedName>
    <definedName name="CMT" localSheetId="22" hidden="1">{"total",#N/A,FALSE,"TD 0% ";"total",#N/A,FALSE,"TD 12%";"total",#N/A,FALSE,"TD 10%"}</definedName>
    <definedName name="CMT" localSheetId="23" hidden="1">{"total",#N/A,FALSE,"TD 0% ";"total",#N/A,FALSE,"TD 12%";"total",#N/A,FALSE,"TD 10%"}</definedName>
    <definedName name="CMT" localSheetId="24" hidden="1">{"total",#N/A,FALSE,"TD 0% ";"total",#N/A,FALSE,"TD 12%";"total",#N/A,FALSE,"TD 10%"}</definedName>
    <definedName name="CMT" localSheetId="25" hidden="1">{"total",#N/A,FALSE,"TD 0% ";"total",#N/A,FALSE,"TD 12%";"total",#N/A,FALSE,"TD 10%"}</definedName>
    <definedName name="CMT" localSheetId="26" hidden="1">{"total",#N/A,FALSE,"TD 0% ";"total",#N/A,FALSE,"TD 12%";"total",#N/A,FALSE,"TD 10%"}</definedName>
    <definedName name="CMT" localSheetId="27" hidden="1">{"total",#N/A,FALSE,"TD 0% ";"total",#N/A,FALSE,"TD 12%";"total",#N/A,FALSE,"TD 10%"}</definedName>
    <definedName name="CMT" localSheetId="28" hidden="1">{"total",#N/A,FALSE,"TD 0% ";"total",#N/A,FALSE,"TD 12%";"total",#N/A,FALSE,"TD 10%"}</definedName>
    <definedName name="CMT" localSheetId="29" hidden="1">{"total",#N/A,FALSE,"TD 0% ";"total",#N/A,FALSE,"TD 12%";"total",#N/A,FALSE,"TD 10%"}</definedName>
    <definedName name="CMT" localSheetId="30" hidden="1">{"total",#N/A,FALSE,"TD 0% ";"total",#N/A,FALSE,"TD 12%";"total",#N/A,FALSE,"TD 10%"}</definedName>
    <definedName name="CMT" localSheetId="31" hidden="1">{"total",#N/A,FALSE,"TD 0% ";"total",#N/A,FALSE,"TD 12%";"total",#N/A,FALSE,"TD 10%"}</definedName>
    <definedName name="CMT" localSheetId="21" hidden="1">{"total",#N/A,FALSE,"TD 0% ";"total",#N/A,FALSE,"TD 12%";"total",#N/A,FALSE,"TD 10%"}</definedName>
    <definedName name="CMT" localSheetId="42" hidden="1">{"total",#N/A,FALSE,"TD 0% ";"total",#N/A,FALSE,"TD 12%";"total",#N/A,FALSE,"TD 10%"}</definedName>
    <definedName name="CMT" localSheetId="12" hidden="1">{"total",#N/A,FALSE,"TD 0% ";"total",#N/A,FALSE,"TD 12%";"total",#N/A,FALSE,"TD 10%"}</definedName>
    <definedName name="CMT" localSheetId="13" hidden="1">{"total",#N/A,FALSE,"TD 0% ";"total",#N/A,FALSE,"TD 12%";"total",#N/A,FALSE,"TD 10%"}</definedName>
    <definedName name="CMT" localSheetId="14" hidden="1">{"total",#N/A,FALSE,"TD 0% ";"total",#N/A,FALSE,"TD 12%";"total",#N/A,FALSE,"TD 10%"}</definedName>
    <definedName name="CMT" localSheetId="15" hidden="1">{"total",#N/A,FALSE,"TD 0% ";"total",#N/A,FALSE,"TD 12%";"total",#N/A,FALSE,"TD 10%"}</definedName>
    <definedName name="CMT" localSheetId="16" hidden="1">{"total",#N/A,FALSE,"TD 0% ";"total",#N/A,FALSE,"TD 12%";"total",#N/A,FALSE,"TD 10%"}</definedName>
    <definedName name="CMT" localSheetId="17" hidden="1">{"total",#N/A,FALSE,"TD 0% ";"total",#N/A,FALSE,"TD 12%";"total",#N/A,FALSE,"TD 10%"}</definedName>
    <definedName name="CMT" localSheetId="18" hidden="1">{"total",#N/A,FALSE,"TD 0% ";"total",#N/A,FALSE,"TD 12%";"total",#N/A,FALSE,"TD 10%"}</definedName>
    <definedName name="CMT" localSheetId="19" hidden="1">{"total",#N/A,FALSE,"TD 0% ";"total",#N/A,FALSE,"TD 12%";"total",#N/A,FALSE,"TD 10%"}</definedName>
    <definedName name="CMT" localSheetId="32" hidden="1">{"total",#N/A,FALSE,"TD 0% ";"total",#N/A,FALSE,"TD 12%";"total",#N/A,FALSE,"TD 10%"}</definedName>
    <definedName name="CMT" localSheetId="33" hidden="1">{"total",#N/A,FALSE,"TD 0% ";"total",#N/A,FALSE,"TD 12%";"total",#N/A,FALSE,"TD 10%"}</definedName>
    <definedName name="CMT" localSheetId="20" hidden="1">{"total",#N/A,FALSE,"TD 0% ";"total",#N/A,FALSE,"TD 12%";"total",#N/A,FALSE,"TD 10%"}</definedName>
    <definedName name="CMT" localSheetId="40" hidden="1">{"total",#N/A,FALSE,"TD 0% ";"total",#N/A,FALSE,"TD 12%";"total",#N/A,FALSE,"TD 10%"}</definedName>
    <definedName name="CMT" localSheetId="36" hidden="1">{"total",#N/A,FALSE,"TD 0% ";"total",#N/A,FALSE,"TD 12%";"total",#N/A,FALSE,"TD 10%"}</definedName>
    <definedName name="CMT" localSheetId="1" hidden="1">{"total",#N/A,FALSE,"TD 0% ";"total",#N/A,FALSE,"TD 12%";"total",#N/A,FALSE,"TD 10%"}</definedName>
    <definedName name="CMT" hidden="1">{"total",#N/A,FALSE,"TD 0% ";"total",#N/A,FALSE,"TD 12%";"total",#N/A,FALSE,"TD 10%"}</definedName>
    <definedName name="Cod">#REF!</definedName>
    <definedName name="COMERCIAL">#REF!</definedName>
    <definedName name="conc3000">502500</definedName>
    <definedName name="conc3500">820000</definedName>
    <definedName name="CONSOLIDADO">#REF!</definedName>
    <definedName name="COT">#REF!</definedName>
    <definedName name="CP">#REF!</definedName>
    <definedName name="_xlnm.Criteria">#REF!</definedName>
    <definedName name="cuado">#REF!</definedName>
    <definedName name="CUAL" localSheetId="22">[0]!ERR</definedName>
    <definedName name="CUAL" localSheetId="23">[0]!ERR</definedName>
    <definedName name="CUAL" localSheetId="24">[0]!ERR</definedName>
    <definedName name="CUAL" localSheetId="25">[0]!ERR</definedName>
    <definedName name="CUAL" localSheetId="26">[0]!ERR</definedName>
    <definedName name="CUAL" localSheetId="27">[0]!ERR</definedName>
    <definedName name="CUAL" localSheetId="28">[0]!ERR</definedName>
    <definedName name="CUAL" localSheetId="29">[0]!ERR</definedName>
    <definedName name="CUAL" localSheetId="30">[0]!ERR</definedName>
    <definedName name="CUAL" localSheetId="31">[0]!ERR</definedName>
    <definedName name="CUAL" localSheetId="42">[0]!ERR</definedName>
    <definedName name="CUAL" localSheetId="13">[0]!ERR</definedName>
    <definedName name="CUAL" localSheetId="14">[0]!ERR</definedName>
    <definedName name="CUAL" localSheetId="15">[0]!ERR</definedName>
    <definedName name="CUAL" localSheetId="16">[0]!ERR</definedName>
    <definedName name="CUAL" localSheetId="17">[0]!ERR</definedName>
    <definedName name="CUAL" localSheetId="18">[0]!ERR</definedName>
    <definedName name="CUAL" localSheetId="19">[0]!ERR</definedName>
    <definedName name="CUAL" localSheetId="32">[0]!ERR</definedName>
    <definedName name="CUAL" localSheetId="33">[0]!ERR</definedName>
    <definedName name="CUAL" localSheetId="20">[0]!ERR</definedName>
    <definedName name="CUAL" localSheetId="44">[0]!ERR</definedName>
    <definedName name="CUAL" localSheetId="8">[0]!ERR</definedName>
    <definedName name="CUAL" localSheetId="10">[0]!ERR</definedName>
    <definedName name="CUAL">[0]!ERR</definedName>
    <definedName name="curva">"Chart 11"</definedName>
    <definedName name="CVa">#REF!</definedName>
    <definedName name="Cwvu.ComparEneMar9697." localSheetId="41" hidden="1">#REF!,#REF!,#REF!,#REF!,#REF!,#REF!</definedName>
    <definedName name="Cwvu.ComparEneMar9697." localSheetId="37" hidden="1">#REF!,#REF!,#REF!,#REF!,#REF!,#REF!</definedName>
    <definedName name="Cwvu.ComparEneMar9697." localSheetId="22" hidden="1">#REF!,#REF!,#REF!,#REF!,#REF!,#REF!</definedName>
    <definedName name="Cwvu.ComparEneMar9697." localSheetId="23" hidden="1">#REF!,#REF!,#REF!,#REF!,#REF!,#REF!</definedName>
    <definedName name="Cwvu.ComparEneMar9697." localSheetId="24" hidden="1">#REF!,#REF!,#REF!,#REF!,#REF!,#REF!</definedName>
    <definedName name="Cwvu.ComparEneMar9697." localSheetId="25" hidden="1">#REF!,#REF!,#REF!,#REF!,#REF!,#REF!</definedName>
    <definedName name="Cwvu.ComparEneMar9697." localSheetId="26" hidden="1">#REF!,#REF!,#REF!,#REF!,#REF!,#REF!</definedName>
    <definedName name="Cwvu.ComparEneMar9697." localSheetId="27" hidden="1">#REF!,#REF!,#REF!,#REF!,#REF!,#REF!</definedName>
    <definedName name="Cwvu.ComparEneMar9697." localSheetId="28" hidden="1">#REF!,#REF!,#REF!,#REF!,#REF!,#REF!</definedName>
    <definedName name="Cwvu.ComparEneMar9697." localSheetId="29" hidden="1">#REF!,#REF!,#REF!,#REF!,#REF!,#REF!</definedName>
    <definedName name="Cwvu.ComparEneMar9697." localSheetId="30" hidden="1">#REF!,#REF!,#REF!,#REF!,#REF!,#REF!</definedName>
    <definedName name="Cwvu.ComparEneMar9697." localSheetId="31" hidden="1">#REF!,#REF!,#REF!,#REF!,#REF!,#REF!</definedName>
    <definedName name="Cwvu.ComparEneMar9697." localSheetId="21" hidden="1">#REF!,#REF!,#REF!,#REF!,#REF!,#REF!</definedName>
    <definedName name="Cwvu.ComparEneMar9697." localSheetId="42" hidden="1">#REF!,#REF!,#REF!,#REF!,#REF!,#REF!</definedName>
    <definedName name="Cwvu.ComparEneMar9697." localSheetId="12" hidden="1">#REF!,#REF!,#REF!,#REF!,#REF!,#REF!</definedName>
    <definedName name="Cwvu.ComparEneMar9697." localSheetId="13" hidden="1">#REF!,#REF!,#REF!,#REF!,#REF!,#REF!</definedName>
    <definedName name="Cwvu.ComparEneMar9697." localSheetId="14" hidden="1">#REF!,#REF!,#REF!,#REF!,#REF!,#REF!</definedName>
    <definedName name="Cwvu.ComparEneMar9697." localSheetId="15" hidden="1">#REF!,#REF!,#REF!,#REF!,#REF!,#REF!</definedName>
    <definedName name="Cwvu.ComparEneMar9697." localSheetId="16" hidden="1">#REF!,#REF!,#REF!,#REF!,#REF!,#REF!</definedName>
    <definedName name="Cwvu.ComparEneMar9697." localSheetId="17" hidden="1">#REF!,#REF!,#REF!,#REF!,#REF!,#REF!</definedName>
    <definedName name="Cwvu.ComparEneMar9697." localSheetId="18" hidden="1">#REF!,#REF!,#REF!,#REF!,#REF!,#REF!</definedName>
    <definedName name="Cwvu.ComparEneMar9697." localSheetId="19" hidden="1">#REF!,#REF!,#REF!,#REF!,#REF!,#REF!</definedName>
    <definedName name="Cwvu.ComparEneMar9697." localSheetId="32" hidden="1">#REF!,#REF!,#REF!,#REF!,#REF!,#REF!</definedName>
    <definedName name="Cwvu.ComparEneMar9697." localSheetId="33" hidden="1">#REF!,#REF!,#REF!,#REF!,#REF!,#REF!</definedName>
    <definedName name="Cwvu.ComparEneMar9697." localSheetId="20" hidden="1">#REF!,#REF!,#REF!,#REF!,#REF!,#REF!</definedName>
    <definedName name="Cwvu.ComparEneMar9697." localSheetId="40" hidden="1">#REF!,#REF!,#REF!,#REF!,#REF!,#REF!</definedName>
    <definedName name="Cwvu.ComparEneMar9697." localSheetId="36" hidden="1">#REF!,#REF!,#REF!,#REF!,#REF!,#REF!</definedName>
    <definedName name="Cwvu.ComparEneMar9697." localSheetId="1" hidden="1">#REF!,#REF!,#REF!,#REF!,#REF!,#REF!</definedName>
    <definedName name="Cwvu.ComparEneMar9697." hidden="1">#REF!,#REF!,#REF!,#REF!,#REF!,#REF!</definedName>
    <definedName name="Cwvu.EneFeb." localSheetId="41" hidden="1">#REF!,#REF!</definedName>
    <definedName name="Cwvu.EneFeb." localSheetId="37" hidden="1">#REF!,#REF!</definedName>
    <definedName name="Cwvu.EneFeb." localSheetId="22" hidden="1">#REF!,#REF!</definedName>
    <definedName name="Cwvu.EneFeb." localSheetId="23" hidden="1">#REF!,#REF!</definedName>
    <definedName name="Cwvu.EneFeb." localSheetId="24" hidden="1">#REF!,#REF!</definedName>
    <definedName name="Cwvu.EneFeb." localSheetId="25" hidden="1">#REF!,#REF!</definedName>
    <definedName name="Cwvu.EneFeb." localSheetId="26" hidden="1">#REF!,#REF!</definedName>
    <definedName name="Cwvu.EneFeb." localSheetId="27" hidden="1">#REF!,#REF!</definedName>
    <definedName name="Cwvu.EneFeb." localSheetId="28" hidden="1">#REF!,#REF!</definedName>
    <definedName name="Cwvu.EneFeb." localSheetId="29" hidden="1">#REF!,#REF!</definedName>
    <definedName name="Cwvu.EneFeb." localSheetId="30" hidden="1">#REF!,#REF!</definedName>
    <definedName name="Cwvu.EneFeb." localSheetId="31" hidden="1">#REF!,#REF!</definedName>
    <definedName name="Cwvu.EneFeb." localSheetId="21" hidden="1">#REF!,#REF!</definedName>
    <definedName name="Cwvu.EneFeb." localSheetId="42" hidden="1">#REF!,#REF!</definedName>
    <definedName name="Cwvu.EneFeb." localSheetId="12" hidden="1">#REF!,#REF!</definedName>
    <definedName name="Cwvu.EneFeb." localSheetId="13" hidden="1">#REF!,#REF!</definedName>
    <definedName name="Cwvu.EneFeb." localSheetId="14" hidden="1">#REF!,#REF!</definedName>
    <definedName name="Cwvu.EneFeb." localSheetId="15" hidden="1">#REF!,#REF!</definedName>
    <definedName name="Cwvu.EneFeb." localSheetId="16" hidden="1">#REF!,#REF!</definedName>
    <definedName name="Cwvu.EneFeb." localSheetId="17" hidden="1">#REF!,#REF!</definedName>
    <definedName name="Cwvu.EneFeb." localSheetId="18" hidden="1">#REF!,#REF!</definedName>
    <definedName name="Cwvu.EneFeb." localSheetId="19" hidden="1">#REF!,#REF!</definedName>
    <definedName name="Cwvu.EneFeb." localSheetId="32" hidden="1">#REF!,#REF!</definedName>
    <definedName name="Cwvu.EneFeb." localSheetId="33" hidden="1">#REF!,#REF!</definedName>
    <definedName name="Cwvu.EneFeb." localSheetId="20" hidden="1">#REF!,#REF!</definedName>
    <definedName name="Cwvu.EneFeb." localSheetId="40" hidden="1">#REF!,#REF!</definedName>
    <definedName name="Cwvu.EneFeb." localSheetId="36" hidden="1">#REF!,#REF!</definedName>
    <definedName name="Cwvu.EneFeb." localSheetId="1" hidden="1">#REF!,#REF!</definedName>
    <definedName name="Cwvu.EneFeb." hidden="1">#REF!,#REF!</definedName>
    <definedName name="Cwvu.Formato._.Corto." hidden="1">#REF!,#REF!,#REF!,#REF!,#REF!,#REF!,#REF!,#REF!,#REF!,#REF!,#REF!,#REF!</definedName>
    <definedName name="Cwvu.Formato._.Total." localSheetId="41" hidden="1">#REF!,#REF!,#REF!</definedName>
    <definedName name="Cwvu.Formato._.Total." localSheetId="37" hidden="1">#REF!,#REF!,#REF!</definedName>
    <definedName name="Cwvu.Formato._.Total." localSheetId="22" hidden="1">#REF!,#REF!,#REF!</definedName>
    <definedName name="Cwvu.Formato._.Total." localSheetId="23" hidden="1">#REF!,#REF!,#REF!</definedName>
    <definedName name="Cwvu.Formato._.Total." localSheetId="24" hidden="1">#REF!,#REF!,#REF!</definedName>
    <definedName name="Cwvu.Formato._.Total." localSheetId="25" hidden="1">#REF!,#REF!,#REF!</definedName>
    <definedName name="Cwvu.Formato._.Total." localSheetId="26" hidden="1">#REF!,#REF!,#REF!</definedName>
    <definedName name="Cwvu.Formato._.Total." localSheetId="27" hidden="1">#REF!,#REF!,#REF!</definedName>
    <definedName name="Cwvu.Formato._.Total." localSheetId="28" hidden="1">#REF!,#REF!,#REF!</definedName>
    <definedName name="Cwvu.Formato._.Total." localSheetId="29" hidden="1">#REF!,#REF!,#REF!</definedName>
    <definedName name="Cwvu.Formato._.Total." localSheetId="30" hidden="1">#REF!,#REF!,#REF!</definedName>
    <definedName name="Cwvu.Formato._.Total." localSheetId="31" hidden="1">#REF!,#REF!,#REF!</definedName>
    <definedName name="Cwvu.Formato._.Total." localSheetId="21" hidden="1">#REF!,#REF!,#REF!</definedName>
    <definedName name="Cwvu.Formato._.Total." localSheetId="42" hidden="1">#REF!,#REF!,#REF!</definedName>
    <definedName name="Cwvu.Formato._.Total." localSheetId="12" hidden="1">#REF!,#REF!,#REF!</definedName>
    <definedName name="Cwvu.Formato._.Total." localSheetId="13" hidden="1">#REF!,#REF!,#REF!</definedName>
    <definedName name="Cwvu.Formato._.Total." localSheetId="14" hidden="1">#REF!,#REF!,#REF!</definedName>
    <definedName name="Cwvu.Formato._.Total." localSheetId="15" hidden="1">#REF!,#REF!,#REF!</definedName>
    <definedName name="Cwvu.Formato._.Total." localSheetId="16" hidden="1">#REF!,#REF!,#REF!</definedName>
    <definedName name="Cwvu.Formato._.Total." localSheetId="17" hidden="1">#REF!,#REF!,#REF!</definedName>
    <definedName name="Cwvu.Formato._.Total." localSheetId="18" hidden="1">#REF!,#REF!,#REF!</definedName>
    <definedName name="Cwvu.Formato._.Total." localSheetId="19" hidden="1">#REF!,#REF!,#REF!</definedName>
    <definedName name="Cwvu.Formato._.Total." localSheetId="32" hidden="1">#REF!,#REF!,#REF!</definedName>
    <definedName name="Cwvu.Formato._.Total." localSheetId="33" hidden="1">#REF!,#REF!,#REF!</definedName>
    <definedName name="Cwvu.Formato._.Total." localSheetId="20" hidden="1">#REF!,#REF!,#REF!</definedName>
    <definedName name="Cwvu.Formato._.Total." localSheetId="40" hidden="1">#REF!,#REF!,#REF!</definedName>
    <definedName name="Cwvu.Formato._.Total." localSheetId="36" hidden="1">#REF!,#REF!,#REF!</definedName>
    <definedName name="Cwvu.Formato._.Total." localSheetId="1" hidden="1">#REF!,#REF!,#REF!</definedName>
    <definedName name="Cwvu.Formato._.Total." hidden="1">#REF!,#REF!,#REF!</definedName>
    <definedName name="D" localSheetId="4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4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4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ane" localSheetId="41" hidden="1">{"total",#N/A,FALSE,"TD 0% ";"total",#N/A,FALSE,"TD 12%";"total",#N/A,FALSE,"TD 10%"}</definedName>
    <definedName name="Dane" localSheetId="37" hidden="1">{"total",#N/A,FALSE,"TD 0% ";"total",#N/A,FALSE,"TD 12%";"total",#N/A,FALSE,"TD 10%"}</definedName>
    <definedName name="Dane" localSheetId="22" hidden="1">{"total",#N/A,FALSE,"TD 0% ";"total",#N/A,FALSE,"TD 12%";"total",#N/A,FALSE,"TD 10%"}</definedName>
    <definedName name="Dane" localSheetId="23" hidden="1">{"total",#N/A,FALSE,"TD 0% ";"total",#N/A,FALSE,"TD 12%";"total",#N/A,FALSE,"TD 10%"}</definedName>
    <definedName name="Dane" localSheetId="24" hidden="1">{"total",#N/A,FALSE,"TD 0% ";"total",#N/A,FALSE,"TD 12%";"total",#N/A,FALSE,"TD 10%"}</definedName>
    <definedName name="Dane" localSheetId="25" hidden="1">{"total",#N/A,FALSE,"TD 0% ";"total",#N/A,FALSE,"TD 12%";"total",#N/A,FALSE,"TD 10%"}</definedName>
    <definedName name="Dane" localSheetId="26" hidden="1">{"total",#N/A,FALSE,"TD 0% ";"total",#N/A,FALSE,"TD 12%";"total",#N/A,FALSE,"TD 10%"}</definedName>
    <definedName name="Dane" localSheetId="27" hidden="1">{"total",#N/A,FALSE,"TD 0% ";"total",#N/A,FALSE,"TD 12%";"total",#N/A,FALSE,"TD 10%"}</definedName>
    <definedName name="Dane" localSheetId="28" hidden="1">{"total",#N/A,FALSE,"TD 0% ";"total",#N/A,FALSE,"TD 12%";"total",#N/A,FALSE,"TD 10%"}</definedName>
    <definedName name="Dane" localSheetId="29" hidden="1">{"total",#N/A,FALSE,"TD 0% ";"total",#N/A,FALSE,"TD 12%";"total",#N/A,FALSE,"TD 10%"}</definedName>
    <definedName name="Dane" localSheetId="30" hidden="1">{"total",#N/A,FALSE,"TD 0% ";"total",#N/A,FALSE,"TD 12%";"total",#N/A,FALSE,"TD 10%"}</definedName>
    <definedName name="Dane" localSheetId="31" hidden="1">{"total",#N/A,FALSE,"TD 0% ";"total",#N/A,FALSE,"TD 12%";"total",#N/A,FALSE,"TD 10%"}</definedName>
    <definedName name="Dane" localSheetId="21" hidden="1">{"total",#N/A,FALSE,"TD 0% ";"total",#N/A,FALSE,"TD 12%";"total",#N/A,FALSE,"TD 10%"}</definedName>
    <definedName name="Dane" localSheetId="42" hidden="1">{"total",#N/A,FALSE,"TD 0% ";"total",#N/A,FALSE,"TD 12%";"total",#N/A,FALSE,"TD 10%"}</definedName>
    <definedName name="Dane" localSheetId="12" hidden="1">{"total",#N/A,FALSE,"TD 0% ";"total",#N/A,FALSE,"TD 12%";"total",#N/A,FALSE,"TD 10%"}</definedName>
    <definedName name="Dane" localSheetId="13" hidden="1">{"total",#N/A,FALSE,"TD 0% ";"total",#N/A,FALSE,"TD 12%";"total",#N/A,FALSE,"TD 10%"}</definedName>
    <definedName name="Dane" localSheetId="14" hidden="1">{"total",#N/A,FALSE,"TD 0% ";"total",#N/A,FALSE,"TD 12%";"total",#N/A,FALSE,"TD 10%"}</definedName>
    <definedName name="Dane" localSheetId="15" hidden="1">{"total",#N/A,FALSE,"TD 0% ";"total",#N/A,FALSE,"TD 12%";"total",#N/A,FALSE,"TD 10%"}</definedName>
    <definedName name="Dane" localSheetId="16" hidden="1">{"total",#N/A,FALSE,"TD 0% ";"total",#N/A,FALSE,"TD 12%";"total",#N/A,FALSE,"TD 10%"}</definedName>
    <definedName name="Dane" localSheetId="17" hidden="1">{"total",#N/A,FALSE,"TD 0% ";"total",#N/A,FALSE,"TD 12%";"total",#N/A,FALSE,"TD 10%"}</definedName>
    <definedName name="Dane" localSheetId="18" hidden="1">{"total",#N/A,FALSE,"TD 0% ";"total",#N/A,FALSE,"TD 12%";"total",#N/A,FALSE,"TD 10%"}</definedName>
    <definedName name="Dane" localSheetId="19" hidden="1">{"total",#N/A,FALSE,"TD 0% ";"total",#N/A,FALSE,"TD 12%";"total",#N/A,FALSE,"TD 10%"}</definedName>
    <definedName name="Dane" localSheetId="32" hidden="1">{"total",#N/A,FALSE,"TD 0% ";"total",#N/A,FALSE,"TD 12%";"total",#N/A,FALSE,"TD 10%"}</definedName>
    <definedName name="Dane" localSheetId="33" hidden="1">{"total",#N/A,FALSE,"TD 0% ";"total",#N/A,FALSE,"TD 12%";"total",#N/A,FALSE,"TD 10%"}</definedName>
    <definedName name="Dane" localSheetId="20" hidden="1">{"total",#N/A,FALSE,"TD 0% ";"total",#N/A,FALSE,"TD 12%";"total",#N/A,FALSE,"TD 10%"}</definedName>
    <definedName name="Dane" localSheetId="40" hidden="1">{"total",#N/A,FALSE,"TD 0% ";"total",#N/A,FALSE,"TD 12%";"total",#N/A,FALSE,"TD 10%"}</definedName>
    <definedName name="Dane" localSheetId="36" hidden="1">{"total",#N/A,FALSE,"TD 0% ";"total",#N/A,FALSE,"TD 12%";"total",#N/A,FALSE,"TD 10%"}</definedName>
    <definedName name="Dane" localSheetId="1" hidden="1">{"total",#N/A,FALSE,"TD 0% ";"total",#N/A,FALSE,"TD 12%";"total",#N/A,FALSE,"TD 10%"}</definedName>
    <definedName name="Dane" hidden="1">{"total",#N/A,FALSE,"TD 0% ";"total",#N/A,FALSE,"TD 12%";"total",#N/A,FALSE,"TD 10%"}</definedName>
    <definedName name="DATOS">#REF!</definedName>
    <definedName name="dd" localSheetId="22">[0]!ERR</definedName>
    <definedName name="dd" localSheetId="23">[0]!ERR</definedName>
    <definedName name="dd" localSheetId="24">[0]!ERR</definedName>
    <definedName name="dd" localSheetId="25">[0]!ERR</definedName>
    <definedName name="dd" localSheetId="26">[0]!ERR</definedName>
    <definedName name="dd" localSheetId="27">[0]!ERR</definedName>
    <definedName name="dd" localSheetId="28">[0]!ERR</definedName>
    <definedName name="dd" localSheetId="29">[0]!ERR</definedName>
    <definedName name="dd" localSheetId="30">[0]!ERR</definedName>
    <definedName name="dd" localSheetId="31">[0]!ERR</definedName>
    <definedName name="dd" localSheetId="42">[0]!ERR</definedName>
    <definedName name="dd" localSheetId="13">[0]!ERR</definedName>
    <definedName name="dd" localSheetId="14">[0]!ERR</definedName>
    <definedName name="dd" localSheetId="15">[0]!ERR</definedName>
    <definedName name="dd" localSheetId="16">[0]!ERR</definedName>
    <definedName name="dd" localSheetId="17">[0]!ERR</definedName>
    <definedName name="dd" localSheetId="18">[0]!ERR</definedName>
    <definedName name="dd" localSheetId="19">[0]!ERR</definedName>
    <definedName name="dd" localSheetId="32">[0]!ERR</definedName>
    <definedName name="dd" localSheetId="33">[0]!ERR</definedName>
    <definedName name="dd" localSheetId="20">[0]!ERR</definedName>
    <definedName name="dd" localSheetId="44">[0]!ERR</definedName>
    <definedName name="dd" localSheetId="8">[0]!ERR</definedName>
    <definedName name="dd" localSheetId="10">[0]!ERR</definedName>
    <definedName name="dd">[0]!ERR</definedName>
    <definedName name="DDD"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9">#REF!</definedName>
    <definedName name="DDD"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8">#REF!</definedName>
    <definedName name="DDD"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e">#REF!</definedName>
    <definedName name="DEFLEXION_GG">TRUNC(ABS(#REF!))</definedName>
    <definedName name="DEFLEXION_MM">TRUNC(60*(ABS(#REF!)-DEFLEXION_GG))</definedName>
    <definedName name="DIRECCION">#REF!</definedName>
    <definedName name="dnhfb"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OS">#REF!</definedName>
    <definedName name="Dp">#REF!</definedName>
    <definedName name="drcgh" localSheetId="4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4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4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S">#REF!</definedName>
    <definedName name="Dv">#REF!</definedName>
    <definedName name="E" localSheetId="41" hidden="1">#REF!,#REF!,#REF!,#REF!,#REF!,#REF!</definedName>
    <definedName name="E" localSheetId="37" hidden="1">#REF!,#REF!,#REF!,#REF!,#REF!,#REF!</definedName>
    <definedName name="E" localSheetId="22" hidden="1">#REF!,#REF!,#REF!,#REF!,#REF!,#REF!</definedName>
    <definedName name="E" localSheetId="23" hidden="1">#REF!,#REF!,#REF!,#REF!,#REF!,#REF!</definedName>
    <definedName name="E" localSheetId="24" hidden="1">#REF!,#REF!,#REF!,#REF!,#REF!,#REF!</definedName>
    <definedName name="E" localSheetId="25" hidden="1">#REF!,#REF!,#REF!,#REF!,#REF!,#REF!</definedName>
    <definedName name="E" localSheetId="26" hidden="1">#REF!,#REF!,#REF!,#REF!,#REF!,#REF!</definedName>
    <definedName name="E" localSheetId="27" hidden="1">#REF!,#REF!,#REF!,#REF!,#REF!,#REF!</definedName>
    <definedName name="E" localSheetId="28" hidden="1">#REF!,#REF!,#REF!,#REF!,#REF!,#REF!</definedName>
    <definedName name="E" localSheetId="29" hidden="1">#REF!,#REF!,#REF!,#REF!,#REF!,#REF!</definedName>
    <definedName name="E" localSheetId="30" hidden="1">#REF!,#REF!,#REF!,#REF!,#REF!,#REF!</definedName>
    <definedName name="E" localSheetId="31" hidden="1">#REF!,#REF!,#REF!,#REF!,#REF!,#REF!</definedName>
    <definedName name="E" localSheetId="21" hidden="1">#REF!,#REF!,#REF!,#REF!,#REF!,#REF!</definedName>
    <definedName name="E" localSheetId="42" hidden="1">#REF!,#REF!,#REF!,#REF!,#REF!,#REF!</definedName>
    <definedName name="E" localSheetId="12" hidden="1">#REF!,#REF!,#REF!,#REF!,#REF!,#REF!</definedName>
    <definedName name="E" localSheetId="13" hidden="1">#REF!,#REF!,#REF!,#REF!,#REF!,#REF!</definedName>
    <definedName name="E" localSheetId="14" hidden="1">#REF!,#REF!,#REF!,#REF!,#REF!,#REF!</definedName>
    <definedName name="E" localSheetId="15" hidden="1">#REF!,#REF!,#REF!,#REF!,#REF!,#REF!</definedName>
    <definedName name="E" localSheetId="16" hidden="1">#REF!,#REF!,#REF!,#REF!,#REF!,#REF!</definedName>
    <definedName name="E" localSheetId="17" hidden="1">#REF!,#REF!,#REF!,#REF!,#REF!,#REF!</definedName>
    <definedName name="E" localSheetId="18" hidden="1">#REF!,#REF!,#REF!,#REF!,#REF!,#REF!</definedName>
    <definedName name="E" localSheetId="19" hidden="1">#REF!,#REF!,#REF!,#REF!,#REF!,#REF!</definedName>
    <definedName name="E" localSheetId="32" hidden="1">#REF!,#REF!,#REF!,#REF!,#REF!,#REF!</definedName>
    <definedName name="E" localSheetId="33" hidden="1">#REF!,#REF!,#REF!,#REF!,#REF!,#REF!</definedName>
    <definedName name="E" localSheetId="20" hidden="1">#REF!,#REF!,#REF!,#REF!,#REF!,#REF!</definedName>
    <definedName name="E" localSheetId="40" hidden="1">#REF!,#REF!,#REF!,#REF!,#REF!,#REF!</definedName>
    <definedName name="E" localSheetId="36" hidden="1">#REF!,#REF!,#REF!,#REF!,#REF!,#REF!</definedName>
    <definedName name="E" localSheetId="1" hidden="1">#REF!,#REF!,#REF!,#REF!,#REF!,#REF!</definedName>
    <definedName name="E" hidden="1">#REF!,#REF!,#REF!,#REF!,#REF!,#REF!</definedName>
    <definedName name="ee">#REF!</definedName>
    <definedName name="EF">#REF!</definedName>
    <definedName name="Ene">#REF!</definedName>
    <definedName name="EPS">#REF!</definedName>
    <definedName name="EQU">#REF!</definedName>
    <definedName name="fds" localSheetId="41" hidden="1">#REF!</definedName>
    <definedName name="fds" localSheetId="22" hidden="1">#REF!</definedName>
    <definedName name="fds" localSheetId="23" hidden="1">#REF!</definedName>
    <definedName name="fds" localSheetId="24" hidden="1">#REF!</definedName>
    <definedName name="fds" localSheetId="25" hidden="1">#REF!</definedName>
    <definedName name="fds" localSheetId="26" hidden="1">#REF!</definedName>
    <definedName name="fds" localSheetId="27" hidden="1">#REF!</definedName>
    <definedName name="fds" localSheetId="28" hidden="1">#REF!</definedName>
    <definedName name="fds" localSheetId="29" hidden="1">#REF!</definedName>
    <definedName name="fds" localSheetId="30" hidden="1">#REF!</definedName>
    <definedName name="fds" localSheetId="31" hidden="1">#REF!</definedName>
    <definedName name="fds" localSheetId="21" hidden="1">#REF!</definedName>
    <definedName name="fds" localSheetId="42" hidden="1">#REF!</definedName>
    <definedName name="fds" localSheetId="32" hidden="1">#REF!</definedName>
    <definedName name="fds" localSheetId="33" hidden="1">#REF!</definedName>
    <definedName name="fds" localSheetId="40" hidden="1">#REF!</definedName>
    <definedName name="fds" hidden="1">#REF!</definedName>
    <definedName name="FE" localSheetId="41" hidden="1">#REF!,#REF!</definedName>
    <definedName name="FE" localSheetId="22" hidden="1">#REF!,#REF!</definedName>
    <definedName name="FE" localSheetId="23" hidden="1">#REF!,#REF!</definedName>
    <definedName name="FE" localSheetId="24" hidden="1">#REF!,#REF!</definedName>
    <definedName name="FE" localSheetId="25" hidden="1">#REF!,#REF!</definedName>
    <definedName name="FE" localSheetId="26" hidden="1">#REF!,#REF!</definedName>
    <definedName name="FE" localSheetId="27" hidden="1">#REF!,#REF!</definedName>
    <definedName name="FE" localSheetId="28" hidden="1">#REF!,#REF!</definedName>
    <definedName name="FE" localSheetId="29" hidden="1">#REF!,#REF!</definedName>
    <definedName name="FE" localSheetId="30" hidden="1">#REF!,#REF!</definedName>
    <definedName name="FE" localSheetId="31" hidden="1">#REF!,#REF!</definedName>
    <definedName name="FE" localSheetId="21" hidden="1">#REF!,#REF!</definedName>
    <definedName name="FE" localSheetId="42" hidden="1">#REF!,#REF!</definedName>
    <definedName name="FE" localSheetId="32" hidden="1">#REF!,#REF!</definedName>
    <definedName name="FE" localSheetId="33" hidden="1">#REF!,#REF!</definedName>
    <definedName name="FE" localSheetId="40" hidden="1">#REF!,#REF!</definedName>
    <definedName name="FE" hidden="1">#REF!,#REF!</definedName>
    <definedName name="Feb">#REF!</definedName>
    <definedName name="ff" localSheetId="22">[0]!ERR</definedName>
    <definedName name="ff" localSheetId="23">[0]!ERR</definedName>
    <definedName name="ff" localSheetId="24">[0]!ERR</definedName>
    <definedName name="ff" localSheetId="25">[0]!ERR</definedName>
    <definedName name="ff" localSheetId="26">[0]!ERR</definedName>
    <definedName name="ff" localSheetId="27">[0]!ERR</definedName>
    <definedName name="ff" localSheetId="28">[0]!ERR</definedName>
    <definedName name="ff" localSheetId="29">[0]!ERR</definedName>
    <definedName name="ff" localSheetId="30">[0]!ERR</definedName>
    <definedName name="ff" localSheetId="31">[0]!ERR</definedName>
    <definedName name="ff" localSheetId="42">[0]!ERR</definedName>
    <definedName name="ff" localSheetId="13">[0]!ERR</definedName>
    <definedName name="ff" localSheetId="14">[0]!ERR</definedName>
    <definedName name="ff" localSheetId="15">[0]!ERR</definedName>
    <definedName name="ff" localSheetId="16">[0]!ERR</definedName>
    <definedName name="ff" localSheetId="17">[0]!ERR</definedName>
    <definedName name="ff" localSheetId="18">[0]!ERR</definedName>
    <definedName name="ff" localSheetId="19">[0]!ERR</definedName>
    <definedName name="ff" localSheetId="32">[0]!ERR</definedName>
    <definedName name="ff" localSheetId="33">[0]!ERR</definedName>
    <definedName name="ff" localSheetId="20">[0]!ERR</definedName>
    <definedName name="ff" localSheetId="44">[0]!ERR</definedName>
    <definedName name="ff" localSheetId="8">[0]!ERR</definedName>
    <definedName name="ff" localSheetId="10">[0]!ERR</definedName>
    <definedName name="ff">[0]!ERR</definedName>
    <definedName name="ffff" localSheetId="41"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ffff" hidden="1">{TRUE,TRUE,-2.75,-17.75,483,276.75,FALSE,TRUE,TRUE,TRUE,0,3,15,1,110,11,8,4,TRUE,TRUE,3,TRUE,1,TRUE,75,"Swvu.EneFeb.","ACwvu.EneFeb.",#N/A,FALSE,FALSE,1.24,0.787401575,0.74,0.984251969,1,"","",FALSE,FALSE,FALSE,FALSE,1,#N/A,1,1,#DIV/0!,FALSE,"Rwvu.EneFeb.","Cwvu.EneFeb.",FALSE,FALSE,FALSE,1,300,300,FALSE,FALSE,TRUE,TRUE,TRUE}</definedName>
    <definedName name="fg" localSheetId="22">[0]!ERR</definedName>
    <definedName name="fg" localSheetId="23">[0]!ERR</definedName>
    <definedName name="fg" localSheetId="24">[0]!ERR</definedName>
    <definedName name="fg" localSheetId="25">[0]!ERR</definedName>
    <definedName name="fg" localSheetId="26">[0]!ERR</definedName>
    <definedName name="fg" localSheetId="27">[0]!ERR</definedName>
    <definedName name="fg" localSheetId="28">[0]!ERR</definedName>
    <definedName name="fg" localSheetId="29">[0]!ERR</definedName>
    <definedName name="fg" localSheetId="30">[0]!ERR</definedName>
    <definedName name="fg" localSheetId="31">[0]!ERR</definedName>
    <definedName name="fg" localSheetId="42">[0]!ERR</definedName>
    <definedName name="fg" localSheetId="13">[0]!ERR</definedName>
    <definedName name="fg" localSheetId="14">[0]!ERR</definedName>
    <definedName name="fg" localSheetId="15">[0]!ERR</definedName>
    <definedName name="fg" localSheetId="16">[0]!ERR</definedName>
    <definedName name="fg" localSheetId="17">[0]!ERR</definedName>
    <definedName name="fg" localSheetId="18">[0]!ERR</definedName>
    <definedName name="fg" localSheetId="19">[0]!ERR</definedName>
    <definedName name="fg" localSheetId="32">[0]!ERR</definedName>
    <definedName name="fg" localSheetId="33">[0]!ERR</definedName>
    <definedName name="fg" localSheetId="20">[0]!ERR</definedName>
    <definedName name="fg" localSheetId="44">[0]!ERR</definedName>
    <definedName name="fg" localSheetId="8">[0]!ERR</definedName>
    <definedName name="fg" localSheetId="10">[0]!ERR</definedName>
    <definedName name="fg">[0]!ERR</definedName>
    <definedName name="FGH" hidden="1">{"SUMINISTRO E INSTALACIÓN CANALETAS L=7.50"}</definedName>
    <definedName name="fhg">#REF!</definedName>
    <definedName name="FINANCIACION" localSheetId="22">[0]!ERR</definedName>
    <definedName name="FINANCIACION" localSheetId="23">[0]!ERR</definedName>
    <definedName name="FINANCIACION" localSheetId="24">[0]!ERR</definedName>
    <definedName name="FINANCIACION" localSheetId="25">[0]!ERR</definedName>
    <definedName name="FINANCIACION" localSheetId="26">[0]!ERR</definedName>
    <definedName name="FINANCIACION" localSheetId="27">[0]!ERR</definedName>
    <definedName name="FINANCIACION" localSheetId="28">[0]!ERR</definedName>
    <definedName name="FINANCIACION" localSheetId="29">[0]!ERR</definedName>
    <definedName name="FINANCIACION" localSheetId="30">[0]!ERR</definedName>
    <definedName name="FINANCIACION" localSheetId="31">[0]!ERR</definedName>
    <definedName name="FINANCIACION" localSheetId="42">[0]!ERR</definedName>
    <definedName name="FINANCIACION" localSheetId="13">[0]!ERR</definedName>
    <definedName name="FINANCIACION" localSheetId="14">[0]!ERR</definedName>
    <definedName name="FINANCIACION" localSheetId="15">[0]!ERR</definedName>
    <definedName name="FINANCIACION" localSheetId="16">[0]!ERR</definedName>
    <definedName name="FINANCIACION" localSheetId="17">[0]!ERR</definedName>
    <definedName name="FINANCIACION" localSheetId="18">[0]!ERR</definedName>
    <definedName name="FINANCIACION" localSheetId="19">[0]!ERR</definedName>
    <definedName name="FINANCIACION" localSheetId="32">[0]!ERR</definedName>
    <definedName name="FINANCIACION" localSheetId="33">[0]!ERR</definedName>
    <definedName name="FINANCIACION" localSheetId="20">[0]!ERR</definedName>
    <definedName name="FINANCIACION" localSheetId="44">[0]!ERR</definedName>
    <definedName name="FINANCIACION" localSheetId="8">[0]!ERR</definedName>
    <definedName name="FINANCIACION" localSheetId="10">[0]!ERR</definedName>
    <definedName name="FINANCIACION">[0]!ERR</definedName>
    <definedName name="FM">#REF!</definedName>
    <definedName name="FONPETOTAL"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rmat">#REF!</definedName>
    <definedName name="fry" localSheetId="41" hidden="1">#REF!,#REF!</definedName>
    <definedName name="fry" localSheetId="37" hidden="1">#REF!,#REF!</definedName>
    <definedName name="fry" localSheetId="22" hidden="1">#REF!,#REF!</definedName>
    <definedName name="fry" localSheetId="23" hidden="1">#REF!,#REF!</definedName>
    <definedName name="fry" localSheetId="24" hidden="1">#REF!,#REF!</definedName>
    <definedName name="fry" localSheetId="25" hidden="1">#REF!,#REF!</definedName>
    <definedName name="fry" localSheetId="26" hidden="1">#REF!,#REF!</definedName>
    <definedName name="fry" localSheetId="27" hidden="1">#REF!,#REF!</definedName>
    <definedName name="fry" localSheetId="28" hidden="1">#REF!,#REF!</definedName>
    <definedName name="fry" localSheetId="29" hidden="1">#REF!,#REF!</definedName>
    <definedName name="fry" localSheetId="30" hidden="1">#REF!,#REF!</definedName>
    <definedName name="fry" localSheetId="31" hidden="1">#REF!,#REF!</definedName>
    <definedName name="fry" localSheetId="21" hidden="1">#REF!,#REF!</definedName>
    <definedName name="fry" localSheetId="42" hidden="1">#REF!,#REF!</definedName>
    <definedName name="fry" localSheetId="12" hidden="1">#REF!,#REF!</definedName>
    <definedName name="fry" localSheetId="13" hidden="1">#REF!,#REF!</definedName>
    <definedName name="fry" localSheetId="14" hidden="1">#REF!,#REF!</definedName>
    <definedName name="fry" localSheetId="15" hidden="1">#REF!,#REF!</definedName>
    <definedName name="fry" localSheetId="16" hidden="1">#REF!,#REF!</definedName>
    <definedName name="fry" localSheetId="17" hidden="1">#REF!,#REF!</definedName>
    <definedName name="fry" localSheetId="18" hidden="1">#REF!,#REF!</definedName>
    <definedName name="fry" localSheetId="19" hidden="1">#REF!,#REF!</definedName>
    <definedName name="fry" localSheetId="32" hidden="1">#REF!,#REF!</definedName>
    <definedName name="fry" localSheetId="33" hidden="1">#REF!,#REF!</definedName>
    <definedName name="fry" localSheetId="20" hidden="1">#REF!,#REF!</definedName>
    <definedName name="fry" localSheetId="40" hidden="1">#REF!,#REF!</definedName>
    <definedName name="fry" localSheetId="36" hidden="1">#REF!,#REF!</definedName>
    <definedName name="fry" localSheetId="1" hidden="1">#REF!,#REF!</definedName>
    <definedName name="fry" hidden="1">#REF!,#REF!</definedName>
    <definedName name="ftu" localSheetId="41" hidden="1">#REF!,#REF!</definedName>
    <definedName name="ftu" localSheetId="37" hidden="1">#REF!,#REF!</definedName>
    <definedName name="ftu" localSheetId="22" hidden="1">#REF!,#REF!</definedName>
    <definedName name="ftu" localSheetId="23" hidden="1">#REF!,#REF!</definedName>
    <definedName name="ftu" localSheetId="24" hidden="1">#REF!,#REF!</definedName>
    <definedName name="ftu" localSheetId="25" hidden="1">#REF!,#REF!</definedName>
    <definedName name="ftu" localSheetId="26" hidden="1">#REF!,#REF!</definedName>
    <definedName name="ftu" localSheetId="27" hidden="1">#REF!,#REF!</definedName>
    <definedName name="ftu" localSheetId="28" hidden="1">#REF!,#REF!</definedName>
    <definedName name="ftu" localSheetId="29" hidden="1">#REF!,#REF!</definedName>
    <definedName name="ftu" localSheetId="30" hidden="1">#REF!,#REF!</definedName>
    <definedName name="ftu" localSheetId="31" hidden="1">#REF!,#REF!</definedName>
    <definedName name="ftu" localSheetId="21" hidden="1">#REF!,#REF!</definedName>
    <definedName name="ftu" localSheetId="42" hidden="1">#REF!,#REF!</definedName>
    <definedName name="ftu" localSheetId="12" hidden="1">#REF!,#REF!</definedName>
    <definedName name="ftu" localSheetId="13" hidden="1">#REF!,#REF!</definedName>
    <definedName name="ftu" localSheetId="14" hidden="1">#REF!,#REF!</definedName>
    <definedName name="ftu" localSheetId="15" hidden="1">#REF!,#REF!</definedName>
    <definedName name="ftu" localSheetId="16" hidden="1">#REF!,#REF!</definedName>
    <definedName name="ftu" localSheetId="17" hidden="1">#REF!,#REF!</definedName>
    <definedName name="ftu" localSheetId="18" hidden="1">#REF!,#REF!</definedName>
    <definedName name="ftu" localSheetId="19" hidden="1">#REF!,#REF!</definedName>
    <definedName name="ftu" localSheetId="32" hidden="1">#REF!,#REF!</definedName>
    <definedName name="ftu" localSheetId="33" hidden="1">#REF!,#REF!</definedName>
    <definedName name="ftu" localSheetId="20" hidden="1">#REF!,#REF!</definedName>
    <definedName name="ftu" localSheetId="40" hidden="1">#REF!,#REF!</definedName>
    <definedName name="ftu" localSheetId="36" hidden="1">#REF!,#REF!</definedName>
    <definedName name="ftu" localSheetId="1" hidden="1">#REF!,#REF!</definedName>
    <definedName name="ftu" hidden="1">#REF!,#REF!</definedName>
    <definedName name="fu" localSheetId="22">[0]!ERR</definedName>
    <definedName name="fu" localSheetId="23">[0]!ERR</definedName>
    <definedName name="fu" localSheetId="24">[0]!ERR</definedName>
    <definedName name="fu" localSheetId="25">[0]!ERR</definedName>
    <definedName name="fu" localSheetId="26">[0]!ERR</definedName>
    <definedName name="fu" localSheetId="27">[0]!ERR</definedName>
    <definedName name="fu" localSheetId="28">[0]!ERR</definedName>
    <definedName name="fu" localSheetId="29">[0]!ERR</definedName>
    <definedName name="fu" localSheetId="30">[0]!ERR</definedName>
    <definedName name="fu" localSheetId="31">[0]!ERR</definedName>
    <definedName name="fu" localSheetId="42">[0]!ERR</definedName>
    <definedName name="fu" localSheetId="13">[0]!ERR</definedName>
    <definedName name="fu" localSheetId="14">[0]!ERR</definedName>
    <definedName name="fu" localSheetId="15">[0]!ERR</definedName>
    <definedName name="fu" localSheetId="16">[0]!ERR</definedName>
    <definedName name="fu" localSheetId="17">[0]!ERR</definedName>
    <definedName name="fu" localSheetId="18">[0]!ERR</definedName>
    <definedName name="fu" localSheetId="19">[0]!ERR</definedName>
    <definedName name="fu" localSheetId="32">[0]!ERR</definedName>
    <definedName name="fu" localSheetId="33">[0]!ERR</definedName>
    <definedName name="fu" localSheetId="20">[0]!ERR</definedName>
    <definedName name="fu" localSheetId="44">[0]!ERR</definedName>
    <definedName name="fu" localSheetId="8">[0]!ERR</definedName>
    <definedName name="fu" localSheetId="10">[0]!ERR</definedName>
    <definedName name="fu">[0]!ERR</definedName>
    <definedName name="G">PARÁMETROS!$C$33</definedName>
    <definedName name="gdr" localSheetId="41" hidden="1">#REF!,#REF!,#REF!</definedName>
    <definedName name="gdr" localSheetId="37" hidden="1">#REF!,#REF!,#REF!</definedName>
    <definedName name="gdr" localSheetId="22" hidden="1">#REF!,#REF!,#REF!</definedName>
    <definedName name="gdr" localSheetId="23" hidden="1">#REF!,#REF!,#REF!</definedName>
    <definedName name="gdr" localSheetId="24" hidden="1">#REF!,#REF!,#REF!</definedName>
    <definedName name="gdr" localSheetId="25" hidden="1">#REF!,#REF!,#REF!</definedName>
    <definedName name="gdr" localSheetId="26" hidden="1">#REF!,#REF!,#REF!</definedName>
    <definedName name="gdr" localSheetId="27" hidden="1">#REF!,#REF!,#REF!</definedName>
    <definedName name="gdr" localSheetId="28" hidden="1">#REF!,#REF!,#REF!</definedName>
    <definedName name="gdr" localSheetId="29" hidden="1">#REF!,#REF!,#REF!</definedName>
    <definedName name="gdr" localSheetId="30" hidden="1">#REF!,#REF!,#REF!</definedName>
    <definedName name="gdr" localSheetId="31" hidden="1">#REF!,#REF!,#REF!</definedName>
    <definedName name="gdr" localSheetId="21" hidden="1">#REF!,#REF!,#REF!</definedName>
    <definedName name="gdr" localSheetId="42" hidden="1">#REF!,#REF!,#REF!</definedName>
    <definedName name="gdr" localSheetId="12" hidden="1">#REF!,#REF!,#REF!</definedName>
    <definedName name="gdr" localSheetId="13" hidden="1">#REF!,#REF!,#REF!</definedName>
    <definedName name="gdr" localSheetId="14" hidden="1">#REF!,#REF!,#REF!</definedName>
    <definedName name="gdr" localSheetId="15" hidden="1">#REF!,#REF!,#REF!</definedName>
    <definedName name="gdr" localSheetId="16" hidden="1">#REF!,#REF!,#REF!</definedName>
    <definedName name="gdr" localSheetId="17" hidden="1">#REF!,#REF!,#REF!</definedName>
    <definedName name="gdr" localSheetId="18" hidden="1">#REF!,#REF!,#REF!</definedName>
    <definedName name="gdr" localSheetId="19" hidden="1">#REF!,#REF!,#REF!</definedName>
    <definedName name="gdr" localSheetId="32" hidden="1">#REF!,#REF!,#REF!</definedName>
    <definedName name="gdr" localSheetId="33" hidden="1">#REF!,#REF!,#REF!</definedName>
    <definedName name="gdr" localSheetId="20" hidden="1">#REF!,#REF!,#REF!</definedName>
    <definedName name="gdr" localSheetId="40" hidden="1">#REF!,#REF!,#REF!</definedName>
    <definedName name="gdr" localSheetId="36" hidden="1">#REF!,#REF!,#REF!</definedName>
    <definedName name="gdr" localSheetId="1" hidden="1">#REF!,#REF!,#REF!</definedName>
    <definedName name="gdr" hidden="1">#REF!,#REF!,#REF!</definedName>
    <definedName name="ges">#REF!</definedName>
    <definedName name="gff"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n" localSheetId="41" hidden="1">#REF!,#REF!</definedName>
    <definedName name="gfn" localSheetId="37" hidden="1">#REF!,#REF!</definedName>
    <definedName name="gfn" localSheetId="22" hidden="1">#REF!,#REF!</definedName>
    <definedName name="gfn" localSheetId="23" hidden="1">#REF!,#REF!</definedName>
    <definedName name="gfn" localSheetId="24" hidden="1">#REF!,#REF!</definedName>
    <definedName name="gfn" localSheetId="25" hidden="1">#REF!,#REF!</definedName>
    <definedName name="gfn" localSheetId="26" hidden="1">#REF!,#REF!</definedName>
    <definedName name="gfn" localSheetId="27" hidden="1">#REF!,#REF!</definedName>
    <definedName name="gfn" localSheetId="28" hidden="1">#REF!,#REF!</definedName>
    <definedName name="gfn" localSheetId="29" hidden="1">#REF!,#REF!</definedName>
    <definedName name="gfn" localSheetId="30" hidden="1">#REF!,#REF!</definedName>
    <definedName name="gfn" localSheetId="31" hidden="1">#REF!,#REF!</definedName>
    <definedName name="gfn" localSheetId="21" hidden="1">#REF!,#REF!</definedName>
    <definedName name="gfn" localSheetId="42" hidden="1">#REF!,#REF!</definedName>
    <definedName name="gfn" localSheetId="12" hidden="1">#REF!,#REF!</definedName>
    <definedName name="gfn" localSheetId="13" hidden="1">#REF!,#REF!</definedName>
    <definedName name="gfn" localSheetId="14" hidden="1">#REF!,#REF!</definedName>
    <definedName name="gfn" localSheetId="15" hidden="1">#REF!,#REF!</definedName>
    <definedName name="gfn" localSheetId="16" hidden="1">#REF!,#REF!</definedName>
    <definedName name="gfn" localSheetId="17" hidden="1">#REF!,#REF!</definedName>
    <definedName name="gfn" localSheetId="18" hidden="1">#REF!,#REF!</definedName>
    <definedName name="gfn" localSheetId="19" hidden="1">#REF!,#REF!</definedName>
    <definedName name="gfn" localSheetId="32" hidden="1">#REF!,#REF!</definedName>
    <definedName name="gfn" localSheetId="33" hidden="1">#REF!,#REF!</definedName>
    <definedName name="gfn" localSheetId="20" hidden="1">#REF!,#REF!</definedName>
    <definedName name="gfn" localSheetId="40" hidden="1">#REF!,#REF!</definedName>
    <definedName name="gfn" localSheetId="36" hidden="1">#REF!,#REF!</definedName>
    <definedName name="gfn" localSheetId="1" hidden="1">#REF!,#REF!</definedName>
    <definedName name="gfn" hidden="1">#REF!,#REF!</definedName>
    <definedName name="GGG">#REF!</definedName>
    <definedName name="gh" localSheetId="41" hidden="1">#REF!</definedName>
    <definedName name="gh" localSheetId="37" hidden="1">#REF!</definedName>
    <definedName name="gh" localSheetId="22" hidden="1">#REF!</definedName>
    <definedName name="gh" localSheetId="23" hidden="1">#REF!</definedName>
    <definedName name="gh" localSheetId="24" hidden="1">#REF!</definedName>
    <definedName name="gh" localSheetId="25" hidden="1">#REF!</definedName>
    <definedName name="gh" localSheetId="26" hidden="1">#REF!</definedName>
    <definedName name="gh" localSheetId="27" hidden="1">#REF!</definedName>
    <definedName name="gh" localSheetId="28" hidden="1">#REF!</definedName>
    <definedName name="gh" localSheetId="29" hidden="1">#REF!</definedName>
    <definedName name="gh" localSheetId="30" hidden="1">#REF!</definedName>
    <definedName name="gh" localSheetId="31" hidden="1">#REF!</definedName>
    <definedName name="gh" localSheetId="21" hidden="1">#REF!</definedName>
    <definedName name="gh" localSheetId="42" hidden="1">#REF!</definedName>
    <definedName name="gh" localSheetId="12" hidden="1">#REF!</definedName>
    <definedName name="gh" localSheetId="13" hidden="1">#REF!</definedName>
    <definedName name="gh" localSheetId="14" hidden="1">#REF!</definedName>
    <definedName name="gh" localSheetId="15" hidden="1">#REF!</definedName>
    <definedName name="gh" localSheetId="16" hidden="1">#REF!</definedName>
    <definedName name="gh" localSheetId="17" hidden="1">#REF!</definedName>
    <definedName name="gh" localSheetId="18" hidden="1">#REF!</definedName>
    <definedName name="gh" localSheetId="19" hidden="1">#REF!</definedName>
    <definedName name="gh" localSheetId="32" hidden="1">#REF!</definedName>
    <definedName name="gh" localSheetId="33" hidden="1">#REF!</definedName>
    <definedName name="gh" localSheetId="20" hidden="1">#REF!</definedName>
    <definedName name="gh" localSheetId="40" hidden="1">#REF!</definedName>
    <definedName name="gh" localSheetId="36" hidden="1">#REF!</definedName>
    <definedName name="gh" localSheetId="1" hidden="1">#REF!</definedName>
    <definedName name="gh" hidden="1">#REF!</definedName>
    <definedName name="GKJDGDIJZ">"Imagen 3"</definedName>
    <definedName name="GRAMA">#REF!</definedName>
    <definedName name="gravilla">190000</definedName>
    <definedName name="grp_FlechasGuía">"shp_FlechaCurva,txt_FlechasDeLaGuía,shp_FlechaRecta"</definedName>
    <definedName name="grp_Llave">"Otra línea de apertura,Línea de apertura"</definedName>
    <definedName name="grp_LlaveGuía">"shp_LlaveInferior,txt_LlaveDeLaGuía,shp_LlaveDeApertura"</definedName>
    <definedName name="grp_MásInformación">"Línea inferior,Grupo 113"</definedName>
    <definedName name="gvbn" localSheetId="4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7"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4"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5"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6"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7"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8"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9"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0"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4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4"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5"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6"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7"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8"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9"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0"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40"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6"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hidden="1">{TRUE,TRUE,-2.75,-17.75,483,276.75,FALSE,TRUE,TRUE,TRUE,0,2,#N/A,1,#N/A,6.24489795918367,20,1,FALSE,FALSE,3,TRUE,1,FALSE,75,"Swvu.OPEF._.97.","ACwvu.OPEF._.97.",#N/A,FALSE,FALSE,1.88,0.787401575,0.39,1.56,1,"","",FALSE,FALSE,FALSE,FALSE,1,#N/A,1,1,"=R4C2:R117C9",FALSE,"Rwvu.OPEF._.97.",#N/A,FALSE,FALSE,FALSE,5,300,300,FALSE,FALSE,TRUE,TRUE,TRUE}</definedName>
    <definedName name="h">#REF!</definedName>
    <definedName name="ha">'RESUMEN FINANCIERO'!$S$4</definedName>
    <definedName name="hff" localSheetId="22" hidden="1">#REF!</definedName>
    <definedName name="hff" localSheetId="23" hidden="1">#REF!</definedName>
    <definedName name="hff" localSheetId="24" hidden="1">#REF!</definedName>
    <definedName name="hff" localSheetId="25" hidden="1">#REF!</definedName>
    <definedName name="hff" localSheetId="26" hidden="1">#REF!</definedName>
    <definedName name="hff" localSheetId="27" hidden="1">#REF!</definedName>
    <definedName name="hff" localSheetId="28" hidden="1">#REF!</definedName>
    <definedName name="hff" localSheetId="29" hidden="1">#REF!</definedName>
    <definedName name="hff" localSheetId="30" hidden="1">#REF!</definedName>
    <definedName name="hff" localSheetId="31" hidden="1">#REF!</definedName>
    <definedName name="hff" localSheetId="21" hidden="1">#REF!</definedName>
    <definedName name="hff" localSheetId="42" hidden="1">#REF!</definedName>
    <definedName name="hff" localSheetId="32" hidden="1">#REF!</definedName>
    <definedName name="hff" localSheetId="33" hidden="1">#REF!</definedName>
    <definedName name="hff" hidden="1">#REF!</definedName>
    <definedName name="hh" localSheetId="41" hidden="1">#REF!</definedName>
    <definedName name="hh" localSheetId="22" hidden="1">#REF!</definedName>
    <definedName name="hh" localSheetId="23" hidden="1">#REF!</definedName>
    <definedName name="hh" localSheetId="24" hidden="1">#REF!</definedName>
    <definedName name="hh" localSheetId="25" hidden="1">#REF!</definedName>
    <definedName name="hh" localSheetId="26" hidden="1">#REF!</definedName>
    <definedName name="hh" localSheetId="27" hidden="1">#REF!</definedName>
    <definedName name="hh" localSheetId="28" hidden="1">#REF!</definedName>
    <definedName name="hh" localSheetId="29" hidden="1">#REF!</definedName>
    <definedName name="hh" localSheetId="30" hidden="1">#REF!</definedName>
    <definedName name="hh" localSheetId="31" hidden="1">#REF!</definedName>
    <definedName name="hh" localSheetId="21" hidden="1">#REF!</definedName>
    <definedName name="hh" localSheetId="42" hidden="1">#REF!</definedName>
    <definedName name="hh" localSheetId="32" hidden="1">#REF!</definedName>
    <definedName name="hh" localSheetId="33" hidden="1">#REF!</definedName>
    <definedName name="hh" localSheetId="9">[0]!ERR</definedName>
    <definedName name="hh" localSheetId="40" hidden="1">#REF!</definedName>
    <definedName name="hh" localSheetId="8">[0]!ERR</definedName>
    <definedName name="hh" hidden="1">#REF!</definedName>
    <definedName name="Hid">#REF!</definedName>
    <definedName name="hj" localSheetId="41" hidden="1">#REF!</definedName>
    <definedName name="hj" localSheetId="22" hidden="1">#REF!</definedName>
    <definedName name="hj" localSheetId="23" hidden="1">#REF!</definedName>
    <definedName name="hj" localSheetId="24" hidden="1">#REF!</definedName>
    <definedName name="hj" localSheetId="25" hidden="1">#REF!</definedName>
    <definedName name="hj" localSheetId="26" hidden="1">#REF!</definedName>
    <definedName name="hj" localSheetId="27" hidden="1">#REF!</definedName>
    <definedName name="hj" localSheetId="28" hidden="1">#REF!</definedName>
    <definedName name="hj" localSheetId="29" hidden="1">#REF!</definedName>
    <definedName name="hj" localSheetId="30" hidden="1">#REF!</definedName>
    <definedName name="hj" localSheetId="31" hidden="1">#REF!</definedName>
    <definedName name="hj" localSheetId="21" hidden="1">#REF!</definedName>
    <definedName name="hj" localSheetId="42" hidden="1">#REF!</definedName>
    <definedName name="hj" localSheetId="32" hidden="1">#REF!</definedName>
    <definedName name="hj" localSheetId="33" hidden="1">#REF!</definedName>
    <definedName name="hj" localSheetId="40" hidden="1">#REF!</definedName>
    <definedName name="hj" hidden="1">#REF!</definedName>
    <definedName name="hl." localSheetId="41" hidden="1">#REF!</definedName>
    <definedName name="hl." localSheetId="22" hidden="1">#REF!</definedName>
    <definedName name="hl." localSheetId="23" hidden="1">#REF!</definedName>
    <definedName name="hl." localSheetId="24" hidden="1">#REF!</definedName>
    <definedName name="hl." localSheetId="25" hidden="1">#REF!</definedName>
    <definedName name="hl." localSheetId="26" hidden="1">#REF!</definedName>
    <definedName name="hl." localSheetId="27" hidden="1">#REF!</definedName>
    <definedName name="hl." localSheetId="28" hidden="1">#REF!</definedName>
    <definedName name="hl." localSheetId="29" hidden="1">#REF!</definedName>
    <definedName name="hl." localSheetId="30" hidden="1">#REF!</definedName>
    <definedName name="hl." localSheetId="31" hidden="1">#REF!</definedName>
    <definedName name="hl." localSheetId="21" hidden="1">#REF!</definedName>
    <definedName name="hl." localSheetId="42" hidden="1">#REF!</definedName>
    <definedName name="hl." localSheetId="32" hidden="1">#REF!</definedName>
    <definedName name="hl." localSheetId="33" hidden="1">#REF!</definedName>
    <definedName name="hl." localSheetId="40" hidden="1">#REF!</definedName>
    <definedName name="hl." hidden="1">#REF!</definedName>
    <definedName name="I"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nicial">#REF!</definedName>
    <definedName name="Items">#REF!</definedName>
    <definedName name="IVA">#REF!</definedName>
    <definedName name="J" localSheetId="41" hidden="1">#REF!</definedName>
    <definedName name="J" localSheetId="22" hidden="1">#REF!</definedName>
    <definedName name="J" localSheetId="23" hidden="1">#REF!</definedName>
    <definedName name="J" localSheetId="24" hidden="1">#REF!</definedName>
    <definedName name="J" localSheetId="25" hidden="1">#REF!</definedName>
    <definedName name="J" localSheetId="26" hidden="1">#REF!</definedName>
    <definedName name="J" localSheetId="27" hidden="1">#REF!</definedName>
    <definedName name="J" localSheetId="28" hidden="1">#REF!</definedName>
    <definedName name="J" localSheetId="29" hidden="1">#REF!</definedName>
    <definedName name="J" localSheetId="30" hidden="1">#REF!</definedName>
    <definedName name="J" localSheetId="31" hidden="1">#REF!</definedName>
    <definedName name="J" localSheetId="21" hidden="1">#REF!</definedName>
    <definedName name="J" localSheetId="42" hidden="1">#REF!</definedName>
    <definedName name="J" localSheetId="32" hidden="1">#REF!</definedName>
    <definedName name="J" localSheetId="33" hidden="1">#REF!</definedName>
    <definedName name="J" localSheetId="40" hidden="1">#REF!</definedName>
    <definedName name="J" hidden="1">#REF!</definedName>
    <definedName name="jj" localSheetId="22">[0]!ERR</definedName>
    <definedName name="jj" localSheetId="23">[0]!ERR</definedName>
    <definedName name="jj" localSheetId="24">[0]!ERR</definedName>
    <definedName name="jj" localSheetId="25">[0]!ERR</definedName>
    <definedName name="jj" localSheetId="26">[0]!ERR</definedName>
    <definedName name="jj" localSheetId="27">[0]!ERR</definedName>
    <definedName name="jj" localSheetId="28">[0]!ERR</definedName>
    <definedName name="jj" localSheetId="29">[0]!ERR</definedName>
    <definedName name="jj" localSheetId="30">[0]!ERR</definedName>
    <definedName name="jj" localSheetId="31">[0]!ERR</definedName>
    <definedName name="jj" localSheetId="42">[0]!ERR</definedName>
    <definedName name="jj" localSheetId="13">[0]!ERR</definedName>
    <definedName name="jj" localSheetId="14">[0]!ERR</definedName>
    <definedName name="jj" localSheetId="15">[0]!ERR</definedName>
    <definedName name="jj" localSheetId="16">[0]!ERR</definedName>
    <definedName name="jj" localSheetId="17">[0]!ERR</definedName>
    <definedName name="jj" localSheetId="18">[0]!ERR</definedName>
    <definedName name="jj" localSheetId="19">[0]!ERR</definedName>
    <definedName name="jj" localSheetId="32">[0]!ERR</definedName>
    <definedName name="jj" localSheetId="33">[0]!ERR</definedName>
    <definedName name="jj" localSheetId="20">[0]!ERR</definedName>
    <definedName name="jj" localSheetId="44">[0]!ERR</definedName>
    <definedName name="jj" localSheetId="8">[0]!ERR</definedName>
    <definedName name="jj" localSheetId="10">[0]!ERR</definedName>
    <definedName name="jj">[0]!ERR</definedName>
    <definedName name="JJJJJ" hidden="1">{"SUMINISTRO E INSTALACIÓN CANALETAS L=7.50"}</definedName>
    <definedName name="jnhg" localSheetId="4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4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4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OHNNY" localSheetId="22">[0]!ERR</definedName>
    <definedName name="JOHNNY" localSheetId="23">[0]!ERR</definedName>
    <definedName name="JOHNNY" localSheetId="24">[0]!ERR</definedName>
    <definedName name="JOHNNY" localSheetId="25">[0]!ERR</definedName>
    <definedName name="JOHNNY" localSheetId="26">[0]!ERR</definedName>
    <definedName name="JOHNNY" localSheetId="27">[0]!ERR</definedName>
    <definedName name="JOHNNY" localSheetId="28">[0]!ERR</definedName>
    <definedName name="JOHNNY" localSheetId="29">[0]!ERR</definedName>
    <definedName name="JOHNNY" localSheetId="30">[0]!ERR</definedName>
    <definedName name="JOHNNY" localSheetId="31">[0]!ERR</definedName>
    <definedName name="JOHNNY" localSheetId="42">[0]!ERR</definedName>
    <definedName name="JOHNNY" localSheetId="13">[0]!ERR</definedName>
    <definedName name="JOHNNY" localSheetId="14">[0]!ERR</definedName>
    <definedName name="JOHNNY" localSheetId="15">[0]!ERR</definedName>
    <definedName name="JOHNNY" localSheetId="16">[0]!ERR</definedName>
    <definedName name="JOHNNY" localSheetId="17">[0]!ERR</definedName>
    <definedName name="JOHNNY" localSheetId="18">[0]!ERR</definedName>
    <definedName name="JOHNNY" localSheetId="19">[0]!ERR</definedName>
    <definedName name="JOHNNY" localSheetId="32">[0]!ERR</definedName>
    <definedName name="JOHNNY" localSheetId="33">[0]!ERR</definedName>
    <definedName name="JOHNNY" localSheetId="20">[0]!ERR</definedName>
    <definedName name="JOHNNY" localSheetId="44">[0]!ERR</definedName>
    <definedName name="JOHNNY" localSheetId="8">[0]!ERR</definedName>
    <definedName name="JOHNNY" localSheetId="10">[0]!ERR</definedName>
    <definedName name="JOHNNY">[0]!ERR</definedName>
    <definedName name="K" localSheetId="22" hidden="1">#REF!</definedName>
    <definedName name="K" localSheetId="23" hidden="1">#REF!</definedName>
    <definedName name="K" localSheetId="24" hidden="1">#REF!</definedName>
    <definedName name="K" localSheetId="25" hidden="1">#REF!</definedName>
    <definedName name="K" localSheetId="26" hidden="1">#REF!</definedName>
    <definedName name="K" localSheetId="27" hidden="1">#REF!</definedName>
    <definedName name="K" localSheetId="28" hidden="1">#REF!</definedName>
    <definedName name="K" localSheetId="29" hidden="1">#REF!</definedName>
    <definedName name="K" localSheetId="30" hidden="1">#REF!</definedName>
    <definedName name="K" localSheetId="31" hidden="1">#REF!</definedName>
    <definedName name="K" localSheetId="21" hidden="1">#REF!</definedName>
    <definedName name="K" localSheetId="42" hidden="1">#REF!</definedName>
    <definedName name="K" localSheetId="32" hidden="1">#REF!</definedName>
    <definedName name="K" localSheetId="33" hidden="1">#REF!</definedName>
    <definedName name="K" hidden="1">#REF!</definedName>
    <definedName name="kj" localSheetId="41" hidden="1">#REF!</definedName>
    <definedName name="kj" localSheetId="22" hidden="1">#REF!</definedName>
    <definedName name="kj" localSheetId="23" hidden="1">#REF!</definedName>
    <definedName name="kj" localSheetId="24" hidden="1">#REF!</definedName>
    <definedName name="kj" localSheetId="25" hidden="1">#REF!</definedName>
    <definedName name="kj" localSheetId="26" hidden="1">#REF!</definedName>
    <definedName name="kj" localSheetId="27" hidden="1">#REF!</definedName>
    <definedName name="kj" localSheetId="28" hidden="1">#REF!</definedName>
    <definedName name="kj" localSheetId="29" hidden="1">#REF!</definedName>
    <definedName name="kj" localSheetId="30" hidden="1">#REF!</definedName>
    <definedName name="kj" localSheetId="31" hidden="1">#REF!</definedName>
    <definedName name="kj" localSheetId="21" hidden="1">#REF!</definedName>
    <definedName name="kj" localSheetId="42" hidden="1">#REF!</definedName>
    <definedName name="kj" localSheetId="32" hidden="1">#REF!</definedName>
    <definedName name="kj" localSheetId="33" hidden="1">#REF!</definedName>
    <definedName name="kj" localSheetId="40" hidden="1">#REF!</definedName>
    <definedName name="kj" hidden="1">#REF!</definedName>
    <definedName name="KL">#REF!</definedName>
    <definedName name="kol">'RESUMEN FINANCIERO'!$S$6</definedName>
    <definedName name="L" localSheetId="41" hidden="1">#REF!</definedName>
    <definedName name="L" localSheetId="22" hidden="1">#REF!</definedName>
    <definedName name="L" localSheetId="23" hidden="1">#REF!</definedName>
    <definedName name="L" localSheetId="24" hidden="1">#REF!</definedName>
    <definedName name="L" localSheetId="25" hidden="1">#REF!</definedName>
    <definedName name="L" localSheetId="26" hidden="1">#REF!</definedName>
    <definedName name="L" localSheetId="27" hidden="1">#REF!</definedName>
    <definedName name="L" localSheetId="28" hidden="1">#REF!</definedName>
    <definedName name="L" localSheetId="29" hidden="1">#REF!</definedName>
    <definedName name="L" localSheetId="30" hidden="1">#REF!</definedName>
    <definedName name="L" localSheetId="31" hidden="1">#REF!</definedName>
    <definedName name="L" localSheetId="21" hidden="1">#REF!</definedName>
    <definedName name="L" localSheetId="42" hidden="1">#REF!</definedName>
    <definedName name="L" localSheetId="32" hidden="1">#REF!</definedName>
    <definedName name="L" localSheetId="33" hidden="1">#REF!</definedName>
    <definedName name="L" localSheetId="40" hidden="1">#REF!</definedName>
    <definedName name="L" hidden="1">#REF!</definedName>
    <definedName name="L_">#REF!</definedName>
    <definedName name="Línea">#REF!</definedName>
    <definedName name="lk">#REF!</definedName>
    <definedName name="LL" localSheetId="22">[0]!ERR</definedName>
    <definedName name="LL" localSheetId="23">[0]!ERR</definedName>
    <definedName name="LL" localSheetId="24">[0]!ERR</definedName>
    <definedName name="LL" localSheetId="25">[0]!ERR</definedName>
    <definedName name="LL" localSheetId="26">[0]!ERR</definedName>
    <definedName name="LL" localSheetId="27">[0]!ERR</definedName>
    <definedName name="LL" localSheetId="28">[0]!ERR</definedName>
    <definedName name="LL" localSheetId="29">[0]!ERR</definedName>
    <definedName name="LL" localSheetId="30">[0]!ERR</definedName>
    <definedName name="LL" localSheetId="31">[0]!ERR</definedName>
    <definedName name="LL" localSheetId="42">[0]!ERR</definedName>
    <definedName name="LL" localSheetId="13">[0]!ERR</definedName>
    <definedName name="LL" localSheetId="14">[0]!ERR</definedName>
    <definedName name="LL" localSheetId="15">[0]!ERR</definedName>
    <definedName name="LL" localSheetId="16">[0]!ERR</definedName>
    <definedName name="LL" localSheetId="17">[0]!ERR</definedName>
    <definedName name="LL" localSheetId="18">[0]!ERR</definedName>
    <definedName name="LL" localSheetId="19">[0]!ERR</definedName>
    <definedName name="LL" localSheetId="32">[0]!ERR</definedName>
    <definedName name="LL" localSheetId="33">[0]!ERR</definedName>
    <definedName name="LL" localSheetId="20">[0]!ERR</definedName>
    <definedName name="LL" localSheetId="44">[0]!ERR</definedName>
    <definedName name="LL" localSheetId="8">[0]!ERR</definedName>
    <definedName name="LL" localSheetId="10">[0]!ERR</definedName>
    <definedName name="LL">[0]!ERR</definedName>
    <definedName name="LOCAT1999" hidden="1">{"SUMINISTRO E INSTALACIÓN CANALETAS L=7.50"}</definedName>
    <definedName name="LOGO" localSheetId="22">[0]!ERR</definedName>
    <definedName name="LOGO" localSheetId="23">[0]!ERR</definedName>
    <definedName name="LOGO" localSheetId="24">[0]!ERR</definedName>
    <definedName name="LOGO" localSheetId="25">[0]!ERR</definedName>
    <definedName name="LOGO" localSheetId="26">[0]!ERR</definedName>
    <definedName name="LOGO" localSheetId="27">[0]!ERR</definedName>
    <definedName name="LOGO" localSheetId="28">[0]!ERR</definedName>
    <definedName name="LOGO" localSheetId="29">[0]!ERR</definedName>
    <definedName name="LOGO" localSheetId="30">[0]!ERR</definedName>
    <definedName name="LOGO" localSheetId="31">[0]!ERR</definedName>
    <definedName name="LOGO" localSheetId="42">[0]!ERR</definedName>
    <definedName name="LOGO" localSheetId="13">[0]!ERR</definedName>
    <definedName name="LOGO" localSheetId="14">[0]!ERR</definedName>
    <definedName name="LOGO" localSheetId="15">[0]!ERR</definedName>
    <definedName name="LOGO" localSheetId="16">[0]!ERR</definedName>
    <definedName name="LOGO" localSheetId="17">[0]!ERR</definedName>
    <definedName name="LOGO" localSheetId="18">[0]!ERR</definedName>
    <definedName name="LOGO" localSheetId="19">[0]!ERR</definedName>
    <definedName name="LOGO" localSheetId="32">[0]!ERR</definedName>
    <definedName name="LOGO" localSheetId="33">[0]!ERR</definedName>
    <definedName name="LOGO" localSheetId="20">[0]!ERR</definedName>
    <definedName name="LOGO" localSheetId="44">[0]!ERR</definedName>
    <definedName name="LOGO" localSheetId="8">[0]!ERR</definedName>
    <definedName name="LOGO" localSheetId="10">[0]!ERR</definedName>
    <definedName name="LOGO">[0]!ERR</definedName>
    <definedName name="m">#REF!</definedName>
    <definedName name="MACAP" localSheetId="41">#REF!</definedName>
    <definedName name="MACAP" localSheetId="37">#REF!</definedName>
    <definedName name="MACAP" localSheetId="22">#REF!</definedName>
    <definedName name="MACAP" localSheetId="23">#REF!</definedName>
    <definedName name="MACAP" localSheetId="24">#REF!</definedName>
    <definedName name="MACAP" localSheetId="25">#REF!</definedName>
    <definedName name="MACAP" localSheetId="26">#REF!</definedName>
    <definedName name="MACAP" localSheetId="27">#REF!</definedName>
    <definedName name="MACAP" localSheetId="28">#REF!</definedName>
    <definedName name="MACAP" localSheetId="29">#REF!</definedName>
    <definedName name="MACAP" localSheetId="30">#REF!</definedName>
    <definedName name="MACAP" localSheetId="31">#REF!</definedName>
    <definedName name="MACAP" localSheetId="21">#REF!</definedName>
    <definedName name="MACAP" localSheetId="42">#REF!</definedName>
    <definedName name="MACAP" localSheetId="12">#REF!</definedName>
    <definedName name="MACAP" localSheetId="13">#REF!</definedName>
    <definedName name="MACAP" localSheetId="14">#REF!</definedName>
    <definedName name="MACAP" localSheetId="15">#REF!</definedName>
    <definedName name="MACAP" localSheetId="16">#REF!</definedName>
    <definedName name="MACAP" localSheetId="17">#REF!</definedName>
    <definedName name="MACAP" localSheetId="18">#REF!</definedName>
    <definedName name="MACAP" localSheetId="19">#REF!</definedName>
    <definedName name="MACAP" localSheetId="32">#REF!</definedName>
    <definedName name="MACAP" localSheetId="33">#REF!</definedName>
    <definedName name="MACAP" localSheetId="20">#REF!</definedName>
    <definedName name="MACAP" localSheetId="40">#REF!</definedName>
    <definedName name="MACAP" localSheetId="36">#REF!</definedName>
    <definedName name="MACAP" localSheetId="1">#REF!</definedName>
    <definedName name="MACAP">'EV PROG TÉCNICOS'!$D$109</definedName>
    <definedName name="MAEPTAP" localSheetId="41">#REF!</definedName>
    <definedName name="MAEPTAP" localSheetId="37">#REF!</definedName>
    <definedName name="MAEPTAP" localSheetId="22">#REF!</definedName>
    <definedName name="MAEPTAP" localSheetId="23">#REF!</definedName>
    <definedName name="MAEPTAP" localSheetId="24">#REF!</definedName>
    <definedName name="MAEPTAP" localSheetId="25">#REF!</definedName>
    <definedName name="MAEPTAP" localSheetId="26">#REF!</definedName>
    <definedName name="MAEPTAP" localSheetId="27">#REF!</definedName>
    <definedName name="MAEPTAP" localSheetId="28">#REF!</definedName>
    <definedName name="MAEPTAP" localSheetId="29">#REF!</definedName>
    <definedName name="MAEPTAP" localSheetId="30">#REF!</definedName>
    <definedName name="MAEPTAP" localSheetId="31">#REF!</definedName>
    <definedName name="MAEPTAP" localSheetId="21">#REF!</definedName>
    <definedName name="MAEPTAP" localSheetId="42">#REF!</definedName>
    <definedName name="MAEPTAP" localSheetId="12">#REF!</definedName>
    <definedName name="MAEPTAP" localSheetId="13">#REF!</definedName>
    <definedName name="MAEPTAP" localSheetId="14">#REF!</definedName>
    <definedName name="MAEPTAP" localSheetId="15">#REF!</definedName>
    <definedName name="MAEPTAP" localSheetId="16">#REF!</definedName>
    <definedName name="MAEPTAP" localSheetId="17">#REF!</definedName>
    <definedName name="MAEPTAP" localSheetId="18">#REF!</definedName>
    <definedName name="MAEPTAP" localSheetId="19">#REF!</definedName>
    <definedName name="MAEPTAP" localSheetId="32">#REF!</definedName>
    <definedName name="MAEPTAP" localSheetId="33">#REF!</definedName>
    <definedName name="MAEPTAP" localSheetId="20">#REF!</definedName>
    <definedName name="MAEPTAP" localSheetId="40">#REF!</definedName>
    <definedName name="MAEPTAP" localSheetId="36">#REF!</definedName>
    <definedName name="MAEPTAP" localSheetId="1">#REF!</definedName>
    <definedName name="MAEPTAP">'EV PROG TÉCNICOS'!$D$194</definedName>
    <definedName name="mao">#REF!</definedName>
    <definedName name="Mar">#REF!</definedName>
    <definedName name="MASPTAP" localSheetId="41">#REF!</definedName>
    <definedName name="MASPTAP" localSheetId="37">#REF!</definedName>
    <definedName name="MASPTAP" localSheetId="22">#REF!</definedName>
    <definedName name="MASPTAP" localSheetId="23">#REF!</definedName>
    <definedName name="MASPTAP" localSheetId="24">#REF!</definedName>
    <definedName name="MASPTAP" localSheetId="25">#REF!</definedName>
    <definedName name="MASPTAP" localSheetId="26">#REF!</definedName>
    <definedName name="MASPTAP" localSheetId="27">#REF!</definedName>
    <definedName name="MASPTAP" localSheetId="28">#REF!</definedName>
    <definedName name="MASPTAP" localSheetId="29">#REF!</definedName>
    <definedName name="MASPTAP" localSheetId="30">#REF!</definedName>
    <definedName name="MASPTAP" localSheetId="31">#REF!</definedName>
    <definedName name="MASPTAP" localSheetId="21">#REF!</definedName>
    <definedName name="MASPTAP" localSheetId="42">#REF!</definedName>
    <definedName name="MASPTAP" localSheetId="12">#REF!</definedName>
    <definedName name="MASPTAP" localSheetId="13">#REF!</definedName>
    <definedName name="MASPTAP" localSheetId="14">#REF!</definedName>
    <definedName name="MASPTAP" localSheetId="15">#REF!</definedName>
    <definedName name="MASPTAP" localSheetId="16">#REF!</definedName>
    <definedName name="MASPTAP" localSheetId="17">#REF!</definedName>
    <definedName name="MASPTAP" localSheetId="18">#REF!</definedName>
    <definedName name="MASPTAP" localSheetId="19">#REF!</definedName>
    <definedName name="MASPTAP" localSheetId="32">#REF!</definedName>
    <definedName name="MASPTAP" localSheetId="33">#REF!</definedName>
    <definedName name="MASPTAP" localSheetId="20">#REF!</definedName>
    <definedName name="MASPTAP" localSheetId="40">#REF!</definedName>
    <definedName name="MASPTAP" localSheetId="36">#REF!</definedName>
    <definedName name="MASPTAP" localSheetId="1">#REF!</definedName>
    <definedName name="MASPTAP">'EV PROG TÉCNICOS'!$D$279</definedName>
    <definedName name="Mat">#REF!</definedName>
    <definedName name="mdo">#REF!</definedName>
    <definedName name="mm">#REF!</definedName>
    <definedName name="mo">#REF!</definedName>
    <definedName name="mort4">600000</definedName>
    <definedName name="MOV">#REF!</definedName>
    <definedName name="NNN">#REF!</definedName>
    <definedName name="NO" localSheetId="22">[0]!ERR</definedName>
    <definedName name="NO" localSheetId="23">[0]!ERR</definedName>
    <definedName name="NO" localSheetId="24">[0]!ERR</definedName>
    <definedName name="NO" localSheetId="25">[0]!ERR</definedName>
    <definedName name="NO" localSheetId="26">[0]!ERR</definedName>
    <definedName name="NO" localSheetId="27">[0]!ERR</definedName>
    <definedName name="NO" localSheetId="28">[0]!ERR</definedName>
    <definedName name="NO" localSheetId="29">[0]!ERR</definedName>
    <definedName name="NO" localSheetId="30">[0]!ERR</definedName>
    <definedName name="NO" localSheetId="31">[0]!ERR</definedName>
    <definedName name="NO" localSheetId="42">[0]!ERR</definedName>
    <definedName name="NO" localSheetId="13">[0]!ERR</definedName>
    <definedName name="NO" localSheetId="14">[0]!ERR</definedName>
    <definedName name="NO" localSheetId="15">[0]!ERR</definedName>
    <definedName name="NO" localSheetId="16">[0]!ERR</definedName>
    <definedName name="NO" localSheetId="17">[0]!ERR</definedName>
    <definedName name="NO" localSheetId="18">[0]!ERR</definedName>
    <definedName name="NO" localSheetId="19">[0]!ERR</definedName>
    <definedName name="NO" localSheetId="32">[0]!ERR</definedName>
    <definedName name="NO" localSheetId="33">[0]!ERR</definedName>
    <definedName name="NO" localSheetId="20">[0]!ERR</definedName>
    <definedName name="NO" localSheetId="44">[0]!ERR</definedName>
    <definedName name="NO" localSheetId="8">[0]!ERR</definedName>
    <definedName name="NO" localSheetId="10">[0]!ERR</definedName>
    <definedName name="NO">[0]!ERR</definedName>
    <definedName name="Ñ" localSheetId="41" hidden="1">#REF!</definedName>
    <definedName name="Ñ" localSheetId="22" hidden="1">#REF!</definedName>
    <definedName name="Ñ" localSheetId="23" hidden="1">#REF!</definedName>
    <definedName name="Ñ" localSheetId="24" hidden="1">#REF!</definedName>
    <definedName name="Ñ" localSheetId="25" hidden="1">#REF!</definedName>
    <definedName name="Ñ" localSheetId="26" hidden="1">#REF!</definedName>
    <definedName name="Ñ" localSheetId="27" hidden="1">#REF!</definedName>
    <definedName name="Ñ" localSheetId="28" hidden="1">#REF!</definedName>
    <definedName name="Ñ" localSheetId="29" hidden="1">#REF!</definedName>
    <definedName name="Ñ" localSheetId="30" hidden="1">#REF!</definedName>
    <definedName name="Ñ" localSheetId="31" hidden="1">#REF!</definedName>
    <definedName name="Ñ" localSheetId="21" hidden="1">#REF!</definedName>
    <definedName name="Ñ" localSheetId="42" hidden="1">#REF!</definedName>
    <definedName name="Ñ" localSheetId="32" hidden="1">#REF!</definedName>
    <definedName name="Ñ" localSheetId="33" hidden="1">#REF!</definedName>
    <definedName name="Ñ" localSheetId="40" hidden="1">#REF!</definedName>
    <definedName name="Ñ" hidden="1">#REF!</definedName>
    <definedName name="ÑÑ" localSheetId="22">[0]!ERR</definedName>
    <definedName name="ÑÑ" localSheetId="23">[0]!ERR</definedName>
    <definedName name="ÑÑ" localSheetId="24">[0]!ERR</definedName>
    <definedName name="ÑÑ" localSheetId="25">[0]!ERR</definedName>
    <definedName name="ÑÑ" localSheetId="26">[0]!ERR</definedName>
    <definedName name="ÑÑ" localSheetId="27">[0]!ERR</definedName>
    <definedName name="ÑÑ" localSheetId="28">[0]!ERR</definedName>
    <definedName name="ÑÑ" localSheetId="29">[0]!ERR</definedName>
    <definedName name="ÑÑ" localSheetId="30">[0]!ERR</definedName>
    <definedName name="ÑÑ" localSheetId="31">[0]!ERR</definedName>
    <definedName name="ÑÑ" localSheetId="42">[0]!ERR</definedName>
    <definedName name="ÑÑ" localSheetId="13">[0]!ERR</definedName>
    <definedName name="ÑÑ" localSheetId="14">[0]!ERR</definedName>
    <definedName name="ÑÑ" localSheetId="15">[0]!ERR</definedName>
    <definedName name="ÑÑ" localSheetId="16">[0]!ERR</definedName>
    <definedName name="ÑÑ" localSheetId="17">[0]!ERR</definedName>
    <definedName name="ÑÑ" localSheetId="18">[0]!ERR</definedName>
    <definedName name="ÑÑ" localSheetId="19">[0]!ERR</definedName>
    <definedName name="ÑÑ" localSheetId="32">[0]!ERR</definedName>
    <definedName name="ÑÑ" localSheetId="33">[0]!ERR</definedName>
    <definedName name="ÑÑ" localSheetId="20">[0]!ERR</definedName>
    <definedName name="ÑÑ" localSheetId="44">[0]!ERR</definedName>
    <definedName name="ÑÑ" localSheetId="8">[0]!ERR</definedName>
    <definedName name="ÑÑ" localSheetId="10">[0]!ERR</definedName>
    <definedName name="ÑÑ">[0]!ERR</definedName>
    <definedName name="of">36450</definedName>
    <definedName name="p">#REF!</definedName>
    <definedName name="plastocrete">6500</definedName>
    <definedName name="Poblac" localSheetId="41" hidden="1">{"total",#N/A,FALSE,"TD 0% ";"total",#N/A,FALSE,"TD 12%";"total",#N/A,FALSE,"TD 10%"}</definedName>
    <definedName name="Poblac" localSheetId="37" hidden="1">{"total",#N/A,FALSE,"TD 0% ";"total",#N/A,FALSE,"TD 12%";"total",#N/A,FALSE,"TD 10%"}</definedName>
    <definedName name="Poblac" localSheetId="22" hidden="1">{"total",#N/A,FALSE,"TD 0% ";"total",#N/A,FALSE,"TD 12%";"total",#N/A,FALSE,"TD 10%"}</definedName>
    <definedName name="Poblac" localSheetId="23" hidden="1">{"total",#N/A,FALSE,"TD 0% ";"total",#N/A,FALSE,"TD 12%";"total",#N/A,FALSE,"TD 10%"}</definedName>
    <definedName name="Poblac" localSheetId="24" hidden="1">{"total",#N/A,FALSE,"TD 0% ";"total",#N/A,FALSE,"TD 12%";"total",#N/A,FALSE,"TD 10%"}</definedName>
    <definedName name="Poblac" localSheetId="25" hidden="1">{"total",#N/A,FALSE,"TD 0% ";"total",#N/A,FALSE,"TD 12%";"total",#N/A,FALSE,"TD 10%"}</definedName>
    <definedName name="Poblac" localSheetId="26" hidden="1">{"total",#N/A,FALSE,"TD 0% ";"total",#N/A,FALSE,"TD 12%";"total",#N/A,FALSE,"TD 10%"}</definedName>
    <definedName name="Poblac" localSheetId="27" hidden="1">{"total",#N/A,FALSE,"TD 0% ";"total",#N/A,FALSE,"TD 12%";"total",#N/A,FALSE,"TD 10%"}</definedName>
    <definedName name="Poblac" localSheetId="28" hidden="1">{"total",#N/A,FALSE,"TD 0% ";"total",#N/A,FALSE,"TD 12%";"total",#N/A,FALSE,"TD 10%"}</definedName>
    <definedName name="Poblac" localSheetId="29" hidden="1">{"total",#N/A,FALSE,"TD 0% ";"total",#N/A,FALSE,"TD 12%";"total",#N/A,FALSE,"TD 10%"}</definedName>
    <definedName name="Poblac" localSheetId="30" hidden="1">{"total",#N/A,FALSE,"TD 0% ";"total",#N/A,FALSE,"TD 12%";"total",#N/A,FALSE,"TD 10%"}</definedName>
    <definedName name="Poblac" localSheetId="31" hidden="1">{"total",#N/A,FALSE,"TD 0% ";"total",#N/A,FALSE,"TD 12%";"total",#N/A,FALSE,"TD 10%"}</definedName>
    <definedName name="Poblac" localSheetId="21" hidden="1">{"total",#N/A,FALSE,"TD 0% ";"total",#N/A,FALSE,"TD 12%";"total",#N/A,FALSE,"TD 10%"}</definedName>
    <definedName name="Poblac" localSheetId="42" hidden="1">{"total",#N/A,FALSE,"TD 0% ";"total",#N/A,FALSE,"TD 12%";"total",#N/A,FALSE,"TD 10%"}</definedName>
    <definedName name="Poblac" localSheetId="12" hidden="1">{"total",#N/A,FALSE,"TD 0% ";"total",#N/A,FALSE,"TD 12%";"total",#N/A,FALSE,"TD 10%"}</definedName>
    <definedName name="Poblac" localSheetId="13" hidden="1">{"total",#N/A,FALSE,"TD 0% ";"total",#N/A,FALSE,"TD 12%";"total",#N/A,FALSE,"TD 10%"}</definedName>
    <definedName name="Poblac" localSheetId="14" hidden="1">{"total",#N/A,FALSE,"TD 0% ";"total",#N/A,FALSE,"TD 12%";"total",#N/A,FALSE,"TD 10%"}</definedName>
    <definedName name="Poblac" localSheetId="15" hidden="1">{"total",#N/A,FALSE,"TD 0% ";"total",#N/A,FALSE,"TD 12%";"total",#N/A,FALSE,"TD 10%"}</definedName>
    <definedName name="Poblac" localSheetId="16" hidden="1">{"total",#N/A,FALSE,"TD 0% ";"total",#N/A,FALSE,"TD 12%";"total",#N/A,FALSE,"TD 10%"}</definedName>
    <definedName name="Poblac" localSheetId="17" hidden="1">{"total",#N/A,FALSE,"TD 0% ";"total",#N/A,FALSE,"TD 12%";"total",#N/A,FALSE,"TD 10%"}</definedName>
    <definedName name="Poblac" localSheetId="18" hidden="1">{"total",#N/A,FALSE,"TD 0% ";"total",#N/A,FALSE,"TD 12%";"total",#N/A,FALSE,"TD 10%"}</definedName>
    <definedName name="Poblac" localSheetId="19" hidden="1">{"total",#N/A,FALSE,"TD 0% ";"total",#N/A,FALSE,"TD 12%";"total",#N/A,FALSE,"TD 10%"}</definedName>
    <definedName name="Poblac" localSheetId="32" hidden="1">{"total",#N/A,FALSE,"TD 0% ";"total",#N/A,FALSE,"TD 12%";"total",#N/A,FALSE,"TD 10%"}</definedName>
    <definedName name="Poblac" localSheetId="33" hidden="1">{"total",#N/A,FALSE,"TD 0% ";"total",#N/A,FALSE,"TD 12%";"total",#N/A,FALSE,"TD 10%"}</definedName>
    <definedName name="Poblac" localSheetId="20" hidden="1">{"total",#N/A,FALSE,"TD 0% ";"total",#N/A,FALSE,"TD 12%";"total",#N/A,FALSE,"TD 10%"}</definedName>
    <definedName name="Poblac" localSheetId="40" hidden="1">{"total",#N/A,FALSE,"TD 0% ";"total",#N/A,FALSE,"TD 12%";"total",#N/A,FALSE,"TD 10%"}</definedName>
    <definedName name="Poblac" localSheetId="36" hidden="1">{"total",#N/A,FALSE,"TD 0% ";"total",#N/A,FALSE,"TD 12%";"total",#N/A,FALSE,"TD 10%"}</definedName>
    <definedName name="Poblac" localSheetId="1" hidden="1">{"total",#N/A,FALSE,"TD 0% ";"total",#N/A,FALSE,"TD 12%";"total",#N/A,FALSE,"TD 10%"}</definedName>
    <definedName name="Poblac" hidden="1">{"total",#N/A,FALSE,"TD 0% ";"total",#N/A,FALSE,"TD 12%";"total",#N/A,FALSE,"TD 10%"}</definedName>
    <definedName name="población" localSheetId="41" hidden="1">{"total",#N/A,FALSE,"TD 0% ";"total",#N/A,FALSE,"TD 12%";"total",#N/A,FALSE,"TD 10%"}</definedName>
    <definedName name="población" localSheetId="37" hidden="1">{"total",#N/A,FALSE,"TD 0% ";"total",#N/A,FALSE,"TD 12%";"total",#N/A,FALSE,"TD 10%"}</definedName>
    <definedName name="población" localSheetId="22" hidden="1">{"total",#N/A,FALSE,"TD 0% ";"total",#N/A,FALSE,"TD 12%";"total",#N/A,FALSE,"TD 10%"}</definedName>
    <definedName name="población" localSheetId="23" hidden="1">{"total",#N/A,FALSE,"TD 0% ";"total",#N/A,FALSE,"TD 12%";"total",#N/A,FALSE,"TD 10%"}</definedName>
    <definedName name="población" localSheetId="24" hidden="1">{"total",#N/A,FALSE,"TD 0% ";"total",#N/A,FALSE,"TD 12%";"total",#N/A,FALSE,"TD 10%"}</definedName>
    <definedName name="población" localSheetId="25" hidden="1">{"total",#N/A,FALSE,"TD 0% ";"total",#N/A,FALSE,"TD 12%";"total",#N/A,FALSE,"TD 10%"}</definedName>
    <definedName name="población" localSheetId="26" hidden="1">{"total",#N/A,FALSE,"TD 0% ";"total",#N/A,FALSE,"TD 12%";"total",#N/A,FALSE,"TD 10%"}</definedName>
    <definedName name="población" localSheetId="27" hidden="1">{"total",#N/A,FALSE,"TD 0% ";"total",#N/A,FALSE,"TD 12%";"total",#N/A,FALSE,"TD 10%"}</definedName>
    <definedName name="población" localSheetId="28" hidden="1">{"total",#N/A,FALSE,"TD 0% ";"total",#N/A,FALSE,"TD 12%";"total",#N/A,FALSE,"TD 10%"}</definedName>
    <definedName name="población" localSheetId="29" hidden="1">{"total",#N/A,FALSE,"TD 0% ";"total",#N/A,FALSE,"TD 12%";"total",#N/A,FALSE,"TD 10%"}</definedName>
    <definedName name="población" localSheetId="30" hidden="1">{"total",#N/A,FALSE,"TD 0% ";"total",#N/A,FALSE,"TD 12%";"total",#N/A,FALSE,"TD 10%"}</definedName>
    <definedName name="población" localSheetId="31" hidden="1">{"total",#N/A,FALSE,"TD 0% ";"total",#N/A,FALSE,"TD 12%";"total",#N/A,FALSE,"TD 10%"}</definedName>
    <definedName name="población" localSheetId="21" hidden="1">{"total",#N/A,FALSE,"TD 0% ";"total",#N/A,FALSE,"TD 12%";"total",#N/A,FALSE,"TD 10%"}</definedName>
    <definedName name="población" localSheetId="42" hidden="1">{"total",#N/A,FALSE,"TD 0% ";"total",#N/A,FALSE,"TD 12%";"total",#N/A,FALSE,"TD 10%"}</definedName>
    <definedName name="población" localSheetId="12" hidden="1">{"total",#N/A,FALSE,"TD 0% ";"total",#N/A,FALSE,"TD 12%";"total",#N/A,FALSE,"TD 10%"}</definedName>
    <definedName name="población" localSheetId="13" hidden="1">{"total",#N/A,FALSE,"TD 0% ";"total",#N/A,FALSE,"TD 12%";"total",#N/A,FALSE,"TD 10%"}</definedName>
    <definedName name="población" localSheetId="14" hidden="1">{"total",#N/A,FALSE,"TD 0% ";"total",#N/A,FALSE,"TD 12%";"total",#N/A,FALSE,"TD 10%"}</definedName>
    <definedName name="población" localSheetId="15" hidden="1">{"total",#N/A,FALSE,"TD 0% ";"total",#N/A,FALSE,"TD 12%";"total",#N/A,FALSE,"TD 10%"}</definedName>
    <definedName name="población" localSheetId="16" hidden="1">{"total",#N/A,FALSE,"TD 0% ";"total",#N/A,FALSE,"TD 12%";"total",#N/A,FALSE,"TD 10%"}</definedName>
    <definedName name="población" localSheetId="17" hidden="1">{"total",#N/A,FALSE,"TD 0% ";"total",#N/A,FALSE,"TD 12%";"total",#N/A,FALSE,"TD 10%"}</definedName>
    <definedName name="población" localSheetId="18" hidden="1">{"total",#N/A,FALSE,"TD 0% ";"total",#N/A,FALSE,"TD 12%";"total",#N/A,FALSE,"TD 10%"}</definedName>
    <definedName name="población" localSheetId="19" hidden="1">{"total",#N/A,FALSE,"TD 0% ";"total",#N/A,FALSE,"TD 12%";"total",#N/A,FALSE,"TD 10%"}</definedName>
    <definedName name="población" localSheetId="32" hidden="1">{"total",#N/A,FALSE,"TD 0% ";"total",#N/A,FALSE,"TD 12%";"total",#N/A,FALSE,"TD 10%"}</definedName>
    <definedName name="población" localSheetId="33" hidden="1">{"total",#N/A,FALSE,"TD 0% ";"total",#N/A,FALSE,"TD 12%";"total",#N/A,FALSE,"TD 10%"}</definedName>
    <definedName name="población" localSheetId="20" hidden="1">{"total",#N/A,FALSE,"TD 0% ";"total",#N/A,FALSE,"TD 12%";"total",#N/A,FALSE,"TD 10%"}</definedName>
    <definedName name="población" localSheetId="40" hidden="1">{"total",#N/A,FALSE,"TD 0% ";"total",#N/A,FALSE,"TD 12%";"total",#N/A,FALSE,"TD 10%"}</definedName>
    <definedName name="población" localSheetId="36" hidden="1">{"total",#N/A,FALSE,"TD 0% ";"total",#N/A,FALSE,"TD 12%";"total",#N/A,FALSE,"TD 10%"}</definedName>
    <definedName name="población" localSheetId="1" hidden="1">{"total",#N/A,FALSE,"TD 0% ";"total",#N/A,FALSE,"TD 12%";"total",#N/A,FALSE,"TD 10%"}</definedName>
    <definedName name="población" hidden="1">{"total",#N/A,FALSE,"TD 0% ";"total",#N/A,FALSE,"TD 12%";"total",#N/A,FALSE,"TD 10%"}</definedName>
    <definedName name="porc" localSheetId="41">#REF!</definedName>
    <definedName name="porc" localSheetId="37">#REF!</definedName>
    <definedName name="porc" localSheetId="22">#REF!</definedName>
    <definedName name="porc" localSheetId="23">#REF!</definedName>
    <definedName name="porc" localSheetId="24">#REF!</definedName>
    <definedName name="porc" localSheetId="25">#REF!</definedName>
    <definedName name="porc" localSheetId="26">#REF!</definedName>
    <definedName name="porc" localSheetId="27">#REF!</definedName>
    <definedName name="porc" localSheetId="28">#REF!</definedName>
    <definedName name="porc" localSheetId="29">#REF!</definedName>
    <definedName name="porc" localSheetId="30">#REF!</definedName>
    <definedName name="porc" localSheetId="31">#REF!</definedName>
    <definedName name="porc" localSheetId="21">#REF!</definedName>
    <definedName name="porc" localSheetId="42">#REF!</definedName>
    <definedName name="porc" localSheetId="12">#REF!</definedName>
    <definedName name="porc" localSheetId="13">#REF!</definedName>
    <definedName name="porc" localSheetId="14">#REF!</definedName>
    <definedName name="porc" localSheetId="15">#REF!</definedName>
    <definedName name="porc" localSheetId="16">#REF!</definedName>
    <definedName name="porc" localSheetId="17">#REF!</definedName>
    <definedName name="porc" localSheetId="18">#REF!</definedName>
    <definedName name="porc" localSheetId="19">#REF!</definedName>
    <definedName name="porc" localSheetId="32">#REF!</definedName>
    <definedName name="porc" localSheetId="33">#REF!</definedName>
    <definedName name="porc" localSheetId="20">#REF!</definedName>
    <definedName name="porc" localSheetId="40">#REF!</definedName>
    <definedName name="porc" localSheetId="36">#REF!</definedName>
    <definedName name="porc" localSheetId="1">#REF!</definedName>
    <definedName name="porc">'EV PROG TÉCNICOS'!$D$828</definedName>
    <definedName name="POZ">#REF!</definedName>
    <definedName name="Prest.">1.75</definedName>
    <definedName name="PRESTAC.">1.15</definedName>
    <definedName name="programainv" localSheetId="22">[0]!ERR</definedName>
    <definedName name="programainv" localSheetId="23">[0]!ERR</definedName>
    <definedName name="programainv" localSheetId="24">[0]!ERR</definedName>
    <definedName name="programainv" localSheetId="25">[0]!ERR</definedName>
    <definedName name="programainv" localSheetId="26">[0]!ERR</definedName>
    <definedName name="programainv" localSheetId="27">[0]!ERR</definedName>
    <definedName name="programainv" localSheetId="28">[0]!ERR</definedName>
    <definedName name="programainv" localSheetId="29">[0]!ERR</definedName>
    <definedName name="programainv" localSheetId="30">[0]!ERR</definedName>
    <definedName name="programainv" localSheetId="31">[0]!ERR</definedName>
    <definedName name="programainv" localSheetId="42">[0]!ERR</definedName>
    <definedName name="programainv" localSheetId="13">[0]!ERR</definedName>
    <definedName name="programainv" localSheetId="14">[0]!ERR</definedName>
    <definedName name="programainv" localSheetId="15">[0]!ERR</definedName>
    <definedName name="programainv" localSheetId="16">[0]!ERR</definedName>
    <definedName name="programainv" localSheetId="17">[0]!ERR</definedName>
    <definedName name="programainv" localSheetId="18">[0]!ERR</definedName>
    <definedName name="programainv" localSheetId="19">[0]!ERR</definedName>
    <definedName name="programainv" localSheetId="32">[0]!ERR</definedName>
    <definedName name="programainv" localSheetId="33">[0]!ERR</definedName>
    <definedName name="programainv" localSheetId="20">[0]!ERR</definedName>
    <definedName name="programainv" localSheetId="44">[0]!ERR</definedName>
    <definedName name="programainv" localSheetId="8">[0]!ERR</definedName>
    <definedName name="programainv" localSheetId="10">[0]!ERR</definedName>
    <definedName name="programainv">[0]!ERR</definedName>
    <definedName name="prs">#REF!</definedName>
    <definedName name="pul">#REF!</definedName>
    <definedName name="PYG">#REF!</definedName>
    <definedName name="pyr">#REF!</definedName>
    <definedName name="Q"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C">#REF!</definedName>
    <definedName name="QCE">#REF!</definedName>
    <definedName name="QI">#REF!</definedName>
    <definedName name="QIN">#REF!</definedName>
    <definedName name="QQ" localSheetId="22">[0]!ERR</definedName>
    <definedName name="QQ" localSheetId="23">[0]!ERR</definedName>
    <definedName name="QQ" localSheetId="24">[0]!ERR</definedName>
    <definedName name="QQ" localSheetId="25">[0]!ERR</definedName>
    <definedName name="QQ" localSheetId="26">[0]!ERR</definedName>
    <definedName name="QQ" localSheetId="27">[0]!ERR</definedName>
    <definedName name="QQ" localSheetId="28">[0]!ERR</definedName>
    <definedName name="QQ" localSheetId="29">[0]!ERR</definedName>
    <definedName name="QQ" localSheetId="30">[0]!ERR</definedName>
    <definedName name="QQ" localSheetId="31">[0]!ERR</definedName>
    <definedName name="QQ" localSheetId="42">[0]!ERR</definedName>
    <definedName name="QQ" localSheetId="13">[0]!ERR</definedName>
    <definedName name="QQ" localSheetId="14">[0]!ERR</definedName>
    <definedName name="QQ" localSheetId="15">[0]!ERR</definedName>
    <definedName name="QQ" localSheetId="16">[0]!ERR</definedName>
    <definedName name="QQ" localSheetId="17">[0]!ERR</definedName>
    <definedName name="QQ" localSheetId="18">[0]!ERR</definedName>
    <definedName name="QQ" localSheetId="19">[0]!ERR</definedName>
    <definedName name="QQ" localSheetId="32">[0]!ERR</definedName>
    <definedName name="QQ" localSheetId="33">[0]!ERR</definedName>
    <definedName name="QQ" localSheetId="20">[0]!ERR</definedName>
    <definedName name="QQ" localSheetId="44">[0]!ERR</definedName>
    <definedName name="QQ" localSheetId="8">[0]!ERR</definedName>
    <definedName name="QQ" localSheetId="10">[0]!ERR</definedName>
    <definedName name="QQ">[0]!ERR</definedName>
    <definedName name="rdngfcb" localSheetId="41"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rdngfcb" hidden="1">{TRUE,TRUE,-2.75,-17.75,483,276.75,FALSE,TRUE,TRUE,TRUE,0,3,15,1,110,11,8,4,TRUE,TRUE,3,TRUE,1,TRUE,75,"Swvu.EneFeb.","ACwvu.EneFeb.",#N/A,FALSE,FALSE,1.24,0.787401575,0.74,0.984251969,1,"","",FALSE,FALSE,FALSE,FALSE,1,#N/A,1,1,#DIV/0!,FALSE,"Rwvu.EneFeb.","Cwvu.EneFeb.",FALSE,FALSE,FALSE,1,300,300,FALSE,FALSE,TRUE,TRUE,TRUE}</definedName>
    <definedName name="Redes">#REF!</definedName>
    <definedName name="REG">#REF!&gt;2.5</definedName>
    <definedName name="REICIO" localSheetId="22">[0]!ERR</definedName>
    <definedName name="REICIO" localSheetId="23">[0]!ERR</definedName>
    <definedName name="REICIO" localSheetId="24">[0]!ERR</definedName>
    <definedName name="REICIO" localSheetId="25">[0]!ERR</definedName>
    <definedName name="REICIO" localSheetId="26">[0]!ERR</definedName>
    <definedName name="REICIO" localSheetId="27">[0]!ERR</definedName>
    <definedName name="REICIO" localSheetId="28">[0]!ERR</definedName>
    <definedName name="REICIO" localSheetId="29">[0]!ERR</definedName>
    <definedName name="REICIO" localSheetId="30">[0]!ERR</definedName>
    <definedName name="REICIO" localSheetId="31">[0]!ERR</definedName>
    <definedName name="REICIO" localSheetId="42">[0]!ERR</definedName>
    <definedName name="REICIO" localSheetId="13">[0]!ERR</definedName>
    <definedName name="REICIO" localSheetId="14">[0]!ERR</definedName>
    <definedName name="REICIO" localSheetId="15">[0]!ERR</definedName>
    <definedName name="REICIO" localSheetId="16">[0]!ERR</definedName>
    <definedName name="REICIO" localSheetId="17">[0]!ERR</definedName>
    <definedName name="REICIO" localSheetId="18">[0]!ERR</definedName>
    <definedName name="REICIO" localSheetId="19">[0]!ERR</definedName>
    <definedName name="REICIO" localSheetId="32">[0]!ERR</definedName>
    <definedName name="REICIO" localSheetId="33">[0]!ERR</definedName>
    <definedName name="REICIO" localSheetId="20">[0]!ERR</definedName>
    <definedName name="REICIO" localSheetId="44">[0]!ERR</definedName>
    <definedName name="REICIO" localSheetId="8">[0]!ERR</definedName>
    <definedName name="REICIO" localSheetId="10">[0]!ERR</definedName>
    <definedName name="REICIO">[0]!ERR</definedName>
    <definedName name="reinicio" localSheetId="22">[0]!ERR</definedName>
    <definedName name="reinicio" localSheetId="23">[0]!ERR</definedName>
    <definedName name="reinicio" localSheetId="24">[0]!ERR</definedName>
    <definedName name="reinicio" localSheetId="25">[0]!ERR</definedName>
    <definedName name="reinicio" localSheetId="26">[0]!ERR</definedName>
    <definedName name="reinicio" localSheetId="27">[0]!ERR</definedName>
    <definedName name="reinicio" localSheetId="28">[0]!ERR</definedName>
    <definedName name="reinicio" localSheetId="29">[0]!ERR</definedName>
    <definedName name="reinicio" localSheetId="30">[0]!ERR</definedName>
    <definedName name="reinicio" localSheetId="31">[0]!ERR</definedName>
    <definedName name="reinicio" localSheetId="42">[0]!ERR</definedName>
    <definedName name="reinicio" localSheetId="13">[0]!ERR</definedName>
    <definedName name="reinicio" localSheetId="14">[0]!ERR</definedName>
    <definedName name="reinicio" localSheetId="15">[0]!ERR</definedName>
    <definedName name="reinicio" localSheetId="16">[0]!ERR</definedName>
    <definedName name="reinicio" localSheetId="17">[0]!ERR</definedName>
    <definedName name="reinicio" localSheetId="18">[0]!ERR</definedName>
    <definedName name="reinicio" localSheetId="19">[0]!ERR</definedName>
    <definedName name="reinicio" localSheetId="32">[0]!ERR</definedName>
    <definedName name="reinicio" localSheetId="33">[0]!ERR</definedName>
    <definedName name="reinicio" localSheetId="20">[0]!ERR</definedName>
    <definedName name="reinicio" localSheetId="44">[0]!ERR</definedName>
    <definedName name="reinicio" localSheetId="8">[0]!ERR</definedName>
    <definedName name="reinicio" localSheetId="10">[0]!ERR</definedName>
    <definedName name="reinicio">[0]!ERR</definedName>
    <definedName name="Resmn" localSheetId="41" hidden="1">{"total",#N/A,FALSE,"TD 0% ";"total",#N/A,FALSE,"TD 12%";"total",#N/A,FALSE,"TD 10%"}</definedName>
    <definedName name="Resmn" localSheetId="37" hidden="1">{"total",#N/A,FALSE,"TD 0% ";"total",#N/A,FALSE,"TD 12%";"total",#N/A,FALSE,"TD 10%"}</definedName>
    <definedName name="Resmn" localSheetId="22" hidden="1">{"total",#N/A,FALSE,"TD 0% ";"total",#N/A,FALSE,"TD 12%";"total",#N/A,FALSE,"TD 10%"}</definedName>
    <definedName name="Resmn" localSheetId="23" hidden="1">{"total",#N/A,FALSE,"TD 0% ";"total",#N/A,FALSE,"TD 12%";"total",#N/A,FALSE,"TD 10%"}</definedName>
    <definedName name="Resmn" localSheetId="24" hidden="1">{"total",#N/A,FALSE,"TD 0% ";"total",#N/A,FALSE,"TD 12%";"total",#N/A,FALSE,"TD 10%"}</definedName>
    <definedName name="Resmn" localSheetId="25" hidden="1">{"total",#N/A,FALSE,"TD 0% ";"total",#N/A,FALSE,"TD 12%";"total",#N/A,FALSE,"TD 10%"}</definedName>
    <definedName name="Resmn" localSheetId="26" hidden="1">{"total",#N/A,FALSE,"TD 0% ";"total",#N/A,FALSE,"TD 12%";"total",#N/A,FALSE,"TD 10%"}</definedName>
    <definedName name="Resmn" localSheetId="27" hidden="1">{"total",#N/A,FALSE,"TD 0% ";"total",#N/A,FALSE,"TD 12%";"total",#N/A,FALSE,"TD 10%"}</definedName>
    <definedName name="Resmn" localSheetId="28" hidden="1">{"total",#N/A,FALSE,"TD 0% ";"total",#N/A,FALSE,"TD 12%";"total",#N/A,FALSE,"TD 10%"}</definedName>
    <definedName name="Resmn" localSheetId="29" hidden="1">{"total",#N/A,FALSE,"TD 0% ";"total",#N/A,FALSE,"TD 12%";"total",#N/A,FALSE,"TD 10%"}</definedName>
    <definedName name="Resmn" localSheetId="30" hidden="1">{"total",#N/A,FALSE,"TD 0% ";"total",#N/A,FALSE,"TD 12%";"total",#N/A,FALSE,"TD 10%"}</definedName>
    <definedName name="Resmn" localSheetId="31" hidden="1">{"total",#N/A,FALSE,"TD 0% ";"total",#N/A,FALSE,"TD 12%";"total",#N/A,FALSE,"TD 10%"}</definedName>
    <definedName name="Resmn" localSheetId="21" hidden="1">{"total",#N/A,FALSE,"TD 0% ";"total",#N/A,FALSE,"TD 12%";"total",#N/A,FALSE,"TD 10%"}</definedName>
    <definedName name="Resmn" localSheetId="42" hidden="1">{"total",#N/A,FALSE,"TD 0% ";"total",#N/A,FALSE,"TD 12%";"total",#N/A,FALSE,"TD 10%"}</definedName>
    <definedName name="Resmn" localSheetId="12" hidden="1">{"total",#N/A,FALSE,"TD 0% ";"total",#N/A,FALSE,"TD 12%";"total",#N/A,FALSE,"TD 10%"}</definedName>
    <definedName name="Resmn" localSheetId="13" hidden="1">{"total",#N/A,FALSE,"TD 0% ";"total",#N/A,FALSE,"TD 12%";"total",#N/A,FALSE,"TD 10%"}</definedName>
    <definedName name="Resmn" localSheetId="14" hidden="1">{"total",#N/A,FALSE,"TD 0% ";"total",#N/A,FALSE,"TD 12%";"total",#N/A,FALSE,"TD 10%"}</definedName>
    <definedName name="Resmn" localSheetId="15" hidden="1">{"total",#N/A,FALSE,"TD 0% ";"total",#N/A,FALSE,"TD 12%";"total",#N/A,FALSE,"TD 10%"}</definedName>
    <definedName name="Resmn" localSheetId="16" hidden="1">{"total",#N/A,FALSE,"TD 0% ";"total",#N/A,FALSE,"TD 12%";"total",#N/A,FALSE,"TD 10%"}</definedName>
    <definedName name="Resmn" localSheetId="17" hidden="1">{"total",#N/A,FALSE,"TD 0% ";"total",#N/A,FALSE,"TD 12%";"total",#N/A,FALSE,"TD 10%"}</definedName>
    <definedName name="Resmn" localSheetId="18" hidden="1">{"total",#N/A,FALSE,"TD 0% ";"total",#N/A,FALSE,"TD 12%";"total",#N/A,FALSE,"TD 10%"}</definedName>
    <definedName name="Resmn" localSheetId="19" hidden="1">{"total",#N/A,FALSE,"TD 0% ";"total",#N/A,FALSE,"TD 12%";"total",#N/A,FALSE,"TD 10%"}</definedName>
    <definedName name="Resmn" localSheetId="32" hidden="1">{"total",#N/A,FALSE,"TD 0% ";"total",#N/A,FALSE,"TD 12%";"total",#N/A,FALSE,"TD 10%"}</definedName>
    <definedName name="Resmn" localSheetId="33" hidden="1">{"total",#N/A,FALSE,"TD 0% ";"total",#N/A,FALSE,"TD 12%";"total",#N/A,FALSE,"TD 10%"}</definedName>
    <definedName name="Resmn" localSheetId="20" hidden="1">{"total",#N/A,FALSE,"TD 0% ";"total",#N/A,FALSE,"TD 12%";"total",#N/A,FALSE,"TD 10%"}</definedName>
    <definedName name="Resmn" localSheetId="40" hidden="1">{"total",#N/A,FALSE,"TD 0% ";"total",#N/A,FALSE,"TD 12%";"total",#N/A,FALSE,"TD 10%"}</definedName>
    <definedName name="Resmn" localSheetId="36" hidden="1">{"total",#N/A,FALSE,"TD 0% ";"total",#N/A,FALSE,"TD 12%";"total",#N/A,FALSE,"TD 10%"}</definedName>
    <definedName name="Resmn" localSheetId="1" hidden="1">{"total",#N/A,FALSE,"TD 0% ";"total",#N/A,FALSE,"TD 12%";"total",#N/A,FALSE,"TD 10%"}</definedName>
    <definedName name="Resmn" hidden="1">{"total",#N/A,FALSE,"TD 0% ";"total",#N/A,FALSE,"TD 12%";"total",#N/A,FALSE,"TD 10%"}</definedName>
    <definedName name="RESU">#REF!</definedName>
    <definedName name="rr" localSheetId="22">[0]!ERR</definedName>
    <definedName name="rr" localSheetId="23">[0]!ERR</definedName>
    <definedName name="rr" localSheetId="24">[0]!ERR</definedName>
    <definedName name="rr" localSheetId="25">[0]!ERR</definedName>
    <definedName name="rr" localSheetId="26">[0]!ERR</definedName>
    <definedName name="rr" localSheetId="27">[0]!ERR</definedName>
    <definedName name="rr" localSheetId="28">[0]!ERR</definedName>
    <definedName name="rr" localSheetId="29">[0]!ERR</definedName>
    <definedName name="rr" localSheetId="30">[0]!ERR</definedName>
    <definedName name="rr" localSheetId="31">[0]!ERR</definedName>
    <definedName name="rr" localSheetId="42">[0]!ERR</definedName>
    <definedName name="rr" localSheetId="13">[0]!ERR</definedName>
    <definedName name="rr" localSheetId="14">[0]!ERR</definedName>
    <definedName name="rr" localSheetId="15">[0]!ERR</definedName>
    <definedName name="rr" localSheetId="16">[0]!ERR</definedName>
    <definedName name="rr" localSheetId="17">[0]!ERR</definedName>
    <definedName name="rr" localSheetId="18">[0]!ERR</definedName>
    <definedName name="rr" localSheetId="19">[0]!ERR</definedName>
    <definedName name="rr" localSheetId="32">[0]!ERR</definedName>
    <definedName name="rr" localSheetId="33">[0]!ERR</definedName>
    <definedName name="rr" localSheetId="20">[0]!ERR</definedName>
    <definedName name="rr" localSheetId="44">[0]!ERR</definedName>
    <definedName name="rr" localSheetId="8">[0]!ERR</definedName>
    <definedName name="rr" localSheetId="10">[0]!ERR</definedName>
    <definedName name="rr">[0]!ERR</definedName>
    <definedName name="rre">#REF!</definedName>
    <definedName name="Rwvu.ComparEneMar9697." hidden="1">#REF!,#REF!</definedName>
    <definedName name="Rwvu.EneFeb." hidden="1">#REF!,#REF!</definedName>
    <definedName name="Rwvu.Formato._.Corto." hidden="1">#REF!,#REF!,#REF!,#REF!,#REF!,#REF!</definedName>
    <definedName name="Rwvu.OPEF._.96." hidden="1">#REF!,#REF!</definedName>
    <definedName name="Rwvu.OPEF._.97." localSheetId="41" hidden="1">#REF!,#REF!,#REF!</definedName>
    <definedName name="Rwvu.OPEF._.97." localSheetId="37" hidden="1">#REF!,#REF!,#REF!</definedName>
    <definedName name="Rwvu.OPEF._.97." localSheetId="22" hidden="1">#REF!,#REF!,#REF!</definedName>
    <definedName name="Rwvu.OPEF._.97." localSheetId="23" hidden="1">#REF!,#REF!,#REF!</definedName>
    <definedName name="Rwvu.OPEF._.97." localSheetId="24" hidden="1">#REF!,#REF!,#REF!</definedName>
    <definedName name="Rwvu.OPEF._.97." localSheetId="25" hidden="1">#REF!,#REF!,#REF!</definedName>
    <definedName name="Rwvu.OPEF._.97." localSheetId="26" hidden="1">#REF!,#REF!,#REF!</definedName>
    <definedName name="Rwvu.OPEF._.97." localSheetId="27" hidden="1">#REF!,#REF!,#REF!</definedName>
    <definedName name="Rwvu.OPEF._.97." localSheetId="28" hidden="1">#REF!,#REF!,#REF!</definedName>
    <definedName name="Rwvu.OPEF._.97." localSheetId="29" hidden="1">#REF!,#REF!,#REF!</definedName>
    <definedName name="Rwvu.OPEF._.97." localSheetId="30" hidden="1">#REF!,#REF!,#REF!</definedName>
    <definedName name="Rwvu.OPEF._.97." localSheetId="31" hidden="1">#REF!,#REF!,#REF!</definedName>
    <definedName name="Rwvu.OPEF._.97." localSheetId="21" hidden="1">#REF!,#REF!,#REF!</definedName>
    <definedName name="Rwvu.OPEF._.97." localSheetId="42" hidden="1">#REF!,#REF!,#REF!</definedName>
    <definedName name="Rwvu.OPEF._.97." localSheetId="12" hidden="1">#REF!,#REF!,#REF!</definedName>
    <definedName name="Rwvu.OPEF._.97." localSheetId="13" hidden="1">#REF!,#REF!,#REF!</definedName>
    <definedName name="Rwvu.OPEF._.97." localSheetId="14" hidden="1">#REF!,#REF!,#REF!</definedName>
    <definedName name="Rwvu.OPEF._.97." localSheetId="15" hidden="1">#REF!,#REF!,#REF!</definedName>
    <definedName name="Rwvu.OPEF._.97." localSheetId="16" hidden="1">#REF!,#REF!,#REF!</definedName>
    <definedName name="Rwvu.OPEF._.97." localSheetId="17" hidden="1">#REF!,#REF!,#REF!</definedName>
    <definedName name="Rwvu.OPEF._.97." localSheetId="18" hidden="1">#REF!,#REF!,#REF!</definedName>
    <definedName name="Rwvu.OPEF._.97." localSheetId="19" hidden="1">#REF!,#REF!,#REF!</definedName>
    <definedName name="Rwvu.OPEF._.97." localSheetId="32" hidden="1">#REF!,#REF!,#REF!</definedName>
    <definedName name="Rwvu.OPEF._.97." localSheetId="33" hidden="1">#REF!,#REF!,#REF!</definedName>
    <definedName name="Rwvu.OPEF._.97." localSheetId="20" hidden="1">#REF!,#REF!,#REF!</definedName>
    <definedName name="Rwvu.OPEF._.97." localSheetId="40" hidden="1">#REF!,#REF!,#REF!</definedName>
    <definedName name="Rwvu.OPEF._.97." localSheetId="36" hidden="1">#REF!,#REF!,#REF!</definedName>
    <definedName name="Rwvu.OPEF._.97." localSheetId="1" hidden="1">#REF!,#REF!,#REF!</definedName>
    <definedName name="Rwvu.OPEF._.97." hidden="1">#REF!,#REF!,#REF!</definedName>
    <definedName name="S"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AO">#REF!</definedName>
    <definedName name="SAP">#REF!</definedName>
    <definedName name="SAPBEXrevision" hidden="1">1</definedName>
    <definedName name="SAPBEXsysID" hidden="1">"BWP"</definedName>
    <definedName name="SAPBEXwbID" hidden="1">"1FECOLNLOFDJ481CUORWNVEAH"</definedName>
    <definedName name="scen_name1" hidden="1">"arial"</definedName>
    <definedName name="scen_num" hidden="1">1</definedName>
    <definedName name="scen_user1" hidden="1">"DIRECCION DE INFORMATICA"</definedName>
    <definedName name="scen_value1" hidden="1">{"SUMINISTRO E INSTALACIÓN CANALETAS L=7.50"}</definedName>
    <definedName name="sd">#REF!</definedName>
    <definedName name="SDJHSAKDFJ" localSheetId="41" hidden="1">{"total",#N/A,FALSE,"TD 0% ";"total",#N/A,FALSE,"TD 12%";"total",#N/A,FALSE,"TD 10%"}</definedName>
    <definedName name="SDJHSAKDFJ" localSheetId="37" hidden="1">{"total",#N/A,FALSE,"TD 0% ";"total",#N/A,FALSE,"TD 12%";"total",#N/A,FALSE,"TD 10%"}</definedName>
    <definedName name="SDJHSAKDFJ" localSheetId="22" hidden="1">{"total",#N/A,FALSE,"TD 0% ";"total",#N/A,FALSE,"TD 12%";"total",#N/A,FALSE,"TD 10%"}</definedName>
    <definedName name="SDJHSAKDFJ" localSheetId="23" hidden="1">{"total",#N/A,FALSE,"TD 0% ";"total",#N/A,FALSE,"TD 12%";"total",#N/A,FALSE,"TD 10%"}</definedName>
    <definedName name="SDJHSAKDFJ" localSheetId="24" hidden="1">{"total",#N/A,FALSE,"TD 0% ";"total",#N/A,FALSE,"TD 12%";"total",#N/A,FALSE,"TD 10%"}</definedName>
    <definedName name="SDJHSAKDFJ" localSheetId="25" hidden="1">{"total",#N/A,FALSE,"TD 0% ";"total",#N/A,FALSE,"TD 12%";"total",#N/A,FALSE,"TD 10%"}</definedName>
    <definedName name="SDJHSAKDFJ" localSheetId="26" hidden="1">{"total",#N/A,FALSE,"TD 0% ";"total",#N/A,FALSE,"TD 12%";"total",#N/A,FALSE,"TD 10%"}</definedName>
    <definedName name="SDJHSAKDFJ" localSheetId="27" hidden="1">{"total",#N/A,FALSE,"TD 0% ";"total",#N/A,FALSE,"TD 12%";"total",#N/A,FALSE,"TD 10%"}</definedName>
    <definedName name="SDJHSAKDFJ" localSheetId="28" hidden="1">{"total",#N/A,FALSE,"TD 0% ";"total",#N/A,FALSE,"TD 12%";"total",#N/A,FALSE,"TD 10%"}</definedName>
    <definedName name="SDJHSAKDFJ" localSheetId="29" hidden="1">{"total",#N/A,FALSE,"TD 0% ";"total",#N/A,FALSE,"TD 12%";"total",#N/A,FALSE,"TD 10%"}</definedName>
    <definedName name="SDJHSAKDFJ" localSheetId="30" hidden="1">{"total",#N/A,FALSE,"TD 0% ";"total",#N/A,FALSE,"TD 12%";"total",#N/A,FALSE,"TD 10%"}</definedName>
    <definedName name="SDJHSAKDFJ" localSheetId="31" hidden="1">{"total",#N/A,FALSE,"TD 0% ";"total",#N/A,FALSE,"TD 12%";"total",#N/A,FALSE,"TD 10%"}</definedName>
    <definedName name="SDJHSAKDFJ" localSheetId="21" hidden="1">{"total",#N/A,FALSE,"TD 0% ";"total",#N/A,FALSE,"TD 12%";"total",#N/A,FALSE,"TD 10%"}</definedName>
    <definedName name="SDJHSAKDFJ" localSheetId="42" hidden="1">{"total",#N/A,FALSE,"TD 0% ";"total",#N/A,FALSE,"TD 12%";"total",#N/A,FALSE,"TD 10%"}</definedName>
    <definedName name="SDJHSAKDFJ" localSheetId="12" hidden="1">{"total",#N/A,FALSE,"TD 0% ";"total",#N/A,FALSE,"TD 12%";"total",#N/A,FALSE,"TD 10%"}</definedName>
    <definedName name="SDJHSAKDFJ" localSheetId="13" hidden="1">{"total",#N/A,FALSE,"TD 0% ";"total",#N/A,FALSE,"TD 12%";"total",#N/A,FALSE,"TD 10%"}</definedName>
    <definedName name="SDJHSAKDFJ" localSheetId="14" hidden="1">{"total",#N/A,FALSE,"TD 0% ";"total",#N/A,FALSE,"TD 12%";"total",#N/A,FALSE,"TD 10%"}</definedName>
    <definedName name="SDJHSAKDFJ" localSheetId="15" hidden="1">{"total",#N/A,FALSE,"TD 0% ";"total",#N/A,FALSE,"TD 12%";"total",#N/A,FALSE,"TD 10%"}</definedName>
    <definedName name="SDJHSAKDFJ" localSheetId="16" hidden="1">{"total",#N/A,FALSE,"TD 0% ";"total",#N/A,FALSE,"TD 12%";"total",#N/A,FALSE,"TD 10%"}</definedName>
    <definedName name="SDJHSAKDFJ" localSheetId="17" hidden="1">{"total",#N/A,FALSE,"TD 0% ";"total",#N/A,FALSE,"TD 12%";"total",#N/A,FALSE,"TD 10%"}</definedName>
    <definedName name="SDJHSAKDFJ" localSheetId="18" hidden="1">{"total",#N/A,FALSE,"TD 0% ";"total",#N/A,FALSE,"TD 12%";"total",#N/A,FALSE,"TD 10%"}</definedName>
    <definedName name="SDJHSAKDFJ" localSheetId="19" hidden="1">{"total",#N/A,FALSE,"TD 0% ";"total",#N/A,FALSE,"TD 12%";"total",#N/A,FALSE,"TD 10%"}</definedName>
    <definedName name="SDJHSAKDFJ" localSheetId="32" hidden="1">{"total",#N/A,FALSE,"TD 0% ";"total",#N/A,FALSE,"TD 12%";"total",#N/A,FALSE,"TD 10%"}</definedName>
    <definedName name="SDJHSAKDFJ" localSheetId="33" hidden="1">{"total",#N/A,FALSE,"TD 0% ";"total",#N/A,FALSE,"TD 12%";"total",#N/A,FALSE,"TD 10%"}</definedName>
    <definedName name="SDJHSAKDFJ" localSheetId="20" hidden="1">{"total",#N/A,FALSE,"TD 0% ";"total",#N/A,FALSE,"TD 12%";"total",#N/A,FALSE,"TD 10%"}</definedName>
    <definedName name="SDJHSAKDFJ" localSheetId="40" hidden="1">{"total",#N/A,FALSE,"TD 0% ";"total",#N/A,FALSE,"TD 12%";"total",#N/A,FALSE,"TD 10%"}</definedName>
    <definedName name="SDJHSAKDFJ" localSheetId="36" hidden="1">{"total",#N/A,FALSE,"TD 0% ";"total",#N/A,FALSE,"TD 12%";"total",#N/A,FALSE,"TD 10%"}</definedName>
    <definedName name="SDJHSAKDFJ" localSheetId="1" hidden="1">{"total",#N/A,FALSE,"TD 0% ";"total",#N/A,FALSE,"TD 12%";"total",#N/A,FALSE,"TD 10%"}</definedName>
    <definedName name="SDJHSAKDFJ" hidden="1">{"total",#N/A,FALSE,"TD 0% ";"total",#N/A,FALSE,"TD 12%";"total",#N/A,FALSE,"TD 10%"}</definedName>
    <definedName name="SHARED_FORMULA_0">#N/A</definedName>
    <definedName name="SHARED_FORMULA_1">#N/A</definedName>
    <definedName name="SHARED_FORMULA_10">#N/A</definedName>
    <definedName name="SHARED_FORMULA_100">#N/A</definedName>
    <definedName name="SHARED_FORMULA_101">#N/A</definedName>
    <definedName name="SHARED_FORMULA_102">#N/A</definedName>
    <definedName name="SHARED_FORMULA_103">#N/A</definedName>
    <definedName name="SHARED_FORMULA_104">#N/A</definedName>
    <definedName name="SHARED_FORMULA_105">#N/A</definedName>
    <definedName name="SHARED_FORMULA_106">#N/A</definedName>
    <definedName name="SHARED_FORMULA_107">#N/A</definedName>
    <definedName name="SHARED_FORMULA_108">#N/A</definedName>
    <definedName name="SHARED_FORMULA_109">#N/A</definedName>
    <definedName name="SHARED_FORMULA_11">#N/A</definedName>
    <definedName name="SHARED_FORMULA_110">#N/A</definedName>
    <definedName name="SHARED_FORMULA_111">#N/A</definedName>
    <definedName name="SHARED_FORMULA_112">#N/A</definedName>
    <definedName name="SHARED_FORMULA_113">#N/A</definedName>
    <definedName name="SHARED_FORMULA_114">#N/A</definedName>
    <definedName name="SHARED_FORMULA_115">#N/A</definedName>
    <definedName name="SHARED_FORMULA_116">#N/A</definedName>
    <definedName name="SHARED_FORMULA_117">#N/A</definedName>
    <definedName name="SHARED_FORMULA_118">#N/A</definedName>
    <definedName name="SHARED_FORMULA_119">#N/A</definedName>
    <definedName name="SHARED_FORMULA_12">#N/A</definedName>
    <definedName name="SHARED_FORMULA_120">#N/A</definedName>
    <definedName name="SHARED_FORMULA_121">#N/A</definedName>
    <definedName name="SHARED_FORMULA_122">#N/A</definedName>
    <definedName name="SHARED_FORMULA_123">#N/A</definedName>
    <definedName name="SHARED_FORMULA_124">#N/A</definedName>
    <definedName name="SHARED_FORMULA_125">#N/A</definedName>
    <definedName name="SHARED_FORMULA_126">#N/A</definedName>
    <definedName name="SHARED_FORMULA_127">#N/A</definedName>
    <definedName name="SHARED_FORMULA_128">#N/A</definedName>
    <definedName name="SHARED_FORMULA_129">#N/A</definedName>
    <definedName name="SHARED_FORMULA_13">#N/A</definedName>
    <definedName name="SHARED_FORMULA_130">#N/A</definedName>
    <definedName name="SHARED_FORMULA_131">#N/A</definedName>
    <definedName name="SHARED_FORMULA_132">#N/A</definedName>
    <definedName name="SHARED_FORMULA_133">#N/A</definedName>
    <definedName name="SHARED_FORMULA_134">#N/A</definedName>
    <definedName name="SHARED_FORMULA_135">#N/A</definedName>
    <definedName name="SHARED_FORMULA_136">#N/A</definedName>
    <definedName name="SHARED_FORMULA_137">#N/A</definedName>
    <definedName name="SHARED_FORMULA_138">#N/A</definedName>
    <definedName name="SHARED_FORMULA_139">#N/A</definedName>
    <definedName name="SHARED_FORMULA_14">#N/A</definedName>
    <definedName name="SHARED_FORMULA_140">#N/A</definedName>
    <definedName name="SHARED_FORMULA_141">#N/A</definedName>
    <definedName name="SHARED_FORMULA_142">#N/A</definedName>
    <definedName name="SHARED_FORMULA_143">#N/A</definedName>
    <definedName name="SHARED_FORMULA_144">#N/A</definedName>
    <definedName name="SHARED_FORMULA_145">#N/A</definedName>
    <definedName name="SHARED_FORMULA_146">#N/A</definedName>
    <definedName name="SHARED_FORMULA_147">#N/A</definedName>
    <definedName name="SHARED_FORMULA_148">#N/A</definedName>
    <definedName name="SHARED_FORMULA_149">#N/A</definedName>
    <definedName name="SHARED_FORMULA_15">#N/A</definedName>
    <definedName name="SHARED_FORMULA_150">#N/A</definedName>
    <definedName name="SHARED_FORMULA_151">#N/A</definedName>
    <definedName name="SHARED_FORMULA_152">#N/A</definedName>
    <definedName name="SHARED_FORMULA_153">#N/A</definedName>
    <definedName name="SHARED_FORMULA_154">#N/A</definedName>
    <definedName name="SHARED_FORMULA_155">#N/A</definedName>
    <definedName name="SHARED_FORMULA_156">#N/A</definedName>
    <definedName name="SHARED_FORMULA_157">#N/A</definedName>
    <definedName name="SHARED_FORMULA_158">#N/A</definedName>
    <definedName name="SHARED_FORMULA_159">#N/A</definedName>
    <definedName name="SHARED_FORMULA_16">#N/A</definedName>
    <definedName name="SHARED_FORMULA_160">#N/A</definedName>
    <definedName name="SHARED_FORMULA_161">#N/A</definedName>
    <definedName name="SHARED_FORMULA_162">#N/A</definedName>
    <definedName name="SHARED_FORMULA_163">#N/A</definedName>
    <definedName name="SHARED_FORMULA_164">#N/A</definedName>
    <definedName name="SHARED_FORMULA_165">#N/A</definedName>
    <definedName name="SHARED_FORMULA_166">#N/A</definedName>
    <definedName name="SHARED_FORMULA_167">#N/A</definedName>
    <definedName name="SHARED_FORMULA_168">#N/A</definedName>
    <definedName name="SHARED_FORMULA_169">#N/A</definedName>
    <definedName name="SHARED_FORMULA_17">#N/A</definedName>
    <definedName name="SHARED_FORMULA_170">#N/A</definedName>
    <definedName name="SHARED_FORMULA_171">#N/A</definedName>
    <definedName name="SHARED_FORMULA_172">#N/A</definedName>
    <definedName name="SHARED_FORMULA_173">#N/A</definedName>
    <definedName name="SHARED_FORMULA_174">#N/A</definedName>
    <definedName name="SHARED_FORMULA_175">#N/A</definedName>
    <definedName name="SHARED_FORMULA_176">#N/A</definedName>
    <definedName name="SHARED_FORMULA_177">#N/A</definedName>
    <definedName name="SHARED_FORMULA_178">#N/A</definedName>
    <definedName name="SHARED_FORMULA_179">#N/A</definedName>
    <definedName name="SHARED_FORMULA_18">#N/A</definedName>
    <definedName name="SHARED_FORMULA_180">#N/A</definedName>
    <definedName name="SHARED_FORMULA_181">#N/A</definedName>
    <definedName name="SHARED_FORMULA_182">#N/A</definedName>
    <definedName name="SHARED_FORMULA_183">#N/A</definedName>
    <definedName name="SHARED_FORMULA_184">#N/A</definedName>
    <definedName name="SHARED_FORMULA_185">#N/A</definedName>
    <definedName name="SHARED_FORMULA_186">#N/A</definedName>
    <definedName name="SHARED_FORMULA_187">#N/A</definedName>
    <definedName name="SHARED_FORMULA_188">#N/A</definedName>
    <definedName name="SHARED_FORMULA_189">#N/A</definedName>
    <definedName name="SHARED_FORMULA_19">#N/A</definedName>
    <definedName name="SHARED_FORMULA_190">#N/A</definedName>
    <definedName name="SHARED_FORMULA_191">#N/A</definedName>
    <definedName name="SHARED_FORMULA_192">#N/A</definedName>
    <definedName name="SHARED_FORMULA_193">#N/A</definedName>
    <definedName name="SHARED_FORMULA_194">#N/A</definedName>
    <definedName name="SHARED_FORMULA_195">#N/A</definedName>
    <definedName name="SHARED_FORMULA_196">#N/A</definedName>
    <definedName name="SHARED_FORMULA_197">#N/A</definedName>
    <definedName name="SHARED_FORMULA_198">#N/A</definedName>
    <definedName name="SHARED_FORMULA_199">#N/A</definedName>
    <definedName name="SHARED_FORMULA_2">#N/A</definedName>
    <definedName name="SHARED_FORMULA_20">#N/A</definedName>
    <definedName name="SHARED_FORMULA_200">#N/A</definedName>
    <definedName name="SHARED_FORMULA_201">#N/A</definedName>
    <definedName name="SHARED_FORMULA_202">#N/A</definedName>
    <definedName name="SHARED_FORMULA_203">#N/A</definedName>
    <definedName name="SHARED_FORMULA_204">#N/A</definedName>
    <definedName name="SHARED_FORMULA_205">#N/A</definedName>
    <definedName name="SHARED_FORMULA_206">#N/A</definedName>
    <definedName name="SHARED_FORMULA_21">#N/A</definedName>
    <definedName name="SHARED_FORMULA_22">#N/A</definedName>
    <definedName name="SHARED_FORMULA_23">#N/A</definedName>
    <definedName name="SHARED_FORMULA_24">#N/A</definedName>
    <definedName name="SHARED_FORMULA_25">#N/A</definedName>
    <definedName name="SHARED_FORMULA_26">#N/A</definedName>
    <definedName name="SHARED_FORMULA_27">#N/A</definedName>
    <definedName name="SHARED_FORMULA_28">#N/A</definedName>
    <definedName name="SHARED_FORMULA_29">#N/A</definedName>
    <definedName name="SHARED_FORMULA_3">#N/A</definedName>
    <definedName name="SHARED_FORMULA_30">#N/A</definedName>
    <definedName name="SHARED_FORMULA_31">#N/A</definedName>
    <definedName name="SHARED_FORMULA_32">#N/A</definedName>
    <definedName name="SHARED_FORMULA_33">#N/A</definedName>
    <definedName name="SHARED_FORMULA_34">#N/A</definedName>
    <definedName name="SHARED_FORMULA_35">#N/A</definedName>
    <definedName name="SHARED_FORMULA_36">#N/A</definedName>
    <definedName name="SHARED_FORMULA_37">#N/A</definedName>
    <definedName name="SHARED_FORMULA_38">#N/A</definedName>
    <definedName name="SHARED_FORMULA_39">#N/A</definedName>
    <definedName name="SHARED_FORMULA_4">#N/A</definedName>
    <definedName name="SHARED_FORMULA_40">#N/A</definedName>
    <definedName name="SHARED_FORMULA_41">#N/A</definedName>
    <definedName name="SHARED_FORMULA_42">#N/A</definedName>
    <definedName name="SHARED_FORMULA_43">#N/A</definedName>
    <definedName name="SHARED_FORMULA_44">#N/A</definedName>
    <definedName name="SHARED_FORMULA_45">#N/A</definedName>
    <definedName name="SHARED_FORMULA_46">#N/A</definedName>
    <definedName name="SHARED_FORMULA_47">#N/A</definedName>
    <definedName name="SHARED_FORMULA_48">#N/A</definedName>
    <definedName name="SHARED_FORMULA_49">#N/A</definedName>
    <definedName name="SHARED_FORMULA_5">#N/A</definedName>
    <definedName name="SHARED_FORMULA_50">#N/A</definedName>
    <definedName name="SHARED_FORMULA_51">#N/A</definedName>
    <definedName name="SHARED_FORMULA_52">#N/A</definedName>
    <definedName name="SHARED_FORMULA_53">#N/A</definedName>
    <definedName name="SHARED_FORMULA_54">#N/A</definedName>
    <definedName name="SHARED_FORMULA_55">#N/A</definedName>
    <definedName name="SHARED_FORMULA_56">#N/A</definedName>
    <definedName name="SHARED_FORMULA_57">#N/A</definedName>
    <definedName name="SHARED_FORMULA_58">#N/A</definedName>
    <definedName name="SHARED_FORMULA_59">#N/A</definedName>
    <definedName name="SHARED_FORMULA_6">#N/A</definedName>
    <definedName name="SHARED_FORMULA_60">#N/A</definedName>
    <definedName name="SHARED_FORMULA_61">#N/A</definedName>
    <definedName name="SHARED_FORMULA_62">#N/A</definedName>
    <definedName name="SHARED_FORMULA_63">#N/A</definedName>
    <definedName name="SHARED_FORMULA_64">#N/A</definedName>
    <definedName name="SHARED_FORMULA_65">#N/A</definedName>
    <definedName name="SHARED_FORMULA_66">#N/A</definedName>
    <definedName name="SHARED_FORMULA_67">#N/A</definedName>
    <definedName name="SHARED_FORMULA_68">#N/A</definedName>
    <definedName name="SHARED_FORMULA_69">#N/A</definedName>
    <definedName name="SHARED_FORMULA_7">#N/A</definedName>
    <definedName name="SHARED_FORMULA_70">#N/A</definedName>
    <definedName name="SHARED_FORMULA_71">#N/A</definedName>
    <definedName name="SHARED_FORMULA_72">#N/A</definedName>
    <definedName name="SHARED_FORMULA_73">#N/A</definedName>
    <definedName name="SHARED_FORMULA_74">#N/A</definedName>
    <definedName name="SHARED_FORMULA_75">#N/A</definedName>
    <definedName name="SHARED_FORMULA_76">#N/A</definedName>
    <definedName name="SHARED_FORMULA_77">#N/A</definedName>
    <definedName name="SHARED_FORMULA_78">#N/A</definedName>
    <definedName name="SHARED_FORMULA_79">#N/A</definedName>
    <definedName name="SHARED_FORMULA_8">#N/A</definedName>
    <definedName name="SHARED_FORMULA_80">#N/A</definedName>
    <definedName name="SHARED_FORMULA_81">#N/A</definedName>
    <definedName name="SHARED_FORMULA_82">#N/A</definedName>
    <definedName name="SHARED_FORMULA_83">#N/A</definedName>
    <definedName name="SHARED_FORMULA_84">#N/A</definedName>
    <definedName name="SHARED_FORMULA_85">#N/A</definedName>
    <definedName name="SHARED_FORMULA_86">#N/A</definedName>
    <definedName name="SHARED_FORMULA_87">#N/A</definedName>
    <definedName name="SHARED_FORMULA_88">#N/A</definedName>
    <definedName name="SHARED_FORMULA_89">#N/A</definedName>
    <definedName name="SHARED_FORMULA_9">#N/A</definedName>
    <definedName name="SHARED_FORMULA_90">#N/A</definedName>
    <definedName name="SHARED_FORMULA_91">#N/A</definedName>
    <definedName name="SHARED_FORMULA_92">#N/A</definedName>
    <definedName name="SHARED_FORMULA_93">#N/A</definedName>
    <definedName name="SHARED_FORMULA_94">#N/A</definedName>
    <definedName name="SHARED_FORMULA_95">#N/A</definedName>
    <definedName name="SHARED_FORMULA_96">#N/A</definedName>
    <definedName name="SHARED_FORMULA_97">#N/A</definedName>
    <definedName name="SHARED_FORMULA_98">#N/A</definedName>
    <definedName name="SHARED_FORMULA_99">#N/A</definedName>
    <definedName name="SI" localSheetId="22">[0]!ERR</definedName>
    <definedName name="SI" localSheetId="23">[0]!ERR</definedName>
    <definedName name="SI" localSheetId="24">[0]!ERR</definedName>
    <definedName name="SI" localSheetId="25">[0]!ERR</definedName>
    <definedName name="SI" localSheetId="26">[0]!ERR</definedName>
    <definedName name="SI" localSheetId="27">[0]!ERR</definedName>
    <definedName name="SI" localSheetId="28">[0]!ERR</definedName>
    <definedName name="SI" localSheetId="29">[0]!ERR</definedName>
    <definedName name="SI" localSheetId="30">[0]!ERR</definedName>
    <definedName name="SI" localSheetId="31">[0]!ERR</definedName>
    <definedName name="SI" localSheetId="42">[0]!ERR</definedName>
    <definedName name="SI" localSheetId="13">[0]!ERR</definedName>
    <definedName name="SI" localSheetId="14">[0]!ERR</definedName>
    <definedName name="SI" localSheetId="15">[0]!ERR</definedName>
    <definedName name="SI" localSheetId="16">[0]!ERR</definedName>
    <definedName name="SI" localSheetId="17">[0]!ERR</definedName>
    <definedName name="SI" localSheetId="18">[0]!ERR</definedName>
    <definedName name="SI" localSheetId="19">[0]!ERR</definedName>
    <definedName name="SI" localSheetId="32">[0]!ERR</definedName>
    <definedName name="SI" localSheetId="33">[0]!ERR</definedName>
    <definedName name="SI" localSheetId="20">[0]!ERR</definedName>
    <definedName name="SI" localSheetId="44">[0]!ERR</definedName>
    <definedName name="SI" localSheetId="8">[0]!ERR</definedName>
    <definedName name="SI" localSheetId="10">[0]!ERR</definedName>
    <definedName name="SI">[0]!ERR</definedName>
    <definedName name="SISISIS" localSheetId="22">[0]!ERR</definedName>
    <definedName name="SISISIS" localSheetId="23">[0]!ERR</definedName>
    <definedName name="SISISIS" localSheetId="24">[0]!ERR</definedName>
    <definedName name="SISISIS" localSheetId="25">[0]!ERR</definedName>
    <definedName name="SISISIS" localSheetId="26">[0]!ERR</definedName>
    <definedName name="SISISIS" localSheetId="27">[0]!ERR</definedName>
    <definedName name="SISISIS" localSheetId="28">[0]!ERR</definedName>
    <definedName name="SISISIS" localSheetId="29">[0]!ERR</definedName>
    <definedName name="SISISIS" localSheetId="30">[0]!ERR</definedName>
    <definedName name="SISISIS" localSheetId="31">[0]!ERR</definedName>
    <definedName name="SISISIS" localSheetId="42">[0]!ERR</definedName>
    <definedName name="SISISIS" localSheetId="13">[0]!ERR</definedName>
    <definedName name="SISISIS" localSheetId="14">[0]!ERR</definedName>
    <definedName name="SISISIS" localSheetId="15">[0]!ERR</definedName>
    <definedName name="SISISIS" localSheetId="16">[0]!ERR</definedName>
    <definedName name="SISISIS" localSheetId="17">[0]!ERR</definedName>
    <definedName name="SISISIS" localSheetId="18">[0]!ERR</definedName>
    <definedName name="SISISIS" localSheetId="19">[0]!ERR</definedName>
    <definedName name="SISISIS" localSheetId="32">[0]!ERR</definedName>
    <definedName name="SISISIS" localSheetId="33">[0]!ERR</definedName>
    <definedName name="SISISIS" localSheetId="20">[0]!ERR</definedName>
    <definedName name="SISISIS" localSheetId="44">[0]!ERR</definedName>
    <definedName name="SISISIS" localSheetId="8">[0]!ERR</definedName>
    <definedName name="SISISIS" localSheetId="10">[0]!ERR</definedName>
    <definedName name="SISISIS">[0]!ERR</definedName>
    <definedName name="SMMLV">#REF!</definedName>
    <definedName name="solver_eng" localSheetId="2" hidden="1">1</definedName>
    <definedName name="solver_neg" localSheetId="2" hidden="1">1</definedName>
    <definedName name="solver_num" localSheetId="2" hidden="1">0</definedName>
    <definedName name="solver_opt" localSheetId="2" hidden="1">'EV PROG TÉCNICOS'!$A$331</definedName>
    <definedName name="solver_typ" localSheetId="2" hidden="1">1</definedName>
    <definedName name="solver_val" localSheetId="2" hidden="1">0</definedName>
    <definedName name="solver_ver" localSheetId="2" hidden="1">3</definedName>
    <definedName name="ss" localSheetId="41" hidden="1">#REF!</definedName>
    <definedName name="ss" localSheetId="22" hidden="1">#REF!</definedName>
    <definedName name="ss" localSheetId="23" hidden="1">#REF!</definedName>
    <definedName name="ss" localSheetId="24" hidden="1">#REF!</definedName>
    <definedName name="ss" localSheetId="25" hidden="1">#REF!</definedName>
    <definedName name="ss" localSheetId="26" hidden="1">#REF!</definedName>
    <definedName name="ss" localSheetId="27" hidden="1">#REF!</definedName>
    <definedName name="ss" localSheetId="28" hidden="1">#REF!</definedName>
    <definedName name="ss" localSheetId="29" hidden="1">#REF!</definedName>
    <definedName name="ss" localSheetId="30" hidden="1">#REF!</definedName>
    <definedName name="ss" localSheetId="31" hidden="1">#REF!</definedName>
    <definedName name="ss" localSheetId="21" hidden="1">#REF!</definedName>
    <definedName name="ss" localSheetId="42" hidden="1">#REF!</definedName>
    <definedName name="ss" localSheetId="32" hidden="1">#REF!</definedName>
    <definedName name="ss" localSheetId="33" hidden="1">#REF!</definedName>
    <definedName name="SS" localSheetId="9">[0]!ERR</definedName>
    <definedName name="ss" localSheetId="40" hidden="1">#REF!</definedName>
    <definedName name="SS" localSheetId="8">[0]!ERR</definedName>
    <definedName name="ss" hidden="1">#REF!</definedName>
    <definedName name="sss">#REF!</definedName>
    <definedName name="SSSSS" hidden="1">{"SUMINISTRO E INSTALACIÓN CANALETAS L=7.50"}</definedName>
    <definedName name="Sum">#REF!</definedName>
    <definedName name="sw" localSheetId="22">[0]!ERR</definedName>
    <definedName name="sw" localSheetId="23">[0]!ERR</definedName>
    <definedName name="sw" localSheetId="24">[0]!ERR</definedName>
    <definedName name="sw" localSheetId="25">[0]!ERR</definedName>
    <definedName name="sw" localSheetId="26">[0]!ERR</definedName>
    <definedName name="sw" localSheetId="27">[0]!ERR</definedName>
    <definedName name="sw" localSheetId="28">[0]!ERR</definedName>
    <definedName name="sw" localSheetId="29">[0]!ERR</definedName>
    <definedName name="sw" localSheetId="30">[0]!ERR</definedName>
    <definedName name="sw" localSheetId="31">[0]!ERR</definedName>
    <definedName name="sw" localSheetId="42">[0]!ERR</definedName>
    <definedName name="sw" localSheetId="13">[0]!ERR</definedName>
    <definedName name="sw" localSheetId="14">[0]!ERR</definedName>
    <definedName name="sw" localSheetId="15">[0]!ERR</definedName>
    <definedName name="sw" localSheetId="16">[0]!ERR</definedName>
    <definedName name="sw" localSheetId="17">[0]!ERR</definedName>
    <definedName name="sw" localSheetId="18">[0]!ERR</definedName>
    <definedName name="sw" localSheetId="19">[0]!ERR</definedName>
    <definedName name="sw" localSheetId="32">[0]!ERR</definedName>
    <definedName name="sw" localSheetId="33">[0]!ERR</definedName>
    <definedName name="sw" localSheetId="20">[0]!ERR</definedName>
    <definedName name="sw" localSheetId="44">[0]!ERR</definedName>
    <definedName name="sw" localSheetId="8">[0]!ERR</definedName>
    <definedName name="sw" localSheetId="10">[0]!ERR</definedName>
    <definedName name="sw">[0]!ERR</definedName>
    <definedName name="T" localSheetId="41" hidden="1">#REF!,#REF!,#REF!,#REF!</definedName>
    <definedName name="T" localSheetId="22" hidden="1">#REF!,#REF!,#REF!,#REF!</definedName>
    <definedName name="T" localSheetId="23" hidden="1">#REF!,#REF!,#REF!,#REF!</definedName>
    <definedName name="T" localSheetId="24" hidden="1">#REF!,#REF!,#REF!,#REF!</definedName>
    <definedName name="T" localSheetId="25" hidden="1">#REF!,#REF!,#REF!,#REF!</definedName>
    <definedName name="T" localSheetId="26" hidden="1">#REF!,#REF!,#REF!,#REF!</definedName>
    <definedName name="T" localSheetId="27" hidden="1">#REF!,#REF!,#REF!,#REF!</definedName>
    <definedName name="T" localSheetId="28" hidden="1">#REF!,#REF!,#REF!,#REF!</definedName>
    <definedName name="T" localSheetId="29" hidden="1">#REF!,#REF!,#REF!,#REF!</definedName>
    <definedName name="T" localSheetId="30" hidden="1">#REF!,#REF!,#REF!,#REF!</definedName>
    <definedName name="T" localSheetId="31" hidden="1">#REF!,#REF!,#REF!,#REF!</definedName>
    <definedName name="T" localSheetId="21" hidden="1">#REF!,#REF!,#REF!,#REF!</definedName>
    <definedName name="T" localSheetId="42" hidden="1">#REF!,#REF!,#REF!,#REF!</definedName>
    <definedName name="T" localSheetId="32" hidden="1">#REF!,#REF!,#REF!,#REF!</definedName>
    <definedName name="T" localSheetId="33" hidden="1">#REF!,#REF!,#REF!,#REF!</definedName>
    <definedName name="T" localSheetId="40" hidden="1">#REF!,#REF!,#REF!,#REF!</definedName>
    <definedName name="T" hidden="1">#REF!,#REF!,#REF!,#REF!</definedName>
    <definedName name="T.3">#REF!</definedName>
    <definedName name="T_1">#REF!</definedName>
    <definedName name="T_2">#REF!</definedName>
    <definedName name="T_3">#REF!</definedName>
    <definedName name="T1_">#REF!</definedName>
    <definedName name="T2_">#REF!</definedName>
    <definedName name="TARIFAS4" localSheetId="41" hidden="1">{"total",#N/A,FALSE,"TD 0% ";"total",#N/A,FALSE,"TD 12%";"total",#N/A,FALSE,"TD 10%"}</definedName>
    <definedName name="TARIFAS4" localSheetId="37" hidden="1">{"total",#N/A,FALSE,"TD 0% ";"total",#N/A,FALSE,"TD 12%";"total",#N/A,FALSE,"TD 10%"}</definedName>
    <definedName name="TARIFAS4" localSheetId="22" hidden="1">{"total",#N/A,FALSE,"TD 0% ";"total",#N/A,FALSE,"TD 12%";"total",#N/A,FALSE,"TD 10%"}</definedName>
    <definedName name="TARIFAS4" localSheetId="23" hidden="1">{"total",#N/A,FALSE,"TD 0% ";"total",#N/A,FALSE,"TD 12%";"total",#N/A,FALSE,"TD 10%"}</definedName>
    <definedName name="TARIFAS4" localSheetId="24" hidden="1">{"total",#N/A,FALSE,"TD 0% ";"total",#N/A,FALSE,"TD 12%";"total",#N/A,FALSE,"TD 10%"}</definedName>
    <definedName name="TARIFAS4" localSheetId="25" hidden="1">{"total",#N/A,FALSE,"TD 0% ";"total",#N/A,FALSE,"TD 12%";"total",#N/A,FALSE,"TD 10%"}</definedName>
    <definedName name="TARIFAS4" localSheetId="26" hidden="1">{"total",#N/A,FALSE,"TD 0% ";"total",#N/A,FALSE,"TD 12%";"total",#N/A,FALSE,"TD 10%"}</definedName>
    <definedName name="TARIFAS4" localSheetId="27" hidden="1">{"total",#N/A,FALSE,"TD 0% ";"total",#N/A,FALSE,"TD 12%";"total",#N/A,FALSE,"TD 10%"}</definedName>
    <definedName name="TARIFAS4" localSheetId="28" hidden="1">{"total",#N/A,FALSE,"TD 0% ";"total",#N/A,FALSE,"TD 12%";"total",#N/A,FALSE,"TD 10%"}</definedName>
    <definedName name="TARIFAS4" localSheetId="29" hidden="1">{"total",#N/A,FALSE,"TD 0% ";"total",#N/A,FALSE,"TD 12%";"total",#N/A,FALSE,"TD 10%"}</definedName>
    <definedName name="TARIFAS4" localSheetId="30" hidden="1">{"total",#N/A,FALSE,"TD 0% ";"total",#N/A,FALSE,"TD 12%";"total",#N/A,FALSE,"TD 10%"}</definedName>
    <definedName name="TARIFAS4" localSheetId="31" hidden="1">{"total",#N/A,FALSE,"TD 0% ";"total",#N/A,FALSE,"TD 12%";"total",#N/A,FALSE,"TD 10%"}</definedName>
    <definedName name="TARIFAS4" localSheetId="21" hidden="1">{"total",#N/A,FALSE,"TD 0% ";"total",#N/A,FALSE,"TD 12%";"total",#N/A,FALSE,"TD 10%"}</definedName>
    <definedName name="TARIFAS4" localSheetId="42" hidden="1">{"total",#N/A,FALSE,"TD 0% ";"total",#N/A,FALSE,"TD 12%";"total",#N/A,FALSE,"TD 10%"}</definedName>
    <definedName name="TARIFAS4" localSheetId="12" hidden="1">{"total",#N/A,FALSE,"TD 0% ";"total",#N/A,FALSE,"TD 12%";"total",#N/A,FALSE,"TD 10%"}</definedName>
    <definedName name="TARIFAS4" localSheetId="13" hidden="1">{"total",#N/A,FALSE,"TD 0% ";"total",#N/A,FALSE,"TD 12%";"total",#N/A,FALSE,"TD 10%"}</definedName>
    <definedName name="TARIFAS4" localSheetId="14" hidden="1">{"total",#N/A,FALSE,"TD 0% ";"total",#N/A,FALSE,"TD 12%";"total",#N/A,FALSE,"TD 10%"}</definedName>
    <definedName name="TARIFAS4" localSheetId="15" hidden="1">{"total",#N/A,FALSE,"TD 0% ";"total",#N/A,FALSE,"TD 12%";"total",#N/A,FALSE,"TD 10%"}</definedName>
    <definedName name="TARIFAS4" localSheetId="16" hidden="1">{"total",#N/A,FALSE,"TD 0% ";"total",#N/A,FALSE,"TD 12%";"total",#N/A,FALSE,"TD 10%"}</definedName>
    <definedName name="TARIFAS4" localSheetId="17" hidden="1">{"total",#N/A,FALSE,"TD 0% ";"total",#N/A,FALSE,"TD 12%";"total",#N/A,FALSE,"TD 10%"}</definedName>
    <definedName name="TARIFAS4" localSheetId="18" hidden="1">{"total",#N/A,FALSE,"TD 0% ";"total",#N/A,FALSE,"TD 12%";"total",#N/A,FALSE,"TD 10%"}</definedName>
    <definedName name="TARIFAS4" localSheetId="19" hidden="1">{"total",#N/A,FALSE,"TD 0% ";"total",#N/A,FALSE,"TD 12%";"total",#N/A,FALSE,"TD 10%"}</definedName>
    <definedName name="TARIFAS4" localSheetId="32" hidden="1">{"total",#N/A,FALSE,"TD 0% ";"total",#N/A,FALSE,"TD 12%";"total",#N/A,FALSE,"TD 10%"}</definedName>
    <definedName name="TARIFAS4" localSheetId="33" hidden="1">{"total",#N/A,FALSE,"TD 0% ";"total",#N/A,FALSE,"TD 12%";"total",#N/A,FALSE,"TD 10%"}</definedName>
    <definedName name="TARIFAS4" localSheetId="20" hidden="1">{"total",#N/A,FALSE,"TD 0% ";"total",#N/A,FALSE,"TD 12%";"total",#N/A,FALSE,"TD 10%"}</definedName>
    <definedName name="TARIFAS4" localSheetId="40" hidden="1">{"total",#N/A,FALSE,"TD 0% ";"total",#N/A,FALSE,"TD 12%";"total",#N/A,FALSE,"TD 10%"}</definedName>
    <definedName name="TARIFAS4" localSheetId="36" hidden="1">{"total",#N/A,FALSE,"TD 0% ";"total",#N/A,FALSE,"TD 12%";"total",#N/A,FALSE,"TD 10%"}</definedName>
    <definedName name="TARIFAS4" localSheetId="1" hidden="1">{"total",#N/A,FALSE,"TD 0% ";"total",#N/A,FALSE,"TD 12%";"total",#N/A,FALSE,"TD 10%"}</definedName>
    <definedName name="TARIFAS4" hidden="1">{"total",#N/A,FALSE,"TD 0% ";"total",#N/A,FALSE,"TD 12%";"total",#N/A,FALSE,"TD 10%"}</definedName>
    <definedName name="thnf" localSheetId="4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4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4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_xlnm.Print_Titles">#N/A</definedName>
    <definedName name="To">#REF!</definedName>
    <definedName name="TOTAL">#REF!</definedName>
    <definedName name="TQTOTAL" localSheetId="41">#REF!</definedName>
    <definedName name="TQTOTAL" localSheetId="37">#REF!</definedName>
    <definedName name="TQTOTAL" localSheetId="22">#REF!</definedName>
    <definedName name="TQTOTAL" localSheetId="23">#REF!</definedName>
    <definedName name="TQTOTAL" localSheetId="24">#REF!</definedName>
    <definedName name="TQTOTAL" localSheetId="25">#REF!</definedName>
    <definedName name="TQTOTAL" localSheetId="26">#REF!</definedName>
    <definedName name="TQTOTAL" localSheetId="27">#REF!</definedName>
    <definedName name="TQTOTAL" localSheetId="28">#REF!</definedName>
    <definedName name="TQTOTAL" localSheetId="29">#REF!</definedName>
    <definedName name="TQTOTAL" localSheetId="30">#REF!</definedName>
    <definedName name="TQTOTAL" localSheetId="31">#REF!</definedName>
    <definedName name="TQTOTAL" localSheetId="21">#REF!</definedName>
    <definedName name="TQTOTAL" localSheetId="42">#REF!</definedName>
    <definedName name="TQTOTAL" localSheetId="12">#REF!</definedName>
    <definedName name="TQTOTAL" localSheetId="13">#REF!</definedName>
    <definedName name="TQTOTAL" localSheetId="14">#REF!</definedName>
    <definedName name="TQTOTAL" localSheetId="15">#REF!</definedName>
    <definedName name="TQTOTAL" localSheetId="16">#REF!</definedName>
    <definedName name="TQTOTAL" localSheetId="17">#REF!</definedName>
    <definedName name="TQTOTAL" localSheetId="18">#REF!</definedName>
    <definedName name="TQTOTAL" localSheetId="19">#REF!</definedName>
    <definedName name="TQTOTAL" localSheetId="32">#REF!</definedName>
    <definedName name="TQTOTAL" localSheetId="33">#REF!</definedName>
    <definedName name="TQTOTAL" localSheetId="20">#REF!</definedName>
    <definedName name="TQTOTAL" localSheetId="40">#REF!</definedName>
    <definedName name="TQTOTAL" localSheetId="36">#REF!</definedName>
    <definedName name="TQTOTAL" localSheetId="1">#REF!</definedName>
    <definedName name="TQTOTAL">'EV PROG TÉCNICOS'!$D$638</definedName>
    <definedName name="tre" localSheetId="41" hidden="1">#REF!,#REF!,#REF!,#REF!</definedName>
    <definedName name="tre" localSheetId="22" hidden="1">#REF!,#REF!,#REF!,#REF!</definedName>
    <definedName name="tre" localSheetId="23" hidden="1">#REF!,#REF!,#REF!,#REF!</definedName>
    <definedName name="tre" localSheetId="24" hidden="1">#REF!,#REF!,#REF!,#REF!</definedName>
    <definedName name="tre" localSheetId="25" hidden="1">#REF!,#REF!,#REF!,#REF!</definedName>
    <definedName name="tre" localSheetId="26" hidden="1">#REF!,#REF!,#REF!,#REF!</definedName>
    <definedName name="tre" localSheetId="27" hidden="1">#REF!,#REF!,#REF!,#REF!</definedName>
    <definedName name="tre" localSheetId="28" hidden="1">#REF!,#REF!,#REF!,#REF!</definedName>
    <definedName name="tre" localSheetId="29" hidden="1">#REF!,#REF!,#REF!,#REF!</definedName>
    <definedName name="tre" localSheetId="30" hidden="1">#REF!,#REF!,#REF!,#REF!</definedName>
    <definedName name="tre" localSheetId="31" hidden="1">#REF!,#REF!,#REF!,#REF!</definedName>
    <definedName name="tre" localSheetId="21" hidden="1">#REF!,#REF!,#REF!,#REF!</definedName>
    <definedName name="tre" localSheetId="42" hidden="1">#REF!,#REF!,#REF!,#REF!</definedName>
    <definedName name="tre" localSheetId="32" hidden="1">#REF!,#REF!,#REF!,#REF!</definedName>
    <definedName name="tre" localSheetId="33" hidden="1">#REF!,#REF!,#REF!,#REF!</definedName>
    <definedName name="tre" localSheetId="40" hidden="1">#REF!,#REF!,#REF!,#REF!</definedName>
    <definedName name="tre" hidden="1">#REF!,#REF!,#REF!,#REF!</definedName>
    <definedName name="U"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_Z">#REF!</definedName>
    <definedName name="UAI">#REF!</definedName>
    <definedName name="uht" localSheetId="41" hidden="1">#REF!,#REF!,#REF!</definedName>
    <definedName name="uht" localSheetId="22" hidden="1">#REF!,#REF!,#REF!</definedName>
    <definedName name="uht" localSheetId="23" hidden="1">#REF!,#REF!,#REF!</definedName>
    <definedName name="uht" localSheetId="24" hidden="1">#REF!,#REF!,#REF!</definedName>
    <definedName name="uht" localSheetId="25" hidden="1">#REF!,#REF!,#REF!</definedName>
    <definedName name="uht" localSheetId="26" hidden="1">#REF!,#REF!,#REF!</definedName>
    <definedName name="uht" localSheetId="27" hidden="1">#REF!,#REF!,#REF!</definedName>
    <definedName name="uht" localSheetId="28" hidden="1">#REF!,#REF!,#REF!</definedName>
    <definedName name="uht" localSheetId="29" hidden="1">#REF!,#REF!,#REF!</definedName>
    <definedName name="uht" localSheetId="30" hidden="1">#REF!,#REF!,#REF!</definedName>
    <definedName name="uht" localSheetId="31" hidden="1">#REF!,#REF!,#REF!</definedName>
    <definedName name="uht" localSheetId="21" hidden="1">#REF!,#REF!,#REF!</definedName>
    <definedName name="uht" localSheetId="42" hidden="1">#REF!,#REF!,#REF!</definedName>
    <definedName name="uht" localSheetId="32" hidden="1">#REF!,#REF!,#REF!</definedName>
    <definedName name="uht" localSheetId="33" hidden="1">#REF!,#REF!,#REF!</definedName>
    <definedName name="uht" localSheetId="40" hidden="1">#REF!,#REF!,#REF!</definedName>
    <definedName name="uht" hidden="1">#REF!,#REF!,#REF!</definedName>
    <definedName name="UO" localSheetId="22">[0]!ERR</definedName>
    <definedName name="UO" localSheetId="23">[0]!ERR</definedName>
    <definedName name="UO" localSheetId="24">[0]!ERR</definedName>
    <definedName name="UO" localSheetId="25">[0]!ERR</definedName>
    <definedName name="UO" localSheetId="26">[0]!ERR</definedName>
    <definedName name="UO" localSheetId="27">[0]!ERR</definedName>
    <definedName name="UO" localSheetId="28">[0]!ERR</definedName>
    <definedName name="UO" localSheetId="29">[0]!ERR</definedName>
    <definedName name="UO" localSheetId="30">[0]!ERR</definedName>
    <definedName name="UO" localSheetId="31">[0]!ERR</definedName>
    <definedName name="UO" localSheetId="42">[0]!ERR</definedName>
    <definedName name="UO" localSheetId="13">[0]!ERR</definedName>
    <definedName name="UO" localSheetId="14">[0]!ERR</definedName>
    <definedName name="UO" localSheetId="15">[0]!ERR</definedName>
    <definedName name="UO" localSheetId="16">[0]!ERR</definedName>
    <definedName name="UO" localSheetId="17">[0]!ERR</definedName>
    <definedName name="UO" localSheetId="18">[0]!ERR</definedName>
    <definedName name="UO" localSheetId="19">[0]!ERR</definedName>
    <definedName name="UO" localSheetId="32">[0]!ERR</definedName>
    <definedName name="UO" localSheetId="33">[0]!ERR</definedName>
    <definedName name="UO" localSheetId="20">[0]!ERR</definedName>
    <definedName name="UO" localSheetId="44">[0]!ERR</definedName>
    <definedName name="UO" localSheetId="8">[0]!ERR</definedName>
    <definedName name="UO" localSheetId="10">[0]!ERR</definedName>
    <definedName name="UO">[0]!ERR</definedName>
    <definedName name="USUARIOS">#REF!</definedName>
    <definedName name="v"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ar">#REF!</definedName>
    <definedName name="VBC">#REF!</definedName>
    <definedName name="VPD">#REF!</definedName>
    <definedName name="VVV">#REF!</definedName>
    <definedName name="W" localSheetId="41" hidden="1">#REF!,#REF!</definedName>
    <definedName name="W" localSheetId="37" hidden="1">#REF!,#REF!</definedName>
    <definedName name="W" localSheetId="22" hidden="1">#REF!,#REF!</definedName>
    <definedName name="W" localSheetId="23" hidden="1">#REF!,#REF!</definedName>
    <definedName name="W" localSheetId="24" hidden="1">#REF!,#REF!</definedName>
    <definedName name="W" localSheetId="25" hidden="1">#REF!,#REF!</definedName>
    <definedName name="W" localSheetId="26" hidden="1">#REF!,#REF!</definedName>
    <definedName name="W" localSheetId="27" hidden="1">#REF!,#REF!</definedName>
    <definedName name="W" localSheetId="28" hidden="1">#REF!,#REF!</definedName>
    <definedName name="W" localSheetId="29" hidden="1">#REF!,#REF!</definedName>
    <definedName name="W" localSheetId="30" hidden="1">#REF!,#REF!</definedName>
    <definedName name="W" localSheetId="31" hidden="1">#REF!,#REF!</definedName>
    <definedName name="W" localSheetId="21" hidden="1">#REF!,#REF!</definedName>
    <definedName name="W" localSheetId="42" hidden="1">#REF!,#REF!</definedName>
    <definedName name="W" localSheetId="12" hidden="1">#REF!,#REF!</definedName>
    <definedName name="W" localSheetId="13" hidden="1">#REF!,#REF!</definedName>
    <definedName name="W" localSheetId="14" hidden="1">#REF!,#REF!</definedName>
    <definedName name="W" localSheetId="15" hidden="1">#REF!,#REF!</definedName>
    <definedName name="W" localSheetId="16" hidden="1">#REF!,#REF!</definedName>
    <definedName name="W" localSheetId="17" hidden="1">#REF!,#REF!</definedName>
    <definedName name="W" localSheetId="18" hidden="1">#REF!,#REF!</definedName>
    <definedName name="W" localSheetId="19" hidden="1">#REF!,#REF!</definedName>
    <definedName name="W" localSheetId="32" hidden="1">#REF!,#REF!</definedName>
    <definedName name="W" localSheetId="33" hidden="1">#REF!,#REF!</definedName>
    <definedName name="W" localSheetId="20" hidden="1">#REF!,#REF!</definedName>
    <definedName name="W" localSheetId="40" hidden="1">#REF!,#REF!</definedName>
    <definedName name="W" localSheetId="36" hidden="1">#REF!,#REF!</definedName>
    <definedName name="W" localSheetId="1" hidden="1">#REF!,#REF!</definedName>
    <definedName name="W" hidden="1">#REF!,#REF!</definedName>
    <definedName name="WA" localSheetId="22">[0]!ERR</definedName>
    <definedName name="WA" localSheetId="23">[0]!ERR</definedName>
    <definedName name="WA" localSheetId="24">[0]!ERR</definedName>
    <definedName name="WA" localSheetId="25">[0]!ERR</definedName>
    <definedName name="WA" localSheetId="26">[0]!ERR</definedName>
    <definedName name="WA" localSheetId="27">[0]!ERR</definedName>
    <definedName name="WA" localSheetId="28">[0]!ERR</definedName>
    <definedName name="WA" localSheetId="29">[0]!ERR</definedName>
    <definedName name="WA" localSheetId="30">[0]!ERR</definedName>
    <definedName name="WA" localSheetId="31">[0]!ERR</definedName>
    <definedName name="WA" localSheetId="42">[0]!ERR</definedName>
    <definedName name="WA" localSheetId="13">[0]!ERR</definedName>
    <definedName name="WA" localSheetId="14">[0]!ERR</definedName>
    <definedName name="WA" localSheetId="15">[0]!ERR</definedName>
    <definedName name="WA" localSheetId="16">[0]!ERR</definedName>
    <definedName name="WA" localSheetId="17">[0]!ERR</definedName>
    <definedName name="WA" localSheetId="18">[0]!ERR</definedName>
    <definedName name="WA" localSheetId="19">[0]!ERR</definedName>
    <definedName name="WA" localSheetId="32">[0]!ERR</definedName>
    <definedName name="WA" localSheetId="33">[0]!ERR</definedName>
    <definedName name="WA" localSheetId="20">[0]!ERR</definedName>
    <definedName name="WA" localSheetId="44">[0]!ERR</definedName>
    <definedName name="WA" localSheetId="8">[0]!ERR</definedName>
    <definedName name="WA" localSheetId="10">[0]!ERR</definedName>
    <definedName name="WA">[0]!ERR</definedName>
    <definedName name="WER">#REF!</definedName>
    <definedName name="wrn.resumen." localSheetId="41" hidden="1">{"total",#N/A,FALSE,"TD 0% ";"total",#N/A,FALSE,"TD 12%";"total",#N/A,FALSE,"TD 10%"}</definedName>
    <definedName name="wrn.resumen." localSheetId="37" hidden="1">{"total",#N/A,FALSE,"TD 0% ";"total",#N/A,FALSE,"TD 12%";"total",#N/A,FALSE,"TD 10%"}</definedName>
    <definedName name="wrn.resumen." localSheetId="22" hidden="1">{"total",#N/A,FALSE,"TD 0% ";"total",#N/A,FALSE,"TD 12%";"total",#N/A,FALSE,"TD 10%"}</definedName>
    <definedName name="wrn.resumen." localSheetId="23" hidden="1">{"total",#N/A,FALSE,"TD 0% ";"total",#N/A,FALSE,"TD 12%";"total",#N/A,FALSE,"TD 10%"}</definedName>
    <definedName name="wrn.resumen." localSheetId="24" hidden="1">{"total",#N/A,FALSE,"TD 0% ";"total",#N/A,FALSE,"TD 12%";"total",#N/A,FALSE,"TD 10%"}</definedName>
    <definedName name="wrn.resumen." localSheetId="25" hidden="1">{"total",#N/A,FALSE,"TD 0% ";"total",#N/A,FALSE,"TD 12%";"total",#N/A,FALSE,"TD 10%"}</definedName>
    <definedName name="wrn.resumen." localSheetId="26" hidden="1">{"total",#N/A,FALSE,"TD 0% ";"total",#N/A,FALSE,"TD 12%";"total",#N/A,FALSE,"TD 10%"}</definedName>
    <definedName name="wrn.resumen." localSheetId="27" hidden="1">{"total",#N/A,FALSE,"TD 0% ";"total",#N/A,FALSE,"TD 12%";"total",#N/A,FALSE,"TD 10%"}</definedName>
    <definedName name="wrn.resumen." localSheetId="28" hidden="1">{"total",#N/A,FALSE,"TD 0% ";"total",#N/A,FALSE,"TD 12%";"total",#N/A,FALSE,"TD 10%"}</definedName>
    <definedName name="wrn.resumen." localSheetId="29" hidden="1">{"total",#N/A,FALSE,"TD 0% ";"total",#N/A,FALSE,"TD 12%";"total",#N/A,FALSE,"TD 10%"}</definedName>
    <definedName name="wrn.resumen." localSheetId="30" hidden="1">{"total",#N/A,FALSE,"TD 0% ";"total",#N/A,FALSE,"TD 12%";"total",#N/A,FALSE,"TD 10%"}</definedName>
    <definedName name="wrn.resumen." localSheetId="31" hidden="1">{"total",#N/A,FALSE,"TD 0% ";"total",#N/A,FALSE,"TD 12%";"total",#N/A,FALSE,"TD 10%"}</definedName>
    <definedName name="wrn.resumen." localSheetId="21" hidden="1">{"total",#N/A,FALSE,"TD 0% ";"total",#N/A,FALSE,"TD 12%";"total",#N/A,FALSE,"TD 10%"}</definedName>
    <definedName name="wrn.resumen." localSheetId="42" hidden="1">{"total",#N/A,FALSE,"TD 0% ";"total",#N/A,FALSE,"TD 12%";"total",#N/A,FALSE,"TD 10%"}</definedName>
    <definedName name="wrn.resumen." localSheetId="12" hidden="1">{"total",#N/A,FALSE,"TD 0% ";"total",#N/A,FALSE,"TD 12%";"total",#N/A,FALSE,"TD 10%"}</definedName>
    <definedName name="wrn.resumen." localSheetId="13" hidden="1">{"total",#N/A,FALSE,"TD 0% ";"total",#N/A,FALSE,"TD 12%";"total",#N/A,FALSE,"TD 10%"}</definedName>
    <definedName name="wrn.resumen." localSheetId="14" hidden="1">{"total",#N/A,FALSE,"TD 0% ";"total",#N/A,FALSE,"TD 12%";"total",#N/A,FALSE,"TD 10%"}</definedName>
    <definedName name="wrn.resumen." localSheetId="15" hidden="1">{"total",#N/A,FALSE,"TD 0% ";"total",#N/A,FALSE,"TD 12%";"total",#N/A,FALSE,"TD 10%"}</definedName>
    <definedName name="wrn.resumen." localSheetId="16" hidden="1">{"total",#N/A,FALSE,"TD 0% ";"total",#N/A,FALSE,"TD 12%";"total",#N/A,FALSE,"TD 10%"}</definedName>
    <definedName name="wrn.resumen." localSheetId="17" hidden="1">{"total",#N/A,FALSE,"TD 0% ";"total",#N/A,FALSE,"TD 12%";"total",#N/A,FALSE,"TD 10%"}</definedName>
    <definedName name="wrn.resumen." localSheetId="18" hidden="1">{"total",#N/A,FALSE,"TD 0% ";"total",#N/A,FALSE,"TD 12%";"total",#N/A,FALSE,"TD 10%"}</definedName>
    <definedName name="wrn.resumen." localSheetId="19" hidden="1">{"total",#N/A,FALSE,"TD 0% ";"total",#N/A,FALSE,"TD 12%";"total",#N/A,FALSE,"TD 10%"}</definedName>
    <definedName name="wrn.resumen." localSheetId="32" hidden="1">{"total",#N/A,FALSE,"TD 0% ";"total",#N/A,FALSE,"TD 12%";"total",#N/A,FALSE,"TD 10%"}</definedName>
    <definedName name="wrn.resumen." localSheetId="33" hidden="1">{"total",#N/A,FALSE,"TD 0% ";"total",#N/A,FALSE,"TD 12%";"total",#N/A,FALSE,"TD 10%"}</definedName>
    <definedName name="wrn.resumen." localSheetId="20" hidden="1">{"total",#N/A,FALSE,"TD 0% ";"total",#N/A,FALSE,"TD 12%";"total",#N/A,FALSE,"TD 10%"}</definedName>
    <definedName name="wrn.resumen." localSheetId="40" hidden="1">{"total",#N/A,FALSE,"TD 0% ";"total",#N/A,FALSE,"TD 12%";"total",#N/A,FALSE,"TD 10%"}</definedName>
    <definedName name="wrn.resumen." localSheetId="36" hidden="1">{"total",#N/A,FALSE,"TD 0% ";"total",#N/A,FALSE,"TD 12%";"total",#N/A,FALSE,"TD 10%"}</definedName>
    <definedName name="wrn.resumen." localSheetId="1" hidden="1">{"total",#N/A,FALSE,"TD 0% ";"total",#N/A,FALSE,"TD 12%";"total",#N/A,FALSE,"TD 10%"}</definedName>
    <definedName name="wrn.resumen." hidden="1">{"total",#N/A,FALSE,"TD 0% ";"total",#N/A,FALSE,"TD 12%";"total",#N/A,FALSE,"TD 10%"}</definedName>
    <definedName name="wrt" localSheetId="41" hidden="1">#REF!,#REF!,#REF!,#REF!,#REF!,#REF!,#REF!,#REF!,#REF!,#REF!,#REF!,#REF!</definedName>
    <definedName name="wrt" localSheetId="22" hidden="1">#REF!,#REF!,#REF!,#REF!,#REF!,#REF!,#REF!,#REF!,#REF!,#REF!,#REF!,#REF!</definedName>
    <definedName name="wrt" localSheetId="23" hidden="1">#REF!,#REF!,#REF!,#REF!,#REF!,#REF!,#REF!,#REF!,#REF!,#REF!,#REF!,#REF!</definedName>
    <definedName name="wrt" localSheetId="24" hidden="1">#REF!,#REF!,#REF!,#REF!,#REF!,#REF!,#REF!,#REF!,#REF!,#REF!,#REF!,#REF!</definedName>
    <definedName name="wrt" localSheetId="25" hidden="1">#REF!,#REF!,#REF!,#REF!,#REF!,#REF!,#REF!,#REF!,#REF!,#REF!,#REF!,#REF!</definedName>
    <definedName name="wrt" localSheetId="26" hidden="1">#REF!,#REF!,#REF!,#REF!,#REF!,#REF!,#REF!,#REF!,#REF!,#REF!,#REF!,#REF!</definedName>
    <definedName name="wrt" localSheetId="27" hidden="1">#REF!,#REF!,#REF!,#REF!,#REF!,#REF!,#REF!,#REF!,#REF!,#REF!,#REF!,#REF!</definedName>
    <definedName name="wrt" localSheetId="28" hidden="1">#REF!,#REF!,#REF!,#REF!,#REF!,#REF!,#REF!,#REF!,#REF!,#REF!,#REF!,#REF!</definedName>
    <definedName name="wrt" localSheetId="29" hidden="1">#REF!,#REF!,#REF!,#REF!,#REF!,#REF!,#REF!,#REF!,#REF!,#REF!,#REF!,#REF!</definedName>
    <definedName name="wrt" localSheetId="30" hidden="1">#REF!,#REF!,#REF!,#REF!,#REF!,#REF!,#REF!,#REF!,#REF!,#REF!,#REF!,#REF!</definedName>
    <definedName name="wrt" localSheetId="31" hidden="1">#REF!,#REF!,#REF!,#REF!,#REF!,#REF!,#REF!,#REF!,#REF!,#REF!,#REF!,#REF!</definedName>
    <definedName name="wrt" localSheetId="21" hidden="1">#REF!,#REF!,#REF!,#REF!,#REF!,#REF!,#REF!,#REF!,#REF!,#REF!,#REF!,#REF!</definedName>
    <definedName name="wrt" localSheetId="42" hidden="1">#REF!,#REF!,#REF!,#REF!,#REF!,#REF!,#REF!,#REF!,#REF!,#REF!,#REF!,#REF!</definedName>
    <definedName name="wrt" localSheetId="32" hidden="1">#REF!,#REF!,#REF!,#REF!,#REF!,#REF!,#REF!,#REF!,#REF!,#REF!,#REF!,#REF!</definedName>
    <definedName name="wrt" localSheetId="33" hidden="1">#REF!,#REF!,#REF!,#REF!,#REF!,#REF!,#REF!,#REF!,#REF!,#REF!,#REF!,#REF!</definedName>
    <definedName name="wrt" localSheetId="40" hidden="1">#REF!,#REF!,#REF!,#REF!,#REF!,#REF!,#REF!,#REF!,#REF!,#REF!,#REF!,#REF!</definedName>
    <definedName name="wrt" hidden="1">#REF!,#REF!,#REF!,#REF!,#REF!,#REF!,#REF!,#REF!,#REF!,#REF!,#REF!,#REF!</definedName>
    <definedName name="wvu.ComparEneMar9697." localSheetId="4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4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4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EneFeb." localSheetId="41"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wvu.EneFeb." hidden="1">{TRUE,TRUE,-2.75,-17.75,483,276.75,FALSE,TRUE,TRUE,TRUE,0,3,15,1,110,11,8,4,TRUE,TRUE,3,TRUE,1,TRUE,75,"Swvu.EneFeb.","ACwvu.EneFeb.",#N/A,FALSE,FALSE,1.24,0.787401575,0.74,0.984251969,1,"","",FALSE,FALSE,FALSE,FALSE,1,#N/A,1,1,#DIV/0!,FALSE,"Rwvu.EneFeb.","Cwvu.EneFeb.",FALSE,FALSE,FALSE,1,300,300,FALSE,FALSE,TRUE,TRUE,TRUE}</definedName>
    <definedName name="wvu.Formato._.Corto."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Total." localSheetId="4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4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4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OPEF._.96." localSheetId="4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4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4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7." localSheetId="4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7"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4"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5"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6"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7"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8"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9"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0"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4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4"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5"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6"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7"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8"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9"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0"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40"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6"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hidden="1">{TRUE,TRUE,-2.75,-17.75,483,276.75,FALSE,TRUE,TRUE,TRUE,0,2,#N/A,1,#N/A,6.24489795918367,20,1,FALSE,FALSE,3,TRUE,1,FALSE,75,"Swvu.OPEF._.97.","ACwvu.OPEF._.97.",#N/A,FALSE,FALSE,1.88,0.787401575,0.39,1.56,1,"","",FALSE,FALSE,FALSE,FALSE,1,#N/A,1,1,"=R4C2:R117C9",FALSE,"Rwvu.OPEF._.97.",#N/A,FALSE,FALSE,FALSE,5,300,300,FALSE,FALSE,TRUE,TRUE,TRUE}</definedName>
    <definedName name="ww">#REF!</definedName>
    <definedName name="X" localSheetId="22" hidden="1">#REF!</definedName>
    <definedName name="X" localSheetId="23" hidden="1">#REF!</definedName>
    <definedName name="X" localSheetId="24" hidden="1">#REF!</definedName>
    <definedName name="X" localSheetId="25" hidden="1">#REF!</definedName>
    <definedName name="X" localSheetId="26" hidden="1">#REF!</definedName>
    <definedName name="X" localSheetId="27" hidden="1">#REF!</definedName>
    <definedName name="X" localSheetId="28" hidden="1">#REF!</definedName>
    <definedName name="X" localSheetId="29" hidden="1">#REF!</definedName>
    <definedName name="X" localSheetId="30" hidden="1">#REF!</definedName>
    <definedName name="X" localSheetId="31" hidden="1">#REF!</definedName>
    <definedName name="X" localSheetId="21" hidden="1">#REF!</definedName>
    <definedName name="X" localSheetId="42" hidden="1">#REF!</definedName>
    <definedName name="X" localSheetId="32" hidden="1">#REF!</definedName>
    <definedName name="X" localSheetId="33" hidden="1">#REF!</definedName>
    <definedName name="X" hidden="1">#REF!</definedName>
    <definedName name="xx">#REF!</definedName>
    <definedName name="XXX" hidden="1">#REF!</definedName>
    <definedName name="Y">#REF!</definedName>
    <definedName name="ydmhg" localSheetId="41"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ydmhg" hidden="1">{TRUE,TRUE,-2.75,-17.75,483,276.75,FALSE,TRUE,TRUE,TRUE,0,3,15,1,110,11,8,4,TRUE,TRUE,3,TRUE,1,TRUE,75,"Swvu.EneFeb.","ACwvu.EneFeb.",#N/A,FALSE,FALSE,1.24,0.787401575,0.74,0.984251969,1,"","",FALSE,FALSE,FALSE,FALSE,1,#N/A,1,1,#DIV/0!,FALSE,"Rwvu.EneFeb.","Cwvu.EneFeb.",FALSE,FALSE,FALSE,1,300,300,FALSE,FALSE,TRUE,TRUE,TRUE}</definedName>
    <definedName name="ymdfcg"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ut" localSheetId="41" hidden="1">#REF!,#REF!,#REF!,#REF!,#REF!,#REF!,#REF!,#REF!,#REF!,#REF!,#REF!,#REF!</definedName>
    <definedName name="yut" localSheetId="22" hidden="1">#REF!,#REF!,#REF!,#REF!,#REF!,#REF!,#REF!,#REF!,#REF!,#REF!,#REF!,#REF!</definedName>
    <definedName name="yut" localSheetId="23" hidden="1">#REF!,#REF!,#REF!,#REF!,#REF!,#REF!,#REF!,#REF!,#REF!,#REF!,#REF!,#REF!</definedName>
    <definedName name="yut" localSheetId="24" hidden="1">#REF!,#REF!,#REF!,#REF!,#REF!,#REF!,#REF!,#REF!,#REF!,#REF!,#REF!,#REF!</definedName>
    <definedName name="yut" localSheetId="25" hidden="1">#REF!,#REF!,#REF!,#REF!,#REF!,#REF!,#REF!,#REF!,#REF!,#REF!,#REF!,#REF!</definedName>
    <definedName name="yut" localSheetId="26" hidden="1">#REF!,#REF!,#REF!,#REF!,#REF!,#REF!,#REF!,#REF!,#REF!,#REF!,#REF!,#REF!</definedName>
    <definedName name="yut" localSheetId="27" hidden="1">#REF!,#REF!,#REF!,#REF!,#REF!,#REF!,#REF!,#REF!,#REF!,#REF!,#REF!,#REF!</definedName>
    <definedName name="yut" localSheetId="28" hidden="1">#REF!,#REF!,#REF!,#REF!,#REF!,#REF!,#REF!,#REF!,#REF!,#REF!,#REF!,#REF!</definedName>
    <definedName name="yut" localSheetId="29" hidden="1">#REF!,#REF!,#REF!,#REF!,#REF!,#REF!,#REF!,#REF!,#REF!,#REF!,#REF!,#REF!</definedName>
    <definedName name="yut" localSheetId="30" hidden="1">#REF!,#REF!,#REF!,#REF!,#REF!,#REF!,#REF!,#REF!,#REF!,#REF!,#REF!,#REF!</definedName>
    <definedName name="yut" localSheetId="31" hidden="1">#REF!,#REF!,#REF!,#REF!,#REF!,#REF!,#REF!,#REF!,#REF!,#REF!,#REF!,#REF!</definedName>
    <definedName name="yut" localSheetId="21" hidden="1">#REF!,#REF!,#REF!,#REF!,#REF!,#REF!,#REF!,#REF!,#REF!,#REF!,#REF!,#REF!</definedName>
    <definedName name="yut" localSheetId="42" hidden="1">#REF!,#REF!,#REF!,#REF!,#REF!,#REF!,#REF!,#REF!,#REF!,#REF!,#REF!,#REF!</definedName>
    <definedName name="yut" localSheetId="32" hidden="1">#REF!,#REF!,#REF!,#REF!,#REF!,#REF!,#REF!,#REF!,#REF!,#REF!,#REF!,#REF!</definedName>
    <definedName name="yut" localSheetId="33" hidden="1">#REF!,#REF!,#REF!,#REF!,#REF!,#REF!,#REF!,#REF!,#REF!,#REF!,#REF!,#REF!</definedName>
    <definedName name="yut" localSheetId="40" hidden="1">#REF!,#REF!,#REF!,#REF!,#REF!,#REF!,#REF!,#REF!,#REF!,#REF!,#REF!,#REF!</definedName>
    <definedName name="yut" hidden="1">#REF!,#REF!,#REF!,#REF!,#REF!,#REF!,#REF!,#REF!,#REF!,#REF!,#REF!,#REF!</definedName>
    <definedName name="YY" localSheetId="41" hidden="1">#REF!,#REF!,#REF!</definedName>
    <definedName name="YY" localSheetId="37" hidden="1">#REF!,#REF!,#REF!</definedName>
    <definedName name="YY" localSheetId="22" hidden="1">#REF!,#REF!,#REF!</definedName>
    <definedName name="YY" localSheetId="23" hidden="1">#REF!,#REF!,#REF!</definedName>
    <definedName name="YY" localSheetId="24" hidden="1">#REF!,#REF!,#REF!</definedName>
    <definedName name="YY" localSheetId="25" hidden="1">#REF!,#REF!,#REF!</definedName>
    <definedName name="YY" localSheetId="26" hidden="1">#REF!,#REF!,#REF!</definedName>
    <definedName name="YY" localSheetId="27" hidden="1">#REF!,#REF!,#REF!</definedName>
    <definedName name="YY" localSheetId="28" hidden="1">#REF!,#REF!,#REF!</definedName>
    <definedName name="YY" localSheetId="29" hidden="1">#REF!,#REF!,#REF!</definedName>
    <definedName name="YY" localSheetId="30" hidden="1">#REF!,#REF!,#REF!</definedName>
    <definedName name="YY" localSheetId="31" hidden="1">#REF!,#REF!,#REF!</definedName>
    <definedName name="YY" localSheetId="21" hidden="1">#REF!,#REF!,#REF!</definedName>
    <definedName name="YY" localSheetId="42" hidden="1">#REF!,#REF!,#REF!</definedName>
    <definedName name="YY" localSheetId="12" hidden="1">#REF!,#REF!,#REF!</definedName>
    <definedName name="YY" localSheetId="13" hidden="1">#REF!,#REF!,#REF!</definedName>
    <definedName name="YY" localSheetId="14" hidden="1">#REF!,#REF!,#REF!</definedName>
    <definedName name="YY" localSheetId="15" hidden="1">#REF!,#REF!,#REF!</definedName>
    <definedName name="YY" localSheetId="16" hidden="1">#REF!,#REF!,#REF!</definedName>
    <definedName name="YY" localSheetId="17" hidden="1">#REF!,#REF!,#REF!</definedName>
    <definedName name="YY" localSheetId="18" hidden="1">#REF!,#REF!,#REF!</definedName>
    <definedName name="YY" localSheetId="19" hidden="1">#REF!,#REF!,#REF!</definedName>
    <definedName name="YY" localSheetId="32" hidden="1">#REF!,#REF!,#REF!</definedName>
    <definedName name="YY" localSheetId="33" hidden="1">#REF!,#REF!,#REF!</definedName>
    <definedName name="YY" localSheetId="20" hidden="1">#REF!,#REF!,#REF!</definedName>
    <definedName name="YY" localSheetId="40" hidden="1">#REF!,#REF!,#REF!</definedName>
    <definedName name="YY" localSheetId="36" hidden="1">#REF!,#REF!,#REF!</definedName>
    <definedName name="YY" localSheetId="1" hidden="1">#REF!,#REF!,#REF!</definedName>
    <definedName name="YY" hidden="1">#REF!,#REF!,#REF!</definedName>
    <definedName name="Z" localSheetId="4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5" i="39" l="1"/>
  <c r="BN2" i="202"/>
  <c r="BL2048" i="202"/>
  <c r="BO2048" i="202" s="1"/>
  <c r="BL2047" i="202"/>
  <c r="BO2047" i="202" s="1"/>
  <c r="BL2046" i="202"/>
  <c r="BO2046" i="202" s="1"/>
  <c r="BL2045" i="202"/>
  <c r="BO2045" i="202" s="1"/>
  <c r="BL2044" i="202"/>
  <c r="BO2044" i="202" s="1"/>
  <c r="BO2043" i="202"/>
  <c r="BL2043" i="202"/>
  <c r="BL2042" i="202"/>
  <c r="BO2042" i="202" s="1"/>
  <c r="BO2041" i="202"/>
  <c r="BL2041" i="202"/>
  <c r="BL2040" i="202"/>
  <c r="BO2040" i="202" s="1"/>
  <c r="BO2039" i="202"/>
  <c r="BL2039" i="202"/>
  <c r="BL2037" i="202"/>
  <c r="BO2037" i="202" s="1"/>
  <c r="BL2036" i="202"/>
  <c r="BO2036" i="202" s="1"/>
  <c r="BL2035" i="202"/>
  <c r="BO2035" i="202" s="1"/>
  <c r="BL2034" i="202"/>
  <c r="BO2034" i="202" s="1"/>
  <c r="BL2033" i="202"/>
  <c r="BO2033" i="202" s="1"/>
  <c r="BL2032" i="202"/>
  <c r="BO2032" i="202" s="1"/>
  <c r="BL2031" i="202"/>
  <c r="BO2031" i="202" s="1"/>
  <c r="BL2030" i="202"/>
  <c r="BO2030" i="202" s="1"/>
  <c r="BL2029" i="202"/>
  <c r="BO2029" i="202" s="1"/>
  <c r="BL2027" i="202"/>
  <c r="BO2027" i="202" s="1"/>
  <c r="BL2026" i="202"/>
  <c r="BO2026" i="202" s="1"/>
  <c r="BO2025" i="202"/>
  <c r="BL2025" i="202"/>
  <c r="BL2024" i="202"/>
  <c r="BO2024" i="202" s="1"/>
  <c r="BO2023" i="202"/>
  <c r="BL2023" i="202"/>
  <c r="BL2022" i="202"/>
  <c r="BO2022" i="202" s="1"/>
  <c r="BO2021" i="202"/>
  <c r="BL2021" i="202"/>
  <c r="BL2020" i="202"/>
  <c r="BO2020" i="202" s="1"/>
  <c r="BL2018" i="202"/>
  <c r="BO2018" i="202" s="1"/>
  <c r="BL2017" i="202"/>
  <c r="BO2017" i="202" s="1"/>
  <c r="BL2016" i="202"/>
  <c r="BO2016" i="202" s="1"/>
  <c r="BL2015" i="202"/>
  <c r="BO2015" i="202" s="1"/>
  <c r="BL2014" i="202"/>
  <c r="BO2014" i="202" s="1"/>
  <c r="BL2013" i="202"/>
  <c r="BO2013" i="202" s="1"/>
  <c r="BL2012" i="202"/>
  <c r="BO2012" i="202" s="1"/>
  <c r="BL2010" i="202"/>
  <c r="BO2010" i="202" s="1"/>
  <c r="BL2009" i="202"/>
  <c r="BO2009" i="202" s="1"/>
  <c r="BL2008" i="202"/>
  <c r="BO2008" i="202" s="1"/>
  <c r="BO2007" i="202"/>
  <c r="BL2007" i="202"/>
  <c r="BL2006" i="202"/>
  <c r="BO2006" i="202" s="1"/>
  <c r="BO2005" i="202"/>
  <c r="BL2005" i="202"/>
  <c r="BL2003" i="202"/>
  <c r="BO2003" i="202" s="1"/>
  <c r="BO2002" i="202"/>
  <c r="BL2002" i="202"/>
  <c r="BL2001" i="202"/>
  <c r="BO2001" i="202" s="1"/>
  <c r="BL2000" i="202"/>
  <c r="BO2000" i="202" s="1"/>
  <c r="BL1999" i="202"/>
  <c r="BO1999" i="202" s="1"/>
  <c r="BL1997" i="202"/>
  <c r="BO1997" i="202" s="1"/>
  <c r="BL1996" i="202"/>
  <c r="BO1996" i="202" s="1"/>
  <c r="BL1995" i="202"/>
  <c r="BO1995" i="202" s="1"/>
  <c r="BL1994" i="202"/>
  <c r="BO1994" i="202" s="1"/>
  <c r="BL1992" i="202"/>
  <c r="BO1992" i="202" s="1"/>
  <c r="BL1991" i="202"/>
  <c r="BO1991" i="202" s="1"/>
  <c r="BL1990" i="202"/>
  <c r="BO1990" i="202" s="1"/>
  <c r="BL1988" i="202"/>
  <c r="BO1988" i="202" s="1"/>
  <c r="BO1987" i="202"/>
  <c r="BL1987" i="202"/>
  <c r="BL1985" i="202"/>
  <c r="BO1985" i="202" s="1"/>
  <c r="BO1983" i="202"/>
  <c r="BL1983" i="202"/>
  <c r="BL1981" i="202"/>
  <c r="BO1981" i="202" s="1"/>
  <c r="BO1980" i="202"/>
  <c r="BL1980" i="202"/>
  <c r="BL1979" i="202"/>
  <c r="BO1979" i="202" s="1"/>
  <c r="BL1978" i="202"/>
  <c r="BO1978" i="202" s="1"/>
  <c r="BL1977" i="202"/>
  <c r="BO1977" i="202" s="1"/>
  <c r="BL1976" i="202"/>
  <c r="BO1976" i="202" s="1"/>
  <c r="BL1975" i="202"/>
  <c r="BO1975" i="202" s="1"/>
  <c r="BL1973" i="202"/>
  <c r="BO1973" i="202" s="1"/>
  <c r="BL1972" i="202"/>
  <c r="BO1972" i="202" s="1"/>
  <c r="BL1971" i="202"/>
  <c r="BO1971" i="202" s="1"/>
  <c r="BL1970" i="202"/>
  <c r="BO1970" i="202" s="1"/>
  <c r="BL1969" i="202"/>
  <c r="BO1969" i="202" s="1"/>
  <c r="BL1968" i="202"/>
  <c r="BO1968" i="202" s="1"/>
  <c r="BO1967" i="202"/>
  <c r="BL1967" i="202"/>
  <c r="BL1965" i="202"/>
  <c r="BO1965" i="202" s="1"/>
  <c r="BO1964" i="202"/>
  <c r="BL1964" i="202"/>
  <c r="BL1963" i="202"/>
  <c r="BO1963" i="202" s="1"/>
  <c r="BO1962" i="202"/>
  <c r="BL1962" i="202"/>
  <c r="BL1961" i="202"/>
  <c r="BO1961" i="202" s="1"/>
  <c r="BL1960" i="202"/>
  <c r="BO1960" i="202" s="1"/>
  <c r="BL1958" i="202"/>
  <c r="BO1958" i="202" s="1"/>
  <c r="BL1957" i="202"/>
  <c r="BO1957" i="202" s="1"/>
  <c r="BL1956" i="202"/>
  <c r="BO1956" i="202" s="1"/>
  <c r="BL1955" i="202"/>
  <c r="BO1955" i="202" s="1"/>
  <c r="BL1954" i="202"/>
  <c r="BO1954" i="202" s="1"/>
  <c r="BL1952" i="202"/>
  <c r="BO1952" i="202" s="1"/>
  <c r="BL1951" i="202"/>
  <c r="BO1951" i="202" s="1"/>
  <c r="BL1950" i="202"/>
  <c r="BO1950" i="202" s="1"/>
  <c r="BL1949" i="202"/>
  <c r="BO1949" i="202" s="1"/>
  <c r="BO1947" i="202"/>
  <c r="BL1947" i="202"/>
  <c r="BL1946" i="202"/>
  <c r="BO1946" i="202" s="1"/>
  <c r="BO1945" i="202"/>
  <c r="BL1945" i="202"/>
  <c r="BL1943" i="202"/>
  <c r="BO1943" i="202" s="1"/>
  <c r="BO1942" i="202"/>
  <c r="BL1942" i="202"/>
  <c r="BL1940" i="202"/>
  <c r="BO1940" i="202" s="1"/>
  <c r="BL1938" i="202"/>
  <c r="BO1938" i="202" s="1"/>
  <c r="BL1936" i="202"/>
  <c r="BO1936" i="202" s="1"/>
  <c r="BL1935" i="202"/>
  <c r="BO1935" i="202" s="1"/>
  <c r="BL1934" i="202"/>
  <c r="BO1934" i="202" s="1"/>
  <c r="BL1933" i="202"/>
  <c r="BO1933" i="202" s="1"/>
  <c r="BL1932" i="202"/>
  <c r="BO1932" i="202" s="1"/>
  <c r="BL1931" i="202"/>
  <c r="BO1931" i="202" s="1"/>
  <c r="BL1929" i="202"/>
  <c r="BO1929" i="202" s="1"/>
  <c r="BL1928" i="202"/>
  <c r="BO1928" i="202" s="1"/>
  <c r="BL1927" i="202"/>
  <c r="BO1927" i="202" s="1"/>
  <c r="BO1926" i="202"/>
  <c r="BL1926" i="202"/>
  <c r="BL1925" i="202"/>
  <c r="BO1925" i="202" s="1"/>
  <c r="BO1924" i="202"/>
  <c r="BL1924" i="202"/>
  <c r="BL1922" i="202"/>
  <c r="BO1922" i="202" s="1"/>
  <c r="BO1921" i="202"/>
  <c r="BL1921" i="202"/>
  <c r="BL1920" i="202"/>
  <c r="BO1920" i="202" s="1"/>
  <c r="BL1919" i="202"/>
  <c r="BO1919" i="202" s="1"/>
  <c r="BL1918" i="202"/>
  <c r="BO1918" i="202" s="1"/>
  <c r="BL1916" i="202"/>
  <c r="BO1916" i="202" s="1"/>
  <c r="BL1915" i="202"/>
  <c r="BO1915" i="202" s="1"/>
  <c r="BL1914" i="202"/>
  <c r="BO1914" i="202" s="1"/>
  <c r="BL1913" i="202"/>
  <c r="BO1913" i="202" s="1"/>
  <c r="BL1911" i="202"/>
  <c r="BO1911" i="202" s="1"/>
  <c r="BL1910" i="202"/>
  <c r="BO1910" i="202" s="1"/>
  <c r="BL1909" i="202"/>
  <c r="BO1909" i="202" s="1"/>
  <c r="BL1907" i="202"/>
  <c r="BO1907" i="202" s="1"/>
  <c r="BO1906" i="202"/>
  <c r="BL1906" i="202"/>
  <c r="BL1904" i="202"/>
  <c r="BO1904" i="202" s="1"/>
  <c r="BO1902" i="202"/>
  <c r="BL1902" i="202"/>
  <c r="BL1900" i="202"/>
  <c r="BO1900" i="202" s="1"/>
  <c r="BO1899" i="202"/>
  <c r="BL1899" i="202"/>
  <c r="BL1898" i="202"/>
  <c r="BO1898" i="202" s="1"/>
  <c r="BL1897" i="202"/>
  <c r="BO1897" i="202" s="1"/>
  <c r="BL1896" i="202"/>
  <c r="BO1896" i="202" s="1"/>
  <c r="BL1894" i="202"/>
  <c r="BO1894" i="202" s="1"/>
  <c r="BL1893" i="202"/>
  <c r="BO1893" i="202" s="1"/>
  <c r="BL1892" i="202"/>
  <c r="BO1892" i="202" s="1"/>
  <c r="BL1891" i="202"/>
  <c r="BO1891" i="202" s="1"/>
  <c r="BL1890" i="202"/>
  <c r="BO1890" i="202" s="1"/>
  <c r="BL1888" i="202"/>
  <c r="BO1888" i="202" s="1"/>
  <c r="BL1887" i="202"/>
  <c r="BO1887" i="202" s="1"/>
  <c r="BL1886" i="202"/>
  <c r="BO1886" i="202" s="1"/>
  <c r="BO1885" i="202"/>
  <c r="BL1885" i="202"/>
  <c r="BL1883" i="202"/>
  <c r="BO1883" i="202" s="1"/>
  <c r="BO1882" i="202"/>
  <c r="BL1882" i="202"/>
  <c r="BL1881" i="202"/>
  <c r="BO1881" i="202" s="1"/>
  <c r="BO1879" i="202"/>
  <c r="BL1879" i="202"/>
  <c r="BL1878" i="202"/>
  <c r="BO1878" i="202" s="1"/>
  <c r="BL1876" i="202"/>
  <c r="BO1876" i="202" s="1"/>
  <c r="BL1874" i="202"/>
  <c r="BO1874" i="202" s="1"/>
  <c r="BL1872" i="202"/>
  <c r="BO1872" i="202" s="1"/>
  <c r="BL1871" i="202"/>
  <c r="BO1871" i="202" s="1"/>
  <c r="BL1870" i="202"/>
  <c r="BO1870" i="202" s="1"/>
  <c r="BL1869" i="202"/>
  <c r="BO1869" i="202" s="1"/>
  <c r="BL1867" i="202"/>
  <c r="BO1867" i="202" s="1"/>
  <c r="BL1866" i="202"/>
  <c r="BO1866" i="202" s="1"/>
  <c r="BL1865" i="202"/>
  <c r="BO1865" i="202" s="1"/>
  <c r="BL1864" i="202"/>
  <c r="BO1864" i="202" s="1"/>
  <c r="BO1862" i="202"/>
  <c r="BL1862" i="202"/>
  <c r="BL1861" i="202"/>
  <c r="BO1861" i="202" s="1"/>
  <c r="BO1860" i="202"/>
  <c r="BL1860" i="202"/>
  <c r="BL1858" i="202"/>
  <c r="BO1858" i="202" s="1"/>
  <c r="BO1857" i="202"/>
  <c r="BL1857" i="202"/>
  <c r="BL1855" i="202"/>
  <c r="BO1855" i="202" s="1"/>
  <c r="BL1853" i="202"/>
  <c r="BO1853" i="202" s="1"/>
  <c r="BL1851" i="202"/>
  <c r="BO1851" i="202" s="1"/>
  <c r="BL1850" i="202"/>
  <c r="BO1850" i="202" s="1"/>
  <c r="BL1849" i="202"/>
  <c r="BO1849" i="202" s="1"/>
  <c r="BL1847" i="202"/>
  <c r="BO1847" i="202" s="1"/>
  <c r="BL1846" i="202"/>
  <c r="BO1846" i="202" s="1"/>
  <c r="BL1845" i="202"/>
  <c r="BO1845" i="202" s="1"/>
  <c r="BL1843" i="202"/>
  <c r="BO1843" i="202" s="1"/>
  <c r="BL1842" i="202"/>
  <c r="BO1842" i="202" s="1"/>
  <c r="BL1840" i="202"/>
  <c r="BO1840" i="202" s="1"/>
  <c r="BO1838" i="202"/>
  <c r="BL1838" i="202"/>
  <c r="BL1836" i="202"/>
  <c r="BO1836" i="202" s="1"/>
  <c r="BO1835" i="202"/>
  <c r="BL1835" i="202"/>
  <c r="BL1833" i="202"/>
  <c r="BO1833" i="202" s="1"/>
  <c r="BO1832" i="202"/>
  <c r="BL1832" i="202"/>
  <c r="BL1830" i="202"/>
  <c r="BO1830" i="202" s="1"/>
  <c r="BL1828" i="202"/>
  <c r="BO1828" i="202" s="1"/>
  <c r="BL1826" i="202"/>
  <c r="BO1826" i="202" s="1"/>
  <c r="BL1824" i="202"/>
  <c r="BO1824" i="202" s="1"/>
  <c r="BL1822" i="202"/>
  <c r="BO1822" i="202" s="1"/>
  <c r="BL1819" i="202"/>
  <c r="BO1819" i="202" s="1"/>
  <c r="BL1816" i="202"/>
  <c r="BO1816" i="202" s="1"/>
  <c r="BL1815" i="202"/>
  <c r="BO1815" i="202" s="1"/>
  <c r="BL1814" i="202"/>
  <c r="BO1814" i="202" s="1"/>
  <c r="BL1813" i="202"/>
  <c r="BO1813" i="202" s="1"/>
  <c r="BL1812" i="202"/>
  <c r="BO1812" i="202" s="1"/>
  <c r="BO1811" i="202"/>
  <c r="BL1811" i="202"/>
  <c r="BL1809" i="202"/>
  <c r="BO1809" i="202" s="1"/>
  <c r="BO1808" i="202"/>
  <c r="BL1808" i="202"/>
  <c r="BL1807" i="202"/>
  <c r="BO1807" i="202" s="1"/>
  <c r="BO1806" i="202"/>
  <c r="BL1806" i="202"/>
  <c r="BL1805" i="202"/>
  <c r="BO1805" i="202" s="1"/>
  <c r="BL1804" i="202"/>
  <c r="BO1804" i="202" s="1"/>
  <c r="BL1802" i="202"/>
  <c r="BO1802" i="202" s="1"/>
  <c r="BL1801" i="202"/>
  <c r="BO1801" i="202" s="1"/>
  <c r="BL1800" i="202"/>
  <c r="BO1800" i="202" s="1"/>
  <c r="BL1799" i="202"/>
  <c r="BO1799" i="202" s="1"/>
  <c r="BL1798" i="202"/>
  <c r="BO1798" i="202" s="1"/>
  <c r="BL1796" i="202"/>
  <c r="BO1796" i="202" s="1"/>
  <c r="BL1795" i="202"/>
  <c r="BO1795" i="202" s="1"/>
  <c r="BL1794" i="202"/>
  <c r="BO1794" i="202" s="1"/>
  <c r="BL1793" i="202"/>
  <c r="BO1793" i="202" s="1"/>
  <c r="BO1791" i="202"/>
  <c r="BL1791" i="202"/>
  <c r="BL1790" i="202"/>
  <c r="BO1790" i="202" s="1"/>
  <c r="BO1789" i="202"/>
  <c r="BL1789" i="202"/>
  <c r="BL1787" i="202"/>
  <c r="BO1787" i="202" s="1"/>
  <c r="BO1786" i="202"/>
  <c r="BL1786" i="202"/>
  <c r="BL1784" i="202"/>
  <c r="BO1784" i="202" s="1"/>
  <c r="BL1782" i="202"/>
  <c r="BO1782" i="202" s="1"/>
  <c r="BL1780" i="202"/>
  <c r="BO1780" i="202" s="1"/>
  <c r="BL1779" i="202"/>
  <c r="BO1779" i="202" s="1"/>
  <c r="BL1778" i="202"/>
  <c r="BO1778" i="202" s="1"/>
  <c r="BL1777" i="202"/>
  <c r="BO1777" i="202" s="1"/>
  <c r="BL1776" i="202"/>
  <c r="BO1776" i="202" s="1"/>
  <c r="BL1774" i="202"/>
  <c r="BO1774" i="202" s="1"/>
  <c r="BL1773" i="202"/>
  <c r="BO1773" i="202" s="1"/>
  <c r="BL1772" i="202"/>
  <c r="BO1772" i="202" s="1"/>
  <c r="BL1771" i="202"/>
  <c r="BO1771" i="202" s="1"/>
  <c r="BO1770" i="202"/>
  <c r="BL1770" i="202"/>
  <c r="BL1768" i="202"/>
  <c r="BO1768" i="202" s="1"/>
  <c r="BO1767" i="202"/>
  <c r="BL1767" i="202"/>
  <c r="BL1766" i="202"/>
  <c r="BO1766" i="202" s="1"/>
  <c r="BO1765" i="202"/>
  <c r="BL1765" i="202"/>
  <c r="BL1763" i="202"/>
  <c r="BO1763" i="202" s="1"/>
  <c r="BL1762" i="202"/>
  <c r="BO1762" i="202" s="1"/>
  <c r="BL1761" i="202"/>
  <c r="BO1761" i="202" s="1"/>
  <c r="BL1759" i="202"/>
  <c r="BO1759" i="202" s="1"/>
  <c r="BL1758" i="202"/>
  <c r="BO1758" i="202" s="1"/>
  <c r="BL1756" i="202"/>
  <c r="BO1756" i="202" s="1"/>
  <c r="BL1754" i="202"/>
  <c r="BO1754" i="202" s="1"/>
  <c r="BL1752" i="202"/>
  <c r="BO1752" i="202" s="1"/>
  <c r="BL1751" i="202"/>
  <c r="BO1751" i="202" s="1"/>
  <c r="BL1750" i="202"/>
  <c r="BO1750" i="202" s="1"/>
  <c r="BL1749" i="202"/>
  <c r="BO1749" i="202" s="1"/>
  <c r="BO1747" i="202"/>
  <c r="BL1747" i="202"/>
  <c r="BL1746" i="202"/>
  <c r="BO1746" i="202" s="1"/>
  <c r="BO1745" i="202"/>
  <c r="BL1745" i="202"/>
  <c r="BL1744" i="202"/>
  <c r="BO1744" i="202" s="1"/>
  <c r="BO1742" i="202"/>
  <c r="BL1742" i="202"/>
  <c r="BL1741" i="202"/>
  <c r="BO1741" i="202" s="1"/>
  <c r="BL1740" i="202"/>
  <c r="BO1740" i="202" s="1"/>
  <c r="BL1738" i="202"/>
  <c r="BO1738" i="202" s="1"/>
  <c r="BL1737" i="202"/>
  <c r="BO1737" i="202" s="1"/>
  <c r="BL1735" i="202"/>
  <c r="BO1735" i="202" s="1"/>
  <c r="BL1733" i="202"/>
  <c r="BO1733" i="202" s="1"/>
  <c r="BL1731" i="202"/>
  <c r="BO1731" i="202" s="1"/>
  <c r="BL1730" i="202"/>
  <c r="BO1730" i="202" s="1"/>
  <c r="BL1729" i="202"/>
  <c r="BO1729" i="202" s="1"/>
  <c r="BL1727" i="202"/>
  <c r="BO1727" i="202" s="1"/>
  <c r="BL1726" i="202"/>
  <c r="BO1726" i="202" s="1"/>
  <c r="BO1725" i="202"/>
  <c r="BL1725" i="202"/>
  <c r="BL1723" i="202"/>
  <c r="BO1723" i="202" s="1"/>
  <c r="BO1722" i="202"/>
  <c r="BL1722" i="202"/>
  <c r="BL1720" i="202"/>
  <c r="BO1720" i="202" s="1"/>
  <c r="BO1718" i="202"/>
  <c r="BL1718" i="202"/>
  <c r="BL1716" i="202"/>
  <c r="BO1716" i="202" s="1"/>
  <c r="BL1715" i="202"/>
  <c r="BO1715" i="202" s="1"/>
  <c r="BL1713" i="202"/>
  <c r="BO1713" i="202" s="1"/>
  <c r="BL1712" i="202"/>
  <c r="BO1712" i="202" s="1"/>
  <c r="BL1710" i="202"/>
  <c r="BO1710" i="202" s="1"/>
  <c r="BL1708" i="202"/>
  <c r="BO1708" i="202" s="1"/>
  <c r="BL1706" i="202"/>
  <c r="BO1706" i="202" s="1"/>
  <c r="BL1704" i="202"/>
  <c r="BO1704" i="202" s="1"/>
  <c r="BL1702" i="202"/>
  <c r="BO1702" i="202" s="1"/>
  <c r="BO1699" i="202"/>
  <c r="BL1699" i="202"/>
  <c r="BL1696" i="202"/>
  <c r="BO1696" i="202" s="1"/>
  <c r="BO1695" i="202"/>
  <c r="BL1695" i="202"/>
  <c r="BL1694" i="202"/>
  <c r="BO1694" i="202" s="1"/>
  <c r="BO1693" i="202"/>
  <c r="BL1693" i="202"/>
  <c r="BL1692" i="202"/>
  <c r="BO1692" i="202" s="1"/>
  <c r="BO1690" i="202"/>
  <c r="BL1690" i="202"/>
  <c r="BL1689" i="202"/>
  <c r="BO1689" i="202" s="1"/>
  <c r="BL1688" i="202"/>
  <c r="BO1688" i="202" s="1"/>
  <c r="BL1687" i="202"/>
  <c r="BO1687" i="202" s="1"/>
  <c r="BL1686" i="202"/>
  <c r="BO1686" i="202" s="1"/>
  <c r="BL1684" i="202"/>
  <c r="BO1684" i="202" s="1"/>
  <c r="BL1683" i="202"/>
  <c r="BO1683" i="202" s="1"/>
  <c r="BL1682" i="202"/>
  <c r="BO1682" i="202" s="1"/>
  <c r="BL1681" i="202"/>
  <c r="BO1681" i="202" s="1"/>
  <c r="BL1679" i="202"/>
  <c r="BO1679" i="202" s="1"/>
  <c r="BL1678" i="202"/>
  <c r="BO1678" i="202" s="1"/>
  <c r="BL1677" i="202"/>
  <c r="BO1677" i="202" s="1"/>
  <c r="BO1675" i="202"/>
  <c r="BL1675" i="202"/>
  <c r="BL1674" i="202"/>
  <c r="BO1674" i="202" s="1"/>
  <c r="BO1672" i="202"/>
  <c r="BL1672" i="202"/>
  <c r="BL1670" i="202"/>
  <c r="BO1670" i="202" s="1"/>
  <c r="BO1668" i="202"/>
  <c r="BL1668" i="202"/>
  <c r="BL1667" i="202"/>
  <c r="BO1667" i="202" s="1"/>
  <c r="BL1666" i="202"/>
  <c r="BO1666" i="202" s="1"/>
  <c r="BL1665" i="202"/>
  <c r="BO1665" i="202" s="1"/>
  <c r="BL1663" i="202"/>
  <c r="BO1663" i="202" s="1"/>
  <c r="BL1662" i="202"/>
  <c r="BO1662" i="202" s="1"/>
  <c r="BL1661" i="202"/>
  <c r="BO1661" i="202" s="1"/>
  <c r="BL1660" i="202"/>
  <c r="BO1660" i="202" s="1"/>
  <c r="BL1658" i="202"/>
  <c r="BO1658" i="202" s="1"/>
  <c r="BL1657" i="202"/>
  <c r="BO1657" i="202" s="1"/>
  <c r="BO1656" i="202"/>
  <c r="BL1656" i="202"/>
  <c r="BL1654" i="202"/>
  <c r="BO1654" i="202" s="1"/>
  <c r="BO1653" i="202"/>
  <c r="BL1653" i="202"/>
  <c r="BL1651" i="202"/>
  <c r="BO1651" i="202" s="1"/>
  <c r="BO1649" i="202"/>
  <c r="BL1649" i="202"/>
  <c r="BL1647" i="202"/>
  <c r="BO1647" i="202" s="1"/>
  <c r="BO1646" i="202"/>
  <c r="BL1646" i="202"/>
  <c r="BL1645" i="202"/>
  <c r="BO1645" i="202" s="1"/>
  <c r="BL1643" i="202"/>
  <c r="BO1643" i="202" s="1"/>
  <c r="BL1642" i="202"/>
  <c r="BO1642" i="202" s="1"/>
  <c r="BL1641" i="202"/>
  <c r="BO1641" i="202" s="1"/>
  <c r="BL1639" i="202"/>
  <c r="BO1639" i="202" s="1"/>
  <c r="BL1638" i="202"/>
  <c r="BO1638" i="202" s="1"/>
  <c r="BL1636" i="202"/>
  <c r="BO1636" i="202" s="1"/>
  <c r="BL1634" i="202"/>
  <c r="BO1634" i="202" s="1"/>
  <c r="BL1632" i="202"/>
  <c r="BO1632" i="202" s="1"/>
  <c r="BL1631" i="202"/>
  <c r="BO1631" i="202" s="1"/>
  <c r="BL1629" i="202"/>
  <c r="BO1629" i="202" s="1"/>
  <c r="BO1628" i="202"/>
  <c r="BL1628" i="202"/>
  <c r="BL1626" i="202"/>
  <c r="BO1626" i="202" s="1"/>
  <c r="BO1624" i="202"/>
  <c r="BL1624" i="202"/>
  <c r="BL1622" i="202"/>
  <c r="BO1622" i="202" s="1"/>
  <c r="BO1620" i="202"/>
  <c r="BL1620" i="202"/>
  <c r="BL1618" i="202"/>
  <c r="BO1618" i="202" s="1"/>
  <c r="BL1615" i="202"/>
  <c r="BO1615" i="202" s="1"/>
  <c r="BL1612" i="202"/>
  <c r="BO1612" i="202" s="1"/>
  <c r="BL1611" i="202"/>
  <c r="BO1611" i="202" s="1"/>
  <c r="BO1610" i="202"/>
  <c r="BL1610" i="202"/>
  <c r="BO1609" i="202"/>
  <c r="BL1609" i="202"/>
  <c r="BL1607" i="202"/>
  <c r="BO1607" i="202" s="1"/>
  <c r="BO1606" i="202"/>
  <c r="BL1606" i="202"/>
  <c r="BL1605" i="202"/>
  <c r="BO1605" i="202" s="1"/>
  <c r="BL1604" i="202"/>
  <c r="BO1604" i="202" s="1"/>
  <c r="BL1602" i="202"/>
  <c r="BO1602" i="202" s="1"/>
  <c r="BL1601" i="202"/>
  <c r="BO1601" i="202" s="1"/>
  <c r="BL1600" i="202"/>
  <c r="BO1600" i="202" s="1"/>
  <c r="BO1598" i="202"/>
  <c r="BL1598" i="202"/>
  <c r="BL1597" i="202"/>
  <c r="BO1597" i="202" s="1"/>
  <c r="BL1595" i="202"/>
  <c r="BO1595" i="202" s="1"/>
  <c r="BO1593" i="202"/>
  <c r="BL1593" i="202"/>
  <c r="BL1591" i="202"/>
  <c r="BO1591" i="202" s="1"/>
  <c r="BL1590" i="202"/>
  <c r="BO1590" i="202" s="1"/>
  <c r="BO1589" i="202"/>
  <c r="BL1589" i="202"/>
  <c r="BL1587" i="202"/>
  <c r="BO1587" i="202" s="1"/>
  <c r="BL1586" i="202"/>
  <c r="BO1586" i="202" s="1"/>
  <c r="BL1585" i="202"/>
  <c r="BO1585" i="202" s="1"/>
  <c r="BL1582" i="202"/>
  <c r="BO1582" i="202" s="1"/>
  <c r="BL1580" i="202"/>
  <c r="BO1580" i="202" s="1"/>
  <c r="BO1578" i="202"/>
  <c r="BL1578" i="202"/>
  <c r="BL1576" i="202"/>
  <c r="BO1576" i="202" s="1"/>
  <c r="BL1575" i="202"/>
  <c r="BO1575" i="202" s="1"/>
  <c r="BL1573" i="202"/>
  <c r="BO1573" i="202" s="1"/>
  <c r="BO1572" i="202"/>
  <c r="BL1572" i="202"/>
  <c r="BO1570" i="202"/>
  <c r="BL1570" i="202"/>
  <c r="BL1568" i="202"/>
  <c r="BO1568" i="202" s="1"/>
  <c r="BL1566" i="202"/>
  <c r="BO1566" i="202" s="1"/>
  <c r="BO1564" i="202"/>
  <c r="BL1564" i="202"/>
  <c r="BL1562" i="202"/>
  <c r="BO1562" i="202" s="1"/>
  <c r="BL1559" i="202"/>
  <c r="BO1559" i="202" s="1"/>
  <c r="BL1556" i="202"/>
  <c r="BO1556" i="202" s="1"/>
  <c r="BO1555" i="202"/>
  <c r="BL1555" i="202"/>
  <c r="BO1554" i="202"/>
  <c r="BL1554" i="202"/>
  <c r="BL1552" i="202"/>
  <c r="BO1552" i="202" s="1"/>
  <c r="BL1551" i="202"/>
  <c r="BO1551" i="202" s="1"/>
  <c r="BO1550" i="202"/>
  <c r="BL1550" i="202"/>
  <c r="BL1548" i="202"/>
  <c r="BO1548" i="202" s="1"/>
  <c r="BL1547" i="202"/>
  <c r="BO1547" i="202" s="1"/>
  <c r="BL1545" i="202"/>
  <c r="BO1545" i="202" s="1"/>
  <c r="BO1543" i="202"/>
  <c r="BL1543" i="202"/>
  <c r="BO1541" i="202"/>
  <c r="BL1541" i="202"/>
  <c r="BL1540" i="202"/>
  <c r="BO1540" i="202" s="1"/>
  <c r="BL1538" i="202"/>
  <c r="BO1538" i="202" s="1"/>
  <c r="BO1537" i="202"/>
  <c r="BL1537" i="202"/>
  <c r="BL1535" i="202"/>
  <c r="BO1535" i="202" s="1"/>
  <c r="BL1533" i="202"/>
  <c r="BO1533" i="202" s="1"/>
  <c r="BL1531" i="202"/>
  <c r="BO1531" i="202" s="1"/>
  <c r="BO1529" i="202"/>
  <c r="BL1529" i="202"/>
  <c r="BO1527" i="202"/>
  <c r="BL1527" i="202"/>
  <c r="BL1524" i="202"/>
  <c r="BO1524" i="202" s="1"/>
  <c r="BL1521" i="202"/>
  <c r="BO1521" i="202" s="1"/>
  <c r="BO1520" i="202"/>
  <c r="BL1520" i="202"/>
  <c r="BL1518" i="202"/>
  <c r="BO1518" i="202" s="1"/>
  <c r="BL1517" i="202"/>
  <c r="BO1517" i="202" s="1"/>
  <c r="BL1515" i="202"/>
  <c r="BO1515" i="202" s="1"/>
  <c r="BO1513" i="202"/>
  <c r="BL1513" i="202"/>
  <c r="BO1511" i="202"/>
  <c r="BL1511" i="202"/>
  <c r="BL1509" i="202"/>
  <c r="BO1509" i="202" s="1"/>
  <c r="BL1507" i="202"/>
  <c r="BO1507" i="202" s="1"/>
  <c r="BO1504" i="202"/>
  <c r="BL1504" i="202"/>
  <c r="BL1501" i="202"/>
  <c r="BO1501" i="202" s="1"/>
  <c r="BL1499" i="202"/>
  <c r="BO1499" i="202" s="1"/>
  <c r="BL1497" i="202"/>
  <c r="BO1497" i="202" s="1"/>
  <c r="BO1494" i="202"/>
  <c r="BL1494" i="202"/>
  <c r="BO1490" i="202"/>
  <c r="BL1490" i="202"/>
  <c r="BL1486" i="202"/>
  <c r="BO1486" i="202" s="1"/>
  <c r="BL1485" i="202"/>
  <c r="BO1485" i="202" s="1"/>
  <c r="BO1484" i="202"/>
  <c r="BL1484" i="202"/>
  <c r="BL1483" i="202"/>
  <c r="BO1483" i="202" s="1"/>
  <c r="BL1482" i="202"/>
  <c r="BO1482" i="202" s="1"/>
  <c r="BL1480" i="202"/>
  <c r="BO1480" i="202" s="1"/>
  <c r="BO1479" i="202"/>
  <c r="BL1479" i="202"/>
  <c r="BO1478" i="202"/>
  <c r="BL1478" i="202"/>
  <c r="BL1477" i="202"/>
  <c r="BO1477" i="202" s="1"/>
  <c r="BL1476" i="202"/>
  <c r="BO1476" i="202" s="1"/>
  <c r="BO1474" i="202"/>
  <c r="BL1474" i="202"/>
  <c r="BL1473" i="202"/>
  <c r="BO1473" i="202" s="1"/>
  <c r="BL1472" i="202"/>
  <c r="BO1472" i="202" s="1"/>
  <c r="BL1471" i="202"/>
  <c r="BO1471" i="202" s="1"/>
  <c r="BO1469" i="202"/>
  <c r="BL1469" i="202"/>
  <c r="BO1468" i="202"/>
  <c r="BL1468" i="202"/>
  <c r="BL1467" i="202"/>
  <c r="BO1467" i="202" s="1"/>
  <c r="BL1465" i="202"/>
  <c r="BO1465" i="202" s="1"/>
  <c r="BO1464" i="202"/>
  <c r="BL1464" i="202"/>
  <c r="BL1462" i="202"/>
  <c r="BO1462" i="202" s="1"/>
  <c r="BL1460" i="202"/>
  <c r="BO1460" i="202" s="1"/>
  <c r="BL1458" i="202"/>
  <c r="BO1458" i="202" s="1"/>
  <c r="BO1457" i="202"/>
  <c r="BL1457" i="202"/>
  <c r="BO1456" i="202"/>
  <c r="BL1456" i="202"/>
  <c r="BL1455" i="202"/>
  <c r="BO1455" i="202" s="1"/>
  <c r="BL1453" i="202"/>
  <c r="BO1453" i="202" s="1"/>
  <c r="BO1452" i="202"/>
  <c r="BL1452" i="202"/>
  <c r="BL1451" i="202"/>
  <c r="BO1451" i="202" s="1"/>
  <c r="BL1450" i="202"/>
  <c r="BO1450" i="202" s="1"/>
  <c r="BL1448" i="202"/>
  <c r="BO1448" i="202" s="1"/>
  <c r="BO1447" i="202"/>
  <c r="BL1447" i="202"/>
  <c r="BO1446" i="202"/>
  <c r="BL1446" i="202"/>
  <c r="BL1444" i="202"/>
  <c r="BO1444" i="202" s="1"/>
  <c r="BL1443" i="202"/>
  <c r="BO1443" i="202" s="1"/>
  <c r="BO1441" i="202"/>
  <c r="BL1441" i="202"/>
  <c r="BL1439" i="202"/>
  <c r="BO1439" i="202" s="1"/>
  <c r="BL1437" i="202"/>
  <c r="BO1437" i="202" s="1"/>
  <c r="BL1436" i="202"/>
  <c r="BO1436" i="202" s="1"/>
  <c r="BO1435" i="202"/>
  <c r="BL1435" i="202"/>
  <c r="BO1433" i="202"/>
  <c r="BL1433" i="202"/>
  <c r="BL1432" i="202"/>
  <c r="BO1432" i="202" s="1"/>
  <c r="BL1431" i="202"/>
  <c r="BO1431" i="202" s="1"/>
  <c r="BO1429" i="202"/>
  <c r="BL1429" i="202"/>
  <c r="BL1428" i="202"/>
  <c r="BO1428" i="202" s="1"/>
  <c r="BL1426" i="202"/>
  <c r="BO1426" i="202" s="1"/>
  <c r="BL1424" i="202"/>
  <c r="BO1424" i="202" s="1"/>
  <c r="BO1422" i="202"/>
  <c r="BL1422" i="202"/>
  <c r="BO1421" i="202"/>
  <c r="BL1421" i="202"/>
  <c r="BL1419" i="202"/>
  <c r="BO1419" i="202" s="1"/>
  <c r="BL1418" i="202"/>
  <c r="BO1418" i="202" s="1"/>
  <c r="BO1416" i="202"/>
  <c r="BL1416" i="202"/>
  <c r="BL1414" i="202"/>
  <c r="BO1414" i="202" s="1"/>
  <c r="BL1412" i="202"/>
  <c r="BO1412" i="202" s="1"/>
  <c r="BL1410" i="202"/>
  <c r="BO1410" i="202" s="1"/>
  <c r="BO1408" i="202"/>
  <c r="BL1408" i="202"/>
  <c r="BO1405" i="202"/>
  <c r="BL1405" i="202"/>
  <c r="BL1402" i="202"/>
  <c r="BO1402" i="202" s="1"/>
  <c r="BL1401" i="202"/>
  <c r="BO1401" i="202" s="1"/>
  <c r="BO1400" i="202"/>
  <c r="BL1400" i="202"/>
  <c r="BL1399" i="202"/>
  <c r="BO1399" i="202" s="1"/>
  <c r="BL1397" i="202"/>
  <c r="BO1397" i="202" s="1"/>
  <c r="BL1396" i="202"/>
  <c r="BO1396" i="202" s="1"/>
  <c r="BO1395" i="202"/>
  <c r="BL1395" i="202"/>
  <c r="BO1394" i="202"/>
  <c r="BL1394" i="202"/>
  <c r="BL1392" i="202"/>
  <c r="BO1392" i="202" s="1"/>
  <c r="BL1391" i="202"/>
  <c r="BO1391" i="202" s="1"/>
  <c r="BO1390" i="202"/>
  <c r="BL1390" i="202"/>
  <c r="BL1388" i="202"/>
  <c r="BO1388" i="202" s="1"/>
  <c r="BO1387" i="202"/>
  <c r="BL1387" i="202"/>
  <c r="BL1385" i="202"/>
  <c r="BO1385" i="202" s="1"/>
  <c r="BO1383" i="202"/>
  <c r="BL1383" i="202"/>
  <c r="BO1381" i="202"/>
  <c r="BL1381" i="202"/>
  <c r="BL1380" i="202"/>
  <c r="BO1380" i="202" s="1"/>
  <c r="BL1379" i="202"/>
  <c r="BO1379" i="202" s="1"/>
  <c r="BO1377" i="202"/>
  <c r="BL1377" i="202"/>
  <c r="BO1376" i="202"/>
  <c r="BL1376" i="202"/>
  <c r="BL1375" i="202"/>
  <c r="BO1375" i="202" s="1"/>
  <c r="BL1372" i="202"/>
  <c r="BO1372" i="202" s="1"/>
  <c r="BO1370" i="202"/>
  <c r="BL1370" i="202"/>
  <c r="BL1368" i="202"/>
  <c r="BO1368" i="202" s="1"/>
  <c r="BO1366" i="202"/>
  <c r="BL1366" i="202"/>
  <c r="BL1365" i="202"/>
  <c r="BO1365" i="202" s="1"/>
  <c r="BO1363" i="202"/>
  <c r="BL1363" i="202"/>
  <c r="BL1362" i="202"/>
  <c r="BO1362" i="202" s="1"/>
  <c r="BO1360" i="202"/>
  <c r="BL1360" i="202"/>
  <c r="BL1358" i="202"/>
  <c r="BO1358" i="202" s="1"/>
  <c r="BO1356" i="202"/>
  <c r="BL1356" i="202"/>
  <c r="BO1354" i="202"/>
  <c r="BL1354" i="202"/>
  <c r="BL1352" i="202"/>
  <c r="BO1352" i="202" s="1"/>
  <c r="BL1349" i="202"/>
  <c r="BO1349" i="202" s="1"/>
  <c r="BO1346" i="202"/>
  <c r="BL1346" i="202"/>
  <c r="BO1345" i="202"/>
  <c r="BL1345" i="202"/>
  <c r="BL1344" i="202"/>
  <c r="BO1344" i="202" s="1"/>
  <c r="BL1342" i="202"/>
  <c r="BO1342" i="202" s="1"/>
  <c r="BO1341" i="202"/>
  <c r="BL1341" i="202"/>
  <c r="BL1340" i="202"/>
  <c r="BO1340" i="202" s="1"/>
  <c r="BO1338" i="202"/>
  <c r="BL1338" i="202"/>
  <c r="BL1337" i="202"/>
  <c r="BO1337" i="202" s="1"/>
  <c r="BO1335" i="202"/>
  <c r="BL1335" i="202"/>
  <c r="BL1333" i="202"/>
  <c r="BO1333" i="202" s="1"/>
  <c r="BO1331" i="202"/>
  <c r="BL1331" i="202"/>
  <c r="BL1330" i="202"/>
  <c r="BO1330" i="202" s="1"/>
  <c r="BO1328" i="202"/>
  <c r="BL1328" i="202"/>
  <c r="BO1327" i="202"/>
  <c r="BL1327" i="202"/>
  <c r="BL1325" i="202"/>
  <c r="BO1325" i="202" s="1"/>
  <c r="BL1323" i="202"/>
  <c r="BO1323" i="202" s="1"/>
  <c r="BO1321" i="202"/>
  <c r="BL1321" i="202"/>
  <c r="BO1319" i="202"/>
  <c r="BL1319" i="202"/>
  <c r="BL1317" i="202"/>
  <c r="BO1317" i="202" s="1"/>
  <c r="BL1314" i="202"/>
  <c r="BO1314" i="202" s="1"/>
  <c r="BO1311" i="202"/>
  <c r="BL1311" i="202"/>
  <c r="BL1310" i="202"/>
  <c r="BO1310" i="202" s="1"/>
  <c r="BO1308" i="202"/>
  <c r="BL1308" i="202"/>
  <c r="BL1307" i="202"/>
  <c r="BO1307" i="202" s="1"/>
  <c r="BO1305" i="202"/>
  <c r="BL1305" i="202"/>
  <c r="BL1303" i="202"/>
  <c r="BO1303" i="202" s="1"/>
  <c r="BO1301" i="202"/>
  <c r="BL1301" i="202"/>
  <c r="BL1299" i="202"/>
  <c r="BO1299" i="202" s="1"/>
  <c r="BO1297" i="202"/>
  <c r="BL1297" i="202"/>
  <c r="BO1294" i="202"/>
  <c r="BL1294" i="202"/>
  <c r="BL1291" i="202"/>
  <c r="BO1291" i="202" s="1"/>
  <c r="BL1289" i="202"/>
  <c r="BO1289" i="202" s="1"/>
  <c r="BO1287" i="202"/>
  <c r="BL1287" i="202"/>
  <c r="BO1284" i="202"/>
  <c r="BL1284" i="202"/>
  <c r="BL1280" i="202"/>
  <c r="BO1280" i="202" s="1"/>
  <c r="BL1276" i="202"/>
  <c r="BO1276" i="202" s="1"/>
  <c r="BO1275" i="202"/>
  <c r="BL1275" i="202"/>
  <c r="BL1274" i="202"/>
  <c r="BO1274" i="202" s="1"/>
  <c r="BO1273" i="202"/>
  <c r="BL1273" i="202"/>
  <c r="BL1271" i="202"/>
  <c r="BO1271" i="202" s="1"/>
  <c r="BO1270" i="202"/>
  <c r="BL1270" i="202"/>
  <c r="BL1269" i="202"/>
  <c r="BO1269" i="202" s="1"/>
  <c r="BO1268" i="202"/>
  <c r="BL1268" i="202"/>
  <c r="BL1266" i="202"/>
  <c r="BO1266" i="202" s="1"/>
  <c r="BO1265" i="202"/>
  <c r="BL1265" i="202"/>
  <c r="BO1264" i="202"/>
  <c r="BL1264" i="202"/>
  <c r="BL1262" i="202"/>
  <c r="BO1262" i="202" s="1"/>
  <c r="BL1261" i="202"/>
  <c r="BO1261" i="202" s="1"/>
  <c r="BO1259" i="202"/>
  <c r="BL1259" i="202"/>
  <c r="BO1257" i="202"/>
  <c r="BL1257" i="202"/>
  <c r="BL1255" i="202"/>
  <c r="BO1255" i="202" s="1"/>
  <c r="BL1254" i="202"/>
  <c r="BO1254" i="202" s="1"/>
  <c r="BO1253" i="202"/>
  <c r="BL1253" i="202"/>
  <c r="BL1251" i="202"/>
  <c r="BO1251" i="202" s="1"/>
  <c r="BO1250" i="202"/>
  <c r="BL1250" i="202"/>
  <c r="BL1249" i="202"/>
  <c r="BO1249" i="202" s="1"/>
  <c r="BO1246" i="202"/>
  <c r="BL1246" i="202"/>
  <c r="BL1244" i="202"/>
  <c r="BO1244" i="202" s="1"/>
  <c r="BO1242" i="202"/>
  <c r="BL1242" i="202"/>
  <c r="BL1240" i="202"/>
  <c r="BO1240" i="202" s="1"/>
  <c r="BO1239" i="202"/>
  <c r="BL1239" i="202"/>
  <c r="BO1236" i="202"/>
  <c r="BL1236" i="202"/>
  <c r="BL1234" i="202"/>
  <c r="BO1234" i="202" s="1"/>
  <c r="BL1232" i="202"/>
  <c r="BO1232" i="202" s="1"/>
  <c r="BO1230" i="202"/>
  <c r="BL1230" i="202"/>
  <c r="BO1228" i="202"/>
  <c r="BL1228" i="202"/>
  <c r="BL1226" i="202"/>
  <c r="BO1226" i="202" s="1"/>
  <c r="BL1223" i="202"/>
  <c r="BO1223" i="202" s="1"/>
  <c r="BO1220" i="202"/>
  <c r="BL1220" i="202"/>
  <c r="BL1219" i="202"/>
  <c r="BO1219" i="202" s="1"/>
  <c r="BO1218" i="202"/>
  <c r="BL1218" i="202"/>
  <c r="BL1216" i="202"/>
  <c r="BO1216" i="202" s="1"/>
  <c r="BO1215" i="202"/>
  <c r="BL1215" i="202"/>
  <c r="BL1214" i="202"/>
  <c r="BO1214" i="202" s="1"/>
  <c r="BO1212" i="202"/>
  <c r="BL1212" i="202"/>
  <c r="BL1211" i="202"/>
  <c r="BO1211" i="202" s="1"/>
  <c r="BO1209" i="202"/>
  <c r="BL1209" i="202"/>
  <c r="BO1207" i="202"/>
  <c r="BL1207" i="202"/>
  <c r="BL1205" i="202"/>
  <c r="BO1205" i="202" s="1"/>
  <c r="BL1204" i="202"/>
  <c r="BO1204" i="202" s="1"/>
  <c r="BO1202" i="202"/>
  <c r="BL1202" i="202"/>
  <c r="BO1201" i="202"/>
  <c r="BL1201" i="202"/>
  <c r="BL1199" i="202"/>
  <c r="BO1199" i="202" s="1"/>
  <c r="BL1197" i="202"/>
  <c r="BO1197" i="202" s="1"/>
  <c r="BO1195" i="202"/>
  <c r="BL1195" i="202"/>
  <c r="BL1193" i="202"/>
  <c r="BO1193" i="202" s="1"/>
  <c r="BO1191" i="202"/>
  <c r="BL1191" i="202"/>
  <c r="BL1188" i="202"/>
  <c r="BO1188" i="202" s="1"/>
  <c r="BO1185" i="202"/>
  <c r="BL1185" i="202"/>
  <c r="BL1184" i="202"/>
  <c r="BO1184" i="202" s="1"/>
  <c r="BO1182" i="202"/>
  <c r="BL1182" i="202"/>
  <c r="BL1181" i="202"/>
  <c r="BO1181" i="202" s="1"/>
  <c r="BO1179" i="202"/>
  <c r="BL1179" i="202"/>
  <c r="BO1177" i="202"/>
  <c r="BL1177" i="202"/>
  <c r="BL1175" i="202"/>
  <c r="BO1175" i="202" s="1"/>
  <c r="BL1173" i="202"/>
  <c r="BO1173" i="202" s="1"/>
  <c r="BO1171" i="202"/>
  <c r="BL1171" i="202"/>
  <c r="BO1168" i="202"/>
  <c r="BL1168" i="202"/>
  <c r="BL1165" i="202"/>
  <c r="BO1165" i="202" s="1"/>
  <c r="BL1163" i="202"/>
  <c r="BO1163" i="202" s="1"/>
  <c r="BO1161" i="202"/>
  <c r="BL1161" i="202"/>
  <c r="BL1158" i="202"/>
  <c r="BO1158" i="202" s="1"/>
  <c r="BO1154" i="202"/>
  <c r="BL1154" i="202"/>
  <c r="BL1150" i="202"/>
  <c r="BO1150" i="202" s="1"/>
  <c r="BO1149" i="202"/>
  <c r="BL1149" i="202"/>
  <c r="BL1148" i="202"/>
  <c r="BO1148" i="202" s="1"/>
  <c r="BO1146" i="202"/>
  <c r="BL1146" i="202"/>
  <c r="BL1145" i="202"/>
  <c r="BO1145" i="202" s="1"/>
  <c r="BO1144" i="202"/>
  <c r="BL1144" i="202"/>
  <c r="BO1142" i="202"/>
  <c r="BL1142" i="202"/>
  <c r="BL1141" i="202"/>
  <c r="BO1141" i="202" s="1"/>
  <c r="BL1139" i="202"/>
  <c r="BO1139" i="202" s="1"/>
  <c r="BO1137" i="202"/>
  <c r="BL1137" i="202"/>
  <c r="BO1135" i="202"/>
  <c r="BL1135" i="202"/>
  <c r="BL1134" i="202"/>
  <c r="BO1134" i="202" s="1"/>
  <c r="BL1132" i="202"/>
  <c r="BO1132" i="202" s="1"/>
  <c r="BO1131" i="202"/>
  <c r="BL1131" i="202"/>
  <c r="BL1129" i="202"/>
  <c r="BO1129" i="202" s="1"/>
  <c r="BO1127" i="202"/>
  <c r="BL1127" i="202"/>
  <c r="BL1125" i="202"/>
  <c r="BO1125" i="202" s="1"/>
  <c r="BO1123" i="202"/>
  <c r="BL1123" i="202"/>
  <c r="BL1121" i="202"/>
  <c r="BO1121" i="202" s="1"/>
  <c r="BO1118" i="202"/>
  <c r="BL1118" i="202"/>
  <c r="BL1115" i="202"/>
  <c r="BO1115" i="202" s="1"/>
  <c r="BO1114" i="202"/>
  <c r="BL1114" i="202"/>
  <c r="BO1111" i="202"/>
  <c r="BL1111" i="202"/>
  <c r="BL1109" i="202"/>
  <c r="BO1109" i="202" s="1"/>
  <c r="BL1107" i="202"/>
  <c r="BO1107" i="202" s="1"/>
  <c r="BO1105" i="202"/>
  <c r="BL1105" i="202"/>
  <c r="BO1098" i="202"/>
  <c r="BL1098" i="202"/>
  <c r="BL1095" i="202"/>
  <c r="BO1095" i="202" s="1"/>
  <c r="BL1093" i="202"/>
  <c r="BO1093" i="202" s="1"/>
  <c r="BO1091" i="202"/>
  <c r="BL1091" i="202"/>
  <c r="BL1088" i="202"/>
  <c r="BO1088" i="202" s="1"/>
  <c r="BO1084" i="202"/>
  <c r="BL1084" i="202"/>
  <c r="BL1080" i="202"/>
  <c r="BO1080" i="202" s="1"/>
  <c r="BO1079" i="202"/>
  <c r="BL1079" i="202"/>
  <c r="BL1077" i="202"/>
  <c r="BO1077" i="202" s="1"/>
  <c r="BO1076" i="202"/>
  <c r="BL1076" i="202"/>
  <c r="BL1074" i="202"/>
  <c r="BO1074" i="202" s="1"/>
  <c r="BO1072" i="202"/>
  <c r="BL1072" i="202"/>
  <c r="BO1070" i="202"/>
  <c r="BL1070" i="202"/>
  <c r="BL1068" i="202"/>
  <c r="BO1068" i="202" s="1"/>
  <c r="BL1066" i="202"/>
  <c r="BO1066" i="202" s="1"/>
  <c r="BO1063" i="202"/>
  <c r="BL1063" i="202"/>
  <c r="BO1060" i="202"/>
  <c r="BL1060" i="202"/>
  <c r="BL1058" i="202"/>
  <c r="BO1058" i="202" s="1"/>
  <c r="BL1056" i="202"/>
  <c r="BO1056" i="202" s="1"/>
  <c r="BO1053" i="202"/>
  <c r="BL1053" i="202"/>
  <c r="BL1049" i="202"/>
  <c r="BO1049" i="202" s="1"/>
  <c r="BO1045" i="202"/>
  <c r="BL1045" i="202"/>
  <c r="BL1043" i="202"/>
  <c r="BO1043" i="202" s="1"/>
  <c r="BO1041" i="202"/>
  <c r="BL1041" i="202"/>
  <c r="BL1038" i="202"/>
  <c r="BO1038" i="202" s="1"/>
  <c r="BO1034" i="202"/>
  <c r="BL1034" i="202"/>
  <c r="BL1029" i="202"/>
  <c r="BO1029" i="202" s="1"/>
  <c r="BO1024" i="202"/>
  <c r="BL1024" i="202"/>
  <c r="BO1023" i="202"/>
  <c r="BL1023" i="202"/>
  <c r="BL1022" i="202"/>
  <c r="BO1022" i="202" s="1"/>
  <c r="BL1021" i="202"/>
  <c r="BO1021" i="202" s="1"/>
  <c r="BO1019" i="202"/>
  <c r="BL1019" i="202"/>
  <c r="BO1018" i="202"/>
  <c r="BL1018" i="202"/>
  <c r="BL1017" i="202"/>
  <c r="BO1017" i="202" s="1"/>
  <c r="BL1016" i="202"/>
  <c r="BO1016" i="202" s="1"/>
  <c r="BO1014" i="202"/>
  <c r="BL1014" i="202"/>
  <c r="BL1013" i="202"/>
  <c r="BO1013" i="202" s="1"/>
  <c r="BO1012" i="202"/>
  <c r="BL1012" i="202"/>
  <c r="BL1010" i="202"/>
  <c r="BO1010" i="202" s="1"/>
  <c r="BO1009" i="202"/>
  <c r="BL1009" i="202"/>
  <c r="BL1007" i="202"/>
  <c r="BO1007" i="202" s="1"/>
  <c r="BO1005" i="202"/>
  <c r="BL1005" i="202"/>
  <c r="BL1003" i="202"/>
  <c r="BO1003" i="202" s="1"/>
  <c r="BO1002" i="202"/>
  <c r="BL1002" i="202"/>
  <c r="BO1001" i="202"/>
  <c r="BL1001" i="202"/>
  <c r="BL999" i="202"/>
  <c r="BO999" i="202" s="1"/>
  <c r="BL998" i="202"/>
  <c r="BO998" i="202" s="1"/>
  <c r="BO997" i="202"/>
  <c r="BL997" i="202"/>
  <c r="BO994" i="202"/>
  <c r="BL994" i="202"/>
  <c r="BL992" i="202"/>
  <c r="BO992" i="202" s="1"/>
  <c r="BL990" i="202"/>
  <c r="BO990" i="202" s="1"/>
  <c r="BO988" i="202"/>
  <c r="BL988" i="202"/>
  <c r="BL987" i="202"/>
  <c r="BO987" i="202" s="1"/>
  <c r="BO985" i="202"/>
  <c r="BL985" i="202"/>
  <c r="BL984" i="202"/>
  <c r="BO984" i="202" s="1"/>
  <c r="BO982" i="202"/>
  <c r="BL982" i="202"/>
  <c r="BL980" i="202"/>
  <c r="BO980" i="202" s="1"/>
  <c r="BO978" i="202"/>
  <c r="BL978" i="202"/>
  <c r="BL976" i="202"/>
  <c r="BO976" i="202" s="1"/>
  <c r="BO974" i="202"/>
  <c r="BL974" i="202"/>
  <c r="BO971" i="202"/>
  <c r="BL971" i="202"/>
  <c r="BL968" i="202"/>
  <c r="BO968" i="202" s="1"/>
  <c r="BL967" i="202"/>
  <c r="BO967" i="202" s="1"/>
  <c r="BO966" i="202"/>
  <c r="BL966" i="202"/>
  <c r="BO964" i="202"/>
  <c r="BL964" i="202"/>
  <c r="BL963" i="202"/>
  <c r="BO963" i="202" s="1"/>
  <c r="BL962" i="202"/>
  <c r="BO962" i="202" s="1"/>
  <c r="BO960" i="202"/>
  <c r="BL960" i="202"/>
  <c r="BL959" i="202"/>
  <c r="BO959" i="202" s="1"/>
  <c r="BO957" i="202"/>
  <c r="BL957" i="202"/>
  <c r="BL955" i="202"/>
  <c r="BO955" i="202" s="1"/>
  <c r="BO953" i="202"/>
  <c r="BL953" i="202"/>
  <c r="BL952" i="202"/>
  <c r="BO952" i="202" s="1"/>
  <c r="BO950" i="202"/>
  <c r="BL950" i="202"/>
  <c r="BL949" i="202"/>
  <c r="BO949" i="202" s="1"/>
  <c r="BO947" i="202"/>
  <c r="BL947" i="202"/>
  <c r="BO945" i="202"/>
  <c r="BL945" i="202"/>
  <c r="BL943" i="202"/>
  <c r="BO943" i="202" s="1"/>
  <c r="BL941" i="202"/>
  <c r="BO941" i="202" s="1"/>
  <c r="BO939" i="202"/>
  <c r="BL939" i="202"/>
  <c r="BO936" i="202"/>
  <c r="BL936" i="202"/>
  <c r="BL933" i="202"/>
  <c r="BO933" i="202" s="1"/>
  <c r="BL932" i="202"/>
  <c r="BO932" i="202" s="1"/>
  <c r="BO930" i="202"/>
  <c r="BL930" i="202"/>
  <c r="BL929" i="202"/>
  <c r="BO929" i="202" s="1"/>
  <c r="BO927" i="202"/>
  <c r="BL927" i="202"/>
  <c r="BL925" i="202"/>
  <c r="BO925" i="202" s="1"/>
  <c r="BO923" i="202"/>
  <c r="BL923" i="202"/>
  <c r="BL921" i="202"/>
  <c r="BO921" i="202" s="1"/>
  <c r="BO919" i="202"/>
  <c r="BL919" i="202"/>
  <c r="BL916" i="202"/>
  <c r="BO916" i="202" s="1"/>
  <c r="BO913" i="202"/>
  <c r="BL913" i="202"/>
  <c r="BO911" i="202"/>
  <c r="BL911" i="202"/>
  <c r="BL909" i="202"/>
  <c r="BO909" i="202" s="1"/>
  <c r="BL906" i="202"/>
  <c r="BO906" i="202" s="1"/>
  <c r="BO902" i="202"/>
  <c r="BL902" i="202"/>
  <c r="BO898" i="202"/>
  <c r="BL898" i="202"/>
  <c r="BL897" i="202"/>
  <c r="BO897" i="202" s="1"/>
  <c r="BL896" i="202"/>
  <c r="BO896" i="202" s="1"/>
  <c r="BO894" i="202"/>
  <c r="BL894" i="202"/>
  <c r="BL893" i="202"/>
  <c r="BO893" i="202" s="1"/>
  <c r="BO892" i="202"/>
  <c r="BL892" i="202"/>
  <c r="BL890" i="202"/>
  <c r="BO890" i="202" s="1"/>
  <c r="BO889" i="202"/>
  <c r="BL889" i="202"/>
  <c r="BL887" i="202"/>
  <c r="BO887" i="202" s="1"/>
  <c r="BO885" i="202"/>
  <c r="BL885" i="202"/>
  <c r="BL883" i="202"/>
  <c r="BO883" i="202" s="1"/>
  <c r="BO882" i="202"/>
  <c r="BL882" i="202"/>
  <c r="BO880" i="202"/>
  <c r="BL880" i="202"/>
  <c r="BL879" i="202"/>
  <c r="BO879" i="202" s="1"/>
  <c r="BL877" i="202"/>
  <c r="BO877" i="202" s="1"/>
  <c r="BO875" i="202"/>
  <c r="BL875" i="202"/>
  <c r="BO873" i="202"/>
  <c r="BL873" i="202"/>
  <c r="BL871" i="202"/>
  <c r="BO871" i="202" s="1"/>
  <c r="BL869" i="202"/>
  <c r="BO869" i="202" s="1"/>
  <c r="BO866" i="202"/>
  <c r="BL866" i="202"/>
  <c r="BL863" i="202"/>
  <c r="BO863" i="202" s="1"/>
  <c r="BO862" i="202"/>
  <c r="BL862" i="202"/>
  <c r="BL859" i="202"/>
  <c r="BO859" i="202" s="1"/>
  <c r="BO857" i="202"/>
  <c r="BL857" i="202"/>
  <c r="BL855" i="202"/>
  <c r="BO855" i="202" s="1"/>
  <c r="BO853" i="202"/>
  <c r="BL853" i="202"/>
  <c r="BL846" i="202"/>
  <c r="BO846" i="202" s="1"/>
  <c r="BO843" i="202"/>
  <c r="BL843" i="202"/>
  <c r="BO841" i="202"/>
  <c r="BL841" i="202"/>
  <c r="BL839" i="202"/>
  <c r="BO839" i="202" s="1"/>
  <c r="BL836" i="202"/>
  <c r="BO836" i="202" s="1"/>
  <c r="BO832" i="202"/>
  <c r="BL832" i="202"/>
  <c r="BO828" i="202"/>
  <c r="BL828" i="202"/>
  <c r="BL827" i="202"/>
  <c r="BO827" i="202" s="1"/>
  <c r="BL825" i="202"/>
  <c r="BO825" i="202" s="1"/>
  <c r="BO824" i="202"/>
  <c r="BL824" i="202"/>
  <c r="BL822" i="202"/>
  <c r="BO822" i="202" s="1"/>
  <c r="BO820" i="202"/>
  <c r="BL820" i="202"/>
  <c r="BL818" i="202"/>
  <c r="BO818" i="202" s="1"/>
  <c r="BO816" i="202"/>
  <c r="BL816" i="202"/>
  <c r="BL814" i="202"/>
  <c r="BO814" i="202" s="1"/>
  <c r="BO811" i="202"/>
  <c r="BL811" i="202"/>
  <c r="BL808" i="202"/>
  <c r="BO808" i="202" s="1"/>
  <c r="BO806" i="202"/>
  <c r="BL806" i="202"/>
  <c r="BO804" i="202"/>
  <c r="BL804" i="202"/>
  <c r="BL801" i="202"/>
  <c r="BO801" i="202" s="1"/>
  <c r="BL797" i="202"/>
  <c r="BO797" i="202" s="1"/>
  <c r="BO793" i="202"/>
  <c r="BL793" i="202"/>
  <c r="BO791" i="202"/>
  <c r="BL791" i="202"/>
  <c r="BL789" i="202"/>
  <c r="BO789" i="202" s="1"/>
  <c r="BL786" i="202"/>
  <c r="BO786" i="202" s="1"/>
  <c r="BO782" i="202"/>
  <c r="BL782" i="202"/>
  <c r="BL777" i="202"/>
  <c r="BO777" i="202" s="1"/>
  <c r="BO772" i="202"/>
  <c r="BL772" i="202"/>
  <c r="BL771" i="202"/>
  <c r="BO771" i="202" s="1"/>
  <c r="BO770" i="202"/>
  <c r="BL770" i="202"/>
  <c r="BL768" i="202"/>
  <c r="BO768" i="202" s="1"/>
  <c r="BO767" i="202"/>
  <c r="BL767" i="202"/>
  <c r="BL766" i="202"/>
  <c r="BO766" i="202" s="1"/>
  <c r="BO764" i="202"/>
  <c r="BL764" i="202"/>
  <c r="BO763" i="202"/>
  <c r="BL763" i="202"/>
  <c r="BL761" i="202"/>
  <c r="BO761" i="202" s="1"/>
  <c r="BL759" i="202"/>
  <c r="BO759" i="202" s="1"/>
  <c r="BO757" i="202"/>
  <c r="BL757" i="202"/>
  <c r="BO756" i="202"/>
  <c r="BL756" i="202"/>
  <c r="BL754" i="202"/>
  <c r="BO754" i="202" s="1"/>
  <c r="BL753" i="202"/>
  <c r="BO753" i="202" s="1"/>
  <c r="BO751" i="202"/>
  <c r="BL751" i="202"/>
  <c r="BL749" i="202"/>
  <c r="BO749" i="202" s="1"/>
  <c r="BO747" i="202"/>
  <c r="BL747" i="202"/>
  <c r="BL745" i="202"/>
  <c r="BO745" i="202" s="1"/>
  <c r="BO743" i="202"/>
  <c r="BL743" i="202"/>
  <c r="BL740" i="202"/>
  <c r="BO740" i="202" s="1"/>
  <c r="BO737" i="202"/>
  <c r="BL737" i="202"/>
  <c r="BL736" i="202"/>
  <c r="BO736" i="202" s="1"/>
  <c r="BO733" i="202"/>
  <c r="BL733" i="202"/>
  <c r="BO731" i="202"/>
  <c r="BL731" i="202"/>
  <c r="BL729" i="202"/>
  <c r="BO729" i="202" s="1"/>
  <c r="BL727" i="202"/>
  <c r="BO727" i="202" s="1"/>
  <c r="BO720" i="202"/>
  <c r="BL720" i="202"/>
  <c r="BO717" i="202"/>
  <c r="BL717" i="202"/>
  <c r="BL710" i="202"/>
  <c r="BO710" i="202" s="1"/>
  <c r="BL706" i="202"/>
  <c r="BO706" i="202" s="1"/>
  <c r="BO702" i="202"/>
  <c r="BL702" i="202"/>
  <c r="BL701" i="202"/>
  <c r="BO701" i="202" s="1"/>
  <c r="BO699" i="202"/>
  <c r="BL699" i="202"/>
  <c r="BL698" i="202"/>
  <c r="BO698" i="202" s="1"/>
  <c r="BO696" i="202"/>
  <c r="BL696" i="202"/>
  <c r="BL694" i="202"/>
  <c r="BO694" i="202" s="1"/>
  <c r="BO692" i="202"/>
  <c r="BL692" i="202"/>
  <c r="BL690" i="202"/>
  <c r="BO690" i="202" s="1"/>
  <c r="BO688" i="202"/>
  <c r="BL688" i="202"/>
  <c r="BO685" i="202"/>
  <c r="BL685" i="202"/>
  <c r="BL682" i="202"/>
  <c r="BO682" i="202" s="1"/>
  <c r="BL680" i="202"/>
  <c r="BO680" i="202" s="1"/>
  <c r="BO678" i="202"/>
  <c r="BL678" i="202"/>
  <c r="BO675" i="202"/>
  <c r="BL675" i="202"/>
  <c r="BL671" i="202"/>
  <c r="BO671" i="202" s="1"/>
  <c r="BL667" i="202"/>
  <c r="BO667" i="202" s="1"/>
  <c r="BO665" i="202"/>
  <c r="BL665" i="202"/>
  <c r="BL663" i="202"/>
  <c r="BO663" i="202" s="1"/>
  <c r="BO660" i="202"/>
  <c r="BL660" i="202"/>
  <c r="BL656" i="202"/>
  <c r="BO656" i="202" s="1"/>
  <c r="BO651" i="202"/>
  <c r="BL651" i="202"/>
  <c r="BL646" i="202"/>
  <c r="BO646" i="202" s="1"/>
  <c r="BO645" i="202"/>
  <c r="BL645" i="202"/>
  <c r="BL643" i="202"/>
  <c r="BO643" i="202" s="1"/>
  <c r="BO642" i="202"/>
  <c r="BL642" i="202"/>
  <c r="BO640" i="202"/>
  <c r="BL640" i="202"/>
  <c r="BL638" i="202"/>
  <c r="BO638" i="202" s="1"/>
  <c r="BL636" i="202"/>
  <c r="BO636" i="202" s="1"/>
  <c r="BO634" i="202"/>
  <c r="BL634" i="202"/>
  <c r="BO632" i="202"/>
  <c r="BL632" i="202"/>
  <c r="BL629" i="202"/>
  <c r="BO629" i="202" s="1"/>
  <c r="BL626" i="202"/>
  <c r="BO626" i="202" s="1"/>
  <c r="BO624" i="202"/>
  <c r="BL624" i="202"/>
  <c r="BL622" i="202"/>
  <c r="BO622" i="202" s="1"/>
  <c r="BO619" i="202"/>
  <c r="BL619" i="202"/>
  <c r="BL615" i="202"/>
  <c r="BO615" i="202" s="1"/>
  <c r="BO611" i="202"/>
  <c r="BL611" i="202"/>
  <c r="BL604" i="202"/>
  <c r="BO604" i="202" s="1"/>
  <c r="BO595" i="202"/>
  <c r="BL595" i="202"/>
  <c r="BL590" i="202"/>
  <c r="BO590" i="202" s="1"/>
  <c r="BL588" i="202"/>
  <c r="BO588" i="202" s="1"/>
  <c r="BO586" i="202"/>
  <c r="BL586" i="202"/>
  <c r="BL583" i="202"/>
  <c r="BO583" i="202" s="1"/>
  <c r="BL579" i="202"/>
  <c r="BO579" i="202" s="1"/>
  <c r="BL574" i="202"/>
  <c r="BO574" i="202" s="1"/>
  <c r="BO568" i="202"/>
  <c r="BL568" i="202"/>
  <c r="BL562" i="202"/>
  <c r="BO562" i="202" s="1"/>
  <c r="BL561" i="202"/>
  <c r="BO561" i="202" s="1"/>
  <c r="BO560" i="202"/>
  <c r="BL560" i="202"/>
  <c r="BL558" i="202"/>
  <c r="BO558" i="202" s="1"/>
  <c r="BO557" i="202"/>
  <c r="BL557" i="202"/>
  <c r="BL556" i="202"/>
  <c r="BO556" i="202" s="1"/>
  <c r="BO554" i="202"/>
  <c r="BL554" i="202"/>
  <c r="BL553" i="202"/>
  <c r="BO553" i="202" s="1"/>
  <c r="BO551" i="202"/>
  <c r="BL551" i="202"/>
  <c r="BL549" i="202"/>
  <c r="BO549" i="202" s="1"/>
  <c r="BL547" i="202"/>
  <c r="BO547" i="202" s="1"/>
  <c r="BO546" i="202"/>
  <c r="BL546" i="202"/>
  <c r="BL544" i="202"/>
  <c r="BO544" i="202" s="1"/>
  <c r="BL543" i="202"/>
  <c r="BO543" i="202" s="1"/>
  <c r="BL541" i="202"/>
  <c r="BO541" i="202" s="1"/>
  <c r="BO539" i="202"/>
  <c r="BL539" i="202"/>
  <c r="BL537" i="202"/>
  <c r="BO537" i="202" s="1"/>
  <c r="BL535" i="202"/>
  <c r="BO535" i="202" s="1"/>
  <c r="BO533" i="202"/>
  <c r="BL533" i="202"/>
  <c r="BL530" i="202"/>
  <c r="BO530" i="202" s="1"/>
  <c r="BO527" i="202"/>
  <c r="BL527" i="202"/>
  <c r="BL526" i="202"/>
  <c r="BO526" i="202" s="1"/>
  <c r="BO523" i="202"/>
  <c r="BL523" i="202"/>
  <c r="BL521" i="202"/>
  <c r="BO521" i="202" s="1"/>
  <c r="BO519" i="202"/>
  <c r="BL519" i="202"/>
  <c r="BL517" i="202"/>
  <c r="BO517" i="202" s="1"/>
  <c r="BL510" i="202"/>
  <c r="BO510" i="202" s="1"/>
  <c r="BO507" i="202"/>
  <c r="BL507" i="202"/>
  <c r="BL505" i="202"/>
  <c r="BO505" i="202" s="1"/>
  <c r="BL503" i="202"/>
  <c r="BO503" i="202" s="1"/>
  <c r="BL500" i="202"/>
  <c r="BO500" i="202" s="1"/>
  <c r="BO496" i="202"/>
  <c r="BL496" i="202"/>
  <c r="BL492" i="202"/>
  <c r="BO492" i="202" s="1"/>
  <c r="BL491" i="202"/>
  <c r="BO491" i="202" s="1"/>
  <c r="BO489" i="202"/>
  <c r="BL489" i="202"/>
  <c r="BL488" i="202"/>
  <c r="BO488" i="202" s="1"/>
  <c r="BO486" i="202"/>
  <c r="BL486" i="202"/>
  <c r="BL484" i="202"/>
  <c r="BO484" i="202" s="1"/>
  <c r="BO482" i="202"/>
  <c r="BL482" i="202"/>
  <c r="BL480" i="202"/>
  <c r="BO480" i="202" s="1"/>
  <c r="BO478" i="202"/>
  <c r="BL478" i="202"/>
  <c r="BL475" i="202"/>
  <c r="BO475" i="202" s="1"/>
  <c r="BL472" i="202"/>
  <c r="BO472" i="202" s="1"/>
  <c r="BO470" i="202"/>
  <c r="BL470" i="202"/>
  <c r="BL468" i="202"/>
  <c r="BO468" i="202" s="1"/>
  <c r="BL465" i="202"/>
  <c r="BO465" i="202" s="1"/>
  <c r="BL461" i="202"/>
  <c r="BO461" i="202" s="1"/>
  <c r="BO457" i="202"/>
  <c r="BL457" i="202"/>
  <c r="BL455" i="202"/>
  <c r="BO455" i="202" s="1"/>
  <c r="BL453" i="202"/>
  <c r="BO453" i="202" s="1"/>
  <c r="BO450" i="202"/>
  <c r="BL450" i="202"/>
  <c r="BL446" i="202"/>
  <c r="BO446" i="202" s="1"/>
  <c r="BO441" i="202"/>
  <c r="BL441" i="202"/>
  <c r="BL436" i="202"/>
  <c r="BO436" i="202" s="1"/>
  <c r="BO435" i="202"/>
  <c r="BL435" i="202"/>
  <c r="BL433" i="202"/>
  <c r="BO433" i="202" s="1"/>
  <c r="BO432" i="202"/>
  <c r="BL432" i="202"/>
  <c r="BL430" i="202"/>
  <c r="BO430" i="202" s="1"/>
  <c r="BL428" i="202"/>
  <c r="BO428" i="202" s="1"/>
  <c r="BO426" i="202"/>
  <c r="BL426" i="202"/>
  <c r="BL424" i="202"/>
  <c r="BO424" i="202" s="1"/>
  <c r="BL422" i="202"/>
  <c r="BO422" i="202" s="1"/>
  <c r="BL419" i="202"/>
  <c r="BO419" i="202" s="1"/>
  <c r="BO416" i="202"/>
  <c r="BL416" i="202"/>
  <c r="BL414" i="202"/>
  <c r="BO414" i="202" s="1"/>
  <c r="BL412" i="202"/>
  <c r="BO412" i="202" s="1"/>
  <c r="BO409" i="202"/>
  <c r="BL409" i="202"/>
  <c r="BL405" i="202"/>
  <c r="BO405" i="202" s="1"/>
  <c r="BO401" i="202"/>
  <c r="BL401" i="202"/>
  <c r="BL394" i="202"/>
  <c r="BO394" i="202" s="1"/>
  <c r="BO385" i="202"/>
  <c r="BL385" i="202"/>
  <c r="BL380" i="202"/>
  <c r="BO380" i="202" s="1"/>
  <c r="BO378" i="202"/>
  <c r="BL378" i="202"/>
  <c r="BL376" i="202"/>
  <c r="BO376" i="202" s="1"/>
  <c r="BL373" i="202"/>
  <c r="BO373" i="202" s="1"/>
  <c r="BO369" i="202"/>
  <c r="BL369" i="202"/>
  <c r="BL364" i="202"/>
  <c r="BO364" i="202" s="1"/>
  <c r="BL358" i="202"/>
  <c r="BO358" i="202" s="1"/>
  <c r="BL352" i="202"/>
  <c r="BO352" i="202" s="1"/>
  <c r="BO351" i="202"/>
  <c r="BL351" i="202"/>
  <c r="BL349" i="202"/>
  <c r="BO349" i="202" s="1"/>
  <c r="BL348" i="202"/>
  <c r="BO348" i="202" s="1"/>
  <c r="BO346" i="202"/>
  <c r="BL346" i="202"/>
  <c r="BL344" i="202"/>
  <c r="BO344" i="202" s="1"/>
  <c r="BO342" i="202"/>
  <c r="BL342" i="202"/>
  <c r="BL340" i="202"/>
  <c r="BO340" i="202" s="1"/>
  <c r="BO338" i="202"/>
  <c r="BL338" i="202"/>
  <c r="BL335" i="202"/>
  <c r="BO335" i="202" s="1"/>
  <c r="BO332" i="202"/>
  <c r="BL332" i="202"/>
  <c r="BL330" i="202"/>
  <c r="BO330" i="202" s="1"/>
  <c r="BL328" i="202"/>
  <c r="BO328" i="202" s="1"/>
  <c r="BO325" i="202"/>
  <c r="BL325" i="202"/>
  <c r="BL321" i="202"/>
  <c r="BO321" i="202" s="1"/>
  <c r="BL317" i="202"/>
  <c r="BO317" i="202" s="1"/>
  <c r="BL310" i="202"/>
  <c r="BO310" i="202" s="1"/>
  <c r="BO296" i="202"/>
  <c r="BL296" i="202"/>
  <c r="BL294" i="202"/>
  <c r="BO294" i="202" s="1"/>
  <c r="BL292" i="202"/>
  <c r="BO292" i="202" s="1"/>
  <c r="BO289" i="202"/>
  <c r="BL289" i="202"/>
  <c r="BL285" i="202"/>
  <c r="BO285" i="202" s="1"/>
  <c r="BO280" i="202"/>
  <c r="BL280" i="202"/>
  <c r="BL274" i="202"/>
  <c r="BO274" i="202" s="1"/>
  <c r="BO268" i="202"/>
  <c r="BL268" i="202"/>
  <c r="BL266" i="202"/>
  <c r="BO266" i="202" s="1"/>
  <c r="BO264" i="202"/>
  <c r="BL264" i="202"/>
  <c r="BL261" i="202"/>
  <c r="BO261" i="202" s="1"/>
  <c r="BO257" i="202"/>
  <c r="BL257" i="202"/>
  <c r="BL252" i="202"/>
  <c r="BO252" i="202" s="1"/>
  <c r="BO239" i="202"/>
  <c r="BL239" i="202"/>
  <c r="BL232" i="202"/>
  <c r="BO232" i="202" s="1"/>
  <c r="BO231" i="202"/>
  <c r="BL231" i="202"/>
  <c r="BL229" i="202"/>
  <c r="BO229" i="202" s="1"/>
  <c r="BO228" i="202"/>
  <c r="BL228" i="202"/>
  <c r="BL226" i="202"/>
  <c r="BO226" i="202" s="1"/>
  <c r="BO224" i="202"/>
  <c r="BL224" i="202"/>
  <c r="BL222" i="202"/>
  <c r="BO222" i="202" s="1"/>
  <c r="BO220" i="202"/>
  <c r="BL220" i="202"/>
  <c r="BL218" i="202"/>
  <c r="BO218" i="202" s="1"/>
  <c r="BO215" i="202"/>
  <c r="BL215" i="202"/>
  <c r="BL212" i="202"/>
  <c r="BO212" i="202" s="1"/>
  <c r="BO210" i="202"/>
  <c r="BL210" i="202"/>
  <c r="BL208" i="202"/>
  <c r="BO208" i="202" s="1"/>
  <c r="BO205" i="202"/>
  <c r="BL205" i="202"/>
  <c r="BL201" i="202"/>
  <c r="BO201" i="202" s="1"/>
  <c r="BO197" i="202"/>
  <c r="BL197" i="202"/>
  <c r="BL190" i="202"/>
  <c r="BO190" i="202" s="1"/>
  <c r="BO181" i="202"/>
  <c r="BL181" i="202"/>
  <c r="BL176" i="202"/>
  <c r="BO176" i="202" s="1"/>
  <c r="BO174" i="202"/>
  <c r="BL174" i="202"/>
  <c r="BL172" i="202"/>
  <c r="BO172" i="202" s="1"/>
  <c r="BO169" i="202"/>
  <c r="BL169" i="202"/>
  <c r="BL165" i="202"/>
  <c r="BO165" i="202" s="1"/>
  <c r="BO160" i="202"/>
  <c r="BL160" i="202"/>
  <c r="BL154" i="202"/>
  <c r="BO154" i="202" s="1"/>
  <c r="BO148" i="202"/>
  <c r="BL148" i="202"/>
  <c r="BL146" i="202"/>
  <c r="BO146" i="202" s="1"/>
  <c r="BO144" i="202"/>
  <c r="BL144" i="202"/>
  <c r="BL141" i="202"/>
  <c r="BO141" i="202" s="1"/>
  <c r="BO137" i="202"/>
  <c r="BL137" i="202"/>
  <c r="BL132" i="202"/>
  <c r="BO132" i="202" s="1"/>
  <c r="BO119" i="202"/>
  <c r="BL119" i="202"/>
  <c r="BL112" i="202"/>
  <c r="BO112" i="202" s="1"/>
  <c r="BO110" i="202"/>
  <c r="BL110" i="202"/>
  <c r="BL108" i="202"/>
  <c r="BO108" i="202" s="1"/>
  <c r="BO105" i="202"/>
  <c r="BL105" i="202"/>
  <c r="BL101" i="202"/>
  <c r="BO101" i="202" s="1"/>
  <c r="BO96" i="202"/>
  <c r="BL96" i="202"/>
  <c r="BL83" i="202"/>
  <c r="BO83" i="202" s="1"/>
  <c r="BO75" i="202"/>
  <c r="BL75" i="202"/>
  <c r="BL67" i="202"/>
  <c r="BO67" i="202" s="1"/>
  <c r="BO65" i="202"/>
  <c r="BL65" i="202"/>
  <c r="BL63" i="202"/>
  <c r="BO63" i="202" s="1"/>
  <c r="BO60" i="202"/>
  <c r="BL60" i="202"/>
  <c r="BL56" i="202"/>
  <c r="BO56" i="202" s="1"/>
  <c r="BO51" i="202"/>
  <c r="BL51" i="202"/>
  <c r="BL38" i="202"/>
  <c r="BO38" i="202" s="1"/>
  <c r="BO30" i="202"/>
  <c r="BL30" i="202"/>
  <c r="BL21" i="202"/>
  <c r="BO21" i="202" s="1"/>
  <c r="BO11" i="202"/>
  <c r="BL11" i="202"/>
  <c r="BN5" i="202" s="1"/>
  <c r="BG2" i="202"/>
  <c r="BG3" i="202"/>
  <c r="BG4" i="202"/>
  <c r="BG5" i="202"/>
  <c r="BG6" i="202"/>
  <c r="BG7" i="202"/>
  <c r="BG8" i="202"/>
  <c r="BG9" i="202"/>
  <c r="BG10" i="202"/>
  <c r="BG11" i="202"/>
  <c r="BG12" i="202"/>
  <c r="BG13" i="202"/>
  <c r="BG14" i="202"/>
  <c r="BG15" i="202"/>
  <c r="BG16" i="202"/>
  <c r="BG17" i="202"/>
  <c r="BG18" i="202"/>
  <c r="BG19" i="202"/>
  <c r="BG20" i="202"/>
  <c r="BG21" i="202"/>
  <c r="BG22" i="202"/>
  <c r="BG23" i="202"/>
  <c r="BG24" i="202"/>
  <c r="BG25" i="202"/>
  <c r="BG26" i="202"/>
  <c r="BG27" i="202"/>
  <c r="BG28" i="202"/>
  <c r="BG29" i="202"/>
  <c r="BG30" i="202"/>
  <c r="BG31" i="202"/>
  <c r="BG32" i="202"/>
  <c r="BG33" i="202"/>
  <c r="BG34" i="202"/>
  <c r="BG35" i="202"/>
  <c r="BG36" i="202"/>
  <c r="BG37" i="202"/>
  <c r="BG38" i="202"/>
  <c r="BG39" i="202"/>
  <c r="BG40" i="202"/>
  <c r="BG41" i="202"/>
  <c r="BG42" i="202"/>
  <c r="BG43" i="202"/>
  <c r="BG44" i="202"/>
  <c r="BG45" i="202"/>
  <c r="BG46" i="202"/>
  <c r="BG47" i="202"/>
  <c r="BG48" i="202"/>
  <c r="BG49" i="202"/>
  <c r="BG50" i="202"/>
  <c r="BG51" i="202"/>
  <c r="BG52" i="202"/>
  <c r="BG53" i="202"/>
  <c r="BG54" i="202"/>
  <c r="BG55" i="202"/>
  <c r="BG56" i="202"/>
  <c r="BG57" i="202"/>
  <c r="BG58" i="202"/>
  <c r="BG59" i="202"/>
  <c r="BG60" i="202"/>
  <c r="BG61" i="202"/>
  <c r="BG62" i="202"/>
  <c r="BG63" i="202"/>
  <c r="BG64" i="202"/>
  <c r="BG65" i="202"/>
  <c r="BG66" i="202"/>
  <c r="BG67" i="202"/>
  <c r="BG68" i="202"/>
  <c r="BG69" i="202"/>
  <c r="BG70" i="202"/>
  <c r="BG71" i="202"/>
  <c r="BG72" i="202"/>
  <c r="BG73" i="202"/>
  <c r="BG74" i="202"/>
  <c r="BG75" i="202"/>
  <c r="BG76" i="202"/>
  <c r="BG77" i="202"/>
  <c r="BG78" i="202"/>
  <c r="BG79" i="202"/>
  <c r="BG80" i="202"/>
  <c r="BG81" i="202"/>
  <c r="BG82" i="202"/>
  <c r="BG83" i="202"/>
  <c r="BG84" i="202"/>
  <c r="BG85" i="202"/>
  <c r="BG86" i="202"/>
  <c r="BG87" i="202"/>
  <c r="BG88" i="202"/>
  <c r="BG89" i="202"/>
  <c r="BG90" i="202"/>
  <c r="BG91" i="202"/>
  <c r="BG92" i="202"/>
  <c r="BG93" i="202"/>
  <c r="BG94" i="202"/>
  <c r="BG95" i="202"/>
  <c r="BG96" i="202"/>
  <c r="BG97" i="202"/>
  <c r="BG98" i="202"/>
  <c r="BG99" i="202"/>
  <c r="BG100" i="202"/>
  <c r="BG101" i="202"/>
  <c r="BG102" i="202"/>
  <c r="BG103" i="202"/>
  <c r="BG104" i="202"/>
  <c r="BG105" i="202"/>
  <c r="BG106" i="202"/>
  <c r="BG107" i="202"/>
  <c r="BG108" i="202"/>
  <c r="BG109" i="202"/>
  <c r="BG110" i="202"/>
  <c r="BG111" i="202"/>
  <c r="BG112" i="202"/>
  <c r="BG113" i="202"/>
  <c r="BG114" i="202"/>
  <c r="BG115" i="202"/>
  <c r="BG116" i="202"/>
  <c r="BG117" i="202"/>
  <c r="BG118" i="202"/>
  <c r="BG119" i="202"/>
  <c r="BG120" i="202"/>
  <c r="BG121" i="202"/>
  <c r="BG122" i="202"/>
  <c r="BG123" i="202"/>
  <c r="BG124" i="202"/>
  <c r="BG125" i="202"/>
  <c r="BG126" i="202"/>
  <c r="BG127" i="202"/>
  <c r="BG128" i="202"/>
  <c r="BG129" i="202"/>
  <c r="BG130" i="202"/>
  <c r="BG131" i="202"/>
  <c r="BG132" i="202"/>
  <c r="BG133" i="202"/>
  <c r="BG134" i="202"/>
  <c r="BG135" i="202"/>
  <c r="BG136" i="202"/>
  <c r="BG137" i="202"/>
  <c r="BG138" i="202"/>
  <c r="BG139" i="202"/>
  <c r="BG140" i="202"/>
  <c r="BG141" i="202"/>
  <c r="BG142" i="202"/>
  <c r="BG143" i="202"/>
  <c r="BG144" i="202"/>
  <c r="BG145" i="202"/>
  <c r="BG146" i="202"/>
  <c r="BG147" i="202"/>
  <c r="BG148" i="202"/>
  <c r="BG149" i="202"/>
  <c r="BG150" i="202"/>
  <c r="BG151" i="202"/>
  <c r="BG152" i="202"/>
  <c r="BG153" i="202"/>
  <c r="BG154" i="202"/>
  <c r="BG155" i="202"/>
  <c r="BG156" i="202"/>
  <c r="BG157" i="202"/>
  <c r="BG158" i="202"/>
  <c r="BG159" i="202"/>
  <c r="BG160" i="202"/>
  <c r="BG161" i="202"/>
  <c r="BG162" i="202"/>
  <c r="BG163" i="202"/>
  <c r="BG164" i="202"/>
  <c r="BG165" i="202"/>
  <c r="BG166" i="202"/>
  <c r="BG167" i="202"/>
  <c r="BG168" i="202"/>
  <c r="BG169" i="202"/>
  <c r="BG170" i="202"/>
  <c r="BG171" i="202"/>
  <c r="BG172" i="202"/>
  <c r="BG173" i="202"/>
  <c r="BG174" i="202"/>
  <c r="BG175" i="202"/>
  <c r="BG176" i="202"/>
  <c r="BG177" i="202"/>
  <c r="BG178" i="202"/>
  <c r="BG179" i="202"/>
  <c r="BG180" i="202"/>
  <c r="BG181" i="202"/>
  <c r="BG182" i="202"/>
  <c r="BG183" i="202"/>
  <c r="BG184" i="202"/>
  <c r="BG185" i="202"/>
  <c r="BG186" i="202"/>
  <c r="BG187" i="202"/>
  <c r="BG188" i="202"/>
  <c r="BG189" i="202"/>
  <c r="BG190" i="202"/>
  <c r="BG191" i="202"/>
  <c r="BG192" i="202"/>
  <c r="BG193" i="202"/>
  <c r="BG194" i="202"/>
  <c r="BG195" i="202"/>
  <c r="BG196" i="202"/>
  <c r="BG197" i="202"/>
  <c r="BG198" i="202"/>
  <c r="BG199" i="202"/>
  <c r="BG200" i="202"/>
  <c r="BG201" i="202"/>
  <c r="BG202" i="202"/>
  <c r="BG203" i="202"/>
  <c r="BG204" i="202"/>
  <c r="BG205" i="202"/>
  <c r="BG206" i="202"/>
  <c r="BG207" i="202"/>
  <c r="BG208" i="202"/>
  <c r="BG209" i="202"/>
  <c r="BG210" i="202"/>
  <c r="BG211" i="202"/>
  <c r="BG212" i="202"/>
  <c r="BG213" i="202"/>
  <c r="BG214" i="202"/>
  <c r="BG215" i="202"/>
  <c r="BG216" i="202"/>
  <c r="BG217" i="202"/>
  <c r="BG218" i="202"/>
  <c r="BG219" i="202"/>
  <c r="BG220" i="202"/>
  <c r="BG221" i="202"/>
  <c r="BG222" i="202"/>
  <c r="BG223" i="202"/>
  <c r="BG224" i="202"/>
  <c r="BG225" i="202"/>
  <c r="BG226" i="202"/>
  <c r="BG227" i="202"/>
  <c r="BG228" i="202"/>
  <c r="BG229" i="202"/>
  <c r="BG230" i="202"/>
  <c r="BG231" i="202"/>
  <c r="BG232" i="202"/>
  <c r="BG233" i="202"/>
  <c r="BG234" i="202"/>
  <c r="BG235" i="202"/>
  <c r="BG236" i="202"/>
  <c r="BG237" i="202"/>
  <c r="BG238" i="202"/>
  <c r="BG239" i="202"/>
  <c r="BG240" i="202"/>
  <c r="BG241" i="202"/>
  <c r="BG242" i="202"/>
  <c r="BG243" i="202"/>
  <c r="BG244" i="202"/>
  <c r="BG245" i="202"/>
  <c r="BG246" i="202"/>
  <c r="BG247" i="202"/>
  <c r="BG248" i="202"/>
  <c r="BG249" i="202"/>
  <c r="BG250" i="202"/>
  <c r="BG251" i="202"/>
  <c r="BG252" i="202"/>
  <c r="BG253" i="202"/>
  <c r="BG254" i="202"/>
  <c r="BG255" i="202"/>
  <c r="BG256" i="202"/>
  <c r="BG257" i="202"/>
  <c r="BG258" i="202"/>
  <c r="BG259" i="202"/>
  <c r="BG260" i="202"/>
  <c r="BG261" i="202"/>
  <c r="BG262" i="202"/>
  <c r="BG263" i="202"/>
  <c r="BG264" i="202"/>
  <c r="BG265" i="202"/>
  <c r="BG266" i="202"/>
  <c r="BG267" i="202"/>
  <c r="BG268" i="202"/>
  <c r="BG269" i="202"/>
  <c r="BG270" i="202"/>
  <c r="BG271" i="202"/>
  <c r="BG272" i="202"/>
  <c r="BG273" i="202"/>
  <c r="BG274" i="202"/>
  <c r="BG275" i="202"/>
  <c r="BG276" i="202"/>
  <c r="BG277" i="202"/>
  <c r="BG278" i="202"/>
  <c r="BG279" i="202"/>
  <c r="BG280" i="202"/>
  <c r="BG281" i="202"/>
  <c r="BG282" i="202"/>
  <c r="BG283" i="202"/>
  <c r="BG284" i="202"/>
  <c r="BG285" i="202"/>
  <c r="BG286" i="202"/>
  <c r="BG287" i="202"/>
  <c r="BG288" i="202"/>
  <c r="BG289" i="202"/>
  <c r="BG290" i="202"/>
  <c r="BG291" i="202"/>
  <c r="BG292" i="202"/>
  <c r="BG293" i="202"/>
  <c r="BG294" i="202"/>
  <c r="BG295" i="202"/>
  <c r="BG296" i="202"/>
  <c r="BG297" i="202"/>
  <c r="BG298" i="202"/>
  <c r="BG299" i="202"/>
  <c r="BG300" i="202"/>
  <c r="BG301" i="202"/>
  <c r="BG302" i="202"/>
  <c r="BG303" i="202"/>
  <c r="BG304" i="202"/>
  <c r="BG305" i="202"/>
  <c r="BG306" i="202"/>
  <c r="BG307" i="202"/>
  <c r="BG308" i="202"/>
  <c r="BG309" i="202"/>
  <c r="BG310" i="202"/>
  <c r="BG311" i="202"/>
  <c r="BG312" i="202"/>
  <c r="BG313" i="202"/>
  <c r="BG314" i="202"/>
  <c r="BG315" i="202"/>
  <c r="BG316" i="202"/>
  <c r="BG317" i="202"/>
  <c r="BG318" i="202"/>
  <c r="BG319" i="202"/>
  <c r="BG320" i="202"/>
  <c r="BG321" i="202"/>
  <c r="BG322" i="202"/>
  <c r="BG323" i="202"/>
  <c r="BG324" i="202"/>
  <c r="BG325" i="202"/>
  <c r="BG326" i="202"/>
  <c r="BG327" i="202"/>
  <c r="BG328" i="202"/>
  <c r="BG329" i="202"/>
  <c r="BG330" i="202"/>
  <c r="BG331" i="202"/>
  <c r="BG332" i="202"/>
  <c r="BG333" i="202"/>
  <c r="BG334" i="202"/>
  <c r="BG335" i="202"/>
  <c r="BG336" i="202"/>
  <c r="BG337" i="202"/>
  <c r="BG338" i="202"/>
  <c r="BG339" i="202"/>
  <c r="BG340" i="202"/>
  <c r="BG341" i="202"/>
  <c r="BG342" i="202"/>
  <c r="BG343" i="202"/>
  <c r="BG344" i="202"/>
  <c r="BG345" i="202"/>
  <c r="BG346" i="202"/>
  <c r="BG347" i="202"/>
  <c r="BG348" i="202"/>
  <c r="BG349" i="202"/>
  <c r="BG350" i="202"/>
  <c r="BG351" i="202"/>
  <c r="BG352" i="202"/>
  <c r="BG353" i="202"/>
  <c r="BG354" i="202"/>
  <c r="BG355" i="202"/>
  <c r="BG356" i="202"/>
  <c r="BG357" i="202"/>
  <c r="BG358" i="202"/>
  <c r="BG359" i="202"/>
  <c r="BG360" i="202"/>
  <c r="BG361" i="202"/>
  <c r="BG362" i="202"/>
  <c r="BG363" i="202"/>
  <c r="BG364" i="202"/>
  <c r="BG365" i="202"/>
  <c r="BG366" i="202"/>
  <c r="BG367" i="202"/>
  <c r="BG368" i="202"/>
  <c r="BG369" i="202"/>
  <c r="BG370" i="202"/>
  <c r="BG371" i="202"/>
  <c r="BG372" i="202"/>
  <c r="BG373" i="202"/>
  <c r="BG374" i="202"/>
  <c r="BG375" i="202"/>
  <c r="BG376" i="202"/>
  <c r="BG377" i="202"/>
  <c r="BG378" i="202"/>
  <c r="BG379" i="202"/>
  <c r="BG380" i="202"/>
  <c r="BG381" i="202"/>
  <c r="BG382" i="202"/>
  <c r="BG383" i="202"/>
  <c r="BG384" i="202"/>
  <c r="BG385" i="202"/>
  <c r="BG386" i="202"/>
  <c r="BG387" i="202"/>
  <c r="BG388" i="202"/>
  <c r="BG389" i="202"/>
  <c r="BG390" i="202"/>
  <c r="BG391" i="202"/>
  <c r="BG392" i="202"/>
  <c r="BG393" i="202"/>
  <c r="BG394" i="202"/>
  <c r="BG395" i="202"/>
  <c r="BG396" i="202"/>
  <c r="BG397" i="202"/>
  <c r="BG398" i="202"/>
  <c r="BG399" i="202"/>
  <c r="BG400" i="202"/>
  <c r="BG401" i="202"/>
  <c r="BG402" i="202"/>
  <c r="BG403" i="202"/>
  <c r="BG404" i="202"/>
  <c r="BG405" i="202"/>
  <c r="BG406" i="202"/>
  <c r="BG407" i="202"/>
  <c r="BG408" i="202"/>
  <c r="BG409" i="202"/>
  <c r="BG410" i="202"/>
  <c r="BG411" i="202"/>
  <c r="BG412" i="202"/>
  <c r="BG413" i="202"/>
  <c r="BG414" i="202"/>
  <c r="BG415" i="202"/>
  <c r="BG416" i="202"/>
  <c r="BG417" i="202"/>
  <c r="BG418" i="202"/>
  <c r="BG419" i="202"/>
  <c r="BG420" i="202"/>
  <c r="BG421" i="202"/>
  <c r="BG422" i="202"/>
  <c r="BG423" i="202"/>
  <c r="BG424" i="202"/>
  <c r="BG425" i="202"/>
  <c r="BG426" i="202"/>
  <c r="BG427" i="202"/>
  <c r="BG428" i="202"/>
  <c r="BG429" i="202"/>
  <c r="BG430" i="202"/>
  <c r="BG431" i="202"/>
  <c r="BG432" i="202"/>
  <c r="BG433" i="202"/>
  <c r="BG434" i="202"/>
  <c r="BG435" i="202"/>
  <c r="BG436" i="202"/>
  <c r="BG437" i="202"/>
  <c r="BG438" i="202"/>
  <c r="BG439" i="202"/>
  <c r="BG440" i="202"/>
  <c r="BG441" i="202"/>
  <c r="BG442" i="202"/>
  <c r="BG443" i="202"/>
  <c r="BG444" i="202"/>
  <c r="BG445" i="202"/>
  <c r="BG446" i="202"/>
  <c r="BG447" i="202"/>
  <c r="BG448" i="202"/>
  <c r="BG449" i="202"/>
  <c r="BG450" i="202"/>
  <c r="BG451" i="202"/>
  <c r="BG452" i="202"/>
  <c r="BG453" i="202"/>
  <c r="BG454" i="202"/>
  <c r="BG455" i="202"/>
  <c r="BG456" i="202"/>
  <c r="BG457" i="202"/>
  <c r="BG458" i="202"/>
  <c r="BG459" i="202"/>
  <c r="BG460" i="202"/>
  <c r="BG461" i="202"/>
  <c r="BG462" i="202"/>
  <c r="BG463" i="202"/>
  <c r="BG464" i="202"/>
  <c r="BG465" i="202"/>
  <c r="BG466" i="202"/>
  <c r="BG467" i="202"/>
  <c r="BG468" i="202"/>
  <c r="BG469" i="202"/>
  <c r="BG470" i="202"/>
  <c r="BG471" i="202"/>
  <c r="BG472" i="202"/>
  <c r="BG473" i="202"/>
  <c r="BG474" i="202"/>
  <c r="BG475" i="202"/>
  <c r="BG476" i="202"/>
  <c r="BG477" i="202"/>
  <c r="BG478" i="202"/>
  <c r="BG479" i="202"/>
  <c r="BG480" i="202"/>
  <c r="BG481" i="202"/>
  <c r="BG482" i="202"/>
  <c r="BG483" i="202"/>
  <c r="BG484" i="202"/>
  <c r="BG485" i="202"/>
  <c r="BG486" i="202"/>
  <c r="BG487" i="202"/>
  <c r="BG488" i="202"/>
  <c r="BG489" i="202"/>
  <c r="BG490" i="202"/>
  <c r="BG491" i="202"/>
  <c r="BG492" i="202"/>
  <c r="BG493" i="202"/>
  <c r="BG494" i="202"/>
  <c r="BG495" i="202"/>
  <c r="BG496" i="202"/>
  <c r="BG497" i="202"/>
  <c r="BG498" i="202"/>
  <c r="BG499" i="202"/>
  <c r="BG500" i="202"/>
  <c r="BG501" i="202"/>
  <c r="BG502" i="202"/>
  <c r="BG503" i="202"/>
  <c r="BG504" i="202"/>
  <c r="BG505" i="202"/>
  <c r="BG506" i="202"/>
  <c r="BG507" i="202"/>
  <c r="BG508" i="202"/>
  <c r="BG509" i="202"/>
  <c r="BG510" i="202"/>
  <c r="BG511" i="202"/>
  <c r="BG512" i="202"/>
  <c r="BG513" i="202"/>
  <c r="BG514" i="202"/>
  <c r="BG515" i="202"/>
  <c r="BG516" i="202"/>
  <c r="BG517" i="202"/>
  <c r="BG518" i="202"/>
  <c r="BG519" i="202"/>
  <c r="BG520" i="202"/>
  <c r="BG521" i="202"/>
  <c r="BG522" i="202"/>
  <c r="BG523" i="202"/>
  <c r="BG524" i="202"/>
  <c r="BG525" i="202"/>
  <c r="BG526" i="202"/>
  <c r="BG527" i="202"/>
  <c r="BG528" i="202"/>
  <c r="BG529" i="202"/>
  <c r="BG530" i="202"/>
  <c r="BG531" i="202"/>
  <c r="BG532" i="202"/>
  <c r="BG533" i="202"/>
  <c r="BG534" i="202"/>
  <c r="BG535" i="202"/>
  <c r="BG536" i="202"/>
  <c r="BG537" i="202"/>
  <c r="BG538" i="202"/>
  <c r="BG539" i="202"/>
  <c r="BG540" i="202"/>
  <c r="BG541" i="202"/>
  <c r="BG542" i="202"/>
  <c r="BG543" i="202"/>
  <c r="BG544" i="202"/>
  <c r="BG545" i="202"/>
  <c r="BG546" i="202"/>
  <c r="BG547" i="202"/>
  <c r="BG548" i="202"/>
  <c r="BG549" i="202"/>
  <c r="BG550" i="202"/>
  <c r="BG551" i="202"/>
  <c r="BG552" i="202"/>
  <c r="BG553" i="202"/>
  <c r="BG554" i="202"/>
  <c r="BG555" i="202"/>
  <c r="BG556" i="202"/>
  <c r="BG557" i="202"/>
  <c r="BG558" i="202"/>
  <c r="BG559" i="202"/>
  <c r="BG560" i="202"/>
  <c r="BG561" i="202"/>
  <c r="BG562" i="202"/>
  <c r="BG563" i="202"/>
  <c r="BG564" i="202"/>
  <c r="BG565" i="202"/>
  <c r="BG566" i="202"/>
  <c r="BG567" i="202"/>
  <c r="BG568" i="202"/>
  <c r="BG569" i="202"/>
  <c r="BG570" i="202"/>
  <c r="BG571" i="202"/>
  <c r="BG572" i="202"/>
  <c r="BG573" i="202"/>
  <c r="BG574" i="202"/>
  <c r="BG575" i="202"/>
  <c r="BG576" i="202"/>
  <c r="BG577" i="202"/>
  <c r="BG578" i="202"/>
  <c r="BG579" i="202"/>
  <c r="BG580" i="202"/>
  <c r="BG581" i="202"/>
  <c r="BG582" i="202"/>
  <c r="BG583" i="202"/>
  <c r="BG584" i="202"/>
  <c r="BG585" i="202"/>
  <c r="BG586" i="202"/>
  <c r="BG587" i="202"/>
  <c r="BG588" i="202"/>
  <c r="BG589" i="202"/>
  <c r="BG590" i="202"/>
  <c r="BG591" i="202"/>
  <c r="BG592" i="202"/>
  <c r="BG593" i="202"/>
  <c r="BG594" i="202"/>
  <c r="BG595" i="202"/>
  <c r="BG596" i="202"/>
  <c r="BG597" i="202"/>
  <c r="BG598" i="202"/>
  <c r="BG599" i="202"/>
  <c r="BG600" i="202"/>
  <c r="BG601" i="202"/>
  <c r="BG602" i="202"/>
  <c r="BG603" i="202"/>
  <c r="BG604" i="202"/>
  <c r="BG605" i="202"/>
  <c r="BG606" i="202"/>
  <c r="BG607" i="202"/>
  <c r="BG608" i="202"/>
  <c r="BG609" i="202"/>
  <c r="BG610" i="202"/>
  <c r="BG611" i="202"/>
  <c r="BG612" i="202"/>
  <c r="BG613" i="202"/>
  <c r="BG614" i="202"/>
  <c r="BG615" i="202"/>
  <c r="BG616" i="202"/>
  <c r="BG617" i="202"/>
  <c r="BG618" i="202"/>
  <c r="BG619" i="202"/>
  <c r="BG620" i="202"/>
  <c r="BG621" i="202"/>
  <c r="BG622" i="202"/>
  <c r="BG623" i="202"/>
  <c r="BG624" i="202"/>
  <c r="BG625" i="202"/>
  <c r="BG626" i="202"/>
  <c r="BG627" i="202"/>
  <c r="BG628" i="202"/>
  <c r="BG629" i="202"/>
  <c r="BG630" i="202"/>
  <c r="BG631" i="202"/>
  <c r="BG632" i="202"/>
  <c r="BG633" i="202"/>
  <c r="BG634" i="202"/>
  <c r="BG635" i="202"/>
  <c r="BG636" i="202"/>
  <c r="BG637" i="202"/>
  <c r="BG638" i="202"/>
  <c r="BG639" i="202"/>
  <c r="BG640" i="202"/>
  <c r="BG641" i="202"/>
  <c r="BG642" i="202"/>
  <c r="BG643" i="202"/>
  <c r="BG644" i="202"/>
  <c r="BG645" i="202"/>
  <c r="BG646" i="202"/>
  <c r="BG647" i="202"/>
  <c r="BG648" i="202"/>
  <c r="BG649" i="202"/>
  <c r="BG650" i="202"/>
  <c r="BG651" i="202"/>
  <c r="BG652" i="202"/>
  <c r="BG653" i="202"/>
  <c r="BG654" i="202"/>
  <c r="BG655" i="202"/>
  <c r="BG656" i="202"/>
  <c r="BG657" i="202"/>
  <c r="BG658" i="202"/>
  <c r="BG659" i="202"/>
  <c r="BG660" i="202"/>
  <c r="BG661" i="202"/>
  <c r="BG662" i="202"/>
  <c r="BG663" i="202"/>
  <c r="BG664" i="202"/>
  <c r="BG665" i="202"/>
  <c r="BG666" i="202"/>
  <c r="BG667" i="202"/>
  <c r="BG668" i="202"/>
  <c r="BG669" i="202"/>
  <c r="BG670" i="202"/>
  <c r="BG671" i="202"/>
  <c r="BG672" i="202"/>
  <c r="BG673" i="202"/>
  <c r="BG674" i="202"/>
  <c r="BG675" i="202"/>
  <c r="BG676" i="202"/>
  <c r="BG677" i="202"/>
  <c r="BG678" i="202"/>
  <c r="BG679" i="202"/>
  <c r="BG680" i="202"/>
  <c r="BG681" i="202"/>
  <c r="BG682" i="202"/>
  <c r="BG683" i="202"/>
  <c r="BG684" i="202"/>
  <c r="BG685" i="202"/>
  <c r="BG686" i="202"/>
  <c r="BG687" i="202"/>
  <c r="BG688" i="202"/>
  <c r="BG689" i="202"/>
  <c r="BG690" i="202"/>
  <c r="BG691" i="202"/>
  <c r="BG692" i="202"/>
  <c r="BG693" i="202"/>
  <c r="BG694" i="202"/>
  <c r="BG695" i="202"/>
  <c r="BG696" i="202"/>
  <c r="BG697" i="202"/>
  <c r="BG698" i="202"/>
  <c r="BG699" i="202"/>
  <c r="BG700" i="202"/>
  <c r="BG701" i="202"/>
  <c r="BG702" i="202"/>
  <c r="BG703" i="202"/>
  <c r="BG704" i="202"/>
  <c r="BG705" i="202"/>
  <c r="BG706" i="202"/>
  <c r="BG707" i="202"/>
  <c r="BG708" i="202"/>
  <c r="BG709" i="202"/>
  <c r="BG710" i="202"/>
  <c r="BG711" i="202"/>
  <c r="BG712" i="202"/>
  <c r="BG713" i="202"/>
  <c r="BG714" i="202"/>
  <c r="BG715" i="202"/>
  <c r="BG716" i="202"/>
  <c r="BG717" i="202"/>
  <c r="BG718" i="202"/>
  <c r="BG719" i="202"/>
  <c r="BG720" i="202"/>
  <c r="BG721" i="202"/>
  <c r="BG722" i="202"/>
  <c r="BG723" i="202"/>
  <c r="BG724" i="202"/>
  <c r="BG725" i="202"/>
  <c r="BG726" i="202"/>
  <c r="BG727" i="202"/>
  <c r="BG728" i="202"/>
  <c r="BG729" i="202"/>
  <c r="BG730" i="202"/>
  <c r="BG731" i="202"/>
  <c r="BG732" i="202"/>
  <c r="BG733" i="202"/>
  <c r="BG734" i="202"/>
  <c r="BG735" i="202"/>
  <c r="BG736" i="202"/>
  <c r="BG737" i="202"/>
  <c r="BG738" i="202"/>
  <c r="BG739" i="202"/>
  <c r="BG740" i="202"/>
  <c r="BG741" i="202"/>
  <c r="BG742" i="202"/>
  <c r="BG743" i="202"/>
  <c r="BG744" i="202"/>
  <c r="BG745" i="202"/>
  <c r="BG746" i="202"/>
  <c r="BG747" i="202"/>
  <c r="BG748" i="202"/>
  <c r="BG749" i="202"/>
  <c r="BG750" i="202"/>
  <c r="BG751" i="202"/>
  <c r="BG752" i="202"/>
  <c r="BG753" i="202"/>
  <c r="BG754" i="202"/>
  <c r="BG755" i="202"/>
  <c r="BG756" i="202"/>
  <c r="BG757" i="202"/>
  <c r="BG758" i="202"/>
  <c r="BG759" i="202"/>
  <c r="BG760" i="202"/>
  <c r="BG761" i="202"/>
  <c r="BG762" i="202"/>
  <c r="BG763" i="202"/>
  <c r="BG764" i="202"/>
  <c r="BG765" i="202"/>
  <c r="BG766" i="202"/>
  <c r="BG767" i="202"/>
  <c r="BG768" i="202"/>
  <c r="BG769" i="202"/>
  <c r="BG770" i="202"/>
  <c r="BG771" i="202"/>
  <c r="BG772" i="202"/>
  <c r="BG773" i="202"/>
  <c r="BG774" i="202"/>
  <c r="BG775" i="202"/>
  <c r="BG776" i="202"/>
  <c r="BG777" i="202"/>
  <c r="BG778" i="202"/>
  <c r="BG779" i="202"/>
  <c r="BG780" i="202"/>
  <c r="BG781" i="202"/>
  <c r="BG782" i="202"/>
  <c r="BG783" i="202"/>
  <c r="BG784" i="202"/>
  <c r="BG785" i="202"/>
  <c r="BG786" i="202"/>
  <c r="BG787" i="202"/>
  <c r="BG788" i="202"/>
  <c r="BG789" i="202"/>
  <c r="BG790" i="202"/>
  <c r="BG791" i="202"/>
  <c r="BG792" i="202"/>
  <c r="BG793" i="202"/>
  <c r="BG794" i="202"/>
  <c r="BG795" i="202"/>
  <c r="BG796" i="202"/>
  <c r="BG797" i="202"/>
  <c r="BG798" i="202"/>
  <c r="BG799" i="202"/>
  <c r="BG800" i="202"/>
  <c r="BG801" i="202"/>
  <c r="BG802" i="202"/>
  <c r="BG803" i="202"/>
  <c r="BG804" i="202"/>
  <c r="BG805" i="202"/>
  <c r="BG806" i="202"/>
  <c r="BG807" i="202"/>
  <c r="BG808" i="202"/>
  <c r="BG809" i="202"/>
  <c r="BG810" i="202"/>
  <c r="BG811" i="202"/>
  <c r="BG812" i="202"/>
  <c r="BG813" i="202"/>
  <c r="BG814" i="202"/>
  <c r="BG815" i="202"/>
  <c r="BG816" i="202"/>
  <c r="BG817" i="202"/>
  <c r="BG818" i="202"/>
  <c r="BG819" i="202"/>
  <c r="BG820" i="202"/>
  <c r="BG821" i="202"/>
  <c r="BG822" i="202"/>
  <c r="BG823" i="202"/>
  <c r="BG824" i="202"/>
  <c r="BG825" i="202"/>
  <c r="BG826" i="202"/>
  <c r="BG827" i="202"/>
  <c r="BG828" i="202"/>
  <c r="BG829" i="202"/>
  <c r="BG830" i="202"/>
  <c r="BG831" i="202"/>
  <c r="BG832" i="202"/>
  <c r="BG833" i="202"/>
  <c r="BG834" i="202"/>
  <c r="BG835" i="202"/>
  <c r="BG836" i="202"/>
  <c r="BG837" i="202"/>
  <c r="BG838" i="202"/>
  <c r="BG839" i="202"/>
  <c r="BG840" i="202"/>
  <c r="BG841" i="202"/>
  <c r="BG842" i="202"/>
  <c r="BG843" i="202"/>
  <c r="BG844" i="202"/>
  <c r="BG845" i="202"/>
  <c r="BG846" i="202"/>
  <c r="BG847" i="202"/>
  <c r="BG848" i="202"/>
  <c r="BG849" i="202"/>
  <c r="BG850" i="202"/>
  <c r="BG851" i="202"/>
  <c r="BG852" i="202"/>
  <c r="BG853" i="202"/>
  <c r="BG854" i="202"/>
  <c r="BG855" i="202"/>
  <c r="BG856" i="202"/>
  <c r="BG857" i="202"/>
  <c r="BG858" i="202"/>
  <c r="BG859" i="202"/>
  <c r="BG860" i="202"/>
  <c r="BG861" i="202"/>
  <c r="BG862" i="202"/>
  <c r="BG863" i="202"/>
  <c r="BG864" i="202"/>
  <c r="BG865" i="202"/>
  <c r="BG866" i="202"/>
  <c r="BG867" i="202"/>
  <c r="BG868" i="202"/>
  <c r="BG869" i="202"/>
  <c r="BG870" i="202"/>
  <c r="BG871" i="202"/>
  <c r="BG872" i="202"/>
  <c r="BG873" i="202"/>
  <c r="BG874" i="202"/>
  <c r="BG875" i="202"/>
  <c r="BG876" i="202"/>
  <c r="BG877" i="202"/>
  <c r="BG878" i="202"/>
  <c r="BG879" i="202"/>
  <c r="BG880" i="202"/>
  <c r="BG881" i="202"/>
  <c r="BG882" i="202"/>
  <c r="BG883" i="202"/>
  <c r="BG884" i="202"/>
  <c r="BG885" i="202"/>
  <c r="BG886" i="202"/>
  <c r="BG887" i="202"/>
  <c r="BG888" i="202"/>
  <c r="BG889" i="202"/>
  <c r="BG890" i="202"/>
  <c r="BG891" i="202"/>
  <c r="BG892" i="202"/>
  <c r="BG893" i="202"/>
  <c r="BG894" i="202"/>
  <c r="BG895" i="202"/>
  <c r="BG896" i="202"/>
  <c r="BG897" i="202"/>
  <c r="BG898" i="202"/>
  <c r="BG899" i="202"/>
  <c r="BG900" i="202"/>
  <c r="BG901" i="202"/>
  <c r="BG902" i="202"/>
  <c r="BG903" i="202"/>
  <c r="BG904" i="202"/>
  <c r="BG905" i="202"/>
  <c r="BG906" i="202"/>
  <c r="BG907" i="202"/>
  <c r="BG908" i="202"/>
  <c r="BG909" i="202"/>
  <c r="BG910" i="202"/>
  <c r="BG911" i="202"/>
  <c r="BG912" i="202"/>
  <c r="BG913" i="202"/>
  <c r="BG914" i="202"/>
  <c r="BG915" i="202"/>
  <c r="BG916" i="202"/>
  <c r="BG917" i="202"/>
  <c r="BG918" i="202"/>
  <c r="BG919" i="202"/>
  <c r="BG920" i="202"/>
  <c r="BG921" i="202"/>
  <c r="BG922" i="202"/>
  <c r="BG923" i="202"/>
  <c r="BG924" i="202"/>
  <c r="BG925" i="202"/>
  <c r="BG926" i="202"/>
  <c r="BG927" i="202"/>
  <c r="BG928" i="202"/>
  <c r="BG929" i="202"/>
  <c r="BG930" i="202"/>
  <c r="BG931" i="202"/>
  <c r="BG932" i="202"/>
  <c r="BG933" i="202"/>
  <c r="BG934" i="202"/>
  <c r="BG935" i="202"/>
  <c r="BG936" i="202"/>
  <c r="BG937" i="202"/>
  <c r="BG938" i="202"/>
  <c r="BG939" i="202"/>
  <c r="BG940" i="202"/>
  <c r="BG941" i="202"/>
  <c r="BG942" i="202"/>
  <c r="BG943" i="202"/>
  <c r="BG944" i="202"/>
  <c r="BG945" i="202"/>
  <c r="BG946" i="202"/>
  <c r="BG947" i="202"/>
  <c r="BG948" i="202"/>
  <c r="BG949" i="202"/>
  <c r="BG950" i="202"/>
  <c r="BG951" i="202"/>
  <c r="BG952" i="202"/>
  <c r="BG953" i="202"/>
  <c r="BG954" i="202"/>
  <c r="BG955" i="202"/>
  <c r="BG956" i="202"/>
  <c r="BG957" i="202"/>
  <c r="BG958" i="202"/>
  <c r="BG959" i="202"/>
  <c r="BG960" i="202"/>
  <c r="BG961" i="202"/>
  <c r="BG962" i="202"/>
  <c r="BG963" i="202"/>
  <c r="BG964" i="202"/>
  <c r="BG965" i="202"/>
  <c r="BG966" i="202"/>
  <c r="BG967" i="202"/>
  <c r="BG968" i="202"/>
  <c r="BG969" i="202"/>
  <c r="BG970" i="202"/>
  <c r="BG971" i="202"/>
  <c r="BG972" i="202"/>
  <c r="BG973" i="202"/>
  <c r="BG974" i="202"/>
  <c r="BG975" i="202"/>
  <c r="BG976" i="202"/>
  <c r="BG977" i="202"/>
  <c r="BG978" i="202"/>
  <c r="BG979" i="202"/>
  <c r="BG980" i="202"/>
  <c r="BG981" i="202"/>
  <c r="BG982" i="202"/>
  <c r="BG983" i="202"/>
  <c r="BG984" i="202"/>
  <c r="BG985" i="202"/>
  <c r="BG986" i="202"/>
  <c r="BG987" i="202"/>
  <c r="BG988" i="202"/>
  <c r="BG989" i="202"/>
  <c r="BG990" i="202"/>
  <c r="BG991" i="202"/>
  <c r="BG992" i="202"/>
  <c r="BG993" i="202"/>
  <c r="BG994" i="202"/>
  <c r="BG995" i="202"/>
  <c r="BG996" i="202"/>
  <c r="BG997" i="202"/>
  <c r="BG998" i="202"/>
  <c r="BG999" i="202"/>
  <c r="BG1000" i="202"/>
  <c r="BG1001" i="202"/>
  <c r="BG1002" i="202"/>
  <c r="BG1003" i="202"/>
  <c r="BG1004" i="202"/>
  <c r="BG1005" i="202"/>
  <c r="BG1006" i="202"/>
  <c r="BG1007" i="202"/>
  <c r="BG1008" i="202"/>
  <c r="BG1009" i="202"/>
  <c r="BG1010" i="202"/>
  <c r="BG1011" i="202"/>
  <c r="BG1012" i="202"/>
  <c r="BG1013" i="202"/>
  <c r="BG1014" i="202"/>
  <c r="BG1015" i="202"/>
  <c r="BG1016" i="202"/>
  <c r="BG1017" i="202"/>
  <c r="BG1018" i="202"/>
  <c r="BG1019" i="202"/>
  <c r="BG1020" i="202"/>
  <c r="BG1021" i="202"/>
  <c r="BG1022" i="202"/>
  <c r="BG1023" i="202"/>
  <c r="BG1024" i="202"/>
  <c r="BG1025" i="202"/>
  <c r="BG1026" i="202"/>
  <c r="BG1027" i="202"/>
  <c r="BG1028" i="202"/>
  <c r="BG1029" i="202"/>
  <c r="BG1030" i="202"/>
  <c r="BG1031" i="202"/>
  <c r="BG1032" i="202"/>
  <c r="BG1033" i="202"/>
  <c r="BG1034" i="202"/>
  <c r="BG1035" i="202"/>
  <c r="BG1036" i="202"/>
  <c r="BG1037" i="202"/>
  <c r="BG1038" i="202"/>
  <c r="BG1039" i="202"/>
  <c r="BG1040" i="202"/>
  <c r="BG1041" i="202"/>
  <c r="BG1042" i="202"/>
  <c r="BG1043" i="202"/>
  <c r="BG1044" i="202"/>
  <c r="BG1045" i="202"/>
  <c r="BG1046" i="202"/>
  <c r="BG1047" i="202"/>
  <c r="BG1048" i="202"/>
  <c r="BG1049" i="202"/>
  <c r="BG1050" i="202"/>
  <c r="BG1051" i="202"/>
  <c r="BG1052" i="202"/>
  <c r="BG1053" i="202"/>
  <c r="BG1054" i="202"/>
  <c r="BG1055" i="202"/>
  <c r="BG1056" i="202"/>
  <c r="BG1057" i="202"/>
  <c r="BG1058" i="202"/>
  <c r="BG1059" i="202"/>
  <c r="BG1060" i="202"/>
  <c r="BG1061" i="202"/>
  <c r="BG1062" i="202"/>
  <c r="BG1063" i="202"/>
  <c r="BG1064" i="202"/>
  <c r="BG1065" i="202"/>
  <c r="BG1066" i="202"/>
  <c r="BG1067" i="202"/>
  <c r="BG1068" i="202"/>
  <c r="BG1069" i="202"/>
  <c r="BG1070" i="202"/>
  <c r="BG1071" i="202"/>
  <c r="BG1072" i="202"/>
  <c r="BG1073" i="202"/>
  <c r="BG1074" i="202"/>
  <c r="BG1075" i="202"/>
  <c r="BG1076" i="202"/>
  <c r="BG1077" i="202"/>
  <c r="BG1078" i="202"/>
  <c r="BG1079" i="202"/>
  <c r="BG1080" i="202"/>
  <c r="BG1081" i="202"/>
  <c r="BG1082" i="202"/>
  <c r="BG1083" i="202"/>
  <c r="BG1084" i="202"/>
  <c r="BG1085" i="202"/>
  <c r="BG1086" i="202"/>
  <c r="BG1087" i="202"/>
  <c r="BG1088" i="202"/>
  <c r="BG1089" i="202"/>
  <c r="BG1090" i="202"/>
  <c r="BG1091" i="202"/>
  <c r="BG1092" i="202"/>
  <c r="BG1093" i="202"/>
  <c r="BG1094" i="202"/>
  <c r="BG1095" i="202"/>
  <c r="BG1096" i="202"/>
  <c r="BG1097" i="202"/>
  <c r="BG1098" i="202"/>
  <c r="BG1099" i="202"/>
  <c r="BG1100" i="202"/>
  <c r="BG1101" i="202"/>
  <c r="BG1102" i="202"/>
  <c r="BG1103" i="202"/>
  <c r="BG1104" i="202"/>
  <c r="BG1105" i="202"/>
  <c r="BG1106" i="202"/>
  <c r="BG1107" i="202"/>
  <c r="BG1108" i="202"/>
  <c r="BG1109" i="202"/>
  <c r="BG1110" i="202"/>
  <c r="BG1111" i="202"/>
  <c r="BG1112" i="202"/>
  <c r="BG1113" i="202"/>
  <c r="BG1114" i="202"/>
  <c r="BG1115" i="202"/>
  <c r="BG1116" i="202"/>
  <c r="BG1117" i="202"/>
  <c r="BG1118" i="202"/>
  <c r="BG1119" i="202"/>
  <c r="BG1120" i="202"/>
  <c r="BG1121" i="202"/>
  <c r="BG1122" i="202"/>
  <c r="BG1123" i="202"/>
  <c r="BG1124" i="202"/>
  <c r="BG1125" i="202"/>
  <c r="BG1126" i="202"/>
  <c r="BG1127" i="202"/>
  <c r="BG1128" i="202"/>
  <c r="BG1129" i="202"/>
  <c r="BG1130" i="202"/>
  <c r="BG1131" i="202"/>
  <c r="BG1132" i="202"/>
  <c r="BG1133" i="202"/>
  <c r="BG1134" i="202"/>
  <c r="BG1135" i="202"/>
  <c r="BG1136" i="202"/>
  <c r="BG1137" i="202"/>
  <c r="BG1138" i="202"/>
  <c r="BG1139" i="202"/>
  <c r="BG1140" i="202"/>
  <c r="BG1141" i="202"/>
  <c r="BG1142" i="202"/>
  <c r="BG1143" i="202"/>
  <c r="BG1144" i="202"/>
  <c r="BG1145" i="202"/>
  <c r="BG1146" i="202"/>
  <c r="BG1147" i="202"/>
  <c r="BG1148" i="202"/>
  <c r="BG1149" i="202"/>
  <c r="BG1150" i="202"/>
  <c r="BG1151" i="202"/>
  <c r="BG1152" i="202"/>
  <c r="BG1153" i="202"/>
  <c r="BG1154" i="202"/>
  <c r="BG1155" i="202"/>
  <c r="BG1156" i="202"/>
  <c r="BG1157" i="202"/>
  <c r="BG1158" i="202"/>
  <c r="BG1159" i="202"/>
  <c r="BG1160" i="202"/>
  <c r="BG1161" i="202"/>
  <c r="BG1162" i="202"/>
  <c r="BG1163" i="202"/>
  <c r="BG1164" i="202"/>
  <c r="BG1165" i="202"/>
  <c r="BG1166" i="202"/>
  <c r="BG1167" i="202"/>
  <c r="BG1168" i="202"/>
  <c r="BG1169" i="202"/>
  <c r="BG1170" i="202"/>
  <c r="BG1171" i="202"/>
  <c r="BG1172" i="202"/>
  <c r="BG1173" i="202"/>
  <c r="BG1174" i="202"/>
  <c r="BG1175" i="202"/>
  <c r="BG1176" i="202"/>
  <c r="BG1177" i="202"/>
  <c r="BG1178" i="202"/>
  <c r="BG1179" i="202"/>
  <c r="BG1180" i="202"/>
  <c r="BG1181" i="202"/>
  <c r="BG1182" i="202"/>
  <c r="BG1183" i="202"/>
  <c r="BG1184" i="202"/>
  <c r="BG1185" i="202"/>
  <c r="BG1186" i="202"/>
  <c r="BG1187" i="202"/>
  <c r="BG1188" i="202"/>
  <c r="BG1189" i="202"/>
  <c r="BG1190" i="202"/>
  <c r="BG1191" i="202"/>
  <c r="BG1192" i="202"/>
  <c r="BG1193" i="202"/>
  <c r="BG1194" i="202"/>
  <c r="BG1195" i="202"/>
  <c r="BG1196" i="202"/>
  <c r="BG1197" i="202"/>
  <c r="BG1198" i="202"/>
  <c r="BG1199" i="202"/>
  <c r="BG1200" i="202"/>
  <c r="BG1201" i="202"/>
  <c r="BG1202" i="202"/>
  <c r="BG1203" i="202"/>
  <c r="BG1204" i="202"/>
  <c r="BG1205" i="202"/>
  <c r="BG1206" i="202"/>
  <c r="BG1207" i="202"/>
  <c r="BG1208" i="202"/>
  <c r="BG1209" i="202"/>
  <c r="BG1210" i="202"/>
  <c r="BG1211" i="202"/>
  <c r="BG1212" i="202"/>
  <c r="BG1213" i="202"/>
  <c r="BG1214" i="202"/>
  <c r="BG1215" i="202"/>
  <c r="BG1216" i="202"/>
  <c r="BG1217" i="202"/>
  <c r="BG1218" i="202"/>
  <c r="BG1219" i="202"/>
  <c r="BG1220" i="202"/>
  <c r="BG1221" i="202"/>
  <c r="BG1222" i="202"/>
  <c r="BG1223" i="202"/>
  <c r="BG1224" i="202"/>
  <c r="BG1225" i="202"/>
  <c r="BG1226" i="202"/>
  <c r="BG1227" i="202"/>
  <c r="BG1228" i="202"/>
  <c r="BG1229" i="202"/>
  <c r="BG1230" i="202"/>
  <c r="BG1231" i="202"/>
  <c r="BG1232" i="202"/>
  <c r="BG1233" i="202"/>
  <c r="BG1234" i="202"/>
  <c r="BG1235" i="202"/>
  <c r="BG1236" i="202"/>
  <c r="BG1237" i="202"/>
  <c r="BG1238" i="202"/>
  <c r="BG1239" i="202"/>
  <c r="BG1240" i="202"/>
  <c r="BG1241" i="202"/>
  <c r="BG1242" i="202"/>
  <c r="BG1243" i="202"/>
  <c r="BG1244" i="202"/>
  <c r="BG1245" i="202"/>
  <c r="BG1246" i="202"/>
  <c r="BG1247" i="202"/>
  <c r="BG1248" i="202"/>
  <c r="BG1249" i="202"/>
  <c r="BG1250" i="202"/>
  <c r="BG1251" i="202"/>
  <c r="BG1252" i="202"/>
  <c r="BG1253" i="202"/>
  <c r="BG1254" i="202"/>
  <c r="BG1255" i="202"/>
  <c r="BG1256" i="202"/>
  <c r="BG1257" i="202"/>
  <c r="BG1258" i="202"/>
  <c r="BG1259" i="202"/>
  <c r="BG1260" i="202"/>
  <c r="BG1261" i="202"/>
  <c r="BG1262" i="202"/>
  <c r="BG1263" i="202"/>
  <c r="BG1264" i="202"/>
  <c r="BG1265" i="202"/>
  <c r="BG1266" i="202"/>
  <c r="BG1267" i="202"/>
  <c r="BG1268" i="202"/>
  <c r="BG1269" i="202"/>
  <c r="BG1270" i="202"/>
  <c r="BG1271" i="202"/>
  <c r="BG1272" i="202"/>
  <c r="BG1273" i="202"/>
  <c r="BG1274" i="202"/>
  <c r="BG1275" i="202"/>
  <c r="BG1276" i="202"/>
  <c r="BG1277" i="202"/>
  <c r="BG1278" i="202"/>
  <c r="BG1279" i="202"/>
  <c r="BG1280" i="202"/>
  <c r="BG1281" i="202"/>
  <c r="BG1282" i="202"/>
  <c r="BG1283" i="202"/>
  <c r="BG1284" i="202"/>
  <c r="BG1285" i="202"/>
  <c r="BG1286" i="202"/>
  <c r="BG1287" i="202"/>
  <c r="BG1288" i="202"/>
  <c r="BG1289" i="202"/>
  <c r="BG1290" i="202"/>
  <c r="BG1291" i="202"/>
  <c r="BG1292" i="202"/>
  <c r="BG1293" i="202"/>
  <c r="BG1294" i="202"/>
  <c r="BG1295" i="202"/>
  <c r="BG1296" i="202"/>
  <c r="BG1297" i="202"/>
  <c r="BG1298" i="202"/>
  <c r="BG1299" i="202"/>
  <c r="BG1300" i="202"/>
  <c r="BG1301" i="202"/>
  <c r="BG1302" i="202"/>
  <c r="BG1303" i="202"/>
  <c r="BG1304" i="202"/>
  <c r="BG1305" i="202"/>
  <c r="BG1306" i="202"/>
  <c r="BG1307" i="202"/>
  <c r="BG1308" i="202"/>
  <c r="BG1309" i="202"/>
  <c r="BG1310" i="202"/>
  <c r="BG1311" i="202"/>
  <c r="BG1312" i="202"/>
  <c r="BG1313" i="202"/>
  <c r="BG1314" i="202"/>
  <c r="BG1315" i="202"/>
  <c r="BG1316" i="202"/>
  <c r="BG1317" i="202"/>
  <c r="BG1318" i="202"/>
  <c r="BG1319" i="202"/>
  <c r="BG1320" i="202"/>
  <c r="BG1321" i="202"/>
  <c r="BG1322" i="202"/>
  <c r="BG1323" i="202"/>
  <c r="BG1324" i="202"/>
  <c r="BG1325" i="202"/>
  <c r="BG1326" i="202"/>
  <c r="BG1327" i="202"/>
  <c r="BG1328" i="202"/>
  <c r="BG1329" i="202"/>
  <c r="BG1330" i="202"/>
  <c r="BG1331" i="202"/>
  <c r="BG1332" i="202"/>
  <c r="BG1333" i="202"/>
  <c r="BG1334" i="202"/>
  <c r="BG1335" i="202"/>
  <c r="BG1336" i="202"/>
  <c r="BG1337" i="202"/>
  <c r="BG1338" i="202"/>
  <c r="BG1339" i="202"/>
  <c r="BG1340" i="202"/>
  <c r="BG1341" i="202"/>
  <c r="BG1342" i="202"/>
  <c r="BG1343" i="202"/>
  <c r="BG1344" i="202"/>
  <c r="BG1345" i="202"/>
  <c r="BG1346" i="202"/>
  <c r="BG1347" i="202"/>
  <c r="BG1348" i="202"/>
  <c r="BG1349" i="202"/>
  <c r="BG1350" i="202"/>
  <c r="BG1351" i="202"/>
  <c r="BG1352" i="202"/>
  <c r="BG1353" i="202"/>
  <c r="BG1354" i="202"/>
  <c r="BG1355" i="202"/>
  <c r="BG1356" i="202"/>
  <c r="BG1357" i="202"/>
  <c r="BG1358" i="202"/>
  <c r="BG1359" i="202"/>
  <c r="BG1360" i="202"/>
  <c r="BG1361" i="202"/>
  <c r="BG1362" i="202"/>
  <c r="BG1363" i="202"/>
  <c r="BG1364" i="202"/>
  <c r="BG1365" i="202"/>
  <c r="BG1366" i="202"/>
  <c r="BG1367" i="202"/>
  <c r="BG1368" i="202"/>
  <c r="BG1369" i="202"/>
  <c r="BG1370" i="202"/>
  <c r="BG1371" i="202"/>
  <c r="BG1372" i="202"/>
  <c r="BG1373" i="202"/>
  <c r="BG1374" i="202"/>
  <c r="BG1375" i="202"/>
  <c r="BG1376" i="202"/>
  <c r="BG1377" i="202"/>
  <c r="BG1378" i="202"/>
  <c r="BG1379" i="202"/>
  <c r="BG1380" i="202"/>
  <c r="BG1381" i="202"/>
  <c r="BG1382" i="202"/>
  <c r="BG1383" i="202"/>
  <c r="BG1384" i="202"/>
  <c r="BG1385" i="202"/>
  <c r="BG1386" i="202"/>
  <c r="BG1387" i="202"/>
  <c r="BG1388" i="202"/>
  <c r="BG1389" i="202"/>
  <c r="BG1390" i="202"/>
  <c r="BG1391" i="202"/>
  <c r="BG1392" i="202"/>
  <c r="BG1393" i="202"/>
  <c r="BG1394" i="202"/>
  <c r="BG1395" i="202"/>
  <c r="BG1396" i="202"/>
  <c r="BG1397" i="202"/>
  <c r="BG1398" i="202"/>
  <c r="BG1399" i="202"/>
  <c r="BG1400" i="202"/>
  <c r="BG1401" i="202"/>
  <c r="BG1402" i="202"/>
  <c r="BG1403" i="202"/>
  <c r="BG1404" i="202"/>
  <c r="BG1405" i="202"/>
  <c r="BG1406" i="202"/>
  <c r="BG1407" i="202"/>
  <c r="BG1408" i="202"/>
  <c r="BG1409" i="202"/>
  <c r="BG1410" i="202"/>
  <c r="BG1411" i="202"/>
  <c r="BG1412" i="202"/>
  <c r="BG1413" i="202"/>
  <c r="BG1414" i="202"/>
  <c r="BG1415" i="202"/>
  <c r="BG1416" i="202"/>
  <c r="BG1417" i="202"/>
  <c r="BG1418" i="202"/>
  <c r="BG1419" i="202"/>
  <c r="BG1420" i="202"/>
  <c r="BG1421" i="202"/>
  <c r="BG1422" i="202"/>
  <c r="BG1423" i="202"/>
  <c r="BG1424" i="202"/>
  <c r="BG1425" i="202"/>
  <c r="BG1426" i="202"/>
  <c r="BG1427" i="202"/>
  <c r="BG1428" i="202"/>
  <c r="BG1429" i="202"/>
  <c r="BG1430" i="202"/>
  <c r="BG1431" i="202"/>
  <c r="BG1432" i="202"/>
  <c r="BG1433" i="202"/>
  <c r="BG1434" i="202"/>
  <c r="BG1435" i="202"/>
  <c r="BG1436" i="202"/>
  <c r="BG1437" i="202"/>
  <c r="BG1438" i="202"/>
  <c r="BG1439" i="202"/>
  <c r="BG1440" i="202"/>
  <c r="BG1441" i="202"/>
  <c r="BG1442" i="202"/>
  <c r="BG1443" i="202"/>
  <c r="BG1444" i="202"/>
  <c r="BG1445" i="202"/>
  <c r="BG1446" i="202"/>
  <c r="BG1447" i="202"/>
  <c r="BG1448" i="202"/>
  <c r="BG1449" i="202"/>
  <c r="BG1450" i="202"/>
  <c r="BG1451" i="202"/>
  <c r="BG1452" i="202"/>
  <c r="BG1453" i="202"/>
  <c r="BG1454" i="202"/>
  <c r="BG1455" i="202"/>
  <c r="BG1456" i="202"/>
  <c r="BG1457" i="202"/>
  <c r="BG1458" i="202"/>
  <c r="BG1459" i="202"/>
  <c r="BG1460" i="202"/>
  <c r="BG1461" i="202"/>
  <c r="BG1462" i="202"/>
  <c r="BG1463" i="202"/>
  <c r="BG1464" i="202"/>
  <c r="BG1465" i="202"/>
  <c r="BG1466" i="202"/>
  <c r="BG1467" i="202"/>
  <c r="BG1468" i="202"/>
  <c r="BG1469" i="202"/>
  <c r="BG1470" i="202"/>
  <c r="BG1471" i="202"/>
  <c r="BG1472" i="202"/>
  <c r="BG1473" i="202"/>
  <c r="BG1474" i="202"/>
  <c r="BG1475" i="202"/>
  <c r="BG1476" i="202"/>
  <c r="BG1477" i="202"/>
  <c r="BG1478" i="202"/>
  <c r="BG1479" i="202"/>
  <c r="BG1480" i="202"/>
  <c r="BG1481" i="202"/>
  <c r="BG1482" i="202"/>
  <c r="BG1483" i="202"/>
  <c r="BG1484" i="202"/>
  <c r="BG1485" i="202"/>
  <c r="BG1486" i="202"/>
  <c r="BG1487" i="202"/>
  <c r="BG1488" i="202"/>
  <c r="BG1489" i="202"/>
  <c r="BG1490" i="202"/>
  <c r="BG1491" i="202"/>
  <c r="BG1492" i="202"/>
  <c r="BG1493" i="202"/>
  <c r="BG1494" i="202"/>
  <c r="BG1495" i="202"/>
  <c r="BG1496" i="202"/>
  <c r="BG1497" i="202"/>
  <c r="BG1498" i="202"/>
  <c r="BG1499" i="202"/>
  <c r="BG1500" i="202"/>
  <c r="BG1501" i="202"/>
  <c r="BG1502" i="202"/>
  <c r="BG1503" i="202"/>
  <c r="BG1504" i="202"/>
  <c r="BG1505" i="202"/>
  <c r="BG1506" i="202"/>
  <c r="BG1507" i="202"/>
  <c r="BG1508" i="202"/>
  <c r="BG1509" i="202"/>
  <c r="BG1510" i="202"/>
  <c r="BG1511" i="202"/>
  <c r="BG1512" i="202"/>
  <c r="BG1513" i="202"/>
  <c r="BG1514" i="202"/>
  <c r="BG1515" i="202"/>
  <c r="BG1516" i="202"/>
  <c r="BG1517" i="202"/>
  <c r="BG1518" i="202"/>
  <c r="BG1519" i="202"/>
  <c r="BG1520" i="202"/>
  <c r="BG1521" i="202"/>
  <c r="BG1522" i="202"/>
  <c r="BG1523" i="202"/>
  <c r="BG1524" i="202"/>
  <c r="BG1525" i="202"/>
  <c r="BG1526" i="202"/>
  <c r="BG1527" i="202"/>
  <c r="BG1528" i="202"/>
  <c r="BG1529" i="202"/>
  <c r="BG1530" i="202"/>
  <c r="BG1531" i="202"/>
  <c r="BG1532" i="202"/>
  <c r="BG1533" i="202"/>
  <c r="BG1534" i="202"/>
  <c r="BG1535" i="202"/>
  <c r="BG1536" i="202"/>
  <c r="BG1537" i="202"/>
  <c r="BG1538" i="202"/>
  <c r="BG1539" i="202"/>
  <c r="BG1540" i="202"/>
  <c r="BG1541" i="202"/>
  <c r="BG1542" i="202"/>
  <c r="BG1543" i="202"/>
  <c r="BG1544" i="202"/>
  <c r="BG1545" i="202"/>
  <c r="BG1546" i="202"/>
  <c r="BG1547" i="202"/>
  <c r="BG1548" i="202"/>
  <c r="BG1549" i="202"/>
  <c r="BG1550" i="202"/>
  <c r="BG1551" i="202"/>
  <c r="BG1552" i="202"/>
  <c r="BG1553" i="202"/>
  <c r="BG1554" i="202"/>
  <c r="BG1555" i="202"/>
  <c r="BG1556" i="202"/>
  <c r="BG1557" i="202"/>
  <c r="BG1558" i="202"/>
  <c r="BG1559" i="202"/>
  <c r="BG1560" i="202"/>
  <c r="BG1561" i="202"/>
  <c r="BG1562" i="202"/>
  <c r="BG1563" i="202"/>
  <c r="BG1564" i="202"/>
  <c r="BG1565" i="202"/>
  <c r="BG1566" i="202"/>
  <c r="BG1567" i="202"/>
  <c r="BG1568" i="202"/>
  <c r="BG1569" i="202"/>
  <c r="BG1570" i="202"/>
  <c r="BG1571" i="202"/>
  <c r="BG1572" i="202"/>
  <c r="BG1573" i="202"/>
  <c r="BG1574" i="202"/>
  <c r="BG1575" i="202"/>
  <c r="BG1576" i="202"/>
  <c r="BG1577" i="202"/>
  <c r="BG1578" i="202"/>
  <c r="BG1579" i="202"/>
  <c r="BG1580" i="202"/>
  <c r="BG1581" i="202"/>
  <c r="BG1582" i="202"/>
  <c r="BG1583" i="202"/>
  <c r="BG1584" i="202"/>
  <c r="BG1585" i="202"/>
  <c r="BG1586" i="202"/>
  <c r="BG1587" i="202"/>
  <c r="BG1588" i="202"/>
  <c r="BG1589" i="202"/>
  <c r="BG1590" i="202"/>
  <c r="BG1591" i="202"/>
  <c r="BG1592" i="202"/>
  <c r="BG1593" i="202"/>
  <c r="BG1594" i="202"/>
  <c r="BG1595" i="202"/>
  <c r="BG1596" i="202"/>
  <c r="BG1597" i="202"/>
  <c r="BG1598" i="202"/>
  <c r="BG1599" i="202"/>
  <c r="BG1600" i="202"/>
  <c r="BG1601" i="202"/>
  <c r="BG1602" i="202"/>
  <c r="BG1603" i="202"/>
  <c r="BG1604" i="202"/>
  <c r="BG1605" i="202"/>
  <c r="BG1606" i="202"/>
  <c r="BG1607" i="202"/>
  <c r="BG1608" i="202"/>
  <c r="BG1609" i="202"/>
  <c r="BG1610" i="202"/>
  <c r="BG1611" i="202"/>
  <c r="BG1612" i="202"/>
  <c r="BG1613" i="202"/>
  <c r="BG1614" i="202"/>
  <c r="BG1615" i="202"/>
  <c r="BG1616" i="202"/>
  <c r="BG1617" i="202"/>
  <c r="BG1618" i="202"/>
  <c r="BG1619" i="202"/>
  <c r="BG1620" i="202"/>
  <c r="BG1621" i="202"/>
  <c r="BG1622" i="202"/>
  <c r="BG1623" i="202"/>
  <c r="BG1624" i="202"/>
  <c r="BG1625" i="202"/>
  <c r="BG1626" i="202"/>
  <c r="BG1627" i="202"/>
  <c r="BG1628" i="202"/>
  <c r="BG1629" i="202"/>
  <c r="BG1630" i="202"/>
  <c r="BG1631" i="202"/>
  <c r="BG1632" i="202"/>
  <c r="BG1633" i="202"/>
  <c r="BG1634" i="202"/>
  <c r="BG1635" i="202"/>
  <c r="BG1636" i="202"/>
  <c r="BG1637" i="202"/>
  <c r="BG1638" i="202"/>
  <c r="BG1639" i="202"/>
  <c r="BG1640" i="202"/>
  <c r="BG1641" i="202"/>
  <c r="BG1642" i="202"/>
  <c r="BG1643" i="202"/>
  <c r="BG1644" i="202"/>
  <c r="BG1645" i="202"/>
  <c r="BG1646" i="202"/>
  <c r="BG1647" i="202"/>
  <c r="BG1648" i="202"/>
  <c r="BG1649" i="202"/>
  <c r="BG1650" i="202"/>
  <c r="BG1651" i="202"/>
  <c r="BG1652" i="202"/>
  <c r="BG1653" i="202"/>
  <c r="BG1654" i="202"/>
  <c r="BG1655" i="202"/>
  <c r="BG1656" i="202"/>
  <c r="BG1657" i="202"/>
  <c r="BG1658" i="202"/>
  <c r="BG1659" i="202"/>
  <c r="BG1660" i="202"/>
  <c r="BG1661" i="202"/>
  <c r="BG1662" i="202"/>
  <c r="BG1663" i="202"/>
  <c r="BG1664" i="202"/>
  <c r="BG1665" i="202"/>
  <c r="BG1666" i="202"/>
  <c r="BG1667" i="202"/>
  <c r="BG1668" i="202"/>
  <c r="BG1669" i="202"/>
  <c r="BG1670" i="202"/>
  <c r="BG1671" i="202"/>
  <c r="BG1672" i="202"/>
  <c r="BG1673" i="202"/>
  <c r="BG1674" i="202"/>
  <c r="BG1675" i="202"/>
  <c r="BG1676" i="202"/>
  <c r="BG1677" i="202"/>
  <c r="BG1678" i="202"/>
  <c r="BG1679" i="202"/>
  <c r="BG1680" i="202"/>
  <c r="BG1681" i="202"/>
  <c r="BG1682" i="202"/>
  <c r="BG1683" i="202"/>
  <c r="BG1684" i="202"/>
  <c r="BG1685" i="202"/>
  <c r="BG1686" i="202"/>
  <c r="BG1687" i="202"/>
  <c r="BG1688" i="202"/>
  <c r="BG1689" i="202"/>
  <c r="BG1690" i="202"/>
  <c r="BG1691" i="202"/>
  <c r="BG1692" i="202"/>
  <c r="BG1693" i="202"/>
  <c r="BG1694" i="202"/>
  <c r="BG1695" i="202"/>
  <c r="BG1696" i="202"/>
  <c r="BG1697" i="202"/>
  <c r="BG1698" i="202"/>
  <c r="BG1699" i="202"/>
  <c r="BG1700" i="202"/>
  <c r="BG1701" i="202"/>
  <c r="BG1702" i="202"/>
  <c r="BG1703" i="202"/>
  <c r="BG1704" i="202"/>
  <c r="BG1705" i="202"/>
  <c r="BG1706" i="202"/>
  <c r="BG1707" i="202"/>
  <c r="BG1708" i="202"/>
  <c r="BG1709" i="202"/>
  <c r="BG1710" i="202"/>
  <c r="BG1711" i="202"/>
  <c r="BG1712" i="202"/>
  <c r="BG1713" i="202"/>
  <c r="BG1714" i="202"/>
  <c r="BG1715" i="202"/>
  <c r="BG1716" i="202"/>
  <c r="BG1717" i="202"/>
  <c r="BG1718" i="202"/>
  <c r="BG1719" i="202"/>
  <c r="BG1720" i="202"/>
  <c r="BG1721" i="202"/>
  <c r="BG1722" i="202"/>
  <c r="BG1723" i="202"/>
  <c r="BG1724" i="202"/>
  <c r="BG1725" i="202"/>
  <c r="BG1726" i="202"/>
  <c r="BG1727" i="202"/>
  <c r="BG1728" i="202"/>
  <c r="BG1729" i="202"/>
  <c r="BG1730" i="202"/>
  <c r="BG1731" i="202"/>
  <c r="BG1732" i="202"/>
  <c r="BG1733" i="202"/>
  <c r="BG1734" i="202"/>
  <c r="BG1735" i="202"/>
  <c r="BG1736" i="202"/>
  <c r="BG1737" i="202"/>
  <c r="BG1738" i="202"/>
  <c r="BG1739" i="202"/>
  <c r="BG1740" i="202"/>
  <c r="BG1741" i="202"/>
  <c r="BG1742" i="202"/>
  <c r="BG1743" i="202"/>
  <c r="BG1744" i="202"/>
  <c r="BG1745" i="202"/>
  <c r="BG1746" i="202"/>
  <c r="BG1747" i="202"/>
  <c r="BG1748" i="202"/>
  <c r="BG1749" i="202"/>
  <c r="BG1750" i="202"/>
  <c r="BG1751" i="202"/>
  <c r="BG1752" i="202"/>
  <c r="BG1753" i="202"/>
  <c r="BG1754" i="202"/>
  <c r="BG1755" i="202"/>
  <c r="BG1756" i="202"/>
  <c r="BG1757" i="202"/>
  <c r="BG1758" i="202"/>
  <c r="BG1759" i="202"/>
  <c r="BG1760" i="202"/>
  <c r="BG1761" i="202"/>
  <c r="BG1762" i="202"/>
  <c r="BG1763" i="202"/>
  <c r="BG1764" i="202"/>
  <c r="BG1765" i="202"/>
  <c r="BG1766" i="202"/>
  <c r="BG1767" i="202"/>
  <c r="BG1768" i="202"/>
  <c r="BG1769" i="202"/>
  <c r="BG1770" i="202"/>
  <c r="BG1771" i="202"/>
  <c r="BG1772" i="202"/>
  <c r="BG1773" i="202"/>
  <c r="BG1774" i="202"/>
  <c r="BG1775" i="202"/>
  <c r="BG1776" i="202"/>
  <c r="BG1777" i="202"/>
  <c r="BG1778" i="202"/>
  <c r="BG1779" i="202"/>
  <c r="BG1780" i="202"/>
  <c r="BG1781" i="202"/>
  <c r="BG1782" i="202"/>
  <c r="BG1783" i="202"/>
  <c r="BG1784" i="202"/>
  <c r="BG1785" i="202"/>
  <c r="BG1786" i="202"/>
  <c r="BG1787" i="202"/>
  <c r="BG1788" i="202"/>
  <c r="BG1789" i="202"/>
  <c r="BG1790" i="202"/>
  <c r="BG1791" i="202"/>
  <c r="BG1792" i="202"/>
  <c r="BG1793" i="202"/>
  <c r="BG1794" i="202"/>
  <c r="BG1795" i="202"/>
  <c r="BG1796" i="202"/>
  <c r="BG1797" i="202"/>
  <c r="BG1798" i="202"/>
  <c r="BG1799" i="202"/>
  <c r="BG1800" i="202"/>
  <c r="BG1801" i="202"/>
  <c r="BG1802" i="202"/>
  <c r="BG1803" i="202"/>
  <c r="BG1804" i="202"/>
  <c r="BG1805" i="202"/>
  <c r="BG1806" i="202"/>
  <c r="BG1807" i="202"/>
  <c r="BG1808" i="202"/>
  <c r="BG1809" i="202"/>
  <c r="BG1810" i="202"/>
  <c r="BG1811" i="202"/>
  <c r="BG1812" i="202"/>
  <c r="BG1813" i="202"/>
  <c r="BG1814" i="202"/>
  <c r="BG1815" i="202"/>
  <c r="BG1816" i="202"/>
  <c r="BG1817" i="202"/>
  <c r="BG1818" i="202"/>
  <c r="BG1819" i="202"/>
  <c r="BG1820" i="202"/>
  <c r="BG1821" i="202"/>
  <c r="BG1822" i="202"/>
  <c r="BG1823" i="202"/>
  <c r="BG1824" i="202"/>
  <c r="BG1825" i="202"/>
  <c r="BG1826" i="202"/>
  <c r="BG1827" i="202"/>
  <c r="BG1828" i="202"/>
  <c r="BG1829" i="202"/>
  <c r="BG1830" i="202"/>
  <c r="BG1831" i="202"/>
  <c r="BG1832" i="202"/>
  <c r="BG1833" i="202"/>
  <c r="BG1834" i="202"/>
  <c r="BG1835" i="202"/>
  <c r="BG1836" i="202"/>
  <c r="BG1837" i="202"/>
  <c r="BG1838" i="202"/>
  <c r="BG1839" i="202"/>
  <c r="BG1840" i="202"/>
  <c r="BG1841" i="202"/>
  <c r="BG1842" i="202"/>
  <c r="BG1843" i="202"/>
  <c r="BG1844" i="202"/>
  <c r="BG1845" i="202"/>
  <c r="BG1846" i="202"/>
  <c r="BG1847" i="202"/>
  <c r="BG1848" i="202"/>
  <c r="BG1849" i="202"/>
  <c r="BG1850" i="202"/>
  <c r="BG1851" i="202"/>
  <c r="BG1852" i="202"/>
  <c r="BG1853" i="202"/>
  <c r="BG1854" i="202"/>
  <c r="BG1855" i="202"/>
  <c r="BG1856" i="202"/>
  <c r="BG1857" i="202"/>
  <c r="BG1858" i="202"/>
  <c r="BG1859" i="202"/>
  <c r="BG1860" i="202"/>
  <c r="BG1861" i="202"/>
  <c r="BG1862" i="202"/>
  <c r="BG1863" i="202"/>
  <c r="BG1864" i="202"/>
  <c r="BG1865" i="202"/>
  <c r="BG1866" i="202"/>
  <c r="BG1867" i="202"/>
  <c r="BG1868" i="202"/>
  <c r="BG1869" i="202"/>
  <c r="BG1870" i="202"/>
  <c r="BG1871" i="202"/>
  <c r="BG1872" i="202"/>
  <c r="BG1873" i="202"/>
  <c r="BG1874" i="202"/>
  <c r="BG1875" i="202"/>
  <c r="BG1876" i="202"/>
  <c r="BG1877" i="202"/>
  <c r="BG1878" i="202"/>
  <c r="BG1879" i="202"/>
  <c r="BG1880" i="202"/>
  <c r="BG1881" i="202"/>
  <c r="BG1882" i="202"/>
  <c r="BG1883" i="202"/>
  <c r="BG1884" i="202"/>
  <c r="BG1885" i="202"/>
  <c r="BG1886" i="202"/>
  <c r="BG1887" i="202"/>
  <c r="BG1888" i="202"/>
  <c r="BG1889" i="202"/>
  <c r="BG1890" i="202"/>
  <c r="BG1891" i="202"/>
  <c r="BG1892" i="202"/>
  <c r="BG1893" i="202"/>
  <c r="BG1894" i="202"/>
  <c r="BG1895" i="202"/>
  <c r="BG1896" i="202"/>
  <c r="BG1897" i="202"/>
  <c r="BG1898" i="202"/>
  <c r="BG1899" i="202"/>
  <c r="BG1900" i="202"/>
  <c r="BG1901" i="202"/>
  <c r="BG1902" i="202"/>
  <c r="BG1903" i="202"/>
  <c r="BG1904" i="202"/>
  <c r="BG1905" i="202"/>
  <c r="BG1906" i="202"/>
  <c r="BG1907" i="202"/>
  <c r="BG1908" i="202"/>
  <c r="BG1909" i="202"/>
  <c r="BG1910" i="202"/>
  <c r="BG1911" i="202"/>
  <c r="BG1912" i="202"/>
  <c r="BG1913" i="202"/>
  <c r="BG1914" i="202"/>
  <c r="BG1915" i="202"/>
  <c r="BG1916" i="202"/>
  <c r="BG1917" i="202"/>
  <c r="BG1918" i="202"/>
  <c r="BG1919" i="202"/>
  <c r="BG1920" i="202"/>
  <c r="BG1921" i="202"/>
  <c r="BG1922" i="202"/>
  <c r="BG1923" i="202"/>
  <c r="BG1924" i="202"/>
  <c r="BG1925" i="202"/>
  <c r="BG1926" i="202"/>
  <c r="BG1927" i="202"/>
  <c r="BG1928" i="202"/>
  <c r="BG1929" i="202"/>
  <c r="BG1930" i="202"/>
  <c r="BG1931" i="202"/>
  <c r="BG1932" i="202"/>
  <c r="BG1933" i="202"/>
  <c r="BG1934" i="202"/>
  <c r="BG1935" i="202"/>
  <c r="BG1936" i="202"/>
  <c r="BG1937" i="202"/>
  <c r="BG1938" i="202"/>
  <c r="BG1939" i="202"/>
  <c r="BG1940" i="202"/>
  <c r="BG1941" i="202"/>
  <c r="BG1942" i="202"/>
  <c r="BG1943" i="202"/>
  <c r="BG1944" i="202"/>
  <c r="BG1945" i="202"/>
  <c r="BG1946" i="202"/>
  <c r="BG1947" i="202"/>
  <c r="BG1948" i="202"/>
  <c r="BG1949" i="202"/>
  <c r="BG1950" i="202"/>
  <c r="BG1951" i="202"/>
  <c r="BG1952" i="202"/>
  <c r="BG1953" i="202"/>
  <c r="BG1954" i="202"/>
  <c r="BG1955" i="202"/>
  <c r="BG1956" i="202"/>
  <c r="BG1957" i="202"/>
  <c r="BG1958" i="202"/>
  <c r="BG1959" i="202"/>
  <c r="BG1960" i="202"/>
  <c r="BG1961" i="202"/>
  <c r="BG1962" i="202"/>
  <c r="BG1963" i="202"/>
  <c r="BG1964" i="202"/>
  <c r="BG1965" i="202"/>
  <c r="BG1966" i="202"/>
  <c r="BG1967" i="202"/>
  <c r="BG1968" i="202"/>
  <c r="BG1969" i="202"/>
  <c r="BG1970" i="202"/>
  <c r="BG1971" i="202"/>
  <c r="BG1972" i="202"/>
  <c r="BG1973" i="202"/>
  <c r="BG1974" i="202"/>
  <c r="BG1975" i="202"/>
  <c r="BG1976" i="202"/>
  <c r="BG1977" i="202"/>
  <c r="BG1978" i="202"/>
  <c r="BG1979" i="202"/>
  <c r="BG1980" i="202"/>
  <c r="BG1981" i="202"/>
  <c r="BG1982" i="202"/>
  <c r="BG1983" i="202"/>
  <c r="BG1984" i="202"/>
  <c r="BG1985" i="202"/>
  <c r="BG1986" i="202"/>
  <c r="BG1987" i="202"/>
  <c r="BG1988" i="202"/>
  <c r="BG1989" i="202"/>
  <c r="BG1990" i="202"/>
  <c r="BG1991" i="202"/>
  <c r="BG1992" i="202"/>
  <c r="BG1993" i="202"/>
  <c r="BG1994" i="202"/>
  <c r="BG1995" i="202"/>
  <c r="BG1996" i="202"/>
  <c r="BG1997" i="202"/>
  <c r="BG1998" i="202"/>
  <c r="BG1999" i="202"/>
  <c r="BG2000" i="202"/>
  <c r="BG2001" i="202"/>
  <c r="BG2002" i="202"/>
  <c r="BG2003" i="202"/>
  <c r="BG2004" i="202"/>
  <c r="BG2005" i="202"/>
  <c r="BG2006" i="202"/>
  <c r="BG2007" i="202"/>
  <c r="BG2008" i="202"/>
  <c r="BG2009" i="202"/>
  <c r="BG2010" i="202"/>
  <c r="BG2011" i="202"/>
  <c r="BG2012" i="202"/>
  <c r="BG2013" i="202"/>
  <c r="BG2014" i="202"/>
  <c r="BG2015" i="202"/>
  <c r="BG2016" i="202"/>
  <c r="BG2017" i="202"/>
  <c r="BG2018" i="202"/>
  <c r="BG2019" i="202"/>
  <c r="BG2020" i="202"/>
  <c r="BG2021" i="202"/>
  <c r="BG2022" i="202"/>
  <c r="BG2023" i="202"/>
  <c r="BG2024" i="202"/>
  <c r="BG2025" i="202"/>
  <c r="BG2026" i="202"/>
  <c r="BG2027" i="202"/>
  <c r="BG2028" i="202"/>
  <c r="BG2029" i="202"/>
  <c r="BG2030" i="202"/>
  <c r="BG2031" i="202"/>
  <c r="BG2032" i="202"/>
  <c r="BG2033" i="202"/>
  <c r="BG2034" i="202"/>
  <c r="BG2035" i="202"/>
  <c r="BG2036" i="202"/>
  <c r="BG2037" i="202"/>
  <c r="BG2038" i="202"/>
  <c r="BG2039" i="202"/>
  <c r="BG2040" i="202"/>
  <c r="BG2041" i="202"/>
  <c r="BG2042" i="202"/>
  <c r="BG2043" i="202"/>
  <c r="BG2044" i="202"/>
  <c r="BG2045" i="202"/>
  <c r="BG2046" i="202"/>
  <c r="BG2047" i="202"/>
  <c r="BG2048" i="202"/>
  <c r="AS2" i="202"/>
  <c r="AS3" i="202"/>
  <c r="AS4" i="202"/>
  <c r="AS5" i="202"/>
  <c r="AS6" i="202"/>
  <c r="AS7" i="202"/>
  <c r="AS8" i="202"/>
  <c r="AS9" i="202"/>
  <c r="AS10" i="202"/>
  <c r="AS11" i="202"/>
  <c r="AS12" i="202"/>
  <c r="AS13" i="202"/>
  <c r="AS14" i="202"/>
  <c r="AS15" i="202"/>
  <c r="AS16" i="202"/>
  <c r="AS17" i="202"/>
  <c r="AS18" i="202"/>
  <c r="AS19" i="202"/>
  <c r="AS20" i="202"/>
  <c r="AS21" i="202"/>
  <c r="AS22" i="202"/>
  <c r="AS23" i="202"/>
  <c r="AS24" i="202"/>
  <c r="AS25" i="202"/>
  <c r="AS26" i="202"/>
  <c r="AS27" i="202"/>
  <c r="AS28" i="202"/>
  <c r="AS29" i="202"/>
  <c r="AS30" i="202"/>
  <c r="AS31" i="202"/>
  <c r="AS32" i="202"/>
  <c r="AS33" i="202"/>
  <c r="AS34" i="202"/>
  <c r="AS35" i="202"/>
  <c r="AS36" i="202"/>
  <c r="AS37" i="202"/>
  <c r="AS38" i="202"/>
  <c r="AS39" i="202"/>
  <c r="AS40" i="202"/>
  <c r="AS41" i="202"/>
  <c r="AS42" i="202"/>
  <c r="AS43" i="202"/>
  <c r="AS44" i="202"/>
  <c r="AS45" i="202"/>
  <c r="AS46" i="202"/>
  <c r="AS47" i="202"/>
  <c r="AS48" i="202"/>
  <c r="AS49" i="202"/>
  <c r="AS50" i="202"/>
  <c r="AS51" i="202"/>
  <c r="AS52" i="202"/>
  <c r="AS53" i="202"/>
  <c r="AS54" i="202"/>
  <c r="AS55" i="202"/>
  <c r="AS56" i="202"/>
  <c r="AS57" i="202"/>
  <c r="AS58" i="202"/>
  <c r="AS59" i="202"/>
  <c r="AS60" i="202"/>
  <c r="AS61" i="202"/>
  <c r="AS62" i="202"/>
  <c r="AS63" i="202"/>
  <c r="AS64" i="202"/>
  <c r="AS65" i="202"/>
  <c r="AS66" i="202"/>
  <c r="AS67" i="202"/>
  <c r="AS68" i="202"/>
  <c r="AS69" i="202"/>
  <c r="AS70" i="202"/>
  <c r="AS71" i="202"/>
  <c r="AS72" i="202"/>
  <c r="AS73" i="202"/>
  <c r="AS74" i="202"/>
  <c r="AS75" i="202"/>
  <c r="AS76" i="202"/>
  <c r="AS77" i="202"/>
  <c r="AS78" i="202"/>
  <c r="AS79" i="202"/>
  <c r="AS80" i="202"/>
  <c r="AS81" i="202"/>
  <c r="AS82" i="202"/>
  <c r="AS83" i="202"/>
  <c r="AS84" i="202"/>
  <c r="AS85" i="202"/>
  <c r="AS86" i="202"/>
  <c r="AS87" i="202"/>
  <c r="AS88" i="202"/>
  <c r="AS89" i="202"/>
  <c r="AS90" i="202"/>
  <c r="AS91" i="202"/>
  <c r="AS92" i="202"/>
  <c r="AS93" i="202"/>
  <c r="AS94" i="202"/>
  <c r="AS95" i="202"/>
  <c r="AS96" i="202"/>
  <c r="AS97" i="202"/>
  <c r="AS98" i="202"/>
  <c r="AS99" i="202"/>
  <c r="AS100" i="202"/>
  <c r="AS101" i="202"/>
  <c r="AS102" i="202"/>
  <c r="AS103" i="202"/>
  <c r="AS104" i="202"/>
  <c r="AS105" i="202"/>
  <c r="AS106" i="202"/>
  <c r="AS107" i="202"/>
  <c r="AS108" i="202"/>
  <c r="AS109" i="202"/>
  <c r="AS110" i="202"/>
  <c r="AS111" i="202"/>
  <c r="AS112" i="202"/>
  <c r="AS113" i="202"/>
  <c r="AS114" i="202"/>
  <c r="AS115" i="202"/>
  <c r="AS116" i="202"/>
  <c r="AS117" i="202"/>
  <c r="AS118" i="202"/>
  <c r="AS119" i="202"/>
  <c r="AS120" i="202"/>
  <c r="AS121" i="202"/>
  <c r="AS122" i="202"/>
  <c r="AS123" i="202"/>
  <c r="AS124" i="202"/>
  <c r="AS125" i="202"/>
  <c r="AS126" i="202"/>
  <c r="AS127" i="202"/>
  <c r="AS128" i="202"/>
  <c r="AS129" i="202"/>
  <c r="AS130" i="202"/>
  <c r="AS131" i="202"/>
  <c r="AS132" i="202"/>
  <c r="AS133" i="202"/>
  <c r="AS134" i="202"/>
  <c r="AS135" i="202"/>
  <c r="AS136" i="202"/>
  <c r="AS137" i="202"/>
  <c r="AS138" i="202"/>
  <c r="AS139" i="202"/>
  <c r="AS140" i="202"/>
  <c r="AS141" i="202"/>
  <c r="AS142" i="202"/>
  <c r="AS143" i="202"/>
  <c r="AS144" i="202"/>
  <c r="AS145" i="202"/>
  <c r="AS146" i="202"/>
  <c r="AS147" i="202"/>
  <c r="AS148" i="202"/>
  <c r="AS149" i="202"/>
  <c r="AS150" i="202"/>
  <c r="AS151" i="202"/>
  <c r="AS152" i="202"/>
  <c r="AS153" i="202"/>
  <c r="AS154" i="202"/>
  <c r="AS155" i="202"/>
  <c r="AS156" i="202"/>
  <c r="AS157" i="202"/>
  <c r="AS158" i="202"/>
  <c r="AS159" i="202"/>
  <c r="AS160" i="202"/>
  <c r="AS161" i="202"/>
  <c r="AS162" i="202"/>
  <c r="AS163" i="202"/>
  <c r="AS164" i="202"/>
  <c r="AS165" i="202"/>
  <c r="AS166" i="202"/>
  <c r="AS167" i="202"/>
  <c r="AS168" i="202"/>
  <c r="AS169" i="202"/>
  <c r="AS170" i="202"/>
  <c r="AS171" i="202"/>
  <c r="AS172" i="202"/>
  <c r="AS173" i="202"/>
  <c r="AS174" i="202"/>
  <c r="AS175" i="202"/>
  <c r="AS176" i="202"/>
  <c r="AS177" i="202"/>
  <c r="AS178" i="202"/>
  <c r="AS179" i="202"/>
  <c r="AS180" i="202"/>
  <c r="AS181" i="202"/>
  <c r="AS182" i="202"/>
  <c r="AS183" i="202"/>
  <c r="AS184" i="202"/>
  <c r="AS185" i="202"/>
  <c r="AS186" i="202"/>
  <c r="AS187" i="202"/>
  <c r="AS188" i="202"/>
  <c r="AS189" i="202"/>
  <c r="AS190" i="202"/>
  <c r="AS191" i="202"/>
  <c r="AS192" i="202"/>
  <c r="AS193" i="202"/>
  <c r="AS194" i="202"/>
  <c r="AS195" i="202"/>
  <c r="AS196" i="202"/>
  <c r="AS197" i="202"/>
  <c r="AS198" i="202"/>
  <c r="AS199" i="202"/>
  <c r="AS200" i="202"/>
  <c r="AS201" i="202"/>
  <c r="AS202" i="202"/>
  <c r="AS203" i="202"/>
  <c r="AS204" i="202"/>
  <c r="AS205" i="202"/>
  <c r="AS206" i="202"/>
  <c r="AS207" i="202"/>
  <c r="AS208" i="202"/>
  <c r="AS209" i="202"/>
  <c r="AS210" i="202"/>
  <c r="AS211" i="202"/>
  <c r="AS212" i="202"/>
  <c r="AS213" i="202"/>
  <c r="AS214" i="202"/>
  <c r="AS215" i="202"/>
  <c r="AS216" i="202"/>
  <c r="AS217" i="202"/>
  <c r="AS218" i="202"/>
  <c r="AS219" i="202"/>
  <c r="AS220" i="202"/>
  <c r="AS221" i="202"/>
  <c r="AS222" i="202"/>
  <c r="AS223" i="202"/>
  <c r="AS224" i="202"/>
  <c r="AS225" i="202"/>
  <c r="AS226" i="202"/>
  <c r="AS227" i="202"/>
  <c r="AS228" i="202"/>
  <c r="AS229" i="202"/>
  <c r="AS230" i="202"/>
  <c r="AS231" i="202"/>
  <c r="AS232" i="202"/>
  <c r="AS233" i="202"/>
  <c r="AS234" i="202"/>
  <c r="AS235" i="202"/>
  <c r="AS236" i="202"/>
  <c r="AS237" i="202"/>
  <c r="AS238" i="202"/>
  <c r="AS239" i="202"/>
  <c r="AS240" i="202"/>
  <c r="AS241" i="202"/>
  <c r="AS242" i="202"/>
  <c r="AS243" i="202"/>
  <c r="AS244" i="202"/>
  <c r="AS245" i="202"/>
  <c r="AS246" i="202"/>
  <c r="AS247" i="202"/>
  <c r="AS248" i="202"/>
  <c r="AS249" i="202"/>
  <c r="AS250" i="202"/>
  <c r="AS251" i="202"/>
  <c r="AS252" i="202"/>
  <c r="AS253" i="202"/>
  <c r="AS254" i="202"/>
  <c r="AS255" i="202"/>
  <c r="AS256" i="202"/>
  <c r="AS257" i="202"/>
  <c r="AS258" i="202"/>
  <c r="AS259" i="202"/>
  <c r="AS260" i="202"/>
  <c r="AS261" i="202"/>
  <c r="AS262" i="202"/>
  <c r="AS263" i="202"/>
  <c r="AS264" i="202"/>
  <c r="AS265" i="202"/>
  <c r="AS266" i="202"/>
  <c r="AS267" i="202"/>
  <c r="AS268" i="202"/>
  <c r="AS269" i="202"/>
  <c r="AS270" i="202"/>
  <c r="AS271" i="202"/>
  <c r="AS272" i="202"/>
  <c r="AS273" i="202"/>
  <c r="AS274" i="202"/>
  <c r="AS275" i="202"/>
  <c r="AS276" i="202"/>
  <c r="AS277" i="202"/>
  <c r="AS278" i="202"/>
  <c r="AS279" i="202"/>
  <c r="AS280" i="202"/>
  <c r="AS281" i="202"/>
  <c r="AS282" i="202"/>
  <c r="AS283" i="202"/>
  <c r="AS284" i="202"/>
  <c r="AS285" i="202"/>
  <c r="AS286" i="202"/>
  <c r="AS287" i="202"/>
  <c r="AS288" i="202"/>
  <c r="AS289" i="202"/>
  <c r="AS290" i="202"/>
  <c r="AS291" i="202"/>
  <c r="AS292" i="202"/>
  <c r="AS293" i="202"/>
  <c r="AS294" i="202"/>
  <c r="AS295" i="202"/>
  <c r="AS296" i="202"/>
  <c r="AS297" i="202"/>
  <c r="AS298" i="202"/>
  <c r="AS299" i="202"/>
  <c r="AS300" i="202"/>
  <c r="AS301" i="202"/>
  <c r="AS302" i="202"/>
  <c r="AS303" i="202"/>
  <c r="AS304" i="202"/>
  <c r="AS305" i="202"/>
  <c r="AS306" i="202"/>
  <c r="AS307" i="202"/>
  <c r="AS308" i="202"/>
  <c r="AS309" i="202"/>
  <c r="AS310" i="202"/>
  <c r="AS311" i="202"/>
  <c r="AS312" i="202"/>
  <c r="AS313" i="202"/>
  <c r="AS314" i="202"/>
  <c r="AS315" i="202"/>
  <c r="AS316" i="202"/>
  <c r="AS317" i="202"/>
  <c r="AS318" i="202"/>
  <c r="AS319" i="202"/>
  <c r="AS320" i="202"/>
  <c r="AS321" i="202"/>
  <c r="AS322" i="202"/>
  <c r="AS323" i="202"/>
  <c r="AS324" i="202"/>
  <c r="AS325" i="202"/>
  <c r="AS326" i="202"/>
  <c r="AS327" i="202"/>
  <c r="AS328" i="202"/>
  <c r="AS329" i="202"/>
  <c r="AS330" i="202"/>
  <c r="AS331" i="202"/>
  <c r="AS332" i="202"/>
  <c r="AS333" i="202"/>
  <c r="AS334" i="202"/>
  <c r="AS335" i="202"/>
  <c r="AS336" i="202"/>
  <c r="AS337" i="202"/>
  <c r="AS338" i="202"/>
  <c r="AS339" i="202"/>
  <c r="AS340" i="202"/>
  <c r="AS341" i="202"/>
  <c r="AS342" i="202"/>
  <c r="AS343" i="202"/>
  <c r="AS344" i="202"/>
  <c r="AS345" i="202"/>
  <c r="AS346" i="202"/>
  <c r="AS347" i="202"/>
  <c r="AS348" i="202"/>
  <c r="AS349" i="202"/>
  <c r="AS350" i="202"/>
  <c r="AS351" i="202"/>
  <c r="AS352" i="202"/>
  <c r="AS353" i="202"/>
  <c r="AS354" i="202"/>
  <c r="AS355" i="202"/>
  <c r="AS356" i="202"/>
  <c r="AS357" i="202"/>
  <c r="AS358" i="202"/>
  <c r="AS359" i="202"/>
  <c r="AS360" i="202"/>
  <c r="AS361" i="202"/>
  <c r="AS362" i="202"/>
  <c r="AS363" i="202"/>
  <c r="AS364" i="202"/>
  <c r="AS365" i="202"/>
  <c r="AS366" i="202"/>
  <c r="AS367" i="202"/>
  <c r="AS368" i="202"/>
  <c r="AS369" i="202"/>
  <c r="AS370" i="202"/>
  <c r="AS371" i="202"/>
  <c r="AS372" i="202"/>
  <c r="AS373" i="202"/>
  <c r="AS374" i="202"/>
  <c r="AS375" i="202"/>
  <c r="AS376" i="202"/>
  <c r="AS377" i="202"/>
  <c r="AS378" i="202"/>
  <c r="AS379" i="202"/>
  <c r="AS380" i="202"/>
  <c r="AS381" i="202"/>
  <c r="AS382" i="202"/>
  <c r="AS383" i="202"/>
  <c r="AS384" i="202"/>
  <c r="AS385" i="202"/>
  <c r="AS386" i="202"/>
  <c r="AS387" i="202"/>
  <c r="AS388" i="202"/>
  <c r="AS389" i="202"/>
  <c r="AS390" i="202"/>
  <c r="AS391" i="202"/>
  <c r="AS392" i="202"/>
  <c r="AS393" i="202"/>
  <c r="AS394" i="202"/>
  <c r="AS395" i="202"/>
  <c r="AS396" i="202"/>
  <c r="AS397" i="202"/>
  <c r="AS398" i="202"/>
  <c r="AS399" i="202"/>
  <c r="AS400" i="202"/>
  <c r="AS401" i="202"/>
  <c r="AS402" i="202"/>
  <c r="AS403" i="202"/>
  <c r="AS404" i="202"/>
  <c r="AS405" i="202"/>
  <c r="AS406" i="202"/>
  <c r="AS407" i="202"/>
  <c r="AS408" i="202"/>
  <c r="AS409" i="202"/>
  <c r="AS410" i="202"/>
  <c r="AS411" i="202"/>
  <c r="AS412" i="202"/>
  <c r="AS413" i="202"/>
  <c r="AS414" i="202"/>
  <c r="AS415" i="202"/>
  <c r="AS416" i="202"/>
  <c r="AS417" i="202"/>
  <c r="AS418" i="202"/>
  <c r="AS419" i="202"/>
  <c r="AS420" i="202"/>
  <c r="AS421" i="202"/>
  <c r="AS422" i="202"/>
  <c r="AS423" i="202"/>
  <c r="AS424" i="202"/>
  <c r="AS425" i="202"/>
  <c r="AS426" i="202"/>
  <c r="AS427" i="202"/>
  <c r="AS428" i="202"/>
  <c r="AS429" i="202"/>
  <c r="AS430" i="202"/>
  <c r="AS431" i="202"/>
  <c r="AS432" i="202"/>
  <c r="AS433" i="202"/>
  <c r="AS434" i="202"/>
  <c r="AS435" i="202"/>
  <c r="AS436" i="202"/>
  <c r="AS437" i="202"/>
  <c r="AS438" i="202"/>
  <c r="AS439" i="202"/>
  <c r="AS440" i="202"/>
  <c r="AS441" i="202"/>
  <c r="AS442" i="202"/>
  <c r="AS443" i="202"/>
  <c r="AS444" i="202"/>
  <c r="AS445" i="202"/>
  <c r="AS446" i="202"/>
  <c r="AS447" i="202"/>
  <c r="AS448" i="202"/>
  <c r="AS449" i="202"/>
  <c r="AS450" i="202"/>
  <c r="AS451" i="202"/>
  <c r="AS452" i="202"/>
  <c r="AS453" i="202"/>
  <c r="AS454" i="202"/>
  <c r="AS455" i="202"/>
  <c r="AS456" i="202"/>
  <c r="AS457" i="202"/>
  <c r="AS458" i="202"/>
  <c r="AS459" i="202"/>
  <c r="AS460" i="202"/>
  <c r="AS461" i="202"/>
  <c r="AS462" i="202"/>
  <c r="AS463" i="202"/>
  <c r="AS464" i="202"/>
  <c r="AS465" i="202"/>
  <c r="AS466" i="202"/>
  <c r="AS467" i="202"/>
  <c r="AS468" i="202"/>
  <c r="AS469" i="202"/>
  <c r="AS470" i="202"/>
  <c r="AS471" i="202"/>
  <c r="AS472" i="202"/>
  <c r="AS473" i="202"/>
  <c r="AS474" i="202"/>
  <c r="AS475" i="202"/>
  <c r="AS476" i="202"/>
  <c r="AS477" i="202"/>
  <c r="AS478" i="202"/>
  <c r="AS479" i="202"/>
  <c r="AS480" i="202"/>
  <c r="AS481" i="202"/>
  <c r="AS482" i="202"/>
  <c r="AS483" i="202"/>
  <c r="AS484" i="202"/>
  <c r="AS485" i="202"/>
  <c r="AS486" i="202"/>
  <c r="AS487" i="202"/>
  <c r="AS488" i="202"/>
  <c r="AS489" i="202"/>
  <c r="AS490" i="202"/>
  <c r="AS491" i="202"/>
  <c r="AS492" i="202"/>
  <c r="AS493" i="202"/>
  <c r="AS494" i="202"/>
  <c r="AS495" i="202"/>
  <c r="AS496" i="202"/>
  <c r="AS497" i="202"/>
  <c r="AS498" i="202"/>
  <c r="AS499" i="202"/>
  <c r="AS500" i="202"/>
  <c r="AS501" i="202"/>
  <c r="AS502" i="202"/>
  <c r="AS503" i="202"/>
  <c r="AS504" i="202"/>
  <c r="AS505" i="202"/>
  <c r="AS506" i="202"/>
  <c r="AS507" i="202"/>
  <c r="AS508" i="202"/>
  <c r="AS509" i="202"/>
  <c r="AS510" i="202"/>
  <c r="AS511" i="202"/>
  <c r="AS512" i="202"/>
  <c r="AS513" i="202"/>
  <c r="AS514" i="202"/>
  <c r="AS515" i="202"/>
  <c r="AS516" i="202"/>
  <c r="AS517" i="202"/>
  <c r="AS518" i="202"/>
  <c r="AS519" i="202"/>
  <c r="AS520" i="202"/>
  <c r="AS521" i="202"/>
  <c r="AS522" i="202"/>
  <c r="AS523" i="202"/>
  <c r="AS524" i="202"/>
  <c r="AS525" i="202"/>
  <c r="AS526" i="202"/>
  <c r="AS527" i="202"/>
  <c r="AS528" i="202"/>
  <c r="AS529" i="202"/>
  <c r="AS530" i="202"/>
  <c r="AS531" i="202"/>
  <c r="AS532" i="202"/>
  <c r="AS533" i="202"/>
  <c r="AS534" i="202"/>
  <c r="AS535" i="202"/>
  <c r="AS536" i="202"/>
  <c r="AS537" i="202"/>
  <c r="AS538" i="202"/>
  <c r="AS539" i="202"/>
  <c r="AS540" i="202"/>
  <c r="AS541" i="202"/>
  <c r="AS542" i="202"/>
  <c r="AS543" i="202"/>
  <c r="AS544" i="202"/>
  <c r="AS545" i="202"/>
  <c r="AS546" i="202"/>
  <c r="AS547" i="202"/>
  <c r="AS548" i="202"/>
  <c r="AS549" i="202"/>
  <c r="AS550" i="202"/>
  <c r="AS551" i="202"/>
  <c r="AS552" i="202"/>
  <c r="AS553" i="202"/>
  <c r="AS554" i="202"/>
  <c r="AS555" i="202"/>
  <c r="AS556" i="202"/>
  <c r="AS557" i="202"/>
  <c r="AS558" i="202"/>
  <c r="AS559" i="202"/>
  <c r="AS560" i="202"/>
  <c r="AS561" i="202"/>
  <c r="AS562" i="202"/>
  <c r="AS563" i="202"/>
  <c r="AS564" i="202"/>
  <c r="AS565" i="202"/>
  <c r="AS566" i="202"/>
  <c r="AS567" i="202"/>
  <c r="AS568" i="202"/>
  <c r="AS569" i="202"/>
  <c r="AS570" i="202"/>
  <c r="AS571" i="202"/>
  <c r="AS572" i="202"/>
  <c r="AS573" i="202"/>
  <c r="AS574" i="202"/>
  <c r="AS575" i="202"/>
  <c r="AS576" i="202"/>
  <c r="AS577" i="202"/>
  <c r="AS578" i="202"/>
  <c r="AS579" i="202"/>
  <c r="AS580" i="202"/>
  <c r="AS581" i="202"/>
  <c r="AS582" i="202"/>
  <c r="AS583" i="202"/>
  <c r="AS584" i="202"/>
  <c r="AS585" i="202"/>
  <c r="AS586" i="202"/>
  <c r="AS587" i="202"/>
  <c r="AS588" i="202"/>
  <c r="AS589" i="202"/>
  <c r="AS590" i="202"/>
  <c r="AS591" i="202"/>
  <c r="AS592" i="202"/>
  <c r="AS593" i="202"/>
  <c r="AS594" i="202"/>
  <c r="AS595" i="202"/>
  <c r="AS596" i="202"/>
  <c r="AS597" i="202"/>
  <c r="AS598" i="202"/>
  <c r="AS599" i="202"/>
  <c r="AS600" i="202"/>
  <c r="AS601" i="202"/>
  <c r="AS602" i="202"/>
  <c r="AS603" i="202"/>
  <c r="AS604" i="202"/>
  <c r="AS605" i="202"/>
  <c r="AS606" i="202"/>
  <c r="AS607" i="202"/>
  <c r="AS608" i="202"/>
  <c r="AS609" i="202"/>
  <c r="AS610" i="202"/>
  <c r="AS611" i="202"/>
  <c r="AS612" i="202"/>
  <c r="AS613" i="202"/>
  <c r="AS614" i="202"/>
  <c r="AS615" i="202"/>
  <c r="AS616" i="202"/>
  <c r="AS617" i="202"/>
  <c r="AS618" i="202"/>
  <c r="AS619" i="202"/>
  <c r="AS620" i="202"/>
  <c r="AS621" i="202"/>
  <c r="AS622" i="202"/>
  <c r="AS623" i="202"/>
  <c r="AS624" i="202"/>
  <c r="AS625" i="202"/>
  <c r="AS626" i="202"/>
  <c r="AS627" i="202"/>
  <c r="AS628" i="202"/>
  <c r="AS629" i="202"/>
  <c r="AS630" i="202"/>
  <c r="AS631" i="202"/>
  <c r="AS632" i="202"/>
  <c r="AS633" i="202"/>
  <c r="AS634" i="202"/>
  <c r="AS635" i="202"/>
  <c r="AS636" i="202"/>
  <c r="AS637" i="202"/>
  <c r="AS638" i="202"/>
  <c r="AS639" i="202"/>
  <c r="AS640" i="202"/>
  <c r="AS641" i="202"/>
  <c r="AS642" i="202"/>
  <c r="AS643" i="202"/>
  <c r="AS644" i="202"/>
  <c r="AS645" i="202"/>
  <c r="AS646" i="202"/>
  <c r="AS647" i="202"/>
  <c r="AS648" i="202"/>
  <c r="AS649" i="202"/>
  <c r="AS650" i="202"/>
  <c r="AS651" i="202"/>
  <c r="AS652" i="202"/>
  <c r="AS653" i="202"/>
  <c r="AS654" i="202"/>
  <c r="AS655" i="202"/>
  <c r="AS656" i="202"/>
  <c r="AS657" i="202"/>
  <c r="AS658" i="202"/>
  <c r="AS659" i="202"/>
  <c r="AS660" i="202"/>
  <c r="AS661" i="202"/>
  <c r="AS662" i="202"/>
  <c r="AS663" i="202"/>
  <c r="AS664" i="202"/>
  <c r="AS665" i="202"/>
  <c r="AS666" i="202"/>
  <c r="AS667" i="202"/>
  <c r="AS668" i="202"/>
  <c r="AS669" i="202"/>
  <c r="AS670" i="202"/>
  <c r="AS671" i="202"/>
  <c r="AS672" i="202"/>
  <c r="AS673" i="202"/>
  <c r="AS674" i="202"/>
  <c r="AS675" i="202"/>
  <c r="AS676" i="202"/>
  <c r="AS677" i="202"/>
  <c r="AS678" i="202"/>
  <c r="AS679" i="202"/>
  <c r="AS680" i="202"/>
  <c r="AS681" i="202"/>
  <c r="AS682" i="202"/>
  <c r="AS683" i="202"/>
  <c r="AS684" i="202"/>
  <c r="AS685" i="202"/>
  <c r="AS686" i="202"/>
  <c r="AS687" i="202"/>
  <c r="AS688" i="202"/>
  <c r="AS689" i="202"/>
  <c r="AS690" i="202"/>
  <c r="AS691" i="202"/>
  <c r="AS692" i="202"/>
  <c r="AS693" i="202"/>
  <c r="AS694" i="202"/>
  <c r="AS695" i="202"/>
  <c r="AS696" i="202"/>
  <c r="AS697" i="202"/>
  <c r="AS698" i="202"/>
  <c r="AS699" i="202"/>
  <c r="AS700" i="202"/>
  <c r="AS701" i="202"/>
  <c r="AS702" i="202"/>
  <c r="AS703" i="202"/>
  <c r="AS704" i="202"/>
  <c r="AS705" i="202"/>
  <c r="AS706" i="202"/>
  <c r="AS707" i="202"/>
  <c r="AS708" i="202"/>
  <c r="AS709" i="202"/>
  <c r="AS710" i="202"/>
  <c r="AS711" i="202"/>
  <c r="AS712" i="202"/>
  <c r="AS713" i="202"/>
  <c r="AS714" i="202"/>
  <c r="AS715" i="202"/>
  <c r="AS716" i="202"/>
  <c r="AS717" i="202"/>
  <c r="AS718" i="202"/>
  <c r="AS719" i="202"/>
  <c r="AS720" i="202"/>
  <c r="AS721" i="202"/>
  <c r="AS722" i="202"/>
  <c r="AS723" i="202"/>
  <c r="AS724" i="202"/>
  <c r="AS725" i="202"/>
  <c r="AS726" i="202"/>
  <c r="AS727" i="202"/>
  <c r="AS728" i="202"/>
  <c r="AS729" i="202"/>
  <c r="AS730" i="202"/>
  <c r="AS731" i="202"/>
  <c r="AS732" i="202"/>
  <c r="AS733" i="202"/>
  <c r="AS734" i="202"/>
  <c r="AS735" i="202"/>
  <c r="AS736" i="202"/>
  <c r="AS737" i="202"/>
  <c r="AS738" i="202"/>
  <c r="AS739" i="202"/>
  <c r="AS740" i="202"/>
  <c r="AS741" i="202"/>
  <c r="AS742" i="202"/>
  <c r="AS743" i="202"/>
  <c r="AS744" i="202"/>
  <c r="AS745" i="202"/>
  <c r="AS746" i="202"/>
  <c r="AS747" i="202"/>
  <c r="AS748" i="202"/>
  <c r="AS749" i="202"/>
  <c r="AS750" i="202"/>
  <c r="AS751" i="202"/>
  <c r="AS752" i="202"/>
  <c r="AS753" i="202"/>
  <c r="AS754" i="202"/>
  <c r="AS755" i="202"/>
  <c r="AS756" i="202"/>
  <c r="AS757" i="202"/>
  <c r="AS758" i="202"/>
  <c r="AS759" i="202"/>
  <c r="AS760" i="202"/>
  <c r="AS761" i="202"/>
  <c r="AS762" i="202"/>
  <c r="AS763" i="202"/>
  <c r="AS764" i="202"/>
  <c r="AS765" i="202"/>
  <c r="AS766" i="202"/>
  <c r="AS767" i="202"/>
  <c r="AS768" i="202"/>
  <c r="AS769" i="202"/>
  <c r="AS770" i="202"/>
  <c r="AS771" i="202"/>
  <c r="AS772" i="202"/>
  <c r="AS773" i="202"/>
  <c r="AS774" i="202"/>
  <c r="AS775" i="202"/>
  <c r="AS776" i="202"/>
  <c r="AS777" i="202"/>
  <c r="AS778" i="202"/>
  <c r="AS779" i="202"/>
  <c r="AS780" i="202"/>
  <c r="AS781" i="202"/>
  <c r="AS782" i="202"/>
  <c r="AS783" i="202"/>
  <c r="AS784" i="202"/>
  <c r="AS785" i="202"/>
  <c r="AS786" i="202"/>
  <c r="AS787" i="202"/>
  <c r="AS788" i="202"/>
  <c r="AS789" i="202"/>
  <c r="AS790" i="202"/>
  <c r="AS791" i="202"/>
  <c r="AS792" i="202"/>
  <c r="AS793" i="202"/>
  <c r="AS794" i="202"/>
  <c r="AS795" i="202"/>
  <c r="AS796" i="202"/>
  <c r="AS797" i="202"/>
  <c r="AS798" i="202"/>
  <c r="AS799" i="202"/>
  <c r="AS800" i="202"/>
  <c r="AS801" i="202"/>
  <c r="AS802" i="202"/>
  <c r="AS803" i="202"/>
  <c r="AS804" i="202"/>
  <c r="AS805" i="202"/>
  <c r="AS806" i="202"/>
  <c r="AS807" i="202"/>
  <c r="AS808" i="202"/>
  <c r="AS809" i="202"/>
  <c r="AS810" i="202"/>
  <c r="AS811" i="202"/>
  <c r="AS812" i="202"/>
  <c r="AS813" i="202"/>
  <c r="AS814" i="202"/>
  <c r="AS815" i="202"/>
  <c r="AS816" i="202"/>
  <c r="AS817" i="202"/>
  <c r="AS818" i="202"/>
  <c r="AS819" i="202"/>
  <c r="AS820" i="202"/>
  <c r="AS821" i="202"/>
  <c r="AS822" i="202"/>
  <c r="AS823" i="202"/>
  <c r="AS824" i="202"/>
  <c r="AS825" i="202"/>
  <c r="AS826" i="202"/>
  <c r="AS827" i="202"/>
  <c r="AS828" i="202"/>
  <c r="AS829" i="202"/>
  <c r="AS830" i="202"/>
  <c r="AS831" i="202"/>
  <c r="AS832" i="202"/>
  <c r="AS833" i="202"/>
  <c r="AS834" i="202"/>
  <c r="AS835" i="202"/>
  <c r="AS836" i="202"/>
  <c r="AS837" i="202"/>
  <c r="AS838" i="202"/>
  <c r="AS839" i="202"/>
  <c r="AS840" i="202"/>
  <c r="AS841" i="202"/>
  <c r="AS842" i="202"/>
  <c r="AS843" i="202"/>
  <c r="AS844" i="202"/>
  <c r="AS845" i="202"/>
  <c r="AS846" i="202"/>
  <c r="AS847" i="202"/>
  <c r="AS848" i="202"/>
  <c r="AS849" i="202"/>
  <c r="AS850" i="202"/>
  <c r="AS851" i="202"/>
  <c r="AS852" i="202"/>
  <c r="AS853" i="202"/>
  <c r="AS854" i="202"/>
  <c r="AS855" i="202"/>
  <c r="AS856" i="202"/>
  <c r="AS857" i="202"/>
  <c r="AS858" i="202"/>
  <c r="AS859" i="202"/>
  <c r="AS860" i="202"/>
  <c r="AS861" i="202"/>
  <c r="AS862" i="202"/>
  <c r="AS863" i="202"/>
  <c r="AS864" i="202"/>
  <c r="AS865" i="202"/>
  <c r="AS866" i="202"/>
  <c r="AS867" i="202"/>
  <c r="AS868" i="202"/>
  <c r="AS869" i="202"/>
  <c r="AS870" i="202"/>
  <c r="AS871" i="202"/>
  <c r="AS872" i="202"/>
  <c r="AS873" i="202"/>
  <c r="AS874" i="202"/>
  <c r="AS875" i="202"/>
  <c r="AS876" i="202"/>
  <c r="AS877" i="202"/>
  <c r="AS878" i="202"/>
  <c r="AS879" i="202"/>
  <c r="AS880" i="202"/>
  <c r="AS881" i="202"/>
  <c r="AS882" i="202"/>
  <c r="AS883" i="202"/>
  <c r="AS884" i="202"/>
  <c r="AS885" i="202"/>
  <c r="AS886" i="202"/>
  <c r="AS887" i="202"/>
  <c r="AS888" i="202"/>
  <c r="AS889" i="202"/>
  <c r="AS890" i="202"/>
  <c r="AS891" i="202"/>
  <c r="AS892" i="202"/>
  <c r="AS893" i="202"/>
  <c r="AS894" i="202"/>
  <c r="AS895" i="202"/>
  <c r="AS896" i="202"/>
  <c r="AS897" i="202"/>
  <c r="AS898" i="202"/>
  <c r="AS899" i="202"/>
  <c r="AS900" i="202"/>
  <c r="AS901" i="202"/>
  <c r="AS902" i="202"/>
  <c r="AS903" i="202"/>
  <c r="AS904" i="202"/>
  <c r="AS905" i="202"/>
  <c r="AS906" i="202"/>
  <c r="AS907" i="202"/>
  <c r="AS908" i="202"/>
  <c r="AS909" i="202"/>
  <c r="AS910" i="202"/>
  <c r="AS911" i="202"/>
  <c r="AS912" i="202"/>
  <c r="AS913" i="202"/>
  <c r="AS914" i="202"/>
  <c r="AS915" i="202"/>
  <c r="AS916" i="202"/>
  <c r="AS917" i="202"/>
  <c r="AS918" i="202"/>
  <c r="AS919" i="202"/>
  <c r="AS920" i="202"/>
  <c r="AS921" i="202"/>
  <c r="AS922" i="202"/>
  <c r="AS923" i="202"/>
  <c r="AS924" i="202"/>
  <c r="AS925" i="202"/>
  <c r="AS926" i="202"/>
  <c r="AS927" i="202"/>
  <c r="AS928" i="202"/>
  <c r="AS929" i="202"/>
  <c r="AS930" i="202"/>
  <c r="AS931" i="202"/>
  <c r="AS932" i="202"/>
  <c r="AS933" i="202"/>
  <c r="AS934" i="202"/>
  <c r="AS935" i="202"/>
  <c r="AS936" i="202"/>
  <c r="AS937" i="202"/>
  <c r="AS938" i="202"/>
  <c r="AS939" i="202"/>
  <c r="AS940" i="202"/>
  <c r="AS941" i="202"/>
  <c r="AS942" i="202"/>
  <c r="AS943" i="202"/>
  <c r="AS944" i="202"/>
  <c r="AS945" i="202"/>
  <c r="AS946" i="202"/>
  <c r="AS947" i="202"/>
  <c r="AS948" i="202"/>
  <c r="AS949" i="202"/>
  <c r="AS950" i="202"/>
  <c r="AS951" i="202"/>
  <c r="AS952" i="202"/>
  <c r="AS953" i="202"/>
  <c r="AS954" i="202"/>
  <c r="AS955" i="202"/>
  <c r="AS956" i="202"/>
  <c r="AS957" i="202"/>
  <c r="AS958" i="202"/>
  <c r="AS959" i="202"/>
  <c r="AS960" i="202"/>
  <c r="AS961" i="202"/>
  <c r="AS962" i="202"/>
  <c r="AS963" i="202"/>
  <c r="AS964" i="202"/>
  <c r="AS965" i="202"/>
  <c r="AS966" i="202"/>
  <c r="AS967" i="202"/>
  <c r="AS968" i="202"/>
  <c r="AS969" i="202"/>
  <c r="AS970" i="202"/>
  <c r="AS971" i="202"/>
  <c r="AS972" i="202"/>
  <c r="AS973" i="202"/>
  <c r="AS974" i="202"/>
  <c r="AS975" i="202"/>
  <c r="AS976" i="202"/>
  <c r="AS977" i="202"/>
  <c r="AS978" i="202"/>
  <c r="AS979" i="202"/>
  <c r="AS980" i="202"/>
  <c r="AS981" i="202"/>
  <c r="AS982" i="202"/>
  <c r="AS983" i="202"/>
  <c r="AS984" i="202"/>
  <c r="AS985" i="202"/>
  <c r="AS986" i="202"/>
  <c r="AS987" i="202"/>
  <c r="AS988" i="202"/>
  <c r="AS989" i="202"/>
  <c r="AS990" i="202"/>
  <c r="AS991" i="202"/>
  <c r="AS992" i="202"/>
  <c r="AS993" i="202"/>
  <c r="AS994" i="202"/>
  <c r="AS995" i="202"/>
  <c r="AS996" i="202"/>
  <c r="AS997" i="202"/>
  <c r="AS998" i="202"/>
  <c r="AS999" i="202"/>
  <c r="AS1000" i="202"/>
  <c r="AS1001" i="202"/>
  <c r="AS1002" i="202"/>
  <c r="AS1003" i="202"/>
  <c r="AS1004" i="202"/>
  <c r="AS1005" i="202"/>
  <c r="AS1006" i="202"/>
  <c r="AS1007" i="202"/>
  <c r="AS1008" i="202"/>
  <c r="AS1009" i="202"/>
  <c r="AS1010" i="202"/>
  <c r="AS1011" i="202"/>
  <c r="AS1012" i="202"/>
  <c r="AS1013" i="202"/>
  <c r="AS1014" i="202"/>
  <c r="AS1015" i="202"/>
  <c r="AS1016" i="202"/>
  <c r="AS1017" i="202"/>
  <c r="AS1018" i="202"/>
  <c r="AS1019" i="202"/>
  <c r="AS1020" i="202"/>
  <c r="AS1021" i="202"/>
  <c r="AS1022" i="202"/>
  <c r="AS1023" i="202"/>
  <c r="AS1024" i="202"/>
  <c r="AS1025" i="202"/>
  <c r="AS1026" i="202"/>
  <c r="AS1027" i="202"/>
  <c r="AS1028" i="202"/>
  <c r="AS1029" i="202"/>
  <c r="AS1030" i="202"/>
  <c r="AS1031" i="202"/>
  <c r="AS1032" i="202"/>
  <c r="AS1033" i="202"/>
  <c r="AS1034" i="202"/>
  <c r="AS1035" i="202"/>
  <c r="AS1036" i="202"/>
  <c r="AS1037" i="202"/>
  <c r="AS1038" i="202"/>
  <c r="AS1039" i="202"/>
  <c r="AS1040" i="202"/>
  <c r="AS1041" i="202"/>
  <c r="AS1042" i="202"/>
  <c r="AS1043" i="202"/>
  <c r="AS1044" i="202"/>
  <c r="AS1045" i="202"/>
  <c r="AS1046" i="202"/>
  <c r="AS1047" i="202"/>
  <c r="AS1048" i="202"/>
  <c r="AS1049" i="202"/>
  <c r="AS1050" i="202"/>
  <c r="AS1051" i="202"/>
  <c r="AS1052" i="202"/>
  <c r="AS1053" i="202"/>
  <c r="AS1054" i="202"/>
  <c r="AS1055" i="202"/>
  <c r="AS1056" i="202"/>
  <c r="AS1057" i="202"/>
  <c r="AS1058" i="202"/>
  <c r="AS1059" i="202"/>
  <c r="AS1060" i="202"/>
  <c r="AS1061" i="202"/>
  <c r="AS1062" i="202"/>
  <c r="AS1063" i="202"/>
  <c r="AS1064" i="202"/>
  <c r="AS1065" i="202"/>
  <c r="AS1066" i="202"/>
  <c r="AS1067" i="202"/>
  <c r="AS1068" i="202"/>
  <c r="AS1069" i="202"/>
  <c r="AS1070" i="202"/>
  <c r="AS1071" i="202"/>
  <c r="AS1072" i="202"/>
  <c r="AS1073" i="202"/>
  <c r="AS1074" i="202"/>
  <c r="AS1075" i="202"/>
  <c r="AS1076" i="202"/>
  <c r="AS1077" i="202"/>
  <c r="AS1078" i="202"/>
  <c r="AS1079" i="202"/>
  <c r="AS1080" i="202"/>
  <c r="AS1081" i="202"/>
  <c r="AS1082" i="202"/>
  <c r="AS1083" i="202"/>
  <c r="AS1084" i="202"/>
  <c r="AS1085" i="202"/>
  <c r="AS1086" i="202"/>
  <c r="AS1087" i="202"/>
  <c r="AS1088" i="202"/>
  <c r="AS1089" i="202"/>
  <c r="AS1090" i="202"/>
  <c r="AS1091" i="202"/>
  <c r="AS1092" i="202"/>
  <c r="AS1093" i="202"/>
  <c r="AS1094" i="202"/>
  <c r="AS1095" i="202"/>
  <c r="AS1096" i="202"/>
  <c r="AS1097" i="202"/>
  <c r="AS1098" i="202"/>
  <c r="AS1099" i="202"/>
  <c r="AS1100" i="202"/>
  <c r="AS1101" i="202"/>
  <c r="AS1102" i="202"/>
  <c r="AS1103" i="202"/>
  <c r="AS1104" i="202"/>
  <c r="AS1105" i="202"/>
  <c r="AS1106" i="202"/>
  <c r="AS1107" i="202"/>
  <c r="AS1108" i="202"/>
  <c r="AS1109" i="202"/>
  <c r="AS1110" i="202"/>
  <c r="AS1111" i="202"/>
  <c r="AS1112" i="202"/>
  <c r="AS1113" i="202"/>
  <c r="AS1114" i="202"/>
  <c r="AS1115" i="202"/>
  <c r="AS1116" i="202"/>
  <c r="AS1117" i="202"/>
  <c r="AS1118" i="202"/>
  <c r="AS1119" i="202"/>
  <c r="AS1120" i="202"/>
  <c r="AS1121" i="202"/>
  <c r="AS1122" i="202"/>
  <c r="AS1123" i="202"/>
  <c r="AS1124" i="202"/>
  <c r="AS1125" i="202"/>
  <c r="AS1126" i="202"/>
  <c r="AS1127" i="202"/>
  <c r="AS1128" i="202"/>
  <c r="AS1129" i="202"/>
  <c r="AS1130" i="202"/>
  <c r="AS1131" i="202"/>
  <c r="AS1132" i="202"/>
  <c r="AS1133" i="202"/>
  <c r="AS1134" i="202"/>
  <c r="AS1135" i="202"/>
  <c r="AS1136" i="202"/>
  <c r="AS1137" i="202"/>
  <c r="AS1138" i="202"/>
  <c r="AS1139" i="202"/>
  <c r="AS1140" i="202"/>
  <c r="AS1141" i="202"/>
  <c r="AS1142" i="202"/>
  <c r="AS1143" i="202"/>
  <c r="AS1144" i="202"/>
  <c r="AS1145" i="202"/>
  <c r="AS1146" i="202"/>
  <c r="AS1147" i="202"/>
  <c r="AS1148" i="202"/>
  <c r="AS1149" i="202"/>
  <c r="AS1150" i="202"/>
  <c r="AS1151" i="202"/>
  <c r="AS1152" i="202"/>
  <c r="AS1153" i="202"/>
  <c r="AS1154" i="202"/>
  <c r="AS1155" i="202"/>
  <c r="AS1156" i="202"/>
  <c r="AS1157" i="202"/>
  <c r="AS1158" i="202"/>
  <c r="AS1159" i="202"/>
  <c r="AS1160" i="202"/>
  <c r="AS1161" i="202"/>
  <c r="AS1162" i="202"/>
  <c r="AS1163" i="202"/>
  <c r="AS1164" i="202"/>
  <c r="AS1165" i="202"/>
  <c r="AS1166" i="202"/>
  <c r="AS1167" i="202"/>
  <c r="AS1168" i="202"/>
  <c r="AS1169" i="202"/>
  <c r="AS1170" i="202"/>
  <c r="AS1171" i="202"/>
  <c r="AS1172" i="202"/>
  <c r="AS1173" i="202"/>
  <c r="AS1174" i="202"/>
  <c r="AS1175" i="202"/>
  <c r="AS1176" i="202"/>
  <c r="AS1177" i="202"/>
  <c r="AS1178" i="202"/>
  <c r="AS1179" i="202"/>
  <c r="AS1180" i="202"/>
  <c r="AS1181" i="202"/>
  <c r="AS1182" i="202"/>
  <c r="AS1183" i="202"/>
  <c r="AS1184" i="202"/>
  <c r="AS1185" i="202"/>
  <c r="AS1186" i="202"/>
  <c r="AS1187" i="202"/>
  <c r="AS1188" i="202"/>
  <c r="AS1189" i="202"/>
  <c r="AS1190" i="202"/>
  <c r="AS1191" i="202"/>
  <c r="AS1192" i="202"/>
  <c r="AS1193" i="202"/>
  <c r="AS1194" i="202"/>
  <c r="AS1195" i="202"/>
  <c r="AS1196" i="202"/>
  <c r="AS1197" i="202"/>
  <c r="AS1198" i="202"/>
  <c r="AS1199" i="202"/>
  <c r="AS1200" i="202"/>
  <c r="AS1201" i="202"/>
  <c r="AS1202" i="202"/>
  <c r="AS1203" i="202"/>
  <c r="AS1204" i="202"/>
  <c r="AS1205" i="202"/>
  <c r="AS1206" i="202"/>
  <c r="AS1207" i="202"/>
  <c r="AS1208" i="202"/>
  <c r="AS1209" i="202"/>
  <c r="AS1210" i="202"/>
  <c r="AS1211" i="202"/>
  <c r="AS1212" i="202"/>
  <c r="AS1213" i="202"/>
  <c r="AS1214" i="202"/>
  <c r="AS1215" i="202"/>
  <c r="AS1216" i="202"/>
  <c r="AS1217" i="202"/>
  <c r="AS1218" i="202"/>
  <c r="AS1219" i="202"/>
  <c r="AS1220" i="202"/>
  <c r="AS1221" i="202"/>
  <c r="AS1222" i="202"/>
  <c r="AS1223" i="202"/>
  <c r="AS1224" i="202"/>
  <c r="AS1225" i="202"/>
  <c r="AS1226" i="202"/>
  <c r="AS1227" i="202"/>
  <c r="AS1228" i="202"/>
  <c r="AS1229" i="202"/>
  <c r="AS1230" i="202"/>
  <c r="AS1231" i="202"/>
  <c r="AS1232" i="202"/>
  <c r="AS1233" i="202"/>
  <c r="AS1234" i="202"/>
  <c r="AS1235" i="202"/>
  <c r="AS1236" i="202"/>
  <c r="AS1237" i="202"/>
  <c r="AS1238" i="202"/>
  <c r="AS1239" i="202"/>
  <c r="AS1240" i="202"/>
  <c r="AS1241" i="202"/>
  <c r="AS1242" i="202"/>
  <c r="AS1243" i="202"/>
  <c r="AS1244" i="202"/>
  <c r="AS1245" i="202"/>
  <c r="AS1246" i="202"/>
  <c r="AS1247" i="202"/>
  <c r="AS1248" i="202"/>
  <c r="AS1249" i="202"/>
  <c r="AS1250" i="202"/>
  <c r="AS1251" i="202"/>
  <c r="AS1252" i="202"/>
  <c r="AS1253" i="202"/>
  <c r="AS1254" i="202"/>
  <c r="AS1255" i="202"/>
  <c r="AS1256" i="202"/>
  <c r="AS1257" i="202"/>
  <c r="AS1258" i="202"/>
  <c r="AS1259" i="202"/>
  <c r="AS1260" i="202"/>
  <c r="AS1261" i="202"/>
  <c r="AS1262" i="202"/>
  <c r="AS1263" i="202"/>
  <c r="AS1264" i="202"/>
  <c r="AS1265" i="202"/>
  <c r="AS1266" i="202"/>
  <c r="AS1267" i="202"/>
  <c r="AS1268" i="202"/>
  <c r="AS1269" i="202"/>
  <c r="AS1270" i="202"/>
  <c r="AS1271" i="202"/>
  <c r="AS1272" i="202"/>
  <c r="AS1273" i="202"/>
  <c r="AS1274" i="202"/>
  <c r="AS1275" i="202"/>
  <c r="AS1276" i="202"/>
  <c r="AS1277" i="202"/>
  <c r="AS1278" i="202"/>
  <c r="AS1279" i="202"/>
  <c r="AS1280" i="202"/>
  <c r="AS1281" i="202"/>
  <c r="AS1282" i="202"/>
  <c r="AS1283" i="202"/>
  <c r="AS1284" i="202"/>
  <c r="AS1285" i="202"/>
  <c r="AS1286" i="202"/>
  <c r="AS1287" i="202"/>
  <c r="AS1288" i="202"/>
  <c r="AS1289" i="202"/>
  <c r="AS1290" i="202"/>
  <c r="AS1291" i="202"/>
  <c r="AS1292" i="202"/>
  <c r="AS1293" i="202"/>
  <c r="AS1294" i="202"/>
  <c r="AS1295" i="202"/>
  <c r="AS1296" i="202"/>
  <c r="AS1297" i="202"/>
  <c r="AS1298" i="202"/>
  <c r="AS1299" i="202"/>
  <c r="AS1300" i="202"/>
  <c r="AS1301" i="202"/>
  <c r="AS1302" i="202"/>
  <c r="AS1303" i="202"/>
  <c r="AS1304" i="202"/>
  <c r="AS1305" i="202"/>
  <c r="AS1306" i="202"/>
  <c r="AS1307" i="202"/>
  <c r="AS1308" i="202"/>
  <c r="AS1309" i="202"/>
  <c r="AS1310" i="202"/>
  <c r="AS1311" i="202"/>
  <c r="AS1312" i="202"/>
  <c r="AS1313" i="202"/>
  <c r="AS1314" i="202"/>
  <c r="AS1315" i="202"/>
  <c r="AS1316" i="202"/>
  <c r="AS1317" i="202"/>
  <c r="AS1318" i="202"/>
  <c r="AS1319" i="202"/>
  <c r="AS1320" i="202"/>
  <c r="AS1321" i="202"/>
  <c r="AS1322" i="202"/>
  <c r="AS1323" i="202"/>
  <c r="AS1324" i="202"/>
  <c r="AS1325" i="202"/>
  <c r="AS1326" i="202"/>
  <c r="AS1327" i="202"/>
  <c r="AS1328" i="202"/>
  <c r="AS1329" i="202"/>
  <c r="AS1330" i="202"/>
  <c r="AS1331" i="202"/>
  <c r="AS1332" i="202"/>
  <c r="AS1333" i="202"/>
  <c r="AS1334" i="202"/>
  <c r="AS1335" i="202"/>
  <c r="AS1336" i="202"/>
  <c r="AS1337" i="202"/>
  <c r="AS1338" i="202"/>
  <c r="AS1339" i="202"/>
  <c r="AS1340" i="202"/>
  <c r="AS1341" i="202"/>
  <c r="AS1342" i="202"/>
  <c r="AS1343" i="202"/>
  <c r="AS1344" i="202"/>
  <c r="AS1345" i="202"/>
  <c r="AS1346" i="202"/>
  <c r="AS1347" i="202"/>
  <c r="AS1348" i="202"/>
  <c r="AS1349" i="202"/>
  <c r="AS1350" i="202"/>
  <c r="AS1351" i="202"/>
  <c r="AS1352" i="202"/>
  <c r="AS1353" i="202"/>
  <c r="AS1354" i="202"/>
  <c r="AS1355" i="202"/>
  <c r="AS1356" i="202"/>
  <c r="AS1357" i="202"/>
  <c r="AS1358" i="202"/>
  <c r="AS1359" i="202"/>
  <c r="AS1360" i="202"/>
  <c r="AS1361" i="202"/>
  <c r="AS1362" i="202"/>
  <c r="AS1363" i="202"/>
  <c r="AS1364" i="202"/>
  <c r="AS1365" i="202"/>
  <c r="AS1366" i="202"/>
  <c r="AS1367" i="202"/>
  <c r="AS1368" i="202"/>
  <c r="AS1369" i="202"/>
  <c r="AS1370" i="202"/>
  <c r="AS1371" i="202"/>
  <c r="AS1372" i="202"/>
  <c r="AS1373" i="202"/>
  <c r="AS1374" i="202"/>
  <c r="AS1375" i="202"/>
  <c r="AS1376" i="202"/>
  <c r="AS1377" i="202"/>
  <c r="AS1378" i="202"/>
  <c r="AS1379" i="202"/>
  <c r="AS1380" i="202"/>
  <c r="AS1381" i="202"/>
  <c r="AS1382" i="202"/>
  <c r="AS1383" i="202"/>
  <c r="AS1384" i="202"/>
  <c r="AS1385" i="202"/>
  <c r="AS1386" i="202"/>
  <c r="AS1387" i="202"/>
  <c r="AS1388" i="202"/>
  <c r="AS1389" i="202"/>
  <c r="AS1390" i="202"/>
  <c r="AS1391" i="202"/>
  <c r="AS1392" i="202"/>
  <c r="AS1393" i="202"/>
  <c r="AS1394" i="202"/>
  <c r="AS1395" i="202"/>
  <c r="AS1396" i="202"/>
  <c r="AS1397" i="202"/>
  <c r="AS1398" i="202"/>
  <c r="AS1399" i="202"/>
  <c r="AS1400" i="202"/>
  <c r="AS1401" i="202"/>
  <c r="AS1402" i="202"/>
  <c r="AS1403" i="202"/>
  <c r="AS1404" i="202"/>
  <c r="AS1405" i="202"/>
  <c r="AS1406" i="202"/>
  <c r="AS1407" i="202"/>
  <c r="AS1408" i="202"/>
  <c r="AS1409" i="202"/>
  <c r="AS1410" i="202"/>
  <c r="AS1411" i="202"/>
  <c r="AS1412" i="202"/>
  <c r="AS1413" i="202"/>
  <c r="AS1414" i="202"/>
  <c r="AS1415" i="202"/>
  <c r="AS1416" i="202"/>
  <c r="AS1417" i="202"/>
  <c r="AS1418" i="202"/>
  <c r="AS1419" i="202"/>
  <c r="AS1420" i="202"/>
  <c r="AS1421" i="202"/>
  <c r="AS1422" i="202"/>
  <c r="AS1423" i="202"/>
  <c r="AS1424" i="202"/>
  <c r="AS1425" i="202"/>
  <c r="AS1426" i="202"/>
  <c r="AS1427" i="202"/>
  <c r="AS1428" i="202"/>
  <c r="AS1429" i="202"/>
  <c r="AS1430" i="202"/>
  <c r="AS1431" i="202"/>
  <c r="AS1432" i="202"/>
  <c r="AS1433" i="202"/>
  <c r="AS1434" i="202"/>
  <c r="AS1435" i="202"/>
  <c r="AS1436" i="202"/>
  <c r="AS1437" i="202"/>
  <c r="AS1438" i="202"/>
  <c r="AS1439" i="202"/>
  <c r="AS1440" i="202"/>
  <c r="AS1441" i="202"/>
  <c r="AS1442" i="202"/>
  <c r="AS1443" i="202"/>
  <c r="AS1444" i="202"/>
  <c r="AS1445" i="202"/>
  <c r="AS1446" i="202"/>
  <c r="AS1447" i="202"/>
  <c r="AS1448" i="202"/>
  <c r="AS1449" i="202"/>
  <c r="AS1450" i="202"/>
  <c r="AS1451" i="202"/>
  <c r="AS1452" i="202"/>
  <c r="AS1453" i="202"/>
  <c r="AS1454" i="202"/>
  <c r="AS1455" i="202"/>
  <c r="AS1456" i="202"/>
  <c r="AS1457" i="202"/>
  <c r="AS1458" i="202"/>
  <c r="AS1459" i="202"/>
  <c r="AS1460" i="202"/>
  <c r="AS1461" i="202"/>
  <c r="AS1462" i="202"/>
  <c r="AS1463" i="202"/>
  <c r="AS1464" i="202"/>
  <c r="AS1465" i="202"/>
  <c r="AS1466" i="202"/>
  <c r="AS1467" i="202"/>
  <c r="AS1468" i="202"/>
  <c r="AS1469" i="202"/>
  <c r="AS1470" i="202"/>
  <c r="AS1471" i="202"/>
  <c r="AS1472" i="202"/>
  <c r="AS1473" i="202"/>
  <c r="AS1474" i="202"/>
  <c r="AS1475" i="202"/>
  <c r="AS1476" i="202"/>
  <c r="AS1477" i="202"/>
  <c r="AS1478" i="202"/>
  <c r="AS1479" i="202"/>
  <c r="AS1480" i="202"/>
  <c r="AS1481" i="202"/>
  <c r="AS1482" i="202"/>
  <c r="AS1483" i="202"/>
  <c r="AS1484" i="202"/>
  <c r="AS1485" i="202"/>
  <c r="AS1486" i="202"/>
  <c r="AS1487" i="202"/>
  <c r="AS1488" i="202"/>
  <c r="AS1489" i="202"/>
  <c r="AS1490" i="202"/>
  <c r="AS1491" i="202"/>
  <c r="AS1492" i="202"/>
  <c r="AS1493" i="202"/>
  <c r="AS1494" i="202"/>
  <c r="AS1495" i="202"/>
  <c r="AS1496" i="202"/>
  <c r="AS1497" i="202"/>
  <c r="AS1498" i="202"/>
  <c r="AS1499" i="202"/>
  <c r="AS1500" i="202"/>
  <c r="AS1501" i="202"/>
  <c r="AS1502" i="202"/>
  <c r="AS1503" i="202"/>
  <c r="AS1504" i="202"/>
  <c r="AS1505" i="202"/>
  <c r="AS1506" i="202"/>
  <c r="AS1507" i="202"/>
  <c r="AS1508" i="202"/>
  <c r="AS1509" i="202"/>
  <c r="AS1510" i="202"/>
  <c r="AS1511" i="202"/>
  <c r="AS1512" i="202"/>
  <c r="AS1513" i="202"/>
  <c r="AS1514" i="202"/>
  <c r="AS1515" i="202"/>
  <c r="AS1516" i="202"/>
  <c r="AS1517" i="202"/>
  <c r="AS1518" i="202"/>
  <c r="AS1519" i="202"/>
  <c r="AS1520" i="202"/>
  <c r="AS1521" i="202"/>
  <c r="AS1522" i="202"/>
  <c r="AS1523" i="202"/>
  <c r="AS1524" i="202"/>
  <c r="AS1525" i="202"/>
  <c r="AS1526" i="202"/>
  <c r="AS1527" i="202"/>
  <c r="AS1528" i="202"/>
  <c r="AS1529" i="202"/>
  <c r="AS1530" i="202"/>
  <c r="AS1531" i="202"/>
  <c r="AS1532" i="202"/>
  <c r="AS1533" i="202"/>
  <c r="AS1534" i="202"/>
  <c r="AS1535" i="202"/>
  <c r="AS1536" i="202"/>
  <c r="AS1537" i="202"/>
  <c r="AS1538" i="202"/>
  <c r="AS1539" i="202"/>
  <c r="AS1540" i="202"/>
  <c r="AS1541" i="202"/>
  <c r="AS1542" i="202"/>
  <c r="AS1543" i="202"/>
  <c r="AS1544" i="202"/>
  <c r="AS1545" i="202"/>
  <c r="AS1546" i="202"/>
  <c r="AS1547" i="202"/>
  <c r="AS1548" i="202"/>
  <c r="AS1549" i="202"/>
  <c r="AS1550" i="202"/>
  <c r="AS1551" i="202"/>
  <c r="AS1552" i="202"/>
  <c r="AS1553" i="202"/>
  <c r="AS1554" i="202"/>
  <c r="AS1555" i="202"/>
  <c r="AS1556" i="202"/>
  <c r="AS1557" i="202"/>
  <c r="AS1558" i="202"/>
  <c r="AS1559" i="202"/>
  <c r="AS1560" i="202"/>
  <c r="AS1561" i="202"/>
  <c r="AS1562" i="202"/>
  <c r="AS1563" i="202"/>
  <c r="AS1564" i="202"/>
  <c r="AS1565" i="202"/>
  <c r="AS1566" i="202"/>
  <c r="AS1567" i="202"/>
  <c r="AS1568" i="202"/>
  <c r="AS1569" i="202"/>
  <c r="AS1570" i="202"/>
  <c r="AS1571" i="202"/>
  <c r="AS1572" i="202"/>
  <c r="AS1573" i="202"/>
  <c r="AS1574" i="202"/>
  <c r="AS1575" i="202"/>
  <c r="AS1576" i="202"/>
  <c r="AS1577" i="202"/>
  <c r="AS1578" i="202"/>
  <c r="AS1579" i="202"/>
  <c r="AS1580" i="202"/>
  <c r="AS1581" i="202"/>
  <c r="AS1582" i="202"/>
  <c r="AS1583" i="202"/>
  <c r="AS1584" i="202"/>
  <c r="AS1585" i="202"/>
  <c r="AS1586" i="202"/>
  <c r="AS1587" i="202"/>
  <c r="AS1588" i="202"/>
  <c r="AS1589" i="202"/>
  <c r="AS1590" i="202"/>
  <c r="AS1591" i="202"/>
  <c r="AS1592" i="202"/>
  <c r="AS1593" i="202"/>
  <c r="AS1594" i="202"/>
  <c r="AS1595" i="202"/>
  <c r="AS1596" i="202"/>
  <c r="AS1597" i="202"/>
  <c r="AS1598" i="202"/>
  <c r="AS1599" i="202"/>
  <c r="AS1600" i="202"/>
  <c r="AS1601" i="202"/>
  <c r="AS1602" i="202"/>
  <c r="AS1603" i="202"/>
  <c r="AS1604" i="202"/>
  <c r="AS1605" i="202"/>
  <c r="AS1606" i="202"/>
  <c r="AS1607" i="202"/>
  <c r="AS1608" i="202"/>
  <c r="AS1609" i="202"/>
  <c r="AS1610" i="202"/>
  <c r="AS1611" i="202"/>
  <c r="AS1612" i="202"/>
  <c r="AS1613" i="202"/>
  <c r="AS1614" i="202"/>
  <c r="AS1615" i="202"/>
  <c r="AS1616" i="202"/>
  <c r="AS1617" i="202"/>
  <c r="AS1618" i="202"/>
  <c r="AS1619" i="202"/>
  <c r="AS1620" i="202"/>
  <c r="AS1621" i="202"/>
  <c r="AS1622" i="202"/>
  <c r="AS1623" i="202"/>
  <c r="AS1624" i="202"/>
  <c r="AS1625" i="202"/>
  <c r="AS1626" i="202"/>
  <c r="AS1627" i="202"/>
  <c r="AS1628" i="202"/>
  <c r="AS1629" i="202"/>
  <c r="AS1630" i="202"/>
  <c r="AS1631" i="202"/>
  <c r="AS1632" i="202"/>
  <c r="AS1633" i="202"/>
  <c r="AS1634" i="202"/>
  <c r="AS1635" i="202"/>
  <c r="AS1636" i="202"/>
  <c r="AS1637" i="202"/>
  <c r="AS1638" i="202"/>
  <c r="AS1639" i="202"/>
  <c r="AS1640" i="202"/>
  <c r="AS1641" i="202"/>
  <c r="AS1642" i="202"/>
  <c r="AS1643" i="202"/>
  <c r="AS1644" i="202"/>
  <c r="AS1645" i="202"/>
  <c r="AS1646" i="202"/>
  <c r="AS1647" i="202"/>
  <c r="AS1648" i="202"/>
  <c r="AS1649" i="202"/>
  <c r="AS1650" i="202"/>
  <c r="AS1651" i="202"/>
  <c r="AS1652" i="202"/>
  <c r="AS1653" i="202"/>
  <c r="AS1654" i="202"/>
  <c r="AS1655" i="202"/>
  <c r="AS1656" i="202"/>
  <c r="AS1657" i="202"/>
  <c r="AS1658" i="202"/>
  <c r="AS1659" i="202"/>
  <c r="AS1660" i="202"/>
  <c r="AS1661" i="202"/>
  <c r="AS1662" i="202"/>
  <c r="AS1663" i="202"/>
  <c r="AS1664" i="202"/>
  <c r="AS1665" i="202"/>
  <c r="AS1666" i="202"/>
  <c r="AS1667" i="202"/>
  <c r="AS1668" i="202"/>
  <c r="AS1669" i="202"/>
  <c r="AS1670" i="202"/>
  <c r="AS1671" i="202"/>
  <c r="AS1672" i="202"/>
  <c r="AS1673" i="202"/>
  <c r="AS1674" i="202"/>
  <c r="AS1675" i="202"/>
  <c r="AS1676" i="202"/>
  <c r="AS1677" i="202"/>
  <c r="AS1678" i="202"/>
  <c r="AS1679" i="202"/>
  <c r="AS1680" i="202"/>
  <c r="AS1681" i="202"/>
  <c r="AS1682" i="202"/>
  <c r="AS1683" i="202"/>
  <c r="AS1684" i="202"/>
  <c r="AS1685" i="202"/>
  <c r="AS1686" i="202"/>
  <c r="AS1687" i="202"/>
  <c r="AS1688" i="202"/>
  <c r="AS1689" i="202"/>
  <c r="AS1690" i="202"/>
  <c r="AS1691" i="202"/>
  <c r="AS1692" i="202"/>
  <c r="AS1693" i="202"/>
  <c r="AS1694" i="202"/>
  <c r="AS1695" i="202"/>
  <c r="AS1696" i="202"/>
  <c r="AS1697" i="202"/>
  <c r="AS1698" i="202"/>
  <c r="AS1699" i="202"/>
  <c r="AS1700" i="202"/>
  <c r="AS1701" i="202"/>
  <c r="AS1702" i="202"/>
  <c r="AS1703" i="202"/>
  <c r="AS1704" i="202"/>
  <c r="AS1705" i="202"/>
  <c r="AS1706" i="202"/>
  <c r="AS1707" i="202"/>
  <c r="AS1708" i="202"/>
  <c r="AS1709" i="202"/>
  <c r="AS1710" i="202"/>
  <c r="AS1711" i="202"/>
  <c r="AS1712" i="202"/>
  <c r="AS1713" i="202"/>
  <c r="AS1714" i="202"/>
  <c r="AS1715" i="202"/>
  <c r="AS1716" i="202"/>
  <c r="AS1717" i="202"/>
  <c r="AS1718" i="202"/>
  <c r="AS1719" i="202"/>
  <c r="AS1720" i="202"/>
  <c r="AS1721" i="202"/>
  <c r="AS1722" i="202"/>
  <c r="AS1723" i="202"/>
  <c r="AS1724" i="202"/>
  <c r="AS1725" i="202"/>
  <c r="AS1726" i="202"/>
  <c r="AS1727" i="202"/>
  <c r="AS1728" i="202"/>
  <c r="AS1729" i="202"/>
  <c r="AS1730" i="202"/>
  <c r="AS1731" i="202"/>
  <c r="AS1732" i="202"/>
  <c r="AS1733" i="202"/>
  <c r="AS1734" i="202"/>
  <c r="AS1735" i="202"/>
  <c r="AS1736" i="202"/>
  <c r="AS1737" i="202"/>
  <c r="AS1738" i="202"/>
  <c r="AS1739" i="202"/>
  <c r="AS1740" i="202"/>
  <c r="AS1741" i="202"/>
  <c r="AS1742" i="202"/>
  <c r="AS1743" i="202"/>
  <c r="AS1744" i="202"/>
  <c r="AS1745" i="202"/>
  <c r="AS1746" i="202"/>
  <c r="AS1747" i="202"/>
  <c r="AS1748" i="202"/>
  <c r="AS1749" i="202"/>
  <c r="AS1750" i="202"/>
  <c r="AS1751" i="202"/>
  <c r="AS1752" i="202"/>
  <c r="AS1753" i="202"/>
  <c r="AS1754" i="202"/>
  <c r="AS1755" i="202"/>
  <c r="AS1756" i="202"/>
  <c r="AS1757" i="202"/>
  <c r="AS1758" i="202"/>
  <c r="AS1759" i="202"/>
  <c r="AS1760" i="202"/>
  <c r="AS1761" i="202"/>
  <c r="AS1762" i="202"/>
  <c r="AS1763" i="202"/>
  <c r="AS1764" i="202"/>
  <c r="AS1765" i="202"/>
  <c r="AS1766" i="202"/>
  <c r="AS1767" i="202"/>
  <c r="AS1768" i="202"/>
  <c r="AS1769" i="202"/>
  <c r="AS1770" i="202"/>
  <c r="AS1771" i="202"/>
  <c r="AS1772" i="202"/>
  <c r="AS1773" i="202"/>
  <c r="AS1774" i="202"/>
  <c r="AS1775" i="202"/>
  <c r="AS1776" i="202"/>
  <c r="AS1777" i="202"/>
  <c r="AS1778" i="202"/>
  <c r="AS1779" i="202"/>
  <c r="AS1780" i="202"/>
  <c r="AS1781" i="202"/>
  <c r="AS1782" i="202"/>
  <c r="AS1783" i="202"/>
  <c r="AS1784" i="202"/>
  <c r="AS1785" i="202"/>
  <c r="AS1786" i="202"/>
  <c r="AS1787" i="202"/>
  <c r="AS1788" i="202"/>
  <c r="AS1789" i="202"/>
  <c r="AS1790" i="202"/>
  <c r="AS1791" i="202"/>
  <c r="AS1792" i="202"/>
  <c r="AS1793" i="202"/>
  <c r="AS1794" i="202"/>
  <c r="AS1795" i="202"/>
  <c r="AS1796" i="202"/>
  <c r="AS1797" i="202"/>
  <c r="AS1798" i="202"/>
  <c r="AS1799" i="202"/>
  <c r="AS1800" i="202"/>
  <c r="AS1801" i="202"/>
  <c r="AS1802" i="202"/>
  <c r="AS1803" i="202"/>
  <c r="AS1804" i="202"/>
  <c r="AS1805" i="202"/>
  <c r="AS1806" i="202"/>
  <c r="AS1807" i="202"/>
  <c r="AS1808" i="202"/>
  <c r="AS1809" i="202"/>
  <c r="AS1810" i="202"/>
  <c r="AS1811" i="202"/>
  <c r="AS1812" i="202"/>
  <c r="AS1813" i="202"/>
  <c r="AS1814" i="202"/>
  <c r="AS1815" i="202"/>
  <c r="AS1816" i="202"/>
  <c r="AS1817" i="202"/>
  <c r="AS1818" i="202"/>
  <c r="AS1819" i="202"/>
  <c r="AS1820" i="202"/>
  <c r="AS1821" i="202"/>
  <c r="AS1822" i="202"/>
  <c r="AS1823" i="202"/>
  <c r="AS1824" i="202"/>
  <c r="AS1825" i="202"/>
  <c r="AS1826" i="202"/>
  <c r="AS1827" i="202"/>
  <c r="AS1828" i="202"/>
  <c r="AS1829" i="202"/>
  <c r="AS1830" i="202"/>
  <c r="AS1831" i="202"/>
  <c r="AS1832" i="202"/>
  <c r="AS1833" i="202"/>
  <c r="AS1834" i="202"/>
  <c r="AS1835" i="202"/>
  <c r="AS1836" i="202"/>
  <c r="AS1837" i="202"/>
  <c r="AS1838" i="202"/>
  <c r="AS1839" i="202"/>
  <c r="AS1840" i="202"/>
  <c r="AS1841" i="202"/>
  <c r="AS1842" i="202"/>
  <c r="AS1843" i="202"/>
  <c r="AS1844" i="202"/>
  <c r="AS1845" i="202"/>
  <c r="AS1846" i="202"/>
  <c r="AS1847" i="202"/>
  <c r="AS1848" i="202"/>
  <c r="AS1849" i="202"/>
  <c r="AS1850" i="202"/>
  <c r="AS1851" i="202"/>
  <c r="AS1852" i="202"/>
  <c r="AS1853" i="202"/>
  <c r="AS1854" i="202"/>
  <c r="AS1855" i="202"/>
  <c r="AS1856" i="202"/>
  <c r="AS1857" i="202"/>
  <c r="AS1858" i="202"/>
  <c r="AS1859" i="202"/>
  <c r="AS1860" i="202"/>
  <c r="AS1861" i="202"/>
  <c r="AS1862" i="202"/>
  <c r="AS1863" i="202"/>
  <c r="AS1864" i="202"/>
  <c r="AS1865" i="202"/>
  <c r="AS1866" i="202"/>
  <c r="AS1867" i="202"/>
  <c r="AS1868" i="202"/>
  <c r="AS1869" i="202"/>
  <c r="AS1870" i="202"/>
  <c r="AS1871" i="202"/>
  <c r="AS1872" i="202"/>
  <c r="AS1873" i="202"/>
  <c r="AS1874" i="202"/>
  <c r="AS1875" i="202"/>
  <c r="AS1876" i="202"/>
  <c r="AS1877" i="202"/>
  <c r="AS1878" i="202"/>
  <c r="AS1879" i="202"/>
  <c r="AS1880" i="202"/>
  <c r="AS1881" i="202"/>
  <c r="AS1882" i="202"/>
  <c r="AS1883" i="202"/>
  <c r="AS1884" i="202"/>
  <c r="AS1885" i="202"/>
  <c r="AS1886" i="202"/>
  <c r="AS1887" i="202"/>
  <c r="AS1888" i="202"/>
  <c r="AS1889" i="202"/>
  <c r="AS1890" i="202"/>
  <c r="AS1891" i="202"/>
  <c r="AS1892" i="202"/>
  <c r="AS1893" i="202"/>
  <c r="AS1894" i="202"/>
  <c r="AS1895" i="202"/>
  <c r="AS1896" i="202"/>
  <c r="AS1897" i="202"/>
  <c r="AS1898" i="202"/>
  <c r="AS1899" i="202"/>
  <c r="AS1900" i="202"/>
  <c r="AS1901" i="202"/>
  <c r="AS1902" i="202"/>
  <c r="AS1903" i="202"/>
  <c r="AS1904" i="202"/>
  <c r="AS1905" i="202"/>
  <c r="AS1906" i="202"/>
  <c r="AS1907" i="202"/>
  <c r="AS1908" i="202"/>
  <c r="AS1909" i="202"/>
  <c r="AS1910" i="202"/>
  <c r="AS1911" i="202"/>
  <c r="AS1912" i="202"/>
  <c r="AS1913" i="202"/>
  <c r="AS1914" i="202"/>
  <c r="AS1915" i="202"/>
  <c r="AS1916" i="202"/>
  <c r="AS1917" i="202"/>
  <c r="AS1918" i="202"/>
  <c r="AS1919" i="202"/>
  <c r="AS1920" i="202"/>
  <c r="AS1921" i="202"/>
  <c r="AS1922" i="202"/>
  <c r="AS1923" i="202"/>
  <c r="AS1924" i="202"/>
  <c r="AS1925" i="202"/>
  <c r="AS1926" i="202"/>
  <c r="AS1927" i="202"/>
  <c r="AS1928" i="202"/>
  <c r="AS1929" i="202"/>
  <c r="AS1930" i="202"/>
  <c r="AS1931" i="202"/>
  <c r="AS1932" i="202"/>
  <c r="AS1933" i="202"/>
  <c r="AS1934" i="202"/>
  <c r="AS1935" i="202"/>
  <c r="AS1936" i="202"/>
  <c r="AS1937" i="202"/>
  <c r="AS1938" i="202"/>
  <c r="AS1939" i="202"/>
  <c r="AS1940" i="202"/>
  <c r="AS1941" i="202"/>
  <c r="AS1942" i="202"/>
  <c r="AS1943" i="202"/>
  <c r="AS1944" i="202"/>
  <c r="AS1945" i="202"/>
  <c r="AS1946" i="202"/>
  <c r="AS1947" i="202"/>
  <c r="AS1948" i="202"/>
  <c r="AS1949" i="202"/>
  <c r="AS1950" i="202"/>
  <c r="AS1951" i="202"/>
  <c r="AS1952" i="202"/>
  <c r="AS1953" i="202"/>
  <c r="AS1954" i="202"/>
  <c r="AS1955" i="202"/>
  <c r="AS1956" i="202"/>
  <c r="AS1957" i="202"/>
  <c r="AS1958" i="202"/>
  <c r="AS1959" i="202"/>
  <c r="AS1960" i="202"/>
  <c r="AS1961" i="202"/>
  <c r="AS1962" i="202"/>
  <c r="AS1963" i="202"/>
  <c r="AS1964" i="202"/>
  <c r="AS1965" i="202"/>
  <c r="AS1966" i="202"/>
  <c r="AS1967" i="202"/>
  <c r="AS1968" i="202"/>
  <c r="AS1969" i="202"/>
  <c r="AS1970" i="202"/>
  <c r="AS1971" i="202"/>
  <c r="AS1972" i="202"/>
  <c r="AS1973" i="202"/>
  <c r="AS1974" i="202"/>
  <c r="AS1975" i="202"/>
  <c r="AS1976" i="202"/>
  <c r="AS1977" i="202"/>
  <c r="AS1978" i="202"/>
  <c r="AS1979" i="202"/>
  <c r="AS1980" i="202"/>
  <c r="AS1981" i="202"/>
  <c r="AS1982" i="202"/>
  <c r="AS1983" i="202"/>
  <c r="AS1984" i="202"/>
  <c r="AS1985" i="202"/>
  <c r="AS1986" i="202"/>
  <c r="AS1987" i="202"/>
  <c r="AS1988" i="202"/>
  <c r="AS1989" i="202"/>
  <c r="AS1990" i="202"/>
  <c r="AS1991" i="202"/>
  <c r="AS1992" i="202"/>
  <c r="AS1993" i="202"/>
  <c r="AS1994" i="202"/>
  <c r="AS1995" i="202"/>
  <c r="AS1996" i="202"/>
  <c r="AS1997" i="202"/>
  <c r="AS1998" i="202"/>
  <c r="AS1999" i="202"/>
  <c r="AS2000" i="202"/>
  <c r="AS2001" i="202"/>
  <c r="AS2002" i="202"/>
  <c r="AS2003" i="202"/>
  <c r="AS2004" i="202"/>
  <c r="AS2005" i="202"/>
  <c r="AS2006" i="202"/>
  <c r="AS2007" i="202"/>
  <c r="AS2008" i="202"/>
  <c r="AS2009" i="202"/>
  <c r="AS2010" i="202"/>
  <c r="AS2011" i="202"/>
  <c r="AS2012" i="202"/>
  <c r="AS2013" i="202"/>
  <c r="AS2014" i="202"/>
  <c r="AS2015" i="202"/>
  <c r="AS2016" i="202"/>
  <c r="AS2017" i="202"/>
  <c r="AS2018" i="202"/>
  <c r="AS2019" i="202"/>
  <c r="AS2020" i="202"/>
  <c r="AS2021" i="202"/>
  <c r="AS2022" i="202"/>
  <c r="AS2023" i="202"/>
  <c r="AS2024" i="202"/>
  <c r="AS2025" i="202"/>
  <c r="AS2026" i="202"/>
  <c r="AS2027" i="202"/>
  <c r="AS2028" i="202"/>
  <c r="AS2029" i="202"/>
  <c r="AS2030" i="202"/>
  <c r="AS2031" i="202"/>
  <c r="AS2032" i="202"/>
  <c r="AS2033" i="202"/>
  <c r="AS2034" i="202"/>
  <c r="AS2035" i="202"/>
  <c r="AS2036" i="202"/>
  <c r="AS2037" i="202"/>
  <c r="AS2038" i="202"/>
  <c r="AS2039" i="202"/>
  <c r="AS2040" i="202"/>
  <c r="AS2041" i="202"/>
  <c r="AS2042" i="202"/>
  <c r="AS2043" i="202"/>
  <c r="AS2044" i="202"/>
  <c r="AS2045" i="202"/>
  <c r="AS2046" i="202"/>
  <c r="AS2047" i="202"/>
  <c r="AS2048" i="202"/>
  <c r="AE2" i="202"/>
  <c r="AE3" i="202"/>
  <c r="AE4" i="202"/>
  <c r="AE5" i="202"/>
  <c r="AE6" i="202"/>
  <c r="AE7" i="202"/>
  <c r="AE8" i="202"/>
  <c r="AE9" i="202"/>
  <c r="AE10" i="202"/>
  <c r="AE11" i="202"/>
  <c r="AE12" i="202"/>
  <c r="AE13" i="202"/>
  <c r="AE14" i="202"/>
  <c r="AE15" i="202"/>
  <c r="AE16" i="202"/>
  <c r="AE17" i="202"/>
  <c r="AE18" i="202"/>
  <c r="AE19" i="202"/>
  <c r="AE20" i="202"/>
  <c r="AE21" i="202"/>
  <c r="AE22" i="202"/>
  <c r="AE23" i="202"/>
  <c r="AE24" i="202"/>
  <c r="AE25" i="202"/>
  <c r="AE26" i="202"/>
  <c r="AE27" i="202"/>
  <c r="AE28" i="202"/>
  <c r="AE29" i="202"/>
  <c r="AE30" i="202"/>
  <c r="AE31" i="202"/>
  <c r="AE32" i="202"/>
  <c r="AE33" i="202"/>
  <c r="AE34" i="202"/>
  <c r="AE35" i="202"/>
  <c r="AE36" i="202"/>
  <c r="AE37" i="202"/>
  <c r="AE38" i="202"/>
  <c r="AE39" i="202"/>
  <c r="AE40" i="202"/>
  <c r="AE41" i="202"/>
  <c r="AE42" i="202"/>
  <c r="AE43" i="202"/>
  <c r="AE44" i="202"/>
  <c r="AE45" i="202"/>
  <c r="AE46" i="202"/>
  <c r="AE47" i="202"/>
  <c r="AE48" i="202"/>
  <c r="AE49" i="202"/>
  <c r="AE50" i="202"/>
  <c r="AE51" i="202"/>
  <c r="AE52" i="202"/>
  <c r="AE53" i="202"/>
  <c r="AE54" i="202"/>
  <c r="AE55" i="202"/>
  <c r="AE56" i="202"/>
  <c r="AE57" i="202"/>
  <c r="AE58" i="202"/>
  <c r="AE59" i="202"/>
  <c r="AE60" i="202"/>
  <c r="AE61" i="202"/>
  <c r="AE62" i="202"/>
  <c r="AE63" i="202"/>
  <c r="AE64" i="202"/>
  <c r="AE65" i="202"/>
  <c r="AE66" i="202"/>
  <c r="AE67" i="202"/>
  <c r="AE68" i="202"/>
  <c r="AE69" i="202"/>
  <c r="AE70" i="202"/>
  <c r="AE71" i="202"/>
  <c r="AE72" i="202"/>
  <c r="AE73" i="202"/>
  <c r="AE74" i="202"/>
  <c r="AE75" i="202"/>
  <c r="AE76" i="202"/>
  <c r="AE77" i="202"/>
  <c r="AE78" i="202"/>
  <c r="AE79" i="202"/>
  <c r="AE80" i="202"/>
  <c r="AE81" i="202"/>
  <c r="AE82" i="202"/>
  <c r="AE83" i="202"/>
  <c r="AE84" i="202"/>
  <c r="AE85" i="202"/>
  <c r="AE86" i="202"/>
  <c r="AE87" i="202"/>
  <c r="AE88" i="202"/>
  <c r="AE89" i="202"/>
  <c r="AE90" i="202"/>
  <c r="AE91" i="202"/>
  <c r="AE92" i="202"/>
  <c r="AE93" i="202"/>
  <c r="AE94" i="202"/>
  <c r="AE95" i="202"/>
  <c r="AE96" i="202"/>
  <c r="AE97" i="202"/>
  <c r="AE98" i="202"/>
  <c r="AE99" i="202"/>
  <c r="AE100" i="202"/>
  <c r="AE101" i="202"/>
  <c r="AE102" i="202"/>
  <c r="AE103" i="202"/>
  <c r="AE104" i="202"/>
  <c r="AE105" i="202"/>
  <c r="AE106" i="202"/>
  <c r="AE107" i="202"/>
  <c r="AE108" i="202"/>
  <c r="AE109" i="202"/>
  <c r="AE110" i="202"/>
  <c r="AE111" i="202"/>
  <c r="AE112" i="202"/>
  <c r="AE113" i="202"/>
  <c r="AE114" i="202"/>
  <c r="AE115" i="202"/>
  <c r="AE116" i="202"/>
  <c r="AE117" i="202"/>
  <c r="AE118" i="202"/>
  <c r="AE119" i="202"/>
  <c r="AE120" i="202"/>
  <c r="AE121" i="202"/>
  <c r="AE122" i="202"/>
  <c r="AE123" i="202"/>
  <c r="AE124" i="202"/>
  <c r="AE125" i="202"/>
  <c r="AE126" i="202"/>
  <c r="AE127" i="202"/>
  <c r="AE128" i="202"/>
  <c r="AE129" i="202"/>
  <c r="AE130" i="202"/>
  <c r="AE131" i="202"/>
  <c r="AE132" i="202"/>
  <c r="AE133" i="202"/>
  <c r="AE134" i="202"/>
  <c r="AE135" i="202"/>
  <c r="AE136" i="202"/>
  <c r="AE137" i="202"/>
  <c r="AE138" i="202"/>
  <c r="AE139" i="202"/>
  <c r="AE140" i="202"/>
  <c r="AE141" i="202"/>
  <c r="AE142" i="202"/>
  <c r="AE143" i="202"/>
  <c r="AE144" i="202"/>
  <c r="AE145" i="202"/>
  <c r="AE146" i="202"/>
  <c r="AE147" i="202"/>
  <c r="AE148" i="202"/>
  <c r="AE149" i="202"/>
  <c r="AE150" i="202"/>
  <c r="AE151" i="202"/>
  <c r="AE152" i="202"/>
  <c r="AE153" i="202"/>
  <c r="AE154" i="202"/>
  <c r="AE155" i="202"/>
  <c r="AE156" i="202"/>
  <c r="AE157" i="202"/>
  <c r="AE158" i="202"/>
  <c r="AE159" i="202"/>
  <c r="AE160" i="202"/>
  <c r="AE161" i="202"/>
  <c r="AE162" i="202"/>
  <c r="AE163" i="202"/>
  <c r="AE164" i="202"/>
  <c r="AE165" i="202"/>
  <c r="AE166" i="202"/>
  <c r="AE167" i="202"/>
  <c r="AE168" i="202"/>
  <c r="AE169" i="202"/>
  <c r="AE170" i="202"/>
  <c r="AE171" i="202"/>
  <c r="AE172" i="202"/>
  <c r="AE173" i="202"/>
  <c r="AE174" i="202"/>
  <c r="AE175" i="202"/>
  <c r="AE176" i="202"/>
  <c r="AE177" i="202"/>
  <c r="AE178" i="202"/>
  <c r="AE179" i="202"/>
  <c r="AE180" i="202"/>
  <c r="AE181" i="202"/>
  <c r="AE182" i="202"/>
  <c r="AE183" i="202"/>
  <c r="AE184" i="202"/>
  <c r="AE185" i="202"/>
  <c r="AE186" i="202"/>
  <c r="AE187" i="202"/>
  <c r="AE188" i="202"/>
  <c r="AE189" i="202"/>
  <c r="AE190" i="202"/>
  <c r="AE191" i="202"/>
  <c r="AE192" i="202"/>
  <c r="AE193" i="202"/>
  <c r="AE194" i="202"/>
  <c r="AE195" i="202"/>
  <c r="AE196" i="202"/>
  <c r="AE197" i="202"/>
  <c r="AE198" i="202"/>
  <c r="AE199" i="202"/>
  <c r="AE200" i="202"/>
  <c r="AE201" i="202"/>
  <c r="AE202" i="202"/>
  <c r="AE203" i="202"/>
  <c r="AE204" i="202"/>
  <c r="AE205" i="202"/>
  <c r="AE206" i="202"/>
  <c r="AE207" i="202"/>
  <c r="AE208" i="202"/>
  <c r="AE209" i="202"/>
  <c r="AE210" i="202"/>
  <c r="AE211" i="202"/>
  <c r="AE212" i="202"/>
  <c r="AE213" i="202"/>
  <c r="AE214" i="202"/>
  <c r="AE215" i="202"/>
  <c r="AE216" i="202"/>
  <c r="AE217" i="202"/>
  <c r="AE218" i="202"/>
  <c r="AE219" i="202"/>
  <c r="AE220" i="202"/>
  <c r="AE221" i="202"/>
  <c r="AE222" i="202"/>
  <c r="AE223" i="202"/>
  <c r="AE224" i="202"/>
  <c r="AE225" i="202"/>
  <c r="AE226" i="202"/>
  <c r="AE227" i="202"/>
  <c r="AE228" i="202"/>
  <c r="AE229" i="202"/>
  <c r="AE230" i="202"/>
  <c r="AE231" i="202"/>
  <c r="AE232" i="202"/>
  <c r="AE233" i="202"/>
  <c r="AE234" i="202"/>
  <c r="AE235" i="202"/>
  <c r="AE236" i="202"/>
  <c r="AE237" i="202"/>
  <c r="AE238" i="202"/>
  <c r="AE239" i="202"/>
  <c r="AE240" i="202"/>
  <c r="AE241" i="202"/>
  <c r="AE242" i="202"/>
  <c r="AE243" i="202"/>
  <c r="AE244" i="202"/>
  <c r="AE245" i="202"/>
  <c r="AE246" i="202"/>
  <c r="AE247" i="202"/>
  <c r="AE248" i="202"/>
  <c r="AE249" i="202"/>
  <c r="AE250" i="202"/>
  <c r="AE251" i="202"/>
  <c r="AE252" i="202"/>
  <c r="AE253" i="202"/>
  <c r="AE254" i="202"/>
  <c r="AE255" i="202"/>
  <c r="AE256" i="202"/>
  <c r="AE257" i="202"/>
  <c r="AE258" i="202"/>
  <c r="AE259" i="202"/>
  <c r="AE260" i="202"/>
  <c r="AE261" i="202"/>
  <c r="AE262" i="202"/>
  <c r="AE263" i="202"/>
  <c r="AE264" i="202"/>
  <c r="AE265" i="202"/>
  <c r="AE266" i="202"/>
  <c r="AE267" i="202"/>
  <c r="AE268" i="202"/>
  <c r="AE269" i="202"/>
  <c r="AE270" i="202"/>
  <c r="AE271" i="202"/>
  <c r="AE272" i="202"/>
  <c r="AE273" i="202"/>
  <c r="AE274" i="202"/>
  <c r="AE275" i="202"/>
  <c r="AE276" i="202"/>
  <c r="AE277" i="202"/>
  <c r="AE278" i="202"/>
  <c r="AE279" i="202"/>
  <c r="AE280" i="202"/>
  <c r="AE281" i="202"/>
  <c r="AE282" i="202"/>
  <c r="AE283" i="202"/>
  <c r="AE284" i="202"/>
  <c r="AE285" i="202"/>
  <c r="AE286" i="202"/>
  <c r="AE287" i="202"/>
  <c r="AE288" i="202"/>
  <c r="AE289" i="202"/>
  <c r="AE290" i="202"/>
  <c r="AE291" i="202"/>
  <c r="AE292" i="202"/>
  <c r="AE293" i="202"/>
  <c r="AE294" i="202"/>
  <c r="AE295" i="202"/>
  <c r="AE296" i="202"/>
  <c r="AE297" i="202"/>
  <c r="AE298" i="202"/>
  <c r="AE299" i="202"/>
  <c r="AE300" i="202"/>
  <c r="AE301" i="202"/>
  <c r="AE302" i="202"/>
  <c r="AE303" i="202"/>
  <c r="AE304" i="202"/>
  <c r="AE305" i="202"/>
  <c r="AE306" i="202"/>
  <c r="AE307" i="202"/>
  <c r="AE308" i="202"/>
  <c r="AE309" i="202"/>
  <c r="AE310" i="202"/>
  <c r="AE311" i="202"/>
  <c r="AE312" i="202"/>
  <c r="AE313" i="202"/>
  <c r="AE314" i="202"/>
  <c r="AE315" i="202"/>
  <c r="AE316" i="202"/>
  <c r="AE317" i="202"/>
  <c r="AE318" i="202"/>
  <c r="AE319" i="202"/>
  <c r="AE320" i="202"/>
  <c r="AE321" i="202"/>
  <c r="AE322" i="202"/>
  <c r="AE323" i="202"/>
  <c r="AE324" i="202"/>
  <c r="AE325" i="202"/>
  <c r="AE326" i="202"/>
  <c r="AE327" i="202"/>
  <c r="AE328" i="202"/>
  <c r="AE329" i="202"/>
  <c r="AE330" i="202"/>
  <c r="AE331" i="202"/>
  <c r="AE332" i="202"/>
  <c r="AE333" i="202"/>
  <c r="AE334" i="202"/>
  <c r="AE335" i="202"/>
  <c r="AE336" i="202"/>
  <c r="AE337" i="202"/>
  <c r="AE338" i="202"/>
  <c r="AE339" i="202"/>
  <c r="AE340" i="202"/>
  <c r="AE341" i="202"/>
  <c r="AE342" i="202"/>
  <c r="AE343" i="202"/>
  <c r="AE344" i="202"/>
  <c r="AE345" i="202"/>
  <c r="AE346" i="202"/>
  <c r="AE347" i="202"/>
  <c r="AE348" i="202"/>
  <c r="AE349" i="202"/>
  <c r="AE350" i="202"/>
  <c r="AE351" i="202"/>
  <c r="AE352" i="202"/>
  <c r="AE353" i="202"/>
  <c r="AE354" i="202"/>
  <c r="AE355" i="202"/>
  <c r="AE356" i="202"/>
  <c r="AE357" i="202"/>
  <c r="AE358" i="202"/>
  <c r="AE359" i="202"/>
  <c r="AE360" i="202"/>
  <c r="AE361" i="202"/>
  <c r="AE362" i="202"/>
  <c r="AE363" i="202"/>
  <c r="AE364" i="202"/>
  <c r="AE365" i="202"/>
  <c r="AE366" i="202"/>
  <c r="AE367" i="202"/>
  <c r="AE368" i="202"/>
  <c r="AE369" i="202"/>
  <c r="AE370" i="202"/>
  <c r="AE371" i="202"/>
  <c r="AE372" i="202"/>
  <c r="AE373" i="202"/>
  <c r="AE374" i="202"/>
  <c r="AE375" i="202"/>
  <c r="AE376" i="202"/>
  <c r="AE377" i="202"/>
  <c r="AE378" i="202"/>
  <c r="AE379" i="202"/>
  <c r="AE380" i="202"/>
  <c r="AE381" i="202"/>
  <c r="AE382" i="202"/>
  <c r="AE383" i="202"/>
  <c r="AE384" i="202"/>
  <c r="AE385" i="202"/>
  <c r="AE386" i="202"/>
  <c r="AE387" i="202"/>
  <c r="AE388" i="202"/>
  <c r="AE389" i="202"/>
  <c r="AE390" i="202"/>
  <c r="AE391" i="202"/>
  <c r="AE392" i="202"/>
  <c r="AE393" i="202"/>
  <c r="AE394" i="202"/>
  <c r="AE395" i="202"/>
  <c r="AE396" i="202"/>
  <c r="AE397" i="202"/>
  <c r="AE398" i="202"/>
  <c r="AE399" i="202"/>
  <c r="AE400" i="202"/>
  <c r="AE401" i="202"/>
  <c r="AE402" i="202"/>
  <c r="AE403" i="202"/>
  <c r="AE404" i="202"/>
  <c r="AE405" i="202"/>
  <c r="AE406" i="202"/>
  <c r="AE407" i="202"/>
  <c r="AE408" i="202"/>
  <c r="AE409" i="202"/>
  <c r="AE410" i="202"/>
  <c r="AE411" i="202"/>
  <c r="AE412" i="202"/>
  <c r="AE413" i="202"/>
  <c r="AE414" i="202"/>
  <c r="AE415" i="202"/>
  <c r="AE416" i="202"/>
  <c r="AE417" i="202"/>
  <c r="AE418" i="202"/>
  <c r="AE419" i="202"/>
  <c r="AE420" i="202"/>
  <c r="AE421" i="202"/>
  <c r="AE422" i="202"/>
  <c r="AE423" i="202"/>
  <c r="AE424" i="202"/>
  <c r="AE425" i="202"/>
  <c r="AE426" i="202"/>
  <c r="AE427" i="202"/>
  <c r="AE428" i="202"/>
  <c r="AE429" i="202"/>
  <c r="AE430" i="202"/>
  <c r="AE431" i="202"/>
  <c r="AE432" i="202"/>
  <c r="AE433" i="202"/>
  <c r="AE434" i="202"/>
  <c r="AE435" i="202"/>
  <c r="AE436" i="202"/>
  <c r="AE437" i="202"/>
  <c r="AE438" i="202"/>
  <c r="AE439" i="202"/>
  <c r="AE440" i="202"/>
  <c r="AE441" i="202"/>
  <c r="AE442" i="202"/>
  <c r="AE443" i="202"/>
  <c r="AE444" i="202"/>
  <c r="AE445" i="202"/>
  <c r="AE446" i="202"/>
  <c r="AE447" i="202"/>
  <c r="AE448" i="202"/>
  <c r="AE449" i="202"/>
  <c r="AE450" i="202"/>
  <c r="AE451" i="202"/>
  <c r="AE452" i="202"/>
  <c r="AE453" i="202"/>
  <c r="AE454" i="202"/>
  <c r="AE455" i="202"/>
  <c r="AE456" i="202"/>
  <c r="AE457" i="202"/>
  <c r="AE458" i="202"/>
  <c r="AE459" i="202"/>
  <c r="AE460" i="202"/>
  <c r="AE461" i="202"/>
  <c r="AE462" i="202"/>
  <c r="AE463" i="202"/>
  <c r="AE464" i="202"/>
  <c r="AE465" i="202"/>
  <c r="AE466" i="202"/>
  <c r="AE467" i="202"/>
  <c r="AE468" i="202"/>
  <c r="AE469" i="202"/>
  <c r="AE470" i="202"/>
  <c r="AE471" i="202"/>
  <c r="AE472" i="202"/>
  <c r="AE473" i="202"/>
  <c r="AE474" i="202"/>
  <c r="AE475" i="202"/>
  <c r="AE476" i="202"/>
  <c r="AE477" i="202"/>
  <c r="AE478" i="202"/>
  <c r="AE479" i="202"/>
  <c r="AE480" i="202"/>
  <c r="AE481" i="202"/>
  <c r="AE482" i="202"/>
  <c r="AE483" i="202"/>
  <c r="AE484" i="202"/>
  <c r="AE485" i="202"/>
  <c r="AE486" i="202"/>
  <c r="AE487" i="202"/>
  <c r="AE488" i="202"/>
  <c r="AE489" i="202"/>
  <c r="AE490" i="202"/>
  <c r="AE491" i="202"/>
  <c r="AE492" i="202"/>
  <c r="AE493" i="202"/>
  <c r="AE494" i="202"/>
  <c r="AE495" i="202"/>
  <c r="AE496" i="202"/>
  <c r="AE497" i="202"/>
  <c r="AE498" i="202"/>
  <c r="AE499" i="202"/>
  <c r="AE500" i="202"/>
  <c r="AE501" i="202"/>
  <c r="AE502" i="202"/>
  <c r="AE503" i="202"/>
  <c r="AE504" i="202"/>
  <c r="AE505" i="202"/>
  <c r="AE506" i="202"/>
  <c r="AE507" i="202"/>
  <c r="AE508" i="202"/>
  <c r="AE509" i="202"/>
  <c r="AE510" i="202"/>
  <c r="AE511" i="202"/>
  <c r="AE512" i="202"/>
  <c r="AE513" i="202"/>
  <c r="AE514" i="202"/>
  <c r="AE515" i="202"/>
  <c r="AE516" i="202"/>
  <c r="AE517" i="202"/>
  <c r="AE518" i="202"/>
  <c r="AE519" i="202"/>
  <c r="AE520" i="202"/>
  <c r="AE521" i="202"/>
  <c r="AE522" i="202"/>
  <c r="AE523" i="202"/>
  <c r="AE524" i="202"/>
  <c r="AE525" i="202"/>
  <c r="AE526" i="202"/>
  <c r="AE527" i="202"/>
  <c r="AE528" i="202"/>
  <c r="AE529" i="202"/>
  <c r="AE530" i="202"/>
  <c r="AE531" i="202"/>
  <c r="AE532" i="202"/>
  <c r="AE533" i="202"/>
  <c r="AE534" i="202"/>
  <c r="AE535" i="202"/>
  <c r="AE536" i="202"/>
  <c r="AE537" i="202"/>
  <c r="AE538" i="202"/>
  <c r="AE539" i="202"/>
  <c r="AE540" i="202"/>
  <c r="AE541" i="202"/>
  <c r="AE542" i="202"/>
  <c r="AE543" i="202"/>
  <c r="AE544" i="202"/>
  <c r="AE545" i="202"/>
  <c r="AE546" i="202"/>
  <c r="AE547" i="202"/>
  <c r="AE548" i="202"/>
  <c r="AE549" i="202"/>
  <c r="AE550" i="202"/>
  <c r="AE551" i="202"/>
  <c r="AE552" i="202"/>
  <c r="AE553" i="202"/>
  <c r="AE554" i="202"/>
  <c r="AE555" i="202"/>
  <c r="AE556" i="202"/>
  <c r="AE557" i="202"/>
  <c r="AE558" i="202"/>
  <c r="AE559" i="202"/>
  <c r="AE560" i="202"/>
  <c r="AE561" i="202"/>
  <c r="AE562" i="202"/>
  <c r="AE563" i="202"/>
  <c r="AE564" i="202"/>
  <c r="AE565" i="202"/>
  <c r="AE566" i="202"/>
  <c r="AE567" i="202"/>
  <c r="AE568" i="202"/>
  <c r="AE569" i="202"/>
  <c r="AE570" i="202"/>
  <c r="AE571" i="202"/>
  <c r="AE572" i="202"/>
  <c r="AE573" i="202"/>
  <c r="AE574" i="202"/>
  <c r="AE575" i="202"/>
  <c r="AE576" i="202"/>
  <c r="AE577" i="202"/>
  <c r="AE578" i="202"/>
  <c r="AE579" i="202"/>
  <c r="AE580" i="202"/>
  <c r="AE581" i="202"/>
  <c r="AE582" i="202"/>
  <c r="AE583" i="202"/>
  <c r="AE584" i="202"/>
  <c r="AE585" i="202"/>
  <c r="AE586" i="202"/>
  <c r="AE587" i="202"/>
  <c r="AE588" i="202"/>
  <c r="AE589" i="202"/>
  <c r="AE590" i="202"/>
  <c r="AE591" i="202"/>
  <c r="AE592" i="202"/>
  <c r="AE593" i="202"/>
  <c r="AE594" i="202"/>
  <c r="AE595" i="202"/>
  <c r="AE596" i="202"/>
  <c r="AE597" i="202"/>
  <c r="AE598" i="202"/>
  <c r="AE599" i="202"/>
  <c r="AE600" i="202"/>
  <c r="AE601" i="202"/>
  <c r="AE602" i="202"/>
  <c r="AE603" i="202"/>
  <c r="AE604" i="202"/>
  <c r="AE605" i="202"/>
  <c r="AE606" i="202"/>
  <c r="AE607" i="202"/>
  <c r="AE608" i="202"/>
  <c r="AE609" i="202"/>
  <c r="AE610" i="202"/>
  <c r="AE611" i="202"/>
  <c r="AE612" i="202"/>
  <c r="AE613" i="202"/>
  <c r="AE614" i="202"/>
  <c r="AE615" i="202"/>
  <c r="AE616" i="202"/>
  <c r="AE617" i="202"/>
  <c r="AE618" i="202"/>
  <c r="AE619" i="202"/>
  <c r="AE620" i="202"/>
  <c r="AE621" i="202"/>
  <c r="AE622" i="202"/>
  <c r="AE623" i="202"/>
  <c r="AE624" i="202"/>
  <c r="AE625" i="202"/>
  <c r="AE626" i="202"/>
  <c r="AE627" i="202"/>
  <c r="AE628" i="202"/>
  <c r="AE629" i="202"/>
  <c r="AE630" i="202"/>
  <c r="AE631" i="202"/>
  <c r="AE632" i="202"/>
  <c r="AE633" i="202"/>
  <c r="AE634" i="202"/>
  <c r="AE635" i="202"/>
  <c r="AE636" i="202"/>
  <c r="AE637" i="202"/>
  <c r="AE638" i="202"/>
  <c r="AE639" i="202"/>
  <c r="AE640" i="202"/>
  <c r="AE641" i="202"/>
  <c r="AE642" i="202"/>
  <c r="AE643" i="202"/>
  <c r="AE644" i="202"/>
  <c r="AE645" i="202"/>
  <c r="AE646" i="202"/>
  <c r="AE647" i="202"/>
  <c r="AE648" i="202"/>
  <c r="AE649" i="202"/>
  <c r="AE650" i="202"/>
  <c r="AE651" i="202"/>
  <c r="AE652" i="202"/>
  <c r="AE653" i="202"/>
  <c r="AE654" i="202"/>
  <c r="AE655" i="202"/>
  <c r="AE656" i="202"/>
  <c r="AE657" i="202"/>
  <c r="AE658" i="202"/>
  <c r="AE659" i="202"/>
  <c r="AE660" i="202"/>
  <c r="AE661" i="202"/>
  <c r="AE662" i="202"/>
  <c r="AE663" i="202"/>
  <c r="AE664" i="202"/>
  <c r="AE665" i="202"/>
  <c r="AE666" i="202"/>
  <c r="AE667" i="202"/>
  <c r="AE668" i="202"/>
  <c r="AE669" i="202"/>
  <c r="AE670" i="202"/>
  <c r="AE671" i="202"/>
  <c r="AE672" i="202"/>
  <c r="AE673" i="202"/>
  <c r="AE674" i="202"/>
  <c r="AE675" i="202"/>
  <c r="AE676" i="202"/>
  <c r="AE677" i="202"/>
  <c r="AE678" i="202"/>
  <c r="AE679" i="202"/>
  <c r="AE680" i="202"/>
  <c r="AE681" i="202"/>
  <c r="AE682" i="202"/>
  <c r="AE683" i="202"/>
  <c r="AE684" i="202"/>
  <c r="AE685" i="202"/>
  <c r="AE686" i="202"/>
  <c r="AE687" i="202"/>
  <c r="AE688" i="202"/>
  <c r="AE689" i="202"/>
  <c r="AE690" i="202"/>
  <c r="AE691" i="202"/>
  <c r="AE692" i="202"/>
  <c r="AE693" i="202"/>
  <c r="AE694" i="202"/>
  <c r="AE695" i="202"/>
  <c r="AE696" i="202"/>
  <c r="AE697" i="202"/>
  <c r="AE698" i="202"/>
  <c r="AE699" i="202"/>
  <c r="AE700" i="202"/>
  <c r="AE701" i="202"/>
  <c r="AE702" i="202"/>
  <c r="AE703" i="202"/>
  <c r="AE704" i="202"/>
  <c r="AE705" i="202"/>
  <c r="AE706" i="202"/>
  <c r="AE707" i="202"/>
  <c r="AE708" i="202"/>
  <c r="AE709" i="202"/>
  <c r="AE710" i="202"/>
  <c r="AE711" i="202"/>
  <c r="AE712" i="202"/>
  <c r="AE713" i="202"/>
  <c r="AE714" i="202"/>
  <c r="AE715" i="202"/>
  <c r="AE716" i="202"/>
  <c r="AE717" i="202"/>
  <c r="AE718" i="202"/>
  <c r="AE719" i="202"/>
  <c r="AE720" i="202"/>
  <c r="AE721" i="202"/>
  <c r="AE722" i="202"/>
  <c r="AE723" i="202"/>
  <c r="AE724" i="202"/>
  <c r="AE725" i="202"/>
  <c r="AE726" i="202"/>
  <c r="AE727" i="202"/>
  <c r="AE728" i="202"/>
  <c r="AE729" i="202"/>
  <c r="AE730" i="202"/>
  <c r="AE731" i="202"/>
  <c r="AE732" i="202"/>
  <c r="AE733" i="202"/>
  <c r="AE734" i="202"/>
  <c r="AE735" i="202"/>
  <c r="AE736" i="202"/>
  <c r="AE737" i="202"/>
  <c r="AE738" i="202"/>
  <c r="AE739" i="202"/>
  <c r="AE740" i="202"/>
  <c r="AE741" i="202"/>
  <c r="AE742" i="202"/>
  <c r="AE743" i="202"/>
  <c r="AE744" i="202"/>
  <c r="AE745" i="202"/>
  <c r="AE746" i="202"/>
  <c r="AE747" i="202"/>
  <c r="AE748" i="202"/>
  <c r="AE749" i="202"/>
  <c r="AE750" i="202"/>
  <c r="AE751" i="202"/>
  <c r="AE752" i="202"/>
  <c r="AE753" i="202"/>
  <c r="AE754" i="202"/>
  <c r="AE755" i="202"/>
  <c r="AE756" i="202"/>
  <c r="AE757" i="202"/>
  <c r="AE758" i="202"/>
  <c r="AE759" i="202"/>
  <c r="AE760" i="202"/>
  <c r="AE761" i="202"/>
  <c r="AE762" i="202"/>
  <c r="AE763" i="202"/>
  <c r="AE764" i="202"/>
  <c r="AE765" i="202"/>
  <c r="AE766" i="202"/>
  <c r="AE767" i="202"/>
  <c r="AE768" i="202"/>
  <c r="AE769" i="202"/>
  <c r="AE770" i="202"/>
  <c r="AE771" i="202"/>
  <c r="AE772" i="202"/>
  <c r="AE773" i="202"/>
  <c r="AE774" i="202"/>
  <c r="AE775" i="202"/>
  <c r="AE776" i="202"/>
  <c r="AE777" i="202"/>
  <c r="AE778" i="202"/>
  <c r="AE779" i="202"/>
  <c r="AE780" i="202"/>
  <c r="AE781" i="202"/>
  <c r="AE782" i="202"/>
  <c r="AE783" i="202"/>
  <c r="AE784" i="202"/>
  <c r="AE785" i="202"/>
  <c r="AE786" i="202"/>
  <c r="AE787" i="202"/>
  <c r="AE788" i="202"/>
  <c r="AE789" i="202"/>
  <c r="AE790" i="202"/>
  <c r="AE791" i="202"/>
  <c r="AE792" i="202"/>
  <c r="AE793" i="202"/>
  <c r="AE794" i="202"/>
  <c r="AE795" i="202"/>
  <c r="AE796" i="202"/>
  <c r="AE797" i="202"/>
  <c r="AE798" i="202"/>
  <c r="AE799" i="202"/>
  <c r="AE800" i="202"/>
  <c r="AE801" i="202"/>
  <c r="AE802" i="202"/>
  <c r="AE803" i="202"/>
  <c r="AE804" i="202"/>
  <c r="AE805" i="202"/>
  <c r="AE806" i="202"/>
  <c r="AE807" i="202"/>
  <c r="AE808" i="202"/>
  <c r="AE809" i="202"/>
  <c r="AE810" i="202"/>
  <c r="AE811" i="202"/>
  <c r="AE812" i="202"/>
  <c r="AE813" i="202"/>
  <c r="AE814" i="202"/>
  <c r="AE815" i="202"/>
  <c r="AE816" i="202"/>
  <c r="AE817" i="202"/>
  <c r="AE818" i="202"/>
  <c r="AE819" i="202"/>
  <c r="AE820" i="202"/>
  <c r="AE821" i="202"/>
  <c r="AE822" i="202"/>
  <c r="AE823" i="202"/>
  <c r="AE824" i="202"/>
  <c r="AE825" i="202"/>
  <c r="AE826" i="202"/>
  <c r="AE827" i="202"/>
  <c r="AE828" i="202"/>
  <c r="AE829" i="202"/>
  <c r="AE830" i="202"/>
  <c r="AE831" i="202"/>
  <c r="AE832" i="202"/>
  <c r="AE833" i="202"/>
  <c r="AE834" i="202"/>
  <c r="AE835" i="202"/>
  <c r="AE836" i="202"/>
  <c r="AE837" i="202"/>
  <c r="AE838" i="202"/>
  <c r="AE839" i="202"/>
  <c r="AE840" i="202"/>
  <c r="AE841" i="202"/>
  <c r="AE842" i="202"/>
  <c r="AE843" i="202"/>
  <c r="AE844" i="202"/>
  <c r="AE845" i="202"/>
  <c r="AE846" i="202"/>
  <c r="AE847" i="202"/>
  <c r="AE848" i="202"/>
  <c r="AE849" i="202"/>
  <c r="AE850" i="202"/>
  <c r="AE851" i="202"/>
  <c r="AE852" i="202"/>
  <c r="AE853" i="202"/>
  <c r="AE854" i="202"/>
  <c r="AE855" i="202"/>
  <c r="AE856" i="202"/>
  <c r="AE857" i="202"/>
  <c r="AE858" i="202"/>
  <c r="AE859" i="202"/>
  <c r="AE860" i="202"/>
  <c r="AE861" i="202"/>
  <c r="AE862" i="202"/>
  <c r="AE863" i="202"/>
  <c r="AE864" i="202"/>
  <c r="AE865" i="202"/>
  <c r="AE866" i="202"/>
  <c r="AE867" i="202"/>
  <c r="AE868" i="202"/>
  <c r="AE869" i="202"/>
  <c r="AE870" i="202"/>
  <c r="AE871" i="202"/>
  <c r="AE872" i="202"/>
  <c r="AE873" i="202"/>
  <c r="AE874" i="202"/>
  <c r="AE875" i="202"/>
  <c r="AE876" i="202"/>
  <c r="AE877" i="202"/>
  <c r="AE878" i="202"/>
  <c r="AE879" i="202"/>
  <c r="AE880" i="202"/>
  <c r="AE881" i="202"/>
  <c r="AE882" i="202"/>
  <c r="AE883" i="202"/>
  <c r="AE884" i="202"/>
  <c r="AE885" i="202"/>
  <c r="AE886" i="202"/>
  <c r="AE887" i="202"/>
  <c r="AE888" i="202"/>
  <c r="AE889" i="202"/>
  <c r="AE890" i="202"/>
  <c r="AE891" i="202"/>
  <c r="AE892" i="202"/>
  <c r="AE893" i="202"/>
  <c r="AE894" i="202"/>
  <c r="AE895" i="202"/>
  <c r="AE896" i="202"/>
  <c r="AE897" i="202"/>
  <c r="AE898" i="202"/>
  <c r="AE899" i="202"/>
  <c r="AE900" i="202"/>
  <c r="AE901" i="202"/>
  <c r="AE902" i="202"/>
  <c r="AE903" i="202"/>
  <c r="AE904" i="202"/>
  <c r="AE905" i="202"/>
  <c r="AE906" i="202"/>
  <c r="AE907" i="202"/>
  <c r="AE908" i="202"/>
  <c r="AE909" i="202"/>
  <c r="AE910" i="202"/>
  <c r="AE911" i="202"/>
  <c r="AE912" i="202"/>
  <c r="AE913" i="202"/>
  <c r="AE914" i="202"/>
  <c r="AE915" i="202"/>
  <c r="AE916" i="202"/>
  <c r="AE917" i="202"/>
  <c r="AE918" i="202"/>
  <c r="AE919" i="202"/>
  <c r="AE920" i="202"/>
  <c r="AE921" i="202"/>
  <c r="AE922" i="202"/>
  <c r="AE923" i="202"/>
  <c r="AE924" i="202"/>
  <c r="AE925" i="202"/>
  <c r="AE926" i="202"/>
  <c r="AE927" i="202"/>
  <c r="AE928" i="202"/>
  <c r="AE929" i="202"/>
  <c r="AE930" i="202"/>
  <c r="AE931" i="202"/>
  <c r="AE932" i="202"/>
  <c r="AE933" i="202"/>
  <c r="AE934" i="202"/>
  <c r="AE935" i="202"/>
  <c r="AE936" i="202"/>
  <c r="AE937" i="202"/>
  <c r="AE938" i="202"/>
  <c r="AE939" i="202"/>
  <c r="AE940" i="202"/>
  <c r="AE941" i="202"/>
  <c r="AE942" i="202"/>
  <c r="AE943" i="202"/>
  <c r="AE944" i="202"/>
  <c r="AE945" i="202"/>
  <c r="AE946" i="202"/>
  <c r="AE947" i="202"/>
  <c r="AE948" i="202"/>
  <c r="AE949" i="202"/>
  <c r="AE950" i="202"/>
  <c r="AE951" i="202"/>
  <c r="AE952" i="202"/>
  <c r="AE953" i="202"/>
  <c r="AE954" i="202"/>
  <c r="AE955" i="202"/>
  <c r="AE956" i="202"/>
  <c r="AE957" i="202"/>
  <c r="AE958" i="202"/>
  <c r="AE959" i="202"/>
  <c r="AE960" i="202"/>
  <c r="AE961" i="202"/>
  <c r="AE962" i="202"/>
  <c r="AE963" i="202"/>
  <c r="AE964" i="202"/>
  <c r="AE965" i="202"/>
  <c r="AE966" i="202"/>
  <c r="AE967" i="202"/>
  <c r="AE968" i="202"/>
  <c r="AE969" i="202"/>
  <c r="AE970" i="202"/>
  <c r="AE971" i="202"/>
  <c r="AE972" i="202"/>
  <c r="AE973" i="202"/>
  <c r="AE974" i="202"/>
  <c r="AE975" i="202"/>
  <c r="AE976" i="202"/>
  <c r="AE977" i="202"/>
  <c r="AE978" i="202"/>
  <c r="AE979" i="202"/>
  <c r="AE980" i="202"/>
  <c r="AE981" i="202"/>
  <c r="AE982" i="202"/>
  <c r="AE983" i="202"/>
  <c r="AE984" i="202"/>
  <c r="AE985" i="202"/>
  <c r="AE986" i="202"/>
  <c r="AE987" i="202"/>
  <c r="AE988" i="202"/>
  <c r="AE989" i="202"/>
  <c r="AE990" i="202"/>
  <c r="AE991" i="202"/>
  <c r="AE992" i="202"/>
  <c r="AE993" i="202"/>
  <c r="AE994" i="202"/>
  <c r="AE995" i="202"/>
  <c r="AE996" i="202"/>
  <c r="AE997" i="202"/>
  <c r="AE998" i="202"/>
  <c r="AE999" i="202"/>
  <c r="AE1000" i="202"/>
  <c r="AE1001" i="202"/>
  <c r="AE1002" i="202"/>
  <c r="AE1003" i="202"/>
  <c r="AE1004" i="202"/>
  <c r="AE1005" i="202"/>
  <c r="AE1006" i="202"/>
  <c r="AE1007" i="202"/>
  <c r="AE1008" i="202"/>
  <c r="AE1009" i="202"/>
  <c r="AE1010" i="202"/>
  <c r="AE1011" i="202"/>
  <c r="AE1012" i="202"/>
  <c r="AE1013" i="202"/>
  <c r="AE1014" i="202"/>
  <c r="AE1015" i="202"/>
  <c r="AE1016" i="202"/>
  <c r="AE1017" i="202"/>
  <c r="AE1018" i="202"/>
  <c r="AE1019" i="202"/>
  <c r="AE1020" i="202"/>
  <c r="AE1021" i="202"/>
  <c r="AE1022" i="202"/>
  <c r="AE1023" i="202"/>
  <c r="AE1024" i="202"/>
  <c r="AE1025" i="202"/>
  <c r="AE1026" i="202"/>
  <c r="AE1027" i="202"/>
  <c r="AE1028" i="202"/>
  <c r="AE1029" i="202"/>
  <c r="AE1030" i="202"/>
  <c r="AE1031" i="202"/>
  <c r="AE1032" i="202"/>
  <c r="AE1033" i="202"/>
  <c r="AE1034" i="202"/>
  <c r="AE1035" i="202"/>
  <c r="AE1036" i="202"/>
  <c r="AE1037" i="202"/>
  <c r="AE1038" i="202"/>
  <c r="AE1039" i="202"/>
  <c r="AE1040" i="202"/>
  <c r="AE1041" i="202"/>
  <c r="AE1042" i="202"/>
  <c r="AE1043" i="202"/>
  <c r="AE1044" i="202"/>
  <c r="AE1045" i="202"/>
  <c r="AE1046" i="202"/>
  <c r="AE1047" i="202"/>
  <c r="AE1048" i="202"/>
  <c r="AE1049" i="202"/>
  <c r="AE1050" i="202"/>
  <c r="AE1051" i="202"/>
  <c r="AE1052" i="202"/>
  <c r="AE1053" i="202"/>
  <c r="AE1054" i="202"/>
  <c r="AE1055" i="202"/>
  <c r="AE1056" i="202"/>
  <c r="AE1057" i="202"/>
  <c r="AE1058" i="202"/>
  <c r="AE1059" i="202"/>
  <c r="AE1060" i="202"/>
  <c r="AE1061" i="202"/>
  <c r="AE1062" i="202"/>
  <c r="AE1063" i="202"/>
  <c r="AE1064" i="202"/>
  <c r="AE1065" i="202"/>
  <c r="AE1066" i="202"/>
  <c r="AE1067" i="202"/>
  <c r="AE1068" i="202"/>
  <c r="AE1069" i="202"/>
  <c r="AE1070" i="202"/>
  <c r="AE1071" i="202"/>
  <c r="AE1072" i="202"/>
  <c r="AE1073" i="202"/>
  <c r="AE1074" i="202"/>
  <c r="AE1075" i="202"/>
  <c r="AE1076" i="202"/>
  <c r="AE1077" i="202"/>
  <c r="AE1078" i="202"/>
  <c r="AE1079" i="202"/>
  <c r="AE1080" i="202"/>
  <c r="AE1081" i="202"/>
  <c r="AE1082" i="202"/>
  <c r="AE1083" i="202"/>
  <c r="AE1084" i="202"/>
  <c r="AE1085" i="202"/>
  <c r="AE1086" i="202"/>
  <c r="AE1087" i="202"/>
  <c r="AE1088" i="202"/>
  <c r="AE1089" i="202"/>
  <c r="AE1090" i="202"/>
  <c r="AE1091" i="202"/>
  <c r="AE1092" i="202"/>
  <c r="AE1093" i="202"/>
  <c r="AE1094" i="202"/>
  <c r="AE1095" i="202"/>
  <c r="AE1096" i="202"/>
  <c r="AE1097" i="202"/>
  <c r="AE1098" i="202"/>
  <c r="AE1099" i="202"/>
  <c r="AE1100" i="202"/>
  <c r="AE1101" i="202"/>
  <c r="AE1102" i="202"/>
  <c r="AE1103" i="202"/>
  <c r="AE1104" i="202"/>
  <c r="AE1105" i="202"/>
  <c r="AE1106" i="202"/>
  <c r="AE1107" i="202"/>
  <c r="AE1108" i="202"/>
  <c r="AE1109" i="202"/>
  <c r="AE1110" i="202"/>
  <c r="AE1111" i="202"/>
  <c r="AE1112" i="202"/>
  <c r="AE1113" i="202"/>
  <c r="AE1114" i="202"/>
  <c r="AE1115" i="202"/>
  <c r="AE1116" i="202"/>
  <c r="AE1117" i="202"/>
  <c r="AE1118" i="202"/>
  <c r="AE1119" i="202"/>
  <c r="AE1120" i="202"/>
  <c r="AE1121" i="202"/>
  <c r="AE1122" i="202"/>
  <c r="AE1123" i="202"/>
  <c r="AE1124" i="202"/>
  <c r="AE1125" i="202"/>
  <c r="AE1126" i="202"/>
  <c r="AE1127" i="202"/>
  <c r="AE1128" i="202"/>
  <c r="AE1129" i="202"/>
  <c r="AE1130" i="202"/>
  <c r="AE1131" i="202"/>
  <c r="AE1132" i="202"/>
  <c r="AE1133" i="202"/>
  <c r="AE1134" i="202"/>
  <c r="AE1135" i="202"/>
  <c r="AE1136" i="202"/>
  <c r="AE1137" i="202"/>
  <c r="AE1138" i="202"/>
  <c r="AE1139" i="202"/>
  <c r="AE1140" i="202"/>
  <c r="AE1141" i="202"/>
  <c r="AE1142" i="202"/>
  <c r="AE1143" i="202"/>
  <c r="AE1144" i="202"/>
  <c r="AE1145" i="202"/>
  <c r="AE1146" i="202"/>
  <c r="AE1147" i="202"/>
  <c r="AE1148" i="202"/>
  <c r="AE1149" i="202"/>
  <c r="AE1150" i="202"/>
  <c r="AE1151" i="202"/>
  <c r="AE1152" i="202"/>
  <c r="AE1153" i="202"/>
  <c r="AE1154" i="202"/>
  <c r="AE1155" i="202"/>
  <c r="AE1156" i="202"/>
  <c r="AE1157" i="202"/>
  <c r="AE1158" i="202"/>
  <c r="AE1159" i="202"/>
  <c r="AE1160" i="202"/>
  <c r="AE1161" i="202"/>
  <c r="AE1162" i="202"/>
  <c r="AE1163" i="202"/>
  <c r="AE1164" i="202"/>
  <c r="AE1165" i="202"/>
  <c r="AE1166" i="202"/>
  <c r="AE1167" i="202"/>
  <c r="AE1168" i="202"/>
  <c r="AE1169" i="202"/>
  <c r="AE1170" i="202"/>
  <c r="AE1171" i="202"/>
  <c r="AE1172" i="202"/>
  <c r="AE1173" i="202"/>
  <c r="AE1174" i="202"/>
  <c r="AE1175" i="202"/>
  <c r="AE1176" i="202"/>
  <c r="AE1177" i="202"/>
  <c r="AE1178" i="202"/>
  <c r="AE1179" i="202"/>
  <c r="AE1180" i="202"/>
  <c r="AE1181" i="202"/>
  <c r="AE1182" i="202"/>
  <c r="AE1183" i="202"/>
  <c r="AE1184" i="202"/>
  <c r="AE1185" i="202"/>
  <c r="AE1186" i="202"/>
  <c r="AE1187" i="202"/>
  <c r="AE1188" i="202"/>
  <c r="AE1189" i="202"/>
  <c r="AE1190" i="202"/>
  <c r="AE1191" i="202"/>
  <c r="AE1192" i="202"/>
  <c r="AE1193" i="202"/>
  <c r="AE1194" i="202"/>
  <c r="AE1195" i="202"/>
  <c r="AE1196" i="202"/>
  <c r="AE1197" i="202"/>
  <c r="AE1198" i="202"/>
  <c r="AE1199" i="202"/>
  <c r="AE1200" i="202"/>
  <c r="AE1201" i="202"/>
  <c r="AE1202" i="202"/>
  <c r="AE1203" i="202"/>
  <c r="AE1204" i="202"/>
  <c r="AE1205" i="202"/>
  <c r="AE1206" i="202"/>
  <c r="AE1207" i="202"/>
  <c r="AE1208" i="202"/>
  <c r="AE1209" i="202"/>
  <c r="AE1210" i="202"/>
  <c r="AE1211" i="202"/>
  <c r="AE1212" i="202"/>
  <c r="AE1213" i="202"/>
  <c r="AE1214" i="202"/>
  <c r="AE1215" i="202"/>
  <c r="AE1216" i="202"/>
  <c r="AE1217" i="202"/>
  <c r="AE1218" i="202"/>
  <c r="AE1219" i="202"/>
  <c r="AE1220" i="202"/>
  <c r="AE1221" i="202"/>
  <c r="AE1222" i="202"/>
  <c r="AE1223" i="202"/>
  <c r="AE1224" i="202"/>
  <c r="AE1225" i="202"/>
  <c r="AE1226" i="202"/>
  <c r="AE1227" i="202"/>
  <c r="AE1228" i="202"/>
  <c r="AE1229" i="202"/>
  <c r="AE1230" i="202"/>
  <c r="AE1231" i="202"/>
  <c r="AE1232" i="202"/>
  <c r="AE1233" i="202"/>
  <c r="AE1234" i="202"/>
  <c r="AE1235" i="202"/>
  <c r="AE1236" i="202"/>
  <c r="AE1237" i="202"/>
  <c r="AE1238" i="202"/>
  <c r="AE1239" i="202"/>
  <c r="AE1240" i="202"/>
  <c r="AE1241" i="202"/>
  <c r="AE1242" i="202"/>
  <c r="AE1243" i="202"/>
  <c r="AE1244" i="202"/>
  <c r="AE1245" i="202"/>
  <c r="AE1246" i="202"/>
  <c r="AE1247" i="202"/>
  <c r="AE1248" i="202"/>
  <c r="AE1249" i="202"/>
  <c r="AE1250" i="202"/>
  <c r="AE1251" i="202"/>
  <c r="AE1252" i="202"/>
  <c r="AE1253" i="202"/>
  <c r="AE1254" i="202"/>
  <c r="AE1255" i="202"/>
  <c r="AE1256" i="202"/>
  <c r="AE1257" i="202"/>
  <c r="AE1258" i="202"/>
  <c r="AE1259" i="202"/>
  <c r="AE1260" i="202"/>
  <c r="AE1261" i="202"/>
  <c r="AE1262" i="202"/>
  <c r="AE1263" i="202"/>
  <c r="AE1264" i="202"/>
  <c r="AE1265" i="202"/>
  <c r="AE1266" i="202"/>
  <c r="AE1267" i="202"/>
  <c r="AE1268" i="202"/>
  <c r="AE1269" i="202"/>
  <c r="AE1270" i="202"/>
  <c r="AE1271" i="202"/>
  <c r="AE1272" i="202"/>
  <c r="AE1273" i="202"/>
  <c r="AE1274" i="202"/>
  <c r="AE1275" i="202"/>
  <c r="AE1276" i="202"/>
  <c r="AE1277" i="202"/>
  <c r="AE1278" i="202"/>
  <c r="AE1279" i="202"/>
  <c r="AE1280" i="202"/>
  <c r="AE1281" i="202"/>
  <c r="AE1282" i="202"/>
  <c r="AE1283" i="202"/>
  <c r="AE1284" i="202"/>
  <c r="AE1285" i="202"/>
  <c r="AE1286" i="202"/>
  <c r="AE1287" i="202"/>
  <c r="AE1288" i="202"/>
  <c r="AE1289" i="202"/>
  <c r="AE1290" i="202"/>
  <c r="AE1291" i="202"/>
  <c r="AE1292" i="202"/>
  <c r="AE1293" i="202"/>
  <c r="AE1294" i="202"/>
  <c r="AE1295" i="202"/>
  <c r="AE1296" i="202"/>
  <c r="AE1297" i="202"/>
  <c r="AE1298" i="202"/>
  <c r="AE1299" i="202"/>
  <c r="AE1300" i="202"/>
  <c r="AE1301" i="202"/>
  <c r="AE1302" i="202"/>
  <c r="AE1303" i="202"/>
  <c r="AE1304" i="202"/>
  <c r="AE1305" i="202"/>
  <c r="AE1306" i="202"/>
  <c r="AE1307" i="202"/>
  <c r="AE1308" i="202"/>
  <c r="AE1309" i="202"/>
  <c r="AE1310" i="202"/>
  <c r="AE1311" i="202"/>
  <c r="AE1312" i="202"/>
  <c r="AE1313" i="202"/>
  <c r="AE1314" i="202"/>
  <c r="AE1315" i="202"/>
  <c r="AE1316" i="202"/>
  <c r="AE1317" i="202"/>
  <c r="AE1318" i="202"/>
  <c r="AE1319" i="202"/>
  <c r="AE1320" i="202"/>
  <c r="AE1321" i="202"/>
  <c r="AE1322" i="202"/>
  <c r="AE1323" i="202"/>
  <c r="AE1324" i="202"/>
  <c r="AE1325" i="202"/>
  <c r="AE1326" i="202"/>
  <c r="AE1327" i="202"/>
  <c r="AE1328" i="202"/>
  <c r="AE1329" i="202"/>
  <c r="AE1330" i="202"/>
  <c r="AE1331" i="202"/>
  <c r="AE1332" i="202"/>
  <c r="AE1333" i="202"/>
  <c r="AE1334" i="202"/>
  <c r="AE1335" i="202"/>
  <c r="AE1336" i="202"/>
  <c r="AE1337" i="202"/>
  <c r="AE1338" i="202"/>
  <c r="AE1339" i="202"/>
  <c r="AE1340" i="202"/>
  <c r="AE1341" i="202"/>
  <c r="AE1342" i="202"/>
  <c r="AE1343" i="202"/>
  <c r="AE1344" i="202"/>
  <c r="AE1345" i="202"/>
  <c r="AE1346" i="202"/>
  <c r="AE1347" i="202"/>
  <c r="AE1348" i="202"/>
  <c r="AE1349" i="202"/>
  <c r="AE1350" i="202"/>
  <c r="AE1351" i="202"/>
  <c r="AE1352" i="202"/>
  <c r="AE1353" i="202"/>
  <c r="AE1354" i="202"/>
  <c r="AE1355" i="202"/>
  <c r="AE1356" i="202"/>
  <c r="AE1357" i="202"/>
  <c r="AE1358" i="202"/>
  <c r="AE1359" i="202"/>
  <c r="AE1360" i="202"/>
  <c r="AE1361" i="202"/>
  <c r="AE1362" i="202"/>
  <c r="AE1363" i="202"/>
  <c r="AE1364" i="202"/>
  <c r="AE1365" i="202"/>
  <c r="AE1366" i="202"/>
  <c r="AE1367" i="202"/>
  <c r="AE1368" i="202"/>
  <c r="AE1369" i="202"/>
  <c r="AE1370" i="202"/>
  <c r="AE1371" i="202"/>
  <c r="AE1372" i="202"/>
  <c r="AE1373" i="202"/>
  <c r="AE1374" i="202"/>
  <c r="AE1375" i="202"/>
  <c r="AE1376" i="202"/>
  <c r="AE1377" i="202"/>
  <c r="AE1378" i="202"/>
  <c r="AE1379" i="202"/>
  <c r="AE1380" i="202"/>
  <c r="AE1381" i="202"/>
  <c r="AE1382" i="202"/>
  <c r="AE1383" i="202"/>
  <c r="AE1384" i="202"/>
  <c r="AE1385" i="202"/>
  <c r="AE1386" i="202"/>
  <c r="AE1387" i="202"/>
  <c r="AE1388" i="202"/>
  <c r="AE1389" i="202"/>
  <c r="AE1390" i="202"/>
  <c r="AE1391" i="202"/>
  <c r="AE1392" i="202"/>
  <c r="AE1393" i="202"/>
  <c r="AE1394" i="202"/>
  <c r="AE1395" i="202"/>
  <c r="AE1396" i="202"/>
  <c r="AE1397" i="202"/>
  <c r="AE1398" i="202"/>
  <c r="AE1399" i="202"/>
  <c r="AE1400" i="202"/>
  <c r="AE1401" i="202"/>
  <c r="AE1402" i="202"/>
  <c r="AE1403" i="202"/>
  <c r="AE1404" i="202"/>
  <c r="AE1405" i="202"/>
  <c r="AE1406" i="202"/>
  <c r="AE1407" i="202"/>
  <c r="AE1408" i="202"/>
  <c r="AE1409" i="202"/>
  <c r="AE1410" i="202"/>
  <c r="AE1411" i="202"/>
  <c r="AE1412" i="202"/>
  <c r="AE1413" i="202"/>
  <c r="AE1414" i="202"/>
  <c r="AE1415" i="202"/>
  <c r="AE1416" i="202"/>
  <c r="AE1417" i="202"/>
  <c r="AE1418" i="202"/>
  <c r="AE1419" i="202"/>
  <c r="AE1420" i="202"/>
  <c r="AE1421" i="202"/>
  <c r="AE1422" i="202"/>
  <c r="AE1423" i="202"/>
  <c r="AE1424" i="202"/>
  <c r="AE1425" i="202"/>
  <c r="AE1426" i="202"/>
  <c r="AE1427" i="202"/>
  <c r="AE1428" i="202"/>
  <c r="AE1429" i="202"/>
  <c r="AE1430" i="202"/>
  <c r="AE1431" i="202"/>
  <c r="AE1432" i="202"/>
  <c r="AE1433" i="202"/>
  <c r="AE1434" i="202"/>
  <c r="AE1435" i="202"/>
  <c r="AE1436" i="202"/>
  <c r="AE1437" i="202"/>
  <c r="AE1438" i="202"/>
  <c r="AE1439" i="202"/>
  <c r="AE1440" i="202"/>
  <c r="AE1441" i="202"/>
  <c r="AE1442" i="202"/>
  <c r="AE1443" i="202"/>
  <c r="AE1444" i="202"/>
  <c r="AE1445" i="202"/>
  <c r="AE1446" i="202"/>
  <c r="AE1447" i="202"/>
  <c r="AE1448" i="202"/>
  <c r="AE1449" i="202"/>
  <c r="AE1450" i="202"/>
  <c r="AE1451" i="202"/>
  <c r="AE1452" i="202"/>
  <c r="AE1453" i="202"/>
  <c r="AE1454" i="202"/>
  <c r="AE1455" i="202"/>
  <c r="AE1456" i="202"/>
  <c r="AE1457" i="202"/>
  <c r="AE1458" i="202"/>
  <c r="AE1459" i="202"/>
  <c r="AE1460" i="202"/>
  <c r="AE1461" i="202"/>
  <c r="AE1462" i="202"/>
  <c r="AE1463" i="202"/>
  <c r="AE1464" i="202"/>
  <c r="AE1465" i="202"/>
  <c r="AE1466" i="202"/>
  <c r="AE1467" i="202"/>
  <c r="AE1468" i="202"/>
  <c r="AE1469" i="202"/>
  <c r="AE1470" i="202"/>
  <c r="AE1471" i="202"/>
  <c r="AE1472" i="202"/>
  <c r="AE1473" i="202"/>
  <c r="AE1474" i="202"/>
  <c r="AE1475" i="202"/>
  <c r="AE1476" i="202"/>
  <c r="AE1477" i="202"/>
  <c r="AE1478" i="202"/>
  <c r="AE1479" i="202"/>
  <c r="AE1480" i="202"/>
  <c r="AE1481" i="202"/>
  <c r="AE1482" i="202"/>
  <c r="AE1483" i="202"/>
  <c r="AE1484" i="202"/>
  <c r="AE1485" i="202"/>
  <c r="AE1486" i="202"/>
  <c r="AE1487" i="202"/>
  <c r="AE1488" i="202"/>
  <c r="AE1489" i="202"/>
  <c r="AE1490" i="202"/>
  <c r="AE1491" i="202"/>
  <c r="AE1492" i="202"/>
  <c r="AE1493" i="202"/>
  <c r="AE1494" i="202"/>
  <c r="AE1495" i="202"/>
  <c r="AE1496" i="202"/>
  <c r="AE1497" i="202"/>
  <c r="AE1498" i="202"/>
  <c r="AE1499" i="202"/>
  <c r="AE1500" i="202"/>
  <c r="AE1501" i="202"/>
  <c r="AE1502" i="202"/>
  <c r="AE1503" i="202"/>
  <c r="AE1504" i="202"/>
  <c r="AE1505" i="202"/>
  <c r="AE1506" i="202"/>
  <c r="AE1507" i="202"/>
  <c r="AE1508" i="202"/>
  <c r="AE1509" i="202"/>
  <c r="AE1510" i="202"/>
  <c r="AE1511" i="202"/>
  <c r="AE1512" i="202"/>
  <c r="AE1513" i="202"/>
  <c r="AE1514" i="202"/>
  <c r="AE1515" i="202"/>
  <c r="AE1516" i="202"/>
  <c r="AE1517" i="202"/>
  <c r="AE1518" i="202"/>
  <c r="AE1519" i="202"/>
  <c r="AE1520" i="202"/>
  <c r="AE1521" i="202"/>
  <c r="AE1522" i="202"/>
  <c r="AE1523" i="202"/>
  <c r="AE1524" i="202"/>
  <c r="AE1525" i="202"/>
  <c r="AE1526" i="202"/>
  <c r="AE1527" i="202"/>
  <c r="AE1528" i="202"/>
  <c r="AE1529" i="202"/>
  <c r="AE1530" i="202"/>
  <c r="AE1531" i="202"/>
  <c r="AE1532" i="202"/>
  <c r="AE1533" i="202"/>
  <c r="AE1534" i="202"/>
  <c r="AE1535" i="202"/>
  <c r="AE1536" i="202"/>
  <c r="AE1537" i="202"/>
  <c r="AE1538" i="202"/>
  <c r="AE1539" i="202"/>
  <c r="AE1540" i="202"/>
  <c r="AE1541" i="202"/>
  <c r="AE1542" i="202"/>
  <c r="AE1543" i="202"/>
  <c r="AE1544" i="202"/>
  <c r="AE1545" i="202"/>
  <c r="AE1546" i="202"/>
  <c r="AE1547" i="202"/>
  <c r="AE1548" i="202"/>
  <c r="AE1549" i="202"/>
  <c r="AE1550" i="202"/>
  <c r="AE1551" i="202"/>
  <c r="AE1552" i="202"/>
  <c r="AE1553" i="202"/>
  <c r="AE1554" i="202"/>
  <c r="AE1555" i="202"/>
  <c r="AE1556" i="202"/>
  <c r="AE1557" i="202"/>
  <c r="AE1558" i="202"/>
  <c r="AE1559" i="202"/>
  <c r="AE1560" i="202"/>
  <c r="AE1561" i="202"/>
  <c r="AE1562" i="202"/>
  <c r="AE1563" i="202"/>
  <c r="AE1564" i="202"/>
  <c r="AE1565" i="202"/>
  <c r="AE1566" i="202"/>
  <c r="AE1567" i="202"/>
  <c r="AE1568" i="202"/>
  <c r="AE1569" i="202"/>
  <c r="AE1570" i="202"/>
  <c r="AE1571" i="202"/>
  <c r="AE1572" i="202"/>
  <c r="AE1573" i="202"/>
  <c r="AE1574" i="202"/>
  <c r="AE1575" i="202"/>
  <c r="AE1576" i="202"/>
  <c r="AE1577" i="202"/>
  <c r="AE1578" i="202"/>
  <c r="AE1579" i="202"/>
  <c r="AE1580" i="202"/>
  <c r="AE1581" i="202"/>
  <c r="AE1582" i="202"/>
  <c r="AE1583" i="202"/>
  <c r="AE1584" i="202"/>
  <c r="AE1585" i="202"/>
  <c r="AE1586" i="202"/>
  <c r="AE1587" i="202"/>
  <c r="AE1588" i="202"/>
  <c r="AE1589" i="202"/>
  <c r="AE1590" i="202"/>
  <c r="AE1591" i="202"/>
  <c r="AE1592" i="202"/>
  <c r="AE1593" i="202"/>
  <c r="AE1594" i="202"/>
  <c r="AE1595" i="202"/>
  <c r="AE1596" i="202"/>
  <c r="AE1597" i="202"/>
  <c r="AE1598" i="202"/>
  <c r="AE1599" i="202"/>
  <c r="AE1600" i="202"/>
  <c r="AE1601" i="202"/>
  <c r="AE1602" i="202"/>
  <c r="AE1603" i="202"/>
  <c r="AE1604" i="202"/>
  <c r="AE1605" i="202"/>
  <c r="AE1606" i="202"/>
  <c r="AE1607" i="202"/>
  <c r="AE1608" i="202"/>
  <c r="AE1609" i="202"/>
  <c r="AE1610" i="202"/>
  <c r="AE1611" i="202"/>
  <c r="AE1612" i="202"/>
  <c r="AE1613" i="202"/>
  <c r="AE1614" i="202"/>
  <c r="AE1615" i="202"/>
  <c r="AE1616" i="202"/>
  <c r="AE1617" i="202"/>
  <c r="AE1618" i="202"/>
  <c r="AE1619" i="202"/>
  <c r="AE1620" i="202"/>
  <c r="AE1621" i="202"/>
  <c r="AE1622" i="202"/>
  <c r="AE1623" i="202"/>
  <c r="AE1624" i="202"/>
  <c r="AE1625" i="202"/>
  <c r="AE1626" i="202"/>
  <c r="AE1627" i="202"/>
  <c r="AE1628" i="202"/>
  <c r="AE1629" i="202"/>
  <c r="AE1630" i="202"/>
  <c r="AE1631" i="202"/>
  <c r="AE1632" i="202"/>
  <c r="AE1633" i="202"/>
  <c r="AE1634" i="202"/>
  <c r="AE1635" i="202"/>
  <c r="AE1636" i="202"/>
  <c r="AE1637" i="202"/>
  <c r="AE1638" i="202"/>
  <c r="AE1639" i="202"/>
  <c r="AE1640" i="202"/>
  <c r="AE1641" i="202"/>
  <c r="AE1642" i="202"/>
  <c r="AE1643" i="202"/>
  <c r="AE1644" i="202"/>
  <c r="AE1645" i="202"/>
  <c r="AE1646" i="202"/>
  <c r="AE1647" i="202"/>
  <c r="AE1648" i="202"/>
  <c r="AE1649" i="202"/>
  <c r="AE1650" i="202"/>
  <c r="AE1651" i="202"/>
  <c r="AE1652" i="202"/>
  <c r="AE1653" i="202"/>
  <c r="AE1654" i="202"/>
  <c r="AE1655" i="202"/>
  <c r="AE1656" i="202"/>
  <c r="AE1657" i="202"/>
  <c r="AE1658" i="202"/>
  <c r="AE1659" i="202"/>
  <c r="AE1660" i="202"/>
  <c r="AE1661" i="202"/>
  <c r="AE1662" i="202"/>
  <c r="AE1663" i="202"/>
  <c r="AE1664" i="202"/>
  <c r="AE1665" i="202"/>
  <c r="AE1666" i="202"/>
  <c r="AE1667" i="202"/>
  <c r="AE1668" i="202"/>
  <c r="AE1669" i="202"/>
  <c r="AE1670" i="202"/>
  <c r="AE1671" i="202"/>
  <c r="AE1672" i="202"/>
  <c r="AE1673" i="202"/>
  <c r="AE1674" i="202"/>
  <c r="AE1675" i="202"/>
  <c r="AE1676" i="202"/>
  <c r="AE1677" i="202"/>
  <c r="AE1678" i="202"/>
  <c r="AE1679" i="202"/>
  <c r="AE1680" i="202"/>
  <c r="AE1681" i="202"/>
  <c r="AE1682" i="202"/>
  <c r="AE1683" i="202"/>
  <c r="AE1684" i="202"/>
  <c r="AE1685" i="202"/>
  <c r="AE1686" i="202"/>
  <c r="AE1687" i="202"/>
  <c r="AE1688" i="202"/>
  <c r="AE1689" i="202"/>
  <c r="AE1690" i="202"/>
  <c r="AE1691" i="202"/>
  <c r="AE1692" i="202"/>
  <c r="AE1693" i="202"/>
  <c r="AE1694" i="202"/>
  <c r="AE1695" i="202"/>
  <c r="AE1696" i="202"/>
  <c r="AE1697" i="202"/>
  <c r="AE1698" i="202"/>
  <c r="AE1699" i="202"/>
  <c r="AE1700" i="202"/>
  <c r="AE1701" i="202"/>
  <c r="AE1702" i="202"/>
  <c r="AE1703" i="202"/>
  <c r="AE1704" i="202"/>
  <c r="AE1705" i="202"/>
  <c r="AE1706" i="202"/>
  <c r="AE1707" i="202"/>
  <c r="AE1708" i="202"/>
  <c r="AE1709" i="202"/>
  <c r="AE1710" i="202"/>
  <c r="AE1711" i="202"/>
  <c r="AE1712" i="202"/>
  <c r="AE1713" i="202"/>
  <c r="AE1714" i="202"/>
  <c r="AE1715" i="202"/>
  <c r="AE1716" i="202"/>
  <c r="AE1717" i="202"/>
  <c r="AE1718" i="202"/>
  <c r="AE1719" i="202"/>
  <c r="AE1720" i="202"/>
  <c r="AE1721" i="202"/>
  <c r="AE1722" i="202"/>
  <c r="AE1723" i="202"/>
  <c r="AE1724" i="202"/>
  <c r="AE1725" i="202"/>
  <c r="AE1726" i="202"/>
  <c r="AE1727" i="202"/>
  <c r="AE1728" i="202"/>
  <c r="AE1729" i="202"/>
  <c r="AE1730" i="202"/>
  <c r="AE1731" i="202"/>
  <c r="AE1732" i="202"/>
  <c r="AE1733" i="202"/>
  <c r="AE1734" i="202"/>
  <c r="AE1735" i="202"/>
  <c r="AE1736" i="202"/>
  <c r="AE1737" i="202"/>
  <c r="AE1738" i="202"/>
  <c r="AE1739" i="202"/>
  <c r="AE1740" i="202"/>
  <c r="AE1741" i="202"/>
  <c r="AE1742" i="202"/>
  <c r="AE1743" i="202"/>
  <c r="AE1744" i="202"/>
  <c r="AE1745" i="202"/>
  <c r="AE1746" i="202"/>
  <c r="AE1747" i="202"/>
  <c r="AE1748" i="202"/>
  <c r="AE1749" i="202"/>
  <c r="AE1750" i="202"/>
  <c r="AE1751" i="202"/>
  <c r="AE1752" i="202"/>
  <c r="AE1753" i="202"/>
  <c r="AE1754" i="202"/>
  <c r="AE1755" i="202"/>
  <c r="AE1756" i="202"/>
  <c r="AE1757" i="202"/>
  <c r="AE1758" i="202"/>
  <c r="AE1759" i="202"/>
  <c r="AE1760" i="202"/>
  <c r="AE1761" i="202"/>
  <c r="AE1762" i="202"/>
  <c r="AE1763" i="202"/>
  <c r="AE1764" i="202"/>
  <c r="AE1765" i="202"/>
  <c r="AE1766" i="202"/>
  <c r="AE1767" i="202"/>
  <c r="AE1768" i="202"/>
  <c r="AE1769" i="202"/>
  <c r="AE1770" i="202"/>
  <c r="AE1771" i="202"/>
  <c r="AE1772" i="202"/>
  <c r="AE1773" i="202"/>
  <c r="AE1774" i="202"/>
  <c r="AE1775" i="202"/>
  <c r="AE1776" i="202"/>
  <c r="AE1777" i="202"/>
  <c r="AE1778" i="202"/>
  <c r="AE1779" i="202"/>
  <c r="AE1780" i="202"/>
  <c r="AE1781" i="202"/>
  <c r="AE1782" i="202"/>
  <c r="AE1783" i="202"/>
  <c r="AE1784" i="202"/>
  <c r="AE1785" i="202"/>
  <c r="AE1786" i="202"/>
  <c r="AE1787" i="202"/>
  <c r="AE1788" i="202"/>
  <c r="AE1789" i="202"/>
  <c r="AE1790" i="202"/>
  <c r="AE1791" i="202"/>
  <c r="AE1792" i="202"/>
  <c r="AE1793" i="202"/>
  <c r="AE1794" i="202"/>
  <c r="AE1795" i="202"/>
  <c r="AE1796" i="202"/>
  <c r="AE1797" i="202"/>
  <c r="AE1798" i="202"/>
  <c r="AE1799" i="202"/>
  <c r="AE1800" i="202"/>
  <c r="AE1801" i="202"/>
  <c r="AE1802" i="202"/>
  <c r="AE1803" i="202"/>
  <c r="AE1804" i="202"/>
  <c r="AE1805" i="202"/>
  <c r="AE1806" i="202"/>
  <c r="AE1807" i="202"/>
  <c r="AE1808" i="202"/>
  <c r="AE1809" i="202"/>
  <c r="AE1810" i="202"/>
  <c r="AE1811" i="202"/>
  <c r="AE1812" i="202"/>
  <c r="AE1813" i="202"/>
  <c r="AE1814" i="202"/>
  <c r="AE1815" i="202"/>
  <c r="AE1816" i="202"/>
  <c r="AE1817" i="202"/>
  <c r="AE1818" i="202"/>
  <c r="AE1819" i="202"/>
  <c r="AE1820" i="202"/>
  <c r="AE1821" i="202"/>
  <c r="AE1822" i="202"/>
  <c r="AE1823" i="202"/>
  <c r="AE1824" i="202"/>
  <c r="AE1825" i="202"/>
  <c r="AE1826" i="202"/>
  <c r="AE1827" i="202"/>
  <c r="AE1828" i="202"/>
  <c r="AE1829" i="202"/>
  <c r="AE1830" i="202"/>
  <c r="AE1831" i="202"/>
  <c r="AE1832" i="202"/>
  <c r="AE1833" i="202"/>
  <c r="AE1834" i="202"/>
  <c r="AE1835" i="202"/>
  <c r="AE1836" i="202"/>
  <c r="AE1837" i="202"/>
  <c r="AE1838" i="202"/>
  <c r="AE1839" i="202"/>
  <c r="AE1840" i="202"/>
  <c r="AE1841" i="202"/>
  <c r="AE1842" i="202"/>
  <c r="AE1843" i="202"/>
  <c r="AE1844" i="202"/>
  <c r="AE1845" i="202"/>
  <c r="AE1846" i="202"/>
  <c r="AE1847" i="202"/>
  <c r="AE1848" i="202"/>
  <c r="AE1849" i="202"/>
  <c r="AE1850" i="202"/>
  <c r="AE1851" i="202"/>
  <c r="AE1852" i="202"/>
  <c r="AE1853" i="202"/>
  <c r="AE1854" i="202"/>
  <c r="AE1855" i="202"/>
  <c r="AE1856" i="202"/>
  <c r="AE1857" i="202"/>
  <c r="AE1858" i="202"/>
  <c r="AE1859" i="202"/>
  <c r="AE1860" i="202"/>
  <c r="AE1861" i="202"/>
  <c r="AE1862" i="202"/>
  <c r="AE1863" i="202"/>
  <c r="AE1864" i="202"/>
  <c r="AE1865" i="202"/>
  <c r="AE1866" i="202"/>
  <c r="AE1867" i="202"/>
  <c r="AE1868" i="202"/>
  <c r="AE1869" i="202"/>
  <c r="AE1870" i="202"/>
  <c r="AE1871" i="202"/>
  <c r="AE1872" i="202"/>
  <c r="AE1873" i="202"/>
  <c r="AE1874" i="202"/>
  <c r="AE1875" i="202"/>
  <c r="AE1876" i="202"/>
  <c r="AE1877" i="202"/>
  <c r="AE1878" i="202"/>
  <c r="AE1879" i="202"/>
  <c r="AE1880" i="202"/>
  <c r="AE1881" i="202"/>
  <c r="AE1882" i="202"/>
  <c r="AE1883" i="202"/>
  <c r="AE1884" i="202"/>
  <c r="AE1885" i="202"/>
  <c r="AE1886" i="202"/>
  <c r="AE1887" i="202"/>
  <c r="AE1888" i="202"/>
  <c r="AE1889" i="202"/>
  <c r="AE1890" i="202"/>
  <c r="AE1891" i="202"/>
  <c r="AE1892" i="202"/>
  <c r="AE1893" i="202"/>
  <c r="AE1894" i="202"/>
  <c r="AE1895" i="202"/>
  <c r="AE1896" i="202"/>
  <c r="AE1897" i="202"/>
  <c r="AE1898" i="202"/>
  <c r="AE1899" i="202"/>
  <c r="AE1900" i="202"/>
  <c r="AE1901" i="202"/>
  <c r="AE1902" i="202"/>
  <c r="AE1903" i="202"/>
  <c r="AE1904" i="202"/>
  <c r="AE1905" i="202"/>
  <c r="AE1906" i="202"/>
  <c r="AE1907" i="202"/>
  <c r="AE1908" i="202"/>
  <c r="AE1909" i="202"/>
  <c r="AE1910" i="202"/>
  <c r="AE1911" i="202"/>
  <c r="AE1912" i="202"/>
  <c r="AE1913" i="202"/>
  <c r="AE1914" i="202"/>
  <c r="AE1915" i="202"/>
  <c r="AE1916" i="202"/>
  <c r="AE1917" i="202"/>
  <c r="AE1918" i="202"/>
  <c r="AE1919" i="202"/>
  <c r="AE1920" i="202"/>
  <c r="AE1921" i="202"/>
  <c r="AE1922" i="202"/>
  <c r="AE1923" i="202"/>
  <c r="AE1924" i="202"/>
  <c r="AE1925" i="202"/>
  <c r="AE1926" i="202"/>
  <c r="AE1927" i="202"/>
  <c r="AE1928" i="202"/>
  <c r="AE1929" i="202"/>
  <c r="AE1930" i="202"/>
  <c r="AE1931" i="202"/>
  <c r="AE1932" i="202"/>
  <c r="AE1933" i="202"/>
  <c r="AE1934" i="202"/>
  <c r="AE1935" i="202"/>
  <c r="AE1936" i="202"/>
  <c r="AE1937" i="202"/>
  <c r="AE1938" i="202"/>
  <c r="AE1939" i="202"/>
  <c r="AE1940" i="202"/>
  <c r="AE1941" i="202"/>
  <c r="AE1942" i="202"/>
  <c r="AE1943" i="202"/>
  <c r="AE1944" i="202"/>
  <c r="AE1945" i="202"/>
  <c r="AE1946" i="202"/>
  <c r="AE1947" i="202"/>
  <c r="AE1948" i="202"/>
  <c r="AE1949" i="202"/>
  <c r="AE1950" i="202"/>
  <c r="AE1951" i="202"/>
  <c r="AE1952" i="202"/>
  <c r="AE1953" i="202"/>
  <c r="AE1954" i="202"/>
  <c r="AE1955" i="202"/>
  <c r="AE1956" i="202"/>
  <c r="AE1957" i="202"/>
  <c r="AE1958" i="202"/>
  <c r="AE1959" i="202"/>
  <c r="AE1960" i="202"/>
  <c r="AE1961" i="202"/>
  <c r="AE1962" i="202"/>
  <c r="AE1963" i="202"/>
  <c r="AE1964" i="202"/>
  <c r="AE1965" i="202"/>
  <c r="AE1966" i="202"/>
  <c r="AE1967" i="202"/>
  <c r="AE1968" i="202"/>
  <c r="AE1969" i="202"/>
  <c r="AE1970" i="202"/>
  <c r="AE1971" i="202"/>
  <c r="AE1972" i="202"/>
  <c r="AE1973" i="202"/>
  <c r="AE1974" i="202"/>
  <c r="AE1975" i="202"/>
  <c r="AE1976" i="202"/>
  <c r="AE1977" i="202"/>
  <c r="AE1978" i="202"/>
  <c r="AE1979" i="202"/>
  <c r="AE1980" i="202"/>
  <c r="AE1981" i="202"/>
  <c r="AE1982" i="202"/>
  <c r="AE1983" i="202"/>
  <c r="AE1984" i="202"/>
  <c r="AE1985" i="202"/>
  <c r="AE1986" i="202"/>
  <c r="AE1987" i="202"/>
  <c r="AE1988" i="202"/>
  <c r="AE1989" i="202"/>
  <c r="AE1990" i="202"/>
  <c r="AE1991" i="202"/>
  <c r="AE1992" i="202"/>
  <c r="AE1993" i="202"/>
  <c r="AE1994" i="202"/>
  <c r="AE1995" i="202"/>
  <c r="AE1996" i="202"/>
  <c r="AE1997" i="202"/>
  <c r="AE1998" i="202"/>
  <c r="AE1999" i="202"/>
  <c r="AE2000" i="202"/>
  <c r="AE2001" i="202"/>
  <c r="AE2002" i="202"/>
  <c r="AE2003" i="202"/>
  <c r="AE2004" i="202"/>
  <c r="AE2005" i="202"/>
  <c r="AE2006" i="202"/>
  <c r="AE2007" i="202"/>
  <c r="AE2008" i="202"/>
  <c r="AE2009" i="202"/>
  <c r="AE2010" i="202"/>
  <c r="AE2011" i="202"/>
  <c r="AE2012" i="202"/>
  <c r="AE2013" i="202"/>
  <c r="AE2014" i="202"/>
  <c r="AE2015" i="202"/>
  <c r="AE2016" i="202"/>
  <c r="AE2017" i="202"/>
  <c r="AE2018" i="202"/>
  <c r="AE2019" i="202"/>
  <c r="AE2020" i="202"/>
  <c r="AE2021" i="202"/>
  <c r="AE2022" i="202"/>
  <c r="AE2023" i="202"/>
  <c r="AE2024" i="202"/>
  <c r="AE2025" i="202"/>
  <c r="AE2026" i="202"/>
  <c r="AE2027" i="202"/>
  <c r="AE2028" i="202"/>
  <c r="AE2029" i="202"/>
  <c r="AE2030" i="202"/>
  <c r="AE2031" i="202"/>
  <c r="AE2032" i="202"/>
  <c r="AE2033" i="202"/>
  <c r="AE2034" i="202"/>
  <c r="AE2035" i="202"/>
  <c r="AE2036" i="202"/>
  <c r="AE2037" i="202"/>
  <c r="AE2038" i="202"/>
  <c r="AE2039" i="202"/>
  <c r="AE2040" i="202"/>
  <c r="AE2041" i="202"/>
  <c r="AE2042" i="202"/>
  <c r="AE2043" i="202"/>
  <c r="AE2044" i="202"/>
  <c r="AE2045" i="202"/>
  <c r="AE2046" i="202"/>
  <c r="AE2047" i="202"/>
  <c r="AE2048" i="202"/>
  <c r="BF2" i="202"/>
  <c r="BF3" i="202"/>
  <c r="BF4" i="202"/>
  <c r="BF5" i="202"/>
  <c r="BF6" i="202"/>
  <c r="BF7" i="202"/>
  <c r="BF8" i="202"/>
  <c r="BF9" i="202"/>
  <c r="BF10" i="202"/>
  <c r="BF11" i="202"/>
  <c r="BF12" i="202"/>
  <c r="BF13" i="202"/>
  <c r="BF14" i="202"/>
  <c r="BF15" i="202"/>
  <c r="BF16" i="202"/>
  <c r="BF17" i="202"/>
  <c r="BF18" i="202"/>
  <c r="BF19" i="202"/>
  <c r="BF20" i="202"/>
  <c r="BF21" i="202"/>
  <c r="BF22" i="202"/>
  <c r="BF23" i="202"/>
  <c r="BF24" i="202"/>
  <c r="BF25" i="202"/>
  <c r="BF26" i="202"/>
  <c r="BF27" i="202"/>
  <c r="BF28" i="202"/>
  <c r="BF29" i="202"/>
  <c r="BF30" i="202"/>
  <c r="BF31" i="202"/>
  <c r="BF32" i="202"/>
  <c r="BF33" i="202"/>
  <c r="BF34" i="202"/>
  <c r="BF35" i="202"/>
  <c r="BF36" i="202"/>
  <c r="BF37" i="202"/>
  <c r="BF38" i="202"/>
  <c r="BF39" i="202"/>
  <c r="BF40" i="202"/>
  <c r="BF41" i="202"/>
  <c r="BF42" i="202"/>
  <c r="BF43" i="202"/>
  <c r="BF44" i="202"/>
  <c r="BF45" i="202"/>
  <c r="BF46" i="202"/>
  <c r="BF47" i="202"/>
  <c r="BF48" i="202"/>
  <c r="BF49" i="202"/>
  <c r="BF50" i="202"/>
  <c r="BF51" i="202"/>
  <c r="BF52" i="202"/>
  <c r="BF53" i="202"/>
  <c r="BF54" i="202"/>
  <c r="BF55" i="202"/>
  <c r="BF56" i="202"/>
  <c r="BF57" i="202"/>
  <c r="BF58" i="202"/>
  <c r="BF59" i="202"/>
  <c r="BF60" i="202"/>
  <c r="BF61" i="202"/>
  <c r="BF62" i="202"/>
  <c r="BF63" i="202"/>
  <c r="BF64" i="202"/>
  <c r="BF65" i="202"/>
  <c r="BF66" i="202"/>
  <c r="BF67" i="202"/>
  <c r="BF68" i="202"/>
  <c r="BF69" i="202"/>
  <c r="BF70" i="202"/>
  <c r="BF71" i="202"/>
  <c r="BF72" i="202"/>
  <c r="BF73" i="202"/>
  <c r="BF74" i="202"/>
  <c r="BF75" i="202"/>
  <c r="BF76" i="202"/>
  <c r="BF77" i="202"/>
  <c r="BF78" i="202"/>
  <c r="BF79" i="202"/>
  <c r="BF80" i="202"/>
  <c r="BF81" i="202"/>
  <c r="BF82" i="202"/>
  <c r="BF83" i="202"/>
  <c r="BF84" i="202"/>
  <c r="BF85" i="202"/>
  <c r="BF86" i="202"/>
  <c r="BF87" i="202"/>
  <c r="BF88" i="202"/>
  <c r="BF89" i="202"/>
  <c r="BF90" i="202"/>
  <c r="BF91" i="202"/>
  <c r="BF92" i="202"/>
  <c r="BF93" i="202"/>
  <c r="BF94" i="202"/>
  <c r="BF95" i="202"/>
  <c r="BF96" i="202"/>
  <c r="BF97" i="202"/>
  <c r="BF98" i="202"/>
  <c r="BF99" i="202"/>
  <c r="BF100" i="202"/>
  <c r="BF101" i="202"/>
  <c r="BF102" i="202"/>
  <c r="BF103" i="202"/>
  <c r="BF104" i="202"/>
  <c r="BF105" i="202"/>
  <c r="BF106" i="202"/>
  <c r="BF107" i="202"/>
  <c r="BF108" i="202"/>
  <c r="BF109" i="202"/>
  <c r="BF110" i="202"/>
  <c r="BF111" i="202"/>
  <c r="BF112" i="202"/>
  <c r="BF113" i="202"/>
  <c r="BF114" i="202"/>
  <c r="BF115" i="202"/>
  <c r="BF116" i="202"/>
  <c r="BF117" i="202"/>
  <c r="BF118" i="202"/>
  <c r="BF119" i="202"/>
  <c r="BF120" i="202"/>
  <c r="BF121" i="202"/>
  <c r="BF122" i="202"/>
  <c r="BF123" i="202"/>
  <c r="BF124" i="202"/>
  <c r="BF125" i="202"/>
  <c r="BF126" i="202"/>
  <c r="BF127" i="202"/>
  <c r="BF128" i="202"/>
  <c r="BF129" i="202"/>
  <c r="BF130" i="202"/>
  <c r="BF131" i="202"/>
  <c r="BF132" i="202"/>
  <c r="BF133" i="202"/>
  <c r="BF134" i="202"/>
  <c r="BF135" i="202"/>
  <c r="BF136" i="202"/>
  <c r="BF137" i="202"/>
  <c r="BF138" i="202"/>
  <c r="BF139" i="202"/>
  <c r="BF140" i="202"/>
  <c r="BF141" i="202"/>
  <c r="BF142" i="202"/>
  <c r="BF143" i="202"/>
  <c r="BF144" i="202"/>
  <c r="BF145" i="202"/>
  <c r="BF146" i="202"/>
  <c r="BF147" i="202"/>
  <c r="BF148" i="202"/>
  <c r="BF149" i="202"/>
  <c r="BF150" i="202"/>
  <c r="BF151" i="202"/>
  <c r="BF152" i="202"/>
  <c r="BF153" i="202"/>
  <c r="BF154" i="202"/>
  <c r="BF155" i="202"/>
  <c r="BF156" i="202"/>
  <c r="BF157" i="202"/>
  <c r="BF158" i="202"/>
  <c r="BF159" i="202"/>
  <c r="BF160" i="202"/>
  <c r="BF161" i="202"/>
  <c r="BF162" i="202"/>
  <c r="BF163" i="202"/>
  <c r="BF164" i="202"/>
  <c r="BF165" i="202"/>
  <c r="BF166" i="202"/>
  <c r="BF167" i="202"/>
  <c r="BF168" i="202"/>
  <c r="BF169" i="202"/>
  <c r="BF170" i="202"/>
  <c r="BF171" i="202"/>
  <c r="BF172" i="202"/>
  <c r="BF173" i="202"/>
  <c r="BF174" i="202"/>
  <c r="BF175" i="202"/>
  <c r="BF176" i="202"/>
  <c r="BF177" i="202"/>
  <c r="BF178" i="202"/>
  <c r="BF179" i="202"/>
  <c r="BF180" i="202"/>
  <c r="BF181" i="202"/>
  <c r="BF182" i="202"/>
  <c r="BF183" i="202"/>
  <c r="BF184" i="202"/>
  <c r="BF185" i="202"/>
  <c r="BF186" i="202"/>
  <c r="BF187" i="202"/>
  <c r="BF188" i="202"/>
  <c r="BF189" i="202"/>
  <c r="BF190" i="202"/>
  <c r="BF191" i="202"/>
  <c r="BF192" i="202"/>
  <c r="BF193" i="202"/>
  <c r="BF194" i="202"/>
  <c r="BF195" i="202"/>
  <c r="BF196" i="202"/>
  <c r="BF197" i="202"/>
  <c r="BF198" i="202"/>
  <c r="BF199" i="202"/>
  <c r="BF200" i="202"/>
  <c r="BF201" i="202"/>
  <c r="BF202" i="202"/>
  <c r="BF203" i="202"/>
  <c r="BF204" i="202"/>
  <c r="BF205" i="202"/>
  <c r="BF206" i="202"/>
  <c r="BF207" i="202"/>
  <c r="BF208" i="202"/>
  <c r="BF209" i="202"/>
  <c r="BF210" i="202"/>
  <c r="BF211" i="202"/>
  <c r="BF212" i="202"/>
  <c r="BF213" i="202"/>
  <c r="BF214" i="202"/>
  <c r="BF215" i="202"/>
  <c r="BF216" i="202"/>
  <c r="BF217" i="202"/>
  <c r="BF218" i="202"/>
  <c r="BF219" i="202"/>
  <c r="BF220" i="202"/>
  <c r="BF221" i="202"/>
  <c r="BF222" i="202"/>
  <c r="BF223" i="202"/>
  <c r="BF224" i="202"/>
  <c r="BF225" i="202"/>
  <c r="BF226" i="202"/>
  <c r="BF227" i="202"/>
  <c r="BF228" i="202"/>
  <c r="BF229" i="202"/>
  <c r="BF230" i="202"/>
  <c r="BF231" i="202"/>
  <c r="BF232" i="202"/>
  <c r="BF233" i="202"/>
  <c r="BF234" i="202"/>
  <c r="BF235" i="202"/>
  <c r="BF236" i="202"/>
  <c r="BF237" i="202"/>
  <c r="BF238" i="202"/>
  <c r="BF239" i="202"/>
  <c r="BF240" i="202"/>
  <c r="BF241" i="202"/>
  <c r="BF242" i="202"/>
  <c r="BF243" i="202"/>
  <c r="BF244" i="202"/>
  <c r="BF245" i="202"/>
  <c r="BF246" i="202"/>
  <c r="BF247" i="202"/>
  <c r="BF248" i="202"/>
  <c r="BF249" i="202"/>
  <c r="BF250" i="202"/>
  <c r="BF251" i="202"/>
  <c r="BF252" i="202"/>
  <c r="BF253" i="202"/>
  <c r="BF254" i="202"/>
  <c r="BF255" i="202"/>
  <c r="BF256" i="202"/>
  <c r="BF257" i="202"/>
  <c r="BF258" i="202"/>
  <c r="BF259" i="202"/>
  <c r="BF260" i="202"/>
  <c r="BF261" i="202"/>
  <c r="BF262" i="202"/>
  <c r="BF263" i="202"/>
  <c r="BF264" i="202"/>
  <c r="BF265" i="202"/>
  <c r="BF266" i="202"/>
  <c r="BF267" i="202"/>
  <c r="BF268" i="202"/>
  <c r="BF269" i="202"/>
  <c r="BF270" i="202"/>
  <c r="BF271" i="202"/>
  <c r="BF272" i="202"/>
  <c r="BF273" i="202"/>
  <c r="BF274" i="202"/>
  <c r="BF275" i="202"/>
  <c r="BF276" i="202"/>
  <c r="BF277" i="202"/>
  <c r="BF278" i="202"/>
  <c r="BF279" i="202"/>
  <c r="BF280" i="202"/>
  <c r="BF281" i="202"/>
  <c r="BF282" i="202"/>
  <c r="BF283" i="202"/>
  <c r="BF284" i="202"/>
  <c r="BF285" i="202"/>
  <c r="BF286" i="202"/>
  <c r="BF287" i="202"/>
  <c r="BF288" i="202"/>
  <c r="BF289" i="202"/>
  <c r="BF290" i="202"/>
  <c r="BF291" i="202"/>
  <c r="BF292" i="202"/>
  <c r="BF293" i="202"/>
  <c r="BF294" i="202"/>
  <c r="BF295" i="202"/>
  <c r="BF296" i="202"/>
  <c r="BF297" i="202"/>
  <c r="BF298" i="202"/>
  <c r="BF299" i="202"/>
  <c r="BF300" i="202"/>
  <c r="BF301" i="202"/>
  <c r="BF302" i="202"/>
  <c r="BF303" i="202"/>
  <c r="BF304" i="202"/>
  <c r="BF305" i="202"/>
  <c r="BF306" i="202"/>
  <c r="BF307" i="202"/>
  <c r="BF308" i="202"/>
  <c r="BF309" i="202"/>
  <c r="BF310" i="202"/>
  <c r="BF311" i="202"/>
  <c r="BF312" i="202"/>
  <c r="BF313" i="202"/>
  <c r="BF314" i="202"/>
  <c r="BF315" i="202"/>
  <c r="BF316" i="202"/>
  <c r="BF317" i="202"/>
  <c r="BF318" i="202"/>
  <c r="BF319" i="202"/>
  <c r="BF320" i="202"/>
  <c r="BF321" i="202"/>
  <c r="BF322" i="202"/>
  <c r="BF323" i="202"/>
  <c r="BF324" i="202"/>
  <c r="BF325" i="202"/>
  <c r="BF326" i="202"/>
  <c r="BF327" i="202"/>
  <c r="BF328" i="202"/>
  <c r="BF329" i="202"/>
  <c r="BF330" i="202"/>
  <c r="BF331" i="202"/>
  <c r="BF332" i="202"/>
  <c r="BF333" i="202"/>
  <c r="BF334" i="202"/>
  <c r="BF335" i="202"/>
  <c r="BF336" i="202"/>
  <c r="BF337" i="202"/>
  <c r="BF338" i="202"/>
  <c r="BF339" i="202"/>
  <c r="BF340" i="202"/>
  <c r="BF341" i="202"/>
  <c r="BF342" i="202"/>
  <c r="BF343" i="202"/>
  <c r="BF344" i="202"/>
  <c r="BF345" i="202"/>
  <c r="BF346" i="202"/>
  <c r="BF347" i="202"/>
  <c r="BF348" i="202"/>
  <c r="BF349" i="202"/>
  <c r="BF350" i="202"/>
  <c r="BF351" i="202"/>
  <c r="BF352" i="202"/>
  <c r="BF353" i="202"/>
  <c r="BF354" i="202"/>
  <c r="BF355" i="202"/>
  <c r="BF356" i="202"/>
  <c r="BF357" i="202"/>
  <c r="BF358" i="202"/>
  <c r="BF359" i="202"/>
  <c r="BF360" i="202"/>
  <c r="BF361" i="202"/>
  <c r="BF362" i="202"/>
  <c r="BF363" i="202"/>
  <c r="BF364" i="202"/>
  <c r="BF365" i="202"/>
  <c r="BF366" i="202"/>
  <c r="BF367" i="202"/>
  <c r="BF368" i="202"/>
  <c r="BF369" i="202"/>
  <c r="BF370" i="202"/>
  <c r="BF371" i="202"/>
  <c r="BF372" i="202"/>
  <c r="BF373" i="202"/>
  <c r="BF374" i="202"/>
  <c r="BF375" i="202"/>
  <c r="BF376" i="202"/>
  <c r="BF377" i="202"/>
  <c r="BF378" i="202"/>
  <c r="BF379" i="202"/>
  <c r="BF380" i="202"/>
  <c r="BF381" i="202"/>
  <c r="BF382" i="202"/>
  <c r="BF383" i="202"/>
  <c r="BF384" i="202"/>
  <c r="BF385" i="202"/>
  <c r="BF386" i="202"/>
  <c r="BF387" i="202"/>
  <c r="BF388" i="202"/>
  <c r="BF389" i="202"/>
  <c r="BF390" i="202"/>
  <c r="BF391" i="202"/>
  <c r="BF392" i="202"/>
  <c r="BF393" i="202"/>
  <c r="BF394" i="202"/>
  <c r="BF395" i="202"/>
  <c r="BF396" i="202"/>
  <c r="BF397" i="202"/>
  <c r="BF398" i="202"/>
  <c r="BF399" i="202"/>
  <c r="BF400" i="202"/>
  <c r="BF401" i="202"/>
  <c r="BF402" i="202"/>
  <c r="BF403" i="202"/>
  <c r="BF404" i="202"/>
  <c r="BF405" i="202"/>
  <c r="BF406" i="202"/>
  <c r="BF407" i="202"/>
  <c r="BF408" i="202"/>
  <c r="BF409" i="202"/>
  <c r="BF410" i="202"/>
  <c r="BF411" i="202"/>
  <c r="BF412" i="202"/>
  <c r="BF413" i="202"/>
  <c r="BF414" i="202"/>
  <c r="BF415" i="202"/>
  <c r="BF416" i="202"/>
  <c r="BF417" i="202"/>
  <c r="BF418" i="202"/>
  <c r="BF419" i="202"/>
  <c r="BF420" i="202"/>
  <c r="BF421" i="202"/>
  <c r="BF422" i="202"/>
  <c r="BF423" i="202"/>
  <c r="BF424" i="202"/>
  <c r="BF425" i="202"/>
  <c r="BF426" i="202"/>
  <c r="BF427" i="202"/>
  <c r="BF428" i="202"/>
  <c r="BF429" i="202"/>
  <c r="BF430" i="202"/>
  <c r="BF431" i="202"/>
  <c r="BF432" i="202"/>
  <c r="BF433" i="202"/>
  <c r="BF434" i="202"/>
  <c r="BF435" i="202"/>
  <c r="BF436" i="202"/>
  <c r="BF437" i="202"/>
  <c r="BF438" i="202"/>
  <c r="BF439" i="202"/>
  <c r="BF440" i="202"/>
  <c r="BF441" i="202"/>
  <c r="BF442" i="202"/>
  <c r="BF443" i="202"/>
  <c r="BF444" i="202"/>
  <c r="BF445" i="202"/>
  <c r="BF446" i="202"/>
  <c r="BF447" i="202"/>
  <c r="BF448" i="202"/>
  <c r="BF449" i="202"/>
  <c r="BF450" i="202"/>
  <c r="BF451" i="202"/>
  <c r="BF452" i="202"/>
  <c r="BF453" i="202"/>
  <c r="BF454" i="202"/>
  <c r="BF455" i="202"/>
  <c r="BF456" i="202"/>
  <c r="BF457" i="202"/>
  <c r="BF458" i="202"/>
  <c r="BF459" i="202"/>
  <c r="BF460" i="202"/>
  <c r="BF461" i="202"/>
  <c r="BF462" i="202"/>
  <c r="BF463" i="202"/>
  <c r="BF464" i="202"/>
  <c r="BF465" i="202"/>
  <c r="BF466" i="202"/>
  <c r="BF467" i="202"/>
  <c r="BF468" i="202"/>
  <c r="BF469" i="202"/>
  <c r="BF470" i="202"/>
  <c r="BF471" i="202"/>
  <c r="BF472" i="202"/>
  <c r="BF473" i="202"/>
  <c r="BF474" i="202"/>
  <c r="BF475" i="202"/>
  <c r="BF476" i="202"/>
  <c r="BF477" i="202"/>
  <c r="BF478" i="202"/>
  <c r="BF479" i="202"/>
  <c r="BF480" i="202"/>
  <c r="BF481" i="202"/>
  <c r="BF482" i="202"/>
  <c r="BF483" i="202"/>
  <c r="BF484" i="202"/>
  <c r="BF485" i="202"/>
  <c r="BF486" i="202"/>
  <c r="BF487" i="202"/>
  <c r="BF488" i="202"/>
  <c r="BF489" i="202"/>
  <c r="BF490" i="202"/>
  <c r="BF491" i="202"/>
  <c r="BF492" i="202"/>
  <c r="BF493" i="202"/>
  <c r="BF494" i="202"/>
  <c r="BF495" i="202"/>
  <c r="BF496" i="202"/>
  <c r="BF497" i="202"/>
  <c r="BF498" i="202"/>
  <c r="BF499" i="202"/>
  <c r="BF500" i="202"/>
  <c r="BF501" i="202"/>
  <c r="BF502" i="202"/>
  <c r="BF503" i="202"/>
  <c r="BF504" i="202"/>
  <c r="BF505" i="202"/>
  <c r="BF506" i="202"/>
  <c r="BF507" i="202"/>
  <c r="BF508" i="202"/>
  <c r="BF509" i="202"/>
  <c r="BF510" i="202"/>
  <c r="BF511" i="202"/>
  <c r="BF512" i="202"/>
  <c r="BF513" i="202"/>
  <c r="BF514" i="202"/>
  <c r="BF515" i="202"/>
  <c r="BF516" i="202"/>
  <c r="BF517" i="202"/>
  <c r="BF518" i="202"/>
  <c r="BF519" i="202"/>
  <c r="BF520" i="202"/>
  <c r="BF521" i="202"/>
  <c r="BF522" i="202"/>
  <c r="BF523" i="202"/>
  <c r="BF524" i="202"/>
  <c r="BF525" i="202"/>
  <c r="BF526" i="202"/>
  <c r="BF527" i="202"/>
  <c r="BF528" i="202"/>
  <c r="BF529" i="202"/>
  <c r="BF530" i="202"/>
  <c r="BF531" i="202"/>
  <c r="BF532" i="202"/>
  <c r="BF533" i="202"/>
  <c r="BF534" i="202"/>
  <c r="BF535" i="202"/>
  <c r="BF536" i="202"/>
  <c r="BF537" i="202"/>
  <c r="BF538" i="202"/>
  <c r="BF539" i="202"/>
  <c r="BF540" i="202"/>
  <c r="BF541" i="202"/>
  <c r="BF542" i="202"/>
  <c r="BF543" i="202"/>
  <c r="BF544" i="202"/>
  <c r="BF545" i="202"/>
  <c r="BF546" i="202"/>
  <c r="BF547" i="202"/>
  <c r="BF548" i="202"/>
  <c r="BF549" i="202"/>
  <c r="BF550" i="202"/>
  <c r="BF551" i="202"/>
  <c r="BF552" i="202"/>
  <c r="BF553" i="202"/>
  <c r="BF554" i="202"/>
  <c r="BF555" i="202"/>
  <c r="BF556" i="202"/>
  <c r="BF557" i="202"/>
  <c r="BF558" i="202"/>
  <c r="BF559" i="202"/>
  <c r="BF560" i="202"/>
  <c r="BF561" i="202"/>
  <c r="BF562" i="202"/>
  <c r="BF563" i="202"/>
  <c r="BF564" i="202"/>
  <c r="BF565" i="202"/>
  <c r="BF566" i="202"/>
  <c r="BF567" i="202"/>
  <c r="BF568" i="202"/>
  <c r="BF569" i="202"/>
  <c r="BF570" i="202"/>
  <c r="BF571" i="202"/>
  <c r="BF572" i="202"/>
  <c r="BF573" i="202"/>
  <c r="BF574" i="202"/>
  <c r="BF575" i="202"/>
  <c r="BF576" i="202"/>
  <c r="BF577" i="202"/>
  <c r="BF578" i="202"/>
  <c r="BF579" i="202"/>
  <c r="BF580" i="202"/>
  <c r="BF581" i="202"/>
  <c r="BF582" i="202"/>
  <c r="BF583" i="202"/>
  <c r="BF584" i="202"/>
  <c r="BF585" i="202"/>
  <c r="BF586" i="202"/>
  <c r="BF587" i="202"/>
  <c r="BF588" i="202"/>
  <c r="BF589" i="202"/>
  <c r="BF590" i="202"/>
  <c r="BF591" i="202"/>
  <c r="BF592" i="202"/>
  <c r="BF593" i="202"/>
  <c r="BF594" i="202"/>
  <c r="BF595" i="202"/>
  <c r="BF596" i="202"/>
  <c r="BF597" i="202"/>
  <c r="BF598" i="202"/>
  <c r="BF599" i="202"/>
  <c r="BF600" i="202"/>
  <c r="BF601" i="202"/>
  <c r="BF602" i="202"/>
  <c r="BF603" i="202"/>
  <c r="BF604" i="202"/>
  <c r="BF605" i="202"/>
  <c r="BF606" i="202"/>
  <c r="BF607" i="202"/>
  <c r="BF608" i="202"/>
  <c r="BF609" i="202"/>
  <c r="BF610" i="202"/>
  <c r="BF611" i="202"/>
  <c r="BF612" i="202"/>
  <c r="BF613" i="202"/>
  <c r="BF614" i="202"/>
  <c r="BF615" i="202"/>
  <c r="BF616" i="202"/>
  <c r="BF617" i="202"/>
  <c r="BF618" i="202"/>
  <c r="BF619" i="202"/>
  <c r="BF620" i="202"/>
  <c r="BF621" i="202"/>
  <c r="BF622" i="202"/>
  <c r="BF623" i="202"/>
  <c r="BF624" i="202"/>
  <c r="BF625" i="202"/>
  <c r="BF626" i="202"/>
  <c r="BF627" i="202"/>
  <c r="BF628" i="202"/>
  <c r="BF629" i="202"/>
  <c r="BF630" i="202"/>
  <c r="BF631" i="202"/>
  <c r="BF632" i="202"/>
  <c r="BF633" i="202"/>
  <c r="BF634" i="202"/>
  <c r="BF635" i="202"/>
  <c r="BF636" i="202"/>
  <c r="BF637" i="202"/>
  <c r="BF638" i="202"/>
  <c r="BF639" i="202"/>
  <c r="BF640" i="202"/>
  <c r="BF641" i="202"/>
  <c r="BF642" i="202"/>
  <c r="BF643" i="202"/>
  <c r="BF644" i="202"/>
  <c r="BF645" i="202"/>
  <c r="BF646" i="202"/>
  <c r="BF647" i="202"/>
  <c r="BF648" i="202"/>
  <c r="BF649" i="202"/>
  <c r="BF650" i="202"/>
  <c r="BF651" i="202"/>
  <c r="BF652" i="202"/>
  <c r="BF653" i="202"/>
  <c r="BF654" i="202"/>
  <c r="BF655" i="202"/>
  <c r="BF656" i="202"/>
  <c r="BF657" i="202"/>
  <c r="BF658" i="202"/>
  <c r="BF659" i="202"/>
  <c r="BF660" i="202"/>
  <c r="BF661" i="202"/>
  <c r="BF662" i="202"/>
  <c r="BF663" i="202"/>
  <c r="BF664" i="202"/>
  <c r="BF665" i="202"/>
  <c r="BF666" i="202"/>
  <c r="BF667" i="202"/>
  <c r="BF668" i="202"/>
  <c r="BF669" i="202"/>
  <c r="BF670" i="202"/>
  <c r="BF671" i="202"/>
  <c r="BF672" i="202"/>
  <c r="BF673" i="202"/>
  <c r="BF674" i="202"/>
  <c r="BF675" i="202"/>
  <c r="BF676" i="202"/>
  <c r="BF677" i="202"/>
  <c r="BF678" i="202"/>
  <c r="BF679" i="202"/>
  <c r="BF680" i="202"/>
  <c r="BF681" i="202"/>
  <c r="BF682" i="202"/>
  <c r="BF683" i="202"/>
  <c r="BF684" i="202"/>
  <c r="BF685" i="202"/>
  <c r="BF686" i="202"/>
  <c r="BF687" i="202"/>
  <c r="BF688" i="202"/>
  <c r="BF689" i="202"/>
  <c r="BF690" i="202"/>
  <c r="BF691" i="202"/>
  <c r="BF692" i="202"/>
  <c r="BF693" i="202"/>
  <c r="BF694" i="202"/>
  <c r="BF695" i="202"/>
  <c r="BF696" i="202"/>
  <c r="BF697" i="202"/>
  <c r="BF698" i="202"/>
  <c r="BF699" i="202"/>
  <c r="BF700" i="202"/>
  <c r="BF701" i="202"/>
  <c r="BF702" i="202"/>
  <c r="BF703" i="202"/>
  <c r="BF704" i="202"/>
  <c r="BF705" i="202"/>
  <c r="BF706" i="202"/>
  <c r="BF707" i="202"/>
  <c r="BF708" i="202"/>
  <c r="BF709" i="202"/>
  <c r="BF710" i="202"/>
  <c r="BF711" i="202"/>
  <c r="BF712" i="202"/>
  <c r="BF713" i="202"/>
  <c r="BF714" i="202"/>
  <c r="BF715" i="202"/>
  <c r="BF716" i="202"/>
  <c r="BF717" i="202"/>
  <c r="BF718" i="202"/>
  <c r="BF719" i="202"/>
  <c r="BF720" i="202"/>
  <c r="BF721" i="202"/>
  <c r="BF722" i="202"/>
  <c r="BF723" i="202"/>
  <c r="BF724" i="202"/>
  <c r="BF725" i="202"/>
  <c r="BF726" i="202"/>
  <c r="BF727" i="202"/>
  <c r="BF728" i="202"/>
  <c r="BF729" i="202"/>
  <c r="BF730" i="202"/>
  <c r="BF731" i="202"/>
  <c r="BF732" i="202"/>
  <c r="BF733" i="202"/>
  <c r="BF734" i="202"/>
  <c r="BF735" i="202"/>
  <c r="BF736" i="202"/>
  <c r="BF737" i="202"/>
  <c r="BF738" i="202"/>
  <c r="BF739" i="202"/>
  <c r="BF740" i="202"/>
  <c r="BF741" i="202"/>
  <c r="BF742" i="202"/>
  <c r="BF743" i="202"/>
  <c r="BF744" i="202"/>
  <c r="BF745" i="202"/>
  <c r="BF746" i="202"/>
  <c r="BF747" i="202"/>
  <c r="BF748" i="202"/>
  <c r="BF749" i="202"/>
  <c r="BF750" i="202"/>
  <c r="BF751" i="202"/>
  <c r="BF752" i="202"/>
  <c r="BF753" i="202"/>
  <c r="BF754" i="202"/>
  <c r="BF755" i="202"/>
  <c r="BF756" i="202"/>
  <c r="BF757" i="202"/>
  <c r="BF758" i="202"/>
  <c r="BF759" i="202"/>
  <c r="BF760" i="202"/>
  <c r="BF761" i="202"/>
  <c r="BF762" i="202"/>
  <c r="BF763" i="202"/>
  <c r="BF764" i="202"/>
  <c r="BF765" i="202"/>
  <c r="BF766" i="202"/>
  <c r="BF767" i="202"/>
  <c r="BF768" i="202"/>
  <c r="BF769" i="202"/>
  <c r="BF770" i="202"/>
  <c r="BF771" i="202"/>
  <c r="BF772" i="202"/>
  <c r="BF773" i="202"/>
  <c r="BF774" i="202"/>
  <c r="BF775" i="202"/>
  <c r="BF776" i="202"/>
  <c r="BF777" i="202"/>
  <c r="BF778" i="202"/>
  <c r="BF779" i="202"/>
  <c r="BF780" i="202"/>
  <c r="BF781" i="202"/>
  <c r="BF782" i="202"/>
  <c r="BF783" i="202"/>
  <c r="BF784" i="202"/>
  <c r="BF785" i="202"/>
  <c r="BF786" i="202"/>
  <c r="BF787" i="202"/>
  <c r="BF788" i="202"/>
  <c r="BF789" i="202"/>
  <c r="BF790" i="202"/>
  <c r="BF791" i="202"/>
  <c r="BF792" i="202"/>
  <c r="BF793" i="202"/>
  <c r="BF794" i="202"/>
  <c r="BF795" i="202"/>
  <c r="BF796" i="202"/>
  <c r="BF797" i="202"/>
  <c r="BF798" i="202"/>
  <c r="BF799" i="202"/>
  <c r="BF800" i="202"/>
  <c r="BF801" i="202"/>
  <c r="BF802" i="202"/>
  <c r="BF803" i="202"/>
  <c r="BF804" i="202"/>
  <c r="BF805" i="202"/>
  <c r="BF806" i="202"/>
  <c r="BF807" i="202"/>
  <c r="BF808" i="202"/>
  <c r="BF809" i="202"/>
  <c r="BF810" i="202"/>
  <c r="BF811" i="202"/>
  <c r="BF812" i="202"/>
  <c r="BF813" i="202"/>
  <c r="BF814" i="202"/>
  <c r="BF815" i="202"/>
  <c r="BF816" i="202"/>
  <c r="BF817" i="202"/>
  <c r="BF818" i="202"/>
  <c r="BF819" i="202"/>
  <c r="BF820" i="202"/>
  <c r="BF821" i="202"/>
  <c r="BF822" i="202"/>
  <c r="BF823" i="202"/>
  <c r="BF824" i="202"/>
  <c r="BF825" i="202"/>
  <c r="BF826" i="202"/>
  <c r="BF827" i="202"/>
  <c r="BF828" i="202"/>
  <c r="BF829" i="202"/>
  <c r="BF830" i="202"/>
  <c r="BF831" i="202"/>
  <c r="BF832" i="202"/>
  <c r="BF833" i="202"/>
  <c r="BF834" i="202"/>
  <c r="BF835" i="202"/>
  <c r="BF836" i="202"/>
  <c r="BF837" i="202"/>
  <c r="BF838" i="202"/>
  <c r="BF839" i="202"/>
  <c r="BF840" i="202"/>
  <c r="BF841" i="202"/>
  <c r="BF842" i="202"/>
  <c r="BF843" i="202"/>
  <c r="BF844" i="202"/>
  <c r="BF845" i="202"/>
  <c r="BF846" i="202"/>
  <c r="BF847" i="202"/>
  <c r="BF848" i="202"/>
  <c r="BF849" i="202"/>
  <c r="BF850" i="202"/>
  <c r="BF851" i="202"/>
  <c r="BF852" i="202"/>
  <c r="BF853" i="202"/>
  <c r="BF854" i="202"/>
  <c r="BF855" i="202"/>
  <c r="BF856" i="202"/>
  <c r="BF857" i="202"/>
  <c r="BF858" i="202"/>
  <c r="BF859" i="202"/>
  <c r="BF860" i="202"/>
  <c r="BF861" i="202"/>
  <c r="BF862" i="202"/>
  <c r="BF863" i="202"/>
  <c r="BF864" i="202"/>
  <c r="BF865" i="202"/>
  <c r="BF866" i="202"/>
  <c r="BF867" i="202"/>
  <c r="BF868" i="202"/>
  <c r="BF869" i="202"/>
  <c r="BF870" i="202"/>
  <c r="BF871" i="202"/>
  <c r="BF872" i="202"/>
  <c r="BF873" i="202"/>
  <c r="BF874" i="202"/>
  <c r="BF875" i="202"/>
  <c r="BF876" i="202"/>
  <c r="BF877" i="202"/>
  <c r="BF878" i="202"/>
  <c r="BF879" i="202"/>
  <c r="BF880" i="202"/>
  <c r="BF881" i="202"/>
  <c r="BF882" i="202"/>
  <c r="BF883" i="202"/>
  <c r="BF884" i="202"/>
  <c r="BF885" i="202"/>
  <c r="BF886" i="202"/>
  <c r="BF887" i="202"/>
  <c r="BF888" i="202"/>
  <c r="BF889" i="202"/>
  <c r="BF890" i="202"/>
  <c r="BF891" i="202"/>
  <c r="BF892" i="202"/>
  <c r="BF893" i="202"/>
  <c r="BF894" i="202"/>
  <c r="BF895" i="202"/>
  <c r="BF896" i="202"/>
  <c r="BF897" i="202"/>
  <c r="BF898" i="202"/>
  <c r="BF899" i="202"/>
  <c r="BF900" i="202"/>
  <c r="BF901" i="202"/>
  <c r="BF902" i="202"/>
  <c r="BF903" i="202"/>
  <c r="BF904" i="202"/>
  <c r="BF905" i="202"/>
  <c r="BF906" i="202"/>
  <c r="BF907" i="202"/>
  <c r="BF908" i="202"/>
  <c r="BF909" i="202"/>
  <c r="BF910" i="202"/>
  <c r="BF911" i="202"/>
  <c r="BF912" i="202"/>
  <c r="BF913" i="202"/>
  <c r="BF914" i="202"/>
  <c r="BF915" i="202"/>
  <c r="BF916" i="202"/>
  <c r="BF917" i="202"/>
  <c r="BF918" i="202"/>
  <c r="BF919" i="202"/>
  <c r="BF920" i="202"/>
  <c r="BF921" i="202"/>
  <c r="BF922" i="202"/>
  <c r="BF923" i="202"/>
  <c r="BF924" i="202"/>
  <c r="BF925" i="202"/>
  <c r="BF926" i="202"/>
  <c r="BF927" i="202"/>
  <c r="BF928" i="202"/>
  <c r="BF929" i="202"/>
  <c r="BF930" i="202"/>
  <c r="BF931" i="202"/>
  <c r="BF932" i="202"/>
  <c r="BF933" i="202"/>
  <c r="BF934" i="202"/>
  <c r="BF935" i="202"/>
  <c r="BF936" i="202"/>
  <c r="BF937" i="202"/>
  <c r="BF938" i="202"/>
  <c r="BF939" i="202"/>
  <c r="BF940" i="202"/>
  <c r="BF941" i="202"/>
  <c r="BF942" i="202"/>
  <c r="BF943" i="202"/>
  <c r="BF944" i="202"/>
  <c r="BF945" i="202"/>
  <c r="BF946" i="202"/>
  <c r="BF947" i="202"/>
  <c r="BF948" i="202"/>
  <c r="BF949" i="202"/>
  <c r="BF950" i="202"/>
  <c r="BF951" i="202"/>
  <c r="BF952" i="202"/>
  <c r="BF953" i="202"/>
  <c r="BF954" i="202"/>
  <c r="BF955" i="202"/>
  <c r="BF956" i="202"/>
  <c r="BF957" i="202"/>
  <c r="BF958" i="202"/>
  <c r="BF959" i="202"/>
  <c r="BF960" i="202"/>
  <c r="BF961" i="202"/>
  <c r="BF962" i="202"/>
  <c r="BF963" i="202"/>
  <c r="BF964" i="202"/>
  <c r="BF965" i="202"/>
  <c r="BF966" i="202"/>
  <c r="BF967" i="202"/>
  <c r="BF968" i="202"/>
  <c r="BF969" i="202"/>
  <c r="BF970" i="202"/>
  <c r="BF971" i="202"/>
  <c r="BF972" i="202"/>
  <c r="BF973" i="202"/>
  <c r="BF974" i="202"/>
  <c r="BF975" i="202"/>
  <c r="BF976" i="202"/>
  <c r="BF977" i="202"/>
  <c r="BF978" i="202"/>
  <c r="BF979" i="202"/>
  <c r="BF980" i="202"/>
  <c r="BF981" i="202"/>
  <c r="BF982" i="202"/>
  <c r="BF983" i="202"/>
  <c r="BF984" i="202"/>
  <c r="BF985" i="202"/>
  <c r="BF986" i="202"/>
  <c r="BF987" i="202"/>
  <c r="BF988" i="202"/>
  <c r="BF989" i="202"/>
  <c r="BF990" i="202"/>
  <c r="BF991" i="202"/>
  <c r="BF992" i="202"/>
  <c r="BF993" i="202"/>
  <c r="BF994" i="202"/>
  <c r="BF995" i="202"/>
  <c r="BF996" i="202"/>
  <c r="BF997" i="202"/>
  <c r="BF998" i="202"/>
  <c r="BF999" i="202"/>
  <c r="BF1000" i="202"/>
  <c r="BF1001" i="202"/>
  <c r="BF1002" i="202"/>
  <c r="BF1003" i="202"/>
  <c r="BF1004" i="202"/>
  <c r="BF1005" i="202"/>
  <c r="BF1006" i="202"/>
  <c r="BF1007" i="202"/>
  <c r="BF1008" i="202"/>
  <c r="BF1009" i="202"/>
  <c r="BF1010" i="202"/>
  <c r="BF1011" i="202"/>
  <c r="BF1012" i="202"/>
  <c r="BF1013" i="202"/>
  <c r="BF1014" i="202"/>
  <c r="BF1015" i="202"/>
  <c r="BF1016" i="202"/>
  <c r="BF1017" i="202"/>
  <c r="BF1018" i="202"/>
  <c r="BF1019" i="202"/>
  <c r="BF1020" i="202"/>
  <c r="BF1021" i="202"/>
  <c r="BF1022" i="202"/>
  <c r="BF1023" i="202"/>
  <c r="BF1024" i="202"/>
  <c r="BF1025" i="202"/>
  <c r="BF1026" i="202"/>
  <c r="BF1027" i="202"/>
  <c r="BF1028" i="202"/>
  <c r="BF1029" i="202"/>
  <c r="BF1030" i="202"/>
  <c r="BF1031" i="202"/>
  <c r="BF1032" i="202"/>
  <c r="BF1033" i="202"/>
  <c r="BF1034" i="202"/>
  <c r="BF1035" i="202"/>
  <c r="BF1036" i="202"/>
  <c r="BF1037" i="202"/>
  <c r="BF1038" i="202"/>
  <c r="BF1039" i="202"/>
  <c r="BF1040" i="202"/>
  <c r="BF1041" i="202"/>
  <c r="BF1042" i="202"/>
  <c r="BF1043" i="202"/>
  <c r="BF1044" i="202"/>
  <c r="BF1045" i="202"/>
  <c r="BF1046" i="202"/>
  <c r="BF1047" i="202"/>
  <c r="BF1048" i="202"/>
  <c r="BF1049" i="202"/>
  <c r="BF1050" i="202"/>
  <c r="BF1051" i="202"/>
  <c r="BF1052" i="202"/>
  <c r="BF1053" i="202"/>
  <c r="BF1054" i="202"/>
  <c r="BF1055" i="202"/>
  <c r="BF1056" i="202"/>
  <c r="BF1057" i="202"/>
  <c r="BF1058" i="202"/>
  <c r="BF1059" i="202"/>
  <c r="BF1060" i="202"/>
  <c r="BF1061" i="202"/>
  <c r="BF1062" i="202"/>
  <c r="BF1063" i="202"/>
  <c r="BF1064" i="202"/>
  <c r="BF1065" i="202"/>
  <c r="BF1066" i="202"/>
  <c r="BF1067" i="202"/>
  <c r="BF1068" i="202"/>
  <c r="BF1069" i="202"/>
  <c r="BF1070" i="202"/>
  <c r="BF1071" i="202"/>
  <c r="BF1072" i="202"/>
  <c r="BF1073" i="202"/>
  <c r="BF1074" i="202"/>
  <c r="BF1075" i="202"/>
  <c r="BF1076" i="202"/>
  <c r="BF1077" i="202"/>
  <c r="BF1078" i="202"/>
  <c r="BF1079" i="202"/>
  <c r="BF1080" i="202"/>
  <c r="BF1081" i="202"/>
  <c r="BF1082" i="202"/>
  <c r="BF1083" i="202"/>
  <c r="BF1084" i="202"/>
  <c r="BF1085" i="202"/>
  <c r="BF1086" i="202"/>
  <c r="BF1087" i="202"/>
  <c r="BF1088" i="202"/>
  <c r="BF1089" i="202"/>
  <c r="BF1090" i="202"/>
  <c r="BF1091" i="202"/>
  <c r="BF1092" i="202"/>
  <c r="BF1093" i="202"/>
  <c r="BF1094" i="202"/>
  <c r="BF1095" i="202"/>
  <c r="BF1096" i="202"/>
  <c r="BF1097" i="202"/>
  <c r="BF1098" i="202"/>
  <c r="BF1099" i="202"/>
  <c r="BF1100" i="202"/>
  <c r="BF1101" i="202"/>
  <c r="BF1102" i="202"/>
  <c r="BF1103" i="202"/>
  <c r="BF1104" i="202"/>
  <c r="BF1105" i="202"/>
  <c r="BF1106" i="202"/>
  <c r="BF1107" i="202"/>
  <c r="BF1108" i="202"/>
  <c r="BF1109" i="202"/>
  <c r="BF1110" i="202"/>
  <c r="BF1111" i="202"/>
  <c r="BF1112" i="202"/>
  <c r="BF1113" i="202"/>
  <c r="BF1114" i="202"/>
  <c r="BF1115" i="202"/>
  <c r="BF1116" i="202"/>
  <c r="BF1117" i="202"/>
  <c r="BF1118" i="202"/>
  <c r="BF1119" i="202"/>
  <c r="BF1120" i="202"/>
  <c r="BF1121" i="202"/>
  <c r="BF1122" i="202"/>
  <c r="BF1123" i="202"/>
  <c r="BF1124" i="202"/>
  <c r="BF1125" i="202"/>
  <c r="BF1126" i="202"/>
  <c r="BF1127" i="202"/>
  <c r="BF1128" i="202"/>
  <c r="BF1129" i="202"/>
  <c r="BF1130" i="202"/>
  <c r="BF1131" i="202"/>
  <c r="BF1132" i="202"/>
  <c r="BF1133" i="202"/>
  <c r="BF1134" i="202"/>
  <c r="BF1135" i="202"/>
  <c r="BF1136" i="202"/>
  <c r="BF1137" i="202"/>
  <c r="BF1138" i="202"/>
  <c r="BF1139" i="202"/>
  <c r="BF1140" i="202"/>
  <c r="BF1141" i="202"/>
  <c r="BF1142" i="202"/>
  <c r="BF1143" i="202"/>
  <c r="BF1144" i="202"/>
  <c r="BF1145" i="202"/>
  <c r="BF1146" i="202"/>
  <c r="BF1147" i="202"/>
  <c r="BF1148" i="202"/>
  <c r="BF1149" i="202"/>
  <c r="BF1150" i="202"/>
  <c r="BF1151" i="202"/>
  <c r="BF1152" i="202"/>
  <c r="BF1153" i="202"/>
  <c r="BF1154" i="202"/>
  <c r="BF1155" i="202"/>
  <c r="BF1156" i="202"/>
  <c r="BF1157" i="202"/>
  <c r="BF1158" i="202"/>
  <c r="BF1159" i="202"/>
  <c r="BF1160" i="202"/>
  <c r="BF1161" i="202"/>
  <c r="BF1162" i="202"/>
  <c r="BF1163" i="202"/>
  <c r="BF1164" i="202"/>
  <c r="BF1165" i="202"/>
  <c r="BF1166" i="202"/>
  <c r="BF1167" i="202"/>
  <c r="BF1168" i="202"/>
  <c r="BF1169" i="202"/>
  <c r="BF1170" i="202"/>
  <c r="BF1171" i="202"/>
  <c r="BF1172" i="202"/>
  <c r="BF1173" i="202"/>
  <c r="BF1174" i="202"/>
  <c r="BF1175" i="202"/>
  <c r="BF1176" i="202"/>
  <c r="BF1177" i="202"/>
  <c r="BF1178" i="202"/>
  <c r="BF1179" i="202"/>
  <c r="BF1180" i="202"/>
  <c r="BF1181" i="202"/>
  <c r="BF1182" i="202"/>
  <c r="BF1183" i="202"/>
  <c r="BF1184" i="202"/>
  <c r="BF1185" i="202"/>
  <c r="BF1186" i="202"/>
  <c r="BF1187" i="202"/>
  <c r="BF1188" i="202"/>
  <c r="BF1189" i="202"/>
  <c r="BF1190" i="202"/>
  <c r="BF1191" i="202"/>
  <c r="BF1192" i="202"/>
  <c r="BF1193" i="202"/>
  <c r="BF1194" i="202"/>
  <c r="BF1195" i="202"/>
  <c r="BF1196" i="202"/>
  <c r="BF1197" i="202"/>
  <c r="BF1198" i="202"/>
  <c r="BF1199" i="202"/>
  <c r="BF1200" i="202"/>
  <c r="BF1201" i="202"/>
  <c r="BF1202" i="202"/>
  <c r="BF1203" i="202"/>
  <c r="BF1204" i="202"/>
  <c r="BF1205" i="202"/>
  <c r="BF1206" i="202"/>
  <c r="BF1207" i="202"/>
  <c r="BF1208" i="202"/>
  <c r="BF1209" i="202"/>
  <c r="BF1210" i="202"/>
  <c r="BF1211" i="202"/>
  <c r="BF1212" i="202"/>
  <c r="BF1213" i="202"/>
  <c r="BF1214" i="202"/>
  <c r="BF1215" i="202"/>
  <c r="BF1216" i="202"/>
  <c r="BF1217" i="202"/>
  <c r="BF1218" i="202"/>
  <c r="BF1219" i="202"/>
  <c r="BF1220" i="202"/>
  <c r="BF1221" i="202"/>
  <c r="BF1222" i="202"/>
  <c r="BF1223" i="202"/>
  <c r="BF1224" i="202"/>
  <c r="BF1225" i="202"/>
  <c r="BF1226" i="202"/>
  <c r="BF1227" i="202"/>
  <c r="BF1228" i="202"/>
  <c r="BF1229" i="202"/>
  <c r="BF1230" i="202"/>
  <c r="BF1231" i="202"/>
  <c r="BF1232" i="202"/>
  <c r="BF1233" i="202"/>
  <c r="BF1234" i="202"/>
  <c r="BF1235" i="202"/>
  <c r="BF1236" i="202"/>
  <c r="BF1237" i="202"/>
  <c r="BF1238" i="202"/>
  <c r="BF1239" i="202"/>
  <c r="BF1240" i="202"/>
  <c r="BF1241" i="202"/>
  <c r="BF1242" i="202"/>
  <c r="BF1243" i="202"/>
  <c r="BF1244" i="202"/>
  <c r="BF1245" i="202"/>
  <c r="BF1246" i="202"/>
  <c r="BF1247" i="202"/>
  <c r="BF1248" i="202"/>
  <c r="BF1249" i="202"/>
  <c r="BF1250" i="202"/>
  <c r="BF1251" i="202"/>
  <c r="BF1252" i="202"/>
  <c r="BF1253" i="202"/>
  <c r="BF1254" i="202"/>
  <c r="BF1255" i="202"/>
  <c r="BF1256" i="202"/>
  <c r="BF1257" i="202"/>
  <c r="BF1258" i="202"/>
  <c r="BF1259" i="202"/>
  <c r="BF1260" i="202"/>
  <c r="BF1261" i="202"/>
  <c r="BF1262" i="202"/>
  <c r="BF1263" i="202"/>
  <c r="BF1264" i="202"/>
  <c r="BF1265" i="202"/>
  <c r="BF1266" i="202"/>
  <c r="BF1267" i="202"/>
  <c r="BF1268" i="202"/>
  <c r="BF1269" i="202"/>
  <c r="BF1270" i="202"/>
  <c r="BF1271" i="202"/>
  <c r="BF1272" i="202"/>
  <c r="BF1273" i="202"/>
  <c r="BF1274" i="202"/>
  <c r="BF1275" i="202"/>
  <c r="BF1276" i="202"/>
  <c r="BF1277" i="202"/>
  <c r="BF1278" i="202"/>
  <c r="BF1279" i="202"/>
  <c r="BF1280" i="202"/>
  <c r="BF1281" i="202"/>
  <c r="BF1282" i="202"/>
  <c r="BF1283" i="202"/>
  <c r="BF1284" i="202"/>
  <c r="BF1285" i="202"/>
  <c r="BF1286" i="202"/>
  <c r="BF1287" i="202"/>
  <c r="BF1288" i="202"/>
  <c r="BF1289" i="202"/>
  <c r="BF1290" i="202"/>
  <c r="BF1291" i="202"/>
  <c r="BF1292" i="202"/>
  <c r="BF1293" i="202"/>
  <c r="BF1294" i="202"/>
  <c r="BF1295" i="202"/>
  <c r="BF1296" i="202"/>
  <c r="BF1297" i="202"/>
  <c r="BF1298" i="202"/>
  <c r="BF1299" i="202"/>
  <c r="BF1300" i="202"/>
  <c r="BF1301" i="202"/>
  <c r="BF1302" i="202"/>
  <c r="BF1303" i="202"/>
  <c r="BF1304" i="202"/>
  <c r="BF1305" i="202"/>
  <c r="BF1306" i="202"/>
  <c r="BF1307" i="202"/>
  <c r="BF1308" i="202"/>
  <c r="BF1309" i="202"/>
  <c r="BF1310" i="202"/>
  <c r="BF1311" i="202"/>
  <c r="BF1312" i="202"/>
  <c r="BF1313" i="202"/>
  <c r="BF1314" i="202"/>
  <c r="BF1315" i="202"/>
  <c r="BF1316" i="202"/>
  <c r="BF1317" i="202"/>
  <c r="BF1318" i="202"/>
  <c r="BF1319" i="202"/>
  <c r="BF1320" i="202"/>
  <c r="BF1321" i="202"/>
  <c r="BF1322" i="202"/>
  <c r="BF1323" i="202"/>
  <c r="BF1324" i="202"/>
  <c r="BF1325" i="202"/>
  <c r="BF1326" i="202"/>
  <c r="BF1327" i="202"/>
  <c r="BF1328" i="202"/>
  <c r="BF1329" i="202"/>
  <c r="BF1330" i="202"/>
  <c r="BF1331" i="202"/>
  <c r="BF1332" i="202"/>
  <c r="BF1333" i="202"/>
  <c r="BF1334" i="202"/>
  <c r="BF1335" i="202"/>
  <c r="BF1336" i="202"/>
  <c r="BF1337" i="202"/>
  <c r="BF1338" i="202"/>
  <c r="BF1339" i="202"/>
  <c r="BF1340" i="202"/>
  <c r="BF1341" i="202"/>
  <c r="BF1342" i="202"/>
  <c r="BF1343" i="202"/>
  <c r="BF1344" i="202"/>
  <c r="BF1345" i="202"/>
  <c r="BF1346" i="202"/>
  <c r="BF1347" i="202"/>
  <c r="BF1348" i="202"/>
  <c r="BF1349" i="202"/>
  <c r="BF1350" i="202"/>
  <c r="BF1351" i="202"/>
  <c r="BF1352" i="202"/>
  <c r="BF1353" i="202"/>
  <c r="BF1354" i="202"/>
  <c r="BF1355" i="202"/>
  <c r="BF1356" i="202"/>
  <c r="BF1357" i="202"/>
  <c r="BF1358" i="202"/>
  <c r="BF1359" i="202"/>
  <c r="BF1360" i="202"/>
  <c r="BF1361" i="202"/>
  <c r="BF1362" i="202"/>
  <c r="BF1363" i="202"/>
  <c r="BF1364" i="202"/>
  <c r="BF1365" i="202"/>
  <c r="BF1366" i="202"/>
  <c r="BF1367" i="202"/>
  <c r="BF1368" i="202"/>
  <c r="BF1369" i="202"/>
  <c r="BF1370" i="202"/>
  <c r="BF1371" i="202"/>
  <c r="BF1372" i="202"/>
  <c r="BF1373" i="202"/>
  <c r="BF1374" i="202"/>
  <c r="BF1375" i="202"/>
  <c r="BF1376" i="202"/>
  <c r="BF1377" i="202"/>
  <c r="BF1378" i="202"/>
  <c r="BF1379" i="202"/>
  <c r="BF1380" i="202"/>
  <c r="BF1381" i="202"/>
  <c r="BF1382" i="202"/>
  <c r="BF1383" i="202"/>
  <c r="BF1384" i="202"/>
  <c r="BF1385" i="202"/>
  <c r="BF1386" i="202"/>
  <c r="BF1387" i="202"/>
  <c r="BF1388" i="202"/>
  <c r="BF1389" i="202"/>
  <c r="BF1390" i="202"/>
  <c r="BF1391" i="202"/>
  <c r="BF1392" i="202"/>
  <c r="BF1393" i="202"/>
  <c r="BF1394" i="202"/>
  <c r="BF1395" i="202"/>
  <c r="BF1396" i="202"/>
  <c r="BF1397" i="202"/>
  <c r="BF1398" i="202"/>
  <c r="BF1399" i="202"/>
  <c r="BF1400" i="202"/>
  <c r="BF1401" i="202"/>
  <c r="BF1402" i="202"/>
  <c r="BF1403" i="202"/>
  <c r="BF1404" i="202"/>
  <c r="BF1405" i="202"/>
  <c r="BF1406" i="202"/>
  <c r="BF1407" i="202"/>
  <c r="BF1408" i="202"/>
  <c r="BF1409" i="202"/>
  <c r="BF1410" i="202"/>
  <c r="BF1411" i="202"/>
  <c r="BF1412" i="202"/>
  <c r="BF1413" i="202"/>
  <c r="BF1414" i="202"/>
  <c r="BF1415" i="202"/>
  <c r="BF1416" i="202"/>
  <c r="BF1417" i="202"/>
  <c r="BF1418" i="202"/>
  <c r="BF1419" i="202"/>
  <c r="BF1420" i="202"/>
  <c r="BF1421" i="202"/>
  <c r="BF1422" i="202"/>
  <c r="BF1423" i="202"/>
  <c r="BF1424" i="202"/>
  <c r="BF1425" i="202"/>
  <c r="BF1426" i="202"/>
  <c r="BF1427" i="202"/>
  <c r="BF1428" i="202"/>
  <c r="BF1429" i="202"/>
  <c r="BF1430" i="202"/>
  <c r="BF1431" i="202"/>
  <c r="BF1432" i="202"/>
  <c r="BF1433" i="202"/>
  <c r="BF1434" i="202"/>
  <c r="BF1435" i="202"/>
  <c r="BF1436" i="202"/>
  <c r="BF1437" i="202"/>
  <c r="BF1438" i="202"/>
  <c r="BF1439" i="202"/>
  <c r="BF1440" i="202"/>
  <c r="BF1441" i="202"/>
  <c r="BF1442" i="202"/>
  <c r="BF1443" i="202"/>
  <c r="BF1444" i="202"/>
  <c r="BF1445" i="202"/>
  <c r="BF1446" i="202"/>
  <c r="BF1447" i="202"/>
  <c r="BF1448" i="202"/>
  <c r="BF1449" i="202"/>
  <c r="BF1450" i="202"/>
  <c r="BF1451" i="202"/>
  <c r="BF1452" i="202"/>
  <c r="BF1453" i="202"/>
  <c r="BF1454" i="202"/>
  <c r="BF1455" i="202"/>
  <c r="BF1456" i="202"/>
  <c r="BF1457" i="202"/>
  <c r="BF1458" i="202"/>
  <c r="BF1459" i="202"/>
  <c r="BF1460" i="202"/>
  <c r="BF1461" i="202"/>
  <c r="BF1462" i="202"/>
  <c r="BF1463" i="202"/>
  <c r="BF1464" i="202"/>
  <c r="BF1465" i="202"/>
  <c r="BF1466" i="202"/>
  <c r="BF1467" i="202"/>
  <c r="BF1468" i="202"/>
  <c r="BF1469" i="202"/>
  <c r="BF1470" i="202"/>
  <c r="BF1471" i="202"/>
  <c r="BF1472" i="202"/>
  <c r="BF1473" i="202"/>
  <c r="BF1474" i="202"/>
  <c r="BF1475" i="202"/>
  <c r="BF1476" i="202"/>
  <c r="BF1477" i="202"/>
  <c r="BF1478" i="202"/>
  <c r="BF1479" i="202"/>
  <c r="BF1480" i="202"/>
  <c r="BF1481" i="202"/>
  <c r="BF1482" i="202"/>
  <c r="BF1483" i="202"/>
  <c r="BF1484" i="202"/>
  <c r="BF1485" i="202"/>
  <c r="BF1486" i="202"/>
  <c r="BF1487" i="202"/>
  <c r="BF1488" i="202"/>
  <c r="BF1489" i="202"/>
  <c r="BF1490" i="202"/>
  <c r="BF1491" i="202"/>
  <c r="BF1492" i="202"/>
  <c r="BF1493" i="202"/>
  <c r="BF1494" i="202"/>
  <c r="BF1495" i="202"/>
  <c r="BF1496" i="202"/>
  <c r="BF1497" i="202"/>
  <c r="BF1498" i="202"/>
  <c r="BF1499" i="202"/>
  <c r="BF1500" i="202"/>
  <c r="BF1501" i="202"/>
  <c r="BF1502" i="202"/>
  <c r="BF1503" i="202"/>
  <c r="BF1504" i="202"/>
  <c r="BF1505" i="202"/>
  <c r="BF1506" i="202"/>
  <c r="BF1507" i="202"/>
  <c r="BF1508" i="202"/>
  <c r="BF1509" i="202"/>
  <c r="BF1510" i="202"/>
  <c r="BF1511" i="202"/>
  <c r="BF1512" i="202"/>
  <c r="BF1513" i="202"/>
  <c r="BF1514" i="202"/>
  <c r="BF1515" i="202"/>
  <c r="BF1516" i="202"/>
  <c r="BF1517" i="202"/>
  <c r="BF1518" i="202"/>
  <c r="BF1519" i="202"/>
  <c r="BF1520" i="202"/>
  <c r="BF1521" i="202"/>
  <c r="BF1522" i="202"/>
  <c r="BF1523" i="202"/>
  <c r="BF1524" i="202"/>
  <c r="BF1525" i="202"/>
  <c r="BF1526" i="202"/>
  <c r="BF1527" i="202"/>
  <c r="BF1528" i="202"/>
  <c r="BF1529" i="202"/>
  <c r="BF1530" i="202"/>
  <c r="BF1531" i="202"/>
  <c r="BF1532" i="202"/>
  <c r="BF1533" i="202"/>
  <c r="BF1534" i="202"/>
  <c r="BF1535" i="202"/>
  <c r="BF1536" i="202"/>
  <c r="BF1537" i="202"/>
  <c r="BF1538" i="202"/>
  <c r="BF1539" i="202"/>
  <c r="BF1540" i="202"/>
  <c r="BF1541" i="202"/>
  <c r="BF1542" i="202"/>
  <c r="BF1543" i="202"/>
  <c r="BF1544" i="202"/>
  <c r="BF1545" i="202"/>
  <c r="BF1546" i="202"/>
  <c r="BF1547" i="202"/>
  <c r="BF1548" i="202"/>
  <c r="BF1549" i="202"/>
  <c r="BF1550" i="202"/>
  <c r="BF1551" i="202"/>
  <c r="BF1552" i="202"/>
  <c r="BF1553" i="202"/>
  <c r="BF1554" i="202"/>
  <c r="BF1555" i="202"/>
  <c r="BF1556" i="202"/>
  <c r="BF1557" i="202"/>
  <c r="BF1558" i="202"/>
  <c r="BF1559" i="202"/>
  <c r="BF1560" i="202"/>
  <c r="BF1561" i="202"/>
  <c r="BF1562" i="202"/>
  <c r="BF1563" i="202"/>
  <c r="BF1564" i="202"/>
  <c r="BF1565" i="202"/>
  <c r="BF1566" i="202"/>
  <c r="BF1567" i="202"/>
  <c r="BF1568" i="202"/>
  <c r="BF1569" i="202"/>
  <c r="BF1570" i="202"/>
  <c r="BF1571" i="202"/>
  <c r="BF1572" i="202"/>
  <c r="BF1573" i="202"/>
  <c r="BF1574" i="202"/>
  <c r="BF1575" i="202"/>
  <c r="BF1576" i="202"/>
  <c r="BF1577" i="202"/>
  <c r="BF1578" i="202"/>
  <c r="BF1579" i="202"/>
  <c r="BF1580" i="202"/>
  <c r="BF1581" i="202"/>
  <c r="BF1582" i="202"/>
  <c r="BF1583" i="202"/>
  <c r="BF1584" i="202"/>
  <c r="BF1585" i="202"/>
  <c r="BF1586" i="202"/>
  <c r="BF1587" i="202"/>
  <c r="BF1588" i="202"/>
  <c r="BF1589" i="202"/>
  <c r="BF1590" i="202"/>
  <c r="BF1591" i="202"/>
  <c r="BF1592" i="202"/>
  <c r="BF1593" i="202"/>
  <c r="BF1594" i="202"/>
  <c r="BF1595" i="202"/>
  <c r="BF1596" i="202"/>
  <c r="BF1597" i="202"/>
  <c r="BF1598" i="202"/>
  <c r="BF1599" i="202"/>
  <c r="BF1600" i="202"/>
  <c r="BF1601" i="202"/>
  <c r="BF1602" i="202"/>
  <c r="BF1603" i="202"/>
  <c r="BF1604" i="202"/>
  <c r="BF1605" i="202"/>
  <c r="BF1606" i="202"/>
  <c r="BF1607" i="202"/>
  <c r="BF1608" i="202"/>
  <c r="BF1609" i="202"/>
  <c r="BF1610" i="202"/>
  <c r="BF1611" i="202"/>
  <c r="BF1612" i="202"/>
  <c r="BF1613" i="202"/>
  <c r="BF1614" i="202"/>
  <c r="BF1615" i="202"/>
  <c r="BF1616" i="202"/>
  <c r="BF1617" i="202"/>
  <c r="BF1618" i="202"/>
  <c r="BF1619" i="202"/>
  <c r="BF1620" i="202"/>
  <c r="BF1621" i="202"/>
  <c r="BF1622" i="202"/>
  <c r="BF1623" i="202"/>
  <c r="BF1624" i="202"/>
  <c r="BF1625" i="202"/>
  <c r="BF1626" i="202"/>
  <c r="BF1627" i="202"/>
  <c r="BF1628" i="202"/>
  <c r="BF1629" i="202"/>
  <c r="BF1630" i="202"/>
  <c r="BF1631" i="202"/>
  <c r="BF1632" i="202"/>
  <c r="BF1633" i="202"/>
  <c r="BF1634" i="202"/>
  <c r="BF1635" i="202"/>
  <c r="BF1636" i="202"/>
  <c r="BF1637" i="202"/>
  <c r="BF1638" i="202"/>
  <c r="BF1639" i="202"/>
  <c r="BF1640" i="202"/>
  <c r="BF1641" i="202"/>
  <c r="BF1642" i="202"/>
  <c r="BF1643" i="202"/>
  <c r="BF1644" i="202"/>
  <c r="BF1645" i="202"/>
  <c r="BF1646" i="202"/>
  <c r="BF1647" i="202"/>
  <c r="BF1648" i="202"/>
  <c r="BF1649" i="202"/>
  <c r="BF1650" i="202"/>
  <c r="BF1651" i="202"/>
  <c r="BF1652" i="202"/>
  <c r="BF1653" i="202"/>
  <c r="BF1654" i="202"/>
  <c r="BF1655" i="202"/>
  <c r="BF1656" i="202"/>
  <c r="BF1657" i="202"/>
  <c r="BF1658" i="202"/>
  <c r="BF1659" i="202"/>
  <c r="BF1660" i="202"/>
  <c r="BF1661" i="202"/>
  <c r="BF1662" i="202"/>
  <c r="BF1663" i="202"/>
  <c r="BF1664" i="202"/>
  <c r="BF1665" i="202"/>
  <c r="BF1666" i="202"/>
  <c r="BF1667" i="202"/>
  <c r="BF1668" i="202"/>
  <c r="BF1669" i="202"/>
  <c r="BF1670" i="202"/>
  <c r="BF1671" i="202"/>
  <c r="BF1672" i="202"/>
  <c r="BF1673" i="202"/>
  <c r="BF1674" i="202"/>
  <c r="BF1675" i="202"/>
  <c r="BF1676" i="202"/>
  <c r="BF1677" i="202"/>
  <c r="BF1678" i="202"/>
  <c r="BF1679" i="202"/>
  <c r="BF1680" i="202"/>
  <c r="BF1681" i="202"/>
  <c r="BF1682" i="202"/>
  <c r="BF1683" i="202"/>
  <c r="BF1684" i="202"/>
  <c r="BF1685" i="202"/>
  <c r="BF1686" i="202"/>
  <c r="BF1687" i="202"/>
  <c r="BF1688" i="202"/>
  <c r="BF1689" i="202"/>
  <c r="BF1690" i="202"/>
  <c r="BF1691" i="202"/>
  <c r="BF1692" i="202"/>
  <c r="BF1693" i="202"/>
  <c r="BF1694" i="202"/>
  <c r="BF1695" i="202"/>
  <c r="BF1696" i="202"/>
  <c r="BF1697" i="202"/>
  <c r="BF1698" i="202"/>
  <c r="BF1699" i="202"/>
  <c r="BF1700" i="202"/>
  <c r="BF1701" i="202"/>
  <c r="BF1702" i="202"/>
  <c r="BF1703" i="202"/>
  <c r="BF1704" i="202"/>
  <c r="BF1705" i="202"/>
  <c r="BF1706" i="202"/>
  <c r="BF1707" i="202"/>
  <c r="BF1708" i="202"/>
  <c r="BF1709" i="202"/>
  <c r="BF1710" i="202"/>
  <c r="BF1711" i="202"/>
  <c r="BF1712" i="202"/>
  <c r="BF1713" i="202"/>
  <c r="BF1714" i="202"/>
  <c r="BF1715" i="202"/>
  <c r="BF1716" i="202"/>
  <c r="BF1717" i="202"/>
  <c r="BF1718" i="202"/>
  <c r="BF1719" i="202"/>
  <c r="BF1720" i="202"/>
  <c r="BF1721" i="202"/>
  <c r="BF1722" i="202"/>
  <c r="BF1723" i="202"/>
  <c r="BF1724" i="202"/>
  <c r="BF1725" i="202"/>
  <c r="BF1726" i="202"/>
  <c r="BF1727" i="202"/>
  <c r="BF1728" i="202"/>
  <c r="BF1729" i="202"/>
  <c r="BF1730" i="202"/>
  <c r="BF1731" i="202"/>
  <c r="BF1732" i="202"/>
  <c r="BF1733" i="202"/>
  <c r="BF1734" i="202"/>
  <c r="BF1735" i="202"/>
  <c r="BF1736" i="202"/>
  <c r="BF1737" i="202"/>
  <c r="BF1738" i="202"/>
  <c r="BF1739" i="202"/>
  <c r="BF1740" i="202"/>
  <c r="BF1741" i="202"/>
  <c r="BF1742" i="202"/>
  <c r="BF1743" i="202"/>
  <c r="BF1744" i="202"/>
  <c r="BF1745" i="202"/>
  <c r="BF1746" i="202"/>
  <c r="BF1747" i="202"/>
  <c r="BF1748" i="202"/>
  <c r="BF1749" i="202"/>
  <c r="BF1750" i="202"/>
  <c r="BF1751" i="202"/>
  <c r="BF1752" i="202"/>
  <c r="BF1753" i="202"/>
  <c r="BF1754" i="202"/>
  <c r="BF1755" i="202"/>
  <c r="BF1756" i="202"/>
  <c r="BF1757" i="202"/>
  <c r="BF1758" i="202"/>
  <c r="BF1759" i="202"/>
  <c r="BF1760" i="202"/>
  <c r="BF1761" i="202"/>
  <c r="BF1762" i="202"/>
  <c r="BF1763" i="202"/>
  <c r="BF1764" i="202"/>
  <c r="BF1765" i="202"/>
  <c r="BF1766" i="202"/>
  <c r="BF1767" i="202"/>
  <c r="BF1768" i="202"/>
  <c r="BF1769" i="202"/>
  <c r="BF1770" i="202"/>
  <c r="BF1771" i="202"/>
  <c r="BF1772" i="202"/>
  <c r="BF1773" i="202"/>
  <c r="BF1774" i="202"/>
  <c r="BF1775" i="202"/>
  <c r="BF1776" i="202"/>
  <c r="BF1777" i="202"/>
  <c r="BF1778" i="202"/>
  <c r="BF1779" i="202"/>
  <c r="BF1780" i="202"/>
  <c r="BF1781" i="202"/>
  <c r="BF1782" i="202"/>
  <c r="BF1783" i="202"/>
  <c r="BF1784" i="202"/>
  <c r="BF1785" i="202"/>
  <c r="BF1786" i="202"/>
  <c r="BF1787" i="202"/>
  <c r="BF1788" i="202"/>
  <c r="BF1789" i="202"/>
  <c r="BF1790" i="202"/>
  <c r="BF1791" i="202"/>
  <c r="BF1792" i="202"/>
  <c r="BF1793" i="202"/>
  <c r="BF1794" i="202"/>
  <c r="BF1795" i="202"/>
  <c r="BF1796" i="202"/>
  <c r="BF1797" i="202"/>
  <c r="BF1798" i="202"/>
  <c r="BF1799" i="202"/>
  <c r="BF1800" i="202"/>
  <c r="BF1801" i="202"/>
  <c r="BF1802" i="202"/>
  <c r="BF1803" i="202"/>
  <c r="BF1804" i="202"/>
  <c r="BF1805" i="202"/>
  <c r="BF1806" i="202"/>
  <c r="BF1807" i="202"/>
  <c r="BF1808" i="202"/>
  <c r="BF1809" i="202"/>
  <c r="BF1810" i="202"/>
  <c r="BF1811" i="202"/>
  <c r="BF1812" i="202"/>
  <c r="BF1813" i="202"/>
  <c r="BF1814" i="202"/>
  <c r="BF1815" i="202"/>
  <c r="BF1816" i="202"/>
  <c r="BF1817" i="202"/>
  <c r="BF1818" i="202"/>
  <c r="BF1819" i="202"/>
  <c r="BF1820" i="202"/>
  <c r="BF1821" i="202"/>
  <c r="BF1822" i="202"/>
  <c r="BF1823" i="202"/>
  <c r="BF1824" i="202"/>
  <c r="BF1825" i="202"/>
  <c r="BF1826" i="202"/>
  <c r="BF1827" i="202"/>
  <c r="BF1828" i="202"/>
  <c r="BF1829" i="202"/>
  <c r="BF1830" i="202"/>
  <c r="BF1831" i="202"/>
  <c r="BF1832" i="202"/>
  <c r="BF1833" i="202"/>
  <c r="BF1834" i="202"/>
  <c r="BF1835" i="202"/>
  <c r="BF1836" i="202"/>
  <c r="BF1837" i="202"/>
  <c r="BF1838" i="202"/>
  <c r="BF1839" i="202"/>
  <c r="BF1840" i="202"/>
  <c r="BF1841" i="202"/>
  <c r="BF1842" i="202"/>
  <c r="BF1843" i="202"/>
  <c r="BF1844" i="202"/>
  <c r="BF1845" i="202"/>
  <c r="BF1846" i="202"/>
  <c r="BF1847" i="202"/>
  <c r="BF1848" i="202"/>
  <c r="BF1849" i="202"/>
  <c r="BF1850" i="202"/>
  <c r="BF1851" i="202"/>
  <c r="BF1852" i="202"/>
  <c r="BF1853" i="202"/>
  <c r="BF1854" i="202"/>
  <c r="BF1855" i="202"/>
  <c r="BF1856" i="202"/>
  <c r="BF1857" i="202"/>
  <c r="BF1858" i="202"/>
  <c r="BF1859" i="202"/>
  <c r="BF1860" i="202"/>
  <c r="BF1861" i="202"/>
  <c r="BF1862" i="202"/>
  <c r="BF1863" i="202"/>
  <c r="BF1864" i="202"/>
  <c r="BF1865" i="202"/>
  <c r="BF1866" i="202"/>
  <c r="BF1867" i="202"/>
  <c r="BF1868" i="202"/>
  <c r="BF1869" i="202"/>
  <c r="BF1870" i="202"/>
  <c r="BF1871" i="202"/>
  <c r="BF1872" i="202"/>
  <c r="BF1873" i="202"/>
  <c r="BF1874" i="202"/>
  <c r="BF1875" i="202"/>
  <c r="BF1876" i="202"/>
  <c r="BF1877" i="202"/>
  <c r="BF1878" i="202"/>
  <c r="BF1879" i="202"/>
  <c r="BF1880" i="202"/>
  <c r="BF1881" i="202"/>
  <c r="BF1882" i="202"/>
  <c r="BF1883" i="202"/>
  <c r="BF1884" i="202"/>
  <c r="BF1885" i="202"/>
  <c r="BF1886" i="202"/>
  <c r="BF1887" i="202"/>
  <c r="BF1888" i="202"/>
  <c r="BF1889" i="202"/>
  <c r="BF1890" i="202"/>
  <c r="BF1891" i="202"/>
  <c r="BF1892" i="202"/>
  <c r="BF1893" i="202"/>
  <c r="BF1894" i="202"/>
  <c r="BF1895" i="202"/>
  <c r="BF1896" i="202"/>
  <c r="BF1897" i="202"/>
  <c r="BF1898" i="202"/>
  <c r="BF1899" i="202"/>
  <c r="BF1900" i="202"/>
  <c r="BF1901" i="202"/>
  <c r="BF1902" i="202"/>
  <c r="BF1903" i="202"/>
  <c r="BF1904" i="202"/>
  <c r="BF1905" i="202"/>
  <c r="BF1906" i="202"/>
  <c r="BF1907" i="202"/>
  <c r="BF1908" i="202"/>
  <c r="BF1909" i="202"/>
  <c r="BF1910" i="202"/>
  <c r="BF1911" i="202"/>
  <c r="BF1912" i="202"/>
  <c r="BF1913" i="202"/>
  <c r="BF1914" i="202"/>
  <c r="BF1915" i="202"/>
  <c r="BF1916" i="202"/>
  <c r="BF1917" i="202"/>
  <c r="BF1918" i="202"/>
  <c r="BF1919" i="202"/>
  <c r="BF1920" i="202"/>
  <c r="BF1921" i="202"/>
  <c r="BF1922" i="202"/>
  <c r="BF1923" i="202"/>
  <c r="BF1924" i="202"/>
  <c r="BF1925" i="202"/>
  <c r="BF1926" i="202"/>
  <c r="BF1927" i="202"/>
  <c r="BF1928" i="202"/>
  <c r="BF1929" i="202"/>
  <c r="BF1930" i="202"/>
  <c r="BF1931" i="202"/>
  <c r="BF1932" i="202"/>
  <c r="BF1933" i="202"/>
  <c r="BF1934" i="202"/>
  <c r="BF1935" i="202"/>
  <c r="BF1936" i="202"/>
  <c r="BF1937" i="202"/>
  <c r="BF1938" i="202"/>
  <c r="BF1939" i="202"/>
  <c r="BF1940" i="202"/>
  <c r="BF1941" i="202"/>
  <c r="BF1942" i="202"/>
  <c r="BF1943" i="202"/>
  <c r="BF1944" i="202"/>
  <c r="BF1945" i="202"/>
  <c r="BF1946" i="202"/>
  <c r="BF1947" i="202"/>
  <c r="BF1948" i="202"/>
  <c r="BF1949" i="202"/>
  <c r="BF1950" i="202"/>
  <c r="BF1951" i="202"/>
  <c r="BF1952" i="202"/>
  <c r="BF1953" i="202"/>
  <c r="BF1954" i="202"/>
  <c r="BF1955" i="202"/>
  <c r="BF1956" i="202"/>
  <c r="BF1957" i="202"/>
  <c r="BF1958" i="202"/>
  <c r="BF1959" i="202"/>
  <c r="BF1960" i="202"/>
  <c r="BF1961" i="202"/>
  <c r="BF1962" i="202"/>
  <c r="BF1963" i="202"/>
  <c r="BF1964" i="202"/>
  <c r="BF1965" i="202"/>
  <c r="BF1966" i="202"/>
  <c r="BF1967" i="202"/>
  <c r="BF1968" i="202"/>
  <c r="BF1969" i="202"/>
  <c r="BF1970" i="202"/>
  <c r="BF1971" i="202"/>
  <c r="BF1972" i="202"/>
  <c r="BF1973" i="202"/>
  <c r="BF1974" i="202"/>
  <c r="BF1975" i="202"/>
  <c r="BF1976" i="202"/>
  <c r="BF1977" i="202"/>
  <c r="BF1978" i="202"/>
  <c r="BF1979" i="202"/>
  <c r="BF1980" i="202"/>
  <c r="BF1981" i="202"/>
  <c r="BF1982" i="202"/>
  <c r="BF1983" i="202"/>
  <c r="BF1984" i="202"/>
  <c r="BF1985" i="202"/>
  <c r="BF1986" i="202"/>
  <c r="BF1987" i="202"/>
  <c r="BF1988" i="202"/>
  <c r="BF1989" i="202"/>
  <c r="BF1990" i="202"/>
  <c r="BF1991" i="202"/>
  <c r="BF1992" i="202"/>
  <c r="BF1993" i="202"/>
  <c r="BF1994" i="202"/>
  <c r="BF1995" i="202"/>
  <c r="BF1996" i="202"/>
  <c r="BF1997" i="202"/>
  <c r="BF1998" i="202"/>
  <c r="BF1999" i="202"/>
  <c r="BF2000" i="202"/>
  <c r="BF2001" i="202"/>
  <c r="BF2002" i="202"/>
  <c r="BF2003" i="202"/>
  <c r="BF2004" i="202"/>
  <c r="BF2005" i="202"/>
  <c r="BF2006" i="202"/>
  <c r="BF2007" i="202"/>
  <c r="BF2008" i="202"/>
  <c r="BF2009" i="202"/>
  <c r="BF2010" i="202"/>
  <c r="BF2011" i="202"/>
  <c r="BF2012" i="202"/>
  <c r="BF2013" i="202"/>
  <c r="BF2014" i="202"/>
  <c r="BF2015" i="202"/>
  <c r="BF2016" i="202"/>
  <c r="BF2017" i="202"/>
  <c r="BF2018" i="202"/>
  <c r="BF2019" i="202"/>
  <c r="BF2020" i="202"/>
  <c r="BF2021" i="202"/>
  <c r="BF2022" i="202"/>
  <c r="BF2023" i="202"/>
  <c r="BF2024" i="202"/>
  <c r="BF2025" i="202"/>
  <c r="BF2026" i="202"/>
  <c r="BF2027" i="202"/>
  <c r="BF2028" i="202"/>
  <c r="BF2029" i="202"/>
  <c r="BF2030" i="202"/>
  <c r="BF2031" i="202"/>
  <c r="BF2032" i="202"/>
  <c r="BF2033" i="202"/>
  <c r="BF2034" i="202"/>
  <c r="BF2035" i="202"/>
  <c r="BF2036" i="202"/>
  <c r="BF2037" i="202"/>
  <c r="BF2038" i="202"/>
  <c r="BF2039" i="202"/>
  <c r="BF2040" i="202"/>
  <c r="BF2041" i="202"/>
  <c r="BF2042" i="202"/>
  <c r="BF2043" i="202"/>
  <c r="BF2044" i="202"/>
  <c r="BF2045" i="202"/>
  <c r="BF2046" i="202"/>
  <c r="BF2047" i="202"/>
  <c r="BF2048" i="202"/>
  <c r="AR2" i="202"/>
  <c r="AR3" i="202"/>
  <c r="AR4" i="202"/>
  <c r="AR5" i="202"/>
  <c r="AR6" i="202"/>
  <c r="AR7" i="202"/>
  <c r="AR8" i="202"/>
  <c r="AR9" i="202"/>
  <c r="AR10" i="202"/>
  <c r="AR11" i="202"/>
  <c r="AR12" i="202"/>
  <c r="AR13" i="202"/>
  <c r="AR14" i="202"/>
  <c r="AR15" i="202"/>
  <c r="AR16" i="202"/>
  <c r="AR17" i="202"/>
  <c r="AR18" i="202"/>
  <c r="AR19" i="202"/>
  <c r="AR20" i="202"/>
  <c r="AR21" i="202"/>
  <c r="AR22" i="202"/>
  <c r="AR23" i="202"/>
  <c r="AR24" i="202"/>
  <c r="AR25" i="202"/>
  <c r="AR26" i="202"/>
  <c r="AR27" i="202"/>
  <c r="AR28" i="202"/>
  <c r="AR29" i="202"/>
  <c r="AR30" i="202"/>
  <c r="AR31" i="202"/>
  <c r="AR32" i="202"/>
  <c r="AR33" i="202"/>
  <c r="AR34" i="202"/>
  <c r="AR35" i="202"/>
  <c r="AR36" i="202"/>
  <c r="AR37" i="202"/>
  <c r="AR38" i="202"/>
  <c r="AR39" i="202"/>
  <c r="AR40" i="202"/>
  <c r="AR41" i="202"/>
  <c r="AR42" i="202"/>
  <c r="AR43" i="202"/>
  <c r="AR44" i="202"/>
  <c r="AR45" i="202"/>
  <c r="AR46" i="202"/>
  <c r="AR47" i="202"/>
  <c r="AR48" i="202"/>
  <c r="AR49" i="202"/>
  <c r="AR50" i="202"/>
  <c r="AR51" i="202"/>
  <c r="AR52" i="202"/>
  <c r="AR53" i="202"/>
  <c r="AR54" i="202"/>
  <c r="AR55" i="202"/>
  <c r="AR56" i="202"/>
  <c r="AR57" i="202"/>
  <c r="AR58" i="202"/>
  <c r="AR59" i="202"/>
  <c r="AR60" i="202"/>
  <c r="AR61" i="202"/>
  <c r="AR62" i="202"/>
  <c r="AR63" i="202"/>
  <c r="AR64" i="202"/>
  <c r="AR65" i="202"/>
  <c r="AR66" i="202"/>
  <c r="AR67" i="202"/>
  <c r="AR68" i="202"/>
  <c r="AR69" i="202"/>
  <c r="AR70" i="202"/>
  <c r="AR71" i="202"/>
  <c r="AR72" i="202"/>
  <c r="AR73" i="202"/>
  <c r="AR74" i="202"/>
  <c r="AR75" i="202"/>
  <c r="AR76" i="202"/>
  <c r="AR77" i="202"/>
  <c r="AR78" i="202"/>
  <c r="AR79" i="202"/>
  <c r="AR80" i="202"/>
  <c r="AR81" i="202"/>
  <c r="AR82" i="202"/>
  <c r="AR83" i="202"/>
  <c r="AR84" i="202"/>
  <c r="AR85" i="202"/>
  <c r="AR86" i="202"/>
  <c r="AR87" i="202"/>
  <c r="AR88" i="202"/>
  <c r="AR89" i="202"/>
  <c r="AR90" i="202"/>
  <c r="AR91" i="202"/>
  <c r="AR92" i="202"/>
  <c r="AR93" i="202"/>
  <c r="AR94" i="202"/>
  <c r="AR95" i="202"/>
  <c r="AR96" i="202"/>
  <c r="AR97" i="202"/>
  <c r="AR98" i="202"/>
  <c r="AR99" i="202"/>
  <c r="AR100" i="202"/>
  <c r="AR101" i="202"/>
  <c r="AR102" i="202"/>
  <c r="AR103" i="202"/>
  <c r="AR104" i="202"/>
  <c r="AR105" i="202"/>
  <c r="AR106" i="202"/>
  <c r="AR107" i="202"/>
  <c r="AR108" i="202"/>
  <c r="AR109" i="202"/>
  <c r="AR110" i="202"/>
  <c r="AR111" i="202"/>
  <c r="AR112" i="202"/>
  <c r="AR113" i="202"/>
  <c r="AR114" i="202"/>
  <c r="AR115" i="202"/>
  <c r="AR116" i="202"/>
  <c r="AR117" i="202"/>
  <c r="AR118" i="202"/>
  <c r="AR119" i="202"/>
  <c r="AR120" i="202"/>
  <c r="AR121" i="202"/>
  <c r="AR122" i="202"/>
  <c r="AR123" i="202"/>
  <c r="AR124" i="202"/>
  <c r="AR125" i="202"/>
  <c r="AR126" i="202"/>
  <c r="AR127" i="202"/>
  <c r="AR128" i="202"/>
  <c r="AR129" i="202"/>
  <c r="AR130" i="202"/>
  <c r="AR131" i="202"/>
  <c r="AR132" i="202"/>
  <c r="AR133" i="202"/>
  <c r="AR134" i="202"/>
  <c r="AR135" i="202"/>
  <c r="AR136" i="202"/>
  <c r="AR137" i="202"/>
  <c r="AR138" i="202"/>
  <c r="AR139" i="202"/>
  <c r="AR140" i="202"/>
  <c r="AR141" i="202"/>
  <c r="AR142" i="202"/>
  <c r="AR143" i="202"/>
  <c r="AR144" i="202"/>
  <c r="AR145" i="202"/>
  <c r="AR146" i="202"/>
  <c r="AR147" i="202"/>
  <c r="AR148" i="202"/>
  <c r="AR149" i="202"/>
  <c r="AR150" i="202"/>
  <c r="AR151" i="202"/>
  <c r="AR152" i="202"/>
  <c r="AR153" i="202"/>
  <c r="AR154" i="202"/>
  <c r="AR155" i="202"/>
  <c r="AR156" i="202"/>
  <c r="AR157" i="202"/>
  <c r="AR158" i="202"/>
  <c r="AR159" i="202"/>
  <c r="AR160" i="202"/>
  <c r="AR161" i="202"/>
  <c r="AR162" i="202"/>
  <c r="AR163" i="202"/>
  <c r="AR164" i="202"/>
  <c r="AR165" i="202"/>
  <c r="AR166" i="202"/>
  <c r="AR167" i="202"/>
  <c r="AR168" i="202"/>
  <c r="AR169" i="202"/>
  <c r="AR170" i="202"/>
  <c r="AR171" i="202"/>
  <c r="AR172" i="202"/>
  <c r="AR173" i="202"/>
  <c r="AR174" i="202"/>
  <c r="AR175" i="202"/>
  <c r="AR176" i="202"/>
  <c r="AR177" i="202"/>
  <c r="AR178" i="202"/>
  <c r="AR179" i="202"/>
  <c r="AR180" i="202"/>
  <c r="AR181" i="202"/>
  <c r="AR182" i="202"/>
  <c r="AR183" i="202"/>
  <c r="AR184" i="202"/>
  <c r="AR185" i="202"/>
  <c r="AR186" i="202"/>
  <c r="AR187" i="202"/>
  <c r="AR188" i="202"/>
  <c r="AR189" i="202"/>
  <c r="AR190" i="202"/>
  <c r="AR191" i="202"/>
  <c r="AR192" i="202"/>
  <c r="AR193" i="202"/>
  <c r="AR194" i="202"/>
  <c r="AR195" i="202"/>
  <c r="AR196" i="202"/>
  <c r="AR197" i="202"/>
  <c r="AR198" i="202"/>
  <c r="AR199" i="202"/>
  <c r="AR200" i="202"/>
  <c r="AR201" i="202"/>
  <c r="AR202" i="202"/>
  <c r="AR203" i="202"/>
  <c r="AR204" i="202"/>
  <c r="AR205" i="202"/>
  <c r="AR206" i="202"/>
  <c r="AR207" i="202"/>
  <c r="AR208" i="202"/>
  <c r="AR209" i="202"/>
  <c r="AR210" i="202"/>
  <c r="AR211" i="202"/>
  <c r="AR212" i="202"/>
  <c r="AR213" i="202"/>
  <c r="AR214" i="202"/>
  <c r="AR215" i="202"/>
  <c r="AR216" i="202"/>
  <c r="AR217" i="202"/>
  <c r="AR218" i="202"/>
  <c r="AR219" i="202"/>
  <c r="AR220" i="202"/>
  <c r="AR221" i="202"/>
  <c r="AR222" i="202"/>
  <c r="AR223" i="202"/>
  <c r="AR224" i="202"/>
  <c r="AR225" i="202"/>
  <c r="AR226" i="202"/>
  <c r="AR227" i="202"/>
  <c r="AR228" i="202"/>
  <c r="AR229" i="202"/>
  <c r="AR230" i="202"/>
  <c r="AR231" i="202"/>
  <c r="AR232" i="202"/>
  <c r="AR233" i="202"/>
  <c r="AR234" i="202"/>
  <c r="AR235" i="202"/>
  <c r="AR236" i="202"/>
  <c r="AR237" i="202"/>
  <c r="AR238" i="202"/>
  <c r="AR239" i="202"/>
  <c r="AR240" i="202"/>
  <c r="AR241" i="202"/>
  <c r="AR242" i="202"/>
  <c r="AR243" i="202"/>
  <c r="AR244" i="202"/>
  <c r="AR245" i="202"/>
  <c r="AR246" i="202"/>
  <c r="AR247" i="202"/>
  <c r="AR248" i="202"/>
  <c r="AR249" i="202"/>
  <c r="AR250" i="202"/>
  <c r="AR251" i="202"/>
  <c r="AR252" i="202"/>
  <c r="AR253" i="202"/>
  <c r="AR254" i="202"/>
  <c r="AR255" i="202"/>
  <c r="AR256" i="202"/>
  <c r="AR257" i="202"/>
  <c r="AR258" i="202"/>
  <c r="AR259" i="202"/>
  <c r="AR260" i="202"/>
  <c r="AR261" i="202"/>
  <c r="AR262" i="202"/>
  <c r="AR263" i="202"/>
  <c r="AR264" i="202"/>
  <c r="AR265" i="202"/>
  <c r="AR266" i="202"/>
  <c r="AR267" i="202"/>
  <c r="AR268" i="202"/>
  <c r="AR269" i="202"/>
  <c r="AR270" i="202"/>
  <c r="AR271" i="202"/>
  <c r="AR272" i="202"/>
  <c r="AR273" i="202"/>
  <c r="AR274" i="202"/>
  <c r="AR275" i="202"/>
  <c r="AR276" i="202"/>
  <c r="AR277" i="202"/>
  <c r="AR278" i="202"/>
  <c r="AR279" i="202"/>
  <c r="AR280" i="202"/>
  <c r="AR281" i="202"/>
  <c r="AR282" i="202"/>
  <c r="AR283" i="202"/>
  <c r="AR284" i="202"/>
  <c r="AR285" i="202"/>
  <c r="AR286" i="202"/>
  <c r="AR287" i="202"/>
  <c r="AR288" i="202"/>
  <c r="AR289" i="202"/>
  <c r="AR290" i="202"/>
  <c r="AR291" i="202"/>
  <c r="AR292" i="202"/>
  <c r="AR293" i="202"/>
  <c r="AR294" i="202"/>
  <c r="AR295" i="202"/>
  <c r="AR296" i="202"/>
  <c r="AR297" i="202"/>
  <c r="AR298" i="202"/>
  <c r="AR299" i="202"/>
  <c r="AR300" i="202"/>
  <c r="AR301" i="202"/>
  <c r="AR302" i="202"/>
  <c r="AR303" i="202"/>
  <c r="AR304" i="202"/>
  <c r="AR305" i="202"/>
  <c r="AR306" i="202"/>
  <c r="AR307" i="202"/>
  <c r="AR308" i="202"/>
  <c r="AR309" i="202"/>
  <c r="AR310" i="202"/>
  <c r="AR311" i="202"/>
  <c r="AR312" i="202"/>
  <c r="AR313" i="202"/>
  <c r="AR314" i="202"/>
  <c r="AR315" i="202"/>
  <c r="AR316" i="202"/>
  <c r="AR317" i="202"/>
  <c r="AR318" i="202"/>
  <c r="AR319" i="202"/>
  <c r="AR320" i="202"/>
  <c r="AR321" i="202"/>
  <c r="AR322" i="202"/>
  <c r="AR323" i="202"/>
  <c r="AR324" i="202"/>
  <c r="AR325" i="202"/>
  <c r="AR326" i="202"/>
  <c r="AR327" i="202"/>
  <c r="AR328" i="202"/>
  <c r="AR329" i="202"/>
  <c r="AR330" i="202"/>
  <c r="AR331" i="202"/>
  <c r="AR332" i="202"/>
  <c r="AR333" i="202"/>
  <c r="AR334" i="202"/>
  <c r="AR335" i="202"/>
  <c r="AR336" i="202"/>
  <c r="AR337" i="202"/>
  <c r="AR338" i="202"/>
  <c r="AR339" i="202"/>
  <c r="AR340" i="202"/>
  <c r="AR341" i="202"/>
  <c r="AR342" i="202"/>
  <c r="AR343" i="202"/>
  <c r="AR344" i="202"/>
  <c r="AR345" i="202"/>
  <c r="AR346" i="202"/>
  <c r="AR347" i="202"/>
  <c r="AR348" i="202"/>
  <c r="AR349" i="202"/>
  <c r="AR350" i="202"/>
  <c r="AR351" i="202"/>
  <c r="AR352" i="202"/>
  <c r="AR353" i="202"/>
  <c r="AR354" i="202"/>
  <c r="AR355" i="202"/>
  <c r="AR356" i="202"/>
  <c r="AR357" i="202"/>
  <c r="AR358" i="202"/>
  <c r="AR359" i="202"/>
  <c r="AR360" i="202"/>
  <c r="AR361" i="202"/>
  <c r="AR362" i="202"/>
  <c r="AR363" i="202"/>
  <c r="AR364" i="202"/>
  <c r="AR365" i="202"/>
  <c r="AR366" i="202"/>
  <c r="AR367" i="202"/>
  <c r="AR368" i="202"/>
  <c r="AR369" i="202"/>
  <c r="AR370" i="202"/>
  <c r="AR371" i="202"/>
  <c r="AR372" i="202"/>
  <c r="AR373" i="202"/>
  <c r="AR374" i="202"/>
  <c r="AR375" i="202"/>
  <c r="AR376" i="202"/>
  <c r="AR377" i="202"/>
  <c r="AR378" i="202"/>
  <c r="AR379" i="202"/>
  <c r="AR380" i="202"/>
  <c r="AR381" i="202"/>
  <c r="AR382" i="202"/>
  <c r="AR383" i="202"/>
  <c r="AR384" i="202"/>
  <c r="AR385" i="202"/>
  <c r="AR386" i="202"/>
  <c r="AR387" i="202"/>
  <c r="AR388" i="202"/>
  <c r="AR389" i="202"/>
  <c r="AR390" i="202"/>
  <c r="AR391" i="202"/>
  <c r="AR392" i="202"/>
  <c r="AR393" i="202"/>
  <c r="AR394" i="202"/>
  <c r="AR395" i="202"/>
  <c r="AR396" i="202"/>
  <c r="AR397" i="202"/>
  <c r="AR398" i="202"/>
  <c r="AR399" i="202"/>
  <c r="AR400" i="202"/>
  <c r="AR401" i="202"/>
  <c r="AR402" i="202"/>
  <c r="AR403" i="202"/>
  <c r="AR404" i="202"/>
  <c r="AR405" i="202"/>
  <c r="AR406" i="202"/>
  <c r="AR407" i="202"/>
  <c r="AR408" i="202"/>
  <c r="AR409" i="202"/>
  <c r="AR410" i="202"/>
  <c r="AR411" i="202"/>
  <c r="AR412" i="202"/>
  <c r="AR413" i="202"/>
  <c r="AR414" i="202"/>
  <c r="AR415" i="202"/>
  <c r="AR416" i="202"/>
  <c r="AR417" i="202"/>
  <c r="AR418" i="202"/>
  <c r="AR419" i="202"/>
  <c r="AR420" i="202"/>
  <c r="AR421" i="202"/>
  <c r="AR422" i="202"/>
  <c r="AR423" i="202"/>
  <c r="AR424" i="202"/>
  <c r="AR425" i="202"/>
  <c r="AR426" i="202"/>
  <c r="AR427" i="202"/>
  <c r="AR428" i="202"/>
  <c r="AR429" i="202"/>
  <c r="AR430" i="202"/>
  <c r="AR431" i="202"/>
  <c r="AR432" i="202"/>
  <c r="AR433" i="202"/>
  <c r="AR434" i="202"/>
  <c r="AR435" i="202"/>
  <c r="AR436" i="202"/>
  <c r="AR437" i="202"/>
  <c r="AR438" i="202"/>
  <c r="AR439" i="202"/>
  <c r="AR440" i="202"/>
  <c r="AR441" i="202"/>
  <c r="AR442" i="202"/>
  <c r="AR443" i="202"/>
  <c r="AR444" i="202"/>
  <c r="AR445" i="202"/>
  <c r="AR446" i="202"/>
  <c r="AR447" i="202"/>
  <c r="AR448" i="202"/>
  <c r="AR449" i="202"/>
  <c r="AR450" i="202"/>
  <c r="AR451" i="202"/>
  <c r="AR452" i="202"/>
  <c r="AR453" i="202"/>
  <c r="AR454" i="202"/>
  <c r="AR455" i="202"/>
  <c r="AR456" i="202"/>
  <c r="AR457" i="202"/>
  <c r="AR458" i="202"/>
  <c r="AR459" i="202"/>
  <c r="AR460" i="202"/>
  <c r="AR461" i="202"/>
  <c r="AR462" i="202"/>
  <c r="AR463" i="202"/>
  <c r="AR464" i="202"/>
  <c r="AR465" i="202"/>
  <c r="AR466" i="202"/>
  <c r="AR467" i="202"/>
  <c r="AR468" i="202"/>
  <c r="AR469" i="202"/>
  <c r="AR470" i="202"/>
  <c r="AR471" i="202"/>
  <c r="AR472" i="202"/>
  <c r="AR473" i="202"/>
  <c r="AR474" i="202"/>
  <c r="AR475" i="202"/>
  <c r="AR476" i="202"/>
  <c r="AR477" i="202"/>
  <c r="AR478" i="202"/>
  <c r="AR479" i="202"/>
  <c r="AR480" i="202"/>
  <c r="AR481" i="202"/>
  <c r="AR482" i="202"/>
  <c r="AR483" i="202"/>
  <c r="AR484" i="202"/>
  <c r="AR485" i="202"/>
  <c r="AR486" i="202"/>
  <c r="AR487" i="202"/>
  <c r="AR488" i="202"/>
  <c r="AR489" i="202"/>
  <c r="AR490" i="202"/>
  <c r="AR491" i="202"/>
  <c r="AR492" i="202"/>
  <c r="AR493" i="202"/>
  <c r="AR494" i="202"/>
  <c r="AR495" i="202"/>
  <c r="AR496" i="202"/>
  <c r="AR497" i="202"/>
  <c r="AR498" i="202"/>
  <c r="AR499" i="202"/>
  <c r="AR500" i="202"/>
  <c r="AR501" i="202"/>
  <c r="AR502" i="202"/>
  <c r="AR503" i="202"/>
  <c r="AR504" i="202"/>
  <c r="AR505" i="202"/>
  <c r="AR506" i="202"/>
  <c r="AR507" i="202"/>
  <c r="AR508" i="202"/>
  <c r="AR509" i="202"/>
  <c r="AR510" i="202"/>
  <c r="AR511" i="202"/>
  <c r="AR512" i="202"/>
  <c r="AR513" i="202"/>
  <c r="AR514" i="202"/>
  <c r="AR515" i="202"/>
  <c r="AR516" i="202"/>
  <c r="AR517" i="202"/>
  <c r="AR518" i="202"/>
  <c r="AR519" i="202"/>
  <c r="AR520" i="202"/>
  <c r="AR521" i="202"/>
  <c r="AR522" i="202"/>
  <c r="AR523" i="202"/>
  <c r="AR524" i="202"/>
  <c r="AR525" i="202"/>
  <c r="AR526" i="202"/>
  <c r="AR527" i="202"/>
  <c r="AR528" i="202"/>
  <c r="AR529" i="202"/>
  <c r="AR530" i="202"/>
  <c r="AR531" i="202"/>
  <c r="AR532" i="202"/>
  <c r="AR533" i="202"/>
  <c r="AR534" i="202"/>
  <c r="AR535" i="202"/>
  <c r="AR536" i="202"/>
  <c r="AR537" i="202"/>
  <c r="AR538" i="202"/>
  <c r="AR539" i="202"/>
  <c r="AR540" i="202"/>
  <c r="AR541" i="202"/>
  <c r="AR542" i="202"/>
  <c r="AR543" i="202"/>
  <c r="AR544" i="202"/>
  <c r="AR545" i="202"/>
  <c r="AR546" i="202"/>
  <c r="AR547" i="202"/>
  <c r="AR548" i="202"/>
  <c r="AR549" i="202"/>
  <c r="AR550" i="202"/>
  <c r="AR551" i="202"/>
  <c r="AR552" i="202"/>
  <c r="AR553" i="202"/>
  <c r="AR554" i="202"/>
  <c r="AR555" i="202"/>
  <c r="AR556" i="202"/>
  <c r="AR557" i="202"/>
  <c r="AR558" i="202"/>
  <c r="AR559" i="202"/>
  <c r="AR560" i="202"/>
  <c r="AR561" i="202"/>
  <c r="AR562" i="202"/>
  <c r="AR563" i="202"/>
  <c r="AR564" i="202"/>
  <c r="AR565" i="202"/>
  <c r="AR566" i="202"/>
  <c r="AR567" i="202"/>
  <c r="AR568" i="202"/>
  <c r="AR569" i="202"/>
  <c r="AR570" i="202"/>
  <c r="AR571" i="202"/>
  <c r="AR572" i="202"/>
  <c r="AR573" i="202"/>
  <c r="AR574" i="202"/>
  <c r="AR575" i="202"/>
  <c r="AR576" i="202"/>
  <c r="AR577" i="202"/>
  <c r="AR578" i="202"/>
  <c r="AR579" i="202"/>
  <c r="AR580" i="202"/>
  <c r="AR581" i="202"/>
  <c r="AR582" i="202"/>
  <c r="AR583" i="202"/>
  <c r="AR584" i="202"/>
  <c r="AR585" i="202"/>
  <c r="AR586" i="202"/>
  <c r="AR587" i="202"/>
  <c r="AR588" i="202"/>
  <c r="AR589" i="202"/>
  <c r="AR590" i="202"/>
  <c r="AR591" i="202"/>
  <c r="AR592" i="202"/>
  <c r="AR593" i="202"/>
  <c r="AR594" i="202"/>
  <c r="AR595" i="202"/>
  <c r="AR596" i="202"/>
  <c r="AR597" i="202"/>
  <c r="AR598" i="202"/>
  <c r="AR599" i="202"/>
  <c r="AR600" i="202"/>
  <c r="AR601" i="202"/>
  <c r="AR602" i="202"/>
  <c r="AR603" i="202"/>
  <c r="AR604" i="202"/>
  <c r="AR605" i="202"/>
  <c r="AR606" i="202"/>
  <c r="AR607" i="202"/>
  <c r="AR608" i="202"/>
  <c r="AR609" i="202"/>
  <c r="AR610" i="202"/>
  <c r="AR611" i="202"/>
  <c r="AR612" i="202"/>
  <c r="AR613" i="202"/>
  <c r="AR614" i="202"/>
  <c r="AR615" i="202"/>
  <c r="AR616" i="202"/>
  <c r="AR617" i="202"/>
  <c r="AR618" i="202"/>
  <c r="AR619" i="202"/>
  <c r="AR620" i="202"/>
  <c r="AR621" i="202"/>
  <c r="AR622" i="202"/>
  <c r="AR623" i="202"/>
  <c r="AR624" i="202"/>
  <c r="AR625" i="202"/>
  <c r="AR626" i="202"/>
  <c r="AR627" i="202"/>
  <c r="AR628" i="202"/>
  <c r="AR629" i="202"/>
  <c r="AR630" i="202"/>
  <c r="AR631" i="202"/>
  <c r="AR632" i="202"/>
  <c r="AR633" i="202"/>
  <c r="AR634" i="202"/>
  <c r="AR635" i="202"/>
  <c r="AR636" i="202"/>
  <c r="AR637" i="202"/>
  <c r="AR638" i="202"/>
  <c r="AR639" i="202"/>
  <c r="AR640" i="202"/>
  <c r="AR641" i="202"/>
  <c r="AR642" i="202"/>
  <c r="AR643" i="202"/>
  <c r="AR644" i="202"/>
  <c r="AR645" i="202"/>
  <c r="AR646" i="202"/>
  <c r="AR647" i="202"/>
  <c r="AR648" i="202"/>
  <c r="AR649" i="202"/>
  <c r="AR650" i="202"/>
  <c r="AR651" i="202"/>
  <c r="AR652" i="202"/>
  <c r="AR653" i="202"/>
  <c r="AR654" i="202"/>
  <c r="AR655" i="202"/>
  <c r="AR656" i="202"/>
  <c r="AR657" i="202"/>
  <c r="AR658" i="202"/>
  <c r="AR659" i="202"/>
  <c r="AR660" i="202"/>
  <c r="AR661" i="202"/>
  <c r="AR662" i="202"/>
  <c r="AR663" i="202"/>
  <c r="AR664" i="202"/>
  <c r="AR665" i="202"/>
  <c r="AR666" i="202"/>
  <c r="AR667" i="202"/>
  <c r="AR668" i="202"/>
  <c r="AR669" i="202"/>
  <c r="AR670" i="202"/>
  <c r="AR671" i="202"/>
  <c r="AR672" i="202"/>
  <c r="AR673" i="202"/>
  <c r="AR674" i="202"/>
  <c r="AR675" i="202"/>
  <c r="AR676" i="202"/>
  <c r="AR677" i="202"/>
  <c r="AR678" i="202"/>
  <c r="AR679" i="202"/>
  <c r="AR680" i="202"/>
  <c r="AR681" i="202"/>
  <c r="AR682" i="202"/>
  <c r="AR683" i="202"/>
  <c r="AR684" i="202"/>
  <c r="AR685" i="202"/>
  <c r="AR686" i="202"/>
  <c r="AR687" i="202"/>
  <c r="AR688" i="202"/>
  <c r="AR689" i="202"/>
  <c r="AR690" i="202"/>
  <c r="AR691" i="202"/>
  <c r="AR692" i="202"/>
  <c r="AR693" i="202"/>
  <c r="AR694" i="202"/>
  <c r="AR695" i="202"/>
  <c r="AR696" i="202"/>
  <c r="AR697" i="202"/>
  <c r="AR698" i="202"/>
  <c r="AR699" i="202"/>
  <c r="AR700" i="202"/>
  <c r="AR701" i="202"/>
  <c r="AR702" i="202"/>
  <c r="AR703" i="202"/>
  <c r="AR704" i="202"/>
  <c r="AR705" i="202"/>
  <c r="AR706" i="202"/>
  <c r="AR707" i="202"/>
  <c r="AR708" i="202"/>
  <c r="AR709" i="202"/>
  <c r="AR710" i="202"/>
  <c r="AR711" i="202"/>
  <c r="AR712" i="202"/>
  <c r="AR713" i="202"/>
  <c r="AR714" i="202"/>
  <c r="AR715" i="202"/>
  <c r="AR716" i="202"/>
  <c r="AR717" i="202"/>
  <c r="AR718" i="202"/>
  <c r="AR719" i="202"/>
  <c r="AR720" i="202"/>
  <c r="AR721" i="202"/>
  <c r="AR722" i="202"/>
  <c r="AR723" i="202"/>
  <c r="AR724" i="202"/>
  <c r="AR725" i="202"/>
  <c r="AR726" i="202"/>
  <c r="AR727" i="202"/>
  <c r="AR728" i="202"/>
  <c r="AR729" i="202"/>
  <c r="AR730" i="202"/>
  <c r="AR731" i="202"/>
  <c r="AR732" i="202"/>
  <c r="AR733" i="202"/>
  <c r="AR734" i="202"/>
  <c r="AR735" i="202"/>
  <c r="AR736" i="202"/>
  <c r="AR737" i="202"/>
  <c r="AR738" i="202"/>
  <c r="AR739" i="202"/>
  <c r="AR740" i="202"/>
  <c r="AR741" i="202"/>
  <c r="AR742" i="202"/>
  <c r="AR743" i="202"/>
  <c r="AR744" i="202"/>
  <c r="AR745" i="202"/>
  <c r="AR746" i="202"/>
  <c r="AR747" i="202"/>
  <c r="AR748" i="202"/>
  <c r="AR749" i="202"/>
  <c r="AR750" i="202"/>
  <c r="AR751" i="202"/>
  <c r="AR752" i="202"/>
  <c r="AR753" i="202"/>
  <c r="AR754" i="202"/>
  <c r="AR755" i="202"/>
  <c r="AR756" i="202"/>
  <c r="AR757" i="202"/>
  <c r="AR758" i="202"/>
  <c r="AR759" i="202"/>
  <c r="AR760" i="202"/>
  <c r="AR761" i="202"/>
  <c r="AR762" i="202"/>
  <c r="AR763" i="202"/>
  <c r="AR764" i="202"/>
  <c r="AR765" i="202"/>
  <c r="AR766" i="202"/>
  <c r="AR767" i="202"/>
  <c r="AR768" i="202"/>
  <c r="AR769" i="202"/>
  <c r="AR770" i="202"/>
  <c r="AR771" i="202"/>
  <c r="AR772" i="202"/>
  <c r="AR773" i="202"/>
  <c r="AR774" i="202"/>
  <c r="AR775" i="202"/>
  <c r="AR776" i="202"/>
  <c r="AR777" i="202"/>
  <c r="AR778" i="202"/>
  <c r="AR779" i="202"/>
  <c r="AR780" i="202"/>
  <c r="AR781" i="202"/>
  <c r="AR782" i="202"/>
  <c r="AR783" i="202"/>
  <c r="AR784" i="202"/>
  <c r="AR785" i="202"/>
  <c r="AR786" i="202"/>
  <c r="AR787" i="202"/>
  <c r="AR788" i="202"/>
  <c r="AR789" i="202"/>
  <c r="AR790" i="202"/>
  <c r="AR791" i="202"/>
  <c r="AR792" i="202"/>
  <c r="AR793" i="202"/>
  <c r="AR794" i="202"/>
  <c r="AR795" i="202"/>
  <c r="AR796" i="202"/>
  <c r="AR797" i="202"/>
  <c r="AR798" i="202"/>
  <c r="AR799" i="202"/>
  <c r="AR800" i="202"/>
  <c r="AR801" i="202"/>
  <c r="AR802" i="202"/>
  <c r="AR803" i="202"/>
  <c r="AR804" i="202"/>
  <c r="AR805" i="202"/>
  <c r="AR806" i="202"/>
  <c r="AR807" i="202"/>
  <c r="AR808" i="202"/>
  <c r="AR809" i="202"/>
  <c r="AR810" i="202"/>
  <c r="AR811" i="202"/>
  <c r="AR812" i="202"/>
  <c r="AR813" i="202"/>
  <c r="AR814" i="202"/>
  <c r="AR815" i="202"/>
  <c r="AR816" i="202"/>
  <c r="AR817" i="202"/>
  <c r="AR818" i="202"/>
  <c r="AR819" i="202"/>
  <c r="AR820" i="202"/>
  <c r="AR821" i="202"/>
  <c r="AR822" i="202"/>
  <c r="AR823" i="202"/>
  <c r="AR824" i="202"/>
  <c r="AR825" i="202"/>
  <c r="AR826" i="202"/>
  <c r="AR827" i="202"/>
  <c r="AR828" i="202"/>
  <c r="AR829" i="202"/>
  <c r="AR830" i="202"/>
  <c r="AR831" i="202"/>
  <c r="AR832" i="202"/>
  <c r="AR833" i="202"/>
  <c r="AR834" i="202"/>
  <c r="AR835" i="202"/>
  <c r="AR836" i="202"/>
  <c r="AR837" i="202"/>
  <c r="AR838" i="202"/>
  <c r="AR839" i="202"/>
  <c r="AR840" i="202"/>
  <c r="AR841" i="202"/>
  <c r="AR842" i="202"/>
  <c r="AR843" i="202"/>
  <c r="AR844" i="202"/>
  <c r="AR845" i="202"/>
  <c r="AR846" i="202"/>
  <c r="AR847" i="202"/>
  <c r="AR848" i="202"/>
  <c r="AR849" i="202"/>
  <c r="AR850" i="202"/>
  <c r="AR851" i="202"/>
  <c r="AR852" i="202"/>
  <c r="AR853" i="202"/>
  <c r="AR854" i="202"/>
  <c r="AR855" i="202"/>
  <c r="AR856" i="202"/>
  <c r="AR857" i="202"/>
  <c r="AR858" i="202"/>
  <c r="AR859" i="202"/>
  <c r="AR860" i="202"/>
  <c r="AR861" i="202"/>
  <c r="AR862" i="202"/>
  <c r="AR863" i="202"/>
  <c r="AR864" i="202"/>
  <c r="AR865" i="202"/>
  <c r="AR866" i="202"/>
  <c r="AR867" i="202"/>
  <c r="AR868" i="202"/>
  <c r="AR869" i="202"/>
  <c r="AR870" i="202"/>
  <c r="AR871" i="202"/>
  <c r="AR872" i="202"/>
  <c r="AR873" i="202"/>
  <c r="AR874" i="202"/>
  <c r="AR875" i="202"/>
  <c r="AR876" i="202"/>
  <c r="AR877" i="202"/>
  <c r="AR878" i="202"/>
  <c r="AR879" i="202"/>
  <c r="AR880" i="202"/>
  <c r="AR881" i="202"/>
  <c r="AR882" i="202"/>
  <c r="AR883" i="202"/>
  <c r="AR884" i="202"/>
  <c r="AR885" i="202"/>
  <c r="AR886" i="202"/>
  <c r="AR887" i="202"/>
  <c r="AR888" i="202"/>
  <c r="AR889" i="202"/>
  <c r="AR890" i="202"/>
  <c r="AR891" i="202"/>
  <c r="AR892" i="202"/>
  <c r="AR893" i="202"/>
  <c r="AR894" i="202"/>
  <c r="AR895" i="202"/>
  <c r="AR896" i="202"/>
  <c r="AR897" i="202"/>
  <c r="AR898" i="202"/>
  <c r="AR899" i="202"/>
  <c r="AR900" i="202"/>
  <c r="AR901" i="202"/>
  <c r="AR902" i="202"/>
  <c r="AR903" i="202"/>
  <c r="AR904" i="202"/>
  <c r="AR905" i="202"/>
  <c r="AR906" i="202"/>
  <c r="AR907" i="202"/>
  <c r="AR908" i="202"/>
  <c r="AR909" i="202"/>
  <c r="AR910" i="202"/>
  <c r="AR911" i="202"/>
  <c r="AR912" i="202"/>
  <c r="AR913" i="202"/>
  <c r="AR914" i="202"/>
  <c r="AR915" i="202"/>
  <c r="AR916" i="202"/>
  <c r="AR917" i="202"/>
  <c r="AR918" i="202"/>
  <c r="AR919" i="202"/>
  <c r="AR920" i="202"/>
  <c r="AR921" i="202"/>
  <c r="AR922" i="202"/>
  <c r="AR923" i="202"/>
  <c r="AR924" i="202"/>
  <c r="AR925" i="202"/>
  <c r="AR926" i="202"/>
  <c r="AR927" i="202"/>
  <c r="AR928" i="202"/>
  <c r="AR929" i="202"/>
  <c r="AR930" i="202"/>
  <c r="AR931" i="202"/>
  <c r="AR932" i="202"/>
  <c r="AR933" i="202"/>
  <c r="AR934" i="202"/>
  <c r="AR935" i="202"/>
  <c r="AR936" i="202"/>
  <c r="AR937" i="202"/>
  <c r="AR938" i="202"/>
  <c r="AR939" i="202"/>
  <c r="AR940" i="202"/>
  <c r="AR941" i="202"/>
  <c r="AR942" i="202"/>
  <c r="AR943" i="202"/>
  <c r="AR944" i="202"/>
  <c r="AR945" i="202"/>
  <c r="AR946" i="202"/>
  <c r="AR947" i="202"/>
  <c r="AR948" i="202"/>
  <c r="AR949" i="202"/>
  <c r="AR950" i="202"/>
  <c r="AR951" i="202"/>
  <c r="AR952" i="202"/>
  <c r="AR953" i="202"/>
  <c r="AR954" i="202"/>
  <c r="AR955" i="202"/>
  <c r="AR956" i="202"/>
  <c r="AR957" i="202"/>
  <c r="AR958" i="202"/>
  <c r="AR959" i="202"/>
  <c r="AR960" i="202"/>
  <c r="AR961" i="202"/>
  <c r="AR962" i="202"/>
  <c r="AR963" i="202"/>
  <c r="AR964" i="202"/>
  <c r="AR965" i="202"/>
  <c r="AR966" i="202"/>
  <c r="AR967" i="202"/>
  <c r="AR968" i="202"/>
  <c r="AR969" i="202"/>
  <c r="AR970" i="202"/>
  <c r="AR971" i="202"/>
  <c r="AR972" i="202"/>
  <c r="AR973" i="202"/>
  <c r="AR974" i="202"/>
  <c r="AR975" i="202"/>
  <c r="AR976" i="202"/>
  <c r="AR977" i="202"/>
  <c r="AR978" i="202"/>
  <c r="AR979" i="202"/>
  <c r="AR980" i="202"/>
  <c r="AR981" i="202"/>
  <c r="AR982" i="202"/>
  <c r="AR983" i="202"/>
  <c r="AR984" i="202"/>
  <c r="AR985" i="202"/>
  <c r="AR986" i="202"/>
  <c r="AR987" i="202"/>
  <c r="AR988" i="202"/>
  <c r="AR989" i="202"/>
  <c r="AR990" i="202"/>
  <c r="AR991" i="202"/>
  <c r="AR992" i="202"/>
  <c r="AR993" i="202"/>
  <c r="AR994" i="202"/>
  <c r="AR995" i="202"/>
  <c r="AR996" i="202"/>
  <c r="AR997" i="202"/>
  <c r="AR998" i="202"/>
  <c r="AR999" i="202"/>
  <c r="AR1000" i="202"/>
  <c r="AR1001" i="202"/>
  <c r="AR1002" i="202"/>
  <c r="AR1003" i="202"/>
  <c r="AR1004" i="202"/>
  <c r="AR1005" i="202"/>
  <c r="AR1006" i="202"/>
  <c r="AR1007" i="202"/>
  <c r="AR1008" i="202"/>
  <c r="AR1009" i="202"/>
  <c r="AR1010" i="202"/>
  <c r="AR1011" i="202"/>
  <c r="AR1012" i="202"/>
  <c r="AR1013" i="202"/>
  <c r="AR1014" i="202"/>
  <c r="AR1015" i="202"/>
  <c r="AR1016" i="202"/>
  <c r="AR1017" i="202"/>
  <c r="AR1018" i="202"/>
  <c r="AR1019" i="202"/>
  <c r="AR1020" i="202"/>
  <c r="AR1021" i="202"/>
  <c r="AR1022" i="202"/>
  <c r="AR1023" i="202"/>
  <c r="AR1024" i="202"/>
  <c r="AR1025" i="202"/>
  <c r="AR1026" i="202"/>
  <c r="AR1027" i="202"/>
  <c r="AR1028" i="202"/>
  <c r="AR1029" i="202"/>
  <c r="AR1030" i="202"/>
  <c r="AR1031" i="202"/>
  <c r="AR1032" i="202"/>
  <c r="AR1033" i="202"/>
  <c r="AR1034" i="202"/>
  <c r="AR1035" i="202"/>
  <c r="AR1036" i="202"/>
  <c r="AR1037" i="202"/>
  <c r="AR1038" i="202"/>
  <c r="AR1039" i="202"/>
  <c r="AR1040" i="202"/>
  <c r="AR1041" i="202"/>
  <c r="AR1042" i="202"/>
  <c r="AR1043" i="202"/>
  <c r="AR1044" i="202"/>
  <c r="AR1045" i="202"/>
  <c r="AR1046" i="202"/>
  <c r="AR1047" i="202"/>
  <c r="AR1048" i="202"/>
  <c r="AR1049" i="202"/>
  <c r="AR1050" i="202"/>
  <c r="AR1051" i="202"/>
  <c r="AR1052" i="202"/>
  <c r="AR1053" i="202"/>
  <c r="AR1054" i="202"/>
  <c r="AR1055" i="202"/>
  <c r="AR1056" i="202"/>
  <c r="AR1057" i="202"/>
  <c r="AR1058" i="202"/>
  <c r="AR1059" i="202"/>
  <c r="AR1060" i="202"/>
  <c r="AR1061" i="202"/>
  <c r="AR1062" i="202"/>
  <c r="AR1063" i="202"/>
  <c r="AR1064" i="202"/>
  <c r="AR1065" i="202"/>
  <c r="AR1066" i="202"/>
  <c r="AR1067" i="202"/>
  <c r="AR1068" i="202"/>
  <c r="AR1069" i="202"/>
  <c r="AR1070" i="202"/>
  <c r="AR1071" i="202"/>
  <c r="AR1072" i="202"/>
  <c r="AR1073" i="202"/>
  <c r="AR1074" i="202"/>
  <c r="AR1075" i="202"/>
  <c r="AR1076" i="202"/>
  <c r="AR1077" i="202"/>
  <c r="AR1078" i="202"/>
  <c r="AR1079" i="202"/>
  <c r="AR1080" i="202"/>
  <c r="AR1081" i="202"/>
  <c r="AR1082" i="202"/>
  <c r="AR1083" i="202"/>
  <c r="AR1084" i="202"/>
  <c r="AR1085" i="202"/>
  <c r="AR1086" i="202"/>
  <c r="AR1087" i="202"/>
  <c r="AR1088" i="202"/>
  <c r="AR1089" i="202"/>
  <c r="AR1090" i="202"/>
  <c r="AR1091" i="202"/>
  <c r="AR1092" i="202"/>
  <c r="AR1093" i="202"/>
  <c r="AR1094" i="202"/>
  <c r="AR1095" i="202"/>
  <c r="AR1096" i="202"/>
  <c r="AR1097" i="202"/>
  <c r="AR1098" i="202"/>
  <c r="AR1099" i="202"/>
  <c r="AR1100" i="202"/>
  <c r="AR1101" i="202"/>
  <c r="AR1102" i="202"/>
  <c r="AR1103" i="202"/>
  <c r="AR1104" i="202"/>
  <c r="AR1105" i="202"/>
  <c r="AR1106" i="202"/>
  <c r="AR1107" i="202"/>
  <c r="AR1108" i="202"/>
  <c r="AR1109" i="202"/>
  <c r="AR1110" i="202"/>
  <c r="AR1111" i="202"/>
  <c r="AR1112" i="202"/>
  <c r="AR1113" i="202"/>
  <c r="AR1114" i="202"/>
  <c r="AR1115" i="202"/>
  <c r="AR1116" i="202"/>
  <c r="AR1117" i="202"/>
  <c r="AR1118" i="202"/>
  <c r="AR1119" i="202"/>
  <c r="AR1120" i="202"/>
  <c r="AR1121" i="202"/>
  <c r="AR1122" i="202"/>
  <c r="AR1123" i="202"/>
  <c r="AR1124" i="202"/>
  <c r="AR1125" i="202"/>
  <c r="AR1126" i="202"/>
  <c r="AR1127" i="202"/>
  <c r="AR1128" i="202"/>
  <c r="AR1129" i="202"/>
  <c r="AR1130" i="202"/>
  <c r="AR1131" i="202"/>
  <c r="AR1132" i="202"/>
  <c r="AR1133" i="202"/>
  <c r="AR1134" i="202"/>
  <c r="AR1135" i="202"/>
  <c r="AR1136" i="202"/>
  <c r="AR1137" i="202"/>
  <c r="AR1138" i="202"/>
  <c r="AR1139" i="202"/>
  <c r="AR1140" i="202"/>
  <c r="AR1141" i="202"/>
  <c r="AR1142" i="202"/>
  <c r="AR1143" i="202"/>
  <c r="AR1144" i="202"/>
  <c r="AR1145" i="202"/>
  <c r="AR1146" i="202"/>
  <c r="AR1147" i="202"/>
  <c r="AR1148" i="202"/>
  <c r="AR1149" i="202"/>
  <c r="AR1150" i="202"/>
  <c r="AR1151" i="202"/>
  <c r="AR1152" i="202"/>
  <c r="AR1153" i="202"/>
  <c r="AR1154" i="202"/>
  <c r="AR1155" i="202"/>
  <c r="AR1156" i="202"/>
  <c r="AR1157" i="202"/>
  <c r="AR1158" i="202"/>
  <c r="AR1159" i="202"/>
  <c r="AR1160" i="202"/>
  <c r="AR1161" i="202"/>
  <c r="AR1162" i="202"/>
  <c r="AR1163" i="202"/>
  <c r="AR1164" i="202"/>
  <c r="AR1165" i="202"/>
  <c r="AR1166" i="202"/>
  <c r="AR1167" i="202"/>
  <c r="AR1168" i="202"/>
  <c r="AR1169" i="202"/>
  <c r="AR1170" i="202"/>
  <c r="AR1171" i="202"/>
  <c r="AR1172" i="202"/>
  <c r="AR1173" i="202"/>
  <c r="AR1174" i="202"/>
  <c r="AR1175" i="202"/>
  <c r="AR1176" i="202"/>
  <c r="AR1177" i="202"/>
  <c r="AR1178" i="202"/>
  <c r="AR1179" i="202"/>
  <c r="AR1180" i="202"/>
  <c r="AR1181" i="202"/>
  <c r="AR1182" i="202"/>
  <c r="AR1183" i="202"/>
  <c r="AR1184" i="202"/>
  <c r="AR1185" i="202"/>
  <c r="AR1186" i="202"/>
  <c r="AR1187" i="202"/>
  <c r="AR1188" i="202"/>
  <c r="AR1189" i="202"/>
  <c r="AR1190" i="202"/>
  <c r="AR1191" i="202"/>
  <c r="AR1192" i="202"/>
  <c r="AR1193" i="202"/>
  <c r="AR1194" i="202"/>
  <c r="AR1195" i="202"/>
  <c r="AR1196" i="202"/>
  <c r="AR1197" i="202"/>
  <c r="AR1198" i="202"/>
  <c r="AR1199" i="202"/>
  <c r="AR1200" i="202"/>
  <c r="AR1201" i="202"/>
  <c r="AR1202" i="202"/>
  <c r="AR1203" i="202"/>
  <c r="AR1204" i="202"/>
  <c r="AR1205" i="202"/>
  <c r="AR1206" i="202"/>
  <c r="AR1207" i="202"/>
  <c r="AR1208" i="202"/>
  <c r="AR1209" i="202"/>
  <c r="AR1210" i="202"/>
  <c r="AR1211" i="202"/>
  <c r="AR1212" i="202"/>
  <c r="AR1213" i="202"/>
  <c r="AR1214" i="202"/>
  <c r="AR1215" i="202"/>
  <c r="AR1216" i="202"/>
  <c r="AR1217" i="202"/>
  <c r="AR1218" i="202"/>
  <c r="AR1219" i="202"/>
  <c r="AR1220" i="202"/>
  <c r="AR1221" i="202"/>
  <c r="AR1222" i="202"/>
  <c r="AR1223" i="202"/>
  <c r="AR1224" i="202"/>
  <c r="AR1225" i="202"/>
  <c r="AR1226" i="202"/>
  <c r="AR1227" i="202"/>
  <c r="AR1228" i="202"/>
  <c r="AR1229" i="202"/>
  <c r="AR1230" i="202"/>
  <c r="AR1231" i="202"/>
  <c r="AR1232" i="202"/>
  <c r="AR1233" i="202"/>
  <c r="AR1234" i="202"/>
  <c r="AR1235" i="202"/>
  <c r="AR1236" i="202"/>
  <c r="AR1237" i="202"/>
  <c r="AR1238" i="202"/>
  <c r="AR1239" i="202"/>
  <c r="AR1240" i="202"/>
  <c r="AR1241" i="202"/>
  <c r="AR1242" i="202"/>
  <c r="AR1243" i="202"/>
  <c r="AR1244" i="202"/>
  <c r="AR1245" i="202"/>
  <c r="AR1246" i="202"/>
  <c r="AR1247" i="202"/>
  <c r="AR1248" i="202"/>
  <c r="AR1249" i="202"/>
  <c r="AR1250" i="202"/>
  <c r="AR1251" i="202"/>
  <c r="AR1252" i="202"/>
  <c r="AR1253" i="202"/>
  <c r="AR1254" i="202"/>
  <c r="AR1255" i="202"/>
  <c r="AR1256" i="202"/>
  <c r="AR1257" i="202"/>
  <c r="AR1258" i="202"/>
  <c r="AR1259" i="202"/>
  <c r="AR1260" i="202"/>
  <c r="AR1261" i="202"/>
  <c r="AR1262" i="202"/>
  <c r="AR1263" i="202"/>
  <c r="AR1264" i="202"/>
  <c r="AR1265" i="202"/>
  <c r="AR1266" i="202"/>
  <c r="AR1267" i="202"/>
  <c r="AR1268" i="202"/>
  <c r="AR1269" i="202"/>
  <c r="AR1270" i="202"/>
  <c r="AR1271" i="202"/>
  <c r="AR1272" i="202"/>
  <c r="AR1273" i="202"/>
  <c r="AR1274" i="202"/>
  <c r="AR1275" i="202"/>
  <c r="AR1276" i="202"/>
  <c r="AR1277" i="202"/>
  <c r="AR1278" i="202"/>
  <c r="AR1279" i="202"/>
  <c r="AR1280" i="202"/>
  <c r="AR1281" i="202"/>
  <c r="AR1282" i="202"/>
  <c r="AR1283" i="202"/>
  <c r="AR1284" i="202"/>
  <c r="AR1285" i="202"/>
  <c r="AR1286" i="202"/>
  <c r="AR1287" i="202"/>
  <c r="AR1288" i="202"/>
  <c r="AR1289" i="202"/>
  <c r="AR1290" i="202"/>
  <c r="AR1291" i="202"/>
  <c r="AR1292" i="202"/>
  <c r="AR1293" i="202"/>
  <c r="AR1294" i="202"/>
  <c r="AR1295" i="202"/>
  <c r="AR1296" i="202"/>
  <c r="AR1297" i="202"/>
  <c r="AR1298" i="202"/>
  <c r="AR1299" i="202"/>
  <c r="AR1300" i="202"/>
  <c r="AR1301" i="202"/>
  <c r="AR1302" i="202"/>
  <c r="AR1303" i="202"/>
  <c r="AR1304" i="202"/>
  <c r="AR1305" i="202"/>
  <c r="AR1306" i="202"/>
  <c r="AR1307" i="202"/>
  <c r="AR1308" i="202"/>
  <c r="AR1309" i="202"/>
  <c r="AR1310" i="202"/>
  <c r="AR1311" i="202"/>
  <c r="AR1312" i="202"/>
  <c r="AR1313" i="202"/>
  <c r="AR1314" i="202"/>
  <c r="AR1315" i="202"/>
  <c r="AR1316" i="202"/>
  <c r="AR1317" i="202"/>
  <c r="AR1318" i="202"/>
  <c r="AR1319" i="202"/>
  <c r="AR1320" i="202"/>
  <c r="AR1321" i="202"/>
  <c r="AR1322" i="202"/>
  <c r="AR1323" i="202"/>
  <c r="AR1324" i="202"/>
  <c r="AR1325" i="202"/>
  <c r="AR1326" i="202"/>
  <c r="AR1327" i="202"/>
  <c r="AR1328" i="202"/>
  <c r="AR1329" i="202"/>
  <c r="AR1330" i="202"/>
  <c r="AR1331" i="202"/>
  <c r="AR1332" i="202"/>
  <c r="AR1333" i="202"/>
  <c r="AR1334" i="202"/>
  <c r="AR1335" i="202"/>
  <c r="AR1336" i="202"/>
  <c r="AR1337" i="202"/>
  <c r="AR1338" i="202"/>
  <c r="AR1339" i="202"/>
  <c r="AR1340" i="202"/>
  <c r="AR1341" i="202"/>
  <c r="AR1342" i="202"/>
  <c r="AR1343" i="202"/>
  <c r="AR1344" i="202"/>
  <c r="AR1345" i="202"/>
  <c r="AR1346" i="202"/>
  <c r="AR1347" i="202"/>
  <c r="AR1348" i="202"/>
  <c r="AR1349" i="202"/>
  <c r="AR1350" i="202"/>
  <c r="AR1351" i="202"/>
  <c r="AR1352" i="202"/>
  <c r="AR1353" i="202"/>
  <c r="AR1354" i="202"/>
  <c r="AR1355" i="202"/>
  <c r="AR1356" i="202"/>
  <c r="AR1357" i="202"/>
  <c r="AR1358" i="202"/>
  <c r="AR1359" i="202"/>
  <c r="AR1360" i="202"/>
  <c r="AR1361" i="202"/>
  <c r="AR1362" i="202"/>
  <c r="AR1363" i="202"/>
  <c r="AR1364" i="202"/>
  <c r="AR1365" i="202"/>
  <c r="AR1366" i="202"/>
  <c r="AR1367" i="202"/>
  <c r="AR1368" i="202"/>
  <c r="AR1369" i="202"/>
  <c r="AR1370" i="202"/>
  <c r="AR1371" i="202"/>
  <c r="AR1372" i="202"/>
  <c r="AR1373" i="202"/>
  <c r="AR1374" i="202"/>
  <c r="AR1375" i="202"/>
  <c r="AR1376" i="202"/>
  <c r="AR1377" i="202"/>
  <c r="AR1378" i="202"/>
  <c r="AR1379" i="202"/>
  <c r="AR1380" i="202"/>
  <c r="AR1381" i="202"/>
  <c r="AR1382" i="202"/>
  <c r="AR1383" i="202"/>
  <c r="AR1384" i="202"/>
  <c r="AR1385" i="202"/>
  <c r="AR1386" i="202"/>
  <c r="AR1387" i="202"/>
  <c r="AR1388" i="202"/>
  <c r="AR1389" i="202"/>
  <c r="AR1390" i="202"/>
  <c r="AR1391" i="202"/>
  <c r="AR1392" i="202"/>
  <c r="AR1393" i="202"/>
  <c r="AR1394" i="202"/>
  <c r="AR1395" i="202"/>
  <c r="AR1396" i="202"/>
  <c r="AR1397" i="202"/>
  <c r="AR1398" i="202"/>
  <c r="AR1399" i="202"/>
  <c r="AR1400" i="202"/>
  <c r="AR1401" i="202"/>
  <c r="AR1402" i="202"/>
  <c r="AR1403" i="202"/>
  <c r="AR1404" i="202"/>
  <c r="AR1405" i="202"/>
  <c r="AR1406" i="202"/>
  <c r="AR1407" i="202"/>
  <c r="AR1408" i="202"/>
  <c r="AR1409" i="202"/>
  <c r="AR1410" i="202"/>
  <c r="AR1411" i="202"/>
  <c r="AR1412" i="202"/>
  <c r="AR1413" i="202"/>
  <c r="AR1414" i="202"/>
  <c r="AR1415" i="202"/>
  <c r="AR1416" i="202"/>
  <c r="AR1417" i="202"/>
  <c r="AR1418" i="202"/>
  <c r="AR1419" i="202"/>
  <c r="AR1420" i="202"/>
  <c r="AR1421" i="202"/>
  <c r="AR1422" i="202"/>
  <c r="AR1423" i="202"/>
  <c r="AR1424" i="202"/>
  <c r="AR1425" i="202"/>
  <c r="AR1426" i="202"/>
  <c r="AR1427" i="202"/>
  <c r="AR1428" i="202"/>
  <c r="AR1429" i="202"/>
  <c r="AR1430" i="202"/>
  <c r="AR1431" i="202"/>
  <c r="AR1432" i="202"/>
  <c r="AR1433" i="202"/>
  <c r="AR1434" i="202"/>
  <c r="AR1435" i="202"/>
  <c r="AR1436" i="202"/>
  <c r="AR1437" i="202"/>
  <c r="AR1438" i="202"/>
  <c r="AR1439" i="202"/>
  <c r="AR1440" i="202"/>
  <c r="AR1441" i="202"/>
  <c r="AR1442" i="202"/>
  <c r="AR1443" i="202"/>
  <c r="AR1444" i="202"/>
  <c r="AR1445" i="202"/>
  <c r="AR1446" i="202"/>
  <c r="AR1447" i="202"/>
  <c r="AR1448" i="202"/>
  <c r="AR1449" i="202"/>
  <c r="AR1450" i="202"/>
  <c r="AR1451" i="202"/>
  <c r="AR1452" i="202"/>
  <c r="AR1453" i="202"/>
  <c r="AR1454" i="202"/>
  <c r="AR1455" i="202"/>
  <c r="AR1456" i="202"/>
  <c r="AR1457" i="202"/>
  <c r="AR1458" i="202"/>
  <c r="AR1459" i="202"/>
  <c r="AR1460" i="202"/>
  <c r="AR1461" i="202"/>
  <c r="AR1462" i="202"/>
  <c r="AR1463" i="202"/>
  <c r="AR1464" i="202"/>
  <c r="AR1465" i="202"/>
  <c r="AR1466" i="202"/>
  <c r="AR1467" i="202"/>
  <c r="AR1468" i="202"/>
  <c r="AR1469" i="202"/>
  <c r="AR1470" i="202"/>
  <c r="AR1471" i="202"/>
  <c r="AR1472" i="202"/>
  <c r="AR1473" i="202"/>
  <c r="AR1474" i="202"/>
  <c r="AR1475" i="202"/>
  <c r="AR1476" i="202"/>
  <c r="AR1477" i="202"/>
  <c r="AR1478" i="202"/>
  <c r="AR1479" i="202"/>
  <c r="AR1480" i="202"/>
  <c r="AR1481" i="202"/>
  <c r="AR1482" i="202"/>
  <c r="AR1483" i="202"/>
  <c r="AR1484" i="202"/>
  <c r="AR1485" i="202"/>
  <c r="AR1486" i="202"/>
  <c r="AR1487" i="202"/>
  <c r="AR1488" i="202"/>
  <c r="AR1489" i="202"/>
  <c r="AR1490" i="202"/>
  <c r="AR1491" i="202"/>
  <c r="AR1492" i="202"/>
  <c r="AR1493" i="202"/>
  <c r="AR1494" i="202"/>
  <c r="AR1495" i="202"/>
  <c r="AR1496" i="202"/>
  <c r="AR1497" i="202"/>
  <c r="AR1498" i="202"/>
  <c r="AR1499" i="202"/>
  <c r="AR1500" i="202"/>
  <c r="AR1501" i="202"/>
  <c r="AR1502" i="202"/>
  <c r="AR1503" i="202"/>
  <c r="AR1504" i="202"/>
  <c r="AR1505" i="202"/>
  <c r="AR1506" i="202"/>
  <c r="AR1507" i="202"/>
  <c r="AR1508" i="202"/>
  <c r="AR1509" i="202"/>
  <c r="AR1510" i="202"/>
  <c r="AR1511" i="202"/>
  <c r="AR1512" i="202"/>
  <c r="AR1513" i="202"/>
  <c r="AR1514" i="202"/>
  <c r="AR1515" i="202"/>
  <c r="AR1516" i="202"/>
  <c r="AR1517" i="202"/>
  <c r="AR1518" i="202"/>
  <c r="AR1519" i="202"/>
  <c r="AR1520" i="202"/>
  <c r="AR1521" i="202"/>
  <c r="AR1522" i="202"/>
  <c r="AR1523" i="202"/>
  <c r="AR1524" i="202"/>
  <c r="AR1525" i="202"/>
  <c r="AR1526" i="202"/>
  <c r="AR1527" i="202"/>
  <c r="AR1528" i="202"/>
  <c r="AR1529" i="202"/>
  <c r="AR1530" i="202"/>
  <c r="AR1531" i="202"/>
  <c r="AR1532" i="202"/>
  <c r="AR1533" i="202"/>
  <c r="AR1534" i="202"/>
  <c r="AR1535" i="202"/>
  <c r="AR1536" i="202"/>
  <c r="AR1537" i="202"/>
  <c r="AR1538" i="202"/>
  <c r="AR1539" i="202"/>
  <c r="AR1540" i="202"/>
  <c r="AR1541" i="202"/>
  <c r="AR1542" i="202"/>
  <c r="AR1543" i="202"/>
  <c r="AR1544" i="202"/>
  <c r="AR1545" i="202"/>
  <c r="AR1546" i="202"/>
  <c r="AR1547" i="202"/>
  <c r="AR1548" i="202"/>
  <c r="AR1549" i="202"/>
  <c r="AR1550" i="202"/>
  <c r="AR1551" i="202"/>
  <c r="AR1552" i="202"/>
  <c r="AR1553" i="202"/>
  <c r="AR1554" i="202"/>
  <c r="AR1555" i="202"/>
  <c r="AR1556" i="202"/>
  <c r="AR1557" i="202"/>
  <c r="AR1558" i="202"/>
  <c r="AR1559" i="202"/>
  <c r="AR1560" i="202"/>
  <c r="AR1561" i="202"/>
  <c r="AR1562" i="202"/>
  <c r="AR1563" i="202"/>
  <c r="AR1564" i="202"/>
  <c r="AR1565" i="202"/>
  <c r="AR1566" i="202"/>
  <c r="AR1567" i="202"/>
  <c r="AR1568" i="202"/>
  <c r="AR1569" i="202"/>
  <c r="AR1570" i="202"/>
  <c r="AR1571" i="202"/>
  <c r="AR1572" i="202"/>
  <c r="AR1573" i="202"/>
  <c r="AR1574" i="202"/>
  <c r="AR1575" i="202"/>
  <c r="AR1576" i="202"/>
  <c r="AR1577" i="202"/>
  <c r="AR1578" i="202"/>
  <c r="AR1579" i="202"/>
  <c r="AR1580" i="202"/>
  <c r="AR1581" i="202"/>
  <c r="AR1582" i="202"/>
  <c r="AR1583" i="202"/>
  <c r="AR1584" i="202"/>
  <c r="AR1585" i="202"/>
  <c r="AR1586" i="202"/>
  <c r="AR1587" i="202"/>
  <c r="AR1588" i="202"/>
  <c r="AR1589" i="202"/>
  <c r="AR1590" i="202"/>
  <c r="AR1591" i="202"/>
  <c r="AR1592" i="202"/>
  <c r="AR1593" i="202"/>
  <c r="AR1594" i="202"/>
  <c r="AR1595" i="202"/>
  <c r="AR1596" i="202"/>
  <c r="AR1597" i="202"/>
  <c r="AR1598" i="202"/>
  <c r="AR1599" i="202"/>
  <c r="AR1600" i="202"/>
  <c r="AR1601" i="202"/>
  <c r="AR1602" i="202"/>
  <c r="AR1603" i="202"/>
  <c r="AR1604" i="202"/>
  <c r="AR1605" i="202"/>
  <c r="AR1606" i="202"/>
  <c r="AR1607" i="202"/>
  <c r="AR1608" i="202"/>
  <c r="AR1609" i="202"/>
  <c r="AR1610" i="202"/>
  <c r="AR1611" i="202"/>
  <c r="AR1612" i="202"/>
  <c r="AR1613" i="202"/>
  <c r="AR1614" i="202"/>
  <c r="AR1615" i="202"/>
  <c r="AR1616" i="202"/>
  <c r="AR1617" i="202"/>
  <c r="AR1618" i="202"/>
  <c r="AR1619" i="202"/>
  <c r="AR1620" i="202"/>
  <c r="AR1621" i="202"/>
  <c r="AR1622" i="202"/>
  <c r="AR1623" i="202"/>
  <c r="AR1624" i="202"/>
  <c r="AR1625" i="202"/>
  <c r="AR1626" i="202"/>
  <c r="AR1627" i="202"/>
  <c r="AR1628" i="202"/>
  <c r="AR1629" i="202"/>
  <c r="AR1630" i="202"/>
  <c r="AR1631" i="202"/>
  <c r="AR1632" i="202"/>
  <c r="AR1633" i="202"/>
  <c r="AR1634" i="202"/>
  <c r="AR1635" i="202"/>
  <c r="AR1636" i="202"/>
  <c r="AR1637" i="202"/>
  <c r="AR1638" i="202"/>
  <c r="AR1639" i="202"/>
  <c r="AR1640" i="202"/>
  <c r="AR1641" i="202"/>
  <c r="AR1642" i="202"/>
  <c r="AR1643" i="202"/>
  <c r="AR1644" i="202"/>
  <c r="AR1645" i="202"/>
  <c r="AR1646" i="202"/>
  <c r="AR1647" i="202"/>
  <c r="AR1648" i="202"/>
  <c r="AR1649" i="202"/>
  <c r="AR1650" i="202"/>
  <c r="AR1651" i="202"/>
  <c r="AR1652" i="202"/>
  <c r="AR1653" i="202"/>
  <c r="AR1654" i="202"/>
  <c r="AR1655" i="202"/>
  <c r="AR1656" i="202"/>
  <c r="AR1657" i="202"/>
  <c r="AR1658" i="202"/>
  <c r="AR1659" i="202"/>
  <c r="AR1660" i="202"/>
  <c r="AR1661" i="202"/>
  <c r="AR1662" i="202"/>
  <c r="AR1663" i="202"/>
  <c r="AR1664" i="202"/>
  <c r="AR1665" i="202"/>
  <c r="AR1666" i="202"/>
  <c r="AR1667" i="202"/>
  <c r="AR1668" i="202"/>
  <c r="AR1669" i="202"/>
  <c r="AR1670" i="202"/>
  <c r="AR1671" i="202"/>
  <c r="AR1672" i="202"/>
  <c r="AR1673" i="202"/>
  <c r="AR1674" i="202"/>
  <c r="AR1675" i="202"/>
  <c r="AR1676" i="202"/>
  <c r="AR1677" i="202"/>
  <c r="AR1678" i="202"/>
  <c r="AR1679" i="202"/>
  <c r="AR1680" i="202"/>
  <c r="AR1681" i="202"/>
  <c r="AR1682" i="202"/>
  <c r="AR1683" i="202"/>
  <c r="AR1684" i="202"/>
  <c r="AR1685" i="202"/>
  <c r="AR1686" i="202"/>
  <c r="AR1687" i="202"/>
  <c r="AR1688" i="202"/>
  <c r="AR1689" i="202"/>
  <c r="AR1690" i="202"/>
  <c r="AR1691" i="202"/>
  <c r="AR1692" i="202"/>
  <c r="AR1693" i="202"/>
  <c r="AR1694" i="202"/>
  <c r="AR1695" i="202"/>
  <c r="AR1696" i="202"/>
  <c r="AR1697" i="202"/>
  <c r="AR1698" i="202"/>
  <c r="AR1699" i="202"/>
  <c r="AR1700" i="202"/>
  <c r="AR1701" i="202"/>
  <c r="AR1702" i="202"/>
  <c r="AR1703" i="202"/>
  <c r="AR1704" i="202"/>
  <c r="AR1705" i="202"/>
  <c r="AR1706" i="202"/>
  <c r="AR1707" i="202"/>
  <c r="AR1708" i="202"/>
  <c r="AR1709" i="202"/>
  <c r="AR1710" i="202"/>
  <c r="AR1711" i="202"/>
  <c r="AR1712" i="202"/>
  <c r="AR1713" i="202"/>
  <c r="AR1714" i="202"/>
  <c r="AR1715" i="202"/>
  <c r="AR1716" i="202"/>
  <c r="AR1717" i="202"/>
  <c r="AR1718" i="202"/>
  <c r="AR1719" i="202"/>
  <c r="AR1720" i="202"/>
  <c r="AR1721" i="202"/>
  <c r="AR1722" i="202"/>
  <c r="AR1723" i="202"/>
  <c r="AR1724" i="202"/>
  <c r="AR1725" i="202"/>
  <c r="AR1726" i="202"/>
  <c r="AR1727" i="202"/>
  <c r="AR1728" i="202"/>
  <c r="AR1729" i="202"/>
  <c r="AR1730" i="202"/>
  <c r="AR1731" i="202"/>
  <c r="AR1732" i="202"/>
  <c r="AR1733" i="202"/>
  <c r="AR1734" i="202"/>
  <c r="AR1735" i="202"/>
  <c r="AR1736" i="202"/>
  <c r="AR1737" i="202"/>
  <c r="AR1738" i="202"/>
  <c r="AR1739" i="202"/>
  <c r="AR1740" i="202"/>
  <c r="AR1741" i="202"/>
  <c r="AR1742" i="202"/>
  <c r="AR1743" i="202"/>
  <c r="AR1744" i="202"/>
  <c r="AR1745" i="202"/>
  <c r="AR1746" i="202"/>
  <c r="AR1747" i="202"/>
  <c r="AR1748" i="202"/>
  <c r="AR1749" i="202"/>
  <c r="AR1750" i="202"/>
  <c r="AR1751" i="202"/>
  <c r="AR1752" i="202"/>
  <c r="AR1753" i="202"/>
  <c r="AR1754" i="202"/>
  <c r="AR1755" i="202"/>
  <c r="AR1756" i="202"/>
  <c r="AR1757" i="202"/>
  <c r="AR1758" i="202"/>
  <c r="AR1759" i="202"/>
  <c r="AR1760" i="202"/>
  <c r="AR1761" i="202"/>
  <c r="AR1762" i="202"/>
  <c r="AR1763" i="202"/>
  <c r="AR1764" i="202"/>
  <c r="AR1765" i="202"/>
  <c r="AR1766" i="202"/>
  <c r="AR1767" i="202"/>
  <c r="AR1768" i="202"/>
  <c r="AR1769" i="202"/>
  <c r="AR1770" i="202"/>
  <c r="AR1771" i="202"/>
  <c r="AR1772" i="202"/>
  <c r="AR1773" i="202"/>
  <c r="AR1774" i="202"/>
  <c r="AR1775" i="202"/>
  <c r="AR1776" i="202"/>
  <c r="AR1777" i="202"/>
  <c r="AR1778" i="202"/>
  <c r="AR1779" i="202"/>
  <c r="AR1780" i="202"/>
  <c r="AR1781" i="202"/>
  <c r="AR1782" i="202"/>
  <c r="AR1783" i="202"/>
  <c r="AR1784" i="202"/>
  <c r="AR1785" i="202"/>
  <c r="AR1786" i="202"/>
  <c r="AR1787" i="202"/>
  <c r="AR1788" i="202"/>
  <c r="AR1789" i="202"/>
  <c r="AR1790" i="202"/>
  <c r="AR1791" i="202"/>
  <c r="AR1792" i="202"/>
  <c r="AR1793" i="202"/>
  <c r="AR1794" i="202"/>
  <c r="AR1795" i="202"/>
  <c r="AR1796" i="202"/>
  <c r="AR1797" i="202"/>
  <c r="AR1798" i="202"/>
  <c r="AR1799" i="202"/>
  <c r="AR1800" i="202"/>
  <c r="AR1801" i="202"/>
  <c r="AR1802" i="202"/>
  <c r="AR1803" i="202"/>
  <c r="AR1804" i="202"/>
  <c r="AR1805" i="202"/>
  <c r="AR1806" i="202"/>
  <c r="AR1807" i="202"/>
  <c r="AR1808" i="202"/>
  <c r="AR1809" i="202"/>
  <c r="AR1810" i="202"/>
  <c r="AR1811" i="202"/>
  <c r="AR1812" i="202"/>
  <c r="AR1813" i="202"/>
  <c r="AR1814" i="202"/>
  <c r="AR1815" i="202"/>
  <c r="AR1816" i="202"/>
  <c r="AR1817" i="202"/>
  <c r="AR1818" i="202"/>
  <c r="AR1819" i="202"/>
  <c r="AR1820" i="202"/>
  <c r="AR1821" i="202"/>
  <c r="AR1822" i="202"/>
  <c r="AR1823" i="202"/>
  <c r="AR1824" i="202"/>
  <c r="AR1825" i="202"/>
  <c r="AR1826" i="202"/>
  <c r="AR1827" i="202"/>
  <c r="AR1828" i="202"/>
  <c r="AR1829" i="202"/>
  <c r="AR1830" i="202"/>
  <c r="AR1831" i="202"/>
  <c r="AR1832" i="202"/>
  <c r="AR1833" i="202"/>
  <c r="AR1834" i="202"/>
  <c r="AR1835" i="202"/>
  <c r="AR1836" i="202"/>
  <c r="AR1837" i="202"/>
  <c r="AR1838" i="202"/>
  <c r="AR1839" i="202"/>
  <c r="AR1840" i="202"/>
  <c r="AR1841" i="202"/>
  <c r="AR1842" i="202"/>
  <c r="AR1843" i="202"/>
  <c r="AR1844" i="202"/>
  <c r="AR1845" i="202"/>
  <c r="AR1846" i="202"/>
  <c r="AR1847" i="202"/>
  <c r="AR1848" i="202"/>
  <c r="AR1849" i="202"/>
  <c r="AR1850" i="202"/>
  <c r="AR1851" i="202"/>
  <c r="AR1852" i="202"/>
  <c r="AR1853" i="202"/>
  <c r="AR1854" i="202"/>
  <c r="AR1855" i="202"/>
  <c r="AR1856" i="202"/>
  <c r="AR1857" i="202"/>
  <c r="AR1858" i="202"/>
  <c r="AR1859" i="202"/>
  <c r="AR1860" i="202"/>
  <c r="AR1861" i="202"/>
  <c r="AR1862" i="202"/>
  <c r="AR1863" i="202"/>
  <c r="AR1864" i="202"/>
  <c r="AR1865" i="202"/>
  <c r="AR1866" i="202"/>
  <c r="AR1867" i="202"/>
  <c r="AR1868" i="202"/>
  <c r="AR1869" i="202"/>
  <c r="AR1870" i="202"/>
  <c r="AR1871" i="202"/>
  <c r="AR1872" i="202"/>
  <c r="AR1873" i="202"/>
  <c r="AR1874" i="202"/>
  <c r="AR1875" i="202"/>
  <c r="AR1876" i="202"/>
  <c r="AR1877" i="202"/>
  <c r="AR1878" i="202"/>
  <c r="AR1879" i="202"/>
  <c r="AR1880" i="202"/>
  <c r="AR1881" i="202"/>
  <c r="AR1882" i="202"/>
  <c r="AR1883" i="202"/>
  <c r="AR1884" i="202"/>
  <c r="AR1885" i="202"/>
  <c r="AR1886" i="202"/>
  <c r="AR1887" i="202"/>
  <c r="AR1888" i="202"/>
  <c r="AR1889" i="202"/>
  <c r="AR1890" i="202"/>
  <c r="AR1891" i="202"/>
  <c r="AR1892" i="202"/>
  <c r="AR1893" i="202"/>
  <c r="AR1894" i="202"/>
  <c r="AR1895" i="202"/>
  <c r="AR1896" i="202"/>
  <c r="AR1897" i="202"/>
  <c r="AR1898" i="202"/>
  <c r="AR1899" i="202"/>
  <c r="AR1900" i="202"/>
  <c r="AR1901" i="202"/>
  <c r="AR1902" i="202"/>
  <c r="AR1903" i="202"/>
  <c r="AR1904" i="202"/>
  <c r="AR1905" i="202"/>
  <c r="AR1906" i="202"/>
  <c r="AR1907" i="202"/>
  <c r="AR1908" i="202"/>
  <c r="AR1909" i="202"/>
  <c r="AR1910" i="202"/>
  <c r="AR1911" i="202"/>
  <c r="AR1912" i="202"/>
  <c r="AR1913" i="202"/>
  <c r="AR1914" i="202"/>
  <c r="AR1915" i="202"/>
  <c r="AR1916" i="202"/>
  <c r="AR1917" i="202"/>
  <c r="AR1918" i="202"/>
  <c r="AR1919" i="202"/>
  <c r="AR1920" i="202"/>
  <c r="AR1921" i="202"/>
  <c r="AR1922" i="202"/>
  <c r="AR1923" i="202"/>
  <c r="AR1924" i="202"/>
  <c r="AR1925" i="202"/>
  <c r="AR1926" i="202"/>
  <c r="AR1927" i="202"/>
  <c r="AR1928" i="202"/>
  <c r="AR1929" i="202"/>
  <c r="AR1930" i="202"/>
  <c r="AR1931" i="202"/>
  <c r="AR1932" i="202"/>
  <c r="AR1933" i="202"/>
  <c r="AR1934" i="202"/>
  <c r="AR1935" i="202"/>
  <c r="AR1936" i="202"/>
  <c r="AR1937" i="202"/>
  <c r="AR1938" i="202"/>
  <c r="AR1939" i="202"/>
  <c r="AR1940" i="202"/>
  <c r="AR1941" i="202"/>
  <c r="AR1942" i="202"/>
  <c r="AR1943" i="202"/>
  <c r="AR1944" i="202"/>
  <c r="AR1945" i="202"/>
  <c r="AR1946" i="202"/>
  <c r="AR1947" i="202"/>
  <c r="AR1948" i="202"/>
  <c r="AR1949" i="202"/>
  <c r="AR1950" i="202"/>
  <c r="AR1951" i="202"/>
  <c r="AR1952" i="202"/>
  <c r="AR1953" i="202"/>
  <c r="AR1954" i="202"/>
  <c r="AR1955" i="202"/>
  <c r="AR1956" i="202"/>
  <c r="AR1957" i="202"/>
  <c r="AR1958" i="202"/>
  <c r="AR1959" i="202"/>
  <c r="AR1960" i="202"/>
  <c r="AR1961" i="202"/>
  <c r="AR1962" i="202"/>
  <c r="AR1963" i="202"/>
  <c r="AR1964" i="202"/>
  <c r="AR1965" i="202"/>
  <c r="AR1966" i="202"/>
  <c r="AR1967" i="202"/>
  <c r="AR1968" i="202"/>
  <c r="AR1969" i="202"/>
  <c r="AR1970" i="202"/>
  <c r="AR1971" i="202"/>
  <c r="AR1972" i="202"/>
  <c r="AR1973" i="202"/>
  <c r="AR1974" i="202"/>
  <c r="AR1975" i="202"/>
  <c r="AR1976" i="202"/>
  <c r="AR1977" i="202"/>
  <c r="AR1978" i="202"/>
  <c r="AR1979" i="202"/>
  <c r="AR1980" i="202"/>
  <c r="AR1981" i="202"/>
  <c r="AR1982" i="202"/>
  <c r="AR1983" i="202"/>
  <c r="AR1984" i="202"/>
  <c r="AR1985" i="202"/>
  <c r="AR1986" i="202"/>
  <c r="AR1987" i="202"/>
  <c r="AR1988" i="202"/>
  <c r="AR1989" i="202"/>
  <c r="AR1990" i="202"/>
  <c r="AR1991" i="202"/>
  <c r="AR1992" i="202"/>
  <c r="AR1993" i="202"/>
  <c r="AR1994" i="202"/>
  <c r="AR1995" i="202"/>
  <c r="AR1996" i="202"/>
  <c r="AR1997" i="202"/>
  <c r="AR1998" i="202"/>
  <c r="AR1999" i="202"/>
  <c r="AR2000" i="202"/>
  <c r="AR2001" i="202"/>
  <c r="AR2002" i="202"/>
  <c r="AR2003" i="202"/>
  <c r="AR2004" i="202"/>
  <c r="AR2005" i="202"/>
  <c r="AR2006" i="202"/>
  <c r="AR2007" i="202"/>
  <c r="AR2008" i="202"/>
  <c r="AR2009" i="202"/>
  <c r="AR2010" i="202"/>
  <c r="AR2011" i="202"/>
  <c r="AR2012" i="202"/>
  <c r="AR2013" i="202"/>
  <c r="AR2014" i="202"/>
  <c r="AR2015" i="202"/>
  <c r="AR2016" i="202"/>
  <c r="AR2017" i="202"/>
  <c r="AR2018" i="202"/>
  <c r="AR2019" i="202"/>
  <c r="AR2020" i="202"/>
  <c r="AR2021" i="202"/>
  <c r="AR2022" i="202"/>
  <c r="AR2023" i="202"/>
  <c r="AR2024" i="202"/>
  <c r="AR2025" i="202"/>
  <c r="AR2026" i="202"/>
  <c r="AR2027" i="202"/>
  <c r="AR2028" i="202"/>
  <c r="AR2029" i="202"/>
  <c r="AR2030" i="202"/>
  <c r="AR2031" i="202"/>
  <c r="AR2032" i="202"/>
  <c r="AR2033" i="202"/>
  <c r="AR2034" i="202"/>
  <c r="AR2035" i="202"/>
  <c r="AR2036" i="202"/>
  <c r="AR2037" i="202"/>
  <c r="AR2038" i="202"/>
  <c r="AR2039" i="202"/>
  <c r="AR2040" i="202"/>
  <c r="AR2041" i="202"/>
  <c r="AR2042" i="202"/>
  <c r="AR2043" i="202"/>
  <c r="AR2044" i="202"/>
  <c r="AR2045" i="202"/>
  <c r="AR2046" i="202"/>
  <c r="AR2047" i="202"/>
  <c r="AR2048" i="202"/>
  <c r="AD2" i="202"/>
  <c r="AD3" i="202"/>
  <c r="AD4" i="202"/>
  <c r="AD5" i="202"/>
  <c r="AD6" i="202"/>
  <c r="AD7" i="202"/>
  <c r="AD8" i="202"/>
  <c r="AD9" i="202"/>
  <c r="AD10" i="202"/>
  <c r="AD11" i="202"/>
  <c r="AD12" i="202"/>
  <c r="AD13" i="202"/>
  <c r="AD14" i="202"/>
  <c r="AD15" i="202"/>
  <c r="AD16" i="202"/>
  <c r="AD17" i="202"/>
  <c r="AD18" i="202"/>
  <c r="AD19" i="202"/>
  <c r="AD20" i="202"/>
  <c r="AD21" i="202"/>
  <c r="AD22" i="202"/>
  <c r="AD23" i="202"/>
  <c r="AD24" i="202"/>
  <c r="AD25" i="202"/>
  <c r="AD26" i="202"/>
  <c r="AD27" i="202"/>
  <c r="AD28" i="202"/>
  <c r="AD29" i="202"/>
  <c r="AD30" i="202"/>
  <c r="AD31" i="202"/>
  <c r="AD32" i="202"/>
  <c r="AD33" i="202"/>
  <c r="AD34" i="202"/>
  <c r="AD35" i="202"/>
  <c r="AD36" i="202"/>
  <c r="AD37" i="202"/>
  <c r="AD38" i="202"/>
  <c r="AD39" i="202"/>
  <c r="AD40" i="202"/>
  <c r="AD41" i="202"/>
  <c r="AD42" i="202"/>
  <c r="AD43" i="202"/>
  <c r="AD44" i="202"/>
  <c r="AD45" i="202"/>
  <c r="AD46" i="202"/>
  <c r="AD47" i="202"/>
  <c r="AD48" i="202"/>
  <c r="AD49" i="202"/>
  <c r="AD50" i="202"/>
  <c r="AD51" i="202"/>
  <c r="AD52" i="202"/>
  <c r="AD53" i="202"/>
  <c r="AD54" i="202"/>
  <c r="AD55" i="202"/>
  <c r="AD56" i="202"/>
  <c r="AD57" i="202"/>
  <c r="AD58" i="202"/>
  <c r="AD59" i="202"/>
  <c r="AD60" i="202"/>
  <c r="AD61" i="202"/>
  <c r="AD62" i="202"/>
  <c r="AD63" i="202"/>
  <c r="AD64" i="202"/>
  <c r="AD65" i="202"/>
  <c r="AD66" i="202"/>
  <c r="AD67" i="202"/>
  <c r="AD68" i="202"/>
  <c r="AD69" i="202"/>
  <c r="AD70" i="202"/>
  <c r="AD71" i="202"/>
  <c r="AD72" i="202"/>
  <c r="AD73" i="202"/>
  <c r="AD74" i="202"/>
  <c r="AD75" i="202"/>
  <c r="AD76" i="202"/>
  <c r="AD77" i="202"/>
  <c r="AD78" i="202"/>
  <c r="AD79" i="202"/>
  <c r="AD80" i="202"/>
  <c r="AD81" i="202"/>
  <c r="AD82" i="202"/>
  <c r="AD83" i="202"/>
  <c r="AD84" i="202"/>
  <c r="AD85" i="202"/>
  <c r="AD86" i="202"/>
  <c r="AD87" i="202"/>
  <c r="AD88" i="202"/>
  <c r="AD89" i="202"/>
  <c r="AD90" i="202"/>
  <c r="AD91" i="202"/>
  <c r="AD92" i="202"/>
  <c r="AD93" i="202"/>
  <c r="AD94" i="202"/>
  <c r="AD95" i="202"/>
  <c r="AD96" i="202"/>
  <c r="AD97" i="202"/>
  <c r="AD98" i="202"/>
  <c r="AD99" i="202"/>
  <c r="AD100" i="202"/>
  <c r="AD101" i="202"/>
  <c r="AD102" i="202"/>
  <c r="AD103" i="202"/>
  <c r="AD104" i="202"/>
  <c r="AD105" i="202"/>
  <c r="AD106" i="202"/>
  <c r="AD107" i="202"/>
  <c r="AD108" i="202"/>
  <c r="AD109" i="202"/>
  <c r="AD110" i="202"/>
  <c r="AD111" i="202"/>
  <c r="AD112" i="202"/>
  <c r="AD113" i="202"/>
  <c r="AD114" i="202"/>
  <c r="AD115" i="202"/>
  <c r="AD116" i="202"/>
  <c r="AD117" i="202"/>
  <c r="AD118" i="202"/>
  <c r="AD119" i="202"/>
  <c r="AD120" i="202"/>
  <c r="AD121" i="202"/>
  <c r="AD122" i="202"/>
  <c r="AD123" i="202"/>
  <c r="AD124" i="202"/>
  <c r="AD125" i="202"/>
  <c r="AD126" i="202"/>
  <c r="AD127" i="202"/>
  <c r="AD128" i="202"/>
  <c r="AD129" i="202"/>
  <c r="AD130" i="202"/>
  <c r="AD131" i="202"/>
  <c r="AD132" i="202"/>
  <c r="AD133" i="202"/>
  <c r="AD134" i="202"/>
  <c r="AD135" i="202"/>
  <c r="AD136" i="202"/>
  <c r="AD137" i="202"/>
  <c r="AD138" i="202"/>
  <c r="AD139" i="202"/>
  <c r="AD140" i="202"/>
  <c r="AD141" i="202"/>
  <c r="AD142" i="202"/>
  <c r="AD143" i="202"/>
  <c r="AD144" i="202"/>
  <c r="AD145" i="202"/>
  <c r="AD146" i="202"/>
  <c r="AD147" i="202"/>
  <c r="AD148" i="202"/>
  <c r="AD149" i="202"/>
  <c r="AD150" i="202"/>
  <c r="AD151" i="202"/>
  <c r="AD152" i="202"/>
  <c r="AD153" i="202"/>
  <c r="AD154" i="202"/>
  <c r="AD155" i="202"/>
  <c r="AD156" i="202"/>
  <c r="AD157" i="202"/>
  <c r="AD158" i="202"/>
  <c r="AD159" i="202"/>
  <c r="AD160" i="202"/>
  <c r="AD161" i="202"/>
  <c r="AD162" i="202"/>
  <c r="AD163" i="202"/>
  <c r="AD164" i="202"/>
  <c r="AD165" i="202"/>
  <c r="AD166" i="202"/>
  <c r="AD167" i="202"/>
  <c r="AD168" i="202"/>
  <c r="AD169" i="202"/>
  <c r="AD170" i="202"/>
  <c r="AD171" i="202"/>
  <c r="AD172" i="202"/>
  <c r="AD173" i="202"/>
  <c r="AD174" i="202"/>
  <c r="AD175" i="202"/>
  <c r="AD176" i="202"/>
  <c r="AD177" i="202"/>
  <c r="AD178" i="202"/>
  <c r="AD179" i="202"/>
  <c r="AD180" i="202"/>
  <c r="AD181" i="202"/>
  <c r="AD182" i="202"/>
  <c r="AD183" i="202"/>
  <c r="AD184" i="202"/>
  <c r="AD185" i="202"/>
  <c r="AD186" i="202"/>
  <c r="AD187" i="202"/>
  <c r="AD188" i="202"/>
  <c r="AD189" i="202"/>
  <c r="AD190" i="202"/>
  <c r="AD191" i="202"/>
  <c r="AD192" i="202"/>
  <c r="AD193" i="202"/>
  <c r="AD194" i="202"/>
  <c r="AD195" i="202"/>
  <c r="AD196" i="202"/>
  <c r="AD197" i="202"/>
  <c r="AD198" i="202"/>
  <c r="AD199" i="202"/>
  <c r="AD200" i="202"/>
  <c r="AD201" i="202"/>
  <c r="AD202" i="202"/>
  <c r="AD203" i="202"/>
  <c r="AD204" i="202"/>
  <c r="AD205" i="202"/>
  <c r="AD206" i="202"/>
  <c r="AD207" i="202"/>
  <c r="AD208" i="202"/>
  <c r="AD209" i="202"/>
  <c r="AD210" i="202"/>
  <c r="AD211" i="202"/>
  <c r="AD212" i="202"/>
  <c r="AD213" i="202"/>
  <c r="AD214" i="202"/>
  <c r="AD215" i="202"/>
  <c r="AD216" i="202"/>
  <c r="AD217" i="202"/>
  <c r="AD218" i="202"/>
  <c r="AD219" i="202"/>
  <c r="AD220" i="202"/>
  <c r="AD221" i="202"/>
  <c r="AD222" i="202"/>
  <c r="AD223" i="202"/>
  <c r="AD224" i="202"/>
  <c r="AD225" i="202"/>
  <c r="AD226" i="202"/>
  <c r="AD227" i="202"/>
  <c r="AD228" i="202"/>
  <c r="AD229" i="202"/>
  <c r="AD230" i="202"/>
  <c r="AD231" i="202"/>
  <c r="AD232" i="202"/>
  <c r="AD233" i="202"/>
  <c r="AD234" i="202"/>
  <c r="AD235" i="202"/>
  <c r="AD236" i="202"/>
  <c r="AD237" i="202"/>
  <c r="AD238" i="202"/>
  <c r="AD239" i="202"/>
  <c r="AD240" i="202"/>
  <c r="AD241" i="202"/>
  <c r="AD242" i="202"/>
  <c r="AD243" i="202"/>
  <c r="AD244" i="202"/>
  <c r="AD245" i="202"/>
  <c r="AD246" i="202"/>
  <c r="AD247" i="202"/>
  <c r="AD248" i="202"/>
  <c r="AD249" i="202"/>
  <c r="AD250" i="202"/>
  <c r="AD251" i="202"/>
  <c r="AD252" i="202"/>
  <c r="AD253" i="202"/>
  <c r="AD254" i="202"/>
  <c r="AD255" i="202"/>
  <c r="AD256" i="202"/>
  <c r="AD257" i="202"/>
  <c r="AD258" i="202"/>
  <c r="AD259" i="202"/>
  <c r="AD260" i="202"/>
  <c r="AD261" i="202"/>
  <c r="AD262" i="202"/>
  <c r="AD263" i="202"/>
  <c r="AD264" i="202"/>
  <c r="AD265" i="202"/>
  <c r="AD266" i="202"/>
  <c r="AD267" i="202"/>
  <c r="AD268" i="202"/>
  <c r="AD269" i="202"/>
  <c r="AD270" i="202"/>
  <c r="AD271" i="202"/>
  <c r="AD272" i="202"/>
  <c r="AD273" i="202"/>
  <c r="AD274" i="202"/>
  <c r="AD275" i="202"/>
  <c r="AD276" i="202"/>
  <c r="AD277" i="202"/>
  <c r="AD278" i="202"/>
  <c r="AD279" i="202"/>
  <c r="AD280" i="202"/>
  <c r="AD281" i="202"/>
  <c r="AD282" i="202"/>
  <c r="AD283" i="202"/>
  <c r="AD284" i="202"/>
  <c r="AD285" i="202"/>
  <c r="AD286" i="202"/>
  <c r="AD287" i="202"/>
  <c r="AD288" i="202"/>
  <c r="AD289" i="202"/>
  <c r="AD290" i="202"/>
  <c r="AD291" i="202"/>
  <c r="AD292" i="202"/>
  <c r="AD293" i="202"/>
  <c r="AD294" i="202"/>
  <c r="AD295" i="202"/>
  <c r="AD296" i="202"/>
  <c r="AD297" i="202"/>
  <c r="AD298" i="202"/>
  <c r="AD299" i="202"/>
  <c r="AD300" i="202"/>
  <c r="AD301" i="202"/>
  <c r="AD302" i="202"/>
  <c r="AD303" i="202"/>
  <c r="AD304" i="202"/>
  <c r="AD305" i="202"/>
  <c r="AD306" i="202"/>
  <c r="AD307" i="202"/>
  <c r="AD308" i="202"/>
  <c r="AD309" i="202"/>
  <c r="AD310" i="202"/>
  <c r="AD311" i="202"/>
  <c r="AD312" i="202"/>
  <c r="AD313" i="202"/>
  <c r="AD314" i="202"/>
  <c r="AD315" i="202"/>
  <c r="AD316" i="202"/>
  <c r="AD317" i="202"/>
  <c r="AD318" i="202"/>
  <c r="AD319" i="202"/>
  <c r="AD320" i="202"/>
  <c r="AD321" i="202"/>
  <c r="AD322" i="202"/>
  <c r="AD323" i="202"/>
  <c r="AD324" i="202"/>
  <c r="AD325" i="202"/>
  <c r="AD326" i="202"/>
  <c r="AD327" i="202"/>
  <c r="AD328" i="202"/>
  <c r="AD329" i="202"/>
  <c r="AD330" i="202"/>
  <c r="AD331" i="202"/>
  <c r="AD332" i="202"/>
  <c r="AD333" i="202"/>
  <c r="AD334" i="202"/>
  <c r="AD335" i="202"/>
  <c r="AD336" i="202"/>
  <c r="AD337" i="202"/>
  <c r="AD338" i="202"/>
  <c r="AD339" i="202"/>
  <c r="AD340" i="202"/>
  <c r="AD341" i="202"/>
  <c r="AD342" i="202"/>
  <c r="AD343" i="202"/>
  <c r="AD344" i="202"/>
  <c r="AD345" i="202"/>
  <c r="AD346" i="202"/>
  <c r="AD347" i="202"/>
  <c r="AD348" i="202"/>
  <c r="AD349" i="202"/>
  <c r="AD350" i="202"/>
  <c r="AD351" i="202"/>
  <c r="AD352" i="202"/>
  <c r="AD353" i="202"/>
  <c r="AD354" i="202"/>
  <c r="AD355" i="202"/>
  <c r="AD356" i="202"/>
  <c r="AD357" i="202"/>
  <c r="AD358" i="202"/>
  <c r="AD359" i="202"/>
  <c r="AD360" i="202"/>
  <c r="AD361" i="202"/>
  <c r="AD362" i="202"/>
  <c r="AD363" i="202"/>
  <c r="AD364" i="202"/>
  <c r="AD365" i="202"/>
  <c r="AD366" i="202"/>
  <c r="AD367" i="202"/>
  <c r="AD368" i="202"/>
  <c r="AD369" i="202"/>
  <c r="AD370" i="202"/>
  <c r="AD371" i="202"/>
  <c r="AD372" i="202"/>
  <c r="AD373" i="202"/>
  <c r="AD374" i="202"/>
  <c r="AD375" i="202"/>
  <c r="AD376" i="202"/>
  <c r="AD377" i="202"/>
  <c r="AD378" i="202"/>
  <c r="AD379" i="202"/>
  <c r="AD380" i="202"/>
  <c r="AD381" i="202"/>
  <c r="AD382" i="202"/>
  <c r="AD383" i="202"/>
  <c r="AD384" i="202"/>
  <c r="AD385" i="202"/>
  <c r="AD386" i="202"/>
  <c r="AD387" i="202"/>
  <c r="AD388" i="202"/>
  <c r="AD389" i="202"/>
  <c r="AD390" i="202"/>
  <c r="AD391" i="202"/>
  <c r="AD392" i="202"/>
  <c r="AD393" i="202"/>
  <c r="AD394" i="202"/>
  <c r="AD395" i="202"/>
  <c r="AD396" i="202"/>
  <c r="AD397" i="202"/>
  <c r="AD398" i="202"/>
  <c r="AD399" i="202"/>
  <c r="AD400" i="202"/>
  <c r="AD401" i="202"/>
  <c r="AD402" i="202"/>
  <c r="AD403" i="202"/>
  <c r="AD404" i="202"/>
  <c r="AD405" i="202"/>
  <c r="AD406" i="202"/>
  <c r="AD407" i="202"/>
  <c r="AD408" i="202"/>
  <c r="AD409" i="202"/>
  <c r="AD410" i="202"/>
  <c r="AD411" i="202"/>
  <c r="AD412" i="202"/>
  <c r="AD413" i="202"/>
  <c r="AD414" i="202"/>
  <c r="AD415" i="202"/>
  <c r="AD416" i="202"/>
  <c r="AD417" i="202"/>
  <c r="AD418" i="202"/>
  <c r="AD419" i="202"/>
  <c r="AD420" i="202"/>
  <c r="AD421" i="202"/>
  <c r="AD422" i="202"/>
  <c r="AD423" i="202"/>
  <c r="AD424" i="202"/>
  <c r="AD425" i="202"/>
  <c r="AD426" i="202"/>
  <c r="AD427" i="202"/>
  <c r="AD428" i="202"/>
  <c r="AD429" i="202"/>
  <c r="AD430" i="202"/>
  <c r="AD431" i="202"/>
  <c r="AD432" i="202"/>
  <c r="AD433" i="202"/>
  <c r="AD434" i="202"/>
  <c r="AD435" i="202"/>
  <c r="AD436" i="202"/>
  <c r="AD437" i="202"/>
  <c r="AD438" i="202"/>
  <c r="AD439" i="202"/>
  <c r="AD440" i="202"/>
  <c r="AD441" i="202"/>
  <c r="AD442" i="202"/>
  <c r="AD443" i="202"/>
  <c r="AD444" i="202"/>
  <c r="AD445" i="202"/>
  <c r="AD446" i="202"/>
  <c r="AD447" i="202"/>
  <c r="AD448" i="202"/>
  <c r="AD449" i="202"/>
  <c r="AD450" i="202"/>
  <c r="AD451" i="202"/>
  <c r="AD452" i="202"/>
  <c r="AD453" i="202"/>
  <c r="AD454" i="202"/>
  <c r="AD455" i="202"/>
  <c r="AD456" i="202"/>
  <c r="AD457" i="202"/>
  <c r="AD458" i="202"/>
  <c r="AD459" i="202"/>
  <c r="AD460" i="202"/>
  <c r="AD461" i="202"/>
  <c r="AD462" i="202"/>
  <c r="AD463" i="202"/>
  <c r="AD464" i="202"/>
  <c r="AD465" i="202"/>
  <c r="AD466" i="202"/>
  <c r="AD467" i="202"/>
  <c r="AD468" i="202"/>
  <c r="AD469" i="202"/>
  <c r="AD470" i="202"/>
  <c r="AD471" i="202"/>
  <c r="AD472" i="202"/>
  <c r="AD473" i="202"/>
  <c r="AD474" i="202"/>
  <c r="AD475" i="202"/>
  <c r="AD476" i="202"/>
  <c r="AD477" i="202"/>
  <c r="AD478" i="202"/>
  <c r="AD479" i="202"/>
  <c r="AD480" i="202"/>
  <c r="AD481" i="202"/>
  <c r="AD482" i="202"/>
  <c r="AD483" i="202"/>
  <c r="AD484" i="202"/>
  <c r="AD485" i="202"/>
  <c r="AD486" i="202"/>
  <c r="AD487" i="202"/>
  <c r="AD488" i="202"/>
  <c r="AD489" i="202"/>
  <c r="AD490" i="202"/>
  <c r="AD491" i="202"/>
  <c r="AD492" i="202"/>
  <c r="AD493" i="202"/>
  <c r="AD494" i="202"/>
  <c r="AD495" i="202"/>
  <c r="AD496" i="202"/>
  <c r="AD497" i="202"/>
  <c r="AD498" i="202"/>
  <c r="AD499" i="202"/>
  <c r="AD500" i="202"/>
  <c r="AD501" i="202"/>
  <c r="AD502" i="202"/>
  <c r="AD503" i="202"/>
  <c r="AD504" i="202"/>
  <c r="AD505" i="202"/>
  <c r="AD506" i="202"/>
  <c r="AD507" i="202"/>
  <c r="AD508" i="202"/>
  <c r="AD509" i="202"/>
  <c r="AD510" i="202"/>
  <c r="AD511" i="202"/>
  <c r="AD512" i="202"/>
  <c r="AD513" i="202"/>
  <c r="AD514" i="202"/>
  <c r="AD515" i="202"/>
  <c r="AD516" i="202"/>
  <c r="AD517" i="202"/>
  <c r="AD518" i="202"/>
  <c r="AD519" i="202"/>
  <c r="AD520" i="202"/>
  <c r="AD521" i="202"/>
  <c r="AD522" i="202"/>
  <c r="AD523" i="202"/>
  <c r="AD524" i="202"/>
  <c r="AD525" i="202"/>
  <c r="AD526" i="202"/>
  <c r="AD527" i="202"/>
  <c r="AD528" i="202"/>
  <c r="AD529" i="202"/>
  <c r="AD530" i="202"/>
  <c r="AD531" i="202"/>
  <c r="AD532" i="202"/>
  <c r="AD533" i="202"/>
  <c r="AD534" i="202"/>
  <c r="AD535" i="202"/>
  <c r="AD536" i="202"/>
  <c r="AD537" i="202"/>
  <c r="AD538" i="202"/>
  <c r="AD539" i="202"/>
  <c r="AD540" i="202"/>
  <c r="AD541" i="202"/>
  <c r="AD542" i="202"/>
  <c r="AD543" i="202"/>
  <c r="AD544" i="202"/>
  <c r="AD545" i="202"/>
  <c r="AD546" i="202"/>
  <c r="AD547" i="202"/>
  <c r="AD548" i="202"/>
  <c r="AD549" i="202"/>
  <c r="AD550" i="202"/>
  <c r="AD551" i="202"/>
  <c r="AD552" i="202"/>
  <c r="AD553" i="202"/>
  <c r="AD554" i="202"/>
  <c r="AD555" i="202"/>
  <c r="AD556" i="202"/>
  <c r="AD557" i="202"/>
  <c r="AD558" i="202"/>
  <c r="AD559" i="202"/>
  <c r="AD560" i="202"/>
  <c r="AD561" i="202"/>
  <c r="AD562" i="202"/>
  <c r="AD563" i="202"/>
  <c r="AD564" i="202"/>
  <c r="AD565" i="202"/>
  <c r="AD566" i="202"/>
  <c r="AD567" i="202"/>
  <c r="AD568" i="202"/>
  <c r="AD569" i="202"/>
  <c r="AD570" i="202"/>
  <c r="AD571" i="202"/>
  <c r="AD572" i="202"/>
  <c r="AD573" i="202"/>
  <c r="AD574" i="202"/>
  <c r="AD575" i="202"/>
  <c r="AD576" i="202"/>
  <c r="AD577" i="202"/>
  <c r="AD578" i="202"/>
  <c r="AD579" i="202"/>
  <c r="AD580" i="202"/>
  <c r="AD581" i="202"/>
  <c r="AD582" i="202"/>
  <c r="AD583" i="202"/>
  <c r="AD584" i="202"/>
  <c r="AD585" i="202"/>
  <c r="AD586" i="202"/>
  <c r="AD587" i="202"/>
  <c r="AD588" i="202"/>
  <c r="AD589" i="202"/>
  <c r="AD590" i="202"/>
  <c r="AD591" i="202"/>
  <c r="AD592" i="202"/>
  <c r="AD593" i="202"/>
  <c r="AD594" i="202"/>
  <c r="AD595" i="202"/>
  <c r="AD596" i="202"/>
  <c r="AD597" i="202"/>
  <c r="AD598" i="202"/>
  <c r="AD599" i="202"/>
  <c r="AD600" i="202"/>
  <c r="AD601" i="202"/>
  <c r="AD602" i="202"/>
  <c r="AD603" i="202"/>
  <c r="AD604" i="202"/>
  <c r="AD605" i="202"/>
  <c r="AD606" i="202"/>
  <c r="AD607" i="202"/>
  <c r="AD608" i="202"/>
  <c r="AD609" i="202"/>
  <c r="AD610" i="202"/>
  <c r="AD611" i="202"/>
  <c r="AD612" i="202"/>
  <c r="AD613" i="202"/>
  <c r="AD614" i="202"/>
  <c r="AD615" i="202"/>
  <c r="AD616" i="202"/>
  <c r="AD617" i="202"/>
  <c r="AD618" i="202"/>
  <c r="AD619" i="202"/>
  <c r="AD620" i="202"/>
  <c r="AD621" i="202"/>
  <c r="AD622" i="202"/>
  <c r="AD623" i="202"/>
  <c r="AD624" i="202"/>
  <c r="AD625" i="202"/>
  <c r="AD626" i="202"/>
  <c r="AD627" i="202"/>
  <c r="AD628" i="202"/>
  <c r="AD629" i="202"/>
  <c r="AD630" i="202"/>
  <c r="AD631" i="202"/>
  <c r="AD632" i="202"/>
  <c r="AD633" i="202"/>
  <c r="AD634" i="202"/>
  <c r="AD635" i="202"/>
  <c r="AD636" i="202"/>
  <c r="AD637" i="202"/>
  <c r="AD638" i="202"/>
  <c r="AD639" i="202"/>
  <c r="AD640" i="202"/>
  <c r="AD641" i="202"/>
  <c r="AD642" i="202"/>
  <c r="AD643" i="202"/>
  <c r="AD644" i="202"/>
  <c r="AD645" i="202"/>
  <c r="AD646" i="202"/>
  <c r="AD647" i="202"/>
  <c r="AD648" i="202"/>
  <c r="AD649" i="202"/>
  <c r="AD650" i="202"/>
  <c r="AD651" i="202"/>
  <c r="AD652" i="202"/>
  <c r="AD653" i="202"/>
  <c r="AD654" i="202"/>
  <c r="AD655" i="202"/>
  <c r="AD656" i="202"/>
  <c r="AD657" i="202"/>
  <c r="AD658" i="202"/>
  <c r="AD659" i="202"/>
  <c r="AD660" i="202"/>
  <c r="AD661" i="202"/>
  <c r="AD662" i="202"/>
  <c r="AD663" i="202"/>
  <c r="AD664" i="202"/>
  <c r="AD665" i="202"/>
  <c r="AD666" i="202"/>
  <c r="AD667" i="202"/>
  <c r="AD668" i="202"/>
  <c r="AD669" i="202"/>
  <c r="AD670" i="202"/>
  <c r="AD671" i="202"/>
  <c r="AD672" i="202"/>
  <c r="AD673" i="202"/>
  <c r="AD674" i="202"/>
  <c r="AD675" i="202"/>
  <c r="AD676" i="202"/>
  <c r="AD677" i="202"/>
  <c r="AD678" i="202"/>
  <c r="AD679" i="202"/>
  <c r="AD680" i="202"/>
  <c r="AD681" i="202"/>
  <c r="AD682" i="202"/>
  <c r="AD683" i="202"/>
  <c r="AD684" i="202"/>
  <c r="AD685" i="202"/>
  <c r="AD686" i="202"/>
  <c r="AD687" i="202"/>
  <c r="AD688" i="202"/>
  <c r="AD689" i="202"/>
  <c r="AD690" i="202"/>
  <c r="AD691" i="202"/>
  <c r="AD692" i="202"/>
  <c r="AD693" i="202"/>
  <c r="AD694" i="202"/>
  <c r="AD695" i="202"/>
  <c r="AD696" i="202"/>
  <c r="AD697" i="202"/>
  <c r="AD698" i="202"/>
  <c r="AD699" i="202"/>
  <c r="AD700" i="202"/>
  <c r="AD701" i="202"/>
  <c r="AD702" i="202"/>
  <c r="AD703" i="202"/>
  <c r="AD704" i="202"/>
  <c r="AD705" i="202"/>
  <c r="AD706" i="202"/>
  <c r="AD707" i="202"/>
  <c r="AD708" i="202"/>
  <c r="AD709" i="202"/>
  <c r="AD710" i="202"/>
  <c r="AD711" i="202"/>
  <c r="AD712" i="202"/>
  <c r="AD713" i="202"/>
  <c r="AD714" i="202"/>
  <c r="AD715" i="202"/>
  <c r="AD716" i="202"/>
  <c r="AD717" i="202"/>
  <c r="AD718" i="202"/>
  <c r="AD719" i="202"/>
  <c r="AD720" i="202"/>
  <c r="AD721" i="202"/>
  <c r="AD722" i="202"/>
  <c r="AD723" i="202"/>
  <c r="AD724" i="202"/>
  <c r="AD725" i="202"/>
  <c r="AD726" i="202"/>
  <c r="AD727" i="202"/>
  <c r="AD728" i="202"/>
  <c r="AD729" i="202"/>
  <c r="AD730" i="202"/>
  <c r="AD731" i="202"/>
  <c r="AD732" i="202"/>
  <c r="AD733" i="202"/>
  <c r="AD734" i="202"/>
  <c r="AD735" i="202"/>
  <c r="AD736" i="202"/>
  <c r="AD737" i="202"/>
  <c r="AD738" i="202"/>
  <c r="AD739" i="202"/>
  <c r="AD740" i="202"/>
  <c r="AD741" i="202"/>
  <c r="AD742" i="202"/>
  <c r="AD743" i="202"/>
  <c r="AD744" i="202"/>
  <c r="AD745" i="202"/>
  <c r="AD746" i="202"/>
  <c r="AD747" i="202"/>
  <c r="AD748" i="202"/>
  <c r="AD749" i="202"/>
  <c r="AD750" i="202"/>
  <c r="AD751" i="202"/>
  <c r="AD752" i="202"/>
  <c r="AD753" i="202"/>
  <c r="AD754" i="202"/>
  <c r="AD755" i="202"/>
  <c r="AD756" i="202"/>
  <c r="AD757" i="202"/>
  <c r="AD758" i="202"/>
  <c r="AD759" i="202"/>
  <c r="AD760" i="202"/>
  <c r="AD761" i="202"/>
  <c r="AD762" i="202"/>
  <c r="AD763" i="202"/>
  <c r="AD764" i="202"/>
  <c r="AD765" i="202"/>
  <c r="AD766" i="202"/>
  <c r="AD767" i="202"/>
  <c r="AD768" i="202"/>
  <c r="AD769" i="202"/>
  <c r="AD770" i="202"/>
  <c r="AD771" i="202"/>
  <c r="AD772" i="202"/>
  <c r="AD773" i="202"/>
  <c r="AD774" i="202"/>
  <c r="AD775" i="202"/>
  <c r="AD776" i="202"/>
  <c r="AD777" i="202"/>
  <c r="AD778" i="202"/>
  <c r="AD779" i="202"/>
  <c r="AD780" i="202"/>
  <c r="AD781" i="202"/>
  <c r="AD782" i="202"/>
  <c r="AD783" i="202"/>
  <c r="AD784" i="202"/>
  <c r="AD785" i="202"/>
  <c r="AD786" i="202"/>
  <c r="AD787" i="202"/>
  <c r="AD788" i="202"/>
  <c r="AD789" i="202"/>
  <c r="AD790" i="202"/>
  <c r="AD791" i="202"/>
  <c r="AD792" i="202"/>
  <c r="AD793" i="202"/>
  <c r="AD794" i="202"/>
  <c r="AD795" i="202"/>
  <c r="AD796" i="202"/>
  <c r="AD797" i="202"/>
  <c r="AD798" i="202"/>
  <c r="AD799" i="202"/>
  <c r="AD800" i="202"/>
  <c r="AD801" i="202"/>
  <c r="AD802" i="202"/>
  <c r="AD803" i="202"/>
  <c r="AD804" i="202"/>
  <c r="AD805" i="202"/>
  <c r="AD806" i="202"/>
  <c r="AD807" i="202"/>
  <c r="AD808" i="202"/>
  <c r="AD809" i="202"/>
  <c r="AD810" i="202"/>
  <c r="AD811" i="202"/>
  <c r="AD812" i="202"/>
  <c r="AD813" i="202"/>
  <c r="AD814" i="202"/>
  <c r="AD815" i="202"/>
  <c r="AD816" i="202"/>
  <c r="AD817" i="202"/>
  <c r="AD818" i="202"/>
  <c r="AD819" i="202"/>
  <c r="AD820" i="202"/>
  <c r="AD821" i="202"/>
  <c r="AD822" i="202"/>
  <c r="AD823" i="202"/>
  <c r="AD824" i="202"/>
  <c r="AD825" i="202"/>
  <c r="AD826" i="202"/>
  <c r="AD827" i="202"/>
  <c r="AD828" i="202"/>
  <c r="AD829" i="202"/>
  <c r="AD830" i="202"/>
  <c r="AD831" i="202"/>
  <c r="AD832" i="202"/>
  <c r="AD833" i="202"/>
  <c r="AD834" i="202"/>
  <c r="AD835" i="202"/>
  <c r="AD836" i="202"/>
  <c r="AD837" i="202"/>
  <c r="AD838" i="202"/>
  <c r="AD839" i="202"/>
  <c r="AD840" i="202"/>
  <c r="AD841" i="202"/>
  <c r="AD842" i="202"/>
  <c r="AD843" i="202"/>
  <c r="AD844" i="202"/>
  <c r="AD845" i="202"/>
  <c r="AD846" i="202"/>
  <c r="AD847" i="202"/>
  <c r="AD848" i="202"/>
  <c r="AD849" i="202"/>
  <c r="AD850" i="202"/>
  <c r="AD851" i="202"/>
  <c r="AD852" i="202"/>
  <c r="AD853" i="202"/>
  <c r="AD854" i="202"/>
  <c r="AD855" i="202"/>
  <c r="AD856" i="202"/>
  <c r="AD857" i="202"/>
  <c r="AD858" i="202"/>
  <c r="AD859" i="202"/>
  <c r="AD860" i="202"/>
  <c r="AD861" i="202"/>
  <c r="AD862" i="202"/>
  <c r="AD863" i="202"/>
  <c r="AD864" i="202"/>
  <c r="AD865" i="202"/>
  <c r="AD866" i="202"/>
  <c r="AD867" i="202"/>
  <c r="AD868" i="202"/>
  <c r="AD869" i="202"/>
  <c r="AD870" i="202"/>
  <c r="AD871" i="202"/>
  <c r="AD872" i="202"/>
  <c r="AD873" i="202"/>
  <c r="AD874" i="202"/>
  <c r="AD875" i="202"/>
  <c r="AD876" i="202"/>
  <c r="AD877" i="202"/>
  <c r="AD878" i="202"/>
  <c r="AD879" i="202"/>
  <c r="AD880" i="202"/>
  <c r="AD881" i="202"/>
  <c r="AD882" i="202"/>
  <c r="AD883" i="202"/>
  <c r="AD884" i="202"/>
  <c r="AD885" i="202"/>
  <c r="AD886" i="202"/>
  <c r="AD887" i="202"/>
  <c r="AD888" i="202"/>
  <c r="AD889" i="202"/>
  <c r="AD890" i="202"/>
  <c r="AD891" i="202"/>
  <c r="AD892" i="202"/>
  <c r="AD893" i="202"/>
  <c r="AD894" i="202"/>
  <c r="AD895" i="202"/>
  <c r="AD896" i="202"/>
  <c r="AD897" i="202"/>
  <c r="AD898" i="202"/>
  <c r="AD899" i="202"/>
  <c r="AD900" i="202"/>
  <c r="AD901" i="202"/>
  <c r="AD902" i="202"/>
  <c r="AD903" i="202"/>
  <c r="AD904" i="202"/>
  <c r="AD905" i="202"/>
  <c r="AD906" i="202"/>
  <c r="AD907" i="202"/>
  <c r="AD908" i="202"/>
  <c r="AD909" i="202"/>
  <c r="AD910" i="202"/>
  <c r="AD911" i="202"/>
  <c r="AD912" i="202"/>
  <c r="AD913" i="202"/>
  <c r="AD914" i="202"/>
  <c r="AD915" i="202"/>
  <c r="AD916" i="202"/>
  <c r="AD917" i="202"/>
  <c r="AD918" i="202"/>
  <c r="AD919" i="202"/>
  <c r="AD920" i="202"/>
  <c r="AD921" i="202"/>
  <c r="AD922" i="202"/>
  <c r="AD923" i="202"/>
  <c r="AD924" i="202"/>
  <c r="AD925" i="202"/>
  <c r="AD926" i="202"/>
  <c r="AD927" i="202"/>
  <c r="AD928" i="202"/>
  <c r="AD929" i="202"/>
  <c r="AD930" i="202"/>
  <c r="AD931" i="202"/>
  <c r="AD932" i="202"/>
  <c r="AD933" i="202"/>
  <c r="AD934" i="202"/>
  <c r="AD935" i="202"/>
  <c r="AD936" i="202"/>
  <c r="AD937" i="202"/>
  <c r="AD938" i="202"/>
  <c r="AD939" i="202"/>
  <c r="AD940" i="202"/>
  <c r="AD941" i="202"/>
  <c r="AD942" i="202"/>
  <c r="AD943" i="202"/>
  <c r="AD944" i="202"/>
  <c r="AD945" i="202"/>
  <c r="AD946" i="202"/>
  <c r="AD947" i="202"/>
  <c r="AD948" i="202"/>
  <c r="AD949" i="202"/>
  <c r="AD950" i="202"/>
  <c r="AD951" i="202"/>
  <c r="AD952" i="202"/>
  <c r="AD953" i="202"/>
  <c r="AD954" i="202"/>
  <c r="AD955" i="202"/>
  <c r="AD956" i="202"/>
  <c r="AD957" i="202"/>
  <c r="AD958" i="202"/>
  <c r="AD959" i="202"/>
  <c r="AD960" i="202"/>
  <c r="AD961" i="202"/>
  <c r="AD962" i="202"/>
  <c r="AD963" i="202"/>
  <c r="AD964" i="202"/>
  <c r="AD965" i="202"/>
  <c r="AD966" i="202"/>
  <c r="AD967" i="202"/>
  <c r="AD968" i="202"/>
  <c r="AD969" i="202"/>
  <c r="AD970" i="202"/>
  <c r="AD971" i="202"/>
  <c r="AD972" i="202"/>
  <c r="AD973" i="202"/>
  <c r="AD974" i="202"/>
  <c r="AD975" i="202"/>
  <c r="AD976" i="202"/>
  <c r="AD977" i="202"/>
  <c r="AD978" i="202"/>
  <c r="AD979" i="202"/>
  <c r="AD980" i="202"/>
  <c r="AD981" i="202"/>
  <c r="AD982" i="202"/>
  <c r="AD983" i="202"/>
  <c r="AD984" i="202"/>
  <c r="AD985" i="202"/>
  <c r="AD986" i="202"/>
  <c r="AD987" i="202"/>
  <c r="AD988" i="202"/>
  <c r="AD989" i="202"/>
  <c r="AD990" i="202"/>
  <c r="AD991" i="202"/>
  <c r="AD992" i="202"/>
  <c r="AD993" i="202"/>
  <c r="AD994" i="202"/>
  <c r="AD995" i="202"/>
  <c r="AD996" i="202"/>
  <c r="AD997" i="202"/>
  <c r="AD998" i="202"/>
  <c r="AD999" i="202"/>
  <c r="AD1000" i="202"/>
  <c r="AD1001" i="202"/>
  <c r="AD1002" i="202"/>
  <c r="AD1003" i="202"/>
  <c r="AD1004" i="202"/>
  <c r="AD1005" i="202"/>
  <c r="AD1006" i="202"/>
  <c r="AD1007" i="202"/>
  <c r="AD1008" i="202"/>
  <c r="AD1009" i="202"/>
  <c r="AD1010" i="202"/>
  <c r="AD1011" i="202"/>
  <c r="AD1012" i="202"/>
  <c r="AD1013" i="202"/>
  <c r="AD1014" i="202"/>
  <c r="AD1015" i="202"/>
  <c r="AD1016" i="202"/>
  <c r="AD1017" i="202"/>
  <c r="AD1018" i="202"/>
  <c r="AD1019" i="202"/>
  <c r="AD1020" i="202"/>
  <c r="AD1021" i="202"/>
  <c r="AD1022" i="202"/>
  <c r="AD1023" i="202"/>
  <c r="AD1024" i="202"/>
  <c r="AD1025" i="202"/>
  <c r="AD1026" i="202"/>
  <c r="AD1027" i="202"/>
  <c r="AD1028" i="202"/>
  <c r="AD1029" i="202"/>
  <c r="AD1030" i="202"/>
  <c r="AD1031" i="202"/>
  <c r="AD1032" i="202"/>
  <c r="AD1033" i="202"/>
  <c r="AD1034" i="202"/>
  <c r="AD1035" i="202"/>
  <c r="AD1036" i="202"/>
  <c r="AD1037" i="202"/>
  <c r="AD1038" i="202"/>
  <c r="AD1039" i="202"/>
  <c r="AD1040" i="202"/>
  <c r="AD1041" i="202"/>
  <c r="AD1042" i="202"/>
  <c r="AD1043" i="202"/>
  <c r="AD1044" i="202"/>
  <c r="AD1045" i="202"/>
  <c r="AD1046" i="202"/>
  <c r="AD1047" i="202"/>
  <c r="AD1048" i="202"/>
  <c r="AD1049" i="202"/>
  <c r="AD1050" i="202"/>
  <c r="AD1051" i="202"/>
  <c r="AD1052" i="202"/>
  <c r="AD1053" i="202"/>
  <c r="AD1054" i="202"/>
  <c r="AD1055" i="202"/>
  <c r="AD1056" i="202"/>
  <c r="AD1057" i="202"/>
  <c r="AD1058" i="202"/>
  <c r="AD1059" i="202"/>
  <c r="AD1060" i="202"/>
  <c r="AD1061" i="202"/>
  <c r="AD1062" i="202"/>
  <c r="AD1063" i="202"/>
  <c r="AD1064" i="202"/>
  <c r="AD1065" i="202"/>
  <c r="AD1066" i="202"/>
  <c r="AD1067" i="202"/>
  <c r="AD1068" i="202"/>
  <c r="AD1069" i="202"/>
  <c r="AD1070" i="202"/>
  <c r="AD1071" i="202"/>
  <c r="AD1072" i="202"/>
  <c r="AD1073" i="202"/>
  <c r="AD1074" i="202"/>
  <c r="AD1075" i="202"/>
  <c r="AD1076" i="202"/>
  <c r="AD1077" i="202"/>
  <c r="AD1078" i="202"/>
  <c r="AD1079" i="202"/>
  <c r="AD1080" i="202"/>
  <c r="AD1081" i="202"/>
  <c r="AD1082" i="202"/>
  <c r="AD1083" i="202"/>
  <c r="AD1084" i="202"/>
  <c r="AD1085" i="202"/>
  <c r="AD1086" i="202"/>
  <c r="AD1087" i="202"/>
  <c r="AD1088" i="202"/>
  <c r="AD1089" i="202"/>
  <c r="AD1090" i="202"/>
  <c r="AD1091" i="202"/>
  <c r="AD1092" i="202"/>
  <c r="AD1093" i="202"/>
  <c r="AD1094" i="202"/>
  <c r="AD1095" i="202"/>
  <c r="AD1096" i="202"/>
  <c r="AD1097" i="202"/>
  <c r="AD1098" i="202"/>
  <c r="AD1099" i="202"/>
  <c r="AD1100" i="202"/>
  <c r="AD1101" i="202"/>
  <c r="AD1102" i="202"/>
  <c r="AD1103" i="202"/>
  <c r="AD1104" i="202"/>
  <c r="AD1105" i="202"/>
  <c r="AD1106" i="202"/>
  <c r="AD1107" i="202"/>
  <c r="AD1108" i="202"/>
  <c r="AD1109" i="202"/>
  <c r="AD1110" i="202"/>
  <c r="AD1111" i="202"/>
  <c r="AD1112" i="202"/>
  <c r="AD1113" i="202"/>
  <c r="AD1114" i="202"/>
  <c r="AD1115" i="202"/>
  <c r="AD1116" i="202"/>
  <c r="AD1117" i="202"/>
  <c r="AD1118" i="202"/>
  <c r="AD1119" i="202"/>
  <c r="AD1120" i="202"/>
  <c r="AD1121" i="202"/>
  <c r="AD1122" i="202"/>
  <c r="AD1123" i="202"/>
  <c r="AD1124" i="202"/>
  <c r="AD1125" i="202"/>
  <c r="AD1126" i="202"/>
  <c r="AD1127" i="202"/>
  <c r="AD1128" i="202"/>
  <c r="AD1129" i="202"/>
  <c r="AD1130" i="202"/>
  <c r="AD1131" i="202"/>
  <c r="AD1132" i="202"/>
  <c r="AD1133" i="202"/>
  <c r="AD1134" i="202"/>
  <c r="AD1135" i="202"/>
  <c r="AD1136" i="202"/>
  <c r="AD1137" i="202"/>
  <c r="AD1138" i="202"/>
  <c r="AD1139" i="202"/>
  <c r="AD1140" i="202"/>
  <c r="AD1141" i="202"/>
  <c r="AD1142" i="202"/>
  <c r="AD1143" i="202"/>
  <c r="AD1144" i="202"/>
  <c r="AD1145" i="202"/>
  <c r="AD1146" i="202"/>
  <c r="AD1147" i="202"/>
  <c r="AD1148" i="202"/>
  <c r="AD1149" i="202"/>
  <c r="AD1150" i="202"/>
  <c r="AD1151" i="202"/>
  <c r="AD1152" i="202"/>
  <c r="AD1153" i="202"/>
  <c r="AD1154" i="202"/>
  <c r="AD1155" i="202"/>
  <c r="AD1156" i="202"/>
  <c r="AD1157" i="202"/>
  <c r="AD1158" i="202"/>
  <c r="AD1159" i="202"/>
  <c r="AD1160" i="202"/>
  <c r="AD1161" i="202"/>
  <c r="AD1162" i="202"/>
  <c r="AD1163" i="202"/>
  <c r="AD1164" i="202"/>
  <c r="AD1165" i="202"/>
  <c r="AD1166" i="202"/>
  <c r="AD1167" i="202"/>
  <c r="AD1168" i="202"/>
  <c r="AD1169" i="202"/>
  <c r="AD1170" i="202"/>
  <c r="AD1171" i="202"/>
  <c r="AD1172" i="202"/>
  <c r="AD1173" i="202"/>
  <c r="AD1174" i="202"/>
  <c r="AD1175" i="202"/>
  <c r="AD1176" i="202"/>
  <c r="AD1177" i="202"/>
  <c r="AD1178" i="202"/>
  <c r="AD1179" i="202"/>
  <c r="AD1180" i="202"/>
  <c r="AD1181" i="202"/>
  <c r="AD1182" i="202"/>
  <c r="AD1183" i="202"/>
  <c r="AD1184" i="202"/>
  <c r="AD1185" i="202"/>
  <c r="AD1186" i="202"/>
  <c r="AD1187" i="202"/>
  <c r="AD1188" i="202"/>
  <c r="AD1189" i="202"/>
  <c r="AD1190" i="202"/>
  <c r="AD1191" i="202"/>
  <c r="AD1192" i="202"/>
  <c r="AD1193" i="202"/>
  <c r="AD1194" i="202"/>
  <c r="AD1195" i="202"/>
  <c r="AD1196" i="202"/>
  <c r="AD1197" i="202"/>
  <c r="AD1198" i="202"/>
  <c r="AD1199" i="202"/>
  <c r="AD1200" i="202"/>
  <c r="AD1201" i="202"/>
  <c r="AD1202" i="202"/>
  <c r="AD1203" i="202"/>
  <c r="AD1204" i="202"/>
  <c r="AD1205" i="202"/>
  <c r="AD1206" i="202"/>
  <c r="AD1207" i="202"/>
  <c r="AD1208" i="202"/>
  <c r="AD1209" i="202"/>
  <c r="AD1210" i="202"/>
  <c r="AD1211" i="202"/>
  <c r="AD1212" i="202"/>
  <c r="AD1213" i="202"/>
  <c r="AD1214" i="202"/>
  <c r="AD1215" i="202"/>
  <c r="AD1216" i="202"/>
  <c r="AD1217" i="202"/>
  <c r="AD1218" i="202"/>
  <c r="AD1219" i="202"/>
  <c r="AD1220" i="202"/>
  <c r="AD1221" i="202"/>
  <c r="AD1222" i="202"/>
  <c r="AD1223" i="202"/>
  <c r="AD1224" i="202"/>
  <c r="AD1225" i="202"/>
  <c r="AD1226" i="202"/>
  <c r="AD1227" i="202"/>
  <c r="AD1228" i="202"/>
  <c r="AD1229" i="202"/>
  <c r="AD1230" i="202"/>
  <c r="AD1231" i="202"/>
  <c r="AD1232" i="202"/>
  <c r="AD1233" i="202"/>
  <c r="AD1234" i="202"/>
  <c r="AD1235" i="202"/>
  <c r="AD1236" i="202"/>
  <c r="AD1237" i="202"/>
  <c r="AD1238" i="202"/>
  <c r="AD1239" i="202"/>
  <c r="AD1240" i="202"/>
  <c r="AD1241" i="202"/>
  <c r="AD1242" i="202"/>
  <c r="AD1243" i="202"/>
  <c r="AD1244" i="202"/>
  <c r="AD1245" i="202"/>
  <c r="AD1246" i="202"/>
  <c r="AD1247" i="202"/>
  <c r="AD1248" i="202"/>
  <c r="AD1249" i="202"/>
  <c r="AD1250" i="202"/>
  <c r="AD1251" i="202"/>
  <c r="AD1252" i="202"/>
  <c r="AD1253" i="202"/>
  <c r="AD1254" i="202"/>
  <c r="AD1255" i="202"/>
  <c r="AD1256" i="202"/>
  <c r="AD1257" i="202"/>
  <c r="AD1258" i="202"/>
  <c r="AD1259" i="202"/>
  <c r="AD1260" i="202"/>
  <c r="AD1261" i="202"/>
  <c r="AD1262" i="202"/>
  <c r="AD1263" i="202"/>
  <c r="AD1264" i="202"/>
  <c r="AD1265" i="202"/>
  <c r="AD1266" i="202"/>
  <c r="AD1267" i="202"/>
  <c r="AD1268" i="202"/>
  <c r="AD1269" i="202"/>
  <c r="AD1270" i="202"/>
  <c r="AD1271" i="202"/>
  <c r="AD1272" i="202"/>
  <c r="AD1273" i="202"/>
  <c r="AD1274" i="202"/>
  <c r="AD1275" i="202"/>
  <c r="AD1276" i="202"/>
  <c r="AD1277" i="202"/>
  <c r="AD1278" i="202"/>
  <c r="AD1279" i="202"/>
  <c r="AD1280" i="202"/>
  <c r="AD1281" i="202"/>
  <c r="AD1282" i="202"/>
  <c r="AD1283" i="202"/>
  <c r="AD1284" i="202"/>
  <c r="AD1285" i="202"/>
  <c r="AD1286" i="202"/>
  <c r="AD1287" i="202"/>
  <c r="AD1288" i="202"/>
  <c r="AD1289" i="202"/>
  <c r="AD1290" i="202"/>
  <c r="AD1291" i="202"/>
  <c r="AD1292" i="202"/>
  <c r="AD1293" i="202"/>
  <c r="AD1294" i="202"/>
  <c r="AD1295" i="202"/>
  <c r="AD1296" i="202"/>
  <c r="AD1297" i="202"/>
  <c r="AD1298" i="202"/>
  <c r="AD1299" i="202"/>
  <c r="AD1300" i="202"/>
  <c r="AD1301" i="202"/>
  <c r="AD1302" i="202"/>
  <c r="AD1303" i="202"/>
  <c r="AD1304" i="202"/>
  <c r="AD1305" i="202"/>
  <c r="AD1306" i="202"/>
  <c r="AD1307" i="202"/>
  <c r="AD1308" i="202"/>
  <c r="AD1309" i="202"/>
  <c r="AD1310" i="202"/>
  <c r="AD1311" i="202"/>
  <c r="AD1312" i="202"/>
  <c r="AD1313" i="202"/>
  <c r="AD1314" i="202"/>
  <c r="AD1315" i="202"/>
  <c r="AD1316" i="202"/>
  <c r="AD1317" i="202"/>
  <c r="AD1318" i="202"/>
  <c r="AD1319" i="202"/>
  <c r="AD1320" i="202"/>
  <c r="AD1321" i="202"/>
  <c r="AD1322" i="202"/>
  <c r="AD1323" i="202"/>
  <c r="AD1324" i="202"/>
  <c r="AD1325" i="202"/>
  <c r="AD1326" i="202"/>
  <c r="AD1327" i="202"/>
  <c r="AD1328" i="202"/>
  <c r="AD1329" i="202"/>
  <c r="AD1330" i="202"/>
  <c r="AD1331" i="202"/>
  <c r="AD1332" i="202"/>
  <c r="AD1333" i="202"/>
  <c r="AD1334" i="202"/>
  <c r="AD1335" i="202"/>
  <c r="AD1336" i="202"/>
  <c r="AD1337" i="202"/>
  <c r="AD1338" i="202"/>
  <c r="AD1339" i="202"/>
  <c r="AD1340" i="202"/>
  <c r="AD1341" i="202"/>
  <c r="AD1342" i="202"/>
  <c r="AD1343" i="202"/>
  <c r="AD1344" i="202"/>
  <c r="AD1345" i="202"/>
  <c r="AD1346" i="202"/>
  <c r="AD1347" i="202"/>
  <c r="AD1348" i="202"/>
  <c r="AD1349" i="202"/>
  <c r="AD1350" i="202"/>
  <c r="AD1351" i="202"/>
  <c r="AD1352" i="202"/>
  <c r="AD1353" i="202"/>
  <c r="AD1354" i="202"/>
  <c r="AD1355" i="202"/>
  <c r="AD1356" i="202"/>
  <c r="AD1357" i="202"/>
  <c r="AD1358" i="202"/>
  <c r="AD1359" i="202"/>
  <c r="AD1360" i="202"/>
  <c r="AD1361" i="202"/>
  <c r="AD1362" i="202"/>
  <c r="AD1363" i="202"/>
  <c r="AD1364" i="202"/>
  <c r="AD1365" i="202"/>
  <c r="AD1366" i="202"/>
  <c r="AD1367" i="202"/>
  <c r="AD1368" i="202"/>
  <c r="AD1369" i="202"/>
  <c r="AD1370" i="202"/>
  <c r="AD1371" i="202"/>
  <c r="AD1372" i="202"/>
  <c r="AD1373" i="202"/>
  <c r="AD1374" i="202"/>
  <c r="AD1375" i="202"/>
  <c r="AD1376" i="202"/>
  <c r="AD1377" i="202"/>
  <c r="AD1378" i="202"/>
  <c r="AD1379" i="202"/>
  <c r="AD1380" i="202"/>
  <c r="AD1381" i="202"/>
  <c r="AD1382" i="202"/>
  <c r="AD1383" i="202"/>
  <c r="AD1384" i="202"/>
  <c r="AD1385" i="202"/>
  <c r="AD1386" i="202"/>
  <c r="AD1387" i="202"/>
  <c r="AD1388" i="202"/>
  <c r="AD1389" i="202"/>
  <c r="AD1390" i="202"/>
  <c r="AD1391" i="202"/>
  <c r="AD1392" i="202"/>
  <c r="AD1393" i="202"/>
  <c r="AD1394" i="202"/>
  <c r="AD1395" i="202"/>
  <c r="AD1396" i="202"/>
  <c r="AD1397" i="202"/>
  <c r="AD1398" i="202"/>
  <c r="AD1399" i="202"/>
  <c r="AD1400" i="202"/>
  <c r="AD1401" i="202"/>
  <c r="AD1402" i="202"/>
  <c r="AD1403" i="202"/>
  <c r="AD1404" i="202"/>
  <c r="AD1405" i="202"/>
  <c r="AD1406" i="202"/>
  <c r="AD1407" i="202"/>
  <c r="AD1408" i="202"/>
  <c r="AD1409" i="202"/>
  <c r="AD1410" i="202"/>
  <c r="AD1411" i="202"/>
  <c r="AD1412" i="202"/>
  <c r="AD1413" i="202"/>
  <c r="AD1414" i="202"/>
  <c r="AD1415" i="202"/>
  <c r="AD1416" i="202"/>
  <c r="AD1417" i="202"/>
  <c r="AD1418" i="202"/>
  <c r="AD1419" i="202"/>
  <c r="AD1420" i="202"/>
  <c r="AD1421" i="202"/>
  <c r="AD1422" i="202"/>
  <c r="AD1423" i="202"/>
  <c r="AD1424" i="202"/>
  <c r="AD1425" i="202"/>
  <c r="AD1426" i="202"/>
  <c r="AD1427" i="202"/>
  <c r="AD1428" i="202"/>
  <c r="AD1429" i="202"/>
  <c r="AD1430" i="202"/>
  <c r="AD1431" i="202"/>
  <c r="AD1432" i="202"/>
  <c r="AD1433" i="202"/>
  <c r="AD1434" i="202"/>
  <c r="AD1435" i="202"/>
  <c r="AD1436" i="202"/>
  <c r="AD1437" i="202"/>
  <c r="AD1438" i="202"/>
  <c r="AD1439" i="202"/>
  <c r="AD1440" i="202"/>
  <c r="AD1441" i="202"/>
  <c r="AD1442" i="202"/>
  <c r="AD1443" i="202"/>
  <c r="AD1444" i="202"/>
  <c r="AD1445" i="202"/>
  <c r="AD1446" i="202"/>
  <c r="AD1447" i="202"/>
  <c r="AD1448" i="202"/>
  <c r="AD1449" i="202"/>
  <c r="AD1450" i="202"/>
  <c r="AD1451" i="202"/>
  <c r="AD1452" i="202"/>
  <c r="AD1453" i="202"/>
  <c r="AD1454" i="202"/>
  <c r="AD1455" i="202"/>
  <c r="AD1456" i="202"/>
  <c r="AD1457" i="202"/>
  <c r="AD1458" i="202"/>
  <c r="AD1459" i="202"/>
  <c r="AD1460" i="202"/>
  <c r="AD1461" i="202"/>
  <c r="AD1462" i="202"/>
  <c r="AD1463" i="202"/>
  <c r="AD1464" i="202"/>
  <c r="AD1465" i="202"/>
  <c r="AD1466" i="202"/>
  <c r="AD1467" i="202"/>
  <c r="AD1468" i="202"/>
  <c r="AD1469" i="202"/>
  <c r="AD1470" i="202"/>
  <c r="AD1471" i="202"/>
  <c r="AD1472" i="202"/>
  <c r="AD1473" i="202"/>
  <c r="AD1474" i="202"/>
  <c r="AD1475" i="202"/>
  <c r="AD1476" i="202"/>
  <c r="AD1477" i="202"/>
  <c r="AD1478" i="202"/>
  <c r="AD1479" i="202"/>
  <c r="AD1480" i="202"/>
  <c r="AD1481" i="202"/>
  <c r="AD1482" i="202"/>
  <c r="AD1483" i="202"/>
  <c r="AD1484" i="202"/>
  <c r="AD1485" i="202"/>
  <c r="AD1486" i="202"/>
  <c r="AD1487" i="202"/>
  <c r="AD1488" i="202"/>
  <c r="AD1489" i="202"/>
  <c r="AD1490" i="202"/>
  <c r="AD1491" i="202"/>
  <c r="AD1492" i="202"/>
  <c r="AD1493" i="202"/>
  <c r="AD1494" i="202"/>
  <c r="AD1495" i="202"/>
  <c r="AD1496" i="202"/>
  <c r="AD1497" i="202"/>
  <c r="AD1498" i="202"/>
  <c r="AD1499" i="202"/>
  <c r="AD1500" i="202"/>
  <c r="AD1501" i="202"/>
  <c r="AD1502" i="202"/>
  <c r="AD1503" i="202"/>
  <c r="AD1504" i="202"/>
  <c r="AD1505" i="202"/>
  <c r="AD1506" i="202"/>
  <c r="AD1507" i="202"/>
  <c r="AD1508" i="202"/>
  <c r="AD1509" i="202"/>
  <c r="AD1510" i="202"/>
  <c r="AD1511" i="202"/>
  <c r="AD1512" i="202"/>
  <c r="AD1513" i="202"/>
  <c r="AD1514" i="202"/>
  <c r="AD1515" i="202"/>
  <c r="AD1516" i="202"/>
  <c r="AD1517" i="202"/>
  <c r="AD1518" i="202"/>
  <c r="AD1519" i="202"/>
  <c r="AD1520" i="202"/>
  <c r="AD1521" i="202"/>
  <c r="AD1522" i="202"/>
  <c r="AD1523" i="202"/>
  <c r="AD1524" i="202"/>
  <c r="AD1525" i="202"/>
  <c r="AD1526" i="202"/>
  <c r="AD1527" i="202"/>
  <c r="AD1528" i="202"/>
  <c r="AD1529" i="202"/>
  <c r="AD1530" i="202"/>
  <c r="AD1531" i="202"/>
  <c r="AD1532" i="202"/>
  <c r="AD1533" i="202"/>
  <c r="AD1534" i="202"/>
  <c r="AD1535" i="202"/>
  <c r="AD1536" i="202"/>
  <c r="AD1537" i="202"/>
  <c r="AD1538" i="202"/>
  <c r="AD1539" i="202"/>
  <c r="AD1540" i="202"/>
  <c r="AD1541" i="202"/>
  <c r="AD1542" i="202"/>
  <c r="AD1543" i="202"/>
  <c r="AD1544" i="202"/>
  <c r="AD1545" i="202"/>
  <c r="AD1546" i="202"/>
  <c r="AD1547" i="202"/>
  <c r="AD1548" i="202"/>
  <c r="AD1549" i="202"/>
  <c r="AD1550" i="202"/>
  <c r="AD1551" i="202"/>
  <c r="AD1552" i="202"/>
  <c r="AD1553" i="202"/>
  <c r="AD1554" i="202"/>
  <c r="AD1555" i="202"/>
  <c r="AD1556" i="202"/>
  <c r="AD1557" i="202"/>
  <c r="AD1558" i="202"/>
  <c r="AD1559" i="202"/>
  <c r="AD1560" i="202"/>
  <c r="AD1561" i="202"/>
  <c r="AD1562" i="202"/>
  <c r="AD1563" i="202"/>
  <c r="AD1564" i="202"/>
  <c r="AD1565" i="202"/>
  <c r="AD1566" i="202"/>
  <c r="AD1567" i="202"/>
  <c r="AD1568" i="202"/>
  <c r="AD1569" i="202"/>
  <c r="AD1570" i="202"/>
  <c r="AD1571" i="202"/>
  <c r="AD1572" i="202"/>
  <c r="AD1573" i="202"/>
  <c r="AD1574" i="202"/>
  <c r="AD1575" i="202"/>
  <c r="AD1576" i="202"/>
  <c r="AD1577" i="202"/>
  <c r="AD1578" i="202"/>
  <c r="AD1579" i="202"/>
  <c r="AD1580" i="202"/>
  <c r="AD1581" i="202"/>
  <c r="AD1582" i="202"/>
  <c r="AD1583" i="202"/>
  <c r="AD1584" i="202"/>
  <c r="AD1585" i="202"/>
  <c r="AD1586" i="202"/>
  <c r="AD1587" i="202"/>
  <c r="AD1588" i="202"/>
  <c r="AD1589" i="202"/>
  <c r="AD1590" i="202"/>
  <c r="AD1591" i="202"/>
  <c r="AD1592" i="202"/>
  <c r="AD1593" i="202"/>
  <c r="AD1594" i="202"/>
  <c r="AD1595" i="202"/>
  <c r="AD1596" i="202"/>
  <c r="AD1597" i="202"/>
  <c r="AD1598" i="202"/>
  <c r="AD1599" i="202"/>
  <c r="AD1600" i="202"/>
  <c r="AD1601" i="202"/>
  <c r="AD1602" i="202"/>
  <c r="AD1603" i="202"/>
  <c r="AD1604" i="202"/>
  <c r="AD1605" i="202"/>
  <c r="AD1606" i="202"/>
  <c r="AD1607" i="202"/>
  <c r="AD1608" i="202"/>
  <c r="AD1609" i="202"/>
  <c r="AD1610" i="202"/>
  <c r="AD1611" i="202"/>
  <c r="AD1612" i="202"/>
  <c r="AD1613" i="202"/>
  <c r="AD1614" i="202"/>
  <c r="AD1615" i="202"/>
  <c r="AD1616" i="202"/>
  <c r="AD1617" i="202"/>
  <c r="AD1618" i="202"/>
  <c r="AD1619" i="202"/>
  <c r="AD1620" i="202"/>
  <c r="AD1621" i="202"/>
  <c r="AD1622" i="202"/>
  <c r="AD1623" i="202"/>
  <c r="AD1624" i="202"/>
  <c r="AD1625" i="202"/>
  <c r="AD1626" i="202"/>
  <c r="AD1627" i="202"/>
  <c r="AD1628" i="202"/>
  <c r="AD1629" i="202"/>
  <c r="AD1630" i="202"/>
  <c r="AD1631" i="202"/>
  <c r="AD1632" i="202"/>
  <c r="AD1633" i="202"/>
  <c r="AD1634" i="202"/>
  <c r="AD1635" i="202"/>
  <c r="AD1636" i="202"/>
  <c r="AD1637" i="202"/>
  <c r="AD1638" i="202"/>
  <c r="AD1639" i="202"/>
  <c r="AD1640" i="202"/>
  <c r="AD1641" i="202"/>
  <c r="AD1642" i="202"/>
  <c r="AD1643" i="202"/>
  <c r="AD1644" i="202"/>
  <c r="AD1645" i="202"/>
  <c r="AD1646" i="202"/>
  <c r="AD1647" i="202"/>
  <c r="AD1648" i="202"/>
  <c r="AD1649" i="202"/>
  <c r="AD1650" i="202"/>
  <c r="AD1651" i="202"/>
  <c r="AD1652" i="202"/>
  <c r="AD1653" i="202"/>
  <c r="AD1654" i="202"/>
  <c r="AD1655" i="202"/>
  <c r="AD1656" i="202"/>
  <c r="AD1657" i="202"/>
  <c r="AD1658" i="202"/>
  <c r="AD1659" i="202"/>
  <c r="AD1660" i="202"/>
  <c r="AD1661" i="202"/>
  <c r="AD1662" i="202"/>
  <c r="AD1663" i="202"/>
  <c r="AD1664" i="202"/>
  <c r="AD1665" i="202"/>
  <c r="AD1666" i="202"/>
  <c r="AD1667" i="202"/>
  <c r="AD1668" i="202"/>
  <c r="AD1669" i="202"/>
  <c r="AD1670" i="202"/>
  <c r="AD1671" i="202"/>
  <c r="AD1672" i="202"/>
  <c r="AD1673" i="202"/>
  <c r="AD1674" i="202"/>
  <c r="AD1675" i="202"/>
  <c r="AD1676" i="202"/>
  <c r="AD1677" i="202"/>
  <c r="AD1678" i="202"/>
  <c r="AD1679" i="202"/>
  <c r="AD1680" i="202"/>
  <c r="AD1681" i="202"/>
  <c r="AD1682" i="202"/>
  <c r="AD1683" i="202"/>
  <c r="AD1684" i="202"/>
  <c r="AD1685" i="202"/>
  <c r="AD1686" i="202"/>
  <c r="AD1687" i="202"/>
  <c r="AD1688" i="202"/>
  <c r="AD1689" i="202"/>
  <c r="AD1690" i="202"/>
  <c r="AD1691" i="202"/>
  <c r="AD1692" i="202"/>
  <c r="AD1693" i="202"/>
  <c r="AD1694" i="202"/>
  <c r="AD1695" i="202"/>
  <c r="AD1696" i="202"/>
  <c r="AD1697" i="202"/>
  <c r="AD1698" i="202"/>
  <c r="AD1699" i="202"/>
  <c r="AD1700" i="202"/>
  <c r="AD1701" i="202"/>
  <c r="AD1702" i="202"/>
  <c r="AD1703" i="202"/>
  <c r="AD1704" i="202"/>
  <c r="AD1705" i="202"/>
  <c r="AD1706" i="202"/>
  <c r="AD1707" i="202"/>
  <c r="AD1708" i="202"/>
  <c r="AD1709" i="202"/>
  <c r="AD1710" i="202"/>
  <c r="AD1711" i="202"/>
  <c r="AD1712" i="202"/>
  <c r="AD1713" i="202"/>
  <c r="AD1714" i="202"/>
  <c r="AD1715" i="202"/>
  <c r="AD1716" i="202"/>
  <c r="AD1717" i="202"/>
  <c r="AD1718" i="202"/>
  <c r="AD1719" i="202"/>
  <c r="AD1720" i="202"/>
  <c r="AD1721" i="202"/>
  <c r="AD1722" i="202"/>
  <c r="AD1723" i="202"/>
  <c r="AD1724" i="202"/>
  <c r="AD1725" i="202"/>
  <c r="AD1726" i="202"/>
  <c r="AD1727" i="202"/>
  <c r="AD1728" i="202"/>
  <c r="AD1729" i="202"/>
  <c r="AD1730" i="202"/>
  <c r="AD1731" i="202"/>
  <c r="AD1732" i="202"/>
  <c r="AD1733" i="202"/>
  <c r="AD1734" i="202"/>
  <c r="AD1735" i="202"/>
  <c r="AD1736" i="202"/>
  <c r="AD1737" i="202"/>
  <c r="AD1738" i="202"/>
  <c r="AD1739" i="202"/>
  <c r="AD1740" i="202"/>
  <c r="AD1741" i="202"/>
  <c r="AD1742" i="202"/>
  <c r="AD1743" i="202"/>
  <c r="AD1744" i="202"/>
  <c r="AD1745" i="202"/>
  <c r="AD1746" i="202"/>
  <c r="AD1747" i="202"/>
  <c r="AD1748" i="202"/>
  <c r="AD1749" i="202"/>
  <c r="AD1750" i="202"/>
  <c r="AD1751" i="202"/>
  <c r="AD1752" i="202"/>
  <c r="AD1753" i="202"/>
  <c r="AD1754" i="202"/>
  <c r="AD1755" i="202"/>
  <c r="AD1756" i="202"/>
  <c r="AD1757" i="202"/>
  <c r="AD1758" i="202"/>
  <c r="AD1759" i="202"/>
  <c r="AD1760" i="202"/>
  <c r="AD1761" i="202"/>
  <c r="AD1762" i="202"/>
  <c r="AD1763" i="202"/>
  <c r="AD1764" i="202"/>
  <c r="AD1765" i="202"/>
  <c r="AD1766" i="202"/>
  <c r="AD1767" i="202"/>
  <c r="AD1768" i="202"/>
  <c r="AD1769" i="202"/>
  <c r="AD1770" i="202"/>
  <c r="AD1771" i="202"/>
  <c r="AD1772" i="202"/>
  <c r="AD1773" i="202"/>
  <c r="AD1774" i="202"/>
  <c r="AD1775" i="202"/>
  <c r="AD1776" i="202"/>
  <c r="AD1777" i="202"/>
  <c r="AD1778" i="202"/>
  <c r="AD1779" i="202"/>
  <c r="AD1780" i="202"/>
  <c r="AD1781" i="202"/>
  <c r="AD1782" i="202"/>
  <c r="AD1783" i="202"/>
  <c r="AD1784" i="202"/>
  <c r="AD1785" i="202"/>
  <c r="AD1786" i="202"/>
  <c r="AD1787" i="202"/>
  <c r="AD1788" i="202"/>
  <c r="AD1789" i="202"/>
  <c r="AD1790" i="202"/>
  <c r="AD1791" i="202"/>
  <c r="AD1792" i="202"/>
  <c r="AD1793" i="202"/>
  <c r="AD1794" i="202"/>
  <c r="AD1795" i="202"/>
  <c r="AD1796" i="202"/>
  <c r="AD1797" i="202"/>
  <c r="AD1798" i="202"/>
  <c r="AD1799" i="202"/>
  <c r="AD1800" i="202"/>
  <c r="AD1801" i="202"/>
  <c r="AD1802" i="202"/>
  <c r="AD1803" i="202"/>
  <c r="AD1804" i="202"/>
  <c r="AD1805" i="202"/>
  <c r="AD1806" i="202"/>
  <c r="AD1807" i="202"/>
  <c r="AD1808" i="202"/>
  <c r="AD1809" i="202"/>
  <c r="AD1810" i="202"/>
  <c r="AD1811" i="202"/>
  <c r="AD1812" i="202"/>
  <c r="AD1813" i="202"/>
  <c r="AD1814" i="202"/>
  <c r="AD1815" i="202"/>
  <c r="AD1816" i="202"/>
  <c r="AD1817" i="202"/>
  <c r="AD1818" i="202"/>
  <c r="AD1819" i="202"/>
  <c r="AD1820" i="202"/>
  <c r="AD1821" i="202"/>
  <c r="AD1822" i="202"/>
  <c r="AD1823" i="202"/>
  <c r="AD1824" i="202"/>
  <c r="AD1825" i="202"/>
  <c r="AD1826" i="202"/>
  <c r="AD1827" i="202"/>
  <c r="AD1828" i="202"/>
  <c r="AD1829" i="202"/>
  <c r="AD1830" i="202"/>
  <c r="AD1831" i="202"/>
  <c r="AD1832" i="202"/>
  <c r="AD1833" i="202"/>
  <c r="AD1834" i="202"/>
  <c r="AD1835" i="202"/>
  <c r="AD1836" i="202"/>
  <c r="AD1837" i="202"/>
  <c r="AD1838" i="202"/>
  <c r="AD1839" i="202"/>
  <c r="AD1840" i="202"/>
  <c r="AD1841" i="202"/>
  <c r="AD1842" i="202"/>
  <c r="AD1843" i="202"/>
  <c r="AD1844" i="202"/>
  <c r="AD1845" i="202"/>
  <c r="AD1846" i="202"/>
  <c r="AD1847" i="202"/>
  <c r="AD1848" i="202"/>
  <c r="AD1849" i="202"/>
  <c r="AD1850" i="202"/>
  <c r="AD1851" i="202"/>
  <c r="AD1852" i="202"/>
  <c r="AD1853" i="202"/>
  <c r="AD1854" i="202"/>
  <c r="AD1855" i="202"/>
  <c r="AD1856" i="202"/>
  <c r="AD1857" i="202"/>
  <c r="AD1858" i="202"/>
  <c r="AD1859" i="202"/>
  <c r="AD1860" i="202"/>
  <c r="AD1861" i="202"/>
  <c r="AD1862" i="202"/>
  <c r="AD1863" i="202"/>
  <c r="AD1864" i="202"/>
  <c r="AD1865" i="202"/>
  <c r="AD1866" i="202"/>
  <c r="AD1867" i="202"/>
  <c r="AD1868" i="202"/>
  <c r="AD1869" i="202"/>
  <c r="AD1870" i="202"/>
  <c r="AD1871" i="202"/>
  <c r="AD1872" i="202"/>
  <c r="AD1873" i="202"/>
  <c r="AD1874" i="202"/>
  <c r="AD1875" i="202"/>
  <c r="AD1876" i="202"/>
  <c r="AD1877" i="202"/>
  <c r="AD1878" i="202"/>
  <c r="AD1879" i="202"/>
  <c r="AD1880" i="202"/>
  <c r="AD1881" i="202"/>
  <c r="AD1882" i="202"/>
  <c r="AD1883" i="202"/>
  <c r="AD1884" i="202"/>
  <c r="AD1885" i="202"/>
  <c r="AD1886" i="202"/>
  <c r="AD1887" i="202"/>
  <c r="AD1888" i="202"/>
  <c r="AD1889" i="202"/>
  <c r="AD1890" i="202"/>
  <c r="AD1891" i="202"/>
  <c r="AD1892" i="202"/>
  <c r="AD1893" i="202"/>
  <c r="AD1894" i="202"/>
  <c r="AD1895" i="202"/>
  <c r="AD1896" i="202"/>
  <c r="AD1897" i="202"/>
  <c r="AD1898" i="202"/>
  <c r="AD1899" i="202"/>
  <c r="AD1900" i="202"/>
  <c r="AD1901" i="202"/>
  <c r="AD1902" i="202"/>
  <c r="AD1903" i="202"/>
  <c r="AD1904" i="202"/>
  <c r="AD1905" i="202"/>
  <c r="AD1906" i="202"/>
  <c r="AD1907" i="202"/>
  <c r="AD1908" i="202"/>
  <c r="AD1909" i="202"/>
  <c r="AD1910" i="202"/>
  <c r="AD1911" i="202"/>
  <c r="AD1912" i="202"/>
  <c r="AD1913" i="202"/>
  <c r="AD1914" i="202"/>
  <c r="AD1915" i="202"/>
  <c r="AD1916" i="202"/>
  <c r="AD1917" i="202"/>
  <c r="AD1918" i="202"/>
  <c r="AD1919" i="202"/>
  <c r="AD1920" i="202"/>
  <c r="AD1921" i="202"/>
  <c r="AD1922" i="202"/>
  <c r="AD1923" i="202"/>
  <c r="AD1924" i="202"/>
  <c r="AD1925" i="202"/>
  <c r="AD1926" i="202"/>
  <c r="AD1927" i="202"/>
  <c r="AD1928" i="202"/>
  <c r="AD1929" i="202"/>
  <c r="AD1930" i="202"/>
  <c r="AD1931" i="202"/>
  <c r="AD1932" i="202"/>
  <c r="AD1933" i="202"/>
  <c r="AD1934" i="202"/>
  <c r="AD1935" i="202"/>
  <c r="AD1936" i="202"/>
  <c r="AD1937" i="202"/>
  <c r="AD1938" i="202"/>
  <c r="AD1939" i="202"/>
  <c r="AD1940" i="202"/>
  <c r="AD1941" i="202"/>
  <c r="AD1942" i="202"/>
  <c r="AD1943" i="202"/>
  <c r="AD1944" i="202"/>
  <c r="AD1945" i="202"/>
  <c r="AD1946" i="202"/>
  <c r="AD1947" i="202"/>
  <c r="AD1948" i="202"/>
  <c r="AD1949" i="202"/>
  <c r="AD1950" i="202"/>
  <c r="AD1951" i="202"/>
  <c r="AD1952" i="202"/>
  <c r="AD1953" i="202"/>
  <c r="AD1954" i="202"/>
  <c r="AD1955" i="202"/>
  <c r="AD1956" i="202"/>
  <c r="AD1957" i="202"/>
  <c r="AD1958" i="202"/>
  <c r="AD1959" i="202"/>
  <c r="AD1960" i="202"/>
  <c r="AD1961" i="202"/>
  <c r="AD1962" i="202"/>
  <c r="AD1963" i="202"/>
  <c r="AD1964" i="202"/>
  <c r="AD1965" i="202"/>
  <c r="AD1966" i="202"/>
  <c r="AD1967" i="202"/>
  <c r="AD1968" i="202"/>
  <c r="AD1969" i="202"/>
  <c r="AD1970" i="202"/>
  <c r="AD1971" i="202"/>
  <c r="AD1972" i="202"/>
  <c r="AD1973" i="202"/>
  <c r="AD1974" i="202"/>
  <c r="AD1975" i="202"/>
  <c r="AD1976" i="202"/>
  <c r="AD1977" i="202"/>
  <c r="AD1978" i="202"/>
  <c r="AD1979" i="202"/>
  <c r="AD1980" i="202"/>
  <c r="AD1981" i="202"/>
  <c r="AD1982" i="202"/>
  <c r="AD1983" i="202"/>
  <c r="AD1984" i="202"/>
  <c r="AD1985" i="202"/>
  <c r="AD1986" i="202"/>
  <c r="AD1987" i="202"/>
  <c r="AD1988" i="202"/>
  <c r="AD1989" i="202"/>
  <c r="AD1990" i="202"/>
  <c r="AD1991" i="202"/>
  <c r="AD1992" i="202"/>
  <c r="AD1993" i="202"/>
  <c r="AD1994" i="202"/>
  <c r="AD1995" i="202"/>
  <c r="AD1996" i="202"/>
  <c r="AD1997" i="202"/>
  <c r="AD1998" i="202"/>
  <c r="AD1999" i="202"/>
  <c r="AD2000" i="202"/>
  <c r="AD2001" i="202"/>
  <c r="AD2002" i="202"/>
  <c r="AD2003" i="202"/>
  <c r="AD2004" i="202"/>
  <c r="AD2005" i="202"/>
  <c r="AD2006" i="202"/>
  <c r="AD2007" i="202"/>
  <c r="AD2008" i="202"/>
  <c r="AD2009" i="202"/>
  <c r="AD2010" i="202"/>
  <c r="AD2011" i="202"/>
  <c r="AD2012" i="202"/>
  <c r="AD2013" i="202"/>
  <c r="AD2014" i="202"/>
  <c r="AD2015" i="202"/>
  <c r="AD2016" i="202"/>
  <c r="AD2017" i="202"/>
  <c r="AD2018" i="202"/>
  <c r="AD2019" i="202"/>
  <c r="AD2020" i="202"/>
  <c r="AD2021" i="202"/>
  <c r="AD2022" i="202"/>
  <c r="AD2023" i="202"/>
  <c r="AD2024" i="202"/>
  <c r="AD2025" i="202"/>
  <c r="AD2026" i="202"/>
  <c r="AD2027" i="202"/>
  <c r="AD2028" i="202"/>
  <c r="AD2029" i="202"/>
  <c r="AD2030" i="202"/>
  <c r="AD2031" i="202"/>
  <c r="AD2032" i="202"/>
  <c r="AD2033" i="202"/>
  <c r="AD2034" i="202"/>
  <c r="AD2035" i="202"/>
  <c r="AD2036" i="202"/>
  <c r="AD2037" i="202"/>
  <c r="AD2038" i="202"/>
  <c r="AD2039" i="202"/>
  <c r="AD2040" i="202"/>
  <c r="AD2041" i="202"/>
  <c r="AD2042" i="202"/>
  <c r="AD2043" i="202"/>
  <c r="AD2044" i="202"/>
  <c r="AD2045" i="202"/>
  <c r="AD2046" i="202"/>
  <c r="AD2047" i="202"/>
  <c r="AD2048" i="202"/>
  <c r="BE2" i="202"/>
  <c r="BE3" i="202"/>
  <c r="BE4" i="202"/>
  <c r="BE5" i="202"/>
  <c r="BE6" i="202"/>
  <c r="BE7" i="202"/>
  <c r="BE8" i="202"/>
  <c r="BE9" i="202"/>
  <c r="BE10" i="202"/>
  <c r="BE11" i="202"/>
  <c r="BE12" i="202"/>
  <c r="BE13" i="202"/>
  <c r="BE14" i="202"/>
  <c r="BE15" i="202"/>
  <c r="BE16" i="202"/>
  <c r="BE17" i="202"/>
  <c r="BE18" i="202"/>
  <c r="BE19" i="202"/>
  <c r="BE20" i="202"/>
  <c r="BE21" i="202"/>
  <c r="BE22" i="202"/>
  <c r="BE23" i="202"/>
  <c r="BE24" i="202"/>
  <c r="BE25" i="202"/>
  <c r="BE26" i="202"/>
  <c r="BE27" i="202"/>
  <c r="BE28" i="202"/>
  <c r="BE29" i="202"/>
  <c r="BE30" i="202"/>
  <c r="BE31" i="202"/>
  <c r="BE32" i="202"/>
  <c r="BE33" i="202"/>
  <c r="BE34" i="202"/>
  <c r="BE35" i="202"/>
  <c r="BE36" i="202"/>
  <c r="BE37" i="202"/>
  <c r="BE38" i="202"/>
  <c r="BE39" i="202"/>
  <c r="BE40" i="202"/>
  <c r="BE41" i="202"/>
  <c r="BE42" i="202"/>
  <c r="BE43" i="202"/>
  <c r="BE44" i="202"/>
  <c r="BE45" i="202"/>
  <c r="BE46" i="202"/>
  <c r="BE47" i="202"/>
  <c r="BE48" i="202"/>
  <c r="BE49" i="202"/>
  <c r="BE50" i="202"/>
  <c r="BE51" i="202"/>
  <c r="BE52" i="202"/>
  <c r="BE53" i="202"/>
  <c r="BE54" i="202"/>
  <c r="BE55" i="202"/>
  <c r="BE56" i="202"/>
  <c r="BE57" i="202"/>
  <c r="BE58" i="202"/>
  <c r="BE59" i="202"/>
  <c r="BE60" i="202"/>
  <c r="BE61" i="202"/>
  <c r="BE62" i="202"/>
  <c r="BE63" i="202"/>
  <c r="BE64" i="202"/>
  <c r="BE65" i="202"/>
  <c r="BE66" i="202"/>
  <c r="BE67" i="202"/>
  <c r="BE68" i="202"/>
  <c r="BE69" i="202"/>
  <c r="BE70" i="202"/>
  <c r="BE71" i="202"/>
  <c r="BE72" i="202"/>
  <c r="BE73" i="202"/>
  <c r="BE74" i="202"/>
  <c r="BE75" i="202"/>
  <c r="BE76" i="202"/>
  <c r="BE77" i="202"/>
  <c r="BE78" i="202"/>
  <c r="BE79" i="202"/>
  <c r="BE80" i="202"/>
  <c r="BE81" i="202"/>
  <c r="BE82" i="202"/>
  <c r="BE83" i="202"/>
  <c r="BE84" i="202"/>
  <c r="BE85" i="202"/>
  <c r="BE86" i="202"/>
  <c r="BE87" i="202"/>
  <c r="BE88" i="202"/>
  <c r="BE89" i="202"/>
  <c r="BE90" i="202"/>
  <c r="BE91" i="202"/>
  <c r="BE92" i="202"/>
  <c r="BE93" i="202"/>
  <c r="BE94" i="202"/>
  <c r="BE95" i="202"/>
  <c r="BE96" i="202"/>
  <c r="BE97" i="202"/>
  <c r="BE98" i="202"/>
  <c r="BE99" i="202"/>
  <c r="BE100" i="202"/>
  <c r="BE101" i="202"/>
  <c r="BE102" i="202"/>
  <c r="BE103" i="202"/>
  <c r="BE104" i="202"/>
  <c r="BE105" i="202"/>
  <c r="BE106" i="202"/>
  <c r="BE107" i="202"/>
  <c r="BE108" i="202"/>
  <c r="BE109" i="202"/>
  <c r="BE110" i="202"/>
  <c r="BE111" i="202"/>
  <c r="BE112" i="202"/>
  <c r="BE113" i="202"/>
  <c r="BE114" i="202"/>
  <c r="BE115" i="202"/>
  <c r="BE116" i="202"/>
  <c r="BE117" i="202"/>
  <c r="BE118" i="202"/>
  <c r="BE119" i="202"/>
  <c r="BE120" i="202"/>
  <c r="BE121" i="202"/>
  <c r="BE122" i="202"/>
  <c r="BE123" i="202"/>
  <c r="BE124" i="202"/>
  <c r="BE125" i="202"/>
  <c r="BE126" i="202"/>
  <c r="BE127" i="202"/>
  <c r="BE128" i="202"/>
  <c r="BE129" i="202"/>
  <c r="BE130" i="202"/>
  <c r="BE131" i="202"/>
  <c r="BE132" i="202"/>
  <c r="BE133" i="202"/>
  <c r="BE134" i="202"/>
  <c r="BE135" i="202"/>
  <c r="BE136" i="202"/>
  <c r="BE137" i="202"/>
  <c r="BE138" i="202"/>
  <c r="BE139" i="202"/>
  <c r="BE140" i="202"/>
  <c r="BE141" i="202"/>
  <c r="BE142" i="202"/>
  <c r="BE143" i="202"/>
  <c r="BE144" i="202"/>
  <c r="BE145" i="202"/>
  <c r="BE146" i="202"/>
  <c r="BE147" i="202"/>
  <c r="BE148" i="202"/>
  <c r="BE149" i="202"/>
  <c r="BE150" i="202"/>
  <c r="BE151" i="202"/>
  <c r="BE152" i="202"/>
  <c r="BE153" i="202"/>
  <c r="BE154" i="202"/>
  <c r="BE155" i="202"/>
  <c r="BE156" i="202"/>
  <c r="BE157" i="202"/>
  <c r="BE158" i="202"/>
  <c r="BE159" i="202"/>
  <c r="BE160" i="202"/>
  <c r="BE161" i="202"/>
  <c r="BE162" i="202"/>
  <c r="BE163" i="202"/>
  <c r="BE164" i="202"/>
  <c r="BE165" i="202"/>
  <c r="BE166" i="202"/>
  <c r="BE167" i="202"/>
  <c r="BE168" i="202"/>
  <c r="BE169" i="202"/>
  <c r="BE170" i="202"/>
  <c r="BE171" i="202"/>
  <c r="BE172" i="202"/>
  <c r="BE173" i="202"/>
  <c r="BE174" i="202"/>
  <c r="BE175" i="202"/>
  <c r="BE176" i="202"/>
  <c r="BE177" i="202"/>
  <c r="BE178" i="202"/>
  <c r="BE179" i="202"/>
  <c r="BE180" i="202"/>
  <c r="BE181" i="202"/>
  <c r="BE182" i="202"/>
  <c r="BE183" i="202"/>
  <c r="BE184" i="202"/>
  <c r="BE185" i="202"/>
  <c r="BE186" i="202"/>
  <c r="BE187" i="202"/>
  <c r="BE188" i="202"/>
  <c r="BE189" i="202"/>
  <c r="BE190" i="202"/>
  <c r="BE191" i="202"/>
  <c r="BE192" i="202"/>
  <c r="BE193" i="202"/>
  <c r="BE194" i="202"/>
  <c r="BE195" i="202"/>
  <c r="BE196" i="202"/>
  <c r="BE197" i="202"/>
  <c r="BE198" i="202"/>
  <c r="BE199" i="202"/>
  <c r="BE200" i="202"/>
  <c r="BE201" i="202"/>
  <c r="BE202" i="202"/>
  <c r="BE203" i="202"/>
  <c r="BE204" i="202"/>
  <c r="BE205" i="202"/>
  <c r="BE206" i="202"/>
  <c r="BE207" i="202"/>
  <c r="BE208" i="202"/>
  <c r="BE209" i="202"/>
  <c r="BE210" i="202"/>
  <c r="BE211" i="202"/>
  <c r="BE212" i="202"/>
  <c r="BE213" i="202"/>
  <c r="BE214" i="202"/>
  <c r="BE215" i="202"/>
  <c r="BE216" i="202"/>
  <c r="BE217" i="202"/>
  <c r="BE218" i="202"/>
  <c r="BE219" i="202"/>
  <c r="BE220" i="202"/>
  <c r="BE221" i="202"/>
  <c r="BE222" i="202"/>
  <c r="BE223" i="202"/>
  <c r="BE224" i="202"/>
  <c r="BE225" i="202"/>
  <c r="BE226" i="202"/>
  <c r="BE227" i="202"/>
  <c r="BE228" i="202"/>
  <c r="BE229" i="202"/>
  <c r="BE230" i="202"/>
  <c r="BE231" i="202"/>
  <c r="BE232" i="202"/>
  <c r="BE233" i="202"/>
  <c r="BE234" i="202"/>
  <c r="BE235" i="202"/>
  <c r="BE236" i="202"/>
  <c r="BE237" i="202"/>
  <c r="BE238" i="202"/>
  <c r="BE239" i="202"/>
  <c r="BE240" i="202"/>
  <c r="BE241" i="202"/>
  <c r="BE242" i="202"/>
  <c r="BE243" i="202"/>
  <c r="BE244" i="202"/>
  <c r="BE245" i="202"/>
  <c r="BE246" i="202"/>
  <c r="BE247" i="202"/>
  <c r="BE248" i="202"/>
  <c r="BE249" i="202"/>
  <c r="BE250" i="202"/>
  <c r="BE251" i="202"/>
  <c r="BE252" i="202"/>
  <c r="BE253" i="202"/>
  <c r="BE254" i="202"/>
  <c r="BE255" i="202"/>
  <c r="BE256" i="202"/>
  <c r="BE257" i="202"/>
  <c r="BE258" i="202"/>
  <c r="BE259" i="202"/>
  <c r="BE260" i="202"/>
  <c r="BE261" i="202"/>
  <c r="BE262" i="202"/>
  <c r="BE263" i="202"/>
  <c r="BE264" i="202"/>
  <c r="BE265" i="202"/>
  <c r="BE266" i="202"/>
  <c r="BE267" i="202"/>
  <c r="BE268" i="202"/>
  <c r="BE269" i="202"/>
  <c r="BE270" i="202"/>
  <c r="BE271" i="202"/>
  <c r="BE272" i="202"/>
  <c r="BE273" i="202"/>
  <c r="BE274" i="202"/>
  <c r="BE275" i="202"/>
  <c r="BE276" i="202"/>
  <c r="BE277" i="202"/>
  <c r="BE278" i="202"/>
  <c r="BE279" i="202"/>
  <c r="BE280" i="202"/>
  <c r="BE281" i="202"/>
  <c r="BE282" i="202"/>
  <c r="BE283" i="202"/>
  <c r="BE284" i="202"/>
  <c r="BE285" i="202"/>
  <c r="BE286" i="202"/>
  <c r="BE287" i="202"/>
  <c r="BE288" i="202"/>
  <c r="BE289" i="202"/>
  <c r="BE290" i="202"/>
  <c r="BE291" i="202"/>
  <c r="BE292" i="202"/>
  <c r="BE293" i="202"/>
  <c r="BE294" i="202"/>
  <c r="BE295" i="202"/>
  <c r="BE296" i="202"/>
  <c r="BE297" i="202"/>
  <c r="BE298" i="202"/>
  <c r="BE299" i="202"/>
  <c r="BE300" i="202"/>
  <c r="BE301" i="202"/>
  <c r="BE302" i="202"/>
  <c r="BE303" i="202"/>
  <c r="BE304" i="202"/>
  <c r="BE305" i="202"/>
  <c r="BE306" i="202"/>
  <c r="BE307" i="202"/>
  <c r="BE308" i="202"/>
  <c r="BE309" i="202"/>
  <c r="BE310" i="202"/>
  <c r="BE311" i="202"/>
  <c r="BE312" i="202"/>
  <c r="BE313" i="202"/>
  <c r="BE314" i="202"/>
  <c r="BE315" i="202"/>
  <c r="BE316" i="202"/>
  <c r="BE317" i="202"/>
  <c r="BE318" i="202"/>
  <c r="BE319" i="202"/>
  <c r="BE320" i="202"/>
  <c r="BE321" i="202"/>
  <c r="BE322" i="202"/>
  <c r="BE323" i="202"/>
  <c r="BE324" i="202"/>
  <c r="BE325" i="202"/>
  <c r="BE326" i="202"/>
  <c r="BE327" i="202"/>
  <c r="BE328" i="202"/>
  <c r="BE329" i="202"/>
  <c r="BE330" i="202"/>
  <c r="BE331" i="202"/>
  <c r="BE332" i="202"/>
  <c r="BE333" i="202"/>
  <c r="BE334" i="202"/>
  <c r="BE335" i="202"/>
  <c r="BE336" i="202"/>
  <c r="BE337" i="202"/>
  <c r="BE338" i="202"/>
  <c r="BE339" i="202"/>
  <c r="BE340" i="202"/>
  <c r="BE341" i="202"/>
  <c r="BE342" i="202"/>
  <c r="BE343" i="202"/>
  <c r="BE344" i="202"/>
  <c r="BE345" i="202"/>
  <c r="BE346" i="202"/>
  <c r="BE347" i="202"/>
  <c r="BE348" i="202"/>
  <c r="BE349" i="202"/>
  <c r="BE350" i="202"/>
  <c r="BE351" i="202"/>
  <c r="BE352" i="202"/>
  <c r="BE353" i="202"/>
  <c r="BE354" i="202"/>
  <c r="BE355" i="202"/>
  <c r="BE356" i="202"/>
  <c r="BE357" i="202"/>
  <c r="BE358" i="202"/>
  <c r="BE359" i="202"/>
  <c r="BE360" i="202"/>
  <c r="BE361" i="202"/>
  <c r="BE362" i="202"/>
  <c r="BE363" i="202"/>
  <c r="BE364" i="202"/>
  <c r="BE365" i="202"/>
  <c r="BE366" i="202"/>
  <c r="BE367" i="202"/>
  <c r="BE368" i="202"/>
  <c r="BE369" i="202"/>
  <c r="BE370" i="202"/>
  <c r="BE371" i="202"/>
  <c r="BE372" i="202"/>
  <c r="BE373" i="202"/>
  <c r="BE374" i="202"/>
  <c r="BE375" i="202"/>
  <c r="BE376" i="202"/>
  <c r="BE377" i="202"/>
  <c r="BE378" i="202"/>
  <c r="BE379" i="202"/>
  <c r="BE380" i="202"/>
  <c r="BE381" i="202"/>
  <c r="BE382" i="202"/>
  <c r="BE383" i="202"/>
  <c r="BE384" i="202"/>
  <c r="BE385" i="202"/>
  <c r="BE386" i="202"/>
  <c r="BE387" i="202"/>
  <c r="BE388" i="202"/>
  <c r="BE389" i="202"/>
  <c r="BE390" i="202"/>
  <c r="BE391" i="202"/>
  <c r="BE392" i="202"/>
  <c r="BE393" i="202"/>
  <c r="BE394" i="202"/>
  <c r="BE395" i="202"/>
  <c r="BE396" i="202"/>
  <c r="BE397" i="202"/>
  <c r="BE398" i="202"/>
  <c r="BE399" i="202"/>
  <c r="BE400" i="202"/>
  <c r="BE401" i="202"/>
  <c r="BE402" i="202"/>
  <c r="BE403" i="202"/>
  <c r="BE404" i="202"/>
  <c r="BE405" i="202"/>
  <c r="BE406" i="202"/>
  <c r="BE407" i="202"/>
  <c r="BE408" i="202"/>
  <c r="BE409" i="202"/>
  <c r="BE410" i="202"/>
  <c r="BE411" i="202"/>
  <c r="BE412" i="202"/>
  <c r="BE413" i="202"/>
  <c r="BE414" i="202"/>
  <c r="BE415" i="202"/>
  <c r="BE416" i="202"/>
  <c r="BE417" i="202"/>
  <c r="BE418" i="202"/>
  <c r="BE419" i="202"/>
  <c r="BE420" i="202"/>
  <c r="BE421" i="202"/>
  <c r="BE422" i="202"/>
  <c r="BE423" i="202"/>
  <c r="BE424" i="202"/>
  <c r="BE425" i="202"/>
  <c r="BE426" i="202"/>
  <c r="BE427" i="202"/>
  <c r="BE428" i="202"/>
  <c r="BE429" i="202"/>
  <c r="BE430" i="202"/>
  <c r="BE431" i="202"/>
  <c r="BE432" i="202"/>
  <c r="BE433" i="202"/>
  <c r="BE434" i="202"/>
  <c r="BE435" i="202"/>
  <c r="BE436" i="202"/>
  <c r="BE437" i="202"/>
  <c r="BE438" i="202"/>
  <c r="BE439" i="202"/>
  <c r="BE440" i="202"/>
  <c r="BE441" i="202"/>
  <c r="BE442" i="202"/>
  <c r="BE443" i="202"/>
  <c r="BE444" i="202"/>
  <c r="BE445" i="202"/>
  <c r="BE446" i="202"/>
  <c r="BE447" i="202"/>
  <c r="BE448" i="202"/>
  <c r="BE449" i="202"/>
  <c r="BE450" i="202"/>
  <c r="BE451" i="202"/>
  <c r="BE452" i="202"/>
  <c r="BE453" i="202"/>
  <c r="BE454" i="202"/>
  <c r="BE455" i="202"/>
  <c r="BE456" i="202"/>
  <c r="BE457" i="202"/>
  <c r="BE458" i="202"/>
  <c r="BE459" i="202"/>
  <c r="BE460" i="202"/>
  <c r="BE461" i="202"/>
  <c r="BE462" i="202"/>
  <c r="BE463" i="202"/>
  <c r="BE464" i="202"/>
  <c r="BE465" i="202"/>
  <c r="BE466" i="202"/>
  <c r="BE467" i="202"/>
  <c r="BE468" i="202"/>
  <c r="BE469" i="202"/>
  <c r="BE470" i="202"/>
  <c r="BE471" i="202"/>
  <c r="BE472" i="202"/>
  <c r="BE473" i="202"/>
  <c r="BE474" i="202"/>
  <c r="BE475" i="202"/>
  <c r="BE476" i="202"/>
  <c r="BE477" i="202"/>
  <c r="BE478" i="202"/>
  <c r="BE479" i="202"/>
  <c r="BE480" i="202"/>
  <c r="BE481" i="202"/>
  <c r="BE482" i="202"/>
  <c r="BE483" i="202"/>
  <c r="BE484" i="202"/>
  <c r="BE485" i="202"/>
  <c r="BE486" i="202"/>
  <c r="BE487" i="202"/>
  <c r="BE488" i="202"/>
  <c r="BE489" i="202"/>
  <c r="BE490" i="202"/>
  <c r="BE491" i="202"/>
  <c r="BE492" i="202"/>
  <c r="BE493" i="202"/>
  <c r="BE494" i="202"/>
  <c r="BE495" i="202"/>
  <c r="BE496" i="202"/>
  <c r="BE497" i="202"/>
  <c r="BE498" i="202"/>
  <c r="BE499" i="202"/>
  <c r="BE500" i="202"/>
  <c r="BE501" i="202"/>
  <c r="BE502" i="202"/>
  <c r="BE503" i="202"/>
  <c r="BE504" i="202"/>
  <c r="BE505" i="202"/>
  <c r="BE506" i="202"/>
  <c r="BE507" i="202"/>
  <c r="BE508" i="202"/>
  <c r="BE509" i="202"/>
  <c r="BE510" i="202"/>
  <c r="BE511" i="202"/>
  <c r="BE512" i="202"/>
  <c r="BE513" i="202"/>
  <c r="BE514" i="202"/>
  <c r="BE515" i="202"/>
  <c r="BE516" i="202"/>
  <c r="BE517" i="202"/>
  <c r="BE518" i="202"/>
  <c r="BE519" i="202"/>
  <c r="BE520" i="202"/>
  <c r="BE521" i="202"/>
  <c r="BE522" i="202"/>
  <c r="BE523" i="202"/>
  <c r="BE524" i="202"/>
  <c r="BE525" i="202"/>
  <c r="BE526" i="202"/>
  <c r="BE527" i="202"/>
  <c r="BE528" i="202"/>
  <c r="BE529" i="202"/>
  <c r="BE530" i="202"/>
  <c r="BE531" i="202"/>
  <c r="BE532" i="202"/>
  <c r="BE533" i="202"/>
  <c r="BE534" i="202"/>
  <c r="BE535" i="202"/>
  <c r="BE536" i="202"/>
  <c r="BE537" i="202"/>
  <c r="BE538" i="202"/>
  <c r="BE539" i="202"/>
  <c r="BE540" i="202"/>
  <c r="BE541" i="202"/>
  <c r="BE542" i="202"/>
  <c r="BE543" i="202"/>
  <c r="BE544" i="202"/>
  <c r="BE545" i="202"/>
  <c r="BE546" i="202"/>
  <c r="BE547" i="202"/>
  <c r="BE548" i="202"/>
  <c r="BE549" i="202"/>
  <c r="BE550" i="202"/>
  <c r="BE551" i="202"/>
  <c r="BE552" i="202"/>
  <c r="BE553" i="202"/>
  <c r="BE554" i="202"/>
  <c r="BE555" i="202"/>
  <c r="BE556" i="202"/>
  <c r="BE557" i="202"/>
  <c r="BE558" i="202"/>
  <c r="BE559" i="202"/>
  <c r="BE560" i="202"/>
  <c r="BE561" i="202"/>
  <c r="BE562" i="202"/>
  <c r="BE563" i="202"/>
  <c r="BE564" i="202"/>
  <c r="BE565" i="202"/>
  <c r="BE566" i="202"/>
  <c r="BE567" i="202"/>
  <c r="BE568" i="202"/>
  <c r="BE569" i="202"/>
  <c r="BE570" i="202"/>
  <c r="BE571" i="202"/>
  <c r="BE572" i="202"/>
  <c r="BE573" i="202"/>
  <c r="BE574" i="202"/>
  <c r="BE575" i="202"/>
  <c r="BE576" i="202"/>
  <c r="BE577" i="202"/>
  <c r="BE578" i="202"/>
  <c r="BE579" i="202"/>
  <c r="BE580" i="202"/>
  <c r="BE581" i="202"/>
  <c r="BE582" i="202"/>
  <c r="BE583" i="202"/>
  <c r="BE584" i="202"/>
  <c r="BE585" i="202"/>
  <c r="BE586" i="202"/>
  <c r="BE587" i="202"/>
  <c r="BE588" i="202"/>
  <c r="BE589" i="202"/>
  <c r="BE590" i="202"/>
  <c r="BE591" i="202"/>
  <c r="BE592" i="202"/>
  <c r="BE593" i="202"/>
  <c r="BE594" i="202"/>
  <c r="BE595" i="202"/>
  <c r="BE596" i="202"/>
  <c r="BE597" i="202"/>
  <c r="BE598" i="202"/>
  <c r="BE599" i="202"/>
  <c r="BE600" i="202"/>
  <c r="BE601" i="202"/>
  <c r="BE602" i="202"/>
  <c r="BE603" i="202"/>
  <c r="BE604" i="202"/>
  <c r="BE605" i="202"/>
  <c r="BE606" i="202"/>
  <c r="BE607" i="202"/>
  <c r="BE608" i="202"/>
  <c r="BE609" i="202"/>
  <c r="BE610" i="202"/>
  <c r="BE611" i="202"/>
  <c r="BE612" i="202"/>
  <c r="BE613" i="202"/>
  <c r="BE614" i="202"/>
  <c r="BE615" i="202"/>
  <c r="BE616" i="202"/>
  <c r="BE617" i="202"/>
  <c r="BE618" i="202"/>
  <c r="BE619" i="202"/>
  <c r="BE620" i="202"/>
  <c r="BE621" i="202"/>
  <c r="BE622" i="202"/>
  <c r="BE623" i="202"/>
  <c r="BE624" i="202"/>
  <c r="BE625" i="202"/>
  <c r="BE626" i="202"/>
  <c r="BE627" i="202"/>
  <c r="BE628" i="202"/>
  <c r="BE629" i="202"/>
  <c r="BE630" i="202"/>
  <c r="BE631" i="202"/>
  <c r="BE632" i="202"/>
  <c r="BE633" i="202"/>
  <c r="BE634" i="202"/>
  <c r="BE635" i="202"/>
  <c r="BE636" i="202"/>
  <c r="BE637" i="202"/>
  <c r="BE638" i="202"/>
  <c r="BE639" i="202"/>
  <c r="BE640" i="202"/>
  <c r="BE641" i="202"/>
  <c r="BE642" i="202"/>
  <c r="BE643" i="202"/>
  <c r="BE644" i="202"/>
  <c r="BE645" i="202"/>
  <c r="BE646" i="202"/>
  <c r="BE647" i="202"/>
  <c r="BE648" i="202"/>
  <c r="BE649" i="202"/>
  <c r="BE650" i="202"/>
  <c r="BE651" i="202"/>
  <c r="BE652" i="202"/>
  <c r="BE653" i="202"/>
  <c r="BE654" i="202"/>
  <c r="BE655" i="202"/>
  <c r="BE656" i="202"/>
  <c r="BE657" i="202"/>
  <c r="BE658" i="202"/>
  <c r="BE659" i="202"/>
  <c r="BE660" i="202"/>
  <c r="BE661" i="202"/>
  <c r="BE662" i="202"/>
  <c r="BE663" i="202"/>
  <c r="BE664" i="202"/>
  <c r="BE665" i="202"/>
  <c r="BE666" i="202"/>
  <c r="BE667" i="202"/>
  <c r="BE668" i="202"/>
  <c r="BE669" i="202"/>
  <c r="BE670" i="202"/>
  <c r="BE671" i="202"/>
  <c r="BE672" i="202"/>
  <c r="BE673" i="202"/>
  <c r="BE674" i="202"/>
  <c r="BE675" i="202"/>
  <c r="BE676" i="202"/>
  <c r="BE677" i="202"/>
  <c r="BE678" i="202"/>
  <c r="BE679" i="202"/>
  <c r="BE680" i="202"/>
  <c r="BE681" i="202"/>
  <c r="BE682" i="202"/>
  <c r="BE683" i="202"/>
  <c r="BE684" i="202"/>
  <c r="BE685" i="202"/>
  <c r="BE686" i="202"/>
  <c r="BE687" i="202"/>
  <c r="BE688" i="202"/>
  <c r="BE689" i="202"/>
  <c r="BE690" i="202"/>
  <c r="BE691" i="202"/>
  <c r="BE692" i="202"/>
  <c r="BE693" i="202"/>
  <c r="BE694" i="202"/>
  <c r="BE695" i="202"/>
  <c r="BE696" i="202"/>
  <c r="BE697" i="202"/>
  <c r="BE698" i="202"/>
  <c r="BE699" i="202"/>
  <c r="BE700" i="202"/>
  <c r="BE701" i="202"/>
  <c r="BE702" i="202"/>
  <c r="BE703" i="202"/>
  <c r="BE704" i="202"/>
  <c r="BE705" i="202"/>
  <c r="BE706" i="202"/>
  <c r="BE707" i="202"/>
  <c r="BE708" i="202"/>
  <c r="BE709" i="202"/>
  <c r="BE710" i="202"/>
  <c r="BE711" i="202"/>
  <c r="BE712" i="202"/>
  <c r="BE713" i="202"/>
  <c r="BE714" i="202"/>
  <c r="BE715" i="202"/>
  <c r="BE716" i="202"/>
  <c r="BE717" i="202"/>
  <c r="BE718" i="202"/>
  <c r="BE719" i="202"/>
  <c r="BE720" i="202"/>
  <c r="BE721" i="202"/>
  <c r="BE722" i="202"/>
  <c r="BE723" i="202"/>
  <c r="BE724" i="202"/>
  <c r="BE725" i="202"/>
  <c r="BE726" i="202"/>
  <c r="BE727" i="202"/>
  <c r="BE728" i="202"/>
  <c r="BE729" i="202"/>
  <c r="BE730" i="202"/>
  <c r="BE731" i="202"/>
  <c r="BE732" i="202"/>
  <c r="BE733" i="202"/>
  <c r="BE734" i="202"/>
  <c r="BE735" i="202"/>
  <c r="BE736" i="202"/>
  <c r="BE737" i="202"/>
  <c r="BE738" i="202"/>
  <c r="BE739" i="202"/>
  <c r="BE740" i="202"/>
  <c r="BE741" i="202"/>
  <c r="BE742" i="202"/>
  <c r="BE743" i="202"/>
  <c r="BE744" i="202"/>
  <c r="BE745" i="202"/>
  <c r="BE746" i="202"/>
  <c r="BE747" i="202"/>
  <c r="BE748" i="202"/>
  <c r="BE749" i="202"/>
  <c r="BE750" i="202"/>
  <c r="BE751" i="202"/>
  <c r="BE752" i="202"/>
  <c r="BE753" i="202"/>
  <c r="BE754" i="202"/>
  <c r="BE755" i="202"/>
  <c r="BE756" i="202"/>
  <c r="BE757" i="202"/>
  <c r="BE758" i="202"/>
  <c r="BE759" i="202"/>
  <c r="BE760" i="202"/>
  <c r="BE761" i="202"/>
  <c r="BE762" i="202"/>
  <c r="BE763" i="202"/>
  <c r="BE764" i="202"/>
  <c r="BE765" i="202"/>
  <c r="BE766" i="202"/>
  <c r="BE767" i="202"/>
  <c r="BE768" i="202"/>
  <c r="BE769" i="202"/>
  <c r="BE770" i="202"/>
  <c r="BE771" i="202"/>
  <c r="BE772" i="202"/>
  <c r="BE773" i="202"/>
  <c r="BE774" i="202"/>
  <c r="BE775" i="202"/>
  <c r="BE776" i="202"/>
  <c r="BE777" i="202"/>
  <c r="BE778" i="202"/>
  <c r="BE779" i="202"/>
  <c r="BE780" i="202"/>
  <c r="BE781" i="202"/>
  <c r="BE782" i="202"/>
  <c r="BE783" i="202"/>
  <c r="BE784" i="202"/>
  <c r="BE785" i="202"/>
  <c r="BE786" i="202"/>
  <c r="BE787" i="202"/>
  <c r="BE788" i="202"/>
  <c r="BE789" i="202"/>
  <c r="BE790" i="202"/>
  <c r="BE791" i="202"/>
  <c r="BE792" i="202"/>
  <c r="BE793" i="202"/>
  <c r="BE794" i="202"/>
  <c r="BE795" i="202"/>
  <c r="BE796" i="202"/>
  <c r="BE797" i="202"/>
  <c r="BE798" i="202"/>
  <c r="BE799" i="202"/>
  <c r="BE800" i="202"/>
  <c r="BE801" i="202"/>
  <c r="BE802" i="202"/>
  <c r="BE803" i="202"/>
  <c r="BE804" i="202"/>
  <c r="BE805" i="202"/>
  <c r="BE806" i="202"/>
  <c r="BE807" i="202"/>
  <c r="BE808" i="202"/>
  <c r="BE809" i="202"/>
  <c r="BE810" i="202"/>
  <c r="BE811" i="202"/>
  <c r="BE812" i="202"/>
  <c r="BE813" i="202"/>
  <c r="BE814" i="202"/>
  <c r="BE815" i="202"/>
  <c r="BE816" i="202"/>
  <c r="BE817" i="202"/>
  <c r="BE818" i="202"/>
  <c r="BE819" i="202"/>
  <c r="BE820" i="202"/>
  <c r="BE821" i="202"/>
  <c r="BE822" i="202"/>
  <c r="BE823" i="202"/>
  <c r="BE824" i="202"/>
  <c r="BE825" i="202"/>
  <c r="BE826" i="202"/>
  <c r="BE827" i="202"/>
  <c r="BE828" i="202"/>
  <c r="BE829" i="202"/>
  <c r="BE830" i="202"/>
  <c r="BE831" i="202"/>
  <c r="BE832" i="202"/>
  <c r="BE833" i="202"/>
  <c r="BE834" i="202"/>
  <c r="BE835" i="202"/>
  <c r="BE836" i="202"/>
  <c r="BE837" i="202"/>
  <c r="BE838" i="202"/>
  <c r="BE839" i="202"/>
  <c r="BE840" i="202"/>
  <c r="BE841" i="202"/>
  <c r="BE842" i="202"/>
  <c r="BE843" i="202"/>
  <c r="BE844" i="202"/>
  <c r="BE845" i="202"/>
  <c r="BE846" i="202"/>
  <c r="BE847" i="202"/>
  <c r="BE848" i="202"/>
  <c r="BE849" i="202"/>
  <c r="BE850" i="202"/>
  <c r="BE851" i="202"/>
  <c r="BE852" i="202"/>
  <c r="BE853" i="202"/>
  <c r="BE854" i="202"/>
  <c r="BE855" i="202"/>
  <c r="BE856" i="202"/>
  <c r="BE857" i="202"/>
  <c r="BE858" i="202"/>
  <c r="BE859" i="202"/>
  <c r="BE860" i="202"/>
  <c r="BE861" i="202"/>
  <c r="BE862" i="202"/>
  <c r="BE863" i="202"/>
  <c r="BE864" i="202"/>
  <c r="BE865" i="202"/>
  <c r="BE866" i="202"/>
  <c r="BE867" i="202"/>
  <c r="BE868" i="202"/>
  <c r="BE869" i="202"/>
  <c r="BE870" i="202"/>
  <c r="BE871" i="202"/>
  <c r="BE872" i="202"/>
  <c r="BE873" i="202"/>
  <c r="BE874" i="202"/>
  <c r="BE875" i="202"/>
  <c r="BE876" i="202"/>
  <c r="BE877" i="202"/>
  <c r="BE878" i="202"/>
  <c r="BE879" i="202"/>
  <c r="BE880" i="202"/>
  <c r="BE881" i="202"/>
  <c r="BE882" i="202"/>
  <c r="BE883" i="202"/>
  <c r="BE884" i="202"/>
  <c r="BE885" i="202"/>
  <c r="BE886" i="202"/>
  <c r="BE887" i="202"/>
  <c r="BE888" i="202"/>
  <c r="BE889" i="202"/>
  <c r="BE890" i="202"/>
  <c r="BE891" i="202"/>
  <c r="BE892" i="202"/>
  <c r="BE893" i="202"/>
  <c r="BE894" i="202"/>
  <c r="BE895" i="202"/>
  <c r="BE896" i="202"/>
  <c r="BE897" i="202"/>
  <c r="BE898" i="202"/>
  <c r="BE899" i="202"/>
  <c r="BE900" i="202"/>
  <c r="BE901" i="202"/>
  <c r="BE902" i="202"/>
  <c r="BE903" i="202"/>
  <c r="BE904" i="202"/>
  <c r="BE905" i="202"/>
  <c r="BE906" i="202"/>
  <c r="BE907" i="202"/>
  <c r="BE908" i="202"/>
  <c r="BE909" i="202"/>
  <c r="BE910" i="202"/>
  <c r="BE911" i="202"/>
  <c r="BE912" i="202"/>
  <c r="BE913" i="202"/>
  <c r="BE914" i="202"/>
  <c r="BE915" i="202"/>
  <c r="BE916" i="202"/>
  <c r="BE917" i="202"/>
  <c r="BE918" i="202"/>
  <c r="BE919" i="202"/>
  <c r="BE920" i="202"/>
  <c r="BE921" i="202"/>
  <c r="BE922" i="202"/>
  <c r="BE923" i="202"/>
  <c r="BE924" i="202"/>
  <c r="BE925" i="202"/>
  <c r="BE926" i="202"/>
  <c r="BE927" i="202"/>
  <c r="BE928" i="202"/>
  <c r="BE929" i="202"/>
  <c r="BE930" i="202"/>
  <c r="BE931" i="202"/>
  <c r="BE932" i="202"/>
  <c r="BE933" i="202"/>
  <c r="BE934" i="202"/>
  <c r="BE935" i="202"/>
  <c r="BE936" i="202"/>
  <c r="BE937" i="202"/>
  <c r="BE938" i="202"/>
  <c r="BE939" i="202"/>
  <c r="BE940" i="202"/>
  <c r="BE941" i="202"/>
  <c r="BE942" i="202"/>
  <c r="BE943" i="202"/>
  <c r="BE944" i="202"/>
  <c r="BE945" i="202"/>
  <c r="BE946" i="202"/>
  <c r="BE947" i="202"/>
  <c r="BE948" i="202"/>
  <c r="BE949" i="202"/>
  <c r="BE950" i="202"/>
  <c r="BE951" i="202"/>
  <c r="BE952" i="202"/>
  <c r="BE953" i="202"/>
  <c r="BE954" i="202"/>
  <c r="BE955" i="202"/>
  <c r="BE956" i="202"/>
  <c r="BE957" i="202"/>
  <c r="BE958" i="202"/>
  <c r="BE959" i="202"/>
  <c r="BE960" i="202"/>
  <c r="BE961" i="202"/>
  <c r="BE962" i="202"/>
  <c r="BE963" i="202"/>
  <c r="BE964" i="202"/>
  <c r="BE965" i="202"/>
  <c r="BE966" i="202"/>
  <c r="BE967" i="202"/>
  <c r="BE968" i="202"/>
  <c r="BE969" i="202"/>
  <c r="BE970" i="202"/>
  <c r="BE971" i="202"/>
  <c r="BE972" i="202"/>
  <c r="BE973" i="202"/>
  <c r="BE974" i="202"/>
  <c r="BE975" i="202"/>
  <c r="BE976" i="202"/>
  <c r="BE977" i="202"/>
  <c r="BE978" i="202"/>
  <c r="BE979" i="202"/>
  <c r="BE980" i="202"/>
  <c r="BE981" i="202"/>
  <c r="BE982" i="202"/>
  <c r="BE983" i="202"/>
  <c r="BE984" i="202"/>
  <c r="BE985" i="202"/>
  <c r="BE986" i="202"/>
  <c r="BE987" i="202"/>
  <c r="BE988" i="202"/>
  <c r="BE989" i="202"/>
  <c r="BE990" i="202"/>
  <c r="BE991" i="202"/>
  <c r="BE992" i="202"/>
  <c r="BE993" i="202"/>
  <c r="BE994" i="202"/>
  <c r="BE995" i="202"/>
  <c r="BE996" i="202"/>
  <c r="BE997" i="202"/>
  <c r="BE998" i="202"/>
  <c r="BE999" i="202"/>
  <c r="BE1000" i="202"/>
  <c r="BE1001" i="202"/>
  <c r="BE1002" i="202"/>
  <c r="BE1003" i="202"/>
  <c r="BE1004" i="202"/>
  <c r="BE1005" i="202"/>
  <c r="BE1006" i="202"/>
  <c r="BE1007" i="202"/>
  <c r="BE1008" i="202"/>
  <c r="BE1009" i="202"/>
  <c r="BE1010" i="202"/>
  <c r="BE1011" i="202"/>
  <c r="BE1012" i="202"/>
  <c r="BE1013" i="202"/>
  <c r="BE1014" i="202"/>
  <c r="BE1015" i="202"/>
  <c r="BE1016" i="202"/>
  <c r="BE1017" i="202"/>
  <c r="BE1018" i="202"/>
  <c r="BE1019" i="202"/>
  <c r="BE1020" i="202"/>
  <c r="BE1021" i="202"/>
  <c r="BE1022" i="202"/>
  <c r="BE1023" i="202"/>
  <c r="BE1024" i="202"/>
  <c r="BE1025" i="202"/>
  <c r="BE1026" i="202"/>
  <c r="BE1027" i="202"/>
  <c r="BE1028" i="202"/>
  <c r="BE1029" i="202"/>
  <c r="BE1030" i="202"/>
  <c r="BE1031" i="202"/>
  <c r="BE1032" i="202"/>
  <c r="BE1033" i="202"/>
  <c r="BE1034" i="202"/>
  <c r="BE1035" i="202"/>
  <c r="BE1036" i="202"/>
  <c r="BE1037" i="202"/>
  <c r="BE1038" i="202"/>
  <c r="BE1039" i="202"/>
  <c r="BE1040" i="202"/>
  <c r="BE1041" i="202"/>
  <c r="BE1042" i="202"/>
  <c r="BE1043" i="202"/>
  <c r="BE1044" i="202"/>
  <c r="BE1045" i="202"/>
  <c r="BE1046" i="202"/>
  <c r="BE1047" i="202"/>
  <c r="BE1048" i="202"/>
  <c r="BE1049" i="202"/>
  <c r="BE1050" i="202"/>
  <c r="BE1051" i="202"/>
  <c r="BE1052" i="202"/>
  <c r="BE1053" i="202"/>
  <c r="BE1054" i="202"/>
  <c r="BE1055" i="202"/>
  <c r="BE1056" i="202"/>
  <c r="BE1057" i="202"/>
  <c r="BE1058" i="202"/>
  <c r="BE1059" i="202"/>
  <c r="BE1060" i="202"/>
  <c r="BE1061" i="202"/>
  <c r="BE1062" i="202"/>
  <c r="BE1063" i="202"/>
  <c r="BE1064" i="202"/>
  <c r="BE1065" i="202"/>
  <c r="BE1066" i="202"/>
  <c r="BE1067" i="202"/>
  <c r="BE1068" i="202"/>
  <c r="BE1069" i="202"/>
  <c r="BE1070" i="202"/>
  <c r="BE1071" i="202"/>
  <c r="BE1072" i="202"/>
  <c r="BE1073" i="202"/>
  <c r="BE1074" i="202"/>
  <c r="BE1075" i="202"/>
  <c r="BE1076" i="202"/>
  <c r="BE1077" i="202"/>
  <c r="BE1078" i="202"/>
  <c r="BE1079" i="202"/>
  <c r="BE1080" i="202"/>
  <c r="BE1081" i="202"/>
  <c r="BE1082" i="202"/>
  <c r="BE1083" i="202"/>
  <c r="BE1084" i="202"/>
  <c r="BE1085" i="202"/>
  <c r="BE1086" i="202"/>
  <c r="BE1087" i="202"/>
  <c r="BE1088" i="202"/>
  <c r="BE1089" i="202"/>
  <c r="BE1090" i="202"/>
  <c r="BE1091" i="202"/>
  <c r="BE1092" i="202"/>
  <c r="BE1093" i="202"/>
  <c r="BE1094" i="202"/>
  <c r="BE1095" i="202"/>
  <c r="BE1096" i="202"/>
  <c r="BE1097" i="202"/>
  <c r="BE1098" i="202"/>
  <c r="BE1099" i="202"/>
  <c r="BE1100" i="202"/>
  <c r="BE1101" i="202"/>
  <c r="BE1102" i="202"/>
  <c r="BE1103" i="202"/>
  <c r="BE1104" i="202"/>
  <c r="BE1105" i="202"/>
  <c r="BE1106" i="202"/>
  <c r="BE1107" i="202"/>
  <c r="BE1108" i="202"/>
  <c r="BE1109" i="202"/>
  <c r="BE1110" i="202"/>
  <c r="BE1111" i="202"/>
  <c r="BE1112" i="202"/>
  <c r="BE1113" i="202"/>
  <c r="BE1114" i="202"/>
  <c r="BE1115" i="202"/>
  <c r="BE1116" i="202"/>
  <c r="BE1117" i="202"/>
  <c r="BE1118" i="202"/>
  <c r="BE1119" i="202"/>
  <c r="BE1120" i="202"/>
  <c r="BE1121" i="202"/>
  <c r="BE1122" i="202"/>
  <c r="BE1123" i="202"/>
  <c r="BE1124" i="202"/>
  <c r="BE1125" i="202"/>
  <c r="BE1126" i="202"/>
  <c r="BE1127" i="202"/>
  <c r="BE1128" i="202"/>
  <c r="BE1129" i="202"/>
  <c r="BE1130" i="202"/>
  <c r="BE1131" i="202"/>
  <c r="BE1132" i="202"/>
  <c r="BE1133" i="202"/>
  <c r="BE1134" i="202"/>
  <c r="BE1135" i="202"/>
  <c r="BE1136" i="202"/>
  <c r="BE1137" i="202"/>
  <c r="BE1138" i="202"/>
  <c r="BE1139" i="202"/>
  <c r="BE1140" i="202"/>
  <c r="BE1141" i="202"/>
  <c r="BE1142" i="202"/>
  <c r="BE1143" i="202"/>
  <c r="BE1144" i="202"/>
  <c r="BE1145" i="202"/>
  <c r="BE1146" i="202"/>
  <c r="BE1147" i="202"/>
  <c r="BE1148" i="202"/>
  <c r="BE1149" i="202"/>
  <c r="BE1150" i="202"/>
  <c r="BE1151" i="202"/>
  <c r="BE1152" i="202"/>
  <c r="BE1153" i="202"/>
  <c r="BE1154" i="202"/>
  <c r="BE1155" i="202"/>
  <c r="BE1156" i="202"/>
  <c r="BE1157" i="202"/>
  <c r="BE1158" i="202"/>
  <c r="BE1159" i="202"/>
  <c r="BE1160" i="202"/>
  <c r="BE1161" i="202"/>
  <c r="BE1162" i="202"/>
  <c r="BE1163" i="202"/>
  <c r="BE1164" i="202"/>
  <c r="BE1165" i="202"/>
  <c r="BE1166" i="202"/>
  <c r="BE1167" i="202"/>
  <c r="BE1168" i="202"/>
  <c r="BE1169" i="202"/>
  <c r="BE1170" i="202"/>
  <c r="BE1171" i="202"/>
  <c r="BE1172" i="202"/>
  <c r="BE1173" i="202"/>
  <c r="BE1174" i="202"/>
  <c r="BE1175" i="202"/>
  <c r="BE1176" i="202"/>
  <c r="BE1177" i="202"/>
  <c r="BE1178" i="202"/>
  <c r="BE1179" i="202"/>
  <c r="BE1180" i="202"/>
  <c r="BE1181" i="202"/>
  <c r="BE1182" i="202"/>
  <c r="BE1183" i="202"/>
  <c r="BE1184" i="202"/>
  <c r="BE1185" i="202"/>
  <c r="BE1186" i="202"/>
  <c r="BE1187" i="202"/>
  <c r="BE1188" i="202"/>
  <c r="BE1189" i="202"/>
  <c r="BE1190" i="202"/>
  <c r="BE1191" i="202"/>
  <c r="BE1192" i="202"/>
  <c r="BE1193" i="202"/>
  <c r="BE1194" i="202"/>
  <c r="BE1195" i="202"/>
  <c r="BE1196" i="202"/>
  <c r="BE1197" i="202"/>
  <c r="BE1198" i="202"/>
  <c r="BE1199" i="202"/>
  <c r="BE1200" i="202"/>
  <c r="BE1201" i="202"/>
  <c r="BE1202" i="202"/>
  <c r="BE1203" i="202"/>
  <c r="BE1204" i="202"/>
  <c r="BE1205" i="202"/>
  <c r="BE1206" i="202"/>
  <c r="BE1207" i="202"/>
  <c r="BE1208" i="202"/>
  <c r="BE1209" i="202"/>
  <c r="BE1210" i="202"/>
  <c r="BE1211" i="202"/>
  <c r="BE1212" i="202"/>
  <c r="BE1213" i="202"/>
  <c r="BE1214" i="202"/>
  <c r="BE1215" i="202"/>
  <c r="BE1216" i="202"/>
  <c r="BE1217" i="202"/>
  <c r="BE1218" i="202"/>
  <c r="BE1219" i="202"/>
  <c r="BE1220" i="202"/>
  <c r="BE1221" i="202"/>
  <c r="BE1222" i="202"/>
  <c r="BE1223" i="202"/>
  <c r="BE1224" i="202"/>
  <c r="BE1225" i="202"/>
  <c r="BE1226" i="202"/>
  <c r="BE1227" i="202"/>
  <c r="BE1228" i="202"/>
  <c r="BE1229" i="202"/>
  <c r="BE1230" i="202"/>
  <c r="BE1231" i="202"/>
  <c r="BE1232" i="202"/>
  <c r="BE1233" i="202"/>
  <c r="BE1234" i="202"/>
  <c r="BE1235" i="202"/>
  <c r="BE1236" i="202"/>
  <c r="BE1237" i="202"/>
  <c r="BE1238" i="202"/>
  <c r="BE1239" i="202"/>
  <c r="BE1240" i="202"/>
  <c r="BE1241" i="202"/>
  <c r="BE1242" i="202"/>
  <c r="BE1243" i="202"/>
  <c r="BE1244" i="202"/>
  <c r="BE1245" i="202"/>
  <c r="BE1246" i="202"/>
  <c r="BE1247" i="202"/>
  <c r="BE1248" i="202"/>
  <c r="BE1249" i="202"/>
  <c r="BE1250" i="202"/>
  <c r="BE1251" i="202"/>
  <c r="BE1252" i="202"/>
  <c r="BE1253" i="202"/>
  <c r="BE1254" i="202"/>
  <c r="BE1255" i="202"/>
  <c r="BE1256" i="202"/>
  <c r="BE1257" i="202"/>
  <c r="BE1258" i="202"/>
  <c r="BE1259" i="202"/>
  <c r="BE1260" i="202"/>
  <c r="BE1261" i="202"/>
  <c r="BE1262" i="202"/>
  <c r="BE1263" i="202"/>
  <c r="BE1264" i="202"/>
  <c r="BE1265" i="202"/>
  <c r="BE1266" i="202"/>
  <c r="BE1267" i="202"/>
  <c r="BE1268" i="202"/>
  <c r="BE1269" i="202"/>
  <c r="BE1270" i="202"/>
  <c r="BE1271" i="202"/>
  <c r="BE1272" i="202"/>
  <c r="BE1273" i="202"/>
  <c r="BE1274" i="202"/>
  <c r="BE1275" i="202"/>
  <c r="BE1276" i="202"/>
  <c r="BE1277" i="202"/>
  <c r="BE1278" i="202"/>
  <c r="BE1279" i="202"/>
  <c r="BE1280" i="202"/>
  <c r="BE1281" i="202"/>
  <c r="BE1282" i="202"/>
  <c r="BE1283" i="202"/>
  <c r="BE1284" i="202"/>
  <c r="BE1285" i="202"/>
  <c r="BE1286" i="202"/>
  <c r="BE1287" i="202"/>
  <c r="BE1288" i="202"/>
  <c r="BE1289" i="202"/>
  <c r="BE1290" i="202"/>
  <c r="BE1291" i="202"/>
  <c r="BE1292" i="202"/>
  <c r="BE1293" i="202"/>
  <c r="BE1294" i="202"/>
  <c r="BE1295" i="202"/>
  <c r="BE1296" i="202"/>
  <c r="BE1297" i="202"/>
  <c r="BE1298" i="202"/>
  <c r="BE1299" i="202"/>
  <c r="BE1300" i="202"/>
  <c r="BE1301" i="202"/>
  <c r="BE1302" i="202"/>
  <c r="BE1303" i="202"/>
  <c r="BE1304" i="202"/>
  <c r="BE1305" i="202"/>
  <c r="BE1306" i="202"/>
  <c r="BE1307" i="202"/>
  <c r="BE1308" i="202"/>
  <c r="BE1309" i="202"/>
  <c r="BE1310" i="202"/>
  <c r="BE1311" i="202"/>
  <c r="BE1312" i="202"/>
  <c r="BE1313" i="202"/>
  <c r="BE1314" i="202"/>
  <c r="BE1315" i="202"/>
  <c r="BE1316" i="202"/>
  <c r="BE1317" i="202"/>
  <c r="BE1318" i="202"/>
  <c r="BE1319" i="202"/>
  <c r="BE1320" i="202"/>
  <c r="BE1321" i="202"/>
  <c r="BE1322" i="202"/>
  <c r="BE1323" i="202"/>
  <c r="BE1324" i="202"/>
  <c r="BE1325" i="202"/>
  <c r="BE1326" i="202"/>
  <c r="BE1327" i="202"/>
  <c r="BE1328" i="202"/>
  <c r="BE1329" i="202"/>
  <c r="BE1330" i="202"/>
  <c r="BE1331" i="202"/>
  <c r="BE1332" i="202"/>
  <c r="BE1333" i="202"/>
  <c r="BE1334" i="202"/>
  <c r="BE1335" i="202"/>
  <c r="BE1336" i="202"/>
  <c r="BE1337" i="202"/>
  <c r="BE1338" i="202"/>
  <c r="BE1339" i="202"/>
  <c r="BE1340" i="202"/>
  <c r="BE1341" i="202"/>
  <c r="BE1342" i="202"/>
  <c r="BE1343" i="202"/>
  <c r="BE1344" i="202"/>
  <c r="BE1345" i="202"/>
  <c r="BE1346" i="202"/>
  <c r="BE1347" i="202"/>
  <c r="BE1348" i="202"/>
  <c r="BE1349" i="202"/>
  <c r="BE1350" i="202"/>
  <c r="BE1351" i="202"/>
  <c r="BE1352" i="202"/>
  <c r="BE1353" i="202"/>
  <c r="BE1354" i="202"/>
  <c r="BE1355" i="202"/>
  <c r="BE1356" i="202"/>
  <c r="BE1357" i="202"/>
  <c r="BE1358" i="202"/>
  <c r="BE1359" i="202"/>
  <c r="BE1360" i="202"/>
  <c r="BE1361" i="202"/>
  <c r="BE1362" i="202"/>
  <c r="BE1363" i="202"/>
  <c r="BE1364" i="202"/>
  <c r="BE1365" i="202"/>
  <c r="BE1366" i="202"/>
  <c r="BE1367" i="202"/>
  <c r="BE1368" i="202"/>
  <c r="BE1369" i="202"/>
  <c r="BE1370" i="202"/>
  <c r="BE1371" i="202"/>
  <c r="BE1372" i="202"/>
  <c r="BE1373" i="202"/>
  <c r="BE1374" i="202"/>
  <c r="BE1375" i="202"/>
  <c r="BE1376" i="202"/>
  <c r="BE1377" i="202"/>
  <c r="BE1378" i="202"/>
  <c r="BE1379" i="202"/>
  <c r="BE1380" i="202"/>
  <c r="BE1381" i="202"/>
  <c r="BE1382" i="202"/>
  <c r="BE1383" i="202"/>
  <c r="BE1384" i="202"/>
  <c r="BE1385" i="202"/>
  <c r="BE1386" i="202"/>
  <c r="BE1387" i="202"/>
  <c r="BE1388" i="202"/>
  <c r="BE1389" i="202"/>
  <c r="BE1390" i="202"/>
  <c r="BE1391" i="202"/>
  <c r="BE1392" i="202"/>
  <c r="BE1393" i="202"/>
  <c r="BE1394" i="202"/>
  <c r="BE1395" i="202"/>
  <c r="BE1396" i="202"/>
  <c r="BE1397" i="202"/>
  <c r="BE1398" i="202"/>
  <c r="BE1399" i="202"/>
  <c r="BE1400" i="202"/>
  <c r="BE1401" i="202"/>
  <c r="BE1402" i="202"/>
  <c r="BE1403" i="202"/>
  <c r="BE1404" i="202"/>
  <c r="BE1405" i="202"/>
  <c r="BE1406" i="202"/>
  <c r="BE1407" i="202"/>
  <c r="BE1408" i="202"/>
  <c r="BE1409" i="202"/>
  <c r="BE1410" i="202"/>
  <c r="BE1411" i="202"/>
  <c r="BE1412" i="202"/>
  <c r="BE1413" i="202"/>
  <c r="BE1414" i="202"/>
  <c r="BE1415" i="202"/>
  <c r="BE1416" i="202"/>
  <c r="BE1417" i="202"/>
  <c r="BE1418" i="202"/>
  <c r="BE1419" i="202"/>
  <c r="BE1420" i="202"/>
  <c r="BE1421" i="202"/>
  <c r="BE1422" i="202"/>
  <c r="BE1423" i="202"/>
  <c r="BE1424" i="202"/>
  <c r="BE1425" i="202"/>
  <c r="BE1426" i="202"/>
  <c r="BE1427" i="202"/>
  <c r="BE1428" i="202"/>
  <c r="BE1429" i="202"/>
  <c r="BE1430" i="202"/>
  <c r="BE1431" i="202"/>
  <c r="BE1432" i="202"/>
  <c r="BE1433" i="202"/>
  <c r="BE1434" i="202"/>
  <c r="BE1435" i="202"/>
  <c r="BE1436" i="202"/>
  <c r="BE1437" i="202"/>
  <c r="BE1438" i="202"/>
  <c r="BE1439" i="202"/>
  <c r="BE1440" i="202"/>
  <c r="BE1441" i="202"/>
  <c r="BE1442" i="202"/>
  <c r="BE1443" i="202"/>
  <c r="BE1444" i="202"/>
  <c r="BE1445" i="202"/>
  <c r="BE1446" i="202"/>
  <c r="BE1447" i="202"/>
  <c r="BE1448" i="202"/>
  <c r="BE1449" i="202"/>
  <c r="BE1450" i="202"/>
  <c r="BE1451" i="202"/>
  <c r="BE1452" i="202"/>
  <c r="BE1453" i="202"/>
  <c r="BE1454" i="202"/>
  <c r="BE1455" i="202"/>
  <c r="BE1456" i="202"/>
  <c r="BE1457" i="202"/>
  <c r="BE1458" i="202"/>
  <c r="BE1459" i="202"/>
  <c r="BE1460" i="202"/>
  <c r="BE1461" i="202"/>
  <c r="BE1462" i="202"/>
  <c r="BE1463" i="202"/>
  <c r="BE1464" i="202"/>
  <c r="BE1465" i="202"/>
  <c r="BE1466" i="202"/>
  <c r="BE1467" i="202"/>
  <c r="BE1468" i="202"/>
  <c r="BE1469" i="202"/>
  <c r="BE1470" i="202"/>
  <c r="BE1471" i="202"/>
  <c r="BE1472" i="202"/>
  <c r="BE1473" i="202"/>
  <c r="BE1474" i="202"/>
  <c r="BE1475" i="202"/>
  <c r="BE1476" i="202"/>
  <c r="BE1477" i="202"/>
  <c r="BE1478" i="202"/>
  <c r="BE1479" i="202"/>
  <c r="BE1480" i="202"/>
  <c r="BE1481" i="202"/>
  <c r="BE1482" i="202"/>
  <c r="BE1483" i="202"/>
  <c r="BE1484" i="202"/>
  <c r="BE1485" i="202"/>
  <c r="BE1486" i="202"/>
  <c r="BE1487" i="202"/>
  <c r="BE1488" i="202"/>
  <c r="BE1489" i="202"/>
  <c r="BE1490" i="202"/>
  <c r="BE1491" i="202"/>
  <c r="BE1492" i="202"/>
  <c r="BE1493" i="202"/>
  <c r="BE1494" i="202"/>
  <c r="BE1495" i="202"/>
  <c r="BE1496" i="202"/>
  <c r="BE1497" i="202"/>
  <c r="BE1498" i="202"/>
  <c r="BE1499" i="202"/>
  <c r="BE1500" i="202"/>
  <c r="BE1501" i="202"/>
  <c r="BE1502" i="202"/>
  <c r="BE1503" i="202"/>
  <c r="BE1504" i="202"/>
  <c r="BE1505" i="202"/>
  <c r="BE1506" i="202"/>
  <c r="BE1507" i="202"/>
  <c r="BE1508" i="202"/>
  <c r="BE1509" i="202"/>
  <c r="BE1510" i="202"/>
  <c r="BE1511" i="202"/>
  <c r="BE1512" i="202"/>
  <c r="BE1513" i="202"/>
  <c r="BE1514" i="202"/>
  <c r="BE1515" i="202"/>
  <c r="BE1516" i="202"/>
  <c r="BE1517" i="202"/>
  <c r="BE1518" i="202"/>
  <c r="BE1519" i="202"/>
  <c r="BE1520" i="202"/>
  <c r="BE1521" i="202"/>
  <c r="BE1522" i="202"/>
  <c r="BE1523" i="202"/>
  <c r="BE1524" i="202"/>
  <c r="BE1525" i="202"/>
  <c r="BE1526" i="202"/>
  <c r="BE1527" i="202"/>
  <c r="BE1528" i="202"/>
  <c r="BE1529" i="202"/>
  <c r="BE1530" i="202"/>
  <c r="BE1531" i="202"/>
  <c r="BE1532" i="202"/>
  <c r="BE1533" i="202"/>
  <c r="BE1534" i="202"/>
  <c r="BE1535" i="202"/>
  <c r="BE1536" i="202"/>
  <c r="BE1537" i="202"/>
  <c r="BE1538" i="202"/>
  <c r="BE1539" i="202"/>
  <c r="BE1540" i="202"/>
  <c r="BE1541" i="202"/>
  <c r="BE1542" i="202"/>
  <c r="BE1543" i="202"/>
  <c r="BE1544" i="202"/>
  <c r="BE1545" i="202"/>
  <c r="BE1546" i="202"/>
  <c r="BE1547" i="202"/>
  <c r="BE1548" i="202"/>
  <c r="BE1549" i="202"/>
  <c r="BE1550" i="202"/>
  <c r="BE1551" i="202"/>
  <c r="BE1552" i="202"/>
  <c r="BE1553" i="202"/>
  <c r="BE1554" i="202"/>
  <c r="BE1555" i="202"/>
  <c r="BE1556" i="202"/>
  <c r="BE1557" i="202"/>
  <c r="BE1558" i="202"/>
  <c r="BE1559" i="202"/>
  <c r="BE1560" i="202"/>
  <c r="BE1561" i="202"/>
  <c r="BE1562" i="202"/>
  <c r="BE1563" i="202"/>
  <c r="BE1564" i="202"/>
  <c r="BE1565" i="202"/>
  <c r="BE1566" i="202"/>
  <c r="BE1567" i="202"/>
  <c r="BE1568" i="202"/>
  <c r="BE1569" i="202"/>
  <c r="BE1570" i="202"/>
  <c r="BE1571" i="202"/>
  <c r="BE1572" i="202"/>
  <c r="BE1573" i="202"/>
  <c r="BE1574" i="202"/>
  <c r="BE1575" i="202"/>
  <c r="BE1576" i="202"/>
  <c r="BE1577" i="202"/>
  <c r="BE1578" i="202"/>
  <c r="BE1579" i="202"/>
  <c r="BE1580" i="202"/>
  <c r="BE1581" i="202"/>
  <c r="BE1582" i="202"/>
  <c r="BE1583" i="202"/>
  <c r="BE1584" i="202"/>
  <c r="BE1585" i="202"/>
  <c r="BE1586" i="202"/>
  <c r="BE1587" i="202"/>
  <c r="BE1588" i="202"/>
  <c r="BE1589" i="202"/>
  <c r="BE1590" i="202"/>
  <c r="BE1591" i="202"/>
  <c r="BE1592" i="202"/>
  <c r="BE1593" i="202"/>
  <c r="BE1594" i="202"/>
  <c r="BE1595" i="202"/>
  <c r="BE1596" i="202"/>
  <c r="BE1597" i="202"/>
  <c r="BE1598" i="202"/>
  <c r="BE1599" i="202"/>
  <c r="BE1600" i="202"/>
  <c r="BE1601" i="202"/>
  <c r="BE1602" i="202"/>
  <c r="BE1603" i="202"/>
  <c r="BE1604" i="202"/>
  <c r="BE1605" i="202"/>
  <c r="BE1606" i="202"/>
  <c r="BE1607" i="202"/>
  <c r="BE1608" i="202"/>
  <c r="BE1609" i="202"/>
  <c r="BE1610" i="202"/>
  <c r="BE1611" i="202"/>
  <c r="BE1612" i="202"/>
  <c r="BE1613" i="202"/>
  <c r="BE1614" i="202"/>
  <c r="BE1615" i="202"/>
  <c r="BE1616" i="202"/>
  <c r="BE1617" i="202"/>
  <c r="BE1618" i="202"/>
  <c r="BE1619" i="202"/>
  <c r="BE1620" i="202"/>
  <c r="BE1621" i="202"/>
  <c r="BE1622" i="202"/>
  <c r="BE1623" i="202"/>
  <c r="BE1624" i="202"/>
  <c r="BE1625" i="202"/>
  <c r="BE1626" i="202"/>
  <c r="BE1627" i="202"/>
  <c r="BE1628" i="202"/>
  <c r="BE1629" i="202"/>
  <c r="BE1630" i="202"/>
  <c r="BE1631" i="202"/>
  <c r="BE1632" i="202"/>
  <c r="BE1633" i="202"/>
  <c r="BE1634" i="202"/>
  <c r="BE1635" i="202"/>
  <c r="BE1636" i="202"/>
  <c r="BE1637" i="202"/>
  <c r="BE1638" i="202"/>
  <c r="BE1639" i="202"/>
  <c r="BE1640" i="202"/>
  <c r="BE1641" i="202"/>
  <c r="BE1642" i="202"/>
  <c r="BE1643" i="202"/>
  <c r="BE1644" i="202"/>
  <c r="BE1645" i="202"/>
  <c r="BE1646" i="202"/>
  <c r="BE1647" i="202"/>
  <c r="BE1648" i="202"/>
  <c r="BE1649" i="202"/>
  <c r="BE1650" i="202"/>
  <c r="BE1651" i="202"/>
  <c r="BE1652" i="202"/>
  <c r="BE1653" i="202"/>
  <c r="BE1654" i="202"/>
  <c r="BE1655" i="202"/>
  <c r="BE1656" i="202"/>
  <c r="BE1657" i="202"/>
  <c r="BE1658" i="202"/>
  <c r="BE1659" i="202"/>
  <c r="BE1660" i="202"/>
  <c r="BE1661" i="202"/>
  <c r="BE1662" i="202"/>
  <c r="BE1663" i="202"/>
  <c r="BE1664" i="202"/>
  <c r="BE1665" i="202"/>
  <c r="BE1666" i="202"/>
  <c r="BE1667" i="202"/>
  <c r="BE1668" i="202"/>
  <c r="BE1669" i="202"/>
  <c r="BE1670" i="202"/>
  <c r="BE1671" i="202"/>
  <c r="BE1672" i="202"/>
  <c r="BE1673" i="202"/>
  <c r="BE1674" i="202"/>
  <c r="BE1675" i="202"/>
  <c r="BE1676" i="202"/>
  <c r="BE1677" i="202"/>
  <c r="BE1678" i="202"/>
  <c r="BE1679" i="202"/>
  <c r="BE1680" i="202"/>
  <c r="BE1681" i="202"/>
  <c r="BE1682" i="202"/>
  <c r="BE1683" i="202"/>
  <c r="BE1684" i="202"/>
  <c r="BE1685" i="202"/>
  <c r="BE1686" i="202"/>
  <c r="BE1687" i="202"/>
  <c r="BE1688" i="202"/>
  <c r="BE1689" i="202"/>
  <c r="BE1690" i="202"/>
  <c r="BE1691" i="202"/>
  <c r="BE1692" i="202"/>
  <c r="BE1693" i="202"/>
  <c r="BE1694" i="202"/>
  <c r="BE1695" i="202"/>
  <c r="BE1696" i="202"/>
  <c r="BE1697" i="202"/>
  <c r="BE1698" i="202"/>
  <c r="BE1699" i="202"/>
  <c r="BE1700" i="202"/>
  <c r="BE1701" i="202"/>
  <c r="BE1702" i="202"/>
  <c r="BE1703" i="202"/>
  <c r="BE1704" i="202"/>
  <c r="BE1705" i="202"/>
  <c r="BE1706" i="202"/>
  <c r="BE1707" i="202"/>
  <c r="BE1708" i="202"/>
  <c r="BE1709" i="202"/>
  <c r="BE1710" i="202"/>
  <c r="BE1711" i="202"/>
  <c r="BE1712" i="202"/>
  <c r="BE1713" i="202"/>
  <c r="BE1714" i="202"/>
  <c r="BE1715" i="202"/>
  <c r="BE1716" i="202"/>
  <c r="BE1717" i="202"/>
  <c r="BE1718" i="202"/>
  <c r="BE1719" i="202"/>
  <c r="BE1720" i="202"/>
  <c r="BE1721" i="202"/>
  <c r="BE1722" i="202"/>
  <c r="BE1723" i="202"/>
  <c r="BE1724" i="202"/>
  <c r="BE1725" i="202"/>
  <c r="BE1726" i="202"/>
  <c r="BE1727" i="202"/>
  <c r="BE1728" i="202"/>
  <c r="BE1729" i="202"/>
  <c r="BE1730" i="202"/>
  <c r="BE1731" i="202"/>
  <c r="BE1732" i="202"/>
  <c r="BE1733" i="202"/>
  <c r="BE1734" i="202"/>
  <c r="BE1735" i="202"/>
  <c r="BE1736" i="202"/>
  <c r="BE1737" i="202"/>
  <c r="BE1738" i="202"/>
  <c r="BE1739" i="202"/>
  <c r="BE1740" i="202"/>
  <c r="BE1741" i="202"/>
  <c r="BE1742" i="202"/>
  <c r="BE1743" i="202"/>
  <c r="BE1744" i="202"/>
  <c r="BE1745" i="202"/>
  <c r="BE1746" i="202"/>
  <c r="BE1747" i="202"/>
  <c r="BE1748" i="202"/>
  <c r="BE1749" i="202"/>
  <c r="BE1750" i="202"/>
  <c r="BE1751" i="202"/>
  <c r="BE1752" i="202"/>
  <c r="BE1753" i="202"/>
  <c r="BE1754" i="202"/>
  <c r="BE1755" i="202"/>
  <c r="BE1756" i="202"/>
  <c r="BE1757" i="202"/>
  <c r="BE1758" i="202"/>
  <c r="BE1759" i="202"/>
  <c r="BE1760" i="202"/>
  <c r="BE1761" i="202"/>
  <c r="BE1762" i="202"/>
  <c r="BE1763" i="202"/>
  <c r="BE1764" i="202"/>
  <c r="BE1765" i="202"/>
  <c r="BE1766" i="202"/>
  <c r="BE1767" i="202"/>
  <c r="BE1768" i="202"/>
  <c r="BE1769" i="202"/>
  <c r="BE1770" i="202"/>
  <c r="BE1771" i="202"/>
  <c r="BE1772" i="202"/>
  <c r="BE1773" i="202"/>
  <c r="BE1774" i="202"/>
  <c r="BE1775" i="202"/>
  <c r="BE1776" i="202"/>
  <c r="BE1777" i="202"/>
  <c r="BE1778" i="202"/>
  <c r="BE1779" i="202"/>
  <c r="BE1780" i="202"/>
  <c r="BE1781" i="202"/>
  <c r="BE1782" i="202"/>
  <c r="BE1783" i="202"/>
  <c r="BE1784" i="202"/>
  <c r="BE1785" i="202"/>
  <c r="BE1786" i="202"/>
  <c r="BE1787" i="202"/>
  <c r="BE1788" i="202"/>
  <c r="BE1789" i="202"/>
  <c r="BE1790" i="202"/>
  <c r="BE1791" i="202"/>
  <c r="BE1792" i="202"/>
  <c r="BE1793" i="202"/>
  <c r="BE1794" i="202"/>
  <c r="BE1795" i="202"/>
  <c r="BE1796" i="202"/>
  <c r="BE1797" i="202"/>
  <c r="BE1798" i="202"/>
  <c r="BE1799" i="202"/>
  <c r="BE1800" i="202"/>
  <c r="BE1801" i="202"/>
  <c r="BE1802" i="202"/>
  <c r="BE1803" i="202"/>
  <c r="BE1804" i="202"/>
  <c r="BE1805" i="202"/>
  <c r="BE1806" i="202"/>
  <c r="BE1807" i="202"/>
  <c r="BE1808" i="202"/>
  <c r="BE1809" i="202"/>
  <c r="BE1810" i="202"/>
  <c r="BE1811" i="202"/>
  <c r="BE1812" i="202"/>
  <c r="BE1813" i="202"/>
  <c r="BE1814" i="202"/>
  <c r="BE1815" i="202"/>
  <c r="BE1816" i="202"/>
  <c r="BE1817" i="202"/>
  <c r="BE1818" i="202"/>
  <c r="BE1819" i="202"/>
  <c r="BE1820" i="202"/>
  <c r="BE1821" i="202"/>
  <c r="BE1822" i="202"/>
  <c r="BE1823" i="202"/>
  <c r="BE1824" i="202"/>
  <c r="BE1825" i="202"/>
  <c r="BE1826" i="202"/>
  <c r="BE1827" i="202"/>
  <c r="BE1828" i="202"/>
  <c r="BE1829" i="202"/>
  <c r="BE1830" i="202"/>
  <c r="BE1831" i="202"/>
  <c r="BE1832" i="202"/>
  <c r="BE1833" i="202"/>
  <c r="BE1834" i="202"/>
  <c r="BE1835" i="202"/>
  <c r="BE1836" i="202"/>
  <c r="BE1837" i="202"/>
  <c r="BE1838" i="202"/>
  <c r="BE1839" i="202"/>
  <c r="BE1840" i="202"/>
  <c r="BE1841" i="202"/>
  <c r="BE1842" i="202"/>
  <c r="BE1843" i="202"/>
  <c r="BE1844" i="202"/>
  <c r="BE1845" i="202"/>
  <c r="BE1846" i="202"/>
  <c r="BE1847" i="202"/>
  <c r="BE1848" i="202"/>
  <c r="BE1849" i="202"/>
  <c r="BE1850" i="202"/>
  <c r="BE1851" i="202"/>
  <c r="BE1852" i="202"/>
  <c r="BE1853" i="202"/>
  <c r="BE1854" i="202"/>
  <c r="BE1855" i="202"/>
  <c r="BE1856" i="202"/>
  <c r="BE1857" i="202"/>
  <c r="BE1858" i="202"/>
  <c r="BE1859" i="202"/>
  <c r="BE1860" i="202"/>
  <c r="BE1861" i="202"/>
  <c r="BE1862" i="202"/>
  <c r="BE1863" i="202"/>
  <c r="BE1864" i="202"/>
  <c r="BE1865" i="202"/>
  <c r="BE1866" i="202"/>
  <c r="BE1867" i="202"/>
  <c r="BE1868" i="202"/>
  <c r="BE1869" i="202"/>
  <c r="BE1870" i="202"/>
  <c r="BE1871" i="202"/>
  <c r="BE1872" i="202"/>
  <c r="BE1873" i="202"/>
  <c r="BE1874" i="202"/>
  <c r="BE1875" i="202"/>
  <c r="BE1876" i="202"/>
  <c r="BE1877" i="202"/>
  <c r="BE1878" i="202"/>
  <c r="BE1879" i="202"/>
  <c r="BE1880" i="202"/>
  <c r="BE1881" i="202"/>
  <c r="BE1882" i="202"/>
  <c r="BE1883" i="202"/>
  <c r="BE1884" i="202"/>
  <c r="BE1885" i="202"/>
  <c r="BE1886" i="202"/>
  <c r="BE1887" i="202"/>
  <c r="BE1888" i="202"/>
  <c r="BE1889" i="202"/>
  <c r="BE1890" i="202"/>
  <c r="BE1891" i="202"/>
  <c r="BE1892" i="202"/>
  <c r="BE1893" i="202"/>
  <c r="BE1894" i="202"/>
  <c r="BE1895" i="202"/>
  <c r="BE1896" i="202"/>
  <c r="BE1897" i="202"/>
  <c r="BE1898" i="202"/>
  <c r="BE1899" i="202"/>
  <c r="BE1900" i="202"/>
  <c r="BE1901" i="202"/>
  <c r="BE1902" i="202"/>
  <c r="BE1903" i="202"/>
  <c r="BE1904" i="202"/>
  <c r="BE1905" i="202"/>
  <c r="BE1906" i="202"/>
  <c r="BE1907" i="202"/>
  <c r="BE1908" i="202"/>
  <c r="BE1909" i="202"/>
  <c r="BE1910" i="202"/>
  <c r="BE1911" i="202"/>
  <c r="BE1912" i="202"/>
  <c r="BE1913" i="202"/>
  <c r="BE1914" i="202"/>
  <c r="BE1915" i="202"/>
  <c r="BE1916" i="202"/>
  <c r="BE1917" i="202"/>
  <c r="BE1918" i="202"/>
  <c r="BE1919" i="202"/>
  <c r="BE1920" i="202"/>
  <c r="BE1921" i="202"/>
  <c r="BE1922" i="202"/>
  <c r="BE1923" i="202"/>
  <c r="BE1924" i="202"/>
  <c r="BE1925" i="202"/>
  <c r="BE1926" i="202"/>
  <c r="BE1927" i="202"/>
  <c r="BE1928" i="202"/>
  <c r="BE1929" i="202"/>
  <c r="BE1930" i="202"/>
  <c r="BE1931" i="202"/>
  <c r="BE1932" i="202"/>
  <c r="BE1933" i="202"/>
  <c r="BE1934" i="202"/>
  <c r="BE1935" i="202"/>
  <c r="BE1936" i="202"/>
  <c r="BE1937" i="202"/>
  <c r="BE1938" i="202"/>
  <c r="BE1939" i="202"/>
  <c r="BE1940" i="202"/>
  <c r="BE1941" i="202"/>
  <c r="BE1942" i="202"/>
  <c r="BE1943" i="202"/>
  <c r="BE1944" i="202"/>
  <c r="BE1945" i="202"/>
  <c r="BE1946" i="202"/>
  <c r="BE1947" i="202"/>
  <c r="BE1948" i="202"/>
  <c r="BE1949" i="202"/>
  <c r="BE1950" i="202"/>
  <c r="BE1951" i="202"/>
  <c r="BE1952" i="202"/>
  <c r="BE1953" i="202"/>
  <c r="BE1954" i="202"/>
  <c r="BE1955" i="202"/>
  <c r="BE1956" i="202"/>
  <c r="BE1957" i="202"/>
  <c r="BE1958" i="202"/>
  <c r="BE1959" i="202"/>
  <c r="BE1960" i="202"/>
  <c r="BE1961" i="202"/>
  <c r="BE1962" i="202"/>
  <c r="BE1963" i="202"/>
  <c r="BE1964" i="202"/>
  <c r="BE1965" i="202"/>
  <c r="BE1966" i="202"/>
  <c r="BE1967" i="202"/>
  <c r="BE1968" i="202"/>
  <c r="BE1969" i="202"/>
  <c r="BE1970" i="202"/>
  <c r="BE1971" i="202"/>
  <c r="BE1972" i="202"/>
  <c r="BE1973" i="202"/>
  <c r="BE1974" i="202"/>
  <c r="BE1975" i="202"/>
  <c r="BE1976" i="202"/>
  <c r="BE1977" i="202"/>
  <c r="BE1978" i="202"/>
  <c r="BE1979" i="202"/>
  <c r="BE1980" i="202"/>
  <c r="BE1981" i="202"/>
  <c r="BE1982" i="202"/>
  <c r="BE1983" i="202"/>
  <c r="BE1984" i="202"/>
  <c r="BE1985" i="202"/>
  <c r="BE1986" i="202"/>
  <c r="BE1987" i="202"/>
  <c r="BE1988" i="202"/>
  <c r="BE1989" i="202"/>
  <c r="BE1990" i="202"/>
  <c r="BE1991" i="202"/>
  <c r="BE1992" i="202"/>
  <c r="BE1993" i="202"/>
  <c r="BE1994" i="202"/>
  <c r="BE1995" i="202"/>
  <c r="BE1996" i="202"/>
  <c r="BE1997" i="202"/>
  <c r="BE1998" i="202"/>
  <c r="BE1999" i="202"/>
  <c r="BE2000" i="202"/>
  <c r="BE2001" i="202"/>
  <c r="BE2002" i="202"/>
  <c r="BE2003" i="202"/>
  <c r="BE2004" i="202"/>
  <c r="BE2005" i="202"/>
  <c r="BE2006" i="202"/>
  <c r="BE2007" i="202"/>
  <c r="BE2008" i="202"/>
  <c r="BE2009" i="202"/>
  <c r="BE2010" i="202"/>
  <c r="BE2011" i="202"/>
  <c r="BE2012" i="202"/>
  <c r="BE2013" i="202"/>
  <c r="BE2014" i="202"/>
  <c r="BE2015" i="202"/>
  <c r="BE2016" i="202"/>
  <c r="BE2017" i="202"/>
  <c r="BE2018" i="202"/>
  <c r="BE2019" i="202"/>
  <c r="BE2020" i="202"/>
  <c r="BE2021" i="202"/>
  <c r="BE2022" i="202"/>
  <c r="BE2023" i="202"/>
  <c r="BE2024" i="202"/>
  <c r="BE2025" i="202"/>
  <c r="BE2026" i="202"/>
  <c r="BE2027" i="202"/>
  <c r="BE2028" i="202"/>
  <c r="BE2029" i="202"/>
  <c r="BE2030" i="202"/>
  <c r="BE2031" i="202"/>
  <c r="BE2032" i="202"/>
  <c r="BE2033" i="202"/>
  <c r="BE2034" i="202"/>
  <c r="BE2035" i="202"/>
  <c r="BE2036" i="202"/>
  <c r="BE2037" i="202"/>
  <c r="BE2038" i="202"/>
  <c r="BE2039" i="202"/>
  <c r="BE2040" i="202"/>
  <c r="BE2041" i="202"/>
  <c r="BE2042" i="202"/>
  <c r="BE2043" i="202"/>
  <c r="BE2044" i="202"/>
  <c r="BE2045" i="202"/>
  <c r="BE2046" i="202"/>
  <c r="BE2047" i="202"/>
  <c r="BE2048" i="202"/>
  <c r="AQ2" i="202"/>
  <c r="AQ3" i="202"/>
  <c r="AQ4" i="202"/>
  <c r="AQ5" i="202"/>
  <c r="AQ6" i="202"/>
  <c r="AQ7" i="202"/>
  <c r="AQ8" i="202"/>
  <c r="AQ9" i="202"/>
  <c r="AQ10" i="202"/>
  <c r="AQ11" i="202"/>
  <c r="AQ12" i="202"/>
  <c r="AQ13" i="202"/>
  <c r="AQ14" i="202"/>
  <c r="AQ15" i="202"/>
  <c r="AQ16" i="202"/>
  <c r="AQ17" i="202"/>
  <c r="AQ18" i="202"/>
  <c r="AQ19" i="202"/>
  <c r="AQ20" i="202"/>
  <c r="AQ21" i="202"/>
  <c r="AQ22" i="202"/>
  <c r="AQ23" i="202"/>
  <c r="AQ24" i="202"/>
  <c r="AQ25" i="202"/>
  <c r="AQ26" i="202"/>
  <c r="AQ27" i="202"/>
  <c r="AQ28" i="202"/>
  <c r="AQ29" i="202"/>
  <c r="AQ30" i="202"/>
  <c r="AQ31" i="202"/>
  <c r="AQ32" i="202"/>
  <c r="AQ33" i="202"/>
  <c r="AQ34" i="202"/>
  <c r="AQ35" i="202"/>
  <c r="AQ36" i="202"/>
  <c r="AQ37" i="202"/>
  <c r="AQ38" i="202"/>
  <c r="AQ39" i="202"/>
  <c r="AQ40" i="202"/>
  <c r="AQ41" i="202"/>
  <c r="AQ42" i="202"/>
  <c r="AQ43" i="202"/>
  <c r="AQ44" i="202"/>
  <c r="AQ45" i="202"/>
  <c r="AQ46" i="202"/>
  <c r="AQ47" i="202"/>
  <c r="AQ48" i="202"/>
  <c r="AQ49" i="202"/>
  <c r="AQ50" i="202"/>
  <c r="AQ51" i="202"/>
  <c r="AQ52" i="202"/>
  <c r="AQ53" i="202"/>
  <c r="AQ54" i="202"/>
  <c r="AQ55" i="202"/>
  <c r="AQ56" i="202"/>
  <c r="AQ57" i="202"/>
  <c r="AQ58" i="202"/>
  <c r="AQ59" i="202"/>
  <c r="AQ60" i="202"/>
  <c r="AQ61" i="202"/>
  <c r="AQ62" i="202"/>
  <c r="AQ63" i="202"/>
  <c r="AQ64" i="202"/>
  <c r="AQ65" i="202"/>
  <c r="AQ66" i="202"/>
  <c r="AQ67" i="202"/>
  <c r="AQ68" i="202"/>
  <c r="AQ69" i="202"/>
  <c r="AQ70" i="202"/>
  <c r="AQ71" i="202"/>
  <c r="AQ72" i="202"/>
  <c r="AQ73" i="202"/>
  <c r="AQ74" i="202"/>
  <c r="AQ75" i="202"/>
  <c r="AQ76" i="202"/>
  <c r="AQ77" i="202"/>
  <c r="AQ78" i="202"/>
  <c r="AQ79" i="202"/>
  <c r="AQ80" i="202"/>
  <c r="AQ81" i="202"/>
  <c r="AQ82" i="202"/>
  <c r="AQ83" i="202"/>
  <c r="AQ84" i="202"/>
  <c r="AQ85" i="202"/>
  <c r="AQ86" i="202"/>
  <c r="AQ87" i="202"/>
  <c r="AQ88" i="202"/>
  <c r="AQ89" i="202"/>
  <c r="AQ90" i="202"/>
  <c r="AQ91" i="202"/>
  <c r="AQ92" i="202"/>
  <c r="AQ93" i="202"/>
  <c r="AQ94" i="202"/>
  <c r="AQ95" i="202"/>
  <c r="AQ96" i="202"/>
  <c r="AQ97" i="202"/>
  <c r="AQ98" i="202"/>
  <c r="AQ99" i="202"/>
  <c r="AQ100" i="202"/>
  <c r="AQ101" i="202"/>
  <c r="AQ102" i="202"/>
  <c r="AQ103" i="202"/>
  <c r="AQ104" i="202"/>
  <c r="AQ105" i="202"/>
  <c r="AQ106" i="202"/>
  <c r="AQ107" i="202"/>
  <c r="AQ108" i="202"/>
  <c r="AQ109" i="202"/>
  <c r="AQ110" i="202"/>
  <c r="AQ111" i="202"/>
  <c r="AQ112" i="202"/>
  <c r="AQ113" i="202"/>
  <c r="AQ114" i="202"/>
  <c r="AQ115" i="202"/>
  <c r="AQ116" i="202"/>
  <c r="AQ117" i="202"/>
  <c r="AQ118" i="202"/>
  <c r="AQ119" i="202"/>
  <c r="AQ120" i="202"/>
  <c r="AQ121" i="202"/>
  <c r="AQ122" i="202"/>
  <c r="AQ123" i="202"/>
  <c r="AQ124" i="202"/>
  <c r="AQ125" i="202"/>
  <c r="AQ126" i="202"/>
  <c r="AQ127" i="202"/>
  <c r="AQ128" i="202"/>
  <c r="AQ129" i="202"/>
  <c r="AQ130" i="202"/>
  <c r="AQ131" i="202"/>
  <c r="AQ132" i="202"/>
  <c r="AQ133" i="202"/>
  <c r="AQ134" i="202"/>
  <c r="AQ135" i="202"/>
  <c r="AQ136" i="202"/>
  <c r="AQ137" i="202"/>
  <c r="AQ138" i="202"/>
  <c r="AQ139" i="202"/>
  <c r="AQ140" i="202"/>
  <c r="AQ141" i="202"/>
  <c r="AQ142" i="202"/>
  <c r="AQ143" i="202"/>
  <c r="AQ144" i="202"/>
  <c r="AQ145" i="202"/>
  <c r="AQ146" i="202"/>
  <c r="AQ147" i="202"/>
  <c r="AQ148" i="202"/>
  <c r="AQ149" i="202"/>
  <c r="AQ150" i="202"/>
  <c r="AQ151" i="202"/>
  <c r="AQ152" i="202"/>
  <c r="AQ153" i="202"/>
  <c r="AQ154" i="202"/>
  <c r="AQ155" i="202"/>
  <c r="AQ156" i="202"/>
  <c r="AQ157" i="202"/>
  <c r="AQ158" i="202"/>
  <c r="AQ159" i="202"/>
  <c r="AQ160" i="202"/>
  <c r="AQ161" i="202"/>
  <c r="AQ162" i="202"/>
  <c r="AQ163" i="202"/>
  <c r="AQ164" i="202"/>
  <c r="AQ165" i="202"/>
  <c r="AQ166" i="202"/>
  <c r="AQ167" i="202"/>
  <c r="AQ168" i="202"/>
  <c r="AQ169" i="202"/>
  <c r="AQ170" i="202"/>
  <c r="AQ171" i="202"/>
  <c r="AQ172" i="202"/>
  <c r="AQ173" i="202"/>
  <c r="AQ174" i="202"/>
  <c r="AQ175" i="202"/>
  <c r="AQ176" i="202"/>
  <c r="AQ177" i="202"/>
  <c r="AQ178" i="202"/>
  <c r="AQ179" i="202"/>
  <c r="AQ180" i="202"/>
  <c r="AQ181" i="202"/>
  <c r="AQ182" i="202"/>
  <c r="AQ183" i="202"/>
  <c r="AQ184" i="202"/>
  <c r="AQ185" i="202"/>
  <c r="AQ186" i="202"/>
  <c r="AQ187" i="202"/>
  <c r="AQ188" i="202"/>
  <c r="AQ189" i="202"/>
  <c r="AQ190" i="202"/>
  <c r="AQ191" i="202"/>
  <c r="AQ192" i="202"/>
  <c r="AQ193" i="202"/>
  <c r="AQ194" i="202"/>
  <c r="AQ195" i="202"/>
  <c r="AQ196" i="202"/>
  <c r="AQ197" i="202"/>
  <c r="AQ198" i="202"/>
  <c r="AQ199" i="202"/>
  <c r="AQ200" i="202"/>
  <c r="AQ201" i="202"/>
  <c r="AQ202" i="202"/>
  <c r="AQ203" i="202"/>
  <c r="AQ204" i="202"/>
  <c r="AQ205" i="202"/>
  <c r="AQ206" i="202"/>
  <c r="AQ207" i="202"/>
  <c r="AQ208" i="202"/>
  <c r="AQ209" i="202"/>
  <c r="AQ210" i="202"/>
  <c r="AQ211" i="202"/>
  <c r="AQ212" i="202"/>
  <c r="AQ213" i="202"/>
  <c r="AQ214" i="202"/>
  <c r="AQ215" i="202"/>
  <c r="AQ216" i="202"/>
  <c r="AQ217" i="202"/>
  <c r="AQ218" i="202"/>
  <c r="AQ219" i="202"/>
  <c r="AQ220" i="202"/>
  <c r="AQ221" i="202"/>
  <c r="AQ222" i="202"/>
  <c r="AQ223" i="202"/>
  <c r="AQ224" i="202"/>
  <c r="AQ225" i="202"/>
  <c r="AQ226" i="202"/>
  <c r="AQ227" i="202"/>
  <c r="AQ228" i="202"/>
  <c r="AQ229" i="202"/>
  <c r="AQ230" i="202"/>
  <c r="AQ231" i="202"/>
  <c r="AQ232" i="202"/>
  <c r="AQ233" i="202"/>
  <c r="AQ234" i="202"/>
  <c r="AQ235" i="202"/>
  <c r="AQ236" i="202"/>
  <c r="AQ237" i="202"/>
  <c r="AQ238" i="202"/>
  <c r="AQ239" i="202"/>
  <c r="AQ240" i="202"/>
  <c r="AQ241" i="202"/>
  <c r="AQ242" i="202"/>
  <c r="AQ243" i="202"/>
  <c r="AQ244" i="202"/>
  <c r="AQ245" i="202"/>
  <c r="AQ246" i="202"/>
  <c r="AQ247" i="202"/>
  <c r="AQ248" i="202"/>
  <c r="AQ249" i="202"/>
  <c r="AQ250" i="202"/>
  <c r="AQ251" i="202"/>
  <c r="AQ252" i="202"/>
  <c r="AQ253" i="202"/>
  <c r="AQ254" i="202"/>
  <c r="AQ255" i="202"/>
  <c r="AQ256" i="202"/>
  <c r="AQ257" i="202"/>
  <c r="AQ258" i="202"/>
  <c r="AQ259" i="202"/>
  <c r="AQ260" i="202"/>
  <c r="AQ261" i="202"/>
  <c r="AQ262" i="202"/>
  <c r="AQ263" i="202"/>
  <c r="AQ264" i="202"/>
  <c r="AQ265" i="202"/>
  <c r="AQ266" i="202"/>
  <c r="AQ267" i="202"/>
  <c r="AQ268" i="202"/>
  <c r="AQ269" i="202"/>
  <c r="AQ270" i="202"/>
  <c r="AQ271" i="202"/>
  <c r="AQ272" i="202"/>
  <c r="AQ273" i="202"/>
  <c r="AQ274" i="202"/>
  <c r="AQ275" i="202"/>
  <c r="AQ276" i="202"/>
  <c r="AQ277" i="202"/>
  <c r="AQ278" i="202"/>
  <c r="AQ279" i="202"/>
  <c r="AQ280" i="202"/>
  <c r="AQ281" i="202"/>
  <c r="AQ282" i="202"/>
  <c r="AQ283" i="202"/>
  <c r="AQ284" i="202"/>
  <c r="AQ285" i="202"/>
  <c r="AQ286" i="202"/>
  <c r="AQ287" i="202"/>
  <c r="AQ288" i="202"/>
  <c r="AQ289" i="202"/>
  <c r="AQ290" i="202"/>
  <c r="AQ291" i="202"/>
  <c r="AQ292" i="202"/>
  <c r="AQ293" i="202"/>
  <c r="AQ294" i="202"/>
  <c r="AQ295" i="202"/>
  <c r="AQ296" i="202"/>
  <c r="AQ297" i="202"/>
  <c r="AQ298" i="202"/>
  <c r="AQ299" i="202"/>
  <c r="AQ300" i="202"/>
  <c r="AQ301" i="202"/>
  <c r="AQ302" i="202"/>
  <c r="AQ303" i="202"/>
  <c r="AQ304" i="202"/>
  <c r="AQ305" i="202"/>
  <c r="AQ306" i="202"/>
  <c r="AQ307" i="202"/>
  <c r="AQ308" i="202"/>
  <c r="AQ309" i="202"/>
  <c r="AQ310" i="202"/>
  <c r="AQ311" i="202"/>
  <c r="AQ312" i="202"/>
  <c r="AQ313" i="202"/>
  <c r="AQ314" i="202"/>
  <c r="AQ315" i="202"/>
  <c r="AQ316" i="202"/>
  <c r="AQ317" i="202"/>
  <c r="AQ318" i="202"/>
  <c r="AQ319" i="202"/>
  <c r="AQ320" i="202"/>
  <c r="AQ321" i="202"/>
  <c r="AQ322" i="202"/>
  <c r="AQ323" i="202"/>
  <c r="AQ324" i="202"/>
  <c r="AQ325" i="202"/>
  <c r="AQ326" i="202"/>
  <c r="AQ327" i="202"/>
  <c r="AQ328" i="202"/>
  <c r="AQ329" i="202"/>
  <c r="AQ330" i="202"/>
  <c r="AQ331" i="202"/>
  <c r="AQ332" i="202"/>
  <c r="AQ333" i="202"/>
  <c r="AQ334" i="202"/>
  <c r="AQ335" i="202"/>
  <c r="AQ336" i="202"/>
  <c r="AQ337" i="202"/>
  <c r="AQ338" i="202"/>
  <c r="AQ339" i="202"/>
  <c r="AQ340" i="202"/>
  <c r="AQ341" i="202"/>
  <c r="AQ342" i="202"/>
  <c r="AQ343" i="202"/>
  <c r="AQ344" i="202"/>
  <c r="AQ345" i="202"/>
  <c r="AQ346" i="202"/>
  <c r="AQ347" i="202"/>
  <c r="AQ348" i="202"/>
  <c r="AQ349" i="202"/>
  <c r="AQ350" i="202"/>
  <c r="AQ351" i="202"/>
  <c r="AQ352" i="202"/>
  <c r="AQ353" i="202"/>
  <c r="AQ354" i="202"/>
  <c r="AQ355" i="202"/>
  <c r="AQ356" i="202"/>
  <c r="AQ357" i="202"/>
  <c r="AQ358" i="202"/>
  <c r="AQ359" i="202"/>
  <c r="AQ360" i="202"/>
  <c r="AQ361" i="202"/>
  <c r="AQ362" i="202"/>
  <c r="AQ363" i="202"/>
  <c r="AQ364" i="202"/>
  <c r="AQ365" i="202"/>
  <c r="AQ366" i="202"/>
  <c r="AQ367" i="202"/>
  <c r="AQ368" i="202"/>
  <c r="AQ369" i="202"/>
  <c r="AQ370" i="202"/>
  <c r="AQ371" i="202"/>
  <c r="AQ372" i="202"/>
  <c r="AQ373" i="202"/>
  <c r="AQ374" i="202"/>
  <c r="AQ375" i="202"/>
  <c r="AQ376" i="202"/>
  <c r="AQ377" i="202"/>
  <c r="AQ378" i="202"/>
  <c r="AQ379" i="202"/>
  <c r="AQ380" i="202"/>
  <c r="AQ381" i="202"/>
  <c r="AQ382" i="202"/>
  <c r="AQ383" i="202"/>
  <c r="AQ384" i="202"/>
  <c r="AQ385" i="202"/>
  <c r="AQ386" i="202"/>
  <c r="AQ387" i="202"/>
  <c r="AQ388" i="202"/>
  <c r="AQ389" i="202"/>
  <c r="AQ390" i="202"/>
  <c r="AQ391" i="202"/>
  <c r="AQ392" i="202"/>
  <c r="AQ393" i="202"/>
  <c r="AQ394" i="202"/>
  <c r="AQ395" i="202"/>
  <c r="AQ396" i="202"/>
  <c r="AQ397" i="202"/>
  <c r="AQ398" i="202"/>
  <c r="AQ399" i="202"/>
  <c r="AQ400" i="202"/>
  <c r="AQ401" i="202"/>
  <c r="AQ402" i="202"/>
  <c r="AQ403" i="202"/>
  <c r="AQ404" i="202"/>
  <c r="AQ405" i="202"/>
  <c r="AQ406" i="202"/>
  <c r="AQ407" i="202"/>
  <c r="AQ408" i="202"/>
  <c r="AQ409" i="202"/>
  <c r="AQ410" i="202"/>
  <c r="AQ411" i="202"/>
  <c r="AQ412" i="202"/>
  <c r="AQ413" i="202"/>
  <c r="AQ414" i="202"/>
  <c r="AQ415" i="202"/>
  <c r="AQ416" i="202"/>
  <c r="AQ417" i="202"/>
  <c r="AQ418" i="202"/>
  <c r="AQ419" i="202"/>
  <c r="AQ420" i="202"/>
  <c r="AQ421" i="202"/>
  <c r="AQ422" i="202"/>
  <c r="AQ423" i="202"/>
  <c r="AQ424" i="202"/>
  <c r="AQ425" i="202"/>
  <c r="AQ426" i="202"/>
  <c r="AQ427" i="202"/>
  <c r="AQ428" i="202"/>
  <c r="AQ429" i="202"/>
  <c r="AQ430" i="202"/>
  <c r="AQ431" i="202"/>
  <c r="AQ432" i="202"/>
  <c r="AQ433" i="202"/>
  <c r="AQ434" i="202"/>
  <c r="AQ435" i="202"/>
  <c r="AQ436" i="202"/>
  <c r="AQ437" i="202"/>
  <c r="AQ438" i="202"/>
  <c r="AQ439" i="202"/>
  <c r="AQ440" i="202"/>
  <c r="AQ441" i="202"/>
  <c r="AQ442" i="202"/>
  <c r="AQ443" i="202"/>
  <c r="AQ444" i="202"/>
  <c r="AQ445" i="202"/>
  <c r="AQ446" i="202"/>
  <c r="AQ447" i="202"/>
  <c r="AQ448" i="202"/>
  <c r="AQ449" i="202"/>
  <c r="AQ450" i="202"/>
  <c r="AQ451" i="202"/>
  <c r="AQ452" i="202"/>
  <c r="AQ453" i="202"/>
  <c r="AQ454" i="202"/>
  <c r="AQ455" i="202"/>
  <c r="AQ456" i="202"/>
  <c r="AQ457" i="202"/>
  <c r="AQ458" i="202"/>
  <c r="AQ459" i="202"/>
  <c r="AQ460" i="202"/>
  <c r="AQ461" i="202"/>
  <c r="AQ462" i="202"/>
  <c r="AQ463" i="202"/>
  <c r="AQ464" i="202"/>
  <c r="AQ465" i="202"/>
  <c r="AQ466" i="202"/>
  <c r="AQ467" i="202"/>
  <c r="AQ468" i="202"/>
  <c r="AQ469" i="202"/>
  <c r="AQ470" i="202"/>
  <c r="AQ471" i="202"/>
  <c r="AQ472" i="202"/>
  <c r="AQ473" i="202"/>
  <c r="AQ474" i="202"/>
  <c r="AQ475" i="202"/>
  <c r="AQ476" i="202"/>
  <c r="AQ477" i="202"/>
  <c r="AQ478" i="202"/>
  <c r="AQ479" i="202"/>
  <c r="AQ480" i="202"/>
  <c r="AQ481" i="202"/>
  <c r="AQ482" i="202"/>
  <c r="AQ483" i="202"/>
  <c r="AQ484" i="202"/>
  <c r="AQ485" i="202"/>
  <c r="AQ486" i="202"/>
  <c r="AQ487" i="202"/>
  <c r="AQ488" i="202"/>
  <c r="AQ489" i="202"/>
  <c r="AQ490" i="202"/>
  <c r="AQ491" i="202"/>
  <c r="AQ492" i="202"/>
  <c r="AQ493" i="202"/>
  <c r="AQ494" i="202"/>
  <c r="AQ495" i="202"/>
  <c r="AQ496" i="202"/>
  <c r="AQ497" i="202"/>
  <c r="AQ498" i="202"/>
  <c r="AQ499" i="202"/>
  <c r="AQ500" i="202"/>
  <c r="AQ501" i="202"/>
  <c r="AQ502" i="202"/>
  <c r="AQ503" i="202"/>
  <c r="AQ504" i="202"/>
  <c r="AQ505" i="202"/>
  <c r="AQ506" i="202"/>
  <c r="AQ507" i="202"/>
  <c r="AQ508" i="202"/>
  <c r="AQ509" i="202"/>
  <c r="AQ510" i="202"/>
  <c r="AQ511" i="202"/>
  <c r="AQ512" i="202"/>
  <c r="AQ513" i="202"/>
  <c r="AQ514" i="202"/>
  <c r="AQ515" i="202"/>
  <c r="AQ516" i="202"/>
  <c r="AQ517" i="202"/>
  <c r="AQ518" i="202"/>
  <c r="AQ519" i="202"/>
  <c r="AQ520" i="202"/>
  <c r="AQ521" i="202"/>
  <c r="AQ522" i="202"/>
  <c r="AQ523" i="202"/>
  <c r="AQ524" i="202"/>
  <c r="AQ525" i="202"/>
  <c r="AQ526" i="202"/>
  <c r="AQ527" i="202"/>
  <c r="AQ528" i="202"/>
  <c r="AQ529" i="202"/>
  <c r="AQ530" i="202"/>
  <c r="AQ531" i="202"/>
  <c r="AQ532" i="202"/>
  <c r="AQ533" i="202"/>
  <c r="AQ534" i="202"/>
  <c r="AQ535" i="202"/>
  <c r="AQ536" i="202"/>
  <c r="AQ537" i="202"/>
  <c r="AQ538" i="202"/>
  <c r="AQ539" i="202"/>
  <c r="AQ540" i="202"/>
  <c r="AQ541" i="202"/>
  <c r="AQ542" i="202"/>
  <c r="AQ543" i="202"/>
  <c r="AQ544" i="202"/>
  <c r="AQ545" i="202"/>
  <c r="AQ546" i="202"/>
  <c r="AQ547" i="202"/>
  <c r="AQ548" i="202"/>
  <c r="AQ549" i="202"/>
  <c r="AQ550" i="202"/>
  <c r="AQ551" i="202"/>
  <c r="AQ552" i="202"/>
  <c r="AQ553" i="202"/>
  <c r="AQ554" i="202"/>
  <c r="AQ555" i="202"/>
  <c r="AQ556" i="202"/>
  <c r="AQ557" i="202"/>
  <c r="AQ558" i="202"/>
  <c r="AQ559" i="202"/>
  <c r="AQ560" i="202"/>
  <c r="AQ561" i="202"/>
  <c r="AQ562" i="202"/>
  <c r="AQ563" i="202"/>
  <c r="AQ564" i="202"/>
  <c r="AQ565" i="202"/>
  <c r="AQ566" i="202"/>
  <c r="AQ567" i="202"/>
  <c r="AQ568" i="202"/>
  <c r="AQ569" i="202"/>
  <c r="AQ570" i="202"/>
  <c r="AQ571" i="202"/>
  <c r="AQ572" i="202"/>
  <c r="AQ573" i="202"/>
  <c r="AQ574" i="202"/>
  <c r="AQ575" i="202"/>
  <c r="AQ576" i="202"/>
  <c r="AQ577" i="202"/>
  <c r="AQ578" i="202"/>
  <c r="AQ579" i="202"/>
  <c r="AQ580" i="202"/>
  <c r="AQ581" i="202"/>
  <c r="AQ582" i="202"/>
  <c r="AQ583" i="202"/>
  <c r="AQ584" i="202"/>
  <c r="AQ585" i="202"/>
  <c r="AQ586" i="202"/>
  <c r="AQ587" i="202"/>
  <c r="AQ588" i="202"/>
  <c r="AQ589" i="202"/>
  <c r="AQ590" i="202"/>
  <c r="AQ591" i="202"/>
  <c r="AQ592" i="202"/>
  <c r="AQ593" i="202"/>
  <c r="AQ594" i="202"/>
  <c r="AQ595" i="202"/>
  <c r="AQ596" i="202"/>
  <c r="AQ597" i="202"/>
  <c r="AQ598" i="202"/>
  <c r="AQ599" i="202"/>
  <c r="AQ600" i="202"/>
  <c r="AQ601" i="202"/>
  <c r="AQ602" i="202"/>
  <c r="AQ603" i="202"/>
  <c r="AQ604" i="202"/>
  <c r="AQ605" i="202"/>
  <c r="AQ606" i="202"/>
  <c r="AQ607" i="202"/>
  <c r="AQ608" i="202"/>
  <c r="AQ609" i="202"/>
  <c r="AQ610" i="202"/>
  <c r="AQ611" i="202"/>
  <c r="AQ612" i="202"/>
  <c r="AQ613" i="202"/>
  <c r="AQ614" i="202"/>
  <c r="AQ615" i="202"/>
  <c r="AQ616" i="202"/>
  <c r="AQ617" i="202"/>
  <c r="AQ618" i="202"/>
  <c r="AQ619" i="202"/>
  <c r="AQ620" i="202"/>
  <c r="AQ621" i="202"/>
  <c r="AQ622" i="202"/>
  <c r="AQ623" i="202"/>
  <c r="AQ624" i="202"/>
  <c r="AQ625" i="202"/>
  <c r="AQ626" i="202"/>
  <c r="AQ627" i="202"/>
  <c r="AQ628" i="202"/>
  <c r="AQ629" i="202"/>
  <c r="AQ630" i="202"/>
  <c r="AQ631" i="202"/>
  <c r="AQ632" i="202"/>
  <c r="AQ633" i="202"/>
  <c r="AQ634" i="202"/>
  <c r="AQ635" i="202"/>
  <c r="AQ636" i="202"/>
  <c r="AQ637" i="202"/>
  <c r="AQ638" i="202"/>
  <c r="AQ639" i="202"/>
  <c r="AQ640" i="202"/>
  <c r="AQ641" i="202"/>
  <c r="AQ642" i="202"/>
  <c r="AQ643" i="202"/>
  <c r="AQ644" i="202"/>
  <c r="AQ645" i="202"/>
  <c r="AQ646" i="202"/>
  <c r="AQ647" i="202"/>
  <c r="AQ648" i="202"/>
  <c r="AQ649" i="202"/>
  <c r="AQ650" i="202"/>
  <c r="AQ651" i="202"/>
  <c r="AQ652" i="202"/>
  <c r="AQ653" i="202"/>
  <c r="AQ654" i="202"/>
  <c r="AQ655" i="202"/>
  <c r="AQ656" i="202"/>
  <c r="AQ657" i="202"/>
  <c r="AQ658" i="202"/>
  <c r="AQ659" i="202"/>
  <c r="AQ660" i="202"/>
  <c r="AQ661" i="202"/>
  <c r="AQ662" i="202"/>
  <c r="AQ663" i="202"/>
  <c r="AQ664" i="202"/>
  <c r="AQ665" i="202"/>
  <c r="AQ666" i="202"/>
  <c r="AQ667" i="202"/>
  <c r="AQ668" i="202"/>
  <c r="AQ669" i="202"/>
  <c r="AQ670" i="202"/>
  <c r="AQ671" i="202"/>
  <c r="AQ672" i="202"/>
  <c r="AQ673" i="202"/>
  <c r="AQ674" i="202"/>
  <c r="AQ675" i="202"/>
  <c r="AQ676" i="202"/>
  <c r="AQ677" i="202"/>
  <c r="AQ678" i="202"/>
  <c r="AQ679" i="202"/>
  <c r="AQ680" i="202"/>
  <c r="AQ681" i="202"/>
  <c r="AQ682" i="202"/>
  <c r="AQ683" i="202"/>
  <c r="AQ684" i="202"/>
  <c r="AQ685" i="202"/>
  <c r="AQ686" i="202"/>
  <c r="AQ687" i="202"/>
  <c r="AQ688" i="202"/>
  <c r="AQ689" i="202"/>
  <c r="AQ690" i="202"/>
  <c r="AQ691" i="202"/>
  <c r="AQ692" i="202"/>
  <c r="AQ693" i="202"/>
  <c r="AQ694" i="202"/>
  <c r="AQ695" i="202"/>
  <c r="AQ696" i="202"/>
  <c r="AQ697" i="202"/>
  <c r="AQ698" i="202"/>
  <c r="AQ699" i="202"/>
  <c r="AQ700" i="202"/>
  <c r="AQ701" i="202"/>
  <c r="AQ702" i="202"/>
  <c r="AQ703" i="202"/>
  <c r="AQ704" i="202"/>
  <c r="AQ705" i="202"/>
  <c r="AQ706" i="202"/>
  <c r="AQ707" i="202"/>
  <c r="AQ708" i="202"/>
  <c r="AQ709" i="202"/>
  <c r="AQ710" i="202"/>
  <c r="AQ711" i="202"/>
  <c r="AQ712" i="202"/>
  <c r="AQ713" i="202"/>
  <c r="AQ714" i="202"/>
  <c r="AQ715" i="202"/>
  <c r="AQ716" i="202"/>
  <c r="AQ717" i="202"/>
  <c r="AQ718" i="202"/>
  <c r="AQ719" i="202"/>
  <c r="AQ720" i="202"/>
  <c r="AQ721" i="202"/>
  <c r="AQ722" i="202"/>
  <c r="AQ723" i="202"/>
  <c r="AQ724" i="202"/>
  <c r="AQ725" i="202"/>
  <c r="AQ726" i="202"/>
  <c r="AQ727" i="202"/>
  <c r="AQ728" i="202"/>
  <c r="AQ729" i="202"/>
  <c r="AQ730" i="202"/>
  <c r="AQ731" i="202"/>
  <c r="AQ732" i="202"/>
  <c r="AQ733" i="202"/>
  <c r="AQ734" i="202"/>
  <c r="AQ735" i="202"/>
  <c r="AQ736" i="202"/>
  <c r="AQ737" i="202"/>
  <c r="AQ738" i="202"/>
  <c r="AQ739" i="202"/>
  <c r="AQ740" i="202"/>
  <c r="AQ741" i="202"/>
  <c r="AQ742" i="202"/>
  <c r="AQ743" i="202"/>
  <c r="AQ744" i="202"/>
  <c r="AQ745" i="202"/>
  <c r="AQ746" i="202"/>
  <c r="AQ747" i="202"/>
  <c r="AQ748" i="202"/>
  <c r="AQ749" i="202"/>
  <c r="AQ750" i="202"/>
  <c r="AQ751" i="202"/>
  <c r="AQ752" i="202"/>
  <c r="AQ753" i="202"/>
  <c r="AQ754" i="202"/>
  <c r="AQ755" i="202"/>
  <c r="AQ756" i="202"/>
  <c r="AQ757" i="202"/>
  <c r="AQ758" i="202"/>
  <c r="AQ759" i="202"/>
  <c r="AQ760" i="202"/>
  <c r="AQ761" i="202"/>
  <c r="AQ762" i="202"/>
  <c r="AQ763" i="202"/>
  <c r="AQ764" i="202"/>
  <c r="AQ765" i="202"/>
  <c r="AQ766" i="202"/>
  <c r="AQ767" i="202"/>
  <c r="AQ768" i="202"/>
  <c r="AQ769" i="202"/>
  <c r="AQ770" i="202"/>
  <c r="AQ771" i="202"/>
  <c r="AQ772" i="202"/>
  <c r="AQ773" i="202"/>
  <c r="AQ774" i="202"/>
  <c r="AQ775" i="202"/>
  <c r="AQ776" i="202"/>
  <c r="AQ777" i="202"/>
  <c r="AQ778" i="202"/>
  <c r="AQ779" i="202"/>
  <c r="AQ780" i="202"/>
  <c r="AQ781" i="202"/>
  <c r="AQ782" i="202"/>
  <c r="AQ783" i="202"/>
  <c r="AQ784" i="202"/>
  <c r="AQ785" i="202"/>
  <c r="AQ786" i="202"/>
  <c r="AQ787" i="202"/>
  <c r="AQ788" i="202"/>
  <c r="AQ789" i="202"/>
  <c r="AQ790" i="202"/>
  <c r="AQ791" i="202"/>
  <c r="AQ792" i="202"/>
  <c r="AQ793" i="202"/>
  <c r="AQ794" i="202"/>
  <c r="AQ795" i="202"/>
  <c r="AQ796" i="202"/>
  <c r="AQ797" i="202"/>
  <c r="AQ798" i="202"/>
  <c r="AQ799" i="202"/>
  <c r="AQ800" i="202"/>
  <c r="AQ801" i="202"/>
  <c r="AQ802" i="202"/>
  <c r="AQ803" i="202"/>
  <c r="AQ804" i="202"/>
  <c r="AQ805" i="202"/>
  <c r="AQ806" i="202"/>
  <c r="AQ807" i="202"/>
  <c r="AQ808" i="202"/>
  <c r="AQ809" i="202"/>
  <c r="AQ810" i="202"/>
  <c r="AQ811" i="202"/>
  <c r="AQ812" i="202"/>
  <c r="AQ813" i="202"/>
  <c r="AQ814" i="202"/>
  <c r="AQ815" i="202"/>
  <c r="AQ816" i="202"/>
  <c r="AQ817" i="202"/>
  <c r="AQ818" i="202"/>
  <c r="AQ819" i="202"/>
  <c r="AQ820" i="202"/>
  <c r="AQ821" i="202"/>
  <c r="AQ822" i="202"/>
  <c r="AQ823" i="202"/>
  <c r="AQ824" i="202"/>
  <c r="AQ825" i="202"/>
  <c r="AQ826" i="202"/>
  <c r="AQ827" i="202"/>
  <c r="AQ828" i="202"/>
  <c r="AQ829" i="202"/>
  <c r="AQ830" i="202"/>
  <c r="AQ831" i="202"/>
  <c r="AQ832" i="202"/>
  <c r="AQ833" i="202"/>
  <c r="AQ834" i="202"/>
  <c r="AQ835" i="202"/>
  <c r="AQ836" i="202"/>
  <c r="AQ837" i="202"/>
  <c r="AQ838" i="202"/>
  <c r="AQ839" i="202"/>
  <c r="AQ840" i="202"/>
  <c r="AQ841" i="202"/>
  <c r="AQ842" i="202"/>
  <c r="AQ843" i="202"/>
  <c r="AQ844" i="202"/>
  <c r="AQ845" i="202"/>
  <c r="AQ846" i="202"/>
  <c r="AQ847" i="202"/>
  <c r="AQ848" i="202"/>
  <c r="AQ849" i="202"/>
  <c r="AQ850" i="202"/>
  <c r="AQ851" i="202"/>
  <c r="AQ852" i="202"/>
  <c r="AQ853" i="202"/>
  <c r="AQ854" i="202"/>
  <c r="AQ855" i="202"/>
  <c r="AQ856" i="202"/>
  <c r="AQ857" i="202"/>
  <c r="AQ858" i="202"/>
  <c r="AQ859" i="202"/>
  <c r="AQ860" i="202"/>
  <c r="AQ861" i="202"/>
  <c r="AQ862" i="202"/>
  <c r="AQ863" i="202"/>
  <c r="AQ864" i="202"/>
  <c r="AQ865" i="202"/>
  <c r="AQ866" i="202"/>
  <c r="AQ867" i="202"/>
  <c r="AQ868" i="202"/>
  <c r="AQ869" i="202"/>
  <c r="AQ870" i="202"/>
  <c r="AQ871" i="202"/>
  <c r="AQ872" i="202"/>
  <c r="AQ873" i="202"/>
  <c r="AQ874" i="202"/>
  <c r="AQ875" i="202"/>
  <c r="AQ876" i="202"/>
  <c r="AQ877" i="202"/>
  <c r="AQ878" i="202"/>
  <c r="AQ879" i="202"/>
  <c r="AQ880" i="202"/>
  <c r="AQ881" i="202"/>
  <c r="AQ882" i="202"/>
  <c r="AQ883" i="202"/>
  <c r="AQ884" i="202"/>
  <c r="AQ885" i="202"/>
  <c r="AQ886" i="202"/>
  <c r="AQ887" i="202"/>
  <c r="AQ888" i="202"/>
  <c r="AQ889" i="202"/>
  <c r="AQ890" i="202"/>
  <c r="AQ891" i="202"/>
  <c r="AQ892" i="202"/>
  <c r="AQ893" i="202"/>
  <c r="AQ894" i="202"/>
  <c r="AQ895" i="202"/>
  <c r="AQ896" i="202"/>
  <c r="AQ897" i="202"/>
  <c r="AQ898" i="202"/>
  <c r="AQ899" i="202"/>
  <c r="AQ900" i="202"/>
  <c r="AQ901" i="202"/>
  <c r="AQ902" i="202"/>
  <c r="AQ903" i="202"/>
  <c r="AQ904" i="202"/>
  <c r="AQ905" i="202"/>
  <c r="AQ906" i="202"/>
  <c r="AQ907" i="202"/>
  <c r="AQ908" i="202"/>
  <c r="AQ909" i="202"/>
  <c r="AQ910" i="202"/>
  <c r="AQ911" i="202"/>
  <c r="AQ912" i="202"/>
  <c r="AQ913" i="202"/>
  <c r="AQ914" i="202"/>
  <c r="AQ915" i="202"/>
  <c r="AQ916" i="202"/>
  <c r="AQ917" i="202"/>
  <c r="AQ918" i="202"/>
  <c r="AQ919" i="202"/>
  <c r="AQ920" i="202"/>
  <c r="AQ921" i="202"/>
  <c r="AQ922" i="202"/>
  <c r="AQ923" i="202"/>
  <c r="AQ924" i="202"/>
  <c r="AQ925" i="202"/>
  <c r="AQ926" i="202"/>
  <c r="AQ927" i="202"/>
  <c r="AQ928" i="202"/>
  <c r="AQ929" i="202"/>
  <c r="AQ930" i="202"/>
  <c r="AQ931" i="202"/>
  <c r="AQ932" i="202"/>
  <c r="AQ933" i="202"/>
  <c r="AQ934" i="202"/>
  <c r="AQ935" i="202"/>
  <c r="AQ936" i="202"/>
  <c r="AQ937" i="202"/>
  <c r="AQ938" i="202"/>
  <c r="AQ939" i="202"/>
  <c r="AQ940" i="202"/>
  <c r="AQ941" i="202"/>
  <c r="AQ942" i="202"/>
  <c r="AQ943" i="202"/>
  <c r="AQ944" i="202"/>
  <c r="AQ945" i="202"/>
  <c r="AQ946" i="202"/>
  <c r="AQ947" i="202"/>
  <c r="AQ948" i="202"/>
  <c r="AQ949" i="202"/>
  <c r="AQ950" i="202"/>
  <c r="AQ951" i="202"/>
  <c r="AQ952" i="202"/>
  <c r="AQ953" i="202"/>
  <c r="AQ954" i="202"/>
  <c r="AQ955" i="202"/>
  <c r="AQ956" i="202"/>
  <c r="AQ957" i="202"/>
  <c r="AQ958" i="202"/>
  <c r="AQ959" i="202"/>
  <c r="AQ960" i="202"/>
  <c r="AQ961" i="202"/>
  <c r="AQ962" i="202"/>
  <c r="AQ963" i="202"/>
  <c r="AQ964" i="202"/>
  <c r="AQ965" i="202"/>
  <c r="AQ966" i="202"/>
  <c r="AQ967" i="202"/>
  <c r="AQ968" i="202"/>
  <c r="AQ969" i="202"/>
  <c r="AQ970" i="202"/>
  <c r="AQ971" i="202"/>
  <c r="AQ972" i="202"/>
  <c r="AQ973" i="202"/>
  <c r="AQ974" i="202"/>
  <c r="AQ975" i="202"/>
  <c r="AQ976" i="202"/>
  <c r="AQ977" i="202"/>
  <c r="AQ978" i="202"/>
  <c r="AQ979" i="202"/>
  <c r="AQ980" i="202"/>
  <c r="AQ981" i="202"/>
  <c r="AQ982" i="202"/>
  <c r="AQ983" i="202"/>
  <c r="AQ984" i="202"/>
  <c r="AQ985" i="202"/>
  <c r="AQ986" i="202"/>
  <c r="AQ987" i="202"/>
  <c r="AQ988" i="202"/>
  <c r="AQ989" i="202"/>
  <c r="AQ990" i="202"/>
  <c r="AQ991" i="202"/>
  <c r="AQ992" i="202"/>
  <c r="AQ993" i="202"/>
  <c r="AQ994" i="202"/>
  <c r="AQ995" i="202"/>
  <c r="AQ996" i="202"/>
  <c r="AQ997" i="202"/>
  <c r="AQ998" i="202"/>
  <c r="AQ999" i="202"/>
  <c r="AQ1000" i="202"/>
  <c r="AQ1001" i="202"/>
  <c r="AQ1002" i="202"/>
  <c r="AQ1003" i="202"/>
  <c r="AQ1004" i="202"/>
  <c r="AQ1005" i="202"/>
  <c r="AQ1006" i="202"/>
  <c r="AQ1007" i="202"/>
  <c r="AQ1008" i="202"/>
  <c r="AQ1009" i="202"/>
  <c r="AQ1010" i="202"/>
  <c r="AQ1011" i="202"/>
  <c r="AQ1012" i="202"/>
  <c r="AQ1013" i="202"/>
  <c r="AQ1014" i="202"/>
  <c r="AQ1015" i="202"/>
  <c r="AQ1016" i="202"/>
  <c r="AQ1017" i="202"/>
  <c r="AQ1018" i="202"/>
  <c r="AQ1019" i="202"/>
  <c r="AQ1020" i="202"/>
  <c r="AQ1021" i="202"/>
  <c r="AQ1022" i="202"/>
  <c r="AQ1023" i="202"/>
  <c r="AQ1024" i="202"/>
  <c r="AQ1025" i="202"/>
  <c r="AQ1026" i="202"/>
  <c r="AQ1027" i="202"/>
  <c r="AQ1028" i="202"/>
  <c r="AQ1029" i="202"/>
  <c r="AQ1030" i="202"/>
  <c r="AQ1031" i="202"/>
  <c r="AQ1032" i="202"/>
  <c r="AQ1033" i="202"/>
  <c r="AQ1034" i="202"/>
  <c r="AQ1035" i="202"/>
  <c r="AQ1036" i="202"/>
  <c r="AQ1037" i="202"/>
  <c r="AQ1038" i="202"/>
  <c r="AQ1039" i="202"/>
  <c r="AQ1040" i="202"/>
  <c r="AQ1041" i="202"/>
  <c r="AQ1042" i="202"/>
  <c r="AQ1043" i="202"/>
  <c r="AQ1044" i="202"/>
  <c r="AQ1045" i="202"/>
  <c r="AQ1046" i="202"/>
  <c r="AQ1047" i="202"/>
  <c r="AQ1048" i="202"/>
  <c r="AQ1049" i="202"/>
  <c r="AQ1050" i="202"/>
  <c r="AQ1051" i="202"/>
  <c r="AQ1052" i="202"/>
  <c r="AQ1053" i="202"/>
  <c r="AQ1054" i="202"/>
  <c r="AQ1055" i="202"/>
  <c r="AQ1056" i="202"/>
  <c r="AQ1057" i="202"/>
  <c r="AQ1058" i="202"/>
  <c r="AQ1059" i="202"/>
  <c r="AQ1060" i="202"/>
  <c r="AQ1061" i="202"/>
  <c r="AQ1062" i="202"/>
  <c r="AQ1063" i="202"/>
  <c r="AQ1064" i="202"/>
  <c r="AQ1065" i="202"/>
  <c r="AQ1066" i="202"/>
  <c r="AQ1067" i="202"/>
  <c r="AQ1068" i="202"/>
  <c r="AQ1069" i="202"/>
  <c r="AQ1070" i="202"/>
  <c r="AQ1071" i="202"/>
  <c r="AQ1072" i="202"/>
  <c r="AQ1073" i="202"/>
  <c r="AQ1074" i="202"/>
  <c r="AQ1075" i="202"/>
  <c r="AQ1076" i="202"/>
  <c r="AQ1077" i="202"/>
  <c r="AQ1078" i="202"/>
  <c r="AQ1079" i="202"/>
  <c r="AQ1080" i="202"/>
  <c r="AQ1081" i="202"/>
  <c r="AQ1082" i="202"/>
  <c r="AQ1083" i="202"/>
  <c r="AQ1084" i="202"/>
  <c r="AQ1085" i="202"/>
  <c r="AQ1086" i="202"/>
  <c r="AQ1087" i="202"/>
  <c r="AQ1088" i="202"/>
  <c r="AQ1089" i="202"/>
  <c r="AQ1090" i="202"/>
  <c r="AQ1091" i="202"/>
  <c r="AQ1092" i="202"/>
  <c r="AQ1093" i="202"/>
  <c r="AQ1094" i="202"/>
  <c r="AQ1095" i="202"/>
  <c r="AQ1096" i="202"/>
  <c r="AQ1097" i="202"/>
  <c r="AQ1098" i="202"/>
  <c r="AQ1099" i="202"/>
  <c r="AQ1100" i="202"/>
  <c r="AQ1101" i="202"/>
  <c r="AQ1102" i="202"/>
  <c r="AQ1103" i="202"/>
  <c r="AQ1104" i="202"/>
  <c r="AQ1105" i="202"/>
  <c r="AQ1106" i="202"/>
  <c r="AQ1107" i="202"/>
  <c r="AQ1108" i="202"/>
  <c r="AQ1109" i="202"/>
  <c r="AQ1110" i="202"/>
  <c r="AQ1111" i="202"/>
  <c r="AQ1112" i="202"/>
  <c r="AQ1113" i="202"/>
  <c r="AQ1114" i="202"/>
  <c r="AQ1115" i="202"/>
  <c r="AQ1116" i="202"/>
  <c r="AQ1117" i="202"/>
  <c r="AQ1118" i="202"/>
  <c r="AQ1119" i="202"/>
  <c r="AQ1120" i="202"/>
  <c r="AQ1121" i="202"/>
  <c r="AQ1122" i="202"/>
  <c r="AQ1123" i="202"/>
  <c r="AQ1124" i="202"/>
  <c r="AQ1125" i="202"/>
  <c r="AQ1126" i="202"/>
  <c r="AQ1127" i="202"/>
  <c r="AQ1128" i="202"/>
  <c r="AQ1129" i="202"/>
  <c r="AQ1130" i="202"/>
  <c r="AQ1131" i="202"/>
  <c r="AQ1132" i="202"/>
  <c r="AQ1133" i="202"/>
  <c r="AQ1134" i="202"/>
  <c r="AQ1135" i="202"/>
  <c r="AQ1136" i="202"/>
  <c r="AQ1137" i="202"/>
  <c r="AQ1138" i="202"/>
  <c r="AQ1139" i="202"/>
  <c r="AQ1140" i="202"/>
  <c r="AQ1141" i="202"/>
  <c r="AQ1142" i="202"/>
  <c r="AQ1143" i="202"/>
  <c r="AQ1144" i="202"/>
  <c r="AQ1145" i="202"/>
  <c r="AQ1146" i="202"/>
  <c r="AQ1147" i="202"/>
  <c r="AQ1148" i="202"/>
  <c r="AQ1149" i="202"/>
  <c r="AQ1150" i="202"/>
  <c r="AQ1151" i="202"/>
  <c r="AQ1152" i="202"/>
  <c r="AQ1153" i="202"/>
  <c r="AQ1154" i="202"/>
  <c r="AQ1155" i="202"/>
  <c r="AQ1156" i="202"/>
  <c r="AQ1157" i="202"/>
  <c r="AQ1158" i="202"/>
  <c r="AQ1159" i="202"/>
  <c r="AQ1160" i="202"/>
  <c r="AQ1161" i="202"/>
  <c r="AQ1162" i="202"/>
  <c r="AQ1163" i="202"/>
  <c r="AQ1164" i="202"/>
  <c r="AQ1165" i="202"/>
  <c r="AQ1166" i="202"/>
  <c r="AQ1167" i="202"/>
  <c r="AQ1168" i="202"/>
  <c r="AQ1169" i="202"/>
  <c r="AQ1170" i="202"/>
  <c r="AQ1171" i="202"/>
  <c r="AQ1172" i="202"/>
  <c r="AQ1173" i="202"/>
  <c r="AQ1174" i="202"/>
  <c r="AQ1175" i="202"/>
  <c r="AQ1176" i="202"/>
  <c r="AQ1177" i="202"/>
  <c r="AQ1178" i="202"/>
  <c r="AQ1179" i="202"/>
  <c r="AQ1180" i="202"/>
  <c r="AQ1181" i="202"/>
  <c r="AQ1182" i="202"/>
  <c r="AQ1183" i="202"/>
  <c r="AQ1184" i="202"/>
  <c r="AQ1185" i="202"/>
  <c r="AQ1186" i="202"/>
  <c r="AQ1187" i="202"/>
  <c r="AQ1188" i="202"/>
  <c r="AQ1189" i="202"/>
  <c r="AQ1190" i="202"/>
  <c r="AQ1191" i="202"/>
  <c r="AQ1192" i="202"/>
  <c r="AQ1193" i="202"/>
  <c r="AQ1194" i="202"/>
  <c r="AQ1195" i="202"/>
  <c r="AQ1196" i="202"/>
  <c r="AQ1197" i="202"/>
  <c r="AQ1198" i="202"/>
  <c r="AQ1199" i="202"/>
  <c r="AQ1200" i="202"/>
  <c r="AQ1201" i="202"/>
  <c r="AQ1202" i="202"/>
  <c r="AQ1203" i="202"/>
  <c r="AQ1204" i="202"/>
  <c r="AQ1205" i="202"/>
  <c r="AQ1206" i="202"/>
  <c r="AQ1207" i="202"/>
  <c r="AQ1208" i="202"/>
  <c r="AQ1209" i="202"/>
  <c r="AQ1210" i="202"/>
  <c r="AQ1211" i="202"/>
  <c r="AQ1212" i="202"/>
  <c r="AQ1213" i="202"/>
  <c r="AQ1214" i="202"/>
  <c r="AQ1215" i="202"/>
  <c r="AQ1216" i="202"/>
  <c r="AQ1217" i="202"/>
  <c r="AQ1218" i="202"/>
  <c r="AQ1219" i="202"/>
  <c r="AQ1220" i="202"/>
  <c r="AQ1221" i="202"/>
  <c r="AQ1222" i="202"/>
  <c r="AQ1223" i="202"/>
  <c r="AQ1224" i="202"/>
  <c r="AQ1225" i="202"/>
  <c r="AQ1226" i="202"/>
  <c r="AQ1227" i="202"/>
  <c r="AQ1228" i="202"/>
  <c r="AQ1229" i="202"/>
  <c r="AQ1230" i="202"/>
  <c r="AQ1231" i="202"/>
  <c r="AQ1232" i="202"/>
  <c r="AQ1233" i="202"/>
  <c r="AQ1234" i="202"/>
  <c r="AQ1235" i="202"/>
  <c r="AQ1236" i="202"/>
  <c r="AQ1237" i="202"/>
  <c r="AQ1238" i="202"/>
  <c r="AQ1239" i="202"/>
  <c r="AQ1240" i="202"/>
  <c r="AQ1241" i="202"/>
  <c r="AQ1242" i="202"/>
  <c r="AQ1243" i="202"/>
  <c r="AQ1244" i="202"/>
  <c r="AQ1245" i="202"/>
  <c r="AQ1246" i="202"/>
  <c r="AQ1247" i="202"/>
  <c r="AQ1248" i="202"/>
  <c r="AQ1249" i="202"/>
  <c r="AQ1250" i="202"/>
  <c r="AQ1251" i="202"/>
  <c r="AQ1252" i="202"/>
  <c r="AQ1253" i="202"/>
  <c r="AQ1254" i="202"/>
  <c r="AQ1255" i="202"/>
  <c r="AQ1256" i="202"/>
  <c r="AQ1257" i="202"/>
  <c r="AQ1258" i="202"/>
  <c r="AQ1259" i="202"/>
  <c r="AQ1260" i="202"/>
  <c r="AQ1261" i="202"/>
  <c r="AQ1262" i="202"/>
  <c r="AQ1263" i="202"/>
  <c r="AQ1264" i="202"/>
  <c r="AQ1265" i="202"/>
  <c r="AQ1266" i="202"/>
  <c r="AQ1267" i="202"/>
  <c r="AQ1268" i="202"/>
  <c r="AQ1269" i="202"/>
  <c r="AQ1270" i="202"/>
  <c r="AQ1271" i="202"/>
  <c r="AQ1272" i="202"/>
  <c r="AQ1273" i="202"/>
  <c r="AQ1274" i="202"/>
  <c r="AQ1275" i="202"/>
  <c r="AQ1276" i="202"/>
  <c r="AQ1277" i="202"/>
  <c r="AQ1278" i="202"/>
  <c r="AQ1279" i="202"/>
  <c r="AQ1280" i="202"/>
  <c r="AQ1281" i="202"/>
  <c r="AQ1282" i="202"/>
  <c r="AQ1283" i="202"/>
  <c r="AQ1284" i="202"/>
  <c r="AQ1285" i="202"/>
  <c r="AQ1286" i="202"/>
  <c r="AQ1287" i="202"/>
  <c r="AQ1288" i="202"/>
  <c r="AQ1289" i="202"/>
  <c r="AQ1290" i="202"/>
  <c r="AQ1291" i="202"/>
  <c r="AQ1292" i="202"/>
  <c r="AQ1293" i="202"/>
  <c r="AQ1294" i="202"/>
  <c r="AQ1295" i="202"/>
  <c r="AQ1296" i="202"/>
  <c r="AQ1297" i="202"/>
  <c r="AQ1298" i="202"/>
  <c r="AQ1299" i="202"/>
  <c r="AQ1300" i="202"/>
  <c r="AQ1301" i="202"/>
  <c r="AQ1302" i="202"/>
  <c r="AQ1303" i="202"/>
  <c r="AQ1304" i="202"/>
  <c r="AQ1305" i="202"/>
  <c r="AQ1306" i="202"/>
  <c r="AQ1307" i="202"/>
  <c r="AQ1308" i="202"/>
  <c r="AQ1309" i="202"/>
  <c r="AQ1310" i="202"/>
  <c r="AQ1311" i="202"/>
  <c r="AQ1312" i="202"/>
  <c r="AQ1313" i="202"/>
  <c r="AQ1314" i="202"/>
  <c r="AQ1315" i="202"/>
  <c r="AQ1316" i="202"/>
  <c r="AQ1317" i="202"/>
  <c r="AQ1318" i="202"/>
  <c r="AQ1319" i="202"/>
  <c r="AQ1320" i="202"/>
  <c r="AQ1321" i="202"/>
  <c r="AQ1322" i="202"/>
  <c r="AQ1323" i="202"/>
  <c r="AQ1324" i="202"/>
  <c r="AQ1325" i="202"/>
  <c r="AQ1326" i="202"/>
  <c r="AQ1327" i="202"/>
  <c r="AQ1328" i="202"/>
  <c r="AQ1329" i="202"/>
  <c r="AQ1330" i="202"/>
  <c r="AQ1331" i="202"/>
  <c r="AQ1332" i="202"/>
  <c r="AQ1333" i="202"/>
  <c r="AQ1334" i="202"/>
  <c r="AQ1335" i="202"/>
  <c r="AQ1336" i="202"/>
  <c r="AQ1337" i="202"/>
  <c r="AQ1338" i="202"/>
  <c r="AQ1339" i="202"/>
  <c r="AQ1340" i="202"/>
  <c r="AQ1341" i="202"/>
  <c r="AQ1342" i="202"/>
  <c r="AQ1343" i="202"/>
  <c r="AQ1344" i="202"/>
  <c r="AQ1345" i="202"/>
  <c r="AQ1346" i="202"/>
  <c r="AQ1347" i="202"/>
  <c r="AQ1348" i="202"/>
  <c r="AQ1349" i="202"/>
  <c r="AQ1350" i="202"/>
  <c r="AQ1351" i="202"/>
  <c r="AQ1352" i="202"/>
  <c r="AQ1353" i="202"/>
  <c r="AQ1354" i="202"/>
  <c r="AQ1355" i="202"/>
  <c r="AQ1356" i="202"/>
  <c r="AQ1357" i="202"/>
  <c r="AQ1358" i="202"/>
  <c r="AQ1359" i="202"/>
  <c r="AQ1360" i="202"/>
  <c r="AQ1361" i="202"/>
  <c r="AQ1362" i="202"/>
  <c r="AQ1363" i="202"/>
  <c r="AQ1364" i="202"/>
  <c r="AQ1365" i="202"/>
  <c r="AQ1366" i="202"/>
  <c r="AQ1367" i="202"/>
  <c r="AQ1368" i="202"/>
  <c r="AQ1369" i="202"/>
  <c r="AQ1370" i="202"/>
  <c r="AQ1371" i="202"/>
  <c r="AQ1372" i="202"/>
  <c r="AQ1373" i="202"/>
  <c r="AQ1374" i="202"/>
  <c r="AQ1375" i="202"/>
  <c r="AQ1376" i="202"/>
  <c r="AQ1377" i="202"/>
  <c r="AQ1378" i="202"/>
  <c r="AQ1379" i="202"/>
  <c r="AQ1380" i="202"/>
  <c r="AQ1381" i="202"/>
  <c r="AQ1382" i="202"/>
  <c r="AQ1383" i="202"/>
  <c r="AQ1384" i="202"/>
  <c r="AQ1385" i="202"/>
  <c r="AQ1386" i="202"/>
  <c r="AQ1387" i="202"/>
  <c r="AQ1388" i="202"/>
  <c r="AQ1389" i="202"/>
  <c r="AQ1390" i="202"/>
  <c r="AQ1391" i="202"/>
  <c r="AQ1392" i="202"/>
  <c r="AQ1393" i="202"/>
  <c r="AQ1394" i="202"/>
  <c r="AQ1395" i="202"/>
  <c r="AQ1396" i="202"/>
  <c r="AQ1397" i="202"/>
  <c r="AQ1398" i="202"/>
  <c r="AQ1399" i="202"/>
  <c r="AQ1400" i="202"/>
  <c r="AQ1401" i="202"/>
  <c r="AQ1402" i="202"/>
  <c r="AQ1403" i="202"/>
  <c r="AQ1404" i="202"/>
  <c r="AQ1405" i="202"/>
  <c r="AQ1406" i="202"/>
  <c r="AQ1407" i="202"/>
  <c r="AQ1408" i="202"/>
  <c r="AQ1409" i="202"/>
  <c r="AQ1410" i="202"/>
  <c r="AQ1411" i="202"/>
  <c r="AQ1412" i="202"/>
  <c r="AQ1413" i="202"/>
  <c r="AQ1414" i="202"/>
  <c r="AQ1415" i="202"/>
  <c r="AQ1416" i="202"/>
  <c r="AQ1417" i="202"/>
  <c r="AQ1418" i="202"/>
  <c r="AQ1419" i="202"/>
  <c r="AQ1420" i="202"/>
  <c r="AQ1421" i="202"/>
  <c r="AQ1422" i="202"/>
  <c r="AQ1423" i="202"/>
  <c r="AQ1424" i="202"/>
  <c r="AQ1425" i="202"/>
  <c r="AQ1426" i="202"/>
  <c r="AQ1427" i="202"/>
  <c r="AQ1428" i="202"/>
  <c r="AQ1429" i="202"/>
  <c r="AQ1430" i="202"/>
  <c r="AQ1431" i="202"/>
  <c r="AQ1432" i="202"/>
  <c r="AQ1433" i="202"/>
  <c r="AQ1434" i="202"/>
  <c r="AQ1435" i="202"/>
  <c r="AQ1436" i="202"/>
  <c r="AQ1437" i="202"/>
  <c r="AQ1438" i="202"/>
  <c r="AQ1439" i="202"/>
  <c r="AQ1440" i="202"/>
  <c r="AQ1441" i="202"/>
  <c r="AQ1442" i="202"/>
  <c r="AQ1443" i="202"/>
  <c r="AQ1444" i="202"/>
  <c r="AQ1445" i="202"/>
  <c r="AQ1446" i="202"/>
  <c r="AQ1447" i="202"/>
  <c r="AQ1448" i="202"/>
  <c r="AQ1449" i="202"/>
  <c r="AQ1450" i="202"/>
  <c r="AQ1451" i="202"/>
  <c r="AQ1452" i="202"/>
  <c r="AQ1453" i="202"/>
  <c r="AQ1454" i="202"/>
  <c r="AQ1455" i="202"/>
  <c r="AQ1456" i="202"/>
  <c r="AQ1457" i="202"/>
  <c r="AQ1458" i="202"/>
  <c r="AQ1459" i="202"/>
  <c r="AQ1460" i="202"/>
  <c r="AQ1461" i="202"/>
  <c r="AQ1462" i="202"/>
  <c r="AQ1463" i="202"/>
  <c r="AQ1464" i="202"/>
  <c r="AQ1465" i="202"/>
  <c r="AQ1466" i="202"/>
  <c r="AQ1467" i="202"/>
  <c r="AQ1468" i="202"/>
  <c r="AQ1469" i="202"/>
  <c r="AQ1470" i="202"/>
  <c r="AQ1471" i="202"/>
  <c r="AQ1472" i="202"/>
  <c r="AQ1473" i="202"/>
  <c r="AQ1474" i="202"/>
  <c r="AQ1475" i="202"/>
  <c r="AQ1476" i="202"/>
  <c r="AQ1477" i="202"/>
  <c r="AQ1478" i="202"/>
  <c r="AQ1479" i="202"/>
  <c r="AQ1480" i="202"/>
  <c r="AQ1481" i="202"/>
  <c r="AQ1482" i="202"/>
  <c r="AQ1483" i="202"/>
  <c r="AQ1484" i="202"/>
  <c r="AQ1485" i="202"/>
  <c r="AQ1486" i="202"/>
  <c r="AQ1487" i="202"/>
  <c r="AQ1488" i="202"/>
  <c r="AQ1489" i="202"/>
  <c r="AQ1490" i="202"/>
  <c r="AQ1491" i="202"/>
  <c r="AQ1492" i="202"/>
  <c r="AQ1493" i="202"/>
  <c r="AQ1494" i="202"/>
  <c r="AQ1495" i="202"/>
  <c r="AQ1496" i="202"/>
  <c r="AQ1497" i="202"/>
  <c r="AQ1498" i="202"/>
  <c r="AQ1499" i="202"/>
  <c r="AQ1500" i="202"/>
  <c r="AQ1501" i="202"/>
  <c r="AQ1502" i="202"/>
  <c r="AQ1503" i="202"/>
  <c r="AQ1504" i="202"/>
  <c r="AQ1505" i="202"/>
  <c r="AQ1506" i="202"/>
  <c r="AQ1507" i="202"/>
  <c r="AQ1508" i="202"/>
  <c r="AQ1509" i="202"/>
  <c r="AQ1510" i="202"/>
  <c r="AQ1511" i="202"/>
  <c r="AQ1512" i="202"/>
  <c r="AQ1513" i="202"/>
  <c r="AQ1514" i="202"/>
  <c r="AQ1515" i="202"/>
  <c r="AQ1516" i="202"/>
  <c r="AQ1517" i="202"/>
  <c r="AQ1518" i="202"/>
  <c r="AQ1519" i="202"/>
  <c r="AQ1520" i="202"/>
  <c r="AQ1521" i="202"/>
  <c r="AQ1522" i="202"/>
  <c r="AQ1523" i="202"/>
  <c r="AQ1524" i="202"/>
  <c r="AQ1525" i="202"/>
  <c r="AQ1526" i="202"/>
  <c r="AQ1527" i="202"/>
  <c r="AQ1528" i="202"/>
  <c r="AQ1529" i="202"/>
  <c r="AQ1530" i="202"/>
  <c r="AQ1531" i="202"/>
  <c r="AQ1532" i="202"/>
  <c r="AQ1533" i="202"/>
  <c r="AQ1534" i="202"/>
  <c r="AQ1535" i="202"/>
  <c r="AQ1536" i="202"/>
  <c r="AQ1537" i="202"/>
  <c r="AQ1538" i="202"/>
  <c r="AQ1539" i="202"/>
  <c r="AQ1540" i="202"/>
  <c r="AQ1541" i="202"/>
  <c r="AQ1542" i="202"/>
  <c r="AQ1543" i="202"/>
  <c r="AQ1544" i="202"/>
  <c r="AQ1545" i="202"/>
  <c r="AQ1546" i="202"/>
  <c r="AQ1547" i="202"/>
  <c r="AQ1548" i="202"/>
  <c r="AQ1549" i="202"/>
  <c r="AQ1550" i="202"/>
  <c r="AQ1551" i="202"/>
  <c r="AQ1552" i="202"/>
  <c r="AQ1553" i="202"/>
  <c r="AQ1554" i="202"/>
  <c r="AQ1555" i="202"/>
  <c r="AQ1556" i="202"/>
  <c r="AQ1557" i="202"/>
  <c r="AQ1558" i="202"/>
  <c r="AQ1559" i="202"/>
  <c r="AQ1560" i="202"/>
  <c r="AQ1561" i="202"/>
  <c r="AQ1562" i="202"/>
  <c r="AQ1563" i="202"/>
  <c r="AQ1564" i="202"/>
  <c r="AQ1565" i="202"/>
  <c r="AQ1566" i="202"/>
  <c r="AQ1567" i="202"/>
  <c r="AQ1568" i="202"/>
  <c r="AQ1569" i="202"/>
  <c r="AQ1570" i="202"/>
  <c r="AQ1571" i="202"/>
  <c r="AQ1572" i="202"/>
  <c r="AQ1573" i="202"/>
  <c r="AQ1574" i="202"/>
  <c r="AQ1575" i="202"/>
  <c r="AQ1576" i="202"/>
  <c r="AQ1577" i="202"/>
  <c r="AQ1578" i="202"/>
  <c r="AQ1579" i="202"/>
  <c r="AQ1580" i="202"/>
  <c r="AQ1581" i="202"/>
  <c r="AQ1582" i="202"/>
  <c r="AQ1583" i="202"/>
  <c r="AQ1584" i="202"/>
  <c r="AQ1585" i="202"/>
  <c r="AQ1586" i="202"/>
  <c r="AQ1587" i="202"/>
  <c r="AQ1588" i="202"/>
  <c r="AQ1589" i="202"/>
  <c r="AQ1590" i="202"/>
  <c r="AQ1591" i="202"/>
  <c r="AQ1592" i="202"/>
  <c r="AQ1593" i="202"/>
  <c r="AQ1594" i="202"/>
  <c r="AQ1595" i="202"/>
  <c r="AQ1596" i="202"/>
  <c r="AQ1597" i="202"/>
  <c r="AQ1598" i="202"/>
  <c r="AQ1599" i="202"/>
  <c r="AQ1600" i="202"/>
  <c r="AQ1601" i="202"/>
  <c r="AQ1602" i="202"/>
  <c r="AQ1603" i="202"/>
  <c r="AQ1604" i="202"/>
  <c r="AQ1605" i="202"/>
  <c r="AQ1606" i="202"/>
  <c r="AQ1607" i="202"/>
  <c r="AQ1608" i="202"/>
  <c r="AQ1609" i="202"/>
  <c r="AQ1610" i="202"/>
  <c r="AQ1611" i="202"/>
  <c r="AQ1612" i="202"/>
  <c r="AQ1613" i="202"/>
  <c r="AQ1614" i="202"/>
  <c r="AQ1615" i="202"/>
  <c r="AQ1616" i="202"/>
  <c r="AQ1617" i="202"/>
  <c r="AQ1618" i="202"/>
  <c r="AQ1619" i="202"/>
  <c r="AQ1620" i="202"/>
  <c r="AQ1621" i="202"/>
  <c r="AQ1622" i="202"/>
  <c r="AQ1623" i="202"/>
  <c r="AQ1624" i="202"/>
  <c r="AQ1625" i="202"/>
  <c r="AQ1626" i="202"/>
  <c r="AQ1627" i="202"/>
  <c r="AQ1628" i="202"/>
  <c r="AQ1629" i="202"/>
  <c r="AQ1630" i="202"/>
  <c r="AQ1631" i="202"/>
  <c r="AQ1632" i="202"/>
  <c r="AQ1633" i="202"/>
  <c r="AQ1634" i="202"/>
  <c r="AQ1635" i="202"/>
  <c r="AQ1636" i="202"/>
  <c r="AQ1637" i="202"/>
  <c r="AQ1638" i="202"/>
  <c r="AQ1639" i="202"/>
  <c r="AQ1640" i="202"/>
  <c r="AQ1641" i="202"/>
  <c r="AQ1642" i="202"/>
  <c r="AQ1643" i="202"/>
  <c r="AQ1644" i="202"/>
  <c r="AQ1645" i="202"/>
  <c r="AQ1646" i="202"/>
  <c r="AQ1647" i="202"/>
  <c r="AQ1648" i="202"/>
  <c r="AQ1649" i="202"/>
  <c r="AQ1650" i="202"/>
  <c r="AQ1651" i="202"/>
  <c r="AQ1652" i="202"/>
  <c r="AQ1653" i="202"/>
  <c r="AQ1654" i="202"/>
  <c r="AQ1655" i="202"/>
  <c r="AQ1656" i="202"/>
  <c r="AQ1657" i="202"/>
  <c r="AQ1658" i="202"/>
  <c r="AQ1659" i="202"/>
  <c r="AQ1660" i="202"/>
  <c r="AQ1661" i="202"/>
  <c r="AQ1662" i="202"/>
  <c r="AQ1663" i="202"/>
  <c r="AQ1664" i="202"/>
  <c r="AQ1665" i="202"/>
  <c r="AQ1666" i="202"/>
  <c r="AQ1667" i="202"/>
  <c r="AQ1668" i="202"/>
  <c r="AQ1669" i="202"/>
  <c r="AQ1670" i="202"/>
  <c r="AQ1671" i="202"/>
  <c r="AQ1672" i="202"/>
  <c r="AQ1673" i="202"/>
  <c r="AQ1674" i="202"/>
  <c r="AQ1675" i="202"/>
  <c r="AQ1676" i="202"/>
  <c r="AQ1677" i="202"/>
  <c r="AQ1678" i="202"/>
  <c r="AQ1679" i="202"/>
  <c r="AQ1680" i="202"/>
  <c r="AQ1681" i="202"/>
  <c r="AQ1682" i="202"/>
  <c r="AQ1683" i="202"/>
  <c r="AQ1684" i="202"/>
  <c r="AQ1685" i="202"/>
  <c r="AQ1686" i="202"/>
  <c r="AQ1687" i="202"/>
  <c r="AQ1688" i="202"/>
  <c r="AQ1689" i="202"/>
  <c r="AQ1690" i="202"/>
  <c r="AQ1691" i="202"/>
  <c r="AQ1692" i="202"/>
  <c r="AQ1693" i="202"/>
  <c r="AQ1694" i="202"/>
  <c r="AQ1695" i="202"/>
  <c r="AQ1696" i="202"/>
  <c r="AQ1697" i="202"/>
  <c r="AQ1698" i="202"/>
  <c r="AQ1699" i="202"/>
  <c r="AQ1700" i="202"/>
  <c r="AQ1701" i="202"/>
  <c r="AQ1702" i="202"/>
  <c r="AQ1703" i="202"/>
  <c r="AQ1704" i="202"/>
  <c r="AQ1705" i="202"/>
  <c r="AQ1706" i="202"/>
  <c r="AQ1707" i="202"/>
  <c r="AQ1708" i="202"/>
  <c r="AQ1709" i="202"/>
  <c r="AQ1710" i="202"/>
  <c r="AQ1711" i="202"/>
  <c r="AQ1712" i="202"/>
  <c r="AQ1713" i="202"/>
  <c r="AQ1714" i="202"/>
  <c r="AQ1715" i="202"/>
  <c r="AQ1716" i="202"/>
  <c r="AQ1717" i="202"/>
  <c r="AQ1718" i="202"/>
  <c r="AQ1719" i="202"/>
  <c r="AQ1720" i="202"/>
  <c r="AQ1721" i="202"/>
  <c r="AQ1722" i="202"/>
  <c r="AQ1723" i="202"/>
  <c r="AQ1724" i="202"/>
  <c r="AQ1725" i="202"/>
  <c r="AQ1726" i="202"/>
  <c r="AQ1727" i="202"/>
  <c r="AQ1728" i="202"/>
  <c r="AQ1729" i="202"/>
  <c r="AQ1730" i="202"/>
  <c r="AQ1731" i="202"/>
  <c r="AQ1732" i="202"/>
  <c r="AQ1733" i="202"/>
  <c r="AQ1734" i="202"/>
  <c r="AQ1735" i="202"/>
  <c r="AQ1736" i="202"/>
  <c r="AQ1737" i="202"/>
  <c r="AQ1738" i="202"/>
  <c r="AQ1739" i="202"/>
  <c r="AQ1740" i="202"/>
  <c r="AQ1741" i="202"/>
  <c r="AQ1742" i="202"/>
  <c r="AQ1743" i="202"/>
  <c r="AQ1744" i="202"/>
  <c r="AQ1745" i="202"/>
  <c r="AQ1746" i="202"/>
  <c r="AQ1747" i="202"/>
  <c r="AQ1748" i="202"/>
  <c r="AQ1749" i="202"/>
  <c r="AQ1750" i="202"/>
  <c r="AQ1751" i="202"/>
  <c r="AQ1752" i="202"/>
  <c r="AQ1753" i="202"/>
  <c r="AQ1754" i="202"/>
  <c r="AQ1755" i="202"/>
  <c r="AQ1756" i="202"/>
  <c r="AQ1757" i="202"/>
  <c r="AQ1758" i="202"/>
  <c r="AQ1759" i="202"/>
  <c r="AQ1760" i="202"/>
  <c r="AQ1761" i="202"/>
  <c r="AQ1762" i="202"/>
  <c r="AQ1763" i="202"/>
  <c r="AQ1764" i="202"/>
  <c r="AQ1765" i="202"/>
  <c r="AQ1766" i="202"/>
  <c r="AQ1767" i="202"/>
  <c r="AQ1768" i="202"/>
  <c r="AQ1769" i="202"/>
  <c r="AQ1770" i="202"/>
  <c r="AQ1771" i="202"/>
  <c r="AQ1772" i="202"/>
  <c r="AQ1773" i="202"/>
  <c r="AQ1774" i="202"/>
  <c r="AQ1775" i="202"/>
  <c r="AQ1776" i="202"/>
  <c r="AQ1777" i="202"/>
  <c r="AQ1778" i="202"/>
  <c r="AQ1779" i="202"/>
  <c r="AQ1780" i="202"/>
  <c r="AQ1781" i="202"/>
  <c r="AQ1782" i="202"/>
  <c r="AQ1783" i="202"/>
  <c r="AQ1784" i="202"/>
  <c r="AQ1785" i="202"/>
  <c r="AQ1786" i="202"/>
  <c r="AQ1787" i="202"/>
  <c r="AQ1788" i="202"/>
  <c r="AQ1789" i="202"/>
  <c r="AQ1790" i="202"/>
  <c r="AQ1791" i="202"/>
  <c r="AQ1792" i="202"/>
  <c r="AQ1793" i="202"/>
  <c r="AQ1794" i="202"/>
  <c r="AQ1795" i="202"/>
  <c r="AQ1796" i="202"/>
  <c r="AQ1797" i="202"/>
  <c r="AQ1798" i="202"/>
  <c r="AQ1799" i="202"/>
  <c r="AQ1800" i="202"/>
  <c r="AQ1801" i="202"/>
  <c r="AQ1802" i="202"/>
  <c r="AQ1803" i="202"/>
  <c r="AQ1804" i="202"/>
  <c r="AQ1805" i="202"/>
  <c r="AQ1806" i="202"/>
  <c r="AQ1807" i="202"/>
  <c r="AQ1808" i="202"/>
  <c r="AQ1809" i="202"/>
  <c r="AQ1810" i="202"/>
  <c r="AQ1811" i="202"/>
  <c r="AQ1812" i="202"/>
  <c r="AQ1813" i="202"/>
  <c r="AQ1814" i="202"/>
  <c r="AQ1815" i="202"/>
  <c r="AQ1816" i="202"/>
  <c r="AQ1817" i="202"/>
  <c r="AQ1818" i="202"/>
  <c r="AQ1819" i="202"/>
  <c r="AQ1820" i="202"/>
  <c r="AQ1821" i="202"/>
  <c r="AQ1822" i="202"/>
  <c r="AQ1823" i="202"/>
  <c r="AQ1824" i="202"/>
  <c r="AQ1825" i="202"/>
  <c r="AQ1826" i="202"/>
  <c r="AQ1827" i="202"/>
  <c r="AQ1828" i="202"/>
  <c r="AQ1829" i="202"/>
  <c r="AQ1830" i="202"/>
  <c r="AQ1831" i="202"/>
  <c r="AQ1832" i="202"/>
  <c r="AQ1833" i="202"/>
  <c r="AQ1834" i="202"/>
  <c r="AQ1835" i="202"/>
  <c r="AQ1836" i="202"/>
  <c r="AQ1837" i="202"/>
  <c r="AQ1838" i="202"/>
  <c r="AQ1839" i="202"/>
  <c r="AQ1840" i="202"/>
  <c r="AQ1841" i="202"/>
  <c r="AQ1842" i="202"/>
  <c r="AQ1843" i="202"/>
  <c r="AQ1844" i="202"/>
  <c r="AQ1845" i="202"/>
  <c r="AQ1846" i="202"/>
  <c r="AQ1847" i="202"/>
  <c r="AQ1848" i="202"/>
  <c r="AQ1849" i="202"/>
  <c r="AQ1850" i="202"/>
  <c r="AQ1851" i="202"/>
  <c r="AQ1852" i="202"/>
  <c r="AQ1853" i="202"/>
  <c r="AQ1854" i="202"/>
  <c r="AQ1855" i="202"/>
  <c r="AQ1856" i="202"/>
  <c r="AQ1857" i="202"/>
  <c r="AQ1858" i="202"/>
  <c r="AQ1859" i="202"/>
  <c r="AQ1860" i="202"/>
  <c r="AQ1861" i="202"/>
  <c r="AQ1862" i="202"/>
  <c r="AQ1863" i="202"/>
  <c r="AQ1864" i="202"/>
  <c r="AQ1865" i="202"/>
  <c r="AQ1866" i="202"/>
  <c r="AQ1867" i="202"/>
  <c r="AQ1868" i="202"/>
  <c r="AQ1869" i="202"/>
  <c r="AQ1870" i="202"/>
  <c r="AQ1871" i="202"/>
  <c r="AQ1872" i="202"/>
  <c r="AQ1873" i="202"/>
  <c r="AQ1874" i="202"/>
  <c r="AQ1875" i="202"/>
  <c r="AQ1876" i="202"/>
  <c r="AQ1877" i="202"/>
  <c r="AQ1878" i="202"/>
  <c r="AQ1879" i="202"/>
  <c r="AQ1880" i="202"/>
  <c r="AQ1881" i="202"/>
  <c r="AQ1882" i="202"/>
  <c r="AQ1883" i="202"/>
  <c r="AQ1884" i="202"/>
  <c r="AQ1885" i="202"/>
  <c r="AQ1886" i="202"/>
  <c r="AQ1887" i="202"/>
  <c r="AQ1888" i="202"/>
  <c r="AQ1889" i="202"/>
  <c r="AQ1890" i="202"/>
  <c r="AQ1891" i="202"/>
  <c r="AQ1892" i="202"/>
  <c r="AQ1893" i="202"/>
  <c r="AQ1894" i="202"/>
  <c r="AQ1895" i="202"/>
  <c r="AQ1896" i="202"/>
  <c r="AQ1897" i="202"/>
  <c r="AQ1898" i="202"/>
  <c r="AQ1899" i="202"/>
  <c r="AQ1900" i="202"/>
  <c r="AQ1901" i="202"/>
  <c r="AQ1902" i="202"/>
  <c r="AQ1903" i="202"/>
  <c r="AQ1904" i="202"/>
  <c r="AQ1905" i="202"/>
  <c r="AQ1906" i="202"/>
  <c r="AQ1907" i="202"/>
  <c r="AQ1908" i="202"/>
  <c r="AQ1909" i="202"/>
  <c r="AQ1910" i="202"/>
  <c r="AQ1911" i="202"/>
  <c r="AQ1912" i="202"/>
  <c r="AQ1913" i="202"/>
  <c r="AQ1914" i="202"/>
  <c r="AQ1915" i="202"/>
  <c r="AQ1916" i="202"/>
  <c r="AQ1917" i="202"/>
  <c r="AQ1918" i="202"/>
  <c r="AQ1919" i="202"/>
  <c r="AQ1920" i="202"/>
  <c r="AQ1921" i="202"/>
  <c r="AQ1922" i="202"/>
  <c r="AQ1923" i="202"/>
  <c r="AQ1924" i="202"/>
  <c r="AQ1925" i="202"/>
  <c r="AQ1926" i="202"/>
  <c r="AQ1927" i="202"/>
  <c r="AQ1928" i="202"/>
  <c r="AQ1929" i="202"/>
  <c r="AQ1930" i="202"/>
  <c r="AQ1931" i="202"/>
  <c r="AQ1932" i="202"/>
  <c r="AQ1933" i="202"/>
  <c r="AQ1934" i="202"/>
  <c r="AQ1935" i="202"/>
  <c r="AQ1936" i="202"/>
  <c r="AQ1937" i="202"/>
  <c r="AQ1938" i="202"/>
  <c r="AQ1939" i="202"/>
  <c r="AQ1940" i="202"/>
  <c r="AQ1941" i="202"/>
  <c r="AQ1942" i="202"/>
  <c r="AQ1943" i="202"/>
  <c r="AQ1944" i="202"/>
  <c r="AQ1945" i="202"/>
  <c r="AQ1946" i="202"/>
  <c r="AQ1947" i="202"/>
  <c r="AQ1948" i="202"/>
  <c r="AQ1949" i="202"/>
  <c r="AQ1950" i="202"/>
  <c r="AQ1951" i="202"/>
  <c r="AQ1952" i="202"/>
  <c r="AQ1953" i="202"/>
  <c r="AQ1954" i="202"/>
  <c r="AQ1955" i="202"/>
  <c r="AQ1956" i="202"/>
  <c r="AQ1957" i="202"/>
  <c r="AQ1958" i="202"/>
  <c r="AQ1959" i="202"/>
  <c r="AQ1960" i="202"/>
  <c r="AQ1961" i="202"/>
  <c r="AQ1962" i="202"/>
  <c r="AQ1963" i="202"/>
  <c r="AQ1964" i="202"/>
  <c r="AQ1965" i="202"/>
  <c r="AQ1966" i="202"/>
  <c r="AQ1967" i="202"/>
  <c r="AQ1968" i="202"/>
  <c r="AQ1969" i="202"/>
  <c r="AQ1970" i="202"/>
  <c r="AQ1971" i="202"/>
  <c r="AQ1972" i="202"/>
  <c r="AQ1973" i="202"/>
  <c r="AQ1974" i="202"/>
  <c r="AQ1975" i="202"/>
  <c r="AQ1976" i="202"/>
  <c r="AQ1977" i="202"/>
  <c r="AQ1978" i="202"/>
  <c r="AQ1979" i="202"/>
  <c r="AQ1980" i="202"/>
  <c r="AQ1981" i="202"/>
  <c r="AQ1982" i="202"/>
  <c r="AQ1983" i="202"/>
  <c r="AQ1984" i="202"/>
  <c r="AQ1985" i="202"/>
  <c r="AQ1986" i="202"/>
  <c r="AQ1987" i="202"/>
  <c r="AQ1988" i="202"/>
  <c r="AQ1989" i="202"/>
  <c r="AQ1990" i="202"/>
  <c r="AQ1991" i="202"/>
  <c r="AQ1992" i="202"/>
  <c r="AQ1993" i="202"/>
  <c r="AQ1994" i="202"/>
  <c r="AQ1995" i="202"/>
  <c r="AQ1996" i="202"/>
  <c r="AQ1997" i="202"/>
  <c r="AQ1998" i="202"/>
  <c r="AQ1999" i="202"/>
  <c r="AQ2000" i="202"/>
  <c r="AQ2001" i="202"/>
  <c r="AQ2002" i="202"/>
  <c r="AQ2003" i="202"/>
  <c r="AQ2004" i="202"/>
  <c r="AQ2005" i="202"/>
  <c r="AQ2006" i="202"/>
  <c r="AQ2007" i="202"/>
  <c r="AQ2008" i="202"/>
  <c r="AQ2009" i="202"/>
  <c r="AQ2010" i="202"/>
  <c r="AQ2011" i="202"/>
  <c r="AQ2012" i="202"/>
  <c r="AQ2013" i="202"/>
  <c r="AQ2014" i="202"/>
  <c r="AQ2015" i="202"/>
  <c r="AQ2016" i="202"/>
  <c r="AQ2017" i="202"/>
  <c r="AQ2018" i="202"/>
  <c r="AQ2019" i="202"/>
  <c r="AQ2020" i="202"/>
  <c r="AQ2021" i="202"/>
  <c r="AQ2022" i="202"/>
  <c r="AQ2023" i="202"/>
  <c r="AQ2024" i="202"/>
  <c r="AQ2025" i="202"/>
  <c r="AQ2026" i="202"/>
  <c r="AQ2027" i="202"/>
  <c r="AQ2028" i="202"/>
  <c r="AQ2029" i="202"/>
  <c r="AQ2030" i="202"/>
  <c r="AQ2031" i="202"/>
  <c r="AQ2032" i="202"/>
  <c r="AQ2033" i="202"/>
  <c r="AQ2034" i="202"/>
  <c r="AQ2035" i="202"/>
  <c r="AQ2036" i="202"/>
  <c r="AQ2037" i="202"/>
  <c r="AQ2038" i="202"/>
  <c r="AQ2039" i="202"/>
  <c r="AQ2040" i="202"/>
  <c r="AQ2041" i="202"/>
  <c r="AQ2042" i="202"/>
  <c r="AQ2043" i="202"/>
  <c r="AQ2044" i="202"/>
  <c r="AQ2045" i="202"/>
  <c r="AQ2046" i="202"/>
  <c r="AQ2047" i="202"/>
  <c r="AQ2048" i="202"/>
  <c r="AC2" i="202"/>
  <c r="AC3" i="202"/>
  <c r="AC4" i="202"/>
  <c r="AC5" i="202"/>
  <c r="AC6" i="202"/>
  <c r="AC7" i="202"/>
  <c r="AC8" i="202"/>
  <c r="AC9" i="202"/>
  <c r="AC10" i="202"/>
  <c r="AC11" i="202"/>
  <c r="AC12" i="202"/>
  <c r="AC13" i="202"/>
  <c r="AC14" i="202"/>
  <c r="AC15" i="202"/>
  <c r="AC16" i="202"/>
  <c r="AC17" i="202"/>
  <c r="AC18" i="202"/>
  <c r="AC19" i="202"/>
  <c r="AC20" i="202"/>
  <c r="AC21" i="202"/>
  <c r="AC22" i="202"/>
  <c r="AC23" i="202"/>
  <c r="AC24" i="202"/>
  <c r="AC25" i="202"/>
  <c r="AC26" i="202"/>
  <c r="AC27" i="202"/>
  <c r="AC28" i="202"/>
  <c r="AC29" i="202"/>
  <c r="AC30" i="202"/>
  <c r="AC31" i="202"/>
  <c r="AC32" i="202"/>
  <c r="AC33" i="202"/>
  <c r="AC34" i="202"/>
  <c r="AC35" i="202"/>
  <c r="AC36" i="202"/>
  <c r="AC37" i="202"/>
  <c r="AC38" i="202"/>
  <c r="AC39" i="202"/>
  <c r="AC40" i="202"/>
  <c r="AC41" i="202"/>
  <c r="AC42" i="202"/>
  <c r="AC43" i="202"/>
  <c r="AC44" i="202"/>
  <c r="AC45" i="202"/>
  <c r="AC46" i="202"/>
  <c r="AC47" i="202"/>
  <c r="AC48" i="202"/>
  <c r="AC49" i="202"/>
  <c r="AC50" i="202"/>
  <c r="AC51" i="202"/>
  <c r="AC52" i="202"/>
  <c r="AC53" i="202"/>
  <c r="AC54" i="202"/>
  <c r="AC55" i="202"/>
  <c r="AC56" i="202"/>
  <c r="AC57" i="202"/>
  <c r="AC58" i="202"/>
  <c r="AC59" i="202"/>
  <c r="AC60" i="202"/>
  <c r="AC61" i="202"/>
  <c r="AC62" i="202"/>
  <c r="AC63" i="202"/>
  <c r="AC64" i="202"/>
  <c r="AC65" i="202"/>
  <c r="AC66" i="202"/>
  <c r="AC67" i="202"/>
  <c r="AC68" i="202"/>
  <c r="AC69" i="202"/>
  <c r="AC70" i="202"/>
  <c r="AC71" i="202"/>
  <c r="AC72" i="202"/>
  <c r="AC73" i="202"/>
  <c r="AC74" i="202"/>
  <c r="AC75" i="202"/>
  <c r="AC76" i="202"/>
  <c r="AC77" i="202"/>
  <c r="AC78" i="202"/>
  <c r="AC79" i="202"/>
  <c r="AC80" i="202"/>
  <c r="AC81" i="202"/>
  <c r="AC82" i="202"/>
  <c r="AC83" i="202"/>
  <c r="AC84" i="202"/>
  <c r="AC85" i="202"/>
  <c r="AC86" i="202"/>
  <c r="AC87" i="202"/>
  <c r="AC88" i="202"/>
  <c r="AC89" i="202"/>
  <c r="AC90" i="202"/>
  <c r="AC91" i="202"/>
  <c r="AC92" i="202"/>
  <c r="AC93" i="202"/>
  <c r="AC94" i="202"/>
  <c r="AC95" i="202"/>
  <c r="AC96" i="202"/>
  <c r="AC97" i="202"/>
  <c r="AC98" i="202"/>
  <c r="AC99" i="202"/>
  <c r="AC100" i="202"/>
  <c r="AC101" i="202"/>
  <c r="AC102" i="202"/>
  <c r="AC103" i="202"/>
  <c r="AC104" i="202"/>
  <c r="AC105" i="202"/>
  <c r="AC106" i="202"/>
  <c r="AC107" i="202"/>
  <c r="AC108" i="202"/>
  <c r="AC109" i="202"/>
  <c r="AC110" i="202"/>
  <c r="AC111" i="202"/>
  <c r="AC112" i="202"/>
  <c r="AC113" i="202"/>
  <c r="AC114" i="202"/>
  <c r="AC115" i="202"/>
  <c r="AC116" i="202"/>
  <c r="AC117" i="202"/>
  <c r="AC118" i="202"/>
  <c r="AC119" i="202"/>
  <c r="AC120" i="202"/>
  <c r="AC121" i="202"/>
  <c r="AC122" i="202"/>
  <c r="AC123" i="202"/>
  <c r="AC124" i="202"/>
  <c r="AC125" i="202"/>
  <c r="AC126" i="202"/>
  <c r="AC127" i="202"/>
  <c r="AC128" i="202"/>
  <c r="AC129" i="202"/>
  <c r="AC130" i="202"/>
  <c r="AC131" i="202"/>
  <c r="AC132" i="202"/>
  <c r="AC133" i="202"/>
  <c r="AC134" i="202"/>
  <c r="AC135" i="202"/>
  <c r="AC136" i="202"/>
  <c r="AC137" i="202"/>
  <c r="AC138" i="202"/>
  <c r="AC139" i="202"/>
  <c r="AC140" i="202"/>
  <c r="AC141" i="202"/>
  <c r="AC142" i="202"/>
  <c r="AC143" i="202"/>
  <c r="AC144" i="202"/>
  <c r="AC145" i="202"/>
  <c r="AC146" i="202"/>
  <c r="AC147" i="202"/>
  <c r="AC148" i="202"/>
  <c r="AC149" i="202"/>
  <c r="AC150" i="202"/>
  <c r="AC151" i="202"/>
  <c r="AC152" i="202"/>
  <c r="AC153" i="202"/>
  <c r="AC154" i="202"/>
  <c r="AC155" i="202"/>
  <c r="AC156" i="202"/>
  <c r="AC157" i="202"/>
  <c r="AC158" i="202"/>
  <c r="AC159" i="202"/>
  <c r="AC160" i="202"/>
  <c r="AC161" i="202"/>
  <c r="AC162" i="202"/>
  <c r="AC163" i="202"/>
  <c r="AC164" i="202"/>
  <c r="AC165" i="202"/>
  <c r="AC166" i="202"/>
  <c r="AC167" i="202"/>
  <c r="AC168" i="202"/>
  <c r="AC169" i="202"/>
  <c r="AC170" i="202"/>
  <c r="AC171" i="202"/>
  <c r="AC172" i="202"/>
  <c r="AC173" i="202"/>
  <c r="AC174" i="202"/>
  <c r="AC175" i="202"/>
  <c r="AC176" i="202"/>
  <c r="AC177" i="202"/>
  <c r="AC178" i="202"/>
  <c r="AC179" i="202"/>
  <c r="AC180" i="202"/>
  <c r="AC181" i="202"/>
  <c r="AC182" i="202"/>
  <c r="AC183" i="202"/>
  <c r="AC184" i="202"/>
  <c r="AC185" i="202"/>
  <c r="AC186" i="202"/>
  <c r="AC187" i="202"/>
  <c r="AC188" i="202"/>
  <c r="AC189" i="202"/>
  <c r="AC190" i="202"/>
  <c r="AC191" i="202"/>
  <c r="AC192" i="202"/>
  <c r="AC193" i="202"/>
  <c r="AC194" i="202"/>
  <c r="AC195" i="202"/>
  <c r="AC196" i="202"/>
  <c r="AC197" i="202"/>
  <c r="AC198" i="202"/>
  <c r="AC199" i="202"/>
  <c r="AC200" i="202"/>
  <c r="AC201" i="202"/>
  <c r="AC202" i="202"/>
  <c r="AC203" i="202"/>
  <c r="AC204" i="202"/>
  <c r="AC205" i="202"/>
  <c r="AC206" i="202"/>
  <c r="AC207" i="202"/>
  <c r="AC208" i="202"/>
  <c r="AC209" i="202"/>
  <c r="AC210" i="202"/>
  <c r="AC211" i="202"/>
  <c r="AC212" i="202"/>
  <c r="AC213" i="202"/>
  <c r="AC214" i="202"/>
  <c r="AC215" i="202"/>
  <c r="AC216" i="202"/>
  <c r="AC217" i="202"/>
  <c r="AC218" i="202"/>
  <c r="AC219" i="202"/>
  <c r="AC220" i="202"/>
  <c r="AC221" i="202"/>
  <c r="AC222" i="202"/>
  <c r="AC223" i="202"/>
  <c r="AC224" i="202"/>
  <c r="AC225" i="202"/>
  <c r="AC226" i="202"/>
  <c r="AC227" i="202"/>
  <c r="AC228" i="202"/>
  <c r="AC229" i="202"/>
  <c r="AC230" i="202"/>
  <c r="AC231" i="202"/>
  <c r="AC232" i="202"/>
  <c r="AC233" i="202"/>
  <c r="AC234" i="202"/>
  <c r="AC235" i="202"/>
  <c r="AC236" i="202"/>
  <c r="AC237" i="202"/>
  <c r="AC238" i="202"/>
  <c r="AC239" i="202"/>
  <c r="AC240" i="202"/>
  <c r="AC241" i="202"/>
  <c r="AC242" i="202"/>
  <c r="AC243" i="202"/>
  <c r="AC244" i="202"/>
  <c r="AC245" i="202"/>
  <c r="AC246" i="202"/>
  <c r="AC247" i="202"/>
  <c r="AC248" i="202"/>
  <c r="AC249" i="202"/>
  <c r="AC250" i="202"/>
  <c r="AC251" i="202"/>
  <c r="AC252" i="202"/>
  <c r="AC253" i="202"/>
  <c r="AC254" i="202"/>
  <c r="AC255" i="202"/>
  <c r="AC256" i="202"/>
  <c r="AC257" i="202"/>
  <c r="AC258" i="202"/>
  <c r="AC259" i="202"/>
  <c r="AC260" i="202"/>
  <c r="AC261" i="202"/>
  <c r="AC262" i="202"/>
  <c r="AC263" i="202"/>
  <c r="AC264" i="202"/>
  <c r="AC265" i="202"/>
  <c r="AC266" i="202"/>
  <c r="AC267" i="202"/>
  <c r="AC268" i="202"/>
  <c r="AC269" i="202"/>
  <c r="AC270" i="202"/>
  <c r="AC271" i="202"/>
  <c r="AC272" i="202"/>
  <c r="AC273" i="202"/>
  <c r="AC274" i="202"/>
  <c r="AC275" i="202"/>
  <c r="AC276" i="202"/>
  <c r="AC277" i="202"/>
  <c r="AC278" i="202"/>
  <c r="AC279" i="202"/>
  <c r="AC280" i="202"/>
  <c r="AC281" i="202"/>
  <c r="AC282" i="202"/>
  <c r="AC283" i="202"/>
  <c r="AC284" i="202"/>
  <c r="AC285" i="202"/>
  <c r="AC286" i="202"/>
  <c r="AC287" i="202"/>
  <c r="AC288" i="202"/>
  <c r="AC289" i="202"/>
  <c r="AC290" i="202"/>
  <c r="AC291" i="202"/>
  <c r="AC292" i="202"/>
  <c r="AC293" i="202"/>
  <c r="AC294" i="202"/>
  <c r="AC295" i="202"/>
  <c r="AC296" i="202"/>
  <c r="AC297" i="202"/>
  <c r="AC298" i="202"/>
  <c r="AC299" i="202"/>
  <c r="AC300" i="202"/>
  <c r="AC301" i="202"/>
  <c r="AC302" i="202"/>
  <c r="AC303" i="202"/>
  <c r="AC304" i="202"/>
  <c r="AC305" i="202"/>
  <c r="AC306" i="202"/>
  <c r="AC307" i="202"/>
  <c r="AC308" i="202"/>
  <c r="AC309" i="202"/>
  <c r="AC310" i="202"/>
  <c r="AC311" i="202"/>
  <c r="AC312" i="202"/>
  <c r="AC313" i="202"/>
  <c r="AC314" i="202"/>
  <c r="AC315" i="202"/>
  <c r="AC316" i="202"/>
  <c r="AC317" i="202"/>
  <c r="AC318" i="202"/>
  <c r="AC319" i="202"/>
  <c r="AC320" i="202"/>
  <c r="AC321" i="202"/>
  <c r="AC322" i="202"/>
  <c r="AC323" i="202"/>
  <c r="AC324" i="202"/>
  <c r="AC325" i="202"/>
  <c r="AC326" i="202"/>
  <c r="AC327" i="202"/>
  <c r="AC328" i="202"/>
  <c r="AC329" i="202"/>
  <c r="AC330" i="202"/>
  <c r="AC331" i="202"/>
  <c r="AC332" i="202"/>
  <c r="AC333" i="202"/>
  <c r="AC334" i="202"/>
  <c r="AC335" i="202"/>
  <c r="AC336" i="202"/>
  <c r="AC337" i="202"/>
  <c r="AC338" i="202"/>
  <c r="AC339" i="202"/>
  <c r="AC340" i="202"/>
  <c r="AC341" i="202"/>
  <c r="AC342" i="202"/>
  <c r="AC343" i="202"/>
  <c r="AC344" i="202"/>
  <c r="AC345" i="202"/>
  <c r="AC346" i="202"/>
  <c r="AC347" i="202"/>
  <c r="AC348" i="202"/>
  <c r="AC349" i="202"/>
  <c r="AC350" i="202"/>
  <c r="AC351" i="202"/>
  <c r="AC352" i="202"/>
  <c r="AC353" i="202"/>
  <c r="AC354" i="202"/>
  <c r="AC355" i="202"/>
  <c r="AC356" i="202"/>
  <c r="AC357" i="202"/>
  <c r="AC358" i="202"/>
  <c r="AC359" i="202"/>
  <c r="AC360" i="202"/>
  <c r="AC361" i="202"/>
  <c r="AC362" i="202"/>
  <c r="AC363" i="202"/>
  <c r="AC364" i="202"/>
  <c r="AC365" i="202"/>
  <c r="AC366" i="202"/>
  <c r="AC367" i="202"/>
  <c r="AC368" i="202"/>
  <c r="AC369" i="202"/>
  <c r="AC370" i="202"/>
  <c r="AC371" i="202"/>
  <c r="AC372" i="202"/>
  <c r="AC373" i="202"/>
  <c r="AC374" i="202"/>
  <c r="AC375" i="202"/>
  <c r="AC376" i="202"/>
  <c r="AC377" i="202"/>
  <c r="AC378" i="202"/>
  <c r="AC379" i="202"/>
  <c r="AC380" i="202"/>
  <c r="AC381" i="202"/>
  <c r="AC382" i="202"/>
  <c r="AC383" i="202"/>
  <c r="AC384" i="202"/>
  <c r="AC385" i="202"/>
  <c r="AC386" i="202"/>
  <c r="AC387" i="202"/>
  <c r="AC388" i="202"/>
  <c r="AC389" i="202"/>
  <c r="AC390" i="202"/>
  <c r="AC391" i="202"/>
  <c r="AC392" i="202"/>
  <c r="AC393" i="202"/>
  <c r="AC394" i="202"/>
  <c r="AC395" i="202"/>
  <c r="AC396" i="202"/>
  <c r="AC397" i="202"/>
  <c r="AC398" i="202"/>
  <c r="AC399" i="202"/>
  <c r="AC400" i="202"/>
  <c r="AC401" i="202"/>
  <c r="AC402" i="202"/>
  <c r="AC403" i="202"/>
  <c r="AC404" i="202"/>
  <c r="AC405" i="202"/>
  <c r="AC406" i="202"/>
  <c r="AC407" i="202"/>
  <c r="AC408" i="202"/>
  <c r="AC409" i="202"/>
  <c r="AC410" i="202"/>
  <c r="AC411" i="202"/>
  <c r="AC412" i="202"/>
  <c r="AC413" i="202"/>
  <c r="AC414" i="202"/>
  <c r="AC415" i="202"/>
  <c r="AC416" i="202"/>
  <c r="AC417" i="202"/>
  <c r="AC418" i="202"/>
  <c r="AC419" i="202"/>
  <c r="AC420" i="202"/>
  <c r="AC421" i="202"/>
  <c r="AC422" i="202"/>
  <c r="AC423" i="202"/>
  <c r="AC424" i="202"/>
  <c r="AC425" i="202"/>
  <c r="AC426" i="202"/>
  <c r="AC427" i="202"/>
  <c r="AC428" i="202"/>
  <c r="AC429" i="202"/>
  <c r="AC430" i="202"/>
  <c r="AC431" i="202"/>
  <c r="AC432" i="202"/>
  <c r="AC433" i="202"/>
  <c r="AC434" i="202"/>
  <c r="AC435" i="202"/>
  <c r="AC436" i="202"/>
  <c r="AC437" i="202"/>
  <c r="AC438" i="202"/>
  <c r="AC439" i="202"/>
  <c r="AC440" i="202"/>
  <c r="AC441" i="202"/>
  <c r="AC442" i="202"/>
  <c r="AC443" i="202"/>
  <c r="AC444" i="202"/>
  <c r="AC445" i="202"/>
  <c r="AC446" i="202"/>
  <c r="AC447" i="202"/>
  <c r="AC448" i="202"/>
  <c r="AC449" i="202"/>
  <c r="AC450" i="202"/>
  <c r="AC451" i="202"/>
  <c r="AC452" i="202"/>
  <c r="AC453" i="202"/>
  <c r="AC454" i="202"/>
  <c r="AC455" i="202"/>
  <c r="AC456" i="202"/>
  <c r="AC457" i="202"/>
  <c r="AC458" i="202"/>
  <c r="AC459" i="202"/>
  <c r="AC460" i="202"/>
  <c r="AC461" i="202"/>
  <c r="AC462" i="202"/>
  <c r="AC463" i="202"/>
  <c r="AC464" i="202"/>
  <c r="AC465" i="202"/>
  <c r="AC466" i="202"/>
  <c r="AC467" i="202"/>
  <c r="AC468" i="202"/>
  <c r="AC469" i="202"/>
  <c r="AC470" i="202"/>
  <c r="AC471" i="202"/>
  <c r="AC472" i="202"/>
  <c r="AC473" i="202"/>
  <c r="AC474" i="202"/>
  <c r="AC475" i="202"/>
  <c r="AC476" i="202"/>
  <c r="AC477" i="202"/>
  <c r="AC478" i="202"/>
  <c r="AC479" i="202"/>
  <c r="AC480" i="202"/>
  <c r="AC481" i="202"/>
  <c r="AC482" i="202"/>
  <c r="AC483" i="202"/>
  <c r="AC484" i="202"/>
  <c r="AC485" i="202"/>
  <c r="AC486" i="202"/>
  <c r="AC487" i="202"/>
  <c r="AC488" i="202"/>
  <c r="AC489" i="202"/>
  <c r="AC490" i="202"/>
  <c r="AC491" i="202"/>
  <c r="AC492" i="202"/>
  <c r="AC493" i="202"/>
  <c r="AC494" i="202"/>
  <c r="AC495" i="202"/>
  <c r="AC496" i="202"/>
  <c r="AC497" i="202"/>
  <c r="AC498" i="202"/>
  <c r="AC499" i="202"/>
  <c r="AC500" i="202"/>
  <c r="AC501" i="202"/>
  <c r="AC502" i="202"/>
  <c r="AC503" i="202"/>
  <c r="AC504" i="202"/>
  <c r="AC505" i="202"/>
  <c r="AC506" i="202"/>
  <c r="AC507" i="202"/>
  <c r="AC508" i="202"/>
  <c r="AC509" i="202"/>
  <c r="AC510" i="202"/>
  <c r="AC511" i="202"/>
  <c r="AC512" i="202"/>
  <c r="AC513" i="202"/>
  <c r="AC514" i="202"/>
  <c r="AC515" i="202"/>
  <c r="AC516" i="202"/>
  <c r="AC517" i="202"/>
  <c r="AC518" i="202"/>
  <c r="AC519" i="202"/>
  <c r="AC520" i="202"/>
  <c r="AC521" i="202"/>
  <c r="AC522" i="202"/>
  <c r="AC523" i="202"/>
  <c r="AC524" i="202"/>
  <c r="AC525" i="202"/>
  <c r="AC526" i="202"/>
  <c r="AC527" i="202"/>
  <c r="AC528" i="202"/>
  <c r="AC529" i="202"/>
  <c r="AC530" i="202"/>
  <c r="AC531" i="202"/>
  <c r="AC532" i="202"/>
  <c r="AC533" i="202"/>
  <c r="AC534" i="202"/>
  <c r="AC535" i="202"/>
  <c r="AC536" i="202"/>
  <c r="AC537" i="202"/>
  <c r="AC538" i="202"/>
  <c r="AC539" i="202"/>
  <c r="AC540" i="202"/>
  <c r="AC541" i="202"/>
  <c r="AC542" i="202"/>
  <c r="AC543" i="202"/>
  <c r="AC544" i="202"/>
  <c r="AC545" i="202"/>
  <c r="AC546" i="202"/>
  <c r="AC547" i="202"/>
  <c r="AC548" i="202"/>
  <c r="AC549" i="202"/>
  <c r="AC550" i="202"/>
  <c r="AC551" i="202"/>
  <c r="AC552" i="202"/>
  <c r="AC553" i="202"/>
  <c r="AC554" i="202"/>
  <c r="AC555" i="202"/>
  <c r="AC556" i="202"/>
  <c r="AC557" i="202"/>
  <c r="AC558" i="202"/>
  <c r="AC559" i="202"/>
  <c r="AC560" i="202"/>
  <c r="AC561" i="202"/>
  <c r="AC562" i="202"/>
  <c r="AC563" i="202"/>
  <c r="AC564" i="202"/>
  <c r="AC565" i="202"/>
  <c r="AC566" i="202"/>
  <c r="AC567" i="202"/>
  <c r="AC568" i="202"/>
  <c r="AC569" i="202"/>
  <c r="AC570" i="202"/>
  <c r="AC571" i="202"/>
  <c r="AC572" i="202"/>
  <c r="AC573" i="202"/>
  <c r="AC574" i="202"/>
  <c r="AC575" i="202"/>
  <c r="AC576" i="202"/>
  <c r="AC577" i="202"/>
  <c r="AC578" i="202"/>
  <c r="AC579" i="202"/>
  <c r="AC580" i="202"/>
  <c r="AC581" i="202"/>
  <c r="AC582" i="202"/>
  <c r="AC583" i="202"/>
  <c r="AC584" i="202"/>
  <c r="AC585" i="202"/>
  <c r="AC586" i="202"/>
  <c r="AC587" i="202"/>
  <c r="AC588" i="202"/>
  <c r="AC589" i="202"/>
  <c r="AC590" i="202"/>
  <c r="AC591" i="202"/>
  <c r="AC592" i="202"/>
  <c r="AC593" i="202"/>
  <c r="AC594" i="202"/>
  <c r="AC595" i="202"/>
  <c r="AC596" i="202"/>
  <c r="AC597" i="202"/>
  <c r="AC598" i="202"/>
  <c r="AC599" i="202"/>
  <c r="AC600" i="202"/>
  <c r="AC601" i="202"/>
  <c r="AC602" i="202"/>
  <c r="AC603" i="202"/>
  <c r="AC604" i="202"/>
  <c r="AC605" i="202"/>
  <c r="AC606" i="202"/>
  <c r="AC607" i="202"/>
  <c r="AC608" i="202"/>
  <c r="AC609" i="202"/>
  <c r="AC610" i="202"/>
  <c r="AC611" i="202"/>
  <c r="AC612" i="202"/>
  <c r="AC613" i="202"/>
  <c r="AC614" i="202"/>
  <c r="AC615" i="202"/>
  <c r="AC616" i="202"/>
  <c r="AC617" i="202"/>
  <c r="AC618" i="202"/>
  <c r="AC619" i="202"/>
  <c r="AC620" i="202"/>
  <c r="AC621" i="202"/>
  <c r="AC622" i="202"/>
  <c r="AC623" i="202"/>
  <c r="AC624" i="202"/>
  <c r="AC625" i="202"/>
  <c r="AC626" i="202"/>
  <c r="AC627" i="202"/>
  <c r="AC628" i="202"/>
  <c r="AC629" i="202"/>
  <c r="AC630" i="202"/>
  <c r="AC631" i="202"/>
  <c r="AC632" i="202"/>
  <c r="AC633" i="202"/>
  <c r="AC634" i="202"/>
  <c r="AC635" i="202"/>
  <c r="AC636" i="202"/>
  <c r="AC637" i="202"/>
  <c r="AC638" i="202"/>
  <c r="AC639" i="202"/>
  <c r="AC640" i="202"/>
  <c r="AC641" i="202"/>
  <c r="AC642" i="202"/>
  <c r="AC643" i="202"/>
  <c r="AC644" i="202"/>
  <c r="AC645" i="202"/>
  <c r="AC646" i="202"/>
  <c r="AC647" i="202"/>
  <c r="AC648" i="202"/>
  <c r="AC649" i="202"/>
  <c r="AC650" i="202"/>
  <c r="AC651" i="202"/>
  <c r="AC652" i="202"/>
  <c r="AC653" i="202"/>
  <c r="AC654" i="202"/>
  <c r="AC655" i="202"/>
  <c r="AC656" i="202"/>
  <c r="AC657" i="202"/>
  <c r="AC658" i="202"/>
  <c r="AC659" i="202"/>
  <c r="AC660" i="202"/>
  <c r="AC661" i="202"/>
  <c r="AC662" i="202"/>
  <c r="AC663" i="202"/>
  <c r="AC664" i="202"/>
  <c r="AC665" i="202"/>
  <c r="AC666" i="202"/>
  <c r="AC667" i="202"/>
  <c r="AC668" i="202"/>
  <c r="AC669" i="202"/>
  <c r="AC670" i="202"/>
  <c r="AC671" i="202"/>
  <c r="AC672" i="202"/>
  <c r="AC673" i="202"/>
  <c r="AC674" i="202"/>
  <c r="AC675" i="202"/>
  <c r="AC676" i="202"/>
  <c r="AC677" i="202"/>
  <c r="AC678" i="202"/>
  <c r="AC679" i="202"/>
  <c r="AC680" i="202"/>
  <c r="AC681" i="202"/>
  <c r="AC682" i="202"/>
  <c r="AC683" i="202"/>
  <c r="AC684" i="202"/>
  <c r="AC685" i="202"/>
  <c r="AC686" i="202"/>
  <c r="AC687" i="202"/>
  <c r="AC688" i="202"/>
  <c r="AC689" i="202"/>
  <c r="AC690" i="202"/>
  <c r="AC691" i="202"/>
  <c r="AC692" i="202"/>
  <c r="AC693" i="202"/>
  <c r="AC694" i="202"/>
  <c r="AC695" i="202"/>
  <c r="AC696" i="202"/>
  <c r="AC697" i="202"/>
  <c r="AC698" i="202"/>
  <c r="AC699" i="202"/>
  <c r="AC700" i="202"/>
  <c r="AC701" i="202"/>
  <c r="AC702" i="202"/>
  <c r="AC703" i="202"/>
  <c r="AC704" i="202"/>
  <c r="AC705" i="202"/>
  <c r="AC706" i="202"/>
  <c r="AC707" i="202"/>
  <c r="AC708" i="202"/>
  <c r="AC709" i="202"/>
  <c r="AC710" i="202"/>
  <c r="AC711" i="202"/>
  <c r="AC712" i="202"/>
  <c r="AC713" i="202"/>
  <c r="AC714" i="202"/>
  <c r="AC715" i="202"/>
  <c r="AC716" i="202"/>
  <c r="AC717" i="202"/>
  <c r="AC718" i="202"/>
  <c r="AC719" i="202"/>
  <c r="AC720" i="202"/>
  <c r="AC721" i="202"/>
  <c r="AC722" i="202"/>
  <c r="AC723" i="202"/>
  <c r="AC724" i="202"/>
  <c r="AC725" i="202"/>
  <c r="AC726" i="202"/>
  <c r="AC727" i="202"/>
  <c r="AC728" i="202"/>
  <c r="AC729" i="202"/>
  <c r="AC730" i="202"/>
  <c r="AC731" i="202"/>
  <c r="AC732" i="202"/>
  <c r="AC733" i="202"/>
  <c r="AC734" i="202"/>
  <c r="AC735" i="202"/>
  <c r="AC736" i="202"/>
  <c r="AC737" i="202"/>
  <c r="AC738" i="202"/>
  <c r="AC739" i="202"/>
  <c r="AC740" i="202"/>
  <c r="AC741" i="202"/>
  <c r="AC742" i="202"/>
  <c r="AC743" i="202"/>
  <c r="AC744" i="202"/>
  <c r="AC745" i="202"/>
  <c r="AC746" i="202"/>
  <c r="AC747" i="202"/>
  <c r="AC748" i="202"/>
  <c r="AC749" i="202"/>
  <c r="AC750" i="202"/>
  <c r="AC751" i="202"/>
  <c r="AC752" i="202"/>
  <c r="AC753" i="202"/>
  <c r="AC754" i="202"/>
  <c r="AC755" i="202"/>
  <c r="AC756" i="202"/>
  <c r="AC757" i="202"/>
  <c r="AC758" i="202"/>
  <c r="AC759" i="202"/>
  <c r="AC760" i="202"/>
  <c r="AC761" i="202"/>
  <c r="AC762" i="202"/>
  <c r="AC763" i="202"/>
  <c r="AC764" i="202"/>
  <c r="AC765" i="202"/>
  <c r="AC766" i="202"/>
  <c r="AC767" i="202"/>
  <c r="AC768" i="202"/>
  <c r="AC769" i="202"/>
  <c r="AC770" i="202"/>
  <c r="AC771" i="202"/>
  <c r="AC772" i="202"/>
  <c r="AC773" i="202"/>
  <c r="AC774" i="202"/>
  <c r="AC775" i="202"/>
  <c r="AC776" i="202"/>
  <c r="AC777" i="202"/>
  <c r="AC778" i="202"/>
  <c r="AC779" i="202"/>
  <c r="AC780" i="202"/>
  <c r="AC781" i="202"/>
  <c r="AC782" i="202"/>
  <c r="AC783" i="202"/>
  <c r="AC784" i="202"/>
  <c r="AC785" i="202"/>
  <c r="AC786" i="202"/>
  <c r="AC787" i="202"/>
  <c r="AC788" i="202"/>
  <c r="AC789" i="202"/>
  <c r="AC790" i="202"/>
  <c r="AC791" i="202"/>
  <c r="AC792" i="202"/>
  <c r="AC793" i="202"/>
  <c r="AC794" i="202"/>
  <c r="AC795" i="202"/>
  <c r="AC796" i="202"/>
  <c r="AC797" i="202"/>
  <c r="AC798" i="202"/>
  <c r="AC799" i="202"/>
  <c r="AC800" i="202"/>
  <c r="AC801" i="202"/>
  <c r="AC802" i="202"/>
  <c r="AC803" i="202"/>
  <c r="AC804" i="202"/>
  <c r="AC805" i="202"/>
  <c r="AC806" i="202"/>
  <c r="AC807" i="202"/>
  <c r="AC808" i="202"/>
  <c r="AC809" i="202"/>
  <c r="AC810" i="202"/>
  <c r="AC811" i="202"/>
  <c r="AC812" i="202"/>
  <c r="AC813" i="202"/>
  <c r="AC814" i="202"/>
  <c r="AC815" i="202"/>
  <c r="AC816" i="202"/>
  <c r="AC817" i="202"/>
  <c r="AC818" i="202"/>
  <c r="AC819" i="202"/>
  <c r="AC820" i="202"/>
  <c r="AC821" i="202"/>
  <c r="AC822" i="202"/>
  <c r="AC823" i="202"/>
  <c r="AC824" i="202"/>
  <c r="AC825" i="202"/>
  <c r="AC826" i="202"/>
  <c r="AC827" i="202"/>
  <c r="AC828" i="202"/>
  <c r="AC829" i="202"/>
  <c r="AC830" i="202"/>
  <c r="AC831" i="202"/>
  <c r="AC832" i="202"/>
  <c r="AC833" i="202"/>
  <c r="AC834" i="202"/>
  <c r="AC835" i="202"/>
  <c r="AC836" i="202"/>
  <c r="AC837" i="202"/>
  <c r="AC838" i="202"/>
  <c r="AC839" i="202"/>
  <c r="AC840" i="202"/>
  <c r="AC841" i="202"/>
  <c r="AC842" i="202"/>
  <c r="AC843" i="202"/>
  <c r="AC844" i="202"/>
  <c r="AC845" i="202"/>
  <c r="AC846" i="202"/>
  <c r="AC847" i="202"/>
  <c r="AC848" i="202"/>
  <c r="AC849" i="202"/>
  <c r="AC850" i="202"/>
  <c r="AC851" i="202"/>
  <c r="AC852" i="202"/>
  <c r="AC853" i="202"/>
  <c r="AC854" i="202"/>
  <c r="AC855" i="202"/>
  <c r="AC856" i="202"/>
  <c r="AC857" i="202"/>
  <c r="AC858" i="202"/>
  <c r="AC859" i="202"/>
  <c r="AC860" i="202"/>
  <c r="AC861" i="202"/>
  <c r="AC862" i="202"/>
  <c r="AC863" i="202"/>
  <c r="AC864" i="202"/>
  <c r="AC865" i="202"/>
  <c r="AC866" i="202"/>
  <c r="AC867" i="202"/>
  <c r="AC868" i="202"/>
  <c r="AC869" i="202"/>
  <c r="AC870" i="202"/>
  <c r="AC871" i="202"/>
  <c r="AC872" i="202"/>
  <c r="AC873" i="202"/>
  <c r="AC874" i="202"/>
  <c r="AC875" i="202"/>
  <c r="AC876" i="202"/>
  <c r="AC877" i="202"/>
  <c r="AC878" i="202"/>
  <c r="AC879" i="202"/>
  <c r="AC880" i="202"/>
  <c r="AC881" i="202"/>
  <c r="AC882" i="202"/>
  <c r="AC883" i="202"/>
  <c r="AC884" i="202"/>
  <c r="AC885" i="202"/>
  <c r="AC886" i="202"/>
  <c r="AC887" i="202"/>
  <c r="AC888" i="202"/>
  <c r="AC889" i="202"/>
  <c r="AC890" i="202"/>
  <c r="AC891" i="202"/>
  <c r="AC892" i="202"/>
  <c r="AC893" i="202"/>
  <c r="AC894" i="202"/>
  <c r="AC895" i="202"/>
  <c r="AC896" i="202"/>
  <c r="AC897" i="202"/>
  <c r="AC898" i="202"/>
  <c r="AC899" i="202"/>
  <c r="AC900" i="202"/>
  <c r="AC901" i="202"/>
  <c r="AC902" i="202"/>
  <c r="AC903" i="202"/>
  <c r="AC904" i="202"/>
  <c r="AC905" i="202"/>
  <c r="AC906" i="202"/>
  <c r="AC907" i="202"/>
  <c r="AC908" i="202"/>
  <c r="AC909" i="202"/>
  <c r="AC910" i="202"/>
  <c r="AC911" i="202"/>
  <c r="AC912" i="202"/>
  <c r="AC913" i="202"/>
  <c r="AC914" i="202"/>
  <c r="AC915" i="202"/>
  <c r="AC916" i="202"/>
  <c r="AC917" i="202"/>
  <c r="AC918" i="202"/>
  <c r="AC919" i="202"/>
  <c r="AC920" i="202"/>
  <c r="AC921" i="202"/>
  <c r="AC922" i="202"/>
  <c r="AC923" i="202"/>
  <c r="AC924" i="202"/>
  <c r="AC925" i="202"/>
  <c r="AC926" i="202"/>
  <c r="AC927" i="202"/>
  <c r="AC928" i="202"/>
  <c r="AC929" i="202"/>
  <c r="AC930" i="202"/>
  <c r="AC931" i="202"/>
  <c r="AC932" i="202"/>
  <c r="AC933" i="202"/>
  <c r="AC934" i="202"/>
  <c r="AC935" i="202"/>
  <c r="AC936" i="202"/>
  <c r="AC937" i="202"/>
  <c r="AC938" i="202"/>
  <c r="AC939" i="202"/>
  <c r="AC940" i="202"/>
  <c r="AC941" i="202"/>
  <c r="AC942" i="202"/>
  <c r="AC943" i="202"/>
  <c r="AC944" i="202"/>
  <c r="AC945" i="202"/>
  <c r="AC946" i="202"/>
  <c r="AC947" i="202"/>
  <c r="AC948" i="202"/>
  <c r="AC949" i="202"/>
  <c r="AC950" i="202"/>
  <c r="AC951" i="202"/>
  <c r="AC952" i="202"/>
  <c r="AC953" i="202"/>
  <c r="AC954" i="202"/>
  <c r="AC955" i="202"/>
  <c r="AC956" i="202"/>
  <c r="AC957" i="202"/>
  <c r="AC958" i="202"/>
  <c r="AC959" i="202"/>
  <c r="AC960" i="202"/>
  <c r="AC961" i="202"/>
  <c r="AC962" i="202"/>
  <c r="AC963" i="202"/>
  <c r="AC964" i="202"/>
  <c r="AC965" i="202"/>
  <c r="AC966" i="202"/>
  <c r="AC967" i="202"/>
  <c r="AC968" i="202"/>
  <c r="AC969" i="202"/>
  <c r="AC970" i="202"/>
  <c r="AC971" i="202"/>
  <c r="AC972" i="202"/>
  <c r="AC973" i="202"/>
  <c r="AC974" i="202"/>
  <c r="AC975" i="202"/>
  <c r="AC976" i="202"/>
  <c r="AC977" i="202"/>
  <c r="AC978" i="202"/>
  <c r="AC979" i="202"/>
  <c r="AC980" i="202"/>
  <c r="AC981" i="202"/>
  <c r="AC982" i="202"/>
  <c r="AC983" i="202"/>
  <c r="AC984" i="202"/>
  <c r="AC985" i="202"/>
  <c r="AC986" i="202"/>
  <c r="AC987" i="202"/>
  <c r="AC988" i="202"/>
  <c r="AC989" i="202"/>
  <c r="AC990" i="202"/>
  <c r="AC991" i="202"/>
  <c r="AC992" i="202"/>
  <c r="AC993" i="202"/>
  <c r="AC994" i="202"/>
  <c r="AC995" i="202"/>
  <c r="AC996" i="202"/>
  <c r="AC997" i="202"/>
  <c r="AC998" i="202"/>
  <c r="AC999" i="202"/>
  <c r="AC1000" i="202"/>
  <c r="AC1001" i="202"/>
  <c r="AC1002" i="202"/>
  <c r="AC1003" i="202"/>
  <c r="AC1004" i="202"/>
  <c r="AC1005" i="202"/>
  <c r="AC1006" i="202"/>
  <c r="AC1007" i="202"/>
  <c r="AC1008" i="202"/>
  <c r="AC1009" i="202"/>
  <c r="AC1010" i="202"/>
  <c r="AC1011" i="202"/>
  <c r="AC1012" i="202"/>
  <c r="AC1013" i="202"/>
  <c r="AC1014" i="202"/>
  <c r="AC1015" i="202"/>
  <c r="AC1016" i="202"/>
  <c r="AC1017" i="202"/>
  <c r="AC1018" i="202"/>
  <c r="AC1019" i="202"/>
  <c r="AC1020" i="202"/>
  <c r="AC1021" i="202"/>
  <c r="AC1022" i="202"/>
  <c r="AC1023" i="202"/>
  <c r="AC1024" i="202"/>
  <c r="AC1025" i="202"/>
  <c r="AC1026" i="202"/>
  <c r="AC1027" i="202"/>
  <c r="AC1028" i="202"/>
  <c r="AC1029" i="202"/>
  <c r="AC1030" i="202"/>
  <c r="AC1031" i="202"/>
  <c r="AC1032" i="202"/>
  <c r="AC1033" i="202"/>
  <c r="AC1034" i="202"/>
  <c r="AC1035" i="202"/>
  <c r="AC1036" i="202"/>
  <c r="AC1037" i="202"/>
  <c r="AC1038" i="202"/>
  <c r="AC1039" i="202"/>
  <c r="AC1040" i="202"/>
  <c r="AC1041" i="202"/>
  <c r="AC1042" i="202"/>
  <c r="AC1043" i="202"/>
  <c r="AC1044" i="202"/>
  <c r="AC1045" i="202"/>
  <c r="AC1046" i="202"/>
  <c r="AC1047" i="202"/>
  <c r="AC1048" i="202"/>
  <c r="AC1049" i="202"/>
  <c r="AC1050" i="202"/>
  <c r="AC1051" i="202"/>
  <c r="AC1052" i="202"/>
  <c r="AC1053" i="202"/>
  <c r="AC1054" i="202"/>
  <c r="AC1055" i="202"/>
  <c r="AC1056" i="202"/>
  <c r="AC1057" i="202"/>
  <c r="AC1058" i="202"/>
  <c r="AC1059" i="202"/>
  <c r="AC1060" i="202"/>
  <c r="AC1061" i="202"/>
  <c r="AC1062" i="202"/>
  <c r="AC1063" i="202"/>
  <c r="AC1064" i="202"/>
  <c r="AC1065" i="202"/>
  <c r="AC1066" i="202"/>
  <c r="AC1067" i="202"/>
  <c r="AC1068" i="202"/>
  <c r="AC1069" i="202"/>
  <c r="AC1070" i="202"/>
  <c r="AC1071" i="202"/>
  <c r="AC1072" i="202"/>
  <c r="AC1073" i="202"/>
  <c r="AC1074" i="202"/>
  <c r="AC1075" i="202"/>
  <c r="AC1076" i="202"/>
  <c r="AC1077" i="202"/>
  <c r="AC1078" i="202"/>
  <c r="AC1079" i="202"/>
  <c r="AC1080" i="202"/>
  <c r="AC1081" i="202"/>
  <c r="AC1082" i="202"/>
  <c r="AC1083" i="202"/>
  <c r="AC1084" i="202"/>
  <c r="AC1085" i="202"/>
  <c r="AC1086" i="202"/>
  <c r="AC1087" i="202"/>
  <c r="AC1088" i="202"/>
  <c r="AC1089" i="202"/>
  <c r="AC1090" i="202"/>
  <c r="AC1091" i="202"/>
  <c r="AC1092" i="202"/>
  <c r="AC1093" i="202"/>
  <c r="AC1094" i="202"/>
  <c r="AC1095" i="202"/>
  <c r="AC1096" i="202"/>
  <c r="AC1097" i="202"/>
  <c r="AC1098" i="202"/>
  <c r="AC1099" i="202"/>
  <c r="AC1100" i="202"/>
  <c r="AC1101" i="202"/>
  <c r="AC1102" i="202"/>
  <c r="AC1103" i="202"/>
  <c r="AC1104" i="202"/>
  <c r="AC1105" i="202"/>
  <c r="AC1106" i="202"/>
  <c r="AC1107" i="202"/>
  <c r="AC1108" i="202"/>
  <c r="AC1109" i="202"/>
  <c r="AC1110" i="202"/>
  <c r="AC1111" i="202"/>
  <c r="AC1112" i="202"/>
  <c r="AC1113" i="202"/>
  <c r="AC1114" i="202"/>
  <c r="AC1115" i="202"/>
  <c r="AC1116" i="202"/>
  <c r="AC1117" i="202"/>
  <c r="AC1118" i="202"/>
  <c r="AC1119" i="202"/>
  <c r="AC1120" i="202"/>
  <c r="AC1121" i="202"/>
  <c r="AC1122" i="202"/>
  <c r="AC1123" i="202"/>
  <c r="AC1124" i="202"/>
  <c r="AC1125" i="202"/>
  <c r="AC1126" i="202"/>
  <c r="AC1127" i="202"/>
  <c r="AC1128" i="202"/>
  <c r="AC1129" i="202"/>
  <c r="AC1130" i="202"/>
  <c r="AC1131" i="202"/>
  <c r="AC1132" i="202"/>
  <c r="AC1133" i="202"/>
  <c r="AC1134" i="202"/>
  <c r="AC1135" i="202"/>
  <c r="AC1136" i="202"/>
  <c r="AC1137" i="202"/>
  <c r="AC1138" i="202"/>
  <c r="AC1139" i="202"/>
  <c r="AC1140" i="202"/>
  <c r="AC1141" i="202"/>
  <c r="AC1142" i="202"/>
  <c r="AC1143" i="202"/>
  <c r="AC1144" i="202"/>
  <c r="AC1145" i="202"/>
  <c r="AC1146" i="202"/>
  <c r="AC1147" i="202"/>
  <c r="AC1148" i="202"/>
  <c r="AC1149" i="202"/>
  <c r="AC1150" i="202"/>
  <c r="AC1151" i="202"/>
  <c r="AC1152" i="202"/>
  <c r="AC1153" i="202"/>
  <c r="AC1154" i="202"/>
  <c r="AC1155" i="202"/>
  <c r="AC1156" i="202"/>
  <c r="AC1157" i="202"/>
  <c r="AC1158" i="202"/>
  <c r="AC1159" i="202"/>
  <c r="AC1160" i="202"/>
  <c r="AC1161" i="202"/>
  <c r="AC1162" i="202"/>
  <c r="AC1163" i="202"/>
  <c r="AC1164" i="202"/>
  <c r="AC1165" i="202"/>
  <c r="AC1166" i="202"/>
  <c r="AC1167" i="202"/>
  <c r="AC1168" i="202"/>
  <c r="AC1169" i="202"/>
  <c r="AC1170" i="202"/>
  <c r="AC1171" i="202"/>
  <c r="AC1172" i="202"/>
  <c r="AC1173" i="202"/>
  <c r="AC1174" i="202"/>
  <c r="AC1175" i="202"/>
  <c r="AC1176" i="202"/>
  <c r="AC1177" i="202"/>
  <c r="AC1178" i="202"/>
  <c r="AC1179" i="202"/>
  <c r="AC1180" i="202"/>
  <c r="AC1181" i="202"/>
  <c r="AC1182" i="202"/>
  <c r="AC1183" i="202"/>
  <c r="AC1184" i="202"/>
  <c r="AC1185" i="202"/>
  <c r="AC1186" i="202"/>
  <c r="AC1187" i="202"/>
  <c r="AC1188" i="202"/>
  <c r="AC1189" i="202"/>
  <c r="AC1190" i="202"/>
  <c r="AC1191" i="202"/>
  <c r="AC1192" i="202"/>
  <c r="AC1193" i="202"/>
  <c r="AC1194" i="202"/>
  <c r="AC1195" i="202"/>
  <c r="AC1196" i="202"/>
  <c r="AC1197" i="202"/>
  <c r="AC1198" i="202"/>
  <c r="AC1199" i="202"/>
  <c r="AC1200" i="202"/>
  <c r="AC1201" i="202"/>
  <c r="AC1202" i="202"/>
  <c r="AC1203" i="202"/>
  <c r="AC1204" i="202"/>
  <c r="AC1205" i="202"/>
  <c r="AC1206" i="202"/>
  <c r="AC1207" i="202"/>
  <c r="AC1208" i="202"/>
  <c r="AC1209" i="202"/>
  <c r="AC1210" i="202"/>
  <c r="AC1211" i="202"/>
  <c r="AC1212" i="202"/>
  <c r="AC1213" i="202"/>
  <c r="AC1214" i="202"/>
  <c r="AC1215" i="202"/>
  <c r="AC1216" i="202"/>
  <c r="AC1217" i="202"/>
  <c r="AC1218" i="202"/>
  <c r="AC1219" i="202"/>
  <c r="AC1220" i="202"/>
  <c r="AC1221" i="202"/>
  <c r="AC1222" i="202"/>
  <c r="AC1223" i="202"/>
  <c r="AC1224" i="202"/>
  <c r="AC1225" i="202"/>
  <c r="AC1226" i="202"/>
  <c r="AC1227" i="202"/>
  <c r="AC1228" i="202"/>
  <c r="AC1229" i="202"/>
  <c r="AC1230" i="202"/>
  <c r="AC1231" i="202"/>
  <c r="AC1232" i="202"/>
  <c r="AC1233" i="202"/>
  <c r="AC1234" i="202"/>
  <c r="AC1235" i="202"/>
  <c r="AC1236" i="202"/>
  <c r="AC1237" i="202"/>
  <c r="AC1238" i="202"/>
  <c r="AC1239" i="202"/>
  <c r="AC1240" i="202"/>
  <c r="AC1241" i="202"/>
  <c r="AC1242" i="202"/>
  <c r="AC1243" i="202"/>
  <c r="AC1244" i="202"/>
  <c r="AC1245" i="202"/>
  <c r="AC1246" i="202"/>
  <c r="AC1247" i="202"/>
  <c r="AC1248" i="202"/>
  <c r="AC1249" i="202"/>
  <c r="AC1250" i="202"/>
  <c r="AC1251" i="202"/>
  <c r="AC1252" i="202"/>
  <c r="AC1253" i="202"/>
  <c r="AC1254" i="202"/>
  <c r="AC1255" i="202"/>
  <c r="AC1256" i="202"/>
  <c r="AC1257" i="202"/>
  <c r="AC1258" i="202"/>
  <c r="AC1259" i="202"/>
  <c r="AC1260" i="202"/>
  <c r="AC1261" i="202"/>
  <c r="AC1262" i="202"/>
  <c r="AC1263" i="202"/>
  <c r="AC1264" i="202"/>
  <c r="AC1265" i="202"/>
  <c r="AC1266" i="202"/>
  <c r="AC1267" i="202"/>
  <c r="AC1268" i="202"/>
  <c r="AC1269" i="202"/>
  <c r="AC1270" i="202"/>
  <c r="AC1271" i="202"/>
  <c r="AC1272" i="202"/>
  <c r="AC1273" i="202"/>
  <c r="AC1274" i="202"/>
  <c r="AC1275" i="202"/>
  <c r="AC1276" i="202"/>
  <c r="AC1277" i="202"/>
  <c r="AC1278" i="202"/>
  <c r="AC1279" i="202"/>
  <c r="AC1280" i="202"/>
  <c r="AC1281" i="202"/>
  <c r="AC1282" i="202"/>
  <c r="AC1283" i="202"/>
  <c r="AC1284" i="202"/>
  <c r="AC1285" i="202"/>
  <c r="AC1286" i="202"/>
  <c r="AC1287" i="202"/>
  <c r="AC1288" i="202"/>
  <c r="AC1289" i="202"/>
  <c r="AC1290" i="202"/>
  <c r="AC1291" i="202"/>
  <c r="AC1292" i="202"/>
  <c r="AC1293" i="202"/>
  <c r="AC1294" i="202"/>
  <c r="AC1295" i="202"/>
  <c r="AC1296" i="202"/>
  <c r="AC1297" i="202"/>
  <c r="AC1298" i="202"/>
  <c r="AC1299" i="202"/>
  <c r="AC1300" i="202"/>
  <c r="AC1301" i="202"/>
  <c r="AC1302" i="202"/>
  <c r="AC1303" i="202"/>
  <c r="AC1304" i="202"/>
  <c r="AC1305" i="202"/>
  <c r="AC1306" i="202"/>
  <c r="AC1307" i="202"/>
  <c r="AC1308" i="202"/>
  <c r="AC1309" i="202"/>
  <c r="AC1310" i="202"/>
  <c r="AC1311" i="202"/>
  <c r="AC1312" i="202"/>
  <c r="AC1313" i="202"/>
  <c r="AC1314" i="202"/>
  <c r="AC1315" i="202"/>
  <c r="AC1316" i="202"/>
  <c r="AC1317" i="202"/>
  <c r="AC1318" i="202"/>
  <c r="AC1319" i="202"/>
  <c r="AC1320" i="202"/>
  <c r="AC1321" i="202"/>
  <c r="AC1322" i="202"/>
  <c r="AC1323" i="202"/>
  <c r="AC1324" i="202"/>
  <c r="AC1325" i="202"/>
  <c r="AC1326" i="202"/>
  <c r="AC1327" i="202"/>
  <c r="AC1328" i="202"/>
  <c r="AC1329" i="202"/>
  <c r="AC1330" i="202"/>
  <c r="AC1331" i="202"/>
  <c r="AC1332" i="202"/>
  <c r="AC1333" i="202"/>
  <c r="AC1334" i="202"/>
  <c r="AC1335" i="202"/>
  <c r="AC1336" i="202"/>
  <c r="AC1337" i="202"/>
  <c r="AC1338" i="202"/>
  <c r="AC1339" i="202"/>
  <c r="AC1340" i="202"/>
  <c r="AC1341" i="202"/>
  <c r="AC1342" i="202"/>
  <c r="AC1343" i="202"/>
  <c r="AC1344" i="202"/>
  <c r="AC1345" i="202"/>
  <c r="AC1346" i="202"/>
  <c r="AC1347" i="202"/>
  <c r="AC1348" i="202"/>
  <c r="AC1349" i="202"/>
  <c r="AC1350" i="202"/>
  <c r="AC1351" i="202"/>
  <c r="AC1352" i="202"/>
  <c r="AC1353" i="202"/>
  <c r="AC1354" i="202"/>
  <c r="AC1355" i="202"/>
  <c r="AC1356" i="202"/>
  <c r="AC1357" i="202"/>
  <c r="AC1358" i="202"/>
  <c r="AC1359" i="202"/>
  <c r="AC1360" i="202"/>
  <c r="AC1361" i="202"/>
  <c r="AC1362" i="202"/>
  <c r="AC1363" i="202"/>
  <c r="AC1364" i="202"/>
  <c r="AC1365" i="202"/>
  <c r="AC1366" i="202"/>
  <c r="AC1367" i="202"/>
  <c r="AC1368" i="202"/>
  <c r="AC1369" i="202"/>
  <c r="AC1370" i="202"/>
  <c r="AC1371" i="202"/>
  <c r="AC1372" i="202"/>
  <c r="AC1373" i="202"/>
  <c r="AC1374" i="202"/>
  <c r="AC1375" i="202"/>
  <c r="AC1376" i="202"/>
  <c r="AC1377" i="202"/>
  <c r="AC1378" i="202"/>
  <c r="AC1379" i="202"/>
  <c r="AC1380" i="202"/>
  <c r="AC1381" i="202"/>
  <c r="AC1382" i="202"/>
  <c r="AC1383" i="202"/>
  <c r="AC1384" i="202"/>
  <c r="AC1385" i="202"/>
  <c r="AC1386" i="202"/>
  <c r="AC1387" i="202"/>
  <c r="AC1388" i="202"/>
  <c r="AC1389" i="202"/>
  <c r="AC1390" i="202"/>
  <c r="AC1391" i="202"/>
  <c r="AC1392" i="202"/>
  <c r="AC1393" i="202"/>
  <c r="AC1394" i="202"/>
  <c r="AC1395" i="202"/>
  <c r="AC1396" i="202"/>
  <c r="AC1397" i="202"/>
  <c r="AC1398" i="202"/>
  <c r="AC1399" i="202"/>
  <c r="AC1400" i="202"/>
  <c r="AC1401" i="202"/>
  <c r="AC1402" i="202"/>
  <c r="AC1403" i="202"/>
  <c r="AC1404" i="202"/>
  <c r="AC1405" i="202"/>
  <c r="AC1406" i="202"/>
  <c r="AC1407" i="202"/>
  <c r="AC1408" i="202"/>
  <c r="AC1409" i="202"/>
  <c r="AC1410" i="202"/>
  <c r="AC1411" i="202"/>
  <c r="AC1412" i="202"/>
  <c r="AC1413" i="202"/>
  <c r="AC1414" i="202"/>
  <c r="AC1415" i="202"/>
  <c r="AC1416" i="202"/>
  <c r="AC1417" i="202"/>
  <c r="AC1418" i="202"/>
  <c r="AC1419" i="202"/>
  <c r="AC1420" i="202"/>
  <c r="AC1421" i="202"/>
  <c r="AC1422" i="202"/>
  <c r="AC1423" i="202"/>
  <c r="AC1424" i="202"/>
  <c r="AC1425" i="202"/>
  <c r="AC1426" i="202"/>
  <c r="AC1427" i="202"/>
  <c r="AC1428" i="202"/>
  <c r="AC1429" i="202"/>
  <c r="AC1430" i="202"/>
  <c r="AC1431" i="202"/>
  <c r="AC1432" i="202"/>
  <c r="AC1433" i="202"/>
  <c r="AC1434" i="202"/>
  <c r="AC1435" i="202"/>
  <c r="AC1436" i="202"/>
  <c r="AC1437" i="202"/>
  <c r="AC1438" i="202"/>
  <c r="AC1439" i="202"/>
  <c r="AC1440" i="202"/>
  <c r="AC1441" i="202"/>
  <c r="AC1442" i="202"/>
  <c r="AC1443" i="202"/>
  <c r="AC1444" i="202"/>
  <c r="AC1445" i="202"/>
  <c r="AC1446" i="202"/>
  <c r="AC1447" i="202"/>
  <c r="AC1448" i="202"/>
  <c r="AC1449" i="202"/>
  <c r="AC1450" i="202"/>
  <c r="AC1451" i="202"/>
  <c r="AC1452" i="202"/>
  <c r="AC1453" i="202"/>
  <c r="AC1454" i="202"/>
  <c r="AC1455" i="202"/>
  <c r="AC1456" i="202"/>
  <c r="AC1457" i="202"/>
  <c r="AC1458" i="202"/>
  <c r="AC1459" i="202"/>
  <c r="AC1460" i="202"/>
  <c r="AC1461" i="202"/>
  <c r="AC1462" i="202"/>
  <c r="AC1463" i="202"/>
  <c r="AC1464" i="202"/>
  <c r="AC1465" i="202"/>
  <c r="AC1466" i="202"/>
  <c r="AC1467" i="202"/>
  <c r="AC1468" i="202"/>
  <c r="AC1469" i="202"/>
  <c r="AC1470" i="202"/>
  <c r="AC1471" i="202"/>
  <c r="AC1472" i="202"/>
  <c r="AC1473" i="202"/>
  <c r="AC1474" i="202"/>
  <c r="AC1475" i="202"/>
  <c r="AC1476" i="202"/>
  <c r="AC1477" i="202"/>
  <c r="AC1478" i="202"/>
  <c r="AC1479" i="202"/>
  <c r="AC1480" i="202"/>
  <c r="AC1481" i="202"/>
  <c r="AC1482" i="202"/>
  <c r="AC1483" i="202"/>
  <c r="AC1484" i="202"/>
  <c r="AC1485" i="202"/>
  <c r="AC1486" i="202"/>
  <c r="AC1487" i="202"/>
  <c r="AC1488" i="202"/>
  <c r="AC1489" i="202"/>
  <c r="AC1490" i="202"/>
  <c r="AC1491" i="202"/>
  <c r="AC1492" i="202"/>
  <c r="AC1493" i="202"/>
  <c r="AC1494" i="202"/>
  <c r="AC1495" i="202"/>
  <c r="AC1496" i="202"/>
  <c r="AC1497" i="202"/>
  <c r="AC1498" i="202"/>
  <c r="AC1499" i="202"/>
  <c r="AC1500" i="202"/>
  <c r="AC1501" i="202"/>
  <c r="AC1502" i="202"/>
  <c r="AC1503" i="202"/>
  <c r="AC1504" i="202"/>
  <c r="AC1505" i="202"/>
  <c r="AC1506" i="202"/>
  <c r="AC1507" i="202"/>
  <c r="AC1508" i="202"/>
  <c r="AC1509" i="202"/>
  <c r="AC1510" i="202"/>
  <c r="AC1511" i="202"/>
  <c r="AC1512" i="202"/>
  <c r="AC1513" i="202"/>
  <c r="AC1514" i="202"/>
  <c r="AC1515" i="202"/>
  <c r="AC1516" i="202"/>
  <c r="AC1517" i="202"/>
  <c r="AC1518" i="202"/>
  <c r="AC1519" i="202"/>
  <c r="AC1520" i="202"/>
  <c r="AC1521" i="202"/>
  <c r="AC1522" i="202"/>
  <c r="AC1523" i="202"/>
  <c r="AC1524" i="202"/>
  <c r="AC1525" i="202"/>
  <c r="AC1526" i="202"/>
  <c r="AC1527" i="202"/>
  <c r="AC1528" i="202"/>
  <c r="AC1529" i="202"/>
  <c r="AC1530" i="202"/>
  <c r="AC1531" i="202"/>
  <c r="AC1532" i="202"/>
  <c r="AC1533" i="202"/>
  <c r="AC1534" i="202"/>
  <c r="AC1535" i="202"/>
  <c r="AC1536" i="202"/>
  <c r="AC1537" i="202"/>
  <c r="AC1538" i="202"/>
  <c r="AC1539" i="202"/>
  <c r="AC1540" i="202"/>
  <c r="AC1541" i="202"/>
  <c r="AC1542" i="202"/>
  <c r="AC1543" i="202"/>
  <c r="AC1544" i="202"/>
  <c r="AC1545" i="202"/>
  <c r="AC1546" i="202"/>
  <c r="AC1547" i="202"/>
  <c r="AC1548" i="202"/>
  <c r="AC1549" i="202"/>
  <c r="AC1550" i="202"/>
  <c r="AC1551" i="202"/>
  <c r="AC1552" i="202"/>
  <c r="AC1553" i="202"/>
  <c r="AC1554" i="202"/>
  <c r="AC1555" i="202"/>
  <c r="AC1556" i="202"/>
  <c r="AC1557" i="202"/>
  <c r="AC1558" i="202"/>
  <c r="AC1559" i="202"/>
  <c r="AC1560" i="202"/>
  <c r="AC1561" i="202"/>
  <c r="AC1562" i="202"/>
  <c r="AC1563" i="202"/>
  <c r="AC1564" i="202"/>
  <c r="AC1565" i="202"/>
  <c r="AC1566" i="202"/>
  <c r="AC1567" i="202"/>
  <c r="AC1568" i="202"/>
  <c r="AC1569" i="202"/>
  <c r="AC1570" i="202"/>
  <c r="AC1571" i="202"/>
  <c r="AC1572" i="202"/>
  <c r="AC1573" i="202"/>
  <c r="AC1574" i="202"/>
  <c r="AC1575" i="202"/>
  <c r="AC1576" i="202"/>
  <c r="AC1577" i="202"/>
  <c r="AC1578" i="202"/>
  <c r="AC1579" i="202"/>
  <c r="AC1580" i="202"/>
  <c r="AC1581" i="202"/>
  <c r="AC1582" i="202"/>
  <c r="AC1583" i="202"/>
  <c r="AC1584" i="202"/>
  <c r="AC1585" i="202"/>
  <c r="AC1586" i="202"/>
  <c r="AC1587" i="202"/>
  <c r="AC1588" i="202"/>
  <c r="AC1589" i="202"/>
  <c r="AC1590" i="202"/>
  <c r="AC1591" i="202"/>
  <c r="AC1592" i="202"/>
  <c r="AC1593" i="202"/>
  <c r="AC1594" i="202"/>
  <c r="AC1595" i="202"/>
  <c r="AC1596" i="202"/>
  <c r="AC1597" i="202"/>
  <c r="AC1598" i="202"/>
  <c r="AC1599" i="202"/>
  <c r="AC1600" i="202"/>
  <c r="AC1601" i="202"/>
  <c r="AC1602" i="202"/>
  <c r="AC1603" i="202"/>
  <c r="AC1604" i="202"/>
  <c r="AC1605" i="202"/>
  <c r="AC1606" i="202"/>
  <c r="AC1607" i="202"/>
  <c r="AC1608" i="202"/>
  <c r="AC1609" i="202"/>
  <c r="AC1610" i="202"/>
  <c r="AC1611" i="202"/>
  <c r="AC1612" i="202"/>
  <c r="AC1613" i="202"/>
  <c r="AC1614" i="202"/>
  <c r="AC1615" i="202"/>
  <c r="AC1616" i="202"/>
  <c r="AC1617" i="202"/>
  <c r="AC1618" i="202"/>
  <c r="AC1619" i="202"/>
  <c r="AC1620" i="202"/>
  <c r="AC1621" i="202"/>
  <c r="AC1622" i="202"/>
  <c r="AC1623" i="202"/>
  <c r="AC1624" i="202"/>
  <c r="AC1625" i="202"/>
  <c r="AC1626" i="202"/>
  <c r="AC1627" i="202"/>
  <c r="AC1628" i="202"/>
  <c r="AC1629" i="202"/>
  <c r="AC1630" i="202"/>
  <c r="AC1631" i="202"/>
  <c r="AC1632" i="202"/>
  <c r="AC1633" i="202"/>
  <c r="AC1634" i="202"/>
  <c r="AC1635" i="202"/>
  <c r="AC1636" i="202"/>
  <c r="AC1637" i="202"/>
  <c r="AC1638" i="202"/>
  <c r="AC1639" i="202"/>
  <c r="AC1640" i="202"/>
  <c r="AC1641" i="202"/>
  <c r="AC1642" i="202"/>
  <c r="AC1643" i="202"/>
  <c r="AC1644" i="202"/>
  <c r="AC1645" i="202"/>
  <c r="AC1646" i="202"/>
  <c r="AC1647" i="202"/>
  <c r="AC1648" i="202"/>
  <c r="AC1649" i="202"/>
  <c r="AC1650" i="202"/>
  <c r="AC1651" i="202"/>
  <c r="AC1652" i="202"/>
  <c r="AC1653" i="202"/>
  <c r="AC1654" i="202"/>
  <c r="AC1655" i="202"/>
  <c r="AC1656" i="202"/>
  <c r="AC1657" i="202"/>
  <c r="AC1658" i="202"/>
  <c r="AC1659" i="202"/>
  <c r="AC1660" i="202"/>
  <c r="AC1661" i="202"/>
  <c r="AC1662" i="202"/>
  <c r="AC1663" i="202"/>
  <c r="AC1664" i="202"/>
  <c r="AC1665" i="202"/>
  <c r="AC1666" i="202"/>
  <c r="AC1667" i="202"/>
  <c r="AC1668" i="202"/>
  <c r="AC1669" i="202"/>
  <c r="AC1670" i="202"/>
  <c r="AC1671" i="202"/>
  <c r="AC1672" i="202"/>
  <c r="AC1673" i="202"/>
  <c r="AC1674" i="202"/>
  <c r="AC1675" i="202"/>
  <c r="AC1676" i="202"/>
  <c r="AC1677" i="202"/>
  <c r="AC1678" i="202"/>
  <c r="AC1679" i="202"/>
  <c r="AC1680" i="202"/>
  <c r="AC1681" i="202"/>
  <c r="AC1682" i="202"/>
  <c r="AC1683" i="202"/>
  <c r="AC1684" i="202"/>
  <c r="AC1685" i="202"/>
  <c r="AC1686" i="202"/>
  <c r="AC1687" i="202"/>
  <c r="AC1688" i="202"/>
  <c r="AC1689" i="202"/>
  <c r="AC1690" i="202"/>
  <c r="AC1691" i="202"/>
  <c r="AC1692" i="202"/>
  <c r="AC1693" i="202"/>
  <c r="AC1694" i="202"/>
  <c r="AC1695" i="202"/>
  <c r="AC1696" i="202"/>
  <c r="AC1697" i="202"/>
  <c r="AC1698" i="202"/>
  <c r="AC1699" i="202"/>
  <c r="AC1700" i="202"/>
  <c r="AC1701" i="202"/>
  <c r="AC1702" i="202"/>
  <c r="AC1703" i="202"/>
  <c r="AC1704" i="202"/>
  <c r="AC1705" i="202"/>
  <c r="AC1706" i="202"/>
  <c r="AC1707" i="202"/>
  <c r="AC1708" i="202"/>
  <c r="AC1709" i="202"/>
  <c r="AC1710" i="202"/>
  <c r="AC1711" i="202"/>
  <c r="AC1712" i="202"/>
  <c r="AC1713" i="202"/>
  <c r="AC1714" i="202"/>
  <c r="AC1715" i="202"/>
  <c r="AC1716" i="202"/>
  <c r="AC1717" i="202"/>
  <c r="AC1718" i="202"/>
  <c r="AC1719" i="202"/>
  <c r="AC1720" i="202"/>
  <c r="AC1721" i="202"/>
  <c r="AC1722" i="202"/>
  <c r="AC1723" i="202"/>
  <c r="AC1724" i="202"/>
  <c r="AC1725" i="202"/>
  <c r="AC1726" i="202"/>
  <c r="AC1727" i="202"/>
  <c r="AC1728" i="202"/>
  <c r="AC1729" i="202"/>
  <c r="AC1730" i="202"/>
  <c r="AC1731" i="202"/>
  <c r="AC1732" i="202"/>
  <c r="AC1733" i="202"/>
  <c r="AC1734" i="202"/>
  <c r="AC1735" i="202"/>
  <c r="AC1736" i="202"/>
  <c r="AC1737" i="202"/>
  <c r="AC1738" i="202"/>
  <c r="AC1739" i="202"/>
  <c r="AC1740" i="202"/>
  <c r="AC1741" i="202"/>
  <c r="AC1742" i="202"/>
  <c r="AC1743" i="202"/>
  <c r="AC1744" i="202"/>
  <c r="AC1745" i="202"/>
  <c r="AC1746" i="202"/>
  <c r="AC1747" i="202"/>
  <c r="AC1748" i="202"/>
  <c r="AC1749" i="202"/>
  <c r="AC1750" i="202"/>
  <c r="AC1751" i="202"/>
  <c r="AC1752" i="202"/>
  <c r="AC1753" i="202"/>
  <c r="AC1754" i="202"/>
  <c r="AC1755" i="202"/>
  <c r="AC1756" i="202"/>
  <c r="AC1757" i="202"/>
  <c r="AC1758" i="202"/>
  <c r="AC1759" i="202"/>
  <c r="AC1760" i="202"/>
  <c r="AC1761" i="202"/>
  <c r="AC1762" i="202"/>
  <c r="AC1763" i="202"/>
  <c r="AC1764" i="202"/>
  <c r="AC1765" i="202"/>
  <c r="AC1766" i="202"/>
  <c r="AC1767" i="202"/>
  <c r="AC1768" i="202"/>
  <c r="AC1769" i="202"/>
  <c r="AC1770" i="202"/>
  <c r="AC1771" i="202"/>
  <c r="AC1772" i="202"/>
  <c r="AC1773" i="202"/>
  <c r="AC1774" i="202"/>
  <c r="AC1775" i="202"/>
  <c r="AC1776" i="202"/>
  <c r="AC1777" i="202"/>
  <c r="AC1778" i="202"/>
  <c r="AC1779" i="202"/>
  <c r="AC1780" i="202"/>
  <c r="AC1781" i="202"/>
  <c r="AC1782" i="202"/>
  <c r="AC1783" i="202"/>
  <c r="AC1784" i="202"/>
  <c r="AC1785" i="202"/>
  <c r="AC1786" i="202"/>
  <c r="AC1787" i="202"/>
  <c r="AC1788" i="202"/>
  <c r="AC1789" i="202"/>
  <c r="AC1790" i="202"/>
  <c r="AC1791" i="202"/>
  <c r="AC1792" i="202"/>
  <c r="AC1793" i="202"/>
  <c r="AC1794" i="202"/>
  <c r="AC1795" i="202"/>
  <c r="AC1796" i="202"/>
  <c r="AC1797" i="202"/>
  <c r="AC1798" i="202"/>
  <c r="AC1799" i="202"/>
  <c r="AC1800" i="202"/>
  <c r="AC1801" i="202"/>
  <c r="AC1802" i="202"/>
  <c r="AC1803" i="202"/>
  <c r="AC1804" i="202"/>
  <c r="AC1805" i="202"/>
  <c r="AC1806" i="202"/>
  <c r="AC1807" i="202"/>
  <c r="AC1808" i="202"/>
  <c r="AC1809" i="202"/>
  <c r="AC1810" i="202"/>
  <c r="AC1811" i="202"/>
  <c r="AC1812" i="202"/>
  <c r="AC1813" i="202"/>
  <c r="AC1814" i="202"/>
  <c r="AC1815" i="202"/>
  <c r="AC1816" i="202"/>
  <c r="AC1817" i="202"/>
  <c r="AC1818" i="202"/>
  <c r="AC1819" i="202"/>
  <c r="AC1820" i="202"/>
  <c r="AC1821" i="202"/>
  <c r="AC1822" i="202"/>
  <c r="AC1823" i="202"/>
  <c r="AC1824" i="202"/>
  <c r="AC1825" i="202"/>
  <c r="AC1826" i="202"/>
  <c r="AC1827" i="202"/>
  <c r="AC1828" i="202"/>
  <c r="AC1829" i="202"/>
  <c r="AC1830" i="202"/>
  <c r="AC1831" i="202"/>
  <c r="AC1832" i="202"/>
  <c r="AC1833" i="202"/>
  <c r="AC1834" i="202"/>
  <c r="AC1835" i="202"/>
  <c r="AC1836" i="202"/>
  <c r="AC1837" i="202"/>
  <c r="AC1838" i="202"/>
  <c r="AC1839" i="202"/>
  <c r="AC1840" i="202"/>
  <c r="AC1841" i="202"/>
  <c r="AC1842" i="202"/>
  <c r="AC1843" i="202"/>
  <c r="AC1844" i="202"/>
  <c r="AC1845" i="202"/>
  <c r="AC1846" i="202"/>
  <c r="AC1847" i="202"/>
  <c r="AC1848" i="202"/>
  <c r="AC1849" i="202"/>
  <c r="AC1850" i="202"/>
  <c r="AC1851" i="202"/>
  <c r="AC1852" i="202"/>
  <c r="AC1853" i="202"/>
  <c r="AC1854" i="202"/>
  <c r="AC1855" i="202"/>
  <c r="AC1856" i="202"/>
  <c r="AC1857" i="202"/>
  <c r="AC1858" i="202"/>
  <c r="AC1859" i="202"/>
  <c r="AC1860" i="202"/>
  <c r="AC1861" i="202"/>
  <c r="AC1862" i="202"/>
  <c r="AC1863" i="202"/>
  <c r="AC1864" i="202"/>
  <c r="AC1865" i="202"/>
  <c r="AC1866" i="202"/>
  <c r="AC1867" i="202"/>
  <c r="AC1868" i="202"/>
  <c r="AC1869" i="202"/>
  <c r="AC1870" i="202"/>
  <c r="AC1871" i="202"/>
  <c r="AC1872" i="202"/>
  <c r="AC1873" i="202"/>
  <c r="AC1874" i="202"/>
  <c r="AC1875" i="202"/>
  <c r="AC1876" i="202"/>
  <c r="AC1877" i="202"/>
  <c r="AC1878" i="202"/>
  <c r="AC1879" i="202"/>
  <c r="AC1880" i="202"/>
  <c r="AC1881" i="202"/>
  <c r="AC1882" i="202"/>
  <c r="AC1883" i="202"/>
  <c r="AC1884" i="202"/>
  <c r="AC1885" i="202"/>
  <c r="AC1886" i="202"/>
  <c r="AC1887" i="202"/>
  <c r="AC1888" i="202"/>
  <c r="AC1889" i="202"/>
  <c r="AC1890" i="202"/>
  <c r="AC1891" i="202"/>
  <c r="AC1892" i="202"/>
  <c r="AC1893" i="202"/>
  <c r="AC1894" i="202"/>
  <c r="AC1895" i="202"/>
  <c r="AC1896" i="202"/>
  <c r="AC1897" i="202"/>
  <c r="AC1898" i="202"/>
  <c r="AC1899" i="202"/>
  <c r="AC1900" i="202"/>
  <c r="AC1901" i="202"/>
  <c r="AC1902" i="202"/>
  <c r="AC1903" i="202"/>
  <c r="AC1904" i="202"/>
  <c r="AC1905" i="202"/>
  <c r="AC1906" i="202"/>
  <c r="AC1907" i="202"/>
  <c r="AC1908" i="202"/>
  <c r="AC1909" i="202"/>
  <c r="AC1910" i="202"/>
  <c r="AC1911" i="202"/>
  <c r="AC1912" i="202"/>
  <c r="AC1913" i="202"/>
  <c r="AC1914" i="202"/>
  <c r="AC1915" i="202"/>
  <c r="AC1916" i="202"/>
  <c r="AC1917" i="202"/>
  <c r="AC1918" i="202"/>
  <c r="AC1919" i="202"/>
  <c r="AC1920" i="202"/>
  <c r="AC1921" i="202"/>
  <c r="AC1922" i="202"/>
  <c r="AC1923" i="202"/>
  <c r="AC1924" i="202"/>
  <c r="AC1925" i="202"/>
  <c r="AC1926" i="202"/>
  <c r="AC1927" i="202"/>
  <c r="AC1928" i="202"/>
  <c r="AC1929" i="202"/>
  <c r="AC1930" i="202"/>
  <c r="AC1931" i="202"/>
  <c r="AC1932" i="202"/>
  <c r="AC1933" i="202"/>
  <c r="AC1934" i="202"/>
  <c r="AC1935" i="202"/>
  <c r="AC1936" i="202"/>
  <c r="AC1937" i="202"/>
  <c r="AC1938" i="202"/>
  <c r="AC1939" i="202"/>
  <c r="AC1940" i="202"/>
  <c r="AC1941" i="202"/>
  <c r="AC1942" i="202"/>
  <c r="AC1943" i="202"/>
  <c r="AC1944" i="202"/>
  <c r="AC1945" i="202"/>
  <c r="AC1946" i="202"/>
  <c r="AC1947" i="202"/>
  <c r="AC1948" i="202"/>
  <c r="AC1949" i="202"/>
  <c r="AC1950" i="202"/>
  <c r="AC1951" i="202"/>
  <c r="AC1952" i="202"/>
  <c r="AC1953" i="202"/>
  <c r="AC1954" i="202"/>
  <c r="AC1955" i="202"/>
  <c r="AC1956" i="202"/>
  <c r="AC1957" i="202"/>
  <c r="AC1958" i="202"/>
  <c r="AC1959" i="202"/>
  <c r="AC1960" i="202"/>
  <c r="AC1961" i="202"/>
  <c r="AC1962" i="202"/>
  <c r="AC1963" i="202"/>
  <c r="AC1964" i="202"/>
  <c r="AC1965" i="202"/>
  <c r="AC1966" i="202"/>
  <c r="AC1967" i="202"/>
  <c r="AC1968" i="202"/>
  <c r="AC1969" i="202"/>
  <c r="AC1970" i="202"/>
  <c r="AC1971" i="202"/>
  <c r="AC1972" i="202"/>
  <c r="AC1973" i="202"/>
  <c r="AC1974" i="202"/>
  <c r="AC1975" i="202"/>
  <c r="AC1976" i="202"/>
  <c r="AC1977" i="202"/>
  <c r="AC1978" i="202"/>
  <c r="AC1979" i="202"/>
  <c r="AC1980" i="202"/>
  <c r="AC1981" i="202"/>
  <c r="AC1982" i="202"/>
  <c r="AC1983" i="202"/>
  <c r="AC1984" i="202"/>
  <c r="AC1985" i="202"/>
  <c r="AC1986" i="202"/>
  <c r="AC1987" i="202"/>
  <c r="AC1988" i="202"/>
  <c r="AC1989" i="202"/>
  <c r="AC1990" i="202"/>
  <c r="AC1991" i="202"/>
  <c r="AC1992" i="202"/>
  <c r="AC1993" i="202"/>
  <c r="AC1994" i="202"/>
  <c r="AC1995" i="202"/>
  <c r="AC1996" i="202"/>
  <c r="AC1997" i="202"/>
  <c r="AC1998" i="202"/>
  <c r="AC1999" i="202"/>
  <c r="AC2000" i="202"/>
  <c r="AC2001" i="202"/>
  <c r="AC2002" i="202"/>
  <c r="AC2003" i="202"/>
  <c r="AC2004" i="202"/>
  <c r="AC2005" i="202"/>
  <c r="AC2006" i="202"/>
  <c r="AC2007" i="202"/>
  <c r="AC2008" i="202"/>
  <c r="AC2009" i="202"/>
  <c r="AC2010" i="202"/>
  <c r="AC2011" i="202"/>
  <c r="AC2012" i="202"/>
  <c r="AC2013" i="202"/>
  <c r="AC2014" i="202"/>
  <c r="AC2015" i="202"/>
  <c r="AC2016" i="202"/>
  <c r="AC2017" i="202"/>
  <c r="AC2018" i="202"/>
  <c r="AC2019" i="202"/>
  <c r="AC2020" i="202"/>
  <c r="AC2021" i="202"/>
  <c r="AC2022" i="202"/>
  <c r="AC2023" i="202"/>
  <c r="AC2024" i="202"/>
  <c r="AC2025" i="202"/>
  <c r="AC2026" i="202"/>
  <c r="AC2027" i="202"/>
  <c r="AC2028" i="202"/>
  <c r="AC2029" i="202"/>
  <c r="AC2030" i="202"/>
  <c r="AC2031" i="202"/>
  <c r="AC2032" i="202"/>
  <c r="AC2033" i="202"/>
  <c r="AC2034" i="202"/>
  <c r="AC2035" i="202"/>
  <c r="AC2036" i="202"/>
  <c r="AC2037" i="202"/>
  <c r="AC2038" i="202"/>
  <c r="AC2039" i="202"/>
  <c r="AC2040" i="202"/>
  <c r="AC2041" i="202"/>
  <c r="AC2042" i="202"/>
  <c r="AC2043" i="202"/>
  <c r="AC2044" i="202"/>
  <c r="AC2045" i="202"/>
  <c r="AC2046" i="202"/>
  <c r="AC2047" i="202"/>
  <c r="AC2048" i="202"/>
  <c r="BD2" i="202"/>
  <c r="BD3" i="202"/>
  <c r="BD4" i="202"/>
  <c r="BD5" i="202"/>
  <c r="BD6" i="202"/>
  <c r="BD7" i="202"/>
  <c r="BD8" i="202"/>
  <c r="BD9" i="202"/>
  <c r="BD10" i="202"/>
  <c r="BD11" i="202"/>
  <c r="BD12" i="202"/>
  <c r="BD13" i="202"/>
  <c r="BD14" i="202"/>
  <c r="BD15" i="202"/>
  <c r="BD16" i="202"/>
  <c r="BD17" i="202"/>
  <c r="BD18" i="202"/>
  <c r="BD19" i="202"/>
  <c r="BD20" i="202"/>
  <c r="BD21" i="202"/>
  <c r="BD22" i="202"/>
  <c r="BD23" i="202"/>
  <c r="BD24" i="202"/>
  <c r="BD25" i="202"/>
  <c r="BD26" i="202"/>
  <c r="BD27" i="202"/>
  <c r="BD28" i="202"/>
  <c r="BD29" i="202"/>
  <c r="BD30" i="202"/>
  <c r="BD31" i="202"/>
  <c r="BD32" i="202"/>
  <c r="BD33" i="202"/>
  <c r="BD34" i="202"/>
  <c r="BD35" i="202"/>
  <c r="BD36" i="202"/>
  <c r="BD37" i="202"/>
  <c r="BD38" i="202"/>
  <c r="BD39" i="202"/>
  <c r="BD40" i="202"/>
  <c r="BD41" i="202"/>
  <c r="BD42" i="202"/>
  <c r="BD43" i="202"/>
  <c r="BD44" i="202"/>
  <c r="BD45" i="202"/>
  <c r="BD46" i="202"/>
  <c r="BD47" i="202"/>
  <c r="BD48" i="202"/>
  <c r="BD49" i="202"/>
  <c r="BD50" i="202"/>
  <c r="BD51" i="202"/>
  <c r="BD52" i="202"/>
  <c r="BD53" i="202"/>
  <c r="BD54" i="202"/>
  <c r="BD55" i="202"/>
  <c r="BD56" i="202"/>
  <c r="BD57" i="202"/>
  <c r="BD58" i="202"/>
  <c r="BD59" i="202"/>
  <c r="BD60" i="202"/>
  <c r="BD61" i="202"/>
  <c r="BD62" i="202"/>
  <c r="BD63" i="202"/>
  <c r="BD64" i="202"/>
  <c r="BD65" i="202"/>
  <c r="BD66" i="202"/>
  <c r="BD67" i="202"/>
  <c r="BD68" i="202"/>
  <c r="BD69" i="202"/>
  <c r="BD70" i="202"/>
  <c r="BD71" i="202"/>
  <c r="BD72" i="202"/>
  <c r="BD73" i="202"/>
  <c r="BD74" i="202"/>
  <c r="BD75" i="202"/>
  <c r="BD76" i="202"/>
  <c r="BD77" i="202"/>
  <c r="BD78" i="202"/>
  <c r="BD79" i="202"/>
  <c r="BD80" i="202"/>
  <c r="BD81" i="202"/>
  <c r="BD82" i="202"/>
  <c r="BD83" i="202"/>
  <c r="BD84" i="202"/>
  <c r="BD85" i="202"/>
  <c r="BD86" i="202"/>
  <c r="BD87" i="202"/>
  <c r="BD88" i="202"/>
  <c r="BD89" i="202"/>
  <c r="BD90" i="202"/>
  <c r="BD91" i="202"/>
  <c r="BD92" i="202"/>
  <c r="BD93" i="202"/>
  <c r="BD94" i="202"/>
  <c r="BD95" i="202"/>
  <c r="BD96" i="202"/>
  <c r="BD97" i="202"/>
  <c r="BD98" i="202"/>
  <c r="BD99" i="202"/>
  <c r="BD100" i="202"/>
  <c r="BD101" i="202"/>
  <c r="BD102" i="202"/>
  <c r="BD103" i="202"/>
  <c r="BD104" i="202"/>
  <c r="BD105" i="202"/>
  <c r="BD106" i="202"/>
  <c r="BD107" i="202"/>
  <c r="BD108" i="202"/>
  <c r="BD109" i="202"/>
  <c r="BD110" i="202"/>
  <c r="BD111" i="202"/>
  <c r="BD112" i="202"/>
  <c r="BD113" i="202"/>
  <c r="BD114" i="202"/>
  <c r="BD115" i="202"/>
  <c r="BD116" i="202"/>
  <c r="BD117" i="202"/>
  <c r="BD118" i="202"/>
  <c r="BD119" i="202"/>
  <c r="BD120" i="202"/>
  <c r="BD121" i="202"/>
  <c r="BD122" i="202"/>
  <c r="BD123" i="202"/>
  <c r="BD124" i="202"/>
  <c r="BD125" i="202"/>
  <c r="BD126" i="202"/>
  <c r="BD127" i="202"/>
  <c r="BD128" i="202"/>
  <c r="BD129" i="202"/>
  <c r="BD130" i="202"/>
  <c r="BD131" i="202"/>
  <c r="BD132" i="202"/>
  <c r="BD133" i="202"/>
  <c r="BD134" i="202"/>
  <c r="BD135" i="202"/>
  <c r="BD136" i="202"/>
  <c r="BD137" i="202"/>
  <c r="BD138" i="202"/>
  <c r="BD139" i="202"/>
  <c r="BD140" i="202"/>
  <c r="BD141" i="202"/>
  <c r="BD142" i="202"/>
  <c r="BD143" i="202"/>
  <c r="BD144" i="202"/>
  <c r="BD145" i="202"/>
  <c r="BD146" i="202"/>
  <c r="BD147" i="202"/>
  <c r="BD148" i="202"/>
  <c r="BD149" i="202"/>
  <c r="BD150" i="202"/>
  <c r="BD151" i="202"/>
  <c r="BD152" i="202"/>
  <c r="BD153" i="202"/>
  <c r="BD154" i="202"/>
  <c r="BD155" i="202"/>
  <c r="BD156" i="202"/>
  <c r="BD157" i="202"/>
  <c r="BD158" i="202"/>
  <c r="BD159" i="202"/>
  <c r="BD160" i="202"/>
  <c r="BD161" i="202"/>
  <c r="BD162" i="202"/>
  <c r="BD163" i="202"/>
  <c r="BD164" i="202"/>
  <c r="BD165" i="202"/>
  <c r="BD166" i="202"/>
  <c r="BD167" i="202"/>
  <c r="BD168" i="202"/>
  <c r="BD169" i="202"/>
  <c r="BD170" i="202"/>
  <c r="BD171" i="202"/>
  <c r="BD172" i="202"/>
  <c r="BD173" i="202"/>
  <c r="BD174" i="202"/>
  <c r="BD175" i="202"/>
  <c r="BD176" i="202"/>
  <c r="BD177" i="202"/>
  <c r="BD178" i="202"/>
  <c r="BD179" i="202"/>
  <c r="BD180" i="202"/>
  <c r="BD181" i="202"/>
  <c r="BD182" i="202"/>
  <c r="BD183" i="202"/>
  <c r="BD184" i="202"/>
  <c r="BD185" i="202"/>
  <c r="BD186" i="202"/>
  <c r="BD187" i="202"/>
  <c r="BD188" i="202"/>
  <c r="BD189" i="202"/>
  <c r="BD190" i="202"/>
  <c r="BD191" i="202"/>
  <c r="BD192" i="202"/>
  <c r="BD193" i="202"/>
  <c r="BD194" i="202"/>
  <c r="BD195" i="202"/>
  <c r="BD196" i="202"/>
  <c r="BD197" i="202"/>
  <c r="BD198" i="202"/>
  <c r="BD199" i="202"/>
  <c r="BD200" i="202"/>
  <c r="BD201" i="202"/>
  <c r="BD202" i="202"/>
  <c r="BD203" i="202"/>
  <c r="BD204" i="202"/>
  <c r="BD205" i="202"/>
  <c r="BD206" i="202"/>
  <c r="BD207" i="202"/>
  <c r="BD208" i="202"/>
  <c r="BD209" i="202"/>
  <c r="BD210" i="202"/>
  <c r="BD211" i="202"/>
  <c r="BD212" i="202"/>
  <c r="BD213" i="202"/>
  <c r="BD214" i="202"/>
  <c r="BD215" i="202"/>
  <c r="BD216" i="202"/>
  <c r="BD217" i="202"/>
  <c r="BD218" i="202"/>
  <c r="BD219" i="202"/>
  <c r="BD220" i="202"/>
  <c r="BD221" i="202"/>
  <c r="BD222" i="202"/>
  <c r="BD223" i="202"/>
  <c r="BD224" i="202"/>
  <c r="BD225" i="202"/>
  <c r="BD226" i="202"/>
  <c r="BD227" i="202"/>
  <c r="BD228" i="202"/>
  <c r="BD229" i="202"/>
  <c r="BD230" i="202"/>
  <c r="BD231" i="202"/>
  <c r="BD232" i="202"/>
  <c r="BD233" i="202"/>
  <c r="BD234" i="202"/>
  <c r="BD235" i="202"/>
  <c r="BD236" i="202"/>
  <c r="BD237" i="202"/>
  <c r="BD238" i="202"/>
  <c r="BD239" i="202"/>
  <c r="BD240" i="202"/>
  <c r="BD241" i="202"/>
  <c r="BD242" i="202"/>
  <c r="BD243" i="202"/>
  <c r="BD244" i="202"/>
  <c r="BD245" i="202"/>
  <c r="BD246" i="202"/>
  <c r="BD247" i="202"/>
  <c r="BD248" i="202"/>
  <c r="BD249" i="202"/>
  <c r="BD250" i="202"/>
  <c r="BD251" i="202"/>
  <c r="BD252" i="202"/>
  <c r="BD253" i="202"/>
  <c r="BD254" i="202"/>
  <c r="BD255" i="202"/>
  <c r="BD256" i="202"/>
  <c r="BD257" i="202"/>
  <c r="BD258" i="202"/>
  <c r="BD259" i="202"/>
  <c r="BD260" i="202"/>
  <c r="BD261" i="202"/>
  <c r="BD262" i="202"/>
  <c r="BD263" i="202"/>
  <c r="BD264" i="202"/>
  <c r="BD265" i="202"/>
  <c r="BD266" i="202"/>
  <c r="BD267" i="202"/>
  <c r="BD268" i="202"/>
  <c r="BD269" i="202"/>
  <c r="BD270" i="202"/>
  <c r="BD271" i="202"/>
  <c r="BD272" i="202"/>
  <c r="BD273" i="202"/>
  <c r="BD274" i="202"/>
  <c r="BD275" i="202"/>
  <c r="BD276" i="202"/>
  <c r="BD277" i="202"/>
  <c r="BD278" i="202"/>
  <c r="BD279" i="202"/>
  <c r="BD280" i="202"/>
  <c r="BD281" i="202"/>
  <c r="BD282" i="202"/>
  <c r="BD283" i="202"/>
  <c r="BD284" i="202"/>
  <c r="BD285" i="202"/>
  <c r="BD286" i="202"/>
  <c r="BD287" i="202"/>
  <c r="BD288" i="202"/>
  <c r="BD289" i="202"/>
  <c r="BD290" i="202"/>
  <c r="BD291" i="202"/>
  <c r="BD292" i="202"/>
  <c r="BD293" i="202"/>
  <c r="BD294" i="202"/>
  <c r="BD295" i="202"/>
  <c r="BD296" i="202"/>
  <c r="BD297" i="202"/>
  <c r="BD298" i="202"/>
  <c r="BD299" i="202"/>
  <c r="BD300" i="202"/>
  <c r="BD301" i="202"/>
  <c r="BD302" i="202"/>
  <c r="BD303" i="202"/>
  <c r="BD304" i="202"/>
  <c r="BD305" i="202"/>
  <c r="BD306" i="202"/>
  <c r="BD307" i="202"/>
  <c r="BD308" i="202"/>
  <c r="BD309" i="202"/>
  <c r="BD310" i="202"/>
  <c r="BD311" i="202"/>
  <c r="BD312" i="202"/>
  <c r="BD313" i="202"/>
  <c r="BD314" i="202"/>
  <c r="BD315" i="202"/>
  <c r="BD316" i="202"/>
  <c r="BD317" i="202"/>
  <c r="BD318" i="202"/>
  <c r="BD319" i="202"/>
  <c r="BD320" i="202"/>
  <c r="BD321" i="202"/>
  <c r="BD322" i="202"/>
  <c r="BD323" i="202"/>
  <c r="BD324" i="202"/>
  <c r="BD325" i="202"/>
  <c r="BD326" i="202"/>
  <c r="BD327" i="202"/>
  <c r="BD328" i="202"/>
  <c r="BD329" i="202"/>
  <c r="BD330" i="202"/>
  <c r="BD331" i="202"/>
  <c r="BD332" i="202"/>
  <c r="BD333" i="202"/>
  <c r="BD334" i="202"/>
  <c r="BD335" i="202"/>
  <c r="BD336" i="202"/>
  <c r="BD337" i="202"/>
  <c r="BD338" i="202"/>
  <c r="BD339" i="202"/>
  <c r="BD340" i="202"/>
  <c r="BD341" i="202"/>
  <c r="BD342" i="202"/>
  <c r="BD343" i="202"/>
  <c r="BD344" i="202"/>
  <c r="BD345" i="202"/>
  <c r="BD346" i="202"/>
  <c r="BD347" i="202"/>
  <c r="BD348" i="202"/>
  <c r="BD349" i="202"/>
  <c r="BD350" i="202"/>
  <c r="BD351" i="202"/>
  <c r="BD352" i="202"/>
  <c r="BD353" i="202"/>
  <c r="BD354" i="202"/>
  <c r="BD355" i="202"/>
  <c r="BD356" i="202"/>
  <c r="BD357" i="202"/>
  <c r="BD358" i="202"/>
  <c r="BD359" i="202"/>
  <c r="BD360" i="202"/>
  <c r="BD361" i="202"/>
  <c r="BD362" i="202"/>
  <c r="BD363" i="202"/>
  <c r="BD364" i="202"/>
  <c r="BD365" i="202"/>
  <c r="BD366" i="202"/>
  <c r="BD367" i="202"/>
  <c r="BD368" i="202"/>
  <c r="BD369" i="202"/>
  <c r="BD370" i="202"/>
  <c r="BD371" i="202"/>
  <c r="BD372" i="202"/>
  <c r="BD373" i="202"/>
  <c r="BD374" i="202"/>
  <c r="BD375" i="202"/>
  <c r="BD376" i="202"/>
  <c r="BD377" i="202"/>
  <c r="BD378" i="202"/>
  <c r="BD379" i="202"/>
  <c r="BD380" i="202"/>
  <c r="BD381" i="202"/>
  <c r="BD382" i="202"/>
  <c r="BD383" i="202"/>
  <c r="BD384" i="202"/>
  <c r="BD385" i="202"/>
  <c r="BD386" i="202"/>
  <c r="BD387" i="202"/>
  <c r="BD388" i="202"/>
  <c r="BD389" i="202"/>
  <c r="BD390" i="202"/>
  <c r="BD391" i="202"/>
  <c r="BD392" i="202"/>
  <c r="BD393" i="202"/>
  <c r="BD394" i="202"/>
  <c r="BD395" i="202"/>
  <c r="BD396" i="202"/>
  <c r="BD397" i="202"/>
  <c r="BD398" i="202"/>
  <c r="BD399" i="202"/>
  <c r="BD400" i="202"/>
  <c r="BD401" i="202"/>
  <c r="BD402" i="202"/>
  <c r="BD403" i="202"/>
  <c r="BD404" i="202"/>
  <c r="BD405" i="202"/>
  <c r="BD406" i="202"/>
  <c r="BD407" i="202"/>
  <c r="BD408" i="202"/>
  <c r="BD409" i="202"/>
  <c r="BD410" i="202"/>
  <c r="BD411" i="202"/>
  <c r="BD412" i="202"/>
  <c r="BD413" i="202"/>
  <c r="BD414" i="202"/>
  <c r="BD415" i="202"/>
  <c r="BD416" i="202"/>
  <c r="BD417" i="202"/>
  <c r="BD418" i="202"/>
  <c r="BD419" i="202"/>
  <c r="BD420" i="202"/>
  <c r="BD421" i="202"/>
  <c r="BD422" i="202"/>
  <c r="BD423" i="202"/>
  <c r="BD424" i="202"/>
  <c r="BD425" i="202"/>
  <c r="BD426" i="202"/>
  <c r="BD427" i="202"/>
  <c r="BD428" i="202"/>
  <c r="BD429" i="202"/>
  <c r="BD430" i="202"/>
  <c r="BD431" i="202"/>
  <c r="BD432" i="202"/>
  <c r="BD433" i="202"/>
  <c r="BD434" i="202"/>
  <c r="BD435" i="202"/>
  <c r="BD436" i="202"/>
  <c r="BD437" i="202"/>
  <c r="BD438" i="202"/>
  <c r="BD439" i="202"/>
  <c r="BD440" i="202"/>
  <c r="BD441" i="202"/>
  <c r="BD442" i="202"/>
  <c r="BD443" i="202"/>
  <c r="BD444" i="202"/>
  <c r="BD445" i="202"/>
  <c r="BD446" i="202"/>
  <c r="BD447" i="202"/>
  <c r="BD448" i="202"/>
  <c r="BD449" i="202"/>
  <c r="BD450" i="202"/>
  <c r="BD451" i="202"/>
  <c r="BD452" i="202"/>
  <c r="BD453" i="202"/>
  <c r="BD454" i="202"/>
  <c r="BD455" i="202"/>
  <c r="BD456" i="202"/>
  <c r="BD457" i="202"/>
  <c r="BD458" i="202"/>
  <c r="BD459" i="202"/>
  <c r="BD460" i="202"/>
  <c r="BD461" i="202"/>
  <c r="BD462" i="202"/>
  <c r="BD463" i="202"/>
  <c r="BD464" i="202"/>
  <c r="BD465" i="202"/>
  <c r="BD466" i="202"/>
  <c r="BD467" i="202"/>
  <c r="BD468" i="202"/>
  <c r="BD469" i="202"/>
  <c r="BD470" i="202"/>
  <c r="BD471" i="202"/>
  <c r="BD472" i="202"/>
  <c r="BD473" i="202"/>
  <c r="BD474" i="202"/>
  <c r="BD475" i="202"/>
  <c r="BD476" i="202"/>
  <c r="BD477" i="202"/>
  <c r="BD478" i="202"/>
  <c r="BD479" i="202"/>
  <c r="BD480" i="202"/>
  <c r="BD481" i="202"/>
  <c r="BD482" i="202"/>
  <c r="BD483" i="202"/>
  <c r="BD484" i="202"/>
  <c r="BD485" i="202"/>
  <c r="BD486" i="202"/>
  <c r="BD487" i="202"/>
  <c r="BD488" i="202"/>
  <c r="BD489" i="202"/>
  <c r="BD490" i="202"/>
  <c r="BD491" i="202"/>
  <c r="BD492" i="202"/>
  <c r="BD493" i="202"/>
  <c r="BD494" i="202"/>
  <c r="BD495" i="202"/>
  <c r="BD496" i="202"/>
  <c r="BD497" i="202"/>
  <c r="BD498" i="202"/>
  <c r="BD499" i="202"/>
  <c r="BD500" i="202"/>
  <c r="BD501" i="202"/>
  <c r="BD502" i="202"/>
  <c r="BD503" i="202"/>
  <c r="BD504" i="202"/>
  <c r="BD505" i="202"/>
  <c r="BD506" i="202"/>
  <c r="BD507" i="202"/>
  <c r="BD508" i="202"/>
  <c r="BD509" i="202"/>
  <c r="BD510" i="202"/>
  <c r="BD511" i="202"/>
  <c r="BD512" i="202"/>
  <c r="BD513" i="202"/>
  <c r="BD514" i="202"/>
  <c r="BD515" i="202"/>
  <c r="BD516" i="202"/>
  <c r="BD517" i="202"/>
  <c r="BD518" i="202"/>
  <c r="BD519" i="202"/>
  <c r="BD520" i="202"/>
  <c r="BD521" i="202"/>
  <c r="BD522" i="202"/>
  <c r="BD523" i="202"/>
  <c r="BD524" i="202"/>
  <c r="BD525" i="202"/>
  <c r="BD526" i="202"/>
  <c r="BD527" i="202"/>
  <c r="BD528" i="202"/>
  <c r="BD529" i="202"/>
  <c r="BD530" i="202"/>
  <c r="BD531" i="202"/>
  <c r="BD532" i="202"/>
  <c r="BD533" i="202"/>
  <c r="BD534" i="202"/>
  <c r="BD535" i="202"/>
  <c r="BD536" i="202"/>
  <c r="BD537" i="202"/>
  <c r="BD538" i="202"/>
  <c r="BD539" i="202"/>
  <c r="BD540" i="202"/>
  <c r="BD541" i="202"/>
  <c r="BD542" i="202"/>
  <c r="BD543" i="202"/>
  <c r="BD544" i="202"/>
  <c r="BD545" i="202"/>
  <c r="BD546" i="202"/>
  <c r="BD547" i="202"/>
  <c r="BD548" i="202"/>
  <c r="BD549" i="202"/>
  <c r="BD550" i="202"/>
  <c r="BD551" i="202"/>
  <c r="BD552" i="202"/>
  <c r="BD553" i="202"/>
  <c r="BD554" i="202"/>
  <c r="BD555" i="202"/>
  <c r="BD556" i="202"/>
  <c r="BD557" i="202"/>
  <c r="BD558" i="202"/>
  <c r="BD559" i="202"/>
  <c r="BD560" i="202"/>
  <c r="BD561" i="202"/>
  <c r="BD562" i="202"/>
  <c r="BD563" i="202"/>
  <c r="BD564" i="202"/>
  <c r="BD565" i="202"/>
  <c r="BD566" i="202"/>
  <c r="BD567" i="202"/>
  <c r="BD568" i="202"/>
  <c r="BD569" i="202"/>
  <c r="BD570" i="202"/>
  <c r="BD571" i="202"/>
  <c r="BD572" i="202"/>
  <c r="BD573" i="202"/>
  <c r="BD574" i="202"/>
  <c r="BD575" i="202"/>
  <c r="BD576" i="202"/>
  <c r="BD577" i="202"/>
  <c r="BD578" i="202"/>
  <c r="BD579" i="202"/>
  <c r="BD580" i="202"/>
  <c r="BD581" i="202"/>
  <c r="BD582" i="202"/>
  <c r="BD583" i="202"/>
  <c r="BD584" i="202"/>
  <c r="BD585" i="202"/>
  <c r="BD586" i="202"/>
  <c r="BD587" i="202"/>
  <c r="BD588" i="202"/>
  <c r="BD589" i="202"/>
  <c r="BD590" i="202"/>
  <c r="BD591" i="202"/>
  <c r="BD592" i="202"/>
  <c r="BD593" i="202"/>
  <c r="BD594" i="202"/>
  <c r="BD595" i="202"/>
  <c r="BD596" i="202"/>
  <c r="BD597" i="202"/>
  <c r="BD598" i="202"/>
  <c r="BD599" i="202"/>
  <c r="BD600" i="202"/>
  <c r="BD601" i="202"/>
  <c r="BD602" i="202"/>
  <c r="BD603" i="202"/>
  <c r="BD604" i="202"/>
  <c r="BD605" i="202"/>
  <c r="BD606" i="202"/>
  <c r="BD607" i="202"/>
  <c r="BD608" i="202"/>
  <c r="BD609" i="202"/>
  <c r="BD610" i="202"/>
  <c r="BD611" i="202"/>
  <c r="BD612" i="202"/>
  <c r="BD613" i="202"/>
  <c r="BD614" i="202"/>
  <c r="BD615" i="202"/>
  <c r="BD616" i="202"/>
  <c r="BD617" i="202"/>
  <c r="BD618" i="202"/>
  <c r="BD619" i="202"/>
  <c r="BD620" i="202"/>
  <c r="BD621" i="202"/>
  <c r="BD622" i="202"/>
  <c r="BD623" i="202"/>
  <c r="BD624" i="202"/>
  <c r="BD625" i="202"/>
  <c r="BD626" i="202"/>
  <c r="BD627" i="202"/>
  <c r="BD628" i="202"/>
  <c r="BD629" i="202"/>
  <c r="BD630" i="202"/>
  <c r="BD631" i="202"/>
  <c r="BD632" i="202"/>
  <c r="BD633" i="202"/>
  <c r="BD634" i="202"/>
  <c r="BD635" i="202"/>
  <c r="BD636" i="202"/>
  <c r="BD637" i="202"/>
  <c r="BD638" i="202"/>
  <c r="BD639" i="202"/>
  <c r="BD640" i="202"/>
  <c r="BD641" i="202"/>
  <c r="BD642" i="202"/>
  <c r="BD643" i="202"/>
  <c r="BD644" i="202"/>
  <c r="BD645" i="202"/>
  <c r="BD646" i="202"/>
  <c r="BD647" i="202"/>
  <c r="BD648" i="202"/>
  <c r="BD649" i="202"/>
  <c r="BD650" i="202"/>
  <c r="BD651" i="202"/>
  <c r="BD652" i="202"/>
  <c r="BD653" i="202"/>
  <c r="BD654" i="202"/>
  <c r="BD655" i="202"/>
  <c r="BD656" i="202"/>
  <c r="BD657" i="202"/>
  <c r="BD658" i="202"/>
  <c r="BD659" i="202"/>
  <c r="BD660" i="202"/>
  <c r="BD661" i="202"/>
  <c r="BD662" i="202"/>
  <c r="BD663" i="202"/>
  <c r="BD664" i="202"/>
  <c r="BD665" i="202"/>
  <c r="BD666" i="202"/>
  <c r="BD667" i="202"/>
  <c r="BD668" i="202"/>
  <c r="BD669" i="202"/>
  <c r="BD670" i="202"/>
  <c r="BD671" i="202"/>
  <c r="BD672" i="202"/>
  <c r="BD673" i="202"/>
  <c r="BD674" i="202"/>
  <c r="BD675" i="202"/>
  <c r="BD676" i="202"/>
  <c r="BD677" i="202"/>
  <c r="BD678" i="202"/>
  <c r="BD679" i="202"/>
  <c r="BD680" i="202"/>
  <c r="BD681" i="202"/>
  <c r="BD682" i="202"/>
  <c r="BD683" i="202"/>
  <c r="BD684" i="202"/>
  <c r="BD685" i="202"/>
  <c r="BD686" i="202"/>
  <c r="BD687" i="202"/>
  <c r="BD688" i="202"/>
  <c r="BD689" i="202"/>
  <c r="BD690" i="202"/>
  <c r="BD691" i="202"/>
  <c r="BD692" i="202"/>
  <c r="BD693" i="202"/>
  <c r="BD694" i="202"/>
  <c r="BD695" i="202"/>
  <c r="BD696" i="202"/>
  <c r="BD697" i="202"/>
  <c r="BD698" i="202"/>
  <c r="BD699" i="202"/>
  <c r="BD700" i="202"/>
  <c r="BD701" i="202"/>
  <c r="BD702" i="202"/>
  <c r="BD703" i="202"/>
  <c r="BD704" i="202"/>
  <c r="BD705" i="202"/>
  <c r="BD706" i="202"/>
  <c r="BD707" i="202"/>
  <c r="BD708" i="202"/>
  <c r="BD709" i="202"/>
  <c r="BD710" i="202"/>
  <c r="BD711" i="202"/>
  <c r="BD712" i="202"/>
  <c r="BD713" i="202"/>
  <c r="BD714" i="202"/>
  <c r="BD715" i="202"/>
  <c r="BD716" i="202"/>
  <c r="BD717" i="202"/>
  <c r="BD718" i="202"/>
  <c r="BD719" i="202"/>
  <c r="BD720" i="202"/>
  <c r="BD721" i="202"/>
  <c r="BD722" i="202"/>
  <c r="BD723" i="202"/>
  <c r="BD724" i="202"/>
  <c r="BD725" i="202"/>
  <c r="BD726" i="202"/>
  <c r="BD727" i="202"/>
  <c r="BD728" i="202"/>
  <c r="BD729" i="202"/>
  <c r="BD730" i="202"/>
  <c r="BD731" i="202"/>
  <c r="BD732" i="202"/>
  <c r="BD733" i="202"/>
  <c r="BD734" i="202"/>
  <c r="BD735" i="202"/>
  <c r="BD736" i="202"/>
  <c r="BD737" i="202"/>
  <c r="BD738" i="202"/>
  <c r="BD739" i="202"/>
  <c r="BD740" i="202"/>
  <c r="BD741" i="202"/>
  <c r="BD742" i="202"/>
  <c r="BD743" i="202"/>
  <c r="BD744" i="202"/>
  <c r="BD745" i="202"/>
  <c r="BD746" i="202"/>
  <c r="BD747" i="202"/>
  <c r="BD748" i="202"/>
  <c r="BD749" i="202"/>
  <c r="BD750" i="202"/>
  <c r="BD751" i="202"/>
  <c r="BD752" i="202"/>
  <c r="BD753" i="202"/>
  <c r="BD754" i="202"/>
  <c r="BD755" i="202"/>
  <c r="BD756" i="202"/>
  <c r="BD757" i="202"/>
  <c r="BD758" i="202"/>
  <c r="BD759" i="202"/>
  <c r="BD760" i="202"/>
  <c r="BD761" i="202"/>
  <c r="BD762" i="202"/>
  <c r="BD763" i="202"/>
  <c r="BD764" i="202"/>
  <c r="BD765" i="202"/>
  <c r="BD766" i="202"/>
  <c r="BD767" i="202"/>
  <c r="BD768" i="202"/>
  <c r="BD769" i="202"/>
  <c r="BD770" i="202"/>
  <c r="BD771" i="202"/>
  <c r="BD772" i="202"/>
  <c r="BD773" i="202"/>
  <c r="BD774" i="202"/>
  <c r="BD775" i="202"/>
  <c r="BD776" i="202"/>
  <c r="BD777" i="202"/>
  <c r="BD778" i="202"/>
  <c r="BD779" i="202"/>
  <c r="BD780" i="202"/>
  <c r="BD781" i="202"/>
  <c r="BD782" i="202"/>
  <c r="BD783" i="202"/>
  <c r="BD784" i="202"/>
  <c r="BD785" i="202"/>
  <c r="BD786" i="202"/>
  <c r="BD787" i="202"/>
  <c r="BD788" i="202"/>
  <c r="BD789" i="202"/>
  <c r="BD790" i="202"/>
  <c r="BD791" i="202"/>
  <c r="BD792" i="202"/>
  <c r="BD793" i="202"/>
  <c r="BD794" i="202"/>
  <c r="BD795" i="202"/>
  <c r="BD796" i="202"/>
  <c r="BD797" i="202"/>
  <c r="BD798" i="202"/>
  <c r="BD799" i="202"/>
  <c r="BD800" i="202"/>
  <c r="BD801" i="202"/>
  <c r="BD802" i="202"/>
  <c r="BD803" i="202"/>
  <c r="BD804" i="202"/>
  <c r="BD805" i="202"/>
  <c r="BD806" i="202"/>
  <c r="BD807" i="202"/>
  <c r="BD808" i="202"/>
  <c r="BD809" i="202"/>
  <c r="BD810" i="202"/>
  <c r="BD811" i="202"/>
  <c r="BD812" i="202"/>
  <c r="BD813" i="202"/>
  <c r="BD814" i="202"/>
  <c r="BD815" i="202"/>
  <c r="BD816" i="202"/>
  <c r="BD817" i="202"/>
  <c r="BD818" i="202"/>
  <c r="BD819" i="202"/>
  <c r="BD820" i="202"/>
  <c r="BD821" i="202"/>
  <c r="BD822" i="202"/>
  <c r="BD823" i="202"/>
  <c r="BD824" i="202"/>
  <c r="BD825" i="202"/>
  <c r="BD826" i="202"/>
  <c r="BD827" i="202"/>
  <c r="BD828" i="202"/>
  <c r="BD829" i="202"/>
  <c r="BD830" i="202"/>
  <c r="BD831" i="202"/>
  <c r="BD832" i="202"/>
  <c r="BD833" i="202"/>
  <c r="BD834" i="202"/>
  <c r="BD835" i="202"/>
  <c r="BD836" i="202"/>
  <c r="BD837" i="202"/>
  <c r="BD838" i="202"/>
  <c r="BD839" i="202"/>
  <c r="BD840" i="202"/>
  <c r="BD841" i="202"/>
  <c r="BD842" i="202"/>
  <c r="BD843" i="202"/>
  <c r="BD844" i="202"/>
  <c r="BD845" i="202"/>
  <c r="BD846" i="202"/>
  <c r="BD847" i="202"/>
  <c r="BD848" i="202"/>
  <c r="BD849" i="202"/>
  <c r="BD850" i="202"/>
  <c r="BD851" i="202"/>
  <c r="BD852" i="202"/>
  <c r="BD853" i="202"/>
  <c r="BD854" i="202"/>
  <c r="BD855" i="202"/>
  <c r="BD856" i="202"/>
  <c r="BD857" i="202"/>
  <c r="BD858" i="202"/>
  <c r="BD859" i="202"/>
  <c r="BD860" i="202"/>
  <c r="BD861" i="202"/>
  <c r="BD862" i="202"/>
  <c r="BD863" i="202"/>
  <c r="BD864" i="202"/>
  <c r="BD865" i="202"/>
  <c r="BD866" i="202"/>
  <c r="BD867" i="202"/>
  <c r="BD868" i="202"/>
  <c r="BD869" i="202"/>
  <c r="BD870" i="202"/>
  <c r="BD871" i="202"/>
  <c r="BD872" i="202"/>
  <c r="BD873" i="202"/>
  <c r="BD874" i="202"/>
  <c r="BD875" i="202"/>
  <c r="BD876" i="202"/>
  <c r="BD877" i="202"/>
  <c r="BD878" i="202"/>
  <c r="BD879" i="202"/>
  <c r="BD880" i="202"/>
  <c r="BD881" i="202"/>
  <c r="BD882" i="202"/>
  <c r="BD883" i="202"/>
  <c r="BD884" i="202"/>
  <c r="BD885" i="202"/>
  <c r="BD886" i="202"/>
  <c r="BD887" i="202"/>
  <c r="BD888" i="202"/>
  <c r="BD889" i="202"/>
  <c r="BD890" i="202"/>
  <c r="BD891" i="202"/>
  <c r="BD892" i="202"/>
  <c r="BD893" i="202"/>
  <c r="BD894" i="202"/>
  <c r="BD895" i="202"/>
  <c r="BD896" i="202"/>
  <c r="BD897" i="202"/>
  <c r="BD898" i="202"/>
  <c r="BD899" i="202"/>
  <c r="BD900" i="202"/>
  <c r="BD901" i="202"/>
  <c r="BD902" i="202"/>
  <c r="BD903" i="202"/>
  <c r="BD904" i="202"/>
  <c r="BD905" i="202"/>
  <c r="BD906" i="202"/>
  <c r="BD907" i="202"/>
  <c r="BD908" i="202"/>
  <c r="BD909" i="202"/>
  <c r="BD910" i="202"/>
  <c r="BD911" i="202"/>
  <c r="BD912" i="202"/>
  <c r="BD913" i="202"/>
  <c r="BD914" i="202"/>
  <c r="BD915" i="202"/>
  <c r="BD916" i="202"/>
  <c r="BD917" i="202"/>
  <c r="BD918" i="202"/>
  <c r="BD919" i="202"/>
  <c r="BD920" i="202"/>
  <c r="BD921" i="202"/>
  <c r="BD922" i="202"/>
  <c r="BD923" i="202"/>
  <c r="BD924" i="202"/>
  <c r="BD925" i="202"/>
  <c r="BD926" i="202"/>
  <c r="BD927" i="202"/>
  <c r="BD928" i="202"/>
  <c r="BD929" i="202"/>
  <c r="BD930" i="202"/>
  <c r="BD931" i="202"/>
  <c r="BD932" i="202"/>
  <c r="BD933" i="202"/>
  <c r="BD934" i="202"/>
  <c r="BD935" i="202"/>
  <c r="BD936" i="202"/>
  <c r="BD937" i="202"/>
  <c r="BD938" i="202"/>
  <c r="BD939" i="202"/>
  <c r="BD940" i="202"/>
  <c r="BD941" i="202"/>
  <c r="BD942" i="202"/>
  <c r="BD943" i="202"/>
  <c r="BD944" i="202"/>
  <c r="BD945" i="202"/>
  <c r="BD946" i="202"/>
  <c r="BD947" i="202"/>
  <c r="BD948" i="202"/>
  <c r="BD949" i="202"/>
  <c r="BD950" i="202"/>
  <c r="BD951" i="202"/>
  <c r="BD952" i="202"/>
  <c r="BD953" i="202"/>
  <c r="BD954" i="202"/>
  <c r="BD955" i="202"/>
  <c r="BD956" i="202"/>
  <c r="BD957" i="202"/>
  <c r="BD958" i="202"/>
  <c r="BD959" i="202"/>
  <c r="BD960" i="202"/>
  <c r="BD961" i="202"/>
  <c r="BD962" i="202"/>
  <c r="BD963" i="202"/>
  <c r="BD964" i="202"/>
  <c r="BD965" i="202"/>
  <c r="BD966" i="202"/>
  <c r="BD967" i="202"/>
  <c r="BD968" i="202"/>
  <c r="BD969" i="202"/>
  <c r="BD970" i="202"/>
  <c r="BD971" i="202"/>
  <c r="BD972" i="202"/>
  <c r="BD973" i="202"/>
  <c r="BD974" i="202"/>
  <c r="BD975" i="202"/>
  <c r="BD976" i="202"/>
  <c r="BD977" i="202"/>
  <c r="BD978" i="202"/>
  <c r="BD979" i="202"/>
  <c r="BD980" i="202"/>
  <c r="BD981" i="202"/>
  <c r="BD982" i="202"/>
  <c r="BD983" i="202"/>
  <c r="BD984" i="202"/>
  <c r="BD985" i="202"/>
  <c r="BD986" i="202"/>
  <c r="BD987" i="202"/>
  <c r="BD988" i="202"/>
  <c r="BD989" i="202"/>
  <c r="BD990" i="202"/>
  <c r="BD991" i="202"/>
  <c r="BD992" i="202"/>
  <c r="BD993" i="202"/>
  <c r="BD994" i="202"/>
  <c r="BD995" i="202"/>
  <c r="BD996" i="202"/>
  <c r="BD997" i="202"/>
  <c r="BD998" i="202"/>
  <c r="BD999" i="202"/>
  <c r="BD1000" i="202"/>
  <c r="BD1001" i="202"/>
  <c r="BD1002" i="202"/>
  <c r="BD1003" i="202"/>
  <c r="BD1004" i="202"/>
  <c r="BD1005" i="202"/>
  <c r="BD1006" i="202"/>
  <c r="BD1007" i="202"/>
  <c r="BD1008" i="202"/>
  <c r="BD1009" i="202"/>
  <c r="BD1010" i="202"/>
  <c r="BD1011" i="202"/>
  <c r="BD1012" i="202"/>
  <c r="BD1013" i="202"/>
  <c r="BD1014" i="202"/>
  <c r="BD1015" i="202"/>
  <c r="BD1016" i="202"/>
  <c r="BD1017" i="202"/>
  <c r="BD1018" i="202"/>
  <c r="BD1019" i="202"/>
  <c r="BD1020" i="202"/>
  <c r="BD1021" i="202"/>
  <c r="BD1022" i="202"/>
  <c r="BD1023" i="202"/>
  <c r="BD1024" i="202"/>
  <c r="BD1025" i="202"/>
  <c r="BD1026" i="202"/>
  <c r="BD1027" i="202"/>
  <c r="BD1028" i="202"/>
  <c r="BD1029" i="202"/>
  <c r="BD1030" i="202"/>
  <c r="BD1031" i="202"/>
  <c r="BD1032" i="202"/>
  <c r="BD1033" i="202"/>
  <c r="BD1034" i="202"/>
  <c r="BD1035" i="202"/>
  <c r="BD1036" i="202"/>
  <c r="BD1037" i="202"/>
  <c r="BD1038" i="202"/>
  <c r="BD1039" i="202"/>
  <c r="BD1040" i="202"/>
  <c r="BD1041" i="202"/>
  <c r="BD1042" i="202"/>
  <c r="BD1043" i="202"/>
  <c r="BD1044" i="202"/>
  <c r="BD1045" i="202"/>
  <c r="BD1046" i="202"/>
  <c r="BD1047" i="202"/>
  <c r="BD1048" i="202"/>
  <c r="BD1049" i="202"/>
  <c r="BD1050" i="202"/>
  <c r="BD1051" i="202"/>
  <c r="BD1052" i="202"/>
  <c r="BD1053" i="202"/>
  <c r="BD1054" i="202"/>
  <c r="BD1055" i="202"/>
  <c r="BD1056" i="202"/>
  <c r="BD1057" i="202"/>
  <c r="BD1058" i="202"/>
  <c r="BD1059" i="202"/>
  <c r="BD1060" i="202"/>
  <c r="BD1061" i="202"/>
  <c r="BD1062" i="202"/>
  <c r="BD1063" i="202"/>
  <c r="BD1064" i="202"/>
  <c r="BD1065" i="202"/>
  <c r="BD1066" i="202"/>
  <c r="BD1067" i="202"/>
  <c r="BD1068" i="202"/>
  <c r="BD1069" i="202"/>
  <c r="BD1070" i="202"/>
  <c r="BD1071" i="202"/>
  <c r="BD1072" i="202"/>
  <c r="BD1073" i="202"/>
  <c r="BD1074" i="202"/>
  <c r="BD1075" i="202"/>
  <c r="BD1076" i="202"/>
  <c r="BD1077" i="202"/>
  <c r="BD1078" i="202"/>
  <c r="BD1079" i="202"/>
  <c r="BD1080" i="202"/>
  <c r="BD1081" i="202"/>
  <c r="BD1082" i="202"/>
  <c r="BD1083" i="202"/>
  <c r="BD1084" i="202"/>
  <c r="BD1085" i="202"/>
  <c r="BD1086" i="202"/>
  <c r="BD1087" i="202"/>
  <c r="BD1088" i="202"/>
  <c r="BD1089" i="202"/>
  <c r="BD1090" i="202"/>
  <c r="BD1091" i="202"/>
  <c r="BD1092" i="202"/>
  <c r="BD1093" i="202"/>
  <c r="BD1094" i="202"/>
  <c r="BD1095" i="202"/>
  <c r="BD1096" i="202"/>
  <c r="BD1097" i="202"/>
  <c r="BD1098" i="202"/>
  <c r="BD1099" i="202"/>
  <c r="BD1100" i="202"/>
  <c r="BD1101" i="202"/>
  <c r="BD1102" i="202"/>
  <c r="BD1103" i="202"/>
  <c r="BD1104" i="202"/>
  <c r="BD1105" i="202"/>
  <c r="BD1106" i="202"/>
  <c r="BD1107" i="202"/>
  <c r="BD1108" i="202"/>
  <c r="BD1109" i="202"/>
  <c r="BD1110" i="202"/>
  <c r="BD1111" i="202"/>
  <c r="BD1112" i="202"/>
  <c r="BD1113" i="202"/>
  <c r="BD1114" i="202"/>
  <c r="BD1115" i="202"/>
  <c r="BD1116" i="202"/>
  <c r="BD1117" i="202"/>
  <c r="BD1118" i="202"/>
  <c r="BD1119" i="202"/>
  <c r="BD1120" i="202"/>
  <c r="BD1121" i="202"/>
  <c r="BD1122" i="202"/>
  <c r="BD1123" i="202"/>
  <c r="BD1124" i="202"/>
  <c r="BD1125" i="202"/>
  <c r="BD1126" i="202"/>
  <c r="BD1127" i="202"/>
  <c r="BD1128" i="202"/>
  <c r="BD1129" i="202"/>
  <c r="BD1130" i="202"/>
  <c r="BD1131" i="202"/>
  <c r="BD1132" i="202"/>
  <c r="BD1133" i="202"/>
  <c r="BD1134" i="202"/>
  <c r="BD1135" i="202"/>
  <c r="BD1136" i="202"/>
  <c r="BD1137" i="202"/>
  <c r="BD1138" i="202"/>
  <c r="BD1139" i="202"/>
  <c r="BD1140" i="202"/>
  <c r="BD1141" i="202"/>
  <c r="BD1142" i="202"/>
  <c r="BD1143" i="202"/>
  <c r="BD1144" i="202"/>
  <c r="BD1145" i="202"/>
  <c r="BD1146" i="202"/>
  <c r="BD1147" i="202"/>
  <c r="BD1148" i="202"/>
  <c r="BD1149" i="202"/>
  <c r="BD1150" i="202"/>
  <c r="BD1151" i="202"/>
  <c r="BD1152" i="202"/>
  <c r="BD1153" i="202"/>
  <c r="BD1154" i="202"/>
  <c r="BD1155" i="202"/>
  <c r="BD1156" i="202"/>
  <c r="BD1157" i="202"/>
  <c r="BD1158" i="202"/>
  <c r="BD1159" i="202"/>
  <c r="BD1160" i="202"/>
  <c r="BD1161" i="202"/>
  <c r="BD1162" i="202"/>
  <c r="BD1163" i="202"/>
  <c r="BD1164" i="202"/>
  <c r="BD1165" i="202"/>
  <c r="BD1166" i="202"/>
  <c r="BD1167" i="202"/>
  <c r="BD1168" i="202"/>
  <c r="BD1169" i="202"/>
  <c r="BD1170" i="202"/>
  <c r="BD1171" i="202"/>
  <c r="BD1172" i="202"/>
  <c r="BD1173" i="202"/>
  <c r="BD1174" i="202"/>
  <c r="BD1175" i="202"/>
  <c r="BD1176" i="202"/>
  <c r="BD1177" i="202"/>
  <c r="BD1178" i="202"/>
  <c r="BD1179" i="202"/>
  <c r="BD1180" i="202"/>
  <c r="BD1181" i="202"/>
  <c r="BD1182" i="202"/>
  <c r="BD1183" i="202"/>
  <c r="BD1184" i="202"/>
  <c r="BD1185" i="202"/>
  <c r="BD1186" i="202"/>
  <c r="BD1187" i="202"/>
  <c r="BD1188" i="202"/>
  <c r="BD1189" i="202"/>
  <c r="BD1190" i="202"/>
  <c r="BD1191" i="202"/>
  <c r="BD1192" i="202"/>
  <c r="BD1193" i="202"/>
  <c r="BD1194" i="202"/>
  <c r="BD1195" i="202"/>
  <c r="BD1196" i="202"/>
  <c r="BD1197" i="202"/>
  <c r="BD1198" i="202"/>
  <c r="BD1199" i="202"/>
  <c r="BD1200" i="202"/>
  <c r="BD1201" i="202"/>
  <c r="BD1202" i="202"/>
  <c r="BD1203" i="202"/>
  <c r="BD1204" i="202"/>
  <c r="BD1205" i="202"/>
  <c r="BD1206" i="202"/>
  <c r="BD1207" i="202"/>
  <c r="BD1208" i="202"/>
  <c r="BD1209" i="202"/>
  <c r="BD1210" i="202"/>
  <c r="BD1211" i="202"/>
  <c r="BD1212" i="202"/>
  <c r="BD1213" i="202"/>
  <c r="BD1214" i="202"/>
  <c r="BD1215" i="202"/>
  <c r="BD1216" i="202"/>
  <c r="BD1217" i="202"/>
  <c r="BD1218" i="202"/>
  <c r="BD1219" i="202"/>
  <c r="BD1220" i="202"/>
  <c r="BD1221" i="202"/>
  <c r="BD1222" i="202"/>
  <c r="BD1223" i="202"/>
  <c r="BD1224" i="202"/>
  <c r="BD1225" i="202"/>
  <c r="BD1226" i="202"/>
  <c r="BD1227" i="202"/>
  <c r="BD1228" i="202"/>
  <c r="BD1229" i="202"/>
  <c r="BD1230" i="202"/>
  <c r="BD1231" i="202"/>
  <c r="BD1232" i="202"/>
  <c r="BD1233" i="202"/>
  <c r="BD1234" i="202"/>
  <c r="BD1235" i="202"/>
  <c r="BD1236" i="202"/>
  <c r="BD1237" i="202"/>
  <c r="BD1238" i="202"/>
  <c r="BD1239" i="202"/>
  <c r="BD1240" i="202"/>
  <c r="BD1241" i="202"/>
  <c r="BD1242" i="202"/>
  <c r="BD1243" i="202"/>
  <c r="BD1244" i="202"/>
  <c r="BD1245" i="202"/>
  <c r="BD1246" i="202"/>
  <c r="BD1247" i="202"/>
  <c r="BD1248" i="202"/>
  <c r="BD1249" i="202"/>
  <c r="BD1250" i="202"/>
  <c r="BD1251" i="202"/>
  <c r="BD1252" i="202"/>
  <c r="BD1253" i="202"/>
  <c r="BD1254" i="202"/>
  <c r="BD1255" i="202"/>
  <c r="BD1256" i="202"/>
  <c r="BD1257" i="202"/>
  <c r="BD1258" i="202"/>
  <c r="BD1259" i="202"/>
  <c r="BD1260" i="202"/>
  <c r="BD1261" i="202"/>
  <c r="BD1262" i="202"/>
  <c r="BD1263" i="202"/>
  <c r="BD1264" i="202"/>
  <c r="BD1265" i="202"/>
  <c r="BD1266" i="202"/>
  <c r="BD1267" i="202"/>
  <c r="BD1268" i="202"/>
  <c r="BD1269" i="202"/>
  <c r="BD1270" i="202"/>
  <c r="BD1271" i="202"/>
  <c r="BD1272" i="202"/>
  <c r="BD1273" i="202"/>
  <c r="BD1274" i="202"/>
  <c r="BD1275" i="202"/>
  <c r="BD1276" i="202"/>
  <c r="BD1277" i="202"/>
  <c r="BD1278" i="202"/>
  <c r="BD1279" i="202"/>
  <c r="BD1280" i="202"/>
  <c r="BD1281" i="202"/>
  <c r="BD1282" i="202"/>
  <c r="BD1283" i="202"/>
  <c r="BD1284" i="202"/>
  <c r="BD1285" i="202"/>
  <c r="BD1286" i="202"/>
  <c r="BD1287" i="202"/>
  <c r="BD1288" i="202"/>
  <c r="BD1289" i="202"/>
  <c r="BD1290" i="202"/>
  <c r="BD1291" i="202"/>
  <c r="BD1292" i="202"/>
  <c r="BD1293" i="202"/>
  <c r="BD1294" i="202"/>
  <c r="BD1295" i="202"/>
  <c r="BD1296" i="202"/>
  <c r="BD1297" i="202"/>
  <c r="BD1298" i="202"/>
  <c r="BD1299" i="202"/>
  <c r="BD1300" i="202"/>
  <c r="BD1301" i="202"/>
  <c r="BD1302" i="202"/>
  <c r="BD1303" i="202"/>
  <c r="BD1304" i="202"/>
  <c r="BD1305" i="202"/>
  <c r="BD1306" i="202"/>
  <c r="BD1307" i="202"/>
  <c r="BD1308" i="202"/>
  <c r="BD1309" i="202"/>
  <c r="BD1310" i="202"/>
  <c r="BD1311" i="202"/>
  <c r="BD1312" i="202"/>
  <c r="BD1313" i="202"/>
  <c r="BD1314" i="202"/>
  <c r="BD1315" i="202"/>
  <c r="BD1316" i="202"/>
  <c r="BD1317" i="202"/>
  <c r="BD1318" i="202"/>
  <c r="BD1319" i="202"/>
  <c r="BD1320" i="202"/>
  <c r="BD1321" i="202"/>
  <c r="BD1322" i="202"/>
  <c r="BD1323" i="202"/>
  <c r="BD1324" i="202"/>
  <c r="BD1325" i="202"/>
  <c r="BD1326" i="202"/>
  <c r="BD1327" i="202"/>
  <c r="BD1328" i="202"/>
  <c r="BD1329" i="202"/>
  <c r="BD1330" i="202"/>
  <c r="BD1331" i="202"/>
  <c r="BD1332" i="202"/>
  <c r="BD1333" i="202"/>
  <c r="BD1334" i="202"/>
  <c r="BD1335" i="202"/>
  <c r="BD1336" i="202"/>
  <c r="BD1337" i="202"/>
  <c r="BD1338" i="202"/>
  <c r="BD1339" i="202"/>
  <c r="BD1340" i="202"/>
  <c r="BD1341" i="202"/>
  <c r="BD1342" i="202"/>
  <c r="BD1343" i="202"/>
  <c r="BD1344" i="202"/>
  <c r="BD1345" i="202"/>
  <c r="BD1346" i="202"/>
  <c r="BD1347" i="202"/>
  <c r="BD1348" i="202"/>
  <c r="BD1349" i="202"/>
  <c r="BD1350" i="202"/>
  <c r="BD1351" i="202"/>
  <c r="BD1352" i="202"/>
  <c r="BD1353" i="202"/>
  <c r="BD1354" i="202"/>
  <c r="BD1355" i="202"/>
  <c r="BD1356" i="202"/>
  <c r="BD1357" i="202"/>
  <c r="BD1358" i="202"/>
  <c r="BD1359" i="202"/>
  <c r="BD1360" i="202"/>
  <c r="BD1361" i="202"/>
  <c r="BD1362" i="202"/>
  <c r="BD1363" i="202"/>
  <c r="BD1364" i="202"/>
  <c r="BD1365" i="202"/>
  <c r="BD1366" i="202"/>
  <c r="BD1367" i="202"/>
  <c r="BD1368" i="202"/>
  <c r="BD1369" i="202"/>
  <c r="BD1370" i="202"/>
  <c r="BD1371" i="202"/>
  <c r="BD1372" i="202"/>
  <c r="BD1373" i="202"/>
  <c r="BD1374" i="202"/>
  <c r="BD1375" i="202"/>
  <c r="BD1376" i="202"/>
  <c r="BD1377" i="202"/>
  <c r="BD1378" i="202"/>
  <c r="BD1379" i="202"/>
  <c r="BD1380" i="202"/>
  <c r="BD1381" i="202"/>
  <c r="BD1382" i="202"/>
  <c r="BD1383" i="202"/>
  <c r="BD1384" i="202"/>
  <c r="BD1385" i="202"/>
  <c r="BD1386" i="202"/>
  <c r="BD1387" i="202"/>
  <c r="BD1388" i="202"/>
  <c r="BD1389" i="202"/>
  <c r="BD1390" i="202"/>
  <c r="BD1391" i="202"/>
  <c r="BD1392" i="202"/>
  <c r="BD1393" i="202"/>
  <c r="BD1394" i="202"/>
  <c r="BD1395" i="202"/>
  <c r="BD1396" i="202"/>
  <c r="BD1397" i="202"/>
  <c r="BD1398" i="202"/>
  <c r="BD1399" i="202"/>
  <c r="BD1400" i="202"/>
  <c r="BD1401" i="202"/>
  <c r="BD1402" i="202"/>
  <c r="BD1403" i="202"/>
  <c r="BD1404" i="202"/>
  <c r="BD1405" i="202"/>
  <c r="BD1406" i="202"/>
  <c r="BD1407" i="202"/>
  <c r="BD1408" i="202"/>
  <c r="BD1409" i="202"/>
  <c r="BD1410" i="202"/>
  <c r="BD1411" i="202"/>
  <c r="BD1412" i="202"/>
  <c r="BD1413" i="202"/>
  <c r="BD1414" i="202"/>
  <c r="BD1415" i="202"/>
  <c r="BD1416" i="202"/>
  <c r="BD1417" i="202"/>
  <c r="BD1418" i="202"/>
  <c r="BD1419" i="202"/>
  <c r="BD1420" i="202"/>
  <c r="BD1421" i="202"/>
  <c r="BD1422" i="202"/>
  <c r="BD1423" i="202"/>
  <c r="BD1424" i="202"/>
  <c r="BD1425" i="202"/>
  <c r="BD1426" i="202"/>
  <c r="BD1427" i="202"/>
  <c r="BD1428" i="202"/>
  <c r="BD1429" i="202"/>
  <c r="BD1430" i="202"/>
  <c r="BD1431" i="202"/>
  <c r="BD1432" i="202"/>
  <c r="BD1433" i="202"/>
  <c r="BD1434" i="202"/>
  <c r="BD1435" i="202"/>
  <c r="BD1436" i="202"/>
  <c r="BD1437" i="202"/>
  <c r="BD1438" i="202"/>
  <c r="BD1439" i="202"/>
  <c r="BD1440" i="202"/>
  <c r="BD1441" i="202"/>
  <c r="BD1442" i="202"/>
  <c r="BD1443" i="202"/>
  <c r="BD1444" i="202"/>
  <c r="BD1445" i="202"/>
  <c r="BD1446" i="202"/>
  <c r="BD1447" i="202"/>
  <c r="BD1448" i="202"/>
  <c r="BD1449" i="202"/>
  <c r="BD1450" i="202"/>
  <c r="BD1451" i="202"/>
  <c r="BD1452" i="202"/>
  <c r="BD1453" i="202"/>
  <c r="BD1454" i="202"/>
  <c r="BD1455" i="202"/>
  <c r="BD1456" i="202"/>
  <c r="BD1457" i="202"/>
  <c r="BD1458" i="202"/>
  <c r="BD1459" i="202"/>
  <c r="BD1460" i="202"/>
  <c r="BD1461" i="202"/>
  <c r="BD1462" i="202"/>
  <c r="BD1463" i="202"/>
  <c r="BD1464" i="202"/>
  <c r="BD1465" i="202"/>
  <c r="BD1466" i="202"/>
  <c r="BD1467" i="202"/>
  <c r="BD1468" i="202"/>
  <c r="BD1469" i="202"/>
  <c r="BD1470" i="202"/>
  <c r="BD1471" i="202"/>
  <c r="BD1472" i="202"/>
  <c r="BD1473" i="202"/>
  <c r="BD1474" i="202"/>
  <c r="BD1475" i="202"/>
  <c r="BD1476" i="202"/>
  <c r="BD1477" i="202"/>
  <c r="BD1478" i="202"/>
  <c r="BD1479" i="202"/>
  <c r="BD1480" i="202"/>
  <c r="BD1481" i="202"/>
  <c r="BD1482" i="202"/>
  <c r="BD1483" i="202"/>
  <c r="BD1484" i="202"/>
  <c r="BD1485" i="202"/>
  <c r="BD1486" i="202"/>
  <c r="BD1487" i="202"/>
  <c r="BD1488" i="202"/>
  <c r="BD1489" i="202"/>
  <c r="BD1490" i="202"/>
  <c r="BD1491" i="202"/>
  <c r="BD1492" i="202"/>
  <c r="BD1493" i="202"/>
  <c r="BD1494" i="202"/>
  <c r="BD1495" i="202"/>
  <c r="BD1496" i="202"/>
  <c r="BD1497" i="202"/>
  <c r="BD1498" i="202"/>
  <c r="BD1499" i="202"/>
  <c r="BD1500" i="202"/>
  <c r="BD1501" i="202"/>
  <c r="BD1502" i="202"/>
  <c r="BD1503" i="202"/>
  <c r="BD1504" i="202"/>
  <c r="BD1505" i="202"/>
  <c r="BD1506" i="202"/>
  <c r="BD1507" i="202"/>
  <c r="BD1508" i="202"/>
  <c r="BD1509" i="202"/>
  <c r="BD1510" i="202"/>
  <c r="BD1511" i="202"/>
  <c r="BD1512" i="202"/>
  <c r="BD1513" i="202"/>
  <c r="BD1514" i="202"/>
  <c r="BD1515" i="202"/>
  <c r="BD1516" i="202"/>
  <c r="BD1517" i="202"/>
  <c r="BD1518" i="202"/>
  <c r="BD1519" i="202"/>
  <c r="BD1520" i="202"/>
  <c r="BD1521" i="202"/>
  <c r="BD1522" i="202"/>
  <c r="BD1523" i="202"/>
  <c r="BD1524" i="202"/>
  <c r="BD1525" i="202"/>
  <c r="BD1526" i="202"/>
  <c r="BD1527" i="202"/>
  <c r="BD1528" i="202"/>
  <c r="BD1529" i="202"/>
  <c r="BD1530" i="202"/>
  <c r="BD1531" i="202"/>
  <c r="BD1532" i="202"/>
  <c r="BD1533" i="202"/>
  <c r="BD1534" i="202"/>
  <c r="BD1535" i="202"/>
  <c r="BD1536" i="202"/>
  <c r="BD1537" i="202"/>
  <c r="BD1538" i="202"/>
  <c r="BD1539" i="202"/>
  <c r="BD1540" i="202"/>
  <c r="BD1541" i="202"/>
  <c r="BD1542" i="202"/>
  <c r="BD1543" i="202"/>
  <c r="BD1544" i="202"/>
  <c r="BD1545" i="202"/>
  <c r="BD1546" i="202"/>
  <c r="BD1547" i="202"/>
  <c r="BD1548" i="202"/>
  <c r="BD1549" i="202"/>
  <c r="BD1550" i="202"/>
  <c r="BD1551" i="202"/>
  <c r="BD1552" i="202"/>
  <c r="BD1553" i="202"/>
  <c r="BD1554" i="202"/>
  <c r="BD1555" i="202"/>
  <c r="BD1556" i="202"/>
  <c r="BD1557" i="202"/>
  <c r="BD1558" i="202"/>
  <c r="BD1559" i="202"/>
  <c r="BD1560" i="202"/>
  <c r="BD1561" i="202"/>
  <c r="BD1562" i="202"/>
  <c r="BD1563" i="202"/>
  <c r="BD1564" i="202"/>
  <c r="BD1565" i="202"/>
  <c r="BD1566" i="202"/>
  <c r="BD1567" i="202"/>
  <c r="BD1568" i="202"/>
  <c r="BD1569" i="202"/>
  <c r="BD1570" i="202"/>
  <c r="BD1571" i="202"/>
  <c r="BD1572" i="202"/>
  <c r="BD1573" i="202"/>
  <c r="BD1574" i="202"/>
  <c r="BD1575" i="202"/>
  <c r="BD1576" i="202"/>
  <c r="BD1577" i="202"/>
  <c r="BD1578" i="202"/>
  <c r="BD1579" i="202"/>
  <c r="BD1580" i="202"/>
  <c r="BD1581" i="202"/>
  <c r="BD1582" i="202"/>
  <c r="BD1583" i="202"/>
  <c r="BD1584" i="202"/>
  <c r="BD1585" i="202"/>
  <c r="BD1586" i="202"/>
  <c r="BD1587" i="202"/>
  <c r="BD1588" i="202"/>
  <c r="BD1589" i="202"/>
  <c r="BD1590" i="202"/>
  <c r="BD1591" i="202"/>
  <c r="BD1592" i="202"/>
  <c r="BD1593" i="202"/>
  <c r="BD1594" i="202"/>
  <c r="BD1595" i="202"/>
  <c r="BD1596" i="202"/>
  <c r="BD1597" i="202"/>
  <c r="BD1598" i="202"/>
  <c r="BD1599" i="202"/>
  <c r="BD1600" i="202"/>
  <c r="BD1601" i="202"/>
  <c r="BD1602" i="202"/>
  <c r="BD1603" i="202"/>
  <c r="BD1604" i="202"/>
  <c r="BD1605" i="202"/>
  <c r="BD1606" i="202"/>
  <c r="BD1607" i="202"/>
  <c r="BD1608" i="202"/>
  <c r="BD1609" i="202"/>
  <c r="BD1610" i="202"/>
  <c r="BD1611" i="202"/>
  <c r="BD1612" i="202"/>
  <c r="BD1613" i="202"/>
  <c r="BD1614" i="202"/>
  <c r="BD1615" i="202"/>
  <c r="BD1616" i="202"/>
  <c r="BD1617" i="202"/>
  <c r="BD1618" i="202"/>
  <c r="BD1619" i="202"/>
  <c r="BD1620" i="202"/>
  <c r="BD1621" i="202"/>
  <c r="BD1622" i="202"/>
  <c r="BD1623" i="202"/>
  <c r="BD1624" i="202"/>
  <c r="BD1625" i="202"/>
  <c r="BD1626" i="202"/>
  <c r="BD1627" i="202"/>
  <c r="BD1628" i="202"/>
  <c r="BD1629" i="202"/>
  <c r="BD1630" i="202"/>
  <c r="BD1631" i="202"/>
  <c r="BD1632" i="202"/>
  <c r="BD1633" i="202"/>
  <c r="BD1634" i="202"/>
  <c r="BD1635" i="202"/>
  <c r="BD1636" i="202"/>
  <c r="BD1637" i="202"/>
  <c r="BD1638" i="202"/>
  <c r="BD1639" i="202"/>
  <c r="BD1640" i="202"/>
  <c r="BD1641" i="202"/>
  <c r="BD1642" i="202"/>
  <c r="BD1643" i="202"/>
  <c r="BD1644" i="202"/>
  <c r="BD1645" i="202"/>
  <c r="BD1646" i="202"/>
  <c r="BD1647" i="202"/>
  <c r="BD1648" i="202"/>
  <c r="BD1649" i="202"/>
  <c r="BD1650" i="202"/>
  <c r="BD1651" i="202"/>
  <c r="BD1652" i="202"/>
  <c r="BD1653" i="202"/>
  <c r="BD1654" i="202"/>
  <c r="BD1655" i="202"/>
  <c r="BD1656" i="202"/>
  <c r="BD1657" i="202"/>
  <c r="BD1658" i="202"/>
  <c r="BD1659" i="202"/>
  <c r="BD1660" i="202"/>
  <c r="BD1661" i="202"/>
  <c r="BD1662" i="202"/>
  <c r="BD1663" i="202"/>
  <c r="BD1664" i="202"/>
  <c r="BD1665" i="202"/>
  <c r="BD1666" i="202"/>
  <c r="BD1667" i="202"/>
  <c r="BD1668" i="202"/>
  <c r="BD1669" i="202"/>
  <c r="BD1670" i="202"/>
  <c r="BD1671" i="202"/>
  <c r="BD1672" i="202"/>
  <c r="BD1673" i="202"/>
  <c r="BD1674" i="202"/>
  <c r="BD1675" i="202"/>
  <c r="BD1676" i="202"/>
  <c r="BD1677" i="202"/>
  <c r="BD1678" i="202"/>
  <c r="BD1679" i="202"/>
  <c r="BD1680" i="202"/>
  <c r="BD1681" i="202"/>
  <c r="BD1682" i="202"/>
  <c r="BD1683" i="202"/>
  <c r="BD1684" i="202"/>
  <c r="BD1685" i="202"/>
  <c r="BD1686" i="202"/>
  <c r="BD1687" i="202"/>
  <c r="BD1688" i="202"/>
  <c r="BD1689" i="202"/>
  <c r="BD1690" i="202"/>
  <c r="BD1691" i="202"/>
  <c r="BD1692" i="202"/>
  <c r="BD1693" i="202"/>
  <c r="BD1694" i="202"/>
  <c r="BD1695" i="202"/>
  <c r="BD1696" i="202"/>
  <c r="BD1697" i="202"/>
  <c r="BD1698" i="202"/>
  <c r="BD1699" i="202"/>
  <c r="BD1700" i="202"/>
  <c r="BD1701" i="202"/>
  <c r="BD1702" i="202"/>
  <c r="BD1703" i="202"/>
  <c r="BD1704" i="202"/>
  <c r="BD1705" i="202"/>
  <c r="BD1706" i="202"/>
  <c r="BD1707" i="202"/>
  <c r="BD1708" i="202"/>
  <c r="BD1709" i="202"/>
  <c r="BD1710" i="202"/>
  <c r="BD1711" i="202"/>
  <c r="BD1712" i="202"/>
  <c r="BD1713" i="202"/>
  <c r="BD1714" i="202"/>
  <c r="BD1715" i="202"/>
  <c r="BD1716" i="202"/>
  <c r="BD1717" i="202"/>
  <c r="BD1718" i="202"/>
  <c r="BD1719" i="202"/>
  <c r="BD1720" i="202"/>
  <c r="BD1721" i="202"/>
  <c r="BD1722" i="202"/>
  <c r="BD1723" i="202"/>
  <c r="BD1724" i="202"/>
  <c r="BD1725" i="202"/>
  <c r="BD1726" i="202"/>
  <c r="BD1727" i="202"/>
  <c r="BD1728" i="202"/>
  <c r="BD1729" i="202"/>
  <c r="BD1730" i="202"/>
  <c r="BD1731" i="202"/>
  <c r="BD1732" i="202"/>
  <c r="BD1733" i="202"/>
  <c r="BD1734" i="202"/>
  <c r="BD1735" i="202"/>
  <c r="BD1736" i="202"/>
  <c r="BD1737" i="202"/>
  <c r="BD1738" i="202"/>
  <c r="BD1739" i="202"/>
  <c r="BD1740" i="202"/>
  <c r="BD1741" i="202"/>
  <c r="BD1742" i="202"/>
  <c r="BD1743" i="202"/>
  <c r="BD1744" i="202"/>
  <c r="BD1745" i="202"/>
  <c r="BD1746" i="202"/>
  <c r="BD1747" i="202"/>
  <c r="BD1748" i="202"/>
  <c r="BD1749" i="202"/>
  <c r="BD1750" i="202"/>
  <c r="BD1751" i="202"/>
  <c r="BD1752" i="202"/>
  <c r="BD1753" i="202"/>
  <c r="BD1754" i="202"/>
  <c r="BD1755" i="202"/>
  <c r="BD1756" i="202"/>
  <c r="BD1757" i="202"/>
  <c r="BD1758" i="202"/>
  <c r="BD1759" i="202"/>
  <c r="BD1760" i="202"/>
  <c r="BD1761" i="202"/>
  <c r="BD1762" i="202"/>
  <c r="BD1763" i="202"/>
  <c r="BD1764" i="202"/>
  <c r="BD1765" i="202"/>
  <c r="BD1766" i="202"/>
  <c r="BD1767" i="202"/>
  <c r="BD1768" i="202"/>
  <c r="BD1769" i="202"/>
  <c r="BD1770" i="202"/>
  <c r="BD1771" i="202"/>
  <c r="BD1772" i="202"/>
  <c r="BD1773" i="202"/>
  <c r="BD1774" i="202"/>
  <c r="BD1775" i="202"/>
  <c r="BD1776" i="202"/>
  <c r="BD1777" i="202"/>
  <c r="BD1778" i="202"/>
  <c r="BD1779" i="202"/>
  <c r="BD1780" i="202"/>
  <c r="BD1781" i="202"/>
  <c r="BD1782" i="202"/>
  <c r="BD1783" i="202"/>
  <c r="BD1784" i="202"/>
  <c r="BD1785" i="202"/>
  <c r="BD1786" i="202"/>
  <c r="BD1787" i="202"/>
  <c r="BD1788" i="202"/>
  <c r="BD1789" i="202"/>
  <c r="BD1790" i="202"/>
  <c r="BD1791" i="202"/>
  <c r="BD1792" i="202"/>
  <c r="BD1793" i="202"/>
  <c r="BD1794" i="202"/>
  <c r="BD1795" i="202"/>
  <c r="BD1796" i="202"/>
  <c r="BD1797" i="202"/>
  <c r="BD1798" i="202"/>
  <c r="BD1799" i="202"/>
  <c r="BD1800" i="202"/>
  <c r="BD1801" i="202"/>
  <c r="BD1802" i="202"/>
  <c r="BD1803" i="202"/>
  <c r="BD1804" i="202"/>
  <c r="BD1805" i="202"/>
  <c r="BD1806" i="202"/>
  <c r="BD1807" i="202"/>
  <c r="BD1808" i="202"/>
  <c r="BD1809" i="202"/>
  <c r="BD1810" i="202"/>
  <c r="BD1811" i="202"/>
  <c r="BD1812" i="202"/>
  <c r="BD1813" i="202"/>
  <c r="BD1814" i="202"/>
  <c r="BD1815" i="202"/>
  <c r="BD1816" i="202"/>
  <c r="BD1817" i="202"/>
  <c r="BD1818" i="202"/>
  <c r="BD1819" i="202"/>
  <c r="BD1820" i="202"/>
  <c r="BD1821" i="202"/>
  <c r="BD1822" i="202"/>
  <c r="BD1823" i="202"/>
  <c r="BD1824" i="202"/>
  <c r="BD1825" i="202"/>
  <c r="BD1826" i="202"/>
  <c r="BD1827" i="202"/>
  <c r="BD1828" i="202"/>
  <c r="BD1829" i="202"/>
  <c r="BD1830" i="202"/>
  <c r="BD1831" i="202"/>
  <c r="BD1832" i="202"/>
  <c r="BD1833" i="202"/>
  <c r="BD1834" i="202"/>
  <c r="BD1835" i="202"/>
  <c r="BD1836" i="202"/>
  <c r="BD1837" i="202"/>
  <c r="BD1838" i="202"/>
  <c r="BD1839" i="202"/>
  <c r="BD1840" i="202"/>
  <c r="BD1841" i="202"/>
  <c r="BD1842" i="202"/>
  <c r="BD1843" i="202"/>
  <c r="BD1844" i="202"/>
  <c r="BD1845" i="202"/>
  <c r="BD1846" i="202"/>
  <c r="BD1847" i="202"/>
  <c r="BD1848" i="202"/>
  <c r="BD1849" i="202"/>
  <c r="BD1850" i="202"/>
  <c r="BD1851" i="202"/>
  <c r="BD1852" i="202"/>
  <c r="BD1853" i="202"/>
  <c r="BD1854" i="202"/>
  <c r="BD1855" i="202"/>
  <c r="BD1856" i="202"/>
  <c r="BD1857" i="202"/>
  <c r="BD1858" i="202"/>
  <c r="BD1859" i="202"/>
  <c r="BD1860" i="202"/>
  <c r="BD1861" i="202"/>
  <c r="BD1862" i="202"/>
  <c r="BD1863" i="202"/>
  <c r="BD1864" i="202"/>
  <c r="BD1865" i="202"/>
  <c r="BD1866" i="202"/>
  <c r="BD1867" i="202"/>
  <c r="BD1868" i="202"/>
  <c r="BD1869" i="202"/>
  <c r="BD1870" i="202"/>
  <c r="BD1871" i="202"/>
  <c r="BD1872" i="202"/>
  <c r="BD1873" i="202"/>
  <c r="BD1874" i="202"/>
  <c r="BD1875" i="202"/>
  <c r="BD1876" i="202"/>
  <c r="BD1877" i="202"/>
  <c r="BD1878" i="202"/>
  <c r="BD1879" i="202"/>
  <c r="BD1880" i="202"/>
  <c r="BD1881" i="202"/>
  <c r="BD1882" i="202"/>
  <c r="BD1883" i="202"/>
  <c r="BD1884" i="202"/>
  <c r="BD1885" i="202"/>
  <c r="BD1886" i="202"/>
  <c r="BD1887" i="202"/>
  <c r="BD1888" i="202"/>
  <c r="BD1889" i="202"/>
  <c r="BD1890" i="202"/>
  <c r="BD1891" i="202"/>
  <c r="BD1892" i="202"/>
  <c r="BD1893" i="202"/>
  <c r="BD1894" i="202"/>
  <c r="BD1895" i="202"/>
  <c r="BD1896" i="202"/>
  <c r="BD1897" i="202"/>
  <c r="BD1898" i="202"/>
  <c r="BD1899" i="202"/>
  <c r="BD1900" i="202"/>
  <c r="BD1901" i="202"/>
  <c r="BD1902" i="202"/>
  <c r="BD1903" i="202"/>
  <c r="BD1904" i="202"/>
  <c r="BD1905" i="202"/>
  <c r="BD1906" i="202"/>
  <c r="BD1907" i="202"/>
  <c r="BD1908" i="202"/>
  <c r="BD1909" i="202"/>
  <c r="BD1910" i="202"/>
  <c r="BD1911" i="202"/>
  <c r="BD1912" i="202"/>
  <c r="BD1913" i="202"/>
  <c r="BD1914" i="202"/>
  <c r="BD1915" i="202"/>
  <c r="BD1916" i="202"/>
  <c r="BD1917" i="202"/>
  <c r="BD1918" i="202"/>
  <c r="BD1919" i="202"/>
  <c r="BD1920" i="202"/>
  <c r="BD1921" i="202"/>
  <c r="BD1922" i="202"/>
  <c r="BD1923" i="202"/>
  <c r="BD1924" i="202"/>
  <c r="BD1925" i="202"/>
  <c r="BD1926" i="202"/>
  <c r="BD1927" i="202"/>
  <c r="BD1928" i="202"/>
  <c r="BD1929" i="202"/>
  <c r="BD1930" i="202"/>
  <c r="BD1931" i="202"/>
  <c r="BD1932" i="202"/>
  <c r="BD1933" i="202"/>
  <c r="BD1934" i="202"/>
  <c r="BD1935" i="202"/>
  <c r="BD1936" i="202"/>
  <c r="BD1937" i="202"/>
  <c r="BD1938" i="202"/>
  <c r="BD1939" i="202"/>
  <c r="BD1940" i="202"/>
  <c r="BD1941" i="202"/>
  <c r="BD1942" i="202"/>
  <c r="BD1943" i="202"/>
  <c r="BD1944" i="202"/>
  <c r="BD1945" i="202"/>
  <c r="BD1946" i="202"/>
  <c r="BD1947" i="202"/>
  <c r="BD1948" i="202"/>
  <c r="BD1949" i="202"/>
  <c r="BD1950" i="202"/>
  <c r="BD1951" i="202"/>
  <c r="BD1952" i="202"/>
  <c r="BD1953" i="202"/>
  <c r="BD1954" i="202"/>
  <c r="BD1955" i="202"/>
  <c r="BD1956" i="202"/>
  <c r="BD1957" i="202"/>
  <c r="BD1958" i="202"/>
  <c r="BD1959" i="202"/>
  <c r="BD1960" i="202"/>
  <c r="BD1961" i="202"/>
  <c r="BD1962" i="202"/>
  <c r="BD1963" i="202"/>
  <c r="BD1964" i="202"/>
  <c r="BD1965" i="202"/>
  <c r="BD1966" i="202"/>
  <c r="BD1967" i="202"/>
  <c r="BD1968" i="202"/>
  <c r="BD1969" i="202"/>
  <c r="BD1970" i="202"/>
  <c r="BD1971" i="202"/>
  <c r="BD1972" i="202"/>
  <c r="BD1973" i="202"/>
  <c r="BD1974" i="202"/>
  <c r="BD1975" i="202"/>
  <c r="BD1976" i="202"/>
  <c r="BD1977" i="202"/>
  <c r="BD1978" i="202"/>
  <c r="BD1979" i="202"/>
  <c r="BD1980" i="202"/>
  <c r="BD1981" i="202"/>
  <c r="BD1982" i="202"/>
  <c r="BD1983" i="202"/>
  <c r="BD1984" i="202"/>
  <c r="BD1985" i="202"/>
  <c r="BD1986" i="202"/>
  <c r="BD1987" i="202"/>
  <c r="BD1988" i="202"/>
  <c r="BD1989" i="202"/>
  <c r="BD1990" i="202"/>
  <c r="BD1991" i="202"/>
  <c r="BD1992" i="202"/>
  <c r="BD1993" i="202"/>
  <c r="BD1994" i="202"/>
  <c r="BD1995" i="202"/>
  <c r="BD1996" i="202"/>
  <c r="BD1997" i="202"/>
  <c r="BD1998" i="202"/>
  <c r="BD1999" i="202"/>
  <c r="BD2000" i="202"/>
  <c r="BD2001" i="202"/>
  <c r="BD2002" i="202"/>
  <c r="BD2003" i="202"/>
  <c r="BD2004" i="202"/>
  <c r="BD2005" i="202"/>
  <c r="BD2006" i="202"/>
  <c r="BD2007" i="202"/>
  <c r="BD2008" i="202"/>
  <c r="BD2009" i="202"/>
  <c r="BD2010" i="202"/>
  <c r="BD2011" i="202"/>
  <c r="BD2012" i="202"/>
  <c r="BD2013" i="202"/>
  <c r="BD2014" i="202"/>
  <c r="BD2015" i="202"/>
  <c r="BD2016" i="202"/>
  <c r="BD2017" i="202"/>
  <c r="BD2018" i="202"/>
  <c r="BD2019" i="202"/>
  <c r="BD2020" i="202"/>
  <c r="BD2021" i="202"/>
  <c r="BD2022" i="202"/>
  <c r="BD2023" i="202"/>
  <c r="BD2024" i="202"/>
  <c r="BD2025" i="202"/>
  <c r="BD2026" i="202"/>
  <c r="BD2027" i="202"/>
  <c r="BD2028" i="202"/>
  <c r="BD2029" i="202"/>
  <c r="BD2030" i="202"/>
  <c r="BD2031" i="202"/>
  <c r="BD2032" i="202"/>
  <c r="BD2033" i="202"/>
  <c r="BD2034" i="202"/>
  <c r="BD2035" i="202"/>
  <c r="BD2036" i="202"/>
  <c r="BD2037" i="202"/>
  <c r="BD2038" i="202"/>
  <c r="BD2039" i="202"/>
  <c r="BD2040" i="202"/>
  <c r="BD2041" i="202"/>
  <c r="BD2042" i="202"/>
  <c r="BD2043" i="202"/>
  <c r="BD2044" i="202"/>
  <c r="BD2045" i="202"/>
  <c r="BD2046" i="202"/>
  <c r="BD2047" i="202"/>
  <c r="BD2048" i="202"/>
  <c r="AP2" i="202"/>
  <c r="AP3" i="202"/>
  <c r="AP4" i="202"/>
  <c r="AP5" i="202"/>
  <c r="AP6" i="202"/>
  <c r="AP7" i="202"/>
  <c r="AP8" i="202"/>
  <c r="AP9" i="202"/>
  <c r="AP10" i="202"/>
  <c r="AP11" i="202"/>
  <c r="AP12" i="202"/>
  <c r="AP13" i="202"/>
  <c r="AP14" i="202"/>
  <c r="AP15" i="202"/>
  <c r="AP16" i="202"/>
  <c r="AP17" i="202"/>
  <c r="AP18" i="202"/>
  <c r="AP19" i="202"/>
  <c r="AP20" i="202"/>
  <c r="AP21" i="202"/>
  <c r="AP22" i="202"/>
  <c r="AP23" i="202"/>
  <c r="AP24" i="202"/>
  <c r="AP25" i="202"/>
  <c r="AP26" i="202"/>
  <c r="AP27" i="202"/>
  <c r="AP28" i="202"/>
  <c r="AP29" i="202"/>
  <c r="AP30" i="202"/>
  <c r="AP31" i="202"/>
  <c r="AP32" i="202"/>
  <c r="AP33" i="202"/>
  <c r="AP34" i="202"/>
  <c r="AP35" i="202"/>
  <c r="AP36" i="202"/>
  <c r="AP37" i="202"/>
  <c r="AP38" i="202"/>
  <c r="AP39" i="202"/>
  <c r="AP40" i="202"/>
  <c r="AP41" i="202"/>
  <c r="AP42" i="202"/>
  <c r="AP43" i="202"/>
  <c r="AP44" i="202"/>
  <c r="AP45" i="202"/>
  <c r="AP46" i="202"/>
  <c r="AP47" i="202"/>
  <c r="AP48" i="202"/>
  <c r="AP49" i="202"/>
  <c r="AP50" i="202"/>
  <c r="AP51" i="202"/>
  <c r="AP52" i="202"/>
  <c r="AP53" i="202"/>
  <c r="AP54" i="202"/>
  <c r="AP55" i="202"/>
  <c r="AP56" i="202"/>
  <c r="AP57" i="202"/>
  <c r="AP58" i="202"/>
  <c r="AP59" i="202"/>
  <c r="AP60" i="202"/>
  <c r="AP61" i="202"/>
  <c r="AP62" i="202"/>
  <c r="AP63" i="202"/>
  <c r="AP64" i="202"/>
  <c r="AP65" i="202"/>
  <c r="AP66" i="202"/>
  <c r="AP67" i="202"/>
  <c r="AP68" i="202"/>
  <c r="AP69" i="202"/>
  <c r="AP70" i="202"/>
  <c r="AP71" i="202"/>
  <c r="AP72" i="202"/>
  <c r="AP73" i="202"/>
  <c r="AP74" i="202"/>
  <c r="AP75" i="202"/>
  <c r="AP76" i="202"/>
  <c r="AP77" i="202"/>
  <c r="AP78" i="202"/>
  <c r="AP79" i="202"/>
  <c r="AP80" i="202"/>
  <c r="AP81" i="202"/>
  <c r="AP82" i="202"/>
  <c r="AP83" i="202"/>
  <c r="AP84" i="202"/>
  <c r="AP85" i="202"/>
  <c r="AP86" i="202"/>
  <c r="AP87" i="202"/>
  <c r="AP88" i="202"/>
  <c r="AP89" i="202"/>
  <c r="AP90" i="202"/>
  <c r="AP91" i="202"/>
  <c r="AP92" i="202"/>
  <c r="AP93" i="202"/>
  <c r="AP94" i="202"/>
  <c r="AP95" i="202"/>
  <c r="AP96" i="202"/>
  <c r="AP97" i="202"/>
  <c r="AP98" i="202"/>
  <c r="AP99" i="202"/>
  <c r="AP100" i="202"/>
  <c r="AP101" i="202"/>
  <c r="AP102" i="202"/>
  <c r="AP103" i="202"/>
  <c r="AP104" i="202"/>
  <c r="AP105" i="202"/>
  <c r="AP106" i="202"/>
  <c r="AP107" i="202"/>
  <c r="AP108" i="202"/>
  <c r="AP109" i="202"/>
  <c r="AP110" i="202"/>
  <c r="AP111" i="202"/>
  <c r="AP112" i="202"/>
  <c r="AP113" i="202"/>
  <c r="AP114" i="202"/>
  <c r="AP115" i="202"/>
  <c r="AP116" i="202"/>
  <c r="AP117" i="202"/>
  <c r="AP118" i="202"/>
  <c r="AP119" i="202"/>
  <c r="AP120" i="202"/>
  <c r="AP121" i="202"/>
  <c r="AP122" i="202"/>
  <c r="AP123" i="202"/>
  <c r="AP124" i="202"/>
  <c r="AP125" i="202"/>
  <c r="AP126" i="202"/>
  <c r="AP127" i="202"/>
  <c r="AP128" i="202"/>
  <c r="AP129" i="202"/>
  <c r="AP130" i="202"/>
  <c r="AP131" i="202"/>
  <c r="AP132" i="202"/>
  <c r="AP133" i="202"/>
  <c r="AP134" i="202"/>
  <c r="AP135" i="202"/>
  <c r="AP136" i="202"/>
  <c r="AP137" i="202"/>
  <c r="AP138" i="202"/>
  <c r="AP139" i="202"/>
  <c r="AP140" i="202"/>
  <c r="AP141" i="202"/>
  <c r="AP142" i="202"/>
  <c r="AP143" i="202"/>
  <c r="AP144" i="202"/>
  <c r="AP145" i="202"/>
  <c r="AP146" i="202"/>
  <c r="AP147" i="202"/>
  <c r="AP148" i="202"/>
  <c r="AP149" i="202"/>
  <c r="AP150" i="202"/>
  <c r="AP151" i="202"/>
  <c r="AP152" i="202"/>
  <c r="AP153" i="202"/>
  <c r="AP154" i="202"/>
  <c r="AP155" i="202"/>
  <c r="AP156" i="202"/>
  <c r="AP157" i="202"/>
  <c r="AP158" i="202"/>
  <c r="AP159" i="202"/>
  <c r="AP160" i="202"/>
  <c r="AP161" i="202"/>
  <c r="AP162" i="202"/>
  <c r="AP163" i="202"/>
  <c r="AP164" i="202"/>
  <c r="AP165" i="202"/>
  <c r="AP166" i="202"/>
  <c r="AP167" i="202"/>
  <c r="AP168" i="202"/>
  <c r="AP169" i="202"/>
  <c r="AP170" i="202"/>
  <c r="AP171" i="202"/>
  <c r="AP172" i="202"/>
  <c r="AP173" i="202"/>
  <c r="AP174" i="202"/>
  <c r="AP175" i="202"/>
  <c r="AP176" i="202"/>
  <c r="AP177" i="202"/>
  <c r="AP178" i="202"/>
  <c r="AP179" i="202"/>
  <c r="AP180" i="202"/>
  <c r="AP181" i="202"/>
  <c r="AP182" i="202"/>
  <c r="AP183" i="202"/>
  <c r="AP184" i="202"/>
  <c r="AP185" i="202"/>
  <c r="AP186" i="202"/>
  <c r="AP187" i="202"/>
  <c r="AP188" i="202"/>
  <c r="AP189" i="202"/>
  <c r="AP190" i="202"/>
  <c r="AP191" i="202"/>
  <c r="AP192" i="202"/>
  <c r="AP193" i="202"/>
  <c r="AP194" i="202"/>
  <c r="AP195" i="202"/>
  <c r="AP196" i="202"/>
  <c r="AP197" i="202"/>
  <c r="AP198" i="202"/>
  <c r="AP199" i="202"/>
  <c r="AP200" i="202"/>
  <c r="AP201" i="202"/>
  <c r="AP202" i="202"/>
  <c r="AP203" i="202"/>
  <c r="AP204" i="202"/>
  <c r="AP205" i="202"/>
  <c r="AP206" i="202"/>
  <c r="AP207" i="202"/>
  <c r="AP208" i="202"/>
  <c r="AP209" i="202"/>
  <c r="AP210" i="202"/>
  <c r="AP211" i="202"/>
  <c r="AP212" i="202"/>
  <c r="AP213" i="202"/>
  <c r="AP214" i="202"/>
  <c r="AP215" i="202"/>
  <c r="AP216" i="202"/>
  <c r="AP217" i="202"/>
  <c r="AP218" i="202"/>
  <c r="AP219" i="202"/>
  <c r="AP220" i="202"/>
  <c r="AP221" i="202"/>
  <c r="AP222" i="202"/>
  <c r="AP223" i="202"/>
  <c r="AP224" i="202"/>
  <c r="AP225" i="202"/>
  <c r="AP226" i="202"/>
  <c r="AP227" i="202"/>
  <c r="AP228" i="202"/>
  <c r="AP229" i="202"/>
  <c r="AP230" i="202"/>
  <c r="AP231" i="202"/>
  <c r="AP232" i="202"/>
  <c r="AP233" i="202"/>
  <c r="AP234" i="202"/>
  <c r="AP235" i="202"/>
  <c r="AP236" i="202"/>
  <c r="AP237" i="202"/>
  <c r="AP238" i="202"/>
  <c r="AP239" i="202"/>
  <c r="AP240" i="202"/>
  <c r="AP241" i="202"/>
  <c r="AP242" i="202"/>
  <c r="AP243" i="202"/>
  <c r="AP244" i="202"/>
  <c r="AP245" i="202"/>
  <c r="AP246" i="202"/>
  <c r="AP247" i="202"/>
  <c r="AP248" i="202"/>
  <c r="AP249" i="202"/>
  <c r="AP250" i="202"/>
  <c r="AP251" i="202"/>
  <c r="AP252" i="202"/>
  <c r="AP253" i="202"/>
  <c r="AP254" i="202"/>
  <c r="AP255" i="202"/>
  <c r="AP256" i="202"/>
  <c r="AP257" i="202"/>
  <c r="AP258" i="202"/>
  <c r="AP259" i="202"/>
  <c r="AP260" i="202"/>
  <c r="AP261" i="202"/>
  <c r="AP262" i="202"/>
  <c r="AP263" i="202"/>
  <c r="AP264" i="202"/>
  <c r="AP265" i="202"/>
  <c r="AP266" i="202"/>
  <c r="AP267" i="202"/>
  <c r="AP268" i="202"/>
  <c r="AP269" i="202"/>
  <c r="AP270" i="202"/>
  <c r="AP271" i="202"/>
  <c r="AP272" i="202"/>
  <c r="AP273" i="202"/>
  <c r="AP274" i="202"/>
  <c r="AP275" i="202"/>
  <c r="AP276" i="202"/>
  <c r="AP277" i="202"/>
  <c r="AP278" i="202"/>
  <c r="AP279" i="202"/>
  <c r="AP280" i="202"/>
  <c r="AP281" i="202"/>
  <c r="AP282" i="202"/>
  <c r="AP283" i="202"/>
  <c r="AP284" i="202"/>
  <c r="AP285" i="202"/>
  <c r="AP286" i="202"/>
  <c r="AP287" i="202"/>
  <c r="AP288" i="202"/>
  <c r="AP289" i="202"/>
  <c r="AP290" i="202"/>
  <c r="AP291" i="202"/>
  <c r="AP292" i="202"/>
  <c r="AP293" i="202"/>
  <c r="AP294" i="202"/>
  <c r="AP295" i="202"/>
  <c r="AP296" i="202"/>
  <c r="AP297" i="202"/>
  <c r="AP298" i="202"/>
  <c r="AP299" i="202"/>
  <c r="AP300" i="202"/>
  <c r="AP301" i="202"/>
  <c r="AP302" i="202"/>
  <c r="AP303" i="202"/>
  <c r="AP304" i="202"/>
  <c r="AP305" i="202"/>
  <c r="AP306" i="202"/>
  <c r="AP307" i="202"/>
  <c r="AP308" i="202"/>
  <c r="AP309" i="202"/>
  <c r="AP310" i="202"/>
  <c r="AP311" i="202"/>
  <c r="AP312" i="202"/>
  <c r="AP313" i="202"/>
  <c r="AP314" i="202"/>
  <c r="AP315" i="202"/>
  <c r="AP316" i="202"/>
  <c r="AP317" i="202"/>
  <c r="AP318" i="202"/>
  <c r="AP319" i="202"/>
  <c r="AP320" i="202"/>
  <c r="AP321" i="202"/>
  <c r="AP322" i="202"/>
  <c r="AP323" i="202"/>
  <c r="AP324" i="202"/>
  <c r="AP325" i="202"/>
  <c r="AP326" i="202"/>
  <c r="AP327" i="202"/>
  <c r="AP328" i="202"/>
  <c r="AP329" i="202"/>
  <c r="AP330" i="202"/>
  <c r="AP331" i="202"/>
  <c r="AP332" i="202"/>
  <c r="AP333" i="202"/>
  <c r="AP334" i="202"/>
  <c r="AP335" i="202"/>
  <c r="AP336" i="202"/>
  <c r="AP337" i="202"/>
  <c r="AP338" i="202"/>
  <c r="AP339" i="202"/>
  <c r="AP340" i="202"/>
  <c r="AP341" i="202"/>
  <c r="AP342" i="202"/>
  <c r="AP343" i="202"/>
  <c r="AP344" i="202"/>
  <c r="AP345" i="202"/>
  <c r="AP346" i="202"/>
  <c r="AP347" i="202"/>
  <c r="AP348" i="202"/>
  <c r="AP349" i="202"/>
  <c r="AP350" i="202"/>
  <c r="AP351" i="202"/>
  <c r="AP352" i="202"/>
  <c r="AP353" i="202"/>
  <c r="AP354" i="202"/>
  <c r="AP355" i="202"/>
  <c r="AP356" i="202"/>
  <c r="AP357" i="202"/>
  <c r="AP358" i="202"/>
  <c r="AP359" i="202"/>
  <c r="AP360" i="202"/>
  <c r="AP361" i="202"/>
  <c r="AP362" i="202"/>
  <c r="AP363" i="202"/>
  <c r="AP364" i="202"/>
  <c r="AP365" i="202"/>
  <c r="AP366" i="202"/>
  <c r="AP367" i="202"/>
  <c r="AP368" i="202"/>
  <c r="AP369" i="202"/>
  <c r="AP370" i="202"/>
  <c r="AP371" i="202"/>
  <c r="AP372" i="202"/>
  <c r="AP373" i="202"/>
  <c r="AP374" i="202"/>
  <c r="AP375" i="202"/>
  <c r="AP376" i="202"/>
  <c r="AP377" i="202"/>
  <c r="AP378" i="202"/>
  <c r="AP379" i="202"/>
  <c r="AP380" i="202"/>
  <c r="AP381" i="202"/>
  <c r="AP382" i="202"/>
  <c r="AP383" i="202"/>
  <c r="AP384" i="202"/>
  <c r="AP385" i="202"/>
  <c r="AP386" i="202"/>
  <c r="AP387" i="202"/>
  <c r="AP388" i="202"/>
  <c r="AP389" i="202"/>
  <c r="AP390" i="202"/>
  <c r="AP391" i="202"/>
  <c r="AP392" i="202"/>
  <c r="AP393" i="202"/>
  <c r="AP394" i="202"/>
  <c r="AP395" i="202"/>
  <c r="AP396" i="202"/>
  <c r="AP397" i="202"/>
  <c r="AP398" i="202"/>
  <c r="AP399" i="202"/>
  <c r="AP400" i="202"/>
  <c r="AP401" i="202"/>
  <c r="AP402" i="202"/>
  <c r="AP403" i="202"/>
  <c r="AP404" i="202"/>
  <c r="AP405" i="202"/>
  <c r="AP406" i="202"/>
  <c r="AP407" i="202"/>
  <c r="AP408" i="202"/>
  <c r="AP409" i="202"/>
  <c r="AP410" i="202"/>
  <c r="AP411" i="202"/>
  <c r="AP412" i="202"/>
  <c r="AP413" i="202"/>
  <c r="AP414" i="202"/>
  <c r="AP415" i="202"/>
  <c r="AP416" i="202"/>
  <c r="AP417" i="202"/>
  <c r="AP418" i="202"/>
  <c r="AP419" i="202"/>
  <c r="AP420" i="202"/>
  <c r="AP421" i="202"/>
  <c r="AP422" i="202"/>
  <c r="AP423" i="202"/>
  <c r="AP424" i="202"/>
  <c r="AP425" i="202"/>
  <c r="AP426" i="202"/>
  <c r="AP427" i="202"/>
  <c r="AP428" i="202"/>
  <c r="AP429" i="202"/>
  <c r="AP430" i="202"/>
  <c r="AP431" i="202"/>
  <c r="AP432" i="202"/>
  <c r="AP433" i="202"/>
  <c r="AP434" i="202"/>
  <c r="AP435" i="202"/>
  <c r="AP436" i="202"/>
  <c r="AP437" i="202"/>
  <c r="AP438" i="202"/>
  <c r="AP439" i="202"/>
  <c r="AP440" i="202"/>
  <c r="AP441" i="202"/>
  <c r="AP442" i="202"/>
  <c r="AP443" i="202"/>
  <c r="AP444" i="202"/>
  <c r="AP445" i="202"/>
  <c r="AP446" i="202"/>
  <c r="AP447" i="202"/>
  <c r="AP448" i="202"/>
  <c r="AP449" i="202"/>
  <c r="AP450" i="202"/>
  <c r="AP451" i="202"/>
  <c r="AP452" i="202"/>
  <c r="AP453" i="202"/>
  <c r="AP454" i="202"/>
  <c r="AP455" i="202"/>
  <c r="AP456" i="202"/>
  <c r="AP457" i="202"/>
  <c r="AP458" i="202"/>
  <c r="AP459" i="202"/>
  <c r="AP460" i="202"/>
  <c r="AP461" i="202"/>
  <c r="AP462" i="202"/>
  <c r="AP463" i="202"/>
  <c r="AP464" i="202"/>
  <c r="AP465" i="202"/>
  <c r="AP466" i="202"/>
  <c r="AP467" i="202"/>
  <c r="AP468" i="202"/>
  <c r="AP469" i="202"/>
  <c r="AP470" i="202"/>
  <c r="AP471" i="202"/>
  <c r="AP472" i="202"/>
  <c r="AP473" i="202"/>
  <c r="AP474" i="202"/>
  <c r="AP475" i="202"/>
  <c r="AP476" i="202"/>
  <c r="AP477" i="202"/>
  <c r="AP478" i="202"/>
  <c r="AP479" i="202"/>
  <c r="AP480" i="202"/>
  <c r="AP481" i="202"/>
  <c r="AP482" i="202"/>
  <c r="AP483" i="202"/>
  <c r="AP484" i="202"/>
  <c r="AP485" i="202"/>
  <c r="AP486" i="202"/>
  <c r="AP487" i="202"/>
  <c r="AP488" i="202"/>
  <c r="AP489" i="202"/>
  <c r="AP490" i="202"/>
  <c r="AP491" i="202"/>
  <c r="AP492" i="202"/>
  <c r="AP493" i="202"/>
  <c r="AP494" i="202"/>
  <c r="AP495" i="202"/>
  <c r="AP496" i="202"/>
  <c r="AP497" i="202"/>
  <c r="AP498" i="202"/>
  <c r="AP499" i="202"/>
  <c r="AP500" i="202"/>
  <c r="AP501" i="202"/>
  <c r="AP502" i="202"/>
  <c r="AP503" i="202"/>
  <c r="AP504" i="202"/>
  <c r="AP505" i="202"/>
  <c r="AP506" i="202"/>
  <c r="AP507" i="202"/>
  <c r="AP508" i="202"/>
  <c r="AP509" i="202"/>
  <c r="AP510" i="202"/>
  <c r="AP511" i="202"/>
  <c r="AP512" i="202"/>
  <c r="AP513" i="202"/>
  <c r="AP514" i="202"/>
  <c r="AP515" i="202"/>
  <c r="AP516" i="202"/>
  <c r="AP517" i="202"/>
  <c r="AP518" i="202"/>
  <c r="AP519" i="202"/>
  <c r="AP520" i="202"/>
  <c r="AP521" i="202"/>
  <c r="AP522" i="202"/>
  <c r="AP523" i="202"/>
  <c r="AP524" i="202"/>
  <c r="AP525" i="202"/>
  <c r="AP526" i="202"/>
  <c r="AP527" i="202"/>
  <c r="AP528" i="202"/>
  <c r="AP529" i="202"/>
  <c r="AP530" i="202"/>
  <c r="AP531" i="202"/>
  <c r="AP532" i="202"/>
  <c r="AP533" i="202"/>
  <c r="AP534" i="202"/>
  <c r="AP535" i="202"/>
  <c r="AP536" i="202"/>
  <c r="AP537" i="202"/>
  <c r="AP538" i="202"/>
  <c r="AP539" i="202"/>
  <c r="AP540" i="202"/>
  <c r="AP541" i="202"/>
  <c r="AP542" i="202"/>
  <c r="AP543" i="202"/>
  <c r="AP544" i="202"/>
  <c r="AP545" i="202"/>
  <c r="AP546" i="202"/>
  <c r="AP547" i="202"/>
  <c r="AP548" i="202"/>
  <c r="AP549" i="202"/>
  <c r="AP550" i="202"/>
  <c r="AP551" i="202"/>
  <c r="AP552" i="202"/>
  <c r="AP553" i="202"/>
  <c r="AP554" i="202"/>
  <c r="AP555" i="202"/>
  <c r="AP556" i="202"/>
  <c r="AP557" i="202"/>
  <c r="AP558" i="202"/>
  <c r="AP559" i="202"/>
  <c r="AP560" i="202"/>
  <c r="AP561" i="202"/>
  <c r="AP562" i="202"/>
  <c r="AP563" i="202"/>
  <c r="AP564" i="202"/>
  <c r="AP565" i="202"/>
  <c r="AP566" i="202"/>
  <c r="AP567" i="202"/>
  <c r="AP568" i="202"/>
  <c r="AP569" i="202"/>
  <c r="AP570" i="202"/>
  <c r="AP571" i="202"/>
  <c r="AP572" i="202"/>
  <c r="AP573" i="202"/>
  <c r="AP574" i="202"/>
  <c r="AP575" i="202"/>
  <c r="AP576" i="202"/>
  <c r="AP577" i="202"/>
  <c r="AP578" i="202"/>
  <c r="AP579" i="202"/>
  <c r="AP580" i="202"/>
  <c r="AP581" i="202"/>
  <c r="AP582" i="202"/>
  <c r="AP583" i="202"/>
  <c r="AP584" i="202"/>
  <c r="AP585" i="202"/>
  <c r="AP586" i="202"/>
  <c r="AP587" i="202"/>
  <c r="AP588" i="202"/>
  <c r="AP589" i="202"/>
  <c r="AP590" i="202"/>
  <c r="AP591" i="202"/>
  <c r="AP592" i="202"/>
  <c r="AP593" i="202"/>
  <c r="AP594" i="202"/>
  <c r="AP595" i="202"/>
  <c r="AP596" i="202"/>
  <c r="AP597" i="202"/>
  <c r="AP598" i="202"/>
  <c r="AP599" i="202"/>
  <c r="AP600" i="202"/>
  <c r="AP601" i="202"/>
  <c r="AP602" i="202"/>
  <c r="AP603" i="202"/>
  <c r="AP604" i="202"/>
  <c r="AP605" i="202"/>
  <c r="AP606" i="202"/>
  <c r="AP607" i="202"/>
  <c r="AP608" i="202"/>
  <c r="AP609" i="202"/>
  <c r="AP610" i="202"/>
  <c r="AP611" i="202"/>
  <c r="AP612" i="202"/>
  <c r="AP613" i="202"/>
  <c r="AP614" i="202"/>
  <c r="AP615" i="202"/>
  <c r="AP616" i="202"/>
  <c r="AP617" i="202"/>
  <c r="AP618" i="202"/>
  <c r="AP619" i="202"/>
  <c r="AP620" i="202"/>
  <c r="AP621" i="202"/>
  <c r="AP622" i="202"/>
  <c r="AP623" i="202"/>
  <c r="AP624" i="202"/>
  <c r="AP625" i="202"/>
  <c r="AP626" i="202"/>
  <c r="AP627" i="202"/>
  <c r="AP628" i="202"/>
  <c r="AP629" i="202"/>
  <c r="AP630" i="202"/>
  <c r="AP631" i="202"/>
  <c r="AP632" i="202"/>
  <c r="AP633" i="202"/>
  <c r="AP634" i="202"/>
  <c r="AP635" i="202"/>
  <c r="AP636" i="202"/>
  <c r="AP637" i="202"/>
  <c r="AP638" i="202"/>
  <c r="AP639" i="202"/>
  <c r="AP640" i="202"/>
  <c r="AP641" i="202"/>
  <c r="AP642" i="202"/>
  <c r="AP643" i="202"/>
  <c r="AP644" i="202"/>
  <c r="AP645" i="202"/>
  <c r="AP646" i="202"/>
  <c r="AP647" i="202"/>
  <c r="AP648" i="202"/>
  <c r="AP649" i="202"/>
  <c r="AP650" i="202"/>
  <c r="AP651" i="202"/>
  <c r="AP652" i="202"/>
  <c r="AP653" i="202"/>
  <c r="AP654" i="202"/>
  <c r="AP655" i="202"/>
  <c r="AP656" i="202"/>
  <c r="AP657" i="202"/>
  <c r="AP658" i="202"/>
  <c r="AP659" i="202"/>
  <c r="AP660" i="202"/>
  <c r="AP661" i="202"/>
  <c r="AP662" i="202"/>
  <c r="AP663" i="202"/>
  <c r="AP664" i="202"/>
  <c r="AP665" i="202"/>
  <c r="AP666" i="202"/>
  <c r="AP667" i="202"/>
  <c r="AP668" i="202"/>
  <c r="AP669" i="202"/>
  <c r="AP670" i="202"/>
  <c r="AP671" i="202"/>
  <c r="AP672" i="202"/>
  <c r="AP673" i="202"/>
  <c r="AP674" i="202"/>
  <c r="AP675" i="202"/>
  <c r="AP676" i="202"/>
  <c r="AP677" i="202"/>
  <c r="AP678" i="202"/>
  <c r="AP679" i="202"/>
  <c r="AP680" i="202"/>
  <c r="AP681" i="202"/>
  <c r="AP682" i="202"/>
  <c r="AP683" i="202"/>
  <c r="AP684" i="202"/>
  <c r="AP685" i="202"/>
  <c r="AP686" i="202"/>
  <c r="AP687" i="202"/>
  <c r="AP688" i="202"/>
  <c r="AP689" i="202"/>
  <c r="AP690" i="202"/>
  <c r="AP691" i="202"/>
  <c r="AP692" i="202"/>
  <c r="AP693" i="202"/>
  <c r="AP694" i="202"/>
  <c r="AP695" i="202"/>
  <c r="AP696" i="202"/>
  <c r="AP697" i="202"/>
  <c r="AP698" i="202"/>
  <c r="AP699" i="202"/>
  <c r="AP700" i="202"/>
  <c r="AP701" i="202"/>
  <c r="AP702" i="202"/>
  <c r="AP703" i="202"/>
  <c r="AP704" i="202"/>
  <c r="AP705" i="202"/>
  <c r="AP706" i="202"/>
  <c r="AP707" i="202"/>
  <c r="AP708" i="202"/>
  <c r="AP709" i="202"/>
  <c r="AP710" i="202"/>
  <c r="AP711" i="202"/>
  <c r="AP712" i="202"/>
  <c r="AP713" i="202"/>
  <c r="AP714" i="202"/>
  <c r="AP715" i="202"/>
  <c r="AP716" i="202"/>
  <c r="AP717" i="202"/>
  <c r="AP718" i="202"/>
  <c r="AP719" i="202"/>
  <c r="AP720" i="202"/>
  <c r="AP721" i="202"/>
  <c r="AP722" i="202"/>
  <c r="AP723" i="202"/>
  <c r="AP724" i="202"/>
  <c r="AP725" i="202"/>
  <c r="AP726" i="202"/>
  <c r="AP727" i="202"/>
  <c r="AP728" i="202"/>
  <c r="AP729" i="202"/>
  <c r="AP730" i="202"/>
  <c r="AP731" i="202"/>
  <c r="AP732" i="202"/>
  <c r="AP733" i="202"/>
  <c r="AP734" i="202"/>
  <c r="AP735" i="202"/>
  <c r="AP736" i="202"/>
  <c r="AP737" i="202"/>
  <c r="AP738" i="202"/>
  <c r="AP739" i="202"/>
  <c r="AP740" i="202"/>
  <c r="AP741" i="202"/>
  <c r="AP742" i="202"/>
  <c r="AP743" i="202"/>
  <c r="AP744" i="202"/>
  <c r="AP745" i="202"/>
  <c r="AP746" i="202"/>
  <c r="AP747" i="202"/>
  <c r="AP748" i="202"/>
  <c r="AP749" i="202"/>
  <c r="AP750" i="202"/>
  <c r="AP751" i="202"/>
  <c r="AP752" i="202"/>
  <c r="AP753" i="202"/>
  <c r="AP754" i="202"/>
  <c r="AP755" i="202"/>
  <c r="AP756" i="202"/>
  <c r="AP757" i="202"/>
  <c r="AP758" i="202"/>
  <c r="AP759" i="202"/>
  <c r="AP760" i="202"/>
  <c r="AP761" i="202"/>
  <c r="AP762" i="202"/>
  <c r="AP763" i="202"/>
  <c r="AP764" i="202"/>
  <c r="AP765" i="202"/>
  <c r="AP766" i="202"/>
  <c r="AP767" i="202"/>
  <c r="AP768" i="202"/>
  <c r="AP769" i="202"/>
  <c r="AP770" i="202"/>
  <c r="AP771" i="202"/>
  <c r="AP772" i="202"/>
  <c r="AP773" i="202"/>
  <c r="AP774" i="202"/>
  <c r="AP775" i="202"/>
  <c r="AP776" i="202"/>
  <c r="AP777" i="202"/>
  <c r="AP778" i="202"/>
  <c r="AP779" i="202"/>
  <c r="AP780" i="202"/>
  <c r="AP781" i="202"/>
  <c r="AP782" i="202"/>
  <c r="AP783" i="202"/>
  <c r="AP784" i="202"/>
  <c r="AP785" i="202"/>
  <c r="AP786" i="202"/>
  <c r="AP787" i="202"/>
  <c r="AP788" i="202"/>
  <c r="AP789" i="202"/>
  <c r="AP790" i="202"/>
  <c r="AP791" i="202"/>
  <c r="AP792" i="202"/>
  <c r="AP793" i="202"/>
  <c r="AP794" i="202"/>
  <c r="AP795" i="202"/>
  <c r="AP796" i="202"/>
  <c r="AP797" i="202"/>
  <c r="AP798" i="202"/>
  <c r="AP799" i="202"/>
  <c r="AP800" i="202"/>
  <c r="AP801" i="202"/>
  <c r="AP802" i="202"/>
  <c r="AP803" i="202"/>
  <c r="AP804" i="202"/>
  <c r="AP805" i="202"/>
  <c r="AP806" i="202"/>
  <c r="AP807" i="202"/>
  <c r="AP808" i="202"/>
  <c r="AP809" i="202"/>
  <c r="AP810" i="202"/>
  <c r="AP811" i="202"/>
  <c r="AP812" i="202"/>
  <c r="AP813" i="202"/>
  <c r="AP814" i="202"/>
  <c r="AP815" i="202"/>
  <c r="AP816" i="202"/>
  <c r="AP817" i="202"/>
  <c r="AP818" i="202"/>
  <c r="AP819" i="202"/>
  <c r="AP820" i="202"/>
  <c r="AP821" i="202"/>
  <c r="AP822" i="202"/>
  <c r="AP823" i="202"/>
  <c r="AP824" i="202"/>
  <c r="AP825" i="202"/>
  <c r="AP826" i="202"/>
  <c r="AP827" i="202"/>
  <c r="AP828" i="202"/>
  <c r="AP829" i="202"/>
  <c r="AP830" i="202"/>
  <c r="AP831" i="202"/>
  <c r="AP832" i="202"/>
  <c r="AP833" i="202"/>
  <c r="AP834" i="202"/>
  <c r="AP835" i="202"/>
  <c r="AP836" i="202"/>
  <c r="AP837" i="202"/>
  <c r="AP838" i="202"/>
  <c r="AP839" i="202"/>
  <c r="AP840" i="202"/>
  <c r="AP841" i="202"/>
  <c r="AP842" i="202"/>
  <c r="AP843" i="202"/>
  <c r="AP844" i="202"/>
  <c r="AP845" i="202"/>
  <c r="AP846" i="202"/>
  <c r="AP847" i="202"/>
  <c r="AP848" i="202"/>
  <c r="AP849" i="202"/>
  <c r="AP850" i="202"/>
  <c r="AP851" i="202"/>
  <c r="AP852" i="202"/>
  <c r="AP853" i="202"/>
  <c r="AP854" i="202"/>
  <c r="AP855" i="202"/>
  <c r="AP856" i="202"/>
  <c r="AP857" i="202"/>
  <c r="AP858" i="202"/>
  <c r="AP859" i="202"/>
  <c r="AP860" i="202"/>
  <c r="AP861" i="202"/>
  <c r="AP862" i="202"/>
  <c r="AP863" i="202"/>
  <c r="AP864" i="202"/>
  <c r="AP865" i="202"/>
  <c r="AP866" i="202"/>
  <c r="AP867" i="202"/>
  <c r="AP868" i="202"/>
  <c r="AP869" i="202"/>
  <c r="AP870" i="202"/>
  <c r="AP871" i="202"/>
  <c r="AP872" i="202"/>
  <c r="AP873" i="202"/>
  <c r="AP874" i="202"/>
  <c r="AP875" i="202"/>
  <c r="AP876" i="202"/>
  <c r="AP877" i="202"/>
  <c r="AP878" i="202"/>
  <c r="AP879" i="202"/>
  <c r="AP880" i="202"/>
  <c r="AP881" i="202"/>
  <c r="AP882" i="202"/>
  <c r="AP883" i="202"/>
  <c r="AP884" i="202"/>
  <c r="AP885" i="202"/>
  <c r="AP886" i="202"/>
  <c r="AP887" i="202"/>
  <c r="AP888" i="202"/>
  <c r="AP889" i="202"/>
  <c r="AP890" i="202"/>
  <c r="AP891" i="202"/>
  <c r="AP892" i="202"/>
  <c r="AP893" i="202"/>
  <c r="AP894" i="202"/>
  <c r="AP895" i="202"/>
  <c r="AP896" i="202"/>
  <c r="AP897" i="202"/>
  <c r="AP898" i="202"/>
  <c r="AP899" i="202"/>
  <c r="AP900" i="202"/>
  <c r="AP901" i="202"/>
  <c r="AP902" i="202"/>
  <c r="AP903" i="202"/>
  <c r="AP904" i="202"/>
  <c r="AP905" i="202"/>
  <c r="AP906" i="202"/>
  <c r="AP907" i="202"/>
  <c r="AP908" i="202"/>
  <c r="AP909" i="202"/>
  <c r="AP910" i="202"/>
  <c r="AP911" i="202"/>
  <c r="AP912" i="202"/>
  <c r="AP913" i="202"/>
  <c r="AP914" i="202"/>
  <c r="AP915" i="202"/>
  <c r="AP916" i="202"/>
  <c r="AP917" i="202"/>
  <c r="AP918" i="202"/>
  <c r="AP919" i="202"/>
  <c r="AP920" i="202"/>
  <c r="AP921" i="202"/>
  <c r="AP922" i="202"/>
  <c r="AP923" i="202"/>
  <c r="AP924" i="202"/>
  <c r="AP925" i="202"/>
  <c r="AP926" i="202"/>
  <c r="AP927" i="202"/>
  <c r="AP928" i="202"/>
  <c r="AP929" i="202"/>
  <c r="AP930" i="202"/>
  <c r="AP931" i="202"/>
  <c r="AP932" i="202"/>
  <c r="AP933" i="202"/>
  <c r="AP934" i="202"/>
  <c r="AP935" i="202"/>
  <c r="AP936" i="202"/>
  <c r="AP937" i="202"/>
  <c r="AP938" i="202"/>
  <c r="AP939" i="202"/>
  <c r="AP940" i="202"/>
  <c r="AP941" i="202"/>
  <c r="AP942" i="202"/>
  <c r="AP943" i="202"/>
  <c r="AP944" i="202"/>
  <c r="AP945" i="202"/>
  <c r="AP946" i="202"/>
  <c r="AP947" i="202"/>
  <c r="AP948" i="202"/>
  <c r="AP949" i="202"/>
  <c r="AP950" i="202"/>
  <c r="AP951" i="202"/>
  <c r="AP952" i="202"/>
  <c r="AP953" i="202"/>
  <c r="AP954" i="202"/>
  <c r="AP955" i="202"/>
  <c r="AP956" i="202"/>
  <c r="AP957" i="202"/>
  <c r="AP958" i="202"/>
  <c r="AP959" i="202"/>
  <c r="AP960" i="202"/>
  <c r="AP961" i="202"/>
  <c r="AP962" i="202"/>
  <c r="AP963" i="202"/>
  <c r="AP964" i="202"/>
  <c r="AP965" i="202"/>
  <c r="AP966" i="202"/>
  <c r="AP967" i="202"/>
  <c r="AP968" i="202"/>
  <c r="AP969" i="202"/>
  <c r="AP970" i="202"/>
  <c r="AP971" i="202"/>
  <c r="AP972" i="202"/>
  <c r="AP973" i="202"/>
  <c r="AP974" i="202"/>
  <c r="AP975" i="202"/>
  <c r="AP976" i="202"/>
  <c r="AP977" i="202"/>
  <c r="AP978" i="202"/>
  <c r="AP979" i="202"/>
  <c r="AP980" i="202"/>
  <c r="AP981" i="202"/>
  <c r="AP982" i="202"/>
  <c r="AP983" i="202"/>
  <c r="AP984" i="202"/>
  <c r="AP985" i="202"/>
  <c r="AP986" i="202"/>
  <c r="AP987" i="202"/>
  <c r="AP988" i="202"/>
  <c r="AP989" i="202"/>
  <c r="AP990" i="202"/>
  <c r="AP991" i="202"/>
  <c r="AP992" i="202"/>
  <c r="AP993" i="202"/>
  <c r="AP994" i="202"/>
  <c r="AP995" i="202"/>
  <c r="AP996" i="202"/>
  <c r="AP997" i="202"/>
  <c r="AP998" i="202"/>
  <c r="AP999" i="202"/>
  <c r="AP1000" i="202"/>
  <c r="AP1001" i="202"/>
  <c r="AP1002" i="202"/>
  <c r="AP1003" i="202"/>
  <c r="AP1004" i="202"/>
  <c r="AP1005" i="202"/>
  <c r="AP1006" i="202"/>
  <c r="AP1007" i="202"/>
  <c r="AP1008" i="202"/>
  <c r="AP1009" i="202"/>
  <c r="AP1010" i="202"/>
  <c r="AP1011" i="202"/>
  <c r="AP1012" i="202"/>
  <c r="AP1013" i="202"/>
  <c r="AP1014" i="202"/>
  <c r="AP1015" i="202"/>
  <c r="AP1016" i="202"/>
  <c r="AP1017" i="202"/>
  <c r="AP1018" i="202"/>
  <c r="AP1019" i="202"/>
  <c r="AP1020" i="202"/>
  <c r="AP1021" i="202"/>
  <c r="AP1022" i="202"/>
  <c r="AP1023" i="202"/>
  <c r="AP1024" i="202"/>
  <c r="AP1025" i="202"/>
  <c r="AP1026" i="202"/>
  <c r="AP1027" i="202"/>
  <c r="AP1028" i="202"/>
  <c r="AP1029" i="202"/>
  <c r="AP1030" i="202"/>
  <c r="AP1031" i="202"/>
  <c r="AP1032" i="202"/>
  <c r="AP1033" i="202"/>
  <c r="AP1034" i="202"/>
  <c r="AP1035" i="202"/>
  <c r="AP1036" i="202"/>
  <c r="AP1037" i="202"/>
  <c r="AP1038" i="202"/>
  <c r="AP1039" i="202"/>
  <c r="AP1040" i="202"/>
  <c r="AP1041" i="202"/>
  <c r="AP1042" i="202"/>
  <c r="AP1043" i="202"/>
  <c r="AP1044" i="202"/>
  <c r="AP1045" i="202"/>
  <c r="AP1046" i="202"/>
  <c r="AP1047" i="202"/>
  <c r="AP1048" i="202"/>
  <c r="AP1049" i="202"/>
  <c r="AP1050" i="202"/>
  <c r="AP1051" i="202"/>
  <c r="AP1052" i="202"/>
  <c r="AP1053" i="202"/>
  <c r="AP1054" i="202"/>
  <c r="AP1055" i="202"/>
  <c r="AP1056" i="202"/>
  <c r="AP1057" i="202"/>
  <c r="AP1058" i="202"/>
  <c r="AP1059" i="202"/>
  <c r="AP1060" i="202"/>
  <c r="AP1061" i="202"/>
  <c r="AP1062" i="202"/>
  <c r="AP1063" i="202"/>
  <c r="AP1064" i="202"/>
  <c r="AP1065" i="202"/>
  <c r="AP1066" i="202"/>
  <c r="AP1067" i="202"/>
  <c r="AP1068" i="202"/>
  <c r="AP1069" i="202"/>
  <c r="AP1070" i="202"/>
  <c r="AP1071" i="202"/>
  <c r="AP1072" i="202"/>
  <c r="AP1073" i="202"/>
  <c r="AP1074" i="202"/>
  <c r="AP1075" i="202"/>
  <c r="AP1076" i="202"/>
  <c r="AP1077" i="202"/>
  <c r="AP1078" i="202"/>
  <c r="AP1079" i="202"/>
  <c r="AP1080" i="202"/>
  <c r="AP1081" i="202"/>
  <c r="AP1082" i="202"/>
  <c r="AP1083" i="202"/>
  <c r="AP1084" i="202"/>
  <c r="AP1085" i="202"/>
  <c r="AP1086" i="202"/>
  <c r="AP1087" i="202"/>
  <c r="AP1088" i="202"/>
  <c r="AP1089" i="202"/>
  <c r="AP1090" i="202"/>
  <c r="AP1091" i="202"/>
  <c r="AP1092" i="202"/>
  <c r="AP1093" i="202"/>
  <c r="AP1094" i="202"/>
  <c r="AP1095" i="202"/>
  <c r="AP1096" i="202"/>
  <c r="AP1097" i="202"/>
  <c r="AP1098" i="202"/>
  <c r="AP1099" i="202"/>
  <c r="AP1100" i="202"/>
  <c r="AP1101" i="202"/>
  <c r="AP1102" i="202"/>
  <c r="AP1103" i="202"/>
  <c r="AP1104" i="202"/>
  <c r="AP1105" i="202"/>
  <c r="AP1106" i="202"/>
  <c r="AP1107" i="202"/>
  <c r="AP1108" i="202"/>
  <c r="AP1109" i="202"/>
  <c r="AP1110" i="202"/>
  <c r="AP1111" i="202"/>
  <c r="AP1112" i="202"/>
  <c r="AP1113" i="202"/>
  <c r="AP1114" i="202"/>
  <c r="AP1115" i="202"/>
  <c r="AP1116" i="202"/>
  <c r="AP1117" i="202"/>
  <c r="AP1118" i="202"/>
  <c r="AP1119" i="202"/>
  <c r="AP1120" i="202"/>
  <c r="AP1121" i="202"/>
  <c r="AP1122" i="202"/>
  <c r="AP1123" i="202"/>
  <c r="AP1124" i="202"/>
  <c r="AP1125" i="202"/>
  <c r="AP1126" i="202"/>
  <c r="AP1127" i="202"/>
  <c r="AP1128" i="202"/>
  <c r="AP1129" i="202"/>
  <c r="AP1130" i="202"/>
  <c r="AP1131" i="202"/>
  <c r="AP1132" i="202"/>
  <c r="AP1133" i="202"/>
  <c r="AP1134" i="202"/>
  <c r="AP1135" i="202"/>
  <c r="AP1136" i="202"/>
  <c r="AP1137" i="202"/>
  <c r="AP1138" i="202"/>
  <c r="AP1139" i="202"/>
  <c r="AP1140" i="202"/>
  <c r="AP1141" i="202"/>
  <c r="AP1142" i="202"/>
  <c r="AP1143" i="202"/>
  <c r="AP1144" i="202"/>
  <c r="AP1145" i="202"/>
  <c r="AP1146" i="202"/>
  <c r="AP1147" i="202"/>
  <c r="AP1148" i="202"/>
  <c r="AP1149" i="202"/>
  <c r="AP1150" i="202"/>
  <c r="AP1151" i="202"/>
  <c r="AP1152" i="202"/>
  <c r="AP1153" i="202"/>
  <c r="AP1154" i="202"/>
  <c r="AP1155" i="202"/>
  <c r="AP1156" i="202"/>
  <c r="AP1157" i="202"/>
  <c r="AP1158" i="202"/>
  <c r="AP1159" i="202"/>
  <c r="AP1160" i="202"/>
  <c r="AP1161" i="202"/>
  <c r="AP1162" i="202"/>
  <c r="AP1163" i="202"/>
  <c r="AP1164" i="202"/>
  <c r="AP1165" i="202"/>
  <c r="AP1166" i="202"/>
  <c r="AP1167" i="202"/>
  <c r="AP1168" i="202"/>
  <c r="AP1169" i="202"/>
  <c r="AP1170" i="202"/>
  <c r="AP1171" i="202"/>
  <c r="AP1172" i="202"/>
  <c r="AP1173" i="202"/>
  <c r="AP1174" i="202"/>
  <c r="AP1175" i="202"/>
  <c r="AP1176" i="202"/>
  <c r="AP1177" i="202"/>
  <c r="AP1178" i="202"/>
  <c r="AP1179" i="202"/>
  <c r="AP1180" i="202"/>
  <c r="AP1181" i="202"/>
  <c r="AP1182" i="202"/>
  <c r="AP1183" i="202"/>
  <c r="AP1184" i="202"/>
  <c r="AP1185" i="202"/>
  <c r="AP1186" i="202"/>
  <c r="AP1187" i="202"/>
  <c r="AP1188" i="202"/>
  <c r="AP1189" i="202"/>
  <c r="AP1190" i="202"/>
  <c r="AP1191" i="202"/>
  <c r="AP1192" i="202"/>
  <c r="AP1193" i="202"/>
  <c r="AP1194" i="202"/>
  <c r="AP1195" i="202"/>
  <c r="AP1196" i="202"/>
  <c r="AP1197" i="202"/>
  <c r="AP1198" i="202"/>
  <c r="AP1199" i="202"/>
  <c r="AP1200" i="202"/>
  <c r="AP1201" i="202"/>
  <c r="AP1202" i="202"/>
  <c r="AP1203" i="202"/>
  <c r="AP1204" i="202"/>
  <c r="AP1205" i="202"/>
  <c r="AP1206" i="202"/>
  <c r="AP1207" i="202"/>
  <c r="AP1208" i="202"/>
  <c r="AP1209" i="202"/>
  <c r="AP1210" i="202"/>
  <c r="AP1211" i="202"/>
  <c r="AP1212" i="202"/>
  <c r="AP1213" i="202"/>
  <c r="AP1214" i="202"/>
  <c r="AP1215" i="202"/>
  <c r="AP1216" i="202"/>
  <c r="AP1217" i="202"/>
  <c r="AP1218" i="202"/>
  <c r="AP1219" i="202"/>
  <c r="AP1220" i="202"/>
  <c r="AP1221" i="202"/>
  <c r="AP1222" i="202"/>
  <c r="AP1223" i="202"/>
  <c r="AP1224" i="202"/>
  <c r="AP1225" i="202"/>
  <c r="AP1226" i="202"/>
  <c r="AP1227" i="202"/>
  <c r="AP1228" i="202"/>
  <c r="AP1229" i="202"/>
  <c r="AP1230" i="202"/>
  <c r="AP1231" i="202"/>
  <c r="AP1232" i="202"/>
  <c r="AP1233" i="202"/>
  <c r="AP1234" i="202"/>
  <c r="AP1235" i="202"/>
  <c r="AP1236" i="202"/>
  <c r="AP1237" i="202"/>
  <c r="AP1238" i="202"/>
  <c r="AP1239" i="202"/>
  <c r="AP1240" i="202"/>
  <c r="AP1241" i="202"/>
  <c r="AP1242" i="202"/>
  <c r="AP1243" i="202"/>
  <c r="AP1244" i="202"/>
  <c r="AP1245" i="202"/>
  <c r="AP1246" i="202"/>
  <c r="AP1247" i="202"/>
  <c r="AP1248" i="202"/>
  <c r="AP1249" i="202"/>
  <c r="AP1250" i="202"/>
  <c r="AP1251" i="202"/>
  <c r="AP1252" i="202"/>
  <c r="AP1253" i="202"/>
  <c r="AP1254" i="202"/>
  <c r="AP1255" i="202"/>
  <c r="AP1256" i="202"/>
  <c r="AP1257" i="202"/>
  <c r="AP1258" i="202"/>
  <c r="AP1259" i="202"/>
  <c r="AP1260" i="202"/>
  <c r="AP1261" i="202"/>
  <c r="AP1262" i="202"/>
  <c r="AP1263" i="202"/>
  <c r="AP1264" i="202"/>
  <c r="AP1265" i="202"/>
  <c r="AP1266" i="202"/>
  <c r="AP1267" i="202"/>
  <c r="AP1268" i="202"/>
  <c r="AP1269" i="202"/>
  <c r="AP1270" i="202"/>
  <c r="AP1271" i="202"/>
  <c r="AP1272" i="202"/>
  <c r="AP1273" i="202"/>
  <c r="AP1274" i="202"/>
  <c r="AP1275" i="202"/>
  <c r="AP1276" i="202"/>
  <c r="AP1277" i="202"/>
  <c r="AP1278" i="202"/>
  <c r="AP1279" i="202"/>
  <c r="AP1280" i="202"/>
  <c r="AP1281" i="202"/>
  <c r="AP1282" i="202"/>
  <c r="AP1283" i="202"/>
  <c r="AP1284" i="202"/>
  <c r="AP1285" i="202"/>
  <c r="AP1286" i="202"/>
  <c r="AP1287" i="202"/>
  <c r="AP1288" i="202"/>
  <c r="AP1289" i="202"/>
  <c r="AP1290" i="202"/>
  <c r="AP1291" i="202"/>
  <c r="AP1292" i="202"/>
  <c r="AP1293" i="202"/>
  <c r="AP1294" i="202"/>
  <c r="AP1295" i="202"/>
  <c r="AP1296" i="202"/>
  <c r="AP1297" i="202"/>
  <c r="AP1298" i="202"/>
  <c r="AP1299" i="202"/>
  <c r="AP1300" i="202"/>
  <c r="AP1301" i="202"/>
  <c r="AP1302" i="202"/>
  <c r="AP1303" i="202"/>
  <c r="AP1304" i="202"/>
  <c r="AP1305" i="202"/>
  <c r="AP1306" i="202"/>
  <c r="AP1307" i="202"/>
  <c r="AP1308" i="202"/>
  <c r="AP1309" i="202"/>
  <c r="AP1310" i="202"/>
  <c r="AP1311" i="202"/>
  <c r="AP1312" i="202"/>
  <c r="AP1313" i="202"/>
  <c r="AP1314" i="202"/>
  <c r="AP1315" i="202"/>
  <c r="AP1316" i="202"/>
  <c r="AP1317" i="202"/>
  <c r="AP1318" i="202"/>
  <c r="AP1319" i="202"/>
  <c r="AP1320" i="202"/>
  <c r="AP1321" i="202"/>
  <c r="AP1322" i="202"/>
  <c r="AP1323" i="202"/>
  <c r="AP1324" i="202"/>
  <c r="AP1325" i="202"/>
  <c r="AP1326" i="202"/>
  <c r="AP1327" i="202"/>
  <c r="AP1328" i="202"/>
  <c r="AP1329" i="202"/>
  <c r="AP1330" i="202"/>
  <c r="AP1331" i="202"/>
  <c r="AP1332" i="202"/>
  <c r="AP1333" i="202"/>
  <c r="AP1334" i="202"/>
  <c r="AP1335" i="202"/>
  <c r="AP1336" i="202"/>
  <c r="AP1337" i="202"/>
  <c r="AP1338" i="202"/>
  <c r="AP1339" i="202"/>
  <c r="AP1340" i="202"/>
  <c r="AP1341" i="202"/>
  <c r="AP1342" i="202"/>
  <c r="AP1343" i="202"/>
  <c r="AP1344" i="202"/>
  <c r="AP1345" i="202"/>
  <c r="AP1346" i="202"/>
  <c r="AP1347" i="202"/>
  <c r="AP1348" i="202"/>
  <c r="AP1349" i="202"/>
  <c r="AP1350" i="202"/>
  <c r="AP1351" i="202"/>
  <c r="AP1352" i="202"/>
  <c r="AP1353" i="202"/>
  <c r="AP1354" i="202"/>
  <c r="AP1355" i="202"/>
  <c r="AP1356" i="202"/>
  <c r="AP1357" i="202"/>
  <c r="AP1358" i="202"/>
  <c r="AP1359" i="202"/>
  <c r="AP1360" i="202"/>
  <c r="AP1361" i="202"/>
  <c r="AP1362" i="202"/>
  <c r="AP1363" i="202"/>
  <c r="AP1364" i="202"/>
  <c r="AP1365" i="202"/>
  <c r="AP1366" i="202"/>
  <c r="AP1367" i="202"/>
  <c r="AP1368" i="202"/>
  <c r="AP1369" i="202"/>
  <c r="AP1370" i="202"/>
  <c r="AP1371" i="202"/>
  <c r="AP1372" i="202"/>
  <c r="AP1373" i="202"/>
  <c r="AP1374" i="202"/>
  <c r="AP1375" i="202"/>
  <c r="AP1376" i="202"/>
  <c r="AP1377" i="202"/>
  <c r="AP1378" i="202"/>
  <c r="AP1379" i="202"/>
  <c r="AP1380" i="202"/>
  <c r="AP1381" i="202"/>
  <c r="AP1382" i="202"/>
  <c r="AP1383" i="202"/>
  <c r="AP1384" i="202"/>
  <c r="AP1385" i="202"/>
  <c r="AP1386" i="202"/>
  <c r="AP1387" i="202"/>
  <c r="AP1388" i="202"/>
  <c r="AP1389" i="202"/>
  <c r="AP1390" i="202"/>
  <c r="AP1391" i="202"/>
  <c r="AP1392" i="202"/>
  <c r="AP1393" i="202"/>
  <c r="AP1394" i="202"/>
  <c r="AP1395" i="202"/>
  <c r="AP1396" i="202"/>
  <c r="AP1397" i="202"/>
  <c r="AP1398" i="202"/>
  <c r="AP1399" i="202"/>
  <c r="AP1400" i="202"/>
  <c r="AP1401" i="202"/>
  <c r="AP1402" i="202"/>
  <c r="AP1403" i="202"/>
  <c r="AP1404" i="202"/>
  <c r="AP1405" i="202"/>
  <c r="AP1406" i="202"/>
  <c r="AP1407" i="202"/>
  <c r="AP1408" i="202"/>
  <c r="AP1409" i="202"/>
  <c r="AP1410" i="202"/>
  <c r="AP1411" i="202"/>
  <c r="AP1412" i="202"/>
  <c r="AP1413" i="202"/>
  <c r="AP1414" i="202"/>
  <c r="AP1415" i="202"/>
  <c r="AP1416" i="202"/>
  <c r="AP1417" i="202"/>
  <c r="AP1418" i="202"/>
  <c r="AP1419" i="202"/>
  <c r="AP1420" i="202"/>
  <c r="AP1421" i="202"/>
  <c r="AP1422" i="202"/>
  <c r="AP1423" i="202"/>
  <c r="AP1424" i="202"/>
  <c r="AP1425" i="202"/>
  <c r="AP1426" i="202"/>
  <c r="AP1427" i="202"/>
  <c r="AP1428" i="202"/>
  <c r="AP1429" i="202"/>
  <c r="AP1430" i="202"/>
  <c r="AP1431" i="202"/>
  <c r="AP1432" i="202"/>
  <c r="AP1433" i="202"/>
  <c r="AP1434" i="202"/>
  <c r="AP1435" i="202"/>
  <c r="AP1436" i="202"/>
  <c r="AP1437" i="202"/>
  <c r="AP1438" i="202"/>
  <c r="AP1439" i="202"/>
  <c r="AP1440" i="202"/>
  <c r="AP1441" i="202"/>
  <c r="AP1442" i="202"/>
  <c r="AP1443" i="202"/>
  <c r="AP1444" i="202"/>
  <c r="AP1445" i="202"/>
  <c r="AP1446" i="202"/>
  <c r="AP1447" i="202"/>
  <c r="AP1448" i="202"/>
  <c r="AP1449" i="202"/>
  <c r="AP1450" i="202"/>
  <c r="AP1451" i="202"/>
  <c r="AP1452" i="202"/>
  <c r="AP1453" i="202"/>
  <c r="AP1454" i="202"/>
  <c r="AP1455" i="202"/>
  <c r="AP1456" i="202"/>
  <c r="AP1457" i="202"/>
  <c r="AP1458" i="202"/>
  <c r="AP1459" i="202"/>
  <c r="AP1460" i="202"/>
  <c r="AP1461" i="202"/>
  <c r="AP1462" i="202"/>
  <c r="AP1463" i="202"/>
  <c r="AP1464" i="202"/>
  <c r="AP1465" i="202"/>
  <c r="AP1466" i="202"/>
  <c r="AP1467" i="202"/>
  <c r="AP1468" i="202"/>
  <c r="AP1469" i="202"/>
  <c r="AP1470" i="202"/>
  <c r="AP1471" i="202"/>
  <c r="AP1472" i="202"/>
  <c r="AP1473" i="202"/>
  <c r="AP1474" i="202"/>
  <c r="AP1475" i="202"/>
  <c r="AP1476" i="202"/>
  <c r="AP1477" i="202"/>
  <c r="AP1478" i="202"/>
  <c r="AP1479" i="202"/>
  <c r="AP1480" i="202"/>
  <c r="AP1481" i="202"/>
  <c r="AP1482" i="202"/>
  <c r="AP1483" i="202"/>
  <c r="AP1484" i="202"/>
  <c r="AP1485" i="202"/>
  <c r="AP1486" i="202"/>
  <c r="AP1487" i="202"/>
  <c r="AP1488" i="202"/>
  <c r="AP1489" i="202"/>
  <c r="AP1490" i="202"/>
  <c r="AP1491" i="202"/>
  <c r="AP1492" i="202"/>
  <c r="AP1493" i="202"/>
  <c r="AP1494" i="202"/>
  <c r="AP1495" i="202"/>
  <c r="AP1496" i="202"/>
  <c r="AP1497" i="202"/>
  <c r="AP1498" i="202"/>
  <c r="AP1499" i="202"/>
  <c r="AP1500" i="202"/>
  <c r="AP1501" i="202"/>
  <c r="AP1502" i="202"/>
  <c r="AP1503" i="202"/>
  <c r="AP1504" i="202"/>
  <c r="AP1505" i="202"/>
  <c r="AP1506" i="202"/>
  <c r="AP1507" i="202"/>
  <c r="AP1508" i="202"/>
  <c r="AP1509" i="202"/>
  <c r="AP1510" i="202"/>
  <c r="AP1511" i="202"/>
  <c r="AP1512" i="202"/>
  <c r="AP1513" i="202"/>
  <c r="AP1514" i="202"/>
  <c r="AP1515" i="202"/>
  <c r="AP1516" i="202"/>
  <c r="AP1517" i="202"/>
  <c r="AP1518" i="202"/>
  <c r="AP1519" i="202"/>
  <c r="AP1520" i="202"/>
  <c r="AP1521" i="202"/>
  <c r="AP1522" i="202"/>
  <c r="AP1523" i="202"/>
  <c r="AP1524" i="202"/>
  <c r="AP1525" i="202"/>
  <c r="AP1526" i="202"/>
  <c r="AP1527" i="202"/>
  <c r="AP1528" i="202"/>
  <c r="AP1529" i="202"/>
  <c r="AP1530" i="202"/>
  <c r="AP1531" i="202"/>
  <c r="AP1532" i="202"/>
  <c r="AP1533" i="202"/>
  <c r="AP1534" i="202"/>
  <c r="AP1535" i="202"/>
  <c r="AP1536" i="202"/>
  <c r="AP1537" i="202"/>
  <c r="AP1538" i="202"/>
  <c r="AP1539" i="202"/>
  <c r="AP1540" i="202"/>
  <c r="AP1541" i="202"/>
  <c r="AP1542" i="202"/>
  <c r="AP1543" i="202"/>
  <c r="AP1544" i="202"/>
  <c r="AP1545" i="202"/>
  <c r="AP1546" i="202"/>
  <c r="AP1547" i="202"/>
  <c r="AP1548" i="202"/>
  <c r="AP1549" i="202"/>
  <c r="AP1550" i="202"/>
  <c r="AP1551" i="202"/>
  <c r="AP1552" i="202"/>
  <c r="AP1553" i="202"/>
  <c r="AP1554" i="202"/>
  <c r="AP1555" i="202"/>
  <c r="AP1556" i="202"/>
  <c r="AP1557" i="202"/>
  <c r="AP1558" i="202"/>
  <c r="AP1559" i="202"/>
  <c r="AP1560" i="202"/>
  <c r="AP1561" i="202"/>
  <c r="AP1562" i="202"/>
  <c r="AP1563" i="202"/>
  <c r="AP1564" i="202"/>
  <c r="AP1565" i="202"/>
  <c r="AP1566" i="202"/>
  <c r="AP1567" i="202"/>
  <c r="AP1568" i="202"/>
  <c r="AP1569" i="202"/>
  <c r="AP1570" i="202"/>
  <c r="AP1571" i="202"/>
  <c r="AP1572" i="202"/>
  <c r="AP1573" i="202"/>
  <c r="AP1574" i="202"/>
  <c r="AP1575" i="202"/>
  <c r="AP1576" i="202"/>
  <c r="AP1577" i="202"/>
  <c r="AP1578" i="202"/>
  <c r="AP1579" i="202"/>
  <c r="AP1580" i="202"/>
  <c r="AP1581" i="202"/>
  <c r="AP1582" i="202"/>
  <c r="AP1583" i="202"/>
  <c r="AP1584" i="202"/>
  <c r="AP1585" i="202"/>
  <c r="AP1586" i="202"/>
  <c r="AP1587" i="202"/>
  <c r="AP1588" i="202"/>
  <c r="AP1589" i="202"/>
  <c r="AP1590" i="202"/>
  <c r="AP1591" i="202"/>
  <c r="AP1592" i="202"/>
  <c r="AP1593" i="202"/>
  <c r="AP1594" i="202"/>
  <c r="AP1595" i="202"/>
  <c r="AP1596" i="202"/>
  <c r="AP1597" i="202"/>
  <c r="AP1598" i="202"/>
  <c r="AP1599" i="202"/>
  <c r="AP1600" i="202"/>
  <c r="AP1601" i="202"/>
  <c r="AP1602" i="202"/>
  <c r="AP1603" i="202"/>
  <c r="AP1604" i="202"/>
  <c r="AP1605" i="202"/>
  <c r="AP1606" i="202"/>
  <c r="AP1607" i="202"/>
  <c r="AP1608" i="202"/>
  <c r="AP1609" i="202"/>
  <c r="AP1610" i="202"/>
  <c r="AP1611" i="202"/>
  <c r="AP1612" i="202"/>
  <c r="AP1613" i="202"/>
  <c r="AP1614" i="202"/>
  <c r="AP1615" i="202"/>
  <c r="AP1616" i="202"/>
  <c r="AP1617" i="202"/>
  <c r="AP1618" i="202"/>
  <c r="AP1619" i="202"/>
  <c r="AP1620" i="202"/>
  <c r="AP1621" i="202"/>
  <c r="AP1622" i="202"/>
  <c r="AP1623" i="202"/>
  <c r="AP1624" i="202"/>
  <c r="AP1625" i="202"/>
  <c r="AP1626" i="202"/>
  <c r="AP1627" i="202"/>
  <c r="AP1628" i="202"/>
  <c r="AP1629" i="202"/>
  <c r="AP1630" i="202"/>
  <c r="AP1631" i="202"/>
  <c r="AP1632" i="202"/>
  <c r="AP1633" i="202"/>
  <c r="AP1634" i="202"/>
  <c r="AP1635" i="202"/>
  <c r="AP1636" i="202"/>
  <c r="AP1637" i="202"/>
  <c r="AP1638" i="202"/>
  <c r="AP1639" i="202"/>
  <c r="AP1640" i="202"/>
  <c r="AP1641" i="202"/>
  <c r="AP1642" i="202"/>
  <c r="AP1643" i="202"/>
  <c r="AP1644" i="202"/>
  <c r="AP1645" i="202"/>
  <c r="AP1646" i="202"/>
  <c r="AP1647" i="202"/>
  <c r="AP1648" i="202"/>
  <c r="AP1649" i="202"/>
  <c r="AP1650" i="202"/>
  <c r="AP1651" i="202"/>
  <c r="AP1652" i="202"/>
  <c r="AP1653" i="202"/>
  <c r="AP1654" i="202"/>
  <c r="AP1655" i="202"/>
  <c r="AP1656" i="202"/>
  <c r="AP1657" i="202"/>
  <c r="AP1658" i="202"/>
  <c r="AP1659" i="202"/>
  <c r="AP1660" i="202"/>
  <c r="AP1661" i="202"/>
  <c r="AP1662" i="202"/>
  <c r="AP1663" i="202"/>
  <c r="AP1664" i="202"/>
  <c r="AP1665" i="202"/>
  <c r="AP1666" i="202"/>
  <c r="AP1667" i="202"/>
  <c r="AP1668" i="202"/>
  <c r="AP1669" i="202"/>
  <c r="AP1670" i="202"/>
  <c r="AP1671" i="202"/>
  <c r="AP1672" i="202"/>
  <c r="AP1673" i="202"/>
  <c r="AP1674" i="202"/>
  <c r="AP1675" i="202"/>
  <c r="AP1676" i="202"/>
  <c r="AP1677" i="202"/>
  <c r="AP1678" i="202"/>
  <c r="AP1679" i="202"/>
  <c r="AP1680" i="202"/>
  <c r="AP1681" i="202"/>
  <c r="AP1682" i="202"/>
  <c r="AP1683" i="202"/>
  <c r="AP1684" i="202"/>
  <c r="AP1685" i="202"/>
  <c r="AP1686" i="202"/>
  <c r="AP1687" i="202"/>
  <c r="AP1688" i="202"/>
  <c r="AP1689" i="202"/>
  <c r="AP1690" i="202"/>
  <c r="AP1691" i="202"/>
  <c r="AP1692" i="202"/>
  <c r="AP1693" i="202"/>
  <c r="AP1694" i="202"/>
  <c r="AP1695" i="202"/>
  <c r="AP1696" i="202"/>
  <c r="AP1697" i="202"/>
  <c r="AP1698" i="202"/>
  <c r="AP1699" i="202"/>
  <c r="AP1700" i="202"/>
  <c r="AP1701" i="202"/>
  <c r="AP1702" i="202"/>
  <c r="AP1703" i="202"/>
  <c r="AP1704" i="202"/>
  <c r="AP1705" i="202"/>
  <c r="AP1706" i="202"/>
  <c r="AP1707" i="202"/>
  <c r="AP1708" i="202"/>
  <c r="AP1709" i="202"/>
  <c r="AP1710" i="202"/>
  <c r="AP1711" i="202"/>
  <c r="AP1712" i="202"/>
  <c r="AP1713" i="202"/>
  <c r="AP1714" i="202"/>
  <c r="AP1715" i="202"/>
  <c r="AP1716" i="202"/>
  <c r="AP1717" i="202"/>
  <c r="AP1718" i="202"/>
  <c r="AP1719" i="202"/>
  <c r="AP1720" i="202"/>
  <c r="AP1721" i="202"/>
  <c r="AP1722" i="202"/>
  <c r="AP1723" i="202"/>
  <c r="AP1724" i="202"/>
  <c r="AP1725" i="202"/>
  <c r="AP1726" i="202"/>
  <c r="AP1727" i="202"/>
  <c r="AP1728" i="202"/>
  <c r="AP1729" i="202"/>
  <c r="AP1730" i="202"/>
  <c r="AP1731" i="202"/>
  <c r="AP1732" i="202"/>
  <c r="AP1733" i="202"/>
  <c r="AP1734" i="202"/>
  <c r="AP1735" i="202"/>
  <c r="AP1736" i="202"/>
  <c r="AP1737" i="202"/>
  <c r="AP1738" i="202"/>
  <c r="AP1739" i="202"/>
  <c r="AP1740" i="202"/>
  <c r="AP1741" i="202"/>
  <c r="AP1742" i="202"/>
  <c r="AP1743" i="202"/>
  <c r="AP1744" i="202"/>
  <c r="AP1745" i="202"/>
  <c r="AP1746" i="202"/>
  <c r="AP1747" i="202"/>
  <c r="AP1748" i="202"/>
  <c r="AP1749" i="202"/>
  <c r="AP1750" i="202"/>
  <c r="AP1751" i="202"/>
  <c r="AP1752" i="202"/>
  <c r="AP1753" i="202"/>
  <c r="AP1754" i="202"/>
  <c r="AP1755" i="202"/>
  <c r="AP1756" i="202"/>
  <c r="AP1757" i="202"/>
  <c r="AP1758" i="202"/>
  <c r="AP1759" i="202"/>
  <c r="AP1760" i="202"/>
  <c r="AP1761" i="202"/>
  <c r="AP1762" i="202"/>
  <c r="AP1763" i="202"/>
  <c r="AP1764" i="202"/>
  <c r="AP1765" i="202"/>
  <c r="AP1766" i="202"/>
  <c r="AP1767" i="202"/>
  <c r="AP1768" i="202"/>
  <c r="AP1769" i="202"/>
  <c r="AP1770" i="202"/>
  <c r="AP1771" i="202"/>
  <c r="AP1772" i="202"/>
  <c r="AP1773" i="202"/>
  <c r="AP1774" i="202"/>
  <c r="AP1775" i="202"/>
  <c r="AP1776" i="202"/>
  <c r="AP1777" i="202"/>
  <c r="AP1778" i="202"/>
  <c r="AP1779" i="202"/>
  <c r="AP1780" i="202"/>
  <c r="AP1781" i="202"/>
  <c r="AP1782" i="202"/>
  <c r="AP1783" i="202"/>
  <c r="AP1784" i="202"/>
  <c r="AP1785" i="202"/>
  <c r="AP1786" i="202"/>
  <c r="AP1787" i="202"/>
  <c r="AP1788" i="202"/>
  <c r="AP1789" i="202"/>
  <c r="AP1790" i="202"/>
  <c r="AP1791" i="202"/>
  <c r="AP1792" i="202"/>
  <c r="AP1793" i="202"/>
  <c r="AP1794" i="202"/>
  <c r="AP1795" i="202"/>
  <c r="AP1796" i="202"/>
  <c r="AP1797" i="202"/>
  <c r="AP1798" i="202"/>
  <c r="AP1799" i="202"/>
  <c r="AP1800" i="202"/>
  <c r="AP1801" i="202"/>
  <c r="AP1802" i="202"/>
  <c r="AP1803" i="202"/>
  <c r="AP1804" i="202"/>
  <c r="AP1805" i="202"/>
  <c r="AP1806" i="202"/>
  <c r="AP1807" i="202"/>
  <c r="AP1808" i="202"/>
  <c r="AP1809" i="202"/>
  <c r="AP1810" i="202"/>
  <c r="AP1811" i="202"/>
  <c r="AP1812" i="202"/>
  <c r="AP1813" i="202"/>
  <c r="AP1814" i="202"/>
  <c r="AP1815" i="202"/>
  <c r="AP1816" i="202"/>
  <c r="AP1817" i="202"/>
  <c r="AP1818" i="202"/>
  <c r="AP1819" i="202"/>
  <c r="AP1820" i="202"/>
  <c r="AP1821" i="202"/>
  <c r="AP1822" i="202"/>
  <c r="AP1823" i="202"/>
  <c r="AP1824" i="202"/>
  <c r="AP1825" i="202"/>
  <c r="AP1826" i="202"/>
  <c r="AP1827" i="202"/>
  <c r="AP1828" i="202"/>
  <c r="AP1829" i="202"/>
  <c r="AP1830" i="202"/>
  <c r="AP1831" i="202"/>
  <c r="AP1832" i="202"/>
  <c r="AP1833" i="202"/>
  <c r="AP1834" i="202"/>
  <c r="AP1835" i="202"/>
  <c r="AP1836" i="202"/>
  <c r="AP1837" i="202"/>
  <c r="AP1838" i="202"/>
  <c r="AP1839" i="202"/>
  <c r="AP1840" i="202"/>
  <c r="AP1841" i="202"/>
  <c r="AP1842" i="202"/>
  <c r="AP1843" i="202"/>
  <c r="AP1844" i="202"/>
  <c r="AP1845" i="202"/>
  <c r="AP1846" i="202"/>
  <c r="AP1847" i="202"/>
  <c r="AP1848" i="202"/>
  <c r="AP1849" i="202"/>
  <c r="AP1850" i="202"/>
  <c r="AP1851" i="202"/>
  <c r="AP1852" i="202"/>
  <c r="AP1853" i="202"/>
  <c r="AP1854" i="202"/>
  <c r="AP1855" i="202"/>
  <c r="AP1856" i="202"/>
  <c r="AP1857" i="202"/>
  <c r="AP1858" i="202"/>
  <c r="AP1859" i="202"/>
  <c r="AP1860" i="202"/>
  <c r="AP1861" i="202"/>
  <c r="AP1862" i="202"/>
  <c r="AP1863" i="202"/>
  <c r="AP1864" i="202"/>
  <c r="AP1865" i="202"/>
  <c r="AP1866" i="202"/>
  <c r="AP1867" i="202"/>
  <c r="AP1868" i="202"/>
  <c r="AP1869" i="202"/>
  <c r="AP1870" i="202"/>
  <c r="AP1871" i="202"/>
  <c r="AP1872" i="202"/>
  <c r="AP1873" i="202"/>
  <c r="AP1874" i="202"/>
  <c r="AP1875" i="202"/>
  <c r="AP1876" i="202"/>
  <c r="AP1877" i="202"/>
  <c r="AP1878" i="202"/>
  <c r="AP1879" i="202"/>
  <c r="AP1880" i="202"/>
  <c r="AP1881" i="202"/>
  <c r="AP1882" i="202"/>
  <c r="AP1883" i="202"/>
  <c r="AP1884" i="202"/>
  <c r="AP1885" i="202"/>
  <c r="AP1886" i="202"/>
  <c r="AP1887" i="202"/>
  <c r="AP1888" i="202"/>
  <c r="AP1889" i="202"/>
  <c r="AP1890" i="202"/>
  <c r="AP1891" i="202"/>
  <c r="AP1892" i="202"/>
  <c r="AP1893" i="202"/>
  <c r="AP1894" i="202"/>
  <c r="AP1895" i="202"/>
  <c r="AP1896" i="202"/>
  <c r="AP1897" i="202"/>
  <c r="AP1898" i="202"/>
  <c r="AP1899" i="202"/>
  <c r="AP1900" i="202"/>
  <c r="AP1901" i="202"/>
  <c r="AP1902" i="202"/>
  <c r="AP1903" i="202"/>
  <c r="AP1904" i="202"/>
  <c r="AP1905" i="202"/>
  <c r="AP1906" i="202"/>
  <c r="AP1907" i="202"/>
  <c r="AP1908" i="202"/>
  <c r="AP1909" i="202"/>
  <c r="AP1910" i="202"/>
  <c r="AP1911" i="202"/>
  <c r="AP1912" i="202"/>
  <c r="AP1913" i="202"/>
  <c r="AP1914" i="202"/>
  <c r="AP1915" i="202"/>
  <c r="AP1916" i="202"/>
  <c r="AP1917" i="202"/>
  <c r="AP1918" i="202"/>
  <c r="AP1919" i="202"/>
  <c r="AP1920" i="202"/>
  <c r="AP1921" i="202"/>
  <c r="AP1922" i="202"/>
  <c r="AP1923" i="202"/>
  <c r="AP1924" i="202"/>
  <c r="AP1925" i="202"/>
  <c r="AP1926" i="202"/>
  <c r="AP1927" i="202"/>
  <c r="AP1928" i="202"/>
  <c r="AP1929" i="202"/>
  <c r="AP1930" i="202"/>
  <c r="AP1931" i="202"/>
  <c r="AP1932" i="202"/>
  <c r="AP1933" i="202"/>
  <c r="AP1934" i="202"/>
  <c r="AP1935" i="202"/>
  <c r="AP1936" i="202"/>
  <c r="AP1937" i="202"/>
  <c r="AP1938" i="202"/>
  <c r="AP1939" i="202"/>
  <c r="AP1940" i="202"/>
  <c r="AP1941" i="202"/>
  <c r="AP1942" i="202"/>
  <c r="AP1943" i="202"/>
  <c r="AP1944" i="202"/>
  <c r="AP1945" i="202"/>
  <c r="AP1946" i="202"/>
  <c r="AP1947" i="202"/>
  <c r="AP1948" i="202"/>
  <c r="AP1949" i="202"/>
  <c r="AP1950" i="202"/>
  <c r="AP1951" i="202"/>
  <c r="AP1952" i="202"/>
  <c r="AP1953" i="202"/>
  <c r="AP1954" i="202"/>
  <c r="AP1955" i="202"/>
  <c r="AP1956" i="202"/>
  <c r="AP1957" i="202"/>
  <c r="AP1958" i="202"/>
  <c r="AP1959" i="202"/>
  <c r="AP1960" i="202"/>
  <c r="AP1961" i="202"/>
  <c r="AP1962" i="202"/>
  <c r="AP1963" i="202"/>
  <c r="AP1964" i="202"/>
  <c r="AP1965" i="202"/>
  <c r="AP1966" i="202"/>
  <c r="AP1967" i="202"/>
  <c r="AP1968" i="202"/>
  <c r="AP1969" i="202"/>
  <c r="AP1970" i="202"/>
  <c r="AP1971" i="202"/>
  <c r="AP1972" i="202"/>
  <c r="AP1973" i="202"/>
  <c r="AP1974" i="202"/>
  <c r="AP1975" i="202"/>
  <c r="AP1976" i="202"/>
  <c r="AP1977" i="202"/>
  <c r="AP1978" i="202"/>
  <c r="AP1979" i="202"/>
  <c r="AP1980" i="202"/>
  <c r="AP1981" i="202"/>
  <c r="AP1982" i="202"/>
  <c r="AP1983" i="202"/>
  <c r="AP1984" i="202"/>
  <c r="AP1985" i="202"/>
  <c r="AP1986" i="202"/>
  <c r="AP1987" i="202"/>
  <c r="AP1988" i="202"/>
  <c r="AP1989" i="202"/>
  <c r="AP1990" i="202"/>
  <c r="AP1991" i="202"/>
  <c r="AP1992" i="202"/>
  <c r="AP1993" i="202"/>
  <c r="AP1994" i="202"/>
  <c r="AP1995" i="202"/>
  <c r="AP1996" i="202"/>
  <c r="AP1997" i="202"/>
  <c r="AP1998" i="202"/>
  <c r="AP1999" i="202"/>
  <c r="AP2000" i="202"/>
  <c r="AP2001" i="202"/>
  <c r="AP2002" i="202"/>
  <c r="AP2003" i="202"/>
  <c r="AP2004" i="202"/>
  <c r="AP2005" i="202"/>
  <c r="AP2006" i="202"/>
  <c r="AP2007" i="202"/>
  <c r="AP2008" i="202"/>
  <c r="AP2009" i="202"/>
  <c r="AP2010" i="202"/>
  <c r="AP2011" i="202"/>
  <c r="AP2012" i="202"/>
  <c r="AP2013" i="202"/>
  <c r="AP2014" i="202"/>
  <c r="AP2015" i="202"/>
  <c r="AP2016" i="202"/>
  <c r="AP2017" i="202"/>
  <c r="AP2018" i="202"/>
  <c r="AP2019" i="202"/>
  <c r="AP2020" i="202"/>
  <c r="AP2021" i="202"/>
  <c r="AP2022" i="202"/>
  <c r="AP2023" i="202"/>
  <c r="AP2024" i="202"/>
  <c r="AP2025" i="202"/>
  <c r="AP2026" i="202"/>
  <c r="AP2027" i="202"/>
  <c r="AP2028" i="202"/>
  <c r="AP2029" i="202"/>
  <c r="AP2030" i="202"/>
  <c r="AP2031" i="202"/>
  <c r="AP2032" i="202"/>
  <c r="AP2033" i="202"/>
  <c r="AP2034" i="202"/>
  <c r="AP2035" i="202"/>
  <c r="AP2036" i="202"/>
  <c r="AP2037" i="202"/>
  <c r="AP2038" i="202"/>
  <c r="AP2039" i="202"/>
  <c r="AP2040" i="202"/>
  <c r="AP2041" i="202"/>
  <c r="AP2042" i="202"/>
  <c r="AP2043" i="202"/>
  <c r="AP2044" i="202"/>
  <c r="AP2045" i="202"/>
  <c r="AP2046" i="202"/>
  <c r="AP2047" i="202"/>
  <c r="AP2048" i="202"/>
  <c r="AB2" i="202"/>
  <c r="AB3" i="202"/>
  <c r="AB4" i="202"/>
  <c r="AB5" i="202"/>
  <c r="AB6" i="202"/>
  <c r="AB7" i="202"/>
  <c r="AB8" i="202"/>
  <c r="AB9" i="202"/>
  <c r="AB10" i="202"/>
  <c r="AB11" i="202"/>
  <c r="AB12" i="202"/>
  <c r="AB13" i="202"/>
  <c r="AB14" i="202"/>
  <c r="AB15" i="202"/>
  <c r="AB16" i="202"/>
  <c r="AB17" i="202"/>
  <c r="AB18" i="202"/>
  <c r="AB19" i="202"/>
  <c r="AB20" i="202"/>
  <c r="AB21" i="202"/>
  <c r="AB22" i="202"/>
  <c r="AB23" i="202"/>
  <c r="AB24" i="202"/>
  <c r="AB25" i="202"/>
  <c r="AB26" i="202"/>
  <c r="AB27" i="202"/>
  <c r="AB28" i="202"/>
  <c r="AB29" i="202"/>
  <c r="AB30" i="202"/>
  <c r="AB31" i="202"/>
  <c r="AB32" i="202"/>
  <c r="AB33" i="202"/>
  <c r="AB34" i="202"/>
  <c r="AB35" i="202"/>
  <c r="AB36" i="202"/>
  <c r="AB37" i="202"/>
  <c r="AB38" i="202"/>
  <c r="AB39" i="202"/>
  <c r="AB40" i="202"/>
  <c r="AB41" i="202"/>
  <c r="AB42" i="202"/>
  <c r="AB43" i="202"/>
  <c r="AB44" i="202"/>
  <c r="AB45" i="202"/>
  <c r="AB46" i="202"/>
  <c r="AB47" i="202"/>
  <c r="AB48" i="202"/>
  <c r="AB49" i="202"/>
  <c r="AB50" i="202"/>
  <c r="AB51" i="202"/>
  <c r="AB52" i="202"/>
  <c r="AB53" i="202"/>
  <c r="AB54" i="202"/>
  <c r="AB55" i="202"/>
  <c r="AB56" i="202"/>
  <c r="AB57" i="202"/>
  <c r="AB58" i="202"/>
  <c r="AB59" i="202"/>
  <c r="AB60" i="202"/>
  <c r="AB61" i="202"/>
  <c r="AB62" i="202"/>
  <c r="AB63" i="202"/>
  <c r="AB64" i="202"/>
  <c r="AB65" i="202"/>
  <c r="AB66" i="202"/>
  <c r="AB67" i="202"/>
  <c r="AB68" i="202"/>
  <c r="AB69" i="202"/>
  <c r="AB70" i="202"/>
  <c r="AB71" i="202"/>
  <c r="AB72" i="202"/>
  <c r="AB73" i="202"/>
  <c r="AB74" i="202"/>
  <c r="AB75" i="202"/>
  <c r="AB76" i="202"/>
  <c r="AB77" i="202"/>
  <c r="AB78" i="202"/>
  <c r="AB79" i="202"/>
  <c r="AB80" i="202"/>
  <c r="AB81" i="202"/>
  <c r="AB82" i="202"/>
  <c r="AB83" i="202"/>
  <c r="AB84" i="202"/>
  <c r="AB85" i="202"/>
  <c r="AB86" i="202"/>
  <c r="AB87" i="202"/>
  <c r="AB88" i="202"/>
  <c r="AB89" i="202"/>
  <c r="AB90" i="202"/>
  <c r="AB91" i="202"/>
  <c r="AB92" i="202"/>
  <c r="AB93" i="202"/>
  <c r="AB94" i="202"/>
  <c r="AB95" i="202"/>
  <c r="AB96" i="202"/>
  <c r="AB97" i="202"/>
  <c r="AB98" i="202"/>
  <c r="AB99" i="202"/>
  <c r="AB100" i="202"/>
  <c r="AB101" i="202"/>
  <c r="AB102" i="202"/>
  <c r="AB103" i="202"/>
  <c r="AB104" i="202"/>
  <c r="AB105" i="202"/>
  <c r="AB106" i="202"/>
  <c r="AB107" i="202"/>
  <c r="AB108" i="202"/>
  <c r="AB109" i="202"/>
  <c r="AB110" i="202"/>
  <c r="AB111" i="202"/>
  <c r="AB112" i="202"/>
  <c r="AB113" i="202"/>
  <c r="AB114" i="202"/>
  <c r="AB115" i="202"/>
  <c r="AB116" i="202"/>
  <c r="AB117" i="202"/>
  <c r="AB118" i="202"/>
  <c r="AB119" i="202"/>
  <c r="AB120" i="202"/>
  <c r="AB121" i="202"/>
  <c r="AB122" i="202"/>
  <c r="AB123" i="202"/>
  <c r="AB124" i="202"/>
  <c r="AB125" i="202"/>
  <c r="AB126" i="202"/>
  <c r="AB127" i="202"/>
  <c r="AB128" i="202"/>
  <c r="AB129" i="202"/>
  <c r="AB130" i="202"/>
  <c r="AB131" i="202"/>
  <c r="AB132" i="202"/>
  <c r="AB133" i="202"/>
  <c r="AB134" i="202"/>
  <c r="AB135" i="202"/>
  <c r="AB136" i="202"/>
  <c r="AB137" i="202"/>
  <c r="AB138" i="202"/>
  <c r="AB139" i="202"/>
  <c r="AB140" i="202"/>
  <c r="AB141" i="202"/>
  <c r="AB142" i="202"/>
  <c r="AB143" i="202"/>
  <c r="AB144" i="202"/>
  <c r="AB145" i="202"/>
  <c r="AB146" i="202"/>
  <c r="AB147" i="202"/>
  <c r="AB148" i="202"/>
  <c r="AB149" i="202"/>
  <c r="AB150" i="202"/>
  <c r="AB151" i="202"/>
  <c r="AB152" i="202"/>
  <c r="AB153" i="202"/>
  <c r="AB154" i="202"/>
  <c r="AB155" i="202"/>
  <c r="AB156" i="202"/>
  <c r="AB157" i="202"/>
  <c r="AB158" i="202"/>
  <c r="AB159" i="202"/>
  <c r="AB160" i="202"/>
  <c r="AB161" i="202"/>
  <c r="AB162" i="202"/>
  <c r="AB163" i="202"/>
  <c r="AB164" i="202"/>
  <c r="AB165" i="202"/>
  <c r="AB166" i="202"/>
  <c r="AB167" i="202"/>
  <c r="AB168" i="202"/>
  <c r="AB169" i="202"/>
  <c r="AB170" i="202"/>
  <c r="AB171" i="202"/>
  <c r="AB172" i="202"/>
  <c r="AB173" i="202"/>
  <c r="AB174" i="202"/>
  <c r="AB175" i="202"/>
  <c r="AB176" i="202"/>
  <c r="AB177" i="202"/>
  <c r="AB178" i="202"/>
  <c r="AB179" i="202"/>
  <c r="AB180" i="202"/>
  <c r="AB181" i="202"/>
  <c r="AB182" i="202"/>
  <c r="AB183" i="202"/>
  <c r="AB184" i="202"/>
  <c r="AB185" i="202"/>
  <c r="AB186" i="202"/>
  <c r="AB187" i="202"/>
  <c r="AB188" i="202"/>
  <c r="AB189" i="202"/>
  <c r="AB190" i="202"/>
  <c r="AB191" i="202"/>
  <c r="AB192" i="202"/>
  <c r="AB193" i="202"/>
  <c r="AB194" i="202"/>
  <c r="AB195" i="202"/>
  <c r="AB196" i="202"/>
  <c r="AB197" i="202"/>
  <c r="AB198" i="202"/>
  <c r="AB199" i="202"/>
  <c r="AB200" i="202"/>
  <c r="AB201" i="202"/>
  <c r="AB202" i="202"/>
  <c r="AB203" i="202"/>
  <c r="AB204" i="202"/>
  <c r="AB205" i="202"/>
  <c r="AB206" i="202"/>
  <c r="AB207" i="202"/>
  <c r="AB208" i="202"/>
  <c r="AB209" i="202"/>
  <c r="AB210" i="202"/>
  <c r="AB211" i="202"/>
  <c r="AB212" i="202"/>
  <c r="AB213" i="202"/>
  <c r="AB214" i="202"/>
  <c r="AB215" i="202"/>
  <c r="AB216" i="202"/>
  <c r="AB217" i="202"/>
  <c r="AB218" i="202"/>
  <c r="AB219" i="202"/>
  <c r="AB220" i="202"/>
  <c r="AB221" i="202"/>
  <c r="AB222" i="202"/>
  <c r="AB223" i="202"/>
  <c r="AB224" i="202"/>
  <c r="AB225" i="202"/>
  <c r="AB226" i="202"/>
  <c r="AB227" i="202"/>
  <c r="AB228" i="202"/>
  <c r="AB229" i="202"/>
  <c r="AB230" i="202"/>
  <c r="AB231" i="202"/>
  <c r="AB232" i="202"/>
  <c r="AB233" i="202"/>
  <c r="AB234" i="202"/>
  <c r="AB235" i="202"/>
  <c r="AB236" i="202"/>
  <c r="AB237" i="202"/>
  <c r="AB238" i="202"/>
  <c r="AB239" i="202"/>
  <c r="AB240" i="202"/>
  <c r="AB241" i="202"/>
  <c r="AB242" i="202"/>
  <c r="AB243" i="202"/>
  <c r="AB244" i="202"/>
  <c r="AB245" i="202"/>
  <c r="AB246" i="202"/>
  <c r="AB247" i="202"/>
  <c r="AB248" i="202"/>
  <c r="AB249" i="202"/>
  <c r="AB250" i="202"/>
  <c r="AB251" i="202"/>
  <c r="AB252" i="202"/>
  <c r="AB253" i="202"/>
  <c r="AB254" i="202"/>
  <c r="AB255" i="202"/>
  <c r="AB256" i="202"/>
  <c r="AB257" i="202"/>
  <c r="AB258" i="202"/>
  <c r="AB259" i="202"/>
  <c r="AB260" i="202"/>
  <c r="AB261" i="202"/>
  <c r="AB262" i="202"/>
  <c r="AB263" i="202"/>
  <c r="AB264" i="202"/>
  <c r="AB265" i="202"/>
  <c r="AB266" i="202"/>
  <c r="AB267" i="202"/>
  <c r="AB268" i="202"/>
  <c r="AB269" i="202"/>
  <c r="AB270" i="202"/>
  <c r="AB271" i="202"/>
  <c r="AB272" i="202"/>
  <c r="AB273" i="202"/>
  <c r="AB274" i="202"/>
  <c r="AB275" i="202"/>
  <c r="AB276" i="202"/>
  <c r="AB277" i="202"/>
  <c r="AB278" i="202"/>
  <c r="AB279" i="202"/>
  <c r="AB280" i="202"/>
  <c r="AB281" i="202"/>
  <c r="AB282" i="202"/>
  <c r="AB283" i="202"/>
  <c r="AB284" i="202"/>
  <c r="AB285" i="202"/>
  <c r="AB286" i="202"/>
  <c r="AB287" i="202"/>
  <c r="AB288" i="202"/>
  <c r="AB289" i="202"/>
  <c r="AB290" i="202"/>
  <c r="AB291" i="202"/>
  <c r="AB292" i="202"/>
  <c r="AB293" i="202"/>
  <c r="AB294" i="202"/>
  <c r="AB295" i="202"/>
  <c r="AB296" i="202"/>
  <c r="AB297" i="202"/>
  <c r="AB298" i="202"/>
  <c r="AB299" i="202"/>
  <c r="AB300" i="202"/>
  <c r="AB301" i="202"/>
  <c r="AB302" i="202"/>
  <c r="AB303" i="202"/>
  <c r="AB304" i="202"/>
  <c r="AB305" i="202"/>
  <c r="AB306" i="202"/>
  <c r="AB307" i="202"/>
  <c r="AB308" i="202"/>
  <c r="AB309" i="202"/>
  <c r="AB310" i="202"/>
  <c r="AB311" i="202"/>
  <c r="AB312" i="202"/>
  <c r="AB313" i="202"/>
  <c r="AB314" i="202"/>
  <c r="AB315" i="202"/>
  <c r="AB316" i="202"/>
  <c r="AB317" i="202"/>
  <c r="AB318" i="202"/>
  <c r="AB319" i="202"/>
  <c r="AB320" i="202"/>
  <c r="AB321" i="202"/>
  <c r="AB322" i="202"/>
  <c r="AB323" i="202"/>
  <c r="AB324" i="202"/>
  <c r="AB325" i="202"/>
  <c r="AB326" i="202"/>
  <c r="AB327" i="202"/>
  <c r="AB328" i="202"/>
  <c r="AB329" i="202"/>
  <c r="AB330" i="202"/>
  <c r="AB331" i="202"/>
  <c r="AB332" i="202"/>
  <c r="AB333" i="202"/>
  <c r="AB334" i="202"/>
  <c r="AB335" i="202"/>
  <c r="AB336" i="202"/>
  <c r="AB337" i="202"/>
  <c r="AB338" i="202"/>
  <c r="AB339" i="202"/>
  <c r="AB340" i="202"/>
  <c r="AB341" i="202"/>
  <c r="AB342" i="202"/>
  <c r="AB343" i="202"/>
  <c r="AB344" i="202"/>
  <c r="AB345" i="202"/>
  <c r="AB346" i="202"/>
  <c r="AB347" i="202"/>
  <c r="AB348" i="202"/>
  <c r="AB349" i="202"/>
  <c r="AB350" i="202"/>
  <c r="AB351" i="202"/>
  <c r="AB352" i="202"/>
  <c r="AB353" i="202"/>
  <c r="AB354" i="202"/>
  <c r="AB355" i="202"/>
  <c r="AB356" i="202"/>
  <c r="AB357" i="202"/>
  <c r="AB358" i="202"/>
  <c r="AB359" i="202"/>
  <c r="AB360" i="202"/>
  <c r="AB361" i="202"/>
  <c r="AB362" i="202"/>
  <c r="AB363" i="202"/>
  <c r="AB364" i="202"/>
  <c r="AB365" i="202"/>
  <c r="AB366" i="202"/>
  <c r="AB367" i="202"/>
  <c r="AB368" i="202"/>
  <c r="AB369" i="202"/>
  <c r="AB370" i="202"/>
  <c r="AB371" i="202"/>
  <c r="AB372" i="202"/>
  <c r="AB373" i="202"/>
  <c r="AB374" i="202"/>
  <c r="AB375" i="202"/>
  <c r="AB376" i="202"/>
  <c r="AB377" i="202"/>
  <c r="AB378" i="202"/>
  <c r="AB379" i="202"/>
  <c r="AB380" i="202"/>
  <c r="AB381" i="202"/>
  <c r="AB382" i="202"/>
  <c r="AB383" i="202"/>
  <c r="AB384" i="202"/>
  <c r="AB385" i="202"/>
  <c r="AB386" i="202"/>
  <c r="AB387" i="202"/>
  <c r="AB388" i="202"/>
  <c r="AB389" i="202"/>
  <c r="AB390" i="202"/>
  <c r="AB391" i="202"/>
  <c r="AB392" i="202"/>
  <c r="AB393" i="202"/>
  <c r="AB394" i="202"/>
  <c r="AB395" i="202"/>
  <c r="AB396" i="202"/>
  <c r="AB397" i="202"/>
  <c r="AB398" i="202"/>
  <c r="AB399" i="202"/>
  <c r="AB400" i="202"/>
  <c r="AB401" i="202"/>
  <c r="AB402" i="202"/>
  <c r="AB403" i="202"/>
  <c r="AB404" i="202"/>
  <c r="AB405" i="202"/>
  <c r="AB406" i="202"/>
  <c r="AB407" i="202"/>
  <c r="AB408" i="202"/>
  <c r="AB409" i="202"/>
  <c r="AB410" i="202"/>
  <c r="AB411" i="202"/>
  <c r="AB412" i="202"/>
  <c r="AB413" i="202"/>
  <c r="AB414" i="202"/>
  <c r="AB415" i="202"/>
  <c r="AB416" i="202"/>
  <c r="AB417" i="202"/>
  <c r="AB418" i="202"/>
  <c r="AB419" i="202"/>
  <c r="AB420" i="202"/>
  <c r="AB421" i="202"/>
  <c r="AB422" i="202"/>
  <c r="AB423" i="202"/>
  <c r="AB424" i="202"/>
  <c r="AB425" i="202"/>
  <c r="AB426" i="202"/>
  <c r="AB427" i="202"/>
  <c r="AB428" i="202"/>
  <c r="AB429" i="202"/>
  <c r="AB430" i="202"/>
  <c r="AB431" i="202"/>
  <c r="AB432" i="202"/>
  <c r="AB433" i="202"/>
  <c r="AB434" i="202"/>
  <c r="AB435" i="202"/>
  <c r="AB436" i="202"/>
  <c r="AB437" i="202"/>
  <c r="AB438" i="202"/>
  <c r="AB439" i="202"/>
  <c r="AB440" i="202"/>
  <c r="AB441" i="202"/>
  <c r="AB442" i="202"/>
  <c r="AB443" i="202"/>
  <c r="AB444" i="202"/>
  <c r="AB445" i="202"/>
  <c r="AB446" i="202"/>
  <c r="AB447" i="202"/>
  <c r="AB448" i="202"/>
  <c r="AB449" i="202"/>
  <c r="AB450" i="202"/>
  <c r="AB451" i="202"/>
  <c r="AB452" i="202"/>
  <c r="AB453" i="202"/>
  <c r="AB454" i="202"/>
  <c r="AB455" i="202"/>
  <c r="AB456" i="202"/>
  <c r="AB457" i="202"/>
  <c r="AB458" i="202"/>
  <c r="AB459" i="202"/>
  <c r="AB460" i="202"/>
  <c r="AB461" i="202"/>
  <c r="AB462" i="202"/>
  <c r="AB463" i="202"/>
  <c r="AB464" i="202"/>
  <c r="AB465" i="202"/>
  <c r="AB466" i="202"/>
  <c r="AB467" i="202"/>
  <c r="AB468" i="202"/>
  <c r="AB469" i="202"/>
  <c r="AB470" i="202"/>
  <c r="AB471" i="202"/>
  <c r="AB472" i="202"/>
  <c r="AB473" i="202"/>
  <c r="AB474" i="202"/>
  <c r="AB475" i="202"/>
  <c r="AB476" i="202"/>
  <c r="AB477" i="202"/>
  <c r="AB478" i="202"/>
  <c r="AB479" i="202"/>
  <c r="AB480" i="202"/>
  <c r="AB481" i="202"/>
  <c r="AB482" i="202"/>
  <c r="AB483" i="202"/>
  <c r="AB484" i="202"/>
  <c r="AB485" i="202"/>
  <c r="AB486" i="202"/>
  <c r="AB487" i="202"/>
  <c r="AB488" i="202"/>
  <c r="AB489" i="202"/>
  <c r="AB490" i="202"/>
  <c r="AB491" i="202"/>
  <c r="AB492" i="202"/>
  <c r="AB493" i="202"/>
  <c r="AB494" i="202"/>
  <c r="AB495" i="202"/>
  <c r="AB496" i="202"/>
  <c r="AB497" i="202"/>
  <c r="AB498" i="202"/>
  <c r="AB499" i="202"/>
  <c r="AB500" i="202"/>
  <c r="AB501" i="202"/>
  <c r="AB502" i="202"/>
  <c r="AB503" i="202"/>
  <c r="AB504" i="202"/>
  <c r="AB505" i="202"/>
  <c r="AB506" i="202"/>
  <c r="AB507" i="202"/>
  <c r="AB508" i="202"/>
  <c r="AB509" i="202"/>
  <c r="AB510" i="202"/>
  <c r="AB511" i="202"/>
  <c r="AB512" i="202"/>
  <c r="AB513" i="202"/>
  <c r="AB514" i="202"/>
  <c r="AB515" i="202"/>
  <c r="AB516" i="202"/>
  <c r="AB517" i="202"/>
  <c r="AB518" i="202"/>
  <c r="AB519" i="202"/>
  <c r="AB520" i="202"/>
  <c r="AB521" i="202"/>
  <c r="AB522" i="202"/>
  <c r="AB523" i="202"/>
  <c r="AB524" i="202"/>
  <c r="AB525" i="202"/>
  <c r="AB526" i="202"/>
  <c r="AB527" i="202"/>
  <c r="AB528" i="202"/>
  <c r="AB529" i="202"/>
  <c r="AB530" i="202"/>
  <c r="AB531" i="202"/>
  <c r="AB532" i="202"/>
  <c r="AB533" i="202"/>
  <c r="AB534" i="202"/>
  <c r="AB535" i="202"/>
  <c r="AB536" i="202"/>
  <c r="AB537" i="202"/>
  <c r="AB538" i="202"/>
  <c r="AB539" i="202"/>
  <c r="AB540" i="202"/>
  <c r="AB541" i="202"/>
  <c r="AB542" i="202"/>
  <c r="AB543" i="202"/>
  <c r="AB544" i="202"/>
  <c r="AB545" i="202"/>
  <c r="AB546" i="202"/>
  <c r="AB547" i="202"/>
  <c r="AB548" i="202"/>
  <c r="AB549" i="202"/>
  <c r="AB550" i="202"/>
  <c r="AB551" i="202"/>
  <c r="AB552" i="202"/>
  <c r="AB553" i="202"/>
  <c r="AB554" i="202"/>
  <c r="AB555" i="202"/>
  <c r="AB556" i="202"/>
  <c r="AB557" i="202"/>
  <c r="AB558" i="202"/>
  <c r="AB559" i="202"/>
  <c r="AB560" i="202"/>
  <c r="AB561" i="202"/>
  <c r="AB562" i="202"/>
  <c r="AB563" i="202"/>
  <c r="AB564" i="202"/>
  <c r="AB565" i="202"/>
  <c r="AB566" i="202"/>
  <c r="AB567" i="202"/>
  <c r="AB568" i="202"/>
  <c r="AB569" i="202"/>
  <c r="AB570" i="202"/>
  <c r="AB571" i="202"/>
  <c r="AB572" i="202"/>
  <c r="AB573" i="202"/>
  <c r="AB574" i="202"/>
  <c r="AB575" i="202"/>
  <c r="AB576" i="202"/>
  <c r="AB577" i="202"/>
  <c r="AB578" i="202"/>
  <c r="AB579" i="202"/>
  <c r="AB580" i="202"/>
  <c r="AB581" i="202"/>
  <c r="AB582" i="202"/>
  <c r="AB583" i="202"/>
  <c r="AB584" i="202"/>
  <c r="AB585" i="202"/>
  <c r="AB586" i="202"/>
  <c r="AB587" i="202"/>
  <c r="AB588" i="202"/>
  <c r="AB589" i="202"/>
  <c r="AB590" i="202"/>
  <c r="AB591" i="202"/>
  <c r="AB592" i="202"/>
  <c r="AB593" i="202"/>
  <c r="AB594" i="202"/>
  <c r="AB595" i="202"/>
  <c r="AB596" i="202"/>
  <c r="AB597" i="202"/>
  <c r="AB598" i="202"/>
  <c r="AB599" i="202"/>
  <c r="AB600" i="202"/>
  <c r="AB601" i="202"/>
  <c r="AB602" i="202"/>
  <c r="AB603" i="202"/>
  <c r="AB604" i="202"/>
  <c r="AB605" i="202"/>
  <c r="AB606" i="202"/>
  <c r="AB607" i="202"/>
  <c r="AB608" i="202"/>
  <c r="AB609" i="202"/>
  <c r="AB610" i="202"/>
  <c r="AB611" i="202"/>
  <c r="AB612" i="202"/>
  <c r="AB613" i="202"/>
  <c r="AB614" i="202"/>
  <c r="AB615" i="202"/>
  <c r="AB616" i="202"/>
  <c r="AB617" i="202"/>
  <c r="AB618" i="202"/>
  <c r="AB619" i="202"/>
  <c r="AB620" i="202"/>
  <c r="AB621" i="202"/>
  <c r="AB622" i="202"/>
  <c r="AB623" i="202"/>
  <c r="AB624" i="202"/>
  <c r="AB625" i="202"/>
  <c r="AB626" i="202"/>
  <c r="AB627" i="202"/>
  <c r="AB628" i="202"/>
  <c r="AB629" i="202"/>
  <c r="AB630" i="202"/>
  <c r="AB631" i="202"/>
  <c r="AB632" i="202"/>
  <c r="AB633" i="202"/>
  <c r="AB634" i="202"/>
  <c r="AB635" i="202"/>
  <c r="AB636" i="202"/>
  <c r="AB637" i="202"/>
  <c r="AB638" i="202"/>
  <c r="AB639" i="202"/>
  <c r="AB640" i="202"/>
  <c r="AB641" i="202"/>
  <c r="AB642" i="202"/>
  <c r="AB643" i="202"/>
  <c r="AB644" i="202"/>
  <c r="AB645" i="202"/>
  <c r="AB646" i="202"/>
  <c r="AB647" i="202"/>
  <c r="AB648" i="202"/>
  <c r="AB649" i="202"/>
  <c r="AB650" i="202"/>
  <c r="AB651" i="202"/>
  <c r="AB652" i="202"/>
  <c r="AB653" i="202"/>
  <c r="AB654" i="202"/>
  <c r="AB655" i="202"/>
  <c r="AB656" i="202"/>
  <c r="AB657" i="202"/>
  <c r="AB658" i="202"/>
  <c r="AB659" i="202"/>
  <c r="AB660" i="202"/>
  <c r="AB661" i="202"/>
  <c r="AB662" i="202"/>
  <c r="AB663" i="202"/>
  <c r="AB664" i="202"/>
  <c r="AB665" i="202"/>
  <c r="AB666" i="202"/>
  <c r="AB667" i="202"/>
  <c r="AB668" i="202"/>
  <c r="AB669" i="202"/>
  <c r="AB670" i="202"/>
  <c r="AB671" i="202"/>
  <c r="AB672" i="202"/>
  <c r="AB673" i="202"/>
  <c r="AB674" i="202"/>
  <c r="AB675" i="202"/>
  <c r="AB676" i="202"/>
  <c r="AB677" i="202"/>
  <c r="AB678" i="202"/>
  <c r="AB679" i="202"/>
  <c r="AB680" i="202"/>
  <c r="AB681" i="202"/>
  <c r="AB682" i="202"/>
  <c r="AB683" i="202"/>
  <c r="AB684" i="202"/>
  <c r="AB685" i="202"/>
  <c r="AB686" i="202"/>
  <c r="AB687" i="202"/>
  <c r="AB688" i="202"/>
  <c r="AB689" i="202"/>
  <c r="AB690" i="202"/>
  <c r="AB691" i="202"/>
  <c r="AB692" i="202"/>
  <c r="AB693" i="202"/>
  <c r="AB694" i="202"/>
  <c r="AB695" i="202"/>
  <c r="AB696" i="202"/>
  <c r="AB697" i="202"/>
  <c r="AB698" i="202"/>
  <c r="AB699" i="202"/>
  <c r="AB700" i="202"/>
  <c r="AB701" i="202"/>
  <c r="AB702" i="202"/>
  <c r="AB703" i="202"/>
  <c r="AB704" i="202"/>
  <c r="AB705" i="202"/>
  <c r="AB706" i="202"/>
  <c r="AB707" i="202"/>
  <c r="AB708" i="202"/>
  <c r="AB709" i="202"/>
  <c r="AB710" i="202"/>
  <c r="AB711" i="202"/>
  <c r="AB712" i="202"/>
  <c r="AB713" i="202"/>
  <c r="AB714" i="202"/>
  <c r="AB715" i="202"/>
  <c r="AB716" i="202"/>
  <c r="AB717" i="202"/>
  <c r="AB718" i="202"/>
  <c r="AB719" i="202"/>
  <c r="AB720" i="202"/>
  <c r="AB721" i="202"/>
  <c r="AB722" i="202"/>
  <c r="AB723" i="202"/>
  <c r="AB724" i="202"/>
  <c r="AB725" i="202"/>
  <c r="AB726" i="202"/>
  <c r="AB727" i="202"/>
  <c r="AB728" i="202"/>
  <c r="AB729" i="202"/>
  <c r="AB730" i="202"/>
  <c r="AB731" i="202"/>
  <c r="AB732" i="202"/>
  <c r="AB733" i="202"/>
  <c r="AB734" i="202"/>
  <c r="AB735" i="202"/>
  <c r="AB736" i="202"/>
  <c r="AB737" i="202"/>
  <c r="AB738" i="202"/>
  <c r="AB739" i="202"/>
  <c r="AB740" i="202"/>
  <c r="AB741" i="202"/>
  <c r="AB742" i="202"/>
  <c r="AB743" i="202"/>
  <c r="AB744" i="202"/>
  <c r="AB745" i="202"/>
  <c r="AB746" i="202"/>
  <c r="AB747" i="202"/>
  <c r="AB748" i="202"/>
  <c r="AB749" i="202"/>
  <c r="AB750" i="202"/>
  <c r="AB751" i="202"/>
  <c r="AB752" i="202"/>
  <c r="AB753" i="202"/>
  <c r="AB754" i="202"/>
  <c r="AB755" i="202"/>
  <c r="AB756" i="202"/>
  <c r="AB757" i="202"/>
  <c r="AB758" i="202"/>
  <c r="AB759" i="202"/>
  <c r="AB760" i="202"/>
  <c r="AB761" i="202"/>
  <c r="AB762" i="202"/>
  <c r="AB763" i="202"/>
  <c r="AB764" i="202"/>
  <c r="AB765" i="202"/>
  <c r="AB766" i="202"/>
  <c r="AB767" i="202"/>
  <c r="AB768" i="202"/>
  <c r="AB769" i="202"/>
  <c r="AB770" i="202"/>
  <c r="AB771" i="202"/>
  <c r="AB772" i="202"/>
  <c r="AB773" i="202"/>
  <c r="AB774" i="202"/>
  <c r="AB775" i="202"/>
  <c r="AB776" i="202"/>
  <c r="AB777" i="202"/>
  <c r="AB778" i="202"/>
  <c r="AB779" i="202"/>
  <c r="AB780" i="202"/>
  <c r="AB781" i="202"/>
  <c r="AB782" i="202"/>
  <c r="AB783" i="202"/>
  <c r="AB784" i="202"/>
  <c r="AB785" i="202"/>
  <c r="AB786" i="202"/>
  <c r="AB787" i="202"/>
  <c r="AB788" i="202"/>
  <c r="AB789" i="202"/>
  <c r="AB790" i="202"/>
  <c r="AB791" i="202"/>
  <c r="AB792" i="202"/>
  <c r="AB793" i="202"/>
  <c r="AB794" i="202"/>
  <c r="AB795" i="202"/>
  <c r="AB796" i="202"/>
  <c r="AB797" i="202"/>
  <c r="AB798" i="202"/>
  <c r="AB799" i="202"/>
  <c r="AB800" i="202"/>
  <c r="AB801" i="202"/>
  <c r="AB802" i="202"/>
  <c r="AB803" i="202"/>
  <c r="AB804" i="202"/>
  <c r="AB805" i="202"/>
  <c r="AB806" i="202"/>
  <c r="AB807" i="202"/>
  <c r="AB808" i="202"/>
  <c r="AB809" i="202"/>
  <c r="AB810" i="202"/>
  <c r="AB811" i="202"/>
  <c r="AB812" i="202"/>
  <c r="AB813" i="202"/>
  <c r="AB814" i="202"/>
  <c r="AB815" i="202"/>
  <c r="AB816" i="202"/>
  <c r="AB817" i="202"/>
  <c r="AB818" i="202"/>
  <c r="AB819" i="202"/>
  <c r="AB820" i="202"/>
  <c r="AB821" i="202"/>
  <c r="AB822" i="202"/>
  <c r="AB823" i="202"/>
  <c r="AB824" i="202"/>
  <c r="AB825" i="202"/>
  <c r="AB826" i="202"/>
  <c r="AB827" i="202"/>
  <c r="AB828" i="202"/>
  <c r="AB829" i="202"/>
  <c r="AB830" i="202"/>
  <c r="AB831" i="202"/>
  <c r="AB832" i="202"/>
  <c r="AB833" i="202"/>
  <c r="AB834" i="202"/>
  <c r="AB835" i="202"/>
  <c r="AB836" i="202"/>
  <c r="AB837" i="202"/>
  <c r="AB838" i="202"/>
  <c r="AB839" i="202"/>
  <c r="AB840" i="202"/>
  <c r="AB841" i="202"/>
  <c r="AB842" i="202"/>
  <c r="AB843" i="202"/>
  <c r="AB844" i="202"/>
  <c r="AB845" i="202"/>
  <c r="AB846" i="202"/>
  <c r="AB847" i="202"/>
  <c r="AB848" i="202"/>
  <c r="AB849" i="202"/>
  <c r="AB850" i="202"/>
  <c r="AB851" i="202"/>
  <c r="AB852" i="202"/>
  <c r="AB853" i="202"/>
  <c r="AB854" i="202"/>
  <c r="AB855" i="202"/>
  <c r="AB856" i="202"/>
  <c r="AB857" i="202"/>
  <c r="AB858" i="202"/>
  <c r="AB859" i="202"/>
  <c r="AB860" i="202"/>
  <c r="AB861" i="202"/>
  <c r="AB862" i="202"/>
  <c r="AB863" i="202"/>
  <c r="AB864" i="202"/>
  <c r="AB865" i="202"/>
  <c r="AB866" i="202"/>
  <c r="AB867" i="202"/>
  <c r="AB868" i="202"/>
  <c r="AB869" i="202"/>
  <c r="AB870" i="202"/>
  <c r="AB871" i="202"/>
  <c r="AB872" i="202"/>
  <c r="AB873" i="202"/>
  <c r="AB874" i="202"/>
  <c r="AB875" i="202"/>
  <c r="AB876" i="202"/>
  <c r="AB877" i="202"/>
  <c r="AB878" i="202"/>
  <c r="AB879" i="202"/>
  <c r="AB880" i="202"/>
  <c r="AB881" i="202"/>
  <c r="AB882" i="202"/>
  <c r="AB883" i="202"/>
  <c r="AB884" i="202"/>
  <c r="AB885" i="202"/>
  <c r="AB886" i="202"/>
  <c r="AB887" i="202"/>
  <c r="AB888" i="202"/>
  <c r="AB889" i="202"/>
  <c r="AB890" i="202"/>
  <c r="AB891" i="202"/>
  <c r="AB892" i="202"/>
  <c r="AB893" i="202"/>
  <c r="AB894" i="202"/>
  <c r="AB895" i="202"/>
  <c r="AB896" i="202"/>
  <c r="AB897" i="202"/>
  <c r="AB898" i="202"/>
  <c r="AB899" i="202"/>
  <c r="AB900" i="202"/>
  <c r="AB901" i="202"/>
  <c r="AB902" i="202"/>
  <c r="AB903" i="202"/>
  <c r="AB904" i="202"/>
  <c r="AB905" i="202"/>
  <c r="AB906" i="202"/>
  <c r="AB907" i="202"/>
  <c r="AB908" i="202"/>
  <c r="AB909" i="202"/>
  <c r="AB910" i="202"/>
  <c r="AB911" i="202"/>
  <c r="AB912" i="202"/>
  <c r="AB913" i="202"/>
  <c r="AB914" i="202"/>
  <c r="AB915" i="202"/>
  <c r="AB916" i="202"/>
  <c r="AB917" i="202"/>
  <c r="AB918" i="202"/>
  <c r="AB919" i="202"/>
  <c r="AB920" i="202"/>
  <c r="AB921" i="202"/>
  <c r="AB922" i="202"/>
  <c r="AB923" i="202"/>
  <c r="AB924" i="202"/>
  <c r="AB925" i="202"/>
  <c r="AB926" i="202"/>
  <c r="AB927" i="202"/>
  <c r="AB928" i="202"/>
  <c r="AB929" i="202"/>
  <c r="AB930" i="202"/>
  <c r="AB931" i="202"/>
  <c r="AB932" i="202"/>
  <c r="AB933" i="202"/>
  <c r="AB934" i="202"/>
  <c r="AB935" i="202"/>
  <c r="AB936" i="202"/>
  <c r="AB937" i="202"/>
  <c r="AB938" i="202"/>
  <c r="AB939" i="202"/>
  <c r="AB940" i="202"/>
  <c r="AB941" i="202"/>
  <c r="AB942" i="202"/>
  <c r="AB943" i="202"/>
  <c r="AB944" i="202"/>
  <c r="AB945" i="202"/>
  <c r="AB946" i="202"/>
  <c r="AB947" i="202"/>
  <c r="AB948" i="202"/>
  <c r="AB949" i="202"/>
  <c r="AB950" i="202"/>
  <c r="AB951" i="202"/>
  <c r="AB952" i="202"/>
  <c r="AB953" i="202"/>
  <c r="AB954" i="202"/>
  <c r="AB955" i="202"/>
  <c r="AB956" i="202"/>
  <c r="AB957" i="202"/>
  <c r="AB958" i="202"/>
  <c r="AB959" i="202"/>
  <c r="AB960" i="202"/>
  <c r="AB961" i="202"/>
  <c r="AB962" i="202"/>
  <c r="AB963" i="202"/>
  <c r="AB964" i="202"/>
  <c r="AB965" i="202"/>
  <c r="AB966" i="202"/>
  <c r="AB967" i="202"/>
  <c r="AB968" i="202"/>
  <c r="AB969" i="202"/>
  <c r="AB970" i="202"/>
  <c r="AB971" i="202"/>
  <c r="AB972" i="202"/>
  <c r="AB973" i="202"/>
  <c r="AB974" i="202"/>
  <c r="AB975" i="202"/>
  <c r="AB976" i="202"/>
  <c r="AB977" i="202"/>
  <c r="AB978" i="202"/>
  <c r="AB979" i="202"/>
  <c r="AB980" i="202"/>
  <c r="AB981" i="202"/>
  <c r="AB982" i="202"/>
  <c r="AB983" i="202"/>
  <c r="AB984" i="202"/>
  <c r="AB985" i="202"/>
  <c r="AB986" i="202"/>
  <c r="AB987" i="202"/>
  <c r="AB988" i="202"/>
  <c r="AB989" i="202"/>
  <c r="AB990" i="202"/>
  <c r="AB991" i="202"/>
  <c r="AB992" i="202"/>
  <c r="AB993" i="202"/>
  <c r="AB994" i="202"/>
  <c r="AB995" i="202"/>
  <c r="AB996" i="202"/>
  <c r="AB997" i="202"/>
  <c r="AB998" i="202"/>
  <c r="AB999" i="202"/>
  <c r="AB1000" i="202"/>
  <c r="AB1001" i="202"/>
  <c r="AB1002" i="202"/>
  <c r="AB1003" i="202"/>
  <c r="AB1004" i="202"/>
  <c r="AB1005" i="202"/>
  <c r="AB1006" i="202"/>
  <c r="AB1007" i="202"/>
  <c r="AB1008" i="202"/>
  <c r="AB1009" i="202"/>
  <c r="AB1010" i="202"/>
  <c r="AB1011" i="202"/>
  <c r="AB1012" i="202"/>
  <c r="AB1013" i="202"/>
  <c r="AB1014" i="202"/>
  <c r="AB1015" i="202"/>
  <c r="AB1016" i="202"/>
  <c r="AB1017" i="202"/>
  <c r="AB1018" i="202"/>
  <c r="AB1019" i="202"/>
  <c r="AB1020" i="202"/>
  <c r="AB1021" i="202"/>
  <c r="AB1022" i="202"/>
  <c r="AB1023" i="202"/>
  <c r="AB1024" i="202"/>
  <c r="AB1025" i="202"/>
  <c r="AB1026" i="202"/>
  <c r="AB1027" i="202"/>
  <c r="AB1028" i="202"/>
  <c r="AB1029" i="202"/>
  <c r="AB1030" i="202"/>
  <c r="AB1031" i="202"/>
  <c r="AB1032" i="202"/>
  <c r="AB1033" i="202"/>
  <c r="AB1034" i="202"/>
  <c r="AB1035" i="202"/>
  <c r="AB1036" i="202"/>
  <c r="AB1037" i="202"/>
  <c r="AB1038" i="202"/>
  <c r="AB1039" i="202"/>
  <c r="AB1040" i="202"/>
  <c r="AB1041" i="202"/>
  <c r="AB1042" i="202"/>
  <c r="AB1043" i="202"/>
  <c r="AB1044" i="202"/>
  <c r="AB1045" i="202"/>
  <c r="AB1046" i="202"/>
  <c r="AB1047" i="202"/>
  <c r="AB1048" i="202"/>
  <c r="AB1049" i="202"/>
  <c r="AB1050" i="202"/>
  <c r="AB1051" i="202"/>
  <c r="AB1052" i="202"/>
  <c r="AB1053" i="202"/>
  <c r="AB1054" i="202"/>
  <c r="AB1055" i="202"/>
  <c r="AB1056" i="202"/>
  <c r="AB1057" i="202"/>
  <c r="AB1058" i="202"/>
  <c r="AB1059" i="202"/>
  <c r="AB1060" i="202"/>
  <c r="AB1061" i="202"/>
  <c r="AB1062" i="202"/>
  <c r="AB1063" i="202"/>
  <c r="AB1064" i="202"/>
  <c r="AB1065" i="202"/>
  <c r="AB1066" i="202"/>
  <c r="AB1067" i="202"/>
  <c r="AB1068" i="202"/>
  <c r="AB1069" i="202"/>
  <c r="AB1070" i="202"/>
  <c r="AB1071" i="202"/>
  <c r="AB1072" i="202"/>
  <c r="AB1073" i="202"/>
  <c r="AB1074" i="202"/>
  <c r="AB1075" i="202"/>
  <c r="AB1076" i="202"/>
  <c r="AB1077" i="202"/>
  <c r="AB1078" i="202"/>
  <c r="AB1079" i="202"/>
  <c r="AB1080" i="202"/>
  <c r="AB1081" i="202"/>
  <c r="AB1082" i="202"/>
  <c r="AB1083" i="202"/>
  <c r="AB1084" i="202"/>
  <c r="AB1085" i="202"/>
  <c r="AB1086" i="202"/>
  <c r="AB1087" i="202"/>
  <c r="AB1088" i="202"/>
  <c r="AB1089" i="202"/>
  <c r="AB1090" i="202"/>
  <c r="AB1091" i="202"/>
  <c r="AB1092" i="202"/>
  <c r="AB1093" i="202"/>
  <c r="AB1094" i="202"/>
  <c r="AB1095" i="202"/>
  <c r="AB1096" i="202"/>
  <c r="AB1097" i="202"/>
  <c r="AB1098" i="202"/>
  <c r="AB1099" i="202"/>
  <c r="AB1100" i="202"/>
  <c r="AB1101" i="202"/>
  <c r="AB1102" i="202"/>
  <c r="AB1103" i="202"/>
  <c r="AB1104" i="202"/>
  <c r="AB1105" i="202"/>
  <c r="AB1106" i="202"/>
  <c r="AB1107" i="202"/>
  <c r="AB1108" i="202"/>
  <c r="AB1109" i="202"/>
  <c r="AB1110" i="202"/>
  <c r="AB1111" i="202"/>
  <c r="AB1112" i="202"/>
  <c r="AB1113" i="202"/>
  <c r="AB1114" i="202"/>
  <c r="AB1115" i="202"/>
  <c r="AB1116" i="202"/>
  <c r="AB1117" i="202"/>
  <c r="AB1118" i="202"/>
  <c r="AB1119" i="202"/>
  <c r="AB1120" i="202"/>
  <c r="AB1121" i="202"/>
  <c r="AB1122" i="202"/>
  <c r="AB1123" i="202"/>
  <c r="AB1124" i="202"/>
  <c r="AB1125" i="202"/>
  <c r="AB1126" i="202"/>
  <c r="AB1127" i="202"/>
  <c r="AB1128" i="202"/>
  <c r="AB1129" i="202"/>
  <c r="AB1130" i="202"/>
  <c r="AB1131" i="202"/>
  <c r="AB1132" i="202"/>
  <c r="AB1133" i="202"/>
  <c r="AB1134" i="202"/>
  <c r="AB1135" i="202"/>
  <c r="AB1136" i="202"/>
  <c r="AB1137" i="202"/>
  <c r="AB1138" i="202"/>
  <c r="AB1139" i="202"/>
  <c r="AB1140" i="202"/>
  <c r="AB1141" i="202"/>
  <c r="AB1142" i="202"/>
  <c r="AB1143" i="202"/>
  <c r="AB1144" i="202"/>
  <c r="AB1145" i="202"/>
  <c r="AB1146" i="202"/>
  <c r="AB1147" i="202"/>
  <c r="AB1148" i="202"/>
  <c r="AB1149" i="202"/>
  <c r="AB1150" i="202"/>
  <c r="AB1151" i="202"/>
  <c r="AB1152" i="202"/>
  <c r="AB1153" i="202"/>
  <c r="AB1154" i="202"/>
  <c r="AB1155" i="202"/>
  <c r="AB1156" i="202"/>
  <c r="AB1157" i="202"/>
  <c r="AB1158" i="202"/>
  <c r="AB1159" i="202"/>
  <c r="AB1160" i="202"/>
  <c r="AB1161" i="202"/>
  <c r="AB1162" i="202"/>
  <c r="AB1163" i="202"/>
  <c r="AB1164" i="202"/>
  <c r="AB1165" i="202"/>
  <c r="AB1166" i="202"/>
  <c r="AB1167" i="202"/>
  <c r="AB1168" i="202"/>
  <c r="AB1169" i="202"/>
  <c r="AB1170" i="202"/>
  <c r="AB1171" i="202"/>
  <c r="AB1172" i="202"/>
  <c r="AB1173" i="202"/>
  <c r="AB1174" i="202"/>
  <c r="AB1175" i="202"/>
  <c r="AB1176" i="202"/>
  <c r="AB1177" i="202"/>
  <c r="AB1178" i="202"/>
  <c r="AB1179" i="202"/>
  <c r="AB1180" i="202"/>
  <c r="AB1181" i="202"/>
  <c r="AB1182" i="202"/>
  <c r="AB1183" i="202"/>
  <c r="AB1184" i="202"/>
  <c r="AB1185" i="202"/>
  <c r="AB1186" i="202"/>
  <c r="AB1187" i="202"/>
  <c r="AB1188" i="202"/>
  <c r="AB1189" i="202"/>
  <c r="AB1190" i="202"/>
  <c r="AB1191" i="202"/>
  <c r="AB1192" i="202"/>
  <c r="AB1193" i="202"/>
  <c r="AB1194" i="202"/>
  <c r="AB1195" i="202"/>
  <c r="AB1196" i="202"/>
  <c r="AB1197" i="202"/>
  <c r="AB1198" i="202"/>
  <c r="AB1199" i="202"/>
  <c r="AB1200" i="202"/>
  <c r="AB1201" i="202"/>
  <c r="AB1202" i="202"/>
  <c r="AB1203" i="202"/>
  <c r="AB1204" i="202"/>
  <c r="AB1205" i="202"/>
  <c r="AB1206" i="202"/>
  <c r="AB1207" i="202"/>
  <c r="AB1208" i="202"/>
  <c r="AB1209" i="202"/>
  <c r="AB1210" i="202"/>
  <c r="AB1211" i="202"/>
  <c r="AB1212" i="202"/>
  <c r="AB1213" i="202"/>
  <c r="AB1214" i="202"/>
  <c r="AB1215" i="202"/>
  <c r="AB1216" i="202"/>
  <c r="AB1217" i="202"/>
  <c r="AB1218" i="202"/>
  <c r="AB1219" i="202"/>
  <c r="AB1220" i="202"/>
  <c r="AB1221" i="202"/>
  <c r="AB1222" i="202"/>
  <c r="AB1223" i="202"/>
  <c r="AB1224" i="202"/>
  <c r="AB1225" i="202"/>
  <c r="AB1226" i="202"/>
  <c r="AB1227" i="202"/>
  <c r="AB1228" i="202"/>
  <c r="AB1229" i="202"/>
  <c r="AB1230" i="202"/>
  <c r="AB1231" i="202"/>
  <c r="AB1232" i="202"/>
  <c r="AB1233" i="202"/>
  <c r="AB1234" i="202"/>
  <c r="AB1235" i="202"/>
  <c r="AB1236" i="202"/>
  <c r="AB1237" i="202"/>
  <c r="AB1238" i="202"/>
  <c r="AB1239" i="202"/>
  <c r="AB1240" i="202"/>
  <c r="AB1241" i="202"/>
  <c r="AB1242" i="202"/>
  <c r="AB1243" i="202"/>
  <c r="AB1244" i="202"/>
  <c r="AB1245" i="202"/>
  <c r="AB1246" i="202"/>
  <c r="AB1247" i="202"/>
  <c r="AB1248" i="202"/>
  <c r="AB1249" i="202"/>
  <c r="AB1250" i="202"/>
  <c r="AB1251" i="202"/>
  <c r="AB1252" i="202"/>
  <c r="AB1253" i="202"/>
  <c r="AB1254" i="202"/>
  <c r="AB1255" i="202"/>
  <c r="AB1256" i="202"/>
  <c r="AB1257" i="202"/>
  <c r="AB1258" i="202"/>
  <c r="AB1259" i="202"/>
  <c r="AB1260" i="202"/>
  <c r="AB1261" i="202"/>
  <c r="AB1262" i="202"/>
  <c r="AB1263" i="202"/>
  <c r="AB1264" i="202"/>
  <c r="AB1265" i="202"/>
  <c r="AB1266" i="202"/>
  <c r="AB1267" i="202"/>
  <c r="AB1268" i="202"/>
  <c r="AB1269" i="202"/>
  <c r="AB1270" i="202"/>
  <c r="AB1271" i="202"/>
  <c r="AB1272" i="202"/>
  <c r="AB1273" i="202"/>
  <c r="AB1274" i="202"/>
  <c r="AB1275" i="202"/>
  <c r="AB1276" i="202"/>
  <c r="AB1277" i="202"/>
  <c r="AB1278" i="202"/>
  <c r="AB1279" i="202"/>
  <c r="AB1280" i="202"/>
  <c r="AB1281" i="202"/>
  <c r="AB1282" i="202"/>
  <c r="AB1283" i="202"/>
  <c r="AB1284" i="202"/>
  <c r="AB1285" i="202"/>
  <c r="AB1286" i="202"/>
  <c r="AB1287" i="202"/>
  <c r="AB1288" i="202"/>
  <c r="AB1289" i="202"/>
  <c r="AB1290" i="202"/>
  <c r="AB1291" i="202"/>
  <c r="AB1292" i="202"/>
  <c r="AB1293" i="202"/>
  <c r="AB1294" i="202"/>
  <c r="AB1295" i="202"/>
  <c r="AB1296" i="202"/>
  <c r="AB1297" i="202"/>
  <c r="AB1298" i="202"/>
  <c r="AB1299" i="202"/>
  <c r="AB1300" i="202"/>
  <c r="AB1301" i="202"/>
  <c r="AB1302" i="202"/>
  <c r="AB1303" i="202"/>
  <c r="AB1304" i="202"/>
  <c r="AB1305" i="202"/>
  <c r="AB1306" i="202"/>
  <c r="AB1307" i="202"/>
  <c r="AB1308" i="202"/>
  <c r="AB1309" i="202"/>
  <c r="AB1310" i="202"/>
  <c r="AB1311" i="202"/>
  <c r="AB1312" i="202"/>
  <c r="AB1313" i="202"/>
  <c r="AB1314" i="202"/>
  <c r="AB1315" i="202"/>
  <c r="AB1316" i="202"/>
  <c r="AB1317" i="202"/>
  <c r="AB1318" i="202"/>
  <c r="AB1319" i="202"/>
  <c r="AB1320" i="202"/>
  <c r="AB1321" i="202"/>
  <c r="AB1322" i="202"/>
  <c r="AB1323" i="202"/>
  <c r="AB1324" i="202"/>
  <c r="AB1325" i="202"/>
  <c r="AB1326" i="202"/>
  <c r="AB1327" i="202"/>
  <c r="AB1328" i="202"/>
  <c r="AB1329" i="202"/>
  <c r="AB1330" i="202"/>
  <c r="AB1331" i="202"/>
  <c r="AB1332" i="202"/>
  <c r="AB1333" i="202"/>
  <c r="AB1334" i="202"/>
  <c r="AB1335" i="202"/>
  <c r="AB1336" i="202"/>
  <c r="AB1337" i="202"/>
  <c r="AB1338" i="202"/>
  <c r="AB1339" i="202"/>
  <c r="AB1340" i="202"/>
  <c r="AB1341" i="202"/>
  <c r="AB1342" i="202"/>
  <c r="AB1343" i="202"/>
  <c r="AB1344" i="202"/>
  <c r="AB1345" i="202"/>
  <c r="AB1346" i="202"/>
  <c r="AB1347" i="202"/>
  <c r="AB1348" i="202"/>
  <c r="AB1349" i="202"/>
  <c r="AB1350" i="202"/>
  <c r="AB1351" i="202"/>
  <c r="AB1352" i="202"/>
  <c r="AB1353" i="202"/>
  <c r="AB1354" i="202"/>
  <c r="AB1355" i="202"/>
  <c r="AB1356" i="202"/>
  <c r="AB1357" i="202"/>
  <c r="AB1358" i="202"/>
  <c r="AB1359" i="202"/>
  <c r="AB1360" i="202"/>
  <c r="AB1361" i="202"/>
  <c r="AB1362" i="202"/>
  <c r="AB1363" i="202"/>
  <c r="AB1364" i="202"/>
  <c r="AB1365" i="202"/>
  <c r="AB1366" i="202"/>
  <c r="AB1367" i="202"/>
  <c r="AB1368" i="202"/>
  <c r="AB1369" i="202"/>
  <c r="AB1370" i="202"/>
  <c r="AB1371" i="202"/>
  <c r="AB1372" i="202"/>
  <c r="AB1373" i="202"/>
  <c r="AB1374" i="202"/>
  <c r="AB1375" i="202"/>
  <c r="AB1376" i="202"/>
  <c r="AB1377" i="202"/>
  <c r="AB1378" i="202"/>
  <c r="AB1379" i="202"/>
  <c r="AB1380" i="202"/>
  <c r="AB1381" i="202"/>
  <c r="AB1382" i="202"/>
  <c r="AB1383" i="202"/>
  <c r="AB1384" i="202"/>
  <c r="AB1385" i="202"/>
  <c r="AB1386" i="202"/>
  <c r="AB1387" i="202"/>
  <c r="AB1388" i="202"/>
  <c r="AB1389" i="202"/>
  <c r="AB1390" i="202"/>
  <c r="AB1391" i="202"/>
  <c r="AB1392" i="202"/>
  <c r="AB1393" i="202"/>
  <c r="AB1394" i="202"/>
  <c r="AB1395" i="202"/>
  <c r="AB1396" i="202"/>
  <c r="AB1397" i="202"/>
  <c r="AB1398" i="202"/>
  <c r="AB1399" i="202"/>
  <c r="AB1400" i="202"/>
  <c r="AB1401" i="202"/>
  <c r="AB1402" i="202"/>
  <c r="AB1403" i="202"/>
  <c r="AB1404" i="202"/>
  <c r="AB1405" i="202"/>
  <c r="AB1406" i="202"/>
  <c r="AB1407" i="202"/>
  <c r="AB1408" i="202"/>
  <c r="AB1409" i="202"/>
  <c r="AB1410" i="202"/>
  <c r="AB1411" i="202"/>
  <c r="AB1412" i="202"/>
  <c r="AB1413" i="202"/>
  <c r="AB1414" i="202"/>
  <c r="AB1415" i="202"/>
  <c r="AB1416" i="202"/>
  <c r="AB1417" i="202"/>
  <c r="AB1418" i="202"/>
  <c r="AB1419" i="202"/>
  <c r="AB1420" i="202"/>
  <c r="AB1421" i="202"/>
  <c r="AB1422" i="202"/>
  <c r="AB1423" i="202"/>
  <c r="AB1424" i="202"/>
  <c r="AB1425" i="202"/>
  <c r="AB1426" i="202"/>
  <c r="AB1427" i="202"/>
  <c r="AB1428" i="202"/>
  <c r="AB1429" i="202"/>
  <c r="AB1430" i="202"/>
  <c r="AB1431" i="202"/>
  <c r="AB1432" i="202"/>
  <c r="AB1433" i="202"/>
  <c r="AB1434" i="202"/>
  <c r="AB1435" i="202"/>
  <c r="AB1436" i="202"/>
  <c r="AB1437" i="202"/>
  <c r="AB1438" i="202"/>
  <c r="AB1439" i="202"/>
  <c r="AB1440" i="202"/>
  <c r="AB1441" i="202"/>
  <c r="AB1442" i="202"/>
  <c r="AB1443" i="202"/>
  <c r="AB1444" i="202"/>
  <c r="AB1445" i="202"/>
  <c r="AB1446" i="202"/>
  <c r="AB1447" i="202"/>
  <c r="AB1448" i="202"/>
  <c r="AB1449" i="202"/>
  <c r="AB1450" i="202"/>
  <c r="AB1451" i="202"/>
  <c r="AB1452" i="202"/>
  <c r="AB1453" i="202"/>
  <c r="AB1454" i="202"/>
  <c r="AB1455" i="202"/>
  <c r="AB1456" i="202"/>
  <c r="AB1457" i="202"/>
  <c r="AB1458" i="202"/>
  <c r="AB1459" i="202"/>
  <c r="AB1460" i="202"/>
  <c r="AB1461" i="202"/>
  <c r="AB1462" i="202"/>
  <c r="AB1463" i="202"/>
  <c r="AB1464" i="202"/>
  <c r="AB1465" i="202"/>
  <c r="AB1466" i="202"/>
  <c r="AB1467" i="202"/>
  <c r="AB1468" i="202"/>
  <c r="AB1469" i="202"/>
  <c r="AB1470" i="202"/>
  <c r="AB1471" i="202"/>
  <c r="AB1472" i="202"/>
  <c r="AB1473" i="202"/>
  <c r="AB1474" i="202"/>
  <c r="AB1475" i="202"/>
  <c r="AB1476" i="202"/>
  <c r="AB1477" i="202"/>
  <c r="AB1478" i="202"/>
  <c r="AB1479" i="202"/>
  <c r="AB1480" i="202"/>
  <c r="AB1481" i="202"/>
  <c r="AB1482" i="202"/>
  <c r="AB1483" i="202"/>
  <c r="AB1484" i="202"/>
  <c r="AB1485" i="202"/>
  <c r="AB1486" i="202"/>
  <c r="AB1487" i="202"/>
  <c r="AB1488" i="202"/>
  <c r="AB1489" i="202"/>
  <c r="AB1490" i="202"/>
  <c r="AB1491" i="202"/>
  <c r="AB1492" i="202"/>
  <c r="AB1493" i="202"/>
  <c r="AB1494" i="202"/>
  <c r="AB1495" i="202"/>
  <c r="AB1496" i="202"/>
  <c r="AB1497" i="202"/>
  <c r="AB1498" i="202"/>
  <c r="AB1499" i="202"/>
  <c r="AB1500" i="202"/>
  <c r="AB1501" i="202"/>
  <c r="AB1502" i="202"/>
  <c r="AB1503" i="202"/>
  <c r="AB1504" i="202"/>
  <c r="AB1505" i="202"/>
  <c r="AB1506" i="202"/>
  <c r="AB1507" i="202"/>
  <c r="AB1508" i="202"/>
  <c r="AB1509" i="202"/>
  <c r="AB1510" i="202"/>
  <c r="AB1511" i="202"/>
  <c r="AB1512" i="202"/>
  <c r="AB1513" i="202"/>
  <c r="AB1514" i="202"/>
  <c r="AB1515" i="202"/>
  <c r="AB1516" i="202"/>
  <c r="AB1517" i="202"/>
  <c r="AB1518" i="202"/>
  <c r="AB1519" i="202"/>
  <c r="AB1520" i="202"/>
  <c r="AB1521" i="202"/>
  <c r="AB1522" i="202"/>
  <c r="AB1523" i="202"/>
  <c r="AB1524" i="202"/>
  <c r="AB1525" i="202"/>
  <c r="AB1526" i="202"/>
  <c r="AB1527" i="202"/>
  <c r="AB1528" i="202"/>
  <c r="AB1529" i="202"/>
  <c r="AB1530" i="202"/>
  <c r="AB1531" i="202"/>
  <c r="AB1532" i="202"/>
  <c r="AB1533" i="202"/>
  <c r="AB1534" i="202"/>
  <c r="AB1535" i="202"/>
  <c r="AB1536" i="202"/>
  <c r="AB1537" i="202"/>
  <c r="AB1538" i="202"/>
  <c r="AB1539" i="202"/>
  <c r="AB1540" i="202"/>
  <c r="AB1541" i="202"/>
  <c r="AB1542" i="202"/>
  <c r="AB1543" i="202"/>
  <c r="AB1544" i="202"/>
  <c r="AB1545" i="202"/>
  <c r="AB1546" i="202"/>
  <c r="AB1547" i="202"/>
  <c r="AB1548" i="202"/>
  <c r="AB1549" i="202"/>
  <c r="AB1550" i="202"/>
  <c r="AB1551" i="202"/>
  <c r="AB1552" i="202"/>
  <c r="AB1553" i="202"/>
  <c r="AB1554" i="202"/>
  <c r="AB1555" i="202"/>
  <c r="AB1556" i="202"/>
  <c r="AB1557" i="202"/>
  <c r="AB1558" i="202"/>
  <c r="AB1559" i="202"/>
  <c r="AB1560" i="202"/>
  <c r="AB1561" i="202"/>
  <c r="AB1562" i="202"/>
  <c r="AB1563" i="202"/>
  <c r="AB1564" i="202"/>
  <c r="AB1565" i="202"/>
  <c r="AB1566" i="202"/>
  <c r="AB1567" i="202"/>
  <c r="AB1568" i="202"/>
  <c r="AB1569" i="202"/>
  <c r="AB1570" i="202"/>
  <c r="AB1571" i="202"/>
  <c r="AB1572" i="202"/>
  <c r="AB1573" i="202"/>
  <c r="AB1574" i="202"/>
  <c r="AB1575" i="202"/>
  <c r="AB1576" i="202"/>
  <c r="AB1577" i="202"/>
  <c r="AB1578" i="202"/>
  <c r="AB1579" i="202"/>
  <c r="AB1580" i="202"/>
  <c r="AB1581" i="202"/>
  <c r="AB1582" i="202"/>
  <c r="AB1583" i="202"/>
  <c r="AB1584" i="202"/>
  <c r="AB1585" i="202"/>
  <c r="AB1586" i="202"/>
  <c r="AB1587" i="202"/>
  <c r="AB1588" i="202"/>
  <c r="AB1589" i="202"/>
  <c r="AB1590" i="202"/>
  <c r="AB1591" i="202"/>
  <c r="AB1592" i="202"/>
  <c r="AB1593" i="202"/>
  <c r="AB1594" i="202"/>
  <c r="AB1595" i="202"/>
  <c r="AB1596" i="202"/>
  <c r="AB1597" i="202"/>
  <c r="AB1598" i="202"/>
  <c r="AB1599" i="202"/>
  <c r="AB1600" i="202"/>
  <c r="AB1601" i="202"/>
  <c r="AB1602" i="202"/>
  <c r="AB1603" i="202"/>
  <c r="AB1604" i="202"/>
  <c r="AB1605" i="202"/>
  <c r="AB1606" i="202"/>
  <c r="AB1607" i="202"/>
  <c r="AB1608" i="202"/>
  <c r="AB1609" i="202"/>
  <c r="AB1610" i="202"/>
  <c r="AB1611" i="202"/>
  <c r="AB1612" i="202"/>
  <c r="AB1613" i="202"/>
  <c r="AB1614" i="202"/>
  <c r="AB1615" i="202"/>
  <c r="AB1616" i="202"/>
  <c r="AB1617" i="202"/>
  <c r="AB1618" i="202"/>
  <c r="AB1619" i="202"/>
  <c r="AB1620" i="202"/>
  <c r="AB1621" i="202"/>
  <c r="AB1622" i="202"/>
  <c r="AB1623" i="202"/>
  <c r="AB1624" i="202"/>
  <c r="AB1625" i="202"/>
  <c r="AB1626" i="202"/>
  <c r="AB1627" i="202"/>
  <c r="AB1628" i="202"/>
  <c r="AB1629" i="202"/>
  <c r="AB1630" i="202"/>
  <c r="AB1631" i="202"/>
  <c r="AB1632" i="202"/>
  <c r="AB1633" i="202"/>
  <c r="AB1634" i="202"/>
  <c r="AB1635" i="202"/>
  <c r="AB1636" i="202"/>
  <c r="AB1637" i="202"/>
  <c r="AB1638" i="202"/>
  <c r="AB1639" i="202"/>
  <c r="AB1640" i="202"/>
  <c r="AB1641" i="202"/>
  <c r="AB1642" i="202"/>
  <c r="AB1643" i="202"/>
  <c r="AB1644" i="202"/>
  <c r="AB1645" i="202"/>
  <c r="AB1646" i="202"/>
  <c r="AB1647" i="202"/>
  <c r="AB1648" i="202"/>
  <c r="AB1649" i="202"/>
  <c r="AB1650" i="202"/>
  <c r="AB1651" i="202"/>
  <c r="AB1652" i="202"/>
  <c r="AB1653" i="202"/>
  <c r="AB1654" i="202"/>
  <c r="AB1655" i="202"/>
  <c r="AB1656" i="202"/>
  <c r="AB1657" i="202"/>
  <c r="AB1658" i="202"/>
  <c r="AB1659" i="202"/>
  <c r="AB1660" i="202"/>
  <c r="AB1661" i="202"/>
  <c r="AB1662" i="202"/>
  <c r="AB1663" i="202"/>
  <c r="AB1664" i="202"/>
  <c r="AB1665" i="202"/>
  <c r="AB1666" i="202"/>
  <c r="AB1667" i="202"/>
  <c r="AB1668" i="202"/>
  <c r="AB1669" i="202"/>
  <c r="AB1670" i="202"/>
  <c r="AB1671" i="202"/>
  <c r="AB1672" i="202"/>
  <c r="AB1673" i="202"/>
  <c r="AB1674" i="202"/>
  <c r="AB1675" i="202"/>
  <c r="AB1676" i="202"/>
  <c r="AB1677" i="202"/>
  <c r="AB1678" i="202"/>
  <c r="AB1679" i="202"/>
  <c r="AB1680" i="202"/>
  <c r="AB1681" i="202"/>
  <c r="AB1682" i="202"/>
  <c r="AB1683" i="202"/>
  <c r="AB1684" i="202"/>
  <c r="AB1685" i="202"/>
  <c r="AB1686" i="202"/>
  <c r="AB1687" i="202"/>
  <c r="AB1688" i="202"/>
  <c r="AB1689" i="202"/>
  <c r="AB1690" i="202"/>
  <c r="AB1691" i="202"/>
  <c r="AB1692" i="202"/>
  <c r="AB1693" i="202"/>
  <c r="AB1694" i="202"/>
  <c r="AB1695" i="202"/>
  <c r="AB1696" i="202"/>
  <c r="AB1697" i="202"/>
  <c r="AB1698" i="202"/>
  <c r="AB1699" i="202"/>
  <c r="AB1700" i="202"/>
  <c r="AB1701" i="202"/>
  <c r="AB1702" i="202"/>
  <c r="AB1703" i="202"/>
  <c r="AB1704" i="202"/>
  <c r="AB1705" i="202"/>
  <c r="AB1706" i="202"/>
  <c r="AB1707" i="202"/>
  <c r="AB1708" i="202"/>
  <c r="AB1709" i="202"/>
  <c r="AB1710" i="202"/>
  <c r="AB1711" i="202"/>
  <c r="AB1712" i="202"/>
  <c r="AB1713" i="202"/>
  <c r="AB1714" i="202"/>
  <c r="AB1715" i="202"/>
  <c r="AB1716" i="202"/>
  <c r="AB1717" i="202"/>
  <c r="AB1718" i="202"/>
  <c r="AB1719" i="202"/>
  <c r="AB1720" i="202"/>
  <c r="AB1721" i="202"/>
  <c r="AB1722" i="202"/>
  <c r="AB1723" i="202"/>
  <c r="AB1724" i="202"/>
  <c r="AB1725" i="202"/>
  <c r="AB1726" i="202"/>
  <c r="AB1727" i="202"/>
  <c r="AB1728" i="202"/>
  <c r="AB1729" i="202"/>
  <c r="AB1730" i="202"/>
  <c r="AB1731" i="202"/>
  <c r="AB1732" i="202"/>
  <c r="AB1733" i="202"/>
  <c r="AB1734" i="202"/>
  <c r="AB1735" i="202"/>
  <c r="AB1736" i="202"/>
  <c r="AB1737" i="202"/>
  <c r="AB1738" i="202"/>
  <c r="AB1739" i="202"/>
  <c r="AB1740" i="202"/>
  <c r="AB1741" i="202"/>
  <c r="AB1742" i="202"/>
  <c r="AB1743" i="202"/>
  <c r="AB1744" i="202"/>
  <c r="AB1745" i="202"/>
  <c r="AB1746" i="202"/>
  <c r="AB1747" i="202"/>
  <c r="AB1748" i="202"/>
  <c r="AB1749" i="202"/>
  <c r="AB1750" i="202"/>
  <c r="AB1751" i="202"/>
  <c r="AB1752" i="202"/>
  <c r="AB1753" i="202"/>
  <c r="AB1754" i="202"/>
  <c r="AB1755" i="202"/>
  <c r="AB1756" i="202"/>
  <c r="AB1757" i="202"/>
  <c r="AB1758" i="202"/>
  <c r="AB1759" i="202"/>
  <c r="AB1760" i="202"/>
  <c r="AB1761" i="202"/>
  <c r="AB1762" i="202"/>
  <c r="AB1763" i="202"/>
  <c r="AB1764" i="202"/>
  <c r="AB1765" i="202"/>
  <c r="AB1766" i="202"/>
  <c r="AB1767" i="202"/>
  <c r="AB1768" i="202"/>
  <c r="AB1769" i="202"/>
  <c r="AB1770" i="202"/>
  <c r="AB1771" i="202"/>
  <c r="AB1772" i="202"/>
  <c r="AB1773" i="202"/>
  <c r="AB1774" i="202"/>
  <c r="AB1775" i="202"/>
  <c r="AB1776" i="202"/>
  <c r="AB1777" i="202"/>
  <c r="AB1778" i="202"/>
  <c r="AB1779" i="202"/>
  <c r="AB1780" i="202"/>
  <c r="AB1781" i="202"/>
  <c r="AB1782" i="202"/>
  <c r="AB1783" i="202"/>
  <c r="AB1784" i="202"/>
  <c r="AB1785" i="202"/>
  <c r="AB1786" i="202"/>
  <c r="AB1787" i="202"/>
  <c r="AB1788" i="202"/>
  <c r="AB1789" i="202"/>
  <c r="AB1790" i="202"/>
  <c r="AB1791" i="202"/>
  <c r="AB1792" i="202"/>
  <c r="AB1793" i="202"/>
  <c r="AB1794" i="202"/>
  <c r="AB1795" i="202"/>
  <c r="AB1796" i="202"/>
  <c r="AB1797" i="202"/>
  <c r="AB1798" i="202"/>
  <c r="AB1799" i="202"/>
  <c r="AB1800" i="202"/>
  <c r="AB1801" i="202"/>
  <c r="AB1802" i="202"/>
  <c r="AB1803" i="202"/>
  <c r="AB1804" i="202"/>
  <c r="AB1805" i="202"/>
  <c r="AB1806" i="202"/>
  <c r="AB1807" i="202"/>
  <c r="AB1808" i="202"/>
  <c r="AB1809" i="202"/>
  <c r="AB1810" i="202"/>
  <c r="AB1811" i="202"/>
  <c r="AB1812" i="202"/>
  <c r="AB1813" i="202"/>
  <c r="AB1814" i="202"/>
  <c r="AB1815" i="202"/>
  <c r="AB1816" i="202"/>
  <c r="AB1817" i="202"/>
  <c r="AB1818" i="202"/>
  <c r="AB1819" i="202"/>
  <c r="AB1820" i="202"/>
  <c r="AB1821" i="202"/>
  <c r="AB1822" i="202"/>
  <c r="AB1823" i="202"/>
  <c r="AB1824" i="202"/>
  <c r="AB1825" i="202"/>
  <c r="AB1826" i="202"/>
  <c r="AB1827" i="202"/>
  <c r="AB1828" i="202"/>
  <c r="AB1829" i="202"/>
  <c r="AB1830" i="202"/>
  <c r="AB1831" i="202"/>
  <c r="AB1832" i="202"/>
  <c r="AB1833" i="202"/>
  <c r="AB1834" i="202"/>
  <c r="AB1835" i="202"/>
  <c r="AB1836" i="202"/>
  <c r="AB1837" i="202"/>
  <c r="AB1838" i="202"/>
  <c r="AB1839" i="202"/>
  <c r="AB1840" i="202"/>
  <c r="AB1841" i="202"/>
  <c r="AB1842" i="202"/>
  <c r="AB1843" i="202"/>
  <c r="AB1844" i="202"/>
  <c r="AB1845" i="202"/>
  <c r="AB1846" i="202"/>
  <c r="AB1847" i="202"/>
  <c r="AB1848" i="202"/>
  <c r="AB1849" i="202"/>
  <c r="AB1850" i="202"/>
  <c r="AB1851" i="202"/>
  <c r="AB1852" i="202"/>
  <c r="AB1853" i="202"/>
  <c r="AB1854" i="202"/>
  <c r="AB1855" i="202"/>
  <c r="AB1856" i="202"/>
  <c r="AB1857" i="202"/>
  <c r="AB1858" i="202"/>
  <c r="AB1859" i="202"/>
  <c r="AB1860" i="202"/>
  <c r="AB1861" i="202"/>
  <c r="AB1862" i="202"/>
  <c r="AB1863" i="202"/>
  <c r="AB1864" i="202"/>
  <c r="AB1865" i="202"/>
  <c r="AB1866" i="202"/>
  <c r="AB1867" i="202"/>
  <c r="AB1868" i="202"/>
  <c r="AB1869" i="202"/>
  <c r="AB1870" i="202"/>
  <c r="AB1871" i="202"/>
  <c r="AB1872" i="202"/>
  <c r="AB1873" i="202"/>
  <c r="AB1874" i="202"/>
  <c r="AB1875" i="202"/>
  <c r="AB1876" i="202"/>
  <c r="AB1877" i="202"/>
  <c r="AB1878" i="202"/>
  <c r="AB1879" i="202"/>
  <c r="AB1880" i="202"/>
  <c r="AB1881" i="202"/>
  <c r="AB1882" i="202"/>
  <c r="AB1883" i="202"/>
  <c r="AB1884" i="202"/>
  <c r="AB1885" i="202"/>
  <c r="AB1886" i="202"/>
  <c r="AB1887" i="202"/>
  <c r="AB1888" i="202"/>
  <c r="AB1889" i="202"/>
  <c r="AB1890" i="202"/>
  <c r="AB1891" i="202"/>
  <c r="AB1892" i="202"/>
  <c r="AB1893" i="202"/>
  <c r="AB1894" i="202"/>
  <c r="AB1895" i="202"/>
  <c r="AB1896" i="202"/>
  <c r="AB1897" i="202"/>
  <c r="AB1898" i="202"/>
  <c r="AB1899" i="202"/>
  <c r="AB1900" i="202"/>
  <c r="AB1901" i="202"/>
  <c r="AB1902" i="202"/>
  <c r="AB1903" i="202"/>
  <c r="AB1904" i="202"/>
  <c r="AB1905" i="202"/>
  <c r="AB1906" i="202"/>
  <c r="AB1907" i="202"/>
  <c r="AB1908" i="202"/>
  <c r="AB1909" i="202"/>
  <c r="AB1910" i="202"/>
  <c r="AB1911" i="202"/>
  <c r="AB1912" i="202"/>
  <c r="AB1913" i="202"/>
  <c r="AB1914" i="202"/>
  <c r="AB1915" i="202"/>
  <c r="AB1916" i="202"/>
  <c r="AB1917" i="202"/>
  <c r="AB1918" i="202"/>
  <c r="AB1919" i="202"/>
  <c r="AB1920" i="202"/>
  <c r="AB1921" i="202"/>
  <c r="AB1922" i="202"/>
  <c r="AB1923" i="202"/>
  <c r="AB1924" i="202"/>
  <c r="AB1925" i="202"/>
  <c r="AB1926" i="202"/>
  <c r="AB1927" i="202"/>
  <c r="AB1928" i="202"/>
  <c r="AB1929" i="202"/>
  <c r="AB1930" i="202"/>
  <c r="AB1931" i="202"/>
  <c r="AB1932" i="202"/>
  <c r="AB1933" i="202"/>
  <c r="AB1934" i="202"/>
  <c r="AB1935" i="202"/>
  <c r="AB1936" i="202"/>
  <c r="AB1937" i="202"/>
  <c r="AB1938" i="202"/>
  <c r="AB1939" i="202"/>
  <c r="AB1940" i="202"/>
  <c r="AB1941" i="202"/>
  <c r="AB1942" i="202"/>
  <c r="AB1943" i="202"/>
  <c r="AB1944" i="202"/>
  <c r="AB1945" i="202"/>
  <c r="AB1946" i="202"/>
  <c r="AB1947" i="202"/>
  <c r="AB1948" i="202"/>
  <c r="AB1949" i="202"/>
  <c r="AB1950" i="202"/>
  <c r="AB1951" i="202"/>
  <c r="AB1952" i="202"/>
  <c r="AB1953" i="202"/>
  <c r="AB1954" i="202"/>
  <c r="AB1955" i="202"/>
  <c r="AB1956" i="202"/>
  <c r="AB1957" i="202"/>
  <c r="AB1958" i="202"/>
  <c r="AB1959" i="202"/>
  <c r="AB1960" i="202"/>
  <c r="AB1961" i="202"/>
  <c r="AB1962" i="202"/>
  <c r="AB1963" i="202"/>
  <c r="AB1964" i="202"/>
  <c r="AB1965" i="202"/>
  <c r="AB1966" i="202"/>
  <c r="AB1967" i="202"/>
  <c r="AB1968" i="202"/>
  <c r="AB1969" i="202"/>
  <c r="AB1970" i="202"/>
  <c r="AB1971" i="202"/>
  <c r="AB1972" i="202"/>
  <c r="AB1973" i="202"/>
  <c r="AB1974" i="202"/>
  <c r="AB1975" i="202"/>
  <c r="AB1976" i="202"/>
  <c r="AB1977" i="202"/>
  <c r="AB1978" i="202"/>
  <c r="AB1979" i="202"/>
  <c r="AB1980" i="202"/>
  <c r="AB1981" i="202"/>
  <c r="AB1982" i="202"/>
  <c r="AB1983" i="202"/>
  <c r="AB1984" i="202"/>
  <c r="AB1985" i="202"/>
  <c r="AB1986" i="202"/>
  <c r="AB1987" i="202"/>
  <c r="AB1988" i="202"/>
  <c r="AB1989" i="202"/>
  <c r="AB1990" i="202"/>
  <c r="AB1991" i="202"/>
  <c r="AB1992" i="202"/>
  <c r="AB1993" i="202"/>
  <c r="AB1994" i="202"/>
  <c r="AB1995" i="202"/>
  <c r="AB1996" i="202"/>
  <c r="AB1997" i="202"/>
  <c r="AB1998" i="202"/>
  <c r="AB1999" i="202"/>
  <c r="AB2000" i="202"/>
  <c r="AB2001" i="202"/>
  <c r="AB2002" i="202"/>
  <c r="AB2003" i="202"/>
  <c r="AB2004" i="202"/>
  <c r="AB2005" i="202"/>
  <c r="AB2006" i="202"/>
  <c r="AB2007" i="202"/>
  <c r="AB2008" i="202"/>
  <c r="AB2009" i="202"/>
  <c r="AB2010" i="202"/>
  <c r="AB2011" i="202"/>
  <c r="AB2012" i="202"/>
  <c r="AB2013" i="202"/>
  <c r="AB2014" i="202"/>
  <c r="AB2015" i="202"/>
  <c r="AB2016" i="202"/>
  <c r="AB2017" i="202"/>
  <c r="AB2018" i="202"/>
  <c r="AB2019" i="202"/>
  <c r="AB2020" i="202"/>
  <c r="AB2021" i="202"/>
  <c r="AB2022" i="202"/>
  <c r="AB2023" i="202"/>
  <c r="AB2024" i="202"/>
  <c r="AB2025" i="202"/>
  <c r="AB2026" i="202"/>
  <c r="AB2027" i="202"/>
  <c r="AB2028" i="202"/>
  <c r="AB2029" i="202"/>
  <c r="AB2030" i="202"/>
  <c r="AB2031" i="202"/>
  <c r="AB2032" i="202"/>
  <c r="AB2033" i="202"/>
  <c r="AB2034" i="202"/>
  <c r="AB2035" i="202"/>
  <c r="AB2036" i="202"/>
  <c r="AB2037" i="202"/>
  <c r="AB2038" i="202"/>
  <c r="AB2039" i="202"/>
  <c r="AB2040" i="202"/>
  <c r="AB2041" i="202"/>
  <c r="AB2042" i="202"/>
  <c r="AB2043" i="202"/>
  <c r="AB2044" i="202"/>
  <c r="AB2045" i="202"/>
  <c r="AB2046" i="202"/>
  <c r="AB2047" i="202"/>
  <c r="AB2048" i="202"/>
  <c r="BC2" i="202"/>
  <c r="BC3" i="202"/>
  <c r="BC4" i="202"/>
  <c r="BC5" i="202"/>
  <c r="BC6" i="202"/>
  <c r="BC7" i="202"/>
  <c r="BC8" i="202"/>
  <c r="BC9" i="202"/>
  <c r="BC10" i="202"/>
  <c r="BC11" i="202"/>
  <c r="BC12" i="202"/>
  <c r="BC13" i="202"/>
  <c r="BC14" i="202"/>
  <c r="BC15" i="202"/>
  <c r="BC16" i="202"/>
  <c r="BC17" i="202"/>
  <c r="BC18" i="202"/>
  <c r="BC19" i="202"/>
  <c r="BC20" i="202"/>
  <c r="BC21" i="202"/>
  <c r="BC22" i="202"/>
  <c r="BC23" i="202"/>
  <c r="BC24" i="202"/>
  <c r="BC25" i="202"/>
  <c r="BC26" i="202"/>
  <c r="BC27" i="202"/>
  <c r="BC28" i="202"/>
  <c r="BC29" i="202"/>
  <c r="BC30" i="202"/>
  <c r="BC31" i="202"/>
  <c r="BC32" i="202"/>
  <c r="BC33" i="202"/>
  <c r="BC34" i="202"/>
  <c r="BC35" i="202"/>
  <c r="BC36" i="202"/>
  <c r="BC37" i="202"/>
  <c r="BC38" i="202"/>
  <c r="BC39" i="202"/>
  <c r="BC40" i="202"/>
  <c r="BC41" i="202"/>
  <c r="BC42" i="202"/>
  <c r="BC43" i="202"/>
  <c r="BC44" i="202"/>
  <c r="BC45" i="202"/>
  <c r="BC46" i="202"/>
  <c r="BC47" i="202"/>
  <c r="BC48" i="202"/>
  <c r="BC49" i="202"/>
  <c r="BC50" i="202"/>
  <c r="BC51" i="202"/>
  <c r="BC52" i="202"/>
  <c r="BC53" i="202"/>
  <c r="BC54" i="202"/>
  <c r="BC55" i="202"/>
  <c r="BC56" i="202"/>
  <c r="BC57" i="202"/>
  <c r="BC58" i="202"/>
  <c r="BC59" i="202"/>
  <c r="BC60" i="202"/>
  <c r="BC61" i="202"/>
  <c r="BC62" i="202"/>
  <c r="BC63" i="202"/>
  <c r="BC64" i="202"/>
  <c r="BC65" i="202"/>
  <c r="BC66" i="202"/>
  <c r="BC67" i="202"/>
  <c r="BC68" i="202"/>
  <c r="BC69" i="202"/>
  <c r="BC70" i="202"/>
  <c r="BC71" i="202"/>
  <c r="BC72" i="202"/>
  <c r="BC73" i="202"/>
  <c r="BC74" i="202"/>
  <c r="BC75" i="202"/>
  <c r="BC76" i="202"/>
  <c r="BC77" i="202"/>
  <c r="BC78" i="202"/>
  <c r="BC79" i="202"/>
  <c r="BC80" i="202"/>
  <c r="BC81" i="202"/>
  <c r="BC82" i="202"/>
  <c r="BC83" i="202"/>
  <c r="BC84" i="202"/>
  <c r="BC85" i="202"/>
  <c r="BC86" i="202"/>
  <c r="BC87" i="202"/>
  <c r="BC88" i="202"/>
  <c r="BC89" i="202"/>
  <c r="BC90" i="202"/>
  <c r="BC91" i="202"/>
  <c r="BC92" i="202"/>
  <c r="BC93" i="202"/>
  <c r="BC94" i="202"/>
  <c r="BC95" i="202"/>
  <c r="BC96" i="202"/>
  <c r="BC97" i="202"/>
  <c r="BC98" i="202"/>
  <c r="BC99" i="202"/>
  <c r="BC100" i="202"/>
  <c r="BC101" i="202"/>
  <c r="BC102" i="202"/>
  <c r="BC103" i="202"/>
  <c r="BC104" i="202"/>
  <c r="BC105" i="202"/>
  <c r="BC106" i="202"/>
  <c r="BC107" i="202"/>
  <c r="BC108" i="202"/>
  <c r="BC109" i="202"/>
  <c r="BC110" i="202"/>
  <c r="BC111" i="202"/>
  <c r="BC112" i="202"/>
  <c r="BC113" i="202"/>
  <c r="BC114" i="202"/>
  <c r="BC115" i="202"/>
  <c r="BC116" i="202"/>
  <c r="BC117" i="202"/>
  <c r="BC118" i="202"/>
  <c r="BC119" i="202"/>
  <c r="BC120" i="202"/>
  <c r="BC121" i="202"/>
  <c r="BC122" i="202"/>
  <c r="BC123" i="202"/>
  <c r="BC124" i="202"/>
  <c r="BC125" i="202"/>
  <c r="BC126" i="202"/>
  <c r="BC127" i="202"/>
  <c r="BC128" i="202"/>
  <c r="BC129" i="202"/>
  <c r="BC130" i="202"/>
  <c r="BC131" i="202"/>
  <c r="BC132" i="202"/>
  <c r="BC133" i="202"/>
  <c r="BC134" i="202"/>
  <c r="BC135" i="202"/>
  <c r="BC136" i="202"/>
  <c r="BC137" i="202"/>
  <c r="BC138" i="202"/>
  <c r="BC139" i="202"/>
  <c r="BC140" i="202"/>
  <c r="BC141" i="202"/>
  <c r="BC142" i="202"/>
  <c r="BC143" i="202"/>
  <c r="BC144" i="202"/>
  <c r="BC145" i="202"/>
  <c r="BC146" i="202"/>
  <c r="BC147" i="202"/>
  <c r="BC148" i="202"/>
  <c r="BC149" i="202"/>
  <c r="BC150" i="202"/>
  <c r="BC151" i="202"/>
  <c r="BC152" i="202"/>
  <c r="BC153" i="202"/>
  <c r="BC154" i="202"/>
  <c r="BC155" i="202"/>
  <c r="BC156" i="202"/>
  <c r="BC157" i="202"/>
  <c r="BC158" i="202"/>
  <c r="BC159" i="202"/>
  <c r="BC160" i="202"/>
  <c r="BC161" i="202"/>
  <c r="BC162" i="202"/>
  <c r="BC163" i="202"/>
  <c r="BC164" i="202"/>
  <c r="BC165" i="202"/>
  <c r="BC166" i="202"/>
  <c r="BC167" i="202"/>
  <c r="BC168" i="202"/>
  <c r="BC169" i="202"/>
  <c r="BC170" i="202"/>
  <c r="BC171" i="202"/>
  <c r="BC172" i="202"/>
  <c r="BC173" i="202"/>
  <c r="BC174" i="202"/>
  <c r="BC175" i="202"/>
  <c r="BC176" i="202"/>
  <c r="BC177" i="202"/>
  <c r="BC178" i="202"/>
  <c r="BC179" i="202"/>
  <c r="BC180" i="202"/>
  <c r="BC181" i="202"/>
  <c r="BC182" i="202"/>
  <c r="BC183" i="202"/>
  <c r="BC184" i="202"/>
  <c r="BC185" i="202"/>
  <c r="BC186" i="202"/>
  <c r="BC187" i="202"/>
  <c r="BC188" i="202"/>
  <c r="BC189" i="202"/>
  <c r="BC190" i="202"/>
  <c r="BC191" i="202"/>
  <c r="BC192" i="202"/>
  <c r="BC193" i="202"/>
  <c r="BC194" i="202"/>
  <c r="BC195" i="202"/>
  <c r="BC196" i="202"/>
  <c r="BC197" i="202"/>
  <c r="BC198" i="202"/>
  <c r="BC199" i="202"/>
  <c r="BC200" i="202"/>
  <c r="BC201" i="202"/>
  <c r="BC202" i="202"/>
  <c r="BC203" i="202"/>
  <c r="BC204" i="202"/>
  <c r="BC205" i="202"/>
  <c r="BC206" i="202"/>
  <c r="BC207" i="202"/>
  <c r="BC208" i="202"/>
  <c r="BC209" i="202"/>
  <c r="BC210" i="202"/>
  <c r="BC211" i="202"/>
  <c r="BC212" i="202"/>
  <c r="BC213" i="202"/>
  <c r="BC214" i="202"/>
  <c r="BC215" i="202"/>
  <c r="BC216" i="202"/>
  <c r="BC217" i="202"/>
  <c r="BC218" i="202"/>
  <c r="BC219" i="202"/>
  <c r="BC220" i="202"/>
  <c r="BC221" i="202"/>
  <c r="BC222" i="202"/>
  <c r="BC223" i="202"/>
  <c r="BC224" i="202"/>
  <c r="BC225" i="202"/>
  <c r="BC226" i="202"/>
  <c r="BC227" i="202"/>
  <c r="BC228" i="202"/>
  <c r="BC229" i="202"/>
  <c r="BC230" i="202"/>
  <c r="BC231" i="202"/>
  <c r="BC232" i="202"/>
  <c r="BC233" i="202"/>
  <c r="BC234" i="202"/>
  <c r="BC235" i="202"/>
  <c r="BC236" i="202"/>
  <c r="BC237" i="202"/>
  <c r="BC238" i="202"/>
  <c r="BC239" i="202"/>
  <c r="BC240" i="202"/>
  <c r="BC241" i="202"/>
  <c r="BC242" i="202"/>
  <c r="BC243" i="202"/>
  <c r="BC244" i="202"/>
  <c r="BC245" i="202"/>
  <c r="BC246" i="202"/>
  <c r="BC247" i="202"/>
  <c r="BC248" i="202"/>
  <c r="BC249" i="202"/>
  <c r="BC250" i="202"/>
  <c r="BC251" i="202"/>
  <c r="BC252" i="202"/>
  <c r="BC253" i="202"/>
  <c r="BC254" i="202"/>
  <c r="BC255" i="202"/>
  <c r="BC256" i="202"/>
  <c r="BC257" i="202"/>
  <c r="BC258" i="202"/>
  <c r="BC259" i="202"/>
  <c r="BC260" i="202"/>
  <c r="BC261" i="202"/>
  <c r="BC262" i="202"/>
  <c r="BC263" i="202"/>
  <c r="BC264" i="202"/>
  <c r="BC265" i="202"/>
  <c r="BC266" i="202"/>
  <c r="BC267" i="202"/>
  <c r="BC268" i="202"/>
  <c r="BC269" i="202"/>
  <c r="BC270" i="202"/>
  <c r="BC271" i="202"/>
  <c r="BC272" i="202"/>
  <c r="BC273" i="202"/>
  <c r="BC274" i="202"/>
  <c r="BC275" i="202"/>
  <c r="BC276" i="202"/>
  <c r="BC277" i="202"/>
  <c r="BC278" i="202"/>
  <c r="BC279" i="202"/>
  <c r="BC280" i="202"/>
  <c r="BC281" i="202"/>
  <c r="BC282" i="202"/>
  <c r="BC283" i="202"/>
  <c r="BC284" i="202"/>
  <c r="BC285" i="202"/>
  <c r="BC286" i="202"/>
  <c r="BC287" i="202"/>
  <c r="BC288" i="202"/>
  <c r="BC289" i="202"/>
  <c r="BC290" i="202"/>
  <c r="BC291" i="202"/>
  <c r="BC292" i="202"/>
  <c r="BC293" i="202"/>
  <c r="BC294" i="202"/>
  <c r="BC295" i="202"/>
  <c r="BC296" i="202"/>
  <c r="BC297" i="202"/>
  <c r="BC298" i="202"/>
  <c r="BC299" i="202"/>
  <c r="BC300" i="202"/>
  <c r="BC301" i="202"/>
  <c r="BC302" i="202"/>
  <c r="BC303" i="202"/>
  <c r="BC304" i="202"/>
  <c r="BC305" i="202"/>
  <c r="BC306" i="202"/>
  <c r="BC307" i="202"/>
  <c r="BC308" i="202"/>
  <c r="BC309" i="202"/>
  <c r="BC310" i="202"/>
  <c r="BC311" i="202"/>
  <c r="BC312" i="202"/>
  <c r="BC313" i="202"/>
  <c r="BC314" i="202"/>
  <c r="BC315" i="202"/>
  <c r="BC316" i="202"/>
  <c r="BC317" i="202"/>
  <c r="BC318" i="202"/>
  <c r="BC319" i="202"/>
  <c r="BC320" i="202"/>
  <c r="BC321" i="202"/>
  <c r="BC322" i="202"/>
  <c r="BC323" i="202"/>
  <c r="BC324" i="202"/>
  <c r="BC325" i="202"/>
  <c r="BC326" i="202"/>
  <c r="BC327" i="202"/>
  <c r="BC328" i="202"/>
  <c r="BC329" i="202"/>
  <c r="BC330" i="202"/>
  <c r="BC331" i="202"/>
  <c r="BC332" i="202"/>
  <c r="BC333" i="202"/>
  <c r="BC334" i="202"/>
  <c r="BC335" i="202"/>
  <c r="BC336" i="202"/>
  <c r="BC337" i="202"/>
  <c r="BC338" i="202"/>
  <c r="BC339" i="202"/>
  <c r="BC340" i="202"/>
  <c r="BC341" i="202"/>
  <c r="BC342" i="202"/>
  <c r="BC343" i="202"/>
  <c r="BC344" i="202"/>
  <c r="BC345" i="202"/>
  <c r="BC346" i="202"/>
  <c r="BC347" i="202"/>
  <c r="BC348" i="202"/>
  <c r="BC349" i="202"/>
  <c r="BC350" i="202"/>
  <c r="BC351" i="202"/>
  <c r="BC352" i="202"/>
  <c r="BC353" i="202"/>
  <c r="BC354" i="202"/>
  <c r="BC355" i="202"/>
  <c r="BC356" i="202"/>
  <c r="BC357" i="202"/>
  <c r="BC358" i="202"/>
  <c r="BC359" i="202"/>
  <c r="BC360" i="202"/>
  <c r="BC361" i="202"/>
  <c r="BC362" i="202"/>
  <c r="BC363" i="202"/>
  <c r="BC364" i="202"/>
  <c r="BC365" i="202"/>
  <c r="BC366" i="202"/>
  <c r="BC367" i="202"/>
  <c r="BC368" i="202"/>
  <c r="BC369" i="202"/>
  <c r="BC370" i="202"/>
  <c r="BC371" i="202"/>
  <c r="BC372" i="202"/>
  <c r="BC373" i="202"/>
  <c r="BC374" i="202"/>
  <c r="BC375" i="202"/>
  <c r="BC376" i="202"/>
  <c r="BC377" i="202"/>
  <c r="BC378" i="202"/>
  <c r="BC379" i="202"/>
  <c r="BC380" i="202"/>
  <c r="BC381" i="202"/>
  <c r="BC382" i="202"/>
  <c r="BC383" i="202"/>
  <c r="BC384" i="202"/>
  <c r="BC385" i="202"/>
  <c r="BC386" i="202"/>
  <c r="BC387" i="202"/>
  <c r="BC388" i="202"/>
  <c r="BC389" i="202"/>
  <c r="BC390" i="202"/>
  <c r="BC391" i="202"/>
  <c r="BC392" i="202"/>
  <c r="BC393" i="202"/>
  <c r="BC394" i="202"/>
  <c r="BC395" i="202"/>
  <c r="BC396" i="202"/>
  <c r="BC397" i="202"/>
  <c r="BC398" i="202"/>
  <c r="BC399" i="202"/>
  <c r="BC400" i="202"/>
  <c r="BC401" i="202"/>
  <c r="BC402" i="202"/>
  <c r="BC403" i="202"/>
  <c r="BC404" i="202"/>
  <c r="BC405" i="202"/>
  <c r="BC406" i="202"/>
  <c r="BC407" i="202"/>
  <c r="BC408" i="202"/>
  <c r="BC409" i="202"/>
  <c r="BC410" i="202"/>
  <c r="BC411" i="202"/>
  <c r="BC412" i="202"/>
  <c r="BC413" i="202"/>
  <c r="BC414" i="202"/>
  <c r="BC415" i="202"/>
  <c r="BC416" i="202"/>
  <c r="BC417" i="202"/>
  <c r="BC418" i="202"/>
  <c r="BC419" i="202"/>
  <c r="BC420" i="202"/>
  <c r="BC421" i="202"/>
  <c r="BC422" i="202"/>
  <c r="BC423" i="202"/>
  <c r="BC424" i="202"/>
  <c r="BC425" i="202"/>
  <c r="BC426" i="202"/>
  <c r="BC427" i="202"/>
  <c r="BC428" i="202"/>
  <c r="BC429" i="202"/>
  <c r="BC430" i="202"/>
  <c r="BC431" i="202"/>
  <c r="BC432" i="202"/>
  <c r="BC433" i="202"/>
  <c r="BC434" i="202"/>
  <c r="BC435" i="202"/>
  <c r="BC436" i="202"/>
  <c r="BC437" i="202"/>
  <c r="BC438" i="202"/>
  <c r="BC439" i="202"/>
  <c r="BC440" i="202"/>
  <c r="BC441" i="202"/>
  <c r="BC442" i="202"/>
  <c r="BC443" i="202"/>
  <c r="BC444" i="202"/>
  <c r="BC445" i="202"/>
  <c r="BC446" i="202"/>
  <c r="BC447" i="202"/>
  <c r="BC448" i="202"/>
  <c r="BC449" i="202"/>
  <c r="BC450" i="202"/>
  <c r="BC451" i="202"/>
  <c r="BC452" i="202"/>
  <c r="BC453" i="202"/>
  <c r="BC454" i="202"/>
  <c r="BC455" i="202"/>
  <c r="BC456" i="202"/>
  <c r="BC457" i="202"/>
  <c r="BC458" i="202"/>
  <c r="BC459" i="202"/>
  <c r="BC460" i="202"/>
  <c r="BC461" i="202"/>
  <c r="BC462" i="202"/>
  <c r="BC463" i="202"/>
  <c r="BC464" i="202"/>
  <c r="BC465" i="202"/>
  <c r="BC466" i="202"/>
  <c r="BC467" i="202"/>
  <c r="BC468" i="202"/>
  <c r="BC469" i="202"/>
  <c r="BC470" i="202"/>
  <c r="BC471" i="202"/>
  <c r="BC472" i="202"/>
  <c r="BC473" i="202"/>
  <c r="BC474" i="202"/>
  <c r="BC475" i="202"/>
  <c r="BC476" i="202"/>
  <c r="BC477" i="202"/>
  <c r="BC478" i="202"/>
  <c r="BC479" i="202"/>
  <c r="BC480" i="202"/>
  <c r="BC481" i="202"/>
  <c r="BC482" i="202"/>
  <c r="BC483" i="202"/>
  <c r="BC484" i="202"/>
  <c r="BC485" i="202"/>
  <c r="BC486" i="202"/>
  <c r="BC487" i="202"/>
  <c r="BC488" i="202"/>
  <c r="BC489" i="202"/>
  <c r="BC490" i="202"/>
  <c r="BC491" i="202"/>
  <c r="BC492" i="202"/>
  <c r="BC493" i="202"/>
  <c r="BC494" i="202"/>
  <c r="BC495" i="202"/>
  <c r="BC496" i="202"/>
  <c r="BC497" i="202"/>
  <c r="BC498" i="202"/>
  <c r="BC499" i="202"/>
  <c r="BC500" i="202"/>
  <c r="BC501" i="202"/>
  <c r="BC502" i="202"/>
  <c r="BC503" i="202"/>
  <c r="BC504" i="202"/>
  <c r="BC505" i="202"/>
  <c r="BC506" i="202"/>
  <c r="BC507" i="202"/>
  <c r="BC508" i="202"/>
  <c r="BC509" i="202"/>
  <c r="BC510" i="202"/>
  <c r="BC511" i="202"/>
  <c r="BC512" i="202"/>
  <c r="BC513" i="202"/>
  <c r="BC514" i="202"/>
  <c r="BC515" i="202"/>
  <c r="BC516" i="202"/>
  <c r="BC517" i="202"/>
  <c r="BC518" i="202"/>
  <c r="BC519" i="202"/>
  <c r="BC520" i="202"/>
  <c r="BC521" i="202"/>
  <c r="BC522" i="202"/>
  <c r="BC523" i="202"/>
  <c r="BC524" i="202"/>
  <c r="BC525" i="202"/>
  <c r="BC526" i="202"/>
  <c r="BC527" i="202"/>
  <c r="BC528" i="202"/>
  <c r="BC529" i="202"/>
  <c r="BC530" i="202"/>
  <c r="BC531" i="202"/>
  <c r="BC532" i="202"/>
  <c r="BC533" i="202"/>
  <c r="BC534" i="202"/>
  <c r="BC535" i="202"/>
  <c r="BC536" i="202"/>
  <c r="BC537" i="202"/>
  <c r="BC538" i="202"/>
  <c r="BC539" i="202"/>
  <c r="BC540" i="202"/>
  <c r="BC541" i="202"/>
  <c r="BC542" i="202"/>
  <c r="BC543" i="202"/>
  <c r="BC544" i="202"/>
  <c r="BC545" i="202"/>
  <c r="BC546" i="202"/>
  <c r="BC547" i="202"/>
  <c r="BC548" i="202"/>
  <c r="BC549" i="202"/>
  <c r="BC550" i="202"/>
  <c r="BC551" i="202"/>
  <c r="BC552" i="202"/>
  <c r="BC553" i="202"/>
  <c r="BC554" i="202"/>
  <c r="BC555" i="202"/>
  <c r="BC556" i="202"/>
  <c r="BC557" i="202"/>
  <c r="BC558" i="202"/>
  <c r="BC559" i="202"/>
  <c r="BC560" i="202"/>
  <c r="BC561" i="202"/>
  <c r="BC562" i="202"/>
  <c r="BC563" i="202"/>
  <c r="BC564" i="202"/>
  <c r="BC565" i="202"/>
  <c r="BC566" i="202"/>
  <c r="BC567" i="202"/>
  <c r="BC568" i="202"/>
  <c r="BC569" i="202"/>
  <c r="BC570" i="202"/>
  <c r="BC571" i="202"/>
  <c r="BC572" i="202"/>
  <c r="BC573" i="202"/>
  <c r="BC574" i="202"/>
  <c r="BC575" i="202"/>
  <c r="BC576" i="202"/>
  <c r="BC577" i="202"/>
  <c r="BC578" i="202"/>
  <c r="BC579" i="202"/>
  <c r="BC580" i="202"/>
  <c r="BC581" i="202"/>
  <c r="BC582" i="202"/>
  <c r="BC583" i="202"/>
  <c r="BC584" i="202"/>
  <c r="BC585" i="202"/>
  <c r="BC586" i="202"/>
  <c r="BC587" i="202"/>
  <c r="BC588" i="202"/>
  <c r="BC589" i="202"/>
  <c r="BC590" i="202"/>
  <c r="BC591" i="202"/>
  <c r="BC592" i="202"/>
  <c r="BC593" i="202"/>
  <c r="BC594" i="202"/>
  <c r="BC595" i="202"/>
  <c r="BC596" i="202"/>
  <c r="BC597" i="202"/>
  <c r="BC598" i="202"/>
  <c r="BC599" i="202"/>
  <c r="BC600" i="202"/>
  <c r="BC601" i="202"/>
  <c r="BC602" i="202"/>
  <c r="BC603" i="202"/>
  <c r="BC604" i="202"/>
  <c r="BC605" i="202"/>
  <c r="BC606" i="202"/>
  <c r="BC607" i="202"/>
  <c r="BC608" i="202"/>
  <c r="BC609" i="202"/>
  <c r="BC610" i="202"/>
  <c r="BC611" i="202"/>
  <c r="BC612" i="202"/>
  <c r="BC613" i="202"/>
  <c r="BC614" i="202"/>
  <c r="BC615" i="202"/>
  <c r="BC616" i="202"/>
  <c r="BC617" i="202"/>
  <c r="BC618" i="202"/>
  <c r="BC619" i="202"/>
  <c r="BC620" i="202"/>
  <c r="BC621" i="202"/>
  <c r="BC622" i="202"/>
  <c r="BC623" i="202"/>
  <c r="BC624" i="202"/>
  <c r="BC625" i="202"/>
  <c r="BC626" i="202"/>
  <c r="BC627" i="202"/>
  <c r="BC628" i="202"/>
  <c r="BC629" i="202"/>
  <c r="BC630" i="202"/>
  <c r="BC631" i="202"/>
  <c r="BC632" i="202"/>
  <c r="BC633" i="202"/>
  <c r="BC634" i="202"/>
  <c r="BC635" i="202"/>
  <c r="BC636" i="202"/>
  <c r="BC637" i="202"/>
  <c r="BC638" i="202"/>
  <c r="BC639" i="202"/>
  <c r="BC640" i="202"/>
  <c r="BC641" i="202"/>
  <c r="BC642" i="202"/>
  <c r="BC643" i="202"/>
  <c r="BC644" i="202"/>
  <c r="BC645" i="202"/>
  <c r="BC646" i="202"/>
  <c r="BC647" i="202"/>
  <c r="BC648" i="202"/>
  <c r="BC649" i="202"/>
  <c r="BC650" i="202"/>
  <c r="BC651" i="202"/>
  <c r="BC652" i="202"/>
  <c r="BC653" i="202"/>
  <c r="BC654" i="202"/>
  <c r="BC655" i="202"/>
  <c r="BC656" i="202"/>
  <c r="BC657" i="202"/>
  <c r="BC658" i="202"/>
  <c r="BC659" i="202"/>
  <c r="BC660" i="202"/>
  <c r="BC661" i="202"/>
  <c r="BC662" i="202"/>
  <c r="BC663" i="202"/>
  <c r="BC664" i="202"/>
  <c r="BC665" i="202"/>
  <c r="BC666" i="202"/>
  <c r="BC667" i="202"/>
  <c r="BC668" i="202"/>
  <c r="BC669" i="202"/>
  <c r="BC670" i="202"/>
  <c r="BC671" i="202"/>
  <c r="BC672" i="202"/>
  <c r="BC673" i="202"/>
  <c r="BC674" i="202"/>
  <c r="BC675" i="202"/>
  <c r="BC676" i="202"/>
  <c r="BC677" i="202"/>
  <c r="BC678" i="202"/>
  <c r="BC679" i="202"/>
  <c r="BC680" i="202"/>
  <c r="BC681" i="202"/>
  <c r="BC682" i="202"/>
  <c r="BC683" i="202"/>
  <c r="BC684" i="202"/>
  <c r="BC685" i="202"/>
  <c r="BC686" i="202"/>
  <c r="BC687" i="202"/>
  <c r="BC688" i="202"/>
  <c r="BC689" i="202"/>
  <c r="BC690" i="202"/>
  <c r="BC691" i="202"/>
  <c r="BC692" i="202"/>
  <c r="BC693" i="202"/>
  <c r="BC694" i="202"/>
  <c r="BC695" i="202"/>
  <c r="BC696" i="202"/>
  <c r="BC697" i="202"/>
  <c r="BC698" i="202"/>
  <c r="BC699" i="202"/>
  <c r="BC700" i="202"/>
  <c r="BC701" i="202"/>
  <c r="BC702" i="202"/>
  <c r="BC703" i="202"/>
  <c r="BC704" i="202"/>
  <c r="BC705" i="202"/>
  <c r="BC706" i="202"/>
  <c r="BC707" i="202"/>
  <c r="BC708" i="202"/>
  <c r="BC709" i="202"/>
  <c r="BC710" i="202"/>
  <c r="BC711" i="202"/>
  <c r="BC712" i="202"/>
  <c r="BC713" i="202"/>
  <c r="BC714" i="202"/>
  <c r="BC715" i="202"/>
  <c r="BC716" i="202"/>
  <c r="BC717" i="202"/>
  <c r="BC718" i="202"/>
  <c r="BC719" i="202"/>
  <c r="BC720" i="202"/>
  <c r="BC721" i="202"/>
  <c r="BC722" i="202"/>
  <c r="BC723" i="202"/>
  <c r="BC724" i="202"/>
  <c r="BC725" i="202"/>
  <c r="BC726" i="202"/>
  <c r="BC727" i="202"/>
  <c r="BC728" i="202"/>
  <c r="BC729" i="202"/>
  <c r="BC730" i="202"/>
  <c r="BC731" i="202"/>
  <c r="BC732" i="202"/>
  <c r="BC733" i="202"/>
  <c r="BC734" i="202"/>
  <c r="BC735" i="202"/>
  <c r="BC736" i="202"/>
  <c r="BC737" i="202"/>
  <c r="BC738" i="202"/>
  <c r="BC739" i="202"/>
  <c r="BC740" i="202"/>
  <c r="BC741" i="202"/>
  <c r="BC742" i="202"/>
  <c r="BC743" i="202"/>
  <c r="BC744" i="202"/>
  <c r="BC745" i="202"/>
  <c r="BC746" i="202"/>
  <c r="BC747" i="202"/>
  <c r="BC748" i="202"/>
  <c r="BC749" i="202"/>
  <c r="BC750" i="202"/>
  <c r="BC751" i="202"/>
  <c r="BC752" i="202"/>
  <c r="BC753" i="202"/>
  <c r="BC754" i="202"/>
  <c r="BC755" i="202"/>
  <c r="BC756" i="202"/>
  <c r="BC757" i="202"/>
  <c r="BC758" i="202"/>
  <c r="BC759" i="202"/>
  <c r="BC760" i="202"/>
  <c r="BC761" i="202"/>
  <c r="BC762" i="202"/>
  <c r="BC763" i="202"/>
  <c r="BC764" i="202"/>
  <c r="BC765" i="202"/>
  <c r="BC766" i="202"/>
  <c r="BC767" i="202"/>
  <c r="BC768" i="202"/>
  <c r="BC769" i="202"/>
  <c r="BC770" i="202"/>
  <c r="BC771" i="202"/>
  <c r="BC772" i="202"/>
  <c r="BC773" i="202"/>
  <c r="BC774" i="202"/>
  <c r="BC775" i="202"/>
  <c r="BC776" i="202"/>
  <c r="BC777" i="202"/>
  <c r="BC778" i="202"/>
  <c r="BC779" i="202"/>
  <c r="BC780" i="202"/>
  <c r="BC781" i="202"/>
  <c r="BC782" i="202"/>
  <c r="BC783" i="202"/>
  <c r="BC784" i="202"/>
  <c r="BC785" i="202"/>
  <c r="BC786" i="202"/>
  <c r="BC787" i="202"/>
  <c r="BC788" i="202"/>
  <c r="BC789" i="202"/>
  <c r="BC790" i="202"/>
  <c r="BC791" i="202"/>
  <c r="BC792" i="202"/>
  <c r="BC793" i="202"/>
  <c r="BC794" i="202"/>
  <c r="BC795" i="202"/>
  <c r="BC796" i="202"/>
  <c r="BC797" i="202"/>
  <c r="BC798" i="202"/>
  <c r="BC799" i="202"/>
  <c r="BC800" i="202"/>
  <c r="BC801" i="202"/>
  <c r="BC802" i="202"/>
  <c r="BC803" i="202"/>
  <c r="BC804" i="202"/>
  <c r="BC805" i="202"/>
  <c r="BC806" i="202"/>
  <c r="BC807" i="202"/>
  <c r="BC808" i="202"/>
  <c r="BC809" i="202"/>
  <c r="BC810" i="202"/>
  <c r="BC811" i="202"/>
  <c r="BC812" i="202"/>
  <c r="BC813" i="202"/>
  <c r="BC814" i="202"/>
  <c r="BC815" i="202"/>
  <c r="BC816" i="202"/>
  <c r="BC817" i="202"/>
  <c r="BC818" i="202"/>
  <c r="BC819" i="202"/>
  <c r="BC820" i="202"/>
  <c r="BC821" i="202"/>
  <c r="BC822" i="202"/>
  <c r="BC823" i="202"/>
  <c r="BC824" i="202"/>
  <c r="BC825" i="202"/>
  <c r="BC826" i="202"/>
  <c r="BC827" i="202"/>
  <c r="BC828" i="202"/>
  <c r="BC829" i="202"/>
  <c r="BC830" i="202"/>
  <c r="BC831" i="202"/>
  <c r="BC832" i="202"/>
  <c r="BC833" i="202"/>
  <c r="BC834" i="202"/>
  <c r="BC835" i="202"/>
  <c r="BC836" i="202"/>
  <c r="BC837" i="202"/>
  <c r="BC838" i="202"/>
  <c r="BC839" i="202"/>
  <c r="BC840" i="202"/>
  <c r="BC841" i="202"/>
  <c r="BC842" i="202"/>
  <c r="BC843" i="202"/>
  <c r="BC844" i="202"/>
  <c r="BC845" i="202"/>
  <c r="BC846" i="202"/>
  <c r="BC847" i="202"/>
  <c r="BC848" i="202"/>
  <c r="BC849" i="202"/>
  <c r="BC850" i="202"/>
  <c r="BC851" i="202"/>
  <c r="BC852" i="202"/>
  <c r="BC853" i="202"/>
  <c r="BC854" i="202"/>
  <c r="BC855" i="202"/>
  <c r="BC856" i="202"/>
  <c r="BC857" i="202"/>
  <c r="BC858" i="202"/>
  <c r="BC859" i="202"/>
  <c r="BC860" i="202"/>
  <c r="BC861" i="202"/>
  <c r="BC862" i="202"/>
  <c r="BC863" i="202"/>
  <c r="BC864" i="202"/>
  <c r="BC865" i="202"/>
  <c r="BC866" i="202"/>
  <c r="BC867" i="202"/>
  <c r="BC868" i="202"/>
  <c r="BC869" i="202"/>
  <c r="BC870" i="202"/>
  <c r="BC871" i="202"/>
  <c r="BC872" i="202"/>
  <c r="BC873" i="202"/>
  <c r="BC874" i="202"/>
  <c r="BC875" i="202"/>
  <c r="BC876" i="202"/>
  <c r="BC877" i="202"/>
  <c r="BC878" i="202"/>
  <c r="BC879" i="202"/>
  <c r="BC880" i="202"/>
  <c r="BC881" i="202"/>
  <c r="BC882" i="202"/>
  <c r="BC883" i="202"/>
  <c r="BC884" i="202"/>
  <c r="BC885" i="202"/>
  <c r="BC886" i="202"/>
  <c r="BC887" i="202"/>
  <c r="BC888" i="202"/>
  <c r="BC889" i="202"/>
  <c r="BC890" i="202"/>
  <c r="BC891" i="202"/>
  <c r="BC892" i="202"/>
  <c r="BC893" i="202"/>
  <c r="BC894" i="202"/>
  <c r="BC895" i="202"/>
  <c r="BC896" i="202"/>
  <c r="BC897" i="202"/>
  <c r="BC898" i="202"/>
  <c r="BC899" i="202"/>
  <c r="BC900" i="202"/>
  <c r="BC901" i="202"/>
  <c r="BC902" i="202"/>
  <c r="BC903" i="202"/>
  <c r="BC904" i="202"/>
  <c r="BC905" i="202"/>
  <c r="BC906" i="202"/>
  <c r="BC907" i="202"/>
  <c r="BC908" i="202"/>
  <c r="BC909" i="202"/>
  <c r="BC910" i="202"/>
  <c r="BC911" i="202"/>
  <c r="BC912" i="202"/>
  <c r="BC913" i="202"/>
  <c r="BC914" i="202"/>
  <c r="BC915" i="202"/>
  <c r="BC916" i="202"/>
  <c r="BC917" i="202"/>
  <c r="BC918" i="202"/>
  <c r="BC919" i="202"/>
  <c r="BC920" i="202"/>
  <c r="BC921" i="202"/>
  <c r="BC922" i="202"/>
  <c r="BC923" i="202"/>
  <c r="BC924" i="202"/>
  <c r="BC925" i="202"/>
  <c r="BC926" i="202"/>
  <c r="BC927" i="202"/>
  <c r="BC928" i="202"/>
  <c r="BC929" i="202"/>
  <c r="BC930" i="202"/>
  <c r="BC931" i="202"/>
  <c r="BC932" i="202"/>
  <c r="BC933" i="202"/>
  <c r="BC934" i="202"/>
  <c r="BC935" i="202"/>
  <c r="BC936" i="202"/>
  <c r="BC937" i="202"/>
  <c r="BC938" i="202"/>
  <c r="BC939" i="202"/>
  <c r="BC940" i="202"/>
  <c r="BC941" i="202"/>
  <c r="BC942" i="202"/>
  <c r="BC943" i="202"/>
  <c r="BC944" i="202"/>
  <c r="BC945" i="202"/>
  <c r="BC946" i="202"/>
  <c r="BC947" i="202"/>
  <c r="BC948" i="202"/>
  <c r="BC949" i="202"/>
  <c r="BC950" i="202"/>
  <c r="BC951" i="202"/>
  <c r="BC952" i="202"/>
  <c r="BC953" i="202"/>
  <c r="BC954" i="202"/>
  <c r="BC955" i="202"/>
  <c r="BC956" i="202"/>
  <c r="BC957" i="202"/>
  <c r="BC958" i="202"/>
  <c r="BC959" i="202"/>
  <c r="BC960" i="202"/>
  <c r="BC961" i="202"/>
  <c r="BC962" i="202"/>
  <c r="BC963" i="202"/>
  <c r="BC964" i="202"/>
  <c r="BC965" i="202"/>
  <c r="BC966" i="202"/>
  <c r="BC967" i="202"/>
  <c r="BC968" i="202"/>
  <c r="BC969" i="202"/>
  <c r="BC970" i="202"/>
  <c r="BC971" i="202"/>
  <c r="BC972" i="202"/>
  <c r="BC973" i="202"/>
  <c r="BC974" i="202"/>
  <c r="BC975" i="202"/>
  <c r="BC976" i="202"/>
  <c r="BC977" i="202"/>
  <c r="BC978" i="202"/>
  <c r="BC979" i="202"/>
  <c r="BC980" i="202"/>
  <c r="BC981" i="202"/>
  <c r="BC982" i="202"/>
  <c r="BC983" i="202"/>
  <c r="BC984" i="202"/>
  <c r="BC985" i="202"/>
  <c r="BC986" i="202"/>
  <c r="BC987" i="202"/>
  <c r="BC988" i="202"/>
  <c r="BC989" i="202"/>
  <c r="BC990" i="202"/>
  <c r="BC991" i="202"/>
  <c r="BC992" i="202"/>
  <c r="BC993" i="202"/>
  <c r="BC994" i="202"/>
  <c r="BC995" i="202"/>
  <c r="BC996" i="202"/>
  <c r="BC997" i="202"/>
  <c r="BC998" i="202"/>
  <c r="BC999" i="202"/>
  <c r="BC1000" i="202"/>
  <c r="BC1001" i="202"/>
  <c r="BC1002" i="202"/>
  <c r="BC1003" i="202"/>
  <c r="BC1004" i="202"/>
  <c r="BC1005" i="202"/>
  <c r="BC1006" i="202"/>
  <c r="BC1007" i="202"/>
  <c r="BC1008" i="202"/>
  <c r="BC1009" i="202"/>
  <c r="BC1010" i="202"/>
  <c r="BC1011" i="202"/>
  <c r="BC1012" i="202"/>
  <c r="BC1013" i="202"/>
  <c r="BC1014" i="202"/>
  <c r="BC1015" i="202"/>
  <c r="BC1016" i="202"/>
  <c r="BC1017" i="202"/>
  <c r="BC1018" i="202"/>
  <c r="BC1019" i="202"/>
  <c r="BC1020" i="202"/>
  <c r="BC1021" i="202"/>
  <c r="BC1022" i="202"/>
  <c r="BC1023" i="202"/>
  <c r="BC1024" i="202"/>
  <c r="BC1025" i="202"/>
  <c r="BC1026" i="202"/>
  <c r="BC1027" i="202"/>
  <c r="BC1028" i="202"/>
  <c r="BC1029" i="202"/>
  <c r="BC1030" i="202"/>
  <c r="BC1031" i="202"/>
  <c r="BC1032" i="202"/>
  <c r="BC1033" i="202"/>
  <c r="BC1034" i="202"/>
  <c r="BC1035" i="202"/>
  <c r="BC1036" i="202"/>
  <c r="BC1037" i="202"/>
  <c r="BC1038" i="202"/>
  <c r="BC1039" i="202"/>
  <c r="BC1040" i="202"/>
  <c r="BC1041" i="202"/>
  <c r="BC1042" i="202"/>
  <c r="BC1043" i="202"/>
  <c r="BC1044" i="202"/>
  <c r="BC1045" i="202"/>
  <c r="BC1046" i="202"/>
  <c r="BC1047" i="202"/>
  <c r="BC1048" i="202"/>
  <c r="BC1049" i="202"/>
  <c r="BC1050" i="202"/>
  <c r="BC1051" i="202"/>
  <c r="BC1052" i="202"/>
  <c r="BC1053" i="202"/>
  <c r="BC1054" i="202"/>
  <c r="BC1055" i="202"/>
  <c r="BC1056" i="202"/>
  <c r="BC1057" i="202"/>
  <c r="BC1058" i="202"/>
  <c r="BC1059" i="202"/>
  <c r="BC1060" i="202"/>
  <c r="BC1061" i="202"/>
  <c r="BC1062" i="202"/>
  <c r="BC1063" i="202"/>
  <c r="BC1064" i="202"/>
  <c r="BC1065" i="202"/>
  <c r="BC1066" i="202"/>
  <c r="BC1067" i="202"/>
  <c r="BC1068" i="202"/>
  <c r="BC1069" i="202"/>
  <c r="BC1070" i="202"/>
  <c r="BC1071" i="202"/>
  <c r="BC1072" i="202"/>
  <c r="BC1073" i="202"/>
  <c r="BC1074" i="202"/>
  <c r="BC1075" i="202"/>
  <c r="BC1076" i="202"/>
  <c r="BC1077" i="202"/>
  <c r="BC1078" i="202"/>
  <c r="BC1079" i="202"/>
  <c r="BC1080" i="202"/>
  <c r="BC1081" i="202"/>
  <c r="BC1082" i="202"/>
  <c r="BC1083" i="202"/>
  <c r="BC1084" i="202"/>
  <c r="BC1085" i="202"/>
  <c r="BC1086" i="202"/>
  <c r="BC1087" i="202"/>
  <c r="BC1088" i="202"/>
  <c r="BC1089" i="202"/>
  <c r="BC1090" i="202"/>
  <c r="BC1091" i="202"/>
  <c r="BC1092" i="202"/>
  <c r="BC1093" i="202"/>
  <c r="BC1094" i="202"/>
  <c r="BC1095" i="202"/>
  <c r="BC1096" i="202"/>
  <c r="BC1097" i="202"/>
  <c r="BC1098" i="202"/>
  <c r="BC1099" i="202"/>
  <c r="BC1100" i="202"/>
  <c r="BC1101" i="202"/>
  <c r="BC1102" i="202"/>
  <c r="BC1103" i="202"/>
  <c r="BC1104" i="202"/>
  <c r="BC1105" i="202"/>
  <c r="BC1106" i="202"/>
  <c r="BC1107" i="202"/>
  <c r="BC1108" i="202"/>
  <c r="BC1109" i="202"/>
  <c r="BC1110" i="202"/>
  <c r="BC1111" i="202"/>
  <c r="BC1112" i="202"/>
  <c r="BC1113" i="202"/>
  <c r="BC1114" i="202"/>
  <c r="BC1115" i="202"/>
  <c r="BC1116" i="202"/>
  <c r="BC1117" i="202"/>
  <c r="BC1118" i="202"/>
  <c r="BC1119" i="202"/>
  <c r="BC1120" i="202"/>
  <c r="BC1121" i="202"/>
  <c r="BC1122" i="202"/>
  <c r="BC1123" i="202"/>
  <c r="BC1124" i="202"/>
  <c r="BC1125" i="202"/>
  <c r="BC1126" i="202"/>
  <c r="BC1127" i="202"/>
  <c r="BC1128" i="202"/>
  <c r="BC1129" i="202"/>
  <c r="BC1130" i="202"/>
  <c r="BC1131" i="202"/>
  <c r="BC1132" i="202"/>
  <c r="BC1133" i="202"/>
  <c r="BC1134" i="202"/>
  <c r="BC1135" i="202"/>
  <c r="BC1136" i="202"/>
  <c r="BC1137" i="202"/>
  <c r="BC1138" i="202"/>
  <c r="BC1139" i="202"/>
  <c r="BC1140" i="202"/>
  <c r="BC1141" i="202"/>
  <c r="BC1142" i="202"/>
  <c r="BC1143" i="202"/>
  <c r="BC1144" i="202"/>
  <c r="BC1145" i="202"/>
  <c r="BC1146" i="202"/>
  <c r="BC1147" i="202"/>
  <c r="BC1148" i="202"/>
  <c r="BC1149" i="202"/>
  <c r="BC1150" i="202"/>
  <c r="BC1151" i="202"/>
  <c r="BC1152" i="202"/>
  <c r="BC1153" i="202"/>
  <c r="BC1154" i="202"/>
  <c r="BC1155" i="202"/>
  <c r="BC1156" i="202"/>
  <c r="BC1157" i="202"/>
  <c r="BC1158" i="202"/>
  <c r="BC1159" i="202"/>
  <c r="BC1160" i="202"/>
  <c r="BC1161" i="202"/>
  <c r="BC1162" i="202"/>
  <c r="BC1163" i="202"/>
  <c r="BC1164" i="202"/>
  <c r="BC1165" i="202"/>
  <c r="BC1166" i="202"/>
  <c r="BC1167" i="202"/>
  <c r="BC1168" i="202"/>
  <c r="BC1169" i="202"/>
  <c r="BC1170" i="202"/>
  <c r="BC1171" i="202"/>
  <c r="BC1172" i="202"/>
  <c r="BC1173" i="202"/>
  <c r="BC1174" i="202"/>
  <c r="BC1175" i="202"/>
  <c r="BC1176" i="202"/>
  <c r="BC1177" i="202"/>
  <c r="BC1178" i="202"/>
  <c r="BC1179" i="202"/>
  <c r="BC1180" i="202"/>
  <c r="BC1181" i="202"/>
  <c r="BC1182" i="202"/>
  <c r="BC1183" i="202"/>
  <c r="BC1184" i="202"/>
  <c r="BC1185" i="202"/>
  <c r="BC1186" i="202"/>
  <c r="BC1187" i="202"/>
  <c r="BC1188" i="202"/>
  <c r="BC1189" i="202"/>
  <c r="BC1190" i="202"/>
  <c r="BC1191" i="202"/>
  <c r="BC1192" i="202"/>
  <c r="BC1193" i="202"/>
  <c r="BC1194" i="202"/>
  <c r="BC1195" i="202"/>
  <c r="BC1196" i="202"/>
  <c r="BC1197" i="202"/>
  <c r="BC1198" i="202"/>
  <c r="BC1199" i="202"/>
  <c r="BC1200" i="202"/>
  <c r="BC1201" i="202"/>
  <c r="BC1202" i="202"/>
  <c r="BC1203" i="202"/>
  <c r="BC1204" i="202"/>
  <c r="BC1205" i="202"/>
  <c r="BC1206" i="202"/>
  <c r="BC1207" i="202"/>
  <c r="BC1208" i="202"/>
  <c r="BC1209" i="202"/>
  <c r="BC1210" i="202"/>
  <c r="BC1211" i="202"/>
  <c r="BC1212" i="202"/>
  <c r="BC1213" i="202"/>
  <c r="BC1214" i="202"/>
  <c r="BC1215" i="202"/>
  <c r="BC1216" i="202"/>
  <c r="BC1217" i="202"/>
  <c r="BC1218" i="202"/>
  <c r="BC1219" i="202"/>
  <c r="BC1220" i="202"/>
  <c r="BC1221" i="202"/>
  <c r="BC1222" i="202"/>
  <c r="BC1223" i="202"/>
  <c r="BC1224" i="202"/>
  <c r="BC1225" i="202"/>
  <c r="BC1226" i="202"/>
  <c r="BC1227" i="202"/>
  <c r="BC1228" i="202"/>
  <c r="BC1229" i="202"/>
  <c r="BC1230" i="202"/>
  <c r="BC1231" i="202"/>
  <c r="BC1232" i="202"/>
  <c r="BC1233" i="202"/>
  <c r="BC1234" i="202"/>
  <c r="BC1235" i="202"/>
  <c r="BC1236" i="202"/>
  <c r="BC1237" i="202"/>
  <c r="BC1238" i="202"/>
  <c r="BC1239" i="202"/>
  <c r="BC1240" i="202"/>
  <c r="BC1241" i="202"/>
  <c r="BC1242" i="202"/>
  <c r="BC1243" i="202"/>
  <c r="BC1244" i="202"/>
  <c r="BC1245" i="202"/>
  <c r="BC1246" i="202"/>
  <c r="BC1247" i="202"/>
  <c r="BC1248" i="202"/>
  <c r="BC1249" i="202"/>
  <c r="BC1250" i="202"/>
  <c r="BC1251" i="202"/>
  <c r="BC1252" i="202"/>
  <c r="BC1253" i="202"/>
  <c r="BC1254" i="202"/>
  <c r="BC1255" i="202"/>
  <c r="BC1256" i="202"/>
  <c r="BC1257" i="202"/>
  <c r="BC1258" i="202"/>
  <c r="BC1259" i="202"/>
  <c r="BC1260" i="202"/>
  <c r="BC1261" i="202"/>
  <c r="BC1262" i="202"/>
  <c r="BC1263" i="202"/>
  <c r="BC1264" i="202"/>
  <c r="BC1265" i="202"/>
  <c r="BC1266" i="202"/>
  <c r="BC1267" i="202"/>
  <c r="BC1268" i="202"/>
  <c r="BC1269" i="202"/>
  <c r="BC1270" i="202"/>
  <c r="BC1271" i="202"/>
  <c r="BC1272" i="202"/>
  <c r="BC1273" i="202"/>
  <c r="BC1274" i="202"/>
  <c r="BC1275" i="202"/>
  <c r="BC1276" i="202"/>
  <c r="BC1277" i="202"/>
  <c r="BC1278" i="202"/>
  <c r="BC1279" i="202"/>
  <c r="BC1280" i="202"/>
  <c r="BC1281" i="202"/>
  <c r="BC1282" i="202"/>
  <c r="BC1283" i="202"/>
  <c r="BC1284" i="202"/>
  <c r="BC1285" i="202"/>
  <c r="BC1286" i="202"/>
  <c r="BC1287" i="202"/>
  <c r="BC1288" i="202"/>
  <c r="BC1289" i="202"/>
  <c r="BC1290" i="202"/>
  <c r="BC1291" i="202"/>
  <c r="BC1292" i="202"/>
  <c r="BC1293" i="202"/>
  <c r="BC1294" i="202"/>
  <c r="BC1295" i="202"/>
  <c r="BC1296" i="202"/>
  <c r="BC1297" i="202"/>
  <c r="BC1298" i="202"/>
  <c r="BC1299" i="202"/>
  <c r="BC1300" i="202"/>
  <c r="BC1301" i="202"/>
  <c r="BC1302" i="202"/>
  <c r="BC1303" i="202"/>
  <c r="BC1304" i="202"/>
  <c r="BC1305" i="202"/>
  <c r="BC1306" i="202"/>
  <c r="BC1307" i="202"/>
  <c r="BC1308" i="202"/>
  <c r="BC1309" i="202"/>
  <c r="BC1310" i="202"/>
  <c r="BC1311" i="202"/>
  <c r="BC1312" i="202"/>
  <c r="BC1313" i="202"/>
  <c r="BC1314" i="202"/>
  <c r="BC1315" i="202"/>
  <c r="BC1316" i="202"/>
  <c r="BC1317" i="202"/>
  <c r="BC1318" i="202"/>
  <c r="BC1319" i="202"/>
  <c r="BC1320" i="202"/>
  <c r="BC1321" i="202"/>
  <c r="BC1322" i="202"/>
  <c r="BC1323" i="202"/>
  <c r="BC1324" i="202"/>
  <c r="BC1325" i="202"/>
  <c r="BC1326" i="202"/>
  <c r="BC1327" i="202"/>
  <c r="BC1328" i="202"/>
  <c r="BC1329" i="202"/>
  <c r="BC1330" i="202"/>
  <c r="BC1331" i="202"/>
  <c r="BC1332" i="202"/>
  <c r="BC1333" i="202"/>
  <c r="BC1334" i="202"/>
  <c r="BC1335" i="202"/>
  <c r="BC1336" i="202"/>
  <c r="BC1337" i="202"/>
  <c r="BC1338" i="202"/>
  <c r="BC1339" i="202"/>
  <c r="BC1340" i="202"/>
  <c r="BC1341" i="202"/>
  <c r="BC1342" i="202"/>
  <c r="BC1343" i="202"/>
  <c r="BC1344" i="202"/>
  <c r="BC1345" i="202"/>
  <c r="BC1346" i="202"/>
  <c r="BC1347" i="202"/>
  <c r="BC1348" i="202"/>
  <c r="BC1349" i="202"/>
  <c r="BC1350" i="202"/>
  <c r="BC1351" i="202"/>
  <c r="BC1352" i="202"/>
  <c r="BC1353" i="202"/>
  <c r="BC1354" i="202"/>
  <c r="BC1355" i="202"/>
  <c r="BC1356" i="202"/>
  <c r="BC1357" i="202"/>
  <c r="BC1358" i="202"/>
  <c r="BC1359" i="202"/>
  <c r="BC1360" i="202"/>
  <c r="BC1361" i="202"/>
  <c r="BC1362" i="202"/>
  <c r="BC1363" i="202"/>
  <c r="BC1364" i="202"/>
  <c r="BC1365" i="202"/>
  <c r="BC1366" i="202"/>
  <c r="BC1367" i="202"/>
  <c r="BC1368" i="202"/>
  <c r="BC1369" i="202"/>
  <c r="BC1370" i="202"/>
  <c r="BC1371" i="202"/>
  <c r="BC1372" i="202"/>
  <c r="BC1373" i="202"/>
  <c r="BC1374" i="202"/>
  <c r="BC1375" i="202"/>
  <c r="BC1376" i="202"/>
  <c r="BC1377" i="202"/>
  <c r="BC1378" i="202"/>
  <c r="BC1379" i="202"/>
  <c r="BC1380" i="202"/>
  <c r="BC1381" i="202"/>
  <c r="BC1382" i="202"/>
  <c r="BC1383" i="202"/>
  <c r="BC1384" i="202"/>
  <c r="BC1385" i="202"/>
  <c r="BC1386" i="202"/>
  <c r="BC1387" i="202"/>
  <c r="BC1388" i="202"/>
  <c r="BC1389" i="202"/>
  <c r="BC1390" i="202"/>
  <c r="BC1391" i="202"/>
  <c r="BC1392" i="202"/>
  <c r="BC1393" i="202"/>
  <c r="BC1394" i="202"/>
  <c r="BC1395" i="202"/>
  <c r="BC1396" i="202"/>
  <c r="BC1397" i="202"/>
  <c r="BC1398" i="202"/>
  <c r="BC1399" i="202"/>
  <c r="BC1400" i="202"/>
  <c r="BC1401" i="202"/>
  <c r="BC1402" i="202"/>
  <c r="BC1403" i="202"/>
  <c r="BC1404" i="202"/>
  <c r="BC1405" i="202"/>
  <c r="BC1406" i="202"/>
  <c r="BC1407" i="202"/>
  <c r="BC1408" i="202"/>
  <c r="BC1409" i="202"/>
  <c r="BC1410" i="202"/>
  <c r="BC1411" i="202"/>
  <c r="BC1412" i="202"/>
  <c r="BC1413" i="202"/>
  <c r="BC1414" i="202"/>
  <c r="BC1415" i="202"/>
  <c r="BC1416" i="202"/>
  <c r="BC1417" i="202"/>
  <c r="BC1418" i="202"/>
  <c r="BC1419" i="202"/>
  <c r="BC1420" i="202"/>
  <c r="BC1421" i="202"/>
  <c r="BC1422" i="202"/>
  <c r="BC1423" i="202"/>
  <c r="BC1424" i="202"/>
  <c r="BC1425" i="202"/>
  <c r="BC1426" i="202"/>
  <c r="BC1427" i="202"/>
  <c r="BC1428" i="202"/>
  <c r="BC1429" i="202"/>
  <c r="BC1430" i="202"/>
  <c r="BC1431" i="202"/>
  <c r="BC1432" i="202"/>
  <c r="BC1433" i="202"/>
  <c r="BC1434" i="202"/>
  <c r="BC1435" i="202"/>
  <c r="BC1436" i="202"/>
  <c r="BC1437" i="202"/>
  <c r="BC1438" i="202"/>
  <c r="BC1439" i="202"/>
  <c r="BC1440" i="202"/>
  <c r="BC1441" i="202"/>
  <c r="BC1442" i="202"/>
  <c r="BC1443" i="202"/>
  <c r="BC1444" i="202"/>
  <c r="BC1445" i="202"/>
  <c r="BC1446" i="202"/>
  <c r="BC1447" i="202"/>
  <c r="BC1448" i="202"/>
  <c r="BC1449" i="202"/>
  <c r="BC1450" i="202"/>
  <c r="BC1451" i="202"/>
  <c r="BC1452" i="202"/>
  <c r="BC1453" i="202"/>
  <c r="BC1454" i="202"/>
  <c r="BC1455" i="202"/>
  <c r="BC1456" i="202"/>
  <c r="BC1457" i="202"/>
  <c r="BC1458" i="202"/>
  <c r="BC1459" i="202"/>
  <c r="BC1460" i="202"/>
  <c r="BC1461" i="202"/>
  <c r="BC1462" i="202"/>
  <c r="BC1463" i="202"/>
  <c r="BC1464" i="202"/>
  <c r="BC1465" i="202"/>
  <c r="BC1466" i="202"/>
  <c r="BC1467" i="202"/>
  <c r="BC1468" i="202"/>
  <c r="BC1469" i="202"/>
  <c r="BC1470" i="202"/>
  <c r="BC1471" i="202"/>
  <c r="BC1472" i="202"/>
  <c r="BC1473" i="202"/>
  <c r="BC1474" i="202"/>
  <c r="BC1475" i="202"/>
  <c r="BC1476" i="202"/>
  <c r="BC1477" i="202"/>
  <c r="BC1478" i="202"/>
  <c r="BC1479" i="202"/>
  <c r="BC1480" i="202"/>
  <c r="BC1481" i="202"/>
  <c r="BC1482" i="202"/>
  <c r="BC1483" i="202"/>
  <c r="BC1484" i="202"/>
  <c r="BC1485" i="202"/>
  <c r="BC1486" i="202"/>
  <c r="BC1487" i="202"/>
  <c r="BC1488" i="202"/>
  <c r="BC1489" i="202"/>
  <c r="BC1490" i="202"/>
  <c r="BC1491" i="202"/>
  <c r="BC1492" i="202"/>
  <c r="BC1493" i="202"/>
  <c r="BC1494" i="202"/>
  <c r="BC1495" i="202"/>
  <c r="BC1496" i="202"/>
  <c r="BC1497" i="202"/>
  <c r="BC1498" i="202"/>
  <c r="BC1499" i="202"/>
  <c r="BC1500" i="202"/>
  <c r="BC1501" i="202"/>
  <c r="BC1502" i="202"/>
  <c r="BC1503" i="202"/>
  <c r="BC1504" i="202"/>
  <c r="BC1505" i="202"/>
  <c r="BC1506" i="202"/>
  <c r="BC1507" i="202"/>
  <c r="BC1508" i="202"/>
  <c r="BC1509" i="202"/>
  <c r="BC1510" i="202"/>
  <c r="BC1511" i="202"/>
  <c r="BC1512" i="202"/>
  <c r="BC1513" i="202"/>
  <c r="BC1514" i="202"/>
  <c r="BC1515" i="202"/>
  <c r="BC1516" i="202"/>
  <c r="BC1517" i="202"/>
  <c r="BC1518" i="202"/>
  <c r="BC1519" i="202"/>
  <c r="BC1520" i="202"/>
  <c r="BC1521" i="202"/>
  <c r="BC1522" i="202"/>
  <c r="BC1523" i="202"/>
  <c r="BC1524" i="202"/>
  <c r="BC1525" i="202"/>
  <c r="BC1526" i="202"/>
  <c r="BC1527" i="202"/>
  <c r="BC1528" i="202"/>
  <c r="BC1529" i="202"/>
  <c r="BC1530" i="202"/>
  <c r="BC1531" i="202"/>
  <c r="BC1532" i="202"/>
  <c r="BC1533" i="202"/>
  <c r="BC1534" i="202"/>
  <c r="BC1535" i="202"/>
  <c r="BC1536" i="202"/>
  <c r="BC1537" i="202"/>
  <c r="BC1538" i="202"/>
  <c r="BC1539" i="202"/>
  <c r="BC1540" i="202"/>
  <c r="BC1541" i="202"/>
  <c r="BC1542" i="202"/>
  <c r="BC1543" i="202"/>
  <c r="BC1544" i="202"/>
  <c r="BC1545" i="202"/>
  <c r="BC1546" i="202"/>
  <c r="BC1547" i="202"/>
  <c r="BC1548" i="202"/>
  <c r="BC1549" i="202"/>
  <c r="BC1550" i="202"/>
  <c r="BC1551" i="202"/>
  <c r="BC1552" i="202"/>
  <c r="BC1553" i="202"/>
  <c r="BC1554" i="202"/>
  <c r="BC1555" i="202"/>
  <c r="BC1556" i="202"/>
  <c r="BC1557" i="202"/>
  <c r="BC1558" i="202"/>
  <c r="BC1559" i="202"/>
  <c r="BC1560" i="202"/>
  <c r="BC1561" i="202"/>
  <c r="BC1562" i="202"/>
  <c r="BC1563" i="202"/>
  <c r="BC1564" i="202"/>
  <c r="BC1565" i="202"/>
  <c r="BC1566" i="202"/>
  <c r="BC1567" i="202"/>
  <c r="BC1568" i="202"/>
  <c r="BC1569" i="202"/>
  <c r="BC1570" i="202"/>
  <c r="BC1571" i="202"/>
  <c r="BC1572" i="202"/>
  <c r="BC1573" i="202"/>
  <c r="BC1574" i="202"/>
  <c r="BC1575" i="202"/>
  <c r="BC1576" i="202"/>
  <c r="BC1577" i="202"/>
  <c r="BC1578" i="202"/>
  <c r="BC1579" i="202"/>
  <c r="BC1580" i="202"/>
  <c r="BC1581" i="202"/>
  <c r="BC1582" i="202"/>
  <c r="BC1583" i="202"/>
  <c r="BC1584" i="202"/>
  <c r="BC1585" i="202"/>
  <c r="BC1586" i="202"/>
  <c r="BC1587" i="202"/>
  <c r="BC1588" i="202"/>
  <c r="BC1589" i="202"/>
  <c r="BC1590" i="202"/>
  <c r="BC1591" i="202"/>
  <c r="BC1592" i="202"/>
  <c r="BC1593" i="202"/>
  <c r="BC1594" i="202"/>
  <c r="BC1595" i="202"/>
  <c r="BC1596" i="202"/>
  <c r="BC1597" i="202"/>
  <c r="BC1598" i="202"/>
  <c r="BC1599" i="202"/>
  <c r="BC1600" i="202"/>
  <c r="BC1601" i="202"/>
  <c r="BC1602" i="202"/>
  <c r="BC1603" i="202"/>
  <c r="BC1604" i="202"/>
  <c r="BC1605" i="202"/>
  <c r="BC1606" i="202"/>
  <c r="BC1607" i="202"/>
  <c r="BC1608" i="202"/>
  <c r="BC1609" i="202"/>
  <c r="BC1610" i="202"/>
  <c r="BC1611" i="202"/>
  <c r="BC1612" i="202"/>
  <c r="BC1613" i="202"/>
  <c r="BC1614" i="202"/>
  <c r="BC1615" i="202"/>
  <c r="BC1616" i="202"/>
  <c r="BC1617" i="202"/>
  <c r="BC1618" i="202"/>
  <c r="BC1619" i="202"/>
  <c r="BC1620" i="202"/>
  <c r="BC1621" i="202"/>
  <c r="BC1622" i="202"/>
  <c r="BC1623" i="202"/>
  <c r="BC1624" i="202"/>
  <c r="BC1625" i="202"/>
  <c r="BC1626" i="202"/>
  <c r="BC1627" i="202"/>
  <c r="BC1628" i="202"/>
  <c r="BC1629" i="202"/>
  <c r="BC1630" i="202"/>
  <c r="BC1631" i="202"/>
  <c r="BC1632" i="202"/>
  <c r="BC1633" i="202"/>
  <c r="BC1634" i="202"/>
  <c r="BC1635" i="202"/>
  <c r="BC1636" i="202"/>
  <c r="BC1637" i="202"/>
  <c r="BC1638" i="202"/>
  <c r="BC1639" i="202"/>
  <c r="BC1640" i="202"/>
  <c r="BC1641" i="202"/>
  <c r="BC1642" i="202"/>
  <c r="BC1643" i="202"/>
  <c r="BC1644" i="202"/>
  <c r="BC1645" i="202"/>
  <c r="BC1646" i="202"/>
  <c r="BC1647" i="202"/>
  <c r="BC1648" i="202"/>
  <c r="BC1649" i="202"/>
  <c r="BC1650" i="202"/>
  <c r="BC1651" i="202"/>
  <c r="BC1652" i="202"/>
  <c r="BC1653" i="202"/>
  <c r="BC1654" i="202"/>
  <c r="BC1655" i="202"/>
  <c r="BC1656" i="202"/>
  <c r="BC1657" i="202"/>
  <c r="BC1658" i="202"/>
  <c r="BC1659" i="202"/>
  <c r="BC1660" i="202"/>
  <c r="BC1661" i="202"/>
  <c r="BC1662" i="202"/>
  <c r="BC1663" i="202"/>
  <c r="BC1664" i="202"/>
  <c r="BC1665" i="202"/>
  <c r="BC1666" i="202"/>
  <c r="BC1667" i="202"/>
  <c r="BC1668" i="202"/>
  <c r="BC1669" i="202"/>
  <c r="BC1670" i="202"/>
  <c r="BC1671" i="202"/>
  <c r="BC1672" i="202"/>
  <c r="BC1673" i="202"/>
  <c r="BC1674" i="202"/>
  <c r="BC1675" i="202"/>
  <c r="BC1676" i="202"/>
  <c r="BC1677" i="202"/>
  <c r="BC1678" i="202"/>
  <c r="BC1679" i="202"/>
  <c r="BC1680" i="202"/>
  <c r="BC1681" i="202"/>
  <c r="BC1682" i="202"/>
  <c r="BC1683" i="202"/>
  <c r="BC1684" i="202"/>
  <c r="BC1685" i="202"/>
  <c r="BC1686" i="202"/>
  <c r="BC1687" i="202"/>
  <c r="BC1688" i="202"/>
  <c r="BC1689" i="202"/>
  <c r="BC1690" i="202"/>
  <c r="BC1691" i="202"/>
  <c r="BC1692" i="202"/>
  <c r="BC1693" i="202"/>
  <c r="BC1694" i="202"/>
  <c r="BC1695" i="202"/>
  <c r="BC1696" i="202"/>
  <c r="BC1697" i="202"/>
  <c r="BC1698" i="202"/>
  <c r="BC1699" i="202"/>
  <c r="BC1700" i="202"/>
  <c r="BC1701" i="202"/>
  <c r="BC1702" i="202"/>
  <c r="BC1703" i="202"/>
  <c r="BC1704" i="202"/>
  <c r="BC1705" i="202"/>
  <c r="BC1706" i="202"/>
  <c r="BC1707" i="202"/>
  <c r="BC1708" i="202"/>
  <c r="BC1709" i="202"/>
  <c r="BC1710" i="202"/>
  <c r="BC1711" i="202"/>
  <c r="BC1712" i="202"/>
  <c r="BC1713" i="202"/>
  <c r="BC1714" i="202"/>
  <c r="BC1715" i="202"/>
  <c r="BC1716" i="202"/>
  <c r="BC1717" i="202"/>
  <c r="BC1718" i="202"/>
  <c r="BC1719" i="202"/>
  <c r="BC1720" i="202"/>
  <c r="BC1721" i="202"/>
  <c r="BC1722" i="202"/>
  <c r="BC1723" i="202"/>
  <c r="BC1724" i="202"/>
  <c r="BC1725" i="202"/>
  <c r="BC1726" i="202"/>
  <c r="BC1727" i="202"/>
  <c r="BC1728" i="202"/>
  <c r="BC1729" i="202"/>
  <c r="BC1730" i="202"/>
  <c r="BC1731" i="202"/>
  <c r="BC1732" i="202"/>
  <c r="BC1733" i="202"/>
  <c r="BC1734" i="202"/>
  <c r="BC1735" i="202"/>
  <c r="BC1736" i="202"/>
  <c r="BC1737" i="202"/>
  <c r="BC1738" i="202"/>
  <c r="BC1739" i="202"/>
  <c r="BC1740" i="202"/>
  <c r="BC1741" i="202"/>
  <c r="BC1742" i="202"/>
  <c r="BC1743" i="202"/>
  <c r="BC1744" i="202"/>
  <c r="BC1745" i="202"/>
  <c r="BC1746" i="202"/>
  <c r="BC1747" i="202"/>
  <c r="BC1748" i="202"/>
  <c r="BC1749" i="202"/>
  <c r="BC1750" i="202"/>
  <c r="BC1751" i="202"/>
  <c r="BC1752" i="202"/>
  <c r="BC1753" i="202"/>
  <c r="BC1754" i="202"/>
  <c r="BC1755" i="202"/>
  <c r="BC1756" i="202"/>
  <c r="BC1757" i="202"/>
  <c r="BC1758" i="202"/>
  <c r="BC1759" i="202"/>
  <c r="BC1760" i="202"/>
  <c r="BC1761" i="202"/>
  <c r="BC1762" i="202"/>
  <c r="BC1763" i="202"/>
  <c r="BC1764" i="202"/>
  <c r="BC1765" i="202"/>
  <c r="BC1766" i="202"/>
  <c r="BC1767" i="202"/>
  <c r="BC1768" i="202"/>
  <c r="BC1769" i="202"/>
  <c r="BC1770" i="202"/>
  <c r="BC1771" i="202"/>
  <c r="BC1772" i="202"/>
  <c r="BC1773" i="202"/>
  <c r="BC1774" i="202"/>
  <c r="BC1775" i="202"/>
  <c r="BC1776" i="202"/>
  <c r="BC1777" i="202"/>
  <c r="BC1778" i="202"/>
  <c r="BC1779" i="202"/>
  <c r="BC1780" i="202"/>
  <c r="BC1781" i="202"/>
  <c r="BC1782" i="202"/>
  <c r="BC1783" i="202"/>
  <c r="BC1784" i="202"/>
  <c r="BC1785" i="202"/>
  <c r="BC1786" i="202"/>
  <c r="BC1787" i="202"/>
  <c r="BC1788" i="202"/>
  <c r="BC1789" i="202"/>
  <c r="BC1790" i="202"/>
  <c r="BC1791" i="202"/>
  <c r="BC1792" i="202"/>
  <c r="BC1793" i="202"/>
  <c r="BC1794" i="202"/>
  <c r="BC1795" i="202"/>
  <c r="BC1796" i="202"/>
  <c r="BC1797" i="202"/>
  <c r="BC1798" i="202"/>
  <c r="BC1799" i="202"/>
  <c r="BC1800" i="202"/>
  <c r="BC1801" i="202"/>
  <c r="BC1802" i="202"/>
  <c r="BC1803" i="202"/>
  <c r="BC1804" i="202"/>
  <c r="BC1805" i="202"/>
  <c r="BC1806" i="202"/>
  <c r="BC1807" i="202"/>
  <c r="BC1808" i="202"/>
  <c r="BC1809" i="202"/>
  <c r="BC1810" i="202"/>
  <c r="BC1811" i="202"/>
  <c r="BC1812" i="202"/>
  <c r="BC1813" i="202"/>
  <c r="BC1814" i="202"/>
  <c r="BC1815" i="202"/>
  <c r="BC1816" i="202"/>
  <c r="BC1817" i="202"/>
  <c r="BC1818" i="202"/>
  <c r="BC1819" i="202"/>
  <c r="BC1820" i="202"/>
  <c r="BC1821" i="202"/>
  <c r="BC1822" i="202"/>
  <c r="BC1823" i="202"/>
  <c r="BC1824" i="202"/>
  <c r="BC1825" i="202"/>
  <c r="BC1826" i="202"/>
  <c r="BC1827" i="202"/>
  <c r="BC1828" i="202"/>
  <c r="BC1829" i="202"/>
  <c r="BC1830" i="202"/>
  <c r="BC1831" i="202"/>
  <c r="BC1832" i="202"/>
  <c r="BC1833" i="202"/>
  <c r="BC1834" i="202"/>
  <c r="BC1835" i="202"/>
  <c r="BC1836" i="202"/>
  <c r="BC1837" i="202"/>
  <c r="BC1838" i="202"/>
  <c r="BC1839" i="202"/>
  <c r="BC1840" i="202"/>
  <c r="BC1841" i="202"/>
  <c r="BC1842" i="202"/>
  <c r="BC1843" i="202"/>
  <c r="BC1844" i="202"/>
  <c r="BC1845" i="202"/>
  <c r="BC1846" i="202"/>
  <c r="BC1847" i="202"/>
  <c r="BC1848" i="202"/>
  <c r="BC1849" i="202"/>
  <c r="BC1850" i="202"/>
  <c r="BC1851" i="202"/>
  <c r="BC1852" i="202"/>
  <c r="BC1853" i="202"/>
  <c r="BC1854" i="202"/>
  <c r="BC1855" i="202"/>
  <c r="BC1856" i="202"/>
  <c r="BC1857" i="202"/>
  <c r="BC1858" i="202"/>
  <c r="BC1859" i="202"/>
  <c r="BC1860" i="202"/>
  <c r="BC1861" i="202"/>
  <c r="BC1862" i="202"/>
  <c r="BC1863" i="202"/>
  <c r="BC1864" i="202"/>
  <c r="BC1865" i="202"/>
  <c r="BC1866" i="202"/>
  <c r="BC1867" i="202"/>
  <c r="BC1868" i="202"/>
  <c r="BC1869" i="202"/>
  <c r="BC1870" i="202"/>
  <c r="BC1871" i="202"/>
  <c r="BC1872" i="202"/>
  <c r="BC1873" i="202"/>
  <c r="BC1874" i="202"/>
  <c r="BC1875" i="202"/>
  <c r="BC1876" i="202"/>
  <c r="BC1877" i="202"/>
  <c r="BC1878" i="202"/>
  <c r="BC1879" i="202"/>
  <c r="BC1880" i="202"/>
  <c r="BC1881" i="202"/>
  <c r="BC1882" i="202"/>
  <c r="BC1883" i="202"/>
  <c r="BC1884" i="202"/>
  <c r="BC1885" i="202"/>
  <c r="BC1886" i="202"/>
  <c r="BC1887" i="202"/>
  <c r="BC1888" i="202"/>
  <c r="BC1889" i="202"/>
  <c r="BC1890" i="202"/>
  <c r="BC1891" i="202"/>
  <c r="BC1892" i="202"/>
  <c r="BC1893" i="202"/>
  <c r="BC1894" i="202"/>
  <c r="BC1895" i="202"/>
  <c r="BC1896" i="202"/>
  <c r="BC1897" i="202"/>
  <c r="BC1898" i="202"/>
  <c r="BC1899" i="202"/>
  <c r="BC1900" i="202"/>
  <c r="BC1901" i="202"/>
  <c r="BC1902" i="202"/>
  <c r="BC1903" i="202"/>
  <c r="BC1904" i="202"/>
  <c r="BC1905" i="202"/>
  <c r="BC1906" i="202"/>
  <c r="BC1907" i="202"/>
  <c r="BC1908" i="202"/>
  <c r="BC1909" i="202"/>
  <c r="BC1910" i="202"/>
  <c r="BC1911" i="202"/>
  <c r="BC1912" i="202"/>
  <c r="BC1913" i="202"/>
  <c r="BC1914" i="202"/>
  <c r="BC1915" i="202"/>
  <c r="BC1916" i="202"/>
  <c r="BC1917" i="202"/>
  <c r="BC1918" i="202"/>
  <c r="BC1919" i="202"/>
  <c r="BC1920" i="202"/>
  <c r="BC1921" i="202"/>
  <c r="BC1922" i="202"/>
  <c r="BC1923" i="202"/>
  <c r="BC1924" i="202"/>
  <c r="BC1925" i="202"/>
  <c r="BC1926" i="202"/>
  <c r="BC1927" i="202"/>
  <c r="BC1928" i="202"/>
  <c r="BC1929" i="202"/>
  <c r="BC1930" i="202"/>
  <c r="BC1931" i="202"/>
  <c r="BC1932" i="202"/>
  <c r="BC1933" i="202"/>
  <c r="BC1934" i="202"/>
  <c r="BC1935" i="202"/>
  <c r="BC1936" i="202"/>
  <c r="BC1937" i="202"/>
  <c r="BC1938" i="202"/>
  <c r="BC1939" i="202"/>
  <c r="BC1940" i="202"/>
  <c r="BC1941" i="202"/>
  <c r="BC1942" i="202"/>
  <c r="BC1943" i="202"/>
  <c r="BC1944" i="202"/>
  <c r="BC1945" i="202"/>
  <c r="BC1946" i="202"/>
  <c r="BC1947" i="202"/>
  <c r="BC1948" i="202"/>
  <c r="BC1949" i="202"/>
  <c r="BC1950" i="202"/>
  <c r="BC1951" i="202"/>
  <c r="BC1952" i="202"/>
  <c r="BC1953" i="202"/>
  <c r="BC1954" i="202"/>
  <c r="BC1955" i="202"/>
  <c r="BC1956" i="202"/>
  <c r="BC1957" i="202"/>
  <c r="BC1958" i="202"/>
  <c r="BC1959" i="202"/>
  <c r="BC1960" i="202"/>
  <c r="BC1961" i="202"/>
  <c r="BC1962" i="202"/>
  <c r="BC1963" i="202"/>
  <c r="BC1964" i="202"/>
  <c r="BC1965" i="202"/>
  <c r="BC1966" i="202"/>
  <c r="BC1967" i="202"/>
  <c r="BC1968" i="202"/>
  <c r="BC1969" i="202"/>
  <c r="BC1970" i="202"/>
  <c r="BC1971" i="202"/>
  <c r="BC1972" i="202"/>
  <c r="BC1973" i="202"/>
  <c r="BC1974" i="202"/>
  <c r="BC1975" i="202"/>
  <c r="BC1976" i="202"/>
  <c r="BC1977" i="202"/>
  <c r="BC1978" i="202"/>
  <c r="BC1979" i="202"/>
  <c r="BC1980" i="202"/>
  <c r="BC1981" i="202"/>
  <c r="BC1982" i="202"/>
  <c r="BC1983" i="202"/>
  <c r="BC1984" i="202"/>
  <c r="BC1985" i="202"/>
  <c r="BC1986" i="202"/>
  <c r="BC1987" i="202"/>
  <c r="BC1988" i="202"/>
  <c r="BC1989" i="202"/>
  <c r="BC1990" i="202"/>
  <c r="BC1991" i="202"/>
  <c r="BC1992" i="202"/>
  <c r="BC1993" i="202"/>
  <c r="BC1994" i="202"/>
  <c r="BC1995" i="202"/>
  <c r="BC1996" i="202"/>
  <c r="BC1997" i="202"/>
  <c r="BC1998" i="202"/>
  <c r="BC1999" i="202"/>
  <c r="BC2000" i="202"/>
  <c r="BC2001" i="202"/>
  <c r="BC2002" i="202"/>
  <c r="BC2003" i="202"/>
  <c r="BC2004" i="202"/>
  <c r="BC2005" i="202"/>
  <c r="BC2006" i="202"/>
  <c r="BC2007" i="202"/>
  <c r="BC2008" i="202"/>
  <c r="BC2009" i="202"/>
  <c r="BC2010" i="202"/>
  <c r="BC2011" i="202"/>
  <c r="BC2012" i="202"/>
  <c r="BC2013" i="202"/>
  <c r="BC2014" i="202"/>
  <c r="BC2015" i="202"/>
  <c r="BC2016" i="202"/>
  <c r="BC2017" i="202"/>
  <c r="BC2018" i="202"/>
  <c r="BC2019" i="202"/>
  <c r="BC2020" i="202"/>
  <c r="BC2021" i="202"/>
  <c r="BC2022" i="202"/>
  <c r="BC2023" i="202"/>
  <c r="BC2024" i="202"/>
  <c r="BC2025" i="202"/>
  <c r="BC2026" i="202"/>
  <c r="BC2027" i="202"/>
  <c r="BC2028" i="202"/>
  <c r="BC2029" i="202"/>
  <c r="BC2030" i="202"/>
  <c r="BC2031" i="202"/>
  <c r="BC2032" i="202"/>
  <c r="BC2033" i="202"/>
  <c r="BC2034" i="202"/>
  <c r="BC2035" i="202"/>
  <c r="BC2036" i="202"/>
  <c r="BC2037" i="202"/>
  <c r="BC2038" i="202"/>
  <c r="BC2039" i="202"/>
  <c r="BC2040" i="202"/>
  <c r="BC2041" i="202"/>
  <c r="BC2042" i="202"/>
  <c r="BC2043" i="202"/>
  <c r="BC2044" i="202"/>
  <c r="BC2045" i="202"/>
  <c r="BC2046" i="202"/>
  <c r="BC2047" i="202"/>
  <c r="BC2048" i="202"/>
  <c r="AO2" i="202"/>
  <c r="AO3" i="202"/>
  <c r="AO4" i="202"/>
  <c r="AO5" i="202"/>
  <c r="AO6" i="202"/>
  <c r="AO7" i="202"/>
  <c r="AO8" i="202"/>
  <c r="AO9" i="202"/>
  <c r="AO10" i="202"/>
  <c r="AO11" i="202"/>
  <c r="AO12" i="202"/>
  <c r="AO13" i="202"/>
  <c r="AO14" i="202"/>
  <c r="AO15" i="202"/>
  <c r="AO16" i="202"/>
  <c r="AO17" i="202"/>
  <c r="AO18" i="202"/>
  <c r="AO19" i="202"/>
  <c r="AO20" i="202"/>
  <c r="AO21" i="202"/>
  <c r="AO22" i="202"/>
  <c r="AO23" i="202"/>
  <c r="AO24" i="202"/>
  <c r="AO25" i="202"/>
  <c r="AO26" i="202"/>
  <c r="AO27" i="202"/>
  <c r="AO28" i="202"/>
  <c r="AO29" i="202"/>
  <c r="AO30" i="202"/>
  <c r="AO31" i="202"/>
  <c r="AO32" i="202"/>
  <c r="AO33" i="202"/>
  <c r="AO34" i="202"/>
  <c r="AO35" i="202"/>
  <c r="AO36" i="202"/>
  <c r="AO37" i="202"/>
  <c r="AO38" i="202"/>
  <c r="AO39" i="202"/>
  <c r="AO40" i="202"/>
  <c r="AO41" i="202"/>
  <c r="AO42" i="202"/>
  <c r="AO43" i="202"/>
  <c r="AO44" i="202"/>
  <c r="AO45" i="202"/>
  <c r="AO46" i="202"/>
  <c r="AO47" i="202"/>
  <c r="AO48" i="202"/>
  <c r="AO49" i="202"/>
  <c r="AO50" i="202"/>
  <c r="AO51" i="202"/>
  <c r="AO52" i="202"/>
  <c r="AO53" i="202"/>
  <c r="AO54" i="202"/>
  <c r="AO55" i="202"/>
  <c r="AO56" i="202"/>
  <c r="AO57" i="202"/>
  <c r="AO58" i="202"/>
  <c r="AO59" i="202"/>
  <c r="AO60" i="202"/>
  <c r="AO61" i="202"/>
  <c r="AO62" i="202"/>
  <c r="AO63" i="202"/>
  <c r="AO64" i="202"/>
  <c r="AO65" i="202"/>
  <c r="AO66" i="202"/>
  <c r="AO67" i="202"/>
  <c r="AO68" i="202"/>
  <c r="AO69" i="202"/>
  <c r="AO70" i="202"/>
  <c r="AO71" i="202"/>
  <c r="AO72" i="202"/>
  <c r="AO73" i="202"/>
  <c r="AO74" i="202"/>
  <c r="AO75" i="202"/>
  <c r="AO76" i="202"/>
  <c r="AO77" i="202"/>
  <c r="AO78" i="202"/>
  <c r="AO79" i="202"/>
  <c r="AO80" i="202"/>
  <c r="AO81" i="202"/>
  <c r="AO82" i="202"/>
  <c r="AO83" i="202"/>
  <c r="AO84" i="202"/>
  <c r="AO85" i="202"/>
  <c r="AO86" i="202"/>
  <c r="AO87" i="202"/>
  <c r="AO88" i="202"/>
  <c r="AO89" i="202"/>
  <c r="AO90" i="202"/>
  <c r="AO91" i="202"/>
  <c r="AO92" i="202"/>
  <c r="AO93" i="202"/>
  <c r="AO94" i="202"/>
  <c r="AO95" i="202"/>
  <c r="AO96" i="202"/>
  <c r="AO97" i="202"/>
  <c r="AO98" i="202"/>
  <c r="AO99" i="202"/>
  <c r="AO100" i="202"/>
  <c r="AO101" i="202"/>
  <c r="AO102" i="202"/>
  <c r="AO103" i="202"/>
  <c r="AO104" i="202"/>
  <c r="AO105" i="202"/>
  <c r="AO106" i="202"/>
  <c r="AO107" i="202"/>
  <c r="AO108" i="202"/>
  <c r="AO109" i="202"/>
  <c r="AO110" i="202"/>
  <c r="AO111" i="202"/>
  <c r="AO112" i="202"/>
  <c r="AO113" i="202"/>
  <c r="AO114" i="202"/>
  <c r="AO115" i="202"/>
  <c r="AO116" i="202"/>
  <c r="AO117" i="202"/>
  <c r="AO118" i="202"/>
  <c r="AO119" i="202"/>
  <c r="AO120" i="202"/>
  <c r="AO121" i="202"/>
  <c r="AO122" i="202"/>
  <c r="AO123" i="202"/>
  <c r="AO124" i="202"/>
  <c r="AO125" i="202"/>
  <c r="AO126" i="202"/>
  <c r="AO127" i="202"/>
  <c r="AO128" i="202"/>
  <c r="AO129" i="202"/>
  <c r="AO130" i="202"/>
  <c r="AO131" i="202"/>
  <c r="AO132" i="202"/>
  <c r="AO133" i="202"/>
  <c r="AO134" i="202"/>
  <c r="AO135" i="202"/>
  <c r="AO136" i="202"/>
  <c r="AO137" i="202"/>
  <c r="AO138" i="202"/>
  <c r="AO139" i="202"/>
  <c r="AO140" i="202"/>
  <c r="AO141" i="202"/>
  <c r="AO142" i="202"/>
  <c r="AO143" i="202"/>
  <c r="AO144" i="202"/>
  <c r="AO145" i="202"/>
  <c r="AO146" i="202"/>
  <c r="AO147" i="202"/>
  <c r="AO148" i="202"/>
  <c r="AO149" i="202"/>
  <c r="AO150" i="202"/>
  <c r="AO151" i="202"/>
  <c r="AO152" i="202"/>
  <c r="AO153" i="202"/>
  <c r="AO154" i="202"/>
  <c r="AO155" i="202"/>
  <c r="AO156" i="202"/>
  <c r="AO157" i="202"/>
  <c r="AO158" i="202"/>
  <c r="AO159" i="202"/>
  <c r="AO160" i="202"/>
  <c r="AO161" i="202"/>
  <c r="AO162" i="202"/>
  <c r="AO163" i="202"/>
  <c r="AO164" i="202"/>
  <c r="AO165" i="202"/>
  <c r="AO166" i="202"/>
  <c r="AO167" i="202"/>
  <c r="AO168" i="202"/>
  <c r="AO169" i="202"/>
  <c r="AO170" i="202"/>
  <c r="AO171" i="202"/>
  <c r="AO172" i="202"/>
  <c r="AO173" i="202"/>
  <c r="AO174" i="202"/>
  <c r="AO175" i="202"/>
  <c r="AO176" i="202"/>
  <c r="AO177" i="202"/>
  <c r="AO178" i="202"/>
  <c r="AO179" i="202"/>
  <c r="AO180" i="202"/>
  <c r="AO181" i="202"/>
  <c r="AO182" i="202"/>
  <c r="AO183" i="202"/>
  <c r="AO184" i="202"/>
  <c r="AO185" i="202"/>
  <c r="AO186" i="202"/>
  <c r="AO187" i="202"/>
  <c r="AO188" i="202"/>
  <c r="AO189" i="202"/>
  <c r="AO190" i="202"/>
  <c r="AO191" i="202"/>
  <c r="AO192" i="202"/>
  <c r="AO193" i="202"/>
  <c r="AO194" i="202"/>
  <c r="AO195" i="202"/>
  <c r="AO196" i="202"/>
  <c r="AO197" i="202"/>
  <c r="AO198" i="202"/>
  <c r="AO199" i="202"/>
  <c r="AO200" i="202"/>
  <c r="AO201" i="202"/>
  <c r="AO202" i="202"/>
  <c r="AO203" i="202"/>
  <c r="AO204" i="202"/>
  <c r="AO205" i="202"/>
  <c r="AO206" i="202"/>
  <c r="AO207" i="202"/>
  <c r="AO208" i="202"/>
  <c r="AO209" i="202"/>
  <c r="AO210" i="202"/>
  <c r="AO211" i="202"/>
  <c r="AO212" i="202"/>
  <c r="AO213" i="202"/>
  <c r="AO214" i="202"/>
  <c r="AO215" i="202"/>
  <c r="AO216" i="202"/>
  <c r="AO217" i="202"/>
  <c r="AO218" i="202"/>
  <c r="AO219" i="202"/>
  <c r="AO220" i="202"/>
  <c r="AO221" i="202"/>
  <c r="AO222" i="202"/>
  <c r="AO223" i="202"/>
  <c r="AO224" i="202"/>
  <c r="AO225" i="202"/>
  <c r="AO226" i="202"/>
  <c r="AO227" i="202"/>
  <c r="AO228" i="202"/>
  <c r="AO229" i="202"/>
  <c r="AO230" i="202"/>
  <c r="AO231" i="202"/>
  <c r="AO232" i="202"/>
  <c r="AO233" i="202"/>
  <c r="AO234" i="202"/>
  <c r="AO235" i="202"/>
  <c r="AO236" i="202"/>
  <c r="AO237" i="202"/>
  <c r="AO238" i="202"/>
  <c r="AO239" i="202"/>
  <c r="AO240" i="202"/>
  <c r="AO241" i="202"/>
  <c r="AO242" i="202"/>
  <c r="AO243" i="202"/>
  <c r="AO244" i="202"/>
  <c r="AO245" i="202"/>
  <c r="AO246" i="202"/>
  <c r="AO247" i="202"/>
  <c r="AO248" i="202"/>
  <c r="AO249" i="202"/>
  <c r="AO250" i="202"/>
  <c r="AO251" i="202"/>
  <c r="AO252" i="202"/>
  <c r="AO253" i="202"/>
  <c r="AO254" i="202"/>
  <c r="AO255" i="202"/>
  <c r="AO256" i="202"/>
  <c r="AO257" i="202"/>
  <c r="AO258" i="202"/>
  <c r="AO259" i="202"/>
  <c r="AO260" i="202"/>
  <c r="AO261" i="202"/>
  <c r="AO262" i="202"/>
  <c r="AO263" i="202"/>
  <c r="AO264" i="202"/>
  <c r="AO265" i="202"/>
  <c r="AO266" i="202"/>
  <c r="AO267" i="202"/>
  <c r="AO268" i="202"/>
  <c r="AO269" i="202"/>
  <c r="AO270" i="202"/>
  <c r="AO271" i="202"/>
  <c r="AO272" i="202"/>
  <c r="AO273" i="202"/>
  <c r="AO274" i="202"/>
  <c r="AO275" i="202"/>
  <c r="AO276" i="202"/>
  <c r="AO277" i="202"/>
  <c r="AO278" i="202"/>
  <c r="AO279" i="202"/>
  <c r="AO280" i="202"/>
  <c r="AO281" i="202"/>
  <c r="AO282" i="202"/>
  <c r="AO283" i="202"/>
  <c r="AO284" i="202"/>
  <c r="AO285" i="202"/>
  <c r="AO286" i="202"/>
  <c r="AO287" i="202"/>
  <c r="AO288" i="202"/>
  <c r="AO289" i="202"/>
  <c r="AO290" i="202"/>
  <c r="AO291" i="202"/>
  <c r="AO292" i="202"/>
  <c r="AO293" i="202"/>
  <c r="AO294" i="202"/>
  <c r="AO295" i="202"/>
  <c r="AO296" i="202"/>
  <c r="AO297" i="202"/>
  <c r="AO298" i="202"/>
  <c r="AO299" i="202"/>
  <c r="AO300" i="202"/>
  <c r="AO301" i="202"/>
  <c r="AO302" i="202"/>
  <c r="AO303" i="202"/>
  <c r="AO304" i="202"/>
  <c r="AO305" i="202"/>
  <c r="AO306" i="202"/>
  <c r="AO307" i="202"/>
  <c r="AO308" i="202"/>
  <c r="AO309" i="202"/>
  <c r="AO310" i="202"/>
  <c r="AO311" i="202"/>
  <c r="AO312" i="202"/>
  <c r="AO313" i="202"/>
  <c r="AO314" i="202"/>
  <c r="AO315" i="202"/>
  <c r="AO316" i="202"/>
  <c r="AO317" i="202"/>
  <c r="AO318" i="202"/>
  <c r="AO319" i="202"/>
  <c r="AO320" i="202"/>
  <c r="AO321" i="202"/>
  <c r="AO322" i="202"/>
  <c r="AO323" i="202"/>
  <c r="AO324" i="202"/>
  <c r="AO325" i="202"/>
  <c r="AO326" i="202"/>
  <c r="AO327" i="202"/>
  <c r="AO328" i="202"/>
  <c r="AO329" i="202"/>
  <c r="AO330" i="202"/>
  <c r="AO331" i="202"/>
  <c r="AO332" i="202"/>
  <c r="AO333" i="202"/>
  <c r="AO334" i="202"/>
  <c r="AO335" i="202"/>
  <c r="AO336" i="202"/>
  <c r="AO337" i="202"/>
  <c r="AO338" i="202"/>
  <c r="AO339" i="202"/>
  <c r="AO340" i="202"/>
  <c r="AO341" i="202"/>
  <c r="AO342" i="202"/>
  <c r="AO343" i="202"/>
  <c r="AO344" i="202"/>
  <c r="AO345" i="202"/>
  <c r="AO346" i="202"/>
  <c r="AO347" i="202"/>
  <c r="AO348" i="202"/>
  <c r="AO349" i="202"/>
  <c r="AO350" i="202"/>
  <c r="AO351" i="202"/>
  <c r="AO352" i="202"/>
  <c r="AO353" i="202"/>
  <c r="AO354" i="202"/>
  <c r="AO355" i="202"/>
  <c r="AO356" i="202"/>
  <c r="AO357" i="202"/>
  <c r="AO358" i="202"/>
  <c r="AO359" i="202"/>
  <c r="AO360" i="202"/>
  <c r="AO361" i="202"/>
  <c r="AO362" i="202"/>
  <c r="AO363" i="202"/>
  <c r="AO364" i="202"/>
  <c r="AO365" i="202"/>
  <c r="AO366" i="202"/>
  <c r="AO367" i="202"/>
  <c r="AO368" i="202"/>
  <c r="AO369" i="202"/>
  <c r="AO370" i="202"/>
  <c r="AO371" i="202"/>
  <c r="AO372" i="202"/>
  <c r="AO373" i="202"/>
  <c r="AO374" i="202"/>
  <c r="AO375" i="202"/>
  <c r="AO376" i="202"/>
  <c r="AO377" i="202"/>
  <c r="AO378" i="202"/>
  <c r="AO379" i="202"/>
  <c r="AO380" i="202"/>
  <c r="AO381" i="202"/>
  <c r="AO382" i="202"/>
  <c r="AO383" i="202"/>
  <c r="AO384" i="202"/>
  <c r="AO385" i="202"/>
  <c r="AO386" i="202"/>
  <c r="AO387" i="202"/>
  <c r="AO388" i="202"/>
  <c r="AO389" i="202"/>
  <c r="AO390" i="202"/>
  <c r="AO391" i="202"/>
  <c r="AO392" i="202"/>
  <c r="AO393" i="202"/>
  <c r="AO394" i="202"/>
  <c r="AO395" i="202"/>
  <c r="AO396" i="202"/>
  <c r="AO397" i="202"/>
  <c r="AO398" i="202"/>
  <c r="AO399" i="202"/>
  <c r="AO400" i="202"/>
  <c r="AO401" i="202"/>
  <c r="AO402" i="202"/>
  <c r="AO403" i="202"/>
  <c r="AO404" i="202"/>
  <c r="AO405" i="202"/>
  <c r="AO406" i="202"/>
  <c r="AO407" i="202"/>
  <c r="AO408" i="202"/>
  <c r="AO409" i="202"/>
  <c r="AO410" i="202"/>
  <c r="AO411" i="202"/>
  <c r="AO412" i="202"/>
  <c r="AO413" i="202"/>
  <c r="AO414" i="202"/>
  <c r="AO415" i="202"/>
  <c r="AO416" i="202"/>
  <c r="AO417" i="202"/>
  <c r="AO418" i="202"/>
  <c r="AO419" i="202"/>
  <c r="AO420" i="202"/>
  <c r="AO421" i="202"/>
  <c r="AO422" i="202"/>
  <c r="AO423" i="202"/>
  <c r="AO424" i="202"/>
  <c r="AO425" i="202"/>
  <c r="AO426" i="202"/>
  <c r="AO427" i="202"/>
  <c r="AO428" i="202"/>
  <c r="AO429" i="202"/>
  <c r="AO430" i="202"/>
  <c r="AO431" i="202"/>
  <c r="AO432" i="202"/>
  <c r="AO433" i="202"/>
  <c r="AO434" i="202"/>
  <c r="AO435" i="202"/>
  <c r="AO436" i="202"/>
  <c r="AO437" i="202"/>
  <c r="AO438" i="202"/>
  <c r="AO439" i="202"/>
  <c r="AO440" i="202"/>
  <c r="AO441" i="202"/>
  <c r="AO442" i="202"/>
  <c r="AO443" i="202"/>
  <c r="AO444" i="202"/>
  <c r="AO445" i="202"/>
  <c r="AO446" i="202"/>
  <c r="AO447" i="202"/>
  <c r="AO448" i="202"/>
  <c r="AO449" i="202"/>
  <c r="AO450" i="202"/>
  <c r="AO451" i="202"/>
  <c r="AO452" i="202"/>
  <c r="AO453" i="202"/>
  <c r="AO454" i="202"/>
  <c r="AO455" i="202"/>
  <c r="AO456" i="202"/>
  <c r="AO457" i="202"/>
  <c r="AO458" i="202"/>
  <c r="AO459" i="202"/>
  <c r="AO460" i="202"/>
  <c r="AO461" i="202"/>
  <c r="AO462" i="202"/>
  <c r="AO463" i="202"/>
  <c r="AO464" i="202"/>
  <c r="AO465" i="202"/>
  <c r="AO466" i="202"/>
  <c r="AO467" i="202"/>
  <c r="AO468" i="202"/>
  <c r="AO469" i="202"/>
  <c r="AO470" i="202"/>
  <c r="AO471" i="202"/>
  <c r="AO472" i="202"/>
  <c r="AO473" i="202"/>
  <c r="AO474" i="202"/>
  <c r="AO475" i="202"/>
  <c r="AO476" i="202"/>
  <c r="AO477" i="202"/>
  <c r="AO478" i="202"/>
  <c r="AO479" i="202"/>
  <c r="AO480" i="202"/>
  <c r="AO481" i="202"/>
  <c r="AO482" i="202"/>
  <c r="AO483" i="202"/>
  <c r="AO484" i="202"/>
  <c r="AO485" i="202"/>
  <c r="AO486" i="202"/>
  <c r="AO487" i="202"/>
  <c r="AO488" i="202"/>
  <c r="AO489" i="202"/>
  <c r="AO490" i="202"/>
  <c r="AO491" i="202"/>
  <c r="AO492" i="202"/>
  <c r="AO493" i="202"/>
  <c r="AO494" i="202"/>
  <c r="AO495" i="202"/>
  <c r="AO496" i="202"/>
  <c r="AO497" i="202"/>
  <c r="AO498" i="202"/>
  <c r="AO499" i="202"/>
  <c r="AO500" i="202"/>
  <c r="AO501" i="202"/>
  <c r="AO502" i="202"/>
  <c r="AO503" i="202"/>
  <c r="AO504" i="202"/>
  <c r="AO505" i="202"/>
  <c r="AO506" i="202"/>
  <c r="AO507" i="202"/>
  <c r="AO508" i="202"/>
  <c r="AO509" i="202"/>
  <c r="AO510" i="202"/>
  <c r="AO511" i="202"/>
  <c r="AO512" i="202"/>
  <c r="AO513" i="202"/>
  <c r="AO514" i="202"/>
  <c r="AO515" i="202"/>
  <c r="AO516" i="202"/>
  <c r="AO517" i="202"/>
  <c r="AO518" i="202"/>
  <c r="AO519" i="202"/>
  <c r="AO520" i="202"/>
  <c r="AO521" i="202"/>
  <c r="AO522" i="202"/>
  <c r="AO523" i="202"/>
  <c r="AO524" i="202"/>
  <c r="AO525" i="202"/>
  <c r="AO526" i="202"/>
  <c r="AO527" i="202"/>
  <c r="AO528" i="202"/>
  <c r="AO529" i="202"/>
  <c r="AO530" i="202"/>
  <c r="AO531" i="202"/>
  <c r="AO532" i="202"/>
  <c r="AO533" i="202"/>
  <c r="AO534" i="202"/>
  <c r="AO535" i="202"/>
  <c r="AO536" i="202"/>
  <c r="AO537" i="202"/>
  <c r="AO538" i="202"/>
  <c r="AO539" i="202"/>
  <c r="AO540" i="202"/>
  <c r="AO541" i="202"/>
  <c r="AO542" i="202"/>
  <c r="AO543" i="202"/>
  <c r="AO544" i="202"/>
  <c r="AO545" i="202"/>
  <c r="AO546" i="202"/>
  <c r="AO547" i="202"/>
  <c r="AO548" i="202"/>
  <c r="AO549" i="202"/>
  <c r="AO550" i="202"/>
  <c r="AO551" i="202"/>
  <c r="AO552" i="202"/>
  <c r="AO553" i="202"/>
  <c r="AO554" i="202"/>
  <c r="AO555" i="202"/>
  <c r="AO556" i="202"/>
  <c r="AO557" i="202"/>
  <c r="AO558" i="202"/>
  <c r="AO559" i="202"/>
  <c r="AO560" i="202"/>
  <c r="AO561" i="202"/>
  <c r="AO562" i="202"/>
  <c r="AO563" i="202"/>
  <c r="AO564" i="202"/>
  <c r="AO565" i="202"/>
  <c r="AO566" i="202"/>
  <c r="AO567" i="202"/>
  <c r="AO568" i="202"/>
  <c r="AO569" i="202"/>
  <c r="AO570" i="202"/>
  <c r="AO571" i="202"/>
  <c r="AO572" i="202"/>
  <c r="AO573" i="202"/>
  <c r="AO574" i="202"/>
  <c r="AO575" i="202"/>
  <c r="AO576" i="202"/>
  <c r="AO577" i="202"/>
  <c r="AO578" i="202"/>
  <c r="AO579" i="202"/>
  <c r="AO580" i="202"/>
  <c r="AO581" i="202"/>
  <c r="AO582" i="202"/>
  <c r="AO583" i="202"/>
  <c r="AO584" i="202"/>
  <c r="AO585" i="202"/>
  <c r="AO586" i="202"/>
  <c r="AO587" i="202"/>
  <c r="AO588" i="202"/>
  <c r="AO589" i="202"/>
  <c r="AO590" i="202"/>
  <c r="AO591" i="202"/>
  <c r="AO592" i="202"/>
  <c r="AO593" i="202"/>
  <c r="AO594" i="202"/>
  <c r="AO595" i="202"/>
  <c r="AO596" i="202"/>
  <c r="AO597" i="202"/>
  <c r="AO598" i="202"/>
  <c r="AO599" i="202"/>
  <c r="AO600" i="202"/>
  <c r="AO601" i="202"/>
  <c r="AO602" i="202"/>
  <c r="AO603" i="202"/>
  <c r="AO604" i="202"/>
  <c r="AO605" i="202"/>
  <c r="AO606" i="202"/>
  <c r="AO607" i="202"/>
  <c r="AO608" i="202"/>
  <c r="AO609" i="202"/>
  <c r="AO610" i="202"/>
  <c r="AO611" i="202"/>
  <c r="AO612" i="202"/>
  <c r="AO613" i="202"/>
  <c r="AO614" i="202"/>
  <c r="AO615" i="202"/>
  <c r="AO616" i="202"/>
  <c r="AO617" i="202"/>
  <c r="AO618" i="202"/>
  <c r="AO619" i="202"/>
  <c r="AO620" i="202"/>
  <c r="AO621" i="202"/>
  <c r="AO622" i="202"/>
  <c r="AO623" i="202"/>
  <c r="AO624" i="202"/>
  <c r="AO625" i="202"/>
  <c r="AO626" i="202"/>
  <c r="AO627" i="202"/>
  <c r="AO628" i="202"/>
  <c r="AO629" i="202"/>
  <c r="AO630" i="202"/>
  <c r="AO631" i="202"/>
  <c r="AO632" i="202"/>
  <c r="AO633" i="202"/>
  <c r="AO634" i="202"/>
  <c r="AO635" i="202"/>
  <c r="AO636" i="202"/>
  <c r="AO637" i="202"/>
  <c r="AO638" i="202"/>
  <c r="AO639" i="202"/>
  <c r="AO640" i="202"/>
  <c r="AO641" i="202"/>
  <c r="AO642" i="202"/>
  <c r="AO643" i="202"/>
  <c r="AO644" i="202"/>
  <c r="AO645" i="202"/>
  <c r="AO646" i="202"/>
  <c r="AO647" i="202"/>
  <c r="AO648" i="202"/>
  <c r="AO649" i="202"/>
  <c r="AO650" i="202"/>
  <c r="AO651" i="202"/>
  <c r="AO652" i="202"/>
  <c r="AO653" i="202"/>
  <c r="AO654" i="202"/>
  <c r="AO655" i="202"/>
  <c r="AO656" i="202"/>
  <c r="AO657" i="202"/>
  <c r="AO658" i="202"/>
  <c r="AO659" i="202"/>
  <c r="AO660" i="202"/>
  <c r="AO661" i="202"/>
  <c r="AO662" i="202"/>
  <c r="AO663" i="202"/>
  <c r="AO664" i="202"/>
  <c r="AO665" i="202"/>
  <c r="AO666" i="202"/>
  <c r="AO667" i="202"/>
  <c r="AO668" i="202"/>
  <c r="AO669" i="202"/>
  <c r="AO670" i="202"/>
  <c r="AO671" i="202"/>
  <c r="AO672" i="202"/>
  <c r="AO673" i="202"/>
  <c r="AO674" i="202"/>
  <c r="AO675" i="202"/>
  <c r="AO676" i="202"/>
  <c r="AO677" i="202"/>
  <c r="AO678" i="202"/>
  <c r="AO679" i="202"/>
  <c r="AO680" i="202"/>
  <c r="AO681" i="202"/>
  <c r="AO682" i="202"/>
  <c r="AO683" i="202"/>
  <c r="AO684" i="202"/>
  <c r="AO685" i="202"/>
  <c r="AO686" i="202"/>
  <c r="AO687" i="202"/>
  <c r="AO688" i="202"/>
  <c r="AO689" i="202"/>
  <c r="AO690" i="202"/>
  <c r="AO691" i="202"/>
  <c r="AO692" i="202"/>
  <c r="AO693" i="202"/>
  <c r="AO694" i="202"/>
  <c r="AO695" i="202"/>
  <c r="AO696" i="202"/>
  <c r="AO697" i="202"/>
  <c r="AO698" i="202"/>
  <c r="AO699" i="202"/>
  <c r="AO700" i="202"/>
  <c r="AO701" i="202"/>
  <c r="AO702" i="202"/>
  <c r="AO703" i="202"/>
  <c r="AO704" i="202"/>
  <c r="AO705" i="202"/>
  <c r="AO706" i="202"/>
  <c r="AO707" i="202"/>
  <c r="AO708" i="202"/>
  <c r="AO709" i="202"/>
  <c r="AO710" i="202"/>
  <c r="AO711" i="202"/>
  <c r="AO712" i="202"/>
  <c r="AO713" i="202"/>
  <c r="AO714" i="202"/>
  <c r="AO715" i="202"/>
  <c r="AO716" i="202"/>
  <c r="AO717" i="202"/>
  <c r="AO718" i="202"/>
  <c r="AO719" i="202"/>
  <c r="AO720" i="202"/>
  <c r="AO721" i="202"/>
  <c r="AO722" i="202"/>
  <c r="AO723" i="202"/>
  <c r="AO724" i="202"/>
  <c r="AO725" i="202"/>
  <c r="AO726" i="202"/>
  <c r="AO727" i="202"/>
  <c r="AO728" i="202"/>
  <c r="AO729" i="202"/>
  <c r="AO730" i="202"/>
  <c r="AO731" i="202"/>
  <c r="AO732" i="202"/>
  <c r="AO733" i="202"/>
  <c r="AO734" i="202"/>
  <c r="AO735" i="202"/>
  <c r="AO736" i="202"/>
  <c r="AO737" i="202"/>
  <c r="AO738" i="202"/>
  <c r="AO739" i="202"/>
  <c r="AO740" i="202"/>
  <c r="AO741" i="202"/>
  <c r="AO742" i="202"/>
  <c r="AO743" i="202"/>
  <c r="AO744" i="202"/>
  <c r="AO745" i="202"/>
  <c r="AO746" i="202"/>
  <c r="AO747" i="202"/>
  <c r="AO748" i="202"/>
  <c r="AO749" i="202"/>
  <c r="AO750" i="202"/>
  <c r="AO751" i="202"/>
  <c r="AO752" i="202"/>
  <c r="AO753" i="202"/>
  <c r="AO754" i="202"/>
  <c r="AO755" i="202"/>
  <c r="AO756" i="202"/>
  <c r="AO757" i="202"/>
  <c r="AO758" i="202"/>
  <c r="AO759" i="202"/>
  <c r="AO760" i="202"/>
  <c r="AO761" i="202"/>
  <c r="AO762" i="202"/>
  <c r="AO763" i="202"/>
  <c r="AO764" i="202"/>
  <c r="AO765" i="202"/>
  <c r="AO766" i="202"/>
  <c r="AO767" i="202"/>
  <c r="AO768" i="202"/>
  <c r="AO769" i="202"/>
  <c r="AO770" i="202"/>
  <c r="AO771" i="202"/>
  <c r="AO772" i="202"/>
  <c r="AO773" i="202"/>
  <c r="AO774" i="202"/>
  <c r="AO775" i="202"/>
  <c r="AO776" i="202"/>
  <c r="AO777" i="202"/>
  <c r="AO778" i="202"/>
  <c r="AO779" i="202"/>
  <c r="AO780" i="202"/>
  <c r="AO781" i="202"/>
  <c r="AO782" i="202"/>
  <c r="AO783" i="202"/>
  <c r="AO784" i="202"/>
  <c r="AO785" i="202"/>
  <c r="AO786" i="202"/>
  <c r="AO787" i="202"/>
  <c r="AO788" i="202"/>
  <c r="AO789" i="202"/>
  <c r="AO790" i="202"/>
  <c r="AO791" i="202"/>
  <c r="AO792" i="202"/>
  <c r="AO793" i="202"/>
  <c r="AO794" i="202"/>
  <c r="AO795" i="202"/>
  <c r="AO796" i="202"/>
  <c r="AO797" i="202"/>
  <c r="AO798" i="202"/>
  <c r="AO799" i="202"/>
  <c r="AO800" i="202"/>
  <c r="AO801" i="202"/>
  <c r="AO802" i="202"/>
  <c r="AO803" i="202"/>
  <c r="AO804" i="202"/>
  <c r="AO805" i="202"/>
  <c r="AO806" i="202"/>
  <c r="AO807" i="202"/>
  <c r="AO808" i="202"/>
  <c r="AO809" i="202"/>
  <c r="AO810" i="202"/>
  <c r="AO811" i="202"/>
  <c r="AO812" i="202"/>
  <c r="AO813" i="202"/>
  <c r="AO814" i="202"/>
  <c r="AO815" i="202"/>
  <c r="AO816" i="202"/>
  <c r="AO817" i="202"/>
  <c r="AO818" i="202"/>
  <c r="AO819" i="202"/>
  <c r="AO820" i="202"/>
  <c r="AO821" i="202"/>
  <c r="AO822" i="202"/>
  <c r="AO823" i="202"/>
  <c r="AO824" i="202"/>
  <c r="AO825" i="202"/>
  <c r="AO826" i="202"/>
  <c r="AO827" i="202"/>
  <c r="AO828" i="202"/>
  <c r="AO829" i="202"/>
  <c r="AO830" i="202"/>
  <c r="AO831" i="202"/>
  <c r="AO832" i="202"/>
  <c r="AO833" i="202"/>
  <c r="AO834" i="202"/>
  <c r="AO835" i="202"/>
  <c r="AO836" i="202"/>
  <c r="AO837" i="202"/>
  <c r="AO838" i="202"/>
  <c r="AO839" i="202"/>
  <c r="AO840" i="202"/>
  <c r="AO841" i="202"/>
  <c r="AO842" i="202"/>
  <c r="AO843" i="202"/>
  <c r="AO844" i="202"/>
  <c r="AO845" i="202"/>
  <c r="AO846" i="202"/>
  <c r="AO847" i="202"/>
  <c r="AO848" i="202"/>
  <c r="AO849" i="202"/>
  <c r="AO850" i="202"/>
  <c r="AO851" i="202"/>
  <c r="AO852" i="202"/>
  <c r="AO853" i="202"/>
  <c r="AO854" i="202"/>
  <c r="AO855" i="202"/>
  <c r="AO856" i="202"/>
  <c r="AO857" i="202"/>
  <c r="AO858" i="202"/>
  <c r="AO859" i="202"/>
  <c r="AO860" i="202"/>
  <c r="AO861" i="202"/>
  <c r="AO862" i="202"/>
  <c r="AO863" i="202"/>
  <c r="AO864" i="202"/>
  <c r="AO865" i="202"/>
  <c r="AO866" i="202"/>
  <c r="AO867" i="202"/>
  <c r="AO868" i="202"/>
  <c r="AO869" i="202"/>
  <c r="AO870" i="202"/>
  <c r="AO871" i="202"/>
  <c r="AO872" i="202"/>
  <c r="AO873" i="202"/>
  <c r="AO874" i="202"/>
  <c r="AO875" i="202"/>
  <c r="AO876" i="202"/>
  <c r="AO877" i="202"/>
  <c r="AO878" i="202"/>
  <c r="AO879" i="202"/>
  <c r="AO880" i="202"/>
  <c r="AO881" i="202"/>
  <c r="AO882" i="202"/>
  <c r="AO883" i="202"/>
  <c r="AO884" i="202"/>
  <c r="AO885" i="202"/>
  <c r="AO886" i="202"/>
  <c r="AO887" i="202"/>
  <c r="AO888" i="202"/>
  <c r="AO889" i="202"/>
  <c r="AO890" i="202"/>
  <c r="AO891" i="202"/>
  <c r="AO892" i="202"/>
  <c r="AO893" i="202"/>
  <c r="AO894" i="202"/>
  <c r="AO895" i="202"/>
  <c r="AO896" i="202"/>
  <c r="AO897" i="202"/>
  <c r="AO898" i="202"/>
  <c r="AO899" i="202"/>
  <c r="AO900" i="202"/>
  <c r="AO901" i="202"/>
  <c r="AO902" i="202"/>
  <c r="AO903" i="202"/>
  <c r="AO904" i="202"/>
  <c r="AO905" i="202"/>
  <c r="AO906" i="202"/>
  <c r="AO907" i="202"/>
  <c r="AO908" i="202"/>
  <c r="AO909" i="202"/>
  <c r="AO910" i="202"/>
  <c r="AO911" i="202"/>
  <c r="AO912" i="202"/>
  <c r="AO913" i="202"/>
  <c r="AO914" i="202"/>
  <c r="AO915" i="202"/>
  <c r="AO916" i="202"/>
  <c r="AO917" i="202"/>
  <c r="AO918" i="202"/>
  <c r="AO919" i="202"/>
  <c r="AO920" i="202"/>
  <c r="AO921" i="202"/>
  <c r="AO922" i="202"/>
  <c r="AO923" i="202"/>
  <c r="AO924" i="202"/>
  <c r="AO925" i="202"/>
  <c r="AO926" i="202"/>
  <c r="AO927" i="202"/>
  <c r="AO928" i="202"/>
  <c r="AO929" i="202"/>
  <c r="AO930" i="202"/>
  <c r="AO931" i="202"/>
  <c r="AO932" i="202"/>
  <c r="AO933" i="202"/>
  <c r="AO934" i="202"/>
  <c r="AO935" i="202"/>
  <c r="AO936" i="202"/>
  <c r="AO937" i="202"/>
  <c r="AO938" i="202"/>
  <c r="AO939" i="202"/>
  <c r="AO940" i="202"/>
  <c r="AO941" i="202"/>
  <c r="AO942" i="202"/>
  <c r="AO943" i="202"/>
  <c r="AO944" i="202"/>
  <c r="AO945" i="202"/>
  <c r="AO946" i="202"/>
  <c r="AO947" i="202"/>
  <c r="AO948" i="202"/>
  <c r="AO949" i="202"/>
  <c r="AO950" i="202"/>
  <c r="AO951" i="202"/>
  <c r="AO952" i="202"/>
  <c r="AO953" i="202"/>
  <c r="AO954" i="202"/>
  <c r="AO955" i="202"/>
  <c r="AO956" i="202"/>
  <c r="AO957" i="202"/>
  <c r="AO958" i="202"/>
  <c r="AO959" i="202"/>
  <c r="AO960" i="202"/>
  <c r="AO961" i="202"/>
  <c r="AO962" i="202"/>
  <c r="AO963" i="202"/>
  <c r="AO964" i="202"/>
  <c r="AO965" i="202"/>
  <c r="AO966" i="202"/>
  <c r="AO967" i="202"/>
  <c r="AO968" i="202"/>
  <c r="AO969" i="202"/>
  <c r="AO970" i="202"/>
  <c r="AO971" i="202"/>
  <c r="AO972" i="202"/>
  <c r="AO973" i="202"/>
  <c r="AO974" i="202"/>
  <c r="AO975" i="202"/>
  <c r="AO976" i="202"/>
  <c r="AO977" i="202"/>
  <c r="AO978" i="202"/>
  <c r="AO979" i="202"/>
  <c r="AO980" i="202"/>
  <c r="AO981" i="202"/>
  <c r="AO982" i="202"/>
  <c r="AO983" i="202"/>
  <c r="AO984" i="202"/>
  <c r="AO985" i="202"/>
  <c r="AO986" i="202"/>
  <c r="AO987" i="202"/>
  <c r="AO988" i="202"/>
  <c r="AO989" i="202"/>
  <c r="AO990" i="202"/>
  <c r="AO991" i="202"/>
  <c r="AO992" i="202"/>
  <c r="AO993" i="202"/>
  <c r="AO994" i="202"/>
  <c r="AO995" i="202"/>
  <c r="AO996" i="202"/>
  <c r="AO997" i="202"/>
  <c r="AO998" i="202"/>
  <c r="AO999" i="202"/>
  <c r="AO1000" i="202"/>
  <c r="AO1001" i="202"/>
  <c r="AO1002" i="202"/>
  <c r="AO1003" i="202"/>
  <c r="AO1004" i="202"/>
  <c r="AO1005" i="202"/>
  <c r="AO1006" i="202"/>
  <c r="AO1007" i="202"/>
  <c r="AO1008" i="202"/>
  <c r="AO1009" i="202"/>
  <c r="AO1010" i="202"/>
  <c r="AO1011" i="202"/>
  <c r="AO1012" i="202"/>
  <c r="AO1013" i="202"/>
  <c r="AO1014" i="202"/>
  <c r="AO1015" i="202"/>
  <c r="AO1016" i="202"/>
  <c r="AO1017" i="202"/>
  <c r="AO1018" i="202"/>
  <c r="AO1019" i="202"/>
  <c r="AO1020" i="202"/>
  <c r="AO1021" i="202"/>
  <c r="AO1022" i="202"/>
  <c r="AO1023" i="202"/>
  <c r="AO1024" i="202"/>
  <c r="AO1025" i="202"/>
  <c r="AO1026" i="202"/>
  <c r="AO1027" i="202"/>
  <c r="AO1028" i="202"/>
  <c r="AO1029" i="202"/>
  <c r="AO1030" i="202"/>
  <c r="AO1031" i="202"/>
  <c r="AO1032" i="202"/>
  <c r="AO1033" i="202"/>
  <c r="AO1034" i="202"/>
  <c r="AO1035" i="202"/>
  <c r="AO1036" i="202"/>
  <c r="AO1037" i="202"/>
  <c r="AO1038" i="202"/>
  <c r="AO1039" i="202"/>
  <c r="AO1040" i="202"/>
  <c r="AO1041" i="202"/>
  <c r="AO1042" i="202"/>
  <c r="AO1043" i="202"/>
  <c r="AO1044" i="202"/>
  <c r="AO1045" i="202"/>
  <c r="AO1046" i="202"/>
  <c r="AO1047" i="202"/>
  <c r="AO1048" i="202"/>
  <c r="AO1049" i="202"/>
  <c r="AO1050" i="202"/>
  <c r="AO1051" i="202"/>
  <c r="AO1052" i="202"/>
  <c r="AO1053" i="202"/>
  <c r="AO1054" i="202"/>
  <c r="AO1055" i="202"/>
  <c r="AO1056" i="202"/>
  <c r="AO1057" i="202"/>
  <c r="AO1058" i="202"/>
  <c r="AO1059" i="202"/>
  <c r="AO1060" i="202"/>
  <c r="AO1061" i="202"/>
  <c r="AO1062" i="202"/>
  <c r="AO1063" i="202"/>
  <c r="AO1064" i="202"/>
  <c r="AO1065" i="202"/>
  <c r="AO1066" i="202"/>
  <c r="AO1067" i="202"/>
  <c r="AO1068" i="202"/>
  <c r="AO1069" i="202"/>
  <c r="AO1070" i="202"/>
  <c r="AO1071" i="202"/>
  <c r="AO1072" i="202"/>
  <c r="AO1073" i="202"/>
  <c r="AO1074" i="202"/>
  <c r="AO1075" i="202"/>
  <c r="AO1076" i="202"/>
  <c r="AO1077" i="202"/>
  <c r="AO1078" i="202"/>
  <c r="AO1079" i="202"/>
  <c r="AO1080" i="202"/>
  <c r="AO1081" i="202"/>
  <c r="AO1082" i="202"/>
  <c r="AO1083" i="202"/>
  <c r="AO1084" i="202"/>
  <c r="AO1085" i="202"/>
  <c r="AO1086" i="202"/>
  <c r="AO1087" i="202"/>
  <c r="AO1088" i="202"/>
  <c r="AO1089" i="202"/>
  <c r="AO1090" i="202"/>
  <c r="AO1091" i="202"/>
  <c r="AO1092" i="202"/>
  <c r="AO1093" i="202"/>
  <c r="AO1094" i="202"/>
  <c r="AO1095" i="202"/>
  <c r="AO1096" i="202"/>
  <c r="AO1097" i="202"/>
  <c r="AO1098" i="202"/>
  <c r="AO1099" i="202"/>
  <c r="AO1100" i="202"/>
  <c r="AO1101" i="202"/>
  <c r="AO1102" i="202"/>
  <c r="AO1103" i="202"/>
  <c r="AO1104" i="202"/>
  <c r="AO1105" i="202"/>
  <c r="AO1106" i="202"/>
  <c r="AO1107" i="202"/>
  <c r="AO1108" i="202"/>
  <c r="AO1109" i="202"/>
  <c r="AO1110" i="202"/>
  <c r="AO1111" i="202"/>
  <c r="AO1112" i="202"/>
  <c r="AO1113" i="202"/>
  <c r="AO1114" i="202"/>
  <c r="AO1115" i="202"/>
  <c r="AO1116" i="202"/>
  <c r="AO1117" i="202"/>
  <c r="AO1118" i="202"/>
  <c r="AO1119" i="202"/>
  <c r="AO1120" i="202"/>
  <c r="AO1121" i="202"/>
  <c r="AO1122" i="202"/>
  <c r="AO1123" i="202"/>
  <c r="AO1124" i="202"/>
  <c r="AO1125" i="202"/>
  <c r="AO1126" i="202"/>
  <c r="AO1127" i="202"/>
  <c r="AO1128" i="202"/>
  <c r="AO1129" i="202"/>
  <c r="AO1130" i="202"/>
  <c r="AO1131" i="202"/>
  <c r="AO1132" i="202"/>
  <c r="AO1133" i="202"/>
  <c r="AO1134" i="202"/>
  <c r="AO1135" i="202"/>
  <c r="AO1136" i="202"/>
  <c r="AO1137" i="202"/>
  <c r="AO1138" i="202"/>
  <c r="AO1139" i="202"/>
  <c r="AO1140" i="202"/>
  <c r="AO1141" i="202"/>
  <c r="AO1142" i="202"/>
  <c r="AO1143" i="202"/>
  <c r="AO1144" i="202"/>
  <c r="AO1145" i="202"/>
  <c r="AO1146" i="202"/>
  <c r="AO1147" i="202"/>
  <c r="AO1148" i="202"/>
  <c r="AO1149" i="202"/>
  <c r="AO1150" i="202"/>
  <c r="AO1151" i="202"/>
  <c r="AO1152" i="202"/>
  <c r="AO1153" i="202"/>
  <c r="AO1154" i="202"/>
  <c r="AO1155" i="202"/>
  <c r="AO1156" i="202"/>
  <c r="AO1157" i="202"/>
  <c r="AO1158" i="202"/>
  <c r="AO1159" i="202"/>
  <c r="AO1160" i="202"/>
  <c r="AO1161" i="202"/>
  <c r="AO1162" i="202"/>
  <c r="AO1163" i="202"/>
  <c r="AO1164" i="202"/>
  <c r="AO1165" i="202"/>
  <c r="AO1166" i="202"/>
  <c r="AO1167" i="202"/>
  <c r="AO1168" i="202"/>
  <c r="AO1169" i="202"/>
  <c r="AO1170" i="202"/>
  <c r="AO1171" i="202"/>
  <c r="AO1172" i="202"/>
  <c r="AO1173" i="202"/>
  <c r="AO1174" i="202"/>
  <c r="AO1175" i="202"/>
  <c r="AO1176" i="202"/>
  <c r="AO1177" i="202"/>
  <c r="AO1178" i="202"/>
  <c r="AO1179" i="202"/>
  <c r="AO1180" i="202"/>
  <c r="AO1181" i="202"/>
  <c r="AO1182" i="202"/>
  <c r="AO1183" i="202"/>
  <c r="AO1184" i="202"/>
  <c r="AO1185" i="202"/>
  <c r="AO1186" i="202"/>
  <c r="AO1187" i="202"/>
  <c r="AO1188" i="202"/>
  <c r="AO1189" i="202"/>
  <c r="AO1190" i="202"/>
  <c r="AO1191" i="202"/>
  <c r="AO1192" i="202"/>
  <c r="AO1193" i="202"/>
  <c r="AO1194" i="202"/>
  <c r="AO1195" i="202"/>
  <c r="AO1196" i="202"/>
  <c r="AO1197" i="202"/>
  <c r="AO1198" i="202"/>
  <c r="AO1199" i="202"/>
  <c r="AO1200" i="202"/>
  <c r="AO1201" i="202"/>
  <c r="AO1202" i="202"/>
  <c r="AO1203" i="202"/>
  <c r="AO1204" i="202"/>
  <c r="AO1205" i="202"/>
  <c r="AO1206" i="202"/>
  <c r="AO1207" i="202"/>
  <c r="AO1208" i="202"/>
  <c r="AO1209" i="202"/>
  <c r="AO1210" i="202"/>
  <c r="AO1211" i="202"/>
  <c r="AO1212" i="202"/>
  <c r="AO1213" i="202"/>
  <c r="AO1214" i="202"/>
  <c r="AO1215" i="202"/>
  <c r="AO1216" i="202"/>
  <c r="AO1217" i="202"/>
  <c r="AO1218" i="202"/>
  <c r="AO1219" i="202"/>
  <c r="AO1220" i="202"/>
  <c r="AO1221" i="202"/>
  <c r="AO1222" i="202"/>
  <c r="AO1223" i="202"/>
  <c r="AO1224" i="202"/>
  <c r="AO1225" i="202"/>
  <c r="AO1226" i="202"/>
  <c r="AO1227" i="202"/>
  <c r="AO1228" i="202"/>
  <c r="AO1229" i="202"/>
  <c r="AO1230" i="202"/>
  <c r="AO1231" i="202"/>
  <c r="AO1232" i="202"/>
  <c r="AO1233" i="202"/>
  <c r="AO1234" i="202"/>
  <c r="AO1235" i="202"/>
  <c r="AO1236" i="202"/>
  <c r="AO1237" i="202"/>
  <c r="AO1238" i="202"/>
  <c r="AO1239" i="202"/>
  <c r="AO1240" i="202"/>
  <c r="AO1241" i="202"/>
  <c r="AO1242" i="202"/>
  <c r="AO1243" i="202"/>
  <c r="AO1244" i="202"/>
  <c r="AO1245" i="202"/>
  <c r="AO1246" i="202"/>
  <c r="AO1247" i="202"/>
  <c r="AO1248" i="202"/>
  <c r="AO1249" i="202"/>
  <c r="AO1250" i="202"/>
  <c r="AO1251" i="202"/>
  <c r="AO1252" i="202"/>
  <c r="AO1253" i="202"/>
  <c r="AO1254" i="202"/>
  <c r="AO1255" i="202"/>
  <c r="AO1256" i="202"/>
  <c r="AO1257" i="202"/>
  <c r="AO1258" i="202"/>
  <c r="AO1259" i="202"/>
  <c r="AO1260" i="202"/>
  <c r="AO1261" i="202"/>
  <c r="AO1262" i="202"/>
  <c r="AO1263" i="202"/>
  <c r="AO1264" i="202"/>
  <c r="AO1265" i="202"/>
  <c r="AO1266" i="202"/>
  <c r="AO1267" i="202"/>
  <c r="AO1268" i="202"/>
  <c r="AO1269" i="202"/>
  <c r="AO1270" i="202"/>
  <c r="AO1271" i="202"/>
  <c r="AO1272" i="202"/>
  <c r="AO1273" i="202"/>
  <c r="AO1274" i="202"/>
  <c r="AO1275" i="202"/>
  <c r="AO1276" i="202"/>
  <c r="AO1277" i="202"/>
  <c r="AO1278" i="202"/>
  <c r="AO1279" i="202"/>
  <c r="AO1280" i="202"/>
  <c r="AO1281" i="202"/>
  <c r="AO1282" i="202"/>
  <c r="AO1283" i="202"/>
  <c r="AO1284" i="202"/>
  <c r="AO1285" i="202"/>
  <c r="AO1286" i="202"/>
  <c r="AO1287" i="202"/>
  <c r="AO1288" i="202"/>
  <c r="AO1289" i="202"/>
  <c r="AO1290" i="202"/>
  <c r="AO1291" i="202"/>
  <c r="AO1292" i="202"/>
  <c r="AO1293" i="202"/>
  <c r="AO1294" i="202"/>
  <c r="AO1295" i="202"/>
  <c r="AO1296" i="202"/>
  <c r="AO1297" i="202"/>
  <c r="AO1298" i="202"/>
  <c r="AO1299" i="202"/>
  <c r="AO1300" i="202"/>
  <c r="AO1301" i="202"/>
  <c r="AO1302" i="202"/>
  <c r="AO1303" i="202"/>
  <c r="AO1304" i="202"/>
  <c r="AO1305" i="202"/>
  <c r="AO1306" i="202"/>
  <c r="AO1307" i="202"/>
  <c r="AO1308" i="202"/>
  <c r="AO1309" i="202"/>
  <c r="AO1310" i="202"/>
  <c r="AO1311" i="202"/>
  <c r="AO1312" i="202"/>
  <c r="AO1313" i="202"/>
  <c r="AO1314" i="202"/>
  <c r="AO1315" i="202"/>
  <c r="AO1316" i="202"/>
  <c r="AO1317" i="202"/>
  <c r="AO1318" i="202"/>
  <c r="AO1319" i="202"/>
  <c r="AO1320" i="202"/>
  <c r="AO1321" i="202"/>
  <c r="AO1322" i="202"/>
  <c r="AO1323" i="202"/>
  <c r="AO1324" i="202"/>
  <c r="AO1325" i="202"/>
  <c r="AO1326" i="202"/>
  <c r="AO1327" i="202"/>
  <c r="AO1328" i="202"/>
  <c r="AO1329" i="202"/>
  <c r="AO1330" i="202"/>
  <c r="AO1331" i="202"/>
  <c r="AO1332" i="202"/>
  <c r="AO1333" i="202"/>
  <c r="AO1334" i="202"/>
  <c r="AO1335" i="202"/>
  <c r="AO1336" i="202"/>
  <c r="AO1337" i="202"/>
  <c r="AO1338" i="202"/>
  <c r="AO1339" i="202"/>
  <c r="AO1340" i="202"/>
  <c r="AO1341" i="202"/>
  <c r="AO1342" i="202"/>
  <c r="AO1343" i="202"/>
  <c r="AO1344" i="202"/>
  <c r="AO1345" i="202"/>
  <c r="AO1346" i="202"/>
  <c r="AO1347" i="202"/>
  <c r="AO1348" i="202"/>
  <c r="AO1349" i="202"/>
  <c r="AO1350" i="202"/>
  <c r="AO1351" i="202"/>
  <c r="AO1352" i="202"/>
  <c r="AO1353" i="202"/>
  <c r="AO1354" i="202"/>
  <c r="AO1355" i="202"/>
  <c r="AO1356" i="202"/>
  <c r="AO1357" i="202"/>
  <c r="AO1358" i="202"/>
  <c r="AO1359" i="202"/>
  <c r="AO1360" i="202"/>
  <c r="AO1361" i="202"/>
  <c r="AO1362" i="202"/>
  <c r="AO1363" i="202"/>
  <c r="AO1364" i="202"/>
  <c r="AO1365" i="202"/>
  <c r="AO1366" i="202"/>
  <c r="AO1367" i="202"/>
  <c r="AO1368" i="202"/>
  <c r="AO1369" i="202"/>
  <c r="AO1370" i="202"/>
  <c r="AO1371" i="202"/>
  <c r="AO1372" i="202"/>
  <c r="AO1373" i="202"/>
  <c r="AO1374" i="202"/>
  <c r="AO1375" i="202"/>
  <c r="AO1376" i="202"/>
  <c r="AO1377" i="202"/>
  <c r="AO1378" i="202"/>
  <c r="AO1379" i="202"/>
  <c r="AO1380" i="202"/>
  <c r="AO1381" i="202"/>
  <c r="AO1382" i="202"/>
  <c r="AO1383" i="202"/>
  <c r="AO1384" i="202"/>
  <c r="AO1385" i="202"/>
  <c r="AO1386" i="202"/>
  <c r="AO1387" i="202"/>
  <c r="AO1388" i="202"/>
  <c r="AO1389" i="202"/>
  <c r="AO1390" i="202"/>
  <c r="AO1391" i="202"/>
  <c r="AO1392" i="202"/>
  <c r="AO1393" i="202"/>
  <c r="AO1394" i="202"/>
  <c r="AO1395" i="202"/>
  <c r="AO1396" i="202"/>
  <c r="AO1397" i="202"/>
  <c r="AO1398" i="202"/>
  <c r="AO1399" i="202"/>
  <c r="AO1400" i="202"/>
  <c r="AO1401" i="202"/>
  <c r="AO1402" i="202"/>
  <c r="AO1403" i="202"/>
  <c r="AO1404" i="202"/>
  <c r="AO1405" i="202"/>
  <c r="AO1406" i="202"/>
  <c r="AO1407" i="202"/>
  <c r="AO1408" i="202"/>
  <c r="AO1409" i="202"/>
  <c r="AO1410" i="202"/>
  <c r="AO1411" i="202"/>
  <c r="AO1412" i="202"/>
  <c r="AO1413" i="202"/>
  <c r="AO1414" i="202"/>
  <c r="AO1415" i="202"/>
  <c r="AO1416" i="202"/>
  <c r="AO1417" i="202"/>
  <c r="AO1418" i="202"/>
  <c r="AO1419" i="202"/>
  <c r="AO1420" i="202"/>
  <c r="AO1421" i="202"/>
  <c r="AO1422" i="202"/>
  <c r="AO1423" i="202"/>
  <c r="AO1424" i="202"/>
  <c r="AO1425" i="202"/>
  <c r="AO1426" i="202"/>
  <c r="AO1427" i="202"/>
  <c r="AO1428" i="202"/>
  <c r="AO1429" i="202"/>
  <c r="AO1430" i="202"/>
  <c r="AO1431" i="202"/>
  <c r="AO1432" i="202"/>
  <c r="AO1433" i="202"/>
  <c r="AO1434" i="202"/>
  <c r="AO1435" i="202"/>
  <c r="AO1436" i="202"/>
  <c r="AO1437" i="202"/>
  <c r="AO1438" i="202"/>
  <c r="AO1439" i="202"/>
  <c r="AO1440" i="202"/>
  <c r="AO1441" i="202"/>
  <c r="AO1442" i="202"/>
  <c r="AO1443" i="202"/>
  <c r="AO1444" i="202"/>
  <c r="AO1445" i="202"/>
  <c r="AO1446" i="202"/>
  <c r="AO1447" i="202"/>
  <c r="AO1448" i="202"/>
  <c r="AO1449" i="202"/>
  <c r="AO1450" i="202"/>
  <c r="AO1451" i="202"/>
  <c r="AO1452" i="202"/>
  <c r="AO1453" i="202"/>
  <c r="AO1454" i="202"/>
  <c r="AO1455" i="202"/>
  <c r="AO1456" i="202"/>
  <c r="AO1457" i="202"/>
  <c r="AO1458" i="202"/>
  <c r="AO1459" i="202"/>
  <c r="AO1460" i="202"/>
  <c r="AO1461" i="202"/>
  <c r="AO1462" i="202"/>
  <c r="AO1463" i="202"/>
  <c r="AO1464" i="202"/>
  <c r="AO1465" i="202"/>
  <c r="AO1466" i="202"/>
  <c r="AO1467" i="202"/>
  <c r="AO1468" i="202"/>
  <c r="AO1469" i="202"/>
  <c r="AO1470" i="202"/>
  <c r="AO1471" i="202"/>
  <c r="AO1472" i="202"/>
  <c r="AO1473" i="202"/>
  <c r="AO1474" i="202"/>
  <c r="AO1475" i="202"/>
  <c r="AO1476" i="202"/>
  <c r="AO1477" i="202"/>
  <c r="AO1478" i="202"/>
  <c r="AO1479" i="202"/>
  <c r="AO1480" i="202"/>
  <c r="AO1481" i="202"/>
  <c r="AO1482" i="202"/>
  <c r="AO1483" i="202"/>
  <c r="AO1484" i="202"/>
  <c r="AO1485" i="202"/>
  <c r="AO1486" i="202"/>
  <c r="AO1487" i="202"/>
  <c r="AO1488" i="202"/>
  <c r="AO1489" i="202"/>
  <c r="AO1490" i="202"/>
  <c r="AO1491" i="202"/>
  <c r="AO1492" i="202"/>
  <c r="AO1493" i="202"/>
  <c r="AO1494" i="202"/>
  <c r="AO1495" i="202"/>
  <c r="AO1496" i="202"/>
  <c r="AO1497" i="202"/>
  <c r="AO1498" i="202"/>
  <c r="AO1499" i="202"/>
  <c r="AO1500" i="202"/>
  <c r="AO1501" i="202"/>
  <c r="AO1502" i="202"/>
  <c r="AO1503" i="202"/>
  <c r="AO1504" i="202"/>
  <c r="AO1505" i="202"/>
  <c r="AO1506" i="202"/>
  <c r="AO1507" i="202"/>
  <c r="AO1508" i="202"/>
  <c r="AO1509" i="202"/>
  <c r="AO1510" i="202"/>
  <c r="AO1511" i="202"/>
  <c r="AO1512" i="202"/>
  <c r="AO1513" i="202"/>
  <c r="AO1514" i="202"/>
  <c r="AO1515" i="202"/>
  <c r="AO1516" i="202"/>
  <c r="AO1517" i="202"/>
  <c r="AO1518" i="202"/>
  <c r="AO1519" i="202"/>
  <c r="AO1520" i="202"/>
  <c r="AO1521" i="202"/>
  <c r="AO1522" i="202"/>
  <c r="AO1523" i="202"/>
  <c r="AO1524" i="202"/>
  <c r="AO1525" i="202"/>
  <c r="AO1526" i="202"/>
  <c r="AO1527" i="202"/>
  <c r="AO1528" i="202"/>
  <c r="AO1529" i="202"/>
  <c r="AO1530" i="202"/>
  <c r="AO1531" i="202"/>
  <c r="AO1532" i="202"/>
  <c r="AO1533" i="202"/>
  <c r="AO1534" i="202"/>
  <c r="AO1535" i="202"/>
  <c r="AO1536" i="202"/>
  <c r="AO1537" i="202"/>
  <c r="AO1538" i="202"/>
  <c r="AO1539" i="202"/>
  <c r="AO1540" i="202"/>
  <c r="AO1541" i="202"/>
  <c r="AO1542" i="202"/>
  <c r="AO1543" i="202"/>
  <c r="AO1544" i="202"/>
  <c r="AO1545" i="202"/>
  <c r="AO1546" i="202"/>
  <c r="AO1547" i="202"/>
  <c r="AO1548" i="202"/>
  <c r="AO1549" i="202"/>
  <c r="AO1550" i="202"/>
  <c r="AO1551" i="202"/>
  <c r="AO1552" i="202"/>
  <c r="AO1553" i="202"/>
  <c r="AO1554" i="202"/>
  <c r="AO1555" i="202"/>
  <c r="AO1556" i="202"/>
  <c r="AO1557" i="202"/>
  <c r="AO1558" i="202"/>
  <c r="AO1559" i="202"/>
  <c r="AO1560" i="202"/>
  <c r="AO1561" i="202"/>
  <c r="AO1562" i="202"/>
  <c r="AO1563" i="202"/>
  <c r="AO1564" i="202"/>
  <c r="AO1565" i="202"/>
  <c r="AO1566" i="202"/>
  <c r="AO1567" i="202"/>
  <c r="AO1568" i="202"/>
  <c r="AO1569" i="202"/>
  <c r="AO1570" i="202"/>
  <c r="AO1571" i="202"/>
  <c r="AO1572" i="202"/>
  <c r="AO1573" i="202"/>
  <c r="AO1574" i="202"/>
  <c r="AO1575" i="202"/>
  <c r="AO1576" i="202"/>
  <c r="AO1577" i="202"/>
  <c r="AO1578" i="202"/>
  <c r="AO1579" i="202"/>
  <c r="AO1580" i="202"/>
  <c r="AO1581" i="202"/>
  <c r="AO1582" i="202"/>
  <c r="AO1583" i="202"/>
  <c r="AO1584" i="202"/>
  <c r="AO1585" i="202"/>
  <c r="AO1586" i="202"/>
  <c r="AO1587" i="202"/>
  <c r="AO1588" i="202"/>
  <c r="AO1589" i="202"/>
  <c r="AO1590" i="202"/>
  <c r="AO1591" i="202"/>
  <c r="AO1592" i="202"/>
  <c r="AO1593" i="202"/>
  <c r="AO1594" i="202"/>
  <c r="AO1595" i="202"/>
  <c r="AO1596" i="202"/>
  <c r="AO1597" i="202"/>
  <c r="AO1598" i="202"/>
  <c r="AO1599" i="202"/>
  <c r="AO1600" i="202"/>
  <c r="AO1601" i="202"/>
  <c r="AO1602" i="202"/>
  <c r="AO1603" i="202"/>
  <c r="AO1604" i="202"/>
  <c r="AO1605" i="202"/>
  <c r="AO1606" i="202"/>
  <c r="AO1607" i="202"/>
  <c r="AO1608" i="202"/>
  <c r="AO1609" i="202"/>
  <c r="AO1610" i="202"/>
  <c r="AO1611" i="202"/>
  <c r="AO1612" i="202"/>
  <c r="AO1613" i="202"/>
  <c r="AO1614" i="202"/>
  <c r="AO1615" i="202"/>
  <c r="AO1616" i="202"/>
  <c r="AO1617" i="202"/>
  <c r="AO1618" i="202"/>
  <c r="AO1619" i="202"/>
  <c r="AO1620" i="202"/>
  <c r="AO1621" i="202"/>
  <c r="AO1622" i="202"/>
  <c r="AO1623" i="202"/>
  <c r="AO1624" i="202"/>
  <c r="AO1625" i="202"/>
  <c r="AO1626" i="202"/>
  <c r="AO1627" i="202"/>
  <c r="AO1628" i="202"/>
  <c r="AO1629" i="202"/>
  <c r="AO1630" i="202"/>
  <c r="AO1631" i="202"/>
  <c r="AO1632" i="202"/>
  <c r="AO1633" i="202"/>
  <c r="AO1634" i="202"/>
  <c r="AO1635" i="202"/>
  <c r="AO1636" i="202"/>
  <c r="AO1637" i="202"/>
  <c r="AO1638" i="202"/>
  <c r="AO1639" i="202"/>
  <c r="AO1640" i="202"/>
  <c r="AO1641" i="202"/>
  <c r="AO1642" i="202"/>
  <c r="AO1643" i="202"/>
  <c r="AO1644" i="202"/>
  <c r="AO1645" i="202"/>
  <c r="AO1646" i="202"/>
  <c r="AO1647" i="202"/>
  <c r="AO1648" i="202"/>
  <c r="AO1649" i="202"/>
  <c r="AO1650" i="202"/>
  <c r="AO1651" i="202"/>
  <c r="AO1652" i="202"/>
  <c r="AO1653" i="202"/>
  <c r="AO1654" i="202"/>
  <c r="AO1655" i="202"/>
  <c r="AO1656" i="202"/>
  <c r="AO1657" i="202"/>
  <c r="AO1658" i="202"/>
  <c r="AO1659" i="202"/>
  <c r="AO1660" i="202"/>
  <c r="AO1661" i="202"/>
  <c r="AO1662" i="202"/>
  <c r="AO1663" i="202"/>
  <c r="AO1664" i="202"/>
  <c r="AO1665" i="202"/>
  <c r="AO1666" i="202"/>
  <c r="AO1667" i="202"/>
  <c r="AO1668" i="202"/>
  <c r="AO1669" i="202"/>
  <c r="AO1670" i="202"/>
  <c r="AO1671" i="202"/>
  <c r="AO1672" i="202"/>
  <c r="AO1673" i="202"/>
  <c r="AO1674" i="202"/>
  <c r="AO1675" i="202"/>
  <c r="AO1676" i="202"/>
  <c r="AO1677" i="202"/>
  <c r="AO1678" i="202"/>
  <c r="AO1679" i="202"/>
  <c r="AO1680" i="202"/>
  <c r="AO1681" i="202"/>
  <c r="AO1682" i="202"/>
  <c r="AO1683" i="202"/>
  <c r="AO1684" i="202"/>
  <c r="AO1685" i="202"/>
  <c r="AO1686" i="202"/>
  <c r="AO1687" i="202"/>
  <c r="AO1688" i="202"/>
  <c r="AO1689" i="202"/>
  <c r="AO1690" i="202"/>
  <c r="AO1691" i="202"/>
  <c r="AO1692" i="202"/>
  <c r="AO1693" i="202"/>
  <c r="AO1694" i="202"/>
  <c r="AO1695" i="202"/>
  <c r="AO1696" i="202"/>
  <c r="AO1697" i="202"/>
  <c r="AO1698" i="202"/>
  <c r="AO1699" i="202"/>
  <c r="AO1700" i="202"/>
  <c r="AO1701" i="202"/>
  <c r="AO1702" i="202"/>
  <c r="AO1703" i="202"/>
  <c r="AO1704" i="202"/>
  <c r="AO1705" i="202"/>
  <c r="AO1706" i="202"/>
  <c r="AO1707" i="202"/>
  <c r="AO1708" i="202"/>
  <c r="AO1709" i="202"/>
  <c r="AO1710" i="202"/>
  <c r="AO1711" i="202"/>
  <c r="AO1712" i="202"/>
  <c r="AO1713" i="202"/>
  <c r="AO1714" i="202"/>
  <c r="AO1715" i="202"/>
  <c r="AO1716" i="202"/>
  <c r="AO1717" i="202"/>
  <c r="AO1718" i="202"/>
  <c r="AO1719" i="202"/>
  <c r="AO1720" i="202"/>
  <c r="AO1721" i="202"/>
  <c r="AO1722" i="202"/>
  <c r="AO1723" i="202"/>
  <c r="AO1724" i="202"/>
  <c r="AO1725" i="202"/>
  <c r="AO1726" i="202"/>
  <c r="AO1727" i="202"/>
  <c r="AO1728" i="202"/>
  <c r="AO1729" i="202"/>
  <c r="AO1730" i="202"/>
  <c r="AO1731" i="202"/>
  <c r="AO1732" i="202"/>
  <c r="AO1733" i="202"/>
  <c r="AO1734" i="202"/>
  <c r="AO1735" i="202"/>
  <c r="AO1736" i="202"/>
  <c r="AO1737" i="202"/>
  <c r="AO1738" i="202"/>
  <c r="AO1739" i="202"/>
  <c r="AO1740" i="202"/>
  <c r="AO1741" i="202"/>
  <c r="AO1742" i="202"/>
  <c r="AO1743" i="202"/>
  <c r="AO1744" i="202"/>
  <c r="AO1745" i="202"/>
  <c r="AO1746" i="202"/>
  <c r="AO1747" i="202"/>
  <c r="AO1748" i="202"/>
  <c r="AO1749" i="202"/>
  <c r="AO1750" i="202"/>
  <c r="AO1751" i="202"/>
  <c r="AO1752" i="202"/>
  <c r="AO1753" i="202"/>
  <c r="AO1754" i="202"/>
  <c r="AO1755" i="202"/>
  <c r="AO1756" i="202"/>
  <c r="AO1757" i="202"/>
  <c r="AO1758" i="202"/>
  <c r="AO1759" i="202"/>
  <c r="AO1760" i="202"/>
  <c r="AO1761" i="202"/>
  <c r="AO1762" i="202"/>
  <c r="AO1763" i="202"/>
  <c r="AO1764" i="202"/>
  <c r="AO1765" i="202"/>
  <c r="AO1766" i="202"/>
  <c r="AO1767" i="202"/>
  <c r="AO1768" i="202"/>
  <c r="AO1769" i="202"/>
  <c r="AO1770" i="202"/>
  <c r="AO1771" i="202"/>
  <c r="AO1772" i="202"/>
  <c r="AO1773" i="202"/>
  <c r="AO1774" i="202"/>
  <c r="AO1775" i="202"/>
  <c r="AO1776" i="202"/>
  <c r="AO1777" i="202"/>
  <c r="AO1778" i="202"/>
  <c r="AO1779" i="202"/>
  <c r="AO1780" i="202"/>
  <c r="AO1781" i="202"/>
  <c r="AO1782" i="202"/>
  <c r="AO1783" i="202"/>
  <c r="AO1784" i="202"/>
  <c r="AO1785" i="202"/>
  <c r="AO1786" i="202"/>
  <c r="AO1787" i="202"/>
  <c r="AO1788" i="202"/>
  <c r="AO1789" i="202"/>
  <c r="AO1790" i="202"/>
  <c r="AO1791" i="202"/>
  <c r="AO1792" i="202"/>
  <c r="AO1793" i="202"/>
  <c r="AO1794" i="202"/>
  <c r="AO1795" i="202"/>
  <c r="AO1796" i="202"/>
  <c r="AO1797" i="202"/>
  <c r="AO1798" i="202"/>
  <c r="AO1799" i="202"/>
  <c r="AO1800" i="202"/>
  <c r="AO1801" i="202"/>
  <c r="AO1802" i="202"/>
  <c r="AO1803" i="202"/>
  <c r="AO1804" i="202"/>
  <c r="AO1805" i="202"/>
  <c r="AO1806" i="202"/>
  <c r="AO1807" i="202"/>
  <c r="AO1808" i="202"/>
  <c r="AO1809" i="202"/>
  <c r="AO1810" i="202"/>
  <c r="AO1811" i="202"/>
  <c r="AO1812" i="202"/>
  <c r="AO1813" i="202"/>
  <c r="AO1814" i="202"/>
  <c r="AO1815" i="202"/>
  <c r="AO1816" i="202"/>
  <c r="AO1817" i="202"/>
  <c r="AO1818" i="202"/>
  <c r="AO1819" i="202"/>
  <c r="AO1820" i="202"/>
  <c r="AO1821" i="202"/>
  <c r="AO1822" i="202"/>
  <c r="AO1823" i="202"/>
  <c r="AO1824" i="202"/>
  <c r="AO1825" i="202"/>
  <c r="AO1826" i="202"/>
  <c r="AO1827" i="202"/>
  <c r="AO1828" i="202"/>
  <c r="AO1829" i="202"/>
  <c r="AO1830" i="202"/>
  <c r="AO1831" i="202"/>
  <c r="AO1832" i="202"/>
  <c r="AO1833" i="202"/>
  <c r="AO1834" i="202"/>
  <c r="AO1835" i="202"/>
  <c r="AO1836" i="202"/>
  <c r="AO1837" i="202"/>
  <c r="AO1838" i="202"/>
  <c r="AO1839" i="202"/>
  <c r="AO1840" i="202"/>
  <c r="AO1841" i="202"/>
  <c r="AO1842" i="202"/>
  <c r="AO1843" i="202"/>
  <c r="AO1844" i="202"/>
  <c r="AO1845" i="202"/>
  <c r="AO1846" i="202"/>
  <c r="AO1847" i="202"/>
  <c r="AO1848" i="202"/>
  <c r="AO1849" i="202"/>
  <c r="AO1850" i="202"/>
  <c r="AO1851" i="202"/>
  <c r="AO1852" i="202"/>
  <c r="AO1853" i="202"/>
  <c r="AO1854" i="202"/>
  <c r="AO1855" i="202"/>
  <c r="AO1856" i="202"/>
  <c r="AO1857" i="202"/>
  <c r="AO1858" i="202"/>
  <c r="AO1859" i="202"/>
  <c r="AO1860" i="202"/>
  <c r="AO1861" i="202"/>
  <c r="AO1862" i="202"/>
  <c r="AO1863" i="202"/>
  <c r="AO1864" i="202"/>
  <c r="AO1865" i="202"/>
  <c r="AO1866" i="202"/>
  <c r="AO1867" i="202"/>
  <c r="AO1868" i="202"/>
  <c r="AO1869" i="202"/>
  <c r="AO1870" i="202"/>
  <c r="AO1871" i="202"/>
  <c r="AO1872" i="202"/>
  <c r="AO1873" i="202"/>
  <c r="AO1874" i="202"/>
  <c r="AO1875" i="202"/>
  <c r="AO1876" i="202"/>
  <c r="AO1877" i="202"/>
  <c r="AO1878" i="202"/>
  <c r="AO1879" i="202"/>
  <c r="AO1880" i="202"/>
  <c r="AO1881" i="202"/>
  <c r="AO1882" i="202"/>
  <c r="AO1883" i="202"/>
  <c r="AO1884" i="202"/>
  <c r="AO1885" i="202"/>
  <c r="AO1886" i="202"/>
  <c r="AO1887" i="202"/>
  <c r="AO1888" i="202"/>
  <c r="AO1889" i="202"/>
  <c r="AO1890" i="202"/>
  <c r="AO1891" i="202"/>
  <c r="AO1892" i="202"/>
  <c r="AO1893" i="202"/>
  <c r="AO1894" i="202"/>
  <c r="AO1895" i="202"/>
  <c r="AO1896" i="202"/>
  <c r="AO1897" i="202"/>
  <c r="AO1898" i="202"/>
  <c r="AO1899" i="202"/>
  <c r="AO1900" i="202"/>
  <c r="AO1901" i="202"/>
  <c r="AO1902" i="202"/>
  <c r="AO1903" i="202"/>
  <c r="AO1904" i="202"/>
  <c r="AO1905" i="202"/>
  <c r="AO1906" i="202"/>
  <c r="AO1907" i="202"/>
  <c r="AO1908" i="202"/>
  <c r="AO1909" i="202"/>
  <c r="AO1910" i="202"/>
  <c r="AO1911" i="202"/>
  <c r="AO1912" i="202"/>
  <c r="AO1913" i="202"/>
  <c r="AO1914" i="202"/>
  <c r="AO1915" i="202"/>
  <c r="AO1916" i="202"/>
  <c r="AO1917" i="202"/>
  <c r="AO1918" i="202"/>
  <c r="AO1919" i="202"/>
  <c r="AO1920" i="202"/>
  <c r="AO1921" i="202"/>
  <c r="AO1922" i="202"/>
  <c r="AO1923" i="202"/>
  <c r="AO1924" i="202"/>
  <c r="AO1925" i="202"/>
  <c r="AO1926" i="202"/>
  <c r="AO1927" i="202"/>
  <c r="AO1928" i="202"/>
  <c r="AO1929" i="202"/>
  <c r="AO1930" i="202"/>
  <c r="AO1931" i="202"/>
  <c r="AO1932" i="202"/>
  <c r="AO1933" i="202"/>
  <c r="AO1934" i="202"/>
  <c r="AO1935" i="202"/>
  <c r="AO1936" i="202"/>
  <c r="AO1937" i="202"/>
  <c r="AO1938" i="202"/>
  <c r="AO1939" i="202"/>
  <c r="AO1940" i="202"/>
  <c r="AO1941" i="202"/>
  <c r="AO1942" i="202"/>
  <c r="AO1943" i="202"/>
  <c r="AO1944" i="202"/>
  <c r="AO1945" i="202"/>
  <c r="AO1946" i="202"/>
  <c r="AO1947" i="202"/>
  <c r="AO1948" i="202"/>
  <c r="AO1949" i="202"/>
  <c r="AO1950" i="202"/>
  <c r="AO1951" i="202"/>
  <c r="AO1952" i="202"/>
  <c r="AO1953" i="202"/>
  <c r="AO1954" i="202"/>
  <c r="AO1955" i="202"/>
  <c r="AO1956" i="202"/>
  <c r="AO1957" i="202"/>
  <c r="AO1958" i="202"/>
  <c r="AO1959" i="202"/>
  <c r="AO1960" i="202"/>
  <c r="AO1961" i="202"/>
  <c r="AO1962" i="202"/>
  <c r="AO1963" i="202"/>
  <c r="AO1964" i="202"/>
  <c r="AO1965" i="202"/>
  <c r="AO1966" i="202"/>
  <c r="AO1967" i="202"/>
  <c r="AO1968" i="202"/>
  <c r="AO1969" i="202"/>
  <c r="AO1970" i="202"/>
  <c r="AO1971" i="202"/>
  <c r="AO1972" i="202"/>
  <c r="AO1973" i="202"/>
  <c r="AO1974" i="202"/>
  <c r="AO1975" i="202"/>
  <c r="AO1976" i="202"/>
  <c r="AO1977" i="202"/>
  <c r="AO1978" i="202"/>
  <c r="AO1979" i="202"/>
  <c r="AO1980" i="202"/>
  <c r="AO1981" i="202"/>
  <c r="AO1982" i="202"/>
  <c r="AO1983" i="202"/>
  <c r="AO1984" i="202"/>
  <c r="AO1985" i="202"/>
  <c r="AO1986" i="202"/>
  <c r="AO1987" i="202"/>
  <c r="AO1988" i="202"/>
  <c r="AO1989" i="202"/>
  <c r="AO1990" i="202"/>
  <c r="AO1991" i="202"/>
  <c r="AO1992" i="202"/>
  <c r="AO1993" i="202"/>
  <c r="AO1994" i="202"/>
  <c r="AO1995" i="202"/>
  <c r="AO1996" i="202"/>
  <c r="AO1997" i="202"/>
  <c r="AO1998" i="202"/>
  <c r="AO1999" i="202"/>
  <c r="AO2000" i="202"/>
  <c r="AO2001" i="202"/>
  <c r="AO2002" i="202"/>
  <c r="AO2003" i="202"/>
  <c r="AO2004" i="202"/>
  <c r="AO2005" i="202"/>
  <c r="AO2006" i="202"/>
  <c r="AO2007" i="202"/>
  <c r="AO2008" i="202"/>
  <c r="AO2009" i="202"/>
  <c r="AO2010" i="202"/>
  <c r="AO2011" i="202"/>
  <c r="AO2012" i="202"/>
  <c r="AO2013" i="202"/>
  <c r="AO2014" i="202"/>
  <c r="AO2015" i="202"/>
  <c r="AO2016" i="202"/>
  <c r="AO2017" i="202"/>
  <c r="AO2018" i="202"/>
  <c r="AO2019" i="202"/>
  <c r="AO2020" i="202"/>
  <c r="AO2021" i="202"/>
  <c r="AO2022" i="202"/>
  <c r="AO2023" i="202"/>
  <c r="AO2024" i="202"/>
  <c r="AO2025" i="202"/>
  <c r="AO2026" i="202"/>
  <c r="AO2027" i="202"/>
  <c r="AO2028" i="202"/>
  <c r="AO2029" i="202"/>
  <c r="AO2030" i="202"/>
  <c r="AO2031" i="202"/>
  <c r="AO2032" i="202"/>
  <c r="AO2033" i="202"/>
  <c r="AO2034" i="202"/>
  <c r="AO2035" i="202"/>
  <c r="AO2036" i="202"/>
  <c r="AO2037" i="202"/>
  <c r="AO2038" i="202"/>
  <c r="AO2039" i="202"/>
  <c r="AO2040" i="202"/>
  <c r="AO2041" i="202"/>
  <c r="AO2042" i="202"/>
  <c r="AO2043" i="202"/>
  <c r="AO2044" i="202"/>
  <c r="AO2045" i="202"/>
  <c r="AO2046" i="202"/>
  <c r="AO2047" i="202"/>
  <c r="AO2048" i="202"/>
  <c r="AA2" i="202"/>
  <c r="AA3" i="202"/>
  <c r="AA4" i="202"/>
  <c r="AA5" i="202"/>
  <c r="AA6" i="202"/>
  <c r="AA7" i="202"/>
  <c r="AA8" i="202"/>
  <c r="AA9" i="202"/>
  <c r="AA10" i="202"/>
  <c r="AA11" i="202"/>
  <c r="AA12" i="202"/>
  <c r="AA13" i="202"/>
  <c r="AA14" i="202"/>
  <c r="AA15" i="202"/>
  <c r="AA16" i="202"/>
  <c r="AA17" i="202"/>
  <c r="AA18" i="202"/>
  <c r="AA19" i="202"/>
  <c r="AA20" i="202"/>
  <c r="AA21" i="202"/>
  <c r="AA22" i="202"/>
  <c r="AA23" i="202"/>
  <c r="AA24" i="202"/>
  <c r="AA25" i="202"/>
  <c r="AA26" i="202"/>
  <c r="AA27" i="202"/>
  <c r="AA28" i="202"/>
  <c r="AA29" i="202"/>
  <c r="AA30" i="202"/>
  <c r="AA31" i="202"/>
  <c r="AA32" i="202"/>
  <c r="AA33" i="202"/>
  <c r="AA34" i="202"/>
  <c r="AA35" i="202"/>
  <c r="AA36" i="202"/>
  <c r="AA37" i="202"/>
  <c r="AA38" i="202"/>
  <c r="AA39" i="202"/>
  <c r="AA40" i="202"/>
  <c r="AA41" i="202"/>
  <c r="AA42" i="202"/>
  <c r="AA43" i="202"/>
  <c r="AA44" i="202"/>
  <c r="AA45" i="202"/>
  <c r="AA46" i="202"/>
  <c r="AA47" i="202"/>
  <c r="AA48" i="202"/>
  <c r="AA49" i="202"/>
  <c r="AA50" i="202"/>
  <c r="AA51" i="202"/>
  <c r="AA52" i="202"/>
  <c r="AA53" i="202"/>
  <c r="AA54" i="202"/>
  <c r="AA55" i="202"/>
  <c r="AA56" i="202"/>
  <c r="AA57" i="202"/>
  <c r="AA58" i="202"/>
  <c r="AA59" i="202"/>
  <c r="AA60" i="202"/>
  <c r="AA61" i="202"/>
  <c r="AA62" i="202"/>
  <c r="AA63" i="202"/>
  <c r="AA64" i="202"/>
  <c r="AA65" i="202"/>
  <c r="AA66" i="202"/>
  <c r="AA67" i="202"/>
  <c r="AA68" i="202"/>
  <c r="AA69" i="202"/>
  <c r="AA70" i="202"/>
  <c r="AA71" i="202"/>
  <c r="AA72" i="202"/>
  <c r="AA73" i="202"/>
  <c r="AA74" i="202"/>
  <c r="AA75" i="202"/>
  <c r="AA76" i="202"/>
  <c r="AA77" i="202"/>
  <c r="AA78" i="202"/>
  <c r="AA79" i="202"/>
  <c r="AA80" i="202"/>
  <c r="AA81" i="202"/>
  <c r="AA82" i="202"/>
  <c r="AA83" i="202"/>
  <c r="AA84" i="202"/>
  <c r="AA85" i="202"/>
  <c r="AA86" i="202"/>
  <c r="AA87" i="202"/>
  <c r="AA88" i="202"/>
  <c r="AA89" i="202"/>
  <c r="AA90" i="202"/>
  <c r="AA91" i="202"/>
  <c r="AA92" i="202"/>
  <c r="AA93" i="202"/>
  <c r="AA94" i="202"/>
  <c r="AA95" i="202"/>
  <c r="AA96" i="202"/>
  <c r="AA97" i="202"/>
  <c r="AA98" i="202"/>
  <c r="AA99" i="202"/>
  <c r="AA100" i="202"/>
  <c r="AA101" i="202"/>
  <c r="AA102" i="202"/>
  <c r="AA103" i="202"/>
  <c r="AA104" i="202"/>
  <c r="AA105" i="202"/>
  <c r="AA106" i="202"/>
  <c r="AA107" i="202"/>
  <c r="AA108" i="202"/>
  <c r="AA109" i="202"/>
  <c r="AA110" i="202"/>
  <c r="AA111" i="202"/>
  <c r="AA112" i="202"/>
  <c r="AA113" i="202"/>
  <c r="AA114" i="202"/>
  <c r="AA115" i="202"/>
  <c r="AA116" i="202"/>
  <c r="AA117" i="202"/>
  <c r="AA118" i="202"/>
  <c r="AA119" i="202"/>
  <c r="AA120" i="202"/>
  <c r="AA121" i="202"/>
  <c r="AA122" i="202"/>
  <c r="AA123" i="202"/>
  <c r="AA124" i="202"/>
  <c r="AA125" i="202"/>
  <c r="AA126" i="202"/>
  <c r="AA127" i="202"/>
  <c r="AA128" i="202"/>
  <c r="AA129" i="202"/>
  <c r="AA130" i="202"/>
  <c r="AA131" i="202"/>
  <c r="AA132" i="202"/>
  <c r="AA133" i="202"/>
  <c r="AA134" i="202"/>
  <c r="AA135" i="202"/>
  <c r="AA136" i="202"/>
  <c r="AA137" i="202"/>
  <c r="AA138" i="202"/>
  <c r="AA139" i="202"/>
  <c r="AA140" i="202"/>
  <c r="AA141" i="202"/>
  <c r="AA142" i="202"/>
  <c r="AA143" i="202"/>
  <c r="AA144" i="202"/>
  <c r="AA145" i="202"/>
  <c r="AA146" i="202"/>
  <c r="AA147" i="202"/>
  <c r="AA148" i="202"/>
  <c r="AA149" i="202"/>
  <c r="AA150" i="202"/>
  <c r="AA151" i="202"/>
  <c r="AA152" i="202"/>
  <c r="AA153" i="202"/>
  <c r="AA154" i="202"/>
  <c r="AA155" i="202"/>
  <c r="AA156" i="202"/>
  <c r="AA157" i="202"/>
  <c r="AA158" i="202"/>
  <c r="AA159" i="202"/>
  <c r="AA160" i="202"/>
  <c r="AA161" i="202"/>
  <c r="AA162" i="202"/>
  <c r="AA163" i="202"/>
  <c r="AA164" i="202"/>
  <c r="AA165" i="202"/>
  <c r="AA166" i="202"/>
  <c r="AA167" i="202"/>
  <c r="AA168" i="202"/>
  <c r="AA169" i="202"/>
  <c r="AA170" i="202"/>
  <c r="AA171" i="202"/>
  <c r="AA172" i="202"/>
  <c r="AA173" i="202"/>
  <c r="AA174" i="202"/>
  <c r="AA175" i="202"/>
  <c r="AA176" i="202"/>
  <c r="AA177" i="202"/>
  <c r="AA178" i="202"/>
  <c r="AA179" i="202"/>
  <c r="AA180" i="202"/>
  <c r="AA181" i="202"/>
  <c r="AA182" i="202"/>
  <c r="AA183" i="202"/>
  <c r="AA184" i="202"/>
  <c r="AA185" i="202"/>
  <c r="AA186" i="202"/>
  <c r="AA187" i="202"/>
  <c r="AA188" i="202"/>
  <c r="AA189" i="202"/>
  <c r="AA190" i="202"/>
  <c r="AA191" i="202"/>
  <c r="AA192" i="202"/>
  <c r="AA193" i="202"/>
  <c r="AA194" i="202"/>
  <c r="AA195" i="202"/>
  <c r="AA196" i="202"/>
  <c r="AA197" i="202"/>
  <c r="AA198" i="202"/>
  <c r="AA199" i="202"/>
  <c r="AA200" i="202"/>
  <c r="AA201" i="202"/>
  <c r="AA202" i="202"/>
  <c r="AA203" i="202"/>
  <c r="AA204" i="202"/>
  <c r="AA205" i="202"/>
  <c r="AA206" i="202"/>
  <c r="AA207" i="202"/>
  <c r="AA208" i="202"/>
  <c r="AA209" i="202"/>
  <c r="AA210" i="202"/>
  <c r="AA211" i="202"/>
  <c r="AA212" i="202"/>
  <c r="AA213" i="202"/>
  <c r="AA214" i="202"/>
  <c r="AA215" i="202"/>
  <c r="AA216" i="202"/>
  <c r="AA217" i="202"/>
  <c r="AA218" i="202"/>
  <c r="AA219" i="202"/>
  <c r="AA220" i="202"/>
  <c r="AA221" i="202"/>
  <c r="AA222" i="202"/>
  <c r="AA223" i="202"/>
  <c r="AA224" i="202"/>
  <c r="AA225" i="202"/>
  <c r="AA226" i="202"/>
  <c r="AA227" i="202"/>
  <c r="AA228" i="202"/>
  <c r="AA229" i="202"/>
  <c r="AA230" i="202"/>
  <c r="AA231" i="202"/>
  <c r="AA232" i="202"/>
  <c r="AA233" i="202"/>
  <c r="AA234" i="202"/>
  <c r="AA235" i="202"/>
  <c r="AA236" i="202"/>
  <c r="AA237" i="202"/>
  <c r="AA238" i="202"/>
  <c r="AA239" i="202"/>
  <c r="AA240" i="202"/>
  <c r="AA241" i="202"/>
  <c r="AA242" i="202"/>
  <c r="AA243" i="202"/>
  <c r="AA244" i="202"/>
  <c r="AA245" i="202"/>
  <c r="AA246" i="202"/>
  <c r="AA247" i="202"/>
  <c r="AA248" i="202"/>
  <c r="AA249" i="202"/>
  <c r="AA250" i="202"/>
  <c r="AA251" i="202"/>
  <c r="AA252" i="202"/>
  <c r="AA253" i="202"/>
  <c r="AA254" i="202"/>
  <c r="AA255" i="202"/>
  <c r="AA256" i="202"/>
  <c r="AA257" i="202"/>
  <c r="AA258" i="202"/>
  <c r="AA259" i="202"/>
  <c r="AA260" i="202"/>
  <c r="AA261" i="202"/>
  <c r="AA262" i="202"/>
  <c r="AA263" i="202"/>
  <c r="AA264" i="202"/>
  <c r="AA265" i="202"/>
  <c r="AA266" i="202"/>
  <c r="AA267" i="202"/>
  <c r="AA268" i="202"/>
  <c r="AA269" i="202"/>
  <c r="AA270" i="202"/>
  <c r="AA271" i="202"/>
  <c r="AA272" i="202"/>
  <c r="AA273" i="202"/>
  <c r="AA274" i="202"/>
  <c r="AA275" i="202"/>
  <c r="AA276" i="202"/>
  <c r="AA277" i="202"/>
  <c r="AA278" i="202"/>
  <c r="AA279" i="202"/>
  <c r="AA280" i="202"/>
  <c r="AA281" i="202"/>
  <c r="AA282" i="202"/>
  <c r="AA283" i="202"/>
  <c r="AA284" i="202"/>
  <c r="AA285" i="202"/>
  <c r="AA286" i="202"/>
  <c r="AA287" i="202"/>
  <c r="AA288" i="202"/>
  <c r="AA289" i="202"/>
  <c r="AA290" i="202"/>
  <c r="AA291" i="202"/>
  <c r="AA292" i="202"/>
  <c r="AA293" i="202"/>
  <c r="AA294" i="202"/>
  <c r="AA295" i="202"/>
  <c r="AA296" i="202"/>
  <c r="AA297" i="202"/>
  <c r="AA298" i="202"/>
  <c r="AA299" i="202"/>
  <c r="AA300" i="202"/>
  <c r="AA301" i="202"/>
  <c r="AA302" i="202"/>
  <c r="AA303" i="202"/>
  <c r="AA304" i="202"/>
  <c r="AA305" i="202"/>
  <c r="AA306" i="202"/>
  <c r="AA307" i="202"/>
  <c r="AA308" i="202"/>
  <c r="AA309" i="202"/>
  <c r="AA310" i="202"/>
  <c r="AA311" i="202"/>
  <c r="AA312" i="202"/>
  <c r="AA313" i="202"/>
  <c r="AA314" i="202"/>
  <c r="AA315" i="202"/>
  <c r="AA316" i="202"/>
  <c r="AA317" i="202"/>
  <c r="AA318" i="202"/>
  <c r="AA319" i="202"/>
  <c r="AA320" i="202"/>
  <c r="AA321" i="202"/>
  <c r="AA322" i="202"/>
  <c r="AA323" i="202"/>
  <c r="AA324" i="202"/>
  <c r="AA325" i="202"/>
  <c r="AA326" i="202"/>
  <c r="AA327" i="202"/>
  <c r="AA328" i="202"/>
  <c r="AA329" i="202"/>
  <c r="AA330" i="202"/>
  <c r="AA331" i="202"/>
  <c r="AA332" i="202"/>
  <c r="AA333" i="202"/>
  <c r="AA334" i="202"/>
  <c r="AA335" i="202"/>
  <c r="AA336" i="202"/>
  <c r="AA337" i="202"/>
  <c r="AA338" i="202"/>
  <c r="AA339" i="202"/>
  <c r="AA340" i="202"/>
  <c r="AA341" i="202"/>
  <c r="AA342" i="202"/>
  <c r="AA343" i="202"/>
  <c r="AA344" i="202"/>
  <c r="AA345" i="202"/>
  <c r="AA346" i="202"/>
  <c r="AA347" i="202"/>
  <c r="AA348" i="202"/>
  <c r="AA349" i="202"/>
  <c r="AA350" i="202"/>
  <c r="AA351" i="202"/>
  <c r="AA352" i="202"/>
  <c r="AA353" i="202"/>
  <c r="AA354" i="202"/>
  <c r="AA355" i="202"/>
  <c r="AA356" i="202"/>
  <c r="AA357" i="202"/>
  <c r="AA358" i="202"/>
  <c r="AA359" i="202"/>
  <c r="AA360" i="202"/>
  <c r="AA361" i="202"/>
  <c r="AA362" i="202"/>
  <c r="AA363" i="202"/>
  <c r="AA364" i="202"/>
  <c r="AA365" i="202"/>
  <c r="AA366" i="202"/>
  <c r="AA367" i="202"/>
  <c r="AA368" i="202"/>
  <c r="AA369" i="202"/>
  <c r="AA370" i="202"/>
  <c r="AA371" i="202"/>
  <c r="AA372" i="202"/>
  <c r="AA373" i="202"/>
  <c r="AA374" i="202"/>
  <c r="AA375" i="202"/>
  <c r="AA376" i="202"/>
  <c r="AA377" i="202"/>
  <c r="AA378" i="202"/>
  <c r="AA379" i="202"/>
  <c r="AA380" i="202"/>
  <c r="AA381" i="202"/>
  <c r="AA382" i="202"/>
  <c r="AA383" i="202"/>
  <c r="AA384" i="202"/>
  <c r="AA385" i="202"/>
  <c r="AA386" i="202"/>
  <c r="AA387" i="202"/>
  <c r="AA388" i="202"/>
  <c r="AA389" i="202"/>
  <c r="AA390" i="202"/>
  <c r="AA391" i="202"/>
  <c r="AA392" i="202"/>
  <c r="AA393" i="202"/>
  <c r="AA394" i="202"/>
  <c r="AA395" i="202"/>
  <c r="AA396" i="202"/>
  <c r="AA397" i="202"/>
  <c r="AA398" i="202"/>
  <c r="AA399" i="202"/>
  <c r="AA400" i="202"/>
  <c r="AA401" i="202"/>
  <c r="AA402" i="202"/>
  <c r="AA403" i="202"/>
  <c r="AA404" i="202"/>
  <c r="AA405" i="202"/>
  <c r="AA406" i="202"/>
  <c r="AA407" i="202"/>
  <c r="AA408" i="202"/>
  <c r="AA409" i="202"/>
  <c r="AA410" i="202"/>
  <c r="AA411" i="202"/>
  <c r="AA412" i="202"/>
  <c r="AA413" i="202"/>
  <c r="AA414" i="202"/>
  <c r="AA415" i="202"/>
  <c r="AA416" i="202"/>
  <c r="AA417" i="202"/>
  <c r="AA418" i="202"/>
  <c r="AA419" i="202"/>
  <c r="AA420" i="202"/>
  <c r="AA421" i="202"/>
  <c r="AA422" i="202"/>
  <c r="AA423" i="202"/>
  <c r="AA424" i="202"/>
  <c r="AA425" i="202"/>
  <c r="AA426" i="202"/>
  <c r="AA427" i="202"/>
  <c r="AA428" i="202"/>
  <c r="AA429" i="202"/>
  <c r="AA430" i="202"/>
  <c r="AA431" i="202"/>
  <c r="AA432" i="202"/>
  <c r="AA433" i="202"/>
  <c r="AA434" i="202"/>
  <c r="AA435" i="202"/>
  <c r="AA436" i="202"/>
  <c r="AA437" i="202"/>
  <c r="AA438" i="202"/>
  <c r="AA439" i="202"/>
  <c r="AA440" i="202"/>
  <c r="AA441" i="202"/>
  <c r="AA442" i="202"/>
  <c r="AA443" i="202"/>
  <c r="AA444" i="202"/>
  <c r="AA445" i="202"/>
  <c r="AA446" i="202"/>
  <c r="AA447" i="202"/>
  <c r="AA448" i="202"/>
  <c r="AA449" i="202"/>
  <c r="AA450" i="202"/>
  <c r="AA451" i="202"/>
  <c r="AA452" i="202"/>
  <c r="AA453" i="202"/>
  <c r="AA454" i="202"/>
  <c r="AA455" i="202"/>
  <c r="AA456" i="202"/>
  <c r="AA457" i="202"/>
  <c r="AA458" i="202"/>
  <c r="AA459" i="202"/>
  <c r="AA460" i="202"/>
  <c r="AA461" i="202"/>
  <c r="AA462" i="202"/>
  <c r="AA463" i="202"/>
  <c r="AA464" i="202"/>
  <c r="AA465" i="202"/>
  <c r="AA466" i="202"/>
  <c r="AA467" i="202"/>
  <c r="AA468" i="202"/>
  <c r="AA469" i="202"/>
  <c r="AA470" i="202"/>
  <c r="AA471" i="202"/>
  <c r="AA472" i="202"/>
  <c r="AA473" i="202"/>
  <c r="AA474" i="202"/>
  <c r="AA475" i="202"/>
  <c r="AA476" i="202"/>
  <c r="AA477" i="202"/>
  <c r="AA478" i="202"/>
  <c r="AA479" i="202"/>
  <c r="AA480" i="202"/>
  <c r="AA481" i="202"/>
  <c r="AA482" i="202"/>
  <c r="AA483" i="202"/>
  <c r="AA484" i="202"/>
  <c r="AA485" i="202"/>
  <c r="AA486" i="202"/>
  <c r="AA487" i="202"/>
  <c r="AA488" i="202"/>
  <c r="AA489" i="202"/>
  <c r="AA490" i="202"/>
  <c r="AA491" i="202"/>
  <c r="AA492" i="202"/>
  <c r="AA493" i="202"/>
  <c r="AA494" i="202"/>
  <c r="AA495" i="202"/>
  <c r="AA496" i="202"/>
  <c r="AA497" i="202"/>
  <c r="AA498" i="202"/>
  <c r="AA499" i="202"/>
  <c r="AA500" i="202"/>
  <c r="AA501" i="202"/>
  <c r="AA502" i="202"/>
  <c r="AA503" i="202"/>
  <c r="AA504" i="202"/>
  <c r="AA505" i="202"/>
  <c r="AA506" i="202"/>
  <c r="AA507" i="202"/>
  <c r="AA508" i="202"/>
  <c r="AA509" i="202"/>
  <c r="AA510" i="202"/>
  <c r="AA511" i="202"/>
  <c r="AA512" i="202"/>
  <c r="AA513" i="202"/>
  <c r="AA514" i="202"/>
  <c r="AA515" i="202"/>
  <c r="AA516" i="202"/>
  <c r="AA517" i="202"/>
  <c r="AA518" i="202"/>
  <c r="AA519" i="202"/>
  <c r="AA520" i="202"/>
  <c r="AA521" i="202"/>
  <c r="AA522" i="202"/>
  <c r="AA523" i="202"/>
  <c r="AA524" i="202"/>
  <c r="AA525" i="202"/>
  <c r="AA526" i="202"/>
  <c r="AA527" i="202"/>
  <c r="AA528" i="202"/>
  <c r="AA529" i="202"/>
  <c r="AA530" i="202"/>
  <c r="AA531" i="202"/>
  <c r="AA532" i="202"/>
  <c r="AA533" i="202"/>
  <c r="AA534" i="202"/>
  <c r="AA535" i="202"/>
  <c r="AA536" i="202"/>
  <c r="AA537" i="202"/>
  <c r="AA538" i="202"/>
  <c r="AA539" i="202"/>
  <c r="AA540" i="202"/>
  <c r="AA541" i="202"/>
  <c r="AA542" i="202"/>
  <c r="AA543" i="202"/>
  <c r="AA544" i="202"/>
  <c r="AA545" i="202"/>
  <c r="AA546" i="202"/>
  <c r="AA547" i="202"/>
  <c r="AA548" i="202"/>
  <c r="AA549" i="202"/>
  <c r="AA550" i="202"/>
  <c r="AA551" i="202"/>
  <c r="AA552" i="202"/>
  <c r="AA553" i="202"/>
  <c r="AA554" i="202"/>
  <c r="AA555" i="202"/>
  <c r="AA556" i="202"/>
  <c r="AA557" i="202"/>
  <c r="AA558" i="202"/>
  <c r="AA559" i="202"/>
  <c r="AA560" i="202"/>
  <c r="AA561" i="202"/>
  <c r="AA562" i="202"/>
  <c r="AA563" i="202"/>
  <c r="AA564" i="202"/>
  <c r="AA565" i="202"/>
  <c r="AA566" i="202"/>
  <c r="AA567" i="202"/>
  <c r="AA568" i="202"/>
  <c r="AA569" i="202"/>
  <c r="AA570" i="202"/>
  <c r="AA571" i="202"/>
  <c r="AA572" i="202"/>
  <c r="AA573" i="202"/>
  <c r="AA574" i="202"/>
  <c r="AA575" i="202"/>
  <c r="AA576" i="202"/>
  <c r="AA577" i="202"/>
  <c r="AA578" i="202"/>
  <c r="AA579" i="202"/>
  <c r="AA580" i="202"/>
  <c r="AA581" i="202"/>
  <c r="AA582" i="202"/>
  <c r="AA583" i="202"/>
  <c r="AA584" i="202"/>
  <c r="AA585" i="202"/>
  <c r="AA586" i="202"/>
  <c r="AA587" i="202"/>
  <c r="AA588" i="202"/>
  <c r="AA589" i="202"/>
  <c r="AA590" i="202"/>
  <c r="AA591" i="202"/>
  <c r="AA592" i="202"/>
  <c r="AA593" i="202"/>
  <c r="AA594" i="202"/>
  <c r="AA595" i="202"/>
  <c r="AA596" i="202"/>
  <c r="AA597" i="202"/>
  <c r="AA598" i="202"/>
  <c r="AA599" i="202"/>
  <c r="AA600" i="202"/>
  <c r="AA601" i="202"/>
  <c r="AA602" i="202"/>
  <c r="AA603" i="202"/>
  <c r="AA604" i="202"/>
  <c r="AA605" i="202"/>
  <c r="AA606" i="202"/>
  <c r="AA607" i="202"/>
  <c r="AA608" i="202"/>
  <c r="AA609" i="202"/>
  <c r="AA610" i="202"/>
  <c r="AA611" i="202"/>
  <c r="AA612" i="202"/>
  <c r="AA613" i="202"/>
  <c r="AA614" i="202"/>
  <c r="AA615" i="202"/>
  <c r="AA616" i="202"/>
  <c r="AA617" i="202"/>
  <c r="AA618" i="202"/>
  <c r="AA619" i="202"/>
  <c r="AA620" i="202"/>
  <c r="AA621" i="202"/>
  <c r="AA622" i="202"/>
  <c r="AA623" i="202"/>
  <c r="AA624" i="202"/>
  <c r="AA625" i="202"/>
  <c r="AA626" i="202"/>
  <c r="AA627" i="202"/>
  <c r="AA628" i="202"/>
  <c r="AA629" i="202"/>
  <c r="AA630" i="202"/>
  <c r="AA631" i="202"/>
  <c r="AA632" i="202"/>
  <c r="AA633" i="202"/>
  <c r="AA634" i="202"/>
  <c r="AA635" i="202"/>
  <c r="AA636" i="202"/>
  <c r="AA637" i="202"/>
  <c r="AA638" i="202"/>
  <c r="AA639" i="202"/>
  <c r="AA640" i="202"/>
  <c r="AA641" i="202"/>
  <c r="AA642" i="202"/>
  <c r="AA643" i="202"/>
  <c r="AA644" i="202"/>
  <c r="AA645" i="202"/>
  <c r="AA646" i="202"/>
  <c r="AA647" i="202"/>
  <c r="AA648" i="202"/>
  <c r="AA649" i="202"/>
  <c r="AA650" i="202"/>
  <c r="AA651" i="202"/>
  <c r="AA652" i="202"/>
  <c r="AA653" i="202"/>
  <c r="AA654" i="202"/>
  <c r="AA655" i="202"/>
  <c r="AA656" i="202"/>
  <c r="AA657" i="202"/>
  <c r="AA658" i="202"/>
  <c r="AA659" i="202"/>
  <c r="AA660" i="202"/>
  <c r="AA661" i="202"/>
  <c r="AA662" i="202"/>
  <c r="AA663" i="202"/>
  <c r="AA664" i="202"/>
  <c r="AA665" i="202"/>
  <c r="AA666" i="202"/>
  <c r="AA667" i="202"/>
  <c r="AA668" i="202"/>
  <c r="AA669" i="202"/>
  <c r="AA670" i="202"/>
  <c r="AA671" i="202"/>
  <c r="AA672" i="202"/>
  <c r="AA673" i="202"/>
  <c r="AA674" i="202"/>
  <c r="AA675" i="202"/>
  <c r="AA676" i="202"/>
  <c r="AA677" i="202"/>
  <c r="AA678" i="202"/>
  <c r="AA679" i="202"/>
  <c r="AA680" i="202"/>
  <c r="AA681" i="202"/>
  <c r="AA682" i="202"/>
  <c r="AA683" i="202"/>
  <c r="AA684" i="202"/>
  <c r="AA685" i="202"/>
  <c r="AA686" i="202"/>
  <c r="AA687" i="202"/>
  <c r="AA688" i="202"/>
  <c r="AA689" i="202"/>
  <c r="AA690" i="202"/>
  <c r="AA691" i="202"/>
  <c r="AA692" i="202"/>
  <c r="AA693" i="202"/>
  <c r="AA694" i="202"/>
  <c r="AA695" i="202"/>
  <c r="AA696" i="202"/>
  <c r="AA697" i="202"/>
  <c r="AA698" i="202"/>
  <c r="AA699" i="202"/>
  <c r="AA700" i="202"/>
  <c r="AA701" i="202"/>
  <c r="AA702" i="202"/>
  <c r="AA703" i="202"/>
  <c r="AA704" i="202"/>
  <c r="AA705" i="202"/>
  <c r="AA706" i="202"/>
  <c r="AA707" i="202"/>
  <c r="AA708" i="202"/>
  <c r="AA709" i="202"/>
  <c r="AA710" i="202"/>
  <c r="AA711" i="202"/>
  <c r="AA712" i="202"/>
  <c r="AA713" i="202"/>
  <c r="AA714" i="202"/>
  <c r="AA715" i="202"/>
  <c r="AA716" i="202"/>
  <c r="AA717" i="202"/>
  <c r="AA718" i="202"/>
  <c r="AA719" i="202"/>
  <c r="AA720" i="202"/>
  <c r="AA721" i="202"/>
  <c r="AA722" i="202"/>
  <c r="AA723" i="202"/>
  <c r="AA724" i="202"/>
  <c r="AA725" i="202"/>
  <c r="AA726" i="202"/>
  <c r="AA727" i="202"/>
  <c r="AA728" i="202"/>
  <c r="AA729" i="202"/>
  <c r="AA730" i="202"/>
  <c r="AA731" i="202"/>
  <c r="AA732" i="202"/>
  <c r="AA733" i="202"/>
  <c r="AA734" i="202"/>
  <c r="AA735" i="202"/>
  <c r="AA736" i="202"/>
  <c r="AA737" i="202"/>
  <c r="AA738" i="202"/>
  <c r="AA739" i="202"/>
  <c r="AA740" i="202"/>
  <c r="AA741" i="202"/>
  <c r="AA742" i="202"/>
  <c r="AA743" i="202"/>
  <c r="AA744" i="202"/>
  <c r="AA745" i="202"/>
  <c r="AA746" i="202"/>
  <c r="AA747" i="202"/>
  <c r="AA748" i="202"/>
  <c r="AA749" i="202"/>
  <c r="AA750" i="202"/>
  <c r="AA751" i="202"/>
  <c r="AA752" i="202"/>
  <c r="AA753" i="202"/>
  <c r="AA754" i="202"/>
  <c r="AA755" i="202"/>
  <c r="AA756" i="202"/>
  <c r="AA757" i="202"/>
  <c r="AA758" i="202"/>
  <c r="AA759" i="202"/>
  <c r="AA760" i="202"/>
  <c r="AA761" i="202"/>
  <c r="AA762" i="202"/>
  <c r="AA763" i="202"/>
  <c r="AA764" i="202"/>
  <c r="AA765" i="202"/>
  <c r="AA766" i="202"/>
  <c r="AA767" i="202"/>
  <c r="AA768" i="202"/>
  <c r="AA769" i="202"/>
  <c r="AA770" i="202"/>
  <c r="AA771" i="202"/>
  <c r="AA772" i="202"/>
  <c r="AA773" i="202"/>
  <c r="AA774" i="202"/>
  <c r="AA775" i="202"/>
  <c r="AA776" i="202"/>
  <c r="AA777" i="202"/>
  <c r="AA778" i="202"/>
  <c r="AA779" i="202"/>
  <c r="AA780" i="202"/>
  <c r="AA781" i="202"/>
  <c r="AA782" i="202"/>
  <c r="AA783" i="202"/>
  <c r="AA784" i="202"/>
  <c r="AA785" i="202"/>
  <c r="AA786" i="202"/>
  <c r="AA787" i="202"/>
  <c r="AA788" i="202"/>
  <c r="AA789" i="202"/>
  <c r="AA790" i="202"/>
  <c r="AA791" i="202"/>
  <c r="AA792" i="202"/>
  <c r="AA793" i="202"/>
  <c r="AA794" i="202"/>
  <c r="AA795" i="202"/>
  <c r="AA796" i="202"/>
  <c r="AA797" i="202"/>
  <c r="AA798" i="202"/>
  <c r="AA799" i="202"/>
  <c r="AA800" i="202"/>
  <c r="AA801" i="202"/>
  <c r="AA802" i="202"/>
  <c r="AA803" i="202"/>
  <c r="AA804" i="202"/>
  <c r="AA805" i="202"/>
  <c r="AA806" i="202"/>
  <c r="AA807" i="202"/>
  <c r="AA808" i="202"/>
  <c r="AA809" i="202"/>
  <c r="AA810" i="202"/>
  <c r="AA811" i="202"/>
  <c r="AA812" i="202"/>
  <c r="AA813" i="202"/>
  <c r="AA814" i="202"/>
  <c r="AA815" i="202"/>
  <c r="AA816" i="202"/>
  <c r="AA817" i="202"/>
  <c r="AA818" i="202"/>
  <c r="AA819" i="202"/>
  <c r="AA820" i="202"/>
  <c r="AA821" i="202"/>
  <c r="AA822" i="202"/>
  <c r="AA823" i="202"/>
  <c r="AA824" i="202"/>
  <c r="AA825" i="202"/>
  <c r="AA826" i="202"/>
  <c r="AA827" i="202"/>
  <c r="AA828" i="202"/>
  <c r="AA829" i="202"/>
  <c r="AA830" i="202"/>
  <c r="AA831" i="202"/>
  <c r="AA832" i="202"/>
  <c r="AA833" i="202"/>
  <c r="AA834" i="202"/>
  <c r="AA835" i="202"/>
  <c r="AA836" i="202"/>
  <c r="AA837" i="202"/>
  <c r="AA838" i="202"/>
  <c r="AA839" i="202"/>
  <c r="AA840" i="202"/>
  <c r="AA841" i="202"/>
  <c r="AA842" i="202"/>
  <c r="AA843" i="202"/>
  <c r="AA844" i="202"/>
  <c r="AA845" i="202"/>
  <c r="AA846" i="202"/>
  <c r="AA847" i="202"/>
  <c r="AA848" i="202"/>
  <c r="AA849" i="202"/>
  <c r="AA850" i="202"/>
  <c r="AA851" i="202"/>
  <c r="AA852" i="202"/>
  <c r="AA853" i="202"/>
  <c r="AA854" i="202"/>
  <c r="AA855" i="202"/>
  <c r="AA856" i="202"/>
  <c r="AA857" i="202"/>
  <c r="AA858" i="202"/>
  <c r="AA859" i="202"/>
  <c r="AA860" i="202"/>
  <c r="AA861" i="202"/>
  <c r="AA862" i="202"/>
  <c r="AA863" i="202"/>
  <c r="AA864" i="202"/>
  <c r="AA865" i="202"/>
  <c r="AA866" i="202"/>
  <c r="AA867" i="202"/>
  <c r="AA868" i="202"/>
  <c r="AA869" i="202"/>
  <c r="AA870" i="202"/>
  <c r="AA871" i="202"/>
  <c r="AA872" i="202"/>
  <c r="AA873" i="202"/>
  <c r="AA874" i="202"/>
  <c r="AA875" i="202"/>
  <c r="AA876" i="202"/>
  <c r="AA877" i="202"/>
  <c r="AA878" i="202"/>
  <c r="AA879" i="202"/>
  <c r="AA880" i="202"/>
  <c r="AA881" i="202"/>
  <c r="AA882" i="202"/>
  <c r="AA883" i="202"/>
  <c r="AA884" i="202"/>
  <c r="AA885" i="202"/>
  <c r="AA886" i="202"/>
  <c r="AA887" i="202"/>
  <c r="AA888" i="202"/>
  <c r="AA889" i="202"/>
  <c r="AA890" i="202"/>
  <c r="AA891" i="202"/>
  <c r="AA892" i="202"/>
  <c r="AA893" i="202"/>
  <c r="AA894" i="202"/>
  <c r="AA895" i="202"/>
  <c r="AA896" i="202"/>
  <c r="AA897" i="202"/>
  <c r="AA898" i="202"/>
  <c r="AA899" i="202"/>
  <c r="AA900" i="202"/>
  <c r="AA901" i="202"/>
  <c r="AA902" i="202"/>
  <c r="AA903" i="202"/>
  <c r="AA904" i="202"/>
  <c r="AA905" i="202"/>
  <c r="AA906" i="202"/>
  <c r="AA907" i="202"/>
  <c r="AA908" i="202"/>
  <c r="AA909" i="202"/>
  <c r="AA910" i="202"/>
  <c r="AA911" i="202"/>
  <c r="AA912" i="202"/>
  <c r="AA913" i="202"/>
  <c r="AA914" i="202"/>
  <c r="AA915" i="202"/>
  <c r="AA916" i="202"/>
  <c r="AA917" i="202"/>
  <c r="AA918" i="202"/>
  <c r="AA919" i="202"/>
  <c r="AA920" i="202"/>
  <c r="AA921" i="202"/>
  <c r="AA922" i="202"/>
  <c r="AA923" i="202"/>
  <c r="AA924" i="202"/>
  <c r="AA925" i="202"/>
  <c r="AA926" i="202"/>
  <c r="AA927" i="202"/>
  <c r="AA928" i="202"/>
  <c r="AA929" i="202"/>
  <c r="AA930" i="202"/>
  <c r="AA931" i="202"/>
  <c r="AA932" i="202"/>
  <c r="AA933" i="202"/>
  <c r="AA934" i="202"/>
  <c r="AA935" i="202"/>
  <c r="AA936" i="202"/>
  <c r="AA937" i="202"/>
  <c r="AA938" i="202"/>
  <c r="AA939" i="202"/>
  <c r="AA940" i="202"/>
  <c r="AA941" i="202"/>
  <c r="AA942" i="202"/>
  <c r="AA943" i="202"/>
  <c r="AA944" i="202"/>
  <c r="AA945" i="202"/>
  <c r="AA946" i="202"/>
  <c r="AA947" i="202"/>
  <c r="AA948" i="202"/>
  <c r="AA949" i="202"/>
  <c r="AA950" i="202"/>
  <c r="AA951" i="202"/>
  <c r="AA952" i="202"/>
  <c r="AA953" i="202"/>
  <c r="AA954" i="202"/>
  <c r="AA955" i="202"/>
  <c r="AA956" i="202"/>
  <c r="AA957" i="202"/>
  <c r="AA958" i="202"/>
  <c r="AA959" i="202"/>
  <c r="AA960" i="202"/>
  <c r="AA961" i="202"/>
  <c r="AA962" i="202"/>
  <c r="AA963" i="202"/>
  <c r="AA964" i="202"/>
  <c r="AA965" i="202"/>
  <c r="AA966" i="202"/>
  <c r="AA967" i="202"/>
  <c r="AA968" i="202"/>
  <c r="AA969" i="202"/>
  <c r="AA970" i="202"/>
  <c r="AA971" i="202"/>
  <c r="AA972" i="202"/>
  <c r="AA973" i="202"/>
  <c r="AA974" i="202"/>
  <c r="AA975" i="202"/>
  <c r="AA976" i="202"/>
  <c r="AA977" i="202"/>
  <c r="AA978" i="202"/>
  <c r="AA979" i="202"/>
  <c r="AA980" i="202"/>
  <c r="AA981" i="202"/>
  <c r="AA982" i="202"/>
  <c r="AA983" i="202"/>
  <c r="AA984" i="202"/>
  <c r="AA985" i="202"/>
  <c r="AA986" i="202"/>
  <c r="AA987" i="202"/>
  <c r="AA988" i="202"/>
  <c r="AA989" i="202"/>
  <c r="AA990" i="202"/>
  <c r="AA991" i="202"/>
  <c r="AA992" i="202"/>
  <c r="AA993" i="202"/>
  <c r="AA994" i="202"/>
  <c r="AA995" i="202"/>
  <c r="AA996" i="202"/>
  <c r="AA997" i="202"/>
  <c r="AA998" i="202"/>
  <c r="AA999" i="202"/>
  <c r="AA1000" i="202"/>
  <c r="AA1001" i="202"/>
  <c r="AA1002" i="202"/>
  <c r="AA1003" i="202"/>
  <c r="AA1004" i="202"/>
  <c r="AA1005" i="202"/>
  <c r="AA1006" i="202"/>
  <c r="AA1007" i="202"/>
  <c r="AA1008" i="202"/>
  <c r="AA1009" i="202"/>
  <c r="AA1010" i="202"/>
  <c r="AA1011" i="202"/>
  <c r="AA1012" i="202"/>
  <c r="AA1013" i="202"/>
  <c r="AA1014" i="202"/>
  <c r="AA1015" i="202"/>
  <c r="AA1016" i="202"/>
  <c r="AA1017" i="202"/>
  <c r="AA1018" i="202"/>
  <c r="AA1019" i="202"/>
  <c r="AA1020" i="202"/>
  <c r="AA1021" i="202"/>
  <c r="AA1022" i="202"/>
  <c r="AA1023" i="202"/>
  <c r="AA1024" i="202"/>
  <c r="AA1025" i="202"/>
  <c r="AA1026" i="202"/>
  <c r="AA1027" i="202"/>
  <c r="AA1028" i="202"/>
  <c r="AA1029" i="202"/>
  <c r="AA1030" i="202"/>
  <c r="AA1031" i="202"/>
  <c r="AA1032" i="202"/>
  <c r="AA1033" i="202"/>
  <c r="AA1034" i="202"/>
  <c r="AA1035" i="202"/>
  <c r="AA1036" i="202"/>
  <c r="AA1037" i="202"/>
  <c r="AA1038" i="202"/>
  <c r="AA1039" i="202"/>
  <c r="AA1040" i="202"/>
  <c r="AA1041" i="202"/>
  <c r="AA1042" i="202"/>
  <c r="AA1043" i="202"/>
  <c r="AA1044" i="202"/>
  <c r="AA1045" i="202"/>
  <c r="AA1046" i="202"/>
  <c r="AA1047" i="202"/>
  <c r="AA1048" i="202"/>
  <c r="AA1049" i="202"/>
  <c r="AA1050" i="202"/>
  <c r="AA1051" i="202"/>
  <c r="AA1052" i="202"/>
  <c r="AA1053" i="202"/>
  <c r="AA1054" i="202"/>
  <c r="AA1055" i="202"/>
  <c r="AA1056" i="202"/>
  <c r="AA1057" i="202"/>
  <c r="AA1058" i="202"/>
  <c r="AA1059" i="202"/>
  <c r="AA1060" i="202"/>
  <c r="AA1061" i="202"/>
  <c r="AA1062" i="202"/>
  <c r="AA1063" i="202"/>
  <c r="AA1064" i="202"/>
  <c r="AA1065" i="202"/>
  <c r="AA1066" i="202"/>
  <c r="AA1067" i="202"/>
  <c r="AA1068" i="202"/>
  <c r="AA1069" i="202"/>
  <c r="AA1070" i="202"/>
  <c r="AA1071" i="202"/>
  <c r="AA1072" i="202"/>
  <c r="AA1073" i="202"/>
  <c r="AA1074" i="202"/>
  <c r="AA1075" i="202"/>
  <c r="AA1076" i="202"/>
  <c r="AA1077" i="202"/>
  <c r="AA1078" i="202"/>
  <c r="AA1079" i="202"/>
  <c r="AA1080" i="202"/>
  <c r="AA1081" i="202"/>
  <c r="AA1082" i="202"/>
  <c r="AA1083" i="202"/>
  <c r="AA1084" i="202"/>
  <c r="AA1085" i="202"/>
  <c r="AA1086" i="202"/>
  <c r="AA1087" i="202"/>
  <c r="AA1088" i="202"/>
  <c r="AA1089" i="202"/>
  <c r="AA1090" i="202"/>
  <c r="AA1091" i="202"/>
  <c r="AA1092" i="202"/>
  <c r="AA1093" i="202"/>
  <c r="AA1094" i="202"/>
  <c r="AA1095" i="202"/>
  <c r="AA1096" i="202"/>
  <c r="AA1097" i="202"/>
  <c r="AA1098" i="202"/>
  <c r="AA1099" i="202"/>
  <c r="AA1100" i="202"/>
  <c r="AA1101" i="202"/>
  <c r="AA1102" i="202"/>
  <c r="AA1103" i="202"/>
  <c r="AA1104" i="202"/>
  <c r="AA1105" i="202"/>
  <c r="AA1106" i="202"/>
  <c r="AA1107" i="202"/>
  <c r="AA1108" i="202"/>
  <c r="AA1109" i="202"/>
  <c r="AA1110" i="202"/>
  <c r="AA1111" i="202"/>
  <c r="AA1112" i="202"/>
  <c r="AA1113" i="202"/>
  <c r="AA1114" i="202"/>
  <c r="AA1115" i="202"/>
  <c r="AA1116" i="202"/>
  <c r="AA1117" i="202"/>
  <c r="AA1118" i="202"/>
  <c r="AA1119" i="202"/>
  <c r="AA1120" i="202"/>
  <c r="AA1121" i="202"/>
  <c r="AA1122" i="202"/>
  <c r="AA1123" i="202"/>
  <c r="AA1124" i="202"/>
  <c r="AA1125" i="202"/>
  <c r="AA1126" i="202"/>
  <c r="AA1127" i="202"/>
  <c r="AA1128" i="202"/>
  <c r="AA1129" i="202"/>
  <c r="AA1130" i="202"/>
  <c r="AA1131" i="202"/>
  <c r="AA1132" i="202"/>
  <c r="AA1133" i="202"/>
  <c r="AA1134" i="202"/>
  <c r="AA1135" i="202"/>
  <c r="AA1136" i="202"/>
  <c r="AA1137" i="202"/>
  <c r="AA1138" i="202"/>
  <c r="AA1139" i="202"/>
  <c r="AA1140" i="202"/>
  <c r="AA1141" i="202"/>
  <c r="AA1142" i="202"/>
  <c r="AA1143" i="202"/>
  <c r="AA1144" i="202"/>
  <c r="AA1145" i="202"/>
  <c r="AA1146" i="202"/>
  <c r="AA1147" i="202"/>
  <c r="AA1148" i="202"/>
  <c r="AA1149" i="202"/>
  <c r="AA1150" i="202"/>
  <c r="AA1151" i="202"/>
  <c r="AA1152" i="202"/>
  <c r="AA1153" i="202"/>
  <c r="AA1154" i="202"/>
  <c r="AA1155" i="202"/>
  <c r="AA1156" i="202"/>
  <c r="AA1157" i="202"/>
  <c r="AA1158" i="202"/>
  <c r="AA1159" i="202"/>
  <c r="AA1160" i="202"/>
  <c r="AA1161" i="202"/>
  <c r="AA1162" i="202"/>
  <c r="AA1163" i="202"/>
  <c r="AA1164" i="202"/>
  <c r="AA1165" i="202"/>
  <c r="AA1166" i="202"/>
  <c r="AA1167" i="202"/>
  <c r="AA1168" i="202"/>
  <c r="AA1169" i="202"/>
  <c r="AA1170" i="202"/>
  <c r="AA1171" i="202"/>
  <c r="AA1172" i="202"/>
  <c r="AA1173" i="202"/>
  <c r="AA1174" i="202"/>
  <c r="AA1175" i="202"/>
  <c r="AA1176" i="202"/>
  <c r="AA1177" i="202"/>
  <c r="AA1178" i="202"/>
  <c r="AA1179" i="202"/>
  <c r="AA1180" i="202"/>
  <c r="AA1181" i="202"/>
  <c r="AA1182" i="202"/>
  <c r="AA1183" i="202"/>
  <c r="AA1184" i="202"/>
  <c r="AA1185" i="202"/>
  <c r="AA1186" i="202"/>
  <c r="AA1187" i="202"/>
  <c r="AA1188" i="202"/>
  <c r="AA1189" i="202"/>
  <c r="AA1190" i="202"/>
  <c r="AA1191" i="202"/>
  <c r="AA1192" i="202"/>
  <c r="AA1193" i="202"/>
  <c r="AA1194" i="202"/>
  <c r="AA1195" i="202"/>
  <c r="AA1196" i="202"/>
  <c r="AA1197" i="202"/>
  <c r="AA1198" i="202"/>
  <c r="AA1199" i="202"/>
  <c r="AA1200" i="202"/>
  <c r="AA1201" i="202"/>
  <c r="AA1202" i="202"/>
  <c r="AA1203" i="202"/>
  <c r="AA1204" i="202"/>
  <c r="AA1205" i="202"/>
  <c r="AA1206" i="202"/>
  <c r="AA1207" i="202"/>
  <c r="AA1208" i="202"/>
  <c r="AA1209" i="202"/>
  <c r="AA1210" i="202"/>
  <c r="AA1211" i="202"/>
  <c r="AA1212" i="202"/>
  <c r="AA1213" i="202"/>
  <c r="AA1214" i="202"/>
  <c r="AA1215" i="202"/>
  <c r="AA1216" i="202"/>
  <c r="AA1217" i="202"/>
  <c r="AA1218" i="202"/>
  <c r="AA1219" i="202"/>
  <c r="AA1220" i="202"/>
  <c r="AA1221" i="202"/>
  <c r="AA1222" i="202"/>
  <c r="AA1223" i="202"/>
  <c r="AA1224" i="202"/>
  <c r="AA1225" i="202"/>
  <c r="AA1226" i="202"/>
  <c r="AA1227" i="202"/>
  <c r="AA1228" i="202"/>
  <c r="AA1229" i="202"/>
  <c r="AA1230" i="202"/>
  <c r="AA1231" i="202"/>
  <c r="AA1232" i="202"/>
  <c r="AA1233" i="202"/>
  <c r="AA1234" i="202"/>
  <c r="AA1235" i="202"/>
  <c r="AA1236" i="202"/>
  <c r="AA1237" i="202"/>
  <c r="AA1238" i="202"/>
  <c r="AA1239" i="202"/>
  <c r="AA1240" i="202"/>
  <c r="AA1241" i="202"/>
  <c r="AA1242" i="202"/>
  <c r="AA1243" i="202"/>
  <c r="AA1244" i="202"/>
  <c r="AA1245" i="202"/>
  <c r="AA1246" i="202"/>
  <c r="AA1247" i="202"/>
  <c r="AA1248" i="202"/>
  <c r="AA1249" i="202"/>
  <c r="AA1250" i="202"/>
  <c r="AA1251" i="202"/>
  <c r="AA1252" i="202"/>
  <c r="AA1253" i="202"/>
  <c r="AA1254" i="202"/>
  <c r="AA1255" i="202"/>
  <c r="AA1256" i="202"/>
  <c r="AA1257" i="202"/>
  <c r="AA1258" i="202"/>
  <c r="AA1259" i="202"/>
  <c r="AA1260" i="202"/>
  <c r="AA1261" i="202"/>
  <c r="AA1262" i="202"/>
  <c r="AA1263" i="202"/>
  <c r="AA1264" i="202"/>
  <c r="AA1265" i="202"/>
  <c r="AA1266" i="202"/>
  <c r="AA1267" i="202"/>
  <c r="AA1268" i="202"/>
  <c r="AA1269" i="202"/>
  <c r="AA1270" i="202"/>
  <c r="AA1271" i="202"/>
  <c r="AA1272" i="202"/>
  <c r="AA1273" i="202"/>
  <c r="AA1274" i="202"/>
  <c r="AA1275" i="202"/>
  <c r="AA1276" i="202"/>
  <c r="AA1277" i="202"/>
  <c r="AA1278" i="202"/>
  <c r="AA1279" i="202"/>
  <c r="AA1280" i="202"/>
  <c r="AA1281" i="202"/>
  <c r="AA1282" i="202"/>
  <c r="AA1283" i="202"/>
  <c r="AA1284" i="202"/>
  <c r="AA1285" i="202"/>
  <c r="AA1286" i="202"/>
  <c r="AA1287" i="202"/>
  <c r="AA1288" i="202"/>
  <c r="AA1289" i="202"/>
  <c r="AA1290" i="202"/>
  <c r="AA1291" i="202"/>
  <c r="AA1292" i="202"/>
  <c r="AA1293" i="202"/>
  <c r="AA1294" i="202"/>
  <c r="AA1295" i="202"/>
  <c r="AA1296" i="202"/>
  <c r="AA1297" i="202"/>
  <c r="AA1298" i="202"/>
  <c r="AA1299" i="202"/>
  <c r="AA1300" i="202"/>
  <c r="AA1301" i="202"/>
  <c r="AA1302" i="202"/>
  <c r="AA1303" i="202"/>
  <c r="AA1304" i="202"/>
  <c r="AA1305" i="202"/>
  <c r="AA1306" i="202"/>
  <c r="AA1307" i="202"/>
  <c r="AA1308" i="202"/>
  <c r="AA1309" i="202"/>
  <c r="AA1310" i="202"/>
  <c r="AA1311" i="202"/>
  <c r="AA1312" i="202"/>
  <c r="AA1313" i="202"/>
  <c r="AA1314" i="202"/>
  <c r="AA1315" i="202"/>
  <c r="AA1316" i="202"/>
  <c r="AA1317" i="202"/>
  <c r="AA1318" i="202"/>
  <c r="AA1319" i="202"/>
  <c r="AA1320" i="202"/>
  <c r="AA1321" i="202"/>
  <c r="AA1322" i="202"/>
  <c r="AA1323" i="202"/>
  <c r="AA1324" i="202"/>
  <c r="AA1325" i="202"/>
  <c r="AA1326" i="202"/>
  <c r="AA1327" i="202"/>
  <c r="AA1328" i="202"/>
  <c r="AA1329" i="202"/>
  <c r="AA1330" i="202"/>
  <c r="AA1331" i="202"/>
  <c r="AA1332" i="202"/>
  <c r="AA1333" i="202"/>
  <c r="AA1334" i="202"/>
  <c r="AA1335" i="202"/>
  <c r="AA1336" i="202"/>
  <c r="AA1337" i="202"/>
  <c r="AA1338" i="202"/>
  <c r="AA1339" i="202"/>
  <c r="AA1340" i="202"/>
  <c r="AA1341" i="202"/>
  <c r="AA1342" i="202"/>
  <c r="AA1343" i="202"/>
  <c r="AA1344" i="202"/>
  <c r="AA1345" i="202"/>
  <c r="AA1346" i="202"/>
  <c r="AA1347" i="202"/>
  <c r="AA1348" i="202"/>
  <c r="AA1349" i="202"/>
  <c r="AA1350" i="202"/>
  <c r="AA1351" i="202"/>
  <c r="AA1352" i="202"/>
  <c r="AA1353" i="202"/>
  <c r="AA1354" i="202"/>
  <c r="AA1355" i="202"/>
  <c r="AA1356" i="202"/>
  <c r="AA1357" i="202"/>
  <c r="AA1358" i="202"/>
  <c r="AA1359" i="202"/>
  <c r="AA1360" i="202"/>
  <c r="AA1361" i="202"/>
  <c r="AA1362" i="202"/>
  <c r="AA1363" i="202"/>
  <c r="AA1364" i="202"/>
  <c r="AA1365" i="202"/>
  <c r="AA1366" i="202"/>
  <c r="AA1367" i="202"/>
  <c r="AA1368" i="202"/>
  <c r="AA1369" i="202"/>
  <c r="AA1370" i="202"/>
  <c r="AA1371" i="202"/>
  <c r="AA1372" i="202"/>
  <c r="AA1373" i="202"/>
  <c r="AA1374" i="202"/>
  <c r="AA1375" i="202"/>
  <c r="AA1376" i="202"/>
  <c r="AA1377" i="202"/>
  <c r="AA1378" i="202"/>
  <c r="AA1379" i="202"/>
  <c r="AA1380" i="202"/>
  <c r="AA1381" i="202"/>
  <c r="AA1382" i="202"/>
  <c r="AA1383" i="202"/>
  <c r="AA1384" i="202"/>
  <c r="AA1385" i="202"/>
  <c r="AA1386" i="202"/>
  <c r="AA1387" i="202"/>
  <c r="AA1388" i="202"/>
  <c r="AA1389" i="202"/>
  <c r="AA1390" i="202"/>
  <c r="AA1391" i="202"/>
  <c r="AA1392" i="202"/>
  <c r="AA1393" i="202"/>
  <c r="AA1394" i="202"/>
  <c r="AA1395" i="202"/>
  <c r="AA1396" i="202"/>
  <c r="AA1397" i="202"/>
  <c r="AA1398" i="202"/>
  <c r="AA1399" i="202"/>
  <c r="AA1400" i="202"/>
  <c r="AA1401" i="202"/>
  <c r="AA1402" i="202"/>
  <c r="AA1403" i="202"/>
  <c r="AA1404" i="202"/>
  <c r="AA1405" i="202"/>
  <c r="AA1406" i="202"/>
  <c r="AA1407" i="202"/>
  <c r="AA1408" i="202"/>
  <c r="AA1409" i="202"/>
  <c r="AA1410" i="202"/>
  <c r="AA1411" i="202"/>
  <c r="AA1412" i="202"/>
  <c r="AA1413" i="202"/>
  <c r="AA1414" i="202"/>
  <c r="AA1415" i="202"/>
  <c r="AA1416" i="202"/>
  <c r="AA1417" i="202"/>
  <c r="AA1418" i="202"/>
  <c r="AA1419" i="202"/>
  <c r="AA1420" i="202"/>
  <c r="AA1421" i="202"/>
  <c r="AA1422" i="202"/>
  <c r="AA1423" i="202"/>
  <c r="AA1424" i="202"/>
  <c r="AA1425" i="202"/>
  <c r="AA1426" i="202"/>
  <c r="AA1427" i="202"/>
  <c r="AA1428" i="202"/>
  <c r="AA1429" i="202"/>
  <c r="AA1430" i="202"/>
  <c r="AA1431" i="202"/>
  <c r="AA1432" i="202"/>
  <c r="AA1433" i="202"/>
  <c r="AA1434" i="202"/>
  <c r="AA1435" i="202"/>
  <c r="AA1436" i="202"/>
  <c r="AA1437" i="202"/>
  <c r="AA1438" i="202"/>
  <c r="AA1439" i="202"/>
  <c r="AA1440" i="202"/>
  <c r="AA1441" i="202"/>
  <c r="AA1442" i="202"/>
  <c r="AA1443" i="202"/>
  <c r="AA1444" i="202"/>
  <c r="AA1445" i="202"/>
  <c r="AA1446" i="202"/>
  <c r="AA1447" i="202"/>
  <c r="AA1448" i="202"/>
  <c r="AA1449" i="202"/>
  <c r="AA1450" i="202"/>
  <c r="AA1451" i="202"/>
  <c r="AA1452" i="202"/>
  <c r="AA1453" i="202"/>
  <c r="AA1454" i="202"/>
  <c r="AA1455" i="202"/>
  <c r="AA1456" i="202"/>
  <c r="AA1457" i="202"/>
  <c r="AA1458" i="202"/>
  <c r="AA1459" i="202"/>
  <c r="AA1460" i="202"/>
  <c r="AA1461" i="202"/>
  <c r="AA1462" i="202"/>
  <c r="AA1463" i="202"/>
  <c r="AA1464" i="202"/>
  <c r="AA1465" i="202"/>
  <c r="AA1466" i="202"/>
  <c r="AA1467" i="202"/>
  <c r="AA1468" i="202"/>
  <c r="AA1469" i="202"/>
  <c r="AA1470" i="202"/>
  <c r="AA1471" i="202"/>
  <c r="AA1472" i="202"/>
  <c r="AA1473" i="202"/>
  <c r="AA1474" i="202"/>
  <c r="AA1475" i="202"/>
  <c r="AA1476" i="202"/>
  <c r="AA1477" i="202"/>
  <c r="AA1478" i="202"/>
  <c r="AA1479" i="202"/>
  <c r="AA1480" i="202"/>
  <c r="AA1481" i="202"/>
  <c r="AA1482" i="202"/>
  <c r="AA1483" i="202"/>
  <c r="AA1484" i="202"/>
  <c r="AA1485" i="202"/>
  <c r="AA1486" i="202"/>
  <c r="AA1487" i="202"/>
  <c r="AA1488" i="202"/>
  <c r="AA1489" i="202"/>
  <c r="AA1490" i="202"/>
  <c r="AA1491" i="202"/>
  <c r="AA1492" i="202"/>
  <c r="AA1493" i="202"/>
  <c r="AA1494" i="202"/>
  <c r="AA1495" i="202"/>
  <c r="AA1496" i="202"/>
  <c r="AA1497" i="202"/>
  <c r="AA1498" i="202"/>
  <c r="AA1499" i="202"/>
  <c r="AA1500" i="202"/>
  <c r="AA1501" i="202"/>
  <c r="AA1502" i="202"/>
  <c r="AA1503" i="202"/>
  <c r="AA1504" i="202"/>
  <c r="AA1505" i="202"/>
  <c r="AA1506" i="202"/>
  <c r="AA1507" i="202"/>
  <c r="AA1508" i="202"/>
  <c r="AA1509" i="202"/>
  <c r="AA1510" i="202"/>
  <c r="AA1511" i="202"/>
  <c r="AA1512" i="202"/>
  <c r="AA1513" i="202"/>
  <c r="AA1514" i="202"/>
  <c r="AA1515" i="202"/>
  <c r="AA1516" i="202"/>
  <c r="AA1517" i="202"/>
  <c r="AA1518" i="202"/>
  <c r="AA1519" i="202"/>
  <c r="AA1520" i="202"/>
  <c r="AA1521" i="202"/>
  <c r="AA1522" i="202"/>
  <c r="AA1523" i="202"/>
  <c r="AA1524" i="202"/>
  <c r="AA1525" i="202"/>
  <c r="AA1526" i="202"/>
  <c r="AA1527" i="202"/>
  <c r="AA1528" i="202"/>
  <c r="AA1529" i="202"/>
  <c r="AA1530" i="202"/>
  <c r="AA1531" i="202"/>
  <c r="AA1532" i="202"/>
  <c r="AA1533" i="202"/>
  <c r="AA1534" i="202"/>
  <c r="AA1535" i="202"/>
  <c r="AA1536" i="202"/>
  <c r="AA1537" i="202"/>
  <c r="AA1538" i="202"/>
  <c r="AA1539" i="202"/>
  <c r="AA1540" i="202"/>
  <c r="AA1541" i="202"/>
  <c r="AA1542" i="202"/>
  <c r="AA1543" i="202"/>
  <c r="AA1544" i="202"/>
  <c r="AA1545" i="202"/>
  <c r="AA1546" i="202"/>
  <c r="AA1547" i="202"/>
  <c r="AA1548" i="202"/>
  <c r="AA1549" i="202"/>
  <c r="AA1550" i="202"/>
  <c r="AA1551" i="202"/>
  <c r="AA1552" i="202"/>
  <c r="AA1553" i="202"/>
  <c r="AA1554" i="202"/>
  <c r="AA1555" i="202"/>
  <c r="AA1556" i="202"/>
  <c r="AA1557" i="202"/>
  <c r="AA1558" i="202"/>
  <c r="AA1559" i="202"/>
  <c r="AA1560" i="202"/>
  <c r="AA1561" i="202"/>
  <c r="AA1562" i="202"/>
  <c r="AA1563" i="202"/>
  <c r="AA1564" i="202"/>
  <c r="AA1565" i="202"/>
  <c r="AA1566" i="202"/>
  <c r="AA1567" i="202"/>
  <c r="AA1568" i="202"/>
  <c r="AA1569" i="202"/>
  <c r="AA1570" i="202"/>
  <c r="AA1571" i="202"/>
  <c r="AA1572" i="202"/>
  <c r="AA1573" i="202"/>
  <c r="AA1574" i="202"/>
  <c r="AA1575" i="202"/>
  <c r="AA1576" i="202"/>
  <c r="AA1577" i="202"/>
  <c r="AA1578" i="202"/>
  <c r="AA1579" i="202"/>
  <c r="AA1580" i="202"/>
  <c r="AA1581" i="202"/>
  <c r="AA1582" i="202"/>
  <c r="AA1583" i="202"/>
  <c r="AA1584" i="202"/>
  <c r="AA1585" i="202"/>
  <c r="AA1586" i="202"/>
  <c r="AA1587" i="202"/>
  <c r="AA1588" i="202"/>
  <c r="AA1589" i="202"/>
  <c r="AA1590" i="202"/>
  <c r="AA1591" i="202"/>
  <c r="AA1592" i="202"/>
  <c r="AA1593" i="202"/>
  <c r="AA1594" i="202"/>
  <c r="AA1595" i="202"/>
  <c r="AA1596" i="202"/>
  <c r="AA1597" i="202"/>
  <c r="AA1598" i="202"/>
  <c r="AA1599" i="202"/>
  <c r="AA1600" i="202"/>
  <c r="AA1601" i="202"/>
  <c r="AA1602" i="202"/>
  <c r="AA1603" i="202"/>
  <c r="AA1604" i="202"/>
  <c r="AA1605" i="202"/>
  <c r="AA1606" i="202"/>
  <c r="AA1607" i="202"/>
  <c r="AA1608" i="202"/>
  <c r="AA1609" i="202"/>
  <c r="AA1610" i="202"/>
  <c r="AA1611" i="202"/>
  <c r="AA1612" i="202"/>
  <c r="AA1613" i="202"/>
  <c r="AA1614" i="202"/>
  <c r="AA1615" i="202"/>
  <c r="AA1616" i="202"/>
  <c r="AA1617" i="202"/>
  <c r="AA1618" i="202"/>
  <c r="AA1619" i="202"/>
  <c r="AA1620" i="202"/>
  <c r="AA1621" i="202"/>
  <c r="AA1622" i="202"/>
  <c r="AA1623" i="202"/>
  <c r="AA1624" i="202"/>
  <c r="AA1625" i="202"/>
  <c r="AA1626" i="202"/>
  <c r="AA1627" i="202"/>
  <c r="AA1628" i="202"/>
  <c r="AA1629" i="202"/>
  <c r="AA1630" i="202"/>
  <c r="AA1631" i="202"/>
  <c r="AA1632" i="202"/>
  <c r="AA1633" i="202"/>
  <c r="AA1634" i="202"/>
  <c r="AA1635" i="202"/>
  <c r="AA1636" i="202"/>
  <c r="AA1637" i="202"/>
  <c r="AA1638" i="202"/>
  <c r="AA1639" i="202"/>
  <c r="AA1640" i="202"/>
  <c r="AA1641" i="202"/>
  <c r="AA1642" i="202"/>
  <c r="AA1643" i="202"/>
  <c r="AA1644" i="202"/>
  <c r="AA1645" i="202"/>
  <c r="AA1646" i="202"/>
  <c r="AA1647" i="202"/>
  <c r="AA1648" i="202"/>
  <c r="AA1649" i="202"/>
  <c r="AA1650" i="202"/>
  <c r="AA1651" i="202"/>
  <c r="AA1652" i="202"/>
  <c r="AA1653" i="202"/>
  <c r="AA1654" i="202"/>
  <c r="AA1655" i="202"/>
  <c r="AA1656" i="202"/>
  <c r="AA1657" i="202"/>
  <c r="AA1658" i="202"/>
  <c r="AA1659" i="202"/>
  <c r="AA1660" i="202"/>
  <c r="AA1661" i="202"/>
  <c r="AA1662" i="202"/>
  <c r="AA1663" i="202"/>
  <c r="AA1664" i="202"/>
  <c r="AA1665" i="202"/>
  <c r="AA1666" i="202"/>
  <c r="AA1667" i="202"/>
  <c r="AA1668" i="202"/>
  <c r="AA1669" i="202"/>
  <c r="AA1670" i="202"/>
  <c r="AA1671" i="202"/>
  <c r="AA1672" i="202"/>
  <c r="AA1673" i="202"/>
  <c r="AA1674" i="202"/>
  <c r="AA1675" i="202"/>
  <c r="AA1676" i="202"/>
  <c r="AA1677" i="202"/>
  <c r="AA1678" i="202"/>
  <c r="AA1679" i="202"/>
  <c r="AA1680" i="202"/>
  <c r="AA1681" i="202"/>
  <c r="AA1682" i="202"/>
  <c r="AA1683" i="202"/>
  <c r="AA1684" i="202"/>
  <c r="AA1685" i="202"/>
  <c r="AA1686" i="202"/>
  <c r="AA1687" i="202"/>
  <c r="AA1688" i="202"/>
  <c r="AA1689" i="202"/>
  <c r="AA1690" i="202"/>
  <c r="AA1691" i="202"/>
  <c r="AA1692" i="202"/>
  <c r="AA1693" i="202"/>
  <c r="AA1694" i="202"/>
  <c r="AA1695" i="202"/>
  <c r="AA1696" i="202"/>
  <c r="AA1697" i="202"/>
  <c r="AA1698" i="202"/>
  <c r="AA1699" i="202"/>
  <c r="AA1700" i="202"/>
  <c r="AA1701" i="202"/>
  <c r="AA1702" i="202"/>
  <c r="AA1703" i="202"/>
  <c r="AA1704" i="202"/>
  <c r="AA1705" i="202"/>
  <c r="AA1706" i="202"/>
  <c r="AA1707" i="202"/>
  <c r="AA1708" i="202"/>
  <c r="AA1709" i="202"/>
  <c r="AA1710" i="202"/>
  <c r="AA1711" i="202"/>
  <c r="AA1712" i="202"/>
  <c r="AA1713" i="202"/>
  <c r="AA1714" i="202"/>
  <c r="AA1715" i="202"/>
  <c r="AA1716" i="202"/>
  <c r="AA1717" i="202"/>
  <c r="AA1718" i="202"/>
  <c r="AA1719" i="202"/>
  <c r="AA1720" i="202"/>
  <c r="AA1721" i="202"/>
  <c r="AA1722" i="202"/>
  <c r="AA1723" i="202"/>
  <c r="AA1724" i="202"/>
  <c r="AA1725" i="202"/>
  <c r="AA1726" i="202"/>
  <c r="AA1727" i="202"/>
  <c r="AA1728" i="202"/>
  <c r="AA1729" i="202"/>
  <c r="AA1730" i="202"/>
  <c r="AA1731" i="202"/>
  <c r="AA1732" i="202"/>
  <c r="AA1733" i="202"/>
  <c r="AA1734" i="202"/>
  <c r="AA1735" i="202"/>
  <c r="AA1736" i="202"/>
  <c r="AA1737" i="202"/>
  <c r="AA1738" i="202"/>
  <c r="AA1739" i="202"/>
  <c r="AA1740" i="202"/>
  <c r="AA1741" i="202"/>
  <c r="AA1742" i="202"/>
  <c r="AA1743" i="202"/>
  <c r="AA1744" i="202"/>
  <c r="AA1745" i="202"/>
  <c r="AA1746" i="202"/>
  <c r="AA1747" i="202"/>
  <c r="AA1748" i="202"/>
  <c r="AA1749" i="202"/>
  <c r="AA1750" i="202"/>
  <c r="AA1751" i="202"/>
  <c r="AA1752" i="202"/>
  <c r="AA1753" i="202"/>
  <c r="AA1754" i="202"/>
  <c r="AA1755" i="202"/>
  <c r="AA1756" i="202"/>
  <c r="AA1757" i="202"/>
  <c r="AA1758" i="202"/>
  <c r="AA1759" i="202"/>
  <c r="AA1760" i="202"/>
  <c r="AA1761" i="202"/>
  <c r="AA1762" i="202"/>
  <c r="AA1763" i="202"/>
  <c r="AA1764" i="202"/>
  <c r="AA1765" i="202"/>
  <c r="AA1766" i="202"/>
  <c r="AA1767" i="202"/>
  <c r="AA1768" i="202"/>
  <c r="AA1769" i="202"/>
  <c r="AA1770" i="202"/>
  <c r="AA1771" i="202"/>
  <c r="AA1772" i="202"/>
  <c r="AA1773" i="202"/>
  <c r="AA1774" i="202"/>
  <c r="AA1775" i="202"/>
  <c r="AA1776" i="202"/>
  <c r="AA1777" i="202"/>
  <c r="AA1778" i="202"/>
  <c r="AA1779" i="202"/>
  <c r="AA1780" i="202"/>
  <c r="AA1781" i="202"/>
  <c r="AA1782" i="202"/>
  <c r="AA1783" i="202"/>
  <c r="AA1784" i="202"/>
  <c r="AA1785" i="202"/>
  <c r="AA1786" i="202"/>
  <c r="AA1787" i="202"/>
  <c r="AA1788" i="202"/>
  <c r="AA1789" i="202"/>
  <c r="AA1790" i="202"/>
  <c r="AA1791" i="202"/>
  <c r="AA1792" i="202"/>
  <c r="AA1793" i="202"/>
  <c r="AA1794" i="202"/>
  <c r="AA1795" i="202"/>
  <c r="AA1796" i="202"/>
  <c r="AA1797" i="202"/>
  <c r="AA1798" i="202"/>
  <c r="AA1799" i="202"/>
  <c r="AA1800" i="202"/>
  <c r="AA1801" i="202"/>
  <c r="AA1802" i="202"/>
  <c r="AA1803" i="202"/>
  <c r="AA1804" i="202"/>
  <c r="AA1805" i="202"/>
  <c r="AA1806" i="202"/>
  <c r="AA1807" i="202"/>
  <c r="AA1808" i="202"/>
  <c r="AA1809" i="202"/>
  <c r="AA1810" i="202"/>
  <c r="AA1811" i="202"/>
  <c r="AA1812" i="202"/>
  <c r="AA1813" i="202"/>
  <c r="AA1814" i="202"/>
  <c r="AA1815" i="202"/>
  <c r="AA1816" i="202"/>
  <c r="AA1817" i="202"/>
  <c r="AA1818" i="202"/>
  <c r="AA1819" i="202"/>
  <c r="AA1820" i="202"/>
  <c r="AA1821" i="202"/>
  <c r="AA1822" i="202"/>
  <c r="AA1823" i="202"/>
  <c r="AA1824" i="202"/>
  <c r="AA1825" i="202"/>
  <c r="AA1826" i="202"/>
  <c r="AA1827" i="202"/>
  <c r="AA1828" i="202"/>
  <c r="AA1829" i="202"/>
  <c r="AA1830" i="202"/>
  <c r="AA1831" i="202"/>
  <c r="AA1832" i="202"/>
  <c r="AA1833" i="202"/>
  <c r="AA1834" i="202"/>
  <c r="AA1835" i="202"/>
  <c r="AA1836" i="202"/>
  <c r="AA1837" i="202"/>
  <c r="AA1838" i="202"/>
  <c r="AA1839" i="202"/>
  <c r="AA1840" i="202"/>
  <c r="AA1841" i="202"/>
  <c r="AA1842" i="202"/>
  <c r="AA1843" i="202"/>
  <c r="AA1844" i="202"/>
  <c r="AA1845" i="202"/>
  <c r="AA1846" i="202"/>
  <c r="AA1847" i="202"/>
  <c r="AA1848" i="202"/>
  <c r="AA1849" i="202"/>
  <c r="AA1850" i="202"/>
  <c r="AA1851" i="202"/>
  <c r="AA1852" i="202"/>
  <c r="AA1853" i="202"/>
  <c r="AA1854" i="202"/>
  <c r="AA1855" i="202"/>
  <c r="AA1856" i="202"/>
  <c r="AA1857" i="202"/>
  <c r="AA1858" i="202"/>
  <c r="AA1859" i="202"/>
  <c r="AA1860" i="202"/>
  <c r="AA1861" i="202"/>
  <c r="AA1862" i="202"/>
  <c r="AA1863" i="202"/>
  <c r="AA1864" i="202"/>
  <c r="AA1865" i="202"/>
  <c r="AA1866" i="202"/>
  <c r="AA1867" i="202"/>
  <c r="AA1868" i="202"/>
  <c r="AA1869" i="202"/>
  <c r="AA1870" i="202"/>
  <c r="AA1871" i="202"/>
  <c r="AA1872" i="202"/>
  <c r="AA1873" i="202"/>
  <c r="AA1874" i="202"/>
  <c r="AA1875" i="202"/>
  <c r="AA1876" i="202"/>
  <c r="AA1877" i="202"/>
  <c r="AA1878" i="202"/>
  <c r="AA1879" i="202"/>
  <c r="AA1880" i="202"/>
  <c r="AA1881" i="202"/>
  <c r="AA1882" i="202"/>
  <c r="AA1883" i="202"/>
  <c r="AA1884" i="202"/>
  <c r="AA1885" i="202"/>
  <c r="AA1886" i="202"/>
  <c r="AA1887" i="202"/>
  <c r="AA1888" i="202"/>
  <c r="AA1889" i="202"/>
  <c r="AA1890" i="202"/>
  <c r="AA1891" i="202"/>
  <c r="AA1892" i="202"/>
  <c r="AA1893" i="202"/>
  <c r="AA1894" i="202"/>
  <c r="AA1895" i="202"/>
  <c r="AA1896" i="202"/>
  <c r="AA1897" i="202"/>
  <c r="AA1898" i="202"/>
  <c r="AA1899" i="202"/>
  <c r="AA1900" i="202"/>
  <c r="AA1901" i="202"/>
  <c r="AA1902" i="202"/>
  <c r="AA1903" i="202"/>
  <c r="AA1904" i="202"/>
  <c r="AA1905" i="202"/>
  <c r="AA1906" i="202"/>
  <c r="AA1907" i="202"/>
  <c r="AA1908" i="202"/>
  <c r="AA1909" i="202"/>
  <c r="AA1910" i="202"/>
  <c r="AA1911" i="202"/>
  <c r="AA1912" i="202"/>
  <c r="AA1913" i="202"/>
  <c r="AA1914" i="202"/>
  <c r="AA1915" i="202"/>
  <c r="AA1916" i="202"/>
  <c r="AA1917" i="202"/>
  <c r="AA1918" i="202"/>
  <c r="AA1919" i="202"/>
  <c r="AA1920" i="202"/>
  <c r="AA1921" i="202"/>
  <c r="AA1922" i="202"/>
  <c r="AA1923" i="202"/>
  <c r="AA1924" i="202"/>
  <c r="AA1925" i="202"/>
  <c r="AA1926" i="202"/>
  <c r="AA1927" i="202"/>
  <c r="AA1928" i="202"/>
  <c r="AA1929" i="202"/>
  <c r="AA1930" i="202"/>
  <c r="AA1931" i="202"/>
  <c r="AA1932" i="202"/>
  <c r="AA1933" i="202"/>
  <c r="AA1934" i="202"/>
  <c r="AA1935" i="202"/>
  <c r="AA1936" i="202"/>
  <c r="AA1937" i="202"/>
  <c r="AA1938" i="202"/>
  <c r="AA1939" i="202"/>
  <c r="AA1940" i="202"/>
  <c r="AA1941" i="202"/>
  <c r="AA1942" i="202"/>
  <c r="AA1943" i="202"/>
  <c r="AA1944" i="202"/>
  <c r="AA1945" i="202"/>
  <c r="AA1946" i="202"/>
  <c r="AA1947" i="202"/>
  <c r="AA1948" i="202"/>
  <c r="AA1949" i="202"/>
  <c r="AA1950" i="202"/>
  <c r="AA1951" i="202"/>
  <c r="AA1952" i="202"/>
  <c r="AA1953" i="202"/>
  <c r="AA1954" i="202"/>
  <c r="AA1955" i="202"/>
  <c r="AA1956" i="202"/>
  <c r="AA1957" i="202"/>
  <c r="AA1958" i="202"/>
  <c r="AA1959" i="202"/>
  <c r="AA1960" i="202"/>
  <c r="AA1961" i="202"/>
  <c r="AA1962" i="202"/>
  <c r="AA1963" i="202"/>
  <c r="AA1964" i="202"/>
  <c r="AA1965" i="202"/>
  <c r="AA1966" i="202"/>
  <c r="AA1967" i="202"/>
  <c r="AA1968" i="202"/>
  <c r="AA1969" i="202"/>
  <c r="AA1970" i="202"/>
  <c r="AA1971" i="202"/>
  <c r="AA1972" i="202"/>
  <c r="AA1973" i="202"/>
  <c r="AA1974" i="202"/>
  <c r="AA1975" i="202"/>
  <c r="AA1976" i="202"/>
  <c r="AA1977" i="202"/>
  <c r="AA1978" i="202"/>
  <c r="AA1979" i="202"/>
  <c r="AA1980" i="202"/>
  <c r="AA1981" i="202"/>
  <c r="AA1982" i="202"/>
  <c r="AA1983" i="202"/>
  <c r="AA1984" i="202"/>
  <c r="AA1985" i="202"/>
  <c r="AA1986" i="202"/>
  <c r="AA1987" i="202"/>
  <c r="AA1988" i="202"/>
  <c r="AA1989" i="202"/>
  <c r="AA1990" i="202"/>
  <c r="AA1991" i="202"/>
  <c r="AA1992" i="202"/>
  <c r="AA1993" i="202"/>
  <c r="AA1994" i="202"/>
  <c r="AA1995" i="202"/>
  <c r="AA1996" i="202"/>
  <c r="AA1997" i="202"/>
  <c r="AA1998" i="202"/>
  <c r="AA1999" i="202"/>
  <c r="AA2000" i="202"/>
  <c r="AA2001" i="202"/>
  <c r="AA2002" i="202"/>
  <c r="AA2003" i="202"/>
  <c r="AA2004" i="202"/>
  <c r="AA2005" i="202"/>
  <c r="AA2006" i="202"/>
  <c r="AA2007" i="202"/>
  <c r="AA2008" i="202"/>
  <c r="AA2009" i="202"/>
  <c r="AA2010" i="202"/>
  <c r="AA2011" i="202"/>
  <c r="AA2012" i="202"/>
  <c r="AA2013" i="202"/>
  <c r="AA2014" i="202"/>
  <c r="AA2015" i="202"/>
  <c r="AA2016" i="202"/>
  <c r="AA2017" i="202"/>
  <c r="AA2018" i="202"/>
  <c r="AA2019" i="202"/>
  <c r="AA2020" i="202"/>
  <c r="AA2021" i="202"/>
  <c r="AA2022" i="202"/>
  <c r="AA2023" i="202"/>
  <c r="AA2024" i="202"/>
  <c r="AA2025" i="202"/>
  <c r="AA2026" i="202"/>
  <c r="AA2027" i="202"/>
  <c r="AA2028" i="202"/>
  <c r="AA2029" i="202"/>
  <c r="AA2030" i="202"/>
  <c r="AA2031" i="202"/>
  <c r="AA2032" i="202"/>
  <c r="AA2033" i="202"/>
  <c r="AA2034" i="202"/>
  <c r="AA2035" i="202"/>
  <c r="AA2036" i="202"/>
  <c r="AA2037" i="202"/>
  <c r="AA2038" i="202"/>
  <c r="AA2039" i="202"/>
  <c r="AA2040" i="202"/>
  <c r="AA2041" i="202"/>
  <c r="AA2042" i="202"/>
  <c r="AA2043" i="202"/>
  <c r="AA2044" i="202"/>
  <c r="AA2045" i="202"/>
  <c r="AA2046" i="202"/>
  <c r="AA2047" i="202"/>
  <c r="AA2048" i="202"/>
  <c r="BB2" i="202"/>
  <c r="BB3" i="202"/>
  <c r="BB4" i="202"/>
  <c r="BB5" i="202"/>
  <c r="BB6" i="202"/>
  <c r="BB7" i="202"/>
  <c r="BB8" i="202"/>
  <c r="BB9" i="202"/>
  <c r="BB10" i="202"/>
  <c r="BB11" i="202"/>
  <c r="BB12" i="202"/>
  <c r="BB13" i="202"/>
  <c r="BB14" i="202"/>
  <c r="BB15" i="202"/>
  <c r="BB16" i="202"/>
  <c r="BB17" i="202"/>
  <c r="BB18" i="202"/>
  <c r="BB19" i="202"/>
  <c r="BB20" i="202"/>
  <c r="BB21" i="202"/>
  <c r="BB22" i="202"/>
  <c r="BB23" i="202"/>
  <c r="BB24" i="202"/>
  <c r="BB25" i="202"/>
  <c r="BB26" i="202"/>
  <c r="BB27" i="202"/>
  <c r="BB28" i="202"/>
  <c r="BB29" i="202"/>
  <c r="BB30" i="202"/>
  <c r="BB31" i="202"/>
  <c r="BB32" i="202"/>
  <c r="BB33" i="202"/>
  <c r="BB34" i="202"/>
  <c r="BB35" i="202"/>
  <c r="BB36" i="202"/>
  <c r="BB37" i="202"/>
  <c r="BB38" i="202"/>
  <c r="BB39" i="202"/>
  <c r="BB40" i="202"/>
  <c r="BB41" i="202"/>
  <c r="BB42" i="202"/>
  <c r="BB43" i="202"/>
  <c r="BB44" i="202"/>
  <c r="BB45" i="202"/>
  <c r="BB46" i="202"/>
  <c r="BB47" i="202"/>
  <c r="BB48" i="202"/>
  <c r="BB49" i="202"/>
  <c r="BB50" i="202"/>
  <c r="BB51" i="202"/>
  <c r="BB52" i="202"/>
  <c r="BB53" i="202"/>
  <c r="BB54" i="202"/>
  <c r="BB55" i="202"/>
  <c r="BB56" i="202"/>
  <c r="BB57" i="202"/>
  <c r="BB58" i="202"/>
  <c r="BB59" i="202"/>
  <c r="BB60" i="202"/>
  <c r="BB61" i="202"/>
  <c r="BB62" i="202"/>
  <c r="BB63" i="202"/>
  <c r="BB64" i="202"/>
  <c r="BB65" i="202"/>
  <c r="BB66" i="202"/>
  <c r="BB67" i="202"/>
  <c r="BB68" i="202"/>
  <c r="BB69" i="202"/>
  <c r="BB70" i="202"/>
  <c r="BB71" i="202"/>
  <c r="BB72" i="202"/>
  <c r="BB73" i="202"/>
  <c r="BB74" i="202"/>
  <c r="BB75" i="202"/>
  <c r="BB76" i="202"/>
  <c r="BB77" i="202"/>
  <c r="BB78" i="202"/>
  <c r="BB79" i="202"/>
  <c r="BB80" i="202"/>
  <c r="BB81" i="202"/>
  <c r="BB82" i="202"/>
  <c r="BB83" i="202"/>
  <c r="BB84" i="202"/>
  <c r="BB85" i="202"/>
  <c r="BB86" i="202"/>
  <c r="BB87" i="202"/>
  <c r="BB88" i="202"/>
  <c r="BB89" i="202"/>
  <c r="BB90" i="202"/>
  <c r="BB91" i="202"/>
  <c r="BB92" i="202"/>
  <c r="BB93" i="202"/>
  <c r="BB94" i="202"/>
  <c r="BB95" i="202"/>
  <c r="BB96" i="202"/>
  <c r="BB97" i="202"/>
  <c r="BB98" i="202"/>
  <c r="BB99" i="202"/>
  <c r="BB100" i="202"/>
  <c r="BB101" i="202"/>
  <c r="BB102" i="202"/>
  <c r="BB103" i="202"/>
  <c r="BB104" i="202"/>
  <c r="BB105" i="202"/>
  <c r="BB106" i="202"/>
  <c r="BB107" i="202"/>
  <c r="BB108" i="202"/>
  <c r="BB109" i="202"/>
  <c r="BB110" i="202"/>
  <c r="BB111" i="202"/>
  <c r="BB112" i="202"/>
  <c r="BB113" i="202"/>
  <c r="BB114" i="202"/>
  <c r="BB115" i="202"/>
  <c r="BB116" i="202"/>
  <c r="BB117" i="202"/>
  <c r="BB118" i="202"/>
  <c r="BB119" i="202"/>
  <c r="BB120" i="202"/>
  <c r="BB121" i="202"/>
  <c r="BB122" i="202"/>
  <c r="BB123" i="202"/>
  <c r="BB124" i="202"/>
  <c r="BB125" i="202"/>
  <c r="BB126" i="202"/>
  <c r="BB127" i="202"/>
  <c r="BB128" i="202"/>
  <c r="BB129" i="202"/>
  <c r="BB130" i="202"/>
  <c r="BB131" i="202"/>
  <c r="BB132" i="202"/>
  <c r="BB133" i="202"/>
  <c r="BB134" i="202"/>
  <c r="BB135" i="202"/>
  <c r="BB136" i="202"/>
  <c r="BB137" i="202"/>
  <c r="BB138" i="202"/>
  <c r="BB139" i="202"/>
  <c r="BB140" i="202"/>
  <c r="BB141" i="202"/>
  <c r="BB142" i="202"/>
  <c r="BB143" i="202"/>
  <c r="BB144" i="202"/>
  <c r="BB145" i="202"/>
  <c r="BB146" i="202"/>
  <c r="BB147" i="202"/>
  <c r="BB148" i="202"/>
  <c r="BB149" i="202"/>
  <c r="BB150" i="202"/>
  <c r="BB151" i="202"/>
  <c r="BB152" i="202"/>
  <c r="BB153" i="202"/>
  <c r="BB154" i="202"/>
  <c r="BB155" i="202"/>
  <c r="BB156" i="202"/>
  <c r="BB157" i="202"/>
  <c r="BB158" i="202"/>
  <c r="BB159" i="202"/>
  <c r="BB160" i="202"/>
  <c r="BB161" i="202"/>
  <c r="BB162" i="202"/>
  <c r="BB163" i="202"/>
  <c r="BB164" i="202"/>
  <c r="BB165" i="202"/>
  <c r="BB166" i="202"/>
  <c r="BB167" i="202"/>
  <c r="BB168" i="202"/>
  <c r="BB169" i="202"/>
  <c r="BB170" i="202"/>
  <c r="BB171" i="202"/>
  <c r="BB172" i="202"/>
  <c r="BB173" i="202"/>
  <c r="BB174" i="202"/>
  <c r="BB175" i="202"/>
  <c r="BB176" i="202"/>
  <c r="BB177" i="202"/>
  <c r="BB178" i="202"/>
  <c r="BB179" i="202"/>
  <c r="BB180" i="202"/>
  <c r="BB181" i="202"/>
  <c r="BB182" i="202"/>
  <c r="BB183" i="202"/>
  <c r="BB184" i="202"/>
  <c r="BB185" i="202"/>
  <c r="BB186" i="202"/>
  <c r="BB187" i="202"/>
  <c r="BB188" i="202"/>
  <c r="BB189" i="202"/>
  <c r="BB190" i="202"/>
  <c r="BB191" i="202"/>
  <c r="BB192" i="202"/>
  <c r="BB193" i="202"/>
  <c r="BB194" i="202"/>
  <c r="BB195" i="202"/>
  <c r="BB196" i="202"/>
  <c r="BB197" i="202"/>
  <c r="BB198" i="202"/>
  <c r="BB199" i="202"/>
  <c r="BB200" i="202"/>
  <c r="BB201" i="202"/>
  <c r="BB202" i="202"/>
  <c r="BB203" i="202"/>
  <c r="BB204" i="202"/>
  <c r="BB205" i="202"/>
  <c r="BB206" i="202"/>
  <c r="BB207" i="202"/>
  <c r="BB208" i="202"/>
  <c r="BB209" i="202"/>
  <c r="BB210" i="202"/>
  <c r="BB211" i="202"/>
  <c r="BB212" i="202"/>
  <c r="BB213" i="202"/>
  <c r="BB214" i="202"/>
  <c r="BB215" i="202"/>
  <c r="BB216" i="202"/>
  <c r="BB217" i="202"/>
  <c r="BB218" i="202"/>
  <c r="BB219" i="202"/>
  <c r="BB220" i="202"/>
  <c r="BB221" i="202"/>
  <c r="BB222" i="202"/>
  <c r="BB223" i="202"/>
  <c r="BB224" i="202"/>
  <c r="BB225" i="202"/>
  <c r="BB226" i="202"/>
  <c r="BB227" i="202"/>
  <c r="BB228" i="202"/>
  <c r="BB229" i="202"/>
  <c r="BB230" i="202"/>
  <c r="BB231" i="202"/>
  <c r="BB232" i="202"/>
  <c r="BB233" i="202"/>
  <c r="BB234" i="202"/>
  <c r="BB235" i="202"/>
  <c r="BB236" i="202"/>
  <c r="BB237" i="202"/>
  <c r="BB238" i="202"/>
  <c r="BB239" i="202"/>
  <c r="BB240" i="202"/>
  <c r="BB241" i="202"/>
  <c r="BB242" i="202"/>
  <c r="BB243" i="202"/>
  <c r="BB244" i="202"/>
  <c r="BB245" i="202"/>
  <c r="BB246" i="202"/>
  <c r="BB247" i="202"/>
  <c r="BB248" i="202"/>
  <c r="BB249" i="202"/>
  <c r="BB250" i="202"/>
  <c r="BB251" i="202"/>
  <c r="BB252" i="202"/>
  <c r="BB253" i="202"/>
  <c r="BB254" i="202"/>
  <c r="BB255" i="202"/>
  <c r="BB256" i="202"/>
  <c r="BB257" i="202"/>
  <c r="BB258" i="202"/>
  <c r="BB259" i="202"/>
  <c r="BB260" i="202"/>
  <c r="BB261" i="202"/>
  <c r="BB262" i="202"/>
  <c r="BB263" i="202"/>
  <c r="BB264" i="202"/>
  <c r="BB265" i="202"/>
  <c r="BB266" i="202"/>
  <c r="BB267" i="202"/>
  <c r="BB268" i="202"/>
  <c r="BB269" i="202"/>
  <c r="BB270" i="202"/>
  <c r="BB271" i="202"/>
  <c r="BB272" i="202"/>
  <c r="BB273" i="202"/>
  <c r="BB274" i="202"/>
  <c r="BB275" i="202"/>
  <c r="BB276" i="202"/>
  <c r="BB277" i="202"/>
  <c r="BB278" i="202"/>
  <c r="BB279" i="202"/>
  <c r="BB280" i="202"/>
  <c r="BB281" i="202"/>
  <c r="BB282" i="202"/>
  <c r="BB283" i="202"/>
  <c r="BB284" i="202"/>
  <c r="BB285" i="202"/>
  <c r="BB286" i="202"/>
  <c r="BB287" i="202"/>
  <c r="BB288" i="202"/>
  <c r="BB289" i="202"/>
  <c r="BB290" i="202"/>
  <c r="BB291" i="202"/>
  <c r="BB292" i="202"/>
  <c r="BB293" i="202"/>
  <c r="BB294" i="202"/>
  <c r="BB295" i="202"/>
  <c r="BB296" i="202"/>
  <c r="BB297" i="202"/>
  <c r="BB298" i="202"/>
  <c r="BB299" i="202"/>
  <c r="BB300" i="202"/>
  <c r="BB301" i="202"/>
  <c r="BB302" i="202"/>
  <c r="BB303" i="202"/>
  <c r="BB304" i="202"/>
  <c r="BB305" i="202"/>
  <c r="BB306" i="202"/>
  <c r="BB307" i="202"/>
  <c r="BB308" i="202"/>
  <c r="BB309" i="202"/>
  <c r="BB310" i="202"/>
  <c r="BB311" i="202"/>
  <c r="BB312" i="202"/>
  <c r="BB313" i="202"/>
  <c r="BB314" i="202"/>
  <c r="BB315" i="202"/>
  <c r="BB316" i="202"/>
  <c r="BB317" i="202"/>
  <c r="BB318" i="202"/>
  <c r="BB319" i="202"/>
  <c r="BB320" i="202"/>
  <c r="BB321" i="202"/>
  <c r="BB322" i="202"/>
  <c r="BB323" i="202"/>
  <c r="BB324" i="202"/>
  <c r="BB325" i="202"/>
  <c r="BB326" i="202"/>
  <c r="BB327" i="202"/>
  <c r="BB328" i="202"/>
  <c r="BB329" i="202"/>
  <c r="BB330" i="202"/>
  <c r="BB331" i="202"/>
  <c r="BB332" i="202"/>
  <c r="BB333" i="202"/>
  <c r="BB334" i="202"/>
  <c r="BB335" i="202"/>
  <c r="BB336" i="202"/>
  <c r="BB337" i="202"/>
  <c r="BB338" i="202"/>
  <c r="BB339" i="202"/>
  <c r="BB340" i="202"/>
  <c r="BB341" i="202"/>
  <c r="BB342" i="202"/>
  <c r="BB343" i="202"/>
  <c r="BB344" i="202"/>
  <c r="BB345" i="202"/>
  <c r="BB346" i="202"/>
  <c r="BB347" i="202"/>
  <c r="BB348" i="202"/>
  <c r="BB349" i="202"/>
  <c r="BB350" i="202"/>
  <c r="BB351" i="202"/>
  <c r="BB352" i="202"/>
  <c r="BB353" i="202"/>
  <c r="BB354" i="202"/>
  <c r="BB355" i="202"/>
  <c r="BB356" i="202"/>
  <c r="BB357" i="202"/>
  <c r="BB358" i="202"/>
  <c r="BB359" i="202"/>
  <c r="BB360" i="202"/>
  <c r="BB361" i="202"/>
  <c r="BB362" i="202"/>
  <c r="BB363" i="202"/>
  <c r="BB364" i="202"/>
  <c r="BB365" i="202"/>
  <c r="BB366" i="202"/>
  <c r="BB367" i="202"/>
  <c r="BB368" i="202"/>
  <c r="BB369" i="202"/>
  <c r="BB370" i="202"/>
  <c r="BB371" i="202"/>
  <c r="BB372" i="202"/>
  <c r="BB373" i="202"/>
  <c r="BB374" i="202"/>
  <c r="BB375" i="202"/>
  <c r="BB376" i="202"/>
  <c r="BB377" i="202"/>
  <c r="BB378" i="202"/>
  <c r="BB379" i="202"/>
  <c r="BB380" i="202"/>
  <c r="BB381" i="202"/>
  <c r="BB382" i="202"/>
  <c r="BB383" i="202"/>
  <c r="BB384" i="202"/>
  <c r="BB385" i="202"/>
  <c r="BB386" i="202"/>
  <c r="BB387" i="202"/>
  <c r="BB388" i="202"/>
  <c r="BB389" i="202"/>
  <c r="BB390" i="202"/>
  <c r="BB391" i="202"/>
  <c r="BB392" i="202"/>
  <c r="BB393" i="202"/>
  <c r="BB394" i="202"/>
  <c r="BB395" i="202"/>
  <c r="BB396" i="202"/>
  <c r="BB397" i="202"/>
  <c r="BB398" i="202"/>
  <c r="BB399" i="202"/>
  <c r="BB400" i="202"/>
  <c r="BB401" i="202"/>
  <c r="BB402" i="202"/>
  <c r="BB403" i="202"/>
  <c r="BB404" i="202"/>
  <c r="BB405" i="202"/>
  <c r="BB406" i="202"/>
  <c r="BB407" i="202"/>
  <c r="BB408" i="202"/>
  <c r="BB409" i="202"/>
  <c r="BB410" i="202"/>
  <c r="BB411" i="202"/>
  <c r="BB412" i="202"/>
  <c r="BB413" i="202"/>
  <c r="BB414" i="202"/>
  <c r="BB415" i="202"/>
  <c r="BB416" i="202"/>
  <c r="BB417" i="202"/>
  <c r="BB418" i="202"/>
  <c r="BB419" i="202"/>
  <c r="BB420" i="202"/>
  <c r="BB421" i="202"/>
  <c r="BB422" i="202"/>
  <c r="BB423" i="202"/>
  <c r="BB424" i="202"/>
  <c r="BB425" i="202"/>
  <c r="BB426" i="202"/>
  <c r="BB427" i="202"/>
  <c r="BB428" i="202"/>
  <c r="BB429" i="202"/>
  <c r="BB430" i="202"/>
  <c r="BB431" i="202"/>
  <c r="BB432" i="202"/>
  <c r="BB433" i="202"/>
  <c r="BB434" i="202"/>
  <c r="BB435" i="202"/>
  <c r="BB436" i="202"/>
  <c r="BB437" i="202"/>
  <c r="BB438" i="202"/>
  <c r="BB439" i="202"/>
  <c r="BB440" i="202"/>
  <c r="BB441" i="202"/>
  <c r="BB442" i="202"/>
  <c r="BB443" i="202"/>
  <c r="BB444" i="202"/>
  <c r="BB445" i="202"/>
  <c r="BB446" i="202"/>
  <c r="BB447" i="202"/>
  <c r="BB448" i="202"/>
  <c r="BB449" i="202"/>
  <c r="BB450" i="202"/>
  <c r="BB451" i="202"/>
  <c r="BB452" i="202"/>
  <c r="BB453" i="202"/>
  <c r="BB454" i="202"/>
  <c r="BB455" i="202"/>
  <c r="BB456" i="202"/>
  <c r="BB457" i="202"/>
  <c r="BB458" i="202"/>
  <c r="BB459" i="202"/>
  <c r="BB460" i="202"/>
  <c r="BB461" i="202"/>
  <c r="BB462" i="202"/>
  <c r="BB463" i="202"/>
  <c r="BB464" i="202"/>
  <c r="BB465" i="202"/>
  <c r="BB466" i="202"/>
  <c r="BB467" i="202"/>
  <c r="BB468" i="202"/>
  <c r="BB469" i="202"/>
  <c r="BB470" i="202"/>
  <c r="BB471" i="202"/>
  <c r="BB472" i="202"/>
  <c r="BB473" i="202"/>
  <c r="BB474" i="202"/>
  <c r="BB475" i="202"/>
  <c r="BB476" i="202"/>
  <c r="BB477" i="202"/>
  <c r="BB478" i="202"/>
  <c r="BB479" i="202"/>
  <c r="BB480" i="202"/>
  <c r="BB481" i="202"/>
  <c r="BB482" i="202"/>
  <c r="BB483" i="202"/>
  <c r="BB484" i="202"/>
  <c r="BB485" i="202"/>
  <c r="BB486" i="202"/>
  <c r="BB487" i="202"/>
  <c r="BB488" i="202"/>
  <c r="BB489" i="202"/>
  <c r="BB490" i="202"/>
  <c r="BB491" i="202"/>
  <c r="BB492" i="202"/>
  <c r="BB493" i="202"/>
  <c r="BB494" i="202"/>
  <c r="BB495" i="202"/>
  <c r="BB496" i="202"/>
  <c r="BB497" i="202"/>
  <c r="BB498" i="202"/>
  <c r="BB499" i="202"/>
  <c r="BB500" i="202"/>
  <c r="BB501" i="202"/>
  <c r="BB502" i="202"/>
  <c r="BB503" i="202"/>
  <c r="BB504" i="202"/>
  <c r="BB505" i="202"/>
  <c r="BB506" i="202"/>
  <c r="BB507" i="202"/>
  <c r="BB508" i="202"/>
  <c r="BB509" i="202"/>
  <c r="BB510" i="202"/>
  <c r="BB511" i="202"/>
  <c r="BB512" i="202"/>
  <c r="BB513" i="202"/>
  <c r="BB514" i="202"/>
  <c r="BB515" i="202"/>
  <c r="BB516" i="202"/>
  <c r="BB517" i="202"/>
  <c r="BB518" i="202"/>
  <c r="BB519" i="202"/>
  <c r="BB520" i="202"/>
  <c r="BB521" i="202"/>
  <c r="BB522" i="202"/>
  <c r="BB523" i="202"/>
  <c r="BB524" i="202"/>
  <c r="BB525" i="202"/>
  <c r="BB526" i="202"/>
  <c r="BB527" i="202"/>
  <c r="BB528" i="202"/>
  <c r="BB529" i="202"/>
  <c r="BB530" i="202"/>
  <c r="BB531" i="202"/>
  <c r="BB532" i="202"/>
  <c r="BB533" i="202"/>
  <c r="BB534" i="202"/>
  <c r="BB535" i="202"/>
  <c r="BB536" i="202"/>
  <c r="BB537" i="202"/>
  <c r="BB538" i="202"/>
  <c r="BB539" i="202"/>
  <c r="BB540" i="202"/>
  <c r="BB541" i="202"/>
  <c r="BB542" i="202"/>
  <c r="BB543" i="202"/>
  <c r="BB544" i="202"/>
  <c r="BB545" i="202"/>
  <c r="BB546" i="202"/>
  <c r="BB547" i="202"/>
  <c r="BB548" i="202"/>
  <c r="BB549" i="202"/>
  <c r="BB550" i="202"/>
  <c r="BB551" i="202"/>
  <c r="BB552" i="202"/>
  <c r="BB553" i="202"/>
  <c r="BB554" i="202"/>
  <c r="BB555" i="202"/>
  <c r="BB556" i="202"/>
  <c r="BB557" i="202"/>
  <c r="BB558" i="202"/>
  <c r="BB559" i="202"/>
  <c r="BB560" i="202"/>
  <c r="BB561" i="202"/>
  <c r="BB562" i="202"/>
  <c r="BB563" i="202"/>
  <c r="BB564" i="202"/>
  <c r="BB565" i="202"/>
  <c r="BB566" i="202"/>
  <c r="BB567" i="202"/>
  <c r="BB568" i="202"/>
  <c r="BB569" i="202"/>
  <c r="BB570" i="202"/>
  <c r="BB571" i="202"/>
  <c r="BB572" i="202"/>
  <c r="BB573" i="202"/>
  <c r="BB574" i="202"/>
  <c r="BB575" i="202"/>
  <c r="BB576" i="202"/>
  <c r="BB577" i="202"/>
  <c r="BB578" i="202"/>
  <c r="BB579" i="202"/>
  <c r="BB580" i="202"/>
  <c r="BB581" i="202"/>
  <c r="BB582" i="202"/>
  <c r="BB583" i="202"/>
  <c r="BB584" i="202"/>
  <c r="BB585" i="202"/>
  <c r="BB586" i="202"/>
  <c r="BB587" i="202"/>
  <c r="BB588" i="202"/>
  <c r="BB589" i="202"/>
  <c r="BB590" i="202"/>
  <c r="BB591" i="202"/>
  <c r="BB592" i="202"/>
  <c r="BB593" i="202"/>
  <c r="BB594" i="202"/>
  <c r="BB595" i="202"/>
  <c r="BB596" i="202"/>
  <c r="BB597" i="202"/>
  <c r="BB598" i="202"/>
  <c r="BB599" i="202"/>
  <c r="BB600" i="202"/>
  <c r="BB601" i="202"/>
  <c r="BB602" i="202"/>
  <c r="BB603" i="202"/>
  <c r="BB604" i="202"/>
  <c r="BB605" i="202"/>
  <c r="BB606" i="202"/>
  <c r="BB607" i="202"/>
  <c r="BB608" i="202"/>
  <c r="BB609" i="202"/>
  <c r="BB610" i="202"/>
  <c r="BB611" i="202"/>
  <c r="BB612" i="202"/>
  <c r="BB613" i="202"/>
  <c r="BB614" i="202"/>
  <c r="BB615" i="202"/>
  <c r="BB616" i="202"/>
  <c r="BB617" i="202"/>
  <c r="BB618" i="202"/>
  <c r="BB619" i="202"/>
  <c r="BB620" i="202"/>
  <c r="BB621" i="202"/>
  <c r="BB622" i="202"/>
  <c r="BB623" i="202"/>
  <c r="BB624" i="202"/>
  <c r="BB625" i="202"/>
  <c r="BB626" i="202"/>
  <c r="BB627" i="202"/>
  <c r="BB628" i="202"/>
  <c r="BB629" i="202"/>
  <c r="BB630" i="202"/>
  <c r="BB631" i="202"/>
  <c r="BB632" i="202"/>
  <c r="BB633" i="202"/>
  <c r="BB634" i="202"/>
  <c r="BB635" i="202"/>
  <c r="BB636" i="202"/>
  <c r="BB637" i="202"/>
  <c r="BB638" i="202"/>
  <c r="BB639" i="202"/>
  <c r="BB640" i="202"/>
  <c r="BB641" i="202"/>
  <c r="BB642" i="202"/>
  <c r="BB643" i="202"/>
  <c r="BB644" i="202"/>
  <c r="BB645" i="202"/>
  <c r="BB646" i="202"/>
  <c r="BB647" i="202"/>
  <c r="BB648" i="202"/>
  <c r="BB649" i="202"/>
  <c r="BB650" i="202"/>
  <c r="BB651" i="202"/>
  <c r="BB652" i="202"/>
  <c r="BB653" i="202"/>
  <c r="BB654" i="202"/>
  <c r="BB655" i="202"/>
  <c r="BB656" i="202"/>
  <c r="BB657" i="202"/>
  <c r="BB658" i="202"/>
  <c r="BB659" i="202"/>
  <c r="BB660" i="202"/>
  <c r="BB661" i="202"/>
  <c r="BB662" i="202"/>
  <c r="BB663" i="202"/>
  <c r="BB664" i="202"/>
  <c r="BB665" i="202"/>
  <c r="BB666" i="202"/>
  <c r="BB667" i="202"/>
  <c r="BB668" i="202"/>
  <c r="BB669" i="202"/>
  <c r="BB670" i="202"/>
  <c r="BB671" i="202"/>
  <c r="BB672" i="202"/>
  <c r="BB673" i="202"/>
  <c r="BB674" i="202"/>
  <c r="BB675" i="202"/>
  <c r="BB676" i="202"/>
  <c r="BB677" i="202"/>
  <c r="BB678" i="202"/>
  <c r="BB679" i="202"/>
  <c r="BB680" i="202"/>
  <c r="BB681" i="202"/>
  <c r="BB682" i="202"/>
  <c r="BB683" i="202"/>
  <c r="BB684" i="202"/>
  <c r="BB685" i="202"/>
  <c r="BB686" i="202"/>
  <c r="BB687" i="202"/>
  <c r="BB688" i="202"/>
  <c r="BB689" i="202"/>
  <c r="BB690" i="202"/>
  <c r="BB691" i="202"/>
  <c r="BB692" i="202"/>
  <c r="BB693" i="202"/>
  <c r="BB694" i="202"/>
  <c r="BB695" i="202"/>
  <c r="BB696" i="202"/>
  <c r="BB697" i="202"/>
  <c r="BB698" i="202"/>
  <c r="BB699" i="202"/>
  <c r="BB700" i="202"/>
  <c r="BB701" i="202"/>
  <c r="BB702" i="202"/>
  <c r="BB703" i="202"/>
  <c r="BB704" i="202"/>
  <c r="BB705" i="202"/>
  <c r="BB706" i="202"/>
  <c r="BB707" i="202"/>
  <c r="BB708" i="202"/>
  <c r="BB709" i="202"/>
  <c r="BB710" i="202"/>
  <c r="BB711" i="202"/>
  <c r="BB712" i="202"/>
  <c r="BB713" i="202"/>
  <c r="BB714" i="202"/>
  <c r="BB715" i="202"/>
  <c r="BB716" i="202"/>
  <c r="BB717" i="202"/>
  <c r="BB718" i="202"/>
  <c r="BB719" i="202"/>
  <c r="BB720" i="202"/>
  <c r="BB721" i="202"/>
  <c r="BB722" i="202"/>
  <c r="BB723" i="202"/>
  <c r="BB724" i="202"/>
  <c r="BB725" i="202"/>
  <c r="BB726" i="202"/>
  <c r="BB727" i="202"/>
  <c r="BB728" i="202"/>
  <c r="BB729" i="202"/>
  <c r="BB730" i="202"/>
  <c r="BB731" i="202"/>
  <c r="BB732" i="202"/>
  <c r="BB733" i="202"/>
  <c r="BB734" i="202"/>
  <c r="BB735" i="202"/>
  <c r="BB736" i="202"/>
  <c r="BB737" i="202"/>
  <c r="BB738" i="202"/>
  <c r="BB739" i="202"/>
  <c r="BB740" i="202"/>
  <c r="BB741" i="202"/>
  <c r="BB742" i="202"/>
  <c r="BB743" i="202"/>
  <c r="BB744" i="202"/>
  <c r="BB745" i="202"/>
  <c r="BB746" i="202"/>
  <c r="BB747" i="202"/>
  <c r="BB748" i="202"/>
  <c r="BB749" i="202"/>
  <c r="BB750" i="202"/>
  <c r="BB751" i="202"/>
  <c r="BB752" i="202"/>
  <c r="BB753" i="202"/>
  <c r="BB754" i="202"/>
  <c r="BB755" i="202"/>
  <c r="BB756" i="202"/>
  <c r="BB757" i="202"/>
  <c r="BB758" i="202"/>
  <c r="BB759" i="202"/>
  <c r="BB760" i="202"/>
  <c r="BB761" i="202"/>
  <c r="BB762" i="202"/>
  <c r="BB763" i="202"/>
  <c r="BB764" i="202"/>
  <c r="BB765" i="202"/>
  <c r="BB766" i="202"/>
  <c r="BB767" i="202"/>
  <c r="BB768" i="202"/>
  <c r="BB769" i="202"/>
  <c r="BB770" i="202"/>
  <c r="BB771" i="202"/>
  <c r="BB772" i="202"/>
  <c r="BB773" i="202"/>
  <c r="BB774" i="202"/>
  <c r="BB775" i="202"/>
  <c r="BB776" i="202"/>
  <c r="BB777" i="202"/>
  <c r="BB778" i="202"/>
  <c r="BB779" i="202"/>
  <c r="BB780" i="202"/>
  <c r="BB781" i="202"/>
  <c r="BB782" i="202"/>
  <c r="BB783" i="202"/>
  <c r="BB784" i="202"/>
  <c r="BB785" i="202"/>
  <c r="BB786" i="202"/>
  <c r="BB787" i="202"/>
  <c r="BB788" i="202"/>
  <c r="BB789" i="202"/>
  <c r="BB790" i="202"/>
  <c r="BB791" i="202"/>
  <c r="BB792" i="202"/>
  <c r="BB793" i="202"/>
  <c r="BB794" i="202"/>
  <c r="BB795" i="202"/>
  <c r="BB796" i="202"/>
  <c r="BB797" i="202"/>
  <c r="BB798" i="202"/>
  <c r="BB799" i="202"/>
  <c r="BB800" i="202"/>
  <c r="BB801" i="202"/>
  <c r="BB802" i="202"/>
  <c r="BB803" i="202"/>
  <c r="BB804" i="202"/>
  <c r="BB805" i="202"/>
  <c r="BB806" i="202"/>
  <c r="BB807" i="202"/>
  <c r="BB808" i="202"/>
  <c r="BB809" i="202"/>
  <c r="BB810" i="202"/>
  <c r="BB811" i="202"/>
  <c r="BB812" i="202"/>
  <c r="BB813" i="202"/>
  <c r="BB814" i="202"/>
  <c r="BB815" i="202"/>
  <c r="BB816" i="202"/>
  <c r="BB817" i="202"/>
  <c r="BB818" i="202"/>
  <c r="BB819" i="202"/>
  <c r="BB820" i="202"/>
  <c r="BB821" i="202"/>
  <c r="BB822" i="202"/>
  <c r="BB823" i="202"/>
  <c r="BB824" i="202"/>
  <c r="BB825" i="202"/>
  <c r="BB826" i="202"/>
  <c r="BB827" i="202"/>
  <c r="BB828" i="202"/>
  <c r="BB829" i="202"/>
  <c r="BB830" i="202"/>
  <c r="BB831" i="202"/>
  <c r="BB832" i="202"/>
  <c r="BB833" i="202"/>
  <c r="BB834" i="202"/>
  <c r="BB835" i="202"/>
  <c r="BB836" i="202"/>
  <c r="BB837" i="202"/>
  <c r="BB838" i="202"/>
  <c r="BB839" i="202"/>
  <c r="BB840" i="202"/>
  <c r="BB841" i="202"/>
  <c r="BB842" i="202"/>
  <c r="BB843" i="202"/>
  <c r="BB844" i="202"/>
  <c r="BB845" i="202"/>
  <c r="BB846" i="202"/>
  <c r="BB847" i="202"/>
  <c r="BB848" i="202"/>
  <c r="BB849" i="202"/>
  <c r="BB850" i="202"/>
  <c r="BB851" i="202"/>
  <c r="BB852" i="202"/>
  <c r="BB853" i="202"/>
  <c r="BB854" i="202"/>
  <c r="BB855" i="202"/>
  <c r="BB856" i="202"/>
  <c r="BB857" i="202"/>
  <c r="BB858" i="202"/>
  <c r="BB859" i="202"/>
  <c r="BB860" i="202"/>
  <c r="BB861" i="202"/>
  <c r="BB862" i="202"/>
  <c r="BB863" i="202"/>
  <c r="BB864" i="202"/>
  <c r="BB865" i="202"/>
  <c r="BB866" i="202"/>
  <c r="BB867" i="202"/>
  <c r="BB868" i="202"/>
  <c r="BB869" i="202"/>
  <c r="BB870" i="202"/>
  <c r="BB871" i="202"/>
  <c r="BB872" i="202"/>
  <c r="BB873" i="202"/>
  <c r="BB874" i="202"/>
  <c r="BB875" i="202"/>
  <c r="BB876" i="202"/>
  <c r="BB877" i="202"/>
  <c r="BB878" i="202"/>
  <c r="BB879" i="202"/>
  <c r="BB880" i="202"/>
  <c r="BB881" i="202"/>
  <c r="BB882" i="202"/>
  <c r="BB883" i="202"/>
  <c r="BB884" i="202"/>
  <c r="BB885" i="202"/>
  <c r="BB886" i="202"/>
  <c r="BB887" i="202"/>
  <c r="BB888" i="202"/>
  <c r="BB889" i="202"/>
  <c r="BB890" i="202"/>
  <c r="BB891" i="202"/>
  <c r="BB892" i="202"/>
  <c r="BB893" i="202"/>
  <c r="BB894" i="202"/>
  <c r="BB895" i="202"/>
  <c r="BB896" i="202"/>
  <c r="BB897" i="202"/>
  <c r="BB898" i="202"/>
  <c r="BB899" i="202"/>
  <c r="BB900" i="202"/>
  <c r="BB901" i="202"/>
  <c r="BB902" i="202"/>
  <c r="BB903" i="202"/>
  <c r="BB904" i="202"/>
  <c r="BB905" i="202"/>
  <c r="BB906" i="202"/>
  <c r="BB907" i="202"/>
  <c r="BB908" i="202"/>
  <c r="BB909" i="202"/>
  <c r="BB910" i="202"/>
  <c r="BB911" i="202"/>
  <c r="BB912" i="202"/>
  <c r="BB913" i="202"/>
  <c r="BB914" i="202"/>
  <c r="BB915" i="202"/>
  <c r="BB916" i="202"/>
  <c r="BB917" i="202"/>
  <c r="BB918" i="202"/>
  <c r="BB919" i="202"/>
  <c r="BB920" i="202"/>
  <c r="BB921" i="202"/>
  <c r="BB922" i="202"/>
  <c r="BB923" i="202"/>
  <c r="BB924" i="202"/>
  <c r="BB925" i="202"/>
  <c r="BB926" i="202"/>
  <c r="BB927" i="202"/>
  <c r="BB928" i="202"/>
  <c r="BB929" i="202"/>
  <c r="BB930" i="202"/>
  <c r="BB931" i="202"/>
  <c r="BB932" i="202"/>
  <c r="BB933" i="202"/>
  <c r="BB934" i="202"/>
  <c r="BB935" i="202"/>
  <c r="BB936" i="202"/>
  <c r="BB937" i="202"/>
  <c r="BB938" i="202"/>
  <c r="BB939" i="202"/>
  <c r="BB940" i="202"/>
  <c r="BB941" i="202"/>
  <c r="BB942" i="202"/>
  <c r="BB943" i="202"/>
  <c r="BB944" i="202"/>
  <c r="BB945" i="202"/>
  <c r="BB946" i="202"/>
  <c r="BB947" i="202"/>
  <c r="BB948" i="202"/>
  <c r="BB949" i="202"/>
  <c r="BB950" i="202"/>
  <c r="BB951" i="202"/>
  <c r="BB952" i="202"/>
  <c r="BB953" i="202"/>
  <c r="BB954" i="202"/>
  <c r="BB955" i="202"/>
  <c r="BB956" i="202"/>
  <c r="BB957" i="202"/>
  <c r="BB958" i="202"/>
  <c r="BB959" i="202"/>
  <c r="BB960" i="202"/>
  <c r="BB961" i="202"/>
  <c r="BB962" i="202"/>
  <c r="BB963" i="202"/>
  <c r="BB964" i="202"/>
  <c r="BB965" i="202"/>
  <c r="BB966" i="202"/>
  <c r="BB967" i="202"/>
  <c r="BB968" i="202"/>
  <c r="BB969" i="202"/>
  <c r="BB970" i="202"/>
  <c r="BB971" i="202"/>
  <c r="BB972" i="202"/>
  <c r="BB973" i="202"/>
  <c r="BB974" i="202"/>
  <c r="BB975" i="202"/>
  <c r="BB976" i="202"/>
  <c r="BB977" i="202"/>
  <c r="BB978" i="202"/>
  <c r="BB979" i="202"/>
  <c r="BB980" i="202"/>
  <c r="BB981" i="202"/>
  <c r="BB982" i="202"/>
  <c r="BB983" i="202"/>
  <c r="BB984" i="202"/>
  <c r="BB985" i="202"/>
  <c r="BB986" i="202"/>
  <c r="BB987" i="202"/>
  <c r="BB988" i="202"/>
  <c r="BB989" i="202"/>
  <c r="BB990" i="202"/>
  <c r="BB991" i="202"/>
  <c r="BB992" i="202"/>
  <c r="BB993" i="202"/>
  <c r="BB994" i="202"/>
  <c r="BB995" i="202"/>
  <c r="BB996" i="202"/>
  <c r="BB997" i="202"/>
  <c r="BB998" i="202"/>
  <c r="BB999" i="202"/>
  <c r="BB1000" i="202"/>
  <c r="BB1001" i="202"/>
  <c r="BB1002" i="202"/>
  <c r="BB1003" i="202"/>
  <c r="BB1004" i="202"/>
  <c r="BB1005" i="202"/>
  <c r="BB1006" i="202"/>
  <c r="BB1007" i="202"/>
  <c r="BB1008" i="202"/>
  <c r="BB1009" i="202"/>
  <c r="BB1010" i="202"/>
  <c r="BB1011" i="202"/>
  <c r="BB1012" i="202"/>
  <c r="BB1013" i="202"/>
  <c r="BB1014" i="202"/>
  <c r="BB1015" i="202"/>
  <c r="BB1016" i="202"/>
  <c r="BB1017" i="202"/>
  <c r="BB1018" i="202"/>
  <c r="BB1019" i="202"/>
  <c r="BB1020" i="202"/>
  <c r="BB1021" i="202"/>
  <c r="BB1022" i="202"/>
  <c r="BB1023" i="202"/>
  <c r="BB1024" i="202"/>
  <c r="BB1025" i="202"/>
  <c r="BB1026" i="202"/>
  <c r="BB1027" i="202"/>
  <c r="BB1028" i="202"/>
  <c r="BB1029" i="202"/>
  <c r="BB1030" i="202"/>
  <c r="BB1031" i="202"/>
  <c r="BB1032" i="202"/>
  <c r="BB1033" i="202"/>
  <c r="BB1034" i="202"/>
  <c r="BB1035" i="202"/>
  <c r="BB1036" i="202"/>
  <c r="BB1037" i="202"/>
  <c r="BB1038" i="202"/>
  <c r="BB1039" i="202"/>
  <c r="BB1040" i="202"/>
  <c r="BB1041" i="202"/>
  <c r="BB1042" i="202"/>
  <c r="BB1043" i="202"/>
  <c r="BB1044" i="202"/>
  <c r="BB1045" i="202"/>
  <c r="BB1046" i="202"/>
  <c r="BB1047" i="202"/>
  <c r="BB1048" i="202"/>
  <c r="BB1049" i="202"/>
  <c r="BB1050" i="202"/>
  <c r="BB1051" i="202"/>
  <c r="BB1052" i="202"/>
  <c r="BB1053" i="202"/>
  <c r="BB1054" i="202"/>
  <c r="BB1055" i="202"/>
  <c r="BB1056" i="202"/>
  <c r="BB1057" i="202"/>
  <c r="BB1058" i="202"/>
  <c r="BB1059" i="202"/>
  <c r="BB1060" i="202"/>
  <c r="BB1061" i="202"/>
  <c r="BB1062" i="202"/>
  <c r="BB1063" i="202"/>
  <c r="BB1064" i="202"/>
  <c r="BB1065" i="202"/>
  <c r="BB1066" i="202"/>
  <c r="BB1067" i="202"/>
  <c r="BB1068" i="202"/>
  <c r="BB1069" i="202"/>
  <c r="BB1070" i="202"/>
  <c r="BB1071" i="202"/>
  <c r="BB1072" i="202"/>
  <c r="BB1073" i="202"/>
  <c r="BB1074" i="202"/>
  <c r="BB1075" i="202"/>
  <c r="BB1076" i="202"/>
  <c r="BB1077" i="202"/>
  <c r="BB1078" i="202"/>
  <c r="BB1079" i="202"/>
  <c r="BB1080" i="202"/>
  <c r="BB1081" i="202"/>
  <c r="BB1082" i="202"/>
  <c r="BB1083" i="202"/>
  <c r="BB1084" i="202"/>
  <c r="BB1085" i="202"/>
  <c r="BB1086" i="202"/>
  <c r="BB1087" i="202"/>
  <c r="BB1088" i="202"/>
  <c r="BB1089" i="202"/>
  <c r="BB1090" i="202"/>
  <c r="BB1091" i="202"/>
  <c r="BB1092" i="202"/>
  <c r="BB1093" i="202"/>
  <c r="BB1094" i="202"/>
  <c r="BB1095" i="202"/>
  <c r="BB1096" i="202"/>
  <c r="BB1097" i="202"/>
  <c r="BB1098" i="202"/>
  <c r="BB1099" i="202"/>
  <c r="BB1100" i="202"/>
  <c r="BB1101" i="202"/>
  <c r="BB1102" i="202"/>
  <c r="BB1103" i="202"/>
  <c r="BB1104" i="202"/>
  <c r="BB1105" i="202"/>
  <c r="BB1106" i="202"/>
  <c r="BB1107" i="202"/>
  <c r="BB1108" i="202"/>
  <c r="BB1109" i="202"/>
  <c r="BB1110" i="202"/>
  <c r="BB1111" i="202"/>
  <c r="BB1112" i="202"/>
  <c r="BB1113" i="202"/>
  <c r="BB1114" i="202"/>
  <c r="BB1115" i="202"/>
  <c r="BB1116" i="202"/>
  <c r="BB1117" i="202"/>
  <c r="BB1118" i="202"/>
  <c r="BB1119" i="202"/>
  <c r="BB1120" i="202"/>
  <c r="BB1121" i="202"/>
  <c r="BB1122" i="202"/>
  <c r="BB1123" i="202"/>
  <c r="BB1124" i="202"/>
  <c r="BB1125" i="202"/>
  <c r="BB1126" i="202"/>
  <c r="BB1127" i="202"/>
  <c r="BB1128" i="202"/>
  <c r="BB1129" i="202"/>
  <c r="BB1130" i="202"/>
  <c r="BB1131" i="202"/>
  <c r="BB1132" i="202"/>
  <c r="BB1133" i="202"/>
  <c r="BB1134" i="202"/>
  <c r="BB1135" i="202"/>
  <c r="BB1136" i="202"/>
  <c r="BB1137" i="202"/>
  <c r="BB1138" i="202"/>
  <c r="BB1139" i="202"/>
  <c r="BB1140" i="202"/>
  <c r="BB1141" i="202"/>
  <c r="BB1142" i="202"/>
  <c r="BB1143" i="202"/>
  <c r="BB1144" i="202"/>
  <c r="BB1145" i="202"/>
  <c r="BB1146" i="202"/>
  <c r="BB1147" i="202"/>
  <c r="BB1148" i="202"/>
  <c r="BB1149" i="202"/>
  <c r="BB1150" i="202"/>
  <c r="BB1151" i="202"/>
  <c r="BB1152" i="202"/>
  <c r="BB1153" i="202"/>
  <c r="BB1154" i="202"/>
  <c r="BB1155" i="202"/>
  <c r="BB1156" i="202"/>
  <c r="BB1157" i="202"/>
  <c r="BB1158" i="202"/>
  <c r="BB1159" i="202"/>
  <c r="BB1160" i="202"/>
  <c r="BB1161" i="202"/>
  <c r="BB1162" i="202"/>
  <c r="BB1163" i="202"/>
  <c r="BB1164" i="202"/>
  <c r="BB1165" i="202"/>
  <c r="BB1166" i="202"/>
  <c r="BB1167" i="202"/>
  <c r="BB1168" i="202"/>
  <c r="BB1169" i="202"/>
  <c r="BB1170" i="202"/>
  <c r="BB1171" i="202"/>
  <c r="BB1172" i="202"/>
  <c r="BB1173" i="202"/>
  <c r="BB1174" i="202"/>
  <c r="BB1175" i="202"/>
  <c r="BB1176" i="202"/>
  <c r="BB1177" i="202"/>
  <c r="BB1178" i="202"/>
  <c r="BB1179" i="202"/>
  <c r="BB1180" i="202"/>
  <c r="BB1181" i="202"/>
  <c r="BB1182" i="202"/>
  <c r="BB1183" i="202"/>
  <c r="BB1184" i="202"/>
  <c r="BB1185" i="202"/>
  <c r="BB1186" i="202"/>
  <c r="BB1187" i="202"/>
  <c r="BB1188" i="202"/>
  <c r="BB1189" i="202"/>
  <c r="BB1190" i="202"/>
  <c r="BB1191" i="202"/>
  <c r="BB1192" i="202"/>
  <c r="BB1193" i="202"/>
  <c r="BB1194" i="202"/>
  <c r="BB1195" i="202"/>
  <c r="BB1196" i="202"/>
  <c r="BB1197" i="202"/>
  <c r="BB1198" i="202"/>
  <c r="BB1199" i="202"/>
  <c r="BB1200" i="202"/>
  <c r="BB1201" i="202"/>
  <c r="BB1202" i="202"/>
  <c r="BB1203" i="202"/>
  <c r="BB1204" i="202"/>
  <c r="BB1205" i="202"/>
  <c r="BB1206" i="202"/>
  <c r="BB1207" i="202"/>
  <c r="BB1208" i="202"/>
  <c r="BB1209" i="202"/>
  <c r="BB1210" i="202"/>
  <c r="BB1211" i="202"/>
  <c r="BB1212" i="202"/>
  <c r="BB1213" i="202"/>
  <c r="BB1214" i="202"/>
  <c r="BB1215" i="202"/>
  <c r="BB1216" i="202"/>
  <c r="BB1217" i="202"/>
  <c r="BB1218" i="202"/>
  <c r="BB1219" i="202"/>
  <c r="BB1220" i="202"/>
  <c r="BB1221" i="202"/>
  <c r="BB1222" i="202"/>
  <c r="BB1223" i="202"/>
  <c r="BB1224" i="202"/>
  <c r="BB1225" i="202"/>
  <c r="BB1226" i="202"/>
  <c r="BB1227" i="202"/>
  <c r="BB1228" i="202"/>
  <c r="BB1229" i="202"/>
  <c r="BB1230" i="202"/>
  <c r="BB1231" i="202"/>
  <c r="BB1232" i="202"/>
  <c r="BB1233" i="202"/>
  <c r="BB1234" i="202"/>
  <c r="BB1235" i="202"/>
  <c r="BB1236" i="202"/>
  <c r="BB1237" i="202"/>
  <c r="BB1238" i="202"/>
  <c r="BB1239" i="202"/>
  <c r="BB1240" i="202"/>
  <c r="BB1241" i="202"/>
  <c r="BB1242" i="202"/>
  <c r="BB1243" i="202"/>
  <c r="BB1244" i="202"/>
  <c r="BB1245" i="202"/>
  <c r="BB1246" i="202"/>
  <c r="BB1247" i="202"/>
  <c r="BB1248" i="202"/>
  <c r="BB1249" i="202"/>
  <c r="BB1250" i="202"/>
  <c r="BB1251" i="202"/>
  <c r="BB1252" i="202"/>
  <c r="BB1253" i="202"/>
  <c r="BB1254" i="202"/>
  <c r="BB1255" i="202"/>
  <c r="BB1256" i="202"/>
  <c r="BB1257" i="202"/>
  <c r="BB1258" i="202"/>
  <c r="BB1259" i="202"/>
  <c r="BB1260" i="202"/>
  <c r="BB1261" i="202"/>
  <c r="BB1262" i="202"/>
  <c r="BB1263" i="202"/>
  <c r="BB1264" i="202"/>
  <c r="BB1265" i="202"/>
  <c r="BB1266" i="202"/>
  <c r="BB1267" i="202"/>
  <c r="BB1268" i="202"/>
  <c r="BB1269" i="202"/>
  <c r="BB1270" i="202"/>
  <c r="BB1271" i="202"/>
  <c r="BB1272" i="202"/>
  <c r="BB1273" i="202"/>
  <c r="BB1274" i="202"/>
  <c r="BB1275" i="202"/>
  <c r="BB1276" i="202"/>
  <c r="BB1277" i="202"/>
  <c r="BB1278" i="202"/>
  <c r="BB1279" i="202"/>
  <c r="BB1280" i="202"/>
  <c r="BB1281" i="202"/>
  <c r="BB1282" i="202"/>
  <c r="BB1283" i="202"/>
  <c r="BB1284" i="202"/>
  <c r="BB1285" i="202"/>
  <c r="BB1286" i="202"/>
  <c r="BB1287" i="202"/>
  <c r="BB1288" i="202"/>
  <c r="BB1289" i="202"/>
  <c r="BB1290" i="202"/>
  <c r="BB1291" i="202"/>
  <c r="BB1292" i="202"/>
  <c r="BB1293" i="202"/>
  <c r="BB1294" i="202"/>
  <c r="BB1295" i="202"/>
  <c r="BB1296" i="202"/>
  <c r="BB1297" i="202"/>
  <c r="BB1298" i="202"/>
  <c r="BB1299" i="202"/>
  <c r="BB1300" i="202"/>
  <c r="BB1301" i="202"/>
  <c r="BB1302" i="202"/>
  <c r="BB1303" i="202"/>
  <c r="BB1304" i="202"/>
  <c r="BB1305" i="202"/>
  <c r="BB1306" i="202"/>
  <c r="BB1307" i="202"/>
  <c r="BB1308" i="202"/>
  <c r="BB1309" i="202"/>
  <c r="BB1310" i="202"/>
  <c r="BB1311" i="202"/>
  <c r="BB1312" i="202"/>
  <c r="BB1313" i="202"/>
  <c r="BB1314" i="202"/>
  <c r="BB1315" i="202"/>
  <c r="BB1316" i="202"/>
  <c r="BB1317" i="202"/>
  <c r="BB1318" i="202"/>
  <c r="BB1319" i="202"/>
  <c r="BB1320" i="202"/>
  <c r="BB1321" i="202"/>
  <c r="BB1322" i="202"/>
  <c r="BB1323" i="202"/>
  <c r="BB1324" i="202"/>
  <c r="BB1325" i="202"/>
  <c r="BB1326" i="202"/>
  <c r="BB1327" i="202"/>
  <c r="BB1328" i="202"/>
  <c r="BB1329" i="202"/>
  <c r="BB1330" i="202"/>
  <c r="BB1331" i="202"/>
  <c r="BB1332" i="202"/>
  <c r="BB1333" i="202"/>
  <c r="BB1334" i="202"/>
  <c r="BB1335" i="202"/>
  <c r="BB1336" i="202"/>
  <c r="BB1337" i="202"/>
  <c r="BB1338" i="202"/>
  <c r="BB1339" i="202"/>
  <c r="BB1340" i="202"/>
  <c r="BB1341" i="202"/>
  <c r="BB1342" i="202"/>
  <c r="BB1343" i="202"/>
  <c r="BB1344" i="202"/>
  <c r="BB1345" i="202"/>
  <c r="BB1346" i="202"/>
  <c r="BB1347" i="202"/>
  <c r="BB1348" i="202"/>
  <c r="BB1349" i="202"/>
  <c r="BB1350" i="202"/>
  <c r="BB1351" i="202"/>
  <c r="BB1352" i="202"/>
  <c r="BB1353" i="202"/>
  <c r="BB1354" i="202"/>
  <c r="BB1355" i="202"/>
  <c r="BB1356" i="202"/>
  <c r="BB1357" i="202"/>
  <c r="BB1358" i="202"/>
  <c r="BB1359" i="202"/>
  <c r="BB1360" i="202"/>
  <c r="BB1361" i="202"/>
  <c r="BB1362" i="202"/>
  <c r="BB1363" i="202"/>
  <c r="BB1364" i="202"/>
  <c r="BB1365" i="202"/>
  <c r="BB1366" i="202"/>
  <c r="BB1367" i="202"/>
  <c r="BB1368" i="202"/>
  <c r="BB1369" i="202"/>
  <c r="BB1370" i="202"/>
  <c r="BB1371" i="202"/>
  <c r="BB1372" i="202"/>
  <c r="BB1373" i="202"/>
  <c r="BB1374" i="202"/>
  <c r="BB1375" i="202"/>
  <c r="BB1376" i="202"/>
  <c r="BB1377" i="202"/>
  <c r="BB1378" i="202"/>
  <c r="BB1379" i="202"/>
  <c r="BB1380" i="202"/>
  <c r="BB1381" i="202"/>
  <c r="BB1382" i="202"/>
  <c r="BB1383" i="202"/>
  <c r="BB1384" i="202"/>
  <c r="BB1385" i="202"/>
  <c r="BB1386" i="202"/>
  <c r="BB1387" i="202"/>
  <c r="BB1388" i="202"/>
  <c r="BB1389" i="202"/>
  <c r="BB1390" i="202"/>
  <c r="BB1391" i="202"/>
  <c r="BB1392" i="202"/>
  <c r="BB1393" i="202"/>
  <c r="BB1394" i="202"/>
  <c r="BB1395" i="202"/>
  <c r="BB1396" i="202"/>
  <c r="BB1397" i="202"/>
  <c r="BB1398" i="202"/>
  <c r="BB1399" i="202"/>
  <c r="BB1400" i="202"/>
  <c r="BB1401" i="202"/>
  <c r="BB1402" i="202"/>
  <c r="BB1403" i="202"/>
  <c r="BB1404" i="202"/>
  <c r="BB1405" i="202"/>
  <c r="BB1406" i="202"/>
  <c r="BB1407" i="202"/>
  <c r="BB1408" i="202"/>
  <c r="BB1409" i="202"/>
  <c r="BB1410" i="202"/>
  <c r="BB1411" i="202"/>
  <c r="BB1412" i="202"/>
  <c r="BB1413" i="202"/>
  <c r="BB1414" i="202"/>
  <c r="BB1415" i="202"/>
  <c r="BB1416" i="202"/>
  <c r="BB1417" i="202"/>
  <c r="BB1418" i="202"/>
  <c r="BB1419" i="202"/>
  <c r="BB1420" i="202"/>
  <c r="BB1421" i="202"/>
  <c r="BB1422" i="202"/>
  <c r="BB1423" i="202"/>
  <c r="BB1424" i="202"/>
  <c r="BB1425" i="202"/>
  <c r="BB1426" i="202"/>
  <c r="BB1427" i="202"/>
  <c r="BB1428" i="202"/>
  <c r="BB1429" i="202"/>
  <c r="BB1430" i="202"/>
  <c r="BB1431" i="202"/>
  <c r="BB1432" i="202"/>
  <c r="BB1433" i="202"/>
  <c r="BB1434" i="202"/>
  <c r="BB1435" i="202"/>
  <c r="BB1436" i="202"/>
  <c r="BB1437" i="202"/>
  <c r="BB1438" i="202"/>
  <c r="BB1439" i="202"/>
  <c r="BB1440" i="202"/>
  <c r="BB1441" i="202"/>
  <c r="BB1442" i="202"/>
  <c r="BB1443" i="202"/>
  <c r="BB1444" i="202"/>
  <c r="BB1445" i="202"/>
  <c r="BB1446" i="202"/>
  <c r="BB1447" i="202"/>
  <c r="BB1448" i="202"/>
  <c r="BB1449" i="202"/>
  <c r="BB1450" i="202"/>
  <c r="BB1451" i="202"/>
  <c r="BB1452" i="202"/>
  <c r="BB1453" i="202"/>
  <c r="BB1454" i="202"/>
  <c r="BB1455" i="202"/>
  <c r="BB1456" i="202"/>
  <c r="BB1457" i="202"/>
  <c r="BB1458" i="202"/>
  <c r="BB1459" i="202"/>
  <c r="BB1460" i="202"/>
  <c r="BB1461" i="202"/>
  <c r="BB1462" i="202"/>
  <c r="BB1463" i="202"/>
  <c r="BB1464" i="202"/>
  <c r="BB1465" i="202"/>
  <c r="BB1466" i="202"/>
  <c r="BB1467" i="202"/>
  <c r="BB1468" i="202"/>
  <c r="BB1469" i="202"/>
  <c r="BB1470" i="202"/>
  <c r="BB1471" i="202"/>
  <c r="BB1472" i="202"/>
  <c r="BB1473" i="202"/>
  <c r="BB1474" i="202"/>
  <c r="BB1475" i="202"/>
  <c r="BB1476" i="202"/>
  <c r="BB1477" i="202"/>
  <c r="BB1478" i="202"/>
  <c r="BB1479" i="202"/>
  <c r="BB1480" i="202"/>
  <c r="BB1481" i="202"/>
  <c r="BB1482" i="202"/>
  <c r="BB1483" i="202"/>
  <c r="BB1484" i="202"/>
  <c r="BB1485" i="202"/>
  <c r="BB1486" i="202"/>
  <c r="BB1487" i="202"/>
  <c r="BB1488" i="202"/>
  <c r="BB1489" i="202"/>
  <c r="BB1490" i="202"/>
  <c r="BB1491" i="202"/>
  <c r="BB1492" i="202"/>
  <c r="BB1493" i="202"/>
  <c r="BB1494" i="202"/>
  <c r="BB1495" i="202"/>
  <c r="BB1496" i="202"/>
  <c r="BB1497" i="202"/>
  <c r="BB1498" i="202"/>
  <c r="BB1499" i="202"/>
  <c r="BB1500" i="202"/>
  <c r="BB1501" i="202"/>
  <c r="BB1502" i="202"/>
  <c r="BB1503" i="202"/>
  <c r="BB1504" i="202"/>
  <c r="BB1505" i="202"/>
  <c r="BB1506" i="202"/>
  <c r="BB1507" i="202"/>
  <c r="BB1508" i="202"/>
  <c r="BB1509" i="202"/>
  <c r="BB1510" i="202"/>
  <c r="BB1511" i="202"/>
  <c r="BB1512" i="202"/>
  <c r="BB1513" i="202"/>
  <c r="BB1514" i="202"/>
  <c r="BB1515" i="202"/>
  <c r="BB1516" i="202"/>
  <c r="BB1517" i="202"/>
  <c r="BB1518" i="202"/>
  <c r="BB1519" i="202"/>
  <c r="BB1520" i="202"/>
  <c r="BB1521" i="202"/>
  <c r="BB1522" i="202"/>
  <c r="BB1523" i="202"/>
  <c r="BB1524" i="202"/>
  <c r="BB1525" i="202"/>
  <c r="BB1526" i="202"/>
  <c r="BB1527" i="202"/>
  <c r="BB1528" i="202"/>
  <c r="BB1529" i="202"/>
  <c r="BB1530" i="202"/>
  <c r="BB1531" i="202"/>
  <c r="BB1532" i="202"/>
  <c r="BB1533" i="202"/>
  <c r="BB1534" i="202"/>
  <c r="BB1535" i="202"/>
  <c r="BB1536" i="202"/>
  <c r="BB1537" i="202"/>
  <c r="BB1538" i="202"/>
  <c r="BB1539" i="202"/>
  <c r="BB1540" i="202"/>
  <c r="BB1541" i="202"/>
  <c r="BB1542" i="202"/>
  <c r="BB1543" i="202"/>
  <c r="BB1544" i="202"/>
  <c r="BB1545" i="202"/>
  <c r="BB1546" i="202"/>
  <c r="BB1547" i="202"/>
  <c r="BB1548" i="202"/>
  <c r="BB1549" i="202"/>
  <c r="BB1550" i="202"/>
  <c r="BB1551" i="202"/>
  <c r="BB1552" i="202"/>
  <c r="BB1553" i="202"/>
  <c r="BB1554" i="202"/>
  <c r="BB1555" i="202"/>
  <c r="BB1556" i="202"/>
  <c r="BB1557" i="202"/>
  <c r="BB1558" i="202"/>
  <c r="BB1559" i="202"/>
  <c r="BB1560" i="202"/>
  <c r="BB1561" i="202"/>
  <c r="BB1562" i="202"/>
  <c r="BB1563" i="202"/>
  <c r="BB1564" i="202"/>
  <c r="BB1565" i="202"/>
  <c r="BB1566" i="202"/>
  <c r="BB1567" i="202"/>
  <c r="BB1568" i="202"/>
  <c r="BB1569" i="202"/>
  <c r="BB1570" i="202"/>
  <c r="BB1571" i="202"/>
  <c r="BB1572" i="202"/>
  <c r="BB1573" i="202"/>
  <c r="BB1574" i="202"/>
  <c r="BB1575" i="202"/>
  <c r="BB1576" i="202"/>
  <c r="BB1577" i="202"/>
  <c r="BB1578" i="202"/>
  <c r="BB1579" i="202"/>
  <c r="BB1580" i="202"/>
  <c r="BB1581" i="202"/>
  <c r="BB1582" i="202"/>
  <c r="BB1583" i="202"/>
  <c r="BB1584" i="202"/>
  <c r="BB1585" i="202"/>
  <c r="BB1586" i="202"/>
  <c r="BB1587" i="202"/>
  <c r="BB1588" i="202"/>
  <c r="BB1589" i="202"/>
  <c r="BB1590" i="202"/>
  <c r="BB1591" i="202"/>
  <c r="BB1592" i="202"/>
  <c r="BB1593" i="202"/>
  <c r="BB1594" i="202"/>
  <c r="BB1595" i="202"/>
  <c r="BB1596" i="202"/>
  <c r="BB1597" i="202"/>
  <c r="BB1598" i="202"/>
  <c r="BB1599" i="202"/>
  <c r="BB1600" i="202"/>
  <c r="BB1601" i="202"/>
  <c r="BB1602" i="202"/>
  <c r="BB1603" i="202"/>
  <c r="BB1604" i="202"/>
  <c r="BB1605" i="202"/>
  <c r="BB1606" i="202"/>
  <c r="BB1607" i="202"/>
  <c r="BB1608" i="202"/>
  <c r="BB1609" i="202"/>
  <c r="BB1610" i="202"/>
  <c r="BB1611" i="202"/>
  <c r="BB1612" i="202"/>
  <c r="BB1613" i="202"/>
  <c r="BB1614" i="202"/>
  <c r="BB1615" i="202"/>
  <c r="BB1616" i="202"/>
  <c r="BB1617" i="202"/>
  <c r="BB1618" i="202"/>
  <c r="BB1619" i="202"/>
  <c r="BB1620" i="202"/>
  <c r="BB1621" i="202"/>
  <c r="BB1622" i="202"/>
  <c r="BB1623" i="202"/>
  <c r="BB1624" i="202"/>
  <c r="BB1625" i="202"/>
  <c r="BB1626" i="202"/>
  <c r="BB1627" i="202"/>
  <c r="BB1628" i="202"/>
  <c r="BB1629" i="202"/>
  <c r="BB1630" i="202"/>
  <c r="BB1631" i="202"/>
  <c r="BB1632" i="202"/>
  <c r="BB1633" i="202"/>
  <c r="BB1634" i="202"/>
  <c r="BB1635" i="202"/>
  <c r="BB1636" i="202"/>
  <c r="BB1637" i="202"/>
  <c r="BB1638" i="202"/>
  <c r="BB1639" i="202"/>
  <c r="BB1640" i="202"/>
  <c r="BB1641" i="202"/>
  <c r="BB1642" i="202"/>
  <c r="BB1643" i="202"/>
  <c r="BB1644" i="202"/>
  <c r="BB1645" i="202"/>
  <c r="BB1646" i="202"/>
  <c r="BB1647" i="202"/>
  <c r="BB1648" i="202"/>
  <c r="BB1649" i="202"/>
  <c r="BB1650" i="202"/>
  <c r="BB1651" i="202"/>
  <c r="BB1652" i="202"/>
  <c r="BB1653" i="202"/>
  <c r="BB1654" i="202"/>
  <c r="BB1655" i="202"/>
  <c r="BB1656" i="202"/>
  <c r="BB1657" i="202"/>
  <c r="BB1658" i="202"/>
  <c r="BB1659" i="202"/>
  <c r="BB1660" i="202"/>
  <c r="BB1661" i="202"/>
  <c r="BB1662" i="202"/>
  <c r="BB1663" i="202"/>
  <c r="BB1664" i="202"/>
  <c r="BB1665" i="202"/>
  <c r="BB1666" i="202"/>
  <c r="BB1667" i="202"/>
  <c r="BB1668" i="202"/>
  <c r="BB1669" i="202"/>
  <c r="BB1670" i="202"/>
  <c r="BB1671" i="202"/>
  <c r="BB1672" i="202"/>
  <c r="BB1673" i="202"/>
  <c r="BB1674" i="202"/>
  <c r="BB1675" i="202"/>
  <c r="BB1676" i="202"/>
  <c r="BB1677" i="202"/>
  <c r="BB1678" i="202"/>
  <c r="BB1679" i="202"/>
  <c r="BB1680" i="202"/>
  <c r="BB1681" i="202"/>
  <c r="BB1682" i="202"/>
  <c r="BB1683" i="202"/>
  <c r="BB1684" i="202"/>
  <c r="BB1685" i="202"/>
  <c r="BB1686" i="202"/>
  <c r="BB1687" i="202"/>
  <c r="BB1688" i="202"/>
  <c r="BB1689" i="202"/>
  <c r="BB1690" i="202"/>
  <c r="BB1691" i="202"/>
  <c r="BB1692" i="202"/>
  <c r="BB1693" i="202"/>
  <c r="BB1694" i="202"/>
  <c r="BB1695" i="202"/>
  <c r="BB1696" i="202"/>
  <c r="BB1697" i="202"/>
  <c r="BB1698" i="202"/>
  <c r="BB1699" i="202"/>
  <c r="BB1700" i="202"/>
  <c r="BB1701" i="202"/>
  <c r="BB1702" i="202"/>
  <c r="BB1703" i="202"/>
  <c r="BB1704" i="202"/>
  <c r="BB1705" i="202"/>
  <c r="BB1706" i="202"/>
  <c r="BB1707" i="202"/>
  <c r="BB1708" i="202"/>
  <c r="BB1709" i="202"/>
  <c r="BB1710" i="202"/>
  <c r="BB1711" i="202"/>
  <c r="BB1712" i="202"/>
  <c r="BB1713" i="202"/>
  <c r="BB1714" i="202"/>
  <c r="BB1715" i="202"/>
  <c r="BB1716" i="202"/>
  <c r="BB1717" i="202"/>
  <c r="BB1718" i="202"/>
  <c r="BB1719" i="202"/>
  <c r="BB1720" i="202"/>
  <c r="BB1721" i="202"/>
  <c r="BB1722" i="202"/>
  <c r="BB1723" i="202"/>
  <c r="BB1724" i="202"/>
  <c r="BB1725" i="202"/>
  <c r="BB1726" i="202"/>
  <c r="BB1727" i="202"/>
  <c r="BB1728" i="202"/>
  <c r="BB1729" i="202"/>
  <c r="BB1730" i="202"/>
  <c r="BB1731" i="202"/>
  <c r="BB1732" i="202"/>
  <c r="BB1733" i="202"/>
  <c r="BB1734" i="202"/>
  <c r="BB1735" i="202"/>
  <c r="BB1736" i="202"/>
  <c r="BB1737" i="202"/>
  <c r="BB1738" i="202"/>
  <c r="BB1739" i="202"/>
  <c r="BB1740" i="202"/>
  <c r="BB1741" i="202"/>
  <c r="BB1742" i="202"/>
  <c r="BB1743" i="202"/>
  <c r="BB1744" i="202"/>
  <c r="BB1745" i="202"/>
  <c r="BB1746" i="202"/>
  <c r="BB1747" i="202"/>
  <c r="BB1748" i="202"/>
  <c r="BB1749" i="202"/>
  <c r="BB1750" i="202"/>
  <c r="BB1751" i="202"/>
  <c r="BB1752" i="202"/>
  <c r="BB1753" i="202"/>
  <c r="BB1754" i="202"/>
  <c r="BB1755" i="202"/>
  <c r="BB1756" i="202"/>
  <c r="BB1757" i="202"/>
  <c r="BB1758" i="202"/>
  <c r="BB1759" i="202"/>
  <c r="BB1760" i="202"/>
  <c r="BB1761" i="202"/>
  <c r="BB1762" i="202"/>
  <c r="BB1763" i="202"/>
  <c r="BB1764" i="202"/>
  <c r="BB1765" i="202"/>
  <c r="BB1766" i="202"/>
  <c r="BB1767" i="202"/>
  <c r="BB1768" i="202"/>
  <c r="BB1769" i="202"/>
  <c r="BB1770" i="202"/>
  <c r="BB1771" i="202"/>
  <c r="BB1772" i="202"/>
  <c r="BB1773" i="202"/>
  <c r="BB1774" i="202"/>
  <c r="BB1775" i="202"/>
  <c r="BB1776" i="202"/>
  <c r="BB1777" i="202"/>
  <c r="BB1778" i="202"/>
  <c r="BB1779" i="202"/>
  <c r="BB1780" i="202"/>
  <c r="BB1781" i="202"/>
  <c r="BB1782" i="202"/>
  <c r="BB1783" i="202"/>
  <c r="BB1784" i="202"/>
  <c r="BB1785" i="202"/>
  <c r="BB1786" i="202"/>
  <c r="BB1787" i="202"/>
  <c r="BB1788" i="202"/>
  <c r="BB1789" i="202"/>
  <c r="BB1790" i="202"/>
  <c r="BB1791" i="202"/>
  <c r="BB1792" i="202"/>
  <c r="BB1793" i="202"/>
  <c r="BB1794" i="202"/>
  <c r="BB1795" i="202"/>
  <c r="BB1796" i="202"/>
  <c r="BB1797" i="202"/>
  <c r="BB1798" i="202"/>
  <c r="BB1799" i="202"/>
  <c r="BB1800" i="202"/>
  <c r="BB1801" i="202"/>
  <c r="BB1802" i="202"/>
  <c r="BB1803" i="202"/>
  <c r="BB1804" i="202"/>
  <c r="BB1805" i="202"/>
  <c r="BB1806" i="202"/>
  <c r="BB1807" i="202"/>
  <c r="BB1808" i="202"/>
  <c r="BB1809" i="202"/>
  <c r="BB1810" i="202"/>
  <c r="BB1811" i="202"/>
  <c r="BB1812" i="202"/>
  <c r="BB1813" i="202"/>
  <c r="BB1814" i="202"/>
  <c r="BB1815" i="202"/>
  <c r="BB1816" i="202"/>
  <c r="BB1817" i="202"/>
  <c r="BB1818" i="202"/>
  <c r="BB1819" i="202"/>
  <c r="BB1820" i="202"/>
  <c r="BB1821" i="202"/>
  <c r="BB1822" i="202"/>
  <c r="BB1823" i="202"/>
  <c r="BB1824" i="202"/>
  <c r="BB1825" i="202"/>
  <c r="BB1826" i="202"/>
  <c r="BB1827" i="202"/>
  <c r="BB1828" i="202"/>
  <c r="BB1829" i="202"/>
  <c r="BB1830" i="202"/>
  <c r="BB1831" i="202"/>
  <c r="BB1832" i="202"/>
  <c r="BB1833" i="202"/>
  <c r="BB1834" i="202"/>
  <c r="BB1835" i="202"/>
  <c r="BB1836" i="202"/>
  <c r="BB1837" i="202"/>
  <c r="BB1838" i="202"/>
  <c r="BB1839" i="202"/>
  <c r="BB1840" i="202"/>
  <c r="BB1841" i="202"/>
  <c r="BB1842" i="202"/>
  <c r="BB1843" i="202"/>
  <c r="BB1844" i="202"/>
  <c r="BB1845" i="202"/>
  <c r="BB1846" i="202"/>
  <c r="BB1847" i="202"/>
  <c r="BB1848" i="202"/>
  <c r="BB1849" i="202"/>
  <c r="BB1850" i="202"/>
  <c r="BB1851" i="202"/>
  <c r="BB1852" i="202"/>
  <c r="BB1853" i="202"/>
  <c r="BB1854" i="202"/>
  <c r="BB1855" i="202"/>
  <c r="BB1856" i="202"/>
  <c r="BB1857" i="202"/>
  <c r="BB1858" i="202"/>
  <c r="BB1859" i="202"/>
  <c r="BB1860" i="202"/>
  <c r="BB1861" i="202"/>
  <c r="BB1862" i="202"/>
  <c r="BB1863" i="202"/>
  <c r="BB1864" i="202"/>
  <c r="BB1865" i="202"/>
  <c r="BB1866" i="202"/>
  <c r="BB1867" i="202"/>
  <c r="BB1868" i="202"/>
  <c r="BB1869" i="202"/>
  <c r="BB1870" i="202"/>
  <c r="BB1871" i="202"/>
  <c r="BB1872" i="202"/>
  <c r="BB1873" i="202"/>
  <c r="BB1874" i="202"/>
  <c r="BB1875" i="202"/>
  <c r="BB1876" i="202"/>
  <c r="BB1877" i="202"/>
  <c r="BB1878" i="202"/>
  <c r="BB1879" i="202"/>
  <c r="BB1880" i="202"/>
  <c r="BB1881" i="202"/>
  <c r="BB1882" i="202"/>
  <c r="BB1883" i="202"/>
  <c r="BB1884" i="202"/>
  <c r="BB1885" i="202"/>
  <c r="BB1886" i="202"/>
  <c r="BB1887" i="202"/>
  <c r="BB1888" i="202"/>
  <c r="BB1889" i="202"/>
  <c r="BB1890" i="202"/>
  <c r="BB1891" i="202"/>
  <c r="BB1892" i="202"/>
  <c r="BB1893" i="202"/>
  <c r="BB1894" i="202"/>
  <c r="BB1895" i="202"/>
  <c r="BB1896" i="202"/>
  <c r="BB1897" i="202"/>
  <c r="BB1898" i="202"/>
  <c r="BB1899" i="202"/>
  <c r="BB1900" i="202"/>
  <c r="BB1901" i="202"/>
  <c r="BB1902" i="202"/>
  <c r="BB1903" i="202"/>
  <c r="BB1904" i="202"/>
  <c r="BB1905" i="202"/>
  <c r="BB1906" i="202"/>
  <c r="BB1907" i="202"/>
  <c r="BB1908" i="202"/>
  <c r="BB1909" i="202"/>
  <c r="BB1910" i="202"/>
  <c r="BB1911" i="202"/>
  <c r="BB1912" i="202"/>
  <c r="BB1913" i="202"/>
  <c r="BB1914" i="202"/>
  <c r="BB1915" i="202"/>
  <c r="BB1916" i="202"/>
  <c r="BB1917" i="202"/>
  <c r="BB1918" i="202"/>
  <c r="BB1919" i="202"/>
  <c r="BB1920" i="202"/>
  <c r="BB1921" i="202"/>
  <c r="BB1922" i="202"/>
  <c r="BB1923" i="202"/>
  <c r="BB1924" i="202"/>
  <c r="BB1925" i="202"/>
  <c r="BB1926" i="202"/>
  <c r="BB1927" i="202"/>
  <c r="BB1928" i="202"/>
  <c r="BB1929" i="202"/>
  <c r="BB1930" i="202"/>
  <c r="BB1931" i="202"/>
  <c r="BB1932" i="202"/>
  <c r="BB1933" i="202"/>
  <c r="BB1934" i="202"/>
  <c r="BB1935" i="202"/>
  <c r="BB1936" i="202"/>
  <c r="BB1937" i="202"/>
  <c r="BB1938" i="202"/>
  <c r="BB1939" i="202"/>
  <c r="BB1940" i="202"/>
  <c r="BB1941" i="202"/>
  <c r="BB1942" i="202"/>
  <c r="BB1943" i="202"/>
  <c r="BB1944" i="202"/>
  <c r="BB1945" i="202"/>
  <c r="BB1946" i="202"/>
  <c r="BB1947" i="202"/>
  <c r="BB1948" i="202"/>
  <c r="BB1949" i="202"/>
  <c r="BB1950" i="202"/>
  <c r="BB1951" i="202"/>
  <c r="BB1952" i="202"/>
  <c r="BB1953" i="202"/>
  <c r="BB1954" i="202"/>
  <c r="BB1955" i="202"/>
  <c r="BB1956" i="202"/>
  <c r="BB1957" i="202"/>
  <c r="BB1958" i="202"/>
  <c r="BB1959" i="202"/>
  <c r="BB1960" i="202"/>
  <c r="BB1961" i="202"/>
  <c r="BB1962" i="202"/>
  <c r="BB1963" i="202"/>
  <c r="BB1964" i="202"/>
  <c r="BB1965" i="202"/>
  <c r="BB1966" i="202"/>
  <c r="BB1967" i="202"/>
  <c r="BB1968" i="202"/>
  <c r="BB1969" i="202"/>
  <c r="BB1970" i="202"/>
  <c r="BB1971" i="202"/>
  <c r="BB1972" i="202"/>
  <c r="BB1973" i="202"/>
  <c r="BB1974" i="202"/>
  <c r="BB1975" i="202"/>
  <c r="BB1976" i="202"/>
  <c r="BB1977" i="202"/>
  <c r="BB1978" i="202"/>
  <c r="BB1979" i="202"/>
  <c r="BB1980" i="202"/>
  <c r="BB1981" i="202"/>
  <c r="BB1982" i="202"/>
  <c r="BB1983" i="202"/>
  <c r="BB1984" i="202"/>
  <c r="BB1985" i="202"/>
  <c r="BB1986" i="202"/>
  <c r="BB1987" i="202"/>
  <c r="BB1988" i="202"/>
  <c r="BB1989" i="202"/>
  <c r="BB1990" i="202"/>
  <c r="BB1991" i="202"/>
  <c r="BB1992" i="202"/>
  <c r="BB1993" i="202"/>
  <c r="BB1994" i="202"/>
  <c r="BB1995" i="202"/>
  <c r="BB1996" i="202"/>
  <c r="BB1997" i="202"/>
  <c r="BB1998" i="202"/>
  <c r="BB1999" i="202"/>
  <c r="BB2000" i="202"/>
  <c r="BB2001" i="202"/>
  <c r="BB2002" i="202"/>
  <c r="BB2003" i="202"/>
  <c r="BB2004" i="202"/>
  <c r="BB2005" i="202"/>
  <c r="BB2006" i="202"/>
  <c r="BB2007" i="202"/>
  <c r="BB2008" i="202"/>
  <c r="BB2009" i="202"/>
  <c r="BB2010" i="202"/>
  <c r="BB2011" i="202"/>
  <c r="BB2012" i="202"/>
  <c r="BB2013" i="202"/>
  <c r="BB2014" i="202"/>
  <c r="BB2015" i="202"/>
  <c r="BB2016" i="202"/>
  <c r="BB2017" i="202"/>
  <c r="BB2018" i="202"/>
  <c r="BB2019" i="202"/>
  <c r="BB2020" i="202"/>
  <c r="BB2021" i="202"/>
  <c r="BB2022" i="202"/>
  <c r="BB2023" i="202"/>
  <c r="BB2024" i="202"/>
  <c r="BB2025" i="202"/>
  <c r="BB2026" i="202"/>
  <c r="BB2027" i="202"/>
  <c r="BB2028" i="202"/>
  <c r="BB2029" i="202"/>
  <c r="BB2030" i="202"/>
  <c r="BB2031" i="202"/>
  <c r="BB2032" i="202"/>
  <c r="BB2033" i="202"/>
  <c r="BB2034" i="202"/>
  <c r="BB2035" i="202"/>
  <c r="BB2036" i="202"/>
  <c r="BB2037" i="202"/>
  <c r="BB2038" i="202"/>
  <c r="BB2039" i="202"/>
  <c r="BB2040" i="202"/>
  <c r="BB2041" i="202"/>
  <c r="BB2042" i="202"/>
  <c r="BB2043" i="202"/>
  <c r="BB2044" i="202"/>
  <c r="BB2045" i="202"/>
  <c r="BB2046" i="202"/>
  <c r="BB2047" i="202"/>
  <c r="BB2048" i="202"/>
  <c r="AN2" i="202"/>
  <c r="AN3" i="202"/>
  <c r="AN4" i="202"/>
  <c r="AN5" i="202"/>
  <c r="AN6" i="202"/>
  <c r="AN7" i="202"/>
  <c r="AN8" i="202"/>
  <c r="AN9" i="202"/>
  <c r="AN10" i="202"/>
  <c r="AN11" i="202"/>
  <c r="AN12" i="202"/>
  <c r="AN13" i="202"/>
  <c r="AN14" i="202"/>
  <c r="AN15" i="202"/>
  <c r="AN16" i="202"/>
  <c r="AN17" i="202"/>
  <c r="AN18" i="202"/>
  <c r="AN19" i="202"/>
  <c r="AN20" i="202"/>
  <c r="AN21" i="202"/>
  <c r="AN22" i="202"/>
  <c r="AN23" i="202"/>
  <c r="AN24" i="202"/>
  <c r="AN25" i="202"/>
  <c r="AN26" i="202"/>
  <c r="AN27" i="202"/>
  <c r="AN28" i="202"/>
  <c r="AN29" i="202"/>
  <c r="AN30" i="202"/>
  <c r="AN31" i="202"/>
  <c r="AN32" i="202"/>
  <c r="AN33" i="202"/>
  <c r="AN34" i="202"/>
  <c r="AN35" i="202"/>
  <c r="AN36" i="202"/>
  <c r="AN37" i="202"/>
  <c r="AN38" i="202"/>
  <c r="AN39" i="202"/>
  <c r="AN40" i="202"/>
  <c r="AN41" i="202"/>
  <c r="AN42" i="202"/>
  <c r="AN43" i="202"/>
  <c r="AN44" i="202"/>
  <c r="AN45" i="202"/>
  <c r="AN46" i="202"/>
  <c r="AN47" i="202"/>
  <c r="AN48" i="202"/>
  <c r="AN49" i="202"/>
  <c r="AN50" i="202"/>
  <c r="AN51" i="202"/>
  <c r="AN52" i="202"/>
  <c r="AN53" i="202"/>
  <c r="AN54" i="202"/>
  <c r="AN55" i="202"/>
  <c r="AN56" i="202"/>
  <c r="AN57" i="202"/>
  <c r="AN58" i="202"/>
  <c r="AN59" i="202"/>
  <c r="AN60" i="202"/>
  <c r="AN61" i="202"/>
  <c r="AN62" i="202"/>
  <c r="AN63" i="202"/>
  <c r="AN64" i="202"/>
  <c r="AN65" i="202"/>
  <c r="AN66" i="202"/>
  <c r="AN67" i="202"/>
  <c r="AN68" i="202"/>
  <c r="AN69" i="202"/>
  <c r="AN70" i="202"/>
  <c r="AN71" i="202"/>
  <c r="AN72" i="202"/>
  <c r="AN73" i="202"/>
  <c r="AN74" i="202"/>
  <c r="AN75" i="202"/>
  <c r="AN76" i="202"/>
  <c r="AN77" i="202"/>
  <c r="AN78" i="202"/>
  <c r="AN79" i="202"/>
  <c r="AN80" i="202"/>
  <c r="AN81" i="202"/>
  <c r="AN82" i="202"/>
  <c r="AN83" i="202"/>
  <c r="AN84" i="202"/>
  <c r="AN85" i="202"/>
  <c r="AN86" i="202"/>
  <c r="AN87" i="202"/>
  <c r="AN88" i="202"/>
  <c r="AN89" i="202"/>
  <c r="AN90" i="202"/>
  <c r="AN91" i="202"/>
  <c r="AN92" i="202"/>
  <c r="AN93" i="202"/>
  <c r="AN94" i="202"/>
  <c r="AN95" i="202"/>
  <c r="AN96" i="202"/>
  <c r="AN97" i="202"/>
  <c r="AN98" i="202"/>
  <c r="AN99" i="202"/>
  <c r="AN100" i="202"/>
  <c r="AN101" i="202"/>
  <c r="AN102" i="202"/>
  <c r="AN103" i="202"/>
  <c r="AN104" i="202"/>
  <c r="AN105" i="202"/>
  <c r="AN106" i="202"/>
  <c r="AN107" i="202"/>
  <c r="AN108" i="202"/>
  <c r="AN109" i="202"/>
  <c r="AN110" i="202"/>
  <c r="AN111" i="202"/>
  <c r="AN112" i="202"/>
  <c r="AN113" i="202"/>
  <c r="AN114" i="202"/>
  <c r="AN115" i="202"/>
  <c r="AN116" i="202"/>
  <c r="AN117" i="202"/>
  <c r="AN118" i="202"/>
  <c r="AN119" i="202"/>
  <c r="AN120" i="202"/>
  <c r="AN121" i="202"/>
  <c r="AN122" i="202"/>
  <c r="AN123" i="202"/>
  <c r="AN124" i="202"/>
  <c r="AN125" i="202"/>
  <c r="AN126" i="202"/>
  <c r="AN127" i="202"/>
  <c r="AN128" i="202"/>
  <c r="AN129" i="202"/>
  <c r="AN130" i="202"/>
  <c r="AN131" i="202"/>
  <c r="AN132" i="202"/>
  <c r="AN133" i="202"/>
  <c r="AN134" i="202"/>
  <c r="AN135" i="202"/>
  <c r="AN136" i="202"/>
  <c r="AN137" i="202"/>
  <c r="AN138" i="202"/>
  <c r="AN139" i="202"/>
  <c r="AN140" i="202"/>
  <c r="AN141" i="202"/>
  <c r="AN142" i="202"/>
  <c r="AN143" i="202"/>
  <c r="AN144" i="202"/>
  <c r="AN145" i="202"/>
  <c r="AN146" i="202"/>
  <c r="AN147" i="202"/>
  <c r="AN148" i="202"/>
  <c r="AN149" i="202"/>
  <c r="AN150" i="202"/>
  <c r="AN151" i="202"/>
  <c r="AN152" i="202"/>
  <c r="AN153" i="202"/>
  <c r="AN154" i="202"/>
  <c r="AN155" i="202"/>
  <c r="AN156" i="202"/>
  <c r="AN157" i="202"/>
  <c r="AN158" i="202"/>
  <c r="AN159" i="202"/>
  <c r="AN160" i="202"/>
  <c r="AN161" i="202"/>
  <c r="AN162" i="202"/>
  <c r="AN163" i="202"/>
  <c r="AN164" i="202"/>
  <c r="AN165" i="202"/>
  <c r="AN166" i="202"/>
  <c r="AN167" i="202"/>
  <c r="AN168" i="202"/>
  <c r="AN169" i="202"/>
  <c r="AN170" i="202"/>
  <c r="AN171" i="202"/>
  <c r="AN172" i="202"/>
  <c r="AN173" i="202"/>
  <c r="AN174" i="202"/>
  <c r="AN175" i="202"/>
  <c r="AN176" i="202"/>
  <c r="AN177" i="202"/>
  <c r="AN178" i="202"/>
  <c r="AN179" i="202"/>
  <c r="AN180" i="202"/>
  <c r="AN181" i="202"/>
  <c r="AN182" i="202"/>
  <c r="AN183" i="202"/>
  <c r="AN184" i="202"/>
  <c r="AN185" i="202"/>
  <c r="AN186" i="202"/>
  <c r="AN187" i="202"/>
  <c r="AN188" i="202"/>
  <c r="AN189" i="202"/>
  <c r="AN190" i="202"/>
  <c r="AN191" i="202"/>
  <c r="AN192" i="202"/>
  <c r="AN193" i="202"/>
  <c r="AN194" i="202"/>
  <c r="AN195" i="202"/>
  <c r="AN196" i="202"/>
  <c r="AN197" i="202"/>
  <c r="AN198" i="202"/>
  <c r="AN199" i="202"/>
  <c r="AN200" i="202"/>
  <c r="AN201" i="202"/>
  <c r="AN202" i="202"/>
  <c r="AN203" i="202"/>
  <c r="AN204" i="202"/>
  <c r="AN205" i="202"/>
  <c r="AN206" i="202"/>
  <c r="AN207" i="202"/>
  <c r="AN208" i="202"/>
  <c r="AN209" i="202"/>
  <c r="AN210" i="202"/>
  <c r="AN211" i="202"/>
  <c r="AN212" i="202"/>
  <c r="AN213" i="202"/>
  <c r="AN214" i="202"/>
  <c r="AN215" i="202"/>
  <c r="AN216" i="202"/>
  <c r="AN217" i="202"/>
  <c r="AN218" i="202"/>
  <c r="AN219" i="202"/>
  <c r="AN220" i="202"/>
  <c r="AN221" i="202"/>
  <c r="AN222" i="202"/>
  <c r="AN223" i="202"/>
  <c r="AN224" i="202"/>
  <c r="AN225" i="202"/>
  <c r="AN226" i="202"/>
  <c r="AN227" i="202"/>
  <c r="AN228" i="202"/>
  <c r="AN229" i="202"/>
  <c r="AN230" i="202"/>
  <c r="AN231" i="202"/>
  <c r="AN232" i="202"/>
  <c r="AN233" i="202"/>
  <c r="AN234" i="202"/>
  <c r="AN235" i="202"/>
  <c r="AN236" i="202"/>
  <c r="AN237" i="202"/>
  <c r="AN238" i="202"/>
  <c r="AN239" i="202"/>
  <c r="AN240" i="202"/>
  <c r="AN241" i="202"/>
  <c r="AN242" i="202"/>
  <c r="AN243" i="202"/>
  <c r="AN244" i="202"/>
  <c r="AN245" i="202"/>
  <c r="AN246" i="202"/>
  <c r="AN247" i="202"/>
  <c r="AN248" i="202"/>
  <c r="AN249" i="202"/>
  <c r="AN250" i="202"/>
  <c r="AN251" i="202"/>
  <c r="AN252" i="202"/>
  <c r="AN253" i="202"/>
  <c r="AN254" i="202"/>
  <c r="AN255" i="202"/>
  <c r="AN256" i="202"/>
  <c r="AN257" i="202"/>
  <c r="AN258" i="202"/>
  <c r="AN259" i="202"/>
  <c r="AN260" i="202"/>
  <c r="AN261" i="202"/>
  <c r="AN262" i="202"/>
  <c r="AN263" i="202"/>
  <c r="AN264" i="202"/>
  <c r="AN265" i="202"/>
  <c r="AN266" i="202"/>
  <c r="AN267" i="202"/>
  <c r="AN268" i="202"/>
  <c r="AN269" i="202"/>
  <c r="AN270" i="202"/>
  <c r="AN271" i="202"/>
  <c r="AN272" i="202"/>
  <c r="AN273" i="202"/>
  <c r="AN274" i="202"/>
  <c r="AN275" i="202"/>
  <c r="AN276" i="202"/>
  <c r="AN277" i="202"/>
  <c r="AN278" i="202"/>
  <c r="AN279" i="202"/>
  <c r="AN280" i="202"/>
  <c r="AN281" i="202"/>
  <c r="AN282" i="202"/>
  <c r="AN283" i="202"/>
  <c r="AN284" i="202"/>
  <c r="AN285" i="202"/>
  <c r="AN286" i="202"/>
  <c r="AN287" i="202"/>
  <c r="AN288" i="202"/>
  <c r="AN289" i="202"/>
  <c r="AN290" i="202"/>
  <c r="AN291" i="202"/>
  <c r="AN292" i="202"/>
  <c r="AN293" i="202"/>
  <c r="AN294" i="202"/>
  <c r="AN295" i="202"/>
  <c r="AN296" i="202"/>
  <c r="AN297" i="202"/>
  <c r="AN298" i="202"/>
  <c r="AN299" i="202"/>
  <c r="AN300" i="202"/>
  <c r="AN301" i="202"/>
  <c r="AN302" i="202"/>
  <c r="AN303" i="202"/>
  <c r="AN304" i="202"/>
  <c r="AN305" i="202"/>
  <c r="AN306" i="202"/>
  <c r="AN307" i="202"/>
  <c r="AN308" i="202"/>
  <c r="AN309" i="202"/>
  <c r="AN310" i="202"/>
  <c r="AN311" i="202"/>
  <c r="AN312" i="202"/>
  <c r="AN313" i="202"/>
  <c r="AN314" i="202"/>
  <c r="AN315" i="202"/>
  <c r="AN316" i="202"/>
  <c r="AN317" i="202"/>
  <c r="AN318" i="202"/>
  <c r="AN319" i="202"/>
  <c r="AN320" i="202"/>
  <c r="AN321" i="202"/>
  <c r="AN322" i="202"/>
  <c r="AN323" i="202"/>
  <c r="AN324" i="202"/>
  <c r="AN325" i="202"/>
  <c r="AN326" i="202"/>
  <c r="AN327" i="202"/>
  <c r="AN328" i="202"/>
  <c r="AN329" i="202"/>
  <c r="AN330" i="202"/>
  <c r="AN331" i="202"/>
  <c r="AN332" i="202"/>
  <c r="AN333" i="202"/>
  <c r="AN334" i="202"/>
  <c r="AN335" i="202"/>
  <c r="AN336" i="202"/>
  <c r="AN337" i="202"/>
  <c r="AN338" i="202"/>
  <c r="AN339" i="202"/>
  <c r="AN340" i="202"/>
  <c r="AN341" i="202"/>
  <c r="AN342" i="202"/>
  <c r="AN343" i="202"/>
  <c r="AN344" i="202"/>
  <c r="AN345" i="202"/>
  <c r="AN346" i="202"/>
  <c r="AN347" i="202"/>
  <c r="AN348" i="202"/>
  <c r="AN349" i="202"/>
  <c r="AN350" i="202"/>
  <c r="AN351" i="202"/>
  <c r="AN352" i="202"/>
  <c r="AN353" i="202"/>
  <c r="AN354" i="202"/>
  <c r="AN355" i="202"/>
  <c r="AN356" i="202"/>
  <c r="AN357" i="202"/>
  <c r="AN358" i="202"/>
  <c r="AN359" i="202"/>
  <c r="AN360" i="202"/>
  <c r="AN361" i="202"/>
  <c r="AN362" i="202"/>
  <c r="AN363" i="202"/>
  <c r="AN364" i="202"/>
  <c r="AN365" i="202"/>
  <c r="AN366" i="202"/>
  <c r="AN367" i="202"/>
  <c r="AN368" i="202"/>
  <c r="AN369" i="202"/>
  <c r="AN370" i="202"/>
  <c r="AN371" i="202"/>
  <c r="AN372" i="202"/>
  <c r="AN373" i="202"/>
  <c r="AN374" i="202"/>
  <c r="AN375" i="202"/>
  <c r="AN376" i="202"/>
  <c r="AN377" i="202"/>
  <c r="AN378" i="202"/>
  <c r="AN379" i="202"/>
  <c r="AN380" i="202"/>
  <c r="AN381" i="202"/>
  <c r="AN382" i="202"/>
  <c r="AN383" i="202"/>
  <c r="AN384" i="202"/>
  <c r="AN385" i="202"/>
  <c r="AN386" i="202"/>
  <c r="AN387" i="202"/>
  <c r="AN388" i="202"/>
  <c r="AN389" i="202"/>
  <c r="AN390" i="202"/>
  <c r="AN391" i="202"/>
  <c r="AN392" i="202"/>
  <c r="AN393" i="202"/>
  <c r="AN394" i="202"/>
  <c r="AN395" i="202"/>
  <c r="AN396" i="202"/>
  <c r="AN397" i="202"/>
  <c r="AN398" i="202"/>
  <c r="AN399" i="202"/>
  <c r="AN400" i="202"/>
  <c r="AN401" i="202"/>
  <c r="AN402" i="202"/>
  <c r="AN403" i="202"/>
  <c r="AN404" i="202"/>
  <c r="AN405" i="202"/>
  <c r="AN406" i="202"/>
  <c r="AN407" i="202"/>
  <c r="AN408" i="202"/>
  <c r="AN409" i="202"/>
  <c r="AN410" i="202"/>
  <c r="AN411" i="202"/>
  <c r="AN412" i="202"/>
  <c r="AN413" i="202"/>
  <c r="AN414" i="202"/>
  <c r="AN415" i="202"/>
  <c r="AN416" i="202"/>
  <c r="AN417" i="202"/>
  <c r="AN418" i="202"/>
  <c r="AN419" i="202"/>
  <c r="AN420" i="202"/>
  <c r="AN421" i="202"/>
  <c r="AN422" i="202"/>
  <c r="AN423" i="202"/>
  <c r="AN424" i="202"/>
  <c r="AN425" i="202"/>
  <c r="AN426" i="202"/>
  <c r="AN427" i="202"/>
  <c r="AN428" i="202"/>
  <c r="AN429" i="202"/>
  <c r="AN430" i="202"/>
  <c r="AN431" i="202"/>
  <c r="AN432" i="202"/>
  <c r="AN433" i="202"/>
  <c r="AN434" i="202"/>
  <c r="AN435" i="202"/>
  <c r="AN436" i="202"/>
  <c r="AN437" i="202"/>
  <c r="AN438" i="202"/>
  <c r="AN439" i="202"/>
  <c r="AN440" i="202"/>
  <c r="AN441" i="202"/>
  <c r="AN442" i="202"/>
  <c r="AN443" i="202"/>
  <c r="AN444" i="202"/>
  <c r="AN445" i="202"/>
  <c r="AN446" i="202"/>
  <c r="AN447" i="202"/>
  <c r="AN448" i="202"/>
  <c r="AN449" i="202"/>
  <c r="AN450" i="202"/>
  <c r="AN451" i="202"/>
  <c r="AN452" i="202"/>
  <c r="AN453" i="202"/>
  <c r="AN454" i="202"/>
  <c r="AN455" i="202"/>
  <c r="AN456" i="202"/>
  <c r="AN457" i="202"/>
  <c r="AN458" i="202"/>
  <c r="AN459" i="202"/>
  <c r="AN460" i="202"/>
  <c r="AN461" i="202"/>
  <c r="AN462" i="202"/>
  <c r="AN463" i="202"/>
  <c r="AN464" i="202"/>
  <c r="AN465" i="202"/>
  <c r="AN466" i="202"/>
  <c r="AN467" i="202"/>
  <c r="AN468" i="202"/>
  <c r="AN469" i="202"/>
  <c r="AN470" i="202"/>
  <c r="AN471" i="202"/>
  <c r="AN472" i="202"/>
  <c r="AN473" i="202"/>
  <c r="AN474" i="202"/>
  <c r="AN475" i="202"/>
  <c r="AN476" i="202"/>
  <c r="AN477" i="202"/>
  <c r="AN478" i="202"/>
  <c r="AN479" i="202"/>
  <c r="AN480" i="202"/>
  <c r="AN481" i="202"/>
  <c r="AN482" i="202"/>
  <c r="AN483" i="202"/>
  <c r="AN484" i="202"/>
  <c r="AN485" i="202"/>
  <c r="AN486" i="202"/>
  <c r="AN487" i="202"/>
  <c r="AN488" i="202"/>
  <c r="AN489" i="202"/>
  <c r="AN490" i="202"/>
  <c r="AN491" i="202"/>
  <c r="AN492" i="202"/>
  <c r="AN493" i="202"/>
  <c r="AN494" i="202"/>
  <c r="AN495" i="202"/>
  <c r="AN496" i="202"/>
  <c r="AN497" i="202"/>
  <c r="AN498" i="202"/>
  <c r="AN499" i="202"/>
  <c r="AN500" i="202"/>
  <c r="AN501" i="202"/>
  <c r="AN502" i="202"/>
  <c r="AN503" i="202"/>
  <c r="AN504" i="202"/>
  <c r="AN505" i="202"/>
  <c r="AN506" i="202"/>
  <c r="AN507" i="202"/>
  <c r="AN508" i="202"/>
  <c r="AN509" i="202"/>
  <c r="AN510" i="202"/>
  <c r="AN511" i="202"/>
  <c r="AN512" i="202"/>
  <c r="AN513" i="202"/>
  <c r="AN514" i="202"/>
  <c r="AN515" i="202"/>
  <c r="AN516" i="202"/>
  <c r="AN517" i="202"/>
  <c r="AN518" i="202"/>
  <c r="AN519" i="202"/>
  <c r="AN520" i="202"/>
  <c r="AN521" i="202"/>
  <c r="AN522" i="202"/>
  <c r="AN523" i="202"/>
  <c r="AN524" i="202"/>
  <c r="AN525" i="202"/>
  <c r="AN526" i="202"/>
  <c r="AN527" i="202"/>
  <c r="AN528" i="202"/>
  <c r="AN529" i="202"/>
  <c r="AN530" i="202"/>
  <c r="AN531" i="202"/>
  <c r="AN532" i="202"/>
  <c r="AN533" i="202"/>
  <c r="AN534" i="202"/>
  <c r="AN535" i="202"/>
  <c r="AN536" i="202"/>
  <c r="AN537" i="202"/>
  <c r="AN538" i="202"/>
  <c r="AN539" i="202"/>
  <c r="AN540" i="202"/>
  <c r="AN541" i="202"/>
  <c r="AN542" i="202"/>
  <c r="AN543" i="202"/>
  <c r="AN544" i="202"/>
  <c r="AN545" i="202"/>
  <c r="AN546" i="202"/>
  <c r="AN547" i="202"/>
  <c r="AN548" i="202"/>
  <c r="AN549" i="202"/>
  <c r="AN550" i="202"/>
  <c r="AN551" i="202"/>
  <c r="AN552" i="202"/>
  <c r="AN553" i="202"/>
  <c r="AN554" i="202"/>
  <c r="AN555" i="202"/>
  <c r="AN556" i="202"/>
  <c r="AN557" i="202"/>
  <c r="AN558" i="202"/>
  <c r="AN559" i="202"/>
  <c r="AN560" i="202"/>
  <c r="AN561" i="202"/>
  <c r="AN562" i="202"/>
  <c r="AN563" i="202"/>
  <c r="AN564" i="202"/>
  <c r="AN565" i="202"/>
  <c r="AN566" i="202"/>
  <c r="AN567" i="202"/>
  <c r="AN568" i="202"/>
  <c r="AN569" i="202"/>
  <c r="AN570" i="202"/>
  <c r="AN571" i="202"/>
  <c r="AN572" i="202"/>
  <c r="AN573" i="202"/>
  <c r="AN574" i="202"/>
  <c r="AN575" i="202"/>
  <c r="AN576" i="202"/>
  <c r="AN577" i="202"/>
  <c r="AN578" i="202"/>
  <c r="AN579" i="202"/>
  <c r="AN580" i="202"/>
  <c r="AN581" i="202"/>
  <c r="AN582" i="202"/>
  <c r="AN583" i="202"/>
  <c r="AN584" i="202"/>
  <c r="AN585" i="202"/>
  <c r="AN586" i="202"/>
  <c r="AN587" i="202"/>
  <c r="AN588" i="202"/>
  <c r="AN589" i="202"/>
  <c r="AN590" i="202"/>
  <c r="AN591" i="202"/>
  <c r="AN592" i="202"/>
  <c r="AN593" i="202"/>
  <c r="AN594" i="202"/>
  <c r="AN595" i="202"/>
  <c r="AN596" i="202"/>
  <c r="AN597" i="202"/>
  <c r="AN598" i="202"/>
  <c r="AN599" i="202"/>
  <c r="AN600" i="202"/>
  <c r="AN601" i="202"/>
  <c r="AN602" i="202"/>
  <c r="AN603" i="202"/>
  <c r="AN604" i="202"/>
  <c r="AN605" i="202"/>
  <c r="AN606" i="202"/>
  <c r="AN607" i="202"/>
  <c r="AN608" i="202"/>
  <c r="AN609" i="202"/>
  <c r="AN610" i="202"/>
  <c r="AN611" i="202"/>
  <c r="AN612" i="202"/>
  <c r="AN613" i="202"/>
  <c r="AN614" i="202"/>
  <c r="AN615" i="202"/>
  <c r="AN616" i="202"/>
  <c r="AN617" i="202"/>
  <c r="AN618" i="202"/>
  <c r="AN619" i="202"/>
  <c r="AN620" i="202"/>
  <c r="AN621" i="202"/>
  <c r="AN622" i="202"/>
  <c r="AN623" i="202"/>
  <c r="AN624" i="202"/>
  <c r="AN625" i="202"/>
  <c r="AN626" i="202"/>
  <c r="AN627" i="202"/>
  <c r="AN628" i="202"/>
  <c r="AN629" i="202"/>
  <c r="AN630" i="202"/>
  <c r="AN631" i="202"/>
  <c r="AN632" i="202"/>
  <c r="AN633" i="202"/>
  <c r="AN634" i="202"/>
  <c r="AN635" i="202"/>
  <c r="AN636" i="202"/>
  <c r="AN637" i="202"/>
  <c r="AN638" i="202"/>
  <c r="AN639" i="202"/>
  <c r="AN640" i="202"/>
  <c r="AN641" i="202"/>
  <c r="AN642" i="202"/>
  <c r="AN643" i="202"/>
  <c r="AN644" i="202"/>
  <c r="AN645" i="202"/>
  <c r="AN646" i="202"/>
  <c r="AN647" i="202"/>
  <c r="AN648" i="202"/>
  <c r="AN649" i="202"/>
  <c r="AN650" i="202"/>
  <c r="AN651" i="202"/>
  <c r="AN652" i="202"/>
  <c r="AN653" i="202"/>
  <c r="AN654" i="202"/>
  <c r="AN655" i="202"/>
  <c r="AN656" i="202"/>
  <c r="AN657" i="202"/>
  <c r="AN658" i="202"/>
  <c r="AN659" i="202"/>
  <c r="AN660" i="202"/>
  <c r="AN661" i="202"/>
  <c r="AN662" i="202"/>
  <c r="AN663" i="202"/>
  <c r="AN664" i="202"/>
  <c r="AN665" i="202"/>
  <c r="AN666" i="202"/>
  <c r="AN667" i="202"/>
  <c r="AN668" i="202"/>
  <c r="AN669" i="202"/>
  <c r="AN670" i="202"/>
  <c r="AN671" i="202"/>
  <c r="AN672" i="202"/>
  <c r="AN673" i="202"/>
  <c r="AN674" i="202"/>
  <c r="AN675" i="202"/>
  <c r="AN676" i="202"/>
  <c r="AN677" i="202"/>
  <c r="AN678" i="202"/>
  <c r="AN679" i="202"/>
  <c r="AN680" i="202"/>
  <c r="AN681" i="202"/>
  <c r="AN682" i="202"/>
  <c r="AN683" i="202"/>
  <c r="AN684" i="202"/>
  <c r="AN685" i="202"/>
  <c r="AN686" i="202"/>
  <c r="AN687" i="202"/>
  <c r="AN688" i="202"/>
  <c r="AN689" i="202"/>
  <c r="AN690" i="202"/>
  <c r="AN691" i="202"/>
  <c r="AN692" i="202"/>
  <c r="AN693" i="202"/>
  <c r="AN694" i="202"/>
  <c r="AN695" i="202"/>
  <c r="AN696" i="202"/>
  <c r="AN697" i="202"/>
  <c r="AN698" i="202"/>
  <c r="AN699" i="202"/>
  <c r="AN700" i="202"/>
  <c r="AN701" i="202"/>
  <c r="AN702" i="202"/>
  <c r="AN703" i="202"/>
  <c r="AN704" i="202"/>
  <c r="AN705" i="202"/>
  <c r="AN706" i="202"/>
  <c r="AN707" i="202"/>
  <c r="AN708" i="202"/>
  <c r="AN709" i="202"/>
  <c r="AN710" i="202"/>
  <c r="AN711" i="202"/>
  <c r="AN712" i="202"/>
  <c r="AN713" i="202"/>
  <c r="AN714" i="202"/>
  <c r="AN715" i="202"/>
  <c r="AN716" i="202"/>
  <c r="AN717" i="202"/>
  <c r="AN718" i="202"/>
  <c r="AN719" i="202"/>
  <c r="AN720" i="202"/>
  <c r="AN721" i="202"/>
  <c r="AN722" i="202"/>
  <c r="AN723" i="202"/>
  <c r="AN724" i="202"/>
  <c r="AN725" i="202"/>
  <c r="AN726" i="202"/>
  <c r="AN727" i="202"/>
  <c r="AN728" i="202"/>
  <c r="AN729" i="202"/>
  <c r="AN730" i="202"/>
  <c r="AN731" i="202"/>
  <c r="AN732" i="202"/>
  <c r="AN733" i="202"/>
  <c r="AN734" i="202"/>
  <c r="AN735" i="202"/>
  <c r="AN736" i="202"/>
  <c r="AN737" i="202"/>
  <c r="AN738" i="202"/>
  <c r="AN739" i="202"/>
  <c r="AN740" i="202"/>
  <c r="AN741" i="202"/>
  <c r="AN742" i="202"/>
  <c r="AN743" i="202"/>
  <c r="AN744" i="202"/>
  <c r="AN745" i="202"/>
  <c r="AN746" i="202"/>
  <c r="AN747" i="202"/>
  <c r="AN748" i="202"/>
  <c r="AN749" i="202"/>
  <c r="AN750" i="202"/>
  <c r="AN751" i="202"/>
  <c r="AN752" i="202"/>
  <c r="AN753" i="202"/>
  <c r="AN754" i="202"/>
  <c r="AN755" i="202"/>
  <c r="AN756" i="202"/>
  <c r="AN757" i="202"/>
  <c r="AN758" i="202"/>
  <c r="AN759" i="202"/>
  <c r="AN760" i="202"/>
  <c r="AN761" i="202"/>
  <c r="AN762" i="202"/>
  <c r="AN763" i="202"/>
  <c r="AN764" i="202"/>
  <c r="AN765" i="202"/>
  <c r="AN766" i="202"/>
  <c r="AN767" i="202"/>
  <c r="AN768" i="202"/>
  <c r="AN769" i="202"/>
  <c r="AN770" i="202"/>
  <c r="AN771" i="202"/>
  <c r="AN772" i="202"/>
  <c r="AN773" i="202"/>
  <c r="AN774" i="202"/>
  <c r="AN775" i="202"/>
  <c r="AN776" i="202"/>
  <c r="AN777" i="202"/>
  <c r="AN778" i="202"/>
  <c r="AN779" i="202"/>
  <c r="AN780" i="202"/>
  <c r="AN781" i="202"/>
  <c r="AN782" i="202"/>
  <c r="AN783" i="202"/>
  <c r="AN784" i="202"/>
  <c r="AN785" i="202"/>
  <c r="AN786" i="202"/>
  <c r="AN787" i="202"/>
  <c r="AN788" i="202"/>
  <c r="AN789" i="202"/>
  <c r="AN790" i="202"/>
  <c r="AN791" i="202"/>
  <c r="AN792" i="202"/>
  <c r="AN793" i="202"/>
  <c r="AN794" i="202"/>
  <c r="AN795" i="202"/>
  <c r="AN796" i="202"/>
  <c r="AN797" i="202"/>
  <c r="AN798" i="202"/>
  <c r="AN799" i="202"/>
  <c r="AN800" i="202"/>
  <c r="AN801" i="202"/>
  <c r="AN802" i="202"/>
  <c r="AN803" i="202"/>
  <c r="AN804" i="202"/>
  <c r="AN805" i="202"/>
  <c r="AN806" i="202"/>
  <c r="AN807" i="202"/>
  <c r="AN808" i="202"/>
  <c r="AN809" i="202"/>
  <c r="AN810" i="202"/>
  <c r="AN811" i="202"/>
  <c r="AN812" i="202"/>
  <c r="AN813" i="202"/>
  <c r="AN814" i="202"/>
  <c r="AN815" i="202"/>
  <c r="AN816" i="202"/>
  <c r="AN817" i="202"/>
  <c r="AN818" i="202"/>
  <c r="AN819" i="202"/>
  <c r="AN820" i="202"/>
  <c r="AN821" i="202"/>
  <c r="AN822" i="202"/>
  <c r="AN823" i="202"/>
  <c r="AN824" i="202"/>
  <c r="AN825" i="202"/>
  <c r="AN826" i="202"/>
  <c r="AN827" i="202"/>
  <c r="AN828" i="202"/>
  <c r="AN829" i="202"/>
  <c r="AN830" i="202"/>
  <c r="AN831" i="202"/>
  <c r="AN832" i="202"/>
  <c r="AN833" i="202"/>
  <c r="AN834" i="202"/>
  <c r="AN835" i="202"/>
  <c r="AN836" i="202"/>
  <c r="AN837" i="202"/>
  <c r="AN838" i="202"/>
  <c r="AN839" i="202"/>
  <c r="AN840" i="202"/>
  <c r="AN841" i="202"/>
  <c r="AN842" i="202"/>
  <c r="AN843" i="202"/>
  <c r="AN844" i="202"/>
  <c r="AN845" i="202"/>
  <c r="AN846" i="202"/>
  <c r="AN847" i="202"/>
  <c r="AN848" i="202"/>
  <c r="AN849" i="202"/>
  <c r="AN850" i="202"/>
  <c r="AN851" i="202"/>
  <c r="AN852" i="202"/>
  <c r="AN853" i="202"/>
  <c r="AN854" i="202"/>
  <c r="AN855" i="202"/>
  <c r="AN856" i="202"/>
  <c r="AN857" i="202"/>
  <c r="AN858" i="202"/>
  <c r="AN859" i="202"/>
  <c r="AN860" i="202"/>
  <c r="AN861" i="202"/>
  <c r="AN862" i="202"/>
  <c r="AN863" i="202"/>
  <c r="AN864" i="202"/>
  <c r="AN865" i="202"/>
  <c r="AN866" i="202"/>
  <c r="AN867" i="202"/>
  <c r="AN868" i="202"/>
  <c r="AN869" i="202"/>
  <c r="AN870" i="202"/>
  <c r="AN871" i="202"/>
  <c r="AN872" i="202"/>
  <c r="AN873" i="202"/>
  <c r="AN874" i="202"/>
  <c r="AN875" i="202"/>
  <c r="AN876" i="202"/>
  <c r="AN877" i="202"/>
  <c r="AN878" i="202"/>
  <c r="AN879" i="202"/>
  <c r="AN880" i="202"/>
  <c r="AN881" i="202"/>
  <c r="AN882" i="202"/>
  <c r="AN883" i="202"/>
  <c r="AN884" i="202"/>
  <c r="AN885" i="202"/>
  <c r="AN886" i="202"/>
  <c r="AN887" i="202"/>
  <c r="AN888" i="202"/>
  <c r="AN889" i="202"/>
  <c r="AN890" i="202"/>
  <c r="AN891" i="202"/>
  <c r="AN892" i="202"/>
  <c r="AN893" i="202"/>
  <c r="AN894" i="202"/>
  <c r="AN895" i="202"/>
  <c r="AN896" i="202"/>
  <c r="AN897" i="202"/>
  <c r="AN898" i="202"/>
  <c r="AN899" i="202"/>
  <c r="AN900" i="202"/>
  <c r="AN901" i="202"/>
  <c r="AN902" i="202"/>
  <c r="AN903" i="202"/>
  <c r="AN904" i="202"/>
  <c r="AN905" i="202"/>
  <c r="AN906" i="202"/>
  <c r="AN907" i="202"/>
  <c r="AN908" i="202"/>
  <c r="AN909" i="202"/>
  <c r="AN910" i="202"/>
  <c r="AN911" i="202"/>
  <c r="AN912" i="202"/>
  <c r="AN913" i="202"/>
  <c r="AN914" i="202"/>
  <c r="AN915" i="202"/>
  <c r="AN916" i="202"/>
  <c r="AN917" i="202"/>
  <c r="AN918" i="202"/>
  <c r="AN919" i="202"/>
  <c r="AN920" i="202"/>
  <c r="AN921" i="202"/>
  <c r="AN922" i="202"/>
  <c r="AN923" i="202"/>
  <c r="AN924" i="202"/>
  <c r="AN925" i="202"/>
  <c r="AN926" i="202"/>
  <c r="AN927" i="202"/>
  <c r="AN928" i="202"/>
  <c r="AN929" i="202"/>
  <c r="AN930" i="202"/>
  <c r="AN931" i="202"/>
  <c r="AN932" i="202"/>
  <c r="AN933" i="202"/>
  <c r="AN934" i="202"/>
  <c r="AN935" i="202"/>
  <c r="AN936" i="202"/>
  <c r="AN937" i="202"/>
  <c r="AN938" i="202"/>
  <c r="AN939" i="202"/>
  <c r="AN940" i="202"/>
  <c r="AN941" i="202"/>
  <c r="AN942" i="202"/>
  <c r="AN943" i="202"/>
  <c r="AN944" i="202"/>
  <c r="AN945" i="202"/>
  <c r="AN946" i="202"/>
  <c r="AN947" i="202"/>
  <c r="AN948" i="202"/>
  <c r="AN949" i="202"/>
  <c r="AN950" i="202"/>
  <c r="AN951" i="202"/>
  <c r="AN952" i="202"/>
  <c r="AN953" i="202"/>
  <c r="AN954" i="202"/>
  <c r="AN955" i="202"/>
  <c r="AN956" i="202"/>
  <c r="AN957" i="202"/>
  <c r="AN958" i="202"/>
  <c r="AN959" i="202"/>
  <c r="AN960" i="202"/>
  <c r="AN961" i="202"/>
  <c r="AN962" i="202"/>
  <c r="AN963" i="202"/>
  <c r="AN964" i="202"/>
  <c r="AN965" i="202"/>
  <c r="AN966" i="202"/>
  <c r="AN967" i="202"/>
  <c r="AN968" i="202"/>
  <c r="AN969" i="202"/>
  <c r="AN970" i="202"/>
  <c r="AN971" i="202"/>
  <c r="AN972" i="202"/>
  <c r="AN973" i="202"/>
  <c r="AN974" i="202"/>
  <c r="AN975" i="202"/>
  <c r="AN976" i="202"/>
  <c r="AN977" i="202"/>
  <c r="AN978" i="202"/>
  <c r="AN979" i="202"/>
  <c r="AN980" i="202"/>
  <c r="AN981" i="202"/>
  <c r="AN982" i="202"/>
  <c r="AN983" i="202"/>
  <c r="AN984" i="202"/>
  <c r="AN985" i="202"/>
  <c r="AN986" i="202"/>
  <c r="AN987" i="202"/>
  <c r="AN988" i="202"/>
  <c r="AN989" i="202"/>
  <c r="AN990" i="202"/>
  <c r="AN991" i="202"/>
  <c r="AN992" i="202"/>
  <c r="AN993" i="202"/>
  <c r="AN994" i="202"/>
  <c r="AN995" i="202"/>
  <c r="AN996" i="202"/>
  <c r="AN997" i="202"/>
  <c r="AN998" i="202"/>
  <c r="AN999" i="202"/>
  <c r="AN1000" i="202"/>
  <c r="AN1001" i="202"/>
  <c r="AN1002" i="202"/>
  <c r="AN1003" i="202"/>
  <c r="AN1004" i="202"/>
  <c r="AN1005" i="202"/>
  <c r="AN1006" i="202"/>
  <c r="AN1007" i="202"/>
  <c r="AN1008" i="202"/>
  <c r="AN1009" i="202"/>
  <c r="AN1010" i="202"/>
  <c r="AN1011" i="202"/>
  <c r="AN1012" i="202"/>
  <c r="AN1013" i="202"/>
  <c r="AN1014" i="202"/>
  <c r="AN1015" i="202"/>
  <c r="AN1016" i="202"/>
  <c r="AN1017" i="202"/>
  <c r="AN1018" i="202"/>
  <c r="AN1019" i="202"/>
  <c r="AN1020" i="202"/>
  <c r="AN1021" i="202"/>
  <c r="AN1022" i="202"/>
  <c r="AN1023" i="202"/>
  <c r="AN1024" i="202"/>
  <c r="AN1025" i="202"/>
  <c r="AN1026" i="202"/>
  <c r="AN1027" i="202"/>
  <c r="AN1028" i="202"/>
  <c r="AN1029" i="202"/>
  <c r="AN1030" i="202"/>
  <c r="AN1031" i="202"/>
  <c r="AN1032" i="202"/>
  <c r="AN1033" i="202"/>
  <c r="AN1034" i="202"/>
  <c r="AN1035" i="202"/>
  <c r="AN1036" i="202"/>
  <c r="AN1037" i="202"/>
  <c r="AN1038" i="202"/>
  <c r="AN1039" i="202"/>
  <c r="AN1040" i="202"/>
  <c r="AN1041" i="202"/>
  <c r="AN1042" i="202"/>
  <c r="AN1043" i="202"/>
  <c r="AN1044" i="202"/>
  <c r="AN1045" i="202"/>
  <c r="AN1046" i="202"/>
  <c r="AN1047" i="202"/>
  <c r="AN1048" i="202"/>
  <c r="AN1049" i="202"/>
  <c r="AN1050" i="202"/>
  <c r="AN1051" i="202"/>
  <c r="AN1052" i="202"/>
  <c r="AN1053" i="202"/>
  <c r="AN1054" i="202"/>
  <c r="AN1055" i="202"/>
  <c r="AN1056" i="202"/>
  <c r="AN1057" i="202"/>
  <c r="AN1058" i="202"/>
  <c r="AN1059" i="202"/>
  <c r="AN1060" i="202"/>
  <c r="AN1061" i="202"/>
  <c r="AN1062" i="202"/>
  <c r="AN1063" i="202"/>
  <c r="AN1064" i="202"/>
  <c r="AN1065" i="202"/>
  <c r="AN1066" i="202"/>
  <c r="AN1067" i="202"/>
  <c r="AN1068" i="202"/>
  <c r="AN1069" i="202"/>
  <c r="AN1070" i="202"/>
  <c r="AN1071" i="202"/>
  <c r="AN1072" i="202"/>
  <c r="AN1073" i="202"/>
  <c r="AN1074" i="202"/>
  <c r="AN1075" i="202"/>
  <c r="AN1076" i="202"/>
  <c r="AN1077" i="202"/>
  <c r="AN1078" i="202"/>
  <c r="AN1079" i="202"/>
  <c r="AN1080" i="202"/>
  <c r="AN1081" i="202"/>
  <c r="AN1082" i="202"/>
  <c r="AN1083" i="202"/>
  <c r="AN1084" i="202"/>
  <c r="AN1085" i="202"/>
  <c r="AN1086" i="202"/>
  <c r="AN1087" i="202"/>
  <c r="AN1088" i="202"/>
  <c r="AN1089" i="202"/>
  <c r="AN1090" i="202"/>
  <c r="AN1091" i="202"/>
  <c r="AN1092" i="202"/>
  <c r="AN1093" i="202"/>
  <c r="AN1094" i="202"/>
  <c r="AN1095" i="202"/>
  <c r="AN1096" i="202"/>
  <c r="AN1097" i="202"/>
  <c r="AN1098" i="202"/>
  <c r="AN1099" i="202"/>
  <c r="AN1100" i="202"/>
  <c r="AN1101" i="202"/>
  <c r="AN1102" i="202"/>
  <c r="AN1103" i="202"/>
  <c r="AN1104" i="202"/>
  <c r="AN1105" i="202"/>
  <c r="AN1106" i="202"/>
  <c r="AN1107" i="202"/>
  <c r="AN1108" i="202"/>
  <c r="AN1109" i="202"/>
  <c r="AN1110" i="202"/>
  <c r="AN1111" i="202"/>
  <c r="AN1112" i="202"/>
  <c r="AN1113" i="202"/>
  <c r="AN1114" i="202"/>
  <c r="AN1115" i="202"/>
  <c r="AN1116" i="202"/>
  <c r="AN1117" i="202"/>
  <c r="AN1118" i="202"/>
  <c r="AN1119" i="202"/>
  <c r="AN1120" i="202"/>
  <c r="AN1121" i="202"/>
  <c r="AN1122" i="202"/>
  <c r="AN1123" i="202"/>
  <c r="AN1124" i="202"/>
  <c r="AN1125" i="202"/>
  <c r="AN1126" i="202"/>
  <c r="AN1127" i="202"/>
  <c r="AN1128" i="202"/>
  <c r="AN1129" i="202"/>
  <c r="AN1130" i="202"/>
  <c r="AN1131" i="202"/>
  <c r="AN1132" i="202"/>
  <c r="AN1133" i="202"/>
  <c r="AN1134" i="202"/>
  <c r="AN1135" i="202"/>
  <c r="AN1136" i="202"/>
  <c r="AN1137" i="202"/>
  <c r="AN1138" i="202"/>
  <c r="AN1139" i="202"/>
  <c r="AN1140" i="202"/>
  <c r="AN1141" i="202"/>
  <c r="AN1142" i="202"/>
  <c r="AN1143" i="202"/>
  <c r="AN1144" i="202"/>
  <c r="AN1145" i="202"/>
  <c r="AN1146" i="202"/>
  <c r="AN1147" i="202"/>
  <c r="AN1148" i="202"/>
  <c r="AN1149" i="202"/>
  <c r="AN1150" i="202"/>
  <c r="AN1151" i="202"/>
  <c r="AN1152" i="202"/>
  <c r="AN1153" i="202"/>
  <c r="AN1154" i="202"/>
  <c r="AN1155" i="202"/>
  <c r="AN1156" i="202"/>
  <c r="AN1157" i="202"/>
  <c r="AN1158" i="202"/>
  <c r="AN1159" i="202"/>
  <c r="AN1160" i="202"/>
  <c r="AN1161" i="202"/>
  <c r="AN1162" i="202"/>
  <c r="AN1163" i="202"/>
  <c r="AN1164" i="202"/>
  <c r="AN1165" i="202"/>
  <c r="AN1166" i="202"/>
  <c r="AN1167" i="202"/>
  <c r="AN1168" i="202"/>
  <c r="AN1169" i="202"/>
  <c r="AN1170" i="202"/>
  <c r="AN1171" i="202"/>
  <c r="AN1172" i="202"/>
  <c r="AN1173" i="202"/>
  <c r="AN1174" i="202"/>
  <c r="AN1175" i="202"/>
  <c r="AN1176" i="202"/>
  <c r="AN1177" i="202"/>
  <c r="AN1178" i="202"/>
  <c r="AN1179" i="202"/>
  <c r="AN1180" i="202"/>
  <c r="AN1181" i="202"/>
  <c r="AN1182" i="202"/>
  <c r="AN1183" i="202"/>
  <c r="AN1184" i="202"/>
  <c r="AN1185" i="202"/>
  <c r="AN1186" i="202"/>
  <c r="AN1187" i="202"/>
  <c r="AN1188" i="202"/>
  <c r="AN1189" i="202"/>
  <c r="AN1190" i="202"/>
  <c r="AN1191" i="202"/>
  <c r="AN1192" i="202"/>
  <c r="AN1193" i="202"/>
  <c r="AN1194" i="202"/>
  <c r="AN1195" i="202"/>
  <c r="AN1196" i="202"/>
  <c r="AN1197" i="202"/>
  <c r="AN1198" i="202"/>
  <c r="AN1199" i="202"/>
  <c r="AN1200" i="202"/>
  <c r="AN1201" i="202"/>
  <c r="AN1202" i="202"/>
  <c r="AN1203" i="202"/>
  <c r="AN1204" i="202"/>
  <c r="AN1205" i="202"/>
  <c r="AN1206" i="202"/>
  <c r="AN1207" i="202"/>
  <c r="AN1208" i="202"/>
  <c r="AN1209" i="202"/>
  <c r="AN1210" i="202"/>
  <c r="AN1211" i="202"/>
  <c r="AN1212" i="202"/>
  <c r="AN1213" i="202"/>
  <c r="AN1214" i="202"/>
  <c r="AN1215" i="202"/>
  <c r="AN1216" i="202"/>
  <c r="AN1217" i="202"/>
  <c r="AN1218" i="202"/>
  <c r="AN1219" i="202"/>
  <c r="AN1220" i="202"/>
  <c r="AN1221" i="202"/>
  <c r="AN1222" i="202"/>
  <c r="AN1223" i="202"/>
  <c r="AN1224" i="202"/>
  <c r="AN1225" i="202"/>
  <c r="AN1226" i="202"/>
  <c r="AN1227" i="202"/>
  <c r="AN1228" i="202"/>
  <c r="AN1229" i="202"/>
  <c r="AN1230" i="202"/>
  <c r="AN1231" i="202"/>
  <c r="AN1232" i="202"/>
  <c r="AN1233" i="202"/>
  <c r="AN1234" i="202"/>
  <c r="AN1235" i="202"/>
  <c r="AN1236" i="202"/>
  <c r="AN1237" i="202"/>
  <c r="AN1238" i="202"/>
  <c r="AN1239" i="202"/>
  <c r="AN1240" i="202"/>
  <c r="AN1241" i="202"/>
  <c r="AN1242" i="202"/>
  <c r="AN1243" i="202"/>
  <c r="AN1244" i="202"/>
  <c r="AN1245" i="202"/>
  <c r="AN1246" i="202"/>
  <c r="AN1247" i="202"/>
  <c r="AN1248" i="202"/>
  <c r="AN1249" i="202"/>
  <c r="AN1250" i="202"/>
  <c r="AN1251" i="202"/>
  <c r="AN1252" i="202"/>
  <c r="AN1253" i="202"/>
  <c r="AN1254" i="202"/>
  <c r="AN1255" i="202"/>
  <c r="AN1256" i="202"/>
  <c r="AN1257" i="202"/>
  <c r="AN1258" i="202"/>
  <c r="AN1259" i="202"/>
  <c r="AN1260" i="202"/>
  <c r="AN1261" i="202"/>
  <c r="AN1262" i="202"/>
  <c r="AN1263" i="202"/>
  <c r="AN1264" i="202"/>
  <c r="AN1265" i="202"/>
  <c r="AN1266" i="202"/>
  <c r="AN1267" i="202"/>
  <c r="AN1268" i="202"/>
  <c r="AN1269" i="202"/>
  <c r="AN1270" i="202"/>
  <c r="AN1271" i="202"/>
  <c r="AN1272" i="202"/>
  <c r="AN1273" i="202"/>
  <c r="AN1274" i="202"/>
  <c r="AN1275" i="202"/>
  <c r="AN1276" i="202"/>
  <c r="AN1277" i="202"/>
  <c r="AN1278" i="202"/>
  <c r="AN1279" i="202"/>
  <c r="AN1280" i="202"/>
  <c r="AN1281" i="202"/>
  <c r="AN1282" i="202"/>
  <c r="AN1283" i="202"/>
  <c r="AN1284" i="202"/>
  <c r="AN1285" i="202"/>
  <c r="AN1286" i="202"/>
  <c r="AN1287" i="202"/>
  <c r="AN1288" i="202"/>
  <c r="AN1289" i="202"/>
  <c r="AN1290" i="202"/>
  <c r="AN1291" i="202"/>
  <c r="AN1292" i="202"/>
  <c r="AN1293" i="202"/>
  <c r="AN1294" i="202"/>
  <c r="AN1295" i="202"/>
  <c r="AN1296" i="202"/>
  <c r="AN1297" i="202"/>
  <c r="AN1298" i="202"/>
  <c r="AN1299" i="202"/>
  <c r="AN1300" i="202"/>
  <c r="AN1301" i="202"/>
  <c r="AN1302" i="202"/>
  <c r="AN1303" i="202"/>
  <c r="AN1304" i="202"/>
  <c r="AN1305" i="202"/>
  <c r="AN1306" i="202"/>
  <c r="AN1307" i="202"/>
  <c r="AN1308" i="202"/>
  <c r="AN1309" i="202"/>
  <c r="AN1310" i="202"/>
  <c r="AN1311" i="202"/>
  <c r="AN1312" i="202"/>
  <c r="AN1313" i="202"/>
  <c r="AN1314" i="202"/>
  <c r="AN1315" i="202"/>
  <c r="AN1316" i="202"/>
  <c r="AN1317" i="202"/>
  <c r="AN1318" i="202"/>
  <c r="AN1319" i="202"/>
  <c r="AN1320" i="202"/>
  <c r="AN1321" i="202"/>
  <c r="AN1322" i="202"/>
  <c r="AN1323" i="202"/>
  <c r="AN1324" i="202"/>
  <c r="AN1325" i="202"/>
  <c r="AN1326" i="202"/>
  <c r="AN1327" i="202"/>
  <c r="AN1328" i="202"/>
  <c r="AN1329" i="202"/>
  <c r="AN1330" i="202"/>
  <c r="AN1331" i="202"/>
  <c r="AN1332" i="202"/>
  <c r="AN1333" i="202"/>
  <c r="AN1334" i="202"/>
  <c r="AN1335" i="202"/>
  <c r="AN1336" i="202"/>
  <c r="AN1337" i="202"/>
  <c r="AN1338" i="202"/>
  <c r="AN1339" i="202"/>
  <c r="AN1340" i="202"/>
  <c r="AN1341" i="202"/>
  <c r="AN1342" i="202"/>
  <c r="AN1343" i="202"/>
  <c r="AN1344" i="202"/>
  <c r="AN1345" i="202"/>
  <c r="AN1346" i="202"/>
  <c r="AN1347" i="202"/>
  <c r="AN1348" i="202"/>
  <c r="AN1349" i="202"/>
  <c r="AN1350" i="202"/>
  <c r="AN1351" i="202"/>
  <c r="AN1352" i="202"/>
  <c r="AN1353" i="202"/>
  <c r="AN1354" i="202"/>
  <c r="AN1355" i="202"/>
  <c r="AN1356" i="202"/>
  <c r="AN1357" i="202"/>
  <c r="AN1358" i="202"/>
  <c r="AN1359" i="202"/>
  <c r="AN1360" i="202"/>
  <c r="AN1361" i="202"/>
  <c r="AN1362" i="202"/>
  <c r="AN1363" i="202"/>
  <c r="AN1364" i="202"/>
  <c r="AN1365" i="202"/>
  <c r="AN1366" i="202"/>
  <c r="AN1367" i="202"/>
  <c r="AN1368" i="202"/>
  <c r="AN1369" i="202"/>
  <c r="AN1370" i="202"/>
  <c r="AN1371" i="202"/>
  <c r="AN1372" i="202"/>
  <c r="AN1373" i="202"/>
  <c r="AN1374" i="202"/>
  <c r="AN1375" i="202"/>
  <c r="AN1376" i="202"/>
  <c r="AN1377" i="202"/>
  <c r="AN1378" i="202"/>
  <c r="AN1379" i="202"/>
  <c r="AN1380" i="202"/>
  <c r="AN1381" i="202"/>
  <c r="AN1382" i="202"/>
  <c r="AN1383" i="202"/>
  <c r="AN1384" i="202"/>
  <c r="AN1385" i="202"/>
  <c r="AN1386" i="202"/>
  <c r="AN1387" i="202"/>
  <c r="AN1388" i="202"/>
  <c r="AN1389" i="202"/>
  <c r="AN1390" i="202"/>
  <c r="AN1391" i="202"/>
  <c r="AN1392" i="202"/>
  <c r="AN1393" i="202"/>
  <c r="AN1394" i="202"/>
  <c r="AN1395" i="202"/>
  <c r="AN1396" i="202"/>
  <c r="AN1397" i="202"/>
  <c r="AN1398" i="202"/>
  <c r="AN1399" i="202"/>
  <c r="AN1400" i="202"/>
  <c r="AN1401" i="202"/>
  <c r="AN1402" i="202"/>
  <c r="AN1403" i="202"/>
  <c r="AN1404" i="202"/>
  <c r="AN1405" i="202"/>
  <c r="AN1406" i="202"/>
  <c r="AN1407" i="202"/>
  <c r="AN1408" i="202"/>
  <c r="AN1409" i="202"/>
  <c r="AN1410" i="202"/>
  <c r="AN1411" i="202"/>
  <c r="AN1412" i="202"/>
  <c r="AN1413" i="202"/>
  <c r="AN1414" i="202"/>
  <c r="AN1415" i="202"/>
  <c r="AN1416" i="202"/>
  <c r="AN1417" i="202"/>
  <c r="AN1418" i="202"/>
  <c r="AN1419" i="202"/>
  <c r="AN1420" i="202"/>
  <c r="AN1421" i="202"/>
  <c r="AN1422" i="202"/>
  <c r="AN1423" i="202"/>
  <c r="AN1424" i="202"/>
  <c r="AN1425" i="202"/>
  <c r="AN1426" i="202"/>
  <c r="AN1427" i="202"/>
  <c r="AN1428" i="202"/>
  <c r="AN1429" i="202"/>
  <c r="AN1430" i="202"/>
  <c r="AN1431" i="202"/>
  <c r="AN1432" i="202"/>
  <c r="AN1433" i="202"/>
  <c r="AN1434" i="202"/>
  <c r="AN1435" i="202"/>
  <c r="AN1436" i="202"/>
  <c r="AN1437" i="202"/>
  <c r="AN1438" i="202"/>
  <c r="AN1439" i="202"/>
  <c r="AN1440" i="202"/>
  <c r="AN1441" i="202"/>
  <c r="AN1442" i="202"/>
  <c r="AN1443" i="202"/>
  <c r="AN1444" i="202"/>
  <c r="AN1445" i="202"/>
  <c r="AN1446" i="202"/>
  <c r="AN1447" i="202"/>
  <c r="AN1448" i="202"/>
  <c r="AN1449" i="202"/>
  <c r="AN1450" i="202"/>
  <c r="AN1451" i="202"/>
  <c r="AN1452" i="202"/>
  <c r="AN1453" i="202"/>
  <c r="AN1454" i="202"/>
  <c r="AN1455" i="202"/>
  <c r="AN1456" i="202"/>
  <c r="AN1457" i="202"/>
  <c r="AN1458" i="202"/>
  <c r="AN1459" i="202"/>
  <c r="AN1460" i="202"/>
  <c r="AN1461" i="202"/>
  <c r="AN1462" i="202"/>
  <c r="AN1463" i="202"/>
  <c r="AN1464" i="202"/>
  <c r="AN1465" i="202"/>
  <c r="AN1466" i="202"/>
  <c r="AN1467" i="202"/>
  <c r="AN1468" i="202"/>
  <c r="AN1469" i="202"/>
  <c r="AN1470" i="202"/>
  <c r="AN1471" i="202"/>
  <c r="AN1472" i="202"/>
  <c r="AN1473" i="202"/>
  <c r="AN1474" i="202"/>
  <c r="AN1475" i="202"/>
  <c r="AN1476" i="202"/>
  <c r="AN1477" i="202"/>
  <c r="AN1478" i="202"/>
  <c r="AN1479" i="202"/>
  <c r="AN1480" i="202"/>
  <c r="AN1481" i="202"/>
  <c r="AN1482" i="202"/>
  <c r="AN1483" i="202"/>
  <c r="AN1484" i="202"/>
  <c r="AN1485" i="202"/>
  <c r="AN1486" i="202"/>
  <c r="AN1487" i="202"/>
  <c r="AN1488" i="202"/>
  <c r="AN1489" i="202"/>
  <c r="AN1490" i="202"/>
  <c r="AN1491" i="202"/>
  <c r="AN1492" i="202"/>
  <c r="AN1493" i="202"/>
  <c r="AN1494" i="202"/>
  <c r="AN1495" i="202"/>
  <c r="AN1496" i="202"/>
  <c r="AN1497" i="202"/>
  <c r="AN1498" i="202"/>
  <c r="AN1499" i="202"/>
  <c r="AN1500" i="202"/>
  <c r="AN1501" i="202"/>
  <c r="AN1502" i="202"/>
  <c r="AN1503" i="202"/>
  <c r="AN1504" i="202"/>
  <c r="AN1505" i="202"/>
  <c r="AN1506" i="202"/>
  <c r="AN1507" i="202"/>
  <c r="AN1508" i="202"/>
  <c r="AN1509" i="202"/>
  <c r="AN1510" i="202"/>
  <c r="AN1511" i="202"/>
  <c r="AN1512" i="202"/>
  <c r="AN1513" i="202"/>
  <c r="AN1514" i="202"/>
  <c r="AN1515" i="202"/>
  <c r="AN1516" i="202"/>
  <c r="AN1517" i="202"/>
  <c r="AN1518" i="202"/>
  <c r="AN1519" i="202"/>
  <c r="AN1520" i="202"/>
  <c r="AN1521" i="202"/>
  <c r="AN1522" i="202"/>
  <c r="AN1523" i="202"/>
  <c r="AN1524" i="202"/>
  <c r="AN1525" i="202"/>
  <c r="AN1526" i="202"/>
  <c r="AN1527" i="202"/>
  <c r="AN1528" i="202"/>
  <c r="AN1529" i="202"/>
  <c r="AN1530" i="202"/>
  <c r="AN1531" i="202"/>
  <c r="AN1532" i="202"/>
  <c r="AN1533" i="202"/>
  <c r="AN1534" i="202"/>
  <c r="AN1535" i="202"/>
  <c r="AN1536" i="202"/>
  <c r="AN1537" i="202"/>
  <c r="AN1538" i="202"/>
  <c r="AN1539" i="202"/>
  <c r="AN1540" i="202"/>
  <c r="AN1541" i="202"/>
  <c r="AN1542" i="202"/>
  <c r="AN1543" i="202"/>
  <c r="AN1544" i="202"/>
  <c r="AN1545" i="202"/>
  <c r="AN1546" i="202"/>
  <c r="AN1547" i="202"/>
  <c r="AN1548" i="202"/>
  <c r="AN1549" i="202"/>
  <c r="AN1550" i="202"/>
  <c r="AN1551" i="202"/>
  <c r="AN1552" i="202"/>
  <c r="AN1553" i="202"/>
  <c r="AN1554" i="202"/>
  <c r="AN1555" i="202"/>
  <c r="AN1556" i="202"/>
  <c r="AN1557" i="202"/>
  <c r="AN1558" i="202"/>
  <c r="AN1559" i="202"/>
  <c r="AN1560" i="202"/>
  <c r="AN1561" i="202"/>
  <c r="AN1562" i="202"/>
  <c r="AN1563" i="202"/>
  <c r="AN1564" i="202"/>
  <c r="AN1565" i="202"/>
  <c r="AN1566" i="202"/>
  <c r="AN1567" i="202"/>
  <c r="AN1568" i="202"/>
  <c r="AN1569" i="202"/>
  <c r="AN1570" i="202"/>
  <c r="AN1571" i="202"/>
  <c r="AN1572" i="202"/>
  <c r="AN1573" i="202"/>
  <c r="AN1574" i="202"/>
  <c r="AN1575" i="202"/>
  <c r="AN1576" i="202"/>
  <c r="AN1577" i="202"/>
  <c r="AN1578" i="202"/>
  <c r="AN1579" i="202"/>
  <c r="AN1580" i="202"/>
  <c r="AN1581" i="202"/>
  <c r="AN1582" i="202"/>
  <c r="AN1583" i="202"/>
  <c r="AN1584" i="202"/>
  <c r="AN1585" i="202"/>
  <c r="AN1586" i="202"/>
  <c r="AN1587" i="202"/>
  <c r="AN1588" i="202"/>
  <c r="AN1589" i="202"/>
  <c r="AN1590" i="202"/>
  <c r="AN1591" i="202"/>
  <c r="AN1592" i="202"/>
  <c r="AN1593" i="202"/>
  <c r="AN1594" i="202"/>
  <c r="AN1595" i="202"/>
  <c r="AN1596" i="202"/>
  <c r="AN1597" i="202"/>
  <c r="AN1598" i="202"/>
  <c r="AN1599" i="202"/>
  <c r="AN1600" i="202"/>
  <c r="AN1601" i="202"/>
  <c r="AN1602" i="202"/>
  <c r="AN1603" i="202"/>
  <c r="AN1604" i="202"/>
  <c r="AN1605" i="202"/>
  <c r="AN1606" i="202"/>
  <c r="AN1607" i="202"/>
  <c r="AN1608" i="202"/>
  <c r="AN1609" i="202"/>
  <c r="AN1610" i="202"/>
  <c r="AN1611" i="202"/>
  <c r="AN1612" i="202"/>
  <c r="AN1613" i="202"/>
  <c r="AN1614" i="202"/>
  <c r="AN1615" i="202"/>
  <c r="AN1616" i="202"/>
  <c r="AN1617" i="202"/>
  <c r="AN1618" i="202"/>
  <c r="AN1619" i="202"/>
  <c r="AN1620" i="202"/>
  <c r="AN1621" i="202"/>
  <c r="AN1622" i="202"/>
  <c r="AN1623" i="202"/>
  <c r="AN1624" i="202"/>
  <c r="AN1625" i="202"/>
  <c r="AN1626" i="202"/>
  <c r="AN1627" i="202"/>
  <c r="AN1628" i="202"/>
  <c r="AN1629" i="202"/>
  <c r="AN1630" i="202"/>
  <c r="AN1631" i="202"/>
  <c r="AN1632" i="202"/>
  <c r="AN1633" i="202"/>
  <c r="AN1634" i="202"/>
  <c r="AN1635" i="202"/>
  <c r="AN1636" i="202"/>
  <c r="AN1637" i="202"/>
  <c r="AN1638" i="202"/>
  <c r="AN1639" i="202"/>
  <c r="AN1640" i="202"/>
  <c r="AN1641" i="202"/>
  <c r="AN1642" i="202"/>
  <c r="AN1643" i="202"/>
  <c r="AN1644" i="202"/>
  <c r="AN1645" i="202"/>
  <c r="AN1646" i="202"/>
  <c r="AN1647" i="202"/>
  <c r="AN1648" i="202"/>
  <c r="AN1649" i="202"/>
  <c r="AN1650" i="202"/>
  <c r="AN1651" i="202"/>
  <c r="AN1652" i="202"/>
  <c r="AN1653" i="202"/>
  <c r="AN1654" i="202"/>
  <c r="AN1655" i="202"/>
  <c r="AN1656" i="202"/>
  <c r="AN1657" i="202"/>
  <c r="AN1658" i="202"/>
  <c r="AN1659" i="202"/>
  <c r="AN1660" i="202"/>
  <c r="AN1661" i="202"/>
  <c r="AN1662" i="202"/>
  <c r="AN1663" i="202"/>
  <c r="AN1664" i="202"/>
  <c r="AN1665" i="202"/>
  <c r="AN1666" i="202"/>
  <c r="AN1667" i="202"/>
  <c r="AN1668" i="202"/>
  <c r="AN1669" i="202"/>
  <c r="AN1670" i="202"/>
  <c r="AN1671" i="202"/>
  <c r="AN1672" i="202"/>
  <c r="AN1673" i="202"/>
  <c r="AN1674" i="202"/>
  <c r="AN1675" i="202"/>
  <c r="AN1676" i="202"/>
  <c r="AN1677" i="202"/>
  <c r="AN1678" i="202"/>
  <c r="AN1679" i="202"/>
  <c r="AN1680" i="202"/>
  <c r="AN1681" i="202"/>
  <c r="AN1682" i="202"/>
  <c r="AN1683" i="202"/>
  <c r="AN1684" i="202"/>
  <c r="AN1685" i="202"/>
  <c r="AN1686" i="202"/>
  <c r="AN1687" i="202"/>
  <c r="AN1688" i="202"/>
  <c r="AN1689" i="202"/>
  <c r="AN1690" i="202"/>
  <c r="AN1691" i="202"/>
  <c r="AN1692" i="202"/>
  <c r="AN1693" i="202"/>
  <c r="AN1694" i="202"/>
  <c r="AN1695" i="202"/>
  <c r="AN1696" i="202"/>
  <c r="AN1697" i="202"/>
  <c r="AN1698" i="202"/>
  <c r="AN1699" i="202"/>
  <c r="AN1700" i="202"/>
  <c r="AN1701" i="202"/>
  <c r="AN1702" i="202"/>
  <c r="AN1703" i="202"/>
  <c r="AN1704" i="202"/>
  <c r="AN1705" i="202"/>
  <c r="AN1706" i="202"/>
  <c r="AN1707" i="202"/>
  <c r="AN1708" i="202"/>
  <c r="AN1709" i="202"/>
  <c r="AN1710" i="202"/>
  <c r="AN1711" i="202"/>
  <c r="AN1712" i="202"/>
  <c r="AN1713" i="202"/>
  <c r="AN1714" i="202"/>
  <c r="AN1715" i="202"/>
  <c r="AN1716" i="202"/>
  <c r="AN1717" i="202"/>
  <c r="AN1718" i="202"/>
  <c r="AN1719" i="202"/>
  <c r="AN1720" i="202"/>
  <c r="AN1721" i="202"/>
  <c r="AN1722" i="202"/>
  <c r="AN1723" i="202"/>
  <c r="AN1724" i="202"/>
  <c r="AN1725" i="202"/>
  <c r="AN1726" i="202"/>
  <c r="AN1727" i="202"/>
  <c r="AN1728" i="202"/>
  <c r="AN1729" i="202"/>
  <c r="AN1730" i="202"/>
  <c r="AN1731" i="202"/>
  <c r="AN1732" i="202"/>
  <c r="AN1733" i="202"/>
  <c r="AN1734" i="202"/>
  <c r="AN1735" i="202"/>
  <c r="AN1736" i="202"/>
  <c r="AN1737" i="202"/>
  <c r="AN1738" i="202"/>
  <c r="AN1739" i="202"/>
  <c r="AN1740" i="202"/>
  <c r="AN1741" i="202"/>
  <c r="AN1742" i="202"/>
  <c r="AN1743" i="202"/>
  <c r="AN1744" i="202"/>
  <c r="AN1745" i="202"/>
  <c r="AN1746" i="202"/>
  <c r="AN1747" i="202"/>
  <c r="AN1748" i="202"/>
  <c r="AN1749" i="202"/>
  <c r="AN1750" i="202"/>
  <c r="AN1751" i="202"/>
  <c r="AN1752" i="202"/>
  <c r="AN1753" i="202"/>
  <c r="AN1754" i="202"/>
  <c r="AN1755" i="202"/>
  <c r="AN1756" i="202"/>
  <c r="AN1757" i="202"/>
  <c r="AN1758" i="202"/>
  <c r="AN1759" i="202"/>
  <c r="AN1760" i="202"/>
  <c r="AN1761" i="202"/>
  <c r="AN1762" i="202"/>
  <c r="AN1763" i="202"/>
  <c r="AN1764" i="202"/>
  <c r="AN1765" i="202"/>
  <c r="AN1766" i="202"/>
  <c r="AN1767" i="202"/>
  <c r="AN1768" i="202"/>
  <c r="AN1769" i="202"/>
  <c r="AN1770" i="202"/>
  <c r="AN1771" i="202"/>
  <c r="AN1772" i="202"/>
  <c r="AN1773" i="202"/>
  <c r="AN1774" i="202"/>
  <c r="AN1775" i="202"/>
  <c r="AN1776" i="202"/>
  <c r="AN1777" i="202"/>
  <c r="AN1778" i="202"/>
  <c r="AN1779" i="202"/>
  <c r="AN1780" i="202"/>
  <c r="AN1781" i="202"/>
  <c r="AN1782" i="202"/>
  <c r="AN1783" i="202"/>
  <c r="AN1784" i="202"/>
  <c r="AN1785" i="202"/>
  <c r="AN1786" i="202"/>
  <c r="AN1787" i="202"/>
  <c r="AN1788" i="202"/>
  <c r="AN1789" i="202"/>
  <c r="AN1790" i="202"/>
  <c r="AN1791" i="202"/>
  <c r="AN1792" i="202"/>
  <c r="AN1793" i="202"/>
  <c r="AN1794" i="202"/>
  <c r="AN1795" i="202"/>
  <c r="AN1796" i="202"/>
  <c r="AN1797" i="202"/>
  <c r="AN1798" i="202"/>
  <c r="AN1799" i="202"/>
  <c r="AN1800" i="202"/>
  <c r="AN1801" i="202"/>
  <c r="AN1802" i="202"/>
  <c r="AN1803" i="202"/>
  <c r="AN1804" i="202"/>
  <c r="AN1805" i="202"/>
  <c r="AN1806" i="202"/>
  <c r="AN1807" i="202"/>
  <c r="AN1808" i="202"/>
  <c r="AN1809" i="202"/>
  <c r="AN1810" i="202"/>
  <c r="AN1811" i="202"/>
  <c r="AN1812" i="202"/>
  <c r="AN1813" i="202"/>
  <c r="AN1814" i="202"/>
  <c r="AN1815" i="202"/>
  <c r="AN1816" i="202"/>
  <c r="AN1817" i="202"/>
  <c r="AN1818" i="202"/>
  <c r="AN1819" i="202"/>
  <c r="AN1820" i="202"/>
  <c r="AN1821" i="202"/>
  <c r="AN1822" i="202"/>
  <c r="AN1823" i="202"/>
  <c r="AN1824" i="202"/>
  <c r="AN1825" i="202"/>
  <c r="AN1826" i="202"/>
  <c r="AN1827" i="202"/>
  <c r="AN1828" i="202"/>
  <c r="AN1829" i="202"/>
  <c r="AN1830" i="202"/>
  <c r="AN1831" i="202"/>
  <c r="AN1832" i="202"/>
  <c r="AN1833" i="202"/>
  <c r="AN1834" i="202"/>
  <c r="AN1835" i="202"/>
  <c r="AN1836" i="202"/>
  <c r="AN1837" i="202"/>
  <c r="AN1838" i="202"/>
  <c r="AN1839" i="202"/>
  <c r="AN1840" i="202"/>
  <c r="AN1841" i="202"/>
  <c r="AN1842" i="202"/>
  <c r="AN1843" i="202"/>
  <c r="AN1844" i="202"/>
  <c r="AN1845" i="202"/>
  <c r="AN1846" i="202"/>
  <c r="AN1847" i="202"/>
  <c r="AN1848" i="202"/>
  <c r="AN1849" i="202"/>
  <c r="AN1850" i="202"/>
  <c r="AN1851" i="202"/>
  <c r="AN1852" i="202"/>
  <c r="AN1853" i="202"/>
  <c r="AN1854" i="202"/>
  <c r="AN1855" i="202"/>
  <c r="AN1856" i="202"/>
  <c r="AN1857" i="202"/>
  <c r="AN1858" i="202"/>
  <c r="AN1859" i="202"/>
  <c r="AN1860" i="202"/>
  <c r="AN1861" i="202"/>
  <c r="AN1862" i="202"/>
  <c r="AN1863" i="202"/>
  <c r="AN1864" i="202"/>
  <c r="AN1865" i="202"/>
  <c r="AN1866" i="202"/>
  <c r="AN1867" i="202"/>
  <c r="AN1868" i="202"/>
  <c r="AN1869" i="202"/>
  <c r="AN1870" i="202"/>
  <c r="AN1871" i="202"/>
  <c r="AN1872" i="202"/>
  <c r="AN1873" i="202"/>
  <c r="AN1874" i="202"/>
  <c r="AN1875" i="202"/>
  <c r="AN1876" i="202"/>
  <c r="AN1877" i="202"/>
  <c r="AN1878" i="202"/>
  <c r="AN1879" i="202"/>
  <c r="AN1880" i="202"/>
  <c r="AN1881" i="202"/>
  <c r="AN1882" i="202"/>
  <c r="AN1883" i="202"/>
  <c r="AN1884" i="202"/>
  <c r="AN1885" i="202"/>
  <c r="AN1886" i="202"/>
  <c r="AN1887" i="202"/>
  <c r="AN1888" i="202"/>
  <c r="AN1889" i="202"/>
  <c r="AN1890" i="202"/>
  <c r="AN1891" i="202"/>
  <c r="AN1892" i="202"/>
  <c r="AN1893" i="202"/>
  <c r="AN1894" i="202"/>
  <c r="AN1895" i="202"/>
  <c r="AN1896" i="202"/>
  <c r="AN1897" i="202"/>
  <c r="AN1898" i="202"/>
  <c r="AN1899" i="202"/>
  <c r="AN1900" i="202"/>
  <c r="AN1901" i="202"/>
  <c r="AN1902" i="202"/>
  <c r="AN1903" i="202"/>
  <c r="AN1904" i="202"/>
  <c r="AN1905" i="202"/>
  <c r="AN1906" i="202"/>
  <c r="AN1907" i="202"/>
  <c r="AN1908" i="202"/>
  <c r="AN1909" i="202"/>
  <c r="AN1910" i="202"/>
  <c r="AN1911" i="202"/>
  <c r="AN1912" i="202"/>
  <c r="AN1913" i="202"/>
  <c r="AN1914" i="202"/>
  <c r="AN1915" i="202"/>
  <c r="AN1916" i="202"/>
  <c r="AN1917" i="202"/>
  <c r="AN1918" i="202"/>
  <c r="AN1919" i="202"/>
  <c r="AN1920" i="202"/>
  <c r="AN1921" i="202"/>
  <c r="AN1922" i="202"/>
  <c r="AN1923" i="202"/>
  <c r="AN1924" i="202"/>
  <c r="AN1925" i="202"/>
  <c r="AN1926" i="202"/>
  <c r="AN1927" i="202"/>
  <c r="AN1928" i="202"/>
  <c r="AN1929" i="202"/>
  <c r="AN1930" i="202"/>
  <c r="AN1931" i="202"/>
  <c r="AN1932" i="202"/>
  <c r="AN1933" i="202"/>
  <c r="AN1934" i="202"/>
  <c r="AN1935" i="202"/>
  <c r="AN1936" i="202"/>
  <c r="AN1937" i="202"/>
  <c r="AN1938" i="202"/>
  <c r="AN1939" i="202"/>
  <c r="AN1940" i="202"/>
  <c r="AN1941" i="202"/>
  <c r="AN1942" i="202"/>
  <c r="AN1943" i="202"/>
  <c r="AN1944" i="202"/>
  <c r="AN1945" i="202"/>
  <c r="AN1946" i="202"/>
  <c r="AN1947" i="202"/>
  <c r="AN1948" i="202"/>
  <c r="AN1949" i="202"/>
  <c r="AN1950" i="202"/>
  <c r="AN1951" i="202"/>
  <c r="AN1952" i="202"/>
  <c r="AN1953" i="202"/>
  <c r="AN1954" i="202"/>
  <c r="AN1955" i="202"/>
  <c r="AN1956" i="202"/>
  <c r="AN1957" i="202"/>
  <c r="AN1958" i="202"/>
  <c r="AN1959" i="202"/>
  <c r="AN1960" i="202"/>
  <c r="AN1961" i="202"/>
  <c r="AN1962" i="202"/>
  <c r="AN1963" i="202"/>
  <c r="AN1964" i="202"/>
  <c r="AN1965" i="202"/>
  <c r="AN1966" i="202"/>
  <c r="AN1967" i="202"/>
  <c r="AN1968" i="202"/>
  <c r="AN1969" i="202"/>
  <c r="AN1970" i="202"/>
  <c r="AN1971" i="202"/>
  <c r="AN1972" i="202"/>
  <c r="AN1973" i="202"/>
  <c r="AN1974" i="202"/>
  <c r="AN1975" i="202"/>
  <c r="AN1976" i="202"/>
  <c r="AN1977" i="202"/>
  <c r="AN1978" i="202"/>
  <c r="AN1979" i="202"/>
  <c r="AN1980" i="202"/>
  <c r="AN1981" i="202"/>
  <c r="AN1982" i="202"/>
  <c r="AN1983" i="202"/>
  <c r="AN1984" i="202"/>
  <c r="AN1985" i="202"/>
  <c r="AN1986" i="202"/>
  <c r="AN1987" i="202"/>
  <c r="AN1988" i="202"/>
  <c r="AN1989" i="202"/>
  <c r="AN1990" i="202"/>
  <c r="AN1991" i="202"/>
  <c r="AN1992" i="202"/>
  <c r="AN1993" i="202"/>
  <c r="AN1994" i="202"/>
  <c r="AN1995" i="202"/>
  <c r="AN1996" i="202"/>
  <c r="AN1997" i="202"/>
  <c r="AN1998" i="202"/>
  <c r="AN1999" i="202"/>
  <c r="AN2000" i="202"/>
  <c r="AN2001" i="202"/>
  <c r="AN2002" i="202"/>
  <c r="AN2003" i="202"/>
  <c r="AN2004" i="202"/>
  <c r="AN2005" i="202"/>
  <c r="AN2006" i="202"/>
  <c r="AN2007" i="202"/>
  <c r="AN2008" i="202"/>
  <c r="AN2009" i="202"/>
  <c r="AN2010" i="202"/>
  <c r="AN2011" i="202"/>
  <c r="AN2012" i="202"/>
  <c r="AN2013" i="202"/>
  <c r="AN2014" i="202"/>
  <c r="AN2015" i="202"/>
  <c r="AN2016" i="202"/>
  <c r="AN2017" i="202"/>
  <c r="AN2018" i="202"/>
  <c r="AN2019" i="202"/>
  <c r="AN2020" i="202"/>
  <c r="AN2021" i="202"/>
  <c r="AN2022" i="202"/>
  <c r="AN2023" i="202"/>
  <c r="AN2024" i="202"/>
  <c r="AN2025" i="202"/>
  <c r="AN2026" i="202"/>
  <c r="AN2027" i="202"/>
  <c r="AN2028" i="202"/>
  <c r="AN2029" i="202"/>
  <c r="AN2030" i="202"/>
  <c r="AN2031" i="202"/>
  <c r="AN2032" i="202"/>
  <c r="AN2033" i="202"/>
  <c r="AN2034" i="202"/>
  <c r="AN2035" i="202"/>
  <c r="AN2036" i="202"/>
  <c r="AN2037" i="202"/>
  <c r="AN2038" i="202"/>
  <c r="AN2039" i="202"/>
  <c r="AN2040" i="202"/>
  <c r="AN2041" i="202"/>
  <c r="AN2042" i="202"/>
  <c r="AN2043" i="202"/>
  <c r="AN2044" i="202"/>
  <c r="AN2045" i="202"/>
  <c r="AN2046" i="202"/>
  <c r="AN2047" i="202"/>
  <c r="AN2048" i="202"/>
  <c r="Z2" i="202"/>
  <c r="Z3" i="202"/>
  <c r="Z4" i="202"/>
  <c r="Z5" i="202"/>
  <c r="Z6" i="202"/>
  <c r="Z7" i="202"/>
  <c r="Z8" i="202"/>
  <c r="Z9" i="202"/>
  <c r="Z10" i="202"/>
  <c r="Z11" i="202"/>
  <c r="Z12" i="202"/>
  <c r="Z13" i="202"/>
  <c r="Z14" i="202"/>
  <c r="Z15" i="202"/>
  <c r="Z16" i="202"/>
  <c r="Z17" i="202"/>
  <c r="Z18" i="202"/>
  <c r="Z19" i="202"/>
  <c r="Z20" i="202"/>
  <c r="Z21" i="202"/>
  <c r="Z22" i="202"/>
  <c r="Z23" i="202"/>
  <c r="Z24" i="202"/>
  <c r="Z25" i="202"/>
  <c r="Z26" i="202"/>
  <c r="Z27" i="202"/>
  <c r="Z28" i="202"/>
  <c r="Z29" i="202"/>
  <c r="Z30" i="202"/>
  <c r="Z31" i="202"/>
  <c r="Z32" i="202"/>
  <c r="Z33" i="202"/>
  <c r="Z34" i="202"/>
  <c r="Z35" i="202"/>
  <c r="Z36" i="202"/>
  <c r="Z37" i="202"/>
  <c r="Z38" i="202"/>
  <c r="Z39" i="202"/>
  <c r="Z40" i="202"/>
  <c r="Z41" i="202"/>
  <c r="Z42" i="202"/>
  <c r="Z43" i="202"/>
  <c r="Z44" i="202"/>
  <c r="Z45" i="202"/>
  <c r="Z46" i="202"/>
  <c r="Z47" i="202"/>
  <c r="Z48" i="202"/>
  <c r="Z49" i="202"/>
  <c r="Z50" i="202"/>
  <c r="Z51" i="202"/>
  <c r="Z52" i="202"/>
  <c r="Z53" i="202"/>
  <c r="Z54" i="202"/>
  <c r="Z55" i="202"/>
  <c r="Z56" i="202"/>
  <c r="Z57" i="202"/>
  <c r="Z58" i="202"/>
  <c r="Z59" i="202"/>
  <c r="Z60" i="202"/>
  <c r="Z61" i="202"/>
  <c r="Z62" i="202"/>
  <c r="Z63" i="202"/>
  <c r="Z64" i="202"/>
  <c r="Z65" i="202"/>
  <c r="Z66" i="202"/>
  <c r="Z67" i="202"/>
  <c r="Z68" i="202"/>
  <c r="Z69" i="202"/>
  <c r="Z70" i="202"/>
  <c r="Z71" i="202"/>
  <c r="Z72" i="202"/>
  <c r="Z73" i="202"/>
  <c r="Z74" i="202"/>
  <c r="Z75" i="202"/>
  <c r="Z76" i="202"/>
  <c r="Z77" i="202"/>
  <c r="Z78" i="202"/>
  <c r="Z79" i="202"/>
  <c r="Z80" i="202"/>
  <c r="Z81" i="202"/>
  <c r="Z82" i="202"/>
  <c r="Z83" i="202"/>
  <c r="Z84" i="202"/>
  <c r="Z85" i="202"/>
  <c r="Z86" i="202"/>
  <c r="Z87" i="202"/>
  <c r="Z88" i="202"/>
  <c r="Z89" i="202"/>
  <c r="Z90" i="202"/>
  <c r="Z91" i="202"/>
  <c r="Z92" i="202"/>
  <c r="Z93" i="202"/>
  <c r="Z94" i="202"/>
  <c r="Z95" i="202"/>
  <c r="Z96" i="202"/>
  <c r="Z97" i="202"/>
  <c r="Z98" i="202"/>
  <c r="Z99" i="202"/>
  <c r="Z100" i="202"/>
  <c r="Z101" i="202"/>
  <c r="Z102" i="202"/>
  <c r="Z103" i="202"/>
  <c r="Z104" i="202"/>
  <c r="Z105" i="202"/>
  <c r="Z106" i="202"/>
  <c r="Z107" i="202"/>
  <c r="Z108" i="202"/>
  <c r="Z109" i="202"/>
  <c r="Z110" i="202"/>
  <c r="Z111" i="202"/>
  <c r="Z112" i="202"/>
  <c r="Z113" i="202"/>
  <c r="Z114" i="202"/>
  <c r="Z115" i="202"/>
  <c r="Z116" i="202"/>
  <c r="Z117" i="202"/>
  <c r="Z118" i="202"/>
  <c r="Z119" i="202"/>
  <c r="Z120" i="202"/>
  <c r="Z121" i="202"/>
  <c r="Z122" i="202"/>
  <c r="Z123" i="202"/>
  <c r="Z124" i="202"/>
  <c r="Z125" i="202"/>
  <c r="Z126" i="202"/>
  <c r="Z127" i="202"/>
  <c r="Z128" i="202"/>
  <c r="Z129" i="202"/>
  <c r="Z130" i="202"/>
  <c r="Z131" i="202"/>
  <c r="Z132" i="202"/>
  <c r="Z133" i="202"/>
  <c r="Z134" i="202"/>
  <c r="Z135" i="202"/>
  <c r="Z136" i="202"/>
  <c r="Z137" i="202"/>
  <c r="Z138" i="202"/>
  <c r="Z139" i="202"/>
  <c r="Z140" i="202"/>
  <c r="Z141" i="202"/>
  <c r="Z142" i="202"/>
  <c r="Z143" i="202"/>
  <c r="Z144" i="202"/>
  <c r="Z145" i="202"/>
  <c r="Z146" i="202"/>
  <c r="Z147" i="202"/>
  <c r="Z148" i="202"/>
  <c r="Z149" i="202"/>
  <c r="Z150" i="202"/>
  <c r="Z151" i="202"/>
  <c r="Z152" i="202"/>
  <c r="Z153" i="202"/>
  <c r="Z154" i="202"/>
  <c r="Z155" i="202"/>
  <c r="Z156" i="202"/>
  <c r="Z157" i="202"/>
  <c r="Z158" i="202"/>
  <c r="Z159" i="202"/>
  <c r="Z160" i="202"/>
  <c r="Z161" i="202"/>
  <c r="Z162" i="202"/>
  <c r="Z163" i="202"/>
  <c r="Z164" i="202"/>
  <c r="Z165" i="202"/>
  <c r="Z166" i="202"/>
  <c r="Z167" i="202"/>
  <c r="Z168" i="202"/>
  <c r="Z169" i="202"/>
  <c r="Z170" i="202"/>
  <c r="Z171" i="202"/>
  <c r="Z172" i="202"/>
  <c r="Z173" i="202"/>
  <c r="Z174" i="202"/>
  <c r="Z175" i="202"/>
  <c r="Z176" i="202"/>
  <c r="Z177" i="202"/>
  <c r="Z178" i="202"/>
  <c r="Z179" i="202"/>
  <c r="Z180" i="202"/>
  <c r="Z181" i="202"/>
  <c r="Z182" i="202"/>
  <c r="Z183" i="202"/>
  <c r="Z184" i="202"/>
  <c r="Z185" i="202"/>
  <c r="Z186" i="202"/>
  <c r="Z187" i="202"/>
  <c r="Z188" i="202"/>
  <c r="Z189" i="202"/>
  <c r="Z190" i="202"/>
  <c r="Z191" i="202"/>
  <c r="Z192" i="202"/>
  <c r="Z193" i="202"/>
  <c r="Z194" i="202"/>
  <c r="Z195" i="202"/>
  <c r="Z196" i="202"/>
  <c r="Z197" i="202"/>
  <c r="Z198" i="202"/>
  <c r="Z199" i="202"/>
  <c r="Z200" i="202"/>
  <c r="Z201" i="202"/>
  <c r="Z202" i="202"/>
  <c r="Z203" i="202"/>
  <c r="Z204" i="202"/>
  <c r="Z205" i="202"/>
  <c r="Z206" i="202"/>
  <c r="Z207" i="202"/>
  <c r="Z208" i="202"/>
  <c r="Z209" i="202"/>
  <c r="Z210" i="202"/>
  <c r="Z211" i="202"/>
  <c r="Z212" i="202"/>
  <c r="Z213" i="202"/>
  <c r="Z214" i="202"/>
  <c r="Z215" i="202"/>
  <c r="Z216" i="202"/>
  <c r="Z217" i="202"/>
  <c r="Z218" i="202"/>
  <c r="Z219" i="202"/>
  <c r="Z220" i="202"/>
  <c r="Z221" i="202"/>
  <c r="Z222" i="202"/>
  <c r="Z223" i="202"/>
  <c r="Z224" i="202"/>
  <c r="Z225" i="202"/>
  <c r="Z226" i="202"/>
  <c r="Z227" i="202"/>
  <c r="Z228" i="202"/>
  <c r="Z229" i="202"/>
  <c r="Z230" i="202"/>
  <c r="Z231" i="202"/>
  <c r="Z232" i="202"/>
  <c r="Z233" i="202"/>
  <c r="Z234" i="202"/>
  <c r="Z235" i="202"/>
  <c r="Z236" i="202"/>
  <c r="Z237" i="202"/>
  <c r="Z238" i="202"/>
  <c r="Z239" i="202"/>
  <c r="Z240" i="202"/>
  <c r="Z241" i="202"/>
  <c r="Z242" i="202"/>
  <c r="Z243" i="202"/>
  <c r="Z244" i="202"/>
  <c r="Z245" i="202"/>
  <c r="Z246" i="202"/>
  <c r="Z247" i="202"/>
  <c r="Z248" i="202"/>
  <c r="Z249" i="202"/>
  <c r="Z250" i="202"/>
  <c r="Z251" i="202"/>
  <c r="Z252" i="202"/>
  <c r="Z253" i="202"/>
  <c r="Z254" i="202"/>
  <c r="Z255" i="202"/>
  <c r="Z256" i="202"/>
  <c r="Z257" i="202"/>
  <c r="Z258" i="202"/>
  <c r="Z259" i="202"/>
  <c r="Z260" i="202"/>
  <c r="Z261" i="202"/>
  <c r="Z262" i="202"/>
  <c r="Z263" i="202"/>
  <c r="Z264" i="202"/>
  <c r="Z265" i="202"/>
  <c r="Z266" i="202"/>
  <c r="Z267" i="202"/>
  <c r="Z268" i="202"/>
  <c r="Z269" i="202"/>
  <c r="Z270" i="202"/>
  <c r="Z271" i="202"/>
  <c r="Z272" i="202"/>
  <c r="Z273" i="202"/>
  <c r="Z274" i="202"/>
  <c r="Z275" i="202"/>
  <c r="Z276" i="202"/>
  <c r="Z277" i="202"/>
  <c r="Z278" i="202"/>
  <c r="Z279" i="202"/>
  <c r="Z280" i="202"/>
  <c r="Z281" i="202"/>
  <c r="Z282" i="202"/>
  <c r="Z283" i="202"/>
  <c r="Z284" i="202"/>
  <c r="Z285" i="202"/>
  <c r="Z286" i="202"/>
  <c r="Z287" i="202"/>
  <c r="Z288" i="202"/>
  <c r="Z289" i="202"/>
  <c r="Z290" i="202"/>
  <c r="Z291" i="202"/>
  <c r="Z292" i="202"/>
  <c r="Z293" i="202"/>
  <c r="Z294" i="202"/>
  <c r="Z295" i="202"/>
  <c r="Z296" i="202"/>
  <c r="Z297" i="202"/>
  <c r="Z298" i="202"/>
  <c r="Z299" i="202"/>
  <c r="Z300" i="202"/>
  <c r="Z301" i="202"/>
  <c r="Z302" i="202"/>
  <c r="Z303" i="202"/>
  <c r="Z304" i="202"/>
  <c r="Z305" i="202"/>
  <c r="Z306" i="202"/>
  <c r="Z307" i="202"/>
  <c r="Z308" i="202"/>
  <c r="Z309" i="202"/>
  <c r="Z310" i="202"/>
  <c r="Z311" i="202"/>
  <c r="Z312" i="202"/>
  <c r="Z313" i="202"/>
  <c r="Z314" i="202"/>
  <c r="Z315" i="202"/>
  <c r="Z316" i="202"/>
  <c r="Z317" i="202"/>
  <c r="Z318" i="202"/>
  <c r="Z319" i="202"/>
  <c r="Z320" i="202"/>
  <c r="Z321" i="202"/>
  <c r="Z322" i="202"/>
  <c r="Z323" i="202"/>
  <c r="Z324" i="202"/>
  <c r="Z325" i="202"/>
  <c r="Z326" i="202"/>
  <c r="Z327" i="202"/>
  <c r="Z328" i="202"/>
  <c r="Z329" i="202"/>
  <c r="Z330" i="202"/>
  <c r="Z331" i="202"/>
  <c r="Z332" i="202"/>
  <c r="Z333" i="202"/>
  <c r="Z334" i="202"/>
  <c r="Z335" i="202"/>
  <c r="Z336" i="202"/>
  <c r="Z337" i="202"/>
  <c r="Z338" i="202"/>
  <c r="Z339" i="202"/>
  <c r="Z340" i="202"/>
  <c r="Z341" i="202"/>
  <c r="Z342" i="202"/>
  <c r="Z343" i="202"/>
  <c r="Z344" i="202"/>
  <c r="Z345" i="202"/>
  <c r="Z346" i="202"/>
  <c r="Z347" i="202"/>
  <c r="Z348" i="202"/>
  <c r="Z349" i="202"/>
  <c r="Z350" i="202"/>
  <c r="Z351" i="202"/>
  <c r="Z352" i="202"/>
  <c r="Z353" i="202"/>
  <c r="Z354" i="202"/>
  <c r="Z355" i="202"/>
  <c r="Z356" i="202"/>
  <c r="Z357" i="202"/>
  <c r="Z358" i="202"/>
  <c r="Z359" i="202"/>
  <c r="Z360" i="202"/>
  <c r="Z361" i="202"/>
  <c r="Z362" i="202"/>
  <c r="Z363" i="202"/>
  <c r="Z364" i="202"/>
  <c r="Z365" i="202"/>
  <c r="Z366" i="202"/>
  <c r="Z367" i="202"/>
  <c r="Z368" i="202"/>
  <c r="Z369" i="202"/>
  <c r="Z370" i="202"/>
  <c r="Z371" i="202"/>
  <c r="Z372" i="202"/>
  <c r="Z373" i="202"/>
  <c r="Z374" i="202"/>
  <c r="Z375" i="202"/>
  <c r="Z376" i="202"/>
  <c r="Z377" i="202"/>
  <c r="Z378" i="202"/>
  <c r="Z379" i="202"/>
  <c r="Z380" i="202"/>
  <c r="Z381" i="202"/>
  <c r="Z382" i="202"/>
  <c r="Z383" i="202"/>
  <c r="Z384" i="202"/>
  <c r="Z385" i="202"/>
  <c r="Z386" i="202"/>
  <c r="Z387" i="202"/>
  <c r="Z388" i="202"/>
  <c r="Z389" i="202"/>
  <c r="Z390" i="202"/>
  <c r="Z391" i="202"/>
  <c r="Z392" i="202"/>
  <c r="Z393" i="202"/>
  <c r="Z394" i="202"/>
  <c r="Z395" i="202"/>
  <c r="Z396" i="202"/>
  <c r="Z397" i="202"/>
  <c r="Z398" i="202"/>
  <c r="Z399" i="202"/>
  <c r="Z400" i="202"/>
  <c r="Z401" i="202"/>
  <c r="Z402" i="202"/>
  <c r="Z403" i="202"/>
  <c r="Z404" i="202"/>
  <c r="Z405" i="202"/>
  <c r="Z406" i="202"/>
  <c r="Z407" i="202"/>
  <c r="Z408" i="202"/>
  <c r="Z409" i="202"/>
  <c r="Z410" i="202"/>
  <c r="Z411" i="202"/>
  <c r="Z412" i="202"/>
  <c r="Z413" i="202"/>
  <c r="Z414" i="202"/>
  <c r="Z415" i="202"/>
  <c r="Z416" i="202"/>
  <c r="Z417" i="202"/>
  <c r="Z418" i="202"/>
  <c r="Z419" i="202"/>
  <c r="Z420" i="202"/>
  <c r="Z421" i="202"/>
  <c r="Z422" i="202"/>
  <c r="Z423" i="202"/>
  <c r="Z424" i="202"/>
  <c r="Z425" i="202"/>
  <c r="Z426" i="202"/>
  <c r="Z427" i="202"/>
  <c r="Z428" i="202"/>
  <c r="Z429" i="202"/>
  <c r="Z430" i="202"/>
  <c r="Z431" i="202"/>
  <c r="Z432" i="202"/>
  <c r="Z433" i="202"/>
  <c r="Z434" i="202"/>
  <c r="Z435" i="202"/>
  <c r="Z436" i="202"/>
  <c r="Z437" i="202"/>
  <c r="Z438" i="202"/>
  <c r="Z439" i="202"/>
  <c r="Z440" i="202"/>
  <c r="Z441" i="202"/>
  <c r="Z442" i="202"/>
  <c r="Z443" i="202"/>
  <c r="Z444" i="202"/>
  <c r="Z445" i="202"/>
  <c r="Z446" i="202"/>
  <c r="Z447" i="202"/>
  <c r="Z448" i="202"/>
  <c r="Z449" i="202"/>
  <c r="Z450" i="202"/>
  <c r="Z451" i="202"/>
  <c r="Z452" i="202"/>
  <c r="Z453" i="202"/>
  <c r="Z454" i="202"/>
  <c r="Z455" i="202"/>
  <c r="Z456" i="202"/>
  <c r="Z457" i="202"/>
  <c r="Z458" i="202"/>
  <c r="Z459" i="202"/>
  <c r="Z460" i="202"/>
  <c r="Z461" i="202"/>
  <c r="Z462" i="202"/>
  <c r="Z463" i="202"/>
  <c r="Z464" i="202"/>
  <c r="Z465" i="202"/>
  <c r="Z466" i="202"/>
  <c r="Z467" i="202"/>
  <c r="Z468" i="202"/>
  <c r="Z469" i="202"/>
  <c r="Z470" i="202"/>
  <c r="Z471" i="202"/>
  <c r="Z472" i="202"/>
  <c r="Z473" i="202"/>
  <c r="Z474" i="202"/>
  <c r="Z475" i="202"/>
  <c r="Z476" i="202"/>
  <c r="Z477" i="202"/>
  <c r="Z478" i="202"/>
  <c r="Z479" i="202"/>
  <c r="Z480" i="202"/>
  <c r="Z481" i="202"/>
  <c r="Z482" i="202"/>
  <c r="Z483" i="202"/>
  <c r="Z484" i="202"/>
  <c r="Z485" i="202"/>
  <c r="Z486" i="202"/>
  <c r="Z487" i="202"/>
  <c r="Z488" i="202"/>
  <c r="Z489" i="202"/>
  <c r="Z490" i="202"/>
  <c r="Z491" i="202"/>
  <c r="Z492" i="202"/>
  <c r="Z493" i="202"/>
  <c r="Z494" i="202"/>
  <c r="Z495" i="202"/>
  <c r="Z496" i="202"/>
  <c r="Z497" i="202"/>
  <c r="Z498" i="202"/>
  <c r="Z499" i="202"/>
  <c r="Z500" i="202"/>
  <c r="Z501" i="202"/>
  <c r="Z502" i="202"/>
  <c r="Z503" i="202"/>
  <c r="Z504" i="202"/>
  <c r="Z505" i="202"/>
  <c r="Z506" i="202"/>
  <c r="Z507" i="202"/>
  <c r="Z508" i="202"/>
  <c r="Z509" i="202"/>
  <c r="Z510" i="202"/>
  <c r="Z511" i="202"/>
  <c r="Z512" i="202"/>
  <c r="Z513" i="202"/>
  <c r="Z514" i="202"/>
  <c r="Z515" i="202"/>
  <c r="Z516" i="202"/>
  <c r="Z517" i="202"/>
  <c r="Z518" i="202"/>
  <c r="Z519" i="202"/>
  <c r="Z520" i="202"/>
  <c r="Z521" i="202"/>
  <c r="Z522" i="202"/>
  <c r="Z523" i="202"/>
  <c r="Z524" i="202"/>
  <c r="Z525" i="202"/>
  <c r="Z526" i="202"/>
  <c r="Z527" i="202"/>
  <c r="Z528" i="202"/>
  <c r="Z529" i="202"/>
  <c r="Z530" i="202"/>
  <c r="Z531" i="202"/>
  <c r="Z532" i="202"/>
  <c r="Z533" i="202"/>
  <c r="Z534" i="202"/>
  <c r="Z535" i="202"/>
  <c r="Z536" i="202"/>
  <c r="Z537" i="202"/>
  <c r="Z538" i="202"/>
  <c r="Z539" i="202"/>
  <c r="Z540" i="202"/>
  <c r="Z541" i="202"/>
  <c r="Z542" i="202"/>
  <c r="Z543" i="202"/>
  <c r="Z544" i="202"/>
  <c r="Z545" i="202"/>
  <c r="Z546" i="202"/>
  <c r="Z547" i="202"/>
  <c r="Z548" i="202"/>
  <c r="Z549" i="202"/>
  <c r="Z550" i="202"/>
  <c r="Z551" i="202"/>
  <c r="Z552" i="202"/>
  <c r="Z553" i="202"/>
  <c r="Z554" i="202"/>
  <c r="Z555" i="202"/>
  <c r="Z556" i="202"/>
  <c r="Z557" i="202"/>
  <c r="Z558" i="202"/>
  <c r="Z559" i="202"/>
  <c r="Z560" i="202"/>
  <c r="Z561" i="202"/>
  <c r="Z562" i="202"/>
  <c r="Z563" i="202"/>
  <c r="Z564" i="202"/>
  <c r="Z565" i="202"/>
  <c r="Z566" i="202"/>
  <c r="Z567" i="202"/>
  <c r="Z568" i="202"/>
  <c r="Z569" i="202"/>
  <c r="Z570" i="202"/>
  <c r="Z571" i="202"/>
  <c r="Z572" i="202"/>
  <c r="Z573" i="202"/>
  <c r="Z574" i="202"/>
  <c r="Z575" i="202"/>
  <c r="Z576" i="202"/>
  <c r="Z577" i="202"/>
  <c r="Z578" i="202"/>
  <c r="Z579" i="202"/>
  <c r="Z580" i="202"/>
  <c r="Z581" i="202"/>
  <c r="Z582" i="202"/>
  <c r="Z583" i="202"/>
  <c r="Z584" i="202"/>
  <c r="Z585" i="202"/>
  <c r="Z586" i="202"/>
  <c r="Z587" i="202"/>
  <c r="Z588" i="202"/>
  <c r="Z589" i="202"/>
  <c r="Z590" i="202"/>
  <c r="Z591" i="202"/>
  <c r="Z592" i="202"/>
  <c r="Z593" i="202"/>
  <c r="Z594" i="202"/>
  <c r="Z595" i="202"/>
  <c r="Z596" i="202"/>
  <c r="Z597" i="202"/>
  <c r="Z598" i="202"/>
  <c r="Z599" i="202"/>
  <c r="Z600" i="202"/>
  <c r="Z601" i="202"/>
  <c r="Z602" i="202"/>
  <c r="Z603" i="202"/>
  <c r="Z604" i="202"/>
  <c r="Z605" i="202"/>
  <c r="Z606" i="202"/>
  <c r="Z607" i="202"/>
  <c r="Z608" i="202"/>
  <c r="Z609" i="202"/>
  <c r="Z610" i="202"/>
  <c r="Z611" i="202"/>
  <c r="Z612" i="202"/>
  <c r="Z613" i="202"/>
  <c r="Z614" i="202"/>
  <c r="Z615" i="202"/>
  <c r="Z616" i="202"/>
  <c r="Z617" i="202"/>
  <c r="Z618" i="202"/>
  <c r="Z619" i="202"/>
  <c r="Z620" i="202"/>
  <c r="Z621" i="202"/>
  <c r="Z622" i="202"/>
  <c r="Z623" i="202"/>
  <c r="Z624" i="202"/>
  <c r="Z625" i="202"/>
  <c r="Z626" i="202"/>
  <c r="Z627" i="202"/>
  <c r="Z628" i="202"/>
  <c r="Z629" i="202"/>
  <c r="Z630" i="202"/>
  <c r="Z631" i="202"/>
  <c r="Z632" i="202"/>
  <c r="Z633" i="202"/>
  <c r="Z634" i="202"/>
  <c r="Z635" i="202"/>
  <c r="Z636" i="202"/>
  <c r="Z637" i="202"/>
  <c r="Z638" i="202"/>
  <c r="Z639" i="202"/>
  <c r="Z640" i="202"/>
  <c r="Z641" i="202"/>
  <c r="Z642" i="202"/>
  <c r="Z643" i="202"/>
  <c r="Z644" i="202"/>
  <c r="Z645" i="202"/>
  <c r="Z646" i="202"/>
  <c r="Z647" i="202"/>
  <c r="Z648" i="202"/>
  <c r="Z649" i="202"/>
  <c r="Z650" i="202"/>
  <c r="Z651" i="202"/>
  <c r="Z652" i="202"/>
  <c r="Z653" i="202"/>
  <c r="Z654" i="202"/>
  <c r="Z655" i="202"/>
  <c r="Z656" i="202"/>
  <c r="Z657" i="202"/>
  <c r="Z658" i="202"/>
  <c r="Z659" i="202"/>
  <c r="Z660" i="202"/>
  <c r="Z661" i="202"/>
  <c r="Z662" i="202"/>
  <c r="Z663" i="202"/>
  <c r="Z664" i="202"/>
  <c r="Z665" i="202"/>
  <c r="Z666" i="202"/>
  <c r="Z667" i="202"/>
  <c r="Z668" i="202"/>
  <c r="Z669" i="202"/>
  <c r="Z670" i="202"/>
  <c r="Z671" i="202"/>
  <c r="Z672" i="202"/>
  <c r="Z673" i="202"/>
  <c r="Z674" i="202"/>
  <c r="Z675" i="202"/>
  <c r="Z676" i="202"/>
  <c r="Z677" i="202"/>
  <c r="Z678" i="202"/>
  <c r="Z679" i="202"/>
  <c r="Z680" i="202"/>
  <c r="Z681" i="202"/>
  <c r="Z682" i="202"/>
  <c r="Z683" i="202"/>
  <c r="Z684" i="202"/>
  <c r="Z685" i="202"/>
  <c r="Z686" i="202"/>
  <c r="Z687" i="202"/>
  <c r="Z688" i="202"/>
  <c r="Z689" i="202"/>
  <c r="Z690" i="202"/>
  <c r="Z691" i="202"/>
  <c r="Z692" i="202"/>
  <c r="Z693" i="202"/>
  <c r="Z694" i="202"/>
  <c r="Z695" i="202"/>
  <c r="Z696" i="202"/>
  <c r="Z697" i="202"/>
  <c r="Z698" i="202"/>
  <c r="Z699" i="202"/>
  <c r="Z700" i="202"/>
  <c r="Z701" i="202"/>
  <c r="Z702" i="202"/>
  <c r="Z703" i="202"/>
  <c r="Z704" i="202"/>
  <c r="Z705" i="202"/>
  <c r="Z706" i="202"/>
  <c r="Z707" i="202"/>
  <c r="Z708" i="202"/>
  <c r="Z709" i="202"/>
  <c r="Z710" i="202"/>
  <c r="Z711" i="202"/>
  <c r="Z712" i="202"/>
  <c r="Z713" i="202"/>
  <c r="Z714" i="202"/>
  <c r="Z715" i="202"/>
  <c r="Z716" i="202"/>
  <c r="Z717" i="202"/>
  <c r="Z718" i="202"/>
  <c r="Z719" i="202"/>
  <c r="Z720" i="202"/>
  <c r="Z721" i="202"/>
  <c r="Z722" i="202"/>
  <c r="Z723" i="202"/>
  <c r="Z724" i="202"/>
  <c r="Z725" i="202"/>
  <c r="Z726" i="202"/>
  <c r="Z727" i="202"/>
  <c r="Z728" i="202"/>
  <c r="Z729" i="202"/>
  <c r="Z730" i="202"/>
  <c r="Z731" i="202"/>
  <c r="Z732" i="202"/>
  <c r="Z733" i="202"/>
  <c r="Z734" i="202"/>
  <c r="Z735" i="202"/>
  <c r="Z736" i="202"/>
  <c r="Z737" i="202"/>
  <c r="Z738" i="202"/>
  <c r="Z739" i="202"/>
  <c r="Z740" i="202"/>
  <c r="Z741" i="202"/>
  <c r="Z742" i="202"/>
  <c r="Z743" i="202"/>
  <c r="Z744" i="202"/>
  <c r="Z745" i="202"/>
  <c r="Z746" i="202"/>
  <c r="Z747" i="202"/>
  <c r="Z748" i="202"/>
  <c r="Z749" i="202"/>
  <c r="Z750" i="202"/>
  <c r="Z751" i="202"/>
  <c r="Z752" i="202"/>
  <c r="Z753" i="202"/>
  <c r="Z754" i="202"/>
  <c r="Z755" i="202"/>
  <c r="Z756" i="202"/>
  <c r="Z757" i="202"/>
  <c r="Z758" i="202"/>
  <c r="Z759" i="202"/>
  <c r="Z760" i="202"/>
  <c r="Z761" i="202"/>
  <c r="Z762" i="202"/>
  <c r="Z763" i="202"/>
  <c r="Z764" i="202"/>
  <c r="Z765" i="202"/>
  <c r="Z766" i="202"/>
  <c r="Z767" i="202"/>
  <c r="Z768" i="202"/>
  <c r="Z769" i="202"/>
  <c r="Z770" i="202"/>
  <c r="Z771" i="202"/>
  <c r="Z772" i="202"/>
  <c r="Z773" i="202"/>
  <c r="Z774" i="202"/>
  <c r="Z775" i="202"/>
  <c r="Z776" i="202"/>
  <c r="Z777" i="202"/>
  <c r="Z778" i="202"/>
  <c r="Z779" i="202"/>
  <c r="Z780" i="202"/>
  <c r="Z781" i="202"/>
  <c r="Z782" i="202"/>
  <c r="Z783" i="202"/>
  <c r="Z784" i="202"/>
  <c r="Z785" i="202"/>
  <c r="Z786" i="202"/>
  <c r="Z787" i="202"/>
  <c r="Z788" i="202"/>
  <c r="Z789" i="202"/>
  <c r="Z790" i="202"/>
  <c r="Z791" i="202"/>
  <c r="Z792" i="202"/>
  <c r="Z793" i="202"/>
  <c r="Z794" i="202"/>
  <c r="Z795" i="202"/>
  <c r="Z796" i="202"/>
  <c r="Z797" i="202"/>
  <c r="Z798" i="202"/>
  <c r="Z799" i="202"/>
  <c r="Z800" i="202"/>
  <c r="Z801" i="202"/>
  <c r="Z802" i="202"/>
  <c r="Z803" i="202"/>
  <c r="Z804" i="202"/>
  <c r="Z805" i="202"/>
  <c r="Z806" i="202"/>
  <c r="Z807" i="202"/>
  <c r="Z808" i="202"/>
  <c r="Z809" i="202"/>
  <c r="Z810" i="202"/>
  <c r="Z811" i="202"/>
  <c r="Z812" i="202"/>
  <c r="Z813" i="202"/>
  <c r="Z814" i="202"/>
  <c r="Z815" i="202"/>
  <c r="Z816" i="202"/>
  <c r="Z817" i="202"/>
  <c r="Z818" i="202"/>
  <c r="Z819" i="202"/>
  <c r="Z820" i="202"/>
  <c r="Z821" i="202"/>
  <c r="Z822" i="202"/>
  <c r="Z823" i="202"/>
  <c r="Z824" i="202"/>
  <c r="Z825" i="202"/>
  <c r="Z826" i="202"/>
  <c r="Z827" i="202"/>
  <c r="Z828" i="202"/>
  <c r="Z829" i="202"/>
  <c r="Z830" i="202"/>
  <c r="Z831" i="202"/>
  <c r="Z832" i="202"/>
  <c r="Z833" i="202"/>
  <c r="Z834" i="202"/>
  <c r="Z835" i="202"/>
  <c r="Z836" i="202"/>
  <c r="Z837" i="202"/>
  <c r="Z838" i="202"/>
  <c r="Z839" i="202"/>
  <c r="Z840" i="202"/>
  <c r="Z841" i="202"/>
  <c r="Z842" i="202"/>
  <c r="Z843" i="202"/>
  <c r="Z844" i="202"/>
  <c r="Z845" i="202"/>
  <c r="Z846" i="202"/>
  <c r="Z847" i="202"/>
  <c r="Z848" i="202"/>
  <c r="Z849" i="202"/>
  <c r="Z850" i="202"/>
  <c r="Z851" i="202"/>
  <c r="Z852" i="202"/>
  <c r="Z853" i="202"/>
  <c r="Z854" i="202"/>
  <c r="Z855" i="202"/>
  <c r="Z856" i="202"/>
  <c r="Z857" i="202"/>
  <c r="Z858" i="202"/>
  <c r="Z859" i="202"/>
  <c r="Z860" i="202"/>
  <c r="Z861" i="202"/>
  <c r="Z862" i="202"/>
  <c r="Z863" i="202"/>
  <c r="Z864" i="202"/>
  <c r="Z865" i="202"/>
  <c r="Z866" i="202"/>
  <c r="Z867" i="202"/>
  <c r="Z868" i="202"/>
  <c r="Z869" i="202"/>
  <c r="Z870" i="202"/>
  <c r="Z871" i="202"/>
  <c r="Z872" i="202"/>
  <c r="Z873" i="202"/>
  <c r="Z874" i="202"/>
  <c r="Z875" i="202"/>
  <c r="Z876" i="202"/>
  <c r="Z877" i="202"/>
  <c r="Z878" i="202"/>
  <c r="Z879" i="202"/>
  <c r="Z880" i="202"/>
  <c r="Z881" i="202"/>
  <c r="Z882" i="202"/>
  <c r="Z883" i="202"/>
  <c r="Z884" i="202"/>
  <c r="Z885" i="202"/>
  <c r="Z886" i="202"/>
  <c r="Z887" i="202"/>
  <c r="Z888" i="202"/>
  <c r="Z889" i="202"/>
  <c r="Z890" i="202"/>
  <c r="Z891" i="202"/>
  <c r="Z892" i="202"/>
  <c r="Z893" i="202"/>
  <c r="Z894" i="202"/>
  <c r="Z895" i="202"/>
  <c r="Z896" i="202"/>
  <c r="Z897" i="202"/>
  <c r="Z898" i="202"/>
  <c r="Z899" i="202"/>
  <c r="Z900" i="202"/>
  <c r="Z901" i="202"/>
  <c r="Z902" i="202"/>
  <c r="Z903" i="202"/>
  <c r="Z904" i="202"/>
  <c r="Z905" i="202"/>
  <c r="Z906" i="202"/>
  <c r="Z907" i="202"/>
  <c r="Z908" i="202"/>
  <c r="Z909" i="202"/>
  <c r="Z910" i="202"/>
  <c r="Z911" i="202"/>
  <c r="Z912" i="202"/>
  <c r="Z913" i="202"/>
  <c r="Z914" i="202"/>
  <c r="Z915" i="202"/>
  <c r="Z916" i="202"/>
  <c r="Z917" i="202"/>
  <c r="Z918" i="202"/>
  <c r="Z919" i="202"/>
  <c r="Z920" i="202"/>
  <c r="Z921" i="202"/>
  <c r="Z922" i="202"/>
  <c r="Z923" i="202"/>
  <c r="Z924" i="202"/>
  <c r="Z925" i="202"/>
  <c r="Z926" i="202"/>
  <c r="Z927" i="202"/>
  <c r="Z928" i="202"/>
  <c r="Z929" i="202"/>
  <c r="Z930" i="202"/>
  <c r="Z931" i="202"/>
  <c r="Z932" i="202"/>
  <c r="Z933" i="202"/>
  <c r="Z934" i="202"/>
  <c r="Z935" i="202"/>
  <c r="Z936" i="202"/>
  <c r="Z937" i="202"/>
  <c r="Z938" i="202"/>
  <c r="Z939" i="202"/>
  <c r="Z940" i="202"/>
  <c r="Z941" i="202"/>
  <c r="Z942" i="202"/>
  <c r="Z943" i="202"/>
  <c r="Z944" i="202"/>
  <c r="Z945" i="202"/>
  <c r="Z946" i="202"/>
  <c r="Z947" i="202"/>
  <c r="Z948" i="202"/>
  <c r="Z949" i="202"/>
  <c r="Z950" i="202"/>
  <c r="Z951" i="202"/>
  <c r="Z952" i="202"/>
  <c r="Z953" i="202"/>
  <c r="Z954" i="202"/>
  <c r="Z955" i="202"/>
  <c r="Z956" i="202"/>
  <c r="Z957" i="202"/>
  <c r="Z958" i="202"/>
  <c r="Z959" i="202"/>
  <c r="Z960" i="202"/>
  <c r="Z961" i="202"/>
  <c r="Z962" i="202"/>
  <c r="Z963" i="202"/>
  <c r="Z964" i="202"/>
  <c r="Z965" i="202"/>
  <c r="Z966" i="202"/>
  <c r="Z967" i="202"/>
  <c r="Z968" i="202"/>
  <c r="Z969" i="202"/>
  <c r="Z970" i="202"/>
  <c r="Z971" i="202"/>
  <c r="Z972" i="202"/>
  <c r="Z973" i="202"/>
  <c r="Z974" i="202"/>
  <c r="Z975" i="202"/>
  <c r="Z976" i="202"/>
  <c r="Z977" i="202"/>
  <c r="Z978" i="202"/>
  <c r="Z979" i="202"/>
  <c r="Z980" i="202"/>
  <c r="Z981" i="202"/>
  <c r="Z982" i="202"/>
  <c r="Z983" i="202"/>
  <c r="Z984" i="202"/>
  <c r="Z985" i="202"/>
  <c r="Z986" i="202"/>
  <c r="Z987" i="202"/>
  <c r="Z988" i="202"/>
  <c r="Z989" i="202"/>
  <c r="Z990" i="202"/>
  <c r="Z991" i="202"/>
  <c r="Z992" i="202"/>
  <c r="Z993" i="202"/>
  <c r="Z994" i="202"/>
  <c r="Z995" i="202"/>
  <c r="Z996" i="202"/>
  <c r="Z997" i="202"/>
  <c r="Z998" i="202"/>
  <c r="Z999" i="202"/>
  <c r="Z1000" i="202"/>
  <c r="Z1001" i="202"/>
  <c r="Z1002" i="202"/>
  <c r="Z1003" i="202"/>
  <c r="Z1004" i="202"/>
  <c r="Z1005" i="202"/>
  <c r="Z1006" i="202"/>
  <c r="Z1007" i="202"/>
  <c r="Z1008" i="202"/>
  <c r="Z1009" i="202"/>
  <c r="Z1010" i="202"/>
  <c r="Z1011" i="202"/>
  <c r="Z1012" i="202"/>
  <c r="Z1013" i="202"/>
  <c r="Z1014" i="202"/>
  <c r="Z1015" i="202"/>
  <c r="Z1016" i="202"/>
  <c r="Z1017" i="202"/>
  <c r="Z1018" i="202"/>
  <c r="Z1019" i="202"/>
  <c r="Z1020" i="202"/>
  <c r="Z1021" i="202"/>
  <c r="Z1022" i="202"/>
  <c r="Z1023" i="202"/>
  <c r="Z1024" i="202"/>
  <c r="Z1025" i="202"/>
  <c r="Z1026" i="202"/>
  <c r="Z1027" i="202"/>
  <c r="Z1028" i="202"/>
  <c r="Z1029" i="202"/>
  <c r="Z1030" i="202"/>
  <c r="Z1031" i="202"/>
  <c r="Z1032" i="202"/>
  <c r="Z1033" i="202"/>
  <c r="Z1034" i="202"/>
  <c r="Z1035" i="202"/>
  <c r="Z1036" i="202"/>
  <c r="Z1037" i="202"/>
  <c r="Z1038" i="202"/>
  <c r="Z1039" i="202"/>
  <c r="Z1040" i="202"/>
  <c r="Z1041" i="202"/>
  <c r="Z1042" i="202"/>
  <c r="Z1043" i="202"/>
  <c r="Z1044" i="202"/>
  <c r="Z1045" i="202"/>
  <c r="Z1046" i="202"/>
  <c r="Z1047" i="202"/>
  <c r="Z1048" i="202"/>
  <c r="Z1049" i="202"/>
  <c r="Z1050" i="202"/>
  <c r="Z1051" i="202"/>
  <c r="Z1052" i="202"/>
  <c r="Z1053" i="202"/>
  <c r="Z1054" i="202"/>
  <c r="Z1055" i="202"/>
  <c r="Z1056" i="202"/>
  <c r="Z1057" i="202"/>
  <c r="Z1058" i="202"/>
  <c r="Z1059" i="202"/>
  <c r="Z1060" i="202"/>
  <c r="Z1061" i="202"/>
  <c r="Z1062" i="202"/>
  <c r="Z1063" i="202"/>
  <c r="Z1064" i="202"/>
  <c r="Z1065" i="202"/>
  <c r="Z1066" i="202"/>
  <c r="Z1067" i="202"/>
  <c r="Z1068" i="202"/>
  <c r="Z1069" i="202"/>
  <c r="Z1070" i="202"/>
  <c r="Z1071" i="202"/>
  <c r="Z1072" i="202"/>
  <c r="Z1073" i="202"/>
  <c r="Z1074" i="202"/>
  <c r="Z1075" i="202"/>
  <c r="Z1076" i="202"/>
  <c r="Z1077" i="202"/>
  <c r="Z1078" i="202"/>
  <c r="Z1079" i="202"/>
  <c r="Z1080" i="202"/>
  <c r="Z1081" i="202"/>
  <c r="Z1082" i="202"/>
  <c r="Z1083" i="202"/>
  <c r="Z1084" i="202"/>
  <c r="Z1085" i="202"/>
  <c r="Z1086" i="202"/>
  <c r="Z1087" i="202"/>
  <c r="Z1088" i="202"/>
  <c r="Z1089" i="202"/>
  <c r="Z1090" i="202"/>
  <c r="Z1091" i="202"/>
  <c r="Z1092" i="202"/>
  <c r="Z1093" i="202"/>
  <c r="Z1094" i="202"/>
  <c r="Z1095" i="202"/>
  <c r="Z1096" i="202"/>
  <c r="Z1097" i="202"/>
  <c r="Z1098" i="202"/>
  <c r="Z1099" i="202"/>
  <c r="Z1100" i="202"/>
  <c r="Z1101" i="202"/>
  <c r="Z1102" i="202"/>
  <c r="Z1103" i="202"/>
  <c r="Z1104" i="202"/>
  <c r="Z1105" i="202"/>
  <c r="Z1106" i="202"/>
  <c r="Z1107" i="202"/>
  <c r="Z1108" i="202"/>
  <c r="Z1109" i="202"/>
  <c r="Z1110" i="202"/>
  <c r="Z1111" i="202"/>
  <c r="Z1112" i="202"/>
  <c r="Z1113" i="202"/>
  <c r="Z1114" i="202"/>
  <c r="Z1115" i="202"/>
  <c r="Z1116" i="202"/>
  <c r="Z1117" i="202"/>
  <c r="Z1118" i="202"/>
  <c r="Z1119" i="202"/>
  <c r="Z1120" i="202"/>
  <c r="Z1121" i="202"/>
  <c r="Z1122" i="202"/>
  <c r="Z1123" i="202"/>
  <c r="Z1124" i="202"/>
  <c r="Z1125" i="202"/>
  <c r="Z1126" i="202"/>
  <c r="Z1127" i="202"/>
  <c r="Z1128" i="202"/>
  <c r="Z1129" i="202"/>
  <c r="Z1130" i="202"/>
  <c r="Z1131" i="202"/>
  <c r="Z1132" i="202"/>
  <c r="Z1133" i="202"/>
  <c r="Z1134" i="202"/>
  <c r="Z1135" i="202"/>
  <c r="Z1136" i="202"/>
  <c r="Z1137" i="202"/>
  <c r="Z1138" i="202"/>
  <c r="Z1139" i="202"/>
  <c r="Z1140" i="202"/>
  <c r="Z1141" i="202"/>
  <c r="Z1142" i="202"/>
  <c r="Z1143" i="202"/>
  <c r="Z1144" i="202"/>
  <c r="Z1145" i="202"/>
  <c r="Z1146" i="202"/>
  <c r="Z1147" i="202"/>
  <c r="Z1148" i="202"/>
  <c r="Z1149" i="202"/>
  <c r="Z1150" i="202"/>
  <c r="Z1151" i="202"/>
  <c r="Z1152" i="202"/>
  <c r="Z1153" i="202"/>
  <c r="Z1154" i="202"/>
  <c r="Z1155" i="202"/>
  <c r="Z1156" i="202"/>
  <c r="Z1157" i="202"/>
  <c r="Z1158" i="202"/>
  <c r="Z1159" i="202"/>
  <c r="Z1160" i="202"/>
  <c r="Z1161" i="202"/>
  <c r="Z1162" i="202"/>
  <c r="Z1163" i="202"/>
  <c r="Z1164" i="202"/>
  <c r="Z1165" i="202"/>
  <c r="Z1166" i="202"/>
  <c r="Z1167" i="202"/>
  <c r="Z1168" i="202"/>
  <c r="Z1169" i="202"/>
  <c r="Z1170" i="202"/>
  <c r="Z1171" i="202"/>
  <c r="Z1172" i="202"/>
  <c r="Z1173" i="202"/>
  <c r="Z1174" i="202"/>
  <c r="Z1175" i="202"/>
  <c r="Z1176" i="202"/>
  <c r="Z1177" i="202"/>
  <c r="Z1178" i="202"/>
  <c r="Z1179" i="202"/>
  <c r="Z1180" i="202"/>
  <c r="Z1181" i="202"/>
  <c r="Z1182" i="202"/>
  <c r="Z1183" i="202"/>
  <c r="Z1184" i="202"/>
  <c r="Z1185" i="202"/>
  <c r="Z1186" i="202"/>
  <c r="Z1187" i="202"/>
  <c r="Z1188" i="202"/>
  <c r="Z1189" i="202"/>
  <c r="Z1190" i="202"/>
  <c r="Z1191" i="202"/>
  <c r="Z1192" i="202"/>
  <c r="Z1193" i="202"/>
  <c r="Z1194" i="202"/>
  <c r="Z1195" i="202"/>
  <c r="Z1196" i="202"/>
  <c r="Z1197" i="202"/>
  <c r="Z1198" i="202"/>
  <c r="Z1199" i="202"/>
  <c r="Z1200" i="202"/>
  <c r="Z1201" i="202"/>
  <c r="Z1202" i="202"/>
  <c r="Z1203" i="202"/>
  <c r="Z1204" i="202"/>
  <c r="Z1205" i="202"/>
  <c r="Z1206" i="202"/>
  <c r="Z1207" i="202"/>
  <c r="Z1208" i="202"/>
  <c r="Z1209" i="202"/>
  <c r="Z1210" i="202"/>
  <c r="Z1211" i="202"/>
  <c r="Z1212" i="202"/>
  <c r="Z1213" i="202"/>
  <c r="Z1214" i="202"/>
  <c r="Z1215" i="202"/>
  <c r="Z1216" i="202"/>
  <c r="Z1217" i="202"/>
  <c r="Z1218" i="202"/>
  <c r="Z1219" i="202"/>
  <c r="Z1220" i="202"/>
  <c r="Z1221" i="202"/>
  <c r="Z1222" i="202"/>
  <c r="Z1223" i="202"/>
  <c r="Z1224" i="202"/>
  <c r="Z1225" i="202"/>
  <c r="Z1226" i="202"/>
  <c r="Z1227" i="202"/>
  <c r="Z1228" i="202"/>
  <c r="Z1229" i="202"/>
  <c r="Z1230" i="202"/>
  <c r="Z1231" i="202"/>
  <c r="Z1232" i="202"/>
  <c r="Z1233" i="202"/>
  <c r="Z1234" i="202"/>
  <c r="Z1235" i="202"/>
  <c r="Z1236" i="202"/>
  <c r="Z1237" i="202"/>
  <c r="Z1238" i="202"/>
  <c r="Z1239" i="202"/>
  <c r="Z1240" i="202"/>
  <c r="Z1241" i="202"/>
  <c r="Z1242" i="202"/>
  <c r="Z1243" i="202"/>
  <c r="Z1244" i="202"/>
  <c r="Z1245" i="202"/>
  <c r="Z1246" i="202"/>
  <c r="Z1247" i="202"/>
  <c r="Z1248" i="202"/>
  <c r="Z1249" i="202"/>
  <c r="Z1250" i="202"/>
  <c r="Z1251" i="202"/>
  <c r="Z1252" i="202"/>
  <c r="Z1253" i="202"/>
  <c r="Z1254" i="202"/>
  <c r="Z1255" i="202"/>
  <c r="Z1256" i="202"/>
  <c r="Z1257" i="202"/>
  <c r="Z1258" i="202"/>
  <c r="Z1259" i="202"/>
  <c r="Z1260" i="202"/>
  <c r="Z1261" i="202"/>
  <c r="Z1262" i="202"/>
  <c r="Z1263" i="202"/>
  <c r="Z1264" i="202"/>
  <c r="Z1265" i="202"/>
  <c r="Z1266" i="202"/>
  <c r="Z1267" i="202"/>
  <c r="Z1268" i="202"/>
  <c r="Z1269" i="202"/>
  <c r="Z1270" i="202"/>
  <c r="Z1271" i="202"/>
  <c r="Z1272" i="202"/>
  <c r="Z1273" i="202"/>
  <c r="Z1274" i="202"/>
  <c r="Z1275" i="202"/>
  <c r="Z1276" i="202"/>
  <c r="Z1277" i="202"/>
  <c r="Z1278" i="202"/>
  <c r="Z1279" i="202"/>
  <c r="Z1280" i="202"/>
  <c r="Z1281" i="202"/>
  <c r="Z1282" i="202"/>
  <c r="Z1283" i="202"/>
  <c r="Z1284" i="202"/>
  <c r="Z1285" i="202"/>
  <c r="Z1286" i="202"/>
  <c r="Z1287" i="202"/>
  <c r="Z1288" i="202"/>
  <c r="Z1289" i="202"/>
  <c r="Z1290" i="202"/>
  <c r="Z1291" i="202"/>
  <c r="Z1292" i="202"/>
  <c r="Z1293" i="202"/>
  <c r="Z1294" i="202"/>
  <c r="Z1295" i="202"/>
  <c r="Z1296" i="202"/>
  <c r="Z1297" i="202"/>
  <c r="Z1298" i="202"/>
  <c r="Z1299" i="202"/>
  <c r="Z1300" i="202"/>
  <c r="Z1301" i="202"/>
  <c r="Z1302" i="202"/>
  <c r="Z1303" i="202"/>
  <c r="Z1304" i="202"/>
  <c r="Z1305" i="202"/>
  <c r="Z1306" i="202"/>
  <c r="Z1307" i="202"/>
  <c r="Z1308" i="202"/>
  <c r="Z1309" i="202"/>
  <c r="Z1310" i="202"/>
  <c r="Z1311" i="202"/>
  <c r="Z1312" i="202"/>
  <c r="Z1313" i="202"/>
  <c r="Z1314" i="202"/>
  <c r="Z1315" i="202"/>
  <c r="Z1316" i="202"/>
  <c r="Z1317" i="202"/>
  <c r="Z1318" i="202"/>
  <c r="Z1319" i="202"/>
  <c r="Z1320" i="202"/>
  <c r="Z1321" i="202"/>
  <c r="Z1322" i="202"/>
  <c r="Z1323" i="202"/>
  <c r="Z1324" i="202"/>
  <c r="Z1325" i="202"/>
  <c r="Z1326" i="202"/>
  <c r="Z1327" i="202"/>
  <c r="Z1328" i="202"/>
  <c r="Z1329" i="202"/>
  <c r="Z1330" i="202"/>
  <c r="Z1331" i="202"/>
  <c r="Z1332" i="202"/>
  <c r="Z1333" i="202"/>
  <c r="Z1334" i="202"/>
  <c r="Z1335" i="202"/>
  <c r="Z1336" i="202"/>
  <c r="Z1337" i="202"/>
  <c r="Z1338" i="202"/>
  <c r="Z1339" i="202"/>
  <c r="Z1340" i="202"/>
  <c r="Z1341" i="202"/>
  <c r="Z1342" i="202"/>
  <c r="Z1343" i="202"/>
  <c r="Z1344" i="202"/>
  <c r="Z1345" i="202"/>
  <c r="Z1346" i="202"/>
  <c r="Z1347" i="202"/>
  <c r="Z1348" i="202"/>
  <c r="Z1349" i="202"/>
  <c r="Z1350" i="202"/>
  <c r="Z1351" i="202"/>
  <c r="Z1352" i="202"/>
  <c r="Z1353" i="202"/>
  <c r="Z1354" i="202"/>
  <c r="Z1355" i="202"/>
  <c r="Z1356" i="202"/>
  <c r="Z1357" i="202"/>
  <c r="Z1358" i="202"/>
  <c r="Z1359" i="202"/>
  <c r="Z1360" i="202"/>
  <c r="Z1361" i="202"/>
  <c r="Z1362" i="202"/>
  <c r="Z1363" i="202"/>
  <c r="Z1364" i="202"/>
  <c r="Z1365" i="202"/>
  <c r="Z1366" i="202"/>
  <c r="Z1367" i="202"/>
  <c r="Z1368" i="202"/>
  <c r="Z1369" i="202"/>
  <c r="Z1370" i="202"/>
  <c r="Z1371" i="202"/>
  <c r="Z1372" i="202"/>
  <c r="Z1373" i="202"/>
  <c r="Z1374" i="202"/>
  <c r="Z1375" i="202"/>
  <c r="Z1376" i="202"/>
  <c r="Z1377" i="202"/>
  <c r="Z1378" i="202"/>
  <c r="Z1379" i="202"/>
  <c r="Z1380" i="202"/>
  <c r="Z1381" i="202"/>
  <c r="Z1382" i="202"/>
  <c r="Z1383" i="202"/>
  <c r="Z1384" i="202"/>
  <c r="Z1385" i="202"/>
  <c r="Z1386" i="202"/>
  <c r="Z1387" i="202"/>
  <c r="Z1388" i="202"/>
  <c r="Z1389" i="202"/>
  <c r="Z1390" i="202"/>
  <c r="Z1391" i="202"/>
  <c r="Z1392" i="202"/>
  <c r="Z1393" i="202"/>
  <c r="Z1394" i="202"/>
  <c r="Z1395" i="202"/>
  <c r="Z1396" i="202"/>
  <c r="Z1397" i="202"/>
  <c r="Z1398" i="202"/>
  <c r="Z1399" i="202"/>
  <c r="Z1400" i="202"/>
  <c r="Z1401" i="202"/>
  <c r="Z1402" i="202"/>
  <c r="Z1403" i="202"/>
  <c r="Z1404" i="202"/>
  <c r="Z1405" i="202"/>
  <c r="Z1406" i="202"/>
  <c r="Z1407" i="202"/>
  <c r="Z1408" i="202"/>
  <c r="Z1409" i="202"/>
  <c r="Z1410" i="202"/>
  <c r="Z1411" i="202"/>
  <c r="Z1412" i="202"/>
  <c r="Z1413" i="202"/>
  <c r="Z1414" i="202"/>
  <c r="Z1415" i="202"/>
  <c r="Z1416" i="202"/>
  <c r="Z1417" i="202"/>
  <c r="Z1418" i="202"/>
  <c r="Z1419" i="202"/>
  <c r="Z1420" i="202"/>
  <c r="Z1421" i="202"/>
  <c r="Z1422" i="202"/>
  <c r="Z1423" i="202"/>
  <c r="Z1424" i="202"/>
  <c r="Z1425" i="202"/>
  <c r="Z1426" i="202"/>
  <c r="Z1427" i="202"/>
  <c r="Z1428" i="202"/>
  <c r="Z1429" i="202"/>
  <c r="Z1430" i="202"/>
  <c r="Z1431" i="202"/>
  <c r="Z1432" i="202"/>
  <c r="Z1433" i="202"/>
  <c r="Z1434" i="202"/>
  <c r="Z1435" i="202"/>
  <c r="Z1436" i="202"/>
  <c r="Z1437" i="202"/>
  <c r="Z1438" i="202"/>
  <c r="Z1439" i="202"/>
  <c r="Z1440" i="202"/>
  <c r="Z1441" i="202"/>
  <c r="Z1442" i="202"/>
  <c r="Z1443" i="202"/>
  <c r="Z1444" i="202"/>
  <c r="Z1445" i="202"/>
  <c r="Z1446" i="202"/>
  <c r="Z1447" i="202"/>
  <c r="Z1448" i="202"/>
  <c r="Z1449" i="202"/>
  <c r="Z1450" i="202"/>
  <c r="Z1451" i="202"/>
  <c r="Z1452" i="202"/>
  <c r="Z1453" i="202"/>
  <c r="Z1454" i="202"/>
  <c r="Z1455" i="202"/>
  <c r="Z1456" i="202"/>
  <c r="Z1457" i="202"/>
  <c r="Z1458" i="202"/>
  <c r="Z1459" i="202"/>
  <c r="Z1460" i="202"/>
  <c r="Z1461" i="202"/>
  <c r="Z1462" i="202"/>
  <c r="Z1463" i="202"/>
  <c r="Z1464" i="202"/>
  <c r="Z1465" i="202"/>
  <c r="Z1466" i="202"/>
  <c r="Z1467" i="202"/>
  <c r="Z1468" i="202"/>
  <c r="Z1469" i="202"/>
  <c r="Z1470" i="202"/>
  <c r="Z1471" i="202"/>
  <c r="Z1472" i="202"/>
  <c r="Z1473" i="202"/>
  <c r="Z1474" i="202"/>
  <c r="Z1475" i="202"/>
  <c r="Z1476" i="202"/>
  <c r="Z1477" i="202"/>
  <c r="Z1478" i="202"/>
  <c r="Z1479" i="202"/>
  <c r="Z1480" i="202"/>
  <c r="Z1481" i="202"/>
  <c r="Z1482" i="202"/>
  <c r="Z1483" i="202"/>
  <c r="Z1484" i="202"/>
  <c r="Z1485" i="202"/>
  <c r="Z1486" i="202"/>
  <c r="Z1487" i="202"/>
  <c r="Z1488" i="202"/>
  <c r="Z1489" i="202"/>
  <c r="Z1490" i="202"/>
  <c r="Z1491" i="202"/>
  <c r="Z1492" i="202"/>
  <c r="Z1493" i="202"/>
  <c r="Z1494" i="202"/>
  <c r="Z1495" i="202"/>
  <c r="Z1496" i="202"/>
  <c r="Z1497" i="202"/>
  <c r="Z1498" i="202"/>
  <c r="Z1499" i="202"/>
  <c r="Z1500" i="202"/>
  <c r="Z1501" i="202"/>
  <c r="Z1502" i="202"/>
  <c r="Z1503" i="202"/>
  <c r="Z1504" i="202"/>
  <c r="Z1505" i="202"/>
  <c r="Z1506" i="202"/>
  <c r="Z1507" i="202"/>
  <c r="Z1508" i="202"/>
  <c r="Z1509" i="202"/>
  <c r="Z1510" i="202"/>
  <c r="Z1511" i="202"/>
  <c r="Z1512" i="202"/>
  <c r="Z1513" i="202"/>
  <c r="Z1514" i="202"/>
  <c r="Z1515" i="202"/>
  <c r="Z1516" i="202"/>
  <c r="Z1517" i="202"/>
  <c r="Z1518" i="202"/>
  <c r="Z1519" i="202"/>
  <c r="Z1520" i="202"/>
  <c r="Z1521" i="202"/>
  <c r="Z1522" i="202"/>
  <c r="Z1523" i="202"/>
  <c r="Z1524" i="202"/>
  <c r="Z1525" i="202"/>
  <c r="Z1526" i="202"/>
  <c r="Z1527" i="202"/>
  <c r="Z1528" i="202"/>
  <c r="Z1529" i="202"/>
  <c r="Z1530" i="202"/>
  <c r="Z1531" i="202"/>
  <c r="Z1532" i="202"/>
  <c r="Z1533" i="202"/>
  <c r="Z1534" i="202"/>
  <c r="Z1535" i="202"/>
  <c r="Z1536" i="202"/>
  <c r="Z1537" i="202"/>
  <c r="Z1538" i="202"/>
  <c r="Z1539" i="202"/>
  <c r="Z1540" i="202"/>
  <c r="Z1541" i="202"/>
  <c r="Z1542" i="202"/>
  <c r="Z1543" i="202"/>
  <c r="Z1544" i="202"/>
  <c r="Z1545" i="202"/>
  <c r="Z1546" i="202"/>
  <c r="Z1547" i="202"/>
  <c r="Z1548" i="202"/>
  <c r="Z1549" i="202"/>
  <c r="Z1550" i="202"/>
  <c r="Z1551" i="202"/>
  <c r="Z1552" i="202"/>
  <c r="Z1553" i="202"/>
  <c r="Z1554" i="202"/>
  <c r="Z1555" i="202"/>
  <c r="Z1556" i="202"/>
  <c r="Z1557" i="202"/>
  <c r="Z1558" i="202"/>
  <c r="Z1559" i="202"/>
  <c r="Z1560" i="202"/>
  <c r="Z1561" i="202"/>
  <c r="Z1562" i="202"/>
  <c r="Z1563" i="202"/>
  <c r="Z1564" i="202"/>
  <c r="Z1565" i="202"/>
  <c r="Z1566" i="202"/>
  <c r="Z1567" i="202"/>
  <c r="Z1568" i="202"/>
  <c r="Z1569" i="202"/>
  <c r="Z1570" i="202"/>
  <c r="Z1571" i="202"/>
  <c r="Z1572" i="202"/>
  <c r="Z1573" i="202"/>
  <c r="Z1574" i="202"/>
  <c r="Z1575" i="202"/>
  <c r="Z1576" i="202"/>
  <c r="Z1577" i="202"/>
  <c r="Z1578" i="202"/>
  <c r="Z1579" i="202"/>
  <c r="Z1580" i="202"/>
  <c r="Z1581" i="202"/>
  <c r="Z1582" i="202"/>
  <c r="Z1583" i="202"/>
  <c r="Z1584" i="202"/>
  <c r="Z1585" i="202"/>
  <c r="Z1586" i="202"/>
  <c r="Z1587" i="202"/>
  <c r="Z1588" i="202"/>
  <c r="Z1589" i="202"/>
  <c r="Z1590" i="202"/>
  <c r="Z1591" i="202"/>
  <c r="Z1592" i="202"/>
  <c r="Z1593" i="202"/>
  <c r="Z1594" i="202"/>
  <c r="Z1595" i="202"/>
  <c r="Z1596" i="202"/>
  <c r="Z1597" i="202"/>
  <c r="Z1598" i="202"/>
  <c r="Z1599" i="202"/>
  <c r="Z1600" i="202"/>
  <c r="Z1601" i="202"/>
  <c r="Z1602" i="202"/>
  <c r="Z1603" i="202"/>
  <c r="Z1604" i="202"/>
  <c r="Z1605" i="202"/>
  <c r="Z1606" i="202"/>
  <c r="Z1607" i="202"/>
  <c r="Z1608" i="202"/>
  <c r="Z1609" i="202"/>
  <c r="Z1610" i="202"/>
  <c r="Z1611" i="202"/>
  <c r="Z1612" i="202"/>
  <c r="Z1613" i="202"/>
  <c r="Z1614" i="202"/>
  <c r="Z1615" i="202"/>
  <c r="Z1616" i="202"/>
  <c r="Z1617" i="202"/>
  <c r="Z1618" i="202"/>
  <c r="Z1619" i="202"/>
  <c r="Z1620" i="202"/>
  <c r="Z1621" i="202"/>
  <c r="Z1622" i="202"/>
  <c r="Z1623" i="202"/>
  <c r="Z1624" i="202"/>
  <c r="Z1625" i="202"/>
  <c r="Z1626" i="202"/>
  <c r="Z1627" i="202"/>
  <c r="Z1628" i="202"/>
  <c r="Z1629" i="202"/>
  <c r="Z1630" i="202"/>
  <c r="Z1631" i="202"/>
  <c r="Z1632" i="202"/>
  <c r="Z1633" i="202"/>
  <c r="Z1634" i="202"/>
  <c r="Z1635" i="202"/>
  <c r="Z1636" i="202"/>
  <c r="Z1637" i="202"/>
  <c r="Z1638" i="202"/>
  <c r="Z1639" i="202"/>
  <c r="Z1640" i="202"/>
  <c r="Z1641" i="202"/>
  <c r="Z1642" i="202"/>
  <c r="Z1643" i="202"/>
  <c r="Z1644" i="202"/>
  <c r="Z1645" i="202"/>
  <c r="Z1646" i="202"/>
  <c r="Z1647" i="202"/>
  <c r="Z1648" i="202"/>
  <c r="Z1649" i="202"/>
  <c r="Z1650" i="202"/>
  <c r="Z1651" i="202"/>
  <c r="Z1652" i="202"/>
  <c r="Z1653" i="202"/>
  <c r="Z1654" i="202"/>
  <c r="Z1655" i="202"/>
  <c r="Z1656" i="202"/>
  <c r="Z1657" i="202"/>
  <c r="Z1658" i="202"/>
  <c r="Z1659" i="202"/>
  <c r="Z1660" i="202"/>
  <c r="Z1661" i="202"/>
  <c r="Z1662" i="202"/>
  <c r="Z1663" i="202"/>
  <c r="Z1664" i="202"/>
  <c r="Z1665" i="202"/>
  <c r="Z1666" i="202"/>
  <c r="Z1667" i="202"/>
  <c r="Z1668" i="202"/>
  <c r="Z1669" i="202"/>
  <c r="Z1670" i="202"/>
  <c r="Z1671" i="202"/>
  <c r="Z1672" i="202"/>
  <c r="Z1673" i="202"/>
  <c r="Z1674" i="202"/>
  <c r="Z1675" i="202"/>
  <c r="Z1676" i="202"/>
  <c r="Z1677" i="202"/>
  <c r="Z1678" i="202"/>
  <c r="Z1679" i="202"/>
  <c r="Z1680" i="202"/>
  <c r="Z1681" i="202"/>
  <c r="Z1682" i="202"/>
  <c r="Z1683" i="202"/>
  <c r="Z1684" i="202"/>
  <c r="Z1685" i="202"/>
  <c r="Z1686" i="202"/>
  <c r="Z1687" i="202"/>
  <c r="Z1688" i="202"/>
  <c r="Z1689" i="202"/>
  <c r="Z1690" i="202"/>
  <c r="Z1691" i="202"/>
  <c r="Z1692" i="202"/>
  <c r="Z1693" i="202"/>
  <c r="Z1694" i="202"/>
  <c r="Z1695" i="202"/>
  <c r="Z1696" i="202"/>
  <c r="Z1697" i="202"/>
  <c r="Z1698" i="202"/>
  <c r="Z1699" i="202"/>
  <c r="Z1700" i="202"/>
  <c r="Z1701" i="202"/>
  <c r="Z1702" i="202"/>
  <c r="Z1703" i="202"/>
  <c r="Z1704" i="202"/>
  <c r="Z1705" i="202"/>
  <c r="Z1706" i="202"/>
  <c r="Z1707" i="202"/>
  <c r="Z1708" i="202"/>
  <c r="Z1709" i="202"/>
  <c r="Z1710" i="202"/>
  <c r="Z1711" i="202"/>
  <c r="Z1712" i="202"/>
  <c r="Z1713" i="202"/>
  <c r="Z1714" i="202"/>
  <c r="Z1715" i="202"/>
  <c r="Z1716" i="202"/>
  <c r="Z1717" i="202"/>
  <c r="Z1718" i="202"/>
  <c r="Z1719" i="202"/>
  <c r="Z1720" i="202"/>
  <c r="Z1721" i="202"/>
  <c r="Z1722" i="202"/>
  <c r="Z1723" i="202"/>
  <c r="Z1724" i="202"/>
  <c r="Z1725" i="202"/>
  <c r="Z1726" i="202"/>
  <c r="Z1727" i="202"/>
  <c r="Z1728" i="202"/>
  <c r="Z1729" i="202"/>
  <c r="Z1730" i="202"/>
  <c r="Z1731" i="202"/>
  <c r="Z1732" i="202"/>
  <c r="Z1733" i="202"/>
  <c r="Z1734" i="202"/>
  <c r="Z1735" i="202"/>
  <c r="Z1736" i="202"/>
  <c r="Z1737" i="202"/>
  <c r="Z1738" i="202"/>
  <c r="Z1739" i="202"/>
  <c r="Z1740" i="202"/>
  <c r="Z1741" i="202"/>
  <c r="Z1742" i="202"/>
  <c r="Z1743" i="202"/>
  <c r="Z1744" i="202"/>
  <c r="Z1745" i="202"/>
  <c r="Z1746" i="202"/>
  <c r="Z1747" i="202"/>
  <c r="Z1748" i="202"/>
  <c r="Z1749" i="202"/>
  <c r="Z1750" i="202"/>
  <c r="Z1751" i="202"/>
  <c r="Z1752" i="202"/>
  <c r="Z1753" i="202"/>
  <c r="Z1754" i="202"/>
  <c r="Z1755" i="202"/>
  <c r="Z1756" i="202"/>
  <c r="Z1757" i="202"/>
  <c r="Z1758" i="202"/>
  <c r="Z1759" i="202"/>
  <c r="Z1760" i="202"/>
  <c r="Z1761" i="202"/>
  <c r="Z1762" i="202"/>
  <c r="Z1763" i="202"/>
  <c r="Z1764" i="202"/>
  <c r="Z1765" i="202"/>
  <c r="Z1766" i="202"/>
  <c r="Z1767" i="202"/>
  <c r="Z1768" i="202"/>
  <c r="Z1769" i="202"/>
  <c r="Z1770" i="202"/>
  <c r="Z1771" i="202"/>
  <c r="Z1772" i="202"/>
  <c r="Z1773" i="202"/>
  <c r="Z1774" i="202"/>
  <c r="Z1775" i="202"/>
  <c r="Z1776" i="202"/>
  <c r="Z1777" i="202"/>
  <c r="Z1778" i="202"/>
  <c r="Z1779" i="202"/>
  <c r="Z1780" i="202"/>
  <c r="Z1781" i="202"/>
  <c r="Z1782" i="202"/>
  <c r="Z1783" i="202"/>
  <c r="Z1784" i="202"/>
  <c r="Z1785" i="202"/>
  <c r="Z1786" i="202"/>
  <c r="Z1787" i="202"/>
  <c r="Z1788" i="202"/>
  <c r="Z1789" i="202"/>
  <c r="Z1790" i="202"/>
  <c r="Z1791" i="202"/>
  <c r="Z1792" i="202"/>
  <c r="Z1793" i="202"/>
  <c r="Z1794" i="202"/>
  <c r="Z1795" i="202"/>
  <c r="Z1796" i="202"/>
  <c r="Z1797" i="202"/>
  <c r="Z1798" i="202"/>
  <c r="Z1799" i="202"/>
  <c r="Z1800" i="202"/>
  <c r="Z1801" i="202"/>
  <c r="Z1802" i="202"/>
  <c r="Z1803" i="202"/>
  <c r="Z1804" i="202"/>
  <c r="Z1805" i="202"/>
  <c r="Z1806" i="202"/>
  <c r="Z1807" i="202"/>
  <c r="Z1808" i="202"/>
  <c r="Z1809" i="202"/>
  <c r="Z1810" i="202"/>
  <c r="Z1811" i="202"/>
  <c r="Z1812" i="202"/>
  <c r="Z1813" i="202"/>
  <c r="Z1814" i="202"/>
  <c r="Z1815" i="202"/>
  <c r="Z1816" i="202"/>
  <c r="Z1817" i="202"/>
  <c r="Z1818" i="202"/>
  <c r="Z1819" i="202"/>
  <c r="Z1820" i="202"/>
  <c r="Z1821" i="202"/>
  <c r="Z1822" i="202"/>
  <c r="Z1823" i="202"/>
  <c r="Z1824" i="202"/>
  <c r="Z1825" i="202"/>
  <c r="Z1826" i="202"/>
  <c r="Z1827" i="202"/>
  <c r="Z1828" i="202"/>
  <c r="Z1829" i="202"/>
  <c r="Z1830" i="202"/>
  <c r="Z1831" i="202"/>
  <c r="Z1832" i="202"/>
  <c r="Z1833" i="202"/>
  <c r="Z1834" i="202"/>
  <c r="Z1835" i="202"/>
  <c r="Z1836" i="202"/>
  <c r="Z1837" i="202"/>
  <c r="Z1838" i="202"/>
  <c r="Z1839" i="202"/>
  <c r="Z1840" i="202"/>
  <c r="Z1841" i="202"/>
  <c r="Z1842" i="202"/>
  <c r="Z1843" i="202"/>
  <c r="Z1844" i="202"/>
  <c r="Z1845" i="202"/>
  <c r="Z1846" i="202"/>
  <c r="Z1847" i="202"/>
  <c r="Z1848" i="202"/>
  <c r="Z1849" i="202"/>
  <c r="Z1850" i="202"/>
  <c r="Z1851" i="202"/>
  <c r="Z1852" i="202"/>
  <c r="Z1853" i="202"/>
  <c r="Z1854" i="202"/>
  <c r="Z1855" i="202"/>
  <c r="Z1856" i="202"/>
  <c r="Z1857" i="202"/>
  <c r="Z1858" i="202"/>
  <c r="Z1859" i="202"/>
  <c r="Z1860" i="202"/>
  <c r="Z1861" i="202"/>
  <c r="Z1862" i="202"/>
  <c r="Z1863" i="202"/>
  <c r="Z1864" i="202"/>
  <c r="Z1865" i="202"/>
  <c r="Z1866" i="202"/>
  <c r="Z1867" i="202"/>
  <c r="Z1868" i="202"/>
  <c r="Z1869" i="202"/>
  <c r="Z1870" i="202"/>
  <c r="Z1871" i="202"/>
  <c r="Z1872" i="202"/>
  <c r="Z1873" i="202"/>
  <c r="Z1874" i="202"/>
  <c r="Z1875" i="202"/>
  <c r="Z1876" i="202"/>
  <c r="Z1877" i="202"/>
  <c r="Z1878" i="202"/>
  <c r="Z1879" i="202"/>
  <c r="Z1880" i="202"/>
  <c r="Z1881" i="202"/>
  <c r="Z1882" i="202"/>
  <c r="Z1883" i="202"/>
  <c r="Z1884" i="202"/>
  <c r="Z1885" i="202"/>
  <c r="Z1886" i="202"/>
  <c r="Z1887" i="202"/>
  <c r="Z1888" i="202"/>
  <c r="Z1889" i="202"/>
  <c r="Z1890" i="202"/>
  <c r="Z1891" i="202"/>
  <c r="Z1892" i="202"/>
  <c r="Z1893" i="202"/>
  <c r="Z1894" i="202"/>
  <c r="Z1895" i="202"/>
  <c r="Z1896" i="202"/>
  <c r="Z1897" i="202"/>
  <c r="Z1898" i="202"/>
  <c r="Z1899" i="202"/>
  <c r="Z1900" i="202"/>
  <c r="Z1901" i="202"/>
  <c r="Z1902" i="202"/>
  <c r="Z1903" i="202"/>
  <c r="Z1904" i="202"/>
  <c r="Z1905" i="202"/>
  <c r="Z1906" i="202"/>
  <c r="Z1907" i="202"/>
  <c r="Z1908" i="202"/>
  <c r="Z1909" i="202"/>
  <c r="Z1910" i="202"/>
  <c r="Z1911" i="202"/>
  <c r="Z1912" i="202"/>
  <c r="Z1913" i="202"/>
  <c r="Z1914" i="202"/>
  <c r="Z1915" i="202"/>
  <c r="Z1916" i="202"/>
  <c r="Z1917" i="202"/>
  <c r="Z1918" i="202"/>
  <c r="Z1919" i="202"/>
  <c r="Z1920" i="202"/>
  <c r="Z1921" i="202"/>
  <c r="Z1922" i="202"/>
  <c r="Z1923" i="202"/>
  <c r="Z1924" i="202"/>
  <c r="Z1925" i="202"/>
  <c r="Z1926" i="202"/>
  <c r="Z1927" i="202"/>
  <c r="Z1928" i="202"/>
  <c r="Z1929" i="202"/>
  <c r="Z1930" i="202"/>
  <c r="Z1931" i="202"/>
  <c r="Z1932" i="202"/>
  <c r="Z1933" i="202"/>
  <c r="Z1934" i="202"/>
  <c r="Z1935" i="202"/>
  <c r="Z1936" i="202"/>
  <c r="Z1937" i="202"/>
  <c r="Z1938" i="202"/>
  <c r="Z1939" i="202"/>
  <c r="Z1940" i="202"/>
  <c r="Z1941" i="202"/>
  <c r="Z1942" i="202"/>
  <c r="Z1943" i="202"/>
  <c r="Z1944" i="202"/>
  <c r="Z1945" i="202"/>
  <c r="Z1946" i="202"/>
  <c r="Z1947" i="202"/>
  <c r="Z1948" i="202"/>
  <c r="Z1949" i="202"/>
  <c r="Z1950" i="202"/>
  <c r="Z1951" i="202"/>
  <c r="Z1952" i="202"/>
  <c r="Z1953" i="202"/>
  <c r="Z1954" i="202"/>
  <c r="Z1955" i="202"/>
  <c r="Z1956" i="202"/>
  <c r="Z1957" i="202"/>
  <c r="Z1958" i="202"/>
  <c r="Z1959" i="202"/>
  <c r="Z1960" i="202"/>
  <c r="Z1961" i="202"/>
  <c r="Z1962" i="202"/>
  <c r="Z1963" i="202"/>
  <c r="Z1964" i="202"/>
  <c r="Z1965" i="202"/>
  <c r="Z1966" i="202"/>
  <c r="Z1967" i="202"/>
  <c r="Z1968" i="202"/>
  <c r="Z1969" i="202"/>
  <c r="Z1970" i="202"/>
  <c r="Z1971" i="202"/>
  <c r="Z1972" i="202"/>
  <c r="Z1973" i="202"/>
  <c r="Z1974" i="202"/>
  <c r="Z1975" i="202"/>
  <c r="Z1976" i="202"/>
  <c r="Z1977" i="202"/>
  <c r="Z1978" i="202"/>
  <c r="Z1979" i="202"/>
  <c r="Z1980" i="202"/>
  <c r="Z1981" i="202"/>
  <c r="Z1982" i="202"/>
  <c r="Z1983" i="202"/>
  <c r="Z1984" i="202"/>
  <c r="Z1985" i="202"/>
  <c r="Z1986" i="202"/>
  <c r="Z1987" i="202"/>
  <c r="Z1988" i="202"/>
  <c r="Z1989" i="202"/>
  <c r="Z1990" i="202"/>
  <c r="Z1991" i="202"/>
  <c r="Z1992" i="202"/>
  <c r="Z1993" i="202"/>
  <c r="Z1994" i="202"/>
  <c r="Z1995" i="202"/>
  <c r="Z1996" i="202"/>
  <c r="Z1997" i="202"/>
  <c r="Z1998" i="202"/>
  <c r="Z1999" i="202"/>
  <c r="Z2000" i="202"/>
  <c r="Z2001" i="202"/>
  <c r="Z2002" i="202"/>
  <c r="Z2003" i="202"/>
  <c r="Z2004" i="202"/>
  <c r="Z2005" i="202"/>
  <c r="Z2006" i="202"/>
  <c r="Z2007" i="202"/>
  <c r="Z2008" i="202"/>
  <c r="Z2009" i="202"/>
  <c r="Z2010" i="202"/>
  <c r="Z2011" i="202"/>
  <c r="Z2012" i="202"/>
  <c r="Z2013" i="202"/>
  <c r="Z2014" i="202"/>
  <c r="Z2015" i="202"/>
  <c r="Z2016" i="202"/>
  <c r="Z2017" i="202"/>
  <c r="Z2018" i="202"/>
  <c r="Z2019" i="202"/>
  <c r="Z2020" i="202"/>
  <c r="Z2021" i="202"/>
  <c r="Z2022" i="202"/>
  <c r="Z2023" i="202"/>
  <c r="Z2024" i="202"/>
  <c r="Z2025" i="202"/>
  <c r="Z2026" i="202"/>
  <c r="Z2027" i="202"/>
  <c r="Z2028" i="202"/>
  <c r="Z2029" i="202"/>
  <c r="Z2030" i="202"/>
  <c r="Z2031" i="202"/>
  <c r="Z2032" i="202"/>
  <c r="Z2033" i="202"/>
  <c r="Z2034" i="202"/>
  <c r="Z2035" i="202"/>
  <c r="Z2036" i="202"/>
  <c r="Z2037" i="202"/>
  <c r="Z2038" i="202"/>
  <c r="Z2039" i="202"/>
  <c r="Z2040" i="202"/>
  <c r="Z2041" i="202"/>
  <c r="Z2042" i="202"/>
  <c r="Z2043" i="202"/>
  <c r="Z2044" i="202"/>
  <c r="Z2045" i="202"/>
  <c r="Z2046" i="202"/>
  <c r="Z2047" i="202"/>
  <c r="Z2048" i="202"/>
  <c r="BA2" i="202"/>
  <c r="BA3" i="202"/>
  <c r="BA4" i="202"/>
  <c r="BA5" i="202"/>
  <c r="BA6" i="202"/>
  <c r="BA7" i="202"/>
  <c r="BA8" i="202"/>
  <c r="BA9" i="202"/>
  <c r="BA10" i="202"/>
  <c r="BA11" i="202"/>
  <c r="BA12" i="202"/>
  <c r="BA13" i="202"/>
  <c r="BA14" i="202"/>
  <c r="BA15" i="202"/>
  <c r="BA16" i="202"/>
  <c r="BA17" i="202"/>
  <c r="BA18" i="202"/>
  <c r="BA19" i="202"/>
  <c r="BA20" i="202"/>
  <c r="BA21" i="202"/>
  <c r="BA22" i="202"/>
  <c r="BA23" i="202"/>
  <c r="BA24" i="202"/>
  <c r="BA25" i="202"/>
  <c r="BA26" i="202"/>
  <c r="BA27" i="202"/>
  <c r="BA28" i="202"/>
  <c r="BA29" i="202"/>
  <c r="BA30" i="202"/>
  <c r="BA31" i="202"/>
  <c r="BA32" i="202"/>
  <c r="BA33" i="202"/>
  <c r="BA34" i="202"/>
  <c r="BA35" i="202"/>
  <c r="BA36" i="202"/>
  <c r="BA37" i="202"/>
  <c r="BA38" i="202"/>
  <c r="BA39" i="202"/>
  <c r="BA40" i="202"/>
  <c r="BA41" i="202"/>
  <c r="BA42" i="202"/>
  <c r="BA43" i="202"/>
  <c r="BA44" i="202"/>
  <c r="BA45" i="202"/>
  <c r="BA46" i="202"/>
  <c r="BA47" i="202"/>
  <c r="BA48" i="202"/>
  <c r="BA49" i="202"/>
  <c r="BA50" i="202"/>
  <c r="BA51" i="202"/>
  <c r="BA52" i="202"/>
  <c r="BA53" i="202"/>
  <c r="BA54" i="202"/>
  <c r="BA55" i="202"/>
  <c r="BA56" i="202"/>
  <c r="BA57" i="202"/>
  <c r="BA58" i="202"/>
  <c r="BA59" i="202"/>
  <c r="BA60" i="202"/>
  <c r="BA61" i="202"/>
  <c r="BA62" i="202"/>
  <c r="BA63" i="202"/>
  <c r="BA64" i="202"/>
  <c r="BA65" i="202"/>
  <c r="BA66" i="202"/>
  <c r="BA67" i="202"/>
  <c r="BA68" i="202"/>
  <c r="BA69" i="202"/>
  <c r="BA70" i="202"/>
  <c r="BA71" i="202"/>
  <c r="BA72" i="202"/>
  <c r="BA73" i="202"/>
  <c r="BA74" i="202"/>
  <c r="BA75" i="202"/>
  <c r="BA76" i="202"/>
  <c r="BA77" i="202"/>
  <c r="BA78" i="202"/>
  <c r="BA79" i="202"/>
  <c r="BA80" i="202"/>
  <c r="BA81" i="202"/>
  <c r="BA82" i="202"/>
  <c r="BA83" i="202"/>
  <c r="BA84" i="202"/>
  <c r="BA85" i="202"/>
  <c r="BA86" i="202"/>
  <c r="BA87" i="202"/>
  <c r="BA88" i="202"/>
  <c r="BA89" i="202"/>
  <c r="BA90" i="202"/>
  <c r="BA91" i="202"/>
  <c r="BA92" i="202"/>
  <c r="BA93" i="202"/>
  <c r="BA94" i="202"/>
  <c r="BA95" i="202"/>
  <c r="BA96" i="202"/>
  <c r="BA97" i="202"/>
  <c r="BA98" i="202"/>
  <c r="BA99" i="202"/>
  <c r="BA100" i="202"/>
  <c r="BA101" i="202"/>
  <c r="BA102" i="202"/>
  <c r="BA103" i="202"/>
  <c r="BA104" i="202"/>
  <c r="BA105" i="202"/>
  <c r="BA106" i="202"/>
  <c r="BA107" i="202"/>
  <c r="BA108" i="202"/>
  <c r="BA109" i="202"/>
  <c r="BA110" i="202"/>
  <c r="BA111" i="202"/>
  <c r="BA112" i="202"/>
  <c r="BA113" i="202"/>
  <c r="BA114" i="202"/>
  <c r="BA115" i="202"/>
  <c r="BA116" i="202"/>
  <c r="BA117" i="202"/>
  <c r="BA118" i="202"/>
  <c r="BA119" i="202"/>
  <c r="BA120" i="202"/>
  <c r="BA121" i="202"/>
  <c r="BA122" i="202"/>
  <c r="BA123" i="202"/>
  <c r="BA124" i="202"/>
  <c r="BA125" i="202"/>
  <c r="BA126" i="202"/>
  <c r="BA127" i="202"/>
  <c r="BA128" i="202"/>
  <c r="BA129" i="202"/>
  <c r="BA130" i="202"/>
  <c r="BA131" i="202"/>
  <c r="BA132" i="202"/>
  <c r="BA133" i="202"/>
  <c r="BA134" i="202"/>
  <c r="BA135" i="202"/>
  <c r="BA136" i="202"/>
  <c r="BA137" i="202"/>
  <c r="BA138" i="202"/>
  <c r="BA139" i="202"/>
  <c r="BA140" i="202"/>
  <c r="BA141" i="202"/>
  <c r="BA142" i="202"/>
  <c r="BA143" i="202"/>
  <c r="BA144" i="202"/>
  <c r="BA145" i="202"/>
  <c r="BA146" i="202"/>
  <c r="BA147" i="202"/>
  <c r="BA148" i="202"/>
  <c r="BA149" i="202"/>
  <c r="BA150" i="202"/>
  <c r="BA151" i="202"/>
  <c r="BA152" i="202"/>
  <c r="BA153" i="202"/>
  <c r="BA154" i="202"/>
  <c r="BA155" i="202"/>
  <c r="BA156" i="202"/>
  <c r="BA157" i="202"/>
  <c r="BA158" i="202"/>
  <c r="BA159" i="202"/>
  <c r="BA160" i="202"/>
  <c r="BA161" i="202"/>
  <c r="BA162" i="202"/>
  <c r="BA163" i="202"/>
  <c r="BA164" i="202"/>
  <c r="BA165" i="202"/>
  <c r="BA166" i="202"/>
  <c r="BA167" i="202"/>
  <c r="BA168" i="202"/>
  <c r="BA169" i="202"/>
  <c r="BA170" i="202"/>
  <c r="BA171" i="202"/>
  <c r="BA172" i="202"/>
  <c r="BA173" i="202"/>
  <c r="BA174" i="202"/>
  <c r="BA175" i="202"/>
  <c r="BA176" i="202"/>
  <c r="BA177" i="202"/>
  <c r="BA178" i="202"/>
  <c r="BA179" i="202"/>
  <c r="BA180" i="202"/>
  <c r="BA181" i="202"/>
  <c r="BA182" i="202"/>
  <c r="BA183" i="202"/>
  <c r="BA184" i="202"/>
  <c r="BA185" i="202"/>
  <c r="BA186" i="202"/>
  <c r="BA187" i="202"/>
  <c r="BA188" i="202"/>
  <c r="BA189" i="202"/>
  <c r="BA190" i="202"/>
  <c r="BA191" i="202"/>
  <c r="BA192" i="202"/>
  <c r="BA193" i="202"/>
  <c r="BA194" i="202"/>
  <c r="BA195" i="202"/>
  <c r="BA196" i="202"/>
  <c r="BA197" i="202"/>
  <c r="BA198" i="202"/>
  <c r="BA199" i="202"/>
  <c r="BA200" i="202"/>
  <c r="BA201" i="202"/>
  <c r="BA202" i="202"/>
  <c r="BA203" i="202"/>
  <c r="BA204" i="202"/>
  <c r="BA205" i="202"/>
  <c r="BA206" i="202"/>
  <c r="BA207" i="202"/>
  <c r="BA208" i="202"/>
  <c r="BA209" i="202"/>
  <c r="BA210" i="202"/>
  <c r="BA211" i="202"/>
  <c r="BA212" i="202"/>
  <c r="BA213" i="202"/>
  <c r="BA214" i="202"/>
  <c r="BA215" i="202"/>
  <c r="BA216" i="202"/>
  <c r="BA217" i="202"/>
  <c r="BA218" i="202"/>
  <c r="BA219" i="202"/>
  <c r="BA220" i="202"/>
  <c r="BA221" i="202"/>
  <c r="BA222" i="202"/>
  <c r="BA223" i="202"/>
  <c r="BA224" i="202"/>
  <c r="BA225" i="202"/>
  <c r="BA226" i="202"/>
  <c r="BA227" i="202"/>
  <c r="BA228" i="202"/>
  <c r="BA229" i="202"/>
  <c r="BA230" i="202"/>
  <c r="BA231" i="202"/>
  <c r="BA232" i="202"/>
  <c r="BA233" i="202"/>
  <c r="BA234" i="202"/>
  <c r="BA235" i="202"/>
  <c r="BA236" i="202"/>
  <c r="BA237" i="202"/>
  <c r="BA238" i="202"/>
  <c r="BA239" i="202"/>
  <c r="BA240" i="202"/>
  <c r="BA241" i="202"/>
  <c r="BA242" i="202"/>
  <c r="BA243" i="202"/>
  <c r="BA244" i="202"/>
  <c r="BA245" i="202"/>
  <c r="BA246" i="202"/>
  <c r="BA247" i="202"/>
  <c r="BA248" i="202"/>
  <c r="BA249" i="202"/>
  <c r="BA250" i="202"/>
  <c r="BA251" i="202"/>
  <c r="BA252" i="202"/>
  <c r="BA253" i="202"/>
  <c r="BA254" i="202"/>
  <c r="BA255" i="202"/>
  <c r="BA256" i="202"/>
  <c r="BA257" i="202"/>
  <c r="BA258" i="202"/>
  <c r="BA259" i="202"/>
  <c r="BA260" i="202"/>
  <c r="BA261" i="202"/>
  <c r="BA262" i="202"/>
  <c r="BA263" i="202"/>
  <c r="BA264" i="202"/>
  <c r="BA265" i="202"/>
  <c r="BA266" i="202"/>
  <c r="BA267" i="202"/>
  <c r="BA268" i="202"/>
  <c r="BA269" i="202"/>
  <c r="BA270" i="202"/>
  <c r="BA271" i="202"/>
  <c r="BA272" i="202"/>
  <c r="BA273" i="202"/>
  <c r="BA274" i="202"/>
  <c r="BA275" i="202"/>
  <c r="BA276" i="202"/>
  <c r="BA277" i="202"/>
  <c r="BA278" i="202"/>
  <c r="BA279" i="202"/>
  <c r="BA280" i="202"/>
  <c r="BA281" i="202"/>
  <c r="BA282" i="202"/>
  <c r="BA283" i="202"/>
  <c r="BA284" i="202"/>
  <c r="BA285" i="202"/>
  <c r="BA286" i="202"/>
  <c r="BA287" i="202"/>
  <c r="BA288" i="202"/>
  <c r="BA289" i="202"/>
  <c r="BA290" i="202"/>
  <c r="BA291" i="202"/>
  <c r="BA292" i="202"/>
  <c r="BA293" i="202"/>
  <c r="BA294" i="202"/>
  <c r="BA295" i="202"/>
  <c r="BA296" i="202"/>
  <c r="BA297" i="202"/>
  <c r="BA298" i="202"/>
  <c r="BA299" i="202"/>
  <c r="BA300" i="202"/>
  <c r="BA301" i="202"/>
  <c r="BA302" i="202"/>
  <c r="BA303" i="202"/>
  <c r="BA304" i="202"/>
  <c r="BA305" i="202"/>
  <c r="BA306" i="202"/>
  <c r="BA307" i="202"/>
  <c r="BA308" i="202"/>
  <c r="BA309" i="202"/>
  <c r="BA310" i="202"/>
  <c r="BA311" i="202"/>
  <c r="BA312" i="202"/>
  <c r="BA313" i="202"/>
  <c r="BA314" i="202"/>
  <c r="BA315" i="202"/>
  <c r="BA316" i="202"/>
  <c r="BA317" i="202"/>
  <c r="BA318" i="202"/>
  <c r="BA319" i="202"/>
  <c r="BA320" i="202"/>
  <c r="BA321" i="202"/>
  <c r="BA322" i="202"/>
  <c r="BA323" i="202"/>
  <c r="BA324" i="202"/>
  <c r="BA325" i="202"/>
  <c r="BA326" i="202"/>
  <c r="BA327" i="202"/>
  <c r="BA328" i="202"/>
  <c r="BA329" i="202"/>
  <c r="BA330" i="202"/>
  <c r="BA331" i="202"/>
  <c r="BA332" i="202"/>
  <c r="BA333" i="202"/>
  <c r="BA334" i="202"/>
  <c r="BA335" i="202"/>
  <c r="BA336" i="202"/>
  <c r="BA337" i="202"/>
  <c r="BA338" i="202"/>
  <c r="BA339" i="202"/>
  <c r="BA340" i="202"/>
  <c r="BA341" i="202"/>
  <c r="BA342" i="202"/>
  <c r="BA343" i="202"/>
  <c r="BA344" i="202"/>
  <c r="BA345" i="202"/>
  <c r="BA346" i="202"/>
  <c r="BA347" i="202"/>
  <c r="BA348" i="202"/>
  <c r="BA349" i="202"/>
  <c r="BA350" i="202"/>
  <c r="BA351" i="202"/>
  <c r="BA352" i="202"/>
  <c r="BA353" i="202"/>
  <c r="BA354" i="202"/>
  <c r="BA355" i="202"/>
  <c r="BA356" i="202"/>
  <c r="BA357" i="202"/>
  <c r="BA358" i="202"/>
  <c r="BA359" i="202"/>
  <c r="BA360" i="202"/>
  <c r="BA361" i="202"/>
  <c r="BA362" i="202"/>
  <c r="BA363" i="202"/>
  <c r="BA364" i="202"/>
  <c r="BA365" i="202"/>
  <c r="BA366" i="202"/>
  <c r="BA367" i="202"/>
  <c r="BA368" i="202"/>
  <c r="BA369" i="202"/>
  <c r="BA370" i="202"/>
  <c r="BA371" i="202"/>
  <c r="BA372" i="202"/>
  <c r="BA373" i="202"/>
  <c r="BA374" i="202"/>
  <c r="BA375" i="202"/>
  <c r="BA376" i="202"/>
  <c r="BA377" i="202"/>
  <c r="BA378" i="202"/>
  <c r="BA379" i="202"/>
  <c r="BA380" i="202"/>
  <c r="BA381" i="202"/>
  <c r="BA382" i="202"/>
  <c r="BA383" i="202"/>
  <c r="BA384" i="202"/>
  <c r="BA385" i="202"/>
  <c r="BA386" i="202"/>
  <c r="BA387" i="202"/>
  <c r="BA388" i="202"/>
  <c r="BA389" i="202"/>
  <c r="BA390" i="202"/>
  <c r="BA391" i="202"/>
  <c r="BA392" i="202"/>
  <c r="BA393" i="202"/>
  <c r="BA394" i="202"/>
  <c r="BA395" i="202"/>
  <c r="BA396" i="202"/>
  <c r="BA397" i="202"/>
  <c r="BA398" i="202"/>
  <c r="BA399" i="202"/>
  <c r="BA400" i="202"/>
  <c r="BA401" i="202"/>
  <c r="BA402" i="202"/>
  <c r="BA403" i="202"/>
  <c r="BA404" i="202"/>
  <c r="BA405" i="202"/>
  <c r="BA406" i="202"/>
  <c r="BA407" i="202"/>
  <c r="BA408" i="202"/>
  <c r="BA409" i="202"/>
  <c r="BA410" i="202"/>
  <c r="BA411" i="202"/>
  <c r="BA412" i="202"/>
  <c r="BA413" i="202"/>
  <c r="BA414" i="202"/>
  <c r="BA415" i="202"/>
  <c r="BA416" i="202"/>
  <c r="BA417" i="202"/>
  <c r="BA418" i="202"/>
  <c r="BA419" i="202"/>
  <c r="BA420" i="202"/>
  <c r="BA421" i="202"/>
  <c r="BA422" i="202"/>
  <c r="BA423" i="202"/>
  <c r="BA424" i="202"/>
  <c r="BA425" i="202"/>
  <c r="BA426" i="202"/>
  <c r="BA427" i="202"/>
  <c r="BA428" i="202"/>
  <c r="BA429" i="202"/>
  <c r="BA430" i="202"/>
  <c r="BA431" i="202"/>
  <c r="BA432" i="202"/>
  <c r="BA433" i="202"/>
  <c r="BA434" i="202"/>
  <c r="BA435" i="202"/>
  <c r="BA436" i="202"/>
  <c r="BA437" i="202"/>
  <c r="BA438" i="202"/>
  <c r="BA439" i="202"/>
  <c r="BA440" i="202"/>
  <c r="BA441" i="202"/>
  <c r="BA442" i="202"/>
  <c r="BA443" i="202"/>
  <c r="BA444" i="202"/>
  <c r="BA445" i="202"/>
  <c r="BA446" i="202"/>
  <c r="BA447" i="202"/>
  <c r="BA448" i="202"/>
  <c r="BA449" i="202"/>
  <c r="BA450" i="202"/>
  <c r="BA451" i="202"/>
  <c r="BA452" i="202"/>
  <c r="BA453" i="202"/>
  <c r="BA454" i="202"/>
  <c r="BA455" i="202"/>
  <c r="BA456" i="202"/>
  <c r="BA457" i="202"/>
  <c r="BA458" i="202"/>
  <c r="BA459" i="202"/>
  <c r="BA460" i="202"/>
  <c r="BA461" i="202"/>
  <c r="BA462" i="202"/>
  <c r="BA463" i="202"/>
  <c r="BA464" i="202"/>
  <c r="BA465" i="202"/>
  <c r="BA466" i="202"/>
  <c r="BA467" i="202"/>
  <c r="BA468" i="202"/>
  <c r="BA469" i="202"/>
  <c r="BA470" i="202"/>
  <c r="BA471" i="202"/>
  <c r="BA472" i="202"/>
  <c r="BA473" i="202"/>
  <c r="BA474" i="202"/>
  <c r="BA475" i="202"/>
  <c r="BA476" i="202"/>
  <c r="BA477" i="202"/>
  <c r="BA478" i="202"/>
  <c r="BA479" i="202"/>
  <c r="BA480" i="202"/>
  <c r="BA481" i="202"/>
  <c r="BA482" i="202"/>
  <c r="BA483" i="202"/>
  <c r="BA484" i="202"/>
  <c r="BA485" i="202"/>
  <c r="BA486" i="202"/>
  <c r="BA487" i="202"/>
  <c r="BA488" i="202"/>
  <c r="BA489" i="202"/>
  <c r="BA490" i="202"/>
  <c r="BA491" i="202"/>
  <c r="BA492" i="202"/>
  <c r="BA493" i="202"/>
  <c r="BA494" i="202"/>
  <c r="BA495" i="202"/>
  <c r="BA496" i="202"/>
  <c r="BA497" i="202"/>
  <c r="BA498" i="202"/>
  <c r="BA499" i="202"/>
  <c r="BA500" i="202"/>
  <c r="BA501" i="202"/>
  <c r="BA502" i="202"/>
  <c r="BA503" i="202"/>
  <c r="BA504" i="202"/>
  <c r="BA505" i="202"/>
  <c r="BA506" i="202"/>
  <c r="BA507" i="202"/>
  <c r="BA508" i="202"/>
  <c r="BA509" i="202"/>
  <c r="BA510" i="202"/>
  <c r="BA511" i="202"/>
  <c r="BA512" i="202"/>
  <c r="BA513" i="202"/>
  <c r="BA514" i="202"/>
  <c r="BA515" i="202"/>
  <c r="BA516" i="202"/>
  <c r="BA517" i="202"/>
  <c r="BA518" i="202"/>
  <c r="BA519" i="202"/>
  <c r="BA520" i="202"/>
  <c r="BA521" i="202"/>
  <c r="BA522" i="202"/>
  <c r="BA523" i="202"/>
  <c r="BA524" i="202"/>
  <c r="BA525" i="202"/>
  <c r="BA526" i="202"/>
  <c r="BA527" i="202"/>
  <c r="BA528" i="202"/>
  <c r="BA529" i="202"/>
  <c r="BA530" i="202"/>
  <c r="BA531" i="202"/>
  <c r="BA532" i="202"/>
  <c r="BA533" i="202"/>
  <c r="BA534" i="202"/>
  <c r="BA535" i="202"/>
  <c r="BA536" i="202"/>
  <c r="BA537" i="202"/>
  <c r="BA538" i="202"/>
  <c r="BA539" i="202"/>
  <c r="BA540" i="202"/>
  <c r="BA541" i="202"/>
  <c r="BA542" i="202"/>
  <c r="BA543" i="202"/>
  <c r="BA544" i="202"/>
  <c r="BA545" i="202"/>
  <c r="BA546" i="202"/>
  <c r="BA547" i="202"/>
  <c r="BA548" i="202"/>
  <c r="BA549" i="202"/>
  <c r="BA550" i="202"/>
  <c r="BA551" i="202"/>
  <c r="BA552" i="202"/>
  <c r="BA553" i="202"/>
  <c r="BA554" i="202"/>
  <c r="BA555" i="202"/>
  <c r="BA556" i="202"/>
  <c r="BA557" i="202"/>
  <c r="BA558" i="202"/>
  <c r="BA559" i="202"/>
  <c r="BA560" i="202"/>
  <c r="BA561" i="202"/>
  <c r="BA562" i="202"/>
  <c r="BA563" i="202"/>
  <c r="BA564" i="202"/>
  <c r="BA565" i="202"/>
  <c r="BA566" i="202"/>
  <c r="BA567" i="202"/>
  <c r="BA568" i="202"/>
  <c r="BA569" i="202"/>
  <c r="BA570" i="202"/>
  <c r="BA571" i="202"/>
  <c r="BA572" i="202"/>
  <c r="BA573" i="202"/>
  <c r="BA574" i="202"/>
  <c r="BA575" i="202"/>
  <c r="BA576" i="202"/>
  <c r="BA577" i="202"/>
  <c r="BA578" i="202"/>
  <c r="BA579" i="202"/>
  <c r="BA580" i="202"/>
  <c r="BA581" i="202"/>
  <c r="BA582" i="202"/>
  <c r="BA583" i="202"/>
  <c r="BA584" i="202"/>
  <c r="BA585" i="202"/>
  <c r="BA586" i="202"/>
  <c r="BA587" i="202"/>
  <c r="BA588" i="202"/>
  <c r="BA589" i="202"/>
  <c r="BA590" i="202"/>
  <c r="BA591" i="202"/>
  <c r="BA592" i="202"/>
  <c r="BA593" i="202"/>
  <c r="BA594" i="202"/>
  <c r="BA595" i="202"/>
  <c r="BA596" i="202"/>
  <c r="BA597" i="202"/>
  <c r="BA598" i="202"/>
  <c r="BA599" i="202"/>
  <c r="BA600" i="202"/>
  <c r="BA601" i="202"/>
  <c r="BA602" i="202"/>
  <c r="BA603" i="202"/>
  <c r="BA604" i="202"/>
  <c r="BA605" i="202"/>
  <c r="BA606" i="202"/>
  <c r="BA607" i="202"/>
  <c r="BA608" i="202"/>
  <c r="BA609" i="202"/>
  <c r="BA610" i="202"/>
  <c r="BA611" i="202"/>
  <c r="BA612" i="202"/>
  <c r="BA613" i="202"/>
  <c r="BA614" i="202"/>
  <c r="BA615" i="202"/>
  <c r="BA616" i="202"/>
  <c r="BA617" i="202"/>
  <c r="BA618" i="202"/>
  <c r="BA619" i="202"/>
  <c r="BA620" i="202"/>
  <c r="BA621" i="202"/>
  <c r="BA622" i="202"/>
  <c r="BA623" i="202"/>
  <c r="BA624" i="202"/>
  <c r="BA625" i="202"/>
  <c r="BA626" i="202"/>
  <c r="BA627" i="202"/>
  <c r="BA628" i="202"/>
  <c r="BA629" i="202"/>
  <c r="BA630" i="202"/>
  <c r="BA631" i="202"/>
  <c r="BA632" i="202"/>
  <c r="BA633" i="202"/>
  <c r="BA634" i="202"/>
  <c r="BA635" i="202"/>
  <c r="BA636" i="202"/>
  <c r="BA637" i="202"/>
  <c r="BA638" i="202"/>
  <c r="BA639" i="202"/>
  <c r="BA640" i="202"/>
  <c r="BA641" i="202"/>
  <c r="BA642" i="202"/>
  <c r="BA643" i="202"/>
  <c r="BA644" i="202"/>
  <c r="BA645" i="202"/>
  <c r="BA646" i="202"/>
  <c r="BA647" i="202"/>
  <c r="BA648" i="202"/>
  <c r="BA649" i="202"/>
  <c r="BA650" i="202"/>
  <c r="BA651" i="202"/>
  <c r="BA652" i="202"/>
  <c r="BA653" i="202"/>
  <c r="BA654" i="202"/>
  <c r="BA655" i="202"/>
  <c r="BA656" i="202"/>
  <c r="BA657" i="202"/>
  <c r="BA658" i="202"/>
  <c r="BA659" i="202"/>
  <c r="BA660" i="202"/>
  <c r="BA661" i="202"/>
  <c r="BA662" i="202"/>
  <c r="BA663" i="202"/>
  <c r="BA664" i="202"/>
  <c r="BA665" i="202"/>
  <c r="BA666" i="202"/>
  <c r="BA667" i="202"/>
  <c r="BA668" i="202"/>
  <c r="BA669" i="202"/>
  <c r="BA670" i="202"/>
  <c r="BA671" i="202"/>
  <c r="BA672" i="202"/>
  <c r="BA673" i="202"/>
  <c r="BA674" i="202"/>
  <c r="BA675" i="202"/>
  <c r="BA676" i="202"/>
  <c r="BA677" i="202"/>
  <c r="BA678" i="202"/>
  <c r="BA679" i="202"/>
  <c r="BA680" i="202"/>
  <c r="BA681" i="202"/>
  <c r="BA682" i="202"/>
  <c r="BA683" i="202"/>
  <c r="BA684" i="202"/>
  <c r="BA685" i="202"/>
  <c r="BA686" i="202"/>
  <c r="BA687" i="202"/>
  <c r="BA688" i="202"/>
  <c r="BA689" i="202"/>
  <c r="BA690" i="202"/>
  <c r="BA691" i="202"/>
  <c r="BA692" i="202"/>
  <c r="BA693" i="202"/>
  <c r="BA694" i="202"/>
  <c r="BA695" i="202"/>
  <c r="BA696" i="202"/>
  <c r="BA697" i="202"/>
  <c r="BA698" i="202"/>
  <c r="BA699" i="202"/>
  <c r="BA700" i="202"/>
  <c r="BA701" i="202"/>
  <c r="BA702" i="202"/>
  <c r="BA703" i="202"/>
  <c r="BA704" i="202"/>
  <c r="BA705" i="202"/>
  <c r="BA706" i="202"/>
  <c r="BA707" i="202"/>
  <c r="BA708" i="202"/>
  <c r="BA709" i="202"/>
  <c r="BA710" i="202"/>
  <c r="BA711" i="202"/>
  <c r="BA712" i="202"/>
  <c r="BA713" i="202"/>
  <c r="BA714" i="202"/>
  <c r="BA715" i="202"/>
  <c r="BA716" i="202"/>
  <c r="BA717" i="202"/>
  <c r="BA718" i="202"/>
  <c r="BA719" i="202"/>
  <c r="BA720" i="202"/>
  <c r="BA721" i="202"/>
  <c r="BA722" i="202"/>
  <c r="BA723" i="202"/>
  <c r="BA724" i="202"/>
  <c r="BA725" i="202"/>
  <c r="BA726" i="202"/>
  <c r="BA727" i="202"/>
  <c r="BA728" i="202"/>
  <c r="BA729" i="202"/>
  <c r="BA730" i="202"/>
  <c r="BA731" i="202"/>
  <c r="BA732" i="202"/>
  <c r="BA733" i="202"/>
  <c r="BA734" i="202"/>
  <c r="BA735" i="202"/>
  <c r="BA736" i="202"/>
  <c r="BA737" i="202"/>
  <c r="BA738" i="202"/>
  <c r="BA739" i="202"/>
  <c r="BA740" i="202"/>
  <c r="BA741" i="202"/>
  <c r="BA742" i="202"/>
  <c r="BA743" i="202"/>
  <c r="BA744" i="202"/>
  <c r="BA745" i="202"/>
  <c r="BA746" i="202"/>
  <c r="BA747" i="202"/>
  <c r="BA748" i="202"/>
  <c r="BA749" i="202"/>
  <c r="BA750" i="202"/>
  <c r="BA751" i="202"/>
  <c r="BA752" i="202"/>
  <c r="BA753" i="202"/>
  <c r="BA754" i="202"/>
  <c r="BA755" i="202"/>
  <c r="BA756" i="202"/>
  <c r="BA757" i="202"/>
  <c r="BA758" i="202"/>
  <c r="BA759" i="202"/>
  <c r="BA760" i="202"/>
  <c r="BA761" i="202"/>
  <c r="BA762" i="202"/>
  <c r="BA763" i="202"/>
  <c r="BA764" i="202"/>
  <c r="BA765" i="202"/>
  <c r="BA766" i="202"/>
  <c r="BA767" i="202"/>
  <c r="BA768" i="202"/>
  <c r="BA769" i="202"/>
  <c r="BA770" i="202"/>
  <c r="BA771" i="202"/>
  <c r="BA772" i="202"/>
  <c r="BA773" i="202"/>
  <c r="BA774" i="202"/>
  <c r="BA775" i="202"/>
  <c r="BA776" i="202"/>
  <c r="BA777" i="202"/>
  <c r="BA778" i="202"/>
  <c r="BA779" i="202"/>
  <c r="BA780" i="202"/>
  <c r="BA781" i="202"/>
  <c r="BA782" i="202"/>
  <c r="BA783" i="202"/>
  <c r="BA784" i="202"/>
  <c r="BA785" i="202"/>
  <c r="BA786" i="202"/>
  <c r="BA787" i="202"/>
  <c r="BA788" i="202"/>
  <c r="BA789" i="202"/>
  <c r="BA790" i="202"/>
  <c r="BA791" i="202"/>
  <c r="BA792" i="202"/>
  <c r="BA793" i="202"/>
  <c r="BA794" i="202"/>
  <c r="BA795" i="202"/>
  <c r="BA796" i="202"/>
  <c r="BA797" i="202"/>
  <c r="BA798" i="202"/>
  <c r="BA799" i="202"/>
  <c r="BA800" i="202"/>
  <c r="BA801" i="202"/>
  <c r="BA802" i="202"/>
  <c r="BA803" i="202"/>
  <c r="BA804" i="202"/>
  <c r="BA805" i="202"/>
  <c r="BA806" i="202"/>
  <c r="BA807" i="202"/>
  <c r="BA808" i="202"/>
  <c r="BA809" i="202"/>
  <c r="BA810" i="202"/>
  <c r="BA811" i="202"/>
  <c r="BA812" i="202"/>
  <c r="BA813" i="202"/>
  <c r="BA814" i="202"/>
  <c r="BA815" i="202"/>
  <c r="BA816" i="202"/>
  <c r="BA817" i="202"/>
  <c r="BA818" i="202"/>
  <c r="BA819" i="202"/>
  <c r="BA820" i="202"/>
  <c r="BA821" i="202"/>
  <c r="BA822" i="202"/>
  <c r="BA823" i="202"/>
  <c r="BA824" i="202"/>
  <c r="BA825" i="202"/>
  <c r="BA826" i="202"/>
  <c r="BA827" i="202"/>
  <c r="BA828" i="202"/>
  <c r="BA829" i="202"/>
  <c r="BA830" i="202"/>
  <c r="BA831" i="202"/>
  <c r="BA832" i="202"/>
  <c r="BA833" i="202"/>
  <c r="BA834" i="202"/>
  <c r="BA835" i="202"/>
  <c r="BA836" i="202"/>
  <c r="BA837" i="202"/>
  <c r="BA838" i="202"/>
  <c r="BA839" i="202"/>
  <c r="BA840" i="202"/>
  <c r="BA841" i="202"/>
  <c r="BA842" i="202"/>
  <c r="BA843" i="202"/>
  <c r="BA844" i="202"/>
  <c r="BA845" i="202"/>
  <c r="BA846" i="202"/>
  <c r="BA847" i="202"/>
  <c r="BA848" i="202"/>
  <c r="BA849" i="202"/>
  <c r="BA850" i="202"/>
  <c r="BA851" i="202"/>
  <c r="BA852" i="202"/>
  <c r="BA853" i="202"/>
  <c r="BA854" i="202"/>
  <c r="BA855" i="202"/>
  <c r="BA856" i="202"/>
  <c r="BA857" i="202"/>
  <c r="BA858" i="202"/>
  <c r="BA859" i="202"/>
  <c r="BA860" i="202"/>
  <c r="BA861" i="202"/>
  <c r="BA862" i="202"/>
  <c r="BA863" i="202"/>
  <c r="BA864" i="202"/>
  <c r="BA865" i="202"/>
  <c r="BA866" i="202"/>
  <c r="BA867" i="202"/>
  <c r="BA868" i="202"/>
  <c r="BA869" i="202"/>
  <c r="BA870" i="202"/>
  <c r="BA871" i="202"/>
  <c r="BA872" i="202"/>
  <c r="BA873" i="202"/>
  <c r="BA874" i="202"/>
  <c r="BA875" i="202"/>
  <c r="BA876" i="202"/>
  <c r="BA877" i="202"/>
  <c r="BA878" i="202"/>
  <c r="BA879" i="202"/>
  <c r="BA880" i="202"/>
  <c r="BA881" i="202"/>
  <c r="BA882" i="202"/>
  <c r="BA883" i="202"/>
  <c r="BA884" i="202"/>
  <c r="BA885" i="202"/>
  <c r="BA886" i="202"/>
  <c r="BA887" i="202"/>
  <c r="BA888" i="202"/>
  <c r="BA889" i="202"/>
  <c r="BA890" i="202"/>
  <c r="BA891" i="202"/>
  <c r="BA892" i="202"/>
  <c r="BA893" i="202"/>
  <c r="BA894" i="202"/>
  <c r="BA895" i="202"/>
  <c r="BA896" i="202"/>
  <c r="BA897" i="202"/>
  <c r="BA898" i="202"/>
  <c r="BA899" i="202"/>
  <c r="BA900" i="202"/>
  <c r="BA901" i="202"/>
  <c r="BA902" i="202"/>
  <c r="BA903" i="202"/>
  <c r="BA904" i="202"/>
  <c r="BA905" i="202"/>
  <c r="BA906" i="202"/>
  <c r="BA907" i="202"/>
  <c r="BA908" i="202"/>
  <c r="BA909" i="202"/>
  <c r="BA910" i="202"/>
  <c r="BA911" i="202"/>
  <c r="BA912" i="202"/>
  <c r="BA913" i="202"/>
  <c r="BA914" i="202"/>
  <c r="BA915" i="202"/>
  <c r="BA916" i="202"/>
  <c r="BA917" i="202"/>
  <c r="BA918" i="202"/>
  <c r="BA919" i="202"/>
  <c r="BA920" i="202"/>
  <c r="BA921" i="202"/>
  <c r="BA922" i="202"/>
  <c r="BA923" i="202"/>
  <c r="BA924" i="202"/>
  <c r="BA925" i="202"/>
  <c r="BA926" i="202"/>
  <c r="BA927" i="202"/>
  <c r="BA928" i="202"/>
  <c r="BA929" i="202"/>
  <c r="BA930" i="202"/>
  <c r="BA931" i="202"/>
  <c r="BA932" i="202"/>
  <c r="BA933" i="202"/>
  <c r="BA934" i="202"/>
  <c r="BA935" i="202"/>
  <c r="BA936" i="202"/>
  <c r="BA937" i="202"/>
  <c r="BA938" i="202"/>
  <c r="BA939" i="202"/>
  <c r="BA940" i="202"/>
  <c r="BA941" i="202"/>
  <c r="BA942" i="202"/>
  <c r="BA943" i="202"/>
  <c r="BA944" i="202"/>
  <c r="BA945" i="202"/>
  <c r="BA946" i="202"/>
  <c r="BA947" i="202"/>
  <c r="BA948" i="202"/>
  <c r="BA949" i="202"/>
  <c r="BA950" i="202"/>
  <c r="BA951" i="202"/>
  <c r="BA952" i="202"/>
  <c r="BA953" i="202"/>
  <c r="BA954" i="202"/>
  <c r="BA955" i="202"/>
  <c r="BA956" i="202"/>
  <c r="BA957" i="202"/>
  <c r="BA958" i="202"/>
  <c r="BA959" i="202"/>
  <c r="BA960" i="202"/>
  <c r="BA961" i="202"/>
  <c r="BA962" i="202"/>
  <c r="BA963" i="202"/>
  <c r="BA964" i="202"/>
  <c r="BA965" i="202"/>
  <c r="BA966" i="202"/>
  <c r="BA967" i="202"/>
  <c r="BA968" i="202"/>
  <c r="BA969" i="202"/>
  <c r="BA970" i="202"/>
  <c r="BA971" i="202"/>
  <c r="BA972" i="202"/>
  <c r="BA973" i="202"/>
  <c r="BA974" i="202"/>
  <c r="BA975" i="202"/>
  <c r="BA976" i="202"/>
  <c r="BA977" i="202"/>
  <c r="BA978" i="202"/>
  <c r="BA979" i="202"/>
  <c r="BA980" i="202"/>
  <c r="BA981" i="202"/>
  <c r="BA982" i="202"/>
  <c r="BA983" i="202"/>
  <c r="BA984" i="202"/>
  <c r="BA985" i="202"/>
  <c r="BA986" i="202"/>
  <c r="BA987" i="202"/>
  <c r="BA988" i="202"/>
  <c r="BA989" i="202"/>
  <c r="BA990" i="202"/>
  <c r="BA991" i="202"/>
  <c r="BA992" i="202"/>
  <c r="BA993" i="202"/>
  <c r="BA994" i="202"/>
  <c r="BA995" i="202"/>
  <c r="BA996" i="202"/>
  <c r="BA997" i="202"/>
  <c r="BA998" i="202"/>
  <c r="BA999" i="202"/>
  <c r="BA1000" i="202"/>
  <c r="BA1001" i="202"/>
  <c r="BA1002" i="202"/>
  <c r="BA1003" i="202"/>
  <c r="BA1004" i="202"/>
  <c r="BA1005" i="202"/>
  <c r="BA1006" i="202"/>
  <c r="BA1007" i="202"/>
  <c r="BA1008" i="202"/>
  <c r="BA1009" i="202"/>
  <c r="BA1010" i="202"/>
  <c r="BA1011" i="202"/>
  <c r="BA1012" i="202"/>
  <c r="BA1013" i="202"/>
  <c r="BA1014" i="202"/>
  <c r="BA1015" i="202"/>
  <c r="BA1016" i="202"/>
  <c r="BA1017" i="202"/>
  <c r="BA1018" i="202"/>
  <c r="BA1019" i="202"/>
  <c r="BA1020" i="202"/>
  <c r="BA1021" i="202"/>
  <c r="BA1022" i="202"/>
  <c r="BA1023" i="202"/>
  <c r="BA1024" i="202"/>
  <c r="BA1025" i="202"/>
  <c r="BA1026" i="202"/>
  <c r="BA1027" i="202"/>
  <c r="BA1028" i="202"/>
  <c r="BA1029" i="202"/>
  <c r="BA1030" i="202"/>
  <c r="BA1031" i="202"/>
  <c r="BA1032" i="202"/>
  <c r="BA1033" i="202"/>
  <c r="BA1034" i="202"/>
  <c r="BA1035" i="202"/>
  <c r="BA1036" i="202"/>
  <c r="BA1037" i="202"/>
  <c r="BA1038" i="202"/>
  <c r="BA1039" i="202"/>
  <c r="BA1040" i="202"/>
  <c r="BA1041" i="202"/>
  <c r="BA1042" i="202"/>
  <c r="BA1043" i="202"/>
  <c r="BA1044" i="202"/>
  <c r="BA1045" i="202"/>
  <c r="BA1046" i="202"/>
  <c r="BA1047" i="202"/>
  <c r="BA1048" i="202"/>
  <c r="BA1049" i="202"/>
  <c r="BA1050" i="202"/>
  <c r="BA1051" i="202"/>
  <c r="BA1052" i="202"/>
  <c r="BA1053" i="202"/>
  <c r="BA1054" i="202"/>
  <c r="BA1055" i="202"/>
  <c r="BA1056" i="202"/>
  <c r="BA1057" i="202"/>
  <c r="BA1058" i="202"/>
  <c r="BA1059" i="202"/>
  <c r="BA1060" i="202"/>
  <c r="BA1061" i="202"/>
  <c r="BA1062" i="202"/>
  <c r="BA1063" i="202"/>
  <c r="BA1064" i="202"/>
  <c r="BA1065" i="202"/>
  <c r="BA1066" i="202"/>
  <c r="BA1067" i="202"/>
  <c r="BA1068" i="202"/>
  <c r="BA1069" i="202"/>
  <c r="BA1070" i="202"/>
  <c r="BA1071" i="202"/>
  <c r="BA1072" i="202"/>
  <c r="BA1073" i="202"/>
  <c r="BA1074" i="202"/>
  <c r="BA1075" i="202"/>
  <c r="BA1076" i="202"/>
  <c r="BA1077" i="202"/>
  <c r="BA1078" i="202"/>
  <c r="BA1079" i="202"/>
  <c r="BA1080" i="202"/>
  <c r="BA1081" i="202"/>
  <c r="BA1082" i="202"/>
  <c r="BA1083" i="202"/>
  <c r="BA1084" i="202"/>
  <c r="BA1085" i="202"/>
  <c r="BA1086" i="202"/>
  <c r="BA1087" i="202"/>
  <c r="BA1088" i="202"/>
  <c r="BA1089" i="202"/>
  <c r="BA1090" i="202"/>
  <c r="BA1091" i="202"/>
  <c r="BA1092" i="202"/>
  <c r="BA1093" i="202"/>
  <c r="BA1094" i="202"/>
  <c r="BA1095" i="202"/>
  <c r="BA1096" i="202"/>
  <c r="BA1097" i="202"/>
  <c r="BA1098" i="202"/>
  <c r="BA1099" i="202"/>
  <c r="BA1100" i="202"/>
  <c r="BA1101" i="202"/>
  <c r="BA1102" i="202"/>
  <c r="BA1103" i="202"/>
  <c r="BA1104" i="202"/>
  <c r="BA1105" i="202"/>
  <c r="BA1106" i="202"/>
  <c r="BA1107" i="202"/>
  <c r="BA1108" i="202"/>
  <c r="BA1109" i="202"/>
  <c r="BA1110" i="202"/>
  <c r="BA1111" i="202"/>
  <c r="BA1112" i="202"/>
  <c r="BA1113" i="202"/>
  <c r="BA1114" i="202"/>
  <c r="BA1115" i="202"/>
  <c r="BA1116" i="202"/>
  <c r="BA1117" i="202"/>
  <c r="BA1118" i="202"/>
  <c r="BA1119" i="202"/>
  <c r="BA1120" i="202"/>
  <c r="BA1121" i="202"/>
  <c r="BA1122" i="202"/>
  <c r="BA1123" i="202"/>
  <c r="BA1124" i="202"/>
  <c r="BA1125" i="202"/>
  <c r="BA1126" i="202"/>
  <c r="BA1127" i="202"/>
  <c r="BA1128" i="202"/>
  <c r="BA1129" i="202"/>
  <c r="BA1130" i="202"/>
  <c r="BA1131" i="202"/>
  <c r="BA1132" i="202"/>
  <c r="BA1133" i="202"/>
  <c r="BA1134" i="202"/>
  <c r="BA1135" i="202"/>
  <c r="BA1136" i="202"/>
  <c r="BA1137" i="202"/>
  <c r="BA1138" i="202"/>
  <c r="BA1139" i="202"/>
  <c r="BA1140" i="202"/>
  <c r="BA1141" i="202"/>
  <c r="BA1142" i="202"/>
  <c r="BA1143" i="202"/>
  <c r="BA1144" i="202"/>
  <c r="BA1145" i="202"/>
  <c r="BA1146" i="202"/>
  <c r="BA1147" i="202"/>
  <c r="BA1148" i="202"/>
  <c r="BA1149" i="202"/>
  <c r="BA1150" i="202"/>
  <c r="BA1151" i="202"/>
  <c r="BA1152" i="202"/>
  <c r="BA1153" i="202"/>
  <c r="BA1154" i="202"/>
  <c r="BA1155" i="202"/>
  <c r="BA1156" i="202"/>
  <c r="BA1157" i="202"/>
  <c r="BA1158" i="202"/>
  <c r="BA1159" i="202"/>
  <c r="BA1160" i="202"/>
  <c r="BA1161" i="202"/>
  <c r="BA1162" i="202"/>
  <c r="BA1163" i="202"/>
  <c r="BA1164" i="202"/>
  <c r="BA1165" i="202"/>
  <c r="BA1166" i="202"/>
  <c r="BA1167" i="202"/>
  <c r="BA1168" i="202"/>
  <c r="BA1169" i="202"/>
  <c r="BA1170" i="202"/>
  <c r="BA1171" i="202"/>
  <c r="BA1172" i="202"/>
  <c r="BA1173" i="202"/>
  <c r="BA1174" i="202"/>
  <c r="BA1175" i="202"/>
  <c r="BA1176" i="202"/>
  <c r="BA1177" i="202"/>
  <c r="BA1178" i="202"/>
  <c r="BA1179" i="202"/>
  <c r="BA1180" i="202"/>
  <c r="BA1181" i="202"/>
  <c r="BA1182" i="202"/>
  <c r="BA1183" i="202"/>
  <c r="BA1184" i="202"/>
  <c r="BA1185" i="202"/>
  <c r="BA1186" i="202"/>
  <c r="BA1187" i="202"/>
  <c r="BA1188" i="202"/>
  <c r="BA1189" i="202"/>
  <c r="BA1190" i="202"/>
  <c r="BA1191" i="202"/>
  <c r="BA1192" i="202"/>
  <c r="BA1193" i="202"/>
  <c r="BA1194" i="202"/>
  <c r="BA1195" i="202"/>
  <c r="BA1196" i="202"/>
  <c r="BA1197" i="202"/>
  <c r="BA1198" i="202"/>
  <c r="BA1199" i="202"/>
  <c r="BA1200" i="202"/>
  <c r="BA1201" i="202"/>
  <c r="BA1202" i="202"/>
  <c r="BA1203" i="202"/>
  <c r="BA1204" i="202"/>
  <c r="BA1205" i="202"/>
  <c r="BA1206" i="202"/>
  <c r="BA1207" i="202"/>
  <c r="BA1208" i="202"/>
  <c r="BA1209" i="202"/>
  <c r="BA1210" i="202"/>
  <c r="BA1211" i="202"/>
  <c r="BA1212" i="202"/>
  <c r="BA1213" i="202"/>
  <c r="BA1214" i="202"/>
  <c r="BA1215" i="202"/>
  <c r="BA1216" i="202"/>
  <c r="BA1217" i="202"/>
  <c r="BA1218" i="202"/>
  <c r="BA1219" i="202"/>
  <c r="BA1220" i="202"/>
  <c r="BA1221" i="202"/>
  <c r="BA1222" i="202"/>
  <c r="BA1223" i="202"/>
  <c r="BA1224" i="202"/>
  <c r="BA1225" i="202"/>
  <c r="BA1226" i="202"/>
  <c r="BA1227" i="202"/>
  <c r="BA1228" i="202"/>
  <c r="BA1229" i="202"/>
  <c r="BA1230" i="202"/>
  <c r="BA1231" i="202"/>
  <c r="BA1232" i="202"/>
  <c r="BA1233" i="202"/>
  <c r="BA1234" i="202"/>
  <c r="BA1235" i="202"/>
  <c r="BA1236" i="202"/>
  <c r="BA1237" i="202"/>
  <c r="BA1238" i="202"/>
  <c r="BA1239" i="202"/>
  <c r="BA1240" i="202"/>
  <c r="BA1241" i="202"/>
  <c r="BA1242" i="202"/>
  <c r="BA1243" i="202"/>
  <c r="BA1244" i="202"/>
  <c r="BA1245" i="202"/>
  <c r="BA1246" i="202"/>
  <c r="BA1247" i="202"/>
  <c r="BA1248" i="202"/>
  <c r="BA1249" i="202"/>
  <c r="BA1250" i="202"/>
  <c r="BA1251" i="202"/>
  <c r="BA1252" i="202"/>
  <c r="BA1253" i="202"/>
  <c r="BA1254" i="202"/>
  <c r="BA1255" i="202"/>
  <c r="BA1256" i="202"/>
  <c r="BA1257" i="202"/>
  <c r="BA1258" i="202"/>
  <c r="BA1259" i="202"/>
  <c r="BA1260" i="202"/>
  <c r="BA1261" i="202"/>
  <c r="BA1262" i="202"/>
  <c r="BA1263" i="202"/>
  <c r="BA1264" i="202"/>
  <c r="BA1265" i="202"/>
  <c r="BA1266" i="202"/>
  <c r="BA1267" i="202"/>
  <c r="BA1268" i="202"/>
  <c r="BA1269" i="202"/>
  <c r="BA1270" i="202"/>
  <c r="BA1271" i="202"/>
  <c r="BA1272" i="202"/>
  <c r="BA1273" i="202"/>
  <c r="BA1274" i="202"/>
  <c r="BA1275" i="202"/>
  <c r="BA1276" i="202"/>
  <c r="BA1277" i="202"/>
  <c r="BA1278" i="202"/>
  <c r="BA1279" i="202"/>
  <c r="BA1280" i="202"/>
  <c r="BA1281" i="202"/>
  <c r="BA1282" i="202"/>
  <c r="BA1283" i="202"/>
  <c r="BA1284" i="202"/>
  <c r="BA1285" i="202"/>
  <c r="BA1286" i="202"/>
  <c r="BA1287" i="202"/>
  <c r="BA1288" i="202"/>
  <c r="BA1289" i="202"/>
  <c r="BA1290" i="202"/>
  <c r="BA1291" i="202"/>
  <c r="BA1292" i="202"/>
  <c r="BA1293" i="202"/>
  <c r="BA1294" i="202"/>
  <c r="BA1295" i="202"/>
  <c r="BA1296" i="202"/>
  <c r="BA1297" i="202"/>
  <c r="BA1298" i="202"/>
  <c r="BA1299" i="202"/>
  <c r="BA1300" i="202"/>
  <c r="BA1301" i="202"/>
  <c r="BA1302" i="202"/>
  <c r="BA1303" i="202"/>
  <c r="BA1304" i="202"/>
  <c r="BA1305" i="202"/>
  <c r="BA1306" i="202"/>
  <c r="BA1307" i="202"/>
  <c r="BA1308" i="202"/>
  <c r="BA1309" i="202"/>
  <c r="BA1310" i="202"/>
  <c r="BA1311" i="202"/>
  <c r="BA1312" i="202"/>
  <c r="BA1313" i="202"/>
  <c r="BA1314" i="202"/>
  <c r="BA1315" i="202"/>
  <c r="BA1316" i="202"/>
  <c r="BA1317" i="202"/>
  <c r="BA1318" i="202"/>
  <c r="BA1319" i="202"/>
  <c r="BA1320" i="202"/>
  <c r="BA1321" i="202"/>
  <c r="BA1322" i="202"/>
  <c r="BA1323" i="202"/>
  <c r="BA1324" i="202"/>
  <c r="BA1325" i="202"/>
  <c r="BA1326" i="202"/>
  <c r="BA1327" i="202"/>
  <c r="BA1328" i="202"/>
  <c r="BA1329" i="202"/>
  <c r="BA1330" i="202"/>
  <c r="BA1331" i="202"/>
  <c r="BA1332" i="202"/>
  <c r="BA1333" i="202"/>
  <c r="BA1334" i="202"/>
  <c r="BA1335" i="202"/>
  <c r="BA1336" i="202"/>
  <c r="BA1337" i="202"/>
  <c r="BA1338" i="202"/>
  <c r="BA1339" i="202"/>
  <c r="BA1340" i="202"/>
  <c r="BA1341" i="202"/>
  <c r="BA1342" i="202"/>
  <c r="BA1343" i="202"/>
  <c r="BA1344" i="202"/>
  <c r="BA1345" i="202"/>
  <c r="BA1346" i="202"/>
  <c r="BA1347" i="202"/>
  <c r="BA1348" i="202"/>
  <c r="BA1349" i="202"/>
  <c r="BA1350" i="202"/>
  <c r="BA1351" i="202"/>
  <c r="BA1352" i="202"/>
  <c r="BA1353" i="202"/>
  <c r="BA1354" i="202"/>
  <c r="BA1355" i="202"/>
  <c r="BA1356" i="202"/>
  <c r="BA1357" i="202"/>
  <c r="BA1358" i="202"/>
  <c r="BA1359" i="202"/>
  <c r="BA1360" i="202"/>
  <c r="BA1361" i="202"/>
  <c r="BA1362" i="202"/>
  <c r="BA1363" i="202"/>
  <c r="BA1364" i="202"/>
  <c r="BA1365" i="202"/>
  <c r="BA1366" i="202"/>
  <c r="BA1367" i="202"/>
  <c r="BA1368" i="202"/>
  <c r="BA1369" i="202"/>
  <c r="BA1370" i="202"/>
  <c r="BA1371" i="202"/>
  <c r="BA1372" i="202"/>
  <c r="BA1373" i="202"/>
  <c r="BA1374" i="202"/>
  <c r="BA1375" i="202"/>
  <c r="BA1376" i="202"/>
  <c r="BA1377" i="202"/>
  <c r="BA1378" i="202"/>
  <c r="BA1379" i="202"/>
  <c r="BA1380" i="202"/>
  <c r="BA1381" i="202"/>
  <c r="BA1382" i="202"/>
  <c r="BA1383" i="202"/>
  <c r="BA1384" i="202"/>
  <c r="BA1385" i="202"/>
  <c r="BA1386" i="202"/>
  <c r="BA1387" i="202"/>
  <c r="BA1388" i="202"/>
  <c r="BA1389" i="202"/>
  <c r="BA1390" i="202"/>
  <c r="BA1391" i="202"/>
  <c r="BA1392" i="202"/>
  <c r="BA1393" i="202"/>
  <c r="BA1394" i="202"/>
  <c r="BA1395" i="202"/>
  <c r="BA1396" i="202"/>
  <c r="BA1397" i="202"/>
  <c r="BA1398" i="202"/>
  <c r="BA1399" i="202"/>
  <c r="BA1400" i="202"/>
  <c r="BA1401" i="202"/>
  <c r="BA1402" i="202"/>
  <c r="BA1403" i="202"/>
  <c r="BA1404" i="202"/>
  <c r="BA1405" i="202"/>
  <c r="BA1406" i="202"/>
  <c r="BA1407" i="202"/>
  <c r="BA1408" i="202"/>
  <c r="BA1409" i="202"/>
  <c r="BA1410" i="202"/>
  <c r="BA1411" i="202"/>
  <c r="BA1412" i="202"/>
  <c r="BA1413" i="202"/>
  <c r="BA1414" i="202"/>
  <c r="BA1415" i="202"/>
  <c r="BA1416" i="202"/>
  <c r="BA1417" i="202"/>
  <c r="BA1418" i="202"/>
  <c r="BA1419" i="202"/>
  <c r="BA1420" i="202"/>
  <c r="BA1421" i="202"/>
  <c r="BA1422" i="202"/>
  <c r="BA1423" i="202"/>
  <c r="BA1424" i="202"/>
  <c r="BA1425" i="202"/>
  <c r="BA1426" i="202"/>
  <c r="BA1427" i="202"/>
  <c r="BA1428" i="202"/>
  <c r="BA1429" i="202"/>
  <c r="BA1430" i="202"/>
  <c r="BA1431" i="202"/>
  <c r="BA1432" i="202"/>
  <c r="BA1433" i="202"/>
  <c r="BA1434" i="202"/>
  <c r="BA1435" i="202"/>
  <c r="BA1436" i="202"/>
  <c r="BA1437" i="202"/>
  <c r="BA1438" i="202"/>
  <c r="BA1439" i="202"/>
  <c r="BA1440" i="202"/>
  <c r="BA1441" i="202"/>
  <c r="BA1442" i="202"/>
  <c r="BA1443" i="202"/>
  <c r="BA1444" i="202"/>
  <c r="BA1445" i="202"/>
  <c r="BA1446" i="202"/>
  <c r="BA1447" i="202"/>
  <c r="BA1448" i="202"/>
  <c r="BA1449" i="202"/>
  <c r="BA1450" i="202"/>
  <c r="BA1451" i="202"/>
  <c r="BA1452" i="202"/>
  <c r="BA1453" i="202"/>
  <c r="BA1454" i="202"/>
  <c r="BA1455" i="202"/>
  <c r="BA1456" i="202"/>
  <c r="BA1457" i="202"/>
  <c r="BA1458" i="202"/>
  <c r="BA1459" i="202"/>
  <c r="BA1460" i="202"/>
  <c r="BA1461" i="202"/>
  <c r="BA1462" i="202"/>
  <c r="BA1463" i="202"/>
  <c r="BA1464" i="202"/>
  <c r="BA1465" i="202"/>
  <c r="BA1466" i="202"/>
  <c r="BA1467" i="202"/>
  <c r="BA1468" i="202"/>
  <c r="BA1469" i="202"/>
  <c r="BA1470" i="202"/>
  <c r="BA1471" i="202"/>
  <c r="BA1472" i="202"/>
  <c r="BA1473" i="202"/>
  <c r="BA1474" i="202"/>
  <c r="BA1475" i="202"/>
  <c r="BA1476" i="202"/>
  <c r="BA1477" i="202"/>
  <c r="BA1478" i="202"/>
  <c r="BA1479" i="202"/>
  <c r="BA1480" i="202"/>
  <c r="BA1481" i="202"/>
  <c r="BA1482" i="202"/>
  <c r="BA1483" i="202"/>
  <c r="BA1484" i="202"/>
  <c r="BA1485" i="202"/>
  <c r="BA1486" i="202"/>
  <c r="BA1487" i="202"/>
  <c r="BA1488" i="202"/>
  <c r="BA1489" i="202"/>
  <c r="BA1490" i="202"/>
  <c r="BA1491" i="202"/>
  <c r="BA1492" i="202"/>
  <c r="BA1493" i="202"/>
  <c r="BA1494" i="202"/>
  <c r="BA1495" i="202"/>
  <c r="BA1496" i="202"/>
  <c r="BA1497" i="202"/>
  <c r="BA1498" i="202"/>
  <c r="BA1499" i="202"/>
  <c r="BA1500" i="202"/>
  <c r="BA1501" i="202"/>
  <c r="BA1502" i="202"/>
  <c r="BA1503" i="202"/>
  <c r="BA1504" i="202"/>
  <c r="BA1505" i="202"/>
  <c r="BA1506" i="202"/>
  <c r="BA1507" i="202"/>
  <c r="BA1508" i="202"/>
  <c r="BA1509" i="202"/>
  <c r="BA1510" i="202"/>
  <c r="BA1511" i="202"/>
  <c r="BA1512" i="202"/>
  <c r="BA1513" i="202"/>
  <c r="BA1514" i="202"/>
  <c r="BA1515" i="202"/>
  <c r="BA1516" i="202"/>
  <c r="BA1517" i="202"/>
  <c r="BA1518" i="202"/>
  <c r="BA1519" i="202"/>
  <c r="BA1520" i="202"/>
  <c r="BA1521" i="202"/>
  <c r="BA1522" i="202"/>
  <c r="BA1523" i="202"/>
  <c r="BA1524" i="202"/>
  <c r="BA1525" i="202"/>
  <c r="BA1526" i="202"/>
  <c r="BA1527" i="202"/>
  <c r="BA1528" i="202"/>
  <c r="BA1529" i="202"/>
  <c r="BA1530" i="202"/>
  <c r="BA1531" i="202"/>
  <c r="BA1532" i="202"/>
  <c r="BA1533" i="202"/>
  <c r="BA1534" i="202"/>
  <c r="BA1535" i="202"/>
  <c r="BA1536" i="202"/>
  <c r="BA1537" i="202"/>
  <c r="BA1538" i="202"/>
  <c r="BA1539" i="202"/>
  <c r="BA1540" i="202"/>
  <c r="BA1541" i="202"/>
  <c r="BA1542" i="202"/>
  <c r="BA1543" i="202"/>
  <c r="BA1544" i="202"/>
  <c r="BA1545" i="202"/>
  <c r="BA1546" i="202"/>
  <c r="BA1547" i="202"/>
  <c r="BA1548" i="202"/>
  <c r="BA1549" i="202"/>
  <c r="BA1550" i="202"/>
  <c r="BA1551" i="202"/>
  <c r="BA1552" i="202"/>
  <c r="BA1553" i="202"/>
  <c r="BA1554" i="202"/>
  <c r="BA1555" i="202"/>
  <c r="BA1556" i="202"/>
  <c r="BA1557" i="202"/>
  <c r="BA1558" i="202"/>
  <c r="BA1559" i="202"/>
  <c r="BA1560" i="202"/>
  <c r="BA1561" i="202"/>
  <c r="BA1562" i="202"/>
  <c r="BA1563" i="202"/>
  <c r="BA1564" i="202"/>
  <c r="BA1565" i="202"/>
  <c r="BA1566" i="202"/>
  <c r="BA1567" i="202"/>
  <c r="BA1568" i="202"/>
  <c r="BA1569" i="202"/>
  <c r="BA1570" i="202"/>
  <c r="BA1571" i="202"/>
  <c r="BA1572" i="202"/>
  <c r="BA1573" i="202"/>
  <c r="BA1574" i="202"/>
  <c r="BA1575" i="202"/>
  <c r="BA1576" i="202"/>
  <c r="BA1577" i="202"/>
  <c r="BA1578" i="202"/>
  <c r="BA1579" i="202"/>
  <c r="BA1580" i="202"/>
  <c r="BA1581" i="202"/>
  <c r="BA1582" i="202"/>
  <c r="BA1583" i="202"/>
  <c r="BA1584" i="202"/>
  <c r="BA1585" i="202"/>
  <c r="BA1586" i="202"/>
  <c r="BA1587" i="202"/>
  <c r="BA1588" i="202"/>
  <c r="BA1589" i="202"/>
  <c r="BA1590" i="202"/>
  <c r="BA1591" i="202"/>
  <c r="BA1592" i="202"/>
  <c r="BA1593" i="202"/>
  <c r="BA1594" i="202"/>
  <c r="BA1595" i="202"/>
  <c r="BA1596" i="202"/>
  <c r="BA1597" i="202"/>
  <c r="BA1598" i="202"/>
  <c r="BA1599" i="202"/>
  <c r="BA1600" i="202"/>
  <c r="BA1601" i="202"/>
  <c r="BA1602" i="202"/>
  <c r="BA1603" i="202"/>
  <c r="BA1604" i="202"/>
  <c r="BA1605" i="202"/>
  <c r="BA1606" i="202"/>
  <c r="BA1607" i="202"/>
  <c r="BA1608" i="202"/>
  <c r="BA1609" i="202"/>
  <c r="BA1610" i="202"/>
  <c r="BA1611" i="202"/>
  <c r="BA1612" i="202"/>
  <c r="BA1613" i="202"/>
  <c r="BA1614" i="202"/>
  <c r="BA1615" i="202"/>
  <c r="BA1616" i="202"/>
  <c r="BA1617" i="202"/>
  <c r="BA1618" i="202"/>
  <c r="BA1619" i="202"/>
  <c r="BA1620" i="202"/>
  <c r="BA1621" i="202"/>
  <c r="BA1622" i="202"/>
  <c r="BA1623" i="202"/>
  <c r="BA1624" i="202"/>
  <c r="BA1625" i="202"/>
  <c r="BA1626" i="202"/>
  <c r="BA1627" i="202"/>
  <c r="BA1628" i="202"/>
  <c r="BA1629" i="202"/>
  <c r="BA1630" i="202"/>
  <c r="BA1631" i="202"/>
  <c r="BA1632" i="202"/>
  <c r="BA1633" i="202"/>
  <c r="BA1634" i="202"/>
  <c r="BA1635" i="202"/>
  <c r="BA1636" i="202"/>
  <c r="BA1637" i="202"/>
  <c r="BA1638" i="202"/>
  <c r="BA1639" i="202"/>
  <c r="BA1640" i="202"/>
  <c r="BA1641" i="202"/>
  <c r="BA1642" i="202"/>
  <c r="BA1643" i="202"/>
  <c r="BA1644" i="202"/>
  <c r="BA1645" i="202"/>
  <c r="BA1646" i="202"/>
  <c r="BA1647" i="202"/>
  <c r="BA1648" i="202"/>
  <c r="BA1649" i="202"/>
  <c r="BA1650" i="202"/>
  <c r="BA1651" i="202"/>
  <c r="BA1652" i="202"/>
  <c r="BA1653" i="202"/>
  <c r="BA1654" i="202"/>
  <c r="BA1655" i="202"/>
  <c r="BA1656" i="202"/>
  <c r="BA1657" i="202"/>
  <c r="BA1658" i="202"/>
  <c r="BA1659" i="202"/>
  <c r="BA1660" i="202"/>
  <c r="BA1661" i="202"/>
  <c r="BA1662" i="202"/>
  <c r="BA1663" i="202"/>
  <c r="BA1664" i="202"/>
  <c r="BA1665" i="202"/>
  <c r="BA1666" i="202"/>
  <c r="BA1667" i="202"/>
  <c r="BA1668" i="202"/>
  <c r="BA1669" i="202"/>
  <c r="BA1670" i="202"/>
  <c r="BA1671" i="202"/>
  <c r="BA1672" i="202"/>
  <c r="BA1673" i="202"/>
  <c r="BA1674" i="202"/>
  <c r="BA1675" i="202"/>
  <c r="BA1676" i="202"/>
  <c r="BA1677" i="202"/>
  <c r="BA1678" i="202"/>
  <c r="BA1679" i="202"/>
  <c r="BA1680" i="202"/>
  <c r="BA1681" i="202"/>
  <c r="BA1682" i="202"/>
  <c r="BA1683" i="202"/>
  <c r="BA1684" i="202"/>
  <c r="BA1685" i="202"/>
  <c r="BA1686" i="202"/>
  <c r="BA1687" i="202"/>
  <c r="BA1688" i="202"/>
  <c r="BA1689" i="202"/>
  <c r="BA1690" i="202"/>
  <c r="BA1691" i="202"/>
  <c r="BA1692" i="202"/>
  <c r="BA1693" i="202"/>
  <c r="BA1694" i="202"/>
  <c r="BA1695" i="202"/>
  <c r="BA1696" i="202"/>
  <c r="BA1697" i="202"/>
  <c r="BA1698" i="202"/>
  <c r="BA1699" i="202"/>
  <c r="BA1700" i="202"/>
  <c r="BA1701" i="202"/>
  <c r="BA1702" i="202"/>
  <c r="BA1703" i="202"/>
  <c r="BA1704" i="202"/>
  <c r="BA1705" i="202"/>
  <c r="BA1706" i="202"/>
  <c r="BA1707" i="202"/>
  <c r="BA1708" i="202"/>
  <c r="BA1709" i="202"/>
  <c r="BA1710" i="202"/>
  <c r="BA1711" i="202"/>
  <c r="BA1712" i="202"/>
  <c r="BA1713" i="202"/>
  <c r="BA1714" i="202"/>
  <c r="BA1715" i="202"/>
  <c r="BA1716" i="202"/>
  <c r="BA1717" i="202"/>
  <c r="BA1718" i="202"/>
  <c r="BA1719" i="202"/>
  <c r="BA1720" i="202"/>
  <c r="BA1721" i="202"/>
  <c r="BA1722" i="202"/>
  <c r="BA1723" i="202"/>
  <c r="BA1724" i="202"/>
  <c r="BA1725" i="202"/>
  <c r="BA1726" i="202"/>
  <c r="BA1727" i="202"/>
  <c r="BA1728" i="202"/>
  <c r="BA1729" i="202"/>
  <c r="BA1730" i="202"/>
  <c r="BA1731" i="202"/>
  <c r="BA1732" i="202"/>
  <c r="BA1733" i="202"/>
  <c r="BA1734" i="202"/>
  <c r="BA1735" i="202"/>
  <c r="BA1736" i="202"/>
  <c r="BA1737" i="202"/>
  <c r="BA1738" i="202"/>
  <c r="BA1739" i="202"/>
  <c r="BA1740" i="202"/>
  <c r="BA1741" i="202"/>
  <c r="BA1742" i="202"/>
  <c r="BA1743" i="202"/>
  <c r="BA1744" i="202"/>
  <c r="BA1745" i="202"/>
  <c r="BA1746" i="202"/>
  <c r="BA1747" i="202"/>
  <c r="BA1748" i="202"/>
  <c r="BA1749" i="202"/>
  <c r="BA1750" i="202"/>
  <c r="BA1751" i="202"/>
  <c r="BA1752" i="202"/>
  <c r="BA1753" i="202"/>
  <c r="BA1754" i="202"/>
  <c r="BA1755" i="202"/>
  <c r="BA1756" i="202"/>
  <c r="BA1757" i="202"/>
  <c r="BA1758" i="202"/>
  <c r="BA1759" i="202"/>
  <c r="BA1760" i="202"/>
  <c r="BA1761" i="202"/>
  <c r="BA1762" i="202"/>
  <c r="BA1763" i="202"/>
  <c r="BA1764" i="202"/>
  <c r="BA1765" i="202"/>
  <c r="BA1766" i="202"/>
  <c r="BA1767" i="202"/>
  <c r="BA1768" i="202"/>
  <c r="BA1769" i="202"/>
  <c r="BA1770" i="202"/>
  <c r="BA1771" i="202"/>
  <c r="BA1772" i="202"/>
  <c r="BA1773" i="202"/>
  <c r="BA1774" i="202"/>
  <c r="BA1775" i="202"/>
  <c r="BA1776" i="202"/>
  <c r="BA1777" i="202"/>
  <c r="BA1778" i="202"/>
  <c r="BA1779" i="202"/>
  <c r="BA1780" i="202"/>
  <c r="BA1781" i="202"/>
  <c r="BA1782" i="202"/>
  <c r="BA1783" i="202"/>
  <c r="BA1784" i="202"/>
  <c r="BA1785" i="202"/>
  <c r="BA1786" i="202"/>
  <c r="BA1787" i="202"/>
  <c r="BA1788" i="202"/>
  <c r="BA1789" i="202"/>
  <c r="BA1790" i="202"/>
  <c r="BA1791" i="202"/>
  <c r="BA1792" i="202"/>
  <c r="BA1793" i="202"/>
  <c r="BA1794" i="202"/>
  <c r="BA1795" i="202"/>
  <c r="BA1796" i="202"/>
  <c r="BA1797" i="202"/>
  <c r="BA1798" i="202"/>
  <c r="BA1799" i="202"/>
  <c r="BA1800" i="202"/>
  <c r="BA1801" i="202"/>
  <c r="BA1802" i="202"/>
  <c r="BA1803" i="202"/>
  <c r="BA1804" i="202"/>
  <c r="BA1805" i="202"/>
  <c r="BA1806" i="202"/>
  <c r="BA1807" i="202"/>
  <c r="BA1808" i="202"/>
  <c r="BA1809" i="202"/>
  <c r="BA1810" i="202"/>
  <c r="BA1811" i="202"/>
  <c r="BA1812" i="202"/>
  <c r="BA1813" i="202"/>
  <c r="BA1814" i="202"/>
  <c r="BA1815" i="202"/>
  <c r="BA1816" i="202"/>
  <c r="BA1817" i="202"/>
  <c r="BA1818" i="202"/>
  <c r="BA1819" i="202"/>
  <c r="BA1820" i="202"/>
  <c r="BA1821" i="202"/>
  <c r="BA1822" i="202"/>
  <c r="BA1823" i="202"/>
  <c r="BA1824" i="202"/>
  <c r="BA1825" i="202"/>
  <c r="BA1826" i="202"/>
  <c r="BA1827" i="202"/>
  <c r="BA1828" i="202"/>
  <c r="BA1829" i="202"/>
  <c r="BA1830" i="202"/>
  <c r="BA1831" i="202"/>
  <c r="BA1832" i="202"/>
  <c r="BA1833" i="202"/>
  <c r="BA1834" i="202"/>
  <c r="BA1835" i="202"/>
  <c r="BA1836" i="202"/>
  <c r="BA1837" i="202"/>
  <c r="BA1838" i="202"/>
  <c r="BA1839" i="202"/>
  <c r="BA1840" i="202"/>
  <c r="BA1841" i="202"/>
  <c r="BA1842" i="202"/>
  <c r="BA1843" i="202"/>
  <c r="BA1844" i="202"/>
  <c r="BA1845" i="202"/>
  <c r="BA1846" i="202"/>
  <c r="BA1847" i="202"/>
  <c r="BA1848" i="202"/>
  <c r="BA1849" i="202"/>
  <c r="BA1850" i="202"/>
  <c r="BA1851" i="202"/>
  <c r="BA1852" i="202"/>
  <c r="BA1853" i="202"/>
  <c r="BA1854" i="202"/>
  <c r="BA1855" i="202"/>
  <c r="BA1856" i="202"/>
  <c r="BA1857" i="202"/>
  <c r="BA1858" i="202"/>
  <c r="BA1859" i="202"/>
  <c r="BA1860" i="202"/>
  <c r="BA1861" i="202"/>
  <c r="BA1862" i="202"/>
  <c r="BA1863" i="202"/>
  <c r="BA1864" i="202"/>
  <c r="BA1865" i="202"/>
  <c r="BA1866" i="202"/>
  <c r="BA1867" i="202"/>
  <c r="BA1868" i="202"/>
  <c r="BA1869" i="202"/>
  <c r="BA1870" i="202"/>
  <c r="BA1871" i="202"/>
  <c r="BA1872" i="202"/>
  <c r="BA1873" i="202"/>
  <c r="BA1874" i="202"/>
  <c r="BA1875" i="202"/>
  <c r="BA1876" i="202"/>
  <c r="BA1877" i="202"/>
  <c r="BA1878" i="202"/>
  <c r="BA1879" i="202"/>
  <c r="BA1880" i="202"/>
  <c r="BA1881" i="202"/>
  <c r="BA1882" i="202"/>
  <c r="BA1883" i="202"/>
  <c r="BA1884" i="202"/>
  <c r="BA1885" i="202"/>
  <c r="BA1886" i="202"/>
  <c r="BA1887" i="202"/>
  <c r="BA1888" i="202"/>
  <c r="BA1889" i="202"/>
  <c r="BA1890" i="202"/>
  <c r="BA1891" i="202"/>
  <c r="BA1892" i="202"/>
  <c r="BA1893" i="202"/>
  <c r="BA1894" i="202"/>
  <c r="BA1895" i="202"/>
  <c r="BA1896" i="202"/>
  <c r="BA1897" i="202"/>
  <c r="BA1898" i="202"/>
  <c r="BA1899" i="202"/>
  <c r="BA1900" i="202"/>
  <c r="BA1901" i="202"/>
  <c r="BA1902" i="202"/>
  <c r="BA1903" i="202"/>
  <c r="BA1904" i="202"/>
  <c r="BA1905" i="202"/>
  <c r="BA1906" i="202"/>
  <c r="BA1907" i="202"/>
  <c r="BA1908" i="202"/>
  <c r="BA1909" i="202"/>
  <c r="BA1910" i="202"/>
  <c r="BA1911" i="202"/>
  <c r="BA1912" i="202"/>
  <c r="BA1913" i="202"/>
  <c r="BA1914" i="202"/>
  <c r="BA1915" i="202"/>
  <c r="BA1916" i="202"/>
  <c r="BA1917" i="202"/>
  <c r="BA1918" i="202"/>
  <c r="BA1919" i="202"/>
  <c r="BA1920" i="202"/>
  <c r="BA1921" i="202"/>
  <c r="BA1922" i="202"/>
  <c r="BA1923" i="202"/>
  <c r="BA1924" i="202"/>
  <c r="BA1925" i="202"/>
  <c r="BA1926" i="202"/>
  <c r="BA1927" i="202"/>
  <c r="BA1928" i="202"/>
  <c r="BA1929" i="202"/>
  <c r="BA1930" i="202"/>
  <c r="BA1931" i="202"/>
  <c r="BA1932" i="202"/>
  <c r="BA1933" i="202"/>
  <c r="BA1934" i="202"/>
  <c r="BA1935" i="202"/>
  <c r="BA1936" i="202"/>
  <c r="BA1937" i="202"/>
  <c r="BA1938" i="202"/>
  <c r="BA1939" i="202"/>
  <c r="BA1940" i="202"/>
  <c r="BA1941" i="202"/>
  <c r="BA1942" i="202"/>
  <c r="BA1943" i="202"/>
  <c r="BA1944" i="202"/>
  <c r="BA1945" i="202"/>
  <c r="BA1946" i="202"/>
  <c r="BA1947" i="202"/>
  <c r="BA1948" i="202"/>
  <c r="BA1949" i="202"/>
  <c r="BA1950" i="202"/>
  <c r="BA1951" i="202"/>
  <c r="BA1952" i="202"/>
  <c r="BA1953" i="202"/>
  <c r="BA1954" i="202"/>
  <c r="BA1955" i="202"/>
  <c r="BA1956" i="202"/>
  <c r="BA1957" i="202"/>
  <c r="BA1958" i="202"/>
  <c r="BA1959" i="202"/>
  <c r="BA1960" i="202"/>
  <c r="BA1961" i="202"/>
  <c r="BA1962" i="202"/>
  <c r="BA1963" i="202"/>
  <c r="BA1964" i="202"/>
  <c r="BA1965" i="202"/>
  <c r="BA1966" i="202"/>
  <c r="BA1967" i="202"/>
  <c r="BA1968" i="202"/>
  <c r="BA1969" i="202"/>
  <c r="BA1970" i="202"/>
  <c r="BA1971" i="202"/>
  <c r="BA1972" i="202"/>
  <c r="BA1973" i="202"/>
  <c r="BA1974" i="202"/>
  <c r="BA1975" i="202"/>
  <c r="BA1976" i="202"/>
  <c r="BA1977" i="202"/>
  <c r="BA1978" i="202"/>
  <c r="BA1979" i="202"/>
  <c r="BA1980" i="202"/>
  <c r="BA1981" i="202"/>
  <c r="BA1982" i="202"/>
  <c r="BA1983" i="202"/>
  <c r="BA1984" i="202"/>
  <c r="BA1985" i="202"/>
  <c r="BA1986" i="202"/>
  <c r="BA1987" i="202"/>
  <c r="BA1988" i="202"/>
  <c r="BA1989" i="202"/>
  <c r="BA1990" i="202"/>
  <c r="BA1991" i="202"/>
  <c r="BA1992" i="202"/>
  <c r="BA1993" i="202"/>
  <c r="BA1994" i="202"/>
  <c r="BA1995" i="202"/>
  <c r="BA1996" i="202"/>
  <c r="BA1997" i="202"/>
  <c r="BA1998" i="202"/>
  <c r="BA1999" i="202"/>
  <c r="BA2000" i="202"/>
  <c r="BA2001" i="202"/>
  <c r="BA2002" i="202"/>
  <c r="BA2003" i="202"/>
  <c r="BA2004" i="202"/>
  <c r="BA2005" i="202"/>
  <c r="BA2006" i="202"/>
  <c r="BA2007" i="202"/>
  <c r="BA2008" i="202"/>
  <c r="BA2009" i="202"/>
  <c r="BA2010" i="202"/>
  <c r="BA2011" i="202"/>
  <c r="BA2012" i="202"/>
  <c r="BA2013" i="202"/>
  <c r="BA2014" i="202"/>
  <c r="BA2015" i="202"/>
  <c r="BA2016" i="202"/>
  <c r="BA2017" i="202"/>
  <c r="BA2018" i="202"/>
  <c r="BA2019" i="202"/>
  <c r="BA2020" i="202"/>
  <c r="BA2021" i="202"/>
  <c r="BA2022" i="202"/>
  <c r="BA2023" i="202"/>
  <c r="BA2024" i="202"/>
  <c r="BA2025" i="202"/>
  <c r="BA2026" i="202"/>
  <c r="BA2027" i="202"/>
  <c r="BA2028" i="202"/>
  <c r="BA2029" i="202"/>
  <c r="BA2030" i="202"/>
  <c r="BA2031" i="202"/>
  <c r="BA2032" i="202"/>
  <c r="BA2033" i="202"/>
  <c r="BA2034" i="202"/>
  <c r="BA2035" i="202"/>
  <c r="BA2036" i="202"/>
  <c r="BA2037" i="202"/>
  <c r="BA2038" i="202"/>
  <c r="BA2039" i="202"/>
  <c r="BA2040" i="202"/>
  <c r="BA2041" i="202"/>
  <c r="BA2042" i="202"/>
  <c r="BA2043" i="202"/>
  <c r="BA2044" i="202"/>
  <c r="BA2045" i="202"/>
  <c r="BA2046" i="202"/>
  <c r="BA2047" i="202"/>
  <c r="BA2048" i="202"/>
  <c r="AM2" i="202"/>
  <c r="AM3" i="202"/>
  <c r="AM4" i="202"/>
  <c r="AM5" i="202"/>
  <c r="AM6" i="202"/>
  <c r="AM7" i="202"/>
  <c r="AM8" i="202"/>
  <c r="AM9" i="202"/>
  <c r="AM10" i="202"/>
  <c r="AM11" i="202"/>
  <c r="AM12" i="202"/>
  <c r="AM13" i="202"/>
  <c r="AM14" i="202"/>
  <c r="AM15" i="202"/>
  <c r="AM16" i="202"/>
  <c r="AM17" i="202"/>
  <c r="AM18" i="202"/>
  <c r="AM19" i="202"/>
  <c r="AM20" i="202"/>
  <c r="AM21" i="202"/>
  <c r="AM22" i="202"/>
  <c r="AM23" i="202"/>
  <c r="AM24" i="202"/>
  <c r="AM25" i="202"/>
  <c r="AM26" i="202"/>
  <c r="AM27" i="202"/>
  <c r="AM28" i="202"/>
  <c r="AM29" i="202"/>
  <c r="AM30" i="202"/>
  <c r="AM31" i="202"/>
  <c r="AM32" i="202"/>
  <c r="AM33" i="202"/>
  <c r="AM34" i="202"/>
  <c r="AM35" i="202"/>
  <c r="AM36" i="202"/>
  <c r="AM37" i="202"/>
  <c r="AM38" i="202"/>
  <c r="AM39" i="202"/>
  <c r="AM40" i="202"/>
  <c r="AM41" i="202"/>
  <c r="AM42" i="202"/>
  <c r="AM43" i="202"/>
  <c r="AM44" i="202"/>
  <c r="AM45" i="202"/>
  <c r="AM46" i="202"/>
  <c r="AM47" i="202"/>
  <c r="AM48" i="202"/>
  <c r="AM49" i="202"/>
  <c r="AM50" i="202"/>
  <c r="AM51" i="202"/>
  <c r="AM52" i="202"/>
  <c r="AM53" i="202"/>
  <c r="AM54" i="202"/>
  <c r="AM55" i="202"/>
  <c r="AM56" i="202"/>
  <c r="AM57" i="202"/>
  <c r="AM58" i="202"/>
  <c r="AM59" i="202"/>
  <c r="AM60" i="202"/>
  <c r="AM61" i="202"/>
  <c r="AM62" i="202"/>
  <c r="AM63" i="202"/>
  <c r="AM64" i="202"/>
  <c r="AM65" i="202"/>
  <c r="AM66" i="202"/>
  <c r="AM67" i="202"/>
  <c r="AM68" i="202"/>
  <c r="AM69" i="202"/>
  <c r="AM70" i="202"/>
  <c r="AM71" i="202"/>
  <c r="AM72" i="202"/>
  <c r="AM73" i="202"/>
  <c r="AM74" i="202"/>
  <c r="AM75" i="202"/>
  <c r="AM76" i="202"/>
  <c r="AM77" i="202"/>
  <c r="AM78" i="202"/>
  <c r="AM79" i="202"/>
  <c r="AM80" i="202"/>
  <c r="AM81" i="202"/>
  <c r="AM82" i="202"/>
  <c r="AM83" i="202"/>
  <c r="AM84" i="202"/>
  <c r="AM85" i="202"/>
  <c r="AM86" i="202"/>
  <c r="AM87" i="202"/>
  <c r="AM88" i="202"/>
  <c r="AM89" i="202"/>
  <c r="AM90" i="202"/>
  <c r="AM91" i="202"/>
  <c r="AM92" i="202"/>
  <c r="AM93" i="202"/>
  <c r="AM94" i="202"/>
  <c r="AM95" i="202"/>
  <c r="AM96" i="202"/>
  <c r="AM97" i="202"/>
  <c r="AM98" i="202"/>
  <c r="AM99" i="202"/>
  <c r="AM100" i="202"/>
  <c r="AM101" i="202"/>
  <c r="AM102" i="202"/>
  <c r="AM103" i="202"/>
  <c r="AM104" i="202"/>
  <c r="AM105" i="202"/>
  <c r="AM106" i="202"/>
  <c r="AM107" i="202"/>
  <c r="AM108" i="202"/>
  <c r="AM109" i="202"/>
  <c r="AM110" i="202"/>
  <c r="AM111" i="202"/>
  <c r="AM112" i="202"/>
  <c r="AM113" i="202"/>
  <c r="AM114" i="202"/>
  <c r="AM115" i="202"/>
  <c r="AM116" i="202"/>
  <c r="AM117" i="202"/>
  <c r="AM118" i="202"/>
  <c r="AM119" i="202"/>
  <c r="AM120" i="202"/>
  <c r="AM121" i="202"/>
  <c r="AM122" i="202"/>
  <c r="AM123" i="202"/>
  <c r="AM124" i="202"/>
  <c r="AM125" i="202"/>
  <c r="AM126" i="202"/>
  <c r="AM127" i="202"/>
  <c r="AM128" i="202"/>
  <c r="AM129" i="202"/>
  <c r="AM130" i="202"/>
  <c r="AM131" i="202"/>
  <c r="AM132" i="202"/>
  <c r="AM133" i="202"/>
  <c r="AM134" i="202"/>
  <c r="AM135" i="202"/>
  <c r="AM136" i="202"/>
  <c r="AM137" i="202"/>
  <c r="AM138" i="202"/>
  <c r="AM139" i="202"/>
  <c r="AM140" i="202"/>
  <c r="AM141" i="202"/>
  <c r="AM142" i="202"/>
  <c r="AM143" i="202"/>
  <c r="AM144" i="202"/>
  <c r="AM145" i="202"/>
  <c r="AM146" i="202"/>
  <c r="AM147" i="202"/>
  <c r="AM148" i="202"/>
  <c r="AM149" i="202"/>
  <c r="AM150" i="202"/>
  <c r="AM151" i="202"/>
  <c r="AM152" i="202"/>
  <c r="AM153" i="202"/>
  <c r="AM154" i="202"/>
  <c r="AM155" i="202"/>
  <c r="AM156" i="202"/>
  <c r="AM157" i="202"/>
  <c r="AM158" i="202"/>
  <c r="AM159" i="202"/>
  <c r="AM160" i="202"/>
  <c r="AM161" i="202"/>
  <c r="AM162" i="202"/>
  <c r="AM163" i="202"/>
  <c r="AM164" i="202"/>
  <c r="AM165" i="202"/>
  <c r="AM166" i="202"/>
  <c r="AM167" i="202"/>
  <c r="AM168" i="202"/>
  <c r="AM169" i="202"/>
  <c r="AM170" i="202"/>
  <c r="AM171" i="202"/>
  <c r="AM172" i="202"/>
  <c r="AM173" i="202"/>
  <c r="AM174" i="202"/>
  <c r="AM175" i="202"/>
  <c r="AM176" i="202"/>
  <c r="AM177" i="202"/>
  <c r="AM178" i="202"/>
  <c r="AM179" i="202"/>
  <c r="AM180" i="202"/>
  <c r="AM181" i="202"/>
  <c r="AM182" i="202"/>
  <c r="AM183" i="202"/>
  <c r="AM184" i="202"/>
  <c r="AM185" i="202"/>
  <c r="AM186" i="202"/>
  <c r="AM187" i="202"/>
  <c r="AM188" i="202"/>
  <c r="AM189" i="202"/>
  <c r="AM190" i="202"/>
  <c r="AM191" i="202"/>
  <c r="AM192" i="202"/>
  <c r="AM193" i="202"/>
  <c r="AM194" i="202"/>
  <c r="AM195" i="202"/>
  <c r="AM196" i="202"/>
  <c r="AM197" i="202"/>
  <c r="AM198" i="202"/>
  <c r="AM199" i="202"/>
  <c r="AM200" i="202"/>
  <c r="AM201" i="202"/>
  <c r="AM202" i="202"/>
  <c r="AM203" i="202"/>
  <c r="AM204" i="202"/>
  <c r="AM205" i="202"/>
  <c r="AM206" i="202"/>
  <c r="AM207" i="202"/>
  <c r="AM208" i="202"/>
  <c r="AM209" i="202"/>
  <c r="AM210" i="202"/>
  <c r="AM211" i="202"/>
  <c r="AM212" i="202"/>
  <c r="AM213" i="202"/>
  <c r="AM214" i="202"/>
  <c r="AM215" i="202"/>
  <c r="AM216" i="202"/>
  <c r="AM217" i="202"/>
  <c r="AM218" i="202"/>
  <c r="AM219" i="202"/>
  <c r="AM220" i="202"/>
  <c r="AM221" i="202"/>
  <c r="AM222" i="202"/>
  <c r="AM223" i="202"/>
  <c r="AM224" i="202"/>
  <c r="AM225" i="202"/>
  <c r="AM226" i="202"/>
  <c r="AM227" i="202"/>
  <c r="AM228" i="202"/>
  <c r="AM229" i="202"/>
  <c r="AM230" i="202"/>
  <c r="AM231" i="202"/>
  <c r="AM232" i="202"/>
  <c r="AM233" i="202"/>
  <c r="AM234" i="202"/>
  <c r="AM235" i="202"/>
  <c r="AM236" i="202"/>
  <c r="AM237" i="202"/>
  <c r="AM238" i="202"/>
  <c r="AM239" i="202"/>
  <c r="AM240" i="202"/>
  <c r="AM241" i="202"/>
  <c r="AM242" i="202"/>
  <c r="AM243" i="202"/>
  <c r="AM244" i="202"/>
  <c r="AM245" i="202"/>
  <c r="AM246" i="202"/>
  <c r="AM247" i="202"/>
  <c r="AM248" i="202"/>
  <c r="AM249" i="202"/>
  <c r="AM250" i="202"/>
  <c r="AM251" i="202"/>
  <c r="AM252" i="202"/>
  <c r="AM253" i="202"/>
  <c r="AM254" i="202"/>
  <c r="AM255" i="202"/>
  <c r="AM256" i="202"/>
  <c r="AM257" i="202"/>
  <c r="AM258" i="202"/>
  <c r="AM259" i="202"/>
  <c r="AM260" i="202"/>
  <c r="AM261" i="202"/>
  <c r="AM262" i="202"/>
  <c r="AM263" i="202"/>
  <c r="AM264" i="202"/>
  <c r="AM265" i="202"/>
  <c r="AM266" i="202"/>
  <c r="AM267" i="202"/>
  <c r="AM268" i="202"/>
  <c r="AM269" i="202"/>
  <c r="AM270" i="202"/>
  <c r="AM271" i="202"/>
  <c r="AM272" i="202"/>
  <c r="AM273" i="202"/>
  <c r="AM274" i="202"/>
  <c r="AM275" i="202"/>
  <c r="AM276" i="202"/>
  <c r="AM277" i="202"/>
  <c r="AM278" i="202"/>
  <c r="AM279" i="202"/>
  <c r="AM280" i="202"/>
  <c r="AM281" i="202"/>
  <c r="AM282" i="202"/>
  <c r="AM283" i="202"/>
  <c r="AM284" i="202"/>
  <c r="AM285" i="202"/>
  <c r="AM286" i="202"/>
  <c r="AM287" i="202"/>
  <c r="AM288" i="202"/>
  <c r="AM289" i="202"/>
  <c r="AM290" i="202"/>
  <c r="AM291" i="202"/>
  <c r="AM292" i="202"/>
  <c r="AM293" i="202"/>
  <c r="AM294" i="202"/>
  <c r="AM295" i="202"/>
  <c r="AM296" i="202"/>
  <c r="AM297" i="202"/>
  <c r="AM298" i="202"/>
  <c r="AM299" i="202"/>
  <c r="AM300" i="202"/>
  <c r="AM301" i="202"/>
  <c r="AM302" i="202"/>
  <c r="AM303" i="202"/>
  <c r="AM304" i="202"/>
  <c r="AM305" i="202"/>
  <c r="AM306" i="202"/>
  <c r="AM307" i="202"/>
  <c r="AM308" i="202"/>
  <c r="AM309" i="202"/>
  <c r="AM310" i="202"/>
  <c r="AM311" i="202"/>
  <c r="AM312" i="202"/>
  <c r="AM313" i="202"/>
  <c r="AM314" i="202"/>
  <c r="AM315" i="202"/>
  <c r="AM316" i="202"/>
  <c r="AM317" i="202"/>
  <c r="AM318" i="202"/>
  <c r="AM319" i="202"/>
  <c r="AM320" i="202"/>
  <c r="AM321" i="202"/>
  <c r="AM322" i="202"/>
  <c r="AM323" i="202"/>
  <c r="AM324" i="202"/>
  <c r="AM325" i="202"/>
  <c r="AM326" i="202"/>
  <c r="AM327" i="202"/>
  <c r="AM328" i="202"/>
  <c r="AM329" i="202"/>
  <c r="AM330" i="202"/>
  <c r="AM331" i="202"/>
  <c r="AM332" i="202"/>
  <c r="AM333" i="202"/>
  <c r="AM334" i="202"/>
  <c r="AM335" i="202"/>
  <c r="AM336" i="202"/>
  <c r="AM337" i="202"/>
  <c r="AM338" i="202"/>
  <c r="AM339" i="202"/>
  <c r="AM340" i="202"/>
  <c r="AM341" i="202"/>
  <c r="AM342" i="202"/>
  <c r="AM343" i="202"/>
  <c r="AM344" i="202"/>
  <c r="AM345" i="202"/>
  <c r="AM346" i="202"/>
  <c r="AM347" i="202"/>
  <c r="AM348" i="202"/>
  <c r="AM349" i="202"/>
  <c r="AM350" i="202"/>
  <c r="AM351" i="202"/>
  <c r="AM352" i="202"/>
  <c r="AM353" i="202"/>
  <c r="AM354" i="202"/>
  <c r="AM355" i="202"/>
  <c r="AM356" i="202"/>
  <c r="AM357" i="202"/>
  <c r="AM358" i="202"/>
  <c r="AM359" i="202"/>
  <c r="AM360" i="202"/>
  <c r="AM361" i="202"/>
  <c r="AM362" i="202"/>
  <c r="AM363" i="202"/>
  <c r="AM364" i="202"/>
  <c r="AM365" i="202"/>
  <c r="AM366" i="202"/>
  <c r="AM367" i="202"/>
  <c r="AM368" i="202"/>
  <c r="AM369" i="202"/>
  <c r="AM370" i="202"/>
  <c r="AM371" i="202"/>
  <c r="AM372" i="202"/>
  <c r="AM373" i="202"/>
  <c r="AM374" i="202"/>
  <c r="AM375" i="202"/>
  <c r="AM376" i="202"/>
  <c r="AM377" i="202"/>
  <c r="AM378" i="202"/>
  <c r="AM379" i="202"/>
  <c r="AM380" i="202"/>
  <c r="AM381" i="202"/>
  <c r="AM382" i="202"/>
  <c r="AM383" i="202"/>
  <c r="AM384" i="202"/>
  <c r="AM385" i="202"/>
  <c r="AM386" i="202"/>
  <c r="AM387" i="202"/>
  <c r="AM388" i="202"/>
  <c r="AM389" i="202"/>
  <c r="AM390" i="202"/>
  <c r="AM391" i="202"/>
  <c r="AM392" i="202"/>
  <c r="AM393" i="202"/>
  <c r="AM394" i="202"/>
  <c r="AM395" i="202"/>
  <c r="AM396" i="202"/>
  <c r="AM397" i="202"/>
  <c r="AM398" i="202"/>
  <c r="AM399" i="202"/>
  <c r="AM400" i="202"/>
  <c r="AM401" i="202"/>
  <c r="AM402" i="202"/>
  <c r="AM403" i="202"/>
  <c r="AM404" i="202"/>
  <c r="AM405" i="202"/>
  <c r="AM406" i="202"/>
  <c r="AM407" i="202"/>
  <c r="AM408" i="202"/>
  <c r="AM409" i="202"/>
  <c r="AM410" i="202"/>
  <c r="AM411" i="202"/>
  <c r="AM412" i="202"/>
  <c r="AM413" i="202"/>
  <c r="AM414" i="202"/>
  <c r="AM415" i="202"/>
  <c r="AM416" i="202"/>
  <c r="AM417" i="202"/>
  <c r="AM418" i="202"/>
  <c r="AM419" i="202"/>
  <c r="AM420" i="202"/>
  <c r="AM421" i="202"/>
  <c r="AM422" i="202"/>
  <c r="AM423" i="202"/>
  <c r="AM424" i="202"/>
  <c r="AM425" i="202"/>
  <c r="AM426" i="202"/>
  <c r="AM427" i="202"/>
  <c r="AM428" i="202"/>
  <c r="AM429" i="202"/>
  <c r="AM430" i="202"/>
  <c r="AM431" i="202"/>
  <c r="AM432" i="202"/>
  <c r="AM433" i="202"/>
  <c r="AM434" i="202"/>
  <c r="AM435" i="202"/>
  <c r="AM436" i="202"/>
  <c r="AM437" i="202"/>
  <c r="AM438" i="202"/>
  <c r="AM439" i="202"/>
  <c r="AM440" i="202"/>
  <c r="AM441" i="202"/>
  <c r="AM442" i="202"/>
  <c r="AM443" i="202"/>
  <c r="AM444" i="202"/>
  <c r="AM445" i="202"/>
  <c r="AM446" i="202"/>
  <c r="AM447" i="202"/>
  <c r="AM448" i="202"/>
  <c r="AM449" i="202"/>
  <c r="AM450" i="202"/>
  <c r="AM451" i="202"/>
  <c r="AM452" i="202"/>
  <c r="AM453" i="202"/>
  <c r="AM454" i="202"/>
  <c r="AM455" i="202"/>
  <c r="AM456" i="202"/>
  <c r="AM457" i="202"/>
  <c r="AM458" i="202"/>
  <c r="AM459" i="202"/>
  <c r="AM460" i="202"/>
  <c r="AM461" i="202"/>
  <c r="AM462" i="202"/>
  <c r="AM463" i="202"/>
  <c r="AM464" i="202"/>
  <c r="AM465" i="202"/>
  <c r="AM466" i="202"/>
  <c r="AM467" i="202"/>
  <c r="AM468" i="202"/>
  <c r="AM469" i="202"/>
  <c r="AM470" i="202"/>
  <c r="AM471" i="202"/>
  <c r="AM472" i="202"/>
  <c r="AM473" i="202"/>
  <c r="AM474" i="202"/>
  <c r="AM475" i="202"/>
  <c r="AM476" i="202"/>
  <c r="AM477" i="202"/>
  <c r="AM478" i="202"/>
  <c r="AM479" i="202"/>
  <c r="AM480" i="202"/>
  <c r="AM481" i="202"/>
  <c r="AM482" i="202"/>
  <c r="AM483" i="202"/>
  <c r="AM484" i="202"/>
  <c r="AM485" i="202"/>
  <c r="AM486" i="202"/>
  <c r="AM487" i="202"/>
  <c r="AM488" i="202"/>
  <c r="AM489" i="202"/>
  <c r="AM490" i="202"/>
  <c r="AM491" i="202"/>
  <c r="AM492" i="202"/>
  <c r="AM493" i="202"/>
  <c r="AM494" i="202"/>
  <c r="AM495" i="202"/>
  <c r="AM496" i="202"/>
  <c r="AM497" i="202"/>
  <c r="AM498" i="202"/>
  <c r="AM499" i="202"/>
  <c r="AM500" i="202"/>
  <c r="AM501" i="202"/>
  <c r="AM502" i="202"/>
  <c r="AM503" i="202"/>
  <c r="AM504" i="202"/>
  <c r="AM505" i="202"/>
  <c r="AM506" i="202"/>
  <c r="AM507" i="202"/>
  <c r="AM508" i="202"/>
  <c r="AM509" i="202"/>
  <c r="AM510" i="202"/>
  <c r="AM511" i="202"/>
  <c r="AM512" i="202"/>
  <c r="AM513" i="202"/>
  <c r="AM514" i="202"/>
  <c r="AM515" i="202"/>
  <c r="AM516" i="202"/>
  <c r="AM517" i="202"/>
  <c r="AM518" i="202"/>
  <c r="AM519" i="202"/>
  <c r="AM520" i="202"/>
  <c r="AM521" i="202"/>
  <c r="AM522" i="202"/>
  <c r="AM523" i="202"/>
  <c r="AM524" i="202"/>
  <c r="AM525" i="202"/>
  <c r="AM526" i="202"/>
  <c r="AM527" i="202"/>
  <c r="AM528" i="202"/>
  <c r="AM529" i="202"/>
  <c r="AM530" i="202"/>
  <c r="AM531" i="202"/>
  <c r="AM532" i="202"/>
  <c r="AM533" i="202"/>
  <c r="AM534" i="202"/>
  <c r="AM535" i="202"/>
  <c r="AM536" i="202"/>
  <c r="AM537" i="202"/>
  <c r="AM538" i="202"/>
  <c r="AM539" i="202"/>
  <c r="AM540" i="202"/>
  <c r="AM541" i="202"/>
  <c r="AM542" i="202"/>
  <c r="AM543" i="202"/>
  <c r="AM544" i="202"/>
  <c r="AM545" i="202"/>
  <c r="AM546" i="202"/>
  <c r="AM547" i="202"/>
  <c r="AM548" i="202"/>
  <c r="AM549" i="202"/>
  <c r="AM550" i="202"/>
  <c r="AM551" i="202"/>
  <c r="AM552" i="202"/>
  <c r="AM553" i="202"/>
  <c r="AM554" i="202"/>
  <c r="AM555" i="202"/>
  <c r="AM556" i="202"/>
  <c r="AM557" i="202"/>
  <c r="AM558" i="202"/>
  <c r="AM559" i="202"/>
  <c r="AM560" i="202"/>
  <c r="AM561" i="202"/>
  <c r="AM562" i="202"/>
  <c r="AM563" i="202"/>
  <c r="AM564" i="202"/>
  <c r="AM565" i="202"/>
  <c r="AM566" i="202"/>
  <c r="AM567" i="202"/>
  <c r="AM568" i="202"/>
  <c r="AM569" i="202"/>
  <c r="AM570" i="202"/>
  <c r="AM571" i="202"/>
  <c r="AM572" i="202"/>
  <c r="AM573" i="202"/>
  <c r="AM574" i="202"/>
  <c r="AM575" i="202"/>
  <c r="AM576" i="202"/>
  <c r="AM577" i="202"/>
  <c r="AM578" i="202"/>
  <c r="AM579" i="202"/>
  <c r="AM580" i="202"/>
  <c r="AM581" i="202"/>
  <c r="AM582" i="202"/>
  <c r="AM583" i="202"/>
  <c r="AM584" i="202"/>
  <c r="AM585" i="202"/>
  <c r="AM586" i="202"/>
  <c r="AM587" i="202"/>
  <c r="AM588" i="202"/>
  <c r="AM589" i="202"/>
  <c r="AM590" i="202"/>
  <c r="AM591" i="202"/>
  <c r="AM592" i="202"/>
  <c r="AM593" i="202"/>
  <c r="AM594" i="202"/>
  <c r="AM595" i="202"/>
  <c r="AM596" i="202"/>
  <c r="AM597" i="202"/>
  <c r="AM598" i="202"/>
  <c r="AM599" i="202"/>
  <c r="AM600" i="202"/>
  <c r="AM601" i="202"/>
  <c r="AM602" i="202"/>
  <c r="AM603" i="202"/>
  <c r="AM604" i="202"/>
  <c r="AM605" i="202"/>
  <c r="AM606" i="202"/>
  <c r="AM607" i="202"/>
  <c r="AM608" i="202"/>
  <c r="AM609" i="202"/>
  <c r="AM610" i="202"/>
  <c r="AM611" i="202"/>
  <c r="AM612" i="202"/>
  <c r="AM613" i="202"/>
  <c r="AM614" i="202"/>
  <c r="AM615" i="202"/>
  <c r="AM616" i="202"/>
  <c r="AM617" i="202"/>
  <c r="AM618" i="202"/>
  <c r="AM619" i="202"/>
  <c r="AM620" i="202"/>
  <c r="AM621" i="202"/>
  <c r="AM622" i="202"/>
  <c r="AM623" i="202"/>
  <c r="AM624" i="202"/>
  <c r="AM625" i="202"/>
  <c r="AM626" i="202"/>
  <c r="AM627" i="202"/>
  <c r="AM628" i="202"/>
  <c r="AM629" i="202"/>
  <c r="AM630" i="202"/>
  <c r="AM631" i="202"/>
  <c r="AM632" i="202"/>
  <c r="AM633" i="202"/>
  <c r="AM634" i="202"/>
  <c r="AM635" i="202"/>
  <c r="AM636" i="202"/>
  <c r="AM637" i="202"/>
  <c r="AM638" i="202"/>
  <c r="AM639" i="202"/>
  <c r="AM640" i="202"/>
  <c r="AM641" i="202"/>
  <c r="AM642" i="202"/>
  <c r="AM643" i="202"/>
  <c r="AM644" i="202"/>
  <c r="AM645" i="202"/>
  <c r="AM646" i="202"/>
  <c r="AM647" i="202"/>
  <c r="AM648" i="202"/>
  <c r="AM649" i="202"/>
  <c r="AM650" i="202"/>
  <c r="AM651" i="202"/>
  <c r="AM652" i="202"/>
  <c r="AM653" i="202"/>
  <c r="AM654" i="202"/>
  <c r="AM655" i="202"/>
  <c r="AM656" i="202"/>
  <c r="AM657" i="202"/>
  <c r="AM658" i="202"/>
  <c r="AM659" i="202"/>
  <c r="AM660" i="202"/>
  <c r="AM661" i="202"/>
  <c r="AM662" i="202"/>
  <c r="AM663" i="202"/>
  <c r="AM664" i="202"/>
  <c r="AM665" i="202"/>
  <c r="AM666" i="202"/>
  <c r="AM667" i="202"/>
  <c r="AM668" i="202"/>
  <c r="AM669" i="202"/>
  <c r="AM670" i="202"/>
  <c r="AM671" i="202"/>
  <c r="AM672" i="202"/>
  <c r="AM673" i="202"/>
  <c r="AM674" i="202"/>
  <c r="AM675" i="202"/>
  <c r="AM676" i="202"/>
  <c r="AM677" i="202"/>
  <c r="AM678" i="202"/>
  <c r="AM679" i="202"/>
  <c r="AM680" i="202"/>
  <c r="AM681" i="202"/>
  <c r="AM682" i="202"/>
  <c r="AM683" i="202"/>
  <c r="AM684" i="202"/>
  <c r="AM685" i="202"/>
  <c r="AM686" i="202"/>
  <c r="AM687" i="202"/>
  <c r="AM688" i="202"/>
  <c r="AM689" i="202"/>
  <c r="AM690" i="202"/>
  <c r="AM691" i="202"/>
  <c r="AM692" i="202"/>
  <c r="AM693" i="202"/>
  <c r="AM694" i="202"/>
  <c r="AM695" i="202"/>
  <c r="AM696" i="202"/>
  <c r="AM697" i="202"/>
  <c r="AM698" i="202"/>
  <c r="AM699" i="202"/>
  <c r="AM700" i="202"/>
  <c r="AM701" i="202"/>
  <c r="AM702" i="202"/>
  <c r="AM703" i="202"/>
  <c r="AM704" i="202"/>
  <c r="AM705" i="202"/>
  <c r="AM706" i="202"/>
  <c r="AM707" i="202"/>
  <c r="AM708" i="202"/>
  <c r="AM709" i="202"/>
  <c r="AM710" i="202"/>
  <c r="AM711" i="202"/>
  <c r="AM712" i="202"/>
  <c r="AM713" i="202"/>
  <c r="AM714" i="202"/>
  <c r="AM715" i="202"/>
  <c r="AM716" i="202"/>
  <c r="AM717" i="202"/>
  <c r="AM718" i="202"/>
  <c r="AM719" i="202"/>
  <c r="AM720" i="202"/>
  <c r="AM721" i="202"/>
  <c r="AM722" i="202"/>
  <c r="AM723" i="202"/>
  <c r="AM724" i="202"/>
  <c r="AM725" i="202"/>
  <c r="AM726" i="202"/>
  <c r="AM727" i="202"/>
  <c r="AM728" i="202"/>
  <c r="AM729" i="202"/>
  <c r="AM730" i="202"/>
  <c r="AM731" i="202"/>
  <c r="AM732" i="202"/>
  <c r="AM733" i="202"/>
  <c r="AM734" i="202"/>
  <c r="AM735" i="202"/>
  <c r="AM736" i="202"/>
  <c r="AM737" i="202"/>
  <c r="AM738" i="202"/>
  <c r="AM739" i="202"/>
  <c r="AM740" i="202"/>
  <c r="AM741" i="202"/>
  <c r="AM742" i="202"/>
  <c r="AM743" i="202"/>
  <c r="AM744" i="202"/>
  <c r="AM745" i="202"/>
  <c r="AM746" i="202"/>
  <c r="AM747" i="202"/>
  <c r="AM748" i="202"/>
  <c r="AM749" i="202"/>
  <c r="AM750" i="202"/>
  <c r="AM751" i="202"/>
  <c r="AM752" i="202"/>
  <c r="AM753" i="202"/>
  <c r="AM754" i="202"/>
  <c r="AM755" i="202"/>
  <c r="AM756" i="202"/>
  <c r="AM757" i="202"/>
  <c r="AM758" i="202"/>
  <c r="AM759" i="202"/>
  <c r="AM760" i="202"/>
  <c r="AM761" i="202"/>
  <c r="AM762" i="202"/>
  <c r="AM763" i="202"/>
  <c r="AM764" i="202"/>
  <c r="AM765" i="202"/>
  <c r="AM766" i="202"/>
  <c r="AM767" i="202"/>
  <c r="AM768" i="202"/>
  <c r="AM769" i="202"/>
  <c r="AM770" i="202"/>
  <c r="AM771" i="202"/>
  <c r="AM772" i="202"/>
  <c r="AM773" i="202"/>
  <c r="AM774" i="202"/>
  <c r="AM775" i="202"/>
  <c r="AM776" i="202"/>
  <c r="AM777" i="202"/>
  <c r="AM778" i="202"/>
  <c r="AM779" i="202"/>
  <c r="AM780" i="202"/>
  <c r="AM781" i="202"/>
  <c r="AM782" i="202"/>
  <c r="AM783" i="202"/>
  <c r="AM784" i="202"/>
  <c r="AM785" i="202"/>
  <c r="AM786" i="202"/>
  <c r="AM787" i="202"/>
  <c r="AM788" i="202"/>
  <c r="AM789" i="202"/>
  <c r="AM790" i="202"/>
  <c r="AM791" i="202"/>
  <c r="AM792" i="202"/>
  <c r="AM793" i="202"/>
  <c r="AM794" i="202"/>
  <c r="AM795" i="202"/>
  <c r="AM796" i="202"/>
  <c r="AM797" i="202"/>
  <c r="AM798" i="202"/>
  <c r="AM799" i="202"/>
  <c r="AM800" i="202"/>
  <c r="AM801" i="202"/>
  <c r="AM802" i="202"/>
  <c r="AM803" i="202"/>
  <c r="AM804" i="202"/>
  <c r="AM805" i="202"/>
  <c r="AM806" i="202"/>
  <c r="AM807" i="202"/>
  <c r="AM808" i="202"/>
  <c r="AM809" i="202"/>
  <c r="AM810" i="202"/>
  <c r="AM811" i="202"/>
  <c r="AM812" i="202"/>
  <c r="AM813" i="202"/>
  <c r="AM814" i="202"/>
  <c r="AM815" i="202"/>
  <c r="AM816" i="202"/>
  <c r="AM817" i="202"/>
  <c r="AM818" i="202"/>
  <c r="AM819" i="202"/>
  <c r="AM820" i="202"/>
  <c r="AM821" i="202"/>
  <c r="AM822" i="202"/>
  <c r="AM823" i="202"/>
  <c r="AM824" i="202"/>
  <c r="AM825" i="202"/>
  <c r="AM826" i="202"/>
  <c r="AM827" i="202"/>
  <c r="AM828" i="202"/>
  <c r="AM829" i="202"/>
  <c r="AM830" i="202"/>
  <c r="AM831" i="202"/>
  <c r="AM832" i="202"/>
  <c r="AM833" i="202"/>
  <c r="AM834" i="202"/>
  <c r="AM835" i="202"/>
  <c r="AM836" i="202"/>
  <c r="AM837" i="202"/>
  <c r="AM838" i="202"/>
  <c r="AM839" i="202"/>
  <c r="AM840" i="202"/>
  <c r="AM841" i="202"/>
  <c r="AM842" i="202"/>
  <c r="AM843" i="202"/>
  <c r="AM844" i="202"/>
  <c r="AM845" i="202"/>
  <c r="AM846" i="202"/>
  <c r="AM847" i="202"/>
  <c r="AM848" i="202"/>
  <c r="AM849" i="202"/>
  <c r="AM850" i="202"/>
  <c r="AM851" i="202"/>
  <c r="AM852" i="202"/>
  <c r="AM853" i="202"/>
  <c r="AM854" i="202"/>
  <c r="AM855" i="202"/>
  <c r="AM856" i="202"/>
  <c r="AM857" i="202"/>
  <c r="AM858" i="202"/>
  <c r="AM859" i="202"/>
  <c r="AM860" i="202"/>
  <c r="AM861" i="202"/>
  <c r="AM862" i="202"/>
  <c r="AM863" i="202"/>
  <c r="AM864" i="202"/>
  <c r="AM865" i="202"/>
  <c r="AM866" i="202"/>
  <c r="AM867" i="202"/>
  <c r="AM868" i="202"/>
  <c r="AM869" i="202"/>
  <c r="AM870" i="202"/>
  <c r="AM871" i="202"/>
  <c r="AM872" i="202"/>
  <c r="AM873" i="202"/>
  <c r="AM874" i="202"/>
  <c r="AM875" i="202"/>
  <c r="AM876" i="202"/>
  <c r="AM877" i="202"/>
  <c r="AM878" i="202"/>
  <c r="AM879" i="202"/>
  <c r="AM880" i="202"/>
  <c r="AM881" i="202"/>
  <c r="AM882" i="202"/>
  <c r="AM883" i="202"/>
  <c r="AM884" i="202"/>
  <c r="AM885" i="202"/>
  <c r="AM886" i="202"/>
  <c r="AM887" i="202"/>
  <c r="AM888" i="202"/>
  <c r="AM889" i="202"/>
  <c r="AM890" i="202"/>
  <c r="AM891" i="202"/>
  <c r="AM892" i="202"/>
  <c r="AM893" i="202"/>
  <c r="AM894" i="202"/>
  <c r="AM895" i="202"/>
  <c r="AM896" i="202"/>
  <c r="AM897" i="202"/>
  <c r="AM898" i="202"/>
  <c r="AM899" i="202"/>
  <c r="AM900" i="202"/>
  <c r="AM901" i="202"/>
  <c r="AM902" i="202"/>
  <c r="AM903" i="202"/>
  <c r="AM904" i="202"/>
  <c r="AM905" i="202"/>
  <c r="AM906" i="202"/>
  <c r="AM907" i="202"/>
  <c r="AM908" i="202"/>
  <c r="AM909" i="202"/>
  <c r="AM910" i="202"/>
  <c r="AM911" i="202"/>
  <c r="AM912" i="202"/>
  <c r="AM913" i="202"/>
  <c r="AM914" i="202"/>
  <c r="AM915" i="202"/>
  <c r="AM916" i="202"/>
  <c r="AM917" i="202"/>
  <c r="AM918" i="202"/>
  <c r="AM919" i="202"/>
  <c r="AM920" i="202"/>
  <c r="AM921" i="202"/>
  <c r="AM922" i="202"/>
  <c r="AM923" i="202"/>
  <c r="AM924" i="202"/>
  <c r="AM925" i="202"/>
  <c r="AM926" i="202"/>
  <c r="AM927" i="202"/>
  <c r="AM928" i="202"/>
  <c r="AM929" i="202"/>
  <c r="AM930" i="202"/>
  <c r="AM931" i="202"/>
  <c r="AM932" i="202"/>
  <c r="AM933" i="202"/>
  <c r="AM934" i="202"/>
  <c r="AM935" i="202"/>
  <c r="AM936" i="202"/>
  <c r="AM937" i="202"/>
  <c r="AM938" i="202"/>
  <c r="AM939" i="202"/>
  <c r="AM940" i="202"/>
  <c r="AM941" i="202"/>
  <c r="AM942" i="202"/>
  <c r="AM943" i="202"/>
  <c r="AM944" i="202"/>
  <c r="AM945" i="202"/>
  <c r="AM946" i="202"/>
  <c r="AM947" i="202"/>
  <c r="AM948" i="202"/>
  <c r="AM949" i="202"/>
  <c r="AM950" i="202"/>
  <c r="AM951" i="202"/>
  <c r="AM952" i="202"/>
  <c r="AM953" i="202"/>
  <c r="AM954" i="202"/>
  <c r="AM955" i="202"/>
  <c r="AM956" i="202"/>
  <c r="AM957" i="202"/>
  <c r="AM958" i="202"/>
  <c r="AM959" i="202"/>
  <c r="AM960" i="202"/>
  <c r="AM961" i="202"/>
  <c r="AM962" i="202"/>
  <c r="AM963" i="202"/>
  <c r="AM964" i="202"/>
  <c r="AM965" i="202"/>
  <c r="AM966" i="202"/>
  <c r="AM967" i="202"/>
  <c r="AM968" i="202"/>
  <c r="AM969" i="202"/>
  <c r="AM970" i="202"/>
  <c r="AM971" i="202"/>
  <c r="AM972" i="202"/>
  <c r="AM973" i="202"/>
  <c r="AM974" i="202"/>
  <c r="AM975" i="202"/>
  <c r="AM976" i="202"/>
  <c r="AM977" i="202"/>
  <c r="AM978" i="202"/>
  <c r="AM979" i="202"/>
  <c r="AM980" i="202"/>
  <c r="AM981" i="202"/>
  <c r="AM982" i="202"/>
  <c r="AM983" i="202"/>
  <c r="AM984" i="202"/>
  <c r="AM985" i="202"/>
  <c r="AM986" i="202"/>
  <c r="AM987" i="202"/>
  <c r="AM988" i="202"/>
  <c r="AM989" i="202"/>
  <c r="AM990" i="202"/>
  <c r="AM991" i="202"/>
  <c r="AM992" i="202"/>
  <c r="AM993" i="202"/>
  <c r="AM994" i="202"/>
  <c r="AM995" i="202"/>
  <c r="AM996" i="202"/>
  <c r="AM997" i="202"/>
  <c r="AM998" i="202"/>
  <c r="AM999" i="202"/>
  <c r="AM1000" i="202"/>
  <c r="AM1001" i="202"/>
  <c r="AM1002" i="202"/>
  <c r="AM1003" i="202"/>
  <c r="AM1004" i="202"/>
  <c r="AM1005" i="202"/>
  <c r="AM1006" i="202"/>
  <c r="AM1007" i="202"/>
  <c r="AM1008" i="202"/>
  <c r="AM1009" i="202"/>
  <c r="AM1010" i="202"/>
  <c r="AM1011" i="202"/>
  <c r="AM1012" i="202"/>
  <c r="AM1013" i="202"/>
  <c r="AM1014" i="202"/>
  <c r="AM1015" i="202"/>
  <c r="AM1016" i="202"/>
  <c r="AM1017" i="202"/>
  <c r="AM1018" i="202"/>
  <c r="AM1019" i="202"/>
  <c r="AM1020" i="202"/>
  <c r="AM1021" i="202"/>
  <c r="AM1022" i="202"/>
  <c r="AM1023" i="202"/>
  <c r="AM1024" i="202"/>
  <c r="AM1025" i="202"/>
  <c r="AM1026" i="202"/>
  <c r="AM1027" i="202"/>
  <c r="AM1028" i="202"/>
  <c r="AM1029" i="202"/>
  <c r="AM1030" i="202"/>
  <c r="AM1031" i="202"/>
  <c r="AM1032" i="202"/>
  <c r="AM1033" i="202"/>
  <c r="AM1034" i="202"/>
  <c r="AM1035" i="202"/>
  <c r="AM1036" i="202"/>
  <c r="AM1037" i="202"/>
  <c r="AM1038" i="202"/>
  <c r="AM1039" i="202"/>
  <c r="AM1040" i="202"/>
  <c r="AM1041" i="202"/>
  <c r="AM1042" i="202"/>
  <c r="AM1043" i="202"/>
  <c r="AM1044" i="202"/>
  <c r="AM1045" i="202"/>
  <c r="AM1046" i="202"/>
  <c r="AM1047" i="202"/>
  <c r="AM1048" i="202"/>
  <c r="AM1049" i="202"/>
  <c r="AM1050" i="202"/>
  <c r="AM1051" i="202"/>
  <c r="AM1052" i="202"/>
  <c r="AM1053" i="202"/>
  <c r="AM1054" i="202"/>
  <c r="AM1055" i="202"/>
  <c r="AM1056" i="202"/>
  <c r="AM1057" i="202"/>
  <c r="AM1058" i="202"/>
  <c r="AM1059" i="202"/>
  <c r="AM1060" i="202"/>
  <c r="AM1061" i="202"/>
  <c r="AM1062" i="202"/>
  <c r="AM1063" i="202"/>
  <c r="AM1064" i="202"/>
  <c r="AM1065" i="202"/>
  <c r="AM1066" i="202"/>
  <c r="AM1067" i="202"/>
  <c r="AM1068" i="202"/>
  <c r="AM1069" i="202"/>
  <c r="AM1070" i="202"/>
  <c r="AM1071" i="202"/>
  <c r="AM1072" i="202"/>
  <c r="AM1073" i="202"/>
  <c r="AM1074" i="202"/>
  <c r="AM1075" i="202"/>
  <c r="AM1076" i="202"/>
  <c r="AM1077" i="202"/>
  <c r="AM1078" i="202"/>
  <c r="AM1079" i="202"/>
  <c r="AM1080" i="202"/>
  <c r="AM1081" i="202"/>
  <c r="AM1082" i="202"/>
  <c r="AM1083" i="202"/>
  <c r="AM1084" i="202"/>
  <c r="AM1085" i="202"/>
  <c r="AM1086" i="202"/>
  <c r="AM1087" i="202"/>
  <c r="AM1088" i="202"/>
  <c r="AM1089" i="202"/>
  <c r="AM1090" i="202"/>
  <c r="AM1091" i="202"/>
  <c r="AM1092" i="202"/>
  <c r="AM1093" i="202"/>
  <c r="AM1094" i="202"/>
  <c r="AM1095" i="202"/>
  <c r="AM1096" i="202"/>
  <c r="AM1097" i="202"/>
  <c r="AM1098" i="202"/>
  <c r="AM1099" i="202"/>
  <c r="AM1100" i="202"/>
  <c r="AM1101" i="202"/>
  <c r="AM1102" i="202"/>
  <c r="AM1103" i="202"/>
  <c r="AM1104" i="202"/>
  <c r="AM1105" i="202"/>
  <c r="AM1106" i="202"/>
  <c r="AM1107" i="202"/>
  <c r="AM1108" i="202"/>
  <c r="AM1109" i="202"/>
  <c r="AM1110" i="202"/>
  <c r="AM1111" i="202"/>
  <c r="AM1112" i="202"/>
  <c r="AM1113" i="202"/>
  <c r="AM1114" i="202"/>
  <c r="AM1115" i="202"/>
  <c r="AM1116" i="202"/>
  <c r="AM1117" i="202"/>
  <c r="AM1118" i="202"/>
  <c r="AM1119" i="202"/>
  <c r="AM1120" i="202"/>
  <c r="AM1121" i="202"/>
  <c r="AM1122" i="202"/>
  <c r="AM1123" i="202"/>
  <c r="AM1124" i="202"/>
  <c r="AM1125" i="202"/>
  <c r="AM1126" i="202"/>
  <c r="AM1127" i="202"/>
  <c r="AM1128" i="202"/>
  <c r="AM1129" i="202"/>
  <c r="AM1130" i="202"/>
  <c r="AM1131" i="202"/>
  <c r="AM1132" i="202"/>
  <c r="AM1133" i="202"/>
  <c r="AM1134" i="202"/>
  <c r="AM1135" i="202"/>
  <c r="AM1136" i="202"/>
  <c r="AM1137" i="202"/>
  <c r="AM1138" i="202"/>
  <c r="AM1139" i="202"/>
  <c r="AM1140" i="202"/>
  <c r="AM1141" i="202"/>
  <c r="AM1142" i="202"/>
  <c r="AM1143" i="202"/>
  <c r="AM1144" i="202"/>
  <c r="AM1145" i="202"/>
  <c r="AM1146" i="202"/>
  <c r="AM1147" i="202"/>
  <c r="AM1148" i="202"/>
  <c r="AM1149" i="202"/>
  <c r="AM1150" i="202"/>
  <c r="AM1151" i="202"/>
  <c r="AM1152" i="202"/>
  <c r="AM1153" i="202"/>
  <c r="AM1154" i="202"/>
  <c r="AM1155" i="202"/>
  <c r="AM1156" i="202"/>
  <c r="AM1157" i="202"/>
  <c r="AM1158" i="202"/>
  <c r="AM1159" i="202"/>
  <c r="AM1160" i="202"/>
  <c r="AM1161" i="202"/>
  <c r="AM1162" i="202"/>
  <c r="AM1163" i="202"/>
  <c r="AM1164" i="202"/>
  <c r="AM1165" i="202"/>
  <c r="AM1166" i="202"/>
  <c r="AM1167" i="202"/>
  <c r="AM1168" i="202"/>
  <c r="AM1169" i="202"/>
  <c r="AM1170" i="202"/>
  <c r="AM1171" i="202"/>
  <c r="AM1172" i="202"/>
  <c r="AM1173" i="202"/>
  <c r="AM1174" i="202"/>
  <c r="AM1175" i="202"/>
  <c r="AM1176" i="202"/>
  <c r="AM1177" i="202"/>
  <c r="AM1178" i="202"/>
  <c r="AM1179" i="202"/>
  <c r="AM1180" i="202"/>
  <c r="AM1181" i="202"/>
  <c r="AM1182" i="202"/>
  <c r="AM1183" i="202"/>
  <c r="AM1184" i="202"/>
  <c r="AM1185" i="202"/>
  <c r="AM1186" i="202"/>
  <c r="AM1187" i="202"/>
  <c r="AM1188" i="202"/>
  <c r="AM1189" i="202"/>
  <c r="AM1190" i="202"/>
  <c r="AM1191" i="202"/>
  <c r="AM1192" i="202"/>
  <c r="AM1193" i="202"/>
  <c r="AM1194" i="202"/>
  <c r="AM1195" i="202"/>
  <c r="AM1196" i="202"/>
  <c r="AM1197" i="202"/>
  <c r="AM1198" i="202"/>
  <c r="AM1199" i="202"/>
  <c r="AM1200" i="202"/>
  <c r="AM1201" i="202"/>
  <c r="AM1202" i="202"/>
  <c r="AM1203" i="202"/>
  <c r="AM1204" i="202"/>
  <c r="AM1205" i="202"/>
  <c r="AM1206" i="202"/>
  <c r="AM1207" i="202"/>
  <c r="AM1208" i="202"/>
  <c r="AM1209" i="202"/>
  <c r="AM1210" i="202"/>
  <c r="AM1211" i="202"/>
  <c r="AM1212" i="202"/>
  <c r="AM1213" i="202"/>
  <c r="AM1214" i="202"/>
  <c r="AM1215" i="202"/>
  <c r="AM1216" i="202"/>
  <c r="AM1217" i="202"/>
  <c r="AM1218" i="202"/>
  <c r="AM1219" i="202"/>
  <c r="AM1220" i="202"/>
  <c r="AM1221" i="202"/>
  <c r="AM1222" i="202"/>
  <c r="AM1223" i="202"/>
  <c r="AM1224" i="202"/>
  <c r="AM1225" i="202"/>
  <c r="AM1226" i="202"/>
  <c r="AM1227" i="202"/>
  <c r="AM1228" i="202"/>
  <c r="AM1229" i="202"/>
  <c r="AM1230" i="202"/>
  <c r="AM1231" i="202"/>
  <c r="AM1232" i="202"/>
  <c r="AM1233" i="202"/>
  <c r="AM1234" i="202"/>
  <c r="AM1235" i="202"/>
  <c r="AM1236" i="202"/>
  <c r="AM1237" i="202"/>
  <c r="AM1238" i="202"/>
  <c r="AM1239" i="202"/>
  <c r="AM1240" i="202"/>
  <c r="AM1241" i="202"/>
  <c r="AM1242" i="202"/>
  <c r="AM1243" i="202"/>
  <c r="AM1244" i="202"/>
  <c r="AM1245" i="202"/>
  <c r="AM1246" i="202"/>
  <c r="AM1247" i="202"/>
  <c r="AM1248" i="202"/>
  <c r="AM1249" i="202"/>
  <c r="AM1250" i="202"/>
  <c r="AM1251" i="202"/>
  <c r="AM1252" i="202"/>
  <c r="AM1253" i="202"/>
  <c r="AM1254" i="202"/>
  <c r="AM1255" i="202"/>
  <c r="AM1256" i="202"/>
  <c r="AM1257" i="202"/>
  <c r="AM1258" i="202"/>
  <c r="AM1259" i="202"/>
  <c r="AM1260" i="202"/>
  <c r="AM1261" i="202"/>
  <c r="AM1262" i="202"/>
  <c r="AM1263" i="202"/>
  <c r="AM1264" i="202"/>
  <c r="AM1265" i="202"/>
  <c r="AM1266" i="202"/>
  <c r="AM1267" i="202"/>
  <c r="AM1268" i="202"/>
  <c r="AM1269" i="202"/>
  <c r="AM1270" i="202"/>
  <c r="AM1271" i="202"/>
  <c r="AM1272" i="202"/>
  <c r="AM1273" i="202"/>
  <c r="AM1274" i="202"/>
  <c r="AM1275" i="202"/>
  <c r="AM1276" i="202"/>
  <c r="AM1277" i="202"/>
  <c r="AM1278" i="202"/>
  <c r="AM1279" i="202"/>
  <c r="AM1280" i="202"/>
  <c r="AM1281" i="202"/>
  <c r="AM1282" i="202"/>
  <c r="AM1283" i="202"/>
  <c r="AM1284" i="202"/>
  <c r="AM1285" i="202"/>
  <c r="AM1286" i="202"/>
  <c r="AM1287" i="202"/>
  <c r="AM1288" i="202"/>
  <c r="AM1289" i="202"/>
  <c r="AM1290" i="202"/>
  <c r="AM1291" i="202"/>
  <c r="AM1292" i="202"/>
  <c r="AM1293" i="202"/>
  <c r="AM1294" i="202"/>
  <c r="AM1295" i="202"/>
  <c r="AM1296" i="202"/>
  <c r="AM1297" i="202"/>
  <c r="AM1298" i="202"/>
  <c r="AM1299" i="202"/>
  <c r="AM1300" i="202"/>
  <c r="AM1301" i="202"/>
  <c r="AM1302" i="202"/>
  <c r="AM1303" i="202"/>
  <c r="AM1304" i="202"/>
  <c r="AM1305" i="202"/>
  <c r="AM1306" i="202"/>
  <c r="AM1307" i="202"/>
  <c r="AM1308" i="202"/>
  <c r="AM1309" i="202"/>
  <c r="AM1310" i="202"/>
  <c r="AM1311" i="202"/>
  <c r="AM1312" i="202"/>
  <c r="AM1313" i="202"/>
  <c r="AM1314" i="202"/>
  <c r="AM1315" i="202"/>
  <c r="AM1316" i="202"/>
  <c r="AM1317" i="202"/>
  <c r="AM1318" i="202"/>
  <c r="AM1319" i="202"/>
  <c r="AM1320" i="202"/>
  <c r="AM1321" i="202"/>
  <c r="AM1322" i="202"/>
  <c r="AM1323" i="202"/>
  <c r="AM1324" i="202"/>
  <c r="AM1325" i="202"/>
  <c r="AM1326" i="202"/>
  <c r="AM1327" i="202"/>
  <c r="AM1328" i="202"/>
  <c r="AM1329" i="202"/>
  <c r="AM1330" i="202"/>
  <c r="AM1331" i="202"/>
  <c r="AM1332" i="202"/>
  <c r="AM1333" i="202"/>
  <c r="AM1334" i="202"/>
  <c r="AM1335" i="202"/>
  <c r="AM1336" i="202"/>
  <c r="AM1337" i="202"/>
  <c r="AM1338" i="202"/>
  <c r="AM1339" i="202"/>
  <c r="AM1340" i="202"/>
  <c r="AM1341" i="202"/>
  <c r="AM1342" i="202"/>
  <c r="AM1343" i="202"/>
  <c r="AM1344" i="202"/>
  <c r="AM1345" i="202"/>
  <c r="AM1346" i="202"/>
  <c r="AM1347" i="202"/>
  <c r="AM1348" i="202"/>
  <c r="AM1349" i="202"/>
  <c r="AM1350" i="202"/>
  <c r="AM1351" i="202"/>
  <c r="AM1352" i="202"/>
  <c r="AM1353" i="202"/>
  <c r="AM1354" i="202"/>
  <c r="AM1355" i="202"/>
  <c r="AM1356" i="202"/>
  <c r="AM1357" i="202"/>
  <c r="AM1358" i="202"/>
  <c r="AM1359" i="202"/>
  <c r="AM1360" i="202"/>
  <c r="AM1361" i="202"/>
  <c r="AM1362" i="202"/>
  <c r="AM1363" i="202"/>
  <c r="AM1364" i="202"/>
  <c r="AM1365" i="202"/>
  <c r="AM1366" i="202"/>
  <c r="AM1367" i="202"/>
  <c r="AM1368" i="202"/>
  <c r="AM1369" i="202"/>
  <c r="AM1370" i="202"/>
  <c r="AM1371" i="202"/>
  <c r="AM1372" i="202"/>
  <c r="AM1373" i="202"/>
  <c r="AM1374" i="202"/>
  <c r="AM1375" i="202"/>
  <c r="AM1376" i="202"/>
  <c r="AM1377" i="202"/>
  <c r="AM1378" i="202"/>
  <c r="AM1379" i="202"/>
  <c r="AM1380" i="202"/>
  <c r="AM1381" i="202"/>
  <c r="AM1382" i="202"/>
  <c r="AM1383" i="202"/>
  <c r="AM1384" i="202"/>
  <c r="AM1385" i="202"/>
  <c r="AM1386" i="202"/>
  <c r="AM1387" i="202"/>
  <c r="AM1388" i="202"/>
  <c r="AM1389" i="202"/>
  <c r="AM1390" i="202"/>
  <c r="AM1391" i="202"/>
  <c r="AM1392" i="202"/>
  <c r="AM1393" i="202"/>
  <c r="AM1394" i="202"/>
  <c r="AM1395" i="202"/>
  <c r="AM1396" i="202"/>
  <c r="AM1397" i="202"/>
  <c r="AM1398" i="202"/>
  <c r="AM1399" i="202"/>
  <c r="AM1400" i="202"/>
  <c r="AM1401" i="202"/>
  <c r="AM1402" i="202"/>
  <c r="AM1403" i="202"/>
  <c r="AM1404" i="202"/>
  <c r="AM1405" i="202"/>
  <c r="AM1406" i="202"/>
  <c r="AM1407" i="202"/>
  <c r="AM1408" i="202"/>
  <c r="AM1409" i="202"/>
  <c r="AM1410" i="202"/>
  <c r="AM1411" i="202"/>
  <c r="AM1412" i="202"/>
  <c r="AM1413" i="202"/>
  <c r="AM1414" i="202"/>
  <c r="AM1415" i="202"/>
  <c r="AM1416" i="202"/>
  <c r="AM1417" i="202"/>
  <c r="AM1418" i="202"/>
  <c r="AM1419" i="202"/>
  <c r="AM1420" i="202"/>
  <c r="AM1421" i="202"/>
  <c r="AM1422" i="202"/>
  <c r="AM1423" i="202"/>
  <c r="AM1424" i="202"/>
  <c r="AM1425" i="202"/>
  <c r="AM1426" i="202"/>
  <c r="AM1427" i="202"/>
  <c r="AM1428" i="202"/>
  <c r="AM1429" i="202"/>
  <c r="AM1430" i="202"/>
  <c r="AM1431" i="202"/>
  <c r="AM1432" i="202"/>
  <c r="AM1433" i="202"/>
  <c r="AM1434" i="202"/>
  <c r="AM1435" i="202"/>
  <c r="AM1436" i="202"/>
  <c r="AM1437" i="202"/>
  <c r="AM1438" i="202"/>
  <c r="AM1439" i="202"/>
  <c r="AM1440" i="202"/>
  <c r="AM1441" i="202"/>
  <c r="AM1442" i="202"/>
  <c r="AM1443" i="202"/>
  <c r="AM1444" i="202"/>
  <c r="AM1445" i="202"/>
  <c r="AM1446" i="202"/>
  <c r="AM1447" i="202"/>
  <c r="AM1448" i="202"/>
  <c r="AM1449" i="202"/>
  <c r="AM1450" i="202"/>
  <c r="AM1451" i="202"/>
  <c r="AM1452" i="202"/>
  <c r="AM1453" i="202"/>
  <c r="AM1454" i="202"/>
  <c r="AM1455" i="202"/>
  <c r="AM1456" i="202"/>
  <c r="AM1457" i="202"/>
  <c r="AM1458" i="202"/>
  <c r="AM1459" i="202"/>
  <c r="AM1460" i="202"/>
  <c r="AM1461" i="202"/>
  <c r="AM1462" i="202"/>
  <c r="AM1463" i="202"/>
  <c r="AM1464" i="202"/>
  <c r="AM1465" i="202"/>
  <c r="AM1466" i="202"/>
  <c r="AM1467" i="202"/>
  <c r="AM1468" i="202"/>
  <c r="AM1469" i="202"/>
  <c r="AM1470" i="202"/>
  <c r="AM1471" i="202"/>
  <c r="AM1472" i="202"/>
  <c r="AM1473" i="202"/>
  <c r="AM1474" i="202"/>
  <c r="AM1475" i="202"/>
  <c r="AM1476" i="202"/>
  <c r="AM1477" i="202"/>
  <c r="AM1478" i="202"/>
  <c r="AM1479" i="202"/>
  <c r="AM1480" i="202"/>
  <c r="AM1481" i="202"/>
  <c r="AM1482" i="202"/>
  <c r="AM1483" i="202"/>
  <c r="AM1484" i="202"/>
  <c r="AM1485" i="202"/>
  <c r="AM1486" i="202"/>
  <c r="AM1487" i="202"/>
  <c r="AM1488" i="202"/>
  <c r="AM1489" i="202"/>
  <c r="AM1490" i="202"/>
  <c r="AM1491" i="202"/>
  <c r="AM1492" i="202"/>
  <c r="AM1493" i="202"/>
  <c r="AM1494" i="202"/>
  <c r="AM1495" i="202"/>
  <c r="AM1496" i="202"/>
  <c r="AM1497" i="202"/>
  <c r="AM1498" i="202"/>
  <c r="AM1499" i="202"/>
  <c r="AM1500" i="202"/>
  <c r="AM1501" i="202"/>
  <c r="AM1502" i="202"/>
  <c r="AM1503" i="202"/>
  <c r="AM1504" i="202"/>
  <c r="AM1505" i="202"/>
  <c r="AM1506" i="202"/>
  <c r="AM1507" i="202"/>
  <c r="AM1508" i="202"/>
  <c r="AM1509" i="202"/>
  <c r="AM1510" i="202"/>
  <c r="AM1511" i="202"/>
  <c r="AM1512" i="202"/>
  <c r="AM1513" i="202"/>
  <c r="AM1514" i="202"/>
  <c r="AM1515" i="202"/>
  <c r="AM1516" i="202"/>
  <c r="AM1517" i="202"/>
  <c r="AM1518" i="202"/>
  <c r="AM1519" i="202"/>
  <c r="AM1520" i="202"/>
  <c r="AM1521" i="202"/>
  <c r="AM1522" i="202"/>
  <c r="AM1523" i="202"/>
  <c r="AM1524" i="202"/>
  <c r="AM1525" i="202"/>
  <c r="AM1526" i="202"/>
  <c r="AM1527" i="202"/>
  <c r="AM1528" i="202"/>
  <c r="AM1529" i="202"/>
  <c r="AM1530" i="202"/>
  <c r="AM1531" i="202"/>
  <c r="AM1532" i="202"/>
  <c r="AM1533" i="202"/>
  <c r="AM1534" i="202"/>
  <c r="AM1535" i="202"/>
  <c r="AM1536" i="202"/>
  <c r="AM1537" i="202"/>
  <c r="AM1538" i="202"/>
  <c r="AM1539" i="202"/>
  <c r="AM1540" i="202"/>
  <c r="AM1541" i="202"/>
  <c r="AM1542" i="202"/>
  <c r="AM1543" i="202"/>
  <c r="AM1544" i="202"/>
  <c r="AM1545" i="202"/>
  <c r="AM1546" i="202"/>
  <c r="AM1547" i="202"/>
  <c r="AM1548" i="202"/>
  <c r="AM1549" i="202"/>
  <c r="AM1550" i="202"/>
  <c r="AM1551" i="202"/>
  <c r="AM1552" i="202"/>
  <c r="AM1553" i="202"/>
  <c r="AM1554" i="202"/>
  <c r="AM1555" i="202"/>
  <c r="AM1556" i="202"/>
  <c r="AM1557" i="202"/>
  <c r="AM1558" i="202"/>
  <c r="AM1559" i="202"/>
  <c r="AM1560" i="202"/>
  <c r="AM1561" i="202"/>
  <c r="AM1562" i="202"/>
  <c r="AM1563" i="202"/>
  <c r="AM1564" i="202"/>
  <c r="AM1565" i="202"/>
  <c r="AM1566" i="202"/>
  <c r="AM1567" i="202"/>
  <c r="AM1568" i="202"/>
  <c r="AM1569" i="202"/>
  <c r="AM1570" i="202"/>
  <c r="AM1571" i="202"/>
  <c r="AM1572" i="202"/>
  <c r="AM1573" i="202"/>
  <c r="AM1574" i="202"/>
  <c r="AM1575" i="202"/>
  <c r="AM1576" i="202"/>
  <c r="AM1577" i="202"/>
  <c r="AM1578" i="202"/>
  <c r="AM1579" i="202"/>
  <c r="AM1580" i="202"/>
  <c r="AM1581" i="202"/>
  <c r="AM1582" i="202"/>
  <c r="AM1583" i="202"/>
  <c r="AM1584" i="202"/>
  <c r="AM1585" i="202"/>
  <c r="AM1586" i="202"/>
  <c r="AM1587" i="202"/>
  <c r="AM1588" i="202"/>
  <c r="AM1589" i="202"/>
  <c r="AM1590" i="202"/>
  <c r="AM1591" i="202"/>
  <c r="AM1592" i="202"/>
  <c r="AM1593" i="202"/>
  <c r="AM1594" i="202"/>
  <c r="AM1595" i="202"/>
  <c r="AM1596" i="202"/>
  <c r="AM1597" i="202"/>
  <c r="AM1598" i="202"/>
  <c r="AM1599" i="202"/>
  <c r="AM1600" i="202"/>
  <c r="AM1601" i="202"/>
  <c r="AM1602" i="202"/>
  <c r="AM1603" i="202"/>
  <c r="AM1604" i="202"/>
  <c r="AM1605" i="202"/>
  <c r="AM1606" i="202"/>
  <c r="AM1607" i="202"/>
  <c r="AM1608" i="202"/>
  <c r="AM1609" i="202"/>
  <c r="AM1610" i="202"/>
  <c r="AM1611" i="202"/>
  <c r="AM1612" i="202"/>
  <c r="AM1613" i="202"/>
  <c r="AM1614" i="202"/>
  <c r="AM1615" i="202"/>
  <c r="AM1616" i="202"/>
  <c r="AM1617" i="202"/>
  <c r="AM1618" i="202"/>
  <c r="AM1619" i="202"/>
  <c r="AM1620" i="202"/>
  <c r="AM1621" i="202"/>
  <c r="AM1622" i="202"/>
  <c r="AM1623" i="202"/>
  <c r="AM1624" i="202"/>
  <c r="AM1625" i="202"/>
  <c r="AM1626" i="202"/>
  <c r="AM1627" i="202"/>
  <c r="AM1628" i="202"/>
  <c r="AM1629" i="202"/>
  <c r="AM1630" i="202"/>
  <c r="AM1631" i="202"/>
  <c r="AM1632" i="202"/>
  <c r="AM1633" i="202"/>
  <c r="AM1634" i="202"/>
  <c r="AM1635" i="202"/>
  <c r="AM1636" i="202"/>
  <c r="AM1637" i="202"/>
  <c r="AM1638" i="202"/>
  <c r="AM1639" i="202"/>
  <c r="AM1640" i="202"/>
  <c r="AM1641" i="202"/>
  <c r="AM1642" i="202"/>
  <c r="AM1643" i="202"/>
  <c r="AM1644" i="202"/>
  <c r="AM1645" i="202"/>
  <c r="AM1646" i="202"/>
  <c r="AM1647" i="202"/>
  <c r="AM1648" i="202"/>
  <c r="AM1649" i="202"/>
  <c r="AM1650" i="202"/>
  <c r="AM1651" i="202"/>
  <c r="AM1652" i="202"/>
  <c r="AM1653" i="202"/>
  <c r="AM1654" i="202"/>
  <c r="AM1655" i="202"/>
  <c r="AM1656" i="202"/>
  <c r="AM1657" i="202"/>
  <c r="AM1658" i="202"/>
  <c r="AM1659" i="202"/>
  <c r="AM1660" i="202"/>
  <c r="AM1661" i="202"/>
  <c r="AM1662" i="202"/>
  <c r="AM1663" i="202"/>
  <c r="AM1664" i="202"/>
  <c r="AM1665" i="202"/>
  <c r="AM1666" i="202"/>
  <c r="AM1667" i="202"/>
  <c r="AM1668" i="202"/>
  <c r="AM1669" i="202"/>
  <c r="AM1670" i="202"/>
  <c r="AM1671" i="202"/>
  <c r="AM1672" i="202"/>
  <c r="AM1673" i="202"/>
  <c r="AM1674" i="202"/>
  <c r="AM1675" i="202"/>
  <c r="AM1676" i="202"/>
  <c r="AM1677" i="202"/>
  <c r="AM1678" i="202"/>
  <c r="AM1679" i="202"/>
  <c r="AM1680" i="202"/>
  <c r="AM1681" i="202"/>
  <c r="AM1682" i="202"/>
  <c r="AM1683" i="202"/>
  <c r="AM1684" i="202"/>
  <c r="AM1685" i="202"/>
  <c r="AM1686" i="202"/>
  <c r="AM1687" i="202"/>
  <c r="AM1688" i="202"/>
  <c r="AM1689" i="202"/>
  <c r="AM1690" i="202"/>
  <c r="AM1691" i="202"/>
  <c r="AM1692" i="202"/>
  <c r="AM1693" i="202"/>
  <c r="AM1694" i="202"/>
  <c r="AM1695" i="202"/>
  <c r="AM1696" i="202"/>
  <c r="AM1697" i="202"/>
  <c r="AM1698" i="202"/>
  <c r="AM1699" i="202"/>
  <c r="AM1700" i="202"/>
  <c r="AM1701" i="202"/>
  <c r="AM1702" i="202"/>
  <c r="AM1703" i="202"/>
  <c r="AM1704" i="202"/>
  <c r="AM1705" i="202"/>
  <c r="AM1706" i="202"/>
  <c r="AM1707" i="202"/>
  <c r="AM1708" i="202"/>
  <c r="AM1709" i="202"/>
  <c r="AM1710" i="202"/>
  <c r="AM1711" i="202"/>
  <c r="AM1712" i="202"/>
  <c r="AM1713" i="202"/>
  <c r="AM1714" i="202"/>
  <c r="AM1715" i="202"/>
  <c r="AM1716" i="202"/>
  <c r="AM1717" i="202"/>
  <c r="AM1718" i="202"/>
  <c r="AM1719" i="202"/>
  <c r="AM1720" i="202"/>
  <c r="AM1721" i="202"/>
  <c r="AM1722" i="202"/>
  <c r="AM1723" i="202"/>
  <c r="AM1724" i="202"/>
  <c r="AM1725" i="202"/>
  <c r="AM1726" i="202"/>
  <c r="AM1727" i="202"/>
  <c r="AM1728" i="202"/>
  <c r="AM1729" i="202"/>
  <c r="AM1730" i="202"/>
  <c r="AM1731" i="202"/>
  <c r="AM1732" i="202"/>
  <c r="AM1733" i="202"/>
  <c r="AM1734" i="202"/>
  <c r="AM1735" i="202"/>
  <c r="AM1736" i="202"/>
  <c r="AM1737" i="202"/>
  <c r="AM1738" i="202"/>
  <c r="AM1739" i="202"/>
  <c r="AM1740" i="202"/>
  <c r="AM1741" i="202"/>
  <c r="AM1742" i="202"/>
  <c r="AM1743" i="202"/>
  <c r="AM1744" i="202"/>
  <c r="AM1745" i="202"/>
  <c r="AM1746" i="202"/>
  <c r="AM1747" i="202"/>
  <c r="AM1748" i="202"/>
  <c r="AM1749" i="202"/>
  <c r="AM1750" i="202"/>
  <c r="AM1751" i="202"/>
  <c r="AM1752" i="202"/>
  <c r="AM1753" i="202"/>
  <c r="AM1754" i="202"/>
  <c r="AM1755" i="202"/>
  <c r="AM1756" i="202"/>
  <c r="AM1757" i="202"/>
  <c r="AM1758" i="202"/>
  <c r="AM1759" i="202"/>
  <c r="AM1760" i="202"/>
  <c r="AM1761" i="202"/>
  <c r="AM1762" i="202"/>
  <c r="AM1763" i="202"/>
  <c r="AM1764" i="202"/>
  <c r="AM1765" i="202"/>
  <c r="AM1766" i="202"/>
  <c r="AM1767" i="202"/>
  <c r="AM1768" i="202"/>
  <c r="AM1769" i="202"/>
  <c r="AM1770" i="202"/>
  <c r="AM1771" i="202"/>
  <c r="AM1772" i="202"/>
  <c r="AM1773" i="202"/>
  <c r="AM1774" i="202"/>
  <c r="AM1775" i="202"/>
  <c r="AM1776" i="202"/>
  <c r="AM1777" i="202"/>
  <c r="AM1778" i="202"/>
  <c r="AM1779" i="202"/>
  <c r="AM1780" i="202"/>
  <c r="AM1781" i="202"/>
  <c r="AM1782" i="202"/>
  <c r="AM1783" i="202"/>
  <c r="AM1784" i="202"/>
  <c r="AM1785" i="202"/>
  <c r="AM1786" i="202"/>
  <c r="AM1787" i="202"/>
  <c r="AM1788" i="202"/>
  <c r="AM1789" i="202"/>
  <c r="AM1790" i="202"/>
  <c r="AM1791" i="202"/>
  <c r="AM1792" i="202"/>
  <c r="AM1793" i="202"/>
  <c r="AM1794" i="202"/>
  <c r="AM1795" i="202"/>
  <c r="AM1796" i="202"/>
  <c r="AM1797" i="202"/>
  <c r="AM1798" i="202"/>
  <c r="AM1799" i="202"/>
  <c r="AM1800" i="202"/>
  <c r="AM1801" i="202"/>
  <c r="AM1802" i="202"/>
  <c r="AM1803" i="202"/>
  <c r="AM1804" i="202"/>
  <c r="AM1805" i="202"/>
  <c r="AM1806" i="202"/>
  <c r="AM1807" i="202"/>
  <c r="AM1808" i="202"/>
  <c r="AM1809" i="202"/>
  <c r="AM1810" i="202"/>
  <c r="AM1811" i="202"/>
  <c r="AM1812" i="202"/>
  <c r="AM1813" i="202"/>
  <c r="AM1814" i="202"/>
  <c r="AM1815" i="202"/>
  <c r="AM1816" i="202"/>
  <c r="AM1817" i="202"/>
  <c r="AM1818" i="202"/>
  <c r="AM1819" i="202"/>
  <c r="AM1820" i="202"/>
  <c r="AM1821" i="202"/>
  <c r="AM1822" i="202"/>
  <c r="AM1823" i="202"/>
  <c r="AM1824" i="202"/>
  <c r="AM1825" i="202"/>
  <c r="AM1826" i="202"/>
  <c r="AM1827" i="202"/>
  <c r="AM1828" i="202"/>
  <c r="AM1829" i="202"/>
  <c r="AM1830" i="202"/>
  <c r="AM1831" i="202"/>
  <c r="AM1832" i="202"/>
  <c r="AM1833" i="202"/>
  <c r="AM1834" i="202"/>
  <c r="AM1835" i="202"/>
  <c r="AM1836" i="202"/>
  <c r="AM1837" i="202"/>
  <c r="AM1838" i="202"/>
  <c r="AM1839" i="202"/>
  <c r="AM1840" i="202"/>
  <c r="AM1841" i="202"/>
  <c r="AM1842" i="202"/>
  <c r="AM1843" i="202"/>
  <c r="AM1844" i="202"/>
  <c r="AM1845" i="202"/>
  <c r="AM1846" i="202"/>
  <c r="AM1847" i="202"/>
  <c r="AM1848" i="202"/>
  <c r="AM1849" i="202"/>
  <c r="AM1850" i="202"/>
  <c r="AM1851" i="202"/>
  <c r="AM1852" i="202"/>
  <c r="AM1853" i="202"/>
  <c r="AM1854" i="202"/>
  <c r="AM1855" i="202"/>
  <c r="AM1856" i="202"/>
  <c r="AM1857" i="202"/>
  <c r="AM1858" i="202"/>
  <c r="AM1859" i="202"/>
  <c r="AM1860" i="202"/>
  <c r="AM1861" i="202"/>
  <c r="AM1862" i="202"/>
  <c r="AM1863" i="202"/>
  <c r="AM1864" i="202"/>
  <c r="AM1865" i="202"/>
  <c r="AM1866" i="202"/>
  <c r="AM1867" i="202"/>
  <c r="AM1868" i="202"/>
  <c r="AM1869" i="202"/>
  <c r="AM1870" i="202"/>
  <c r="AM1871" i="202"/>
  <c r="AM1872" i="202"/>
  <c r="AM1873" i="202"/>
  <c r="AM1874" i="202"/>
  <c r="AM1875" i="202"/>
  <c r="AM1876" i="202"/>
  <c r="AM1877" i="202"/>
  <c r="AM1878" i="202"/>
  <c r="AM1879" i="202"/>
  <c r="AM1880" i="202"/>
  <c r="AM1881" i="202"/>
  <c r="AM1882" i="202"/>
  <c r="AM1883" i="202"/>
  <c r="AM1884" i="202"/>
  <c r="AM1885" i="202"/>
  <c r="AM1886" i="202"/>
  <c r="AM1887" i="202"/>
  <c r="AM1888" i="202"/>
  <c r="AM1889" i="202"/>
  <c r="AM1890" i="202"/>
  <c r="AM1891" i="202"/>
  <c r="AM1892" i="202"/>
  <c r="AM1893" i="202"/>
  <c r="AM1894" i="202"/>
  <c r="AM1895" i="202"/>
  <c r="AM1896" i="202"/>
  <c r="AM1897" i="202"/>
  <c r="AM1898" i="202"/>
  <c r="AM1899" i="202"/>
  <c r="AM1900" i="202"/>
  <c r="AM1901" i="202"/>
  <c r="AM1902" i="202"/>
  <c r="AM1903" i="202"/>
  <c r="AM1904" i="202"/>
  <c r="AM1905" i="202"/>
  <c r="AM1906" i="202"/>
  <c r="AM1907" i="202"/>
  <c r="AM1908" i="202"/>
  <c r="AM1909" i="202"/>
  <c r="AM1910" i="202"/>
  <c r="AM1911" i="202"/>
  <c r="AM1912" i="202"/>
  <c r="AM1913" i="202"/>
  <c r="AM1914" i="202"/>
  <c r="AM1915" i="202"/>
  <c r="AM1916" i="202"/>
  <c r="AM1917" i="202"/>
  <c r="AM1918" i="202"/>
  <c r="AM1919" i="202"/>
  <c r="AM1920" i="202"/>
  <c r="AM1921" i="202"/>
  <c r="AM1922" i="202"/>
  <c r="AM1923" i="202"/>
  <c r="AM1924" i="202"/>
  <c r="AM1925" i="202"/>
  <c r="AM1926" i="202"/>
  <c r="AM1927" i="202"/>
  <c r="AM1928" i="202"/>
  <c r="AM1929" i="202"/>
  <c r="AM1930" i="202"/>
  <c r="AM1931" i="202"/>
  <c r="AM1932" i="202"/>
  <c r="AM1933" i="202"/>
  <c r="AM1934" i="202"/>
  <c r="AM1935" i="202"/>
  <c r="AM1936" i="202"/>
  <c r="AM1937" i="202"/>
  <c r="AM1938" i="202"/>
  <c r="AM1939" i="202"/>
  <c r="AM1940" i="202"/>
  <c r="AM1941" i="202"/>
  <c r="AM1942" i="202"/>
  <c r="AM1943" i="202"/>
  <c r="AM1944" i="202"/>
  <c r="AM1945" i="202"/>
  <c r="AM1946" i="202"/>
  <c r="AM1947" i="202"/>
  <c r="AM1948" i="202"/>
  <c r="AM1949" i="202"/>
  <c r="AM1950" i="202"/>
  <c r="AM1951" i="202"/>
  <c r="AM1952" i="202"/>
  <c r="AM1953" i="202"/>
  <c r="AM1954" i="202"/>
  <c r="AM1955" i="202"/>
  <c r="AM1956" i="202"/>
  <c r="AM1957" i="202"/>
  <c r="AM1958" i="202"/>
  <c r="AM1959" i="202"/>
  <c r="AM1960" i="202"/>
  <c r="AM1961" i="202"/>
  <c r="AM1962" i="202"/>
  <c r="AM1963" i="202"/>
  <c r="AM1964" i="202"/>
  <c r="AM1965" i="202"/>
  <c r="AM1966" i="202"/>
  <c r="AM1967" i="202"/>
  <c r="AM1968" i="202"/>
  <c r="AM1969" i="202"/>
  <c r="AM1970" i="202"/>
  <c r="AM1971" i="202"/>
  <c r="AM1972" i="202"/>
  <c r="AM1973" i="202"/>
  <c r="AM1974" i="202"/>
  <c r="AM1975" i="202"/>
  <c r="AM1976" i="202"/>
  <c r="AM1977" i="202"/>
  <c r="AM1978" i="202"/>
  <c r="AM1979" i="202"/>
  <c r="AM1980" i="202"/>
  <c r="AM1981" i="202"/>
  <c r="AM1982" i="202"/>
  <c r="AM1983" i="202"/>
  <c r="AM1984" i="202"/>
  <c r="AM1985" i="202"/>
  <c r="AM1986" i="202"/>
  <c r="AM1987" i="202"/>
  <c r="AM1988" i="202"/>
  <c r="AM1989" i="202"/>
  <c r="AM1990" i="202"/>
  <c r="AM1991" i="202"/>
  <c r="AM1992" i="202"/>
  <c r="AM1993" i="202"/>
  <c r="AM1994" i="202"/>
  <c r="AM1995" i="202"/>
  <c r="AM1996" i="202"/>
  <c r="AM1997" i="202"/>
  <c r="AM1998" i="202"/>
  <c r="AM1999" i="202"/>
  <c r="AM2000" i="202"/>
  <c r="AM2001" i="202"/>
  <c r="AM2002" i="202"/>
  <c r="AM2003" i="202"/>
  <c r="AM2004" i="202"/>
  <c r="AM2005" i="202"/>
  <c r="AM2006" i="202"/>
  <c r="AM2007" i="202"/>
  <c r="AM2008" i="202"/>
  <c r="AM2009" i="202"/>
  <c r="AM2010" i="202"/>
  <c r="AM2011" i="202"/>
  <c r="AM2012" i="202"/>
  <c r="AM2013" i="202"/>
  <c r="AM2014" i="202"/>
  <c r="AM2015" i="202"/>
  <c r="AM2016" i="202"/>
  <c r="AM2017" i="202"/>
  <c r="AM2018" i="202"/>
  <c r="AM2019" i="202"/>
  <c r="AM2020" i="202"/>
  <c r="AM2021" i="202"/>
  <c r="AM2022" i="202"/>
  <c r="AM2023" i="202"/>
  <c r="AM2024" i="202"/>
  <c r="AM2025" i="202"/>
  <c r="AM2026" i="202"/>
  <c r="AM2027" i="202"/>
  <c r="AM2028" i="202"/>
  <c r="AM2029" i="202"/>
  <c r="AM2030" i="202"/>
  <c r="AM2031" i="202"/>
  <c r="AM2032" i="202"/>
  <c r="AM2033" i="202"/>
  <c r="AM2034" i="202"/>
  <c r="AM2035" i="202"/>
  <c r="AM2036" i="202"/>
  <c r="AM2037" i="202"/>
  <c r="AM2038" i="202"/>
  <c r="AM2039" i="202"/>
  <c r="AM2040" i="202"/>
  <c r="AM2041" i="202"/>
  <c r="AM2042" i="202"/>
  <c r="AM2043" i="202"/>
  <c r="AM2044" i="202"/>
  <c r="AM2045" i="202"/>
  <c r="AM2046" i="202"/>
  <c r="AM2047" i="202"/>
  <c r="AM2048" i="202"/>
  <c r="Y2" i="202"/>
  <c r="Y3" i="202"/>
  <c r="Y4" i="202"/>
  <c r="Y5" i="202"/>
  <c r="Y6" i="202"/>
  <c r="Y7" i="202"/>
  <c r="Y8" i="202"/>
  <c r="Y9" i="202"/>
  <c r="Y10" i="202"/>
  <c r="Y11" i="202"/>
  <c r="Y12" i="202"/>
  <c r="Y13" i="202"/>
  <c r="Y14" i="202"/>
  <c r="Y15" i="202"/>
  <c r="Y16" i="202"/>
  <c r="Y17" i="202"/>
  <c r="Y18" i="202"/>
  <c r="Y19" i="202"/>
  <c r="Y20" i="202"/>
  <c r="Y21" i="202"/>
  <c r="Y22" i="202"/>
  <c r="Y23" i="202"/>
  <c r="Y24" i="202"/>
  <c r="Y25" i="202"/>
  <c r="Y26" i="202"/>
  <c r="Y27" i="202"/>
  <c r="Y28" i="202"/>
  <c r="Y29" i="202"/>
  <c r="Y30" i="202"/>
  <c r="Y31" i="202"/>
  <c r="Y32" i="202"/>
  <c r="Y33" i="202"/>
  <c r="Y34" i="202"/>
  <c r="Y35" i="202"/>
  <c r="Y36" i="202"/>
  <c r="Y37" i="202"/>
  <c r="Y38" i="202"/>
  <c r="Y39" i="202"/>
  <c r="Y40" i="202"/>
  <c r="Y41" i="202"/>
  <c r="Y42" i="202"/>
  <c r="Y43" i="202"/>
  <c r="Y44" i="202"/>
  <c r="Y45" i="202"/>
  <c r="Y46" i="202"/>
  <c r="Y47" i="202"/>
  <c r="Y48" i="202"/>
  <c r="Y49" i="202"/>
  <c r="Y50" i="202"/>
  <c r="Y51" i="202"/>
  <c r="Y52" i="202"/>
  <c r="Y53" i="202"/>
  <c r="Y54" i="202"/>
  <c r="Y55" i="202"/>
  <c r="Y56" i="202"/>
  <c r="Y57" i="202"/>
  <c r="Y58" i="202"/>
  <c r="Y59" i="202"/>
  <c r="Y60" i="202"/>
  <c r="Y61" i="202"/>
  <c r="Y62" i="202"/>
  <c r="Y63" i="202"/>
  <c r="Y64" i="202"/>
  <c r="Y65" i="202"/>
  <c r="Y66" i="202"/>
  <c r="Y67" i="202"/>
  <c r="Y68" i="202"/>
  <c r="Y69" i="202"/>
  <c r="Y70" i="202"/>
  <c r="Y71" i="202"/>
  <c r="Y72" i="202"/>
  <c r="Y73" i="202"/>
  <c r="Y74" i="202"/>
  <c r="Y75" i="202"/>
  <c r="Y76" i="202"/>
  <c r="Y77" i="202"/>
  <c r="Y78" i="202"/>
  <c r="Y79" i="202"/>
  <c r="Y80" i="202"/>
  <c r="Y81" i="202"/>
  <c r="Y82" i="202"/>
  <c r="Y83" i="202"/>
  <c r="Y84" i="202"/>
  <c r="Y85" i="202"/>
  <c r="Y86" i="202"/>
  <c r="Y87" i="202"/>
  <c r="Y88" i="202"/>
  <c r="Y89" i="202"/>
  <c r="Y90" i="202"/>
  <c r="Y91" i="202"/>
  <c r="Y92" i="202"/>
  <c r="Y93" i="202"/>
  <c r="Y94" i="202"/>
  <c r="Y95" i="202"/>
  <c r="Y96" i="202"/>
  <c r="Y97" i="202"/>
  <c r="Y98" i="202"/>
  <c r="Y99" i="202"/>
  <c r="Y100" i="202"/>
  <c r="Y101" i="202"/>
  <c r="Y102" i="202"/>
  <c r="Y103" i="202"/>
  <c r="Y104" i="202"/>
  <c r="Y105" i="202"/>
  <c r="Y106" i="202"/>
  <c r="Y107" i="202"/>
  <c r="Y108" i="202"/>
  <c r="Y109" i="202"/>
  <c r="Y110" i="202"/>
  <c r="Y111" i="202"/>
  <c r="Y112" i="202"/>
  <c r="Y113" i="202"/>
  <c r="Y114" i="202"/>
  <c r="Y115" i="202"/>
  <c r="Y116" i="202"/>
  <c r="Y117" i="202"/>
  <c r="Y118" i="202"/>
  <c r="Y119" i="202"/>
  <c r="Y120" i="202"/>
  <c r="Y121" i="202"/>
  <c r="Y122" i="202"/>
  <c r="Y123" i="202"/>
  <c r="Y124" i="202"/>
  <c r="Y125" i="202"/>
  <c r="Y126" i="202"/>
  <c r="Y127" i="202"/>
  <c r="Y128" i="202"/>
  <c r="Y129" i="202"/>
  <c r="Y130" i="202"/>
  <c r="Y131" i="202"/>
  <c r="Y132" i="202"/>
  <c r="Y133" i="202"/>
  <c r="Y134" i="202"/>
  <c r="Y135" i="202"/>
  <c r="Y136" i="202"/>
  <c r="Y137" i="202"/>
  <c r="Y138" i="202"/>
  <c r="Y139" i="202"/>
  <c r="Y140" i="202"/>
  <c r="Y141" i="202"/>
  <c r="Y142" i="202"/>
  <c r="Y143" i="202"/>
  <c r="Y144" i="202"/>
  <c r="Y145" i="202"/>
  <c r="Y146" i="202"/>
  <c r="Y147" i="202"/>
  <c r="Y148" i="202"/>
  <c r="Y149" i="202"/>
  <c r="Y150" i="202"/>
  <c r="Y151" i="202"/>
  <c r="Y152" i="202"/>
  <c r="Y153" i="202"/>
  <c r="Y154" i="202"/>
  <c r="Y155" i="202"/>
  <c r="Y156" i="202"/>
  <c r="Y157" i="202"/>
  <c r="Y158" i="202"/>
  <c r="Y159" i="202"/>
  <c r="Y160" i="202"/>
  <c r="Y161" i="202"/>
  <c r="Y162" i="202"/>
  <c r="Y163" i="202"/>
  <c r="Y164" i="202"/>
  <c r="Y165" i="202"/>
  <c r="Y166" i="202"/>
  <c r="Y167" i="202"/>
  <c r="Y168" i="202"/>
  <c r="Y169" i="202"/>
  <c r="Y170" i="202"/>
  <c r="Y171" i="202"/>
  <c r="Y172" i="202"/>
  <c r="Y173" i="202"/>
  <c r="Y174" i="202"/>
  <c r="Y175" i="202"/>
  <c r="Y176" i="202"/>
  <c r="Y177" i="202"/>
  <c r="Y178" i="202"/>
  <c r="Y179" i="202"/>
  <c r="Y180" i="202"/>
  <c r="Y181" i="202"/>
  <c r="Y182" i="202"/>
  <c r="Y183" i="202"/>
  <c r="Y184" i="202"/>
  <c r="Y185" i="202"/>
  <c r="Y186" i="202"/>
  <c r="Y187" i="202"/>
  <c r="Y188" i="202"/>
  <c r="Y189" i="202"/>
  <c r="Y190" i="202"/>
  <c r="Y191" i="202"/>
  <c r="Y192" i="202"/>
  <c r="Y193" i="202"/>
  <c r="Y194" i="202"/>
  <c r="Y195" i="202"/>
  <c r="Y196" i="202"/>
  <c r="Y197" i="202"/>
  <c r="Y198" i="202"/>
  <c r="Y199" i="202"/>
  <c r="Y200" i="202"/>
  <c r="Y201" i="202"/>
  <c r="Y202" i="202"/>
  <c r="Y203" i="202"/>
  <c r="Y204" i="202"/>
  <c r="Y205" i="202"/>
  <c r="Y206" i="202"/>
  <c r="Y207" i="202"/>
  <c r="Y208" i="202"/>
  <c r="Y209" i="202"/>
  <c r="Y210" i="202"/>
  <c r="Y211" i="202"/>
  <c r="Y212" i="202"/>
  <c r="Y213" i="202"/>
  <c r="Y214" i="202"/>
  <c r="Y215" i="202"/>
  <c r="Y216" i="202"/>
  <c r="Y217" i="202"/>
  <c r="Y218" i="202"/>
  <c r="Y219" i="202"/>
  <c r="Y220" i="202"/>
  <c r="Y221" i="202"/>
  <c r="Y222" i="202"/>
  <c r="Y223" i="202"/>
  <c r="Y224" i="202"/>
  <c r="Y225" i="202"/>
  <c r="Y226" i="202"/>
  <c r="Y227" i="202"/>
  <c r="Y228" i="202"/>
  <c r="Y229" i="202"/>
  <c r="Y230" i="202"/>
  <c r="Y231" i="202"/>
  <c r="Y232" i="202"/>
  <c r="Y233" i="202"/>
  <c r="Y234" i="202"/>
  <c r="Y235" i="202"/>
  <c r="Y236" i="202"/>
  <c r="Y237" i="202"/>
  <c r="Y238" i="202"/>
  <c r="Y239" i="202"/>
  <c r="Y240" i="202"/>
  <c r="Y241" i="202"/>
  <c r="Y242" i="202"/>
  <c r="Y243" i="202"/>
  <c r="Y244" i="202"/>
  <c r="Y245" i="202"/>
  <c r="Y246" i="202"/>
  <c r="Y247" i="202"/>
  <c r="Y248" i="202"/>
  <c r="Y249" i="202"/>
  <c r="Y250" i="202"/>
  <c r="Y251" i="202"/>
  <c r="Y252" i="202"/>
  <c r="Y253" i="202"/>
  <c r="Y254" i="202"/>
  <c r="Y255" i="202"/>
  <c r="Y256" i="202"/>
  <c r="Y257" i="202"/>
  <c r="Y258" i="202"/>
  <c r="Y259" i="202"/>
  <c r="Y260" i="202"/>
  <c r="Y261" i="202"/>
  <c r="Y262" i="202"/>
  <c r="Y263" i="202"/>
  <c r="Y264" i="202"/>
  <c r="Y265" i="202"/>
  <c r="Y266" i="202"/>
  <c r="Y267" i="202"/>
  <c r="Y268" i="202"/>
  <c r="Y269" i="202"/>
  <c r="Y270" i="202"/>
  <c r="Y271" i="202"/>
  <c r="Y272" i="202"/>
  <c r="Y273" i="202"/>
  <c r="Y274" i="202"/>
  <c r="Y275" i="202"/>
  <c r="Y276" i="202"/>
  <c r="Y277" i="202"/>
  <c r="Y278" i="202"/>
  <c r="Y279" i="202"/>
  <c r="Y280" i="202"/>
  <c r="Y281" i="202"/>
  <c r="Y282" i="202"/>
  <c r="Y283" i="202"/>
  <c r="Y284" i="202"/>
  <c r="Y285" i="202"/>
  <c r="Y286" i="202"/>
  <c r="Y287" i="202"/>
  <c r="Y288" i="202"/>
  <c r="Y289" i="202"/>
  <c r="Y290" i="202"/>
  <c r="Y291" i="202"/>
  <c r="Y292" i="202"/>
  <c r="Y293" i="202"/>
  <c r="Y294" i="202"/>
  <c r="Y295" i="202"/>
  <c r="Y296" i="202"/>
  <c r="Y297" i="202"/>
  <c r="Y298" i="202"/>
  <c r="Y299" i="202"/>
  <c r="Y300" i="202"/>
  <c r="Y301" i="202"/>
  <c r="Y302" i="202"/>
  <c r="Y303" i="202"/>
  <c r="Y304" i="202"/>
  <c r="Y305" i="202"/>
  <c r="Y306" i="202"/>
  <c r="Y307" i="202"/>
  <c r="Y308" i="202"/>
  <c r="Y309" i="202"/>
  <c r="Y310" i="202"/>
  <c r="Y311" i="202"/>
  <c r="Y312" i="202"/>
  <c r="Y313" i="202"/>
  <c r="Y314" i="202"/>
  <c r="Y315" i="202"/>
  <c r="Y316" i="202"/>
  <c r="Y317" i="202"/>
  <c r="Y318" i="202"/>
  <c r="Y319" i="202"/>
  <c r="Y320" i="202"/>
  <c r="Y321" i="202"/>
  <c r="Y322" i="202"/>
  <c r="Y323" i="202"/>
  <c r="Y324" i="202"/>
  <c r="Y325" i="202"/>
  <c r="Y326" i="202"/>
  <c r="Y327" i="202"/>
  <c r="Y328" i="202"/>
  <c r="Y329" i="202"/>
  <c r="Y330" i="202"/>
  <c r="Y331" i="202"/>
  <c r="Y332" i="202"/>
  <c r="Y333" i="202"/>
  <c r="Y334" i="202"/>
  <c r="Y335" i="202"/>
  <c r="Y336" i="202"/>
  <c r="Y337" i="202"/>
  <c r="Y338" i="202"/>
  <c r="Y339" i="202"/>
  <c r="Y340" i="202"/>
  <c r="Y341" i="202"/>
  <c r="Y342" i="202"/>
  <c r="Y343" i="202"/>
  <c r="Y344" i="202"/>
  <c r="Y345" i="202"/>
  <c r="Y346" i="202"/>
  <c r="Y347" i="202"/>
  <c r="Y348" i="202"/>
  <c r="Y349" i="202"/>
  <c r="Y350" i="202"/>
  <c r="Y351" i="202"/>
  <c r="Y352" i="202"/>
  <c r="Y353" i="202"/>
  <c r="Y354" i="202"/>
  <c r="Y355" i="202"/>
  <c r="Y356" i="202"/>
  <c r="Y357" i="202"/>
  <c r="Y358" i="202"/>
  <c r="Y359" i="202"/>
  <c r="Y360" i="202"/>
  <c r="Y361" i="202"/>
  <c r="Y362" i="202"/>
  <c r="Y363" i="202"/>
  <c r="Y364" i="202"/>
  <c r="Y365" i="202"/>
  <c r="Y366" i="202"/>
  <c r="Y367" i="202"/>
  <c r="Y368" i="202"/>
  <c r="Y369" i="202"/>
  <c r="Y370" i="202"/>
  <c r="Y371" i="202"/>
  <c r="Y372" i="202"/>
  <c r="Y373" i="202"/>
  <c r="Y374" i="202"/>
  <c r="Y375" i="202"/>
  <c r="Y376" i="202"/>
  <c r="Y377" i="202"/>
  <c r="Y378" i="202"/>
  <c r="Y379" i="202"/>
  <c r="Y380" i="202"/>
  <c r="Y381" i="202"/>
  <c r="Y382" i="202"/>
  <c r="Y383" i="202"/>
  <c r="Y384" i="202"/>
  <c r="Y385" i="202"/>
  <c r="Y386" i="202"/>
  <c r="Y387" i="202"/>
  <c r="Y388" i="202"/>
  <c r="Y389" i="202"/>
  <c r="Y390" i="202"/>
  <c r="Y391" i="202"/>
  <c r="Y392" i="202"/>
  <c r="Y393" i="202"/>
  <c r="Y394" i="202"/>
  <c r="Y395" i="202"/>
  <c r="Y396" i="202"/>
  <c r="Y397" i="202"/>
  <c r="Y398" i="202"/>
  <c r="Y399" i="202"/>
  <c r="Y400" i="202"/>
  <c r="Y401" i="202"/>
  <c r="Y402" i="202"/>
  <c r="Y403" i="202"/>
  <c r="Y404" i="202"/>
  <c r="Y405" i="202"/>
  <c r="Y406" i="202"/>
  <c r="Y407" i="202"/>
  <c r="Y408" i="202"/>
  <c r="Y409" i="202"/>
  <c r="Y410" i="202"/>
  <c r="Y411" i="202"/>
  <c r="Y412" i="202"/>
  <c r="Y413" i="202"/>
  <c r="Y414" i="202"/>
  <c r="Y415" i="202"/>
  <c r="Y416" i="202"/>
  <c r="Y417" i="202"/>
  <c r="Y418" i="202"/>
  <c r="Y419" i="202"/>
  <c r="Y420" i="202"/>
  <c r="Y421" i="202"/>
  <c r="Y422" i="202"/>
  <c r="Y423" i="202"/>
  <c r="Y424" i="202"/>
  <c r="Y425" i="202"/>
  <c r="Y426" i="202"/>
  <c r="Y427" i="202"/>
  <c r="Y428" i="202"/>
  <c r="Y429" i="202"/>
  <c r="Y430" i="202"/>
  <c r="Y431" i="202"/>
  <c r="Y432" i="202"/>
  <c r="Y433" i="202"/>
  <c r="Y434" i="202"/>
  <c r="Y435" i="202"/>
  <c r="Y436" i="202"/>
  <c r="Y437" i="202"/>
  <c r="Y438" i="202"/>
  <c r="Y439" i="202"/>
  <c r="Y440" i="202"/>
  <c r="Y441" i="202"/>
  <c r="Y442" i="202"/>
  <c r="Y443" i="202"/>
  <c r="Y444" i="202"/>
  <c r="Y445" i="202"/>
  <c r="Y446" i="202"/>
  <c r="Y447" i="202"/>
  <c r="Y448" i="202"/>
  <c r="Y449" i="202"/>
  <c r="Y450" i="202"/>
  <c r="Y451" i="202"/>
  <c r="Y452" i="202"/>
  <c r="Y453" i="202"/>
  <c r="Y454" i="202"/>
  <c r="Y455" i="202"/>
  <c r="Y456" i="202"/>
  <c r="Y457" i="202"/>
  <c r="Y458" i="202"/>
  <c r="Y459" i="202"/>
  <c r="Y460" i="202"/>
  <c r="Y461" i="202"/>
  <c r="Y462" i="202"/>
  <c r="Y463" i="202"/>
  <c r="Y464" i="202"/>
  <c r="Y465" i="202"/>
  <c r="Y466" i="202"/>
  <c r="Y467" i="202"/>
  <c r="Y468" i="202"/>
  <c r="Y469" i="202"/>
  <c r="Y470" i="202"/>
  <c r="Y471" i="202"/>
  <c r="Y472" i="202"/>
  <c r="Y473" i="202"/>
  <c r="Y474" i="202"/>
  <c r="Y475" i="202"/>
  <c r="Y476" i="202"/>
  <c r="Y477" i="202"/>
  <c r="Y478" i="202"/>
  <c r="Y479" i="202"/>
  <c r="Y480" i="202"/>
  <c r="Y481" i="202"/>
  <c r="Y482" i="202"/>
  <c r="Y483" i="202"/>
  <c r="Y484" i="202"/>
  <c r="Y485" i="202"/>
  <c r="Y486" i="202"/>
  <c r="Y487" i="202"/>
  <c r="Y488" i="202"/>
  <c r="Y489" i="202"/>
  <c r="Y490" i="202"/>
  <c r="Y491" i="202"/>
  <c r="Y492" i="202"/>
  <c r="Y493" i="202"/>
  <c r="Y494" i="202"/>
  <c r="Y495" i="202"/>
  <c r="Y496" i="202"/>
  <c r="Y497" i="202"/>
  <c r="Y498" i="202"/>
  <c r="Y499" i="202"/>
  <c r="Y500" i="202"/>
  <c r="Y501" i="202"/>
  <c r="Y502" i="202"/>
  <c r="Y503" i="202"/>
  <c r="Y504" i="202"/>
  <c r="Y505" i="202"/>
  <c r="Y506" i="202"/>
  <c r="Y507" i="202"/>
  <c r="Y508" i="202"/>
  <c r="Y509" i="202"/>
  <c r="Y510" i="202"/>
  <c r="Y511" i="202"/>
  <c r="Y512" i="202"/>
  <c r="Y513" i="202"/>
  <c r="Y514" i="202"/>
  <c r="Y515" i="202"/>
  <c r="Y516" i="202"/>
  <c r="Y517" i="202"/>
  <c r="Y518" i="202"/>
  <c r="Y519" i="202"/>
  <c r="Y520" i="202"/>
  <c r="Y521" i="202"/>
  <c r="Y522" i="202"/>
  <c r="Y523" i="202"/>
  <c r="Y524" i="202"/>
  <c r="Y525" i="202"/>
  <c r="Y526" i="202"/>
  <c r="Y527" i="202"/>
  <c r="Y528" i="202"/>
  <c r="Y529" i="202"/>
  <c r="Y530" i="202"/>
  <c r="Y531" i="202"/>
  <c r="Y532" i="202"/>
  <c r="Y533" i="202"/>
  <c r="Y534" i="202"/>
  <c r="Y535" i="202"/>
  <c r="Y536" i="202"/>
  <c r="Y537" i="202"/>
  <c r="Y538" i="202"/>
  <c r="Y539" i="202"/>
  <c r="Y540" i="202"/>
  <c r="Y541" i="202"/>
  <c r="Y542" i="202"/>
  <c r="Y543" i="202"/>
  <c r="Y544" i="202"/>
  <c r="Y545" i="202"/>
  <c r="Y546" i="202"/>
  <c r="Y547" i="202"/>
  <c r="Y548" i="202"/>
  <c r="Y549" i="202"/>
  <c r="Y550" i="202"/>
  <c r="Y551" i="202"/>
  <c r="Y552" i="202"/>
  <c r="Y553" i="202"/>
  <c r="Y554" i="202"/>
  <c r="Y555" i="202"/>
  <c r="Y556" i="202"/>
  <c r="Y557" i="202"/>
  <c r="Y558" i="202"/>
  <c r="Y559" i="202"/>
  <c r="Y560" i="202"/>
  <c r="Y561" i="202"/>
  <c r="Y562" i="202"/>
  <c r="Y563" i="202"/>
  <c r="Y564" i="202"/>
  <c r="Y565" i="202"/>
  <c r="Y566" i="202"/>
  <c r="Y567" i="202"/>
  <c r="Y568" i="202"/>
  <c r="Y569" i="202"/>
  <c r="Y570" i="202"/>
  <c r="Y571" i="202"/>
  <c r="Y572" i="202"/>
  <c r="Y573" i="202"/>
  <c r="Y574" i="202"/>
  <c r="Y575" i="202"/>
  <c r="Y576" i="202"/>
  <c r="Y577" i="202"/>
  <c r="Y578" i="202"/>
  <c r="Y579" i="202"/>
  <c r="Y580" i="202"/>
  <c r="Y581" i="202"/>
  <c r="Y582" i="202"/>
  <c r="Y583" i="202"/>
  <c r="Y584" i="202"/>
  <c r="Y585" i="202"/>
  <c r="Y586" i="202"/>
  <c r="Y587" i="202"/>
  <c r="Y588" i="202"/>
  <c r="Y589" i="202"/>
  <c r="Y590" i="202"/>
  <c r="Y591" i="202"/>
  <c r="Y592" i="202"/>
  <c r="Y593" i="202"/>
  <c r="Y594" i="202"/>
  <c r="Y595" i="202"/>
  <c r="Y596" i="202"/>
  <c r="Y597" i="202"/>
  <c r="Y598" i="202"/>
  <c r="Y599" i="202"/>
  <c r="Y600" i="202"/>
  <c r="Y601" i="202"/>
  <c r="Y602" i="202"/>
  <c r="Y603" i="202"/>
  <c r="Y604" i="202"/>
  <c r="Y605" i="202"/>
  <c r="Y606" i="202"/>
  <c r="Y607" i="202"/>
  <c r="Y608" i="202"/>
  <c r="Y609" i="202"/>
  <c r="Y610" i="202"/>
  <c r="Y611" i="202"/>
  <c r="Y612" i="202"/>
  <c r="Y613" i="202"/>
  <c r="Y614" i="202"/>
  <c r="Y615" i="202"/>
  <c r="Y616" i="202"/>
  <c r="Y617" i="202"/>
  <c r="Y618" i="202"/>
  <c r="Y619" i="202"/>
  <c r="Y620" i="202"/>
  <c r="Y621" i="202"/>
  <c r="Y622" i="202"/>
  <c r="Y623" i="202"/>
  <c r="Y624" i="202"/>
  <c r="Y625" i="202"/>
  <c r="Y626" i="202"/>
  <c r="Y627" i="202"/>
  <c r="Y628" i="202"/>
  <c r="Y629" i="202"/>
  <c r="Y630" i="202"/>
  <c r="Y631" i="202"/>
  <c r="Y632" i="202"/>
  <c r="Y633" i="202"/>
  <c r="Y634" i="202"/>
  <c r="Y635" i="202"/>
  <c r="Y636" i="202"/>
  <c r="Y637" i="202"/>
  <c r="Y638" i="202"/>
  <c r="Y639" i="202"/>
  <c r="Y640" i="202"/>
  <c r="Y641" i="202"/>
  <c r="Y642" i="202"/>
  <c r="Y643" i="202"/>
  <c r="Y644" i="202"/>
  <c r="Y645" i="202"/>
  <c r="Y646" i="202"/>
  <c r="Y647" i="202"/>
  <c r="Y648" i="202"/>
  <c r="Y649" i="202"/>
  <c r="Y650" i="202"/>
  <c r="Y651" i="202"/>
  <c r="Y652" i="202"/>
  <c r="Y653" i="202"/>
  <c r="Y654" i="202"/>
  <c r="Y655" i="202"/>
  <c r="Y656" i="202"/>
  <c r="Y657" i="202"/>
  <c r="Y658" i="202"/>
  <c r="Y659" i="202"/>
  <c r="Y660" i="202"/>
  <c r="Y661" i="202"/>
  <c r="Y662" i="202"/>
  <c r="Y663" i="202"/>
  <c r="Y664" i="202"/>
  <c r="Y665" i="202"/>
  <c r="Y666" i="202"/>
  <c r="Y667" i="202"/>
  <c r="Y668" i="202"/>
  <c r="Y669" i="202"/>
  <c r="Y670" i="202"/>
  <c r="Y671" i="202"/>
  <c r="Y672" i="202"/>
  <c r="Y673" i="202"/>
  <c r="Y674" i="202"/>
  <c r="Y675" i="202"/>
  <c r="Y676" i="202"/>
  <c r="Y677" i="202"/>
  <c r="Y678" i="202"/>
  <c r="Y679" i="202"/>
  <c r="Y680" i="202"/>
  <c r="Y681" i="202"/>
  <c r="Y682" i="202"/>
  <c r="Y683" i="202"/>
  <c r="Y684" i="202"/>
  <c r="Y685" i="202"/>
  <c r="Y686" i="202"/>
  <c r="Y687" i="202"/>
  <c r="Y688" i="202"/>
  <c r="Y689" i="202"/>
  <c r="Y690" i="202"/>
  <c r="Y691" i="202"/>
  <c r="Y692" i="202"/>
  <c r="Y693" i="202"/>
  <c r="Y694" i="202"/>
  <c r="Y695" i="202"/>
  <c r="Y696" i="202"/>
  <c r="Y697" i="202"/>
  <c r="Y698" i="202"/>
  <c r="Y699" i="202"/>
  <c r="Y700" i="202"/>
  <c r="Y701" i="202"/>
  <c r="Y702" i="202"/>
  <c r="Y703" i="202"/>
  <c r="Y704" i="202"/>
  <c r="Y705" i="202"/>
  <c r="Y706" i="202"/>
  <c r="Y707" i="202"/>
  <c r="Y708" i="202"/>
  <c r="Y709" i="202"/>
  <c r="Y710" i="202"/>
  <c r="Y711" i="202"/>
  <c r="Y712" i="202"/>
  <c r="Y713" i="202"/>
  <c r="Y714" i="202"/>
  <c r="Y715" i="202"/>
  <c r="Y716" i="202"/>
  <c r="Y717" i="202"/>
  <c r="Y718" i="202"/>
  <c r="Y719" i="202"/>
  <c r="Y720" i="202"/>
  <c r="Y721" i="202"/>
  <c r="Y722" i="202"/>
  <c r="Y723" i="202"/>
  <c r="Y724" i="202"/>
  <c r="Y725" i="202"/>
  <c r="Y726" i="202"/>
  <c r="Y727" i="202"/>
  <c r="Y728" i="202"/>
  <c r="Y729" i="202"/>
  <c r="Y730" i="202"/>
  <c r="Y731" i="202"/>
  <c r="Y732" i="202"/>
  <c r="Y733" i="202"/>
  <c r="Y734" i="202"/>
  <c r="Y735" i="202"/>
  <c r="Y736" i="202"/>
  <c r="Y737" i="202"/>
  <c r="Y738" i="202"/>
  <c r="Y739" i="202"/>
  <c r="Y740" i="202"/>
  <c r="Y741" i="202"/>
  <c r="Y742" i="202"/>
  <c r="Y743" i="202"/>
  <c r="Y744" i="202"/>
  <c r="Y745" i="202"/>
  <c r="Y746" i="202"/>
  <c r="Y747" i="202"/>
  <c r="Y748" i="202"/>
  <c r="Y749" i="202"/>
  <c r="Y750" i="202"/>
  <c r="Y751" i="202"/>
  <c r="Y752" i="202"/>
  <c r="Y753" i="202"/>
  <c r="Y754" i="202"/>
  <c r="Y755" i="202"/>
  <c r="Y756" i="202"/>
  <c r="Y757" i="202"/>
  <c r="Y758" i="202"/>
  <c r="Y759" i="202"/>
  <c r="Y760" i="202"/>
  <c r="Y761" i="202"/>
  <c r="Y762" i="202"/>
  <c r="Y763" i="202"/>
  <c r="Y764" i="202"/>
  <c r="Y765" i="202"/>
  <c r="Y766" i="202"/>
  <c r="Y767" i="202"/>
  <c r="Y768" i="202"/>
  <c r="Y769" i="202"/>
  <c r="Y770" i="202"/>
  <c r="Y771" i="202"/>
  <c r="Y772" i="202"/>
  <c r="Y773" i="202"/>
  <c r="Y774" i="202"/>
  <c r="Y775" i="202"/>
  <c r="Y776" i="202"/>
  <c r="Y777" i="202"/>
  <c r="Y778" i="202"/>
  <c r="Y779" i="202"/>
  <c r="Y780" i="202"/>
  <c r="Y781" i="202"/>
  <c r="Y782" i="202"/>
  <c r="Y783" i="202"/>
  <c r="Y784" i="202"/>
  <c r="Y785" i="202"/>
  <c r="Y786" i="202"/>
  <c r="Y787" i="202"/>
  <c r="Y788" i="202"/>
  <c r="Y789" i="202"/>
  <c r="Y790" i="202"/>
  <c r="Y791" i="202"/>
  <c r="Y792" i="202"/>
  <c r="Y793" i="202"/>
  <c r="Y794" i="202"/>
  <c r="Y795" i="202"/>
  <c r="Y796" i="202"/>
  <c r="Y797" i="202"/>
  <c r="Y798" i="202"/>
  <c r="Y799" i="202"/>
  <c r="Y800" i="202"/>
  <c r="Y801" i="202"/>
  <c r="Y802" i="202"/>
  <c r="Y803" i="202"/>
  <c r="Y804" i="202"/>
  <c r="Y805" i="202"/>
  <c r="Y806" i="202"/>
  <c r="Y807" i="202"/>
  <c r="Y808" i="202"/>
  <c r="Y809" i="202"/>
  <c r="Y810" i="202"/>
  <c r="Y811" i="202"/>
  <c r="Y812" i="202"/>
  <c r="Y813" i="202"/>
  <c r="Y814" i="202"/>
  <c r="Y815" i="202"/>
  <c r="Y816" i="202"/>
  <c r="Y817" i="202"/>
  <c r="Y818" i="202"/>
  <c r="Y819" i="202"/>
  <c r="Y820" i="202"/>
  <c r="Y821" i="202"/>
  <c r="Y822" i="202"/>
  <c r="Y823" i="202"/>
  <c r="Y824" i="202"/>
  <c r="Y825" i="202"/>
  <c r="Y826" i="202"/>
  <c r="Y827" i="202"/>
  <c r="Y828" i="202"/>
  <c r="Y829" i="202"/>
  <c r="Y830" i="202"/>
  <c r="Y831" i="202"/>
  <c r="Y832" i="202"/>
  <c r="Y833" i="202"/>
  <c r="Y834" i="202"/>
  <c r="Y835" i="202"/>
  <c r="Y836" i="202"/>
  <c r="Y837" i="202"/>
  <c r="Y838" i="202"/>
  <c r="Y839" i="202"/>
  <c r="Y840" i="202"/>
  <c r="Y841" i="202"/>
  <c r="Y842" i="202"/>
  <c r="Y843" i="202"/>
  <c r="Y844" i="202"/>
  <c r="Y845" i="202"/>
  <c r="Y846" i="202"/>
  <c r="Y847" i="202"/>
  <c r="Y848" i="202"/>
  <c r="Y849" i="202"/>
  <c r="Y850" i="202"/>
  <c r="Y851" i="202"/>
  <c r="Y852" i="202"/>
  <c r="Y853" i="202"/>
  <c r="Y854" i="202"/>
  <c r="Y855" i="202"/>
  <c r="Y856" i="202"/>
  <c r="Y857" i="202"/>
  <c r="Y858" i="202"/>
  <c r="Y859" i="202"/>
  <c r="Y860" i="202"/>
  <c r="Y861" i="202"/>
  <c r="Y862" i="202"/>
  <c r="Y863" i="202"/>
  <c r="Y864" i="202"/>
  <c r="Y865" i="202"/>
  <c r="Y866" i="202"/>
  <c r="Y867" i="202"/>
  <c r="Y868" i="202"/>
  <c r="Y869" i="202"/>
  <c r="Y870" i="202"/>
  <c r="Y871" i="202"/>
  <c r="Y872" i="202"/>
  <c r="Y873" i="202"/>
  <c r="Y874" i="202"/>
  <c r="Y875" i="202"/>
  <c r="Y876" i="202"/>
  <c r="Y877" i="202"/>
  <c r="Y878" i="202"/>
  <c r="Y879" i="202"/>
  <c r="Y880" i="202"/>
  <c r="Y881" i="202"/>
  <c r="Y882" i="202"/>
  <c r="Y883" i="202"/>
  <c r="Y884" i="202"/>
  <c r="Y885" i="202"/>
  <c r="Y886" i="202"/>
  <c r="Y887" i="202"/>
  <c r="Y888" i="202"/>
  <c r="Y889" i="202"/>
  <c r="Y890" i="202"/>
  <c r="Y891" i="202"/>
  <c r="Y892" i="202"/>
  <c r="Y893" i="202"/>
  <c r="Y894" i="202"/>
  <c r="Y895" i="202"/>
  <c r="Y896" i="202"/>
  <c r="Y897" i="202"/>
  <c r="Y898" i="202"/>
  <c r="Y899" i="202"/>
  <c r="Y900" i="202"/>
  <c r="Y901" i="202"/>
  <c r="Y902" i="202"/>
  <c r="Y903" i="202"/>
  <c r="Y904" i="202"/>
  <c r="Y905" i="202"/>
  <c r="Y906" i="202"/>
  <c r="Y907" i="202"/>
  <c r="Y908" i="202"/>
  <c r="Y909" i="202"/>
  <c r="Y910" i="202"/>
  <c r="Y911" i="202"/>
  <c r="Y912" i="202"/>
  <c r="Y913" i="202"/>
  <c r="Y914" i="202"/>
  <c r="Y915" i="202"/>
  <c r="Y916" i="202"/>
  <c r="Y917" i="202"/>
  <c r="Y918" i="202"/>
  <c r="Y919" i="202"/>
  <c r="Y920" i="202"/>
  <c r="Y921" i="202"/>
  <c r="Y922" i="202"/>
  <c r="Y923" i="202"/>
  <c r="Y924" i="202"/>
  <c r="Y925" i="202"/>
  <c r="Y926" i="202"/>
  <c r="Y927" i="202"/>
  <c r="Y928" i="202"/>
  <c r="Y929" i="202"/>
  <c r="Y930" i="202"/>
  <c r="Y931" i="202"/>
  <c r="Y932" i="202"/>
  <c r="Y933" i="202"/>
  <c r="Y934" i="202"/>
  <c r="Y935" i="202"/>
  <c r="Y936" i="202"/>
  <c r="Y937" i="202"/>
  <c r="Y938" i="202"/>
  <c r="Y939" i="202"/>
  <c r="Y940" i="202"/>
  <c r="Y941" i="202"/>
  <c r="Y942" i="202"/>
  <c r="Y943" i="202"/>
  <c r="Y944" i="202"/>
  <c r="Y945" i="202"/>
  <c r="Y946" i="202"/>
  <c r="Y947" i="202"/>
  <c r="Y948" i="202"/>
  <c r="Y949" i="202"/>
  <c r="Y950" i="202"/>
  <c r="Y951" i="202"/>
  <c r="Y952" i="202"/>
  <c r="Y953" i="202"/>
  <c r="Y954" i="202"/>
  <c r="Y955" i="202"/>
  <c r="Y956" i="202"/>
  <c r="Y957" i="202"/>
  <c r="Y958" i="202"/>
  <c r="Y959" i="202"/>
  <c r="Y960" i="202"/>
  <c r="Y961" i="202"/>
  <c r="Y962" i="202"/>
  <c r="Y963" i="202"/>
  <c r="Y964" i="202"/>
  <c r="Y965" i="202"/>
  <c r="Y966" i="202"/>
  <c r="Y967" i="202"/>
  <c r="Y968" i="202"/>
  <c r="Y969" i="202"/>
  <c r="Y970" i="202"/>
  <c r="Y971" i="202"/>
  <c r="Y972" i="202"/>
  <c r="Y973" i="202"/>
  <c r="Y974" i="202"/>
  <c r="Y975" i="202"/>
  <c r="Y976" i="202"/>
  <c r="Y977" i="202"/>
  <c r="Y978" i="202"/>
  <c r="Y979" i="202"/>
  <c r="Y980" i="202"/>
  <c r="Y981" i="202"/>
  <c r="Y982" i="202"/>
  <c r="Y983" i="202"/>
  <c r="Y984" i="202"/>
  <c r="Y985" i="202"/>
  <c r="Y986" i="202"/>
  <c r="Y987" i="202"/>
  <c r="Y988" i="202"/>
  <c r="Y989" i="202"/>
  <c r="Y990" i="202"/>
  <c r="Y991" i="202"/>
  <c r="Y992" i="202"/>
  <c r="Y993" i="202"/>
  <c r="Y994" i="202"/>
  <c r="Y995" i="202"/>
  <c r="Y996" i="202"/>
  <c r="Y997" i="202"/>
  <c r="Y998" i="202"/>
  <c r="Y999" i="202"/>
  <c r="Y1000" i="202"/>
  <c r="Y1001" i="202"/>
  <c r="Y1002" i="202"/>
  <c r="Y1003" i="202"/>
  <c r="Y1004" i="202"/>
  <c r="Y1005" i="202"/>
  <c r="Y1006" i="202"/>
  <c r="Y1007" i="202"/>
  <c r="Y1008" i="202"/>
  <c r="Y1009" i="202"/>
  <c r="Y1010" i="202"/>
  <c r="Y1011" i="202"/>
  <c r="Y1012" i="202"/>
  <c r="Y1013" i="202"/>
  <c r="Y1014" i="202"/>
  <c r="Y1015" i="202"/>
  <c r="Y1016" i="202"/>
  <c r="Y1017" i="202"/>
  <c r="Y1018" i="202"/>
  <c r="Y1019" i="202"/>
  <c r="Y1020" i="202"/>
  <c r="Y1021" i="202"/>
  <c r="Y1022" i="202"/>
  <c r="Y1023" i="202"/>
  <c r="Y1024" i="202"/>
  <c r="Y1025" i="202"/>
  <c r="Y1026" i="202"/>
  <c r="Y1027" i="202"/>
  <c r="Y1028" i="202"/>
  <c r="Y1029" i="202"/>
  <c r="Y1030" i="202"/>
  <c r="Y1031" i="202"/>
  <c r="Y1032" i="202"/>
  <c r="Y1033" i="202"/>
  <c r="Y1034" i="202"/>
  <c r="Y1035" i="202"/>
  <c r="Y1036" i="202"/>
  <c r="Y1037" i="202"/>
  <c r="Y1038" i="202"/>
  <c r="Y1039" i="202"/>
  <c r="Y1040" i="202"/>
  <c r="Y1041" i="202"/>
  <c r="Y1042" i="202"/>
  <c r="Y1043" i="202"/>
  <c r="Y1044" i="202"/>
  <c r="Y1045" i="202"/>
  <c r="Y1046" i="202"/>
  <c r="Y1047" i="202"/>
  <c r="Y1048" i="202"/>
  <c r="Y1049" i="202"/>
  <c r="Y1050" i="202"/>
  <c r="Y1051" i="202"/>
  <c r="Y1052" i="202"/>
  <c r="Y1053" i="202"/>
  <c r="Y1054" i="202"/>
  <c r="Y1055" i="202"/>
  <c r="Y1056" i="202"/>
  <c r="Y1057" i="202"/>
  <c r="Y1058" i="202"/>
  <c r="Y1059" i="202"/>
  <c r="Y1060" i="202"/>
  <c r="Y1061" i="202"/>
  <c r="Y1062" i="202"/>
  <c r="Y1063" i="202"/>
  <c r="Y1064" i="202"/>
  <c r="Y1065" i="202"/>
  <c r="Y1066" i="202"/>
  <c r="Y1067" i="202"/>
  <c r="Y1068" i="202"/>
  <c r="Y1069" i="202"/>
  <c r="Y1070" i="202"/>
  <c r="Y1071" i="202"/>
  <c r="Y1072" i="202"/>
  <c r="Y1073" i="202"/>
  <c r="Y1074" i="202"/>
  <c r="Y1075" i="202"/>
  <c r="Y1076" i="202"/>
  <c r="Y1077" i="202"/>
  <c r="Y1078" i="202"/>
  <c r="Y1079" i="202"/>
  <c r="Y1080" i="202"/>
  <c r="Y1081" i="202"/>
  <c r="Y1082" i="202"/>
  <c r="Y1083" i="202"/>
  <c r="Y1084" i="202"/>
  <c r="Y1085" i="202"/>
  <c r="Y1086" i="202"/>
  <c r="Y1087" i="202"/>
  <c r="Y1088" i="202"/>
  <c r="Y1089" i="202"/>
  <c r="Y1090" i="202"/>
  <c r="Y1091" i="202"/>
  <c r="Y1092" i="202"/>
  <c r="Y1093" i="202"/>
  <c r="Y1094" i="202"/>
  <c r="Y1095" i="202"/>
  <c r="Y1096" i="202"/>
  <c r="Y1097" i="202"/>
  <c r="Y1098" i="202"/>
  <c r="Y1099" i="202"/>
  <c r="Y1100" i="202"/>
  <c r="Y1101" i="202"/>
  <c r="Y1102" i="202"/>
  <c r="Y1103" i="202"/>
  <c r="Y1104" i="202"/>
  <c r="Y1105" i="202"/>
  <c r="Y1106" i="202"/>
  <c r="Y1107" i="202"/>
  <c r="Y1108" i="202"/>
  <c r="Y1109" i="202"/>
  <c r="Y1110" i="202"/>
  <c r="Y1111" i="202"/>
  <c r="Y1112" i="202"/>
  <c r="Y1113" i="202"/>
  <c r="Y1114" i="202"/>
  <c r="Y1115" i="202"/>
  <c r="Y1116" i="202"/>
  <c r="Y1117" i="202"/>
  <c r="Y1118" i="202"/>
  <c r="Y1119" i="202"/>
  <c r="Y1120" i="202"/>
  <c r="Y1121" i="202"/>
  <c r="Y1122" i="202"/>
  <c r="Y1123" i="202"/>
  <c r="Y1124" i="202"/>
  <c r="Y1125" i="202"/>
  <c r="Y1126" i="202"/>
  <c r="Y1127" i="202"/>
  <c r="Y1128" i="202"/>
  <c r="Y1129" i="202"/>
  <c r="Y1130" i="202"/>
  <c r="Y1131" i="202"/>
  <c r="Y1132" i="202"/>
  <c r="Y1133" i="202"/>
  <c r="Y1134" i="202"/>
  <c r="Y1135" i="202"/>
  <c r="Y1136" i="202"/>
  <c r="Y1137" i="202"/>
  <c r="Y1138" i="202"/>
  <c r="Y1139" i="202"/>
  <c r="Y1140" i="202"/>
  <c r="Y1141" i="202"/>
  <c r="Y1142" i="202"/>
  <c r="Y1143" i="202"/>
  <c r="Y1144" i="202"/>
  <c r="Y1145" i="202"/>
  <c r="Y1146" i="202"/>
  <c r="Y1147" i="202"/>
  <c r="Y1148" i="202"/>
  <c r="Y1149" i="202"/>
  <c r="Y1150" i="202"/>
  <c r="Y1151" i="202"/>
  <c r="Y1152" i="202"/>
  <c r="Y1153" i="202"/>
  <c r="Y1154" i="202"/>
  <c r="Y1155" i="202"/>
  <c r="Y1156" i="202"/>
  <c r="Y1157" i="202"/>
  <c r="Y1158" i="202"/>
  <c r="Y1159" i="202"/>
  <c r="Y1160" i="202"/>
  <c r="Y1161" i="202"/>
  <c r="Y1162" i="202"/>
  <c r="Y1163" i="202"/>
  <c r="Y1164" i="202"/>
  <c r="Y1165" i="202"/>
  <c r="Y1166" i="202"/>
  <c r="Y1167" i="202"/>
  <c r="Y1168" i="202"/>
  <c r="Y1169" i="202"/>
  <c r="Y1170" i="202"/>
  <c r="Y1171" i="202"/>
  <c r="Y1172" i="202"/>
  <c r="Y1173" i="202"/>
  <c r="Y1174" i="202"/>
  <c r="Y1175" i="202"/>
  <c r="Y1176" i="202"/>
  <c r="Y1177" i="202"/>
  <c r="Y1178" i="202"/>
  <c r="Y1179" i="202"/>
  <c r="Y1180" i="202"/>
  <c r="Y1181" i="202"/>
  <c r="Y1182" i="202"/>
  <c r="Y1183" i="202"/>
  <c r="Y1184" i="202"/>
  <c r="Y1185" i="202"/>
  <c r="Y1186" i="202"/>
  <c r="Y1187" i="202"/>
  <c r="Y1188" i="202"/>
  <c r="Y1189" i="202"/>
  <c r="Y1190" i="202"/>
  <c r="Y1191" i="202"/>
  <c r="Y1192" i="202"/>
  <c r="Y1193" i="202"/>
  <c r="Y1194" i="202"/>
  <c r="Y1195" i="202"/>
  <c r="Y1196" i="202"/>
  <c r="Y1197" i="202"/>
  <c r="Y1198" i="202"/>
  <c r="Y1199" i="202"/>
  <c r="Y1200" i="202"/>
  <c r="Y1201" i="202"/>
  <c r="Y1202" i="202"/>
  <c r="Y1203" i="202"/>
  <c r="Y1204" i="202"/>
  <c r="Y1205" i="202"/>
  <c r="Y1206" i="202"/>
  <c r="Y1207" i="202"/>
  <c r="Y1208" i="202"/>
  <c r="Y1209" i="202"/>
  <c r="Y1210" i="202"/>
  <c r="Y1211" i="202"/>
  <c r="Y1212" i="202"/>
  <c r="Y1213" i="202"/>
  <c r="Y1214" i="202"/>
  <c r="Y1215" i="202"/>
  <c r="Y1216" i="202"/>
  <c r="Y1217" i="202"/>
  <c r="Y1218" i="202"/>
  <c r="Y1219" i="202"/>
  <c r="Y1220" i="202"/>
  <c r="Y1221" i="202"/>
  <c r="Y1222" i="202"/>
  <c r="Y1223" i="202"/>
  <c r="Y1224" i="202"/>
  <c r="Y1225" i="202"/>
  <c r="Y1226" i="202"/>
  <c r="Y1227" i="202"/>
  <c r="Y1228" i="202"/>
  <c r="Y1229" i="202"/>
  <c r="Y1230" i="202"/>
  <c r="Y1231" i="202"/>
  <c r="Y1232" i="202"/>
  <c r="Y1233" i="202"/>
  <c r="Y1234" i="202"/>
  <c r="Y1235" i="202"/>
  <c r="Y1236" i="202"/>
  <c r="Y1237" i="202"/>
  <c r="Y1238" i="202"/>
  <c r="Y1239" i="202"/>
  <c r="Y1240" i="202"/>
  <c r="Y1241" i="202"/>
  <c r="Y1242" i="202"/>
  <c r="Y1243" i="202"/>
  <c r="Y1244" i="202"/>
  <c r="Y1245" i="202"/>
  <c r="Y1246" i="202"/>
  <c r="Y1247" i="202"/>
  <c r="Y1248" i="202"/>
  <c r="Y1249" i="202"/>
  <c r="Y1250" i="202"/>
  <c r="Y1251" i="202"/>
  <c r="Y1252" i="202"/>
  <c r="Y1253" i="202"/>
  <c r="Y1254" i="202"/>
  <c r="Y1255" i="202"/>
  <c r="Y1256" i="202"/>
  <c r="Y1257" i="202"/>
  <c r="Y1258" i="202"/>
  <c r="Y1259" i="202"/>
  <c r="Y1260" i="202"/>
  <c r="Y1261" i="202"/>
  <c r="Y1262" i="202"/>
  <c r="Y1263" i="202"/>
  <c r="Y1264" i="202"/>
  <c r="Y1265" i="202"/>
  <c r="Y1266" i="202"/>
  <c r="Y1267" i="202"/>
  <c r="Y1268" i="202"/>
  <c r="Y1269" i="202"/>
  <c r="Y1270" i="202"/>
  <c r="Y1271" i="202"/>
  <c r="Y1272" i="202"/>
  <c r="Y1273" i="202"/>
  <c r="Y1274" i="202"/>
  <c r="Y1275" i="202"/>
  <c r="Y1276" i="202"/>
  <c r="Y1277" i="202"/>
  <c r="Y1278" i="202"/>
  <c r="Y1279" i="202"/>
  <c r="Y1280" i="202"/>
  <c r="Y1281" i="202"/>
  <c r="Y1282" i="202"/>
  <c r="Y1283" i="202"/>
  <c r="Y1284" i="202"/>
  <c r="Y1285" i="202"/>
  <c r="Y1286" i="202"/>
  <c r="Y1287" i="202"/>
  <c r="Y1288" i="202"/>
  <c r="Y1289" i="202"/>
  <c r="Y1290" i="202"/>
  <c r="Y1291" i="202"/>
  <c r="Y1292" i="202"/>
  <c r="Y1293" i="202"/>
  <c r="Y1294" i="202"/>
  <c r="Y1295" i="202"/>
  <c r="Y1296" i="202"/>
  <c r="Y1297" i="202"/>
  <c r="Y1298" i="202"/>
  <c r="Y1299" i="202"/>
  <c r="Y1300" i="202"/>
  <c r="Y1301" i="202"/>
  <c r="Y1302" i="202"/>
  <c r="Y1303" i="202"/>
  <c r="Y1304" i="202"/>
  <c r="Y1305" i="202"/>
  <c r="Y1306" i="202"/>
  <c r="Y1307" i="202"/>
  <c r="Y1308" i="202"/>
  <c r="Y1309" i="202"/>
  <c r="Y1310" i="202"/>
  <c r="Y1311" i="202"/>
  <c r="Y1312" i="202"/>
  <c r="Y1313" i="202"/>
  <c r="Y1314" i="202"/>
  <c r="Y1315" i="202"/>
  <c r="Y1316" i="202"/>
  <c r="Y1317" i="202"/>
  <c r="Y1318" i="202"/>
  <c r="Y1319" i="202"/>
  <c r="Y1320" i="202"/>
  <c r="Y1321" i="202"/>
  <c r="Y1322" i="202"/>
  <c r="Y1323" i="202"/>
  <c r="Y1324" i="202"/>
  <c r="Y1325" i="202"/>
  <c r="Y1326" i="202"/>
  <c r="Y1327" i="202"/>
  <c r="Y1328" i="202"/>
  <c r="Y1329" i="202"/>
  <c r="Y1330" i="202"/>
  <c r="Y1331" i="202"/>
  <c r="Y1332" i="202"/>
  <c r="Y1333" i="202"/>
  <c r="Y1334" i="202"/>
  <c r="Y1335" i="202"/>
  <c r="Y1336" i="202"/>
  <c r="Y1337" i="202"/>
  <c r="Y1338" i="202"/>
  <c r="Y1339" i="202"/>
  <c r="Y1340" i="202"/>
  <c r="Y1341" i="202"/>
  <c r="Y1342" i="202"/>
  <c r="Y1343" i="202"/>
  <c r="Y1344" i="202"/>
  <c r="Y1345" i="202"/>
  <c r="Y1346" i="202"/>
  <c r="Y1347" i="202"/>
  <c r="Y1348" i="202"/>
  <c r="Y1349" i="202"/>
  <c r="Y1350" i="202"/>
  <c r="Y1351" i="202"/>
  <c r="Y1352" i="202"/>
  <c r="Y1353" i="202"/>
  <c r="Y1354" i="202"/>
  <c r="Y1355" i="202"/>
  <c r="Y1356" i="202"/>
  <c r="Y1357" i="202"/>
  <c r="Y1358" i="202"/>
  <c r="Y1359" i="202"/>
  <c r="Y1360" i="202"/>
  <c r="Y1361" i="202"/>
  <c r="Y1362" i="202"/>
  <c r="Y1363" i="202"/>
  <c r="Y1364" i="202"/>
  <c r="Y1365" i="202"/>
  <c r="Y1366" i="202"/>
  <c r="Y1367" i="202"/>
  <c r="Y1368" i="202"/>
  <c r="Y1369" i="202"/>
  <c r="Y1370" i="202"/>
  <c r="Y1371" i="202"/>
  <c r="Y1372" i="202"/>
  <c r="Y1373" i="202"/>
  <c r="Y1374" i="202"/>
  <c r="Y1375" i="202"/>
  <c r="Y1376" i="202"/>
  <c r="Y1377" i="202"/>
  <c r="Y1378" i="202"/>
  <c r="Y1379" i="202"/>
  <c r="Y1380" i="202"/>
  <c r="Y1381" i="202"/>
  <c r="Y1382" i="202"/>
  <c r="Y1383" i="202"/>
  <c r="Y1384" i="202"/>
  <c r="Y1385" i="202"/>
  <c r="Y1386" i="202"/>
  <c r="Y1387" i="202"/>
  <c r="Y1388" i="202"/>
  <c r="Y1389" i="202"/>
  <c r="Y1390" i="202"/>
  <c r="Y1391" i="202"/>
  <c r="Y1392" i="202"/>
  <c r="Y1393" i="202"/>
  <c r="Y1394" i="202"/>
  <c r="Y1395" i="202"/>
  <c r="Y1396" i="202"/>
  <c r="Y1397" i="202"/>
  <c r="Y1398" i="202"/>
  <c r="Y1399" i="202"/>
  <c r="Y1400" i="202"/>
  <c r="Y1401" i="202"/>
  <c r="Y1402" i="202"/>
  <c r="Y1403" i="202"/>
  <c r="Y1404" i="202"/>
  <c r="Y1405" i="202"/>
  <c r="Y1406" i="202"/>
  <c r="Y1407" i="202"/>
  <c r="Y1408" i="202"/>
  <c r="Y1409" i="202"/>
  <c r="Y1410" i="202"/>
  <c r="Y1411" i="202"/>
  <c r="Y1412" i="202"/>
  <c r="Y1413" i="202"/>
  <c r="Y1414" i="202"/>
  <c r="Y1415" i="202"/>
  <c r="Y1416" i="202"/>
  <c r="Y1417" i="202"/>
  <c r="Y1418" i="202"/>
  <c r="Y1419" i="202"/>
  <c r="Y1420" i="202"/>
  <c r="Y1421" i="202"/>
  <c r="Y1422" i="202"/>
  <c r="Y1423" i="202"/>
  <c r="Y1424" i="202"/>
  <c r="Y1425" i="202"/>
  <c r="Y1426" i="202"/>
  <c r="Y1427" i="202"/>
  <c r="Y1428" i="202"/>
  <c r="Y1429" i="202"/>
  <c r="Y1430" i="202"/>
  <c r="Y1431" i="202"/>
  <c r="Y1432" i="202"/>
  <c r="Y1433" i="202"/>
  <c r="Y1434" i="202"/>
  <c r="Y1435" i="202"/>
  <c r="Y1436" i="202"/>
  <c r="Y1437" i="202"/>
  <c r="Y1438" i="202"/>
  <c r="Y1439" i="202"/>
  <c r="Y1440" i="202"/>
  <c r="Y1441" i="202"/>
  <c r="Y1442" i="202"/>
  <c r="Y1443" i="202"/>
  <c r="Y1444" i="202"/>
  <c r="Y1445" i="202"/>
  <c r="Y1446" i="202"/>
  <c r="Y1447" i="202"/>
  <c r="Y1448" i="202"/>
  <c r="Y1449" i="202"/>
  <c r="Y1450" i="202"/>
  <c r="Y1451" i="202"/>
  <c r="Y1452" i="202"/>
  <c r="Y1453" i="202"/>
  <c r="Y1454" i="202"/>
  <c r="Y1455" i="202"/>
  <c r="Y1456" i="202"/>
  <c r="Y1457" i="202"/>
  <c r="Y1458" i="202"/>
  <c r="Y1459" i="202"/>
  <c r="Y1460" i="202"/>
  <c r="Y1461" i="202"/>
  <c r="Y1462" i="202"/>
  <c r="Y1463" i="202"/>
  <c r="Y1464" i="202"/>
  <c r="Y1465" i="202"/>
  <c r="Y1466" i="202"/>
  <c r="Y1467" i="202"/>
  <c r="Y1468" i="202"/>
  <c r="Y1469" i="202"/>
  <c r="Y1470" i="202"/>
  <c r="Y1471" i="202"/>
  <c r="Y1472" i="202"/>
  <c r="Y1473" i="202"/>
  <c r="Y1474" i="202"/>
  <c r="Y1475" i="202"/>
  <c r="Y1476" i="202"/>
  <c r="Y1477" i="202"/>
  <c r="Y1478" i="202"/>
  <c r="Y1479" i="202"/>
  <c r="Y1480" i="202"/>
  <c r="Y1481" i="202"/>
  <c r="Y1482" i="202"/>
  <c r="Y1483" i="202"/>
  <c r="Y1484" i="202"/>
  <c r="Y1485" i="202"/>
  <c r="Y1486" i="202"/>
  <c r="Y1487" i="202"/>
  <c r="Y1488" i="202"/>
  <c r="Y1489" i="202"/>
  <c r="Y1490" i="202"/>
  <c r="Y1491" i="202"/>
  <c r="Y1492" i="202"/>
  <c r="Y1493" i="202"/>
  <c r="Y1494" i="202"/>
  <c r="Y1495" i="202"/>
  <c r="Y1496" i="202"/>
  <c r="Y1497" i="202"/>
  <c r="Y1498" i="202"/>
  <c r="Y1499" i="202"/>
  <c r="Y1500" i="202"/>
  <c r="Y1501" i="202"/>
  <c r="Y1502" i="202"/>
  <c r="Y1503" i="202"/>
  <c r="Y1504" i="202"/>
  <c r="Y1505" i="202"/>
  <c r="Y1506" i="202"/>
  <c r="Y1507" i="202"/>
  <c r="Y1508" i="202"/>
  <c r="Y1509" i="202"/>
  <c r="Y1510" i="202"/>
  <c r="Y1511" i="202"/>
  <c r="Y1512" i="202"/>
  <c r="Y1513" i="202"/>
  <c r="Y1514" i="202"/>
  <c r="Y1515" i="202"/>
  <c r="Y1516" i="202"/>
  <c r="Y1517" i="202"/>
  <c r="Y1518" i="202"/>
  <c r="Y1519" i="202"/>
  <c r="Y1520" i="202"/>
  <c r="Y1521" i="202"/>
  <c r="Y1522" i="202"/>
  <c r="Y1523" i="202"/>
  <c r="Y1524" i="202"/>
  <c r="Y1525" i="202"/>
  <c r="Y1526" i="202"/>
  <c r="Y1527" i="202"/>
  <c r="Y1528" i="202"/>
  <c r="Y1529" i="202"/>
  <c r="Y1530" i="202"/>
  <c r="Y1531" i="202"/>
  <c r="Y1532" i="202"/>
  <c r="Y1533" i="202"/>
  <c r="Y1534" i="202"/>
  <c r="Y1535" i="202"/>
  <c r="Y1536" i="202"/>
  <c r="Y1537" i="202"/>
  <c r="Y1538" i="202"/>
  <c r="Y1539" i="202"/>
  <c r="Y1540" i="202"/>
  <c r="Y1541" i="202"/>
  <c r="Y1542" i="202"/>
  <c r="Y1543" i="202"/>
  <c r="Y1544" i="202"/>
  <c r="Y1545" i="202"/>
  <c r="Y1546" i="202"/>
  <c r="Y1547" i="202"/>
  <c r="Y1548" i="202"/>
  <c r="Y1549" i="202"/>
  <c r="Y1550" i="202"/>
  <c r="Y1551" i="202"/>
  <c r="Y1552" i="202"/>
  <c r="Y1553" i="202"/>
  <c r="Y1554" i="202"/>
  <c r="Y1555" i="202"/>
  <c r="Y1556" i="202"/>
  <c r="Y1557" i="202"/>
  <c r="Y1558" i="202"/>
  <c r="Y1559" i="202"/>
  <c r="Y1560" i="202"/>
  <c r="Y1561" i="202"/>
  <c r="Y1562" i="202"/>
  <c r="Y1563" i="202"/>
  <c r="Y1564" i="202"/>
  <c r="Y1565" i="202"/>
  <c r="Y1566" i="202"/>
  <c r="Y1567" i="202"/>
  <c r="Y1568" i="202"/>
  <c r="Y1569" i="202"/>
  <c r="Y1570" i="202"/>
  <c r="Y1571" i="202"/>
  <c r="Y1572" i="202"/>
  <c r="Y1573" i="202"/>
  <c r="Y1574" i="202"/>
  <c r="Y1575" i="202"/>
  <c r="Y1576" i="202"/>
  <c r="Y1577" i="202"/>
  <c r="Y1578" i="202"/>
  <c r="Y1579" i="202"/>
  <c r="Y1580" i="202"/>
  <c r="Y1581" i="202"/>
  <c r="Y1582" i="202"/>
  <c r="Y1583" i="202"/>
  <c r="Y1584" i="202"/>
  <c r="Y1585" i="202"/>
  <c r="Y1586" i="202"/>
  <c r="Y1587" i="202"/>
  <c r="Y1588" i="202"/>
  <c r="Y1589" i="202"/>
  <c r="Y1590" i="202"/>
  <c r="Y1591" i="202"/>
  <c r="Y1592" i="202"/>
  <c r="Y1593" i="202"/>
  <c r="Y1594" i="202"/>
  <c r="Y1595" i="202"/>
  <c r="Y1596" i="202"/>
  <c r="Y1597" i="202"/>
  <c r="Y1598" i="202"/>
  <c r="Y1599" i="202"/>
  <c r="Y1600" i="202"/>
  <c r="Y1601" i="202"/>
  <c r="Y1602" i="202"/>
  <c r="Y1603" i="202"/>
  <c r="Y1604" i="202"/>
  <c r="Y1605" i="202"/>
  <c r="Y1606" i="202"/>
  <c r="Y1607" i="202"/>
  <c r="Y1608" i="202"/>
  <c r="Y1609" i="202"/>
  <c r="Y1610" i="202"/>
  <c r="Y1611" i="202"/>
  <c r="Y1612" i="202"/>
  <c r="Y1613" i="202"/>
  <c r="Y1614" i="202"/>
  <c r="Y1615" i="202"/>
  <c r="Y1616" i="202"/>
  <c r="Y1617" i="202"/>
  <c r="Y1618" i="202"/>
  <c r="Y1619" i="202"/>
  <c r="Y1620" i="202"/>
  <c r="Y1621" i="202"/>
  <c r="Y1622" i="202"/>
  <c r="Y1623" i="202"/>
  <c r="Y1624" i="202"/>
  <c r="Y1625" i="202"/>
  <c r="Y1626" i="202"/>
  <c r="Y1627" i="202"/>
  <c r="Y1628" i="202"/>
  <c r="Y1629" i="202"/>
  <c r="Y1630" i="202"/>
  <c r="Y1631" i="202"/>
  <c r="Y1632" i="202"/>
  <c r="Y1633" i="202"/>
  <c r="Y1634" i="202"/>
  <c r="Y1635" i="202"/>
  <c r="Y1636" i="202"/>
  <c r="Y1637" i="202"/>
  <c r="Y1638" i="202"/>
  <c r="Y1639" i="202"/>
  <c r="Y1640" i="202"/>
  <c r="Y1641" i="202"/>
  <c r="Y1642" i="202"/>
  <c r="Y1643" i="202"/>
  <c r="Y1644" i="202"/>
  <c r="Y1645" i="202"/>
  <c r="Y1646" i="202"/>
  <c r="Y1647" i="202"/>
  <c r="Y1648" i="202"/>
  <c r="Y1649" i="202"/>
  <c r="Y1650" i="202"/>
  <c r="Y1651" i="202"/>
  <c r="Y1652" i="202"/>
  <c r="Y1653" i="202"/>
  <c r="Y1654" i="202"/>
  <c r="Y1655" i="202"/>
  <c r="Y1656" i="202"/>
  <c r="Y1657" i="202"/>
  <c r="Y1658" i="202"/>
  <c r="Y1659" i="202"/>
  <c r="Y1660" i="202"/>
  <c r="Y1661" i="202"/>
  <c r="Y1662" i="202"/>
  <c r="Y1663" i="202"/>
  <c r="Y1664" i="202"/>
  <c r="Y1665" i="202"/>
  <c r="Y1666" i="202"/>
  <c r="Y1667" i="202"/>
  <c r="Y1668" i="202"/>
  <c r="Y1669" i="202"/>
  <c r="Y1670" i="202"/>
  <c r="Y1671" i="202"/>
  <c r="Y1672" i="202"/>
  <c r="Y1673" i="202"/>
  <c r="Y1674" i="202"/>
  <c r="Y1675" i="202"/>
  <c r="Y1676" i="202"/>
  <c r="Y1677" i="202"/>
  <c r="Y1678" i="202"/>
  <c r="Y1679" i="202"/>
  <c r="Y1680" i="202"/>
  <c r="Y1681" i="202"/>
  <c r="Y1682" i="202"/>
  <c r="Y1683" i="202"/>
  <c r="Y1684" i="202"/>
  <c r="Y1685" i="202"/>
  <c r="Y1686" i="202"/>
  <c r="Y1687" i="202"/>
  <c r="Y1688" i="202"/>
  <c r="Y1689" i="202"/>
  <c r="Y1690" i="202"/>
  <c r="Y1691" i="202"/>
  <c r="Y1692" i="202"/>
  <c r="Y1693" i="202"/>
  <c r="Y1694" i="202"/>
  <c r="Y1695" i="202"/>
  <c r="Y1696" i="202"/>
  <c r="Y1697" i="202"/>
  <c r="Y1698" i="202"/>
  <c r="Y1699" i="202"/>
  <c r="Y1700" i="202"/>
  <c r="Y1701" i="202"/>
  <c r="Y1702" i="202"/>
  <c r="Y1703" i="202"/>
  <c r="Y1704" i="202"/>
  <c r="Y1705" i="202"/>
  <c r="Y1706" i="202"/>
  <c r="Y1707" i="202"/>
  <c r="Y1708" i="202"/>
  <c r="Y1709" i="202"/>
  <c r="Y1710" i="202"/>
  <c r="Y1711" i="202"/>
  <c r="Y1712" i="202"/>
  <c r="Y1713" i="202"/>
  <c r="Y1714" i="202"/>
  <c r="Y1715" i="202"/>
  <c r="Y1716" i="202"/>
  <c r="Y1717" i="202"/>
  <c r="Y1718" i="202"/>
  <c r="Y1719" i="202"/>
  <c r="Y1720" i="202"/>
  <c r="Y1721" i="202"/>
  <c r="Y1722" i="202"/>
  <c r="Y1723" i="202"/>
  <c r="Y1724" i="202"/>
  <c r="Y1725" i="202"/>
  <c r="Y1726" i="202"/>
  <c r="Y1727" i="202"/>
  <c r="Y1728" i="202"/>
  <c r="Y1729" i="202"/>
  <c r="Y1730" i="202"/>
  <c r="Y1731" i="202"/>
  <c r="Y1732" i="202"/>
  <c r="Y1733" i="202"/>
  <c r="Y1734" i="202"/>
  <c r="Y1735" i="202"/>
  <c r="Y1736" i="202"/>
  <c r="Y1737" i="202"/>
  <c r="Y1738" i="202"/>
  <c r="Y1739" i="202"/>
  <c r="Y1740" i="202"/>
  <c r="Y1741" i="202"/>
  <c r="Y1742" i="202"/>
  <c r="Y1743" i="202"/>
  <c r="Y1744" i="202"/>
  <c r="Y1745" i="202"/>
  <c r="Y1746" i="202"/>
  <c r="Y1747" i="202"/>
  <c r="Y1748" i="202"/>
  <c r="Y1749" i="202"/>
  <c r="Y1750" i="202"/>
  <c r="Y1751" i="202"/>
  <c r="Y1752" i="202"/>
  <c r="Y1753" i="202"/>
  <c r="Y1754" i="202"/>
  <c r="Y1755" i="202"/>
  <c r="Y1756" i="202"/>
  <c r="Y1757" i="202"/>
  <c r="Y1758" i="202"/>
  <c r="Y1759" i="202"/>
  <c r="Y1760" i="202"/>
  <c r="Y1761" i="202"/>
  <c r="Y1762" i="202"/>
  <c r="Y1763" i="202"/>
  <c r="Y1764" i="202"/>
  <c r="Y1765" i="202"/>
  <c r="Y1766" i="202"/>
  <c r="Y1767" i="202"/>
  <c r="Y1768" i="202"/>
  <c r="Y1769" i="202"/>
  <c r="Y1770" i="202"/>
  <c r="Y1771" i="202"/>
  <c r="Y1772" i="202"/>
  <c r="Y1773" i="202"/>
  <c r="Y1774" i="202"/>
  <c r="Y1775" i="202"/>
  <c r="Y1776" i="202"/>
  <c r="Y1777" i="202"/>
  <c r="Y1778" i="202"/>
  <c r="Y1779" i="202"/>
  <c r="Y1780" i="202"/>
  <c r="Y1781" i="202"/>
  <c r="Y1782" i="202"/>
  <c r="Y1783" i="202"/>
  <c r="Y1784" i="202"/>
  <c r="Y1785" i="202"/>
  <c r="Y1786" i="202"/>
  <c r="Y1787" i="202"/>
  <c r="Y1788" i="202"/>
  <c r="Y1789" i="202"/>
  <c r="Y1790" i="202"/>
  <c r="Y1791" i="202"/>
  <c r="Y1792" i="202"/>
  <c r="Y1793" i="202"/>
  <c r="Y1794" i="202"/>
  <c r="Y1795" i="202"/>
  <c r="Y1796" i="202"/>
  <c r="Y1797" i="202"/>
  <c r="Y1798" i="202"/>
  <c r="Y1799" i="202"/>
  <c r="Y1800" i="202"/>
  <c r="Y1801" i="202"/>
  <c r="Y1802" i="202"/>
  <c r="Y1803" i="202"/>
  <c r="Y1804" i="202"/>
  <c r="Y1805" i="202"/>
  <c r="Y1806" i="202"/>
  <c r="Y1807" i="202"/>
  <c r="Y1808" i="202"/>
  <c r="Y1809" i="202"/>
  <c r="Y1810" i="202"/>
  <c r="Y1811" i="202"/>
  <c r="Y1812" i="202"/>
  <c r="Y1813" i="202"/>
  <c r="Y1814" i="202"/>
  <c r="Y1815" i="202"/>
  <c r="Y1816" i="202"/>
  <c r="Y1817" i="202"/>
  <c r="Y1818" i="202"/>
  <c r="Y1819" i="202"/>
  <c r="Y1820" i="202"/>
  <c r="Y1821" i="202"/>
  <c r="Y1822" i="202"/>
  <c r="Y1823" i="202"/>
  <c r="Y1824" i="202"/>
  <c r="Y1825" i="202"/>
  <c r="Y1826" i="202"/>
  <c r="Y1827" i="202"/>
  <c r="Y1828" i="202"/>
  <c r="Y1829" i="202"/>
  <c r="Y1830" i="202"/>
  <c r="Y1831" i="202"/>
  <c r="Y1832" i="202"/>
  <c r="Y1833" i="202"/>
  <c r="Y1834" i="202"/>
  <c r="Y1835" i="202"/>
  <c r="Y1836" i="202"/>
  <c r="Y1837" i="202"/>
  <c r="Y1838" i="202"/>
  <c r="Y1839" i="202"/>
  <c r="Y1840" i="202"/>
  <c r="Y1841" i="202"/>
  <c r="Y1842" i="202"/>
  <c r="Y1843" i="202"/>
  <c r="Y1844" i="202"/>
  <c r="Y1845" i="202"/>
  <c r="Y1846" i="202"/>
  <c r="Y1847" i="202"/>
  <c r="Y1848" i="202"/>
  <c r="Y1849" i="202"/>
  <c r="Y1850" i="202"/>
  <c r="Y1851" i="202"/>
  <c r="Y1852" i="202"/>
  <c r="Y1853" i="202"/>
  <c r="Y1854" i="202"/>
  <c r="Y1855" i="202"/>
  <c r="Y1856" i="202"/>
  <c r="Y1857" i="202"/>
  <c r="Y1858" i="202"/>
  <c r="Y1859" i="202"/>
  <c r="Y1860" i="202"/>
  <c r="Y1861" i="202"/>
  <c r="Y1862" i="202"/>
  <c r="Y1863" i="202"/>
  <c r="Y1864" i="202"/>
  <c r="Y1865" i="202"/>
  <c r="Y1866" i="202"/>
  <c r="Y1867" i="202"/>
  <c r="Y1868" i="202"/>
  <c r="Y1869" i="202"/>
  <c r="Y1870" i="202"/>
  <c r="Y1871" i="202"/>
  <c r="Y1872" i="202"/>
  <c r="Y1873" i="202"/>
  <c r="Y1874" i="202"/>
  <c r="Y1875" i="202"/>
  <c r="Y1876" i="202"/>
  <c r="Y1877" i="202"/>
  <c r="Y1878" i="202"/>
  <c r="Y1879" i="202"/>
  <c r="Y1880" i="202"/>
  <c r="Y1881" i="202"/>
  <c r="Y1882" i="202"/>
  <c r="Y1883" i="202"/>
  <c r="Y1884" i="202"/>
  <c r="Y1885" i="202"/>
  <c r="Y1886" i="202"/>
  <c r="Y1887" i="202"/>
  <c r="Y1888" i="202"/>
  <c r="Y1889" i="202"/>
  <c r="Y1890" i="202"/>
  <c r="Y1891" i="202"/>
  <c r="Y1892" i="202"/>
  <c r="Y1893" i="202"/>
  <c r="Y1894" i="202"/>
  <c r="Y1895" i="202"/>
  <c r="Y1896" i="202"/>
  <c r="Y1897" i="202"/>
  <c r="Y1898" i="202"/>
  <c r="Y1899" i="202"/>
  <c r="Y1900" i="202"/>
  <c r="Y1901" i="202"/>
  <c r="Y1902" i="202"/>
  <c r="Y1903" i="202"/>
  <c r="Y1904" i="202"/>
  <c r="Y1905" i="202"/>
  <c r="Y1906" i="202"/>
  <c r="Y1907" i="202"/>
  <c r="Y1908" i="202"/>
  <c r="Y1909" i="202"/>
  <c r="Y1910" i="202"/>
  <c r="Y1911" i="202"/>
  <c r="Y1912" i="202"/>
  <c r="Y1913" i="202"/>
  <c r="Y1914" i="202"/>
  <c r="Y1915" i="202"/>
  <c r="Y1916" i="202"/>
  <c r="Y1917" i="202"/>
  <c r="Y1918" i="202"/>
  <c r="Y1919" i="202"/>
  <c r="Y1920" i="202"/>
  <c r="Y1921" i="202"/>
  <c r="Y1922" i="202"/>
  <c r="Y1923" i="202"/>
  <c r="Y1924" i="202"/>
  <c r="Y1925" i="202"/>
  <c r="Y1926" i="202"/>
  <c r="Y1927" i="202"/>
  <c r="Y1928" i="202"/>
  <c r="Y1929" i="202"/>
  <c r="Y1930" i="202"/>
  <c r="Y1931" i="202"/>
  <c r="Y1932" i="202"/>
  <c r="Y1933" i="202"/>
  <c r="Y1934" i="202"/>
  <c r="Y1935" i="202"/>
  <c r="Y1936" i="202"/>
  <c r="Y1937" i="202"/>
  <c r="Y1938" i="202"/>
  <c r="Y1939" i="202"/>
  <c r="Y1940" i="202"/>
  <c r="Y1941" i="202"/>
  <c r="Y1942" i="202"/>
  <c r="Y1943" i="202"/>
  <c r="Y1944" i="202"/>
  <c r="Y1945" i="202"/>
  <c r="Y1946" i="202"/>
  <c r="Y1947" i="202"/>
  <c r="Y1948" i="202"/>
  <c r="Y1949" i="202"/>
  <c r="Y1950" i="202"/>
  <c r="Y1951" i="202"/>
  <c r="Y1952" i="202"/>
  <c r="Y1953" i="202"/>
  <c r="Y1954" i="202"/>
  <c r="Y1955" i="202"/>
  <c r="Y1956" i="202"/>
  <c r="Y1957" i="202"/>
  <c r="Y1958" i="202"/>
  <c r="Y1959" i="202"/>
  <c r="Y1960" i="202"/>
  <c r="Y1961" i="202"/>
  <c r="Y1962" i="202"/>
  <c r="Y1963" i="202"/>
  <c r="Y1964" i="202"/>
  <c r="Y1965" i="202"/>
  <c r="Y1966" i="202"/>
  <c r="Y1967" i="202"/>
  <c r="Y1968" i="202"/>
  <c r="Y1969" i="202"/>
  <c r="Y1970" i="202"/>
  <c r="Y1971" i="202"/>
  <c r="Y1972" i="202"/>
  <c r="Y1973" i="202"/>
  <c r="Y1974" i="202"/>
  <c r="Y1975" i="202"/>
  <c r="Y1976" i="202"/>
  <c r="Y1977" i="202"/>
  <c r="Y1978" i="202"/>
  <c r="Y1979" i="202"/>
  <c r="Y1980" i="202"/>
  <c r="Y1981" i="202"/>
  <c r="Y1982" i="202"/>
  <c r="Y1983" i="202"/>
  <c r="Y1984" i="202"/>
  <c r="Y1985" i="202"/>
  <c r="Y1986" i="202"/>
  <c r="Y1987" i="202"/>
  <c r="Y1988" i="202"/>
  <c r="Y1989" i="202"/>
  <c r="Y1990" i="202"/>
  <c r="Y1991" i="202"/>
  <c r="Y1992" i="202"/>
  <c r="Y1993" i="202"/>
  <c r="Y1994" i="202"/>
  <c r="Y1995" i="202"/>
  <c r="Y1996" i="202"/>
  <c r="Y1997" i="202"/>
  <c r="Y1998" i="202"/>
  <c r="Y1999" i="202"/>
  <c r="Y2000" i="202"/>
  <c r="Y2001" i="202"/>
  <c r="Y2002" i="202"/>
  <c r="Y2003" i="202"/>
  <c r="Y2004" i="202"/>
  <c r="Y2005" i="202"/>
  <c r="Y2006" i="202"/>
  <c r="Y2007" i="202"/>
  <c r="Y2008" i="202"/>
  <c r="Y2009" i="202"/>
  <c r="Y2010" i="202"/>
  <c r="Y2011" i="202"/>
  <c r="Y2012" i="202"/>
  <c r="Y2013" i="202"/>
  <c r="Y2014" i="202"/>
  <c r="Y2015" i="202"/>
  <c r="Y2016" i="202"/>
  <c r="Y2017" i="202"/>
  <c r="Y2018" i="202"/>
  <c r="Y2019" i="202"/>
  <c r="Y2020" i="202"/>
  <c r="Y2021" i="202"/>
  <c r="Y2022" i="202"/>
  <c r="Y2023" i="202"/>
  <c r="Y2024" i="202"/>
  <c r="Y2025" i="202"/>
  <c r="Y2026" i="202"/>
  <c r="Y2027" i="202"/>
  <c r="Y2028" i="202"/>
  <c r="Y2029" i="202"/>
  <c r="Y2030" i="202"/>
  <c r="Y2031" i="202"/>
  <c r="Y2032" i="202"/>
  <c r="Y2033" i="202"/>
  <c r="Y2034" i="202"/>
  <c r="Y2035" i="202"/>
  <c r="Y2036" i="202"/>
  <c r="Y2037" i="202"/>
  <c r="Y2038" i="202"/>
  <c r="Y2039" i="202"/>
  <c r="Y2040" i="202"/>
  <c r="Y2041" i="202"/>
  <c r="Y2042" i="202"/>
  <c r="Y2043" i="202"/>
  <c r="Y2044" i="202"/>
  <c r="Y2045" i="202"/>
  <c r="Y2046" i="202"/>
  <c r="Y2047" i="202"/>
  <c r="Y2048" i="202"/>
  <c r="AZ2" i="202"/>
  <c r="AZ3" i="202"/>
  <c r="AZ4" i="202"/>
  <c r="AZ5" i="202"/>
  <c r="AZ6" i="202"/>
  <c r="AZ7" i="202"/>
  <c r="AZ8" i="202"/>
  <c r="AZ9" i="202"/>
  <c r="AZ10" i="202"/>
  <c r="AZ11" i="202"/>
  <c r="AZ12" i="202"/>
  <c r="AZ13" i="202"/>
  <c r="AZ14" i="202"/>
  <c r="AZ15" i="202"/>
  <c r="AZ16" i="202"/>
  <c r="AZ17" i="202"/>
  <c r="AZ18" i="202"/>
  <c r="AZ19" i="202"/>
  <c r="AZ20" i="202"/>
  <c r="AZ21" i="202"/>
  <c r="AZ22" i="202"/>
  <c r="AZ23" i="202"/>
  <c r="AZ24" i="202"/>
  <c r="AZ25" i="202"/>
  <c r="AZ26" i="202"/>
  <c r="AZ27" i="202"/>
  <c r="AZ28" i="202"/>
  <c r="AZ29" i="202"/>
  <c r="AZ30" i="202"/>
  <c r="AZ31" i="202"/>
  <c r="AZ32" i="202"/>
  <c r="AZ33" i="202"/>
  <c r="AZ34" i="202"/>
  <c r="AZ35" i="202"/>
  <c r="AZ36" i="202"/>
  <c r="AZ37" i="202"/>
  <c r="AZ38" i="202"/>
  <c r="AZ39" i="202"/>
  <c r="AZ40" i="202"/>
  <c r="AZ41" i="202"/>
  <c r="AZ42" i="202"/>
  <c r="AZ43" i="202"/>
  <c r="AZ44" i="202"/>
  <c r="AZ45" i="202"/>
  <c r="AZ46" i="202"/>
  <c r="AZ47" i="202"/>
  <c r="AZ48" i="202"/>
  <c r="AZ49" i="202"/>
  <c r="AZ50" i="202"/>
  <c r="AZ51" i="202"/>
  <c r="AZ52" i="202"/>
  <c r="AZ53" i="202"/>
  <c r="AZ54" i="202"/>
  <c r="AZ55" i="202"/>
  <c r="AZ56" i="202"/>
  <c r="AZ57" i="202"/>
  <c r="AZ58" i="202"/>
  <c r="AZ59" i="202"/>
  <c r="AZ60" i="202"/>
  <c r="AZ61" i="202"/>
  <c r="AZ62" i="202"/>
  <c r="AZ63" i="202"/>
  <c r="AZ64" i="202"/>
  <c r="AZ65" i="202"/>
  <c r="AZ66" i="202"/>
  <c r="AZ67" i="202"/>
  <c r="AZ68" i="202"/>
  <c r="AZ69" i="202"/>
  <c r="AZ70" i="202"/>
  <c r="AZ71" i="202"/>
  <c r="AZ72" i="202"/>
  <c r="AZ73" i="202"/>
  <c r="AZ74" i="202"/>
  <c r="AZ75" i="202"/>
  <c r="AZ76" i="202"/>
  <c r="AZ77" i="202"/>
  <c r="AZ78" i="202"/>
  <c r="AZ79" i="202"/>
  <c r="AZ80" i="202"/>
  <c r="AZ81" i="202"/>
  <c r="AZ82" i="202"/>
  <c r="AZ83" i="202"/>
  <c r="AZ84" i="202"/>
  <c r="AZ85" i="202"/>
  <c r="AZ86" i="202"/>
  <c r="AZ87" i="202"/>
  <c r="AZ88" i="202"/>
  <c r="AZ89" i="202"/>
  <c r="AZ90" i="202"/>
  <c r="AZ91" i="202"/>
  <c r="AZ92" i="202"/>
  <c r="AZ93" i="202"/>
  <c r="AZ94" i="202"/>
  <c r="AZ95" i="202"/>
  <c r="AZ96" i="202"/>
  <c r="AZ97" i="202"/>
  <c r="AZ98" i="202"/>
  <c r="AZ99" i="202"/>
  <c r="AZ100" i="202"/>
  <c r="AZ101" i="202"/>
  <c r="AZ102" i="202"/>
  <c r="AZ103" i="202"/>
  <c r="AZ104" i="202"/>
  <c r="AZ105" i="202"/>
  <c r="AZ106" i="202"/>
  <c r="AZ107" i="202"/>
  <c r="AZ108" i="202"/>
  <c r="AZ109" i="202"/>
  <c r="AZ110" i="202"/>
  <c r="AZ111" i="202"/>
  <c r="AZ112" i="202"/>
  <c r="AZ113" i="202"/>
  <c r="AZ114" i="202"/>
  <c r="AZ115" i="202"/>
  <c r="AZ116" i="202"/>
  <c r="AZ117" i="202"/>
  <c r="AZ118" i="202"/>
  <c r="AZ119" i="202"/>
  <c r="AZ120" i="202"/>
  <c r="AZ121" i="202"/>
  <c r="AZ122" i="202"/>
  <c r="AZ123" i="202"/>
  <c r="AZ124" i="202"/>
  <c r="AZ125" i="202"/>
  <c r="AZ126" i="202"/>
  <c r="AZ127" i="202"/>
  <c r="AZ128" i="202"/>
  <c r="AZ129" i="202"/>
  <c r="AZ130" i="202"/>
  <c r="AZ131" i="202"/>
  <c r="AZ132" i="202"/>
  <c r="AZ133" i="202"/>
  <c r="AZ134" i="202"/>
  <c r="AZ135" i="202"/>
  <c r="AZ136" i="202"/>
  <c r="AZ137" i="202"/>
  <c r="AZ138" i="202"/>
  <c r="AZ139" i="202"/>
  <c r="AZ140" i="202"/>
  <c r="AZ141" i="202"/>
  <c r="AZ142" i="202"/>
  <c r="AZ143" i="202"/>
  <c r="AZ144" i="202"/>
  <c r="AZ145" i="202"/>
  <c r="AZ146" i="202"/>
  <c r="AZ147" i="202"/>
  <c r="AZ148" i="202"/>
  <c r="AZ149" i="202"/>
  <c r="AZ150" i="202"/>
  <c r="AZ151" i="202"/>
  <c r="AZ152" i="202"/>
  <c r="AZ153" i="202"/>
  <c r="AZ154" i="202"/>
  <c r="AZ155" i="202"/>
  <c r="AZ156" i="202"/>
  <c r="AZ157" i="202"/>
  <c r="AZ158" i="202"/>
  <c r="AZ159" i="202"/>
  <c r="AZ160" i="202"/>
  <c r="AZ161" i="202"/>
  <c r="AZ162" i="202"/>
  <c r="AZ163" i="202"/>
  <c r="AZ164" i="202"/>
  <c r="AZ165" i="202"/>
  <c r="AZ166" i="202"/>
  <c r="AZ167" i="202"/>
  <c r="AZ168" i="202"/>
  <c r="AZ169" i="202"/>
  <c r="AZ170" i="202"/>
  <c r="AZ171" i="202"/>
  <c r="AZ172" i="202"/>
  <c r="AZ173" i="202"/>
  <c r="AZ174" i="202"/>
  <c r="AZ175" i="202"/>
  <c r="AZ176" i="202"/>
  <c r="AZ177" i="202"/>
  <c r="AZ178" i="202"/>
  <c r="AZ179" i="202"/>
  <c r="AZ180" i="202"/>
  <c r="AZ181" i="202"/>
  <c r="AZ182" i="202"/>
  <c r="AZ183" i="202"/>
  <c r="AZ184" i="202"/>
  <c r="AZ185" i="202"/>
  <c r="AZ186" i="202"/>
  <c r="AZ187" i="202"/>
  <c r="AZ188" i="202"/>
  <c r="AZ189" i="202"/>
  <c r="AZ190" i="202"/>
  <c r="AZ191" i="202"/>
  <c r="AZ192" i="202"/>
  <c r="AZ193" i="202"/>
  <c r="AZ194" i="202"/>
  <c r="AZ195" i="202"/>
  <c r="AZ196" i="202"/>
  <c r="AZ197" i="202"/>
  <c r="AZ198" i="202"/>
  <c r="AZ199" i="202"/>
  <c r="AZ200" i="202"/>
  <c r="AZ201" i="202"/>
  <c r="AZ202" i="202"/>
  <c r="AZ203" i="202"/>
  <c r="AZ204" i="202"/>
  <c r="AZ205" i="202"/>
  <c r="AZ206" i="202"/>
  <c r="AZ207" i="202"/>
  <c r="AZ208" i="202"/>
  <c r="AZ209" i="202"/>
  <c r="AZ210" i="202"/>
  <c r="AZ211" i="202"/>
  <c r="AZ212" i="202"/>
  <c r="AZ213" i="202"/>
  <c r="AZ214" i="202"/>
  <c r="AZ215" i="202"/>
  <c r="AZ216" i="202"/>
  <c r="AZ217" i="202"/>
  <c r="AZ218" i="202"/>
  <c r="AZ219" i="202"/>
  <c r="AZ220" i="202"/>
  <c r="AZ221" i="202"/>
  <c r="AZ222" i="202"/>
  <c r="AZ223" i="202"/>
  <c r="AZ224" i="202"/>
  <c r="AZ225" i="202"/>
  <c r="AZ226" i="202"/>
  <c r="AZ227" i="202"/>
  <c r="AZ228" i="202"/>
  <c r="AZ229" i="202"/>
  <c r="AZ230" i="202"/>
  <c r="AZ231" i="202"/>
  <c r="AZ232" i="202"/>
  <c r="AZ233" i="202"/>
  <c r="AZ234" i="202"/>
  <c r="AZ235" i="202"/>
  <c r="AZ236" i="202"/>
  <c r="AZ237" i="202"/>
  <c r="AZ238" i="202"/>
  <c r="AZ239" i="202"/>
  <c r="AZ240" i="202"/>
  <c r="AZ241" i="202"/>
  <c r="AZ242" i="202"/>
  <c r="AZ243" i="202"/>
  <c r="AZ244" i="202"/>
  <c r="AZ245" i="202"/>
  <c r="AZ246" i="202"/>
  <c r="AZ247" i="202"/>
  <c r="AZ248" i="202"/>
  <c r="AZ249" i="202"/>
  <c r="AZ250" i="202"/>
  <c r="AZ251" i="202"/>
  <c r="AZ252" i="202"/>
  <c r="AZ253" i="202"/>
  <c r="AZ254" i="202"/>
  <c r="AZ255" i="202"/>
  <c r="AZ256" i="202"/>
  <c r="AZ257" i="202"/>
  <c r="AZ258" i="202"/>
  <c r="AZ259" i="202"/>
  <c r="AZ260" i="202"/>
  <c r="AZ261" i="202"/>
  <c r="AZ262" i="202"/>
  <c r="AZ263" i="202"/>
  <c r="AZ264" i="202"/>
  <c r="AZ265" i="202"/>
  <c r="AZ266" i="202"/>
  <c r="AZ267" i="202"/>
  <c r="AZ268" i="202"/>
  <c r="AZ269" i="202"/>
  <c r="AZ270" i="202"/>
  <c r="AZ271" i="202"/>
  <c r="AZ272" i="202"/>
  <c r="AZ273" i="202"/>
  <c r="AZ274" i="202"/>
  <c r="AZ275" i="202"/>
  <c r="AZ276" i="202"/>
  <c r="AZ277" i="202"/>
  <c r="AZ278" i="202"/>
  <c r="AZ279" i="202"/>
  <c r="AZ280" i="202"/>
  <c r="AZ281" i="202"/>
  <c r="AZ282" i="202"/>
  <c r="AZ283" i="202"/>
  <c r="AZ284" i="202"/>
  <c r="AZ285" i="202"/>
  <c r="AZ286" i="202"/>
  <c r="AZ287" i="202"/>
  <c r="AZ288" i="202"/>
  <c r="AZ289" i="202"/>
  <c r="AZ290" i="202"/>
  <c r="AZ291" i="202"/>
  <c r="AZ292" i="202"/>
  <c r="AZ293" i="202"/>
  <c r="AZ294" i="202"/>
  <c r="AZ295" i="202"/>
  <c r="AZ296" i="202"/>
  <c r="AZ297" i="202"/>
  <c r="AZ298" i="202"/>
  <c r="AZ299" i="202"/>
  <c r="AZ300" i="202"/>
  <c r="AZ301" i="202"/>
  <c r="AZ302" i="202"/>
  <c r="AZ303" i="202"/>
  <c r="AZ304" i="202"/>
  <c r="AZ305" i="202"/>
  <c r="AZ306" i="202"/>
  <c r="AZ307" i="202"/>
  <c r="AZ308" i="202"/>
  <c r="AZ309" i="202"/>
  <c r="AZ310" i="202"/>
  <c r="AZ311" i="202"/>
  <c r="AZ312" i="202"/>
  <c r="AZ313" i="202"/>
  <c r="AZ314" i="202"/>
  <c r="AZ315" i="202"/>
  <c r="AZ316" i="202"/>
  <c r="AZ317" i="202"/>
  <c r="AZ318" i="202"/>
  <c r="AZ319" i="202"/>
  <c r="AZ320" i="202"/>
  <c r="AZ321" i="202"/>
  <c r="AZ322" i="202"/>
  <c r="AZ323" i="202"/>
  <c r="AZ324" i="202"/>
  <c r="AZ325" i="202"/>
  <c r="AZ326" i="202"/>
  <c r="AZ327" i="202"/>
  <c r="AZ328" i="202"/>
  <c r="AZ329" i="202"/>
  <c r="AZ330" i="202"/>
  <c r="AZ331" i="202"/>
  <c r="AZ332" i="202"/>
  <c r="AZ333" i="202"/>
  <c r="AZ334" i="202"/>
  <c r="AZ335" i="202"/>
  <c r="AZ336" i="202"/>
  <c r="AZ337" i="202"/>
  <c r="AZ338" i="202"/>
  <c r="AZ339" i="202"/>
  <c r="AZ340" i="202"/>
  <c r="AZ341" i="202"/>
  <c r="AZ342" i="202"/>
  <c r="AZ343" i="202"/>
  <c r="AZ344" i="202"/>
  <c r="AZ345" i="202"/>
  <c r="AZ346" i="202"/>
  <c r="AZ347" i="202"/>
  <c r="AZ348" i="202"/>
  <c r="AZ349" i="202"/>
  <c r="AZ350" i="202"/>
  <c r="AZ351" i="202"/>
  <c r="AZ352" i="202"/>
  <c r="AZ353" i="202"/>
  <c r="AZ354" i="202"/>
  <c r="AZ355" i="202"/>
  <c r="AZ356" i="202"/>
  <c r="AZ357" i="202"/>
  <c r="AZ358" i="202"/>
  <c r="AZ359" i="202"/>
  <c r="AZ360" i="202"/>
  <c r="AZ361" i="202"/>
  <c r="AZ362" i="202"/>
  <c r="AZ363" i="202"/>
  <c r="AZ364" i="202"/>
  <c r="AZ365" i="202"/>
  <c r="AZ366" i="202"/>
  <c r="AZ367" i="202"/>
  <c r="AZ368" i="202"/>
  <c r="AZ369" i="202"/>
  <c r="AZ370" i="202"/>
  <c r="AZ371" i="202"/>
  <c r="AZ372" i="202"/>
  <c r="AZ373" i="202"/>
  <c r="AZ374" i="202"/>
  <c r="AZ375" i="202"/>
  <c r="AZ376" i="202"/>
  <c r="AZ377" i="202"/>
  <c r="AZ378" i="202"/>
  <c r="AZ379" i="202"/>
  <c r="AZ380" i="202"/>
  <c r="AZ381" i="202"/>
  <c r="AZ382" i="202"/>
  <c r="AZ383" i="202"/>
  <c r="AZ384" i="202"/>
  <c r="AZ385" i="202"/>
  <c r="AZ386" i="202"/>
  <c r="AZ387" i="202"/>
  <c r="AZ388" i="202"/>
  <c r="AZ389" i="202"/>
  <c r="AZ390" i="202"/>
  <c r="AZ391" i="202"/>
  <c r="AZ392" i="202"/>
  <c r="AZ393" i="202"/>
  <c r="AZ394" i="202"/>
  <c r="AZ395" i="202"/>
  <c r="AZ396" i="202"/>
  <c r="AZ397" i="202"/>
  <c r="AZ398" i="202"/>
  <c r="AZ399" i="202"/>
  <c r="AZ400" i="202"/>
  <c r="AZ401" i="202"/>
  <c r="AZ402" i="202"/>
  <c r="AZ403" i="202"/>
  <c r="AZ404" i="202"/>
  <c r="AZ405" i="202"/>
  <c r="AZ406" i="202"/>
  <c r="AZ407" i="202"/>
  <c r="AZ408" i="202"/>
  <c r="AZ409" i="202"/>
  <c r="AZ410" i="202"/>
  <c r="AZ411" i="202"/>
  <c r="AZ412" i="202"/>
  <c r="AZ413" i="202"/>
  <c r="AZ414" i="202"/>
  <c r="AZ415" i="202"/>
  <c r="AZ416" i="202"/>
  <c r="AZ417" i="202"/>
  <c r="AZ418" i="202"/>
  <c r="AZ419" i="202"/>
  <c r="AZ420" i="202"/>
  <c r="AZ421" i="202"/>
  <c r="AZ422" i="202"/>
  <c r="AZ423" i="202"/>
  <c r="AZ424" i="202"/>
  <c r="AZ425" i="202"/>
  <c r="AZ426" i="202"/>
  <c r="AZ427" i="202"/>
  <c r="AZ428" i="202"/>
  <c r="AZ429" i="202"/>
  <c r="AZ430" i="202"/>
  <c r="AZ431" i="202"/>
  <c r="AZ432" i="202"/>
  <c r="AZ433" i="202"/>
  <c r="AZ434" i="202"/>
  <c r="AZ435" i="202"/>
  <c r="AZ436" i="202"/>
  <c r="AZ437" i="202"/>
  <c r="AZ438" i="202"/>
  <c r="AZ439" i="202"/>
  <c r="AZ440" i="202"/>
  <c r="AZ441" i="202"/>
  <c r="AZ442" i="202"/>
  <c r="AZ443" i="202"/>
  <c r="AZ444" i="202"/>
  <c r="AZ445" i="202"/>
  <c r="AZ446" i="202"/>
  <c r="AZ447" i="202"/>
  <c r="AZ448" i="202"/>
  <c r="AZ449" i="202"/>
  <c r="AZ450" i="202"/>
  <c r="AZ451" i="202"/>
  <c r="AZ452" i="202"/>
  <c r="AZ453" i="202"/>
  <c r="AZ454" i="202"/>
  <c r="AZ455" i="202"/>
  <c r="AZ456" i="202"/>
  <c r="AZ457" i="202"/>
  <c r="AZ458" i="202"/>
  <c r="AZ459" i="202"/>
  <c r="AZ460" i="202"/>
  <c r="AZ461" i="202"/>
  <c r="AZ462" i="202"/>
  <c r="AZ463" i="202"/>
  <c r="AZ464" i="202"/>
  <c r="AZ465" i="202"/>
  <c r="AZ466" i="202"/>
  <c r="AZ467" i="202"/>
  <c r="AZ468" i="202"/>
  <c r="AZ469" i="202"/>
  <c r="AZ470" i="202"/>
  <c r="AZ471" i="202"/>
  <c r="AZ472" i="202"/>
  <c r="AZ473" i="202"/>
  <c r="AZ474" i="202"/>
  <c r="AZ475" i="202"/>
  <c r="AZ476" i="202"/>
  <c r="AZ477" i="202"/>
  <c r="AZ478" i="202"/>
  <c r="AZ479" i="202"/>
  <c r="AZ480" i="202"/>
  <c r="AZ481" i="202"/>
  <c r="AZ482" i="202"/>
  <c r="AZ483" i="202"/>
  <c r="AZ484" i="202"/>
  <c r="AZ485" i="202"/>
  <c r="AZ486" i="202"/>
  <c r="AZ487" i="202"/>
  <c r="AZ488" i="202"/>
  <c r="AZ489" i="202"/>
  <c r="AZ490" i="202"/>
  <c r="AZ491" i="202"/>
  <c r="AZ492" i="202"/>
  <c r="AZ493" i="202"/>
  <c r="AZ494" i="202"/>
  <c r="AZ495" i="202"/>
  <c r="AZ496" i="202"/>
  <c r="AZ497" i="202"/>
  <c r="AZ498" i="202"/>
  <c r="AZ499" i="202"/>
  <c r="AZ500" i="202"/>
  <c r="AZ501" i="202"/>
  <c r="AZ502" i="202"/>
  <c r="AZ503" i="202"/>
  <c r="AZ504" i="202"/>
  <c r="AZ505" i="202"/>
  <c r="AZ506" i="202"/>
  <c r="AZ507" i="202"/>
  <c r="AZ508" i="202"/>
  <c r="AZ509" i="202"/>
  <c r="AZ510" i="202"/>
  <c r="AZ511" i="202"/>
  <c r="AZ512" i="202"/>
  <c r="AZ513" i="202"/>
  <c r="AZ514" i="202"/>
  <c r="AZ515" i="202"/>
  <c r="AZ516" i="202"/>
  <c r="AZ517" i="202"/>
  <c r="AZ518" i="202"/>
  <c r="AZ519" i="202"/>
  <c r="AZ520" i="202"/>
  <c r="AZ521" i="202"/>
  <c r="AZ522" i="202"/>
  <c r="AZ523" i="202"/>
  <c r="AZ524" i="202"/>
  <c r="AZ525" i="202"/>
  <c r="AZ526" i="202"/>
  <c r="AZ527" i="202"/>
  <c r="AZ528" i="202"/>
  <c r="AZ529" i="202"/>
  <c r="AZ530" i="202"/>
  <c r="AZ531" i="202"/>
  <c r="AZ532" i="202"/>
  <c r="AZ533" i="202"/>
  <c r="AZ534" i="202"/>
  <c r="AZ535" i="202"/>
  <c r="AZ536" i="202"/>
  <c r="AZ537" i="202"/>
  <c r="AZ538" i="202"/>
  <c r="AZ539" i="202"/>
  <c r="AZ540" i="202"/>
  <c r="AZ541" i="202"/>
  <c r="AZ542" i="202"/>
  <c r="AZ543" i="202"/>
  <c r="AZ544" i="202"/>
  <c r="AZ545" i="202"/>
  <c r="AZ546" i="202"/>
  <c r="AZ547" i="202"/>
  <c r="AZ548" i="202"/>
  <c r="AZ549" i="202"/>
  <c r="AZ550" i="202"/>
  <c r="AZ551" i="202"/>
  <c r="AZ552" i="202"/>
  <c r="AZ553" i="202"/>
  <c r="AZ554" i="202"/>
  <c r="AZ555" i="202"/>
  <c r="AZ556" i="202"/>
  <c r="AZ557" i="202"/>
  <c r="AZ558" i="202"/>
  <c r="AZ559" i="202"/>
  <c r="AZ560" i="202"/>
  <c r="AZ561" i="202"/>
  <c r="AZ562" i="202"/>
  <c r="AZ563" i="202"/>
  <c r="AZ564" i="202"/>
  <c r="AZ565" i="202"/>
  <c r="AZ566" i="202"/>
  <c r="AZ567" i="202"/>
  <c r="AZ568" i="202"/>
  <c r="AZ569" i="202"/>
  <c r="AZ570" i="202"/>
  <c r="AZ571" i="202"/>
  <c r="AZ572" i="202"/>
  <c r="AZ573" i="202"/>
  <c r="AZ574" i="202"/>
  <c r="AZ575" i="202"/>
  <c r="AZ576" i="202"/>
  <c r="AZ577" i="202"/>
  <c r="AZ578" i="202"/>
  <c r="AZ579" i="202"/>
  <c r="AZ580" i="202"/>
  <c r="AZ581" i="202"/>
  <c r="AZ582" i="202"/>
  <c r="AZ583" i="202"/>
  <c r="AZ584" i="202"/>
  <c r="AZ585" i="202"/>
  <c r="AZ586" i="202"/>
  <c r="AZ587" i="202"/>
  <c r="AZ588" i="202"/>
  <c r="AZ589" i="202"/>
  <c r="AZ590" i="202"/>
  <c r="AZ591" i="202"/>
  <c r="AZ592" i="202"/>
  <c r="AZ593" i="202"/>
  <c r="AZ594" i="202"/>
  <c r="AZ595" i="202"/>
  <c r="AZ596" i="202"/>
  <c r="AZ597" i="202"/>
  <c r="AZ598" i="202"/>
  <c r="AZ599" i="202"/>
  <c r="AZ600" i="202"/>
  <c r="AZ601" i="202"/>
  <c r="AZ602" i="202"/>
  <c r="AZ603" i="202"/>
  <c r="AZ604" i="202"/>
  <c r="AZ605" i="202"/>
  <c r="AZ606" i="202"/>
  <c r="AZ607" i="202"/>
  <c r="AZ608" i="202"/>
  <c r="AZ609" i="202"/>
  <c r="AZ610" i="202"/>
  <c r="AZ611" i="202"/>
  <c r="AZ612" i="202"/>
  <c r="AZ613" i="202"/>
  <c r="AZ614" i="202"/>
  <c r="AZ615" i="202"/>
  <c r="AZ616" i="202"/>
  <c r="AZ617" i="202"/>
  <c r="AZ618" i="202"/>
  <c r="AZ619" i="202"/>
  <c r="AZ620" i="202"/>
  <c r="AZ621" i="202"/>
  <c r="AZ622" i="202"/>
  <c r="AZ623" i="202"/>
  <c r="AZ624" i="202"/>
  <c r="AZ625" i="202"/>
  <c r="AZ626" i="202"/>
  <c r="AZ627" i="202"/>
  <c r="AZ628" i="202"/>
  <c r="AZ629" i="202"/>
  <c r="AZ630" i="202"/>
  <c r="AZ631" i="202"/>
  <c r="AZ632" i="202"/>
  <c r="AZ633" i="202"/>
  <c r="AZ634" i="202"/>
  <c r="AZ635" i="202"/>
  <c r="AZ636" i="202"/>
  <c r="AZ637" i="202"/>
  <c r="AZ638" i="202"/>
  <c r="AZ639" i="202"/>
  <c r="AZ640" i="202"/>
  <c r="AZ641" i="202"/>
  <c r="AZ642" i="202"/>
  <c r="AZ643" i="202"/>
  <c r="AZ644" i="202"/>
  <c r="AZ645" i="202"/>
  <c r="AZ646" i="202"/>
  <c r="AZ647" i="202"/>
  <c r="AZ648" i="202"/>
  <c r="AZ649" i="202"/>
  <c r="AZ650" i="202"/>
  <c r="AZ651" i="202"/>
  <c r="AZ652" i="202"/>
  <c r="AZ653" i="202"/>
  <c r="AZ654" i="202"/>
  <c r="AZ655" i="202"/>
  <c r="AZ656" i="202"/>
  <c r="AZ657" i="202"/>
  <c r="AZ658" i="202"/>
  <c r="AZ659" i="202"/>
  <c r="AZ660" i="202"/>
  <c r="AZ661" i="202"/>
  <c r="AZ662" i="202"/>
  <c r="AZ663" i="202"/>
  <c r="AZ664" i="202"/>
  <c r="AZ665" i="202"/>
  <c r="AZ666" i="202"/>
  <c r="AZ667" i="202"/>
  <c r="AZ668" i="202"/>
  <c r="AZ669" i="202"/>
  <c r="AZ670" i="202"/>
  <c r="AZ671" i="202"/>
  <c r="AZ672" i="202"/>
  <c r="AZ673" i="202"/>
  <c r="AZ674" i="202"/>
  <c r="AZ675" i="202"/>
  <c r="AZ676" i="202"/>
  <c r="AZ677" i="202"/>
  <c r="AZ678" i="202"/>
  <c r="AZ679" i="202"/>
  <c r="AZ680" i="202"/>
  <c r="AZ681" i="202"/>
  <c r="AZ682" i="202"/>
  <c r="AZ683" i="202"/>
  <c r="AZ684" i="202"/>
  <c r="AZ685" i="202"/>
  <c r="AZ686" i="202"/>
  <c r="AZ687" i="202"/>
  <c r="AZ688" i="202"/>
  <c r="AZ689" i="202"/>
  <c r="AZ690" i="202"/>
  <c r="AZ691" i="202"/>
  <c r="AZ692" i="202"/>
  <c r="AZ693" i="202"/>
  <c r="AZ694" i="202"/>
  <c r="AZ695" i="202"/>
  <c r="AZ696" i="202"/>
  <c r="AZ697" i="202"/>
  <c r="AZ698" i="202"/>
  <c r="AZ699" i="202"/>
  <c r="AZ700" i="202"/>
  <c r="AZ701" i="202"/>
  <c r="AZ702" i="202"/>
  <c r="AZ703" i="202"/>
  <c r="AZ704" i="202"/>
  <c r="AZ705" i="202"/>
  <c r="AZ706" i="202"/>
  <c r="AZ707" i="202"/>
  <c r="AZ708" i="202"/>
  <c r="AZ709" i="202"/>
  <c r="AZ710" i="202"/>
  <c r="AZ711" i="202"/>
  <c r="AZ712" i="202"/>
  <c r="AZ713" i="202"/>
  <c r="AZ714" i="202"/>
  <c r="AZ715" i="202"/>
  <c r="AZ716" i="202"/>
  <c r="AZ717" i="202"/>
  <c r="AZ718" i="202"/>
  <c r="AZ719" i="202"/>
  <c r="AZ720" i="202"/>
  <c r="AZ721" i="202"/>
  <c r="AZ722" i="202"/>
  <c r="AZ723" i="202"/>
  <c r="AZ724" i="202"/>
  <c r="AZ725" i="202"/>
  <c r="AZ726" i="202"/>
  <c r="AZ727" i="202"/>
  <c r="AZ728" i="202"/>
  <c r="AZ729" i="202"/>
  <c r="AZ730" i="202"/>
  <c r="AZ731" i="202"/>
  <c r="AZ732" i="202"/>
  <c r="AZ733" i="202"/>
  <c r="AZ734" i="202"/>
  <c r="AZ735" i="202"/>
  <c r="AZ736" i="202"/>
  <c r="AZ737" i="202"/>
  <c r="AZ738" i="202"/>
  <c r="AZ739" i="202"/>
  <c r="AZ740" i="202"/>
  <c r="AZ741" i="202"/>
  <c r="AZ742" i="202"/>
  <c r="AZ743" i="202"/>
  <c r="AZ744" i="202"/>
  <c r="AZ745" i="202"/>
  <c r="AZ746" i="202"/>
  <c r="AZ747" i="202"/>
  <c r="AZ748" i="202"/>
  <c r="AZ749" i="202"/>
  <c r="AZ750" i="202"/>
  <c r="AZ751" i="202"/>
  <c r="AZ752" i="202"/>
  <c r="AZ753" i="202"/>
  <c r="AZ754" i="202"/>
  <c r="AZ755" i="202"/>
  <c r="AZ756" i="202"/>
  <c r="AZ757" i="202"/>
  <c r="AZ758" i="202"/>
  <c r="AZ759" i="202"/>
  <c r="AZ760" i="202"/>
  <c r="AZ761" i="202"/>
  <c r="AZ762" i="202"/>
  <c r="AZ763" i="202"/>
  <c r="AZ764" i="202"/>
  <c r="AZ765" i="202"/>
  <c r="AZ766" i="202"/>
  <c r="AZ767" i="202"/>
  <c r="AZ768" i="202"/>
  <c r="AZ769" i="202"/>
  <c r="AZ770" i="202"/>
  <c r="AZ771" i="202"/>
  <c r="AZ772" i="202"/>
  <c r="AZ773" i="202"/>
  <c r="AZ774" i="202"/>
  <c r="AZ775" i="202"/>
  <c r="AZ776" i="202"/>
  <c r="AZ777" i="202"/>
  <c r="AZ778" i="202"/>
  <c r="AZ779" i="202"/>
  <c r="AZ780" i="202"/>
  <c r="AZ781" i="202"/>
  <c r="AZ782" i="202"/>
  <c r="AZ783" i="202"/>
  <c r="AZ784" i="202"/>
  <c r="AZ785" i="202"/>
  <c r="AZ786" i="202"/>
  <c r="AZ787" i="202"/>
  <c r="AZ788" i="202"/>
  <c r="AZ789" i="202"/>
  <c r="AZ790" i="202"/>
  <c r="AZ791" i="202"/>
  <c r="AZ792" i="202"/>
  <c r="AZ793" i="202"/>
  <c r="AZ794" i="202"/>
  <c r="AZ795" i="202"/>
  <c r="AZ796" i="202"/>
  <c r="AZ797" i="202"/>
  <c r="AZ798" i="202"/>
  <c r="AZ799" i="202"/>
  <c r="AZ800" i="202"/>
  <c r="AZ801" i="202"/>
  <c r="AZ802" i="202"/>
  <c r="AZ803" i="202"/>
  <c r="AZ804" i="202"/>
  <c r="AZ805" i="202"/>
  <c r="AZ806" i="202"/>
  <c r="AZ807" i="202"/>
  <c r="AZ808" i="202"/>
  <c r="AZ809" i="202"/>
  <c r="AZ810" i="202"/>
  <c r="AZ811" i="202"/>
  <c r="AZ812" i="202"/>
  <c r="AZ813" i="202"/>
  <c r="AZ814" i="202"/>
  <c r="AZ815" i="202"/>
  <c r="AZ816" i="202"/>
  <c r="AZ817" i="202"/>
  <c r="AZ818" i="202"/>
  <c r="AZ819" i="202"/>
  <c r="AZ820" i="202"/>
  <c r="AZ821" i="202"/>
  <c r="AZ822" i="202"/>
  <c r="AZ823" i="202"/>
  <c r="AZ824" i="202"/>
  <c r="AZ825" i="202"/>
  <c r="AZ826" i="202"/>
  <c r="AZ827" i="202"/>
  <c r="AZ828" i="202"/>
  <c r="AZ829" i="202"/>
  <c r="AZ830" i="202"/>
  <c r="AZ831" i="202"/>
  <c r="AZ832" i="202"/>
  <c r="AZ833" i="202"/>
  <c r="AZ834" i="202"/>
  <c r="AZ835" i="202"/>
  <c r="AZ836" i="202"/>
  <c r="AZ837" i="202"/>
  <c r="AZ838" i="202"/>
  <c r="AZ839" i="202"/>
  <c r="AZ840" i="202"/>
  <c r="AZ841" i="202"/>
  <c r="AZ842" i="202"/>
  <c r="AZ843" i="202"/>
  <c r="AZ844" i="202"/>
  <c r="AZ845" i="202"/>
  <c r="AZ846" i="202"/>
  <c r="AZ847" i="202"/>
  <c r="AZ848" i="202"/>
  <c r="AZ849" i="202"/>
  <c r="AZ850" i="202"/>
  <c r="AZ851" i="202"/>
  <c r="AZ852" i="202"/>
  <c r="AZ853" i="202"/>
  <c r="AZ854" i="202"/>
  <c r="AZ855" i="202"/>
  <c r="AZ856" i="202"/>
  <c r="AZ857" i="202"/>
  <c r="AZ858" i="202"/>
  <c r="AZ859" i="202"/>
  <c r="AZ860" i="202"/>
  <c r="AZ861" i="202"/>
  <c r="AZ862" i="202"/>
  <c r="AZ863" i="202"/>
  <c r="AZ864" i="202"/>
  <c r="AZ865" i="202"/>
  <c r="AZ866" i="202"/>
  <c r="AZ867" i="202"/>
  <c r="AZ868" i="202"/>
  <c r="AZ869" i="202"/>
  <c r="AZ870" i="202"/>
  <c r="AZ871" i="202"/>
  <c r="AZ872" i="202"/>
  <c r="AZ873" i="202"/>
  <c r="AZ874" i="202"/>
  <c r="AZ875" i="202"/>
  <c r="AZ876" i="202"/>
  <c r="AZ877" i="202"/>
  <c r="AZ878" i="202"/>
  <c r="AZ879" i="202"/>
  <c r="AZ880" i="202"/>
  <c r="AZ881" i="202"/>
  <c r="AZ882" i="202"/>
  <c r="AZ883" i="202"/>
  <c r="AZ884" i="202"/>
  <c r="AZ885" i="202"/>
  <c r="AZ886" i="202"/>
  <c r="AZ887" i="202"/>
  <c r="AZ888" i="202"/>
  <c r="AZ889" i="202"/>
  <c r="AZ890" i="202"/>
  <c r="AZ891" i="202"/>
  <c r="AZ892" i="202"/>
  <c r="AZ893" i="202"/>
  <c r="AZ894" i="202"/>
  <c r="AZ895" i="202"/>
  <c r="AZ896" i="202"/>
  <c r="AZ897" i="202"/>
  <c r="AZ898" i="202"/>
  <c r="AZ899" i="202"/>
  <c r="AZ900" i="202"/>
  <c r="AZ901" i="202"/>
  <c r="AZ902" i="202"/>
  <c r="AZ903" i="202"/>
  <c r="AZ904" i="202"/>
  <c r="AZ905" i="202"/>
  <c r="AZ906" i="202"/>
  <c r="AZ907" i="202"/>
  <c r="AZ908" i="202"/>
  <c r="AZ909" i="202"/>
  <c r="AZ910" i="202"/>
  <c r="AZ911" i="202"/>
  <c r="AZ912" i="202"/>
  <c r="AZ913" i="202"/>
  <c r="AZ914" i="202"/>
  <c r="AZ915" i="202"/>
  <c r="AZ916" i="202"/>
  <c r="AZ917" i="202"/>
  <c r="AZ918" i="202"/>
  <c r="AZ919" i="202"/>
  <c r="AZ920" i="202"/>
  <c r="AZ921" i="202"/>
  <c r="AZ922" i="202"/>
  <c r="AZ923" i="202"/>
  <c r="AZ924" i="202"/>
  <c r="AZ925" i="202"/>
  <c r="AZ926" i="202"/>
  <c r="AZ927" i="202"/>
  <c r="AZ928" i="202"/>
  <c r="AZ929" i="202"/>
  <c r="AZ930" i="202"/>
  <c r="AZ931" i="202"/>
  <c r="AZ932" i="202"/>
  <c r="AZ933" i="202"/>
  <c r="AZ934" i="202"/>
  <c r="AZ935" i="202"/>
  <c r="AZ936" i="202"/>
  <c r="AZ937" i="202"/>
  <c r="AZ938" i="202"/>
  <c r="AZ939" i="202"/>
  <c r="AZ940" i="202"/>
  <c r="AZ941" i="202"/>
  <c r="AZ942" i="202"/>
  <c r="AZ943" i="202"/>
  <c r="AZ944" i="202"/>
  <c r="AZ945" i="202"/>
  <c r="AZ946" i="202"/>
  <c r="AZ947" i="202"/>
  <c r="AZ948" i="202"/>
  <c r="AZ949" i="202"/>
  <c r="AZ950" i="202"/>
  <c r="AZ951" i="202"/>
  <c r="AZ952" i="202"/>
  <c r="AZ953" i="202"/>
  <c r="AZ954" i="202"/>
  <c r="AZ955" i="202"/>
  <c r="AZ956" i="202"/>
  <c r="AZ957" i="202"/>
  <c r="AZ958" i="202"/>
  <c r="AZ959" i="202"/>
  <c r="AZ960" i="202"/>
  <c r="AZ961" i="202"/>
  <c r="AZ962" i="202"/>
  <c r="AZ963" i="202"/>
  <c r="AZ964" i="202"/>
  <c r="AZ965" i="202"/>
  <c r="AZ966" i="202"/>
  <c r="AZ967" i="202"/>
  <c r="AZ968" i="202"/>
  <c r="AZ969" i="202"/>
  <c r="AZ970" i="202"/>
  <c r="AZ971" i="202"/>
  <c r="AZ972" i="202"/>
  <c r="AZ973" i="202"/>
  <c r="AZ974" i="202"/>
  <c r="AZ975" i="202"/>
  <c r="AZ976" i="202"/>
  <c r="AZ977" i="202"/>
  <c r="AZ978" i="202"/>
  <c r="AZ979" i="202"/>
  <c r="AZ980" i="202"/>
  <c r="AZ981" i="202"/>
  <c r="AZ982" i="202"/>
  <c r="AZ983" i="202"/>
  <c r="AZ984" i="202"/>
  <c r="AZ985" i="202"/>
  <c r="AZ986" i="202"/>
  <c r="AZ987" i="202"/>
  <c r="AZ988" i="202"/>
  <c r="AZ989" i="202"/>
  <c r="AZ990" i="202"/>
  <c r="AZ991" i="202"/>
  <c r="AZ992" i="202"/>
  <c r="AZ993" i="202"/>
  <c r="AZ994" i="202"/>
  <c r="AZ995" i="202"/>
  <c r="AZ996" i="202"/>
  <c r="AZ997" i="202"/>
  <c r="AZ998" i="202"/>
  <c r="AZ999" i="202"/>
  <c r="AZ1000" i="202"/>
  <c r="AZ1001" i="202"/>
  <c r="AZ1002" i="202"/>
  <c r="AZ1003" i="202"/>
  <c r="AZ1004" i="202"/>
  <c r="AZ1005" i="202"/>
  <c r="AZ1006" i="202"/>
  <c r="AZ1007" i="202"/>
  <c r="AZ1008" i="202"/>
  <c r="AZ1009" i="202"/>
  <c r="AZ1010" i="202"/>
  <c r="AZ1011" i="202"/>
  <c r="AZ1012" i="202"/>
  <c r="AZ1013" i="202"/>
  <c r="AZ1014" i="202"/>
  <c r="AZ1015" i="202"/>
  <c r="AZ1016" i="202"/>
  <c r="AZ1017" i="202"/>
  <c r="AZ1018" i="202"/>
  <c r="AZ1019" i="202"/>
  <c r="AZ1020" i="202"/>
  <c r="AZ1021" i="202"/>
  <c r="AZ1022" i="202"/>
  <c r="AZ1023" i="202"/>
  <c r="AZ1024" i="202"/>
  <c r="AZ1025" i="202"/>
  <c r="AZ1026" i="202"/>
  <c r="AZ1027" i="202"/>
  <c r="AZ1028" i="202"/>
  <c r="AZ1029" i="202"/>
  <c r="AZ1030" i="202"/>
  <c r="AZ1031" i="202"/>
  <c r="AZ1032" i="202"/>
  <c r="AZ1033" i="202"/>
  <c r="AZ1034" i="202"/>
  <c r="AZ1035" i="202"/>
  <c r="AZ1036" i="202"/>
  <c r="AZ1037" i="202"/>
  <c r="AZ1038" i="202"/>
  <c r="AZ1039" i="202"/>
  <c r="AZ1040" i="202"/>
  <c r="AZ1041" i="202"/>
  <c r="AZ1042" i="202"/>
  <c r="AZ1043" i="202"/>
  <c r="AZ1044" i="202"/>
  <c r="AZ1045" i="202"/>
  <c r="AZ1046" i="202"/>
  <c r="AZ1047" i="202"/>
  <c r="AZ1048" i="202"/>
  <c r="AZ1049" i="202"/>
  <c r="AZ1050" i="202"/>
  <c r="AZ1051" i="202"/>
  <c r="AZ1052" i="202"/>
  <c r="AZ1053" i="202"/>
  <c r="AZ1054" i="202"/>
  <c r="AZ1055" i="202"/>
  <c r="AZ1056" i="202"/>
  <c r="AZ1057" i="202"/>
  <c r="AZ1058" i="202"/>
  <c r="AZ1059" i="202"/>
  <c r="AZ1060" i="202"/>
  <c r="AZ1061" i="202"/>
  <c r="AZ1062" i="202"/>
  <c r="AZ1063" i="202"/>
  <c r="AZ1064" i="202"/>
  <c r="AZ1065" i="202"/>
  <c r="AZ1066" i="202"/>
  <c r="AZ1067" i="202"/>
  <c r="AZ1068" i="202"/>
  <c r="AZ1069" i="202"/>
  <c r="AZ1070" i="202"/>
  <c r="AZ1071" i="202"/>
  <c r="AZ1072" i="202"/>
  <c r="AZ1073" i="202"/>
  <c r="AZ1074" i="202"/>
  <c r="AZ1075" i="202"/>
  <c r="AZ1076" i="202"/>
  <c r="AZ1077" i="202"/>
  <c r="AZ1078" i="202"/>
  <c r="AZ1079" i="202"/>
  <c r="AZ1080" i="202"/>
  <c r="AZ1081" i="202"/>
  <c r="AZ1082" i="202"/>
  <c r="AZ1083" i="202"/>
  <c r="AZ1084" i="202"/>
  <c r="AZ1085" i="202"/>
  <c r="AZ1086" i="202"/>
  <c r="AZ1087" i="202"/>
  <c r="AZ1088" i="202"/>
  <c r="AZ1089" i="202"/>
  <c r="AZ1090" i="202"/>
  <c r="AZ1091" i="202"/>
  <c r="AZ1092" i="202"/>
  <c r="AZ1093" i="202"/>
  <c r="AZ1094" i="202"/>
  <c r="AZ1095" i="202"/>
  <c r="AZ1096" i="202"/>
  <c r="AZ1097" i="202"/>
  <c r="AZ1098" i="202"/>
  <c r="AZ1099" i="202"/>
  <c r="AZ1100" i="202"/>
  <c r="AZ1101" i="202"/>
  <c r="AZ1102" i="202"/>
  <c r="AZ1103" i="202"/>
  <c r="AZ1104" i="202"/>
  <c r="AZ1105" i="202"/>
  <c r="AZ1106" i="202"/>
  <c r="AZ1107" i="202"/>
  <c r="AZ1108" i="202"/>
  <c r="AZ1109" i="202"/>
  <c r="AZ1110" i="202"/>
  <c r="AZ1111" i="202"/>
  <c r="AZ1112" i="202"/>
  <c r="AZ1113" i="202"/>
  <c r="AZ1114" i="202"/>
  <c r="AZ1115" i="202"/>
  <c r="AZ1116" i="202"/>
  <c r="AZ1117" i="202"/>
  <c r="AZ1118" i="202"/>
  <c r="AZ1119" i="202"/>
  <c r="AZ1120" i="202"/>
  <c r="AZ1121" i="202"/>
  <c r="AZ1122" i="202"/>
  <c r="AZ1123" i="202"/>
  <c r="AZ1124" i="202"/>
  <c r="AZ1125" i="202"/>
  <c r="AZ1126" i="202"/>
  <c r="AZ1127" i="202"/>
  <c r="AZ1128" i="202"/>
  <c r="AZ1129" i="202"/>
  <c r="AZ1130" i="202"/>
  <c r="AZ1131" i="202"/>
  <c r="AZ1132" i="202"/>
  <c r="AZ1133" i="202"/>
  <c r="AZ1134" i="202"/>
  <c r="AZ1135" i="202"/>
  <c r="AZ1136" i="202"/>
  <c r="AZ1137" i="202"/>
  <c r="AZ1138" i="202"/>
  <c r="AZ1139" i="202"/>
  <c r="AZ1140" i="202"/>
  <c r="AZ1141" i="202"/>
  <c r="AZ1142" i="202"/>
  <c r="AZ1143" i="202"/>
  <c r="AZ1144" i="202"/>
  <c r="AZ1145" i="202"/>
  <c r="AZ1146" i="202"/>
  <c r="AZ1147" i="202"/>
  <c r="AZ1148" i="202"/>
  <c r="AZ1149" i="202"/>
  <c r="AZ1150" i="202"/>
  <c r="AZ1151" i="202"/>
  <c r="AZ1152" i="202"/>
  <c r="AZ1153" i="202"/>
  <c r="AZ1154" i="202"/>
  <c r="AZ1155" i="202"/>
  <c r="AZ1156" i="202"/>
  <c r="AZ1157" i="202"/>
  <c r="AZ1158" i="202"/>
  <c r="AZ1159" i="202"/>
  <c r="AZ1160" i="202"/>
  <c r="AZ1161" i="202"/>
  <c r="AZ1162" i="202"/>
  <c r="AZ1163" i="202"/>
  <c r="AZ1164" i="202"/>
  <c r="AZ1165" i="202"/>
  <c r="AZ1166" i="202"/>
  <c r="AZ1167" i="202"/>
  <c r="AZ1168" i="202"/>
  <c r="AZ1169" i="202"/>
  <c r="AZ1170" i="202"/>
  <c r="AZ1171" i="202"/>
  <c r="AZ1172" i="202"/>
  <c r="AZ1173" i="202"/>
  <c r="AZ1174" i="202"/>
  <c r="AZ1175" i="202"/>
  <c r="AZ1176" i="202"/>
  <c r="AZ1177" i="202"/>
  <c r="AZ1178" i="202"/>
  <c r="AZ1179" i="202"/>
  <c r="AZ1180" i="202"/>
  <c r="AZ1181" i="202"/>
  <c r="AZ1182" i="202"/>
  <c r="AZ1183" i="202"/>
  <c r="AZ1184" i="202"/>
  <c r="AZ1185" i="202"/>
  <c r="AZ1186" i="202"/>
  <c r="AZ1187" i="202"/>
  <c r="AZ1188" i="202"/>
  <c r="AZ1189" i="202"/>
  <c r="AZ1190" i="202"/>
  <c r="AZ1191" i="202"/>
  <c r="AZ1192" i="202"/>
  <c r="AZ1193" i="202"/>
  <c r="AZ1194" i="202"/>
  <c r="AZ1195" i="202"/>
  <c r="AZ1196" i="202"/>
  <c r="AZ1197" i="202"/>
  <c r="AZ1198" i="202"/>
  <c r="AZ1199" i="202"/>
  <c r="AZ1200" i="202"/>
  <c r="AZ1201" i="202"/>
  <c r="AZ1202" i="202"/>
  <c r="AZ1203" i="202"/>
  <c r="AZ1204" i="202"/>
  <c r="AZ1205" i="202"/>
  <c r="AZ1206" i="202"/>
  <c r="AZ1207" i="202"/>
  <c r="AZ1208" i="202"/>
  <c r="AZ1209" i="202"/>
  <c r="AZ1210" i="202"/>
  <c r="AZ1211" i="202"/>
  <c r="AZ1212" i="202"/>
  <c r="AZ1213" i="202"/>
  <c r="AZ1214" i="202"/>
  <c r="AZ1215" i="202"/>
  <c r="AZ1216" i="202"/>
  <c r="AZ1217" i="202"/>
  <c r="AZ1218" i="202"/>
  <c r="AZ1219" i="202"/>
  <c r="AZ1220" i="202"/>
  <c r="AZ1221" i="202"/>
  <c r="AZ1222" i="202"/>
  <c r="AZ1223" i="202"/>
  <c r="AZ1224" i="202"/>
  <c r="AZ1225" i="202"/>
  <c r="AZ1226" i="202"/>
  <c r="AZ1227" i="202"/>
  <c r="AZ1228" i="202"/>
  <c r="AZ1229" i="202"/>
  <c r="AZ1230" i="202"/>
  <c r="AZ1231" i="202"/>
  <c r="AZ1232" i="202"/>
  <c r="AZ1233" i="202"/>
  <c r="AZ1234" i="202"/>
  <c r="AZ1235" i="202"/>
  <c r="AZ1236" i="202"/>
  <c r="AZ1237" i="202"/>
  <c r="AZ1238" i="202"/>
  <c r="AZ1239" i="202"/>
  <c r="AZ1240" i="202"/>
  <c r="AZ1241" i="202"/>
  <c r="AZ1242" i="202"/>
  <c r="AZ1243" i="202"/>
  <c r="AZ1244" i="202"/>
  <c r="AZ1245" i="202"/>
  <c r="AZ1246" i="202"/>
  <c r="AZ1247" i="202"/>
  <c r="AZ1248" i="202"/>
  <c r="AZ1249" i="202"/>
  <c r="AZ1250" i="202"/>
  <c r="AZ1251" i="202"/>
  <c r="AZ1252" i="202"/>
  <c r="AZ1253" i="202"/>
  <c r="AZ1254" i="202"/>
  <c r="AZ1255" i="202"/>
  <c r="AZ1256" i="202"/>
  <c r="AZ1257" i="202"/>
  <c r="AZ1258" i="202"/>
  <c r="AZ1259" i="202"/>
  <c r="AZ1260" i="202"/>
  <c r="AZ1261" i="202"/>
  <c r="AZ1262" i="202"/>
  <c r="AZ1263" i="202"/>
  <c r="AZ1264" i="202"/>
  <c r="AZ1265" i="202"/>
  <c r="AZ1266" i="202"/>
  <c r="AZ1267" i="202"/>
  <c r="AZ1268" i="202"/>
  <c r="AZ1269" i="202"/>
  <c r="AZ1270" i="202"/>
  <c r="AZ1271" i="202"/>
  <c r="AZ1272" i="202"/>
  <c r="AZ1273" i="202"/>
  <c r="AZ1274" i="202"/>
  <c r="AZ1275" i="202"/>
  <c r="AZ1276" i="202"/>
  <c r="AZ1277" i="202"/>
  <c r="AZ1278" i="202"/>
  <c r="AZ1279" i="202"/>
  <c r="AZ1280" i="202"/>
  <c r="AZ1281" i="202"/>
  <c r="AZ1282" i="202"/>
  <c r="AZ1283" i="202"/>
  <c r="AZ1284" i="202"/>
  <c r="AZ1285" i="202"/>
  <c r="AZ1286" i="202"/>
  <c r="AZ1287" i="202"/>
  <c r="AZ1288" i="202"/>
  <c r="AZ1289" i="202"/>
  <c r="AZ1290" i="202"/>
  <c r="AZ1291" i="202"/>
  <c r="AZ1292" i="202"/>
  <c r="AZ1293" i="202"/>
  <c r="AZ1294" i="202"/>
  <c r="AZ1295" i="202"/>
  <c r="AZ1296" i="202"/>
  <c r="AZ1297" i="202"/>
  <c r="AZ1298" i="202"/>
  <c r="AZ1299" i="202"/>
  <c r="AZ1300" i="202"/>
  <c r="AZ1301" i="202"/>
  <c r="AZ1302" i="202"/>
  <c r="AZ1303" i="202"/>
  <c r="AZ1304" i="202"/>
  <c r="AZ1305" i="202"/>
  <c r="AZ1306" i="202"/>
  <c r="AZ1307" i="202"/>
  <c r="AZ1308" i="202"/>
  <c r="AZ1309" i="202"/>
  <c r="AZ1310" i="202"/>
  <c r="AZ1311" i="202"/>
  <c r="AZ1312" i="202"/>
  <c r="AZ1313" i="202"/>
  <c r="AZ1314" i="202"/>
  <c r="AZ1315" i="202"/>
  <c r="AZ1316" i="202"/>
  <c r="AZ1317" i="202"/>
  <c r="AZ1318" i="202"/>
  <c r="AZ1319" i="202"/>
  <c r="AZ1320" i="202"/>
  <c r="AZ1321" i="202"/>
  <c r="AZ1322" i="202"/>
  <c r="AZ1323" i="202"/>
  <c r="AZ1324" i="202"/>
  <c r="AZ1325" i="202"/>
  <c r="AZ1326" i="202"/>
  <c r="AZ1327" i="202"/>
  <c r="AZ1328" i="202"/>
  <c r="AZ1329" i="202"/>
  <c r="AZ1330" i="202"/>
  <c r="AZ1331" i="202"/>
  <c r="AZ1332" i="202"/>
  <c r="AZ1333" i="202"/>
  <c r="AZ1334" i="202"/>
  <c r="AZ1335" i="202"/>
  <c r="AZ1336" i="202"/>
  <c r="AZ1337" i="202"/>
  <c r="AZ1338" i="202"/>
  <c r="AZ1339" i="202"/>
  <c r="AZ1340" i="202"/>
  <c r="AZ1341" i="202"/>
  <c r="AZ1342" i="202"/>
  <c r="AZ1343" i="202"/>
  <c r="AZ1344" i="202"/>
  <c r="AZ1345" i="202"/>
  <c r="AZ1346" i="202"/>
  <c r="AZ1347" i="202"/>
  <c r="AZ1348" i="202"/>
  <c r="AZ1349" i="202"/>
  <c r="AZ1350" i="202"/>
  <c r="AZ1351" i="202"/>
  <c r="AZ1352" i="202"/>
  <c r="AZ1353" i="202"/>
  <c r="AZ1354" i="202"/>
  <c r="AZ1355" i="202"/>
  <c r="AZ1356" i="202"/>
  <c r="AZ1357" i="202"/>
  <c r="AZ1358" i="202"/>
  <c r="AZ1359" i="202"/>
  <c r="AZ1360" i="202"/>
  <c r="AZ1361" i="202"/>
  <c r="AZ1362" i="202"/>
  <c r="AZ1363" i="202"/>
  <c r="AZ1364" i="202"/>
  <c r="AZ1365" i="202"/>
  <c r="AZ1366" i="202"/>
  <c r="AZ1367" i="202"/>
  <c r="AZ1368" i="202"/>
  <c r="AZ1369" i="202"/>
  <c r="AZ1370" i="202"/>
  <c r="AZ1371" i="202"/>
  <c r="AZ1372" i="202"/>
  <c r="AZ1373" i="202"/>
  <c r="AZ1374" i="202"/>
  <c r="AZ1375" i="202"/>
  <c r="AZ1376" i="202"/>
  <c r="AZ1377" i="202"/>
  <c r="AZ1378" i="202"/>
  <c r="AZ1379" i="202"/>
  <c r="AZ1380" i="202"/>
  <c r="AZ1381" i="202"/>
  <c r="AZ1382" i="202"/>
  <c r="AZ1383" i="202"/>
  <c r="AZ1384" i="202"/>
  <c r="AZ1385" i="202"/>
  <c r="AZ1386" i="202"/>
  <c r="AZ1387" i="202"/>
  <c r="AZ1388" i="202"/>
  <c r="AZ1389" i="202"/>
  <c r="AZ1390" i="202"/>
  <c r="AZ1391" i="202"/>
  <c r="AZ1392" i="202"/>
  <c r="AZ1393" i="202"/>
  <c r="AZ1394" i="202"/>
  <c r="AZ1395" i="202"/>
  <c r="AZ1396" i="202"/>
  <c r="AZ1397" i="202"/>
  <c r="AZ1398" i="202"/>
  <c r="AZ1399" i="202"/>
  <c r="AZ1400" i="202"/>
  <c r="AZ1401" i="202"/>
  <c r="AZ1402" i="202"/>
  <c r="AZ1403" i="202"/>
  <c r="AZ1404" i="202"/>
  <c r="AZ1405" i="202"/>
  <c r="AZ1406" i="202"/>
  <c r="AZ1407" i="202"/>
  <c r="AZ1408" i="202"/>
  <c r="AZ1409" i="202"/>
  <c r="AZ1410" i="202"/>
  <c r="AZ1411" i="202"/>
  <c r="AZ1412" i="202"/>
  <c r="AZ1413" i="202"/>
  <c r="AZ1414" i="202"/>
  <c r="AZ1415" i="202"/>
  <c r="AZ1416" i="202"/>
  <c r="AZ1417" i="202"/>
  <c r="AZ1418" i="202"/>
  <c r="AZ1419" i="202"/>
  <c r="AZ1420" i="202"/>
  <c r="AZ1421" i="202"/>
  <c r="AZ1422" i="202"/>
  <c r="AZ1423" i="202"/>
  <c r="AZ1424" i="202"/>
  <c r="AZ1425" i="202"/>
  <c r="AZ1426" i="202"/>
  <c r="AZ1427" i="202"/>
  <c r="AZ1428" i="202"/>
  <c r="AZ1429" i="202"/>
  <c r="AZ1430" i="202"/>
  <c r="AZ1431" i="202"/>
  <c r="AZ1432" i="202"/>
  <c r="AZ1433" i="202"/>
  <c r="AZ1434" i="202"/>
  <c r="AZ1435" i="202"/>
  <c r="AZ1436" i="202"/>
  <c r="AZ1437" i="202"/>
  <c r="AZ1438" i="202"/>
  <c r="AZ1439" i="202"/>
  <c r="AZ1440" i="202"/>
  <c r="AZ1441" i="202"/>
  <c r="AZ1442" i="202"/>
  <c r="AZ1443" i="202"/>
  <c r="AZ1444" i="202"/>
  <c r="AZ1445" i="202"/>
  <c r="AZ1446" i="202"/>
  <c r="AZ1447" i="202"/>
  <c r="AZ1448" i="202"/>
  <c r="AZ1449" i="202"/>
  <c r="AZ1450" i="202"/>
  <c r="AZ1451" i="202"/>
  <c r="AZ1452" i="202"/>
  <c r="AZ1453" i="202"/>
  <c r="AZ1454" i="202"/>
  <c r="AZ1455" i="202"/>
  <c r="AZ1456" i="202"/>
  <c r="AZ1457" i="202"/>
  <c r="AZ1458" i="202"/>
  <c r="AZ1459" i="202"/>
  <c r="AZ1460" i="202"/>
  <c r="AZ1461" i="202"/>
  <c r="AZ1462" i="202"/>
  <c r="AZ1463" i="202"/>
  <c r="AZ1464" i="202"/>
  <c r="AZ1465" i="202"/>
  <c r="AZ1466" i="202"/>
  <c r="AZ1467" i="202"/>
  <c r="AZ1468" i="202"/>
  <c r="AZ1469" i="202"/>
  <c r="AZ1470" i="202"/>
  <c r="AZ1471" i="202"/>
  <c r="AZ1472" i="202"/>
  <c r="AZ1473" i="202"/>
  <c r="AZ1474" i="202"/>
  <c r="AZ1475" i="202"/>
  <c r="AZ1476" i="202"/>
  <c r="AZ1477" i="202"/>
  <c r="AZ1478" i="202"/>
  <c r="AZ1479" i="202"/>
  <c r="AZ1480" i="202"/>
  <c r="AZ1481" i="202"/>
  <c r="AZ1482" i="202"/>
  <c r="AZ1483" i="202"/>
  <c r="AZ1484" i="202"/>
  <c r="AZ1485" i="202"/>
  <c r="AZ1486" i="202"/>
  <c r="AZ1487" i="202"/>
  <c r="AZ1488" i="202"/>
  <c r="AZ1489" i="202"/>
  <c r="AZ1490" i="202"/>
  <c r="AZ1491" i="202"/>
  <c r="AZ1492" i="202"/>
  <c r="AZ1493" i="202"/>
  <c r="AZ1494" i="202"/>
  <c r="AZ1495" i="202"/>
  <c r="AZ1496" i="202"/>
  <c r="AZ1497" i="202"/>
  <c r="AZ1498" i="202"/>
  <c r="AZ1499" i="202"/>
  <c r="AZ1500" i="202"/>
  <c r="AZ1501" i="202"/>
  <c r="AZ1502" i="202"/>
  <c r="AZ1503" i="202"/>
  <c r="AZ1504" i="202"/>
  <c r="AZ1505" i="202"/>
  <c r="AZ1506" i="202"/>
  <c r="AZ1507" i="202"/>
  <c r="AZ1508" i="202"/>
  <c r="AZ1509" i="202"/>
  <c r="AZ1510" i="202"/>
  <c r="AZ1511" i="202"/>
  <c r="AZ1512" i="202"/>
  <c r="AZ1513" i="202"/>
  <c r="AZ1514" i="202"/>
  <c r="AZ1515" i="202"/>
  <c r="AZ1516" i="202"/>
  <c r="AZ1517" i="202"/>
  <c r="AZ1518" i="202"/>
  <c r="AZ1519" i="202"/>
  <c r="AZ1520" i="202"/>
  <c r="AZ1521" i="202"/>
  <c r="AZ1522" i="202"/>
  <c r="AZ1523" i="202"/>
  <c r="AZ1524" i="202"/>
  <c r="AZ1525" i="202"/>
  <c r="AZ1526" i="202"/>
  <c r="AZ1527" i="202"/>
  <c r="AZ1528" i="202"/>
  <c r="AZ1529" i="202"/>
  <c r="AZ1530" i="202"/>
  <c r="AZ1531" i="202"/>
  <c r="AZ1532" i="202"/>
  <c r="AZ1533" i="202"/>
  <c r="AZ1534" i="202"/>
  <c r="AZ1535" i="202"/>
  <c r="AZ1536" i="202"/>
  <c r="AZ1537" i="202"/>
  <c r="AZ1538" i="202"/>
  <c r="AZ1539" i="202"/>
  <c r="AZ1540" i="202"/>
  <c r="AZ1541" i="202"/>
  <c r="AZ1542" i="202"/>
  <c r="AZ1543" i="202"/>
  <c r="AZ1544" i="202"/>
  <c r="AZ1545" i="202"/>
  <c r="AZ1546" i="202"/>
  <c r="AZ1547" i="202"/>
  <c r="AZ1548" i="202"/>
  <c r="AZ1549" i="202"/>
  <c r="AZ1550" i="202"/>
  <c r="AZ1551" i="202"/>
  <c r="AZ1552" i="202"/>
  <c r="AZ1553" i="202"/>
  <c r="AZ1554" i="202"/>
  <c r="AZ1555" i="202"/>
  <c r="AZ1556" i="202"/>
  <c r="AZ1557" i="202"/>
  <c r="AZ1558" i="202"/>
  <c r="AZ1559" i="202"/>
  <c r="AZ1560" i="202"/>
  <c r="AZ1561" i="202"/>
  <c r="AZ1562" i="202"/>
  <c r="AZ1563" i="202"/>
  <c r="AZ1564" i="202"/>
  <c r="AZ1565" i="202"/>
  <c r="AZ1566" i="202"/>
  <c r="AZ1567" i="202"/>
  <c r="AZ1568" i="202"/>
  <c r="AZ1569" i="202"/>
  <c r="AZ1570" i="202"/>
  <c r="AZ1571" i="202"/>
  <c r="AZ1572" i="202"/>
  <c r="AZ1573" i="202"/>
  <c r="AZ1574" i="202"/>
  <c r="AZ1575" i="202"/>
  <c r="AZ1576" i="202"/>
  <c r="AZ1577" i="202"/>
  <c r="AZ1578" i="202"/>
  <c r="AZ1579" i="202"/>
  <c r="AZ1580" i="202"/>
  <c r="AZ1581" i="202"/>
  <c r="AZ1582" i="202"/>
  <c r="AZ1583" i="202"/>
  <c r="AZ1584" i="202"/>
  <c r="AZ1585" i="202"/>
  <c r="AZ1586" i="202"/>
  <c r="AZ1587" i="202"/>
  <c r="AZ1588" i="202"/>
  <c r="AZ1589" i="202"/>
  <c r="AZ1590" i="202"/>
  <c r="AZ1591" i="202"/>
  <c r="AZ1592" i="202"/>
  <c r="AZ1593" i="202"/>
  <c r="AZ1594" i="202"/>
  <c r="AZ1595" i="202"/>
  <c r="AZ1596" i="202"/>
  <c r="AZ1597" i="202"/>
  <c r="AZ1598" i="202"/>
  <c r="AZ1599" i="202"/>
  <c r="AZ1600" i="202"/>
  <c r="AZ1601" i="202"/>
  <c r="AZ1602" i="202"/>
  <c r="AZ1603" i="202"/>
  <c r="AZ1604" i="202"/>
  <c r="AZ1605" i="202"/>
  <c r="AZ1606" i="202"/>
  <c r="AZ1607" i="202"/>
  <c r="AZ1608" i="202"/>
  <c r="AZ1609" i="202"/>
  <c r="AZ1610" i="202"/>
  <c r="AZ1611" i="202"/>
  <c r="AZ1612" i="202"/>
  <c r="AZ1613" i="202"/>
  <c r="AZ1614" i="202"/>
  <c r="AZ1615" i="202"/>
  <c r="AZ1616" i="202"/>
  <c r="AZ1617" i="202"/>
  <c r="AZ1618" i="202"/>
  <c r="AZ1619" i="202"/>
  <c r="AZ1620" i="202"/>
  <c r="AZ1621" i="202"/>
  <c r="AZ1622" i="202"/>
  <c r="AZ1623" i="202"/>
  <c r="AZ1624" i="202"/>
  <c r="AZ1625" i="202"/>
  <c r="AZ1626" i="202"/>
  <c r="AZ1627" i="202"/>
  <c r="AZ1628" i="202"/>
  <c r="AZ1629" i="202"/>
  <c r="AZ1630" i="202"/>
  <c r="AZ1631" i="202"/>
  <c r="AZ1632" i="202"/>
  <c r="AZ1633" i="202"/>
  <c r="AZ1634" i="202"/>
  <c r="AZ1635" i="202"/>
  <c r="AZ1636" i="202"/>
  <c r="AZ1637" i="202"/>
  <c r="AZ1638" i="202"/>
  <c r="AZ1639" i="202"/>
  <c r="AZ1640" i="202"/>
  <c r="AZ1641" i="202"/>
  <c r="AZ1642" i="202"/>
  <c r="AZ1643" i="202"/>
  <c r="AZ1644" i="202"/>
  <c r="AZ1645" i="202"/>
  <c r="AZ1646" i="202"/>
  <c r="AZ1647" i="202"/>
  <c r="AZ1648" i="202"/>
  <c r="AZ1649" i="202"/>
  <c r="AZ1650" i="202"/>
  <c r="AZ1651" i="202"/>
  <c r="AZ1652" i="202"/>
  <c r="AZ1653" i="202"/>
  <c r="AZ1654" i="202"/>
  <c r="AZ1655" i="202"/>
  <c r="AZ1656" i="202"/>
  <c r="AZ1657" i="202"/>
  <c r="AZ1658" i="202"/>
  <c r="AZ1659" i="202"/>
  <c r="AZ1660" i="202"/>
  <c r="AZ1661" i="202"/>
  <c r="AZ1662" i="202"/>
  <c r="AZ1663" i="202"/>
  <c r="AZ1664" i="202"/>
  <c r="AZ1665" i="202"/>
  <c r="AZ1666" i="202"/>
  <c r="AZ1667" i="202"/>
  <c r="AZ1668" i="202"/>
  <c r="AZ1669" i="202"/>
  <c r="AZ1670" i="202"/>
  <c r="AZ1671" i="202"/>
  <c r="AZ1672" i="202"/>
  <c r="AZ1673" i="202"/>
  <c r="AZ1674" i="202"/>
  <c r="AZ1675" i="202"/>
  <c r="AZ1676" i="202"/>
  <c r="AZ1677" i="202"/>
  <c r="AZ1678" i="202"/>
  <c r="AZ1679" i="202"/>
  <c r="AZ1680" i="202"/>
  <c r="AZ1681" i="202"/>
  <c r="AZ1682" i="202"/>
  <c r="AZ1683" i="202"/>
  <c r="AZ1684" i="202"/>
  <c r="AZ1685" i="202"/>
  <c r="AZ1686" i="202"/>
  <c r="AZ1687" i="202"/>
  <c r="AZ1688" i="202"/>
  <c r="AZ1689" i="202"/>
  <c r="AZ1690" i="202"/>
  <c r="AZ1691" i="202"/>
  <c r="AZ1692" i="202"/>
  <c r="AZ1693" i="202"/>
  <c r="AZ1694" i="202"/>
  <c r="AZ1695" i="202"/>
  <c r="AZ1696" i="202"/>
  <c r="AZ1697" i="202"/>
  <c r="AZ1698" i="202"/>
  <c r="AZ1699" i="202"/>
  <c r="AZ1700" i="202"/>
  <c r="AZ1701" i="202"/>
  <c r="AZ1702" i="202"/>
  <c r="AZ1703" i="202"/>
  <c r="AZ1704" i="202"/>
  <c r="AZ1705" i="202"/>
  <c r="AZ1706" i="202"/>
  <c r="AZ1707" i="202"/>
  <c r="AZ1708" i="202"/>
  <c r="AZ1709" i="202"/>
  <c r="AZ1710" i="202"/>
  <c r="AZ1711" i="202"/>
  <c r="AZ1712" i="202"/>
  <c r="AZ1713" i="202"/>
  <c r="AZ1714" i="202"/>
  <c r="AZ1715" i="202"/>
  <c r="AZ1716" i="202"/>
  <c r="AZ1717" i="202"/>
  <c r="AZ1718" i="202"/>
  <c r="AZ1719" i="202"/>
  <c r="AZ1720" i="202"/>
  <c r="AZ1721" i="202"/>
  <c r="AZ1722" i="202"/>
  <c r="AZ1723" i="202"/>
  <c r="AZ1724" i="202"/>
  <c r="AZ1725" i="202"/>
  <c r="AZ1726" i="202"/>
  <c r="AZ1727" i="202"/>
  <c r="AZ1728" i="202"/>
  <c r="AZ1729" i="202"/>
  <c r="AZ1730" i="202"/>
  <c r="AZ1731" i="202"/>
  <c r="AZ1732" i="202"/>
  <c r="AZ1733" i="202"/>
  <c r="AZ1734" i="202"/>
  <c r="AZ1735" i="202"/>
  <c r="AZ1736" i="202"/>
  <c r="AZ1737" i="202"/>
  <c r="AZ1738" i="202"/>
  <c r="AZ1739" i="202"/>
  <c r="AZ1740" i="202"/>
  <c r="AZ1741" i="202"/>
  <c r="AZ1742" i="202"/>
  <c r="AZ1743" i="202"/>
  <c r="AZ1744" i="202"/>
  <c r="AZ1745" i="202"/>
  <c r="AZ1746" i="202"/>
  <c r="AZ1747" i="202"/>
  <c r="AZ1748" i="202"/>
  <c r="AZ1749" i="202"/>
  <c r="AZ1750" i="202"/>
  <c r="AZ1751" i="202"/>
  <c r="AZ1752" i="202"/>
  <c r="AZ1753" i="202"/>
  <c r="AZ1754" i="202"/>
  <c r="AZ1755" i="202"/>
  <c r="AZ1756" i="202"/>
  <c r="AZ1757" i="202"/>
  <c r="AZ1758" i="202"/>
  <c r="AZ1759" i="202"/>
  <c r="AZ1760" i="202"/>
  <c r="AZ1761" i="202"/>
  <c r="AZ1762" i="202"/>
  <c r="AZ1763" i="202"/>
  <c r="AZ1764" i="202"/>
  <c r="AZ1765" i="202"/>
  <c r="AZ1766" i="202"/>
  <c r="AZ1767" i="202"/>
  <c r="AZ1768" i="202"/>
  <c r="AZ1769" i="202"/>
  <c r="AZ1770" i="202"/>
  <c r="AZ1771" i="202"/>
  <c r="AZ1772" i="202"/>
  <c r="AZ1773" i="202"/>
  <c r="AZ1774" i="202"/>
  <c r="AZ1775" i="202"/>
  <c r="AZ1776" i="202"/>
  <c r="AZ1777" i="202"/>
  <c r="AZ1778" i="202"/>
  <c r="AZ1779" i="202"/>
  <c r="AZ1780" i="202"/>
  <c r="AZ1781" i="202"/>
  <c r="AZ1782" i="202"/>
  <c r="AZ1783" i="202"/>
  <c r="AZ1784" i="202"/>
  <c r="AZ1785" i="202"/>
  <c r="AZ1786" i="202"/>
  <c r="AZ1787" i="202"/>
  <c r="AZ1788" i="202"/>
  <c r="AZ1789" i="202"/>
  <c r="AZ1790" i="202"/>
  <c r="AZ1791" i="202"/>
  <c r="AZ1792" i="202"/>
  <c r="AZ1793" i="202"/>
  <c r="AZ1794" i="202"/>
  <c r="AZ1795" i="202"/>
  <c r="AZ1796" i="202"/>
  <c r="AZ1797" i="202"/>
  <c r="AZ1798" i="202"/>
  <c r="AZ1799" i="202"/>
  <c r="AZ1800" i="202"/>
  <c r="AZ1801" i="202"/>
  <c r="AZ1802" i="202"/>
  <c r="AZ1803" i="202"/>
  <c r="AZ1804" i="202"/>
  <c r="AZ1805" i="202"/>
  <c r="AZ1806" i="202"/>
  <c r="AZ1807" i="202"/>
  <c r="AZ1808" i="202"/>
  <c r="AZ1809" i="202"/>
  <c r="AZ1810" i="202"/>
  <c r="AZ1811" i="202"/>
  <c r="AZ1812" i="202"/>
  <c r="AZ1813" i="202"/>
  <c r="AZ1814" i="202"/>
  <c r="AZ1815" i="202"/>
  <c r="AZ1816" i="202"/>
  <c r="AZ1817" i="202"/>
  <c r="AZ1818" i="202"/>
  <c r="AZ1819" i="202"/>
  <c r="AZ1820" i="202"/>
  <c r="AZ1821" i="202"/>
  <c r="AZ1822" i="202"/>
  <c r="AZ1823" i="202"/>
  <c r="AZ1824" i="202"/>
  <c r="AZ1825" i="202"/>
  <c r="AZ1826" i="202"/>
  <c r="AZ1827" i="202"/>
  <c r="AZ1828" i="202"/>
  <c r="AZ1829" i="202"/>
  <c r="AZ1830" i="202"/>
  <c r="AZ1831" i="202"/>
  <c r="AZ1832" i="202"/>
  <c r="AZ1833" i="202"/>
  <c r="AZ1834" i="202"/>
  <c r="AZ1835" i="202"/>
  <c r="AZ1836" i="202"/>
  <c r="AZ1837" i="202"/>
  <c r="AZ1838" i="202"/>
  <c r="AZ1839" i="202"/>
  <c r="AZ1840" i="202"/>
  <c r="AZ1841" i="202"/>
  <c r="AZ1842" i="202"/>
  <c r="AZ1843" i="202"/>
  <c r="AZ1844" i="202"/>
  <c r="AZ1845" i="202"/>
  <c r="AZ1846" i="202"/>
  <c r="AZ1847" i="202"/>
  <c r="AZ1848" i="202"/>
  <c r="AZ1849" i="202"/>
  <c r="AZ1850" i="202"/>
  <c r="AZ1851" i="202"/>
  <c r="AZ1852" i="202"/>
  <c r="AZ1853" i="202"/>
  <c r="AZ1854" i="202"/>
  <c r="AZ1855" i="202"/>
  <c r="AZ1856" i="202"/>
  <c r="AZ1857" i="202"/>
  <c r="AZ1858" i="202"/>
  <c r="AZ1859" i="202"/>
  <c r="AZ1860" i="202"/>
  <c r="AZ1861" i="202"/>
  <c r="AZ1862" i="202"/>
  <c r="AZ1863" i="202"/>
  <c r="AZ1864" i="202"/>
  <c r="AZ1865" i="202"/>
  <c r="AZ1866" i="202"/>
  <c r="AZ1867" i="202"/>
  <c r="AZ1868" i="202"/>
  <c r="AZ1869" i="202"/>
  <c r="AZ1870" i="202"/>
  <c r="AZ1871" i="202"/>
  <c r="AZ1872" i="202"/>
  <c r="AZ1873" i="202"/>
  <c r="AZ1874" i="202"/>
  <c r="AZ1875" i="202"/>
  <c r="AZ1876" i="202"/>
  <c r="AZ1877" i="202"/>
  <c r="AZ1878" i="202"/>
  <c r="AZ1879" i="202"/>
  <c r="AZ1880" i="202"/>
  <c r="AZ1881" i="202"/>
  <c r="AZ1882" i="202"/>
  <c r="AZ1883" i="202"/>
  <c r="AZ1884" i="202"/>
  <c r="AZ1885" i="202"/>
  <c r="AZ1886" i="202"/>
  <c r="AZ1887" i="202"/>
  <c r="AZ1888" i="202"/>
  <c r="AZ1889" i="202"/>
  <c r="AZ1890" i="202"/>
  <c r="AZ1891" i="202"/>
  <c r="AZ1892" i="202"/>
  <c r="AZ1893" i="202"/>
  <c r="AZ1894" i="202"/>
  <c r="AZ1895" i="202"/>
  <c r="AZ1896" i="202"/>
  <c r="AZ1897" i="202"/>
  <c r="AZ1898" i="202"/>
  <c r="AZ1899" i="202"/>
  <c r="AZ1900" i="202"/>
  <c r="AZ1901" i="202"/>
  <c r="AZ1902" i="202"/>
  <c r="AZ1903" i="202"/>
  <c r="AZ1904" i="202"/>
  <c r="AZ1905" i="202"/>
  <c r="AZ1906" i="202"/>
  <c r="AZ1907" i="202"/>
  <c r="AZ1908" i="202"/>
  <c r="AZ1909" i="202"/>
  <c r="AZ1910" i="202"/>
  <c r="AZ1911" i="202"/>
  <c r="AZ1912" i="202"/>
  <c r="AZ1913" i="202"/>
  <c r="AZ1914" i="202"/>
  <c r="AZ1915" i="202"/>
  <c r="AZ1916" i="202"/>
  <c r="AZ1917" i="202"/>
  <c r="AZ1918" i="202"/>
  <c r="AZ1919" i="202"/>
  <c r="AZ1920" i="202"/>
  <c r="AZ1921" i="202"/>
  <c r="AZ1922" i="202"/>
  <c r="AZ1923" i="202"/>
  <c r="AZ1924" i="202"/>
  <c r="AZ1925" i="202"/>
  <c r="AZ1926" i="202"/>
  <c r="AZ1927" i="202"/>
  <c r="AZ1928" i="202"/>
  <c r="AZ1929" i="202"/>
  <c r="AZ1930" i="202"/>
  <c r="AZ1931" i="202"/>
  <c r="AZ1932" i="202"/>
  <c r="AZ1933" i="202"/>
  <c r="AZ1934" i="202"/>
  <c r="AZ1935" i="202"/>
  <c r="AZ1936" i="202"/>
  <c r="AZ1937" i="202"/>
  <c r="AZ1938" i="202"/>
  <c r="AZ1939" i="202"/>
  <c r="AZ1940" i="202"/>
  <c r="AZ1941" i="202"/>
  <c r="AZ1942" i="202"/>
  <c r="AZ1943" i="202"/>
  <c r="AZ1944" i="202"/>
  <c r="AZ1945" i="202"/>
  <c r="AZ1946" i="202"/>
  <c r="AZ1947" i="202"/>
  <c r="AZ1948" i="202"/>
  <c r="AZ1949" i="202"/>
  <c r="AZ1950" i="202"/>
  <c r="AZ1951" i="202"/>
  <c r="AZ1952" i="202"/>
  <c r="AZ1953" i="202"/>
  <c r="AZ1954" i="202"/>
  <c r="AZ1955" i="202"/>
  <c r="AZ1956" i="202"/>
  <c r="AZ1957" i="202"/>
  <c r="AZ1958" i="202"/>
  <c r="AZ1959" i="202"/>
  <c r="AZ1960" i="202"/>
  <c r="AZ1961" i="202"/>
  <c r="AZ1962" i="202"/>
  <c r="AZ1963" i="202"/>
  <c r="AZ1964" i="202"/>
  <c r="AZ1965" i="202"/>
  <c r="AZ1966" i="202"/>
  <c r="AZ1967" i="202"/>
  <c r="AZ1968" i="202"/>
  <c r="AZ1969" i="202"/>
  <c r="AZ1970" i="202"/>
  <c r="AZ1971" i="202"/>
  <c r="AZ1972" i="202"/>
  <c r="AZ1973" i="202"/>
  <c r="AZ1974" i="202"/>
  <c r="AZ1975" i="202"/>
  <c r="AZ1976" i="202"/>
  <c r="AZ1977" i="202"/>
  <c r="AZ1978" i="202"/>
  <c r="AZ1979" i="202"/>
  <c r="AZ1980" i="202"/>
  <c r="AZ1981" i="202"/>
  <c r="AZ1982" i="202"/>
  <c r="AZ1983" i="202"/>
  <c r="AZ1984" i="202"/>
  <c r="AZ1985" i="202"/>
  <c r="AZ1986" i="202"/>
  <c r="AZ1987" i="202"/>
  <c r="AZ1988" i="202"/>
  <c r="AZ1989" i="202"/>
  <c r="AZ1990" i="202"/>
  <c r="AZ1991" i="202"/>
  <c r="AZ1992" i="202"/>
  <c r="AZ1993" i="202"/>
  <c r="AZ1994" i="202"/>
  <c r="AZ1995" i="202"/>
  <c r="AZ1996" i="202"/>
  <c r="AZ1997" i="202"/>
  <c r="AZ1998" i="202"/>
  <c r="AZ1999" i="202"/>
  <c r="AZ2000" i="202"/>
  <c r="AZ2001" i="202"/>
  <c r="AZ2002" i="202"/>
  <c r="AZ2003" i="202"/>
  <c r="AZ2004" i="202"/>
  <c r="AZ2005" i="202"/>
  <c r="AZ2006" i="202"/>
  <c r="AZ2007" i="202"/>
  <c r="AZ2008" i="202"/>
  <c r="AZ2009" i="202"/>
  <c r="AZ2010" i="202"/>
  <c r="AZ2011" i="202"/>
  <c r="AZ2012" i="202"/>
  <c r="AZ2013" i="202"/>
  <c r="AZ2014" i="202"/>
  <c r="AZ2015" i="202"/>
  <c r="AZ2016" i="202"/>
  <c r="AZ2017" i="202"/>
  <c r="AZ2018" i="202"/>
  <c r="AZ2019" i="202"/>
  <c r="AZ2020" i="202"/>
  <c r="AZ2021" i="202"/>
  <c r="AZ2022" i="202"/>
  <c r="AZ2023" i="202"/>
  <c r="AZ2024" i="202"/>
  <c r="AZ2025" i="202"/>
  <c r="AZ2026" i="202"/>
  <c r="AZ2027" i="202"/>
  <c r="AZ2028" i="202"/>
  <c r="AZ2029" i="202"/>
  <c r="AZ2030" i="202"/>
  <c r="AZ2031" i="202"/>
  <c r="AZ2032" i="202"/>
  <c r="AZ2033" i="202"/>
  <c r="AZ2034" i="202"/>
  <c r="AZ2035" i="202"/>
  <c r="AZ2036" i="202"/>
  <c r="AZ2037" i="202"/>
  <c r="AZ2038" i="202"/>
  <c r="AZ2039" i="202"/>
  <c r="AZ2040" i="202"/>
  <c r="AZ2041" i="202"/>
  <c r="AZ2042" i="202"/>
  <c r="AZ2043" i="202"/>
  <c r="AZ2044" i="202"/>
  <c r="AZ2045" i="202"/>
  <c r="AZ2046" i="202"/>
  <c r="AZ2047" i="202"/>
  <c r="AZ2048" i="202"/>
  <c r="AL2" i="202"/>
  <c r="AL3" i="202"/>
  <c r="AL4" i="202"/>
  <c r="AL5" i="202"/>
  <c r="AL6" i="202"/>
  <c r="AL7" i="202"/>
  <c r="AL8" i="202"/>
  <c r="AL9" i="202"/>
  <c r="AL10" i="202"/>
  <c r="AL11" i="202"/>
  <c r="AL12" i="202"/>
  <c r="AL13" i="202"/>
  <c r="AL14" i="202"/>
  <c r="AL15" i="202"/>
  <c r="AL16" i="202"/>
  <c r="AL17" i="202"/>
  <c r="AL18" i="202"/>
  <c r="AL19" i="202"/>
  <c r="AL20" i="202"/>
  <c r="AL21" i="202"/>
  <c r="AL22" i="202"/>
  <c r="AL23" i="202"/>
  <c r="AL24" i="202"/>
  <c r="AL25" i="202"/>
  <c r="AL26" i="202"/>
  <c r="AL27" i="202"/>
  <c r="AL28" i="202"/>
  <c r="AL29" i="202"/>
  <c r="AL30" i="202"/>
  <c r="AL31" i="202"/>
  <c r="AL32" i="202"/>
  <c r="AL33" i="202"/>
  <c r="AL34" i="202"/>
  <c r="AL35" i="202"/>
  <c r="AL36" i="202"/>
  <c r="AL37" i="202"/>
  <c r="AL38" i="202"/>
  <c r="AL39" i="202"/>
  <c r="AL40" i="202"/>
  <c r="AL41" i="202"/>
  <c r="AL42" i="202"/>
  <c r="AL43" i="202"/>
  <c r="AL44" i="202"/>
  <c r="AL45" i="202"/>
  <c r="AL46" i="202"/>
  <c r="AL47" i="202"/>
  <c r="AL48" i="202"/>
  <c r="AL49" i="202"/>
  <c r="AL50" i="202"/>
  <c r="AL51" i="202"/>
  <c r="AL52" i="202"/>
  <c r="AL53" i="202"/>
  <c r="AL54" i="202"/>
  <c r="AL55" i="202"/>
  <c r="AL56" i="202"/>
  <c r="AL57" i="202"/>
  <c r="AL58" i="202"/>
  <c r="AL59" i="202"/>
  <c r="AL60" i="202"/>
  <c r="AL61" i="202"/>
  <c r="AL62" i="202"/>
  <c r="AL63" i="202"/>
  <c r="AL64" i="202"/>
  <c r="AL65" i="202"/>
  <c r="AL66" i="202"/>
  <c r="AL67" i="202"/>
  <c r="AL68" i="202"/>
  <c r="AL69" i="202"/>
  <c r="AL70" i="202"/>
  <c r="AL71" i="202"/>
  <c r="AL72" i="202"/>
  <c r="AL73" i="202"/>
  <c r="AL74" i="202"/>
  <c r="AL75" i="202"/>
  <c r="AL76" i="202"/>
  <c r="AL77" i="202"/>
  <c r="AL78" i="202"/>
  <c r="AL79" i="202"/>
  <c r="AL80" i="202"/>
  <c r="AL81" i="202"/>
  <c r="AL82" i="202"/>
  <c r="AL83" i="202"/>
  <c r="AL84" i="202"/>
  <c r="AL85" i="202"/>
  <c r="AL86" i="202"/>
  <c r="AL87" i="202"/>
  <c r="AL88" i="202"/>
  <c r="AL89" i="202"/>
  <c r="AL90" i="202"/>
  <c r="AL91" i="202"/>
  <c r="AL92" i="202"/>
  <c r="AL93" i="202"/>
  <c r="AL94" i="202"/>
  <c r="AL95" i="202"/>
  <c r="AL96" i="202"/>
  <c r="AL97" i="202"/>
  <c r="AL98" i="202"/>
  <c r="AL99" i="202"/>
  <c r="AL100" i="202"/>
  <c r="AL101" i="202"/>
  <c r="AL102" i="202"/>
  <c r="AL103" i="202"/>
  <c r="AL104" i="202"/>
  <c r="AL105" i="202"/>
  <c r="AL106" i="202"/>
  <c r="AL107" i="202"/>
  <c r="AL108" i="202"/>
  <c r="AL109" i="202"/>
  <c r="AL110" i="202"/>
  <c r="AL111" i="202"/>
  <c r="AL112" i="202"/>
  <c r="AL113" i="202"/>
  <c r="AL114" i="202"/>
  <c r="AL115" i="202"/>
  <c r="AL116" i="202"/>
  <c r="AL117" i="202"/>
  <c r="AL118" i="202"/>
  <c r="AL119" i="202"/>
  <c r="AL120" i="202"/>
  <c r="AL121" i="202"/>
  <c r="AL122" i="202"/>
  <c r="AL123" i="202"/>
  <c r="AL124" i="202"/>
  <c r="AL125" i="202"/>
  <c r="AL126" i="202"/>
  <c r="AL127" i="202"/>
  <c r="AL128" i="202"/>
  <c r="AL129" i="202"/>
  <c r="AL130" i="202"/>
  <c r="AL131" i="202"/>
  <c r="AL132" i="202"/>
  <c r="AL133" i="202"/>
  <c r="AL134" i="202"/>
  <c r="AL135" i="202"/>
  <c r="AL136" i="202"/>
  <c r="AL137" i="202"/>
  <c r="AL138" i="202"/>
  <c r="AL139" i="202"/>
  <c r="AL140" i="202"/>
  <c r="AL141" i="202"/>
  <c r="AL142" i="202"/>
  <c r="AL143" i="202"/>
  <c r="AL144" i="202"/>
  <c r="AL145" i="202"/>
  <c r="AL146" i="202"/>
  <c r="AL147" i="202"/>
  <c r="AL148" i="202"/>
  <c r="AL149" i="202"/>
  <c r="AL150" i="202"/>
  <c r="AL151" i="202"/>
  <c r="AL152" i="202"/>
  <c r="AL153" i="202"/>
  <c r="AL154" i="202"/>
  <c r="AL155" i="202"/>
  <c r="AL156" i="202"/>
  <c r="AL157" i="202"/>
  <c r="AL158" i="202"/>
  <c r="AL159" i="202"/>
  <c r="AL160" i="202"/>
  <c r="AL161" i="202"/>
  <c r="AL162" i="202"/>
  <c r="AL163" i="202"/>
  <c r="AL164" i="202"/>
  <c r="AL165" i="202"/>
  <c r="AL166" i="202"/>
  <c r="AL167" i="202"/>
  <c r="AL168" i="202"/>
  <c r="AL169" i="202"/>
  <c r="AL170" i="202"/>
  <c r="AL171" i="202"/>
  <c r="AL172" i="202"/>
  <c r="AL173" i="202"/>
  <c r="AL174" i="202"/>
  <c r="AL175" i="202"/>
  <c r="AL176" i="202"/>
  <c r="AL177" i="202"/>
  <c r="AL178" i="202"/>
  <c r="AL179" i="202"/>
  <c r="AL180" i="202"/>
  <c r="AL181" i="202"/>
  <c r="AL182" i="202"/>
  <c r="AL183" i="202"/>
  <c r="AL184" i="202"/>
  <c r="AL185" i="202"/>
  <c r="AL186" i="202"/>
  <c r="AL187" i="202"/>
  <c r="AL188" i="202"/>
  <c r="AL189" i="202"/>
  <c r="AL190" i="202"/>
  <c r="AL191" i="202"/>
  <c r="AL192" i="202"/>
  <c r="AL193" i="202"/>
  <c r="AL194" i="202"/>
  <c r="AL195" i="202"/>
  <c r="AL196" i="202"/>
  <c r="AL197" i="202"/>
  <c r="AL198" i="202"/>
  <c r="AL199" i="202"/>
  <c r="AL200" i="202"/>
  <c r="AL201" i="202"/>
  <c r="AL202" i="202"/>
  <c r="AL203" i="202"/>
  <c r="AL204" i="202"/>
  <c r="AL205" i="202"/>
  <c r="AL206" i="202"/>
  <c r="AL207" i="202"/>
  <c r="AL208" i="202"/>
  <c r="AL209" i="202"/>
  <c r="AL210" i="202"/>
  <c r="AL211" i="202"/>
  <c r="AL212" i="202"/>
  <c r="AL213" i="202"/>
  <c r="AL214" i="202"/>
  <c r="AL215" i="202"/>
  <c r="AL216" i="202"/>
  <c r="AL217" i="202"/>
  <c r="AL218" i="202"/>
  <c r="AL219" i="202"/>
  <c r="AL220" i="202"/>
  <c r="AL221" i="202"/>
  <c r="AL222" i="202"/>
  <c r="AL223" i="202"/>
  <c r="AL224" i="202"/>
  <c r="AL225" i="202"/>
  <c r="AL226" i="202"/>
  <c r="AL227" i="202"/>
  <c r="AL228" i="202"/>
  <c r="AL229" i="202"/>
  <c r="AL230" i="202"/>
  <c r="AL231" i="202"/>
  <c r="AL232" i="202"/>
  <c r="AL233" i="202"/>
  <c r="AL234" i="202"/>
  <c r="AL235" i="202"/>
  <c r="AL236" i="202"/>
  <c r="AL237" i="202"/>
  <c r="AL238" i="202"/>
  <c r="AL239" i="202"/>
  <c r="AL240" i="202"/>
  <c r="AL241" i="202"/>
  <c r="AL242" i="202"/>
  <c r="AL243" i="202"/>
  <c r="AL244" i="202"/>
  <c r="AL245" i="202"/>
  <c r="AL246" i="202"/>
  <c r="AL247" i="202"/>
  <c r="AL248" i="202"/>
  <c r="AL249" i="202"/>
  <c r="AL250" i="202"/>
  <c r="AL251" i="202"/>
  <c r="AL252" i="202"/>
  <c r="AL253" i="202"/>
  <c r="AL254" i="202"/>
  <c r="AL255" i="202"/>
  <c r="AL256" i="202"/>
  <c r="AL257" i="202"/>
  <c r="AL258" i="202"/>
  <c r="AL259" i="202"/>
  <c r="AL260" i="202"/>
  <c r="AL261" i="202"/>
  <c r="AL262" i="202"/>
  <c r="AL263" i="202"/>
  <c r="AL264" i="202"/>
  <c r="AL265" i="202"/>
  <c r="AL266" i="202"/>
  <c r="AL267" i="202"/>
  <c r="AL268" i="202"/>
  <c r="AL269" i="202"/>
  <c r="AL270" i="202"/>
  <c r="AL271" i="202"/>
  <c r="AL272" i="202"/>
  <c r="AL273" i="202"/>
  <c r="AL274" i="202"/>
  <c r="AL275" i="202"/>
  <c r="AL276" i="202"/>
  <c r="AL277" i="202"/>
  <c r="AL278" i="202"/>
  <c r="AL279" i="202"/>
  <c r="AL280" i="202"/>
  <c r="AL281" i="202"/>
  <c r="AL282" i="202"/>
  <c r="AL283" i="202"/>
  <c r="AL284" i="202"/>
  <c r="AL285" i="202"/>
  <c r="AL286" i="202"/>
  <c r="AL287" i="202"/>
  <c r="AL288" i="202"/>
  <c r="AL289" i="202"/>
  <c r="AL290" i="202"/>
  <c r="AL291" i="202"/>
  <c r="AL292" i="202"/>
  <c r="AL293" i="202"/>
  <c r="AL294" i="202"/>
  <c r="AL295" i="202"/>
  <c r="AL296" i="202"/>
  <c r="AL297" i="202"/>
  <c r="AL298" i="202"/>
  <c r="AL299" i="202"/>
  <c r="AL300" i="202"/>
  <c r="AL301" i="202"/>
  <c r="AL302" i="202"/>
  <c r="AL303" i="202"/>
  <c r="AL304" i="202"/>
  <c r="AL305" i="202"/>
  <c r="AL306" i="202"/>
  <c r="AL307" i="202"/>
  <c r="AL308" i="202"/>
  <c r="AL309" i="202"/>
  <c r="AL310" i="202"/>
  <c r="AL311" i="202"/>
  <c r="AL312" i="202"/>
  <c r="AL313" i="202"/>
  <c r="AL314" i="202"/>
  <c r="AL315" i="202"/>
  <c r="AL316" i="202"/>
  <c r="AL317" i="202"/>
  <c r="AL318" i="202"/>
  <c r="AL319" i="202"/>
  <c r="AL320" i="202"/>
  <c r="AL321" i="202"/>
  <c r="AL322" i="202"/>
  <c r="AL323" i="202"/>
  <c r="AL324" i="202"/>
  <c r="AL325" i="202"/>
  <c r="AL326" i="202"/>
  <c r="AL327" i="202"/>
  <c r="AL328" i="202"/>
  <c r="AL329" i="202"/>
  <c r="AL330" i="202"/>
  <c r="AL331" i="202"/>
  <c r="AL332" i="202"/>
  <c r="AL333" i="202"/>
  <c r="AL334" i="202"/>
  <c r="AL335" i="202"/>
  <c r="AL336" i="202"/>
  <c r="AL337" i="202"/>
  <c r="AL338" i="202"/>
  <c r="AL339" i="202"/>
  <c r="AL340" i="202"/>
  <c r="AL341" i="202"/>
  <c r="AL342" i="202"/>
  <c r="AL343" i="202"/>
  <c r="AL344" i="202"/>
  <c r="AL345" i="202"/>
  <c r="AL346" i="202"/>
  <c r="AL347" i="202"/>
  <c r="AL348" i="202"/>
  <c r="AL349" i="202"/>
  <c r="AL350" i="202"/>
  <c r="AL351" i="202"/>
  <c r="AL352" i="202"/>
  <c r="AL353" i="202"/>
  <c r="AL354" i="202"/>
  <c r="AL355" i="202"/>
  <c r="AL356" i="202"/>
  <c r="AL357" i="202"/>
  <c r="AL358" i="202"/>
  <c r="AL359" i="202"/>
  <c r="AL360" i="202"/>
  <c r="AL361" i="202"/>
  <c r="AL362" i="202"/>
  <c r="AL363" i="202"/>
  <c r="AL364" i="202"/>
  <c r="AL365" i="202"/>
  <c r="AL366" i="202"/>
  <c r="AL367" i="202"/>
  <c r="AL368" i="202"/>
  <c r="AL369" i="202"/>
  <c r="AL370" i="202"/>
  <c r="AL371" i="202"/>
  <c r="AL372" i="202"/>
  <c r="AL373" i="202"/>
  <c r="AL374" i="202"/>
  <c r="AL375" i="202"/>
  <c r="AL376" i="202"/>
  <c r="AL377" i="202"/>
  <c r="AL378" i="202"/>
  <c r="AL379" i="202"/>
  <c r="AL380" i="202"/>
  <c r="AL381" i="202"/>
  <c r="AL382" i="202"/>
  <c r="AL383" i="202"/>
  <c r="AL384" i="202"/>
  <c r="AL385" i="202"/>
  <c r="AL386" i="202"/>
  <c r="AL387" i="202"/>
  <c r="AL388" i="202"/>
  <c r="AL389" i="202"/>
  <c r="AL390" i="202"/>
  <c r="AL391" i="202"/>
  <c r="AL392" i="202"/>
  <c r="AL393" i="202"/>
  <c r="AL394" i="202"/>
  <c r="AL395" i="202"/>
  <c r="AL396" i="202"/>
  <c r="AL397" i="202"/>
  <c r="AL398" i="202"/>
  <c r="AL399" i="202"/>
  <c r="AL400" i="202"/>
  <c r="AL401" i="202"/>
  <c r="AL402" i="202"/>
  <c r="AL403" i="202"/>
  <c r="AL404" i="202"/>
  <c r="AL405" i="202"/>
  <c r="AL406" i="202"/>
  <c r="AL407" i="202"/>
  <c r="AL408" i="202"/>
  <c r="AL409" i="202"/>
  <c r="AL410" i="202"/>
  <c r="AL411" i="202"/>
  <c r="AL412" i="202"/>
  <c r="AL413" i="202"/>
  <c r="AL414" i="202"/>
  <c r="AL415" i="202"/>
  <c r="AL416" i="202"/>
  <c r="AL417" i="202"/>
  <c r="AL418" i="202"/>
  <c r="AL419" i="202"/>
  <c r="AL420" i="202"/>
  <c r="AL421" i="202"/>
  <c r="AL422" i="202"/>
  <c r="AL423" i="202"/>
  <c r="AL424" i="202"/>
  <c r="AL425" i="202"/>
  <c r="AL426" i="202"/>
  <c r="AL427" i="202"/>
  <c r="AL428" i="202"/>
  <c r="AL429" i="202"/>
  <c r="AL430" i="202"/>
  <c r="AL431" i="202"/>
  <c r="AL432" i="202"/>
  <c r="AL433" i="202"/>
  <c r="AL434" i="202"/>
  <c r="AL435" i="202"/>
  <c r="AL436" i="202"/>
  <c r="AL437" i="202"/>
  <c r="AL438" i="202"/>
  <c r="AL439" i="202"/>
  <c r="AL440" i="202"/>
  <c r="AL441" i="202"/>
  <c r="AL442" i="202"/>
  <c r="AL443" i="202"/>
  <c r="AL444" i="202"/>
  <c r="AL445" i="202"/>
  <c r="AL446" i="202"/>
  <c r="AL447" i="202"/>
  <c r="AL448" i="202"/>
  <c r="AL449" i="202"/>
  <c r="AL450" i="202"/>
  <c r="AL451" i="202"/>
  <c r="AL452" i="202"/>
  <c r="AL453" i="202"/>
  <c r="AL454" i="202"/>
  <c r="AL455" i="202"/>
  <c r="AL456" i="202"/>
  <c r="AL457" i="202"/>
  <c r="AL458" i="202"/>
  <c r="AL459" i="202"/>
  <c r="AL460" i="202"/>
  <c r="AL461" i="202"/>
  <c r="AL462" i="202"/>
  <c r="AL463" i="202"/>
  <c r="AL464" i="202"/>
  <c r="AL465" i="202"/>
  <c r="AL466" i="202"/>
  <c r="AL467" i="202"/>
  <c r="AL468" i="202"/>
  <c r="AL469" i="202"/>
  <c r="AL470" i="202"/>
  <c r="AL471" i="202"/>
  <c r="AL472" i="202"/>
  <c r="AL473" i="202"/>
  <c r="AL474" i="202"/>
  <c r="AL475" i="202"/>
  <c r="AL476" i="202"/>
  <c r="AL477" i="202"/>
  <c r="AL478" i="202"/>
  <c r="AL479" i="202"/>
  <c r="AL480" i="202"/>
  <c r="AL481" i="202"/>
  <c r="AL482" i="202"/>
  <c r="AL483" i="202"/>
  <c r="AL484" i="202"/>
  <c r="AL485" i="202"/>
  <c r="AL486" i="202"/>
  <c r="AL487" i="202"/>
  <c r="AL488" i="202"/>
  <c r="AL489" i="202"/>
  <c r="AL490" i="202"/>
  <c r="AL491" i="202"/>
  <c r="AL492" i="202"/>
  <c r="AL493" i="202"/>
  <c r="AL494" i="202"/>
  <c r="AL495" i="202"/>
  <c r="AL496" i="202"/>
  <c r="AL497" i="202"/>
  <c r="AL498" i="202"/>
  <c r="AL499" i="202"/>
  <c r="AL500" i="202"/>
  <c r="AL501" i="202"/>
  <c r="AL502" i="202"/>
  <c r="AL503" i="202"/>
  <c r="AL504" i="202"/>
  <c r="AL505" i="202"/>
  <c r="AL506" i="202"/>
  <c r="AL507" i="202"/>
  <c r="AL508" i="202"/>
  <c r="AL509" i="202"/>
  <c r="AL510" i="202"/>
  <c r="AL511" i="202"/>
  <c r="AL512" i="202"/>
  <c r="AL513" i="202"/>
  <c r="AL514" i="202"/>
  <c r="AL515" i="202"/>
  <c r="AL516" i="202"/>
  <c r="AL517" i="202"/>
  <c r="AL518" i="202"/>
  <c r="AL519" i="202"/>
  <c r="AL520" i="202"/>
  <c r="AL521" i="202"/>
  <c r="AL522" i="202"/>
  <c r="AL523" i="202"/>
  <c r="AL524" i="202"/>
  <c r="AL525" i="202"/>
  <c r="AL526" i="202"/>
  <c r="AL527" i="202"/>
  <c r="AL528" i="202"/>
  <c r="AL529" i="202"/>
  <c r="AL530" i="202"/>
  <c r="AL531" i="202"/>
  <c r="AL532" i="202"/>
  <c r="AL533" i="202"/>
  <c r="AL534" i="202"/>
  <c r="AL535" i="202"/>
  <c r="AL536" i="202"/>
  <c r="AL537" i="202"/>
  <c r="AL538" i="202"/>
  <c r="AL539" i="202"/>
  <c r="AL540" i="202"/>
  <c r="AL541" i="202"/>
  <c r="AL542" i="202"/>
  <c r="AL543" i="202"/>
  <c r="AL544" i="202"/>
  <c r="AL545" i="202"/>
  <c r="AL546" i="202"/>
  <c r="AL547" i="202"/>
  <c r="AL548" i="202"/>
  <c r="AL549" i="202"/>
  <c r="AL550" i="202"/>
  <c r="AL551" i="202"/>
  <c r="AL552" i="202"/>
  <c r="AL553" i="202"/>
  <c r="AL554" i="202"/>
  <c r="AL555" i="202"/>
  <c r="AL556" i="202"/>
  <c r="AL557" i="202"/>
  <c r="AL558" i="202"/>
  <c r="AL559" i="202"/>
  <c r="AL560" i="202"/>
  <c r="AL561" i="202"/>
  <c r="AL562" i="202"/>
  <c r="AL563" i="202"/>
  <c r="AL564" i="202"/>
  <c r="AL565" i="202"/>
  <c r="AL566" i="202"/>
  <c r="AL567" i="202"/>
  <c r="AL568" i="202"/>
  <c r="AL569" i="202"/>
  <c r="AL570" i="202"/>
  <c r="AL571" i="202"/>
  <c r="AL572" i="202"/>
  <c r="AL573" i="202"/>
  <c r="AL574" i="202"/>
  <c r="AL575" i="202"/>
  <c r="AL576" i="202"/>
  <c r="AL577" i="202"/>
  <c r="AL578" i="202"/>
  <c r="AL579" i="202"/>
  <c r="AL580" i="202"/>
  <c r="AL581" i="202"/>
  <c r="AL582" i="202"/>
  <c r="AL583" i="202"/>
  <c r="AL584" i="202"/>
  <c r="AL585" i="202"/>
  <c r="AL586" i="202"/>
  <c r="AL587" i="202"/>
  <c r="AL588" i="202"/>
  <c r="AL589" i="202"/>
  <c r="AL590" i="202"/>
  <c r="AL591" i="202"/>
  <c r="AL592" i="202"/>
  <c r="AL593" i="202"/>
  <c r="AL594" i="202"/>
  <c r="AL595" i="202"/>
  <c r="AL596" i="202"/>
  <c r="AL597" i="202"/>
  <c r="AL598" i="202"/>
  <c r="AL599" i="202"/>
  <c r="AL600" i="202"/>
  <c r="AL601" i="202"/>
  <c r="AL602" i="202"/>
  <c r="AL603" i="202"/>
  <c r="AL604" i="202"/>
  <c r="AL605" i="202"/>
  <c r="AL606" i="202"/>
  <c r="AL607" i="202"/>
  <c r="AL608" i="202"/>
  <c r="AL609" i="202"/>
  <c r="AL610" i="202"/>
  <c r="AL611" i="202"/>
  <c r="AL612" i="202"/>
  <c r="AL613" i="202"/>
  <c r="AL614" i="202"/>
  <c r="AL615" i="202"/>
  <c r="AL616" i="202"/>
  <c r="AL617" i="202"/>
  <c r="AL618" i="202"/>
  <c r="AL619" i="202"/>
  <c r="AL620" i="202"/>
  <c r="AL621" i="202"/>
  <c r="AL622" i="202"/>
  <c r="AL623" i="202"/>
  <c r="AL624" i="202"/>
  <c r="AL625" i="202"/>
  <c r="AL626" i="202"/>
  <c r="AL627" i="202"/>
  <c r="AL628" i="202"/>
  <c r="AL629" i="202"/>
  <c r="AL630" i="202"/>
  <c r="AL631" i="202"/>
  <c r="AL632" i="202"/>
  <c r="AL633" i="202"/>
  <c r="AL634" i="202"/>
  <c r="AL635" i="202"/>
  <c r="AL636" i="202"/>
  <c r="AL637" i="202"/>
  <c r="AL638" i="202"/>
  <c r="AL639" i="202"/>
  <c r="AL640" i="202"/>
  <c r="AL641" i="202"/>
  <c r="AL642" i="202"/>
  <c r="AL643" i="202"/>
  <c r="AL644" i="202"/>
  <c r="AL645" i="202"/>
  <c r="AL646" i="202"/>
  <c r="AL647" i="202"/>
  <c r="AL648" i="202"/>
  <c r="AL649" i="202"/>
  <c r="AL650" i="202"/>
  <c r="AL651" i="202"/>
  <c r="AL652" i="202"/>
  <c r="AL653" i="202"/>
  <c r="AL654" i="202"/>
  <c r="AL655" i="202"/>
  <c r="AL656" i="202"/>
  <c r="AL657" i="202"/>
  <c r="AL658" i="202"/>
  <c r="AL659" i="202"/>
  <c r="AL660" i="202"/>
  <c r="AL661" i="202"/>
  <c r="AL662" i="202"/>
  <c r="AL663" i="202"/>
  <c r="AL664" i="202"/>
  <c r="AL665" i="202"/>
  <c r="AL666" i="202"/>
  <c r="AL667" i="202"/>
  <c r="AL668" i="202"/>
  <c r="AL669" i="202"/>
  <c r="AL670" i="202"/>
  <c r="AL671" i="202"/>
  <c r="AL672" i="202"/>
  <c r="AL673" i="202"/>
  <c r="AL674" i="202"/>
  <c r="AL675" i="202"/>
  <c r="AL676" i="202"/>
  <c r="AL677" i="202"/>
  <c r="AL678" i="202"/>
  <c r="AL679" i="202"/>
  <c r="AL680" i="202"/>
  <c r="AL681" i="202"/>
  <c r="AL682" i="202"/>
  <c r="AL683" i="202"/>
  <c r="AL684" i="202"/>
  <c r="AL685" i="202"/>
  <c r="AL686" i="202"/>
  <c r="AL687" i="202"/>
  <c r="AL688" i="202"/>
  <c r="AL689" i="202"/>
  <c r="AL690" i="202"/>
  <c r="AL691" i="202"/>
  <c r="AL692" i="202"/>
  <c r="AL693" i="202"/>
  <c r="AL694" i="202"/>
  <c r="AL695" i="202"/>
  <c r="AL696" i="202"/>
  <c r="AL697" i="202"/>
  <c r="AL698" i="202"/>
  <c r="AL699" i="202"/>
  <c r="AL700" i="202"/>
  <c r="AL701" i="202"/>
  <c r="AL702" i="202"/>
  <c r="AL703" i="202"/>
  <c r="AL704" i="202"/>
  <c r="AL705" i="202"/>
  <c r="AL706" i="202"/>
  <c r="AL707" i="202"/>
  <c r="AL708" i="202"/>
  <c r="AL709" i="202"/>
  <c r="AL710" i="202"/>
  <c r="AL711" i="202"/>
  <c r="AL712" i="202"/>
  <c r="AL713" i="202"/>
  <c r="AL714" i="202"/>
  <c r="AL715" i="202"/>
  <c r="AL716" i="202"/>
  <c r="AL717" i="202"/>
  <c r="AL718" i="202"/>
  <c r="AL719" i="202"/>
  <c r="AL720" i="202"/>
  <c r="AL721" i="202"/>
  <c r="AL722" i="202"/>
  <c r="AL723" i="202"/>
  <c r="AL724" i="202"/>
  <c r="AL725" i="202"/>
  <c r="AL726" i="202"/>
  <c r="AL727" i="202"/>
  <c r="AL728" i="202"/>
  <c r="AL729" i="202"/>
  <c r="AL730" i="202"/>
  <c r="AL731" i="202"/>
  <c r="AL732" i="202"/>
  <c r="AL733" i="202"/>
  <c r="AL734" i="202"/>
  <c r="AL735" i="202"/>
  <c r="AL736" i="202"/>
  <c r="AL737" i="202"/>
  <c r="AL738" i="202"/>
  <c r="AL739" i="202"/>
  <c r="AL740" i="202"/>
  <c r="AL741" i="202"/>
  <c r="AL742" i="202"/>
  <c r="AL743" i="202"/>
  <c r="AL744" i="202"/>
  <c r="AL745" i="202"/>
  <c r="AL746" i="202"/>
  <c r="AL747" i="202"/>
  <c r="AL748" i="202"/>
  <c r="AL749" i="202"/>
  <c r="AL750" i="202"/>
  <c r="AL751" i="202"/>
  <c r="AL752" i="202"/>
  <c r="AL753" i="202"/>
  <c r="AL754" i="202"/>
  <c r="AL755" i="202"/>
  <c r="AL756" i="202"/>
  <c r="AL757" i="202"/>
  <c r="AL758" i="202"/>
  <c r="AL759" i="202"/>
  <c r="AL760" i="202"/>
  <c r="AL761" i="202"/>
  <c r="AL762" i="202"/>
  <c r="AL763" i="202"/>
  <c r="AL764" i="202"/>
  <c r="AL765" i="202"/>
  <c r="AL766" i="202"/>
  <c r="AL767" i="202"/>
  <c r="AL768" i="202"/>
  <c r="AL769" i="202"/>
  <c r="AL770" i="202"/>
  <c r="AL771" i="202"/>
  <c r="AL772" i="202"/>
  <c r="AL773" i="202"/>
  <c r="AL774" i="202"/>
  <c r="AL775" i="202"/>
  <c r="AL776" i="202"/>
  <c r="AL777" i="202"/>
  <c r="AL778" i="202"/>
  <c r="AL779" i="202"/>
  <c r="AL780" i="202"/>
  <c r="AL781" i="202"/>
  <c r="AL782" i="202"/>
  <c r="AL783" i="202"/>
  <c r="AL784" i="202"/>
  <c r="AL785" i="202"/>
  <c r="AL786" i="202"/>
  <c r="AL787" i="202"/>
  <c r="AL788" i="202"/>
  <c r="AL789" i="202"/>
  <c r="AL790" i="202"/>
  <c r="AL791" i="202"/>
  <c r="AL792" i="202"/>
  <c r="AL793" i="202"/>
  <c r="AL794" i="202"/>
  <c r="AL795" i="202"/>
  <c r="AL796" i="202"/>
  <c r="AL797" i="202"/>
  <c r="AL798" i="202"/>
  <c r="AL799" i="202"/>
  <c r="AL800" i="202"/>
  <c r="AL801" i="202"/>
  <c r="AL802" i="202"/>
  <c r="AL803" i="202"/>
  <c r="AL804" i="202"/>
  <c r="AL805" i="202"/>
  <c r="AL806" i="202"/>
  <c r="AL807" i="202"/>
  <c r="AL808" i="202"/>
  <c r="AL809" i="202"/>
  <c r="AL810" i="202"/>
  <c r="AL811" i="202"/>
  <c r="AL812" i="202"/>
  <c r="AL813" i="202"/>
  <c r="AL814" i="202"/>
  <c r="AL815" i="202"/>
  <c r="AL816" i="202"/>
  <c r="AL817" i="202"/>
  <c r="AL818" i="202"/>
  <c r="AL819" i="202"/>
  <c r="AL820" i="202"/>
  <c r="AL821" i="202"/>
  <c r="AL822" i="202"/>
  <c r="AL823" i="202"/>
  <c r="AL824" i="202"/>
  <c r="AL825" i="202"/>
  <c r="AL826" i="202"/>
  <c r="AL827" i="202"/>
  <c r="AL828" i="202"/>
  <c r="AL829" i="202"/>
  <c r="AL830" i="202"/>
  <c r="AL831" i="202"/>
  <c r="AL832" i="202"/>
  <c r="AL833" i="202"/>
  <c r="AL834" i="202"/>
  <c r="AL835" i="202"/>
  <c r="AL836" i="202"/>
  <c r="AL837" i="202"/>
  <c r="AL838" i="202"/>
  <c r="AL839" i="202"/>
  <c r="AL840" i="202"/>
  <c r="AL841" i="202"/>
  <c r="AL842" i="202"/>
  <c r="AL843" i="202"/>
  <c r="AL844" i="202"/>
  <c r="AL845" i="202"/>
  <c r="AL846" i="202"/>
  <c r="AL847" i="202"/>
  <c r="AL848" i="202"/>
  <c r="AL849" i="202"/>
  <c r="AL850" i="202"/>
  <c r="AL851" i="202"/>
  <c r="AL852" i="202"/>
  <c r="AL853" i="202"/>
  <c r="AL854" i="202"/>
  <c r="AL855" i="202"/>
  <c r="AL856" i="202"/>
  <c r="AL857" i="202"/>
  <c r="AL858" i="202"/>
  <c r="AL859" i="202"/>
  <c r="AL860" i="202"/>
  <c r="AL861" i="202"/>
  <c r="AL862" i="202"/>
  <c r="AL863" i="202"/>
  <c r="AL864" i="202"/>
  <c r="AL865" i="202"/>
  <c r="AL866" i="202"/>
  <c r="AL867" i="202"/>
  <c r="AL868" i="202"/>
  <c r="AL869" i="202"/>
  <c r="AL870" i="202"/>
  <c r="AL871" i="202"/>
  <c r="AL872" i="202"/>
  <c r="AL873" i="202"/>
  <c r="AL874" i="202"/>
  <c r="AL875" i="202"/>
  <c r="AL876" i="202"/>
  <c r="AL877" i="202"/>
  <c r="AL878" i="202"/>
  <c r="AL879" i="202"/>
  <c r="AL880" i="202"/>
  <c r="AL881" i="202"/>
  <c r="AL882" i="202"/>
  <c r="AL883" i="202"/>
  <c r="AL884" i="202"/>
  <c r="AL885" i="202"/>
  <c r="AL886" i="202"/>
  <c r="AL887" i="202"/>
  <c r="AL888" i="202"/>
  <c r="AL889" i="202"/>
  <c r="AL890" i="202"/>
  <c r="AL891" i="202"/>
  <c r="AL892" i="202"/>
  <c r="AL893" i="202"/>
  <c r="AL894" i="202"/>
  <c r="AL895" i="202"/>
  <c r="AL896" i="202"/>
  <c r="AL897" i="202"/>
  <c r="AL898" i="202"/>
  <c r="AL899" i="202"/>
  <c r="AL900" i="202"/>
  <c r="AL901" i="202"/>
  <c r="AL902" i="202"/>
  <c r="AL903" i="202"/>
  <c r="AL904" i="202"/>
  <c r="AL905" i="202"/>
  <c r="AL906" i="202"/>
  <c r="AL907" i="202"/>
  <c r="AL908" i="202"/>
  <c r="AL909" i="202"/>
  <c r="AL910" i="202"/>
  <c r="AL911" i="202"/>
  <c r="AL912" i="202"/>
  <c r="AL913" i="202"/>
  <c r="AL914" i="202"/>
  <c r="AL915" i="202"/>
  <c r="AL916" i="202"/>
  <c r="AL917" i="202"/>
  <c r="AL918" i="202"/>
  <c r="AL919" i="202"/>
  <c r="AL920" i="202"/>
  <c r="AL921" i="202"/>
  <c r="AL922" i="202"/>
  <c r="AL923" i="202"/>
  <c r="AL924" i="202"/>
  <c r="AL925" i="202"/>
  <c r="AL926" i="202"/>
  <c r="AL927" i="202"/>
  <c r="AL928" i="202"/>
  <c r="AL929" i="202"/>
  <c r="AL930" i="202"/>
  <c r="AL931" i="202"/>
  <c r="AL932" i="202"/>
  <c r="AL933" i="202"/>
  <c r="AL934" i="202"/>
  <c r="AL935" i="202"/>
  <c r="AL936" i="202"/>
  <c r="AL937" i="202"/>
  <c r="AL938" i="202"/>
  <c r="AL939" i="202"/>
  <c r="AL940" i="202"/>
  <c r="AL941" i="202"/>
  <c r="AL942" i="202"/>
  <c r="AL943" i="202"/>
  <c r="AL944" i="202"/>
  <c r="AL945" i="202"/>
  <c r="AL946" i="202"/>
  <c r="AL947" i="202"/>
  <c r="AL948" i="202"/>
  <c r="AL949" i="202"/>
  <c r="AL950" i="202"/>
  <c r="AL951" i="202"/>
  <c r="AL952" i="202"/>
  <c r="AL953" i="202"/>
  <c r="AL954" i="202"/>
  <c r="AL955" i="202"/>
  <c r="AL956" i="202"/>
  <c r="AL957" i="202"/>
  <c r="AL958" i="202"/>
  <c r="AL959" i="202"/>
  <c r="AL960" i="202"/>
  <c r="AL961" i="202"/>
  <c r="AL962" i="202"/>
  <c r="AL963" i="202"/>
  <c r="AL964" i="202"/>
  <c r="AL965" i="202"/>
  <c r="AL966" i="202"/>
  <c r="AL967" i="202"/>
  <c r="AL968" i="202"/>
  <c r="AL969" i="202"/>
  <c r="AL970" i="202"/>
  <c r="AL971" i="202"/>
  <c r="AL972" i="202"/>
  <c r="AL973" i="202"/>
  <c r="AL974" i="202"/>
  <c r="AL975" i="202"/>
  <c r="AL976" i="202"/>
  <c r="AL977" i="202"/>
  <c r="AL978" i="202"/>
  <c r="AL979" i="202"/>
  <c r="AL980" i="202"/>
  <c r="AL981" i="202"/>
  <c r="AL982" i="202"/>
  <c r="AL983" i="202"/>
  <c r="AL984" i="202"/>
  <c r="AL985" i="202"/>
  <c r="AL986" i="202"/>
  <c r="AL987" i="202"/>
  <c r="AL988" i="202"/>
  <c r="AL989" i="202"/>
  <c r="AL990" i="202"/>
  <c r="AL991" i="202"/>
  <c r="AL992" i="202"/>
  <c r="AL993" i="202"/>
  <c r="AL994" i="202"/>
  <c r="AL995" i="202"/>
  <c r="AL996" i="202"/>
  <c r="AL997" i="202"/>
  <c r="AL998" i="202"/>
  <c r="AL999" i="202"/>
  <c r="AL1000" i="202"/>
  <c r="AL1001" i="202"/>
  <c r="AL1002" i="202"/>
  <c r="AL1003" i="202"/>
  <c r="AL1004" i="202"/>
  <c r="AL1005" i="202"/>
  <c r="AL1006" i="202"/>
  <c r="AL1007" i="202"/>
  <c r="AL1008" i="202"/>
  <c r="AL1009" i="202"/>
  <c r="AL1010" i="202"/>
  <c r="AL1011" i="202"/>
  <c r="AL1012" i="202"/>
  <c r="AL1013" i="202"/>
  <c r="AL1014" i="202"/>
  <c r="AL1015" i="202"/>
  <c r="AL1016" i="202"/>
  <c r="AL1017" i="202"/>
  <c r="AL1018" i="202"/>
  <c r="AL1019" i="202"/>
  <c r="AL1020" i="202"/>
  <c r="AL1021" i="202"/>
  <c r="AL1022" i="202"/>
  <c r="AL1023" i="202"/>
  <c r="AL1024" i="202"/>
  <c r="AL1025" i="202"/>
  <c r="AL1026" i="202"/>
  <c r="AL1027" i="202"/>
  <c r="AL1028" i="202"/>
  <c r="AL1029" i="202"/>
  <c r="AL1030" i="202"/>
  <c r="AL1031" i="202"/>
  <c r="AL1032" i="202"/>
  <c r="AL1033" i="202"/>
  <c r="AL1034" i="202"/>
  <c r="AL1035" i="202"/>
  <c r="AL1036" i="202"/>
  <c r="AL1037" i="202"/>
  <c r="AL1038" i="202"/>
  <c r="AL1039" i="202"/>
  <c r="AL1040" i="202"/>
  <c r="AL1041" i="202"/>
  <c r="AL1042" i="202"/>
  <c r="AL1043" i="202"/>
  <c r="AL1044" i="202"/>
  <c r="AL1045" i="202"/>
  <c r="AL1046" i="202"/>
  <c r="AL1047" i="202"/>
  <c r="AL1048" i="202"/>
  <c r="AL1049" i="202"/>
  <c r="AL1050" i="202"/>
  <c r="AL1051" i="202"/>
  <c r="AL1052" i="202"/>
  <c r="AL1053" i="202"/>
  <c r="AL1054" i="202"/>
  <c r="AL1055" i="202"/>
  <c r="AL1056" i="202"/>
  <c r="AL1057" i="202"/>
  <c r="AL1058" i="202"/>
  <c r="AL1059" i="202"/>
  <c r="AL1060" i="202"/>
  <c r="AL1061" i="202"/>
  <c r="AL1062" i="202"/>
  <c r="AL1063" i="202"/>
  <c r="AL1064" i="202"/>
  <c r="AL1065" i="202"/>
  <c r="AL1066" i="202"/>
  <c r="AL1067" i="202"/>
  <c r="AL1068" i="202"/>
  <c r="AL1069" i="202"/>
  <c r="AL1070" i="202"/>
  <c r="AL1071" i="202"/>
  <c r="AL1072" i="202"/>
  <c r="AL1073" i="202"/>
  <c r="AL1074" i="202"/>
  <c r="AL1075" i="202"/>
  <c r="AL1076" i="202"/>
  <c r="AL1077" i="202"/>
  <c r="AL1078" i="202"/>
  <c r="AL1079" i="202"/>
  <c r="AL1080" i="202"/>
  <c r="AL1081" i="202"/>
  <c r="AL1082" i="202"/>
  <c r="AL1083" i="202"/>
  <c r="AL1084" i="202"/>
  <c r="AL1085" i="202"/>
  <c r="AL1086" i="202"/>
  <c r="AL1087" i="202"/>
  <c r="AL1088" i="202"/>
  <c r="AL1089" i="202"/>
  <c r="AL1090" i="202"/>
  <c r="AL1091" i="202"/>
  <c r="AL1092" i="202"/>
  <c r="AL1093" i="202"/>
  <c r="AL1094" i="202"/>
  <c r="AL1095" i="202"/>
  <c r="AL1096" i="202"/>
  <c r="AL1097" i="202"/>
  <c r="AL1098" i="202"/>
  <c r="AL1099" i="202"/>
  <c r="AL1100" i="202"/>
  <c r="AL1101" i="202"/>
  <c r="AL1102" i="202"/>
  <c r="AL1103" i="202"/>
  <c r="AL1104" i="202"/>
  <c r="AL1105" i="202"/>
  <c r="AL1106" i="202"/>
  <c r="AL1107" i="202"/>
  <c r="AL1108" i="202"/>
  <c r="AL1109" i="202"/>
  <c r="AL1110" i="202"/>
  <c r="AL1111" i="202"/>
  <c r="AL1112" i="202"/>
  <c r="AL1113" i="202"/>
  <c r="AL1114" i="202"/>
  <c r="AL1115" i="202"/>
  <c r="AL1116" i="202"/>
  <c r="AL1117" i="202"/>
  <c r="AL1118" i="202"/>
  <c r="AL1119" i="202"/>
  <c r="AL1120" i="202"/>
  <c r="AL1121" i="202"/>
  <c r="AL1122" i="202"/>
  <c r="AL1123" i="202"/>
  <c r="AL1124" i="202"/>
  <c r="AL1125" i="202"/>
  <c r="AL1126" i="202"/>
  <c r="AL1127" i="202"/>
  <c r="AL1128" i="202"/>
  <c r="AL1129" i="202"/>
  <c r="AL1130" i="202"/>
  <c r="AL1131" i="202"/>
  <c r="AL1132" i="202"/>
  <c r="AL1133" i="202"/>
  <c r="AL1134" i="202"/>
  <c r="AL1135" i="202"/>
  <c r="AL1136" i="202"/>
  <c r="AL1137" i="202"/>
  <c r="AL1138" i="202"/>
  <c r="AL1139" i="202"/>
  <c r="AL1140" i="202"/>
  <c r="AL1141" i="202"/>
  <c r="AL1142" i="202"/>
  <c r="AL1143" i="202"/>
  <c r="AL1144" i="202"/>
  <c r="AL1145" i="202"/>
  <c r="AL1146" i="202"/>
  <c r="AL1147" i="202"/>
  <c r="AL1148" i="202"/>
  <c r="AL1149" i="202"/>
  <c r="AL1150" i="202"/>
  <c r="AL1151" i="202"/>
  <c r="AL1152" i="202"/>
  <c r="AL1153" i="202"/>
  <c r="AL1154" i="202"/>
  <c r="AL1155" i="202"/>
  <c r="AL1156" i="202"/>
  <c r="AL1157" i="202"/>
  <c r="AL1158" i="202"/>
  <c r="AL1159" i="202"/>
  <c r="AL1160" i="202"/>
  <c r="AL1161" i="202"/>
  <c r="AL1162" i="202"/>
  <c r="AL1163" i="202"/>
  <c r="AL1164" i="202"/>
  <c r="AL1165" i="202"/>
  <c r="AL1166" i="202"/>
  <c r="AL1167" i="202"/>
  <c r="AL1168" i="202"/>
  <c r="AL1169" i="202"/>
  <c r="AL1170" i="202"/>
  <c r="AL1171" i="202"/>
  <c r="AL1172" i="202"/>
  <c r="AL1173" i="202"/>
  <c r="AL1174" i="202"/>
  <c r="AL1175" i="202"/>
  <c r="AL1176" i="202"/>
  <c r="AL1177" i="202"/>
  <c r="AL1178" i="202"/>
  <c r="AL1179" i="202"/>
  <c r="AL1180" i="202"/>
  <c r="AL1181" i="202"/>
  <c r="AL1182" i="202"/>
  <c r="AL1183" i="202"/>
  <c r="AL1184" i="202"/>
  <c r="AL1185" i="202"/>
  <c r="AL1186" i="202"/>
  <c r="AL1187" i="202"/>
  <c r="AL1188" i="202"/>
  <c r="AL1189" i="202"/>
  <c r="AL1190" i="202"/>
  <c r="AL1191" i="202"/>
  <c r="AL1192" i="202"/>
  <c r="AL1193" i="202"/>
  <c r="AL1194" i="202"/>
  <c r="AL1195" i="202"/>
  <c r="AL1196" i="202"/>
  <c r="AL1197" i="202"/>
  <c r="AL1198" i="202"/>
  <c r="AL1199" i="202"/>
  <c r="AL1200" i="202"/>
  <c r="AL1201" i="202"/>
  <c r="AL1202" i="202"/>
  <c r="AL1203" i="202"/>
  <c r="AL1204" i="202"/>
  <c r="AL1205" i="202"/>
  <c r="AL1206" i="202"/>
  <c r="AL1207" i="202"/>
  <c r="AL1208" i="202"/>
  <c r="AL1209" i="202"/>
  <c r="AL1210" i="202"/>
  <c r="AL1211" i="202"/>
  <c r="AL1212" i="202"/>
  <c r="AL1213" i="202"/>
  <c r="AL1214" i="202"/>
  <c r="AL1215" i="202"/>
  <c r="AL1216" i="202"/>
  <c r="AL1217" i="202"/>
  <c r="AL1218" i="202"/>
  <c r="AL1219" i="202"/>
  <c r="AL1220" i="202"/>
  <c r="AL1221" i="202"/>
  <c r="AL1222" i="202"/>
  <c r="AL1223" i="202"/>
  <c r="AL1224" i="202"/>
  <c r="AL1225" i="202"/>
  <c r="AL1226" i="202"/>
  <c r="AL1227" i="202"/>
  <c r="AL1228" i="202"/>
  <c r="AL1229" i="202"/>
  <c r="AL1230" i="202"/>
  <c r="AL1231" i="202"/>
  <c r="AL1232" i="202"/>
  <c r="AL1233" i="202"/>
  <c r="AL1234" i="202"/>
  <c r="AL1235" i="202"/>
  <c r="AL1236" i="202"/>
  <c r="AL1237" i="202"/>
  <c r="AL1238" i="202"/>
  <c r="AL1239" i="202"/>
  <c r="AL1240" i="202"/>
  <c r="AL1241" i="202"/>
  <c r="AL1242" i="202"/>
  <c r="AL1243" i="202"/>
  <c r="AL1244" i="202"/>
  <c r="AL1245" i="202"/>
  <c r="AL1246" i="202"/>
  <c r="AL1247" i="202"/>
  <c r="AL1248" i="202"/>
  <c r="AL1249" i="202"/>
  <c r="AL1250" i="202"/>
  <c r="AL1251" i="202"/>
  <c r="AL1252" i="202"/>
  <c r="AL1253" i="202"/>
  <c r="AL1254" i="202"/>
  <c r="AL1255" i="202"/>
  <c r="AL1256" i="202"/>
  <c r="AL1257" i="202"/>
  <c r="AL1258" i="202"/>
  <c r="AL1259" i="202"/>
  <c r="AL1260" i="202"/>
  <c r="AL1261" i="202"/>
  <c r="AL1262" i="202"/>
  <c r="AL1263" i="202"/>
  <c r="AL1264" i="202"/>
  <c r="AL1265" i="202"/>
  <c r="AL1266" i="202"/>
  <c r="AL1267" i="202"/>
  <c r="AL1268" i="202"/>
  <c r="AL1269" i="202"/>
  <c r="AL1270" i="202"/>
  <c r="AL1271" i="202"/>
  <c r="AL1272" i="202"/>
  <c r="AL1273" i="202"/>
  <c r="AL1274" i="202"/>
  <c r="AL1275" i="202"/>
  <c r="AL1276" i="202"/>
  <c r="AL1277" i="202"/>
  <c r="AL1278" i="202"/>
  <c r="AL1279" i="202"/>
  <c r="AL1280" i="202"/>
  <c r="AL1281" i="202"/>
  <c r="AL1282" i="202"/>
  <c r="AL1283" i="202"/>
  <c r="AL1284" i="202"/>
  <c r="AL1285" i="202"/>
  <c r="AL1286" i="202"/>
  <c r="AL1287" i="202"/>
  <c r="AL1288" i="202"/>
  <c r="AL1289" i="202"/>
  <c r="AL1290" i="202"/>
  <c r="AL1291" i="202"/>
  <c r="AL1292" i="202"/>
  <c r="AL1293" i="202"/>
  <c r="AL1294" i="202"/>
  <c r="AL1295" i="202"/>
  <c r="AL1296" i="202"/>
  <c r="AL1297" i="202"/>
  <c r="AL1298" i="202"/>
  <c r="AL1299" i="202"/>
  <c r="AL1300" i="202"/>
  <c r="AL1301" i="202"/>
  <c r="AL1302" i="202"/>
  <c r="AL1303" i="202"/>
  <c r="AL1304" i="202"/>
  <c r="AL1305" i="202"/>
  <c r="AL1306" i="202"/>
  <c r="AL1307" i="202"/>
  <c r="AL1308" i="202"/>
  <c r="AL1309" i="202"/>
  <c r="AL1310" i="202"/>
  <c r="AL1311" i="202"/>
  <c r="AL1312" i="202"/>
  <c r="AL1313" i="202"/>
  <c r="AL1314" i="202"/>
  <c r="AL1315" i="202"/>
  <c r="AL1316" i="202"/>
  <c r="AL1317" i="202"/>
  <c r="AL1318" i="202"/>
  <c r="AL1319" i="202"/>
  <c r="AL1320" i="202"/>
  <c r="AL1321" i="202"/>
  <c r="AL1322" i="202"/>
  <c r="AL1323" i="202"/>
  <c r="AL1324" i="202"/>
  <c r="AL1325" i="202"/>
  <c r="AL1326" i="202"/>
  <c r="AL1327" i="202"/>
  <c r="AL1328" i="202"/>
  <c r="AL1329" i="202"/>
  <c r="AL1330" i="202"/>
  <c r="AL1331" i="202"/>
  <c r="AL1332" i="202"/>
  <c r="AL1333" i="202"/>
  <c r="AL1334" i="202"/>
  <c r="AL1335" i="202"/>
  <c r="AL1336" i="202"/>
  <c r="AL1337" i="202"/>
  <c r="AL1338" i="202"/>
  <c r="AL1339" i="202"/>
  <c r="AL1340" i="202"/>
  <c r="AL1341" i="202"/>
  <c r="AL1342" i="202"/>
  <c r="AL1343" i="202"/>
  <c r="AL1344" i="202"/>
  <c r="AL1345" i="202"/>
  <c r="AL1346" i="202"/>
  <c r="AL1347" i="202"/>
  <c r="AL1348" i="202"/>
  <c r="AL1349" i="202"/>
  <c r="AL1350" i="202"/>
  <c r="AL1351" i="202"/>
  <c r="AL1352" i="202"/>
  <c r="AL1353" i="202"/>
  <c r="AL1354" i="202"/>
  <c r="AL1355" i="202"/>
  <c r="AL1356" i="202"/>
  <c r="AL1357" i="202"/>
  <c r="AL1358" i="202"/>
  <c r="AL1359" i="202"/>
  <c r="AL1360" i="202"/>
  <c r="AL1361" i="202"/>
  <c r="AL1362" i="202"/>
  <c r="AL1363" i="202"/>
  <c r="AL1364" i="202"/>
  <c r="AL1365" i="202"/>
  <c r="AL1366" i="202"/>
  <c r="AL1367" i="202"/>
  <c r="AL1368" i="202"/>
  <c r="AL1369" i="202"/>
  <c r="AL1370" i="202"/>
  <c r="AL1371" i="202"/>
  <c r="AL1372" i="202"/>
  <c r="AL1373" i="202"/>
  <c r="AL1374" i="202"/>
  <c r="AL1375" i="202"/>
  <c r="AL1376" i="202"/>
  <c r="AL1377" i="202"/>
  <c r="AL1378" i="202"/>
  <c r="AL1379" i="202"/>
  <c r="AL1380" i="202"/>
  <c r="AL1381" i="202"/>
  <c r="AL1382" i="202"/>
  <c r="AL1383" i="202"/>
  <c r="AL1384" i="202"/>
  <c r="AL1385" i="202"/>
  <c r="AL1386" i="202"/>
  <c r="AL1387" i="202"/>
  <c r="AL1388" i="202"/>
  <c r="AL1389" i="202"/>
  <c r="AL1390" i="202"/>
  <c r="AL1391" i="202"/>
  <c r="AL1392" i="202"/>
  <c r="AL1393" i="202"/>
  <c r="AL1394" i="202"/>
  <c r="AL1395" i="202"/>
  <c r="AL1396" i="202"/>
  <c r="AL1397" i="202"/>
  <c r="AL1398" i="202"/>
  <c r="AL1399" i="202"/>
  <c r="AL1400" i="202"/>
  <c r="AL1401" i="202"/>
  <c r="AL1402" i="202"/>
  <c r="AL1403" i="202"/>
  <c r="AL1404" i="202"/>
  <c r="AL1405" i="202"/>
  <c r="AL1406" i="202"/>
  <c r="AL1407" i="202"/>
  <c r="AL1408" i="202"/>
  <c r="AL1409" i="202"/>
  <c r="AL1410" i="202"/>
  <c r="AL1411" i="202"/>
  <c r="AL1412" i="202"/>
  <c r="AL1413" i="202"/>
  <c r="AL1414" i="202"/>
  <c r="AL1415" i="202"/>
  <c r="AL1416" i="202"/>
  <c r="AL1417" i="202"/>
  <c r="AL1418" i="202"/>
  <c r="AL1419" i="202"/>
  <c r="AL1420" i="202"/>
  <c r="AL1421" i="202"/>
  <c r="AL1422" i="202"/>
  <c r="AL1423" i="202"/>
  <c r="AL1424" i="202"/>
  <c r="AL1425" i="202"/>
  <c r="AL1426" i="202"/>
  <c r="AL1427" i="202"/>
  <c r="AL1428" i="202"/>
  <c r="AL1429" i="202"/>
  <c r="AL1430" i="202"/>
  <c r="AL1431" i="202"/>
  <c r="AL1432" i="202"/>
  <c r="AL1433" i="202"/>
  <c r="AL1434" i="202"/>
  <c r="AL1435" i="202"/>
  <c r="AL1436" i="202"/>
  <c r="AL1437" i="202"/>
  <c r="AL1438" i="202"/>
  <c r="AL1439" i="202"/>
  <c r="AL1440" i="202"/>
  <c r="AL1441" i="202"/>
  <c r="AL1442" i="202"/>
  <c r="AL1443" i="202"/>
  <c r="AL1444" i="202"/>
  <c r="AL1445" i="202"/>
  <c r="AL1446" i="202"/>
  <c r="AL1447" i="202"/>
  <c r="AL1448" i="202"/>
  <c r="AL1449" i="202"/>
  <c r="AL1450" i="202"/>
  <c r="AL1451" i="202"/>
  <c r="AL1452" i="202"/>
  <c r="AL1453" i="202"/>
  <c r="AL1454" i="202"/>
  <c r="AL1455" i="202"/>
  <c r="AL1456" i="202"/>
  <c r="AL1457" i="202"/>
  <c r="AL1458" i="202"/>
  <c r="AL1459" i="202"/>
  <c r="AL1460" i="202"/>
  <c r="AL1461" i="202"/>
  <c r="AL1462" i="202"/>
  <c r="AL1463" i="202"/>
  <c r="AL1464" i="202"/>
  <c r="AL1465" i="202"/>
  <c r="AL1466" i="202"/>
  <c r="AL1467" i="202"/>
  <c r="AL1468" i="202"/>
  <c r="AL1469" i="202"/>
  <c r="AL1470" i="202"/>
  <c r="AL1471" i="202"/>
  <c r="AL1472" i="202"/>
  <c r="AL1473" i="202"/>
  <c r="AL1474" i="202"/>
  <c r="AL1475" i="202"/>
  <c r="AL1476" i="202"/>
  <c r="AL1477" i="202"/>
  <c r="AL1478" i="202"/>
  <c r="AL1479" i="202"/>
  <c r="AL1480" i="202"/>
  <c r="AL1481" i="202"/>
  <c r="AL1482" i="202"/>
  <c r="AL1483" i="202"/>
  <c r="AL1484" i="202"/>
  <c r="AL1485" i="202"/>
  <c r="AL1486" i="202"/>
  <c r="AL1487" i="202"/>
  <c r="AL1488" i="202"/>
  <c r="AL1489" i="202"/>
  <c r="AL1490" i="202"/>
  <c r="AL1491" i="202"/>
  <c r="AL1492" i="202"/>
  <c r="AL1493" i="202"/>
  <c r="AL1494" i="202"/>
  <c r="AL1495" i="202"/>
  <c r="AL1496" i="202"/>
  <c r="AL1497" i="202"/>
  <c r="AL1498" i="202"/>
  <c r="AL1499" i="202"/>
  <c r="AL1500" i="202"/>
  <c r="AL1501" i="202"/>
  <c r="AL1502" i="202"/>
  <c r="AL1503" i="202"/>
  <c r="AL1504" i="202"/>
  <c r="AL1505" i="202"/>
  <c r="AL1506" i="202"/>
  <c r="AL1507" i="202"/>
  <c r="AL1508" i="202"/>
  <c r="AL1509" i="202"/>
  <c r="AL1510" i="202"/>
  <c r="AL1511" i="202"/>
  <c r="AL1512" i="202"/>
  <c r="AL1513" i="202"/>
  <c r="AL1514" i="202"/>
  <c r="AL1515" i="202"/>
  <c r="AL1516" i="202"/>
  <c r="AL1517" i="202"/>
  <c r="AL1518" i="202"/>
  <c r="AL1519" i="202"/>
  <c r="AL1520" i="202"/>
  <c r="AL1521" i="202"/>
  <c r="AL1522" i="202"/>
  <c r="AL1523" i="202"/>
  <c r="AL1524" i="202"/>
  <c r="AL1525" i="202"/>
  <c r="AL1526" i="202"/>
  <c r="AL1527" i="202"/>
  <c r="AL1528" i="202"/>
  <c r="AL1529" i="202"/>
  <c r="AL1530" i="202"/>
  <c r="AL1531" i="202"/>
  <c r="AL1532" i="202"/>
  <c r="AL1533" i="202"/>
  <c r="AL1534" i="202"/>
  <c r="AL1535" i="202"/>
  <c r="AL1536" i="202"/>
  <c r="AL1537" i="202"/>
  <c r="AL1538" i="202"/>
  <c r="AL1539" i="202"/>
  <c r="AL1540" i="202"/>
  <c r="AL1541" i="202"/>
  <c r="AL1542" i="202"/>
  <c r="AL1543" i="202"/>
  <c r="AL1544" i="202"/>
  <c r="AL1545" i="202"/>
  <c r="AL1546" i="202"/>
  <c r="AL1547" i="202"/>
  <c r="AL1548" i="202"/>
  <c r="AL1549" i="202"/>
  <c r="AL1550" i="202"/>
  <c r="AL1551" i="202"/>
  <c r="AL1552" i="202"/>
  <c r="AL1553" i="202"/>
  <c r="AL1554" i="202"/>
  <c r="AL1555" i="202"/>
  <c r="AL1556" i="202"/>
  <c r="AL1557" i="202"/>
  <c r="AL1558" i="202"/>
  <c r="AL1559" i="202"/>
  <c r="AL1560" i="202"/>
  <c r="AL1561" i="202"/>
  <c r="AL1562" i="202"/>
  <c r="AL1563" i="202"/>
  <c r="AL1564" i="202"/>
  <c r="AL1565" i="202"/>
  <c r="AL1566" i="202"/>
  <c r="AL1567" i="202"/>
  <c r="AL1568" i="202"/>
  <c r="AL1569" i="202"/>
  <c r="AL1570" i="202"/>
  <c r="AL1571" i="202"/>
  <c r="AL1572" i="202"/>
  <c r="AL1573" i="202"/>
  <c r="AL1574" i="202"/>
  <c r="AL1575" i="202"/>
  <c r="AL1576" i="202"/>
  <c r="AL1577" i="202"/>
  <c r="AL1578" i="202"/>
  <c r="AL1579" i="202"/>
  <c r="AL1580" i="202"/>
  <c r="AL1581" i="202"/>
  <c r="AL1582" i="202"/>
  <c r="AL1583" i="202"/>
  <c r="AL1584" i="202"/>
  <c r="AL1585" i="202"/>
  <c r="AL1586" i="202"/>
  <c r="AL1587" i="202"/>
  <c r="AL1588" i="202"/>
  <c r="AL1589" i="202"/>
  <c r="AL1590" i="202"/>
  <c r="AL1591" i="202"/>
  <c r="AL1592" i="202"/>
  <c r="AL1593" i="202"/>
  <c r="AL1594" i="202"/>
  <c r="AL1595" i="202"/>
  <c r="AL1596" i="202"/>
  <c r="AL1597" i="202"/>
  <c r="AL1598" i="202"/>
  <c r="AL1599" i="202"/>
  <c r="AL1600" i="202"/>
  <c r="AL1601" i="202"/>
  <c r="AL1602" i="202"/>
  <c r="AL1603" i="202"/>
  <c r="AL1604" i="202"/>
  <c r="AL1605" i="202"/>
  <c r="AL1606" i="202"/>
  <c r="AL1607" i="202"/>
  <c r="AL1608" i="202"/>
  <c r="AL1609" i="202"/>
  <c r="AL1610" i="202"/>
  <c r="AL1611" i="202"/>
  <c r="AL1612" i="202"/>
  <c r="AL1613" i="202"/>
  <c r="AL1614" i="202"/>
  <c r="AL1615" i="202"/>
  <c r="AL1616" i="202"/>
  <c r="AL1617" i="202"/>
  <c r="AL1618" i="202"/>
  <c r="AL1619" i="202"/>
  <c r="AL1620" i="202"/>
  <c r="AL1621" i="202"/>
  <c r="AL1622" i="202"/>
  <c r="AL1623" i="202"/>
  <c r="AL1624" i="202"/>
  <c r="AL1625" i="202"/>
  <c r="AL1626" i="202"/>
  <c r="AL1627" i="202"/>
  <c r="AL1628" i="202"/>
  <c r="AL1629" i="202"/>
  <c r="AL1630" i="202"/>
  <c r="AL1631" i="202"/>
  <c r="AL1632" i="202"/>
  <c r="AL1633" i="202"/>
  <c r="AL1634" i="202"/>
  <c r="AL1635" i="202"/>
  <c r="AL1636" i="202"/>
  <c r="AL1637" i="202"/>
  <c r="AL1638" i="202"/>
  <c r="AL1639" i="202"/>
  <c r="AL1640" i="202"/>
  <c r="AL1641" i="202"/>
  <c r="AL1642" i="202"/>
  <c r="AL1643" i="202"/>
  <c r="AL1644" i="202"/>
  <c r="AL1645" i="202"/>
  <c r="AL1646" i="202"/>
  <c r="AL1647" i="202"/>
  <c r="AL1648" i="202"/>
  <c r="AL1649" i="202"/>
  <c r="AL1650" i="202"/>
  <c r="AL1651" i="202"/>
  <c r="AL1652" i="202"/>
  <c r="AL1653" i="202"/>
  <c r="AL1654" i="202"/>
  <c r="AL1655" i="202"/>
  <c r="AL1656" i="202"/>
  <c r="AL1657" i="202"/>
  <c r="AL1658" i="202"/>
  <c r="AL1659" i="202"/>
  <c r="AL1660" i="202"/>
  <c r="AL1661" i="202"/>
  <c r="AL1662" i="202"/>
  <c r="AL1663" i="202"/>
  <c r="AL1664" i="202"/>
  <c r="AL1665" i="202"/>
  <c r="AL1666" i="202"/>
  <c r="AL1667" i="202"/>
  <c r="AL1668" i="202"/>
  <c r="AL1669" i="202"/>
  <c r="AL1670" i="202"/>
  <c r="AL1671" i="202"/>
  <c r="AL1672" i="202"/>
  <c r="AL1673" i="202"/>
  <c r="AL1674" i="202"/>
  <c r="AL1675" i="202"/>
  <c r="AL1676" i="202"/>
  <c r="AL1677" i="202"/>
  <c r="AL1678" i="202"/>
  <c r="AL1679" i="202"/>
  <c r="AL1680" i="202"/>
  <c r="AL1681" i="202"/>
  <c r="AL1682" i="202"/>
  <c r="AL1683" i="202"/>
  <c r="AL1684" i="202"/>
  <c r="AL1685" i="202"/>
  <c r="AL1686" i="202"/>
  <c r="AL1687" i="202"/>
  <c r="AL1688" i="202"/>
  <c r="AL1689" i="202"/>
  <c r="AL1690" i="202"/>
  <c r="AL1691" i="202"/>
  <c r="AL1692" i="202"/>
  <c r="AL1693" i="202"/>
  <c r="AL1694" i="202"/>
  <c r="AL1695" i="202"/>
  <c r="AL1696" i="202"/>
  <c r="AL1697" i="202"/>
  <c r="AL1698" i="202"/>
  <c r="AL1699" i="202"/>
  <c r="AL1700" i="202"/>
  <c r="AL1701" i="202"/>
  <c r="AL1702" i="202"/>
  <c r="AL1703" i="202"/>
  <c r="AL1704" i="202"/>
  <c r="AL1705" i="202"/>
  <c r="AL1706" i="202"/>
  <c r="AL1707" i="202"/>
  <c r="AL1708" i="202"/>
  <c r="AL1709" i="202"/>
  <c r="AL1710" i="202"/>
  <c r="AL1711" i="202"/>
  <c r="AL1712" i="202"/>
  <c r="AL1713" i="202"/>
  <c r="AL1714" i="202"/>
  <c r="AL1715" i="202"/>
  <c r="AL1716" i="202"/>
  <c r="AL1717" i="202"/>
  <c r="AL1718" i="202"/>
  <c r="AL1719" i="202"/>
  <c r="AL1720" i="202"/>
  <c r="AL1721" i="202"/>
  <c r="AL1722" i="202"/>
  <c r="AL1723" i="202"/>
  <c r="AL1724" i="202"/>
  <c r="AL1725" i="202"/>
  <c r="AL1726" i="202"/>
  <c r="AL1727" i="202"/>
  <c r="AL1728" i="202"/>
  <c r="AL1729" i="202"/>
  <c r="AL1730" i="202"/>
  <c r="AL1731" i="202"/>
  <c r="AL1732" i="202"/>
  <c r="AL1733" i="202"/>
  <c r="AL1734" i="202"/>
  <c r="AL1735" i="202"/>
  <c r="AL1736" i="202"/>
  <c r="AL1737" i="202"/>
  <c r="AL1738" i="202"/>
  <c r="AL1739" i="202"/>
  <c r="AL1740" i="202"/>
  <c r="AL1741" i="202"/>
  <c r="AL1742" i="202"/>
  <c r="AL1743" i="202"/>
  <c r="AL1744" i="202"/>
  <c r="AL1745" i="202"/>
  <c r="AL1746" i="202"/>
  <c r="AL1747" i="202"/>
  <c r="AL1748" i="202"/>
  <c r="AL1749" i="202"/>
  <c r="AL1750" i="202"/>
  <c r="AL1751" i="202"/>
  <c r="AL1752" i="202"/>
  <c r="AL1753" i="202"/>
  <c r="AL1754" i="202"/>
  <c r="AL1755" i="202"/>
  <c r="AL1756" i="202"/>
  <c r="AL1757" i="202"/>
  <c r="AL1758" i="202"/>
  <c r="AL1759" i="202"/>
  <c r="AL1760" i="202"/>
  <c r="AL1761" i="202"/>
  <c r="AL1762" i="202"/>
  <c r="AL1763" i="202"/>
  <c r="AL1764" i="202"/>
  <c r="AL1765" i="202"/>
  <c r="AL1766" i="202"/>
  <c r="AL1767" i="202"/>
  <c r="AL1768" i="202"/>
  <c r="AL1769" i="202"/>
  <c r="AL1770" i="202"/>
  <c r="AL1771" i="202"/>
  <c r="AL1772" i="202"/>
  <c r="AL1773" i="202"/>
  <c r="AL1774" i="202"/>
  <c r="AL1775" i="202"/>
  <c r="AL1776" i="202"/>
  <c r="AL1777" i="202"/>
  <c r="AL1778" i="202"/>
  <c r="AL1779" i="202"/>
  <c r="AL1780" i="202"/>
  <c r="AL1781" i="202"/>
  <c r="AL1782" i="202"/>
  <c r="AL1783" i="202"/>
  <c r="AL1784" i="202"/>
  <c r="AL1785" i="202"/>
  <c r="AL1786" i="202"/>
  <c r="AL1787" i="202"/>
  <c r="AL1788" i="202"/>
  <c r="AL1789" i="202"/>
  <c r="AL1790" i="202"/>
  <c r="AL1791" i="202"/>
  <c r="AL1792" i="202"/>
  <c r="AL1793" i="202"/>
  <c r="AL1794" i="202"/>
  <c r="AL1795" i="202"/>
  <c r="AL1796" i="202"/>
  <c r="AL1797" i="202"/>
  <c r="AL1798" i="202"/>
  <c r="AL1799" i="202"/>
  <c r="AL1800" i="202"/>
  <c r="AL1801" i="202"/>
  <c r="AL1802" i="202"/>
  <c r="AL1803" i="202"/>
  <c r="AL1804" i="202"/>
  <c r="AL1805" i="202"/>
  <c r="AL1806" i="202"/>
  <c r="AL1807" i="202"/>
  <c r="AL1808" i="202"/>
  <c r="AL1809" i="202"/>
  <c r="AL1810" i="202"/>
  <c r="AL1811" i="202"/>
  <c r="AL1812" i="202"/>
  <c r="AL1813" i="202"/>
  <c r="AL1814" i="202"/>
  <c r="AL1815" i="202"/>
  <c r="AL1816" i="202"/>
  <c r="AL1817" i="202"/>
  <c r="AL1818" i="202"/>
  <c r="AL1819" i="202"/>
  <c r="AL1820" i="202"/>
  <c r="AL1821" i="202"/>
  <c r="AL1822" i="202"/>
  <c r="AL1823" i="202"/>
  <c r="AL1824" i="202"/>
  <c r="AL1825" i="202"/>
  <c r="AL1826" i="202"/>
  <c r="AL1827" i="202"/>
  <c r="AL1828" i="202"/>
  <c r="AL1829" i="202"/>
  <c r="AL1830" i="202"/>
  <c r="AL1831" i="202"/>
  <c r="AL1832" i="202"/>
  <c r="AL1833" i="202"/>
  <c r="AL1834" i="202"/>
  <c r="AL1835" i="202"/>
  <c r="AL1836" i="202"/>
  <c r="AL1837" i="202"/>
  <c r="AL1838" i="202"/>
  <c r="AL1839" i="202"/>
  <c r="AL1840" i="202"/>
  <c r="AL1841" i="202"/>
  <c r="AL1842" i="202"/>
  <c r="AL1843" i="202"/>
  <c r="AL1844" i="202"/>
  <c r="AL1845" i="202"/>
  <c r="AL1846" i="202"/>
  <c r="AL1847" i="202"/>
  <c r="AL1848" i="202"/>
  <c r="AL1849" i="202"/>
  <c r="AL1850" i="202"/>
  <c r="AL1851" i="202"/>
  <c r="AL1852" i="202"/>
  <c r="AL1853" i="202"/>
  <c r="AL1854" i="202"/>
  <c r="AL1855" i="202"/>
  <c r="AL1856" i="202"/>
  <c r="AL1857" i="202"/>
  <c r="AL1858" i="202"/>
  <c r="AL1859" i="202"/>
  <c r="AL1860" i="202"/>
  <c r="AL1861" i="202"/>
  <c r="AL1862" i="202"/>
  <c r="AL1863" i="202"/>
  <c r="AL1864" i="202"/>
  <c r="AL1865" i="202"/>
  <c r="AL1866" i="202"/>
  <c r="AL1867" i="202"/>
  <c r="AL1868" i="202"/>
  <c r="AL1869" i="202"/>
  <c r="AL1870" i="202"/>
  <c r="AL1871" i="202"/>
  <c r="AL1872" i="202"/>
  <c r="AL1873" i="202"/>
  <c r="AL1874" i="202"/>
  <c r="AL1875" i="202"/>
  <c r="AL1876" i="202"/>
  <c r="AL1877" i="202"/>
  <c r="AL1878" i="202"/>
  <c r="AL1879" i="202"/>
  <c r="AL1880" i="202"/>
  <c r="AL1881" i="202"/>
  <c r="AL1882" i="202"/>
  <c r="AL1883" i="202"/>
  <c r="AL1884" i="202"/>
  <c r="AL1885" i="202"/>
  <c r="AL1886" i="202"/>
  <c r="AL1887" i="202"/>
  <c r="AL1888" i="202"/>
  <c r="AL1889" i="202"/>
  <c r="AL1890" i="202"/>
  <c r="AL1891" i="202"/>
  <c r="AL1892" i="202"/>
  <c r="AL1893" i="202"/>
  <c r="AL1894" i="202"/>
  <c r="AL1895" i="202"/>
  <c r="AL1896" i="202"/>
  <c r="AL1897" i="202"/>
  <c r="AL1898" i="202"/>
  <c r="AL1899" i="202"/>
  <c r="AL1900" i="202"/>
  <c r="AL1901" i="202"/>
  <c r="AL1902" i="202"/>
  <c r="AL1903" i="202"/>
  <c r="AL1904" i="202"/>
  <c r="AL1905" i="202"/>
  <c r="AL1906" i="202"/>
  <c r="AL1907" i="202"/>
  <c r="AL1908" i="202"/>
  <c r="AL1909" i="202"/>
  <c r="AL1910" i="202"/>
  <c r="AL1911" i="202"/>
  <c r="AL1912" i="202"/>
  <c r="AL1913" i="202"/>
  <c r="AL1914" i="202"/>
  <c r="AL1915" i="202"/>
  <c r="AL1916" i="202"/>
  <c r="AL1917" i="202"/>
  <c r="AL1918" i="202"/>
  <c r="AL1919" i="202"/>
  <c r="AL1920" i="202"/>
  <c r="AL1921" i="202"/>
  <c r="AL1922" i="202"/>
  <c r="AL1923" i="202"/>
  <c r="AL1924" i="202"/>
  <c r="AL1925" i="202"/>
  <c r="AL1926" i="202"/>
  <c r="AL1927" i="202"/>
  <c r="AL1928" i="202"/>
  <c r="AL1929" i="202"/>
  <c r="AL1930" i="202"/>
  <c r="AL1931" i="202"/>
  <c r="AL1932" i="202"/>
  <c r="AL1933" i="202"/>
  <c r="AL1934" i="202"/>
  <c r="AL1935" i="202"/>
  <c r="AL1936" i="202"/>
  <c r="AL1937" i="202"/>
  <c r="AL1938" i="202"/>
  <c r="AL1939" i="202"/>
  <c r="AL1940" i="202"/>
  <c r="AL1941" i="202"/>
  <c r="AL1942" i="202"/>
  <c r="AL1943" i="202"/>
  <c r="AL1944" i="202"/>
  <c r="AL1945" i="202"/>
  <c r="AL1946" i="202"/>
  <c r="AL1947" i="202"/>
  <c r="AL1948" i="202"/>
  <c r="AL1949" i="202"/>
  <c r="AL1950" i="202"/>
  <c r="AL1951" i="202"/>
  <c r="AL1952" i="202"/>
  <c r="AL1953" i="202"/>
  <c r="AL1954" i="202"/>
  <c r="AL1955" i="202"/>
  <c r="AL1956" i="202"/>
  <c r="AL1957" i="202"/>
  <c r="AL1958" i="202"/>
  <c r="AL1959" i="202"/>
  <c r="AL1960" i="202"/>
  <c r="AL1961" i="202"/>
  <c r="AL1962" i="202"/>
  <c r="AL1963" i="202"/>
  <c r="AL1964" i="202"/>
  <c r="AL1965" i="202"/>
  <c r="AL1966" i="202"/>
  <c r="AL1967" i="202"/>
  <c r="AL1968" i="202"/>
  <c r="AL1969" i="202"/>
  <c r="AL1970" i="202"/>
  <c r="AL1971" i="202"/>
  <c r="AL1972" i="202"/>
  <c r="AL1973" i="202"/>
  <c r="AL1974" i="202"/>
  <c r="AL1975" i="202"/>
  <c r="AL1976" i="202"/>
  <c r="AL1977" i="202"/>
  <c r="AL1978" i="202"/>
  <c r="AL1979" i="202"/>
  <c r="AL1980" i="202"/>
  <c r="AL1981" i="202"/>
  <c r="AL1982" i="202"/>
  <c r="AL1983" i="202"/>
  <c r="AL1984" i="202"/>
  <c r="AL1985" i="202"/>
  <c r="AL1986" i="202"/>
  <c r="AL1987" i="202"/>
  <c r="AL1988" i="202"/>
  <c r="AL1989" i="202"/>
  <c r="AL1990" i="202"/>
  <c r="AL1991" i="202"/>
  <c r="AL1992" i="202"/>
  <c r="AL1993" i="202"/>
  <c r="AL1994" i="202"/>
  <c r="AL1995" i="202"/>
  <c r="AL1996" i="202"/>
  <c r="AL1997" i="202"/>
  <c r="AL1998" i="202"/>
  <c r="AL1999" i="202"/>
  <c r="AL2000" i="202"/>
  <c r="AL2001" i="202"/>
  <c r="AL2002" i="202"/>
  <c r="AL2003" i="202"/>
  <c r="AL2004" i="202"/>
  <c r="AL2005" i="202"/>
  <c r="AL2006" i="202"/>
  <c r="AL2007" i="202"/>
  <c r="AL2008" i="202"/>
  <c r="AL2009" i="202"/>
  <c r="AL2010" i="202"/>
  <c r="AL2011" i="202"/>
  <c r="AL2012" i="202"/>
  <c r="AL2013" i="202"/>
  <c r="AL2014" i="202"/>
  <c r="AL2015" i="202"/>
  <c r="AL2016" i="202"/>
  <c r="AL2017" i="202"/>
  <c r="AL2018" i="202"/>
  <c r="AL2019" i="202"/>
  <c r="AL2020" i="202"/>
  <c r="AL2021" i="202"/>
  <c r="AL2022" i="202"/>
  <c r="AL2023" i="202"/>
  <c r="AL2024" i="202"/>
  <c r="AL2025" i="202"/>
  <c r="AL2026" i="202"/>
  <c r="AL2027" i="202"/>
  <c r="AL2028" i="202"/>
  <c r="AL2029" i="202"/>
  <c r="AL2030" i="202"/>
  <c r="AL2031" i="202"/>
  <c r="AL2032" i="202"/>
  <c r="AL2033" i="202"/>
  <c r="AL2034" i="202"/>
  <c r="AL2035" i="202"/>
  <c r="AL2036" i="202"/>
  <c r="AL2037" i="202"/>
  <c r="AL2038" i="202"/>
  <c r="AL2039" i="202"/>
  <c r="AL2040" i="202"/>
  <c r="AL2041" i="202"/>
  <c r="AL2042" i="202"/>
  <c r="AL2043" i="202"/>
  <c r="AL2044" i="202"/>
  <c r="AL2045" i="202"/>
  <c r="AL2046" i="202"/>
  <c r="AL2047" i="202"/>
  <c r="AL2048" i="202"/>
  <c r="X2" i="202"/>
  <c r="X3" i="202"/>
  <c r="X4" i="202"/>
  <c r="X5" i="202"/>
  <c r="X6" i="202"/>
  <c r="X7" i="202"/>
  <c r="X8" i="202"/>
  <c r="X9" i="202"/>
  <c r="X10" i="202"/>
  <c r="X11" i="202"/>
  <c r="X12" i="202"/>
  <c r="X13" i="202"/>
  <c r="X14" i="202"/>
  <c r="X15" i="202"/>
  <c r="X16" i="202"/>
  <c r="X17" i="202"/>
  <c r="X18" i="202"/>
  <c r="X19" i="202"/>
  <c r="X20" i="202"/>
  <c r="X21" i="202"/>
  <c r="X22" i="202"/>
  <c r="X23" i="202"/>
  <c r="X24" i="202"/>
  <c r="X25" i="202"/>
  <c r="X26" i="202"/>
  <c r="X27" i="202"/>
  <c r="X28" i="202"/>
  <c r="X29" i="202"/>
  <c r="X30" i="202"/>
  <c r="X31" i="202"/>
  <c r="X32" i="202"/>
  <c r="X33" i="202"/>
  <c r="X34" i="202"/>
  <c r="X35" i="202"/>
  <c r="X36" i="202"/>
  <c r="X37" i="202"/>
  <c r="X38" i="202"/>
  <c r="X39" i="202"/>
  <c r="X40" i="202"/>
  <c r="X41" i="202"/>
  <c r="X42" i="202"/>
  <c r="X43" i="202"/>
  <c r="X44" i="202"/>
  <c r="X45" i="202"/>
  <c r="X46" i="202"/>
  <c r="X47" i="202"/>
  <c r="X48" i="202"/>
  <c r="X49" i="202"/>
  <c r="X50" i="202"/>
  <c r="X51" i="202"/>
  <c r="X52" i="202"/>
  <c r="X53" i="202"/>
  <c r="X54" i="202"/>
  <c r="X55" i="202"/>
  <c r="X56" i="202"/>
  <c r="X57" i="202"/>
  <c r="X58" i="202"/>
  <c r="X59" i="202"/>
  <c r="X60" i="202"/>
  <c r="X61" i="202"/>
  <c r="X62" i="202"/>
  <c r="X63" i="202"/>
  <c r="X64" i="202"/>
  <c r="X65" i="202"/>
  <c r="X66" i="202"/>
  <c r="X67" i="202"/>
  <c r="X68" i="202"/>
  <c r="X69" i="202"/>
  <c r="X70" i="202"/>
  <c r="X71" i="202"/>
  <c r="X72" i="202"/>
  <c r="X73" i="202"/>
  <c r="X74" i="202"/>
  <c r="X75" i="202"/>
  <c r="X76" i="202"/>
  <c r="X77" i="202"/>
  <c r="X78" i="202"/>
  <c r="X79" i="202"/>
  <c r="X80" i="202"/>
  <c r="X81" i="202"/>
  <c r="X82" i="202"/>
  <c r="X83" i="202"/>
  <c r="X84" i="202"/>
  <c r="X85" i="202"/>
  <c r="X86" i="202"/>
  <c r="X87" i="202"/>
  <c r="X88" i="202"/>
  <c r="X89" i="202"/>
  <c r="X90" i="202"/>
  <c r="X91" i="202"/>
  <c r="X92" i="202"/>
  <c r="X93" i="202"/>
  <c r="X94" i="202"/>
  <c r="X95" i="202"/>
  <c r="X96" i="202"/>
  <c r="X97" i="202"/>
  <c r="X98" i="202"/>
  <c r="X99" i="202"/>
  <c r="X100" i="202"/>
  <c r="X101" i="202"/>
  <c r="X102" i="202"/>
  <c r="X103" i="202"/>
  <c r="X104" i="202"/>
  <c r="X105" i="202"/>
  <c r="X106" i="202"/>
  <c r="X107" i="202"/>
  <c r="X108" i="202"/>
  <c r="X109" i="202"/>
  <c r="X110" i="202"/>
  <c r="X111" i="202"/>
  <c r="X112" i="202"/>
  <c r="X113" i="202"/>
  <c r="X114" i="202"/>
  <c r="X115" i="202"/>
  <c r="X116" i="202"/>
  <c r="X117" i="202"/>
  <c r="X118" i="202"/>
  <c r="X119" i="202"/>
  <c r="X120" i="202"/>
  <c r="X121" i="202"/>
  <c r="X122" i="202"/>
  <c r="X123" i="202"/>
  <c r="X124" i="202"/>
  <c r="X125" i="202"/>
  <c r="X126" i="202"/>
  <c r="X127" i="202"/>
  <c r="X128" i="202"/>
  <c r="X129" i="202"/>
  <c r="X130" i="202"/>
  <c r="X131" i="202"/>
  <c r="X132" i="202"/>
  <c r="X133" i="202"/>
  <c r="X134" i="202"/>
  <c r="X135" i="202"/>
  <c r="X136" i="202"/>
  <c r="X137" i="202"/>
  <c r="X138" i="202"/>
  <c r="X139" i="202"/>
  <c r="X140" i="202"/>
  <c r="X141" i="202"/>
  <c r="X142" i="202"/>
  <c r="X143" i="202"/>
  <c r="X144" i="202"/>
  <c r="X145" i="202"/>
  <c r="X146" i="202"/>
  <c r="X147" i="202"/>
  <c r="X148" i="202"/>
  <c r="X149" i="202"/>
  <c r="X150" i="202"/>
  <c r="X151" i="202"/>
  <c r="X152" i="202"/>
  <c r="X153" i="202"/>
  <c r="X154" i="202"/>
  <c r="X155" i="202"/>
  <c r="X156" i="202"/>
  <c r="X157" i="202"/>
  <c r="X158" i="202"/>
  <c r="X159" i="202"/>
  <c r="X160" i="202"/>
  <c r="X161" i="202"/>
  <c r="X162" i="202"/>
  <c r="X163" i="202"/>
  <c r="X164" i="202"/>
  <c r="X165" i="202"/>
  <c r="X166" i="202"/>
  <c r="X167" i="202"/>
  <c r="X168" i="202"/>
  <c r="X169" i="202"/>
  <c r="X170" i="202"/>
  <c r="X171" i="202"/>
  <c r="X172" i="202"/>
  <c r="X173" i="202"/>
  <c r="X174" i="202"/>
  <c r="X175" i="202"/>
  <c r="X176" i="202"/>
  <c r="X177" i="202"/>
  <c r="X178" i="202"/>
  <c r="X179" i="202"/>
  <c r="X180" i="202"/>
  <c r="X181" i="202"/>
  <c r="X182" i="202"/>
  <c r="X183" i="202"/>
  <c r="X184" i="202"/>
  <c r="X185" i="202"/>
  <c r="X186" i="202"/>
  <c r="X187" i="202"/>
  <c r="X188" i="202"/>
  <c r="X189" i="202"/>
  <c r="X190" i="202"/>
  <c r="X191" i="202"/>
  <c r="X192" i="202"/>
  <c r="X193" i="202"/>
  <c r="X194" i="202"/>
  <c r="X195" i="202"/>
  <c r="X196" i="202"/>
  <c r="X197" i="202"/>
  <c r="X198" i="202"/>
  <c r="X199" i="202"/>
  <c r="X200" i="202"/>
  <c r="X201" i="202"/>
  <c r="X202" i="202"/>
  <c r="X203" i="202"/>
  <c r="X204" i="202"/>
  <c r="X205" i="202"/>
  <c r="X206" i="202"/>
  <c r="X207" i="202"/>
  <c r="X208" i="202"/>
  <c r="X209" i="202"/>
  <c r="X210" i="202"/>
  <c r="X211" i="202"/>
  <c r="X212" i="202"/>
  <c r="X213" i="202"/>
  <c r="X214" i="202"/>
  <c r="X215" i="202"/>
  <c r="X216" i="202"/>
  <c r="X217" i="202"/>
  <c r="X218" i="202"/>
  <c r="X219" i="202"/>
  <c r="X220" i="202"/>
  <c r="X221" i="202"/>
  <c r="X222" i="202"/>
  <c r="X223" i="202"/>
  <c r="X224" i="202"/>
  <c r="X225" i="202"/>
  <c r="X226" i="202"/>
  <c r="X227" i="202"/>
  <c r="X228" i="202"/>
  <c r="X229" i="202"/>
  <c r="X230" i="202"/>
  <c r="X231" i="202"/>
  <c r="X232" i="202"/>
  <c r="X233" i="202"/>
  <c r="X234" i="202"/>
  <c r="X235" i="202"/>
  <c r="X236" i="202"/>
  <c r="X237" i="202"/>
  <c r="X238" i="202"/>
  <c r="X239" i="202"/>
  <c r="X240" i="202"/>
  <c r="X241" i="202"/>
  <c r="X242" i="202"/>
  <c r="X243" i="202"/>
  <c r="X244" i="202"/>
  <c r="X245" i="202"/>
  <c r="X246" i="202"/>
  <c r="X247" i="202"/>
  <c r="X248" i="202"/>
  <c r="X249" i="202"/>
  <c r="X250" i="202"/>
  <c r="X251" i="202"/>
  <c r="X252" i="202"/>
  <c r="X253" i="202"/>
  <c r="X254" i="202"/>
  <c r="X255" i="202"/>
  <c r="X256" i="202"/>
  <c r="X257" i="202"/>
  <c r="X258" i="202"/>
  <c r="X259" i="202"/>
  <c r="X260" i="202"/>
  <c r="X261" i="202"/>
  <c r="X262" i="202"/>
  <c r="X263" i="202"/>
  <c r="X264" i="202"/>
  <c r="X265" i="202"/>
  <c r="X266" i="202"/>
  <c r="X267" i="202"/>
  <c r="X268" i="202"/>
  <c r="X269" i="202"/>
  <c r="X270" i="202"/>
  <c r="X271" i="202"/>
  <c r="X272" i="202"/>
  <c r="X273" i="202"/>
  <c r="X274" i="202"/>
  <c r="X275" i="202"/>
  <c r="X276" i="202"/>
  <c r="X277" i="202"/>
  <c r="X278" i="202"/>
  <c r="X279" i="202"/>
  <c r="X280" i="202"/>
  <c r="X281" i="202"/>
  <c r="X282" i="202"/>
  <c r="X283" i="202"/>
  <c r="X284" i="202"/>
  <c r="X285" i="202"/>
  <c r="X286" i="202"/>
  <c r="X287" i="202"/>
  <c r="X288" i="202"/>
  <c r="X289" i="202"/>
  <c r="X290" i="202"/>
  <c r="X291" i="202"/>
  <c r="X292" i="202"/>
  <c r="X293" i="202"/>
  <c r="X294" i="202"/>
  <c r="X295" i="202"/>
  <c r="X296" i="202"/>
  <c r="X297" i="202"/>
  <c r="X298" i="202"/>
  <c r="X299" i="202"/>
  <c r="X300" i="202"/>
  <c r="X301" i="202"/>
  <c r="X302" i="202"/>
  <c r="X303" i="202"/>
  <c r="X304" i="202"/>
  <c r="X305" i="202"/>
  <c r="X306" i="202"/>
  <c r="X307" i="202"/>
  <c r="X308" i="202"/>
  <c r="X309" i="202"/>
  <c r="X310" i="202"/>
  <c r="X311" i="202"/>
  <c r="X312" i="202"/>
  <c r="X313" i="202"/>
  <c r="X314" i="202"/>
  <c r="X315" i="202"/>
  <c r="X316" i="202"/>
  <c r="X317" i="202"/>
  <c r="X318" i="202"/>
  <c r="X319" i="202"/>
  <c r="X320" i="202"/>
  <c r="X321" i="202"/>
  <c r="X322" i="202"/>
  <c r="X323" i="202"/>
  <c r="X324" i="202"/>
  <c r="X325" i="202"/>
  <c r="X326" i="202"/>
  <c r="X327" i="202"/>
  <c r="X328" i="202"/>
  <c r="X329" i="202"/>
  <c r="X330" i="202"/>
  <c r="X331" i="202"/>
  <c r="X332" i="202"/>
  <c r="X333" i="202"/>
  <c r="X334" i="202"/>
  <c r="X335" i="202"/>
  <c r="X336" i="202"/>
  <c r="X337" i="202"/>
  <c r="X338" i="202"/>
  <c r="X339" i="202"/>
  <c r="X340" i="202"/>
  <c r="X341" i="202"/>
  <c r="X342" i="202"/>
  <c r="X343" i="202"/>
  <c r="X344" i="202"/>
  <c r="X345" i="202"/>
  <c r="X346" i="202"/>
  <c r="X347" i="202"/>
  <c r="X348" i="202"/>
  <c r="X349" i="202"/>
  <c r="X350" i="202"/>
  <c r="X351" i="202"/>
  <c r="X352" i="202"/>
  <c r="X353" i="202"/>
  <c r="X354" i="202"/>
  <c r="X355" i="202"/>
  <c r="X356" i="202"/>
  <c r="X357" i="202"/>
  <c r="X358" i="202"/>
  <c r="X359" i="202"/>
  <c r="X360" i="202"/>
  <c r="X361" i="202"/>
  <c r="X362" i="202"/>
  <c r="X363" i="202"/>
  <c r="X364" i="202"/>
  <c r="X365" i="202"/>
  <c r="X366" i="202"/>
  <c r="X367" i="202"/>
  <c r="X368" i="202"/>
  <c r="X369" i="202"/>
  <c r="X370" i="202"/>
  <c r="X371" i="202"/>
  <c r="X372" i="202"/>
  <c r="X373" i="202"/>
  <c r="X374" i="202"/>
  <c r="X375" i="202"/>
  <c r="X376" i="202"/>
  <c r="X377" i="202"/>
  <c r="X378" i="202"/>
  <c r="X379" i="202"/>
  <c r="X380" i="202"/>
  <c r="X381" i="202"/>
  <c r="X382" i="202"/>
  <c r="X383" i="202"/>
  <c r="X384" i="202"/>
  <c r="X385" i="202"/>
  <c r="X386" i="202"/>
  <c r="X387" i="202"/>
  <c r="X388" i="202"/>
  <c r="X389" i="202"/>
  <c r="X390" i="202"/>
  <c r="X391" i="202"/>
  <c r="X392" i="202"/>
  <c r="X393" i="202"/>
  <c r="X394" i="202"/>
  <c r="X395" i="202"/>
  <c r="X396" i="202"/>
  <c r="X397" i="202"/>
  <c r="X398" i="202"/>
  <c r="X399" i="202"/>
  <c r="X400" i="202"/>
  <c r="X401" i="202"/>
  <c r="X402" i="202"/>
  <c r="X403" i="202"/>
  <c r="X404" i="202"/>
  <c r="X405" i="202"/>
  <c r="X406" i="202"/>
  <c r="X407" i="202"/>
  <c r="X408" i="202"/>
  <c r="X409" i="202"/>
  <c r="X410" i="202"/>
  <c r="X411" i="202"/>
  <c r="X412" i="202"/>
  <c r="X413" i="202"/>
  <c r="X414" i="202"/>
  <c r="X415" i="202"/>
  <c r="X416" i="202"/>
  <c r="X417" i="202"/>
  <c r="X418" i="202"/>
  <c r="X419" i="202"/>
  <c r="X420" i="202"/>
  <c r="X421" i="202"/>
  <c r="X422" i="202"/>
  <c r="X423" i="202"/>
  <c r="X424" i="202"/>
  <c r="X425" i="202"/>
  <c r="X426" i="202"/>
  <c r="X427" i="202"/>
  <c r="X428" i="202"/>
  <c r="X429" i="202"/>
  <c r="X430" i="202"/>
  <c r="X431" i="202"/>
  <c r="X432" i="202"/>
  <c r="X433" i="202"/>
  <c r="X434" i="202"/>
  <c r="X435" i="202"/>
  <c r="X436" i="202"/>
  <c r="X437" i="202"/>
  <c r="X438" i="202"/>
  <c r="X439" i="202"/>
  <c r="X440" i="202"/>
  <c r="X441" i="202"/>
  <c r="X442" i="202"/>
  <c r="X443" i="202"/>
  <c r="X444" i="202"/>
  <c r="X445" i="202"/>
  <c r="X446" i="202"/>
  <c r="X447" i="202"/>
  <c r="X448" i="202"/>
  <c r="X449" i="202"/>
  <c r="X450" i="202"/>
  <c r="X451" i="202"/>
  <c r="X452" i="202"/>
  <c r="X453" i="202"/>
  <c r="X454" i="202"/>
  <c r="X455" i="202"/>
  <c r="X456" i="202"/>
  <c r="X457" i="202"/>
  <c r="X458" i="202"/>
  <c r="X459" i="202"/>
  <c r="X460" i="202"/>
  <c r="X461" i="202"/>
  <c r="X462" i="202"/>
  <c r="X463" i="202"/>
  <c r="X464" i="202"/>
  <c r="X465" i="202"/>
  <c r="X466" i="202"/>
  <c r="X467" i="202"/>
  <c r="X468" i="202"/>
  <c r="X469" i="202"/>
  <c r="X470" i="202"/>
  <c r="X471" i="202"/>
  <c r="X472" i="202"/>
  <c r="X473" i="202"/>
  <c r="X474" i="202"/>
  <c r="X475" i="202"/>
  <c r="X476" i="202"/>
  <c r="X477" i="202"/>
  <c r="X478" i="202"/>
  <c r="X479" i="202"/>
  <c r="X480" i="202"/>
  <c r="X481" i="202"/>
  <c r="X482" i="202"/>
  <c r="X483" i="202"/>
  <c r="X484" i="202"/>
  <c r="X485" i="202"/>
  <c r="X486" i="202"/>
  <c r="X487" i="202"/>
  <c r="X488" i="202"/>
  <c r="X489" i="202"/>
  <c r="X490" i="202"/>
  <c r="X491" i="202"/>
  <c r="X492" i="202"/>
  <c r="X493" i="202"/>
  <c r="X494" i="202"/>
  <c r="X495" i="202"/>
  <c r="X496" i="202"/>
  <c r="X497" i="202"/>
  <c r="X498" i="202"/>
  <c r="X499" i="202"/>
  <c r="X500" i="202"/>
  <c r="X501" i="202"/>
  <c r="X502" i="202"/>
  <c r="X503" i="202"/>
  <c r="X504" i="202"/>
  <c r="X505" i="202"/>
  <c r="X506" i="202"/>
  <c r="X507" i="202"/>
  <c r="X508" i="202"/>
  <c r="X509" i="202"/>
  <c r="X510" i="202"/>
  <c r="X511" i="202"/>
  <c r="X512" i="202"/>
  <c r="X513" i="202"/>
  <c r="X514" i="202"/>
  <c r="X515" i="202"/>
  <c r="X516" i="202"/>
  <c r="X517" i="202"/>
  <c r="X518" i="202"/>
  <c r="X519" i="202"/>
  <c r="X520" i="202"/>
  <c r="X521" i="202"/>
  <c r="X522" i="202"/>
  <c r="X523" i="202"/>
  <c r="X524" i="202"/>
  <c r="X525" i="202"/>
  <c r="X526" i="202"/>
  <c r="X527" i="202"/>
  <c r="X528" i="202"/>
  <c r="X529" i="202"/>
  <c r="X530" i="202"/>
  <c r="X531" i="202"/>
  <c r="X532" i="202"/>
  <c r="X533" i="202"/>
  <c r="X534" i="202"/>
  <c r="X535" i="202"/>
  <c r="X536" i="202"/>
  <c r="X537" i="202"/>
  <c r="X538" i="202"/>
  <c r="X539" i="202"/>
  <c r="X540" i="202"/>
  <c r="X541" i="202"/>
  <c r="X542" i="202"/>
  <c r="X543" i="202"/>
  <c r="X544" i="202"/>
  <c r="X545" i="202"/>
  <c r="X546" i="202"/>
  <c r="X547" i="202"/>
  <c r="X548" i="202"/>
  <c r="X549" i="202"/>
  <c r="X550" i="202"/>
  <c r="X551" i="202"/>
  <c r="X552" i="202"/>
  <c r="X553" i="202"/>
  <c r="X554" i="202"/>
  <c r="X555" i="202"/>
  <c r="X556" i="202"/>
  <c r="X557" i="202"/>
  <c r="X558" i="202"/>
  <c r="X559" i="202"/>
  <c r="X560" i="202"/>
  <c r="X561" i="202"/>
  <c r="X562" i="202"/>
  <c r="X563" i="202"/>
  <c r="X564" i="202"/>
  <c r="X565" i="202"/>
  <c r="X566" i="202"/>
  <c r="X567" i="202"/>
  <c r="X568" i="202"/>
  <c r="X569" i="202"/>
  <c r="X570" i="202"/>
  <c r="X571" i="202"/>
  <c r="X572" i="202"/>
  <c r="X573" i="202"/>
  <c r="X574" i="202"/>
  <c r="X575" i="202"/>
  <c r="X576" i="202"/>
  <c r="X577" i="202"/>
  <c r="X578" i="202"/>
  <c r="X579" i="202"/>
  <c r="X580" i="202"/>
  <c r="X581" i="202"/>
  <c r="X582" i="202"/>
  <c r="X583" i="202"/>
  <c r="X584" i="202"/>
  <c r="X585" i="202"/>
  <c r="X586" i="202"/>
  <c r="X587" i="202"/>
  <c r="X588" i="202"/>
  <c r="X589" i="202"/>
  <c r="X590" i="202"/>
  <c r="X591" i="202"/>
  <c r="X592" i="202"/>
  <c r="X593" i="202"/>
  <c r="X594" i="202"/>
  <c r="X595" i="202"/>
  <c r="X596" i="202"/>
  <c r="X597" i="202"/>
  <c r="X598" i="202"/>
  <c r="X599" i="202"/>
  <c r="X600" i="202"/>
  <c r="X601" i="202"/>
  <c r="X602" i="202"/>
  <c r="X603" i="202"/>
  <c r="X604" i="202"/>
  <c r="X605" i="202"/>
  <c r="X606" i="202"/>
  <c r="X607" i="202"/>
  <c r="X608" i="202"/>
  <c r="X609" i="202"/>
  <c r="X610" i="202"/>
  <c r="X611" i="202"/>
  <c r="X612" i="202"/>
  <c r="X613" i="202"/>
  <c r="X614" i="202"/>
  <c r="X615" i="202"/>
  <c r="X616" i="202"/>
  <c r="X617" i="202"/>
  <c r="X618" i="202"/>
  <c r="X619" i="202"/>
  <c r="X620" i="202"/>
  <c r="X621" i="202"/>
  <c r="X622" i="202"/>
  <c r="X623" i="202"/>
  <c r="X624" i="202"/>
  <c r="X625" i="202"/>
  <c r="X626" i="202"/>
  <c r="X627" i="202"/>
  <c r="X628" i="202"/>
  <c r="X629" i="202"/>
  <c r="X630" i="202"/>
  <c r="X631" i="202"/>
  <c r="X632" i="202"/>
  <c r="X633" i="202"/>
  <c r="X634" i="202"/>
  <c r="X635" i="202"/>
  <c r="X636" i="202"/>
  <c r="X637" i="202"/>
  <c r="X638" i="202"/>
  <c r="X639" i="202"/>
  <c r="X640" i="202"/>
  <c r="X641" i="202"/>
  <c r="X642" i="202"/>
  <c r="X643" i="202"/>
  <c r="X644" i="202"/>
  <c r="X645" i="202"/>
  <c r="X646" i="202"/>
  <c r="X647" i="202"/>
  <c r="X648" i="202"/>
  <c r="X649" i="202"/>
  <c r="X650" i="202"/>
  <c r="X651" i="202"/>
  <c r="X652" i="202"/>
  <c r="X653" i="202"/>
  <c r="X654" i="202"/>
  <c r="X655" i="202"/>
  <c r="X656" i="202"/>
  <c r="X657" i="202"/>
  <c r="X658" i="202"/>
  <c r="X659" i="202"/>
  <c r="X660" i="202"/>
  <c r="X661" i="202"/>
  <c r="X662" i="202"/>
  <c r="X663" i="202"/>
  <c r="X664" i="202"/>
  <c r="X665" i="202"/>
  <c r="X666" i="202"/>
  <c r="X667" i="202"/>
  <c r="X668" i="202"/>
  <c r="X669" i="202"/>
  <c r="X670" i="202"/>
  <c r="X671" i="202"/>
  <c r="X672" i="202"/>
  <c r="X673" i="202"/>
  <c r="X674" i="202"/>
  <c r="X675" i="202"/>
  <c r="X676" i="202"/>
  <c r="X677" i="202"/>
  <c r="X678" i="202"/>
  <c r="X679" i="202"/>
  <c r="X680" i="202"/>
  <c r="X681" i="202"/>
  <c r="X682" i="202"/>
  <c r="X683" i="202"/>
  <c r="X684" i="202"/>
  <c r="X685" i="202"/>
  <c r="X686" i="202"/>
  <c r="X687" i="202"/>
  <c r="X688" i="202"/>
  <c r="X689" i="202"/>
  <c r="X690" i="202"/>
  <c r="X691" i="202"/>
  <c r="X692" i="202"/>
  <c r="X693" i="202"/>
  <c r="X694" i="202"/>
  <c r="X695" i="202"/>
  <c r="X696" i="202"/>
  <c r="X697" i="202"/>
  <c r="X698" i="202"/>
  <c r="X699" i="202"/>
  <c r="X700" i="202"/>
  <c r="X701" i="202"/>
  <c r="X702" i="202"/>
  <c r="X703" i="202"/>
  <c r="X704" i="202"/>
  <c r="X705" i="202"/>
  <c r="X706" i="202"/>
  <c r="X707" i="202"/>
  <c r="X708" i="202"/>
  <c r="X709" i="202"/>
  <c r="X710" i="202"/>
  <c r="X711" i="202"/>
  <c r="X712" i="202"/>
  <c r="X713" i="202"/>
  <c r="X714" i="202"/>
  <c r="X715" i="202"/>
  <c r="X716" i="202"/>
  <c r="X717" i="202"/>
  <c r="X718" i="202"/>
  <c r="X719" i="202"/>
  <c r="X720" i="202"/>
  <c r="X721" i="202"/>
  <c r="X722" i="202"/>
  <c r="X723" i="202"/>
  <c r="X724" i="202"/>
  <c r="X725" i="202"/>
  <c r="X726" i="202"/>
  <c r="X727" i="202"/>
  <c r="X728" i="202"/>
  <c r="X729" i="202"/>
  <c r="X730" i="202"/>
  <c r="X731" i="202"/>
  <c r="X732" i="202"/>
  <c r="X733" i="202"/>
  <c r="X734" i="202"/>
  <c r="X735" i="202"/>
  <c r="X736" i="202"/>
  <c r="X737" i="202"/>
  <c r="X738" i="202"/>
  <c r="X739" i="202"/>
  <c r="X740" i="202"/>
  <c r="X741" i="202"/>
  <c r="X742" i="202"/>
  <c r="X743" i="202"/>
  <c r="X744" i="202"/>
  <c r="X745" i="202"/>
  <c r="X746" i="202"/>
  <c r="X747" i="202"/>
  <c r="X748" i="202"/>
  <c r="X749" i="202"/>
  <c r="X750" i="202"/>
  <c r="X751" i="202"/>
  <c r="X752" i="202"/>
  <c r="X753" i="202"/>
  <c r="X754" i="202"/>
  <c r="X755" i="202"/>
  <c r="X756" i="202"/>
  <c r="X757" i="202"/>
  <c r="X758" i="202"/>
  <c r="X759" i="202"/>
  <c r="X760" i="202"/>
  <c r="X761" i="202"/>
  <c r="X762" i="202"/>
  <c r="X763" i="202"/>
  <c r="X764" i="202"/>
  <c r="X765" i="202"/>
  <c r="X766" i="202"/>
  <c r="X767" i="202"/>
  <c r="X768" i="202"/>
  <c r="X769" i="202"/>
  <c r="X770" i="202"/>
  <c r="X771" i="202"/>
  <c r="X772" i="202"/>
  <c r="X773" i="202"/>
  <c r="X774" i="202"/>
  <c r="X775" i="202"/>
  <c r="X776" i="202"/>
  <c r="X777" i="202"/>
  <c r="X778" i="202"/>
  <c r="X779" i="202"/>
  <c r="X780" i="202"/>
  <c r="X781" i="202"/>
  <c r="X782" i="202"/>
  <c r="X783" i="202"/>
  <c r="X784" i="202"/>
  <c r="X785" i="202"/>
  <c r="X786" i="202"/>
  <c r="X787" i="202"/>
  <c r="X788" i="202"/>
  <c r="X789" i="202"/>
  <c r="X790" i="202"/>
  <c r="X791" i="202"/>
  <c r="X792" i="202"/>
  <c r="X793" i="202"/>
  <c r="X794" i="202"/>
  <c r="X795" i="202"/>
  <c r="X796" i="202"/>
  <c r="X797" i="202"/>
  <c r="X798" i="202"/>
  <c r="X799" i="202"/>
  <c r="X800" i="202"/>
  <c r="X801" i="202"/>
  <c r="X802" i="202"/>
  <c r="X803" i="202"/>
  <c r="X804" i="202"/>
  <c r="X805" i="202"/>
  <c r="X806" i="202"/>
  <c r="X807" i="202"/>
  <c r="X808" i="202"/>
  <c r="X809" i="202"/>
  <c r="X810" i="202"/>
  <c r="X811" i="202"/>
  <c r="X812" i="202"/>
  <c r="X813" i="202"/>
  <c r="X814" i="202"/>
  <c r="X815" i="202"/>
  <c r="X816" i="202"/>
  <c r="X817" i="202"/>
  <c r="X818" i="202"/>
  <c r="X819" i="202"/>
  <c r="X820" i="202"/>
  <c r="X821" i="202"/>
  <c r="X822" i="202"/>
  <c r="X823" i="202"/>
  <c r="X824" i="202"/>
  <c r="X825" i="202"/>
  <c r="X826" i="202"/>
  <c r="X827" i="202"/>
  <c r="X828" i="202"/>
  <c r="X829" i="202"/>
  <c r="X830" i="202"/>
  <c r="X831" i="202"/>
  <c r="X832" i="202"/>
  <c r="X833" i="202"/>
  <c r="X834" i="202"/>
  <c r="X835" i="202"/>
  <c r="X836" i="202"/>
  <c r="X837" i="202"/>
  <c r="X838" i="202"/>
  <c r="X839" i="202"/>
  <c r="X840" i="202"/>
  <c r="X841" i="202"/>
  <c r="X842" i="202"/>
  <c r="X843" i="202"/>
  <c r="X844" i="202"/>
  <c r="X845" i="202"/>
  <c r="X846" i="202"/>
  <c r="X847" i="202"/>
  <c r="X848" i="202"/>
  <c r="X849" i="202"/>
  <c r="X850" i="202"/>
  <c r="X851" i="202"/>
  <c r="X852" i="202"/>
  <c r="X853" i="202"/>
  <c r="X854" i="202"/>
  <c r="X855" i="202"/>
  <c r="X856" i="202"/>
  <c r="X857" i="202"/>
  <c r="X858" i="202"/>
  <c r="X859" i="202"/>
  <c r="X860" i="202"/>
  <c r="X861" i="202"/>
  <c r="X862" i="202"/>
  <c r="X863" i="202"/>
  <c r="X864" i="202"/>
  <c r="X865" i="202"/>
  <c r="X866" i="202"/>
  <c r="X867" i="202"/>
  <c r="X868" i="202"/>
  <c r="X869" i="202"/>
  <c r="X870" i="202"/>
  <c r="X871" i="202"/>
  <c r="X872" i="202"/>
  <c r="X873" i="202"/>
  <c r="X874" i="202"/>
  <c r="X875" i="202"/>
  <c r="X876" i="202"/>
  <c r="X877" i="202"/>
  <c r="X878" i="202"/>
  <c r="X879" i="202"/>
  <c r="X880" i="202"/>
  <c r="X881" i="202"/>
  <c r="X882" i="202"/>
  <c r="X883" i="202"/>
  <c r="X884" i="202"/>
  <c r="X885" i="202"/>
  <c r="X886" i="202"/>
  <c r="X887" i="202"/>
  <c r="X888" i="202"/>
  <c r="X889" i="202"/>
  <c r="X890" i="202"/>
  <c r="X891" i="202"/>
  <c r="X892" i="202"/>
  <c r="X893" i="202"/>
  <c r="X894" i="202"/>
  <c r="X895" i="202"/>
  <c r="X896" i="202"/>
  <c r="X897" i="202"/>
  <c r="X898" i="202"/>
  <c r="X899" i="202"/>
  <c r="X900" i="202"/>
  <c r="X901" i="202"/>
  <c r="X902" i="202"/>
  <c r="X903" i="202"/>
  <c r="X904" i="202"/>
  <c r="X905" i="202"/>
  <c r="X906" i="202"/>
  <c r="X907" i="202"/>
  <c r="X908" i="202"/>
  <c r="X909" i="202"/>
  <c r="X910" i="202"/>
  <c r="X911" i="202"/>
  <c r="X912" i="202"/>
  <c r="X913" i="202"/>
  <c r="X914" i="202"/>
  <c r="X915" i="202"/>
  <c r="X916" i="202"/>
  <c r="X917" i="202"/>
  <c r="X918" i="202"/>
  <c r="X919" i="202"/>
  <c r="X920" i="202"/>
  <c r="X921" i="202"/>
  <c r="X922" i="202"/>
  <c r="X923" i="202"/>
  <c r="X924" i="202"/>
  <c r="X925" i="202"/>
  <c r="X926" i="202"/>
  <c r="X927" i="202"/>
  <c r="X928" i="202"/>
  <c r="X929" i="202"/>
  <c r="X930" i="202"/>
  <c r="X931" i="202"/>
  <c r="X932" i="202"/>
  <c r="X933" i="202"/>
  <c r="X934" i="202"/>
  <c r="X935" i="202"/>
  <c r="X936" i="202"/>
  <c r="X937" i="202"/>
  <c r="X938" i="202"/>
  <c r="X939" i="202"/>
  <c r="X940" i="202"/>
  <c r="X941" i="202"/>
  <c r="X942" i="202"/>
  <c r="X943" i="202"/>
  <c r="X944" i="202"/>
  <c r="X945" i="202"/>
  <c r="X946" i="202"/>
  <c r="X947" i="202"/>
  <c r="X948" i="202"/>
  <c r="X949" i="202"/>
  <c r="X950" i="202"/>
  <c r="X951" i="202"/>
  <c r="X952" i="202"/>
  <c r="X953" i="202"/>
  <c r="X954" i="202"/>
  <c r="X955" i="202"/>
  <c r="X956" i="202"/>
  <c r="X957" i="202"/>
  <c r="X958" i="202"/>
  <c r="X959" i="202"/>
  <c r="X960" i="202"/>
  <c r="X961" i="202"/>
  <c r="X962" i="202"/>
  <c r="X963" i="202"/>
  <c r="X964" i="202"/>
  <c r="X965" i="202"/>
  <c r="X966" i="202"/>
  <c r="X967" i="202"/>
  <c r="X968" i="202"/>
  <c r="X969" i="202"/>
  <c r="X970" i="202"/>
  <c r="X971" i="202"/>
  <c r="X972" i="202"/>
  <c r="X973" i="202"/>
  <c r="X974" i="202"/>
  <c r="X975" i="202"/>
  <c r="X976" i="202"/>
  <c r="X977" i="202"/>
  <c r="X978" i="202"/>
  <c r="X979" i="202"/>
  <c r="X980" i="202"/>
  <c r="X981" i="202"/>
  <c r="X982" i="202"/>
  <c r="X983" i="202"/>
  <c r="X984" i="202"/>
  <c r="X985" i="202"/>
  <c r="X986" i="202"/>
  <c r="X987" i="202"/>
  <c r="X988" i="202"/>
  <c r="X989" i="202"/>
  <c r="X990" i="202"/>
  <c r="X991" i="202"/>
  <c r="X992" i="202"/>
  <c r="X993" i="202"/>
  <c r="X994" i="202"/>
  <c r="X995" i="202"/>
  <c r="X996" i="202"/>
  <c r="X997" i="202"/>
  <c r="X998" i="202"/>
  <c r="X999" i="202"/>
  <c r="X1000" i="202"/>
  <c r="X1001" i="202"/>
  <c r="X1002" i="202"/>
  <c r="X1003" i="202"/>
  <c r="X1004" i="202"/>
  <c r="X1005" i="202"/>
  <c r="X1006" i="202"/>
  <c r="X1007" i="202"/>
  <c r="X1008" i="202"/>
  <c r="X1009" i="202"/>
  <c r="X1010" i="202"/>
  <c r="X1011" i="202"/>
  <c r="X1012" i="202"/>
  <c r="X1013" i="202"/>
  <c r="X1014" i="202"/>
  <c r="X1015" i="202"/>
  <c r="X1016" i="202"/>
  <c r="X1017" i="202"/>
  <c r="X1018" i="202"/>
  <c r="X1019" i="202"/>
  <c r="X1020" i="202"/>
  <c r="X1021" i="202"/>
  <c r="X1022" i="202"/>
  <c r="X1023" i="202"/>
  <c r="X1024" i="202"/>
  <c r="X1025" i="202"/>
  <c r="X1026" i="202"/>
  <c r="X1027" i="202"/>
  <c r="X1028" i="202"/>
  <c r="X1029" i="202"/>
  <c r="X1030" i="202"/>
  <c r="X1031" i="202"/>
  <c r="X1032" i="202"/>
  <c r="X1033" i="202"/>
  <c r="X1034" i="202"/>
  <c r="X1035" i="202"/>
  <c r="X1036" i="202"/>
  <c r="X1037" i="202"/>
  <c r="X1038" i="202"/>
  <c r="X1039" i="202"/>
  <c r="X1040" i="202"/>
  <c r="X1041" i="202"/>
  <c r="X1042" i="202"/>
  <c r="X1043" i="202"/>
  <c r="X1044" i="202"/>
  <c r="X1045" i="202"/>
  <c r="X1046" i="202"/>
  <c r="X1047" i="202"/>
  <c r="X1048" i="202"/>
  <c r="X1049" i="202"/>
  <c r="X1050" i="202"/>
  <c r="X1051" i="202"/>
  <c r="X1052" i="202"/>
  <c r="X1053" i="202"/>
  <c r="X1054" i="202"/>
  <c r="X1055" i="202"/>
  <c r="X1056" i="202"/>
  <c r="X1057" i="202"/>
  <c r="X1058" i="202"/>
  <c r="X1059" i="202"/>
  <c r="X1060" i="202"/>
  <c r="X1061" i="202"/>
  <c r="X1062" i="202"/>
  <c r="X1063" i="202"/>
  <c r="X1064" i="202"/>
  <c r="X1065" i="202"/>
  <c r="X1066" i="202"/>
  <c r="X1067" i="202"/>
  <c r="X1068" i="202"/>
  <c r="X1069" i="202"/>
  <c r="X1070" i="202"/>
  <c r="X1071" i="202"/>
  <c r="X1072" i="202"/>
  <c r="X1073" i="202"/>
  <c r="X1074" i="202"/>
  <c r="X1075" i="202"/>
  <c r="X1076" i="202"/>
  <c r="X1077" i="202"/>
  <c r="X1078" i="202"/>
  <c r="X1079" i="202"/>
  <c r="X1080" i="202"/>
  <c r="X1081" i="202"/>
  <c r="X1082" i="202"/>
  <c r="X1083" i="202"/>
  <c r="X1084" i="202"/>
  <c r="X1085" i="202"/>
  <c r="X1086" i="202"/>
  <c r="X1087" i="202"/>
  <c r="X1088" i="202"/>
  <c r="X1089" i="202"/>
  <c r="X1090" i="202"/>
  <c r="X1091" i="202"/>
  <c r="X1092" i="202"/>
  <c r="X1093" i="202"/>
  <c r="X1094" i="202"/>
  <c r="X1095" i="202"/>
  <c r="X1096" i="202"/>
  <c r="X1097" i="202"/>
  <c r="X1098" i="202"/>
  <c r="X1099" i="202"/>
  <c r="X1100" i="202"/>
  <c r="X1101" i="202"/>
  <c r="X1102" i="202"/>
  <c r="X1103" i="202"/>
  <c r="X1104" i="202"/>
  <c r="X1105" i="202"/>
  <c r="X1106" i="202"/>
  <c r="X1107" i="202"/>
  <c r="X1108" i="202"/>
  <c r="X1109" i="202"/>
  <c r="X1110" i="202"/>
  <c r="X1111" i="202"/>
  <c r="X1112" i="202"/>
  <c r="X1113" i="202"/>
  <c r="X1114" i="202"/>
  <c r="X1115" i="202"/>
  <c r="X1116" i="202"/>
  <c r="X1117" i="202"/>
  <c r="X1118" i="202"/>
  <c r="X1119" i="202"/>
  <c r="X1120" i="202"/>
  <c r="X1121" i="202"/>
  <c r="X1122" i="202"/>
  <c r="X1123" i="202"/>
  <c r="X1124" i="202"/>
  <c r="X1125" i="202"/>
  <c r="X1126" i="202"/>
  <c r="X1127" i="202"/>
  <c r="X1128" i="202"/>
  <c r="X1129" i="202"/>
  <c r="X1130" i="202"/>
  <c r="X1131" i="202"/>
  <c r="X1132" i="202"/>
  <c r="X1133" i="202"/>
  <c r="X1134" i="202"/>
  <c r="X1135" i="202"/>
  <c r="X1136" i="202"/>
  <c r="X1137" i="202"/>
  <c r="X1138" i="202"/>
  <c r="X1139" i="202"/>
  <c r="X1140" i="202"/>
  <c r="X1141" i="202"/>
  <c r="X1142" i="202"/>
  <c r="X1143" i="202"/>
  <c r="X1144" i="202"/>
  <c r="X1145" i="202"/>
  <c r="X1146" i="202"/>
  <c r="X1147" i="202"/>
  <c r="X1148" i="202"/>
  <c r="X1149" i="202"/>
  <c r="X1150" i="202"/>
  <c r="X1151" i="202"/>
  <c r="X1152" i="202"/>
  <c r="X1153" i="202"/>
  <c r="X1154" i="202"/>
  <c r="X1155" i="202"/>
  <c r="X1156" i="202"/>
  <c r="X1157" i="202"/>
  <c r="X1158" i="202"/>
  <c r="X1159" i="202"/>
  <c r="X1160" i="202"/>
  <c r="X1161" i="202"/>
  <c r="X1162" i="202"/>
  <c r="X1163" i="202"/>
  <c r="X1164" i="202"/>
  <c r="X1165" i="202"/>
  <c r="X1166" i="202"/>
  <c r="X1167" i="202"/>
  <c r="X1168" i="202"/>
  <c r="X1169" i="202"/>
  <c r="X1170" i="202"/>
  <c r="X1171" i="202"/>
  <c r="X1172" i="202"/>
  <c r="X1173" i="202"/>
  <c r="X1174" i="202"/>
  <c r="X1175" i="202"/>
  <c r="X1176" i="202"/>
  <c r="X1177" i="202"/>
  <c r="X1178" i="202"/>
  <c r="X1179" i="202"/>
  <c r="X1180" i="202"/>
  <c r="X1181" i="202"/>
  <c r="X1182" i="202"/>
  <c r="X1183" i="202"/>
  <c r="X1184" i="202"/>
  <c r="X1185" i="202"/>
  <c r="X1186" i="202"/>
  <c r="X1187" i="202"/>
  <c r="X1188" i="202"/>
  <c r="X1189" i="202"/>
  <c r="X1190" i="202"/>
  <c r="X1191" i="202"/>
  <c r="X1192" i="202"/>
  <c r="X1193" i="202"/>
  <c r="X1194" i="202"/>
  <c r="X1195" i="202"/>
  <c r="X1196" i="202"/>
  <c r="X1197" i="202"/>
  <c r="X1198" i="202"/>
  <c r="X1199" i="202"/>
  <c r="X1200" i="202"/>
  <c r="X1201" i="202"/>
  <c r="X1202" i="202"/>
  <c r="X1203" i="202"/>
  <c r="X1204" i="202"/>
  <c r="X1205" i="202"/>
  <c r="X1206" i="202"/>
  <c r="X1207" i="202"/>
  <c r="X1208" i="202"/>
  <c r="X1209" i="202"/>
  <c r="X1210" i="202"/>
  <c r="X1211" i="202"/>
  <c r="X1212" i="202"/>
  <c r="X1213" i="202"/>
  <c r="X1214" i="202"/>
  <c r="X1215" i="202"/>
  <c r="X1216" i="202"/>
  <c r="X1217" i="202"/>
  <c r="X1218" i="202"/>
  <c r="X1219" i="202"/>
  <c r="X1220" i="202"/>
  <c r="X1221" i="202"/>
  <c r="X1222" i="202"/>
  <c r="X1223" i="202"/>
  <c r="X1224" i="202"/>
  <c r="X1225" i="202"/>
  <c r="X1226" i="202"/>
  <c r="X1227" i="202"/>
  <c r="X1228" i="202"/>
  <c r="X1229" i="202"/>
  <c r="X1230" i="202"/>
  <c r="X1231" i="202"/>
  <c r="X1232" i="202"/>
  <c r="X1233" i="202"/>
  <c r="X1234" i="202"/>
  <c r="X1235" i="202"/>
  <c r="X1236" i="202"/>
  <c r="X1237" i="202"/>
  <c r="X1238" i="202"/>
  <c r="X1239" i="202"/>
  <c r="X1240" i="202"/>
  <c r="X1241" i="202"/>
  <c r="X1242" i="202"/>
  <c r="X1243" i="202"/>
  <c r="X1244" i="202"/>
  <c r="X1245" i="202"/>
  <c r="X1246" i="202"/>
  <c r="X1247" i="202"/>
  <c r="X1248" i="202"/>
  <c r="X1249" i="202"/>
  <c r="X1250" i="202"/>
  <c r="X1251" i="202"/>
  <c r="X1252" i="202"/>
  <c r="X1253" i="202"/>
  <c r="X1254" i="202"/>
  <c r="X1255" i="202"/>
  <c r="X1256" i="202"/>
  <c r="X1257" i="202"/>
  <c r="X1258" i="202"/>
  <c r="X1259" i="202"/>
  <c r="X1260" i="202"/>
  <c r="X1261" i="202"/>
  <c r="X1262" i="202"/>
  <c r="X1263" i="202"/>
  <c r="X1264" i="202"/>
  <c r="X1265" i="202"/>
  <c r="X1266" i="202"/>
  <c r="X1267" i="202"/>
  <c r="X1268" i="202"/>
  <c r="X1269" i="202"/>
  <c r="X1270" i="202"/>
  <c r="X1271" i="202"/>
  <c r="X1272" i="202"/>
  <c r="X1273" i="202"/>
  <c r="X1274" i="202"/>
  <c r="X1275" i="202"/>
  <c r="X1276" i="202"/>
  <c r="X1277" i="202"/>
  <c r="X1278" i="202"/>
  <c r="X1279" i="202"/>
  <c r="X1280" i="202"/>
  <c r="X1281" i="202"/>
  <c r="X1282" i="202"/>
  <c r="X1283" i="202"/>
  <c r="X1284" i="202"/>
  <c r="X1285" i="202"/>
  <c r="X1286" i="202"/>
  <c r="X1287" i="202"/>
  <c r="X1288" i="202"/>
  <c r="X1289" i="202"/>
  <c r="X1290" i="202"/>
  <c r="X1291" i="202"/>
  <c r="X1292" i="202"/>
  <c r="X1293" i="202"/>
  <c r="X1294" i="202"/>
  <c r="X1295" i="202"/>
  <c r="X1296" i="202"/>
  <c r="X1297" i="202"/>
  <c r="X1298" i="202"/>
  <c r="X1299" i="202"/>
  <c r="X1300" i="202"/>
  <c r="X1301" i="202"/>
  <c r="X1302" i="202"/>
  <c r="X1303" i="202"/>
  <c r="X1304" i="202"/>
  <c r="X1305" i="202"/>
  <c r="X1306" i="202"/>
  <c r="X1307" i="202"/>
  <c r="X1308" i="202"/>
  <c r="X1309" i="202"/>
  <c r="X1310" i="202"/>
  <c r="X1311" i="202"/>
  <c r="X1312" i="202"/>
  <c r="X1313" i="202"/>
  <c r="X1314" i="202"/>
  <c r="X1315" i="202"/>
  <c r="X1316" i="202"/>
  <c r="X1317" i="202"/>
  <c r="X1318" i="202"/>
  <c r="X1319" i="202"/>
  <c r="X1320" i="202"/>
  <c r="X1321" i="202"/>
  <c r="X1322" i="202"/>
  <c r="X1323" i="202"/>
  <c r="X1324" i="202"/>
  <c r="X1325" i="202"/>
  <c r="X1326" i="202"/>
  <c r="X1327" i="202"/>
  <c r="X1328" i="202"/>
  <c r="X1329" i="202"/>
  <c r="X1330" i="202"/>
  <c r="X1331" i="202"/>
  <c r="X1332" i="202"/>
  <c r="X1333" i="202"/>
  <c r="X1334" i="202"/>
  <c r="X1335" i="202"/>
  <c r="X1336" i="202"/>
  <c r="X1337" i="202"/>
  <c r="X1338" i="202"/>
  <c r="X1339" i="202"/>
  <c r="X1340" i="202"/>
  <c r="X1341" i="202"/>
  <c r="X1342" i="202"/>
  <c r="X1343" i="202"/>
  <c r="X1344" i="202"/>
  <c r="X1345" i="202"/>
  <c r="X1346" i="202"/>
  <c r="X1347" i="202"/>
  <c r="X1348" i="202"/>
  <c r="X1349" i="202"/>
  <c r="X1350" i="202"/>
  <c r="X1351" i="202"/>
  <c r="X1352" i="202"/>
  <c r="X1353" i="202"/>
  <c r="X1354" i="202"/>
  <c r="X1355" i="202"/>
  <c r="X1356" i="202"/>
  <c r="X1357" i="202"/>
  <c r="X1358" i="202"/>
  <c r="X1359" i="202"/>
  <c r="X1360" i="202"/>
  <c r="X1361" i="202"/>
  <c r="X1362" i="202"/>
  <c r="X1363" i="202"/>
  <c r="X1364" i="202"/>
  <c r="X1365" i="202"/>
  <c r="X1366" i="202"/>
  <c r="X1367" i="202"/>
  <c r="X1368" i="202"/>
  <c r="X1369" i="202"/>
  <c r="X1370" i="202"/>
  <c r="X1371" i="202"/>
  <c r="X1372" i="202"/>
  <c r="X1373" i="202"/>
  <c r="X1374" i="202"/>
  <c r="X1375" i="202"/>
  <c r="X1376" i="202"/>
  <c r="X1377" i="202"/>
  <c r="X1378" i="202"/>
  <c r="X1379" i="202"/>
  <c r="X1380" i="202"/>
  <c r="X1381" i="202"/>
  <c r="X1382" i="202"/>
  <c r="X1383" i="202"/>
  <c r="X1384" i="202"/>
  <c r="X1385" i="202"/>
  <c r="X1386" i="202"/>
  <c r="X1387" i="202"/>
  <c r="X1388" i="202"/>
  <c r="X1389" i="202"/>
  <c r="X1390" i="202"/>
  <c r="X1391" i="202"/>
  <c r="X1392" i="202"/>
  <c r="X1393" i="202"/>
  <c r="X1394" i="202"/>
  <c r="X1395" i="202"/>
  <c r="X1396" i="202"/>
  <c r="X1397" i="202"/>
  <c r="X1398" i="202"/>
  <c r="X1399" i="202"/>
  <c r="X1400" i="202"/>
  <c r="X1401" i="202"/>
  <c r="X1402" i="202"/>
  <c r="X1403" i="202"/>
  <c r="X1404" i="202"/>
  <c r="X1405" i="202"/>
  <c r="X1406" i="202"/>
  <c r="X1407" i="202"/>
  <c r="X1408" i="202"/>
  <c r="X1409" i="202"/>
  <c r="X1410" i="202"/>
  <c r="X1411" i="202"/>
  <c r="X1412" i="202"/>
  <c r="X1413" i="202"/>
  <c r="X1414" i="202"/>
  <c r="X1415" i="202"/>
  <c r="X1416" i="202"/>
  <c r="X1417" i="202"/>
  <c r="X1418" i="202"/>
  <c r="X1419" i="202"/>
  <c r="X1420" i="202"/>
  <c r="X1421" i="202"/>
  <c r="X1422" i="202"/>
  <c r="X1423" i="202"/>
  <c r="X1424" i="202"/>
  <c r="X1425" i="202"/>
  <c r="X1426" i="202"/>
  <c r="X1427" i="202"/>
  <c r="X1428" i="202"/>
  <c r="X1429" i="202"/>
  <c r="X1430" i="202"/>
  <c r="X1431" i="202"/>
  <c r="X1432" i="202"/>
  <c r="X1433" i="202"/>
  <c r="X1434" i="202"/>
  <c r="X1435" i="202"/>
  <c r="X1436" i="202"/>
  <c r="X1437" i="202"/>
  <c r="X1438" i="202"/>
  <c r="X1439" i="202"/>
  <c r="X1440" i="202"/>
  <c r="X1441" i="202"/>
  <c r="X1442" i="202"/>
  <c r="X1443" i="202"/>
  <c r="X1444" i="202"/>
  <c r="X1445" i="202"/>
  <c r="X1446" i="202"/>
  <c r="X1447" i="202"/>
  <c r="X1448" i="202"/>
  <c r="X1449" i="202"/>
  <c r="X1450" i="202"/>
  <c r="X1451" i="202"/>
  <c r="X1452" i="202"/>
  <c r="X1453" i="202"/>
  <c r="X1454" i="202"/>
  <c r="X1455" i="202"/>
  <c r="X1456" i="202"/>
  <c r="X1457" i="202"/>
  <c r="X1458" i="202"/>
  <c r="X1459" i="202"/>
  <c r="X1460" i="202"/>
  <c r="X1461" i="202"/>
  <c r="X1462" i="202"/>
  <c r="X1463" i="202"/>
  <c r="X1464" i="202"/>
  <c r="X1465" i="202"/>
  <c r="X1466" i="202"/>
  <c r="X1467" i="202"/>
  <c r="X1468" i="202"/>
  <c r="X1469" i="202"/>
  <c r="X1470" i="202"/>
  <c r="X1471" i="202"/>
  <c r="X1472" i="202"/>
  <c r="X1473" i="202"/>
  <c r="X1474" i="202"/>
  <c r="X1475" i="202"/>
  <c r="X1476" i="202"/>
  <c r="X1477" i="202"/>
  <c r="X1478" i="202"/>
  <c r="X1479" i="202"/>
  <c r="X1480" i="202"/>
  <c r="X1481" i="202"/>
  <c r="X1482" i="202"/>
  <c r="X1483" i="202"/>
  <c r="X1484" i="202"/>
  <c r="X1485" i="202"/>
  <c r="X1486" i="202"/>
  <c r="X1487" i="202"/>
  <c r="X1488" i="202"/>
  <c r="X1489" i="202"/>
  <c r="X1490" i="202"/>
  <c r="X1491" i="202"/>
  <c r="X1492" i="202"/>
  <c r="X1493" i="202"/>
  <c r="X1494" i="202"/>
  <c r="X1495" i="202"/>
  <c r="X1496" i="202"/>
  <c r="X1497" i="202"/>
  <c r="X1498" i="202"/>
  <c r="X1499" i="202"/>
  <c r="X1500" i="202"/>
  <c r="X1501" i="202"/>
  <c r="X1502" i="202"/>
  <c r="X1503" i="202"/>
  <c r="X1504" i="202"/>
  <c r="X1505" i="202"/>
  <c r="X1506" i="202"/>
  <c r="X1507" i="202"/>
  <c r="X1508" i="202"/>
  <c r="X1509" i="202"/>
  <c r="X1510" i="202"/>
  <c r="X1511" i="202"/>
  <c r="X1512" i="202"/>
  <c r="X1513" i="202"/>
  <c r="X1514" i="202"/>
  <c r="X1515" i="202"/>
  <c r="X1516" i="202"/>
  <c r="X1517" i="202"/>
  <c r="X1518" i="202"/>
  <c r="X1519" i="202"/>
  <c r="X1520" i="202"/>
  <c r="X1521" i="202"/>
  <c r="X1522" i="202"/>
  <c r="X1523" i="202"/>
  <c r="X1524" i="202"/>
  <c r="X1525" i="202"/>
  <c r="X1526" i="202"/>
  <c r="X1527" i="202"/>
  <c r="X1528" i="202"/>
  <c r="X1529" i="202"/>
  <c r="X1530" i="202"/>
  <c r="X1531" i="202"/>
  <c r="X1532" i="202"/>
  <c r="X1533" i="202"/>
  <c r="X1534" i="202"/>
  <c r="X1535" i="202"/>
  <c r="X1536" i="202"/>
  <c r="X1537" i="202"/>
  <c r="X1538" i="202"/>
  <c r="X1539" i="202"/>
  <c r="X1540" i="202"/>
  <c r="X1541" i="202"/>
  <c r="X1542" i="202"/>
  <c r="X1543" i="202"/>
  <c r="X1544" i="202"/>
  <c r="X1545" i="202"/>
  <c r="X1546" i="202"/>
  <c r="X1547" i="202"/>
  <c r="X1548" i="202"/>
  <c r="X1549" i="202"/>
  <c r="X1550" i="202"/>
  <c r="X1551" i="202"/>
  <c r="X1552" i="202"/>
  <c r="X1553" i="202"/>
  <c r="X1554" i="202"/>
  <c r="X1555" i="202"/>
  <c r="X1556" i="202"/>
  <c r="X1557" i="202"/>
  <c r="X1558" i="202"/>
  <c r="X1559" i="202"/>
  <c r="X1560" i="202"/>
  <c r="X1561" i="202"/>
  <c r="X1562" i="202"/>
  <c r="X1563" i="202"/>
  <c r="X1564" i="202"/>
  <c r="X1565" i="202"/>
  <c r="X1566" i="202"/>
  <c r="X1567" i="202"/>
  <c r="X1568" i="202"/>
  <c r="X1569" i="202"/>
  <c r="X1570" i="202"/>
  <c r="X1571" i="202"/>
  <c r="X1572" i="202"/>
  <c r="X1573" i="202"/>
  <c r="X1574" i="202"/>
  <c r="X1575" i="202"/>
  <c r="X1576" i="202"/>
  <c r="X1577" i="202"/>
  <c r="X1578" i="202"/>
  <c r="X1579" i="202"/>
  <c r="X1580" i="202"/>
  <c r="X1581" i="202"/>
  <c r="X1582" i="202"/>
  <c r="X1583" i="202"/>
  <c r="X1584" i="202"/>
  <c r="X1585" i="202"/>
  <c r="X1586" i="202"/>
  <c r="X1587" i="202"/>
  <c r="X1588" i="202"/>
  <c r="X1589" i="202"/>
  <c r="X1590" i="202"/>
  <c r="X1591" i="202"/>
  <c r="X1592" i="202"/>
  <c r="X1593" i="202"/>
  <c r="X1594" i="202"/>
  <c r="X1595" i="202"/>
  <c r="X1596" i="202"/>
  <c r="X1597" i="202"/>
  <c r="X1598" i="202"/>
  <c r="X1599" i="202"/>
  <c r="X1600" i="202"/>
  <c r="X1601" i="202"/>
  <c r="X1602" i="202"/>
  <c r="X1603" i="202"/>
  <c r="X1604" i="202"/>
  <c r="X1605" i="202"/>
  <c r="X1606" i="202"/>
  <c r="X1607" i="202"/>
  <c r="X1608" i="202"/>
  <c r="X1609" i="202"/>
  <c r="X1610" i="202"/>
  <c r="X1611" i="202"/>
  <c r="X1612" i="202"/>
  <c r="X1613" i="202"/>
  <c r="X1614" i="202"/>
  <c r="X1615" i="202"/>
  <c r="X1616" i="202"/>
  <c r="X1617" i="202"/>
  <c r="X1618" i="202"/>
  <c r="X1619" i="202"/>
  <c r="X1620" i="202"/>
  <c r="X1621" i="202"/>
  <c r="X1622" i="202"/>
  <c r="X1623" i="202"/>
  <c r="X1624" i="202"/>
  <c r="X1625" i="202"/>
  <c r="X1626" i="202"/>
  <c r="X1627" i="202"/>
  <c r="X1628" i="202"/>
  <c r="X1629" i="202"/>
  <c r="X1630" i="202"/>
  <c r="X1631" i="202"/>
  <c r="X1632" i="202"/>
  <c r="X1633" i="202"/>
  <c r="X1634" i="202"/>
  <c r="X1635" i="202"/>
  <c r="X1636" i="202"/>
  <c r="X1637" i="202"/>
  <c r="X1638" i="202"/>
  <c r="X1639" i="202"/>
  <c r="X1640" i="202"/>
  <c r="X1641" i="202"/>
  <c r="X1642" i="202"/>
  <c r="X1643" i="202"/>
  <c r="X1644" i="202"/>
  <c r="X1645" i="202"/>
  <c r="X1646" i="202"/>
  <c r="X1647" i="202"/>
  <c r="X1648" i="202"/>
  <c r="X1649" i="202"/>
  <c r="X1650" i="202"/>
  <c r="X1651" i="202"/>
  <c r="X1652" i="202"/>
  <c r="X1653" i="202"/>
  <c r="X1654" i="202"/>
  <c r="X1655" i="202"/>
  <c r="X1656" i="202"/>
  <c r="X1657" i="202"/>
  <c r="X1658" i="202"/>
  <c r="X1659" i="202"/>
  <c r="X1660" i="202"/>
  <c r="X1661" i="202"/>
  <c r="X1662" i="202"/>
  <c r="X1663" i="202"/>
  <c r="X1664" i="202"/>
  <c r="X1665" i="202"/>
  <c r="X1666" i="202"/>
  <c r="X1667" i="202"/>
  <c r="X1668" i="202"/>
  <c r="X1669" i="202"/>
  <c r="X1670" i="202"/>
  <c r="X1671" i="202"/>
  <c r="X1672" i="202"/>
  <c r="X1673" i="202"/>
  <c r="X1674" i="202"/>
  <c r="X1675" i="202"/>
  <c r="X1676" i="202"/>
  <c r="X1677" i="202"/>
  <c r="X1678" i="202"/>
  <c r="X1679" i="202"/>
  <c r="X1680" i="202"/>
  <c r="X1681" i="202"/>
  <c r="X1682" i="202"/>
  <c r="X1683" i="202"/>
  <c r="X1684" i="202"/>
  <c r="X1685" i="202"/>
  <c r="X1686" i="202"/>
  <c r="X1687" i="202"/>
  <c r="X1688" i="202"/>
  <c r="X1689" i="202"/>
  <c r="X1690" i="202"/>
  <c r="X1691" i="202"/>
  <c r="X1692" i="202"/>
  <c r="X1693" i="202"/>
  <c r="X1694" i="202"/>
  <c r="X1695" i="202"/>
  <c r="X1696" i="202"/>
  <c r="X1697" i="202"/>
  <c r="X1698" i="202"/>
  <c r="X1699" i="202"/>
  <c r="X1700" i="202"/>
  <c r="X1701" i="202"/>
  <c r="X1702" i="202"/>
  <c r="X1703" i="202"/>
  <c r="X1704" i="202"/>
  <c r="X1705" i="202"/>
  <c r="X1706" i="202"/>
  <c r="X1707" i="202"/>
  <c r="X1708" i="202"/>
  <c r="X1709" i="202"/>
  <c r="X1710" i="202"/>
  <c r="X1711" i="202"/>
  <c r="X1712" i="202"/>
  <c r="X1713" i="202"/>
  <c r="X1714" i="202"/>
  <c r="X1715" i="202"/>
  <c r="X1716" i="202"/>
  <c r="X1717" i="202"/>
  <c r="X1718" i="202"/>
  <c r="X1719" i="202"/>
  <c r="X1720" i="202"/>
  <c r="X1721" i="202"/>
  <c r="X1722" i="202"/>
  <c r="X1723" i="202"/>
  <c r="X1724" i="202"/>
  <c r="X1725" i="202"/>
  <c r="X1726" i="202"/>
  <c r="X1727" i="202"/>
  <c r="X1728" i="202"/>
  <c r="X1729" i="202"/>
  <c r="X1730" i="202"/>
  <c r="X1731" i="202"/>
  <c r="X1732" i="202"/>
  <c r="X1733" i="202"/>
  <c r="X1734" i="202"/>
  <c r="X1735" i="202"/>
  <c r="X1736" i="202"/>
  <c r="X1737" i="202"/>
  <c r="X1738" i="202"/>
  <c r="X1739" i="202"/>
  <c r="X1740" i="202"/>
  <c r="X1741" i="202"/>
  <c r="X1742" i="202"/>
  <c r="X1743" i="202"/>
  <c r="X1744" i="202"/>
  <c r="X1745" i="202"/>
  <c r="X1746" i="202"/>
  <c r="X1747" i="202"/>
  <c r="X1748" i="202"/>
  <c r="X1749" i="202"/>
  <c r="X1750" i="202"/>
  <c r="X1751" i="202"/>
  <c r="X1752" i="202"/>
  <c r="X1753" i="202"/>
  <c r="X1754" i="202"/>
  <c r="X1755" i="202"/>
  <c r="X1756" i="202"/>
  <c r="X1757" i="202"/>
  <c r="X1758" i="202"/>
  <c r="X1759" i="202"/>
  <c r="X1760" i="202"/>
  <c r="X1761" i="202"/>
  <c r="X1762" i="202"/>
  <c r="X1763" i="202"/>
  <c r="X1764" i="202"/>
  <c r="X1765" i="202"/>
  <c r="X1766" i="202"/>
  <c r="X1767" i="202"/>
  <c r="X1768" i="202"/>
  <c r="X1769" i="202"/>
  <c r="X1770" i="202"/>
  <c r="X1771" i="202"/>
  <c r="X1772" i="202"/>
  <c r="X1773" i="202"/>
  <c r="X1774" i="202"/>
  <c r="X1775" i="202"/>
  <c r="X1776" i="202"/>
  <c r="X1777" i="202"/>
  <c r="X1778" i="202"/>
  <c r="X1779" i="202"/>
  <c r="X1780" i="202"/>
  <c r="X1781" i="202"/>
  <c r="X1782" i="202"/>
  <c r="X1783" i="202"/>
  <c r="X1784" i="202"/>
  <c r="X1785" i="202"/>
  <c r="X1786" i="202"/>
  <c r="X1787" i="202"/>
  <c r="X1788" i="202"/>
  <c r="X1789" i="202"/>
  <c r="X1790" i="202"/>
  <c r="X1791" i="202"/>
  <c r="X1792" i="202"/>
  <c r="X1793" i="202"/>
  <c r="X1794" i="202"/>
  <c r="X1795" i="202"/>
  <c r="X1796" i="202"/>
  <c r="X1797" i="202"/>
  <c r="X1798" i="202"/>
  <c r="X1799" i="202"/>
  <c r="X1800" i="202"/>
  <c r="X1801" i="202"/>
  <c r="X1802" i="202"/>
  <c r="X1803" i="202"/>
  <c r="X1804" i="202"/>
  <c r="X1805" i="202"/>
  <c r="X1806" i="202"/>
  <c r="X1807" i="202"/>
  <c r="X1808" i="202"/>
  <c r="X1809" i="202"/>
  <c r="X1810" i="202"/>
  <c r="X1811" i="202"/>
  <c r="X1812" i="202"/>
  <c r="X1813" i="202"/>
  <c r="X1814" i="202"/>
  <c r="X1815" i="202"/>
  <c r="X1816" i="202"/>
  <c r="X1817" i="202"/>
  <c r="X1818" i="202"/>
  <c r="X1819" i="202"/>
  <c r="X1820" i="202"/>
  <c r="X1821" i="202"/>
  <c r="X1822" i="202"/>
  <c r="X1823" i="202"/>
  <c r="X1824" i="202"/>
  <c r="X1825" i="202"/>
  <c r="X1826" i="202"/>
  <c r="X1827" i="202"/>
  <c r="X1828" i="202"/>
  <c r="X1829" i="202"/>
  <c r="X1830" i="202"/>
  <c r="X1831" i="202"/>
  <c r="X1832" i="202"/>
  <c r="X1833" i="202"/>
  <c r="X1834" i="202"/>
  <c r="X1835" i="202"/>
  <c r="X1836" i="202"/>
  <c r="X1837" i="202"/>
  <c r="X1838" i="202"/>
  <c r="X1839" i="202"/>
  <c r="X1840" i="202"/>
  <c r="X1841" i="202"/>
  <c r="X1842" i="202"/>
  <c r="X1843" i="202"/>
  <c r="X1844" i="202"/>
  <c r="X1845" i="202"/>
  <c r="X1846" i="202"/>
  <c r="X1847" i="202"/>
  <c r="X1848" i="202"/>
  <c r="X1849" i="202"/>
  <c r="X1850" i="202"/>
  <c r="X1851" i="202"/>
  <c r="X1852" i="202"/>
  <c r="X1853" i="202"/>
  <c r="X1854" i="202"/>
  <c r="X1855" i="202"/>
  <c r="X1856" i="202"/>
  <c r="X1857" i="202"/>
  <c r="X1858" i="202"/>
  <c r="X1859" i="202"/>
  <c r="X1860" i="202"/>
  <c r="X1861" i="202"/>
  <c r="X1862" i="202"/>
  <c r="X1863" i="202"/>
  <c r="X1864" i="202"/>
  <c r="X1865" i="202"/>
  <c r="X1866" i="202"/>
  <c r="X1867" i="202"/>
  <c r="X1868" i="202"/>
  <c r="X1869" i="202"/>
  <c r="X1870" i="202"/>
  <c r="X1871" i="202"/>
  <c r="X1872" i="202"/>
  <c r="X1873" i="202"/>
  <c r="X1874" i="202"/>
  <c r="X1875" i="202"/>
  <c r="X1876" i="202"/>
  <c r="X1877" i="202"/>
  <c r="X1878" i="202"/>
  <c r="X1879" i="202"/>
  <c r="X1880" i="202"/>
  <c r="X1881" i="202"/>
  <c r="X1882" i="202"/>
  <c r="X1883" i="202"/>
  <c r="X1884" i="202"/>
  <c r="X1885" i="202"/>
  <c r="X1886" i="202"/>
  <c r="X1887" i="202"/>
  <c r="X1888" i="202"/>
  <c r="X1889" i="202"/>
  <c r="X1890" i="202"/>
  <c r="X1891" i="202"/>
  <c r="X1892" i="202"/>
  <c r="X1893" i="202"/>
  <c r="X1894" i="202"/>
  <c r="X1895" i="202"/>
  <c r="X1896" i="202"/>
  <c r="X1897" i="202"/>
  <c r="X1898" i="202"/>
  <c r="X1899" i="202"/>
  <c r="X1900" i="202"/>
  <c r="X1901" i="202"/>
  <c r="X1902" i="202"/>
  <c r="X1903" i="202"/>
  <c r="X1904" i="202"/>
  <c r="X1905" i="202"/>
  <c r="X1906" i="202"/>
  <c r="X1907" i="202"/>
  <c r="X1908" i="202"/>
  <c r="X1909" i="202"/>
  <c r="X1910" i="202"/>
  <c r="X1911" i="202"/>
  <c r="X1912" i="202"/>
  <c r="X1913" i="202"/>
  <c r="X1914" i="202"/>
  <c r="X1915" i="202"/>
  <c r="X1916" i="202"/>
  <c r="X1917" i="202"/>
  <c r="X1918" i="202"/>
  <c r="X1919" i="202"/>
  <c r="X1920" i="202"/>
  <c r="X1921" i="202"/>
  <c r="X1922" i="202"/>
  <c r="X1923" i="202"/>
  <c r="X1924" i="202"/>
  <c r="X1925" i="202"/>
  <c r="X1926" i="202"/>
  <c r="X1927" i="202"/>
  <c r="X1928" i="202"/>
  <c r="X1929" i="202"/>
  <c r="X1930" i="202"/>
  <c r="X1931" i="202"/>
  <c r="X1932" i="202"/>
  <c r="X1933" i="202"/>
  <c r="X1934" i="202"/>
  <c r="X1935" i="202"/>
  <c r="X1936" i="202"/>
  <c r="X1937" i="202"/>
  <c r="X1938" i="202"/>
  <c r="X1939" i="202"/>
  <c r="X1940" i="202"/>
  <c r="X1941" i="202"/>
  <c r="X1942" i="202"/>
  <c r="X1943" i="202"/>
  <c r="X1944" i="202"/>
  <c r="X1945" i="202"/>
  <c r="X1946" i="202"/>
  <c r="X1947" i="202"/>
  <c r="X1948" i="202"/>
  <c r="X1949" i="202"/>
  <c r="X1950" i="202"/>
  <c r="X1951" i="202"/>
  <c r="X1952" i="202"/>
  <c r="X1953" i="202"/>
  <c r="X1954" i="202"/>
  <c r="X1955" i="202"/>
  <c r="X1956" i="202"/>
  <c r="X1957" i="202"/>
  <c r="X1958" i="202"/>
  <c r="X1959" i="202"/>
  <c r="X1960" i="202"/>
  <c r="X1961" i="202"/>
  <c r="X1962" i="202"/>
  <c r="X1963" i="202"/>
  <c r="X1964" i="202"/>
  <c r="X1965" i="202"/>
  <c r="X1966" i="202"/>
  <c r="X1967" i="202"/>
  <c r="X1968" i="202"/>
  <c r="X1969" i="202"/>
  <c r="X1970" i="202"/>
  <c r="X1971" i="202"/>
  <c r="X1972" i="202"/>
  <c r="X1973" i="202"/>
  <c r="X1974" i="202"/>
  <c r="X1975" i="202"/>
  <c r="X1976" i="202"/>
  <c r="X1977" i="202"/>
  <c r="X1978" i="202"/>
  <c r="X1979" i="202"/>
  <c r="X1980" i="202"/>
  <c r="X1981" i="202"/>
  <c r="X1982" i="202"/>
  <c r="X1983" i="202"/>
  <c r="X1984" i="202"/>
  <c r="X1985" i="202"/>
  <c r="X1986" i="202"/>
  <c r="X1987" i="202"/>
  <c r="X1988" i="202"/>
  <c r="X1989" i="202"/>
  <c r="X1990" i="202"/>
  <c r="X1991" i="202"/>
  <c r="X1992" i="202"/>
  <c r="X1993" i="202"/>
  <c r="X1994" i="202"/>
  <c r="X1995" i="202"/>
  <c r="X1996" i="202"/>
  <c r="X1997" i="202"/>
  <c r="X1998" i="202"/>
  <c r="X1999" i="202"/>
  <c r="X2000" i="202"/>
  <c r="X2001" i="202"/>
  <c r="X2002" i="202"/>
  <c r="X2003" i="202"/>
  <c r="X2004" i="202"/>
  <c r="X2005" i="202"/>
  <c r="X2006" i="202"/>
  <c r="X2007" i="202"/>
  <c r="X2008" i="202"/>
  <c r="X2009" i="202"/>
  <c r="X2010" i="202"/>
  <c r="X2011" i="202"/>
  <c r="X2012" i="202"/>
  <c r="X2013" i="202"/>
  <c r="X2014" i="202"/>
  <c r="X2015" i="202"/>
  <c r="X2016" i="202"/>
  <c r="X2017" i="202"/>
  <c r="X2018" i="202"/>
  <c r="X2019" i="202"/>
  <c r="X2020" i="202"/>
  <c r="X2021" i="202"/>
  <c r="X2022" i="202"/>
  <c r="X2023" i="202"/>
  <c r="X2024" i="202"/>
  <c r="X2025" i="202"/>
  <c r="X2026" i="202"/>
  <c r="X2027" i="202"/>
  <c r="X2028" i="202"/>
  <c r="X2029" i="202"/>
  <c r="X2030" i="202"/>
  <c r="X2031" i="202"/>
  <c r="X2032" i="202"/>
  <c r="X2033" i="202"/>
  <c r="X2034" i="202"/>
  <c r="X2035" i="202"/>
  <c r="X2036" i="202"/>
  <c r="X2037" i="202"/>
  <c r="X2038" i="202"/>
  <c r="X2039" i="202"/>
  <c r="X2040" i="202"/>
  <c r="X2041" i="202"/>
  <c r="X2042" i="202"/>
  <c r="X2043" i="202"/>
  <c r="X2044" i="202"/>
  <c r="X2045" i="202"/>
  <c r="X2046" i="202"/>
  <c r="X2047" i="202"/>
  <c r="X2048" i="202"/>
  <c r="AY2" i="202"/>
  <c r="AY3" i="202"/>
  <c r="AY4" i="202"/>
  <c r="AY5" i="202"/>
  <c r="AY6" i="202"/>
  <c r="AY7" i="202"/>
  <c r="AY8" i="202"/>
  <c r="AY9" i="202"/>
  <c r="AY10" i="202"/>
  <c r="AY11" i="202"/>
  <c r="AY12" i="202"/>
  <c r="AY13" i="202"/>
  <c r="AY14" i="202"/>
  <c r="AY15" i="202"/>
  <c r="AY16" i="202"/>
  <c r="AY17" i="202"/>
  <c r="AY18" i="202"/>
  <c r="AY19" i="202"/>
  <c r="AY20" i="202"/>
  <c r="AY21" i="202"/>
  <c r="AY22" i="202"/>
  <c r="AY23" i="202"/>
  <c r="AY24" i="202"/>
  <c r="AY25" i="202"/>
  <c r="AY26" i="202"/>
  <c r="AY27" i="202"/>
  <c r="AY28" i="202"/>
  <c r="AY29" i="202"/>
  <c r="AY30" i="202"/>
  <c r="AY31" i="202"/>
  <c r="AY32" i="202"/>
  <c r="AY33" i="202"/>
  <c r="AY34" i="202"/>
  <c r="AY35" i="202"/>
  <c r="AY36" i="202"/>
  <c r="AY37" i="202"/>
  <c r="AY38" i="202"/>
  <c r="AY39" i="202"/>
  <c r="AY40" i="202"/>
  <c r="AY41" i="202"/>
  <c r="AY42" i="202"/>
  <c r="AY43" i="202"/>
  <c r="AY44" i="202"/>
  <c r="AY45" i="202"/>
  <c r="AY46" i="202"/>
  <c r="AY47" i="202"/>
  <c r="AY48" i="202"/>
  <c r="AY49" i="202"/>
  <c r="AY50" i="202"/>
  <c r="AY51" i="202"/>
  <c r="AY52" i="202"/>
  <c r="AY53" i="202"/>
  <c r="AY54" i="202"/>
  <c r="AY55" i="202"/>
  <c r="AY56" i="202"/>
  <c r="AY57" i="202"/>
  <c r="AY58" i="202"/>
  <c r="AY59" i="202"/>
  <c r="AY60" i="202"/>
  <c r="AY61" i="202"/>
  <c r="AY62" i="202"/>
  <c r="AY63" i="202"/>
  <c r="AY64" i="202"/>
  <c r="AY65" i="202"/>
  <c r="AY66" i="202"/>
  <c r="AY67" i="202"/>
  <c r="AY68" i="202"/>
  <c r="AY69" i="202"/>
  <c r="AY70" i="202"/>
  <c r="AY71" i="202"/>
  <c r="AY72" i="202"/>
  <c r="AY73" i="202"/>
  <c r="AY74" i="202"/>
  <c r="AY75" i="202"/>
  <c r="AY76" i="202"/>
  <c r="AY77" i="202"/>
  <c r="AY78" i="202"/>
  <c r="AY79" i="202"/>
  <c r="AY80" i="202"/>
  <c r="AY81" i="202"/>
  <c r="AY82" i="202"/>
  <c r="AY83" i="202"/>
  <c r="AY84" i="202"/>
  <c r="AY85" i="202"/>
  <c r="AY86" i="202"/>
  <c r="AY87" i="202"/>
  <c r="AY88" i="202"/>
  <c r="AY89" i="202"/>
  <c r="AY90" i="202"/>
  <c r="AY91" i="202"/>
  <c r="AY92" i="202"/>
  <c r="AY93" i="202"/>
  <c r="AY94" i="202"/>
  <c r="AY95" i="202"/>
  <c r="AY96" i="202"/>
  <c r="AY97" i="202"/>
  <c r="AY98" i="202"/>
  <c r="AY99" i="202"/>
  <c r="AY100" i="202"/>
  <c r="AY101" i="202"/>
  <c r="AY102" i="202"/>
  <c r="AY103" i="202"/>
  <c r="AY104" i="202"/>
  <c r="AY105" i="202"/>
  <c r="AY106" i="202"/>
  <c r="AY107" i="202"/>
  <c r="AY108" i="202"/>
  <c r="AY109" i="202"/>
  <c r="AY110" i="202"/>
  <c r="AY111" i="202"/>
  <c r="AY112" i="202"/>
  <c r="AY113" i="202"/>
  <c r="AY114" i="202"/>
  <c r="AY115" i="202"/>
  <c r="AY116" i="202"/>
  <c r="AY117" i="202"/>
  <c r="AY118" i="202"/>
  <c r="AY119" i="202"/>
  <c r="AY120" i="202"/>
  <c r="AY121" i="202"/>
  <c r="AY122" i="202"/>
  <c r="AY123" i="202"/>
  <c r="AY124" i="202"/>
  <c r="AY125" i="202"/>
  <c r="AY126" i="202"/>
  <c r="AY127" i="202"/>
  <c r="AY128" i="202"/>
  <c r="AY129" i="202"/>
  <c r="AY130" i="202"/>
  <c r="AY131" i="202"/>
  <c r="AY132" i="202"/>
  <c r="AY133" i="202"/>
  <c r="AY134" i="202"/>
  <c r="AY135" i="202"/>
  <c r="AY136" i="202"/>
  <c r="AY137" i="202"/>
  <c r="AY138" i="202"/>
  <c r="AY139" i="202"/>
  <c r="AY140" i="202"/>
  <c r="AY141" i="202"/>
  <c r="AY142" i="202"/>
  <c r="AY143" i="202"/>
  <c r="AY144" i="202"/>
  <c r="AY145" i="202"/>
  <c r="AY146" i="202"/>
  <c r="AY147" i="202"/>
  <c r="AY148" i="202"/>
  <c r="AY149" i="202"/>
  <c r="AY150" i="202"/>
  <c r="AY151" i="202"/>
  <c r="AY152" i="202"/>
  <c r="AY153" i="202"/>
  <c r="AY154" i="202"/>
  <c r="AY155" i="202"/>
  <c r="AY156" i="202"/>
  <c r="AY157" i="202"/>
  <c r="AY158" i="202"/>
  <c r="AY159" i="202"/>
  <c r="AY160" i="202"/>
  <c r="AY161" i="202"/>
  <c r="AY162" i="202"/>
  <c r="AY163" i="202"/>
  <c r="AY164" i="202"/>
  <c r="AY165" i="202"/>
  <c r="AY166" i="202"/>
  <c r="AY167" i="202"/>
  <c r="AY168" i="202"/>
  <c r="AY169" i="202"/>
  <c r="AY170" i="202"/>
  <c r="AY171" i="202"/>
  <c r="AY172" i="202"/>
  <c r="AY173" i="202"/>
  <c r="AY174" i="202"/>
  <c r="AY175" i="202"/>
  <c r="AY176" i="202"/>
  <c r="AY177" i="202"/>
  <c r="AY178" i="202"/>
  <c r="AY179" i="202"/>
  <c r="AY180" i="202"/>
  <c r="AY181" i="202"/>
  <c r="AY182" i="202"/>
  <c r="AY183" i="202"/>
  <c r="AY184" i="202"/>
  <c r="AY185" i="202"/>
  <c r="AY186" i="202"/>
  <c r="AY187" i="202"/>
  <c r="AY188" i="202"/>
  <c r="AY189" i="202"/>
  <c r="AY190" i="202"/>
  <c r="AY191" i="202"/>
  <c r="AY192" i="202"/>
  <c r="AY193" i="202"/>
  <c r="AY194" i="202"/>
  <c r="AY195" i="202"/>
  <c r="AY196" i="202"/>
  <c r="AY197" i="202"/>
  <c r="AY198" i="202"/>
  <c r="AY199" i="202"/>
  <c r="AY200" i="202"/>
  <c r="AY201" i="202"/>
  <c r="AY202" i="202"/>
  <c r="AY203" i="202"/>
  <c r="AY204" i="202"/>
  <c r="AY205" i="202"/>
  <c r="AY206" i="202"/>
  <c r="AY207" i="202"/>
  <c r="AY208" i="202"/>
  <c r="AY209" i="202"/>
  <c r="AY210" i="202"/>
  <c r="AY211" i="202"/>
  <c r="AY212" i="202"/>
  <c r="AY213" i="202"/>
  <c r="AY214" i="202"/>
  <c r="AY215" i="202"/>
  <c r="AY216" i="202"/>
  <c r="AY217" i="202"/>
  <c r="AY218" i="202"/>
  <c r="AY219" i="202"/>
  <c r="AY220" i="202"/>
  <c r="AY221" i="202"/>
  <c r="AY222" i="202"/>
  <c r="AY223" i="202"/>
  <c r="AY224" i="202"/>
  <c r="AY225" i="202"/>
  <c r="AY226" i="202"/>
  <c r="AY227" i="202"/>
  <c r="AY228" i="202"/>
  <c r="AY229" i="202"/>
  <c r="AY230" i="202"/>
  <c r="AY231" i="202"/>
  <c r="AY232" i="202"/>
  <c r="AY233" i="202"/>
  <c r="AY234" i="202"/>
  <c r="AY235" i="202"/>
  <c r="AY236" i="202"/>
  <c r="AY237" i="202"/>
  <c r="AY238" i="202"/>
  <c r="AY239" i="202"/>
  <c r="AY240" i="202"/>
  <c r="AY241" i="202"/>
  <c r="AY242" i="202"/>
  <c r="AY243" i="202"/>
  <c r="AY244" i="202"/>
  <c r="AY245" i="202"/>
  <c r="AY246" i="202"/>
  <c r="AY247" i="202"/>
  <c r="AY248" i="202"/>
  <c r="AY249" i="202"/>
  <c r="AY250" i="202"/>
  <c r="AY251" i="202"/>
  <c r="AY252" i="202"/>
  <c r="AY253" i="202"/>
  <c r="AY254" i="202"/>
  <c r="AY255" i="202"/>
  <c r="AY256" i="202"/>
  <c r="AY257" i="202"/>
  <c r="AY258" i="202"/>
  <c r="AY259" i="202"/>
  <c r="AY260" i="202"/>
  <c r="AY261" i="202"/>
  <c r="AY262" i="202"/>
  <c r="AY263" i="202"/>
  <c r="AY264" i="202"/>
  <c r="AY265" i="202"/>
  <c r="AY266" i="202"/>
  <c r="AY267" i="202"/>
  <c r="AY268" i="202"/>
  <c r="AY269" i="202"/>
  <c r="AY270" i="202"/>
  <c r="AY271" i="202"/>
  <c r="AY272" i="202"/>
  <c r="AY273" i="202"/>
  <c r="AY274" i="202"/>
  <c r="AY275" i="202"/>
  <c r="AY276" i="202"/>
  <c r="AY277" i="202"/>
  <c r="AY278" i="202"/>
  <c r="AY279" i="202"/>
  <c r="AY280" i="202"/>
  <c r="AY281" i="202"/>
  <c r="AY282" i="202"/>
  <c r="AY283" i="202"/>
  <c r="AY284" i="202"/>
  <c r="AY285" i="202"/>
  <c r="AY286" i="202"/>
  <c r="AY287" i="202"/>
  <c r="AY288" i="202"/>
  <c r="AY289" i="202"/>
  <c r="AY290" i="202"/>
  <c r="AY291" i="202"/>
  <c r="AY292" i="202"/>
  <c r="AY293" i="202"/>
  <c r="AY294" i="202"/>
  <c r="AY295" i="202"/>
  <c r="AY296" i="202"/>
  <c r="AY297" i="202"/>
  <c r="AY298" i="202"/>
  <c r="AY299" i="202"/>
  <c r="AY300" i="202"/>
  <c r="AY301" i="202"/>
  <c r="AY302" i="202"/>
  <c r="AY303" i="202"/>
  <c r="AY304" i="202"/>
  <c r="AY305" i="202"/>
  <c r="AY306" i="202"/>
  <c r="AY307" i="202"/>
  <c r="AY308" i="202"/>
  <c r="AY309" i="202"/>
  <c r="AY310" i="202"/>
  <c r="AY311" i="202"/>
  <c r="AY312" i="202"/>
  <c r="AY313" i="202"/>
  <c r="AY314" i="202"/>
  <c r="AY315" i="202"/>
  <c r="AY316" i="202"/>
  <c r="AY317" i="202"/>
  <c r="AY318" i="202"/>
  <c r="AY319" i="202"/>
  <c r="AY320" i="202"/>
  <c r="AY321" i="202"/>
  <c r="AY322" i="202"/>
  <c r="AY323" i="202"/>
  <c r="AY324" i="202"/>
  <c r="AY325" i="202"/>
  <c r="AY326" i="202"/>
  <c r="AY327" i="202"/>
  <c r="AY328" i="202"/>
  <c r="AY329" i="202"/>
  <c r="AY330" i="202"/>
  <c r="AY331" i="202"/>
  <c r="AY332" i="202"/>
  <c r="AY333" i="202"/>
  <c r="AY334" i="202"/>
  <c r="AY335" i="202"/>
  <c r="AY336" i="202"/>
  <c r="AY337" i="202"/>
  <c r="AY338" i="202"/>
  <c r="AY339" i="202"/>
  <c r="AY340" i="202"/>
  <c r="AY341" i="202"/>
  <c r="AY342" i="202"/>
  <c r="AY343" i="202"/>
  <c r="AY344" i="202"/>
  <c r="AY345" i="202"/>
  <c r="AY346" i="202"/>
  <c r="AY347" i="202"/>
  <c r="AY348" i="202"/>
  <c r="AY349" i="202"/>
  <c r="AY350" i="202"/>
  <c r="AY351" i="202"/>
  <c r="AY352" i="202"/>
  <c r="AY353" i="202"/>
  <c r="AY354" i="202"/>
  <c r="AY355" i="202"/>
  <c r="AY356" i="202"/>
  <c r="AY357" i="202"/>
  <c r="AY358" i="202"/>
  <c r="AY359" i="202"/>
  <c r="AY360" i="202"/>
  <c r="AY361" i="202"/>
  <c r="AY362" i="202"/>
  <c r="AY363" i="202"/>
  <c r="AY364" i="202"/>
  <c r="AY365" i="202"/>
  <c r="AY366" i="202"/>
  <c r="AY367" i="202"/>
  <c r="AY368" i="202"/>
  <c r="AY369" i="202"/>
  <c r="AY370" i="202"/>
  <c r="AY371" i="202"/>
  <c r="AY372" i="202"/>
  <c r="AY373" i="202"/>
  <c r="AY374" i="202"/>
  <c r="AY375" i="202"/>
  <c r="AY376" i="202"/>
  <c r="AY377" i="202"/>
  <c r="AY378" i="202"/>
  <c r="AY379" i="202"/>
  <c r="AY380" i="202"/>
  <c r="AY381" i="202"/>
  <c r="AY382" i="202"/>
  <c r="AY383" i="202"/>
  <c r="AY384" i="202"/>
  <c r="AY385" i="202"/>
  <c r="AY386" i="202"/>
  <c r="AY387" i="202"/>
  <c r="AY388" i="202"/>
  <c r="AY389" i="202"/>
  <c r="AY390" i="202"/>
  <c r="AY391" i="202"/>
  <c r="AY392" i="202"/>
  <c r="AY393" i="202"/>
  <c r="AY394" i="202"/>
  <c r="AY395" i="202"/>
  <c r="AY396" i="202"/>
  <c r="AY397" i="202"/>
  <c r="AY398" i="202"/>
  <c r="AY399" i="202"/>
  <c r="AY400" i="202"/>
  <c r="AY401" i="202"/>
  <c r="AY402" i="202"/>
  <c r="AY403" i="202"/>
  <c r="AY404" i="202"/>
  <c r="AY405" i="202"/>
  <c r="AY406" i="202"/>
  <c r="AY407" i="202"/>
  <c r="AY408" i="202"/>
  <c r="AY409" i="202"/>
  <c r="AY410" i="202"/>
  <c r="AY411" i="202"/>
  <c r="AY412" i="202"/>
  <c r="AY413" i="202"/>
  <c r="AY414" i="202"/>
  <c r="AY415" i="202"/>
  <c r="AY416" i="202"/>
  <c r="AY417" i="202"/>
  <c r="AY418" i="202"/>
  <c r="AY419" i="202"/>
  <c r="AY420" i="202"/>
  <c r="AY421" i="202"/>
  <c r="AY422" i="202"/>
  <c r="AY423" i="202"/>
  <c r="AY424" i="202"/>
  <c r="AY425" i="202"/>
  <c r="AY426" i="202"/>
  <c r="AY427" i="202"/>
  <c r="AY428" i="202"/>
  <c r="AY429" i="202"/>
  <c r="AY430" i="202"/>
  <c r="AY431" i="202"/>
  <c r="AY432" i="202"/>
  <c r="AY433" i="202"/>
  <c r="AY434" i="202"/>
  <c r="AY435" i="202"/>
  <c r="AY436" i="202"/>
  <c r="AY437" i="202"/>
  <c r="AY438" i="202"/>
  <c r="AY439" i="202"/>
  <c r="AY440" i="202"/>
  <c r="AY441" i="202"/>
  <c r="AY442" i="202"/>
  <c r="AY443" i="202"/>
  <c r="AY444" i="202"/>
  <c r="AY445" i="202"/>
  <c r="AY446" i="202"/>
  <c r="AY447" i="202"/>
  <c r="AY448" i="202"/>
  <c r="AY449" i="202"/>
  <c r="AY450" i="202"/>
  <c r="AY451" i="202"/>
  <c r="AY452" i="202"/>
  <c r="AY453" i="202"/>
  <c r="AY454" i="202"/>
  <c r="AY455" i="202"/>
  <c r="AY456" i="202"/>
  <c r="AY457" i="202"/>
  <c r="AY458" i="202"/>
  <c r="AY459" i="202"/>
  <c r="AY460" i="202"/>
  <c r="AY461" i="202"/>
  <c r="AY462" i="202"/>
  <c r="AY463" i="202"/>
  <c r="AY464" i="202"/>
  <c r="AY465" i="202"/>
  <c r="AY466" i="202"/>
  <c r="AY467" i="202"/>
  <c r="AY468" i="202"/>
  <c r="AY469" i="202"/>
  <c r="AY470" i="202"/>
  <c r="AY471" i="202"/>
  <c r="AY472" i="202"/>
  <c r="AY473" i="202"/>
  <c r="AY474" i="202"/>
  <c r="AY475" i="202"/>
  <c r="AY476" i="202"/>
  <c r="AY477" i="202"/>
  <c r="AY478" i="202"/>
  <c r="AY479" i="202"/>
  <c r="AY480" i="202"/>
  <c r="AY481" i="202"/>
  <c r="AY482" i="202"/>
  <c r="AY483" i="202"/>
  <c r="AY484" i="202"/>
  <c r="AY485" i="202"/>
  <c r="AY486" i="202"/>
  <c r="AY487" i="202"/>
  <c r="AY488" i="202"/>
  <c r="AY489" i="202"/>
  <c r="AY490" i="202"/>
  <c r="AY491" i="202"/>
  <c r="AY492" i="202"/>
  <c r="AY493" i="202"/>
  <c r="AY494" i="202"/>
  <c r="AY495" i="202"/>
  <c r="AY496" i="202"/>
  <c r="AY497" i="202"/>
  <c r="AY498" i="202"/>
  <c r="AY499" i="202"/>
  <c r="AY500" i="202"/>
  <c r="AY501" i="202"/>
  <c r="AY502" i="202"/>
  <c r="AY503" i="202"/>
  <c r="AY504" i="202"/>
  <c r="AY505" i="202"/>
  <c r="AY506" i="202"/>
  <c r="AY507" i="202"/>
  <c r="AY508" i="202"/>
  <c r="AY509" i="202"/>
  <c r="AY510" i="202"/>
  <c r="AY511" i="202"/>
  <c r="AY512" i="202"/>
  <c r="AY513" i="202"/>
  <c r="AY514" i="202"/>
  <c r="AY515" i="202"/>
  <c r="AY516" i="202"/>
  <c r="AY517" i="202"/>
  <c r="AY518" i="202"/>
  <c r="AY519" i="202"/>
  <c r="AY520" i="202"/>
  <c r="AY521" i="202"/>
  <c r="AY522" i="202"/>
  <c r="AY523" i="202"/>
  <c r="AY524" i="202"/>
  <c r="AY525" i="202"/>
  <c r="AY526" i="202"/>
  <c r="AY527" i="202"/>
  <c r="AY528" i="202"/>
  <c r="AY529" i="202"/>
  <c r="AY530" i="202"/>
  <c r="AY531" i="202"/>
  <c r="AY532" i="202"/>
  <c r="AY533" i="202"/>
  <c r="AY534" i="202"/>
  <c r="AY535" i="202"/>
  <c r="AY536" i="202"/>
  <c r="AY537" i="202"/>
  <c r="AY538" i="202"/>
  <c r="AY539" i="202"/>
  <c r="AY540" i="202"/>
  <c r="AY541" i="202"/>
  <c r="AY542" i="202"/>
  <c r="AY543" i="202"/>
  <c r="AY544" i="202"/>
  <c r="AY545" i="202"/>
  <c r="AY546" i="202"/>
  <c r="AY547" i="202"/>
  <c r="AY548" i="202"/>
  <c r="AY549" i="202"/>
  <c r="AY550" i="202"/>
  <c r="AY551" i="202"/>
  <c r="AY552" i="202"/>
  <c r="AY553" i="202"/>
  <c r="AY554" i="202"/>
  <c r="AY555" i="202"/>
  <c r="AY556" i="202"/>
  <c r="AY557" i="202"/>
  <c r="AY558" i="202"/>
  <c r="AY559" i="202"/>
  <c r="AY560" i="202"/>
  <c r="AY561" i="202"/>
  <c r="AY562" i="202"/>
  <c r="AY563" i="202"/>
  <c r="AY564" i="202"/>
  <c r="AY565" i="202"/>
  <c r="AY566" i="202"/>
  <c r="AY567" i="202"/>
  <c r="AY568" i="202"/>
  <c r="AY569" i="202"/>
  <c r="AY570" i="202"/>
  <c r="AY571" i="202"/>
  <c r="AY572" i="202"/>
  <c r="AY573" i="202"/>
  <c r="AY574" i="202"/>
  <c r="AY575" i="202"/>
  <c r="AY576" i="202"/>
  <c r="AY577" i="202"/>
  <c r="AY578" i="202"/>
  <c r="AY579" i="202"/>
  <c r="AY580" i="202"/>
  <c r="AY581" i="202"/>
  <c r="AY582" i="202"/>
  <c r="AY583" i="202"/>
  <c r="AY584" i="202"/>
  <c r="AY585" i="202"/>
  <c r="AY586" i="202"/>
  <c r="AY587" i="202"/>
  <c r="AY588" i="202"/>
  <c r="AY589" i="202"/>
  <c r="AY590" i="202"/>
  <c r="AY591" i="202"/>
  <c r="AY592" i="202"/>
  <c r="AY593" i="202"/>
  <c r="AY594" i="202"/>
  <c r="AY595" i="202"/>
  <c r="AY596" i="202"/>
  <c r="AY597" i="202"/>
  <c r="AY598" i="202"/>
  <c r="AY599" i="202"/>
  <c r="AY600" i="202"/>
  <c r="AY601" i="202"/>
  <c r="AY602" i="202"/>
  <c r="AY603" i="202"/>
  <c r="AY604" i="202"/>
  <c r="AY605" i="202"/>
  <c r="AY606" i="202"/>
  <c r="AY607" i="202"/>
  <c r="AY608" i="202"/>
  <c r="AY609" i="202"/>
  <c r="AY610" i="202"/>
  <c r="AY611" i="202"/>
  <c r="AY612" i="202"/>
  <c r="AY613" i="202"/>
  <c r="AY614" i="202"/>
  <c r="AY615" i="202"/>
  <c r="AY616" i="202"/>
  <c r="AY617" i="202"/>
  <c r="AY618" i="202"/>
  <c r="AY619" i="202"/>
  <c r="AY620" i="202"/>
  <c r="AY621" i="202"/>
  <c r="AY622" i="202"/>
  <c r="AY623" i="202"/>
  <c r="AY624" i="202"/>
  <c r="AY625" i="202"/>
  <c r="AY626" i="202"/>
  <c r="AY627" i="202"/>
  <c r="AY628" i="202"/>
  <c r="AY629" i="202"/>
  <c r="AY630" i="202"/>
  <c r="AY631" i="202"/>
  <c r="AY632" i="202"/>
  <c r="AY633" i="202"/>
  <c r="AY634" i="202"/>
  <c r="AY635" i="202"/>
  <c r="AY636" i="202"/>
  <c r="AY637" i="202"/>
  <c r="AY638" i="202"/>
  <c r="AY639" i="202"/>
  <c r="AY640" i="202"/>
  <c r="AY641" i="202"/>
  <c r="AY642" i="202"/>
  <c r="AY643" i="202"/>
  <c r="AY644" i="202"/>
  <c r="AY645" i="202"/>
  <c r="AY646" i="202"/>
  <c r="AY647" i="202"/>
  <c r="AY648" i="202"/>
  <c r="AY649" i="202"/>
  <c r="AY650" i="202"/>
  <c r="AY651" i="202"/>
  <c r="AY652" i="202"/>
  <c r="AY653" i="202"/>
  <c r="AY654" i="202"/>
  <c r="AY655" i="202"/>
  <c r="AY656" i="202"/>
  <c r="AY657" i="202"/>
  <c r="AY658" i="202"/>
  <c r="AY659" i="202"/>
  <c r="AY660" i="202"/>
  <c r="AY661" i="202"/>
  <c r="AY662" i="202"/>
  <c r="AY663" i="202"/>
  <c r="AY664" i="202"/>
  <c r="AY665" i="202"/>
  <c r="AY666" i="202"/>
  <c r="AY667" i="202"/>
  <c r="AY668" i="202"/>
  <c r="AY669" i="202"/>
  <c r="AY670" i="202"/>
  <c r="AY671" i="202"/>
  <c r="AY672" i="202"/>
  <c r="AY673" i="202"/>
  <c r="AY674" i="202"/>
  <c r="AY675" i="202"/>
  <c r="AY676" i="202"/>
  <c r="AY677" i="202"/>
  <c r="AY678" i="202"/>
  <c r="AY679" i="202"/>
  <c r="AY680" i="202"/>
  <c r="AY681" i="202"/>
  <c r="AY682" i="202"/>
  <c r="AY683" i="202"/>
  <c r="AY684" i="202"/>
  <c r="AY685" i="202"/>
  <c r="AY686" i="202"/>
  <c r="AY687" i="202"/>
  <c r="AY688" i="202"/>
  <c r="AY689" i="202"/>
  <c r="AY690" i="202"/>
  <c r="AY691" i="202"/>
  <c r="AY692" i="202"/>
  <c r="AY693" i="202"/>
  <c r="AY694" i="202"/>
  <c r="AY695" i="202"/>
  <c r="AY696" i="202"/>
  <c r="AY697" i="202"/>
  <c r="AY698" i="202"/>
  <c r="AY699" i="202"/>
  <c r="AY700" i="202"/>
  <c r="AY701" i="202"/>
  <c r="AY702" i="202"/>
  <c r="AY703" i="202"/>
  <c r="AY704" i="202"/>
  <c r="AY705" i="202"/>
  <c r="AY706" i="202"/>
  <c r="AY707" i="202"/>
  <c r="AY708" i="202"/>
  <c r="AY709" i="202"/>
  <c r="AY710" i="202"/>
  <c r="AY711" i="202"/>
  <c r="AY712" i="202"/>
  <c r="AY713" i="202"/>
  <c r="AY714" i="202"/>
  <c r="AY715" i="202"/>
  <c r="AY716" i="202"/>
  <c r="AY717" i="202"/>
  <c r="AY718" i="202"/>
  <c r="AY719" i="202"/>
  <c r="AY720" i="202"/>
  <c r="AY721" i="202"/>
  <c r="AY722" i="202"/>
  <c r="AY723" i="202"/>
  <c r="AY724" i="202"/>
  <c r="AY725" i="202"/>
  <c r="AY726" i="202"/>
  <c r="AY727" i="202"/>
  <c r="AY728" i="202"/>
  <c r="AY729" i="202"/>
  <c r="AY730" i="202"/>
  <c r="AY731" i="202"/>
  <c r="AY732" i="202"/>
  <c r="AY733" i="202"/>
  <c r="AY734" i="202"/>
  <c r="AY735" i="202"/>
  <c r="AY736" i="202"/>
  <c r="AY737" i="202"/>
  <c r="AY738" i="202"/>
  <c r="AY739" i="202"/>
  <c r="AY740" i="202"/>
  <c r="AY741" i="202"/>
  <c r="AY742" i="202"/>
  <c r="AY743" i="202"/>
  <c r="AY744" i="202"/>
  <c r="AY745" i="202"/>
  <c r="AY746" i="202"/>
  <c r="AY747" i="202"/>
  <c r="AY748" i="202"/>
  <c r="AY749" i="202"/>
  <c r="AY750" i="202"/>
  <c r="AY751" i="202"/>
  <c r="AY752" i="202"/>
  <c r="AY753" i="202"/>
  <c r="AY754" i="202"/>
  <c r="AY755" i="202"/>
  <c r="AY756" i="202"/>
  <c r="AY757" i="202"/>
  <c r="AY758" i="202"/>
  <c r="AY759" i="202"/>
  <c r="AY760" i="202"/>
  <c r="AY761" i="202"/>
  <c r="AY762" i="202"/>
  <c r="AY763" i="202"/>
  <c r="AY764" i="202"/>
  <c r="AY765" i="202"/>
  <c r="AY766" i="202"/>
  <c r="AY767" i="202"/>
  <c r="AY768" i="202"/>
  <c r="AY769" i="202"/>
  <c r="AY770" i="202"/>
  <c r="AY771" i="202"/>
  <c r="AY772" i="202"/>
  <c r="AY773" i="202"/>
  <c r="AY774" i="202"/>
  <c r="AY775" i="202"/>
  <c r="AY776" i="202"/>
  <c r="AY777" i="202"/>
  <c r="AY778" i="202"/>
  <c r="AY779" i="202"/>
  <c r="AY780" i="202"/>
  <c r="AY781" i="202"/>
  <c r="AY782" i="202"/>
  <c r="AY783" i="202"/>
  <c r="AY784" i="202"/>
  <c r="AY785" i="202"/>
  <c r="AY786" i="202"/>
  <c r="AY787" i="202"/>
  <c r="AY788" i="202"/>
  <c r="AY789" i="202"/>
  <c r="AY790" i="202"/>
  <c r="AY791" i="202"/>
  <c r="AY792" i="202"/>
  <c r="AY793" i="202"/>
  <c r="AY794" i="202"/>
  <c r="AY795" i="202"/>
  <c r="AY796" i="202"/>
  <c r="AY797" i="202"/>
  <c r="AY798" i="202"/>
  <c r="AY799" i="202"/>
  <c r="AY800" i="202"/>
  <c r="AY801" i="202"/>
  <c r="AY802" i="202"/>
  <c r="AY803" i="202"/>
  <c r="AY804" i="202"/>
  <c r="AY805" i="202"/>
  <c r="AY806" i="202"/>
  <c r="AY807" i="202"/>
  <c r="AY808" i="202"/>
  <c r="AY809" i="202"/>
  <c r="AY810" i="202"/>
  <c r="AY811" i="202"/>
  <c r="AY812" i="202"/>
  <c r="AY813" i="202"/>
  <c r="AY814" i="202"/>
  <c r="AY815" i="202"/>
  <c r="AY816" i="202"/>
  <c r="AY817" i="202"/>
  <c r="AY818" i="202"/>
  <c r="AY819" i="202"/>
  <c r="AY820" i="202"/>
  <c r="AY821" i="202"/>
  <c r="AY822" i="202"/>
  <c r="AY823" i="202"/>
  <c r="AY824" i="202"/>
  <c r="AY825" i="202"/>
  <c r="AY826" i="202"/>
  <c r="AY827" i="202"/>
  <c r="AY828" i="202"/>
  <c r="AY829" i="202"/>
  <c r="AY830" i="202"/>
  <c r="AY831" i="202"/>
  <c r="AY832" i="202"/>
  <c r="AY833" i="202"/>
  <c r="AY834" i="202"/>
  <c r="AY835" i="202"/>
  <c r="AY836" i="202"/>
  <c r="AY837" i="202"/>
  <c r="AY838" i="202"/>
  <c r="AY839" i="202"/>
  <c r="AY840" i="202"/>
  <c r="AY841" i="202"/>
  <c r="AY842" i="202"/>
  <c r="AY843" i="202"/>
  <c r="AY844" i="202"/>
  <c r="AY845" i="202"/>
  <c r="AY846" i="202"/>
  <c r="AY847" i="202"/>
  <c r="AY848" i="202"/>
  <c r="AY849" i="202"/>
  <c r="AY850" i="202"/>
  <c r="AY851" i="202"/>
  <c r="AY852" i="202"/>
  <c r="AY853" i="202"/>
  <c r="AY854" i="202"/>
  <c r="AY855" i="202"/>
  <c r="AY856" i="202"/>
  <c r="AY857" i="202"/>
  <c r="AY858" i="202"/>
  <c r="AY859" i="202"/>
  <c r="AY860" i="202"/>
  <c r="AY861" i="202"/>
  <c r="AY862" i="202"/>
  <c r="AY863" i="202"/>
  <c r="AY864" i="202"/>
  <c r="AY865" i="202"/>
  <c r="AY866" i="202"/>
  <c r="AY867" i="202"/>
  <c r="AY868" i="202"/>
  <c r="AY869" i="202"/>
  <c r="AY870" i="202"/>
  <c r="AY871" i="202"/>
  <c r="AY872" i="202"/>
  <c r="AY873" i="202"/>
  <c r="AY874" i="202"/>
  <c r="AY875" i="202"/>
  <c r="AY876" i="202"/>
  <c r="AY877" i="202"/>
  <c r="AY878" i="202"/>
  <c r="AY879" i="202"/>
  <c r="AY880" i="202"/>
  <c r="AY881" i="202"/>
  <c r="AY882" i="202"/>
  <c r="AY883" i="202"/>
  <c r="AY884" i="202"/>
  <c r="AY885" i="202"/>
  <c r="AY886" i="202"/>
  <c r="AY887" i="202"/>
  <c r="AY888" i="202"/>
  <c r="AY889" i="202"/>
  <c r="AY890" i="202"/>
  <c r="AY891" i="202"/>
  <c r="AY892" i="202"/>
  <c r="AY893" i="202"/>
  <c r="AY894" i="202"/>
  <c r="AY895" i="202"/>
  <c r="AY896" i="202"/>
  <c r="AY897" i="202"/>
  <c r="AY898" i="202"/>
  <c r="AY899" i="202"/>
  <c r="AY900" i="202"/>
  <c r="AY901" i="202"/>
  <c r="AY902" i="202"/>
  <c r="AY903" i="202"/>
  <c r="AY904" i="202"/>
  <c r="AY905" i="202"/>
  <c r="AY906" i="202"/>
  <c r="AY907" i="202"/>
  <c r="AY908" i="202"/>
  <c r="AY909" i="202"/>
  <c r="AY910" i="202"/>
  <c r="AY911" i="202"/>
  <c r="AY912" i="202"/>
  <c r="AY913" i="202"/>
  <c r="AY914" i="202"/>
  <c r="AY915" i="202"/>
  <c r="AY916" i="202"/>
  <c r="AY917" i="202"/>
  <c r="AY918" i="202"/>
  <c r="AY919" i="202"/>
  <c r="AY920" i="202"/>
  <c r="AY921" i="202"/>
  <c r="AY922" i="202"/>
  <c r="AY923" i="202"/>
  <c r="AY924" i="202"/>
  <c r="AY925" i="202"/>
  <c r="AY926" i="202"/>
  <c r="AY927" i="202"/>
  <c r="AY928" i="202"/>
  <c r="AY929" i="202"/>
  <c r="AY930" i="202"/>
  <c r="AY931" i="202"/>
  <c r="AY932" i="202"/>
  <c r="AY933" i="202"/>
  <c r="AY934" i="202"/>
  <c r="AY935" i="202"/>
  <c r="AY936" i="202"/>
  <c r="AY937" i="202"/>
  <c r="AY938" i="202"/>
  <c r="AY939" i="202"/>
  <c r="AY940" i="202"/>
  <c r="AY941" i="202"/>
  <c r="AY942" i="202"/>
  <c r="AY943" i="202"/>
  <c r="AY944" i="202"/>
  <c r="AY945" i="202"/>
  <c r="AY946" i="202"/>
  <c r="AY947" i="202"/>
  <c r="AY948" i="202"/>
  <c r="AY949" i="202"/>
  <c r="AY950" i="202"/>
  <c r="AY951" i="202"/>
  <c r="AY952" i="202"/>
  <c r="AY953" i="202"/>
  <c r="AY954" i="202"/>
  <c r="AY955" i="202"/>
  <c r="AY956" i="202"/>
  <c r="AY957" i="202"/>
  <c r="AY958" i="202"/>
  <c r="AY959" i="202"/>
  <c r="AY960" i="202"/>
  <c r="AY961" i="202"/>
  <c r="AY962" i="202"/>
  <c r="AY963" i="202"/>
  <c r="AY964" i="202"/>
  <c r="AY965" i="202"/>
  <c r="AY966" i="202"/>
  <c r="AY967" i="202"/>
  <c r="AY968" i="202"/>
  <c r="AY969" i="202"/>
  <c r="AY970" i="202"/>
  <c r="AY971" i="202"/>
  <c r="AY972" i="202"/>
  <c r="AY973" i="202"/>
  <c r="AY974" i="202"/>
  <c r="AY975" i="202"/>
  <c r="AY976" i="202"/>
  <c r="AY977" i="202"/>
  <c r="AY978" i="202"/>
  <c r="AY979" i="202"/>
  <c r="AY980" i="202"/>
  <c r="AY981" i="202"/>
  <c r="AY982" i="202"/>
  <c r="AY983" i="202"/>
  <c r="AY984" i="202"/>
  <c r="AY985" i="202"/>
  <c r="AY986" i="202"/>
  <c r="AY987" i="202"/>
  <c r="AY988" i="202"/>
  <c r="AY989" i="202"/>
  <c r="AY990" i="202"/>
  <c r="AY991" i="202"/>
  <c r="AY992" i="202"/>
  <c r="AY993" i="202"/>
  <c r="AY994" i="202"/>
  <c r="AY995" i="202"/>
  <c r="AY996" i="202"/>
  <c r="AY997" i="202"/>
  <c r="AY998" i="202"/>
  <c r="AY999" i="202"/>
  <c r="AY1000" i="202"/>
  <c r="AY1001" i="202"/>
  <c r="AY1002" i="202"/>
  <c r="AY1003" i="202"/>
  <c r="AY1004" i="202"/>
  <c r="AY1005" i="202"/>
  <c r="AY1006" i="202"/>
  <c r="AY1007" i="202"/>
  <c r="AY1008" i="202"/>
  <c r="AY1009" i="202"/>
  <c r="AY1010" i="202"/>
  <c r="AY1011" i="202"/>
  <c r="AY1012" i="202"/>
  <c r="AY1013" i="202"/>
  <c r="AY1014" i="202"/>
  <c r="AY1015" i="202"/>
  <c r="AY1016" i="202"/>
  <c r="AY1017" i="202"/>
  <c r="AY1018" i="202"/>
  <c r="AY1019" i="202"/>
  <c r="AY1020" i="202"/>
  <c r="AY1021" i="202"/>
  <c r="AY1022" i="202"/>
  <c r="AY1023" i="202"/>
  <c r="AY1024" i="202"/>
  <c r="AY1025" i="202"/>
  <c r="AY1026" i="202"/>
  <c r="AY1027" i="202"/>
  <c r="AY1028" i="202"/>
  <c r="AY1029" i="202"/>
  <c r="AY1030" i="202"/>
  <c r="AY1031" i="202"/>
  <c r="AY1032" i="202"/>
  <c r="AY1033" i="202"/>
  <c r="AY1034" i="202"/>
  <c r="AY1035" i="202"/>
  <c r="AY1036" i="202"/>
  <c r="AY1037" i="202"/>
  <c r="AY1038" i="202"/>
  <c r="AY1039" i="202"/>
  <c r="AY1040" i="202"/>
  <c r="AY1041" i="202"/>
  <c r="AY1042" i="202"/>
  <c r="AY1043" i="202"/>
  <c r="AY1044" i="202"/>
  <c r="AY1045" i="202"/>
  <c r="AY1046" i="202"/>
  <c r="AY1047" i="202"/>
  <c r="AY1048" i="202"/>
  <c r="AY1049" i="202"/>
  <c r="AY1050" i="202"/>
  <c r="AY1051" i="202"/>
  <c r="AY1052" i="202"/>
  <c r="AY1053" i="202"/>
  <c r="AY1054" i="202"/>
  <c r="AY1055" i="202"/>
  <c r="AY1056" i="202"/>
  <c r="AY1057" i="202"/>
  <c r="AY1058" i="202"/>
  <c r="AY1059" i="202"/>
  <c r="AY1060" i="202"/>
  <c r="AY1061" i="202"/>
  <c r="AY1062" i="202"/>
  <c r="AY1063" i="202"/>
  <c r="AY1064" i="202"/>
  <c r="AY1065" i="202"/>
  <c r="AY1066" i="202"/>
  <c r="AY1067" i="202"/>
  <c r="AY1068" i="202"/>
  <c r="AY1069" i="202"/>
  <c r="AY1070" i="202"/>
  <c r="AY1071" i="202"/>
  <c r="AY1072" i="202"/>
  <c r="AY1073" i="202"/>
  <c r="AY1074" i="202"/>
  <c r="AY1075" i="202"/>
  <c r="AY1076" i="202"/>
  <c r="AY1077" i="202"/>
  <c r="AY1078" i="202"/>
  <c r="AY1079" i="202"/>
  <c r="AY1080" i="202"/>
  <c r="AY1081" i="202"/>
  <c r="AY1082" i="202"/>
  <c r="AY1083" i="202"/>
  <c r="AY1084" i="202"/>
  <c r="AY1085" i="202"/>
  <c r="AY1086" i="202"/>
  <c r="AY1087" i="202"/>
  <c r="AY1088" i="202"/>
  <c r="AY1089" i="202"/>
  <c r="AY1090" i="202"/>
  <c r="AY1091" i="202"/>
  <c r="AY1092" i="202"/>
  <c r="AY1093" i="202"/>
  <c r="AY1094" i="202"/>
  <c r="AY1095" i="202"/>
  <c r="AY1096" i="202"/>
  <c r="AY1097" i="202"/>
  <c r="AY1098" i="202"/>
  <c r="AY1099" i="202"/>
  <c r="AY1100" i="202"/>
  <c r="AY1101" i="202"/>
  <c r="AY1102" i="202"/>
  <c r="AY1103" i="202"/>
  <c r="AY1104" i="202"/>
  <c r="AY1105" i="202"/>
  <c r="AY1106" i="202"/>
  <c r="AY1107" i="202"/>
  <c r="AY1108" i="202"/>
  <c r="AY1109" i="202"/>
  <c r="AY1110" i="202"/>
  <c r="AY1111" i="202"/>
  <c r="AY1112" i="202"/>
  <c r="AY1113" i="202"/>
  <c r="AY1114" i="202"/>
  <c r="AY1115" i="202"/>
  <c r="AY1116" i="202"/>
  <c r="AY1117" i="202"/>
  <c r="AY1118" i="202"/>
  <c r="AY1119" i="202"/>
  <c r="AY1120" i="202"/>
  <c r="AY1121" i="202"/>
  <c r="AY1122" i="202"/>
  <c r="AY1123" i="202"/>
  <c r="AY1124" i="202"/>
  <c r="AY1125" i="202"/>
  <c r="AY1126" i="202"/>
  <c r="AY1127" i="202"/>
  <c r="AY1128" i="202"/>
  <c r="AY1129" i="202"/>
  <c r="AY1130" i="202"/>
  <c r="AY1131" i="202"/>
  <c r="AY1132" i="202"/>
  <c r="AY1133" i="202"/>
  <c r="AY1134" i="202"/>
  <c r="AY1135" i="202"/>
  <c r="AY1136" i="202"/>
  <c r="AY1137" i="202"/>
  <c r="AY1138" i="202"/>
  <c r="AY1139" i="202"/>
  <c r="AY1140" i="202"/>
  <c r="AY1141" i="202"/>
  <c r="AY1142" i="202"/>
  <c r="AY1143" i="202"/>
  <c r="AY1144" i="202"/>
  <c r="AY1145" i="202"/>
  <c r="AY1146" i="202"/>
  <c r="AY1147" i="202"/>
  <c r="AY1148" i="202"/>
  <c r="AY1149" i="202"/>
  <c r="AY1150" i="202"/>
  <c r="AY1151" i="202"/>
  <c r="AY1152" i="202"/>
  <c r="AY1153" i="202"/>
  <c r="AY1154" i="202"/>
  <c r="AY1155" i="202"/>
  <c r="AY1156" i="202"/>
  <c r="AY1157" i="202"/>
  <c r="AY1158" i="202"/>
  <c r="AY1159" i="202"/>
  <c r="AY1160" i="202"/>
  <c r="AY1161" i="202"/>
  <c r="AY1162" i="202"/>
  <c r="AY1163" i="202"/>
  <c r="AY1164" i="202"/>
  <c r="AY1165" i="202"/>
  <c r="AY1166" i="202"/>
  <c r="AY1167" i="202"/>
  <c r="AY1168" i="202"/>
  <c r="AY1169" i="202"/>
  <c r="AY1170" i="202"/>
  <c r="AY1171" i="202"/>
  <c r="AY1172" i="202"/>
  <c r="AY1173" i="202"/>
  <c r="AY1174" i="202"/>
  <c r="AY1175" i="202"/>
  <c r="AY1176" i="202"/>
  <c r="AY1177" i="202"/>
  <c r="AY1178" i="202"/>
  <c r="AY1179" i="202"/>
  <c r="AY1180" i="202"/>
  <c r="AY1181" i="202"/>
  <c r="AY1182" i="202"/>
  <c r="AY1183" i="202"/>
  <c r="AY1184" i="202"/>
  <c r="AY1185" i="202"/>
  <c r="AY1186" i="202"/>
  <c r="AY1187" i="202"/>
  <c r="AY1188" i="202"/>
  <c r="AY1189" i="202"/>
  <c r="AY1190" i="202"/>
  <c r="AY1191" i="202"/>
  <c r="AY1192" i="202"/>
  <c r="AY1193" i="202"/>
  <c r="AY1194" i="202"/>
  <c r="AY1195" i="202"/>
  <c r="AY1196" i="202"/>
  <c r="AY1197" i="202"/>
  <c r="AY1198" i="202"/>
  <c r="AY1199" i="202"/>
  <c r="AY1200" i="202"/>
  <c r="AY1201" i="202"/>
  <c r="AY1202" i="202"/>
  <c r="AY1203" i="202"/>
  <c r="AY1204" i="202"/>
  <c r="AY1205" i="202"/>
  <c r="AY1206" i="202"/>
  <c r="AY1207" i="202"/>
  <c r="AY1208" i="202"/>
  <c r="AY1209" i="202"/>
  <c r="AY1210" i="202"/>
  <c r="AY1211" i="202"/>
  <c r="AY1212" i="202"/>
  <c r="AY1213" i="202"/>
  <c r="AY1214" i="202"/>
  <c r="AY1215" i="202"/>
  <c r="AY1216" i="202"/>
  <c r="AY1217" i="202"/>
  <c r="AY1218" i="202"/>
  <c r="AY1219" i="202"/>
  <c r="AY1220" i="202"/>
  <c r="AY1221" i="202"/>
  <c r="AY1222" i="202"/>
  <c r="AY1223" i="202"/>
  <c r="AY1224" i="202"/>
  <c r="AY1225" i="202"/>
  <c r="AY1226" i="202"/>
  <c r="AY1227" i="202"/>
  <c r="AY1228" i="202"/>
  <c r="AY1229" i="202"/>
  <c r="AY1230" i="202"/>
  <c r="AY1231" i="202"/>
  <c r="AY1232" i="202"/>
  <c r="AY1233" i="202"/>
  <c r="AY1234" i="202"/>
  <c r="AY1235" i="202"/>
  <c r="AY1236" i="202"/>
  <c r="AY1237" i="202"/>
  <c r="AY1238" i="202"/>
  <c r="AY1239" i="202"/>
  <c r="AY1240" i="202"/>
  <c r="AY1241" i="202"/>
  <c r="AY1242" i="202"/>
  <c r="AY1243" i="202"/>
  <c r="AY1244" i="202"/>
  <c r="AY1245" i="202"/>
  <c r="AY1246" i="202"/>
  <c r="AY1247" i="202"/>
  <c r="AY1248" i="202"/>
  <c r="AY1249" i="202"/>
  <c r="AY1250" i="202"/>
  <c r="AY1251" i="202"/>
  <c r="AY1252" i="202"/>
  <c r="AY1253" i="202"/>
  <c r="AY1254" i="202"/>
  <c r="AY1255" i="202"/>
  <c r="AY1256" i="202"/>
  <c r="AY1257" i="202"/>
  <c r="AY1258" i="202"/>
  <c r="AY1259" i="202"/>
  <c r="AY1260" i="202"/>
  <c r="AY1261" i="202"/>
  <c r="AY1262" i="202"/>
  <c r="AY1263" i="202"/>
  <c r="AY1264" i="202"/>
  <c r="AY1265" i="202"/>
  <c r="AY1266" i="202"/>
  <c r="AY1267" i="202"/>
  <c r="AY1268" i="202"/>
  <c r="AY1269" i="202"/>
  <c r="AY1270" i="202"/>
  <c r="AY1271" i="202"/>
  <c r="AY1272" i="202"/>
  <c r="AY1273" i="202"/>
  <c r="AY1274" i="202"/>
  <c r="AY1275" i="202"/>
  <c r="AY1276" i="202"/>
  <c r="AY1277" i="202"/>
  <c r="AY1278" i="202"/>
  <c r="AY1279" i="202"/>
  <c r="AY1280" i="202"/>
  <c r="AY1281" i="202"/>
  <c r="AY1282" i="202"/>
  <c r="AY1283" i="202"/>
  <c r="AY1284" i="202"/>
  <c r="AY1285" i="202"/>
  <c r="AY1286" i="202"/>
  <c r="AY1287" i="202"/>
  <c r="AY1288" i="202"/>
  <c r="AY1289" i="202"/>
  <c r="AY1290" i="202"/>
  <c r="AY1291" i="202"/>
  <c r="AY1292" i="202"/>
  <c r="AY1293" i="202"/>
  <c r="AY1294" i="202"/>
  <c r="AY1295" i="202"/>
  <c r="AY1296" i="202"/>
  <c r="AY1297" i="202"/>
  <c r="AY1298" i="202"/>
  <c r="AY1299" i="202"/>
  <c r="AY1300" i="202"/>
  <c r="AY1301" i="202"/>
  <c r="AY1302" i="202"/>
  <c r="AY1303" i="202"/>
  <c r="AY1304" i="202"/>
  <c r="AY1305" i="202"/>
  <c r="AY1306" i="202"/>
  <c r="AY1307" i="202"/>
  <c r="AY1308" i="202"/>
  <c r="AY1309" i="202"/>
  <c r="AY1310" i="202"/>
  <c r="AY1311" i="202"/>
  <c r="AY1312" i="202"/>
  <c r="AY1313" i="202"/>
  <c r="AY1314" i="202"/>
  <c r="AY1315" i="202"/>
  <c r="AY1316" i="202"/>
  <c r="AY1317" i="202"/>
  <c r="AY1318" i="202"/>
  <c r="AY1319" i="202"/>
  <c r="AY1320" i="202"/>
  <c r="AY1321" i="202"/>
  <c r="AY1322" i="202"/>
  <c r="AY1323" i="202"/>
  <c r="AY1324" i="202"/>
  <c r="AY1325" i="202"/>
  <c r="AY1326" i="202"/>
  <c r="AY1327" i="202"/>
  <c r="AY1328" i="202"/>
  <c r="AY1329" i="202"/>
  <c r="AY1330" i="202"/>
  <c r="AY1331" i="202"/>
  <c r="AY1332" i="202"/>
  <c r="AY1333" i="202"/>
  <c r="AY1334" i="202"/>
  <c r="AY1335" i="202"/>
  <c r="AY1336" i="202"/>
  <c r="AY1337" i="202"/>
  <c r="AY1338" i="202"/>
  <c r="AY1339" i="202"/>
  <c r="AY1340" i="202"/>
  <c r="AY1341" i="202"/>
  <c r="AY1342" i="202"/>
  <c r="AY1343" i="202"/>
  <c r="AY1344" i="202"/>
  <c r="AY1345" i="202"/>
  <c r="AY1346" i="202"/>
  <c r="AY1347" i="202"/>
  <c r="AY1348" i="202"/>
  <c r="AY1349" i="202"/>
  <c r="AY1350" i="202"/>
  <c r="AY1351" i="202"/>
  <c r="AY1352" i="202"/>
  <c r="AY1353" i="202"/>
  <c r="AY1354" i="202"/>
  <c r="AY1355" i="202"/>
  <c r="AY1356" i="202"/>
  <c r="AY1357" i="202"/>
  <c r="AY1358" i="202"/>
  <c r="AY1359" i="202"/>
  <c r="AY1360" i="202"/>
  <c r="AY1361" i="202"/>
  <c r="AY1362" i="202"/>
  <c r="AY1363" i="202"/>
  <c r="AY1364" i="202"/>
  <c r="AY1365" i="202"/>
  <c r="AY1366" i="202"/>
  <c r="AY1367" i="202"/>
  <c r="AY1368" i="202"/>
  <c r="AY1369" i="202"/>
  <c r="AY1370" i="202"/>
  <c r="AY1371" i="202"/>
  <c r="AY1372" i="202"/>
  <c r="AY1373" i="202"/>
  <c r="AY1374" i="202"/>
  <c r="AY1375" i="202"/>
  <c r="AY1376" i="202"/>
  <c r="AY1377" i="202"/>
  <c r="AY1378" i="202"/>
  <c r="AY1379" i="202"/>
  <c r="AY1380" i="202"/>
  <c r="AY1381" i="202"/>
  <c r="AY1382" i="202"/>
  <c r="AY1383" i="202"/>
  <c r="AY1384" i="202"/>
  <c r="AY1385" i="202"/>
  <c r="AY1386" i="202"/>
  <c r="AY1387" i="202"/>
  <c r="AY1388" i="202"/>
  <c r="AY1389" i="202"/>
  <c r="AY1390" i="202"/>
  <c r="AY1391" i="202"/>
  <c r="AY1392" i="202"/>
  <c r="AY1393" i="202"/>
  <c r="AY1394" i="202"/>
  <c r="AY1395" i="202"/>
  <c r="AY1396" i="202"/>
  <c r="AY1397" i="202"/>
  <c r="AY1398" i="202"/>
  <c r="AY1399" i="202"/>
  <c r="AY1400" i="202"/>
  <c r="AY1401" i="202"/>
  <c r="AY1402" i="202"/>
  <c r="AY1403" i="202"/>
  <c r="AY1404" i="202"/>
  <c r="AY1405" i="202"/>
  <c r="AY1406" i="202"/>
  <c r="AY1407" i="202"/>
  <c r="AY1408" i="202"/>
  <c r="AY1409" i="202"/>
  <c r="AY1410" i="202"/>
  <c r="AY1411" i="202"/>
  <c r="AY1412" i="202"/>
  <c r="AY1413" i="202"/>
  <c r="AY1414" i="202"/>
  <c r="AY1415" i="202"/>
  <c r="AY1416" i="202"/>
  <c r="AY1417" i="202"/>
  <c r="AY1418" i="202"/>
  <c r="AY1419" i="202"/>
  <c r="AY1420" i="202"/>
  <c r="AY1421" i="202"/>
  <c r="AY1422" i="202"/>
  <c r="AY1423" i="202"/>
  <c r="AY1424" i="202"/>
  <c r="AY1425" i="202"/>
  <c r="AY1426" i="202"/>
  <c r="AY1427" i="202"/>
  <c r="AY1428" i="202"/>
  <c r="AY1429" i="202"/>
  <c r="AY1430" i="202"/>
  <c r="AY1431" i="202"/>
  <c r="AY1432" i="202"/>
  <c r="AY1433" i="202"/>
  <c r="AY1434" i="202"/>
  <c r="AY1435" i="202"/>
  <c r="AY1436" i="202"/>
  <c r="AY1437" i="202"/>
  <c r="AY1438" i="202"/>
  <c r="AY1439" i="202"/>
  <c r="AY1440" i="202"/>
  <c r="AY1441" i="202"/>
  <c r="AY1442" i="202"/>
  <c r="AY1443" i="202"/>
  <c r="AY1444" i="202"/>
  <c r="AY1445" i="202"/>
  <c r="AY1446" i="202"/>
  <c r="AY1447" i="202"/>
  <c r="AY1448" i="202"/>
  <c r="AY1449" i="202"/>
  <c r="AY1450" i="202"/>
  <c r="AY1451" i="202"/>
  <c r="AY1452" i="202"/>
  <c r="AY1453" i="202"/>
  <c r="AY1454" i="202"/>
  <c r="AY1455" i="202"/>
  <c r="AY1456" i="202"/>
  <c r="AY1457" i="202"/>
  <c r="AY1458" i="202"/>
  <c r="AY1459" i="202"/>
  <c r="AY1460" i="202"/>
  <c r="AY1461" i="202"/>
  <c r="AY1462" i="202"/>
  <c r="AY1463" i="202"/>
  <c r="AY1464" i="202"/>
  <c r="AY1465" i="202"/>
  <c r="AY1466" i="202"/>
  <c r="AY1467" i="202"/>
  <c r="AY1468" i="202"/>
  <c r="AY1469" i="202"/>
  <c r="AY1470" i="202"/>
  <c r="AY1471" i="202"/>
  <c r="AY1472" i="202"/>
  <c r="AY1473" i="202"/>
  <c r="AY1474" i="202"/>
  <c r="AY1475" i="202"/>
  <c r="AY1476" i="202"/>
  <c r="AY1477" i="202"/>
  <c r="AY1478" i="202"/>
  <c r="AY1479" i="202"/>
  <c r="AY1480" i="202"/>
  <c r="AY1481" i="202"/>
  <c r="AY1482" i="202"/>
  <c r="AY1483" i="202"/>
  <c r="AY1484" i="202"/>
  <c r="AY1485" i="202"/>
  <c r="AY1486" i="202"/>
  <c r="AY1487" i="202"/>
  <c r="AY1488" i="202"/>
  <c r="AY1489" i="202"/>
  <c r="AY1490" i="202"/>
  <c r="AY1491" i="202"/>
  <c r="AY1492" i="202"/>
  <c r="AY1493" i="202"/>
  <c r="AY1494" i="202"/>
  <c r="AY1495" i="202"/>
  <c r="AY1496" i="202"/>
  <c r="AY1497" i="202"/>
  <c r="AY1498" i="202"/>
  <c r="AY1499" i="202"/>
  <c r="AY1500" i="202"/>
  <c r="AY1501" i="202"/>
  <c r="AY1502" i="202"/>
  <c r="AY1503" i="202"/>
  <c r="AY1504" i="202"/>
  <c r="AY1505" i="202"/>
  <c r="AY1506" i="202"/>
  <c r="AY1507" i="202"/>
  <c r="AY1508" i="202"/>
  <c r="AY1509" i="202"/>
  <c r="AY1510" i="202"/>
  <c r="AY1511" i="202"/>
  <c r="AY1512" i="202"/>
  <c r="AY1513" i="202"/>
  <c r="AY1514" i="202"/>
  <c r="AY1515" i="202"/>
  <c r="AY1516" i="202"/>
  <c r="AY1517" i="202"/>
  <c r="AY1518" i="202"/>
  <c r="AY1519" i="202"/>
  <c r="AY1520" i="202"/>
  <c r="AY1521" i="202"/>
  <c r="AY1522" i="202"/>
  <c r="AY1523" i="202"/>
  <c r="AY1524" i="202"/>
  <c r="AY1525" i="202"/>
  <c r="AY1526" i="202"/>
  <c r="AY1527" i="202"/>
  <c r="AY1528" i="202"/>
  <c r="AY1529" i="202"/>
  <c r="AY1530" i="202"/>
  <c r="AY1531" i="202"/>
  <c r="AY1532" i="202"/>
  <c r="AY1533" i="202"/>
  <c r="AY1534" i="202"/>
  <c r="AY1535" i="202"/>
  <c r="AY1536" i="202"/>
  <c r="AY1537" i="202"/>
  <c r="AY1538" i="202"/>
  <c r="AY1539" i="202"/>
  <c r="AY1540" i="202"/>
  <c r="AY1541" i="202"/>
  <c r="AY1542" i="202"/>
  <c r="AY1543" i="202"/>
  <c r="AY1544" i="202"/>
  <c r="AY1545" i="202"/>
  <c r="AY1546" i="202"/>
  <c r="AY1547" i="202"/>
  <c r="AY1548" i="202"/>
  <c r="AY1549" i="202"/>
  <c r="AY1550" i="202"/>
  <c r="AY1551" i="202"/>
  <c r="AY1552" i="202"/>
  <c r="AY1553" i="202"/>
  <c r="AY1554" i="202"/>
  <c r="AY1555" i="202"/>
  <c r="AY1556" i="202"/>
  <c r="AY1557" i="202"/>
  <c r="AY1558" i="202"/>
  <c r="AY1559" i="202"/>
  <c r="AY1560" i="202"/>
  <c r="AY1561" i="202"/>
  <c r="AY1562" i="202"/>
  <c r="AY1563" i="202"/>
  <c r="AY1564" i="202"/>
  <c r="AY1565" i="202"/>
  <c r="AY1566" i="202"/>
  <c r="AY1567" i="202"/>
  <c r="AY1568" i="202"/>
  <c r="AY1569" i="202"/>
  <c r="AY1570" i="202"/>
  <c r="AY1571" i="202"/>
  <c r="AY1572" i="202"/>
  <c r="AY1573" i="202"/>
  <c r="AY1574" i="202"/>
  <c r="AY1575" i="202"/>
  <c r="AY1576" i="202"/>
  <c r="AY1577" i="202"/>
  <c r="AY1578" i="202"/>
  <c r="AY1579" i="202"/>
  <c r="AY1580" i="202"/>
  <c r="AY1581" i="202"/>
  <c r="AY1582" i="202"/>
  <c r="AY1583" i="202"/>
  <c r="AY1584" i="202"/>
  <c r="AY1585" i="202"/>
  <c r="AY1586" i="202"/>
  <c r="AY1587" i="202"/>
  <c r="AY1588" i="202"/>
  <c r="AY1589" i="202"/>
  <c r="AY1590" i="202"/>
  <c r="AY1591" i="202"/>
  <c r="AY1592" i="202"/>
  <c r="AY1593" i="202"/>
  <c r="AY1594" i="202"/>
  <c r="AY1595" i="202"/>
  <c r="AY1596" i="202"/>
  <c r="AY1597" i="202"/>
  <c r="AY1598" i="202"/>
  <c r="AY1599" i="202"/>
  <c r="AY1600" i="202"/>
  <c r="AY1601" i="202"/>
  <c r="AY1602" i="202"/>
  <c r="AY1603" i="202"/>
  <c r="AY1604" i="202"/>
  <c r="AY1605" i="202"/>
  <c r="AY1606" i="202"/>
  <c r="AY1607" i="202"/>
  <c r="AY1608" i="202"/>
  <c r="AY1609" i="202"/>
  <c r="AY1610" i="202"/>
  <c r="AY1611" i="202"/>
  <c r="AY1612" i="202"/>
  <c r="AY1613" i="202"/>
  <c r="AY1614" i="202"/>
  <c r="AY1615" i="202"/>
  <c r="AY1616" i="202"/>
  <c r="AY1617" i="202"/>
  <c r="AY1618" i="202"/>
  <c r="AY1619" i="202"/>
  <c r="AY1620" i="202"/>
  <c r="AY1621" i="202"/>
  <c r="AY1622" i="202"/>
  <c r="AY1623" i="202"/>
  <c r="AY1624" i="202"/>
  <c r="AY1625" i="202"/>
  <c r="AY1626" i="202"/>
  <c r="AY1627" i="202"/>
  <c r="AY1628" i="202"/>
  <c r="AY1629" i="202"/>
  <c r="AY1630" i="202"/>
  <c r="AY1631" i="202"/>
  <c r="AY1632" i="202"/>
  <c r="AY1633" i="202"/>
  <c r="AY1634" i="202"/>
  <c r="AY1635" i="202"/>
  <c r="AY1636" i="202"/>
  <c r="AY1637" i="202"/>
  <c r="AY1638" i="202"/>
  <c r="AY1639" i="202"/>
  <c r="AY1640" i="202"/>
  <c r="AY1641" i="202"/>
  <c r="AY1642" i="202"/>
  <c r="AY1643" i="202"/>
  <c r="AY1644" i="202"/>
  <c r="AY1645" i="202"/>
  <c r="AY1646" i="202"/>
  <c r="AY1647" i="202"/>
  <c r="AY1648" i="202"/>
  <c r="AY1649" i="202"/>
  <c r="AY1650" i="202"/>
  <c r="AY1651" i="202"/>
  <c r="AY1652" i="202"/>
  <c r="AY1653" i="202"/>
  <c r="AY1654" i="202"/>
  <c r="AY1655" i="202"/>
  <c r="AY1656" i="202"/>
  <c r="AY1657" i="202"/>
  <c r="AY1658" i="202"/>
  <c r="AY1659" i="202"/>
  <c r="AY1660" i="202"/>
  <c r="AY1661" i="202"/>
  <c r="AY1662" i="202"/>
  <c r="AY1663" i="202"/>
  <c r="AY1664" i="202"/>
  <c r="AY1665" i="202"/>
  <c r="AY1666" i="202"/>
  <c r="AY1667" i="202"/>
  <c r="AY1668" i="202"/>
  <c r="AY1669" i="202"/>
  <c r="AY1670" i="202"/>
  <c r="AY1671" i="202"/>
  <c r="AY1672" i="202"/>
  <c r="AY1673" i="202"/>
  <c r="AY1674" i="202"/>
  <c r="AY1675" i="202"/>
  <c r="AY1676" i="202"/>
  <c r="AY1677" i="202"/>
  <c r="AY1678" i="202"/>
  <c r="AY1679" i="202"/>
  <c r="AY1680" i="202"/>
  <c r="AY1681" i="202"/>
  <c r="AY1682" i="202"/>
  <c r="AY1683" i="202"/>
  <c r="AY1684" i="202"/>
  <c r="AY1685" i="202"/>
  <c r="AY1686" i="202"/>
  <c r="AY1687" i="202"/>
  <c r="AY1688" i="202"/>
  <c r="AY1689" i="202"/>
  <c r="AY1690" i="202"/>
  <c r="AY1691" i="202"/>
  <c r="AY1692" i="202"/>
  <c r="AY1693" i="202"/>
  <c r="AY1694" i="202"/>
  <c r="AY1695" i="202"/>
  <c r="AY1696" i="202"/>
  <c r="AY1697" i="202"/>
  <c r="AY1698" i="202"/>
  <c r="AY1699" i="202"/>
  <c r="AY1700" i="202"/>
  <c r="AY1701" i="202"/>
  <c r="AY1702" i="202"/>
  <c r="AY1703" i="202"/>
  <c r="AY1704" i="202"/>
  <c r="AY1705" i="202"/>
  <c r="AY1706" i="202"/>
  <c r="AY1707" i="202"/>
  <c r="AY1708" i="202"/>
  <c r="AY1709" i="202"/>
  <c r="AY1710" i="202"/>
  <c r="AY1711" i="202"/>
  <c r="AY1712" i="202"/>
  <c r="AY1713" i="202"/>
  <c r="AY1714" i="202"/>
  <c r="AY1715" i="202"/>
  <c r="AY1716" i="202"/>
  <c r="AY1717" i="202"/>
  <c r="AY1718" i="202"/>
  <c r="AY1719" i="202"/>
  <c r="AY1720" i="202"/>
  <c r="AY1721" i="202"/>
  <c r="AY1722" i="202"/>
  <c r="AY1723" i="202"/>
  <c r="AY1724" i="202"/>
  <c r="AY1725" i="202"/>
  <c r="AY1726" i="202"/>
  <c r="AY1727" i="202"/>
  <c r="AY1728" i="202"/>
  <c r="AY1729" i="202"/>
  <c r="AY1730" i="202"/>
  <c r="AY1731" i="202"/>
  <c r="AY1732" i="202"/>
  <c r="AY1733" i="202"/>
  <c r="AY1734" i="202"/>
  <c r="AY1735" i="202"/>
  <c r="AY1736" i="202"/>
  <c r="AY1737" i="202"/>
  <c r="AY1738" i="202"/>
  <c r="AY1739" i="202"/>
  <c r="AY1740" i="202"/>
  <c r="AY1741" i="202"/>
  <c r="AY1742" i="202"/>
  <c r="AY1743" i="202"/>
  <c r="AY1744" i="202"/>
  <c r="AY1745" i="202"/>
  <c r="AY1746" i="202"/>
  <c r="AY1747" i="202"/>
  <c r="AY1748" i="202"/>
  <c r="AY1749" i="202"/>
  <c r="AY1750" i="202"/>
  <c r="AY1751" i="202"/>
  <c r="AY1752" i="202"/>
  <c r="AY1753" i="202"/>
  <c r="AY1754" i="202"/>
  <c r="AY1755" i="202"/>
  <c r="AY1756" i="202"/>
  <c r="AY1757" i="202"/>
  <c r="AY1758" i="202"/>
  <c r="AY1759" i="202"/>
  <c r="AY1760" i="202"/>
  <c r="AY1761" i="202"/>
  <c r="AY1762" i="202"/>
  <c r="AY1763" i="202"/>
  <c r="AY1764" i="202"/>
  <c r="AY1765" i="202"/>
  <c r="AY1766" i="202"/>
  <c r="AY1767" i="202"/>
  <c r="AY1768" i="202"/>
  <c r="AY1769" i="202"/>
  <c r="AY1770" i="202"/>
  <c r="AY1771" i="202"/>
  <c r="AY1772" i="202"/>
  <c r="AY1773" i="202"/>
  <c r="AY1774" i="202"/>
  <c r="AY1775" i="202"/>
  <c r="AY1776" i="202"/>
  <c r="AY1777" i="202"/>
  <c r="AY1778" i="202"/>
  <c r="AY1779" i="202"/>
  <c r="AY1780" i="202"/>
  <c r="AY1781" i="202"/>
  <c r="AY1782" i="202"/>
  <c r="AY1783" i="202"/>
  <c r="AY1784" i="202"/>
  <c r="AY1785" i="202"/>
  <c r="AY1786" i="202"/>
  <c r="AY1787" i="202"/>
  <c r="AY1788" i="202"/>
  <c r="AY1789" i="202"/>
  <c r="AY1790" i="202"/>
  <c r="AY1791" i="202"/>
  <c r="AY1792" i="202"/>
  <c r="AY1793" i="202"/>
  <c r="AY1794" i="202"/>
  <c r="AY1795" i="202"/>
  <c r="AY1796" i="202"/>
  <c r="AY1797" i="202"/>
  <c r="AY1798" i="202"/>
  <c r="AY1799" i="202"/>
  <c r="AY1800" i="202"/>
  <c r="AY1801" i="202"/>
  <c r="AY1802" i="202"/>
  <c r="AY1803" i="202"/>
  <c r="AY1804" i="202"/>
  <c r="AY1805" i="202"/>
  <c r="AY1806" i="202"/>
  <c r="AY1807" i="202"/>
  <c r="AY1808" i="202"/>
  <c r="AY1809" i="202"/>
  <c r="AY1810" i="202"/>
  <c r="AY1811" i="202"/>
  <c r="AY1812" i="202"/>
  <c r="AY1813" i="202"/>
  <c r="AY1814" i="202"/>
  <c r="AY1815" i="202"/>
  <c r="AY1816" i="202"/>
  <c r="AY1817" i="202"/>
  <c r="AY1818" i="202"/>
  <c r="AY1819" i="202"/>
  <c r="AY1820" i="202"/>
  <c r="AY1821" i="202"/>
  <c r="AY1822" i="202"/>
  <c r="AY1823" i="202"/>
  <c r="AY1824" i="202"/>
  <c r="AY1825" i="202"/>
  <c r="AY1826" i="202"/>
  <c r="AY1827" i="202"/>
  <c r="AY1828" i="202"/>
  <c r="AY1829" i="202"/>
  <c r="AY1830" i="202"/>
  <c r="AY1831" i="202"/>
  <c r="AY1832" i="202"/>
  <c r="AY1833" i="202"/>
  <c r="AY1834" i="202"/>
  <c r="AY1835" i="202"/>
  <c r="AY1836" i="202"/>
  <c r="AY1837" i="202"/>
  <c r="AY1838" i="202"/>
  <c r="AY1839" i="202"/>
  <c r="AY1840" i="202"/>
  <c r="AY1841" i="202"/>
  <c r="AY1842" i="202"/>
  <c r="AY1843" i="202"/>
  <c r="AY1844" i="202"/>
  <c r="AY1845" i="202"/>
  <c r="AY1846" i="202"/>
  <c r="AY1847" i="202"/>
  <c r="AY1848" i="202"/>
  <c r="AY1849" i="202"/>
  <c r="AY1850" i="202"/>
  <c r="AY1851" i="202"/>
  <c r="AY1852" i="202"/>
  <c r="AY1853" i="202"/>
  <c r="AY1854" i="202"/>
  <c r="AY1855" i="202"/>
  <c r="AY1856" i="202"/>
  <c r="AY1857" i="202"/>
  <c r="AY1858" i="202"/>
  <c r="AY1859" i="202"/>
  <c r="AY1860" i="202"/>
  <c r="AY1861" i="202"/>
  <c r="AY1862" i="202"/>
  <c r="AY1863" i="202"/>
  <c r="AY1864" i="202"/>
  <c r="AY1865" i="202"/>
  <c r="AY1866" i="202"/>
  <c r="AY1867" i="202"/>
  <c r="AY1868" i="202"/>
  <c r="AY1869" i="202"/>
  <c r="AY1870" i="202"/>
  <c r="AY1871" i="202"/>
  <c r="AY1872" i="202"/>
  <c r="AY1873" i="202"/>
  <c r="AY1874" i="202"/>
  <c r="AY1875" i="202"/>
  <c r="AY1876" i="202"/>
  <c r="AY1877" i="202"/>
  <c r="AY1878" i="202"/>
  <c r="AY1879" i="202"/>
  <c r="AY1880" i="202"/>
  <c r="AY1881" i="202"/>
  <c r="AY1882" i="202"/>
  <c r="AY1883" i="202"/>
  <c r="AY1884" i="202"/>
  <c r="AY1885" i="202"/>
  <c r="AY1886" i="202"/>
  <c r="AY1887" i="202"/>
  <c r="AY1888" i="202"/>
  <c r="AY1889" i="202"/>
  <c r="AY1890" i="202"/>
  <c r="AY1891" i="202"/>
  <c r="AY1892" i="202"/>
  <c r="AY1893" i="202"/>
  <c r="AY1894" i="202"/>
  <c r="AY1895" i="202"/>
  <c r="AY1896" i="202"/>
  <c r="AY1897" i="202"/>
  <c r="AY1898" i="202"/>
  <c r="AY1899" i="202"/>
  <c r="AY1900" i="202"/>
  <c r="AY1901" i="202"/>
  <c r="AY1902" i="202"/>
  <c r="AY1903" i="202"/>
  <c r="AY1904" i="202"/>
  <c r="AY1905" i="202"/>
  <c r="AY1906" i="202"/>
  <c r="AY1907" i="202"/>
  <c r="AY1908" i="202"/>
  <c r="AY1909" i="202"/>
  <c r="AY1910" i="202"/>
  <c r="AY1911" i="202"/>
  <c r="AY1912" i="202"/>
  <c r="AY1913" i="202"/>
  <c r="AY1914" i="202"/>
  <c r="AY1915" i="202"/>
  <c r="AY1916" i="202"/>
  <c r="AY1917" i="202"/>
  <c r="AY1918" i="202"/>
  <c r="AY1919" i="202"/>
  <c r="AY1920" i="202"/>
  <c r="AY1921" i="202"/>
  <c r="AY1922" i="202"/>
  <c r="AY1923" i="202"/>
  <c r="AY1924" i="202"/>
  <c r="AY1925" i="202"/>
  <c r="AY1926" i="202"/>
  <c r="AY1927" i="202"/>
  <c r="AY1928" i="202"/>
  <c r="AY1929" i="202"/>
  <c r="AY1930" i="202"/>
  <c r="AY1931" i="202"/>
  <c r="AY1932" i="202"/>
  <c r="AY1933" i="202"/>
  <c r="AY1934" i="202"/>
  <c r="AY1935" i="202"/>
  <c r="AY1936" i="202"/>
  <c r="AY1937" i="202"/>
  <c r="AY1938" i="202"/>
  <c r="AY1939" i="202"/>
  <c r="AY1940" i="202"/>
  <c r="AY1941" i="202"/>
  <c r="AY1942" i="202"/>
  <c r="AY1943" i="202"/>
  <c r="AY1944" i="202"/>
  <c r="AY1945" i="202"/>
  <c r="AY1946" i="202"/>
  <c r="AY1947" i="202"/>
  <c r="AY1948" i="202"/>
  <c r="AY1949" i="202"/>
  <c r="AY1950" i="202"/>
  <c r="AY1951" i="202"/>
  <c r="AY1952" i="202"/>
  <c r="AY1953" i="202"/>
  <c r="AY1954" i="202"/>
  <c r="AY1955" i="202"/>
  <c r="AY1956" i="202"/>
  <c r="AY1957" i="202"/>
  <c r="AY1958" i="202"/>
  <c r="AY1959" i="202"/>
  <c r="AY1960" i="202"/>
  <c r="AY1961" i="202"/>
  <c r="AY1962" i="202"/>
  <c r="AY1963" i="202"/>
  <c r="AY1964" i="202"/>
  <c r="AY1965" i="202"/>
  <c r="AY1966" i="202"/>
  <c r="AY1967" i="202"/>
  <c r="AY1968" i="202"/>
  <c r="AY1969" i="202"/>
  <c r="AY1970" i="202"/>
  <c r="AY1971" i="202"/>
  <c r="AY1972" i="202"/>
  <c r="AY1973" i="202"/>
  <c r="AY1974" i="202"/>
  <c r="AY1975" i="202"/>
  <c r="AY1976" i="202"/>
  <c r="AY1977" i="202"/>
  <c r="AY1978" i="202"/>
  <c r="AY1979" i="202"/>
  <c r="AY1980" i="202"/>
  <c r="AY1981" i="202"/>
  <c r="AY1982" i="202"/>
  <c r="AY1983" i="202"/>
  <c r="AY1984" i="202"/>
  <c r="AY1985" i="202"/>
  <c r="AY1986" i="202"/>
  <c r="AY1987" i="202"/>
  <c r="AY1988" i="202"/>
  <c r="AY1989" i="202"/>
  <c r="AY1990" i="202"/>
  <c r="AY1991" i="202"/>
  <c r="AY1992" i="202"/>
  <c r="AY1993" i="202"/>
  <c r="AY1994" i="202"/>
  <c r="AY1995" i="202"/>
  <c r="AY1996" i="202"/>
  <c r="AY1997" i="202"/>
  <c r="AY1998" i="202"/>
  <c r="AY1999" i="202"/>
  <c r="AY2000" i="202"/>
  <c r="AY2001" i="202"/>
  <c r="AY2002" i="202"/>
  <c r="AY2003" i="202"/>
  <c r="AY2004" i="202"/>
  <c r="AY2005" i="202"/>
  <c r="AY2006" i="202"/>
  <c r="AY2007" i="202"/>
  <c r="AY2008" i="202"/>
  <c r="AY2009" i="202"/>
  <c r="AY2010" i="202"/>
  <c r="AY2011" i="202"/>
  <c r="AY2012" i="202"/>
  <c r="AY2013" i="202"/>
  <c r="AY2014" i="202"/>
  <c r="AY2015" i="202"/>
  <c r="AY2016" i="202"/>
  <c r="AY2017" i="202"/>
  <c r="AY2018" i="202"/>
  <c r="AY2019" i="202"/>
  <c r="AY2020" i="202"/>
  <c r="AY2021" i="202"/>
  <c r="AY2022" i="202"/>
  <c r="AY2023" i="202"/>
  <c r="AY2024" i="202"/>
  <c r="AY2025" i="202"/>
  <c r="AY2026" i="202"/>
  <c r="AY2027" i="202"/>
  <c r="AY2028" i="202"/>
  <c r="AY2029" i="202"/>
  <c r="AY2030" i="202"/>
  <c r="AY2031" i="202"/>
  <c r="AY2032" i="202"/>
  <c r="AY2033" i="202"/>
  <c r="AY2034" i="202"/>
  <c r="AY2035" i="202"/>
  <c r="AY2036" i="202"/>
  <c r="AY2037" i="202"/>
  <c r="AY2038" i="202"/>
  <c r="AY2039" i="202"/>
  <c r="AY2040" i="202"/>
  <c r="AY2041" i="202"/>
  <c r="AY2042" i="202"/>
  <c r="AY2043" i="202"/>
  <c r="AY2044" i="202"/>
  <c r="AY2045" i="202"/>
  <c r="AY2046" i="202"/>
  <c r="AY2047" i="202"/>
  <c r="AY2048" i="202"/>
  <c r="AK2" i="202"/>
  <c r="AK3" i="202"/>
  <c r="AK4" i="202"/>
  <c r="AK5" i="202"/>
  <c r="AK6" i="202"/>
  <c r="AK7" i="202"/>
  <c r="AK8" i="202"/>
  <c r="AK9" i="202"/>
  <c r="AK10" i="202"/>
  <c r="AK11" i="202"/>
  <c r="AK12" i="202"/>
  <c r="AK13" i="202"/>
  <c r="AK14" i="202"/>
  <c r="AK15" i="202"/>
  <c r="AK16" i="202"/>
  <c r="AK17" i="202"/>
  <c r="AK18" i="202"/>
  <c r="AK19" i="202"/>
  <c r="AK20" i="202"/>
  <c r="AK21" i="202"/>
  <c r="AK22" i="202"/>
  <c r="AK23" i="202"/>
  <c r="AK24" i="202"/>
  <c r="AK25" i="202"/>
  <c r="AK26" i="202"/>
  <c r="AK27" i="202"/>
  <c r="AK28" i="202"/>
  <c r="AK29" i="202"/>
  <c r="AK30" i="202"/>
  <c r="AK31" i="202"/>
  <c r="AK32" i="202"/>
  <c r="AK33" i="202"/>
  <c r="AK34" i="202"/>
  <c r="AK35" i="202"/>
  <c r="AK36" i="202"/>
  <c r="AK37" i="202"/>
  <c r="AK38" i="202"/>
  <c r="AK39" i="202"/>
  <c r="AK40" i="202"/>
  <c r="AK41" i="202"/>
  <c r="AK42" i="202"/>
  <c r="AK43" i="202"/>
  <c r="AK44" i="202"/>
  <c r="AK45" i="202"/>
  <c r="AK46" i="202"/>
  <c r="AK47" i="202"/>
  <c r="AK48" i="202"/>
  <c r="AK49" i="202"/>
  <c r="AK50" i="202"/>
  <c r="AK51" i="202"/>
  <c r="AK52" i="202"/>
  <c r="AK53" i="202"/>
  <c r="AK54" i="202"/>
  <c r="AK55" i="202"/>
  <c r="AK56" i="202"/>
  <c r="AK57" i="202"/>
  <c r="AK58" i="202"/>
  <c r="AK59" i="202"/>
  <c r="AK60" i="202"/>
  <c r="AK61" i="202"/>
  <c r="AK62" i="202"/>
  <c r="AK63" i="202"/>
  <c r="AK64" i="202"/>
  <c r="AK65" i="202"/>
  <c r="AK66" i="202"/>
  <c r="AK67" i="202"/>
  <c r="AK68" i="202"/>
  <c r="AK69" i="202"/>
  <c r="AK70" i="202"/>
  <c r="AK71" i="202"/>
  <c r="AK72" i="202"/>
  <c r="AK73" i="202"/>
  <c r="AK74" i="202"/>
  <c r="AK75" i="202"/>
  <c r="AK76" i="202"/>
  <c r="AK77" i="202"/>
  <c r="AK78" i="202"/>
  <c r="AK79" i="202"/>
  <c r="AK80" i="202"/>
  <c r="AK81" i="202"/>
  <c r="AK82" i="202"/>
  <c r="AK83" i="202"/>
  <c r="AK84" i="202"/>
  <c r="AK85" i="202"/>
  <c r="AK86" i="202"/>
  <c r="AK87" i="202"/>
  <c r="AK88" i="202"/>
  <c r="AK89" i="202"/>
  <c r="AK90" i="202"/>
  <c r="AK91" i="202"/>
  <c r="AK92" i="202"/>
  <c r="AK93" i="202"/>
  <c r="AK94" i="202"/>
  <c r="AK95" i="202"/>
  <c r="AK96" i="202"/>
  <c r="AK97" i="202"/>
  <c r="AK98" i="202"/>
  <c r="AK99" i="202"/>
  <c r="AK100" i="202"/>
  <c r="AK101" i="202"/>
  <c r="AK102" i="202"/>
  <c r="AK103" i="202"/>
  <c r="AK104" i="202"/>
  <c r="AK105" i="202"/>
  <c r="AK106" i="202"/>
  <c r="AK107" i="202"/>
  <c r="AK108" i="202"/>
  <c r="AK109" i="202"/>
  <c r="AK110" i="202"/>
  <c r="AK111" i="202"/>
  <c r="AK112" i="202"/>
  <c r="AK113" i="202"/>
  <c r="AK114" i="202"/>
  <c r="AK115" i="202"/>
  <c r="AK116" i="202"/>
  <c r="AK117" i="202"/>
  <c r="AK118" i="202"/>
  <c r="AK119" i="202"/>
  <c r="AK120" i="202"/>
  <c r="AK121" i="202"/>
  <c r="AK122" i="202"/>
  <c r="AK123" i="202"/>
  <c r="AK124" i="202"/>
  <c r="AK125" i="202"/>
  <c r="AK126" i="202"/>
  <c r="AK127" i="202"/>
  <c r="AK128" i="202"/>
  <c r="AK129" i="202"/>
  <c r="AK130" i="202"/>
  <c r="AK131" i="202"/>
  <c r="AK132" i="202"/>
  <c r="AK133" i="202"/>
  <c r="AK134" i="202"/>
  <c r="AK135" i="202"/>
  <c r="AK136" i="202"/>
  <c r="AK137" i="202"/>
  <c r="AK138" i="202"/>
  <c r="AK139" i="202"/>
  <c r="AK140" i="202"/>
  <c r="AK141" i="202"/>
  <c r="AK142" i="202"/>
  <c r="AK143" i="202"/>
  <c r="AK144" i="202"/>
  <c r="AK145" i="202"/>
  <c r="AK146" i="202"/>
  <c r="AK147" i="202"/>
  <c r="AK148" i="202"/>
  <c r="AK149" i="202"/>
  <c r="AK150" i="202"/>
  <c r="AK151" i="202"/>
  <c r="AK152" i="202"/>
  <c r="AK153" i="202"/>
  <c r="AK154" i="202"/>
  <c r="AK155" i="202"/>
  <c r="AK156" i="202"/>
  <c r="AK157" i="202"/>
  <c r="AK158" i="202"/>
  <c r="AK159" i="202"/>
  <c r="AK160" i="202"/>
  <c r="AK161" i="202"/>
  <c r="AK162" i="202"/>
  <c r="AK163" i="202"/>
  <c r="AK164" i="202"/>
  <c r="AK165" i="202"/>
  <c r="AK166" i="202"/>
  <c r="AK167" i="202"/>
  <c r="AK168" i="202"/>
  <c r="AK169" i="202"/>
  <c r="AK170" i="202"/>
  <c r="AK171" i="202"/>
  <c r="AK172" i="202"/>
  <c r="AK173" i="202"/>
  <c r="AK174" i="202"/>
  <c r="AK175" i="202"/>
  <c r="AK176" i="202"/>
  <c r="AK177" i="202"/>
  <c r="AK178" i="202"/>
  <c r="AK179" i="202"/>
  <c r="AK180" i="202"/>
  <c r="AK181" i="202"/>
  <c r="AK182" i="202"/>
  <c r="AK183" i="202"/>
  <c r="AK184" i="202"/>
  <c r="AK185" i="202"/>
  <c r="AK186" i="202"/>
  <c r="AK187" i="202"/>
  <c r="AK188" i="202"/>
  <c r="AK189" i="202"/>
  <c r="AK190" i="202"/>
  <c r="AK191" i="202"/>
  <c r="AK192" i="202"/>
  <c r="AK193" i="202"/>
  <c r="AK194" i="202"/>
  <c r="AK195" i="202"/>
  <c r="AK196" i="202"/>
  <c r="AK197" i="202"/>
  <c r="AK198" i="202"/>
  <c r="AK199" i="202"/>
  <c r="AK200" i="202"/>
  <c r="AK201" i="202"/>
  <c r="AK202" i="202"/>
  <c r="AK203" i="202"/>
  <c r="AK204" i="202"/>
  <c r="AK205" i="202"/>
  <c r="AK206" i="202"/>
  <c r="AK207" i="202"/>
  <c r="AK208" i="202"/>
  <c r="AK209" i="202"/>
  <c r="AK210" i="202"/>
  <c r="AK211" i="202"/>
  <c r="AK212" i="202"/>
  <c r="AK213" i="202"/>
  <c r="AK214" i="202"/>
  <c r="AK215" i="202"/>
  <c r="AK216" i="202"/>
  <c r="AK217" i="202"/>
  <c r="AK218" i="202"/>
  <c r="AK219" i="202"/>
  <c r="AK220" i="202"/>
  <c r="AK221" i="202"/>
  <c r="AK222" i="202"/>
  <c r="AK223" i="202"/>
  <c r="AK224" i="202"/>
  <c r="AK225" i="202"/>
  <c r="AK226" i="202"/>
  <c r="AK227" i="202"/>
  <c r="AK228" i="202"/>
  <c r="AK229" i="202"/>
  <c r="AK230" i="202"/>
  <c r="AK231" i="202"/>
  <c r="AK232" i="202"/>
  <c r="AK233" i="202"/>
  <c r="AK234" i="202"/>
  <c r="AK235" i="202"/>
  <c r="AK236" i="202"/>
  <c r="AK237" i="202"/>
  <c r="AK238" i="202"/>
  <c r="AK239" i="202"/>
  <c r="AK240" i="202"/>
  <c r="AK241" i="202"/>
  <c r="AK242" i="202"/>
  <c r="AK243" i="202"/>
  <c r="AK244" i="202"/>
  <c r="AK245" i="202"/>
  <c r="AK246" i="202"/>
  <c r="AK247" i="202"/>
  <c r="AK248" i="202"/>
  <c r="AK249" i="202"/>
  <c r="AK250" i="202"/>
  <c r="AK251" i="202"/>
  <c r="AK252" i="202"/>
  <c r="AK253" i="202"/>
  <c r="AK254" i="202"/>
  <c r="AK255" i="202"/>
  <c r="AK256" i="202"/>
  <c r="AK257" i="202"/>
  <c r="AK258" i="202"/>
  <c r="AK259" i="202"/>
  <c r="AK260" i="202"/>
  <c r="AK261" i="202"/>
  <c r="AK262" i="202"/>
  <c r="AK263" i="202"/>
  <c r="AK264" i="202"/>
  <c r="AK265" i="202"/>
  <c r="AK266" i="202"/>
  <c r="AK267" i="202"/>
  <c r="AK268" i="202"/>
  <c r="AK269" i="202"/>
  <c r="AK270" i="202"/>
  <c r="AK271" i="202"/>
  <c r="AK272" i="202"/>
  <c r="AK273" i="202"/>
  <c r="AK274" i="202"/>
  <c r="AK275" i="202"/>
  <c r="AK276" i="202"/>
  <c r="AK277" i="202"/>
  <c r="AK278" i="202"/>
  <c r="AK279" i="202"/>
  <c r="AK280" i="202"/>
  <c r="AK281" i="202"/>
  <c r="AK282" i="202"/>
  <c r="AK283" i="202"/>
  <c r="AK284" i="202"/>
  <c r="AK285" i="202"/>
  <c r="AK286" i="202"/>
  <c r="AK287" i="202"/>
  <c r="AK288" i="202"/>
  <c r="AK289" i="202"/>
  <c r="AK290" i="202"/>
  <c r="AK291" i="202"/>
  <c r="AK292" i="202"/>
  <c r="AK293" i="202"/>
  <c r="AK294" i="202"/>
  <c r="AK295" i="202"/>
  <c r="AK296" i="202"/>
  <c r="AK297" i="202"/>
  <c r="AK298" i="202"/>
  <c r="AK299" i="202"/>
  <c r="AK300" i="202"/>
  <c r="AK301" i="202"/>
  <c r="AK302" i="202"/>
  <c r="AK303" i="202"/>
  <c r="AK304" i="202"/>
  <c r="AK305" i="202"/>
  <c r="AK306" i="202"/>
  <c r="AK307" i="202"/>
  <c r="AK308" i="202"/>
  <c r="AK309" i="202"/>
  <c r="AK310" i="202"/>
  <c r="AK311" i="202"/>
  <c r="AK312" i="202"/>
  <c r="AK313" i="202"/>
  <c r="AK314" i="202"/>
  <c r="AK315" i="202"/>
  <c r="AK316" i="202"/>
  <c r="AK317" i="202"/>
  <c r="AK318" i="202"/>
  <c r="AK319" i="202"/>
  <c r="AK320" i="202"/>
  <c r="AK321" i="202"/>
  <c r="AK322" i="202"/>
  <c r="AK323" i="202"/>
  <c r="AK324" i="202"/>
  <c r="AK325" i="202"/>
  <c r="AK326" i="202"/>
  <c r="AK327" i="202"/>
  <c r="AK328" i="202"/>
  <c r="AK329" i="202"/>
  <c r="AK330" i="202"/>
  <c r="AK331" i="202"/>
  <c r="AK332" i="202"/>
  <c r="AK333" i="202"/>
  <c r="AK334" i="202"/>
  <c r="AK335" i="202"/>
  <c r="AK336" i="202"/>
  <c r="AK337" i="202"/>
  <c r="AK338" i="202"/>
  <c r="AK339" i="202"/>
  <c r="AK340" i="202"/>
  <c r="AK341" i="202"/>
  <c r="AK342" i="202"/>
  <c r="AK343" i="202"/>
  <c r="AK344" i="202"/>
  <c r="AK345" i="202"/>
  <c r="AK346" i="202"/>
  <c r="AK347" i="202"/>
  <c r="AK348" i="202"/>
  <c r="AK349" i="202"/>
  <c r="AK350" i="202"/>
  <c r="AK351" i="202"/>
  <c r="AK352" i="202"/>
  <c r="AK353" i="202"/>
  <c r="AK354" i="202"/>
  <c r="AK355" i="202"/>
  <c r="AK356" i="202"/>
  <c r="AK357" i="202"/>
  <c r="AK358" i="202"/>
  <c r="AK359" i="202"/>
  <c r="AK360" i="202"/>
  <c r="AK361" i="202"/>
  <c r="AK362" i="202"/>
  <c r="AK363" i="202"/>
  <c r="AK364" i="202"/>
  <c r="AK365" i="202"/>
  <c r="AK366" i="202"/>
  <c r="AK367" i="202"/>
  <c r="AK368" i="202"/>
  <c r="AK369" i="202"/>
  <c r="AK370" i="202"/>
  <c r="AK371" i="202"/>
  <c r="AK372" i="202"/>
  <c r="AK373" i="202"/>
  <c r="AK374" i="202"/>
  <c r="AK375" i="202"/>
  <c r="AK376" i="202"/>
  <c r="AK377" i="202"/>
  <c r="AK378" i="202"/>
  <c r="AK379" i="202"/>
  <c r="AK380" i="202"/>
  <c r="AK381" i="202"/>
  <c r="AK382" i="202"/>
  <c r="AK383" i="202"/>
  <c r="AK384" i="202"/>
  <c r="AK385" i="202"/>
  <c r="AK386" i="202"/>
  <c r="AK387" i="202"/>
  <c r="AK388" i="202"/>
  <c r="AK389" i="202"/>
  <c r="AK390" i="202"/>
  <c r="AK391" i="202"/>
  <c r="AK392" i="202"/>
  <c r="AK393" i="202"/>
  <c r="AK394" i="202"/>
  <c r="AK395" i="202"/>
  <c r="AK396" i="202"/>
  <c r="AK397" i="202"/>
  <c r="AK398" i="202"/>
  <c r="AK399" i="202"/>
  <c r="AK400" i="202"/>
  <c r="AK401" i="202"/>
  <c r="AK402" i="202"/>
  <c r="AK403" i="202"/>
  <c r="AK404" i="202"/>
  <c r="AK405" i="202"/>
  <c r="AK406" i="202"/>
  <c r="AK407" i="202"/>
  <c r="AK408" i="202"/>
  <c r="AK409" i="202"/>
  <c r="AK410" i="202"/>
  <c r="AK411" i="202"/>
  <c r="AK412" i="202"/>
  <c r="AK413" i="202"/>
  <c r="AK414" i="202"/>
  <c r="AK415" i="202"/>
  <c r="AK416" i="202"/>
  <c r="AK417" i="202"/>
  <c r="AK418" i="202"/>
  <c r="AK419" i="202"/>
  <c r="AK420" i="202"/>
  <c r="AK421" i="202"/>
  <c r="AK422" i="202"/>
  <c r="AK423" i="202"/>
  <c r="AK424" i="202"/>
  <c r="AK425" i="202"/>
  <c r="AK426" i="202"/>
  <c r="AK427" i="202"/>
  <c r="AK428" i="202"/>
  <c r="AK429" i="202"/>
  <c r="AK430" i="202"/>
  <c r="AK431" i="202"/>
  <c r="AK432" i="202"/>
  <c r="AK433" i="202"/>
  <c r="AK434" i="202"/>
  <c r="AK435" i="202"/>
  <c r="AK436" i="202"/>
  <c r="AK437" i="202"/>
  <c r="AK438" i="202"/>
  <c r="AK439" i="202"/>
  <c r="AK440" i="202"/>
  <c r="AK441" i="202"/>
  <c r="AK442" i="202"/>
  <c r="AK443" i="202"/>
  <c r="AK444" i="202"/>
  <c r="AK445" i="202"/>
  <c r="AK446" i="202"/>
  <c r="AK447" i="202"/>
  <c r="AK448" i="202"/>
  <c r="AK449" i="202"/>
  <c r="AK450" i="202"/>
  <c r="AK451" i="202"/>
  <c r="AK452" i="202"/>
  <c r="AK453" i="202"/>
  <c r="AK454" i="202"/>
  <c r="AK455" i="202"/>
  <c r="AK456" i="202"/>
  <c r="AK457" i="202"/>
  <c r="AK458" i="202"/>
  <c r="AK459" i="202"/>
  <c r="AK460" i="202"/>
  <c r="AK461" i="202"/>
  <c r="AK462" i="202"/>
  <c r="AK463" i="202"/>
  <c r="AK464" i="202"/>
  <c r="AK465" i="202"/>
  <c r="AK466" i="202"/>
  <c r="AK467" i="202"/>
  <c r="AK468" i="202"/>
  <c r="AK469" i="202"/>
  <c r="AK470" i="202"/>
  <c r="AK471" i="202"/>
  <c r="AK472" i="202"/>
  <c r="AK473" i="202"/>
  <c r="AK474" i="202"/>
  <c r="AK475" i="202"/>
  <c r="AK476" i="202"/>
  <c r="AK477" i="202"/>
  <c r="AK478" i="202"/>
  <c r="AK479" i="202"/>
  <c r="AK480" i="202"/>
  <c r="AK481" i="202"/>
  <c r="AK482" i="202"/>
  <c r="AK483" i="202"/>
  <c r="AK484" i="202"/>
  <c r="AK485" i="202"/>
  <c r="AK486" i="202"/>
  <c r="AK487" i="202"/>
  <c r="AK488" i="202"/>
  <c r="AK489" i="202"/>
  <c r="AK490" i="202"/>
  <c r="AK491" i="202"/>
  <c r="AK492" i="202"/>
  <c r="AK493" i="202"/>
  <c r="AK494" i="202"/>
  <c r="AK495" i="202"/>
  <c r="AK496" i="202"/>
  <c r="AK497" i="202"/>
  <c r="AK498" i="202"/>
  <c r="AK499" i="202"/>
  <c r="AK500" i="202"/>
  <c r="AK501" i="202"/>
  <c r="AK502" i="202"/>
  <c r="AK503" i="202"/>
  <c r="AK504" i="202"/>
  <c r="AK505" i="202"/>
  <c r="AK506" i="202"/>
  <c r="AK507" i="202"/>
  <c r="AK508" i="202"/>
  <c r="AK509" i="202"/>
  <c r="AK510" i="202"/>
  <c r="AK511" i="202"/>
  <c r="AK512" i="202"/>
  <c r="AK513" i="202"/>
  <c r="AK514" i="202"/>
  <c r="AK515" i="202"/>
  <c r="AK516" i="202"/>
  <c r="AK517" i="202"/>
  <c r="AK518" i="202"/>
  <c r="AK519" i="202"/>
  <c r="AK520" i="202"/>
  <c r="AK521" i="202"/>
  <c r="AK522" i="202"/>
  <c r="AK523" i="202"/>
  <c r="AK524" i="202"/>
  <c r="AK525" i="202"/>
  <c r="AK526" i="202"/>
  <c r="AK527" i="202"/>
  <c r="AK528" i="202"/>
  <c r="AK529" i="202"/>
  <c r="AK530" i="202"/>
  <c r="AK531" i="202"/>
  <c r="AK532" i="202"/>
  <c r="AK533" i="202"/>
  <c r="AK534" i="202"/>
  <c r="AK535" i="202"/>
  <c r="AK536" i="202"/>
  <c r="AK537" i="202"/>
  <c r="AK538" i="202"/>
  <c r="AK539" i="202"/>
  <c r="AK540" i="202"/>
  <c r="AK541" i="202"/>
  <c r="AK542" i="202"/>
  <c r="AK543" i="202"/>
  <c r="AK544" i="202"/>
  <c r="AK545" i="202"/>
  <c r="AK546" i="202"/>
  <c r="AK547" i="202"/>
  <c r="AK548" i="202"/>
  <c r="AK549" i="202"/>
  <c r="AK550" i="202"/>
  <c r="AK551" i="202"/>
  <c r="AK552" i="202"/>
  <c r="AK553" i="202"/>
  <c r="AK554" i="202"/>
  <c r="AK555" i="202"/>
  <c r="AK556" i="202"/>
  <c r="AK557" i="202"/>
  <c r="AK558" i="202"/>
  <c r="AK559" i="202"/>
  <c r="AK560" i="202"/>
  <c r="AK561" i="202"/>
  <c r="AK562" i="202"/>
  <c r="AK563" i="202"/>
  <c r="AK564" i="202"/>
  <c r="AK565" i="202"/>
  <c r="AK566" i="202"/>
  <c r="AK567" i="202"/>
  <c r="AK568" i="202"/>
  <c r="AK569" i="202"/>
  <c r="AK570" i="202"/>
  <c r="AK571" i="202"/>
  <c r="AK572" i="202"/>
  <c r="AK573" i="202"/>
  <c r="AK574" i="202"/>
  <c r="AK575" i="202"/>
  <c r="AK576" i="202"/>
  <c r="AK577" i="202"/>
  <c r="AK578" i="202"/>
  <c r="AK579" i="202"/>
  <c r="AK580" i="202"/>
  <c r="AK581" i="202"/>
  <c r="AK582" i="202"/>
  <c r="AK583" i="202"/>
  <c r="AK584" i="202"/>
  <c r="AK585" i="202"/>
  <c r="AK586" i="202"/>
  <c r="AK587" i="202"/>
  <c r="AK588" i="202"/>
  <c r="AK589" i="202"/>
  <c r="AK590" i="202"/>
  <c r="AK591" i="202"/>
  <c r="AK592" i="202"/>
  <c r="AK593" i="202"/>
  <c r="AK594" i="202"/>
  <c r="AK595" i="202"/>
  <c r="AK596" i="202"/>
  <c r="AK597" i="202"/>
  <c r="AK598" i="202"/>
  <c r="AK599" i="202"/>
  <c r="AK600" i="202"/>
  <c r="AK601" i="202"/>
  <c r="AK602" i="202"/>
  <c r="AK603" i="202"/>
  <c r="AK604" i="202"/>
  <c r="AK605" i="202"/>
  <c r="AK606" i="202"/>
  <c r="AK607" i="202"/>
  <c r="AK608" i="202"/>
  <c r="AK609" i="202"/>
  <c r="AK610" i="202"/>
  <c r="AK611" i="202"/>
  <c r="AK612" i="202"/>
  <c r="AK613" i="202"/>
  <c r="AK614" i="202"/>
  <c r="AK615" i="202"/>
  <c r="AK616" i="202"/>
  <c r="AK617" i="202"/>
  <c r="AK618" i="202"/>
  <c r="AK619" i="202"/>
  <c r="AK620" i="202"/>
  <c r="AK621" i="202"/>
  <c r="AK622" i="202"/>
  <c r="AK623" i="202"/>
  <c r="AK624" i="202"/>
  <c r="AK625" i="202"/>
  <c r="AK626" i="202"/>
  <c r="AK627" i="202"/>
  <c r="AK628" i="202"/>
  <c r="AK629" i="202"/>
  <c r="AK630" i="202"/>
  <c r="AK631" i="202"/>
  <c r="AK632" i="202"/>
  <c r="AK633" i="202"/>
  <c r="AK634" i="202"/>
  <c r="AK635" i="202"/>
  <c r="AK636" i="202"/>
  <c r="AK637" i="202"/>
  <c r="AK638" i="202"/>
  <c r="AK639" i="202"/>
  <c r="AK640" i="202"/>
  <c r="AK641" i="202"/>
  <c r="AK642" i="202"/>
  <c r="AK643" i="202"/>
  <c r="AK644" i="202"/>
  <c r="AK645" i="202"/>
  <c r="AK646" i="202"/>
  <c r="AK647" i="202"/>
  <c r="AK648" i="202"/>
  <c r="AK649" i="202"/>
  <c r="AK650" i="202"/>
  <c r="AK651" i="202"/>
  <c r="AK652" i="202"/>
  <c r="AK653" i="202"/>
  <c r="AK654" i="202"/>
  <c r="AK655" i="202"/>
  <c r="AK656" i="202"/>
  <c r="AK657" i="202"/>
  <c r="AK658" i="202"/>
  <c r="AK659" i="202"/>
  <c r="AK660" i="202"/>
  <c r="AK661" i="202"/>
  <c r="AK662" i="202"/>
  <c r="AK663" i="202"/>
  <c r="AK664" i="202"/>
  <c r="AK665" i="202"/>
  <c r="AK666" i="202"/>
  <c r="AK667" i="202"/>
  <c r="AK668" i="202"/>
  <c r="AK669" i="202"/>
  <c r="AK670" i="202"/>
  <c r="AK671" i="202"/>
  <c r="AK672" i="202"/>
  <c r="AK673" i="202"/>
  <c r="AK674" i="202"/>
  <c r="AK675" i="202"/>
  <c r="AK676" i="202"/>
  <c r="AK677" i="202"/>
  <c r="AK678" i="202"/>
  <c r="AK679" i="202"/>
  <c r="AK680" i="202"/>
  <c r="AK681" i="202"/>
  <c r="AK682" i="202"/>
  <c r="AK683" i="202"/>
  <c r="AK684" i="202"/>
  <c r="AK685" i="202"/>
  <c r="AK686" i="202"/>
  <c r="AK687" i="202"/>
  <c r="AK688" i="202"/>
  <c r="AK689" i="202"/>
  <c r="AK690" i="202"/>
  <c r="AK691" i="202"/>
  <c r="AK692" i="202"/>
  <c r="AK693" i="202"/>
  <c r="AK694" i="202"/>
  <c r="AK695" i="202"/>
  <c r="AK696" i="202"/>
  <c r="AK697" i="202"/>
  <c r="AK698" i="202"/>
  <c r="AK699" i="202"/>
  <c r="AK700" i="202"/>
  <c r="AK701" i="202"/>
  <c r="AK702" i="202"/>
  <c r="AK703" i="202"/>
  <c r="AK704" i="202"/>
  <c r="AK705" i="202"/>
  <c r="AK706" i="202"/>
  <c r="AK707" i="202"/>
  <c r="AK708" i="202"/>
  <c r="AK709" i="202"/>
  <c r="AK710" i="202"/>
  <c r="AK711" i="202"/>
  <c r="AK712" i="202"/>
  <c r="AK713" i="202"/>
  <c r="AK714" i="202"/>
  <c r="AK715" i="202"/>
  <c r="AK716" i="202"/>
  <c r="AK717" i="202"/>
  <c r="AK718" i="202"/>
  <c r="AK719" i="202"/>
  <c r="AK720" i="202"/>
  <c r="AK721" i="202"/>
  <c r="AK722" i="202"/>
  <c r="AK723" i="202"/>
  <c r="AK724" i="202"/>
  <c r="AK725" i="202"/>
  <c r="AK726" i="202"/>
  <c r="AK727" i="202"/>
  <c r="AK728" i="202"/>
  <c r="AK729" i="202"/>
  <c r="AK730" i="202"/>
  <c r="AK731" i="202"/>
  <c r="AK732" i="202"/>
  <c r="AK733" i="202"/>
  <c r="AK734" i="202"/>
  <c r="AK735" i="202"/>
  <c r="AK736" i="202"/>
  <c r="AK737" i="202"/>
  <c r="AK738" i="202"/>
  <c r="AK739" i="202"/>
  <c r="AK740" i="202"/>
  <c r="AK741" i="202"/>
  <c r="AK742" i="202"/>
  <c r="AK743" i="202"/>
  <c r="AK744" i="202"/>
  <c r="AK745" i="202"/>
  <c r="AK746" i="202"/>
  <c r="AK747" i="202"/>
  <c r="AK748" i="202"/>
  <c r="AK749" i="202"/>
  <c r="AK750" i="202"/>
  <c r="AK751" i="202"/>
  <c r="AK752" i="202"/>
  <c r="AK753" i="202"/>
  <c r="AK754" i="202"/>
  <c r="AK755" i="202"/>
  <c r="AK756" i="202"/>
  <c r="AK757" i="202"/>
  <c r="AK758" i="202"/>
  <c r="AK759" i="202"/>
  <c r="AK760" i="202"/>
  <c r="AK761" i="202"/>
  <c r="AK762" i="202"/>
  <c r="AK763" i="202"/>
  <c r="AK764" i="202"/>
  <c r="AK765" i="202"/>
  <c r="AK766" i="202"/>
  <c r="AK767" i="202"/>
  <c r="AK768" i="202"/>
  <c r="AK769" i="202"/>
  <c r="AK770" i="202"/>
  <c r="AK771" i="202"/>
  <c r="AK772" i="202"/>
  <c r="AK773" i="202"/>
  <c r="AK774" i="202"/>
  <c r="AK775" i="202"/>
  <c r="AK776" i="202"/>
  <c r="AK777" i="202"/>
  <c r="AK778" i="202"/>
  <c r="AK779" i="202"/>
  <c r="AK780" i="202"/>
  <c r="AK781" i="202"/>
  <c r="AK782" i="202"/>
  <c r="AK783" i="202"/>
  <c r="AK784" i="202"/>
  <c r="AK785" i="202"/>
  <c r="AK786" i="202"/>
  <c r="AK787" i="202"/>
  <c r="AK788" i="202"/>
  <c r="AK789" i="202"/>
  <c r="AK790" i="202"/>
  <c r="AK791" i="202"/>
  <c r="AK792" i="202"/>
  <c r="AK793" i="202"/>
  <c r="AK794" i="202"/>
  <c r="AK795" i="202"/>
  <c r="AK796" i="202"/>
  <c r="AK797" i="202"/>
  <c r="AK798" i="202"/>
  <c r="AK799" i="202"/>
  <c r="AK800" i="202"/>
  <c r="AK801" i="202"/>
  <c r="AK802" i="202"/>
  <c r="AK803" i="202"/>
  <c r="AK804" i="202"/>
  <c r="AK805" i="202"/>
  <c r="AK806" i="202"/>
  <c r="AK807" i="202"/>
  <c r="AK808" i="202"/>
  <c r="AK809" i="202"/>
  <c r="AK810" i="202"/>
  <c r="AK811" i="202"/>
  <c r="AK812" i="202"/>
  <c r="AK813" i="202"/>
  <c r="AK814" i="202"/>
  <c r="AK815" i="202"/>
  <c r="AK816" i="202"/>
  <c r="AK817" i="202"/>
  <c r="AK818" i="202"/>
  <c r="AK819" i="202"/>
  <c r="AK820" i="202"/>
  <c r="AK821" i="202"/>
  <c r="AK822" i="202"/>
  <c r="AK823" i="202"/>
  <c r="AK824" i="202"/>
  <c r="AK825" i="202"/>
  <c r="AK826" i="202"/>
  <c r="AK827" i="202"/>
  <c r="AK828" i="202"/>
  <c r="AK829" i="202"/>
  <c r="AK830" i="202"/>
  <c r="AK831" i="202"/>
  <c r="AK832" i="202"/>
  <c r="AK833" i="202"/>
  <c r="AK834" i="202"/>
  <c r="AK835" i="202"/>
  <c r="AK836" i="202"/>
  <c r="AK837" i="202"/>
  <c r="AK838" i="202"/>
  <c r="AK839" i="202"/>
  <c r="AK840" i="202"/>
  <c r="AK841" i="202"/>
  <c r="AK842" i="202"/>
  <c r="AK843" i="202"/>
  <c r="AK844" i="202"/>
  <c r="AK845" i="202"/>
  <c r="AK846" i="202"/>
  <c r="AK847" i="202"/>
  <c r="AK848" i="202"/>
  <c r="AK849" i="202"/>
  <c r="AK850" i="202"/>
  <c r="AK851" i="202"/>
  <c r="AK852" i="202"/>
  <c r="AK853" i="202"/>
  <c r="AK854" i="202"/>
  <c r="AK855" i="202"/>
  <c r="AK856" i="202"/>
  <c r="AK857" i="202"/>
  <c r="AK858" i="202"/>
  <c r="AK859" i="202"/>
  <c r="AK860" i="202"/>
  <c r="AK861" i="202"/>
  <c r="AK862" i="202"/>
  <c r="AK863" i="202"/>
  <c r="AK864" i="202"/>
  <c r="AK865" i="202"/>
  <c r="AK866" i="202"/>
  <c r="AK867" i="202"/>
  <c r="AK868" i="202"/>
  <c r="AK869" i="202"/>
  <c r="AK870" i="202"/>
  <c r="AK871" i="202"/>
  <c r="AK872" i="202"/>
  <c r="AK873" i="202"/>
  <c r="AK874" i="202"/>
  <c r="AK875" i="202"/>
  <c r="AK876" i="202"/>
  <c r="AK877" i="202"/>
  <c r="AK878" i="202"/>
  <c r="AK879" i="202"/>
  <c r="AK880" i="202"/>
  <c r="AK881" i="202"/>
  <c r="AK882" i="202"/>
  <c r="AK883" i="202"/>
  <c r="AK884" i="202"/>
  <c r="AK885" i="202"/>
  <c r="AK886" i="202"/>
  <c r="AK887" i="202"/>
  <c r="AK888" i="202"/>
  <c r="AK889" i="202"/>
  <c r="AK890" i="202"/>
  <c r="AK891" i="202"/>
  <c r="AK892" i="202"/>
  <c r="AK893" i="202"/>
  <c r="AK894" i="202"/>
  <c r="AK895" i="202"/>
  <c r="AK896" i="202"/>
  <c r="AK897" i="202"/>
  <c r="AK898" i="202"/>
  <c r="AK899" i="202"/>
  <c r="AK900" i="202"/>
  <c r="AK901" i="202"/>
  <c r="AK902" i="202"/>
  <c r="AK903" i="202"/>
  <c r="AK904" i="202"/>
  <c r="AK905" i="202"/>
  <c r="AK906" i="202"/>
  <c r="AK907" i="202"/>
  <c r="AK908" i="202"/>
  <c r="AK909" i="202"/>
  <c r="AK910" i="202"/>
  <c r="AK911" i="202"/>
  <c r="AK912" i="202"/>
  <c r="AK913" i="202"/>
  <c r="AK914" i="202"/>
  <c r="AK915" i="202"/>
  <c r="AK916" i="202"/>
  <c r="AK917" i="202"/>
  <c r="AK918" i="202"/>
  <c r="AK919" i="202"/>
  <c r="AK920" i="202"/>
  <c r="AK921" i="202"/>
  <c r="AK922" i="202"/>
  <c r="AK923" i="202"/>
  <c r="AK924" i="202"/>
  <c r="AK925" i="202"/>
  <c r="AK926" i="202"/>
  <c r="AK927" i="202"/>
  <c r="AK928" i="202"/>
  <c r="AK929" i="202"/>
  <c r="AK930" i="202"/>
  <c r="AK931" i="202"/>
  <c r="AK932" i="202"/>
  <c r="AK933" i="202"/>
  <c r="AK934" i="202"/>
  <c r="AK935" i="202"/>
  <c r="AK936" i="202"/>
  <c r="AK937" i="202"/>
  <c r="AK938" i="202"/>
  <c r="AK939" i="202"/>
  <c r="AK940" i="202"/>
  <c r="AK941" i="202"/>
  <c r="AK942" i="202"/>
  <c r="AK943" i="202"/>
  <c r="AK944" i="202"/>
  <c r="AK945" i="202"/>
  <c r="AK946" i="202"/>
  <c r="AK947" i="202"/>
  <c r="AK948" i="202"/>
  <c r="AK949" i="202"/>
  <c r="AK950" i="202"/>
  <c r="AK951" i="202"/>
  <c r="AK952" i="202"/>
  <c r="AK953" i="202"/>
  <c r="AK954" i="202"/>
  <c r="AK955" i="202"/>
  <c r="AK956" i="202"/>
  <c r="AK957" i="202"/>
  <c r="AK958" i="202"/>
  <c r="AK959" i="202"/>
  <c r="AK960" i="202"/>
  <c r="AK961" i="202"/>
  <c r="AK962" i="202"/>
  <c r="AK963" i="202"/>
  <c r="AK964" i="202"/>
  <c r="AK965" i="202"/>
  <c r="AK966" i="202"/>
  <c r="AK967" i="202"/>
  <c r="AK968" i="202"/>
  <c r="AK969" i="202"/>
  <c r="AK970" i="202"/>
  <c r="AK971" i="202"/>
  <c r="AK972" i="202"/>
  <c r="AK973" i="202"/>
  <c r="AK974" i="202"/>
  <c r="AK975" i="202"/>
  <c r="AK976" i="202"/>
  <c r="AK977" i="202"/>
  <c r="AK978" i="202"/>
  <c r="AK979" i="202"/>
  <c r="AK980" i="202"/>
  <c r="AK981" i="202"/>
  <c r="AK982" i="202"/>
  <c r="AK983" i="202"/>
  <c r="AK984" i="202"/>
  <c r="AK985" i="202"/>
  <c r="AK986" i="202"/>
  <c r="AK987" i="202"/>
  <c r="AK988" i="202"/>
  <c r="AK989" i="202"/>
  <c r="AK990" i="202"/>
  <c r="AK991" i="202"/>
  <c r="AK992" i="202"/>
  <c r="AK993" i="202"/>
  <c r="AK994" i="202"/>
  <c r="AK995" i="202"/>
  <c r="AK996" i="202"/>
  <c r="AK997" i="202"/>
  <c r="AK998" i="202"/>
  <c r="AK999" i="202"/>
  <c r="AK1000" i="202"/>
  <c r="AK1001" i="202"/>
  <c r="AK1002" i="202"/>
  <c r="AK1003" i="202"/>
  <c r="AK1004" i="202"/>
  <c r="AK1005" i="202"/>
  <c r="AK1006" i="202"/>
  <c r="AK1007" i="202"/>
  <c r="AK1008" i="202"/>
  <c r="AK1009" i="202"/>
  <c r="AK1010" i="202"/>
  <c r="AK1011" i="202"/>
  <c r="AK1012" i="202"/>
  <c r="AK1013" i="202"/>
  <c r="AK1014" i="202"/>
  <c r="AK1015" i="202"/>
  <c r="AK1016" i="202"/>
  <c r="AK1017" i="202"/>
  <c r="AK1018" i="202"/>
  <c r="AK1019" i="202"/>
  <c r="AK1020" i="202"/>
  <c r="AK1021" i="202"/>
  <c r="AK1022" i="202"/>
  <c r="AK1023" i="202"/>
  <c r="AK1024" i="202"/>
  <c r="AK1025" i="202"/>
  <c r="AK1026" i="202"/>
  <c r="AK1027" i="202"/>
  <c r="AK1028" i="202"/>
  <c r="AK1029" i="202"/>
  <c r="AK1030" i="202"/>
  <c r="AK1031" i="202"/>
  <c r="AK1032" i="202"/>
  <c r="AK1033" i="202"/>
  <c r="AK1034" i="202"/>
  <c r="AK1035" i="202"/>
  <c r="AK1036" i="202"/>
  <c r="AK1037" i="202"/>
  <c r="AK1038" i="202"/>
  <c r="AK1039" i="202"/>
  <c r="AK1040" i="202"/>
  <c r="AK1041" i="202"/>
  <c r="AK1042" i="202"/>
  <c r="AK1043" i="202"/>
  <c r="AK1044" i="202"/>
  <c r="AK1045" i="202"/>
  <c r="AK1046" i="202"/>
  <c r="AK1047" i="202"/>
  <c r="AK1048" i="202"/>
  <c r="AK1049" i="202"/>
  <c r="AK1050" i="202"/>
  <c r="AK1051" i="202"/>
  <c r="AK1052" i="202"/>
  <c r="AK1053" i="202"/>
  <c r="AK1054" i="202"/>
  <c r="AK1055" i="202"/>
  <c r="AK1056" i="202"/>
  <c r="AK1057" i="202"/>
  <c r="AK1058" i="202"/>
  <c r="AK1059" i="202"/>
  <c r="AK1060" i="202"/>
  <c r="AK1061" i="202"/>
  <c r="AK1062" i="202"/>
  <c r="AK1063" i="202"/>
  <c r="AK1064" i="202"/>
  <c r="AK1065" i="202"/>
  <c r="AK1066" i="202"/>
  <c r="AK1067" i="202"/>
  <c r="AK1068" i="202"/>
  <c r="AK1069" i="202"/>
  <c r="AK1070" i="202"/>
  <c r="AK1071" i="202"/>
  <c r="AK1072" i="202"/>
  <c r="AK1073" i="202"/>
  <c r="AK1074" i="202"/>
  <c r="AK1075" i="202"/>
  <c r="AK1076" i="202"/>
  <c r="AK1077" i="202"/>
  <c r="AK1078" i="202"/>
  <c r="AK1079" i="202"/>
  <c r="AK1080" i="202"/>
  <c r="AK1081" i="202"/>
  <c r="AK1082" i="202"/>
  <c r="AK1083" i="202"/>
  <c r="AK1084" i="202"/>
  <c r="AK1085" i="202"/>
  <c r="AK1086" i="202"/>
  <c r="AK1087" i="202"/>
  <c r="AK1088" i="202"/>
  <c r="AK1089" i="202"/>
  <c r="AK1090" i="202"/>
  <c r="AK1091" i="202"/>
  <c r="AK1092" i="202"/>
  <c r="AK1093" i="202"/>
  <c r="AK1094" i="202"/>
  <c r="AK1095" i="202"/>
  <c r="AK1096" i="202"/>
  <c r="AK1097" i="202"/>
  <c r="AK1098" i="202"/>
  <c r="AK1099" i="202"/>
  <c r="AK1100" i="202"/>
  <c r="AK1101" i="202"/>
  <c r="AK1102" i="202"/>
  <c r="AK1103" i="202"/>
  <c r="AK1104" i="202"/>
  <c r="AK1105" i="202"/>
  <c r="AK1106" i="202"/>
  <c r="AK1107" i="202"/>
  <c r="AK1108" i="202"/>
  <c r="AK1109" i="202"/>
  <c r="AK1110" i="202"/>
  <c r="AK1111" i="202"/>
  <c r="AK1112" i="202"/>
  <c r="AK1113" i="202"/>
  <c r="AK1114" i="202"/>
  <c r="AK1115" i="202"/>
  <c r="AK1116" i="202"/>
  <c r="AK1117" i="202"/>
  <c r="AK1118" i="202"/>
  <c r="AK1119" i="202"/>
  <c r="AK1120" i="202"/>
  <c r="AK1121" i="202"/>
  <c r="AK1122" i="202"/>
  <c r="AK1123" i="202"/>
  <c r="AK1124" i="202"/>
  <c r="AK1125" i="202"/>
  <c r="AK1126" i="202"/>
  <c r="AK1127" i="202"/>
  <c r="AK1128" i="202"/>
  <c r="AK1129" i="202"/>
  <c r="AK1130" i="202"/>
  <c r="AK1131" i="202"/>
  <c r="AK1132" i="202"/>
  <c r="AK1133" i="202"/>
  <c r="AK1134" i="202"/>
  <c r="AK1135" i="202"/>
  <c r="AK1136" i="202"/>
  <c r="AK1137" i="202"/>
  <c r="AK1138" i="202"/>
  <c r="AK1139" i="202"/>
  <c r="AK1140" i="202"/>
  <c r="AK1141" i="202"/>
  <c r="AK1142" i="202"/>
  <c r="AK1143" i="202"/>
  <c r="AK1144" i="202"/>
  <c r="AK1145" i="202"/>
  <c r="AK1146" i="202"/>
  <c r="AK1147" i="202"/>
  <c r="AK1148" i="202"/>
  <c r="AK1149" i="202"/>
  <c r="AK1150" i="202"/>
  <c r="AK1151" i="202"/>
  <c r="AK1152" i="202"/>
  <c r="AK1153" i="202"/>
  <c r="AK1154" i="202"/>
  <c r="AK1155" i="202"/>
  <c r="AK1156" i="202"/>
  <c r="AK1157" i="202"/>
  <c r="AK1158" i="202"/>
  <c r="AK1159" i="202"/>
  <c r="AK1160" i="202"/>
  <c r="AK1161" i="202"/>
  <c r="AK1162" i="202"/>
  <c r="AK1163" i="202"/>
  <c r="AK1164" i="202"/>
  <c r="AK1165" i="202"/>
  <c r="AK1166" i="202"/>
  <c r="AK1167" i="202"/>
  <c r="AK1168" i="202"/>
  <c r="AK1169" i="202"/>
  <c r="AK1170" i="202"/>
  <c r="AK1171" i="202"/>
  <c r="AK1172" i="202"/>
  <c r="AK1173" i="202"/>
  <c r="AK1174" i="202"/>
  <c r="AK1175" i="202"/>
  <c r="AK1176" i="202"/>
  <c r="AK1177" i="202"/>
  <c r="AK1178" i="202"/>
  <c r="AK1179" i="202"/>
  <c r="AK1180" i="202"/>
  <c r="AK1181" i="202"/>
  <c r="AK1182" i="202"/>
  <c r="AK1183" i="202"/>
  <c r="AK1184" i="202"/>
  <c r="AK1185" i="202"/>
  <c r="AK1186" i="202"/>
  <c r="AK1187" i="202"/>
  <c r="AK1188" i="202"/>
  <c r="AK1189" i="202"/>
  <c r="AK1190" i="202"/>
  <c r="AK1191" i="202"/>
  <c r="AK1192" i="202"/>
  <c r="AK1193" i="202"/>
  <c r="AK1194" i="202"/>
  <c r="AK1195" i="202"/>
  <c r="AK1196" i="202"/>
  <c r="AK1197" i="202"/>
  <c r="AK1198" i="202"/>
  <c r="AK1199" i="202"/>
  <c r="AK1200" i="202"/>
  <c r="AK1201" i="202"/>
  <c r="AK1202" i="202"/>
  <c r="AK1203" i="202"/>
  <c r="AK1204" i="202"/>
  <c r="AK1205" i="202"/>
  <c r="AK1206" i="202"/>
  <c r="AK1207" i="202"/>
  <c r="AK1208" i="202"/>
  <c r="AK1209" i="202"/>
  <c r="AK1210" i="202"/>
  <c r="AK1211" i="202"/>
  <c r="AK1212" i="202"/>
  <c r="AK1213" i="202"/>
  <c r="AK1214" i="202"/>
  <c r="AK1215" i="202"/>
  <c r="AK1216" i="202"/>
  <c r="AK1217" i="202"/>
  <c r="AK1218" i="202"/>
  <c r="AK1219" i="202"/>
  <c r="AK1220" i="202"/>
  <c r="AK1221" i="202"/>
  <c r="AK1222" i="202"/>
  <c r="AK1223" i="202"/>
  <c r="AK1224" i="202"/>
  <c r="AK1225" i="202"/>
  <c r="AK1226" i="202"/>
  <c r="AK1227" i="202"/>
  <c r="AK1228" i="202"/>
  <c r="AK1229" i="202"/>
  <c r="AK1230" i="202"/>
  <c r="AK1231" i="202"/>
  <c r="AK1232" i="202"/>
  <c r="AK1233" i="202"/>
  <c r="AK1234" i="202"/>
  <c r="AK1235" i="202"/>
  <c r="AK1236" i="202"/>
  <c r="AK1237" i="202"/>
  <c r="AK1238" i="202"/>
  <c r="AK1239" i="202"/>
  <c r="AK1240" i="202"/>
  <c r="AK1241" i="202"/>
  <c r="AK1242" i="202"/>
  <c r="AK1243" i="202"/>
  <c r="AK1244" i="202"/>
  <c r="AK1245" i="202"/>
  <c r="AK1246" i="202"/>
  <c r="AK1247" i="202"/>
  <c r="AK1248" i="202"/>
  <c r="AK1249" i="202"/>
  <c r="AK1250" i="202"/>
  <c r="AK1251" i="202"/>
  <c r="AK1252" i="202"/>
  <c r="AK1253" i="202"/>
  <c r="AK1254" i="202"/>
  <c r="AK1255" i="202"/>
  <c r="AK1256" i="202"/>
  <c r="AK1257" i="202"/>
  <c r="AK1258" i="202"/>
  <c r="AK1259" i="202"/>
  <c r="AK1260" i="202"/>
  <c r="AK1261" i="202"/>
  <c r="AK1262" i="202"/>
  <c r="AK1263" i="202"/>
  <c r="AK1264" i="202"/>
  <c r="AK1265" i="202"/>
  <c r="AK1266" i="202"/>
  <c r="AK1267" i="202"/>
  <c r="AK1268" i="202"/>
  <c r="AK1269" i="202"/>
  <c r="AK1270" i="202"/>
  <c r="AK1271" i="202"/>
  <c r="AK1272" i="202"/>
  <c r="AK1273" i="202"/>
  <c r="AK1274" i="202"/>
  <c r="AK1275" i="202"/>
  <c r="AK1276" i="202"/>
  <c r="AK1277" i="202"/>
  <c r="AK1278" i="202"/>
  <c r="AK1279" i="202"/>
  <c r="AK1280" i="202"/>
  <c r="AK1281" i="202"/>
  <c r="AK1282" i="202"/>
  <c r="AK1283" i="202"/>
  <c r="AK1284" i="202"/>
  <c r="AK1285" i="202"/>
  <c r="AK1286" i="202"/>
  <c r="AK1287" i="202"/>
  <c r="AK1288" i="202"/>
  <c r="AK1289" i="202"/>
  <c r="AK1290" i="202"/>
  <c r="AK1291" i="202"/>
  <c r="AK1292" i="202"/>
  <c r="AK1293" i="202"/>
  <c r="AK1294" i="202"/>
  <c r="AK1295" i="202"/>
  <c r="AK1296" i="202"/>
  <c r="AK1297" i="202"/>
  <c r="AK1298" i="202"/>
  <c r="AK1299" i="202"/>
  <c r="AK1300" i="202"/>
  <c r="AK1301" i="202"/>
  <c r="AK1302" i="202"/>
  <c r="AK1303" i="202"/>
  <c r="AK1304" i="202"/>
  <c r="AK1305" i="202"/>
  <c r="AK1306" i="202"/>
  <c r="AK1307" i="202"/>
  <c r="AK1308" i="202"/>
  <c r="AK1309" i="202"/>
  <c r="AK1310" i="202"/>
  <c r="AK1311" i="202"/>
  <c r="AK1312" i="202"/>
  <c r="AK1313" i="202"/>
  <c r="AK1314" i="202"/>
  <c r="AK1315" i="202"/>
  <c r="AK1316" i="202"/>
  <c r="AK1317" i="202"/>
  <c r="AK1318" i="202"/>
  <c r="AK1319" i="202"/>
  <c r="AK1320" i="202"/>
  <c r="AK1321" i="202"/>
  <c r="AK1322" i="202"/>
  <c r="AK1323" i="202"/>
  <c r="AK1324" i="202"/>
  <c r="AK1325" i="202"/>
  <c r="AK1326" i="202"/>
  <c r="AK1327" i="202"/>
  <c r="AK1328" i="202"/>
  <c r="AK1329" i="202"/>
  <c r="AK1330" i="202"/>
  <c r="AK1331" i="202"/>
  <c r="AK1332" i="202"/>
  <c r="AK1333" i="202"/>
  <c r="AK1334" i="202"/>
  <c r="AK1335" i="202"/>
  <c r="AK1336" i="202"/>
  <c r="AK1337" i="202"/>
  <c r="AK1338" i="202"/>
  <c r="AK1339" i="202"/>
  <c r="AK1340" i="202"/>
  <c r="AK1341" i="202"/>
  <c r="AK1342" i="202"/>
  <c r="AK1343" i="202"/>
  <c r="AK1344" i="202"/>
  <c r="AK1345" i="202"/>
  <c r="AK1346" i="202"/>
  <c r="AK1347" i="202"/>
  <c r="AK1348" i="202"/>
  <c r="AK1349" i="202"/>
  <c r="AK1350" i="202"/>
  <c r="AK1351" i="202"/>
  <c r="AK1352" i="202"/>
  <c r="AK1353" i="202"/>
  <c r="AK1354" i="202"/>
  <c r="AK1355" i="202"/>
  <c r="AK1356" i="202"/>
  <c r="AK1357" i="202"/>
  <c r="AK1358" i="202"/>
  <c r="AK1359" i="202"/>
  <c r="AK1360" i="202"/>
  <c r="AK1361" i="202"/>
  <c r="AK1362" i="202"/>
  <c r="AK1363" i="202"/>
  <c r="AK1364" i="202"/>
  <c r="AK1365" i="202"/>
  <c r="AK1366" i="202"/>
  <c r="AK1367" i="202"/>
  <c r="AK1368" i="202"/>
  <c r="AK1369" i="202"/>
  <c r="AK1370" i="202"/>
  <c r="AK1371" i="202"/>
  <c r="AK1372" i="202"/>
  <c r="AK1373" i="202"/>
  <c r="AK1374" i="202"/>
  <c r="AK1375" i="202"/>
  <c r="AK1376" i="202"/>
  <c r="AK1377" i="202"/>
  <c r="AK1378" i="202"/>
  <c r="AK1379" i="202"/>
  <c r="AK1380" i="202"/>
  <c r="AK1381" i="202"/>
  <c r="AK1382" i="202"/>
  <c r="AK1383" i="202"/>
  <c r="AK1384" i="202"/>
  <c r="AK1385" i="202"/>
  <c r="AK1386" i="202"/>
  <c r="AK1387" i="202"/>
  <c r="AK1388" i="202"/>
  <c r="AK1389" i="202"/>
  <c r="AK1390" i="202"/>
  <c r="AK1391" i="202"/>
  <c r="AK1392" i="202"/>
  <c r="AK1393" i="202"/>
  <c r="AK1394" i="202"/>
  <c r="AK1395" i="202"/>
  <c r="AK1396" i="202"/>
  <c r="AK1397" i="202"/>
  <c r="AK1398" i="202"/>
  <c r="AK1399" i="202"/>
  <c r="AK1400" i="202"/>
  <c r="AK1401" i="202"/>
  <c r="AK1402" i="202"/>
  <c r="AK1403" i="202"/>
  <c r="AK1404" i="202"/>
  <c r="AK1405" i="202"/>
  <c r="AK1406" i="202"/>
  <c r="AK1407" i="202"/>
  <c r="AK1408" i="202"/>
  <c r="AK1409" i="202"/>
  <c r="AK1410" i="202"/>
  <c r="AK1411" i="202"/>
  <c r="AK1412" i="202"/>
  <c r="AK1413" i="202"/>
  <c r="AK1414" i="202"/>
  <c r="AK1415" i="202"/>
  <c r="AK1416" i="202"/>
  <c r="AK1417" i="202"/>
  <c r="AK1418" i="202"/>
  <c r="AK1419" i="202"/>
  <c r="AK1420" i="202"/>
  <c r="AK1421" i="202"/>
  <c r="AK1422" i="202"/>
  <c r="AK1423" i="202"/>
  <c r="AK1424" i="202"/>
  <c r="AK1425" i="202"/>
  <c r="AK1426" i="202"/>
  <c r="AK1427" i="202"/>
  <c r="AK1428" i="202"/>
  <c r="AK1429" i="202"/>
  <c r="AK1430" i="202"/>
  <c r="AK1431" i="202"/>
  <c r="AK1432" i="202"/>
  <c r="AK1433" i="202"/>
  <c r="AK1434" i="202"/>
  <c r="AK1435" i="202"/>
  <c r="AK1436" i="202"/>
  <c r="AK1437" i="202"/>
  <c r="AK1438" i="202"/>
  <c r="AK1439" i="202"/>
  <c r="AK1440" i="202"/>
  <c r="AK1441" i="202"/>
  <c r="AK1442" i="202"/>
  <c r="AK1443" i="202"/>
  <c r="AK1444" i="202"/>
  <c r="AK1445" i="202"/>
  <c r="AK1446" i="202"/>
  <c r="AK1447" i="202"/>
  <c r="AK1448" i="202"/>
  <c r="AK1449" i="202"/>
  <c r="AK1450" i="202"/>
  <c r="AK1451" i="202"/>
  <c r="AK1452" i="202"/>
  <c r="AK1453" i="202"/>
  <c r="AK1454" i="202"/>
  <c r="AK1455" i="202"/>
  <c r="AK1456" i="202"/>
  <c r="AK1457" i="202"/>
  <c r="AK1458" i="202"/>
  <c r="AK1459" i="202"/>
  <c r="AK1460" i="202"/>
  <c r="AK1461" i="202"/>
  <c r="AK1462" i="202"/>
  <c r="AK1463" i="202"/>
  <c r="AK1464" i="202"/>
  <c r="AK1465" i="202"/>
  <c r="AK1466" i="202"/>
  <c r="AK1467" i="202"/>
  <c r="AK1468" i="202"/>
  <c r="AK1469" i="202"/>
  <c r="AK1470" i="202"/>
  <c r="AK1471" i="202"/>
  <c r="AK1472" i="202"/>
  <c r="AK1473" i="202"/>
  <c r="AK1474" i="202"/>
  <c r="AK1475" i="202"/>
  <c r="AK1476" i="202"/>
  <c r="AK1477" i="202"/>
  <c r="AK1478" i="202"/>
  <c r="AK1479" i="202"/>
  <c r="AK1480" i="202"/>
  <c r="AK1481" i="202"/>
  <c r="AK1482" i="202"/>
  <c r="AK1483" i="202"/>
  <c r="AK1484" i="202"/>
  <c r="AK1485" i="202"/>
  <c r="AK1486" i="202"/>
  <c r="AK1487" i="202"/>
  <c r="AK1488" i="202"/>
  <c r="AK1489" i="202"/>
  <c r="AK1490" i="202"/>
  <c r="AK1491" i="202"/>
  <c r="AK1492" i="202"/>
  <c r="AK1493" i="202"/>
  <c r="AK1494" i="202"/>
  <c r="AK1495" i="202"/>
  <c r="AK1496" i="202"/>
  <c r="AK1497" i="202"/>
  <c r="AK1498" i="202"/>
  <c r="AK1499" i="202"/>
  <c r="AK1500" i="202"/>
  <c r="AK1501" i="202"/>
  <c r="AK1502" i="202"/>
  <c r="AK1503" i="202"/>
  <c r="AK1504" i="202"/>
  <c r="AK1505" i="202"/>
  <c r="AK1506" i="202"/>
  <c r="AK1507" i="202"/>
  <c r="AK1508" i="202"/>
  <c r="AK1509" i="202"/>
  <c r="AK1510" i="202"/>
  <c r="AK1511" i="202"/>
  <c r="AK1512" i="202"/>
  <c r="AK1513" i="202"/>
  <c r="AK1514" i="202"/>
  <c r="AK1515" i="202"/>
  <c r="AK1516" i="202"/>
  <c r="AK1517" i="202"/>
  <c r="AK1518" i="202"/>
  <c r="AK1519" i="202"/>
  <c r="AK1520" i="202"/>
  <c r="AK1521" i="202"/>
  <c r="AK1522" i="202"/>
  <c r="AK1523" i="202"/>
  <c r="AK1524" i="202"/>
  <c r="AK1525" i="202"/>
  <c r="AK1526" i="202"/>
  <c r="AK1527" i="202"/>
  <c r="AK1528" i="202"/>
  <c r="AK1529" i="202"/>
  <c r="AK1530" i="202"/>
  <c r="AK1531" i="202"/>
  <c r="AK1532" i="202"/>
  <c r="AK1533" i="202"/>
  <c r="AK1534" i="202"/>
  <c r="AK1535" i="202"/>
  <c r="AK1536" i="202"/>
  <c r="AK1537" i="202"/>
  <c r="AK1538" i="202"/>
  <c r="AK1539" i="202"/>
  <c r="AK1540" i="202"/>
  <c r="AK1541" i="202"/>
  <c r="AK1542" i="202"/>
  <c r="AK1543" i="202"/>
  <c r="AK1544" i="202"/>
  <c r="AK1545" i="202"/>
  <c r="AK1546" i="202"/>
  <c r="AK1547" i="202"/>
  <c r="AK1548" i="202"/>
  <c r="AK1549" i="202"/>
  <c r="AK1550" i="202"/>
  <c r="AK1551" i="202"/>
  <c r="AK1552" i="202"/>
  <c r="AK1553" i="202"/>
  <c r="AK1554" i="202"/>
  <c r="AK1555" i="202"/>
  <c r="AK1556" i="202"/>
  <c r="AK1557" i="202"/>
  <c r="AK1558" i="202"/>
  <c r="AK1559" i="202"/>
  <c r="AK1560" i="202"/>
  <c r="AK1561" i="202"/>
  <c r="AK1562" i="202"/>
  <c r="AK1563" i="202"/>
  <c r="AK1564" i="202"/>
  <c r="AK1565" i="202"/>
  <c r="AK1566" i="202"/>
  <c r="AK1567" i="202"/>
  <c r="AK1568" i="202"/>
  <c r="AK1569" i="202"/>
  <c r="AK1570" i="202"/>
  <c r="AK1571" i="202"/>
  <c r="AK1572" i="202"/>
  <c r="AK1573" i="202"/>
  <c r="AK1574" i="202"/>
  <c r="AK1575" i="202"/>
  <c r="AK1576" i="202"/>
  <c r="AK1577" i="202"/>
  <c r="AK1578" i="202"/>
  <c r="AK1579" i="202"/>
  <c r="AK1580" i="202"/>
  <c r="AK1581" i="202"/>
  <c r="AK1582" i="202"/>
  <c r="AK1583" i="202"/>
  <c r="AK1584" i="202"/>
  <c r="AK1585" i="202"/>
  <c r="AK1586" i="202"/>
  <c r="AK1587" i="202"/>
  <c r="AK1588" i="202"/>
  <c r="AK1589" i="202"/>
  <c r="AK1590" i="202"/>
  <c r="AK1591" i="202"/>
  <c r="AK1592" i="202"/>
  <c r="AK1593" i="202"/>
  <c r="AK1594" i="202"/>
  <c r="AK1595" i="202"/>
  <c r="AK1596" i="202"/>
  <c r="AK1597" i="202"/>
  <c r="AK1598" i="202"/>
  <c r="AK1599" i="202"/>
  <c r="AK1600" i="202"/>
  <c r="AK1601" i="202"/>
  <c r="AK1602" i="202"/>
  <c r="AK1603" i="202"/>
  <c r="AK1604" i="202"/>
  <c r="AK1605" i="202"/>
  <c r="AK1606" i="202"/>
  <c r="AK1607" i="202"/>
  <c r="AK1608" i="202"/>
  <c r="AK1609" i="202"/>
  <c r="AK1610" i="202"/>
  <c r="AK1611" i="202"/>
  <c r="AK1612" i="202"/>
  <c r="AK1613" i="202"/>
  <c r="AK1614" i="202"/>
  <c r="AK1615" i="202"/>
  <c r="AK1616" i="202"/>
  <c r="AK1617" i="202"/>
  <c r="AK1618" i="202"/>
  <c r="AK1619" i="202"/>
  <c r="AK1620" i="202"/>
  <c r="AK1621" i="202"/>
  <c r="AK1622" i="202"/>
  <c r="AK1623" i="202"/>
  <c r="AK1624" i="202"/>
  <c r="AK1625" i="202"/>
  <c r="AK1626" i="202"/>
  <c r="AK1627" i="202"/>
  <c r="AK1628" i="202"/>
  <c r="AK1629" i="202"/>
  <c r="AK1630" i="202"/>
  <c r="AK1631" i="202"/>
  <c r="AK1632" i="202"/>
  <c r="AK1633" i="202"/>
  <c r="AK1634" i="202"/>
  <c r="AK1635" i="202"/>
  <c r="AK1636" i="202"/>
  <c r="AK1637" i="202"/>
  <c r="AK1638" i="202"/>
  <c r="AK1639" i="202"/>
  <c r="AK1640" i="202"/>
  <c r="AK1641" i="202"/>
  <c r="AK1642" i="202"/>
  <c r="AK1643" i="202"/>
  <c r="AK1644" i="202"/>
  <c r="AK1645" i="202"/>
  <c r="AK1646" i="202"/>
  <c r="AK1647" i="202"/>
  <c r="AK1648" i="202"/>
  <c r="AK1649" i="202"/>
  <c r="AK1650" i="202"/>
  <c r="AK1651" i="202"/>
  <c r="AK1652" i="202"/>
  <c r="AK1653" i="202"/>
  <c r="AK1654" i="202"/>
  <c r="AK1655" i="202"/>
  <c r="AK1656" i="202"/>
  <c r="AK1657" i="202"/>
  <c r="AK1658" i="202"/>
  <c r="AK1659" i="202"/>
  <c r="AK1660" i="202"/>
  <c r="AK1661" i="202"/>
  <c r="AK1662" i="202"/>
  <c r="AK1663" i="202"/>
  <c r="AK1664" i="202"/>
  <c r="AK1665" i="202"/>
  <c r="AK1666" i="202"/>
  <c r="AK1667" i="202"/>
  <c r="AK1668" i="202"/>
  <c r="AK1669" i="202"/>
  <c r="AK1670" i="202"/>
  <c r="AK1671" i="202"/>
  <c r="AK1672" i="202"/>
  <c r="AK1673" i="202"/>
  <c r="AK1674" i="202"/>
  <c r="AK1675" i="202"/>
  <c r="AK1676" i="202"/>
  <c r="AK1677" i="202"/>
  <c r="AK1678" i="202"/>
  <c r="AK1679" i="202"/>
  <c r="AK1680" i="202"/>
  <c r="AK1681" i="202"/>
  <c r="AK1682" i="202"/>
  <c r="AK1683" i="202"/>
  <c r="AK1684" i="202"/>
  <c r="AK1685" i="202"/>
  <c r="AK1686" i="202"/>
  <c r="AK1687" i="202"/>
  <c r="AK1688" i="202"/>
  <c r="AK1689" i="202"/>
  <c r="AK1690" i="202"/>
  <c r="AK1691" i="202"/>
  <c r="AK1692" i="202"/>
  <c r="AK1693" i="202"/>
  <c r="AK1694" i="202"/>
  <c r="AK1695" i="202"/>
  <c r="AK1696" i="202"/>
  <c r="AK1697" i="202"/>
  <c r="AK1698" i="202"/>
  <c r="AK1699" i="202"/>
  <c r="AK1700" i="202"/>
  <c r="AK1701" i="202"/>
  <c r="AK1702" i="202"/>
  <c r="AK1703" i="202"/>
  <c r="AK1704" i="202"/>
  <c r="AK1705" i="202"/>
  <c r="AK1706" i="202"/>
  <c r="AK1707" i="202"/>
  <c r="AK1708" i="202"/>
  <c r="AK1709" i="202"/>
  <c r="AK1710" i="202"/>
  <c r="AK1711" i="202"/>
  <c r="AK1712" i="202"/>
  <c r="AK1713" i="202"/>
  <c r="AK1714" i="202"/>
  <c r="AK1715" i="202"/>
  <c r="AK1716" i="202"/>
  <c r="AK1717" i="202"/>
  <c r="AK1718" i="202"/>
  <c r="AK1719" i="202"/>
  <c r="AK1720" i="202"/>
  <c r="AK1721" i="202"/>
  <c r="AK1722" i="202"/>
  <c r="AK1723" i="202"/>
  <c r="AK1724" i="202"/>
  <c r="AK1725" i="202"/>
  <c r="AK1726" i="202"/>
  <c r="AK1727" i="202"/>
  <c r="AK1728" i="202"/>
  <c r="AK1729" i="202"/>
  <c r="AK1730" i="202"/>
  <c r="AK1731" i="202"/>
  <c r="AK1732" i="202"/>
  <c r="AK1733" i="202"/>
  <c r="AK1734" i="202"/>
  <c r="AK1735" i="202"/>
  <c r="AK1736" i="202"/>
  <c r="AK1737" i="202"/>
  <c r="AK1738" i="202"/>
  <c r="AK1739" i="202"/>
  <c r="AK1740" i="202"/>
  <c r="AK1741" i="202"/>
  <c r="AK1742" i="202"/>
  <c r="AK1743" i="202"/>
  <c r="AK1744" i="202"/>
  <c r="AK1745" i="202"/>
  <c r="AK1746" i="202"/>
  <c r="AK1747" i="202"/>
  <c r="AK1748" i="202"/>
  <c r="AK1749" i="202"/>
  <c r="AK1750" i="202"/>
  <c r="AK1751" i="202"/>
  <c r="AK1752" i="202"/>
  <c r="AK1753" i="202"/>
  <c r="AK1754" i="202"/>
  <c r="AK1755" i="202"/>
  <c r="AK1756" i="202"/>
  <c r="AK1757" i="202"/>
  <c r="AK1758" i="202"/>
  <c r="AK1759" i="202"/>
  <c r="AK1760" i="202"/>
  <c r="AK1761" i="202"/>
  <c r="AK1762" i="202"/>
  <c r="AK1763" i="202"/>
  <c r="AK1764" i="202"/>
  <c r="AK1765" i="202"/>
  <c r="AK1766" i="202"/>
  <c r="AK1767" i="202"/>
  <c r="AK1768" i="202"/>
  <c r="AK1769" i="202"/>
  <c r="AK1770" i="202"/>
  <c r="AK1771" i="202"/>
  <c r="AK1772" i="202"/>
  <c r="AK1773" i="202"/>
  <c r="AK1774" i="202"/>
  <c r="AK1775" i="202"/>
  <c r="AK1776" i="202"/>
  <c r="AK1777" i="202"/>
  <c r="AK1778" i="202"/>
  <c r="AK1779" i="202"/>
  <c r="AK1780" i="202"/>
  <c r="AK1781" i="202"/>
  <c r="AK1782" i="202"/>
  <c r="AK1783" i="202"/>
  <c r="AK1784" i="202"/>
  <c r="AK1785" i="202"/>
  <c r="AK1786" i="202"/>
  <c r="AK1787" i="202"/>
  <c r="AK1788" i="202"/>
  <c r="AK1789" i="202"/>
  <c r="AK1790" i="202"/>
  <c r="AK1791" i="202"/>
  <c r="AK1792" i="202"/>
  <c r="AK1793" i="202"/>
  <c r="AK1794" i="202"/>
  <c r="AK1795" i="202"/>
  <c r="AK1796" i="202"/>
  <c r="AK1797" i="202"/>
  <c r="AK1798" i="202"/>
  <c r="AK1799" i="202"/>
  <c r="AK1800" i="202"/>
  <c r="AK1801" i="202"/>
  <c r="AK1802" i="202"/>
  <c r="AK1803" i="202"/>
  <c r="AK1804" i="202"/>
  <c r="AK1805" i="202"/>
  <c r="AK1806" i="202"/>
  <c r="AK1807" i="202"/>
  <c r="AK1808" i="202"/>
  <c r="AK1809" i="202"/>
  <c r="AK1810" i="202"/>
  <c r="AK1811" i="202"/>
  <c r="AK1812" i="202"/>
  <c r="AK1813" i="202"/>
  <c r="AK1814" i="202"/>
  <c r="AK1815" i="202"/>
  <c r="AK1816" i="202"/>
  <c r="AK1817" i="202"/>
  <c r="AK1818" i="202"/>
  <c r="AK1819" i="202"/>
  <c r="AK1820" i="202"/>
  <c r="AK1821" i="202"/>
  <c r="AK1822" i="202"/>
  <c r="AK1823" i="202"/>
  <c r="AK1824" i="202"/>
  <c r="AK1825" i="202"/>
  <c r="AK1826" i="202"/>
  <c r="AK1827" i="202"/>
  <c r="AK1828" i="202"/>
  <c r="AK1829" i="202"/>
  <c r="AK1830" i="202"/>
  <c r="AK1831" i="202"/>
  <c r="AK1832" i="202"/>
  <c r="AK1833" i="202"/>
  <c r="AK1834" i="202"/>
  <c r="AK1835" i="202"/>
  <c r="AK1836" i="202"/>
  <c r="AK1837" i="202"/>
  <c r="AK1838" i="202"/>
  <c r="AK1839" i="202"/>
  <c r="AK1840" i="202"/>
  <c r="AK1841" i="202"/>
  <c r="AK1842" i="202"/>
  <c r="AK1843" i="202"/>
  <c r="AK1844" i="202"/>
  <c r="AK1845" i="202"/>
  <c r="AK1846" i="202"/>
  <c r="AK1847" i="202"/>
  <c r="AK1848" i="202"/>
  <c r="AK1849" i="202"/>
  <c r="AK1850" i="202"/>
  <c r="AK1851" i="202"/>
  <c r="AK1852" i="202"/>
  <c r="AK1853" i="202"/>
  <c r="AK1854" i="202"/>
  <c r="AK1855" i="202"/>
  <c r="AK1856" i="202"/>
  <c r="AK1857" i="202"/>
  <c r="AK1858" i="202"/>
  <c r="AK1859" i="202"/>
  <c r="AK1860" i="202"/>
  <c r="AK1861" i="202"/>
  <c r="AK1862" i="202"/>
  <c r="AK1863" i="202"/>
  <c r="AK1864" i="202"/>
  <c r="AK1865" i="202"/>
  <c r="AK1866" i="202"/>
  <c r="AK1867" i="202"/>
  <c r="AK1868" i="202"/>
  <c r="AK1869" i="202"/>
  <c r="AK1870" i="202"/>
  <c r="AK1871" i="202"/>
  <c r="AK1872" i="202"/>
  <c r="AK1873" i="202"/>
  <c r="AK1874" i="202"/>
  <c r="AK1875" i="202"/>
  <c r="AK1876" i="202"/>
  <c r="AK1877" i="202"/>
  <c r="AK1878" i="202"/>
  <c r="AK1879" i="202"/>
  <c r="AK1880" i="202"/>
  <c r="AK1881" i="202"/>
  <c r="AK1882" i="202"/>
  <c r="AK1883" i="202"/>
  <c r="AK1884" i="202"/>
  <c r="AK1885" i="202"/>
  <c r="AK1886" i="202"/>
  <c r="AK1887" i="202"/>
  <c r="AK1888" i="202"/>
  <c r="AK1889" i="202"/>
  <c r="AK1890" i="202"/>
  <c r="AK1891" i="202"/>
  <c r="AK1892" i="202"/>
  <c r="AK1893" i="202"/>
  <c r="AK1894" i="202"/>
  <c r="AK1895" i="202"/>
  <c r="AK1896" i="202"/>
  <c r="AK1897" i="202"/>
  <c r="AK1898" i="202"/>
  <c r="AK1899" i="202"/>
  <c r="AK1900" i="202"/>
  <c r="AK1901" i="202"/>
  <c r="AK1902" i="202"/>
  <c r="AK1903" i="202"/>
  <c r="AK1904" i="202"/>
  <c r="AK1905" i="202"/>
  <c r="AK1906" i="202"/>
  <c r="AK1907" i="202"/>
  <c r="AK1908" i="202"/>
  <c r="AK1909" i="202"/>
  <c r="AK1910" i="202"/>
  <c r="AK1911" i="202"/>
  <c r="AK1912" i="202"/>
  <c r="AK1913" i="202"/>
  <c r="AK1914" i="202"/>
  <c r="AK1915" i="202"/>
  <c r="AK1916" i="202"/>
  <c r="AK1917" i="202"/>
  <c r="AK1918" i="202"/>
  <c r="AK1919" i="202"/>
  <c r="AK1920" i="202"/>
  <c r="AK1921" i="202"/>
  <c r="AK1922" i="202"/>
  <c r="AK1923" i="202"/>
  <c r="AK1924" i="202"/>
  <c r="AK1925" i="202"/>
  <c r="AK1926" i="202"/>
  <c r="AK1927" i="202"/>
  <c r="AK1928" i="202"/>
  <c r="AK1929" i="202"/>
  <c r="AK1930" i="202"/>
  <c r="AK1931" i="202"/>
  <c r="AK1932" i="202"/>
  <c r="AK1933" i="202"/>
  <c r="AK1934" i="202"/>
  <c r="AK1935" i="202"/>
  <c r="AK1936" i="202"/>
  <c r="AK1937" i="202"/>
  <c r="AK1938" i="202"/>
  <c r="AK1939" i="202"/>
  <c r="AK1940" i="202"/>
  <c r="AK1941" i="202"/>
  <c r="AK1942" i="202"/>
  <c r="AK1943" i="202"/>
  <c r="AK1944" i="202"/>
  <c r="AK1945" i="202"/>
  <c r="AK1946" i="202"/>
  <c r="AK1947" i="202"/>
  <c r="AK1948" i="202"/>
  <c r="AK1949" i="202"/>
  <c r="AK1950" i="202"/>
  <c r="AK1951" i="202"/>
  <c r="AK1952" i="202"/>
  <c r="AK1953" i="202"/>
  <c r="AK1954" i="202"/>
  <c r="AK1955" i="202"/>
  <c r="AK1956" i="202"/>
  <c r="AK1957" i="202"/>
  <c r="AK1958" i="202"/>
  <c r="AK1959" i="202"/>
  <c r="AK1960" i="202"/>
  <c r="AK1961" i="202"/>
  <c r="AK1962" i="202"/>
  <c r="AK1963" i="202"/>
  <c r="AK1964" i="202"/>
  <c r="AK1965" i="202"/>
  <c r="AK1966" i="202"/>
  <c r="AK1967" i="202"/>
  <c r="AK1968" i="202"/>
  <c r="AK1969" i="202"/>
  <c r="AK1970" i="202"/>
  <c r="AK1971" i="202"/>
  <c r="AK1972" i="202"/>
  <c r="AK1973" i="202"/>
  <c r="AK1974" i="202"/>
  <c r="AK1975" i="202"/>
  <c r="AK1976" i="202"/>
  <c r="AK1977" i="202"/>
  <c r="AK1978" i="202"/>
  <c r="AK1979" i="202"/>
  <c r="AK1980" i="202"/>
  <c r="AK1981" i="202"/>
  <c r="AK1982" i="202"/>
  <c r="AK1983" i="202"/>
  <c r="AK1984" i="202"/>
  <c r="AK1985" i="202"/>
  <c r="AK1986" i="202"/>
  <c r="AK1987" i="202"/>
  <c r="AK1988" i="202"/>
  <c r="AK1989" i="202"/>
  <c r="AK1990" i="202"/>
  <c r="AK1991" i="202"/>
  <c r="AK1992" i="202"/>
  <c r="AK1993" i="202"/>
  <c r="AK1994" i="202"/>
  <c r="AK1995" i="202"/>
  <c r="AK1996" i="202"/>
  <c r="AK1997" i="202"/>
  <c r="AK1998" i="202"/>
  <c r="AK1999" i="202"/>
  <c r="AK2000" i="202"/>
  <c r="AK2001" i="202"/>
  <c r="AK2002" i="202"/>
  <c r="AK2003" i="202"/>
  <c r="AK2004" i="202"/>
  <c r="AK2005" i="202"/>
  <c r="AK2006" i="202"/>
  <c r="AK2007" i="202"/>
  <c r="AK2008" i="202"/>
  <c r="AK2009" i="202"/>
  <c r="AK2010" i="202"/>
  <c r="AK2011" i="202"/>
  <c r="AK2012" i="202"/>
  <c r="AK2013" i="202"/>
  <c r="AK2014" i="202"/>
  <c r="AK2015" i="202"/>
  <c r="AK2016" i="202"/>
  <c r="AK2017" i="202"/>
  <c r="AK2018" i="202"/>
  <c r="AK2019" i="202"/>
  <c r="AK2020" i="202"/>
  <c r="AK2021" i="202"/>
  <c r="AK2022" i="202"/>
  <c r="AK2023" i="202"/>
  <c r="AK2024" i="202"/>
  <c r="AK2025" i="202"/>
  <c r="AK2026" i="202"/>
  <c r="AK2027" i="202"/>
  <c r="AK2028" i="202"/>
  <c r="AK2029" i="202"/>
  <c r="AK2030" i="202"/>
  <c r="AK2031" i="202"/>
  <c r="AK2032" i="202"/>
  <c r="AK2033" i="202"/>
  <c r="AK2034" i="202"/>
  <c r="AK2035" i="202"/>
  <c r="AK2036" i="202"/>
  <c r="AK2037" i="202"/>
  <c r="AK2038" i="202"/>
  <c r="AK2039" i="202"/>
  <c r="AK2040" i="202"/>
  <c r="AK2041" i="202"/>
  <c r="AK2042" i="202"/>
  <c r="AK2043" i="202"/>
  <c r="AK2044" i="202"/>
  <c r="AK2045" i="202"/>
  <c r="AK2046" i="202"/>
  <c r="AK2047" i="202"/>
  <c r="AK2048" i="202"/>
  <c r="W2" i="202"/>
  <c r="W3" i="202"/>
  <c r="W4" i="202"/>
  <c r="W5" i="202"/>
  <c r="W6" i="202"/>
  <c r="W7" i="202"/>
  <c r="W8" i="202"/>
  <c r="W9" i="202"/>
  <c r="W10" i="202"/>
  <c r="W11" i="202"/>
  <c r="W12" i="202"/>
  <c r="W13" i="202"/>
  <c r="W14" i="202"/>
  <c r="W15" i="202"/>
  <c r="W16" i="202"/>
  <c r="W17" i="202"/>
  <c r="W18" i="202"/>
  <c r="W19" i="202"/>
  <c r="W20" i="202"/>
  <c r="W21" i="202"/>
  <c r="W22" i="202"/>
  <c r="W23" i="202"/>
  <c r="W24" i="202"/>
  <c r="W25" i="202"/>
  <c r="W26" i="202"/>
  <c r="W27" i="202"/>
  <c r="W28" i="202"/>
  <c r="W29" i="202"/>
  <c r="W30" i="202"/>
  <c r="W31" i="202"/>
  <c r="W32" i="202"/>
  <c r="W33" i="202"/>
  <c r="W34" i="202"/>
  <c r="W35" i="202"/>
  <c r="W36" i="202"/>
  <c r="W37" i="202"/>
  <c r="W38" i="202"/>
  <c r="W39" i="202"/>
  <c r="W40" i="202"/>
  <c r="W41" i="202"/>
  <c r="W42" i="202"/>
  <c r="W43" i="202"/>
  <c r="W44" i="202"/>
  <c r="W45" i="202"/>
  <c r="W46" i="202"/>
  <c r="W47" i="202"/>
  <c r="W48" i="202"/>
  <c r="W49" i="202"/>
  <c r="W50" i="202"/>
  <c r="W51" i="202"/>
  <c r="W52" i="202"/>
  <c r="W53" i="202"/>
  <c r="W54" i="202"/>
  <c r="W55" i="202"/>
  <c r="W56" i="202"/>
  <c r="W57" i="202"/>
  <c r="W58" i="202"/>
  <c r="W59" i="202"/>
  <c r="W60" i="202"/>
  <c r="W61" i="202"/>
  <c r="W62" i="202"/>
  <c r="W63" i="202"/>
  <c r="W64" i="202"/>
  <c r="W65" i="202"/>
  <c r="W66" i="202"/>
  <c r="W67" i="202"/>
  <c r="W68" i="202"/>
  <c r="W69" i="202"/>
  <c r="W70" i="202"/>
  <c r="W71" i="202"/>
  <c r="W72" i="202"/>
  <c r="W73" i="202"/>
  <c r="W74" i="202"/>
  <c r="W75" i="202"/>
  <c r="W76" i="202"/>
  <c r="W77" i="202"/>
  <c r="W78" i="202"/>
  <c r="W79" i="202"/>
  <c r="W80" i="202"/>
  <c r="W81" i="202"/>
  <c r="W82" i="202"/>
  <c r="W83" i="202"/>
  <c r="W84" i="202"/>
  <c r="W85" i="202"/>
  <c r="W86" i="202"/>
  <c r="W87" i="202"/>
  <c r="W88" i="202"/>
  <c r="W89" i="202"/>
  <c r="W90" i="202"/>
  <c r="W91" i="202"/>
  <c r="W92" i="202"/>
  <c r="W93" i="202"/>
  <c r="W94" i="202"/>
  <c r="W95" i="202"/>
  <c r="W96" i="202"/>
  <c r="W97" i="202"/>
  <c r="W98" i="202"/>
  <c r="W99" i="202"/>
  <c r="W100" i="202"/>
  <c r="W101" i="202"/>
  <c r="W102" i="202"/>
  <c r="W103" i="202"/>
  <c r="W104" i="202"/>
  <c r="W105" i="202"/>
  <c r="W106" i="202"/>
  <c r="W107" i="202"/>
  <c r="W108" i="202"/>
  <c r="W109" i="202"/>
  <c r="W110" i="202"/>
  <c r="W111" i="202"/>
  <c r="W112" i="202"/>
  <c r="W113" i="202"/>
  <c r="W114" i="202"/>
  <c r="W115" i="202"/>
  <c r="W116" i="202"/>
  <c r="W117" i="202"/>
  <c r="W118" i="202"/>
  <c r="W119" i="202"/>
  <c r="W120" i="202"/>
  <c r="W121" i="202"/>
  <c r="W122" i="202"/>
  <c r="W123" i="202"/>
  <c r="W124" i="202"/>
  <c r="W125" i="202"/>
  <c r="W126" i="202"/>
  <c r="W127" i="202"/>
  <c r="W128" i="202"/>
  <c r="W129" i="202"/>
  <c r="W130" i="202"/>
  <c r="W131" i="202"/>
  <c r="W132" i="202"/>
  <c r="W133" i="202"/>
  <c r="W134" i="202"/>
  <c r="W135" i="202"/>
  <c r="W136" i="202"/>
  <c r="W137" i="202"/>
  <c r="W138" i="202"/>
  <c r="W139" i="202"/>
  <c r="W140" i="202"/>
  <c r="W141" i="202"/>
  <c r="W142" i="202"/>
  <c r="W143" i="202"/>
  <c r="W144" i="202"/>
  <c r="W145" i="202"/>
  <c r="W146" i="202"/>
  <c r="W147" i="202"/>
  <c r="W148" i="202"/>
  <c r="W149" i="202"/>
  <c r="W150" i="202"/>
  <c r="W151" i="202"/>
  <c r="W152" i="202"/>
  <c r="W153" i="202"/>
  <c r="W154" i="202"/>
  <c r="W155" i="202"/>
  <c r="W156" i="202"/>
  <c r="W157" i="202"/>
  <c r="W158" i="202"/>
  <c r="W159" i="202"/>
  <c r="W160" i="202"/>
  <c r="W161" i="202"/>
  <c r="W162" i="202"/>
  <c r="W163" i="202"/>
  <c r="W164" i="202"/>
  <c r="W165" i="202"/>
  <c r="W166" i="202"/>
  <c r="W167" i="202"/>
  <c r="W168" i="202"/>
  <c r="W169" i="202"/>
  <c r="W170" i="202"/>
  <c r="W171" i="202"/>
  <c r="W172" i="202"/>
  <c r="W173" i="202"/>
  <c r="W174" i="202"/>
  <c r="W175" i="202"/>
  <c r="W176" i="202"/>
  <c r="W177" i="202"/>
  <c r="W178" i="202"/>
  <c r="W179" i="202"/>
  <c r="W180" i="202"/>
  <c r="W181" i="202"/>
  <c r="W182" i="202"/>
  <c r="W183" i="202"/>
  <c r="W184" i="202"/>
  <c r="W185" i="202"/>
  <c r="W186" i="202"/>
  <c r="W187" i="202"/>
  <c r="W188" i="202"/>
  <c r="W189" i="202"/>
  <c r="W190" i="202"/>
  <c r="W191" i="202"/>
  <c r="W192" i="202"/>
  <c r="W193" i="202"/>
  <c r="W194" i="202"/>
  <c r="W195" i="202"/>
  <c r="W196" i="202"/>
  <c r="W197" i="202"/>
  <c r="W198" i="202"/>
  <c r="W199" i="202"/>
  <c r="W200" i="202"/>
  <c r="W201" i="202"/>
  <c r="W202" i="202"/>
  <c r="W203" i="202"/>
  <c r="W204" i="202"/>
  <c r="W205" i="202"/>
  <c r="W206" i="202"/>
  <c r="W207" i="202"/>
  <c r="W208" i="202"/>
  <c r="W209" i="202"/>
  <c r="W210" i="202"/>
  <c r="W211" i="202"/>
  <c r="W212" i="202"/>
  <c r="W213" i="202"/>
  <c r="W214" i="202"/>
  <c r="W215" i="202"/>
  <c r="W216" i="202"/>
  <c r="W217" i="202"/>
  <c r="W218" i="202"/>
  <c r="W219" i="202"/>
  <c r="W220" i="202"/>
  <c r="W221" i="202"/>
  <c r="W222" i="202"/>
  <c r="W223" i="202"/>
  <c r="W224" i="202"/>
  <c r="W225" i="202"/>
  <c r="W226" i="202"/>
  <c r="W227" i="202"/>
  <c r="W228" i="202"/>
  <c r="W229" i="202"/>
  <c r="W230" i="202"/>
  <c r="W231" i="202"/>
  <c r="W232" i="202"/>
  <c r="W233" i="202"/>
  <c r="W234" i="202"/>
  <c r="W235" i="202"/>
  <c r="W236" i="202"/>
  <c r="W237" i="202"/>
  <c r="W238" i="202"/>
  <c r="W239" i="202"/>
  <c r="W240" i="202"/>
  <c r="W241" i="202"/>
  <c r="W242" i="202"/>
  <c r="W243" i="202"/>
  <c r="W244" i="202"/>
  <c r="W245" i="202"/>
  <c r="W246" i="202"/>
  <c r="W247" i="202"/>
  <c r="W248" i="202"/>
  <c r="W249" i="202"/>
  <c r="W250" i="202"/>
  <c r="W251" i="202"/>
  <c r="W252" i="202"/>
  <c r="W253" i="202"/>
  <c r="W254" i="202"/>
  <c r="W255" i="202"/>
  <c r="W256" i="202"/>
  <c r="W257" i="202"/>
  <c r="W258" i="202"/>
  <c r="W259" i="202"/>
  <c r="W260" i="202"/>
  <c r="W261" i="202"/>
  <c r="W262" i="202"/>
  <c r="W263" i="202"/>
  <c r="W264" i="202"/>
  <c r="W265" i="202"/>
  <c r="W266" i="202"/>
  <c r="W267" i="202"/>
  <c r="W268" i="202"/>
  <c r="W269" i="202"/>
  <c r="W270" i="202"/>
  <c r="W271" i="202"/>
  <c r="W272" i="202"/>
  <c r="W273" i="202"/>
  <c r="W274" i="202"/>
  <c r="W275" i="202"/>
  <c r="W276" i="202"/>
  <c r="W277" i="202"/>
  <c r="W278" i="202"/>
  <c r="W279" i="202"/>
  <c r="W280" i="202"/>
  <c r="W281" i="202"/>
  <c r="W282" i="202"/>
  <c r="W283" i="202"/>
  <c r="W284" i="202"/>
  <c r="W285" i="202"/>
  <c r="W286" i="202"/>
  <c r="W287" i="202"/>
  <c r="W288" i="202"/>
  <c r="W289" i="202"/>
  <c r="W290" i="202"/>
  <c r="W291" i="202"/>
  <c r="W292" i="202"/>
  <c r="W293" i="202"/>
  <c r="W294" i="202"/>
  <c r="W295" i="202"/>
  <c r="W296" i="202"/>
  <c r="W297" i="202"/>
  <c r="W298" i="202"/>
  <c r="W299" i="202"/>
  <c r="W300" i="202"/>
  <c r="W301" i="202"/>
  <c r="W302" i="202"/>
  <c r="W303" i="202"/>
  <c r="W304" i="202"/>
  <c r="W305" i="202"/>
  <c r="W306" i="202"/>
  <c r="W307" i="202"/>
  <c r="W308" i="202"/>
  <c r="W309" i="202"/>
  <c r="W310" i="202"/>
  <c r="W311" i="202"/>
  <c r="W312" i="202"/>
  <c r="W313" i="202"/>
  <c r="W314" i="202"/>
  <c r="W315" i="202"/>
  <c r="W316" i="202"/>
  <c r="W317" i="202"/>
  <c r="W318" i="202"/>
  <c r="W319" i="202"/>
  <c r="W320" i="202"/>
  <c r="W321" i="202"/>
  <c r="W322" i="202"/>
  <c r="W323" i="202"/>
  <c r="W324" i="202"/>
  <c r="W325" i="202"/>
  <c r="W326" i="202"/>
  <c r="W327" i="202"/>
  <c r="W328" i="202"/>
  <c r="W329" i="202"/>
  <c r="W330" i="202"/>
  <c r="W331" i="202"/>
  <c r="W332" i="202"/>
  <c r="W333" i="202"/>
  <c r="W334" i="202"/>
  <c r="W335" i="202"/>
  <c r="W336" i="202"/>
  <c r="W337" i="202"/>
  <c r="W338" i="202"/>
  <c r="W339" i="202"/>
  <c r="W340" i="202"/>
  <c r="W341" i="202"/>
  <c r="W342" i="202"/>
  <c r="W343" i="202"/>
  <c r="W344" i="202"/>
  <c r="W345" i="202"/>
  <c r="W346" i="202"/>
  <c r="W347" i="202"/>
  <c r="W348" i="202"/>
  <c r="W349" i="202"/>
  <c r="W350" i="202"/>
  <c r="W351" i="202"/>
  <c r="W352" i="202"/>
  <c r="W353" i="202"/>
  <c r="W354" i="202"/>
  <c r="W355" i="202"/>
  <c r="W356" i="202"/>
  <c r="W357" i="202"/>
  <c r="W358" i="202"/>
  <c r="W359" i="202"/>
  <c r="W360" i="202"/>
  <c r="W361" i="202"/>
  <c r="W362" i="202"/>
  <c r="W363" i="202"/>
  <c r="W364" i="202"/>
  <c r="W365" i="202"/>
  <c r="W366" i="202"/>
  <c r="W367" i="202"/>
  <c r="W368" i="202"/>
  <c r="W369" i="202"/>
  <c r="W370" i="202"/>
  <c r="W371" i="202"/>
  <c r="W372" i="202"/>
  <c r="W373" i="202"/>
  <c r="W374" i="202"/>
  <c r="W375" i="202"/>
  <c r="W376" i="202"/>
  <c r="W377" i="202"/>
  <c r="W378" i="202"/>
  <c r="W379" i="202"/>
  <c r="W380" i="202"/>
  <c r="W381" i="202"/>
  <c r="W382" i="202"/>
  <c r="W383" i="202"/>
  <c r="W384" i="202"/>
  <c r="W385" i="202"/>
  <c r="W386" i="202"/>
  <c r="W387" i="202"/>
  <c r="W388" i="202"/>
  <c r="W389" i="202"/>
  <c r="W390" i="202"/>
  <c r="W391" i="202"/>
  <c r="W392" i="202"/>
  <c r="W393" i="202"/>
  <c r="W394" i="202"/>
  <c r="W395" i="202"/>
  <c r="W396" i="202"/>
  <c r="W397" i="202"/>
  <c r="W398" i="202"/>
  <c r="W399" i="202"/>
  <c r="W400" i="202"/>
  <c r="W401" i="202"/>
  <c r="W402" i="202"/>
  <c r="W403" i="202"/>
  <c r="W404" i="202"/>
  <c r="W405" i="202"/>
  <c r="W406" i="202"/>
  <c r="W407" i="202"/>
  <c r="W408" i="202"/>
  <c r="W409" i="202"/>
  <c r="W410" i="202"/>
  <c r="W411" i="202"/>
  <c r="W412" i="202"/>
  <c r="W413" i="202"/>
  <c r="W414" i="202"/>
  <c r="W415" i="202"/>
  <c r="W416" i="202"/>
  <c r="W417" i="202"/>
  <c r="W418" i="202"/>
  <c r="W419" i="202"/>
  <c r="W420" i="202"/>
  <c r="W421" i="202"/>
  <c r="W422" i="202"/>
  <c r="W423" i="202"/>
  <c r="W424" i="202"/>
  <c r="W425" i="202"/>
  <c r="W426" i="202"/>
  <c r="W427" i="202"/>
  <c r="W428" i="202"/>
  <c r="W429" i="202"/>
  <c r="W430" i="202"/>
  <c r="W431" i="202"/>
  <c r="W432" i="202"/>
  <c r="W433" i="202"/>
  <c r="W434" i="202"/>
  <c r="W435" i="202"/>
  <c r="W436" i="202"/>
  <c r="W437" i="202"/>
  <c r="W438" i="202"/>
  <c r="W439" i="202"/>
  <c r="W440" i="202"/>
  <c r="W441" i="202"/>
  <c r="W442" i="202"/>
  <c r="W443" i="202"/>
  <c r="W444" i="202"/>
  <c r="W445" i="202"/>
  <c r="W446" i="202"/>
  <c r="W447" i="202"/>
  <c r="W448" i="202"/>
  <c r="W449" i="202"/>
  <c r="W450" i="202"/>
  <c r="W451" i="202"/>
  <c r="W452" i="202"/>
  <c r="W453" i="202"/>
  <c r="W454" i="202"/>
  <c r="W455" i="202"/>
  <c r="W456" i="202"/>
  <c r="W457" i="202"/>
  <c r="W458" i="202"/>
  <c r="W459" i="202"/>
  <c r="W460" i="202"/>
  <c r="W461" i="202"/>
  <c r="W462" i="202"/>
  <c r="W463" i="202"/>
  <c r="W464" i="202"/>
  <c r="W465" i="202"/>
  <c r="W466" i="202"/>
  <c r="W467" i="202"/>
  <c r="W468" i="202"/>
  <c r="W469" i="202"/>
  <c r="W470" i="202"/>
  <c r="W471" i="202"/>
  <c r="W472" i="202"/>
  <c r="W473" i="202"/>
  <c r="W474" i="202"/>
  <c r="W475" i="202"/>
  <c r="W476" i="202"/>
  <c r="W477" i="202"/>
  <c r="W478" i="202"/>
  <c r="W479" i="202"/>
  <c r="W480" i="202"/>
  <c r="W481" i="202"/>
  <c r="W482" i="202"/>
  <c r="W483" i="202"/>
  <c r="W484" i="202"/>
  <c r="W485" i="202"/>
  <c r="W486" i="202"/>
  <c r="W487" i="202"/>
  <c r="W488" i="202"/>
  <c r="W489" i="202"/>
  <c r="W490" i="202"/>
  <c r="W491" i="202"/>
  <c r="W492" i="202"/>
  <c r="W493" i="202"/>
  <c r="W494" i="202"/>
  <c r="W495" i="202"/>
  <c r="W496" i="202"/>
  <c r="W497" i="202"/>
  <c r="W498" i="202"/>
  <c r="W499" i="202"/>
  <c r="W500" i="202"/>
  <c r="W501" i="202"/>
  <c r="W502" i="202"/>
  <c r="W503" i="202"/>
  <c r="W504" i="202"/>
  <c r="W505" i="202"/>
  <c r="W506" i="202"/>
  <c r="W507" i="202"/>
  <c r="W508" i="202"/>
  <c r="W509" i="202"/>
  <c r="W510" i="202"/>
  <c r="W511" i="202"/>
  <c r="W512" i="202"/>
  <c r="W513" i="202"/>
  <c r="W514" i="202"/>
  <c r="W515" i="202"/>
  <c r="W516" i="202"/>
  <c r="W517" i="202"/>
  <c r="W518" i="202"/>
  <c r="W519" i="202"/>
  <c r="W520" i="202"/>
  <c r="W521" i="202"/>
  <c r="W522" i="202"/>
  <c r="W523" i="202"/>
  <c r="W524" i="202"/>
  <c r="W525" i="202"/>
  <c r="W526" i="202"/>
  <c r="W527" i="202"/>
  <c r="W528" i="202"/>
  <c r="W529" i="202"/>
  <c r="W530" i="202"/>
  <c r="W531" i="202"/>
  <c r="W532" i="202"/>
  <c r="W533" i="202"/>
  <c r="W534" i="202"/>
  <c r="W535" i="202"/>
  <c r="W536" i="202"/>
  <c r="W537" i="202"/>
  <c r="W538" i="202"/>
  <c r="W539" i="202"/>
  <c r="W540" i="202"/>
  <c r="W541" i="202"/>
  <c r="W542" i="202"/>
  <c r="W543" i="202"/>
  <c r="W544" i="202"/>
  <c r="W545" i="202"/>
  <c r="W546" i="202"/>
  <c r="W547" i="202"/>
  <c r="W548" i="202"/>
  <c r="W549" i="202"/>
  <c r="W550" i="202"/>
  <c r="W551" i="202"/>
  <c r="W552" i="202"/>
  <c r="W553" i="202"/>
  <c r="W554" i="202"/>
  <c r="W555" i="202"/>
  <c r="W556" i="202"/>
  <c r="W557" i="202"/>
  <c r="W558" i="202"/>
  <c r="W559" i="202"/>
  <c r="W560" i="202"/>
  <c r="W561" i="202"/>
  <c r="W562" i="202"/>
  <c r="W563" i="202"/>
  <c r="W564" i="202"/>
  <c r="W565" i="202"/>
  <c r="W566" i="202"/>
  <c r="W567" i="202"/>
  <c r="W568" i="202"/>
  <c r="W569" i="202"/>
  <c r="W570" i="202"/>
  <c r="W571" i="202"/>
  <c r="W572" i="202"/>
  <c r="W573" i="202"/>
  <c r="W574" i="202"/>
  <c r="W575" i="202"/>
  <c r="W576" i="202"/>
  <c r="W577" i="202"/>
  <c r="W578" i="202"/>
  <c r="W579" i="202"/>
  <c r="W580" i="202"/>
  <c r="W581" i="202"/>
  <c r="W582" i="202"/>
  <c r="W583" i="202"/>
  <c r="W584" i="202"/>
  <c r="W585" i="202"/>
  <c r="W586" i="202"/>
  <c r="W587" i="202"/>
  <c r="W588" i="202"/>
  <c r="W589" i="202"/>
  <c r="W590" i="202"/>
  <c r="W591" i="202"/>
  <c r="W592" i="202"/>
  <c r="W593" i="202"/>
  <c r="W594" i="202"/>
  <c r="W595" i="202"/>
  <c r="W596" i="202"/>
  <c r="W597" i="202"/>
  <c r="W598" i="202"/>
  <c r="W599" i="202"/>
  <c r="W600" i="202"/>
  <c r="W601" i="202"/>
  <c r="W602" i="202"/>
  <c r="W603" i="202"/>
  <c r="W604" i="202"/>
  <c r="W605" i="202"/>
  <c r="W606" i="202"/>
  <c r="W607" i="202"/>
  <c r="W608" i="202"/>
  <c r="W609" i="202"/>
  <c r="W610" i="202"/>
  <c r="W611" i="202"/>
  <c r="W612" i="202"/>
  <c r="W613" i="202"/>
  <c r="W614" i="202"/>
  <c r="W615" i="202"/>
  <c r="W616" i="202"/>
  <c r="W617" i="202"/>
  <c r="W618" i="202"/>
  <c r="W619" i="202"/>
  <c r="W620" i="202"/>
  <c r="W621" i="202"/>
  <c r="W622" i="202"/>
  <c r="W623" i="202"/>
  <c r="W624" i="202"/>
  <c r="W625" i="202"/>
  <c r="W626" i="202"/>
  <c r="W627" i="202"/>
  <c r="W628" i="202"/>
  <c r="W629" i="202"/>
  <c r="W630" i="202"/>
  <c r="W631" i="202"/>
  <c r="W632" i="202"/>
  <c r="W633" i="202"/>
  <c r="W634" i="202"/>
  <c r="W635" i="202"/>
  <c r="W636" i="202"/>
  <c r="W637" i="202"/>
  <c r="W638" i="202"/>
  <c r="W639" i="202"/>
  <c r="W640" i="202"/>
  <c r="W641" i="202"/>
  <c r="W642" i="202"/>
  <c r="W643" i="202"/>
  <c r="W644" i="202"/>
  <c r="W645" i="202"/>
  <c r="W646" i="202"/>
  <c r="W647" i="202"/>
  <c r="W648" i="202"/>
  <c r="W649" i="202"/>
  <c r="W650" i="202"/>
  <c r="W651" i="202"/>
  <c r="W652" i="202"/>
  <c r="W653" i="202"/>
  <c r="W654" i="202"/>
  <c r="W655" i="202"/>
  <c r="W656" i="202"/>
  <c r="W657" i="202"/>
  <c r="W658" i="202"/>
  <c r="W659" i="202"/>
  <c r="W660" i="202"/>
  <c r="W661" i="202"/>
  <c r="W662" i="202"/>
  <c r="W663" i="202"/>
  <c r="W664" i="202"/>
  <c r="W665" i="202"/>
  <c r="W666" i="202"/>
  <c r="W667" i="202"/>
  <c r="W668" i="202"/>
  <c r="W669" i="202"/>
  <c r="W670" i="202"/>
  <c r="W671" i="202"/>
  <c r="W672" i="202"/>
  <c r="W673" i="202"/>
  <c r="W674" i="202"/>
  <c r="W675" i="202"/>
  <c r="W676" i="202"/>
  <c r="W677" i="202"/>
  <c r="W678" i="202"/>
  <c r="W679" i="202"/>
  <c r="W680" i="202"/>
  <c r="W681" i="202"/>
  <c r="W682" i="202"/>
  <c r="W683" i="202"/>
  <c r="W684" i="202"/>
  <c r="W685" i="202"/>
  <c r="W686" i="202"/>
  <c r="W687" i="202"/>
  <c r="W688" i="202"/>
  <c r="W689" i="202"/>
  <c r="W690" i="202"/>
  <c r="W691" i="202"/>
  <c r="W692" i="202"/>
  <c r="W693" i="202"/>
  <c r="W694" i="202"/>
  <c r="W695" i="202"/>
  <c r="W696" i="202"/>
  <c r="W697" i="202"/>
  <c r="W698" i="202"/>
  <c r="W699" i="202"/>
  <c r="W700" i="202"/>
  <c r="W701" i="202"/>
  <c r="W702" i="202"/>
  <c r="W703" i="202"/>
  <c r="W704" i="202"/>
  <c r="W705" i="202"/>
  <c r="W706" i="202"/>
  <c r="W707" i="202"/>
  <c r="W708" i="202"/>
  <c r="W709" i="202"/>
  <c r="W710" i="202"/>
  <c r="W711" i="202"/>
  <c r="W712" i="202"/>
  <c r="W713" i="202"/>
  <c r="W714" i="202"/>
  <c r="W715" i="202"/>
  <c r="W716" i="202"/>
  <c r="W717" i="202"/>
  <c r="W718" i="202"/>
  <c r="W719" i="202"/>
  <c r="W720" i="202"/>
  <c r="W721" i="202"/>
  <c r="W722" i="202"/>
  <c r="W723" i="202"/>
  <c r="W724" i="202"/>
  <c r="W725" i="202"/>
  <c r="W726" i="202"/>
  <c r="W727" i="202"/>
  <c r="W728" i="202"/>
  <c r="W729" i="202"/>
  <c r="W730" i="202"/>
  <c r="W731" i="202"/>
  <c r="W732" i="202"/>
  <c r="W733" i="202"/>
  <c r="W734" i="202"/>
  <c r="W735" i="202"/>
  <c r="W736" i="202"/>
  <c r="W737" i="202"/>
  <c r="W738" i="202"/>
  <c r="W739" i="202"/>
  <c r="W740" i="202"/>
  <c r="W741" i="202"/>
  <c r="W742" i="202"/>
  <c r="W743" i="202"/>
  <c r="W744" i="202"/>
  <c r="W745" i="202"/>
  <c r="W746" i="202"/>
  <c r="W747" i="202"/>
  <c r="W748" i="202"/>
  <c r="W749" i="202"/>
  <c r="W750" i="202"/>
  <c r="W751" i="202"/>
  <c r="W752" i="202"/>
  <c r="W753" i="202"/>
  <c r="W754" i="202"/>
  <c r="W755" i="202"/>
  <c r="W756" i="202"/>
  <c r="W757" i="202"/>
  <c r="W758" i="202"/>
  <c r="W759" i="202"/>
  <c r="W760" i="202"/>
  <c r="W761" i="202"/>
  <c r="W762" i="202"/>
  <c r="W763" i="202"/>
  <c r="W764" i="202"/>
  <c r="W765" i="202"/>
  <c r="W766" i="202"/>
  <c r="W767" i="202"/>
  <c r="W768" i="202"/>
  <c r="W769" i="202"/>
  <c r="W770" i="202"/>
  <c r="W771" i="202"/>
  <c r="W772" i="202"/>
  <c r="W773" i="202"/>
  <c r="W774" i="202"/>
  <c r="W775" i="202"/>
  <c r="W776" i="202"/>
  <c r="W777" i="202"/>
  <c r="W778" i="202"/>
  <c r="W779" i="202"/>
  <c r="W780" i="202"/>
  <c r="W781" i="202"/>
  <c r="W782" i="202"/>
  <c r="W783" i="202"/>
  <c r="W784" i="202"/>
  <c r="W785" i="202"/>
  <c r="W786" i="202"/>
  <c r="W787" i="202"/>
  <c r="W788" i="202"/>
  <c r="W789" i="202"/>
  <c r="W790" i="202"/>
  <c r="W791" i="202"/>
  <c r="W792" i="202"/>
  <c r="W793" i="202"/>
  <c r="W794" i="202"/>
  <c r="W795" i="202"/>
  <c r="W796" i="202"/>
  <c r="W797" i="202"/>
  <c r="W798" i="202"/>
  <c r="W799" i="202"/>
  <c r="W800" i="202"/>
  <c r="W801" i="202"/>
  <c r="W802" i="202"/>
  <c r="W803" i="202"/>
  <c r="W804" i="202"/>
  <c r="W805" i="202"/>
  <c r="W806" i="202"/>
  <c r="W807" i="202"/>
  <c r="W808" i="202"/>
  <c r="W809" i="202"/>
  <c r="W810" i="202"/>
  <c r="W811" i="202"/>
  <c r="W812" i="202"/>
  <c r="W813" i="202"/>
  <c r="W814" i="202"/>
  <c r="W815" i="202"/>
  <c r="W816" i="202"/>
  <c r="W817" i="202"/>
  <c r="W818" i="202"/>
  <c r="W819" i="202"/>
  <c r="W820" i="202"/>
  <c r="W821" i="202"/>
  <c r="W822" i="202"/>
  <c r="W823" i="202"/>
  <c r="W824" i="202"/>
  <c r="W825" i="202"/>
  <c r="W826" i="202"/>
  <c r="W827" i="202"/>
  <c r="W828" i="202"/>
  <c r="W829" i="202"/>
  <c r="W830" i="202"/>
  <c r="W831" i="202"/>
  <c r="W832" i="202"/>
  <c r="W833" i="202"/>
  <c r="W834" i="202"/>
  <c r="W835" i="202"/>
  <c r="W836" i="202"/>
  <c r="W837" i="202"/>
  <c r="W838" i="202"/>
  <c r="W839" i="202"/>
  <c r="W840" i="202"/>
  <c r="W841" i="202"/>
  <c r="W842" i="202"/>
  <c r="W843" i="202"/>
  <c r="W844" i="202"/>
  <c r="W845" i="202"/>
  <c r="W846" i="202"/>
  <c r="W847" i="202"/>
  <c r="W848" i="202"/>
  <c r="W849" i="202"/>
  <c r="W850" i="202"/>
  <c r="W851" i="202"/>
  <c r="W852" i="202"/>
  <c r="W853" i="202"/>
  <c r="W854" i="202"/>
  <c r="W855" i="202"/>
  <c r="W856" i="202"/>
  <c r="W857" i="202"/>
  <c r="W858" i="202"/>
  <c r="W859" i="202"/>
  <c r="W860" i="202"/>
  <c r="W861" i="202"/>
  <c r="W862" i="202"/>
  <c r="W863" i="202"/>
  <c r="W864" i="202"/>
  <c r="W865" i="202"/>
  <c r="W866" i="202"/>
  <c r="W867" i="202"/>
  <c r="W868" i="202"/>
  <c r="W869" i="202"/>
  <c r="W870" i="202"/>
  <c r="W871" i="202"/>
  <c r="W872" i="202"/>
  <c r="W873" i="202"/>
  <c r="W874" i="202"/>
  <c r="W875" i="202"/>
  <c r="W876" i="202"/>
  <c r="W877" i="202"/>
  <c r="W878" i="202"/>
  <c r="W879" i="202"/>
  <c r="W880" i="202"/>
  <c r="W881" i="202"/>
  <c r="W882" i="202"/>
  <c r="W883" i="202"/>
  <c r="W884" i="202"/>
  <c r="W885" i="202"/>
  <c r="W886" i="202"/>
  <c r="W887" i="202"/>
  <c r="W888" i="202"/>
  <c r="W889" i="202"/>
  <c r="W890" i="202"/>
  <c r="W891" i="202"/>
  <c r="W892" i="202"/>
  <c r="W893" i="202"/>
  <c r="W894" i="202"/>
  <c r="W895" i="202"/>
  <c r="W896" i="202"/>
  <c r="W897" i="202"/>
  <c r="W898" i="202"/>
  <c r="W899" i="202"/>
  <c r="W900" i="202"/>
  <c r="W901" i="202"/>
  <c r="W902" i="202"/>
  <c r="W903" i="202"/>
  <c r="W904" i="202"/>
  <c r="W905" i="202"/>
  <c r="W906" i="202"/>
  <c r="W907" i="202"/>
  <c r="W908" i="202"/>
  <c r="W909" i="202"/>
  <c r="W910" i="202"/>
  <c r="W911" i="202"/>
  <c r="W912" i="202"/>
  <c r="W913" i="202"/>
  <c r="W914" i="202"/>
  <c r="W915" i="202"/>
  <c r="W916" i="202"/>
  <c r="W917" i="202"/>
  <c r="W918" i="202"/>
  <c r="W919" i="202"/>
  <c r="W920" i="202"/>
  <c r="W921" i="202"/>
  <c r="W922" i="202"/>
  <c r="W923" i="202"/>
  <c r="W924" i="202"/>
  <c r="W925" i="202"/>
  <c r="W926" i="202"/>
  <c r="W927" i="202"/>
  <c r="W928" i="202"/>
  <c r="W929" i="202"/>
  <c r="W930" i="202"/>
  <c r="W931" i="202"/>
  <c r="W932" i="202"/>
  <c r="W933" i="202"/>
  <c r="W934" i="202"/>
  <c r="W935" i="202"/>
  <c r="W936" i="202"/>
  <c r="W937" i="202"/>
  <c r="W938" i="202"/>
  <c r="W939" i="202"/>
  <c r="W940" i="202"/>
  <c r="W941" i="202"/>
  <c r="W942" i="202"/>
  <c r="W943" i="202"/>
  <c r="W944" i="202"/>
  <c r="W945" i="202"/>
  <c r="W946" i="202"/>
  <c r="W947" i="202"/>
  <c r="W948" i="202"/>
  <c r="W949" i="202"/>
  <c r="W950" i="202"/>
  <c r="W951" i="202"/>
  <c r="W952" i="202"/>
  <c r="W953" i="202"/>
  <c r="W954" i="202"/>
  <c r="W955" i="202"/>
  <c r="W956" i="202"/>
  <c r="W957" i="202"/>
  <c r="W958" i="202"/>
  <c r="W959" i="202"/>
  <c r="W960" i="202"/>
  <c r="W961" i="202"/>
  <c r="W962" i="202"/>
  <c r="W963" i="202"/>
  <c r="W964" i="202"/>
  <c r="W965" i="202"/>
  <c r="W966" i="202"/>
  <c r="W967" i="202"/>
  <c r="W968" i="202"/>
  <c r="W969" i="202"/>
  <c r="W970" i="202"/>
  <c r="W971" i="202"/>
  <c r="W972" i="202"/>
  <c r="W973" i="202"/>
  <c r="W974" i="202"/>
  <c r="W975" i="202"/>
  <c r="W976" i="202"/>
  <c r="W977" i="202"/>
  <c r="W978" i="202"/>
  <c r="W979" i="202"/>
  <c r="W980" i="202"/>
  <c r="W981" i="202"/>
  <c r="W982" i="202"/>
  <c r="W983" i="202"/>
  <c r="W984" i="202"/>
  <c r="W985" i="202"/>
  <c r="W986" i="202"/>
  <c r="W987" i="202"/>
  <c r="W988" i="202"/>
  <c r="W989" i="202"/>
  <c r="W990" i="202"/>
  <c r="W991" i="202"/>
  <c r="W992" i="202"/>
  <c r="W993" i="202"/>
  <c r="W994" i="202"/>
  <c r="W995" i="202"/>
  <c r="W996" i="202"/>
  <c r="W997" i="202"/>
  <c r="W998" i="202"/>
  <c r="W999" i="202"/>
  <c r="W1000" i="202"/>
  <c r="W1001" i="202"/>
  <c r="W1002" i="202"/>
  <c r="W1003" i="202"/>
  <c r="W1004" i="202"/>
  <c r="W1005" i="202"/>
  <c r="W1006" i="202"/>
  <c r="W1007" i="202"/>
  <c r="W1008" i="202"/>
  <c r="W1009" i="202"/>
  <c r="W1010" i="202"/>
  <c r="W1011" i="202"/>
  <c r="W1012" i="202"/>
  <c r="W1013" i="202"/>
  <c r="W1014" i="202"/>
  <c r="W1015" i="202"/>
  <c r="W1016" i="202"/>
  <c r="W1017" i="202"/>
  <c r="W1018" i="202"/>
  <c r="W1019" i="202"/>
  <c r="W1020" i="202"/>
  <c r="W1021" i="202"/>
  <c r="W1022" i="202"/>
  <c r="W1023" i="202"/>
  <c r="W1024" i="202"/>
  <c r="W1025" i="202"/>
  <c r="W1026" i="202"/>
  <c r="W1027" i="202"/>
  <c r="W1028" i="202"/>
  <c r="W1029" i="202"/>
  <c r="W1030" i="202"/>
  <c r="W1031" i="202"/>
  <c r="W1032" i="202"/>
  <c r="W1033" i="202"/>
  <c r="W1034" i="202"/>
  <c r="W1035" i="202"/>
  <c r="W1036" i="202"/>
  <c r="W1037" i="202"/>
  <c r="W1038" i="202"/>
  <c r="W1039" i="202"/>
  <c r="W1040" i="202"/>
  <c r="W1041" i="202"/>
  <c r="W1042" i="202"/>
  <c r="W1043" i="202"/>
  <c r="W1044" i="202"/>
  <c r="W1045" i="202"/>
  <c r="W1046" i="202"/>
  <c r="W1047" i="202"/>
  <c r="W1048" i="202"/>
  <c r="W1049" i="202"/>
  <c r="W1050" i="202"/>
  <c r="W1051" i="202"/>
  <c r="W1052" i="202"/>
  <c r="W1053" i="202"/>
  <c r="W1054" i="202"/>
  <c r="W1055" i="202"/>
  <c r="W1056" i="202"/>
  <c r="W1057" i="202"/>
  <c r="W1058" i="202"/>
  <c r="W1059" i="202"/>
  <c r="W1060" i="202"/>
  <c r="W1061" i="202"/>
  <c r="W1062" i="202"/>
  <c r="W1063" i="202"/>
  <c r="W1064" i="202"/>
  <c r="W1065" i="202"/>
  <c r="W1066" i="202"/>
  <c r="W1067" i="202"/>
  <c r="W1068" i="202"/>
  <c r="W1069" i="202"/>
  <c r="W1070" i="202"/>
  <c r="W1071" i="202"/>
  <c r="W1072" i="202"/>
  <c r="W1073" i="202"/>
  <c r="W1074" i="202"/>
  <c r="W1075" i="202"/>
  <c r="W1076" i="202"/>
  <c r="W1077" i="202"/>
  <c r="W1078" i="202"/>
  <c r="W1079" i="202"/>
  <c r="W1080" i="202"/>
  <c r="W1081" i="202"/>
  <c r="W1082" i="202"/>
  <c r="W1083" i="202"/>
  <c r="W1084" i="202"/>
  <c r="W1085" i="202"/>
  <c r="W1086" i="202"/>
  <c r="W1087" i="202"/>
  <c r="W1088" i="202"/>
  <c r="W1089" i="202"/>
  <c r="W1090" i="202"/>
  <c r="W1091" i="202"/>
  <c r="W1092" i="202"/>
  <c r="W1093" i="202"/>
  <c r="W1094" i="202"/>
  <c r="W1095" i="202"/>
  <c r="W1096" i="202"/>
  <c r="W1097" i="202"/>
  <c r="W1098" i="202"/>
  <c r="W1099" i="202"/>
  <c r="W1100" i="202"/>
  <c r="W1101" i="202"/>
  <c r="W1102" i="202"/>
  <c r="W1103" i="202"/>
  <c r="W1104" i="202"/>
  <c r="W1105" i="202"/>
  <c r="W1106" i="202"/>
  <c r="W1107" i="202"/>
  <c r="W1108" i="202"/>
  <c r="W1109" i="202"/>
  <c r="W1110" i="202"/>
  <c r="W1111" i="202"/>
  <c r="W1112" i="202"/>
  <c r="W1113" i="202"/>
  <c r="W1114" i="202"/>
  <c r="W1115" i="202"/>
  <c r="W1116" i="202"/>
  <c r="W1117" i="202"/>
  <c r="W1118" i="202"/>
  <c r="W1119" i="202"/>
  <c r="W1120" i="202"/>
  <c r="W1121" i="202"/>
  <c r="W1122" i="202"/>
  <c r="W1123" i="202"/>
  <c r="W1124" i="202"/>
  <c r="W1125" i="202"/>
  <c r="W1126" i="202"/>
  <c r="W1127" i="202"/>
  <c r="W1128" i="202"/>
  <c r="W1129" i="202"/>
  <c r="W1130" i="202"/>
  <c r="W1131" i="202"/>
  <c r="W1132" i="202"/>
  <c r="W1133" i="202"/>
  <c r="W1134" i="202"/>
  <c r="W1135" i="202"/>
  <c r="W1136" i="202"/>
  <c r="W1137" i="202"/>
  <c r="W1138" i="202"/>
  <c r="W1139" i="202"/>
  <c r="W1140" i="202"/>
  <c r="W1141" i="202"/>
  <c r="W1142" i="202"/>
  <c r="W1143" i="202"/>
  <c r="W1144" i="202"/>
  <c r="W1145" i="202"/>
  <c r="W1146" i="202"/>
  <c r="W1147" i="202"/>
  <c r="W1148" i="202"/>
  <c r="W1149" i="202"/>
  <c r="W1150" i="202"/>
  <c r="W1151" i="202"/>
  <c r="W1152" i="202"/>
  <c r="W1153" i="202"/>
  <c r="W1154" i="202"/>
  <c r="W1155" i="202"/>
  <c r="W1156" i="202"/>
  <c r="W1157" i="202"/>
  <c r="W1158" i="202"/>
  <c r="W1159" i="202"/>
  <c r="W1160" i="202"/>
  <c r="W1161" i="202"/>
  <c r="W1162" i="202"/>
  <c r="W1163" i="202"/>
  <c r="W1164" i="202"/>
  <c r="W1165" i="202"/>
  <c r="W1166" i="202"/>
  <c r="W1167" i="202"/>
  <c r="W1168" i="202"/>
  <c r="W1169" i="202"/>
  <c r="W1170" i="202"/>
  <c r="W1171" i="202"/>
  <c r="W1172" i="202"/>
  <c r="W1173" i="202"/>
  <c r="W1174" i="202"/>
  <c r="W1175" i="202"/>
  <c r="W1176" i="202"/>
  <c r="W1177" i="202"/>
  <c r="W1178" i="202"/>
  <c r="W1179" i="202"/>
  <c r="W1180" i="202"/>
  <c r="W1181" i="202"/>
  <c r="W1182" i="202"/>
  <c r="W1183" i="202"/>
  <c r="W1184" i="202"/>
  <c r="W1185" i="202"/>
  <c r="W1186" i="202"/>
  <c r="W1187" i="202"/>
  <c r="W1188" i="202"/>
  <c r="W1189" i="202"/>
  <c r="W1190" i="202"/>
  <c r="W1191" i="202"/>
  <c r="W1192" i="202"/>
  <c r="W1193" i="202"/>
  <c r="W1194" i="202"/>
  <c r="W1195" i="202"/>
  <c r="W1196" i="202"/>
  <c r="W1197" i="202"/>
  <c r="W1198" i="202"/>
  <c r="W1199" i="202"/>
  <c r="W1200" i="202"/>
  <c r="W1201" i="202"/>
  <c r="W1202" i="202"/>
  <c r="W1203" i="202"/>
  <c r="W1204" i="202"/>
  <c r="W1205" i="202"/>
  <c r="W1206" i="202"/>
  <c r="W1207" i="202"/>
  <c r="W1208" i="202"/>
  <c r="W1209" i="202"/>
  <c r="W1210" i="202"/>
  <c r="W1211" i="202"/>
  <c r="W1212" i="202"/>
  <c r="W1213" i="202"/>
  <c r="W1214" i="202"/>
  <c r="W1215" i="202"/>
  <c r="W1216" i="202"/>
  <c r="W1217" i="202"/>
  <c r="W1218" i="202"/>
  <c r="W1219" i="202"/>
  <c r="W1220" i="202"/>
  <c r="W1221" i="202"/>
  <c r="W1222" i="202"/>
  <c r="W1223" i="202"/>
  <c r="W1224" i="202"/>
  <c r="W1225" i="202"/>
  <c r="W1226" i="202"/>
  <c r="W1227" i="202"/>
  <c r="W1228" i="202"/>
  <c r="W1229" i="202"/>
  <c r="W1230" i="202"/>
  <c r="W1231" i="202"/>
  <c r="W1232" i="202"/>
  <c r="W1233" i="202"/>
  <c r="W1234" i="202"/>
  <c r="W1235" i="202"/>
  <c r="W1236" i="202"/>
  <c r="W1237" i="202"/>
  <c r="W1238" i="202"/>
  <c r="W1239" i="202"/>
  <c r="W1240" i="202"/>
  <c r="W1241" i="202"/>
  <c r="W1242" i="202"/>
  <c r="W1243" i="202"/>
  <c r="W1244" i="202"/>
  <c r="W1245" i="202"/>
  <c r="W1246" i="202"/>
  <c r="W1247" i="202"/>
  <c r="W1248" i="202"/>
  <c r="W1249" i="202"/>
  <c r="W1250" i="202"/>
  <c r="W1251" i="202"/>
  <c r="W1252" i="202"/>
  <c r="W1253" i="202"/>
  <c r="W1254" i="202"/>
  <c r="W1255" i="202"/>
  <c r="W1256" i="202"/>
  <c r="W1257" i="202"/>
  <c r="W1258" i="202"/>
  <c r="W1259" i="202"/>
  <c r="W1260" i="202"/>
  <c r="W1261" i="202"/>
  <c r="W1262" i="202"/>
  <c r="W1263" i="202"/>
  <c r="W1264" i="202"/>
  <c r="W1265" i="202"/>
  <c r="W1266" i="202"/>
  <c r="W1267" i="202"/>
  <c r="W1268" i="202"/>
  <c r="W1269" i="202"/>
  <c r="W1270" i="202"/>
  <c r="W1271" i="202"/>
  <c r="W1272" i="202"/>
  <c r="W1273" i="202"/>
  <c r="W1274" i="202"/>
  <c r="W1275" i="202"/>
  <c r="W1276" i="202"/>
  <c r="W1277" i="202"/>
  <c r="W1278" i="202"/>
  <c r="W1279" i="202"/>
  <c r="W1280" i="202"/>
  <c r="W1281" i="202"/>
  <c r="W1282" i="202"/>
  <c r="W1283" i="202"/>
  <c r="W1284" i="202"/>
  <c r="W1285" i="202"/>
  <c r="W1286" i="202"/>
  <c r="W1287" i="202"/>
  <c r="W1288" i="202"/>
  <c r="W1289" i="202"/>
  <c r="W1290" i="202"/>
  <c r="W1291" i="202"/>
  <c r="W1292" i="202"/>
  <c r="W1293" i="202"/>
  <c r="W1294" i="202"/>
  <c r="W1295" i="202"/>
  <c r="W1296" i="202"/>
  <c r="W1297" i="202"/>
  <c r="W1298" i="202"/>
  <c r="W1299" i="202"/>
  <c r="W1300" i="202"/>
  <c r="W1301" i="202"/>
  <c r="W1302" i="202"/>
  <c r="W1303" i="202"/>
  <c r="W1304" i="202"/>
  <c r="W1305" i="202"/>
  <c r="W1306" i="202"/>
  <c r="W1307" i="202"/>
  <c r="W1308" i="202"/>
  <c r="W1309" i="202"/>
  <c r="W1310" i="202"/>
  <c r="W1311" i="202"/>
  <c r="W1312" i="202"/>
  <c r="W1313" i="202"/>
  <c r="W1314" i="202"/>
  <c r="W1315" i="202"/>
  <c r="W1316" i="202"/>
  <c r="W1317" i="202"/>
  <c r="W1318" i="202"/>
  <c r="W1319" i="202"/>
  <c r="W1320" i="202"/>
  <c r="W1321" i="202"/>
  <c r="W1322" i="202"/>
  <c r="W1323" i="202"/>
  <c r="W1324" i="202"/>
  <c r="W1325" i="202"/>
  <c r="W1326" i="202"/>
  <c r="W1327" i="202"/>
  <c r="W1328" i="202"/>
  <c r="W1329" i="202"/>
  <c r="W1330" i="202"/>
  <c r="W1331" i="202"/>
  <c r="W1332" i="202"/>
  <c r="W1333" i="202"/>
  <c r="W1334" i="202"/>
  <c r="W1335" i="202"/>
  <c r="W1336" i="202"/>
  <c r="W1337" i="202"/>
  <c r="W1338" i="202"/>
  <c r="W1339" i="202"/>
  <c r="W1340" i="202"/>
  <c r="W1341" i="202"/>
  <c r="W1342" i="202"/>
  <c r="W1343" i="202"/>
  <c r="W1344" i="202"/>
  <c r="W1345" i="202"/>
  <c r="W1346" i="202"/>
  <c r="W1347" i="202"/>
  <c r="W1348" i="202"/>
  <c r="W1349" i="202"/>
  <c r="W1350" i="202"/>
  <c r="W1351" i="202"/>
  <c r="W1352" i="202"/>
  <c r="W1353" i="202"/>
  <c r="W1354" i="202"/>
  <c r="W1355" i="202"/>
  <c r="W1356" i="202"/>
  <c r="W1357" i="202"/>
  <c r="W1358" i="202"/>
  <c r="W1359" i="202"/>
  <c r="W1360" i="202"/>
  <c r="W1361" i="202"/>
  <c r="W1362" i="202"/>
  <c r="W1363" i="202"/>
  <c r="W1364" i="202"/>
  <c r="W1365" i="202"/>
  <c r="W1366" i="202"/>
  <c r="W1367" i="202"/>
  <c r="W1368" i="202"/>
  <c r="W1369" i="202"/>
  <c r="W1370" i="202"/>
  <c r="W1371" i="202"/>
  <c r="W1372" i="202"/>
  <c r="W1373" i="202"/>
  <c r="W1374" i="202"/>
  <c r="W1375" i="202"/>
  <c r="W1376" i="202"/>
  <c r="W1377" i="202"/>
  <c r="W1378" i="202"/>
  <c r="W1379" i="202"/>
  <c r="W1380" i="202"/>
  <c r="W1381" i="202"/>
  <c r="W1382" i="202"/>
  <c r="W1383" i="202"/>
  <c r="W1384" i="202"/>
  <c r="W1385" i="202"/>
  <c r="W1386" i="202"/>
  <c r="W1387" i="202"/>
  <c r="W1388" i="202"/>
  <c r="W1389" i="202"/>
  <c r="W1390" i="202"/>
  <c r="W1391" i="202"/>
  <c r="W1392" i="202"/>
  <c r="W1393" i="202"/>
  <c r="W1394" i="202"/>
  <c r="W1395" i="202"/>
  <c r="W1396" i="202"/>
  <c r="W1397" i="202"/>
  <c r="W1398" i="202"/>
  <c r="W1399" i="202"/>
  <c r="W1400" i="202"/>
  <c r="W1401" i="202"/>
  <c r="W1402" i="202"/>
  <c r="W1403" i="202"/>
  <c r="W1404" i="202"/>
  <c r="W1405" i="202"/>
  <c r="W1406" i="202"/>
  <c r="W1407" i="202"/>
  <c r="W1408" i="202"/>
  <c r="W1409" i="202"/>
  <c r="W1410" i="202"/>
  <c r="W1411" i="202"/>
  <c r="W1412" i="202"/>
  <c r="W1413" i="202"/>
  <c r="W1414" i="202"/>
  <c r="W1415" i="202"/>
  <c r="W1416" i="202"/>
  <c r="W1417" i="202"/>
  <c r="W1418" i="202"/>
  <c r="W1419" i="202"/>
  <c r="W1420" i="202"/>
  <c r="W1421" i="202"/>
  <c r="W1422" i="202"/>
  <c r="W1423" i="202"/>
  <c r="W1424" i="202"/>
  <c r="W1425" i="202"/>
  <c r="W1426" i="202"/>
  <c r="W1427" i="202"/>
  <c r="W1428" i="202"/>
  <c r="W1429" i="202"/>
  <c r="W1430" i="202"/>
  <c r="W1431" i="202"/>
  <c r="W1432" i="202"/>
  <c r="W1433" i="202"/>
  <c r="W1434" i="202"/>
  <c r="W1435" i="202"/>
  <c r="W1436" i="202"/>
  <c r="W1437" i="202"/>
  <c r="W1438" i="202"/>
  <c r="W1439" i="202"/>
  <c r="W1440" i="202"/>
  <c r="W1441" i="202"/>
  <c r="W1442" i="202"/>
  <c r="W1443" i="202"/>
  <c r="W1444" i="202"/>
  <c r="W1445" i="202"/>
  <c r="W1446" i="202"/>
  <c r="W1447" i="202"/>
  <c r="W1448" i="202"/>
  <c r="W1449" i="202"/>
  <c r="W1450" i="202"/>
  <c r="W1451" i="202"/>
  <c r="W1452" i="202"/>
  <c r="W1453" i="202"/>
  <c r="W1454" i="202"/>
  <c r="W1455" i="202"/>
  <c r="W1456" i="202"/>
  <c r="W1457" i="202"/>
  <c r="W1458" i="202"/>
  <c r="W1459" i="202"/>
  <c r="W1460" i="202"/>
  <c r="W1461" i="202"/>
  <c r="W1462" i="202"/>
  <c r="W1463" i="202"/>
  <c r="W1464" i="202"/>
  <c r="W1465" i="202"/>
  <c r="W1466" i="202"/>
  <c r="W1467" i="202"/>
  <c r="W1468" i="202"/>
  <c r="W1469" i="202"/>
  <c r="W1470" i="202"/>
  <c r="W1471" i="202"/>
  <c r="W1472" i="202"/>
  <c r="W1473" i="202"/>
  <c r="W1474" i="202"/>
  <c r="W1475" i="202"/>
  <c r="W1476" i="202"/>
  <c r="W1477" i="202"/>
  <c r="W1478" i="202"/>
  <c r="W1479" i="202"/>
  <c r="W1480" i="202"/>
  <c r="W1481" i="202"/>
  <c r="W1482" i="202"/>
  <c r="W1483" i="202"/>
  <c r="W1484" i="202"/>
  <c r="W1485" i="202"/>
  <c r="W1486" i="202"/>
  <c r="W1487" i="202"/>
  <c r="W1488" i="202"/>
  <c r="W1489" i="202"/>
  <c r="W1490" i="202"/>
  <c r="W1491" i="202"/>
  <c r="W1492" i="202"/>
  <c r="W1493" i="202"/>
  <c r="W1494" i="202"/>
  <c r="W1495" i="202"/>
  <c r="W1496" i="202"/>
  <c r="W1497" i="202"/>
  <c r="W1498" i="202"/>
  <c r="W1499" i="202"/>
  <c r="W1500" i="202"/>
  <c r="W1501" i="202"/>
  <c r="W1502" i="202"/>
  <c r="W1503" i="202"/>
  <c r="W1504" i="202"/>
  <c r="W1505" i="202"/>
  <c r="W1506" i="202"/>
  <c r="W1507" i="202"/>
  <c r="W1508" i="202"/>
  <c r="W1509" i="202"/>
  <c r="W1510" i="202"/>
  <c r="W1511" i="202"/>
  <c r="W1512" i="202"/>
  <c r="W1513" i="202"/>
  <c r="W1514" i="202"/>
  <c r="W1515" i="202"/>
  <c r="W1516" i="202"/>
  <c r="W1517" i="202"/>
  <c r="W1518" i="202"/>
  <c r="W1519" i="202"/>
  <c r="W1520" i="202"/>
  <c r="W1521" i="202"/>
  <c r="W1522" i="202"/>
  <c r="W1523" i="202"/>
  <c r="W1524" i="202"/>
  <c r="W1525" i="202"/>
  <c r="W1526" i="202"/>
  <c r="W1527" i="202"/>
  <c r="W1528" i="202"/>
  <c r="W1529" i="202"/>
  <c r="W1530" i="202"/>
  <c r="W1531" i="202"/>
  <c r="W1532" i="202"/>
  <c r="W1533" i="202"/>
  <c r="W1534" i="202"/>
  <c r="W1535" i="202"/>
  <c r="W1536" i="202"/>
  <c r="W1537" i="202"/>
  <c r="W1538" i="202"/>
  <c r="W1539" i="202"/>
  <c r="W1540" i="202"/>
  <c r="W1541" i="202"/>
  <c r="W1542" i="202"/>
  <c r="W1543" i="202"/>
  <c r="W1544" i="202"/>
  <c r="W1545" i="202"/>
  <c r="W1546" i="202"/>
  <c r="W1547" i="202"/>
  <c r="W1548" i="202"/>
  <c r="W1549" i="202"/>
  <c r="W1550" i="202"/>
  <c r="W1551" i="202"/>
  <c r="W1552" i="202"/>
  <c r="W1553" i="202"/>
  <c r="W1554" i="202"/>
  <c r="W1555" i="202"/>
  <c r="W1556" i="202"/>
  <c r="W1557" i="202"/>
  <c r="W1558" i="202"/>
  <c r="W1559" i="202"/>
  <c r="W1560" i="202"/>
  <c r="W1561" i="202"/>
  <c r="W1562" i="202"/>
  <c r="W1563" i="202"/>
  <c r="W1564" i="202"/>
  <c r="W1565" i="202"/>
  <c r="W1566" i="202"/>
  <c r="W1567" i="202"/>
  <c r="W1568" i="202"/>
  <c r="W1569" i="202"/>
  <c r="W1570" i="202"/>
  <c r="W1571" i="202"/>
  <c r="W1572" i="202"/>
  <c r="W1573" i="202"/>
  <c r="W1574" i="202"/>
  <c r="W1575" i="202"/>
  <c r="W1576" i="202"/>
  <c r="W1577" i="202"/>
  <c r="W1578" i="202"/>
  <c r="W1579" i="202"/>
  <c r="W1580" i="202"/>
  <c r="W1581" i="202"/>
  <c r="W1582" i="202"/>
  <c r="W1583" i="202"/>
  <c r="W1584" i="202"/>
  <c r="W1585" i="202"/>
  <c r="W1586" i="202"/>
  <c r="W1587" i="202"/>
  <c r="W1588" i="202"/>
  <c r="W1589" i="202"/>
  <c r="W1590" i="202"/>
  <c r="W1591" i="202"/>
  <c r="W1592" i="202"/>
  <c r="W1593" i="202"/>
  <c r="W1594" i="202"/>
  <c r="W1595" i="202"/>
  <c r="W1596" i="202"/>
  <c r="W1597" i="202"/>
  <c r="W1598" i="202"/>
  <c r="W1599" i="202"/>
  <c r="W1600" i="202"/>
  <c r="W1601" i="202"/>
  <c r="W1602" i="202"/>
  <c r="W1603" i="202"/>
  <c r="W1604" i="202"/>
  <c r="W1605" i="202"/>
  <c r="W1606" i="202"/>
  <c r="W1607" i="202"/>
  <c r="W1608" i="202"/>
  <c r="W1609" i="202"/>
  <c r="W1610" i="202"/>
  <c r="W1611" i="202"/>
  <c r="W1612" i="202"/>
  <c r="W1613" i="202"/>
  <c r="W1614" i="202"/>
  <c r="W1615" i="202"/>
  <c r="W1616" i="202"/>
  <c r="W1617" i="202"/>
  <c r="W1618" i="202"/>
  <c r="W1619" i="202"/>
  <c r="W1620" i="202"/>
  <c r="W1621" i="202"/>
  <c r="W1622" i="202"/>
  <c r="W1623" i="202"/>
  <c r="W1624" i="202"/>
  <c r="W1625" i="202"/>
  <c r="W1626" i="202"/>
  <c r="W1627" i="202"/>
  <c r="W1628" i="202"/>
  <c r="W1629" i="202"/>
  <c r="W1630" i="202"/>
  <c r="W1631" i="202"/>
  <c r="W1632" i="202"/>
  <c r="W1633" i="202"/>
  <c r="W1634" i="202"/>
  <c r="W1635" i="202"/>
  <c r="W1636" i="202"/>
  <c r="W1637" i="202"/>
  <c r="W1638" i="202"/>
  <c r="W1639" i="202"/>
  <c r="W1640" i="202"/>
  <c r="W1641" i="202"/>
  <c r="W1642" i="202"/>
  <c r="W1643" i="202"/>
  <c r="W1644" i="202"/>
  <c r="W1645" i="202"/>
  <c r="W1646" i="202"/>
  <c r="W1647" i="202"/>
  <c r="W1648" i="202"/>
  <c r="W1649" i="202"/>
  <c r="W1650" i="202"/>
  <c r="W1651" i="202"/>
  <c r="W1652" i="202"/>
  <c r="W1653" i="202"/>
  <c r="W1654" i="202"/>
  <c r="W1655" i="202"/>
  <c r="W1656" i="202"/>
  <c r="W1657" i="202"/>
  <c r="W1658" i="202"/>
  <c r="W1659" i="202"/>
  <c r="W1660" i="202"/>
  <c r="W1661" i="202"/>
  <c r="W1662" i="202"/>
  <c r="W1663" i="202"/>
  <c r="W1664" i="202"/>
  <c r="W1665" i="202"/>
  <c r="W1666" i="202"/>
  <c r="W1667" i="202"/>
  <c r="W1668" i="202"/>
  <c r="W1669" i="202"/>
  <c r="W1670" i="202"/>
  <c r="W1671" i="202"/>
  <c r="W1672" i="202"/>
  <c r="W1673" i="202"/>
  <c r="W1674" i="202"/>
  <c r="W1675" i="202"/>
  <c r="W1676" i="202"/>
  <c r="W1677" i="202"/>
  <c r="W1678" i="202"/>
  <c r="W1679" i="202"/>
  <c r="W1680" i="202"/>
  <c r="W1681" i="202"/>
  <c r="W1682" i="202"/>
  <c r="W1683" i="202"/>
  <c r="W1684" i="202"/>
  <c r="W1685" i="202"/>
  <c r="W1686" i="202"/>
  <c r="W1687" i="202"/>
  <c r="W1688" i="202"/>
  <c r="W1689" i="202"/>
  <c r="W1690" i="202"/>
  <c r="W1691" i="202"/>
  <c r="W1692" i="202"/>
  <c r="W1693" i="202"/>
  <c r="W1694" i="202"/>
  <c r="W1695" i="202"/>
  <c r="W1696" i="202"/>
  <c r="W1697" i="202"/>
  <c r="W1698" i="202"/>
  <c r="W1699" i="202"/>
  <c r="W1700" i="202"/>
  <c r="W1701" i="202"/>
  <c r="W1702" i="202"/>
  <c r="W1703" i="202"/>
  <c r="W1704" i="202"/>
  <c r="W1705" i="202"/>
  <c r="W1706" i="202"/>
  <c r="W1707" i="202"/>
  <c r="W1708" i="202"/>
  <c r="W1709" i="202"/>
  <c r="W1710" i="202"/>
  <c r="W1711" i="202"/>
  <c r="W1712" i="202"/>
  <c r="W1713" i="202"/>
  <c r="W1714" i="202"/>
  <c r="W1715" i="202"/>
  <c r="W1716" i="202"/>
  <c r="W1717" i="202"/>
  <c r="W1718" i="202"/>
  <c r="W1719" i="202"/>
  <c r="W1720" i="202"/>
  <c r="W1721" i="202"/>
  <c r="W1722" i="202"/>
  <c r="W1723" i="202"/>
  <c r="W1724" i="202"/>
  <c r="W1725" i="202"/>
  <c r="W1726" i="202"/>
  <c r="W1727" i="202"/>
  <c r="W1728" i="202"/>
  <c r="W1729" i="202"/>
  <c r="W1730" i="202"/>
  <c r="W1731" i="202"/>
  <c r="W1732" i="202"/>
  <c r="W1733" i="202"/>
  <c r="W1734" i="202"/>
  <c r="W1735" i="202"/>
  <c r="W1736" i="202"/>
  <c r="W1737" i="202"/>
  <c r="W1738" i="202"/>
  <c r="W1739" i="202"/>
  <c r="W1740" i="202"/>
  <c r="W1741" i="202"/>
  <c r="W1742" i="202"/>
  <c r="W1743" i="202"/>
  <c r="W1744" i="202"/>
  <c r="W1745" i="202"/>
  <c r="W1746" i="202"/>
  <c r="W1747" i="202"/>
  <c r="W1748" i="202"/>
  <c r="W1749" i="202"/>
  <c r="W1750" i="202"/>
  <c r="W1751" i="202"/>
  <c r="W1752" i="202"/>
  <c r="W1753" i="202"/>
  <c r="W1754" i="202"/>
  <c r="W1755" i="202"/>
  <c r="W1756" i="202"/>
  <c r="W1757" i="202"/>
  <c r="W1758" i="202"/>
  <c r="W1759" i="202"/>
  <c r="W1760" i="202"/>
  <c r="W1761" i="202"/>
  <c r="W1762" i="202"/>
  <c r="W1763" i="202"/>
  <c r="W1764" i="202"/>
  <c r="W1765" i="202"/>
  <c r="W1766" i="202"/>
  <c r="W1767" i="202"/>
  <c r="W1768" i="202"/>
  <c r="W1769" i="202"/>
  <c r="W1770" i="202"/>
  <c r="W1771" i="202"/>
  <c r="W1772" i="202"/>
  <c r="W1773" i="202"/>
  <c r="W1774" i="202"/>
  <c r="W1775" i="202"/>
  <c r="W1776" i="202"/>
  <c r="W1777" i="202"/>
  <c r="W1778" i="202"/>
  <c r="W1779" i="202"/>
  <c r="W1780" i="202"/>
  <c r="W1781" i="202"/>
  <c r="W1782" i="202"/>
  <c r="W1783" i="202"/>
  <c r="W1784" i="202"/>
  <c r="W1785" i="202"/>
  <c r="W1786" i="202"/>
  <c r="W1787" i="202"/>
  <c r="W1788" i="202"/>
  <c r="W1789" i="202"/>
  <c r="W1790" i="202"/>
  <c r="W1791" i="202"/>
  <c r="W1792" i="202"/>
  <c r="W1793" i="202"/>
  <c r="W1794" i="202"/>
  <c r="W1795" i="202"/>
  <c r="W1796" i="202"/>
  <c r="W1797" i="202"/>
  <c r="W1798" i="202"/>
  <c r="W1799" i="202"/>
  <c r="W1800" i="202"/>
  <c r="W1801" i="202"/>
  <c r="W1802" i="202"/>
  <c r="W1803" i="202"/>
  <c r="W1804" i="202"/>
  <c r="W1805" i="202"/>
  <c r="W1806" i="202"/>
  <c r="W1807" i="202"/>
  <c r="W1808" i="202"/>
  <c r="W1809" i="202"/>
  <c r="W1810" i="202"/>
  <c r="W1811" i="202"/>
  <c r="W1812" i="202"/>
  <c r="W1813" i="202"/>
  <c r="W1814" i="202"/>
  <c r="W1815" i="202"/>
  <c r="W1816" i="202"/>
  <c r="W1817" i="202"/>
  <c r="W1818" i="202"/>
  <c r="W1819" i="202"/>
  <c r="W1820" i="202"/>
  <c r="W1821" i="202"/>
  <c r="W1822" i="202"/>
  <c r="W1823" i="202"/>
  <c r="W1824" i="202"/>
  <c r="W1825" i="202"/>
  <c r="W1826" i="202"/>
  <c r="W1827" i="202"/>
  <c r="W1828" i="202"/>
  <c r="W1829" i="202"/>
  <c r="W1830" i="202"/>
  <c r="W1831" i="202"/>
  <c r="W1832" i="202"/>
  <c r="W1833" i="202"/>
  <c r="W1834" i="202"/>
  <c r="W1835" i="202"/>
  <c r="W1836" i="202"/>
  <c r="W1837" i="202"/>
  <c r="W1838" i="202"/>
  <c r="W1839" i="202"/>
  <c r="W1840" i="202"/>
  <c r="W1841" i="202"/>
  <c r="W1842" i="202"/>
  <c r="W1843" i="202"/>
  <c r="W1844" i="202"/>
  <c r="W1845" i="202"/>
  <c r="W1846" i="202"/>
  <c r="W1847" i="202"/>
  <c r="W1848" i="202"/>
  <c r="W1849" i="202"/>
  <c r="W1850" i="202"/>
  <c r="W1851" i="202"/>
  <c r="W1852" i="202"/>
  <c r="W1853" i="202"/>
  <c r="W1854" i="202"/>
  <c r="W1855" i="202"/>
  <c r="W1856" i="202"/>
  <c r="W1857" i="202"/>
  <c r="W1858" i="202"/>
  <c r="W1859" i="202"/>
  <c r="W1860" i="202"/>
  <c r="W1861" i="202"/>
  <c r="W1862" i="202"/>
  <c r="W1863" i="202"/>
  <c r="W1864" i="202"/>
  <c r="W1865" i="202"/>
  <c r="W1866" i="202"/>
  <c r="W1867" i="202"/>
  <c r="W1868" i="202"/>
  <c r="W1869" i="202"/>
  <c r="W1870" i="202"/>
  <c r="W1871" i="202"/>
  <c r="W1872" i="202"/>
  <c r="W1873" i="202"/>
  <c r="W1874" i="202"/>
  <c r="W1875" i="202"/>
  <c r="W1876" i="202"/>
  <c r="W1877" i="202"/>
  <c r="W1878" i="202"/>
  <c r="W1879" i="202"/>
  <c r="W1880" i="202"/>
  <c r="W1881" i="202"/>
  <c r="W1882" i="202"/>
  <c r="W1883" i="202"/>
  <c r="W1884" i="202"/>
  <c r="W1885" i="202"/>
  <c r="W1886" i="202"/>
  <c r="W1887" i="202"/>
  <c r="W1888" i="202"/>
  <c r="W1889" i="202"/>
  <c r="W1890" i="202"/>
  <c r="W1891" i="202"/>
  <c r="W1892" i="202"/>
  <c r="W1893" i="202"/>
  <c r="W1894" i="202"/>
  <c r="W1895" i="202"/>
  <c r="W1896" i="202"/>
  <c r="W1897" i="202"/>
  <c r="W1898" i="202"/>
  <c r="W1899" i="202"/>
  <c r="W1900" i="202"/>
  <c r="W1901" i="202"/>
  <c r="W1902" i="202"/>
  <c r="W1903" i="202"/>
  <c r="W1904" i="202"/>
  <c r="W1905" i="202"/>
  <c r="W1906" i="202"/>
  <c r="W1907" i="202"/>
  <c r="W1908" i="202"/>
  <c r="W1909" i="202"/>
  <c r="W1910" i="202"/>
  <c r="W1911" i="202"/>
  <c r="W1912" i="202"/>
  <c r="W1913" i="202"/>
  <c r="W1914" i="202"/>
  <c r="W1915" i="202"/>
  <c r="W1916" i="202"/>
  <c r="W1917" i="202"/>
  <c r="W1918" i="202"/>
  <c r="W1919" i="202"/>
  <c r="W1920" i="202"/>
  <c r="W1921" i="202"/>
  <c r="W1922" i="202"/>
  <c r="W1923" i="202"/>
  <c r="W1924" i="202"/>
  <c r="W1925" i="202"/>
  <c r="W1926" i="202"/>
  <c r="W1927" i="202"/>
  <c r="W1928" i="202"/>
  <c r="W1929" i="202"/>
  <c r="W1930" i="202"/>
  <c r="W1931" i="202"/>
  <c r="W1932" i="202"/>
  <c r="W1933" i="202"/>
  <c r="W1934" i="202"/>
  <c r="W1935" i="202"/>
  <c r="W1936" i="202"/>
  <c r="W1937" i="202"/>
  <c r="W1938" i="202"/>
  <c r="W1939" i="202"/>
  <c r="W1940" i="202"/>
  <c r="W1941" i="202"/>
  <c r="W1942" i="202"/>
  <c r="W1943" i="202"/>
  <c r="W1944" i="202"/>
  <c r="W1945" i="202"/>
  <c r="W1946" i="202"/>
  <c r="W1947" i="202"/>
  <c r="W1948" i="202"/>
  <c r="W1949" i="202"/>
  <c r="W1950" i="202"/>
  <c r="W1951" i="202"/>
  <c r="W1952" i="202"/>
  <c r="W1953" i="202"/>
  <c r="W1954" i="202"/>
  <c r="W1955" i="202"/>
  <c r="W1956" i="202"/>
  <c r="W1957" i="202"/>
  <c r="W1958" i="202"/>
  <c r="W1959" i="202"/>
  <c r="W1960" i="202"/>
  <c r="W1961" i="202"/>
  <c r="W1962" i="202"/>
  <c r="W1963" i="202"/>
  <c r="W1964" i="202"/>
  <c r="W1965" i="202"/>
  <c r="W1966" i="202"/>
  <c r="W1967" i="202"/>
  <c r="W1968" i="202"/>
  <c r="W1969" i="202"/>
  <c r="W1970" i="202"/>
  <c r="W1971" i="202"/>
  <c r="W1972" i="202"/>
  <c r="W1973" i="202"/>
  <c r="W1974" i="202"/>
  <c r="W1975" i="202"/>
  <c r="W1976" i="202"/>
  <c r="W1977" i="202"/>
  <c r="W1978" i="202"/>
  <c r="W1979" i="202"/>
  <c r="W1980" i="202"/>
  <c r="W1981" i="202"/>
  <c r="W1982" i="202"/>
  <c r="W1983" i="202"/>
  <c r="W1984" i="202"/>
  <c r="W1985" i="202"/>
  <c r="W1986" i="202"/>
  <c r="W1987" i="202"/>
  <c r="W1988" i="202"/>
  <c r="W1989" i="202"/>
  <c r="W1990" i="202"/>
  <c r="W1991" i="202"/>
  <c r="W1992" i="202"/>
  <c r="W1993" i="202"/>
  <c r="W1994" i="202"/>
  <c r="W1995" i="202"/>
  <c r="W1996" i="202"/>
  <c r="W1997" i="202"/>
  <c r="W1998" i="202"/>
  <c r="W1999" i="202"/>
  <c r="W2000" i="202"/>
  <c r="W2001" i="202"/>
  <c r="W2002" i="202"/>
  <c r="W2003" i="202"/>
  <c r="W2004" i="202"/>
  <c r="W2005" i="202"/>
  <c r="W2006" i="202"/>
  <c r="W2007" i="202"/>
  <c r="W2008" i="202"/>
  <c r="W2009" i="202"/>
  <c r="W2010" i="202"/>
  <c r="W2011" i="202"/>
  <c r="W2012" i="202"/>
  <c r="W2013" i="202"/>
  <c r="W2014" i="202"/>
  <c r="W2015" i="202"/>
  <c r="W2016" i="202"/>
  <c r="W2017" i="202"/>
  <c r="W2018" i="202"/>
  <c r="W2019" i="202"/>
  <c r="W2020" i="202"/>
  <c r="W2021" i="202"/>
  <c r="W2022" i="202"/>
  <c r="W2023" i="202"/>
  <c r="W2024" i="202"/>
  <c r="W2025" i="202"/>
  <c r="W2026" i="202"/>
  <c r="W2027" i="202"/>
  <c r="W2028" i="202"/>
  <c r="W2029" i="202"/>
  <c r="W2030" i="202"/>
  <c r="W2031" i="202"/>
  <c r="W2032" i="202"/>
  <c r="W2033" i="202"/>
  <c r="W2034" i="202"/>
  <c r="W2035" i="202"/>
  <c r="W2036" i="202"/>
  <c r="W2037" i="202"/>
  <c r="W2038" i="202"/>
  <c r="W2039" i="202"/>
  <c r="W2040" i="202"/>
  <c r="W2041" i="202"/>
  <c r="W2042" i="202"/>
  <c r="W2043" i="202"/>
  <c r="W2044" i="202"/>
  <c r="W2045" i="202"/>
  <c r="W2046" i="202"/>
  <c r="W2047" i="202"/>
  <c r="W2048" i="202"/>
  <c r="AX2" i="202"/>
  <c r="AX3" i="202"/>
  <c r="AX4" i="202"/>
  <c r="AX5" i="202"/>
  <c r="AX6" i="202"/>
  <c r="AX7" i="202"/>
  <c r="AX8" i="202"/>
  <c r="AX9" i="202"/>
  <c r="AX10" i="202"/>
  <c r="AX11" i="202"/>
  <c r="AX12" i="202"/>
  <c r="AX13" i="202"/>
  <c r="AX14" i="202"/>
  <c r="AX15" i="202"/>
  <c r="AX16" i="202"/>
  <c r="AX17" i="202"/>
  <c r="AX18" i="202"/>
  <c r="AX19" i="202"/>
  <c r="AX20" i="202"/>
  <c r="AX21" i="202"/>
  <c r="AX22" i="202"/>
  <c r="AX23" i="202"/>
  <c r="AX24" i="202"/>
  <c r="AX25" i="202"/>
  <c r="AX26" i="202"/>
  <c r="AX27" i="202"/>
  <c r="AX28" i="202"/>
  <c r="AX29" i="202"/>
  <c r="AX30" i="202"/>
  <c r="AX31" i="202"/>
  <c r="AX32" i="202"/>
  <c r="AX33" i="202"/>
  <c r="AX34" i="202"/>
  <c r="AX35" i="202"/>
  <c r="AX36" i="202"/>
  <c r="AX37" i="202"/>
  <c r="AX38" i="202"/>
  <c r="AX39" i="202"/>
  <c r="AX40" i="202"/>
  <c r="AX41" i="202"/>
  <c r="AX42" i="202"/>
  <c r="AX43" i="202"/>
  <c r="AX44" i="202"/>
  <c r="AX45" i="202"/>
  <c r="AX46" i="202"/>
  <c r="AX47" i="202"/>
  <c r="AX48" i="202"/>
  <c r="AX49" i="202"/>
  <c r="AX50" i="202"/>
  <c r="AX51" i="202"/>
  <c r="AX52" i="202"/>
  <c r="AX53" i="202"/>
  <c r="AX54" i="202"/>
  <c r="AX55" i="202"/>
  <c r="AX56" i="202"/>
  <c r="AX57" i="202"/>
  <c r="AX58" i="202"/>
  <c r="AX59" i="202"/>
  <c r="AX60" i="202"/>
  <c r="AX61" i="202"/>
  <c r="AX62" i="202"/>
  <c r="AX63" i="202"/>
  <c r="AX64" i="202"/>
  <c r="AX65" i="202"/>
  <c r="AX66" i="202"/>
  <c r="AX67" i="202"/>
  <c r="AX68" i="202"/>
  <c r="AX69" i="202"/>
  <c r="AX70" i="202"/>
  <c r="AX71" i="202"/>
  <c r="AX72" i="202"/>
  <c r="AX73" i="202"/>
  <c r="AX74" i="202"/>
  <c r="AX75" i="202"/>
  <c r="AX76" i="202"/>
  <c r="AX77" i="202"/>
  <c r="AX78" i="202"/>
  <c r="AX79" i="202"/>
  <c r="AX80" i="202"/>
  <c r="AX81" i="202"/>
  <c r="AX82" i="202"/>
  <c r="AX83" i="202"/>
  <c r="AX84" i="202"/>
  <c r="AX85" i="202"/>
  <c r="AX86" i="202"/>
  <c r="AX87" i="202"/>
  <c r="AX88" i="202"/>
  <c r="AX89" i="202"/>
  <c r="AX90" i="202"/>
  <c r="AX91" i="202"/>
  <c r="AX92" i="202"/>
  <c r="AX93" i="202"/>
  <c r="AX94" i="202"/>
  <c r="AX95" i="202"/>
  <c r="AX96" i="202"/>
  <c r="AX97" i="202"/>
  <c r="AX98" i="202"/>
  <c r="AX99" i="202"/>
  <c r="AX100" i="202"/>
  <c r="AX101" i="202"/>
  <c r="AX102" i="202"/>
  <c r="AX103" i="202"/>
  <c r="AX104" i="202"/>
  <c r="AX105" i="202"/>
  <c r="AX106" i="202"/>
  <c r="AX107" i="202"/>
  <c r="AX108" i="202"/>
  <c r="AX109" i="202"/>
  <c r="AX110" i="202"/>
  <c r="AX111" i="202"/>
  <c r="AX112" i="202"/>
  <c r="AX113" i="202"/>
  <c r="AX114" i="202"/>
  <c r="AX115" i="202"/>
  <c r="AX116" i="202"/>
  <c r="AX117" i="202"/>
  <c r="AX118" i="202"/>
  <c r="AX119" i="202"/>
  <c r="AX120" i="202"/>
  <c r="AX121" i="202"/>
  <c r="AX122" i="202"/>
  <c r="AX123" i="202"/>
  <c r="AX124" i="202"/>
  <c r="AX125" i="202"/>
  <c r="AX126" i="202"/>
  <c r="AX127" i="202"/>
  <c r="AX128" i="202"/>
  <c r="AX129" i="202"/>
  <c r="AX130" i="202"/>
  <c r="AX131" i="202"/>
  <c r="AX132" i="202"/>
  <c r="AX133" i="202"/>
  <c r="AX134" i="202"/>
  <c r="AX135" i="202"/>
  <c r="AX136" i="202"/>
  <c r="AX137" i="202"/>
  <c r="AX138" i="202"/>
  <c r="AX139" i="202"/>
  <c r="AX140" i="202"/>
  <c r="AX141" i="202"/>
  <c r="AX142" i="202"/>
  <c r="AX143" i="202"/>
  <c r="AX144" i="202"/>
  <c r="AX145" i="202"/>
  <c r="AX146" i="202"/>
  <c r="AX147" i="202"/>
  <c r="AX148" i="202"/>
  <c r="AX149" i="202"/>
  <c r="AX150" i="202"/>
  <c r="AX151" i="202"/>
  <c r="AX152" i="202"/>
  <c r="AX153" i="202"/>
  <c r="AX154" i="202"/>
  <c r="AX155" i="202"/>
  <c r="AX156" i="202"/>
  <c r="AX157" i="202"/>
  <c r="AX158" i="202"/>
  <c r="AX159" i="202"/>
  <c r="AX160" i="202"/>
  <c r="AX161" i="202"/>
  <c r="AX162" i="202"/>
  <c r="AX163" i="202"/>
  <c r="AX164" i="202"/>
  <c r="AX165" i="202"/>
  <c r="AX166" i="202"/>
  <c r="AX167" i="202"/>
  <c r="AX168" i="202"/>
  <c r="AX169" i="202"/>
  <c r="AX170" i="202"/>
  <c r="AX171" i="202"/>
  <c r="AX172" i="202"/>
  <c r="AX173" i="202"/>
  <c r="AX174" i="202"/>
  <c r="AX175" i="202"/>
  <c r="AX176" i="202"/>
  <c r="AX177" i="202"/>
  <c r="AX178" i="202"/>
  <c r="AX179" i="202"/>
  <c r="AX180" i="202"/>
  <c r="AX181" i="202"/>
  <c r="AX182" i="202"/>
  <c r="AX183" i="202"/>
  <c r="AX184" i="202"/>
  <c r="AX185" i="202"/>
  <c r="AX186" i="202"/>
  <c r="AX187" i="202"/>
  <c r="AX188" i="202"/>
  <c r="AX189" i="202"/>
  <c r="AX190" i="202"/>
  <c r="AX191" i="202"/>
  <c r="AX192" i="202"/>
  <c r="AX193" i="202"/>
  <c r="AX194" i="202"/>
  <c r="AX195" i="202"/>
  <c r="AX196" i="202"/>
  <c r="AX197" i="202"/>
  <c r="AX198" i="202"/>
  <c r="AX199" i="202"/>
  <c r="AX200" i="202"/>
  <c r="AX201" i="202"/>
  <c r="AX202" i="202"/>
  <c r="AX203" i="202"/>
  <c r="AX204" i="202"/>
  <c r="AX205" i="202"/>
  <c r="AX206" i="202"/>
  <c r="AX207" i="202"/>
  <c r="AX208" i="202"/>
  <c r="AX209" i="202"/>
  <c r="AX210" i="202"/>
  <c r="AX211" i="202"/>
  <c r="AX212" i="202"/>
  <c r="AX213" i="202"/>
  <c r="AX214" i="202"/>
  <c r="AX215" i="202"/>
  <c r="AX216" i="202"/>
  <c r="AX217" i="202"/>
  <c r="AX218" i="202"/>
  <c r="AX219" i="202"/>
  <c r="AX220" i="202"/>
  <c r="AX221" i="202"/>
  <c r="AX222" i="202"/>
  <c r="AX223" i="202"/>
  <c r="AX224" i="202"/>
  <c r="AX225" i="202"/>
  <c r="AX226" i="202"/>
  <c r="AX227" i="202"/>
  <c r="AX228" i="202"/>
  <c r="AX229" i="202"/>
  <c r="AX230" i="202"/>
  <c r="AX231" i="202"/>
  <c r="AX232" i="202"/>
  <c r="AX233" i="202"/>
  <c r="AX234" i="202"/>
  <c r="AX235" i="202"/>
  <c r="AX236" i="202"/>
  <c r="AX237" i="202"/>
  <c r="AX238" i="202"/>
  <c r="AX239" i="202"/>
  <c r="AX240" i="202"/>
  <c r="AX241" i="202"/>
  <c r="AX242" i="202"/>
  <c r="AX243" i="202"/>
  <c r="AX244" i="202"/>
  <c r="AX245" i="202"/>
  <c r="AX246" i="202"/>
  <c r="AX247" i="202"/>
  <c r="AX248" i="202"/>
  <c r="AX249" i="202"/>
  <c r="AX250" i="202"/>
  <c r="AX251" i="202"/>
  <c r="AX252" i="202"/>
  <c r="AX253" i="202"/>
  <c r="AX254" i="202"/>
  <c r="AX255" i="202"/>
  <c r="AX256" i="202"/>
  <c r="AX257" i="202"/>
  <c r="AX258" i="202"/>
  <c r="AX259" i="202"/>
  <c r="AX260" i="202"/>
  <c r="AX261" i="202"/>
  <c r="AX262" i="202"/>
  <c r="AX263" i="202"/>
  <c r="AX264" i="202"/>
  <c r="AX265" i="202"/>
  <c r="AX266" i="202"/>
  <c r="AX267" i="202"/>
  <c r="AX268" i="202"/>
  <c r="AX269" i="202"/>
  <c r="AX270" i="202"/>
  <c r="AX271" i="202"/>
  <c r="AX272" i="202"/>
  <c r="AX273" i="202"/>
  <c r="AX274" i="202"/>
  <c r="AX275" i="202"/>
  <c r="AX276" i="202"/>
  <c r="AX277" i="202"/>
  <c r="AX278" i="202"/>
  <c r="AX279" i="202"/>
  <c r="AX280" i="202"/>
  <c r="AX281" i="202"/>
  <c r="AX282" i="202"/>
  <c r="AX283" i="202"/>
  <c r="AX284" i="202"/>
  <c r="AX285" i="202"/>
  <c r="AX286" i="202"/>
  <c r="AX287" i="202"/>
  <c r="AX288" i="202"/>
  <c r="AX289" i="202"/>
  <c r="AX290" i="202"/>
  <c r="AX291" i="202"/>
  <c r="AX292" i="202"/>
  <c r="AX293" i="202"/>
  <c r="AX294" i="202"/>
  <c r="AX295" i="202"/>
  <c r="AX296" i="202"/>
  <c r="AX297" i="202"/>
  <c r="AX298" i="202"/>
  <c r="AX299" i="202"/>
  <c r="AX300" i="202"/>
  <c r="AX301" i="202"/>
  <c r="AX302" i="202"/>
  <c r="AX303" i="202"/>
  <c r="AX304" i="202"/>
  <c r="AX305" i="202"/>
  <c r="AX306" i="202"/>
  <c r="AX307" i="202"/>
  <c r="AX308" i="202"/>
  <c r="AX309" i="202"/>
  <c r="AX310" i="202"/>
  <c r="AX311" i="202"/>
  <c r="AX312" i="202"/>
  <c r="AX313" i="202"/>
  <c r="AX314" i="202"/>
  <c r="AX315" i="202"/>
  <c r="AX316" i="202"/>
  <c r="AX317" i="202"/>
  <c r="AX318" i="202"/>
  <c r="AX319" i="202"/>
  <c r="AX320" i="202"/>
  <c r="AX321" i="202"/>
  <c r="AX322" i="202"/>
  <c r="AX323" i="202"/>
  <c r="AX324" i="202"/>
  <c r="AX325" i="202"/>
  <c r="AX326" i="202"/>
  <c r="AX327" i="202"/>
  <c r="AX328" i="202"/>
  <c r="AX329" i="202"/>
  <c r="AX330" i="202"/>
  <c r="AX331" i="202"/>
  <c r="AX332" i="202"/>
  <c r="AX333" i="202"/>
  <c r="AX334" i="202"/>
  <c r="AX335" i="202"/>
  <c r="AX336" i="202"/>
  <c r="AX337" i="202"/>
  <c r="AX338" i="202"/>
  <c r="AX339" i="202"/>
  <c r="AX340" i="202"/>
  <c r="AX341" i="202"/>
  <c r="AX342" i="202"/>
  <c r="AX343" i="202"/>
  <c r="AX344" i="202"/>
  <c r="AX345" i="202"/>
  <c r="AX346" i="202"/>
  <c r="AX347" i="202"/>
  <c r="AX348" i="202"/>
  <c r="AX349" i="202"/>
  <c r="AX350" i="202"/>
  <c r="AX351" i="202"/>
  <c r="AX352" i="202"/>
  <c r="AX353" i="202"/>
  <c r="AX354" i="202"/>
  <c r="AX355" i="202"/>
  <c r="AX356" i="202"/>
  <c r="AX357" i="202"/>
  <c r="AX358" i="202"/>
  <c r="AX359" i="202"/>
  <c r="AX360" i="202"/>
  <c r="AX361" i="202"/>
  <c r="AX362" i="202"/>
  <c r="AX363" i="202"/>
  <c r="AX364" i="202"/>
  <c r="AX365" i="202"/>
  <c r="AX366" i="202"/>
  <c r="AX367" i="202"/>
  <c r="AX368" i="202"/>
  <c r="AX369" i="202"/>
  <c r="AX370" i="202"/>
  <c r="AX371" i="202"/>
  <c r="AX372" i="202"/>
  <c r="AX373" i="202"/>
  <c r="AX374" i="202"/>
  <c r="AX375" i="202"/>
  <c r="AX376" i="202"/>
  <c r="AX377" i="202"/>
  <c r="AX378" i="202"/>
  <c r="AX379" i="202"/>
  <c r="AX380" i="202"/>
  <c r="AX381" i="202"/>
  <c r="AX382" i="202"/>
  <c r="AX383" i="202"/>
  <c r="AX384" i="202"/>
  <c r="AX385" i="202"/>
  <c r="AX386" i="202"/>
  <c r="AX387" i="202"/>
  <c r="AX388" i="202"/>
  <c r="AX389" i="202"/>
  <c r="AX390" i="202"/>
  <c r="AX391" i="202"/>
  <c r="AX392" i="202"/>
  <c r="AX393" i="202"/>
  <c r="AX394" i="202"/>
  <c r="AX395" i="202"/>
  <c r="AX396" i="202"/>
  <c r="AX397" i="202"/>
  <c r="AX398" i="202"/>
  <c r="AX399" i="202"/>
  <c r="AX400" i="202"/>
  <c r="AX401" i="202"/>
  <c r="AX402" i="202"/>
  <c r="AX403" i="202"/>
  <c r="AX404" i="202"/>
  <c r="AX405" i="202"/>
  <c r="AX406" i="202"/>
  <c r="AX407" i="202"/>
  <c r="AX408" i="202"/>
  <c r="AX409" i="202"/>
  <c r="AX410" i="202"/>
  <c r="AX411" i="202"/>
  <c r="AX412" i="202"/>
  <c r="AX413" i="202"/>
  <c r="AX414" i="202"/>
  <c r="AX415" i="202"/>
  <c r="AX416" i="202"/>
  <c r="AX417" i="202"/>
  <c r="AX418" i="202"/>
  <c r="AX419" i="202"/>
  <c r="AX420" i="202"/>
  <c r="AX421" i="202"/>
  <c r="AX422" i="202"/>
  <c r="AX423" i="202"/>
  <c r="AX424" i="202"/>
  <c r="AX425" i="202"/>
  <c r="AX426" i="202"/>
  <c r="AX427" i="202"/>
  <c r="AX428" i="202"/>
  <c r="AX429" i="202"/>
  <c r="AX430" i="202"/>
  <c r="AX431" i="202"/>
  <c r="AX432" i="202"/>
  <c r="AX433" i="202"/>
  <c r="AX434" i="202"/>
  <c r="AX435" i="202"/>
  <c r="AX436" i="202"/>
  <c r="AX437" i="202"/>
  <c r="AX438" i="202"/>
  <c r="AX439" i="202"/>
  <c r="AX440" i="202"/>
  <c r="AX441" i="202"/>
  <c r="AX442" i="202"/>
  <c r="AX443" i="202"/>
  <c r="AX444" i="202"/>
  <c r="AX445" i="202"/>
  <c r="AX446" i="202"/>
  <c r="AX447" i="202"/>
  <c r="AX448" i="202"/>
  <c r="AX449" i="202"/>
  <c r="AX450" i="202"/>
  <c r="AX451" i="202"/>
  <c r="AX452" i="202"/>
  <c r="AX453" i="202"/>
  <c r="AX454" i="202"/>
  <c r="AX455" i="202"/>
  <c r="AX456" i="202"/>
  <c r="AX457" i="202"/>
  <c r="AX458" i="202"/>
  <c r="AX459" i="202"/>
  <c r="AX460" i="202"/>
  <c r="AX461" i="202"/>
  <c r="AX462" i="202"/>
  <c r="AX463" i="202"/>
  <c r="AX464" i="202"/>
  <c r="AX465" i="202"/>
  <c r="AX466" i="202"/>
  <c r="AX467" i="202"/>
  <c r="AX468" i="202"/>
  <c r="AX469" i="202"/>
  <c r="AX470" i="202"/>
  <c r="AX471" i="202"/>
  <c r="AX472" i="202"/>
  <c r="AX473" i="202"/>
  <c r="AX474" i="202"/>
  <c r="AX475" i="202"/>
  <c r="AX476" i="202"/>
  <c r="AX477" i="202"/>
  <c r="AX478" i="202"/>
  <c r="AX479" i="202"/>
  <c r="AX480" i="202"/>
  <c r="AX481" i="202"/>
  <c r="AX482" i="202"/>
  <c r="AX483" i="202"/>
  <c r="AX484" i="202"/>
  <c r="AX485" i="202"/>
  <c r="AX486" i="202"/>
  <c r="AX487" i="202"/>
  <c r="AX488" i="202"/>
  <c r="AX489" i="202"/>
  <c r="AX490" i="202"/>
  <c r="AX491" i="202"/>
  <c r="AX492" i="202"/>
  <c r="AX493" i="202"/>
  <c r="AX494" i="202"/>
  <c r="AX495" i="202"/>
  <c r="AX496" i="202"/>
  <c r="AX497" i="202"/>
  <c r="AX498" i="202"/>
  <c r="AX499" i="202"/>
  <c r="AX500" i="202"/>
  <c r="AX501" i="202"/>
  <c r="AX502" i="202"/>
  <c r="AX503" i="202"/>
  <c r="AX504" i="202"/>
  <c r="AX505" i="202"/>
  <c r="AX506" i="202"/>
  <c r="AX507" i="202"/>
  <c r="AX508" i="202"/>
  <c r="AX509" i="202"/>
  <c r="AX510" i="202"/>
  <c r="AX511" i="202"/>
  <c r="AX512" i="202"/>
  <c r="AX513" i="202"/>
  <c r="AX514" i="202"/>
  <c r="AX515" i="202"/>
  <c r="AX516" i="202"/>
  <c r="AX517" i="202"/>
  <c r="AX518" i="202"/>
  <c r="AX519" i="202"/>
  <c r="AX520" i="202"/>
  <c r="AX521" i="202"/>
  <c r="AX522" i="202"/>
  <c r="AX523" i="202"/>
  <c r="AX524" i="202"/>
  <c r="AX525" i="202"/>
  <c r="AX526" i="202"/>
  <c r="AX527" i="202"/>
  <c r="AX528" i="202"/>
  <c r="AX529" i="202"/>
  <c r="AX530" i="202"/>
  <c r="AX531" i="202"/>
  <c r="AX532" i="202"/>
  <c r="AX533" i="202"/>
  <c r="AX534" i="202"/>
  <c r="AX535" i="202"/>
  <c r="AX536" i="202"/>
  <c r="AX537" i="202"/>
  <c r="AX538" i="202"/>
  <c r="AX539" i="202"/>
  <c r="AX540" i="202"/>
  <c r="AX541" i="202"/>
  <c r="AX542" i="202"/>
  <c r="AX543" i="202"/>
  <c r="AX544" i="202"/>
  <c r="AX545" i="202"/>
  <c r="AX546" i="202"/>
  <c r="AX547" i="202"/>
  <c r="AX548" i="202"/>
  <c r="AX549" i="202"/>
  <c r="AX550" i="202"/>
  <c r="AX551" i="202"/>
  <c r="AX552" i="202"/>
  <c r="AX553" i="202"/>
  <c r="AX554" i="202"/>
  <c r="AX555" i="202"/>
  <c r="AX556" i="202"/>
  <c r="AX557" i="202"/>
  <c r="AX558" i="202"/>
  <c r="AX559" i="202"/>
  <c r="AX560" i="202"/>
  <c r="AX561" i="202"/>
  <c r="AX562" i="202"/>
  <c r="AX563" i="202"/>
  <c r="AX564" i="202"/>
  <c r="AX565" i="202"/>
  <c r="AX566" i="202"/>
  <c r="AX567" i="202"/>
  <c r="AX568" i="202"/>
  <c r="AX569" i="202"/>
  <c r="AX570" i="202"/>
  <c r="AX571" i="202"/>
  <c r="AX572" i="202"/>
  <c r="AX573" i="202"/>
  <c r="AX574" i="202"/>
  <c r="AX575" i="202"/>
  <c r="AX576" i="202"/>
  <c r="AX577" i="202"/>
  <c r="AX578" i="202"/>
  <c r="AX579" i="202"/>
  <c r="AX580" i="202"/>
  <c r="AX581" i="202"/>
  <c r="AX582" i="202"/>
  <c r="AX583" i="202"/>
  <c r="AX584" i="202"/>
  <c r="AX585" i="202"/>
  <c r="AX586" i="202"/>
  <c r="AX587" i="202"/>
  <c r="AX588" i="202"/>
  <c r="AX589" i="202"/>
  <c r="AX590" i="202"/>
  <c r="AX591" i="202"/>
  <c r="AX592" i="202"/>
  <c r="AX593" i="202"/>
  <c r="AX594" i="202"/>
  <c r="AX595" i="202"/>
  <c r="AX596" i="202"/>
  <c r="AX597" i="202"/>
  <c r="AX598" i="202"/>
  <c r="AX599" i="202"/>
  <c r="AX600" i="202"/>
  <c r="AX601" i="202"/>
  <c r="AX602" i="202"/>
  <c r="AX603" i="202"/>
  <c r="AX604" i="202"/>
  <c r="AX605" i="202"/>
  <c r="AX606" i="202"/>
  <c r="AX607" i="202"/>
  <c r="AX608" i="202"/>
  <c r="AX609" i="202"/>
  <c r="AX610" i="202"/>
  <c r="AX611" i="202"/>
  <c r="AX612" i="202"/>
  <c r="AX613" i="202"/>
  <c r="AX614" i="202"/>
  <c r="AX615" i="202"/>
  <c r="AX616" i="202"/>
  <c r="AX617" i="202"/>
  <c r="AX618" i="202"/>
  <c r="AX619" i="202"/>
  <c r="AX620" i="202"/>
  <c r="AX621" i="202"/>
  <c r="AX622" i="202"/>
  <c r="AX623" i="202"/>
  <c r="AX624" i="202"/>
  <c r="AX625" i="202"/>
  <c r="AX626" i="202"/>
  <c r="AX627" i="202"/>
  <c r="AX628" i="202"/>
  <c r="AX629" i="202"/>
  <c r="AX630" i="202"/>
  <c r="AX631" i="202"/>
  <c r="AX632" i="202"/>
  <c r="AX633" i="202"/>
  <c r="AX634" i="202"/>
  <c r="AX635" i="202"/>
  <c r="AX636" i="202"/>
  <c r="AX637" i="202"/>
  <c r="AX638" i="202"/>
  <c r="AX639" i="202"/>
  <c r="AX640" i="202"/>
  <c r="AX641" i="202"/>
  <c r="AX642" i="202"/>
  <c r="AX643" i="202"/>
  <c r="AX644" i="202"/>
  <c r="AX645" i="202"/>
  <c r="AX646" i="202"/>
  <c r="AX647" i="202"/>
  <c r="AX648" i="202"/>
  <c r="AX649" i="202"/>
  <c r="AX650" i="202"/>
  <c r="AX651" i="202"/>
  <c r="AX652" i="202"/>
  <c r="AX653" i="202"/>
  <c r="AX654" i="202"/>
  <c r="AX655" i="202"/>
  <c r="AX656" i="202"/>
  <c r="AX657" i="202"/>
  <c r="AX658" i="202"/>
  <c r="AX659" i="202"/>
  <c r="AX660" i="202"/>
  <c r="AX661" i="202"/>
  <c r="AX662" i="202"/>
  <c r="AX663" i="202"/>
  <c r="AX664" i="202"/>
  <c r="AX665" i="202"/>
  <c r="AX666" i="202"/>
  <c r="AX667" i="202"/>
  <c r="AX668" i="202"/>
  <c r="AX669" i="202"/>
  <c r="AX670" i="202"/>
  <c r="AX671" i="202"/>
  <c r="AX672" i="202"/>
  <c r="AX673" i="202"/>
  <c r="AX674" i="202"/>
  <c r="AX675" i="202"/>
  <c r="AX676" i="202"/>
  <c r="AX677" i="202"/>
  <c r="AX678" i="202"/>
  <c r="AX679" i="202"/>
  <c r="AX680" i="202"/>
  <c r="AX681" i="202"/>
  <c r="AX682" i="202"/>
  <c r="AX683" i="202"/>
  <c r="AX684" i="202"/>
  <c r="AX685" i="202"/>
  <c r="AX686" i="202"/>
  <c r="AX687" i="202"/>
  <c r="AX688" i="202"/>
  <c r="AX689" i="202"/>
  <c r="AX690" i="202"/>
  <c r="AX691" i="202"/>
  <c r="AX692" i="202"/>
  <c r="AX693" i="202"/>
  <c r="AX694" i="202"/>
  <c r="AX695" i="202"/>
  <c r="AX696" i="202"/>
  <c r="AX697" i="202"/>
  <c r="AX698" i="202"/>
  <c r="AX699" i="202"/>
  <c r="AX700" i="202"/>
  <c r="AX701" i="202"/>
  <c r="AX702" i="202"/>
  <c r="AX703" i="202"/>
  <c r="AX704" i="202"/>
  <c r="AX705" i="202"/>
  <c r="AX706" i="202"/>
  <c r="AX707" i="202"/>
  <c r="AX708" i="202"/>
  <c r="AX709" i="202"/>
  <c r="AX710" i="202"/>
  <c r="AX711" i="202"/>
  <c r="AX712" i="202"/>
  <c r="AX713" i="202"/>
  <c r="AX714" i="202"/>
  <c r="AX715" i="202"/>
  <c r="AX716" i="202"/>
  <c r="AX717" i="202"/>
  <c r="AX718" i="202"/>
  <c r="AX719" i="202"/>
  <c r="AX720" i="202"/>
  <c r="AX721" i="202"/>
  <c r="AX722" i="202"/>
  <c r="AX723" i="202"/>
  <c r="AX724" i="202"/>
  <c r="AX725" i="202"/>
  <c r="AX726" i="202"/>
  <c r="AX727" i="202"/>
  <c r="AX728" i="202"/>
  <c r="AX729" i="202"/>
  <c r="AX730" i="202"/>
  <c r="AX731" i="202"/>
  <c r="AX732" i="202"/>
  <c r="AX733" i="202"/>
  <c r="AX734" i="202"/>
  <c r="AX735" i="202"/>
  <c r="AX736" i="202"/>
  <c r="AX737" i="202"/>
  <c r="AX738" i="202"/>
  <c r="AX739" i="202"/>
  <c r="AX740" i="202"/>
  <c r="AX741" i="202"/>
  <c r="AX742" i="202"/>
  <c r="AX743" i="202"/>
  <c r="AX744" i="202"/>
  <c r="AX745" i="202"/>
  <c r="AX746" i="202"/>
  <c r="AX747" i="202"/>
  <c r="AX748" i="202"/>
  <c r="AX749" i="202"/>
  <c r="AX750" i="202"/>
  <c r="AX751" i="202"/>
  <c r="AX752" i="202"/>
  <c r="AX753" i="202"/>
  <c r="AX754" i="202"/>
  <c r="AX755" i="202"/>
  <c r="AX756" i="202"/>
  <c r="AX757" i="202"/>
  <c r="AX758" i="202"/>
  <c r="AX759" i="202"/>
  <c r="AX760" i="202"/>
  <c r="AX761" i="202"/>
  <c r="AX762" i="202"/>
  <c r="AX763" i="202"/>
  <c r="AX764" i="202"/>
  <c r="AX765" i="202"/>
  <c r="AX766" i="202"/>
  <c r="AX767" i="202"/>
  <c r="AX768" i="202"/>
  <c r="AX769" i="202"/>
  <c r="AX770" i="202"/>
  <c r="AX771" i="202"/>
  <c r="AX772" i="202"/>
  <c r="AX773" i="202"/>
  <c r="AX774" i="202"/>
  <c r="AX775" i="202"/>
  <c r="AX776" i="202"/>
  <c r="AX777" i="202"/>
  <c r="AX778" i="202"/>
  <c r="AX779" i="202"/>
  <c r="AX780" i="202"/>
  <c r="AX781" i="202"/>
  <c r="AX782" i="202"/>
  <c r="AX783" i="202"/>
  <c r="AX784" i="202"/>
  <c r="AX785" i="202"/>
  <c r="AX786" i="202"/>
  <c r="AX787" i="202"/>
  <c r="AX788" i="202"/>
  <c r="AX789" i="202"/>
  <c r="AX790" i="202"/>
  <c r="AX791" i="202"/>
  <c r="AX792" i="202"/>
  <c r="AX793" i="202"/>
  <c r="AX794" i="202"/>
  <c r="AX795" i="202"/>
  <c r="AX796" i="202"/>
  <c r="AX797" i="202"/>
  <c r="AX798" i="202"/>
  <c r="AX799" i="202"/>
  <c r="AX800" i="202"/>
  <c r="AX801" i="202"/>
  <c r="AX802" i="202"/>
  <c r="AX803" i="202"/>
  <c r="AX804" i="202"/>
  <c r="AX805" i="202"/>
  <c r="AX806" i="202"/>
  <c r="AX807" i="202"/>
  <c r="AX808" i="202"/>
  <c r="AX809" i="202"/>
  <c r="AX810" i="202"/>
  <c r="AX811" i="202"/>
  <c r="AX812" i="202"/>
  <c r="AX813" i="202"/>
  <c r="AX814" i="202"/>
  <c r="AX815" i="202"/>
  <c r="AX816" i="202"/>
  <c r="AX817" i="202"/>
  <c r="AX818" i="202"/>
  <c r="AX819" i="202"/>
  <c r="AX820" i="202"/>
  <c r="AX821" i="202"/>
  <c r="AX822" i="202"/>
  <c r="AX823" i="202"/>
  <c r="AX824" i="202"/>
  <c r="AX825" i="202"/>
  <c r="AX826" i="202"/>
  <c r="AX827" i="202"/>
  <c r="AX828" i="202"/>
  <c r="AX829" i="202"/>
  <c r="AX830" i="202"/>
  <c r="AX831" i="202"/>
  <c r="AX832" i="202"/>
  <c r="AX833" i="202"/>
  <c r="AX834" i="202"/>
  <c r="AX835" i="202"/>
  <c r="AX836" i="202"/>
  <c r="AX837" i="202"/>
  <c r="AX838" i="202"/>
  <c r="AX839" i="202"/>
  <c r="AX840" i="202"/>
  <c r="AX841" i="202"/>
  <c r="AX842" i="202"/>
  <c r="AX843" i="202"/>
  <c r="AX844" i="202"/>
  <c r="AX845" i="202"/>
  <c r="AX846" i="202"/>
  <c r="AX847" i="202"/>
  <c r="AX848" i="202"/>
  <c r="AX849" i="202"/>
  <c r="AX850" i="202"/>
  <c r="AX851" i="202"/>
  <c r="AX852" i="202"/>
  <c r="AX853" i="202"/>
  <c r="AX854" i="202"/>
  <c r="AX855" i="202"/>
  <c r="AX856" i="202"/>
  <c r="AX857" i="202"/>
  <c r="AX858" i="202"/>
  <c r="AX859" i="202"/>
  <c r="AX860" i="202"/>
  <c r="AX861" i="202"/>
  <c r="AX862" i="202"/>
  <c r="AX863" i="202"/>
  <c r="AX864" i="202"/>
  <c r="AX865" i="202"/>
  <c r="AX866" i="202"/>
  <c r="AX867" i="202"/>
  <c r="AX868" i="202"/>
  <c r="AX869" i="202"/>
  <c r="AX870" i="202"/>
  <c r="AX871" i="202"/>
  <c r="AX872" i="202"/>
  <c r="AX873" i="202"/>
  <c r="AX874" i="202"/>
  <c r="AX875" i="202"/>
  <c r="AX876" i="202"/>
  <c r="AX877" i="202"/>
  <c r="AX878" i="202"/>
  <c r="AX879" i="202"/>
  <c r="AX880" i="202"/>
  <c r="AX881" i="202"/>
  <c r="AX882" i="202"/>
  <c r="AX883" i="202"/>
  <c r="AX884" i="202"/>
  <c r="AX885" i="202"/>
  <c r="AX886" i="202"/>
  <c r="AX887" i="202"/>
  <c r="AX888" i="202"/>
  <c r="AX889" i="202"/>
  <c r="AX890" i="202"/>
  <c r="AX891" i="202"/>
  <c r="AX892" i="202"/>
  <c r="AX893" i="202"/>
  <c r="AX894" i="202"/>
  <c r="AX895" i="202"/>
  <c r="AX896" i="202"/>
  <c r="AX897" i="202"/>
  <c r="AX898" i="202"/>
  <c r="AX899" i="202"/>
  <c r="AX900" i="202"/>
  <c r="AX901" i="202"/>
  <c r="AX902" i="202"/>
  <c r="AX903" i="202"/>
  <c r="AX904" i="202"/>
  <c r="AX905" i="202"/>
  <c r="AX906" i="202"/>
  <c r="AX907" i="202"/>
  <c r="AX908" i="202"/>
  <c r="AX909" i="202"/>
  <c r="AX910" i="202"/>
  <c r="AX911" i="202"/>
  <c r="AX912" i="202"/>
  <c r="AX913" i="202"/>
  <c r="AX914" i="202"/>
  <c r="AX915" i="202"/>
  <c r="AX916" i="202"/>
  <c r="AX917" i="202"/>
  <c r="AX918" i="202"/>
  <c r="AX919" i="202"/>
  <c r="AX920" i="202"/>
  <c r="AX921" i="202"/>
  <c r="AX922" i="202"/>
  <c r="AX923" i="202"/>
  <c r="AX924" i="202"/>
  <c r="AX925" i="202"/>
  <c r="AX926" i="202"/>
  <c r="AX927" i="202"/>
  <c r="AX928" i="202"/>
  <c r="AX929" i="202"/>
  <c r="AX930" i="202"/>
  <c r="AX931" i="202"/>
  <c r="AX932" i="202"/>
  <c r="AX933" i="202"/>
  <c r="AX934" i="202"/>
  <c r="AX935" i="202"/>
  <c r="AX936" i="202"/>
  <c r="AX937" i="202"/>
  <c r="AX938" i="202"/>
  <c r="AX939" i="202"/>
  <c r="AX940" i="202"/>
  <c r="AX941" i="202"/>
  <c r="AX942" i="202"/>
  <c r="AX943" i="202"/>
  <c r="AX944" i="202"/>
  <c r="AX945" i="202"/>
  <c r="AX946" i="202"/>
  <c r="AX947" i="202"/>
  <c r="AX948" i="202"/>
  <c r="AX949" i="202"/>
  <c r="AX950" i="202"/>
  <c r="AX951" i="202"/>
  <c r="AX952" i="202"/>
  <c r="AX953" i="202"/>
  <c r="AX954" i="202"/>
  <c r="AX955" i="202"/>
  <c r="AX956" i="202"/>
  <c r="AX957" i="202"/>
  <c r="AX958" i="202"/>
  <c r="AX959" i="202"/>
  <c r="AX960" i="202"/>
  <c r="AX961" i="202"/>
  <c r="AX962" i="202"/>
  <c r="AX963" i="202"/>
  <c r="AX964" i="202"/>
  <c r="AX965" i="202"/>
  <c r="AX966" i="202"/>
  <c r="AX967" i="202"/>
  <c r="AX968" i="202"/>
  <c r="AX969" i="202"/>
  <c r="AX970" i="202"/>
  <c r="AX971" i="202"/>
  <c r="AX972" i="202"/>
  <c r="AX973" i="202"/>
  <c r="AX974" i="202"/>
  <c r="AX975" i="202"/>
  <c r="AX976" i="202"/>
  <c r="AX977" i="202"/>
  <c r="AX978" i="202"/>
  <c r="AX979" i="202"/>
  <c r="AX980" i="202"/>
  <c r="AX981" i="202"/>
  <c r="AX982" i="202"/>
  <c r="AX983" i="202"/>
  <c r="AX984" i="202"/>
  <c r="AX985" i="202"/>
  <c r="AX986" i="202"/>
  <c r="AX987" i="202"/>
  <c r="AX988" i="202"/>
  <c r="AX989" i="202"/>
  <c r="AX990" i="202"/>
  <c r="AX991" i="202"/>
  <c r="AX992" i="202"/>
  <c r="AX993" i="202"/>
  <c r="AX994" i="202"/>
  <c r="AX995" i="202"/>
  <c r="AX996" i="202"/>
  <c r="AX997" i="202"/>
  <c r="AX998" i="202"/>
  <c r="AX999" i="202"/>
  <c r="AX1000" i="202"/>
  <c r="AX1001" i="202"/>
  <c r="AX1002" i="202"/>
  <c r="AX1003" i="202"/>
  <c r="AX1004" i="202"/>
  <c r="AX1005" i="202"/>
  <c r="AX1006" i="202"/>
  <c r="AX1007" i="202"/>
  <c r="AX1008" i="202"/>
  <c r="AX1009" i="202"/>
  <c r="AX1010" i="202"/>
  <c r="AX1011" i="202"/>
  <c r="AX1012" i="202"/>
  <c r="AX1013" i="202"/>
  <c r="AX1014" i="202"/>
  <c r="AX1015" i="202"/>
  <c r="AX1016" i="202"/>
  <c r="AX1017" i="202"/>
  <c r="AX1018" i="202"/>
  <c r="AX1019" i="202"/>
  <c r="AX1020" i="202"/>
  <c r="AX1021" i="202"/>
  <c r="AX1022" i="202"/>
  <c r="AX1023" i="202"/>
  <c r="AX1024" i="202"/>
  <c r="AX1025" i="202"/>
  <c r="AX1026" i="202"/>
  <c r="AX1027" i="202"/>
  <c r="AX1028" i="202"/>
  <c r="AX1029" i="202"/>
  <c r="AX1030" i="202"/>
  <c r="AX1031" i="202"/>
  <c r="AX1032" i="202"/>
  <c r="AX1033" i="202"/>
  <c r="AX1034" i="202"/>
  <c r="AX1035" i="202"/>
  <c r="AX1036" i="202"/>
  <c r="AX1037" i="202"/>
  <c r="AX1038" i="202"/>
  <c r="AX1039" i="202"/>
  <c r="AX1040" i="202"/>
  <c r="AX1041" i="202"/>
  <c r="AX1042" i="202"/>
  <c r="AX1043" i="202"/>
  <c r="AX1044" i="202"/>
  <c r="AX1045" i="202"/>
  <c r="AX1046" i="202"/>
  <c r="AX1047" i="202"/>
  <c r="AX1048" i="202"/>
  <c r="AX1049" i="202"/>
  <c r="AX1050" i="202"/>
  <c r="AX1051" i="202"/>
  <c r="AX1052" i="202"/>
  <c r="AX1053" i="202"/>
  <c r="AX1054" i="202"/>
  <c r="AX1055" i="202"/>
  <c r="AX1056" i="202"/>
  <c r="AX1057" i="202"/>
  <c r="AX1058" i="202"/>
  <c r="AX1059" i="202"/>
  <c r="AX1060" i="202"/>
  <c r="AX1061" i="202"/>
  <c r="AX1062" i="202"/>
  <c r="AX1063" i="202"/>
  <c r="AX1064" i="202"/>
  <c r="AX1065" i="202"/>
  <c r="AX1066" i="202"/>
  <c r="AX1067" i="202"/>
  <c r="AX1068" i="202"/>
  <c r="AX1069" i="202"/>
  <c r="AX1070" i="202"/>
  <c r="AX1071" i="202"/>
  <c r="AX1072" i="202"/>
  <c r="AX1073" i="202"/>
  <c r="AX1074" i="202"/>
  <c r="AX1075" i="202"/>
  <c r="AX1076" i="202"/>
  <c r="AX1077" i="202"/>
  <c r="AX1078" i="202"/>
  <c r="AX1079" i="202"/>
  <c r="AX1080" i="202"/>
  <c r="AX1081" i="202"/>
  <c r="AX1082" i="202"/>
  <c r="AX1083" i="202"/>
  <c r="AX1084" i="202"/>
  <c r="AX1085" i="202"/>
  <c r="AX1086" i="202"/>
  <c r="AX1087" i="202"/>
  <c r="AX1088" i="202"/>
  <c r="AX1089" i="202"/>
  <c r="AX1090" i="202"/>
  <c r="AX1091" i="202"/>
  <c r="AX1092" i="202"/>
  <c r="AX1093" i="202"/>
  <c r="AX1094" i="202"/>
  <c r="AX1095" i="202"/>
  <c r="AX1096" i="202"/>
  <c r="AX1097" i="202"/>
  <c r="AX1098" i="202"/>
  <c r="AX1099" i="202"/>
  <c r="AX1100" i="202"/>
  <c r="AX1101" i="202"/>
  <c r="AX1102" i="202"/>
  <c r="AX1103" i="202"/>
  <c r="AX1104" i="202"/>
  <c r="AX1105" i="202"/>
  <c r="AX1106" i="202"/>
  <c r="AX1107" i="202"/>
  <c r="AX1108" i="202"/>
  <c r="AX1109" i="202"/>
  <c r="AX1110" i="202"/>
  <c r="AX1111" i="202"/>
  <c r="AX1112" i="202"/>
  <c r="AX1113" i="202"/>
  <c r="AX1114" i="202"/>
  <c r="AX1115" i="202"/>
  <c r="AX1116" i="202"/>
  <c r="AX1117" i="202"/>
  <c r="AX1118" i="202"/>
  <c r="AX1119" i="202"/>
  <c r="AX1120" i="202"/>
  <c r="AX1121" i="202"/>
  <c r="AX1122" i="202"/>
  <c r="AX1123" i="202"/>
  <c r="AX1124" i="202"/>
  <c r="AX1125" i="202"/>
  <c r="AX1126" i="202"/>
  <c r="AX1127" i="202"/>
  <c r="AX1128" i="202"/>
  <c r="AX1129" i="202"/>
  <c r="AX1130" i="202"/>
  <c r="AX1131" i="202"/>
  <c r="AX1132" i="202"/>
  <c r="AX1133" i="202"/>
  <c r="AX1134" i="202"/>
  <c r="AX1135" i="202"/>
  <c r="AX1136" i="202"/>
  <c r="AX1137" i="202"/>
  <c r="AX1138" i="202"/>
  <c r="AX1139" i="202"/>
  <c r="AX1140" i="202"/>
  <c r="AX1141" i="202"/>
  <c r="AX1142" i="202"/>
  <c r="AX1143" i="202"/>
  <c r="AX1144" i="202"/>
  <c r="AX1145" i="202"/>
  <c r="AX1146" i="202"/>
  <c r="AX1147" i="202"/>
  <c r="AX1148" i="202"/>
  <c r="AX1149" i="202"/>
  <c r="AX1150" i="202"/>
  <c r="AX1151" i="202"/>
  <c r="AX1152" i="202"/>
  <c r="AX1153" i="202"/>
  <c r="AX1154" i="202"/>
  <c r="AX1155" i="202"/>
  <c r="AX1156" i="202"/>
  <c r="AX1157" i="202"/>
  <c r="AX1158" i="202"/>
  <c r="AX1159" i="202"/>
  <c r="AX1160" i="202"/>
  <c r="AX1161" i="202"/>
  <c r="AX1162" i="202"/>
  <c r="AX1163" i="202"/>
  <c r="AX1164" i="202"/>
  <c r="AX1165" i="202"/>
  <c r="AX1166" i="202"/>
  <c r="AX1167" i="202"/>
  <c r="AX1168" i="202"/>
  <c r="AX1169" i="202"/>
  <c r="AX1170" i="202"/>
  <c r="AX1171" i="202"/>
  <c r="AX1172" i="202"/>
  <c r="AX1173" i="202"/>
  <c r="AX1174" i="202"/>
  <c r="AX1175" i="202"/>
  <c r="AX1176" i="202"/>
  <c r="AX1177" i="202"/>
  <c r="AX1178" i="202"/>
  <c r="AX1179" i="202"/>
  <c r="AX1180" i="202"/>
  <c r="AX1181" i="202"/>
  <c r="AX1182" i="202"/>
  <c r="AX1183" i="202"/>
  <c r="AX1184" i="202"/>
  <c r="AX1185" i="202"/>
  <c r="AX1186" i="202"/>
  <c r="AX1187" i="202"/>
  <c r="AX1188" i="202"/>
  <c r="AX1189" i="202"/>
  <c r="AX1190" i="202"/>
  <c r="AX1191" i="202"/>
  <c r="AX1192" i="202"/>
  <c r="AX1193" i="202"/>
  <c r="AX1194" i="202"/>
  <c r="AX1195" i="202"/>
  <c r="AX1196" i="202"/>
  <c r="AX1197" i="202"/>
  <c r="AX1198" i="202"/>
  <c r="AX1199" i="202"/>
  <c r="AX1200" i="202"/>
  <c r="AX1201" i="202"/>
  <c r="AX1202" i="202"/>
  <c r="AX1203" i="202"/>
  <c r="AX1204" i="202"/>
  <c r="AX1205" i="202"/>
  <c r="AX1206" i="202"/>
  <c r="AX1207" i="202"/>
  <c r="AX1208" i="202"/>
  <c r="AX1209" i="202"/>
  <c r="AX1210" i="202"/>
  <c r="AX1211" i="202"/>
  <c r="AX1212" i="202"/>
  <c r="AX1213" i="202"/>
  <c r="AX1214" i="202"/>
  <c r="AX1215" i="202"/>
  <c r="AX1216" i="202"/>
  <c r="AX1217" i="202"/>
  <c r="AX1218" i="202"/>
  <c r="AX1219" i="202"/>
  <c r="AX1220" i="202"/>
  <c r="AX1221" i="202"/>
  <c r="AX1222" i="202"/>
  <c r="AX1223" i="202"/>
  <c r="AX1224" i="202"/>
  <c r="AX1225" i="202"/>
  <c r="AX1226" i="202"/>
  <c r="AX1227" i="202"/>
  <c r="AX1228" i="202"/>
  <c r="AX1229" i="202"/>
  <c r="AX1230" i="202"/>
  <c r="AX1231" i="202"/>
  <c r="AX1232" i="202"/>
  <c r="AX1233" i="202"/>
  <c r="AX1234" i="202"/>
  <c r="AX1235" i="202"/>
  <c r="AX1236" i="202"/>
  <c r="AX1237" i="202"/>
  <c r="AX1238" i="202"/>
  <c r="AX1239" i="202"/>
  <c r="AX1240" i="202"/>
  <c r="AX1241" i="202"/>
  <c r="AX1242" i="202"/>
  <c r="AX1243" i="202"/>
  <c r="AX1244" i="202"/>
  <c r="AX1245" i="202"/>
  <c r="AX1246" i="202"/>
  <c r="AX1247" i="202"/>
  <c r="AX1248" i="202"/>
  <c r="AX1249" i="202"/>
  <c r="AX1250" i="202"/>
  <c r="AX1251" i="202"/>
  <c r="AX1252" i="202"/>
  <c r="AX1253" i="202"/>
  <c r="AX1254" i="202"/>
  <c r="AX1255" i="202"/>
  <c r="AX1256" i="202"/>
  <c r="AX1257" i="202"/>
  <c r="AX1258" i="202"/>
  <c r="AX1259" i="202"/>
  <c r="AX1260" i="202"/>
  <c r="AX1261" i="202"/>
  <c r="AX1262" i="202"/>
  <c r="AX1263" i="202"/>
  <c r="AX1264" i="202"/>
  <c r="AX1265" i="202"/>
  <c r="AX1266" i="202"/>
  <c r="AX1267" i="202"/>
  <c r="AX1268" i="202"/>
  <c r="AX1269" i="202"/>
  <c r="AX1270" i="202"/>
  <c r="AX1271" i="202"/>
  <c r="AX1272" i="202"/>
  <c r="AX1273" i="202"/>
  <c r="AX1274" i="202"/>
  <c r="AX1275" i="202"/>
  <c r="AX1276" i="202"/>
  <c r="AX1277" i="202"/>
  <c r="AX1278" i="202"/>
  <c r="AX1279" i="202"/>
  <c r="AX1280" i="202"/>
  <c r="AX1281" i="202"/>
  <c r="AX1282" i="202"/>
  <c r="AX1283" i="202"/>
  <c r="AX1284" i="202"/>
  <c r="AX1285" i="202"/>
  <c r="AX1286" i="202"/>
  <c r="AX1287" i="202"/>
  <c r="AX1288" i="202"/>
  <c r="AX1289" i="202"/>
  <c r="AX1290" i="202"/>
  <c r="AX1291" i="202"/>
  <c r="AX1292" i="202"/>
  <c r="AX1293" i="202"/>
  <c r="AX1294" i="202"/>
  <c r="AX1295" i="202"/>
  <c r="AX1296" i="202"/>
  <c r="AX1297" i="202"/>
  <c r="AX1298" i="202"/>
  <c r="AX1299" i="202"/>
  <c r="AX1300" i="202"/>
  <c r="AX1301" i="202"/>
  <c r="AX1302" i="202"/>
  <c r="AX1303" i="202"/>
  <c r="AX1304" i="202"/>
  <c r="AX1305" i="202"/>
  <c r="AX1306" i="202"/>
  <c r="AX1307" i="202"/>
  <c r="AX1308" i="202"/>
  <c r="AX1309" i="202"/>
  <c r="AX1310" i="202"/>
  <c r="AX1311" i="202"/>
  <c r="AX1312" i="202"/>
  <c r="AX1313" i="202"/>
  <c r="AX1314" i="202"/>
  <c r="AX1315" i="202"/>
  <c r="AX1316" i="202"/>
  <c r="AX1317" i="202"/>
  <c r="AX1318" i="202"/>
  <c r="AX1319" i="202"/>
  <c r="AX1320" i="202"/>
  <c r="AX1321" i="202"/>
  <c r="AX1322" i="202"/>
  <c r="AX1323" i="202"/>
  <c r="AX1324" i="202"/>
  <c r="AX1325" i="202"/>
  <c r="AX1326" i="202"/>
  <c r="AX1327" i="202"/>
  <c r="AX1328" i="202"/>
  <c r="AX1329" i="202"/>
  <c r="AX1330" i="202"/>
  <c r="AX1331" i="202"/>
  <c r="AX1332" i="202"/>
  <c r="AX1333" i="202"/>
  <c r="AX1334" i="202"/>
  <c r="AX1335" i="202"/>
  <c r="AX1336" i="202"/>
  <c r="AX1337" i="202"/>
  <c r="AX1338" i="202"/>
  <c r="AX1339" i="202"/>
  <c r="AX1340" i="202"/>
  <c r="AX1341" i="202"/>
  <c r="AX1342" i="202"/>
  <c r="AX1343" i="202"/>
  <c r="AX1344" i="202"/>
  <c r="AX1345" i="202"/>
  <c r="AX1346" i="202"/>
  <c r="AX1347" i="202"/>
  <c r="AX1348" i="202"/>
  <c r="AX1349" i="202"/>
  <c r="AX1350" i="202"/>
  <c r="AX1351" i="202"/>
  <c r="AX1352" i="202"/>
  <c r="AX1353" i="202"/>
  <c r="AX1354" i="202"/>
  <c r="AX1355" i="202"/>
  <c r="AX1356" i="202"/>
  <c r="AX1357" i="202"/>
  <c r="AX1358" i="202"/>
  <c r="AX1359" i="202"/>
  <c r="AX1360" i="202"/>
  <c r="AX1361" i="202"/>
  <c r="AX1362" i="202"/>
  <c r="AX1363" i="202"/>
  <c r="AX1364" i="202"/>
  <c r="AX1365" i="202"/>
  <c r="AX1366" i="202"/>
  <c r="AX1367" i="202"/>
  <c r="AX1368" i="202"/>
  <c r="AX1369" i="202"/>
  <c r="AX1370" i="202"/>
  <c r="AX1371" i="202"/>
  <c r="AX1372" i="202"/>
  <c r="AX1373" i="202"/>
  <c r="AX1374" i="202"/>
  <c r="AX1375" i="202"/>
  <c r="AX1376" i="202"/>
  <c r="AX1377" i="202"/>
  <c r="AX1378" i="202"/>
  <c r="AX1379" i="202"/>
  <c r="AX1380" i="202"/>
  <c r="AX1381" i="202"/>
  <c r="AX1382" i="202"/>
  <c r="AX1383" i="202"/>
  <c r="AX1384" i="202"/>
  <c r="AX1385" i="202"/>
  <c r="AX1386" i="202"/>
  <c r="AX1387" i="202"/>
  <c r="AX1388" i="202"/>
  <c r="AX1389" i="202"/>
  <c r="AX1390" i="202"/>
  <c r="AX1391" i="202"/>
  <c r="AX1392" i="202"/>
  <c r="AX1393" i="202"/>
  <c r="AX1394" i="202"/>
  <c r="AX1395" i="202"/>
  <c r="AX1396" i="202"/>
  <c r="AX1397" i="202"/>
  <c r="AX1398" i="202"/>
  <c r="AX1399" i="202"/>
  <c r="AX1400" i="202"/>
  <c r="AX1401" i="202"/>
  <c r="AX1402" i="202"/>
  <c r="AX1403" i="202"/>
  <c r="AX1404" i="202"/>
  <c r="AX1405" i="202"/>
  <c r="AX1406" i="202"/>
  <c r="AX1407" i="202"/>
  <c r="AX1408" i="202"/>
  <c r="AX1409" i="202"/>
  <c r="AX1410" i="202"/>
  <c r="AX1411" i="202"/>
  <c r="AX1412" i="202"/>
  <c r="AX1413" i="202"/>
  <c r="AX1414" i="202"/>
  <c r="AX1415" i="202"/>
  <c r="AX1416" i="202"/>
  <c r="AX1417" i="202"/>
  <c r="AX1418" i="202"/>
  <c r="AX1419" i="202"/>
  <c r="AX1420" i="202"/>
  <c r="AX1421" i="202"/>
  <c r="AX1422" i="202"/>
  <c r="AX1423" i="202"/>
  <c r="AX1424" i="202"/>
  <c r="AX1425" i="202"/>
  <c r="AX1426" i="202"/>
  <c r="AX1427" i="202"/>
  <c r="AX1428" i="202"/>
  <c r="AX1429" i="202"/>
  <c r="AX1430" i="202"/>
  <c r="AX1431" i="202"/>
  <c r="AX1432" i="202"/>
  <c r="AX1433" i="202"/>
  <c r="AX1434" i="202"/>
  <c r="AX1435" i="202"/>
  <c r="AX1436" i="202"/>
  <c r="AX1437" i="202"/>
  <c r="AX1438" i="202"/>
  <c r="AX1439" i="202"/>
  <c r="AX1440" i="202"/>
  <c r="AX1441" i="202"/>
  <c r="AX1442" i="202"/>
  <c r="AX1443" i="202"/>
  <c r="AX1444" i="202"/>
  <c r="AX1445" i="202"/>
  <c r="AX1446" i="202"/>
  <c r="AX1447" i="202"/>
  <c r="AX1448" i="202"/>
  <c r="AX1449" i="202"/>
  <c r="AX1450" i="202"/>
  <c r="AX1451" i="202"/>
  <c r="AX1452" i="202"/>
  <c r="AX1453" i="202"/>
  <c r="AX1454" i="202"/>
  <c r="AX1455" i="202"/>
  <c r="AX1456" i="202"/>
  <c r="AX1457" i="202"/>
  <c r="AX1458" i="202"/>
  <c r="AX1459" i="202"/>
  <c r="AX1460" i="202"/>
  <c r="AX1461" i="202"/>
  <c r="AX1462" i="202"/>
  <c r="AX1463" i="202"/>
  <c r="AX1464" i="202"/>
  <c r="AX1465" i="202"/>
  <c r="AX1466" i="202"/>
  <c r="AX1467" i="202"/>
  <c r="AX1468" i="202"/>
  <c r="AX1469" i="202"/>
  <c r="AX1470" i="202"/>
  <c r="AX1471" i="202"/>
  <c r="AX1472" i="202"/>
  <c r="AX1473" i="202"/>
  <c r="AX1474" i="202"/>
  <c r="AX1475" i="202"/>
  <c r="AX1476" i="202"/>
  <c r="AX1477" i="202"/>
  <c r="AX1478" i="202"/>
  <c r="AX1479" i="202"/>
  <c r="AX1480" i="202"/>
  <c r="AX1481" i="202"/>
  <c r="AX1482" i="202"/>
  <c r="AX1483" i="202"/>
  <c r="AX1484" i="202"/>
  <c r="AX1485" i="202"/>
  <c r="AX1486" i="202"/>
  <c r="AX1487" i="202"/>
  <c r="AX1488" i="202"/>
  <c r="AX1489" i="202"/>
  <c r="AX1490" i="202"/>
  <c r="AX1491" i="202"/>
  <c r="AX1492" i="202"/>
  <c r="AX1493" i="202"/>
  <c r="AX1494" i="202"/>
  <c r="AX1495" i="202"/>
  <c r="AX1496" i="202"/>
  <c r="AX1497" i="202"/>
  <c r="AX1498" i="202"/>
  <c r="AX1499" i="202"/>
  <c r="AX1500" i="202"/>
  <c r="AX1501" i="202"/>
  <c r="AX1502" i="202"/>
  <c r="AX1503" i="202"/>
  <c r="AX1504" i="202"/>
  <c r="AX1505" i="202"/>
  <c r="AX1506" i="202"/>
  <c r="AX1507" i="202"/>
  <c r="AX1508" i="202"/>
  <c r="AX1509" i="202"/>
  <c r="AX1510" i="202"/>
  <c r="AX1511" i="202"/>
  <c r="AX1512" i="202"/>
  <c r="AX1513" i="202"/>
  <c r="AX1514" i="202"/>
  <c r="AX1515" i="202"/>
  <c r="AX1516" i="202"/>
  <c r="AX1517" i="202"/>
  <c r="AX1518" i="202"/>
  <c r="AX1519" i="202"/>
  <c r="AX1520" i="202"/>
  <c r="AX1521" i="202"/>
  <c r="AX1522" i="202"/>
  <c r="AX1523" i="202"/>
  <c r="AX1524" i="202"/>
  <c r="AX1525" i="202"/>
  <c r="AX1526" i="202"/>
  <c r="AX1527" i="202"/>
  <c r="AX1528" i="202"/>
  <c r="AX1529" i="202"/>
  <c r="AX1530" i="202"/>
  <c r="AX1531" i="202"/>
  <c r="AX1532" i="202"/>
  <c r="AX1533" i="202"/>
  <c r="AX1534" i="202"/>
  <c r="AX1535" i="202"/>
  <c r="AX1536" i="202"/>
  <c r="AX1537" i="202"/>
  <c r="AX1538" i="202"/>
  <c r="AX1539" i="202"/>
  <c r="AX1540" i="202"/>
  <c r="AX1541" i="202"/>
  <c r="AX1542" i="202"/>
  <c r="AX1543" i="202"/>
  <c r="AX1544" i="202"/>
  <c r="AX1545" i="202"/>
  <c r="AX1546" i="202"/>
  <c r="AX1547" i="202"/>
  <c r="AX1548" i="202"/>
  <c r="AX1549" i="202"/>
  <c r="AX1550" i="202"/>
  <c r="AX1551" i="202"/>
  <c r="AX1552" i="202"/>
  <c r="AX1553" i="202"/>
  <c r="AX1554" i="202"/>
  <c r="AX1555" i="202"/>
  <c r="AX1556" i="202"/>
  <c r="AX1557" i="202"/>
  <c r="AX1558" i="202"/>
  <c r="AX1559" i="202"/>
  <c r="AX1560" i="202"/>
  <c r="AX1561" i="202"/>
  <c r="AX1562" i="202"/>
  <c r="AX1563" i="202"/>
  <c r="AX1564" i="202"/>
  <c r="AX1565" i="202"/>
  <c r="AX1566" i="202"/>
  <c r="AX1567" i="202"/>
  <c r="AX1568" i="202"/>
  <c r="AX1569" i="202"/>
  <c r="AX1570" i="202"/>
  <c r="AX1571" i="202"/>
  <c r="AX1572" i="202"/>
  <c r="AX1573" i="202"/>
  <c r="AX1574" i="202"/>
  <c r="AX1575" i="202"/>
  <c r="AX1576" i="202"/>
  <c r="AX1577" i="202"/>
  <c r="AX1578" i="202"/>
  <c r="AX1579" i="202"/>
  <c r="AX1580" i="202"/>
  <c r="AX1581" i="202"/>
  <c r="AX1582" i="202"/>
  <c r="AX1583" i="202"/>
  <c r="AX1584" i="202"/>
  <c r="AX1585" i="202"/>
  <c r="AX1586" i="202"/>
  <c r="AX1587" i="202"/>
  <c r="AX1588" i="202"/>
  <c r="AX1589" i="202"/>
  <c r="AX1590" i="202"/>
  <c r="AX1591" i="202"/>
  <c r="AX1592" i="202"/>
  <c r="AX1593" i="202"/>
  <c r="AX1594" i="202"/>
  <c r="AX1595" i="202"/>
  <c r="AX1596" i="202"/>
  <c r="AX1597" i="202"/>
  <c r="AX1598" i="202"/>
  <c r="AX1599" i="202"/>
  <c r="AX1600" i="202"/>
  <c r="AX1601" i="202"/>
  <c r="AX1602" i="202"/>
  <c r="AX1603" i="202"/>
  <c r="AX1604" i="202"/>
  <c r="AX1605" i="202"/>
  <c r="AX1606" i="202"/>
  <c r="AX1607" i="202"/>
  <c r="AX1608" i="202"/>
  <c r="AX1609" i="202"/>
  <c r="AX1610" i="202"/>
  <c r="AX1611" i="202"/>
  <c r="AX1612" i="202"/>
  <c r="AX1613" i="202"/>
  <c r="AX1614" i="202"/>
  <c r="AX1615" i="202"/>
  <c r="AX1616" i="202"/>
  <c r="AX1617" i="202"/>
  <c r="AX1618" i="202"/>
  <c r="AX1619" i="202"/>
  <c r="AX1620" i="202"/>
  <c r="AX1621" i="202"/>
  <c r="AX1622" i="202"/>
  <c r="AX1623" i="202"/>
  <c r="AX1624" i="202"/>
  <c r="AX1625" i="202"/>
  <c r="AX1626" i="202"/>
  <c r="AX1627" i="202"/>
  <c r="AX1628" i="202"/>
  <c r="AX1629" i="202"/>
  <c r="AX1630" i="202"/>
  <c r="AX1631" i="202"/>
  <c r="AX1632" i="202"/>
  <c r="AX1633" i="202"/>
  <c r="AX1634" i="202"/>
  <c r="AX1635" i="202"/>
  <c r="AX1636" i="202"/>
  <c r="AX1637" i="202"/>
  <c r="AX1638" i="202"/>
  <c r="AX1639" i="202"/>
  <c r="AX1640" i="202"/>
  <c r="AX1641" i="202"/>
  <c r="AX1642" i="202"/>
  <c r="AX1643" i="202"/>
  <c r="AX1644" i="202"/>
  <c r="AX1645" i="202"/>
  <c r="AX1646" i="202"/>
  <c r="AX1647" i="202"/>
  <c r="AX1648" i="202"/>
  <c r="AX1649" i="202"/>
  <c r="AX1650" i="202"/>
  <c r="AX1651" i="202"/>
  <c r="AX1652" i="202"/>
  <c r="AX1653" i="202"/>
  <c r="AX1654" i="202"/>
  <c r="AX1655" i="202"/>
  <c r="AX1656" i="202"/>
  <c r="AX1657" i="202"/>
  <c r="AX1658" i="202"/>
  <c r="AX1659" i="202"/>
  <c r="AX1660" i="202"/>
  <c r="AX1661" i="202"/>
  <c r="AX1662" i="202"/>
  <c r="AX1663" i="202"/>
  <c r="AX1664" i="202"/>
  <c r="AX1665" i="202"/>
  <c r="AX1666" i="202"/>
  <c r="AX1667" i="202"/>
  <c r="AX1668" i="202"/>
  <c r="AX1669" i="202"/>
  <c r="AX1670" i="202"/>
  <c r="AX1671" i="202"/>
  <c r="AX1672" i="202"/>
  <c r="AX1673" i="202"/>
  <c r="AX1674" i="202"/>
  <c r="AX1675" i="202"/>
  <c r="AX1676" i="202"/>
  <c r="AX1677" i="202"/>
  <c r="AX1678" i="202"/>
  <c r="AX1679" i="202"/>
  <c r="AX1680" i="202"/>
  <c r="AX1681" i="202"/>
  <c r="AX1682" i="202"/>
  <c r="AX1683" i="202"/>
  <c r="AX1684" i="202"/>
  <c r="AX1685" i="202"/>
  <c r="AX1686" i="202"/>
  <c r="AX1687" i="202"/>
  <c r="AX1688" i="202"/>
  <c r="AX1689" i="202"/>
  <c r="AX1690" i="202"/>
  <c r="AX1691" i="202"/>
  <c r="AX1692" i="202"/>
  <c r="AX1693" i="202"/>
  <c r="AX1694" i="202"/>
  <c r="AX1695" i="202"/>
  <c r="AX1696" i="202"/>
  <c r="AX1697" i="202"/>
  <c r="AX1698" i="202"/>
  <c r="AX1699" i="202"/>
  <c r="AX1700" i="202"/>
  <c r="AX1701" i="202"/>
  <c r="AX1702" i="202"/>
  <c r="AX1703" i="202"/>
  <c r="AX1704" i="202"/>
  <c r="AX1705" i="202"/>
  <c r="AX1706" i="202"/>
  <c r="AX1707" i="202"/>
  <c r="AX1708" i="202"/>
  <c r="AX1709" i="202"/>
  <c r="AX1710" i="202"/>
  <c r="AX1711" i="202"/>
  <c r="AX1712" i="202"/>
  <c r="AX1713" i="202"/>
  <c r="AX1714" i="202"/>
  <c r="AX1715" i="202"/>
  <c r="AX1716" i="202"/>
  <c r="AX1717" i="202"/>
  <c r="AX1718" i="202"/>
  <c r="AX1719" i="202"/>
  <c r="AX1720" i="202"/>
  <c r="AX1721" i="202"/>
  <c r="AX1722" i="202"/>
  <c r="AX1723" i="202"/>
  <c r="AX1724" i="202"/>
  <c r="AX1725" i="202"/>
  <c r="AX1726" i="202"/>
  <c r="AX1727" i="202"/>
  <c r="AX1728" i="202"/>
  <c r="AX1729" i="202"/>
  <c r="AX1730" i="202"/>
  <c r="AX1731" i="202"/>
  <c r="AX1732" i="202"/>
  <c r="AX1733" i="202"/>
  <c r="AX1734" i="202"/>
  <c r="AX1735" i="202"/>
  <c r="AX1736" i="202"/>
  <c r="AX1737" i="202"/>
  <c r="AX1738" i="202"/>
  <c r="AX1739" i="202"/>
  <c r="AX1740" i="202"/>
  <c r="AX1741" i="202"/>
  <c r="AX1742" i="202"/>
  <c r="AX1743" i="202"/>
  <c r="AX1744" i="202"/>
  <c r="AX1745" i="202"/>
  <c r="AX1746" i="202"/>
  <c r="AX1747" i="202"/>
  <c r="AX1748" i="202"/>
  <c r="AX1749" i="202"/>
  <c r="AX1750" i="202"/>
  <c r="AX1751" i="202"/>
  <c r="AX1752" i="202"/>
  <c r="AX1753" i="202"/>
  <c r="AX1754" i="202"/>
  <c r="AX1755" i="202"/>
  <c r="AX1756" i="202"/>
  <c r="AX1757" i="202"/>
  <c r="AX1758" i="202"/>
  <c r="AX1759" i="202"/>
  <c r="AX1760" i="202"/>
  <c r="AX1761" i="202"/>
  <c r="AX1762" i="202"/>
  <c r="AX1763" i="202"/>
  <c r="AX1764" i="202"/>
  <c r="AX1765" i="202"/>
  <c r="AX1766" i="202"/>
  <c r="AX1767" i="202"/>
  <c r="AX1768" i="202"/>
  <c r="AX1769" i="202"/>
  <c r="AX1770" i="202"/>
  <c r="AX1771" i="202"/>
  <c r="AX1772" i="202"/>
  <c r="AX1773" i="202"/>
  <c r="AX1774" i="202"/>
  <c r="AX1775" i="202"/>
  <c r="AX1776" i="202"/>
  <c r="AX1777" i="202"/>
  <c r="AX1778" i="202"/>
  <c r="AX1779" i="202"/>
  <c r="AX1780" i="202"/>
  <c r="AX1781" i="202"/>
  <c r="AX1782" i="202"/>
  <c r="AX1783" i="202"/>
  <c r="AX1784" i="202"/>
  <c r="AX1785" i="202"/>
  <c r="AX1786" i="202"/>
  <c r="AX1787" i="202"/>
  <c r="AX1788" i="202"/>
  <c r="AX1789" i="202"/>
  <c r="AX1790" i="202"/>
  <c r="AX1791" i="202"/>
  <c r="AX1792" i="202"/>
  <c r="AX1793" i="202"/>
  <c r="AX1794" i="202"/>
  <c r="AX1795" i="202"/>
  <c r="AX1796" i="202"/>
  <c r="AX1797" i="202"/>
  <c r="AX1798" i="202"/>
  <c r="AX1799" i="202"/>
  <c r="AX1800" i="202"/>
  <c r="AX1801" i="202"/>
  <c r="AX1802" i="202"/>
  <c r="AX1803" i="202"/>
  <c r="AX1804" i="202"/>
  <c r="AX1805" i="202"/>
  <c r="AX1806" i="202"/>
  <c r="AX1807" i="202"/>
  <c r="AX1808" i="202"/>
  <c r="AX1809" i="202"/>
  <c r="AX1810" i="202"/>
  <c r="AX1811" i="202"/>
  <c r="AX1812" i="202"/>
  <c r="AX1813" i="202"/>
  <c r="AX1814" i="202"/>
  <c r="AX1815" i="202"/>
  <c r="AX1816" i="202"/>
  <c r="AX1817" i="202"/>
  <c r="AX1818" i="202"/>
  <c r="AX1819" i="202"/>
  <c r="AX1820" i="202"/>
  <c r="AX1821" i="202"/>
  <c r="AX1822" i="202"/>
  <c r="AX1823" i="202"/>
  <c r="AX1824" i="202"/>
  <c r="AX1825" i="202"/>
  <c r="AX1826" i="202"/>
  <c r="AX1827" i="202"/>
  <c r="AX1828" i="202"/>
  <c r="AX1829" i="202"/>
  <c r="AX1830" i="202"/>
  <c r="AX1831" i="202"/>
  <c r="AX1832" i="202"/>
  <c r="AX1833" i="202"/>
  <c r="AX1834" i="202"/>
  <c r="AX1835" i="202"/>
  <c r="AX1836" i="202"/>
  <c r="AX1837" i="202"/>
  <c r="AX1838" i="202"/>
  <c r="AX1839" i="202"/>
  <c r="AX1840" i="202"/>
  <c r="AX1841" i="202"/>
  <c r="AX1842" i="202"/>
  <c r="AX1843" i="202"/>
  <c r="AX1844" i="202"/>
  <c r="AX1845" i="202"/>
  <c r="AX1846" i="202"/>
  <c r="AX1847" i="202"/>
  <c r="AX1848" i="202"/>
  <c r="AX1849" i="202"/>
  <c r="AX1850" i="202"/>
  <c r="AX1851" i="202"/>
  <c r="AX1852" i="202"/>
  <c r="AX1853" i="202"/>
  <c r="AX1854" i="202"/>
  <c r="AX1855" i="202"/>
  <c r="AX1856" i="202"/>
  <c r="AX1857" i="202"/>
  <c r="AX1858" i="202"/>
  <c r="AX1859" i="202"/>
  <c r="AX1860" i="202"/>
  <c r="AX1861" i="202"/>
  <c r="AX1862" i="202"/>
  <c r="AX1863" i="202"/>
  <c r="AX1864" i="202"/>
  <c r="AX1865" i="202"/>
  <c r="AX1866" i="202"/>
  <c r="AX1867" i="202"/>
  <c r="AX1868" i="202"/>
  <c r="AX1869" i="202"/>
  <c r="AX1870" i="202"/>
  <c r="AX1871" i="202"/>
  <c r="AX1872" i="202"/>
  <c r="AX1873" i="202"/>
  <c r="AX1874" i="202"/>
  <c r="AX1875" i="202"/>
  <c r="AX1876" i="202"/>
  <c r="AX1877" i="202"/>
  <c r="AX1878" i="202"/>
  <c r="AX1879" i="202"/>
  <c r="AX1880" i="202"/>
  <c r="AX1881" i="202"/>
  <c r="AX1882" i="202"/>
  <c r="AX1883" i="202"/>
  <c r="AX1884" i="202"/>
  <c r="AX1885" i="202"/>
  <c r="AX1886" i="202"/>
  <c r="AX1887" i="202"/>
  <c r="AX1888" i="202"/>
  <c r="AX1889" i="202"/>
  <c r="AX1890" i="202"/>
  <c r="AX1891" i="202"/>
  <c r="AX1892" i="202"/>
  <c r="AX1893" i="202"/>
  <c r="AX1894" i="202"/>
  <c r="AX1895" i="202"/>
  <c r="AX1896" i="202"/>
  <c r="AX1897" i="202"/>
  <c r="AX1898" i="202"/>
  <c r="AX1899" i="202"/>
  <c r="AX1900" i="202"/>
  <c r="AX1901" i="202"/>
  <c r="AX1902" i="202"/>
  <c r="AX1903" i="202"/>
  <c r="AX1904" i="202"/>
  <c r="AX1905" i="202"/>
  <c r="AX1906" i="202"/>
  <c r="AX1907" i="202"/>
  <c r="AX1908" i="202"/>
  <c r="AX1909" i="202"/>
  <c r="AX1910" i="202"/>
  <c r="AX1911" i="202"/>
  <c r="AX1912" i="202"/>
  <c r="AX1913" i="202"/>
  <c r="AX1914" i="202"/>
  <c r="AX1915" i="202"/>
  <c r="AX1916" i="202"/>
  <c r="AX1917" i="202"/>
  <c r="AX1918" i="202"/>
  <c r="AX1919" i="202"/>
  <c r="AX1920" i="202"/>
  <c r="AX1921" i="202"/>
  <c r="AX1922" i="202"/>
  <c r="AX1923" i="202"/>
  <c r="AX1924" i="202"/>
  <c r="AX1925" i="202"/>
  <c r="AX1926" i="202"/>
  <c r="AX1927" i="202"/>
  <c r="AX1928" i="202"/>
  <c r="AX1929" i="202"/>
  <c r="AX1930" i="202"/>
  <c r="AX1931" i="202"/>
  <c r="AX1932" i="202"/>
  <c r="AX1933" i="202"/>
  <c r="AX1934" i="202"/>
  <c r="AX1935" i="202"/>
  <c r="AX1936" i="202"/>
  <c r="AX1937" i="202"/>
  <c r="AX1938" i="202"/>
  <c r="AX1939" i="202"/>
  <c r="AX1940" i="202"/>
  <c r="AX1941" i="202"/>
  <c r="AX1942" i="202"/>
  <c r="AX1943" i="202"/>
  <c r="AX1944" i="202"/>
  <c r="AX1945" i="202"/>
  <c r="AX1946" i="202"/>
  <c r="AX1947" i="202"/>
  <c r="AX1948" i="202"/>
  <c r="AX1949" i="202"/>
  <c r="AX1950" i="202"/>
  <c r="AX1951" i="202"/>
  <c r="AX1952" i="202"/>
  <c r="AX1953" i="202"/>
  <c r="AX1954" i="202"/>
  <c r="AX1955" i="202"/>
  <c r="AX1956" i="202"/>
  <c r="AX1957" i="202"/>
  <c r="AX1958" i="202"/>
  <c r="AX1959" i="202"/>
  <c r="AX1960" i="202"/>
  <c r="AX1961" i="202"/>
  <c r="AX1962" i="202"/>
  <c r="AX1963" i="202"/>
  <c r="AX1964" i="202"/>
  <c r="AX1965" i="202"/>
  <c r="AX1966" i="202"/>
  <c r="AX1967" i="202"/>
  <c r="AX1968" i="202"/>
  <c r="AX1969" i="202"/>
  <c r="AX1970" i="202"/>
  <c r="AX1971" i="202"/>
  <c r="AX1972" i="202"/>
  <c r="AX1973" i="202"/>
  <c r="AX1974" i="202"/>
  <c r="AX1975" i="202"/>
  <c r="AX1976" i="202"/>
  <c r="AX1977" i="202"/>
  <c r="AX1978" i="202"/>
  <c r="AX1979" i="202"/>
  <c r="AX1980" i="202"/>
  <c r="AX1981" i="202"/>
  <c r="AX1982" i="202"/>
  <c r="AX1983" i="202"/>
  <c r="AX1984" i="202"/>
  <c r="AX1985" i="202"/>
  <c r="AX1986" i="202"/>
  <c r="AX1987" i="202"/>
  <c r="AX1988" i="202"/>
  <c r="AX1989" i="202"/>
  <c r="AX1990" i="202"/>
  <c r="AX1991" i="202"/>
  <c r="AX1992" i="202"/>
  <c r="AX1993" i="202"/>
  <c r="AX1994" i="202"/>
  <c r="AX1995" i="202"/>
  <c r="AX1996" i="202"/>
  <c r="AX1997" i="202"/>
  <c r="AX1998" i="202"/>
  <c r="AX1999" i="202"/>
  <c r="AX2000" i="202"/>
  <c r="AX2001" i="202"/>
  <c r="AX2002" i="202"/>
  <c r="AX2003" i="202"/>
  <c r="AX2004" i="202"/>
  <c r="AX2005" i="202"/>
  <c r="AX2006" i="202"/>
  <c r="AX2007" i="202"/>
  <c r="AX2008" i="202"/>
  <c r="AX2009" i="202"/>
  <c r="AX2010" i="202"/>
  <c r="AX2011" i="202"/>
  <c r="AX2012" i="202"/>
  <c r="AX2013" i="202"/>
  <c r="AX2014" i="202"/>
  <c r="AX2015" i="202"/>
  <c r="AX2016" i="202"/>
  <c r="AX2017" i="202"/>
  <c r="AX2018" i="202"/>
  <c r="AX2019" i="202"/>
  <c r="AX2020" i="202"/>
  <c r="AX2021" i="202"/>
  <c r="AX2022" i="202"/>
  <c r="AX2023" i="202"/>
  <c r="AX2024" i="202"/>
  <c r="AX2025" i="202"/>
  <c r="AX2026" i="202"/>
  <c r="AX2027" i="202"/>
  <c r="AX2028" i="202"/>
  <c r="AX2029" i="202"/>
  <c r="AX2030" i="202"/>
  <c r="AX2031" i="202"/>
  <c r="AX2032" i="202"/>
  <c r="AX2033" i="202"/>
  <c r="AX2034" i="202"/>
  <c r="AX2035" i="202"/>
  <c r="AX2036" i="202"/>
  <c r="AX2037" i="202"/>
  <c r="AX2038" i="202"/>
  <c r="AX2039" i="202"/>
  <c r="AX2040" i="202"/>
  <c r="AX2041" i="202"/>
  <c r="AX2042" i="202"/>
  <c r="AX2043" i="202"/>
  <c r="AX2044" i="202"/>
  <c r="AX2045" i="202"/>
  <c r="AX2046" i="202"/>
  <c r="AX2047" i="202"/>
  <c r="AX2048" i="202"/>
  <c r="AJ2" i="202"/>
  <c r="AJ3" i="202"/>
  <c r="AJ4" i="202"/>
  <c r="AJ5" i="202"/>
  <c r="AJ6" i="202"/>
  <c r="AJ7" i="202"/>
  <c r="AJ8" i="202"/>
  <c r="AJ9" i="202"/>
  <c r="AJ10" i="202"/>
  <c r="AJ11" i="202"/>
  <c r="AJ12" i="202"/>
  <c r="AJ13" i="202"/>
  <c r="AJ14" i="202"/>
  <c r="AJ15" i="202"/>
  <c r="AJ16" i="202"/>
  <c r="AJ17" i="202"/>
  <c r="AJ18" i="202"/>
  <c r="AJ19" i="202"/>
  <c r="AJ20" i="202"/>
  <c r="AJ21" i="202"/>
  <c r="AJ22" i="202"/>
  <c r="AJ23" i="202"/>
  <c r="AJ24" i="202"/>
  <c r="AJ25" i="202"/>
  <c r="AJ26" i="202"/>
  <c r="AJ27" i="202"/>
  <c r="AJ28" i="202"/>
  <c r="AJ29" i="202"/>
  <c r="AJ30" i="202"/>
  <c r="AJ31" i="202"/>
  <c r="AJ32" i="202"/>
  <c r="AJ33" i="202"/>
  <c r="AJ34" i="202"/>
  <c r="AJ35" i="202"/>
  <c r="AJ36" i="202"/>
  <c r="AJ37" i="202"/>
  <c r="AJ38" i="202"/>
  <c r="AJ39" i="202"/>
  <c r="AJ40" i="202"/>
  <c r="AJ41" i="202"/>
  <c r="AJ42" i="202"/>
  <c r="AJ43" i="202"/>
  <c r="AJ44" i="202"/>
  <c r="AJ45" i="202"/>
  <c r="AJ46" i="202"/>
  <c r="AJ47" i="202"/>
  <c r="AJ48" i="202"/>
  <c r="AJ49" i="202"/>
  <c r="AJ50" i="202"/>
  <c r="AJ51" i="202"/>
  <c r="AJ52" i="202"/>
  <c r="AJ53" i="202"/>
  <c r="AJ54" i="202"/>
  <c r="AJ55" i="202"/>
  <c r="AJ56" i="202"/>
  <c r="AJ57" i="202"/>
  <c r="AJ58" i="202"/>
  <c r="AJ59" i="202"/>
  <c r="AJ60" i="202"/>
  <c r="AJ61" i="202"/>
  <c r="AJ62" i="202"/>
  <c r="AJ63" i="202"/>
  <c r="AJ64" i="202"/>
  <c r="AJ65" i="202"/>
  <c r="AJ66" i="202"/>
  <c r="AJ67" i="202"/>
  <c r="AJ68" i="202"/>
  <c r="AJ69" i="202"/>
  <c r="AJ70" i="202"/>
  <c r="AJ71" i="202"/>
  <c r="AJ72" i="202"/>
  <c r="AJ73" i="202"/>
  <c r="AJ74" i="202"/>
  <c r="AJ75" i="202"/>
  <c r="AJ76" i="202"/>
  <c r="AJ77" i="202"/>
  <c r="AJ78" i="202"/>
  <c r="AJ79" i="202"/>
  <c r="AJ80" i="202"/>
  <c r="AJ81" i="202"/>
  <c r="AJ82" i="202"/>
  <c r="AJ83" i="202"/>
  <c r="AJ84" i="202"/>
  <c r="AJ85" i="202"/>
  <c r="AJ86" i="202"/>
  <c r="AJ87" i="202"/>
  <c r="AJ88" i="202"/>
  <c r="AJ89" i="202"/>
  <c r="AJ90" i="202"/>
  <c r="AJ91" i="202"/>
  <c r="AJ92" i="202"/>
  <c r="AJ93" i="202"/>
  <c r="AJ94" i="202"/>
  <c r="AJ95" i="202"/>
  <c r="AJ96" i="202"/>
  <c r="AJ97" i="202"/>
  <c r="AJ98" i="202"/>
  <c r="AJ99" i="202"/>
  <c r="AJ100" i="202"/>
  <c r="AJ101" i="202"/>
  <c r="AJ102" i="202"/>
  <c r="AJ103" i="202"/>
  <c r="AJ104" i="202"/>
  <c r="AJ105" i="202"/>
  <c r="AJ106" i="202"/>
  <c r="AJ107" i="202"/>
  <c r="AJ108" i="202"/>
  <c r="AJ109" i="202"/>
  <c r="AJ110" i="202"/>
  <c r="AJ111" i="202"/>
  <c r="AJ112" i="202"/>
  <c r="AJ113" i="202"/>
  <c r="AJ114" i="202"/>
  <c r="AJ115" i="202"/>
  <c r="AJ116" i="202"/>
  <c r="AJ117" i="202"/>
  <c r="AJ118" i="202"/>
  <c r="AJ119" i="202"/>
  <c r="AJ120" i="202"/>
  <c r="AJ121" i="202"/>
  <c r="AJ122" i="202"/>
  <c r="AJ123" i="202"/>
  <c r="AJ124" i="202"/>
  <c r="AJ125" i="202"/>
  <c r="AJ126" i="202"/>
  <c r="AJ127" i="202"/>
  <c r="AJ128" i="202"/>
  <c r="AJ129" i="202"/>
  <c r="AJ130" i="202"/>
  <c r="AJ131" i="202"/>
  <c r="AJ132" i="202"/>
  <c r="AJ133" i="202"/>
  <c r="AJ134" i="202"/>
  <c r="AJ135" i="202"/>
  <c r="AJ136" i="202"/>
  <c r="AJ137" i="202"/>
  <c r="AJ138" i="202"/>
  <c r="AJ139" i="202"/>
  <c r="AJ140" i="202"/>
  <c r="AJ141" i="202"/>
  <c r="AJ142" i="202"/>
  <c r="AJ143" i="202"/>
  <c r="AJ144" i="202"/>
  <c r="AJ145" i="202"/>
  <c r="AJ146" i="202"/>
  <c r="AJ147" i="202"/>
  <c r="AJ148" i="202"/>
  <c r="AJ149" i="202"/>
  <c r="AJ150" i="202"/>
  <c r="AJ151" i="202"/>
  <c r="AJ152" i="202"/>
  <c r="AJ153" i="202"/>
  <c r="AJ154" i="202"/>
  <c r="AJ155" i="202"/>
  <c r="AJ156" i="202"/>
  <c r="AJ157" i="202"/>
  <c r="AJ158" i="202"/>
  <c r="AJ159" i="202"/>
  <c r="AJ160" i="202"/>
  <c r="AJ161" i="202"/>
  <c r="AJ162" i="202"/>
  <c r="AJ163" i="202"/>
  <c r="AJ164" i="202"/>
  <c r="AJ165" i="202"/>
  <c r="AJ166" i="202"/>
  <c r="AJ167" i="202"/>
  <c r="AJ168" i="202"/>
  <c r="AJ169" i="202"/>
  <c r="AJ170" i="202"/>
  <c r="AJ171" i="202"/>
  <c r="AJ172" i="202"/>
  <c r="AJ173" i="202"/>
  <c r="AJ174" i="202"/>
  <c r="AJ175" i="202"/>
  <c r="AJ176" i="202"/>
  <c r="AJ177" i="202"/>
  <c r="AJ178" i="202"/>
  <c r="AJ179" i="202"/>
  <c r="AJ180" i="202"/>
  <c r="AJ181" i="202"/>
  <c r="AJ182" i="202"/>
  <c r="AJ183" i="202"/>
  <c r="AJ184" i="202"/>
  <c r="AJ185" i="202"/>
  <c r="AJ186" i="202"/>
  <c r="AJ187" i="202"/>
  <c r="AJ188" i="202"/>
  <c r="AJ189" i="202"/>
  <c r="AJ190" i="202"/>
  <c r="AJ191" i="202"/>
  <c r="AJ192" i="202"/>
  <c r="AJ193" i="202"/>
  <c r="AJ194" i="202"/>
  <c r="AJ195" i="202"/>
  <c r="AJ196" i="202"/>
  <c r="AJ197" i="202"/>
  <c r="AJ198" i="202"/>
  <c r="AJ199" i="202"/>
  <c r="AJ200" i="202"/>
  <c r="AJ201" i="202"/>
  <c r="AJ202" i="202"/>
  <c r="AJ203" i="202"/>
  <c r="AJ204" i="202"/>
  <c r="AJ205" i="202"/>
  <c r="AJ206" i="202"/>
  <c r="AJ207" i="202"/>
  <c r="AJ208" i="202"/>
  <c r="AJ209" i="202"/>
  <c r="AJ210" i="202"/>
  <c r="AJ211" i="202"/>
  <c r="AJ212" i="202"/>
  <c r="AJ213" i="202"/>
  <c r="AJ214" i="202"/>
  <c r="AJ215" i="202"/>
  <c r="AJ216" i="202"/>
  <c r="AJ217" i="202"/>
  <c r="AJ218" i="202"/>
  <c r="AJ219" i="202"/>
  <c r="AJ220" i="202"/>
  <c r="AJ221" i="202"/>
  <c r="AJ222" i="202"/>
  <c r="AJ223" i="202"/>
  <c r="AJ224" i="202"/>
  <c r="AJ225" i="202"/>
  <c r="AJ226" i="202"/>
  <c r="AJ227" i="202"/>
  <c r="AJ228" i="202"/>
  <c r="AJ229" i="202"/>
  <c r="AJ230" i="202"/>
  <c r="AJ231" i="202"/>
  <c r="AJ232" i="202"/>
  <c r="AJ233" i="202"/>
  <c r="AJ234" i="202"/>
  <c r="AJ235" i="202"/>
  <c r="AJ236" i="202"/>
  <c r="AJ237" i="202"/>
  <c r="AJ238" i="202"/>
  <c r="AJ239" i="202"/>
  <c r="AJ240" i="202"/>
  <c r="AJ241" i="202"/>
  <c r="AJ242" i="202"/>
  <c r="AJ243" i="202"/>
  <c r="AJ244" i="202"/>
  <c r="AJ245" i="202"/>
  <c r="AJ246" i="202"/>
  <c r="AJ247" i="202"/>
  <c r="AJ248" i="202"/>
  <c r="AJ249" i="202"/>
  <c r="AJ250" i="202"/>
  <c r="AJ251" i="202"/>
  <c r="AJ252" i="202"/>
  <c r="AJ253" i="202"/>
  <c r="AJ254" i="202"/>
  <c r="AJ255" i="202"/>
  <c r="AJ256" i="202"/>
  <c r="AJ257" i="202"/>
  <c r="AJ258" i="202"/>
  <c r="AJ259" i="202"/>
  <c r="AJ260" i="202"/>
  <c r="AJ261" i="202"/>
  <c r="AJ262" i="202"/>
  <c r="AJ263" i="202"/>
  <c r="AJ264" i="202"/>
  <c r="AJ265" i="202"/>
  <c r="AJ266" i="202"/>
  <c r="AJ267" i="202"/>
  <c r="AJ268" i="202"/>
  <c r="AJ269" i="202"/>
  <c r="AJ270" i="202"/>
  <c r="AJ271" i="202"/>
  <c r="AJ272" i="202"/>
  <c r="AJ273" i="202"/>
  <c r="AJ274" i="202"/>
  <c r="AJ275" i="202"/>
  <c r="AJ276" i="202"/>
  <c r="AJ277" i="202"/>
  <c r="AJ278" i="202"/>
  <c r="AJ279" i="202"/>
  <c r="AJ280" i="202"/>
  <c r="AJ281" i="202"/>
  <c r="AJ282" i="202"/>
  <c r="AJ283" i="202"/>
  <c r="AJ284" i="202"/>
  <c r="AJ285" i="202"/>
  <c r="AJ286" i="202"/>
  <c r="AJ287" i="202"/>
  <c r="AJ288" i="202"/>
  <c r="AJ289" i="202"/>
  <c r="AJ290" i="202"/>
  <c r="AJ291" i="202"/>
  <c r="AJ292" i="202"/>
  <c r="AJ293" i="202"/>
  <c r="AJ294" i="202"/>
  <c r="AJ295" i="202"/>
  <c r="AJ296" i="202"/>
  <c r="AJ297" i="202"/>
  <c r="AJ298" i="202"/>
  <c r="AJ299" i="202"/>
  <c r="AJ300" i="202"/>
  <c r="AJ301" i="202"/>
  <c r="AJ302" i="202"/>
  <c r="AJ303" i="202"/>
  <c r="AJ304" i="202"/>
  <c r="AJ305" i="202"/>
  <c r="AJ306" i="202"/>
  <c r="AJ307" i="202"/>
  <c r="AJ308" i="202"/>
  <c r="AJ309" i="202"/>
  <c r="AJ310" i="202"/>
  <c r="AJ311" i="202"/>
  <c r="AJ312" i="202"/>
  <c r="AJ313" i="202"/>
  <c r="AJ314" i="202"/>
  <c r="AJ315" i="202"/>
  <c r="AJ316" i="202"/>
  <c r="AJ317" i="202"/>
  <c r="AJ318" i="202"/>
  <c r="AJ319" i="202"/>
  <c r="AJ320" i="202"/>
  <c r="AJ321" i="202"/>
  <c r="AJ322" i="202"/>
  <c r="AJ323" i="202"/>
  <c r="AJ324" i="202"/>
  <c r="AJ325" i="202"/>
  <c r="AJ326" i="202"/>
  <c r="AJ327" i="202"/>
  <c r="AJ328" i="202"/>
  <c r="AJ329" i="202"/>
  <c r="AJ330" i="202"/>
  <c r="AJ331" i="202"/>
  <c r="AJ332" i="202"/>
  <c r="AJ333" i="202"/>
  <c r="AJ334" i="202"/>
  <c r="AJ335" i="202"/>
  <c r="AJ336" i="202"/>
  <c r="AJ337" i="202"/>
  <c r="AJ338" i="202"/>
  <c r="AJ339" i="202"/>
  <c r="AJ340" i="202"/>
  <c r="AJ341" i="202"/>
  <c r="AJ342" i="202"/>
  <c r="AJ343" i="202"/>
  <c r="AJ344" i="202"/>
  <c r="AJ345" i="202"/>
  <c r="AJ346" i="202"/>
  <c r="AJ347" i="202"/>
  <c r="AJ348" i="202"/>
  <c r="AJ349" i="202"/>
  <c r="AJ350" i="202"/>
  <c r="AJ351" i="202"/>
  <c r="AJ352" i="202"/>
  <c r="AJ353" i="202"/>
  <c r="AJ354" i="202"/>
  <c r="AJ355" i="202"/>
  <c r="AJ356" i="202"/>
  <c r="AJ357" i="202"/>
  <c r="AJ358" i="202"/>
  <c r="AJ359" i="202"/>
  <c r="AJ360" i="202"/>
  <c r="AJ361" i="202"/>
  <c r="AJ362" i="202"/>
  <c r="AJ363" i="202"/>
  <c r="AJ364" i="202"/>
  <c r="AJ365" i="202"/>
  <c r="AJ366" i="202"/>
  <c r="AJ367" i="202"/>
  <c r="AJ368" i="202"/>
  <c r="AJ369" i="202"/>
  <c r="AJ370" i="202"/>
  <c r="AJ371" i="202"/>
  <c r="AJ372" i="202"/>
  <c r="AJ373" i="202"/>
  <c r="AJ374" i="202"/>
  <c r="AJ375" i="202"/>
  <c r="AJ376" i="202"/>
  <c r="AJ377" i="202"/>
  <c r="AJ378" i="202"/>
  <c r="AJ379" i="202"/>
  <c r="AJ380" i="202"/>
  <c r="AJ381" i="202"/>
  <c r="AJ382" i="202"/>
  <c r="AJ383" i="202"/>
  <c r="AJ384" i="202"/>
  <c r="AJ385" i="202"/>
  <c r="AJ386" i="202"/>
  <c r="AJ387" i="202"/>
  <c r="AJ388" i="202"/>
  <c r="AJ389" i="202"/>
  <c r="AJ390" i="202"/>
  <c r="AJ391" i="202"/>
  <c r="AJ392" i="202"/>
  <c r="AJ393" i="202"/>
  <c r="AJ394" i="202"/>
  <c r="AJ395" i="202"/>
  <c r="AJ396" i="202"/>
  <c r="AJ397" i="202"/>
  <c r="AJ398" i="202"/>
  <c r="AJ399" i="202"/>
  <c r="AJ400" i="202"/>
  <c r="AJ401" i="202"/>
  <c r="AJ402" i="202"/>
  <c r="AJ403" i="202"/>
  <c r="AJ404" i="202"/>
  <c r="AJ405" i="202"/>
  <c r="AJ406" i="202"/>
  <c r="AJ407" i="202"/>
  <c r="AJ408" i="202"/>
  <c r="AJ409" i="202"/>
  <c r="AJ410" i="202"/>
  <c r="AJ411" i="202"/>
  <c r="AJ412" i="202"/>
  <c r="AJ413" i="202"/>
  <c r="AJ414" i="202"/>
  <c r="AJ415" i="202"/>
  <c r="AJ416" i="202"/>
  <c r="AJ417" i="202"/>
  <c r="AJ418" i="202"/>
  <c r="AJ419" i="202"/>
  <c r="AJ420" i="202"/>
  <c r="AJ421" i="202"/>
  <c r="AJ422" i="202"/>
  <c r="AJ423" i="202"/>
  <c r="AJ424" i="202"/>
  <c r="AJ425" i="202"/>
  <c r="AJ426" i="202"/>
  <c r="AJ427" i="202"/>
  <c r="AJ428" i="202"/>
  <c r="AJ429" i="202"/>
  <c r="AJ430" i="202"/>
  <c r="AJ431" i="202"/>
  <c r="AJ432" i="202"/>
  <c r="AJ433" i="202"/>
  <c r="AJ434" i="202"/>
  <c r="AJ435" i="202"/>
  <c r="AJ436" i="202"/>
  <c r="AJ437" i="202"/>
  <c r="AJ438" i="202"/>
  <c r="AJ439" i="202"/>
  <c r="AJ440" i="202"/>
  <c r="AJ441" i="202"/>
  <c r="AJ442" i="202"/>
  <c r="AJ443" i="202"/>
  <c r="AJ444" i="202"/>
  <c r="AJ445" i="202"/>
  <c r="AJ446" i="202"/>
  <c r="AJ447" i="202"/>
  <c r="AJ448" i="202"/>
  <c r="AJ449" i="202"/>
  <c r="AJ450" i="202"/>
  <c r="AJ451" i="202"/>
  <c r="AJ452" i="202"/>
  <c r="AJ453" i="202"/>
  <c r="AJ454" i="202"/>
  <c r="AJ455" i="202"/>
  <c r="AJ456" i="202"/>
  <c r="AJ457" i="202"/>
  <c r="AJ458" i="202"/>
  <c r="AJ459" i="202"/>
  <c r="AJ460" i="202"/>
  <c r="AJ461" i="202"/>
  <c r="AJ462" i="202"/>
  <c r="AJ463" i="202"/>
  <c r="AJ464" i="202"/>
  <c r="AJ465" i="202"/>
  <c r="AJ466" i="202"/>
  <c r="AJ467" i="202"/>
  <c r="AJ468" i="202"/>
  <c r="AJ469" i="202"/>
  <c r="AJ470" i="202"/>
  <c r="AJ471" i="202"/>
  <c r="AJ472" i="202"/>
  <c r="AJ473" i="202"/>
  <c r="AJ474" i="202"/>
  <c r="AJ475" i="202"/>
  <c r="AJ476" i="202"/>
  <c r="AJ477" i="202"/>
  <c r="AJ478" i="202"/>
  <c r="AJ479" i="202"/>
  <c r="AJ480" i="202"/>
  <c r="AJ481" i="202"/>
  <c r="AJ482" i="202"/>
  <c r="AJ483" i="202"/>
  <c r="AJ484" i="202"/>
  <c r="AJ485" i="202"/>
  <c r="AJ486" i="202"/>
  <c r="AJ487" i="202"/>
  <c r="AJ488" i="202"/>
  <c r="AJ489" i="202"/>
  <c r="AJ490" i="202"/>
  <c r="AJ491" i="202"/>
  <c r="AJ492" i="202"/>
  <c r="AJ493" i="202"/>
  <c r="AJ494" i="202"/>
  <c r="AJ495" i="202"/>
  <c r="AJ496" i="202"/>
  <c r="AJ497" i="202"/>
  <c r="AJ498" i="202"/>
  <c r="AJ499" i="202"/>
  <c r="AJ500" i="202"/>
  <c r="AJ501" i="202"/>
  <c r="AJ502" i="202"/>
  <c r="AJ503" i="202"/>
  <c r="AJ504" i="202"/>
  <c r="AJ505" i="202"/>
  <c r="AJ506" i="202"/>
  <c r="AJ507" i="202"/>
  <c r="AJ508" i="202"/>
  <c r="AJ509" i="202"/>
  <c r="AJ510" i="202"/>
  <c r="AJ511" i="202"/>
  <c r="AJ512" i="202"/>
  <c r="AJ513" i="202"/>
  <c r="AJ514" i="202"/>
  <c r="AJ515" i="202"/>
  <c r="AJ516" i="202"/>
  <c r="AJ517" i="202"/>
  <c r="AJ518" i="202"/>
  <c r="AJ519" i="202"/>
  <c r="AJ520" i="202"/>
  <c r="AJ521" i="202"/>
  <c r="AJ522" i="202"/>
  <c r="AJ523" i="202"/>
  <c r="AJ524" i="202"/>
  <c r="AJ525" i="202"/>
  <c r="AJ526" i="202"/>
  <c r="AJ527" i="202"/>
  <c r="AJ528" i="202"/>
  <c r="AJ529" i="202"/>
  <c r="AJ530" i="202"/>
  <c r="AJ531" i="202"/>
  <c r="AJ532" i="202"/>
  <c r="AJ533" i="202"/>
  <c r="AJ534" i="202"/>
  <c r="AJ535" i="202"/>
  <c r="AJ536" i="202"/>
  <c r="AJ537" i="202"/>
  <c r="AJ538" i="202"/>
  <c r="AJ539" i="202"/>
  <c r="AJ540" i="202"/>
  <c r="AJ541" i="202"/>
  <c r="AJ542" i="202"/>
  <c r="AJ543" i="202"/>
  <c r="AJ544" i="202"/>
  <c r="AJ545" i="202"/>
  <c r="AJ546" i="202"/>
  <c r="AJ547" i="202"/>
  <c r="AJ548" i="202"/>
  <c r="AJ549" i="202"/>
  <c r="AJ550" i="202"/>
  <c r="AJ551" i="202"/>
  <c r="AJ552" i="202"/>
  <c r="AJ553" i="202"/>
  <c r="AJ554" i="202"/>
  <c r="AJ555" i="202"/>
  <c r="AJ556" i="202"/>
  <c r="AJ557" i="202"/>
  <c r="AJ558" i="202"/>
  <c r="AJ559" i="202"/>
  <c r="AJ560" i="202"/>
  <c r="AJ561" i="202"/>
  <c r="AJ562" i="202"/>
  <c r="AJ563" i="202"/>
  <c r="AJ564" i="202"/>
  <c r="AJ565" i="202"/>
  <c r="AJ566" i="202"/>
  <c r="AJ567" i="202"/>
  <c r="AJ568" i="202"/>
  <c r="AJ569" i="202"/>
  <c r="AJ570" i="202"/>
  <c r="AJ571" i="202"/>
  <c r="AJ572" i="202"/>
  <c r="AJ573" i="202"/>
  <c r="AJ574" i="202"/>
  <c r="AJ575" i="202"/>
  <c r="AJ576" i="202"/>
  <c r="AJ577" i="202"/>
  <c r="AJ578" i="202"/>
  <c r="AJ579" i="202"/>
  <c r="AJ580" i="202"/>
  <c r="AJ581" i="202"/>
  <c r="AJ582" i="202"/>
  <c r="AJ583" i="202"/>
  <c r="AJ584" i="202"/>
  <c r="AJ585" i="202"/>
  <c r="AJ586" i="202"/>
  <c r="AJ587" i="202"/>
  <c r="AJ588" i="202"/>
  <c r="AJ589" i="202"/>
  <c r="AJ590" i="202"/>
  <c r="AJ591" i="202"/>
  <c r="AJ592" i="202"/>
  <c r="AJ593" i="202"/>
  <c r="AJ594" i="202"/>
  <c r="AJ595" i="202"/>
  <c r="AJ596" i="202"/>
  <c r="AJ597" i="202"/>
  <c r="AJ598" i="202"/>
  <c r="AJ599" i="202"/>
  <c r="AJ600" i="202"/>
  <c r="AJ601" i="202"/>
  <c r="AJ602" i="202"/>
  <c r="AJ603" i="202"/>
  <c r="AJ604" i="202"/>
  <c r="AJ605" i="202"/>
  <c r="AJ606" i="202"/>
  <c r="AJ607" i="202"/>
  <c r="AJ608" i="202"/>
  <c r="AJ609" i="202"/>
  <c r="AJ610" i="202"/>
  <c r="AJ611" i="202"/>
  <c r="AJ612" i="202"/>
  <c r="AJ613" i="202"/>
  <c r="AJ614" i="202"/>
  <c r="AJ615" i="202"/>
  <c r="AJ616" i="202"/>
  <c r="AJ617" i="202"/>
  <c r="AJ618" i="202"/>
  <c r="AJ619" i="202"/>
  <c r="AJ620" i="202"/>
  <c r="AJ621" i="202"/>
  <c r="AJ622" i="202"/>
  <c r="AJ623" i="202"/>
  <c r="AJ624" i="202"/>
  <c r="AJ625" i="202"/>
  <c r="AJ626" i="202"/>
  <c r="AJ627" i="202"/>
  <c r="AJ628" i="202"/>
  <c r="AJ629" i="202"/>
  <c r="AJ630" i="202"/>
  <c r="AJ631" i="202"/>
  <c r="AJ632" i="202"/>
  <c r="AJ633" i="202"/>
  <c r="AJ634" i="202"/>
  <c r="AJ635" i="202"/>
  <c r="AJ636" i="202"/>
  <c r="AJ637" i="202"/>
  <c r="AJ638" i="202"/>
  <c r="AJ639" i="202"/>
  <c r="AJ640" i="202"/>
  <c r="AJ641" i="202"/>
  <c r="AJ642" i="202"/>
  <c r="AJ643" i="202"/>
  <c r="AJ644" i="202"/>
  <c r="AJ645" i="202"/>
  <c r="AJ646" i="202"/>
  <c r="AJ647" i="202"/>
  <c r="AJ648" i="202"/>
  <c r="AJ649" i="202"/>
  <c r="AJ650" i="202"/>
  <c r="AJ651" i="202"/>
  <c r="AJ652" i="202"/>
  <c r="AJ653" i="202"/>
  <c r="AJ654" i="202"/>
  <c r="AJ655" i="202"/>
  <c r="AJ656" i="202"/>
  <c r="AJ657" i="202"/>
  <c r="AJ658" i="202"/>
  <c r="AJ659" i="202"/>
  <c r="AJ660" i="202"/>
  <c r="AJ661" i="202"/>
  <c r="AJ662" i="202"/>
  <c r="AJ663" i="202"/>
  <c r="AJ664" i="202"/>
  <c r="AJ665" i="202"/>
  <c r="AJ666" i="202"/>
  <c r="AJ667" i="202"/>
  <c r="AJ668" i="202"/>
  <c r="AJ669" i="202"/>
  <c r="AJ670" i="202"/>
  <c r="AJ671" i="202"/>
  <c r="AJ672" i="202"/>
  <c r="AJ673" i="202"/>
  <c r="AJ674" i="202"/>
  <c r="AJ675" i="202"/>
  <c r="AJ676" i="202"/>
  <c r="AJ677" i="202"/>
  <c r="AJ678" i="202"/>
  <c r="AJ679" i="202"/>
  <c r="AJ680" i="202"/>
  <c r="AJ681" i="202"/>
  <c r="AJ682" i="202"/>
  <c r="AJ683" i="202"/>
  <c r="AJ684" i="202"/>
  <c r="AJ685" i="202"/>
  <c r="AJ686" i="202"/>
  <c r="AJ687" i="202"/>
  <c r="AJ688" i="202"/>
  <c r="AJ689" i="202"/>
  <c r="AJ690" i="202"/>
  <c r="AJ691" i="202"/>
  <c r="AJ692" i="202"/>
  <c r="AJ693" i="202"/>
  <c r="AJ694" i="202"/>
  <c r="AJ695" i="202"/>
  <c r="AJ696" i="202"/>
  <c r="AJ697" i="202"/>
  <c r="AJ698" i="202"/>
  <c r="AJ699" i="202"/>
  <c r="AJ700" i="202"/>
  <c r="AJ701" i="202"/>
  <c r="AJ702" i="202"/>
  <c r="AJ703" i="202"/>
  <c r="AJ704" i="202"/>
  <c r="AJ705" i="202"/>
  <c r="AJ706" i="202"/>
  <c r="AJ707" i="202"/>
  <c r="AJ708" i="202"/>
  <c r="AJ709" i="202"/>
  <c r="AJ710" i="202"/>
  <c r="AJ711" i="202"/>
  <c r="AJ712" i="202"/>
  <c r="AJ713" i="202"/>
  <c r="AJ714" i="202"/>
  <c r="AJ715" i="202"/>
  <c r="AJ716" i="202"/>
  <c r="AJ717" i="202"/>
  <c r="AJ718" i="202"/>
  <c r="AJ719" i="202"/>
  <c r="AJ720" i="202"/>
  <c r="AJ721" i="202"/>
  <c r="AJ722" i="202"/>
  <c r="AJ723" i="202"/>
  <c r="AJ724" i="202"/>
  <c r="AJ725" i="202"/>
  <c r="AJ726" i="202"/>
  <c r="AJ727" i="202"/>
  <c r="AJ728" i="202"/>
  <c r="AJ729" i="202"/>
  <c r="AJ730" i="202"/>
  <c r="AJ731" i="202"/>
  <c r="AJ732" i="202"/>
  <c r="AJ733" i="202"/>
  <c r="AJ734" i="202"/>
  <c r="AJ735" i="202"/>
  <c r="AJ736" i="202"/>
  <c r="AJ737" i="202"/>
  <c r="AJ738" i="202"/>
  <c r="AJ739" i="202"/>
  <c r="AJ740" i="202"/>
  <c r="AJ741" i="202"/>
  <c r="AJ742" i="202"/>
  <c r="AJ743" i="202"/>
  <c r="AJ744" i="202"/>
  <c r="AJ745" i="202"/>
  <c r="AJ746" i="202"/>
  <c r="AJ747" i="202"/>
  <c r="AJ748" i="202"/>
  <c r="AJ749" i="202"/>
  <c r="AJ750" i="202"/>
  <c r="AJ751" i="202"/>
  <c r="AJ752" i="202"/>
  <c r="AJ753" i="202"/>
  <c r="AJ754" i="202"/>
  <c r="AJ755" i="202"/>
  <c r="AJ756" i="202"/>
  <c r="AJ757" i="202"/>
  <c r="AJ758" i="202"/>
  <c r="AJ759" i="202"/>
  <c r="AJ760" i="202"/>
  <c r="AJ761" i="202"/>
  <c r="AJ762" i="202"/>
  <c r="AJ763" i="202"/>
  <c r="AJ764" i="202"/>
  <c r="AJ765" i="202"/>
  <c r="AJ766" i="202"/>
  <c r="AJ767" i="202"/>
  <c r="AJ768" i="202"/>
  <c r="AJ769" i="202"/>
  <c r="AJ770" i="202"/>
  <c r="AJ771" i="202"/>
  <c r="AJ772" i="202"/>
  <c r="AJ773" i="202"/>
  <c r="AJ774" i="202"/>
  <c r="AJ775" i="202"/>
  <c r="AJ776" i="202"/>
  <c r="AJ777" i="202"/>
  <c r="AJ778" i="202"/>
  <c r="AJ779" i="202"/>
  <c r="AJ780" i="202"/>
  <c r="AJ781" i="202"/>
  <c r="AJ782" i="202"/>
  <c r="AJ783" i="202"/>
  <c r="AJ784" i="202"/>
  <c r="AJ785" i="202"/>
  <c r="AJ786" i="202"/>
  <c r="AJ787" i="202"/>
  <c r="AJ788" i="202"/>
  <c r="AJ789" i="202"/>
  <c r="AJ790" i="202"/>
  <c r="AJ791" i="202"/>
  <c r="AJ792" i="202"/>
  <c r="AJ793" i="202"/>
  <c r="AJ794" i="202"/>
  <c r="AJ795" i="202"/>
  <c r="AJ796" i="202"/>
  <c r="AJ797" i="202"/>
  <c r="AJ798" i="202"/>
  <c r="AJ799" i="202"/>
  <c r="AJ800" i="202"/>
  <c r="AJ801" i="202"/>
  <c r="AJ802" i="202"/>
  <c r="AJ803" i="202"/>
  <c r="AJ804" i="202"/>
  <c r="AJ805" i="202"/>
  <c r="AJ806" i="202"/>
  <c r="AJ807" i="202"/>
  <c r="AJ808" i="202"/>
  <c r="AJ809" i="202"/>
  <c r="AJ810" i="202"/>
  <c r="AJ811" i="202"/>
  <c r="AJ812" i="202"/>
  <c r="AJ813" i="202"/>
  <c r="AJ814" i="202"/>
  <c r="AJ815" i="202"/>
  <c r="AJ816" i="202"/>
  <c r="AJ817" i="202"/>
  <c r="AJ818" i="202"/>
  <c r="AJ819" i="202"/>
  <c r="AJ820" i="202"/>
  <c r="AJ821" i="202"/>
  <c r="AJ822" i="202"/>
  <c r="AJ823" i="202"/>
  <c r="AJ824" i="202"/>
  <c r="AJ825" i="202"/>
  <c r="AJ826" i="202"/>
  <c r="AJ827" i="202"/>
  <c r="AJ828" i="202"/>
  <c r="AJ829" i="202"/>
  <c r="AJ830" i="202"/>
  <c r="AJ831" i="202"/>
  <c r="AJ832" i="202"/>
  <c r="AJ833" i="202"/>
  <c r="AJ834" i="202"/>
  <c r="AJ835" i="202"/>
  <c r="AJ836" i="202"/>
  <c r="AJ837" i="202"/>
  <c r="AJ838" i="202"/>
  <c r="AJ839" i="202"/>
  <c r="AJ840" i="202"/>
  <c r="AJ841" i="202"/>
  <c r="AJ842" i="202"/>
  <c r="AJ843" i="202"/>
  <c r="AJ844" i="202"/>
  <c r="AJ845" i="202"/>
  <c r="AJ846" i="202"/>
  <c r="AJ847" i="202"/>
  <c r="AJ848" i="202"/>
  <c r="AJ849" i="202"/>
  <c r="AJ850" i="202"/>
  <c r="AJ851" i="202"/>
  <c r="AJ852" i="202"/>
  <c r="AJ853" i="202"/>
  <c r="AJ854" i="202"/>
  <c r="AJ855" i="202"/>
  <c r="AJ856" i="202"/>
  <c r="AJ857" i="202"/>
  <c r="AJ858" i="202"/>
  <c r="AJ859" i="202"/>
  <c r="AJ860" i="202"/>
  <c r="AJ861" i="202"/>
  <c r="AJ862" i="202"/>
  <c r="AJ863" i="202"/>
  <c r="AJ864" i="202"/>
  <c r="AJ865" i="202"/>
  <c r="AJ866" i="202"/>
  <c r="AJ867" i="202"/>
  <c r="AJ868" i="202"/>
  <c r="AJ869" i="202"/>
  <c r="AJ870" i="202"/>
  <c r="AJ871" i="202"/>
  <c r="AJ872" i="202"/>
  <c r="AJ873" i="202"/>
  <c r="AJ874" i="202"/>
  <c r="AJ875" i="202"/>
  <c r="AJ876" i="202"/>
  <c r="AJ877" i="202"/>
  <c r="AJ878" i="202"/>
  <c r="AJ879" i="202"/>
  <c r="AJ880" i="202"/>
  <c r="AJ881" i="202"/>
  <c r="AJ882" i="202"/>
  <c r="AJ883" i="202"/>
  <c r="AJ884" i="202"/>
  <c r="AJ885" i="202"/>
  <c r="AJ886" i="202"/>
  <c r="AJ887" i="202"/>
  <c r="AJ888" i="202"/>
  <c r="AJ889" i="202"/>
  <c r="AJ890" i="202"/>
  <c r="AJ891" i="202"/>
  <c r="AJ892" i="202"/>
  <c r="AJ893" i="202"/>
  <c r="AJ894" i="202"/>
  <c r="AJ895" i="202"/>
  <c r="AJ896" i="202"/>
  <c r="AJ897" i="202"/>
  <c r="AJ898" i="202"/>
  <c r="AJ899" i="202"/>
  <c r="AJ900" i="202"/>
  <c r="AJ901" i="202"/>
  <c r="AJ902" i="202"/>
  <c r="AJ903" i="202"/>
  <c r="AJ904" i="202"/>
  <c r="AJ905" i="202"/>
  <c r="AJ906" i="202"/>
  <c r="AJ907" i="202"/>
  <c r="AJ908" i="202"/>
  <c r="AJ909" i="202"/>
  <c r="AJ910" i="202"/>
  <c r="AJ911" i="202"/>
  <c r="AJ912" i="202"/>
  <c r="AJ913" i="202"/>
  <c r="AJ914" i="202"/>
  <c r="AJ915" i="202"/>
  <c r="AJ916" i="202"/>
  <c r="AJ917" i="202"/>
  <c r="AJ918" i="202"/>
  <c r="AJ919" i="202"/>
  <c r="AJ920" i="202"/>
  <c r="AJ921" i="202"/>
  <c r="AJ922" i="202"/>
  <c r="AJ923" i="202"/>
  <c r="AJ924" i="202"/>
  <c r="AJ925" i="202"/>
  <c r="AJ926" i="202"/>
  <c r="AJ927" i="202"/>
  <c r="AJ928" i="202"/>
  <c r="AJ929" i="202"/>
  <c r="AJ930" i="202"/>
  <c r="AJ931" i="202"/>
  <c r="AJ932" i="202"/>
  <c r="AJ933" i="202"/>
  <c r="AJ934" i="202"/>
  <c r="AJ935" i="202"/>
  <c r="AJ936" i="202"/>
  <c r="AJ937" i="202"/>
  <c r="AJ938" i="202"/>
  <c r="AJ939" i="202"/>
  <c r="AJ940" i="202"/>
  <c r="AJ941" i="202"/>
  <c r="AJ942" i="202"/>
  <c r="AJ943" i="202"/>
  <c r="AJ944" i="202"/>
  <c r="AJ945" i="202"/>
  <c r="AJ946" i="202"/>
  <c r="AJ947" i="202"/>
  <c r="AJ948" i="202"/>
  <c r="AJ949" i="202"/>
  <c r="AJ950" i="202"/>
  <c r="AJ951" i="202"/>
  <c r="AJ952" i="202"/>
  <c r="AJ953" i="202"/>
  <c r="AJ954" i="202"/>
  <c r="AJ955" i="202"/>
  <c r="AJ956" i="202"/>
  <c r="AJ957" i="202"/>
  <c r="AJ958" i="202"/>
  <c r="AJ959" i="202"/>
  <c r="AJ960" i="202"/>
  <c r="AJ961" i="202"/>
  <c r="AJ962" i="202"/>
  <c r="AJ963" i="202"/>
  <c r="AJ964" i="202"/>
  <c r="AJ965" i="202"/>
  <c r="AJ966" i="202"/>
  <c r="AJ967" i="202"/>
  <c r="AJ968" i="202"/>
  <c r="AJ969" i="202"/>
  <c r="AJ970" i="202"/>
  <c r="AJ971" i="202"/>
  <c r="AJ972" i="202"/>
  <c r="AJ973" i="202"/>
  <c r="AJ974" i="202"/>
  <c r="AJ975" i="202"/>
  <c r="AJ976" i="202"/>
  <c r="AJ977" i="202"/>
  <c r="AJ978" i="202"/>
  <c r="AJ979" i="202"/>
  <c r="AJ980" i="202"/>
  <c r="AJ981" i="202"/>
  <c r="AJ982" i="202"/>
  <c r="AJ983" i="202"/>
  <c r="AJ984" i="202"/>
  <c r="AJ985" i="202"/>
  <c r="AJ986" i="202"/>
  <c r="AJ987" i="202"/>
  <c r="AJ988" i="202"/>
  <c r="AJ989" i="202"/>
  <c r="AJ990" i="202"/>
  <c r="AJ991" i="202"/>
  <c r="AJ992" i="202"/>
  <c r="AJ993" i="202"/>
  <c r="AJ994" i="202"/>
  <c r="AJ995" i="202"/>
  <c r="AJ996" i="202"/>
  <c r="AJ997" i="202"/>
  <c r="AJ998" i="202"/>
  <c r="AJ999" i="202"/>
  <c r="AJ1000" i="202"/>
  <c r="AJ1001" i="202"/>
  <c r="AJ1002" i="202"/>
  <c r="AJ1003" i="202"/>
  <c r="AJ1004" i="202"/>
  <c r="AJ1005" i="202"/>
  <c r="AJ1006" i="202"/>
  <c r="AJ1007" i="202"/>
  <c r="AJ1008" i="202"/>
  <c r="AJ1009" i="202"/>
  <c r="AJ1010" i="202"/>
  <c r="AJ1011" i="202"/>
  <c r="AJ1012" i="202"/>
  <c r="AJ1013" i="202"/>
  <c r="AJ1014" i="202"/>
  <c r="AJ1015" i="202"/>
  <c r="AJ1016" i="202"/>
  <c r="AJ1017" i="202"/>
  <c r="AJ1018" i="202"/>
  <c r="AJ1019" i="202"/>
  <c r="AJ1020" i="202"/>
  <c r="AJ1021" i="202"/>
  <c r="AJ1022" i="202"/>
  <c r="AJ1023" i="202"/>
  <c r="AJ1024" i="202"/>
  <c r="AJ1025" i="202"/>
  <c r="AJ1026" i="202"/>
  <c r="AJ1027" i="202"/>
  <c r="AJ1028" i="202"/>
  <c r="AJ1029" i="202"/>
  <c r="AJ1030" i="202"/>
  <c r="AJ1031" i="202"/>
  <c r="AJ1032" i="202"/>
  <c r="AJ1033" i="202"/>
  <c r="AJ1034" i="202"/>
  <c r="AJ1035" i="202"/>
  <c r="AJ1036" i="202"/>
  <c r="AJ1037" i="202"/>
  <c r="AJ1038" i="202"/>
  <c r="AJ1039" i="202"/>
  <c r="AJ1040" i="202"/>
  <c r="AJ1041" i="202"/>
  <c r="AJ1042" i="202"/>
  <c r="AJ1043" i="202"/>
  <c r="AJ1044" i="202"/>
  <c r="AJ1045" i="202"/>
  <c r="AJ1046" i="202"/>
  <c r="AJ1047" i="202"/>
  <c r="AJ1048" i="202"/>
  <c r="AJ1049" i="202"/>
  <c r="AJ1050" i="202"/>
  <c r="AJ1051" i="202"/>
  <c r="AJ1052" i="202"/>
  <c r="AJ1053" i="202"/>
  <c r="AJ1054" i="202"/>
  <c r="AJ1055" i="202"/>
  <c r="AJ1056" i="202"/>
  <c r="AJ1057" i="202"/>
  <c r="AJ1058" i="202"/>
  <c r="AJ1059" i="202"/>
  <c r="AJ1060" i="202"/>
  <c r="AJ1061" i="202"/>
  <c r="AJ1062" i="202"/>
  <c r="AJ1063" i="202"/>
  <c r="AJ1064" i="202"/>
  <c r="AJ1065" i="202"/>
  <c r="AJ1066" i="202"/>
  <c r="AJ1067" i="202"/>
  <c r="AJ1068" i="202"/>
  <c r="AJ1069" i="202"/>
  <c r="AJ1070" i="202"/>
  <c r="AJ1071" i="202"/>
  <c r="AJ1072" i="202"/>
  <c r="AJ1073" i="202"/>
  <c r="AJ1074" i="202"/>
  <c r="AJ1075" i="202"/>
  <c r="AJ1076" i="202"/>
  <c r="AJ1077" i="202"/>
  <c r="AJ1078" i="202"/>
  <c r="AJ1079" i="202"/>
  <c r="AJ1080" i="202"/>
  <c r="AJ1081" i="202"/>
  <c r="AJ1082" i="202"/>
  <c r="AJ1083" i="202"/>
  <c r="AJ1084" i="202"/>
  <c r="AJ1085" i="202"/>
  <c r="AJ1086" i="202"/>
  <c r="AJ1087" i="202"/>
  <c r="AJ1088" i="202"/>
  <c r="AJ1089" i="202"/>
  <c r="AJ1090" i="202"/>
  <c r="AJ1091" i="202"/>
  <c r="AJ1092" i="202"/>
  <c r="AJ1093" i="202"/>
  <c r="AJ1094" i="202"/>
  <c r="AJ1095" i="202"/>
  <c r="AJ1096" i="202"/>
  <c r="AJ1097" i="202"/>
  <c r="AJ1098" i="202"/>
  <c r="AJ1099" i="202"/>
  <c r="AJ1100" i="202"/>
  <c r="AJ1101" i="202"/>
  <c r="AJ1102" i="202"/>
  <c r="AJ1103" i="202"/>
  <c r="AJ1104" i="202"/>
  <c r="AJ1105" i="202"/>
  <c r="AJ1106" i="202"/>
  <c r="AJ1107" i="202"/>
  <c r="AJ1108" i="202"/>
  <c r="AJ1109" i="202"/>
  <c r="AJ1110" i="202"/>
  <c r="AJ1111" i="202"/>
  <c r="AJ1112" i="202"/>
  <c r="AJ1113" i="202"/>
  <c r="AJ1114" i="202"/>
  <c r="AJ1115" i="202"/>
  <c r="AJ1116" i="202"/>
  <c r="AJ1117" i="202"/>
  <c r="AJ1118" i="202"/>
  <c r="AJ1119" i="202"/>
  <c r="AJ1120" i="202"/>
  <c r="AJ1121" i="202"/>
  <c r="AJ1122" i="202"/>
  <c r="AJ1123" i="202"/>
  <c r="AJ1124" i="202"/>
  <c r="AJ1125" i="202"/>
  <c r="AJ1126" i="202"/>
  <c r="AJ1127" i="202"/>
  <c r="AJ1128" i="202"/>
  <c r="AJ1129" i="202"/>
  <c r="AJ1130" i="202"/>
  <c r="AJ1131" i="202"/>
  <c r="AJ1132" i="202"/>
  <c r="AJ1133" i="202"/>
  <c r="AJ1134" i="202"/>
  <c r="AJ1135" i="202"/>
  <c r="AJ1136" i="202"/>
  <c r="AJ1137" i="202"/>
  <c r="AJ1138" i="202"/>
  <c r="AJ1139" i="202"/>
  <c r="AJ1140" i="202"/>
  <c r="AJ1141" i="202"/>
  <c r="AJ1142" i="202"/>
  <c r="AJ1143" i="202"/>
  <c r="AJ1144" i="202"/>
  <c r="AJ1145" i="202"/>
  <c r="AJ1146" i="202"/>
  <c r="AJ1147" i="202"/>
  <c r="AJ1148" i="202"/>
  <c r="AJ1149" i="202"/>
  <c r="AJ1150" i="202"/>
  <c r="AJ1151" i="202"/>
  <c r="AJ1152" i="202"/>
  <c r="AJ1153" i="202"/>
  <c r="AJ1154" i="202"/>
  <c r="AJ1155" i="202"/>
  <c r="AJ1156" i="202"/>
  <c r="AJ1157" i="202"/>
  <c r="AJ1158" i="202"/>
  <c r="AJ1159" i="202"/>
  <c r="AJ1160" i="202"/>
  <c r="AJ1161" i="202"/>
  <c r="AJ1162" i="202"/>
  <c r="AJ1163" i="202"/>
  <c r="AJ1164" i="202"/>
  <c r="AJ1165" i="202"/>
  <c r="AJ1166" i="202"/>
  <c r="AJ1167" i="202"/>
  <c r="AJ1168" i="202"/>
  <c r="AJ1169" i="202"/>
  <c r="AJ1170" i="202"/>
  <c r="AJ1171" i="202"/>
  <c r="AJ1172" i="202"/>
  <c r="AJ1173" i="202"/>
  <c r="AJ1174" i="202"/>
  <c r="AJ1175" i="202"/>
  <c r="AJ1176" i="202"/>
  <c r="AJ1177" i="202"/>
  <c r="AJ1178" i="202"/>
  <c r="AJ1179" i="202"/>
  <c r="AJ1180" i="202"/>
  <c r="AJ1181" i="202"/>
  <c r="AJ1182" i="202"/>
  <c r="AJ1183" i="202"/>
  <c r="AJ1184" i="202"/>
  <c r="AJ1185" i="202"/>
  <c r="AJ1186" i="202"/>
  <c r="AJ1187" i="202"/>
  <c r="AJ1188" i="202"/>
  <c r="AJ1189" i="202"/>
  <c r="AJ1190" i="202"/>
  <c r="AJ1191" i="202"/>
  <c r="AJ1192" i="202"/>
  <c r="AJ1193" i="202"/>
  <c r="AJ1194" i="202"/>
  <c r="AJ1195" i="202"/>
  <c r="AJ1196" i="202"/>
  <c r="AJ1197" i="202"/>
  <c r="AJ1198" i="202"/>
  <c r="AJ1199" i="202"/>
  <c r="AJ1200" i="202"/>
  <c r="AJ1201" i="202"/>
  <c r="AJ1202" i="202"/>
  <c r="AJ1203" i="202"/>
  <c r="AJ1204" i="202"/>
  <c r="AJ1205" i="202"/>
  <c r="AJ1206" i="202"/>
  <c r="AJ1207" i="202"/>
  <c r="AJ1208" i="202"/>
  <c r="AJ1209" i="202"/>
  <c r="AJ1210" i="202"/>
  <c r="AJ1211" i="202"/>
  <c r="AJ1212" i="202"/>
  <c r="AJ1213" i="202"/>
  <c r="AJ1214" i="202"/>
  <c r="AJ1215" i="202"/>
  <c r="AJ1216" i="202"/>
  <c r="AJ1217" i="202"/>
  <c r="AJ1218" i="202"/>
  <c r="AJ1219" i="202"/>
  <c r="AJ1220" i="202"/>
  <c r="AJ1221" i="202"/>
  <c r="AJ1222" i="202"/>
  <c r="AJ1223" i="202"/>
  <c r="AJ1224" i="202"/>
  <c r="AJ1225" i="202"/>
  <c r="AJ1226" i="202"/>
  <c r="AJ1227" i="202"/>
  <c r="AJ1228" i="202"/>
  <c r="AJ1229" i="202"/>
  <c r="AJ1230" i="202"/>
  <c r="AJ1231" i="202"/>
  <c r="AJ1232" i="202"/>
  <c r="AJ1233" i="202"/>
  <c r="AJ1234" i="202"/>
  <c r="AJ1235" i="202"/>
  <c r="AJ1236" i="202"/>
  <c r="AJ1237" i="202"/>
  <c r="AJ1238" i="202"/>
  <c r="AJ1239" i="202"/>
  <c r="AJ1240" i="202"/>
  <c r="AJ1241" i="202"/>
  <c r="AJ1242" i="202"/>
  <c r="AJ1243" i="202"/>
  <c r="AJ1244" i="202"/>
  <c r="AJ1245" i="202"/>
  <c r="AJ1246" i="202"/>
  <c r="AJ1247" i="202"/>
  <c r="AJ1248" i="202"/>
  <c r="AJ1249" i="202"/>
  <c r="AJ1250" i="202"/>
  <c r="AJ1251" i="202"/>
  <c r="AJ1252" i="202"/>
  <c r="AJ1253" i="202"/>
  <c r="AJ1254" i="202"/>
  <c r="AJ1255" i="202"/>
  <c r="AJ1256" i="202"/>
  <c r="AJ1257" i="202"/>
  <c r="AJ1258" i="202"/>
  <c r="AJ1259" i="202"/>
  <c r="AJ1260" i="202"/>
  <c r="AJ1261" i="202"/>
  <c r="AJ1262" i="202"/>
  <c r="AJ1263" i="202"/>
  <c r="AJ1264" i="202"/>
  <c r="AJ1265" i="202"/>
  <c r="AJ1266" i="202"/>
  <c r="AJ1267" i="202"/>
  <c r="AJ1268" i="202"/>
  <c r="AJ1269" i="202"/>
  <c r="AJ1270" i="202"/>
  <c r="AJ1271" i="202"/>
  <c r="AJ1272" i="202"/>
  <c r="AJ1273" i="202"/>
  <c r="AJ1274" i="202"/>
  <c r="AJ1275" i="202"/>
  <c r="AJ1276" i="202"/>
  <c r="AJ1277" i="202"/>
  <c r="AJ1278" i="202"/>
  <c r="AJ1279" i="202"/>
  <c r="AJ1280" i="202"/>
  <c r="AJ1281" i="202"/>
  <c r="AJ1282" i="202"/>
  <c r="AJ1283" i="202"/>
  <c r="AJ1284" i="202"/>
  <c r="AJ1285" i="202"/>
  <c r="AJ1286" i="202"/>
  <c r="AJ1287" i="202"/>
  <c r="AJ1288" i="202"/>
  <c r="AJ1289" i="202"/>
  <c r="AJ1290" i="202"/>
  <c r="AJ1291" i="202"/>
  <c r="AJ1292" i="202"/>
  <c r="AJ1293" i="202"/>
  <c r="AJ1294" i="202"/>
  <c r="AJ1295" i="202"/>
  <c r="AJ1296" i="202"/>
  <c r="AJ1297" i="202"/>
  <c r="AJ1298" i="202"/>
  <c r="AJ1299" i="202"/>
  <c r="AJ1300" i="202"/>
  <c r="AJ1301" i="202"/>
  <c r="AJ1302" i="202"/>
  <c r="AJ1303" i="202"/>
  <c r="AJ1304" i="202"/>
  <c r="AJ1305" i="202"/>
  <c r="AJ1306" i="202"/>
  <c r="AJ1307" i="202"/>
  <c r="AJ1308" i="202"/>
  <c r="AJ1309" i="202"/>
  <c r="AJ1310" i="202"/>
  <c r="AJ1311" i="202"/>
  <c r="AJ1312" i="202"/>
  <c r="AJ1313" i="202"/>
  <c r="AJ1314" i="202"/>
  <c r="AJ1315" i="202"/>
  <c r="AJ1316" i="202"/>
  <c r="AJ1317" i="202"/>
  <c r="AJ1318" i="202"/>
  <c r="AJ1319" i="202"/>
  <c r="AJ1320" i="202"/>
  <c r="AJ1321" i="202"/>
  <c r="AJ1322" i="202"/>
  <c r="AJ1323" i="202"/>
  <c r="AJ1324" i="202"/>
  <c r="AJ1325" i="202"/>
  <c r="AJ1326" i="202"/>
  <c r="AJ1327" i="202"/>
  <c r="AJ1328" i="202"/>
  <c r="AJ1329" i="202"/>
  <c r="AJ1330" i="202"/>
  <c r="AJ1331" i="202"/>
  <c r="AJ1332" i="202"/>
  <c r="AJ1333" i="202"/>
  <c r="AJ1334" i="202"/>
  <c r="AJ1335" i="202"/>
  <c r="AJ1336" i="202"/>
  <c r="AJ1337" i="202"/>
  <c r="AJ1338" i="202"/>
  <c r="AJ1339" i="202"/>
  <c r="AJ1340" i="202"/>
  <c r="AJ1341" i="202"/>
  <c r="AJ1342" i="202"/>
  <c r="AJ1343" i="202"/>
  <c r="AJ1344" i="202"/>
  <c r="AJ1345" i="202"/>
  <c r="AJ1346" i="202"/>
  <c r="AJ1347" i="202"/>
  <c r="AJ1348" i="202"/>
  <c r="AJ1349" i="202"/>
  <c r="AJ1350" i="202"/>
  <c r="AJ1351" i="202"/>
  <c r="AJ1352" i="202"/>
  <c r="AJ1353" i="202"/>
  <c r="AJ1354" i="202"/>
  <c r="AJ1355" i="202"/>
  <c r="AJ1356" i="202"/>
  <c r="AJ1357" i="202"/>
  <c r="AJ1358" i="202"/>
  <c r="AJ1359" i="202"/>
  <c r="AJ1360" i="202"/>
  <c r="AJ1361" i="202"/>
  <c r="AJ1362" i="202"/>
  <c r="AJ1363" i="202"/>
  <c r="AJ1364" i="202"/>
  <c r="AJ1365" i="202"/>
  <c r="AJ1366" i="202"/>
  <c r="AJ1367" i="202"/>
  <c r="AJ1368" i="202"/>
  <c r="AJ1369" i="202"/>
  <c r="AJ1370" i="202"/>
  <c r="AJ1371" i="202"/>
  <c r="AJ1372" i="202"/>
  <c r="AJ1373" i="202"/>
  <c r="AJ1374" i="202"/>
  <c r="AJ1375" i="202"/>
  <c r="AJ1376" i="202"/>
  <c r="AJ1377" i="202"/>
  <c r="AJ1378" i="202"/>
  <c r="AJ1379" i="202"/>
  <c r="AJ1380" i="202"/>
  <c r="AJ1381" i="202"/>
  <c r="AJ1382" i="202"/>
  <c r="AJ1383" i="202"/>
  <c r="AJ1384" i="202"/>
  <c r="AJ1385" i="202"/>
  <c r="AJ1386" i="202"/>
  <c r="AJ1387" i="202"/>
  <c r="AJ1388" i="202"/>
  <c r="AJ1389" i="202"/>
  <c r="AJ1390" i="202"/>
  <c r="AJ1391" i="202"/>
  <c r="AJ1392" i="202"/>
  <c r="AJ1393" i="202"/>
  <c r="AJ1394" i="202"/>
  <c r="AJ1395" i="202"/>
  <c r="AJ1396" i="202"/>
  <c r="AJ1397" i="202"/>
  <c r="AJ1398" i="202"/>
  <c r="AJ1399" i="202"/>
  <c r="AJ1400" i="202"/>
  <c r="AJ1401" i="202"/>
  <c r="AJ1402" i="202"/>
  <c r="AJ1403" i="202"/>
  <c r="AJ1404" i="202"/>
  <c r="AJ1405" i="202"/>
  <c r="AJ1406" i="202"/>
  <c r="AJ1407" i="202"/>
  <c r="AJ1408" i="202"/>
  <c r="AJ1409" i="202"/>
  <c r="AJ1410" i="202"/>
  <c r="AJ1411" i="202"/>
  <c r="AJ1412" i="202"/>
  <c r="AJ1413" i="202"/>
  <c r="AJ1414" i="202"/>
  <c r="AJ1415" i="202"/>
  <c r="AJ1416" i="202"/>
  <c r="AJ1417" i="202"/>
  <c r="AJ1418" i="202"/>
  <c r="AJ1419" i="202"/>
  <c r="AJ1420" i="202"/>
  <c r="AJ1421" i="202"/>
  <c r="AJ1422" i="202"/>
  <c r="AJ1423" i="202"/>
  <c r="AJ1424" i="202"/>
  <c r="AJ1425" i="202"/>
  <c r="AJ1426" i="202"/>
  <c r="AJ1427" i="202"/>
  <c r="AJ1428" i="202"/>
  <c r="AJ1429" i="202"/>
  <c r="AJ1430" i="202"/>
  <c r="AJ1431" i="202"/>
  <c r="AJ1432" i="202"/>
  <c r="AJ1433" i="202"/>
  <c r="AJ1434" i="202"/>
  <c r="AJ1435" i="202"/>
  <c r="AJ1436" i="202"/>
  <c r="AJ1437" i="202"/>
  <c r="AJ1438" i="202"/>
  <c r="AJ1439" i="202"/>
  <c r="AJ1440" i="202"/>
  <c r="AJ1441" i="202"/>
  <c r="AJ1442" i="202"/>
  <c r="AJ1443" i="202"/>
  <c r="AJ1444" i="202"/>
  <c r="AJ1445" i="202"/>
  <c r="AJ1446" i="202"/>
  <c r="AJ1447" i="202"/>
  <c r="AJ1448" i="202"/>
  <c r="AJ1449" i="202"/>
  <c r="AJ1450" i="202"/>
  <c r="AJ1451" i="202"/>
  <c r="AJ1452" i="202"/>
  <c r="AJ1453" i="202"/>
  <c r="AJ1454" i="202"/>
  <c r="AJ1455" i="202"/>
  <c r="AJ1456" i="202"/>
  <c r="AJ1457" i="202"/>
  <c r="AJ1458" i="202"/>
  <c r="AJ1459" i="202"/>
  <c r="AJ1460" i="202"/>
  <c r="AJ1461" i="202"/>
  <c r="AJ1462" i="202"/>
  <c r="AJ1463" i="202"/>
  <c r="AJ1464" i="202"/>
  <c r="AJ1465" i="202"/>
  <c r="AJ1466" i="202"/>
  <c r="AJ1467" i="202"/>
  <c r="AJ1468" i="202"/>
  <c r="AJ1469" i="202"/>
  <c r="AJ1470" i="202"/>
  <c r="AJ1471" i="202"/>
  <c r="AJ1472" i="202"/>
  <c r="AJ1473" i="202"/>
  <c r="AJ1474" i="202"/>
  <c r="AJ1475" i="202"/>
  <c r="AJ1476" i="202"/>
  <c r="AJ1477" i="202"/>
  <c r="AJ1478" i="202"/>
  <c r="AJ1479" i="202"/>
  <c r="AJ1480" i="202"/>
  <c r="AJ1481" i="202"/>
  <c r="AJ1482" i="202"/>
  <c r="AJ1483" i="202"/>
  <c r="AJ1484" i="202"/>
  <c r="AJ1485" i="202"/>
  <c r="AJ1486" i="202"/>
  <c r="AJ1487" i="202"/>
  <c r="AJ1488" i="202"/>
  <c r="AJ1489" i="202"/>
  <c r="AJ1490" i="202"/>
  <c r="AJ1491" i="202"/>
  <c r="AJ1492" i="202"/>
  <c r="AJ1493" i="202"/>
  <c r="AJ1494" i="202"/>
  <c r="AJ1495" i="202"/>
  <c r="AJ1496" i="202"/>
  <c r="AJ1497" i="202"/>
  <c r="AJ1498" i="202"/>
  <c r="AJ1499" i="202"/>
  <c r="AJ1500" i="202"/>
  <c r="AJ1501" i="202"/>
  <c r="AJ1502" i="202"/>
  <c r="AJ1503" i="202"/>
  <c r="AJ1504" i="202"/>
  <c r="AJ1505" i="202"/>
  <c r="AJ1506" i="202"/>
  <c r="AJ1507" i="202"/>
  <c r="AJ1508" i="202"/>
  <c r="AJ1509" i="202"/>
  <c r="AJ1510" i="202"/>
  <c r="AJ1511" i="202"/>
  <c r="AJ1512" i="202"/>
  <c r="AJ1513" i="202"/>
  <c r="AJ1514" i="202"/>
  <c r="AJ1515" i="202"/>
  <c r="AJ1516" i="202"/>
  <c r="AJ1517" i="202"/>
  <c r="AJ1518" i="202"/>
  <c r="AJ1519" i="202"/>
  <c r="AJ1520" i="202"/>
  <c r="AJ1521" i="202"/>
  <c r="AJ1522" i="202"/>
  <c r="AJ1523" i="202"/>
  <c r="AJ1524" i="202"/>
  <c r="AJ1525" i="202"/>
  <c r="AJ1526" i="202"/>
  <c r="AJ1527" i="202"/>
  <c r="AJ1528" i="202"/>
  <c r="AJ1529" i="202"/>
  <c r="AJ1530" i="202"/>
  <c r="AJ1531" i="202"/>
  <c r="AJ1532" i="202"/>
  <c r="AJ1533" i="202"/>
  <c r="AJ1534" i="202"/>
  <c r="AJ1535" i="202"/>
  <c r="AJ1536" i="202"/>
  <c r="AJ1537" i="202"/>
  <c r="AJ1538" i="202"/>
  <c r="AJ1539" i="202"/>
  <c r="AJ1540" i="202"/>
  <c r="AJ1541" i="202"/>
  <c r="AJ1542" i="202"/>
  <c r="AJ1543" i="202"/>
  <c r="AJ1544" i="202"/>
  <c r="AJ1545" i="202"/>
  <c r="AJ1546" i="202"/>
  <c r="AJ1547" i="202"/>
  <c r="AJ1548" i="202"/>
  <c r="AJ1549" i="202"/>
  <c r="AJ1550" i="202"/>
  <c r="AJ1551" i="202"/>
  <c r="AJ1552" i="202"/>
  <c r="AJ1553" i="202"/>
  <c r="AJ1554" i="202"/>
  <c r="AJ1555" i="202"/>
  <c r="AJ1556" i="202"/>
  <c r="AJ1557" i="202"/>
  <c r="AJ1558" i="202"/>
  <c r="AJ1559" i="202"/>
  <c r="AJ1560" i="202"/>
  <c r="AJ1561" i="202"/>
  <c r="AJ1562" i="202"/>
  <c r="AJ1563" i="202"/>
  <c r="AJ1564" i="202"/>
  <c r="AJ1565" i="202"/>
  <c r="AJ1566" i="202"/>
  <c r="AJ1567" i="202"/>
  <c r="AJ1568" i="202"/>
  <c r="AJ1569" i="202"/>
  <c r="AJ1570" i="202"/>
  <c r="AJ1571" i="202"/>
  <c r="AJ1572" i="202"/>
  <c r="AJ1573" i="202"/>
  <c r="AJ1574" i="202"/>
  <c r="AJ1575" i="202"/>
  <c r="AJ1576" i="202"/>
  <c r="AJ1577" i="202"/>
  <c r="AJ1578" i="202"/>
  <c r="AJ1579" i="202"/>
  <c r="AJ1580" i="202"/>
  <c r="AJ1581" i="202"/>
  <c r="AJ1582" i="202"/>
  <c r="AJ1583" i="202"/>
  <c r="AJ1584" i="202"/>
  <c r="AJ1585" i="202"/>
  <c r="AJ1586" i="202"/>
  <c r="AJ1587" i="202"/>
  <c r="AJ1588" i="202"/>
  <c r="AJ1589" i="202"/>
  <c r="AJ1590" i="202"/>
  <c r="AJ1591" i="202"/>
  <c r="AJ1592" i="202"/>
  <c r="AJ1593" i="202"/>
  <c r="AJ1594" i="202"/>
  <c r="AJ1595" i="202"/>
  <c r="AJ1596" i="202"/>
  <c r="AJ1597" i="202"/>
  <c r="AJ1598" i="202"/>
  <c r="AJ1599" i="202"/>
  <c r="AJ1600" i="202"/>
  <c r="AJ1601" i="202"/>
  <c r="AJ1602" i="202"/>
  <c r="AJ1603" i="202"/>
  <c r="AJ1604" i="202"/>
  <c r="AJ1605" i="202"/>
  <c r="AJ1606" i="202"/>
  <c r="AJ1607" i="202"/>
  <c r="AJ1608" i="202"/>
  <c r="AJ1609" i="202"/>
  <c r="AJ1610" i="202"/>
  <c r="AJ1611" i="202"/>
  <c r="AJ1612" i="202"/>
  <c r="AJ1613" i="202"/>
  <c r="AJ1614" i="202"/>
  <c r="AJ1615" i="202"/>
  <c r="AJ1616" i="202"/>
  <c r="AJ1617" i="202"/>
  <c r="AJ1618" i="202"/>
  <c r="AJ1619" i="202"/>
  <c r="AJ1620" i="202"/>
  <c r="AJ1621" i="202"/>
  <c r="AJ1622" i="202"/>
  <c r="AJ1623" i="202"/>
  <c r="AJ1624" i="202"/>
  <c r="AJ1625" i="202"/>
  <c r="AJ1626" i="202"/>
  <c r="AJ1627" i="202"/>
  <c r="AJ1628" i="202"/>
  <c r="AJ1629" i="202"/>
  <c r="AJ1630" i="202"/>
  <c r="AJ1631" i="202"/>
  <c r="AJ1632" i="202"/>
  <c r="AJ1633" i="202"/>
  <c r="AJ1634" i="202"/>
  <c r="AJ1635" i="202"/>
  <c r="AJ1636" i="202"/>
  <c r="AJ1637" i="202"/>
  <c r="AJ1638" i="202"/>
  <c r="AJ1639" i="202"/>
  <c r="AJ1640" i="202"/>
  <c r="AJ1641" i="202"/>
  <c r="AJ1642" i="202"/>
  <c r="AJ1643" i="202"/>
  <c r="AJ1644" i="202"/>
  <c r="AJ1645" i="202"/>
  <c r="AJ1646" i="202"/>
  <c r="AJ1647" i="202"/>
  <c r="AJ1648" i="202"/>
  <c r="AJ1649" i="202"/>
  <c r="AJ1650" i="202"/>
  <c r="AJ1651" i="202"/>
  <c r="AJ1652" i="202"/>
  <c r="AJ1653" i="202"/>
  <c r="AJ1654" i="202"/>
  <c r="AJ1655" i="202"/>
  <c r="AJ1656" i="202"/>
  <c r="AJ1657" i="202"/>
  <c r="AJ1658" i="202"/>
  <c r="AJ1659" i="202"/>
  <c r="AJ1660" i="202"/>
  <c r="AJ1661" i="202"/>
  <c r="AJ1662" i="202"/>
  <c r="AJ1663" i="202"/>
  <c r="AJ1664" i="202"/>
  <c r="AJ1665" i="202"/>
  <c r="AJ1666" i="202"/>
  <c r="AJ1667" i="202"/>
  <c r="AJ1668" i="202"/>
  <c r="AJ1669" i="202"/>
  <c r="AJ1670" i="202"/>
  <c r="AJ1671" i="202"/>
  <c r="AJ1672" i="202"/>
  <c r="AJ1673" i="202"/>
  <c r="AJ1674" i="202"/>
  <c r="AJ1675" i="202"/>
  <c r="AJ1676" i="202"/>
  <c r="AJ1677" i="202"/>
  <c r="AJ1678" i="202"/>
  <c r="AJ1679" i="202"/>
  <c r="AJ1680" i="202"/>
  <c r="AJ1681" i="202"/>
  <c r="AJ1682" i="202"/>
  <c r="AJ1683" i="202"/>
  <c r="AJ1684" i="202"/>
  <c r="AJ1685" i="202"/>
  <c r="AJ1686" i="202"/>
  <c r="AJ1687" i="202"/>
  <c r="AJ1688" i="202"/>
  <c r="AJ1689" i="202"/>
  <c r="AJ1690" i="202"/>
  <c r="AJ1691" i="202"/>
  <c r="AJ1692" i="202"/>
  <c r="AJ1693" i="202"/>
  <c r="AJ1694" i="202"/>
  <c r="AJ1695" i="202"/>
  <c r="AJ1696" i="202"/>
  <c r="AJ1697" i="202"/>
  <c r="AJ1698" i="202"/>
  <c r="AJ1699" i="202"/>
  <c r="AJ1700" i="202"/>
  <c r="AJ1701" i="202"/>
  <c r="AJ1702" i="202"/>
  <c r="AJ1703" i="202"/>
  <c r="AJ1704" i="202"/>
  <c r="AJ1705" i="202"/>
  <c r="AJ1706" i="202"/>
  <c r="AJ1707" i="202"/>
  <c r="AJ1708" i="202"/>
  <c r="AJ1709" i="202"/>
  <c r="AJ1710" i="202"/>
  <c r="AJ1711" i="202"/>
  <c r="AJ1712" i="202"/>
  <c r="AJ1713" i="202"/>
  <c r="AJ1714" i="202"/>
  <c r="AJ1715" i="202"/>
  <c r="AJ1716" i="202"/>
  <c r="AJ1717" i="202"/>
  <c r="AJ1718" i="202"/>
  <c r="AJ1719" i="202"/>
  <c r="AJ1720" i="202"/>
  <c r="AJ1721" i="202"/>
  <c r="AJ1722" i="202"/>
  <c r="AJ1723" i="202"/>
  <c r="AJ1724" i="202"/>
  <c r="AJ1725" i="202"/>
  <c r="AJ1726" i="202"/>
  <c r="AJ1727" i="202"/>
  <c r="AJ1728" i="202"/>
  <c r="AJ1729" i="202"/>
  <c r="AJ1730" i="202"/>
  <c r="AJ1731" i="202"/>
  <c r="AJ1732" i="202"/>
  <c r="AJ1733" i="202"/>
  <c r="AJ1734" i="202"/>
  <c r="AJ1735" i="202"/>
  <c r="AJ1736" i="202"/>
  <c r="AJ1737" i="202"/>
  <c r="AJ1738" i="202"/>
  <c r="AJ1739" i="202"/>
  <c r="AJ1740" i="202"/>
  <c r="AJ1741" i="202"/>
  <c r="AJ1742" i="202"/>
  <c r="AJ1743" i="202"/>
  <c r="AJ1744" i="202"/>
  <c r="AJ1745" i="202"/>
  <c r="AJ1746" i="202"/>
  <c r="AJ1747" i="202"/>
  <c r="AJ1748" i="202"/>
  <c r="AJ1749" i="202"/>
  <c r="AJ1750" i="202"/>
  <c r="AJ1751" i="202"/>
  <c r="AJ1752" i="202"/>
  <c r="AJ1753" i="202"/>
  <c r="AJ1754" i="202"/>
  <c r="AJ1755" i="202"/>
  <c r="AJ1756" i="202"/>
  <c r="AJ1757" i="202"/>
  <c r="AJ1758" i="202"/>
  <c r="AJ1759" i="202"/>
  <c r="AJ1760" i="202"/>
  <c r="AJ1761" i="202"/>
  <c r="AJ1762" i="202"/>
  <c r="AJ1763" i="202"/>
  <c r="AJ1764" i="202"/>
  <c r="AJ1765" i="202"/>
  <c r="AJ1766" i="202"/>
  <c r="AJ1767" i="202"/>
  <c r="AJ1768" i="202"/>
  <c r="AJ1769" i="202"/>
  <c r="AJ1770" i="202"/>
  <c r="AJ1771" i="202"/>
  <c r="AJ1772" i="202"/>
  <c r="AJ1773" i="202"/>
  <c r="AJ1774" i="202"/>
  <c r="AJ1775" i="202"/>
  <c r="AJ1776" i="202"/>
  <c r="AJ1777" i="202"/>
  <c r="AJ1778" i="202"/>
  <c r="AJ1779" i="202"/>
  <c r="AJ1780" i="202"/>
  <c r="AJ1781" i="202"/>
  <c r="AJ1782" i="202"/>
  <c r="AJ1783" i="202"/>
  <c r="AJ1784" i="202"/>
  <c r="AJ1785" i="202"/>
  <c r="AJ1786" i="202"/>
  <c r="AJ1787" i="202"/>
  <c r="AJ1788" i="202"/>
  <c r="AJ1789" i="202"/>
  <c r="AJ1790" i="202"/>
  <c r="AJ1791" i="202"/>
  <c r="AJ1792" i="202"/>
  <c r="AJ1793" i="202"/>
  <c r="AJ1794" i="202"/>
  <c r="AJ1795" i="202"/>
  <c r="AJ1796" i="202"/>
  <c r="AJ1797" i="202"/>
  <c r="AJ1798" i="202"/>
  <c r="AJ1799" i="202"/>
  <c r="AJ1800" i="202"/>
  <c r="AJ1801" i="202"/>
  <c r="AJ1802" i="202"/>
  <c r="AJ1803" i="202"/>
  <c r="AJ1804" i="202"/>
  <c r="AJ1805" i="202"/>
  <c r="AJ1806" i="202"/>
  <c r="AJ1807" i="202"/>
  <c r="AJ1808" i="202"/>
  <c r="AJ1809" i="202"/>
  <c r="AJ1810" i="202"/>
  <c r="AJ1811" i="202"/>
  <c r="AJ1812" i="202"/>
  <c r="AJ1813" i="202"/>
  <c r="AJ1814" i="202"/>
  <c r="AJ1815" i="202"/>
  <c r="AJ1816" i="202"/>
  <c r="AJ1817" i="202"/>
  <c r="AJ1818" i="202"/>
  <c r="AJ1819" i="202"/>
  <c r="AJ1820" i="202"/>
  <c r="AJ1821" i="202"/>
  <c r="AJ1822" i="202"/>
  <c r="AJ1823" i="202"/>
  <c r="AJ1824" i="202"/>
  <c r="AJ1825" i="202"/>
  <c r="AJ1826" i="202"/>
  <c r="AJ1827" i="202"/>
  <c r="AJ1828" i="202"/>
  <c r="AJ1829" i="202"/>
  <c r="AJ1830" i="202"/>
  <c r="AJ1831" i="202"/>
  <c r="AJ1832" i="202"/>
  <c r="AJ1833" i="202"/>
  <c r="AJ1834" i="202"/>
  <c r="AJ1835" i="202"/>
  <c r="AJ1836" i="202"/>
  <c r="AJ1837" i="202"/>
  <c r="AJ1838" i="202"/>
  <c r="AJ1839" i="202"/>
  <c r="AJ1840" i="202"/>
  <c r="AJ1841" i="202"/>
  <c r="AJ1842" i="202"/>
  <c r="AJ1843" i="202"/>
  <c r="AJ1844" i="202"/>
  <c r="AJ1845" i="202"/>
  <c r="AJ1846" i="202"/>
  <c r="AJ1847" i="202"/>
  <c r="AJ1848" i="202"/>
  <c r="AJ1849" i="202"/>
  <c r="AJ1850" i="202"/>
  <c r="AJ1851" i="202"/>
  <c r="AJ1852" i="202"/>
  <c r="AJ1853" i="202"/>
  <c r="AJ1854" i="202"/>
  <c r="AJ1855" i="202"/>
  <c r="AJ1856" i="202"/>
  <c r="AJ1857" i="202"/>
  <c r="AJ1858" i="202"/>
  <c r="AJ1859" i="202"/>
  <c r="AJ1860" i="202"/>
  <c r="AJ1861" i="202"/>
  <c r="AJ1862" i="202"/>
  <c r="AJ1863" i="202"/>
  <c r="AJ1864" i="202"/>
  <c r="AJ1865" i="202"/>
  <c r="AJ1866" i="202"/>
  <c r="AJ1867" i="202"/>
  <c r="AJ1868" i="202"/>
  <c r="AJ1869" i="202"/>
  <c r="AJ1870" i="202"/>
  <c r="AJ1871" i="202"/>
  <c r="AJ1872" i="202"/>
  <c r="AJ1873" i="202"/>
  <c r="AJ1874" i="202"/>
  <c r="AJ1875" i="202"/>
  <c r="AJ1876" i="202"/>
  <c r="AJ1877" i="202"/>
  <c r="AJ1878" i="202"/>
  <c r="AJ1879" i="202"/>
  <c r="AJ1880" i="202"/>
  <c r="AJ1881" i="202"/>
  <c r="AJ1882" i="202"/>
  <c r="AJ1883" i="202"/>
  <c r="AJ1884" i="202"/>
  <c r="AJ1885" i="202"/>
  <c r="AJ1886" i="202"/>
  <c r="AJ1887" i="202"/>
  <c r="AJ1888" i="202"/>
  <c r="AJ1889" i="202"/>
  <c r="AJ1890" i="202"/>
  <c r="AJ1891" i="202"/>
  <c r="AJ1892" i="202"/>
  <c r="AJ1893" i="202"/>
  <c r="AJ1894" i="202"/>
  <c r="AJ1895" i="202"/>
  <c r="AJ1896" i="202"/>
  <c r="AJ1897" i="202"/>
  <c r="AJ1898" i="202"/>
  <c r="AJ1899" i="202"/>
  <c r="AJ1900" i="202"/>
  <c r="AJ1901" i="202"/>
  <c r="AJ1902" i="202"/>
  <c r="AJ1903" i="202"/>
  <c r="AJ1904" i="202"/>
  <c r="AJ1905" i="202"/>
  <c r="AJ1906" i="202"/>
  <c r="AJ1907" i="202"/>
  <c r="AJ1908" i="202"/>
  <c r="AJ1909" i="202"/>
  <c r="AJ1910" i="202"/>
  <c r="AJ1911" i="202"/>
  <c r="AJ1912" i="202"/>
  <c r="AJ1913" i="202"/>
  <c r="AJ1914" i="202"/>
  <c r="AJ1915" i="202"/>
  <c r="AJ1916" i="202"/>
  <c r="AJ1917" i="202"/>
  <c r="AJ1918" i="202"/>
  <c r="AJ1919" i="202"/>
  <c r="AJ1920" i="202"/>
  <c r="AJ1921" i="202"/>
  <c r="AJ1922" i="202"/>
  <c r="AJ1923" i="202"/>
  <c r="AJ1924" i="202"/>
  <c r="AJ1925" i="202"/>
  <c r="AJ1926" i="202"/>
  <c r="AJ1927" i="202"/>
  <c r="AJ1928" i="202"/>
  <c r="AJ1929" i="202"/>
  <c r="AJ1930" i="202"/>
  <c r="AJ1931" i="202"/>
  <c r="AJ1932" i="202"/>
  <c r="AJ1933" i="202"/>
  <c r="AJ1934" i="202"/>
  <c r="AJ1935" i="202"/>
  <c r="AJ1936" i="202"/>
  <c r="AJ1937" i="202"/>
  <c r="AJ1938" i="202"/>
  <c r="AJ1939" i="202"/>
  <c r="AJ1940" i="202"/>
  <c r="AJ1941" i="202"/>
  <c r="AJ1942" i="202"/>
  <c r="AJ1943" i="202"/>
  <c r="AJ1944" i="202"/>
  <c r="AJ1945" i="202"/>
  <c r="AJ1946" i="202"/>
  <c r="AJ1947" i="202"/>
  <c r="AJ1948" i="202"/>
  <c r="AJ1949" i="202"/>
  <c r="AJ1950" i="202"/>
  <c r="AJ1951" i="202"/>
  <c r="AJ1952" i="202"/>
  <c r="AJ1953" i="202"/>
  <c r="AJ1954" i="202"/>
  <c r="AJ1955" i="202"/>
  <c r="AJ1956" i="202"/>
  <c r="AJ1957" i="202"/>
  <c r="AJ1958" i="202"/>
  <c r="AJ1959" i="202"/>
  <c r="AJ1960" i="202"/>
  <c r="AJ1961" i="202"/>
  <c r="AJ1962" i="202"/>
  <c r="AJ1963" i="202"/>
  <c r="AJ1964" i="202"/>
  <c r="AJ1965" i="202"/>
  <c r="AJ1966" i="202"/>
  <c r="AJ1967" i="202"/>
  <c r="AJ1968" i="202"/>
  <c r="AJ1969" i="202"/>
  <c r="AJ1970" i="202"/>
  <c r="AJ1971" i="202"/>
  <c r="AJ1972" i="202"/>
  <c r="AJ1973" i="202"/>
  <c r="AJ1974" i="202"/>
  <c r="AJ1975" i="202"/>
  <c r="AJ1976" i="202"/>
  <c r="AJ1977" i="202"/>
  <c r="AJ1978" i="202"/>
  <c r="AJ1979" i="202"/>
  <c r="AJ1980" i="202"/>
  <c r="AJ1981" i="202"/>
  <c r="AJ1982" i="202"/>
  <c r="AJ1983" i="202"/>
  <c r="AJ1984" i="202"/>
  <c r="AJ1985" i="202"/>
  <c r="AJ1986" i="202"/>
  <c r="AJ1987" i="202"/>
  <c r="AJ1988" i="202"/>
  <c r="AJ1989" i="202"/>
  <c r="AJ1990" i="202"/>
  <c r="AJ1991" i="202"/>
  <c r="AJ1992" i="202"/>
  <c r="AJ1993" i="202"/>
  <c r="AJ1994" i="202"/>
  <c r="AJ1995" i="202"/>
  <c r="AJ1996" i="202"/>
  <c r="AJ1997" i="202"/>
  <c r="AJ1998" i="202"/>
  <c r="AJ1999" i="202"/>
  <c r="AJ2000" i="202"/>
  <c r="AJ2001" i="202"/>
  <c r="AJ2002" i="202"/>
  <c r="AJ2003" i="202"/>
  <c r="AJ2004" i="202"/>
  <c r="AJ2005" i="202"/>
  <c r="AJ2006" i="202"/>
  <c r="AJ2007" i="202"/>
  <c r="AJ2008" i="202"/>
  <c r="AJ2009" i="202"/>
  <c r="AJ2010" i="202"/>
  <c r="AJ2011" i="202"/>
  <c r="AJ2012" i="202"/>
  <c r="AJ2013" i="202"/>
  <c r="AJ2014" i="202"/>
  <c r="AJ2015" i="202"/>
  <c r="AJ2016" i="202"/>
  <c r="AJ2017" i="202"/>
  <c r="AJ2018" i="202"/>
  <c r="AJ2019" i="202"/>
  <c r="AJ2020" i="202"/>
  <c r="AJ2021" i="202"/>
  <c r="AJ2022" i="202"/>
  <c r="AJ2023" i="202"/>
  <c r="AJ2024" i="202"/>
  <c r="AJ2025" i="202"/>
  <c r="AJ2026" i="202"/>
  <c r="AJ2027" i="202"/>
  <c r="AJ2028" i="202"/>
  <c r="AJ2029" i="202"/>
  <c r="AJ2030" i="202"/>
  <c r="AJ2031" i="202"/>
  <c r="AJ2032" i="202"/>
  <c r="AJ2033" i="202"/>
  <c r="AJ2034" i="202"/>
  <c r="AJ2035" i="202"/>
  <c r="AJ2036" i="202"/>
  <c r="AJ2037" i="202"/>
  <c r="AJ2038" i="202"/>
  <c r="AJ2039" i="202"/>
  <c r="AJ2040" i="202"/>
  <c r="AJ2041" i="202"/>
  <c r="AJ2042" i="202"/>
  <c r="AJ2043" i="202"/>
  <c r="AJ2044" i="202"/>
  <c r="AJ2045" i="202"/>
  <c r="AJ2046" i="202"/>
  <c r="AJ2047" i="202"/>
  <c r="AJ2048" i="202"/>
  <c r="V2" i="202"/>
  <c r="V3" i="202"/>
  <c r="V4" i="202"/>
  <c r="V5" i="202"/>
  <c r="V6" i="202"/>
  <c r="V7" i="202"/>
  <c r="V8" i="202"/>
  <c r="V9" i="202"/>
  <c r="V10" i="202"/>
  <c r="V11" i="202"/>
  <c r="V12" i="202"/>
  <c r="V13" i="202"/>
  <c r="V14" i="202"/>
  <c r="V15" i="202"/>
  <c r="V16" i="202"/>
  <c r="V17" i="202"/>
  <c r="V18" i="202"/>
  <c r="V19" i="202"/>
  <c r="V20" i="202"/>
  <c r="V21" i="202"/>
  <c r="V22" i="202"/>
  <c r="V23" i="202"/>
  <c r="V24" i="202"/>
  <c r="V25" i="202"/>
  <c r="V26" i="202"/>
  <c r="V27" i="202"/>
  <c r="V28" i="202"/>
  <c r="V29" i="202"/>
  <c r="V30" i="202"/>
  <c r="V31" i="202"/>
  <c r="V32" i="202"/>
  <c r="V33" i="202"/>
  <c r="V34" i="202"/>
  <c r="V35" i="202"/>
  <c r="V36" i="202"/>
  <c r="V37" i="202"/>
  <c r="V38" i="202"/>
  <c r="V39" i="202"/>
  <c r="V40" i="202"/>
  <c r="V41" i="202"/>
  <c r="V42" i="202"/>
  <c r="V43" i="202"/>
  <c r="V44" i="202"/>
  <c r="V45" i="202"/>
  <c r="V46" i="202"/>
  <c r="V47" i="202"/>
  <c r="V48" i="202"/>
  <c r="V49" i="202"/>
  <c r="V50" i="202"/>
  <c r="V51" i="202"/>
  <c r="V52" i="202"/>
  <c r="V53" i="202"/>
  <c r="V54" i="202"/>
  <c r="V55" i="202"/>
  <c r="V56" i="202"/>
  <c r="V57" i="202"/>
  <c r="V58" i="202"/>
  <c r="V59" i="202"/>
  <c r="V60" i="202"/>
  <c r="V61" i="202"/>
  <c r="V62" i="202"/>
  <c r="V63" i="202"/>
  <c r="V64" i="202"/>
  <c r="V65" i="202"/>
  <c r="V66" i="202"/>
  <c r="V67" i="202"/>
  <c r="V68" i="202"/>
  <c r="V69" i="202"/>
  <c r="V70" i="202"/>
  <c r="V71" i="202"/>
  <c r="V72" i="202"/>
  <c r="V73" i="202"/>
  <c r="V74" i="202"/>
  <c r="V75" i="202"/>
  <c r="V76" i="202"/>
  <c r="V77" i="202"/>
  <c r="V78" i="202"/>
  <c r="V79" i="202"/>
  <c r="V80" i="202"/>
  <c r="V81" i="202"/>
  <c r="V82" i="202"/>
  <c r="V83" i="202"/>
  <c r="V84" i="202"/>
  <c r="V85" i="202"/>
  <c r="V86" i="202"/>
  <c r="V87" i="202"/>
  <c r="V88" i="202"/>
  <c r="V89" i="202"/>
  <c r="V90" i="202"/>
  <c r="V91" i="202"/>
  <c r="V92" i="202"/>
  <c r="V93" i="202"/>
  <c r="V94" i="202"/>
  <c r="V95" i="202"/>
  <c r="V96" i="202"/>
  <c r="V97" i="202"/>
  <c r="V98" i="202"/>
  <c r="V99" i="202"/>
  <c r="V100" i="202"/>
  <c r="V101" i="202"/>
  <c r="V102" i="202"/>
  <c r="V103" i="202"/>
  <c r="V104" i="202"/>
  <c r="V105" i="202"/>
  <c r="V106" i="202"/>
  <c r="V107" i="202"/>
  <c r="V108" i="202"/>
  <c r="V109" i="202"/>
  <c r="V110" i="202"/>
  <c r="V111" i="202"/>
  <c r="V112" i="202"/>
  <c r="V113" i="202"/>
  <c r="V114" i="202"/>
  <c r="V115" i="202"/>
  <c r="V116" i="202"/>
  <c r="V117" i="202"/>
  <c r="V118" i="202"/>
  <c r="V119" i="202"/>
  <c r="V120" i="202"/>
  <c r="V121" i="202"/>
  <c r="V122" i="202"/>
  <c r="V123" i="202"/>
  <c r="V124" i="202"/>
  <c r="V125" i="202"/>
  <c r="V126" i="202"/>
  <c r="V127" i="202"/>
  <c r="V128" i="202"/>
  <c r="V129" i="202"/>
  <c r="V130" i="202"/>
  <c r="V131" i="202"/>
  <c r="V132" i="202"/>
  <c r="V133" i="202"/>
  <c r="V134" i="202"/>
  <c r="V135" i="202"/>
  <c r="V136" i="202"/>
  <c r="V137" i="202"/>
  <c r="V138" i="202"/>
  <c r="V139" i="202"/>
  <c r="V140" i="202"/>
  <c r="V141" i="202"/>
  <c r="V142" i="202"/>
  <c r="V143" i="202"/>
  <c r="V144" i="202"/>
  <c r="V145" i="202"/>
  <c r="V146" i="202"/>
  <c r="V147" i="202"/>
  <c r="V148" i="202"/>
  <c r="V149" i="202"/>
  <c r="V150" i="202"/>
  <c r="V151" i="202"/>
  <c r="V152" i="202"/>
  <c r="V153" i="202"/>
  <c r="V154" i="202"/>
  <c r="V155" i="202"/>
  <c r="V156" i="202"/>
  <c r="V157" i="202"/>
  <c r="V158" i="202"/>
  <c r="V159" i="202"/>
  <c r="V160" i="202"/>
  <c r="V161" i="202"/>
  <c r="V162" i="202"/>
  <c r="V163" i="202"/>
  <c r="V164" i="202"/>
  <c r="V165" i="202"/>
  <c r="V166" i="202"/>
  <c r="V167" i="202"/>
  <c r="V168" i="202"/>
  <c r="V169" i="202"/>
  <c r="V170" i="202"/>
  <c r="V171" i="202"/>
  <c r="V172" i="202"/>
  <c r="V173" i="202"/>
  <c r="V174" i="202"/>
  <c r="V175" i="202"/>
  <c r="V176" i="202"/>
  <c r="V177" i="202"/>
  <c r="V178" i="202"/>
  <c r="V179" i="202"/>
  <c r="V180" i="202"/>
  <c r="V181" i="202"/>
  <c r="V182" i="202"/>
  <c r="V183" i="202"/>
  <c r="V184" i="202"/>
  <c r="V185" i="202"/>
  <c r="V186" i="202"/>
  <c r="V187" i="202"/>
  <c r="V188" i="202"/>
  <c r="V189" i="202"/>
  <c r="V190" i="202"/>
  <c r="V191" i="202"/>
  <c r="V192" i="202"/>
  <c r="V193" i="202"/>
  <c r="V194" i="202"/>
  <c r="V195" i="202"/>
  <c r="V196" i="202"/>
  <c r="V197" i="202"/>
  <c r="V198" i="202"/>
  <c r="V199" i="202"/>
  <c r="V200" i="202"/>
  <c r="V201" i="202"/>
  <c r="V202" i="202"/>
  <c r="V203" i="202"/>
  <c r="V204" i="202"/>
  <c r="V205" i="202"/>
  <c r="V206" i="202"/>
  <c r="V207" i="202"/>
  <c r="V208" i="202"/>
  <c r="V209" i="202"/>
  <c r="V210" i="202"/>
  <c r="V211" i="202"/>
  <c r="V212" i="202"/>
  <c r="V213" i="202"/>
  <c r="V214" i="202"/>
  <c r="V215" i="202"/>
  <c r="V216" i="202"/>
  <c r="V217" i="202"/>
  <c r="V218" i="202"/>
  <c r="V219" i="202"/>
  <c r="V220" i="202"/>
  <c r="V221" i="202"/>
  <c r="V222" i="202"/>
  <c r="V223" i="202"/>
  <c r="V224" i="202"/>
  <c r="V225" i="202"/>
  <c r="V226" i="202"/>
  <c r="V227" i="202"/>
  <c r="V228" i="202"/>
  <c r="V229" i="202"/>
  <c r="V230" i="202"/>
  <c r="V231" i="202"/>
  <c r="V232" i="202"/>
  <c r="V233" i="202"/>
  <c r="V234" i="202"/>
  <c r="V235" i="202"/>
  <c r="V236" i="202"/>
  <c r="V237" i="202"/>
  <c r="V238" i="202"/>
  <c r="V239" i="202"/>
  <c r="V240" i="202"/>
  <c r="V241" i="202"/>
  <c r="V242" i="202"/>
  <c r="V243" i="202"/>
  <c r="V244" i="202"/>
  <c r="V245" i="202"/>
  <c r="V246" i="202"/>
  <c r="V247" i="202"/>
  <c r="V248" i="202"/>
  <c r="V249" i="202"/>
  <c r="V250" i="202"/>
  <c r="V251" i="202"/>
  <c r="V252" i="202"/>
  <c r="V253" i="202"/>
  <c r="V254" i="202"/>
  <c r="V255" i="202"/>
  <c r="V256" i="202"/>
  <c r="V257" i="202"/>
  <c r="V258" i="202"/>
  <c r="V259" i="202"/>
  <c r="V260" i="202"/>
  <c r="V261" i="202"/>
  <c r="V262" i="202"/>
  <c r="V263" i="202"/>
  <c r="V264" i="202"/>
  <c r="V265" i="202"/>
  <c r="V266" i="202"/>
  <c r="V267" i="202"/>
  <c r="V268" i="202"/>
  <c r="V269" i="202"/>
  <c r="V270" i="202"/>
  <c r="V271" i="202"/>
  <c r="V272" i="202"/>
  <c r="V273" i="202"/>
  <c r="V274" i="202"/>
  <c r="V275" i="202"/>
  <c r="V276" i="202"/>
  <c r="V277" i="202"/>
  <c r="V278" i="202"/>
  <c r="V279" i="202"/>
  <c r="V280" i="202"/>
  <c r="V281" i="202"/>
  <c r="V282" i="202"/>
  <c r="V283" i="202"/>
  <c r="V284" i="202"/>
  <c r="V285" i="202"/>
  <c r="V286" i="202"/>
  <c r="V287" i="202"/>
  <c r="V288" i="202"/>
  <c r="V289" i="202"/>
  <c r="V290" i="202"/>
  <c r="V291" i="202"/>
  <c r="V292" i="202"/>
  <c r="V293" i="202"/>
  <c r="V294" i="202"/>
  <c r="V295" i="202"/>
  <c r="V296" i="202"/>
  <c r="V297" i="202"/>
  <c r="V298" i="202"/>
  <c r="V299" i="202"/>
  <c r="V300" i="202"/>
  <c r="V301" i="202"/>
  <c r="V302" i="202"/>
  <c r="V303" i="202"/>
  <c r="V304" i="202"/>
  <c r="V305" i="202"/>
  <c r="V306" i="202"/>
  <c r="V307" i="202"/>
  <c r="V308" i="202"/>
  <c r="V309" i="202"/>
  <c r="V310" i="202"/>
  <c r="V311" i="202"/>
  <c r="V312" i="202"/>
  <c r="V313" i="202"/>
  <c r="V314" i="202"/>
  <c r="V315" i="202"/>
  <c r="V316" i="202"/>
  <c r="V317" i="202"/>
  <c r="V318" i="202"/>
  <c r="V319" i="202"/>
  <c r="V320" i="202"/>
  <c r="V321" i="202"/>
  <c r="V322" i="202"/>
  <c r="V323" i="202"/>
  <c r="V324" i="202"/>
  <c r="V325" i="202"/>
  <c r="V326" i="202"/>
  <c r="V327" i="202"/>
  <c r="V328" i="202"/>
  <c r="V329" i="202"/>
  <c r="V330" i="202"/>
  <c r="V331" i="202"/>
  <c r="V332" i="202"/>
  <c r="V333" i="202"/>
  <c r="V334" i="202"/>
  <c r="V335" i="202"/>
  <c r="V336" i="202"/>
  <c r="V337" i="202"/>
  <c r="V338" i="202"/>
  <c r="V339" i="202"/>
  <c r="V340" i="202"/>
  <c r="V341" i="202"/>
  <c r="V342" i="202"/>
  <c r="V343" i="202"/>
  <c r="V344" i="202"/>
  <c r="V345" i="202"/>
  <c r="V346" i="202"/>
  <c r="V347" i="202"/>
  <c r="V348" i="202"/>
  <c r="V349" i="202"/>
  <c r="V350" i="202"/>
  <c r="V351" i="202"/>
  <c r="V352" i="202"/>
  <c r="V353" i="202"/>
  <c r="V354" i="202"/>
  <c r="V355" i="202"/>
  <c r="V356" i="202"/>
  <c r="V357" i="202"/>
  <c r="V358" i="202"/>
  <c r="V359" i="202"/>
  <c r="V360" i="202"/>
  <c r="V361" i="202"/>
  <c r="V362" i="202"/>
  <c r="V363" i="202"/>
  <c r="V364" i="202"/>
  <c r="V365" i="202"/>
  <c r="V366" i="202"/>
  <c r="V367" i="202"/>
  <c r="V368" i="202"/>
  <c r="V369" i="202"/>
  <c r="V370" i="202"/>
  <c r="V371" i="202"/>
  <c r="V372" i="202"/>
  <c r="V373" i="202"/>
  <c r="V374" i="202"/>
  <c r="V375" i="202"/>
  <c r="V376" i="202"/>
  <c r="V377" i="202"/>
  <c r="V378" i="202"/>
  <c r="V379" i="202"/>
  <c r="V380" i="202"/>
  <c r="V381" i="202"/>
  <c r="V382" i="202"/>
  <c r="V383" i="202"/>
  <c r="V384" i="202"/>
  <c r="V385" i="202"/>
  <c r="V386" i="202"/>
  <c r="V387" i="202"/>
  <c r="V388" i="202"/>
  <c r="V389" i="202"/>
  <c r="V390" i="202"/>
  <c r="V391" i="202"/>
  <c r="V392" i="202"/>
  <c r="V393" i="202"/>
  <c r="V394" i="202"/>
  <c r="V395" i="202"/>
  <c r="V396" i="202"/>
  <c r="V397" i="202"/>
  <c r="V398" i="202"/>
  <c r="V399" i="202"/>
  <c r="V400" i="202"/>
  <c r="V401" i="202"/>
  <c r="V402" i="202"/>
  <c r="V403" i="202"/>
  <c r="V404" i="202"/>
  <c r="V405" i="202"/>
  <c r="V406" i="202"/>
  <c r="V407" i="202"/>
  <c r="V408" i="202"/>
  <c r="V409" i="202"/>
  <c r="V410" i="202"/>
  <c r="V411" i="202"/>
  <c r="V412" i="202"/>
  <c r="V413" i="202"/>
  <c r="V414" i="202"/>
  <c r="V415" i="202"/>
  <c r="V416" i="202"/>
  <c r="V417" i="202"/>
  <c r="V418" i="202"/>
  <c r="V419" i="202"/>
  <c r="V420" i="202"/>
  <c r="V421" i="202"/>
  <c r="V422" i="202"/>
  <c r="V423" i="202"/>
  <c r="V424" i="202"/>
  <c r="V425" i="202"/>
  <c r="V426" i="202"/>
  <c r="V427" i="202"/>
  <c r="V428" i="202"/>
  <c r="V429" i="202"/>
  <c r="V430" i="202"/>
  <c r="V431" i="202"/>
  <c r="V432" i="202"/>
  <c r="V433" i="202"/>
  <c r="V434" i="202"/>
  <c r="V435" i="202"/>
  <c r="V436" i="202"/>
  <c r="V437" i="202"/>
  <c r="V438" i="202"/>
  <c r="V439" i="202"/>
  <c r="V440" i="202"/>
  <c r="V441" i="202"/>
  <c r="V442" i="202"/>
  <c r="V443" i="202"/>
  <c r="V444" i="202"/>
  <c r="V445" i="202"/>
  <c r="V446" i="202"/>
  <c r="V447" i="202"/>
  <c r="V448" i="202"/>
  <c r="V449" i="202"/>
  <c r="V450" i="202"/>
  <c r="V451" i="202"/>
  <c r="V452" i="202"/>
  <c r="V453" i="202"/>
  <c r="V454" i="202"/>
  <c r="V455" i="202"/>
  <c r="V456" i="202"/>
  <c r="V457" i="202"/>
  <c r="V458" i="202"/>
  <c r="V459" i="202"/>
  <c r="V460" i="202"/>
  <c r="V461" i="202"/>
  <c r="V462" i="202"/>
  <c r="V463" i="202"/>
  <c r="V464" i="202"/>
  <c r="V465" i="202"/>
  <c r="V466" i="202"/>
  <c r="V467" i="202"/>
  <c r="V468" i="202"/>
  <c r="V469" i="202"/>
  <c r="V470" i="202"/>
  <c r="V471" i="202"/>
  <c r="V472" i="202"/>
  <c r="V473" i="202"/>
  <c r="V474" i="202"/>
  <c r="V475" i="202"/>
  <c r="V476" i="202"/>
  <c r="V477" i="202"/>
  <c r="V478" i="202"/>
  <c r="V479" i="202"/>
  <c r="V480" i="202"/>
  <c r="V481" i="202"/>
  <c r="V482" i="202"/>
  <c r="V483" i="202"/>
  <c r="V484" i="202"/>
  <c r="V485" i="202"/>
  <c r="V486" i="202"/>
  <c r="V487" i="202"/>
  <c r="V488" i="202"/>
  <c r="V489" i="202"/>
  <c r="V490" i="202"/>
  <c r="V491" i="202"/>
  <c r="V492" i="202"/>
  <c r="V493" i="202"/>
  <c r="V494" i="202"/>
  <c r="V495" i="202"/>
  <c r="V496" i="202"/>
  <c r="V497" i="202"/>
  <c r="V498" i="202"/>
  <c r="V499" i="202"/>
  <c r="V500" i="202"/>
  <c r="V501" i="202"/>
  <c r="V502" i="202"/>
  <c r="V503" i="202"/>
  <c r="V504" i="202"/>
  <c r="V505" i="202"/>
  <c r="V506" i="202"/>
  <c r="V507" i="202"/>
  <c r="V508" i="202"/>
  <c r="V509" i="202"/>
  <c r="V510" i="202"/>
  <c r="V511" i="202"/>
  <c r="V512" i="202"/>
  <c r="V513" i="202"/>
  <c r="V514" i="202"/>
  <c r="V515" i="202"/>
  <c r="V516" i="202"/>
  <c r="V517" i="202"/>
  <c r="V518" i="202"/>
  <c r="V519" i="202"/>
  <c r="V520" i="202"/>
  <c r="V521" i="202"/>
  <c r="V522" i="202"/>
  <c r="V523" i="202"/>
  <c r="V524" i="202"/>
  <c r="V525" i="202"/>
  <c r="V526" i="202"/>
  <c r="V527" i="202"/>
  <c r="V528" i="202"/>
  <c r="V529" i="202"/>
  <c r="V530" i="202"/>
  <c r="V531" i="202"/>
  <c r="V532" i="202"/>
  <c r="V533" i="202"/>
  <c r="V534" i="202"/>
  <c r="V535" i="202"/>
  <c r="V536" i="202"/>
  <c r="V537" i="202"/>
  <c r="V538" i="202"/>
  <c r="V539" i="202"/>
  <c r="V540" i="202"/>
  <c r="V541" i="202"/>
  <c r="V542" i="202"/>
  <c r="V543" i="202"/>
  <c r="V544" i="202"/>
  <c r="V545" i="202"/>
  <c r="V546" i="202"/>
  <c r="V547" i="202"/>
  <c r="V548" i="202"/>
  <c r="V549" i="202"/>
  <c r="V550" i="202"/>
  <c r="V551" i="202"/>
  <c r="V552" i="202"/>
  <c r="V553" i="202"/>
  <c r="V554" i="202"/>
  <c r="V555" i="202"/>
  <c r="V556" i="202"/>
  <c r="V557" i="202"/>
  <c r="V558" i="202"/>
  <c r="V559" i="202"/>
  <c r="V560" i="202"/>
  <c r="V561" i="202"/>
  <c r="V562" i="202"/>
  <c r="V563" i="202"/>
  <c r="V564" i="202"/>
  <c r="V565" i="202"/>
  <c r="V566" i="202"/>
  <c r="V567" i="202"/>
  <c r="V568" i="202"/>
  <c r="V569" i="202"/>
  <c r="V570" i="202"/>
  <c r="V571" i="202"/>
  <c r="V572" i="202"/>
  <c r="V573" i="202"/>
  <c r="V574" i="202"/>
  <c r="V575" i="202"/>
  <c r="V576" i="202"/>
  <c r="V577" i="202"/>
  <c r="V578" i="202"/>
  <c r="V579" i="202"/>
  <c r="V580" i="202"/>
  <c r="V581" i="202"/>
  <c r="V582" i="202"/>
  <c r="V583" i="202"/>
  <c r="V584" i="202"/>
  <c r="V585" i="202"/>
  <c r="V586" i="202"/>
  <c r="V587" i="202"/>
  <c r="V588" i="202"/>
  <c r="V589" i="202"/>
  <c r="V590" i="202"/>
  <c r="V591" i="202"/>
  <c r="V592" i="202"/>
  <c r="V593" i="202"/>
  <c r="V594" i="202"/>
  <c r="V595" i="202"/>
  <c r="V596" i="202"/>
  <c r="V597" i="202"/>
  <c r="V598" i="202"/>
  <c r="V599" i="202"/>
  <c r="V600" i="202"/>
  <c r="V601" i="202"/>
  <c r="V602" i="202"/>
  <c r="V603" i="202"/>
  <c r="V604" i="202"/>
  <c r="V605" i="202"/>
  <c r="V606" i="202"/>
  <c r="V607" i="202"/>
  <c r="V608" i="202"/>
  <c r="V609" i="202"/>
  <c r="V610" i="202"/>
  <c r="V611" i="202"/>
  <c r="V612" i="202"/>
  <c r="V613" i="202"/>
  <c r="V614" i="202"/>
  <c r="V615" i="202"/>
  <c r="V616" i="202"/>
  <c r="V617" i="202"/>
  <c r="V618" i="202"/>
  <c r="V619" i="202"/>
  <c r="V620" i="202"/>
  <c r="V621" i="202"/>
  <c r="V622" i="202"/>
  <c r="V623" i="202"/>
  <c r="V624" i="202"/>
  <c r="V625" i="202"/>
  <c r="V626" i="202"/>
  <c r="V627" i="202"/>
  <c r="V628" i="202"/>
  <c r="V629" i="202"/>
  <c r="V630" i="202"/>
  <c r="V631" i="202"/>
  <c r="V632" i="202"/>
  <c r="V633" i="202"/>
  <c r="V634" i="202"/>
  <c r="V635" i="202"/>
  <c r="V636" i="202"/>
  <c r="V637" i="202"/>
  <c r="V638" i="202"/>
  <c r="V639" i="202"/>
  <c r="V640" i="202"/>
  <c r="V641" i="202"/>
  <c r="V642" i="202"/>
  <c r="V643" i="202"/>
  <c r="V644" i="202"/>
  <c r="V645" i="202"/>
  <c r="V646" i="202"/>
  <c r="V647" i="202"/>
  <c r="V648" i="202"/>
  <c r="V649" i="202"/>
  <c r="V650" i="202"/>
  <c r="V651" i="202"/>
  <c r="V652" i="202"/>
  <c r="V653" i="202"/>
  <c r="V654" i="202"/>
  <c r="V655" i="202"/>
  <c r="V656" i="202"/>
  <c r="V657" i="202"/>
  <c r="V658" i="202"/>
  <c r="V659" i="202"/>
  <c r="V660" i="202"/>
  <c r="V661" i="202"/>
  <c r="V662" i="202"/>
  <c r="V663" i="202"/>
  <c r="V664" i="202"/>
  <c r="V665" i="202"/>
  <c r="V666" i="202"/>
  <c r="V667" i="202"/>
  <c r="V668" i="202"/>
  <c r="V669" i="202"/>
  <c r="V670" i="202"/>
  <c r="V671" i="202"/>
  <c r="V672" i="202"/>
  <c r="V673" i="202"/>
  <c r="V674" i="202"/>
  <c r="V675" i="202"/>
  <c r="V676" i="202"/>
  <c r="V677" i="202"/>
  <c r="V678" i="202"/>
  <c r="V679" i="202"/>
  <c r="V680" i="202"/>
  <c r="V681" i="202"/>
  <c r="V682" i="202"/>
  <c r="V683" i="202"/>
  <c r="V684" i="202"/>
  <c r="V685" i="202"/>
  <c r="V686" i="202"/>
  <c r="V687" i="202"/>
  <c r="V688" i="202"/>
  <c r="V689" i="202"/>
  <c r="V690" i="202"/>
  <c r="V691" i="202"/>
  <c r="V692" i="202"/>
  <c r="V693" i="202"/>
  <c r="V694" i="202"/>
  <c r="V695" i="202"/>
  <c r="V696" i="202"/>
  <c r="V697" i="202"/>
  <c r="V698" i="202"/>
  <c r="V699" i="202"/>
  <c r="V700" i="202"/>
  <c r="V701" i="202"/>
  <c r="V702" i="202"/>
  <c r="V703" i="202"/>
  <c r="V704" i="202"/>
  <c r="V705" i="202"/>
  <c r="V706" i="202"/>
  <c r="V707" i="202"/>
  <c r="V708" i="202"/>
  <c r="V709" i="202"/>
  <c r="V710" i="202"/>
  <c r="V711" i="202"/>
  <c r="V712" i="202"/>
  <c r="V713" i="202"/>
  <c r="V714" i="202"/>
  <c r="V715" i="202"/>
  <c r="V716" i="202"/>
  <c r="V717" i="202"/>
  <c r="V718" i="202"/>
  <c r="V719" i="202"/>
  <c r="V720" i="202"/>
  <c r="V721" i="202"/>
  <c r="V722" i="202"/>
  <c r="V723" i="202"/>
  <c r="V724" i="202"/>
  <c r="V725" i="202"/>
  <c r="V726" i="202"/>
  <c r="V727" i="202"/>
  <c r="V728" i="202"/>
  <c r="V729" i="202"/>
  <c r="V730" i="202"/>
  <c r="V731" i="202"/>
  <c r="V732" i="202"/>
  <c r="V733" i="202"/>
  <c r="V734" i="202"/>
  <c r="V735" i="202"/>
  <c r="V736" i="202"/>
  <c r="V737" i="202"/>
  <c r="V738" i="202"/>
  <c r="V739" i="202"/>
  <c r="V740" i="202"/>
  <c r="V741" i="202"/>
  <c r="V742" i="202"/>
  <c r="V743" i="202"/>
  <c r="V744" i="202"/>
  <c r="V745" i="202"/>
  <c r="V746" i="202"/>
  <c r="V747" i="202"/>
  <c r="V748" i="202"/>
  <c r="V749" i="202"/>
  <c r="V750" i="202"/>
  <c r="V751" i="202"/>
  <c r="V752" i="202"/>
  <c r="V753" i="202"/>
  <c r="V754" i="202"/>
  <c r="V755" i="202"/>
  <c r="V756" i="202"/>
  <c r="V757" i="202"/>
  <c r="V758" i="202"/>
  <c r="V759" i="202"/>
  <c r="V760" i="202"/>
  <c r="V761" i="202"/>
  <c r="V762" i="202"/>
  <c r="V763" i="202"/>
  <c r="V764" i="202"/>
  <c r="V765" i="202"/>
  <c r="V766" i="202"/>
  <c r="V767" i="202"/>
  <c r="V768" i="202"/>
  <c r="V769" i="202"/>
  <c r="V770" i="202"/>
  <c r="V771" i="202"/>
  <c r="V772" i="202"/>
  <c r="V773" i="202"/>
  <c r="V774" i="202"/>
  <c r="V775" i="202"/>
  <c r="V776" i="202"/>
  <c r="V777" i="202"/>
  <c r="V778" i="202"/>
  <c r="V779" i="202"/>
  <c r="V780" i="202"/>
  <c r="V781" i="202"/>
  <c r="V782" i="202"/>
  <c r="V783" i="202"/>
  <c r="V784" i="202"/>
  <c r="V785" i="202"/>
  <c r="V786" i="202"/>
  <c r="V787" i="202"/>
  <c r="V788" i="202"/>
  <c r="V789" i="202"/>
  <c r="V790" i="202"/>
  <c r="V791" i="202"/>
  <c r="V792" i="202"/>
  <c r="V793" i="202"/>
  <c r="V794" i="202"/>
  <c r="V795" i="202"/>
  <c r="V796" i="202"/>
  <c r="V797" i="202"/>
  <c r="V798" i="202"/>
  <c r="V799" i="202"/>
  <c r="V800" i="202"/>
  <c r="V801" i="202"/>
  <c r="V802" i="202"/>
  <c r="V803" i="202"/>
  <c r="V804" i="202"/>
  <c r="V805" i="202"/>
  <c r="V806" i="202"/>
  <c r="V807" i="202"/>
  <c r="V808" i="202"/>
  <c r="V809" i="202"/>
  <c r="V810" i="202"/>
  <c r="V811" i="202"/>
  <c r="V812" i="202"/>
  <c r="V813" i="202"/>
  <c r="V814" i="202"/>
  <c r="V815" i="202"/>
  <c r="V816" i="202"/>
  <c r="V817" i="202"/>
  <c r="V818" i="202"/>
  <c r="V819" i="202"/>
  <c r="V820" i="202"/>
  <c r="V821" i="202"/>
  <c r="V822" i="202"/>
  <c r="V823" i="202"/>
  <c r="V824" i="202"/>
  <c r="V825" i="202"/>
  <c r="V826" i="202"/>
  <c r="V827" i="202"/>
  <c r="V828" i="202"/>
  <c r="V829" i="202"/>
  <c r="V830" i="202"/>
  <c r="V831" i="202"/>
  <c r="V832" i="202"/>
  <c r="V833" i="202"/>
  <c r="V834" i="202"/>
  <c r="V835" i="202"/>
  <c r="V836" i="202"/>
  <c r="V837" i="202"/>
  <c r="V838" i="202"/>
  <c r="V839" i="202"/>
  <c r="V840" i="202"/>
  <c r="V841" i="202"/>
  <c r="V842" i="202"/>
  <c r="V843" i="202"/>
  <c r="V844" i="202"/>
  <c r="V845" i="202"/>
  <c r="V846" i="202"/>
  <c r="V847" i="202"/>
  <c r="V848" i="202"/>
  <c r="V849" i="202"/>
  <c r="V850" i="202"/>
  <c r="V851" i="202"/>
  <c r="V852" i="202"/>
  <c r="V853" i="202"/>
  <c r="V854" i="202"/>
  <c r="V855" i="202"/>
  <c r="V856" i="202"/>
  <c r="V857" i="202"/>
  <c r="V858" i="202"/>
  <c r="V859" i="202"/>
  <c r="V860" i="202"/>
  <c r="V861" i="202"/>
  <c r="V862" i="202"/>
  <c r="V863" i="202"/>
  <c r="V864" i="202"/>
  <c r="V865" i="202"/>
  <c r="V866" i="202"/>
  <c r="V867" i="202"/>
  <c r="V868" i="202"/>
  <c r="V869" i="202"/>
  <c r="V870" i="202"/>
  <c r="V871" i="202"/>
  <c r="V872" i="202"/>
  <c r="V873" i="202"/>
  <c r="V874" i="202"/>
  <c r="V875" i="202"/>
  <c r="V876" i="202"/>
  <c r="V877" i="202"/>
  <c r="V878" i="202"/>
  <c r="V879" i="202"/>
  <c r="V880" i="202"/>
  <c r="V881" i="202"/>
  <c r="V882" i="202"/>
  <c r="V883" i="202"/>
  <c r="V884" i="202"/>
  <c r="V885" i="202"/>
  <c r="V886" i="202"/>
  <c r="V887" i="202"/>
  <c r="V888" i="202"/>
  <c r="V889" i="202"/>
  <c r="V890" i="202"/>
  <c r="V891" i="202"/>
  <c r="V892" i="202"/>
  <c r="V893" i="202"/>
  <c r="V894" i="202"/>
  <c r="V895" i="202"/>
  <c r="V896" i="202"/>
  <c r="V897" i="202"/>
  <c r="V898" i="202"/>
  <c r="V899" i="202"/>
  <c r="V900" i="202"/>
  <c r="V901" i="202"/>
  <c r="V902" i="202"/>
  <c r="V903" i="202"/>
  <c r="V904" i="202"/>
  <c r="V905" i="202"/>
  <c r="V906" i="202"/>
  <c r="V907" i="202"/>
  <c r="V908" i="202"/>
  <c r="V909" i="202"/>
  <c r="V910" i="202"/>
  <c r="V911" i="202"/>
  <c r="V912" i="202"/>
  <c r="V913" i="202"/>
  <c r="V914" i="202"/>
  <c r="V915" i="202"/>
  <c r="V916" i="202"/>
  <c r="V917" i="202"/>
  <c r="V918" i="202"/>
  <c r="V919" i="202"/>
  <c r="V920" i="202"/>
  <c r="V921" i="202"/>
  <c r="V922" i="202"/>
  <c r="V923" i="202"/>
  <c r="V924" i="202"/>
  <c r="V925" i="202"/>
  <c r="V926" i="202"/>
  <c r="V927" i="202"/>
  <c r="V928" i="202"/>
  <c r="V929" i="202"/>
  <c r="V930" i="202"/>
  <c r="V931" i="202"/>
  <c r="V932" i="202"/>
  <c r="V933" i="202"/>
  <c r="V934" i="202"/>
  <c r="V935" i="202"/>
  <c r="V936" i="202"/>
  <c r="V937" i="202"/>
  <c r="V938" i="202"/>
  <c r="V939" i="202"/>
  <c r="V940" i="202"/>
  <c r="V941" i="202"/>
  <c r="V942" i="202"/>
  <c r="V943" i="202"/>
  <c r="V944" i="202"/>
  <c r="V945" i="202"/>
  <c r="V946" i="202"/>
  <c r="V947" i="202"/>
  <c r="V948" i="202"/>
  <c r="V949" i="202"/>
  <c r="V950" i="202"/>
  <c r="V951" i="202"/>
  <c r="V952" i="202"/>
  <c r="V953" i="202"/>
  <c r="V954" i="202"/>
  <c r="V955" i="202"/>
  <c r="V956" i="202"/>
  <c r="V957" i="202"/>
  <c r="V958" i="202"/>
  <c r="V959" i="202"/>
  <c r="V960" i="202"/>
  <c r="V961" i="202"/>
  <c r="V962" i="202"/>
  <c r="V963" i="202"/>
  <c r="V964" i="202"/>
  <c r="V965" i="202"/>
  <c r="V966" i="202"/>
  <c r="V967" i="202"/>
  <c r="V968" i="202"/>
  <c r="V969" i="202"/>
  <c r="V970" i="202"/>
  <c r="V971" i="202"/>
  <c r="V972" i="202"/>
  <c r="V973" i="202"/>
  <c r="V974" i="202"/>
  <c r="V975" i="202"/>
  <c r="V976" i="202"/>
  <c r="V977" i="202"/>
  <c r="V978" i="202"/>
  <c r="V979" i="202"/>
  <c r="V980" i="202"/>
  <c r="V981" i="202"/>
  <c r="V982" i="202"/>
  <c r="V983" i="202"/>
  <c r="V984" i="202"/>
  <c r="V985" i="202"/>
  <c r="V986" i="202"/>
  <c r="V987" i="202"/>
  <c r="V988" i="202"/>
  <c r="V989" i="202"/>
  <c r="V990" i="202"/>
  <c r="V991" i="202"/>
  <c r="V992" i="202"/>
  <c r="V993" i="202"/>
  <c r="V994" i="202"/>
  <c r="V995" i="202"/>
  <c r="V996" i="202"/>
  <c r="V997" i="202"/>
  <c r="V998" i="202"/>
  <c r="V999" i="202"/>
  <c r="V1000" i="202"/>
  <c r="V1001" i="202"/>
  <c r="V1002" i="202"/>
  <c r="V1003" i="202"/>
  <c r="V1004" i="202"/>
  <c r="V1005" i="202"/>
  <c r="V1006" i="202"/>
  <c r="V1007" i="202"/>
  <c r="V1008" i="202"/>
  <c r="V1009" i="202"/>
  <c r="V1010" i="202"/>
  <c r="V1011" i="202"/>
  <c r="V1012" i="202"/>
  <c r="V1013" i="202"/>
  <c r="V1014" i="202"/>
  <c r="V1015" i="202"/>
  <c r="V1016" i="202"/>
  <c r="V1017" i="202"/>
  <c r="V1018" i="202"/>
  <c r="V1019" i="202"/>
  <c r="V1020" i="202"/>
  <c r="V1021" i="202"/>
  <c r="V1022" i="202"/>
  <c r="V1023" i="202"/>
  <c r="V1024" i="202"/>
  <c r="V1025" i="202"/>
  <c r="V1026" i="202"/>
  <c r="V1027" i="202"/>
  <c r="V1028" i="202"/>
  <c r="V1029" i="202"/>
  <c r="V1030" i="202"/>
  <c r="V1031" i="202"/>
  <c r="V1032" i="202"/>
  <c r="V1033" i="202"/>
  <c r="V1034" i="202"/>
  <c r="V1035" i="202"/>
  <c r="V1036" i="202"/>
  <c r="V1037" i="202"/>
  <c r="V1038" i="202"/>
  <c r="V1039" i="202"/>
  <c r="V1040" i="202"/>
  <c r="V1041" i="202"/>
  <c r="V1042" i="202"/>
  <c r="V1043" i="202"/>
  <c r="V1044" i="202"/>
  <c r="V1045" i="202"/>
  <c r="V1046" i="202"/>
  <c r="V1047" i="202"/>
  <c r="V1048" i="202"/>
  <c r="V1049" i="202"/>
  <c r="V1050" i="202"/>
  <c r="V1051" i="202"/>
  <c r="V1052" i="202"/>
  <c r="V1053" i="202"/>
  <c r="V1054" i="202"/>
  <c r="V1055" i="202"/>
  <c r="V1056" i="202"/>
  <c r="V1057" i="202"/>
  <c r="V1058" i="202"/>
  <c r="V1059" i="202"/>
  <c r="V1060" i="202"/>
  <c r="V1061" i="202"/>
  <c r="V1062" i="202"/>
  <c r="V1063" i="202"/>
  <c r="V1064" i="202"/>
  <c r="V1065" i="202"/>
  <c r="V1066" i="202"/>
  <c r="V1067" i="202"/>
  <c r="V1068" i="202"/>
  <c r="V1069" i="202"/>
  <c r="V1070" i="202"/>
  <c r="V1071" i="202"/>
  <c r="V1072" i="202"/>
  <c r="V1073" i="202"/>
  <c r="V1074" i="202"/>
  <c r="V1075" i="202"/>
  <c r="V1076" i="202"/>
  <c r="V1077" i="202"/>
  <c r="V1078" i="202"/>
  <c r="V1079" i="202"/>
  <c r="V1080" i="202"/>
  <c r="V1081" i="202"/>
  <c r="V1082" i="202"/>
  <c r="V1083" i="202"/>
  <c r="V1084" i="202"/>
  <c r="V1085" i="202"/>
  <c r="V1086" i="202"/>
  <c r="V1087" i="202"/>
  <c r="V1088" i="202"/>
  <c r="V1089" i="202"/>
  <c r="V1090" i="202"/>
  <c r="V1091" i="202"/>
  <c r="V1092" i="202"/>
  <c r="V1093" i="202"/>
  <c r="V1094" i="202"/>
  <c r="V1095" i="202"/>
  <c r="V1096" i="202"/>
  <c r="V1097" i="202"/>
  <c r="V1098" i="202"/>
  <c r="V1099" i="202"/>
  <c r="V1100" i="202"/>
  <c r="V1101" i="202"/>
  <c r="V1102" i="202"/>
  <c r="V1103" i="202"/>
  <c r="V1104" i="202"/>
  <c r="V1105" i="202"/>
  <c r="V1106" i="202"/>
  <c r="V1107" i="202"/>
  <c r="V1108" i="202"/>
  <c r="V1109" i="202"/>
  <c r="V1110" i="202"/>
  <c r="V1111" i="202"/>
  <c r="V1112" i="202"/>
  <c r="V1113" i="202"/>
  <c r="V1114" i="202"/>
  <c r="V1115" i="202"/>
  <c r="V1116" i="202"/>
  <c r="V1117" i="202"/>
  <c r="V1118" i="202"/>
  <c r="V1119" i="202"/>
  <c r="V1120" i="202"/>
  <c r="V1121" i="202"/>
  <c r="V1122" i="202"/>
  <c r="V1123" i="202"/>
  <c r="V1124" i="202"/>
  <c r="V1125" i="202"/>
  <c r="V1126" i="202"/>
  <c r="V1127" i="202"/>
  <c r="V1128" i="202"/>
  <c r="V1129" i="202"/>
  <c r="V1130" i="202"/>
  <c r="V1131" i="202"/>
  <c r="V1132" i="202"/>
  <c r="V1133" i="202"/>
  <c r="V1134" i="202"/>
  <c r="V1135" i="202"/>
  <c r="V1136" i="202"/>
  <c r="V1137" i="202"/>
  <c r="V1138" i="202"/>
  <c r="V1139" i="202"/>
  <c r="V1140" i="202"/>
  <c r="V1141" i="202"/>
  <c r="V1142" i="202"/>
  <c r="V1143" i="202"/>
  <c r="V1144" i="202"/>
  <c r="V1145" i="202"/>
  <c r="V1146" i="202"/>
  <c r="V1147" i="202"/>
  <c r="V1148" i="202"/>
  <c r="V1149" i="202"/>
  <c r="V1150" i="202"/>
  <c r="V1151" i="202"/>
  <c r="V1152" i="202"/>
  <c r="V1153" i="202"/>
  <c r="V1154" i="202"/>
  <c r="V1155" i="202"/>
  <c r="V1156" i="202"/>
  <c r="V1157" i="202"/>
  <c r="V1158" i="202"/>
  <c r="V1159" i="202"/>
  <c r="V1160" i="202"/>
  <c r="V1161" i="202"/>
  <c r="V1162" i="202"/>
  <c r="V1163" i="202"/>
  <c r="V1164" i="202"/>
  <c r="V1165" i="202"/>
  <c r="V1166" i="202"/>
  <c r="V1167" i="202"/>
  <c r="V1168" i="202"/>
  <c r="V1169" i="202"/>
  <c r="V1170" i="202"/>
  <c r="V1171" i="202"/>
  <c r="V1172" i="202"/>
  <c r="V1173" i="202"/>
  <c r="V1174" i="202"/>
  <c r="V1175" i="202"/>
  <c r="V1176" i="202"/>
  <c r="V1177" i="202"/>
  <c r="V1178" i="202"/>
  <c r="V1179" i="202"/>
  <c r="V1180" i="202"/>
  <c r="V1181" i="202"/>
  <c r="V1182" i="202"/>
  <c r="V1183" i="202"/>
  <c r="V1184" i="202"/>
  <c r="V1185" i="202"/>
  <c r="V1186" i="202"/>
  <c r="V1187" i="202"/>
  <c r="V1188" i="202"/>
  <c r="V1189" i="202"/>
  <c r="V1190" i="202"/>
  <c r="V1191" i="202"/>
  <c r="V1192" i="202"/>
  <c r="V1193" i="202"/>
  <c r="V1194" i="202"/>
  <c r="V1195" i="202"/>
  <c r="V1196" i="202"/>
  <c r="V1197" i="202"/>
  <c r="V1198" i="202"/>
  <c r="V1199" i="202"/>
  <c r="V1200" i="202"/>
  <c r="V1201" i="202"/>
  <c r="V1202" i="202"/>
  <c r="V1203" i="202"/>
  <c r="V1204" i="202"/>
  <c r="V1205" i="202"/>
  <c r="V1206" i="202"/>
  <c r="V1207" i="202"/>
  <c r="V1208" i="202"/>
  <c r="V1209" i="202"/>
  <c r="V1210" i="202"/>
  <c r="V1211" i="202"/>
  <c r="V1212" i="202"/>
  <c r="V1213" i="202"/>
  <c r="V1214" i="202"/>
  <c r="V1215" i="202"/>
  <c r="V1216" i="202"/>
  <c r="V1217" i="202"/>
  <c r="V1218" i="202"/>
  <c r="V1219" i="202"/>
  <c r="V1220" i="202"/>
  <c r="V1221" i="202"/>
  <c r="V1222" i="202"/>
  <c r="V1223" i="202"/>
  <c r="V1224" i="202"/>
  <c r="V1225" i="202"/>
  <c r="V1226" i="202"/>
  <c r="V1227" i="202"/>
  <c r="V1228" i="202"/>
  <c r="V1229" i="202"/>
  <c r="V1230" i="202"/>
  <c r="V1231" i="202"/>
  <c r="V1232" i="202"/>
  <c r="V1233" i="202"/>
  <c r="V1234" i="202"/>
  <c r="V1235" i="202"/>
  <c r="V1236" i="202"/>
  <c r="V1237" i="202"/>
  <c r="V1238" i="202"/>
  <c r="V1239" i="202"/>
  <c r="V1240" i="202"/>
  <c r="V1241" i="202"/>
  <c r="V1242" i="202"/>
  <c r="V1243" i="202"/>
  <c r="V1244" i="202"/>
  <c r="V1245" i="202"/>
  <c r="V1246" i="202"/>
  <c r="V1247" i="202"/>
  <c r="V1248" i="202"/>
  <c r="V1249" i="202"/>
  <c r="V1250" i="202"/>
  <c r="V1251" i="202"/>
  <c r="V1252" i="202"/>
  <c r="V1253" i="202"/>
  <c r="V1254" i="202"/>
  <c r="V1255" i="202"/>
  <c r="V1256" i="202"/>
  <c r="V1257" i="202"/>
  <c r="V1258" i="202"/>
  <c r="V1259" i="202"/>
  <c r="V1260" i="202"/>
  <c r="V1261" i="202"/>
  <c r="V1262" i="202"/>
  <c r="V1263" i="202"/>
  <c r="V1264" i="202"/>
  <c r="V1265" i="202"/>
  <c r="V1266" i="202"/>
  <c r="V1267" i="202"/>
  <c r="V1268" i="202"/>
  <c r="V1269" i="202"/>
  <c r="V1270" i="202"/>
  <c r="V1271" i="202"/>
  <c r="V1272" i="202"/>
  <c r="V1273" i="202"/>
  <c r="V1274" i="202"/>
  <c r="V1275" i="202"/>
  <c r="V1276" i="202"/>
  <c r="V1277" i="202"/>
  <c r="V1278" i="202"/>
  <c r="V1279" i="202"/>
  <c r="V1280" i="202"/>
  <c r="V1281" i="202"/>
  <c r="V1282" i="202"/>
  <c r="V1283" i="202"/>
  <c r="V1284" i="202"/>
  <c r="V1285" i="202"/>
  <c r="V1286" i="202"/>
  <c r="V1287" i="202"/>
  <c r="V1288" i="202"/>
  <c r="V1289" i="202"/>
  <c r="V1290" i="202"/>
  <c r="V1291" i="202"/>
  <c r="V1292" i="202"/>
  <c r="V1293" i="202"/>
  <c r="V1294" i="202"/>
  <c r="V1295" i="202"/>
  <c r="V1296" i="202"/>
  <c r="V1297" i="202"/>
  <c r="V1298" i="202"/>
  <c r="V1299" i="202"/>
  <c r="V1300" i="202"/>
  <c r="V1301" i="202"/>
  <c r="V1302" i="202"/>
  <c r="V1303" i="202"/>
  <c r="V1304" i="202"/>
  <c r="V1305" i="202"/>
  <c r="V1306" i="202"/>
  <c r="V1307" i="202"/>
  <c r="V1308" i="202"/>
  <c r="V1309" i="202"/>
  <c r="V1310" i="202"/>
  <c r="V1311" i="202"/>
  <c r="V1312" i="202"/>
  <c r="V1313" i="202"/>
  <c r="V1314" i="202"/>
  <c r="V1315" i="202"/>
  <c r="V1316" i="202"/>
  <c r="V1317" i="202"/>
  <c r="V1318" i="202"/>
  <c r="V1319" i="202"/>
  <c r="V1320" i="202"/>
  <c r="V1321" i="202"/>
  <c r="V1322" i="202"/>
  <c r="V1323" i="202"/>
  <c r="V1324" i="202"/>
  <c r="V1325" i="202"/>
  <c r="V1326" i="202"/>
  <c r="V1327" i="202"/>
  <c r="V1328" i="202"/>
  <c r="V1329" i="202"/>
  <c r="V1330" i="202"/>
  <c r="V1331" i="202"/>
  <c r="V1332" i="202"/>
  <c r="V1333" i="202"/>
  <c r="V1334" i="202"/>
  <c r="V1335" i="202"/>
  <c r="V1336" i="202"/>
  <c r="V1337" i="202"/>
  <c r="V1338" i="202"/>
  <c r="V1339" i="202"/>
  <c r="V1340" i="202"/>
  <c r="V1341" i="202"/>
  <c r="V1342" i="202"/>
  <c r="V1343" i="202"/>
  <c r="V1344" i="202"/>
  <c r="V1345" i="202"/>
  <c r="V1346" i="202"/>
  <c r="V1347" i="202"/>
  <c r="V1348" i="202"/>
  <c r="V1349" i="202"/>
  <c r="V1350" i="202"/>
  <c r="V1351" i="202"/>
  <c r="V1352" i="202"/>
  <c r="V1353" i="202"/>
  <c r="V1354" i="202"/>
  <c r="V1355" i="202"/>
  <c r="V1356" i="202"/>
  <c r="V1357" i="202"/>
  <c r="V1358" i="202"/>
  <c r="V1359" i="202"/>
  <c r="V1360" i="202"/>
  <c r="V1361" i="202"/>
  <c r="V1362" i="202"/>
  <c r="V1363" i="202"/>
  <c r="V1364" i="202"/>
  <c r="V1365" i="202"/>
  <c r="V1366" i="202"/>
  <c r="V1367" i="202"/>
  <c r="V1368" i="202"/>
  <c r="V1369" i="202"/>
  <c r="V1370" i="202"/>
  <c r="V1371" i="202"/>
  <c r="V1372" i="202"/>
  <c r="V1373" i="202"/>
  <c r="V1374" i="202"/>
  <c r="V1375" i="202"/>
  <c r="V1376" i="202"/>
  <c r="V1377" i="202"/>
  <c r="V1378" i="202"/>
  <c r="V1379" i="202"/>
  <c r="V1380" i="202"/>
  <c r="V1381" i="202"/>
  <c r="V1382" i="202"/>
  <c r="V1383" i="202"/>
  <c r="V1384" i="202"/>
  <c r="V1385" i="202"/>
  <c r="V1386" i="202"/>
  <c r="V1387" i="202"/>
  <c r="V1388" i="202"/>
  <c r="V1389" i="202"/>
  <c r="V1390" i="202"/>
  <c r="V1391" i="202"/>
  <c r="V1392" i="202"/>
  <c r="V1393" i="202"/>
  <c r="V1394" i="202"/>
  <c r="V1395" i="202"/>
  <c r="V1396" i="202"/>
  <c r="V1397" i="202"/>
  <c r="V1398" i="202"/>
  <c r="V1399" i="202"/>
  <c r="V1400" i="202"/>
  <c r="V1401" i="202"/>
  <c r="V1402" i="202"/>
  <c r="V1403" i="202"/>
  <c r="V1404" i="202"/>
  <c r="V1405" i="202"/>
  <c r="V1406" i="202"/>
  <c r="V1407" i="202"/>
  <c r="V1408" i="202"/>
  <c r="V1409" i="202"/>
  <c r="V1410" i="202"/>
  <c r="V1411" i="202"/>
  <c r="V1412" i="202"/>
  <c r="V1413" i="202"/>
  <c r="V1414" i="202"/>
  <c r="V1415" i="202"/>
  <c r="V1416" i="202"/>
  <c r="V1417" i="202"/>
  <c r="V1418" i="202"/>
  <c r="V1419" i="202"/>
  <c r="V1420" i="202"/>
  <c r="V1421" i="202"/>
  <c r="V1422" i="202"/>
  <c r="V1423" i="202"/>
  <c r="V1424" i="202"/>
  <c r="V1425" i="202"/>
  <c r="V1426" i="202"/>
  <c r="V1427" i="202"/>
  <c r="V1428" i="202"/>
  <c r="V1429" i="202"/>
  <c r="V1430" i="202"/>
  <c r="V1431" i="202"/>
  <c r="V1432" i="202"/>
  <c r="V1433" i="202"/>
  <c r="V1434" i="202"/>
  <c r="V1435" i="202"/>
  <c r="V1436" i="202"/>
  <c r="V1437" i="202"/>
  <c r="V1438" i="202"/>
  <c r="V1439" i="202"/>
  <c r="V1440" i="202"/>
  <c r="V1441" i="202"/>
  <c r="V1442" i="202"/>
  <c r="V1443" i="202"/>
  <c r="V1444" i="202"/>
  <c r="V1445" i="202"/>
  <c r="V1446" i="202"/>
  <c r="V1447" i="202"/>
  <c r="V1448" i="202"/>
  <c r="V1449" i="202"/>
  <c r="V1450" i="202"/>
  <c r="V1451" i="202"/>
  <c r="V1452" i="202"/>
  <c r="V1453" i="202"/>
  <c r="V1454" i="202"/>
  <c r="V1455" i="202"/>
  <c r="V1456" i="202"/>
  <c r="V1457" i="202"/>
  <c r="V1458" i="202"/>
  <c r="V1459" i="202"/>
  <c r="V1460" i="202"/>
  <c r="V1461" i="202"/>
  <c r="V1462" i="202"/>
  <c r="V1463" i="202"/>
  <c r="V1464" i="202"/>
  <c r="V1465" i="202"/>
  <c r="V1466" i="202"/>
  <c r="V1467" i="202"/>
  <c r="V1468" i="202"/>
  <c r="V1469" i="202"/>
  <c r="V1470" i="202"/>
  <c r="V1471" i="202"/>
  <c r="V1472" i="202"/>
  <c r="V1473" i="202"/>
  <c r="V1474" i="202"/>
  <c r="V1475" i="202"/>
  <c r="V1476" i="202"/>
  <c r="V1477" i="202"/>
  <c r="V1478" i="202"/>
  <c r="V1479" i="202"/>
  <c r="V1480" i="202"/>
  <c r="V1481" i="202"/>
  <c r="V1482" i="202"/>
  <c r="V1483" i="202"/>
  <c r="V1484" i="202"/>
  <c r="V1485" i="202"/>
  <c r="V1486" i="202"/>
  <c r="V1487" i="202"/>
  <c r="V1488" i="202"/>
  <c r="V1489" i="202"/>
  <c r="V1490" i="202"/>
  <c r="V1491" i="202"/>
  <c r="V1492" i="202"/>
  <c r="V1493" i="202"/>
  <c r="V1494" i="202"/>
  <c r="V1495" i="202"/>
  <c r="V1496" i="202"/>
  <c r="V1497" i="202"/>
  <c r="V1498" i="202"/>
  <c r="V1499" i="202"/>
  <c r="V1500" i="202"/>
  <c r="V1501" i="202"/>
  <c r="V1502" i="202"/>
  <c r="V1503" i="202"/>
  <c r="V1504" i="202"/>
  <c r="V1505" i="202"/>
  <c r="V1506" i="202"/>
  <c r="V1507" i="202"/>
  <c r="V1508" i="202"/>
  <c r="V1509" i="202"/>
  <c r="V1510" i="202"/>
  <c r="V1511" i="202"/>
  <c r="V1512" i="202"/>
  <c r="V1513" i="202"/>
  <c r="V1514" i="202"/>
  <c r="V1515" i="202"/>
  <c r="V1516" i="202"/>
  <c r="V1517" i="202"/>
  <c r="V1518" i="202"/>
  <c r="V1519" i="202"/>
  <c r="V1520" i="202"/>
  <c r="V1521" i="202"/>
  <c r="V1522" i="202"/>
  <c r="V1523" i="202"/>
  <c r="V1524" i="202"/>
  <c r="V1525" i="202"/>
  <c r="V1526" i="202"/>
  <c r="V1527" i="202"/>
  <c r="V1528" i="202"/>
  <c r="V1529" i="202"/>
  <c r="V1530" i="202"/>
  <c r="V1531" i="202"/>
  <c r="V1532" i="202"/>
  <c r="V1533" i="202"/>
  <c r="V1534" i="202"/>
  <c r="V1535" i="202"/>
  <c r="V1536" i="202"/>
  <c r="V1537" i="202"/>
  <c r="V1538" i="202"/>
  <c r="V1539" i="202"/>
  <c r="V1540" i="202"/>
  <c r="V1541" i="202"/>
  <c r="V1542" i="202"/>
  <c r="V1543" i="202"/>
  <c r="V1544" i="202"/>
  <c r="V1545" i="202"/>
  <c r="V1546" i="202"/>
  <c r="V1547" i="202"/>
  <c r="V1548" i="202"/>
  <c r="V1549" i="202"/>
  <c r="V1550" i="202"/>
  <c r="V1551" i="202"/>
  <c r="V1552" i="202"/>
  <c r="V1553" i="202"/>
  <c r="V1554" i="202"/>
  <c r="V1555" i="202"/>
  <c r="V1556" i="202"/>
  <c r="V1557" i="202"/>
  <c r="V1558" i="202"/>
  <c r="V1559" i="202"/>
  <c r="V1560" i="202"/>
  <c r="V1561" i="202"/>
  <c r="V1562" i="202"/>
  <c r="V1563" i="202"/>
  <c r="V1564" i="202"/>
  <c r="V1565" i="202"/>
  <c r="V1566" i="202"/>
  <c r="V1567" i="202"/>
  <c r="V1568" i="202"/>
  <c r="V1569" i="202"/>
  <c r="V1570" i="202"/>
  <c r="V1571" i="202"/>
  <c r="V1572" i="202"/>
  <c r="V1573" i="202"/>
  <c r="V1574" i="202"/>
  <c r="V1575" i="202"/>
  <c r="V1576" i="202"/>
  <c r="V1577" i="202"/>
  <c r="V1578" i="202"/>
  <c r="V1579" i="202"/>
  <c r="V1580" i="202"/>
  <c r="V1581" i="202"/>
  <c r="V1582" i="202"/>
  <c r="V1583" i="202"/>
  <c r="V1584" i="202"/>
  <c r="V1585" i="202"/>
  <c r="V1586" i="202"/>
  <c r="V1587" i="202"/>
  <c r="V1588" i="202"/>
  <c r="V1589" i="202"/>
  <c r="V1590" i="202"/>
  <c r="V1591" i="202"/>
  <c r="V1592" i="202"/>
  <c r="V1593" i="202"/>
  <c r="V1594" i="202"/>
  <c r="V1595" i="202"/>
  <c r="V1596" i="202"/>
  <c r="V1597" i="202"/>
  <c r="V1598" i="202"/>
  <c r="V1599" i="202"/>
  <c r="V1600" i="202"/>
  <c r="V1601" i="202"/>
  <c r="V1602" i="202"/>
  <c r="V1603" i="202"/>
  <c r="V1604" i="202"/>
  <c r="V1605" i="202"/>
  <c r="V1606" i="202"/>
  <c r="V1607" i="202"/>
  <c r="V1608" i="202"/>
  <c r="V1609" i="202"/>
  <c r="V1610" i="202"/>
  <c r="V1611" i="202"/>
  <c r="V1612" i="202"/>
  <c r="V1613" i="202"/>
  <c r="V1614" i="202"/>
  <c r="V1615" i="202"/>
  <c r="V1616" i="202"/>
  <c r="V1617" i="202"/>
  <c r="V1618" i="202"/>
  <c r="V1619" i="202"/>
  <c r="V1620" i="202"/>
  <c r="V1621" i="202"/>
  <c r="V1622" i="202"/>
  <c r="V1623" i="202"/>
  <c r="V1624" i="202"/>
  <c r="V1625" i="202"/>
  <c r="V1626" i="202"/>
  <c r="V1627" i="202"/>
  <c r="V1628" i="202"/>
  <c r="V1629" i="202"/>
  <c r="V1630" i="202"/>
  <c r="V1631" i="202"/>
  <c r="V1632" i="202"/>
  <c r="V1633" i="202"/>
  <c r="V1634" i="202"/>
  <c r="V1635" i="202"/>
  <c r="V1636" i="202"/>
  <c r="V1637" i="202"/>
  <c r="V1638" i="202"/>
  <c r="V1639" i="202"/>
  <c r="V1640" i="202"/>
  <c r="V1641" i="202"/>
  <c r="V1642" i="202"/>
  <c r="V1643" i="202"/>
  <c r="V1644" i="202"/>
  <c r="V1645" i="202"/>
  <c r="V1646" i="202"/>
  <c r="V1647" i="202"/>
  <c r="V1648" i="202"/>
  <c r="V1649" i="202"/>
  <c r="V1650" i="202"/>
  <c r="V1651" i="202"/>
  <c r="V1652" i="202"/>
  <c r="V1653" i="202"/>
  <c r="V1654" i="202"/>
  <c r="V1655" i="202"/>
  <c r="V1656" i="202"/>
  <c r="V1657" i="202"/>
  <c r="V1658" i="202"/>
  <c r="V1659" i="202"/>
  <c r="V1660" i="202"/>
  <c r="V1661" i="202"/>
  <c r="V1662" i="202"/>
  <c r="V1663" i="202"/>
  <c r="V1664" i="202"/>
  <c r="V1665" i="202"/>
  <c r="V1666" i="202"/>
  <c r="V1667" i="202"/>
  <c r="V1668" i="202"/>
  <c r="V1669" i="202"/>
  <c r="V1670" i="202"/>
  <c r="V1671" i="202"/>
  <c r="V1672" i="202"/>
  <c r="V1673" i="202"/>
  <c r="V1674" i="202"/>
  <c r="V1675" i="202"/>
  <c r="V1676" i="202"/>
  <c r="V1677" i="202"/>
  <c r="V1678" i="202"/>
  <c r="V1679" i="202"/>
  <c r="V1680" i="202"/>
  <c r="V1681" i="202"/>
  <c r="V1682" i="202"/>
  <c r="V1683" i="202"/>
  <c r="V1684" i="202"/>
  <c r="V1685" i="202"/>
  <c r="V1686" i="202"/>
  <c r="V1687" i="202"/>
  <c r="V1688" i="202"/>
  <c r="V1689" i="202"/>
  <c r="V1690" i="202"/>
  <c r="V1691" i="202"/>
  <c r="V1692" i="202"/>
  <c r="V1693" i="202"/>
  <c r="V1694" i="202"/>
  <c r="V1695" i="202"/>
  <c r="V1696" i="202"/>
  <c r="V1697" i="202"/>
  <c r="V1698" i="202"/>
  <c r="V1699" i="202"/>
  <c r="V1700" i="202"/>
  <c r="V1701" i="202"/>
  <c r="V1702" i="202"/>
  <c r="V1703" i="202"/>
  <c r="V1704" i="202"/>
  <c r="V1705" i="202"/>
  <c r="V1706" i="202"/>
  <c r="V1707" i="202"/>
  <c r="V1708" i="202"/>
  <c r="V1709" i="202"/>
  <c r="V1710" i="202"/>
  <c r="V1711" i="202"/>
  <c r="V1712" i="202"/>
  <c r="V1713" i="202"/>
  <c r="V1714" i="202"/>
  <c r="V1715" i="202"/>
  <c r="V1716" i="202"/>
  <c r="V1717" i="202"/>
  <c r="V1718" i="202"/>
  <c r="V1719" i="202"/>
  <c r="V1720" i="202"/>
  <c r="V1721" i="202"/>
  <c r="V1722" i="202"/>
  <c r="V1723" i="202"/>
  <c r="V1724" i="202"/>
  <c r="V1725" i="202"/>
  <c r="V1726" i="202"/>
  <c r="V1727" i="202"/>
  <c r="V1728" i="202"/>
  <c r="V1729" i="202"/>
  <c r="V1730" i="202"/>
  <c r="V1731" i="202"/>
  <c r="V1732" i="202"/>
  <c r="V1733" i="202"/>
  <c r="V1734" i="202"/>
  <c r="V1735" i="202"/>
  <c r="V1736" i="202"/>
  <c r="V1737" i="202"/>
  <c r="V1738" i="202"/>
  <c r="V1739" i="202"/>
  <c r="V1740" i="202"/>
  <c r="V1741" i="202"/>
  <c r="V1742" i="202"/>
  <c r="V1743" i="202"/>
  <c r="V1744" i="202"/>
  <c r="V1745" i="202"/>
  <c r="V1746" i="202"/>
  <c r="V1747" i="202"/>
  <c r="V1748" i="202"/>
  <c r="V1749" i="202"/>
  <c r="V1750" i="202"/>
  <c r="V1751" i="202"/>
  <c r="V1752" i="202"/>
  <c r="V1753" i="202"/>
  <c r="V1754" i="202"/>
  <c r="V1755" i="202"/>
  <c r="V1756" i="202"/>
  <c r="V1757" i="202"/>
  <c r="V1758" i="202"/>
  <c r="V1759" i="202"/>
  <c r="V1760" i="202"/>
  <c r="V1761" i="202"/>
  <c r="V1762" i="202"/>
  <c r="V1763" i="202"/>
  <c r="V1764" i="202"/>
  <c r="V1765" i="202"/>
  <c r="V1766" i="202"/>
  <c r="V1767" i="202"/>
  <c r="V1768" i="202"/>
  <c r="V1769" i="202"/>
  <c r="V1770" i="202"/>
  <c r="V1771" i="202"/>
  <c r="V1772" i="202"/>
  <c r="V1773" i="202"/>
  <c r="V1774" i="202"/>
  <c r="V1775" i="202"/>
  <c r="V1776" i="202"/>
  <c r="V1777" i="202"/>
  <c r="V1778" i="202"/>
  <c r="V1779" i="202"/>
  <c r="V1780" i="202"/>
  <c r="V1781" i="202"/>
  <c r="V1782" i="202"/>
  <c r="V1783" i="202"/>
  <c r="V1784" i="202"/>
  <c r="V1785" i="202"/>
  <c r="V1786" i="202"/>
  <c r="V1787" i="202"/>
  <c r="V1788" i="202"/>
  <c r="V1789" i="202"/>
  <c r="V1790" i="202"/>
  <c r="V1791" i="202"/>
  <c r="V1792" i="202"/>
  <c r="V1793" i="202"/>
  <c r="V1794" i="202"/>
  <c r="V1795" i="202"/>
  <c r="V1796" i="202"/>
  <c r="V1797" i="202"/>
  <c r="V1798" i="202"/>
  <c r="V1799" i="202"/>
  <c r="V1800" i="202"/>
  <c r="V1801" i="202"/>
  <c r="V1802" i="202"/>
  <c r="V1803" i="202"/>
  <c r="V1804" i="202"/>
  <c r="V1805" i="202"/>
  <c r="V1806" i="202"/>
  <c r="V1807" i="202"/>
  <c r="V1808" i="202"/>
  <c r="V1809" i="202"/>
  <c r="V1810" i="202"/>
  <c r="V1811" i="202"/>
  <c r="V1812" i="202"/>
  <c r="V1813" i="202"/>
  <c r="V1814" i="202"/>
  <c r="V1815" i="202"/>
  <c r="V1816" i="202"/>
  <c r="V1817" i="202"/>
  <c r="V1818" i="202"/>
  <c r="V1819" i="202"/>
  <c r="V1820" i="202"/>
  <c r="V1821" i="202"/>
  <c r="V1822" i="202"/>
  <c r="V1823" i="202"/>
  <c r="V1824" i="202"/>
  <c r="V1825" i="202"/>
  <c r="V1826" i="202"/>
  <c r="V1827" i="202"/>
  <c r="V1828" i="202"/>
  <c r="V1829" i="202"/>
  <c r="V1830" i="202"/>
  <c r="V1831" i="202"/>
  <c r="V1832" i="202"/>
  <c r="V1833" i="202"/>
  <c r="V1834" i="202"/>
  <c r="V1835" i="202"/>
  <c r="V1836" i="202"/>
  <c r="V1837" i="202"/>
  <c r="V1838" i="202"/>
  <c r="V1839" i="202"/>
  <c r="V1840" i="202"/>
  <c r="V1841" i="202"/>
  <c r="V1842" i="202"/>
  <c r="V1843" i="202"/>
  <c r="V1844" i="202"/>
  <c r="V1845" i="202"/>
  <c r="V1846" i="202"/>
  <c r="V1847" i="202"/>
  <c r="V1848" i="202"/>
  <c r="V1849" i="202"/>
  <c r="V1850" i="202"/>
  <c r="V1851" i="202"/>
  <c r="V1852" i="202"/>
  <c r="V1853" i="202"/>
  <c r="V1854" i="202"/>
  <c r="V1855" i="202"/>
  <c r="V1856" i="202"/>
  <c r="V1857" i="202"/>
  <c r="V1858" i="202"/>
  <c r="V1859" i="202"/>
  <c r="V1860" i="202"/>
  <c r="V1861" i="202"/>
  <c r="V1862" i="202"/>
  <c r="V1863" i="202"/>
  <c r="V1864" i="202"/>
  <c r="V1865" i="202"/>
  <c r="V1866" i="202"/>
  <c r="V1867" i="202"/>
  <c r="V1868" i="202"/>
  <c r="V1869" i="202"/>
  <c r="V1870" i="202"/>
  <c r="V1871" i="202"/>
  <c r="V1872" i="202"/>
  <c r="V1873" i="202"/>
  <c r="V1874" i="202"/>
  <c r="V1875" i="202"/>
  <c r="V1876" i="202"/>
  <c r="V1877" i="202"/>
  <c r="V1878" i="202"/>
  <c r="V1879" i="202"/>
  <c r="V1880" i="202"/>
  <c r="V1881" i="202"/>
  <c r="V1882" i="202"/>
  <c r="V1883" i="202"/>
  <c r="V1884" i="202"/>
  <c r="V1885" i="202"/>
  <c r="V1886" i="202"/>
  <c r="V1887" i="202"/>
  <c r="V1888" i="202"/>
  <c r="V1889" i="202"/>
  <c r="V1890" i="202"/>
  <c r="V1891" i="202"/>
  <c r="V1892" i="202"/>
  <c r="V1893" i="202"/>
  <c r="V1894" i="202"/>
  <c r="V1895" i="202"/>
  <c r="V1896" i="202"/>
  <c r="V1897" i="202"/>
  <c r="V1898" i="202"/>
  <c r="V1899" i="202"/>
  <c r="V1900" i="202"/>
  <c r="V1901" i="202"/>
  <c r="V1902" i="202"/>
  <c r="V1903" i="202"/>
  <c r="V1904" i="202"/>
  <c r="V1905" i="202"/>
  <c r="V1906" i="202"/>
  <c r="V1907" i="202"/>
  <c r="V1908" i="202"/>
  <c r="V1909" i="202"/>
  <c r="V1910" i="202"/>
  <c r="V1911" i="202"/>
  <c r="V1912" i="202"/>
  <c r="V1913" i="202"/>
  <c r="V1914" i="202"/>
  <c r="V1915" i="202"/>
  <c r="V1916" i="202"/>
  <c r="V1917" i="202"/>
  <c r="V1918" i="202"/>
  <c r="V1919" i="202"/>
  <c r="V1920" i="202"/>
  <c r="V1921" i="202"/>
  <c r="V1922" i="202"/>
  <c r="V1923" i="202"/>
  <c r="V1924" i="202"/>
  <c r="V1925" i="202"/>
  <c r="V1926" i="202"/>
  <c r="V1927" i="202"/>
  <c r="V1928" i="202"/>
  <c r="V1929" i="202"/>
  <c r="V1930" i="202"/>
  <c r="V1931" i="202"/>
  <c r="V1932" i="202"/>
  <c r="V1933" i="202"/>
  <c r="V1934" i="202"/>
  <c r="V1935" i="202"/>
  <c r="V1936" i="202"/>
  <c r="V1937" i="202"/>
  <c r="V1938" i="202"/>
  <c r="V1939" i="202"/>
  <c r="V1940" i="202"/>
  <c r="V1941" i="202"/>
  <c r="V1942" i="202"/>
  <c r="V1943" i="202"/>
  <c r="V1944" i="202"/>
  <c r="V1945" i="202"/>
  <c r="V1946" i="202"/>
  <c r="V1947" i="202"/>
  <c r="V1948" i="202"/>
  <c r="V1949" i="202"/>
  <c r="V1950" i="202"/>
  <c r="V1951" i="202"/>
  <c r="V1952" i="202"/>
  <c r="V1953" i="202"/>
  <c r="V1954" i="202"/>
  <c r="V1955" i="202"/>
  <c r="V1956" i="202"/>
  <c r="V1957" i="202"/>
  <c r="V1958" i="202"/>
  <c r="V1959" i="202"/>
  <c r="V1960" i="202"/>
  <c r="V1961" i="202"/>
  <c r="V1962" i="202"/>
  <c r="V1963" i="202"/>
  <c r="V1964" i="202"/>
  <c r="V1965" i="202"/>
  <c r="V1966" i="202"/>
  <c r="V1967" i="202"/>
  <c r="V1968" i="202"/>
  <c r="V1969" i="202"/>
  <c r="V1970" i="202"/>
  <c r="V1971" i="202"/>
  <c r="V1972" i="202"/>
  <c r="V1973" i="202"/>
  <c r="V1974" i="202"/>
  <c r="V1975" i="202"/>
  <c r="V1976" i="202"/>
  <c r="V1977" i="202"/>
  <c r="V1978" i="202"/>
  <c r="V1979" i="202"/>
  <c r="V1980" i="202"/>
  <c r="V1981" i="202"/>
  <c r="V1982" i="202"/>
  <c r="V1983" i="202"/>
  <c r="V1984" i="202"/>
  <c r="V1985" i="202"/>
  <c r="V1986" i="202"/>
  <c r="V1987" i="202"/>
  <c r="V1988" i="202"/>
  <c r="V1989" i="202"/>
  <c r="V1990" i="202"/>
  <c r="V1991" i="202"/>
  <c r="V1992" i="202"/>
  <c r="V1993" i="202"/>
  <c r="V1994" i="202"/>
  <c r="V1995" i="202"/>
  <c r="V1996" i="202"/>
  <c r="V1997" i="202"/>
  <c r="V1998" i="202"/>
  <c r="V1999" i="202"/>
  <c r="V2000" i="202"/>
  <c r="V2001" i="202"/>
  <c r="V2002" i="202"/>
  <c r="V2003" i="202"/>
  <c r="V2004" i="202"/>
  <c r="V2005" i="202"/>
  <c r="V2006" i="202"/>
  <c r="V2007" i="202"/>
  <c r="V2008" i="202"/>
  <c r="V2009" i="202"/>
  <c r="V2010" i="202"/>
  <c r="V2011" i="202"/>
  <c r="V2012" i="202"/>
  <c r="V2013" i="202"/>
  <c r="V2014" i="202"/>
  <c r="V2015" i="202"/>
  <c r="V2016" i="202"/>
  <c r="V2017" i="202"/>
  <c r="V2018" i="202"/>
  <c r="V2019" i="202"/>
  <c r="V2020" i="202"/>
  <c r="V2021" i="202"/>
  <c r="V2022" i="202"/>
  <c r="V2023" i="202"/>
  <c r="V2024" i="202"/>
  <c r="V2025" i="202"/>
  <c r="V2026" i="202"/>
  <c r="V2027" i="202"/>
  <c r="V2028" i="202"/>
  <c r="V2029" i="202"/>
  <c r="V2030" i="202"/>
  <c r="V2031" i="202"/>
  <c r="V2032" i="202"/>
  <c r="V2033" i="202"/>
  <c r="V2034" i="202"/>
  <c r="V2035" i="202"/>
  <c r="V2036" i="202"/>
  <c r="V2037" i="202"/>
  <c r="V2038" i="202"/>
  <c r="V2039" i="202"/>
  <c r="V2040" i="202"/>
  <c r="V2041" i="202"/>
  <c r="V2042" i="202"/>
  <c r="V2043" i="202"/>
  <c r="V2044" i="202"/>
  <c r="V2045" i="202"/>
  <c r="V2046" i="202"/>
  <c r="V2047" i="202"/>
  <c r="V2048" i="202"/>
  <c r="AW2" i="202"/>
  <c r="AW3" i="202"/>
  <c r="AW4" i="202"/>
  <c r="AW5" i="202"/>
  <c r="AW6" i="202"/>
  <c r="AW7" i="202"/>
  <c r="AW8" i="202"/>
  <c r="AW9" i="202"/>
  <c r="AW10" i="202"/>
  <c r="AW11" i="202"/>
  <c r="AW12" i="202"/>
  <c r="AW13" i="202"/>
  <c r="AW14" i="202"/>
  <c r="AW15" i="202"/>
  <c r="AW16" i="202"/>
  <c r="AW17" i="202"/>
  <c r="AW18" i="202"/>
  <c r="AW19" i="202"/>
  <c r="AW20" i="202"/>
  <c r="AW21" i="202"/>
  <c r="AW22" i="202"/>
  <c r="AW23" i="202"/>
  <c r="AW24" i="202"/>
  <c r="AW25" i="202"/>
  <c r="AW26" i="202"/>
  <c r="AW27" i="202"/>
  <c r="AW28" i="202"/>
  <c r="AW29" i="202"/>
  <c r="AW30" i="202"/>
  <c r="AW31" i="202"/>
  <c r="AW32" i="202"/>
  <c r="AW33" i="202"/>
  <c r="AW34" i="202"/>
  <c r="AW35" i="202"/>
  <c r="AW36" i="202"/>
  <c r="AW37" i="202"/>
  <c r="AW38" i="202"/>
  <c r="AW39" i="202"/>
  <c r="AW40" i="202"/>
  <c r="AW41" i="202"/>
  <c r="AW42" i="202"/>
  <c r="AW43" i="202"/>
  <c r="AW44" i="202"/>
  <c r="AW45" i="202"/>
  <c r="AW46" i="202"/>
  <c r="AW47" i="202"/>
  <c r="AW48" i="202"/>
  <c r="AW49" i="202"/>
  <c r="AW50" i="202"/>
  <c r="AW51" i="202"/>
  <c r="AW52" i="202"/>
  <c r="AW53" i="202"/>
  <c r="AW54" i="202"/>
  <c r="AW55" i="202"/>
  <c r="AW56" i="202"/>
  <c r="AW57" i="202"/>
  <c r="AW58" i="202"/>
  <c r="AW59" i="202"/>
  <c r="AW60" i="202"/>
  <c r="AW61" i="202"/>
  <c r="AW62" i="202"/>
  <c r="AW63" i="202"/>
  <c r="AW64" i="202"/>
  <c r="AW65" i="202"/>
  <c r="AW66" i="202"/>
  <c r="AW67" i="202"/>
  <c r="AW68" i="202"/>
  <c r="AW69" i="202"/>
  <c r="AW70" i="202"/>
  <c r="AW71" i="202"/>
  <c r="AW72" i="202"/>
  <c r="AW73" i="202"/>
  <c r="AW74" i="202"/>
  <c r="AW75" i="202"/>
  <c r="AW76" i="202"/>
  <c r="AW77" i="202"/>
  <c r="AW78" i="202"/>
  <c r="AW79" i="202"/>
  <c r="AW80" i="202"/>
  <c r="AW81" i="202"/>
  <c r="AW82" i="202"/>
  <c r="AW83" i="202"/>
  <c r="AW84" i="202"/>
  <c r="AW85" i="202"/>
  <c r="AW86" i="202"/>
  <c r="AW87" i="202"/>
  <c r="AW88" i="202"/>
  <c r="AW89" i="202"/>
  <c r="AW90" i="202"/>
  <c r="AW91" i="202"/>
  <c r="AW92" i="202"/>
  <c r="AW93" i="202"/>
  <c r="AW94" i="202"/>
  <c r="AW95" i="202"/>
  <c r="AW96" i="202"/>
  <c r="AW97" i="202"/>
  <c r="AW98" i="202"/>
  <c r="AW99" i="202"/>
  <c r="AW100" i="202"/>
  <c r="AW101" i="202"/>
  <c r="AW102" i="202"/>
  <c r="AW103" i="202"/>
  <c r="AW104" i="202"/>
  <c r="AW105" i="202"/>
  <c r="AW106" i="202"/>
  <c r="AW107" i="202"/>
  <c r="AW108" i="202"/>
  <c r="AW109" i="202"/>
  <c r="AW110" i="202"/>
  <c r="AW111" i="202"/>
  <c r="AW112" i="202"/>
  <c r="AW113" i="202"/>
  <c r="AW114" i="202"/>
  <c r="AW115" i="202"/>
  <c r="AW116" i="202"/>
  <c r="AW117" i="202"/>
  <c r="AW118" i="202"/>
  <c r="AW119" i="202"/>
  <c r="AW120" i="202"/>
  <c r="AW121" i="202"/>
  <c r="AW122" i="202"/>
  <c r="AW123" i="202"/>
  <c r="AW124" i="202"/>
  <c r="AW125" i="202"/>
  <c r="AW126" i="202"/>
  <c r="AW127" i="202"/>
  <c r="AW128" i="202"/>
  <c r="AW129" i="202"/>
  <c r="AW130" i="202"/>
  <c r="AW131" i="202"/>
  <c r="AW132" i="202"/>
  <c r="AW133" i="202"/>
  <c r="AW134" i="202"/>
  <c r="AW135" i="202"/>
  <c r="AW136" i="202"/>
  <c r="AW137" i="202"/>
  <c r="AW138" i="202"/>
  <c r="AW139" i="202"/>
  <c r="AW140" i="202"/>
  <c r="AW141" i="202"/>
  <c r="AW142" i="202"/>
  <c r="AW143" i="202"/>
  <c r="AW144" i="202"/>
  <c r="AW145" i="202"/>
  <c r="AW146" i="202"/>
  <c r="AW147" i="202"/>
  <c r="AW148" i="202"/>
  <c r="AW149" i="202"/>
  <c r="AW150" i="202"/>
  <c r="AW151" i="202"/>
  <c r="AW152" i="202"/>
  <c r="AW153" i="202"/>
  <c r="AW154" i="202"/>
  <c r="AW155" i="202"/>
  <c r="AW156" i="202"/>
  <c r="AW157" i="202"/>
  <c r="AW158" i="202"/>
  <c r="AW159" i="202"/>
  <c r="AW160" i="202"/>
  <c r="AW161" i="202"/>
  <c r="AW162" i="202"/>
  <c r="AW163" i="202"/>
  <c r="AW164" i="202"/>
  <c r="AW165" i="202"/>
  <c r="AW166" i="202"/>
  <c r="AW167" i="202"/>
  <c r="AW168" i="202"/>
  <c r="AW169" i="202"/>
  <c r="AW170" i="202"/>
  <c r="AW171" i="202"/>
  <c r="AW172" i="202"/>
  <c r="AW173" i="202"/>
  <c r="AW174" i="202"/>
  <c r="AW175" i="202"/>
  <c r="AW176" i="202"/>
  <c r="AW177" i="202"/>
  <c r="AW178" i="202"/>
  <c r="AW179" i="202"/>
  <c r="AW180" i="202"/>
  <c r="AW181" i="202"/>
  <c r="AW182" i="202"/>
  <c r="AW183" i="202"/>
  <c r="AW184" i="202"/>
  <c r="AW185" i="202"/>
  <c r="AW186" i="202"/>
  <c r="AW187" i="202"/>
  <c r="AW188" i="202"/>
  <c r="AW189" i="202"/>
  <c r="AW190" i="202"/>
  <c r="AW191" i="202"/>
  <c r="AW192" i="202"/>
  <c r="AW193" i="202"/>
  <c r="AW194" i="202"/>
  <c r="AW195" i="202"/>
  <c r="AW196" i="202"/>
  <c r="AW197" i="202"/>
  <c r="AW198" i="202"/>
  <c r="AW199" i="202"/>
  <c r="AW200" i="202"/>
  <c r="AW201" i="202"/>
  <c r="AW202" i="202"/>
  <c r="AW203" i="202"/>
  <c r="AW204" i="202"/>
  <c r="AW205" i="202"/>
  <c r="AW206" i="202"/>
  <c r="AW207" i="202"/>
  <c r="AW208" i="202"/>
  <c r="AW209" i="202"/>
  <c r="AW210" i="202"/>
  <c r="AW211" i="202"/>
  <c r="AW212" i="202"/>
  <c r="AW213" i="202"/>
  <c r="AW214" i="202"/>
  <c r="AW215" i="202"/>
  <c r="AW216" i="202"/>
  <c r="AW217" i="202"/>
  <c r="AW218" i="202"/>
  <c r="AW219" i="202"/>
  <c r="AW220" i="202"/>
  <c r="AW221" i="202"/>
  <c r="AW222" i="202"/>
  <c r="AW223" i="202"/>
  <c r="AW224" i="202"/>
  <c r="AW225" i="202"/>
  <c r="AW226" i="202"/>
  <c r="AW227" i="202"/>
  <c r="AW228" i="202"/>
  <c r="AW229" i="202"/>
  <c r="AW230" i="202"/>
  <c r="AW231" i="202"/>
  <c r="AW232" i="202"/>
  <c r="AW233" i="202"/>
  <c r="AW234" i="202"/>
  <c r="AW235" i="202"/>
  <c r="AW236" i="202"/>
  <c r="AW237" i="202"/>
  <c r="AW238" i="202"/>
  <c r="AW239" i="202"/>
  <c r="AW240" i="202"/>
  <c r="AW241" i="202"/>
  <c r="AW242" i="202"/>
  <c r="AW243" i="202"/>
  <c r="AW244" i="202"/>
  <c r="AW245" i="202"/>
  <c r="AW246" i="202"/>
  <c r="AW247" i="202"/>
  <c r="AW248" i="202"/>
  <c r="AW249" i="202"/>
  <c r="AW250" i="202"/>
  <c r="AW251" i="202"/>
  <c r="AW252" i="202"/>
  <c r="AW253" i="202"/>
  <c r="AW254" i="202"/>
  <c r="AW255" i="202"/>
  <c r="AW256" i="202"/>
  <c r="AW257" i="202"/>
  <c r="AW258" i="202"/>
  <c r="AW259" i="202"/>
  <c r="AW260" i="202"/>
  <c r="AW261" i="202"/>
  <c r="AW262" i="202"/>
  <c r="AW263" i="202"/>
  <c r="AW264" i="202"/>
  <c r="AW265" i="202"/>
  <c r="AW266" i="202"/>
  <c r="AW267" i="202"/>
  <c r="AW268" i="202"/>
  <c r="AW269" i="202"/>
  <c r="AW270" i="202"/>
  <c r="AW271" i="202"/>
  <c r="AW272" i="202"/>
  <c r="AW273" i="202"/>
  <c r="AW274" i="202"/>
  <c r="AW275" i="202"/>
  <c r="AW276" i="202"/>
  <c r="AW277" i="202"/>
  <c r="AW278" i="202"/>
  <c r="AW279" i="202"/>
  <c r="AW280" i="202"/>
  <c r="AW281" i="202"/>
  <c r="AW282" i="202"/>
  <c r="AW283" i="202"/>
  <c r="AW284" i="202"/>
  <c r="AW285" i="202"/>
  <c r="AW286" i="202"/>
  <c r="AW287" i="202"/>
  <c r="AW288" i="202"/>
  <c r="AW289" i="202"/>
  <c r="AW290" i="202"/>
  <c r="AW291" i="202"/>
  <c r="AW292" i="202"/>
  <c r="AW293" i="202"/>
  <c r="AW294" i="202"/>
  <c r="AW295" i="202"/>
  <c r="AW296" i="202"/>
  <c r="AW297" i="202"/>
  <c r="AW298" i="202"/>
  <c r="AW299" i="202"/>
  <c r="AW300" i="202"/>
  <c r="AW301" i="202"/>
  <c r="AW302" i="202"/>
  <c r="AW303" i="202"/>
  <c r="AW304" i="202"/>
  <c r="AW305" i="202"/>
  <c r="AW306" i="202"/>
  <c r="AW307" i="202"/>
  <c r="AW308" i="202"/>
  <c r="AW309" i="202"/>
  <c r="AW310" i="202"/>
  <c r="AW311" i="202"/>
  <c r="AW312" i="202"/>
  <c r="AW313" i="202"/>
  <c r="AW314" i="202"/>
  <c r="AW315" i="202"/>
  <c r="AW316" i="202"/>
  <c r="AW317" i="202"/>
  <c r="AW318" i="202"/>
  <c r="AW319" i="202"/>
  <c r="AW320" i="202"/>
  <c r="AW321" i="202"/>
  <c r="AW322" i="202"/>
  <c r="AW323" i="202"/>
  <c r="AW324" i="202"/>
  <c r="AW325" i="202"/>
  <c r="AW326" i="202"/>
  <c r="AW327" i="202"/>
  <c r="AW328" i="202"/>
  <c r="AW329" i="202"/>
  <c r="AW330" i="202"/>
  <c r="AW331" i="202"/>
  <c r="AW332" i="202"/>
  <c r="AW333" i="202"/>
  <c r="AW334" i="202"/>
  <c r="AW335" i="202"/>
  <c r="AW336" i="202"/>
  <c r="AW337" i="202"/>
  <c r="AW338" i="202"/>
  <c r="AW339" i="202"/>
  <c r="AW340" i="202"/>
  <c r="AW341" i="202"/>
  <c r="AW342" i="202"/>
  <c r="AW343" i="202"/>
  <c r="AW344" i="202"/>
  <c r="AW345" i="202"/>
  <c r="AW346" i="202"/>
  <c r="AW347" i="202"/>
  <c r="AW348" i="202"/>
  <c r="AW349" i="202"/>
  <c r="AW350" i="202"/>
  <c r="AW351" i="202"/>
  <c r="AW352" i="202"/>
  <c r="AW353" i="202"/>
  <c r="AW354" i="202"/>
  <c r="AW355" i="202"/>
  <c r="AW356" i="202"/>
  <c r="AW357" i="202"/>
  <c r="AW358" i="202"/>
  <c r="AW359" i="202"/>
  <c r="AW360" i="202"/>
  <c r="AW361" i="202"/>
  <c r="AW362" i="202"/>
  <c r="AW363" i="202"/>
  <c r="AW364" i="202"/>
  <c r="AW365" i="202"/>
  <c r="AW366" i="202"/>
  <c r="AW367" i="202"/>
  <c r="AW368" i="202"/>
  <c r="AW369" i="202"/>
  <c r="AW370" i="202"/>
  <c r="AW371" i="202"/>
  <c r="AW372" i="202"/>
  <c r="AW373" i="202"/>
  <c r="AW374" i="202"/>
  <c r="AW375" i="202"/>
  <c r="AW376" i="202"/>
  <c r="AW377" i="202"/>
  <c r="AW378" i="202"/>
  <c r="AW379" i="202"/>
  <c r="AW380" i="202"/>
  <c r="AW381" i="202"/>
  <c r="AW382" i="202"/>
  <c r="AW383" i="202"/>
  <c r="AW384" i="202"/>
  <c r="AW385" i="202"/>
  <c r="AW386" i="202"/>
  <c r="AW387" i="202"/>
  <c r="AW388" i="202"/>
  <c r="AW389" i="202"/>
  <c r="AW390" i="202"/>
  <c r="AW391" i="202"/>
  <c r="AW392" i="202"/>
  <c r="AW393" i="202"/>
  <c r="AW394" i="202"/>
  <c r="AW395" i="202"/>
  <c r="AW396" i="202"/>
  <c r="AW397" i="202"/>
  <c r="AW398" i="202"/>
  <c r="AW399" i="202"/>
  <c r="AW400" i="202"/>
  <c r="AW401" i="202"/>
  <c r="AW402" i="202"/>
  <c r="AW403" i="202"/>
  <c r="AW404" i="202"/>
  <c r="AW405" i="202"/>
  <c r="AW406" i="202"/>
  <c r="AW407" i="202"/>
  <c r="AW408" i="202"/>
  <c r="AW409" i="202"/>
  <c r="AW410" i="202"/>
  <c r="AW411" i="202"/>
  <c r="AW412" i="202"/>
  <c r="AW413" i="202"/>
  <c r="AW414" i="202"/>
  <c r="AW415" i="202"/>
  <c r="AW416" i="202"/>
  <c r="AW417" i="202"/>
  <c r="AW418" i="202"/>
  <c r="AW419" i="202"/>
  <c r="AW420" i="202"/>
  <c r="AW421" i="202"/>
  <c r="AW422" i="202"/>
  <c r="AW423" i="202"/>
  <c r="AW424" i="202"/>
  <c r="AW425" i="202"/>
  <c r="AW426" i="202"/>
  <c r="AW427" i="202"/>
  <c r="AW428" i="202"/>
  <c r="AW429" i="202"/>
  <c r="AW430" i="202"/>
  <c r="AW431" i="202"/>
  <c r="AW432" i="202"/>
  <c r="AW433" i="202"/>
  <c r="AW434" i="202"/>
  <c r="AW435" i="202"/>
  <c r="AW436" i="202"/>
  <c r="AW437" i="202"/>
  <c r="AW438" i="202"/>
  <c r="AW439" i="202"/>
  <c r="AW440" i="202"/>
  <c r="AW441" i="202"/>
  <c r="AW442" i="202"/>
  <c r="AW443" i="202"/>
  <c r="AW444" i="202"/>
  <c r="AW445" i="202"/>
  <c r="AW446" i="202"/>
  <c r="AW447" i="202"/>
  <c r="AW448" i="202"/>
  <c r="AW449" i="202"/>
  <c r="AW450" i="202"/>
  <c r="AW451" i="202"/>
  <c r="AW452" i="202"/>
  <c r="AW453" i="202"/>
  <c r="AW454" i="202"/>
  <c r="AW455" i="202"/>
  <c r="AW456" i="202"/>
  <c r="AW457" i="202"/>
  <c r="AW458" i="202"/>
  <c r="AW459" i="202"/>
  <c r="AW460" i="202"/>
  <c r="AW461" i="202"/>
  <c r="AW462" i="202"/>
  <c r="AW463" i="202"/>
  <c r="AW464" i="202"/>
  <c r="AW465" i="202"/>
  <c r="AW466" i="202"/>
  <c r="AW467" i="202"/>
  <c r="AW468" i="202"/>
  <c r="AW469" i="202"/>
  <c r="AW470" i="202"/>
  <c r="AW471" i="202"/>
  <c r="AW472" i="202"/>
  <c r="AW473" i="202"/>
  <c r="AW474" i="202"/>
  <c r="AW475" i="202"/>
  <c r="AW476" i="202"/>
  <c r="AW477" i="202"/>
  <c r="AW478" i="202"/>
  <c r="AW479" i="202"/>
  <c r="AW480" i="202"/>
  <c r="AW481" i="202"/>
  <c r="AW482" i="202"/>
  <c r="AW483" i="202"/>
  <c r="AW484" i="202"/>
  <c r="AW485" i="202"/>
  <c r="AW486" i="202"/>
  <c r="AW487" i="202"/>
  <c r="AW488" i="202"/>
  <c r="AW489" i="202"/>
  <c r="AW490" i="202"/>
  <c r="AW491" i="202"/>
  <c r="AW492" i="202"/>
  <c r="AW493" i="202"/>
  <c r="AW494" i="202"/>
  <c r="AW495" i="202"/>
  <c r="AW496" i="202"/>
  <c r="AW497" i="202"/>
  <c r="AW498" i="202"/>
  <c r="AW499" i="202"/>
  <c r="AW500" i="202"/>
  <c r="AW501" i="202"/>
  <c r="AW502" i="202"/>
  <c r="AW503" i="202"/>
  <c r="AW504" i="202"/>
  <c r="AW505" i="202"/>
  <c r="AW506" i="202"/>
  <c r="AW507" i="202"/>
  <c r="AW508" i="202"/>
  <c r="AW509" i="202"/>
  <c r="AW510" i="202"/>
  <c r="AW511" i="202"/>
  <c r="AW512" i="202"/>
  <c r="AW513" i="202"/>
  <c r="AW514" i="202"/>
  <c r="AW515" i="202"/>
  <c r="AW516" i="202"/>
  <c r="AW517" i="202"/>
  <c r="AW518" i="202"/>
  <c r="AW519" i="202"/>
  <c r="AW520" i="202"/>
  <c r="AW521" i="202"/>
  <c r="AW522" i="202"/>
  <c r="AW523" i="202"/>
  <c r="AW524" i="202"/>
  <c r="AW525" i="202"/>
  <c r="AW526" i="202"/>
  <c r="AW527" i="202"/>
  <c r="AW528" i="202"/>
  <c r="AW529" i="202"/>
  <c r="AW530" i="202"/>
  <c r="AW531" i="202"/>
  <c r="AW532" i="202"/>
  <c r="AW533" i="202"/>
  <c r="AW534" i="202"/>
  <c r="AW535" i="202"/>
  <c r="AW536" i="202"/>
  <c r="AW537" i="202"/>
  <c r="AW538" i="202"/>
  <c r="AW539" i="202"/>
  <c r="AW540" i="202"/>
  <c r="AW541" i="202"/>
  <c r="AW542" i="202"/>
  <c r="AW543" i="202"/>
  <c r="AW544" i="202"/>
  <c r="AW545" i="202"/>
  <c r="AW546" i="202"/>
  <c r="AW547" i="202"/>
  <c r="AW548" i="202"/>
  <c r="AW549" i="202"/>
  <c r="AW550" i="202"/>
  <c r="AW551" i="202"/>
  <c r="AW552" i="202"/>
  <c r="AW553" i="202"/>
  <c r="AW554" i="202"/>
  <c r="AW555" i="202"/>
  <c r="AW556" i="202"/>
  <c r="AW557" i="202"/>
  <c r="AW558" i="202"/>
  <c r="AW559" i="202"/>
  <c r="AW560" i="202"/>
  <c r="AW561" i="202"/>
  <c r="AW562" i="202"/>
  <c r="AW563" i="202"/>
  <c r="AW564" i="202"/>
  <c r="AW565" i="202"/>
  <c r="AW566" i="202"/>
  <c r="AW567" i="202"/>
  <c r="AW568" i="202"/>
  <c r="AW569" i="202"/>
  <c r="AW570" i="202"/>
  <c r="AW571" i="202"/>
  <c r="AW572" i="202"/>
  <c r="AW573" i="202"/>
  <c r="AW574" i="202"/>
  <c r="AW575" i="202"/>
  <c r="AW576" i="202"/>
  <c r="AW577" i="202"/>
  <c r="AW578" i="202"/>
  <c r="AW579" i="202"/>
  <c r="AW580" i="202"/>
  <c r="AW581" i="202"/>
  <c r="AW582" i="202"/>
  <c r="AW583" i="202"/>
  <c r="AW584" i="202"/>
  <c r="AW585" i="202"/>
  <c r="AW586" i="202"/>
  <c r="AW587" i="202"/>
  <c r="AW588" i="202"/>
  <c r="AW589" i="202"/>
  <c r="AW590" i="202"/>
  <c r="AW591" i="202"/>
  <c r="AW592" i="202"/>
  <c r="AW593" i="202"/>
  <c r="AW594" i="202"/>
  <c r="AW595" i="202"/>
  <c r="AW596" i="202"/>
  <c r="AW597" i="202"/>
  <c r="AW598" i="202"/>
  <c r="AW599" i="202"/>
  <c r="AW600" i="202"/>
  <c r="AW601" i="202"/>
  <c r="AW602" i="202"/>
  <c r="AW603" i="202"/>
  <c r="AW604" i="202"/>
  <c r="AW605" i="202"/>
  <c r="AW606" i="202"/>
  <c r="AW607" i="202"/>
  <c r="AW608" i="202"/>
  <c r="AW609" i="202"/>
  <c r="AW610" i="202"/>
  <c r="AW611" i="202"/>
  <c r="AW612" i="202"/>
  <c r="AW613" i="202"/>
  <c r="AW614" i="202"/>
  <c r="AW615" i="202"/>
  <c r="AW616" i="202"/>
  <c r="AW617" i="202"/>
  <c r="AW618" i="202"/>
  <c r="AW619" i="202"/>
  <c r="AW620" i="202"/>
  <c r="AW621" i="202"/>
  <c r="AW622" i="202"/>
  <c r="AW623" i="202"/>
  <c r="AW624" i="202"/>
  <c r="AW625" i="202"/>
  <c r="AW626" i="202"/>
  <c r="AW627" i="202"/>
  <c r="AW628" i="202"/>
  <c r="AW629" i="202"/>
  <c r="AW630" i="202"/>
  <c r="AW631" i="202"/>
  <c r="AW632" i="202"/>
  <c r="AW633" i="202"/>
  <c r="AW634" i="202"/>
  <c r="AW635" i="202"/>
  <c r="AW636" i="202"/>
  <c r="AW637" i="202"/>
  <c r="AW638" i="202"/>
  <c r="AW639" i="202"/>
  <c r="AW640" i="202"/>
  <c r="AW641" i="202"/>
  <c r="AW642" i="202"/>
  <c r="AW643" i="202"/>
  <c r="AW644" i="202"/>
  <c r="AW645" i="202"/>
  <c r="AW646" i="202"/>
  <c r="AW647" i="202"/>
  <c r="AW648" i="202"/>
  <c r="AW649" i="202"/>
  <c r="AW650" i="202"/>
  <c r="AW651" i="202"/>
  <c r="AW652" i="202"/>
  <c r="AW653" i="202"/>
  <c r="AW654" i="202"/>
  <c r="AW655" i="202"/>
  <c r="AW656" i="202"/>
  <c r="AW657" i="202"/>
  <c r="AW658" i="202"/>
  <c r="AW659" i="202"/>
  <c r="AW660" i="202"/>
  <c r="AW661" i="202"/>
  <c r="AW662" i="202"/>
  <c r="AW663" i="202"/>
  <c r="AW664" i="202"/>
  <c r="AW665" i="202"/>
  <c r="AW666" i="202"/>
  <c r="AW667" i="202"/>
  <c r="AW668" i="202"/>
  <c r="AW669" i="202"/>
  <c r="AW670" i="202"/>
  <c r="AW671" i="202"/>
  <c r="AW672" i="202"/>
  <c r="AW673" i="202"/>
  <c r="AW674" i="202"/>
  <c r="AW675" i="202"/>
  <c r="AW676" i="202"/>
  <c r="AW677" i="202"/>
  <c r="AW678" i="202"/>
  <c r="AW679" i="202"/>
  <c r="AW680" i="202"/>
  <c r="AW681" i="202"/>
  <c r="AW682" i="202"/>
  <c r="AW683" i="202"/>
  <c r="AW684" i="202"/>
  <c r="AW685" i="202"/>
  <c r="AW686" i="202"/>
  <c r="AW687" i="202"/>
  <c r="AW688" i="202"/>
  <c r="AW689" i="202"/>
  <c r="AW690" i="202"/>
  <c r="AW691" i="202"/>
  <c r="AW692" i="202"/>
  <c r="AW693" i="202"/>
  <c r="AW694" i="202"/>
  <c r="AW695" i="202"/>
  <c r="AW696" i="202"/>
  <c r="AW697" i="202"/>
  <c r="AW698" i="202"/>
  <c r="AW699" i="202"/>
  <c r="AW700" i="202"/>
  <c r="AW701" i="202"/>
  <c r="AW702" i="202"/>
  <c r="AW703" i="202"/>
  <c r="AW704" i="202"/>
  <c r="AW705" i="202"/>
  <c r="AW706" i="202"/>
  <c r="AW707" i="202"/>
  <c r="AW708" i="202"/>
  <c r="AW709" i="202"/>
  <c r="AW710" i="202"/>
  <c r="AW711" i="202"/>
  <c r="AW712" i="202"/>
  <c r="AW713" i="202"/>
  <c r="AW714" i="202"/>
  <c r="AW715" i="202"/>
  <c r="AW716" i="202"/>
  <c r="AW717" i="202"/>
  <c r="AW718" i="202"/>
  <c r="AW719" i="202"/>
  <c r="AW720" i="202"/>
  <c r="AW721" i="202"/>
  <c r="AW722" i="202"/>
  <c r="AW723" i="202"/>
  <c r="AW724" i="202"/>
  <c r="AW725" i="202"/>
  <c r="AW726" i="202"/>
  <c r="AW727" i="202"/>
  <c r="AW728" i="202"/>
  <c r="AW729" i="202"/>
  <c r="AW730" i="202"/>
  <c r="AW731" i="202"/>
  <c r="AW732" i="202"/>
  <c r="AW733" i="202"/>
  <c r="AW734" i="202"/>
  <c r="AW735" i="202"/>
  <c r="AW736" i="202"/>
  <c r="AW737" i="202"/>
  <c r="AW738" i="202"/>
  <c r="AW739" i="202"/>
  <c r="AW740" i="202"/>
  <c r="AW741" i="202"/>
  <c r="AW742" i="202"/>
  <c r="AW743" i="202"/>
  <c r="AW744" i="202"/>
  <c r="AW745" i="202"/>
  <c r="AW746" i="202"/>
  <c r="AW747" i="202"/>
  <c r="AW748" i="202"/>
  <c r="AW749" i="202"/>
  <c r="AW750" i="202"/>
  <c r="AW751" i="202"/>
  <c r="AW752" i="202"/>
  <c r="AW753" i="202"/>
  <c r="AW754" i="202"/>
  <c r="AW755" i="202"/>
  <c r="AW756" i="202"/>
  <c r="AW757" i="202"/>
  <c r="AW758" i="202"/>
  <c r="AW759" i="202"/>
  <c r="AW760" i="202"/>
  <c r="AW761" i="202"/>
  <c r="AW762" i="202"/>
  <c r="AW763" i="202"/>
  <c r="AW764" i="202"/>
  <c r="AW765" i="202"/>
  <c r="AW766" i="202"/>
  <c r="AW767" i="202"/>
  <c r="AW768" i="202"/>
  <c r="AW769" i="202"/>
  <c r="AW770" i="202"/>
  <c r="AW771" i="202"/>
  <c r="AW772" i="202"/>
  <c r="AW773" i="202"/>
  <c r="AW774" i="202"/>
  <c r="AW775" i="202"/>
  <c r="AW776" i="202"/>
  <c r="AW777" i="202"/>
  <c r="AW778" i="202"/>
  <c r="AW779" i="202"/>
  <c r="AW780" i="202"/>
  <c r="AW781" i="202"/>
  <c r="AW782" i="202"/>
  <c r="AW783" i="202"/>
  <c r="AW784" i="202"/>
  <c r="AW785" i="202"/>
  <c r="AW786" i="202"/>
  <c r="AW787" i="202"/>
  <c r="AW788" i="202"/>
  <c r="AW789" i="202"/>
  <c r="AW790" i="202"/>
  <c r="AW791" i="202"/>
  <c r="AW792" i="202"/>
  <c r="AW793" i="202"/>
  <c r="AW794" i="202"/>
  <c r="AW795" i="202"/>
  <c r="AW796" i="202"/>
  <c r="AW797" i="202"/>
  <c r="AW798" i="202"/>
  <c r="AW799" i="202"/>
  <c r="AW800" i="202"/>
  <c r="AW801" i="202"/>
  <c r="AW802" i="202"/>
  <c r="AW803" i="202"/>
  <c r="AW804" i="202"/>
  <c r="AW805" i="202"/>
  <c r="AW806" i="202"/>
  <c r="AW807" i="202"/>
  <c r="AW808" i="202"/>
  <c r="AW809" i="202"/>
  <c r="AW810" i="202"/>
  <c r="AW811" i="202"/>
  <c r="AW812" i="202"/>
  <c r="AW813" i="202"/>
  <c r="AW814" i="202"/>
  <c r="AW815" i="202"/>
  <c r="AW816" i="202"/>
  <c r="AW817" i="202"/>
  <c r="AW818" i="202"/>
  <c r="AW819" i="202"/>
  <c r="AW820" i="202"/>
  <c r="AW821" i="202"/>
  <c r="AW822" i="202"/>
  <c r="AW823" i="202"/>
  <c r="AW824" i="202"/>
  <c r="AW825" i="202"/>
  <c r="AW826" i="202"/>
  <c r="AW827" i="202"/>
  <c r="AW828" i="202"/>
  <c r="AW829" i="202"/>
  <c r="AW830" i="202"/>
  <c r="AW831" i="202"/>
  <c r="AW832" i="202"/>
  <c r="AW833" i="202"/>
  <c r="AW834" i="202"/>
  <c r="AW835" i="202"/>
  <c r="AW836" i="202"/>
  <c r="AW837" i="202"/>
  <c r="AW838" i="202"/>
  <c r="AW839" i="202"/>
  <c r="AW840" i="202"/>
  <c r="AW841" i="202"/>
  <c r="AW842" i="202"/>
  <c r="AW843" i="202"/>
  <c r="AW844" i="202"/>
  <c r="AW845" i="202"/>
  <c r="AW846" i="202"/>
  <c r="AW847" i="202"/>
  <c r="AW848" i="202"/>
  <c r="AW849" i="202"/>
  <c r="AW850" i="202"/>
  <c r="AW851" i="202"/>
  <c r="AW852" i="202"/>
  <c r="AW853" i="202"/>
  <c r="AW854" i="202"/>
  <c r="AW855" i="202"/>
  <c r="AW856" i="202"/>
  <c r="AW857" i="202"/>
  <c r="AW858" i="202"/>
  <c r="AW859" i="202"/>
  <c r="AW860" i="202"/>
  <c r="AW861" i="202"/>
  <c r="AW862" i="202"/>
  <c r="AW863" i="202"/>
  <c r="AW864" i="202"/>
  <c r="AW865" i="202"/>
  <c r="AW866" i="202"/>
  <c r="AW867" i="202"/>
  <c r="AW868" i="202"/>
  <c r="AW869" i="202"/>
  <c r="AW870" i="202"/>
  <c r="AW871" i="202"/>
  <c r="AW872" i="202"/>
  <c r="AW873" i="202"/>
  <c r="AW874" i="202"/>
  <c r="AW875" i="202"/>
  <c r="AW876" i="202"/>
  <c r="AW877" i="202"/>
  <c r="AW878" i="202"/>
  <c r="AW879" i="202"/>
  <c r="AW880" i="202"/>
  <c r="AW881" i="202"/>
  <c r="AW882" i="202"/>
  <c r="AW883" i="202"/>
  <c r="AW884" i="202"/>
  <c r="AW885" i="202"/>
  <c r="AW886" i="202"/>
  <c r="AW887" i="202"/>
  <c r="AW888" i="202"/>
  <c r="AW889" i="202"/>
  <c r="AW890" i="202"/>
  <c r="AW891" i="202"/>
  <c r="AW892" i="202"/>
  <c r="AW893" i="202"/>
  <c r="AW894" i="202"/>
  <c r="AW895" i="202"/>
  <c r="AW896" i="202"/>
  <c r="AW897" i="202"/>
  <c r="AW898" i="202"/>
  <c r="AW899" i="202"/>
  <c r="AW900" i="202"/>
  <c r="AW901" i="202"/>
  <c r="AW902" i="202"/>
  <c r="AW903" i="202"/>
  <c r="AW904" i="202"/>
  <c r="AW905" i="202"/>
  <c r="AW906" i="202"/>
  <c r="AW907" i="202"/>
  <c r="AW908" i="202"/>
  <c r="AW909" i="202"/>
  <c r="AW910" i="202"/>
  <c r="AW911" i="202"/>
  <c r="AW912" i="202"/>
  <c r="AW913" i="202"/>
  <c r="AW914" i="202"/>
  <c r="AW915" i="202"/>
  <c r="AW916" i="202"/>
  <c r="AW917" i="202"/>
  <c r="AW918" i="202"/>
  <c r="AW919" i="202"/>
  <c r="AW920" i="202"/>
  <c r="AW921" i="202"/>
  <c r="AW922" i="202"/>
  <c r="AW923" i="202"/>
  <c r="AW924" i="202"/>
  <c r="AW925" i="202"/>
  <c r="AW926" i="202"/>
  <c r="AW927" i="202"/>
  <c r="AW928" i="202"/>
  <c r="AW929" i="202"/>
  <c r="AW930" i="202"/>
  <c r="AW931" i="202"/>
  <c r="AW932" i="202"/>
  <c r="AW933" i="202"/>
  <c r="AW934" i="202"/>
  <c r="AW935" i="202"/>
  <c r="AW936" i="202"/>
  <c r="AW937" i="202"/>
  <c r="AW938" i="202"/>
  <c r="AW939" i="202"/>
  <c r="AW940" i="202"/>
  <c r="AW941" i="202"/>
  <c r="AW942" i="202"/>
  <c r="AW943" i="202"/>
  <c r="AW944" i="202"/>
  <c r="AW945" i="202"/>
  <c r="AW946" i="202"/>
  <c r="AW947" i="202"/>
  <c r="AW948" i="202"/>
  <c r="AW949" i="202"/>
  <c r="AW950" i="202"/>
  <c r="AW951" i="202"/>
  <c r="AW952" i="202"/>
  <c r="AW953" i="202"/>
  <c r="AW954" i="202"/>
  <c r="AW955" i="202"/>
  <c r="AW956" i="202"/>
  <c r="AW957" i="202"/>
  <c r="AW958" i="202"/>
  <c r="AW959" i="202"/>
  <c r="AW960" i="202"/>
  <c r="AW961" i="202"/>
  <c r="AW962" i="202"/>
  <c r="AW963" i="202"/>
  <c r="AW964" i="202"/>
  <c r="AW965" i="202"/>
  <c r="AW966" i="202"/>
  <c r="AW967" i="202"/>
  <c r="AW968" i="202"/>
  <c r="AW969" i="202"/>
  <c r="AW970" i="202"/>
  <c r="AW971" i="202"/>
  <c r="AW972" i="202"/>
  <c r="AW973" i="202"/>
  <c r="AW974" i="202"/>
  <c r="AW975" i="202"/>
  <c r="AW976" i="202"/>
  <c r="AW977" i="202"/>
  <c r="AW978" i="202"/>
  <c r="AW979" i="202"/>
  <c r="AW980" i="202"/>
  <c r="AW981" i="202"/>
  <c r="AW982" i="202"/>
  <c r="AW983" i="202"/>
  <c r="AW984" i="202"/>
  <c r="AW985" i="202"/>
  <c r="AW986" i="202"/>
  <c r="AW987" i="202"/>
  <c r="AW988" i="202"/>
  <c r="AW989" i="202"/>
  <c r="AW990" i="202"/>
  <c r="AW991" i="202"/>
  <c r="AW992" i="202"/>
  <c r="AW993" i="202"/>
  <c r="AW994" i="202"/>
  <c r="AW995" i="202"/>
  <c r="AW996" i="202"/>
  <c r="AW997" i="202"/>
  <c r="AW998" i="202"/>
  <c r="AW999" i="202"/>
  <c r="AW1000" i="202"/>
  <c r="AW1001" i="202"/>
  <c r="AW1002" i="202"/>
  <c r="AW1003" i="202"/>
  <c r="AW1004" i="202"/>
  <c r="AW1005" i="202"/>
  <c r="AW1006" i="202"/>
  <c r="AW1007" i="202"/>
  <c r="AW1008" i="202"/>
  <c r="AW1009" i="202"/>
  <c r="AW1010" i="202"/>
  <c r="AW1011" i="202"/>
  <c r="AW1012" i="202"/>
  <c r="AW1013" i="202"/>
  <c r="AW1014" i="202"/>
  <c r="AW1015" i="202"/>
  <c r="AW1016" i="202"/>
  <c r="AW1017" i="202"/>
  <c r="AW1018" i="202"/>
  <c r="AW1019" i="202"/>
  <c r="AW1020" i="202"/>
  <c r="AW1021" i="202"/>
  <c r="AW1022" i="202"/>
  <c r="AW1023" i="202"/>
  <c r="AW1024" i="202"/>
  <c r="AW1025" i="202"/>
  <c r="AW1026" i="202"/>
  <c r="AW1027" i="202"/>
  <c r="AW1028" i="202"/>
  <c r="AW1029" i="202"/>
  <c r="AW1030" i="202"/>
  <c r="AW1031" i="202"/>
  <c r="AW1032" i="202"/>
  <c r="AW1033" i="202"/>
  <c r="AW1034" i="202"/>
  <c r="AW1035" i="202"/>
  <c r="AW1036" i="202"/>
  <c r="AW1037" i="202"/>
  <c r="AW1038" i="202"/>
  <c r="AW1039" i="202"/>
  <c r="AW1040" i="202"/>
  <c r="AW1041" i="202"/>
  <c r="AW1042" i="202"/>
  <c r="AW1043" i="202"/>
  <c r="AW1044" i="202"/>
  <c r="AW1045" i="202"/>
  <c r="AW1046" i="202"/>
  <c r="AW1047" i="202"/>
  <c r="AW1048" i="202"/>
  <c r="AW1049" i="202"/>
  <c r="AW1050" i="202"/>
  <c r="AW1051" i="202"/>
  <c r="AW1052" i="202"/>
  <c r="AW1053" i="202"/>
  <c r="AW1054" i="202"/>
  <c r="AW1055" i="202"/>
  <c r="AW1056" i="202"/>
  <c r="AW1057" i="202"/>
  <c r="AW1058" i="202"/>
  <c r="AW1059" i="202"/>
  <c r="AW1060" i="202"/>
  <c r="AW1061" i="202"/>
  <c r="AW1062" i="202"/>
  <c r="AW1063" i="202"/>
  <c r="AW1064" i="202"/>
  <c r="AW1065" i="202"/>
  <c r="AW1066" i="202"/>
  <c r="AW1067" i="202"/>
  <c r="AW1068" i="202"/>
  <c r="AW1069" i="202"/>
  <c r="AW1070" i="202"/>
  <c r="AW1071" i="202"/>
  <c r="AW1072" i="202"/>
  <c r="AW1073" i="202"/>
  <c r="AW1074" i="202"/>
  <c r="AW1075" i="202"/>
  <c r="AW1076" i="202"/>
  <c r="AW1077" i="202"/>
  <c r="AW1078" i="202"/>
  <c r="AW1079" i="202"/>
  <c r="AW1080" i="202"/>
  <c r="AW1081" i="202"/>
  <c r="AW1082" i="202"/>
  <c r="AW1083" i="202"/>
  <c r="AW1084" i="202"/>
  <c r="AW1085" i="202"/>
  <c r="AW1086" i="202"/>
  <c r="AW1087" i="202"/>
  <c r="AW1088" i="202"/>
  <c r="AW1089" i="202"/>
  <c r="AW1090" i="202"/>
  <c r="AW1091" i="202"/>
  <c r="AW1092" i="202"/>
  <c r="AW1093" i="202"/>
  <c r="AW1094" i="202"/>
  <c r="AW1095" i="202"/>
  <c r="AW1096" i="202"/>
  <c r="AW1097" i="202"/>
  <c r="AW1098" i="202"/>
  <c r="AW1099" i="202"/>
  <c r="AW1100" i="202"/>
  <c r="AW1101" i="202"/>
  <c r="AW1102" i="202"/>
  <c r="AW1103" i="202"/>
  <c r="AW1104" i="202"/>
  <c r="AW1105" i="202"/>
  <c r="AW1106" i="202"/>
  <c r="AW1107" i="202"/>
  <c r="AW1108" i="202"/>
  <c r="AW1109" i="202"/>
  <c r="AW1110" i="202"/>
  <c r="AW1111" i="202"/>
  <c r="AW1112" i="202"/>
  <c r="AW1113" i="202"/>
  <c r="AW1114" i="202"/>
  <c r="AW1115" i="202"/>
  <c r="AW1116" i="202"/>
  <c r="AW1117" i="202"/>
  <c r="AW1118" i="202"/>
  <c r="AW1119" i="202"/>
  <c r="AW1120" i="202"/>
  <c r="AW1121" i="202"/>
  <c r="AW1122" i="202"/>
  <c r="AW1123" i="202"/>
  <c r="AW1124" i="202"/>
  <c r="AW1125" i="202"/>
  <c r="AW1126" i="202"/>
  <c r="AW1127" i="202"/>
  <c r="AW1128" i="202"/>
  <c r="AW1129" i="202"/>
  <c r="AW1130" i="202"/>
  <c r="AW1131" i="202"/>
  <c r="AW1132" i="202"/>
  <c r="AW1133" i="202"/>
  <c r="AW1134" i="202"/>
  <c r="AW1135" i="202"/>
  <c r="AW1136" i="202"/>
  <c r="AW1137" i="202"/>
  <c r="AW1138" i="202"/>
  <c r="AW1139" i="202"/>
  <c r="AW1140" i="202"/>
  <c r="AW1141" i="202"/>
  <c r="AW1142" i="202"/>
  <c r="AW1143" i="202"/>
  <c r="AW1144" i="202"/>
  <c r="AW1145" i="202"/>
  <c r="AW1146" i="202"/>
  <c r="AW1147" i="202"/>
  <c r="AW1148" i="202"/>
  <c r="AW1149" i="202"/>
  <c r="AW1150" i="202"/>
  <c r="AW1151" i="202"/>
  <c r="AW1152" i="202"/>
  <c r="AW1153" i="202"/>
  <c r="AW1154" i="202"/>
  <c r="AW1155" i="202"/>
  <c r="AW1156" i="202"/>
  <c r="AW1157" i="202"/>
  <c r="AW1158" i="202"/>
  <c r="AW1159" i="202"/>
  <c r="AW1160" i="202"/>
  <c r="AW1161" i="202"/>
  <c r="AW1162" i="202"/>
  <c r="AW1163" i="202"/>
  <c r="AW1164" i="202"/>
  <c r="AW1165" i="202"/>
  <c r="AW1166" i="202"/>
  <c r="AW1167" i="202"/>
  <c r="AW1168" i="202"/>
  <c r="AW1169" i="202"/>
  <c r="AW1170" i="202"/>
  <c r="AW1171" i="202"/>
  <c r="AW1172" i="202"/>
  <c r="AW1173" i="202"/>
  <c r="AW1174" i="202"/>
  <c r="AW1175" i="202"/>
  <c r="AW1176" i="202"/>
  <c r="AW1177" i="202"/>
  <c r="AW1178" i="202"/>
  <c r="AW1179" i="202"/>
  <c r="AW1180" i="202"/>
  <c r="AW1181" i="202"/>
  <c r="AW1182" i="202"/>
  <c r="AW1183" i="202"/>
  <c r="AW1184" i="202"/>
  <c r="AW1185" i="202"/>
  <c r="AW1186" i="202"/>
  <c r="AW1187" i="202"/>
  <c r="AW1188" i="202"/>
  <c r="AW1189" i="202"/>
  <c r="AW1190" i="202"/>
  <c r="AW1191" i="202"/>
  <c r="AW1192" i="202"/>
  <c r="AW1193" i="202"/>
  <c r="AW1194" i="202"/>
  <c r="AW1195" i="202"/>
  <c r="AW1196" i="202"/>
  <c r="AW1197" i="202"/>
  <c r="AW1198" i="202"/>
  <c r="AW1199" i="202"/>
  <c r="AW1200" i="202"/>
  <c r="AW1201" i="202"/>
  <c r="AW1202" i="202"/>
  <c r="AW1203" i="202"/>
  <c r="AW1204" i="202"/>
  <c r="AW1205" i="202"/>
  <c r="AW1206" i="202"/>
  <c r="AW1207" i="202"/>
  <c r="AW1208" i="202"/>
  <c r="AW1209" i="202"/>
  <c r="AW1210" i="202"/>
  <c r="AW1211" i="202"/>
  <c r="AW1212" i="202"/>
  <c r="AW1213" i="202"/>
  <c r="AW1214" i="202"/>
  <c r="AW1215" i="202"/>
  <c r="AW1216" i="202"/>
  <c r="AW1217" i="202"/>
  <c r="AW1218" i="202"/>
  <c r="AW1219" i="202"/>
  <c r="AW1220" i="202"/>
  <c r="AW1221" i="202"/>
  <c r="AW1222" i="202"/>
  <c r="AW1223" i="202"/>
  <c r="AW1224" i="202"/>
  <c r="AW1225" i="202"/>
  <c r="AW1226" i="202"/>
  <c r="AW1227" i="202"/>
  <c r="AW1228" i="202"/>
  <c r="AW1229" i="202"/>
  <c r="AW1230" i="202"/>
  <c r="AW1231" i="202"/>
  <c r="AW1232" i="202"/>
  <c r="AW1233" i="202"/>
  <c r="AW1234" i="202"/>
  <c r="AW1235" i="202"/>
  <c r="AW1236" i="202"/>
  <c r="AW1237" i="202"/>
  <c r="AW1238" i="202"/>
  <c r="AW1239" i="202"/>
  <c r="AW1240" i="202"/>
  <c r="AW1241" i="202"/>
  <c r="AW1242" i="202"/>
  <c r="AW1243" i="202"/>
  <c r="AW1244" i="202"/>
  <c r="AW1245" i="202"/>
  <c r="AW1246" i="202"/>
  <c r="AW1247" i="202"/>
  <c r="AW1248" i="202"/>
  <c r="AW1249" i="202"/>
  <c r="AW1250" i="202"/>
  <c r="AW1251" i="202"/>
  <c r="AW1252" i="202"/>
  <c r="AW1253" i="202"/>
  <c r="AW1254" i="202"/>
  <c r="AW1255" i="202"/>
  <c r="AW1256" i="202"/>
  <c r="AW1257" i="202"/>
  <c r="AW1258" i="202"/>
  <c r="AW1259" i="202"/>
  <c r="AW1260" i="202"/>
  <c r="AW1261" i="202"/>
  <c r="AW1262" i="202"/>
  <c r="AW1263" i="202"/>
  <c r="AW1264" i="202"/>
  <c r="AW1265" i="202"/>
  <c r="AW1266" i="202"/>
  <c r="AW1267" i="202"/>
  <c r="AW1268" i="202"/>
  <c r="AW1269" i="202"/>
  <c r="AW1270" i="202"/>
  <c r="AW1271" i="202"/>
  <c r="AW1272" i="202"/>
  <c r="AW1273" i="202"/>
  <c r="AW1274" i="202"/>
  <c r="AW1275" i="202"/>
  <c r="AW1276" i="202"/>
  <c r="AW1277" i="202"/>
  <c r="AW1278" i="202"/>
  <c r="AW1279" i="202"/>
  <c r="AW1280" i="202"/>
  <c r="AW1281" i="202"/>
  <c r="AW1282" i="202"/>
  <c r="AW1283" i="202"/>
  <c r="AW1284" i="202"/>
  <c r="AW1285" i="202"/>
  <c r="AW1286" i="202"/>
  <c r="AW1287" i="202"/>
  <c r="AW1288" i="202"/>
  <c r="AW1289" i="202"/>
  <c r="AW1290" i="202"/>
  <c r="AW1291" i="202"/>
  <c r="AW1292" i="202"/>
  <c r="AW1293" i="202"/>
  <c r="AW1294" i="202"/>
  <c r="AW1295" i="202"/>
  <c r="AW1296" i="202"/>
  <c r="AW1297" i="202"/>
  <c r="AW1298" i="202"/>
  <c r="AW1299" i="202"/>
  <c r="AW1300" i="202"/>
  <c r="AW1301" i="202"/>
  <c r="AW1302" i="202"/>
  <c r="AW1303" i="202"/>
  <c r="AW1304" i="202"/>
  <c r="AW1305" i="202"/>
  <c r="AW1306" i="202"/>
  <c r="AW1307" i="202"/>
  <c r="AW1308" i="202"/>
  <c r="AW1309" i="202"/>
  <c r="AW1310" i="202"/>
  <c r="AW1311" i="202"/>
  <c r="AW1312" i="202"/>
  <c r="AW1313" i="202"/>
  <c r="AW1314" i="202"/>
  <c r="AW1315" i="202"/>
  <c r="AW1316" i="202"/>
  <c r="AW1317" i="202"/>
  <c r="AW1318" i="202"/>
  <c r="AW1319" i="202"/>
  <c r="AW1320" i="202"/>
  <c r="AW1321" i="202"/>
  <c r="AW1322" i="202"/>
  <c r="AW1323" i="202"/>
  <c r="AW1324" i="202"/>
  <c r="AW1325" i="202"/>
  <c r="AW1326" i="202"/>
  <c r="AW1327" i="202"/>
  <c r="AW1328" i="202"/>
  <c r="AW1329" i="202"/>
  <c r="AW1330" i="202"/>
  <c r="AW1331" i="202"/>
  <c r="AW1332" i="202"/>
  <c r="AW1333" i="202"/>
  <c r="AW1334" i="202"/>
  <c r="AW1335" i="202"/>
  <c r="AW1336" i="202"/>
  <c r="AW1337" i="202"/>
  <c r="AW1338" i="202"/>
  <c r="AW1339" i="202"/>
  <c r="AW1340" i="202"/>
  <c r="AW1341" i="202"/>
  <c r="AW1342" i="202"/>
  <c r="AW1343" i="202"/>
  <c r="AW1344" i="202"/>
  <c r="AW1345" i="202"/>
  <c r="AW1346" i="202"/>
  <c r="AW1347" i="202"/>
  <c r="AW1348" i="202"/>
  <c r="AW1349" i="202"/>
  <c r="AW1350" i="202"/>
  <c r="AW1351" i="202"/>
  <c r="AW1352" i="202"/>
  <c r="AW1353" i="202"/>
  <c r="AW1354" i="202"/>
  <c r="AW1355" i="202"/>
  <c r="AW1356" i="202"/>
  <c r="AW1357" i="202"/>
  <c r="AW1358" i="202"/>
  <c r="AW1359" i="202"/>
  <c r="AW1360" i="202"/>
  <c r="AW1361" i="202"/>
  <c r="AW1362" i="202"/>
  <c r="AW1363" i="202"/>
  <c r="AW1364" i="202"/>
  <c r="AW1365" i="202"/>
  <c r="AW1366" i="202"/>
  <c r="AW1367" i="202"/>
  <c r="AW1368" i="202"/>
  <c r="AW1369" i="202"/>
  <c r="AW1370" i="202"/>
  <c r="AW1371" i="202"/>
  <c r="AW1372" i="202"/>
  <c r="AW1373" i="202"/>
  <c r="AW1374" i="202"/>
  <c r="AW1375" i="202"/>
  <c r="AW1376" i="202"/>
  <c r="AW1377" i="202"/>
  <c r="AW1378" i="202"/>
  <c r="AW1379" i="202"/>
  <c r="AW1380" i="202"/>
  <c r="AW1381" i="202"/>
  <c r="AW1382" i="202"/>
  <c r="AW1383" i="202"/>
  <c r="AW1384" i="202"/>
  <c r="AW1385" i="202"/>
  <c r="AW1386" i="202"/>
  <c r="AW1387" i="202"/>
  <c r="AW1388" i="202"/>
  <c r="AW1389" i="202"/>
  <c r="AW1390" i="202"/>
  <c r="AW1391" i="202"/>
  <c r="AW1392" i="202"/>
  <c r="AW1393" i="202"/>
  <c r="AW1394" i="202"/>
  <c r="AW1395" i="202"/>
  <c r="AW1396" i="202"/>
  <c r="AW1397" i="202"/>
  <c r="AW1398" i="202"/>
  <c r="AW1399" i="202"/>
  <c r="AW1400" i="202"/>
  <c r="AW1401" i="202"/>
  <c r="AW1402" i="202"/>
  <c r="AW1403" i="202"/>
  <c r="AW1404" i="202"/>
  <c r="AW1405" i="202"/>
  <c r="AW1406" i="202"/>
  <c r="AW1407" i="202"/>
  <c r="AW1408" i="202"/>
  <c r="AW1409" i="202"/>
  <c r="AW1410" i="202"/>
  <c r="AW1411" i="202"/>
  <c r="AW1412" i="202"/>
  <c r="AW1413" i="202"/>
  <c r="AW1414" i="202"/>
  <c r="AW1415" i="202"/>
  <c r="AW1416" i="202"/>
  <c r="AW1417" i="202"/>
  <c r="AW1418" i="202"/>
  <c r="AW1419" i="202"/>
  <c r="AW1420" i="202"/>
  <c r="AW1421" i="202"/>
  <c r="AW1422" i="202"/>
  <c r="AW1423" i="202"/>
  <c r="AW1424" i="202"/>
  <c r="AW1425" i="202"/>
  <c r="AW1426" i="202"/>
  <c r="AW1427" i="202"/>
  <c r="AW1428" i="202"/>
  <c r="AW1429" i="202"/>
  <c r="AW1430" i="202"/>
  <c r="AW1431" i="202"/>
  <c r="AW1432" i="202"/>
  <c r="AW1433" i="202"/>
  <c r="AW1434" i="202"/>
  <c r="AW1435" i="202"/>
  <c r="AW1436" i="202"/>
  <c r="AW1437" i="202"/>
  <c r="AW1438" i="202"/>
  <c r="AW1439" i="202"/>
  <c r="AW1440" i="202"/>
  <c r="AW1441" i="202"/>
  <c r="AW1442" i="202"/>
  <c r="AW1443" i="202"/>
  <c r="AW1444" i="202"/>
  <c r="AW1445" i="202"/>
  <c r="AW1446" i="202"/>
  <c r="AW1447" i="202"/>
  <c r="AW1448" i="202"/>
  <c r="AW1449" i="202"/>
  <c r="AW1450" i="202"/>
  <c r="AW1451" i="202"/>
  <c r="AW1452" i="202"/>
  <c r="AW1453" i="202"/>
  <c r="AW1454" i="202"/>
  <c r="AW1455" i="202"/>
  <c r="AW1456" i="202"/>
  <c r="AW1457" i="202"/>
  <c r="AW1458" i="202"/>
  <c r="AW1459" i="202"/>
  <c r="AW1460" i="202"/>
  <c r="AW1461" i="202"/>
  <c r="AW1462" i="202"/>
  <c r="AW1463" i="202"/>
  <c r="AW1464" i="202"/>
  <c r="AW1465" i="202"/>
  <c r="AW1466" i="202"/>
  <c r="AW1467" i="202"/>
  <c r="AW1468" i="202"/>
  <c r="AW1469" i="202"/>
  <c r="AW1470" i="202"/>
  <c r="AW1471" i="202"/>
  <c r="AW1472" i="202"/>
  <c r="AW1473" i="202"/>
  <c r="AW1474" i="202"/>
  <c r="AW1475" i="202"/>
  <c r="AW1476" i="202"/>
  <c r="AW1477" i="202"/>
  <c r="AW1478" i="202"/>
  <c r="AW1479" i="202"/>
  <c r="AW1480" i="202"/>
  <c r="AW1481" i="202"/>
  <c r="AW1482" i="202"/>
  <c r="AW1483" i="202"/>
  <c r="AW1484" i="202"/>
  <c r="AW1485" i="202"/>
  <c r="AW1486" i="202"/>
  <c r="AW1487" i="202"/>
  <c r="AW1488" i="202"/>
  <c r="AW1489" i="202"/>
  <c r="AW1490" i="202"/>
  <c r="AW1491" i="202"/>
  <c r="AW1492" i="202"/>
  <c r="AW1493" i="202"/>
  <c r="AW1494" i="202"/>
  <c r="AW1495" i="202"/>
  <c r="AW1496" i="202"/>
  <c r="AW1497" i="202"/>
  <c r="AW1498" i="202"/>
  <c r="AW1499" i="202"/>
  <c r="AW1500" i="202"/>
  <c r="AW1501" i="202"/>
  <c r="AW1502" i="202"/>
  <c r="AW1503" i="202"/>
  <c r="AW1504" i="202"/>
  <c r="AW1505" i="202"/>
  <c r="AW1506" i="202"/>
  <c r="AW1507" i="202"/>
  <c r="AW1508" i="202"/>
  <c r="AW1509" i="202"/>
  <c r="AW1510" i="202"/>
  <c r="AW1511" i="202"/>
  <c r="AW1512" i="202"/>
  <c r="AW1513" i="202"/>
  <c r="AW1514" i="202"/>
  <c r="AW1515" i="202"/>
  <c r="AW1516" i="202"/>
  <c r="AW1517" i="202"/>
  <c r="AW1518" i="202"/>
  <c r="AW1519" i="202"/>
  <c r="AW1520" i="202"/>
  <c r="AW1521" i="202"/>
  <c r="AW1522" i="202"/>
  <c r="AW1523" i="202"/>
  <c r="AW1524" i="202"/>
  <c r="AW1525" i="202"/>
  <c r="AW1526" i="202"/>
  <c r="AW1527" i="202"/>
  <c r="AW1528" i="202"/>
  <c r="AW1529" i="202"/>
  <c r="AW1530" i="202"/>
  <c r="AW1531" i="202"/>
  <c r="AW1532" i="202"/>
  <c r="AW1533" i="202"/>
  <c r="AW1534" i="202"/>
  <c r="AW1535" i="202"/>
  <c r="AW1536" i="202"/>
  <c r="AW1537" i="202"/>
  <c r="AW1538" i="202"/>
  <c r="AW1539" i="202"/>
  <c r="AW1540" i="202"/>
  <c r="AW1541" i="202"/>
  <c r="AW1542" i="202"/>
  <c r="AW1543" i="202"/>
  <c r="AW1544" i="202"/>
  <c r="AW1545" i="202"/>
  <c r="AW1546" i="202"/>
  <c r="AW1547" i="202"/>
  <c r="AW1548" i="202"/>
  <c r="AW1549" i="202"/>
  <c r="AW1550" i="202"/>
  <c r="AW1551" i="202"/>
  <c r="AW1552" i="202"/>
  <c r="AW1553" i="202"/>
  <c r="AW1554" i="202"/>
  <c r="AW1555" i="202"/>
  <c r="AW1556" i="202"/>
  <c r="AW1557" i="202"/>
  <c r="AW1558" i="202"/>
  <c r="AW1559" i="202"/>
  <c r="AW1560" i="202"/>
  <c r="AW1561" i="202"/>
  <c r="AW1562" i="202"/>
  <c r="AW1563" i="202"/>
  <c r="AW1564" i="202"/>
  <c r="AW1565" i="202"/>
  <c r="AW1566" i="202"/>
  <c r="AW1567" i="202"/>
  <c r="AW1568" i="202"/>
  <c r="AW1569" i="202"/>
  <c r="AW1570" i="202"/>
  <c r="AW1571" i="202"/>
  <c r="AW1572" i="202"/>
  <c r="AW1573" i="202"/>
  <c r="AW1574" i="202"/>
  <c r="AW1575" i="202"/>
  <c r="AW1576" i="202"/>
  <c r="AW1577" i="202"/>
  <c r="AW1578" i="202"/>
  <c r="AW1579" i="202"/>
  <c r="AW1580" i="202"/>
  <c r="AW1581" i="202"/>
  <c r="AW1582" i="202"/>
  <c r="AW1583" i="202"/>
  <c r="AW1584" i="202"/>
  <c r="AW1585" i="202"/>
  <c r="AW1586" i="202"/>
  <c r="AW1587" i="202"/>
  <c r="AW1588" i="202"/>
  <c r="AW1589" i="202"/>
  <c r="AW1590" i="202"/>
  <c r="AW1591" i="202"/>
  <c r="AW1592" i="202"/>
  <c r="AW1593" i="202"/>
  <c r="AW1594" i="202"/>
  <c r="AW1595" i="202"/>
  <c r="AW1596" i="202"/>
  <c r="AW1597" i="202"/>
  <c r="AW1598" i="202"/>
  <c r="AW1599" i="202"/>
  <c r="AW1600" i="202"/>
  <c r="AW1601" i="202"/>
  <c r="AW1602" i="202"/>
  <c r="AW1603" i="202"/>
  <c r="AW1604" i="202"/>
  <c r="AW1605" i="202"/>
  <c r="AW1606" i="202"/>
  <c r="AW1607" i="202"/>
  <c r="AW1608" i="202"/>
  <c r="AW1609" i="202"/>
  <c r="AW1610" i="202"/>
  <c r="AW1611" i="202"/>
  <c r="AW1612" i="202"/>
  <c r="AW1613" i="202"/>
  <c r="AW1614" i="202"/>
  <c r="AW1615" i="202"/>
  <c r="AW1616" i="202"/>
  <c r="AW1617" i="202"/>
  <c r="AW1618" i="202"/>
  <c r="AW1619" i="202"/>
  <c r="AW1620" i="202"/>
  <c r="AW1621" i="202"/>
  <c r="AW1622" i="202"/>
  <c r="AW1623" i="202"/>
  <c r="AW1624" i="202"/>
  <c r="AW1625" i="202"/>
  <c r="AW1626" i="202"/>
  <c r="AW1627" i="202"/>
  <c r="AW1628" i="202"/>
  <c r="AW1629" i="202"/>
  <c r="AW1630" i="202"/>
  <c r="AW1631" i="202"/>
  <c r="AW1632" i="202"/>
  <c r="AW1633" i="202"/>
  <c r="AW1634" i="202"/>
  <c r="AW1635" i="202"/>
  <c r="AW1636" i="202"/>
  <c r="AW1637" i="202"/>
  <c r="AW1638" i="202"/>
  <c r="AW1639" i="202"/>
  <c r="AW1640" i="202"/>
  <c r="AW1641" i="202"/>
  <c r="AW1642" i="202"/>
  <c r="AW1643" i="202"/>
  <c r="AW1644" i="202"/>
  <c r="AW1645" i="202"/>
  <c r="AW1646" i="202"/>
  <c r="AW1647" i="202"/>
  <c r="AW1648" i="202"/>
  <c r="AW1649" i="202"/>
  <c r="AW1650" i="202"/>
  <c r="AW1651" i="202"/>
  <c r="AW1652" i="202"/>
  <c r="AW1653" i="202"/>
  <c r="AW1654" i="202"/>
  <c r="AW1655" i="202"/>
  <c r="AW1656" i="202"/>
  <c r="AW1657" i="202"/>
  <c r="AW1658" i="202"/>
  <c r="AW1659" i="202"/>
  <c r="AW1660" i="202"/>
  <c r="AW1661" i="202"/>
  <c r="AW1662" i="202"/>
  <c r="AW1663" i="202"/>
  <c r="AW1664" i="202"/>
  <c r="AW1665" i="202"/>
  <c r="AW1666" i="202"/>
  <c r="AW1667" i="202"/>
  <c r="AW1668" i="202"/>
  <c r="AW1669" i="202"/>
  <c r="AW1670" i="202"/>
  <c r="AW1671" i="202"/>
  <c r="AW1672" i="202"/>
  <c r="AW1673" i="202"/>
  <c r="AW1674" i="202"/>
  <c r="AW1675" i="202"/>
  <c r="AW1676" i="202"/>
  <c r="AW1677" i="202"/>
  <c r="AW1678" i="202"/>
  <c r="AW1679" i="202"/>
  <c r="AW1680" i="202"/>
  <c r="AW1681" i="202"/>
  <c r="AW1682" i="202"/>
  <c r="AW1683" i="202"/>
  <c r="AW1684" i="202"/>
  <c r="AW1685" i="202"/>
  <c r="AW1686" i="202"/>
  <c r="AW1687" i="202"/>
  <c r="AW1688" i="202"/>
  <c r="AW1689" i="202"/>
  <c r="AW1690" i="202"/>
  <c r="AW1691" i="202"/>
  <c r="AW1692" i="202"/>
  <c r="AW1693" i="202"/>
  <c r="AW1694" i="202"/>
  <c r="AW1695" i="202"/>
  <c r="AW1696" i="202"/>
  <c r="AW1697" i="202"/>
  <c r="AW1698" i="202"/>
  <c r="AW1699" i="202"/>
  <c r="AW1700" i="202"/>
  <c r="AW1701" i="202"/>
  <c r="AW1702" i="202"/>
  <c r="AW1703" i="202"/>
  <c r="AW1704" i="202"/>
  <c r="AW1705" i="202"/>
  <c r="AW1706" i="202"/>
  <c r="AW1707" i="202"/>
  <c r="AW1708" i="202"/>
  <c r="AW1709" i="202"/>
  <c r="AW1710" i="202"/>
  <c r="AW1711" i="202"/>
  <c r="AW1712" i="202"/>
  <c r="AW1713" i="202"/>
  <c r="AW1714" i="202"/>
  <c r="AW1715" i="202"/>
  <c r="AW1716" i="202"/>
  <c r="AW1717" i="202"/>
  <c r="AW1718" i="202"/>
  <c r="AW1719" i="202"/>
  <c r="AW1720" i="202"/>
  <c r="AW1721" i="202"/>
  <c r="AW1722" i="202"/>
  <c r="AW1723" i="202"/>
  <c r="AW1724" i="202"/>
  <c r="AW1725" i="202"/>
  <c r="AW1726" i="202"/>
  <c r="AW1727" i="202"/>
  <c r="AW1728" i="202"/>
  <c r="AW1729" i="202"/>
  <c r="AW1730" i="202"/>
  <c r="AW1731" i="202"/>
  <c r="AW1732" i="202"/>
  <c r="AW1733" i="202"/>
  <c r="AW1734" i="202"/>
  <c r="AW1735" i="202"/>
  <c r="AW1736" i="202"/>
  <c r="AW1737" i="202"/>
  <c r="AW1738" i="202"/>
  <c r="AW1739" i="202"/>
  <c r="AW1740" i="202"/>
  <c r="AW1741" i="202"/>
  <c r="AW1742" i="202"/>
  <c r="AW1743" i="202"/>
  <c r="AW1744" i="202"/>
  <c r="AW1745" i="202"/>
  <c r="AW1746" i="202"/>
  <c r="AW1747" i="202"/>
  <c r="AW1748" i="202"/>
  <c r="AW1749" i="202"/>
  <c r="AW1750" i="202"/>
  <c r="AW1751" i="202"/>
  <c r="AW1752" i="202"/>
  <c r="AW1753" i="202"/>
  <c r="AW1754" i="202"/>
  <c r="AW1755" i="202"/>
  <c r="AW1756" i="202"/>
  <c r="AW1757" i="202"/>
  <c r="AW1758" i="202"/>
  <c r="AW1759" i="202"/>
  <c r="AW1760" i="202"/>
  <c r="AW1761" i="202"/>
  <c r="AW1762" i="202"/>
  <c r="AW1763" i="202"/>
  <c r="AW1764" i="202"/>
  <c r="AW1765" i="202"/>
  <c r="AW1766" i="202"/>
  <c r="AW1767" i="202"/>
  <c r="AW1768" i="202"/>
  <c r="AW1769" i="202"/>
  <c r="AW1770" i="202"/>
  <c r="AW1771" i="202"/>
  <c r="AW1772" i="202"/>
  <c r="AW1773" i="202"/>
  <c r="AW1774" i="202"/>
  <c r="AW1775" i="202"/>
  <c r="AW1776" i="202"/>
  <c r="AW1777" i="202"/>
  <c r="AW1778" i="202"/>
  <c r="AW1779" i="202"/>
  <c r="AW1780" i="202"/>
  <c r="AW1781" i="202"/>
  <c r="AW1782" i="202"/>
  <c r="AW1783" i="202"/>
  <c r="AW1784" i="202"/>
  <c r="AW1785" i="202"/>
  <c r="AW1786" i="202"/>
  <c r="AW1787" i="202"/>
  <c r="AW1788" i="202"/>
  <c r="AW1789" i="202"/>
  <c r="AW1790" i="202"/>
  <c r="AW1791" i="202"/>
  <c r="AW1792" i="202"/>
  <c r="AW1793" i="202"/>
  <c r="AW1794" i="202"/>
  <c r="AW1795" i="202"/>
  <c r="AW1796" i="202"/>
  <c r="AW1797" i="202"/>
  <c r="AW1798" i="202"/>
  <c r="AW1799" i="202"/>
  <c r="AW1800" i="202"/>
  <c r="AW1801" i="202"/>
  <c r="AW1802" i="202"/>
  <c r="AW1803" i="202"/>
  <c r="AW1804" i="202"/>
  <c r="AW1805" i="202"/>
  <c r="AW1806" i="202"/>
  <c r="AW1807" i="202"/>
  <c r="AW1808" i="202"/>
  <c r="AW1809" i="202"/>
  <c r="AW1810" i="202"/>
  <c r="AW1811" i="202"/>
  <c r="AW1812" i="202"/>
  <c r="AW1813" i="202"/>
  <c r="AW1814" i="202"/>
  <c r="AW1815" i="202"/>
  <c r="AW1816" i="202"/>
  <c r="AW1817" i="202"/>
  <c r="AW1818" i="202"/>
  <c r="AW1819" i="202"/>
  <c r="AW1820" i="202"/>
  <c r="AW1821" i="202"/>
  <c r="AW1822" i="202"/>
  <c r="AW1823" i="202"/>
  <c r="AW1824" i="202"/>
  <c r="AW1825" i="202"/>
  <c r="AW1826" i="202"/>
  <c r="AW1827" i="202"/>
  <c r="AW1828" i="202"/>
  <c r="AW1829" i="202"/>
  <c r="AW1830" i="202"/>
  <c r="AW1831" i="202"/>
  <c r="AW1832" i="202"/>
  <c r="AW1833" i="202"/>
  <c r="AW1834" i="202"/>
  <c r="AW1835" i="202"/>
  <c r="AW1836" i="202"/>
  <c r="AW1837" i="202"/>
  <c r="AW1838" i="202"/>
  <c r="AW1839" i="202"/>
  <c r="AW1840" i="202"/>
  <c r="AW1841" i="202"/>
  <c r="AW1842" i="202"/>
  <c r="AW1843" i="202"/>
  <c r="AW1844" i="202"/>
  <c r="AW1845" i="202"/>
  <c r="AW1846" i="202"/>
  <c r="AW1847" i="202"/>
  <c r="AW1848" i="202"/>
  <c r="AW1849" i="202"/>
  <c r="AW1850" i="202"/>
  <c r="AW1851" i="202"/>
  <c r="AW1852" i="202"/>
  <c r="AW1853" i="202"/>
  <c r="AW1854" i="202"/>
  <c r="AW1855" i="202"/>
  <c r="AW1856" i="202"/>
  <c r="AW1857" i="202"/>
  <c r="AW1858" i="202"/>
  <c r="AW1859" i="202"/>
  <c r="AW1860" i="202"/>
  <c r="AW1861" i="202"/>
  <c r="AW1862" i="202"/>
  <c r="AW1863" i="202"/>
  <c r="AW1864" i="202"/>
  <c r="AW1865" i="202"/>
  <c r="AW1866" i="202"/>
  <c r="AW1867" i="202"/>
  <c r="AW1868" i="202"/>
  <c r="AW1869" i="202"/>
  <c r="AW1870" i="202"/>
  <c r="AW1871" i="202"/>
  <c r="AW1872" i="202"/>
  <c r="AW1873" i="202"/>
  <c r="AW1874" i="202"/>
  <c r="AW1875" i="202"/>
  <c r="AW1876" i="202"/>
  <c r="AW1877" i="202"/>
  <c r="AW1878" i="202"/>
  <c r="AW1879" i="202"/>
  <c r="AW1880" i="202"/>
  <c r="AW1881" i="202"/>
  <c r="AW1882" i="202"/>
  <c r="AW1883" i="202"/>
  <c r="AW1884" i="202"/>
  <c r="AW1885" i="202"/>
  <c r="AW1886" i="202"/>
  <c r="AW1887" i="202"/>
  <c r="AW1888" i="202"/>
  <c r="AW1889" i="202"/>
  <c r="AW1890" i="202"/>
  <c r="AW1891" i="202"/>
  <c r="AW1892" i="202"/>
  <c r="AW1893" i="202"/>
  <c r="AW1894" i="202"/>
  <c r="AW1895" i="202"/>
  <c r="AW1896" i="202"/>
  <c r="AW1897" i="202"/>
  <c r="AW1898" i="202"/>
  <c r="AW1899" i="202"/>
  <c r="AW1900" i="202"/>
  <c r="AW1901" i="202"/>
  <c r="AW1902" i="202"/>
  <c r="AW1903" i="202"/>
  <c r="AW1904" i="202"/>
  <c r="AW1905" i="202"/>
  <c r="AW1906" i="202"/>
  <c r="AW1907" i="202"/>
  <c r="AW1908" i="202"/>
  <c r="AW1909" i="202"/>
  <c r="AW1910" i="202"/>
  <c r="AW1911" i="202"/>
  <c r="AW1912" i="202"/>
  <c r="AW1913" i="202"/>
  <c r="AW1914" i="202"/>
  <c r="AW1915" i="202"/>
  <c r="AW1916" i="202"/>
  <c r="AW1917" i="202"/>
  <c r="AW1918" i="202"/>
  <c r="AW1919" i="202"/>
  <c r="AW1920" i="202"/>
  <c r="AW1921" i="202"/>
  <c r="AW1922" i="202"/>
  <c r="AW1923" i="202"/>
  <c r="AW1924" i="202"/>
  <c r="AW1925" i="202"/>
  <c r="AW1926" i="202"/>
  <c r="AW1927" i="202"/>
  <c r="AW1928" i="202"/>
  <c r="AW1929" i="202"/>
  <c r="AW1930" i="202"/>
  <c r="AW1931" i="202"/>
  <c r="AW1932" i="202"/>
  <c r="AW1933" i="202"/>
  <c r="AW1934" i="202"/>
  <c r="AW1935" i="202"/>
  <c r="AW1936" i="202"/>
  <c r="AW1937" i="202"/>
  <c r="AW1938" i="202"/>
  <c r="AW1939" i="202"/>
  <c r="AW1940" i="202"/>
  <c r="AW1941" i="202"/>
  <c r="AW1942" i="202"/>
  <c r="AW1943" i="202"/>
  <c r="AW1944" i="202"/>
  <c r="AW1945" i="202"/>
  <c r="AW1946" i="202"/>
  <c r="AW1947" i="202"/>
  <c r="AW1948" i="202"/>
  <c r="AW1949" i="202"/>
  <c r="AW1950" i="202"/>
  <c r="AW1951" i="202"/>
  <c r="AW1952" i="202"/>
  <c r="AW1953" i="202"/>
  <c r="AW1954" i="202"/>
  <c r="AW1955" i="202"/>
  <c r="AW1956" i="202"/>
  <c r="AW1957" i="202"/>
  <c r="AW1958" i="202"/>
  <c r="AW1959" i="202"/>
  <c r="AW1960" i="202"/>
  <c r="AW1961" i="202"/>
  <c r="AW1962" i="202"/>
  <c r="AW1963" i="202"/>
  <c r="AW1964" i="202"/>
  <c r="AW1965" i="202"/>
  <c r="AW1966" i="202"/>
  <c r="AW1967" i="202"/>
  <c r="AW1968" i="202"/>
  <c r="AW1969" i="202"/>
  <c r="AW1970" i="202"/>
  <c r="AW1971" i="202"/>
  <c r="AW1972" i="202"/>
  <c r="AW1973" i="202"/>
  <c r="AW1974" i="202"/>
  <c r="AW1975" i="202"/>
  <c r="AW1976" i="202"/>
  <c r="AW1977" i="202"/>
  <c r="AW1978" i="202"/>
  <c r="AW1979" i="202"/>
  <c r="AW1980" i="202"/>
  <c r="AW1981" i="202"/>
  <c r="AW1982" i="202"/>
  <c r="AW1983" i="202"/>
  <c r="AW1984" i="202"/>
  <c r="AW1985" i="202"/>
  <c r="AW1986" i="202"/>
  <c r="AW1987" i="202"/>
  <c r="AW1988" i="202"/>
  <c r="AW1989" i="202"/>
  <c r="AW1990" i="202"/>
  <c r="AW1991" i="202"/>
  <c r="AW1992" i="202"/>
  <c r="AW1993" i="202"/>
  <c r="AW1994" i="202"/>
  <c r="AW1995" i="202"/>
  <c r="AW1996" i="202"/>
  <c r="AW1997" i="202"/>
  <c r="AW1998" i="202"/>
  <c r="AW1999" i="202"/>
  <c r="AW2000" i="202"/>
  <c r="AW2001" i="202"/>
  <c r="AW2002" i="202"/>
  <c r="AW2003" i="202"/>
  <c r="AW2004" i="202"/>
  <c r="AW2005" i="202"/>
  <c r="AW2006" i="202"/>
  <c r="AW2007" i="202"/>
  <c r="AW2008" i="202"/>
  <c r="AW2009" i="202"/>
  <c r="AW2010" i="202"/>
  <c r="AW2011" i="202"/>
  <c r="AW2012" i="202"/>
  <c r="AW2013" i="202"/>
  <c r="AW2014" i="202"/>
  <c r="AW2015" i="202"/>
  <c r="AW2016" i="202"/>
  <c r="AW2017" i="202"/>
  <c r="AW2018" i="202"/>
  <c r="AW2019" i="202"/>
  <c r="AW2020" i="202"/>
  <c r="AW2021" i="202"/>
  <c r="AW2022" i="202"/>
  <c r="AW2023" i="202"/>
  <c r="AW2024" i="202"/>
  <c r="AW2025" i="202"/>
  <c r="AW2026" i="202"/>
  <c r="AW2027" i="202"/>
  <c r="AW2028" i="202"/>
  <c r="AW2029" i="202"/>
  <c r="AW2030" i="202"/>
  <c r="AW2031" i="202"/>
  <c r="AW2032" i="202"/>
  <c r="AW2033" i="202"/>
  <c r="AW2034" i="202"/>
  <c r="AW2035" i="202"/>
  <c r="AW2036" i="202"/>
  <c r="AW2037" i="202"/>
  <c r="AW2038" i="202"/>
  <c r="AW2039" i="202"/>
  <c r="AW2040" i="202"/>
  <c r="AW2041" i="202"/>
  <c r="AW2042" i="202"/>
  <c r="AW2043" i="202"/>
  <c r="AW2044" i="202"/>
  <c r="AW2045" i="202"/>
  <c r="AW2046" i="202"/>
  <c r="AW2047" i="202"/>
  <c r="AW2048" i="202"/>
  <c r="AI2" i="202"/>
  <c r="AI3" i="202"/>
  <c r="AI4" i="202"/>
  <c r="AI5" i="202"/>
  <c r="AI6" i="202"/>
  <c r="AI7" i="202"/>
  <c r="AI8" i="202"/>
  <c r="AI9" i="202"/>
  <c r="AI10" i="202"/>
  <c r="AI11" i="202"/>
  <c r="AI12" i="202"/>
  <c r="AI13" i="202"/>
  <c r="AI14" i="202"/>
  <c r="AI15" i="202"/>
  <c r="AI16" i="202"/>
  <c r="AI17" i="202"/>
  <c r="AI18" i="202"/>
  <c r="AI19" i="202"/>
  <c r="AI20" i="202"/>
  <c r="AI21" i="202"/>
  <c r="AI22" i="202"/>
  <c r="AI23" i="202"/>
  <c r="AI24" i="202"/>
  <c r="AI25" i="202"/>
  <c r="AI26" i="202"/>
  <c r="AI27" i="202"/>
  <c r="AI28" i="202"/>
  <c r="AI29" i="202"/>
  <c r="AI30" i="202"/>
  <c r="AI31" i="202"/>
  <c r="AI32" i="202"/>
  <c r="AI33" i="202"/>
  <c r="AI34" i="202"/>
  <c r="AI35" i="202"/>
  <c r="AI36" i="202"/>
  <c r="AI37" i="202"/>
  <c r="AI38" i="202"/>
  <c r="AI39" i="202"/>
  <c r="AI40" i="202"/>
  <c r="AI41" i="202"/>
  <c r="AI42" i="202"/>
  <c r="AI43" i="202"/>
  <c r="AI44" i="202"/>
  <c r="AI45" i="202"/>
  <c r="AI46" i="202"/>
  <c r="AI47" i="202"/>
  <c r="AI48" i="202"/>
  <c r="AI49" i="202"/>
  <c r="AI50" i="202"/>
  <c r="AI51" i="202"/>
  <c r="AI52" i="202"/>
  <c r="AI53" i="202"/>
  <c r="AI54" i="202"/>
  <c r="AI55" i="202"/>
  <c r="AI56" i="202"/>
  <c r="AI57" i="202"/>
  <c r="AI58" i="202"/>
  <c r="AI59" i="202"/>
  <c r="AI60" i="202"/>
  <c r="AI61" i="202"/>
  <c r="AI62" i="202"/>
  <c r="AI63" i="202"/>
  <c r="AI64" i="202"/>
  <c r="AI65" i="202"/>
  <c r="AI66" i="202"/>
  <c r="AI67" i="202"/>
  <c r="AI68" i="202"/>
  <c r="AI69" i="202"/>
  <c r="AI70" i="202"/>
  <c r="AI71" i="202"/>
  <c r="AI72" i="202"/>
  <c r="AI73" i="202"/>
  <c r="AI74" i="202"/>
  <c r="AI75" i="202"/>
  <c r="AI76" i="202"/>
  <c r="AI77" i="202"/>
  <c r="AI78" i="202"/>
  <c r="AI79" i="202"/>
  <c r="AI80" i="202"/>
  <c r="AI81" i="202"/>
  <c r="AI82" i="202"/>
  <c r="AI83" i="202"/>
  <c r="AI84" i="202"/>
  <c r="AI85" i="202"/>
  <c r="AI86" i="202"/>
  <c r="AI87" i="202"/>
  <c r="AI88" i="202"/>
  <c r="AI89" i="202"/>
  <c r="AI90" i="202"/>
  <c r="AI91" i="202"/>
  <c r="AI92" i="202"/>
  <c r="AI93" i="202"/>
  <c r="AI94" i="202"/>
  <c r="AI95" i="202"/>
  <c r="AI96" i="202"/>
  <c r="AI97" i="202"/>
  <c r="AI98" i="202"/>
  <c r="AI99" i="202"/>
  <c r="AI100" i="202"/>
  <c r="AI101" i="202"/>
  <c r="AI102" i="202"/>
  <c r="AI103" i="202"/>
  <c r="AI104" i="202"/>
  <c r="AI105" i="202"/>
  <c r="AI106" i="202"/>
  <c r="AI107" i="202"/>
  <c r="AI108" i="202"/>
  <c r="AI109" i="202"/>
  <c r="AI110" i="202"/>
  <c r="AI111" i="202"/>
  <c r="AI112" i="202"/>
  <c r="AI113" i="202"/>
  <c r="AI114" i="202"/>
  <c r="AI115" i="202"/>
  <c r="AI116" i="202"/>
  <c r="AI117" i="202"/>
  <c r="AI118" i="202"/>
  <c r="AI119" i="202"/>
  <c r="AI120" i="202"/>
  <c r="AI121" i="202"/>
  <c r="AI122" i="202"/>
  <c r="AI123" i="202"/>
  <c r="AI124" i="202"/>
  <c r="AI125" i="202"/>
  <c r="AI126" i="202"/>
  <c r="AI127" i="202"/>
  <c r="AI128" i="202"/>
  <c r="AI129" i="202"/>
  <c r="AI130" i="202"/>
  <c r="AI131" i="202"/>
  <c r="AI132" i="202"/>
  <c r="AI133" i="202"/>
  <c r="AI134" i="202"/>
  <c r="AI135" i="202"/>
  <c r="AI136" i="202"/>
  <c r="AI137" i="202"/>
  <c r="AI138" i="202"/>
  <c r="AI139" i="202"/>
  <c r="AI140" i="202"/>
  <c r="AI141" i="202"/>
  <c r="AI142" i="202"/>
  <c r="AI143" i="202"/>
  <c r="AI144" i="202"/>
  <c r="AI145" i="202"/>
  <c r="AI146" i="202"/>
  <c r="AI147" i="202"/>
  <c r="AI148" i="202"/>
  <c r="AI149" i="202"/>
  <c r="AI150" i="202"/>
  <c r="AI151" i="202"/>
  <c r="AI152" i="202"/>
  <c r="AI153" i="202"/>
  <c r="AI154" i="202"/>
  <c r="AI155" i="202"/>
  <c r="AI156" i="202"/>
  <c r="AI157" i="202"/>
  <c r="AI158" i="202"/>
  <c r="AI159" i="202"/>
  <c r="AI160" i="202"/>
  <c r="AI161" i="202"/>
  <c r="AI162" i="202"/>
  <c r="AI163" i="202"/>
  <c r="AI164" i="202"/>
  <c r="AI165" i="202"/>
  <c r="AI166" i="202"/>
  <c r="AI167" i="202"/>
  <c r="AI168" i="202"/>
  <c r="AI169" i="202"/>
  <c r="AI170" i="202"/>
  <c r="AI171" i="202"/>
  <c r="AI172" i="202"/>
  <c r="AI173" i="202"/>
  <c r="AI174" i="202"/>
  <c r="AI175" i="202"/>
  <c r="AI176" i="202"/>
  <c r="AI177" i="202"/>
  <c r="AI178" i="202"/>
  <c r="AI179" i="202"/>
  <c r="AI180" i="202"/>
  <c r="AI181" i="202"/>
  <c r="AI182" i="202"/>
  <c r="AI183" i="202"/>
  <c r="AI184" i="202"/>
  <c r="AI185" i="202"/>
  <c r="AI186" i="202"/>
  <c r="AI187" i="202"/>
  <c r="AI188" i="202"/>
  <c r="AI189" i="202"/>
  <c r="AI190" i="202"/>
  <c r="AI191" i="202"/>
  <c r="AI192" i="202"/>
  <c r="AI193" i="202"/>
  <c r="AI194" i="202"/>
  <c r="AI195" i="202"/>
  <c r="AI196" i="202"/>
  <c r="AI197" i="202"/>
  <c r="AI198" i="202"/>
  <c r="AI199" i="202"/>
  <c r="AI200" i="202"/>
  <c r="AI201" i="202"/>
  <c r="AI202" i="202"/>
  <c r="AI203" i="202"/>
  <c r="AI204" i="202"/>
  <c r="AI205" i="202"/>
  <c r="AI206" i="202"/>
  <c r="AI207" i="202"/>
  <c r="AI208" i="202"/>
  <c r="AI209" i="202"/>
  <c r="AI210" i="202"/>
  <c r="AI211" i="202"/>
  <c r="AI212" i="202"/>
  <c r="AI213" i="202"/>
  <c r="AI214" i="202"/>
  <c r="AI215" i="202"/>
  <c r="AI216" i="202"/>
  <c r="AI217" i="202"/>
  <c r="AI218" i="202"/>
  <c r="AI219" i="202"/>
  <c r="AI220" i="202"/>
  <c r="AI221" i="202"/>
  <c r="AI222" i="202"/>
  <c r="AI223" i="202"/>
  <c r="AI224" i="202"/>
  <c r="AI225" i="202"/>
  <c r="AI226" i="202"/>
  <c r="AI227" i="202"/>
  <c r="AI228" i="202"/>
  <c r="AI229" i="202"/>
  <c r="AI230" i="202"/>
  <c r="AI231" i="202"/>
  <c r="AI232" i="202"/>
  <c r="AI233" i="202"/>
  <c r="AI234" i="202"/>
  <c r="AI235" i="202"/>
  <c r="AI236" i="202"/>
  <c r="AI237" i="202"/>
  <c r="AI238" i="202"/>
  <c r="AI239" i="202"/>
  <c r="AI240" i="202"/>
  <c r="AI241" i="202"/>
  <c r="AI242" i="202"/>
  <c r="AI243" i="202"/>
  <c r="AI244" i="202"/>
  <c r="AI245" i="202"/>
  <c r="AI246" i="202"/>
  <c r="AI247" i="202"/>
  <c r="AI248" i="202"/>
  <c r="AI249" i="202"/>
  <c r="AI250" i="202"/>
  <c r="AI251" i="202"/>
  <c r="AI252" i="202"/>
  <c r="AI253" i="202"/>
  <c r="AI254" i="202"/>
  <c r="AI255" i="202"/>
  <c r="AI256" i="202"/>
  <c r="AI257" i="202"/>
  <c r="AI258" i="202"/>
  <c r="AI259" i="202"/>
  <c r="AI260" i="202"/>
  <c r="AI261" i="202"/>
  <c r="AI262" i="202"/>
  <c r="AI263" i="202"/>
  <c r="AI264" i="202"/>
  <c r="AI265" i="202"/>
  <c r="AI266" i="202"/>
  <c r="AI267" i="202"/>
  <c r="AI268" i="202"/>
  <c r="AI269" i="202"/>
  <c r="AI270" i="202"/>
  <c r="AI271" i="202"/>
  <c r="AI272" i="202"/>
  <c r="AI273" i="202"/>
  <c r="AI274" i="202"/>
  <c r="AI275" i="202"/>
  <c r="AI276" i="202"/>
  <c r="AI277" i="202"/>
  <c r="AI278" i="202"/>
  <c r="AI279" i="202"/>
  <c r="AI280" i="202"/>
  <c r="AI281" i="202"/>
  <c r="AI282" i="202"/>
  <c r="AI283" i="202"/>
  <c r="AI284" i="202"/>
  <c r="AI285" i="202"/>
  <c r="AI286" i="202"/>
  <c r="AI287" i="202"/>
  <c r="AI288" i="202"/>
  <c r="AI289" i="202"/>
  <c r="AI290" i="202"/>
  <c r="AI291" i="202"/>
  <c r="AI292" i="202"/>
  <c r="AI293" i="202"/>
  <c r="AI294" i="202"/>
  <c r="AI295" i="202"/>
  <c r="AI296" i="202"/>
  <c r="AI297" i="202"/>
  <c r="AI298" i="202"/>
  <c r="AI299" i="202"/>
  <c r="AI300" i="202"/>
  <c r="AI301" i="202"/>
  <c r="AI302" i="202"/>
  <c r="AI303" i="202"/>
  <c r="AI304" i="202"/>
  <c r="AI305" i="202"/>
  <c r="AI306" i="202"/>
  <c r="AI307" i="202"/>
  <c r="AI308" i="202"/>
  <c r="AI309" i="202"/>
  <c r="AI310" i="202"/>
  <c r="AI311" i="202"/>
  <c r="AI312" i="202"/>
  <c r="AI313" i="202"/>
  <c r="AI314" i="202"/>
  <c r="AI315" i="202"/>
  <c r="AI316" i="202"/>
  <c r="AI317" i="202"/>
  <c r="AI318" i="202"/>
  <c r="AI319" i="202"/>
  <c r="AI320" i="202"/>
  <c r="AI321" i="202"/>
  <c r="AI322" i="202"/>
  <c r="AI323" i="202"/>
  <c r="AI324" i="202"/>
  <c r="AI325" i="202"/>
  <c r="AI326" i="202"/>
  <c r="AI327" i="202"/>
  <c r="AI328" i="202"/>
  <c r="AI329" i="202"/>
  <c r="AI330" i="202"/>
  <c r="AI331" i="202"/>
  <c r="AI332" i="202"/>
  <c r="AI333" i="202"/>
  <c r="AI334" i="202"/>
  <c r="AI335" i="202"/>
  <c r="AI336" i="202"/>
  <c r="AI337" i="202"/>
  <c r="AI338" i="202"/>
  <c r="AI339" i="202"/>
  <c r="AI340" i="202"/>
  <c r="AI341" i="202"/>
  <c r="AI342" i="202"/>
  <c r="AI343" i="202"/>
  <c r="AI344" i="202"/>
  <c r="AI345" i="202"/>
  <c r="AI346" i="202"/>
  <c r="AI347" i="202"/>
  <c r="AI348" i="202"/>
  <c r="AI349" i="202"/>
  <c r="AI350" i="202"/>
  <c r="AI351" i="202"/>
  <c r="AI352" i="202"/>
  <c r="AI353" i="202"/>
  <c r="AI354" i="202"/>
  <c r="AI355" i="202"/>
  <c r="AI356" i="202"/>
  <c r="AI357" i="202"/>
  <c r="AI358" i="202"/>
  <c r="AI359" i="202"/>
  <c r="AI360" i="202"/>
  <c r="AI361" i="202"/>
  <c r="AI362" i="202"/>
  <c r="AI363" i="202"/>
  <c r="AI364" i="202"/>
  <c r="AI365" i="202"/>
  <c r="AI366" i="202"/>
  <c r="AI367" i="202"/>
  <c r="AI368" i="202"/>
  <c r="AI369" i="202"/>
  <c r="AI370" i="202"/>
  <c r="AI371" i="202"/>
  <c r="AI372" i="202"/>
  <c r="AI373" i="202"/>
  <c r="AI374" i="202"/>
  <c r="AI375" i="202"/>
  <c r="AI376" i="202"/>
  <c r="AI377" i="202"/>
  <c r="AI378" i="202"/>
  <c r="AI379" i="202"/>
  <c r="AI380" i="202"/>
  <c r="AI381" i="202"/>
  <c r="AI382" i="202"/>
  <c r="AI383" i="202"/>
  <c r="AI384" i="202"/>
  <c r="AI385" i="202"/>
  <c r="AI386" i="202"/>
  <c r="AI387" i="202"/>
  <c r="AI388" i="202"/>
  <c r="AI389" i="202"/>
  <c r="AI390" i="202"/>
  <c r="AI391" i="202"/>
  <c r="AI392" i="202"/>
  <c r="AI393" i="202"/>
  <c r="AI394" i="202"/>
  <c r="AI395" i="202"/>
  <c r="AI396" i="202"/>
  <c r="AI397" i="202"/>
  <c r="AI398" i="202"/>
  <c r="AI399" i="202"/>
  <c r="AI400" i="202"/>
  <c r="AI401" i="202"/>
  <c r="AI402" i="202"/>
  <c r="AI403" i="202"/>
  <c r="AI404" i="202"/>
  <c r="AI405" i="202"/>
  <c r="AI406" i="202"/>
  <c r="AI407" i="202"/>
  <c r="AI408" i="202"/>
  <c r="AI409" i="202"/>
  <c r="AI410" i="202"/>
  <c r="AI411" i="202"/>
  <c r="AI412" i="202"/>
  <c r="AI413" i="202"/>
  <c r="AI414" i="202"/>
  <c r="AI415" i="202"/>
  <c r="AI416" i="202"/>
  <c r="AI417" i="202"/>
  <c r="AI418" i="202"/>
  <c r="AI419" i="202"/>
  <c r="AI420" i="202"/>
  <c r="AI421" i="202"/>
  <c r="AI422" i="202"/>
  <c r="AI423" i="202"/>
  <c r="AI424" i="202"/>
  <c r="AI425" i="202"/>
  <c r="AI426" i="202"/>
  <c r="AI427" i="202"/>
  <c r="AI428" i="202"/>
  <c r="AI429" i="202"/>
  <c r="AI430" i="202"/>
  <c r="AI431" i="202"/>
  <c r="AI432" i="202"/>
  <c r="AI433" i="202"/>
  <c r="AI434" i="202"/>
  <c r="AI435" i="202"/>
  <c r="AI436" i="202"/>
  <c r="AI437" i="202"/>
  <c r="AI438" i="202"/>
  <c r="AI439" i="202"/>
  <c r="AI440" i="202"/>
  <c r="AI441" i="202"/>
  <c r="AI442" i="202"/>
  <c r="AI443" i="202"/>
  <c r="AI444" i="202"/>
  <c r="AI445" i="202"/>
  <c r="AI446" i="202"/>
  <c r="AI447" i="202"/>
  <c r="AI448" i="202"/>
  <c r="AI449" i="202"/>
  <c r="AI450" i="202"/>
  <c r="AI451" i="202"/>
  <c r="AI452" i="202"/>
  <c r="AI453" i="202"/>
  <c r="AI454" i="202"/>
  <c r="AI455" i="202"/>
  <c r="AI456" i="202"/>
  <c r="AI457" i="202"/>
  <c r="AI458" i="202"/>
  <c r="AI459" i="202"/>
  <c r="AI460" i="202"/>
  <c r="AI461" i="202"/>
  <c r="AI462" i="202"/>
  <c r="AI463" i="202"/>
  <c r="AI464" i="202"/>
  <c r="AI465" i="202"/>
  <c r="AI466" i="202"/>
  <c r="AI467" i="202"/>
  <c r="AI468" i="202"/>
  <c r="AI469" i="202"/>
  <c r="AI470" i="202"/>
  <c r="AI471" i="202"/>
  <c r="AI472" i="202"/>
  <c r="AI473" i="202"/>
  <c r="AI474" i="202"/>
  <c r="AI475" i="202"/>
  <c r="AI476" i="202"/>
  <c r="AI477" i="202"/>
  <c r="AI478" i="202"/>
  <c r="AI479" i="202"/>
  <c r="AI480" i="202"/>
  <c r="AI481" i="202"/>
  <c r="AI482" i="202"/>
  <c r="AI483" i="202"/>
  <c r="AI484" i="202"/>
  <c r="AI485" i="202"/>
  <c r="AI486" i="202"/>
  <c r="AI487" i="202"/>
  <c r="AI488" i="202"/>
  <c r="AI489" i="202"/>
  <c r="AI490" i="202"/>
  <c r="AI491" i="202"/>
  <c r="AI492" i="202"/>
  <c r="AI493" i="202"/>
  <c r="AI494" i="202"/>
  <c r="AI495" i="202"/>
  <c r="AI496" i="202"/>
  <c r="AI497" i="202"/>
  <c r="AI498" i="202"/>
  <c r="AI499" i="202"/>
  <c r="AI500" i="202"/>
  <c r="AI501" i="202"/>
  <c r="AI502" i="202"/>
  <c r="AI503" i="202"/>
  <c r="AI504" i="202"/>
  <c r="AI505" i="202"/>
  <c r="AI506" i="202"/>
  <c r="AI507" i="202"/>
  <c r="AI508" i="202"/>
  <c r="AI509" i="202"/>
  <c r="AI510" i="202"/>
  <c r="AI511" i="202"/>
  <c r="AI512" i="202"/>
  <c r="AI513" i="202"/>
  <c r="AI514" i="202"/>
  <c r="AI515" i="202"/>
  <c r="AI516" i="202"/>
  <c r="AI517" i="202"/>
  <c r="AI518" i="202"/>
  <c r="AI519" i="202"/>
  <c r="AI520" i="202"/>
  <c r="AI521" i="202"/>
  <c r="AI522" i="202"/>
  <c r="AI523" i="202"/>
  <c r="AI524" i="202"/>
  <c r="AI525" i="202"/>
  <c r="AI526" i="202"/>
  <c r="AI527" i="202"/>
  <c r="AI528" i="202"/>
  <c r="AI529" i="202"/>
  <c r="AI530" i="202"/>
  <c r="AI531" i="202"/>
  <c r="AI532" i="202"/>
  <c r="AI533" i="202"/>
  <c r="AI534" i="202"/>
  <c r="AI535" i="202"/>
  <c r="AI536" i="202"/>
  <c r="AI537" i="202"/>
  <c r="AI538" i="202"/>
  <c r="AI539" i="202"/>
  <c r="AI540" i="202"/>
  <c r="AI541" i="202"/>
  <c r="AI542" i="202"/>
  <c r="AI543" i="202"/>
  <c r="AI544" i="202"/>
  <c r="AI545" i="202"/>
  <c r="AI546" i="202"/>
  <c r="AI547" i="202"/>
  <c r="AI548" i="202"/>
  <c r="AI549" i="202"/>
  <c r="AI550" i="202"/>
  <c r="AI551" i="202"/>
  <c r="AI552" i="202"/>
  <c r="AI553" i="202"/>
  <c r="AI554" i="202"/>
  <c r="AI555" i="202"/>
  <c r="AI556" i="202"/>
  <c r="AI557" i="202"/>
  <c r="AI558" i="202"/>
  <c r="AI559" i="202"/>
  <c r="AI560" i="202"/>
  <c r="AI561" i="202"/>
  <c r="AI562" i="202"/>
  <c r="AI563" i="202"/>
  <c r="AI564" i="202"/>
  <c r="AI565" i="202"/>
  <c r="AI566" i="202"/>
  <c r="AI567" i="202"/>
  <c r="AI568" i="202"/>
  <c r="AI569" i="202"/>
  <c r="AI570" i="202"/>
  <c r="AI571" i="202"/>
  <c r="AI572" i="202"/>
  <c r="AI573" i="202"/>
  <c r="AI574" i="202"/>
  <c r="AI575" i="202"/>
  <c r="AI576" i="202"/>
  <c r="AI577" i="202"/>
  <c r="AI578" i="202"/>
  <c r="AI579" i="202"/>
  <c r="AI580" i="202"/>
  <c r="AI581" i="202"/>
  <c r="AI582" i="202"/>
  <c r="AI583" i="202"/>
  <c r="AI584" i="202"/>
  <c r="AI585" i="202"/>
  <c r="AI586" i="202"/>
  <c r="AI587" i="202"/>
  <c r="AI588" i="202"/>
  <c r="AI589" i="202"/>
  <c r="AI590" i="202"/>
  <c r="AI591" i="202"/>
  <c r="AI592" i="202"/>
  <c r="AI593" i="202"/>
  <c r="AI594" i="202"/>
  <c r="AI595" i="202"/>
  <c r="AI596" i="202"/>
  <c r="AI597" i="202"/>
  <c r="AI598" i="202"/>
  <c r="AI599" i="202"/>
  <c r="AI600" i="202"/>
  <c r="AI601" i="202"/>
  <c r="AI602" i="202"/>
  <c r="AI603" i="202"/>
  <c r="AI604" i="202"/>
  <c r="AI605" i="202"/>
  <c r="AI606" i="202"/>
  <c r="AI607" i="202"/>
  <c r="AI608" i="202"/>
  <c r="AI609" i="202"/>
  <c r="AI610" i="202"/>
  <c r="AI611" i="202"/>
  <c r="AI612" i="202"/>
  <c r="AI613" i="202"/>
  <c r="AI614" i="202"/>
  <c r="AI615" i="202"/>
  <c r="AI616" i="202"/>
  <c r="AI617" i="202"/>
  <c r="AI618" i="202"/>
  <c r="AI619" i="202"/>
  <c r="AI620" i="202"/>
  <c r="AI621" i="202"/>
  <c r="AI622" i="202"/>
  <c r="AI623" i="202"/>
  <c r="AI624" i="202"/>
  <c r="AI625" i="202"/>
  <c r="AI626" i="202"/>
  <c r="AI627" i="202"/>
  <c r="AI628" i="202"/>
  <c r="AI629" i="202"/>
  <c r="AI630" i="202"/>
  <c r="AI631" i="202"/>
  <c r="AI632" i="202"/>
  <c r="AI633" i="202"/>
  <c r="AI634" i="202"/>
  <c r="AI635" i="202"/>
  <c r="AI636" i="202"/>
  <c r="AI637" i="202"/>
  <c r="AI638" i="202"/>
  <c r="AI639" i="202"/>
  <c r="AI640" i="202"/>
  <c r="AI641" i="202"/>
  <c r="AI642" i="202"/>
  <c r="AI643" i="202"/>
  <c r="AI644" i="202"/>
  <c r="AI645" i="202"/>
  <c r="AI646" i="202"/>
  <c r="AI647" i="202"/>
  <c r="AI648" i="202"/>
  <c r="AI649" i="202"/>
  <c r="AI650" i="202"/>
  <c r="AI651" i="202"/>
  <c r="AI652" i="202"/>
  <c r="AI653" i="202"/>
  <c r="AI654" i="202"/>
  <c r="AI655" i="202"/>
  <c r="AI656" i="202"/>
  <c r="AI657" i="202"/>
  <c r="AI658" i="202"/>
  <c r="AI659" i="202"/>
  <c r="AI660" i="202"/>
  <c r="AI661" i="202"/>
  <c r="AI662" i="202"/>
  <c r="AI663" i="202"/>
  <c r="AI664" i="202"/>
  <c r="AI665" i="202"/>
  <c r="AI666" i="202"/>
  <c r="AI667" i="202"/>
  <c r="AI668" i="202"/>
  <c r="AI669" i="202"/>
  <c r="AI670" i="202"/>
  <c r="AI671" i="202"/>
  <c r="AI672" i="202"/>
  <c r="AI673" i="202"/>
  <c r="AI674" i="202"/>
  <c r="AI675" i="202"/>
  <c r="AI676" i="202"/>
  <c r="AI677" i="202"/>
  <c r="AI678" i="202"/>
  <c r="AI679" i="202"/>
  <c r="AI680" i="202"/>
  <c r="AI681" i="202"/>
  <c r="AI682" i="202"/>
  <c r="AI683" i="202"/>
  <c r="AI684" i="202"/>
  <c r="AI685" i="202"/>
  <c r="AI686" i="202"/>
  <c r="AI687" i="202"/>
  <c r="AI688" i="202"/>
  <c r="AI689" i="202"/>
  <c r="AI690" i="202"/>
  <c r="AI691" i="202"/>
  <c r="AI692" i="202"/>
  <c r="AI693" i="202"/>
  <c r="AI694" i="202"/>
  <c r="AI695" i="202"/>
  <c r="AI696" i="202"/>
  <c r="AI697" i="202"/>
  <c r="AI698" i="202"/>
  <c r="AI699" i="202"/>
  <c r="AI700" i="202"/>
  <c r="AI701" i="202"/>
  <c r="AI702" i="202"/>
  <c r="AI703" i="202"/>
  <c r="AI704" i="202"/>
  <c r="AI705" i="202"/>
  <c r="AI706" i="202"/>
  <c r="AI707" i="202"/>
  <c r="AI708" i="202"/>
  <c r="AI709" i="202"/>
  <c r="AI710" i="202"/>
  <c r="AI711" i="202"/>
  <c r="AI712" i="202"/>
  <c r="AI713" i="202"/>
  <c r="AI714" i="202"/>
  <c r="AI715" i="202"/>
  <c r="AI716" i="202"/>
  <c r="AI717" i="202"/>
  <c r="AI718" i="202"/>
  <c r="AI719" i="202"/>
  <c r="AI720" i="202"/>
  <c r="AI721" i="202"/>
  <c r="AI722" i="202"/>
  <c r="AI723" i="202"/>
  <c r="AI724" i="202"/>
  <c r="AI725" i="202"/>
  <c r="AI726" i="202"/>
  <c r="AI727" i="202"/>
  <c r="AI728" i="202"/>
  <c r="AI729" i="202"/>
  <c r="AI730" i="202"/>
  <c r="AI731" i="202"/>
  <c r="AI732" i="202"/>
  <c r="AI733" i="202"/>
  <c r="AI734" i="202"/>
  <c r="AI735" i="202"/>
  <c r="AI736" i="202"/>
  <c r="AI737" i="202"/>
  <c r="AI738" i="202"/>
  <c r="AI739" i="202"/>
  <c r="AI740" i="202"/>
  <c r="AI741" i="202"/>
  <c r="AI742" i="202"/>
  <c r="AI743" i="202"/>
  <c r="AI744" i="202"/>
  <c r="AI745" i="202"/>
  <c r="AI746" i="202"/>
  <c r="AI747" i="202"/>
  <c r="AI748" i="202"/>
  <c r="AI749" i="202"/>
  <c r="AI750" i="202"/>
  <c r="AI751" i="202"/>
  <c r="AI752" i="202"/>
  <c r="AI753" i="202"/>
  <c r="AI754" i="202"/>
  <c r="AI755" i="202"/>
  <c r="AI756" i="202"/>
  <c r="AI757" i="202"/>
  <c r="AI758" i="202"/>
  <c r="AI759" i="202"/>
  <c r="AI760" i="202"/>
  <c r="AI761" i="202"/>
  <c r="AI762" i="202"/>
  <c r="AI763" i="202"/>
  <c r="AI764" i="202"/>
  <c r="AI765" i="202"/>
  <c r="AI766" i="202"/>
  <c r="AI767" i="202"/>
  <c r="AI768" i="202"/>
  <c r="AI769" i="202"/>
  <c r="AI770" i="202"/>
  <c r="AI771" i="202"/>
  <c r="AI772" i="202"/>
  <c r="AI773" i="202"/>
  <c r="AI774" i="202"/>
  <c r="AI775" i="202"/>
  <c r="AI776" i="202"/>
  <c r="AI777" i="202"/>
  <c r="AI778" i="202"/>
  <c r="AI779" i="202"/>
  <c r="AI780" i="202"/>
  <c r="AI781" i="202"/>
  <c r="AI782" i="202"/>
  <c r="AI783" i="202"/>
  <c r="AI784" i="202"/>
  <c r="AI785" i="202"/>
  <c r="AI786" i="202"/>
  <c r="AI787" i="202"/>
  <c r="AI788" i="202"/>
  <c r="AI789" i="202"/>
  <c r="AI790" i="202"/>
  <c r="AI791" i="202"/>
  <c r="AI792" i="202"/>
  <c r="AI793" i="202"/>
  <c r="AI794" i="202"/>
  <c r="AI795" i="202"/>
  <c r="AI796" i="202"/>
  <c r="AI797" i="202"/>
  <c r="AI798" i="202"/>
  <c r="AI799" i="202"/>
  <c r="AI800" i="202"/>
  <c r="AI801" i="202"/>
  <c r="AI802" i="202"/>
  <c r="AI803" i="202"/>
  <c r="AI804" i="202"/>
  <c r="AI805" i="202"/>
  <c r="AI806" i="202"/>
  <c r="AI807" i="202"/>
  <c r="AI808" i="202"/>
  <c r="AI809" i="202"/>
  <c r="AI810" i="202"/>
  <c r="AI811" i="202"/>
  <c r="AI812" i="202"/>
  <c r="AI813" i="202"/>
  <c r="AI814" i="202"/>
  <c r="AI815" i="202"/>
  <c r="AI816" i="202"/>
  <c r="AI817" i="202"/>
  <c r="AI818" i="202"/>
  <c r="AI819" i="202"/>
  <c r="AI820" i="202"/>
  <c r="AI821" i="202"/>
  <c r="AI822" i="202"/>
  <c r="AI823" i="202"/>
  <c r="AI824" i="202"/>
  <c r="AI825" i="202"/>
  <c r="AI826" i="202"/>
  <c r="AI827" i="202"/>
  <c r="AI828" i="202"/>
  <c r="AI829" i="202"/>
  <c r="AI830" i="202"/>
  <c r="AI831" i="202"/>
  <c r="AI832" i="202"/>
  <c r="AI833" i="202"/>
  <c r="AI834" i="202"/>
  <c r="AI835" i="202"/>
  <c r="AI836" i="202"/>
  <c r="AI837" i="202"/>
  <c r="AI838" i="202"/>
  <c r="AI839" i="202"/>
  <c r="AI840" i="202"/>
  <c r="AI841" i="202"/>
  <c r="AI842" i="202"/>
  <c r="AI843" i="202"/>
  <c r="AI844" i="202"/>
  <c r="AI845" i="202"/>
  <c r="AI846" i="202"/>
  <c r="AI847" i="202"/>
  <c r="AI848" i="202"/>
  <c r="AI849" i="202"/>
  <c r="AI850" i="202"/>
  <c r="AI851" i="202"/>
  <c r="AI852" i="202"/>
  <c r="AI853" i="202"/>
  <c r="AI854" i="202"/>
  <c r="AI855" i="202"/>
  <c r="AI856" i="202"/>
  <c r="AI857" i="202"/>
  <c r="AI858" i="202"/>
  <c r="AI859" i="202"/>
  <c r="AI860" i="202"/>
  <c r="AI861" i="202"/>
  <c r="AI862" i="202"/>
  <c r="AI863" i="202"/>
  <c r="AI864" i="202"/>
  <c r="AI865" i="202"/>
  <c r="AI866" i="202"/>
  <c r="AI867" i="202"/>
  <c r="AI868" i="202"/>
  <c r="AI869" i="202"/>
  <c r="AI870" i="202"/>
  <c r="AI871" i="202"/>
  <c r="AI872" i="202"/>
  <c r="AI873" i="202"/>
  <c r="AI874" i="202"/>
  <c r="AI875" i="202"/>
  <c r="AI876" i="202"/>
  <c r="AI877" i="202"/>
  <c r="AI878" i="202"/>
  <c r="AI879" i="202"/>
  <c r="AI880" i="202"/>
  <c r="AI881" i="202"/>
  <c r="AI882" i="202"/>
  <c r="AI883" i="202"/>
  <c r="AI884" i="202"/>
  <c r="AI885" i="202"/>
  <c r="AI886" i="202"/>
  <c r="AI887" i="202"/>
  <c r="AI888" i="202"/>
  <c r="AI889" i="202"/>
  <c r="AI890" i="202"/>
  <c r="AI891" i="202"/>
  <c r="AI892" i="202"/>
  <c r="AI893" i="202"/>
  <c r="AI894" i="202"/>
  <c r="AI895" i="202"/>
  <c r="AI896" i="202"/>
  <c r="AI897" i="202"/>
  <c r="AI898" i="202"/>
  <c r="AI899" i="202"/>
  <c r="AI900" i="202"/>
  <c r="AI901" i="202"/>
  <c r="AI902" i="202"/>
  <c r="AI903" i="202"/>
  <c r="AI904" i="202"/>
  <c r="AI905" i="202"/>
  <c r="AI906" i="202"/>
  <c r="AI907" i="202"/>
  <c r="AI908" i="202"/>
  <c r="AI909" i="202"/>
  <c r="AI910" i="202"/>
  <c r="AI911" i="202"/>
  <c r="AI912" i="202"/>
  <c r="AI913" i="202"/>
  <c r="AI914" i="202"/>
  <c r="AI915" i="202"/>
  <c r="AI916" i="202"/>
  <c r="AI917" i="202"/>
  <c r="AI918" i="202"/>
  <c r="AI919" i="202"/>
  <c r="AI920" i="202"/>
  <c r="AI921" i="202"/>
  <c r="AI922" i="202"/>
  <c r="AI923" i="202"/>
  <c r="AI924" i="202"/>
  <c r="AI925" i="202"/>
  <c r="AI926" i="202"/>
  <c r="AI927" i="202"/>
  <c r="AI928" i="202"/>
  <c r="AI929" i="202"/>
  <c r="AI930" i="202"/>
  <c r="AI931" i="202"/>
  <c r="AI932" i="202"/>
  <c r="AI933" i="202"/>
  <c r="AI934" i="202"/>
  <c r="AI935" i="202"/>
  <c r="AI936" i="202"/>
  <c r="AI937" i="202"/>
  <c r="AI938" i="202"/>
  <c r="AI939" i="202"/>
  <c r="AI940" i="202"/>
  <c r="AI941" i="202"/>
  <c r="AI942" i="202"/>
  <c r="AI943" i="202"/>
  <c r="AI944" i="202"/>
  <c r="AI945" i="202"/>
  <c r="AI946" i="202"/>
  <c r="AI947" i="202"/>
  <c r="AI948" i="202"/>
  <c r="AI949" i="202"/>
  <c r="AI950" i="202"/>
  <c r="AI951" i="202"/>
  <c r="AI952" i="202"/>
  <c r="AI953" i="202"/>
  <c r="AI954" i="202"/>
  <c r="AI955" i="202"/>
  <c r="AI956" i="202"/>
  <c r="AI957" i="202"/>
  <c r="AI958" i="202"/>
  <c r="AI959" i="202"/>
  <c r="AI960" i="202"/>
  <c r="AI961" i="202"/>
  <c r="AI962" i="202"/>
  <c r="AI963" i="202"/>
  <c r="AI964" i="202"/>
  <c r="AI965" i="202"/>
  <c r="AI966" i="202"/>
  <c r="AI967" i="202"/>
  <c r="AI968" i="202"/>
  <c r="AI969" i="202"/>
  <c r="AI970" i="202"/>
  <c r="AI971" i="202"/>
  <c r="AI972" i="202"/>
  <c r="AI973" i="202"/>
  <c r="AI974" i="202"/>
  <c r="AI975" i="202"/>
  <c r="AI976" i="202"/>
  <c r="AI977" i="202"/>
  <c r="AI978" i="202"/>
  <c r="AI979" i="202"/>
  <c r="AI980" i="202"/>
  <c r="AI981" i="202"/>
  <c r="AI982" i="202"/>
  <c r="AI983" i="202"/>
  <c r="AI984" i="202"/>
  <c r="AI985" i="202"/>
  <c r="AI986" i="202"/>
  <c r="AI987" i="202"/>
  <c r="AI988" i="202"/>
  <c r="AI989" i="202"/>
  <c r="AI990" i="202"/>
  <c r="AI991" i="202"/>
  <c r="AI992" i="202"/>
  <c r="AI993" i="202"/>
  <c r="AI994" i="202"/>
  <c r="AI995" i="202"/>
  <c r="AI996" i="202"/>
  <c r="AI997" i="202"/>
  <c r="AI998" i="202"/>
  <c r="AI999" i="202"/>
  <c r="AI1000" i="202"/>
  <c r="AI1001" i="202"/>
  <c r="AI1002" i="202"/>
  <c r="AI1003" i="202"/>
  <c r="AI1004" i="202"/>
  <c r="AI1005" i="202"/>
  <c r="AI1006" i="202"/>
  <c r="AI1007" i="202"/>
  <c r="AI1008" i="202"/>
  <c r="AI1009" i="202"/>
  <c r="AI1010" i="202"/>
  <c r="AI1011" i="202"/>
  <c r="AI1012" i="202"/>
  <c r="AI1013" i="202"/>
  <c r="AI1014" i="202"/>
  <c r="AI1015" i="202"/>
  <c r="AI1016" i="202"/>
  <c r="AI1017" i="202"/>
  <c r="AI1018" i="202"/>
  <c r="AI1019" i="202"/>
  <c r="AI1020" i="202"/>
  <c r="AI1021" i="202"/>
  <c r="AI1022" i="202"/>
  <c r="AI1023" i="202"/>
  <c r="AI1024" i="202"/>
  <c r="AI1025" i="202"/>
  <c r="AI1026" i="202"/>
  <c r="AI1027" i="202"/>
  <c r="AI1028" i="202"/>
  <c r="AI1029" i="202"/>
  <c r="AI1030" i="202"/>
  <c r="AI1031" i="202"/>
  <c r="AI1032" i="202"/>
  <c r="AI1033" i="202"/>
  <c r="AI1034" i="202"/>
  <c r="AI1035" i="202"/>
  <c r="AI1036" i="202"/>
  <c r="AI1037" i="202"/>
  <c r="AI1038" i="202"/>
  <c r="AI1039" i="202"/>
  <c r="AI1040" i="202"/>
  <c r="AI1041" i="202"/>
  <c r="AI1042" i="202"/>
  <c r="AI1043" i="202"/>
  <c r="AI1044" i="202"/>
  <c r="AI1045" i="202"/>
  <c r="AI1046" i="202"/>
  <c r="AI1047" i="202"/>
  <c r="AI1048" i="202"/>
  <c r="AI1049" i="202"/>
  <c r="AI1050" i="202"/>
  <c r="AI1051" i="202"/>
  <c r="AI1052" i="202"/>
  <c r="AI1053" i="202"/>
  <c r="AI1054" i="202"/>
  <c r="AI1055" i="202"/>
  <c r="AI1056" i="202"/>
  <c r="AI1057" i="202"/>
  <c r="AI1058" i="202"/>
  <c r="AI1059" i="202"/>
  <c r="AI1060" i="202"/>
  <c r="AI1061" i="202"/>
  <c r="AI1062" i="202"/>
  <c r="AI1063" i="202"/>
  <c r="AI1064" i="202"/>
  <c r="AI1065" i="202"/>
  <c r="AI1066" i="202"/>
  <c r="AI1067" i="202"/>
  <c r="AI1068" i="202"/>
  <c r="AI1069" i="202"/>
  <c r="AI1070" i="202"/>
  <c r="AI1071" i="202"/>
  <c r="AI1072" i="202"/>
  <c r="AI1073" i="202"/>
  <c r="AI1074" i="202"/>
  <c r="AI1075" i="202"/>
  <c r="AI1076" i="202"/>
  <c r="AI1077" i="202"/>
  <c r="AI1078" i="202"/>
  <c r="AI1079" i="202"/>
  <c r="AI1080" i="202"/>
  <c r="AI1081" i="202"/>
  <c r="AI1082" i="202"/>
  <c r="AI1083" i="202"/>
  <c r="AI1084" i="202"/>
  <c r="AI1085" i="202"/>
  <c r="AI1086" i="202"/>
  <c r="AI1087" i="202"/>
  <c r="AI1088" i="202"/>
  <c r="AI1089" i="202"/>
  <c r="AI1090" i="202"/>
  <c r="AI1091" i="202"/>
  <c r="AI1092" i="202"/>
  <c r="AI1093" i="202"/>
  <c r="AI1094" i="202"/>
  <c r="AI1095" i="202"/>
  <c r="AI1096" i="202"/>
  <c r="AI1097" i="202"/>
  <c r="AI1098" i="202"/>
  <c r="AI1099" i="202"/>
  <c r="AI1100" i="202"/>
  <c r="AI1101" i="202"/>
  <c r="AI1102" i="202"/>
  <c r="AI1103" i="202"/>
  <c r="AI1104" i="202"/>
  <c r="AI1105" i="202"/>
  <c r="AI1106" i="202"/>
  <c r="AI1107" i="202"/>
  <c r="AI1108" i="202"/>
  <c r="AI1109" i="202"/>
  <c r="AI1110" i="202"/>
  <c r="AI1111" i="202"/>
  <c r="AI1112" i="202"/>
  <c r="AI1113" i="202"/>
  <c r="AI1114" i="202"/>
  <c r="AI1115" i="202"/>
  <c r="AI1116" i="202"/>
  <c r="AI1117" i="202"/>
  <c r="AI1118" i="202"/>
  <c r="AI1119" i="202"/>
  <c r="AI1120" i="202"/>
  <c r="AI1121" i="202"/>
  <c r="AI1122" i="202"/>
  <c r="AI1123" i="202"/>
  <c r="AI1124" i="202"/>
  <c r="AI1125" i="202"/>
  <c r="AI1126" i="202"/>
  <c r="AI1127" i="202"/>
  <c r="AI1128" i="202"/>
  <c r="AI1129" i="202"/>
  <c r="AI1130" i="202"/>
  <c r="AI1131" i="202"/>
  <c r="AI1132" i="202"/>
  <c r="AI1133" i="202"/>
  <c r="AI1134" i="202"/>
  <c r="AI1135" i="202"/>
  <c r="AI1136" i="202"/>
  <c r="AI1137" i="202"/>
  <c r="AI1138" i="202"/>
  <c r="AI1139" i="202"/>
  <c r="AI1140" i="202"/>
  <c r="AI1141" i="202"/>
  <c r="AI1142" i="202"/>
  <c r="AI1143" i="202"/>
  <c r="AI1144" i="202"/>
  <c r="AI1145" i="202"/>
  <c r="AI1146" i="202"/>
  <c r="AI1147" i="202"/>
  <c r="AI1148" i="202"/>
  <c r="AI1149" i="202"/>
  <c r="AI1150" i="202"/>
  <c r="AI1151" i="202"/>
  <c r="AI1152" i="202"/>
  <c r="AI1153" i="202"/>
  <c r="AI1154" i="202"/>
  <c r="AI1155" i="202"/>
  <c r="AI1156" i="202"/>
  <c r="AI1157" i="202"/>
  <c r="AI1158" i="202"/>
  <c r="AI1159" i="202"/>
  <c r="AI1160" i="202"/>
  <c r="AI1161" i="202"/>
  <c r="AI1162" i="202"/>
  <c r="AI1163" i="202"/>
  <c r="AI1164" i="202"/>
  <c r="AI1165" i="202"/>
  <c r="AI1166" i="202"/>
  <c r="AI1167" i="202"/>
  <c r="AI1168" i="202"/>
  <c r="AI1169" i="202"/>
  <c r="AI1170" i="202"/>
  <c r="AI1171" i="202"/>
  <c r="AI1172" i="202"/>
  <c r="AI1173" i="202"/>
  <c r="AI1174" i="202"/>
  <c r="AI1175" i="202"/>
  <c r="AI1176" i="202"/>
  <c r="AI1177" i="202"/>
  <c r="AI1178" i="202"/>
  <c r="AI1179" i="202"/>
  <c r="AI1180" i="202"/>
  <c r="AI1181" i="202"/>
  <c r="AI1182" i="202"/>
  <c r="AI1183" i="202"/>
  <c r="AI1184" i="202"/>
  <c r="AI1185" i="202"/>
  <c r="AI1186" i="202"/>
  <c r="AI1187" i="202"/>
  <c r="AI1188" i="202"/>
  <c r="AI1189" i="202"/>
  <c r="AI1190" i="202"/>
  <c r="AI1191" i="202"/>
  <c r="AI1192" i="202"/>
  <c r="AI1193" i="202"/>
  <c r="AI1194" i="202"/>
  <c r="AI1195" i="202"/>
  <c r="AI1196" i="202"/>
  <c r="AI1197" i="202"/>
  <c r="AI1198" i="202"/>
  <c r="AI1199" i="202"/>
  <c r="AI1200" i="202"/>
  <c r="AI1201" i="202"/>
  <c r="AI1202" i="202"/>
  <c r="AI1203" i="202"/>
  <c r="AI1204" i="202"/>
  <c r="AI1205" i="202"/>
  <c r="AI1206" i="202"/>
  <c r="AI1207" i="202"/>
  <c r="AI1208" i="202"/>
  <c r="AI1209" i="202"/>
  <c r="AI1210" i="202"/>
  <c r="AI1211" i="202"/>
  <c r="AI1212" i="202"/>
  <c r="AI1213" i="202"/>
  <c r="AI1214" i="202"/>
  <c r="AI1215" i="202"/>
  <c r="AI1216" i="202"/>
  <c r="AI1217" i="202"/>
  <c r="AI1218" i="202"/>
  <c r="AI1219" i="202"/>
  <c r="AI1220" i="202"/>
  <c r="AI1221" i="202"/>
  <c r="AI1222" i="202"/>
  <c r="AI1223" i="202"/>
  <c r="AI1224" i="202"/>
  <c r="AI1225" i="202"/>
  <c r="AI1226" i="202"/>
  <c r="AI1227" i="202"/>
  <c r="AI1228" i="202"/>
  <c r="AI1229" i="202"/>
  <c r="AI1230" i="202"/>
  <c r="AI1231" i="202"/>
  <c r="AI1232" i="202"/>
  <c r="AI1233" i="202"/>
  <c r="AI1234" i="202"/>
  <c r="AI1235" i="202"/>
  <c r="AI1236" i="202"/>
  <c r="AI1237" i="202"/>
  <c r="AI1238" i="202"/>
  <c r="AI1239" i="202"/>
  <c r="AI1240" i="202"/>
  <c r="AI1241" i="202"/>
  <c r="AI1242" i="202"/>
  <c r="AI1243" i="202"/>
  <c r="AI1244" i="202"/>
  <c r="AI1245" i="202"/>
  <c r="AI1246" i="202"/>
  <c r="AI1247" i="202"/>
  <c r="AI1248" i="202"/>
  <c r="AI1249" i="202"/>
  <c r="AI1250" i="202"/>
  <c r="AI1251" i="202"/>
  <c r="AI1252" i="202"/>
  <c r="AI1253" i="202"/>
  <c r="AI1254" i="202"/>
  <c r="AI1255" i="202"/>
  <c r="AI1256" i="202"/>
  <c r="AI1257" i="202"/>
  <c r="AI1258" i="202"/>
  <c r="AI1259" i="202"/>
  <c r="AI1260" i="202"/>
  <c r="AI1261" i="202"/>
  <c r="AI1262" i="202"/>
  <c r="AI1263" i="202"/>
  <c r="AI1264" i="202"/>
  <c r="AI1265" i="202"/>
  <c r="AI1266" i="202"/>
  <c r="AI1267" i="202"/>
  <c r="AI1268" i="202"/>
  <c r="AI1269" i="202"/>
  <c r="AI1270" i="202"/>
  <c r="AI1271" i="202"/>
  <c r="AI1272" i="202"/>
  <c r="AI1273" i="202"/>
  <c r="AI1274" i="202"/>
  <c r="AI1275" i="202"/>
  <c r="AI1276" i="202"/>
  <c r="AI1277" i="202"/>
  <c r="AI1278" i="202"/>
  <c r="AI1279" i="202"/>
  <c r="AI1280" i="202"/>
  <c r="AI1281" i="202"/>
  <c r="AI1282" i="202"/>
  <c r="AI1283" i="202"/>
  <c r="AI1284" i="202"/>
  <c r="AI1285" i="202"/>
  <c r="AI1286" i="202"/>
  <c r="AI1287" i="202"/>
  <c r="AI1288" i="202"/>
  <c r="AI1289" i="202"/>
  <c r="AI1290" i="202"/>
  <c r="AI1291" i="202"/>
  <c r="AI1292" i="202"/>
  <c r="AI1293" i="202"/>
  <c r="AI1294" i="202"/>
  <c r="AI1295" i="202"/>
  <c r="AI1296" i="202"/>
  <c r="AI1297" i="202"/>
  <c r="AI1298" i="202"/>
  <c r="AI1299" i="202"/>
  <c r="AI1300" i="202"/>
  <c r="AI1301" i="202"/>
  <c r="AI1302" i="202"/>
  <c r="AI1303" i="202"/>
  <c r="AI1304" i="202"/>
  <c r="AI1305" i="202"/>
  <c r="AI1306" i="202"/>
  <c r="AI1307" i="202"/>
  <c r="AI1308" i="202"/>
  <c r="AI1309" i="202"/>
  <c r="AI1310" i="202"/>
  <c r="AI1311" i="202"/>
  <c r="AI1312" i="202"/>
  <c r="AI1313" i="202"/>
  <c r="AI1314" i="202"/>
  <c r="AI1315" i="202"/>
  <c r="AI1316" i="202"/>
  <c r="AI1317" i="202"/>
  <c r="AI1318" i="202"/>
  <c r="AI1319" i="202"/>
  <c r="AI1320" i="202"/>
  <c r="AI1321" i="202"/>
  <c r="AI1322" i="202"/>
  <c r="AI1323" i="202"/>
  <c r="AI1324" i="202"/>
  <c r="AI1325" i="202"/>
  <c r="AI1326" i="202"/>
  <c r="AI1327" i="202"/>
  <c r="AI1328" i="202"/>
  <c r="AI1329" i="202"/>
  <c r="AI1330" i="202"/>
  <c r="AI1331" i="202"/>
  <c r="AI1332" i="202"/>
  <c r="AI1333" i="202"/>
  <c r="AI1334" i="202"/>
  <c r="AI1335" i="202"/>
  <c r="AI1336" i="202"/>
  <c r="AI1337" i="202"/>
  <c r="AI1338" i="202"/>
  <c r="AI1339" i="202"/>
  <c r="AI1340" i="202"/>
  <c r="AI1341" i="202"/>
  <c r="AI1342" i="202"/>
  <c r="AI1343" i="202"/>
  <c r="AI1344" i="202"/>
  <c r="AI1345" i="202"/>
  <c r="AI1346" i="202"/>
  <c r="AI1347" i="202"/>
  <c r="AI1348" i="202"/>
  <c r="AI1349" i="202"/>
  <c r="AI1350" i="202"/>
  <c r="AI1351" i="202"/>
  <c r="AI1352" i="202"/>
  <c r="AI1353" i="202"/>
  <c r="AI1354" i="202"/>
  <c r="AI1355" i="202"/>
  <c r="AI1356" i="202"/>
  <c r="AI1357" i="202"/>
  <c r="AI1358" i="202"/>
  <c r="AI1359" i="202"/>
  <c r="AI1360" i="202"/>
  <c r="AI1361" i="202"/>
  <c r="AI1362" i="202"/>
  <c r="AI1363" i="202"/>
  <c r="AI1364" i="202"/>
  <c r="AI1365" i="202"/>
  <c r="AI1366" i="202"/>
  <c r="AI1367" i="202"/>
  <c r="AI1368" i="202"/>
  <c r="AI1369" i="202"/>
  <c r="AI1370" i="202"/>
  <c r="AI1371" i="202"/>
  <c r="AI1372" i="202"/>
  <c r="AI1373" i="202"/>
  <c r="AI1374" i="202"/>
  <c r="AI1375" i="202"/>
  <c r="AI1376" i="202"/>
  <c r="AI1377" i="202"/>
  <c r="AI1378" i="202"/>
  <c r="AI1379" i="202"/>
  <c r="AI1380" i="202"/>
  <c r="AI1381" i="202"/>
  <c r="AI1382" i="202"/>
  <c r="AI1383" i="202"/>
  <c r="AI1384" i="202"/>
  <c r="AI1385" i="202"/>
  <c r="AI1386" i="202"/>
  <c r="AI1387" i="202"/>
  <c r="AI1388" i="202"/>
  <c r="AI1389" i="202"/>
  <c r="AI1390" i="202"/>
  <c r="AI1391" i="202"/>
  <c r="AI1392" i="202"/>
  <c r="AI1393" i="202"/>
  <c r="AI1394" i="202"/>
  <c r="AI1395" i="202"/>
  <c r="AI1396" i="202"/>
  <c r="AI1397" i="202"/>
  <c r="AI1398" i="202"/>
  <c r="AI1399" i="202"/>
  <c r="AI1400" i="202"/>
  <c r="AI1401" i="202"/>
  <c r="AI1402" i="202"/>
  <c r="AI1403" i="202"/>
  <c r="AI1404" i="202"/>
  <c r="AI1405" i="202"/>
  <c r="AI1406" i="202"/>
  <c r="AI1407" i="202"/>
  <c r="AI1408" i="202"/>
  <c r="AI1409" i="202"/>
  <c r="AI1410" i="202"/>
  <c r="AI1411" i="202"/>
  <c r="AI1412" i="202"/>
  <c r="AI1413" i="202"/>
  <c r="AI1414" i="202"/>
  <c r="AI1415" i="202"/>
  <c r="AI1416" i="202"/>
  <c r="AI1417" i="202"/>
  <c r="AI1418" i="202"/>
  <c r="AI1419" i="202"/>
  <c r="AI1420" i="202"/>
  <c r="AI1421" i="202"/>
  <c r="AI1422" i="202"/>
  <c r="AI1423" i="202"/>
  <c r="AI1424" i="202"/>
  <c r="AI1425" i="202"/>
  <c r="AI1426" i="202"/>
  <c r="AI1427" i="202"/>
  <c r="AI1428" i="202"/>
  <c r="AI1429" i="202"/>
  <c r="AI1430" i="202"/>
  <c r="AI1431" i="202"/>
  <c r="AI1432" i="202"/>
  <c r="AI1433" i="202"/>
  <c r="AI1434" i="202"/>
  <c r="AI1435" i="202"/>
  <c r="AI1436" i="202"/>
  <c r="AI1437" i="202"/>
  <c r="AI1438" i="202"/>
  <c r="AI1439" i="202"/>
  <c r="AI1440" i="202"/>
  <c r="AI1441" i="202"/>
  <c r="AI1442" i="202"/>
  <c r="AI1443" i="202"/>
  <c r="AI1444" i="202"/>
  <c r="AI1445" i="202"/>
  <c r="AI1446" i="202"/>
  <c r="AI1447" i="202"/>
  <c r="AI1448" i="202"/>
  <c r="AI1449" i="202"/>
  <c r="AI1450" i="202"/>
  <c r="AI1451" i="202"/>
  <c r="AI1452" i="202"/>
  <c r="AI1453" i="202"/>
  <c r="AI1454" i="202"/>
  <c r="AI1455" i="202"/>
  <c r="AI1456" i="202"/>
  <c r="AI1457" i="202"/>
  <c r="AI1458" i="202"/>
  <c r="AI1459" i="202"/>
  <c r="AI1460" i="202"/>
  <c r="AI1461" i="202"/>
  <c r="AI1462" i="202"/>
  <c r="AI1463" i="202"/>
  <c r="AI1464" i="202"/>
  <c r="AI1465" i="202"/>
  <c r="AI1466" i="202"/>
  <c r="AI1467" i="202"/>
  <c r="AI1468" i="202"/>
  <c r="AI1469" i="202"/>
  <c r="AI1470" i="202"/>
  <c r="AI1471" i="202"/>
  <c r="AI1472" i="202"/>
  <c r="AI1473" i="202"/>
  <c r="AI1474" i="202"/>
  <c r="AI1475" i="202"/>
  <c r="AI1476" i="202"/>
  <c r="AI1477" i="202"/>
  <c r="AI1478" i="202"/>
  <c r="AI1479" i="202"/>
  <c r="AI1480" i="202"/>
  <c r="AI1481" i="202"/>
  <c r="AI1482" i="202"/>
  <c r="AI1483" i="202"/>
  <c r="AI1484" i="202"/>
  <c r="AI1485" i="202"/>
  <c r="AI1486" i="202"/>
  <c r="AI1487" i="202"/>
  <c r="AI1488" i="202"/>
  <c r="AI1489" i="202"/>
  <c r="AI1490" i="202"/>
  <c r="AI1491" i="202"/>
  <c r="AI1492" i="202"/>
  <c r="AI1493" i="202"/>
  <c r="AI1494" i="202"/>
  <c r="AI1495" i="202"/>
  <c r="AI1496" i="202"/>
  <c r="AI1497" i="202"/>
  <c r="AI1498" i="202"/>
  <c r="AI1499" i="202"/>
  <c r="AI1500" i="202"/>
  <c r="AI1501" i="202"/>
  <c r="AI1502" i="202"/>
  <c r="AI1503" i="202"/>
  <c r="AI1504" i="202"/>
  <c r="AI1505" i="202"/>
  <c r="AI1506" i="202"/>
  <c r="AI1507" i="202"/>
  <c r="AI1508" i="202"/>
  <c r="AI1509" i="202"/>
  <c r="AI1510" i="202"/>
  <c r="AI1511" i="202"/>
  <c r="AI1512" i="202"/>
  <c r="AI1513" i="202"/>
  <c r="AI1514" i="202"/>
  <c r="AI1515" i="202"/>
  <c r="AI1516" i="202"/>
  <c r="AI1517" i="202"/>
  <c r="AI1518" i="202"/>
  <c r="AI1519" i="202"/>
  <c r="AI1520" i="202"/>
  <c r="AI1521" i="202"/>
  <c r="AI1522" i="202"/>
  <c r="AI1523" i="202"/>
  <c r="AI1524" i="202"/>
  <c r="AI1525" i="202"/>
  <c r="AI1526" i="202"/>
  <c r="AI1527" i="202"/>
  <c r="AI1528" i="202"/>
  <c r="AI1529" i="202"/>
  <c r="AI1530" i="202"/>
  <c r="AI1531" i="202"/>
  <c r="AI1532" i="202"/>
  <c r="AI1533" i="202"/>
  <c r="AI1534" i="202"/>
  <c r="AI1535" i="202"/>
  <c r="AI1536" i="202"/>
  <c r="AI1537" i="202"/>
  <c r="AI1538" i="202"/>
  <c r="AI1539" i="202"/>
  <c r="AI1540" i="202"/>
  <c r="AI1541" i="202"/>
  <c r="AI1542" i="202"/>
  <c r="AI1543" i="202"/>
  <c r="AI1544" i="202"/>
  <c r="AI1545" i="202"/>
  <c r="AI1546" i="202"/>
  <c r="AI1547" i="202"/>
  <c r="AI1548" i="202"/>
  <c r="AI1549" i="202"/>
  <c r="AI1550" i="202"/>
  <c r="AI1551" i="202"/>
  <c r="AI1552" i="202"/>
  <c r="AI1553" i="202"/>
  <c r="AI1554" i="202"/>
  <c r="AI1555" i="202"/>
  <c r="AI1556" i="202"/>
  <c r="AI1557" i="202"/>
  <c r="AI1558" i="202"/>
  <c r="AI1559" i="202"/>
  <c r="AI1560" i="202"/>
  <c r="AI1561" i="202"/>
  <c r="AI1562" i="202"/>
  <c r="AI1563" i="202"/>
  <c r="AI1564" i="202"/>
  <c r="AI1565" i="202"/>
  <c r="AI1566" i="202"/>
  <c r="AI1567" i="202"/>
  <c r="AI1568" i="202"/>
  <c r="AI1569" i="202"/>
  <c r="AI1570" i="202"/>
  <c r="AI1571" i="202"/>
  <c r="AI1572" i="202"/>
  <c r="AI1573" i="202"/>
  <c r="AI1574" i="202"/>
  <c r="AI1575" i="202"/>
  <c r="AI1576" i="202"/>
  <c r="AI1577" i="202"/>
  <c r="AI1578" i="202"/>
  <c r="AI1579" i="202"/>
  <c r="AI1580" i="202"/>
  <c r="AI1581" i="202"/>
  <c r="AI1582" i="202"/>
  <c r="AI1583" i="202"/>
  <c r="AI1584" i="202"/>
  <c r="AI1585" i="202"/>
  <c r="AI1586" i="202"/>
  <c r="AI1587" i="202"/>
  <c r="AI1588" i="202"/>
  <c r="AI1589" i="202"/>
  <c r="AI1590" i="202"/>
  <c r="AI1591" i="202"/>
  <c r="AI1592" i="202"/>
  <c r="AI1593" i="202"/>
  <c r="AI1594" i="202"/>
  <c r="AI1595" i="202"/>
  <c r="AI1596" i="202"/>
  <c r="AI1597" i="202"/>
  <c r="AI1598" i="202"/>
  <c r="AI1599" i="202"/>
  <c r="AI1600" i="202"/>
  <c r="AI1601" i="202"/>
  <c r="AI1602" i="202"/>
  <c r="AI1603" i="202"/>
  <c r="AI1604" i="202"/>
  <c r="AI1605" i="202"/>
  <c r="AI1606" i="202"/>
  <c r="AI1607" i="202"/>
  <c r="AI1608" i="202"/>
  <c r="AI1609" i="202"/>
  <c r="AI1610" i="202"/>
  <c r="AI1611" i="202"/>
  <c r="AI1612" i="202"/>
  <c r="AI1613" i="202"/>
  <c r="AI1614" i="202"/>
  <c r="AI1615" i="202"/>
  <c r="AI1616" i="202"/>
  <c r="AI1617" i="202"/>
  <c r="AI1618" i="202"/>
  <c r="AI1619" i="202"/>
  <c r="AI1620" i="202"/>
  <c r="AI1621" i="202"/>
  <c r="AI1622" i="202"/>
  <c r="AI1623" i="202"/>
  <c r="AI1624" i="202"/>
  <c r="AI1625" i="202"/>
  <c r="AI1626" i="202"/>
  <c r="AI1627" i="202"/>
  <c r="AI1628" i="202"/>
  <c r="AI1629" i="202"/>
  <c r="AI1630" i="202"/>
  <c r="AI1631" i="202"/>
  <c r="AI1632" i="202"/>
  <c r="AI1633" i="202"/>
  <c r="AI1634" i="202"/>
  <c r="AI1635" i="202"/>
  <c r="AI1636" i="202"/>
  <c r="AI1637" i="202"/>
  <c r="AI1638" i="202"/>
  <c r="AI1639" i="202"/>
  <c r="AI1640" i="202"/>
  <c r="AI1641" i="202"/>
  <c r="AI1642" i="202"/>
  <c r="AI1643" i="202"/>
  <c r="AI1644" i="202"/>
  <c r="AI1645" i="202"/>
  <c r="AI1646" i="202"/>
  <c r="AI1647" i="202"/>
  <c r="AI1648" i="202"/>
  <c r="AI1649" i="202"/>
  <c r="AI1650" i="202"/>
  <c r="AI1651" i="202"/>
  <c r="AI1652" i="202"/>
  <c r="AI1653" i="202"/>
  <c r="AI1654" i="202"/>
  <c r="AI1655" i="202"/>
  <c r="AI1656" i="202"/>
  <c r="AI1657" i="202"/>
  <c r="AI1658" i="202"/>
  <c r="AI1659" i="202"/>
  <c r="AI1660" i="202"/>
  <c r="AI1661" i="202"/>
  <c r="AI1662" i="202"/>
  <c r="AI1663" i="202"/>
  <c r="AI1664" i="202"/>
  <c r="AI1665" i="202"/>
  <c r="AI1666" i="202"/>
  <c r="AI1667" i="202"/>
  <c r="AI1668" i="202"/>
  <c r="AI1669" i="202"/>
  <c r="AI1670" i="202"/>
  <c r="AI1671" i="202"/>
  <c r="AI1672" i="202"/>
  <c r="AI1673" i="202"/>
  <c r="AI1674" i="202"/>
  <c r="AI1675" i="202"/>
  <c r="AI1676" i="202"/>
  <c r="AI1677" i="202"/>
  <c r="AI1678" i="202"/>
  <c r="AI1679" i="202"/>
  <c r="AI1680" i="202"/>
  <c r="AI1681" i="202"/>
  <c r="AI1682" i="202"/>
  <c r="AI1683" i="202"/>
  <c r="AI1684" i="202"/>
  <c r="AI1685" i="202"/>
  <c r="AI1686" i="202"/>
  <c r="AI1687" i="202"/>
  <c r="AI1688" i="202"/>
  <c r="AI1689" i="202"/>
  <c r="AI1690" i="202"/>
  <c r="AI1691" i="202"/>
  <c r="AI1692" i="202"/>
  <c r="AI1693" i="202"/>
  <c r="AI1694" i="202"/>
  <c r="AI1695" i="202"/>
  <c r="AI1696" i="202"/>
  <c r="AI1697" i="202"/>
  <c r="AI1698" i="202"/>
  <c r="AI1699" i="202"/>
  <c r="AI1700" i="202"/>
  <c r="AI1701" i="202"/>
  <c r="AI1702" i="202"/>
  <c r="AI1703" i="202"/>
  <c r="AI1704" i="202"/>
  <c r="AI1705" i="202"/>
  <c r="AI1706" i="202"/>
  <c r="AI1707" i="202"/>
  <c r="AI1708" i="202"/>
  <c r="AI1709" i="202"/>
  <c r="AI1710" i="202"/>
  <c r="AI1711" i="202"/>
  <c r="AI1712" i="202"/>
  <c r="AI1713" i="202"/>
  <c r="AI1714" i="202"/>
  <c r="AI1715" i="202"/>
  <c r="AI1716" i="202"/>
  <c r="AI1717" i="202"/>
  <c r="AI1718" i="202"/>
  <c r="AI1719" i="202"/>
  <c r="AI1720" i="202"/>
  <c r="AI1721" i="202"/>
  <c r="AI1722" i="202"/>
  <c r="AI1723" i="202"/>
  <c r="AI1724" i="202"/>
  <c r="AI1725" i="202"/>
  <c r="AI1726" i="202"/>
  <c r="AI1727" i="202"/>
  <c r="AI1728" i="202"/>
  <c r="AI1729" i="202"/>
  <c r="AI1730" i="202"/>
  <c r="AI1731" i="202"/>
  <c r="AI1732" i="202"/>
  <c r="AI1733" i="202"/>
  <c r="AI1734" i="202"/>
  <c r="AI1735" i="202"/>
  <c r="AI1736" i="202"/>
  <c r="AI1737" i="202"/>
  <c r="AI1738" i="202"/>
  <c r="AI1739" i="202"/>
  <c r="AI1740" i="202"/>
  <c r="AI1741" i="202"/>
  <c r="AI1742" i="202"/>
  <c r="AI1743" i="202"/>
  <c r="AI1744" i="202"/>
  <c r="AI1745" i="202"/>
  <c r="AI1746" i="202"/>
  <c r="AI1747" i="202"/>
  <c r="AI1748" i="202"/>
  <c r="AI1749" i="202"/>
  <c r="AI1750" i="202"/>
  <c r="AI1751" i="202"/>
  <c r="AI1752" i="202"/>
  <c r="AI1753" i="202"/>
  <c r="AI1754" i="202"/>
  <c r="AI1755" i="202"/>
  <c r="AI1756" i="202"/>
  <c r="AI1757" i="202"/>
  <c r="AI1758" i="202"/>
  <c r="AI1759" i="202"/>
  <c r="AI1760" i="202"/>
  <c r="AI1761" i="202"/>
  <c r="AI1762" i="202"/>
  <c r="AI1763" i="202"/>
  <c r="AI1764" i="202"/>
  <c r="AI1765" i="202"/>
  <c r="AI1766" i="202"/>
  <c r="AI1767" i="202"/>
  <c r="AI1768" i="202"/>
  <c r="AI1769" i="202"/>
  <c r="AI1770" i="202"/>
  <c r="AI1771" i="202"/>
  <c r="AI1772" i="202"/>
  <c r="AI1773" i="202"/>
  <c r="AI1774" i="202"/>
  <c r="AI1775" i="202"/>
  <c r="AI1776" i="202"/>
  <c r="AI1777" i="202"/>
  <c r="AI1778" i="202"/>
  <c r="AI1779" i="202"/>
  <c r="AI1780" i="202"/>
  <c r="AI1781" i="202"/>
  <c r="AI1782" i="202"/>
  <c r="AI1783" i="202"/>
  <c r="AI1784" i="202"/>
  <c r="AI1785" i="202"/>
  <c r="AI1786" i="202"/>
  <c r="AI1787" i="202"/>
  <c r="AI1788" i="202"/>
  <c r="AI1789" i="202"/>
  <c r="AI1790" i="202"/>
  <c r="AI1791" i="202"/>
  <c r="AI1792" i="202"/>
  <c r="AI1793" i="202"/>
  <c r="AI1794" i="202"/>
  <c r="AI1795" i="202"/>
  <c r="AI1796" i="202"/>
  <c r="AI1797" i="202"/>
  <c r="AI1798" i="202"/>
  <c r="AI1799" i="202"/>
  <c r="AI1800" i="202"/>
  <c r="AI1801" i="202"/>
  <c r="AI1802" i="202"/>
  <c r="AI1803" i="202"/>
  <c r="AI1804" i="202"/>
  <c r="AI1805" i="202"/>
  <c r="AI1806" i="202"/>
  <c r="AI1807" i="202"/>
  <c r="AI1808" i="202"/>
  <c r="AI1809" i="202"/>
  <c r="AI1810" i="202"/>
  <c r="AI1811" i="202"/>
  <c r="AI1812" i="202"/>
  <c r="AI1813" i="202"/>
  <c r="AI1814" i="202"/>
  <c r="AI1815" i="202"/>
  <c r="AI1816" i="202"/>
  <c r="AI1817" i="202"/>
  <c r="AI1818" i="202"/>
  <c r="AI1819" i="202"/>
  <c r="AI1820" i="202"/>
  <c r="AI1821" i="202"/>
  <c r="AI1822" i="202"/>
  <c r="AI1823" i="202"/>
  <c r="AI1824" i="202"/>
  <c r="AI1825" i="202"/>
  <c r="AI1826" i="202"/>
  <c r="AI1827" i="202"/>
  <c r="AI1828" i="202"/>
  <c r="AI1829" i="202"/>
  <c r="AI1830" i="202"/>
  <c r="AI1831" i="202"/>
  <c r="AI1832" i="202"/>
  <c r="AI1833" i="202"/>
  <c r="AI1834" i="202"/>
  <c r="AI1835" i="202"/>
  <c r="AI1836" i="202"/>
  <c r="AI1837" i="202"/>
  <c r="AI1838" i="202"/>
  <c r="AI1839" i="202"/>
  <c r="AI1840" i="202"/>
  <c r="AI1841" i="202"/>
  <c r="AI1842" i="202"/>
  <c r="AI1843" i="202"/>
  <c r="AI1844" i="202"/>
  <c r="AI1845" i="202"/>
  <c r="AI1846" i="202"/>
  <c r="AI1847" i="202"/>
  <c r="AI1848" i="202"/>
  <c r="AI1849" i="202"/>
  <c r="AI1850" i="202"/>
  <c r="AI1851" i="202"/>
  <c r="AI1852" i="202"/>
  <c r="AI1853" i="202"/>
  <c r="AI1854" i="202"/>
  <c r="AI1855" i="202"/>
  <c r="AI1856" i="202"/>
  <c r="AI1857" i="202"/>
  <c r="AI1858" i="202"/>
  <c r="AI1859" i="202"/>
  <c r="AI1860" i="202"/>
  <c r="AI1861" i="202"/>
  <c r="AI1862" i="202"/>
  <c r="AI1863" i="202"/>
  <c r="AI1864" i="202"/>
  <c r="AI1865" i="202"/>
  <c r="AI1866" i="202"/>
  <c r="AI1867" i="202"/>
  <c r="AI1868" i="202"/>
  <c r="AI1869" i="202"/>
  <c r="AI1870" i="202"/>
  <c r="AI1871" i="202"/>
  <c r="AI1872" i="202"/>
  <c r="AI1873" i="202"/>
  <c r="AI1874" i="202"/>
  <c r="AI1875" i="202"/>
  <c r="AI1876" i="202"/>
  <c r="AI1877" i="202"/>
  <c r="AI1878" i="202"/>
  <c r="AI1879" i="202"/>
  <c r="AI1880" i="202"/>
  <c r="AI1881" i="202"/>
  <c r="AI1882" i="202"/>
  <c r="AI1883" i="202"/>
  <c r="AI1884" i="202"/>
  <c r="AI1885" i="202"/>
  <c r="AI1886" i="202"/>
  <c r="AI1887" i="202"/>
  <c r="AI1888" i="202"/>
  <c r="AI1889" i="202"/>
  <c r="AI1890" i="202"/>
  <c r="AI1891" i="202"/>
  <c r="AI1892" i="202"/>
  <c r="AI1893" i="202"/>
  <c r="AI1894" i="202"/>
  <c r="AI1895" i="202"/>
  <c r="AI1896" i="202"/>
  <c r="AI1897" i="202"/>
  <c r="AI1898" i="202"/>
  <c r="AI1899" i="202"/>
  <c r="AI1900" i="202"/>
  <c r="AI1901" i="202"/>
  <c r="AI1902" i="202"/>
  <c r="AI1903" i="202"/>
  <c r="AI1904" i="202"/>
  <c r="AI1905" i="202"/>
  <c r="AI1906" i="202"/>
  <c r="AI1907" i="202"/>
  <c r="AI1908" i="202"/>
  <c r="AI1909" i="202"/>
  <c r="AI1910" i="202"/>
  <c r="AI1911" i="202"/>
  <c r="AI1912" i="202"/>
  <c r="AI1913" i="202"/>
  <c r="AI1914" i="202"/>
  <c r="AI1915" i="202"/>
  <c r="AI1916" i="202"/>
  <c r="AI1917" i="202"/>
  <c r="AI1918" i="202"/>
  <c r="AI1919" i="202"/>
  <c r="AI1920" i="202"/>
  <c r="AI1921" i="202"/>
  <c r="AI1922" i="202"/>
  <c r="AI1923" i="202"/>
  <c r="AI1924" i="202"/>
  <c r="AI1925" i="202"/>
  <c r="AI1926" i="202"/>
  <c r="AI1927" i="202"/>
  <c r="AI1928" i="202"/>
  <c r="AI1929" i="202"/>
  <c r="AI1930" i="202"/>
  <c r="AI1931" i="202"/>
  <c r="AI1932" i="202"/>
  <c r="AI1933" i="202"/>
  <c r="AI1934" i="202"/>
  <c r="AI1935" i="202"/>
  <c r="AI1936" i="202"/>
  <c r="AI1937" i="202"/>
  <c r="AI1938" i="202"/>
  <c r="AI1939" i="202"/>
  <c r="AI1940" i="202"/>
  <c r="AI1941" i="202"/>
  <c r="AI1942" i="202"/>
  <c r="AI1943" i="202"/>
  <c r="AI1944" i="202"/>
  <c r="AI1945" i="202"/>
  <c r="AI1946" i="202"/>
  <c r="AI1947" i="202"/>
  <c r="AI1948" i="202"/>
  <c r="AI1949" i="202"/>
  <c r="AI1950" i="202"/>
  <c r="AI1951" i="202"/>
  <c r="AI1952" i="202"/>
  <c r="AI1953" i="202"/>
  <c r="AI1954" i="202"/>
  <c r="AI1955" i="202"/>
  <c r="AI1956" i="202"/>
  <c r="AI1957" i="202"/>
  <c r="AI1958" i="202"/>
  <c r="AI1959" i="202"/>
  <c r="AI1960" i="202"/>
  <c r="AI1961" i="202"/>
  <c r="AI1962" i="202"/>
  <c r="AI1963" i="202"/>
  <c r="AI1964" i="202"/>
  <c r="AI1965" i="202"/>
  <c r="AI1966" i="202"/>
  <c r="AI1967" i="202"/>
  <c r="AI1968" i="202"/>
  <c r="AI1969" i="202"/>
  <c r="AI1970" i="202"/>
  <c r="AI1971" i="202"/>
  <c r="AI1972" i="202"/>
  <c r="AI1973" i="202"/>
  <c r="AI1974" i="202"/>
  <c r="AI1975" i="202"/>
  <c r="AI1976" i="202"/>
  <c r="AI1977" i="202"/>
  <c r="AI1978" i="202"/>
  <c r="AI1979" i="202"/>
  <c r="AI1980" i="202"/>
  <c r="AI1981" i="202"/>
  <c r="AI1982" i="202"/>
  <c r="AI1983" i="202"/>
  <c r="AI1984" i="202"/>
  <c r="AI1985" i="202"/>
  <c r="AI1986" i="202"/>
  <c r="AI1987" i="202"/>
  <c r="AI1988" i="202"/>
  <c r="AI1989" i="202"/>
  <c r="AI1990" i="202"/>
  <c r="AI1991" i="202"/>
  <c r="AI1992" i="202"/>
  <c r="AI1993" i="202"/>
  <c r="AI1994" i="202"/>
  <c r="AI1995" i="202"/>
  <c r="AI1996" i="202"/>
  <c r="AI1997" i="202"/>
  <c r="AI1998" i="202"/>
  <c r="AI1999" i="202"/>
  <c r="AI2000" i="202"/>
  <c r="AI2001" i="202"/>
  <c r="AI2002" i="202"/>
  <c r="AI2003" i="202"/>
  <c r="AI2004" i="202"/>
  <c r="AI2005" i="202"/>
  <c r="AI2006" i="202"/>
  <c r="AI2007" i="202"/>
  <c r="AI2008" i="202"/>
  <c r="AI2009" i="202"/>
  <c r="AI2010" i="202"/>
  <c r="AI2011" i="202"/>
  <c r="AI2012" i="202"/>
  <c r="AI2013" i="202"/>
  <c r="AI2014" i="202"/>
  <c r="AI2015" i="202"/>
  <c r="AI2016" i="202"/>
  <c r="AI2017" i="202"/>
  <c r="AI2018" i="202"/>
  <c r="AI2019" i="202"/>
  <c r="AI2020" i="202"/>
  <c r="AI2021" i="202"/>
  <c r="AI2022" i="202"/>
  <c r="AI2023" i="202"/>
  <c r="AI2024" i="202"/>
  <c r="AI2025" i="202"/>
  <c r="AI2026" i="202"/>
  <c r="AI2027" i="202"/>
  <c r="AI2028" i="202"/>
  <c r="AI2029" i="202"/>
  <c r="AI2030" i="202"/>
  <c r="AI2031" i="202"/>
  <c r="AI2032" i="202"/>
  <c r="AI2033" i="202"/>
  <c r="AI2034" i="202"/>
  <c r="AI2035" i="202"/>
  <c r="AI2036" i="202"/>
  <c r="AI2037" i="202"/>
  <c r="AI2038" i="202"/>
  <c r="AI2039" i="202"/>
  <c r="AI2040" i="202"/>
  <c r="AI2041" i="202"/>
  <c r="AI2042" i="202"/>
  <c r="AI2043" i="202"/>
  <c r="AI2044" i="202"/>
  <c r="AI2045" i="202"/>
  <c r="AI2046" i="202"/>
  <c r="AI2047" i="202"/>
  <c r="AI2048" i="202"/>
  <c r="U2" i="202"/>
  <c r="U3" i="202"/>
  <c r="U4" i="202"/>
  <c r="U5" i="202"/>
  <c r="U6" i="202"/>
  <c r="U7" i="202"/>
  <c r="U8" i="202"/>
  <c r="U9" i="202"/>
  <c r="U10" i="202"/>
  <c r="U11" i="202"/>
  <c r="U12" i="202"/>
  <c r="U13" i="202"/>
  <c r="U14" i="202"/>
  <c r="U15" i="202"/>
  <c r="U16" i="202"/>
  <c r="U17" i="202"/>
  <c r="U18" i="202"/>
  <c r="U19" i="202"/>
  <c r="U20" i="202"/>
  <c r="U21" i="202"/>
  <c r="U22" i="202"/>
  <c r="U23" i="202"/>
  <c r="U24" i="202"/>
  <c r="U25" i="202"/>
  <c r="U26" i="202"/>
  <c r="U27" i="202"/>
  <c r="U28" i="202"/>
  <c r="U29" i="202"/>
  <c r="U30" i="202"/>
  <c r="U31" i="202"/>
  <c r="U32" i="202"/>
  <c r="U33" i="202"/>
  <c r="U34" i="202"/>
  <c r="U35" i="202"/>
  <c r="U36" i="202"/>
  <c r="U37" i="202"/>
  <c r="U38" i="202"/>
  <c r="U39" i="202"/>
  <c r="U40" i="202"/>
  <c r="U41" i="202"/>
  <c r="U42" i="202"/>
  <c r="U43" i="202"/>
  <c r="U44" i="202"/>
  <c r="U45" i="202"/>
  <c r="U46" i="202"/>
  <c r="U47" i="202"/>
  <c r="U48" i="202"/>
  <c r="U49" i="202"/>
  <c r="U50" i="202"/>
  <c r="U51" i="202"/>
  <c r="U52" i="202"/>
  <c r="U53" i="202"/>
  <c r="U54" i="202"/>
  <c r="U55" i="202"/>
  <c r="U56" i="202"/>
  <c r="U57" i="202"/>
  <c r="U58" i="202"/>
  <c r="U59" i="202"/>
  <c r="U60" i="202"/>
  <c r="U61" i="202"/>
  <c r="U62" i="202"/>
  <c r="U63" i="202"/>
  <c r="U64" i="202"/>
  <c r="U65" i="202"/>
  <c r="U66" i="202"/>
  <c r="U67" i="202"/>
  <c r="U68" i="202"/>
  <c r="U69" i="202"/>
  <c r="U70" i="202"/>
  <c r="U71" i="202"/>
  <c r="U72" i="202"/>
  <c r="U73" i="202"/>
  <c r="U74" i="202"/>
  <c r="U75" i="202"/>
  <c r="U76" i="202"/>
  <c r="U77" i="202"/>
  <c r="U78" i="202"/>
  <c r="U79" i="202"/>
  <c r="U80" i="202"/>
  <c r="U81" i="202"/>
  <c r="U82" i="202"/>
  <c r="U83" i="202"/>
  <c r="U84" i="202"/>
  <c r="U85" i="202"/>
  <c r="U86" i="202"/>
  <c r="U87" i="202"/>
  <c r="U88" i="202"/>
  <c r="U89" i="202"/>
  <c r="U90" i="202"/>
  <c r="U91" i="202"/>
  <c r="U92" i="202"/>
  <c r="U93" i="202"/>
  <c r="U94" i="202"/>
  <c r="U95" i="202"/>
  <c r="U96" i="202"/>
  <c r="U97" i="202"/>
  <c r="U98" i="202"/>
  <c r="U99" i="202"/>
  <c r="U100" i="202"/>
  <c r="U101" i="202"/>
  <c r="U102" i="202"/>
  <c r="U103" i="202"/>
  <c r="U104" i="202"/>
  <c r="U105" i="202"/>
  <c r="U106" i="202"/>
  <c r="U107" i="202"/>
  <c r="U108" i="202"/>
  <c r="U109" i="202"/>
  <c r="U110" i="202"/>
  <c r="U111" i="202"/>
  <c r="U112" i="202"/>
  <c r="U113" i="202"/>
  <c r="U114" i="202"/>
  <c r="U115" i="202"/>
  <c r="U116" i="202"/>
  <c r="U117" i="202"/>
  <c r="U118" i="202"/>
  <c r="U119" i="202"/>
  <c r="U120" i="202"/>
  <c r="U121" i="202"/>
  <c r="U122" i="202"/>
  <c r="U123" i="202"/>
  <c r="U124" i="202"/>
  <c r="U125" i="202"/>
  <c r="U126" i="202"/>
  <c r="U127" i="202"/>
  <c r="U128" i="202"/>
  <c r="U129" i="202"/>
  <c r="U130" i="202"/>
  <c r="U131" i="202"/>
  <c r="U132" i="202"/>
  <c r="U133" i="202"/>
  <c r="U134" i="202"/>
  <c r="U135" i="202"/>
  <c r="U136" i="202"/>
  <c r="U137" i="202"/>
  <c r="U138" i="202"/>
  <c r="U139" i="202"/>
  <c r="U140" i="202"/>
  <c r="U141" i="202"/>
  <c r="U142" i="202"/>
  <c r="U143" i="202"/>
  <c r="U144" i="202"/>
  <c r="U145" i="202"/>
  <c r="U146" i="202"/>
  <c r="U147" i="202"/>
  <c r="U148" i="202"/>
  <c r="U149" i="202"/>
  <c r="U150" i="202"/>
  <c r="U151" i="202"/>
  <c r="U152" i="202"/>
  <c r="U153" i="202"/>
  <c r="U154" i="202"/>
  <c r="U155" i="202"/>
  <c r="U156" i="202"/>
  <c r="U157" i="202"/>
  <c r="U158" i="202"/>
  <c r="U159" i="202"/>
  <c r="U160" i="202"/>
  <c r="U161" i="202"/>
  <c r="U162" i="202"/>
  <c r="U163" i="202"/>
  <c r="U164" i="202"/>
  <c r="U165" i="202"/>
  <c r="U166" i="202"/>
  <c r="U167" i="202"/>
  <c r="U168" i="202"/>
  <c r="U169" i="202"/>
  <c r="U170" i="202"/>
  <c r="U171" i="202"/>
  <c r="U172" i="202"/>
  <c r="U173" i="202"/>
  <c r="U174" i="202"/>
  <c r="U175" i="202"/>
  <c r="U176" i="202"/>
  <c r="U177" i="202"/>
  <c r="U178" i="202"/>
  <c r="U179" i="202"/>
  <c r="U180" i="202"/>
  <c r="U181" i="202"/>
  <c r="U182" i="202"/>
  <c r="U183" i="202"/>
  <c r="U184" i="202"/>
  <c r="U185" i="202"/>
  <c r="U186" i="202"/>
  <c r="U187" i="202"/>
  <c r="U188" i="202"/>
  <c r="U189" i="202"/>
  <c r="U190" i="202"/>
  <c r="U191" i="202"/>
  <c r="U192" i="202"/>
  <c r="U193" i="202"/>
  <c r="U194" i="202"/>
  <c r="U195" i="202"/>
  <c r="U196" i="202"/>
  <c r="U197" i="202"/>
  <c r="U198" i="202"/>
  <c r="U199" i="202"/>
  <c r="U200" i="202"/>
  <c r="U201" i="202"/>
  <c r="U202" i="202"/>
  <c r="U203" i="202"/>
  <c r="U204" i="202"/>
  <c r="U205" i="202"/>
  <c r="U206" i="202"/>
  <c r="U207" i="202"/>
  <c r="U208" i="202"/>
  <c r="U209" i="202"/>
  <c r="U210" i="202"/>
  <c r="U211" i="202"/>
  <c r="U212" i="202"/>
  <c r="U213" i="202"/>
  <c r="U214" i="202"/>
  <c r="U215" i="202"/>
  <c r="U216" i="202"/>
  <c r="U217" i="202"/>
  <c r="U218" i="202"/>
  <c r="U219" i="202"/>
  <c r="U220" i="202"/>
  <c r="U221" i="202"/>
  <c r="U222" i="202"/>
  <c r="U223" i="202"/>
  <c r="U224" i="202"/>
  <c r="U225" i="202"/>
  <c r="U226" i="202"/>
  <c r="U227" i="202"/>
  <c r="U228" i="202"/>
  <c r="U229" i="202"/>
  <c r="U230" i="202"/>
  <c r="U231" i="202"/>
  <c r="U232" i="202"/>
  <c r="U233" i="202"/>
  <c r="U234" i="202"/>
  <c r="U235" i="202"/>
  <c r="U236" i="202"/>
  <c r="U237" i="202"/>
  <c r="U238" i="202"/>
  <c r="U239" i="202"/>
  <c r="U240" i="202"/>
  <c r="U241" i="202"/>
  <c r="U242" i="202"/>
  <c r="U243" i="202"/>
  <c r="U244" i="202"/>
  <c r="U245" i="202"/>
  <c r="U246" i="202"/>
  <c r="U247" i="202"/>
  <c r="U248" i="202"/>
  <c r="U249" i="202"/>
  <c r="U250" i="202"/>
  <c r="U251" i="202"/>
  <c r="U252" i="202"/>
  <c r="U253" i="202"/>
  <c r="U254" i="202"/>
  <c r="U255" i="202"/>
  <c r="U256" i="202"/>
  <c r="U257" i="202"/>
  <c r="U258" i="202"/>
  <c r="U259" i="202"/>
  <c r="U260" i="202"/>
  <c r="U261" i="202"/>
  <c r="U262" i="202"/>
  <c r="U263" i="202"/>
  <c r="U264" i="202"/>
  <c r="U265" i="202"/>
  <c r="U266" i="202"/>
  <c r="U267" i="202"/>
  <c r="U268" i="202"/>
  <c r="U269" i="202"/>
  <c r="U270" i="202"/>
  <c r="U271" i="202"/>
  <c r="U272" i="202"/>
  <c r="U273" i="202"/>
  <c r="U274" i="202"/>
  <c r="U275" i="202"/>
  <c r="U276" i="202"/>
  <c r="U277" i="202"/>
  <c r="U278" i="202"/>
  <c r="U279" i="202"/>
  <c r="U280" i="202"/>
  <c r="U281" i="202"/>
  <c r="U282" i="202"/>
  <c r="U283" i="202"/>
  <c r="U284" i="202"/>
  <c r="U285" i="202"/>
  <c r="U286" i="202"/>
  <c r="U287" i="202"/>
  <c r="U288" i="202"/>
  <c r="U289" i="202"/>
  <c r="U290" i="202"/>
  <c r="U291" i="202"/>
  <c r="U292" i="202"/>
  <c r="U293" i="202"/>
  <c r="U294" i="202"/>
  <c r="U295" i="202"/>
  <c r="U296" i="202"/>
  <c r="U297" i="202"/>
  <c r="U298" i="202"/>
  <c r="U299" i="202"/>
  <c r="U300" i="202"/>
  <c r="U301" i="202"/>
  <c r="U302" i="202"/>
  <c r="U303" i="202"/>
  <c r="U304" i="202"/>
  <c r="U305" i="202"/>
  <c r="U306" i="202"/>
  <c r="U307" i="202"/>
  <c r="U308" i="202"/>
  <c r="U309" i="202"/>
  <c r="U310" i="202"/>
  <c r="U311" i="202"/>
  <c r="U312" i="202"/>
  <c r="U313" i="202"/>
  <c r="U314" i="202"/>
  <c r="U315" i="202"/>
  <c r="U316" i="202"/>
  <c r="U317" i="202"/>
  <c r="U318" i="202"/>
  <c r="U319" i="202"/>
  <c r="U320" i="202"/>
  <c r="U321" i="202"/>
  <c r="U322" i="202"/>
  <c r="U323" i="202"/>
  <c r="U324" i="202"/>
  <c r="U325" i="202"/>
  <c r="U326" i="202"/>
  <c r="U327" i="202"/>
  <c r="U328" i="202"/>
  <c r="U329" i="202"/>
  <c r="U330" i="202"/>
  <c r="U331" i="202"/>
  <c r="U332" i="202"/>
  <c r="U333" i="202"/>
  <c r="U334" i="202"/>
  <c r="U335" i="202"/>
  <c r="U336" i="202"/>
  <c r="U337" i="202"/>
  <c r="U338" i="202"/>
  <c r="U339" i="202"/>
  <c r="U340" i="202"/>
  <c r="U341" i="202"/>
  <c r="U342" i="202"/>
  <c r="U343" i="202"/>
  <c r="U344" i="202"/>
  <c r="U345" i="202"/>
  <c r="U346" i="202"/>
  <c r="U347" i="202"/>
  <c r="U348" i="202"/>
  <c r="U349" i="202"/>
  <c r="U350" i="202"/>
  <c r="U351" i="202"/>
  <c r="U352" i="202"/>
  <c r="U353" i="202"/>
  <c r="U354" i="202"/>
  <c r="U355" i="202"/>
  <c r="U356" i="202"/>
  <c r="U357" i="202"/>
  <c r="U358" i="202"/>
  <c r="U359" i="202"/>
  <c r="U360" i="202"/>
  <c r="U361" i="202"/>
  <c r="U362" i="202"/>
  <c r="U363" i="202"/>
  <c r="U364" i="202"/>
  <c r="U365" i="202"/>
  <c r="U366" i="202"/>
  <c r="U367" i="202"/>
  <c r="U368" i="202"/>
  <c r="U369" i="202"/>
  <c r="U370" i="202"/>
  <c r="U371" i="202"/>
  <c r="U372" i="202"/>
  <c r="U373" i="202"/>
  <c r="U374" i="202"/>
  <c r="U375" i="202"/>
  <c r="U376" i="202"/>
  <c r="U377" i="202"/>
  <c r="U378" i="202"/>
  <c r="U379" i="202"/>
  <c r="U380" i="202"/>
  <c r="U381" i="202"/>
  <c r="U382" i="202"/>
  <c r="U383" i="202"/>
  <c r="U384" i="202"/>
  <c r="U385" i="202"/>
  <c r="U386" i="202"/>
  <c r="U387" i="202"/>
  <c r="U388" i="202"/>
  <c r="U389" i="202"/>
  <c r="U390" i="202"/>
  <c r="U391" i="202"/>
  <c r="U392" i="202"/>
  <c r="U393" i="202"/>
  <c r="U394" i="202"/>
  <c r="U395" i="202"/>
  <c r="U396" i="202"/>
  <c r="U397" i="202"/>
  <c r="U398" i="202"/>
  <c r="U399" i="202"/>
  <c r="U400" i="202"/>
  <c r="U401" i="202"/>
  <c r="U402" i="202"/>
  <c r="U403" i="202"/>
  <c r="U404" i="202"/>
  <c r="U405" i="202"/>
  <c r="U406" i="202"/>
  <c r="U407" i="202"/>
  <c r="U408" i="202"/>
  <c r="U409" i="202"/>
  <c r="U410" i="202"/>
  <c r="U411" i="202"/>
  <c r="U412" i="202"/>
  <c r="U413" i="202"/>
  <c r="U414" i="202"/>
  <c r="U415" i="202"/>
  <c r="U416" i="202"/>
  <c r="U417" i="202"/>
  <c r="U418" i="202"/>
  <c r="U419" i="202"/>
  <c r="U420" i="202"/>
  <c r="U421" i="202"/>
  <c r="U422" i="202"/>
  <c r="U423" i="202"/>
  <c r="U424" i="202"/>
  <c r="U425" i="202"/>
  <c r="U426" i="202"/>
  <c r="U427" i="202"/>
  <c r="U428" i="202"/>
  <c r="U429" i="202"/>
  <c r="U430" i="202"/>
  <c r="U431" i="202"/>
  <c r="U432" i="202"/>
  <c r="U433" i="202"/>
  <c r="U434" i="202"/>
  <c r="U435" i="202"/>
  <c r="U436" i="202"/>
  <c r="U437" i="202"/>
  <c r="U438" i="202"/>
  <c r="U439" i="202"/>
  <c r="U440" i="202"/>
  <c r="U441" i="202"/>
  <c r="U442" i="202"/>
  <c r="U443" i="202"/>
  <c r="U444" i="202"/>
  <c r="U445" i="202"/>
  <c r="U446" i="202"/>
  <c r="U447" i="202"/>
  <c r="U448" i="202"/>
  <c r="U449" i="202"/>
  <c r="U450" i="202"/>
  <c r="U451" i="202"/>
  <c r="U452" i="202"/>
  <c r="U453" i="202"/>
  <c r="U454" i="202"/>
  <c r="U455" i="202"/>
  <c r="U456" i="202"/>
  <c r="U457" i="202"/>
  <c r="U458" i="202"/>
  <c r="U459" i="202"/>
  <c r="U460" i="202"/>
  <c r="U461" i="202"/>
  <c r="U462" i="202"/>
  <c r="U463" i="202"/>
  <c r="U464" i="202"/>
  <c r="U465" i="202"/>
  <c r="U466" i="202"/>
  <c r="U467" i="202"/>
  <c r="U468" i="202"/>
  <c r="U469" i="202"/>
  <c r="U470" i="202"/>
  <c r="U471" i="202"/>
  <c r="U472" i="202"/>
  <c r="U473" i="202"/>
  <c r="U474" i="202"/>
  <c r="U475" i="202"/>
  <c r="U476" i="202"/>
  <c r="U477" i="202"/>
  <c r="U478" i="202"/>
  <c r="U479" i="202"/>
  <c r="U480" i="202"/>
  <c r="U481" i="202"/>
  <c r="U482" i="202"/>
  <c r="U483" i="202"/>
  <c r="U484" i="202"/>
  <c r="U485" i="202"/>
  <c r="U486" i="202"/>
  <c r="U487" i="202"/>
  <c r="U488" i="202"/>
  <c r="U489" i="202"/>
  <c r="U490" i="202"/>
  <c r="U491" i="202"/>
  <c r="U492" i="202"/>
  <c r="U493" i="202"/>
  <c r="U494" i="202"/>
  <c r="U495" i="202"/>
  <c r="U496" i="202"/>
  <c r="U497" i="202"/>
  <c r="U498" i="202"/>
  <c r="U499" i="202"/>
  <c r="U500" i="202"/>
  <c r="U501" i="202"/>
  <c r="U502" i="202"/>
  <c r="U503" i="202"/>
  <c r="U504" i="202"/>
  <c r="U505" i="202"/>
  <c r="U506" i="202"/>
  <c r="U507" i="202"/>
  <c r="U508" i="202"/>
  <c r="U509" i="202"/>
  <c r="U510" i="202"/>
  <c r="U511" i="202"/>
  <c r="U512" i="202"/>
  <c r="U513" i="202"/>
  <c r="U514" i="202"/>
  <c r="U515" i="202"/>
  <c r="U516" i="202"/>
  <c r="U517" i="202"/>
  <c r="U518" i="202"/>
  <c r="U519" i="202"/>
  <c r="U520" i="202"/>
  <c r="U521" i="202"/>
  <c r="U522" i="202"/>
  <c r="U523" i="202"/>
  <c r="U524" i="202"/>
  <c r="U525" i="202"/>
  <c r="U526" i="202"/>
  <c r="U527" i="202"/>
  <c r="U528" i="202"/>
  <c r="U529" i="202"/>
  <c r="U530" i="202"/>
  <c r="U531" i="202"/>
  <c r="U532" i="202"/>
  <c r="U533" i="202"/>
  <c r="U534" i="202"/>
  <c r="U535" i="202"/>
  <c r="U536" i="202"/>
  <c r="U537" i="202"/>
  <c r="U538" i="202"/>
  <c r="U539" i="202"/>
  <c r="U540" i="202"/>
  <c r="U541" i="202"/>
  <c r="U542" i="202"/>
  <c r="U543" i="202"/>
  <c r="U544" i="202"/>
  <c r="U545" i="202"/>
  <c r="U546" i="202"/>
  <c r="U547" i="202"/>
  <c r="U548" i="202"/>
  <c r="U549" i="202"/>
  <c r="U550" i="202"/>
  <c r="U551" i="202"/>
  <c r="U552" i="202"/>
  <c r="U553" i="202"/>
  <c r="U554" i="202"/>
  <c r="U555" i="202"/>
  <c r="U556" i="202"/>
  <c r="U557" i="202"/>
  <c r="U558" i="202"/>
  <c r="U559" i="202"/>
  <c r="U560" i="202"/>
  <c r="U561" i="202"/>
  <c r="U562" i="202"/>
  <c r="U563" i="202"/>
  <c r="U564" i="202"/>
  <c r="U565" i="202"/>
  <c r="U566" i="202"/>
  <c r="U567" i="202"/>
  <c r="U568" i="202"/>
  <c r="U569" i="202"/>
  <c r="U570" i="202"/>
  <c r="U571" i="202"/>
  <c r="U572" i="202"/>
  <c r="U573" i="202"/>
  <c r="U574" i="202"/>
  <c r="U575" i="202"/>
  <c r="U576" i="202"/>
  <c r="U577" i="202"/>
  <c r="U578" i="202"/>
  <c r="U579" i="202"/>
  <c r="U580" i="202"/>
  <c r="U581" i="202"/>
  <c r="U582" i="202"/>
  <c r="U583" i="202"/>
  <c r="U584" i="202"/>
  <c r="U585" i="202"/>
  <c r="U586" i="202"/>
  <c r="U587" i="202"/>
  <c r="U588" i="202"/>
  <c r="U589" i="202"/>
  <c r="U590" i="202"/>
  <c r="U591" i="202"/>
  <c r="U592" i="202"/>
  <c r="U593" i="202"/>
  <c r="U594" i="202"/>
  <c r="U595" i="202"/>
  <c r="U596" i="202"/>
  <c r="U597" i="202"/>
  <c r="U598" i="202"/>
  <c r="U599" i="202"/>
  <c r="U600" i="202"/>
  <c r="U601" i="202"/>
  <c r="U602" i="202"/>
  <c r="U603" i="202"/>
  <c r="U604" i="202"/>
  <c r="U605" i="202"/>
  <c r="U606" i="202"/>
  <c r="U607" i="202"/>
  <c r="U608" i="202"/>
  <c r="U609" i="202"/>
  <c r="U610" i="202"/>
  <c r="U611" i="202"/>
  <c r="U612" i="202"/>
  <c r="U613" i="202"/>
  <c r="U614" i="202"/>
  <c r="U615" i="202"/>
  <c r="U616" i="202"/>
  <c r="U617" i="202"/>
  <c r="U618" i="202"/>
  <c r="U619" i="202"/>
  <c r="U620" i="202"/>
  <c r="U621" i="202"/>
  <c r="U622" i="202"/>
  <c r="U623" i="202"/>
  <c r="U624" i="202"/>
  <c r="U625" i="202"/>
  <c r="U626" i="202"/>
  <c r="U627" i="202"/>
  <c r="U628" i="202"/>
  <c r="U629" i="202"/>
  <c r="U630" i="202"/>
  <c r="U631" i="202"/>
  <c r="U632" i="202"/>
  <c r="U633" i="202"/>
  <c r="U634" i="202"/>
  <c r="U635" i="202"/>
  <c r="U636" i="202"/>
  <c r="U637" i="202"/>
  <c r="U638" i="202"/>
  <c r="U639" i="202"/>
  <c r="U640" i="202"/>
  <c r="U641" i="202"/>
  <c r="U642" i="202"/>
  <c r="U643" i="202"/>
  <c r="U644" i="202"/>
  <c r="U645" i="202"/>
  <c r="U646" i="202"/>
  <c r="U647" i="202"/>
  <c r="U648" i="202"/>
  <c r="U649" i="202"/>
  <c r="U650" i="202"/>
  <c r="U651" i="202"/>
  <c r="U652" i="202"/>
  <c r="U653" i="202"/>
  <c r="U654" i="202"/>
  <c r="U655" i="202"/>
  <c r="U656" i="202"/>
  <c r="U657" i="202"/>
  <c r="U658" i="202"/>
  <c r="U659" i="202"/>
  <c r="U660" i="202"/>
  <c r="U661" i="202"/>
  <c r="U662" i="202"/>
  <c r="U663" i="202"/>
  <c r="U664" i="202"/>
  <c r="U665" i="202"/>
  <c r="U666" i="202"/>
  <c r="U667" i="202"/>
  <c r="U668" i="202"/>
  <c r="U669" i="202"/>
  <c r="U670" i="202"/>
  <c r="U671" i="202"/>
  <c r="U672" i="202"/>
  <c r="U673" i="202"/>
  <c r="U674" i="202"/>
  <c r="U675" i="202"/>
  <c r="U676" i="202"/>
  <c r="U677" i="202"/>
  <c r="U678" i="202"/>
  <c r="U679" i="202"/>
  <c r="U680" i="202"/>
  <c r="U681" i="202"/>
  <c r="U682" i="202"/>
  <c r="U683" i="202"/>
  <c r="U684" i="202"/>
  <c r="U685" i="202"/>
  <c r="U686" i="202"/>
  <c r="U687" i="202"/>
  <c r="U688" i="202"/>
  <c r="U689" i="202"/>
  <c r="U690" i="202"/>
  <c r="U691" i="202"/>
  <c r="U692" i="202"/>
  <c r="U693" i="202"/>
  <c r="U694" i="202"/>
  <c r="U695" i="202"/>
  <c r="U696" i="202"/>
  <c r="U697" i="202"/>
  <c r="U698" i="202"/>
  <c r="U699" i="202"/>
  <c r="U700" i="202"/>
  <c r="U701" i="202"/>
  <c r="U702" i="202"/>
  <c r="U703" i="202"/>
  <c r="U704" i="202"/>
  <c r="U705" i="202"/>
  <c r="U706" i="202"/>
  <c r="U707" i="202"/>
  <c r="U708" i="202"/>
  <c r="U709" i="202"/>
  <c r="U710" i="202"/>
  <c r="U711" i="202"/>
  <c r="U712" i="202"/>
  <c r="U713" i="202"/>
  <c r="U714" i="202"/>
  <c r="U715" i="202"/>
  <c r="U716" i="202"/>
  <c r="U717" i="202"/>
  <c r="U718" i="202"/>
  <c r="U719" i="202"/>
  <c r="U720" i="202"/>
  <c r="U721" i="202"/>
  <c r="U722" i="202"/>
  <c r="U723" i="202"/>
  <c r="U724" i="202"/>
  <c r="U725" i="202"/>
  <c r="U726" i="202"/>
  <c r="U727" i="202"/>
  <c r="U728" i="202"/>
  <c r="U729" i="202"/>
  <c r="U730" i="202"/>
  <c r="U731" i="202"/>
  <c r="U732" i="202"/>
  <c r="U733" i="202"/>
  <c r="U734" i="202"/>
  <c r="U735" i="202"/>
  <c r="U736" i="202"/>
  <c r="U737" i="202"/>
  <c r="U738" i="202"/>
  <c r="U739" i="202"/>
  <c r="U740" i="202"/>
  <c r="U741" i="202"/>
  <c r="U742" i="202"/>
  <c r="U743" i="202"/>
  <c r="U744" i="202"/>
  <c r="U745" i="202"/>
  <c r="U746" i="202"/>
  <c r="U747" i="202"/>
  <c r="U748" i="202"/>
  <c r="U749" i="202"/>
  <c r="U750" i="202"/>
  <c r="U751" i="202"/>
  <c r="U752" i="202"/>
  <c r="U753" i="202"/>
  <c r="U754" i="202"/>
  <c r="U755" i="202"/>
  <c r="U756" i="202"/>
  <c r="U757" i="202"/>
  <c r="U758" i="202"/>
  <c r="U759" i="202"/>
  <c r="U760" i="202"/>
  <c r="U761" i="202"/>
  <c r="U762" i="202"/>
  <c r="U763" i="202"/>
  <c r="U764" i="202"/>
  <c r="U765" i="202"/>
  <c r="U766" i="202"/>
  <c r="U767" i="202"/>
  <c r="U768" i="202"/>
  <c r="U769" i="202"/>
  <c r="U770" i="202"/>
  <c r="U771" i="202"/>
  <c r="U772" i="202"/>
  <c r="U773" i="202"/>
  <c r="U774" i="202"/>
  <c r="U775" i="202"/>
  <c r="U776" i="202"/>
  <c r="U777" i="202"/>
  <c r="U778" i="202"/>
  <c r="U779" i="202"/>
  <c r="U780" i="202"/>
  <c r="U781" i="202"/>
  <c r="U782" i="202"/>
  <c r="U783" i="202"/>
  <c r="U784" i="202"/>
  <c r="U785" i="202"/>
  <c r="U786" i="202"/>
  <c r="U787" i="202"/>
  <c r="U788" i="202"/>
  <c r="U789" i="202"/>
  <c r="U790" i="202"/>
  <c r="U791" i="202"/>
  <c r="U792" i="202"/>
  <c r="U793" i="202"/>
  <c r="U794" i="202"/>
  <c r="U795" i="202"/>
  <c r="U796" i="202"/>
  <c r="U797" i="202"/>
  <c r="U798" i="202"/>
  <c r="U799" i="202"/>
  <c r="U800" i="202"/>
  <c r="U801" i="202"/>
  <c r="U802" i="202"/>
  <c r="U803" i="202"/>
  <c r="U804" i="202"/>
  <c r="U805" i="202"/>
  <c r="U806" i="202"/>
  <c r="U807" i="202"/>
  <c r="U808" i="202"/>
  <c r="U809" i="202"/>
  <c r="U810" i="202"/>
  <c r="U811" i="202"/>
  <c r="U812" i="202"/>
  <c r="U813" i="202"/>
  <c r="U814" i="202"/>
  <c r="U815" i="202"/>
  <c r="U816" i="202"/>
  <c r="U817" i="202"/>
  <c r="U818" i="202"/>
  <c r="U819" i="202"/>
  <c r="U820" i="202"/>
  <c r="U821" i="202"/>
  <c r="U822" i="202"/>
  <c r="U823" i="202"/>
  <c r="U824" i="202"/>
  <c r="U825" i="202"/>
  <c r="U826" i="202"/>
  <c r="U827" i="202"/>
  <c r="U828" i="202"/>
  <c r="U829" i="202"/>
  <c r="U830" i="202"/>
  <c r="U831" i="202"/>
  <c r="U832" i="202"/>
  <c r="U833" i="202"/>
  <c r="U834" i="202"/>
  <c r="U835" i="202"/>
  <c r="U836" i="202"/>
  <c r="U837" i="202"/>
  <c r="U838" i="202"/>
  <c r="U839" i="202"/>
  <c r="U840" i="202"/>
  <c r="U841" i="202"/>
  <c r="U842" i="202"/>
  <c r="U843" i="202"/>
  <c r="U844" i="202"/>
  <c r="U845" i="202"/>
  <c r="U846" i="202"/>
  <c r="U847" i="202"/>
  <c r="U848" i="202"/>
  <c r="U849" i="202"/>
  <c r="U850" i="202"/>
  <c r="U851" i="202"/>
  <c r="U852" i="202"/>
  <c r="U853" i="202"/>
  <c r="U854" i="202"/>
  <c r="U855" i="202"/>
  <c r="U856" i="202"/>
  <c r="U857" i="202"/>
  <c r="U858" i="202"/>
  <c r="U859" i="202"/>
  <c r="U860" i="202"/>
  <c r="U861" i="202"/>
  <c r="U862" i="202"/>
  <c r="U863" i="202"/>
  <c r="U864" i="202"/>
  <c r="U865" i="202"/>
  <c r="U866" i="202"/>
  <c r="U867" i="202"/>
  <c r="U868" i="202"/>
  <c r="U869" i="202"/>
  <c r="U870" i="202"/>
  <c r="U871" i="202"/>
  <c r="U872" i="202"/>
  <c r="U873" i="202"/>
  <c r="U874" i="202"/>
  <c r="U875" i="202"/>
  <c r="U876" i="202"/>
  <c r="U877" i="202"/>
  <c r="U878" i="202"/>
  <c r="U879" i="202"/>
  <c r="U880" i="202"/>
  <c r="U881" i="202"/>
  <c r="U882" i="202"/>
  <c r="U883" i="202"/>
  <c r="U884" i="202"/>
  <c r="U885" i="202"/>
  <c r="U886" i="202"/>
  <c r="U887" i="202"/>
  <c r="U888" i="202"/>
  <c r="U889" i="202"/>
  <c r="U890" i="202"/>
  <c r="U891" i="202"/>
  <c r="U892" i="202"/>
  <c r="U893" i="202"/>
  <c r="U894" i="202"/>
  <c r="U895" i="202"/>
  <c r="U896" i="202"/>
  <c r="U897" i="202"/>
  <c r="U898" i="202"/>
  <c r="U899" i="202"/>
  <c r="U900" i="202"/>
  <c r="U901" i="202"/>
  <c r="U902" i="202"/>
  <c r="U903" i="202"/>
  <c r="U904" i="202"/>
  <c r="U905" i="202"/>
  <c r="U906" i="202"/>
  <c r="U907" i="202"/>
  <c r="U908" i="202"/>
  <c r="U909" i="202"/>
  <c r="U910" i="202"/>
  <c r="U911" i="202"/>
  <c r="U912" i="202"/>
  <c r="U913" i="202"/>
  <c r="U914" i="202"/>
  <c r="U915" i="202"/>
  <c r="U916" i="202"/>
  <c r="U917" i="202"/>
  <c r="U918" i="202"/>
  <c r="U919" i="202"/>
  <c r="U920" i="202"/>
  <c r="U921" i="202"/>
  <c r="U922" i="202"/>
  <c r="U923" i="202"/>
  <c r="U924" i="202"/>
  <c r="U925" i="202"/>
  <c r="U926" i="202"/>
  <c r="U927" i="202"/>
  <c r="U928" i="202"/>
  <c r="U929" i="202"/>
  <c r="U930" i="202"/>
  <c r="U931" i="202"/>
  <c r="U932" i="202"/>
  <c r="U933" i="202"/>
  <c r="U934" i="202"/>
  <c r="U935" i="202"/>
  <c r="U936" i="202"/>
  <c r="U937" i="202"/>
  <c r="U938" i="202"/>
  <c r="U939" i="202"/>
  <c r="U940" i="202"/>
  <c r="U941" i="202"/>
  <c r="U942" i="202"/>
  <c r="U943" i="202"/>
  <c r="U944" i="202"/>
  <c r="U945" i="202"/>
  <c r="U946" i="202"/>
  <c r="U947" i="202"/>
  <c r="U948" i="202"/>
  <c r="U949" i="202"/>
  <c r="U950" i="202"/>
  <c r="U951" i="202"/>
  <c r="U952" i="202"/>
  <c r="U953" i="202"/>
  <c r="U954" i="202"/>
  <c r="U955" i="202"/>
  <c r="U956" i="202"/>
  <c r="U957" i="202"/>
  <c r="U958" i="202"/>
  <c r="U959" i="202"/>
  <c r="U960" i="202"/>
  <c r="U961" i="202"/>
  <c r="U962" i="202"/>
  <c r="U963" i="202"/>
  <c r="U964" i="202"/>
  <c r="U965" i="202"/>
  <c r="U966" i="202"/>
  <c r="U967" i="202"/>
  <c r="U968" i="202"/>
  <c r="U969" i="202"/>
  <c r="U970" i="202"/>
  <c r="U971" i="202"/>
  <c r="U972" i="202"/>
  <c r="U973" i="202"/>
  <c r="U974" i="202"/>
  <c r="U975" i="202"/>
  <c r="U976" i="202"/>
  <c r="U977" i="202"/>
  <c r="U978" i="202"/>
  <c r="U979" i="202"/>
  <c r="U980" i="202"/>
  <c r="U981" i="202"/>
  <c r="U982" i="202"/>
  <c r="U983" i="202"/>
  <c r="U984" i="202"/>
  <c r="U985" i="202"/>
  <c r="U986" i="202"/>
  <c r="U987" i="202"/>
  <c r="U988" i="202"/>
  <c r="U989" i="202"/>
  <c r="U990" i="202"/>
  <c r="U991" i="202"/>
  <c r="U992" i="202"/>
  <c r="U993" i="202"/>
  <c r="U994" i="202"/>
  <c r="U995" i="202"/>
  <c r="U996" i="202"/>
  <c r="U997" i="202"/>
  <c r="U998" i="202"/>
  <c r="U999" i="202"/>
  <c r="U1000" i="202"/>
  <c r="U1001" i="202"/>
  <c r="U1002" i="202"/>
  <c r="U1003" i="202"/>
  <c r="U1004" i="202"/>
  <c r="U1005" i="202"/>
  <c r="U1006" i="202"/>
  <c r="U1007" i="202"/>
  <c r="U1008" i="202"/>
  <c r="U1009" i="202"/>
  <c r="U1010" i="202"/>
  <c r="U1011" i="202"/>
  <c r="U1012" i="202"/>
  <c r="U1013" i="202"/>
  <c r="U1014" i="202"/>
  <c r="U1015" i="202"/>
  <c r="U1016" i="202"/>
  <c r="U1017" i="202"/>
  <c r="U1018" i="202"/>
  <c r="U1019" i="202"/>
  <c r="U1020" i="202"/>
  <c r="U1021" i="202"/>
  <c r="U1022" i="202"/>
  <c r="U1023" i="202"/>
  <c r="U1024" i="202"/>
  <c r="U1025" i="202"/>
  <c r="U1026" i="202"/>
  <c r="U1027" i="202"/>
  <c r="U1028" i="202"/>
  <c r="U1029" i="202"/>
  <c r="U1030" i="202"/>
  <c r="U1031" i="202"/>
  <c r="U1032" i="202"/>
  <c r="U1033" i="202"/>
  <c r="U1034" i="202"/>
  <c r="U1035" i="202"/>
  <c r="U1036" i="202"/>
  <c r="U1037" i="202"/>
  <c r="U1038" i="202"/>
  <c r="U1039" i="202"/>
  <c r="U1040" i="202"/>
  <c r="U1041" i="202"/>
  <c r="U1042" i="202"/>
  <c r="U1043" i="202"/>
  <c r="U1044" i="202"/>
  <c r="U1045" i="202"/>
  <c r="U1046" i="202"/>
  <c r="U1047" i="202"/>
  <c r="U1048" i="202"/>
  <c r="U1049" i="202"/>
  <c r="U1050" i="202"/>
  <c r="U1051" i="202"/>
  <c r="U1052" i="202"/>
  <c r="U1053" i="202"/>
  <c r="U1054" i="202"/>
  <c r="U1055" i="202"/>
  <c r="U1056" i="202"/>
  <c r="U1057" i="202"/>
  <c r="U1058" i="202"/>
  <c r="U1059" i="202"/>
  <c r="U1060" i="202"/>
  <c r="U1061" i="202"/>
  <c r="U1062" i="202"/>
  <c r="U1063" i="202"/>
  <c r="U1064" i="202"/>
  <c r="U1065" i="202"/>
  <c r="U1066" i="202"/>
  <c r="U1067" i="202"/>
  <c r="U1068" i="202"/>
  <c r="U1069" i="202"/>
  <c r="U1070" i="202"/>
  <c r="U1071" i="202"/>
  <c r="U1072" i="202"/>
  <c r="U1073" i="202"/>
  <c r="U1074" i="202"/>
  <c r="U1075" i="202"/>
  <c r="U1076" i="202"/>
  <c r="U1077" i="202"/>
  <c r="U1078" i="202"/>
  <c r="U1079" i="202"/>
  <c r="U1080" i="202"/>
  <c r="U1081" i="202"/>
  <c r="U1082" i="202"/>
  <c r="U1083" i="202"/>
  <c r="U1084" i="202"/>
  <c r="U1085" i="202"/>
  <c r="U1086" i="202"/>
  <c r="U1087" i="202"/>
  <c r="U1088" i="202"/>
  <c r="U1089" i="202"/>
  <c r="U1090" i="202"/>
  <c r="U1091" i="202"/>
  <c r="U1092" i="202"/>
  <c r="U1093" i="202"/>
  <c r="U1094" i="202"/>
  <c r="U1095" i="202"/>
  <c r="U1096" i="202"/>
  <c r="U1097" i="202"/>
  <c r="U1098" i="202"/>
  <c r="U1099" i="202"/>
  <c r="U1100" i="202"/>
  <c r="U1101" i="202"/>
  <c r="U1102" i="202"/>
  <c r="U1103" i="202"/>
  <c r="U1104" i="202"/>
  <c r="U1105" i="202"/>
  <c r="U1106" i="202"/>
  <c r="U1107" i="202"/>
  <c r="U1108" i="202"/>
  <c r="U1109" i="202"/>
  <c r="U1110" i="202"/>
  <c r="U1111" i="202"/>
  <c r="U1112" i="202"/>
  <c r="U1113" i="202"/>
  <c r="U1114" i="202"/>
  <c r="U1115" i="202"/>
  <c r="U1116" i="202"/>
  <c r="U1117" i="202"/>
  <c r="U1118" i="202"/>
  <c r="U1119" i="202"/>
  <c r="U1120" i="202"/>
  <c r="U1121" i="202"/>
  <c r="U1122" i="202"/>
  <c r="U1123" i="202"/>
  <c r="U1124" i="202"/>
  <c r="U1125" i="202"/>
  <c r="U1126" i="202"/>
  <c r="U1127" i="202"/>
  <c r="U1128" i="202"/>
  <c r="U1129" i="202"/>
  <c r="U1130" i="202"/>
  <c r="U1131" i="202"/>
  <c r="U1132" i="202"/>
  <c r="U1133" i="202"/>
  <c r="U1134" i="202"/>
  <c r="U1135" i="202"/>
  <c r="U1136" i="202"/>
  <c r="U1137" i="202"/>
  <c r="U1138" i="202"/>
  <c r="U1139" i="202"/>
  <c r="U1140" i="202"/>
  <c r="U1141" i="202"/>
  <c r="U1142" i="202"/>
  <c r="U1143" i="202"/>
  <c r="U1144" i="202"/>
  <c r="U1145" i="202"/>
  <c r="U1146" i="202"/>
  <c r="U1147" i="202"/>
  <c r="U1148" i="202"/>
  <c r="U1149" i="202"/>
  <c r="U1150" i="202"/>
  <c r="U1151" i="202"/>
  <c r="U1152" i="202"/>
  <c r="U1153" i="202"/>
  <c r="U1154" i="202"/>
  <c r="U1155" i="202"/>
  <c r="U1156" i="202"/>
  <c r="U1157" i="202"/>
  <c r="U1158" i="202"/>
  <c r="U1159" i="202"/>
  <c r="U1160" i="202"/>
  <c r="U1161" i="202"/>
  <c r="U1162" i="202"/>
  <c r="U1163" i="202"/>
  <c r="U1164" i="202"/>
  <c r="U1165" i="202"/>
  <c r="U1166" i="202"/>
  <c r="U1167" i="202"/>
  <c r="U1168" i="202"/>
  <c r="U1169" i="202"/>
  <c r="U1170" i="202"/>
  <c r="U1171" i="202"/>
  <c r="U1172" i="202"/>
  <c r="U1173" i="202"/>
  <c r="U1174" i="202"/>
  <c r="U1175" i="202"/>
  <c r="U1176" i="202"/>
  <c r="U1177" i="202"/>
  <c r="U1178" i="202"/>
  <c r="U1179" i="202"/>
  <c r="U1180" i="202"/>
  <c r="U1181" i="202"/>
  <c r="U1182" i="202"/>
  <c r="U1183" i="202"/>
  <c r="U1184" i="202"/>
  <c r="U1185" i="202"/>
  <c r="U1186" i="202"/>
  <c r="U1187" i="202"/>
  <c r="U1188" i="202"/>
  <c r="U1189" i="202"/>
  <c r="U1190" i="202"/>
  <c r="U1191" i="202"/>
  <c r="U1192" i="202"/>
  <c r="U1193" i="202"/>
  <c r="U1194" i="202"/>
  <c r="U1195" i="202"/>
  <c r="U1196" i="202"/>
  <c r="U1197" i="202"/>
  <c r="U1198" i="202"/>
  <c r="U1199" i="202"/>
  <c r="U1200" i="202"/>
  <c r="U1201" i="202"/>
  <c r="U1202" i="202"/>
  <c r="U1203" i="202"/>
  <c r="U1204" i="202"/>
  <c r="U1205" i="202"/>
  <c r="U1206" i="202"/>
  <c r="U1207" i="202"/>
  <c r="U1208" i="202"/>
  <c r="U1209" i="202"/>
  <c r="U1210" i="202"/>
  <c r="U1211" i="202"/>
  <c r="U1212" i="202"/>
  <c r="U1213" i="202"/>
  <c r="U1214" i="202"/>
  <c r="U1215" i="202"/>
  <c r="U1216" i="202"/>
  <c r="U1217" i="202"/>
  <c r="U1218" i="202"/>
  <c r="U1219" i="202"/>
  <c r="U1220" i="202"/>
  <c r="U1221" i="202"/>
  <c r="U1222" i="202"/>
  <c r="U1223" i="202"/>
  <c r="U1224" i="202"/>
  <c r="U1225" i="202"/>
  <c r="U1226" i="202"/>
  <c r="U1227" i="202"/>
  <c r="U1228" i="202"/>
  <c r="U1229" i="202"/>
  <c r="U1230" i="202"/>
  <c r="U1231" i="202"/>
  <c r="U1232" i="202"/>
  <c r="U1233" i="202"/>
  <c r="U1234" i="202"/>
  <c r="U1235" i="202"/>
  <c r="U1236" i="202"/>
  <c r="U1237" i="202"/>
  <c r="U1238" i="202"/>
  <c r="U1239" i="202"/>
  <c r="U1240" i="202"/>
  <c r="U1241" i="202"/>
  <c r="U1242" i="202"/>
  <c r="U1243" i="202"/>
  <c r="U1244" i="202"/>
  <c r="U1245" i="202"/>
  <c r="U1246" i="202"/>
  <c r="U1247" i="202"/>
  <c r="U1248" i="202"/>
  <c r="U1249" i="202"/>
  <c r="U1250" i="202"/>
  <c r="U1251" i="202"/>
  <c r="U1252" i="202"/>
  <c r="U1253" i="202"/>
  <c r="U1254" i="202"/>
  <c r="U1255" i="202"/>
  <c r="U1256" i="202"/>
  <c r="U1257" i="202"/>
  <c r="U1258" i="202"/>
  <c r="U1259" i="202"/>
  <c r="U1260" i="202"/>
  <c r="U1261" i="202"/>
  <c r="U1262" i="202"/>
  <c r="U1263" i="202"/>
  <c r="U1264" i="202"/>
  <c r="U1265" i="202"/>
  <c r="U1266" i="202"/>
  <c r="U1267" i="202"/>
  <c r="U1268" i="202"/>
  <c r="U1269" i="202"/>
  <c r="U1270" i="202"/>
  <c r="U1271" i="202"/>
  <c r="U1272" i="202"/>
  <c r="U1273" i="202"/>
  <c r="U1274" i="202"/>
  <c r="U1275" i="202"/>
  <c r="U1276" i="202"/>
  <c r="U1277" i="202"/>
  <c r="U1278" i="202"/>
  <c r="U1279" i="202"/>
  <c r="U1280" i="202"/>
  <c r="U1281" i="202"/>
  <c r="U1282" i="202"/>
  <c r="U1283" i="202"/>
  <c r="U1284" i="202"/>
  <c r="U1285" i="202"/>
  <c r="U1286" i="202"/>
  <c r="U1287" i="202"/>
  <c r="U1288" i="202"/>
  <c r="U1289" i="202"/>
  <c r="U1290" i="202"/>
  <c r="U1291" i="202"/>
  <c r="U1292" i="202"/>
  <c r="U1293" i="202"/>
  <c r="U1294" i="202"/>
  <c r="U1295" i="202"/>
  <c r="U1296" i="202"/>
  <c r="U1297" i="202"/>
  <c r="U1298" i="202"/>
  <c r="U1299" i="202"/>
  <c r="U1300" i="202"/>
  <c r="U1301" i="202"/>
  <c r="U1302" i="202"/>
  <c r="U1303" i="202"/>
  <c r="U1304" i="202"/>
  <c r="U1305" i="202"/>
  <c r="U1306" i="202"/>
  <c r="U1307" i="202"/>
  <c r="U1308" i="202"/>
  <c r="U1309" i="202"/>
  <c r="U1310" i="202"/>
  <c r="U1311" i="202"/>
  <c r="U1312" i="202"/>
  <c r="U1313" i="202"/>
  <c r="U1314" i="202"/>
  <c r="U1315" i="202"/>
  <c r="U1316" i="202"/>
  <c r="U1317" i="202"/>
  <c r="U1318" i="202"/>
  <c r="U1319" i="202"/>
  <c r="U1320" i="202"/>
  <c r="U1321" i="202"/>
  <c r="U1322" i="202"/>
  <c r="U1323" i="202"/>
  <c r="U1324" i="202"/>
  <c r="U1325" i="202"/>
  <c r="U1326" i="202"/>
  <c r="U1327" i="202"/>
  <c r="U1328" i="202"/>
  <c r="U1329" i="202"/>
  <c r="U1330" i="202"/>
  <c r="U1331" i="202"/>
  <c r="U1332" i="202"/>
  <c r="U1333" i="202"/>
  <c r="U1334" i="202"/>
  <c r="U1335" i="202"/>
  <c r="U1336" i="202"/>
  <c r="U1337" i="202"/>
  <c r="U1338" i="202"/>
  <c r="U1339" i="202"/>
  <c r="U1340" i="202"/>
  <c r="U1341" i="202"/>
  <c r="U1342" i="202"/>
  <c r="U1343" i="202"/>
  <c r="U1344" i="202"/>
  <c r="U1345" i="202"/>
  <c r="U1346" i="202"/>
  <c r="U1347" i="202"/>
  <c r="U1348" i="202"/>
  <c r="U1349" i="202"/>
  <c r="U1350" i="202"/>
  <c r="U1351" i="202"/>
  <c r="U1352" i="202"/>
  <c r="U1353" i="202"/>
  <c r="U1354" i="202"/>
  <c r="U1355" i="202"/>
  <c r="U1356" i="202"/>
  <c r="U1357" i="202"/>
  <c r="U1358" i="202"/>
  <c r="U1359" i="202"/>
  <c r="U1360" i="202"/>
  <c r="U1361" i="202"/>
  <c r="U1362" i="202"/>
  <c r="U1363" i="202"/>
  <c r="U1364" i="202"/>
  <c r="U1365" i="202"/>
  <c r="U1366" i="202"/>
  <c r="U1367" i="202"/>
  <c r="U1368" i="202"/>
  <c r="U1369" i="202"/>
  <c r="U1370" i="202"/>
  <c r="U1371" i="202"/>
  <c r="U1372" i="202"/>
  <c r="U1373" i="202"/>
  <c r="U1374" i="202"/>
  <c r="U1375" i="202"/>
  <c r="U1376" i="202"/>
  <c r="U1377" i="202"/>
  <c r="U1378" i="202"/>
  <c r="U1379" i="202"/>
  <c r="U1380" i="202"/>
  <c r="U1381" i="202"/>
  <c r="U1382" i="202"/>
  <c r="U1383" i="202"/>
  <c r="U1384" i="202"/>
  <c r="U1385" i="202"/>
  <c r="U1386" i="202"/>
  <c r="U1387" i="202"/>
  <c r="U1388" i="202"/>
  <c r="U1389" i="202"/>
  <c r="U1390" i="202"/>
  <c r="U1391" i="202"/>
  <c r="U1392" i="202"/>
  <c r="U1393" i="202"/>
  <c r="U1394" i="202"/>
  <c r="U1395" i="202"/>
  <c r="U1396" i="202"/>
  <c r="U1397" i="202"/>
  <c r="U1398" i="202"/>
  <c r="U1399" i="202"/>
  <c r="U1400" i="202"/>
  <c r="U1401" i="202"/>
  <c r="U1402" i="202"/>
  <c r="U1403" i="202"/>
  <c r="U1404" i="202"/>
  <c r="U1405" i="202"/>
  <c r="U1406" i="202"/>
  <c r="U1407" i="202"/>
  <c r="U1408" i="202"/>
  <c r="U1409" i="202"/>
  <c r="U1410" i="202"/>
  <c r="U1411" i="202"/>
  <c r="U1412" i="202"/>
  <c r="U1413" i="202"/>
  <c r="U1414" i="202"/>
  <c r="U1415" i="202"/>
  <c r="U1416" i="202"/>
  <c r="U1417" i="202"/>
  <c r="U1418" i="202"/>
  <c r="U1419" i="202"/>
  <c r="U1420" i="202"/>
  <c r="U1421" i="202"/>
  <c r="U1422" i="202"/>
  <c r="U1423" i="202"/>
  <c r="U1424" i="202"/>
  <c r="U1425" i="202"/>
  <c r="U1426" i="202"/>
  <c r="U1427" i="202"/>
  <c r="U1428" i="202"/>
  <c r="U1429" i="202"/>
  <c r="U1430" i="202"/>
  <c r="U1431" i="202"/>
  <c r="U1432" i="202"/>
  <c r="U1433" i="202"/>
  <c r="U1434" i="202"/>
  <c r="U1435" i="202"/>
  <c r="U1436" i="202"/>
  <c r="U1437" i="202"/>
  <c r="U1438" i="202"/>
  <c r="U1439" i="202"/>
  <c r="U1440" i="202"/>
  <c r="U1441" i="202"/>
  <c r="U1442" i="202"/>
  <c r="U1443" i="202"/>
  <c r="U1444" i="202"/>
  <c r="U1445" i="202"/>
  <c r="U1446" i="202"/>
  <c r="U1447" i="202"/>
  <c r="U1448" i="202"/>
  <c r="U1449" i="202"/>
  <c r="U1450" i="202"/>
  <c r="U1451" i="202"/>
  <c r="U1452" i="202"/>
  <c r="U1453" i="202"/>
  <c r="U1454" i="202"/>
  <c r="U1455" i="202"/>
  <c r="U1456" i="202"/>
  <c r="U1457" i="202"/>
  <c r="U1458" i="202"/>
  <c r="U1459" i="202"/>
  <c r="U1460" i="202"/>
  <c r="U1461" i="202"/>
  <c r="U1462" i="202"/>
  <c r="U1463" i="202"/>
  <c r="U1464" i="202"/>
  <c r="U1465" i="202"/>
  <c r="U1466" i="202"/>
  <c r="U1467" i="202"/>
  <c r="U1468" i="202"/>
  <c r="U1469" i="202"/>
  <c r="U1470" i="202"/>
  <c r="U1471" i="202"/>
  <c r="U1472" i="202"/>
  <c r="U1473" i="202"/>
  <c r="U1474" i="202"/>
  <c r="U1475" i="202"/>
  <c r="U1476" i="202"/>
  <c r="U1477" i="202"/>
  <c r="U1478" i="202"/>
  <c r="U1479" i="202"/>
  <c r="U1480" i="202"/>
  <c r="U1481" i="202"/>
  <c r="U1482" i="202"/>
  <c r="U1483" i="202"/>
  <c r="U1484" i="202"/>
  <c r="U1485" i="202"/>
  <c r="U1486" i="202"/>
  <c r="U1487" i="202"/>
  <c r="U1488" i="202"/>
  <c r="U1489" i="202"/>
  <c r="U1490" i="202"/>
  <c r="U1491" i="202"/>
  <c r="U1492" i="202"/>
  <c r="U1493" i="202"/>
  <c r="U1494" i="202"/>
  <c r="U1495" i="202"/>
  <c r="U1496" i="202"/>
  <c r="U1497" i="202"/>
  <c r="U1498" i="202"/>
  <c r="U1499" i="202"/>
  <c r="U1500" i="202"/>
  <c r="U1501" i="202"/>
  <c r="U1502" i="202"/>
  <c r="U1503" i="202"/>
  <c r="U1504" i="202"/>
  <c r="U1505" i="202"/>
  <c r="U1506" i="202"/>
  <c r="U1507" i="202"/>
  <c r="U1508" i="202"/>
  <c r="U1509" i="202"/>
  <c r="U1510" i="202"/>
  <c r="U1511" i="202"/>
  <c r="U1512" i="202"/>
  <c r="U1513" i="202"/>
  <c r="U1514" i="202"/>
  <c r="U1515" i="202"/>
  <c r="U1516" i="202"/>
  <c r="U1517" i="202"/>
  <c r="U1518" i="202"/>
  <c r="U1519" i="202"/>
  <c r="U1520" i="202"/>
  <c r="U1521" i="202"/>
  <c r="U1522" i="202"/>
  <c r="U1523" i="202"/>
  <c r="U1524" i="202"/>
  <c r="U1525" i="202"/>
  <c r="U1526" i="202"/>
  <c r="U1527" i="202"/>
  <c r="U1528" i="202"/>
  <c r="U1529" i="202"/>
  <c r="U1530" i="202"/>
  <c r="U1531" i="202"/>
  <c r="U1532" i="202"/>
  <c r="U1533" i="202"/>
  <c r="U1534" i="202"/>
  <c r="U1535" i="202"/>
  <c r="U1536" i="202"/>
  <c r="U1537" i="202"/>
  <c r="U1538" i="202"/>
  <c r="U1539" i="202"/>
  <c r="U1540" i="202"/>
  <c r="U1541" i="202"/>
  <c r="U1542" i="202"/>
  <c r="U1543" i="202"/>
  <c r="U1544" i="202"/>
  <c r="U1545" i="202"/>
  <c r="U1546" i="202"/>
  <c r="U1547" i="202"/>
  <c r="U1548" i="202"/>
  <c r="U1549" i="202"/>
  <c r="U1550" i="202"/>
  <c r="U1551" i="202"/>
  <c r="U1552" i="202"/>
  <c r="U1553" i="202"/>
  <c r="U1554" i="202"/>
  <c r="U1555" i="202"/>
  <c r="U1556" i="202"/>
  <c r="U1557" i="202"/>
  <c r="U1558" i="202"/>
  <c r="U1559" i="202"/>
  <c r="U1560" i="202"/>
  <c r="U1561" i="202"/>
  <c r="U1562" i="202"/>
  <c r="U1563" i="202"/>
  <c r="U1564" i="202"/>
  <c r="U1565" i="202"/>
  <c r="U1566" i="202"/>
  <c r="U1567" i="202"/>
  <c r="U1568" i="202"/>
  <c r="U1569" i="202"/>
  <c r="U1570" i="202"/>
  <c r="U1571" i="202"/>
  <c r="U1572" i="202"/>
  <c r="U1573" i="202"/>
  <c r="U1574" i="202"/>
  <c r="U1575" i="202"/>
  <c r="U1576" i="202"/>
  <c r="U1577" i="202"/>
  <c r="U1578" i="202"/>
  <c r="U1579" i="202"/>
  <c r="U1580" i="202"/>
  <c r="U1581" i="202"/>
  <c r="U1582" i="202"/>
  <c r="U1583" i="202"/>
  <c r="U1584" i="202"/>
  <c r="U1585" i="202"/>
  <c r="U1586" i="202"/>
  <c r="U1587" i="202"/>
  <c r="U1588" i="202"/>
  <c r="U1589" i="202"/>
  <c r="U1590" i="202"/>
  <c r="U1591" i="202"/>
  <c r="U1592" i="202"/>
  <c r="U1593" i="202"/>
  <c r="U1594" i="202"/>
  <c r="U1595" i="202"/>
  <c r="U1596" i="202"/>
  <c r="U1597" i="202"/>
  <c r="U1598" i="202"/>
  <c r="U1599" i="202"/>
  <c r="U1600" i="202"/>
  <c r="U1601" i="202"/>
  <c r="U1602" i="202"/>
  <c r="U1603" i="202"/>
  <c r="U1604" i="202"/>
  <c r="U1605" i="202"/>
  <c r="U1606" i="202"/>
  <c r="U1607" i="202"/>
  <c r="U1608" i="202"/>
  <c r="U1609" i="202"/>
  <c r="U1610" i="202"/>
  <c r="U1611" i="202"/>
  <c r="U1612" i="202"/>
  <c r="U1613" i="202"/>
  <c r="U1614" i="202"/>
  <c r="U1615" i="202"/>
  <c r="U1616" i="202"/>
  <c r="U1617" i="202"/>
  <c r="U1618" i="202"/>
  <c r="U1619" i="202"/>
  <c r="U1620" i="202"/>
  <c r="U1621" i="202"/>
  <c r="U1622" i="202"/>
  <c r="U1623" i="202"/>
  <c r="U1624" i="202"/>
  <c r="U1625" i="202"/>
  <c r="U1626" i="202"/>
  <c r="U1627" i="202"/>
  <c r="U1628" i="202"/>
  <c r="U1629" i="202"/>
  <c r="U1630" i="202"/>
  <c r="U1631" i="202"/>
  <c r="U1632" i="202"/>
  <c r="U1633" i="202"/>
  <c r="U1634" i="202"/>
  <c r="U1635" i="202"/>
  <c r="U1636" i="202"/>
  <c r="U1637" i="202"/>
  <c r="U1638" i="202"/>
  <c r="U1639" i="202"/>
  <c r="U1640" i="202"/>
  <c r="U1641" i="202"/>
  <c r="U1642" i="202"/>
  <c r="U1643" i="202"/>
  <c r="U1644" i="202"/>
  <c r="U1645" i="202"/>
  <c r="U1646" i="202"/>
  <c r="U1647" i="202"/>
  <c r="U1648" i="202"/>
  <c r="U1649" i="202"/>
  <c r="U1650" i="202"/>
  <c r="U1651" i="202"/>
  <c r="U1652" i="202"/>
  <c r="U1653" i="202"/>
  <c r="U1654" i="202"/>
  <c r="U1655" i="202"/>
  <c r="U1656" i="202"/>
  <c r="U1657" i="202"/>
  <c r="U1658" i="202"/>
  <c r="U1659" i="202"/>
  <c r="U1660" i="202"/>
  <c r="U1661" i="202"/>
  <c r="U1662" i="202"/>
  <c r="U1663" i="202"/>
  <c r="U1664" i="202"/>
  <c r="U1665" i="202"/>
  <c r="U1666" i="202"/>
  <c r="U1667" i="202"/>
  <c r="U1668" i="202"/>
  <c r="U1669" i="202"/>
  <c r="U1670" i="202"/>
  <c r="U1671" i="202"/>
  <c r="U1672" i="202"/>
  <c r="U1673" i="202"/>
  <c r="U1674" i="202"/>
  <c r="U1675" i="202"/>
  <c r="U1676" i="202"/>
  <c r="U1677" i="202"/>
  <c r="U1678" i="202"/>
  <c r="U1679" i="202"/>
  <c r="U1680" i="202"/>
  <c r="U1681" i="202"/>
  <c r="U1682" i="202"/>
  <c r="U1683" i="202"/>
  <c r="U1684" i="202"/>
  <c r="U1685" i="202"/>
  <c r="U1686" i="202"/>
  <c r="U1687" i="202"/>
  <c r="U1688" i="202"/>
  <c r="U1689" i="202"/>
  <c r="U1690" i="202"/>
  <c r="U1691" i="202"/>
  <c r="U1692" i="202"/>
  <c r="U1693" i="202"/>
  <c r="U1694" i="202"/>
  <c r="U1695" i="202"/>
  <c r="U1696" i="202"/>
  <c r="U1697" i="202"/>
  <c r="U1698" i="202"/>
  <c r="U1699" i="202"/>
  <c r="U1700" i="202"/>
  <c r="U1701" i="202"/>
  <c r="U1702" i="202"/>
  <c r="U1703" i="202"/>
  <c r="U1704" i="202"/>
  <c r="U1705" i="202"/>
  <c r="U1706" i="202"/>
  <c r="U1707" i="202"/>
  <c r="U1708" i="202"/>
  <c r="U1709" i="202"/>
  <c r="U1710" i="202"/>
  <c r="U1711" i="202"/>
  <c r="U1712" i="202"/>
  <c r="U1713" i="202"/>
  <c r="U1714" i="202"/>
  <c r="U1715" i="202"/>
  <c r="U1716" i="202"/>
  <c r="U1717" i="202"/>
  <c r="U1718" i="202"/>
  <c r="U1719" i="202"/>
  <c r="U1720" i="202"/>
  <c r="U1721" i="202"/>
  <c r="U1722" i="202"/>
  <c r="U1723" i="202"/>
  <c r="U1724" i="202"/>
  <c r="U1725" i="202"/>
  <c r="U1726" i="202"/>
  <c r="U1727" i="202"/>
  <c r="U1728" i="202"/>
  <c r="U1729" i="202"/>
  <c r="U1730" i="202"/>
  <c r="U1731" i="202"/>
  <c r="U1732" i="202"/>
  <c r="U1733" i="202"/>
  <c r="U1734" i="202"/>
  <c r="U1735" i="202"/>
  <c r="U1736" i="202"/>
  <c r="U1737" i="202"/>
  <c r="U1738" i="202"/>
  <c r="U1739" i="202"/>
  <c r="U1740" i="202"/>
  <c r="U1741" i="202"/>
  <c r="U1742" i="202"/>
  <c r="U1743" i="202"/>
  <c r="U1744" i="202"/>
  <c r="U1745" i="202"/>
  <c r="U1746" i="202"/>
  <c r="U1747" i="202"/>
  <c r="U1748" i="202"/>
  <c r="U1749" i="202"/>
  <c r="U1750" i="202"/>
  <c r="U1751" i="202"/>
  <c r="U1752" i="202"/>
  <c r="U1753" i="202"/>
  <c r="U1754" i="202"/>
  <c r="U1755" i="202"/>
  <c r="U1756" i="202"/>
  <c r="U1757" i="202"/>
  <c r="U1758" i="202"/>
  <c r="U1759" i="202"/>
  <c r="U1760" i="202"/>
  <c r="U1761" i="202"/>
  <c r="U1762" i="202"/>
  <c r="U1763" i="202"/>
  <c r="U1764" i="202"/>
  <c r="U1765" i="202"/>
  <c r="U1766" i="202"/>
  <c r="U1767" i="202"/>
  <c r="U1768" i="202"/>
  <c r="U1769" i="202"/>
  <c r="U1770" i="202"/>
  <c r="U1771" i="202"/>
  <c r="U1772" i="202"/>
  <c r="U1773" i="202"/>
  <c r="U1774" i="202"/>
  <c r="U1775" i="202"/>
  <c r="U1776" i="202"/>
  <c r="U1777" i="202"/>
  <c r="U1778" i="202"/>
  <c r="U1779" i="202"/>
  <c r="U1780" i="202"/>
  <c r="U1781" i="202"/>
  <c r="U1782" i="202"/>
  <c r="U1783" i="202"/>
  <c r="U1784" i="202"/>
  <c r="U1785" i="202"/>
  <c r="U1786" i="202"/>
  <c r="U1787" i="202"/>
  <c r="U1788" i="202"/>
  <c r="U1789" i="202"/>
  <c r="U1790" i="202"/>
  <c r="U1791" i="202"/>
  <c r="U1792" i="202"/>
  <c r="U1793" i="202"/>
  <c r="U1794" i="202"/>
  <c r="U1795" i="202"/>
  <c r="U1796" i="202"/>
  <c r="U1797" i="202"/>
  <c r="U1798" i="202"/>
  <c r="U1799" i="202"/>
  <c r="U1800" i="202"/>
  <c r="U1801" i="202"/>
  <c r="U1802" i="202"/>
  <c r="U1803" i="202"/>
  <c r="U1804" i="202"/>
  <c r="U1805" i="202"/>
  <c r="U1806" i="202"/>
  <c r="U1807" i="202"/>
  <c r="U1808" i="202"/>
  <c r="U1809" i="202"/>
  <c r="U1810" i="202"/>
  <c r="U1811" i="202"/>
  <c r="U1812" i="202"/>
  <c r="U1813" i="202"/>
  <c r="U1814" i="202"/>
  <c r="U1815" i="202"/>
  <c r="U1816" i="202"/>
  <c r="U1817" i="202"/>
  <c r="U1818" i="202"/>
  <c r="U1819" i="202"/>
  <c r="U1820" i="202"/>
  <c r="U1821" i="202"/>
  <c r="U1822" i="202"/>
  <c r="U1823" i="202"/>
  <c r="U1824" i="202"/>
  <c r="U1825" i="202"/>
  <c r="U1826" i="202"/>
  <c r="U1827" i="202"/>
  <c r="U1828" i="202"/>
  <c r="U1829" i="202"/>
  <c r="U1830" i="202"/>
  <c r="U1831" i="202"/>
  <c r="U1832" i="202"/>
  <c r="U1833" i="202"/>
  <c r="U1834" i="202"/>
  <c r="U1835" i="202"/>
  <c r="U1836" i="202"/>
  <c r="U1837" i="202"/>
  <c r="U1838" i="202"/>
  <c r="U1839" i="202"/>
  <c r="U1840" i="202"/>
  <c r="U1841" i="202"/>
  <c r="U1842" i="202"/>
  <c r="U1843" i="202"/>
  <c r="U1844" i="202"/>
  <c r="U1845" i="202"/>
  <c r="U1846" i="202"/>
  <c r="U1847" i="202"/>
  <c r="U1848" i="202"/>
  <c r="U1849" i="202"/>
  <c r="U1850" i="202"/>
  <c r="U1851" i="202"/>
  <c r="U1852" i="202"/>
  <c r="U1853" i="202"/>
  <c r="U1854" i="202"/>
  <c r="U1855" i="202"/>
  <c r="U1856" i="202"/>
  <c r="U1857" i="202"/>
  <c r="U1858" i="202"/>
  <c r="U1859" i="202"/>
  <c r="U1860" i="202"/>
  <c r="U1861" i="202"/>
  <c r="U1862" i="202"/>
  <c r="U1863" i="202"/>
  <c r="U1864" i="202"/>
  <c r="U1865" i="202"/>
  <c r="U1866" i="202"/>
  <c r="U1867" i="202"/>
  <c r="U1868" i="202"/>
  <c r="U1869" i="202"/>
  <c r="U1870" i="202"/>
  <c r="U1871" i="202"/>
  <c r="U1872" i="202"/>
  <c r="U1873" i="202"/>
  <c r="U1874" i="202"/>
  <c r="U1875" i="202"/>
  <c r="U1876" i="202"/>
  <c r="U1877" i="202"/>
  <c r="U1878" i="202"/>
  <c r="U1879" i="202"/>
  <c r="U1880" i="202"/>
  <c r="U1881" i="202"/>
  <c r="U1882" i="202"/>
  <c r="U1883" i="202"/>
  <c r="U1884" i="202"/>
  <c r="U1885" i="202"/>
  <c r="U1886" i="202"/>
  <c r="U1887" i="202"/>
  <c r="U1888" i="202"/>
  <c r="U1889" i="202"/>
  <c r="U1890" i="202"/>
  <c r="U1891" i="202"/>
  <c r="U1892" i="202"/>
  <c r="U1893" i="202"/>
  <c r="U1894" i="202"/>
  <c r="U1895" i="202"/>
  <c r="U1896" i="202"/>
  <c r="U1897" i="202"/>
  <c r="U1898" i="202"/>
  <c r="U1899" i="202"/>
  <c r="U1900" i="202"/>
  <c r="U1901" i="202"/>
  <c r="U1902" i="202"/>
  <c r="U1903" i="202"/>
  <c r="U1904" i="202"/>
  <c r="U1905" i="202"/>
  <c r="U1906" i="202"/>
  <c r="U1907" i="202"/>
  <c r="U1908" i="202"/>
  <c r="U1909" i="202"/>
  <c r="U1910" i="202"/>
  <c r="U1911" i="202"/>
  <c r="U1912" i="202"/>
  <c r="U1913" i="202"/>
  <c r="U1914" i="202"/>
  <c r="U1915" i="202"/>
  <c r="U1916" i="202"/>
  <c r="U1917" i="202"/>
  <c r="U1918" i="202"/>
  <c r="U1919" i="202"/>
  <c r="U1920" i="202"/>
  <c r="U1921" i="202"/>
  <c r="U1922" i="202"/>
  <c r="U1923" i="202"/>
  <c r="U1924" i="202"/>
  <c r="U1925" i="202"/>
  <c r="U1926" i="202"/>
  <c r="U1927" i="202"/>
  <c r="U1928" i="202"/>
  <c r="U1929" i="202"/>
  <c r="U1930" i="202"/>
  <c r="U1931" i="202"/>
  <c r="U1932" i="202"/>
  <c r="U1933" i="202"/>
  <c r="U1934" i="202"/>
  <c r="U1935" i="202"/>
  <c r="U1936" i="202"/>
  <c r="U1937" i="202"/>
  <c r="U1938" i="202"/>
  <c r="U1939" i="202"/>
  <c r="U1940" i="202"/>
  <c r="U1941" i="202"/>
  <c r="U1942" i="202"/>
  <c r="U1943" i="202"/>
  <c r="U1944" i="202"/>
  <c r="U1945" i="202"/>
  <c r="U1946" i="202"/>
  <c r="U1947" i="202"/>
  <c r="U1948" i="202"/>
  <c r="U1949" i="202"/>
  <c r="U1950" i="202"/>
  <c r="U1951" i="202"/>
  <c r="U1952" i="202"/>
  <c r="U1953" i="202"/>
  <c r="U1954" i="202"/>
  <c r="U1955" i="202"/>
  <c r="U1956" i="202"/>
  <c r="U1957" i="202"/>
  <c r="U1958" i="202"/>
  <c r="U1959" i="202"/>
  <c r="U1960" i="202"/>
  <c r="U1961" i="202"/>
  <c r="U1962" i="202"/>
  <c r="U1963" i="202"/>
  <c r="U1964" i="202"/>
  <c r="U1965" i="202"/>
  <c r="U1966" i="202"/>
  <c r="U1967" i="202"/>
  <c r="U1968" i="202"/>
  <c r="U1969" i="202"/>
  <c r="U1970" i="202"/>
  <c r="U1971" i="202"/>
  <c r="U1972" i="202"/>
  <c r="U1973" i="202"/>
  <c r="U1974" i="202"/>
  <c r="U1975" i="202"/>
  <c r="U1976" i="202"/>
  <c r="U1977" i="202"/>
  <c r="U1978" i="202"/>
  <c r="U1979" i="202"/>
  <c r="U1980" i="202"/>
  <c r="U1981" i="202"/>
  <c r="U1982" i="202"/>
  <c r="U1983" i="202"/>
  <c r="U1984" i="202"/>
  <c r="U1985" i="202"/>
  <c r="U1986" i="202"/>
  <c r="U1987" i="202"/>
  <c r="U1988" i="202"/>
  <c r="U1989" i="202"/>
  <c r="U1990" i="202"/>
  <c r="U1991" i="202"/>
  <c r="U1992" i="202"/>
  <c r="U1993" i="202"/>
  <c r="U1994" i="202"/>
  <c r="U1995" i="202"/>
  <c r="U1996" i="202"/>
  <c r="U1997" i="202"/>
  <c r="U1998" i="202"/>
  <c r="U1999" i="202"/>
  <c r="U2000" i="202"/>
  <c r="U2001" i="202"/>
  <c r="U2002" i="202"/>
  <c r="U2003" i="202"/>
  <c r="U2004" i="202"/>
  <c r="U2005" i="202"/>
  <c r="U2006" i="202"/>
  <c r="U2007" i="202"/>
  <c r="U2008" i="202"/>
  <c r="U2009" i="202"/>
  <c r="U2010" i="202"/>
  <c r="U2011" i="202"/>
  <c r="U2012" i="202"/>
  <c r="U2013" i="202"/>
  <c r="U2014" i="202"/>
  <c r="U2015" i="202"/>
  <c r="U2016" i="202"/>
  <c r="U2017" i="202"/>
  <c r="U2018" i="202"/>
  <c r="U2019" i="202"/>
  <c r="U2020" i="202"/>
  <c r="U2021" i="202"/>
  <c r="U2022" i="202"/>
  <c r="U2023" i="202"/>
  <c r="U2024" i="202"/>
  <c r="U2025" i="202"/>
  <c r="U2026" i="202"/>
  <c r="U2027" i="202"/>
  <c r="U2028" i="202"/>
  <c r="U2029" i="202"/>
  <c r="U2030" i="202"/>
  <c r="U2031" i="202"/>
  <c r="U2032" i="202"/>
  <c r="U2033" i="202"/>
  <c r="U2034" i="202"/>
  <c r="U2035" i="202"/>
  <c r="U2036" i="202"/>
  <c r="U2037" i="202"/>
  <c r="U2038" i="202"/>
  <c r="U2039" i="202"/>
  <c r="U2040" i="202"/>
  <c r="U2041" i="202"/>
  <c r="U2042" i="202"/>
  <c r="U2043" i="202"/>
  <c r="U2044" i="202"/>
  <c r="U2045" i="202"/>
  <c r="U2046" i="202"/>
  <c r="U2047" i="202"/>
  <c r="U2048" i="202"/>
  <c r="AV2" i="202"/>
  <c r="AV3" i="202"/>
  <c r="AV4" i="202"/>
  <c r="AV5" i="202"/>
  <c r="AV6" i="202"/>
  <c r="AV7" i="202"/>
  <c r="AV8" i="202"/>
  <c r="AV9" i="202"/>
  <c r="AV10" i="202"/>
  <c r="AV11" i="202"/>
  <c r="AV12" i="202"/>
  <c r="AV13" i="202"/>
  <c r="AV14" i="202"/>
  <c r="AV15" i="202"/>
  <c r="AV16" i="202"/>
  <c r="AV17" i="202"/>
  <c r="AV18" i="202"/>
  <c r="AV19" i="202"/>
  <c r="AV20" i="202"/>
  <c r="AV21" i="202"/>
  <c r="AV22" i="202"/>
  <c r="AV23" i="202"/>
  <c r="AV24" i="202"/>
  <c r="AV25" i="202"/>
  <c r="AV26" i="202"/>
  <c r="AV27" i="202"/>
  <c r="AV28" i="202"/>
  <c r="AV29" i="202"/>
  <c r="AV30" i="202"/>
  <c r="AV31" i="202"/>
  <c r="AV32" i="202"/>
  <c r="AV33" i="202"/>
  <c r="AV34" i="202"/>
  <c r="AV35" i="202"/>
  <c r="AV36" i="202"/>
  <c r="AV37" i="202"/>
  <c r="AV38" i="202"/>
  <c r="AV39" i="202"/>
  <c r="AV40" i="202"/>
  <c r="AV41" i="202"/>
  <c r="AV42" i="202"/>
  <c r="AV43" i="202"/>
  <c r="AV44" i="202"/>
  <c r="AV45" i="202"/>
  <c r="AV46" i="202"/>
  <c r="AV47" i="202"/>
  <c r="AV48" i="202"/>
  <c r="AV49" i="202"/>
  <c r="AV50" i="202"/>
  <c r="AV51" i="202"/>
  <c r="AV52" i="202"/>
  <c r="AV53" i="202"/>
  <c r="AV54" i="202"/>
  <c r="AV55" i="202"/>
  <c r="AV56" i="202"/>
  <c r="AV57" i="202"/>
  <c r="AV58" i="202"/>
  <c r="AV59" i="202"/>
  <c r="AV60" i="202"/>
  <c r="AV61" i="202"/>
  <c r="AV62" i="202"/>
  <c r="AV63" i="202"/>
  <c r="AV64" i="202"/>
  <c r="AV65" i="202"/>
  <c r="AV66" i="202"/>
  <c r="AV67" i="202"/>
  <c r="AV68" i="202"/>
  <c r="AV69" i="202"/>
  <c r="AV70" i="202"/>
  <c r="AV71" i="202"/>
  <c r="AV72" i="202"/>
  <c r="AV73" i="202"/>
  <c r="AV74" i="202"/>
  <c r="AV75" i="202"/>
  <c r="AV76" i="202"/>
  <c r="AV77" i="202"/>
  <c r="AV78" i="202"/>
  <c r="AV79" i="202"/>
  <c r="AV80" i="202"/>
  <c r="AV81" i="202"/>
  <c r="AV82" i="202"/>
  <c r="AV83" i="202"/>
  <c r="AV84" i="202"/>
  <c r="AV85" i="202"/>
  <c r="AV86" i="202"/>
  <c r="AV87" i="202"/>
  <c r="AV88" i="202"/>
  <c r="AV89" i="202"/>
  <c r="AV90" i="202"/>
  <c r="AV91" i="202"/>
  <c r="AV92" i="202"/>
  <c r="AV93" i="202"/>
  <c r="AV94" i="202"/>
  <c r="AV95" i="202"/>
  <c r="AV96" i="202"/>
  <c r="AV97" i="202"/>
  <c r="AV98" i="202"/>
  <c r="AV99" i="202"/>
  <c r="AV100" i="202"/>
  <c r="AV101" i="202"/>
  <c r="AV102" i="202"/>
  <c r="AV103" i="202"/>
  <c r="AV104" i="202"/>
  <c r="AV105" i="202"/>
  <c r="AV106" i="202"/>
  <c r="AV107" i="202"/>
  <c r="AV108" i="202"/>
  <c r="AV109" i="202"/>
  <c r="AV110" i="202"/>
  <c r="AV111" i="202"/>
  <c r="AV112" i="202"/>
  <c r="AV113" i="202"/>
  <c r="AV114" i="202"/>
  <c r="AV115" i="202"/>
  <c r="AV116" i="202"/>
  <c r="AV117" i="202"/>
  <c r="AV118" i="202"/>
  <c r="AV119" i="202"/>
  <c r="AV120" i="202"/>
  <c r="AV121" i="202"/>
  <c r="AV122" i="202"/>
  <c r="AV123" i="202"/>
  <c r="AV124" i="202"/>
  <c r="AV125" i="202"/>
  <c r="AV126" i="202"/>
  <c r="AV127" i="202"/>
  <c r="AV128" i="202"/>
  <c r="AV129" i="202"/>
  <c r="AV130" i="202"/>
  <c r="AV131" i="202"/>
  <c r="AV132" i="202"/>
  <c r="AV133" i="202"/>
  <c r="AV134" i="202"/>
  <c r="AV135" i="202"/>
  <c r="AV136" i="202"/>
  <c r="AV137" i="202"/>
  <c r="AV138" i="202"/>
  <c r="AV139" i="202"/>
  <c r="AV140" i="202"/>
  <c r="AV141" i="202"/>
  <c r="AV142" i="202"/>
  <c r="AV143" i="202"/>
  <c r="AV144" i="202"/>
  <c r="AV145" i="202"/>
  <c r="AV146" i="202"/>
  <c r="AV147" i="202"/>
  <c r="AV148" i="202"/>
  <c r="AV149" i="202"/>
  <c r="AV150" i="202"/>
  <c r="AV151" i="202"/>
  <c r="AV152" i="202"/>
  <c r="AV153" i="202"/>
  <c r="AV154" i="202"/>
  <c r="AV155" i="202"/>
  <c r="AV156" i="202"/>
  <c r="AV157" i="202"/>
  <c r="AV158" i="202"/>
  <c r="AV159" i="202"/>
  <c r="AV160" i="202"/>
  <c r="AV161" i="202"/>
  <c r="AV162" i="202"/>
  <c r="AV163" i="202"/>
  <c r="AV164" i="202"/>
  <c r="AV165" i="202"/>
  <c r="AV166" i="202"/>
  <c r="AV167" i="202"/>
  <c r="AV168" i="202"/>
  <c r="AV169" i="202"/>
  <c r="AV170" i="202"/>
  <c r="AV171" i="202"/>
  <c r="AV172" i="202"/>
  <c r="AV173" i="202"/>
  <c r="AV174" i="202"/>
  <c r="AV175" i="202"/>
  <c r="AV176" i="202"/>
  <c r="AV177" i="202"/>
  <c r="AV178" i="202"/>
  <c r="AV179" i="202"/>
  <c r="AV180" i="202"/>
  <c r="AV181" i="202"/>
  <c r="AV182" i="202"/>
  <c r="AV183" i="202"/>
  <c r="AV184" i="202"/>
  <c r="AV185" i="202"/>
  <c r="AV186" i="202"/>
  <c r="AV187" i="202"/>
  <c r="AV188" i="202"/>
  <c r="AV189" i="202"/>
  <c r="AV190" i="202"/>
  <c r="AV191" i="202"/>
  <c r="AV192" i="202"/>
  <c r="AV193" i="202"/>
  <c r="AV194" i="202"/>
  <c r="AV195" i="202"/>
  <c r="AV196" i="202"/>
  <c r="AV197" i="202"/>
  <c r="AV198" i="202"/>
  <c r="AV199" i="202"/>
  <c r="AV200" i="202"/>
  <c r="AV201" i="202"/>
  <c r="AV202" i="202"/>
  <c r="AV203" i="202"/>
  <c r="AV204" i="202"/>
  <c r="AV205" i="202"/>
  <c r="AV206" i="202"/>
  <c r="AV207" i="202"/>
  <c r="AV208" i="202"/>
  <c r="AV209" i="202"/>
  <c r="AV210" i="202"/>
  <c r="AV211" i="202"/>
  <c r="AV212" i="202"/>
  <c r="AV213" i="202"/>
  <c r="AV214" i="202"/>
  <c r="AV215" i="202"/>
  <c r="AV216" i="202"/>
  <c r="AV217" i="202"/>
  <c r="AV218" i="202"/>
  <c r="AV219" i="202"/>
  <c r="AV220" i="202"/>
  <c r="AV221" i="202"/>
  <c r="AV222" i="202"/>
  <c r="AV223" i="202"/>
  <c r="AV224" i="202"/>
  <c r="AV225" i="202"/>
  <c r="AV226" i="202"/>
  <c r="AV227" i="202"/>
  <c r="AV228" i="202"/>
  <c r="AV229" i="202"/>
  <c r="AV230" i="202"/>
  <c r="AV231" i="202"/>
  <c r="AV232" i="202"/>
  <c r="AV233" i="202"/>
  <c r="AV234" i="202"/>
  <c r="AV235" i="202"/>
  <c r="AV236" i="202"/>
  <c r="AV237" i="202"/>
  <c r="AV238" i="202"/>
  <c r="AV239" i="202"/>
  <c r="AV240" i="202"/>
  <c r="AV241" i="202"/>
  <c r="AV242" i="202"/>
  <c r="AV243" i="202"/>
  <c r="AV244" i="202"/>
  <c r="AV245" i="202"/>
  <c r="AV246" i="202"/>
  <c r="AV247" i="202"/>
  <c r="AV248" i="202"/>
  <c r="AV249" i="202"/>
  <c r="AV250" i="202"/>
  <c r="AV251" i="202"/>
  <c r="AV252" i="202"/>
  <c r="AV253" i="202"/>
  <c r="AV254" i="202"/>
  <c r="AV255" i="202"/>
  <c r="AV256" i="202"/>
  <c r="AV257" i="202"/>
  <c r="AV258" i="202"/>
  <c r="AV259" i="202"/>
  <c r="AV260" i="202"/>
  <c r="AV261" i="202"/>
  <c r="AV262" i="202"/>
  <c r="AV263" i="202"/>
  <c r="AV264" i="202"/>
  <c r="AV265" i="202"/>
  <c r="AV266" i="202"/>
  <c r="AV267" i="202"/>
  <c r="AV268" i="202"/>
  <c r="AV269" i="202"/>
  <c r="AV270" i="202"/>
  <c r="AV271" i="202"/>
  <c r="AV272" i="202"/>
  <c r="AV273" i="202"/>
  <c r="AV274" i="202"/>
  <c r="AV275" i="202"/>
  <c r="AV276" i="202"/>
  <c r="AV277" i="202"/>
  <c r="AV278" i="202"/>
  <c r="AV279" i="202"/>
  <c r="AV280" i="202"/>
  <c r="AV281" i="202"/>
  <c r="AV282" i="202"/>
  <c r="AV283" i="202"/>
  <c r="AV284" i="202"/>
  <c r="AV285" i="202"/>
  <c r="AV286" i="202"/>
  <c r="AV287" i="202"/>
  <c r="AV288" i="202"/>
  <c r="AV289" i="202"/>
  <c r="AV290" i="202"/>
  <c r="AV291" i="202"/>
  <c r="AV292" i="202"/>
  <c r="AV293" i="202"/>
  <c r="AV294" i="202"/>
  <c r="AV295" i="202"/>
  <c r="AV296" i="202"/>
  <c r="AV297" i="202"/>
  <c r="AV298" i="202"/>
  <c r="AV299" i="202"/>
  <c r="AV300" i="202"/>
  <c r="AV301" i="202"/>
  <c r="AV302" i="202"/>
  <c r="AV303" i="202"/>
  <c r="AV304" i="202"/>
  <c r="AV305" i="202"/>
  <c r="AV306" i="202"/>
  <c r="AV307" i="202"/>
  <c r="AV308" i="202"/>
  <c r="AV309" i="202"/>
  <c r="AV310" i="202"/>
  <c r="AV311" i="202"/>
  <c r="AV312" i="202"/>
  <c r="AV313" i="202"/>
  <c r="AV314" i="202"/>
  <c r="AV315" i="202"/>
  <c r="AV316" i="202"/>
  <c r="AV317" i="202"/>
  <c r="AV318" i="202"/>
  <c r="AV319" i="202"/>
  <c r="AV320" i="202"/>
  <c r="AV321" i="202"/>
  <c r="AV322" i="202"/>
  <c r="AV323" i="202"/>
  <c r="AV324" i="202"/>
  <c r="AV325" i="202"/>
  <c r="AV326" i="202"/>
  <c r="AV327" i="202"/>
  <c r="AV328" i="202"/>
  <c r="AV329" i="202"/>
  <c r="AV330" i="202"/>
  <c r="AV331" i="202"/>
  <c r="AV332" i="202"/>
  <c r="AV333" i="202"/>
  <c r="AV334" i="202"/>
  <c r="AV335" i="202"/>
  <c r="AV336" i="202"/>
  <c r="AV337" i="202"/>
  <c r="AV338" i="202"/>
  <c r="AV339" i="202"/>
  <c r="AV340" i="202"/>
  <c r="AV341" i="202"/>
  <c r="AV342" i="202"/>
  <c r="AV343" i="202"/>
  <c r="AV344" i="202"/>
  <c r="AV345" i="202"/>
  <c r="AV346" i="202"/>
  <c r="AV347" i="202"/>
  <c r="AV348" i="202"/>
  <c r="AV349" i="202"/>
  <c r="AV350" i="202"/>
  <c r="AV351" i="202"/>
  <c r="AV352" i="202"/>
  <c r="AV353" i="202"/>
  <c r="AV354" i="202"/>
  <c r="AV355" i="202"/>
  <c r="AV356" i="202"/>
  <c r="AV357" i="202"/>
  <c r="AV358" i="202"/>
  <c r="AV359" i="202"/>
  <c r="AV360" i="202"/>
  <c r="AV361" i="202"/>
  <c r="AV362" i="202"/>
  <c r="AV363" i="202"/>
  <c r="AV364" i="202"/>
  <c r="AV365" i="202"/>
  <c r="AV366" i="202"/>
  <c r="AV367" i="202"/>
  <c r="AV368" i="202"/>
  <c r="AV369" i="202"/>
  <c r="AV370" i="202"/>
  <c r="AV371" i="202"/>
  <c r="AV372" i="202"/>
  <c r="AV373" i="202"/>
  <c r="AV374" i="202"/>
  <c r="AV375" i="202"/>
  <c r="AV376" i="202"/>
  <c r="AV377" i="202"/>
  <c r="AV378" i="202"/>
  <c r="AV379" i="202"/>
  <c r="AV380" i="202"/>
  <c r="AV381" i="202"/>
  <c r="AV382" i="202"/>
  <c r="AV383" i="202"/>
  <c r="AV384" i="202"/>
  <c r="AV385" i="202"/>
  <c r="AV386" i="202"/>
  <c r="AV387" i="202"/>
  <c r="AV388" i="202"/>
  <c r="AV389" i="202"/>
  <c r="AV390" i="202"/>
  <c r="AV391" i="202"/>
  <c r="AV392" i="202"/>
  <c r="AV393" i="202"/>
  <c r="AV394" i="202"/>
  <c r="AV395" i="202"/>
  <c r="AV396" i="202"/>
  <c r="AV397" i="202"/>
  <c r="AV398" i="202"/>
  <c r="AV399" i="202"/>
  <c r="AV400" i="202"/>
  <c r="AV401" i="202"/>
  <c r="AV402" i="202"/>
  <c r="AV403" i="202"/>
  <c r="AV404" i="202"/>
  <c r="AV405" i="202"/>
  <c r="AV406" i="202"/>
  <c r="AV407" i="202"/>
  <c r="AV408" i="202"/>
  <c r="AV409" i="202"/>
  <c r="AV410" i="202"/>
  <c r="AV411" i="202"/>
  <c r="AV412" i="202"/>
  <c r="AV413" i="202"/>
  <c r="AV414" i="202"/>
  <c r="AV415" i="202"/>
  <c r="AV416" i="202"/>
  <c r="AV417" i="202"/>
  <c r="AV418" i="202"/>
  <c r="AV419" i="202"/>
  <c r="AV420" i="202"/>
  <c r="AV421" i="202"/>
  <c r="AV422" i="202"/>
  <c r="AV423" i="202"/>
  <c r="AV424" i="202"/>
  <c r="AV425" i="202"/>
  <c r="AV426" i="202"/>
  <c r="AV427" i="202"/>
  <c r="AV428" i="202"/>
  <c r="AV429" i="202"/>
  <c r="AV430" i="202"/>
  <c r="AV431" i="202"/>
  <c r="AV432" i="202"/>
  <c r="AV433" i="202"/>
  <c r="AV434" i="202"/>
  <c r="AV435" i="202"/>
  <c r="AV436" i="202"/>
  <c r="AV437" i="202"/>
  <c r="AV438" i="202"/>
  <c r="AV439" i="202"/>
  <c r="AV440" i="202"/>
  <c r="AV441" i="202"/>
  <c r="AV442" i="202"/>
  <c r="AV443" i="202"/>
  <c r="AV444" i="202"/>
  <c r="AV445" i="202"/>
  <c r="AV446" i="202"/>
  <c r="AV447" i="202"/>
  <c r="AV448" i="202"/>
  <c r="AV449" i="202"/>
  <c r="AV450" i="202"/>
  <c r="AV451" i="202"/>
  <c r="AV452" i="202"/>
  <c r="AV453" i="202"/>
  <c r="AV454" i="202"/>
  <c r="AV455" i="202"/>
  <c r="AV456" i="202"/>
  <c r="AV457" i="202"/>
  <c r="AV458" i="202"/>
  <c r="AV459" i="202"/>
  <c r="AV460" i="202"/>
  <c r="AV461" i="202"/>
  <c r="AV462" i="202"/>
  <c r="AV463" i="202"/>
  <c r="AV464" i="202"/>
  <c r="AV465" i="202"/>
  <c r="AV466" i="202"/>
  <c r="AV467" i="202"/>
  <c r="AV468" i="202"/>
  <c r="AV469" i="202"/>
  <c r="AV470" i="202"/>
  <c r="AV471" i="202"/>
  <c r="AV472" i="202"/>
  <c r="AV473" i="202"/>
  <c r="AV474" i="202"/>
  <c r="AV475" i="202"/>
  <c r="AV476" i="202"/>
  <c r="AV477" i="202"/>
  <c r="AV478" i="202"/>
  <c r="AV479" i="202"/>
  <c r="AV480" i="202"/>
  <c r="AV481" i="202"/>
  <c r="AV482" i="202"/>
  <c r="AV483" i="202"/>
  <c r="AV484" i="202"/>
  <c r="AV485" i="202"/>
  <c r="AV486" i="202"/>
  <c r="AV487" i="202"/>
  <c r="AV488" i="202"/>
  <c r="AV489" i="202"/>
  <c r="AV490" i="202"/>
  <c r="AV491" i="202"/>
  <c r="AV492" i="202"/>
  <c r="AV493" i="202"/>
  <c r="AV494" i="202"/>
  <c r="AV495" i="202"/>
  <c r="AV496" i="202"/>
  <c r="AV497" i="202"/>
  <c r="AV498" i="202"/>
  <c r="AV499" i="202"/>
  <c r="AV500" i="202"/>
  <c r="AV501" i="202"/>
  <c r="AV502" i="202"/>
  <c r="AV503" i="202"/>
  <c r="AV504" i="202"/>
  <c r="AV505" i="202"/>
  <c r="AV506" i="202"/>
  <c r="AV507" i="202"/>
  <c r="AV508" i="202"/>
  <c r="AV509" i="202"/>
  <c r="AV510" i="202"/>
  <c r="AV511" i="202"/>
  <c r="AV512" i="202"/>
  <c r="AV513" i="202"/>
  <c r="AV514" i="202"/>
  <c r="AV515" i="202"/>
  <c r="AV516" i="202"/>
  <c r="AV517" i="202"/>
  <c r="AV518" i="202"/>
  <c r="AV519" i="202"/>
  <c r="AV520" i="202"/>
  <c r="AV521" i="202"/>
  <c r="AV522" i="202"/>
  <c r="AV523" i="202"/>
  <c r="AV524" i="202"/>
  <c r="AV525" i="202"/>
  <c r="AV526" i="202"/>
  <c r="AV527" i="202"/>
  <c r="AV528" i="202"/>
  <c r="AV529" i="202"/>
  <c r="AV530" i="202"/>
  <c r="AV531" i="202"/>
  <c r="AV532" i="202"/>
  <c r="AV533" i="202"/>
  <c r="AV534" i="202"/>
  <c r="AV535" i="202"/>
  <c r="AV536" i="202"/>
  <c r="AV537" i="202"/>
  <c r="AV538" i="202"/>
  <c r="AV539" i="202"/>
  <c r="AV540" i="202"/>
  <c r="AV541" i="202"/>
  <c r="AV542" i="202"/>
  <c r="AV543" i="202"/>
  <c r="AV544" i="202"/>
  <c r="AV545" i="202"/>
  <c r="AV546" i="202"/>
  <c r="AV547" i="202"/>
  <c r="AV548" i="202"/>
  <c r="AV549" i="202"/>
  <c r="AV550" i="202"/>
  <c r="AV551" i="202"/>
  <c r="AV552" i="202"/>
  <c r="AV553" i="202"/>
  <c r="AV554" i="202"/>
  <c r="AV555" i="202"/>
  <c r="AV556" i="202"/>
  <c r="AV557" i="202"/>
  <c r="AV558" i="202"/>
  <c r="AV559" i="202"/>
  <c r="AV560" i="202"/>
  <c r="AV561" i="202"/>
  <c r="AV562" i="202"/>
  <c r="AV563" i="202"/>
  <c r="AV564" i="202"/>
  <c r="AV565" i="202"/>
  <c r="AV566" i="202"/>
  <c r="AV567" i="202"/>
  <c r="AV568" i="202"/>
  <c r="AV569" i="202"/>
  <c r="AV570" i="202"/>
  <c r="AV571" i="202"/>
  <c r="AV572" i="202"/>
  <c r="AV573" i="202"/>
  <c r="AV574" i="202"/>
  <c r="AV575" i="202"/>
  <c r="AV576" i="202"/>
  <c r="AV577" i="202"/>
  <c r="AV578" i="202"/>
  <c r="AV579" i="202"/>
  <c r="AV580" i="202"/>
  <c r="AV581" i="202"/>
  <c r="AV582" i="202"/>
  <c r="AV583" i="202"/>
  <c r="AV584" i="202"/>
  <c r="AV585" i="202"/>
  <c r="AV586" i="202"/>
  <c r="AV587" i="202"/>
  <c r="AV588" i="202"/>
  <c r="AV589" i="202"/>
  <c r="AV590" i="202"/>
  <c r="AV591" i="202"/>
  <c r="AV592" i="202"/>
  <c r="AV593" i="202"/>
  <c r="AV594" i="202"/>
  <c r="AV595" i="202"/>
  <c r="AV596" i="202"/>
  <c r="AV597" i="202"/>
  <c r="AV598" i="202"/>
  <c r="AV599" i="202"/>
  <c r="AV600" i="202"/>
  <c r="AV601" i="202"/>
  <c r="AV602" i="202"/>
  <c r="AV603" i="202"/>
  <c r="AV604" i="202"/>
  <c r="AV605" i="202"/>
  <c r="AV606" i="202"/>
  <c r="AV607" i="202"/>
  <c r="AV608" i="202"/>
  <c r="AV609" i="202"/>
  <c r="AV610" i="202"/>
  <c r="AV611" i="202"/>
  <c r="AV612" i="202"/>
  <c r="AV613" i="202"/>
  <c r="AV614" i="202"/>
  <c r="AV615" i="202"/>
  <c r="AV616" i="202"/>
  <c r="AV617" i="202"/>
  <c r="AV618" i="202"/>
  <c r="AV619" i="202"/>
  <c r="AV620" i="202"/>
  <c r="AV621" i="202"/>
  <c r="AV622" i="202"/>
  <c r="AV623" i="202"/>
  <c r="AV624" i="202"/>
  <c r="AV625" i="202"/>
  <c r="AV626" i="202"/>
  <c r="AV627" i="202"/>
  <c r="AV628" i="202"/>
  <c r="AV629" i="202"/>
  <c r="AV630" i="202"/>
  <c r="AV631" i="202"/>
  <c r="AV632" i="202"/>
  <c r="AV633" i="202"/>
  <c r="AV634" i="202"/>
  <c r="AV635" i="202"/>
  <c r="AV636" i="202"/>
  <c r="AV637" i="202"/>
  <c r="AV638" i="202"/>
  <c r="AV639" i="202"/>
  <c r="AV640" i="202"/>
  <c r="AV641" i="202"/>
  <c r="AV642" i="202"/>
  <c r="AV643" i="202"/>
  <c r="AV644" i="202"/>
  <c r="AV645" i="202"/>
  <c r="AV646" i="202"/>
  <c r="AV647" i="202"/>
  <c r="AV648" i="202"/>
  <c r="AV649" i="202"/>
  <c r="AV650" i="202"/>
  <c r="AV651" i="202"/>
  <c r="AV652" i="202"/>
  <c r="AV653" i="202"/>
  <c r="AV654" i="202"/>
  <c r="AV655" i="202"/>
  <c r="AV656" i="202"/>
  <c r="AV657" i="202"/>
  <c r="AV658" i="202"/>
  <c r="AV659" i="202"/>
  <c r="AV660" i="202"/>
  <c r="AV661" i="202"/>
  <c r="AV662" i="202"/>
  <c r="AV663" i="202"/>
  <c r="AV664" i="202"/>
  <c r="AV665" i="202"/>
  <c r="AV666" i="202"/>
  <c r="AV667" i="202"/>
  <c r="AV668" i="202"/>
  <c r="AV669" i="202"/>
  <c r="AV670" i="202"/>
  <c r="AV671" i="202"/>
  <c r="AV672" i="202"/>
  <c r="AV673" i="202"/>
  <c r="AV674" i="202"/>
  <c r="AV675" i="202"/>
  <c r="AV676" i="202"/>
  <c r="AV677" i="202"/>
  <c r="AV678" i="202"/>
  <c r="AV679" i="202"/>
  <c r="AV680" i="202"/>
  <c r="AV681" i="202"/>
  <c r="AV682" i="202"/>
  <c r="AV683" i="202"/>
  <c r="AV684" i="202"/>
  <c r="AV685" i="202"/>
  <c r="AV686" i="202"/>
  <c r="AV687" i="202"/>
  <c r="AV688" i="202"/>
  <c r="AV689" i="202"/>
  <c r="AV690" i="202"/>
  <c r="AV691" i="202"/>
  <c r="AV692" i="202"/>
  <c r="AV693" i="202"/>
  <c r="AV694" i="202"/>
  <c r="AV695" i="202"/>
  <c r="AV696" i="202"/>
  <c r="AV697" i="202"/>
  <c r="AV698" i="202"/>
  <c r="AV699" i="202"/>
  <c r="AV700" i="202"/>
  <c r="AV701" i="202"/>
  <c r="AV702" i="202"/>
  <c r="AV703" i="202"/>
  <c r="AV704" i="202"/>
  <c r="AV705" i="202"/>
  <c r="AV706" i="202"/>
  <c r="AV707" i="202"/>
  <c r="AV708" i="202"/>
  <c r="AV709" i="202"/>
  <c r="AV710" i="202"/>
  <c r="AV711" i="202"/>
  <c r="AV712" i="202"/>
  <c r="AV713" i="202"/>
  <c r="AV714" i="202"/>
  <c r="AV715" i="202"/>
  <c r="AV716" i="202"/>
  <c r="AV717" i="202"/>
  <c r="AV718" i="202"/>
  <c r="AV719" i="202"/>
  <c r="AV720" i="202"/>
  <c r="AV721" i="202"/>
  <c r="AV722" i="202"/>
  <c r="AV723" i="202"/>
  <c r="AV724" i="202"/>
  <c r="AV725" i="202"/>
  <c r="AV726" i="202"/>
  <c r="AV727" i="202"/>
  <c r="AV728" i="202"/>
  <c r="AV729" i="202"/>
  <c r="AV730" i="202"/>
  <c r="AV731" i="202"/>
  <c r="AV732" i="202"/>
  <c r="AV733" i="202"/>
  <c r="AV734" i="202"/>
  <c r="AV735" i="202"/>
  <c r="AV736" i="202"/>
  <c r="AV737" i="202"/>
  <c r="AV738" i="202"/>
  <c r="AV739" i="202"/>
  <c r="AV740" i="202"/>
  <c r="AV741" i="202"/>
  <c r="AV742" i="202"/>
  <c r="AV743" i="202"/>
  <c r="AV744" i="202"/>
  <c r="AV745" i="202"/>
  <c r="AV746" i="202"/>
  <c r="AV747" i="202"/>
  <c r="AV748" i="202"/>
  <c r="AV749" i="202"/>
  <c r="AV750" i="202"/>
  <c r="AV751" i="202"/>
  <c r="AV752" i="202"/>
  <c r="AV753" i="202"/>
  <c r="AV754" i="202"/>
  <c r="AV755" i="202"/>
  <c r="AV756" i="202"/>
  <c r="AV757" i="202"/>
  <c r="AV758" i="202"/>
  <c r="AV759" i="202"/>
  <c r="AV760" i="202"/>
  <c r="AV761" i="202"/>
  <c r="AV762" i="202"/>
  <c r="AV763" i="202"/>
  <c r="AV764" i="202"/>
  <c r="AV765" i="202"/>
  <c r="AV766" i="202"/>
  <c r="AV767" i="202"/>
  <c r="AV768" i="202"/>
  <c r="AV769" i="202"/>
  <c r="AV770" i="202"/>
  <c r="AV771" i="202"/>
  <c r="AV772" i="202"/>
  <c r="AV773" i="202"/>
  <c r="AV774" i="202"/>
  <c r="AV775" i="202"/>
  <c r="AV776" i="202"/>
  <c r="AV777" i="202"/>
  <c r="AV778" i="202"/>
  <c r="AV779" i="202"/>
  <c r="AV780" i="202"/>
  <c r="AV781" i="202"/>
  <c r="AV782" i="202"/>
  <c r="AV783" i="202"/>
  <c r="AV784" i="202"/>
  <c r="AV785" i="202"/>
  <c r="AV786" i="202"/>
  <c r="AV787" i="202"/>
  <c r="AV788" i="202"/>
  <c r="AV789" i="202"/>
  <c r="AV790" i="202"/>
  <c r="AV791" i="202"/>
  <c r="AV792" i="202"/>
  <c r="AV793" i="202"/>
  <c r="AV794" i="202"/>
  <c r="AV795" i="202"/>
  <c r="AV796" i="202"/>
  <c r="AV797" i="202"/>
  <c r="AV798" i="202"/>
  <c r="AV799" i="202"/>
  <c r="AV800" i="202"/>
  <c r="AV801" i="202"/>
  <c r="AV802" i="202"/>
  <c r="AV803" i="202"/>
  <c r="AV804" i="202"/>
  <c r="AV805" i="202"/>
  <c r="AV806" i="202"/>
  <c r="AV807" i="202"/>
  <c r="AV808" i="202"/>
  <c r="AV809" i="202"/>
  <c r="AV810" i="202"/>
  <c r="AV811" i="202"/>
  <c r="AV812" i="202"/>
  <c r="AV813" i="202"/>
  <c r="AV814" i="202"/>
  <c r="AV815" i="202"/>
  <c r="AV816" i="202"/>
  <c r="AV817" i="202"/>
  <c r="AV818" i="202"/>
  <c r="AV819" i="202"/>
  <c r="AV820" i="202"/>
  <c r="AV821" i="202"/>
  <c r="AV822" i="202"/>
  <c r="AV823" i="202"/>
  <c r="AV824" i="202"/>
  <c r="AV825" i="202"/>
  <c r="AV826" i="202"/>
  <c r="AV827" i="202"/>
  <c r="AV828" i="202"/>
  <c r="AV829" i="202"/>
  <c r="AV830" i="202"/>
  <c r="AV831" i="202"/>
  <c r="AV832" i="202"/>
  <c r="AV833" i="202"/>
  <c r="AV834" i="202"/>
  <c r="AV835" i="202"/>
  <c r="AV836" i="202"/>
  <c r="AV837" i="202"/>
  <c r="AV838" i="202"/>
  <c r="AV839" i="202"/>
  <c r="AV840" i="202"/>
  <c r="AV841" i="202"/>
  <c r="AV842" i="202"/>
  <c r="AV843" i="202"/>
  <c r="AV844" i="202"/>
  <c r="AV845" i="202"/>
  <c r="AV846" i="202"/>
  <c r="AV847" i="202"/>
  <c r="AV848" i="202"/>
  <c r="AV849" i="202"/>
  <c r="AV850" i="202"/>
  <c r="AV851" i="202"/>
  <c r="AV852" i="202"/>
  <c r="AV853" i="202"/>
  <c r="AV854" i="202"/>
  <c r="AV855" i="202"/>
  <c r="AV856" i="202"/>
  <c r="AV857" i="202"/>
  <c r="AV858" i="202"/>
  <c r="AV859" i="202"/>
  <c r="AV860" i="202"/>
  <c r="AV861" i="202"/>
  <c r="AV862" i="202"/>
  <c r="AV863" i="202"/>
  <c r="AV864" i="202"/>
  <c r="AV865" i="202"/>
  <c r="AV866" i="202"/>
  <c r="AV867" i="202"/>
  <c r="AV868" i="202"/>
  <c r="AV869" i="202"/>
  <c r="AV870" i="202"/>
  <c r="AV871" i="202"/>
  <c r="AV872" i="202"/>
  <c r="AV873" i="202"/>
  <c r="AV874" i="202"/>
  <c r="AV875" i="202"/>
  <c r="AV876" i="202"/>
  <c r="AV877" i="202"/>
  <c r="AV878" i="202"/>
  <c r="AV879" i="202"/>
  <c r="AV880" i="202"/>
  <c r="AV881" i="202"/>
  <c r="AV882" i="202"/>
  <c r="AV883" i="202"/>
  <c r="AV884" i="202"/>
  <c r="AV885" i="202"/>
  <c r="AV886" i="202"/>
  <c r="AV887" i="202"/>
  <c r="AV888" i="202"/>
  <c r="AV889" i="202"/>
  <c r="AV890" i="202"/>
  <c r="AV891" i="202"/>
  <c r="AV892" i="202"/>
  <c r="AV893" i="202"/>
  <c r="AV894" i="202"/>
  <c r="AV895" i="202"/>
  <c r="AV896" i="202"/>
  <c r="AV897" i="202"/>
  <c r="AV898" i="202"/>
  <c r="AV899" i="202"/>
  <c r="AV900" i="202"/>
  <c r="AV901" i="202"/>
  <c r="AV902" i="202"/>
  <c r="AV903" i="202"/>
  <c r="AV904" i="202"/>
  <c r="AV905" i="202"/>
  <c r="AV906" i="202"/>
  <c r="AV907" i="202"/>
  <c r="AV908" i="202"/>
  <c r="AV909" i="202"/>
  <c r="AV910" i="202"/>
  <c r="AV911" i="202"/>
  <c r="AV912" i="202"/>
  <c r="AV913" i="202"/>
  <c r="AV914" i="202"/>
  <c r="AV915" i="202"/>
  <c r="AV916" i="202"/>
  <c r="AV917" i="202"/>
  <c r="AV918" i="202"/>
  <c r="AV919" i="202"/>
  <c r="AV920" i="202"/>
  <c r="AV921" i="202"/>
  <c r="AV922" i="202"/>
  <c r="AV923" i="202"/>
  <c r="AV924" i="202"/>
  <c r="AV925" i="202"/>
  <c r="AV926" i="202"/>
  <c r="AV927" i="202"/>
  <c r="AV928" i="202"/>
  <c r="AV929" i="202"/>
  <c r="AV930" i="202"/>
  <c r="AV931" i="202"/>
  <c r="AV932" i="202"/>
  <c r="AV933" i="202"/>
  <c r="AV934" i="202"/>
  <c r="AV935" i="202"/>
  <c r="AV936" i="202"/>
  <c r="AV937" i="202"/>
  <c r="AV938" i="202"/>
  <c r="AV939" i="202"/>
  <c r="AV940" i="202"/>
  <c r="AV941" i="202"/>
  <c r="AV942" i="202"/>
  <c r="AV943" i="202"/>
  <c r="AV944" i="202"/>
  <c r="AV945" i="202"/>
  <c r="AV946" i="202"/>
  <c r="AV947" i="202"/>
  <c r="AV948" i="202"/>
  <c r="AV949" i="202"/>
  <c r="AV950" i="202"/>
  <c r="AV951" i="202"/>
  <c r="AV952" i="202"/>
  <c r="AV953" i="202"/>
  <c r="AV954" i="202"/>
  <c r="AV955" i="202"/>
  <c r="AV956" i="202"/>
  <c r="AV957" i="202"/>
  <c r="AV958" i="202"/>
  <c r="AV959" i="202"/>
  <c r="AV960" i="202"/>
  <c r="AV961" i="202"/>
  <c r="AV962" i="202"/>
  <c r="AV963" i="202"/>
  <c r="AV964" i="202"/>
  <c r="AV965" i="202"/>
  <c r="AV966" i="202"/>
  <c r="AV967" i="202"/>
  <c r="AV968" i="202"/>
  <c r="AV969" i="202"/>
  <c r="AV970" i="202"/>
  <c r="AV971" i="202"/>
  <c r="AV972" i="202"/>
  <c r="AV973" i="202"/>
  <c r="AV974" i="202"/>
  <c r="AV975" i="202"/>
  <c r="AV976" i="202"/>
  <c r="AV977" i="202"/>
  <c r="AV978" i="202"/>
  <c r="AV979" i="202"/>
  <c r="AV980" i="202"/>
  <c r="AV981" i="202"/>
  <c r="AV982" i="202"/>
  <c r="AV983" i="202"/>
  <c r="AV984" i="202"/>
  <c r="AV985" i="202"/>
  <c r="AV986" i="202"/>
  <c r="AV987" i="202"/>
  <c r="AV988" i="202"/>
  <c r="AV989" i="202"/>
  <c r="AV990" i="202"/>
  <c r="AV991" i="202"/>
  <c r="AV992" i="202"/>
  <c r="AV993" i="202"/>
  <c r="AV994" i="202"/>
  <c r="AV995" i="202"/>
  <c r="AV996" i="202"/>
  <c r="AV997" i="202"/>
  <c r="AV998" i="202"/>
  <c r="AV999" i="202"/>
  <c r="AV1000" i="202"/>
  <c r="AV1001" i="202"/>
  <c r="AV1002" i="202"/>
  <c r="AV1003" i="202"/>
  <c r="AV1004" i="202"/>
  <c r="AV1005" i="202"/>
  <c r="AV1006" i="202"/>
  <c r="AV1007" i="202"/>
  <c r="AV1008" i="202"/>
  <c r="AV1009" i="202"/>
  <c r="AV1010" i="202"/>
  <c r="AV1011" i="202"/>
  <c r="AV1012" i="202"/>
  <c r="AV1013" i="202"/>
  <c r="AV1014" i="202"/>
  <c r="AV1015" i="202"/>
  <c r="AV1016" i="202"/>
  <c r="AV1017" i="202"/>
  <c r="AV1018" i="202"/>
  <c r="AV1019" i="202"/>
  <c r="AV1020" i="202"/>
  <c r="AV1021" i="202"/>
  <c r="AV1022" i="202"/>
  <c r="AV1023" i="202"/>
  <c r="AV1024" i="202"/>
  <c r="AV1025" i="202"/>
  <c r="AV1026" i="202"/>
  <c r="AV1027" i="202"/>
  <c r="AV1028" i="202"/>
  <c r="AV1029" i="202"/>
  <c r="AV1030" i="202"/>
  <c r="AV1031" i="202"/>
  <c r="AV1032" i="202"/>
  <c r="AV1033" i="202"/>
  <c r="AV1034" i="202"/>
  <c r="AV1035" i="202"/>
  <c r="AV1036" i="202"/>
  <c r="AV1037" i="202"/>
  <c r="AV1038" i="202"/>
  <c r="AV1039" i="202"/>
  <c r="AV1040" i="202"/>
  <c r="AV1041" i="202"/>
  <c r="AV1042" i="202"/>
  <c r="AV1043" i="202"/>
  <c r="AV1044" i="202"/>
  <c r="AV1045" i="202"/>
  <c r="AV1046" i="202"/>
  <c r="AV1047" i="202"/>
  <c r="AV1048" i="202"/>
  <c r="AV1049" i="202"/>
  <c r="AV1050" i="202"/>
  <c r="AV1051" i="202"/>
  <c r="AV1052" i="202"/>
  <c r="AV1053" i="202"/>
  <c r="AV1054" i="202"/>
  <c r="AV1055" i="202"/>
  <c r="AV1056" i="202"/>
  <c r="AV1057" i="202"/>
  <c r="AV1058" i="202"/>
  <c r="AV1059" i="202"/>
  <c r="AV1060" i="202"/>
  <c r="AV1061" i="202"/>
  <c r="AV1062" i="202"/>
  <c r="AV1063" i="202"/>
  <c r="AV1064" i="202"/>
  <c r="AV1065" i="202"/>
  <c r="AV1066" i="202"/>
  <c r="AV1067" i="202"/>
  <c r="AV1068" i="202"/>
  <c r="AV1069" i="202"/>
  <c r="AV1070" i="202"/>
  <c r="AV1071" i="202"/>
  <c r="AV1072" i="202"/>
  <c r="AV1073" i="202"/>
  <c r="AV1074" i="202"/>
  <c r="AV1075" i="202"/>
  <c r="AV1076" i="202"/>
  <c r="AV1077" i="202"/>
  <c r="AV1078" i="202"/>
  <c r="AV1079" i="202"/>
  <c r="AV1080" i="202"/>
  <c r="AV1081" i="202"/>
  <c r="AV1082" i="202"/>
  <c r="AV1083" i="202"/>
  <c r="AV1084" i="202"/>
  <c r="AV1085" i="202"/>
  <c r="AV1086" i="202"/>
  <c r="AV1087" i="202"/>
  <c r="AV1088" i="202"/>
  <c r="AV1089" i="202"/>
  <c r="AV1090" i="202"/>
  <c r="AV1091" i="202"/>
  <c r="AV1092" i="202"/>
  <c r="AV1093" i="202"/>
  <c r="AV1094" i="202"/>
  <c r="AV1095" i="202"/>
  <c r="AV1096" i="202"/>
  <c r="AV1097" i="202"/>
  <c r="AV1098" i="202"/>
  <c r="AV1099" i="202"/>
  <c r="AV1100" i="202"/>
  <c r="AV1101" i="202"/>
  <c r="AV1102" i="202"/>
  <c r="AV1103" i="202"/>
  <c r="AV1104" i="202"/>
  <c r="AV1105" i="202"/>
  <c r="AV1106" i="202"/>
  <c r="AV1107" i="202"/>
  <c r="AV1108" i="202"/>
  <c r="AV1109" i="202"/>
  <c r="AV1110" i="202"/>
  <c r="AV1111" i="202"/>
  <c r="AV1112" i="202"/>
  <c r="AV1113" i="202"/>
  <c r="AV1114" i="202"/>
  <c r="AV1115" i="202"/>
  <c r="AV1116" i="202"/>
  <c r="AV1117" i="202"/>
  <c r="AV1118" i="202"/>
  <c r="AV1119" i="202"/>
  <c r="AV1120" i="202"/>
  <c r="AV1121" i="202"/>
  <c r="AV1122" i="202"/>
  <c r="AV1123" i="202"/>
  <c r="AV1124" i="202"/>
  <c r="AV1125" i="202"/>
  <c r="AV1126" i="202"/>
  <c r="AV1127" i="202"/>
  <c r="AV1128" i="202"/>
  <c r="AV1129" i="202"/>
  <c r="AV1130" i="202"/>
  <c r="AV1131" i="202"/>
  <c r="AV1132" i="202"/>
  <c r="AV1133" i="202"/>
  <c r="AV1134" i="202"/>
  <c r="AV1135" i="202"/>
  <c r="AV1136" i="202"/>
  <c r="AV1137" i="202"/>
  <c r="AV1138" i="202"/>
  <c r="AV1139" i="202"/>
  <c r="AV1140" i="202"/>
  <c r="AV1141" i="202"/>
  <c r="AV1142" i="202"/>
  <c r="AV1143" i="202"/>
  <c r="AV1144" i="202"/>
  <c r="AV1145" i="202"/>
  <c r="AV1146" i="202"/>
  <c r="AV1147" i="202"/>
  <c r="AV1148" i="202"/>
  <c r="AV1149" i="202"/>
  <c r="AV1150" i="202"/>
  <c r="AV1151" i="202"/>
  <c r="AV1152" i="202"/>
  <c r="AV1153" i="202"/>
  <c r="AV1154" i="202"/>
  <c r="AV1155" i="202"/>
  <c r="AV1156" i="202"/>
  <c r="AV1157" i="202"/>
  <c r="AV1158" i="202"/>
  <c r="AV1159" i="202"/>
  <c r="AV1160" i="202"/>
  <c r="AV1161" i="202"/>
  <c r="AV1162" i="202"/>
  <c r="AV1163" i="202"/>
  <c r="AV1164" i="202"/>
  <c r="AV1165" i="202"/>
  <c r="AV1166" i="202"/>
  <c r="AV1167" i="202"/>
  <c r="AV1168" i="202"/>
  <c r="AV1169" i="202"/>
  <c r="AV1170" i="202"/>
  <c r="AV1171" i="202"/>
  <c r="AV1172" i="202"/>
  <c r="AV1173" i="202"/>
  <c r="AV1174" i="202"/>
  <c r="AV1175" i="202"/>
  <c r="AV1176" i="202"/>
  <c r="AV1177" i="202"/>
  <c r="AV1178" i="202"/>
  <c r="AV1179" i="202"/>
  <c r="AV1180" i="202"/>
  <c r="AV1181" i="202"/>
  <c r="AV1182" i="202"/>
  <c r="AV1183" i="202"/>
  <c r="AV1184" i="202"/>
  <c r="AV1185" i="202"/>
  <c r="AV1186" i="202"/>
  <c r="AV1187" i="202"/>
  <c r="AV1188" i="202"/>
  <c r="AV1189" i="202"/>
  <c r="AV1190" i="202"/>
  <c r="AV1191" i="202"/>
  <c r="AV1192" i="202"/>
  <c r="AV1193" i="202"/>
  <c r="AV1194" i="202"/>
  <c r="AV1195" i="202"/>
  <c r="AV1196" i="202"/>
  <c r="AV1197" i="202"/>
  <c r="AV1198" i="202"/>
  <c r="AV1199" i="202"/>
  <c r="AV1200" i="202"/>
  <c r="AV1201" i="202"/>
  <c r="AV1202" i="202"/>
  <c r="AV1203" i="202"/>
  <c r="AV1204" i="202"/>
  <c r="AV1205" i="202"/>
  <c r="AV1206" i="202"/>
  <c r="AV1207" i="202"/>
  <c r="AV1208" i="202"/>
  <c r="AV1209" i="202"/>
  <c r="AV1210" i="202"/>
  <c r="AV1211" i="202"/>
  <c r="AV1212" i="202"/>
  <c r="AV1213" i="202"/>
  <c r="AV1214" i="202"/>
  <c r="AV1215" i="202"/>
  <c r="AV1216" i="202"/>
  <c r="AV1217" i="202"/>
  <c r="AV1218" i="202"/>
  <c r="AV1219" i="202"/>
  <c r="AV1220" i="202"/>
  <c r="AV1221" i="202"/>
  <c r="AV1222" i="202"/>
  <c r="AV1223" i="202"/>
  <c r="AV1224" i="202"/>
  <c r="AV1225" i="202"/>
  <c r="AV1226" i="202"/>
  <c r="AV1227" i="202"/>
  <c r="AV1228" i="202"/>
  <c r="AV1229" i="202"/>
  <c r="AV1230" i="202"/>
  <c r="AV1231" i="202"/>
  <c r="AV1232" i="202"/>
  <c r="AV1233" i="202"/>
  <c r="AV1234" i="202"/>
  <c r="AV1235" i="202"/>
  <c r="AV1236" i="202"/>
  <c r="AV1237" i="202"/>
  <c r="AV1238" i="202"/>
  <c r="AV1239" i="202"/>
  <c r="AV1240" i="202"/>
  <c r="AV1241" i="202"/>
  <c r="AV1242" i="202"/>
  <c r="AV1243" i="202"/>
  <c r="AV1244" i="202"/>
  <c r="AV1245" i="202"/>
  <c r="AV1246" i="202"/>
  <c r="AV1247" i="202"/>
  <c r="AV1248" i="202"/>
  <c r="AV1249" i="202"/>
  <c r="AV1250" i="202"/>
  <c r="AV1251" i="202"/>
  <c r="AV1252" i="202"/>
  <c r="AV1253" i="202"/>
  <c r="AV1254" i="202"/>
  <c r="AV1255" i="202"/>
  <c r="AV1256" i="202"/>
  <c r="AV1257" i="202"/>
  <c r="AV1258" i="202"/>
  <c r="AV1259" i="202"/>
  <c r="AV1260" i="202"/>
  <c r="AV1261" i="202"/>
  <c r="AV1262" i="202"/>
  <c r="AV1263" i="202"/>
  <c r="AV1264" i="202"/>
  <c r="AV1265" i="202"/>
  <c r="AV1266" i="202"/>
  <c r="AV1267" i="202"/>
  <c r="AV1268" i="202"/>
  <c r="AV1269" i="202"/>
  <c r="AV1270" i="202"/>
  <c r="AV1271" i="202"/>
  <c r="AV1272" i="202"/>
  <c r="AV1273" i="202"/>
  <c r="AV1274" i="202"/>
  <c r="AV1275" i="202"/>
  <c r="AV1276" i="202"/>
  <c r="AV1277" i="202"/>
  <c r="AV1278" i="202"/>
  <c r="AV1279" i="202"/>
  <c r="AV1280" i="202"/>
  <c r="AV1281" i="202"/>
  <c r="AV1282" i="202"/>
  <c r="AV1283" i="202"/>
  <c r="AV1284" i="202"/>
  <c r="AV1285" i="202"/>
  <c r="AV1286" i="202"/>
  <c r="AV1287" i="202"/>
  <c r="AV1288" i="202"/>
  <c r="AV1289" i="202"/>
  <c r="AV1290" i="202"/>
  <c r="AV1291" i="202"/>
  <c r="AV1292" i="202"/>
  <c r="AV1293" i="202"/>
  <c r="AV1294" i="202"/>
  <c r="AV1295" i="202"/>
  <c r="AV1296" i="202"/>
  <c r="AV1297" i="202"/>
  <c r="AV1298" i="202"/>
  <c r="AV1299" i="202"/>
  <c r="AV1300" i="202"/>
  <c r="AV1301" i="202"/>
  <c r="AV1302" i="202"/>
  <c r="AV1303" i="202"/>
  <c r="AV1304" i="202"/>
  <c r="AV1305" i="202"/>
  <c r="AV1306" i="202"/>
  <c r="AV1307" i="202"/>
  <c r="AV1308" i="202"/>
  <c r="AV1309" i="202"/>
  <c r="AV1310" i="202"/>
  <c r="AV1311" i="202"/>
  <c r="AV1312" i="202"/>
  <c r="AV1313" i="202"/>
  <c r="AV1314" i="202"/>
  <c r="AV1315" i="202"/>
  <c r="AV1316" i="202"/>
  <c r="AV1317" i="202"/>
  <c r="AV1318" i="202"/>
  <c r="AV1319" i="202"/>
  <c r="AV1320" i="202"/>
  <c r="AV1321" i="202"/>
  <c r="AV1322" i="202"/>
  <c r="AV1323" i="202"/>
  <c r="AV1324" i="202"/>
  <c r="AV1325" i="202"/>
  <c r="AV1326" i="202"/>
  <c r="AV1327" i="202"/>
  <c r="AV1328" i="202"/>
  <c r="AV1329" i="202"/>
  <c r="AV1330" i="202"/>
  <c r="AV1331" i="202"/>
  <c r="AV1332" i="202"/>
  <c r="AV1333" i="202"/>
  <c r="AV1334" i="202"/>
  <c r="AV1335" i="202"/>
  <c r="AV1336" i="202"/>
  <c r="AV1337" i="202"/>
  <c r="AV1338" i="202"/>
  <c r="AV1339" i="202"/>
  <c r="AV1340" i="202"/>
  <c r="AV1341" i="202"/>
  <c r="AV1342" i="202"/>
  <c r="AV1343" i="202"/>
  <c r="AV1344" i="202"/>
  <c r="AV1345" i="202"/>
  <c r="AV1346" i="202"/>
  <c r="AV1347" i="202"/>
  <c r="AV1348" i="202"/>
  <c r="AV1349" i="202"/>
  <c r="AV1350" i="202"/>
  <c r="AV1351" i="202"/>
  <c r="AV1352" i="202"/>
  <c r="AV1353" i="202"/>
  <c r="AV1354" i="202"/>
  <c r="AV1355" i="202"/>
  <c r="AV1356" i="202"/>
  <c r="AV1357" i="202"/>
  <c r="AV1358" i="202"/>
  <c r="AV1359" i="202"/>
  <c r="AV1360" i="202"/>
  <c r="AV1361" i="202"/>
  <c r="AV1362" i="202"/>
  <c r="AV1363" i="202"/>
  <c r="AV1364" i="202"/>
  <c r="AV1365" i="202"/>
  <c r="AV1366" i="202"/>
  <c r="AV1367" i="202"/>
  <c r="AV1368" i="202"/>
  <c r="AV1369" i="202"/>
  <c r="AV1370" i="202"/>
  <c r="AV1371" i="202"/>
  <c r="AV1372" i="202"/>
  <c r="AV1373" i="202"/>
  <c r="AV1374" i="202"/>
  <c r="AV1375" i="202"/>
  <c r="AV1376" i="202"/>
  <c r="AV1377" i="202"/>
  <c r="AV1378" i="202"/>
  <c r="AV1379" i="202"/>
  <c r="AV1380" i="202"/>
  <c r="AV1381" i="202"/>
  <c r="AV1382" i="202"/>
  <c r="AV1383" i="202"/>
  <c r="AV1384" i="202"/>
  <c r="AV1385" i="202"/>
  <c r="AV1386" i="202"/>
  <c r="AV1387" i="202"/>
  <c r="AV1388" i="202"/>
  <c r="AV1389" i="202"/>
  <c r="AV1390" i="202"/>
  <c r="AV1391" i="202"/>
  <c r="AV1392" i="202"/>
  <c r="AV1393" i="202"/>
  <c r="AV1394" i="202"/>
  <c r="AV1395" i="202"/>
  <c r="AV1396" i="202"/>
  <c r="AV1397" i="202"/>
  <c r="AV1398" i="202"/>
  <c r="AV1399" i="202"/>
  <c r="AV1400" i="202"/>
  <c r="AV1401" i="202"/>
  <c r="AV1402" i="202"/>
  <c r="AV1403" i="202"/>
  <c r="AV1404" i="202"/>
  <c r="AV1405" i="202"/>
  <c r="AV1406" i="202"/>
  <c r="AV1407" i="202"/>
  <c r="AV1408" i="202"/>
  <c r="AV1409" i="202"/>
  <c r="AV1410" i="202"/>
  <c r="AV1411" i="202"/>
  <c r="AV1412" i="202"/>
  <c r="AV1413" i="202"/>
  <c r="AV1414" i="202"/>
  <c r="AV1415" i="202"/>
  <c r="AV1416" i="202"/>
  <c r="AV1417" i="202"/>
  <c r="AV1418" i="202"/>
  <c r="AV1419" i="202"/>
  <c r="AV1420" i="202"/>
  <c r="AV1421" i="202"/>
  <c r="AV1422" i="202"/>
  <c r="AV1423" i="202"/>
  <c r="AV1424" i="202"/>
  <c r="AV1425" i="202"/>
  <c r="AV1426" i="202"/>
  <c r="AV1427" i="202"/>
  <c r="AV1428" i="202"/>
  <c r="AV1429" i="202"/>
  <c r="AV1430" i="202"/>
  <c r="AV1431" i="202"/>
  <c r="AV1432" i="202"/>
  <c r="AV1433" i="202"/>
  <c r="AV1434" i="202"/>
  <c r="AV1435" i="202"/>
  <c r="AV1436" i="202"/>
  <c r="AV1437" i="202"/>
  <c r="AV1438" i="202"/>
  <c r="AV1439" i="202"/>
  <c r="AV1440" i="202"/>
  <c r="AV1441" i="202"/>
  <c r="AV1442" i="202"/>
  <c r="AV1443" i="202"/>
  <c r="AV1444" i="202"/>
  <c r="AV1445" i="202"/>
  <c r="AV1446" i="202"/>
  <c r="AV1447" i="202"/>
  <c r="AV1448" i="202"/>
  <c r="AV1449" i="202"/>
  <c r="AV1450" i="202"/>
  <c r="AV1451" i="202"/>
  <c r="AV1452" i="202"/>
  <c r="AV1453" i="202"/>
  <c r="AV1454" i="202"/>
  <c r="AV1455" i="202"/>
  <c r="AV1456" i="202"/>
  <c r="AV1457" i="202"/>
  <c r="AV1458" i="202"/>
  <c r="AV1459" i="202"/>
  <c r="AV1460" i="202"/>
  <c r="AV1461" i="202"/>
  <c r="AV1462" i="202"/>
  <c r="AV1463" i="202"/>
  <c r="AV1464" i="202"/>
  <c r="AV1465" i="202"/>
  <c r="AV1466" i="202"/>
  <c r="AV1467" i="202"/>
  <c r="AV1468" i="202"/>
  <c r="AV1469" i="202"/>
  <c r="AV1470" i="202"/>
  <c r="AV1471" i="202"/>
  <c r="AV1472" i="202"/>
  <c r="AV1473" i="202"/>
  <c r="AV1474" i="202"/>
  <c r="AV1475" i="202"/>
  <c r="AV1476" i="202"/>
  <c r="AV1477" i="202"/>
  <c r="AV1478" i="202"/>
  <c r="AV1479" i="202"/>
  <c r="AV1480" i="202"/>
  <c r="AV1481" i="202"/>
  <c r="AV1482" i="202"/>
  <c r="AV1483" i="202"/>
  <c r="AV1484" i="202"/>
  <c r="AV1485" i="202"/>
  <c r="AV1486" i="202"/>
  <c r="AV1487" i="202"/>
  <c r="AV1488" i="202"/>
  <c r="AV1489" i="202"/>
  <c r="AV1490" i="202"/>
  <c r="AV1491" i="202"/>
  <c r="AV1492" i="202"/>
  <c r="AV1493" i="202"/>
  <c r="AV1494" i="202"/>
  <c r="AV1495" i="202"/>
  <c r="AV1496" i="202"/>
  <c r="AV1497" i="202"/>
  <c r="AV1498" i="202"/>
  <c r="AV1499" i="202"/>
  <c r="AV1500" i="202"/>
  <c r="AV1501" i="202"/>
  <c r="AV1502" i="202"/>
  <c r="AV1503" i="202"/>
  <c r="AV1504" i="202"/>
  <c r="AV1505" i="202"/>
  <c r="AV1506" i="202"/>
  <c r="AV1507" i="202"/>
  <c r="AV1508" i="202"/>
  <c r="AV1509" i="202"/>
  <c r="AV1510" i="202"/>
  <c r="AV1511" i="202"/>
  <c r="AV1512" i="202"/>
  <c r="AV1513" i="202"/>
  <c r="AV1514" i="202"/>
  <c r="AV1515" i="202"/>
  <c r="AV1516" i="202"/>
  <c r="AV1517" i="202"/>
  <c r="AV1518" i="202"/>
  <c r="AV1519" i="202"/>
  <c r="AV1520" i="202"/>
  <c r="AV1521" i="202"/>
  <c r="AV1522" i="202"/>
  <c r="AV1523" i="202"/>
  <c r="AV1524" i="202"/>
  <c r="AV1525" i="202"/>
  <c r="AV1526" i="202"/>
  <c r="AV1527" i="202"/>
  <c r="AV1528" i="202"/>
  <c r="AV1529" i="202"/>
  <c r="AV1530" i="202"/>
  <c r="AV1531" i="202"/>
  <c r="AV1532" i="202"/>
  <c r="AV1533" i="202"/>
  <c r="AV1534" i="202"/>
  <c r="AV1535" i="202"/>
  <c r="AV1536" i="202"/>
  <c r="AV1537" i="202"/>
  <c r="AV1538" i="202"/>
  <c r="AV1539" i="202"/>
  <c r="AV1540" i="202"/>
  <c r="AV1541" i="202"/>
  <c r="AV1542" i="202"/>
  <c r="AV1543" i="202"/>
  <c r="AV1544" i="202"/>
  <c r="AV1545" i="202"/>
  <c r="AV1546" i="202"/>
  <c r="AV1547" i="202"/>
  <c r="AV1548" i="202"/>
  <c r="AV1549" i="202"/>
  <c r="AV1550" i="202"/>
  <c r="AV1551" i="202"/>
  <c r="AV1552" i="202"/>
  <c r="AV1553" i="202"/>
  <c r="AV1554" i="202"/>
  <c r="AV1555" i="202"/>
  <c r="AV1556" i="202"/>
  <c r="AV1557" i="202"/>
  <c r="AV1558" i="202"/>
  <c r="AV1559" i="202"/>
  <c r="AV1560" i="202"/>
  <c r="AV1561" i="202"/>
  <c r="AV1562" i="202"/>
  <c r="AV1563" i="202"/>
  <c r="AV1564" i="202"/>
  <c r="AV1565" i="202"/>
  <c r="AV1566" i="202"/>
  <c r="AV1567" i="202"/>
  <c r="AV1568" i="202"/>
  <c r="AV1569" i="202"/>
  <c r="AV1570" i="202"/>
  <c r="AV1571" i="202"/>
  <c r="AV1572" i="202"/>
  <c r="AV1573" i="202"/>
  <c r="AV1574" i="202"/>
  <c r="AV1575" i="202"/>
  <c r="AV1576" i="202"/>
  <c r="AV1577" i="202"/>
  <c r="AV1578" i="202"/>
  <c r="AV1579" i="202"/>
  <c r="AV1580" i="202"/>
  <c r="AV1581" i="202"/>
  <c r="AV1582" i="202"/>
  <c r="AV1583" i="202"/>
  <c r="AV1584" i="202"/>
  <c r="AV1585" i="202"/>
  <c r="AV1586" i="202"/>
  <c r="AV1587" i="202"/>
  <c r="AV1588" i="202"/>
  <c r="AV1589" i="202"/>
  <c r="AV1590" i="202"/>
  <c r="AV1591" i="202"/>
  <c r="AV1592" i="202"/>
  <c r="AV1593" i="202"/>
  <c r="AV1594" i="202"/>
  <c r="AV1595" i="202"/>
  <c r="AV1596" i="202"/>
  <c r="AV1597" i="202"/>
  <c r="AV1598" i="202"/>
  <c r="AV1599" i="202"/>
  <c r="AV1600" i="202"/>
  <c r="AV1601" i="202"/>
  <c r="AV1602" i="202"/>
  <c r="AV1603" i="202"/>
  <c r="AV1604" i="202"/>
  <c r="AV1605" i="202"/>
  <c r="AV1606" i="202"/>
  <c r="AV1607" i="202"/>
  <c r="AV1608" i="202"/>
  <c r="AV1609" i="202"/>
  <c r="AV1610" i="202"/>
  <c r="AV1611" i="202"/>
  <c r="AV1612" i="202"/>
  <c r="AV1613" i="202"/>
  <c r="AV1614" i="202"/>
  <c r="AV1615" i="202"/>
  <c r="AV1616" i="202"/>
  <c r="AV1617" i="202"/>
  <c r="AV1618" i="202"/>
  <c r="AV1619" i="202"/>
  <c r="AV1620" i="202"/>
  <c r="AV1621" i="202"/>
  <c r="AV1622" i="202"/>
  <c r="AV1623" i="202"/>
  <c r="AV1624" i="202"/>
  <c r="AV1625" i="202"/>
  <c r="AV1626" i="202"/>
  <c r="AV1627" i="202"/>
  <c r="AV1628" i="202"/>
  <c r="AV1629" i="202"/>
  <c r="AV1630" i="202"/>
  <c r="AV1631" i="202"/>
  <c r="AV1632" i="202"/>
  <c r="AV1633" i="202"/>
  <c r="AV1634" i="202"/>
  <c r="AV1635" i="202"/>
  <c r="AV1636" i="202"/>
  <c r="AV1637" i="202"/>
  <c r="AV1638" i="202"/>
  <c r="AV1639" i="202"/>
  <c r="AV1640" i="202"/>
  <c r="AV1641" i="202"/>
  <c r="AV1642" i="202"/>
  <c r="AV1643" i="202"/>
  <c r="AV1644" i="202"/>
  <c r="AV1645" i="202"/>
  <c r="AV1646" i="202"/>
  <c r="AV1647" i="202"/>
  <c r="AV1648" i="202"/>
  <c r="AV1649" i="202"/>
  <c r="AV1650" i="202"/>
  <c r="AV1651" i="202"/>
  <c r="AV1652" i="202"/>
  <c r="AV1653" i="202"/>
  <c r="AV1654" i="202"/>
  <c r="AV1655" i="202"/>
  <c r="AV1656" i="202"/>
  <c r="AV1657" i="202"/>
  <c r="AV1658" i="202"/>
  <c r="AV1659" i="202"/>
  <c r="AV1660" i="202"/>
  <c r="AV1661" i="202"/>
  <c r="AV1662" i="202"/>
  <c r="AV1663" i="202"/>
  <c r="AV1664" i="202"/>
  <c r="AV1665" i="202"/>
  <c r="AV1666" i="202"/>
  <c r="AV1667" i="202"/>
  <c r="AV1668" i="202"/>
  <c r="AV1669" i="202"/>
  <c r="AV1670" i="202"/>
  <c r="AV1671" i="202"/>
  <c r="AV1672" i="202"/>
  <c r="AV1673" i="202"/>
  <c r="AV1674" i="202"/>
  <c r="AV1675" i="202"/>
  <c r="AV1676" i="202"/>
  <c r="AV1677" i="202"/>
  <c r="AV1678" i="202"/>
  <c r="AV1679" i="202"/>
  <c r="AV1680" i="202"/>
  <c r="AV1681" i="202"/>
  <c r="AV1682" i="202"/>
  <c r="AV1683" i="202"/>
  <c r="AV1684" i="202"/>
  <c r="AV1685" i="202"/>
  <c r="AV1686" i="202"/>
  <c r="AV1687" i="202"/>
  <c r="AV1688" i="202"/>
  <c r="AV1689" i="202"/>
  <c r="AV1690" i="202"/>
  <c r="AV1691" i="202"/>
  <c r="AV1692" i="202"/>
  <c r="AV1693" i="202"/>
  <c r="AV1694" i="202"/>
  <c r="AV1695" i="202"/>
  <c r="AV1696" i="202"/>
  <c r="AV1697" i="202"/>
  <c r="AV1698" i="202"/>
  <c r="AV1699" i="202"/>
  <c r="AV1700" i="202"/>
  <c r="AV1701" i="202"/>
  <c r="AV1702" i="202"/>
  <c r="AV1703" i="202"/>
  <c r="AV1704" i="202"/>
  <c r="AV1705" i="202"/>
  <c r="AV1706" i="202"/>
  <c r="AV1707" i="202"/>
  <c r="AV1708" i="202"/>
  <c r="AV1709" i="202"/>
  <c r="AV1710" i="202"/>
  <c r="AV1711" i="202"/>
  <c r="AV1712" i="202"/>
  <c r="AV1713" i="202"/>
  <c r="AV1714" i="202"/>
  <c r="AV1715" i="202"/>
  <c r="AV1716" i="202"/>
  <c r="AV1717" i="202"/>
  <c r="AV1718" i="202"/>
  <c r="AV1719" i="202"/>
  <c r="AV1720" i="202"/>
  <c r="AV1721" i="202"/>
  <c r="AV1722" i="202"/>
  <c r="AV1723" i="202"/>
  <c r="AV1724" i="202"/>
  <c r="AV1725" i="202"/>
  <c r="AV1726" i="202"/>
  <c r="AV1727" i="202"/>
  <c r="AV1728" i="202"/>
  <c r="AV1729" i="202"/>
  <c r="AV1730" i="202"/>
  <c r="AV1731" i="202"/>
  <c r="AV1732" i="202"/>
  <c r="AV1733" i="202"/>
  <c r="AV1734" i="202"/>
  <c r="AV1735" i="202"/>
  <c r="AV1736" i="202"/>
  <c r="AV1737" i="202"/>
  <c r="AV1738" i="202"/>
  <c r="AV1739" i="202"/>
  <c r="AV1740" i="202"/>
  <c r="AV1741" i="202"/>
  <c r="AV1742" i="202"/>
  <c r="AV1743" i="202"/>
  <c r="AV1744" i="202"/>
  <c r="AV1745" i="202"/>
  <c r="AV1746" i="202"/>
  <c r="AV1747" i="202"/>
  <c r="AV1748" i="202"/>
  <c r="AV1749" i="202"/>
  <c r="AV1750" i="202"/>
  <c r="AV1751" i="202"/>
  <c r="AV1752" i="202"/>
  <c r="AV1753" i="202"/>
  <c r="AV1754" i="202"/>
  <c r="AV1755" i="202"/>
  <c r="AV1756" i="202"/>
  <c r="AV1757" i="202"/>
  <c r="AV1758" i="202"/>
  <c r="AV1759" i="202"/>
  <c r="AV1760" i="202"/>
  <c r="AV1761" i="202"/>
  <c r="AV1762" i="202"/>
  <c r="AV1763" i="202"/>
  <c r="AV1764" i="202"/>
  <c r="AV1765" i="202"/>
  <c r="AV1766" i="202"/>
  <c r="AV1767" i="202"/>
  <c r="AV1768" i="202"/>
  <c r="AV1769" i="202"/>
  <c r="AV1770" i="202"/>
  <c r="AV1771" i="202"/>
  <c r="AV1772" i="202"/>
  <c r="AV1773" i="202"/>
  <c r="AV1774" i="202"/>
  <c r="AV1775" i="202"/>
  <c r="AV1776" i="202"/>
  <c r="AV1777" i="202"/>
  <c r="AV1778" i="202"/>
  <c r="AV1779" i="202"/>
  <c r="AV1780" i="202"/>
  <c r="AV1781" i="202"/>
  <c r="AV1782" i="202"/>
  <c r="AV1783" i="202"/>
  <c r="AV1784" i="202"/>
  <c r="AV1785" i="202"/>
  <c r="AV1786" i="202"/>
  <c r="AV1787" i="202"/>
  <c r="AV1788" i="202"/>
  <c r="AV1789" i="202"/>
  <c r="AV1790" i="202"/>
  <c r="AV1791" i="202"/>
  <c r="AV1792" i="202"/>
  <c r="AV1793" i="202"/>
  <c r="AV1794" i="202"/>
  <c r="AV1795" i="202"/>
  <c r="AV1796" i="202"/>
  <c r="AV1797" i="202"/>
  <c r="AV1798" i="202"/>
  <c r="AV1799" i="202"/>
  <c r="AV1800" i="202"/>
  <c r="AV1801" i="202"/>
  <c r="AV1802" i="202"/>
  <c r="AV1803" i="202"/>
  <c r="AV1804" i="202"/>
  <c r="AV1805" i="202"/>
  <c r="AV1806" i="202"/>
  <c r="AV1807" i="202"/>
  <c r="AV1808" i="202"/>
  <c r="AV1809" i="202"/>
  <c r="AV1810" i="202"/>
  <c r="AV1811" i="202"/>
  <c r="AV1812" i="202"/>
  <c r="AV1813" i="202"/>
  <c r="AV1814" i="202"/>
  <c r="AV1815" i="202"/>
  <c r="AV1816" i="202"/>
  <c r="AV1817" i="202"/>
  <c r="AV1818" i="202"/>
  <c r="AV1819" i="202"/>
  <c r="AV1820" i="202"/>
  <c r="AV1821" i="202"/>
  <c r="AV1822" i="202"/>
  <c r="AV1823" i="202"/>
  <c r="AV1824" i="202"/>
  <c r="AV1825" i="202"/>
  <c r="AV1826" i="202"/>
  <c r="AV1827" i="202"/>
  <c r="AV1828" i="202"/>
  <c r="AV1829" i="202"/>
  <c r="AV1830" i="202"/>
  <c r="AV1831" i="202"/>
  <c r="AV1832" i="202"/>
  <c r="AV1833" i="202"/>
  <c r="AV1834" i="202"/>
  <c r="AV1835" i="202"/>
  <c r="AV1836" i="202"/>
  <c r="AV1837" i="202"/>
  <c r="AV1838" i="202"/>
  <c r="AV1839" i="202"/>
  <c r="AV1840" i="202"/>
  <c r="AV1841" i="202"/>
  <c r="AV1842" i="202"/>
  <c r="AV1843" i="202"/>
  <c r="AV1844" i="202"/>
  <c r="AV1845" i="202"/>
  <c r="AV1846" i="202"/>
  <c r="AV1847" i="202"/>
  <c r="AV1848" i="202"/>
  <c r="AV1849" i="202"/>
  <c r="AV1850" i="202"/>
  <c r="AV1851" i="202"/>
  <c r="AV1852" i="202"/>
  <c r="AV1853" i="202"/>
  <c r="AV1854" i="202"/>
  <c r="AV1855" i="202"/>
  <c r="AV1856" i="202"/>
  <c r="AV1857" i="202"/>
  <c r="AV1858" i="202"/>
  <c r="AV1859" i="202"/>
  <c r="AV1860" i="202"/>
  <c r="AV1861" i="202"/>
  <c r="AV1862" i="202"/>
  <c r="AV1863" i="202"/>
  <c r="AV1864" i="202"/>
  <c r="AV1865" i="202"/>
  <c r="AV1866" i="202"/>
  <c r="AV1867" i="202"/>
  <c r="AV1868" i="202"/>
  <c r="AV1869" i="202"/>
  <c r="AV1870" i="202"/>
  <c r="AV1871" i="202"/>
  <c r="AV1872" i="202"/>
  <c r="AV1873" i="202"/>
  <c r="AV1874" i="202"/>
  <c r="AV1875" i="202"/>
  <c r="AV1876" i="202"/>
  <c r="AV1877" i="202"/>
  <c r="AV1878" i="202"/>
  <c r="AV1879" i="202"/>
  <c r="AV1880" i="202"/>
  <c r="AV1881" i="202"/>
  <c r="AV1882" i="202"/>
  <c r="AV1883" i="202"/>
  <c r="AV1884" i="202"/>
  <c r="AV1885" i="202"/>
  <c r="AV1886" i="202"/>
  <c r="AV1887" i="202"/>
  <c r="AV1888" i="202"/>
  <c r="AV1889" i="202"/>
  <c r="AV1890" i="202"/>
  <c r="AV1891" i="202"/>
  <c r="AV1892" i="202"/>
  <c r="AV1893" i="202"/>
  <c r="AV1894" i="202"/>
  <c r="AV1895" i="202"/>
  <c r="AV1896" i="202"/>
  <c r="AV1897" i="202"/>
  <c r="AV1898" i="202"/>
  <c r="AV1899" i="202"/>
  <c r="AV1900" i="202"/>
  <c r="AV1901" i="202"/>
  <c r="AV1902" i="202"/>
  <c r="AV1903" i="202"/>
  <c r="AV1904" i="202"/>
  <c r="AV1905" i="202"/>
  <c r="AV1906" i="202"/>
  <c r="AV1907" i="202"/>
  <c r="AV1908" i="202"/>
  <c r="AV1909" i="202"/>
  <c r="AV1910" i="202"/>
  <c r="AV1911" i="202"/>
  <c r="AV1912" i="202"/>
  <c r="AV1913" i="202"/>
  <c r="AV1914" i="202"/>
  <c r="AV1915" i="202"/>
  <c r="AV1916" i="202"/>
  <c r="AV1917" i="202"/>
  <c r="AV1918" i="202"/>
  <c r="AV1919" i="202"/>
  <c r="AV1920" i="202"/>
  <c r="AV1921" i="202"/>
  <c r="AV1922" i="202"/>
  <c r="AV1923" i="202"/>
  <c r="AV1924" i="202"/>
  <c r="AV1925" i="202"/>
  <c r="AV1926" i="202"/>
  <c r="AV1927" i="202"/>
  <c r="AV1928" i="202"/>
  <c r="AV1929" i="202"/>
  <c r="AV1930" i="202"/>
  <c r="AV1931" i="202"/>
  <c r="AV1932" i="202"/>
  <c r="AV1933" i="202"/>
  <c r="AV1934" i="202"/>
  <c r="AV1935" i="202"/>
  <c r="AV1936" i="202"/>
  <c r="AV1937" i="202"/>
  <c r="AV1938" i="202"/>
  <c r="AV1939" i="202"/>
  <c r="AV1940" i="202"/>
  <c r="AV1941" i="202"/>
  <c r="AV1942" i="202"/>
  <c r="AV1943" i="202"/>
  <c r="AV1944" i="202"/>
  <c r="AV1945" i="202"/>
  <c r="AV1946" i="202"/>
  <c r="AV1947" i="202"/>
  <c r="AV1948" i="202"/>
  <c r="AV1949" i="202"/>
  <c r="AV1950" i="202"/>
  <c r="AV1951" i="202"/>
  <c r="AV1952" i="202"/>
  <c r="AV1953" i="202"/>
  <c r="AV1954" i="202"/>
  <c r="AV1955" i="202"/>
  <c r="AV1956" i="202"/>
  <c r="AV1957" i="202"/>
  <c r="AV1958" i="202"/>
  <c r="AV1959" i="202"/>
  <c r="AV1960" i="202"/>
  <c r="AV1961" i="202"/>
  <c r="AV1962" i="202"/>
  <c r="AV1963" i="202"/>
  <c r="AV1964" i="202"/>
  <c r="AV1965" i="202"/>
  <c r="AV1966" i="202"/>
  <c r="AV1967" i="202"/>
  <c r="AV1968" i="202"/>
  <c r="AV1969" i="202"/>
  <c r="AV1970" i="202"/>
  <c r="AV1971" i="202"/>
  <c r="AV1972" i="202"/>
  <c r="AV1973" i="202"/>
  <c r="AV1974" i="202"/>
  <c r="AV1975" i="202"/>
  <c r="AV1976" i="202"/>
  <c r="AV1977" i="202"/>
  <c r="AV1978" i="202"/>
  <c r="AV1979" i="202"/>
  <c r="AV1980" i="202"/>
  <c r="AV1981" i="202"/>
  <c r="AV1982" i="202"/>
  <c r="AV1983" i="202"/>
  <c r="AV1984" i="202"/>
  <c r="AV1985" i="202"/>
  <c r="AV1986" i="202"/>
  <c r="AV1987" i="202"/>
  <c r="AV1988" i="202"/>
  <c r="AV1989" i="202"/>
  <c r="AV1990" i="202"/>
  <c r="AV1991" i="202"/>
  <c r="AV1992" i="202"/>
  <c r="AV1993" i="202"/>
  <c r="AV1994" i="202"/>
  <c r="AV1995" i="202"/>
  <c r="AV1996" i="202"/>
  <c r="AV1997" i="202"/>
  <c r="AV1998" i="202"/>
  <c r="AV1999" i="202"/>
  <c r="AV2000" i="202"/>
  <c r="AV2001" i="202"/>
  <c r="AV2002" i="202"/>
  <c r="AV2003" i="202"/>
  <c r="AV2004" i="202"/>
  <c r="AV2005" i="202"/>
  <c r="AV2006" i="202"/>
  <c r="AV2007" i="202"/>
  <c r="AV2008" i="202"/>
  <c r="AV2009" i="202"/>
  <c r="AV2010" i="202"/>
  <c r="AV2011" i="202"/>
  <c r="AV2012" i="202"/>
  <c r="AV2013" i="202"/>
  <c r="AV2014" i="202"/>
  <c r="AV2015" i="202"/>
  <c r="AV2016" i="202"/>
  <c r="AV2017" i="202"/>
  <c r="AV2018" i="202"/>
  <c r="AV2019" i="202"/>
  <c r="AV2020" i="202"/>
  <c r="AV2021" i="202"/>
  <c r="AV2022" i="202"/>
  <c r="AV2023" i="202"/>
  <c r="AV2024" i="202"/>
  <c r="AV2025" i="202"/>
  <c r="AV2026" i="202"/>
  <c r="AV2027" i="202"/>
  <c r="AV2028" i="202"/>
  <c r="AV2029" i="202"/>
  <c r="AV2030" i="202"/>
  <c r="AV2031" i="202"/>
  <c r="AV2032" i="202"/>
  <c r="AV2033" i="202"/>
  <c r="AV2034" i="202"/>
  <c r="AV2035" i="202"/>
  <c r="AV2036" i="202"/>
  <c r="AV2037" i="202"/>
  <c r="AV2038" i="202"/>
  <c r="AV2039" i="202"/>
  <c r="AV2040" i="202"/>
  <c r="AV2041" i="202"/>
  <c r="AV2042" i="202"/>
  <c r="AV2043" i="202"/>
  <c r="AV2044" i="202"/>
  <c r="AV2045" i="202"/>
  <c r="AV2046" i="202"/>
  <c r="AV2047" i="202"/>
  <c r="AV2048" i="202"/>
  <c r="AH2" i="202"/>
  <c r="AH3" i="202"/>
  <c r="AH4" i="202"/>
  <c r="AH5" i="202"/>
  <c r="AH6" i="202"/>
  <c r="AH7" i="202"/>
  <c r="AH8" i="202"/>
  <c r="AH9" i="202"/>
  <c r="AH10" i="202"/>
  <c r="AH11" i="202"/>
  <c r="AH12" i="202"/>
  <c r="AH13" i="202"/>
  <c r="AH14" i="202"/>
  <c r="AH15" i="202"/>
  <c r="AH16" i="202"/>
  <c r="AH17" i="202"/>
  <c r="AH18" i="202"/>
  <c r="AH19" i="202"/>
  <c r="AH20" i="202"/>
  <c r="AH21" i="202"/>
  <c r="AH22" i="202"/>
  <c r="AH23" i="202"/>
  <c r="AH24" i="202"/>
  <c r="AH25" i="202"/>
  <c r="AH26" i="202"/>
  <c r="AH27" i="202"/>
  <c r="AH28" i="202"/>
  <c r="AH29" i="202"/>
  <c r="AH30" i="202"/>
  <c r="AH31" i="202"/>
  <c r="AH32" i="202"/>
  <c r="AH33" i="202"/>
  <c r="AH34" i="202"/>
  <c r="AH35" i="202"/>
  <c r="AH36" i="202"/>
  <c r="AH37" i="202"/>
  <c r="AH38" i="202"/>
  <c r="AH39" i="202"/>
  <c r="AH40" i="202"/>
  <c r="AH41" i="202"/>
  <c r="AH42" i="202"/>
  <c r="AH43" i="202"/>
  <c r="AH44" i="202"/>
  <c r="AH45" i="202"/>
  <c r="AH46" i="202"/>
  <c r="AH47" i="202"/>
  <c r="AH48" i="202"/>
  <c r="AH49" i="202"/>
  <c r="AH50" i="202"/>
  <c r="AH51" i="202"/>
  <c r="AH52" i="202"/>
  <c r="AH53" i="202"/>
  <c r="AH54" i="202"/>
  <c r="AH55" i="202"/>
  <c r="AH56" i="202"/>
  <c r="AH57" i="202"/>
  <c r="AH58" i="202"/>
  <c r="AH59" i="202"/>
  <c r="AH60" i="202"/>
  <c r="AH61" i="202"/>
  <c r="AH62" i="202"/>
  <c r="AH63" i="202"/>
  <c r="AH64" i="202"/>
  <c r="AH65" i="202"/>
  <c r="AH66" i="202"/>
  <c r="AH67" i="202"/>
  <c r="AH68" i="202"/>
  <c r="AH69" i="202"/>
  <c r="AH70" i="202"/>
  <c r="AH71" i="202"/>
  <c r="AH72" i="202"/>
  <c r="AH73" i="202"/>
  <c r="AH74" i="202"/>
  <c r="AH75" i="202"/>
  <c r="AH76" i="202"/>
  <c r="AH77" i="202"/>
  <c r="AH78" i="202"/>
  <c r="AH79" i="202"/>
  <c r="AH80" i="202"/>
  <c r="AH81" i="202"/>
  <c r="AH82" i="202"/>
  <c r="AH83" i="202"/>
  <c r="AH84" i="202"/>
  <c r="AH85" i="202"/>
  <c r="AH86" i="202"/>
  <c r="AH87" i="202"/>
  <c r="AH88" i="202"/>
  <c r="AH89" i="202"/>
  <c r="AH90" i="202"/>
  <c r="AH91" i="202"/>
  <c r="AH92" i="202"/>
  <c r="AH93" i="202"/>
  <c r="AH94" i="202"/>
  <c r="AH95" i="202"/>
  <c r="AH96" i="202"/>
  <c r="AH97" i="202"/>
  <c r="AH98" i="202"/>
  <c r="AH99" i="202"/>
  <c r="AH100" i="202"/>
  <c r="AH101" i="202"/>
  <c r="AH102" i="202"/>
  <c r="AH103" i="202"/>
  <c r="AH104" i="202"/>
  <c r="AH105" i="202"/>
  <c r="AH106" i="202"/>
  <c r="AH107" i="202"/>
  <c r="AH108" i="202"/>
  <c r="AH109" i="202"/>
  <c r="AH110" i="202"/>
  <c r="AH111" i="202"/>
  <c r="AH112" i="202"/>
  <c r="AH113" i="202"/>
  <c r="AH114" i="202"/>
  <c r="AH115" i="202"/>
  <c r="AH116" i="202"/>
  <c r="AH117" i="202"/>
  <c r="AH118" i="202"/>
  <c r="AH119" i="202"/>
  <c r="AH120" i="202"/>
  <c r="AH121" i="202"/>
  <c r="AH122" i="202"/>
  <c r="AH123" i="202"/>
  <c r="AH124" i="202"/>
  <c r="AH125" i="202"/>
  <c r="AH126" i="202"/>
  <c r="AH127" i="202"/>
  <c r="AH128" i="202"/>
  <c r="AH129" i="202"/>
  <c r="AH130" i="202"/>
  <c r="AH131" i="202"/>
  <c r="AH132" i="202"/>
  <c r="AH133" i="202"/>
  <c r="AH134" i="202"/>
  <c r="AH135" i="202"/>
  <c r="AH136" i="202"/>
  <c r="AH137" i="202"/>
  <c r="AH138" i="202"/>
  <c r="AH139" i="202"/>
  <c r="AH140" i="202"/>
  <c r="AH141" i="202"/>
  <c r="AH142" i="202"/>
  <c r="AH143" i="202"/>
  <c r="AH144" i="202"/>
  <c r="AH145" i="202"/>
  <c r="AH146" i="202"/>
  <c r="AH147" i="202"/>
  <c r="AH148" i="202"/>
  <c r="AH149" i="202"/>
  <c r="AH150" i="202"/>
  <c r="AH151" i="202"/>
  <c r="AH152" i="202"/>
  <c r="AH153" i="202"/>
  <c r="AH154" i="202"/>
  <c r="AH155" i="202"/>
  <c r="AH156" i="202"/>
  <c r="AH157" i="202"/>
  <c r="AH158" i="202"/>
  <c r="AH159" i="202"/>
  <c r="AH160" i="202"/>
  <c r="AH161" i="202"/>
  <c r="AH162" i="202"/>
  <c r="AH163" i="202"/>
  <c r="AH164" i="202"/>
  <c r="AH165" i="202"/>
  <c r="AH166" i="202"/>
  <c r="AH167" i="202"/>
  <c r="AH168" i="202"/>
  <c r="AH169" i="202"/>
  <c r="AH170" i="202"/>
  <c r="AH171" i="202"/>
  <c r="AH172" i="202"/>
  <c r="AH173" i="202"/>
  <c r="AH174" i="202"/>
  <c r="AH175" i="202"/>
  <c r="AH176" i="202"/>
  <c r="AH177" i="202"/>
  <c r="AH178" i="202"/>
  <c r="AH179" i="202"/>
  <c r="AH180" i="202"/>
  <c r="AH181" i="202"/>
  <c r="AH182" i="202"/>
  <c r="AH183" i="202"/>
  <c r="AH184" i="202"/>
  <c r="AH185" i="202"/>
  <c r="AH186" i="202"/>
  <c r="AH187" i="202"/>
  <c r="AH188" i="202"/>
  <c r="AH189" i="202"/>
  <c r="AH190" i="202"/>
  <c r="AH191" i="202"/>
  <c r="AH192" i="202"/>
  <c r="AH193" i="202"/>
  <c r="AH194" i="202"/>
  <c r="AH195" i="202"/>
  <c r="AH196" i="202"/>
  <c r="AH197" i="202"/>
  <c r="AH198" i="202"/>
  <c r="AH199" i="202"/>
  <c r="AH200" i="202"/>
  <c r="AH201" i="202"/>
  <c r="AH202" i="202"/>
  <c r="AH203" i="202"/>
  <c r="AH204" i="202"/>
  <c r="AH205" i="202"/>
  <c r="AH206" i="202"/>
  <c r="AH207" i="202"/>
  <c r="AH208" i="202"/>
  <c r="AH209" i="202"/>
  <c r="AH210" i="202"/>
  <c r="AH211" i="202"/>
  <c r="AH212" i="202"/>
  <c r="AH213" i="202"/>
  <c r="AH214" i="202"/>
  <c r="AH215" i="202"/>
  <c r="AH216" i="202"/>
  <c r="AH217" i="202"/>
  <c r="AH218" i="202"/>
  <c r="AH219" i="202"/>
  <c r="AH220" i="202"/>
  <c r="AH221" i="202"/>
  <c r="AH222" i="202"/>
  <c r="AH223" i="202"/>
  <c r="AH224" i="202"/>
  <c r="AH225" i="202"/>
  <c r="AH226" i="202"/>
  <c r="AH227" i="202"/>
  <c r="AH228" i="202"/>
  <c r="AH229" i="202"/>
  <c r="AH230" i="202"/>
  <c r="AH231" i="202"/>
  <c r="AH232" i="202"/>
  <c r="AH233" i="202"/>
  <c r="AH234" i="202"/>
  <c r="AH235" i="202"/>
  <c r="AH236" i="202"/>
  <c r="AH237" i="202"/>
  <c r="AH238" i="202"/>
  <c r="AH239" i="202"/>
  <c r="AH240" i="202"/>
  <c r="AH241" i="202"/>
  <c r="AH242" i="202"/>
  <c r="AH243" i="202"/>
  <c r="AH244" i="202"/>
  <c r="AH245" i="202"/>
  <c r="AH246" i="202"/>
  <c r="AH247" i="202"/>
  <c r="AH248" i="202"/>
  <c r="AH249" i="202"/>
  <c r="AH250" i="202"/>
  <c r="AH251" i="202"/>
  <c r="AH252" i="202"/>
  <c r="AH253" i="202"/>
  <c r="AH254" i="202"/>
  <c r="AH255" i="202"/>
  <c r="AH256" i="202"/>
  <c r="AH257" i="202"/>
  <c r="AH258" i="202"/>
  <c r="AH259" i="202"/>
  <c r="AH260" i="202"/>
  <c r="AH261" i="202"/>
  <c r="AH262" i="202"/>
  <c r="AH263" i="202"/>
  <c r="AH264" i="202"/>
  <c r="AH265" i="202"/>
  <c r="AH266" i="202"/>
  <c r="AH267" i="202"/>
  <c r="AH268" i="202"/>
  <c r="AH269" i="202"/>
  <c r="AH270" i="202"/>
  <c r="AH271" i="202"/>
  <c r="AH272" i="202"/>
  <c r="AH273" i="202"/>
  <c r="AH274" i="202"/>
  <c r="AH275" i="202"/>
  <c r="AH276" i="202"/>
  <c r="AH277" i="202"/>
  <c r="AH278" i="202"/>
  <c r="AH279" i="202"/>
  <c r="AH280" i="202"/>
  <c r="AH281" i="202"/>
  <c r="AH282" i="202"/>
  <c r="AH283" i="202"/>
  <c r="AH284" i="202"/>
  <c r="AH285" i="202"/>
  <c r="AH286" i="202"/>
  <c r="AH287" i="202"/>
  <c r="AH288" i="202"/>
  <c r="AH289" i="202"/>
  <c r="AH290" i="202"/>
  <c r="AH291" i="202"/>
  <c r="AH292" i="202"/>
  <c r="AH293" i="202"/>
  <c r="AH294" i="202"/>
  <c r="AH295" i="202"/>
  <c r="AH296" i="202"/>
  <c r="AH297" i="202"/>
  <c r="AH298" i="202"/>
  <c r="AH299" i="202"/>
  <c r="AH300" i="202"/>
  <c r="AH301" i="202"/>
  <c r="AH302" i="202"/>
  <c r="AH303" i="202"/>
  <c r="AH304" i="202"/>
  <c r="AH305" i="202"/>
  <c r="AH306" i="202"/>
  <c r="AH307" i="202"/>
  <c r="AH308" i="202"/>
  <c r="AH309" i="202"/>
  <c r="AH310" i="202"/>
  <c r="AH311" i="202"/>
  <c r="AH312" i="202"/>
  <c r="AH313" i="202"/>
  <c r="AH314" i="202"/>
  <c r="AH315" i="202"/>
  <c r="AH316" i="202"/>
  <c r="AH317" i="202"/>
  <c r="AH318" i="202"/>
  <c r="AH319" i="202"/>
  <c r="AH320" i="202"/>
  <c r="AH321" i="202"/>
  <c r="AH322" i="202"/>
  <c r="AH323" i="202"/>
  <c r="AH324" i="202"/>
  <c r="AH325" i="202"/>
  <c r="AH326" i="202"/>
  <c r="AH327" i="202"/>
  <c r="AH328" i="202"/>
  <c r="AH329" i="202"/>
  <c r="AH330" i="202"/>
  <c r="AH331" i="202"/>
  <c r="AH332" i="202"/>
  <c r="AH333" i="202"/>
  <c r="AH334" i="202"/>
  <c r="AH335" i="202"/>
  <c r="AH336" i="202"/>
  <c r="AH337" i="202"/>
  <c r="AH338" i="202"/>
  <c r="AH339" i="202"/>
  <c r="AH340" i="202"/>
  <c r="AH341" i="202"/>
  <c r="AH342" i="202"/>
  <c r="AH343" i="202"/>
  <c r="AH344" i="202"/>
  <c r="AH345" i="202"/>
  <c r="AH346" i="202"/>
  <c r="AH347" i="202"/>
  <c r="AH348" i="202"/>
  <c r="AH349" i="202"/>
  <c r="AH350" i="202"/>
  <c r="AH351" i="202"/>
  <c r="AH352" i="202"/>
  <c r="AH353" i="202"/>
  <c r="AH354" i="202"/>
  <c r="AH355" i="202"/>
  <c r="AH356" i="202"/>
  <c r="AH357" i="202"/>
  <c r="AH358" i="202"/>
  <c r="AH359" i="202"/>
  <c r="AH360" i="202"/>
  <c r="AH361" i="202"/>
  <c r="AH362" i="202"/>
  <c r="AH363" i="202"/>
  <c r="AH364" i="202"/>
  <c r="AH365" i="202"/>
  <c r="AH366" i="202"/>
  <c r="AH367" i="202"/>
  <c r="AH368" i="202"/>
  <c r="AH369" i="202"/>
  <c r="AH370" i="202"/>
  <c r="AH371" i="202"/>
  <c r="AH372" i="202"/>
  <c r="AH373" i="202"/>
  <c r="AH374" i="202"/>
  <c r="AH375" i="202"/>
  <c r="AH376" i="202"/>
  <c r="AH377" i="202"/>
  <c r="AH378" i="202"/>
  <c r="AH379" i="202"/>
  <c r="AH380" i="202"/>
  <c r="AH381" i="202"/>
  <c r="AH382" i="202"/>
  <c r="AH383" i="202"/>
  <c r="AH384" i="202"/>
  <c r="AH385" i="202"/>
  <c r="AH386" i="202"/>
  <c r="AH387" i="202"/>
  <c r="AH388" i="202"/>
  <c r="AH389" i="202"/>
  <c r="AH390" i="202"/>
  <c r="AH391" i="202"/>
  <c r="AH392" i="202"/>
  <c r="AH393" i="202"/>
  <c r="AH394" i="202"/>
  <c r="AH395" i="202"/>
  <c r="AH396" i="202"/>
  <c r="AH397" i="202"/>
  <c r="AH398" i="202"/>
  <c r="AH399" i="202"/>
  <c r="AH400" i="202"/>
  <c r="AH401" i="202"/>
  <c r="AH402" i="202"/>
  <c r="AH403" i="202"/>
  <c r="AH404" i="202"/>
  <c r="AH405" i="202"/>
  <c r="AH406" i="202"/>
  <c r="AH407" i="202"/>
  <c r="AH408" i="202"/>
  <c r="AH409" i="202"/>
  <c r="AH410" i="202"/>
  <c r="AH411" i="202"/>
  <c r="AH412" i="202"/>
  <c r="AH413" i="202"/>
  <c r="AH414" i="202"/>
  <c r="AH415" i="202"/>
  <c r="AH416" i="202"/>
  <c r="AH417" i="202"/>
  <c r="AH418" i="202"/>
  <c r="AH419" i="202"/>
  <c r="AH420" i="202"/>
  <c r="AH421" i="202"/>
  <c r="AH422" i="202"/>
  <c r="AH423" i="202"/>
  <c r="AH424" i="202"/>
  <c r="AH425" i="202"/>
  <c r="AH426" i="202"/>
  <c r="AH427" i="202"/>
  <c r="AH428" i="202"/>
  <c r="AH429" i="202"/>
  <c r="AH430" i="202"/>
  <c r="AH431" i="202"/>
  <c r="AH432" i="202"/>
  <c r="AH433" i="202"/>
  <c r="AH434" i="202"/>
  <c r="AH435" i="202"/>
  <c r="AH436" i="202"/>
  <c r="AH437" i="202"/>
  <c r="AH438" i="202"/>
  <c r="AH439" i="202"/>
  <c r="AH440" i="202"/>
  <c r="AH441" i="202"/>
  <c r="AH442" i="202"/>
  <c r="AH443" i="202"/>
  <c r="AH444" i="202"/>
  <c r="AH445" i="202"/>
  <c r="AH446" i="202"/>
  <c r="AH447" i="202"/>
  <c r="AH448" i="202"/>
  <c r="AH449" i="202"/>
  <c r="AH450" i="202"/>
  <c r="AH451" i="202"/>
  <c r="AH452" i="202"/>
  <c r="AH453" i="202"/>
  <c r="AH454" i="202"/>
  <c r="AH455" i="202"/>
  <c r="AH456" i="202"/>
  <c r="AH457" i="202"/>
  <c r="AH458" i="202"/>
  <c r="AH459" i="202"/>
  <c r="AH460" i="202"/>
  <c r="AH461" i="202"/>
  <c r="AH462" i="202"/>
  <c r="AH463" i="202"/>
  <c r="AH464" i="202"/>
  <c r="AH465" i="202"/>
  <c r="AH466" i="202"/>
  <c r="AH467" i="202"/>
  <c r="AH468" i="202"/>
  <c r="AH469" i="202"/>
  <c r="AH470" i="202"/>
  <c r="AH471" i="202"/>
  <c r="AH472" i="202"/>
  <c r="AH473" i="202"/>
  <c r="AH474" i="202"/>
  <c r="AH475" i="202"/>
  <c r="AH476" i="202"/>
  <c r="AH477" i="202"/>
  <c r="AH478" i="202"/>
  <c r="AH479" i="202"/>
  <c r="AH480" i="202"/>
  <c r="AH481" i="202"/>
  <c r="AH482" i="202"/>
  <c r="AH483" i="202"/>
  <c r="AH484" i="202"/>
  <c r="AH485" i="202"/>
  <c r="AH486" i="202"/>
  <c r="AH487" i="202"/>
  <c r="AH488" i="202"/>
  <c r="AH489" i="202"/>
  <c r="AH490" i="202"/>
  <c r="AH491" i="202"/>
  <c r="AH492" i="202"/>
  <c r="AH493" i="202"/>
  <c r="AH494" i="202"/>
  <c r="AH495" i="202"/>
  <c r="AH496" i="202"/>
  <c r="AH497" i="202"/>
  <c r="AH498" i="202"/>
  <c r="AH499" i="202"/>
  <c r="AH500" i="202"/>
  <c r="AH501" i="202"/>
  <c r="AH502" i="202"/>
  <c r="AH503" i="202"/>
  <c r="AH504" i="202"/>
  <c r="AH505" i="202"/>
  <c r="AH506" i="202"/>
  <c r="AH507" i="202"/>
  <c r="AH508" i="202"/>
  <c r="AH509" i="202"/>
  <c r="AH510" i="202"/>
  <c r="AH511" i="202"/>
  <c r="AH512" i="202"/>
  <c r="AH513" i="202"/>
  <c r="AH514" i="202"/>
  <c r="AH515" i="202"/>
  <c r="AH516" i="202"/>
  <c r="AH517" i="202"/>
  <c r="AH518" i="202"/>
  <c r="AH519" i="202"/>
  <c r="AH520" i="202"/>
  <c r="AH521" i="202"/>
  <c r="AH522" i="202"/>
  <c r="AH523" i="202"/>
  <c r="AH524" i="202"/>
  <c r="AH525" i="202"/>
  <c r="AH526" i="202"/>
  <c r="AH527" i="202"/>
  <c r="AH528" i="202"/>
  <c r="AH529" i="202"/>
  <c r="AH530" i="202"/>
  <c r="AH531" i="202"/>
  <c r="AH532" i="202"/>
  <c r="AH533" i="202"/>
  <c r="AH534" i="202"/>
  <c r="AH535" i="202"/>
  <c r="AH536" i="202"/>
  <c r="AH537" i="202"/>
  <c r="AH538" i="202"/>
  <c r="AH539" i="202"/>
  <c r="AH540" i="202"/>
  <c r="AH541" i="202"/>
  <c r="AH542" i="202"/>
  <c r="AH543" i="202"/>
  <c r="AH544" i="202"/>
  <c r="AH545" i="202"/>
  <c r="AH546" i="202"/>
  <c r="AH547" i="202"/>
  <c r="AH548" i="202"/>
  <c r="AH549" i="202"/>
  <c r="AH550" i="202"/>
  <c r="AH551" i="202"/>
  <c r="AH552" i="202"/>
  <c r="AH553" i="202"/>
  <c r="AH554" i="202"/>
  <c r="AH555" i="202"/>
  <c r="AH556" i="202"/>
  <c r="AH557" i="202"/>
  <c r="AH558" i="202"/>
  <c r="AH559" i="202"/>
  <c r="AH560" i="202"/>
  <c r="AH561" i="202"/>
  <c r="AH562" i="202"/>
  <c r="AH563" i="202"/>
  <c r="AH564" i="202"/>
  <c r="AH565" i="202"/>
  <c r="AH566" i="202"/>
  <c r="AH567" i="202"/>
  <c r="AH568" i="202"/>
  <c r="AH569" i="202"/>
  <c r="AH570" i="202"/>
  <c r="AH571" i="202"/>
  <c r="AH572" i="202"/>
  <c r="AH573" i="202"/>
  <c r="AH574" i="202"/>
  <c r="AH575" i="202"/>
  <c r="AH576" i="202"/>
  <c r="AH577" i="202"/>
  <c r="AH578" i="202"/>
  <c r="AH579" i="202"/>
  <c r="AH580" i="202"/>
  <c r="AH581" i="202"/>
  <c r="AH582" i="202"/>
  <c r="AH583" i="202"/>
  <c r="AH584" i="202"/>
  <c r="AH585" i="202"/>
  <c r="AH586" i="202"/>
  <c r="AH587" i="202"/>
  <c r="AH588" i="202"/>
  <c r="AH589" i="202"/>
  <c r="AH590" i="202"/>
  <c r="AH591" i="202"/>
  <c r="AH592" i="202"/>
  <c r="AH593" i="202"/>
  <c r="AH594" i="202"/>
  <c r="AH595" i="202"/>
  <c r="AH596" i="202"/>
  <c r="AH597" i="202"/>
  <c r="AH598" i="202"/>
  <c r="AH599" i="202"/>
  <c r="AH600" i="202"/>
  <c r="AH601" i="202"/>
  <c r="AH602" i="202"/>
  <c r="AH603" i="202"/>
  <c r="AH604" i="202"/>
  <c r="AH605" i="202"/>
  <c r="AH606" i="202"/>
  <c r="AH607" i="202"/>
  <c r="AH608" i="202"/>
  <c r="AH609" i="202"/>
  <c r="AH610" i="202"/>
  <c r="AH611" i="202"/>
  <c r="AH612" i="202"/>
  <c r="AH613" i="202"/>
  <c r="AH614" i="202"/>
  <c r="AH615" i="202"/>
  <c r="AH616" i="202"/>
  <c r="AH617" i="202"/>
  <c r="AH618" i="202"/>
  <c r="AH619" i="202"/>
  <c r="AH620" i="202"/>
  <c r="AH621" i="202"/>
  <c r="AH622" i="202"/>
  <c r="AH623" i="202"/>
  <c r="AH624" i="202"/>
  <c r="AH625" i="202"/>
  <c r="AH626" i="202"/>
  <c r="AH627" i="202"/>
  <c r="AH628" i="202"/>
  <c r="AH629" i="202"/>
  <c r="AH630" i="202"/>
  <c r="AH631" i="202"/>
  <c r="AH632" i="202"/>
  <c r="AH633" i="202"/>
  <c r="AH634" i="202"/>
  <c r="AH635" i="202"/>
  <c r="AH636" i="202"/>
  <c r="AH637" i="202"/>
  <c r="AH638" i="202"/>
  <c r="AH639" i="202"/>
  <c r="AH640" i="202"/>
  <c r="AH641" i="202"/>
  <c r="AH642" i="202"/>
  <c r="AH643" i="202"/>
  <c r="AH644" i="202"/>
  <c r="AH645" i="202"/>
  <c r="AH646" i="202"/>
  <c r="AH647" i="202"/>
  <c r="AH648" i="202"/>
  <c r="AH649" i="202"/>
  <c r="AH650" i="202"/>
  <c r="AH651" i="202"/>
  <c r="AH652" i="202"/>
  <c r="AH653" i="202"/>
  <c r="AH654" i="202"/>
  <c r="AH655" i="202"/>
  <c r="AH656" i="202"/>
  <c r="AH657" i="202"/>
  <c r="AH658" i="202"/>
  <c r="AH659" i="202"/>
  <c r="AH660" i="202"/>
  <c r="AH661" i="202"/>
  <c r="AH662" i="202"/>
  <c r="AH663" i="202"/>
  <c r="AH664" i="202"/>
  <c r="AH665" i="202"/>
  <c r="AH666" i="202"/>
  <c r="AH667" i="202"/>
  <c r="AH668" i="202"/>
  <c r="AH669" i="202"/>
  <c r="AH670" i="202"/>
  <c r="AH671" i="202"/>
  <c r="AH672" i="202"/>
  <c r="AH673" i="202"/>
  <c r="AH674" i="202"/>
  <c r="AH675" i="202"/>
  <c r="AH676" i="202"/>
  <c r="AH677" i="202"/>
  <c r="AH678" i="202"/>
  <c r="AH679" i="202"/>
  <c r="AH680" i="202"/>
  <c r="AH681" i="202"/>
  <c r="AH682" i="202"/>
  <c r="AH683" i="202"/>
  <c r="AH684" i="202"/>
  <c r="AH685" i="202"/>
  <c r="AH686" i="202"/>
  <c r="AH687" i="202"/>
  <c r="AH688" i="202"/>
  <c r="AH689" i="202"/>
  <c r="AH690" i="202"/>
  <c r="AH691" i="202"/>
  <c r="AH692" i="202"/>
  <c r="AH693" i="202"/>
  <c r="AH694" i="202"/>
  <c r="AH695" i="202"/>
  <c r="AH696" i="202"/>
  <c r="AH697" i="202"/>
  <c r="AH698" i="202"/>
  <c r="AH699" i="202"/>
  <c r="AH700" i="202"/>
  <c r="AH701" i="202"/>
  <c r="AH702" i="202"/>
  <c r="AH703" i="202"/>
  <c r="AH704" i="202"/>
  <c r="AH705" i="202"/>
  <c r="AH706" i="202"/>
  <c r="AH707" i="202"/>
  <c r="AH708" i="202"/>
  <c r="AH709" i="202"/>
  <c r="AH710" i="202"/>
  <c r="AH711" i="202"/>
  <c r="AH712" i="202"/>
  <c r="AH713" i="202"/>
  <c r="AH714" i="202"/>
  <c r="AH715" i="202"/>
  <c r="AH716" i="202"/>
  <c r="AH717" i="202"/>
  <c r="AH718" i="202"/>
  <c r="AH719" i="202"/>
  <c r="AH720" i="202"/>
  <c r="AH721" i="202"/>
  <c r="AH722" i="202"/>
  <c r="AH723" i="202"/>
  <c r="AH724" i="202"/>
  <c r="AH725" i="202"/>
  <c r="AH726" i="202"/>
  <c r="AH727" i="202"/>
  <c r="AH728" i="202"/>
  <c r="AH729" i="202"/>
  <c r="AH730" i="202"/>
  <c r="AH731" i="202"/>
  <c r="AH732" i="202"/>
  <c r="AH733" i="202"/>
  <c r="AH734" i="202"/>
  <c r="AH735" i="202"/>
  <c r="AH736" i="202"/>
  <c r="AH737" i="202"/>
  <c r="AH738" i="202"/>
  <c r="AH739" i="202"/>
  <c r="AH740" i="202"/>
  <c r="AH741" i="202"/>
  <c r="AH742" i="202"/>
  <c r="AH743" i="202"/>
  <c r="AH744" i="202"/>
  <c r="AH745" i="202"/>
  <c r="AH746" i="202"/>
  <c r="AH747" i="202"/>
  <c r="AH748" i="202"/>
  <c r="AH749" i="202"/>
  <c r="AH750" i="202"/>
  <c r="AH751" i="202"/>
  <c r="AH752" i="202"/>
  <c r="AH753" i="202"/>
  <c r="AH754" i="202"/>
  <c r="AH755" i="202"/>
  <c r="AH756" i="202"/>
  <c r="AH757" i="202"/>
  <c r="AH758" i="202"/>
  <c r="AH759" i="202"/>
  <c r="AH760" i="202"/>
  <c r="AH761" i="202"/>
  <c r="AH762" i="202"/>
  <c r="AH763" i="202"/>
  <c r="AH764" i="202"/>
  <c r="AH765" i="202"/>
  <c r="AH766" i="202"/>
  <c r="AH767" i="202"/>
  <c r="AH768" i="202"/>
  <c r="AH769" i="202"/>
  <c r="AH770" i="202"/>
  <c r="AH771" i="202"/>
  <c r="AH772" i="202"/>
  <c r="AH773" i="202"/>
  <c r="AH774" i="202"/>
  <c r="AH775" i="202"/>
  <c r="AH776" i="202"/>
  <c r="AH777" i="202"/>
  <c r="AH778" i="202"/>
  <c r="AH779" i="202"/>
  <c r="AH780" i="202"/>
  <c r="AH781" i="202"/>
  <c r="AH782" i="202"/>
  <c r="AH783" i="202"/>
  <c r="AH784" i="202"/>
  <c r="AH785" i="202"/>
  <c r="AH786" i="202"/>
  <c r="AH787" i="202"/>
  <c r="AH788" i="202"/>
  <c r="AH789" i="202"/>
  <c r="AH790" i="202"/>
  <c r="AH791" i="202"/>
  <c r="AH792" i="202"/>
  <c r="AH793" i="202"/>
  <c r="AH794" i="202"/>
  <c r="AH795" i="202"/>
  <c r="AH796" i="202"/>
  <c r="AH797" i="202"/>
  <c r="AH798" i="202"/>
  <c r="AH799" i="202"/>
  <c r="AH800" i="202"/>
  <c r="AH801" i="202"/>
  <c r="AH802" i="202"/>
  <c r="AH803" i="202"/>
  <c r="AH804" i="202"/>
  <c r="AH805" i="202"/>
  <c r="AH806" i="202"/>
  <c r="AH807" i="202"/>
  <c r="AH808" i="202"/>
  <c r="AH809" i="202"/>
  <c r="AH810" i="202"/>
  <c r="AH811" i="202"/>
  <c r="AH812" i="202"/>
  <c r="AH813" i="202"/>
  <c r="AH814" i="202"/>
  <c r="AH815" i="202"/>
  <c r="AH816" i="202"/>
  <c r="AH817" i="202"/>
  <c r="AH818" i="202"/>
  <c r="AH819" i="202"/>
  <c r="AH820" i="202"/>
  <c r="AH821" i="202"/>
  <c r="AH822" i="202"/>
  <c r="AH823" i="202"/>
  <c r="AH824" i="202"/>
  <c r="AH825" i="202"/>
  <c r="AH826" i="202"/>
  <c r="AH827" i="202"/>
  <c r="AH828" i="202"/>
  <c r="AH829" i="202"/>
  <c r="AH830" i="202"/>
  <c r="AH831" i="202"/>
  <c r="AH832" i="202"/>
  <c r="AH833" i="202"/>
  <c r="AH834" i="202"/>
  <c r="AH835" i="202"/>
  <c r="AH836" i="202"/>
  <c r="AH837" i="202"/>
  <c r="AH838" i="202"/>
  <c r="AH839" i="202"/>
  <c r="AH840" i="202"/>
  <c r="AH841" i="202"/>
  <c r="AH842" i="202"/>
  <c r="AH843" i="202"/>
  <c r="AH844" i="202"/>
  <c r="AH845" i="202"/>
  <c r="AH846" i="202"/>
  <c r="AH847" i="202"/>
  <c r="AH848" i="202"/>
  <c r="AH849" i="202"/>
  <c r="AH850" i="202"/>
  <c r="AH851" i="202"/>
  <c r="AH852" i="202"/>
  <c r="AH853" i="202"/>
  <c r="AH854" i="202"/>
  <c r="AH855" i="202"/>
  <c r="AH856" i="202"/>
  <c r="AH857" i="202"/>
  <c r="AH858" i="202"/>
  <c r="AH859" i="202"/>
  <c r="AH860" i="202"/>
  <c r="AH861" i="202"/>
  <c r="AH862" i="202"/>
  <c r="AH863" i="202"/>
  <c r="AH864" i="202"/>
  <c r="AH865" i="202"/>
  <c r="AH866" i="202"/>
  <c r="AH867" i="202"/>
  <c r="AH868" i="202"/>
  <c r="AH869" i="202"/>
  <c r="AH870" i="202"/>
  <c r="AH871" i="202"/>
  <c r="AH872" i="202"/>
  <c r="AH873" i="202"/>
  <c r="AH874" i="202"/>
  <c r="AH875" i="202"/>
  <c r="AH876" i="202"/>
  <c r="AH877" i="202"/>
  <c r="AH878" i="202"/>
  <c r="AH879" i="202"/>
  <c r="AH880" i="202"/>
  <c r="AH881" i="202"/>
  <c r="AH882" i="202"/>
  <c r="AH883" i="202"/>
  <c r="AH884" i="202"/>
  <c r="AH885" i="202"/>
  <c r="AH886" i="202"/>
  <c r="AH887" i="202"/>
  <c r="AH888" i="202"/>
  <c r="AH889" i="202"/>
  <c r="AH890" i="202"/>
  <c r="AH891" i="202"/>
  <c r="AH892" i="202"/>
  <c r="AH893" i="202"/>
  <c r="AH894" i="202"/>
  <c r="AH895" i="202"/>
  <c r="AH896" i="202"/>
  <c r="AH897" i="202"/>
  <c r="AH898" i="202"/>
  <c r="AH899" i="202"/>
  <c r="AH900" i="202"/>
  <c r="AH901" i="202"/>
  <c r="AH902" i="202"/>
  <c r="AH903" i="202"/>
  <c r="AH904" i="202"/>
  <c r="AH905" i="202"/>
  <c r="AH906" i="202"/>
  <c r="AH907" i="202"/>
  <c r="AH908" i="202"/>
  <c r="AH909" i="202"/>
  <c r="AH910" i="202"/>
  <c r="AH911" i="202"/>
  <c r="AH912" i="202"/>
  <c r="AH913" i="202"/>
  <c r="AH914" i="202"/>
  <c r="AH915" i="202"/>
  <c r="AH916" i="202"/>
  <c r="AH917" i="202"/>
  <c r="AH918" i="202"/>
  <c r="AH919" i="202"/>
  <c r="AH920" i="202"/>
  <c r="AH921" i="202"/>
  <c r="AH922" i="202"/>
  <c r="AH923" i="202"/>
  <c r="AH924" i="202"/>
  <c r="AH925" i="202"/>
  <c r="AH926" i="202"/>
  <c r="AH927" i="202"/>
  <c r="AH928" i="202"/>
  <c r="AH929" i="202"/>
  <c r="AH930" i="202"/>
  <c r="AH931" i="202"/>
  <c r="AH932" i="202"/>
  <c r="AH933" i="202"/>
  <c r="AH934" i="202"/>
  <c r="AH935" i="202"/>
  <c r="AH936" i="202"/>
  <c r="AH937" i="202"/>
  <c r="AH938" i="202"/>
  <c r="AH939" i="202"/>
  <c r="AH940" i="202"/>
  <c r="AH941" i="202"/>
  <c r="AH942" i="202"/>
  <c r="AH943" i="202"/>
  <c r="AH944" i="202"/>
  <c r="AH945" i="202"/>
  <c r="AH946" i="202"/>
  <c r="AH947" i="202"/>
  <c r="AH948" i="202"/>
  <c r="AH949" i="202"/>
  <c r="AH950" i="202"/>
  <c r="AH951" i="202"/>
  <c r="AH952" i="202"/>
  <c r="AH953" i="202"/>
  <c r="AH954" i="202"/>
  <c r="AH955" i="202"/>
  <c r="AH956" i="202"/>
  <c r="AH957" i="202"/>
  <c r="AH958" i="202"/>
  <c r="AH959" i="202"/>
  <c r="AH960" i="202"/>
  <c r="AH961" i="202"/>
  <c r="AH962" i="202"/>
  <c r="AH963" i="202"/>
  <c r="AH964" i="202"/>
  <c r="AH965" i="202"/>
  <c r="AH966" i="202"/>
  <c r="AH967" i="202"/>
  <c r="AH968" i="202"/>
  <c r="AH969" i="202"/>
  <c r="AH970" i="202"/>
  <c r="AH971" i="202"/>
  <c r="AH972" i="202"/>
  <c r="AH973" i="202"/>
  <c r="AH974" i="202"/>
  <c r="AH975" i="202"/>
  <c r="AH976" i="202"/>
  <c r="AH977" i="202"/>
  <c r="AH978" i="202"/>
  <c r="AH979" i="202"/>
  <c r="AH980" i="202"/>
  <c r="AH981" i="202"/>
  <c r="AH982" i="202"/>
  <c r="AH983" i="202"/>
  <c r="AH984" i="202"/>
  <c r="AH985" i="202"/>
  <c r="AH986" i="202"/>
  <c r="AH987" i="202"/>
  <c r="AH988" i="202"/>
  <c r="AH989" i="202"/>
  <c r="AH990" i="202"/>
  <c r="AH991" i="202"/>
  <c r="AH992" i="202"/>
  <c r="AH993" i="202"/>
  <c r="AH994" i="202"/>
  <c r="AH995" i="202"/>
  <c r="AH996" i="202"/>
  <c r="AH997" i="202"/>
  <c r="AH998" i="202"/>
  <c r="AH999" i="202"/>
  <c r="AH1000" i="202"/>
  <c r="AH1001" i="202"/>
  <c r="AH1002" i="202"/>
  <c r="AH1003" i="202"/>
  <c r="AH1004" i="202"/>
  <c r="AH1005" i="202"/>
  <c r="AH1006" i="202"/>
  <c r="AH1007" i="202"/>
  <c r="AH1008" i="202"/>
  <c r="AH1009" i="202"/>
  <c r="AH1010" i="202"/>
  <c r="AH1011" i="202"/>
  <c r="AH1012" i="202"/>
  <c r="AH1013" i="202"/>
  <c r="AH1014" i="202"/>
  <c r="AH1015" i="202"/>
  <c r="AH1016" i="202"/>
  <c r="AH1017" i="202"/>
  <c r="AH1018" i="202"/>
  <c r="AH1019" i="202"/>
  <c r="AH1020" i="202"/>
  <c r="AH1021" i="202"/>
  <c r="AH1022" i="202"/>
  <c r="AH1023" i="202"/>
  <c r="AH1024" i="202"/>
  <c r="AH1025" i="202"/>
  <c r="AH1026" i="202"/>
  <c r="AH1027" i="202"/>
  <c r="AH1028" i="202"/>
  <c r="AH1029" i="202"/>
  <c r="AH1030" i="202"/>
  <c r="AH1031" i="202"/>
  <c r="AH1032" i="202"/>
  <c r="AH1033" i="202"/>
  <c r="AH1034" i="202"/>
  <c r="AH1035" i="202"/>
  <c r="AH1036" i="202"/>
  <c r="AH1037" i="202"/>
  <c r="AH1038" i="202"/>
  <c r="AH1039" i="202"/>
  <c r="AH1040" i="202"/>
  <c r="AH1041" i="202"/>
  <c r="AH1042" i="202"/>
  <c r="AH1043" i="202"/>
  <c r="AH1044" i="202"/>
  <c r="AH1045" i="202"/>
  <c r="AH1046" i="202"/>
  <c r="AH1047" i="202"/>
  <c r="AH1048" i="202"/>
  <c r="AH1049" i="202"/>
  <c r="AH1050" i="202"/>
  <c r="AH1051" i="202"/>
  <c r="AH1052" i="202"/>
  <c r="AH1053" i="202"/>
  <c r="AH1054" i="202"/>
  <c r="AH1055" i="202"/>
  <c r="AH1056" i="202"/>
  <c r="AH1057" i="202"/>
  <c r="AH1058" i="202"/>
  <c r="AH1059" i="202"/>
  <c r="AH1060" i="202"/>
  <c r="AH1061" i="202"/>
  <c r="AH1062" i="202"/>
  <c r="AH1063" i="202"/>
  <c r="AH1064" i="202"/>
  <c r="AH1065" i="202"/>
  <c r="AH1066" i="202"/>
  <c r="AH1067" i="202"/>
  <c r="AH1068" i="202"/>
  <c r="AH1069" i="202"/>
  <c r="AH1070" i="202"/>
  <c r="AH1071" i="202"/>
  <c r="AH1072" i="202"/>
  <c r="AH1073" i="202"/>
  <c r="AH1074" i="202"/>
  <c r="AH1075" i="202"/>
  <c r="AH1076" i="202"/>
  <c r="AH1077" i="202"/>
  <c r="AH1078" i="202"/>
  <c r="AH1079" i="202"/>
  <c r="AH1080" i="202"/>
  <c r="AH1081" i="202"/>
  <c r="AH1082" i="202"/>
  <c r="AH1083" i="202"/>
  <c r="AH1084" i="202"/>
  <c r="AH1085" i="202"/>
  <c r="AH1086" i="202"/>
  <c r="AH1087" i="202"/>
  <c r="AH1088" i="202"/>
  <c r="AH1089" i="202"/>
  <c r="AH1090" i="202"/>
  <c r="AH1091" i="202"/>
  <c r="AH1092" i="202"/>
  <c r="AH1093" i="202"/>
  <c r="AH1094" i="202"/>
  <c r="AH1095" i="202"/>
  <c r="AH1096" i="202"/>
  <c r="AH1097" i="202"/>
  <c r="AH1098" i="202"/>
  <c r="AH1099" i="202"/>
  <c r="AH1100" i="202"/>
  <c r="AH1101" i="202"/>
  <c r="AH1102" i="202"/>
  <c r="AH1103" i="202"/>
  <c r="AH1104" i="202"/>
  <c r="AH1105" i="202"/>
  <c r="AH1106" i="202"/>
  <c r="AH1107" i="202"/>
  <c r="AH1108" i="202"/>
  <c r="AH1109" i="202"/>
  <c r="AH1110" i="202"/>
  <c r="AH1111" i="202"/>
  <c r="AH1112" i="202"/>
  <c r="AH1113" i="202"/>
  <c r="AH1114" i="202"/>
  <c r="AH1115" i="202"/>
  <c r="AH1116" i="202"/>
  <c r="AH1117" i="202"/>
  <c r="AH1118" i="202"/>
  <c r="AH1119" i="202"/>
  <c r="AH1120" i="202"/>
  <c r="AH1121" i="202"/>
  <c r="AH1122" i="202"/>
  <c r="AH1123" i="202"/>
  <c r="AH1124" i="202"/>
  <c r="AH1125" i="202"/>
  <c r="AH1126" i="202"/>
  <c r="AH1127" i="202"/>
  <c r="AH1128" i="202"/>
  <c r="AH1129" i="202"/>
  <c r="AH1130" i="202"/>
  <c r="AH1131" i="202"/>
  <c r="AH1132" i="202"/>
  <c r="AH1133" i="202"/>
  <c r="AH1134" i="202"/>
  <c r="AH1135" i="202"/>
  <c r="AH1136" i="202"/>
  <c r="AH1137" i="202"/>
  <c r="AH1138" i="202"/>
  <c r="AH1139" i="202"/>
  <c r="AH1140" i="202"/>
  <c r="AH1141" i="202"/>
  <c r="AH1142" i="202"/>
  <c r="AH1143" i="202"/>
  <c r="AH1144" i="202"/>
  <c r="AH1145" i="202"/>
  <c r="AH1146" i="202"/>
  <c r="AH1147" i="202"/>
  <c r="AH1148" i="202"/>
  <c r="AH1149" i="202"/>
  <c r="AH1150" i="202"/>
  <c r="AH1151" i="202"/>
  <c r="AH1152" i="202"/>
  <c r="AH1153" i="202"/>
  <c r="AH1154" i="202"/>
  <c r="AH1155" i="202"/>
  <c r="AH1156" i="202"/>
  <c r="AH1157" i="202"/>
  <c r="AH1158" i="202"/>
  <c r="AH1159" i="202"/>
  <c r="AH1160" i="202"/>
  <c r="AH1161" i="202"/>
  <c r="AH1162" i="202"/>
  <c r="AH1163" i="202"/>
  <c r="AH1164" i="202"/>
  <c r="AH1165" i="202"/>
  <c r="AH1166" i="202"/>
  <c r="AH1167" i="202"/>
  <c r="AH1168" i="202"/>
  <c r="AH1169" i="202"/>
  <c r="AH1170" i="202"/>
  <c r="AH1171" i="202"/>
  <c r="AH1172" i="202"/>
  <c r="AH1173" i="202"/>
  <c r="AH1174" i="202"/>
  <c r="AH1175" i="202"/>
  <c r="AH1176" i="202"/>
  <c r="AH1177" i="202"/>
  <c r="AH1178" i="202"/>
  <c r="AH1179" i="202"/>
  <c r="AH1180" i="202"/>
  <c r="AH1181" i="202"/>
  <c r="AH1182" i="202"/>
  <c r="AH1183" i="202"/>
  <c r="AH1184" i="202"/>
  <c r="AH1185" i="202"/>
  <c r="AH1186" i="202"/>
  <c r="AH1187" i="202"/>
  <c r="AH1188" i="202"/>
  <c r="AH1189" i="202"/>
  <c r="AH1190" i="202"/>
  <c r="AH1191" i="202"/>
  <c r="AH1192" i="202"/>
  <c r="AH1193" i="202"/>
  <c r="AH1194" i="202"/>
  <c r="AH1195" i="202"/>
  <c r="AH1196" i="202"/>
  <c r="AH1197" i="202"/>
  <c r="AH1198" i="202"/>
  <c r="AH1199" i="202"/>
  <c r="AH1200" i="202"/>
  <c r="AH1201" i="202"/>
  <c r="AH1202" i="202"/>
  <c r="AH1203" i="202"/>
  <c r="AH1204" i="202"/>
  <c r="AH1205" i="202"/>
  <c r="AH1206" i="202"/>
  <c r="AH1207" i="202"/>
  <c r="AH1208" i="202"/>
  <c r="AH1209" i="202"/>
  <c r="AH1210" i="202"/>
  <c r="AH1211" i="202"/>
  <c r="AH1212" i="202"/>
  <c r="AH1213" i="202"/>
  <c r="AH1214" i="202"/>
  <c r="AH1215" i="202"/>
  <c r="AH1216" i="202"/>
  <c r="AH1217" i="202"/>
  <c r="AH1218" i="202"/>
  <c r="AH1219" i="202"/>
  <c r="AH1220" i="202"/>
  <c r="AH1221" i="202"/>
  <c r="AH1222" i="202"/>
  <c r="AH1223" i="202"/>
  <c r="AH1224" i="202"/>
  <c r="AH1225" i="202"/>
  <c r="AH1226" i="202"/>
  <c r="AH1227" i="202"/>
  <c r="AH1228" i="202"/>
  <c r="AH1229" i="202"/>
  <c r="AH1230" i="202"/>
  <c r="AH1231" i="202"/>
  <c r="AH1232" i="202"/>
  <c r="AH1233" i="202"/>
  <c r="AH1234" i="202"/>
  <c r="AH1235" i="202"/>
  <c r="AH1236" i="202"/>
  <c r="AH1237" i="202"/>
  <c r="AH1238" i="202"/>
  <c r="AH1239" i="202"/>
  <c r="AH1240" i="202"/>
  <c r="AH1241" i="202"/>
  <c r="AH1242" i="202"/>
  <c r="AH1243" i="202"/>
  <c r="AH1244" i="202"/>
  <c r="AH1245" i="202"/>
  <c r="AH1246" i="202"/>
  <c r="AH1247" i="202"/>
  <c r="AH1248" i="202"/>
  <c r="AH1249" i="202"/>
  <c r="AH1250" i="202"/>
  <c r="AH1251" i="202"/>
  <c r="AH1252" i="202"/>
  <c r="AH1253" i="202"/>
  <c r="AH1254" i="202"/>
  <c r="AH1255" i="202"/>
  <c r="AH1256" i="202"/>
  <c r="AH1257" i="202"/>
  <c r="AH1258" i="202"/>
  <c r="AH1259" i="202"/>
  <c r="AH1260" i="202"/>
  <c r="AH1261" i="202"/>
  <c r="AH1262" i="202"/>
  <c r="AH1263" i="202"/>
  <c r="AH1264" i="202"/>
  <c r="AH1265" i="202"/>
  <c r="AH1266" i="202"/>
  <c r="AH1267" i="202"/>
  <c r="AH1268" i="202"/>
  <c r="AH1269" i="202"/>
  <c r="AH1270" i="202"/>
  <c r="AH1271" i="202"/>
  <c r="AH1272" i="202"/>
  <c r="AH1273" i="202"/>
  <c r="AH1274" i="202"/>
  <c r="AH1275" i="202"/>
  <c r="AH1276" i="202"/>
  <c r="AH1277" i="202"/>
  <c r="AH1278" i="202"/>
  <c r="AH1279" i="202"/>
  <c r="AH1280" i="202"/>
  <c r="AH1281" i="202"/>
  <c r="AH1282" i="202"/>
  <c r="AH1283" i="202"/>
  <c r="AH1284" i="202"/>
  <c r="AH1285" i="202"/>
  <c r="AH1286" i="202"/>
  <c r="AH1287" i="202"/>
  <c r="AH1288" i="202"/>
  <c r="AH1289" i="202"/>
  <c r="AH1290" i="202"/>
  <c r="AH1291" i="202"/>
  <c r="AH1292" i="202"/>
  <c r="AH1293" i="202"/>
  <c r="AH1294" i="202"/>
  <c r="AH1295" i="202"/>
  <c r="AH1296" i="202"/>
  <c r="AH1297" i="202"/>
  <c r="AH1298" i="202"/>
  <c r="AH1299" i="202"/>
  <c r="AH1300" i="202"/>
  <c r="AH1301" i="202"/>
  <c r="AH1302" i="202"/>
  <c r="AH1303" i="202"/>
  <c r="AH1304" i="202"/>
  <c r="AH1305" i="202"/>
  <c r="AH1306" i="202"/>
  <c r="AH1307" i="202"/>
  <c r="AH1308" i="202"/>
  <c r="AH1309" i="202"/>
  <c r="AH1310" i="202"/>
  <c r="AH1311" i="202"/>
  <c r="AH1312" i="202"/>
  <c r="AH1313" i="202"/>
  <c r="AH1314" i="202"/>
  <c r="AH1315" i="202"/>
  <c r="AH1316" i="202"/>
  <c r="AH1317" i="202"/>
  <c r="AH1318" i="202"/>
  <c r="AH1319" i="202"/>
  <c r="AH1320" i="202"/>
  <c r="AH1321" i="202"/>
  <c r="AH1322" i="202"/>
  <c r="AH1323" i="202"/>
  <c r="AH1324" i="202"/>
  <c r="AH1325" i="202"/>
  <c r="AH1326" i="202"/>
  <c r="AH1327" i="202"/>
  <c r="AH1328" i="202"/>
  <c r="AH1329" i="202"/>
  <c r="AH1330" i="202"/>
  <c r="AH1331" i="202"/>
  <c r="AH1332" i="202"/>
  <c r="AH1333" i="202"/>
  <c r="AH1334" i="202"/>
  <c r="AH1335" i="202"/>
  <c r="AH1336" i="202"/>
  <c r="AH1337" i="202"/>
  <c r="AH1338" i="202"/>
  <c r="AH1339" i="202"/>
  <c r="AH1340" i="202"/>
  <c r="AH1341" i="202"/>
  <c r="AH1342" i="202"/>
  <c r="AH1343" i="202"/>
  <c r="AH1344" i="202"/>
  <c r="AH1345" i="202"/>
  <c r="AH1346" i="202"/>
  <c r="AH1347" i="202"/>
  <c r="AH1348" i="202"/>
  <c r="AH1349" i="202"/>
  <c r="AH1350" i="202"/>
  <c r="AH1351" i="202"/>
  <c r="AH1352" i="202"/>
  <c r="AH1353" i="202"/>
  <c r="AH1354" i="202"/>
  <c r="AH1355" i="202"/>
  <c r="AH1356" i="202"/>
  <c r="AH1357" i="202"/>
  <c r="AH1358" i="202"/>
  <c r="AH1359" i="202"/>
  <c r="AH1360" i="202"/>
  <c r="AH1361" i="202"/>
  <c r="AH1362" i="202"/>
  <c r="AH1363" i="202"/>
  <c r="AH1364" i="202"/>
  <c r="AH1365" i="202"/>
  <c r="AH1366" i="202"/>
  <c r="AH1367" i="202"/>
  <c r="AH1368" i="202"/>
  <c r="AH1369" i="202"/>
  <c r="AH1370" i="202"/>
  <c r="AH1371" i="202"/>
  <c r="AH1372" i="202"/>
  <c r="AH1373" i="202"/>
  <c r="AH1374" i="202"/>
  <c r="AH1375" i="202"/>
  <c r="AH1376" i="202"/>
  <c r="AH1377" i="202"/>
  <c r="AH1378" i="202"/>
  <c r="AH1379" i="202"/>
  <c r="AH1380" i="202"/>
  <c r="AH1381" i="202"/>
  <c r="AH1382" i="202"/>
  <c r="AH1383" i="202"/>
  <c r="AH1384" i="202"/>
  <c r="AH1385" i="202"/>
  <c r="AH1386" i="202"/>
  <c r="AH1387" i="202"/>
  <c r="AH1388" i="202"/>
  <c r="AH1389" i="202"/>
  <c r="AH1390" i="202"/>
  <c r="AH1391" i="202"/>
  <c r="AH1392" i="202"/>
  <c r="AH1393" i="202"/>
  <c r="AH1394" i="202"/>
  <c r="AH1395" i="202"/>
  <c r="AH1396" i="202"/>
  <c r="AH1397" i="202"/>
  <c r="AH1398" i="202"/>
  <c r="AH1399" i="202"/>
  <c r="AH1400" i="202"/>
  <c r="AH1401" i="202"/>
  <c r="AH1402" i="202"/>
  <c r="AH1403" i="202"/>
  <c r="AH1404" i="202"/>
  <c r="AH1405" i="202"/>
  <c r="AH1406" i="202"/>
  <c r="AH1407" i="202"/>
  <c r="AH1408" i="202"/>
  <c r="AH1409" i="202"/>
  <c r="AH1410" i="202"/>
  <c r="AH1411" i="202"/>
  <c r="AH1412" i="202"/>
  <c r="AH1413" i="202"/>
  <c r="AH1414" i="202"/>
  <c r="AH1415" i="202"/>
  <c r="AH1416" i="202"/>
  <c r="AH1417" i="202"/>
  <c r="AH1418" i="202"/>
  <c r="AH1419" i="202"/>
  <c r="AH1420" i="202"/>
  <c r="AH1421" i="202"/>
  <c r="AH1422" i="202"/>
  <c r="AH1423" i="202"/>
  <c r="AH1424" i="202"/>
  <c r="AH1425" i="202"/>
  <c r="AH1426" i="202"/>
  <c r="AH1427" i="202"/>
  <c r="AH1428" i="202"/>
  <c r="AH1429" i="202"/>
  <c r="AH1430" i="202"/>
  <c r="AH1431" i="202"/>
  <c r="AH1432" i="202"/>
  <c r="AH1433" i="202"/>
  <c r="AH1434" i="202"/>
  <c r="AH1435" i="202"/>
  <c r="AH1436" i="202"/>
  <c r="AH1437" i="202"/>
  <c r="AH1438" i="202"/>
  <c r="AH1439" i="202"/>
  <c r="AH1440" i="202"/>
  <c r="AH1441" i="202"/>
  <c r="AH1442" i="202"/>
  <c r="AH1443" i="202"/>
  <c r="AH1444" i="202"/>
  <c r="AH1445" i="202"/>
  <c r="AH1446" i="202"/>
  <c r="AH1447" i="202"/>
  <c r="AH1448" i="202"/>
  <c r="AH1449" i="202"/>
  <c r="AH1450" i="202"/>
  <c r="AH1451" i="202"/>
  <c r="AH1452" i="202"/>
  <c r="AH1453" i="202"/>
  <c r="AH1454" i="202"/>
  <c r="AH1455" i="202"/>
  <c r="AH1456" i="202"/>
  <c r="AH1457" i="202"/>
  <c r="AH1458" i="202"/>
  <c r="AH1459" i="202"/>
  <c r="AH1460" i="202"/>
  <c r="AH1461" i="202"/>
  <c r="AH1462" i="202"/>
  <c r="AH1463" i="202"/>
  <c r="AH1464" i="202"/>
  <c r="AH1465" i="202"/>
  <c r="AH1466" i="202"/>
  <c r="AH1467" i="202"/>
  <c r="AH1468" i="202"/>
  <c r="AH1469" i="202"/>
  <c r="AH1470" i="202"/>
  <c r="AH1471" i="202"/>
  <c r="AH1472" i="202"/>
  <c r="AH1473" i="202"/>
  <c r="AH1474" i="202"/>
  <c r="AH1475" i="202"/>
  <c r="AH1476" i="202"/>
  <c r="AH1477" i="202"/>
  <c r="AH1478" i="202"/>
  <c r="AH1479" i="202"/>
  <c r="AH1480" i="202"/>
  <c r="AH1481" i="202"/>
  <c r="AH1482" i="202"/>
  <c r="AH1483" i="202"/>
  <c r="AH1484" i="202"/>
  <c r="AH1485" i="202"/>
  <c r="AH1486" i="202"/>
  <c r="AH1487" i="202"/>
  <c r="AH1488" i="202"/>
  <c r="AH1489" i="202"/>
  <c r="AH1490" i="202"/>
  <c r="AH1491" i="202"/>
  <c r="AH1492" i="202"/>
  <c r="AH1493" i="202"/>
  <c r="AH1494" i="202"/>
  <c r="AH1495" i="202"/>
  <c r="AH1496" i="202"/>
  <c r="AH1497" i="202"/>
  <c r="AH1498" i="202"/>
  <c r="AH1499" i="202"/>
  <c r="AH1500" i="202"/>
  <c r="AH1501" i="202"/>
  <c r="AH1502" i="202"/>
  <c r="AH1503" i="202"/>
  <c r="AH1504" i="202"/>
  <c r="AH1505" i="202"/>
  <c r="AH1506" i="202"/>
  <c r="AH1507" i="202"/>
  <c r="AH1508" i="202"/>
  <c r="AH1509" i="202"/>
  <c r="AH1510" i="202"/>
  <c r="AH1511" i="202"/>
  <c r="AH1512" i="202"/>
  <c r="AH1513" i="202"/>
  <c r="AH1514" i="202"/>
  <c r="AH1515" i="202"/>
  <c r="AH1516" i="202"/>
  <c r="AH1517" i="202"/>
  <c r="AH1518" i="202"/>
  <c r="AH1519" i="202"/>
  <c r="AH1520" i="202"/>
  <c r="AH1521" i="202"/>
  <c r="AH1522" i="202"/>
  <c r="AH1523" i="202"/>
  <c r="AH1524" i="202"/>
  <c r="AH1525" i="202"/>
  <c r="AH1526" i="202"/>
  <c r="AH1527" i="202"/>
  <c r="AH1528" i="202"/>
  <c r="AH1529" i="202"/>
  <c r="AH1530" i="202"/>
  <c r="AH1531" i="202"/>
  <c r="AH1532" i="202"/>
  <c r="AH1533" i="202"/>
  <c r="AH1534" i="202"/>
  <c r="AH1535" i="202"/>
  <c r="AH1536" i="202"/>
  <c r="AH1537" i="202"/>
  <c r="AH1538" i="202"/>
  <c r="AH1539" i="202"/>
  <c r="AH1540" i="202"/>
  <c r="AH1541" i="202"/>
  <c r="AH1542" i="202"/>
  <c r="AH1543" i="202"/>
  <c r="AH1544" i="202"/>
  <c r="AH1545" i="202"/>
  <c r="AH1546" i="202"/>
  <c r="AH1547" i="202"/>
  <c r="AH1548" i="202"/>
  <c r="AH1549" i="202"/>
  <c r="AH1550" i="202"/>
  <c r="AH1551" i="202"/>
  <c r="AH1552" i="202"/>
  <c r="AH1553" i="202"/>
  <c r="AH1554" i="202"/>
  <c r="AH1555" i="202"/>
  <c r="AH1556" i="202"/>
  <c r="AH1557" i="202"/>
  <c r="AH1558" i="202"/>
  <c r="AH1559" i="202"/>
  <c r="AH1560" i="202"/>
  <c r="AH1561" i="202"/>
  <c r="AH1562" i="202"/>
  <c r="AH1563" i="202"/>
  <c r="AH1564" i="202"/>
  <c r="AH1565" i="202"/>
  <c r="AH1566" i="202"/>
  <c r="AH1567" i="202"/>
  <c r="AH1568" i="202"/>
  <c r="AH1569" i="202"/>
  <c r="AH1570" i="202"/>
  <c r="AH1571" i="202"/>
  <c r="AH1572" i="202"/>
  <c r="AH1573" i="202"/>
  <c r="AH1574" i="202"/>
  <c r="AH1575" i="202"/>
  <c r="AH1576" i="202"/>
  <c r="AH1577" i="202"/>
  <c r="AH1578" i="202"/>
  <c r="AH1579" i="202"/>
  <c r="AH1580" i="202"/>
  <c r="AH1581" i="202"/>
  <c r="AH1582" i="202"/>
  <c r="AH1583" i="202"/>
  <c r="AH1584" i="202"/>
  <c r="AH1585" i="202"/>
  <c r="AH1586" i="202"/>
  <c r="AH1587" i="202"/>
  <c r="AH1588" i="202"/>
  <c r="AH1589" i="202"/>
  <c r="AH1590" i="202"/>
  <c r="AH1591" i="202"/>
  <c r="AH1592" i="202"/>
  <c r="AH1593" i="202"/>
  <c r="AH1594" i="202"/>
  <c r="AH1595" i="202"/>
  <c r="AH1596" i="202"/>
  <c r="AH1597" i="202"/>
  <c r="AH1598" i="202"/>
  <c r="AH1599" i="202"/>
  <c r="AH1600" i="202"/>
  <c r="AH1601" i="202"/>
  <c r="AH1602" i="202"/>
  <c r="AH1603" i="202"/>
  <c r="AH1604" i="202"/>
  <c r="AH1605" i="202"/>
  <c r="AH1606" i="202"/>
  <c r="AH1607" i="202"/>
  <c r="AH1608" i="202"/>
  <c r="AH1609" i="202"/>
  <c r="AH1610" i="202"/>
  <c r="AH1611" i="202"/>
  <c r="AH1612" i="202"/>
  <c r="AH1613" i="202"/>
  <c r="AH1614" i="202"/>
  <c r="AH1615" i="202"/>
  <c r="AH1616" i="202"/>
  <c r="AH1617" i="202"/>
  <c r="AH1618" i="202"/>
  <c r="AH1619" i="202"/>
  <c r="AH1620" i="202"/>
  <c r="AH1621" i="202"/>
  <c r="AH1622" i="202"/>
  <c r="AH1623" i="202"/>
  <c r="AH1624" i="202"/>
  <c r="AH1625" i="202"/>
  <c r="AH1626" i="202"/>
  <c r="AH1627" i="202"/>
  <c r="AH1628" i="202"/>
  <c r="AH1629" i="202"/>
  <c r="AH1630" i="202"/>
  <c r="AH1631" i="202"/>
  <c r="AH1632" i="202"/>
  <c r="AH1633" i="202"/>
  <c r="AH1634" i="202"/>
  <c r="AH1635" i="202"/>
  <c r="AH1636" i="202"/>
  <c r="AH1637" i="202"/>
  <c r="AH1638" i="202"/>
  <c r="AH1639" i="202"/>
  <c r="AH1640" i="202"/>
  <c r="AH1641" i="202"/>
  <c r="AH1642" i="202"/>
  <c r="AH1643" i="202"/>
  <c r="AH1644" i="202"/>
  <c r="AH1645" i="202"/>
  <c r="AH1646" i="202"/>
  <c r="AH1647" i="202"/>
  <c r="AH1648" i="202"/>
  <c r="AH1649" i="202"/>
  <c r="AH1650" i="202"/>
  <c r="AH1651" i="202"/>
  <c r="AH1652" i="202"/>
  <c r="AH1653" i="202"/>
  <c r="AH1654" i="202"/>
  <c r="AH1655" i="202"/>
  <c r="AH1656" i="202"/>
  <c r="AH1657" i="202"/>
  <c r="AH1658" i="202"/>
  <c r="AH1659" i="202"/>
  <c r="AH1660" i="202"/>
  <c r="AH1661" i="202"/>
  <c r="AH1662" i="202"/>
  <c r="AH1663" i="202"/>
  <c r="AH1664" i="202"/>
  <c r="AH1665" i="202"/>
  <c r="AH1666" i="202"/>
  <c r="AH1667" i="202"/>
  <c r="AH1668" i="202"/>
  <c r="AH1669" i="202"/>
  <c r="AH1670" i="202"/>
  <c r="AH1671" i="202"/>
  <c r="AH1672" i="202"/>
  <c r="AH1673" i="202"/>
  <c r="AH1674" i="202"/>
  <c r="AH1675" i="202"/>
  <c r="AH1676" i="202"/>
  <c r="AH1677" i="202"/>
  <c r="AH1678" i="202"/>
  <c r="AH1679" i="202"/>
  <c r="AH1680" i="202"/>
  <c r="AH1681" i="202"/>
  <c r="AH1682" i="202"/>
  <c r="AH1683" i="202"/>
  <c r="AH1684" i="202"/>
  <c r="AH1685" i="202"/>
  <c r="AH1686" i="202"/>
  <c r="AH1687" i="202"/>
  <c r="AH1688" i="202"/>
  <c r="AH1689" i="202"/>
  <c r="AH1690" i="202"/>
  <c r="AH1691" i="202"/>
  <c r="AH1692" i="202"/>
  <c r="AH1693" i="202"/>
  <c r="AH1694" i="202"/>
  <c r="AH1695" i="202"/>
  <c r="AH1696" i="202"/>
  <c r="AH1697" i="202"/>
  <c r="AH1698" i="202"/>
  <c r="AH1699" i="202"/>
  <c r="AH1700" i="202"/>
  <c r="AH1701" i="202"/>
  <c r="AH1702" i="202"/>
  <c r="AH1703" i="202"/>
  <c r="AH1704" i="202"/>
  <c r="AH1705" i="202"/>
  <c r="AH1706" i="202"/>
  <c r="AH1707" i="202"/>
  <c r="AH1708" i="202"/>
  <c r="AH1709" i="202"/>
  <c r="AH1710" i="202"/>
  <c r="AH1711" i="202"/>
  <c r="AH1712" i="202"/>
  <c r="AH1713" i="202"/>
  <c r="AH1714" i="202"/>
  <c r="AH1715" i="202"/>
  <c r="AH1716" i="202"/>
  <c r="AH1717" i="202"/>
  <c r="AH1718" i="202"/>
  <c r="AH1719" i="202"/>
  <c r="AH1720" i="202"/>
  <c r="AH1721" i="202"/>
  <c r="AH1722" i="202"/>
  <c r="AH1723" i="202"/>
  <c r="AH1724" i="202"/>
  <c r="AH1725" i="202"/>
  <c r="AH1726" i="202"/>
  <c r="AH1727" i="202"/>
  <c r="AH1728" i="202"/>
  <c r="AH1729" i="202"/>
  <c r="AH1730" i="202"/>
  <c r="AH1731" i="202"/>
  <c r="AH1732" i="202"/>
  <c r="AH1733" i="202"/>
  <c r="AH1734" i="202"/>
  <c r="AH1735" i="202"/>
  <c r="AH1736" i="202"/>
  <c r="AH1737" i="202"/>
  <c r="AH1738" i="202"/>
  <c r="AH1739" i="202"/>
  <c r="AH1740" i="202"/>
  <c r="AH1741" i="202"/>
  <c r="AH1742" i="202"/>
  <c r="AH1743" i="202"/>
  <c r="AH1744" i="202"/>
  <c r="AH1745" i="202"/>
  <c r="AH1746" i="202"/>
  <c r="AH1747" i="202"/>
  <c r="AH1748" i="202"/>
  <c r="AH1749" i="202"/>
  <c r="AH1750" i="202"/>
  <c r="AH1751" i="202"/>
  <c r="AH1752" i="202"/>
  <c r="AH1753" i="202"/>
  <c r="AH1754" i="202"/>
  <c r="AH1755" i="202"/>
  <c r="AH1756" i="202"/>
  <c r="AH1757" i="202"/>
  <c r="AH1758" i="202"/>
  <c r="AH1759" i="202"/>
  <c r="AH1760" i="202"/>
  <c r="AH1761" i="202"/>
  <c r="AH1762" i="202"/>
  <c r="AH1763" i="202"/>
  <c r="AH1764" i="202"/>
  <c r="AH1765" i="202"/>
  <c r="AH1766" i="202"/>
  <c r="AH1767" i="202"/>
  <c r="AH1768" i="202"/>
  <c r="AH1769" i="202"/>
  <c r="AH1770" i="202"/>
  <c r="AH1771" i="202"/>
  <c r="AH1772" i="202"/>
  <c r="AH1773" i="202"/>
  <c r="AH1774" i="202"/>
  <c r="AH1775" i="202"/>
  <c r="AH1776" i="202"/>
  <c r="AH1777" i="202"/>
  <c r="AH1778" i="202"/>
  <c r="AH1779" i="202"/>
  <c r="AH1780" i="202"/>
  <c r="AH1781" i="202"/>
  <c r="AH1782" i="202"/>
  <c r="AH1783" i="202"/>
  <c r="AH1784" i="202"/>
  <c r="AH1785" i="202"/>
  <c r="AH1786" i="202"/>
  <c r="AH1787" i="202"/>
  <c r="AH1788" i="202"/>
  <c r="AH1789" i="202"/>
  <c r="AH1790" i="202"/>
  <c r="AH1791" i="202"/>
  <c r="AH1792" i="202"/>
  <c r="AH1793" i="202"/>
  <c r="AH1794" i="202"/>
  <c r="AH1795" i="202"/>
  <c r="AH1796" i="202"/>
  <c r="AH1797" i="202"/>
  <c r="AH1798" i="202"/>
  <c r="AH1799" i="202"/>
  <c r="AH1800" i="202"/>
  <c r="AH1801" i="202"/>
  <c r="AH1802" i="202"/>
  <c r="AH1803" i="202"/>
  <c r="AH1804" i="202"/>
  <c r="AH1805" i="202"/>
  <c r="AH1806" i="202"/>
  <c r="AH1807" i="202"/>
  <c r="AH1808" i="202"/>
  <c r="AH1809" i="202"/>
  <c r="AH1810" i="202"/>
  <c r="AH1811" i="202"/>
  <c r="AH1812" i="202"/>
  <c r="AH1813" i="202"/>
  <c r="AH1814" i="202"/>
  <c r="AH1815" i="202"/>
  <c r="AH1816" i="202"/>
  <c r="AH1817" i="202"/>
  <c r="AH1818" i="202"/>
  <c r="AH1819" i="202"/>
  <c r="AH1820" i="202"/>
  <c r="AH1821" i="202"/>
  <c r="AH1822" i="202"/>
  <c r="AH1823" i="202"/>
  <c r="AH1824" i="202"/>
  <c r="AH1825" i="202"/>
  <c r="AH1826" i="202"/>
  <c r="AH1827" i="202"/>
  <c r="AH1828" i="202"/>
  <c r="AH1829" i="202"/>
  <c r="AH1830" i="202"/>
  <c r="AH1831" i="202"/>
  <c r="AH1832" i="202"/>
  <c r="AH1833" i="202"/>
  <c r="AH1834" i="202"/>
  <c r="AH1835" i="202"/>
  <c r="AH1836" i="202"/>
  <c r="AH1837" i="202"/>
  <c r="AH1838" i="202"/>
  <c r="AH1839" i="202"/>
  <c r="AH1840" i="202"/>
  <c r="AH1841" i="202"/>
  <c r="AH1842" i="202"/>
  <c r="AH1843" i="202"/>
  <c r="AH1844" i="202"/>
  <c r="AH1845" i="202"/>
  <c r="AH1846" i="202"/>
  <c r="AH1847" i="202"/>
  <c r="AH1848" i="202"/>
  <c r="AH1849" i="202"/>
  <c r="AH1850" i="202"/>
  <c r="AH1851" i="202"/>
  <c r="AH1852" i="202"/>
  <c r="AH1853" i="202"/>
  <c r="AH1854" i="202"/>
  <c r="AH1855" i="202"/>
  <c r="AH1856" i="202"/>
  <c r="AH1857" i="202"/>
  <c r="AH1858" i="202"/>
  <c r="AH1859" i="202"/>
  <c r="AH1860" i="202"/>
  <c r="AH1861" i="202"/>
  <c r="AH1862" i="202"/>
  <c r="AH1863" i="202"/>
  <c r="AH1864" i="202"/>
  <c r="AH1865" i="202"/>
  <c r="AH1866" i="202"/>
  <c r="AH1867" i="202"/>
  <c r="AH1868" i="202"/>
  <c r="AH1869" i="202"/>
  <c r="AH1870" i="202"/>
  <c r="AH1871" i="202"/>
  <c r="AH1872" i="202"/>
  <c r="AH1873" i="202"/>
  <c r="AH1874" i="202"/>
  <c r="AH1875" i="202"/>
  <c r="AH1876" i="202"/>
  <c r="AH1877" i="202"/>
  <c r="AH1878" i="202"/>
  <c r="AH1879" i="202"/>
  <c r="AH1880" i="202"/>
  <c r="AH1881" i="202"/>
  <c r="AH1882" i="202"/>
  <c r="AH1883" i="202"/>
  <c r="AH1884" i="202"/>
  <c r="AH1885" i="202"/>
  <c r="AH1886" i="202"/>
  <c r="AH1887" i="202"/>
  <c r="AH1888" i="202"/>
  <c r="AH1889" i="202"/>
  <c r="AH1890" i="202"/>
  <c r="AH1891" i="202"/>
  <c r="AH1892" i="202"/>
  <c r="AH1893" i="202"/>
  <c r="AH1894" i="202"/>
  <c r="AH1895" i="202"/>
  <c r="AH1896" i="202"/>
  <c r="AH1897" i="202"/>
  <c r="AH1898" i="202"/>
  <c r="AH1899" i="202"/>
  <c r="AH1900" i="202"/>
  <c r="AH1901" i="202"/>
  <c r="AH1902" i="202"/>
  <c r="AH1903" i="202"/>
  <c r="AH1904" i="202"/>
  <c r="AH1905" i="202"/>
  <c r="AH1906" i="202"/>
  <c r="AH1907" i="202"/>
  <c r="AH1908" i="202"/>
  <c r="AH1909" i="202"/>
  <c r="AH1910" i="202"/>
  <c r="AH1911" i="202"/>
  <c r="AH1912" i="202"/>
  <c r="AH1913" i="202"/>
  <c r="AH1914" i="202"/>
  <c r="AH1915" i="202"/>
  <c r="AH1916" i="202"/>
  <c r="AH1917" i="202"/>
  <c r="AH1918" i="202"/>
  <c r="AH1919" i="202"/>
  <c r="AH1920" i="202"/>
  <c r="AH1921" i="202"/>
  <c r="AH1922" i="202"/>
  <c r="AH1923" i="202"/>
  <c r="AH1924" i="202"/>
  <c r="AH1925" i="202"/>
  <c r="AH1926" i="202"/>
  <c r="AH1927" i="202"/>
  <c r="AH1928" i="202"/>
  <c r="AH1929" i="202"/>
  <c r="AH1930" i="202"/>
  <c r="AH1931" i="202"/>
  <c r="AH1932" i="202"/>
  <c r="AH1933" i="202"/>
  <c r="AH1934" i="202"/>
  <c r="AH1935" i="202"/>
  <c r="AH1936" i="202"/>
  <c r="AH1937" i="202"/>
  <c r="AH1938" i="202"/>
  <c r="AH1939" i="202"/>
  <c r="AH1940" i="202"/>
  <c r="AH1941" i="202"/>
  <c r="AH1942" i="202"/>
  <c r="AH1943" i="202"/>
  <c r="AH1944" i="202"/>
  <c r="AH1945" i="202"/>
  <c r="AH1946" i="202"/>
  <c r="AH1947" i="202"/>
  <c r="AH1948" i="202"/>
  <c r="AH1949" i="202"/>
  <c r="AH1950" i="202"/>
  <c r="AH1951" i="202"/>
  <c r="AH1952" i="202"/>
  <c r="AH1953" i="202"/>
  <c r="AH1954" i="202"/>
  <c r="AH1955" i="202"/>
  <c r="AH1956" i="202"/>
  <c r="AH1957" i="202"/>
  <c r="AH1958" i="202"/>
  <c r="AH1959" i="202"/>
  <c r="AH1960" i="202"/>
  <c r="AH1961" i="202"/>
  <c r="AH1962" i="202"/>
  <c r="AH1963" i="202"/>
  <c r="AH1964" i="202"/>
  <c r="AH1965" i="202"/>
  <c r="AH1966" i="202"/>
  <c r="AH1967" i="202"/>
  <c r="AH1968" i="202"/>
  <c r="AH1969" i="202"/>
  <c r="AH1970" i="202"/>
  <c r="AH1971" i="202"/>
  <c r="AH1972" i="202"/>
  <c r="AH1973" i="202"/>
  <c r="AH1974" i="202"/>
  <c r="AH1975" i="202"/>
  <c r="AH1976" i="202"/>
  <c r="AH1977" i="202"/>
  <c r="AH1978" i="202"/>
  <c r="AH1979" i="202"/>
  <c r="AH1980" i="202"/>
  <c r="AH1981" i="202"/>
  <c r="AH1982" i="202"/>
  <c r="AH1983" i="202"/>
  <c r="AH1984" i="202"/>
  <c r="AH1985" i="202"/>
  <c r="AH1986" i="202"/>
  <c r="AH1987" i="202"/>
  <c r="AH1988" i="202"/>
  <c r="AH1989" i="202"/>
  <c r="AH1990" i="202"/>
  <c r="AH1991" i="202"/>
  <c r="AH1992" i="202"/>
  <c r="AH1993" i="202"/>
  <c r="AH1994" i="202"/>
  <c r="AH1995" i="202"/>
  <c r="AH1996" i="202"/>
  <c r="AH1997" i="202"/>
  <c r="AH1998" i="202"/>
  <c r="AH1999" i="202"/>
  <c r="AH2000" i="202"/>
  <c r="AH2001" i="202"/>
  <c r="AH2002" i="202"/>
  <c r="AH2003" i="202"/>
  <c r="AH2004" i="202"/>
  <c r="AH2005" i="202"/>
  <c r="AH2006" i="202"/>
  <c r="AH2007" i="202"/>
  <c r="AH2008" i="202"/>
  <c r="AH2009" i="202"/>
  <c r="AH2010" i="202"/>
  <c r="AH2011" i="202"/>
  <c r="AH2012" i="202"/>
  <c r="AH2013" i="202"/>
  <c r="AH2014" i="202"/>
  <c r="AH2015" i="202"/>
  <c r="AH2016" i="202"/>
  <c r="AH2017" i="202"/>
  <c r="AH2018" i="202"/>
  <c r="AH2019" i="202"/>
  <c r="AH2020" i="202"/>
  <c r="AH2021" i="202"/>
  <c r="AH2022" i="202"/>
  <c r="AH2023" i="202"/>
  <c r="AH2024" i="202"/>
  <c r="AH2025" i="202"/>
  <c r="AH2026" i="202"/>
  <c r="AH2027" i="202"/>
  <c r="AH2028" i="202"/>
  <c r="AH2029" i="202"/>
  <c r="AH2030" i="202"/>
  <c r="AH2031" i="202"/>
  <c r="AH2032" i="202"/>
  <c r="AH2033" i="202"/>
  <c r="AH2034" i="202"/>
  <c r="AH2035" i="202"/>
  <c r="AH2036" i="202"/>
  <c r="AH2037" i="202"/>
  <c r="AH2038" i="202"/>
  <c r="AH2039" i="202"/>
  <c r="AH2040" i="202"/>
  <c r="AH2041" i="202"/>
  <c r="AH2042" i="202"/>
  <c r="AH2043" i="202"/>
  <c r="AH2044" i="202"/>
  <c r="AH2045" i="202"/>
  <c r="AH2046" i="202"/>
  <c r="AH2047" i="202"/>
  <c r="AH2048" i="202"/>
  <c r="T2" i="202"/>
  <c r="T3" i="202"/>
  <c r="T4" i="202"/>
  <c r="T5" i="202"/>
  <c r="T6" i="202"/>
  <c r="T7" i="202"/>
  <c r="T8" i="202"/>
  <c r="T9" i="202"/>
  <c r="T10" i="202"/>
  <c r="T11" i="202"/>
  <c r="T12" i="202"/>
  <c r="T13" i="202"/>
  <c r="T14" i="202"/>
  <c r="T15" i="202"/>
  <c r="T16" i="202"/>
  <c r="T17" i="202"/>
  <c r="T18" i="202"/>
  <c r="T19" i="202"/>
  <c r="T20" i="202"/>
  <c r="T21" i="202"/>
  <c r="T22" i="202"/>
  <c r="T23" i="202"/>
  <c r="T24" i="202"/>
  <c r="T25" i="202"/>
  <c r="T26" i="202"/>
  <c r="T27" i="202"/>
  <c r="T28" i="202"/>
  <c r="T29" i="202"/>
  <c r="T30" i="202"/>
  <c r="T31" i="202"/>
  <c r="T32" i="202"/>
  <c r="T33" i="202"/>
  <c r="T34" i="202"/>
  <c r="T35" i="202"/>
  <c r="T36" i="202"/>
  <c r="T37" i="202"/>
  <c r="T38" i="202"/>
  <c r="T39" i="202"/>
  <c r="T40" i="202"/>
  <c r="T41" i="202"/>
  <c r="T42" i="202"/>
  <c r="T43" i="202"/>
  <c r="T44" i="202"/>
  <c r="T45" i="202"/>
  <c r="T46" i="202"/>
  <c r="T47" i="202"/>
  <c r="T48" i="202"/>
  <c r="T49" i="202"/>
  <c r="T50" i="202"/>
  <c r="T51" i="202"/>
  <c r="T52" i="202"/>
  <c r="T53" i="202"/>
  <c r="T54" i="202"/>
  <c r="T55" i="202"/>
  <c r="T56" i="202"/>
  <c r="T57" i="202"/>
  <c r="T58" i="202"/>
  <c r="T59" i="202"/>
  <c r="T60" i="202"/>
  <c r="T61" i="202"/>
  <c r="T62" i="202"/>
  <c r="T63" i="202"/>
  <c r="T64" i="202"/>
  <c r="T65" i="202"/>
  <c r="T66" i="202"/>
  <c r="T67" i="202"/>
  <c r="T68" i="202"/>
  <c r="T69" i="202"/>
  <c r="T70" i="202"/>
  <c r="T71" i="202"/>
  <c r="T72" i="202"/>
  <c r="T73" i="202"/>
  <c r="T74" i="202"/>
  <c r="T75" i="202"/>
  <c r="T76" i="202"/>
  <c r="T77" i="202"/>
  <c r="T78" i="202"/>
  <c r="T79" i="202"/>
  <c r="T80" i="202"/>
  <c r="T81" i="202"/>
  <c r="T82" i="202"/>
  <c r="T83" i="202"/>
  <c r="T84" i="202"/>
  <c r="T85" i="202"/>
  <c r="T86" i="202"/>
  <c r="T87" i="202"/>
  <c r="T88" i="202"/>
  <c r="T89" i="202"/>
  <c r="T90" i="202"/>
  <c r="T91" i="202"/>
  <c r="T92" i="202"/>
  <c r="T93" i="202"/>
  <c r="T94" i="202"/>
  <c r="T95" i="202"/>
  <c r="T96" i="202"/>
  <c r="T97" i="202"/>
  <c r="T98" i="202"/>
  <c r="T99" i="202"/>
  <c r="T100" i="202"/>
  <c r="T101" i="202"/>
  <c r="T102" i="202"/>
  <c r="T103" i="202"/>
  <c r="T104" i="202"/>
  <c r="T105" i="202"/>
  <c r="T106" i="202"/>
  <c r="T107" i="202"/>
  <c r="T108" i="202"/>
  <c r="T109" i="202"/>
  <c r="T110" i="202"/>
  <c r="T111" i="202"/>
  <c r="T112" i="202"/>
  <c r="T113" i="202"/>
  <c r="T114" i="202"/>
  <c r="T115" i="202"/>
  <c r="T116" i="202"/>
  <c r="T117" i="202"/>
  <c r="T118" i="202"/>
  <c r="T119" i="202"/>
  <c r="T120" i="202"/>
  <c r="T121" i="202"/>
  <c r="T122" i="202"/>
  <c r="T123" i="202"/>
  <c r="T124" i="202"/>
  <c r="T125" i="202"/>
  <c r="T126" i="202"/>
  <c r="T127" i="202"/>
  <c r="T128" i="202"/>
  <c r="T129" i="202"/>
  <c r="T130" i="202"/>
  <c r="T131" i="202"/>
  <c r="T132" i="202"/>
  <c r="T133" i="202"/>
  <c r="T134" i="202"/>
  <c r="T135" i="202"/>
  <c r="T136" i="202"/>
  <c r="T137" i="202"/>
  <c r="T138" i="202"/>
  <c r="T139" i="202"/>
  <c r="T140" i="202"/>
  <c r="T141" i="202"/>
  <c r="T142" i="202"/>
  <c r="T143" i="202"/>
  <c r="T144" i="202"/>
  <c r="T145" i="202"/>
  <c r="T146" i="202"/>
  <c r="T147" i="202"/>
  <c r="T148" i="202"/>
  <c r="T149" i="202"/>
  <c r="T150" i="202"/>
  <c r="T151" i="202"/>
  <c r="T152" i="202"/>
  <c r="T153" i="202"/>
  <c r="T154" i="202"/>
  <c r="T155" i="202"/>
  <c r="T156" i="202"/>
  <c r="T157" i="202"/>
  <c r="T158" i="202"/>
  <c r="T159" i="202"/>
  <c r="T160" i="202"/>
  <c r="T161" i="202"/>
  <c r="T162" i="202"/>
  <c r="T163" i="202"/>
  <c r="T164" i="202"/>
  <c r="T165" i="202"/>
  <c r="T166" i="202"/>
  <c r="T167" i="202"/>
  <c r="T168" i="202"/>
  <c r="T169" i="202"/>
  <c r="T170" i="202"/>
  <c r="T171" i="202"/>
  <c r="T172" i="202"/>
  <c r="T173" i="202"/>
  <c r="T174" i="202"/>
  <c r="T175" i="202"/>
  <c r="T176" i="202"/>
  <c r="T177" i="202"/>
  <c r="T178" i="202"/>
  <c r="T179" i="202"/>
  <c r="T180" i="202"/>
  <c r="T181" i="202"/>
  <c r="T182" i="202"/>
  <c r="T183" i="202"/>
  <c r="T184" i="202"/>
  <c r="T185" i="202"/>
  <c r="T186" i="202"/>
  <c r="T187" i="202"/>
  <c r="T188" i="202"/>
  <c r="T189" i="202"/>
  <c r="T190" i="202"/>
  <c r="T191" i="202"/>
  <c r="T192" i="202"/>
  <c r="T193" i="202"/>
  <c r="T194" i="202"/>
  <c r="T195" i="202"/>
  <c r="T196" i="202"/>
  <c r="T197" i="202"/>
  <c r="T198" i="202"/>
  <c r="T199" i="202"/>
  <c r="T200" i="202"/>
  <c r="T201" i="202"/>
  <c r="T202" i="202"/>
  <c r="T203" i="202"/>
  <c r="T204" i="202"/>
  <c r="T205" i="202"/>
  <c r="T206" i="202"/>
  <c r="T207" i="202"/>
  <c r="T208" i="202"/>
  <c r="T209" i="202"/>
  <c r="T210" i="202"/>
  <c r="T211" i="202"/>
  <c r="T212" i="202"/>
  <c r="T213" i="202"/>
  <c r="T214" i="202"/>
  <c r="T215" i="202"/>
  <c r="T216" i="202"/>
  <c r="T217" i="202"/>
  <c r="T218" i="202"/>
  <c r="T219" i="202"/>
  <c r="T220" i="202"/>
  <c r="T221" i="202"/>
  <c r="T222" i="202"/>
  <c r="T223" i="202"/>
  <c r="T224" i="202"/>
  <c r="T225" i="202"/>
  <c r="T226" i="202"/>
  <c r="T227" i="202"/>
  <c r="T228" i="202"/>
  <c r="T229" i="202"/>
  <c r="T230" i="202"/>
  <c r="T231" i="202"/>
  <c r="T232" i="202"/>
  <c r="T233" i="202"/>
  <c r="T234" i="202"/>
  <c r="T235" i="202"/>
  <c r="T236" i="202"/>
  <c r="T237" i="202"/>
  <c r="T238" i="202"/>
  <c r="T239" i="202"/>
  <c r="T240" i="202"/>
  <c r="T241" i="202"/>
  <c r="T242" i="202"/>
  <c r="T243" i="202"/>
  <c r="T244" i="202"/>
  <c r="T245" i="202"/>
  <c r="T246" i="202"/>
  <c r="T247" i="202"/>
  <c r="T248" i="202"/>
  <c r="T249" i="202"/>
  <c r="T250" i="202"/>
  <c r="T251" i="202"/>
  <c r="T252" i="202"/>
  <c r="T253" i="202"/>
  <c r="T254" i="202"/>
  <c r="T255" i="202"/>
  <c r="T256" i="202"/>
  <c r="T257" i="202"/>
  <c r="T258" i="202"/>
  <c r="T259" i="202"/>
  <c r="T260" i="202"/>
  <c r="T261" i="202"/>
  <c r="T262" i="202"/>
  <c r="T263" i="202"/>
  <c r="T264" i="202"/>
  <c r="T265" i="202"/>
  <c r="T266" i="202"/>
  <c r="T267" i="202"/>
  <c r="T268" i="202"/>
  <c r="T269" i="202"/>
  <c r="T270" i="202"/>
  <c r="T271" i="202"/>
  <c r="T272" i="202"/>
  <c r="T273" i="202"/>
  <c r="T274" i="202"/>
  <c r="T275" i="202"/>
  <c r="T276" i="202"/>
  <c r="T277" i="202"/>
  <c r="T278" i="202"/>
  <c r="T279" i="202"/>
  <c r="T280" i="202"/>
  <c r="T281" i="202"/>
  <c r="T282" i="202"/>
  <c r="T283" i="202"/>
  <c r="T284" i="202"/>
  <c r="T285" i="202"/>
  <c r="T286" i="202"/>
  <c r="T287" i="202"/>
  <c r="T288" i="202"/>
  <c r="T289" i="202"/>
  <c r="T290" i="202"/>
  <c r="T291" i="202"/>
  <c r="T292" i="202"/>
  <c r="T293" i="202"/>
  <c r="T294" i="202"/>
  <c r="T295" i="202"/>
  <c r="T296" i="202"/>
  <c r="T297" i="202"/>
  <c r="T298" i="202"/>
  <c r="T299" i="202"/>
  <c r="T300" i="202"/>
  <c r="T301" i="202"/>
  <c r="T302" i="202"/>
  <c r="T303" i="202"/>
  <c r="T304" i="202"/>
  <c r="T305" i="202"/>
  <c r="T306" i="202"/>
  <c r="T307" i="202"/>
  <c r="T308" i="202"/>
  <c r="T309" i="202"/>
  <c r="T310" i="202"/>
  <c r="T311" i="202"/>
  <c r="T312" i="202"/>
  <c r="T313" i="202"/>
  <c r="T314" i="202"/>
  <c r="T315" i="202"/>
  <c r="T316" i="202"/>
  <c r="T317" i="202"/>
  <c r="T318" i="202"/>
  <c r="T319" i="202"/>
  <c r="T320" i="202"/>
  <c r="T321" i="202"/>
  <c r="T322" i="202"/>
  <c r="T323" i="202"/>
  <c r="T324" i="202"/>
  <c r="T325" i="202"/>
  <c r="T326" i="202"/>
  <c r="T327" i="202"/>
  <c r="T328" i="202"/>
  <c r="T329" i="202"/>
  <c r="T330" i="202"/>
  <c r="T331" i="202"/>
  <c r="T332" i="202"/>
  <c r="T333" i="202"/>
  <c r="T334" i="202"/>
  <c r="T335" i="202"/>
  <c r="T336" i="202"/>
  <c r="T337" i="202"/>
  <c r="T338" i="202"/>
  <c r="T339" i="202"/>
  <c r="T340" i="202"/>
  <c r="T341" i="202"/>
  <c r="T342" i="202"/>
  <c r="T343" i="202"/>
  <c r="T344" i="202"/>
  <c r="T345" i="202"/>
  <c r="T346" i="202"/>
  <c r="T347" i="202"/>
  <c r="T348" i="202"/>
  <c r="T349" i="202"/>
  <c r="T350" i="202"/>
  <c r="T351" i="202"/>
  <c r="T352" i="202"/>
  <c r="T353" i="202"/>
  <c r="T354" i="202"/>
  <c r="T355" i="202"/>
  <c r="T356" i="202"/>
  <c r="T357" i="202"/>
  <c r="T358" i="202"/>
  <c r="T359" i="202"/>
  <c r="T360" i="202"/>
  <c r="T361" i="202"/>
  <c r="T362" i="202"/>
  <c r="T363" i="202"/>
  <c r="T364" i="202"/>
  <c r="T365" i="202"/>
  <c r="T366" i="202"/>
  <c r="T367" i="202"/>
  <c r="T368" i="202"/>
  <c r="T369" i="202"/>
  <c r="T370" i="202"/>
  <c r="T371" i="202"/>
  <c r="T372" i="202"/>
  <c r="T373" i="202"/>
  <c r="T374" i="202"/>
  <c r="T375" i="202"/>
  <c r="T376" i="202"/>
  <c r="T377" i="202"/>
  <c r="T378" i="202"/>
  <c r="T379" i="202"/>
  <c r="T380" i="202"/>
  <c r="T381" i="202"/>
  <c r="T382" i="202"/>
  <c r="T383" i="202"/>
  <c r="T384" i="202"/>
  <c r="T385" i="202"/>
  <c r="T386" i="202"/>
  <c r="T387" i="202"/>
  <c r="T388" i="202"/>
  <c r="T389" i="202"/>
  <c r="T390" i="202"/>
  <c r="T391" i="202"/>
  <c r="T392" i="202"/>
  <c r="T393" i="202"/>
  <c r="T394" i="202"/>
  <c r="T395" i="202"/>
  <c r="T396" i="202"/>
  <c r="T397" i="202"/>
  <c r="T398" i="202"/>
  <c r="T399" i="202"/>
  <c r="T400" i="202"/>
  <c r="T401" i="202"/>
  <c r="T402" i="202"/>
  <c r="T403" i="202"/>
  <c r="T404" i="202"/>
  <c r="T405" i="202"/>
  <c r="T406" i="202"/>
  <c r="T407" i="202"/>
  <c r="T408" i="202"/>
  <c r="T409" i="202"/>
  <c r="T410" i="202"/>
  <c r="T411" i="202"/>
  <c r="T412" i="202"/>
  <c r="T413" i="202"/>
  <c r="T414" i="202"/>
  <c r="T415" i="202"/>
  <c r="T416" i="202"/>
  <c r="T417" i="202"/>
  <c r="T418" i="202"/>
  <c r="T419" i="202"/>
  <c r="T420" i="202"/>
  <c r="T421" i="202"/>
  <c r="T422" i="202"/>
  <c r="T423" i="202"/>
  <c r="T424" i="202"/>
  <c r="T425" i="202"/>
  <c r="T426" i="202"/>
  <c r="T427" i="202"/>
  <c r="T428" i="202"/>
  <c r="T429" i="202"/>
  <c r="T430" i="202"/>
  <c r="T431" i="202"/>
  <c r="T432" i="202"/>
  <c r="T433" i="202"/>
  <c r="T434" i="202"/>
  <c r="T435" i="202"/>
  <c r="T436" i="202"/>
  <c r="T437" i="202"/>
  <c r="T438" i="202"/>
  <c r="T439" i="202"/>
  <c r="T440" i="202"/>
  <c r="T441" i="202"/>
  <c r="T442" i="202"/>
  <c r="T443" i="202"/>
  <c r="T444" i="202"/>
  <c r="T445" i="202"/>
  <c r="T446" i="202"/>
  <c r="T447" i="202"/>
  <c r="T448" i="202"/>
  <c r="T449" i="202"/>
  <c r="T450" i="202"/>
  <c r="T451" i="202"/>
  <c r="T452" i="202"/>
  <c r="T453" i="202"/>
  <c r="T454" i="202"/>
  <c r="T455" i="202"/>
  <c r="T456" i="202"/>
  <c r="T457" i="202"/>
  <c r="T458" i="202"/>
  <c r="T459" i="202"/>
  <c r="T460" i="202"/>
  <c r="T461" i="202"/>
  <c r="T462" i="202"/>
  <c r="T463" i="202"/>
  <c r="T464" i="202"/>
  <c r="T465" i="202"/>
  <c r="T466" i="202"/>
  <c r="T467" i="202"/>
  <c r="T468" i="202"/>
  <c r="T469" i="202"/>
  <c r="T470" i="202"/>
  <c r="T471" i="202"/>
  <c r="T472" i="202"/>
  <c r="T473" i="202"/>
  <c r="T474" i="202"/>
  <c r="T475" i="202"/>
  <c r="T476" i="202"/>
  <c r="T477" i="202"/>
  <c r="T478" i="202"/>
  <c r="T479" i="202"/>
  <c r="T480" i="202"/>
  <c r="T481" i="202"/>
  <c r="T482" i="202"/>
  <c r="T483" i="202"/>
  <c r="T484" i="202"/>
  <c r="T485" i="202"/>
  <c r="T486" i="202"/>
  <c r="T487" i="202"/>
  <c r="T488" i="202"/>
  <c r="T489" i="202"/>
  <c r="T490" i="202"/>
  <c r="T491" i="202"/>
  <c r="T492" i="202"/>
  <c r="T493" i="202"/>
  <c r="T494" i="202"/>
  <c r="T495" i="202"/>
  <c r="T496" i="202"/>
  <c r="T497" i="202"/>
  <c r="T498" i="202"/>
  <c r="T499" i="202"/>
  <c r="T500" i="202"/>
  <c r="T501" i="202"/>
  <c r="T502" i="202"/>
  <c r="T503" i="202"/>
  <c r="T504" i="202"/>
  <c r="T505" i="202"/>
  <c r="T506" i="202"/>
  <c r="T507" i="202"/>
  <c r="T508" i="202"/>
  <c r="T509" i="202"/>
  <c r="T510" i="202"/>
  <c r="T511" i="202"/>
  <c r="T512" i="202"/>
  <c r="T513" i="202"/>
  <c r="T514" i="202"/>
  <c r="T515" i="202"/>
  <c r="T516" i="202"/>
  <c r="T517" i="202"/>
  <c r="T518" i="202"/>
  <c r="T519" i="202"/>
  <c r="T520" i="202"/>
  <c r="T521" i="202"/>
  <c r="T522" i="202"/>
  <c r="T523" i="202"/>
  <c r="T524" i="202"/>
  <c r="T525" i="202"/>
  <c r="T526" i="202"/>
  <c r="T527" i="202"/>
  <c r="T528" i="202"/>
  <c r="T529" i="202"/>
  <c r="T530" i="202"/>
  <c r="T531" i="202"/>
  <c r="T532" i="202"/>
  <c r="T533" i="202"/>
  <c r="T534" i="202"/>
  <c r="T535" i="202"/>
  <c r="T536" i="202"/>
  <c r="T537" i="202"/>
  <c r="T538" i="202"/>
  <c r="T539" i="202"/>
  <c r="T540" i="202"/>
  <c r="T541" i="202"/>
  <c r="T542" i="202"/>
  <c r="T543" i="202"/>
  <c r="T544" i="202"/>
  <c r="T545" i="202"/>
  <c r="T546" i="202"/>
  <c r="T547" i="202"/>
  <c r="T548" i="202"/>
  <c r="T549" i="202"/>
  <c r="T550" i="202"/>
  <c r="T551" i="202"/>
  <c r="T552" i="202"/>
  <c r="T553" i="202"/>
  <c r="T554" i="202"/>
  <c r="T555" i="202"/>
  <c r="T556" i="202"/>
  <c r="T557" i="202"/>
  <c r="T558" i="202"/>
  <c r="T559" i="202"/>
  <c r="T560" i="202"/>
  <c r="T561" i="202"/>
  <c r="T562" i="202"/>
  <c r="T563" i="202"/>
  <c r="T564" i="202"/>
  <c r="T565" i="202"/>
  <c r="T566" i="202"/>
  <c r="T567" i="202"/>
  <c r="T568" i="202"/>
  <c r="T569" i="202"/>
  <c r="T570" i="202"/>
  <c r="T571" i="202"/>
  <c r="T572" i="202"/>
  <c r="T573" i="202"/>
  <c r="T574" i="202"/>
  <c r="T575" i="202"/>
  <c r="T576" i="202"/>
  <c r="T577" i="202"/>
  <c r="T578" i="202"/>
  <c r="T579" i="202"/>
  <c r="T580" i="202"/>
  <c r="T581" i="202"/>
  <c r="T582" i="202"/>
  <c r="T583" i="202"/>
  <c r="T584" i="202"/>
  <c r="T585" i="202"/>
  <c r="T586" i="202"/>
  <c r="T587" i="202"/>
  <c r="T588" i="202"/>
  <c r="T589" i="202"/>
  <c r="T590" i="202"/>
  <c r="T591" i="202"/>
  <c r="T592" i="202"/>
  <c r="T593" i="202"/>
  <c r="T594" i="202"/>
  <c r="T595" i="202"/>
  <c r="T596" i="202"/>
  <c r="T597" i="202"/>
  <c r="T598" i="202"/>
  <c r="T599" i="202"/>
  <c r="T600" i="202"/>
  <c r="T601" i="202"/>
  <c r="T602" i="202"/>
  <c r="T603" i="202"/>
  <c r="T604" i="202"/>
  <c r="T605" i="202"/>
  <c r="T606" i="202"/>
  <c r="T607" i="202"/>
  <c r="T608" i="202"/>
  <c r="T609" i="202"/>
  <c r="T610" i="202"/>
  <c r="T611" i="202"/>
  <c r="T612" i="202"/>
  <c r="T613" i="202"/>
  <c r="T614" i="202"/>
  <c r="T615" i="202"/>
  <c r="T616" i="202"/>
  <c r="T617" i="202"/>
  <c r="T618" i="202"/>
  <c r="T619" i="202"/>
  <c r="T620" i="202"/>
  <c r="T621" i="202"/>
  <c r="T622" i="202"/>
  <c r="T623" i="202"/>
  <c r="T624" i="202"/>
  <c r="T625" i="202"/>
  <c r="T626" i="202"/>
  <c r="T627" i="202"/>
  <c r="T628" i="202"/>
  <c r="T629" i="202"/>
  <c r="T630" i="202"/>
  <c r="T631" i="202"/>
  <c r="T632" i="202"/>
  <c r="T633" i="202"/>
  <c r="T634" i="202"/>
  <c r="T635" i="202"/>
  <c r="T636" i="202"/>
  <c r="T637" i="202"/>
  <c r="T638" i="202"/>
  <c r="T639" i="202"/>
  <c r="T640" i="202"/>
  <c r="T641" i="202"/>
  <c r="T642" i="202"/>
  <c r="T643" i="202"/>
  <c r="T644" i="202"/>
  <c r="T645" i="202"/>
  <c r="T646" i="202"/>
  <c r="T647" i="202"/>
  <c r="T648" i="202"/>
  <c r="T649" i="202"/>
  <c r="T650" i="202"/>
  <c r="T651" i="202"/>
  <c r="T652" i="202"/>
  <c r="T653" i="202"/>
  <c r="T654" i="202"/>
  <c r="T655" i="202"/>
  <c r="T656" i="202"/>
  <c r="T657" i="202"/>
  <c r="T658" i="202"/>
  <c r="T659" i="202"/>
  <c r="T660" i="202"/>
  <c r="T661" i="202"/>
  <c r="T662" i="202"/>
  <c r="T663" i="202"/>
  <c r="T664" i="202"/>
  <c r="T665" i="202"/>
  <c r="T666" i="202"/>
  <c r="T667" i="202"/>
  <c r="T668" i="202"/>
  <c r="T669" i="202"/>
  <c r="T670" i="202"/>
  <c r="T671" i="202"/>
  <c r="T672" i="202"/>
  <c r="T673" i="202"/>
  <c r="T674" i="202"/>
  <c r="T675" i="202"/>
  <c r="T676" i="202"/>
  <c r="T677" i="202"/>
  <c r="T678" i="202"/>
  <c r="T679" i="202"/>
  <c r="T680" i="202"/>
  <c r="T681" i="202"/>
  <c r="T682" i="202"/>
  <c r="T683" i="202"/>
  <c r="T684" i="202"/>
  <c r="T685" i="202"/>
  <c r="T686" i="202"/>
  <c r="T687" i="202"/>
  <c r="T688" i="202"/>
  <c r="T689" i="202"/>
  <c r="T690" i="202"/>
  <c r="T691" i="202"/>
  <c r="T692" i="202"/>
  <c r="T693" i="202"/>
  <c r="T694" i="202"/>
  <c r="T695" i="202"/>
  <c r="T696" i="202"/>
  <c r="T697" i="202"/>
  <c r="T698" i="202"/>
  <c r="T699" i="202"/>
  <c r="T700" i="202"/>
  <c r="T701" i="202"/>
  <c r="T702" i="202"/>
  <c r="T703" i="202"/>
  <c r="T704" i="202"/>
  <c r="T705" i="202"/>
  <c r="T706" i="202"/>
  <c r="T707" i="202"/>
  <c r="T708" i="202"/>
  <c r="T709" i="202"/>
  <c r="T710" i="202"/>
  <c r="T711" i="202"/>
  <c r="T712" i="202"/>
  <c r="T713" i="202"/>
  <c r="T714" i="202"/>
  <c r="T715" i="202"/>
  <c r="T716" i="202"/>
  <c r="T717" i="202"/>
  <c r="T718" i="202"/>
  <c r="T719" i="202"/>
  <c r="T720" i="202"/>
  <c r="T721" i="202"/>
  <c r="T722" i="202"/>
  <c r="T723" i="202"/>
  <c r="T724" i="202"/>
  <c r="T725" i="202"/>
  <c r="T726" i="202"/>
  <c r="T727" i="202"/>
  <c r="T728" i="202"/>
  <c r="T729" i="202"/>
  <c r="T730" i="202"/>
  <c r="T731" i="202"/>
  <c r="T732" i="202"/>
  <c r="T733" i="202"/>
  <c r="T734" i="202"/>
  <c r="T735" i="202"/>
  <c r="T736" i="202"/>
  <c r="T737" i="202"/>
  <c r="T738" i="202"/>
  <c r="T739" i="202"/>
  <c r="T740" i="202"/>
  <c r="T741" i="202"/>
  <c r="T742" i="202"/>
  <c r="T743" i="202"/>
  <c r="T744" i="202"/>
  <c r="T745" i="202"/>
  <c r="T746" i="202"/>
  <c r="T747" i="202"/>
  <c r="T748" i="202"/>
  <c r="T749" i="202"/>
  <c r="T750" i="202"/>
  <c r="T751" i="202"/>
  <c r="T752" i="202"/>
  <c r="T753" i="202"/>
  <c r="T754" i="202"/>
  <c r="T755" i="202"/>
  <c r="T756" i="202"/>
  <c r="T757" i="202"/>
  <c r="T758" i="202"/>
  <c r="T759" i="202"/>
  <c r="T760" i="202"/>
  <c r="T761" i="202"/>
  <c r="T762" i="202"/>
  <c r="T763" i="202"/>
  <c r="T764" i="202"/>
  <c r="T765" i="202"/>
  <c r="T766" i="202"/>
  <c r="T767" i="202"/>
  <c r="T768" i="202"/>
  <c r="T769" i="202"/>
  <c r="T770" i="202"/>
  <c r="T771" i="202"/>
  <c r="T772" i="202"/>
  <c r="T773" i="202"/>
  <c r="T774" i="202"/>
  <c r="T775" i="202"/>
  <c r="T776" i="202"/>
  <c r="T777" i="202"/>
  <c r="T778" i="202"/>
  <c r="T779" i="202"/>
  <c r="T780" i="202"/>
  <c r="T781" i="202"/>
  <c r="T782" i="202"/>
  <c r="T783" i="202"/>
  <c r="T784" i="202"/>
  <c r="T785" i="202"/>
  <c r="T786" i="202"/>
  <c r="T787" i="202"/>
  <c r="T788" i="202"/>
  <c r="T789" i="202"/>
  <c r="T790" i="202"/>
  <c r="T791" i="202"/>
  <c r="T792" i="202"/>
  <c r="T793" i="202"/>
  <c r="T794" i="202"/>
  <c r="T795" i="202"/>
  <c r="T796" i="202"/>
  <c r="T797" i="202"/>
  <c r="T798" i="202"/>
  <c r="T799" i="202"/>
  <c r="T800" i="202"/>
  <c r="T801" i="202"/>
  <c r="T802" i="202"/>
  <c r="T803" i="202"/>
  <c r="T804" i="202"/>
  <c r="T805" i="202"/>
  <c r="T806" i="202"/>
  <c r="T807" i="202"/>
  <c r="T808" i="202"/>
  <c r="T809" i="202"/>
  <c r="T810" i="202"/>
  <c r="T811" i="202"/>
  <c r="T812" i="202"/>
  <c r="T813" i="202"/>
  <c r="T814" i="202"/>
  <c r="T815" i="202"/>
  <c r="T816" i="202"/>
  <c r="T817" i="202"/>
  <c r="T818" i="202"/>
  <c r="T819" i="202"/>
  <c r="T820" i="202"/>
  <c r="T821" i="202"/>
  <c r="T822" i="202"/>
  <c r="T823" i="202"/>
  <c r="T824" i="202"/>
  <c r="T825" i="202"/>
  <c r="T826" i="202"/>
  <c r="T827" i="202"/>
  <c r="T828" i="202"/>
  <c r="T829" i="202"/>
  <c r="T830" i="202"/>
  <c r="T831" i="202"/>
  <c r="T832" i="202"/>
  <c r="T833" i="202"/>
  <c r="T834" i="202"/>
  <c r="T835" i="202"/>
  <c r="T836" i="202"/>
  <c r="T837" i="202"/>
  <c r="T838" i="202"/>
  <c r="T839" i="202"/>
  <c r="T840" i="202"/>
  <c r="T841" i="202"/>
  <c r="T842" i="202"/>
  <c r="T843" i="202"/>
  <c r="T844" i="202"/>
  <c r="T845" i="202"/>
  <c r="T846" i="202"/>
  <c r="T847" i="202"/>
  <c r="T848" i="202"/>
  <c r="T849" i="202"/>
  <c r="T850" i="202"/>
  <c r="T851" i="202"/>
  <c r="T852" i="202"/>
  <c r="T853" i="202"/>
  <c r="T854" i="202"/>
  <c r="T855" i="202"/>
  <c r="T856" i="202"/>
  <c r="T857" i="202"/>
  <c r="T858" i="202"/>
  <c r="T859" i="202"/>
  <c r="T860" i="202"/>
  <c r="T861" i="202"/>
  <c r="T862" i="202"/>
  <c r="T863" i="202"/>
  <c r="T864" i="202"/>
  <c r="T865" i="202"/>
  <c r="T866" i="202"/>
  <c r="T867" i="202"/>
  <c r="T868" i="202"/>
  <c r="T869" i="202"/>
  <c r="T870" i="202"/>
  <c r="T871" i="202"/>
  <c r="T872" i="202"/>
  <c r="T873" i="202"/>
  <c r="T874" i="202"/>
  <c r="T875" i="202"/>
  <c r="T876" i="202"/>
  <c r="T877" i="202"/>
  <c r="T878" i="202"/>
  <c r="T879" i="202"/>
  <c r="T880" i="202"/>
  <c r="T881" i="202"/>
  <c r="T882" i="202"/>
  <c r="T883" i="202"/>
  <c r="T884" i="202"/>
  <c r="T885" i="202"/>
  <c r="T886" i="202"/>
  <c r="T887" i="202"/>
  <c r="T888" i="202"/>
  <c r="T889" i="202"/>
  <c r="T890" i="202"/>
  <c r="T891" i="202"/>
  <c r="T892" i="202"/>
  <c r="T893" i="202"/>
  <c r="T894" i="202"/>
  <c r="T895" i="202"/>
  <c r="T896" i="202"/>
  <c r="T897" i="202"/>
  <c r="T898" i="202"/>
  <c r="T899" i="202"/>
  <c r="T900" i="202"/>
  <c r="T901" i="202"/>
  <c r="T902" i="202"/>
  <c r="T903" i="202"/>
  <c r="T904" i="202"/>
  <c r="T905" i="202"/>
  <c r="T906" i="202"/>
  <c r="T907" i="202"/>
  <c r="T908" i="202"/>
  <c r="T909" i="202"/>
  <c r="T910" i="202"/>
  <c r="T911" i="202"/>
  <c r="T912" i="202"/>
  <c r="T913" i="202"/>
  <c r="T914" i="202"/>
  <c r="T915" i="202"/>
  <c r="T916" i="202"/>
  <c r="T917" i="202"/>
  <c r="T918" i="202"/>
  <c r="T919" i="202"/>
  <c r="T920" i="202"/>
  <c r="T921" i="202"/>
  <c r="T922" i="202"/>
  <c r="T923" i="202"/>
  <c r="T924" i="202"/>
  <c r="T925" i="202"/>
  <c r="T926" i="202"/>
  <c r="T927" i="202"/>
  <c r="T928" i="202"/>
  <c r="T929" i="202"/>
  <c r="T930" i="202"/>
  <c r="T931" i="202"/>
  <c r="T932" i="202"/>
  <c r="T933" i="202"/>
  <c r="T934" i="202"/>
  <c r="T935" i="202"/>
  <c r="T936" i="202"/>
  <c r="T937" i="202"/>
  <c r="T938" i="202"/>
  <c r="T939" i="202"/>
  <c r="T940" i="202"/>
  <c r="T941" i="202"/>
  <c r="T942" i="202"/>
  <c r="T943" i="202"/>
  <c r="T944" i="202"/>
  <c r="T945" i="202"/>
  <c r="T946" i="202"/>
  <c r="T947" i="202"/>
  <c r="T948" i="202"/>
  <c r="T949" i="202"/>
  <c r="T950" i="202"/>
  <c r="T951" i="202"/>
  <c r="T952" i="202"/>
  <c r="T953" i="202"/>
  <c r="T954" i="202"/>
  <c r="T955" i="202"/>
  <c r="T956" i="202"/>
  <c r="T957" i="202"/>
  <c r="T958" i="202"/>
  <c r="T959" i="202"/>
  <c r="T960" i="202"/>
  <c r="T961" i="202"/>
  <c r="T962" i="202"/>
  <c r="T963" i="202"/>
  <c r="T964" i="202"/>
  <c r="T965" i="202"/>
  <c r="T966" i="202"/>
  <c r="T967" i="202"/>
  <c r="T968" i="202"/>
  <c r="T969" i="202"/>
  <c r="T970" i="202"/>
  <c r="T971" i="202"/>
  <c r="T972" i="202"/>
  <c r="T973" i="202"/>
  <c r="T974" i="202"/>
  <c r="T975" i="202"/>
  <c r="T976" i="202"/>
  <c r="T977" i="202"/>
  <c r="T978" i="202"/>
  <c r="T979" i="202"/>
  <c r="T980" i="202"/>
  <c r="T981" i="202"/>
  <c r="T982" i="202"/>
  <c r="T983" i="202"/>
  <c r="T984" i="202"/>
  <c r="T985" i="202"/>
  <c r="T986" i="202"/>
  <c r="T987" i="202"/>
  <c r="T988" i="202"/>
  <c r="T989" i="202"/>
  <c r="T990" i="202"/>
  <c r="T991" i="202"/>
  <c r="T992" i="202"/>
  <c r="T993" i="202"/>
  <c r="T994" i="202"/>
  <c r="T995" i="202"/>
  <c r="T996" i="202"/>
  <c r="T997" i="202"/>
  <c r="T998" i="202"/>
  <c r="T999" i="202"/>
  <c r="T1000" i="202"/>
  <c r="T1001" i="202"/>
  <c r="T1002" i="202"/>
  <c r="T1003" i="202"/>
  <c r="T1004" i="202"/>
  <c r="T1005" i="202"/>
  <c r="T1006" i="202"/>
  <c r="T1007" i="202"/>
  <c r="T1008" i="202"/>
  <c r="T1009" i="202"/>
  <c r="T1010" i="202"/>
  <c r="T1011" i="202"/>
  <c r="T1012" i="202"/>
  <c r="T1013" i="202"/>
  <c r="T1014" i="202"/>
  <c r="T1015" i="202"/>
  <c r="T1016" i="202"/>
  <c r="T1017" i="202"/>
  <c r="T1018" i="202"/>
  <c r="T1019" i="202"/>
  <c r="T1020" i="202"/>
  <c r="T1021" i="202"/>
  <c r="T1022" i="202"/>
  <c r="T1023" i="202"/>
  <c r="T1024" i="202"/>
  <c r="T1025" i="202"/>
  <c r="T1026" i="202"/>
  <c r="T1027" i="202"/>
  <c r="T1028" i="202"/>
  <c r="T1029" i="202"/>
  <c r="T1030" i="202"/>
  <c r="T1031" i="202"/>
  <c r="T1032" i="202"/>
  <c r="T1033" i="202"/>
  <c r="T1034" i="202"/>
  <c r="T1035" i="202"/>
  <c r="T1036" i="202"/>
  <c r="T1037" i="202"/>
  <c r="T1038" i="202"/>
  <c r="T1039" i="202"/>
  <c r="T1040" i="202"/>
  <c r="T1041" i="202"/>
  <c r="T1042" i="202"/>
  <c r="T1043" i="202"/>
  <c r="T1044" i="202"/>
  <c r="T1045" i="202"/>
  <c r="T1046" i="202"/>
  <c r="T1047" i="202"/>
  <c r="T1048" i="202"/>
  <c r="T1049" i="202"/>
  <c r="T1050" i="202"/>
  <c r="T1051" i="202"/>
  <c r="T1052" i="202"/>
  <c r="T1053" i="202"/>
  <c r="T1054" i="202"/>
  <c r="T1055" i="202"/>
  <c r="T1056" i="202"/>
  <c r="T1057" i="202"/>
  <c r="T1058" i="202"/>
  <c r="T1059" i="202"/>
  <c r="T1060" i="202"/>
  <c r="T1061" i="202"/>
  <c r="T1062" i="202"/>
  <c r="T1063" i="202"/>
  <c r="T1064" i="202"/>
  <c r="T1065" i="202"/>
  <c r="T1066" i="202"/>
  <c r="T1067" i="202"/>
  <c r="T1068" i="202"/>
  <c r="T1069" i="202"/>
  <c r="T1070" i="202"/>
  <c r="T1071" i="202"/>
  <c r="T1072" i="202"/>
  <c r="T1073" i="202"/>
  <c r="T1074" i="202"/>
  <c r="T1075" i="202"/>
  <c r="T1076" i="202"/>
  <c r="T1077" i="202"/>
  <c r="T1078" i="202"/>
  <c r="T1079" i="202"/>
  <c r="T1080" i="202"/>
  <c r="T1081" i="202"/>
  <c r="T1082" i="202"/>
  <c r="T1083" i="202"/>
  <c r="T1084" i="202"/>
  <c r="T1085" i="202"/>
  <c r="T1086" i="202"/>
  <c r="T1087" i="202"/>
  <c r="T1088" i="202"/>
  <c r="T1089" i="202"/>
  <c r="T1090" i="202"/>
  <c r="T1091" i="202"/>
  <c r="T1092" i="202"/>
  <c r="T1093" i="202"/>
  <c r="T1094" i="202"/>
  <c r="T1095" i="202"/>
  <c r="T1096" i="202"/>
  <c r="T1097" i="202"/>
  <c r="T1098" i="202"/>
  <c r="T1099" i="202"/>
  <c r="T1100" i="202"/>
  <c r="T1101" i="202"/>
  <c r="T1102" i="202"/>
  <c r="T1103" i="202"/>
  <c r="T1104" i="202"/>
  <c r="T1105" i="202"/>
  <c r="T1106" i="202"/>
  <c r="T1107" i="202"/>
  <c r="T1108" i="202"/>
  <c r="T1109" i="202"/>
  <c r="T1110" i="202"/>
  <c r="T1111" i="202"/>
  <c r="T1112" i="202"/>
  <c r="T1113" i="202"/>
  <c r="T1114" i="202"/>
  <c r="T1115" i="202"/>
  <c r="T1116" i="202"/>
  <c r="T1117" i="202"/>
  <c r="T1118" i="202"/>
  <c r="T1119" i="202"/>
  <c r="T1120" i="202"/>
  <c r="T1121" i="202"/>
  <c r="T1122" i="202"/>
  <c r="T1123" i="202"/>
  <c r="T1124" i="202"/>
  <c r="T1125" i="202"/>
  <c r="T1126" i="202"/>
  <c r="T1127" i="202"/>
  <c r="T1128" i="202"/>
  <c r="T1129" i="202"/>
  <c r="T1130" i="202"/>
  <c r="T1131" i="202"/>
  <c r="T1132" i="202"/>
  <c r="T1133" i="202"/>
  <c r="T1134" i="202"/>
  <c r="T1135" i="202"/>
  <c r="T1136" i="202"/>
  <c r="T1137" i="202"/>
  <c r="T1138" i="202"/>
  <c r="T1139" i="202"/>
  <c r="T1140" i="202"/>
  <c r="T1141" i="202"/>
  <c r="T1142" i="202"/>
  <c r="T1143" i="202"/>
  <c r="T1144" i="202"/>
  <c r="T1145" i="202"/>
  <c r="T1146" i="202"/>
  <c r="T1147" i="202"/>
  <c r="T1148" i="202"/>
  <c r="T1149" i="202"/>
  <c r="T1150" i="202"/>
  <c r="T1151" i="202"/>
  <c r="T1152" i="202"/>
  <c r="T1153" i="202"/>
  <c r="T1154" i="202"/>
  <c r="T1155" i="202"/>
  <c r="T1156" i="202"/>
  <c r="T1157" i="202"/>
  <c r="T1158" i="202"/>
  <c r="T1159" i="202"/>
  <c r="T1160" i="202"/>
  <c r="T1161" i="202"/>
  <c r="T1162" i="202"/>
  <c r="T1163" i="202"/>
  <c r="T1164" i="202"/>
  <c r="T1165" i="202"/>
  <c r="T1166" i="202"/>
  <c r="T1167" i="202"/>
  <c r="T1168" i="202"/>
  <c r="T1169" i="202"/>
  <c r="T1170" i="202"/>
  <c r="T1171" i="202"/>
  <c r="T1172" i="202"/>
  <c r="T1173" i="202"/>
  <c r="T1174" i="202"/>
  <c r="T1175" i="202"/>
  <c r="T1176" i="202"/>
  <c r="T1177" i="202"/>
  <c r="T1178" i="202"/>
  <c r="T1179" i="202"/>
  <c r="T1180" i="202"/>
  <c r="T1181" i="202"/>
  <c r="T1182" i="202"/>
  <c r="T1183" i="202"/>
  <c r="T1184" i="202"/>
  <c r="T1185" i="202"/>
  <c r="T1186" i="202"/>
  <c r="T1187" i="202"/>
  <c r="T1188" i="202"/>
  <c r="T1189" i="202"/>
  <c r="T1190" i="202"/>
  <c r="T1191" i="202"/>
  <c r="T1192" i="202"/>
  <c r="T1193" i="202"/>
  <c r="T1194" i="202"/>
  <c r="T1195" i="202"/>
  <c r="T1196" i="202"/>
  <c r="T1197" i="202"/>
  <c r="T1198" i="202"/>
  <c r="T1199" i="202"/>
  <c r="T1200" i="202"/>
  <c r="T1201" i="202"/>
  <c r="T1202" i="202"/>
  <c r="T1203" i="202"/>
  <c r="T1204" i="202"/>
  <c r="T1205" i="202"/>
  <c r="T1206" i="202"/>
  <c r="T1207" i="202"/>
  <c r="T1208" i="202"/>
  <c r="T1209" i="202"/>
  <c r="T1210" i="202"/>
  <c r="T1211" i="202"/>
  <c r="T1212" i="202"/>
  <c r="T1213" i="202"/>
  <c r="T1214" i="202"/>
  <c r="T1215" i="202"/>
  <c r="T1216" i="202"/>
  <c r="T1217" i="202"/>
  <c r="T1218" i="202"/>
  <c r="T1219" i="202"/>
  <c r="T1220" i="202"/>
  <c r="T1221" i="202"/>
  <c r="T1222" i="202"/>
  <c r="T1223" i="202"/>
  <c r="T1224" i="202"/>
  <c r="T1225" i="202"/>
  <c r="T1226" i="202"/>
  <c r="T1227" i="202"/>
  <c r="T1228" i="202"/>
  <c r="T1229" i="202"/>
  <c r="T1230" i="202"/>
  <c r="T1231" i="202"/>
  <c r="T1232" i="202"/>
  <c r="T1233" i="202"/>
  <c r="T1234" i="202"/>
  <c r="T1235" i="202"/>
  <c r="T1236" i="202"/>
  <c r="T1237" i="202"/>
  <c r="T1238" i="202"/>
  <c r="T1239" i="202"/>
  <c r="T1240" i="202"/>
  <c r="T1241" i="202"/>
  <c r="T1242" i="202"/>
  <c r="T1243" i="202"/>
  <c r="T1244" i="202"/>
  <c r="T1245" i="202"/>
  <c r="T1246" i="202"/>
  <c r="T1247" i="202"/>
  <c r="T1248" i="202"/>
  <c r="T1249" i="202"/>
  <c r="T1250" i="202"/>
  <c r="T1251" i="202"/>
  <c r="T1252" i="202"/>
  <c r="T1253" i="202"/>
  <c r="T1254" i="202"/>
  <c r="T1255" i="202"/>
  <c r="T1256" i="202"/>
  <c r="T1257" i="202"/>
  <c r="T1258" i="202"/>
  <c r="T1259" i="202"/>
  <c r="T1260" i="202"/>
  <c r="T1261" i="202"/>
  <c r="T1262" i="202"/>
  <c r="T1263" i="202"/>
  <c r="T1264" i="202"/>
  <c r="T1265" i="202"/>
  <c r="T1266" i="202"/>
  <c r="T1267" i="202"/>
  <c r="T1268" i="202"/>
  <c r="T1269" i="202"/>
  <c r="T1270" i="202"/>
  <c r="T1271" i="202"/>
  <c r="T1272" i="202"/>
  <c r="T1273" i="202"/>
  <c r="T1274" i="202"/>
  <c r="T1275" i="202"/>
  <c r="T1276" i="202"/>
  <c r="T1277" i="202"/>
  <c r="T1278" i="202"/>
  <c r="T1279" i="202"/>
  <c r="T1280" i="202"/>
  <c r="T1281" i="202"/>
  <c r="T1282" i="202"/>
  <c r="T1283" i="202"/>
  <c r="T1284" i="202"/>
  <c r="T1285" i="202"/>
  <c r="T1286" i="202"/>
  <c r="T1287" i="202"/>
  <c r="T1288" i="202"/>
  <c r="T1289" i="202"/>
  <c r="T1290" i="202"/>
  <c r="T1291" i="202"/>
  <c r="T1292" i="202"/>
  <c r="T1293" i="202"/>
  <c r="T1294" i="202"/>
  <c r="T1295" i="202"/>
  <c r="T1296" i="202"/>
  <c r="T1297" i="202"/>
  <c r="T1298" i="202"/>
  <c r="T1299" i="202"/>
  <c r="T1300" i="202"/>
  <c r="T1301" i="202"/>
  <c r="T1302" i="202"/>
  <c r="T1303" i="202"/>
  <c r="T1304" i="202"/>
  <c r="T1305" i="202"/>
  <c r="T1306" i="202"/>
  <c r="T1307" i="202"/>
  <c r="T1308" i="202"/>
  <c r="T1309" i="202"/>
  <c r="T1310" i="202"/>
  <c r="T1311" i="202"/>
  <c r="T1312" i="202"/>
  <c r="T1313" i="202"/>
  <c r="T1314" i="202"/>
  <c r="T1315" i="202"/>
  <c r="T1316" i="202"/>
  <c r="T1317" i="202"/>
  <c r="T1318" i="202"/>
  <c r="T1319" i="202"/>
  <c r="T1320" i="202"/>
  <c r="T1321" i="202"/>
  <c r="T1322" i="202"/>
  <c r="T1323" i="202"/>
  <c r="T1324" i="202"/>
  <c r="T1325" i="202"/>
  <c r="T1326" i="202"/>
  <c r="T1327" i="202"/>
  <c r="T1328" i="202"/>
  <c r="T1329" i="202"/>
  <c r="T1330" i="202"/>
  <c r="T1331" i="202"/>
  <c r="T1332" i="202"/>
  <c r="T1333" i="202"/>
  <c r="T1334" i="202"/>
  <c r="T1335" i="202"/>
  <c r="T1336" i="202"/>
  <c r="T1337" i="202"/>
  <c r="T1338" i="202"/>
  <c r="T1339" i="202"/>
  <c r="T1340" i="202"/>
  <c r="T1341" i="202"/>
  <c r="T1342" i="202"/>
  <c r="T1343" i="202"/>
  <c r="T1344" i="202"/>
  <c r="T1345" i="202"/>
  <c r="T1346" i="202"/>
  <c r="T1347" i="202"/>
  <c r="T1348" i="202"/>
  <c r="T1349" i="202"/>
  <c r="T1350" i="202"/>
  <c r="T1351" i="202"/>
  <c r="T1352" i="202"/>
  <c r="T1353" i="202"/>
  <c r="T1354" i="202"/>
  <c r="T1355" i="202"/>
  <c r="T1356" i="202"/>
  <c r="T1357" i="202"/>
  <c r="T1358" i="202"/>
  <c r="T1359" i="202"/>
  <c r="T1360" i="202"/>
  <c r="T1361" i="202"/>
  <c r="T1362" i="202"/>
  <c r="T1363" i="202"/>
  <c r="T1364" i="202"/>
  <c r="T1365" i="202"/>
  <c r="T1366" i="202"/>
  <c r="T1367" i="202"/>
  <c r="T1368" i="202"/>
  <c r="T1369" i="202"/>
  <c r="T1370" i="202"/>
  <c r="T1371" i="202"/>
  <c r="T1372" i="202"/>
  <c r="T1373" i="202"/>
  <c r="T1374" i="202"/>
  <c r="T1375" i="202"/>
  <c r="T1376" i="202"/>
  <c r="T1377" i="202"/>
  <c r="T1378" i="202"/>
  <c r="T1379" i="202"/>
  <c r="T1380" i="202"/>
  <c r="T1381" i="202"/>
  <c r="T1382" i="202"/>
  <c r="T1383" i="202"/>
  <c r="T1384" i="202"/>
  <c r="T1385" i="202"/>
  <c r="T1386" i="202"/>
  <c r="T1387" i="202"/>
  <c r="T1388" i="202"/>
  <c r="T1389" i="202"/>
  <c r="T1390" i="202"/>
  <c r="T1391" i="202"/>
  <c r="T1392" i="202"/>
  <c r="T1393" i="202"/>
  <c r="T1394" i="202"/>
  <c r="T1395" i="202"/>
  <c r="T1396" i="202"/>
  <c r="T1397" i="202"/>
  <c r="T1398" i="202"/>
  <c r="T1399" i="202"/>
  <c r="T1400" i="202"/>
  <c r="T1401" i="202"/>
  <c r="T1402" i="202"/>
  <c r="T1403" i="202"/>
  <c r="T1404" i="202"/>
  <c r="T1405" i="202"/>
  <c r="T1406" i="202"/>
  <c r="T1407" i="202"/>
  <c r="T1408" i="202"/>
  <c r="T1409" i="202"/>
  <c r="T1410" i="202"/>
  <c r="T1411" i="202"/>
  <c r="T1412" i="202"/>
  <c r="T1413" i="202"/>
  <c r="T1414" i="202"/>
  <c r="T1415" i="202"/>
  <c r="T1416" i="202"/>
  <c r="T1417" i="202"/>
  <c r="T1418" i="202"/>
  <c r="T1419" i="202"/>
  <c r="T1420" i="202"/>
  <c r="T1421" i="202"/>
  <c r="T1422" i="202"/>
  <c r="T1423" i="202"/>
  <c r="T1424" i="202"/>
  <c r="T1425" i="202"/>
  <c r="T1426" i="202"/>
  <c r="T1427" i="202"/>
  <c r="T1428" i="202"/>
  <c r="T1429" i="202"/>
  <c r="T1430" i="202"/>
  <c r="T1431" i="202"/>
  <c r="T1432" i="202"/>
  <c r="T1433" i="202"/>
  <c r="T1434" i="202"/>
  <c r="T1435" i="202"/>
  <c r="T1436" i="202"/>
  <c r="T1437" i="202"/>
  <c r="T1438" i="202"/>
  <c r="T1439" i="202"/>
  <c r="T1440" i="202"/>
  <c r="T1441" i="202"/>
  <c r="T1442" i="202"/>
  <c r="T1443" i="202"/>
  <c r="T1444" i="202"/>
  <c r="T1445" i="202"/>
  <c r="T1446" i="202"/>
  <c r="T1447" i="202"/>
  <c r="T1448" i="202"/>
  <c r="T1449" i="202"/>
  <c r="T1450" i="202"/>
  <c r="T1451" i="202"/>
  <c r="T1452" i="202"/>
  <c r="T1453" i="202"/>
  <c r="T1454" i="202"/>
  <c r="T1455" i="202"/>
  <c r="T1456" i="202"/>
  <c r="T1457" i="202"/>
  <c r="T1458" i="202"/>
  <c r="T1459" i="202"/>
  <c r="T1460" i="202"/>
  <c r="T1461" i="202"/>
  <c r="T1462" i="202"/>
  <c r="T1463" i="202"/>
  <c r="T1464" i="202"/>
  <c r="T1465" i="202"/>
  <c r="T1466" i="202"/>
  <c r="T1467" i="202"/>
  <c r="T1468" i="202"/>
  <c r="T1469" i="202"/>
  <c r="T1470" i="202"/>
  <c r="T1471" i="202"/>
  <c r="T1472" i="202"/>
  <c r="T1473" i="202"/>
  <c r="T1474" i="202"/>
  <c r="T1475" i="202"/>
  <c r="T1476" i="202"/>
  <c r="T1477" i="202"/>
  <c r="T1478" i="202"/>
  <c r="T1479" i="202"/>
  <c r="T1480" i="202"/>
  <c r="T1481" i="202"/>
  <c r="T1482" i="202"/>
  <c r="T1483" i="202"/>
  <c r="T1484" i="202"/>
  <c r="T1485" i="202"/>
  <c r="T1486" i="202"/>
  <c r="T1487" i="202"/>
  <c r="T1488" i="202"/>
  <c r="T1489" i="202"/>
  <c r="T1490" i="202"/>
  <c r="T1491" i="202"/>
  <c r="T1492" i="202"/>
  <c r="T1493" i="202"/>
  <c r="T1494" i="202"/>
  <c r="T1495" i="202"/>
  <c r="T1496" i="202"/>
  <c r="T1497" i="202"/>
  <c r="T1498" i="202"/>
  <c r="T1499" i="202"/>
  <c r="T1500" i="202"/>
  <c r="T1501" i="202"/>
  <c r="T1502" i="202"/>
  <c r="T1503" i="202"/>
  <c r="T1504" i="202"/>
  <c r="T1505" i="202"/>
  <c r="T1506" i="202"/>
  <c r="T1507" i="202"/>
  <c r="T1508" i="202"/>
  <c r="T1509" i="202"/>
  <c r="T1510" i="202"/>
  <c r="T1511" i="202"/>
  <c r="T1512" i="202"/>
  <c r="T1513" i="202"/>
  <c r="T1514" i="202"/>
  <c r="T1515" i="202"/>
  <c r="T1516" i="202"/>
  <c r="T1517" i="202"/>
  <c r="T1518" i="202"/>
  <c r="T1519" i="202"/>
  <c r="T1520" i="202"/>
  <c r="T1521" i="202"/>
  <c r="T1522" i="202"/>
  <c r="T1523" i="202"/>
  <c r="T1524" i="202"/>
  <c r="T1525" i="202"/>
  <c r="T1526" i="202"/>
  <c r="T1527" i="202"/>
  <c r="T1528" i="202"/>
  <c r="T1529" i="202"/>
  <c r="T1530" i="202"/>
  <c r="T1531" i="202"/>
  <c r="T1532" i="202"/>
  <c r="T1533" i="202"/>
  <c r="T1534" i="202"/>
  <c r="T1535" i="202"/>
  <c r="T1536" i="202"/>
  <c r="T1537" i="202"/>
  <c r="T1538" i="202"/>
  <c r="T1539" i="202"/>
  <c r="T1540" i="202"/>
  <c r="T1541" i="202"/>
  <c r="T1542" i="202"/>
  <c r="T1543" i="202"/>
  <c r="T1544" i="202"/>
  <c r="T1545" i="202"/>
  <c r="T1546" i="202"/>
  <c r="T1547" i="202"/>
  <c r="T1548" i="202"/>
  <c r="T1549" i="202"/>
  <c r="T1550" i="202"/>
  <c r="T1551" i="202"/>
  <c r="T1552" i="202"/>
  <c r="T1553" i="202"/>
  <c r="T1554" i="202"/>
  <c r="T1555" i="202"/>
  <c r="T1556" i="202"/>
  <c r="T1557" i="202"/>
  <c r="T1558" i="202"/>
  <c r="T1559" i="202"/>
  <c r="T1560" i="202"/>
  <c r="T1561" i="202"/>
  <c r="T1562" i="202"/>
  <c r="T1563" i="202"/>
  <c r="T1564" i="202"/>
  <c r="T1565" i="202"/>
  <c r="T1566" i="202"/>
  <c r="T1567" i="202"/>
  <c r="T1568" i="202"/>
  <c r="T1569" i="202"/>
  <c r="T1570" i="202"/>
  <c r="T1571" i="202"/>
  <c r="T1572" i="202"/>
  <c r="T1573" i="202"/>
  <c r="T1574" i="202"/>
  <c r="T1575" i="202"/>
  <c r="T1576" i="202"/>
  <c r="T1577" i="202"/>
  <c r="T1578" i="202"/>
  <c r="T1579" i="202"/>
  <c r="T1580" i="202"/>
  <c r="T1581" i="202"/>
  <c r="T1582" i="202"/>
  <c r="T1583" i="202"/>
  <c r="T1584" i="202"/>
  <c r="T1585" i="202"/>
  <c r="T1586" i="202"/>
  <c r="T1587" i="202"/>
  <c r="T1588" i="202"/>
  <c r="T1589" i="202"/>
  <c r="T1590" i="202"/>
  <c r="T1591" i="202"/>
  <c r="T1592" i="202"/>
  <c r="T1593" i="202"/>
  <c r="T1594" i="202"/>
  <c r="T1595" i="202"/>
  <c r="T1596" i="202"/>
  <c r="T1597" i="202"/>
  <c r="T1598" i="202"/>
  <c r="T1599" i="202"/>
  <c r="T1600" i="202"/>
  <c r="T1601" i="202"/>
  <c r="T1602" i="202"/>
  <c r="T1603" i="202"/>
  <c r="T1604" i="202"/>
  <c r="T1605" i="202"/>
  <c r="T1606" i="202"/>
  <c r="T1607" i="202"/>
  <c r="T1608" i="202"/>
  <c r="T1609" i="202"/>
  <c r="T1610" i="202"/>
  <c r="T1611" i="202"/>
  <c r="T1612" i="202"/>
  <c r="T1613" i="202"/>
  <c r="T1614" i="202"/>
  <c r="T1615" i="202"/>
  <c r="T1616" i="202"/>
  <c r="T1617" i="202"/>
  <c r="T1618" i="202"/>
  <c r="T1619" i="202"/>
  <c r="T1620" i="202"/>
  <c r="T1621" i="202"/>
  <c r="T1622" i="202"/>
  <c r="T1623" i="202"/>
  <c r="T1624" i="202"/>
  <c r="T1625" i="202"/>
  <c r="T1626" i="202"/>
  <c r="T1627" i="202"/>
  <c r="T1628" i="202"/>
  <c r="T1629" i="202"/>
  <c r="T1630" i="202"/>
  <c r="T1631" i="202"/>
  <c r="T1632" i="202"/>
  <c r="T1633" i="202"/>
  <c r="T1634" i="202"/>
  <c r="T1635" i="202"/>
  <c r="T1636" i="202"/>
  <c r="T1637" i="202"/>
  <c r="T1638" i="202"/>
  <c r="T1639" i="202"/>
  <c r="T1640" i="202"/>
  <c r="T1641" i="202"/>
  <c r="T1642" i="202"/>
  <c r="T1643" i="202"/>
  <c r="T1644" i="202"/>
  <c r="T1645" i="202"/>
  <c r="T1646" i="202"/>
  <c r="T1647" i="202"/>
  <c r="T1648" i="202"/>
  <c r="T1649" i="202"/>
  <c r="T1650" i="202"/>
  <c r="T1651" i="202"/>
  <c r="T1652" i="202"/>
  <c r="T1653" i="202"/>
  <c r="T1654" i="202"/>
  <c r="T1655" i="202"/>
  <c r="T1656" i="202"/>
  <c r="T1657" i="202"/>
  <c r="T1658" i="202"/>
  <c r="T1659" i="202"/>
  <c r="T1660" i="202"/>
  <c r="T1661" i="202"/>
  <c r="T1662" i="202"/>
  <c r="T1663" i="202"/>
  <c r="T1664" i="202"/>
  <c r="T1665" i="202"/>
  <c r="T1666" i="202"/>
  <c r="T1667" i="202"/>
  <c r="T1668" i="202"/>
  <c r="T1669" i="202"/>
  <c r="T1670" i="202"/>
  <c r="T1671" i="202"/>
  <c r="T1672" i="202"/>
  <c r="T1673" i="202"/>
  <c r="T1674" i="202"/>
  <c r="T1675" i="202"/>
  <c r="T1676" i="202"/>
  <c r="T1677" i="202"/>
  <c r="T1678" i="202"/>
  <c r="T1679" i="202"/>
  <c r="T1680" i="202"/>
  <c r="T1681" i="202"/>
  <c r="T1682" i="202"/>
  <c r="T1683" i="202"/>
  <c r="T1684" i="202"/>
  <c r="T1685" i="202"/>
  <c r="T1686" i="202"/>
  <c r="T1687" i="202"/>
  <c r="T1688" i="202"/>
  <c r="T1689" i="202"/>
  <c r="T1690" i="202"/>
  <c r="T1691" i="202"/>
  <c r="T1692" i="202"/>
  <c r="T1693" i="202"/>
  <c r="T1694" i="202"/>
  <c r="T1695" i="202"/>
  <c r="T1696" i="202"/>
  <c r="T1697" i="202"/>
  <c r="T1698" i="202"/>
  <c r="T1699" i="202"/>
  <c r="T1700" i="202"/>
  <c r="T1701" i="202"/>
  <c r="T1702" i="202"/>
  <c r="T1703" i="202"/>
  <c r="T1704" i="202"/>
  <c r="T1705" i="202"/>
  <c r="T1706" i="202"/>
  <c r="T1707" i="202"/>
  <c r="T1708" i="202"/>
  <c r="T1709" i="202"/>
  <c r="T1710" i="202"/>
  <c r="T1711" i="202"/>
  <c r="T1712" i="202"/>
  <c r="T1713" i="202"/>
  <c r="T1714" i="202"/>
  <c r="T1715" i="202"/>
  <c r="T1716" i="202"/>
  <c r="T1717" i="202"/>
  <c r="T1718" i="202"/>
  <c r="T1719" i="202"/>
  <c r="T1720" i="202"/>
  <c r="T1721" i="202"/>
  <c r="T1722" i="202"/>
  <c r="T1723" i="202"/>
  <c r="T1724" i="202"/>
  <c r="T1725" i="202"/>
  <c r="T1726" i="202"/>
  <c r="T1727" i="202"/>
  <c r="T1728" i="202"/>
  <c r="T1729" i="202"/>
  <c r="T1730" i="202"/>
  <c r="T1731" i="202"/>
  <c r="T1732" i="202"/>
  <c r="T1733" i="202"/>
  <c r="T1734" i="202"/>
  <c r="T1735" i="202"/>
  <c r="T1736" i="202"/>
  <c r="T1737" i="202"/>
  <c r="T1738" i="202"/>
  <c r="T1739" i="202"/>
  <c r="T1740" i="202"/>
  <c r="T1741" i="202"/>
  <c r="T1742" i="202"/>
  <c r="T1743" i="202"/>
  <c r="T1744" i="202"/>
  <c r="T1745" i="202"/>
  <c r="T1746" i="202"/>
  <c r="T1747" i="202"/>
  <c r="T1748" i="202"/>
  <c r="T1749" i="202"/>
  <c r="T1750" i="202"/>
  <c r="T1751" i="202"/>
  <c r="T1752" i="202"/>
  <c r="T1753" i="202"/>
  <c r="T1754" i="202"/>
  <c r="T1755" i="202"/>
  <c r="T1756" i="202"/>
  <c r="T1757" i="202"/>
  <c r="T1758" i="202"/>
  <c r="T1759" i="202"/>
  <c r="T1760" i="202"/>
  <c r="T1761" i="202"/>
  <c r="T1762" i="202"/>
  <c r="T1763" i="202"/>
  <c r="T1764" i="202"/>
  <c r="T1765" i="202"/>
  <c r="T1766" i="202"/>
  <c r="T1767" i="202"/>
  <c r="T1768" i="202"/>
  <c r="T1769" i="202"/>
  <c r="T1770" i="202"/>
  <c r="T1771" i="202"/>
  <c r="T1772" i="202"/>
  <c r="T1773" i="202"/>
  <c r="T1774" i="202"/>
  <c r="T1775" i="202"/>
  <c r="T1776" i="202"/>
  <c r="T1777" i="202"/>
  <c r="T1778" i="202"/>
  <c r="T1779" i="202"/>
  <c r="T1780" i="202"/>
  <c r="T1781" i="202"/>
  <c r="T1782" i="202"/>
  <c r="T1783" i="202"/>
  <c r="T1784" i="202"/>
  <c r="T1785" i="202"/>
  <c r="T1786" i="202"/>
  <c r="T1787" i="202"/>
  <c r="T1788" i="202"/>
  <c r="T1789" i="202"/>
  <c r="T1790" i="202"/>
  <c r="T1791" i="202"/>
  <c r="T1792" i="202"/>
  <c r="T1793" i="202"/>
  <c r="T1794" i="202"/>
  <c r="T1795" i="202"/>
  <c r="T1796" i="202"/>
  <c r="T1797" i="202"/>
  <c r="T1798" i="202"/>
  <c r="T1799" i="202"/>
  <c r="T1800" i="202"/>
  <c r="T1801" i="202"/>
  <c r="T1802" i="202"/>
  <c r="T1803" i="202"/>
  <c r="T1804" i="202"/>
  <c r="T1805" i="202"/>
  <c r="T1806" i="202"/>
  <c r="T1807" i="202"/>
  <c r="T1808" i="202"/>
  <c r="T1809" i="202"/>
  <c r="T1810" i="202"/>
  <c r="T1811" i="202"/>
  <c r="T1812" i="202"/>
  <c r="T1813" i="202"/>
  <c r="T1814" i="202"/>
  <c r="T1815" i="202"/>
  <c r="T1816" i="202"/>
  <c r="T1817" i="202"/>
  <c r="T1818" i="202"/>
  <c r="T1819" i="202"/>
  <c r="T1820" i="202"/>
  <c r="T1821" i="202"/>
  <c r="T1822" i="202"/>
  <c r="T1823" i="202"/>
  <c r="T1824" i="202"/>
  <c r="T1825" i="202"/>
  <c r="T1826" i="202"/>
  <c r="T1827" i="202"/>
  <c r="T1828" i="202"/>
  <c r="T1829" i="202"/>
  <c r="T1830" i="202"/>
  <c r="T1831" i="202"/>
  <c r="T1832" i="202"/>
  <c r="T1833" i="202"/>
  <c r="T1834" i="202"/>
  <c r="T1835" i="202"/>
  <c r="T1836" i="202"/>
  <c r="T1837" i="202"/>
  <c r="T1838" i="202"/>
  <c r="T1839" i="202"/>
  <c r="T1840" i="202"/>
  <c r="T1841" i="202"/>
  <c r="T1842" i="202"/>
  <c r="T1843" i="202"/>
  <c r="T1844" i="202"/>
  <c r="T1845" i="202"/>
  <c r="T1846" i="202"/>
  <c r="T1847" i="202"/>
  <c r="T1848" i="202"/>
  <c r="T1849" i="202"/>
  <c r="T1850" i="202"/>
  <c r="T1851" i="202"/>
  <c r="T1852" i="202"/>
  <c r="T1853" i="202"/>
  <c r="T1854" i="202"/>
  <c r="T1855" i="202"/>
  <c r="T1856" i="202"/>
  <c r="T1857" i="202"/>
  <c r="T1858" i="202"/>
  <c r="T1859" i="202"/>
  <c r="T1860" i="202"/>
  <c r="T1861" i="202"/>
  <c r="T1862" i="202"/>
  <c r="T1863" i="202"/>
  <c r="T1864" i="202"/>
  <c r="T1865" i="202"/>
  <c r="T1866" i="202"/>
  <c r="T1867" i="202"/>
  <c r="T1868" i="202"/>
  <c r="T1869" i="202"/>
  <c r="T1870" i="202"/>
  <c r="T1871" i="202"/>
  <c r="T1872" i="202"/>
  <c r="T1873" i="202"/>
  <c r="T1874" i="202"/>
  <c r="T1875" i="202"/>
  <c r="T1876" i="202"/>
  <c r="T1877" i="202"/>
  <c r="T1878" i="202"/>
  <c r="T1879" i="202"/>
  <c r="T1880" i="202"/>
  <c r="T1881" i="202"/>
  <c r="T1882" i="202"/>
  <c r="T1883" i="202"/>
  <c r="T1884" i="202"/>
  <c r="T1885" i="202"/>
  <c r="T1886" i="202"/>
  <c r="T1887" i="202"/>
  <c r="T1888" i="202"/>
  <c r="T1889" i="202"/>
  <c r="T1890" i="202"/>
  <c r="T1891" i="202"/>
  <c r="T1892" i="202"/>
  <c r="T1893" i="202"/>
  <c r="T1894" i="202"/>
  <c r="T1895" i="202"/>
  <c r="T1896" i="202"/>
  <c r="T1897" i="202"/>
  <c r="T1898" i="202"/>
  <c r="T1899" i="202"/>
  <c r="T1900" i="202"/>
  <c r="T1901" i="202"/>
  <c r="T1902" i="202"/>
  <c r="T1903" i="202"/>
  <c r="T1904" i="202"/>
  <c r="T1905" i="202"/>
  <c r="T1906" i="202"/>
  <c r="T1907" i="202"/>
  <c r="T1908" i="202"/>
  <c r="T1909" i="202"/>
  <c r="T1910" i="202"/>
  <c r="T1911" i="202"/>
  <c r="T1912" i="202"/>
  <c r="T1913" i="202"/>
  <c r="T1914" i="202"/>
  <c r="T1915" i="202"/>
  <c r="T1916" i="202"/>
  <c r="T1917" i="202"/>
  <c r="T1918" i="202"/>
  <c r="T1919" i="202"/>
  <c r="T1920" i="202"/>
  <c r="T1921" i="202"/>
  <c r="T1922" i="202"/>
  <c r="T1923" i="202"/>
  <c r="T1924" i="202"/>
  <c r="T1925" i="202"/>
  <c r="T1926" i="202"/>
  <c r="T1927" i="202"/>
  <c r="T1928" i="202"/>
  <c r="T1929" i="202"/>
  <c r="T1930" i="202"/>
  <c r="T1931" i="202"/>
  <c r="T1932" i="202"/>
  <c r="T1933" i="202"/>
  <c r="T1934" i="202"/>
  <c r="T1935" i="202"/>
  <c r="T1936" i="202"/>
  <c r="T1937" i="202"/>
  <c r="T1938" i="202"/>
  <c r="T1939" i="202"/>
  <c r="T1940" i="202"/>
  <c r="T1941" i="202"/>
  <c r="T1942" i="202"/>
  <c r="T1943" i="202"/>
  <c r="T1944" i="202"/>
  <c r="T1945" i="202"/>
  <c r="T1946" i="202"/>
  <c r="T1947" i="202"/>
  <c r="T1948" i="202"/>
  <c r="T1949" i="202"/>
  <c r="T1950" i="202"/>
  <c r="T1951" i="202"/>
  <c r="T1952" i="202"/>
  <c r="T1953" i="202"/>
  <c r="T1954" i="202"/>
  <c r="T1955" i="202"/>
  <c r="T1956" i="202"/>
  <c r="T1957" i="202"/>
  <c r="T1958" i="202"/>
  <c r="T1959" i="202"/>
  <c r="T1960" i="202"/>
  <c r="T1961" i="202"/>
  <c r="T1962" i="202"/>
  <c r="T1963" i="202"/>
  <c r="T1964" i="202"/>
  <c r="T1965" i="202"/>
  <c r="T1966" i="202"/>
  <c r="T1967" i="202"/>
  <c r="T1968" i="202"/>
  <c r="T1969" i="202"/>
  <c r="T1970" i="202"/>
  <c r="T1971" i="202"/>
  <c r="T1972" i="202"/>
  <c r="T1973" i="202"/>
  <c r="T1974" i="202"/>
  <c r="T1975" i="202"/>
  <c r="T1976" i="202"/>
  <c r="T1977" i="202"/>
  <c r="T1978" i="202"/>
  <c r="T1979" i="202"/>
  <c r="T1980" i="202"/>
  <c r="T1981" i="202"/>
  <c r="T1982" i="202"/>
  <c r="T1983" i="202"/>
  <c r="T1984" i="202"/>
  <c r="T1985" i="202"/>
  <c r="T1986" i="202"/>
  <c r="T1987" i="202"/>
  <c r="T1988" i="202"/>
  <c r="T1989" i="202"/>
  <c r="T1990" i="202"/>
  <c r="T1991" i="202"/>
  <c r="T1992" i="202"/>
  <c r="T1993" i="202"/>
  <c r="T1994" i="202"/>
  <c r="T1995" i="202"/>
  <c r="T1996" i="202"/>
  <c r="T1997" i="202"/>
  <c r="T1998" i="202"/>
  <c r="T1999" i="202"/>
  <c r="T2000" i="202"/>
  <c r="T2001" i="202"/>
  <c r="T2002" i="202"/>
  <c r="T2003" i="202"/>
  <c r="T2004" i="202"/>
  <c r="T2005" i="202"/>
  <c r="T2006" i="202"/>
  <c r="T2007" i="202"/>
  <c r="T2008" i="202"/>
  <c r="T2009" i="202"/>
  <c r="T2010" i="202"/>
  <c r="T2011" i="202"/>
  <c r="T2012" i="202"/>
  <c r="T2013" i="202"/>
  <c r="T2014" i="202"/>
  <c r="T2015" i="202"/>
  <c r="T2016" i="202"/>
  <c r="T2017" i="202"/>
  <c r="T2018" i="202"/>
  <c r="T2019" i="202"/>
  <c r="T2020" i="202"/>
  <c r="T2021" i="202"/>
  <c r="T2022" i="202"/>
  <c r="T2023" i="202"/>
  <c r="T2024" i="202"/>
  <c r="T2025" i="202"/>
  <c r="T2026" i="202"/>
  <c r="T2027" i="202"/>
  <c r="T2028" i="202"/>
  <c r="T2029" i="202"/>
  <c r="T2030" i="202"/>
  <c r="T2031" i="202"/>
  <c r="T2032" i="202"/>
  <c r="T2033" i="202"/>
  <c r="T2034" i="202"/>
  <c r="T2035" i="202"/>
  <c r="T2036" i="202"/>
  <c r="T2037" i="202"/>
  <c r="T2038" i="202"/>
  <c r="T2039" i="202"/>
  <c r="T2040" i="202"/>
  <c r="T2041" i="202"/>
  <c r="T2042" i="202"/>
  <c r="T2043" i="202"/>
  <c r="T2044" i="202"/>
  <c r="T2045" i="202"/>
  <c r="T2046" i="202"/>
  <c r="T2047" i="202"/>
  <c r="T2048" i="202"/>
  <c r="AU2" i="202"/>
  <c r="AU3" i="202"/>
  <c r="AU4" i="202"/>
  <c r="AU5" i="202"/>
  <c r="AU6" i="202"/>
  <c r="AU7" i="202"/>
  <c r="AU8" i="202"/>
  <c r="AU9" i="202"/>
  <c r="AU10" i="202"/>
  <c r="AU11" i="202"/>
  <c r="AU12" i="202"/>
  <c r="AU13" i="202"/>
  <c r="AU14" i="202"/>
  <c r="AU15" i="202"/>
  <c r="AU16" i="202"/>
  <c r="AU17" i="202"/>
  <c r="AU18" i="202"/>
  <c r="AU19" i="202"/>
  <c r="AU20" i="202"/>
  <c r="AU21" i="202"/>
  <c r="AU22" i="202"/>
  <c r="AU23" i="202"/>
  <c r="AU24" i="202"/>
  <c r="AU25" i="202"/>
  <c r="AU26" i="202"/>
  <c r="AU27" i="202"/>
  <c r="AU28" i="202"/>
  <c r="AU29" i="202"/>
  <c r="AU30" i="202"/>
  <c r="AU31" i="202"/>
  <c r="AU32" i="202"/>
  <c r="AU33" i="202"/>
  <c r="AU34" i="202"/>
  <c r="AU35" i="202"/>
  <c r="AU36" i="202"/>
  <c r="AU37" i="202"/>
  <c r="AU38" i="202"/>
  <c r="AU39" i="202"/>
  <c r="AU40" i="202"/>
  <c r="AU41" i="202"/>
  <c r="AU42" i="202"/>
  <c r="AU43" i="202"/>
  <c r="AU44" i="202"/>
  <c r="AU45" i="202"/>
  <c r="AU46" i="202"/>
  <c r="AU47" i="202"/>
  <c r="AU48" i="202"/>
  <c r="AU49" i="202"/>
  <c r="AU50" i="202"/>
  <c r="AU51" i="202"/>
  <c r="AU52" i="202"/>
  <c r="AU53" i="202"/>
  <c r="AU54" i="202"/>
  <c r="AU55" i="202"/>
  <c r="AU56" i="202"/>
  <c r="AU57" i="202"/>
  <c r="AU58" i="202"/>
  <c r="AU59" i="202"/>
  <c r="AU60" i="202"/>
  <c r="AU61" i="202"/>
  <c r="AU62" i="202"/>
  <c r="AU63" i="202"/>
  <c r="AU64" i="202"/>
  <c r="AU65" i="202"/>
  <c r="AU66" i="202"/>
  <c r="AU67" i="202"/>
  <c r="AU68" i="202"/>
  <c r="AU69" i="202"/>
  <c r="AU70" i="202"/>
  <c r="AU71" i="202"/>
  <c r="AU72" i="202"/>
  <c r="AU73" i="202"/>
  <c r="AU74" i="202"/>
  <c r="AU75" i="202"/>
  <c r="AU76" i="202"/>
  <c r="AU77" i="202"/>
  <c r="AU78" i="202"/>
  <c r="AU79" i="202"/>
  <c r="AU80" i="202"/>
  <c r="AU81" i="202"/>
  <c r="AU82" i="202"/>
  <c r="AU83" i="202"/>
  <c r="AU84" i="202"/>
  <c r="AU85" i="202"/>
  <c r="AU86" i="202"/>
  <c r="AU87" i="202"/>
  <c r="AU88" i="202"/>
  <c r="AU89" i="202"/>
  <c r="AU90" i="202"/>
  <c r="AU91" i="202"/>
  <c r="AU92" i="202"/>
  <c r="AU93" i="202"/>
  <c r="AU94" i="202"/>
  <c r="AU95" i="202"/>
  <c r="AU96" i="202"/>
  <c r="AU97" i="202"/>
  <c r="AU98" i="202"/>
  <c r="AU99" i="202"/>
  <c r="AU100" i="202"/>
  <c r="AU101" i="202"/>
  <c r="AU102" i="202"/>
  <c r="AU103" i="202"/>
  <c r="AU104" i="202"/>
  <c r="AU105" i="202"/>
  <c r="AU106" i="202"/>
  <c r="AU107" i="202"/>
  <c r="AU108" i="202"/>
  <c r="AU109" i="202"/>
  <c r="AU110" i="202"/>
  <c r="AU111" i="202"/>
  <c r="AU112" i="202"/>
  <c r="AU113" i="202"/>
  <c r="AU114" i="202"/>
  <c r="AU115" i="202"/>
  <c r="AU116" i="202"/>
  <c r="AU117" i="202"/>
  <c r="AU118" i="202"/>
  <c r="AU119" i="202"/>
  <c r="AU120" i="202"/>
  <c r="AU121" i="202"/>
  <c r="AU122" i="202"/>
  <c r="AU123" i="202"/>
  <c r="AU124" i="202"/>
  <c r="AU125" i="202"/>
  <c r="AU126" i="202"/>
  <c r="AU127" i="202"/>
  <c r="AU128" i="202"/>
  <c r="AU129" i="202"/>
  <c r="AU130" i="202"/>
  <c r="AU131" i="202"/>
  <c r="AU132" i="202"/>
  <c r="AU133" i="202"/>
  <c r="AU134" i="202"/>
  <c r="AU135" i="202"/>
  <c r="AU136" i="202"/>
  <c r="AU137" i="202"/>
  <c r="AU138" i="202"/>
  <c r="AU139" i="202"/>
  <c r="AU140" i="202"/>
  <c r="AU141" i="202"/>
  <c r="AU142" i="202"/>
  <c r="AU143" i="202"/>
  <c r="AU144" i="202"/>
  <c r="AU145" i="202"/>
  <c r="AU146" i="202"/>
  <c r="AU147" i="202"/>
  <c r="AU148" i="202"/>
  <c r="AU149" i="202"/>
  <c r="AU150" i="202"/>
  <c r="AU151" i="202"/>
  <c r="AU152" i="202"/>
  <c r="AU153" i="202"/>
  <c r="AU154" i="202"/>
  <c r="AU155" i="202"/>
  <c r="AU156" i="202"/>
  <c r="AU157" i="202"/>
  <c r="AU158" i="202"/>
  <c r="AU159" i="202"/>
  <c r="AU160" i="202"/>
  <c r="AU161" i="202"/>
  <c r="AU162" i="202"/>
  <c r="AU163" i="202"/>
  <c r="AU164" i="202"/>
  <c r="AU165" i="202"/>
  <c r="AU166" i="202"/>
  <c r="AU167" i="202"/>
  <c r="AU168" i="202"/>
  <c r="AU169" i="202"/>
  <c r="AU170" i="202"/>
  <c r="AU171" i="202"/>
  <c r="AU172" i="202"/>
  <c r="AU173" i="202"/>
  <c r="AU174" i="202"/>
  <c r="AU175" i="202"/>
  <c r="AU176" i="202"/>
  <c r="AU177" i="202"/>
  <c r="AU178" i="202"/>
  <c r="AU179" i="202"/>
  <c r="AU180" i="202"/>
  <c r="AU181" i="202"/>
  <c r="AU182" i="202"/>
  <c r="AU183" i="202"/>
  <c r="AU184" i="202"/>
  <c r="AU185" i="202"/>
  <c r="AU186" i="202"/>
  <c r="AU187" i="202"/>
  <c r="AU188" i="202"/>
  <c r="AU189" i="202"/>
  <c r="AU190" i="202"/>
  <c r="AU191" i="202"/>
  <c r="AU192" i="202"/>
  <c r="AU193" i="202"/>
  <c r="AU194" i="202"/>
  <c r="AU195" i="202"/>
  <c r="AU196" i="202"/>
  <c r="AU197" i="202"/>
  <c r="AU198" i="202"/>
  <c r="AU199" i="202"/>
  <c r="AU200" i="202"/>
  <c r="AU201" i="202"/>
  <c r="AU202" i="202"/>
  <c r="AU203" i="202"/>
  <c r="AU204" i="202"/>
  <c r="AU205" i="202"/>
  <c r="AU206" i="202"/>
  <c r="AU207" i="202"/>
  <c r="AU208" i="202"/>
  <c r="AU209" i="202"/>
  <c r="AU210" i="202"/>
  <c r="AU211" i="202"/>
  <c r="AU212" i="202"/>
  <c r="AU213" i="202"/>
  <c r="AU214" i="202"/>
  <c r="AU215" i="202"/>
  <c r="AU216" i="202"/>
  <c r="AU217" i="202"/>
  <c r="AU218" i="202"/>
  <c r="AU219" i="202"/>
  <c r="AU220" i="202"/>
  <c r="AU221" i="202"/>
  <c r="AU222" i="202"/>
  <c r="AU223" i="202"/>
  <c r="AU224" i="202"/>
  <c r="AU225" i="202"/>
  <c r="AU226" i="202"/>
  <c r="AU227" i="202"/>
  <c r="AU228" i="202"/>
  <c r="AU229" i="202"/>
  <c r="AU230" i="202"/>
  <c r="AU231" i="202"/>
  <c r="AU232" i="202"/>
  <c r="AU233" i="202"/>
  <c r="AU234" i="202"/>
  <c r="AU235" i="202"/>
  <c r="AU236" i="202"/>
  <c r="AU237" i="202"/>
  <c r="AU238" i="202"/>
  <c r="AU239" i="202"/>
  <c r="AU240" i="202"/>
  <c r="AU241" i="202"/>
  <c r="AU242" i="202"/>
  <c r="AU243" i="202"/>
  <c r="AU244" i="202"/>
  <c r="AU245" i="202"/>
  <c r="AU246" i="202"/>
  <c r="AU247" i="202"/>
  <c r="AU248" i="202"/>
  <c r="AU249" i="202"/>
  <c r="AU250" i="202"/>
  <c r="AU251" i="202"/>
  <c r="AU252" i="202"/>
  <c r="AU253" i="202"/>
  <c r="AU254" i="202"/>
  <c r="AU255" i="202"/>
  <c r="AU256" i="202"/>
  <c r="AU257" i="202"/>
  <c r="AU258" i="202"/>
  <c r="AU259" i="202"/>
  <c r="AU260" i="202"/>
  <c r="AU261" i="202"/>
  <c r="AU262" i="202"/>
  <c r="AU263" i="202"/>
  <c r="AU264" i="202"/>
  <c r="AU265" i="202"/>
  <c r="AU266" i="202"/>
  <c r="AU267" i="202"/>
  <c r="AU268" i="202"/>
  <c r="AU269" i="202"/>
  <c r="AU270" i="202"/>
  <c r="AU271" i="202"/>
  <c r="AU272" i="202"/>
  <c r="AU273" i="202"/>
  <c r="AU274" i="202"/>
  <c r="AU275" i="202"/>
  <c r="AU276" i="202"/>
  <c r="AU277" i="202"/>
  <c r="AU278" i="202"/>
  <c r="AU279" i="202"/>
  <c r="AU280" i="202"/>
  <c r="AU281" i="202"/>
  <c r="AU282" i="202"/>
  <c r="AU283" i="202"/>
  <c r="AU284" i="202"/>
  <c r="AU285" i="202"/>
  <c r="AU286" i="202"/>
  <c r="AU287" i="202"/>
  <c r="AU288" i="202"/>
  <c r="AU289" i="202"/>
  <c r="AU290" i="202"/>
  <c r="AU291" i="202"/>
  <c r="AU292" i="202"/>
  <c r="AU293" i="202"/>
  <c r="AU294" i="202"/>
  <c r="AU295" i="202"/>
  <c r="AU296" i="202"/>
  <c r="AU297" i="202"/>
  <c r="AU298" i="202"/>
  <c r="AU299" i="202"/>
  <c r="AU300" i="202"/>
  <c r="AU301" i="202"/>
  <c r="AU302" i="202"/>
  <c r="AU303" i="202"/>
  <c r="AU304" i="202"/>
  <c r="AU305" i="202"/>
  <c r="AU306" i="202"/>
  <c r="AU307" i="202"/>
  <c r="AU308" i="202"/>
  <c r="AU309" i="202"/>
  <c r="AU310" i="202"/>
  <c r="AU311" i="202"/>
  <c r="AU312" i="202"/>
  <c r="AU313" i="202"/>
  <c r="AU314" i="202"/>
  <c r="AU315" i="202"/>
  <c r="AU316" i="202"/>
  <c r="AU317" i="202"/>
  <c r="AU318" i="202"/>
  <c r="AU319" i="202"/>
  <c r="AU320" i="202"/>
  <c r="AU321" i="202"/>
  <c r="AU322" i="202"/>
  <c r="AU323" i="202"/>
  <c r="AU324" i="202"/>
  <c r="AU325" i="202"/>
  <c r="AU326" i="202"/>
  <c r="AU327" i="202"/>
  <c r="AU328" i="202"/>
  <c r="AU329" i="202"/>
  <c r="AU330" i="202"/>
  <c r="AU331" i="202"/>
  <c r="AU332" i="202"/>
  <c r="AU333" i="202"/>
  <c r="AU334" i="202"/>
  <c r="AU335" i="202"/>
  <c r="AU336" i="202"/>
  <c r="AU337" i="202"/>
  <c r="AU338" i="202"/>
  <c r="AU339" i="202"/>
  <c r="AU340" i="202"/>
  <c r="AU341" i="202"/>
  <c r="AU342" i="202"/>
  <c r="AU343" i="202"/>
  <c r="AU344" i="202"/>
  <c r="AU345" i="202"/>
  <c r="AU346" i="202"/>
  <c r="AU347" i="202"/>
  <c r="AU348" i="202"/>
  <c r="AU349" i="202"/>
  <c r="AU350" i="202"/>
  <c r="AU351" i="202"/>
  <c r="AU352" i="202"/>
  <c r="AU353" i="202"/>
  <c r="AU354" i="202"/>
  <c r="AU355" i="202"/>
  <c r="AU356" i="202"/>
  <c r="AU357" i="202"/>
  <c r="AU358" i="202"/>
  <c r="AU359" i="202"/>
  <c r="AU360" i="202"/>
  <c r="AU361" i="202"/>
  <c r="AU362" i="202"/>
  <c r="AU363" i="202"/>
  <c r="AU364" i="202"/>
  <c r="AU365" i="202"/>
  <c r="AU366" i="202"/>
  <c r="AU367" i="202"/>
  <c r="AU368" i="202"/>
  <c r="AU369" i="202"/>
  <c r="AU370" i="202"/>
  <c r="AU371" i="202"/>
  <c r="AU372" i="202"/>
  <c r="AU373" i="202"/>
  <c r="AU374" i="202"/>
  <c r="AU375" i="202"/>
  <c r="AU376" i="202"/>
  <c r="AU377" i="202"/>
  <c r="AU378" i="202"/>
  <c r="AU379" i="202"/>
  <c r="AU380" i="202"/>
  <c r="AU381" i="202"/>
  <c r="AU382" i="202"/>
  <c r="AU383" i="202"/>
  <c r="AU384" i="202"/>
  <c r="AU385" i="202"/>
  <c r="AU386" i="202"/>
  <c r="AU387" i="202"/>
  <c r="AU388" i="202"/>
  <c r="AU389" i="202"/>
  <c r="AU390" i="202"/>
  <c r="AU391" i="202"/>
  <c r="AU392" i="202"/>
  <c r="AU393" i="202"/>
  <c r="AU394" i="202"/>
  <c r="AU395" i="202"/>
  <c r="AU396" i="202"/>
  <c r="AU397" i="202"/>
  <c r="AU398" i="202"/>
  <c r="AU399" i="202"/>
  <c r="AU400" i="202"/>
  <c r="AU401" i="202"/>
  <c r="AU402" i="202"/>
  <c r="AU403" i="202"/>
  <c r="AU404" i="202"/>
  <c r="AU405" i="202"/>
  <c r="AU406" i="202"/>
  <c r="AU407" i="202"/>
  <c r="AU408" i="202"/>
  <c r="AU409" i="202"/>
  <c r="AU410" i="202"/>
  <c r="AU411" i="202"/>
  <c r="AU412" i="202"/>
  <c r="AU413" i="202"/>
  <c r="AU414" i="202"/>
  <c r="AU415" i="202"/>
  <c r="AU416" i="202"/>
  <c r="AU417" i="202"/>
  <c r="AU418" i="202"/>
  <c r="AU419" i="202"/>
  <c r="AU420" i="202"/>
  <c r="AU421" i="202"/>
  <c r="AU422" i="202"/>
  <c r="AU423" i="202"/>
  <c r="AU424" i="202"/>
  <c r="AU425" i="202"/>
  <c r="AU426" i="202"/>
  <c r="AU427" i="202"/>
  <c r="AU428" i="202"/>
  <c r="AU429" i="202"/>
  <c r="AU430" i="202"/>
  <c r="AU431" i="202"/>
  <c r="AU432" i="202"/>
  <c r="AU433" i="202"/>
  <c r="AU434" i="202"/>
  <c r="AU435" i="202"/>
  <c r="AU436" i="202"/>
  <c r="AU437" i="202"/>
  <c r="AU438" i="202"/>
  <c r="AU439" i="202"/>
  <c r="AU440" i="202"/>
  <c r="AU441" i="202"/>
  <c r="AU442" i="202"/>
  <c r="AU443" i="202"/>
  <c r="AU444" i="202"/>
  <c r="AU445" i="202"/>
  <c r="AU446" i="202"/>
  <c r="AU447" i="202"/>
  <c r="AU448" i="202"/>
  <c r="AU449" i="202"/>
  <c r="AU450" i="202"/>
  <c r="AU451" i="202"/>
  <c r="AU452" i="202"/>
  <c r="AU453" i="202"/>
  <c r="AU454" i="202"/>
  <c r="AU455" i="202"/>
  <c r="AU456" i="202"/>
  <c r="AU457" i="202"/>
  <c r="AU458" i="202"/>
  <c r="AU459" i="202"/>
  <c r="AU460" i="202"/>
  <c r="AU461" i="202"/>
  <c r="AU462" i="202"/>
  <c r="AU463" i="202"/>
  <c r="AU464" i="202"/>
  <c r="AU465" i="202"/>
  <c r="AU466" i="202"/>
  <c r="AU467" i="202"/>
  <c r="AU468" i="202"/>
  <c r="AU469" i="202"/>
  <c r="AU470" i="202"/>
  <c r="AU471" i="202"/>
  <c r="AU472" i="202"/>
  <c r="AU473" i="202"/>
  <c r="AU474" i="202"/>
  <c r="AU475" i="202"/>
  <c r="AU476" i="202"/>
  <c r="AU477" i="202"/>
  <c r="AU478" i="202"/>
  <c r="AU479" i="202"/>
  <c r="AU480" i="202"/>
  <c r="AU481" i="202"/>
  <c r="AU482" i="202"/>
  <c r="AU483" i="202"/>
  <c r="AU484" i="202"/>
  <c r="AU485" i="202"/>
  <c r="AU486" i="202"/>
  <c r="AU487" i="202"/>
  <c r="AU488" i="202"/>
  <c r="AU489" i="202"/>
  <c r="AU490" i="202"/>
  <c r="AU491" i="202"/>
  <c r="AU492" i="202"/>
  <c r="AU493" i="202"/>
  <c r="AU494" i="202"/>
  <c r="AU495" i="202"/>
  <c r="AU496" i="202"/>
  <c r="AU497" i="202"/>
  <c r="AU498" i="202"/>
  <c r="AU499" i="202"/>
  <c r="AU500" i="202"/>
  <c r="AU501" i="202"/>
  <c r="AU502" i="202"/>
  <c r="AU503" i="202"/>
  <c r="AU504" i="202"/>
  <c r="AU505" i="202"/>
  <c r="AU506" i="202"/>
  <c r="AU507" i="202"/>
  <c r="AU508" i="202"/>
  <c r="AU509" i="202"/>
  <c r="AU510" i="202"/>
  <c r="AU511" i="202"/>
  <c r="AU512" i="202"/>
  <c r="AU513" i="202"/>
  <c r="AU514" i="202"/>
  <c r="AU515" i="202"/>
  <c r="AU516" i="202"/>
  <c r="AU517" i="202"/>
  <c r="AU518" i="202"/>
  <c r="AU519" i="202"/>
  <c r="AU520" i="202"/>
  <c r="AU521" i="202"/>
  <c r="AU522" i="202"/>
  <c r="AU523" i="202"/>
  <c r="AU524" i="202"/>
  <c r="AU525" i="202"/>
  <c r="AU526" i="202"/>
  <c r="AU527" i="202"/>
  <c r="AU528" i="202"/>
  <c r="AU529" i="202"/>
  <c r="AU530" i="202"/>
  <c r="AU531" i="202"/>
  <c r="AU532" i="202"/>
  <c r="AU533" i="202"/>
  <c r="AU534" i="202"/>
  <c r="AU535" i="202"/>
  <c r="AU536" i="202"/>
  <c r="AU537" i="202"/>
  <c r="AU538" i="202"/>
  <c r="AU539" i="202"/>
  <c r="AU540" i="202"/>
  <c r="AU541" i="202"/>
  <c r="AU542" i="202"/>
  <c r="AU543" i="202"/>
  <c r="AU544" i="202"/>
  <c r="AU545" i="202"/>
  <c r="AU546" i="202"/>
  <c r="AU547" i="202"/>
  <c r="AU548" i="202"/>
  <c r="AU549" i="202"/>
  <c r="AU550" i="202"/>
  <c r="AU551" i="202"/>
  <c r="AU552" i="202"/>
  <c r="AU553" i="202"/>
  <c r="AU554" i="202"/>
  <c r="AU555" i="202"/>
  <c r="AU556" i="202"/>
  <c r="AU557" i="202"/>
  <c r="AU558" i="202"/>
  <c r="AU559" i="202"/>
  <c r="AU560" i="202"/>
  <c r="AU561" i="202"/>
  <c r="AU562" i="202"/>
  <c r="AU563" i="202"/>
  <c r="AU564" i="202"/>
  <c r="AU565" i="202"/>
  <c r="AU566" i="202"/>
  <c r="AU567" i="202"/>
  <c r="AU568" i="202"/>
  <c r="AU569" i="202"/>
  <c r="AU570" i="202"/>
  <c r="AU571" i="202"/>
  <c r="AU572" i="202"/>
  <c r="AU573" i="202"/>
  <c r="AU574" i="202"/>
  <c r="AU575" i="202"/>
  <c r="AU576" i="202"/>
  <c r="AU577" i="202"/>
  <c r="AU578" i="202"/>
  <c r="AU579" i="202"/>
  <c r="AU580" i="202"/>
  <c r="AU581" i="202"/>
  <c r="AU582" i="202"/>
  <c r="AU583" i="202"/>
  <c r="AU584" i="202"/>
  <c r="AU585" i="202"/>
  <c r="AU586" i="202"/>
  <c r="AU587" i="202"/>
  <c r="AU588" i="202"/>
  <c r="AU589" i="202"/>
  <c r="AU590" i="202"/>
  <c r="AU591" i="202"/>
  <c r="AU592" i="202"/>
  <c r="AU593" i="202"/>
  <c r="AU594" i="202"/>
  <c r="AU595" i="202"/>
  <c r="AU596" i="202"/>
  <c r="AU597" i="202"/>
  <c r="AU598" i="202"/>
  <c r="AU599" i="202"/>
  <c r="AU600" i="202"/>
  <c r="AU601" i="202"/>
  <c r="AU602" i="202"/>
  <c r="AU603" i="202"/>
  <c r="AU604" i="202"/>
  <c r="AU605" i="202"/>
  <c r="AU606" i="202"/>
  <c r="AU607" i="202"/>
  <c r="AU608" i="202"/>
  <c r="AU609" i="202"/>
  <c r="AU610" i="202"/>
  <c r="AU611" i="202"/>
  <c r="AU612" i="202"/>
  <c r="AU613" i="202"/>
  <c r="AU614" i="202"/>
  <c r="AU615" i="202"/>
  <c r="AU616" i="202"/>
  <c r="AU617" i="202"/>
  <c r="AU618" i="202"/>
  <c r="AU619" i="202"/>
  <c r="AU620" i="202"/>
  <c r="AU621" i="202"/>
  <c r="AU622" i="202"/>
  <c r="AU623" i="202"/>
  <c r="AU624" i="202"/>
  <c r="AU625" i="202"/>
  <c r="AU626" i="202"/>
  <c r="AU627" i="202"/>
  <c r="AU628" i="202"/>
  <c r="AU629" i="202"/>
  <c r="AU630" i="202"/>
  <c r="AU631" i="202"/>
  <c r="AU632" i="202"/>
  <c r="AU633" i="202"/>
  <c r="AU634" i="202"/>
  <c r="AU635" i="202"/>
  <c r="AU636" i="202"/>
  <c r="AU637" i="202"/>
  <c r="AU638" i="202"/>
  <c r="AU639" i="202"/>
  <c r="AU640" i="202"/>
  <c r="AU641" i="202"/>
  <c r="AU642" i="202"/>
  <c r="AU643" i="202"/>
  <c r="AU644" i="202"/>
  <c r="AU645" i="202"/>
  <c r="AU646" i="202"/>
  <c r="AU647" i="202"/>
  <c r="AU648" i="202"/>
  <c r="AU649" i="202"/>
  <c r="AU650" i="202"/>
  <c r="AU651" i="202"/>
  <c r="AU652" i="202"/>
  <c r="AU653" i="202"/>
  <c r="AU654" i="202"/>
  <c r="AU655" i="202"/>
  <c r="AU656" i="202"/>
  <c r="AU657" i="202"/>
  <c r="AU658" i="202"/>
  <c r="AU659" i="202"/>
  <c r="AU660" i="202"/>
  <c r="AU661" i="202"/>
  <c r="AU662" i="202"/>
  <c r="AU663" i="202"/>
  <c r="AU664" i="202"/>
  <c r="AU665" i="202"/>
  <c r="AU666" i="202"/>
  <c r="AU667" i="202"/>
  <c r="AU668" i="202"/>
  <c r="AU669" i="202"/>
  <c r="AU670" i="202"/>
  <c r="AU671" i="202"/>
  <c r="AU672" i="202"/>
  <c r="AU673" i="202"/>
  <c r="AU674" i="202"/>
  <c r="AU675" i="202"/>
  <c r="AU676" i="202"/>
  <c r="AU677" i="202"/>
  <c r="AU678" i="202"/>
  <c r="AU679" i="202"/>
  <c r="AU680" i="202"/>
  <c r="AU681" i="202"/>
  <c r="AU682" i="202"/>
  <c r="AU683" i="202"/>
  <c r="AU684" i="202"/>
  <c r="AU685" i="202"/>
  <c r="AU686" i="202"/>
  <c r="AU687" i="202"/>
  <c r="AU688" i="202"/>
  <c r="AU689" i="202"/>
  <c r="AU690" i="202"/>
  <c r="AU691" i="202"/>
  <c r="AU692" i="202"/>
  <c r="AU693" i="202"/>
  <c r="AU694" i="202"/>
  <c r="AU695" i="202"/>
  <c r="AU696" i="202"/>
  <c r="AU697" i="202"/>
  <c r="AU698" i="202"/>
  <c r="AU699" i="202"/>
  <c r="AU700" i="202"/>
  <c r="AU701" i="202"/>
  <c r="AU702" i="202"/>
  <c r="AU703" i="202"/>
  <c r="AU704" i="202"/>
  <c r="AU705" i="202"/>
  <c r="AU706" i="202"/>
  <c r="AU707" i="202"/>
  <c r="AU708" i="202"/>
  <c r="AU709" i="202"/>
  <c r="AU710" i="202"/>
  <c r="AU711" i="202"/>
  <c r="AU712" i="202"/>
  <c r="AU713" i="202"/>
  <c r="AU714" i="202"/>
  <c r="AU715" i="202"/>
  <c r="AU716" i="202"/>
  <c r="AU717" i="202"/>
  <c r="AU718" i="202"/>
  <c r="AU719" i="202"/>
  <c r="AU720" i="202"/>
  <c r="AU721" i="202"/>
  <c r="AU722" i="202"/>
  <c r="AU723" i="202"/>
  <c r="AU724" i="202"/>
  <c r="AU725" i="202"/>
  <c r="AU726" i="202"/>
  <c r="AU727" i="202"/>
  <c r="AU728" i="202"/>
  <c r="AU729" i="202"/>
  <c r="AU730" i="202"/>
  <c r="AU731" i="202"/>
  <c r="AU732" i="202"/>
  <c r="AU733" i="202"/>
  <c r="AU734" i="202"/>
  <c r="AU735" i="202"/>
  <c r="AU736" i="202"/>
  <c r="AU737" i="202"/>
  <c r="AU738" i="202"/>
  <c r="AU739" i="202"/>
  <c r="AU740" i="202"/>
  <c r="AU741" i="202"/>
  <c r="AU742" i="202"/>
  <c r="AU743" i="202"/>
  <c r="AU744" i="202"/>
  <c r="AU745" i="202"/>
  <c r="AU746" i="202"/>
  <c r="AU747" i="202"/>
  <c r="AU748" i="202"/>
  <c r="AU749" i="202"/>
  <c r="AU750" i="202"/>
  <c r="AU751" i="202"/>
  <c r="AU752" i="202"/>
  <c r="AU753" i="202"/>
  <c r="AU754" i="202"/>
  <c r="AU755" i="202"/>
  <c r="AU756" i="202"/>
  <c r="AU757" i="202"/>
  <c r="AU758" i="202"/>
  <c r="AU759" i="202"/>
  <c r="AU760" i="202"/>
  <c r="AU761" i="202"/>
  <c r="AU762" i="202"/>
  <c r="AU763" i="202"/>
  <c r="AU764" i="202"/>
  <c r="AU765" i="202"/>
  <c r="AU766" i="202"/>
  <c r="AU767" i="202"/>
  <c r="AU768" i="202"/>
  <c r="AU769" i="202"/>
  <c r="AU770" i="202"/>
  <c r="AU771" i="202"/>
  <c r="AU772" i="202"/>
  <c r="AU773" i="202"/>
  <c r="AU774" i="202"/>
  <c r="AU775" i="202"/>
  <c r="AU776" i="202"/>
  <c r="AU777" i="202"/>
  <c r="AU778" i="202"/>
  <c r="AU779" i="202"/>
  <c r="AU780" i="202"/>
  <c r="AU781" i="202"/>
  <c r="AU782" i="202"/>
  <c r="AU783" i="202"/>
  <c r="AU784" i="202"/>
  <c r="AU785" i="202"/>
  <c r="AU786" i="202"/>
  <c r="AU787" i="202"/>
  <c r="AU788" i="202"/>
  <c r="AU789" i="202"/>
  <c r="AU790" i="202"/>
  <c r="AU791" i="202"/>
  <c r="AU792" i="202"/>
  <c r="AU793" i="202"/>
  <c r="AU794" i="202"/>
  <c r="AU795" i="202"/>
  <c r="AU796" i="202"/>
  <c r="AU797" i="202"/>
  <c r="AU798" i="202"/>
  <c r="AU799" i="202"/>
  <c r="AU800" i="202"/>
  <c r="AU801" i="202"/>
  <c r="AU802" i="202"/>
  <c r="AU803" i="202"/>
  <c r="AU804" i="202"/>
  <c r="AU805" i="202"/>
  <c r="AU806" i="202"/>
  <c r="AU807" i="202"/>
  <c r="AU808" i="202"/>
  <c r="AU809" i="202"/>
  <c r="AU810" i="202"/>
  <c r="AU811" i="202"/>
  <c r="AU812" i="202"/>
  <c r="AU813" i="202"/>
  <c r="AU814" i="202"/>
  <c r="AU815" i="202"/>
  <c r="AU816" i="202"/>
  <c r="AU817" i="202"/>
  <c r="AU818" i="202"/>
  <c r="AU819" i="202"/>
  <c r="AU820" i="202"/>
  <c r="AU821" i="202"/>
  <c r="AU822" i="202"/>
  <c r="AU823" i="202"/>
  <c r="AU824" i="202"/>
  <c r="AU825" i="202"/>
  <c r="AU826" i="202"/>
  <c r="AU827" i="202"/>
  <c r="AU828" i="202"/>
  <c r="AU829" i="202"/>
  <c r="AU830" i="202"/>
  <c r="AU831" i="202"/>
  <c r="AU832" i="202"/>
  <c r="AU833" i="202"/>
  <c r="AU834" i="202"/>
  <c r="AU835" i="202"/>
  <c r="AU836" i="202"/>
  <c r="AU837" i="202"/>
  <c r="AU838" i="202"/>
  <c r="AU839" i="202"/>
  <c r="AU840" i="202"/>
  <c r="AU841" i="202"/>
  <c r="AU842" i="202"/>
  <c r="AU843" i="202"/>
  <c r="AU844" i="202"/>
  <c r="AU845" i="202"/>
  <c r="AU846" i="202"/>
  <c r="AU847" i="202"/>
  <c r="AU848" i="202"/>
  <c r="AU849" i="202"/>
  <c r="AU850" i="202"/>
  <c r="AU851" i="202"/>
  <c r="AU852" i="202"/>
  <c r="AU853" i="202"/>
  <c r="AU854" i="202"/>
  <c r="AU855" i="202"/>
  <c r="AU856" i="202"/>
  <c r="AU857" i="202"/>
  <c r="AU858" i="202"/>
  <c r="AU859" i="202"/>
  <c r="AU860" i="202"/>
  <c r="AU861" i="202"/>
  <c r="AU862" i="202"/>
  <c r="AU863" i="202"/>
  <c r="AU864" i="202"/>
  <c r="AU865" i="202"/>
  <c r="AU866" i="202"/>
  <c r="AU867" i="202"/>
  <c r="AU868" i="202"/>
  <c r="AU869" i="202"/>
  <c r="AU870" i="202"/>
  <c r="AU871" i="202"/>
  <c r="AU872" i="202"/>
  <c r="AU873" i="202"/>
  <c r="AU874" i="202"/>
  <c r="AU875" i="202"/>
  <c r="AU876" i="202"/>
  <c r="AU877" i="202"/>
  <c r="AU878" i="202"/>
  <c r="AU879" i="202"/>
  <c r="AU880" i="202"/>
  <c r="AU881" i="202"/>
  <c r="AU882" i="202"/>
  <c r="AU883" i="202"/>
  <c r="AU884" i="202"/>
  <c r="AU885" i="202"/>
  <c r="AU886" i="202"/>
  <c r="AU887" i="202"/>
  <c r="AU888" i="202"/>
  <c r="AU889" i="202"/>
  <c r="AU890" i="202"/>
  <c r="AU891" i="202"/>
  <c r="AU892" i="202"/>
  <c r="AU893" i="202"/>
  <c r="AU894" i="202"/>
  <c r="AU895" i="202"/>
  <c r="AU896" i="202"/>
  <c r="AU897" i="202"/>
  <c r="AU898" i="202"/>
  <c r="AU899" i="202"/>
  <c r="AU900" i="202"/>
  <c r="AU901" i="202"/>
  <c r="AU902" i="202"/>
  <c r="AU903" i="202"/>
  <c r="AU904" i="202"/>
  <c r="AU905" i="202"/>
  <c r="AU906" i="202"/>
  <c r="AU907" i="202"/>
  <c r="AU908" i="202"/>
  <c r="AU909" i="202"/>
  <c r="AU910" i="202"/>
  <c r="AU911" i="202"/>
  <c r="AU912" i="202"/>
  <c r="AU913" i="202"/>
  <c r="AU914" i="202"/>
  <c r="AU915" i="202"/>
  <c r="AU916" i="202"/>
  <c r="AU917" i="202"/>
  <c r="AU918" i="202"/>
  <c r="AU919" i="202"/>
  <c r="AU920" i="202"/>
  <c r="AU921" i="202"/>
  <c r="AU922" i="202"/>
  <c r="AU923" i="202"/>
  <c r="AU924" i="202"/>
  <c r="AU925" i="202"/>
  <c r="AU926" i="202"/>
  <c r="AU927" i="202"/>
  <c r="AU928" i="202"/>
  <c r="AU929" i="202"/>
  <c r="AU930" i="202"/>
  <c r="AU931" i="202"/>
  <c r="AU932" i="202"/>
  <c r="AU933" i="202"/>
  <c r="AU934" i="202"/>
  <c r="AU935" i="202"/>
  <c r="AU936" i="202"/>
  <c r="AU937" i="202"/>
  <c r="AU938" i="202"/>
  <c r="AU939" i="202"/>
  <c r="AU940" i="202"/>
  <c r="AU941" i="202"/>
  <c r="AU942" i="202"/>
  <c r="AU943" i="202"/>
  <c r="AU944" i="202"/>
  <c r="AU945" i="202"/>
  <c r="AU946" i="202"/>
  <c r="AU947" i="202"/>
  <c r="AU948" i="202"/>
  <c r="AU949" i="202"/>
  <c r="AU950" i="202"/>
  <c r="AU951" i="202"/>
  <c r="AU952" i="202"/>
  <c r="AU953" i="202"/>
  <c r="AU954" i="202"/>
  <c r="AU955" i="202"/>
  <c r="AU956" i="202"/>
  <c r="AU957" i="202"/>
  <c r="AU958" i="202"/>
  <c r="AU959" i="202"/>
  <c r="AU960" i="202"/>
  <c r="AU961" i="202"/>
  <c r="AU962" i="202"/>
  <c r="AU963" i="202"/>
  <c r="AU964" i="202"/>
  <c r="AU965" i="202"/>
  <c r="AU966" i="202"/>
  <c r="AU967" i="202"/>
  <c r="AU968" i="202"/>
  <c r="AU969" i="202"/>
  <c r="AU970" i="202"/>
  <c r="AU971" i="202"/>
  <c r="AU972" i="202"/>
  <c r="AU973" i="202"/>
  <c r="AU974" i="202"/>
  <c r="AU975" i="202"/>
  <c r="AU976" i="202"/>
  <c r="AU977" i="202"/>
  <c r="AU978" i="202"/>
  <c r="AU979" i="202"/>
  <c r="AU980" i="202"/>
  <c r="AU981" i="202"/>
  <c r="AU982" i="202"/>
  <c r="AU983" i="202"/>
  <c r="AU984" i="202"/>
  <c r="AU985" i="202"/>
  <c r="AU986" i="202"/>
  <c r="AU987" i="202"/>
  <c r="AU988" i="202"/>
  <c r="AU989" i="202"/>
  <c r="AU990" i="202"/>
  <c r="AU991" i="202"/>
  <c r="AU992" i="202"/>
  <c r="AU993" i="202"/>
  <c r="AU994" i="202"/>
  <c r="AU995" i="202"/>
  <c r="AU996" i="202"/>
  <c r="AU997" i="202"/>
  <c r="AU998" i="202"/>
  <c r="AU999" i="202"/>
  <c r="AU1000" i="202"/>
  <c r="AU1001" i="202"/>
  <c r="AU1002" i="202"/>
  <c r="AU1003" i="202"/>
  <c r="AU1004" i="202"/>
  <c r="AU1005" i="202"/>
  <c r="AU1006" i="202"/>
  <c r="AU1007" i="202"/>
  <c r="AU1008" i="202"/>
  <c r="AU1009" i="202"/>
  <c r="AU1010" i="202"/>
  <c r="AU1011" i="202"/>
  <c r="AU1012" i="202"/>
  <c r="AU1013" i="202"/>
  <c r="AU1014" i="202"/>
  <c r="AU1015" i="202"/>
  <c r="AU1016" i="202"/>
  <c r="AU1017" i="202"/>
  <c r="AU1018" i="202"/>
  <c r="AU1019" i="202"/>
  <c r="AU1020" i="202"/>
  <c r="AU1021" i="202"/>
  <c r="AU1022" i="202"/>
  <c r="AU1023" i="202"/>
  <c r="AU1024" i="202"/>
  <c r="AU1025" i="202"/>
  <c r="AU1026" i="202"/>
  <c r="AU1027" i="202"/>
  <c r="AU1028" i="202"/>
  <c r="AU1029" i="202"/>
  <c r="AU1030" i="202"/>
  <c r="AU1031" i="202"/>
  <c r="AU1032" i="202"/>
  <c r="AU1033" i="202"/>
  <c r="AU1034" i="202"/>
  <c r="AU1035" i="202"/>
  <c r="AU1036" i="202"/>
  <c r="AU1037" i="202"/>
  <c r="AU1038" i="202"/>
  <c r="AU1039" i="202"/>
  <c r="AU1040" i="202"/>
  <c r="AU1041" i="202"/>
  <c r="AU1042" i="202"/>
  <c r="AU1043" i="202"/>
  <c r="AU1044" i="202"/>
  <c r="AU1045" i="202"/>
  <c r="AU1046" i="202"/>
  <c r="AU1047" i="202"/>
  <c r="AU1048" i="202"/>
  <c r="AU1049" i="202"/>
  <c r="AU1050" i="202"/>
  <c r="AU1051" i="202"/>
  <c r="AU1052" i="202"/>
  <c r="AU1053" i="202"/>
  <c r="AU1054" i="202"/>
  <c r="AU1055" i="202"/>
  <c r="AU1056" i="202"/>
  <c r="AU1057" i="202"/>
  <c r="AU1058" i="202"/>
  <c r="AU1059" i="202"/>
  <c r="AU1060" i="202"/>
  <c r="AU1061" i="202"/>
  <c r="AU1062" i="202"/>
  <c r="AU1063" i="202"/>
  <c r="AU1064" i="202"/>
  <c r="AU1065" i="202"/>
  <c r="AU1066" i="202"/>
  <c r="AU1067" i="202"/>
  <c r="AU1068" i="202"/>
  <c r="AU1069" i="202"/>
  <c r="AU1070" i="202"/>
  <c r="AU1071" i="202"/>
  <c r="AU1072" i="202"/>
  <c r="AU1073" i="202"/>
  <c r="AU1074" i="202"/>
  <c r="AU1075" i="202"/>
  <c r="AU1076" i="202"/>
  <c r="AU1077" i="202"/>
  <c r="AU1078" i="202"/>
  <c r="AU1079" i="202"/>
  <c r="AU1080" i="202"/>
  <c r="AU1081" i="202"/>
  <c r="AU1082" i="202"/>
  <c r="AU1083" i="202"/>
  <c r="AU1084" i="202"/>
  <c r="AU1085" i="202"/>
  <c r="AU1086" i="202"/>
  <c r="AU1087" i="202"/>
  <c r="AU1088" i="202"/>
  <c r="AU1089" i="202"/>
  <c r="AU1090" i="202"/>
  <c r="AU1091" i="202"/>
  <c r="AU1092" i="202"/>
  <c r="AU1093" i="202"/>
  <c r="AU1094" i="202"/>
  <c r="AU1095" i="202"/>
  <c r="AU1096" i="202"/>
  <c r="AU1097" i="202"/>
  <c r="AU1098" i="202"/>
  <c r="AU1099" i="202"/>
  <c r="AU1100" i="202"/>
  <c r="AU1101" i="202"/>
  <c r="AU1102" i="202"/>
  <c r="AU1103" i="202"/>
  <c r="AU1104" i="202"/>
  <c r="AU1105" i="202"/>
  <c r="AU1106" i="202"/>
  <c r="AU1107" i="202"/>
  <c r="AU1108" i="202"/>
  <c r="AU1109" i="202"/>
  <c r="AU1110" i="202"/>
  <c r="AU1111" i="202"/>
  <c r="AU1112" i="202"/>
  <c r="AU1113" i="202"/>
  <c r="AU1114" i="202"/>
  <c r="AU1115" i="202"/>
  <c r="AU1116" i="202"/>
  <c r="AU1117" i="202"/>
  <c r="AU1118" i="202"/>
  <c r="AU1119" i="202"/>
  <c r="AU1120" i="202"/>
  <c r="AU1121" i="202"/>
  <c r="AU1122" i="202"/>
  <c r="AU1123" i="202"/>
  <c r="AU1124" i="202"/>
  <c r="AU1125" i="202"/>
  <c r="AU1126" i="202"/>
  <c r="AU1127" i="202"/>
  <c r="AU1128" i="202"/>
  <c r="AU1129" i="202"/>
  <c r="AU1130" i="202"/>
  <c r="AU1131" i="202"/>
  <c r="AU1132" i="202"/>
  <c r="AU1133" i="202"/>
  <c r="AU1134" i="202"/>
  <c r="AU1135" i="202"/>
  <c r="AU1136" i="202"/>
  <c r="AU1137" i="202"/>
  <c r="AU1138" i="202"/>
  <c r="AU1139" i="202"/>
  <c r="AU1140" i="202"/>
  <c r="AU1141" i="202"/>
  <c r="AU1142" i="202"/>
  <c r="AU1143" i="202"/>
  <c r="AU1144" i="202"/>
  <c r="AU1145" i="202"/>
  <c r="AU1146" i="202"/>
  <c r="AU1147" i="202"/>
  <c r="AU1148" i="202"/>
  <c r="AU1149" i="202"/>
  <c r="AU1150" i="202"/>
  <c r="AU1151" i="202"/>
  <c r="AU1152" i="202"/>
  <c r="AU1153" i="202"/>
  <c r="AU1154" i="202"/>
  <c r="AU1155" i="202"/>
  <c r="AU1156" i="202"/>
  <c r="AU1157" i="202"/>
  <c r="AU1158" i="202"/>
  <c r="AU1159" i="202"/>
  <c r="AU1160" i="202"/>
  <c r="AU1161" i="202"/>
  <c r="AU1162" i="202"/>
  <c r="AU1163" i="202"/>
  <c r="AU1164" i="202"/>
  <c r="AU1165" i="202"/>
  <c r="AU1166" i="202"/>
  <c r="AU1167" i="202"/>
  <c r="AU1168" i="202"/>
  <c r="AU1169" i="202"/>
  <c r="AU1170" i="202"/>
  <c r="AU1171" i="202"/>
  <c r="AU1172" i="202"/>
  <c r="AU1173" i="202"/>
  <c r="AU1174" i="202"/>
  <c r="AU1175" i="202"/>
  <c r="AU1176" i="202"/>
  <c r="AU1177" i="202"/>
  <c r="AU1178" i="202"/>
  <c r="AU1179" i="202"/>
  <c r="AU1180" i="202"/>
  <c r="AU1181" i="202"/>
  <c r="AU1182" i="202"/>
  <c r="AU1183" i="202"/>
  <c r="AU1184" i="202"/>
  <c r="AU1185" i="202"/>
  <c r="AU1186" i="202"/>
  <c r="AU1187" i="202"/>
  <c r="AU1188" i="202"/>
  <c r="AU1189" i="202"/>
  <c r="AU1190" i="202"/>
  <c r="AU1191" i="202"/>
  <c r="AU1192" i="202"/>
  <c r="AU1193" i="202"/>
  <c r="AU1194" i="202"/>
  <c r="AU1195" i="202"/>
  <c r="AU1196" i="202"/>
  <c r="AU1197" i="202"/>
  <c r="AU1198" i="202"/>
  <c r="AU1199" i="202"/>
  <c r="AU1200" i="202"/>
  <c r="AU1201" i="202"/>
  <c r="AU1202" i="202"/>
  <c r="AU1203" i="202"/>
  <c r="AU1204" i="202"/>
  <c r="AU1205" i="202"/>
  <c r="AU1206" i="202"/>
  <c r="AU1207" i="202"/>
  <c r="AU1208" i="202"/>
  <c r="AU1209" i="202"/>
  <c r="AU1210" i="202"/>
  <c r="AU1211" i="202"/>
  <c r="AU1212" i="202"/>
  <c r="AU1213" i="202"/>
  <c r="AU1214" i="202"/>
  <c r="AU1215" i="202"/>
  <c r="AU1216" i="202"/>
  <c r="AU1217" i="202"/>
  <c r="AU1218" i="202"/>
  <c r="AU1219" i="202"/>
  <c r="AU1220" i="202"/>
  <c r="AU1221" i="202"/>
  <c r="AU1222" i="202"/>
  <c r="AU1223" i="202"/>
  <c r="AU1224" i="202"/>
  <c r="AU1225" i="202"/>
  <c r="AU1226" i="202"/>
  <c r="AU1227" i="202"/>
  <c r="AU1228" i="202"/>
  <c r="AU1229" i="202"/>
  <c r="AU1230" i="202"/>
  <c r="AU1231" i="202"/>
  <c r="AU1232" i="202"/>
  <c r="AU1233" i="202"/>
  <c r="AU1234" i="202"/>
  <c r="AU1235" i="202"/>
  <c r="AU1236" i="202"/>
  <c r="AU1237" i="202"/>
  <c r="AU1238" i="202"/>
  <c r="AU1239" i="202"/>
  <c r="AU1240" i="202"/>
  <c r="AU1241" i="202"/>
  <c r="AU1242" i="202"/>
  <c r="AU1243" i="202"/>
  <c r="AU1244" i="202"/>
  <c r="AU1245" i="202"/>
  <c r="AU1246" i="202"/>
  <c r="AU1247" i="202"/>
  <c r="AU1248" i="202"/>
  <c r="AU1249" i="202"/>
  <c r="AU1250" i="202"/>
  <c r="AU1251" i="202"/>
  <c r="AU1252" i="202"/>
  <c r="AU1253" i="202"/>
  <c r="AU1254" i="202"/>
  <c r="AU1255" i="202"/>
  <c r="AU1256" i="202"/>
  <c r="AU1257" i="202"/>
  <c r="AU1258" i="202"/>
  <c r="AU1259" i="202"/>
  <c r="AU1260" i="202"/>
  <c r="AU1261" i="202"/>
  <c r="AU1262" i="202"/>
  <c r="AU1263" i="202"/>
  <c r="AU1264" i="202"/>
  <c r="AU1265" i="202"/>
  <c r="AU1266" i="202"/>
  <c r="AU1267" i="202"/>
  <c r="AU1268" i="202"/>
  <c r="AU1269" i="202"/>
  <c r="AU1270" i="202"/>
  <c r="AU1271" i="202"/>
  <c r="AU1272" i="202"/>
  <c r="AU1273" i="202"/>
  <c r="AU1274" i="202"/>
  <c r="AU1275" i="202"/>
  <c r="AU1276" i="202"/>
  <c r="AU1277" i="202"/>
  <c r="AU1278" i="202"/>
  <c r="AU1279" i="202"/>
  <c r="AU1280" i="202"/>
  <c r="AU1281" i="202"/>
  <c r="AU1282" i="202"/>
  <c r="AU1283" i="202"/>
  <c r="AU1284" i="202"/>
  <c r="AU1285" i="202"/>
  <c r="AU1286" i="202"/>
  <c r="AU1287" i="202"/>
  <c r="AU1288" i="202"/>
  <c r="AU1289" i="202"/>
  <c r="AU1290" i="202"/>
  <c r="AU1291" i="202"/>
  <c r="AU1292" i="202"/>
  <c r="AU1293" i="202"/>
  <c r="AU1294" i="202"/>
  <c r="AU1295" i="202"/>
  <c r="AU1296" i="202"/>
  <c r="AU1297" i="202"/>
  <c r="AU1298" i="202"/>
  <c r="AU1299" i="202"/>
  <c r="AU1300" i="202"/>
  <c r="AU1301" i="202"/>
  <c r="AU1302" i="202"/>
  <c r="AU1303" i="202"/>
  <c r="AU1304" i="202"/>
  <c r="AU1305" i="202"/>
  <c r="AU1306" i="202"/>
  <c r="AU1307" i="202"/>
  <c r="AU1308" i="202"/>
  <c r="AU1309" i="202"/>
  <c r="AU1310" i="202"/>
  <c r="AU1311" i="202"/>
  <c r="AU1312" i="202"/>
  <c r="AU1313" i="202"/>
  <c r="AU1314" i="202"/>
  <c r="AU1315" i="202"/>
  <c r="AU1316" i="202"/>
  <c r="AU1317" i="202"/>
  <c r="AU1318" i="202"/>
  <c r="AU1319" i="202"/>
  <c r="AU1320" i="202"/>
  <c r="AU1321" i="202"/>
  <c r="AU1322" i="202"/>
  <c r="AU1323" i="202"/>
  <c r="AU1324" i="202"/>
  <c r="AU1325" i="202"/>
  <c r="AU1326" i="202"/>
  <c r="AU1327" i="202"/>
  <c r="AU1328" i="202"/>
  <c r="AU1329" i="202"/>
  <c r="AU1330" i="202"/>
  <c r="AU1331" i="202"/>
  <c r="AU1332" i="202"/>
  <c r="AU1333" i="202"/>
  <c r="AU1334" i="202"/>
  <c r="AU1335" i="202"/>
  <c r="AU1336" i="202"/>
  <c r="AU1337" i="202"/>
  <c r="AU1338" i="202"/>
  <c r="AU1339" i="202"/>
  <c r="AU1340" i="202"/>
  <c r="AU1341" i="202"/>
  <c r="AU1342" i="202"/>
  <c r="AU1343" i="202"/>
  <c r="AU1344" i="202"/>
  <c r="AU1345" i="202"/>
  <c r="AU1346" i="202"/>
  <c r="AU1347" i="202"/>
  <c r="AU1348" i="202"/>
  <c r="AU1349" i="202"/>
  <c r="AU1350" i="202"/>
  <c r="AU1351" i="202"/>
  <c r="AU1352" i="202"/>
  <c r="AU1353" i="202"/>
  <c r="AU1354" i="202"/>
  <c r="AU1355" i="202"/>
  <c r="AU1356" i="202"/>
  <c r="AU1357" i="202"/>
  <c r="AU1358" i="202"/>
  <c r="AU1359" i="202"/>
  <c r="AU1360" i="202"/>
  <c r="AU1361" i="202"/>
  <c r="AU1362" i="202"/>
  <c r="AU1363" i="202"/>
  <c r="AU1364" i="202"/>
  <c r="AU1365" i="202"/>
  <c r="AU1366" i="202"/>
  <c r="AU1367" i="202"/>
  <c r="AU1368" i="202"/>
  <c r="AU1369" i="202"/>
  <c r="AU1370" i="202"/>
  <c r="AU1371" i="202"/>
  <c r="AU1372" i="202"/>
  <c r="AU1373" i="202"/>
  <c r="AU1374" i="202"/>
  <c r="AU1375" i="202"/>
  <c r="AU1376" i="202"/>
  <c r="AU1377" i="202"/>
  <c r="AU1378" i="202"/>
  <c r="AU1379" i="202"/>
  <c r="AU1380" i="202"/>
  <c r="AU1381" i="202"/>
  <c r="AU1382" i="202"/>
  <c r="AU1383" i="202"/>
  <c r="AU1384" i="202"/>
  <c r="AU1385" i="202"/>
  <c r="AU1386" i="202"/>
  <c r="AU1387" i="202"/>
  <c r="AU1388" i="202"/>
  <c r="AU1389" i="202"/>
  <c r="AU1390" i="202"/>
  <c r="AU1391" i="202"/>
  <c r="AU1392" i="202"/>
  <c r="AU1393" i="202"/>
  <c r="AU1394" i="202"/>
  <c r="AU1395" i="202"/>
  <c r="AU1396" i="202"/>
  <c r="AU1397" i="202"/>
  <c r="AU1398" i="202"/>
  <c r="AU1399" i="202"/>
  <c r="AU1400" i="202"/>
  <c r="AU1401" i="202"/>
  <c r="AU1402" i="202"/>
  <c r="AU1403" i="202"/>
  <c r="AU1404" i="202"/>
  <c r="AU1405" i="202"/>
  <c r="AU1406" i="202"/>
  <c r="AU1407" i="202"/>
  <c r="AU1408" i="202"/>
  <c r="AU1409" i="202"/>
  <c r="AU1410" i="202"/>
  <c r="AU1411" i="202"/>
  <c r="AU1412" i="202"/>
  <c r="AU1413" i="202"/>
  <c r="AU1414" i="202"/>
  <c r="AU1415" i="202"/>
  <c r="AU1416" i="202"/>
  <c r="AU1417" i="202"/>
  <c r="AU1418" i="202"/>
  <c r="AU1419" i="202"/>
  <c r="AU1420" i="202"/>
  <c r="AU1421" i="202"/>
  <c r="AU1422" i="202"/>
  <c r="AU1423" i="202"/>
  <c r="AU1424" i="202"/>
  <c r="AU1425" i="202"/>
  <c r="AU1426" i="202"/>
  <c r="AU1427" i="202"/>
  <c r="AU1428" i="202"/>
  <c r="AU1429" i="202"/>
  <c r="AU1430" i="202"/>
  <c r="AU1431" i="202"/>
  <c r="AU1432" i="202"/>
  <c r="AU1433" i="202"/>
  <c r="AU1434" i="202"/>
  <c r="AU1435" i="202"/>
  <c r="AU1436" i="202"/>
  <c r="AU1437" i="202"/>
  <c r="AU1438" i="202"/>
  <c r="AU1439" i="202"/>
  <c r="AU1440" i="202"/>
  <c r="AU1441" i="202"/>
  <c r="AU1442" i="202"/>
  <c r="AU1443" i="202"/>
  <c r="AU1444" i="202"/>
  <c r="AU1445" i="202"/>
  <c r="AU1446" i="202"/>
  <c r="AU1447" i="202"/>
  <c r="AU1448" i="202"/>
  <c r="AU1449" i="202"/>
  <c r="AU1450" i="202"/>
  <c r="AU1451" i="202"/>
  <c r="AU1452" i="202"/>
  <c r="AU1453" i="202"/>
  <c r="AU1454" i="202"/>
  <c r="AU1455" i="202"/>
  <c r="AU1456" i="202"/>
  <c r="AU1457" i="202"/>
  <c r="AU1458" i="202"/>
  <c r="AU1459" i="202"/>
  <c r="AU1460" i="202"/>
  <c r="AU1461" i="202"/>
  <c r="AU1462" i="202"/>
  <c r="AU1463" i="202"/>
  <c r="AU1464" i="202"/>
  <c r="AU1465" i="202"/>
  <c r="AU1466" i="202"/>
  <c r="AU1467" i="202"/>
  <c r="AU1468" i="202"/>
  <c r="AU1469" i="202"/>
  <c r="AU1470" i="202"/>
  <c r="AU1471" i="202"/>
  <c r="AU1472" i="202"/>
  <c r="AU1473" i="202"/>
  <c r="AU1474" i="202"/>
  <c r="AU1475" i="202"/>
  <c r="AU1476" i="202"/>
  <c r="AU1477" i="202"/>
  <c r="AU1478" i="202"/>
  <c r="AU1479" i="202"/>
  <c r="AU1480" i="202"/>
  <c r="AU1481" i="202"/>
  <c r="AU1482" i="202"/>
  <c r="AU1483" i="202"/>
  <c r="AU1484" i="202"/>
  <c r="AU1485" i="202"/>
  <c r="AU1486" i="202"/>
  <c r="AU1487" i="202"/>
  <c r="AU1488" i="202"/>
  <c r="AU1489" i="202"/>
  <c r="AU1490" i="202"/>
  <c r="AU1491" i="202"/>
  <c r="AU1492" i="202"/>
  <c r="AU1493" i="202"/>
  <c r="AU1494" i="202"/>
  <c r="AU1495" i="202"/>
  <c r="AU1496" i="202"/>
  <c r="AU1497" i="202"/>
  <c r="AU1498" i="202"/>
  <c r="AU1499" i="202"/>
  <c r="AU1500" i="202"/>
  <c r="AU1501" i="202"/>
  <c r="AU1502" i="202"/>
  <c r="AU1503" i="202"/>
  <c r="AU1504" i="202"/>
  <c r="AU1505" i="202"/>
  <c r="AU1506" i="202"/>
  <c r="AU1507" i="202"/>
  <c r="AU1508" i="202"/>
  <c r="AU1509" i="202"/>
  <c r="AU1510" i="202"/>
  <c r="AU1511" i="202"/>
  <c r="AU1512" i="202"/>
  <c r="AU1513" i="202"/>
  <c r="AU1514" i="202"/>
  <c r="AU1515" i="202"/>
  <c r="AU1516" i="202"/>
  <c r="AU1517" i="202"/>
  <c r="AU1518" i="202"/>
  <c r="AU1519" i="202"/>
  <c r="AU1520" i="202"/>
  <c r="AU1521" i="202"/>
  <c r="AU1522" i="202"/>
  <c r="AU1523" i="202"/>
  <c r="AU1524" i="202"/>
  <c r="AU1525" i="202"/>
  <c r="AU1526" i="202"/>
  <c r="AU1527" i="202"/>
  <c r="AU1528" i="202"/>
  <c r="AU1529" i="202"/>
  <c r="AU1530" i="202"/>
  <c r="AU1531" i="202"/>
  <c r="AU1532" i="202"/>
  <c r="AU1533" i="202"/>
  <c r="AU1534" i="202"/>
  <c r="AU1535" i="202"/>
  <c r="AU1536" i="202"/>
  <c r="AU1537" i="202"/>
  <c r="AU1538" i="202"/>
  <c r="AU1539" i="202"/>
  <c r="AU1540" i="202"/>
  <c r="AU1541" i="202"/>
  <c r="AU1542" i="202"/>
  <c r="AU1543" i="202"/>
  <c r="AU1544" i="202"/>
  <c r="AU1545" i="202"/>
  <c r="AU1546" i="202"/>
  <c r="AU1547" i="202"/>
  <c r="AU1548" i="202"/>
  <c r="AU1549" i="202"/>
  <c r="AU1550" i="202"/>
  <c r="AU1551" i="202"/>
  <c r="AU1552" i="202"/>
  <c r="AU1553" i="202"/>
  <c r="AU1554" i="202"/>
  <c r="AU1555" i="202"/>
  <c r="AU1556" i="202"/>
  <c r="AU1557" i="202"/>
  <c r="AU1558" i="202"/>
  <c r="AU1559" i="202"/>
  <c r="AU1560" i="202"/>
  <c r="AU1561" i="202"/>
  <c r="AU1562" i="202"/>
  <c r="AU1563" i="202"/>
  <c r="AU1564" i="202"/>
  <c r="AU1565" i="202"/>
  <c r="AU1566" i="202"/>
  <c r="AU1567" i="202"/>
  <c r="AU1568" i="202"/>
  <c r="AU1569" i="202"/>
  <c r="AU1570" i="202"/>
  <c r="AU1571" i="202"/>
  <c r="AU1572" i="202"/>
  <c r="AU1573" i="202"/>
  <c r="AU1574" i="202"/>
  <c r="AU1575" i="202"/>
  <c r="AU1576" i="202"/>
  <c r="AU1577" i="202"/>
  <c r="AU1578" i="202"/>
  <c r="AU1579" i="202"/>
  <c r="AU1580" i="202"/>
  <c r="AU1581" i="202"/>
  <c r="AU1582" i="202"/>
  <c r="AU1583" i="202"/>
  <c r="AU1584" i="202"/>
  <c r="AU1585" i="202"/>
  <c r="AU1586" i="202"/>
  <c r="AU1587" i="202"/>
  <c r="AU1588" i="202"/>
  <c r="AU1589" i="202"/>
  <c r="AU1590" i="202"/>
  <c r="AU1591" i="202"/>
  <c r="AU1592" i="202"/>
  <c r="AU1593" i="202"/>
  <c r="AU1594" i="202"/>
  <c r="AU1595" i="202"/>
  <c r="AU1596" i="202"/>
  <c r="AU1597" i="202"/>
  <c r="AU1598" i="202"/>
  <c r="AU1599" i="202"/>
  <c r="AU1600" i="202"/>
  <c r="AU1601" i="202"/>
  <c r="AU1602" i="202"/>
  <c r="AU1603" i="202"/>
  <c r="AU1604" i="202"/>
  <c r="AU1605" i="202"/>
  <c r="AU1606" i="202"/>
  <c r="AU1607" i="202"/>
  <c r="AU1608" i="202"/>
  <c r="AU1609" i="202"/>
  <c r="AU1610" i="202"/>
  <c r="AU1611" i="202"/>
  <c r="AU1612" i="202"/>
  <c r="AU1613" i="202"/>
  <c r="AU1614" i="202"/>
  <c r="AU1615" i="202"/>
  <c r="AU1616" i="202"/>
  <c r="AU1617" i="202"/>
  <c r="AU1618" i="202"/>
  <c r="AU1619" i="202"/>
  <c r="AU1620" i="202"/>
  <c r="AU1621" i="202"/>
  <c r="AU1622" i="202"/>
  <c r="AU1623" i="202"/>
  <c r="AU1624" i="202"/>
  <c r="AU1625" i="202"/>
  <c r="AU1626" i="202"/>
  <c r="AU1627" i="202"/>
  <c r="AU1628" i="202"/>
  <c r="AU1629" i="202"/>
  <c r="AU1630" i="202"/>
  <c r="AU1631" i="202"/>
  <c r="AU1632" i="202"/>
  <c r="AU1633" i="202"/>
  <c r="AU1634" i="202"/>
  <c r="AU1635" i="202"/>
  <c r="AU1636" i="202"/>
  <c r="AU1637" i="202"/>
  <c r="AU1638" i="202"/>
  <c r="AU1639" i="202"/>
  <c r="AU1640" i="202"/>
  <c r="AU1641" i="202"/>
  <c r="AU1642" i="202"/>
  <c r="AU1643" i="202"/>
  <c r="AU1644" i="202"/>
  <c r="AU1645" i="202"/>
  <c r="AU1646" i="202"/>
  <c r="AU1647" i="202"/>
  <c r="AU1648" i="202"/>
  <c r="AU1649" i="202"/>
  <c r="AU1650" i="202"/>
  <c r="AU1651" i="202"/>
  <c r="AU1652" i="202"/>
  <c r="AU1653" i="202"/>
  <c r="AU1654" i="202"/>
  <c r="AU1655" i="202"/>
  <c r="AU1656" i="202"/>
  <c r="AU1657" i="202"/>
  <c r="AU1658" i="202"/>
  <c r="AU1659" i="202"/>
  <c r="AU1660" i="202"/>
  <c r="AU1661" i="202"/>
  <c r="AU1662" i="202"/>
  <c r="AU1663" i="202"/>
  <c r="AU1664" i="202"/>
  <c r="AU1665" i="202"/>
  <c r="AU1666" i="202"/>
  <c r="AU1667" i="202"/>
  <c r="AU1668" i="202"/>
  <c r="AU1669" i="202"/>
  <c r="AU1670" i="202"/>
  <c r="AU1671" i="202"/>
  <c r="AU1672" i="202"/>
  <c r="AU1673" i="202"/>
  <c r="AU1674" i="202"/>
  <c r="AU1675" i="202"/>
  <c r="AU1676" i="202"/>
  <c r="AU1677" i="202"/>
  <c r="AU1678" i="202"/>
  <c r="AU1679" i="202"/>
  <c r="AU1680" i="202"/>
  <c r="AU1681" i="202"/>
  <c r="AU1682" i="202"/>
  <c r="AU1683" i="202"/>
  <c r="AU1684" i="202"/>
  <c r="AU1685" i="202"/>
  <c r="AU1686" i="202"/>
  <c r="AU1687" i="202"/>
  <c r="AU1688" i="202"/>
  <c r="AU1689" i="202"/>
  <c r="AU1690" i="202"/>
  <c r="AU1691" i="202"/>
  <c r="AU1692" i="202"/>
  <c r="AU1693" i="202"/>
  <c r="AU1694" i="202"/>
  <c r="AU1695" i="202"/>
  <c r="AU1696" i="202"/>
  <c r="AU1697" i="202"/>
  <c r="AU1698" i="202"/>
  <c r="AU1699" i="202"/>
  <c r="AU1700" i="202"/>
  <c r="AU1701" i="202"/>
  <c r="AU1702" i="202"/>
  <c r="AU1703" i="202"/>
  <c r="AU1704" i="202"/>
  <c r="AU1705" i="202"/>
  <c r="AU1706" i="202"/>
  <c r="AU1707" i="202"/>
  <c r="AU1708" i="202"/>
  <c r="AU1709" i="202"/>
  <c r="AU1710" i="202"/>
  <c r="AU1711" i="202"/>
  <c r="AU1712" i="202"/>
  <c r="AU1713" i="202"/>
  <c r="AU1714" i="202"/>
  <c r="AU1715" i="202"/>
  <c r="AU1716" i="202"/>
  <c r="AU1717" i="202"/>
  <c r="AU1718" i="202"/>
  <c r="AU1719" i="202"/>
  <c r="AU1720" i="202"/>
  <c r="AU1721" i="202"/>
  <c r="AU1722" i="202"/>
  <c r="AU1723" i="202"/>
  <c r="AU1724" i="202"/>
  <c r="AU1725" i="202"/>
  <c r="AU1726" i="202"/>
  <c r="AU1727" i="202"/>
  <c r="AU1728" i="202"/>
  <c r="AU1729" i="202"/>
  <c r="AU1730" i="202"/>
  <c r="AU1731" i="202"/>
  <c r="AU1732" i="202"/>
  <c r="AU1733" i="202"/>
  <c r="AU1734" i="202"/>
  <c r="AU1735" i="202"/>
  <c r="AU1736" i="202"/>
  <c r="AU1737" i="202"/>
  <c r="AU1738" i="202"/>
  <c r="AU1739" i="202"/>
  <c r="AU1740" i="202"/>
  <c r="AU1741" i="202"/>
  <c r="AU1742" i="202"/>
  <c r="AU1743" i="202"/>
  <c r="AU1744" i="202"/>
  <c r="AU1745" i="202"/>
  <c r="AU1746" i="202"/>
  <c r="AU1747" i="202"/>
  <c r="AU1748" i="202"/>
  <c r="AU1749" i="202"/>
  <c r="AU1750" i="202"/>
  <c r="AU1751" i="202"/>
  <c r="AU1752" i="202"/>
  <c r="AU1753" i="202"/>
  <c r="AU1754" i="202"/>
  <c r="AU1755" i="202"/>
  <c r="AU1756" i="202"/>
  <c r="AU1757" i="202"/>
  <c r="AU1758" i="202"/>
  <c r="AU1759" i="202"/>
  <c r="AU1760" i="202"/>
  <c r="AU1761" i="202"/>
  <c r="AU1762" i="202"/>
  <c r="AU1763" i="202"/>
  <c r="AU1764" i="202"/>
  <c r="AU1765" i="202"/>
  <c r="AU1766" i="202"/>
  <c r="AU1767" i="202"/>
  <c r="AU1768" i="202"/>
  <c r="AU1769" i="202"/>
  <c r="AU1770" i="202"/>
  <c r="AU1771" i="202"/>
  <c r="AU1772" i="202"/>
  <c r="AU1773" i="202"/>
  <c r="AU1774" i="202"/>
  <c r="AU1775" i="202"/>
  <c r="AU1776" i="202"/>
  <c r="AU1777" i="202"/>
  <c r="AU1778" i="202"/>
  <c r="AU1779" i="202"/>
  <c r="AU1780" i="202"/>
  <c r="AU1781" i="202"/>
  <c r="AU1782" i="202"/>
  <c r="AU1783" i="202"/>
  <c r="AU1784" i="202"/>
  <c r="AU1785" i="202"/>
  <c r="AU1786" i="202"/>
  <c r="AU1787" i="202"/>
  <c r="AU1788" i="202"/>
  <c r="AU1789" i="202"/>
  <c r="AU1790" i="202"/>
  <c r="AU1791" i="202"/>
  <c r="AU1792" i="202"/>
  <c r="AU1793" i="202"/>
  <c r="AU1794" i="202"/>
  <c r="AU1795" i="202"/>
  <c r="AU1796" i="202"/>
  <c r="AU1797" i="202"/>
  <c r="AU1798" i="202"/>
  <c r="AU1799" i="202"/>
  <c r="AU1800" i="202"/>
  <c r="AU1801" i="202"/>
  <c r="AU1802" i="202"/>
  <c r="AU1803" i="202"/>
  <c r="AU1804" i="202"/>
  <c r="AU1805" i="202"/>
  <c r="AU1806" i="202"/>
  <c r="AU1807" i="202"/>
  <c r="AU1808" i="202"/>
  <c r="AU1809" i="202"/>
  <c r="AU1810" i="202"/>
  <c r="AU1811" i="202"/>
  <c r="AU1812" i="202"/>
  <c r="AU1813" i="202"/>
  <c r="AU1814" i="202"/>
  <c r="AU1815" i="202"/>
  <c r="AU1816" i="202"/>
  <c r="AU1817" i="202"/>
  <c r="AU1818" i="202"/>
  <c r="AU1819" i="202"/>
  <c r="AU1820" i="202"/>
  <c r="AU1821" i="202"/>
  <c r="AU1822" i="202"/>
  <c r="AU1823" i="202"/>
  <c r="AU1824" i="202"/>
  <c r="AU1825" i="202"/>
  <c r="AU1826" i="202"/>
  <c r="AU1827" i="202"/>
  <c r="AU1828" i="202"/>
  <c r="AU1829" i="202"/>
  <c r="AU1830" i="202"/>
  <c r="AU1831" i="202"/>
  <c r="AU1832" i="202"/>
  <c r="AU1833" i="202"/>
  <c r="AU1834" i="202"/>
  <c r="AU1835" i="202"/>
  <c r="AU1836" i="202"/>
  <c r="AU1837" i="202"/>
  <c r="AU1838" i="202"/>
  <c r="AU1839" i="202"/>
  <c r="AU1840" i="202"/>
  <c r="AU1841" i="202"/>
  <c r="AU1842" i="202"/>
  <c r="AU1843" i="202"/>
  <c r="AU1844" i="202"/>
  <c r="AU1845" i="202"/>
  <c r="AU1846" i="202"/>
  <c r="AU1847" i="202"/>
  <c r="AU1848" i="202"/>
  <c r="AU1849" i="202"/>
  <c r="AU1850" i="202"/>
  <c r="AU1851" i="202"/>
  <c r="AU1852" i="202"/>
  <c r="AU1853" i="202"/>
  <c r="AU1854" i="202"/>
  <c r="AU1855" i="202"/>
  <c r="AU1856" i="202"/>
  <c r="AU1857" i="202"/>
  <c r="AU1858" i="202"/>
  <c r="AU1859" i="202"/>
  <c r="AU1860" i="202"/>
  <c r="AU1861" i="202"/>
  <c r="AU1862" i="202"/>
  <c r="AU1863" i="202"/>
  <c r="AU1864" i="202"/>
  <c r="AU1865" i="202"/>
  <c r="AU1866" i="202"/>
  <c r="AU1867" i="202"/>
  <c r="AU1868" i="202"/>
  <c r="AU1869" i="202"/>
  <c r="AU1870" i="202"/>
  <c r="AU1871" i="202"/>
  <c r="AU1872" i="202"/>
  <c r="AU1873" i="202"/>
  <c r="AU1874" i="202"/>
  <c r="AU1875" i="202"/>
  <c r="AU1876" i="202"/>
  <c r="AU1877" i="202"/>
  <c r="AU1878" i="202"/>
  <c r="AU1879" i="202"/>
  <c r="AU1880" i="202"/>
  <c r="AU1881" i="202"/>
  <c r="AU1882" i="202"/>
  <c r="AU1883" i="202"/>
  <c r="AU1884" i="202"/>
  <c r="AU1885" i="202"/>
  <c r="AU1886" i="202"/>
  <c r="AU1887" i="202"/>
  <c r="AU1888" i="202"/>
  <c r="AU1889" i="202"/>
  <c r="AU1890" i="202"/>
  <c r="AU1891" i="202"/>
  <c r="AU1892" i="202"/>
  <c r="AU1893" i="202"/>
  <c r="AU1894" i="202"/>
  <c r="AU1895" i="202"/>
  <c r="AU1896" i="202"/>
  <c r="AU1897" i="202"/>
  <c r="AU1898" i="202"/>
  <c r="AU1899" i="202"/>
  <c r="AU1900" i="202"/>
  <c r="AU1901" i="202"/>
  <c r="AU1902" i="202"/>
  <c r="AU1903" i="202"/>
  <c r="AU1904" i="202"/>
  <c r="AU1905" i="202"/>
  <c r="AU1906" i="202"/>
  <c r="AU1907" i="202"/>
  <c r="AU1908" i="202"/>
  <c r="AU1909" i="202"/>
  <c r="AU1910" i="202"/>
  <c r="AU1911" i="202"/>
  <c r="AU1912" i="202"/>
  <c r="AU1913" i="202"/>
  <c r="AU1914" i="202"/>
  <c r="AU1915" i="202"/>
  <c r="AU1916" i="202"/>
  <c r="AU1917" i="202"/>
  <c r="AU1918" i="202"/>
  <c r="AU1919" i="202"/>
  <c r="AU1920" i="202"/>
  <c r="AU1921" i="202"/>
  <c r="AU1922" i="202"/>
  <c r="AU1923" i="202"/>
  <c r="AU1924" i="202"/>
  <c r="AU1925" i="202"/>
  <c r="AU1926" i="202"/>
  <c r="AU1927" i="202"/>
  <c r="AU1928" i="202"/>
  <c r="AU1929" i="202"/>
  <c r="AU1930" i="202"/>
  <c r="AU1931" i="202"/>
  <c r="AU1932" i="202"/>
  <c r="AU1933" i="202"/>
  <c r="AU1934" i="202"/>
  <c r="AU1935" i="202"/>
  <c r="AU1936" i="202"/>
  <c r="AU1937" i="202"/>
  <c r="AU1938" i="202"/>
  <c r="AU1939" i="202"/>
  <c r="AU1940" i="202"/>
  <c r="AU1941" i="202"/>
  <c r="AU1942" i="202"/>
  <c r="AU1943" i="202"/>
  <c r="AU1944" i="202"/>
  <c r="AU1945" i="202"/>
  <c r="AU1946" i="202"/>
  <c r="AU1947" i="202"/>
  <c r="AU1948" i="202"/>
  <c r="AU1949" i="202"/>
  <c r="AU1950" i="202"/>
  <c r="AU1951" i="202"/>
  <c r="AU1952" i="202"/>
  <c r="AU1953" i="202"/>
  <c r="AU1954" i="202"/>
  <c r="AU1955" i="202"/>
  <c r="AU1956" i="202"/>
  <c r="AU1957" i="202"/>
  <c r="AU1958" i="202"/>
  <c r="AU1959" i="202"/>
  <c r="AU1960" i="202"/>
  <c r="AU1961" i="202"/>
  <c r="AU1962" i="202"/>
  <c r="AU1963" i="202"/>
  <c r="AU1964" i="202"/>
  <c r="AU1965" i="202"/>
  <c r="AU1966" i="202"/>
  <c r="AU1967" i="202"/>
  <c r="AU1968" i="202"/>
  <c r="AU1969" i="202"/>
  <c r="AU1970" i="202"/>
  <c r="AU1971" i="202"/>
  <c r="AU1972" i="202"/>
  <c r="AU1973" i="202"/>
  <c r="AU1974" i="202"/>
  <c r="AU1975" i="202"/>
  <c r="AU1976" i="202"/>
  <c r="AU1977" i="202"/>
  <c r="AU1978" i="202"/>
  <c r="AU1979" i="202"/>
  <c r="AU1980" i="202"/>
  <c r="AU1981" i="202"/>
  <c r="AU1982" i="202"/>
  <c r="AU1983" i="202"/>
  <c r="AU1984" i="202"/>
  <c r="AU1985" i="202"/>
  <c r="AU1986" i="202"/>
  <c r="AU1987" i="202"/>
  <c r="AU1988" i="202"/>
  <c r="AU1989" i="202"/>
  <c r="AU1990" i="202"/>
  <c r="AU1991" i="202"/>
  <c r="AU1992" i="202"/>
  <c r="AU1993" i="202"/>
  <c r="AU1994" i="202"/>
  <c r="AU1995" i="202"/>
  <c r="AU1996" i="202"/>
  <c r="AU1997" i="202"/>
  <c r="AU1998" i="202"/>
  <c r="AU1999" i="202"/>
  <c r="AU2000" i="202"/>
  <c r="AU2001" i="202"/>
  <c r="AU2002" i="202"/>
  <c r="AU2003" i="202"/>
  <c r="AU2004" i="202"/>
  <c r="AU2005" i="202"/>
  <c r="AU2006" i="202"/>
  <c r="AU2007" i="202"/>
  <c r="AU2008" i="202"/>
  <c r="AU2009" i="202"/>
  <c r="AU2010" i="202"/>
  <c r="AU2011" i="202"/>
  <c r="AU2012" i="202"/>
  <c r="AU2013" i="202"/>
  <c r="AU2014" i="202"/>
  <c r="AU2015" i="202"/>
  <c r="AU2016" i="202"/>
  <c r="AU2017" i="202"/>
  <c r="AU2018" i="202"/>
  <c r="AU2019" i="202"/>
  <c r="AU2020" i="202"/>
  <c r="AU2021" i="202"/>
  <c r="AU2022" i="202"/>
  <c r="AU2023" i="202"/>
  <c r="AU2024" i="202"/>
  <c r="AU2025" i="202"/>
  <c r="AU2026" i="202"/>
  <c r="AU2027" i="202"/>
  <c r="AU2028" i="202"/>
  <c r="AU2029" i="202"/>
  <c r="AU2030" i="202"/>
  <c r="AU2031" i="202"/>
  <c r="AU2032" i="202"/>
  <c r="AU2033" i="202"/>
  <c r="AU2034" i="202"/>
  <c r="AU2035" i="202"/>
  <c r="AU2036" i="202"/>
  <c r="AU2037" i="202"/>
  <c r="AU2038" i="202"/>
  <c r="AU2039" i="202"/>
  <c r="AU2040" i="202"/>
  <c r="AU2041" i="202"/>
  <c r="AU2042" i="202"/>
  <c r="AU2043" i="202"/>
  <c r="AU2044" i="202"/>
  <c r="AU2045" i="202"/>
  <c r="AU2046" i="202"/>
  <c r="AU2047" i="202"/>
  <c r="AU2048" i="202"/>
  <c r="AG2" i="202"/>
  <c r="AG3" i="202"/>
  <c r="AG4" i="202"/>
  <c r="AG5" i="202"/>
  <c r="AG6" i="202"/>
  <c r="AG7" i="202"/>
  <c r="AG8" i="202"/>
  <c r="AG9" i="202"/>
  <c r="AG10" i="202"/>
  <c r="AG11" i="202"/>
  <c r="AG12" i="202"/>
  <c r="AG13" i="202"/>
  <c r="AG14" i="202"/>
  <c r="AG15" i="202"/>
  <c r="AG16" i="202"/>
  <c r="AG17" i="202"/>
  <c r="AG18" i="202"/>
  <c r="AG19" i="202"/>
  <c r="AG20" i="202"/>
  <c r="AG21" i="202"/>
  <c r="AG22" i="202"/>
  <c r="AG23" i="202"/>
  <c r="AG24" i="202"/>
  <c r="AG25" i="202"/>
  <c r="AG26" i="202"/>
  <c r="AG27" i="202"/>
  <c r="AG28" i="202"/>
  <c r="AG29" i="202"/>
  <c r="AG30" i="202"/>
  <c r="AG31" i="202"/>
  <c r="AG32" i="202"/>
  <c r="AG33" i="202"/>
  <c r="AG34" i="202"/>
  <c r="AG35" i="202"/>
  <c r="AG36" i="202"/>
  <c r="AG37" i="202"/>
  <c r="AG38" i="202"/>
  <c r="AG39" i="202"/>
  <c r="AG40" i="202"/>
  <c r="AG41" i="202"/>
  <c r="AG42" i="202"/>
  <c r="AG43" i="202"/>
  <c r="AG44" i="202"/>
  <c r="AG45" i="202"/>
  <c r="AG46" i="202"/>
  <c r="AG47" i="202"/>
  <c r="AG48" i="202"/>
  <c r="AG49" i="202"/>
  <c r="AG50" i="202"/>
  <c r="AG51" i="202"/>
  <c r="AG52" i="202"/>
  <c r="AG53" i="202"/>
  <c r="AG54" i="202"/>
  <c r="AG55" i="202"/>
  <c r="AG56" i="202"/>
  <c r="AG57" i="202"/>
  <c r="AG58" i="202"/>
  <c r="AG59" i="202"/>
  <c r="AG60" i="202"/>
  <c r="AG61" i="202"/>
  <c r="AG62" i="202"/>
  <c r="AG63" i="202"/>
  <c r="AG64" i="202"/>
  <c r="AG65" i="202"/>
  <c r="AG66" i="202"/>
  <c r="AG67" i="202"/>
  <c r="AG68" i="202"/>
  <c r="AG69" i="202"/>
  <c r="AG70" i="202"/>
  <c r="AG71" i="202"/>
  <c r="AG72" i="202"/>
  <c r="AG73" i="202"/>
  <c r="AG74" i="202"/>
  <c r="AG75" i="202"/>
  <c r="AG76" i="202"/>
  <c r="AG77" i="202"/>
  <c r="AG78" i="202"/>
  <c r="AG79" i="202"/>
  <c r="AG80" i="202"/>
  <c r="AG81" i="202"/>
  <c r="AG82" i="202"/>
  <c r="AG83" i="202"/>
  <c r="AG84" i="202"/>
  <c r="AG85" i="202"/>
  <c r="AG86" i="202"/>
  <c r="AG87" i="202"/>
  <c r="AG88" i="202"/>
  <c r="AG89" i="202"/>
  <c r="AG90" i="202"/>
  <c r="AG91" i="202"/>
  <c r="AG92" i="202"/>
  <c r="AG93" i="202"/>
  <c r="AG94" i="202"/>
  <c r="AG95" i="202"/>
  <c r="AG96" i="202"/>
  <c r="AG97" i="202"/>
  <c r="AG98" i="202"/>
  <c r="AG99" i="202"/>
  <c r="AG100" i="202"/>
  <c r="AG101" i="202"/>
  <c r="AG102" i="202"/>
  <c r="AG103" i="202"/>
  <c r="AG104" i="202"/>
  <c r="AG105" i="202"/>
  <c r="AG106" i="202"/>
  <c r="AG107" i="202"/>
  <c r="AG108" i="202"/>
  <c r="AG109" i="202"/>
  <c r="AG110" i="202"/>
  <c r="AG111" i="202"/>
  <c r="AG112" i="202"/>
  <c r="AG113" i="202"/>
  <c r="AG114" i="202"/>
  <c r="AG115" i="202"/>
  <c r="AG116" i="202"/>
  <c r="AG117" i="202"/>
  <c r="AG118" i="202"/>
  <c r="AG119" i="202"/>
  <c r="AG120" i="202"/>
  <c r="AG121" i="202"/>
  <c r="AG122" i="202"/>
  <c r="AG123" i="202"/>
  <c r="AG124" i="202"/>
  <c r="AG125" i="202"/>
  <c r="AG126" i="202"/>
  <c r="AG127" i="202"/>
  <c r="AG128" i="202"/>
  <c r="AG129" i="202"/>
  <c r="AG130" i="202"/>
  <c r="AG131" i="202"/>
  <c r="AG132" i="202"/>
  <c r="AG133" i="202"/>
  <c r="AG134" i="202"/>
  <c r="AG135" i="202"/>
  <c r="AG136" i="202"/>
  <c r="AG137" i="202"/>
  <c r="AG138" i="202"/>
  <c r="AG139" i="202"/>
  <c r="AG140" i="202"/>
  <c r="AG141" i="202"/>
  <c r="AG142" i="202"/>
  <c r="AG143" i="202"/>
  <c r="AG144" i="202"/>
  <c r="AG145" i="202"/>
  <c r="AG146" i="202"/>
  <c r="AG147" i="202"/>
  <c r="AG148" i="202"/>
  <c r="AG149" i="202"/>
  <c r="AG150" i="202"/>
  <c r="AG151" i="202"/>
  <c r="AG152" i="202"/>
  <c r="AG153" i="202"/>
  <c r="AG154" i="202"/>
  <c r="AG155" i="202"/>
  <c r="AG156" i="202"/>
  <c r="AG157" i="202"/>
  <c r="AG158" i="202"/>
  <c r="AG159" i="202"/>
  <c r="AG160" i="202"/>
  <c r="AG161" i="202"/>
  <c r="AG162" i="202"/>
  <c r="AG163" i="202"/>
  <c r="AG164" i="202"/>
  <c r="AG165" i="202"/>
  <c r="AG166" i="202"/>
  <c r="AG167" i="202"/>
  <c r="AG168" i="202"/>
  <c r="AG169" i="202"/>
  <c r="AG170" i="202"/>
  <c r="AG171" i="202"/>
  <c r="AG172" i="202"/>
  <c r="AG173" i="202"/>
  <c r="AG174" i="202"/>
  <c r="AG175" i="202"/>
  <c r="AG176" i="202"/>
  <c r="AG177" i="202"/>
  <c r="AG178" i="202"/>
  <c r="AG179" i="202"/>
  <c r="AG180" i="202"/>
  <c r="AG181" i="202"/>
  <c r="AG182" i="202"/>
  <c r="AG183" i="202"/>
  <c r="AG184" i="202"/>
  <c r="AG185" i="202"/>
  <c r="AG186" i="202"/>
  <c r="AG187" i="202"/>
  <c r="AG188" i="202"/>
  <c r="AG189" i="202"/>
  <c r="AG190" i="202"/>
  <c r="AG191" i="202"/>
  <c r="AG192" i="202"/>
  <c r="AG193" i="202"/>
  <c r="AG194" i="202"/>
  <c r="AG195" i="202"/>
  <c r="AG196" i="202"/>
  <c r="AG197" i="202"/>
  <c r="AG198" i="202"/>
  <c r="AG199" i="202"/>
  <c r="AG200" i="202"/>
  <c r="AG201" i="202"/>
  <c r="AG202" i="202"/>
  <c r="AG203" i="202"/>
  <c r="AG204" i="202"/>
  <c r="AG205" i="202"/>
  <c r="AG206" i="202"/>
  <c r="AG207" i="202"/>
  <c r="AG208" i="202"/>
  <c r="AG209" i="202"/>
  <c r="AG210" i="202"/>
  <c r="AG211" i="202"/>
  <c r="AG212" i="202"/>
  <c r="AG213" i="202"/>
  <c r="AG214" i="202"/>
  <c r="AG215" i="202"/>
  <c r="AG216" i="202"/>
  <c r="AG217" i="202"/>
  <c r="AG218" i="202"/>
  <c r="AG219" i="202"/>
  <c r="AG220" i="202"/>
  <c r="AG221" i="202"/>
  <c r="AG222" i="202"/>
  <c r="AG223" i="202"/>
  <c r="AG224" i="202"/>
  <c r="AG225" i="202"/>
  <c r="AG226" i="202"/>
  <c r="AG227" i="202"/>
  <c r="AG228" i="202"/>
  <c r="AG229" i="202"/>
  <c r="AG230" i="202"/>
  <c r="AG231" i="202"/>
  <c r="AG232" i="202"/>
  <c r="AG233" i="202"/>
  <c r="AG234" i="202"/>
  <c r="AG235" i="202"/>
  <c r="AG236" i="202"/>
  <c r="AG237" i="202"/>
  <c r="AG238" i="202"/>
  <c r="AG239" i="202"/>
  <c r="AG240" i="202"/>
  <c r="AG241" i="202"/>
  <c r="AG242" i="202"/>
  <c r="AG243" i="202"/>
  <c r="AG244" i="202"/>
  <c r="AG245" i="202"/>
  <c r="AG246" i="202"/>
  <c r="AG247" i="202"/>
  <c r="AG248" i="202"/>
  <c r="AG249" i="202"/>
  <c r="AG250" i="202"/>
  <c r="AG251" i="202"/>
  <c r="AG252" i="202"/>
  <c r="AG253" i="202"/>
  <c r="AG254" i="202"/>
  <c r="AG255" i="202"/>
  <c r="AG256" i="202"/>
  <c r="AG257" i="202"/>
  <c r="AG258" i="202"/>
  <c r="AG259" i="202"/>
  <c r="AG260" i="202"/>
  <c r="AG261" i="202"/>
  <c r="AG262" i="202"/>
  <c r="AG263" i="202"/>
  <c r="AG264" i="202"/>
  <c r="AG265" i="202"/>
  <c r="AG266" i="202"/>
  <c r="AG267" i="202"/>
  <c r="AG268" i="202"/>
  <c r="AG269" i="202"/>
  <c r="AG270" i="202"/>
  <c r="AG271" i="202"/>
  <c r="AG272" i="202"/>
  <c r="AG273" i="202"/>
  <c r="AG274" i="202"/>
  <c r="AG275" i="202"/>
  <c r="AG276" i="202"/>
  <c r="AG277" i="202"/>
  <c r="AG278" i="202"/>
  <c r="AG279" i="202"/>
  <c r="AG280" i="202"/>
  <c r="AG281" i="202"/>
  <c r="AG282" i="202"/>
  <c r="AG283" i="202"/>
  <c r="AG284" i="202"/>
  <c r="AG285" i="202"/>
  <c r="AG286" i="202"/>
  <c r="AG287" i="202"/>
  <c r="AG288" i="202"/>
  <c r="AG289" i="202"/>
  <c r="AG290" i="202"/>
  <c r="AG291" i="202"/>
  <c r="AG292" i="202"/>
  <c r="AG293" i="202"/>
  <c r="AG294" i="202"/>
  <c r="AG295" i="202"/>
  <c r="AG296" i="202"/>
  <c r="AG297" i="202"/>
  <c r="AG298" i="202"/>
  <c r="AG299" i="202"/>
  <c r="AG300" i="202"/>
  <c r="AG301" i="202"/>
  <c r="AG302" i="202"/>
  <c r="AG303" i="202"/>
  <c r="AG304" i="202"/>
  <c r="AG305" i="202"/>
  <c r="AG306" i="202"/>
  <c r="AG307" i="202"/>
  <c r="AG308" i="202"/>
  <c r="AG309" i="202"/>
  <c r="AG310" i="202"/>
  <c r="AG311" i="202"/>
  <c r="AG312" i="202"/>
  <c r="AG313" i="202"/>
  <c r="AG314" i="202"/>
  <c r="AG315" i="202"/>
  <c r="AG316" i="202"/>
  <c r="AG317" i="202"/>
  <c r="AG318" i="202"/>
  <c r="AG319" i="202"/>
  <c r="AG320" i="202"/>
  <c r="AG321" i="202"/>
  <c r="AG322" i="202"/>
  <c r="AG323" i="202"/>
  <c r="AG324" i="202"/>
  <c r="AG325" i="202"/>
  <c r="AG326" i="202"/>
  <c r="AG327" i="202"/>
  <c r="AG328" i="202"/>
  <c r="AG329" i="202"/>
  <c r="AG330" i="202"/>
  <c r="AG331" i="202"/>
  <c r="AG332" i="202"/>
  <c r="AG333" i="202"/>
  <c r="AG334" i="202"/>
  <c r="AG335" i="202"/>
  <c r="AG336" i="202"/>
  <c r="AG337" i="202"/>
  <c r="AG338" i="202"/>
  <c r="AG339" i="202"/>
  <c r="AG340" i="202"/>
  <c r="AG341" i="202"/>
  <c r="AG342" i="202"/>
  <c r="AG343" i="202"/>
  <c r="AG344" i="202"/>
  <c r="AG345" i="202"/>
  <c r="AG346" i="202"/>
  <c r="AG347" i="202"/>
  <c r="AG348" i="202"/>
  <c r="AG349" i="202"/>
  <c r="AG350" i="202"/>
  <c r="AG351" i="202"/>
  <c r="AG352" i="202"/>
  <c r="AG353" i="202"/>
  <c r="AG354" i="202"/>
  <c r="AG355" i="202"/>
  <c r="AG356" i="202"/>
  <c r="AG357" i="202"/>
  <c r="AG358" i="202"/>
  <c r="AG359" i="202"/>
  <c r="AG360" i="202"/>
  <c r="AG361" i="202"/>
  <c r="AG362" i="202"/>
  <c r="AG363" i="202"/>
  <c r="AG364" i="202"/>
  <c r="AG365" i="202"/>
  <c r="AG366" i="202"/>
  <c r="AG367" i="202"/>
  <c r="AG368" i="202"/>
  <c r="AG369" i="202"/>
  <c r="AG370" i="202"/>
  <c r="AG371" i="202"/>
  <c r="AG372" i="202"/>
  <c r="AG373" i="202"/>
  <c r="AG374" i="202"/>
  <c r="AG375" i="202"/>
  <c r="AG376" i="202"/>
  <c r="AG377" i="202"/>
  <c r="AG378" i="202"/>
  <c r="AG379" i="202"/>
  <c r="AG380" i="202"/>
  <c r="AG381" i="202"/>
  <c r="AG382" i="202"/>
  <c r="AG383" i="202"/>
  <c r="AG384" i="202"/>
  <c r="AG385" i="202"/>
  <c r="AG386" i="202"/>
  <c r="AG387" i="202"/>
  <c r="AG388" i="202"/>
  <c r="AG389" i="202"/>
  <c r="AG390" i="202"/>
  <c r="AG391" i="202"/>
  <c r="AG392" i="202"/>
  <c r="AG393" i="202"/>
  <c r="AG394" i="202"/>
  <c r="AG395" i="202"/>
  <c r="AG396" i="202"/>
  <c r="AG397" i="202"/>
  <c r="AG398" i="202"/>
  <c r="AG399" i="202"/>
  <c r="AG400" i="202"/>
  <c r="AG401" i="202"/>
  <c r="AG402" i="202"/>
  <c r="AG403" i="202"/>
  <c r="AG404" i="202"/>
  <c r="AG405" i="202"/>
  <c r="AG406" i="202"/>
  <c r="AG407" i="202"/>
  <c r="AG408" i="202"/>
  <c r="AG409" i="202"/>
  <c r="AG410" i="202"/>
  <c r="AG411" i="202"/>
  <c r="AG412" i="202"/>
  <c r="AG413" i="202"/>
  <c r="AG414" i="202"/>
  <c r="AG415" i="202"/>
  <c r="AG416" i="202"/>
  <c r="AG417" i="202"/>
  <c r="AG418" i="202"/>
  <c r="AG419" i="202"/>
  <c r="AG420" i="202"/>
  <c r="AG421" i="202"/>
  <c r="AG422" i="202"/>
  <c r="AG423" i="202"/>
  <c r="AG424" i="202"/>
  <c r="AG425" i="202"/>
  <c r="AG426" i="202"/>
  <c r="AG427" i="202"/>
  <c r="AG428" i="202"/>
  <c r="AG429" i="202"/>
  <c r="AG430" i="202"/>
  <c r="AG431" i="202"/>
  <c r="AG432" i="202"/>
  <c r="AG433" i="202"/>
  <c r="AG434" i="202"/>
  <c r="AG435" i="202"/>
  <c r="AG436" i="202"/>
  <c r="AG437" i="202"/>
  <c r="AG438" i="202"/>
  <c r="AG439" i="202"/>
  <c r="AG440" i="202"/>
  <c r="AG441" i="202"/>
  <c r="AG442" i="202"/>
  <c r="AG443" i="202"/>
  <c r="AG444" i="202"/>
  <c r="AG445" i="202"/>
  <c r="AG446" i="202"/>
  <c r="AG447" i="202"/>
  <c r="AG448" i="202"/>
  <c r="AG449" i="202"/>
  <c r="AG450" i="202"/>
  <c r="AG451" i="202"/>
  <c r="AG452" i="202"/>
  <c r="AG453" i="202"/>
  <c r="AG454" i="202"/>
  <c r="AG455" i="202"/>
  <c r="AG456" i="202"/>
  <c r="AG457" i="202"/>
  <c r="AG458" i="202"/>
  <c r="AG459" i="202"/>
  <c r="AG460" i="202"/>
  <c r="AG461" i="202"/>
  <c r="AG462" i="202"/>
  <c r="AG463" i="202"/>
  <c r="AG464" i="202"/>
  <c r="AG465" i="202"/>
  <c r="AG466" i="202"/>
  <c r="AG467" i="202"/>
  <c r="AG468" i="202"/>
  <c r="AG469" i="202"/>
  <c r="AG470" i="202"/>
  <c r="AG471" i="202"/>
  <c r="AG472" i="202"/>
  <c r="AG473" i="202"/>
  <c r="AG474" i="202"/>
  <c r="AG475" i="202"/>
  <c r="AG476" i="202"/>
  <c r="AG477" i="202"/>
  <c r="AG478" i="202"/>
  <c r="AG479" i="202"/>
  <c r="AG480" i="202"/>
  <c r="AG481" i="202"/>
  <c r="AG482" i="202"/>
  <c r="AG483" i="202"/>
  <c r="AG484" i="202"/>
  <c r="AG485" i="202"/>
  <c r="AG486" i="202"/>
  <c r="AG487" i="202"/>
  <c r="AG488" i="202"/>
  <c r="AG489" i="202"/>
  <c r="AG490" i="202"/>
  <c r="AG491" i="202"/>
  <c r="AG492" i="202"/>
  <c r="AG493" i="202"/>
  <c r="AG494" i="202"/>
  <c r="AG495" i="202"/>
  <c r="AG496" i="202"/>
  <c r="AG497" i="202"/>
  <c r="AG498" i="202"/>
  <c r="AG499" i="202"/>
  <c r="AG500" i="202"/>
  <c r="AG501" i="202"/>
  <c r="AG502" i="202"/>
  <c r="AG503" i="202"/>
  <c r="AG504" i="202"/>
  <c r="AG505" i="202"/>
  <c r="AG506" i="202"/>
  <c r="AG507" i="202"/>
  <c r="AG508" i="202"/>
  <c r="AG509" i="202"/>
  <c r="AG510" i="202"/>
  <c r="AG511" i="202"/>
  <c r="AG512" i="202"/>
  <c r="AG513" i="202"/>
  <c r="AG514" i="202"/>
  <c r="AG515" i="202"/>
  <c r="AG516" i="202"/>
  <c r="AG517" i="202"/>
  <c r="AG518" i="202"/>
  <c r="AG519" i="202"/>
  <c r="AG520" i="202"/>
  <c r="AG521" i="202"/>
  <c r="AG522" i="202"/>
  <c r="AG523" i="202"/>
  <c r="AG524" i="202"/>
  <c r="AG525" i="202"/>
  <c r="AG526" i="202"/>
  <c r="AG527" i="202"/>
  <c r="AG528" i="202"/>
  <c r="AG529" i="202"/>
  <c r="AG530" i="202"/>
  <c r="AG531" i="202"/>
  <c r="AG532" i="202"/>
  <c r="AG533" i="202"/>
  <c r="AG534" i="202"/>
  <c r="AG535" i="202"/>
  <c r="AG536" i="202"/>
  <c r="AG537" i="202"/>
  <c r="AG538" i="202"/>
  <c r="AG539" i="202"/>
  <c r="AG540" i="202"/>
  <c r="AG541" i="202"/>
  <c r="AG542" i="202"/>
  <c r="AG543" i="202"/>
  <c r="AG544" i="202"/>
  <c r="AG545" i="202"/>
  <c r="AG546" i="202"/>
  <c r="AG547" i="202"/>
  <c r="AG548" i="202"/>
  <c r="AG549" i="202"/>
  <c r="AG550" i="202"/>
  <c r="AG551" i="202"/>
  <c r="AG552" i="202"/>
  <c r="AG553" i="202"/>
  <c r="AG554" i="202"/>
  <c r="AG555" i="202"/>
  <c r="AG556" i="202"/>
  <c r="AG557" i="202"/>
  <c r="AG558" i="202"/>
  <c r="AG559" i="202"/>
  <c r="AG560" i="202"/>
  <c r="AG561" i="202"/>
  <c r="AG562" i="202"/>
  <c r="AG563" i="202"/>
  <c r="AG564" i="202"/>
  <c r="AG565" i="202"/>
  <c r="AG566" i="202"/>
  <c r="AG567" i="202"/>
  <c r="AG568" i="202"/>
  <c r="AG569" i="202"/>
  <c r="AG570" i="202"/>
  <c r="AG571" i="202"/>
  <c r="AG572" i="202"/>
  <c r="AG573" i="202"/>
  <c r="AG574" i="202"/>
  <c r="AG575" i="202"/>
  <c r="AG576" i="202"/>
  <c r="AG577" i="202"/>
  <c r="AG578" i="202"/>
  <c r="AG579" i="202"/>
  <c r="AG580" i="202"/>
  <c r="AG581" i="202"/>
  <c r="AG582" i="202"/>
  <c r="AG583" i="202"/>
  <c r="AG584" i="202"/>
  <c r="AG585" i="202"/>
  <c r="AG586" i="202"/>
  <c r="AG587" i="202"/>
  <c r="AG588" i="202"/>
  <c r="AG589" i="202"/>
  <c r="AG590" i="202"/>
  <c r="AG591" i="202"/>
  <c r="AG592" i="202"/>
  <c r="AG593" i="202"/>
  <c r="AG594" i="202"/>
  <c r="AG595" i="202"/>
  <c r="AG596" i="202"/>
  <c r="AG597" i="202"/>
  <c r="AG598" i="202"/>
  <c r="AG599" i="202"/>
  <c r="AG600" i="202"/>
  <c r="AG601" i="202"/>
  <c r="AG602" i="202"/>
  <c r="AG603" i="202"/>
  <c r="AG604" i="202"/>
  <c r="AG605" i="202"/>
  <c r="AG606" i="202"/>
  <c r="AG607" i="202"/>
  <c r="AG608" i="202"/>
  <c r="AG609" i="202"/>
  <c r="AG610" i="202"/>
  <c r="AG611" i="202"/>
  <c r="AG612" i="202"/>
  <c r="AG613" i="202"/>
  <c r="AG614" i="202"/>
  <c r="AG615" i="202"/>
  <c r="AG616" i="202"/>
  <c r="AG617" i="202"/>
  <c r="AG618" i="202"/>
  <c r="AG619" i="202"/>
  <c r="AG620" i="202"/>
  <c r="AG621" i="202"/>
  <c r="AG622" i="202"/>
  <c r="AG623" i="202"/>
  <c r="AG624" i="202"/>
  <c r="AG625" i="202"/>
  <c r="AG626" i="202"/>
  <c r="AG627" i="202"/>
  <c r="AG628" i="202"/>
  <c r="AG629" i="202"/>
  <c r="AG630" i="202"/>
  <c r="AG631" i="202"/>
  <c r="AG632" i="202"/>
  <c r="AG633" i="202"/>
  <c r="AG634" i="202"/>
  <c r="AG635" i="202"/>
  <c r="AG636" i="202"/>
  <c r="AG637" i="202"/>
  <c r="AG638" i="202"/>
  <c r="AG639" i="202"/>
  <c r="AG640" i="202"/>
  <c r="AG641" i="202"/>
  <c r="AG642" i="202"/>
  <c r="AG643" i="202"/>
  <c r="AG644" i="202"/>
  <c r="AG645" i="202"/>
  <c r="AG646" i="202"/>
  <c r="AG647" i="202"/>
  <c r="AG648" i="202"/>
  <c r="AG649" i="202"/>
  <c r="AG650" i="202"/>
  <c r="AG651" i="202"/>
  <c r="AG652" i="202"/>
  <c r="AG653" i="202"/>
  <c r="AG654" i="202"/>
  <c r="AG655" i="202"/>
  <c r="AG656" i="202"/>
  <c r="AG657" i="202"/>
  <c r="AG658" i="202"/>
  <c r="AG659" i="202"/>
  <c r="AG660" i="202"/>
  <c r="AG661" i="202"/>
  <c r="AG662" i="202"/>
  <c r="AG663" i="202"/>
  <c r="AG664" i="202"/>
  <c r="AG665" i="202"/>
  <c r="AG666" i="202"/>
  <c r="AG667" i="202"/>
  <c r="AG668" i="202"/>
  <c r="AG669" i="202"/>
  <c r="AG670" i="202"/>
  <c r="AG671" i="202"/>
  <c r="AG672" i="202"/>
  <c r="AG673" i="202"/>
  <c r="AG674" i="202"/>
  <c r="AG675" i="202"/>
  <c r="AG676" i="202"/>
  <c r="AG677" i="202"/>
  <c r="AG678" i="202"/>
  <c r="AG679" i="202"/>
  <c r="AG680" i="202"/>
  <c r="AG681" i="202"/>
  <c r="AG682" i="202"/>
  <c r="AG683" i="202"/>
  <c r="AG684" i="202"/>
  <c r="AG685" i="202"/>
  <c r="AG686" i="202"/>
  <c r="AG687" i="202"/>
  <c r="AG688" i="202"/>
  <c r="AG689" i="202"/>
  <c r="AG690" i="202"/>
  <c r="AG691" i="202"/>
  <c r="AG692" i="202"/>
  <c r="AG693" i="202"/>
  <c r="AG694" i="202"/>
  <c r="AG695" i="202"/>
  <c r="AG696" i="202"/>
  <c r="AG697" i="202"/>
  <c r="AG698" i="202"/>
  <c r="AG699" i="202"/>
  <c r="AG700" i="202"/>
  <c r="AG701" i="202"/>
  <c r="AG702" i="202"/>
  <c r="AG703" i="202"/>
  <c r="AG704" i="202"/>
  <c r="AG705" i="202"/>
  <c r="AG706" i="202"/>
  <c r="AG707" i="202"/>
  <c r="AG708" i="202"/>
  <c r="AG709" i="202"/>
  <c r="AG710" i="202"/>
  <c r="AG711" i="202"/>
  <c r="AG712" i="202"/>
  <c r="AG713" i="202"/>
  <c r="AG714" i="202"/>
  <c r="AG715" i="202"/>
  <c r="AG716" i="202"/>
  <c r="AG717" i="202"/>
  <c r="AG718" i="202"/>
  <c r="AG719" i="202"/>
  <c r="AG720" i="202"/>
  <c r="AG721" i="202"/>
  <c r="AG722" i="202"/>
  <c r="AG723" i="202"/>
  <c r="AG724" i="202"/>
  <c r="AG725" i="202"/>
  <c r="AG726" i="202"/>
  <c r="AG727" i="202"/>
  <c r="AG728" i="202"/>
  <c r="AG729" i="202"/>
  <c r="AG730" i="202"/>
  <c r="AG731" i="202"/>
  <c r="AG732" i="202"/>
  <c r="AG733" i="202"/>
  <c r="AG734" i="202"/>
  <c r="AG735" i="202"/>
  <c r="AG736" i="202"/>
  <c r="AG737" i="202"/>
  <c r="AG738" i="202"/>
  <c r="AG739" i="202"/>
  <c r="AG740" i="202"/>
  <c r="AG741" i="202"/>
  <c r="AG742" i="202"/>
  <c r="AG743" i="202"/>
  <c r="AG744" i="202"/>
  <c r="AG745" i="202"/>
  <c r="AG746" i="202"/>
  <c r="AG747" i="202"/>
  <c r="AG748" i="202"/>
  <c r="AG749" i="202"/>
  <c r="AG750" i="202"/>
  <c r="AG751" i="202"/>
  <c r="AG752" i="202"/>
  <c r="AG753" i="202"/>
  <c r="AG754" i="202"/>
  <c r="AG755" i="202"/>
  <c r="AG756" i="202"/>
  <c r="AG757" i="202"/>
  <c r="AG758" i="202"/>
  <c r="AG759" i="202"/>
  <c r="AG760" i="202"/>
  <c r="AG761" i="202"/>
  <c r="AG762" i="202"/>
  <c r="AG763" i="202"/>
  <c r="AG764" i="202"/>
  <c r="AG765" i="202"/>
  <c r="AG766" i="202"/>
  <c r="AG767" i="202"/>
  <c r="AG768" i="202"/>
  <c r="AG769" i="202"/>
  <c r="AG770" i="202"/>
  <c r="AG771" i="202"/>
  <c r="AG772" i="202"/>
  <c r="AG773" i="202"/>
  <c r="AG774" i="202"/>
  <c r="AG775" i="202"/>
  <c r="AG776" i="202"/>
  <c r="AG777" i="202"/>
  <c r="AG778" i="202"/>
  <c r="AG779" i="202"/>
  <c r="AG780" i="202"/>
  <c r="AG781" i="202"/>
  <c r="AG782" i="202"/>
  <c r="AG783" i="202"/>
  <c r="AG784" i="202"/>
  <c r="AG785" i="202"/>
  <c r="AG786" i="202"/>
  <c r="AG787" i="202"/>
  <c r="AG788" i="202"/>
  <c r="AG789" i="202"/>
  <c r="AG790" i="202"/>
  <c r="AG791" i="202"/>
  <c r="AG792" i="202"/>
  <c r="AG793" i="202"/>
  <c r="AG794" i="202"/>
  <c r="AG795" i="202"/>
  <c r="AG796" i="202"/>
  <c r="AG797" i="202"/>
  <c r="AG798" i="202"/>
  <c r="AG799" i="202"/>
  <c r="AG800" i="202"/>
  <c r="AG801" i="202"/>
  <c r="AG802" i="202"/>
  <c r="AG803" i="202"/>
  <c r="AG804" i="202"/>
  <c r="AG805" i="202"/>
  <c r="AG806" i="202"/>
  <c r="AG807" i="202"/>
  <c r="AG808" i="202"/>
  <c r="AG809" i="202"/>
  <c r="AG810" i="202"/>
  <c r="AG811" i="202"/>
  <c r="AG812" i="202"/>
  <c r="AG813" i="202"/>
  <c r="AG814" i="202"/>
  <c r="AG815" i="202"/>
  <c r="AG816" i="202"/>
  <c r="AG817" i="202"/>
  <c r="AG818" i="202"/>
  <c r="AG819" i="202"/>
  <c r="AG820" i="202"/>
  <c r="AG821" i="202"/>
  <c r="AG822" i="202"/>
  <c r="AG823" i="202"/>
  <c r="AG824" i="202"/>
  <c r="AG825" i="202"/>
  <c r="AG826" i="202"/>
  <c r="AG827" i="202"/>
  <c r="AG828" i="202"/>
  <c r="AG829" i="202"/>
  <c r="AG830" i="202"/>
  <c r="AG831" i="202"/>
  <c r="AG832" i="202"/>
  <c r="AG833" i="202"/>
  <c r="AG834" i="202"/>
  <c r="AG835" i="202"/>
  <c r="AG836" i="202"/>
  <c r="AG837" i="202"/>
  <c r="AG838" i="202"/>
  <c r="AG839" i="202"/>
  <c r="AG840" i="202"/>
  <c r="AG841" i="202"/>
  <c r="AG842" i="202"/>
  <c r="AG843" i="202"/>
  <c r="AG844" i="202"/>
  <c r="AG845" i="202"/>
  <c r="AG846" i="202"/>
  <c r="AG847" i="202"/>
  <c r="AG848" i="202"/>
  <c r="AG849" i="202"/>
  <c r="AG850" i="202"/>
  <c r="AG851" i="202"/>
  <c r="AG852" i="202"/>
  <c r="AG853" i="202"/>
  <c r="AG854" i="202"/>
  <c r="AG855" i="202"/>
  <c r="AG856" i="202"/>
  <c r="AG857" i="202"/>
  <c r="AG858" i="202"/>
  <c r="AG859" i="202"/>
  <c r="AG860" i="202"/>
  <c r="AG861" i="202"/>
  <c r="AG862" i="202"/>
  <c r="AG863" i="202"/>
  <c r="AG864" i="202"/>
  <c r="AG865" i="202"/>
  <c r="AG866" i="202"/>
  <c r="AG867" i="202"/>
  <c r="AG868" i="202"/>
  <c r="AG869" i="202"/>
  <c r="AG870" i="202"/>
  <c r="AG871" i="202"/>
  <c r="AG872" i="202"/>
  <c r="AG873" i="202"/>
  <c r="AG874" i="202"/>
  <c r="AG875" i="202"/>
  <c r="AG876" i="202"/>
  <c r="AG877" i="202"/>
  <c r="AG878" i="202"/>
  <c r="AG879" i="202"/>
  <c r="AG880" i="202"/>
  <c r="AG881" i="202"/>
  <c r="AG882" i="202"/>
  <c r="AG883" i="202"/>
  <c r="AG884" i="202"/>
  <c r="AG885" i="202"/>
  <c r="AG886" i="202"/>
  <c r="AG887" i="202"/>
  <c r="AG888" i="202"/>
  <c r="AG889" i="202"/>
  <c r="AG890" i="202"/>
  <c r="AG891" i="202"/>
  <c r="AG892" i="202"/>
  <c r="AG893" i="202"/>
  <c r="AG894" i="202"/>
  <c r="AG895" i="202"/>
  <c r="AG896" i="202"/>
  <c r="AG897" i="202"/>
  <c r="AG898" i="202"/>
  <c r="AG899" i="202"/>
  <c r="AG900" i="202"/>
  <c r="AG901" i="202"/>
  <c r="AG902" i="202"/>
  <c r="AG903" i="202"/>
  <c r="AG904" i="202"/>
  <c r="AG905" i="202"/>
  <c r="AG906" i="202"/>
  <c r="AG907" i="202"/>
  <c r="AG908" i="202"/>
  <c r="AG909" i="202"/>
  <c r="AG910" i="202"/>
  <c r="AG911" i="202"/>
  <c r="AG912" i="202"/>
  <c r="AG913" i="202"/>
  <c r="AG914" i="202"/>
  <c r="AG915" i="202"/>
  <c r="AG916" i="202"/>
  <c r="AG917" i="202"/>
  <c r="AG918" i="202"/>
  <c r="AG919" i="202"/>
  <c r="AG920" i="202"/>
  <c r="AG921" i="202"/>
  <c r="AG922" i="202"/>
  <c r="AG923" i="202"/>
  <c r="AG924" i="202"/>
  <c r="AG925" i="202"/>
  <c r="AG926" i="202"/>
  <c r="AG927" i="202"/>
  <c r="AG928" i="202"/>
  <c r="AG929" i="202"/>
  <c r="AG930" i="202"/>
  <c r="AG931" i="202"/>
  <c r="AG932" i="202"/>
  <c r="AG933" i="202"/>
  <c r="AG934" i="202"/>
  <c r="AG935" i="202"/>
  <c r="AG936" i="202"/>
  <c r="AG937" i="202"/>
  <c r="AG938" i="202"/>
  <c r="AG939" i="202"/>
  <c r="AG940" i="202"/>
  <c r="AG941" i="202"/>
  <c r="AG942" i="202"/>
  <c r="AG943" i="202"/>
  <c r="AG944" i="202"/>
  <c r="AG945" i="202"/>
  <c r="AG946" i="202"/>
  <c r="AG947" i="202"/>
  <c r="AG948" i="202"/>
  <c r="AG949" i="202"/>
  <c r="AG950" i="202"/>
  <c r="AG951" i="202"/>
  <c r="AG952" i="202"/>
  <c r="AG953" i="202"/>
  <c r="AG954" i="202"/>
  <c r="AG955" i="202"/>
  <c r="AG956" i="202"/>
  <c r="AG957" i="202"/>
  <c r="AG958" i="202"/>
  <c r="AG959" i="202"/>
  <c r="AG960" i="202"/>
  <c r="AG961" i="202"/>
  <c r="AG962" i="202"/>
  <c r="AG963" i="202"/>
  <c r="AG964" i="202"/>
  <c r="AG965" i="202"/>
  <c r="AG966" i="202"/>
  <c r="AG967" i="202"/>
  <c r="AG968" i="202"/>
  <c r="AG969" i="202"/>
  <c r="AG970" i="202"/>
  <c r="AG971" i="202"/>
  <c r="AG972" i="202"/>
  <c r="AG973" i="202"/>
  <c r="AG974" i="202"/>
  <c r="AG975" i="202"/>
  <c r="AG976" i="202"/>
  <c r="AG977" i="202"/>
  <c r="AG978" i="202"/>
  <c r="AG979" i="202"/>
  <c r="AG980" i="202"/>
  <c r="AG981" i="202"/>
  <c r="AG982" i="202"/>
  <c r="AG983" i="202"/>
  <c r="AG984" i="202"/>
  <c r="AG985" i="202"/>
  <c r="AG986" i="202"/>
  <c r="AG987" i="202"/>
  <c r="AG988" i="202"/>
  <c r="AG989" i="202"/>
  <c r="AG990" i="202"/>
  <c r="AG991" i="202"/>
  <c r="AG992" i="202"/>
  <c r="AG993" i="202"/>
  <c r="AG994" i="202"/>
  <c r="AG995" i="202"/>
  <c r="AG996" i="202"/>
  <c r="AG997" i="202"/>
  <c r="AG998" i="202"/>
  <c r="AG999" i="202"/>
  <c r="AG1000" i="202"/>
  <c r="AG1001" i="202"/>
  <c r="AG1002" i="202"/>
  <c r="AG1003" i="202"/>
  <c r="AG1004" i="202"/>
  <c r="AG1005" i="202"/>
  <c r="AG1006" i="202"/>
  <c r="AG1007" i="202"/>
  <c r="AG1008" i="202"/>
  <c r="AG1009" i="202"/>
  <c r="AG1010" i="202"/>
  <c r="AG1011" i="202"/>
  <c r="AG1012" i="202"/>
  <c r="AG1013" i="202"/>
  <c r="AG1014" i="202"/>
  <c r="AG1015" i="202"/>
  <c r="AG1016" i="202"/>
  <c r="AG1017" i="202"/>
  <c r="AG1018" i="202"/>
  <c r="AG1019" i="202"/>
  <c r="AG1020" i="202"/>
  <c r="AG1021" i="202"/>
  <c r="AG1022" i="202"/>
  <c r="AG1023" i="202"/>
  <c r="AG1024" i="202"/>
  <c r="AG1025" i="202"/>
  <c r="AG1026" i="202"/>
  <c r="AG1027" i="202"/>
  <c r="AG1028" i="202"/>
  <c r="AG1029" i="202"/>
  <c r="AG1030" i="202"/>
  <c r="AG1031" i="202"/>
  <c r="AG1032" i="202"/>
  <c r="AG1033" i="202"/>
  <c r="AG1034" i="202"/>
  <c r="AG1035" i="202"/>
  <c r="AG1036" i="202"/>
  <c r="AG1037" i="202"/>
  <c r="AG1038" i="202"/>
  <c r="AG1039" i="202"/>
  <c r="AG1040" i="202"/>
  <c r="AG1041" i="202"/>
  <c r="AG1042" i="202"/>
  <c r="AG1043" i="202"/>
  <c r="AG1044" i="202"/>
  <c r="AG1045" i="202"/>
  <c r="AG1046" i="202"/>
  <c r="AG1047" i="202"/>
  <c r="AG1048" i="202"/>
  <c r="AG1049" i="202"/>
  <c r="AG1050" i="202"/>
  <c r="AG1051" i="202"/>
  <c r="AG1052" i="202"/>
  <c r="AG1053" i="202"/>
  <c r="AG1054" i="202"/>
  <c r="AG1055" i="202"/>
  <c r="AG1056" i="202"/>
  <c r="AG1057" i="202"/>
  <c r="AG1058" i="202"/>
  <c r="AG1059" i="202"/>
  <c r="AG1060" i="202"/>
  <c r="AG1061" i="202"/>
  <c r="AG1062" i="202"/>
  <c r="AG1063" i="202"/>
  <c r="AG1064" i="202"/>
  <c r="AG1065" i="202"/>
  <c r="AG1066" i="202"/>
  <c r="AG1067" i="202"/>
  <c r="AG1068" i="202"/>
  <c r="AG1069" i="202"/>
  <c r="AG1070" i="202"/>
  <c r="AG1071" i="202"/>
  <c r="AG1072" i="202"/>
  <c r="AG1073" i="202"/>
  <c r="AG1074" i="202"/>
  <c r="AG1075" i="202"/>
  <c r="AG1076" i="202"/>
  <c r="AG1077" i="202"/>
  <c r="AG1078" i="202"/>
  <c r="AG1079" i="202"/>
  <c r="AG1080" i="202"/>
  <c r="AG1081" i="202"/>
  <c r="AG1082" i="202"/>
  <c r="AG1083" i="202"/>
  <c r="AG1084" i="202"/>
  <c r="AG1085" i="202"/>
  <c r="AG1086" i="202"/>
  <c r="AG1087" i="202"/>
  <c r="AG1088" i="202"/>
  <c r="AG1089" i="202"/>
  <c r="AG1090" i="202"/>
  <c r="AG1091" i="202"/>
  <c r="AG1092" i="202"/>
  <c r="AG1093" i="202"/>
  <c r="AG1094" i="202"/>
  <c r="AG1095" i="202"/>
  <c r="AG1096" i="202"/>
  <c r="AG1097" i="202"/>
  <c r="AG1098" i="202"/>
  <c r="AG1099" i="202"/>
  <c r="AG1100" i="202"/>
  <c r="AG1101" i="202"/>
  <c r="AG1102" i="202"/>
  <c r="AG1103" i="202"/>
  <c r="AG1104" i="202"/>
  <c r="AG1105" i="202"/>
  <c r="AG1106" i="202"/>
  <c r="AG1107" i="202"/>
  <c r="AG1108" i="202"/>
  <c r="AG1109" i="202"/>
  <c r="AG1110" i="202"/>
  <c r="AG1111" i="202"/>
  <c r="AG1112" i="202"/>
  <c r="AG1113" i="202"/>
  <c r="AG1114" i="202"/>
  <c r="AG1115" i="202"/>
  <c r="AG1116" i="202"/>
  <c r="AG1117" i="202"/>
  <c r="AG1118" i="202"/>
  <c r="AG1119" i="202"/>
  <c r="AG1120" i="202"/>
  <c r="AG1121" i="202"/>
  <c r="AG1122" i="202"/>
  <c r="AG1123" i="202"/>
  <c r="AG1124" i="202"/>
  <c r="AG1125" i="202"/>
  <c r="AG1126" i="202"/>
  <c r="AG1127" i="202"/>
  <c r="AG1128" i="202"/>
  <c r="AG1129" i="202"/>
  <c r="AG1130" i="202"/>
  <c r="AG1131" i="202"/>
  <c r="AG1132" i="202"/>
  <c r="AG1133" i="202"/>
  <c r="AG1134" i="202"/>
  <c r="AG1135" i="202"/>
  <c r="AG1136" i="202"/>
  <c r="AG1137" i="202"/>
  <c r="AG1138" i="202"/>
  <c r="AG1139" i="202"/>
  <c r="AG1140" i="202"/>
  <c r="AG1141" i="202"/>
  <c r="AG1142" i="202"/>
  <c r="AG1143" i="202"/>
  <c r="AG1144" i="202"/>
  <c r="AG1145" i="202"/>
  <c r="AG1146" i="202"/>
  <c r="AG1147" i="202"/>
  <c r="AG1148" i="202"/>
  <c r="AG1149" i="202"/>
  <c r="AG1150" i="202"/>
  <c r="AG1151" i="202"/>
  <c r="AG1152" i="202"/>
  <c r="AG1153" i="202"/>
  <c r="AG1154" i="202"/>
  <c r="AG1155" i="202"/>
  <c r="AG1156" i="202"/>
  <c r="AG1157" i="202"/>
  <c r="AG1158" i="202"/>
  <c r="AG1159" i="202"/>
  <c r="AG1160" i="202"/>
  <c r="AG1161" i="202"/>
  <c r="AG1162" i="202"/>
  <c r="AG1163" i="202"/>
  <c r="AG1164" i="202"/>
  <c r="AG1165" i="202"/>
  <c r="AG1166" i="202"/>
  <c r="AG1167" i="202"/>
  <c r="AG1168" i="202"/>
  <c r="AG1169" i="202"/>
  <c r="AG1170" i="202"/>
  <c r="AG1171" i="202"/>
  <c r="AG1172" i="202"/>
  <c r="AG1173" i="202"/>
  <c r="AG1174" i="202"/>
  <c r="AG1175" i="202"/>
  <c r="AG1176" i="202"/>
  <c r="AG1177" i="202"/>
  <c r="AG1178" i="202"/>
  <c r="AG1179" i="202"/>
  <c r="AG1180" i="202"/>
  <c r="AG1181" i="202"/>
  <c r="AG1182" i="202"/>
  <c r="AG1183" i="202"/>
  <c r="AG1184" i="202"/>
  <c r="AG1185" i="202"/>
  <c r="AG1186" i="202"/>
  <c r="AG1187" i="202"/>
  <c r="AG1188" i="202"/>
  <c r="AG1189" i="202"/>
  <c r="AG1190" i="202"/>
  <c r="AG1191" i="202"/>
  <c r="AG1192" i="202"/>
  <c r="AG1193" i="202"/>
  <c r="AG1194" i="202"/>
  <c r="AG1195" i="202"/>
  <c r="AG1196" i="202"/>
  <c r="AG1197" i="202"/>
  <c r="AG1198" i="202"/>
  <c r="AG1199" i="202"/>
  <c r="AG1200" i="202"/>
  <c r="AG1201" i="202"/>
  <c r="AG1202" i="202"/>
  <c r="AG1203" i="202"/>
  <c r="AG1204" i="202"/>
  <c r="AG1205" i="202"/>
  <c r="AG1206" i="202"/>
  <c r="AG1207" i="202"/>
  <c r="AG1208" i="202"/>
  <c r="AG1209" i="202"/>
  <c r="AG1210" i="202"/>
  <c r="AG1211" i="202"/>
  <c r="AG1212" i="202"/>
  <c r="AG1213" i="202"/>
  <c r="AG1214" i="202"/>
  <c r="AG1215" i="202"/>
  <c r="AG1216" i="202"/>
  <c r="AG1217" i="202"/>
  <c r="AG1218" i="202"/>
  <c r="AG1219" i="202"/>
  <c r="AG1220" i="202"/>
  <c r="AG1221" i="202"/>
  <c r="AG1222" i="202"/>
  <c r="AG1223" i="202"/>
  <c r="AG1224" i="202"/>
  <c r="AG1225" i="202"/>
  <c r="AG1226" i="202"/>
  <c r="AG1227" i="202"/>
  <c r="AG1228" i="202"/>
  <c r="AG1229" i="202"/>
  <c r="AG1230" i="202"/>
  <c r="AG1231" i="202"/>
  <c r="AG1232" i="202"/>
  <c r="AG1233" i="202"/>
  <c r="AG1234" i="202"/>
  <c r="AG1235" i="202"/>
  <c r="AG1236" i="202"/>
  <c r="AG1237" i="202"/>
  <c r="AG1238" i="202"/>
  <c r="AG1239" i="202"/>
  <c r="AG1240" i="202"/>
  <c r="AG1241" i="202"/>
  <c r="AG1242" i="202"/>
  <c r="AG1243" i="202"/>
  <c r="AG1244" i="202"/>
  <c r="AG1245" i="202"/>
  <c r="AG1246" i="202"/>
  <c r="AG1247" i="202"/>
  <c r="AG1248" i="202"/>
  <c r="AG1249" i="202"/>
  <c r="AG1250" i="202"/>
  <c r="AG1251" i="202"/>
  <c r="AG1252" i="202"/>
  <c r="AG1253" i="202"/>
  <c r="AG1254" i="202"/>
  <c r="AG1255" i="202"/>
  <c r="AG1256" i="202"/>
  <c r="AG1257" i="202"/>
  <c r="AG1258" i="202"/>
  <c r="AG1259" i="202"/>
  <c r="AG1260" i="202"/>
  <c r="AG1261" i="202"/>
  <c r="AG1262" i="202"/>
  <c r="AG1263" i="202"/>
  <c r="AG1264" i="202"/>
  <c r="AG1265" i="202"/>
  <c r="AG1266" i="202"/>
  <c r="AG1267" i="202"/>
  <c r="AG1268" i="202"/>
  <c r="AG1269" i="202"/>
  <c r="AG1270" i="202"/>
  <c r="AG1271" i="202"/>
  <c r="AG1272" i="202"/>
  <c r="AG1273" i="202"/>
  <c r="AG1274" i="202"/>
  <c r="AG1275" i="202"/>
  <c r="AG1276" i="202"/>
  <c r="AG1277" i="202"/>
  <c r="AG1278" i="202"/>
  <c r="AG1279" i="202"/>
  <c r="AG1280" i="202"/>
  <c r="AG1281" i="202"/>
  <c r="AG1282" i="202"/>
  <c r="AG1283" i="202"/>
  <c r="AG1284" i="202"/>
  <c r="AG1285" i="202"/>
  <c r="AG1286" i="202"/>
  <c r="AG1287" i="202"/>
  <c r="AG1288" i="202"/>
  <c r="AG1289" i="202"/>
  <c r="AG1290" i="202"/>
  <c r="AG1291" i="202"/>
  <c r="AG1292" i="202"/>
  <c r="AG1293" i="202"/>
  <c r="AG1294" i="202"/>
  <c r="AG1295" i="202"/>
  <c r="AG1296" i="202"/>
  <c r="AG1297" i="202"/>
  <c r="AG1298" i="202"/>
  <c r="AG1299" i="202"/>
  <c r="AG1300" i="202"/>
  <c r="AG1301" i="202"/>
  <c r="AG1302" i="202"/>
  <c r="AG1303" i="202"/>
  <c r="AG1304" i="202"/>
  <c r="AG1305" i="202"/>
  <c r="AG1306" i="202"/>
  <c r="AG1307" i="202"/>
  <c r="AG1308" i="202"/>
  <c r="AG1309" i="202"/>
  <c r="AG1310" i="202"/>
  <c r="AG1311" i="202"/>
  <c r="AG1312" i="202"/>
  <c r="AG1313" i="202"/>
  <c r="AG1314" i="202"/>
  <c r="AG1315" i="202"/>
  <c r="AG1316" i="202"/>
  <c r="AG1317" i="202"/>
  <c r="AG1318" i="202"/>
  <c r="AG1319" i="202"/>
  <c r="AG1320" i="202"/>
  <c r="AG1321" i="202"/>
  <c r="AG1322" i="202"/>
  <c r="AG1323" i="202"/>
  <c r="AG1324" i="202"/>
  <c r="AG1325" i="202"/>
  <c r="AG1326" i="202"/>
  <c r="AG1327" i="202"/>
  <c r="AG1328" i="202"/>
  <c r="AG1329" i="202"/>
  <c r="AG1330" i="202"/>
  <c r="AG1331" i="202"/>
  <c r="AG1332" i="202"/>
  <c r="AG1333" i="202"/>
  <c r="AG1334" i="202"/>
  <c r="AG1335" i="202"/>
  <c r="AG1336" i="202"/>
  <c r="AG1337" i="202"/>
  <c r="AG1338" i="202"/>
  <c r="AG1339" i="202"/>
  <c r="AG1340" i="202"/>
  <c r="AG1341" i="202"/>
  <c r="AG1342" i="202"/>
  <c r="AG1343" i="202"/>
  <c r="AG1344" i="202"/>
  <c r="AG1345" i="202"/>
  <c r="AG1346" i="202"/>
  <c r="AG1347" i="202"/>
  <c r="AG1348" i="202"/>
  <c r="AG1349" i="202"/>
  <c r="AG1350" i="202"/>
  <c r="AG1351" i="202"/>
  <c r="AG1352" i="202"/>
  <c r="AG1353" i="202"/>
  <c r="AG1354" i="202"/>
  <c r="AG1355" i="202"/>
  <c r="AG1356" i="202"/>
  <c r="AG1357" i="202"/>
  <c r="AG1358" i="202"/>
  <c r="AG1359" i="202"/>
  <c r="AG1360" i="202"/>
  <c r="AG1361" i="202"/>
  <c r="AG1362" i="202"/>
  <c r="AG1363" i="202"/>
  <c r="AG1364" i="202"/>
  <c r="AG1365" i="202"/>
  <c r="AG1366" i="202"/>
  <c r="AG1367" i="202"/>
  <c r="AG1368" i="202"/>
  <c r="AG1369" i="202"/>
  <c r="AG1370" i="202"/>
  <c r="AG1371" i="202"/>
  <c r="AG1372" i="202"/>
  <c r="AG1373" i="202"/>
  <c r="AG1374" i="202"/>
  <c r="AG1375" i="202"/>
  <c r="AG1376" i="202"/>
  <c r="AG1377" i="202"/>
  <c r="AG1378" i="202"/>
  <c r="AG1379" i="202"/>
  <c r="AG1380" i="202"/>
  <c r="AG1381" i="202"/>
  <c r="AG1382" i="202"/>
  <c r="AG1383" i="202"/>
  <c r="AG1384" i="202"/>
  <c r="AG1385" i="202"/>
  <c r="AG1386" i="202"/>
  <c r="AG1387" i="202"/>
  <c r="AG1388" i="202"/>
  <c r="AG1389" i="202"/>
  <c r="AG1390" i="202"/>
  <c r="AG1391" i="202"/>
  <c r="AG1392" i="202"/>
  <c r="AG1393" i="202"/>
  <c r="AG1394" i="202"/>
  <c r="AG1395" i="202"/>
  <c r="AG1396" i="202"/>
  <c r="AG1397" i="202"/>
  <c r="AG1398" i="202"/>
  <c r="AG1399" i="202"/>
  <c r="AG1400" i="202"/>
  <c r="AG1401" i="202"/>
  <c r="AG1402" i="202"/>
  <c r="AG1403" i="202"/>
  <c r="AG1404" i="202"/>
  <c r="AG1405" i="202"/>
  <c r="AG1406" i="202"/>
  <c r="AG1407" i="202"/>
  <c r="AG1408" i="202"/>
  <c r="AG1409" i="202"/>
  <c r="AG1410" i="202"/>
  <c r="AG1411" i="202"/>
  <c r="AG1412" i="202"/>
  <c r="AG1413" i="202"/>
  <c r="AG1414" i="202"/>
  <c r="AG1415" i="202"/>
  <c r="AG1416" i="202"/>
  <c r="AG1417" i="202"/>
  <c r="AG1418" i="202"/>
  <c r="AG1419" i="202"/>
  <c r="AG1420" i="202"/>
  <c r="AG1421" i="202"/>
  <c r="AG1422" i="202"/>
  <c r="AG1423" i="202"/>
  <c r="AG1424" i="202"/>
  <c r="AG1425" i="202"/>
  <c r="AG1426" i="202"/>
  <c r="AG1427" i="202"/>
  <c r="AG1428" i="202"/>
  <c r="AG1429" i="202"/>
  <c r="AG1430" i="202"/>
  <c r="AG1431" i="202"/>
  <c r="AG1432" i="202"/>
  <c r="AG1433" i="202"/>
  <c r="AG1434" i="202"/>
  <c r="AG1435" i="202"/>
  <c r="AG1436" i="202"/>
  <c r="AG1437" i="202"/>
  <c r="AG1438" i="202"/>
  <c r="AG1439" i="202"/>
  <c r="AG1440" i="202"/>
  <c r="AG1441" i="202"/>
  <c r="AG1442" i="202"/>
  <c r="AG1443" i="202"/>
  <c r="AG1444" i="202"/>
  <c r="AG1445" i="202"/>
  <c r="AG1446" i="202"/>
  <c r="AG1447" i="202"/>
  <c r="AG1448" i="202"/>
  <c r="AG1449" i="202"/>
  <c r="AG1450" i="202"/>
  <c r="AG1451" i="202"/>
  <c r="AG1452" i="202"/>
  <c r="AG1453" i="202"/>
  <c r="AG1454" i="202"/>
  <c r="AG1455" i="202"/>
  <c r="AG1456" i="202"/>
  <c r="AG1457" i="202"/>
  <c r="AG1458" i="202"/>
  <c r="AG1459" i="202"/>
  <c r="AG1460" i="202"/>
  <c r="AG1461" i="202"/>
  <c r="AG1462" i="202"/>
  <c r="AG1463" i="202"/>
  <c r="AG1464" i="202"/>
  <c r="AG1465" i="202"/>
  <c r="AG1466" i="202"/>
  <c r="AG1467" i="202"/>
  <c r="AG1468" i="202"/>
  <c r="AG1469" i="202"/>
  <c r="AG1470" i="202"/>
  <c r="AG1471" i="202"/>
  <c r="AG1472" i="202"/>
  <c r="AG1473" i="202"/>
  <c r="AG1474" i="202"/>
  <c r="AG1475" i="202"/>
  <c r="AG1476" i="202"/>
  <c r="AG1477" i="202"/>
  <c r="AG1478" i="202"/>
  <c r="AG1479" i="202"/>
  <c r="AG1480" i="202"/>
  <c r="AG1481" i="202"/>
  <c r="AG1482" i="202"/>
  <c r="AG1483" i="202"/>
  <c r="AG1484" i="202"/>
  <c r="AG1485" i="202"/>
  <c r="AG1486" i="202"/>
  <c r="AG1487" i="202"/>
  <c r="AG1488" i="202"/>
  <c r="AG1489" i="202"/>
  <c r="AG1490" i="202"/>
  <c r="AG1491" i="202"/>
  <c r="AG1492" i="202"/>
  <c r="AG1493" i="202"/>
  <c r="AG1494" i="202"/>
  <c r="AG1495" i="202"/>
  <c r="AG1496" i="202"/>
  <c r="AG1497" i="202"/>
  <c r="AG1498" i="202"/>
  <c r="AG1499" i="202"/>
  <c r="AG1500" i="202"/>
  <c r="AG1501" i="202"/>
  <c r="AG1502" i="202"/>
  <c r="AG1503" i="202"/>
  <c r="AG1504" i="202"/>
  <c r="AG1505" i="202"/>
  <c r="AG1506" i="202"/>
  <c r="AG1507" i="202"/>
  <c r="AG1508" i="202"/>
  <c r="AG1509" i="202"/>
  <c r="AG1510" i="202"/>
  <c r="AG1511" i="202"/>
  <c r="AG1512" i="202"/>
  <c r="AG1513" i="202"/>
  <c r="AG1514" i="202"/>
  <c r="AG1515" i="202"/>
  <c r="AG1516" i="202"/>
  <c r="AG1517" i="202"/>
  <c r="AG1518" i="202"/>
  <c r="AG1519" i="202"/>
  <c r="AG1520" i="202"/>
  <c r="AG1521" i="202"/>
  <c r="AG1522" i="202"/>
  <c r="AG1523" i="202"/>
  <c r="AG1524" i="202"/>
  <c r="AG1525" i="202"/>
  <c r="AG1526" i="202"/>
  <c r="AG1527" i="202"/>
  <c r="AG1528" i="202"/>
  <c r="AG1529" i="202"/>
  <c r="AG1530" i="202"/>
  <c r="AG1531" i="202"/>
  <c r="AG1532" i="202"/>
  <c r="AG1533" i="202"/>
  <c r="AG1534" i="202"/>
  <c r="AG1535" i="202"/>
  <c r="AG1536" i="202"/>
  <c r="AG1537" i="202"/>
  <c r="AG1538" i="202"/>
  <c r="AG1539" i="202"/>
  <c r="AG1540" i="202"/>
  <c r="AG1541" i="202"/>
  <c r="AG1542" i="202"/>
  <c r="AG1543" i="202"/>
  <c r="AG1544" i="202"/>
  <c r="AG1545" i="202"/>
  <c r="AG1546" i="202"/>
  <c r="AG1547" i="202"/>
  <c r="AG1548" i="202"/>
  <c r="AG1549" i="202"/>
  <c r="AG1550" i="202"/>
  <c r="AG1551" i="202"/>
  <c r="AG1552" i="202"/>
  <c r="AG1553" i="202"/>
  <c r="AG1554" i="202"/>
  <c r="AG1555" i="202"/>
  <c r="AG1556" i="202"/>
  <c r="AG1557" i="202"/>
  <c r="AG1558" i="202"/>
  <c r="AG1559" i="202"/>
  <c r="AG1560" i="202"/>
  <c r="AG1561" i="202"/>
  <c r="AG1562" i="202"/>
  <c r="AG1563" i="202"/>
  <c r="AG1564" i="202"/>
  <c r="AG1565" i="202"/>
  <c r="AG1566" i="202"/>
  <c r="AG1567" i="202"/>
  <c r="AG1568" i="202"/>
  <c r="AG1569" i="202"/>
  <c r="AG1570" i="202"/>
  <c r="AG1571" i="202"/>
  <c r="AG1572" i="202"/>
  <c r="AG1573" i="202"/>
  <c r="AG1574" i="202"/>
  <c r="AG1575" i="202"/>
  <c r="AG1576" i="202"/>
  <c r="AG1577" i="202"/>
  <c r="AG1578" i="202"/>
  <c r="AG1579" i="202"/>
  <c r="AG1580" i="202"/>
  <c r="AG1581" i="202"/>
  <c r="AG1582" i="202"/>
  <c r="AG1583" i="202"/>
  <c r="AG1584" i="202"/>
  <c r="AG1585" i="202"/>
  <c r="AG1586" i="202"/>
  <c r="AG1587" i="202"/>
  <c r="AG1588" i="202"/>
  <c r="AG1589" i="202"/>
  <c r="AG1590" i="202"/>
  <c r="AG1591" i="202"/>
  <c r="AG1592" i="202"/>
  <c r="AG1593" i="202"/>
  <c r="AG1594" i="202"/>
  <c r="AG1595" i="202"/>
  <c r="AG1596" i="202"/>
  <c r="AG1597" i="202"/>
  <c r="AG1598" i="202"/>
  <c r="AG1599" i="202"/>
  <c r="AG1600" i="202"/>
  <c r="AG1601" i="202"/>
  <c r="AG1602" i="202"/>
  <c r="AG1603" i="202"/>
  <c r="AG1604" i="202"/>
  <c r="AG1605" i="202"/>
  <c r="AG1606" i="202"/>
  <c r="AG1607" i="202"/>
  <c r="AG1608" i="202"/>
  <c r="AG1609" i="202"/>
  <c r="AG1610" i="202"/>
  <c r="AG1611" i="202"/>
  <c r="AG1612" i="202"/>
  <c r="AG1613" i="202"/>
  <c r="AG1614" i="202"/>
  <c r="AG1615" i="202"/>
  <c r="AG1616" i="202"/>
  <c r="AG1617" i="202"/>
  <c r="AG1618" i="202"/>
  <c r="AG1619" i="202"/>
  <c r="AG1620" i="202"/>
  <c r="AG1621" i="202"/>
  <c r="AG1622" i="202"/>
  <c r="AG1623" i="202"/>
  <c r="AG1624" i="202"/>
  <c r="AG1625" i="202"/>
  <c r="AG1626" i="202"/>
  <c r="AG1627" i="202"/>
  <c r="AG1628" i="202"/>
  <c r="AG1629" i="202"/>
  <c r="AG1630" i="202"/>
  <c r="AG1631" i="202"/>
  <c r="AG1632" i="202"/>
  <c r="AG1633" i="202"/>
  <c r="AG1634" i="202"/>
  <c r="AG1635" i="202"/>
  <c r="AG1636" i="202"/>
  <c r="AG1637" i="202"/>
  <c r="AG1638" i="202"/>
  <c r="AG1639" i="202"/>
  <c r="AG1640" i="202"/>
  <c r="AG1641" i="202"/>
  <c r="AG1642" i="202"/>
  <c r="AG1643" i="202"/>
  <c r="AG1644" i="202"/>
  <c r="AG1645" i="202"/>
  <c r="AG1646" i="202"/>
  <c r="AG1647" i="202"/>
  <c r="AG1648" i="202"/>
  <c r="AG1649" i="202"/>
  <c r="AG1650" i="202"/>
  <c r="AG1651" i="202"/>
  <c r="AG1652" i="202"/>
  <c r="AG1653" i="202"/>
  <c r="AG1654" i="202"/>
  <c r="AG1655" i="202"/>
  <c r="AG1656" i="202"/>
  <c r="AG1657" i="202"/>
  <c r="AG1658" i="202"/>
  <c r="AG1659" i="202"/>
  <c r="AG1660" i="202"/>
  <c r="AG1661" i="202"/>
  <c r="AG1662" i="202"/>
  <c r="AG1663" i="202"/>
  <c r="AG1664" i="202"/>
  <c r="AG1665" i="202"/>
  <c r="AG1666" i="202"/>
  <c r="AG1667" i="202"/>
  <c r="AG1668" i="202"/>
  <c r="AG1669" i="202"/>
  <c r="AG1670" i="202"/>
  <c r="AG1671" i="202"/>
  <c r="AG1672" i="202"/>
  <c r="AG1673" i="202"/>
  <c r="AG1674" i="202"/>
  <c r="AG1675" i="202"/>
  <c r="AG1676" i="202"/>
  <c r="AG1677" i="202"/>
  <c r="AG1678" i="202"/>
  <c r="AG1679" i="202"/>
  <c r="AG1680" i="202"/>
  <c r="AG1681" i="202"/>
  <c r="AG1682" i="202"/>
  <c r="AG1683" i="202"/>
  <c r="AG1684" i="202"/>
  <c r="AG1685" i="202"/>
  <c r="AG1686" i="202"/>
  <c r="AG1687" i="202"/>
  <c r="AG1688" i="202"/>
  <c r="AG1689" i="202"/>
  <c r="AG1690" i="202"/>
  <c r="AG1691" i="202"/>
  <c r="AG1692" i="202"/>
  <c r="AG1693" i="202"/>
  <c r="AG1694" i="202"/>
  <c r="AG1695" i="202"/>
  <c r="AG1696" i="202"/>
  <c r="AG1697" i="202"/>
  <c r="AG1698" i="202"/>
  <c r="AG1699" i="202"/>
  <c r="AG1700" i="202"/>
  <c r="AG1701" i="202"/>
  <c r="AG1702" i="202"/>
  <c r="AG1703" i="202"/>
  <c r="AG1704" i="202"/>
  <c r="AG1705" i="202"/>
  <c r="AG1706" i="202"/>
  <c r="AG1707" i="202"/>
  <c r="AG1708" i="202"/>
  <c r="AG1709" i="202"/>
  <c r="AG1710" i="202"/>
  <c r="AG1711" i="202"/>
  <c r="AG1712" i="202"/>
  <c r="AG1713" i="202"/>
  <c r="AG1714" i="202"/>
  <c r="AG1715" i="202"/>
  <c r="AG1716" i="202"/>
  <c r="AG1717" i="202"/>
  <c r="AG1718" i="202"/>
  <c r="AG1719" i="202"/>
  <c r="AG1720" i="202"/>
  <c r="AG1721" i="202"/>
  <c r="AG1722" i="202"/>
  <c r="AG1723" i="202"/>
  <c r="AG1724" i="202"/>
  <c r="AG1725" i="202"/>
  <c r="AG1726" i="202"/>
  <c r="AG1727" i="202"/>
  <c r="AG1728" i="202"/>
  <c r="AG1729" i="202"/>
  <c r="AG1730" i="202"/>
  <c r="AG1731" i="202"/>
  <c r="AG1732" i="202"/>
  <c r="AG1733" i="202"/>
  <c r="AG1734" i="202"/>
  <c r="AG1735" i="202"/>
  <c r="AG1736" i="202"/>
  <c r="AG1737" i="202"/>
  <c r="AG1738" i="202"/>
  <c r="AG1739" i="202"/>
  <c r="AG1740" i="202"/>
  <c r="AG1741" i="202"/>
  <c r="AG1742" i="202"/>
  <c r="AG1743" i="202"/>
  <c r="AG1744" i="202"/>
  <c r="AG1745" i="202"/>
  <c r="AG1746" i="202"/>
  <c r="AG1747" i="202"/>
  <c r="AG1748" i="202"/>
  <c r="AG1749" i="202"/>
  <c r="AG1750" i="202"/>
  <c r="AG1751" i="202"/>
  <c r="AG1752" i="202"/>
  <c r="AG1753" i="202"/>
  <c r="AG1754" i="202"/>
  <c r="AG1755" i="202"/>
  <c r="AG1756" i="202"/>
  <c r="AG1757" i="202"/>
  <c r="AG1758" i="202"/>
  <c r="AG1759" i="202"/>
  <c r="AG1760" i="202"/>
  <c r="AG1761" i="202"/>
  <c r="AG1762" i="202"/>
  <c r="AG1763" i="202"/>
  <c r="AG1764" i="202"/>
  <c r="AG1765" i="202"/>
  <c r="AG1766" i="202"/>
  <c r="AG1767" i="202"/>
  <c r="AG1768" i="202"/>
  <c r="AG1769" i="202"/>
  <c r="AG1770" i="202"/>
  <c r="AG1771" i="202"/>
  <c r="AG1772" i="202"/>
  <c r="AG1773" i="202"/>
  <c r="AG1774" i="202"/>
  <c r="AG1775" i="202"/>
  <c r="AG1776" i="202"/>
  <c r="AG1777" i="202"/>
  <c r="AG1778" i="202"/>
  <c r="AG1779" i="202"/>
  <c r="AG1780" i="202"/>
  <c r="AG1781" i="202"/>
  <c r="AG1782" i="202"/>
  <c r="AG1783" i="202"/>
  <c r="AG1784" i="202"/>
  <c r="AG1785" i="202"/>
  <c r="AG1786" i="202"/>
  <c r="AG1787" i="202"/>
  <c r="AG1788" i="202"/>
  <c r="AG1789" i="202"/>
  <c r="AG1790" i="202"/>
  <c r="AG1791" i="202"/>
  <c r="AG1792" i="202"/>
  <c r="AG1793" i="202"/>
  <c r="AG1794" i="202"/>
  <c r="AG1795" i="202"/>
  <c r="AG1796" i="202"/>
  <c r="AG1797" i="202"/>
  <c r="AG1798" i="202"/>
  <c r="AG1799" i="202"/>
  <c r="AG1800" i="202"/>
  <c r="AG1801" i="202"/>
  <c r="AG1802" i="202"/>
  <c r="AG1803" i="202"/>
  <c r="AG1804" i="202"/>
  <c r="AG1805" i="202"/>
  <c r="AG1806" i="202"/>
  <c r="AG1807" i="202"/>
  <c r="AG1808" i="202"/>
  <c r="AG1809" i="202"/>
  <c r="AG1810" i="202"/>
  <c r="AG1811" i="202"/>
  <c r="AG1812" i="202"/>
  <c r="AG1813" i="202"/>
  <c r="AG1814" i="202"/>
  <c r="AG1815" i="202"/>
  <c r="AG1816" i="202"/>
  <c r="AG1817" i="202"/>
  <c r="AG1818" i="202"/>
  <c r="AG1819" i="202"/>
  <c r="AG1820" i="202"/>
  <c r="AG1821" i="202"/>
  <c r="AG1822" i="202"/>
  <c r="AG1823" i="202"/>
  <c r="AG1824" i="202"/>
  <c r="AG1825" i="202"/>
  <c r="AG1826" i="202"/>
  <c r="AG1827" i="202"/>
  <c r="AG1828" i="202"/>
  <c r="AG1829" i="202"/>
  <c r="AG1830" i="202"/>
  <c r="AG1831" i="202"/>
  <c r="AG1832" i="202"/>
  <c r="AG1833" i="202"/>
  <c r="AG1834" i="202"/>
  <c r="AG1835" i="202"/>
  <c r="AG1836" i="202"/>
  <c r="AG1837" i="202"/>
  <c r="AG1838" i="202"/>
  <c r="AG1839" i="202"/>
  <c r="AG1840" i="202"/>
  <c r="AG1841" i="202"/>
  <c r="AG1842" i="202"/>
  <c r="AG1843" i="202"/>
  <c r="AG1844" i="202"/>
  <c r="AG1845" i="202"/>
  <c r="AG1846" i="202"/>
  <c r="AG1847" i="202"/>
  <c r="AG1848" i="202"/>
  <c r="AG1849" i="202"/>
  <c r="AG1850" i="202"/>
  <c r="AG1851" i="202"/>
  <c r="AG1852" i="202"/>
  <c r="AG1853" i="202"/>
  <c r="AG1854" i="202"/>
  <c r="AG1855" i="202"/>
  <c r="AG1856" i="202"/>
  <c r="AG1857" i="202"/>
  <c r="AG1858" i="202"/>
  <c r="AG1859" i="202"/>
  <c r="AG1860" i="202"/>
  <c r="AG1861" i="202"/>
  <c r="AG1862" i="202"/>
  <c r="AG1863" i="202"/>
  <c r="AG1864" i="202"/>
  <c r="AG1865" i="202"/>
  <c r="AG1866" i="202"/>
  <c r="AG1867" i="202"/>
  <c r="AG1868" i="202"/>
  <c r="AG1869" i="202"/>
  <c r="AG1870" i="202"/>
  <c r="AG1871" i="202"/>
  <c r="AG1872" i="202"/>
  <c r="AG1873" i="202"/>
  <c r="AG1874" i="202"/>
  <c r="AG1875" i="202"/>
  <c r="AG1876" i="202"/>
  <c r="AG1877" i="202"/>
  <c r="AG1878" i="202"/>
  <c r="AG1879" i="202"/>
  <c r="AG1880" i="202"/>
  <c r="AG1881" i="202"/>
  <c r="AG1882" i="202"/>
  <c r="AG1883" i="202"/>
  <c r="AG1884" i="202"/>
  <c r="AG1885" i="202"/>
  <c r="AG1886" i="202"/>
  <c r="AG1887" i="202"/>
  <c r="AG1888" i="202"/>
  <c r="AG1889" i="202"/>
  <c r="AG1890" i="202"/>
  <c r="AG1891" i="202"/>
  <c r="AG1892" i="202"/>
  <c r="AG1893" i="202"/>
  <c r="AG1894" i="202"/>
  <c r="AG1895" i="202"/>
  <c r="AG1896" i="202"/>
  <c r="AG1897" i="202"/>
  <c r="AG1898" i="202"/>
  <c r="AG1899" i="202"/>
  <c r="AG1900" i="202"/>
  <c r="AG1901" i="202"/>
  <c r="AG1902" i="202"/>
  <c r="AG1903" i="202"/>
  <c r="AG1904" i="202"/>
  <c r="AG1905" i="202"/>
  <c r="AG1906" i="202"/>
  <c r="AG1907" i="202"/>
  <c r="AG1908" i="202"/>
  <c r="AG1909" i="202"/>
  <c r="AG1910" i="202"/>
  <c r="AG1911" i="202"/>
  <c r="AG1912" i="202"/>
  <c r="AG1913" i="202"/>
  <c r="AG1914" i="202"/>
  <c r="AG1915" i="202"/>
  <c r="AG1916" i="202"/>
  <c r="AG1917" i="202"/>
  <c r="AG1918" i="202"/>
  <c r="AG1919" i="202"/>
  <c r="AG1920" i="202"/>
  <c r="AG1921" i="202"/>
  <c r="AG1922" i="202"/>
  <c r="AG1923" i="202"/>
  <c r="AG1924" i="202"/>
  <c r="AG1925" i="202"/>
  <c r="AG1926" i="202"/>
  <c r="AG1927" i="202"/>
  <c r="AG1928" i="202"/>
  <c r="AG1929" i="202"/>
  <c r="AG1930" i="202"/>
  <c r="AG1931" i="202"/>
  <c r="AG1932" i="202"/>
  <c r="AG1933" i="202"/>
  <c r="AG1934" i="202"/>
  <c r="AG1935" i="202"/>
  <c r="AG1936" i="202"/>
  <c r="AG1937" i="202"/>
  <c r="AG1938" i="202"/>
  <c r="AG1939" i="202"/>
  <c r="AG1940" i="202"/>
  <c r="AG1941" i="202"/>
  <c r="AG1942" i="202"/>
  <c r="AG1943" i="202"/>
  <c r="AG1944" i="202"/>
  <c r="AG1945" i="202"/>
  <c r="AG1946" i="202"/>
  <c r="AG1947" i="202"/>
  <c r="AG1948" i="202"/>
  <c r="AG1949" i="202"/>
  <c r="AG1950" i="202"/>
  <c r="AG1951" i="202"/>
  <c r="AG1952" i="202"/>
  <c r="AG1953" i="202"/>
  <c r="AG1954" i="202"/>
  <c r="AG1955" i="202"/>
  <c r="AG1956" i="202"/>
  <c r="AG1957" i="202"/>
  <c r="AG1958" i="202"/>
  <c r="AG1959" i="202"/>
  <c r="AG1960" i="202"/>
  <c r="AG1961" i="202"/>
  <c r="AG1962" i="202"/>
  <c r="AG1963" i="202"/>
  <c r="AG1964" i="202"/>
  <c r="AG1965" i="202"/>
  <c r="AG1966" i="202"/>
  <c r="AG1967" i="202"/>
  <c r="AG1968" i="202"/>
  <c r="AG1969" i="202"/>
  <c r="AG1970" i="202"/>
  <c r="AG1971" i="202"/>
  <c r="AG1972" i="202"/>
  <c r="AG1973" i="202"/>
  <c r="AG1974" i="202"/>
  <c r="AG1975" i="202"/>
  <c r="AG1976" i="202"/>
  <c r="AG1977" i="202"/>
  <c r="AG1978" i="202"/>
  <c r="AG1979" i="202"/>
  <c r="AG1980" i="202"/>
  <c r="AG1981" i="202"/>
  <c r="AG1982" i="202"/>
  <c r="AG1983" i="202"/>
  <c r="AG1984" i="202"/>
  <c r="AG1985" i="202"/>
  <c r="AG1986" i="202"/>
  <c r="AG1987" i="202"/>
  <c r="AG1988" i="202"/>
  <c r="AG1989" i="202"/>
  <c r="AG1990" i="202"/>
  <c r="AG1991" i="202"/>
  <c r="AG1992" i="202"/>
  <c r="AG1993" i="202"/>
  <c r="AG1994" i="202"/>
  <c r="AG1995" i="202"/>
  <c r="AG1996" i="202"/>
  <c r="AG1997" i="202"/>
  <c r="AG1998" i="202"/>
  <c r="AG1999" i="202"/>
  <c r="AG2000" i="202"/>
  <c r="AG2001" i="202"/>
  <c r="AG2002" i="202"/>
  <c r="AG2003" i="202"/>
  <c r="AG2004" i="202"/>
  <c r="AG2005" i="202"/>
  <c r="AG2006" i="202"/>
  <c r="AG2007" i="202"/>
  <c r="AG2008" i="202"/>
  <c r="AG2009" i="202"/>
  <c r="AG2010" i="202"/>
  <c r="AG2011" i="202"/>
  <c r="AG2012" i="202"/>
  <c r="AG2013" i="202"/>
  <c r="AG2014" i="202"/>
  <c r="AG2015" i="202"/>
  <c r="AG2016" i="202"/>
  <c r="AG2017" i="202"/>
  <c r="AG2018" i="202"/>
  <c r="AG2019" i="202"/>
  <c r="AG2020" i="202"/>
  <c r="AG2021" i="202"/>
  <c r="AG2022" i="202"/>
  <c r="AG2023" i="202"/>
  <c r="AG2024" i="202"/>
  <c r="AG2025" i="202"/>
  <c r="AG2026" i="202"/>
  <c r="AG2027" i="202"/>
  <c r="AG2028" i="202"/>
  <c r="AG2029" i="202"/>
  <c r="AG2030" i="202"/>
  <c r="AG2031" i="202"/>
  <c r="AG2032" i="202"/>
  <c r="AG2033" i="202"/>
  <c r="AG2034" i="202"/>
  <c r="AG2035" i="202"/>
  <c r="AG2036" i="202"/>
  <c r="AG2037" i="202"/>
  <c r="AG2038" i="202"/>
  <c r="AG2039" i="202"/>
  <c r="AG2040" i="202"/>
  <c r="AG2041" i="202"/>
  <c r="AG2042" i="202"/>
  <c r="AG2043" i="202"/>
  <c r="AG2044" i="202"/>
  <c r="AG2045" i="202"/>
  <c r="AG2046" i="202"/>
  <c r="AG2047" i="202"/>
  <c r="AG2048" i="202"/>
  <c r="S2" i="202"/>
  <c r="S3" i="202"/>
  <c r="S4" i="202"/>
  <c r="S5" i="202"/>
  <c r="S6" i="202"/>
  <c r="S7" i="202"/>
  <c r="S8" i="202"/>
  <c r="S9" i="202"/>
  <c r="S10" i="202"/>
  <c r="S11" i="202"/>
  <c r="S12" i="202"/>
  <c r="S13" i="202"/>
  <c r="S14" i="202"/>
  <c r="S15" i="202"/>
  <c r="S16" i="202"/>
  <c r="S17" i="202"/>
  <c r="S18" i="202"/>
  <c r="S19" i="202"/>
  <c r="S20" i="202"/>
  <c r="S21" i="202"/>
  <c r="S22" i="202"/>
  <c r="S23" i="202"/>
  <c r="S24" i="202"/>
  <c r="S25" i="202"/>
  <c r="S26" i="202"/>
  <c r="S27" i="202"/>
  <c r="S28" i="202"/>
  <c r="S29" i="202"/>
  <c r="S30" i="202"/>
  <c r="S31" i="202"/>
  <c r="S32" i="202"/>
  <c r="S33" i="202"/>
  <c r="S34" i="202"/>
  <c r="S35" i="202"/>
  <c r="S36" i="202"/>
  <c r="S37" i="202"/>
  <c r="S38" i="202"/>
  <c r="S39" i="202"/>
  <c r="S40" i="202"/>
  <c r="S41" i="202"/>
  <c r="S42" i="202"/>
  <c r="S43" i="202"/>
  <c r="S44" i="202"/>
  <c r="S45" i="202"/>
  <c r="S46" i="202"/>
  <c r="S47" i="202"/>
  <c r="S48" i="202"/>
  <c r="S49" i="202"/>
  <c r="S50" i="202"/>
  <c r="S51" i="202"/>
  <c r="S52" i="202"/>
  <c r="S53" i="202"/>
  <c r="S54" i="202"/>
  <c r="S55" i="202"/>
  <c r="S56" i="202"/>
  <c r="S57" i="202"/>
  <c r="S58" i="202"/>
  <c r="S59" i="202"/>
  <c r="S60" i="202"/>
  <c r="S61" i="202"/>
  <c r="S62" i="202"/>
  <c r="S63" i="202"/>
  <c r="S64" i="202"/>
  <c r="S65" i="202"/>
  <c r="S66" i="202"/>
  <c r="S67" i="202"/>
  <c r="S68" i="202"/>
  <c r="S69" i="202"/>
  <c r="S70" i="202"/>
  <c r="S71" i="202"/>
  <c r="S72" i="202"/>
  <c r="S73" i="202"/>
  <c r="S74" i="202"/>
  <c r="S75" i="202"/>
  <c r="S76" i="202"/>
  <c r="S77" i="202"/>
  <c r="S78" i="202"/>
  <c r="S79" i="202"/>
  <c r="S80" i="202"/>
  <c r="S81" i="202"/>
  <c r="S82" i="202"/>
  <c r="S83" i="202"/>
  <c r="S84" i="202"/>
  <c r="S85" i="202"/>
  <c r="S86" i="202"/>
  <c r="S87" i="202"/>
  <c r="S88" i="202"/>
  <c r="S89" i="202"/>
  <c r="S90" i="202"/>
  <c r="S91" i="202"/>
  <c r="S92" i="202"/>
  <c r="S93" i="202"/>
  <c r="S94" i="202"/>
  <c r="S95" i="202"/>
  <c r="S96" i="202"/>
  <c r="S97" i="202"/>
  <c r="S98" i="202"/>
  <c r="S99" i="202"/>
  <c r="S100" i="202"/>
  <c r="S101" i="202"/>
  <c r="S102" i="202"/>
  <c r="S103" i="202"/>
  <c r="S104" i="202"/>
  <c r="S105" i="202"/>
  <c r="S106" i="202"/>
  <c r="S107" i="202"/>
  <c r="S108" i="202"/>
  <c r="S109" i="202"/>
  <c r="S110" i="202"/>
  <c r="S111" i="202"/>
  <c r="S112" i="202"/>
  <c r="S113" i="202"/>
  <c r="S114" i="202"/>
  <c r="S115" i="202"/>
  <c r="S116" i="202"/>
  <c r="S117" i="202"/>
  <c r="S118" i="202"/>
  <c r="S119" i="202"/>
  <c r="S120" i="202"/>
  <c r="S121" i="202"/>
  <c r="S122" i="202"/>
  <c r="S123" i="202"/>
  <c r="S124" i="202"/>
  <c r="S125" i="202"/>
  <c r="S126" i="202"/>
  <c r="S127" i="202"/>
  <c r="S128" i="202"/>
  <c r="S129" i="202"/>
  <c r="S130" i="202"/>
  <c r="S131" i="202"/>
  <c r="S132" i="202"/>
  <c r="S133" i="202"/>
  <c r="S134" i="202"/>
  <c r="S135" i="202"/>
  <c r="S136" i="202"/>
  <c r="S137" i="202"/>
  <c r="S138" i="202"/>
  <c r="S139" i="202"/>
  <c r="S140" i="202"/>
  <c r="S141" i="202"/>
  <c r="S142" i="202"/>
  <c r="S143" i="202"/>
  <c r="S144" i="202"/>
  <c r="S145" i="202"/>
  <c r="S146" i="202"/>
  <c r="S147" i="202"/>
  <c r="S148" i="202"/>
  <c r="S149" i="202"/>
  <c r="S150" i="202"/>
  <c r="S151" i="202"/>
  <c r="S152" i="202"/>
  <c r="S153" i="202"/>
  <c r="S154" i="202"/>
  <c r="S155" i="202"/>
  <c r="S156" i="202"/>
  <c r="S157" i="202"/>
  <c r="S158" i="202"/>
  <c r="S159" i="202"/>
  <c r="S160" i="202"/>
  <c r="S161" i="202"/>
  <c r="S162" i="202"/>
  <c r="S163" i="202"/>
  <c r="S164" i="202"/>
  <c r="S165" i="202"/>
  <c r="S166" i="202"/>
  <c r="S167" i="202"/>
  <c r="S168" i="202"/>
  <c r="S169" i="202"/>
  <c r="S170" i="202"/>
  <c r="S171" i="202"/>
  <c r="S172" i="202"/>
  <c r="S173" i="202"/>
  <c r="S174" i="202"/>
  <c r="S175" i="202"/>
  <c r="S176" i="202"/>
  <c r="S177" i="202"/>
  <c r="S178" i="202"/>
  <c r="S179" i="202"/>
  <c r="S180" i="202"/>
  <c r="S181" i="202"/>
  <c r="S182" i="202"/>
  <c r="S183" i="202"/>
  <c r="S184" i="202"/>
  <c r="S185" i="202"/>
  <c r="S186" i="202"/>
  <c r="S187" i="202"/>
  <c r="S188" i="202"/>
  <c r="S189" i="202"/>
  <c r="S190" i="202"/>
  <c r="S191" i="202"/>
  <c r="S192" i="202"/>
  <c r="S193" i="202"/>
  <c r="S194" i="202"/>
  <c r="S195" i="202"/>
  <c r="S196" i="202"/>
  <c r="S197" i="202"/>
  <c r="S198" i="202"/>
  <c r="S199" i="202"/>
  <c r="S200" i="202"/>
  <c r="S201" i="202"/>
  <c r="S202" i="202"/>
  <c r="S203" i="202"/>
  <c r="S204" i="202"/>
  <c r="S205" i="202"/>
  <c r="S206" i="202"/>
  <c r="S207" i="202"/>
  <c r="S208" i="202"/>
  <c r="S209" i="202"/>
  <c r="S210" i="202"/>
  <c r="S211" i="202"/>
  <c r="S212" i="202"/>
  <c r="S213" i="202"/>
  <c r="S214" i="202"/>
  <c r="S215" i="202"/>
  <c r="S216" i="202"/>
  <c r="S217" i="202"/>
  <c r="S218" i="202"/>
  <c r="S219" i="202"/>
  <c r="S220" i="202"/>
  <c r="S221" i="202"/>
  <c r="S222" i="202"/>
  <c r="S223" i="202"/>
  <c r="S224" i="202"/>
  <c r="S225" i="202"/>
  <c r="S226" i="202"/>
  <c r="S227" i="202"/>
  <c r="S228" i="202"/>
  <c r="S229" i="202"/>
  <c r="S230" i="202"/>
  <c r="S231" i="202"/>
  <c r="S232" i="202"/>
  <c r="S233" i="202"/>
  <c r="S234" i="202"/>
  <c r="S235" i="202"/>
  <c r="S236" i="202"/>
  <c r="S237" i="202"/>
  <c r="S238" i="202"/>
  <c r="S239" i="202"/>
  <c r="S240" i="202"/>
  <c r="S241" i="202"/>
  <c r="S242" i="202"/>
  <c r="S243" i="202"/>
  <c r="S244" i="202"/>
  <c r="S245" i="202"/>
  <c r="S246" i="202"/>
  <c r="S247" i="202"/>
  <c r="S248" i="202"/>
  <c r="S249" i="202"/>
  <c r="S250" i="202"/>
  <c r="S251" i="202"/>
  <c r="S252" i="202"/>
  <c r="S253" i="202"/>
  <c r="S254" i="202"/>
  <c r="S255" i="202"/>
  <c r="S256" i="202"/>
  <c r="S257" i="202"/>
  <c r="S258" i="202"/>
  <c r="S259" i="202"/>
  <c r="S260" i="202"/>
  <c r="S261" i="202"/>
  <c r="S262" i="202"/>
  <c r="S263" i="202"/>
  <c r="S264" i="202"/>
  <c r="S265" i="202"/>
  <c r="S266" i="202"/>
  <c r="S267" i="202"/>
  <c r="S268" i="202"/>
  <c r="S269" i="202"/>
  <c r="S270" i="202"/>
  <c r="S271" i="202"/>
  <c r="S272" i="202"/>
  <c r="S273" i="202"/>
  <c r="S274" i="202"/>
  <c r="S275" i="202"/>
  <c r="S276" i="202"/>
  <c r="S277" i="202"/>
  <c r="S278" i="202"/>
  <c r="S279" i="202"/>
  <c r="S280" i="202"/>
  <c r="S281" i="202"/>
  <c r="S282" i="202"/>
  <c r="S283" i="202"/>
  <c r="S284" i="202"/>
  <c r="S285" i="202"/>
  <c r="S286" i="202"/>
  <c r="S287" i="202"/>
  <c r="S288" i="202"/>
  <c r="S289" i="202"/>
  <c r="S290" i="202"/>
  <c r="S291" i="202"/>
  <c r="S292" i="202"/>
  <c r="S293" i="202"/>
  <c r="S294" i="202"/>
  <c r="S295" i="202"/>
  <c r="S296" i="202"/>
  <c r="S297" i="202"/>
  <c r="S298" i="202"/>
  <c r="S299" i="202"/>
  <c r="S300" i="202"/>
  <c r="S301" i="202"/>
  <c r="S302" i="202"/>
  <c r="S303" i="202"/>
  <c r="S304" i="202"/>
  <c r="S305" i="202"/>
  <c r="S306" i="202"/>
  <c r="S307" i="202"/>
  <c r="S308" i="202"/>
  <c r="S309" i="202"/>
  <c r="S310" i="202"/>
  <c r="S311" i="202"/>
  <c r="S312" i="202"/>
  <c r="S313" i="202"/>
  <c r="S314" i="202"/>
  <c r="S315" i="202"/>
  <c r="S316" i="202"/>
  <c r="S317" i="202"/>
  <c r="S318" i="202"/>
  <c r="S319" i="202"/>
  <c r="S320" i="202"/>
  <c r="S321" i="202"/>
  <c r="S322" i="202"/>
  <c r="S323" i="202"/>
  <c r="S324" i="202"/>
  <c r="S325" i="202"/>
  <c r="S326" i="202"/>
  <c r="S327" i="202"/>
  <c r="S328" i="202"/>
  <c r="S329" i="202"/>
  <c r="S330" i="202"/>
  <c r="S331" i="202"/>
  <c r="S332" i="202"/>
  <c r="S333" i="202"/>
  <c r="S334" i="202"/>
  <c r="S335" i="202"/>
  <c r="S336" i="202"/>
  <c r="S337" i="202"/>
  <c r="S338" i="202"/>
  <c r="S339" i="202"/>
  <c r="S340" i="202"/>
  <c r="S341" i="202"/>
  <c r="S342" i="202"/>
  <c r="S343" i="202"/>
  <c r="S344" i="202"/>
  <c r="S345" i="202"/>
  <c r="S346" i="202"/>
  <c r="S347" i="202"/>
  <c r="S348" i="202"/>
  <c r="S349" i="202"/>
  <c r="S350" i="202"/>
  <c r="S351" i="202"/>
  <c r="S352" i="202"/>
  <c r="S353" i="202"/>
  <c r="S354" i="202"/>
  <c r="S355" i="202"/>
  <c r="S356" i="202"/>
  <c r="S357" i="202"/>
  <c r="S358" i="202"/>
  <c r="S359" i="202"/>
  <c r="S360" i="202"/>
  <c r="S361" i="202"/>
  <c r="S362" i="202"/>
  <c r="S363" i="202"/>
  <c r="S364" i="202"/>
  <c r="S365" i="202"/>
  <c r="S366" i="202"/>
  <c r="S367" i="202"/>
  <c r="S368" i="202"/>
  <c r="S369" i="202"/>
  <c r="S370" i="202"/>
  <c r="S371" i="202"/>
  <c r="S372" i="202"/>
  <c r="S373" i="202"/>
  <c r="S374" i="202"/>
  <c r="S375" i="202"/>
  <c r="S376" i="202"/>
  <c r="S377" i="202"/>
  <c r="S378" i="202"/>
  <c r="S379" i="202"/>
  <c r="S380" i="202"/>
  <c r="S381" i="202"/>
  <c r="S382" i="202"/>
  <c r="S383" i="202"/>
  <c r="S384" i="202"/>
  <c r="S385" i="202"/>
  <c r="S386" i="202"/>
  <c r="S387" i="202"/>
  <c r="S388" i="202"/>
  <c r="S389" i="202"/>
  <c r="S390" i="202"/>
  <c r="S391" i="202"/>
  <c r="S392" i="202"/>
  <c r="S393" i="202"/>
  <c r="S394" i="202"/>
  <c r="S395" i="202"/>
  <c r="S396" i="202"/>
  <c r="S397" i="202"/>
  <c r="S398" i="202"/>
  <c r="S399" i="202"/>
  <c r="S400" i="202"/>
  <c r="S401" i="202"/>
  <c r="S402" i="202"/>
  <c r="S403" i="202"/>
  <c r="S404" i="202"/>
  <c r="S405" i="202"/>
  <c r="S406" i="202"/>
  <c r="S407" i="202"/>
  <c r="S408" i="202"/>
  <c r="S409" i="202"/>
  <c r="S410" i="202"/>
  <c r="S411" i="202"/>
  <c r="S412" i="202"/>
  <c r="S413" i="202"/>
  <c r="S414" i="202"/>
  <c r="S415" i="202"/>
  <c r="S416" i="202"/>
  <c r="S417" i="202"/>
  <c r="S418" i="202"/>
  <c r="S419" i="202"/>
  <c r="S420" i="202"/>
  <c r="S421" i="202"/>
  <c r="S422" i="202"/>
  <c r="S423" i="202"/>
  <c r="S424" i="202"/>
  <c r="S425" i="202"/>
  <c r="S426" i="202"/>
  <c r="S427" i="202"/>
  <c r="S428" i="202"/>
  <c r="S429" i="202"/>
  <c r="S430" i="202"/>
  <c r="S431" i="202"/>
  <c r="S432" i="202"/>
  <c r="S433" i="202"/>
  <c r="S434" i="202"/>
  <c r="S435" i="202"/>
  <c r="S436" i="202"/>
  <c r="S437" i="202"/>
  <c r="S438" i="202"/>
  <c r="S439" i="202"/>
  <c r="S440" i="202"/>
  <c r="S441" i="202"/>
  <c r="S442" i="202"/>
  <c r="S443" i="202"/>
  <c r="S444" i="202"/>
  <c r="S445" i="202"/>
  <c r="S446" i="202"/>
  <c r="S447" i="202"/>
  <c r="S448" i="202"/>
  <c r="S449" i="202"/>
  <c r="S450" i="202"/>
  <c r="S451" i="202"/>
  <c r="S452" i="202"/>
  <c r="S453" i="202"/>
  <c r="S454" i="202"/>
  <c r="S455" i="202"/>
  <c r="S456" i="202"/>
  <c r="S457" i="202"/>
  <c r="S458" i="202"/>
  <c r="S459" i="202"/>
  <c r="S460" i="202"/>
  <c r="S461" i="202"/>
  <c r="S462" i="202"/>
  <c r="S463" i="202"/>
  <c r="S464" i="202"/>
  <c r="S465" i="202"/>
  <c r="S466" i="202"/>
  <c r="S467" i="202"/>
  <c r="S468" i="202"/>
  <c r="S469" i="202"/>
  <c r="S470" i="202"/>
  <c r="S471" i="202"/>
  <c r="S472" i="202"/>
  <c r="S473" i="202"/>
  <c r="S474" i="202"/>
  <c r="S475" i="202"/>
  <c r="S476" i="202"/>
  <c r="S477" i="202"/>
  <c r="S478" i="202"/>
  <c r="S479" i="202"/>
  <c r="S480" i="202"/>
  <c r="S481" i="202"/>
  <c r="S482" i="202"/>
  <c r="S483" i="202"/>
  <c r="S484" i="202"/>
  <c r="S485" i="202"/>
  <c r="S486" i="202"/>
  <c r="S487" i="202"/>
  <c r="S488" i="202"/>
  <c r="S489" i="202"/>
  <c r="S490" i="202"/>
  <c r="S491" i="202"/>
  <c r="S492" i="202"/>
  <c r="S493" i="202"/>
  <c r="S494" i="202"/>
  <c r="S495" i="202"/>
  <c r="S496" i="202"/>
  <c r="S497" i="202"/>
  <c r="S498" i="202"/>
  <c r="S499" i="202"/>
  <c r="S500" i="202"/>
  <c r="S501" i="202"/>
  <c r="S502" i="202"/>
  <c r="S503" i="202"/>
  <c r="S504" i="202"/>
  <c r="S505" i="202"/>
  <c r="S506" i="202"/>
  <c r="S507" i="202"/>
  <c r="S508" i="202"/>
  <c r="S509" i="202"/>
  <c r="S510" i="202"/>
  <c r="S511" i="202"/>
  <c r="S512" i="202"/>
  <c r="S513" i="202"/>
  <c r="S514" i="202"/>
  <c r="S515" i="202"/>
  <c r="S516" i="202"/>
  <c r="S517" i="202"/>
  <c r="S518" i="202"/>
  <c r="S519" i="202"/>
  <c r="S520" i="202"/>
  <c r="S521" i="202"/>
  <c r="S522" i="202"/>
  <c r="S523" i="202"/>
  <c r="S524" i="202"/>
  <c r="S525" i="202"/>
  <c r="S526" i="202"/>
  <c r="S527" i="202"/>
  <c r="S528" i="202"/>
  <c r="S529" i="202"/>
  <c r="S530" i="202"/>
  <c r="S531" i="202"/>
  <c r="S532" i="202"/>
  <c r="S533" i="202"/>
  <c r="S534" i="202"/>
  <c r="S535" i="202"/>
  <c r="S536" i="202"/>
  <c r="S537" i="202"/>
  <c r="S538" i="202"/>
  <c r="S539" i="202"/>
  <c r="S540" i="202"/>
  <c r="S541" i="202"/>
  <c r="S542" i="202"/>
  <c r="S543" i="202"/>
  <c r="S544" i="202"/>
  <c r="S545" i="202"/>
  <c r="S546" i="202"/>
  <c r="S547" i="202"/>
  <c r="S548" i="202"/>
  <c r="S549" i="202"/>
  <c r="S550" i="202"/>
  <c r="S551" i="202"/>
  <c r="S552" i="202"/>
  <c r="S553" i="202"/>
  <c r="S554" i="202"/>
  <c r="S555" i="202"/>
  <c r="S556" i="202"/>
  <c r="S557" i="202"/>
  <c r="S558" i="202"/>
  <c r="S559" i="202"/>
  <c r="S560" i="202"/>
  <c r="S561" i="202"/>
  <c r="S562" i="202"/>
  <c r="S563" i="202"/>
  <c r="S564" i="202"/>
  <c r="S565" i="202"/>
  <c r="S566" i="202"/>
  <c r="S567" i="202"/>
  <c r="S568" i="202"/>
  <c r="S569" i="202"/>
  <c r="S570" i="202"/>
  <c r="S571" i="202"/>
  <c r="S572" i="202"/>
  <c r="S573" i="202"/>
  <c r="S574" i="202"/>
  <c r="S575" i="202"/>
  <c r="S576" i="202"/>
  <c r="S577" i="202"/>
  <c r="S578" i="202"/>
  <c r="S579" i="202"/>
  <c r="S580" i="202"/>
  <c r="S581" i="202"/>
  <c r="S582" i="202"/>
  <c r="S583" i="202"/>
  <c r="S584" i="202"/>
  <c r="S585" i="202"/>
  <c r="S586" i="202"/>
  <c r="S587" i="202"/>
  <c r="S588" i="202"/>
  <c r="S589" i="202"/>
  <c r="S590" i="202"/>
  <c r="S591" i="202"/>
  <c r="S592" i="202"/>
  <c r="S593" i="202"/>
  <c r="S594" i="202"/>
  <c r="S595" i="202"/>
  <c r="S596" i="202"/>
  <c r="S597" i="202"/>
  <c r="S598" i="202"/>
  <c r="S599" i="202"/>
  <c r="S600" i="202"/>
  <c r="S601" i="202"/>
  <c r="S602" i="202"/>
  <c r="S603" i="202"/>
  <c r="S604" i="202"/>
  <c r="S605" i="202"/>
  <c r="S606" i="202"/>
  <c r="S607" i="202"/>
  <c r="S608" i="202"/>
  <c r="S609" i="202"/>
  <c r="S610" i="202"/>
  <c r="S611" i="202"/>
  <c r="S612" i="202"/>
  <c r="S613" i="202"/>
  <c r="S614" i="202"/>
  <c r="S615" i="202"/>
  <c r="S616" i="202"/>
  <c r="S617" i="202"/>
  <c r="S618" i="202"/>
  <c r="S619" i="202"/>
  <c r="S620" i="202"/>
  <c r="S621" i="202"/>
  <c r="S622" i="202"/>
  <c r="S623" i="202"/>
  <c r="S624" i="202"/>
  <c r="S625" i="202"/>
  <c r="S626" i="202"/>
  <c r="S627" i="202"/>
  <c r="S628" i="202"/>
  <c r="S629" i="202"/>
  <c r="S630" i="202"/>
  <c r="S631" i="202"/>
  <c r="S632" i="202"/>
  <c r="S633" i="202"/>
  <c r="S634" i="202"/>
  <c r="S635" i="202"/>
  <c r="S636" i="202"/>
  <c r="S637" i="202"/>
  <c r="S638" i="202"/>
  <c r="S639" i="202"/>
  <c r="S640" i="202"/>
  <c r="S641" i="202"/>
  <c r="S642" i="202"/>
  <c r="S643" i="202"/>
  <c r="S644" i="202"/>
  <c r="S645" i="202"/>
  <c r="S646" i="202"/>
  <c r="S647" i="202"/>
  <c r="S648" i="202"/>
  <c r="S649" i="202"/>
  <c r="S650" i="202"/>
  <c r="S651" i="202"/>
  <c r="S652" i="202"/>
  <c r="S653" i="202"/>
  <c r="S654" i="202"/>
  <c r="S655" i="202"/>
  <c r="S656" i="202"/>
  <c r="S657" i="202"/>
  <c r="S658" i="202"/>
  <c r="S659" i="202"/>
  <c r="S660" i="202"/>
  <c r="S661" i="202"/>
  <c r="S662" i="202"/>
  <c r="S663" i="202"/>
  <c r="S664" i="202"/>
  <c r="S665" i="202"/>
  <c r="S666" i="202"/>
  <c r="S667" i="202"/>
  <c r="S668" i="202"/>
  <c r="S669" i="202"/>
  <c r="S670" i="202"/>
  <c r="S671" i="202"/>
  <c r="S672" i="202"/>
  <c r="S673" i="202"/>
  <c r="S674" i="202"/>
  <c r="S675" i="202"/>
  <c r="S676" i="202"/>
  <c r="S677" i="202"/>
  <c r="S678" i="202"/>
  <c r="S679" i="202"/>
  <c r="S680" i="202"/>
  <c r="S681" i="202"/>
  <c r="S682" i="202"/>
  <c r="S683" i="202"/>
  <c r="S684" i="202"/>
  <c r="S685" i="202"/>
  <c r="S686" i="202"/>
  <c r="S687" i="202"/>
  <c r="S688" i="202"/>
  <c r="S689" i="202"/>
  <c r="S690" i="202"/>
  <c r="S691" i="202"/>
  <c r="S692" i="202"/>
  <c r="S693" i="202"/>
  <c r="S694" i="202"/>
  <c r="S695" i="202"/>
  <c r="S696" i="202"/>
  <c r="S697" i="202"/>
  <c r="S698" i="202"/>
  <c r="S699" i="202"/>
  <c r="S700" i="202"/>
  <c r="S701" i="202"/>
  <c r="S702" i="202"/>
  <c r="S703" i="202"/>
  <c r="S704" i="202"/>
  <c r="S705" i="202"/>
  <c r="S706" i="202"/>
  <c r="S707" i="202"/>
  <c r="S708" i="202"/>
  <c r="S709" i="202"/>
  <c r="S710" i="202"/>
  <c r="S711" i="202"/>
  <c r="S712" i="202"/>
  <c r="S713" i="202"/>
  <c r="S714" i="202"/>
  <c r="S715" i="202"/>
  <c r="S716" i="202"/>
  <c r="S717" i="202"/>
  <c r="S718" i="202"/>
  <c r="S719" i="202"/>
  <c r="S720" i="202"/>
  <c r="S721" i="202"/>
  <c r="S722" i="202"/>
  <c r="S723" i="202"/>
  <c r="S724" i="202"/>
  <c r="S725" i="202"/>
  <c r="S726" i="202"/>
  <c r="S727" i="202"/>
  <c r="S728" i="202"/>
  <c r="S729" i="202"/>
  <c r="S730" i="202"/>
  <c r="S731" i="202"/>
  <c r="S732" i="202"/>
  <c r="S733" i="202"/>
  <c r="S734" i="202"/>
  <c r="S735" i="202"/>
  <c r="S736" i="202"/>
  <c r="S737" i="202"/>
  <c r="S738" i="202"/>
  <c r="S739" i="202"/>
  <c r="S740" i="202"/>
  <c r="S741" i="202"/>
  <c r="S742" i="202"/>
  <c r="S743" i="202"/>
  <c r="S744" i="202"/>
  <c r="S745" i="202"/>
  <c r="S746" i="202"/>
  <c r="S747" i="202"/>
  <c r="S748" i="202"/>
  <c r="S749" i="202"/>
  <c r="S750" i="202"/>
  <c r="S751" i="202"/>
  <c r="S752" i="202"/>
  <c r="S753" i="202"/>
  <c r="S754" i="202"/>
  <c r="S755" i="202"/>
  <c r="S756" i="202"/>
  <c r="S757" i="202"/>
  <c r="S758" i="202"/>
  <c r="S759" i="202"/>
  <c r="S760" i="202"/>
  <c r="S761" i="202"/>
  <c r="S762" i="202"/>
  <c r="S763" i="202"/>
  <c r="S764" i="202"/>
  <c r="S765" i="202"/>
  <c r="S766" i="202"/>
  <c r="S767" i="202"/>
  <c r="S768" i="202"/>
  <c r="S769" i="202"/>
  <c r="S770" i="202"/>
  <c r="S771" i="202"/>
  <c r="S772" i="202"/>
  <c r="S773" i="202"/>
  <c r="S774" i="202"/>
  <c r="S775" i="202"/>
  <c r="S776" i="202"/>
  <c r="S777" i="202"/>
  <c r="S778" i="202"/>
  <c r="S779" i="202"/>
  <c r="S780" i="202"/>
  <c r="S781" i="202"/>
  <c r="S782" i="202"/>
  <c r="S783" i="202"/>
  <c r="S784" i="202"/>
  <c r="S785" i="202"/>
  <c r="S786" i="202"/>
  <c r="S787" i="202"/>
  <c r="S788" i="202"/>
  <c r="S789" i="202"/>
  <c r="S790" i="202"/>
  <c r="S791" i="202"/>
  <c r="S792" i="202"/>
  <c r="S793" i="202"/>
  <c r="S794" i="202"/>
  <c r="S795" i="202"/>
  <c r="S796" i="202"/>
  <c r="S797" i="202"/>
  <c r="S798" i="202"/>
  <c r="S799" i="202"/>
  <c r="S800" i="202"/>
  <c r="S801" i="202"/>
  <c r="S802" i="202"/>
  <c r="S803" i="202"/>
  <c r="S804" i="202"/>
  <c r="S805" i="202"/>
  <c r="S806" i="202"/>
  <c r="S807" i="202"/>
  <c r="S808" i="202"/>
  <c r="S809" i="202"/>
  <c r="S810" i="202"/>
  <c r="S811" i="202"/>
  <c r="S812" i="202"/>
  <c r="S813" i="202"/>
  <c r="S814" i="202"/>
  <c r="S815" i="202"/>
  <c r="S816" i="202"/>
  <c r="S817" i="202"/>
  <c r="S818" i="202"/>
  <c r="S819" i="202"/>
  <c r="S820" i="202"/>
  <c r="S821" i="202"/>
  <c r="S822" i="202"/>
  <c r="S823" i="202"/>
  <c r="S824" i="202"/>
  <c r="S825" i="202"/>
  <c r="S826" i="202"/>
  <c r="S827" i="202"/>
  <c r="S828" i="202"/>
  <c r="S829" i="202"/>
  <c r="S830" i="202"/>
  <c r="S831" i="202"/>
  <c r="S832" i="202"/>
  <c r="S833" i="202"/>
  <c r="S834" i="202"/>
  <c r="S835" i="202"/>
  <c r="S836" i="202"/>
  <c r="S837" i="202"/>
  <c r="S838" i="202"/>
  <c r="S839" i="202"/>
  <c r="S840" i="202"/>
  <c r="S841" i="202"/>
  <c r="S842" i="202"/>
  <c r="S843" i="202"/>
  <c r="S844" i="202"/>
  <c r="S845" i="202"/>
  <c r="S846" i="202"/>
  <c r="S847" i="202"/>
  <c r="S848" i="202"/>
  <c r="S849" i="202"/>
  <c r="S850" i="202"/>
  <c r="S851" i="202"/>
  <c r="S852" i="202"/>
  <c r="S853" i="202"/>
  <c r="S854" i="202"/>
  <c r="S855" i="202"/>
  <c r="S856" i="202"/>
  <c r="S857" i="202"/>
  <c r="S858" i="202"/>
  <c r="S859" i="202"/>
  <c r="S860" i="202"/>
  <c r="S861" i="202"/>
  <c r="S862" i="202"/>
  <c r="S863" i="202"/>
  <c r="S864" i="202"/>
  <c r="S865" i="202"/>
  <c r="S866" i="202"/>
  <c r="S867" i="202"/>
  <c r="S868" i="202"/>
  <c r="S869" i="202"/>
  <c r="S870" i="202"/>
  <c r="S871" i="202"/>
  <c r="S872" i="202"/>
  <c r="S873" i="202"/>
  <c r="S874" i="202"/>
  <c r="S875" i="202"/>
  <c r="S876" i="202"/>
  <c r="S877" i="202"/>
  <c r="S878" i="202"/>
  <c r="S879" i="202"/>
  <c r="S880" i="202"/>
  <c r="S881" i="202"/>
  <c r="S882" i="202"/>
  <c r="S883" i="202"/>
  <c r="S884" i="202"/>
  <c r="S885" i="202"/>
  <c r="S886" i="202"/>
  <c r="S887" i="202"/>
  <c r="S888" i="202"/>
  <c r="S889" i="202"/>
  <c r="S890" i="202"/>
  <c r="S891" i="202"/>
  <c r="S892" i="202"/>
  <c r="S893" i="202"/>
  <c r="S894" i="202"/>
  <c r="S895" i="202"/>
  <c r="S896" i="202"/>
  <c r="S897" i="202"/>
  <c r="S898" i="202"/>
  <c r="S899" i="202"/>
  <c r="S900" i="202"/>
  <c r="S901" i="202"/>
  <c r="S902" i="202"/>
  <c r="S903" i="202"/>
  <c r="S904" i="202"/>
  <c r="S905" i="202"/>
  <c r="S906" i="202"/>
  <c r="S907" i="202"/>
  <c r="S908" i="202"/>
  <c r="S909" i="202"/>
  <c r="S910" i="202"/>
  <c r="S911" i="202"/>
  <c r="S912" i="202"/>
  <c r="S913" i="202"/>
  <c r="S914" i="202"/>
  <c r="S915" i="202"/>
  <c r="S916" i="202"/>
  <c r="S917" i="202"/>
  <c r="S918" i="202"/>
  <c r="S919" i="202"/>
  <c r="S920" i="202"/>
  <c r="S921" i="202"/>
  <c r="S922" i="202"/>
  <c r="S923" i="202"/>
  <c r="S924" i="202"/>
  <c r="S925" i="202"/>
  <c r="S926" i="202"/>
  <c r="S927" i="202"/>
  <c r="S928" i="202"/>
  <c r="S929" i="202"/>
  <c r="S930" i="202"/>
  <c r="S931" i="202"/>
  <c r="S932" i="202"/>
  <c r="S933" i="202"/>
  <c r="S934" i="202"/>
  <c r="S935" i="202"/>
  <c r="S936" i="202"/>
  <c r="S937" i="202"/>
  <c r="S938" i="202"/>
  <c r="S939" i="202"/>
  <c r="S940" i="202"/>
  <c r="S941" i="202"/>
  <c r="S942" i="202"/>
  <c r="S943" i="202"/>
  <c r="S944" i="202"/>
  <c r="S945" i="202"/>
  <c r="S946" i="202"/>
  <c r="S947" i="202"/>
  <c r="S948" i="202"/>
  <c r="S949" i="202"/>
  <c r="S950" i="202"/>
  <c r="S951" i="202"/>
  <c r="S952" i="202"/>
  <c r="S953" i="202"/>
  <c r="S954" i="202"/>
  <c r="S955" i="202"/>
  <c r="S956" i="202"/>
  <c r="S957" i="202"/>
  <c r="S958" i="202"/>
  <c r="S959" i="202"/>
  <c r="S960" i="202"/>
  <c r="S961" i="202"/>
  <c r="S962" i="202"/>
  <c r="S963" i="202"/>
  <c r="S964" i="202"/>
  <c r="S965" i="202"/>
  <c r="S966" i="202"/>
  <c r="S967" i="202"/>
  <c r="S968" i="202"/>
  <c r="S969" i="202"/>
  <c r="S970" i="202"/>
  <c r="S971" i="202"/>
  <c r="S972" i="202"/>
  <c r="S973" i="202"/>
  <c r="S974" i="202"/>
  <c r="S975" i="202"/>
  <c r="S976" i="202"/>
  <c r="S977" i="202"/>
  <c r="S978" i="202"/>
  <c r="S979" i="202"/>
  <c r="S980" i="202"/>
  <c r="S981" i="202"/>
  <c r="S982" i="202"/>
  <c r="S983" i="202"/>
  <c r="S984" i="202"/>
  <c r="S985" i="202"/>
  <c r="S986" i="202"/>
  <c r="S987" i="202"/>
  <c r="S988" i="202"/>
  <c r="S989" i="202"/>
  <c r="S990" i="202"/>
  <c r="S991" i="202"/>
  <c r="S992" i="202"/>
  <c r="S993" i="202"/>
  <c r="S994" i="202"/>
  <c r="S995" i="202"/>
  <c r="S996" i="202"/>
  <c r="S997" i="202"/>
  <c r="S998" i="202"/>
  <c r="S999" i="202"/>
  <c r="S1000" i="202"/>
  <c r="S1001" i="202"/>
  <c r="S1002" i="202"/>
  <c r="S1003" i="202"/>
  <c r="S1004" i="202"/>
  <c r="S1005" i="202"/>
  <c r="S1006" i="202"/>
  <c r="S1007" i="202"/>
  <c r="S1008" i="202"/>
  <c r="S1009" i="202"/>
  <c r="S1010" i="202"/>
  <c r="S1011" i="202"/>
  <c r="S1012" i="202"/>
  <c r="S1013" i="202"/>
  <c r="S1014" i="202"/>
  <c r="S1015" i="202"/>
  <c r="S1016" i="202"/>
  <c r="S1017" i="202"/>
  <c r="S1018" i="202"/>
  <c r="S1019" i="202"/>
  <c r="S1020" i="202"/>
  <c r="S1021" i="202"/>
  <c r="S1022" i="202"/>
  <c r="S1023" i="202"/>
  <c r="S1024" i="202"/>
  <c r="S1025" i="202"/>
  <c r="S1026" i="202"/>
  <c r="S1027" i="202"/>
  <c r="S1028" i="202"/>
  <c r="S1029" i="202"/>
  <c r="S1030" i="202"/>
  <c r="S1031" i="202"/>
  <c r="S1032" i="202"/>
  <c r="S1033" i="202"/>
  <c r="S1034" i="202"/>
  <c r="S1035" i="202"/>
  <c r="S1036" i="202"/>
  <c r="S1037" i="202"/>
  <c r="S1038" i="202"/>
  <c r="S1039" i="202"/>
  <c r="S1040" i="202"/>
  <c r="S1041" i="202"/>
  <c r="S1042" i="202"/>
  <c r="S1043" i="202"/>
  <c r="S1044" i="202"/>
  <c r="S1045" i="202"/>
  <c r="S1046" i="202"/>
  <c r="S1047" i="202"/>
  <c r="S1048" i="202"/>
  <c r="S1049" i="202"/>
  <c r="S1050" i="202"/>
  <c r="S1051" i="202"/>
  <c r="S1052" i="202"/>
  <c r="S1053" i="202"/>
  <c r="S1054" i="202"/>
  <c r="S1055" i="202"/>
  <c r="S1056" i="202"/>
  <c r="S1057" i="202"/>
  <c r="S1058" i="202"/>
  <c r="S1059" i="202"/>
  <c r="S1060" i="202"/>
  <c r="S1061" i="202"/>
  <c r="S1062" i="202"/>
  <c r="S1063" i="202"/>
  <c r="S1064" i="202"/>
  <c r="S1065" i="202"/>
  <c r="S1066" i="202"/>
  <c r="S1067" i="202"/>
  <c r="S1068" i="202"/>
  <c r="S1069" i="202"/>
  <c r="S1070" i="202"/>
  <c r="S1071" i="202"/>
  <c r="S1072" i="202"/>
  <c r="S1073" i="202"/>
  <c r="S1074" i="202"/>
  <c r="S1075" i="202"/>
  <c r="S1076" i="202"/>
  <c r="S1077" i="202"/>
  <c r="S1078" i="202"/>
  <c r="S1079" i="202"/>
  <c r="S1080" i="202"/>
  <c r="S1081" i="202"/>
  <c r="S1082" i="202"/>
  <c r="S1083" i="202"/>
  <c r="S1084" i="202"/>
  <c r="S1085" i="202"/>
  <c r="S1086" i="202"/>
  <c r="S1087" i="202"/>
  <c r="S1088" i="202"/>
  <c r="S1089" i="202"/>
  <c r="S1090" i="202"/>
  <c r="S1091" i="202"/>
  <c r="S1092" i="202"/>
  <c r="S1093" i="202"/>
  <c r="S1094" i="202"/>
  <c r="S1095" i="202"/>
  <c r="S1096" i="202"/>
  <c r="S1097" i="202"/>
  <c r="S1098" i="202"/>
  <c r="S1099" i="202"/>
  <c r="S1100" i="202"/>
  <c r="S1101" i="202"/>
  <c r="S1102" i="202"/>
  <c r="S1103" i="202"/>
  <c r="S1104" i="202"/>
  <c r="S1105" i="202"/>
  <c r="S1106" i="202"/>
  <c r="S1107" i="202"/>
  <c r="S1108" i="202"/>
  <c r="S1109" i="202"/>
  <c r="S1110" i="202"/>
  <c r="S1111" i="202"/>
  <c r="S1112" i="202"/>
  <c r="S1113" i="202"/>
  <c r="S1114" i="202"/>
  <c r="S1115" i="202"/>
  <c r="S1116" i="202"/>
  <c r="S1117" i="202"/>
  <c r="S1118" i="202"/>
  <c r="S1119" i="202"/>
  <c r="S1120" i="202"/>
  <c r="S1121" i="202"/>
  <c r="S1122" i="202"/>
  <c r="S1123" i="202"/>
  <c r="S1124" i="202"/>
  <c r="S1125" i="202"/>
  <c r="S1126" i="202"/>
  <c r="S1127" i="202"/>
  <c r="S1128" i="202"/>
  <c r="S1129" i="202"/>
  <c r="S1130" i="202"/>
  <c r="S1131" i="202"/>
  <c r="S1132" i="202"/>
  <c r="S1133" i="202"/>
  <c r="S1134" i="202"/>
  <c r="S1135" i="202"/>
  <c r="S1136" i="202"/>
  <c r="S1137" i="202"/>
  <c r="S1138" i="202"/>
  <c r="S1139" i="202"/>
  <c r="S1140" i="202"/>
  <c r="S1141" i="202"/>
  <c r="S1142" i="202"/>
  <c r="S1143" i="202"/>
  <c r="S1144" i="202"/>
  <c r="S1145" i="202"/>
  <c r="S1146" i="202"/>
  <c r="S1147" i="202"/>
  <c r="S1148" i="202"/>
  <c r="S1149" i="202"/>
  <c r="S1150" i="202"/>
  <c r="S1151" i="202"/>
  <c r="S1152" i="202"/>
  <c r="S1153" i="202"/>
  <c r="S1154" i="202"/>
  <c r="S1155" i="202"/>
  <c r="S1156" i="202"/>
  <c r="S1157" i="202"/>
  <c r="S1158" i="202"/>
  <c r="S1159" i="202"/>
  <c r="S1160" i="202"/>
  <c r="S1161" i="202"/>
  <c r="S1162" i="202"/>
  <c r="S1163" i="202"/>
  <c r="S1164" i="202"/>
  <c r="S1165" i="202"/>
  <c r="S1166" i="202"/>
  <c r="S1167" i="202"/>
  <c r="S1168" i="202"/>
  <c r="S1169" i="202"/>
  <c r="S1170" i="202"/>
  <c r="S1171" i="202"/>
  <c r="S1172" i="202"/>
  <c r="S1173" i="202"/>
  <c r="S1174" i="202"/>
  <c r="S1175" i="202"/>
  <c r="S1176" i="202"/>
  <c r="S1177" i="202"/>
  <c r="S1178" i="202"/>
  <c r="S1179" i="202"/>
  <c r="S1180" i="202"/>
  <c r="S1181" i="202"/>
  <c r="S1182" i="202"/>
  <c r="S1183" i="202"/>
  <c r="S1184" i="202"/>
  <c r="S1185" i="202"/>
  <c r="S1186" i="202"/>
  <c r="S1187" i="202"/>
  <c r="S1188" i="202"/>
  <c r="S1189" i="202"/>
  <c r="S1190" i="202"/>
  <c r="S1191" i="202"/>
  <c r="S1192" i="202"/>
  <c r="S1193" i="202"/>
  <c r="S1194" i="202"/>
  <c r="S1195" i="202"/>
  <c r="S1196" i="202"/>
  <c r="S1197" i="202"/>
  <c r="S1198" i="202"/>
  <c r="S1199" i="202"/>
  <c r="S1200" i="202"/>
  <c r="S1201" i="202"/>
  <c r="S1202" i="202"/>
  <c r="S1203" i="202"/>
  <c r="S1204" i="202"/>
  <c r="S1205" i="202"/>
  <c r="S1206" i="202"/>
  <c r="S1207" i="202"/>
  <c r="S1208" i="202"/>
  <c r="S1209" i="202"/>
  <c r="S1210" i="202"/>
  <c r="S1211" i="202"/>
  <c r="S1212" i="202"/>
  <c r="S1213" i="202"/>
  <c r="S1214" i="202"/>
  <c r="S1215" i="202"/>
  <c r="S1216" i="202"/>
  <c r="S1217" i="202"/>
  <c r="S1218" i="202"/>
  <c r="S1219" i="202"/>
  <c r="S1220" i="202"/>
  <c r="S1221" i="202"/>
  <c r="S1222" i="202"/>
  <c r="S1223" i="202"/>
  <c r="S1224" i="202"/>
  <c r="S1225" i="202"/>
  <c r="S1226" i="202"/>
  <c r="S1227" i="202"/>
  <c r="S1228" i="202"/>
  <c r="S1229" i="202"/>
  <c r="S1230" i="202"/>
  <c r="S1231" i="202"/>
  <c r="S1232" i="202"/>
  <c r="S1233" i="202"/>
  <c r="S1234" i="202"/>
  <c r="S1235" i="202"/>
  <c r="S1236" i="202"/>
  <c r="S1237" i="202"/>
  <c r="S1238" i="202"/>
  <c r="S1239" i="202"/>
  <c r="S1240" i="202"/>
  <c r="S1241" i="202"/>
  <c r="S1242" i="202"/>
  <c r="S1243" i="202"/>
  <c r="S1244" i="202"/>
  <c r="S1245" i="202"/>
  <c r="S1246" i="202"/>
  <c r="S1247" i="202"/>
  <c r="S1248" i="202"/>
  <c r="S1249" i="202"/>
  <c r="S1250" i="202"/>
  <c r="S1251" i="202"/>
  <c r="S1252" i="202"/>
  <c r="S1253" i="202"/>
  <c r="S1254" i="202"/>
  <c r="S1255" i="202"/>
  <c r="S1256" i="202"/>
  <c r="S1257" i="202"/>
  <c r="S1258" i="202"/>
  <c r="S1259" i="202"/>
  <c r="S1260" i="202"/>
  <c r="S1261" i="202"/>
  <c r="S1262" i="202"/>
  <c r="S1263" i="202"/>
  <c r="S1264" i="202"/>
  <c r="S1265" i="202"/>
  <c r="S1266" i="202"/>
  <c r="S1267" i="202"/>
  <c r="S1268" i="202"/>
  <c r="S1269" i="202"/>
  <c r="S1270" i="202"/>
  <c r="S1271" i="202"/>
  <c r="S1272" i="202"/>
  <c r="S1273" i="202"/>
  <c r="S1274" i="202"/>
  <c r="S1275" i="202"/>
  <c r="S1276" i="202"/>
  <c r="S1277" i="202"/>
  <c r="S1278" i="202"/>
  <c r="S1279" i="202"/>
  <c r="S1280" i="202"/>
  <c r="S1281" i="202"/>
  <c r="S1282" i="202"/>
  <c r="S1283" i="202"/>
  <c r="S1284" i="202"/>
  <c r="S1285" i="202"/>
  <c r="S1286" i="202"/>
  <c r="S1287" i="202"/>
  <c r="S1288" i="202"/>
  <c r="S1289" i="202"/>
  <c r="S1290" i="202"/>
  <c r="S1291" i="202"/>
  <c r="S1292" i="202"/>
  <c r="S1293" i="202"/>
  <c r="S1294" i="202"/>
  <c r="S1295" i="202"/>
  <c r="S1296" i="202"/>
  <c r="S1297" i="202"/>
  <c r="S1298" i="202"/>
  <c r="S1299" i="202"/>
  <c r="S1300" i="202"/>
  <c r="S1301" i="202"/>
  <c r="S1302" i="202"/>
  <c r="S1303" i="202"/>
  <c r="S1304" i="202"/>
  <c r="S1305" i="202"/>
  <c r="S1306" i="202"/>
  <c r="S1307" i="202"/>
  <c r="S1308" i="202"/>
  <c r="S1309" i="202"/>
  <c r="S1310" i="202"/>
  <c r="S1311" i="202"/>
  <c r="S1312" i="202"/>
  <c r="S1313" i="202"/>
  <c r="S1314" i="202"/>
  <c r="S1315" i="202"/>
  <c r="S1316" i="202"/>
  <c r="S1317" i="202"/>
  <c r="S1318" i="202"/>
  <c r="S1319" i="202"/>
  <c r="S1320" i="202"/>
  <c r="S1321" i="202"/>
  <c r="S1322" i="202"/>
  <c r="S1323" i="202"/>
  <c r="S1324" i="202"/>
  <c r="S1325" i="202"/>
  <c r="S1326" i="202"/>
  <c r="S1327" i="202"/>
  <c r="S1328" i="202"/>
  <c r="S1329" i="202"/>
  <c r="S1330" i="202"/>
  <c r="S1331" i="202"/>
  <c r="S1332" i="202"/>
  <c r="S1333" i="202"/>
  <c r="S1334" i="202"/>
  <c r="S1335" i="202"/>
  <c r="S1336" i="202"/>
  <c r="S1337" i="202"/>
  <c r="S1338" i="202"/>
  <c r="S1339" i="202"/>
  <c r="S1340" i="202"/>
  <c r="S1341" i="202"/>
  <c r="S1342" i="202"/>
  <c r="S1343" i="202"/>
  <c r="S1344" i="202"/>
  <c r="S1345" i="202"/>
  <c r="S1346" i="202"/>
  <c r="S1347" i="202"/>
  <c r="S1348" i="202"/>
  <c r="S1349" i="202"/>
  <c r="S1350" i="202"/>
  <c r="S1351" i="202"/>
  <c r="S1352" i="202"/>
  <c r="S1353" i="202"/>
  <c r="S1354" i="202"/>
  <c r="S1355" i="202"/>
  <c r="S1356" i="202"/>
  <c r="S1357" i="202"/>
  <c r="S1358" i="202"/>
  <c r="S1359" i="202"/>
  <c r="S1360" i="202"/>
  <c r="S1361" i="202"/>
  <c r="S1362" i="202"/>
  <c r="S1363" i="202"/>
  <c r="S1364" i="202"/>
  <c r="S1365" i="202"/>
  <c r="S1366" i="202"/>
  <c r="S1367" i="202"/>
  <c r="S1368" i="202"/>
  <c r="S1369" i="202"/>
  <c r="S1370" i="202"/>
  <c r="S1371" i="202"/>
  <c r="S1372" i="202"/>
  <c r="S1373" i="202"/>
  <c r="S1374" i="202"/>
  <c r="S1375" i="202"/>
  <c r="S1376" i="202"/>
  <c r="S1377" i="202"/>
  <c r="S1378" i="202"/>
  <c r="S1379" i="202"/>
  <c r="S1380" i="202"/>
  <c r="S1381" i="202"/>
  <c r="S1382" i="202"/>
  <c r="S1383" i="202"/>
  <c r="S1384" i="202"/>
  <c r="S1385" i="202"/>
  <c r="S1386" i="202"/>
  <c r="S1387" i="202"/>
  <c r="S1388" i="202"/>
  <c r="S1389" i="202"/>
  <c r="S1390" i="202"/>
  <c r="S1391" i="202"/>
  <c r="S1392" i="202"/>
  <c r="S1393" i="202"/>
  <c r="S1394" i="202"/>
  <c r="S1395" i="202"/>
  <c r="S1396" i="202"/>
  <c r="S1397" i="202"/>
  <c r="S1398" i="202"/>
  <c r="S1399" i="202"/>
  <c r="S1400" i="202"/>
  <c r="S1401" i="202"/>
  <c r="S1402" i="202"/>
  <c r="S1403" i="202"/>
  <c r="S1404" i="202"/>
  <c r="S1405" i="202"/>
  <c r="S1406" i="202"/>
  <c r="S1407" i="202"/>
  <c r="S1408" i="202"/>
  <c r="S1409" i="202"/>
  <c r="S1410" i="202"/>
  <c r="S1411" i="202"/>
  <c r="S1412" i="202"/>
  <c r="S1413" i="202"/>
  <c r="S1414" i="202"/>
  <c r="S1415" i="202"/>
  <c r="S1416" i="202"/>
  <c r="S1417" i="202"/>
  <c r="S1418" i="202"/>
  <c r="S1419" i="202"/>
  <c r="S1420" i="202"/>
  <c r="S1421" i="202"/>
  <c r="S1422" i="202"/>
  <c r="S1423" i="202"/>
  <c r="S1424" i="202"/>
  <c r="S1425" i="202"/>
  <c r="S1426" i="202"/>
  <c r="S1427" i="202"/>
  <c r="S1428" i="202"/>
  <c r="S1429" i="202"/>
  <c r="S1430" i="202"/>
  <c r="S1431" i="202"/>
  <c r="S1432" i="202"/>
  <c r="S1433" i="202"/>
  <c r="S1434" i="202"/>
  <c r="S1435" i="202"/>
  <c r="S1436" i="202"/>
  <c r="S1437" i="202"/>
  <c r="S1438" i="202"/>
  <c r="S1439" i="202"/>
  <c r="S1440" i="202"/>
  <c r="S1441" i="202"/>
  <c r="S1442" i="202"/>
  <c r="S1443" i="202"/>
  <c r="S1444" i="202"/>
  <c r="S1445" i="202"/>
  <c r="S1446" i="202"/>
  <c r="S1447" i="202"/>
  <c r="S1448" i="202"/>
  <c r="S1449" i="202"/>
  <c r="S1450" i="202"/>
  <c r="S1451" i="202"/>
  <c r="S1452" i="202"/>
  <c r="S1453" i="202"/>
  <c r="S1454" i="202"/>
  <c r="S1455" i="202"/>
  <c r="S1456" i="202"/>
  <c r="S1457" i="202"/>
  <c r="S1458" i="202"/>
  <c r="S1459" i="202"/>
  <c r="S1460" i="202"/>
  <c r="S1461" i="202"/>
  <c r="S1462" i="202"/>
  <c r="S1463" i="202"/>
  <c r="S1464" i="202"/>
  <c r="S1465" i="202"/>
  <c r="S1466" i="202"/>
  <c r="S1467" i="202"/>
  <c r="S1468" i="202"/>
  <c r="S1469" i="202"/>
  <c r="S1470" i="202"/>
  <c r="S1471" i="202"/>
  <c r="S1472" i="202"/>
  <c r="S1473" i="202"/>
  <c r="S1474" i="202"/>
  <c r="S1475" i="202"/>
  <c r="S1476" i="202"/>
  <c r="S1477" i="202"/>
  <c r="S1478" i="202"/>
  <c r="S1479" i="202"/>
  <c r="S1480" i="202"/>
  <c r="S1481" i="202"/>
  <c r="S1482" i="202"/>
  <c r="S1483" i="202"/>
  <c r="S1484" i="202"/>
  <c r="S1485" i="202"/>
  <c r="S1486" i="202"/>
  <c r="S1487" i="202"/>
  <c r="S1488" i="202"/>
  <c r="S1489" i="202"/>
  <c r="S1490" i="202"/>
  <c r="S1491" i="202"/>
  <c r="S1492" i="202"/>
  <c r="S1493" i="202"/>
  <c r="S1494" i="202"/>
  <c r="S1495" i="202"/>
  <c r="S1496" i="202"/>
  <c r="S1497" i="202"/>
  <c r="S1498" i="202"/>
  <c r="S1499" i="202"/>
  <c r="S1500" i="202"/>
  <c r="S1501" i="202"/>
  <c r="S1502" i="202"/>
  <c r="S1503" i="202"/>
  <c r="S1504" i="202"/>
  <c r="S1505" i="202"/>
  <c r="S1506" i="202"/>
  <c r="S1507" i="202"/>
  <c r="S1508" i="202"/>
  <c r="S1509" i="202"/>
  <c r="S1510" i="202"/>
  <c r="S1511" i="202"/>
  <c r="S1512" i="202"/>
  <c r="S1513" i="202"/>
  <c r="S1514" i="202"/>
  <c r="S1515" i="202"/>
  <c r="S1516" i="202"/>
  <c r="S1517" i="202"/>
  <c r="S1518" i="202"/>
  <c r="S1519" i="202"/>
  <c r="S1520" i="202"/>
  <c r="S1521" i="202"/>
  <c r="S1522" i="202"/>
  <c r="S1523" i="202"/>
  <c r="S1524" i="202"/>
  <c r="S1525" i="202"/>
  <c r="S1526" i="202"/>
  <c r="S1527" i="202"/>
  <c r="S1528" i="202"/>
  <c r="S1529" i="202"/>
  <c r="S1530" i="202"/>
  <c r="S1531" i="202"/>
  <c r="S1532" i="202"/>
  <c r="S1533" i="202"/>
  <c r="S1534" i="202"/>
  <c r="S1535" i="202"/>
  <c r="S1536" i="202"/>
  <c r="S1537" i="202"/>
  <c r="S1538" i="202"/>
  <c r="S1539" i="202"/>
  <c r="S1540" i="202"/>
  <c r="S1541" i="202"/>
  <c r="S1542" i="202"/>
  <c r="S1543" i="202"/>
  <c r="S1544" i="202"/>
  <c r="S1545" i="202"/>
  <c r="S1546" i="202"/>
  <c r="S1547" i="202"/>
  <c r="S1548" i="202"/>
  <c r="S1549" i="202"/>
  <c r="S1550" i="202"/>
  <c r="S1551" i="202"/>
  <c r="S1552" i="202"/>
  <c r="S1553" i="202"/>
  <c r="S1554" i="202"/>
  <c r="S1555" i="202"/>
  <c r="S1556" i="202"/>
  <c r="S1557" i="202"/>
  <c r="S1558" i="202"/>
  <c r="S1559" i="202"/>
  <c r="S1560" i="202"/>
  <c r="S1561" i="202"/>
  <c r="S1562" i="202"/>
  <c r="S1563" i="202"/>
  <c r="S1564" i="202"/>
  <c r="S1565" i="202"/>
  <c r="S1566" i="202"/>
  <c r="S1567" i="202"/>
  <c r="S1568" i="202"/>
  <c r="S1569" i="202"/>
  <c r="S1570" i="202"/>
  <c r="S1571" i="202"/>
  <c r="S1572" i="202"/>
  <c r="S1573" i="202"/>
  <c r="S1574" i="202"/>
  <c r="S1575" i="202"/>
  <c r="S1576" i="202"/>
  <c r="S1577" i="202"/>
  <c r="S1578" i="202"/>
  <c r="S1579" i="202"/>
  <c r="S1580" i="202"/>
  <c r="S1581" i="202"/>
  <c r="S1582" i="202"/>
  <c r="S1583" i="202"/>
  <c r="S1584" i="202"/>
  <c r="S1585" i="202"/>
  <c r="S1586" i="202"/>
  <c r="S1587" i="202"/>
  <c r="S1588" i="202"/>
  <c r="S1589" i="202"/>
  <c r="S1590" i="202"/>
  <c r="S1591" i="202"/>
  <c r="S1592" i="202"/>
  <c r="S1593" i="202"/>
  <c r="S1594" i="202"/>
  <c r="S1595" i="202"/>
  <c r="S1596" i="202"/>
  <c r="S1597" i="202"/>
  <c r="S1598" i="202"/>
  <c r="S1599" i="202"/>
  <c r="S1600" i="202"/>
  <c r="S1601" i="202"/>
  <c r="S1602" i="202"/>
  <c r="S1603" i="202"/>
  <c r="S1604" i="202"/>
  <c r="S1605" i="202"/>
  <c r="S1606" i="202"/>
  <c r="S1607" i="202"/>
  <c r="S1608" i="202"/>
  <c r="S1609" i="202"/>
  <c r="S1610" i="202"/>
  <c r="S1611" i="202"/>
  <c r="S1612" i="202"/>
  <c r="S1613" i="202"/>
  <c r="S1614" i="202"/>
  <c r="S1615" i="202"/>
  <c r="S1616" i="202"/>
  <c r="S1617" i="202"/>
  <c r="S1618" i="202"/>
  <c r="S1619" i="202"/>
  <c r="S1620" i="202"/>
  <c r="S1621" i="202"/>
  <c r="S1622" i="202"/>
  <c r="S1623" i="202"/>
  <c r="S1624" i="202"/>
  <c r="S1625" i="202"/>
  <c r="S1626" i="202"/>
  <c r="S1627" i="202"/>
  <c r="S1628" i="202"/>
  <c r="S1629" i="202"/>
  <c r="S1630" i="202"/>
  <c r="S1631" i="202"/>
  <c r="S1632" i="202"/>
  <c r="S1633" i="202"/>
  <c r="S1634" i="202"/>
  <c r="S1635" i="202"/>
  <c r="S1636" i="202"/>
  <c r="S1637" i="202"/>
  <c r="S1638" i="202"/>
  <c r="S1639" i="202"/>
  <c r="S1640" i="202"/>
  <c r="S1641" i="202"/>
  <c r="S1642" i="202"/>
  <c r="S1643" i="202"/>
  <c r="S1644" i="202"/>
  <c r="S1645" i="202"/>
  <c r="S1646" i="202"/>
  <c r="S1647" i="202"/>
  <c r="S1648" i="202"/>
  <c r="S1649" i="202"/>
  <c r="S1650" i="202"/>
  <c r="S1651" i="202"/>
  <c r="S1652" i="202"/>
  <c r="S1653" i="202"/>
  <c r="S1654" i="202"/>
  <c r="S1655" i="202"/>
  <c r="S1656" i="202"/>
  <c r="S1657" i="202"/>
  <c r="S1658" i="202"/>
  <c r="S1659" i="202"/>
  <c r="S1660" i="202"/>
  <c r="S1661" i="202"/>
  <c r="S1662" i="202"/>
  <c r="S1663" i="202"/>
  <c r="S1664" i="202"/>
  <c r="S1665" i="202"/>
  <c r="S1666" i="202"/>
  <c r="S1667" i="202"/>
  <c r="S1668" i="202"/>
  <c r="S1669" i="202"/>
  <c r="S1670" i="202"/>
  <c r="S1671" i="202"/>
  <c r="S1672" i="202"/>
  <c r="S1673" i="202"/>
  <c r="S1674" i="202"/>
  <c r="S1675" i="202"/>
  <c r="S1676" i="202"/>
  <c r="S1677" i="202"/>
  <c r="S1678" i="202"/>
  <c r="S1679" i="202"/>
  <c r="S1680" i="202"/>
  <c r="S1681" i="202"/>
  <c r="S1682" i="202"/>
  <c r="S1683" i="202"/>
  <c r="S1684" i="202"/>
  <c r="S1685" i="202"/>
  <c r="S1686" i="202"/>
  <c r="S1687" i="202"/>
  <c r="S1688" i="202"/>
  <c r="S1689" i="202"/>
  <c r="S1690" i="202"/>
  <c r="S1691" i="202"/>
  <c r="S1692" i="202"/>
  <c r="S1693" i="202"/>
  <c r="S1694" i="202"/>
  <c r="S1695" i="202"/>
  <c r="S1696" i="202"/>
  <c r="S1697" i="202"/>
  <c r="S1698" i="202"/>
  <c r="S1699" i="202"/>
  <c r="S1700" i="202"/>
  <c r="S1701" i="202"/>
  <c r="S1702" i="202"/>
  <c r="S1703" i="202"/>
  <c r="S1704" i="202"/>
  <c r="S1705" i="202"/>
  <c r="S1706" i="202"/>
  <c r="S1707" i="202"/>
  <c r="S1708" i="202"/>
  <c r="S1709" i="202"/>
  <c r="S1710" i="202"/>
  <c r="S1711" i="202"/>
  <c r="S1712" i="202"/>
  <c r="S1713" i="202"/>
  <c r="S1714" i="202"/>
  <c r="S1715" i="202"/>
  <c r="S1716" i="202"/>
  <c r="S1717" i="202"/>
  <c r="S1718" i="202"/>
  <c r="S1719" i="202"/>
  <c r="S1720" i="202"/>
  <c r="S1721" i="202"/>
  <c r="S1722" i="202"/>
  <c r="S1723" i="202"/>
  <c r="S1724" i="202"/>
  <c r="S1725" i="202"/>
  <c r="S1726" i="202"/>
  <c r="S1727" i="202"/>
  <c r="S1728" i="202"/>
  <c r="S1729" i="202"/>
  <c r="S1730" i="202"/>
  <c r="S1731" i="202"/>
  <c r="S1732" i="202"/>
  <c r="S1733" i="202"/>
  <c r="S1734" i="202"/>
  <c r="S1735" i="202"/>
  <c r="S1736" i="202"/>
  <c r="S1737" i="202"/>
  <c r="S1738" i="202"/>
  <c r="S1739" i="202"/>
  <c r="S1740" i="202"/>
  <c r="S1741" i="202"/>
  <c r="S1742" i="202"/>
  <c r="S1743" i="202"/>
  <c r="S1744" i="202"/>
  <c r="S1745" i="202"/>
  <c r="S1746" i="202"/>
  <c r="S1747" i="202"/>
  <c r="S1748" i="202"/>
  <c r="S1749" i="202"/>
  <c r="S1750" i="202"/>
  <c r="S1751" i="202"/>
  <c r="S1752" i="202"/>
  <c r="S1753" i="202"/>
  <c r="S1754" i="202"/>
  <c r="S1755" i="202"/>
  <c r="S1756" i="202"/>
  <c r="S1757" i="202"/>
  <c r="S1758" i="202"/>
  <c r="S1759" i="202"/>
  <c r="S1760" i="202"/>
  <c r="S1761" i="202"/>
  <c r="S1762" i="202"/>
  <c r="S1763" i="202"/>
  <c r="S1764" i="202"/>
  <c r="S1765" i="202"/>
  <c r="S1766" i="202"/>
  <c r="S1767" i="202"/>
  <c r="S1768" i="202"/>
  <c r="S1769" i="202"/>
  <c r="S1770" i="202"/>
  <c r="S1771" i="202"/>
  <c r="S1772" i="202"/>
  <c r="S1773" i="202"/>
  <c r="S1774" i="202"/>
  <c r="S1775" i="202"/>
  <c r="S1776" i="202"/>
  <c r="S1777" i="202"/>
  <c r="S1778" i="202"/>
  <c r="S1779" i="202"/>
  <c r="S1780" i="202"/>
  <c r="S1781" i="202"/>
  <c r="S1782" i="202"/>
  <c r="S1783" i="202"/>
  <c r="S1784" i="202"/>
  <c r="S1785" i="202"/>
  <c r="S1786" i="202"/>
  <c r="S1787" i="202"/>
  <c r="S1788" i="202"/>
  <c r="S1789" i="202"/>
  <c r="S1790" i="202"/>
  <c r="S1791" i="202"/>
  <c r="S1792" i="202"/>
  <c r="S1793" i="202"/>
  <c r="S1794" i="202"/>
  <c r="S1795" i="202"/>
  <c r="S1796" i="202"/>
  <c r="S1797" i="202"/>
  <c r="S1798" i="202"/>
  <c r="S1799" i="202"/>
  <c r="S1800" i="202"/>
  <c r="S1801" i="202"/>
  <c r="S1802" i="202"/>
  <c r="S1803" i="202"/>
  <c r="S1804" i="202"/>
  <c r="S1805" i="202"/>
  <c r="S1806" i="202"/>
  <c r="S1807" i="202"/>
  <c r="S1808" i="202"/>
  <c r="S1809" i="202"/>
  <c r="S1810" i="202"/>
  <c r="S1811" i="202"/>
  <c r="S1812" i="202"/>
  <c r="S1813" i="202"/>
  <c r="S1814" i="202"/>
  <c r="S1815" i="202"/>
  <c r="S1816" i="202"/>
  <c r="S1817" i="202"/>
  <c r="S1818" i="202"/>
  <c r="S1819" i="202"/>
  <c r="S1820" i="202"/>
  <c r="S1821" i="202"/>
  <c r="S1822" i="202"/>
  <c r="S1823" i="202"/>
  <c r="S1824" i="202"/>
  <c r="S1825" i="202"/>
  <c r="S1826" i="202"/>
  <c r="S1827" i="202"/>
  <c r="S1828" i="202"/>
  <c r="S1829" i="202"/>
  <c r="S1830" i="202"/>
  <c r="S1831" i="202"/>
  <c r="S1832" i="202"/>
  <c r="S1833" i="202"/>
  <c r="S1834" i="202"/>
  <c r="S1835" i="202"/>
  <c r="S1836" i="202"/>
  <c r="S1837" i="202"/>
  <c r="S1838" i="202"/>
  <c r="S1839" i="202"/>
  <c r="S1840" i="202"/>
  <c r="S1841" i="202"/>
  <c r="S1842" i="202"/>
  <c r="S1843" i="202"/>
  <c r="S1844" i="202"/>
  <c r="S1845" i="202"/>
  <c r="S1846" i="202"/>
  <c r="S1847" i="202"/>
  <c r="S1848" i="202"/>
  <c r="S1849" i="202"/>
  <c r="S1850" i="202"/>
  <c r="S1851" i="202"/>
  <c r="S1852" i="202"/>
  <c r="S1853" i="202"/>
  <c r="S1854" i="202"/>
  <c r="S1855" i="202"/>
  <c r="S1856" i="202"/>
  <c r="S1857" i="202"/>
  <c r="S1858" i="202"/>
  <c r="S1859" i="202"/>
  <c r="S1860" i="202"/>
  <c r="S1861" i="202"/>
  <c r="S1862" i="202"/>
  <c r="S1863" i="202"/>
  <c r="S1864" i="202"/>
  <c r="S1865" i="202"/>
  <c r="S1866" i="202"/>
  <c r="S1867" i="202"/>
  <c r="S1868" i="202"/>
  <c r="S1869" i="202"/>
  <c r="S1870" i="202"/>
  <c r="S1871" i="202"/>
  <c r="S1872" i="202"/>
  <c r="S1873" i="202"/>
  <c r="S1874" i="202"/>
  <c r="S1875" i="202"/>
  <c r="S1876" i="202"/>
  <c r="S1877" i="202"/>
  <c r="S1878" i="202"/>
  <c r="S1879" i="202"/>
  <c r="S1880" i="202"/>
  <c r="S1881" i="202"/>
  <c r="S1882" i="202"/>
  <c r="S1883" i="202"/>
  <c r="S1884" i="202"/>
  <c r="S1885" i="202"/>
  <c r="S1886" i="202"/>
  <c r="S1887" i="202"/>
  <c r="S1888" i="202"/>
  <c r="S1889" i="202"/>
  <c r="S1890" i="202"/>
  <c r="S1891" i="202"/>
  <c r="S1892" i="202"/>
  <c r="S1893" i="202"/>
  <c r="S1894" i="202"/>
  <c r="S1895" i="202"/>
  <c r="S1896" i="202"/>
  <c r="S1897" i="202"/>
  <c r="S1898" i="202"/>
  <c r="S1899" i="202"/>
  <c r="S1900" i="202"/>
  <c r="S1901" i="202"/>
  <c r="S1902" i="202"/>
  <c r="S1903" i="202"/>
  <c r="S1904" i="202"/>
  <c r="S1905" i="202"/>
  <c r="S1906" i="202"/>
  <c r="S1907" i="202"/>
  <c r="S1908" i="202"/>
  <c r="S1909" i="202"/>
  <c r="S1910" i="202"/>
  <c r="S1911" i="202"/>
  <c r="S1912" i="202"/>
  <c r="S1913" i="202"/>
  <c r="S1914" i="202"/>
  <c r="S1915" i="202"/>
  <c r="S1916" i="202"/>
  <c r="S1917" i="202"/>
  <c r="S1918" i="202"/>
  <c r="S1919" i="202"/>
  <c r="S1920" i="202"/>
  <c r="S1921" i="202"/>
  <c r="S1922" i="202"/>
  <c r="S1923" i="202"/>
  <c r="S1924" i="202"/>
  <c r="S1925" i="202"/>
  <c r="S1926" i="202"/>
  <c r="S1927" i="202"/>
  <c r="S1928" i="202"/>
  <c r="S1929" i="202"/>
  <c r="S1930" i="202"/>
  <c r="S1931" i="202"/>
  <c r="S1932" i="202"/>
  <c r="S1933" i="202"/>
  <c r="S1934" i="202"/>
  <c r="S1935" i="202"/>
  <c r="S1936" i="202"/>
  <c r="S1937" i="202"/>
  <c r="S1938" i="202"/>
  <c r="S1939" i="202"/>
  <c r="S1940" i="202"/>
  <c r="S1941" i="202"/>
  <c r="S1942" i="202"/>
  <c r="S1943" i="202"/>
  <c r="S1944" i="202"/>
  <c r="S1945" i="202"/>
  <c r="S1946" i="202"/>
  <c r="S1947" i="202"/>
  <c r="S1948" i="202"/>
  <c r="S1949" i="202"/>
  <c r="S1950" i="202"/>
  <c r="S1951" i="202"/>
  <c r="S1952" i="202"/>
  <c r="S1953" i="202"/>
  <c r="S1954" i="202"/>
  <c r="S1955" i="202"/>
  <c r="S1956" i="202"/>
  <c r="S1957" i="202"/>
  <c r="S1958" i="202"/>
  <c r="S1959" i="202"/>
  <c r="S1960" i="202"/>
  <c r="S1961" i="202"/>
  <c r="S1962" i="202"/>
  <c r="S1963" i="202"/>
  <c r="S1964" i="202"/>
  <c r="S1965" i="202"/>
  <c r="S1966" i="202"/>
  <c r="S1967" i="202"/>
  <c r="S1968" i="202"/>
  <c r="S1969" i="202"/>
  <c r="S1970" i="202"/>
  <c r="S1971" i="202"/>
  <c r="S1972" i="202"/>
  <c r="S1973" i="202"/>
  <c r="S1974" i="202"/>
  <c r="S1975" i="202"/>
  <c r="S1976" i="202"/>
  <c r="S1977" i="202"/>
  <c r="S1978" i="202"/>
  <c r="S1979" i="202"/>
  <c r="S1980" i="202"/>
  <c r="S1981" i="202"/>
  <c r="S1982" i="202"/>
  <c r="S1983" i="202"/>
  <c r="S1984" i="202"/>
  <c r="S1985" i="202"/>
  <c r="S1986" i="202"/>
  <c r="S1987" i="202"/>
  <c r="S1988" i="202"/>
  <c r="S1989" i="202"/>
  <c r="S1990" i="202"/>
  <c r="S1991" i="202"/>
  <c r="S1992" i="202"/>
  <c r="S1993" i="202"/>
  <c r="S1994" i="202"/>
  <c r="S1995" i="202"/>
  <c r="S1996" i="202"/>
  <c r="S1997" i="202"/>
  <c r="S1998" i="202"/>
  <c r="S1999" i="202"/>
  <c r="S2000" i="202"/>
  <c r="S2001" i="202"/>
  <c r="S2002" i="202"/>
  <c r="S2003" i="202"/>
  <c r="S2004" i="202"/>
  <c r="S2005" i="202"/>
  <c r="S2006" i="202"/>
  <c r="S2007" i="202"/>
  <c r="S2008" i="202"/>
  <c r="S2009" i="202"/>
  <c r="S2010" i="202"/>
  <c r="S2011" i="202"/>
  <c r="S2012" i="202"/>
  <c r="S2013" i="202"/>
  <c r="S2014" i="202"/>
  <c r="S2015" i="202"/>
  <c r="S2016" i="202"/>
  <c r="S2017" i="202"/>
  <c r="S2018" i="202"/>
  <c r="S2019" i="202"/>
  <c r="S2020" i="202"/>
  <c r="S2021" i="202"/>
  <c r="S2022" i="202"/>
  <c r="S2023" i="202"/>
  <c r="S2024" i="202"/>
  <c r="S2025" i="202"/>
  <c r="S2026" i="202"/>
  <c r="S2027" i="202"/>
  <c r="S2028" i="202"/>
  <c r="S2029" i="202"/>
  <c r="S2030" i="202"/>
  <c r="S2031" i="202"/>
  <c r="S2032" i="202"/>
  <c r="S2033" i="202"/>
  <c r="S2034" i="202"/>
  <c r="S2035" i="202"/>
  <c r="S2036" i="202"/>
  <c r="S2037" i="202"/>
  <c r="S2038" i="202"/>
  <c r="S2039" i="202"/>
  <c r="S2040" i="202"/>
  <c r="S2041" i="202"/>
  <c r="S2042" i="202"/>
  <c r="S2043" i="202"/>
  <c r="S2044" i="202"/>
  <c r="S2045" i="202"/>
  <c r="S2046" i="202"/>
  <c r="S2047" i="202"/>
  <c r="S2048" i="202"/>
  <c r="AT2" i="202"/>
  <c r="BJ2" i="202" s="1"/>
  <c r="AT3" i="202"/>
  <c r="BJ3" i="202" s="1"/>
  <c r="AT4" i="202"/>
  <c r="BJ4" i="202" s="1"/>
  <c r="AT5" i="202"/>
  <c r="BJ5" i="202" s="1"/>
  <c r="AT6" i="202"/>
  <c r="BJ6" i="202" s="1"/>
  <c r="AT7" i="202"/>
  <c r="BJ7" i="202" s="1"/>
  <c r="AT8" i="202"/>
  <c r="BJ8" i="202" s="1"/>
  <c r="AT9" i="202"/>
  <c r="BJ9" i="202" s="1"/>
  <c r="AT10" i="202"/>
  <c r="BJ10" i="202" s="1"/>
  <c r="AT11" i="202"/>
  <c r="BJ11" i="202" s="1"/>
  <c r="AT12" i="202"/>
  <c r="BJ12" i="202" s="1"/>
  <c r="AT13" i="202"/>
  <c r="BJ13" i="202" s="1"/>
  <c r="AT14" i="202"/>
  <c r="BJ14" i="202" s="1"/>
  <c r="AT15" i="202"/>
  <c r="BJ15" i="202" s="1"/>
  <c r="AT16" i="202"/>
  <c r="BJ16" i="202" s="1"/>
  <c r="AT17" i="202"/>
  <c r="BJ17" i="202" s="1"/>
  <c r="AT18" i="202"/>
  <c r="BJ18" i="202" s="1"/>
  <c r="AT19" i="202"/>
  <c r="BJ19" i="202" s="1"/>
  <c r="AT20" i="202"/>
  <c r="BJ20" i="202" s="1"/>
  <c r="AT21" i="202"/>
  <c r="BJ21" i="202" s="1"/>
  <c r="AT22" i="202"/>
  <c r="BJ22" i="202" s="1"/>
  <c r="AT23" i="202"/>
  <c r="BJ23" i="202" s="1"/>
  <c r="AT24" i="202"/>
  <c r="BJ24" i="202" s="1"/>
  <c r="AT25" i="202"/>
  <c r="BJ25" i="202" s="1"/>
  <c r="AT26" i="202"/>
  <c r="BJ26" i="202" s="1"/>
  <c r="AT27" i="202"/>
  <c r="BJ27" i="202" s="1"/>
  <c r="AT28" i="202"/>
  <c r="BJ28" i="202" s="1"/>
  <c r="AT29" i="202"/>
  <c r="BJ29" i="202" s="1"/>
  <c r="AT30" i="202"/>
  <c r="BJ30" i="202" s="1"/>
  <c r="AT31" i="202"/>
  <c r="BJ31" i="202" s="1"/>
  <c r="AT32" i="202"/>
  <c r="BJ32" i="202" s="1"/>
  <c r="AT33" i="202"/>
  <c r="BJ33" i="202" s="1"/>
  <c r="AT34" i="202"/>
  <c r="BJ34" i="202" s="1"/>
  <c r="AT35" i="202"/>
  <c r="BJ35" i="202" s="1"/>
  <c r="AT36" i="202"/>
  <c r="BJ36" i="202" s="1"/>
  <c r="AT37" i="202"/>
  <c r="BJ37" i="202" s="1"/>
  <c r="AT38" i="202"/>
  <c r="BJ38" i="202" s="1"/>
  <c r="AT39" i="202"/>
  <c r="BJ39" i="202" s="1"/>
  <c r="AT40" i="202"/>
  <c r="BJ40" i="202" s="1"/>
  <c r="AT41" i="202"/>
  <c r="BJ41" i="202" s="1"/>
  <c r="AT42" i="202"/>
  <c r="BJ42" i="202" s="1"/>
  <c r="AT43" i="202"/>
  <c r="BJ43" i="202" s="1"/>
  <c r="AT44" i="202"/>
  <c r="BJ44" i="202" s="1"/>
  <c r="AT45" i="202"/>
  <c r="BJ45" i="202" s="1"/>
  <c r="AT46" i="202"/>
  <c r="BJ46" i="202" s="1"/>
  <c r="AT47" i="202"/>
  <c r="BJ47" i="202" s="1"/>
  <c r="AT48" i="202"/>
  <c r="BJ48" i="202" s="1"/>
  <c r="AT49" i="202"/>
  <c r="BJ49" i="202" s="1"/>
  <c r="AT50" i="202"/>
  <c r="BJ50" i="202" s="1"/>
  <c r="AT51" i="202"/>
  <c r="BJ51" i="202" s="1"/>
  <c r="AT52" i="202"/>
  <c r="BJ52" i="202" s="1"/>
  <c r="AT53" i="202"/>
  <c r="BJ53" i="202" s="1"/>
  <c r="AT54" i="202"/>
  <c r="BJ54" i="202" s="1"/>
  <c r="AT55" i="202"/>
  <c r="BJ55" i="202" s="1"/>
  <c r="AT56" i="202"/>
  <c r="BJ56" i="202" s="1"/>
  <c r="AT57" i="202"/>
  <c r="BJ57" i="202" s="1"/>
  <c r="AT58" i="202"/>
  <c r="BJ58" i="202" s="1"/>
  <c r="AT59" i="202"/>
  <c r="BJ59" i="202" s="1"/>
  <c r="AT60" i="202"/>
  <c r="BJ60" i="202" s="1"/>
  <c r="AT61" i="202"/>
  <c r="BJ61" i="202" s="1"/>
  <c r="AT62" i="202"/>
  <c r="BJ62" i="202" s="1"/>
  <c r="AT63" i="202"/>
  <c r="BJ63" i="202" s="1"/>
  <c r="AT64" i="202"/>
  <c r="BJ64" i="202" s="1"/>
  <c r="AT65" i="202"/>
  <c r="BJ65" i="202" s="1"/>
  <c r="AT66" i="202"/>
  <c r="BJ66" i="202" s="1"/>
  <c r="AT67" i="202"/>
  <c r="BJ67" i="202" s="1"/>
  <c r="AT68" i="202"/>
  <c r="BJ68" i="202" s="1"/>
  <c r="AT69" i="202"/>
  <c r="BJ69" i="202" s="1"/>
  <c r="AT70" i="202"/>
  <c r="BJ70" i="202" s="1"/>
  <c r="AT71" i="202"/>
  <c r="BJ71" i="202" s="1"/>
  <c r="AT72" i="202"/>
  <c r="BJ72" i="202" s="1"/>
  <c r="AT73" i="202"/>
  <c r="BJ73" i="202" s="1"/>
  <c r="AT74" i="202"/>
  <c r="BJ74" i="202" s="1"/>
  <c r="AT75" i="202"/>
  <c r="BJ75" i="202" s="1"/>
  <c r="AT76" i="202"/>
  <c r="BJ76" i="202" s="1"/>
  <c r="AT77" i="202"/>
  <c r="BJ77" i="202" s="1"/>
  <c r="AT78" i="202"/>
  <c r="BJ78" i="202" s="1"/>
  <c r="AT79" i="202"/>
  <c r="BJ79" i="202" s="1"/>
  <c r="AT80" i="202"/>
  <c r="BJ80" i="202" s="1"/>
  <c r="AT81" i="202"/>
  <c r="BJ81" i="202" s="1"/>
  <c r="AT82" i="202"/>
  <c r="BJ82" i="202" s="1"/>
  <c r="AT83" i="202"/>
  <c r="BJ83" i="202" s="1"/>
  <c r="AT84" i="202"/>
  <c r="BJ84" i="202" s="1"/>
  <c r="AT85" i="202"/>
  <c r="BJ85" i="202" s="1"/>
  <c r="AT86" i="202"/>
  <c r="BJ86" i="202" s="1"/>
  <c r="AT87" i="202"/>
  <c r="BJ87" i="202" s="1"/>
  <c r="AT88" i="202"/>
  <c r="BJ88" i="202" s="1"/>
  <c r="AT89" i="202"/>
  <c r="BJ89" i="202" s="1"/>
  <c r="AT90" i="202"/>
  <c r="BJ90" i="202" s="1"/>
  <c r="AT91" i="202"/>
  <c r="BJ91" i="202" s="1"/>
  <c r="AT92" i="202"/>
  <c r="BJ92" i="202" s="1"/>
  <c r="AT93" i="202"/>
  <c r="BJ93" i="202" s="1"/>
  <c r="AT94" i="202"/>
  <c r="BJ94" i="202" s="1"/>
  <c r="AT95" i="202"/>
  <c r="BJ95" i="202" s="1"/>
  <c r="AT96" i="202"/>
  <c r="BJ96" i="202" s="1"/>
  <c r="AT97" i="202"/>
  <c r="BJ97" i="202" s="1"/>
  <c r="AT98" i="202"/>
  <c r="BJ98" i="202" s="1"/>
  <c r="AT99" i="202"/>
  <c r="BJ99" i="202" s="1"/>
  <c r="AT100" i="202"/>
  <c r="BJ100" i="202" s="1"/>
  <c r="AT101" i="202"/>
  <c r="BJ101" i="202" s="1"/>
  <c r="AT102" i="202"/>
  <c r="BJ102" i="202" s="1"/>
  <c r="AT103" i="202"/>
  <c r="BJ103" i="202" s="1"/>
  <c r="AT104" i="202"/>
  <c r="BJ104" i="202" s="1"/>
  <c r="AT105" i="202"/>
  <c r="BJ105" i="202" s="1"/>
  <c r="AT106" i="202"/>
  <c r="BJ106" i="202" s="1"/>
  <c r="AT107" i="202"/>
  <c r="BJ107" i="202" s="1"/>
  <c r="AT108" i="202"/>
  <c r="BJ108" i="202" s="1"/>
  <c r="AT109" i="202"/>
  <c r="BJ109" i="202" s="1"/>
  <c r="AT110" i="202"/>
  <c r="BJ110" i="202" s="1"/>
  <c r="AT111" i="202"/>
  <c r="BJ111" i="202" s="1"/>
  <c r="AT112" i="202"/>
  <c r="BJ112" i="202" s="1"/>
  <c r="AT113" i="202"/>
  <c r="BJ113" i="202" s="1"/>
  <c r="AT114" i="202"/>
  <c r="BJ114" i="202" s="1"/>
  <c r="AT115" i="202"/>
  <c r="BJ115" i="202" s="1"/>
  <c r="AT116" i="202"/>
  <c r="BJ116" i="202" s="1"/>
  <c r="AT117" i="202"/>
  <c r="BJ117" i="202" s="1"/>
  <c r="AT118" i="202"/>
  <c r="BJ118" i="202" s="1"/>
  <c r="AT119" i="202"/>
  <c r="BJ119" i="202" s="1"/>
  <c r="AT120" i="202"/>
  <c r="BJ120" i="202" s="1"/>
  <c r="AT121" i="202"/>
  <c r="BJ121" i="202" s="1"/>
  <c r="AT122" i="202"/>
  <c r="BJ122" i="202" s="1"/>
  <c r="AT123" i="202"/>
  <c r="BJ123" i="202" s="1"/>
  <c r="AT124" i="202"/>
  <c r="BJ124" i="202" s="1"/>
  <c r="AT125" i="202"/>
  <c r="BJ125" i="202" s="1"/>
  <c r="AT126" i="202"/>
  <c r="BJ126" i="202" s="1"/>
  <c r="AT127" i="202"/>
  <c r="BJ127" i="202" s="1"/>
  <c r="AT128" i="202"/>
  <c r="BJ128" i="202" s="1"/>
  <c r="AT129" i="202"/>
  <c r="BJ129" i="202" s="1"/>
  <c r="AT130" i="202"/>
  <c r="BJ130" i="202" s="1"/>
  <c r="AT131" i="202"/>
  <c r="BJ131" i="202" s="1"/>
  <c r="AT132" i="202"/>
  <c r="BJ132" i="202" s="1"/>
  <c r="AT133" i="202"/>
  <c r="BJ133" i="202" s="1"/>
  <c r="AT134" i="202"/>
  <c r="BJ134" i="202" s="1"/>
  <c r="AT135" i="202"/>
  <c r="BJ135" i="202" s="1"/>
  <c r="AT136" i="202"/>
  <c r="BJ136" i="202" s="1"/>
  <c r="AT137" i="202"/>
  <c r="BJ137" i="202" s="1"/>
  <c r="AT138" i="202"/>
  <c r="BJ138" i="202" s="1"/>
  <c r="AT139" i="202"/>
  <c r="BJ139" i="202" s="1"/>
  <c r="AT140" i="202"/>
  <c r="BJ140" i="202" s="1"/>
  <c r="AT141" i="202"/>
  <c r="BJ141" i="202" s="1"/>
  <c r="AT142" i="202"/>
  <c r="BJ142" i="202" s="1"/>
  <c r="AT143" i="202"/>
  <c r="BJ143" i="202" s="1"/>
  <c r="AT144" i="202"/>
  <c r="BJ144" i="202" s="1"/>
  <c r="AT145" i="202"/>
  <c r="BJ145" i="202" s="1"/>
  <c r="AT146" i="202"/>
  <c r="BJ146" i="202" s="1"/>
  <c r="AT147" i="202"/>
  <c r="BJ147" i="202" s="1"/>
  <c r="AT148" i="202"/>
  <c r="BJ148" i="202" s="1"/>
  <c r="AT149" i="202"/>
  <c r="BJ149" i="202" s="1"/>
  <c r="AT150" i="202"/>
  <c r="BJ150" i="202" s="1"/>
  <c r="AT151" i="202"/>
  <c r="BJ151" i="202" s="1"/>
  <c r="AT152" i="202"/>
  <c r="BJ152" i="202" s="1"/>
  <c r="AT153" i="202"/>
  <c r="BJ153" i="202" s="1"/>
  <c r="AT154" i="202"/>
  <c r="BJ154" i="202" s="1"/>
  <c r="AT155" i="202"/>
  <c r="BJ155" i="202" s="1"/>
  <c r="AT156" i="202"/>
  <c r="BJ156" i="202" s="1"/>
  <c r="AT157" i="202"/>
  <c r="BJ157" i="202" s="1"/>
  <c r="AT158" i="202"/>
  <c r="BJ158" i="202" s="1"/>
  <c r="AT159" i="202"/>
  <c r="BJ159" i="202" s="1"/>
  <c r="AT160" i="202"/>
  <c r="BJ160" i="202" s="1"/>
  <c r="AT161" i="202"/>
  <c r="BJ161" i="202" s="1"/>
  <c r="AT162" i="202"/>
  <c r="BJ162" i="202" s="1"/>
  <c r="AT163" i="202"/>
  <c r="BJ163" i="202" s="1"/>
  <c r="AT164" i="202"/>
  <c r="BJ164" i="202" s="1"/>
  <c r="AT165" i="202"/>
  <c r="BJ165" i="202" s="1"/>
  <c r="AT166" i="202"/>
  <c r="BJ166" i="202" s="1"/>
  <c r="AT167" i="202"/>
  <c r="BJ167" i="202" s="1"/>
  <c r="AT168" i="202"/>
  <c r="BJ168" i="202" s="1"/>
  <c r="AT169" i="202"/>
  <c r="BJ169" i="202" s="1"/>
  <c r="AT170" i="202"/>
  <c r="BJ170" i="202" s="1"/>
  <c r="AT171" i="202"/>
  <c r="BJ171" i="202" s="1"/>
  <c r="AT172" i="202"/>
  <c r="BJ172" i="202" s="1"/>
  <c r="AT173" i="202"/>
  <c r="BJ173" i="202" s="1"/>
  <c r="AT174" i="202"/>
  <c r="BJ174" i="202" s="1"/>
  <c r="AT175" i="202"/>
  <c r="BJ175" i="202" s="1"/>
  <c r="AT176" i="202"/>
  <c r="BJ176" i="202" s="1"/>
  <c r="AT177" i="202"/>
  <c r="BJ177" i="202" s="1"/>
  <c r="AT178" i="202"/>
  <c r="BJ178" i="202" s="1"/>
  <c r="AT179" i="202"/>
  <c r="BJ179" i="202" s="1"/>
  <c r="AT180" i="202"/>
  <c r="BJ180" i="202" s="1"/>
  <c r="AT181" i="202"/>
  <c r="BJ181" i="202" s="1"/>
  <c r="AT182" i="202"/>
  <c r="BJ182" i="202" s="1"/>
  <c r="AT183" i="202"/>
  <c r="BJ183" i="202" s="1"/>
  <c r="AT184" i="202"/>
  <c r="BJ184" i="202" s="1"/>
  <c r="AT185" i="202"/>
  <c r="BJ185" i="202" s="1"/>
  <c r="AT186" i="202"/>
  <c r="BJ186" i="202" s="1"/>
  <c r="AT187" i="202"/>
  <c r="BJ187" i="202" s="1"/>
  <c r="AT188" i="202"/>
  <c r="BJ188" i="202" s="1"/>
  <c r="AT189" i="202"/>
  <c r="BJ189" i="202" s="1"/>
  <c r="AT190" i="202"/>
  <c r="BJ190" i="202" s="1"/>
  <c r="AT191" i="202"/>
  <c r="BJ191" i="202" s="1"/>
  <c r="AT192" i="202"/>
  <c r="BJ192" i="202" s="1"/>
  <c r="AT193" i="202"/>
  <c r="BJ193" i="202" s="1"/>
  <c r="AT194" i="202"/>
  <c r="BJ194" i="202" s="1"/>
  <c r="AT195" i="202"/>
  <c r="BJ195" i="202" s="1"/>
  <c r="AT196" i="202"/>
  <c r="BJ196" i="202" s="1"/>
  <c r="AT197" i="202"/>
  <c r="BJ197" i="202" s="1"/>
  <c r="AT198" i="202"/>
  <c r="BJ198" i="202" s="1"/>
  <c r="AT199" i="202"/>
  <c r="BJ199" i="202" s="1"/>
  <c r="AT200" i="202"/>
  <c r="BJ200" i="202" s="1"/>
  <c r="AT201" i="202"/>
  <c r="BJ201" i="202" s="1"/>
  <c r="AT202" i="202"/>
  <c r="BJ202" i="202" s="1"/>
  <c r="AT203" i="202"/>
  <c r="BJ203" i="202" s="1"/>
  <c r="AT204" i="202"/>
  <c r="BJ204" i="202" s="1"/>
  <c r="AT205" i="202"/>
  <c r="BJ205" i="202" s="1"/>
  <c r="AT206" i="202"/>
  <c r="BJ206" i="202" s="1"/>
  <c r="AT207" i="202"/>
  <c r="BJ207" i="202" s="1"/>
  <c r="AT208" i="202"/>
  <c r="BJ208" i="202" s="1"/>
  <c r="AT209" i="202"/>
  <c r="BJ209" i="202" s="1"/>
  <c r="AT210" i="202"/>
  <c r="BJ210" i="202" s="1"/>
  <c r="AT211" i="202"/>
  <c r="BJ211" i="202" s="1"/>
  <c r="AT212" i="202"/>
  <c r="BJ212" i="202" s="1"/>
  <c r="AT213" i="202"/>
  <c r="BJ213" i="202" s="1"/>
  <c r="AT214" i="202"/>
  <c r="BJ214" i="202" s="1"/>
  <c r="AT215" i="202"/>
  <c r="BJ215" i="202" s="1"/>
  <c r="AT216" i="202"/>
  <c r="BJ216" i="202" s="1"/>
  <c r="AT217" i="202"/>
  <c r="BJ217" i="202" s="1"/>
  <c r="AT218" i="202"/>
  <c r="BJ218" i="202" s="1"/>
  <c r="AT219" i="202"/>
  <c r="BJ219" i="202" s="1"/>
  <c r="AT220" i="202"/>
  <c r="BJ220" i="202" s="1"/>
  <c r="AT221" i="202"/>
  <c r="BJ221" i="202" s="1"/>
  <c r="AT222" i="202"/>
  <c r="BJ222" i="202" s="1"/>
  <c r="AT223" i="202"/>
  <c r="BJ223" i="202" s="1"/>
  <c r="AT224" i="202"/>
  <c r="BJ224" i="202" s="1"/>
  <c r="AT225" i="202"/>
  <c r="BJ225" i="202" s="1"/>
  <c r="AT226" i="202"/>
  <c r="BJ226" i="202" s="1"/>
  <c r="AT227" i="202"/>
  <c r="BJ227" i="202" s="1"/>
  <c r="AT228" i="202"/>
  <c r="BJ228" i="202" s="1"/>
  <c r="AT229" i="202"/>
  <c r="BJ229" i="202" s="1"/>
  <c r="AT230" i="202"/>
  <c r="BJ230" i="202" s="1"/>
  <c r="AT231" i="202"/>
  <c r="BJ231" i="202" s="1"/>
  <c r="AT232" i="202"/>
  <c r="BJ232" i="202" s="1"/>
  <c r="AT233" i="202"/>
  <c r="BJ233" i="202" s="1"/>
  <c r="AT234" i="202"/>
  <c r="BJ234" i="202" s="1"/>
  <c r="AT235" i="202"/>
  <c r="BJ235" i="202" s="1"/>
  <c r="AT236" i="202"/>
  <c r="BJ236" i="202" s="1"/>
  <c r="AT237" i="202"/>
  <c r="BJ237" i="202" s="1"/>
  <c r="AT238" i="202"/>
  <c r="BJ238" i="202" s="1"/>
  <c r="AT239" i="202"/>
  <c r="BJ239" i="202" s="1"/>
  <c r="AT240" i="202"/>
  <c r="BJ240" i="202" s="1"/>
  <c r="AT241" i="202"/>
  <c r="BJ241" i="202" s="1"/>
  <c r="AT242" i="202"/>
  <c r="BJ242" i="202" s="1"/>
  <c r="AT243" i="202"/>
  <c r="BJ243" i="202" s="1"/>
  <c r="AT244" i="202"/>
  <c r="BJ244" i="202" s="1"/>
  <c r="AT245" i="202"/>
  <c r="BJ245" i="202" s="1"/>
  <c r="AT246" i="202"/>
  <c r="BJ246" i="202" s="1"/>
  <c r="AT247" i="202"/>
  <c r="BJ247" i="202" s="1"/>
  <c r="AT248" i="202"/>
  <c r="BJ248" i="202" s="1"/>
  <c r="AT249" i="202"/>
  <c r="BJ249" i="202" s="1"/>
  <c r="AT250" i="202"/>
  <c r="BJ250" i="202" s="1"/>
  <c r="AT251" i="202"/>
  <c r="BJ251" i="202" s="1"/>
  <c r="AT252" i="202"/>
  <c r="BJ252" i="202" s="1"/>
  <c r="AT253" i="202"/>
  <c r="BJ253" i="202" s="1"/>
  <c r="AT254" i="202"/>
  <c r="BJ254" i="202" s="1"/>
  <c r="AT255" i="202"/>
  <c r="BJ255" i="202" s="1"/>
  <c r="AT256" i="202"/>
  <c r="BJ256" i="202" s="1"/>
  <c r="AT257" i="202"/>
  <c r="BJ257" i="202" s="1"/>
  <c r="AT258" i="202"/>
  <c r="BJ258" i="202" s="1"/>
  <c r="AT259" i="202"/>
  <c r="BJ259" i="202" s="1"/>
  <c r="AT260" i="202"/>
  <c r="BJ260" i="202" s="1"/>
  <c r="AT261" i="202"/>
  <c r="BJ261" i="202" s="1"/>
  <c r="AT262" i="202"/>
  <c r="BJ262" i="202" s="1"/>
  <c r="AT263" i="202"/>
  <c r="BJ263" i="202" s="1"/>
  <c r="AT264" i="202"/>
  <c r="BJ264" i="202" s="1"/>
  <c r="AT265" i="202"/>
  <c r="BJ265" i="202" s="1"/>
  <c r="AT266" i="202"/>
  <c r="BJ266" i="202" s="1"/>
  <c r="AT267" i="202"/>
  <c r="BJ267" i="202" s="1"/>
  <c r="AT268" i="202"/>
  <c r="BJ268" i="202" s="1"/>
  <c r="AT269" i="202"/>
  <c r="BJ269" i="202" s="1"/>
  <c r="AT270" i="202"/>
  <c r="BJ270" i="202" s="1"/>
  <c r="AT271" i="202"/>
  <c r="BJ271" i="202" s="1"/>
  <c r="AT272" i="202"/>
  <c r="BJ272" i="202" s="1"/>
  <c r="AT273" i="202"/>
  <c r="BJ273" i="202" s="1"/>
  <c r="AT274" i="202"/>
  <c r="BJ274" i="202" s="1"/>
  <c r="AT275" i="202"/>
  <c r="BJ275" i="202" s="1"/>
  <c r="AT276" i="202"/>
  <c r="BJ276" i="202" s="1"/>
  <c r="AT277" i="202"/>
  <c r="BJ277" i="202" s="1"/>
  <c r="AT278" i="202"/>
  <c r="BJ278" i="202" s="1"/>
  <c r="AT279" i="202"/>
  <c r="BJ279" i="202" s="1"/>
  <c r="AT280" i="202"/>
  <c r="BJ280" i="202" s="1"/>
  <c r="AT281" i="202"/>
  <c r="BJ281" i="202" s="1"/>
  <c r="AT282" i="202"/>
  <c r="BJ282" i="202" s="1"/>
  <c r="AT283" i="202"/>
  <c r="BJ283" i="202" s="1"/>
  <c r="AT284" i="202"/>
  <c r="BJ284" i="202" s="1"/>
  <c r="AT285" i="202"/>
  <c r="BJ285" i="202" s="1"/>
  <c r="AT286" i="202"/>
  <c r="BJ286" i="202" s="1"/>
  <c r="AT287" i="202"/>
  <c r="BJ287" i="202" s="1"/>
  <c r="AT288" i="202"/>
  <c r="BJ288" i="202" s="1"/>
  <c r="AT289" i="202"/>
  <c r="BJ289" i="202" s="1"/>
  <c r="AT290" i="202"/>
  <c r="BJ290" i="202" s="1"/>
  <c r="AT291" i="202"/>
  <c r="BJ291" i="202" s="1"/>
  <c r="AT292" i="202"/>
  <c r="BJ292" i="202" s="1"/>
  <c r="AT293" i="202"/>
  <c r="BJ293" i="202" s="1"/>
  <c r="AT294" i="202"/>
  <c r="BJ294" i="202" s="1"/>
  <c r="AT295" i="202"/>
  <c r="BJ295" i="202" s="1"/>
  <c r="AT296" i="202"/>
  <c r="BJ296" i="202" s="1"/>
  <c r="AT297" i="202"/>
  <c r="BJ297" i="202" s="1"/>
  <c r="AT298" i="202"/>
  <c r="BJ298" i="202" s="1"/>
  <c r="AT299" i="202"/>
  <c r="BJ299" i="202" s="1"/>
  <c r="AT300" i="202"/>
  <c r="BJ300" i="202" s="1"/>
  <c r="AT301" i="202"/>
  <c r="BJ301" i="202" s="1"/>
  <c r="AT302" i="202"/>
  <c r="BJ302" i="202" s="1"/>
  <c r="AT303" i="202"/>
  <c r="BJ303" i="202" s="1"/>
  <c r="AT304" i="202"/>
  <c r="BJ304" i="202" s="1"/>
  <c r="AT305" i="202"/>
  <c r="BJ305" i="202" s="1"/>
  <c r="AT306" i="202"/>
  <c r="BJ306" i="202" s="1"/>
  <c r="AT307" i="202"/>
  <c r="BJ307" i="202" s="1"/>
  <c r="AT308" i="202"/>
  <c r="BJ308" i="202" s="1"/>
  <c r="AT309" i="202"/>
  <c r="BJ309" i="202" s="1"/>
  <c r="AT310" i="202"/>
  <c r="BJ310" i="202" s="1"/>
  <c r="AT311" i="202"/>
  <c r="BJ311" i="202" s="1"/>
  <c r="AT312" i="202"/>
  <c r="BJ312" i="202" s="1"/>
  <c r="AT313" i="202"/>
  <c r="BJ313" i="202" s="1"/>
  <c r="AT314" i="202"/>
  <c r="BJ314" i="202" s="1"/>
  <c r="AT315" i="202"/>
  <c r="BJ315" i="202" s="1"/>
  <c r="AT316" i="202"/>
  <c r="BJ316" i="202" s="1"/>
  <c r="AT317" i="202"/>
  <c r="BJ317" i="202" s="1"/>
  <c r="AT318" i="202"/>
  <c r="BJ318" i="202" s="1"/>
  <c r="AT319" i="202"/>
  <c r="BJ319" i="202" s="1"/>
  <c r="AT320" i="202"/>
  <c r="BJ320" i="202" s="1"/>
  <c r="AT321" i="202"/>
  <c r="BJ321" i="202" s="1"/>
  <c r="AT322" i="202"/>
  <c r="BJ322" i="202" s="1"/>
  <c r="AT323" i="202"/>
  <c r="BJ323" i="202" s="1"/>
  <c r="AT324" i="202"/>
  <c r="BJ324" i="202" s="1"/>
  <c r="AT325" i="202"/>
  <c r="BJ325" i="202" s="1"/>
  <c r="AT326" i="202"/>
  <c r="BJ326" i="202" s="1"/>
  <c r="AT327" i="202"/>
  <c r="BJ327" i="202" s="1"/>
  <c r="AT328" i="202"/>
  <c r="BJ328" i="202" s="1"/>
  <c r="AT329" i="202"/>
  <c r="BJ329" i="202" s="1"/>
  <c r="AT330" i="202"/>
  <c r="BJ330" i="202" s="1"/>
  <c r="AT331" i="202"/>
  <c r="BJ331" i="202" s="1"/>
  <c r="AT332" i="202"/>
  <c r="BJ332" i="202" s="1"/>
  <c r="AT333" i="202"/>
  <c r="BJ333" i="202" s="1"/>
  <c r="AT334" i="202"/>
  <c r="BJ334" i="202" s="1"/>
  <c r="AT335" i="202"/>
  <c r="BJ335" i="202" s="1"/>
  <c r="AT336" i="202"/>
  <c r="BJ336" i="202" s="1"/>
  <c r="AT337" i="202"/>
  <c r="BJ337" i="202" s="1"/>
  <c r="AT338" i="202"/>
  <c r="BJ338" i="202" s="1"/>
  <c r="AT339" i="202"/>
  <c r="BJ339" i="202" s="1"/>
  <c r="AT340" i="202"/>
  <c r="BJ340" i="202" s="1"/>
  <c r="AT341" i="202"/>
  <c r="BJ341" i="202" s="1"/>
  <c r="AT342" i="202"/>
  <c r="BJ342" i="202" s="1"/>
  <c r="AT343" i="202"/>
  <c r="BJ343" i="202" s="1"/>
  <c r="AT344" i="202"/>
  <c r="BJ344" i="202" s="1"/>
  <c r="AT345" i="202"/>
  <c r="BJ345" i="202" s="1"/>
  <c r="AT346" i="202"/>
  <c r="BJ346" i="202" s="1"/>
  <c r="AT347" i="202"/>
  <c r="BJ347" i="202" s="1"/>
  <c r="AT348" i="202"/>
  <c r="BJ348" i="202" s="1"/>
  <c r="AT349" i="202"/>
  <c r="BJ349" i="202" s="1"/>
  <c r="AT350" i="202"/>
  <c r="BJ350" i="202" s="1"/>
  <c r="AT351" i="202"/>
  <c r="BJ351" i="202" s="1"/>
  <c r="AT352" i="202"/>
  <c r="BJ352" i="202" s="1"/>
  <c r="AT353" i="202"/>
  <c r="BJ353" i="202" s="1"/>
  <c r="AT354" i="202"/>
  <c r="BJ354" i="202" s="1"/>
  <c r="AT355" i="202"/>
  <c r="BJ355" i="202" s="1"/>
  <c r="AT356" i="202"/>
  <c r="BJ356" i="202" s="1"/>
  <c r="AT357" i="202"/>
  <c r="BJ357" i="202" s="1"/>
  <c r="AT358" i="202"/>
  <c r="BJ358" i="202" s="1"/>
  <c r="AT359" i="202"/>
  <c r="BJ359" i="202" s="1"/>
  <c r="AT360" i="202"/>
  <c r="BJ360" i="202" s="1"/>
  <c r="AT361" i="202"/>
  <c r="BJ361" i="202" s="1"/>
  <c r="AT362" i="202"/>
  <c r="BJ362" i="202" s="1"/>
  <c r="AT363" i="202"/>
  <c r="BJ363" i="202" s="1"/>
  <c r="AT364" i="202"/>
  <c r="BJ364" i="202" s="1"/>
  <c r="AT365" i="202"/>
  <c r="BJ365" i="202" s="1"/>
  <c r="AT366" i="202"/>
  <c r="BJ366" i="202" s="1"/>
  <c r="AT367" i="202"/>
  <c r="BJ367" i="202" s="1"/>
  <c r="AT368" i="202"/>
  <c r="BJ368" i="202" s="1"/>
  <c r="AT369" i="202"/>
  <c r="BJ369" i="202" s="1"/>
  <c r="AT370" i="202"/>
  <c r="BJ370" i="202" s="1"/>
  <c r="AT371" i="202"/>
  <c r="BJ371" i="202" s="1"/>
  <c r="AT372" i="202"/>
  <c r="BJ372" i="202" s="1"/>
  <c r="AT373" i="202"/>
  <c r="BJ373" i="202" s="1"/>
  <c r="AT374" i="202"/>
  <c r="BJ374" i="202" s="1"/>
  <c r="AT375" i="202"/>
  <c r="BJ375" i="202" s="1"/>
  <c r="AT376" i="202"/>
  <c r="BJ376" i="202" s="1"/>
  <c r="AT377" i="202"/>
  <c r="BJ377" i="202" s="1"/>
  <c r="AT378" i="202"/>
  <c r="BJ378" i="202" s="1"/>
  <c r="AT379" i="202"/>
  <c r="BJ379" i="202" s="1"/>
  <c r="AT380" i="202"/>
  <c r="BJ380" i="202" s="1"/>
  <c r="AT381" i="202"/>
  <c r="BJ381" i="202" s="1"/>
  <c r="AT382" i="202"/>
  <c r="BJ382" i="202" s="1"/>
  <c r="AT383" i="202"/>
  <c r="BJ383" i="202" s="1"/>
  <c r="AT384" i="202"/>
  <c r="BJ384" i="202" s="1"/>
  <c r="AT385" i="202"/>
  <c r="BJ385" i="202" s="1"/>
  <c r="AT386" i="202"/>
  <c r="BJ386" i="202" s="1"/>
  <c r="AT387" i="202"/>
  <c r="BJ387" i="202" s="1"/>
  <c r="AT388" i="202"/>
  <c r="BJ388" i="202" s="1"/>
  <c r="AT389" i="202"/>
  <c r="BJ389" i="202" s="1"/>
  <c r="AT390" i="202"/>
  <c r="BJ390" i="202" s="1"/>
  <c r="AT391" i="202"/>
  <c r="BJ391" i="202" s="1"/>
  <c r="AT392" i="202"/>
  <c r="BJ392" i="202" s="1"/>
  <c r="AT393" i="202"/>
  <c r="BJ393" i="202" s="1"/>
  <c r="AT394" i="202"/>
  <c r="BJ394" i="202" s="1"/>
  <c r="AT395" i="202"/>
  <c r="BJ395" i="202" s="1"/>
  <c r="AT396" i="202"/>
  <c r="BJ396" i="202" s="1"/>
  <c r="AT397" i="202"/>
  <c r="BJ397" i="202" s="1"/>
  <c r="AT398" i="202"/>
  <c r="BJ398" i="202" s="1"/>
  <c r="AT399" i="202"/>
  <c r="BJ399" i="202" s="1"/>
  <c r="AT400" i="202"/>
  <c r="BJ400" i="202" s="1"/>
  <c r="AT401" i="202"/>
  <c r="BJ401" i="202" s="1"/>
  <c r="AT402" i="202"/>
  <c r="BJ402" i="202" s="1"/>
  <c r="AT403" i="202"/>
  <c r="BJ403" i="202" s="1"/>
  <c r="AT404" i="202"/>
  <c r="BJ404" i="202" s="1"/>
  <c r="AT405" i="202"/>
  <c r="BJ405" i="202" s="1"/>
  <c r="AT406" i="202"/>
  <c r="BJ406" i="202" s="1"/>
  <c r="AT407" i="202"/>
  <c r="BJ407" i="202" s="1"/>
  <c r="AT408" i="202"/>
  <c r="BJ408" i="202" s="1"/>
  <c r="AT409" i="202"/>
  <c r="BJ409" i="202" s="1"/>
  <c r="AT410" i="202"/>
  <c r="BJ410" i="202" s="1"/>
  <c r="AT411" i="202"/>
  <c r="BJ411" i="202" s="1"/>
  <c r="AT412" i="202"/>
  <c r="BJ412" i="202" s="1"/>
  <c r="AT413" i="202"/>
  <c r="BJ413" i="202" s="1"/>
  <c r="AT414" i="202"/>
  <c r="BJ414" i="202" s="1"/>
  <c r="AT415" i="202"/>
  <c r="BJ415" i="202" s="1"/>
  <c r="AT416" i="202"/>
  <c r="BJ416" i="202" s="1"/>
  <c r="AT417" i="202"/>
  <c r="BJ417" i="202" s="1"/>
  <c r="AT418" i="202"/>
  <c r="BJ418" i="202" s="1"/>
  <c r="AT419" i="202"/>
  <c r="BJ419" i="202" s="1"/>
  <c r="AT420" i="202"/>
  <c r="BJ420" i="202" s="1"/>
  <c r="AT421" i="202"/>
  <c r="BJ421" i="202" s="1"/>
  <c r="AT422" i="202"/>
  <c r="BJ422" i="202" s="1"/>
  <c r="AT423" i="202"/>
  <c r="BJ423" i="202" s="1"/>
  <c r="AT424" i="202"/>
  <c r="BJ424" i="202" s="1"/>
  <c r="AT425" i="202"/>
  <c r="BJ425" i="202" s="1"/>
  <c r="AT426" i="202"/>
  <c r="BJ426" i="202" s="1"/>
  <c r="AT427" i="202"/>
  <c r="BJ427" i="202" s="1"/>
  <c r="AT428" i="202"/>
  <c r="BJ428" i="202" s="1"/>
  <c r="AT429" i="202"/>
  <c r="BJ429" i="202" s="1"/>
  <c r="AT430" i="202"/>
  <c r="BJ430" i="202" s="1"/>
  <c r="AT431" i="202"/>
  <c r="BJ431" i="202" s="1"/>
  <c r="AT432" i="202"/>
  <c r="BJ432" i="202" s="1"/>
  <c r="AT433" i="202"/>
  <c r="BJ433" i="202" s="1"/>
  <c r="AT434" i="202"/>
  <c r="BJ434" i="202" s="1"/>
  <c r="AT435" i="202"/>
  <c r="BJ435" i="202" s="1"/>
  <c r="AT436" i="202"/>
  <c r="BJ436" i="202" s="1"/>
  <c r="AT437" i="202"/>
  <c r="BJ437" i="202" s="1"/>
  <c r="AT438" i="202"/>
  <c r="BJ438" i="202" s="1"/>
  <c r="AT439" i="202"/>
  <c r="BJ439" i="202" s="1"/>
  <c r="AT440" i="202"/>
  <c r="BJ440" i="202" s="1"/>
  <c r="AT441" i="202"/>
  <c r="BJ441" i="202" s="1"/>
  <c r="AT442" i="202"/>
  <c r="BJ442" i="202" s="1"/>
  <c r="AT443" i="202"/>
  <c r="BJ443" i="202" s="1"/>
  <c r="AT444" i="202"/>
  <c r="BJ444" i="202" s="1"/>
  <c r="AT445" i="202"/>
  <c r="BJ445" i="202" s="1"/>
  <c r="AT446" i="202"/>
  <c r="BJ446" i="202" s="1"/>
  <c r="AT447" i="202"/>
  <c r="BJ447" i="202" s="1"/>
  <c r="AT448" i="202"/>
  <c r="BJ448" i="202" s="1"/>
  <c r="AT449" i="202"/>
  <c r="BJ449" i="202" s="1"/>
  <c r="AT450" i="202"/>
  <c r="BJ450" i="202" s="1"/>
  <c r="AT451" i="202"/>
  <c r="BJ451" i="202" s="1"/>
  <c r="AT452" i="202"/>
  <c r="BJ452" i="202" s="1"/>
  <c r="AT453" i="202"/>
  <c r="BJ453" i="202" s="1"/>
  <c r="AT454" i="202"/>
  <c r="BJ454" i="202" s="1"/>
  <c r="AT455" i="202"/>
  <c r="BJ455" i="202" s="1"/>
  <c r="AT456" i="202"/>
  <c r="BJ456" i="202" s="1"/>
  <c r="AT457" i="202"/>
  <c r="BJ457" i="202" s="1"/>
  <c r="AT458" i="202"/>
  <c r="BJ458" i="202" s="1"/>
  <c r="AT459" i="202"/>
  <c r="BJ459" i="202" s="1"/>
  <c r="AT460" i="202"/>
  <c r="BJ460" i="202" s="1"/>
  <c r="AT461" i="202"/>
  <c r="BJ461" i="202" s="1"/>
  <c r="AT462" i="202"/>
  <c r="BJ462" i="202" s="1"/>
  <c r="AT463" i="202"/>
  <c r="BJ463" i="202" s="1"/>
  <c r="AT464" i="202"/>
  <c r="BJ464" i="202" s="1"/>
  <c r="AT465" i="202"/>
  <c r="BJ465" i="202" s="1"/>
  <c r="AT466" i="202"/>
  <c r="BJ466" i="202" s="1"/>
  <c r="AT467" i="202"/>
  <c r="BJ467" i="202" s="1"/>
  <c r="AT468" i="202"/>
  <c r="BJ468" i="202" s="1"/>
  <c r="AT469" i="202"/>
  <c r="BJ469" i="202" s="1"/>
  <c r="AT470" i="202"/>
  <c r="BJ470" i="202" s="1"/>
  <c r="AT471" i="202"/>
  <c r="BJ471" i="202" s="1"/>
  <c r="AT472" i="202"/>
  <c r="BJ472" i="202" s="1"/>
  <c r="AT473" i="202"/>
  <c r="BJ473" i="202" s="1"/>
  <c r="AT474" i="202"/>
  <c r="BJ474" i="202" s="1"/>
  <c r="AT475" i="202"/>
  <c r="BJ475" i="202" s="1"/>
  <c r="AT476" i="202"/>
  <c r="BJ476" i="202" s="1"/>
  <c r="AT477" i="202"/>
  <c r="BJ477" i="202" s="1"/>
  <c r="AT478" i="202"/>
  <c r="BJ478" i="202" s="1"/>
  <c r="AT479" i="202"/>
  <c r="BJ479" i="202" s="1"/>
  <c r="AT480" i="202"/>
  <c r="BJ480" i="202" s="1"/>
  <c r="AT481" i="202"/>
  <c r="BJ481" i="202" s="1"/>
  <c r="AT482" i="202"/>
  <c r="BJ482" i="202" s="1"/>
  <c r="AT483" i="202"/>
  <c r="BJ483" i="202" s="1"/>
  <c r="AT484" i="202"/>
  <c r="BJ484" i="202" s="1"/>
  <c r="AT485" i="202"/>
  <c r="BJ485" i="202" s="1"/>
  <c r="AT486" i="202"/>
  <c r="BJ486" i="202" s="1"/>
  <c r="AT487" i="202"/>
  <c r="BJ487" i="202" s="1"/>
  <c r="AT488" i="202"/>
  <c r="BJ488" i="202" s="1"/>
  <c r="AT489" i="202"/>
  <c r="BJ489" i="202" s="1"/>
  <c r="AT490" i="202"/>
  <c r="BJ490" i="202" s="1"/>
  <c r="AT491" i="202"/>
  <c r="BJ491" i="202" s="1"/>
  <c r="AT492" i="202"/>
  <c r="BJ492" i="202" s="1"/>
  <c r="AT493" i="202"/>
  <c r="BJ493" i="202" s="1"/>
  <c r="AT494" i="202"/>
  <c r="BJ494" i="202" s="1"/>
  <c r="AT495" i="202"/>
  <c r="BJ495" i="202" s="1"/>
  <c r="AT496" i="202"/>
  <c r="BJ496" i="202" s="1"/>
  <c r="AT497" i="202"/>
  <c r="BJ497" i="202" s="1"/>
  <c r="AT498" i="202"/>
  <c r="BJ498" i="202" s="1"/>
  <c r="AT499" i="202"/>
  <c r="BJ499" i="202" s="1"/>
  <c r="AT500" i="202"/>
  <c r="BJ500" i="202" s="1"/>
  <c r="AT501" i="202"/>
  <c r="BJ501" i="202" s="1"/>
  <c r="AT502" i="202"/>
  <c r="BJ502" i="202" s="1"/>
  <c r="AT503" i="202"/>
  <c r="BJ503" i="202" s="1"/>
  <c r="AT504" i="202"/>
  <c r="BJ504" i="202" s="1"/>
  <c r="AT505" i="202"/>
  <c r="BJ505" i="202" s="1"/>
  <c r="AT506" i="202"/>
  <c r="BJ506" i="202" s="1"/>
  <c r="AT507" i="202"/>
  <c r="BJ507" i="202" s="1"/>
  <c r="AT508" i="202"/>
  <c r="BJ508" i="202" s="1"/>
  <c r="AT509" i="202"/>
  <c r="BJ509" i="202" s="1"/>
  <c r="AT510" i="202"/>
  <c r="BJ510" i="202" s="1"/>
  <c r="AT511" i="202"/>
  <c r="BJ511" i="202" s="1"/>
  <c r="AT512" i="202"/>
  <c r="BJ512" i="202" s="1"/>
  <c r="AT513" i="202"/>
  <c r="BJ513" i="202" s="1"/>
  <c r="AT514" i="202"/>
  <c r="BJ514" i="202" s="1"/>
  <c r="AT515" i="202"/>
  <c r="BJ515" i="202" s="1"/>
  <c r="AT516" i="202"/>
  <c r="BJ516" i="202" s="1"/>
  <c r="AT517" i="202"/>
  <c r="BJ517" i="202" s="1"/>
  <c r="AT518" i="202"/>
  <c r="BJ518" i="202" s="1"/>
  <c r="AT519" i="202"/>
  <c r="BJ519" i="202" s="1"/>
  <c r="AT520" i="202"/>
  <c r="BJ520" i="202" s="1"/>
  <c r="AT521" i="202"/>
  <c r="BJ521" i="202" s="1"/>
  <c r="AT522" i="202"/>
  <c r="BJ522" i="202" s="1"/>
  <c r="AT523" i="202"/>
  <c r="BJ523" i="202" s="1"/>
  <c r="AT524" i="202"/>
  <c r="BJ524" i="202" s="1"/>
  <c r="AT525" i="202"/>
  <c r="BJ525" i="202" s="1"/>
  <c r="AT526" i="202"/>
  <c r="BJ526" i="202" s="1"/>
  <c r="AT527" i="202"/>
  <c r="BJ527" i="202" s="1"/>
  <c r="AT528" i="202"/>
  <c r="BJ528" i="202" s="1"/>
  <c r="AT529" i="202"/>
  <c r="BJ529" i="202" s="1"/>
  <c r="AT530" i="202"/>
  <c r="BJ530" i="202" s="1"/>
  <c r="AT531" i="202"/>
  <c r="BJ531" i="202" s="1"/>
  <c r="AT532" i="202"/>
  <c r="BJ532" i="202" s="1"/>
  <c r="AT533" i="202"/>
  <c r="BJ533" i="202" s="1"/>
  <c r="AT534" i="202"/>
  <c r="BJ534" i="202" s="1"/>
  <c r="AT535" i="202"/>
  <c r="BJ535" i="202" s="1"/>
  <c r="AT536" i="202"/>
  <c r="BJ536" i="202" s="1"/>
  <c r="AT537" i="202"/>
  <c r="BJ537" i="202" s="1"/>
  <c r="AT538" i="202"/>
  <c r="BJ538" i="202" s="1"/>
  <c r="AT539" i="202"/>
  <c r="BJ539" i="202" s="1"/>
  <c r="AT540" i="202"/>
  <c r="BJ540" i="202" s="1"/>
  <c r="AT541" i="202"/>
  <c r="BJ541" i="202" s="1"/>
  <c r="AT542" i="202"/>
  <c r="BJ542" i="202" s="1"/>
  <c r="AT543" i="202"/>
  <c r="BJ543" i="202" s="1"/>
  <c r="AT544" i="202"/>
  <c r="BJ544" i="202" s="1"/>
  <c r="AT545" i="202"/>
  <c r="BJ545" i="202" s="1"/>
  <c r="AT546" i="202"/>
  <c r="BJ546" i="202" s="1"/>
  <c r="AT547" i="202"/>
  <c r="BJ547" i="202" s="1"/>
  <c r="AT548" i="202"/>
  <c r="BJ548" i="202" s="1"/>
  <c r="AT549" i="202"/>
  <c r="BJ549" i="202" s="1"/>
  <c r="AT550" i="202"/>
  <c r="BJ550" i="202" s="1"/>
  <c r="AT551" i="202"/>
  <c r="BJ551" i="202" s="1"/>
  <c r="AT552" i="202"/>
  <c r="BJ552" i="202" s="1"/>
  <c r="AT553" i="202"/>
  <c r="BJ553" i="202" s="1"/>
  <c r="AT554" i="202"/>
  <c r="BJ554" i="202" s="1"/>
  <c r="AT555" i="202"/>
  <c r="BJ555" i="202" s="1"/>
  <c r="AT556" i="202"/>
  <c r="BJ556" i="202" s="1"/>
  <c r="AT557" i="202"/>
  <c r="BJ557" i="202" s="1"/>
  <c r="AT558" i="202"/>
  <c r="BJ558" i="202" s="1"/>
  <c r="AT559" i="202"/>
  <c r="BJ559" i="202" s="1"/>
  <c r="AT560" i="202"/>
  <c r="BJ560" i="202" s="1"/>
  <c r="AT561" i="202"/>
  <c r="BJ561" i="202" s="1"/>
  <c r="AT562" i="202"/>
  <c r="BJ562" i="202" s="1"/>
  <c r="AT563" i="202"/>
  <c r="BJ563" i="202" s="1"/>
  <c r="AT564" i="202"/>
  <c r="BJ564" i="202" s="1"/>
  <c r="AT565" i="202"/>
  <c r="BJ565" i="202" s="1"/>
  <c r="AT566" i="202"/>
  <c r="BJ566" i="202" s="1"/>
  <c r="AT567" i="202"/>
  <c r="BJ567" i="202" s="1"/>
  <c r="AT568" i="202"/>
  <c r="BJ568" i="202" s="1"/>
  <c r="AT569" i="202"/>
  <c r="BJ569" i="202" s="1"/>
  <c r="AT570" i="202"/>
  <c r="BJ570" i="202" s="1"/>
  <c r="AT571" i="202"/>
  <c r="BJ571" i="202" s="1"/>
  <c r="AT572" i="202"/>
  <c r="BJ572" i="202" s="1"/>
  <c r="AT573" i="202"/>
  <c r="BJ573" i="202" s="1"/>
  <c r="AT574" i="202"/>
  <c r="BJ574" i="202" s="1"/>
  <c r="AT575" i="202"/>
  <c r="BJ575" i="202" s="1"/>
  <c r="AT576" i="202"/>
  <c r="BJ576" i="202" s="1"/>
  <c r="AT577" i="202"/>
  <c r="BJ577" i="202" s="1"/>
  <c r="AT578" i="202"/>
  <c r="BJ578" i="202" s="1"/>
  <c r="AT579" i="202"/>
  <c r="BJ579" i="202" s="1"/>
  <c r="AT580" i="202"/>
  <c r="BJ580" i="202" s="1"/>
  <c r="AT581" i="202"/>
  <c r="BJ581" i="202" s="1"/>
  <c r="AT582" i="202"/>
  <c r="BJ582" i="202" s="1"/>
  <c r="AT583" i="202"/>
  <c r="BJ583" i="202" s="1"/>
  <c r="AT584" i="202"/>
  <c r="BJ584" i="202" s="1"/>
  <c r="AT585" i="202"/>
  <c r="BJ585" i="202" s="1"/>
  <c r="AT586" i="202"/>
  <c r="BJ586" i="202" s="1"/>
  <c r="AT587" i="202"/>
  <c r="BJ587" i="202" s="1"/>
  <c r="AT588" i="202"/>
  <c r="BJ588" i="202" s="1"/>
  <c r="AT589" i="202"/>
  <c r="BJ589" i="202" s="1"/>
  <c r="AT590" i="202"/>
  <c r="BJ590" i="202" s="1"/>
  <c r="AT591" i="202"/>
  <c r="BJ591" i="202" s="1"/>
  <c r="AT592" i="202"/>
  <c r="BJ592" i="202" s="1"/>
  <c r="AT593" i="202"/>
  <c r="BJ593" i="202" s="1"/>
  <c r="AT594" i="202"/>
  <c r="BJ594" i="202" s="1"/>
  <c r="AT595" i="202"/>
  <c r="BJ595" i="202" s="1"/>
  <c r="AT596" i="202"/>
  <c r="BJ596" i="202" s="1"/>
  <c r="AT597" i="202"/>
  <c r="BJ597" i="202" s="1"/>
  <c r="AT598" i="202"/>
  <c r="BJ598" i="202" s="1"/>
  <c r="AT599" i="202"/>
  <c r="BJ599" i="202" s="1"/>
  <c r="AT600" i="202"/>
  <c r="BJ600" i="202" s="1"/>
  <c r="AT601" i="202"/>
  <c r="BJ601" i="202" s="1"/>
  <c r="AT602" i="202"/>
  <c r="BJ602" i="202" s="1"/>
  <c r="AT603" i="202"/>
  <c r="BJ603" i="202" s="1"/>
  <c r="AT604" i="202"/>
  <c r="BJ604" i="202" s="1"/>
  <c r="AT605" i="202"/>
  <c r="BJ605" i="202" s="1"/>
  <c r="AT606" i="202"/>
  <c r="BJ606" i="202" s="1"/>
  <c r="AT607" i="202"/>
  <c r="BJ607" i="202" s="1"/>
  <c r="AT608" i="202"/>
  <c r="BJ608" i="202" s="1"/>
  <c r="AT609" i="202"/>
  <c r="BJ609" i="202" s="1"/>
  <c r="AT610" i="202"/>
  <c r="BJ610" i="202" s="1"/>
  <c r="AT611" i="202"/>
  <c r="BJ611" i="202" s="1"/>
  <c r="AT612" i="202"/>
  <c r="BJ612" i="202" s="1"/>
  <c r="AT613" i="202"/>
  <c r="BJ613" i="202" s="1"/>
  <c r="AT614" i="202"/>
  <c r="BJ614" i="202" s="1"/>
  <c r="AT615" i="202"/>
  <c r="BJ615" i="202" s="1"/>
  <c r="AT616" i="202"/>
  <c r="BJ616" i="202" s="1"/>
  <c r="AT617" i="202"/>
  <c r="BJ617" i="202" s="1"/>
  <c r="AT618" i="202"/>
  <c r="BJ618" i="202" s="1"/>
  <c r="AT619" i="202"/>
  <c r="BJ619" i="202" s="1"/>
  <c r="AT620" i="202"/>
  <c r="BJ620" i="202" s="1"/>
  <c r="AT621" i="202"/>
  <c r="BJ621" i="202" s="1"/>
  <c r="AT622" i="202"/>
  <c r="BJ622" i="202" s="1"/>
  <c r="AT623" i="202"/>
  <c r="BJ623" i="202" s="1"/>
  <c r="AT624" i="202"/>
  <c r="BJ624" i="202" s="1"/>
  <c r="AT625" i="202"/>
  <c r="BJ625" i="202" s="1"/>
  <c r="AT626" i="202"/>
  <c r="BJ626" i="202" s="1"/>
  <c r="AT627" i="202"/>
  <c r="BJ627" i="202" s="1"/>
  <c r="AT628" i="202"/>
  <c r="BJ628" i="202" s="1"/>
  <c r="AT629" i="202"/>
  <c r="BJ629" i="202" s="1"/>
  <c r="AT630" i="202"/>
  <c r="BJ630" i="202" s="1"/>
  <c r="AT631" i="202"/>
  <c r="BJ631" i="202" s="1"/>
  <c r="AT632" i="202"/>
  <c r="BJ632" i="202" s="1"/>
  <c r="AT633" i="202"/>
  <c r="BJ633" i="202" s="1"/>
  <c r="AT634" i="202"/>
  <c r="BJ634" i="202" s="1"/>
  <c r="AT635" i="202"/>
  <c r="BJ635" i="202" s="1"/>
  <c r="AT636" i="202"/>
  <c r="BJ636" i="202" s="1"/>
  <c r="AT637" i="202"/>
  <c r="BJ637" i="202" s="1"/>
  <c r="AT638" i="202"/>
  <c r="BJ638" i="202" s="1"/>
  <c r="AT639" i="202"/>
  <c r="BJ639" i="202" s="1"/>
  <c r="AT640" i="202"/>
  <c r="BJ640" i="202" s="1"/>
  <c r="AT641" i="202"/>
  <c r="BJ641" i="202" s="1"/>
  <c r="AT642" i="202"/>
  <c r="BJ642" i="202" s="1"/>
  <c r="AT643" i="202"/>
  <c r="BJ643" i="202" s="1"/>
  <c r="AT644" i="202"/>
  <c r="BJ644" i="202" s="1"/>
  <c r="AT645" i="202"/>
  <c r="BJ645" i="202" s="1"/>
  <c r="AT646" i="202"/>
  <c r="BJ646" i="202" s="1"/>
  <c r="AT647" i="202"/>
  <c r="BJ647" i="202" s="1"/>
  <c r="AT648" i="202"/>
  <c r="BJ648" i="202" s="1"/>
  <c r="AT649" i="202"/>
  <c r="BJ649" i="202" s="1"/>
  <c r="AT650" i="202"/>
  <c r="BJ650" i="202" s="1"/>
  <c r="AT651" i="202"/>
  <c r="BJ651" i="202" s="1"/>
  <c r="AT652" i="202"/>
  <c r="BJ652" i="202" s="1"/>
  <c r="AT653" i="202"/>
  <c r="BJ653" i="202" s="1"/>
  <c r="AT654" i="202"/>
  <c r="BJ654" i="202" s="1"/>
  <c r="AT655" i="202"/>
  <c r="BJ655" i="202" s="1"/>
  <c r="AT656" i="202"/>
  <c r="BJ656" i="202" s="1"/>
  <c r="AT657" i="202"/>
  <c r="BJ657" i="202" s="1"/>
  <c r="AT658" i="202"/>
  <c r="BJ658" i="202" s="1"/>
  <c r="AT659" i="202"/>
  <c r="BJ659" i="202" s="1"/>
  <c r="AT660" i="202"/>
  <c r="BJ660" i="202" s="1"/>
  <c r="AT661" i="202"/>
  <c r="BJ661" i="202" s="1"/>
  <c r="AT662" i="202"/>
  <c r="BJ662" i="202" s="1"/>
  <c r="AT663" i="202"/>
  <c r="BJ663" i="202" s="1"/>
  <c r="AT664" i="202"/>
  <c r="BJ664" i="202" s="1"/>
  <c r="AT665" i="202"/>
  <c r="BJ665" i="202" s="1"/>
  <c r="AT666" i="202"/>
  <c r="BJ666" i="202" s="1"/>
  <c r="AT667" i="202"/>
  <c r="BJ667" i="202" s="1"/>
  <c r="AT668" i="202"/>
  <c r="BJ668" i="202" s="1"/>
  <c r="AT669" i="202"/>
  <c r="BJ669" i="202" s="1"/>
  <c r="AT670" i="202"/>
  <c r="BJ670" i="202" s="1"/>
  <c r="AT671" i="202"/>
  <c r="BJ671" i="202" s="1"/>
  <c r="AT672" i="202"/>
  <c r="BJ672" i="202" s="1"/>
  <c r="AT673" i="202"/>
  <c r="BJ673" i="202" s="1"/>
  <c r="AT674" i="202"/>
  <c r="BJ674" i="202" s="1"/>
  <c r="AT675" i="202"/>
  <c r="BJ675" i="202" s="1"/>
  <c r="AT676" i="202"/>
  <c r="BJ676" i="202" s="1"/>
  <c r="AT677" i="202"/>
  <c r="BJ677" i="202" s="1"/>
  <c r="AT678" i="202"/>
  <c r="BJ678" i="202" s="1"/>
  <c r="AT679" i="202"/>
  <c r="BJ679" i="202" s="1"/>
  <c r="AT680" i="202"/>
  <c r="BJ680" i="202" s="1"/>
  <c r="AT681" i="202"/>
  <c r="BJ681" i="202" s="1"/>
  <c r="AT682" i="202"/>
  <c r="BJ682" i="202" s="1"/>
  <c r="AT683" i="202"/>
  <c r="BJ683" i="202" s="1"/>
  <c r="AT684" i="202"/>
  <c r="BJ684" i="202" s="1"/>
  <c r="AT685" i="202"/>
  <c r="BJ685" i="202" s="1"/>
  <c r="AT686" i="202"/>
  <c r="BJ686" i="202" s="1"/>
  <c r="AT687" i="202"/>
  <c r="BJ687" i="202" s="1"/>
  <c r="AT688" i="202"/>
  <c r="BJ688" i="202" s="1"/>
  <c r="AT689" i="202"/>
  <c r="BJ689" i="202" s="1"/>
  <c r="AT690" i="202"/>
  <c r="BJ690" i="202" s="1"/>
  <c r="AT691" i="202"/>
  <c r="BJ691" i="202" s="1"/>
  <c r="AT692" i="202"/>
  <c r="BJ692" i="202" s="1"/>
  <c r="AT693" i="202"/>
  <c r="BJ693" i="202" s="1"/>
  <c r="AT694" i="202"/>
  <c r="BJ694" i="202" s="1"/>
  <c r="AT695" i="202"/>
  <c r="BJ695" i="202" s="1"/>
  <c r="AT696" i="202"/>
  <c r="BJ696" i="202" s="1"/>
  <c r="AT697" i="202"/>
  <c r="BJ697" i="202" s="1"/>
  <c r="AT698" i="202"/>
  <c r="BJ698" i="202" s="1"/>
  <c r="AT699" i="202"/>
  <c r="BJ699" i="202" s="1"/>
  <c r="AT700" i="202"/>
  <c r="BJ700" i="202" s="1"/>
  <c r="AT701" i="202"/>
  <c r="BJ701" i="202" s="1"/>
  <c r="AT702" i="202"/>
  <c r="BJ702" i="202" s="1"/>
  <c r="AT703" i="202"/>
  <c r="BJ703" i="202" s="1"/>
  <c r="AT704" i="202"/>
  <c r="BJ704" i="202" s="1"/>
  <c r="AT705" i="202"/>
  <c r="BJ705" i="202" s="1"/>
  <c r="AT706" i="202"/>
  <c r="BJ706" i="202" s="1"/>
  <c r="AT707" i="202"/>
  <c r="BJ707" i="202" s="1"/>
  <c r="AT708" i="202"/>
  <c r="BJ708" i="202" s="1"/>
  <c r="AT709" i="202"/>
  <c r="BJ709" i="202" s="1"/>
  <c r="AT710" i="202"/>
  <c r="BJ710" i="202" s="1"/>
  <c r="AT711" i="202"/>
  <c r="BJ711" i="202" s="1"/>
  <c r="AT712" i="202"/>
  <c r="BJ712" i="202" s="1"/>
  <c r="AT713" i="202"/>
  <c r="BJ713" i="202" s="1"/>
  <c r="AT714" i="202"/>
  <c r="BJ714" i="202" s="1"/>
  <c r="AT715" i="202"/>
  <c r="BJ715" i="202" s="1"/>
  <c r="AT716" i="202"/>
  <c r="BJ716" i="202" s="1"/>
  <c r="AT717" i="202"/>
  <c r="BJ717" i="202" s="1"/>
  <c r="AT718" i="202"/>
  <c r="BJ718" i="202" s="1"/>
  <c r="AT719" i="202"/>
  <c r="BJ719" i="202" s="1"/>
  <c r="AT720" i="202"/>
  <c r="BJ720" i="202" s="1"/>
  <c r="AT721" i="202"/>
  <c r="BJ721" i="202" s="1"/>
  <c r="AT722" i="202"/>
  <c r="BJ722" i="202" s="1"/>
  <c r="AT723" i="202"/>
  <c r="BJ723" i="202" s="1"/>
  <c r="AT724" i="202"/>
  <c r="BJ724" i="202" s="1"/>
  <c r="AT725" i="202"/>
  <c r="BJ725" i="202" s="1"/>
  <c r="AT726" i="202"/>
  <c r="BJ726" i="202" s="1"/>
  <c r="AT727" i="202"/>
  <c r="BJ727" i="202" s="1"/>
  <c r="AT728" i="202"/>
  <c r="BJ728" i="202" s="1"/>
  <c r="AT729" i="202"/>
  <c r="BJ729" i="202" s="1"/>
  <c r="AT730" i="202"/>
  <c r="BJ730" i="202" s="1"/>
  <c r="AT731" i="202"/>
  <c r="BJ731" i="202" s="1"/>
  <c r="AT732" i="202"/>
  <c r="BJ732" i="202" s="1"/>
  <c r="AT733" i="202"/>
  <c r="BJ733" i="202" s="1"/>
  <c r="AT734" i="202"/>
  <c r="BJ734" i="202" s="1"/>
  <c r="AT735" i="202"/>
  <c r="BJ735" i="202" s="1"/>
  <c r="AT736" i="202"/>
  <c r="BJ736" i="202" s="1"/>
  <c r="AT737" i="202"/>
  <c r="BJ737" i="202" s="1"/>
  <c r="AT738" i="202"/>
  <c r="BJ738" i="202" s="1"/>
  <c r="AT739" i="202"/>
  <c r="BJ739" i="202" s="1"/>
  <c r="AT740" i="202"/>
  <c r="BJ740" i="202" s="1"/>
  <c r="AT741" i="202"/>
  <c r="BJ741" i="202" s="1"/>
  <c r="AT742" i="202"/>
  <c r="BJ742" i="202" s="1"/>
  <c r="AT743" i="202"/>
  <c r="BJ743" i="202" s="1"/>
  <c r="AT744" i="202"/>
  <c r="BJ744" i="202" s="1"/>
  <c r="AT745" i="202"/>
  <c r="BJ745" i="202" s="1"/>
  <c r="AT746" i="202"/>
  <c r="BJ746" i="202" s="1"/>
  <c r="AT747" i="202"/>
  <c r="BJ747" i="202" s="1"/>
  <c r="AT748" i="202"/>
  <c r="BJ748" i="202" s="1"/>
  <c r="AT749" i="202"/>
  <c r="BJ749" i="202" s="1"/>
  <c r="AT750" i="202"/>
  <c r="BJ750" i="202" s="1"/>
  <c r="AT751" i="202"/>
  <c r="BJ751" i="202" s="1"/>
  <c r="AT752" i="202"/>
  <c r="BJ752" i="202" s="1"/>
  <c r="AT753" i="202"/>
  <c r="BJ753" i="202" s="1"/>
  <c r="AT754" i="202"/>
  <c r="BJ754" i="202" s="1"/>
  <c r="AT755" i="202"/>
  <c r="BJ755" i="202" s="1"/>
  <c r="AT756" i="202"/>
  <c r="BJ756" i="202" s="1"/>
  <c r="AT757" i="202"/>
  <c r="BJ757" i="202" s="1"/>
  <c r="AT758" i="202"/>
  <c r="BJ758" i="202" s="1"/>
  <c r="AT759" i="202"/>
  <c r="BJ759" i="202" s="1"/>
  <c r="AT760" i="202"/>
  <c r="BJ760" i="202" s="1"/>
  <c r="AT761" i="202"/>
  <c r="BJ761" i="202" s="1"/>
  <c r="AT762" i="202"/>
  <c r="BJ762" i="202" s="1"/>
  <c r="AT763" i="202"/>
  <c r="BJ763" i="202" s="1"/>
  <c r="AT764" i="202"/>
  <c r="BJ764" i="202" s="1"/>
  <c r="AT765" i="202"/>
  <c r="BJ765" i="202" s="1"/>
  <c r="AT766" i="202"/>
  <c r="BJ766" i="202" s="1"/>
  <c r="AT767" i="202"/>
  <c r="BJ767" i="202" s="1"/>
  <c r="AT768" i="202"/>
  <c r="BJ768" i="202" s="1"/>
  <c r="AT769" i="202"/>
  <c r="BJ769" i="202" s="1"/>
  <c r="AT770" i="202"/>
  <c r="BJ770" i="202" s="1"/>
  <c r="AT771" i="202"/>
  <c r="BJ771" i="202" s="1"/>
  <c r="AT772" i="202"/>
  <c r="BJ772" i="202" s="1"/>
  <c r="AT773" i="202"/>
  <c r="BJ773" i="202" s="1"/>
  <c r="AT774" i="202"/>
  <c r="BJ774" i="202" s="1"/>
  <c r="AT775" i="202"/>
  <c r="BJ775" i="202" s="1"/>
  <c r="AT776" i="202"/>
  <c r="BJ776" i="202" s="1"/>
  <c r="AT777" i="202"/>
  <c r="BJ777" i="202" s="1"/>
  <c r="AT778" i="202"/>
  <c r="BJ778" i="202" s="1"/>
  <c r="AT779" i="202"/>
  <c r="BJ779" i="202" s="1"/>
  <c r="AT780" i="202"/>
  <c r="BJ780" i="202" s="1"/>
  <c r="AT781" i="202"/>
  <c r="BJ781" i="202" s="1"/>
  <c r="AT782" i="202"/>
  <c r="BJ782" i="202" s="1"/>
  <c r="AT783" i="202"/>
  <c r="BJ783" i="202" s="1"/>
  <c r="AT784" i="202"/>
  <c r="BJ784" i="202" s="1"/>
  <c r="AT785" i="202"/>
  <c r="BJ785" i="202" s="1"/>
  <c r="AT786" i="202"/>
  <c r="BJ786" i="202" s="1"/>
  <c r="AT787" i="202"/>
  <c r="BJ787" i="202" s="1"/>
  <c r="AT788" i="202"/>
  <c r="BJ788" i="202" s="1"/>
  <c r="AT789" i="202"/>
  <c r="BJ789" i="202" s="1"/>
  <c r="AT790" i="202"/>
  <c r="BJ790" i="202" s="1"/>
  <c r="AT791" i="202"/>
  <c r="BJ791" i="202" s="1"/>
  <c r="AT792" i="202"/>
  <c r="BJ792" i="202" s="1"/>
  <c r="AT793" i="202"/>
  <c r="BJ793" i="202" s="1"/>
  <c r="AT794" i="202"/>
  <c r="BJ794" i="202" s="1"/>
  <c r="AT795" i="202"/>
  <c r="BJ795" i="202" s="1"/>
  <c r="AT796" i="202"/>
  <c r="BJ796" i="202" s="1"/>
  <c r="AT797" i="202"/>
  <c r="BJ797" i="202" s="1"/>
  <c r="AT798" i="202"/>
  <c r="BJ798" i="202" s="1"/>
  <c r="AT799" i="202"/>
  <c r="BJ799" i="202" s="1"/>
  <c r="AT800" i="202"/>
  <c r="BJ800" i="202" s="1"/>
  <c r="AT801" i="202"/>
  <c r="BJ801" i="202" s="1"/>
  <c r="AT802" i="202"/>
  <c r="BJ802" i="202" s="1"/>
  <c r="AT803" i="202"/>
  <c r="BJ803" i="202" s="1"/>
  <c r="AT804" i="202"/>
  <c r="BJ804" i="202" s="1"/>
  <c r="AT805" i="202"/>
  <c r="BJ805" i="202" s="1"/>
  <c r="AT806" i="202"/>
  <c r="BJ806" i="202" s="1"/>
  <c r="AT807" i="202"/>
  <c r="BJ807" i="202" s="1"/>
  <c r="AT808" i="202"/>
  <c r="BJ808" i="202" s="1"/>
  <c r="AT809" i="202"/>
  <c r="BJ809" i="202" s="1"/>
  <c r="AT810" i="202"/>
  <c r="BJ810" i="202" s="1"/>
  <c r="AT811" i="202"/>
  <c r="BJ811" i="202" s="1"/>
  <c r="AT812" i="202"/>
  <c r="BJ812" i="202" s="1"/>
  <c r="AT813" i="202"/>
  <c r="BJ813" i="202" s="1"/>
  <c r="AT814" i="202"/>
  <c r="BJ814" i="202" s="1"/>
  <c r="AT815" i="202"/>
  <c r="BJ815" i="202" s="1"/>
  <c r="AT816" i="202"/>
  <c r="BJ816" i="202" s="1"/>
  <c r="AT817" i="202"/>
  <c r="BJ817" i="202" s="1"/>
  <c r="AT818" i="202"/>
  <c r="BJ818" i="202" s="1"/>
  <c r="AT819" i="202"/>
  <c r="BJ819" i="202" s="1"/>
  <c r="AT820" i="202"/>
  <c r="BJ820" i="202" s="1"/>
  <c r="AT821" i="202"/>
  <c r="BJ821" i="202" s="1"/>
  <c r="AT822" i="202"/>
  <c r="BJ822" i="202" s="1"/>
  <c r="AT823" i="202"/>
  <c r="BJ823" i="202" s="1"/>
  <c r="AT824" i="202"/>
  <c r="BJ824" i="202" s="1"/>
  <c r="AT825" i="202"/>
  <c r="BJ825" i="202" s="1"/>
  <c r="AT826" i="202"/>
  <c r="BJ826" i="202" s="1"/>
  <c r="AT827" i="202"/>
  <c r="BJ827" i="202" s="1"/>
  <c r="AT828" i="202"/>
  <c r="BJ828" i="202" s="1"/>
  <c r="AT829" i="202"/>
  <c r="BJ829" i="202" s="1"/>
  <c r="AT830" i="202"/>
  <c r="BJ830" i="202" s="1"/>
  <c r="AT831" i="202"/>
  <c r="BJ831" i="202" s="1"/>
  <c r="AT832" i="202"/>
  <c r="BJ832" i="202" s="1"/>
  <c r="AT833" i="202"/>
  <c r="BJ833" i="202" s="1"/>
  <c r="AT834" i="202"/>
  <c r="BJ834" i="202" s="1"/>
  <c r="AT835" i="202"/>
  <c r="BJ835" i="202" s="1"/>
  <c r="AT836" i="202"/>
  <c r="BJ836" i="202" s="1"/>
  <c r="AT837" i="202"/>
  <c r="BJ837" i="202" s="1"/>
  <c r="AT838" i="202"/>
  <c r="BJ838" i="202" s="1"/>
  <c r="AT839" i="202"/>
  <c r="BJ839" i="202" s="1"/>
  <c r="AT840" i="202"/>
  <c r="BJ840" i="202" s="1"/>
  <c r="AT841" i="202"/>
  <c r="BJ841" i="202" s="1"/>
  <c r="AT842" i="202"/>
  <c r="BJ842" i="202" s="1"/>
  <c r="AT843" i="202"/>
  <c r="BJ843" i="202" s="1"/>
  <c r="AT844" i="202"/>
  <c r="BJ844" i="202" s="1"/>
  <c r="AT845" i="202"/>
  <c r="BJ845" i="202" s="1"/>
  <c r="AT846" i="202"/>
  <c r="BJ846" i="202" s="1"/>
  <c r="AT847" i="202"/>
  <c r="BJ847" i="202" s="1"/>
  <c r="AT848" i="202"/>
  <c r="BJ848" i="202" s="1"/>
  <c r="AT849" i="202"/>
  <c r="BJ849" i="202" s="1"/>
  <c r="AT850" i="202"/>
  <c r="BJ850" i="202" s="1"/>
  <c r="AT851" i="202"/>
  <c r="BJ851" i="202" s="1"/>
  <c r="AT852" i="202"/>
  <c r="BJ852" i="202" s="1"/>
  <c r="AT853" i="202"/>
  <c r="BJ853" i="202" s="1"/>
  <c r="AT854" i="202"/>
  <c r="BJ854" i="202" s="1"/>
  <c r="AT855" i="202"/>
  <c r="BJ855" i="202" s="1"/>
  <c r="AT856" i="202"/>
  <c r="BJ856" i="202" s="1"/>
  <c r="AT857" i="202"/>
  <c r="BJ857" i="202" s="1"/>
  <c r="AT858" i="202"/>
  <c r="BJ858" i="202" s="1"/>
  <c r="AT859" i="202"/>
  <c r="BJ859" i="202" s="1"/>
  <c r="AT860" i="202"/>
  <c r="BJ860" i="202" s="1"/>
  <c r="AT861" i="202"/>
  <c r="BJ861" i="202" s="1"/>
  <c r="AT862" i="202"/>
  <c r="BJ862" i="202" s="1"/>
  <c r="AT863" i="202"/>
  <c r="BJ863" i="202" s="1"/>
  <c r="AT864" i="202"/>
  <c r="BJ864" i="202" s="1"/>
  <c r="AT865" i="202"/>
  <c r="BJ865" i="202" s="1"/>
  <c r="AT866" i="202"/>
  <c r="BJ866" i="202" s="1"/>
  <c r="AT867" i="202"/>
  <c r="BJ867" i="202" s="1"/>
  <c r="AT868" i="202"/>
  <c r="BJ868" i="202" s="1"/>
  <c r="AT869" i="202"/>
  <c r="BJ869" i="202" s="1"/>
  <c r="AT870" i="202"/>
  <c r="BJ870" i="202" s="1"/>
  <c r="AT871" i="202"/>
  <c r="BJ871" i="202" s="1"/>
  <c r="AT872" i="202"/>
  <c r="BJ872" i="202" s="1"/>
  <c r="AT873" i="202"/>
  <c r="BJ873" i="202" s="1"/>
  <c r="AT874" i="202"/>
  <c r="BJ874" i="202" s="1"/>
  <c r="AT875" i="202"/>
  <c r="BJ875" i="202" s="1"/>
  <c r="AT876" i="202"/>
  <c r="BJ876" i="202" s="1"/>
  <c r="AT877" i="202"/>
  <c r="BJ877" i="202" s="1"/>
  <c r="AT878" i="202"/>
  <c r="BJ878" i="202" s="1"/>
  <c r="AT879" i="202"/>
  <c r="BJ879" i="202" s="1"/>
  <c r="AT880" i="202"/>
  <c r="BJ880" i="202" s="1"/>
  <c r="AT881" i="202"/>
  <c r="BJ881" i="202" s="1"/>
  <c r="AT882" i="202"/>
  <c r="BJ882" i="202" s="1"/>
  <c r="AT883" i="202"/>
  <c r="BJ883" i="202" s="1"/>
  <c r="AT884" i="202"/>
  <c r="BJ884" i="202" s="1"/>
  <c r="AT885" i="202"/>
  <c r="BJ885" i="202" s="1"/>
  <c r="AT886" i="202"/>
  <c r="BJ886" i="202" s="1"/>
  <c r="AT887" i="202"/>
  <c r="BJ887" i="202" s="1"/>
  <c r="AT888" i="202"/>
  <c r="BJ888" i="202" s="1"/>
  <c r="AT889" i="202"/>
  <c r="BJ889" i="202" s="1"/>
  <c r="AT890" i="202"/>
  <c r="BJ890" i="202" s="1"/>
  <c r="AT891" i="202"/>
  <c r="BJ891" i="202" s="1"/>
  <c r="AT892" i="202"/>
  <c r="BJ892" i="202" s="1"/>
  <c r="AT893" i="202"/>
  <c r="BJ893" i="202" s="1"/>
  <c r="AT894" i="202"/>
  <c r="BJ894" i="202" s="1"/>
  <c r="AT895" i="202"/>
  <c r="BJ895" i="202" s="1"/>
  <c r="AT896" i="202"/>
  <c r="BJ896" i="202" s="1"/>
  <c r="AT897" i="202"/>
  <c r="BJ897" i="202" s="1"/>
  <c r="AT898" i="202"/>
  <c r="BJ898" i="202" s="1"/>
  <c r="AT899" i="202"/>
  <c r="BJ899" i="202" s="1"/>
  <c r="AT900" i="202"/>
  <c r="BJ900" i="202" s="1"/>
  <c r="AT901" i="202"/>
  <c r="BJ901" i="202" s="1"/>
  <c r="AT902" i="202"/>
  <c r="BJ902" i="202" s="1"/>
  <c r="AT903" i="202"/>
  <c r="BJ903" i="202" s="1"/>
  <c r="AT904" i="202"/>
  <c r="BJ904" i="202" s="1"/>
  <c r="AT905" i="202"/>
  <c r="BJ905" i="202" s="1"/>
  <c r="AT906" i="202"/>
  <c r="BJ906" i="202" s="1"/>
  <c r="AT907" i="202"/>
  <c r="BJ907" i="202" s="1"/>
  <c r="AT908" i="202"/>
  <c r="BJ908" i="202" s="1"/>
  <c r="AT909" i="202"/>
  <c r="BJ909" i="202" s="1"/>
  <c r="AT910" i="202"/>
  <c r="BJ910" i="202" s="1"/>
  <c r="AT911" i="202"/>
  <c r="BJ911" i="202" s="1"/>
  <c r="AT912" i="202"/>
  <c r="BJ912" i="202" s="1"/>
  <c r="AT913" i="202"/>
  <c r="BJ913" i="202" s="1"/>
  <c r="AT914" i="202"/>
  <c r="BJ914" i="202" s="1"/>
  <c r="AT915" i="202"/>
  <c r="BJ915" i="202" s="1"/>
  <c r="AT916" i="202"/>
  <c r="BJ916" i="202" s="1"/>
  <c r="AT917" i="202"/>
  <c r="BJ917" i="202" s="1"/>
  <c r="AT918" i="202"/>
  <c r="BJ918" i="202" s="1"/>
  <c r="AT919" i="202"/>
  <c r="BJ919" i="202" s="1"/>
  <c r="AT920" i="202"/>
  <c r="BJ920" i="202" s="1"/>
  <c r="AT921" i="202"/>
  <c r="BJ921" i="202" s="1"/>
  <c r="AT922" i="202"/>
  <c r="BJ922" i="202" s="1"/>
  <c r="AT923" i="202"/>
  <c r="BJ923" i="202" s="1"/>
  <c r="AT924" i="202"/>
  <c r="BJ924" i="202" s="1"/>
  <c r="AT925" i="202"/>
  <c r="BJ925" i="202" s="1"/>
  <c r="AT926" i="202"/>
  <c r="BJ926" i="202" s="1"/>
  <c r="AT927" i="202"/>
  <c r="BJ927" i="202" s="1"/>
  <c r="AT928" i="202"/>
  <c r="BJ928" i="202" s="1"/>
  <c r="AT929" i="202"/>
  <c r="BJ929" i="202" s="1"/>
  <c r="AT930" i="202"/>
  <c r="BJ930" i="202" s="1"/>
  <c r="AT931" i="202"/>
  <c r="BJ931" i="202" s="1"/>
  <c r="AT932" i="202"/>
  <c r="BJ932" i="202" s="1"/>
  <c r="AT933" i="202"/>
  <c r="BJ933" i="202" s="1"/>
  <c r="AT934" i="202"/>
  <c r="BJ934" i="202" s="1"/>
  <c r="AT935" i="202"/>
  <c r="BJ935" i="202" s="1"/>
  <c r="AT936" i="202"/>
  <c r="BJ936" i="202" s="1"/>
  <c r="AT937" i="202"/>
  <c r="BJ937" i="202" s="1"/>
  <c r="AT938" i="202"/>
  <c r="BJ938" i="202" s="1"/>
  <c r="AT939" i="202"/>
  <c r="BJ939" i="202" s="1"/>
  <c r="AT940" i="202"/>
  <c r="BJ940" i="202" s="1"/>
  <c r="AT941" i="202"/>
  <c r="BJ941" i="202" s="1"/>
  <c r="AT942" i="202"/>
  <c r="BJ942" i="202" s="1"/>
  <c r="AT943" i="202"/>
  <c r="BJ943" i="202" s="1"/>
  <c r="AT944" i="202"/>
  <c r="BJ944" i="202" s="1"/>
  <c r="AT945" i="202"/>
  <c r="BJ945" i="202" s="1"/>
  <c r="AT946" i="202"/>
  <c r="BJ946" i="202" s="1"/>
  <c r="AT947" i="202"/>
  <c r="BJ947" i="202" s="1"/>
  <c r="AT948" i="202"/>
  <c r="BJ948" i="202" s="1"/>
  <c r="AT949" i="202"/>
  <c r="BJ949" i="202" s="1"/>
  <c r="AT950" i="202"/>
  <c r="BJ950" i="202" s="1"/>
  <c r="AT951" i="202"/>
  <c r="BJ951" i="202" s="1"/>
  <c r="AT952" i="202"/>
  <c r="BJ952" i="202" s="1"/>
  <c r="AT953" i="202"/>
  <c r="BJ953" i="202" s="1"/>
  <c r="AT954" i="202"/>
  <c r="BJ954" i="202" s="1"/>
  <c r="AT955" i="202"/>
  <c r="BJ955" i="202" s="1"/>
  <c r="AT956" i="202"/>
  <c r="BJ956" i="202" s="1"/>
  <c r="AT957" i="202"/>
  <c r="BJ957" i="202" s="1"/>
  <c r="AT958" i="202"/>
  <c r="BJ958" i="202" s="1"/>
  <c r="AT959" i="202"/>
  <c r="BJ959" i="202" s="1"/>
  <c r="AT960" i="202"/>
  <c r="BJ960" i="202" s="1"/>
  <c r="AT961" i="202"/>
  <c r="BJ961" i="202" s="1"/>
  <c r="AT962" i="202"/>
  <c r="BJ962" i="202" s="1"/>
  <c r="AT963" i="202"/>
  <c r="BJ963" i="202" s="1"/>
  <c r="AT964" i="202"/>
  <c r="BJ964" i="202" s="1"/>
  <c r="AT965" i="202"/>
  <c r="BJ965" i="202" s="1"/>
  <c r="AT966" i="202"/>
  <c r="BJ966" i="202" s="1"/>
  <c r="AT967" i="202"/>
  <c r="BJ967" i="202" s="1"/>
  <c r="AT968" i="202"/>
  <c r="BJ968" i="202" s="1"/>
  <c r="AT969" i="202"/>
  <c r="BJ969" i="202" s="1"/>
  <c r="AT970" i="202"/>
  <c r="BJ970" i="202" s="1"/>
  <c r="AT971" i="202"/>
  <c r="BJ971" i="202" s="1"/>
  <c r="AT972" i="202"/>
  <c r="BJ972" i="202" s="1"/>
  <c r="AT973" i="202"/>
  <c r="BJ973" i="202" s="1"/>
  <c r="AT974" i="202"/>
  <c r="BJ974" i="202" s="1"/>
  <c r="AT975" i="202"/>
  <c r="BJ975" i="202" s="1"/>
  <c r="AT976" i="202"/>
  <c r="BJ976" i="202" s="1"/>
  <c r="AT977" i="202"/>
  <c r="BJ977" i="202" s="1"/>
  <c r="AT978" i="202"/>
  <c r="BJ978" i="202" s="1"/>
  <c r="AT979" i="202"/>
  <c r="BJ979" i="202" s="1"/>
  <c r="AT980" i="202"/>
  <c r="BJ980" i="202" s="1"/>
  <c r="AT981" i="202"/>
  <c r="BJ981" i="202" s="1"/>
  <c r="AT982" i="202"/>
  <c r="BJ982" i="202" s="1"/>
  <c r="AT983" i="202"/>
  <c r="BJ983" i="202" s="1"/>
  <c r="AT984" i="202"/>
  <c r="BJ984" i="202" s="1"/>
  <c r="AT985" i="202"/>
  <c r="BJ985" i="202" s="1"/>
  <c r="AT986" i="202"/>
  <c r="BJ986" i="202" s="1"/>
  <c r="AT987" i="202"/>
  <c r="BJ987" i="202" s="1"/>
  <c r="AT988" i="202"/>
  <c r="BJ988" i="202" s="1"/>
  <c r="AT989" i="202"/>
  <c r="BJ989" i="202" s="1"/>
  <c r="AT990" i="202"/>
  <c r="BJ990" i="202" s="1"/>
  <c r="AT991" i="202"/>
  <c r="BJ991" i="202" s="1"/>
  <c r="AT992" i="202"/>
  <c r="BJ992" i="202" s="1"/>
  <c r="AT993" i="202"/>
  <c r="BJ993" i="202" s="1"/>
  <c r="AT994" i="202"/>
  <c r="BJ994" i="202" s="1"/>
  <c r="AT995" i="202"/>
  <c r="BJ995" i="202" s="1"/>
  <c r="AT996" i="202"/>
  <c r="BJ996" i="202" s="1"/>
  <c r="AT997" i="202"/>
  <c r="BJ997" i="202" s="1"/>
  <c r="AT998" i="202"/>
  <c r="BJ998" i="202" s="1"/>
  <c r="AT999" i="202"/>
  <c r="BJ999" i="202" s="1"/>
  <c r="AT1000" i="202"/>
  <c r="BJ1000" i="202" s="1"/>
  <c r="AT1001" i="202"/>
  <c r="BJ1001" i="202" s="1"/>
  <c r="AT1002" i="202"/>
  <c r="BJ1002" i="202" s="1"/>
  <c r="AT1003" i="202"/>
  <c r="BJ1003" i="202" s="1"/>
  <c r="AT1004" i="202"/>
  <c r="BJ1004" i="202" s="1"/>
  <c r="AT1005" i="202"/>
  <c r="BJ1005" i="202" s="1"/>
  <c r="AT1006" i="202"/>
  <c r="BJ1006" i="202" s="1"/>
  <c r="AT1007" i="202"/>
  <c r="BJ1007" i="202" s="1"/>
  <c r="AT1008" i="202"/>
  <c r="BJ1008" i="202" s="1"/>
  <c r="AT1009" i="202"/>
  <c r="BJ1009" i="202" s="1"/>
  <c r="AT1010" i="202"/>
  <c r="BJ1010" i="202" s="1"/>
  <c r="AT1011" i="202"/>
  <c r="BJ1011" i="202" s="1"/>
  <c r="AT1012" i="202"/>
  <c r="BJ1012" i="202" s="1"/>
  <c r="AT1013" i="202"/>
  <c r="BJ1013" i="202" s="1"/>
  <c r="AT1014" i="202"/>
  <c r="BJ1014" i="202" s="1"/>
  <c r="AT1015" i="202"/>
  <c r="BJ1015" i="202" s="1"/>
  <c r="AT1016" i="202"/>
  <c r="BJ1016" i="202" s="1"/>
  <c r="AT1017" i="202"/>
  <c r="BJ1017" i="202" s="1"/>
  <c r="AT1018" i="202"/>
  <c r="BJ1018" i="202" s="1"/>
  <c r="AT1019" i="202"/>
  <c r="BJ1019" i="202" s="1"/>
  <c r="AT1020" i="202"/>
  <c r="BJ1020" i="202" s="1"/>
  <c r="AT1021" i="202"/>
  <c r="BJ1021" i="202" s="1"/>
  <c r="AT1022" i="202"/>
  <c r="BJ1022" i="202" s="1"/>
  <c r="AT1023" i="202"/>
  <c r="BJ1023" i="202" s="1"/>
  <c r="AT1024" i="202"/>
  <c r="BJ1024" i="202" s="1"/>
  <c r="AT1025" i="202"/>
  <c r="BJ1025" i="202" s="1"/>
  <c r="AT1026" i="202"/>
  <c r="BJ1026" i="202" s="1"/>
  <c r="AT1027" i="202"/>
  <c r="BJ1027" i="202" s="1"/>
  <c r="AT1028" i="202"/>
  <c r="BJ1028" i="202" s="1"/>
  <c r="AT1029" i="202"/>
  <c r="BJ1029" i="202" s="1"/>
  <c r="AT1030" i="202"/>
  <c r="BJ1030" i="202" s="1"/>
  <c r="AT1031" i="202"/>
  <c r="BJ1031" i="202" s="1"/>
  <c r="AT1032" i="202"/>
  <c r="BJ1032" i="202" s="1"/>
  <c r="AT1033" i="202"/>
  <c r="BJ1033" i="202" s="1"/>
  <c r="AT1034" i="202"/>
  <c r="BJ1034" i="202" s="1"/>
  <c r="AT1035" i="202"/>
  <c r="BJ1035" i="202" s="1"/>
  <c r="AT1036" i="202"/>
  <c r="BJ1036" i="202" s="1"/>
  <c r="AT1037" i="202"/>
  <c r="BJ1037" i="202" s="1"/>
  <c r="AT1038" i="202"/>
  <c r="BJ1038" i="202" s="1"/>
  <c r="AT1039" i="202"/>
  <c r="BJ1039" i="202" s="1"/>
  <c r="AT1040" i="202"/>
  <c r="BJ1040" i="202" s="1"/>
  <c r="AT1041" i="202"/>
  <c r="BJ1041" i="202" s="1"/>
  <c r="AT1042" i="202"/>
  <c r="BJ1042" i="202" s="1"/>
  <c r="AT1043" i="202"/>
  <c r="BJ1043" i="202" s="1"/>
  <c r="AT1044" i="202"/>
  <c r="BJ1044" i="202" s="1"/>
  <c r="AT1045" i="202"/>
  <c r="BJ1045" i="202" s="1"/>
  <c r="AT1046" i="202"/>
  <c r="BJ1046" i="202" s="1"/>
  <c r="AT1047" i="202"/>
  <c r="BJ1047" i="202" s="1"/>
  <c r="AT1048" i="202"/>
  <c r="BJ1048" i="202" s="1"/>
  <c r="AT1049" i="202"/>
  <c r="BJ1049" i="202" s="1"/>
  <c r="AT1050" i="202"/>
  <c r="BJ1050" i="202" s="1"/>
  <c r="AT1051" i="202"/>
  <c r="BJ1051" i="202" s="1"/>
  <c r="AT1052" i="202"/>
  <c r="BJ1052" i="202" s="1"/>
  <c r="AT1053" i="202"/>
  <c r="BJ1053" i="202" s="1"/>
  <c r="AT1054" i="202"/>
  <c r="BJ1054" i="202" s="1"/>
  <c r="AT1055" i="202"/>
  <c r="BJ1055" i="202" s="1"/>
  <c r="AT1056" i="202"/>
  <c r="BJ1056" i="202" s="1"/>
  <c r="AT1057" i="202"/>
  <c r="BJ1057" i="202" s="1"/>
  <c r="AT1058" i="202"/>
  <c r="BJ1058" i="202" s="1"/>
  <c r="AT1059" i="202"/>
  <c r="BJ1059" i="202" s="1"/>
  <c r="AT1060" i="202"/>
  <c r="BJ1060" i="202" s="1"/>
  <c r="AT1061" i="202"/>
  <c r="BJ1061" i="202" s="1"/>
  <c r="AT1062" i="202"/>
  <c r="BJ1062" i="202" s="1"/>
  <c r="AT1063" i="202"/>
  <c r="BJ1063" i="202" s="1"/>
  <c r="AT1064" i="202"/>
  <c r="BJ1064" i="202" s="1"/>
  <c r="AT1065" i="202"/>
  <c r="BJ1065" i="202" s="1"/>
  <c r="AT1066" i="202"/>
  <c r="BJ1066" i="202" s="1"/>
  <c r="AT1067" i="202"/>
  <c r="BJ1067" i="202" s="1"/>
  <c r="AT1068" i="202"/>
  <c r="BJ1068" i="202" s="1"/>
  <c r="AT1069" i="202"/>
  <c r="BJ1069" i="202" s="1"/>
  <c r="AT1070" i="202"/>
  <c r="BJ1070" i="202" s="1"/>
  <c r="AT1071" i="202"/>
  <c r="BJ1071" i="202" s="1"/>
  <c r="AT1072" i="202"/>
  <c r="BJ1072" i="202" s="1"/>
  <c r="AT1073" i="202"/>
  <c r="BJ1073" i="202" s="1"/>
  <c r="AT1074" i="202"/>
  <c r="BJ1074" i="202" s="1"/>
  <c r="AT1075" i="202"/>
  <c r="BJ1075" i="202" s="1"/>
  <c r="AT1076" i="202"/>
  <c r="BJ1076" i="202" s="1"/>
  <c r="AT1077" i="202"/>
  <c r="BJ1077" i="202" s="1"/>
  <c r="AT1078" i="202"/>
  <c r="BJ1078" i="202" s="1"/>
  <c r="AT1079" i="202"/>
  <c r="BJ1079" i="202" s="1"/>
  <c r="AT1080" i="202"/>
  <c r="BJ1080" i="202" s="1"/>
  <c r="AT1081" i="202"/>
  <c r="BJ1081" i="202" s="1"/>
  <c r="AT1082" i="202"/>
  <c r="BJ1082" i="202" s="1"/>
  <c r="AT1083" i="202"/>
  <c r="BJ1083" i="202" s="1"/>
  <c r="AT1084" i="202"/>
  <c r="BJ1084" i="202" s="1"/>
  <c r="AT1085" i="202"/>
  <c r="BJ1085" i="202" s="1"/>
  <c r="AT1086" i="202"/>
  <c r="BJ1086" i="202" s="1"/>
  <c r="AT1087" i="202"/>
  <c r="BJ1087" i="202" s="1"/>
  <c r="AT1088" i="202"/>
  <c r="BJ1088" i="202" s="1"/>
  <c r="AT1089" i="202"/>
  <c r="BJ1089" i="202" s="1"/>
  <c r="AT1090" i="202"/>
  <c r="BJ1090" i="202" s="1"/>
  <c r="AT1091" i="202"/>
  <c r="BJ1091" i="202" s="1"/>
  <c r="AT1092" i="202"/>
  <c r="BJ1092" i="202" s="1"/>
  <c r="AT1093" i="202"/>
  <c r="BJ1093" i="202" s="1"/>
  <c r="AT1094" i="202"/>
  <c r="BJ1094" i="202" s="1"/>
  <c r="AT1095" i="202"/>
  <c r="BJ1095" i="202" s="1"/>
  <c r="AT1096" i="202"/>
  <c r="BJ1096" i="202" s="1"/>
  <c r="AT1097" i="202"/>
  <c r="BJ1097" i="202" s="1"/>
  <c r="AT1098" i="202"/>
  <c r="BJ1098" i="202" s="1"/>
  <c r="AT1099" i="202"/>
  <c r="BJ1099" i="202" s="1"/>
  <c r="AT1100" i="202"/>
  <c r="BJ1100" i="202" s="1"/>
  <c r="AT1101" i="202"/>
  <c r="BJ1101" i="202" s="1"/>
  <c r="AT1102" i="202"/>
  <c r="BJ1102" i="202" s="1"/>
  <c r="AT1103" i="202"/>
  <c r="BJ1103" i="202" s="1"/>
  <c r="AT1104" i="202"/>
  <c r="BJ1104" i="202" s="1"/>
  <c r="AT1105" i="202"/>
  <c r="BJ1105" i="202" s="1"/>
  <c r="AT1106" i="202"/>
  <c r="BJ1106" i="202" s="1"/>
  <c r="AT1107" i="202"/>
  <c r="BJ1107" i="202" s="1"/>
  <c r="AT1108" i="202"/>
  <c r="BJ1108" i="202" s="1"/>
  <c r="AT1109" i="202"/>
  <c r="BJ1109" i="202" s="1"/>
  <c r="AT1110" i="202"/>
  <c r="BJ1110" i="202" s="1"/>
  <c r="AT1111" i="202"/>
  <c r="BJ1111" i="202" s="1"/>
  <c r="AT1112" i="202"/>
  <c r="BJ1112" i="202" s="1"/>
  <c r="AT1113" i="202"/>
  <c r="BJ1113" i="202" s="1"/>
  <c r="AT1114" i="202"/>
  <c r="BJ1114" i="202" s="1"/>
  <c r="AT1115" i="202"/>
  <c r="BJ1115" i="202" s="1"/>
  <c r="AT1116" i="202"/>
  <c r="BJ1116" i="202" s="1"/>
  <c r="AT1117" i="202"/>
  <c r="BJ1117" i="202" s="1"/>
  <c r="AT1118" i="202"/>
  <c r="BJ1118" i="202" s="1"/>
  <c r="AT1119" i="202"/>
  <c r="BJ1119" i="202" s="1"/>
  <c r="AT1120" i="202"/>
  <c r="BJ1120" i="202" s="1"/>
  <c r="AT1121" i="202"/>
  <c r="BJ1121" i="202" s="1"/>
  <c r="AT1122" i="202"/>
  <c r="BJ1122" i="202" s="1"/>
  <c r="AT1123" i="202"/>
  <c r="BJ1123" i="202" s="1"/>
  <c r="AT1124" i="202"/>
  <c r="BJ1124" i="202" s="1"/>
  <c r="AT1125" i="202"/>
  <c r="BJ1125" i="202" s="1"/>
  <c r="AT1126" i="202"/>
  <c r="BJ1126" i="202" s="1"/>
  <c r="AT1127" i="202"/>
  <c r="BJ1127" i="202" s="1"/>
  <c r="AT1128" i="202"/>
  <c r="BJ1128" i="202" s="1"/>
  <c r="AT1129" i="202"/>
  <c r="BJ1129" i="202" s="1"/>
  <c r="AT1130" i="202"/>
  <c r="BJ1130" i="202" s="1"/>
  <c r="AT1131" i="202"/>
  <c r="BJ1131" i="202" s="1"/>
  <c r="AT1132" i="202"/>
  <c r="BJ1132" i="202" s="1"/>
  <c r="AT1133" i="202"/>
  <c r="BJ1133" i="202" s="1"/>
  <c r="AT1134" i="202"/>
  <c r="BJ1134" i="202" s="1"/>
  <c r="AT1135" i="202"/>
  <c r="BJ1135" i="202" s="1"/>
  <c r="AT1136" i="202"/>
  <c r="BJ1136" i="202" s="1"/>
  <c r="AT1137" i="202"/>
  <c r="BJ1137" i="202" s="1"/>
  <c r="AT1138" i="202"/>
  <c r="BJ1138" i="202" s="1"/>
  <c r="AT1139" i="202"/>
  <c r="BJ1139" i="202" s="1"/>
  <c r="AT1140" i="202"/>
  <c r="BJ1140" i="202" s="1"/>
  <c r="AT1141" i="202"/>
  <c r="BJ1141" i="202" s="1"/>
  <c r="AT1142" i="202"/>
  <c r="BJ1142" i="202" s="1"/>
  <c r="AT1143" i="202"/>
  <c r="BJ1143" i="202" s="1"/>
  <c r="AT1144" i="202"/>
  <c r="BJ1144" i="202" s="1"/>
  <c r="AT1145" i="202"/>
  <c r="BJ1145" i="202" s="1"/>
  <c r="AT1146" i="202"/>
  <c r="BJ1146" i="202" s="1"/>
  <c r="AT1147" i="202"/>
  <c r="BJ1147" i="202" s="1"/>
  <c r="AT1148" i="202"/>
  <c r="BJ1148" i="202" s="1"/>
  <c r="AT1149" i="202"/>
  <c r="BJ1149" i="202" s="1"/>
  <c r="AT1150" i="202"/>
  <c r="BJ1150" i="202" s="1"/>
  <c r="AT1151" i="202"/>
  <c r="BJ1151" i="202" s="1"/>
  <c r="AT1152" i="202"/>
  <c r="BJ1152" i="202" s="1"/>
  <c r="AT1153" i="202"/>
  <c r="BJ1153" i="202" s="1"/>
  <c r="AT1154" i="202"/>
  <c r="BJ1154" i="202" s="1"/>
  <c r="AT1155" i="202"/>
  <c r="BJ1155" i="202" s="1"/>
  <c r="AT1156" i="202"/>
  <c r="BJ1156" i="202" s="1"/>
  <c r="AT1157" i="202"/>
  <c r="BJ1157" i="202" s="1"/>
  <c r="AT1158" i="202"/>
  <c r="BJ1158" i="202" s="1"/>
  <c r="AT1159" i="202"/>
  <c r="BJ1159" i="202" s="1"/>
  <c r="AT1160" i="202"/>
  <c r="BJ1160" i="202" s="1"/>
  <c r="AT1161" i="202"/>
  <c r="BJ1161" i="202" s="1"/>
  <c r="AT1162" i="202"/>
  <c r="BJ1162" i="202" s="1"/>
  <c r="AT1163" i="202"/>
  <c r="BJ1163" i="202" s="1"/>
  <c r="AT1164" i="202"/>
  <c r="BJ1164" i="202" s="1"/>
  <c r="AT1165" i="202"/>
  <c r="BJ1165" i="202" s="1"/>
  <c r="AT1166" i="202"/>
  <c r="BJ1166" i="202" s="1"/>
  <c r="AT1167" i="202"/>
  <c r="BJ1167" i="202" s="1"/>
  <c r="AT1168" i="202"/>
  <c r="BJ1168" i="202" s="1"/>
  <c r="AT1169" i="202"/>
  <c r="BJ1169" i="202" s="1"/>
  <c r="AT1170" i="202"/>
  <c r="BJ1170" i="202" s="1"/>
  <c r="AT1171" i="202"/>
  <c r="BJ1171" i="202" s="1"/>
  <c r="AT1172" i="202"/>
  <c r="BJ1172" i="202" s="1"/>
  <c r="AT1173" i="202"/>
  <c r="BJ1173" i="202" s="1"/>
  <c r="AT1174" i="202"/>
  <c r="BJ1174" i="202" s="1"/>
  <c r="AT1175" i="202"/>
  <c r="BJ1175" i="202" s="1"/>
  <c r="AT1176" i="202"/>
  <c r="BJ1176" i="202" s="1"/>
  <c r="AT1177" i="202"/>
  <c r="BJ1177" i="202" s="1"/>
  <c r="AT1178" i="202"/>
  <c r="BJ1178" i="202" s="1"/>
  <c r="AT1179" i="202"/>
  <c r="BJ1179" i="202" s="1"/>
  <c r="AT1180" i="202"/>
  <c r="BJ1180" i="202" s="1"/>
  <c r="AT1181" i="202"/>
  <c r="BJ1181" i="202" s="1"/>
  <c r="AT1182" i="202"/>
  <c r="BJ1182" i="202" s="1"/>
  <c r="AT1183" i="202"/>
  <c r="BJ1183" i="202" s="1"/>
  <c r="AT1184" i="202"/>
  <c r="BJ1184" i="202" s="1"/>
  <c r="AT1185" i="202"/>
  <c r="BJ1185" i="202" s="1"/>
  <c r="AT1186" i="202"/>
  <c r="BJ1186" i="202" s="1"/>
  <c r="AT1187" i="202"/>
  <c r="BJ1187" i="202" s="1"/>
  <c r="AT1188" i="202"/>
  <c r="BJ1188" i="202" s="1"/>
  <c r="AT1189" i="202"/>
  <c r="BJ1189" i="202" s="1"/>
  <c r="AT1190" i="202"/>
  <c r="BJ1190" i="202" s="1"/>
  <c r="AT1191" i="202"/>
  <c r="BJ1191" i="202" s="1"/>
  <c r="AT1192" i="202"/>
  <c r="BJ1192" i="202" s="1"/>
  <c r="AT1193" i="202"/>
  <c r="BJ1193" i="202" s="1"/>
  <c r="AT1194" i="202"/>
  <c r="BJ1194" i="202" s="1"/>
  <c r="AT1195" i="202"/>
  <c r="BJ1195" i="202" s="1"/>
  <c r="AT1196" i="202"/>
  <c r="BJ1196" i="202" s="1"/>
  <c r="AT1197" i="202"/>
  <c r="BJ1197" i="202" s="1"/>
  <c r="AT1198" i="202"/>
  <c r="BJ1198" i="202" s="1"/>
  <c r="AT1199" i="202"/>
  <c r="BJ1199" i="202" s="1"/>
  <c r="AT1200" i="202"/>
  <c r="BJ1200" i="202" s="1"/>
  <c r="AT1201" i="202"/>
  <c r="BJ1201" i="202" s="1"/>
  <c r="AT1202" i="202"/>
  <c r="BJ1202" i="202" s="1"/>
  <c r="AT1203" i="202"/>
  <c r="BJ1203" i="202" s="1"/>
  <c r="AT1204" i="202"/>
  <c r="BJ1204" i="202" s="1"/>
  <c r="AT1205" i="202"/>
  <c r="BJ1205" i="202" s="1"/>
  <c r="AT1206" i="202"/>
  <c r="BJ1206" i="202" s="1"/>
  <c r="AT1207" i="202"/>
  <c r="BJ1207" i="202" s="1"/>
  <c r="AT1208" i="202"/>
  <c r="BJ1208" i="202" s="1"/>
  <c r="AT1209" i="202"/>
  <c r="BJ1209" i="202" s="1"/>
  <c r="AT1210" i="202"/>
  <c r="BJ1210" i="202" s="1"/>
  <c r="AT1211" i="202"/>
  <c r="BJ1211" i="202" s="1"/>
  <c r="AT1212" i="202"/>
  <c r="BJ1212" i="202" s="1"/>
  <c r="AT1213" i="202"/>
  <c r="BJ1213" i="202" s="1"/>
  <c r="AT1214" i="202"/>
  <c r="BJ1214" i="202" s="1"/>
  <c r="AT1215" i="202"/>
  <c r="BJ1215" i="202" s="1"/>
  <c r="AT1216" i="202"/>
  <c r="BJ1216" i="202" s="1"/>
  <c r="AT1217" i="202"/>
  <c r="BJ1217" i="202" s="1"/>
  <c r="AT1218" i="202"/>
  <c r="BJ1218" i="202" s="1"/>
  <c r="AT1219" i="202"/>
  <c r="BJ1219" i="202" s="1"/>
  <c r="AT1220" i="202"/>
  <c r="BJ1220" i="202" s="1"/>
  <c r="AT1221" i="202"/>
  <c r="BJ1221" i="202" s="1"/>
  <c r="AT1222" i="202"/>
  <c r="BJ1222" i="202" s="1"/>
  <c r="AT1223" i="202"/>
  <c r="BJ1223" i="202" s="1"/>
  <c r="AT1224" i="202"/>
  <c r="BJ1224" i="202" s="1"/>
  <c r="AT1225" i="202"/>
  <c r="BJ1225" i="202" s="1"/>
  <c r="AT1226" i="202"/>
  <c r="BJ1226" i="202" s="1"/>
  <c r="AT1227" i="202"/>
  <c r="BJ1227" i="202" s="1"/>
  <c r="AT1228" i="202"/>
  <c r="BJ1228" i="202" s="1"/>
  <c r="AT1229" i="202"/>
  <c r="BJ1229" i="202" s="1"/>
  <c r="AT1230" i="202"/>
  <c r="BJ1230" i="202" s="1"/>
  <c r="AT1231" i="202"/>
  <c r="BJ1231" i="202" s="1"/>
  <c r="AT1232" i="202"/>
  <c r="BJ1232" i="202" s="1"/>
  <c r="AT1233" i="202"/>
  <c r="BJ1233" i="202" s="1"/>
  <c r="AT1234" i="202"/>
  <c r="BJ1234" i="202" s="1"/>
  <c r="AT1235" i="202"/>
  <c r="BJ1235" i="202" s="1"/>
  <c r="AT1236" i="202"/>
  <c r="BJ1236" i="202" s="1"/>
  <c r="AT1237" i="202"/>
  <c r="BJ1237" i="202" s="1"/>
  <c r="AT1238" i="202"/>
  <c r="BJ1238" i="202" s="1"/>
  <c r="AT1239" i="202"/>
  <c r="BJ1239" i="202" s="1"/>
  <c r="AT1240" i="202"/>
  <c r="BJ1240" i="202" s="1"/>
  <c r="AT1241" i="202"/>
  <c r="BJ1241" i="202" s="1"/>
  <c r="AT1242" i="202"/>
  <c r="BJ1242" i="202" s="1"/>
  <c r="AT1243" i="202"/>
  <c r="BJ1243" i="202" s="1"/>
  <c r="AT1244" i="202"/>
  <c r="BJ1244" i="202" s="1"/>
  <c r="AT1245" i="202"/>
  <c r="BJ1245" i="202" s="1"/>
  <c r="AT1246" i="202"/>
  <c r="BJ1246" i="202" s="1"/>
  <c r="AT1247" i="202"/>
  <c r="BJ1247" i="202" s="1"/>
  <c r="AT1248" i="202"/>
  <c r="BJ1248" i="202" s="1"/>
  <c r="AT1249" i="202"/>
  <c r="BJ1249" i="202" s="1"/>
  <c r="AT1250" i="202"/>
  <c r="BJ1250" i="202" s="1"/>
  <c r="AT1251" i="202"/>
  <c r="BJ1251" i="202" s="1"/>
  <c r="AT1252" i="202"/>
  <c r="BJ1252" i="202" s="1"/>
  <c r="AT1253" i="202"/>
  <c r="BJ1253" i="202" s="1"/>
  <c r="AT1254" i="202"/>
  <c r="BJ1254" i="202" s="1"/>
  <c r="AT1255" i="202"/>
  <c r="BJ1255" i="202" s="1"/>
  <c r="AT1256" i="202"/>
  <c r="BJ1256" i="202" s="1"/>
  <c r="AT1257" i="202"/>
  <c r="BJ1257" i="202" s="1"/>
  <c r="AT1258" i="202"/>
  <c r="BJ1258" i="202" s="1"/>
  <c r="AT1259" i="202"/>
  <c r="BJ1259" i="202" s="1"/>
  <c r="AT1260" i="202"/>
  <c r="BJ1260" i="202" s="1"/>
  <c r="AT1261" i="202"/>
  <c r="BJ1261" i="202" s="1"/>
  <c r="AT1262" i="202"/>
  <c r="BJ1262" i="202" s="1"/>
  <c r="AT1263" i="202"/>
  <c r="BJ1263" i="202" s="1"/>
  <c r="AT1264" i="202"/>
  <c r="BJ1264" i="202" s="1"/>
  <c r="AT1265" i="202"/>
  <c r="BJ1265" i="202" s="1"/>
  <c r="AT1266" i="202"/>
  <c r="BJ1266" i="202" s="1"/>
  <c r="AT1267" i="202"/>
  <c r="BJ1267" i="202" s="1"/>
  <c r="AT1268" i="202"/>
  <c r="BJ1268" i="202" s="1"/>
  <c r="AT1269" i="202"/>
  <c r="BJ1269" i="202" s="1"/>
  <c r="AT1270" i="202"/>
  <c r="BJ1270" i="202" s="1"/>
  <c r="AT1271" i="202"/>
  <c r="BJ1271" i="202" s="1"/>
  <c r="AT1272" i="202"/>
  <c r="BJ1272" i="202" s="1"/>
  <c r="AT1273" i="202"/>
  <c r="BJ1273" i="202" s="1"/>
  <c r="AT1274" i="202"/>
  <c r="BJ1274" i="202" s="1"/>
  <c r="AT1275" i="202"/>
  <c r="BJ1275" i="202" s="1"/>
  <c r="AT1276" i="202"/>
  <c r="BJ1276" i="202" s="1"/>
  <c r="AT1277" i="202"/>
  <c r="BJ1277" i="202" s="1"/>
  <c r="AT1278" i="202"/>
  <c r="BJ1278" i="202" s="1"/>
  <c r="AT1279" i="202"/>
  <c r="BJ1279" i="202" s="1"/>
  <c r="AT1280" i="202"/>
  <c r="BJ1280" i="202" s="1"/>
  <c r="AT1281" i="202"/>
  <c r="BJ1281" i="202" s="1"/>
  <c r="AT1282" i="202"/>
  <c r="BJ1282" i="202" s="1"/>
  <c r="AT1283" i="202"/>
  <c r="BJ1283" i="202" s="1"/>
  <c r="AT1284" i="202"/>
  <c r="BJ1284" i="202" s="1"/>
  <c r="AT1285" i="202"/>
  <c r="BJ1285" i="202" s="1"/>
  <c r="AT1286" i="202"/>
  <c r="BJ1286" i="202" s="1"/>
  <c r="AT1287" i="202"/>
  <c r="BJ1287" i="202" s="1"/>
  <c r="AT1288" i="202"/>
  <c r="BJ1288" i="202" s="1"/>
  <c r="AT1289" i="202"/>
  <c r="BJ1289" i="202" s="1"/>
  <c r="AT1290" i="202"/>
  <c r="BJ1290" i="202" s="1"/>
  <c r="AT1291" i="202"/>
  <c r="BJ1291" i="202" s="1"/>
  <c r="AT1292" i="202"/>
  <c r="BJ1292" i="202" s="1"/>
  <c r="AT1293" i="202"/>
  <c r="BJ1293" i="202" s="1"/>
  <c r="AT1294" i="202"/>
  <c r="BJ1294" i="202" s="1"/>
  <c r="AT1295" i="202"/>
  <c r="BJ1295" i="202" s="1"/>
  <c r="AT1296" i="202"/>
  <c r="BJ1296" i="202" s="1"/>
  <c r="AT1297" i="202"/>
  <c r="BJ1297" i="202" s="1"/>
  <c r="AT1298" i="202"/>
  <c r="BJ1298" i="202" s="1"/>
  <c r="AT1299" i="202"/>
  <c r="BJ1299" i="202" s="1"/>
  <c r="AT1300" i="202"/>
  <c r="BJ1300" i="202" s="1"/>
  <c r="AT1301" i="202"/>
  <c r="BJ1301" i="202" s="1"/>
  <c r="AT1302" i="202"/>
  <c r="BJ1302" i="202" s="1"/>
  <c r="AT1303" i="202"/>
  <c r="BJ1303" i="202" s="1"/>
  <c r="AT1304" i="202"/>
  <c r="BJ1304" i="202" s="1"/>
  <c r="AT1305" i="202"/>
  <c r="BJ1305" i="202" s="1"/>
  <c r="AT1306" i="202"/>
  <c r="BJ1306" i="202" s="1"/>
  <c r="AT1307" i="202"/>
  <c r="BJ1307" i="202" s="1"/>
  <c r="AT1308" i="202"/>
  <c r="BJ1308" i="202" s="1"/>
  <c r="AT1309" i="202"/>
  <c r="BJ1309" i="202" s="1"/>
  <c r="AT1310" i="202"/>
  <c r="BJ1310" i="202" s="1"/>
  <c r="AT1311" i="202"/>
  <c r="BJ1311" i="202" s="1"/>
  <c r="AT1312" i="202"/>
  <c r="BJ1312" i="202" s="1"/>
  <c r="AT1313" i="202"/>
  <c r="BJ1313" i="202" s="1"/>
  <c r="AT1314" i="202"/>
  <c r="BJ1314" i="202" s="1"/>
  <c r="AT1315" i="202"/>
  <c r="BJ1315" i="202" s="1"/>
  <c r="AT1316" i="202"/>
  <c r="BJ1316" i="202" s="1"/>
  <c r="AT1317" i="202"/>
  <c r="BJ1317" i="202" s="1"/>
  <c r="AT1318" i="202"/>
  <c r="BJ1318" i="202" s="1"/>
  <c r="AT1319" i="202"/>
  <c r="BJ1319" i="202" s="1"/>
  <c r="AT1320" i="202"/>
  <c r="BJ1320" i="202" s="1"/>
  <c r="AT1321" i="202"/>
  <c r="BJ1321" i="202" s="1"/>
  <c r="AT1322" i="202"/>
  <c r="BJ1322" i="202" s="1"/>
  <c r="AT1323" i="202"/>
  <c r="BJ1323" i="202" s="1"/>
  <c r="AT1324" i="202"/>
  <c r="BJ1324" i="202" s="1"/>
  <c r="AT1325" i="202"/>
  <c r="BJ1325" i="202" s="1"/>
  <c r="AT1326" i="202"/>
  <c r="BJ1326" i="202" s="1"/>
  <c r="AT1327" i="202"/>
  <c r="BJ1327" i="202" s="1"/>
  <c r="AT1328" i="202"/>
  <c r="BJ1328" i="202" s="1"/>
  <c r="AT1329" i="202"/>
  <c r="BJ1329" i="202" s="1"/>
  <c r="AT1330" i="202"/>
  <c r="BJ1330" i="202" s="1"/>
  <c r="AT1331" i="202"/>
  <c r="BJ1331" i="202" s="1"/>
  <c r="AT1332" i="202"/>
  <c r="BJ1332" i="202" s="1"/>
  <c r="AT1333" i="202"/>
  <c r="BJ1333" i="202" s="1"/>
  <c r="AT1334" i="202"/>
  <c r="BJ1334" i="202" s="1"/>
  <c r="AT1335" i="202"/>
  <c r="BJ1335" i="202" s="1"/>
  <c r="AT1336" i="202"/>
  <c r="BJ1336" i="202" s="1"/>
  <c r="AT1337" i="202"/>
  <c r="BJ1337" i="202" s="1"/>
  <c r="AT1338" i="202"/>
  <c r="BJ1338" i="202" s="1"/>
  <c r="AT1339" i="202"/>
  <c r="BJ1339" i="202" s="1"/>
  <c r="AT1340" i="202"/>
  <c r="BJ1340" i="202" s="1"/>
  <c r="AT1341" i="202"/>
  <c r="BJ1341" i="202" s="1"/>
  <c r="AT1342" i="202"/>
  <c r="BJ1342" i="202" s="1"/>
  <c r="AT1343" i="202"/>
  <c r="BJ1343" i="202" s="1"/>
  <c r="AT1344" i="202"/>
  <c r="BJ1344" i="202" s="1"/>
  <c r="AT1345" i="202"/>
  <c r="BJ1345" i="202" s="1"/>
  <c r="AT1346" i="202"/>
  <c r="BJ1346" i="202" s="1"/>
  <c r="AT1347" i="202"/>
  <c r="BJ1347" i="202" s="1"/>
  <c r="AT1348" i="202"/>
  <c r="BJ1348" i="202" s="1"/>
  <c r="AT1349" i="202"/>
  <c r="BJ1349" i="202" s="1"/>
  <c r="AT1350" i="202"/>
  <c r="BJ1350" i="202" s="1"/>
  <c r="AT1351" i="202"/>
  <c r="BJ1351" i="202" s="1"/>
  <c r="AT1352" i="202"/>
  <c r="BJ1352" i="202" s="1"/>
  <c r="AT1353" i="202"/>
  <c r="BJ1353" i="202" s="1"/>
  <c r="AT1354" i="202"/>
  <c r="BJ1354" i="202" s="1"/>
  <c r="AT1355" i="202"/>
  <c r="BJ1355" i="202" s="1"/>
  <c r="AT1356" i="202"/>
  <c r="BJ1356" i="202" s="1"/>
  <c r="AT1357" i="202"/>
  <c r="BJ1357" i="202" s="1"/>
  <c r="AT1358" i="202"/>
  <c r="BJ1358" i="202" s="1"/>
  <c r="AT1359" i="202"/>
  <c r="BJ1359" i="202" s="1"/>
  <c r="AT1360" i="202"/>
  <c r="BJ1360" i="202" s="1"/>
  <c r="AT1361" i="202"/>
  <c r="BJ1361" i="202" s="1"/>
  <c r="AT1362" i="202"/>
  <c r="BJ1362" i="202" s="1"/>
  <c r="AT1363" i="202"/>
  <c r="BJ1363" i="202" s="1"/>
  <c r="AT1364" i="202"/>
  <c r="BJ1364" i="202" s="1"/>
  <c r="AT1365" i="202"/>
  <c r="BJ1365" i="202" s="1"/>
  <c r="AT1366" i="202"/>
  <c r="BJ1366" i="202" s="1"/>
  <c r="AT1367" i="202"/>
  <c r="BJ1367" i="202" s="1"/>
  <c r="AT1368" i="202"/>
  <c r="BJ1368" i="202" s="1"/>
  <c r="AT1369" i="202"/>
  <c r="BJ1369" i="202" s="1"/>
  <c r="AT1370" i="202"/>
  <c r="BJ1370" i="202" s="1"/>
  <c r="AT1371" i="202"/>
  <c r="BJ1371" i="202" s="1"/>
  <c r="AT1372" i="202"/>
  <c r="BJ1372" i="202" s="1"/>
  <c r="AT1373" i="202"/>
  <c r="BJ1373" i="202" s="1"/>
  <c r="AT1374" i="202"/>
  <c r="BJ1374" i="202" s="1"/>
  <c r="AT1375" i="202"/>
  <c r="BJ1375" i="202" s="1"/>
  <c r="AT1376" i="202"/>
  <c r="BJ1376" i="202" s="1"/>
  <c r="AT1377" i="202"/>
  <c r="BJ1377" i="202" s="1"/>
  <c r="AT1378" i="202"/>
  <c r="BJ1378" i="202" s="1"/>
  <c r="AT1379" i="202"/>
  <c r="BJ1379" i="202" s="1"/>
  <c r="AT1380" i="202"/>
  <c r="BJ1380" i="202" s="1"/>
  <c r="AT1381" i="202"/>
  <c r="BJ1381" i="202" s="1"/>
  <c r="AT1382" i="202"/>
  <c r="BJ1382" i="202" s="1"/>
  <c r="AT1383" i="202"/>
  <c r="BJ1383" i="202" s="1"/>
  <c r="AT1384" i="202"/>
  <c r="BJ1384" i="202" s="1"/>
  <c r="AT1385" i="202"/>
  <c r="BJ1385" i="202" s="1"/>
  <c r="AT1386" i="202"/>
  <c r="BJ1386" i="202" s="1"/>
  <c r="AT1387" i="202"/>
  <c r="BJ1387" i="202" s="1"/>
  <c r="AT1388" i="202"/>
  <c r="BJ1388" i="202" s="1"/>
  <c r="AT1389" i="202"/>
  <c r="BJ1389" i="202" s="1"/>
  <c r="AT1390" i="202"/>
  <c r="BJ1390" i="202" s="1"/>
  <c r="AT1391" i="202"/>
  <c r="BJ1391" i="202" s="1"/>
  <c r="AT1392" i="202"/>
  <c r="BJ1392" i="202" s="1"/>
  <c r="AT1393" i="202"/>
  <c r="BJ1393" i="202" s="1"/>
  <c r="AT1394" i="202"/>
  <c r="BJ1394" i="202" s="1"/>
  <c r="AT1395" i="202"/>
  <c r="BJ1395" i="202" s="1"/>
  <c r="AT1396" i="202"/>
  <c r="BJ1396" i="202" s="1"/>
  <c r="AT1397" i="202"/>
  <c r="BJ1397" i="202" s="1"/>
  <c r="AT1398" i="202"/>
  <c r="BJ1398" i="202" s="1"/>
  <c r="AT1399" i="202"/>
  <c r="BJ1399" i="202" s="1"/>
  <c r="AT1400" i="202"/>
  <c r="BJ1400" i="202" s="1"/>
  <c r="AT1401" i="202"/>
  <c r="BJ1401" i="202" s="1"/>
  <c r="AT1402" i="202"/>
  <c r="BJ1402" i="202" s="1"/>
  <c r="AT1403" i="202"/>
  <c r="BJ1403" i="202" s="1"/>
  <c r="AT1404" i="202"/>
  <c r="BJ1404" i="202" s="1"/>
  <c r="AT1405" i="202"/>
  <c r="BJ1405" i="202" s="1"/>
  <c r="AT1406" i="202"/>
  <c r="BJ1406" i="202" s="1"/>
  <c r="AT1407" i="202"/>
  <c r="BJ1407" i="202" s="1"/>
  <c r="AT1408" i="202"/>
  <c r="BJ1408" i="202" s="1"/>
  <c r="AT1409" i="202"/>
  <c r="BJ1409" i="202" s="1"/>
  <c r="AT1410" i="202"/>
  <c r="BJ1410" i="202" s="1"/>
  <c r="AT1411" i="202"/>
  <c r="BJ1411" i="202" s="1"/>
  <c r="AT1412" i="202"/>
  <c r="BJ1412" i="202" s="1"/>
  <c r="AT1413" i="202"/>
  <c r="BJ1413" i="202" s="1"/>
  <c r="AT1414" i="202"/>
  <c r="BJ1414" i="202" s="1"/>
  <c r="AT1415" i="202"/>
  <c r="BJ1415" i="202" s="1"/>
  <c r="AT1416" i="202"/>
  <c r="BJ1416" i="202" s="1"/>
  <c r="AT1417" i="202"/>
  <c r="BJ1417" i="202" s="1"/>
  <c r="AT1418" i="202"/>
  <c r="BJ1418" i="202" s="1"/>
  <c r="AT1419" i="202"/>
  <c r="BJ1419" i="202" s="1"/>
  <c r="AT1420" i="202"/>
  <c r="BJ1420" i="202" s="1"/>
  <c r="AT1421" i="202"/>
  <c r="BJ1421" i="202" s="1"/>
  <c r="AT1422" i="202"/>
  <c r="BJ1422" i="202" s="1"/>
  <c r="AT1423" i="202"/>
  <c r="BJ1423" i="202" s="1"/>
  <c r="AT1424" i="202"/>
  <c r="BJ1424" i="202" s="1"/>
  <c r="AT1425" i="202"/>
  <c r="BJ1425" i="202" s="1"/>
  <c r="AT1426" i="202"/>
  <c r="BJ1426" i="202" s="1"/>
  <c r="AT1427" i="202"/>
  <c r="BJ1427" i="202" s="1"/>
  <c r="AT1428" i="202"/>
  <c r="BJ1428" i="202" s="1"/>
  <c r="AT1429" i="202"/>
  <c r="BJ1429" i="202" s="1"/>
  <c r="AT1430" i="202"/>
  <c r="BJ1430" i="202" s="1"/>
  <c r="AT1431" i="202"/>
  <c r="BJ1431" i="202" s="1"/>
  <c r="AT1432" i="202"/>
  <c r="BJ1432" i="202" s="1"/>
  <c r="AT1433" i="202"/>
  <c r="BJ1433" i="202" s="1"/>
  <c r="AT1434" i="202"/>
  <c r="BJ1434" i="202" s="1"/>
  <c r="AT1435" i="202"/>
  <c r="BJ1435" i="202" s="1"/>
  <c r="AT1436" i="202"/>
  <c r="BJ1436" i="202" s="1"/>
  <c r="AT1437" i="202"/>
  <c r="BJ1437" i="202" s="1"/>
  <c r="AT1438" i="202"/>
  <c r="BJ1438" i="202" s="1"/>
  <c r="AT1439" i="202"/>
  <c r="BJ1439" i="202" s="1"/>
  <c r="AT1440" i="202"/>
  <c r="BJ1440" i="202" s="1"/>
  <c r="AT1441" i="202"/>
  <c r="BJ1441" i="202" s="1"/>
  <c r="AT1442" i="202"/>
  <c r="BJ1442" i="202" s="1"/>
  <c r="AT1443" i="202"/>
  <c r="BJ1443" i="202" s="1"/>
  <c r="AT1444" i="202"/>
  <c r="BJ1444" i="202" s="1"/>
  <c r="AT1445" i="202"/>
  <c r="BJ1445" i="202" s="1"/>
  <c r="AT1446" i="202"/>
  <c r="BJ1446" i="202" s="1"/>
  <c r="AT1447" i="202"/>
  <c r="BJ1447" i="202" s="1"/>
  <c r="AT1448" i="202"/>
  <c r="BJ1448" i="202" s="1"/>
  <c r="AT1449" i="202"/>
  <c r="BJ1449" i="202" s="1"/>
  <c r="AT1450" i="202"/>
  <c r="BJ1450" i="202" s="1"/>
  <c r="AT1451" i="202"/>
  <c r="BJ1451" i="202" s="1"/>
  <c r="AT1452" i="202"/>
  <c r="BJ1452" i="202" s="1"/>
  <c r="AT1453" i="202"/>
  <c r="BJ1453" i="202" s="1"/>
  <c r="AT1454" i="202"/>
  <c r="BJ1454" i="202" s="1"/>
  <c r="AT1455" i="202"/>
  <c r="BJ1455" i="202" s="1"/>
  <c r="AT1456" i="202"/>
  <c r="BJ1456" i="202" s="1"/>
  <c r="AT1457" i="202"/>
  <c r="BJ1457" i="202" s="1"/>
  <c r="AT1458" i="202"/>
  <c r="BJ1458" i="202" s="1"/>
  <c r="AT1459" i="202"/>
  <c r="BJ1459" i="202" s="1"/>
  <c r="AT1460" i="202"/>
  <c r="BJ1460" i="202" s="1"/>
  <c r="AT1461" i="202"/>
  <c r="BJ1461" i="202" s="1"/>
  <c r="AT1462" i="202"/>
  <c r="BJ1462" i="202" s="1"/>
  <c r="AT1463" i="202"/>
  <c r="BJ1463" i="202" s="1"/>
  <c r="AT1464" i="202"/>
  <c r="BJ1464" i="202" s="1"/>
  <c r="AT1465" i="202"/>
  <c r="BJ1465" i="202" s="1"/>
  <c r="AT1466" i="202"/>
  <c r="BJ1466" i="202" s="1"/>
  <c r="AT1467" i="202"/>
  <c r="BJ1467" i="202" s="1"/>
  <c r="AT1468" i="202"/>
  <c r="BJ1468" i="202" s="1"/>
  <c r="AT1469" i="202"/>
  <c r="BJ1469" i="202" s="1"/>
  <c r="AT1470" i="202"/>
  <c r="BJ1470" i="202" s="1"/>
  <c r="AT1471" i="202"/>
  <c r="BJ1471" i="202" s="1"/>
  <c r="AT1472" i="202"/>
  <c r="BJ1472" i="202" s="1"/>
  <c r="AT1473" i="202"/>
  <c r="BJ1473" i="202" s="1"/>
  <c r="AT1474" i="202"/>
  <c r="BJ1474" i="202" s="1"/>
  <c r="AT1475" i="202"/>
  <c r="BJ1475" i="202" s="1"/>
  <c r="AT1476" i="202"/>
  <c r="BJ1476" i="202" s="1"/>
  <c r="AT1477" i="202"/>
  <c r="BJ1477" i="202" s="1"/>
  <c r="AT1478" i="202"/>
  <c r="BJ1478" i="202" s="1"/>
  <c r="AT1479" i="202"/>
  <c r="BJ1479" i="202" s="1"/>
  <c r="AT1480" i="202"/>
  <c r="BJ1480" i="202" s="1"/>
  <c r="AT1481" i="202"/>
  <c r="BJ1481" i="202" s="1"/>
  <c r="AT1482" i="202"/>
  <c r="BJ1482" i="202" s="1"/>
  <c r="AT1483" i="202"/>
  <c r="BJ1483" i="202" s="1"/>
  <c r="AT1484" i="202"/>
  <c r="BJ1484" i="202" s="1"/>
  <c r="AT1485" i="202"/>
  <c r="BJ1485" i="202" s="1"/>
  <c r="AT1486" i="202"/>
  <c r="BJ1486" i="202" s="1"/>
  <c r="AT1487" i="202"/>
  <c r="BJ1487" i="202" s="1"/>
  <c r="AT1488" i="202"/>
  <c r="BJ1488" i="202" s="1"/>
  <c r="AT1489" i="202"/>
  <c r="BJ1489" i="202" s="1"/>
  <c r="AT1490" i="202"/>
  <c r="BJ1490" i="202" s="1"/>
  <c r="AT1491" i="202"/>
  <c r="BJ1491" i="202" s="1"/>
  <c r="AT1492" i="202"/>
  <c r="BJ1492" i="202" s="1"/>
  <c r="AT1493" i="202"/>
  <c r="BJ1493" i="202" s="1"/>
  <c r="AT1494" i="202"/>
  <c r="BJ1494" i="202" s="1"/>
  <c r="AT1495" i="202"/>
  <c r="BJ1495" i="202" s="1"/>
  <c r="AT1496" i="202"/>
  <c r="BJ1496" i="202" s="1"/>
  <c r="AT1497" i="202"/>
  <c r="BJ1497" i="202" s="1"/>
  <c r="AT1498" i="202"/>
  <c r="BJ1498" i="202" s="1"/>
  <c r="AT1499" i="202"/>
  <c r="BJ1499" i="202" s="1"/>
  <c r="AT1500" i="202"/>
  <c r="BJ1500" i="202" s="1"/>
  <c r="AT1501" i="202"/>
  <c r="BJ1501" i="202" s="1"/>
  <c r="AT1502" i="202"/>
  <c r="BJ1502" i="202" s="1"/>
  <c r="AT1503" i="202"/>
  <c r="BJ1503" i="202" s="1"/>
  <c r="AT1504" i="202"/>
  <c r="BJ1504" i="202" s="1"/>
  <c r="AT1505" i="202"/>
  <c r="BJ1505" i="202" s="1"/>
  <c r="AT1506" i="202"/>
  <c r="BJ1506" i="202" s="1"/>
  <c r="AT1507" i="202"/>
  <c r="BJ1507" i="202" s="1"/>
  <c r="AT1508" i="202"/>
  <c r="BJ1508" i="202" s="1"/>
  <c r="AT1509" i="202"/>
  <c r="BJ1509" i="202" s="1"/>
  <c r="AT1510" i="202"/>
  <c r="BJ1510" i="202" s="1"/>
  <c r="AT1511" i="202"/>
  <c r="BJ1511" i="202" s="1"/>
  <c r="AT1512" i="202"/>
  <c r="BJ1512" i="202" s="1"/>
  <c r="AT1513" i="202"/>
  <c r="BJ1513" i="202" s="1"/>
  <c r="AT1514" i="202"/>
  <c r="BJ1514" i="202" s="1"/>
  <c r="AT1515" i="202"/>
  <c r="BJ1515" i="202" s="1"/>
  <c r="AT1516" i="202"/>
  <c r="BJ1516" i="202" s="1"/>
  <c r="AT1517" i="202"/>
  <c r="BJ1517" i="202" s="1"/>
  <c r="AT1518" i="202"/>
  <c r="BJ1518" i="202" s="1"/>
  <c r="AT1519" i="202"/>
  <c r="BJ1519" i="202" s="1"/>
  <c r="AT1520" i="202"/>
  <c r="BJ1520" i="202" s="1"/>
  <c r="AT1521" i="202"/>
  <c r="BJ1521" i="202" s="1"/>
  <c r="AT1522" i="202"/>
  <c r="BJ1522" i="202" s="1"/>
  <c r="AT1523" i="202"/>
  <c r="BJ1523" i="202" s="1"/>
  <c r="AT1524" i="202"/>
  <c r="BJ1524" i="202" s="1"/>
  <c r="AT1525" i="202"/>
  <c r="BJ1525" i="202" s="1"/>
  <c r="AT1526" i="202"/>
  <c r="BJ1526" i="202" s="1"/>
  <c r="AT1527" i="202"/>
  <c r="BJ1527" i="202" s="1"/>
  <c r="AT1528" i="202"/>
  <c r="BJ1528" i="202" s="1"/>
  <c r="AT1529" i="202"/>
  <c r="BJ1529" i="202" s="1"/>
  <c r="AT1530" i="202"/>
  <c r="BJ1530" i="202" s="1"/>
  <c r="AT1531" i="202"/>
  <c r="BJ1531" i="202" s="1"/>
  <c r="AT1532" i="202"/>
  <c r="BJ1532" i="202" s="1"/>
  <c r="AT1533" i="202"/>
  <c r="BJ1533" i="202" s="1"/>
  <c r="AT1534" i="202"/>
  <c r="BJ1534" i="202" s="1"/>
  <c r="AT1535" i="202"/>
  <c r="BJ1535" i="202" s="1"/>
  <c r="AT1536" i="202"/>
  <c r="BJ1536" i="202" s="1"/>
  <c r="AT1537" i="202"/>
  <c r="BJ1537" i="202" s="1"/>
  <c r="AT1538" i="202"/>
  <c r="BJ1538" i="202" s="1"/>
  <c r="AT1539" i="202"/>
  <c r="BJ1539" i="202" s="1"/>
  <c r="AT1540" i="202"/>
  <c r="BJ1540" i="202" s="1"/>
  <c r="AT1541" i="202"/>
  <c r="BJ1541" i="202" s="1"/>
  <c r="AT1542" i="202"/>
  <c r="BJ1542" i="202" s="1"/>
  <c r="AT1543" i="202"/>
  <c r="BJ1543" i="202" s="1"/>
  <c r="AT1544" i="202"/>
  <c r="BJ1544" i="202" s="1"/>
  <c r="AT1545" i="202"/>
  <c r="BJ1545" i="202" s="1"/>
  <c r="AT1546" i="202"/>
  <c r="BJ1546" i="202" s="1"/>
  <c r="AT1547" i="202"/>
  <c r="BJ1547" i="202" s="1"/>
  <c r="AT1548" i="202"/>
  <c r="BJ1548" i="202" s="1"/>
  <c r="AT1549" i="202"/>
  <c r="BJ1549" i="202" s="1"/>
  <c r="AT1550" i="202"/>
  <c r="BJ1550" i="202" s="1"/>
  <c r="AT1551" i="202"/>
  <c r="BJ1551" i="202" s="1"/>
  <c r="AT1552" i="202"/>
  <c r="BJ1552" i="202" s="1"/>
  <c r="AT1553" i="202"/>
  <c r="BJ1553" i="202" s="1"/>
  <c r="AT1554" i="202"/>
  <c r="BJ1554" i="202" s="1"/>
  <c r="AT1555" i="202"/>
  <c r="BJ1555" i="202" s="1"/>
  <c r="AT1556" i="202"/>
  <c r="BJ1556" i="202" s="1"/>
  <c r="AT1557" i="202"/>
  <c r="BJ1557" i="202" s="1"/>
  <c r="AT1558" i="202"/>
  <c r="BJ1558" i="202" s="1"/>
  <c r="AT1559" i="202"/>
  <c r="BJ1559" i="202" s="1"/>
  <c r="AT1560" i="202"/>
  <c r="BJ1560" i="202" s="1"/>
  <c r="AT1561" i="202"/>
  <c r="BJ1561" i="202" s="1"/>
  <c r="AT1562" i="202"/>
  <c r="BJ1562" i="202" s="1"/>
  <c r="AT1563" i="202"/>
  <c r="BJ1563" i="202" s="1"/>
  <c r="AT1564" i="202"/>
  <c r="BJ1564" i="202" s="1"/>
  <c r="AT1565" i="202"/>
  <c r="BJ1565" i="202" s="1"/>
  <c r="AT1566" i="202"/>
  <c r="BJ1566" i="202" s="1"/>
  <c r="AT1567" i="202"/>
  <c r="BJ1567" i="202" s="1"/>
  <c r="AT1568" i="202"/>
  <c r="BJ1568" i="202" s="1"/>
  <c r="AT1569" i="202"/>
  <c r="BJ1569" i="202" s="1"/>
  <c r="AT1570" i="202"/>
  <c r="BJ1570" i="202" s="1"/>
  <c r="AT1571" i="202"/>
  <c r="BJ1571" i="202" s="1"/>
  <c r="AT1572" i="202"/>
  <c r="BJ1572" i="202" s="1"/>
  <c r="AT1573" i="202"/>
  <c r="BJ1573" i="202" s="1"/>
  <c r="AT1574" i="202"/>
  <c r="BJ1574" i="202" s="1"/>
  <c r="AT1575" i="202"/>
  <c r="BJ1575" i="202" s="1"/>
  <c r="AT1576" i="202"/>
  <c r="BJ1576" i="202" s="1"/>
  <c r="AT1577" i="202"/>
  <c r="BJ1577" i="202" s="1"/>
  <c r="AT1578" i="202"/>
  <c r="BJ1578" i="202" s="1"/>
  <c r="AT1579" i="202"/>
  <c r="BJ1579" i="202" s="1"/>
  <c r="AT1580" i="202"/>
  <c r="BJ1580" i="202" s="1"/>
  <c r="AT1581" i="202"/>
  <c r="BJ1581" i="202" s="1"/>
  <c r="AT1582" i="202"/>
  <c r="BJ1582" i="202" s="1"/>
  <c r="AT1583" i="202"/>
  <c r="BJ1583" i="202" s="1"/>
  <c r="AT1584" i="202"/>
  <c r="BJ1584" i="202" s="1"/>
  <c r="AT1585" i="202"/>
  <c r="BJ1585" i="202" s="1"/>
  <c r="AT1586" i="202"/>
  <c r="BJ1586" i="202" s="1"/>
  <c r="AT1587" i="202"/>
  <c r="BJ1587" i="202" s="1"/>
  <c r="AT1588" i="202"/>
  <c r="BJ1588" i="202" s="1"/>
  <c r="AT1589" i="202"/>
  <c r="BJ1589" i="202" s="1"/>
  <c r="AT1590" i="202"/>
  <c r="BJ1590" i="202" s="1"/>
  <c r="AT1591" i="202"/>
  <c r="BJ1591" i="202" s="1"/>
  <c r="AT1592" i="202"/>
  <c r="BJ1592" i="202" s="1"/>
  <c r="AT1593" i="202"/>
  <c r="BJ1593" i="202" s="1"/>
  <c r="AT1594" i="202"/>
  <c r="BJ1594" i="202" s="1"/>
  <c r="AT1595" i="202"/>
  <c r="BJ1595" i="202" s="1"/>
  <c r="AT1596" i="202"/>
  <c r="BJ1596" i="202" s="1"/>
  <c r="AT1597" i="202"/>
  <c r="BJ1597" i="202" s="1"/>
  <c r="AT1598" i="202"/>
  <c r="BJ1598" i="202" s="1"/>
  <c r="AT1599" i="202"/>
  <c r="BJ1599" i="202" s="1"/>
  <c r="AT1600" i="202"/>
  <c r="BJ1600" i="202" s="1"/>
  <c r="AT1601" i="202"/>
  <c r="BJ1601" i="202" s="1"/>
  <c r="AT1602" i="202"/>
  <c r="BJ1602" i="202" s="1"/>
  <c r="AT1603" i="202"/>
  <c r="BJ1603" i="202" s="1"/>
  <c r="AT1604" i="202"/>
  <c r="BJ1604" i="202" s="1"/>
  <c r="AT1605" i="202"/>
  <c r="BJ1605" i="202" s="1"/>
  <c r="AT1606" i="202"/>
  <c r="BJ1606" i="202" s="1"/>
  <c r="AT1607" i="202"/>
  <c r="BJ1607" i="202" s="1"/>
  <c r="AT1608" i="202"/>
  <c r="BJ1608" i="202" s="1"/>
  <c r="AT1609" i="202"/>
  <c r="BJ1609" i="202" s="1"/>
  <c r="AT1610" i="202"/>
  <c r="BJ1610" i="202" s="1"/>
  <c r="AT1611" i="202"/>
  <c r="BJ1611" i="202" s="1"/>
  <c r="AT1612" i="202"/>
  <c r="BJ1612" i="202" s="1"/>
  <c r="AT1613" i="202"/>
  <c r="BJ1613" i="202" s="1"/>
  <c r="AT1614" i="202"/>
  <c r="BJ1614" i="202" s="1"/>
  <c r="AT1615" i="202"/>
  <c r="BJ1615" i="202" s="1"/>
  <c r="AT1616" i="202"/>
  <c r="BJ1616" i="202" s="1"/>
  <c r="AT1617" i="202"/>
  <c r="BJ1617" i="202" s="1"/>
  <c r="AT1618" i="202"/>
  <c r="BJ1618" i="202" s="1"/>
  <c r="AT1619" i="202"/>
  <c r="BJ1619" i="202" s="1"/>
  <c r="AT1620" i="202"/>
  <c r="BJ1620" i="202" s="1"/>
  <c r="AT1621" i="202"/>
  <c r="BJ1621" i="202" s="1"/>
  <c r="AT1622" i="202"/>
  <c r="BJ1622" i="202" s="1"/>
  <c r="AT1623" i="202"/>
  <c r="BJ1623" i="202" s="1"/>
  <c r="AT1624" i="202"/>
  <c r="BJ1624" i="202" s="1"/>
  <c r="AT1625" i="202"/>
  <c r="BJ1625" i="202" s="1"/>
  <c r="AT1626" i="202"/>
  <c r="BJ1626" i="202" s="1"/>
  <c r="AT1627" i="202"/>
  <c r="BJ1627" i="202" s="1"/>
  <c r="AT1628" i="202"/>
  <c r="BJ1628" i="202" s="1"/>
  <c r="AT1629" i="202"/>
  <c r="BJ1629" i="202" s="1"/>
  <c r="AT1630" i="202"/>
  <c r="BJ1630" i="202" s="1"/>
  <c r="AT1631" i="202"/>
  <c r="BJ1631" i="202" s="1"/>
  <c r="AT1632" i="202"/>
  <c r="BJ1632" i="202" s="1"/>
  <c r="AT1633" i="202"/>
  <c r="BJ1633" i="202" s="1"/>
  <c r="AT1634" i="202"/>
  <c r="BJ1634" i="202" s="1"/>
  <c r="AT1635" i="202"/>
  <c r="BJ1635" i="202" s="1"/>
  <c r="AT1636" i="202"/>
  <c r="BJ1636" i="202" s="1"/>
  <c r="AT1637" i="202"/>
  <c r="BJ1637" i="202" s="1"/>
  <c r="AT1638" i="202"/>
  <c r="BJ1638" i="202" s="1"/>
  <c r="AT1639" i="202"/>
  <c r="BJ1639" i="202" s="1"/>
  <c r="AT1640" i="202"/>
  <c r="BJ1640" i="202" s="1"/>
  <c r="AT1641" i="202"/>
  <c r="BJ1641" i="202" s="1"/>
  <c r="AT1642" i="202"/>
  <c r="BJ1642" i="202" s="1"/>
  <c r="AT1643" i="202"/>
  <c r="BJ1643" i="202" s="1"/>
  <c r="AT1644" i="202"/>
  <c r="BJ1644" i="202" s="1"/>
  <c r="AT1645" i="202"/>
  <c r="BJ1645" i="202" s="1"/>
  <c r="AT1646" i="202"/>
  <c r="BJ1646" i="202" s="1"/>
  <c r="AT1647" i="202"/>
  <c r="BJ1647" i="202" s="1"/>
  <c r="AT1648" i="202"/>
  <c r="BJ1648" i="202" s="1"/>
  <c r="AT1649" i="202"/>
  <c r="BJ1649" i="202" s="1"/>
  <c r="AT1650" i="202"/>
  <c r="BJ1650" i="202" s="1"/>
  <c r="AT1651" i="202"/>
  <c r="BJ1651" i="202" s="1"/>
  <c r="AT1652" i="202"/>
  <c r="BJ1652" i="202" s="1"/>
  <c r="AT1653" i="202"/>
  <c r="BJ1653" i="202" s="1"/>
  <c r="AT1654" i="202"/>
  <c r="BJ1654" i="202" s="1"/>
  <c r="AT1655" i="202"/>
  <c r="BJ1655" i="202" s="1"/>
  <c r="AT1656" i="202"/>
  <c r="BJ1656" i="202" s="1"/>
  <c r="AT1657" i="202"/>
  <c r="BJ1657" i="202" s="1"/>
  <c r="AT1658" i="202"/>
  <c r="BJ1658" i="202" s="1"/>
  <c r="AT1659" i="202"/>
  <c r="BJ1659" i="202" s="1"/>
  <c r="AT1660" i="202"/>
  <c r="BJ1660" i="202" s="1"/>
  <c r="AT1661" i="202"/>
  <c r="BJ1661" i="202" s="1"/>
  <c r="AT1662" i="202"/>
  <c r="BJ1662" i="202" s="1"/>
  <c r="AT1663" i="202"/>
  <c r="BJ1663" i="202" s="1"/>
  <c r="AT1664" i="202"/>
  <c r="BJ1664" i="202" s="1"/>
  <c r="AT1665" i="202"/>
  <c r="BJ1665" i="202" s="1"/>
  <c r="AT1666" i="202"/>
  <c r="BJ1666" i="202" s="1"/>
  <c r="AT1667" i="202"/>
  <c r="BJ1667" i="202" s="1"/>
  <c r="AT1668" i="202"/>
  <c r="BJ1668" i="202" s="1"/>
  <c r="AT1669" i="202"/>
  <c r="BJ1669" i="202" s="1"/>
  <c r="AT1670" i="202"/>
  <c r="BJ1670" i="202" s="1"/>
  <c r="AT1671" i="202"/>
  <c r="BJ1671" i="202" s="1"/>
  <c r="AT1672" i="202"/>
  <c r="BJ1672" i="202" s="1"/>
  <c r="AT1673" i="202"/>
  <c r="BJ1673" i="202" s="1"/>
  <c r="AT1674" i="202"/>
  <c r="BJ1674" i="202" s="1"/>
  <c r="AT1675" i="202"/>
  <c r="BJ1675" i="202" s="1"/>
  <c r="AT1676" i="202"/>
  <c r="BJ1676" i="202" s="1"/>
  <c r="AT1677" i="202"/>
  <c r="BJ1677" i="202" s="1"/>
  <c r="AT1678" i="202"/>
  <c r="BJ1678" i="202" s="1"/>
  <c r="AT1679" i="202"/>
  <c r="BJ1679" i="202" s="1"/>
  <c r="AT1680" i="202"/>
  <c r="BJ1680" i="202" s="1"/>
  <c r="AT1681" i="202"/>
  <c r="BJ1681" i="202" s="1"/>
  <c r="AT1682" i="202"/>
  <c r="BJ1682" i="202" s="1"/>
  <c r="AT1683" i="202"/>
  <c r="BJ1683" i="202" s="1"/>
  <c r="AT1684" i="202"/>
  <c r="BJ1684" i="202" s="1"/>
  <c r="AT1685" i="202"/>
  <c r="BJ1685" i="202" s="1"/>
  <c r="AT1686" i="202"/>
  <c r="BJ1686" i="202" s="1"/>
  <c r="AT1687" i="202"/>
  <c r="BJ1687" i="202" s="1"/>
  <c r="AT1688" i="202"/>
  <c r="BJ1688" i="202" s="1"/>
  <c r="AT1689" i="202"/>
  <c r="BJ1689" i="202" s="1"/>
  <c r="AT1690" i="202"/>
  <c r="BJ1690" i="202" s="1"/>
  <c r="AT1691" i="202"/>
  <c r="BJ1691" i="202" s="1"/>
  <c r="AT1692" i="202"/>
  <c r="BJ1692" i="202" s="1"/>
  <c r="AT1693" i="202"/>
  <c r="BJ1693" i="202" s="1"/>
  <c r="AT1694" i="202"/>
  <c r="BJ1694" i="202" s="1"/>
  <c r="AT1695" i="202"/>
  <c r="BJ1695" i="202" s="1"/>
  <c r="AT1696" i="202"/>
  <c r="BJ1696" i="202" s="1"/>
  <c r="AT1697" i="202"/>
  <c r="BJ1697" i="202" s="1"/>
  <c r="AT1698" i="202"/>
  <c r="BJ1698" i="202" s="1"/>
  <c r="AT1699" i="202"/>
  <c r="BJ1699" i="202" s="1"/>
  <c r="AT1700" i="202"/>
  <c r="BJ1700" i="202" s="1"/>
  <c r="AT1701" i="202"/>
  <c r="BJ1701" i="202" s="1"/>
  <c r="AT1702" i="202"/>
  <c r="BJ1702" i="202" s="1"/>
  <c r="AT1703" i="202"/>
  <c r="BJ1703" i="202" s="1"/>
  <c r="AT1704" i="202"/>
  <c r="BJ1704" i="202" s="1"/>
  <c r="AT1705" i="202"/>
  <c r="BJ1705" i="202" s="1"/>
  <c r="AT1706" i="202"/>
  <c r="BJ1706" i="202" s="1"/>
  <c r="AT1707" i="202"/>
  <c r="BJ1707" i="202" s="1"/>
  <c r="AT1708" i="202"/>
  <c r="BJ1708" i="202" s="1"/>
  <c r="AT1709" i="202"/>
  <c r="BJ1709" i="202" s="1"/>
  <c r="AT1710" i="202"/>
  <c r="BJ1710" i="202" s="1"/>
  <c r="AT1711" i="202"/>
  <c r="BJ1711" i="202" s="1"/>
  <c r="AT1712" i="202"/>
  <c r="BJ1712" i="202" s="1"/>
  <c r="AT1713" i="202"/>
  <c r="BJ1713" i="202" s="1"/>
  <c r="AT1714" i="202"/>
  <c r="BJ1714" i="202" s="1"/>
  <c r="AT1715" i="202"/>
  <c r="BJ1715" i="202" s="1"/>
  <c r="AT1716" i="202"/>
  <c r="BJ1716" i="202" s="1"/>
  <c r="AT1717" i="202"/>
  <c r="BJ1717" i="202" s="1"/>
  <c r="AT1718" i="202"/>
  <c r="BJ1718" i="202" s="1"/>
  <c r="AT1719" i="202"/>
  <c r="BJ1719" i="202" s="1"/>
  <c r="AT1720" i="202"/>
  <c r="BJ1720" i="202" s="1"/>
  <c r="AT1721" i="202"/>
  <c r="BJ1721" i="202" s="1"/>
  <c r="AT1722" i="202"/>
  <c r="BJ1722" i="202" s="1"/>
  <c r="AT1723" i="202"/>
  <c r="BJ1723" i="202" s="1"/>
  <c r="AT1724" i="202"/>
  <c r="BJ1724" i="202" s="1"/>
  <c r="AT1725" i="202"/>
  <c r="BJ1725" i="202" s="1"/>
  <c r="AT1726" i="202"/>
  <c r="BJ1726" i="202" s="1"/>
  <c r="AT1727" i="202"/>
  <c r="BJ1727" i="202" s="1"/>
  <c r="AT1728" i="202"/>
  <c r="BJ1728" i="202" s="1"/>
  <c r="AT1729" i="202"/>
  <c r="BJ1729" i="202" s="1"/>
  <c r="AT1730" i="202"/>
  <c r="BJ1730" i="202" s="1"/>
  <c r="AT1731" i="202"/>
  <c r="BJ1731" i="202" s="1"/>
  <c r="AT1732" i="202"/>
  <c r="BJ1732" i="202" s="1"/>
  <c r="AT1733" i="202"/>
  <c r="BJ1733" i="202" s="1"/>
  <c r="AT1734" i="202"/>
  <c r="BJ1734" i="202" s="1"/>
  <c r="AT1735" i="202"/>
  <c r="BJ1735" i="202" s="1"/>
  <c r="AT1736" i="202"/>
  <c r="BJ1736" i="202" s="1"/>
  <c r="AT1737" i="202"/>
  <c r="BJ1737" i="202" s="1"/>
  <c r="AT1738" i="202"/>
  <c r="BJ1738" i="202" s="1"/>
  <c r="AT1739" i="202"/>
  <c r="BJ1739" i="202" s="1"/>
  <c r="AT1740" i="202"/>
  <c r="BJ1740" i="202" s="1"/>
  <c r="AT1741" i="202"/>
  <c r="BJ1741" i="202" s="1"/>
  <c r="AT1742" i="202"/>
  <c r="BJ1742" i="202" s="1"/>
  <c r="AT1743" i="202"/>
  <c r="BJ1743" i="202" s="1"/>
  <c r="AT1744" i="202"/>
  <c r="BJ1744" i="202" s="1"/>
  <c r="AT1745" i="202"/>
  <c r="BJ1745" i="202" s="1"/>
  <c r="AT1746" i="202"/>
  <c r="BJ1746" i="202" s="1"/>
  <c r="AT1747" i="202"/>
  <c r="BJ1747" i="202" s="1"/>
  <c r="AT1748" i="202"/>
  <c r="BJ1748" i="202" s="1"/>
  <c r="AT1749" i="202"/>
  <c r="BJ1749" i="202" s="1"/>
  <c r="AT1750" i="202"/>
  <c r="BJ1750" i="202" s="1"/>
  <c r="AT1751" i="202"/>
  <c r="BJ1751" i="202" s="1"/>
  <c r="AT1752" i="202"/>
  <c r="BJ1752" i="202" s="1"/>
  <c r="AT1753" i="202"/>
  <c r="BJ1753" i="202" s="1"/>
  <c r="AT1754" i="202"/>
  <c r="BJ1754" i="202" s="1"/>
  <c r="AT1755" i="202"/>
  <c r="BJ1755" i="202" s="1"/>
  <c r="AT1756" i="202"/>
  <c r="BJ1756" i="202" s="1"/>
  <c r="AT1757" i="202"/>
  <c r="BJ1757" i="202" s="1"/>
  <c r="AT1758" i="202"/>
  <c r="BJ1758" i="202" s="1"/>
  <c r="AT1759" i="202"/>
  <c r="BJ1759" i="202" s="1"/>
  <c r="AT1760" i="202"/>
  <c r="BJ1760" i="202" s="1"/>
  <c r="AT1761" i="202"/>
  <c r="BJ1761" i="202" s="1"/>
  <c r="AT1762" i="202"/>
  <c r="BJ1762" i="202" s="1"/>
  <c r="AT1763" i="202"/>
  <c r="BJ1763" i="202" s="1"/>
  <c r="AT1764" i="202"/>
  <c r="BJ1764" i="202" s="1"/>
  <c r="AT1765" i="202"/>
  <c r="BJ1765" i="202" s="1"/>
  <c r="AT1766" i="202"/>
  <c r="BJ1766" i="202" s="1"/>
  <c r="AT1767" i="202"/>
  <c r="BJ1767" i="202" s="1"/>
  <c r="AT1768" i="202"/>
  <c r="BJ1768" i="202" s="1"/>
  <c r="AT1769" i="202"/>
  <c r="BJ1769" i="202" s="1"/>
  <c r="AT1770" i="202"/>
  <c r="BJ1770" i="202" s="1"/>
  <c r="AT1771" i="202"/>
  <c r="BJ1771" i="202" s="1"/>
  <c r="AT1772" i="202"/>
  <c r="BJ1772" i="202" s="1"/>
  <c r="AT1773" i="202"/>
  <c r="BJ1773" i="202" s="1"/>
  <c r="AT1774" i="202"/>
  <c r="BJ1774" i="202" s="1"/>
  <c r="AT1775" i="202"/>
  <c r="BJ1775" i="202" s="1"/>
  <c r="AT1776" i="202"/>
  <c r="BJ1776" i="202" s="1"/>
  <c r="AT1777" i="202"/>
  <c r="BJ1777" i="202" s="1"/>
  <c r="AT1778" i="202"/>
  <c r="BJ1778" i="202" s="1"/>
  <c r="AT1779" i="202"/>
  <c r="BJ1779" i="202" s="1"/>
  <c r="AT1780" i="202"/>
  <c r="BJ1780" i="202" s="1"/>
  <c r="AT1781" i="202"/>
  <c r="BJ1781" i="202" s="1"/>
  <c r="AT1782" i="202"/>
  <c r="BJ1782" i="202" s="1"/>
  <c r="AT1783" i="202"/>
  <c r="BJ1783" i="202" s="1"/>
  <c r="AT1784" i="202"/>
  <c r="BJ1784" i="202" s="1"/>
  <c r="AT1785" i="202"/>
  <c r="BJ1785" i="202" s="1"/>
  <c r="AT1786" i="202"/>
  <c r="BJ1786" i="202" s="1"/>
  <c r="AT1787" i="202"/>
  <c r="BJ1787" i="202" s="1"/>
  <c r="AT1788" i="202"/>
  <c r="BJ1788" i="202" s="1"/>
  <c r="AT1789" i="202"/>
  <c r="BJ1789" i="202" s="1"/>
  <c r="AT1790" i="202"/>
  <c r="BJ1790" i="202" s="1"/>
  <c r="AT1791" i="202"/>
  <c r="BJ1791" i="202" s="1"/>
  <c r="AT1792" i="202"/>
  <c r="BJ1792" i="202" s="1"/>
  <c r="AT1793" i="202"/>
  <c r="BJ1793" i="202" s="1"/>
  <c r="AT1794" i="202"/>
  <c r="BJ1794" i="202" s="1"/>
  <c r="AT1795" i="202"/>
  <c r="BJ1795" i="202" s="1"/>
  <c r="AT1796" i="202"/>
  <c r="BJ1796" i="202" s="1"/>
  <c r="AT1797" i="202"/>
  <c r="BJ1797" i="202" s="1"/>
  <c r="AT1798" i="202"/>
  <c r="BJ1798" i="202" s="1"/>
  <c r="AT1799" i="202"/>
  <c r="BJ1799" i="202" s="1"/>
  <c r="AT1800" i="202"/>
  <c r="BJ1800" i="202" s="1"/>
  <c r="AT1801" i="202"/>
  <c r="BJ1801" i="202" s="1"/>
  <c r="AT1802" i="202"/>
  <c r="BJ1802" i="202" s="1"/>
  <c r="AT1803" i="202"/>
  <c r="BJ1803" i="202" s="1"/>
  <c r="AT1804" i="202"/>
  <c r="BJ1804" i="202" s="1"/>
  <c r="AT1805" i="202"/>
  <c r="BJ1805" i="202" s="1"/>
  <c r="AT1806" i="202"/>
  <c r="BJ1806" i="202" s="1"/>
  <c r="AT1807" i="202"/>
  <c r="BJ1807" i="202" s="1"/>
  <c r="AT1808" i="202"/>
  <c r="BJ1808" i="202" s="1"/>
  <c r="AT1809" i="202"/>
  <c r="BJ1809" i="202" s="1"/>
  <c r="AT1810" i="202"/>
  <c r="BJ1810" i="202" s="1"/>
  <c r="AT1811" i="202"/>
  <c r="BJ1811" i="202" s="1"/>
  <c r="AT1812" i="202"/>
  <c r="BJ1812" i="202" s="1"/>
  <c r="AT1813" i="202"/>
  <c r="BJ1813" i="202" s="1"/>
  <c r="AT1814" i="202"/>
  <c r="BJ1814" i="202" s="1"/>
  <c r="AT1815" i="202"/>
  <c r="BJ1815" i="202" s="1"/>
  <c r="AT1816" i="202"/>
  <c r="BJ1816" i="202" s="1"/>
  <c r="AT1817" i="202"/>
  <c r="BJ1817" i="202" s="1"/>
  <c r="AT1818" i="202"/>
  <c r="BJ1818" i="202" s="1"/>
  <c r="AT1819" i="202"/>
  <c r="BJ1819" i="202" s="1"/>
  <c r="AT1820" i="202"/>
  <c r="BJ1820" i="202" s="1"/>
  <c r="AT1821" i="202"/>
  <c r="BJ1821" i="202" s="1"/>
  <c r="AT1822" i="202"/>
  <c r="BJ1822" i="202" s="1"/>
  <c r="AT1823" i="202"/>
  <c r="BJ1823" i="202" s="1"/>
  <c r="AT1824" i="202"/>
  <c r="BJ1824" i="202" s="1"/>
  <c r="AT1825" i="202"/>
  <c r="BJ1825" i="202" s="1"/>
  <c r="AT1826" i="202"/>
  <c r="BJ1826" i="202" s="1"/>
  <c r="AT1827" i="202"/>
  <c r="BJ1827" i="202" s="1"/>
  <c r="AT1828" i="202"/>
  <c r="BJ1828" i="202" s="1"/>
  <c r="AT1829" i="202"/>
  <c r="BJ1829" i="202" s="1"/>
  <c r="AT1830" i="202"/>
  <c r="BJ1830" i="202" s="1"/>
  <c r="AT1831" i="202"/>
  <c r="BJ1831" i="202" s="1"/>
  <c r="AT1832" i="202"/>
  <c r="BJ1832" i="202" s="1"/>
  <c r="AT1833" i="202"/>
  <c r="BJ1833" i="202" s="1"/>
  <c r="AT1834" i="202"/>
  <c r="BJ1834" i="202" s="1"/>
  <c r="AT1835" i="202"/>
  <c r="BJ1835" i="202" s="1"/>
  <c r="AT1836" i="202"/>
  <c r="BJ1836" i="202" s="1"/>
  <c r="AT1837" i="202"/>
  <c r="BJ1837" i="202" s="1"/>
  <c r="AT1838" i="202"/>
  <c r="BJ1838" i="202" s="1"/>
  <c r="AT1839" i="202"/>
  <c r="BJ1839" i="202" s="1"/>
  <c r="AT1840" i="202"/>
  <c r="BJ1840" i="202" s="1"/>
  <c r="AT1841" i="202"/>
  <c r="BJ1841" i="202" s="1"/>
  <c r="AT1842" i="202"/>
  <c r="BJ1842" i="202" s="1"/>
  <c r="AT1843" i="202"/>
  <c r="BJ1843" i="202" s="1"/>
  <c r="AT1844" i="202"/>
  <c r="BJ1844" i="202" s="1"/>
  <c r="AT1845" i="202"/>
  <c r="BJ1845" i="202" s="1"/>
  <c r="AT1846" i="202"/>
  <c r="BJ1846" i="202" s="1"/>
  <c r="AT1847" i="202"/>
  <c r="BJ1847" i="202" s="1"/>
  <c r="AT1848" i="202"/>
  <c r="BJ1848" i="202" s="1"/>
  <c r="AT1849" i="202"/>
  <c r="BJ1849" i="202" s="1"/>
  <c r="AT1850" i="202"/>
  <c r="BJ1850" i="202" s="1"/>
  <c r="AT1851" i="202"/>
  <c r="BJ1851" i="202" s="1"/>
  <c r="AT1852" i="202"/>
  <c r="BJ1852" i="202" s="1"/>
  <c r="AT1853" i="202"/>
  <c r="BJ1853" i="202" s="1"/>
  <c r="AT1854" i="202"/>
  <c r="BJ1854" i="202" s="1"/>
  <c r="AT1855" i="202"/>
  <c r="BJ1855" i="202" s="1"/>
  <c r="AT1856" i="202"/>
  <c r="BJ1856" i="202" s="1"/>
  <c r="AT1857" i="202"/>
  <c r="BJ1857" i="202" s="1"/>
  <c r="AT1858" i="202"/>
  <c r="BJ1858" i="202" s="1"/>
  <c r="AT1859" i="202"/>
  <c r="BJ1859" i="202" s="1"/>
  <c r="AT1860" i="202"/>
  <c r="BJ1860" i="202" s="1"/>
  <c r="AT1861" i="202"/>
  <c r="BJ1861" i="202" s="1"/>
  <c r="AT1862" i="202"/>
  <c r="BJ1862" i="202" s="1"/>
  <c r="AT1863" i="202"/>
  <c r="BJ1863" i="202" s="1"/>
  <c r="AT1864" i="202"/>
  <c r="BJ1864" i="202" s="1"/>
  <c r="AT1865" i="202"/>
  <c r="BJ1865" i="202" s="1"/>
  <c r="AT1866" i="202"/>
  <c r="BJ1866" i="202" s="1"/>
  <c r="AT1867" i="202"/>
  <c r="BJ1867" i="202" s="1"/>
  <c r="AT1868" i="202"/>
  <c r="BJ1868" i="202" s="1"/>
  <c r="AT1869" i="202"/>
  <c r="BJ1869" i="202" s="1"/>
  <c r="AT1870" i="202"/>
  <c r="BJ1870" i="202" s="1"/>
  <c r="AT1871" i="202"/>
  <c r="BJ1871" i="202" s="1"/>
  <c r="AT1872" i="202"/>
  <c r="BJ1872" i="202" s="1"/>
  <c r="AT1873" i="202"/>
  <c r="BJ1873" i="202" s="1"/>
  <c r="AT1874" i="202"/>
  <c r="BJ1874" i="202" s="1"/>
  <c r="AT1875" i="202"/>
  <c r="BJ1875" i="202" s="1"/>
  <c r="AT1876" i="202"/>
  <c r="BJ1876" i="202" s="1"/>
  <c r="AT1877" i="202"/>
  <c r="BJ1877" i="202" s="1"/>
  <c r="AT1878" i="202"/>
  <c r="BJ1878" i="202" s="1"/>
  <c r="AT1879" i="202"/>
  <c r="BJ1879" i="202" s="1"/>
  <c r="AT1880" i="202"/>
  <c r="BJ1880" i="202" s="1"/>
  <c r="AT1881" i="202"/>
  <c r="BJ1881" i="202" s="1"/>
  <c r="AT1882" i="202"/>
  <c r="BJ1882" i="202" s="1"/>
  <c r="AT1883" i="202"/>
  <c r="BJ1883" i="202" s="1"/>
  <c r="AT1884" i="202"/>
  <c r="BJ1884" i="202" s="1"/>
  <c r="AT1885" i="202"/>
  <c r="BJ1885" i="202" s="1"/>
  <c r="AT1886" i="202"/>
  <c r="BJ1886" i="202" s="1"/>
  <c r="AT1887" i="202"/>
  <c r="BJ1887" i="202" s="1"/>
  <c r="AT1888" i="202"/>
  <c r="BJ1888" i="202" s="1"/>
  <c r="AT1889" i="202"/>
  <c r="BJ1889" i="202" s="1"/>
  <c r="AT1890" i="202"/>
  <c r="BJ1890" i="202" s="1"/>
  <c r="AT1891" i="202"/>
  <c r="BJ1891" i="202" s="1"/>
  <c r="AT1892" i="202"/>
  <c r="BJ1892" i="202" s="1"/>
  <c r="AT1893" i="202"/>
  <c r="BJ1893" i="202" s="1"/>
  <c r="AT1894" i="202"/>
  <c r="BJ1894" i="202" s="1"/>
  <c r="AT1895" i="202"/>
  <c r="BJ1895" i="202" s="1"/>
  <c r="AT1896" i="202"/>
  <c r="BJ1896" i="202" s="1"/>
  <c r="AT1897" i="202"/>
  <c r="BJ1897" i="202" s="1"/>
  <c r="AT1898" i="202"/>
  <c r="BJ1898" i="202" s="1"/>
  <c r="AT1899" i="202"/>
  <c r="BJ1899" i="202" s="1"/>
  <c r="AT1900" i="202"/>
  <c r="BJ1900" i="202" s="1"/>
  <c r="AT1901" i="202"/>
  <c r="BJ1901" i="202" s="1"/>
  <c r="AT1902" i="202"/>
  <c r="BJ1902" i="202" s="1"/>
  <c r="AT1903" i="202"/>
  <c r="BJ1903" i="202" s="1"/>
  <c r="AT1904" i="202"/>
  <c r="BJ1904" i="202" s="1"/>
  <c r="AT1905" i="202"/>
  <c r="BJ1905" i="202" s="1"/>
  <c r="AT1906" i="202"/>
  <c r="BJ1906" i="202" s="1"/>
  <c r="AT1907" i="202"/>
  <c r="BJ1907" i="202" s="1"/>
  <c r="AT1908" i="202"/>
  <c r="BJ1908" i="202" s="1"/>
  <c r="AT1909" i="202"/>
  <c r="BJ1909" i="202" s="1"/>
  <c r="AT1910" i="202"/>
  <c r="BJ1910" i="202" s="1"/>
  <c r="AT1911" i="202"/>
  <c r="BJ1911" i="202" s="1"/>
  <c r="AT1912" i="202"/>
  <c r="BJ1912" i="202" s="1"/>
  <c r="AT1913" i="202"/>
  <c r="BJ1913" i="202" s="1"/>
  <c r="AT1914" i="202"/>
  <c r="BJ1914" i="202" s="1"/>
  <c r="AT1915" i="202"/>
  <c r="BJ1915" i="202" s="1"/>
  <c r="AT1916" i="202"/>
  <c r="BJ1916" i="202" s="1"/>
  <c r="AT1917" i="202"/>
  <c r="BJ1917" i="202" s="1"/>
  <c r="AT1918" i="202"/>
  <c r="BJ1918" i="202" s="1"/>
  <c r="AT1919" i="202"/>
  <c r="BJ1919" i="202" s="1"/>
  <c r="AT1920" i="202"/>
  <c r="BJ1920" i="202" s="1"/>
  <c r="AT1921" i="202"/>
  <c r="BJ1921" i="202" s="1"/>
  <c r="AT1922" i="202"/>
  <c r="BJ1922" i="202" s="1"/>
  <c r="AT1923" i="202"/>
  <c r="BJ1923" i="202" s="1"/>
  <c r="AT1924" i="202"/>
  <c r="BJ1924" i="202" s="1"/>
  <c r="AT1925" i="202"/>
  <c r="BJ1925" i="202" s="1"/>
  <c r="AT1926" i="202"/>
  <c r="BJ1926" i="202" s="1"/>
  <c r="AT1927" i="202"/>
  <c r="BJ1927" i="202" s="1"/>
  <c r="AT1928" i="202"/>
  <c r="BJ1928" i="202" s="1"/>
  <c r="AT1929" i="202"/>
  <c r="BJ1929" i="202" s="1"/>
  <c r="AT1930" i="202"/>
  <c r="BJ1930" i="202" s="1"/>
  <c r="AT1931" i="202"/>
  <c r="BJ1931" i="202" s="1"/>
  <c r="AT1932" i="202"/>
  <c r="BJ1932" i="202" s="1"/>
  <c r="AT1933" i="202"/>
  <c r="BJ1933" i="202" s="1"/>
  <c r="AT1934" i="202"/>
  <c r="BJ1934" i="202" s="1"/>
  <c r="AT1935" i="202"/>
  <c r="BJ1935" i="202" s="1"/>
  <c r="AT1936" i="202"/>
  <c r="BJ1936" i="202" s="1"/>
  <c r="AT1937" i="202"/>
  <c r="BJ1937" i="202" s="1"/>
  <c r="AT1938" i="202"/>
  <c r="BJ1938" i="202" s="1"/>
  <c r="AT1939" i="202"/>
  <c r="BJ1939" i="202" s="1"/>
  <c r="AT1940" i="202"/>
  <c r="BJ1940" i="202" s="1"/>
  <c r="AT1941" i="202"/>
  <c r="BJ1941" i="202" s="1"/>
  <c r="AT1942" i="202"/>
  <c r="BJ1942" i="202" s="1"/>
  <c r="AT1943" i="202"/>
  <c r="BJ1943" i="202" s="1"/>
  <c r="AT1944" i="202"/>
  <c r="BJ1944" i="202" s="1"/>
  <c r="AT1945" i="202"/>
  <c r="BJ1945" i="202" s="1"/>
  <c r="AT1946" i="202"/>
  <c r="BJ1946" i="202" s="1"/>
  <c r="AT1947" i="202"/>
  <c r="BJ1947" i="202" s="1"/>
  <c r="AT1948" i="202"/>
  <c r="BJ1948" i="202" s="1"/>
  <c r="AT1949" i="202"/>
  <c r="BJ1949" i="202" s="1"/>
  <c r="AT1950" i="202"/>
  <c r="BJ1950" i="202" s="1"/>
  <c r="AT1951" i="202"/>
  <c r="BJ1951" i="202" s="1"/>
  <c r="AT1952" i="202"/>
  <c r="BJ1952" i="202" s="1"/>
  <c r="AT1953" i="202"/>
  <c r="BJ1953" i="202" s="1"/>
  <c r="AT1954" i="202"/>
  <c r="BJ1954" i="202" s="1"/>
  <c r="AT1955" i="202"/>
  <c r="BJ1955" i="202" s="1"/>
  <c r="AT1956" i="202"/>
  <c r="BJ1956" i="202" s="1"/>
  <c r="AT1957" i="202"/>
  <c r="BJ1957" i="202" s="1"/>
  <c r="AT1958" i="202"/>
  <c r="BJ1958" i="202" s="1"/>
  <c r="AT1959" i="202"/>
  <c r="BJ1959" i="202" s="1"/>
  <c r="AT1960" i="202"/>
  <c r="BJ1960" i="202" s="1"/>
  <c r="AT1961" i="202"/>
  <c r="BJ1961" i="202" s="1"/>
  <c r="AT1962" i="202"/>
  <c r="BJ1962" i="202" s="1"/>
  <c r="AT1963" i="202"/>
  <c r="BJ1963" i="202" s="1"/>
  <c r="AT1964" i="202"/>
  <c r="BJ1964" i="202" s="1"/>
  <c r="AT1965" i="202"/>
  <c r="BJ1965" i="202" s="1"/>
  <c r="AT1966" i="202"/>
  <c r="BJ1966" i="202" s="1"/>
  <c r="AT1967" i="202"/>
  <c r="BJ1967" i="202" s="1"/>
  <c r="AT1968" i="202"/>
  <c r="BJ1968" i="202" s="1"/>
  <c r="AT1969" i="202"/>
  <c r="BJ1969" i="202" s="1"/>
  <c r="AT1970" i="202"/>
  <c r="BJ1970" i="202" s="1"/>
  <c r="AT1971" i="202"/>
  <c r="BJ1971" i="202" s="1"/>
  <c r="AT1972" i="202"/>
  <c r="BJ1972" i="202" s="1"/>
  <c r="AT1973" i="202"/>
  <c r="BJ1973" i="202" s="1"/>
  <c r="AT1974" i="202"/>
  <c r="BJ1974" i="202" s="1"/>
  <c r="AT1975" i="202"/>
  <c r="BJ1975" i="202" s="1"/>
  <c r="AT1976" i="202"/>
  <c r="BJ1976" i="202" s="1"/>
  <c r="AT1977" i="202"/>
  <c r="BJ1977" i="202" s="1"/>
  <c r="AT1978" i="202"/>
  <c r="BJ1978" i="202" s="1"/>
  <c r="AT1979" i="202"/>
  <c r="BJ1979" i="202" s="1"/>
  <c r="AT1980" i="202"/>
  <c r="BJ1980" i="202" s="1"/>
  <c r="AT1981" i="202"/>
  <c r="BJ1981" i="202" s="1"/>
  <c r="AT1982" i="202"/>
  <c r="BJ1982" i="202" s="1"/>
  <c r="AT1983" i="202"/>
  <c r="BJ1983" i="202" s="1"/>
  <c r="AT1984" i="202"/>
  <c r="BJ1984" i="202" s="1"/>
  <c r="AT1985" i="202"/>
  <c r="BJ1985" i="202" s="1"/>
  <c r="AT1986" i="202"/>
  <c r="BJ1986" i="202" s="1"/>
  <c r="AT1987" i="202"/>
  <c r="BJ1987" i="202" s="1"/>
  <c r="AT1988" i="202"/>
  <c r="BJ1988" i="202" s="1"/>
  <c r="AT1989" i="202"/>
  <c r="BJ1989" i="202" s="1"/>
  <c r="AT1990" i="202"/>
  <c r="BJ1990" i="202" s="1"/>
  <c r="AT1991" i="202"/>
  <c r="BJ1991" i="202" s="1"/>
  <c r="AT1992" i="202"/>
  <c r="BJ1992" i="202" s="1"/>
  <c r="AT1993" i="202"/>
  <c r="BJ1993" i="202" s="1"/>
  <c r="AT1994" i="202"/>
  <c r="BJ1994" i="202" s="1"/>
  <c r="AT1995" i="202"/>
  <c r="BJ1995" i="202" s="1"/>
  <c r="AT1996" i="202"/>
  <c r="BJ1996" i="202" s="1"/>
  <c r="AT1997" i="202"/>
  <c r="BJ1997" i="202" s="1"/>
  <c r="AT1998" i="202"/>
  <c r="BJ1998" i="202" s="1"/>
  <c r="AT1999" i="202"/>
  <c r="BJ1999" i="202" s="1"/>
  <c r="AT2000" i="202"/>
  <c r="BJ2000" i="202" s="1"/>
  <c r="AT2001" i="202"/>
  <c r="BJ2001" i="202" s="1"/>
  <c r="AT2002" i="202"/>
  <c r="BJ2002" i="202" s="1"/>
  <c r="AT2003" i="202"/>
  <c r="BJ2003" i="202" s="1"/>
  <c r="AT2004" i="202"/>
  <c r="BJ2004" i="202" s="1"/>
  <c r="AT2005" i="202"/>
  <c r="BJ2005" i="202" s="1"/>
  <c r="AT2006" i="202"/>
  <c r="BJ2006" i="202" s="1"/>
  <c r="AT2007" i="202"/>
  <c r="BJ2007" i="202" s="1"/>
  <c r="AT2008" i="202"/>
  <c r="BJ2008" i="202" s="1"/>
  <c r="AT2009" i="202"/>
  <c r="BJ2009" i="202" s="1"/>
  <c r="AT2010" i="202"/>
  <c r="BJ2010" i="202" s="1"/>
  <c r="AT2011" i="202"/>
  <c r="BJ2011" i="202" s="1"/>
  <c r="AT2012" i="202"/>
  <c r="BJ2012" i="202" s="1"/>
  <c r="AT2013" i="202"/>
  <c r="BJ2013" i="202" s="1"/>
  <c r="AT2014" i="202"/>
  <c r="BJ2014" i="202" s="1"/>
  <c r="AT2015" i="202"/>
  <c r="BJ2015" i="202" s="1"/>
  <c r="AT2016" i="202"/>
  <c r="BJ2016" i="202" s="1"/>
  <c r="AT2017" i="202"/>
  <c r="BJ2017" i="202" s="1"/>
  <c r="AT2018" i="202"/>
  <c r="BJ2018" i="202" s="1"/>
  <c r="AT2019" i="202"/>
  <c r="BJ2019" i="202" s="1"/>
  <c r="AT2020" i="202"/>
  <c r="BJ2020" i="202" s="1"/>
  <c r="AT2021" i="202"/>
  <c r="BJ2021" i="202" s="1"/>
  <c r="AT2022" i="202"/>
  <c r="BJ2022" i="202" s="1"/>
  <c r="AT2023" i="202"/>
  <c r="BJ2023" i="202" s="1"/>
  <c r="AT2024" i="202"/>
  <c r="BJ2024" i="202" s="1"/>
  <c r="AT2025" i="202"/>
  <c r="BJ2025" i="202" s="1"/>
  <c r="AT2026" i="202"/>
  <c r="BJ2026" i="202" s="1"/>
  <c r="AT2027" i="202"/>
  <c r="BJ2027" i="202" s="1"/>
  <c r="AT2028" i="202"/>
  <c r="BJ2028" i="202" s="1"/>
  <c r="AT2029" i="202"/>
  <c r="BJ2029" i="202" s="1"/>
  <c r="AT2030" i="202"/>
  <c r="BJ2030" i="202" s="1"/>
  <c r="AT2031" i="202"/>
  <c r="BJ2031" i="202" s="1"/>
  <c r="AT2032" i="202"/>
  <c r="BJ2032" i="202" s="1"/>
  <c r="AT2033" i="202"/>
  <c r="BJ2033" i="202" s="1"/>
  <c r="AT2034" i="202"/>
  <c r="BJ2034" i="202" s="1"/>
  <c r="AT2035" i="202"/>
  <c r="BJ2035" i="202" s="1"/>
  <c r="AT2036" i="202"/>
  <c r="BJ2036" i="202" s="1"/>
  <c r="AT2037" i="202"/>
  <c r="BJ2037" i="202" s="1"/>
  <c r="AT2038" i="202"/>
  <c r="BJ2038" i="202" s="1"/>
  <c r="AT2039" i="202"/>
  <c r="BJ2039" i="202" s="1"/>
  <c r="AT2040" i="202"/>
  <c r="BJ2040" i="202" s="1"/>
  <c r="AT2041" i="202"/>
  <c r="BJ2041" i="202" s="1"/>
  <c r="AT2042" i="202"/>
  <c r="BJ2042" i="202" s="1"/>
  <c r="AT2043" i="202"/>
  <c r="BJ2043" i="202" s="1"/>
  <c r="AT2044" i="202"/>
  <c r="BJ2044" i="202" s="1"/>
  <c r="AT2045" i="202"/>
  <c r="BJ2045" i="202" s="1"/>
  <c r="AT2046" i="202"/>
  <c r="BJ2046" i="202" s="1"/>
  <c r="AT2047" i="202"/>
  <c r="BJ2047" i="202" s="1"/>
  <c r="AT2048" i="202"/>
  <c r="BJ2048" i="202" s="1"/>
  <c r="AF2" i="202"/>
  <c r="AF3" i="202"/>
  <c r="BI3" i="202" s="1"/>
  <c r="AF4" i="202"/>
  <c r="AF5" i="202"/>
  <c r="AF6" i="202"/>
  <c r="AF7" i="202"/>
  <c r="AF8" i="202"/>
  <c r="BI8" i="202" s="1"/>
  <c r="AF9" i="202"/>
  <c r="AF10" i="202"/>
  <c r="AF11" i="202"/>
  <c r="BI11" i="202" s="1"/>
  <c r="AF12" i="202"/>
  <c r="AF13" i="202"/>
  <c r="AF14" i="202"/>
  <c r="AF15" i="202"/>
  <c r="AF16" i="202"/>
  <c r="BI16" i="202" s="1"/>
  <c r="AF17" i="202"/>
  <c r="AF18" i="202"/>
  <c r="AF19" i="202"/>
  <c r="BI19" i="202" s="1"/>
  <c r="AF20" i="202"/>
  <c r="AF21" i="202"/>
  <c r="AF22" i="202"/>
  <c r="AF23" i="202"/>
  <c r="AF24" i="202"/>
  <c r="BI24" i="202" s="1"/>
  <c r="AF25" i="202"/>
  <c r="AF26" i="202"/>
  <c r="AF27" i="202"/>
  <c r="BI27" i="202" s="1"/>
  <c r="AF28" i="202"/>
  <c r="AF29" i="202"/>
  <c r="AF30" i="202"/>
  <c r="AF31" i="202"/>
  <c r="AF32" i="202"/>
  <c r="BI32" i="202" s="1"/>
  <c r="AF33" i="202"/>
  <c r="AF34" i="202"/>
  <c r="AF35" i="202"/>
  <c r="BI35" i="202" s="1"/>
  <c r="AF36" i="202"/>
  <c r="AF37" i="202"/>
  <c r="AF38" i="202"/>
  <c r="AF39" i="202"/>
  <c r="AF40" i="202"/>
  <c r="BI40" i="202" s="1"/>
  <c r="AF41" i="202"/>
  <c r="AF42" i="202"/>
  <c r="AF43" i="202"/>
  <c r="BI43" i="202" s="1"/>
  <c r="AF44" i="202"/>
  <c r="AF45" i="202"/>
  <c r="AF46" i="202"/>
  <c r="AF47" i="202"/>
  <c r="AF48" i="202"/>
  <c r="BI48" i="202" s="1"/>
  <c r="AF49" i="202"/>
  <c r="AF50" i="202"/>
  <c r="AF51" i="202"/>
  <c r="BI51" i="202" s="1"/>
  <c r="AF52" i="202"/>
  <c r="AF53" i="202"/>
  <c r="AF54" i="202"/>
  <c r="AF55" i="202"/>
  <c r="AF56" i="202"/>
  <c r="BI56" i="202" s="1"/>
  <c r="AF57" i="202"/>
  <c r="AF58" i="202"/>
  <c r="AF59" i="202"/>
  <c r="BI59" i="202" s="1"/>
  <c r="AF60" i="202"/>
  <c r="AF61" i="202"/>
  <c r="AF62" i="202"/>
  <c r="AF63" i="202"/>
  <c r="AF64" i="202"/>
  <c r="BI64" i="202" s="1"/>
  <c r="AF65" i="202"/>
  <c r="AF66" i="202"/>
  <c r="AF67" i="202"/>
  <c r="BI67" i="202" s="1"/>
  <c r="AF68" i="202"/>
  <c r="AF69" i="202"/>
  <c r="AF70" i="202"/>
  <c r="AF71" i="202"/>
  <c r="AF72" i="202"/>
  <c r="BI72" i="202" s="1"/>
  <c r="AF73" i="202"/>
  <c r="AF74" i="202"/>
  <c r="AF75" i="202"/>
  <c r="BI75" i="202" s="1"/>
  <c r="AF76" i="202"/>
  <c r="AF77" i="202"/>
  <c r="AF78" i="202"/>
  <c r="AF79" i="202"/>
  <c r="AF80" i="202"/>
  <c r="BI80" i="202" s="1"/>
  <c r="AF81" i="202"/>
  <c r="AF82" i="202"/>
  <c r="AF83" i="202"/>
  <c r="BI83" i="202" s="1"/>
  <c r="AF84" i="202"/>
  <c r="AF85" i="202"/>
  <c r="AF86" i="202"/>
  <c r="AF87" i="202"/>
  <c r="AF88" i="202"/>
  <c r="BI88" i="202" s="1"/>
  <c r="AF89" i="202"/>
  <c r="AF90" i="202"/>
  <c r="AF91" i="202"/>
  <c r="BI91" i="202" s="1"/>
  <c r="AF92" i="202"/>
  <c r="AF93" i="202"/>
  <c r="AF94" i="202"/>
  <c r="AF95" i="202"/>
  <c r="AF96" i="202"/>
  <c r="BI96" i="202" s="1"/>
  <c r="AF97" i="202"/>
  <c r="AF98" i="202"/>
  <c r="AF99" i="202"/>
  <c r="BI99" i="202" s="1"/>
  <c r="AF100" i="202"/>
  <c r="AF101" i="202"/>
  <c r="AF102" i="202"/>
  <c r="AF103" i="202"/>
  <c r="AF104" i="202"/>
  <c r="BI104" i="202" s="1"/>
  <c r="AF105" i="202"/>
  <c r="AF106" i="202"/>
  <c r="AF107" i="202"/>
  <c r="BI107" i="202" s="1"/>
  <c r="AF108" i="202"/>
  <c r="AF109" i="202"/>
  <c r="AF110" i="202"/>
  <c r="AF111" i="202"/>
  <c r="AF112" i="202"/>
  <c r="BI112" i="202" s="1"/>
  <c r="AF113" i="202"/>
  <c r="AF114" i="202"/>
  <c r="AF115" i="202"/>
  <c r="BI115" i="202" s="1"/>
  <c r="AF116" i="202"/>
  <c r="AF117" i="202"/>
  <c r="AF118" i="202"/>
  <c r="AF119" i="202"/>
  <c r="AF120" i="202"/>
  <c r="BI120" i="202" s="1"/>
  <c r="AF121" i="202"/>
  <c r="AF122" i="202"/>
  <c r="AF123" i="202"/>
  <c r="BI123" i="202" s="1"/>
  <c r="AF124" i="202"/>
  <c r="AF125" i="202"/>
  <c r="AF126" i="202"/>
  <c r="AF127" i="202"/>
  <c r="AF128" i="202"/>
  <c r="BI128" i="202" s="1"/>
  <c r="AF129" i="202"/>
  <c r="AF130" i="202"/>
  <c r="AF131" i="202"/>
  <c r="BI131" i="202" s="1"/>
  <c r="AF132" i="202"/>
  <c r="AF133" i="202"/>
  <c r="AF134" i="202"/>
  <c r="AF135" i="202"/>
  <c r="AF136" i="202"/>
  <c r="BI136" i="202" s="1"/>
  <c r="AF137" i="202"/>
  <c r="AF138" i="202"/>
  <c r="AF139" i="202"/>
  <c r="BI139" i="202" s="1"/>
  <c r="AF140" i="202"/>
  <c r="AF141" i="202"/>
  <c r="AF142" i="202"/>
  <c r="AF143" i="202"/>
  <c r="AF144" i="202"/>
  <c r="BI144" i="202" s="1"/>
  <c r="AF145" i="202"/>
  <c r="AF146" i="202"/>
  <c r="AF147" i="202"/>
  <c r="BI147" i="202" s="1"/>
  <c r="AF148" i="202"/>
  <c r="AF149" i="202"/>
  <c r="AF150" i="202"/>
  <c r="AF151" i="202"/>
  <c r="AF152" i="202"/>
  <c r="BI152" i="202" s="1"/>
  <c r="AF153" i="202"/>
  <c r="AF154" i="202"/>
  <c r="AF155" i="202"/>
  <c r="BI155" i="202" s="1"/>
  <c r="AF156" i="202"/>
  <c r="AF157" i="202"/>
  <c r="AF158" i="202"/>
  <c r="AF159" i="202"/>
  <c r="AF160" i="202"/>
  <c r="BI160" i="202" s="1"/>
  <c r="AF161" i="202"/>
  <c r="AF162" i="202"/>
  <c r="AF163" i="202"/>
  <c r="BI163" i="202" s="1"/>
  <c r="AF164" i="202"/>
  <c r="AF165" i="202"/>
  <c r="AF166" i="202"/>
  <c r="AF167" i="202"/>
  <c r="AF168" i="202"/>
  <c r="BI168" i="202" s="1"/>
  <c r="AF169" i="202"/>
  <c r="AF170" i="202"/>
  <c r="AF171" i="202"/>
  <c r="BI171" i="202" s="1"/>
  <c r="AF172" i="202"/>
  <c r="AF173" i="202"/>
  <c r="AF174" i="202"/>
  <c r="AF175" i="202"/>
  <c r="AF176" i="202"/>
  <c r="BI176" i="202" s="1"/>
  <c r="AF177" i="202"/>
  <c r="AF178" i="202"/>
  <c r="AF179" i="202"/>
  <c r="BI179" i="202" s="1"/>
  <c r="AF180" i="202"/>
  <c r="AF181" i="202"/>
  <c r="AF182" i="202"/>
  <c r="AF183" i="202"/>
  <c r="AF184" i="202"/>
  <c r="BI184" i="202" s="1"/>
  <c r="AF185" i="202"/>
  <c r="AF186" i="202"/>
  <c r="AF187" i="202"/>
  <c r="BI187" i="202" s="1"/>
  <c r="AF188" i="202"/>
  <c r="AF189" i="202"/>
  <c r="AF190" i="202"/>
  <c r="AF191" i="202"/>
  <c r="AF192" i="202"/>
  <c r="BI192" i="202" s="1"/>
  <c r="AF193" i="202"/>
  <c r="AF194" i="202"/>
  <c r="AF195" i="202"/>
  <c r="BI195" i="202" s="1"/>
  <c r="AF196" i="202"/>
  <c r="AF197" i="202"/>
  <c r="AF198" i="202"/>
  <c r="AF199" i="202"/>
  <c r="AF200" i="202"/>
  <c r="BI200" i="202" s="1"/>
  <c r="AF201" i="202"/>
  <c r="AF202" i="202"/>
  <c r="AF203" i="202"/>
  <c r="BI203" i="202" s="1"/>
  <c r="AF204" i="202"/>
  <c r="AF205" i="202"/>
  <c r="AF206" i="202"/>
  <c r="AF207" i="202"/>
  <c r="AF208" i="202"/>
  <c r="BI208" i="202" s="1"/>
  <c r="AF209" i="202"/>
  <c r="AF210" i="202"/>
  <c r="AF211" i="202"/>
  <c r="BI211" i="202" s="1"/>
  <c r="AF212" i="202"/>
  <c r="AF213" i="202"/>
  <c r="AF214" i="202"/>
  <c r="AF215" i="202"/>
  <c r="AF216" i="202"/>
  <c r="BI216" i="202" s="1"/>
  <c r="AF217" i="202"/>
  <c r="AF218" i="202"/>
  <c r="AF219" i="202"/>
  <c r="BI219" i="202" s="1"/>
  <c r="AF220" i="202"/>
  <c r="AF221" i="202"/>
  <c r="AF222" i="202"/>
  <c r="AF223" i="202"/>
  <c r="AF224" i="202"/>
  <c r="BI224" i="202" s="1"/>
  <c r="AF225" i="202"/>
  <c r="AF226" i="202"/>
  <c r="AF227" i="202"/>
  <c r="BI227" i="202" s="1"/>
  <c r="AF228" i="202"/>
  <c r="AF229" i="202"/>
  <c r="AF230" i="202"/>
  <c r="AF231" i="202"/>
  <c r="AF232" i="202"/>
  <c r="BI232" i="202" s="1"/>
  <c r="AF233" i="202"/>
  <c r="AF234" i="202"/>
  <c r="AF235" i="202"/>
  <c r="BI235" i="202" s="1"/>
  <c r="AF236" i="202"/>
  <c r="AF237" i="202"/>
  <c r="AF238" i="202"/>
  <c r="AF239" i="202"/>
  <c r="AF240" i="202"/>
  <c r="BI240" i="202" s="1"/>
  <c r="AF241" i="202"/>
  <c r="AF242" i="202"/>
  <c r="AF243" i="202"/>
  <c r="BI243" i="202" s="1"/>
  <c r="AF244" i="202"/>
  <c r="AF245" i="202"/>
  <c r="AF246" i="202"/>
  <c r="AF247" i="202"/>
  <c r="AF248" i="202"/>
  <c r="BI248" i="202" s="1"/>
  <c r="AF249" i="202"/>
  <c r="AF250" i="202"/>
  <c r="AF251" i="202"/>
  <c r="BI251" i="202" s="1"/>
  <c r="AF252" i="202"/>
  <c r="AF253" i="202"/>
  <c r="AF254" i="202"/>
  <c r="AF255" i="202"/>
  <c r="AF256" i="202"/>
  <c r="BI256" i="202" s="1"/>
  <c r="AF257" i="202"/>
  <c r="AF258" i="202"/>
  <c r="AF259" i="202"/>
  <c r="BI259" i="202" s="1"/>
  <c r="AF260" i="202"/>
  <c r="AF261" i="202"/>
  <c r="AF262" i="202"/>
  <c r="AF263" i="202"/>
  <c r="AF264" i="202"/>
  <c r="BI264" i="202" s="1"/>
  <c r="AF265" i="202"/>
  <c r="AF266" i="202"/>
  <c r="AF267" i="202"/>
  <c r="BI267" i="202" s="1"/>
  <c r="AF268" i="202"/>
  <c r="AF269" i="202"/>
  <c r="AF270" i="202"/>
  <c r="AF271" i="202"/>
  <c r="AF272" i="202"/>
  <c r="BI272" i="202" s="1"/>
  <c r="AF273" i="202"/>
  <c r="AF274" i="202"/>
  <c r="AF275" i="202"/>
  <c r="BI275" i="202" s="1"/>
  <c r="AF276" i="202"/>
  <c r="AF277" i="202"/>
  <c r="AF278" i="202"/>
  <c r="AF279" i="202"/>
  <c r="AF280" i="202"/>
  <c r="BI280" i="202" s="1"/>
  <c r="AF281" i="202"/>
  <c r="AF282" i="202"/>
  <c r="AF283" i="202"/>
  <c r="BI283" i="202" s="1"/>
  <c r="AF284" i="202"/>
  <c r="AF285" i="202"/>
  <c r="AF286" i="202"/>
  <c r="AF287" i="202"/>
  <c r="AF288" i="202"/>
  <c r="BI288" i="202" s="1"/>
  <c r="AF289" i="202"/>
  <c r="AF290" i="202"/>
  <c r="AF291" i="202"/>
  <c r="BI291" i="202" s="1"/>
  <c r="AF292" i="202"/>
  <c r="AF293" i="202"/>
  <c r="AF294" i="202"/>
  <c r="AF295" i="202"/>
  <c r="AF296" i="202"/>
  <c r="BI296" i="202" s="1"/>
  <c r="AF297" i="202"/>
  <c r="AF298" i="202"/>
  <c r="AF299" i="202"/>
  <c r="BI299" i="202" s="1"/>
  <c r="AF300" i="202"/>
  <c r="AF301" i="202"/>
  <c r="AF302" i="202"/>
  <c r="AF303" i="202"/>
  <c r="AF304" i="202"/>
  <c r="BI304" i="202" s="1"/>
  <c r="AF305" i="202"/>
  <c r="AF306" i="202"/>
  <c r="AF307" i="202"/>
  <c r="BI307" i="202" s="1"/>
  <c r="AF308" i="202"/>
  <c r="AF309" i="202"/>
  <c r="AF310" i="202"/>
  <c r="AF311" i="202"/>
  <c r="AF312" i="202"/>
  <c r="BI312" i="202" s="1"/>
  <c r="AF313" i="202"/>
  <c r="AF314" i="202"/>
  <c r="AF315" i="202"/>
  <c r="BI315" i="202" s="1"/>
  <c r="AF316" i="202"/>
  <c r="AF317" i="202"/>
  <c r="AF318" i="202"/>
  <c r="AF319" i="202"/>
  <c r="AF320" i="202"/>
  <c r="BI320" i="202" s="1"/>
  <c r="AF321" i="202"/>
  <c r="AF322" i="202"/>
  <c r="AF323" i="202"/>
  <c r="BI323" i="202" s="1"/>
  <c r="AF324" i="202"/>
  <c r="AF325" i="202"/>
  <c r="AF326" i="202"/>
  <c r="AF327" i="202"/>
  <c r="AF328" i="202"/>
  <c r="BI328" i="202" s="1"/>
  <c r="AF329" i="202"/>
  <c r="AF330" i="202"/>
  <c r="AF331" i="202"/>
  <c r="BI331" i="202" s="1"/>
  <c r="AF332" i="202"/>
  <c r="AF333" i="202"/>
  <c r="AF334" i="202"/>
  <c r="AF335" i="202"/>
  <c r="AF336" i="202"/>
  <c r="BI336" i="202" s="1"/>
  <c r="AF337" i="202"/>
  <c r="AF338" i="202"/>
  <c r="AF339" i="202"/>
  <c r="BI339" i="202" s="1"/>
  <c r="AF340" i="202"/>
  <c r="AF341" i="202"/>
  <c r="AF342" i="202"/>
  <c r="AF343" i="202"/>
  <c r="AF344" i="202"/>
  <c r="BI344" i="202" s="1"/>
  <c r="AF345" i="202"/>
  <c r="AF346" i="202"/>
  <c r="AF347" i="202"/>
  <c r="BI347" i="202" s="1"/>
  <c r="AF348" i="202"/>
  <c r="AF349" i="202"/>
  <c r="AF350" i="202"/>
  <c r="AF351" i="202"/>
  <c r="AF352" i="202"/>
  <c r="BI352" i="202" s="1"/>
  <c r="AF353" i="202"/>
  <c r="AF354" i="202"/>
  <c r="AF355" i="202"/>
  <c r="BI355" i="202" s="1"/>
  <c r="AF356" i="202"/>
  <c r="AF357" i="202"/>
  <c r="AF358" i="202"/>
  <c r="AF359" i="202"/>
  <c r="AF360" i="202"/>
  <c r="BI360" i="202" s="1"/>
  <c r="AF361" i="202"/>
  <c r="AF362" i="202"/>
  <c r="AF363" i="202"/>
  <c r="BI363" i="202" s="1"/>
  <c r="AF364" i="202"/>
  <c r="AF365" i="202"/>
  <c r="AF366" i="202"/>
  <c r="AF367" i="202"/>
  <c r="AF368" i="202"/>
  <c r="BI368" i="202" s="1"/>
  <c r="AF369" i="202"/>
  <c r="AF370" i="202"/>
  <c r="AF371" i="202"/>
  <c r="BI371" i="202" s="1"/>
  <c r="AF372" i="202"/>
  <c r="AF373" i="202"/>
  <c r="AF374" i="202"/>
  <c r="AF375" i="202"/>
  <c r="AF376" i="202"/>
  <c r="BI376" i="202" s="1"/>
  <c r="AF377" i="202"/>
  <c r="AF378" i="202"/>
  <c r="AF379" i="202"/>
  <c r="BI379" i="202" s="1"/>
  <c r="AF380" i="202"/>
  <c r="AF381" i="202"/>
  <c r="AF382" i="202"/>
  <c r="AF383" i="202"/>
  <c r="AF384" i="202"/>
  <c r="BI384" i="202" s="1"/>
  <c r="AF385" i="202"/>
  <c r="AF386" i="202"/>
  <c r="AF387" i="202"/>
  <c r="BI387" i="202" s="1"/>
  <c r="AF388" i="202"/>
  <c r="AF389" i="202"/>
  <c r="AF390" i="202"/>
  <c r="AF391" i="202"/>
  <c r="AF392" i="202"/>
  <c r="BI392" i="202" s="1"/>
  <c r="AF393" i="202"/>
  <c r="AF394" i="202"/>
  <c r="AF395" i="202"/>
  <c r="BI395" i="202" s="1"/>
  <c r="AF396" i="202"/>
  <c r="AF397" i="202"/>
  <c r="AF398" i="202"/>
  <c r="AF399" i="202"/>
  <c r="AF400" i="202"/>
  <c r="BI400" i="202" s="1"/>
  <c r="AF401" i="202"/>
  <c r="AF402" i="202"/>
  <c r="AF403" i="202"/>
  <c r="BI403" i="202" s="1"/>
  <c r="AF404" i="202"/>
  <c r="AF405" i="202"/>
  <c r="AF406" i="202"/>
  <c r="AF407" i="202"/>
  <c r="AF408" i="202"/>
  <c r="BI408" i="202" s="1"/>
  <c r="AF409" i="202"/>
  <c r="AF410" i="202"/>
  <c r="AF411" i="202"/>
  <c r="BI411" i="202" s="1"/>
  <c r="AF412" i="202"/>
  <c r="AF413" i="202"/>
  <c r="AF414" i="202"/>
  <c r="AF415" i="202"/>
  <c r="AF416" i="202"/>
  <c r="BI416" i="202" s="1"/>
  <c r="AF417" i="202"/>
  <c r="AF418" i="202"/>
  <c r="AF419" i="202"/>
  <c r="BI419" i="202" s="1"/>
  <c r="AF420" i="202"/>
  <c r="AF421" i="202"/>
  <c r="AF422" i="202"/>
  <c r="AF423" i="202"/>
  <c r="AF424" i="202"/>
  <c r="BI424" i="202" s="1"/>
  <c r="AF425" i="202"/>
  <c r="AF426" i="202"/>
  <c r="AF427" i="202"/>
  <c r="BI427" i="202" s="1"/>
  <c r="AF428" i="202"/>
  <c r="AF429" i="202"/>
  <c r="AF430" i="202"/>
  <c r="AF431" i="202"/>
  <c r="AF432" i="202"/>
  <c r="BI432" i="202" s="1"/>
  <c r="AF433" i="202"/>
  <c r="AF434" i="202"/>
  <c r="AF435" i="202"/>
  <c r="BI435" i="202" s="1"/>
  <c r="AF436" i="202"/>
  <c r="AF437" i="202"/>
  <c r="AF438" i="202"/>
  <c r="AF439" i="202"/>
  <c r="AF440" i="202"/>
  <c r="BI440" i="202" s="1"/>
  <c r="AF441" i="202"/>
  <c r="AF442" i="202"/>
  <c r="AF443" i="202"/>
  <c r="BI443" i="202" s="1"/>
  <c r="AF444" i="202"/>
  <c r="AF445" i="202"/>
  <c r="AF446" i="202"/>
  <c r="AF447" i="202"/>
  <c r="AF448" i="202"/>
  <c r="BI448" i="202" s="1"/>
  <c r="AF449" i="202"/>
  <c r="AF450" i="202"/>
  <c r="AF451" i="202"/>
  <c r="BI451" i="202" s="1"/>
  <c r="AF452" i="202"/>
  <c r="AF453" i="202"/>
  <c r="AF454" i="202"/>
  <c r="AF455" i="202"/>
  <c r="AF456" i="202"/>
  <c r="BI456" i="202" s="1"/>
  <c r="AF457" i="202"/>
  <c r="AF458" i="202"/>
  <c r="AF459" i="202"/>
  <c r="BI459" i="202" s="1"/>
  <c r="AF460" i="202"/>
  <c r="AF461" i="202"/>
  <c r="AF462" i="202"/>
  <c r="AF463" i="202"/>
  <c r="AF464" i="202"/>
  <c r="BI464" i="202" s="1"/>
  <c r="AF465" i="202"/>
  <c r="AF466" i="202"/>
  <c r="AF467" i="202"/>
  <c r="BI467" i="202" s="1"/>
  <c r="AF468" i="202"/>
  <c r="AF469" i="202"/>
  <c r="AF470" i="202"/>
  <c r="AF471" i="202"/>
  <c r="AF472" i="202"/>
  <c r="BI472" i="202" s="1"/>
  <c r="AF473" i="202"/>
  <c r="AF474" i="202"/>
  <c r="AF475" i="202"/>
  <c r="BI475" i="202" s="1"/>
  <c r="AF476" i="202"/>
  <c r="AF477" i="202"/>
  <c r="AF478" i="202"/>
  <c r="AF479" i="202"/>
  <c r="AF480" i="202"/>
  <c r="BI480" i="202" s="1"/>
  <c r="AF481" i="202"/>
  <c r="AF482" i="202"/>
  <c r="AF483" i="202"/>
  <c r="BI483" i="202" s="1"/>
  <c r="AF484" i="202"/>
  <c r="AF485" i="202"/>
  <c r="AF486" i="202"/>
  <c r="AF487" i="202"/>
  <c r="AF488" i="202"/>
  <c r="BI488" i="202" s="1"/>
  <c r="AF489" i="202"/>
  <c r="AF490" i="202"/>
  <c r="AF491" i="202"/>
  <c r="BI491" i="202" s="1"/>
  <c r="AF492" i="202"/>
  <c r="AF493" i="202"/>
  <c r="AF494" i="202"/>
  <c r="AF495" i="202"/>
  <c r="AF496" i="202"/>
  <c r="BI496" i="202" s="1"/>
  <c r="AF497" i="202"/>
  <c r="AF498" i="202"/>
  <c r="AF499" i="202"/>
  <c r="BI499" i="202" s="1"/>
  <c r="AF500" i="202"/>
  <c r="AF501" i="202"/>
  <c r="AF502" i="202"/>
  <c r="AF503" i="202"/>
  <c r="AF504" i="202"/>
  <c r="BI504" i="202" s="1"/>
  <c r="AF505" i="202"/>
  <c r="AF506" i="202"/>
  <c r="AF507" i="202"/>
  <c r="BI507" i="202" s="1"/>
  <c r="AF508" i="202"/>
  <c r="AF509" i="202"/>
  <c r="AF510" i="202"/>
  <c r="AF511" i="202"/>
  <c r="AF512" i="202"/>
  <c r="BI512" i="202" s="1"/>
  <c r="AF513" i="202"/>
  <c r="AF514" i="202"/>
  <c r="AF515" i="202"/>
  <c r="BI515" i="202" s="1"/>
  <c r="AF516" i="202"/>
  <c r="AF517" i="202"/>
  <c r="AF518" i="202"/>
  <c r="AF519" i="202"/>
  <c r="AF520" i="202"/>
  <c r="BI520" i="202" s="1"/>
  <c r="AF521" i="202"/>
  <c r="AF522" i="202"/>
  <c r="AF523" i="202"/>
  <c r="BI523" i="202" s="1"/>
  <c r="AF524" i="202"/>
  <c r="AF525" i="202"/>
  <c r="AF526" i="202"/>
  <c r="AF527" i="202"/>
  <c r="AF528" i="202"/>
  <c r="BI528" i="202" s="1"/>
  <c r="AF529" i="202"/>
  <c r="AF530" i="202"/>
  <c r="AF531" i="202"/>
  <c r="BI531" i="202" s="1"/>
  <c r="AF532" i="202"/>
  <c r="AF533" i="202"/>
  <c r="AF534" i="202"/>
  <c r="AF535" i="202"/>
  <c r="AF536" i="202"/>
  <c r="BI536" i="202" s="1"/>
  <c r="AF537" i="202"/>
  <c r="AF538" i="202"/>
  <c r="AF539" i="202"/>
  <c r="BI539" i="202" s="1"/>
  <c r="AF540" i="202"/>
  <c r="AF541" i="202"/>
  <c r="AF542" i="202"/>
  <c r="AF543" i="202"/>
  <c r="AF544" i="202"/>
  <c r="BI544" i="202" s="1"/>
  <c r="AF545" i="202"/>
  <c r="AF546" i="202"/>
  <c r="AF547" i="202"/>
  <c r="BI547" i="202" s="1"/>
  <c r="AF548" i="202"/>
  <c r="AF549" i="202"/>
  <c r="AF550" i="202"/>
  <c r="AF551" i="202"/>
  <c r="AF552" i="202"/>
  <c r="BI552" i="202" s="1"/>
  <c r="AF553" i="202"/>
  <c r="AF554" i="202"/>
  <c r="AF555" i="202"/>
  <c r="BI555" i="202" s="1"/>
  <c r="AF556" i="202"/>
  <c r="AF557" i="202"/>
  <c r="AF558" i="202"/>
  <c r="AF559" i="202"/>
  <c r="AF560" i="202"/>
  <c r="BI560" i="202" s="1"/>
  <c r="AF561" i="202"/>
  <c r="AF562" i="202"/>
  <c r="AF563" i="202"/>
  <c r="BI563" i="202" s="1"/>
  <c r="AF564" i="202"/>
  <c r="AF565" i="202"/>
  <c r="AF566" i="202"/>
  <c r="AF567" i="202"/>
  <c r="AF568" i="202"/>
  <c r="BI568" i="202" s="1"/>
  <c r="AF569" i="202"/>
  <c r="AF570" i="202"/>
  <c r="AF571" i="202"/>
  <c r="BI571" i="202" s="1"/>
  <c r="AF572" i="202"/>
  <c r="AF573" i="202"/>
  <c r="AF574" i="202"/>
  <c r="AF575" i="202"/>
  <c r="AF576" i="202"/>
  <c r="BI576" i="202" s="1"/>
  <c r="AF577" i="202"/>
  <c r="AF578" i="202"/>
  <c r="AF579" i="202"/>
  <c r="BI579" i="202" s="1"/>
  <c r="AF580" i="202"/>
  <c r="AF581" i="202"/>
  <c r="AF582" i="202"/>
  <c r="AF583" i="202"/>
  <c r="AF584" i="202"/>
  <c r="BI584" i="202" s="1"/>
  <c r="AF585" i="202"/>
  <c r="AF586" i="202"/>
  <c r="AF587" i="202"/>
  <c r="BI587" i="202" s="1"/>
  <c r="AF588" i="202"/>
  <c r="AF589" i="202"/>
  <c r="AF590" i="202"/>
  <c r="AF591" i="202"/>
  <c r="AF592" i="202"/>
  <c r="BI592" i="202" s="1"/>
  <c r="AF593" i="202"/>
  <c r="AF594" i="202"/>
  <c r="AF595" i="202"/>
  <c r="BI595" i="202" s="1"/>
  <c r="AF596" i="202"/>
  <c r="AF597" i="202"/>
  <c r="AF598" i="202"/>
  <c r="AF599" i="202"/>
  <c r="AF600" i="202"/>
  <c r="BI600" i="202" s="1"/>
  <c r="AF601" i="202"/>
  <c r="AF602" i="202"/>
  <c r="AF603" i="202"/>
  <c r="BI603" i="202" s="1"/>
  <c r="AF604" i="202"/>
  <c r="AF605" i="202"/>
  <c r="AF606" i="202"/>
  <c r="AF607" i="202"/>
  <c r="AF608" i="202"/>
  <c r="BI608" i="202" s="1"/>
  <c r="AF609" i="202"/>
  <c r="AF610" i="202"/>
  <c r="AF611" i="202"/>
  <c r="BI611" i="202" s="1"/>
  <c r="AF612" i="202"/>
  <c r="AF613" i="202"/>
  <c r="AF614" i="202"/>
  <c r="AF615" i="202"/>
  <c r="AF616" i="202"/>
  <c r="BI616" i="202" s="1"/>
  <c r="AF617" i="202"/>
  <c r="AF618" i="202"/>
  <c r="AF619" i="202"/>
  <c r="BI619" i="202" s="1"/>
  <c r="AF620" i="202"/>
  <c r="AF621" i="202"/>
  <c r="AF622" i="202"/>
  <c r="AF623" i="202"/>
  <c r="AF624" i="202"/>
  <c r="BI624" i="202" s="1"/>
  <c r="AF625" i="202"/>
  <c r="AF626" i="202"/>
  <c r="AF627" i="202"/>
  <c r="BI627" i="202" s="1"/>
  <c r="AF628" i="202"/>
  <c r="AF629" i="202"/>
  <c r="AF630" i="202"/>
  <c r="AF631" i="202"/>
  <c r="AF632" i="202"/>
  <c r="BI632" i="202" s="1"/>
  <c r="AF633" i="202"/>
  <c r="AF634" i="202"/>
  <c r="AF635" i="202"/>
  <c r="BI635" i="202" s="1"/>
  <c r="AF636" i="202"/>
  <c r="AF637" i="202"/>
  <c r="AF638" i="202"/>
  <c r="AF639" i="202"/>
  <c r="AF640" i="202"/>
  <c r="BI640" i="202" s="1"/>
  <c r="AF641" i="202"/>
  <c r="AF642" i="202"/>
  <c r="AF643" i="202"/>
  <c r="BI643" i="202" s="1"/>
  <c r="AF644" i="202"/>
  <c r="AF645" i="202"/>
  <c r="AF646" i="202"/>
  <c r="AF647" i="202"/>
  <c r="AF648" i="202"/>
  <c r="BI648" i="202" s="1"/>
  <c r="AF649" i="202"/>
  <c r="AF650" i="202"/>
  <c r="AF651" i="202"/>
  <c r="BI651" i="202" s="1"/>
  <c r="AF652" i="202"/>
  <c r="AF653" i="202"/>
  <c r="AF654" i="202"/>
  <c r="AF655" i="202"/>
  <c r="AF656" i="202"/>
  <c r="BI656" i="202" s="1"/>
  <c r="AF657" i="202"/>
  <c r="AF658" i="202"/>
  <c r="AF659" i="202"/>
  <c r="BI659" i="202" s="1"/>
  <c r="AF660" i="202"/>
  <c r="AF661" i="202"/>
  <c r="AF662" i="202"/>
  <c r="AF663" i="202"/>
  <c r="AF664" i="202"/>
  <c r="BI664" i="202" s="1"/>
  <c r="AF665" i="202"/>
  <c r="AF666" i="202"/>
  <c r="AF667" i="202"/>
  <c r="BI667" i="202" s="1"/>
  <c r="AF668" i="202"/>
  <c r="AF669" i="202"/>
  <c r="AF670" i="202"/>
  <c r="AF671" i="202"/>
  <c r="AF672" i="202"/>
  <c r="BI672" i="202" s="1"/>
  <c r="AF673" i="202"/>
  <c r="AF674" i="202"/>
  <c r="AF675" i="202"/>
  <c r="BI675" i="202" s="1"/>
  <c r="AF676" i="202"/>
  <c r="AF677" i="202"/>
  <c r="AF678" i="202"/>
  <c r="AF679" i="202"/>
  <c r="AF680" i="202"/>
  <c r="BI680" i="202" s="1"/>
  <c r="AF681" i="202"/>
  <c r="AF682" i="202"/>
  <c r="AF683" i="202"/>
  <c r="BI683" i="202" s="1"/>
  <c r="AF684" i="202"/>
  <c r="AF685" i="202"/>
  <c r="AF686" i="202"/>
  <c r="BI686" i="202" s="1"/>
  <c r="AF687" i="202"/>
  <c r="AF688" i="202"/>
  <c r="BI688" i="202" s="1"/>
  <c r="AF689" i="202"/>
  <c r="AF690" i="202"/>
  <c r="AF691" i="202"/>
  <c r="BI691" i="202" s="1"/>
  <c r="AF692" i="202"/>
  <c r="AF693" i="202"/>
  <c r="AF694" i="202"/>
  <c r="BI694" i="202" s="1"/>
  <c r="AF695" i="202"/>
  <c r="AF696" i="202"/>
  <c r="BI696" i="202" s="1"/>
  <c r="AF697" i="202"/>
  <c r="AF698" i="202"/>
  <c r="AF699" i="202"/>
  <c r="BI699" i="202" s="1"/>
  <c r="AF700" i="202"/>
  <c r="AF701" i="202"/>
  <c r="AF702" i="202"/>
  <c r="BI702" i="202" s="1"/>
  <c r="AF703" i="202"/>
  <c r="AF704" i="202"/>
  <c r="BI704" i="202" s="1"/>
  <c r="AF705" i="202"/>
  <c r="AF706" i="202"/>
  <c r="AF707" i="202"/>
  <c r="BI707" i="202" s="1"/>
  <c r="AF708" i="202"/>
  <c r="AF709" i="202"/>
  <c r="AF710" i="202"/>
  <c r="BI710" i="202" s="1"/>
  <c r="AF711" i="202"/>
  <c r="AF712" i="202"/>
  <c r="BI712" i="202" s="1"/>
  <c r="AF713" i="202"/>
  <c r="AF714" i="202"/>
  <c r="AF715" i="202"/>
  <c r="BI715" i="202" s="1"/>
  <c r="AF716" i="202"/>
  <c r="AF717" i="202"/>
  <c r="AF718" i="202"/>
  <c r="BI718" i="202" s="1"/>
  <c r="AF719" i="202"/>
  <c r="AF720" i="202"/>
  <c r="BI720" i="202" s="1"/>
  <c r="AF721" i="202"/>
  <c r="AF722" i="202"/>
  <c r="AF723" i="202"/>
  <c r="BI723" i="202" s="1"/>
  <c r="AF724" i="202"/>
  <c r="AF725" i="202"/>
  <c r="AF726" i="202"/>
  <c r="BI726" i="202" s="1"/>
  <c r="AF727" i="202"/>
  <c r="AF728" i="202"/>
  <c r="BI728" i="202" s="1"/>
  <c r="AF729" i="202"/>
  <c r="AF730" i="202"/>
  <c r="AF731" i="202"/>
  <c r="BI731" i="202" s="1"/>
  <c r="AF732" i="202"/>
  <c r="AF733" i="202"/>
  <c r="AF734" i="202"/>
  <c r="BI734" i="202" s="1"/>
  <c r="AF735" i="202"/>
  <c r="AF736" i="202"/>
  <c r="BI736" i="202" s="1"/>
  <c r="AF737" i="202"/>
  <c r="AF738" i="202"/>
  <c r="AF739" i="202"/>
  <c r="BI739" i="202" s="1"/>
  <c r="AF740" i="202"/>
  <c r="AF741" i="202"/>
  <c r="AF742" i="202"/>
  <c r="BI742" i="202" s="1"/>
  <c r="AF743" i="202"/>
  <c r="AF744" i="202"/>
  <c r="BI744" i="202" s="1"/>
  <c r="AF745" i="202"/>
  <c r="AF746" i="202"/>
  <c r="AF747" i="202"/>
  <c r="BI747" i="202" s="1"/>
  <c r="AF748" i="202"/>
  <c r="AF749" i="202"/>
  <c r="AF750" i="202"/>
  <c r="BI750" i="202" s="1"/>
  <c r="AF751" i="202"/>
  <c r="AF752" i="202"/>
  <c r="BI752" i="202" s="1"/>
  <c r="AF753" i="202"/>
  <c r="AF754" i="202"/>
  <c r="AF755" i="202"/>
  <c r="BI755" i="202" s="1"/>
  <c r="AF756" i="202"/>
  <c r="AF757" i="202"/>
  <c r="AF758" i="202"/>
  <c r="BI758" i="202" s="1"/>
  <c r="AF759" i="202"/>
  <c r="AF760" i="202"/>
  <c r="BI760" i="202" s="1"/>
  <c r="AF761" i="202"/>
  <c r="AF762" i="202"/>
  <c r="AF763" i="202"/>
  <c r="BI763" i="202" s="1"/>
  <c r="AF764" i="202"/>
  <c r="AF765" i="202"/>
  <c r="AF766" i="202"/>
  <c r="BI766" i="202" s="1"/>
  <c r="AF767" i="202"/>
  <c r="AF768" i="202"/>
  <c r="BI768" i="202" s="1"/>
  <c r="AF769" i="202"/>
  <c r="AF770" i="202"/>
  <c r="AF771" i="202"/>
  <c r="BI771" i="202" s="1"/>
  <c r="AF772" i="202"/>
  <c r="AF773" i="202"/>
  <c r="AF774" i="202"/>
  <c r="BI774" i="202" s="1"/>
  <c r="AF775" i="202"/>
  <c r="AF776" i="202"/>
  <c r="BI776" i="202" s="1"/>
  <c r="AF777" i="202"/>
  <c r="AF778" i="202"/>
  <c r="AF779" i="202"/>
  <c r="BI779" i="202" s="1"/>
  <c r="AF780" i="202"/>
  <c r="AF781" i="202"/>
  <c r="AF782" i="202"/>
  <c r="BI782" i="202" s="1"/>
  <c r="AF783" i="202"/>
  <c r="AF784" i="202"/>
  <c r="BI784" i="202" s="1"/>
  <c r="AF785" i="202"/>
  <c r="AF786" i="202"/>
  <c r="AF787" i="202"/>
  <c r="BI787" i="202" s="1"/>
  <c r="AF788" i="202"/>
  <c r="AF789" i="202"/>
  <c r="AF790" i="202"/>
  <c r="BI790" i="202" s="1"/>
  <c r="AF791" i="202"/>
  <c r="AF792" i="202"/>
  <c r="BI792" i="202" s="1"/>
  <c r="AF793" i="202"/>
  <c r="AF794" i="202"/>
  <c r="AF795" i="202"/>
  <c r="BI795" i="202" s="1"/>
  <c r="AF796" i="202"/>
  <c r="AF797" i="202"/>
  <c r="AF798" i="202"/>
  <c r="BI798" i="202" s="1"/>
  <c r="AF799" i="202"/>
  <c r="AF800" i="202"/>
  <c r="BI800" i="202" s="1"/>
  <c r="AF801" i="202"/>
  <c r="AF802" i="202"/>
  <c r="AF803" i="202"/>
  <c r="BI803" i="202" s="1"/>
  <c r="AF804" i="202"/>
  <c r="AF805" i="202"/>
  <c r="AF806" i="202"/>
  <c r="BI806" i="202" s="1"/>
  <c r="AF807" i="202"/>
  <c r="AF808" i="202"/>
  <c r="BI808" i="202" s="1"/>
  <c r="AF809" i="202"/>
  <c r="AF810" i="202"/>
  <c r="AF811" i="202"/>
  <c r="BI811" i="202" s="1"/>
  <c r="AF812" i="202"/>
  <c r="AF813" i="202"/>
  <c r="AF814" i="202"/>
  <c r="BI814" i="202" s="1"/>
  <c r="AF815" i="202"/>
  <c r="AF816" i="202"/>
  <c r="BI816" i="202" s="1"/>
  <c r="AF817" i="202"/>
  <c r="AF818" i="202"/>
  <c r="AF819" i="202"/>
  <c r="BI819" i="202" s="1"/>
  <c r="AF820" i="202"/>
  <c r="AF821" i="202"/>
  <c r="AF822" i="202"/>
  <c r="BI822" i="202" s="1"/>
  <c r="AF823" i="202"/>
  <c r="AF824" i="202"/>
  <c r="BI824" i="202" s="1"/>
  <c r="AF825" i="202"/>
  <c r="AF826" i="202"/>
  <c r="AF827" i="202"/>
  <c r="BI827" i="202" s="1"/>
  <c r="AF828" i="202"/>
  <c r="AF829" i="202"/>
  <c r="AF830" i="202"/>
  <c r="BI830" i="202" s="1"/>
  <c r="AF831" i="202"/>
  <c r="AF832" i="202"/>
  <c r="BI832" i="202" s="1"/>
  <c r="AF833" i="202"/>
  <c r="AF834" i="202"/>
  <c r="AF835" i="202"/>
  <c r="BI835" i="202" s="1"/>
  <c r="AF836" i="202"/>
  <c r="AF837" i="202"/>
  <c r="AF838" i="202"/>
  <c r="BI838" i="202" s="1"/>
  <c r="AF839" i="202"/>
  <c r="AF840" i="202"/>
  <c r="BI840" i="202" s="1"/>
  <c r="AF841" i="202"/>
  <c r="AF842" i="202"/>
  <c r="AF843" i="202"/>
  <c r="BI843" i="202" s="1"/>
  <c r="AF844" i="202"/>
  <c r="AF845" i="202"/>
  <c r="AF846" i="202"/>
  <c r="BI846" i="202" s="1"/>
  <c r="AF847" i="202"/>
  <c r="AF848" i="202"/>
  <c r="BI848" i="202" s="1"/>
  <c r="AF849" i="202"/>
  <c r="AF850" i="202"/>
  <c r="AF851" i="202"/>
  <c r="BI851" i="202" s="1"/>
  <c r="AF852" i="202"/>
  <c r="AF853" i="202"/>
  <c r="AF854" i="202"/>
  <c r="BI854" i="202" s="1"/>
  <c r="AF855" i="202"/>
  <c r="AF856" i="202"/>
  <c r="BI856" i="202" s="1"/>
  <c r="AF857" i="202"/>
  <c r="AF858" i="202"/>
  <c r="AF859" i="202"/>
  <c r="BI859" i="202" s="1"/>
  <c r="AF860" i="202"/>
  <c r="AF861" i="202"/>
  <c r="AF862" i="202"/>
  <c r="BI862" i="202" s="1"/>
  <c r="AF863" i="202"/>
  <c r="AF864" i="202"/>
  <c r="BI864" i="202" s="1"/>
  <c r="AF865" i="202"/>
  <c r="AF866" i="202"/>
  <c r="AF867" i="202"/>
  <c r="BI867" i="202" s="1"/>
  <c r="AF868" i="202"/>
  <c r="AF869" i="202"/>
  <c r="AF870" i="202"/>
  <c r="BI870" i="202" s="1"/>
  <c r="AF871" i="202"/>
  <c r="AF872" i="202"/>
  <c r="BI872" i="202" s="1"/>
  <c r="AF873" i="202"/>
  <c r="AF874" i="202"/>
  <c r="AF875" i="202"/>
  <c r="BI875" i="202" s="1"/>
  <c r="AF876" i="202"/>
  <c r="AF877" i="202"/>
  <c r="AF878" i="202"/>
  <c r="BI878" i="202" s="1"/>
  <c r="AF879" i="202"/>
  <c r="AF880" i="202"/>
  <c r="BI880" i="202" s="1"/>
  <c r="AF881" i="202"/>
  <c r="AF882" i="202"/>
  <c r="AF883" i="202"/>
  <c r="BI883" i="202" s="1"/>
  <c r="AF884" i="202"/>
  <c r="AF885" i="202"/>
  <c r="AF886" i="202"/>
  <c r="BI886" i="202" s="1"/>
  <c r="AF887" i="202"/>
  <c r="AF888" i="202"/>
  <c r="BI888" i="202" s="1"/>
  <c r="AF889" i="202"/>
  <c r="AF890" i="202"/>
  <c r="AF891" i="202"/>
  <c r="BI891" i="202" s="1"/>
  <c r="AF892" i="202"/>
  <c r="AF893" i="202"/>
  <c r="AF894" i="202"/>
  <c r="BI894" i="202" s="1"/>
  <c r="AF895" i="202"/>
  <c r="AF896" i="202"/>
  <c r="BI896" i="202" s="1"/>
  <c r="AF897" i="202"/>
  <c r="AF898" i="202"/>
  <c r="AF899" i="202"/>
  <c r="BI899" i="202" s="1"/>
  <c r="AF900" i="202"/>
  <c r="AF901" i="202"/>
  <c r="AF902" i="202"/>
  <c r="BI902" i="202" s="1"/>
  <c r="AF903" i="202"/>
  <c r="AF904" i="202"/>
  <c r="BI904" i="202" s="1"/>
  <c r="AF905" i="202"/>
  <c r="AF906" i="202"/>
  <c r="AF907" i="202"/>
  <c r="BI907" i="202" s="1"/>
  <c r="AF908" i="202"/>
  <c r="AF909" i="202"/>
  <c r="AF910" i="202"/>
  <c r="BI910" i="202" s="1"/>
  <c r="AF911" i="202"/>
  <c r="AF912" i="202"/>
  <c r="BI912" i="202" s="1"/>
  <c r="AF913" i="202"/>
  <c r="AF914" i="202"/>
  <c r="AF915" i="202"/>
  <c r="BI915" i="202" s="1"/>
  <c r="AF916" i="202"/>
  <c r="AF917" i="202"/>
  <c r="AF918" i="202"/>
  <c r="BI918" i="202" s="1"/>
  <c r="AF919" i="202"/>
  <c r="AF920" i="202"/>
  <c r="BI920" i="202" s="1"/>
  <c r="AF921" i="202"/>
  <c r="AF922" i="202"/>
  <c r="AF923" i="202"/>
  <c r="BI923" i="202" s="1"/>
  <c r="AF924" i="202"/>
  <c r="AF925" i="202"/>
  <c r="AF926" i="202"/>
  <c r="BI926" i="202" s="1"/>
  <c r="AF927" i="202"/>
  <c r="AF928" i="202"/>
  <c r="BI928" i="202" s="1"/>
  <c r="AF929" i="202"/>
  <c r="AF930" i="202"/>
  <c r="AF931" i="202"/>
  <c r="BI931" i="202" s="1"/>
  <c r="AF932" i="202"/>
  <c r="AF933" i="202"/>
  <c r="AF934" i="202"/>
  <c r="BI934" i="202" s="1"/>
  <c r="AF935" i="202"/>
  <c r="AF936" i="202"/>
  <c r="BI936" i="202" s="1"/>
  <c r="AF937" i="202"/>
  <c r="AF938" i="202"/>
  <c r="AF939" i="202"/>
  <c r="BI939" i="202" s="1"/>
  <c r="AF940" i="202"/>
  <c r="AF941" i="202"/>
  <c r="AF942" i="202"/>
  <c r="BI942" i="202" s="1"/>
  <c r="AF943" i="202"/>
  <c r="AF944" i="202"/>
  <c r="BI944" i="202" s="1"/>
  <c r="AF945" i="202"/>
  <c r="AF946" i="202"/>
  <c r="AF947" i="202"/>
  <c r="BI947" i="202" s="1"/>
  <c r="AF948" i="202"/>
  <c r="AF949" i="202"/>
  <c r="AF950" i="202"/>
  <c r="BI950" i="202" s="1"/>
  <c r="AF951" i="202"/>
  <c r="AF952" i="202"/>
  <c r="BI952" i="202" s="1"/>
  <c r="AF953" i="202"/>
  <c r="AF954" i="202"/>
  <c r="AF955" i="202"/>
  <c r="BI955" i="202" s="1"/>
  <c r="AF956" i="202"/>
  <c r="AF957" i="202"/>
  <c r="AF958" i="202"/>
  <c r="BI958" i="202" s="1"/>
  <c r="AF959" i="202"/>
  <c r="AF960" i="202"/>
  <c r="BI960" i="202" s="1"/>
  <c r="AF961" i="202"/>
  <c r="AF962" i="202"/>
  <c r="AF963" i="202"/>
  <c r="BI963" i="202" s="1"/>
  <c r="AF964" i="202"/>
  <c r="AF965" i="202"/>
  <c r="AF966" i="202"/>
  <c r="BI966" i="202" s="1"/>
  <c r="AF967" i="202"/>
  <c r="AF968" i="202"/>
  <c r="BI968" i="202" s="1"/>
  <c r="AF969" i="202"/>
  <c r="AF970" i="202"/>
  <c r="AF971" i="202"/>
  <c r="BI971" i="202" s="1"/>
  <c r="AF972" i="202"/>
  <c r="AF973" i="202"/>
  <c r="AF974" i="202"/>
  <c r="BI974" i="202" s="1"/>
  <c r="AF975" i="202"/>
  <c r="AF976" i="202"/>
  <c r="BI976" i="202" s="1"/>
  <c r="AF977" i="202"/>
  <c r="AF978" i="202"/>
  <c r="AF979" i="202"/>
  <c r="BI979" i="202" s="1"/>
  <c r="AF980" i="202"/>
  <c r="AF981" i="202"/>
  <c r="AF982" i="202"/>
  <c r="BI982" i="202" s="1"/>
  <c r="AF983" i="202"/>
  <c r="AF984" i="202"/>
  <c r="BI984" i="202" s="1"/>
  <c r="AF985" i="202"/>
  <c r="AF986" i="202"/>
  <c r="AF987" i="202"/>
  <c r="BI987" i="202" s="1"/>
  <c r="AF988" i="202"/>
  <c r="AF989" i="202"/>
  <c r="AF990" i="202"/>
  <c r="BI990" i="202" s="1"/>
  <c r="AF991" i="202"/>
  <c r="AF992" i="202"/>
  <c r="BI992" i="202" s="1"/>
  <c r="AF993" i="202"/>
  <c r="AF994" i="202"/>
  <c r="AF995" i="202"/>
  <c r="BI995" i="202" s="1"/>
  <c r="AF996" i="202"/>
  <c r="AF997" i="202"/>
  <c r="AF998" i="202"/>
  <c r="BI998" i="202" s="1"/>
  <c r="AF999" i="202"/>
  <c r="AF1000" i="202"/>
  <c r="BI1000" i="202" s="1"/>
  <c r="AF1001" i="202"/>
  <c r="AF1002" i="202"/>
  <c r="AF1003" i="202"/>
  <c r="BI1003" i="202" s="1"/>
  <c r="AF1004" i="202"/>
  <c r="AF1005" i="202"/>
  <c r="AF1006" i="202"/>
  <c r="BI1006" i="202" s="1"/>
  <c r="AF1007" i="202"/>
  <c r="AF1008" i="202"/>
  <c r="BI1008" i="202" s="1"/>
  <c r="AF1009" i="202"/>
  <c r="AF1010" i="202"/>
  <c r="AF1011" i="202"/>
  <c r="BI1011" i="202" s="1"/>
  <c r="AF1012" i="202"/>
  <c r="AF1013" i="202"/>
  <c r="AF1014" i="202"/>
  <c r="BI1014" i="202" s="1"/>
  <c r="AF1015" i="202"/>
  <c r="AF1016" i="202"/>
  <c r="BI1016" i="202" s="1"/>
  <c r="AF1017" i="202"/>
  <c r="AF1018" i="202"/>
  <c r="AF1019" i="202"/>
  <c r="BI1019" i="202" s="1"/>
  <c r="AF1020" i="202"/>
  <c r="AF1021" i="202"/>
  <c r="AF1022" i="202"/>
  <c r="BI1022" i="202" s="1"/>
  <c r="AF1023" i="202"/>
  <c r="AF1024" i="202"/>
  <c r="BI1024" i="202" s="1"/>
  <c r="AF1025" i="202"/>
  <c r="AF1026" i="202"/>
  <c r="AF1027" i="202"/>
  <c r="BI1027" i="202" s="1"/>
  <c r="AF1028" i="202"/>
  <c r="AF1029" i="202"/>
  <c r="AF1030" i="202"/>
  <c r="BI1030" i="202" s="1"/>
  <c r="AF1031" i="202"/>
  <c r="AF1032" i="202"/>
  <c r="BI1032" i="202" s="1"/>
  <c r="AF1033" i="202"/>
  <c r="AF1034" i="202"/>
  <c r="AF1035" i="202"/>
  <c r="BI1035" i="202" s="1"/>
  <c r="AF1036" i="202"/>
  <c r="AF1037" i="202"/>
  <c r="AF1038" i="202"/>
  <c r="BI1038" i="202" s="1"/>
  <c r="AF1039" i="202"/>
  <c r="AF1040" i="202"/>
  <c r="BI1040" i="202" s="1"/>
  <c r="AF1041" i="202"/>
  <c r="AF1042" i="202"/>
  <c r="AF1043" i="202"/>
  <c r="BI1043" i="202" s="1"/>
  <c r="AF1044" i="202"/>
  <c r="AF1045" i="202"/>
  <c r="AF1046" i="202"/>
  <c r="BI1046" i="202" s="1"/>
  <c r="AF1047" i="202"/>
  <c r="AF1048" i="202"/>
  <c r="BI1048" i="202" s="1"/>
  <c r="AF1049" i="202"/>
  <c r="AF1050" i="202"/>
  <c r="AF1051" i="202"/>
  <c r="BI1051" i="202" s="1"/>
  <c r="AF1052" i="202"/>
  <c r="AF1053" i="202"/>
  <c r="AF1054" i="202"/>
  <c r="BI1054" i="202" s="1"/>
  <c r="AF1055" i="202"/>
  <c r="AF1056" i="202"/>
  <c r="BI1056" i="202" s="1"/>
  <c r="AF1057" i="202"/>
  <c r="AF1058" i="202"/>
  <c r="AF1059" i="202"/>
  <c r="BI1059" i="202" s="1"/>
  <c r="AF1060" i="202"/>
  <c r="AF1061" i="202"/>
  <c r="AF1062" i="202"/>
  <c r="BI1062" i="202" s="1"/>
  <c r="AF1063" i="202"/>
  <c r="AF1064" i="202"/>
  <c r="BI1064" i="202" s="1"/>
  <c r="AF1065" i="202"/>
  <c r="AF1066" i="202"/>
  <c r="AF1067" i="202"/>
  <c r="BI1067" i="202" s="1"/>
  <c r="AF1068" i="202"/>
  <c r="AF1069" i="202"/>
  <c r="AF1070" i="202"/>
  <c r="BI1070" i="202" s="1"/>
  <c r="AF1071" i="202"/>
  <c r="AF1072" i="202"/>
  <c r="BI1072" i="202" s="1"/>
  <c r="AF1073" i="202"/>
  <c r="AF1074" i="202"/>
  <c r="AF1075" i="202"/>
  <c r="BI1075" i="202" s="1"/>
  <c r="AF1076" i="202"/>
  <c r="AF1077" i="202"/>
  <c r="AF1078" i="202"/>
  <c r="BI1078" i="202" s="1"/>
  <c r="AF1079" i="202"/>
  <c r="AF1080" i="202"/>
  <c r="BI1080" i="202" s="1"/>
  <c r="AF1081" i="202"/>
  <c r="AF1082" i="202"/>
  <c r="AF1083" i="202"/>
  <c r="BI1083" i="202" s="1"/>
  <c r="AF1084" i="202"/>
  <c r="AF1085" i="202"/>
  <c r="AF1086" i="202"/>
  <c r="BI1086" i="202" s="1"/>
  <c r="AF1087" i="202"/>
  <c r="AF1088" i="202"/>
  <c r="BI1088" i="202" s="1"/>
  <c r="AF1089" i="202"/>
  <c r="AF1090" i="202"/>
  <c r="AF1091" i="202"/>
  <c r="BI1091" i="202" s="1"/>
  <c r="AF1092" i="202"/>
  <c r="AF1093" i="202"/>
  <c r="AF1094" i="202"/>
  <c r="BI1094" i="202" s="1"/>
  <c r="AF1095" i="202"/>
  <c r="AF1096" i="202"/>
  <c r="BI1096" i="202" s="1"/>
  <c r="AF1097" i="202"/>
  <c r="AF1098" i="202"/>
  <c r="AF1099" i="202"/>
  <c r="BI1099" i="202" s="1"/>
  <c r="AF1100" i="202"/>
  <c r="AF1101" i="202"/>
  <c r="AF1102" i="202"/>
  <c r="BI1102" i="202" s="1"/>
  <c r="AF1103" i="202"/>
  <c r="AF1104" i="202"/>
  <c r="BI1104" i="202" s="1"/>
  <c r="AF1105" i="202"/>
  <c r="AF1106" i="202"/>
  <c r="AF1107" i="202"/>
  <c r="BI1107" i="202" s="1"/>
  <c r="AF1108" i="202"/>
  <c r="AF1109" i="202"/>
  <c r="AF1110" i="202"/>
  <c r="BI1110" i="202" s="1"/>
  <c r="AF1111" i="202"/>
  <c r="AF1112" i="202"/>
  <c r="BI1112" i="202" s="1"/>
  <c r="AF1113" i="202"/>
  <c r="AF1114" i="202"/>
  <c r="AF1115" i="202"/>
  <c r="BI1115" i="202" s="1"/>
  <c r="AF1116" i="202"/>
  <c r="AF1117" i="202"/>
  <c r="AF1118" i="202"/>
  <c r="BI1118" i="202" s="1"/>
  <c r="AF1119" i="202"/>
  <c r="AF1120" i="202"/>
  <c r="BI1120" i="202" s="1"/>
  <c r="AF1121" i="202"/>
  <c r="AF1122" i="202"/>
  <c r="AF1123" i="202"/>
  <c r="BI1123" i="202" s="1"/>
  <c r="AF1124" i="202"/>
  <c r="AF1125" i="202"/>
  <c r="AF1126" i="202"/>
  <c r="BI1126" i="202" s="1"/>
  <c r="AF1127" i="202"/>
  <c r="AF1128" i="202"/>
  <c r="BI1128" i="202" s="1"/>
  <c r="AF1129" i="202"/>
  <c r="AF1130" i="202"/>
  <c r="AF1131" i="202"/>
  <c r="BI1131" i="202" s="1"/>
  <c r="AF1132" i="202"/>
  <c r="AF1133" i="202"/>
  <c r="AF1134" i="202"/>
  <c r="BI1134" i="202" s="1"/>
  <c r="AF1135" i="202"/>
  <c r="AF1136" i="202"/>
  <c r="BI1136" i="202" s="1"/>
  <c r="AF1137" i="202"/>
  <c r="AF1138" i="202"/>
  <c r="AF1139" i="202"/>
  <c r="BI1139" i="202" s="1"/>
  <c r="AF1140" i="202"/>
  <c r="AF1141" i="202"/>
  <c r="AF1142" i="202"/>
  <c r="BI1142" i="202" s="1"/>
  <c r="AF1143" i="202"/>
  <c r="AF1144" i="202"/>
  <c r="BI1144" i="202" s="1"/>
  <c r="AF1145" i="202"/>
  <c r="AF1146" i="202"/>
  <c r="AF1147" i="202"/>
  <c r="BI1147" i="202" s="1"/>
  <c r="AF1148" i="202"/>
  <c r="AF1149" i="202"/>
  <c r="AF1150" i="202"/>
  <c r="BI1150" i="202" s="1"/>
  <c r="AF1151" i="202"/>
  <c r="AF1152" i="202"/>
  <c r="BI1152" i="202" s="1"/>
  <c r="AF1153" i="202"/>
  <c r="AF1154" i="202"/>
  <c r="AF1155" i="202"/>
  <c r="BI1155" i="202" s="1"/>
  <c r="AF1156" i="202"/>
  <c r="AF1157" i="202"/>
  <c r="AF1158" i="202"/>
  <c r="BI1158" i="202" s="1"/>
  <c r="AF1159" i="202"/>
  <c r="AF1160" i="202"/>
  <c r="BI1160" i="202" s="1"/>
  <c r="AF1161" i="202"/>
  <c r="AF1162" i="202"/>
  <c r="AF1163" i="202"/>
  <c r="BI1163" i="202" s="1"/>
  <c r="AF1164" i="202"/>
  <c r="AF1165" i="202"/>
  <c r="AF1166" i="202"/>
  <c r="BI1166" i="202" s="1"/>
  <c r="AF1167" i="202"/>
  <c r="AF1168" i="202"/>
  <c r="BI1168" i="202" s="1"/>
  <c r="AF1169" i="202"/>
  <c r="AF1170" i="202"/>
  <c r="AF1171" i="202"/>
  <c r="BI1171" i="202" s="1"/>
  <c r="AF1172" i="202"/>
  <c r="AF1173" i="202"/>
  <c r="AF1174" i="202"/>
  <c r="BI1174" i="202" s="1"/>
  <c r="AF1175" i="202"/>
  <c r="AF1176" i="202"/>
  <c r="BI1176" i="202" s="1"/>
  <c r="AF1177" i="202"/>
  <c r="AF1178" i="202"/>
  <c r="AF1179" i="202"/>
  <c r="BI1179" i="202" s="1"/>
  <c r="AF1180" i="202"/>
  <c r="AF1181" i="202"/>
  <c r="AF1182" i="202"/>
  <c r="BI1182" i="202" s="1"/>
  <c r="AF1183" i="202"/>
  <c r="AF1184" i="202"/>
  <c r="BI1184" i="202" s="1"/>
  <c r="AF1185" i="202"/>
  <c r="AF1186" i="202"/>
  <c r="AF1187" i="202"/>
  <c r="BI1187" i="202" s="1"/>
  <c r="AF1188" i="202"/>
  <c r="AF1189" i="202"/>
  <c r="AF1190" i="202"/>
  <c r="BI1190" i="202" s="1"/>
  <c r="AF1191" i="202"/>
  <c r="AF1192" i="202"/>
  <c r="BI1192" i="202" s="1"/>
  <c r="AF1193" i="202"/>
  <c r="AF1194" i="202"/>
  <c r="AF1195" i="202"/>
  <c r="BI1195" i="202" s="1"/>
  <c r="AF1196" i="202"/>
  <c r="AF1197" i="202"/>
  <c r="AF1198" i="202"/>
  <c r="BI1198" i="202" s="1"/>
  <c r="AF1199" i="202"/>
  <c r="AF1200" i="202"/>
  <c r="BI1200" i="202" s="1"/>
  <c r="AF1201" i="202"/>
  <c r="AF1202" i="202"/>
  <c r="AF1203" i="202"/>
  <c r="BI1203" i="202" s="1"/>
  <c r="AF1204" i="202"/>
  <c r="AF1205" i="202"/>
  <c r="AF1206" i="202"/>
  <c r="BI1206" i="202" s="1"/>
  <c r="AF1207" i="202"/>
  <c r="AF1208" i="202"/>
  <c r="BI1208" i="202" s="1"/>
  <c r="AF1209" i="202"/>
  <c r="AF1210" i="202"/>
  <c r="AF1211" i="202"/>
  <c r="BI1211" i="202" s="1"/>
  <c r="AF1212" i="202"/>
  <c r="AF1213" i="202"/>
  <c r="AF1214" i="202"/>
  <c r="BI1214" i="202" s="1"/>
  <c r="AF1215" i="202"/>
  <c r="AF1216" i="202"/>
  <c r="BI1216" i="202" s="1"/>
  <c r="AF1217" i="202"/>
  <c r="AF1218" i="202"/>
  <c r="AF1219" i="202"/>
  <c r="BI1219" i="202" s="1"/>
  <c r="AF1220" i="202"/>
  <c r="AF1221" i="202"/>
  <c r="AF1222" i="202"/>
  <c r="BI1222" i="202" s="1"/>
  <c r="AF1223" i="202"/>
  <c r="AF1224" i="202"/>
  <c r="BI1224" i="202" s="1"/>
  <c r="AF1225" i="202"/>
  <c r="AF1226" i="202"/>
  <c r="AF1227" i="202"/>
  <c r="BI1227" i="202" s="1"/>
  <c r="AF1228" i="202"/>
  <c r="AF1229" i="202"/>
  <c r="AF1230" i="202"/>
  <c r="BI1230" i="202" s="1"/>
  <c r="AF1231" i="202"/>
  <c r="AF1232" i="202"/>
  <c r="BI1232" i="202" s="1"/>
  <c r="AF1233" i="202"/>
  <c r="AF1234" i="202"/>
  <c r="AF1235" i="202"/>
  <c r="BI1235" i="202" s="1"/>
  <c r="AF1236" i="202"/>
  <c r="AF1237" i="202"/>
  <c r="AF1238" i="202"/>
  <c r="BI1238" i="202" s="1"/>
  <c r="AF1239" i="202"/>
  <c r="AF1240" i="202"/>
  <c r="BI1240" i="202" s="1"/>
  <c r="AF1241" i="202"/>
  <c r="AF1242" i="202"/>
  <c r="AF1243" i="202"/>
  <c r="BI1243" i="202" s="1"/>
  <c r="AF1244" i="202"/>
  <c r="AF1245" i="202"/>
  <c r="AF1246" i="202"/>
  <c r="BI1246" i="202" s="1"/>
  <c r="AF1247" i="202"/>
  <c r="AF1248" i="202"/>
  <c r="BI1248" i="202" s="1"/>
  <c r="AF1249" i="202"/>
  <c r="AF1250" i="202"/>
  <c r="AF1251" i="202"/>
  <c r="BI1251" i="202" s="1"/>
  <c r="AF1252" i="202"/>
  <c r="AF1253" i="202"/>
  <c r="AF1254" i="202"/>
  <c r="BI1254" i="202" s="1"/>
  <c r="AF1255" i="202"/>
  <c r="AF1256" i="202"/>
  <c r="BI1256" i="202" s="1"/>
  <c r="AF1257" i="202"/>
  <c r="AF1258" i="202"/>
  <c r="AF1259" i="202"/>
  <c r="BI1259" i="202" s="1"/>
  <c r="AF1260" i="202"/>
  <c r="AF1261" i="202"/>
  <c r="AF1262" i="202"/>
  <c r="BI1262" i="202" s="1"/>
  <c r="AF1263" i="202"/>
  <c r="AF1264" i="202"/>
  <c r="BI1264" i="202" s="1"/>
  <c r="AF1265" i="202"/>
  <c r="AF1266" i="202"/>
  <c r="AF1267" i="202"/>
  <c r="BI1267" i="202" s="1"/>
  <c r="AF1268" i="202"/>
  <c r="AF1269" i="202"/>
  <c r="AF1270" i="202"/>
  <c r="BI1270" i="202" s="1"/>
  <c r="AF1271" i="202"/>
  <c r="AF1272" i="202"/>
  <c r="BI1272" i="202" s="1"/>
  <c r="AF1273" i="202"/>
  <c r="AF1274" i="202"/>
  <c r="AF1275" i="202"/>
  <c r="BI1275" i="202" s="1"/>
  <c r="AF1276" i="202"/>
  <c r="AF1277" i="202"/>
  <c r="AF1278" i="202"/>
  <c r="BI1278" i="202" s="1"/>
  <c r="AF1279" i="202"/>
  <c r="AF1280" i="202"/>
  <c r="BI1280" i="202" s="1"/>
  <c r="AF1281" i="202"/>
  <c r="AF1282" i="202"/>
  <c r="AF1283" i="202"/>
  <c r="BI1283" i="202" s="1"/>
  <c r="AF1284" i="202"/>
  <c r="AF1285" i="202"/>
  <c r="AF1286" i="202"/>
  <c r="BI1286" i="202" s="1"/>
  <c r="AF1287" i="202"/>
  <c r="AF1288" i="202"/>
  <c r="BI1288" i="202" s="1"/>
  <c r="AF1289" i="202"/>
  <c r="AF1290" i="202"/>
  <c r="AF1291" i="202"/>
  <c r="BI1291" i="202" s="1"/>
  <c r="AF1292" i="202"/>
  <c r="AF1293" i="202"/>
  <c r="AF1294" i="202"/>
  <c r="BI1294" i="202" s="1"/>
  <c r="AF1295" i="202"/>
  <c r="AF1296" i="202"/>
  <c r="BI1296" i="202" s="1"/>
  <c r="AF1297" i="202"/>
  <c r="AF1298" i="202"/>
  <c r="AF1299" i="202"/>
  <c r="BI1299" i="202" s="1"/>
  <c r="AF1300" i="202"/>
  <c r="AF1301" i="202"/>
  <c r="AF1302" i="202"/>
  <c r="BI1302" i="202" s="1"/>
  <c r="AF1303" i="202"/>
  <c r="AF1304" i="202"/>
  <c r="BI1304" i="202" s="1"/>
  <c r="AF1305" i="202"/>
  <c r="AF1306" i="202"/>
  <c r="AF1307" i="202"/>
  <c r="BI1307" i="202" s="1"/>
  <c r="AF1308" i="202"/>
  <c r="AF1309" i="202"/>
  <c r="AF1310" i="202"/>
  <c r="BI1310" i="202" s="1"/>
  <c r="AF1311" i="202"/>
  <c r="AF1312" i="202"/>
  <c r="BI1312" i="202" s="1"/>
  <c r="AF1313" i="202"/>
  <c r="AF1314" i="202"/>
  <c r="AF1315" i="202"/>
  <c r="BI1315" i="202" s="1"/>
  <c r="AF1316" i="202"/>
  <c r="AF1317" i="202"/>
  <c r="AF1318" i="202"/>
  <c r="BI1318" i="202" s="1"/>
  <c r="AF1319" i="202"/>
  <c r="AF1320" i="202"/>
  <c r="BI1320" i="202" s="1"/>
  <c r="AF1321" i="202"/>
  <c r="AF1322" i="202"/>
  <c r="AF1323" i="202"/>
  <c r="BI1323" i="202" s="1"/>
  <c r="AF1324" i="202"/>
  <c r="AF1325" i="202"/>
  <c r="AF1326" i="202"/>
  <c r="BI1326" i="202" s="1"/>
  <c r="AF1327" i="202"/>
  <c r="AF1328" i="202"/>
  <c r="BI1328" i="202" s="1"/>
  <c r="AF1329" i="202"/>
  <c r="AF1330" i="202"/>
  <c r="AF1331" i="202"/>
  <c r="BI1331" i="202" s="1"/>
  <c r="AF1332" i="202"/>
  <c r="AF1333" i="202"/>
  <c r="AF1334" i="202"/>
  <c r="BI1334" i="202" s="1"/>
  <c r="AF1335" i="202"/>
  <c r="AF1336" i="202"/>
  <c r="BI1336" i="202" s="1"/>
  <c r="AF1337" i="202"/>
  <c r="AF1338" i="202"/>
  <c r="AF1339" i="202"/>
  <c r="BI1339" i="202" s="1"/>
  <c r="AF1340" i="202"/>
  <c r="AF1341" i="202"/>
  <c r="AF1342" i="202"/>
  <c r="BI1342" i="202" s="1"/>
  <c r="AF1343" i="202"/>
  <c r="AF1344" i="202"/>
  <c r="BI1344" i="202" s="1"/>
  <c r="AF1345" i="202"/>
  <c r="AF1346" i="202"/>
  <c r="AF1347" i="202"/>
  <c r="BI1347" i="202" s="1"/>
  <c r="AF1348" i="202"/>
  <c r="AF1349" i="202"/>
  <c r="AF1350" i="202"/>
  <c r="BI1350" i="202" s="1"/>
  <c r="AF1351" i="202"/>
  <c r="AF1352" i="202"/>
  <c r="BI1352" i="202" s="1"/>
  <c r="AF1353" i="202"/>
  <c r="AF1354" i="202"/>
  <c r="AF1355" i="202"/>
  <c r="BI1355" i="202" s="1"/>
  <c r="AF1356" i="202"/>
  <c r="AF1357" i="202"/>
  <c r="AF1358" i="202"/>
  <c r="BI1358" i="202" s="1"/>
  <c r="AF1359" i="202"/>
  <c r="AF1360" i="202"/>
  <c r="BI1360" i="202" s="1"/>
  <c r="AF1361" i="202"/>
  <c r="AF1362" i="202"/>
  <c r="AF1363" i="202"/>
  <c r="BI1363" i="202" s="1"/>
  <c r="AF1364" i="202"/>
  <c r="AF1365" i="202"/>
  <c r="AF1366" i="202"/>
  <c r="BI1366" i="202" s="1"/>
  <c r="AF1367" i="202"/>
  <c r="AF1368" i="202"/>
  <c r="BI1368" i="202" s="1"/>
  <c r="AF1369" i="202"/>
  <c r="AF1370" i="202"/>
  <c r="AF1371" i="202"/>
  <c r="BI1371" i="202" s="1"/>
  <c r="AF1372" i="202"/>
  <c r="AF1373" i="202"/>
  <c r="AF1374" i="202"/>
  <c r="BI1374" i="202" s="1"/>
  <c r="AF1375" i="202"/>
  <c r="AF1376" i="202"/>
  <c r="BI1376" i="202" s="1"/>
  <c r="AF1377" i="202"/>
  <c r="AF1378" i="202"/>
  <c r="AF1379" i="202"/>
  <c r="BI1379" i="202" s="1"/>
  <c r="AF1380" i="202"/>
  <c r="AF1381" i="202"/>
  <c r="AF1382" i="202"/>
  <c r="BI1382" i="202" s="1"/>
  <c r="AF1383" i="202"/>
  <c r="AF1384" i="202"/>
  <c r="BI1384" i="202" s="1"/>
  <c r="AF1385" i="202"/>
  <c r="AF1386" i="202"/>
  <c r="AF1387" i="202"/>
  <c r="BI1387" i="202" s="1"/>
  <c r="AF1388" i="202"/>
  <c r="AF1389" i="202"/>
  <c r="AF1390" i="202"/>
  <c r="BI1390" i="202" s="1"/>
  <c r="AF1391" i="202"/>
  <c r="AF1392" i="202"/>
  <c r="BI1392" i="202" s="1"/>
  <c r="AF1393" i="202"/>
  <c r="AF1394" i="202"/>
  <c r="AF1395" i="202"/>
  <c r="BI1395" i="202" s="1"/>
  <c r="AF1396" i="202"/>
  <c r="AF1397" i="202"/>
  <c r="AF1398" i="202"/>
  <c r="BI1398" i="202" s="1"/>
  <c r="AF1399" i="202"/>
  <c r="AF1400" i="202"/>
  <c r="BI1400" i="202" s="1"/>
  <c r="AF1401" i="202"/>
  <c r="AF1402" i="202"/>
  <c r="AF1403" i="202"/>
  <c r="BI1403" i="202" s="1"/>
  <c r="AF1404" i="202"/>
  <c r="AF1405" i="202"/>
  <c r="AF1406" i="202"/>
  <c r="BI1406" i="202" s="1"/>
  <c r="AF1407" i="202"/>
  <c r="AF1408" i="202"/>
  <c r="BI1408" i="202" s="1"/>
  <c r="AF1409" i="202"/>
  <c r="AF1410" i="202"/>
  <c r="AF1411" i="202"/>
  <c r="BI1411" i="202" s="1"/>
  <c r="AF1412" i="202"/>
  <c r="AF1413" i="202"/>
  <c r="AF1414" i="202"/>
  <c r="BI1414" i="202" s="1"/>
  <c r="AF1415" i="202"/>
  <c r="AF1416" i="202"/>
  <c r="BI1416" i="202" s="1"/>
  <c r="AF1417" i="202"/>
  <c r="AF1418" i="202"/>
  <c r="AF1419" i="202"/>
  <c r="BI1419" i="202" s="1"/>
  <c r="AF1420" i="202"/>
  <c r="AF1421" i="202"/>
  <c r="AF1422" i="202"/>
  <c r="BI1422" i="202" s="1"/>
  <c r="AF1423" i="202"/>
  <c r="AF1424" i="202"/>
  <c r="BI1424" i="202" s="1"/>
  <c r="AF1425" i="202"/>
  <c r="AF1426" i="202"/>
  <c r="AF1427" i="202"/>
  <c r="BI1427" i="202" s="1"/>
  <c r="AF1428" i="202"/>
  <c r="AF1429" i="202"/>
  <c r="AF1430" i="202"/>
  <c r="BI1430" i="202" s="1"/>
  <c r="AF1431" i="202"/>
  <c r="AF1432" i="202"/>
  <c r="BI1432" i="202" s="1"/>
  <c r="AF1433" i="202"/>
  <c r="AF1434" i="202"/>
  <c r="AF1435" i="202"/>
  <c r="BI1435" i="202" s="1"/>
  <c r="AF1436" i="202"/>
  <c r="AF1437" i="202"/>
  <c r="AF1438" i="202"/>
  <c r="BI1438" i="202" s="1"/>
  <c r="AF1439" i="202"/>
  <c r="AF1440" i="202"/>
  <c r="BI1440" i="202" s="1"/>
  <c r="AF1441" i="202"/>
  <c r="AF1442" i="202"/>
  <c r="AF1443" i="202"/>
  <c r="BI1443" i="202" s="1"/>
  <c r="AF1444" i="202"/>
  <c r="AF1445" i="202"/>
  <c r="AF1446" i="202"/>
  <c r="BI1446" i="202" s="1"/>
  <c r="AF1447" i="202"/>
  <c r="AF1448" i="202"/>
  <c r="BI1448" i="202" s="1"/>
  <c r="AF1449" i="202"/>
  <c r="AF1450" i="202"/>
  <c r="AF1451" i="202"/>
  <c r="BI1451" i="202" s="1"/>
  <c r="AF1452" i="202"/>
  <c r="AF1453" i="202"/>
  <c r="AF1454" i="202"/>
  <c r="BI1454" i="202" s="1"/>
  <c r="AF1455" i="202"/>
  <c r="AF1456" i="202"/>
  <c r="BI1456" i="202" s="1"/>
  <c r="AF1457" i="202"/>
  <c r="AF1458" i="202"/>
  <c r="AF1459" i="202"/>
  <c r="BI1459" i="202" s="1"/>
  <c r="AF1460" i="202"/>
  <c r="AF1461" i="202"/>
  <c r="AF1462" i="202"/>
  <c r="BI1462" i="202" s="1"/>
  <c r="AF1463" i="202"/>
  <c r="AF1464" i="202"/>
  <c r="BI1464" i="202" s="1"/>
  <c r="AF1465" i="202"/>
  <c r="AF1466" i="202"/>
  <c r="AF1467" i="202"/>
  <c r="BI1467" i="202" s="1"/>
  <c r="AF1468" i="202"/>
  <c r="AF1469" i="202"/>
  <c r="AF1470" i="202"/>
  <c r="BI1470" i="202" s="1"/>
  <c r="AF1471" i="202"/>
  <c r="AF1472" i="202"/>
  <c r="BI1472" i="202" s="1"/>
  <c r="AF1473" i="202"/>
  <c r="AF1474" i="202"/>
  <c r="AF1475" i="202"/>
  <c r="BI1475" i="202" s="1"/>
  <c r="AF1476" i="202"/>
  <c r="AF1477" i="202"/>
  <c r="AF1478" i="202"/>
  <c r="BI1478" i="202" s="1"/>
  <c r="AF1479" i="202"/>
  <c r="AF1480" i="202"/>
  <c r="BI1480" i="202" s="1"/>
  <c r="AF1481" i="202"/>
  <c r="AF1482" i="202"/>
  <c r="AF1483" i="202"/>
  <c r="BI1483" i="202" s="1"/>
  <c r="AF1484" i="202"/>
  <c r="AF1485" i="202"/>
  <c r="AF1486" i="202"/>
  <c r="BI1486" i="202" s="1"/>
  <c r="AF1487" i="202"/>
  <c r="AF1488" i="202"/>
  <c r="BI1488" i="202" s="1"/>
  <c r="AF1489" i="202"/>
  <c r="AF1490" i="202"/>
  <c r="AF1491" i="202"/>
  <c r="BI1491" i="202" s="1"/>
  <c r="AF1492" i="202"/>
  <c r="AF1493" i="202"/>
  <c r="AF1494" i="202"/>
  <c r="BI1494" i="202" s="1"/>
  <c r="AF1495" i="202"/>
  <c r="AF1496" i="202"/>
  <c r="BI1496" i="202" s="1"/>
  <c r="AF1497" i="202"/>
  <c r="AF1498" i="202"/>
  <c r="AF1499" i="202"/>
  <c r="BI1499" i="202" s="1"/>
  <c r="AF1500" i="202"/>
  <c r="AF1501" i="202"/>
  <c r="AF1502" i="202"/>
  <c r="BI1502" i="202" s="1"/>
  <c r="AF1503" i="202"/>
  <c r="AF1504" i="202"/>
  <c r="BI1504" i="202" s="1"/>
  <c r="AF1505" i="202"/>
  <c r="AF1506" i="202"/>
  <c r="AF1507" i="202"/>
  <c r="BI1507" i="202" s="1"/>
  <c r="AF1508" i="202"/>
  <c r="AF1509" i="202"/>
  <c r="AF1510" i="202"/>
  <c r="BI1510" i="202" s="1"/>
  <c r="AF1511" i="202"/>
  <c r="AF1512" i="202"/>
  <c r="BI1512" i="202" s="1"/>
  <c r="AF1513" i="202"/>
  <c r="AF1514" i="202"/>
  <c r="AF1515" i="202"/>
  <c r="BI1515" i="202" s="1"/>
  <c r="AF1516" i="202"/>
  <c r="AF1517" i="202"/>
  <c r="AF1518" i="202"/>
  <c r="BI1518" i="202" s="1"/>
  <c r="AF1519" i="202"/>
  <c r="AF1520" i="202"/>
  <c r="BI1520" i="202" s="1"/>
  <c r="AF1521" i="202"/>
  <c r="AF1522" i="202"/>
  <c r="AF1523" i="202"/>
  <c r="BI1523" i="202" s="1"/>
  <c r="AF1524" i="202"/>
  <c r="AF1525" i="202"/>
  <c r="AF1526" i="202"/>
  <c r="BI1526" i="202" s="1"/>
  <c r="AF1527" i="202"/>
  <c r="AF1528" i="202"/>
  <c r="BI1528" i="202" s="1"/>
  <c r="AF1529" i="202"/>
  <c r="AF1530" i="202"/>
  <c r="AF1531" i="202"/>
  <c r="BI1531" i="202" s="1"/>
  <c r="AF1532" i="202"/>
  <c r="AF1533" i="202"/>
  <c r="AF1534" i="202"/>
  <c r="BI1534" i="202" s="1"/>
  <c r="AF1535" i="202"/>
  <c r="AF1536" i="202"/>
  <c r="BI1536" i="202" s="1"/>
  <c r="AF1537" i="202"/>
  <c r="AF1538" i="202"/>
  <c r="AF1539" i="202"/>
  <c r="BI1539" i="202" s="1"/>
  <c r="AF1540" i="202"/>
  <c r="AF1541" i="202"/>
  <c r="AF1542" i="202"/>
  <c r="BI1542" i="202" s="1"/>
  <c r="AF1543" i="202"/>
  <c r="AF1544" i="202"/>
  <c r="BI1544" i="202" s="1"/>
  <c r="AF1545" i="202"/>
  <c r="AF1546" i="202"/>
  <c r="AF1547" i="202"/>
  <c r="BI1547" i="202" s="1"/>
  <c r="AF1548" i="202"/>
  <c r="AF1549" i="202"/>
  <c r="AF1550" i="202"/>
  <c r="BI1550" i="202" s="1"/>
  <c r="AF1551" i="202"/>
  <c r="AF1552" i="202"/>
  <c r="BI1552" i="202" s="1"/>
  <c r="AF1553" i="202"/>
  <c r="AF1554" i="202"/>
  <c r="AF1555" i="202"/>
  <c r="BI1555" i="202" s="1"/>
  <c r="AF1556" i="202"/>
  <c r="AF1557" i="202"/>
  <c r="AF1558" i="202"/>
  <c r="BI1558" i="202" s="1"/>
  <c r="AF1559" i="202"/>
  <c r="AF1560" i="202"/>
  <c r="BI1560" i="202" s="1"/>
  <c r="AF1561" i="202"/>
  <c r="AF1562" i="202"/>
  <c r="AF1563" i="202"/>
  <c r="BI1563" i="202" s="1"/>
  <c r="AF1564" i="202"/>
  <c r="AF1565" i="202"/>
  <c r="AF1566" i="202"/>
  <c r="BI1566" i="202" s="1"/>
  <c r="AF1567" i="202"/>
  <c r="AF1568" i="202"/>
  <c r="BI1568" i="202" s="1"/>
  <c r="AF1569" i="202"/>
  <c r="AF1570" i="202"/>
  <c r="AF1571" i="202"/>
  <c r="BI1571" i="202" s="1"/>
  <c r="AF1572" i="202"/>
  <c r="AF1573" i="202"/>
  <c r="AF1574" i="202"/>
  <c r="BI1574" i="202" s="1"/>
  <c r="AF1575" i="202"/>
  <c r="AF1576" i="202"/>
  <c r="BI1576" i="202" s="1"/>
  <c r="AF1577" i="202"/>
  <c r="AF1578" i="202"/>
  <c r="AF1579" i="202"/>
  <c r="BI1579" i="202" s="1"/>
  <c r="AF1580" i="202"/>
  <c r="AF1581" i="202"/>
  <c r="AF1582" i="202"/>
  <c r="BI1582" i="202" s="1"/>
  <c r="AF1583" i="202"/>
  <c r="AF1584" i="202"/>
  <c r="BI1584" i="202" s="1"/>
  <c r="AF1585" i="202"/>
  <c r="AF1586" i="202"/>
  <c r="AF1587" i="202"/>
  <c r="BI1587" i="202" s="1"/>
  <c r="AF1588" i="202"/>
  <c r="AF1589" i="202"/>
  <c r="AF1590" i="202"/>
  <c r="BI1590" i="202" s="1"/>
  <c r="AF1591" i="202"/>
  <c r="AF1592" i="202"/>
  <c r="BI1592" i="202" s="1"/>
  <c r="AF1593" i="202"/>
  <c r="AF1594" i="202"/>
  <c r="AF1595" i="202"/>
  <c r="BI1595" i="202" s="1"/>
  <c r="AF1596" i="202"/>
  <c r="AF1597" i="202"/>
  <c r="AF1598" i="202"/>
  <c r="BI1598" i="202" s="1"/>
  <c r="AF1599" i="202"/>
  <c r="AF1600" i="202"/>
  <c r="BI1600" i="202" s="1"/>
  <c r="AF1601" i="202"/>
  <c r="AF1602" i="202"/>
  <c r="AF1603" i="202"/>
  <c r="BI1603" i="202" s="1"/>
  <c r="AF1604" i="202"/>
  <c r="AF1605" i="202"/>
  <c r="AF1606" i="202"/>
  <c r="BI1606" i="202" s="1"/>
  <c r="AF1607" i="202"/>
  <c r="AF1608" i="202"/>
  <c r="BI1608" i="202" s="1"/>
  <c r="AF1609" i="202"/>
  <c r="AF1610" i="202"/>
  <c r="AF1611" i="202"/>
  <c r="BI1611" i="202" s="1"/>
  <c r="AF1612" i="202"/>
  <c r="AF1613" i="202"/>
  <c r="AF1614" i="202"/>
  <c r="BI1614" i="202" s="1"/>
  <c r="AF1615" i="202"/>
  <c r="AF1616" i="202"/>
  <c r="BI1616" i="202" s="1"/>
  <c r="AF1617" i="202"/>
  <c r="AF1618" i="202"/>
  <c r="AF1619" i="202"/>
  <c r="BI1619" i="202" s="1"/>
  <c r="AF1620" i="202"/>
  <c r="AF1621" i="202"/>
  <c r="AF1622" i="202"/>
  <c r="BI1622" i="202" s="1"/>
  <c r="AF1623" i="202"/>
  <c r="AF1624" i="202"/>
  <c r="BI1624" i="202" s="1"/>
  <c r="AF1625" i="202"/>
  <c r="AF1626" i="202"/>
  <c r="AF1627" i="202"/>
  <c r="BI1627" i="202" s="1"/>
  <c r="AF1628" i="202"/>
  <c r="AF1629" i="202"/>
  <c r="AF1630" i="202"/>
  <c r="BI1630" i="202" s="1"/>
  <c r="AF1631" i="202"/>
  <c r="AF1632" i="202"/>
  <c r="BI1632" i="202" s="1"/>
  <c r="AF1633" i="202"/>
  <c r="AF1634" i="202"/>
  <c r="AF1635" i="202"/>
  <c r="BI1635" i="202" s="1"/>
  <c r="AF1636" i="202"/>
  <c r="AF1637" i="202"/>
  <c r="AF1638" i="202"/>
  <c r="BI1638" i="202" s="1"/>
  <c r="AF1639" i="202"/>
  <c r="AF1640" i="202"/>
  <c r="BI1640" i="202" s="1"/>
  <c r="AF1641" i="202"/>
  <c r="AF1642" i="202"/>
  <c r="AF1643" i="202"/>
  <c r="BI1643" i="202" s="1"/>
  <c r="AF1644" i="202"/>
  <c r="AF1645" i="202"/>
  <c r="AF1646" i="202"/>
  <c r="BI1646" i="202" s="1"/>
  <c r="AF1647" i="202"/>
  <c r="AF1648" i="202"/>
  <c r="BI1648" i="202" s="1"/>
  <c r="AF1649" i="202"/>
  <c r="AF1650" i="202"/>
  <c r="AF1651" i="202"/>
  <c r="BI1651" i="202" s="1"/>
  <c r="AF1652" i="202"/>
  <c r="AF1653" i="202"/>
  <c r="AF1654" i="202"/>
  <c r="BI1654" i="202" s="1"/>
  <c r="AF1655" i="202"/>
  <c r="AF1656" i="202"/>
  <c r="BI1656" i="202" s="1"/>
  <c r="AF1657" i="202"/>
  <c r="AF1658" i="202"/>
  <c r="AF1659" i="202"/>
  <c r="BI1659" i="202" s="1"/>
  <c r="AF1660" i="202"/>
  <c r="AF1661" i="202"/>
  <c r="AF1662" i="202"/>
  <c r="BI1662" i="202" s="1"/>
  <c r="AF1663" i="202"/>
  <c r="AF1664" i="202"/>
  <c r="BI1664" i="202" s="1"/>
  <c r="AF1665" i="202"/>
  <c r="AF1666" i="202"/>
  <c r="AF1667" i="202"/>
  <c r="BI1667" i="202" s="1"/>
  <c r="AF1668" i="202"/>
  <c r="AF1669" i="202"/>
  <c r="AF1670" i="202"/>
  <c r="BI1670" i="202" s="1"/>
  <c r="AF1671" i="202"/>
  <c r="AF1672" i="202"/>
  <c r="BI1672" i="202" s="1"/>
  <c r="AF1673" i="202"/>
  <c r="AF1674" i="202"/>
  <c r="AF1675" i="202"/>
  <c r="BI1675" i="202" s="1"/>
  <c r="AF1676" i="202"/>
  <c r="AF1677" i="202"/>
  <c r="AF1678" i="202"/>
  <c r="BI1678" i="202" s="1"/>
  <c r="AF1679" i="202"/>
  <c r="AF1680" i="202"/>
  <c r="BI1680" i="202" s="1"/>
  <c r="AF1681" i="202"/>
  <c r="AF1682" i="202"/>
  <c r="AF1683" i="202"/>
  <c r="BI1683" i="202" s="1"/>
  <c r="AF1684" i="202"/>
  <c r="AF1685" i="202"/>
  <c r="AF1686" i="202"/>
  <c r="BI1686" i="202" s="1"/>
  <c r="AF1687" i="202"/>
  <c r="AF1688" i="202"/>
  <c r="BI1688" i="202" s="1"/>
  <c r="AF1689" i="202"/>
  <c r="AF1690" i="202"/>
  <c r="AF1691" i="202"/>
  <c r="BI1691" i="202" s="1"/>
  <c r="AF1692" i="202"/>
  <c r="AF1693" i="202"/>
  <c r="AF1694" i="202"/>
  <c r="BI1694" i="202" s="1"/>
  <c r="AF1695" i="202"/>
  <c r="AF1696" i="202"/>
  <c r="BI1696" i="202" s="1"/>
  <c r="AF1697" i="202"/>
  <c r="AF1698" i="202"/>
  <c r="AF1699" i="202"/>
  <c r="BI1699" i="202" s="1"/>
  <c r="AF1700" i="202"/>
  <c r="AF1701" i="202"/>
  <c r="AF1702" i="202"/>
  <c r="BI1702" i="202" s="1"/>
  <c r="AF1703" i="202"/>
  <c r="AF1704" i="202"/>
  <c r="BI1704" i="202" s="1"/>
  <c r="AF1705" i="202"/>
  <c r="AF1706" i="202"/>
  <c r="AF1707" i="202"/>
  <c r="BI1707" i="202" s="1"/>
  <c r="AF1708" i="202"/>
  <c r="AF1709" i="202"/>
  <c r="AF1710" i="202"/>
  <c r="BI1710" i="202" s="1"/>
  <c r="AF1711" i="202"/>
  <c r="AF1712" i="202"/>
  <c r="BI1712" i="202" s="1"/>
  <c r="AF1713" i="202"/>
  <c r="AF1714" i="202"/>
  <c r="AF1715" i="202"/>
  <c r="BI1715" i="202" s="1"/>
  <c r="AF1716" i="202"/>
  <c r="AF1717" i="202"/>
  <c r="AF1718" i="202"/>
  <c r="BI1718" i="202" s="1"/>
  <c r="AF1719" i="202"/>
  <c r="AF1720" i="202"/>
  <c r="BI1720" i="202" s="1"/>
  <c r="AF1721" i="202"/>
  <c r="AF1722" i="202"/>
  <c r="AF1723" i="202"/>
  <c r="BI1723" i="202" s="1"/>
  <c r="AF1724" i="202"/>
  <c r="AF1725" i="202"/>
  <c r="AF1726" i="202"/>
  <c r="BI1726" i="202" s="1"/>
  <c r="AF1727" i="202"/>
  <c r="AF1728" i="202"/>
  <c r="BI1728" i="202" s="1"/>
  <c r="AF1729" i="202"/>
  <c r="AF1730" i="202"/>
  <c r="AF1731" i="202"/>
  <c r="BI1731" i="202" s="1"/>
  <c r="AF1732" i="202"/>
  <c r="AF1733" i="202"/>
  <c r="AF1734" i="202"/>
  <c r="BI1734" i="202" s="1"/>
  <c r="AF1735" i="202"/>
  <c r="AF1736" i="202"/>
  <c r="BI1736" i="202" s="1"/>
  <c r="AF1737" i="202"/>
  <c r="AF1738" i="202"/>
  <c r="AF1739" i="202"/>
  <c r="BI1739" i="202" s="1"/>
  <c r="AF1740" i="202"/>
  <c r="AF1741" i="202"/>
  <c r="AF1742" i="202"/>
  <c r="BI1742" i="202" s="1"/>
  <c r="AF1743" i="202"/>
  <c r="AF1744" i="202"/>
  <c r="BI1744" i="202" s="1"/>
  <c r="AF1745" i="202"/>
  <c r="AF1746" i="202"/>
  <c r="AF1747" i="202"/>
  <c r="BI1747" i="202" s="1"/>
  <c r="AF1748" i="202"/>
  <c r="AF1749" i="202"/>
  <c r="AF1750" i="202"/>
  <c r="BI1750" i="202" s="1"/>
  <c r="AF1751" i="202"/>
  <c r="AF1752" i="202"/>
  <c r="BI1752" i="202" s="1"/>
  <c r="AF1753" i="202"/>
  <c r="AF1754" i="202"/>
  <c r="AF1755" i="202"/>
  <c r="BI1755" i="202" s="1"/>
  <c r="AF1756" i="202"/>
  <c r="AF1757" i="202"/>
  <c r="AF1758" i="202"/>
  <c r="BI1758" i="202" s="1"/>
  <c r="AF1759" i="202"/>
  <c r="AF1760" i="202"/>
  <c r="BI1760" i="202" s="1"/>
  <c r="AF1761" i="202"/>
  <c r="AF1762" i="202"/>
  <c r="AF1763" i="202"/>
  <c r="BI1763" i="202" s="1"/>
  <c r="AF1764" i="202"/>
  <c r="AF1765" i="202"/>
  <c r="AF1766" i="202"/>
  <c r="BI1766" i="202" s="1"/>
  <c r="AF1767" i="202"/>
  <c r="AF1768" i="202"/>
  <c r="BI1768" i="202" s="1"/>
  <c r="AF1769" i="202"/>
  <c r="AF1770" i="202"/>
  <c r="AF1771" i="202"/>
  <c r="BI1771" i="202" s="1"/>
  <c r="AF1772" i="202"/>
  <c r="AF1773" i="202"/>
  <c r="AF1774" i="202"/>
  <c r="BI1774" i="202" s="1"/>
  <c r="AF1775" i="202"/>
  <c r="AF1776" i="202"/>
  <c r="BI1776" i="202" s="1"/>
  <c r="AF1777" i="202"/>
  <c r="AF1778" i="202"/>
  <c r="AF1779" i="202"/>
  <c r="BI1779" i="202" s="1"/>
  <c r="AF1780" i="202"/>
  <c r="AF1781" i="202"/>
  <c r="AF1782" i="202"/>
  <c r="BI1782" i="202" s="1"/>
  <c r="AF1783" i="202"/>
  <c r="AF1784" i="202"/>
  <c r="BI1784" i="202" s="1"/>
  <c r="AF1785" i="202"/>
  <c r="AF1786" i="202"/>
  <c r="AF1787" i="202"/>
  <c r="BI1787" i="202" s="1"/>
  <c r="AF1788" i="202"/>
  <c r="AF1789" i="202"/>
  <c r="AF1790" i="202"/>
  <c r="BI1790" i="202" s="1"/>
  <c r="AF1791" i="202"/>
  <c r="AF1792" i="202"/>
  <c r="BI1792" i="202" s="1"/>
  <c r="AF1793" i="202"/>
  <c r="AF1794" i="202"/>
  <c r="AF1795" i="202"/>
  <c r="BI1795" i="202" s="1"/>
  <c r="AF1796" i="202"/>
  <c r="AF1797" i="202"/>
  <c r="AF1798" i="202"/>
  <c r="BI1798" i="202" s="1"/>
  <c r="AF1799" i="202"/>
  <c r="AF1800" i="202"/>
  <c r="BI1800" i="202" s="1"/>
  <c r="AF1801" i="202"/>
  <c r="AF1802" i="202"/>
  <c r="AF1803" i="202"/>
  <c r="BI1803" i="202" s="1"/>
  <c r="AF1804" i="202"/>
  <c r="AF1805" i="202"/>
  <c r="AF1806" i="202"/>
  <c r="BI1806" i="202" s="1"/>
  <c r="AF1807" i="202"/>
  <c r="AF1808" i="202"/>
  <c r="BI1808" i="202" s="1"/>
  <c r="AF1809" i="202"/>
  <c r="AF1810" i="202"/>
  <c r="AF1811" i="202"/>
  <c r="BI1811" i="202" s="1"/>
  <c r="AF1812" i="202"/>
  <c r="AF1813" i="202"/>
  <c r="AF1814" i="202"/>
  <c r="BI1814" i="202" s="1"/>
  <c r="AF1815" i="202"/>
  <c r="AF1816" i="202"/>
  <c r="BI1816" i="202" s="1"/>
  <c r="AF1817" i="202"/>
  <c r="AF1818" i="202"/>
  <c r="AF1819" i="202"/>
  <c r="BI1819" i="202" s="1"/>
  <c r="AF1820" i="202"/>
  <c r="AF1821" i="202"/>
  <c r="AF1822" i="202"/>
  <c r="BI1822" i="202" s="1"/>
  <c r="AF1823" i="202"/>
  <c r="AF1824" i="202"/>
  <c r="BI1824" i="202" s="1"/>
  <c r="AF1825" i="202"/>
  <c r="AF1826" i="202"/>
  <c r="AF1827" i="202"/>
  <c r="BI1827" i="202" s="1"/>
  <c r="AF1828" i="202"/>
  <c r="AF1829" i="202"/>
  <c r="AF1830" i="202"/>
  <c r="BI1830" i="202" s="1"/>
  <c r="AF1831" i="202"/>
  <c r="AF1832" i="202"/>
  <c r="BI1832" i="202" s="1"/>
  <c r="AF1833" i="202"/>
  <c r="AF1834" i="202"/>
  <c r="AF1835" i="202"/>
  <c r="BI1835" i="202" s="1"/>
  <c r="AF1836" i="202"/>
  <c r="AF1837" i="202"/>
  <c r="AF1838" i="202"/>
  <c r="BI1838" i="202" s="1"/>
  <c r="AF1839" i="202"/>
  <c r="AF1840" i="202"/>
  <c r="BI1840" i="202" s="1"/>
  <c r="AF1841" i="202"/>
  <c r="AF1842" i="202"/>
  <c r="AF1843" i="202"/>
  <c r="BI1843" i="202" s="1"/>
  <c r="AF1844" i="202"/>
  <c r="AF1845" i="202"/>
  <c r="AF1846" i="202"/>
  <c r="BI1846" i="202" s="1"/>
  <c r="AF1847" i="202"/>
  <c r="AF1848" i="202"/>
  <c r="BI1848" i="202" s="1"/>
  <c r="AF1849" i="202"/>
  <c r="AF1850" i="202"/>
  <c r="AF1851" i="202"/>
  <c r="BI1851" i="202" s="1"/>
  <c r="AF1852" i="202"/>
  <c r="AF1853" i="202"/>
  <c r="AF1854" i="202"/>
  <c r="BI1854" i="202" s="1"/>
  <c r="AF1855" i="202"/>
  <c r="AF1856" i="202"/>
  <c r="BI1856" i="202" s="1"/>
  <c r="AF1857" i="202"/>
  <c r="AF1858" i="202"/>
  <c r="AF1859" i="202"/>
  <c r="BI1859" i="202" s="1"/>
  <c r="AF1860" i="202"/>
  <c r="AF1861" i="202"/>
  <c r="AF1862" i="202"/>
  <c r="BI1862" i="202" s="1"/>
  <c r="AF1863" i="202"/>
  <c r="AF1864" i="202"/>
  <c r="BI1864" i="202" s="1"/>
  <c r="AF1865" i="202"/>
  <c r="AF1866" i="202"/>
  <c r="AF1867" i="202"/>
  <c r="BI1867" i="202" s="1"/>
  <c r="AF1868" i="202"/>
  <c r="AF1869" i="202"/>
  <c r="AF1870" i="202"/>
  <c r="BI1870" i="202" s="1"/>
  <c r="AF1871" i="202"/>
  <c r="AF1872" i="202"/>
  <c r="BI1872" i="202" s="1"/>
  <c r="AF1873" i="202"/>
  <c r="AF1874" i="202"/>
  <c r="AF1875" i="202"/>
  <c r="BI1875" i="202" s="1"/>
  <c r="AF1876" i="202"/>
  <c r="AF1877" i="202"/>
  <c r="AF1878" i="202"/>
  <c r="BI1878" i="202" s="1"/>
  <c r="AF1879" i="202"/>
  <c r="AF1880" i="202"/>
  <c r="BI1880" i="202" s="1"/>
  <c r="AF1881" i="202"/>
  <c r="AF1882" i="202"/>
  <c r="AF1883" i="202"/>
  <c r="BI1883" i="202" s="1"/>
  <c r="AF1884" i="202"/>
  <c r="AF1885" i="202"/>
  <c r="AF1886" i="202"/>
  <c r="BI1886" i="202" s="1"/>
  <c r="AF1887" i="202"/>
  <c r="AF1888" i="202"/>
  <c r="BI1888" i="202" s="1"/>
  <c r="AF1889" i="202"/>
  <c r="AF1890" i="202"/>
  <c r="AF1891" i="202"/>
  <c r="BI1891" i="202" s="1"/>
  <c r="AF1892" i="202"/>
  <c r="AF1893" i="202"/>
  <c r="AF1894" i="202"/>
  <c r="BI1894" i="202" s="1"/>
  <c r="AF1895" i="202"/>
  <c r="AF1896" i="202"/>
  <c r="BI1896" i="202" s="1"/>
  <c r="AF1897" i="202"/>
  <c r="AF1898" i="202"/>
  <c r="AF1899" i="202"/>
  <c r="BI1899" i="202" s="1"/>
  <c r="AF1900" i="202"/>
  <c r="AF1901" i="202"/>
  <c r="AF1902" i="202"/>
  <c r="BI1902" i="202" s="1"/>
  <c r="AF1903" i="202"/>
  <c r="AF1904" i="202"/>
  <c r="BI1904" i="202" s="1"/>
  <c r="AF1905" i="202"/>
  <c r="AF1906" i="202"/>
  <c r="AF1907" i="202"/>
  <c r="BI1907" i="202" s="1"/>
  <c r="AF1908" i="202"/>
  <c r="AF1909" i="202"/>
  <c r="AF1910" i="202"/>
  <c r="BI1910" i="202" s="1"/>
  <c r="AF1911" i="202"/>
  <c r="AF1912" i="202"/>
  <c r="BI1912" i="202" s="1"/>
  <c r="AF1913" i="202"/>
  <c r="AF1914" i="202"/>
  <c r="AF1915" i="202"/>
  <c r="BI1915" i="202" s="1"/>
  <c r="AF1916" i="202"/>
  <c r="AF1917" i="202"/>
  <c r="AF1918" i="202"/>
  <c r="BI1918" i="202" s="1"/>
  <c r="AF1919" i="202"/>
  <c r="AF1920" i="202"/>
  <c r="BI1920" i="202" s="1"/>
  <c r="AF1921" i="202"/>
  <c r="AF1922" i="202"/>
  <c r="AF1923" i="202"/>
  <c r="BI1923" i="202" s="1"/>
  <c r="AF1924" i="202"/>
  <c r="AF1925" i="202"/>
  <c r="AF1926" i="202"/>
  <c r="BI1926" i="202" s="1"/>
  <c r="AF1927" i="202"/>
  <c r="AF1928" i="202"/>
  <c r="BI1928" i="202" s="1"/>
  <c r="AF1929" i="202"/>
  <c r="AF1930" i="202"/>
  <c r="AF1931" i="202"/>
  <c r="BI1931" i="202" s="1"/>
  <c r="AF1932" i="202"/>
  <c r="AF1933" i="202"/>
  <c r="AF1934" i="202"/>
  <c r="BI1934" i="202" s="1"/>
  <c r="AF1935" i="202"/>
  <c r="AF1936" i="202"/>
  <c r="BI1936" i="202" s="1"/>
  <c r="AF1937" i="202"/>
  <c r="AF1938" i="202"/>
  <c r="AF1939" i="202"/>
  <c r="BI1939" i="202" s="1"/>
  <c r="AF1940" i="202"/>
  <c r="AF1941" i="202"/>
  <c r="AF1942" i="202"/>
  <c r="BI1942" i="202" s="1"/>
  <c r="AF1943" i="202"/>
  <c r="AF1944" i="202"/>
  <c r="BI1944" i="202" s="1"/>
  <c r="AF1945" i="202"/>
  <c r="AF1946" i="202"/>
  <c r="AF1947" i="202"/>
  <c r="BI1947" i="202" s="1"/>
  <c r="AF1948" i="202"/>
  <c r="AF1949" i="202"/>
  <c r="AF1950" i="202"/>
  <c r="BI1950" i="202" s="1"/>
  <c r="AF1951" i="202"/>
  <c r="AF1952" i="202"/>
  <c r="BI1952" i="202" s="1"/>
  <c r="AF1953" i="202"/>
  <c r="AF1954" i="202"/>
  <c r="AF1955" i="202"/>
  <c r="BI1955" i="202" s="1"/>
  <c r="AF1956" i="202"/>
  <c r="AF1957" i="202"/>
  <c r="AF1958" i="202"/>
  <c r="BI1958" i="202" s="1"/>
  <c r="AF1959" i="202"/>
  <c r="AF1960" i="202"/>
  <c r="BI1960" i="202" s="1"/>
  <c r="AF1961" i="202"/>
  <c r="AF1962" i="202"/>
  <c r="AF1963" i="202"/>
  <c r="BI1963" i="202" s="1"/>
  <c r="AF1964" i="202"/>
  <c r="AF1965" i="202"/>
  <c r="AF1966" i="202"/>
  <c r="BI1966" i="202" s="1"/>
  <c r="AF1967" i="202"/>
  <c r="AF1968" i="202"/>
  <c r="BI1968" i="202" s="1"/>
  <c r="AF1969" i="202"/>
  <c r="AF1970" i="202"/>
  <c r="AF1971" i="202"/>
  <c r="BI1971" i="202" s="1"/>
  <c r="AF1972" i="202"/>
  <c r="AF1973" i="202"/>
  <c r="AF1974" i="202"/>
  <c r="BI1974" i="202" s="1"/>
  <c r="AF1975" i="202"/>
  <c r="AF1976" i="202"/>
  <c r="BI1976" i="202" s="1"/>
  <c r="AF1977" i="202"/>
  <c r="AF1978" i="202"/>
  <c r="AF1979" i="202"/>
  <c r="BI1979" i="202" s="1"/>
  <c r="AF1980" i="202"/>
  <c r="AF1981" i="202"/>
  <c r="AF1982" i="202"/>
  <c r="BI1982" i="202" s="1"/>
  <c r="AF1983" i="202"/>
  <c r="AF1984" i="202"/>
  <c r="BI1984" i="202" s="1"/>
  <c r="AF1985" i="202"/>
  <c r="AF1986" i="202"/>
  <c r="AF1987" i="202"/>
  <c r="BI1987" i="202" s="1"/>
  <c r="AF1988" i="202"/>
  <c r="AF1989" i="202"/>
  <c r="AF1990" i="202"/>
  <c r="BI1990" i="202" s="1"/>
  <c r="AF1991" i="202"/>
  <c r="AF1992" i="202"/>
  <c r="BI1992" i="202" s="1"/>
  <c r="AF1993" i="202"/>
  <c r="AF1994" i="202"/>
  <c r="AF1995" i="202"/>
  <c r="BI1995" i="202" s="1"/>
  <c r="AF1996" i="202"/>
  <c r="AF1997" i="202"/>
  <c r="AF1998" i="202"/>
  <c r="BI1998" i="202" s="1"/>
  <c r="AF1999" i="202"/>
  <c r="AF2000" i="202"/>
  <c r="BI2000" i="202" s="1"/>
  <c r="AF2001" i="202"/>
  <c r="AF2002" i="202"/>
  <c r="AF2003" i="202"/>
  <c r="BI2003" i="202" s="1"/>
  <c r="AF2004" i="202"/>
  <c r="AF2005" i="202"/>
  <c r="AF2006" i="202"/>
  <c r="BI2006" i="202" s="1"/>
  <c r="AF2007" i="202"/>
  <c r="AF2008" i="202"/>
  <c r="BI2008" i="202" s="1"/>
  <c r="AF2009" i="202"/>
  <c r="AF2010" i="202"/>
  <c r="AF2011" i="202"/>
  <c r="BI2011" i="202" s="1"/>
  <c r="AF2012" i="202"/>
  <c r="AF2013" i="202"/>
  <c r="AF2014" i="202"/>
  <c r="BI2014" i="202" s="1"/>
  <c r="AF2015" i="202"/>
  <c r="AF2016" i="202"/>
  <c r="BI2016" i="202" s="1"/>
  <c r="AF2017" i="202"/>
  <c r="AF2018" i="202"/>
  <c r="AF2019" i="202"/>
  <c r="BI2019" i="202" s="1"/>
  <c r="AF2020" i="202"/>
  <c r="AF2021" i="202"/>
  <c r="AF2022" i="202"/>
  <c r="BI2022" i="202" s="1"/>
  <c r="AF2023" i="202"/>
  <c r="AF2024" i="202"/>
  <c r="BI2024" i="202" s="1"/>
  <c r="AF2025" i="202"/>
  <c r="AF2026" i="202"/>
  <c r="AF2027" i="202"/>
  <c r="BI2027" i="202" s="1"/>
  <c r="AF2028" i="202"/>
  <c r="AF2029" i="202"/>
  <c r="AF2030" i="202"/>
  <c r="BI2030" i="202" s="1"/>
  <c r="AF2031" i="202"/>
  <c r="AF2032" i="202"/>
  <c r="BI2032" i="202" s="1"/>
  <c r="AF2033" i="202"/>
  <c r="AF2034" i="202"/>
  <c r="AF2035" i="202"/>
  <c r="BI2035" i="202" s="1"/>
  <c r="AF2036" i="202"/>
  <c r="AF2037" i="202"/>
  <c r="AF2038" i="202"/>
  <c r="BI2038" i="202" s="1"/>
  <c r="AF2039" i="202"/>
  <c r="AF2040" i="202"/>
  <c r="BI2040" i="202" s="1"/>
  <c r="AF2041" i="202"/>
  <c r="AF2042" i="202"/>
  <c r="AF2043" i="202"/>
  <c r="BI2043" i="202" s="1"/>
  <c r="AF2044" i="202"/>
  <c r="AF2045" i="202"/>
  <c r="AF2046" i="202"/>
  <c r="BI2046" i="202" s="1"/>
  <c r="AF2047" i="202"/>
  <c r="AF2048" i="202"/>
  <c r="BI2048" i="202" s="1"/>
  <c r="R2" i="202"/>
  <c r="R3" i="202"/>
  <c r="R4" i="202"/>
  <c r="BH4" i="202" s="1"/>
  <c r="R5" i="202"/>
  <c r="R6" i="202"/>
  <c r="R7" i="202"/>
  <c r="BH7" i="202" s="1"/>
  <c r="R8" i="202"/>
  <c r="R9" i="202"/>
  <c r="BH9" i="202" s="1"/>
  <c r="R10" i="202"/>
  <c r="R11" i="202"/>
  <c r="R12" i="202"/>
  <c r="BH12" i="202" s="1"/>
  <c r="R13" i="202"/>
  <c r="R14" i="202"/>
  <c r="R15" i="202"/>
  <c r="BH15" i="202" s="1"/>
  <c r="R16" i="202"/>
  <c r="R17" i="202"/>
  <c r="BH17" i="202" s="1"/>
  <c r="R18" i="202"/>
  <c r="R19" i="202"/>
  <c r="R20" i="202"/>
  <c r="BH20" i="202" s="1"/>
  <c r="R21" i="202"/>
  <c r="R22" i="202"/>
  <c r="R23" i="202"/>
  <c r="BH23" i="202" s="1"/>
  <c r="R24" i="202"/>
  <c r="R25" i="202"/>
  <c r="BH25" i="202" s="1"/>
  <c r="R26" i="202"/>
  <c r="R27" i="202"/>
  <c r="R28" i="202"/>
  <c r="BH28" i="202" s="1"/>
  <c r="R29" i="202"/>
  <c r="R30" i="202"/>
  <c r="R31" i="202"/>
  <c r="BH31" i="202" s="1"/>
  <c r="R32" i="202"/>
  <c r="R33" i="202"/>
  <c r="BH33" i="202" s="1"/>
  <c r="R34" i="202"/>
  <c r="R35" i="202"/>
  <c r="R36" i="202"/>
  <c r="BH36" i="202" s="1"/>
  <c r="R37" i="202"/>
  <c r="R38" i="202"/>
  <c r="R39" i="202"/>
  <c r="BH39" i="202" s="1"/>
  <c r="R40" i="202"/>
  <c r="R41" i="202"/>
  <c r="BH41" i="202" s="1"/>
  <c r="R42" i="202"/>
  <c r="R43" i="202"/>
  <c r="R44" i="202"/>
  <c r="BH44" i="202" s="1"/>
  <c r="R45" i="202"/>
  <c r="R46" i="202"/>
  <c r="R47" i="202"/>
  <c r="BH47" i="202" s="1"/>
  <c r="R48" i="202"/>
  <c r="R49" i="202"/>
  <c r="BH49" i="202" s="1"/>
  <c r="R50" i="202"/>
  <c r="R51" i="202"/>
  <c r="R52" i="202"/>
  <c r="BH52" i="202" s="1"/>
  <c r="R53" i="202"/>
  <c r="R54" i="202"/>
  <c r="R55" i="202"/>
  <c r="BH55" i="202" s="1"/>
  <c r="R56" i="202"/>
  <c r="R57" i="202"/>
  <c r="BH57" i="202" s="1"/>
  <c r="R58" i="202"/>
  <c r="R59" i="202"/>
  <c r="R60" i="202"/>
  <c r="BH60" i="202" s="1"/>
  <c r="R61" i="202"/>
  <c r="R62" i="202"/>
  <c r="R63" i="202"/>
  <c r="BH63" i="202" s="1"/>
  <c r="R64" i="202"/>
  <c r="R65" i="202"/>
  <c r="BH65" i="202" s="1"/>
  <c r="R66" i="202"/>
  <c r="R67" i="202"/>
  <c r="R68" i="202"/>
  <c r="BH68" i="202" s="1"/>
  <c r="R69" i="202"/>
  <c r="R70" i="202"/>
  <c r="R71" i="202"/>
  <c r="BH71" i="202" s="1"/>
  <c r="R72" i="202"/>
  <c r="R73" i="202"/>
  <c r="BH73" i="202" s="1"/>
  <c r="R74" i="202"/>
  <c r="R75" i="202"/>
  <c r="R76" i="202"/>
  <c r="BH76" i="202" s="1"/>
  <c r="R77" i="202"/>
  <c r="R78" i="202"/>
  <c r="R79" i="202"/>
  <c r="BH79" i="202" s="1"/>
  <c r="R80" i="202"/>
  <c r="R81" i="202"/>
  <c r="BH81" i="202" s="1"/>
  <c r="R82" i="202"/>
  <c r="R83" i="202"/>
  <c r="R84" i="202"/>
  <c r="BH84" i="202" s="1"/>
  <c r="R85" i="202"/>
  <c r="R86" i="202"/>
  <c r="R87" i="202"/>
  <c r="BH87" i="202" s="1"/>
  <c r="R88" i="202"/>
  <c r="R89" i="202"/>
  <c r="BH89" i="202" s="1"/>
  <c r="R90" i="202"/>
  <c r="R91" i="202"/>
  <c r="R92" i="202"/>
  <c r="BH92" i="202" s="1"/>
  <c r="R93" i="202"/>
  <c r="R94" i="202"/>
  <c r="R95" i="202"/>
  <c r="BH95" i="202" s="1"/>
  <c r="R96" i="202"/>
  <c r="R97" i="202"/>
  <c r="BH97" i="202" s="1"/>
  <c r="R98" i="202"/>
  <c r="R99" i="202"/>
  <c r="R100" i="202"/>
  <c r="BH100" i="202" s="1"/>
  <c r="R101" i="202"/>
  <c r="R102" i="202"/>
  <c r="R103" i="202"/>
  <c r="BH103" i="202" s="1"/>
  <c r="R104" i="202"/>
  <c r="R105" i="202"/>
  <c r="BH105" i="202" s="1"/>
  <c r="R106" i="202"/>
  <c r="R107" i="202"/>
  <c r="R108" i="202"/>
  <c r="BH108" i="202" s="1"/>
  <c r="R109" i="202"/>
  <c r="R110" i="202"/>
  <c r="R111" i="202"/>
  <c r="BH111" i="202" s="1"/>
  <c r="R112" i="202"/>
  <c r="R113" i="202"/>
  <c r="BH113" i="202" s="1"/>
  <c r="R114" i="202"/>
  <c r="R115" i="202"/>
  <c r="R116" i="202"/>
  <c r="BH116" i="202" s="1"/>
  <c r="R117" i="202"/>
  <c r="R118" i="202"/>
  <c r="R119" i="202"/>
  <c r="BH119" i="202" s="1"/>
  <c r="R120" i="202"/>
  <c r="R121" i="202"/>
  <c r="BH121" i="202" s="1"/>
  <c r="R122" i="202"/>
  <c r="R123" i="202"/>
  <c r="R124" i="202"/>
  <c r="BH124" i="202" s="1"/>
  <c r="R125" i="202"/>
  <c r="R126" i="202"/>
  <c r="R127" i="202"/>
  <c r="BH127" i="202" s="1"/>
  <c r="R128" i="202"/>
  <c r="R129" i="202"/>
  <c r="BH129" i="202" s="1"/>
  <c r="R130" i="202"/>
  <c r="R131" i="202"/>
  <c r="R132" i="202"/>
  <c r="BH132" i="202" s="1"/>
  <c r="R133" i="202"/>
  <c r="R134" i="202"/>
  <c r="R135" i="202"/>
  <c r="BH135" i="202" s="1"/>
  <c r="R136" i="202"/>
  <c r="R137" i="202"/>
  <c r="BH137" i="202" s="1"/>
  <c r="R138" i="202"/>
  <c r="R139" i="202"/>
  <c r="R140" i="202"/>
  <c r="BH140" i="202" s="1"/>
  <c r="R141" i="202"/>
  <c r="R142" i="202"/>
  <c r="R143" i="202"/>
  <c r="BH143" i="202" s="1"/>
  <c r="R144" i="202"/>
  <c r="R145" i="202"/>
  <c r="BH145" i="202" s="1"/>
  <c r="R146" i="202"/>
  <c r="R147" i="202"/>
  <c r="R148" i="202"/>
  <c r="BH148" i="202" s="1"/>
  <c r="R149" i="202"/>
  <c r="R150" i="202"/>
  <c r="R151" i="202"/>
  <c r="BH151" i="202" s="1"/>
  <c r="R152" i="202"/>
  <c r="R153" i="202"/>
  <c r="BH153" i="202" s="1"/>
  <c r="R154" i="202"/>
  <c r="R155" i="202"/>
  <c r="R156" i="202"/>
  <c r="BH156" i="202" s="1"/>
  <c r="R157" i="202"/>
  <c r="R158" i="202"/>
  <c r="R159" i="202"/>
  <c r="BH159" i="202" s="1"/>
  <c r="R160" i="202"/>
  <c r="R161" i="202"/>
  <c r="BH161" i="202" s="1"/>
  <c r="R162" i="202"/>
  <c r="R163" i="202"/>
  <c r="R164" i="202"/>
  <c r="BH164" i="202" s="1"/>
  <c r="R165" i="202"/>
  <c r="R166" i="202"/>
  <c r="R167" i="202"/>
  <c r="BH167" i="202" s="1"/>
  <c r="R168" i="202"/>
  <c r="R169" i="202"/>
  <c r="BH169" i="202" s="1"/>
  <c r="R170" i="202"/>
  <c r="R171" i="202"/>
  <c r="R172" i="202"/>
  <c r="BH172" i="202" s="1"/>
  <c r="R173" i="202"/>
  <c r="R174" i="202"/>
  <c r="R175" i="202"/>
  <c r="BH175" i="202" s="1"/>
  <c r="R176" i="202"/>
  <c r="R177" i="202"/>
  <c r="BH177" i="202" s="1"/>
  <c r="R178" i="202"/>
  <c r="R179" i="202"/>
  <c r="R180" i="202"/>
  <c r="BH180" i="202" s="1"/>
  <c r="R181" i="202"/>
  <c r="R182" i="202"/>
  <c r="R183" i="202"/>
  <c r="BH183" i="202" s="1"/>
  <c r="R184" i="202"/>
  <c r="R185" i="202"/>
  <c r="BH185" i="202" s="1"/>
  <c r="R186" i="202"/>
  <c r="R187" i="202"/>
  <c r="R188" i="202"/>
  <c r="BH188" i="202" s="1"/>
  <c r="R189" i="202"/>
  <c r="R190" i="202"/>
  <c r="R191" i="202"/>
  <c r="BH191" i="202" s="1"/>
  <c r="R192" i="202"/>
  <c r="R193" i="202"/>
  <c r="BH193" i="202" s="1"/>
  <c r="R194" i="202"/>
  <c r="R195" i="202"/>
  <c r="R196" i="202"/>
  <c r="BH196" i="202" s="1"/>
  <c r="R197" i="202"/>
  <c r="R198" i="202"/>
  <c r="R199" i="202"/>
  <c r="BH199" i="202" s="1"/>
  <c r="R200" i="202"/>
  <c r="R201" i="202"/>
  <c r="BH201" i="202" s="1"/>
  <c r="R202" i="202"/>
  <c r="R203" i="202"/>
  <c r="R204" i="202"/>
  <c r="BH204" i="202" s="1"/>
  <c r="R205" i="202"/>
  <c r="R206" i="202"/>
  <c r="R207" i="202"/>
  <c r="BH207" i="202" s="1"/>
  <c r="R208" i="202"/>
  <c r="R209" i="202"/>
  <c r="BH209" i="202" s="1"/>
  <c r="R210" i="202"/>
  <c r="R211" i="202"/>
  <c r="R212" i="202"/>
  <c r="BH212" i="202" s="1"/>
  <c r="R213" i="202"/>
  <c r="R214" i="202"/>
  <c r="R215" i="202"/>
  <c r="BH215" i="202" s="1"/>
  <c r="R216" i="202"/>
  <c r="R217" i="202"/>
  <c r="BH217" i="202" s="1"/>
  <c r="R218" i="202"/>
  <c r="R219" i="202"/>
  <c r="R220" i="202"/>
  <c r="BH220" i="202" s="1"/>
  <c r="R221" i="202"/>
  <c r="R222" i="202"/>
  <c r="R223" i="202"/>
  <c r="BH223" i="202" s="1"/>
  <c r="R224" i="202"/>
  <c r="R225" i="202"/>
  <c r="BH225" i="202" s="1"/>
  <c r="R226" i="202"/>
  <c r="R227" i="202"/>
  <c r="R228" i="202"/>
  <c r="BH228" i="202" s="1"/>
  <c r="R229" i="202"/>
  <c r="R230" i="202"/>
  <c r="R231" i="202"/>
  <c r="BH231" i="202" s="1"/>
  <c r="R232" i="202"/>
  <c r="R233" i="202"/>
  <c r="BH233" i="202" s="1"/>
  <c r="R234" i="202"/>
  <c r="R235" i="202"/>
  <c r="R236" i="202"/>
  <c r="BH236" i="202" s="1"/>
  <c r="R237" i="202"/>
  <c r="R238" i="202"/>
  <c r="R239" i="202"/>
  <c r="BH239" i="202" s="1"/>
  <c r="R240" i="202"/>
  <c r="R241" i="202"/>
  <c r="BH241" i="202" s="1"/>
  <c r="R242" i="202"/>
  <c r="R243" i="202"/>
  <c r="R244" i="202"/>
  <c r="BH244" i="202" s="1"/>
  <c r="R245" i="202"/>
  <c r="R246" i="202"/>
  <c r="R247" i="202"/>
  <c r="BH247" i="202" s="1"/>
  <c r="R248" i="202"/>
  <c r="R249" i="202"/>
  <c r="BH249" i="202" s="1"/>
  <c r="R250" i="202"/>
  <c r="R251" i="202"/>
  <c r="R252" i="202"/>
  <c r="BH252" i="202" s="1"/>
  <c r="R253" i="202"/>
  <c r="R254" i="202"/>
  <c r="R255" i="202"/>
  <c r="BH255" i="202" s="1"/>
  <c r="R256" i="202"/>
  <c r="R257" i="202"/>
  <c r="BH257" i="202" s="1"/>
  <c r="R258" i="202"/>
  <c r="R259" i="202"/>
  <c r="R260" i="202"/>
  <c r="BH260" i="202" s="1"/>
  <c r="R261" i="202"/>
  <c r="R262" i="202"/>
  <c r="R263" i="202"/>
  <c r="BH263" i="202" s="1"/>
  <c r="R264" i="202"/>
  <c r="R265" i="202"/>
  <c r="BH265" i="202" s="1"/>
  <c r="R266" i="202"/>
  <c r="R267" i="202"/>
  <c r="R268" i="202"/>
  <c r="BH268" i="202" s="1"/>
  <c r="R269" i="202"/>
  <c r="R270" i="202"/>
  <c r="R271" i="202"/>
  <c r="BH271" i="202" s="1"/>
  <c r="R272" i="202"/>
  <c r="R273" i="202"/>
  <c r="BH273" i="202" s="1"/>
  <c r="R274" i="202"/>
  <c r="R275" i="202"/>
  <c r="R276" i="202"/>
  <c r="BH276" i="202" s="1"/>
  <c r="R277" i="202"/>
  <c r="R278" i="202"/>
  <c r="R279" i="202"/>
  <c r="BH279" i="202" s="1"/>
  <c r="R280" i="202"/>
  <c r="R281" i="202"/>
  <c r="BH281" i="202" s="1"/>
  <c r="R282" i="202"/>
  <c r="R283" i="202"/>
  <c r="R284" i="202"/>
  <c r="BH284" i="202" s="1"/>
  <c r="R285" i="202"/>
  <c r="R286" i="202"/>
  <c r="R287" i="202"/>
  <c r="BH287" i="202" s="1"/>
  <c r="R288" i="202"/>
  <c r="R289" i="202"/>
  <c r="BH289" i="202" s="1"/>
  <c r="R290" i="202"/>
  <c r="R291" i="202"/>
  <c r="R292" i="202"/>
  <c r="BH292" i="202" s="1"/>
  <c r="R293" i="202"/>
  <c r="R294" i="202"/>
  <c r="R295" i="202"/>
  <c r="BH295" i="202" s="1"/>
  <c r="R296" i="202"/>
  <c r="R297" i="202"/>
  <c r="BH297" i="202" s="1"/>
  <c r="R298" i="202"/>
  <c r="R299" i="202"/>
  <c r="R300" i="202"/>
  <c r="BH300" i="202" s="1"/>
  <c r="R301" i="202"/>
  <c r="R302" i="202"/>
  <c r="R303" i="202"/>
  <c r="BH303" i="202" s="1"/>
  <c r="R304" i="202"/>
  <c r="R305" i="202"/>
  <c r="BH305" i="202" s="1"/>
  <c r="R306" i="202"/>
  <c r="R307" i="202"/>
  <c r="R308" i="202"/>
  <c r="BH308" i="202" s="1"/>
  <c r="R309" i="202"/>
  <c r="R310" i="202"/>
  <c r="R311" i="202"/>
  <c r="BH311" i="202" s="1"/>
  <c r="R312" i="202"/>
  <c r="R313" i="202"/>
  <c r="BH313" i="202" s="1"/>
  <c r="R314" i="202"/>
  <c r="R315" i="202"/>
  <c r="R316" i="202"/>
  <c r="BH316" i="202" s="1"/>
  <c r="R317" i="202"/>
  <c r="R318" i="202"/>
  <c r="R319" i="202"/>
  <c r="BH319" i="202" s="1"/>
  <c r="R320" i="202"/>
  <c r="R321" i="202"/>
  <c r="BH321" i="202" s="1"/>
  <c r="R322" i="202"/>
  <c r="R323" i="202"/>
  <c r="R324" i="202"/>
  <c r="BH324" i="202" s="1"/>
  <c r="R325" i="202"/>
  <c r="R326" i="202"/>
  <c r="R327" i="202"/>
  <c r="BH327" i="202" s="1"/>
  <c r="R328" i="202"/>
  <c r="R329" i="202"/>
  <c r="BH329" i="202" s="1"/>
  <c r="R330" i="202"/>
  <c r="R331" i="202"/>
  <c r="R332" i="202"/>
  <c r="BH332" i="202" s="1"/>
  <c r="R333" i="202"/>
  <c r="R334" i="202"/>
  <c r="R335" i="202"/>
  <c r="BH335" i="202" s="1"/>
  <c r="R336" i="202"/>
  <c r="R337" i="202"/>
  <c r="BH337" i="202" s="1"/>
  <c r="R338" i="202"/>
  <c r="R339" i="202"/>
  <c r="R340" i="202"/>
  <c r="BH340" i="202" s="1"/>
  <c r="R341" i="202"/>
  <c r="R342" i="202"/>
  <c r="R343" i="202"/>
  <c r="BH343" i="202" s="1"/>
  <c r="R344" i="202"/>
  <c r="R345" i="202"/>
  <c r="BH345" i="202" s="1"/>
  <c r="R346" i="202"/>
  <c r="R347" i="202"/>
  <c r="R348" i="202"/>
  <c r="BH348" i="202" s="1"/>
  <c r="R349" i="202"/>
  <c r="R350" i="202"/>
  <c r="R351" i="202"/>
  <c r="BH351" i="202" s="1"/>
  <c r="R352" i="202"/>
  <c r="R353" i="202"/>
  <c r="BH353" i="202" s="1"/>
  <c r="R354" i="202"/>
  <c r="R355" i="202"/>
  <c r="R356" i="202"/>
  <c r="BH356" i="202" s="1"/>
  <c r="R357" i="202"/>
  <c r="R358" i="202"/>
  <c r="R359" i="202"/>
  <c r="BH359" i="202" s="1"/>
  <c r="R360" i="202"/>
  <c r="R361" i="202"/>
  <c r="BH361" i="202" s="1"/>
  <c r="R362" i="202"/>
  <c r="R363" i="202"/>
  <c r="R364" i="202"/>
  <c r="BH364" i="202" s="1"/>
  <c r="R365" i="202"/>
  <c r="R366" i="202"/>
  <c r="R367" i="202"/>
  <c r="BH367" i="202" s="1"/>
  <c r="R368" i="202"/>
  <c r="R369" i="202"/>
  <c r="BH369" i="202" s="1"/>
  <c r="R370" i="202"/>
  <c r="R371" i="202"/>
  <c r="R372" i="202"/>
  <c r="BH372" i="202" s="1"/>
  <c r="R373" i="202"/>
  <c r="R374" i="202"/>
  <c r="R375" i="202"/>
  <c r="BH375" i="202" s="1"/>
  <c r="R376" i="202"/>
  <c r="R377" i="202"/>
  <c r="BH377" i="202" s="1"/>
  <c r="R378" i="202"/>
  <c r="R379" i="202"/>
  <c r="R380" i="202"/>
  <c r="BH380" i="202" s="1"/>
  <c r="R381" i="202"/>
  <c r="R382" i="202"/>
  <c r="R383" i="202"/>
  <c r="BH383" i="202" s="1"/>
  <c r="R384" i="202"/>
  <c r="R385" i="202"/>
  <c r="BH385" i="202" s="1"/>
  <c r="R386" i="202"/>
  <c r="R387" i="202"/>
  <c r="R388" i="202"/>
  <c r="BH388" i="202" s="1"/>
  <c r="R389" i="202"/>
  <c r="R390" i="202"/>
  <c r="R391" i="202"/>
  <c r="BH391" i="202" s="1"/>
  <c r="R392" i="202"/>
  <c r="R393" i="202"/>
  <c r="BH393" i="202" s="1"/>
  <c r="R394" i="202"/>
  <c r="R395" i="202"/>
  <c r="R396" i="202"/>
  <c r="BH396" i="202" s="1"/>
  <c r="R397" i="202"/>
  <c r="R398" i="202"/>
  <c r="R399" i="202"/>
  <c r="BH399" i="202" s="1"/>
  <c r="R400" i="202"/>
  <c r="R401" i="202"/>
  <c r="BH401" i="202" s="1"/>
  <c r="R402" i="202"/>
  <c r="R403" i="202"/>
  <c r="R404" i="202"/>
  <c r="BH404" i="202" s="1"/>
  <c r="R405" i="202"/>
  <c r="R406" i="202"/>
  <c r="R407" i="202"/>
  <c r="BH407" i="202" s="1"/>
  <c r="R408" i="202"/>
  <c r="R409" i="202"/>
  <c r="BH409" i="202" s="1"/>
  <c r="R410" i="202"/>
  <c r="R411" i="202"/>
  <c r="R412" i="202"/>
  <c r="BH412" i="202" s="1"/>
  <c r="R413" i="202"/>
  <c r="R414" i="202"/>
  <c r="R415" i="202"/>
  <c r="BH415" i="202" s="1"/>
  <c r="R416" i="202"/>
  <c r="R417" i="202"/>
  <c r="BH417" i="202" s="1"/>
  <c r="R418" i="202"/>
  <c r="R419" i="202"/>
  <c r="R420" i="202"/>
  <c r="BH420" i="202" s="1"/>
  <c r="R421" i="202"/>
  <c r="R422" i="202"/>
  <c r="R423" i="202"/>
  <c r="BH423" i="202" s="1"/>
  <c r="R424" i="202"/>
  <c r="R425" i="202"/>
  <c r="BH425" i="202" s="1"/>
  <c r="R426" i="202"/>
  <c r="R427" i="202"/>
  <c r="R428" i="202"/>
  <c r="BH428" i="202" s="1"/>
  <c r="R429" i="202"/>
  <c r="R430" i="202"/>
  <c r="R431" i="202"/>
  <c r="BH431" i="202" s="1"/>
  <c r="R432" i="202"/>
  <c r="R433" i="202"/>
  <c r="BH433" i="202" s="1"/>
  <c r="R434" i="202"/>
  <c r="R435" i="202"/>
  <c r="R436" i="202"/>
  <c r="BH436" i="202" s="1"/>
  <c r="R437" i="202"/>
  <c r="R438" i="202"/>
  <c r="R439" i="202"/>
  <c r="BH439" i="202" s="1"/>
  <c r="R440" i="202"/>
  <c r="R441" i="202"/>
  <c r="BH441" i="202" s="1"/>
  <c r="R442" i="202"/>
  <c r="R443" i="202"/>
  <c r="R444" i="202"/>
  <c r="BH444" i="202" s="1"/>
  <c r="R445" i="202"/>
  <c r="R446" i="202"/>
  <c r="R447" i="202"/>
  <c r="BH447" i="202" s="1"/>
  <c r="R448" i="202"/>
  <c r="R449" i="202"/>
  <c r="BH449" i="202" s="1"/>
  <c r="R450" i="202"/>
  <c r="R451" i="202"/>
  <c r="R452" i="202"/>
  <c r="BH452" i="202" s="1"/>
  <c r="R453" i="202"/>
  <c r="R454" i="202"/>
  <c r="R455" i="202"/>
  <c r="BH455" i="202" s="1"/>
  <c r="R456" i="202"/>
  <c r="R457" i="202"/>
  <c r="BH457" i="202" s="1"/>
  <c r="R458" i="202"/>
  <c r="R459" i="202"/>
  <c r="R460" i="202"/>
  <c r="BH460" i="202" s="1"/>
  <c r="R461" i="202"/>
  <c r="R462" i="202"/>
  <c r="R463" i="202"/>
  <c r="BH463" i="202" s="1"/>
  <c r="R464" i="202"/>
  <c r="R465" i="202"/>
  <c r="BH465" i="202" s="1"/>
  <c r="R466" i="202"/>
  <c r="R467" i="202"/>
  <c r="R468" i="202"/>
  <c r="BH468" i="202" s="1"/>
  <c r="R469" i="202"/>
  <c r="R470" i="202"/>
  <c r="R471" i="202"/>
  <c r="BH471" i="202" s="1"/>
  <c r="R472" i="202"/>
  <c r="R473" i="202"/>
  <c r="BH473" i="202" s="1"/>
  <c r="R474" i="202"/>
  <c r="R475" i="202"/>
  <c r="R476" i="202"/>
  <c r="BH476" i="202" s="1"/>
  <c r="R477" i="202"/>
  <c r="R478" i="202"/>
  <c r="R479" i="202"/>
  <c r="BH479" i="202" s="1"/>
  <c r="R480" i="202"/>
  <c r="R481" i="202"/>
  <c r="BH481" i="202" s="1"/>
  <c r="R482" i="202"/>
  <c r="R483" i="202"/>
  <c r="R484" i="202"/>
  <c r="BH484" i="202" s="1"/>
  <c r="R485" i="202"/>
  <c r="R486" i="202"/>
  <c r="R487" i="202"/>
  <c r="BH487" i="202" s="1"/>
  <c r="R488" i="202"/>
  <c r="R489" i="202"/>
  <c r="BH489" i="202" s="1"/>
  <c r="R490" i="202"/>
  <c r="R491" i="202"/>
  <c r="R492" i="202"/>
  <c r="BH492" i="202" s="1"/>
  <c r="R493" i="202"/>
  <c r="R494" i="202"/>
  <c r="R495" i="202"/>
  <c r="BH495" i="202" s="1"/>
  <c r="R496" i="202"/>
  <c r="R497" i="202"/>
  <c r="BH497" i="202" s="1"/>
  <c r="R498" i="202"/>
  <c r="R499" i="202"/>
  <c r="R500" i="202"/>
  <c r="BH500" i="202" s="1"/>
  <c r="R501" i="202"/>
  <c r="R502" i="202"/>
  <c r="R503" i="202"/>
  <c r="BH503" i="202" s="1"/>
  <c r="R504" i="202"/>
  <c r="R505" i="202"/>
  <c r="BH505" i="202" s="1"/>
  <c r="R506" i="202"/>
  <c r="R507" i="202"/>
  <c r="R508" i="202"/>
  <c r="BH508" i="202" s="1"/>
  <c r="R509" i="202"/>
  <c r="R510" i="202"/>
  <c r="R511" i="202"/>
  <c r="R512" i="202"/>
  <c r="R513" i="202"/>
  <c r="BH513" i="202" s="1"/>
  <c r="R514" i="202"/>
  <c r="R515" i="202"/>
  <c r="R516" i="202"/>
  <c r="BH516" i="202" s="1"/>
  <c r="R517" i="202"/>
  <c r="R518" i="202"/>
  <c r="R519" i="202"/>
  <c r="BH519" i="202" s="1"/>
  <c r="R520" i="202"/>
  <c r="R521" i="202"/>
  <c r="BH521" i="202" s="1"/>
  <c r="R522" i="202"/>
  <c r="R523" i="202"/>
  <c r="R524" i="202"/>
  <c r="BH524" i="202" s="1"/>
  <c r="R525" i="202"/>
  <c r="R526" i="202"/>
  <c r="R527" i="202"/>
  <c r="BH527" i="202" s="1"/>
  <c r="R528" i="202"/>
  <c r="R529" i="202"/>
  <c r="BH529" i="202" s="1"/>
  <c r="R530" i="202"/>
  <c r="R531" i="202"/>
  <c r="R532" i="202"/>
  <c r="BH532" i="202" s="1"/>
  <c r="R533" i="202"/>
  <c r="R534" i="202"/>
  <c r="R535" i="202"/>
  <c r="BH535" i="202" s="1"/>
  <c r="R536" i="202"/>
  <c r="R537" i="202"/>
  <c r="BH537" i="202" s="1"/>
  <c r="R538" i="202"/>
  <c r="R539" i="202"/>
  <c r="R540" i="202"/>
  <c r="BH540" i="202" s="1"/>
  <c r="R541" i="202"/>
  <c r="R542" i="202"/>
  <c r="R543" i="202"/>
  <c r="BH543" i="202" s="1"/>
  <c r="R544" i="202"/>
  <c r="R545" i="202"/>
  <c r="BH545" i="202" s="1"/>
  <c r="R546" i="202"/>
  <c r="R547" i="202"/>
  <c r="R548" i="202"/>
  <c r="BH548" i="202" s="1"/>
  <c r="R549" i="202"/>
  <c r="R550" i="202"/>
  <c r="R551" i="202"/>
  <c r="BH551" i="202" s="1"/>
  <c r="R552" i="202"/>
  <c r="R553" i="202"/>
  <c r="BH553" i="202" s="1"/>
  <c r="R554" i="202"/>
  <c r="R555" i="202"/>
  <c r="R556" i="202"/>
  <c r="BH556" i="202" s="1"/>
  <c r="R557" i="202"/>
  <c r="R558" i="202"/>
  <c r="R559" i="202"/>
  <c r="BH559" i="202" s="1"/>
  <c r="R560" i="202"/>
  <c r="R561" i="202"/>
  <c r="BH561" i="202" s="1"/>
  <c r="R562" i="202"/>
  <c r="R563" i="202"/>
  <c r="R564" i="202"/>
  <c r="BH564" i="202" s="1"/>
  <c r="R565" i="202"/>
  <c r="R566" i="202"/>
  <c r="R567" i="202"/>
  <c r="BH567" i="202" s="1"/>
  <c r="R568" i="202"/>
  <c r="R569" i="202"/>
  <c r="BH569" i="202" s="1"/>
  <c r="R570" i="202"/>
  <c r="R571" i="202"/>
  <c r="R572" i="202"/>
  <c r="BH572" i="202" s="1"/>
  <c r="R573" i="202"/>
  <c r="R574" i="202"/>
  <c r="R575" i="202"/>
  <c r="BH575" i="202" s="1"/>
  <c r="R576" i="202"/>
  <c r="R577" i="202"/>
  <c r="BH577" i="202" s="1"/>
  <c r="R578" i="202"/>
  <c r="R579" i="202"/>
  <c r="R580" i="202"/>
  <c r="BH580" i="202" s="1"/>
  <c r="R581" i="202"/>
  <c r="R582" i="202"/>
  <c r="R583" i="202"/>
  <c r="BH583" i="202" s="1"/>
  <c r="R584" i="202"/>
  <c r="R585" i="202"/>
  <c r="BH585" i="202" s="1"/>
  <c r="R586" i="202"/>
  <c r="R587" i="202"/>
  <c r="R588" i="202"/>
  <c r="BH588" i="202" s="1"/>
  <c r="R589" i="202"/>
  <c r="R590" i="202"/>
  <c r="R591" i="202"/>
  <c r="BH591" i="202" s="1"/>
  <c r="R592" i="202"/>
  <c r="R593" i="202"/>
  <c r="BH593" i="202" s="1"/>
  <c r="R594" i="202"/>
  <c r="R595" i="202"/>
  <c r="R596" i="202"/>
  <c r="BH596" i="202" s="1"/>
  <c r="R597" i="202"/>
  <c r="R598" i="202"/>
  <c r="R599" i="202"/>
  <c r="BH599" i="202" s="1"/>
  <c r="R600" i="202"/>
  <c r="R601" i="202"/>
  <c r="BH601" i="202" s="1"/>
  <c r="R602" i="202"/>
  <c r="R603" i="202"/>
  <c r="R604" i="202"/>
  <c r="BH604" i="202" s="1"/>
  <c r="R605" i="202"/>
  <c r="R606" i="202"/>
  <c r="R607" i="202"/>
  <c r="BH607" i="202" s="1"/>
  <c r="R608" i="202"/>
  <c r="R609" i="202"/>
  <c r="BH609" i="202" s="1"/>
  <c r="R610" i="202"/>
  <c r="R611" i="202"/>
  <c r="R612" i="202"/>
  <c r="BH612" i="202" s="1"/>
  <c r="R613" i="202"/>
  <c r="R614" i="202"/>
  <c r="R615" i="202"/>
  <c r="BH615" i="202" s="1"/>
  <c r="R616" i="202"/>
  <c r="R617" i="202"/>
  <c r="BH617" i="202" s="1"/>
  <c r="R618" i="202"/>
  <c r="R619" i="202"/>
  <c r="R620" i="202"/>
  <c r="BH620" i="202" s="1"/>
  <c r="R621" i="202"/>
  <c r="R622" i="202"/>
  <c r="R623" i="202"/>
  <c r="BH623" i="202" s="1"/>
  <c r="R624" i="202"/>
  <c r="R625" i="202"/>
  <c r="BH625" i="202" s="1"/>
  <c r="R626" i="202"/>
  <c r="R627" i="202"/>
  <c r="R628" i="202"/>
  <c r="BH628" i="202" s="1"/>
  <c r="R629" i="202"/>
  <c r="R630" i="202"/>
  <c r="R631" i="202"/>
  <c r="BH631" i="202" s="1"/>
  <c r="R632" i="202"/>
  <c r="R633" i="202"/>
  <c r="BH633" i="202" s="1"/>
  <c r="R634" i="202"/>
  <c r="R635" i="202"/>
  <c r="R636" i="202"/>
  <c r="BH636" i="202" s="1"/>
  <c r="R637" i="202"/>
  <c r="R638" i="202"/>
  <c r="R639" i="202"/>
  <c r="BH639" i="202" s="1"/>
  <c r="R640" i="202"/>
  <c r="R641" i="202"/>
  <c r="BH641" i="202" s="1"/>
  <c r="R642" i="202"/>
  <c r="R643" i="202"/>
  <c r="R644" i="202"/>
  <c r="BH644" i="202" s="1"/>
  <c r="R645" i="202"/>
  <c r="R646" i="202"/>
  <c r="R647" i="202"/>
  <c r="BH647" i="202" s="1"/>
  <c r="R648" i="202"/>
  <c r="R649" i="202"/>
  <c r="BH649" i="202" s="1"/>
  <c r="R650" i="202"/>
  <c r="R651" i="202"/>
  <c r="R652" i="202"/>
  <c r="BH652" i="202" s="1"/>
  <c r="R653" i="202"/>
  <c r="R654" i="202"/>
  <c r="R655" i="202"/>
  <c r="BH655" i="202" s="1"/>
  <c r="R656" i="202"/>
  <c r="R657" i="202"/>
  <c r="BH657" i="202" s="1"/>
  <c r="R658" i="202"/>
  <c r="R659" i="202"/>
  <c r="R660" i="202"/>
  <c r="BH660" i="202" s="1"/>
  <c r="R661" i="202"/>
  <c r="R662" i="202"/>
  <c r="R663" i="202"/>
  <c r="BH663" i="202" s="1"/>
  <c r="R664" i="202"/>
  <c r="R665" i="202"/>
  <c r="BH665" i="202" s="1"/>
  <c r="R666" i="202"/>
  <c r="R667" i="202"/>
  <c r="R668" i="202"/>
  <c r="BH668" i="202" s="1"/>
  <c r="R669" i="202"/>
  <c r="R670" i="202"/>
  <c r="R671" i="202"/>
  <c r="BH671" i="202" s="1"/>
  <c r="R672" i="202"/>
  <c r="R673" i="202"/>
  <c r="BH673" i="202" s="1"/>
  <c r="R674" i="202"/>
  <c r="R675" i="202"/>
  <c r="R676" i="202"/>
  <c r="BH676" i="202" s="1"/>
  <c r="R677" i="202"/>
  <c r="R678" i="202"/>
  <c r="R679" i="202"/>
  <c r="BH679" i="202" s="1"/>
  <c r="R680" i="202"/>
  <c r="R681" i="202"/>
  <c r="BH681" i="202" s="1"/>
  <c r="R682" i="202"/>
  <c r="R683" i="202"/>
  <c r="R684" i="202"/>
  <c r="BH684" i="202" s="1"/>
  <c r="R685" i="202"/>
  <c r="R686" i="202"/>
  <c r="R687" i="202"/>
  <c r="BH687" i="202" s="1"/>
  <c r="R688" i="202"/>
  <c r="R689" i="202"/>
  <c r="BH689" i="202" s="1"/>
  <c r="R690" i="202"/>
  <c r="R691" i="202"/>
  <c r="R692" i="202"/>
  <c r="BH692" i="202" s="1"/>
  <c r="R693" i="202"/>
  <c r="R694" i="202"/>
  <c r="R695" i="202"/>
  <c r="BH695" i="202" s="1"/>
  <c r="R696" i="202"/>
  <c r="R697" i="202"/>
  <c r="BH697" i="202" s="1"/>
  <c r="R698" i="202"/>
  <c r="R699" i="202"/>
  <c r="R700" i="202"/>
  <c r="BH700" i="202" s="1"/>
  <c r="R701" i="202"/>
  <c r="R702" i="202"/>
  <c r="R703" i="202"/>
  <c r="BH703" i="202" s="1"/>
  <c r="R704" i="202"/>
  <c r="R705" i="202"/>
  <c r="BH705" i="202" s="1"/>
  <c r="R706" i="202"/>
  <c r="R707" i="202"/>
  <c r="R708" i="202"/>
  <c r="BH708" i="202" s="1"/>
  <c r="R709" i="202"/>
  <c r="R710" i="202"/>
  <c r="R711" i="202"/>
  <c r="BH711" i="202" s="1"/>
  <c r="R712" i="202"/>
  <c r="R713" i="202"/>
  <c r="BH713" i="202" s="1"/>
  <c r="R714" i="202"/>
  <c r="R715" i="202"/>
  <c r="R716" i="202"/>
  <c r="BH716" i="202" s="1"/>
  <c r="R717" i="202"/>
  <c r="R718" i="202"/>
  <c r="R719" i="202"/>
  <c r="BH719" i="202" s="1"/>
  <c r="R720" i="202"/>
  <c r="R721" i="202"/>
  <c r="BH721" i="202" s="1"/>
  <c r="R722" i="202"/>
  <c r="R723" i="202"/>
  <c r="R724" i="202"/>
  <c r="BH724" i="202" s="1"/>
  <c r="R725" i="202"/>
  <c r="R726" i="202"/>
  <c r="R727" i="202"/>
  <c r="BH727" i="202" s="1"/>
  <c r="R728" i="202"/>
  <c r="R729" i="202"/>
  <c r="BH729" i="202" s="1"/>
  <c r="R730" i="202"/>
  <c r="R731" i="202"/>
  <c r="R732" i="202"/>
  <c r="BH732" i="202" s="1"/>
  <c r="R733" i="202"/>
  <c r="R734" i="202"/>
  <c r="R735" i="202"/>
  <c r="BH735" i="202" s="1"/>
  <c r="R736" i="202"/>
  <c r="R737" i="202"/>
  <c r="BH737" i="202" s="1"/>
  <c r="R738" i="202"/>
  <c r="R739" i="202"/>
  <c r="R740" i="202"/>
  <c r="BH740" i="202" s="1"/>
  <c r="R741" i="202"/>
  <c r="R742" i="202"/>
  <c r="R743" i="202"/>
  <c r="BH743" i="202" s="1"/>
  <c r="R744" i="202"/>
  <c r="R745" i="202"/>
  <c r="BH745" i="202" s="1"/>
  <c r="R746" i="202"/>
  <c r="R747" i="202"/>
  <c r="R748" i="202"/>
  <c r="BH748" i="202" s="1"/>
  <c r="R749" i="202"/>
  <c r="R750" i="202"/>
  <c r="R751" i="202"/>
  <c r="BH751" i="202" s="1"/>
  <c r="R752" i="202"/>
  <c r="R753" i="202"/>
  <c r="BH753" i="202" s="1"/>
  <c r="R754" i="202"/>
  <c r="R755" i="202"/>
  <c r="R756" i="202"/>
  <c r="BH756" i="202" s="1"/>
  <c r="R757" i="202"/>
  <c r="R758" i="202"/>
  <c r="R759" i="202"/>
  <c r="BH759" i="202" s="1"/>
  <c r="R760" i="202"/>
  <c r="R761" i="202"/>
  <c r="BH761" i="202" s="1"/>
  <c r="R762" i="202"/>
  <c r="R763" i="202"/>
  <c r="R764" i="202"/>
  <c r="BH764" i="202" s="1"/>
  <c r="R765" i="202"/>
  <c r="R766" i="202"/>
  <c r="R767" i="202"/>
  <c r="BH767" i="202" s="1"/>
  <c r="R768" i="202"/>
  <c r="R769" i="202"/>
  <c r="BH769" i="202" s="1"/>
  <c r="R770" i="202"/>
  <c r="R771" i="202"/>
  <c r="R772" i="202"/>
  <c r="BH772" i="202" s="1"/>
  <c r="R773" i="202"/>
  <c r="R774" i="202"/>
  <c r="R775" i="202"/>
  <c r="BH775" i="202" s="1"/>
  <c r="R776" i="202"/>
  <c r="R777" i="202"/>
  <c r="BH777" i="202" s="1"/>
  <c r="R778" i="202"/>
  <c r="R779" i="202"/>
  <c r="R780" i="202"/>
  <c r="BH780" i="202" s="1"/>
  <c r="R781" i="202"/>
  <c r="R782" i="202"/>
  <c r="R783" i="202"/>
  <c r="BH783" i="202" s="1"/>
  <c r="R784" i="202"/>
  <c r="R785" i="202"/>
  <c r="BH785" i="202" s="1"/>
  <c r="R786" i="202"/>
  <c r="R787" i="202"/>
  <c r="R788" i="202"/>
  <c r="BH788" i="202" s="1"/>
  <c r="R789" i="202"/>
  <c r="R790" i="202"/>
  <c r="R791" i="202"/>
  <c r="BH791" i="202" s="1"/>
  <c r="R792" i="202"/>
  <c r="R793" i="202"/>
  <c r="BH793" i="202" s="1"/>
  <c r="R794" i="202"/>
  <c r="R795" i="202"/>
  <c r="R796" i="202"/>
  <c r="BH796" i="202" s="1"/>
  <c r="R797" i="202"/>
  <c r="R798" i="202"/>
  <c r="R799" i="202"/>
  <c r="BH799" i="202" s="1"/>
  <c r="R800" i="202"/>
  <c r="R801" i="202"/>
  <c r="BH801" i="202" s="1"/>
  <c r="R802" i="202"/>
  <c r="R803" i="202"/>
  <c r="R804" i="202"/>
  <c r="BH804" i="202" s="1"/>
  <c r="R805" i="202"/>
  <c r="R806" i="202"/>
  <c r="R807" i="202"/>
  <c r="BH807" i="202" s="1"/>
  <c r="R808" i="202"/>
  <c r="R809" i="202"/>
  <c r="BH809" i="202" s="1"/>
  <c r="R810" i="202"/>
  <c r="R811" i="202"/>
  <c r="R812" i="202"/>
  <c r="BH812" i="202" s="1"/>
  <c r="R813" i="202"/>
  <c r="R814" i="202"/>
  <c r="R815" i="202"/>
  <c r="BH815" i="202" s="1"/>
  <c r="R816" i="202"/>
  <c r="R817" i="202"/>
  <c r="BH817" i="202" s="1"/>
  <c r="R818" i="202"/>
  <c r="R819" i="202"/>
  <c r="R820" i="202"/>
  <c r="BH820" i="202" s="1"/>
  <c r="R821" i="202"/>
  <c r="R822" i="202"/>
  <c r="R823" i="202"/>
  <c r="BH823" i="202" s="1"/>
  <c r="R824" i="202"/>
  <c r="R825" i="202"/>
  <c r="BH825" i="202" s="1"/>
  <c r="R826" i="202"/>
  <c r="R827" i="202"/>
  <c r="R828" i="202"/>
  <c r="BH828" i="202" s="1"/>
  <c r="R829" i="202"/>
  <c r="R830" i="202"/>
  <c r="R831" i="202"/>
  <c r="BH831" i="202" s="1"/>
  <c r="R832" i="202"/>
  <c r="R833" i="202"/>
  <c r="BH833" i="202" s="1"/>
  <c r="R834" i="202"/>
  <c r="R835" i="202"/>
  <c r="R836" i="202"/>
  <c r="BH836" i="202" s="1"/>
  <c r="R837" i="202"/>
  <c r="R838" i="202"/>
  <c r="R839" i="202"/>
  <c r="BH839" i="202" s="1"/>
  <c r="R840" i="202"/>
  <c r="R841" i="202"/>
  <c r="BH841" i="202" s="1"/>
  <c r="R842" i="202"/>
  <c r="R843" i="202"/>
  <c r="R844" i="202"/>
  <c r="BH844" i="202" s="1"/>
  <c r="R845" i="202"/>
  <c r="R846" i="202"/>
  <c r="R847" i="202"/>
  <c r="BH847" i="202" s="1"/>
  <c r="R848" i="202"/>
  <c r="R849" i="202"/>
  <c r="BH849" i="202" s="1"/>
  <c r="R850" i="202"/>
  <c r="R851" i="202"/>
  <c r="R852" i="202"/>
  <c r="BH852" i="202" s="1"/>
  <c r="R853" i="202"/>
  <c r="R854" i="202"/>
  <c r="R855" i="202"/>
  <c r="BH855" i="202" s="1"/>
  <c r="R856" i="202"/>
  <c r="R857" i="202"/>
  <c r="BH857" i="202" s="1"/>
  <c r="R858" i="202"/>
  <c r="R859" i="202"/>
  <c r="R860" i="202"/>
  <c r="BH860" i="202" s="1"/>
  <c r="R861" i="202"/>
  <c r="R862" i="202"/>
  <c r="R863" i="202"/>
  <c r="BH863" i="202" s="1"/>
  <c r="R864" i="202"/>
  <c r="R865" i="202"/>
  <c r="BH865" i="202" s="1"/>
  <c r="R866" i="202"/>
  <c r="R867" i="202"/>
  <c r="R868" i="202"/>
  <c r="BH868" i="202" s="1"/>
  <c r="R869" i="202"/>
  <c r="R870" i="202"/>
  <c r="R871" i="202"/>
  <c r="BH871" i="202" s="1"/>
  <c r="R872" i="202"/>
  <c r="R873" i="202"/>
  <c r="BH873" i="202" s="1"/>
  <c r="R874" i="202"/>
  <c r="R875" i="202"/>
  <c r="R876" i="202"/>
  <c r="BH876" i="202" s="1"/>
  <c r="R877" i="202"/>
  <c r="R878" i="202"/>
  <c r="R879" i="202"/>
  <c r="BH879" i="202" s="1"/>
  <c r="R880" i="202"/>
  <c r="R881" i="202"/>
  <c r="BH881" i="202" s="1"/>
  <c r="R882" i="202"/>
  <c r="R883" i="202"/>
  <c r="R884" i="202"/>
  <c r="BH884" i="202" s="1"/>
  <c r="R885" i="202"/>
  <c r="R886" i="202"/>
  <c r="R887" i="202"/>
  <c r="BH887" i="202" s="1"/>
  <c r="R888" i="202"/>
  <c r="R889" i="202"/>
  <c r="BH889" i="202" s="1"/>
  <c r="R890" i="202"/>
  <c r="R891" i="202"/>
  <c r="R892" i="202"/>
  <c r="BH892" i="202" s="1"/>
  <c r="R893" i="202"/>
  <c r="R894" i="202"/>
  <c r="R895" i="202"/>
  <c r="BH895" i="202" s="1"/>
  <c r="R896" i="202"/>
  <c r="R897" i="202"/>
  <c r="BH897" i="202" s="1"/>
  <c r="R898" i="202"/>
  <c r="R899" i="202"/>
  <c r="R900" i="202"/>
  <c r="BH900" i="202" s="1"/>
  <c r="R901" i="202"/>
  <c r="R902" i="202"/>
  <c r="R903" i="202"/>
  <c r="BH903" i="202" s="1"/>
  <c r="R904" i="202"/>
  <c r="R905" i="202"/>
  <c r="BH905" i="202" s="1"/>
  <c r="R906" i="202"/>
  <c r="R907" i="202"/>
  <c r="R908" i="202"/>
  <c r="BH908" i="202" s="1"/>
  <c r="R909" i="202"/>
  <c r="R910" i="202"/>
  <c r="R911" i="202"/>
  <c r="BH911" i="202" s="1"/>
  <c r="R912" i="202"/>
  <c r="R913" i="202"/>
  <c r="BH913" i="202" s="1"/>
  <c r="R914" i="202"/>
  <c r="R915" i="202"/>
  <c r="R916" i="202"/>
  <c r="BH916" i="202" s="1"/>
  <c r="R917" i="202"/>
  <c r="R918" i="202"/>
  <c r="R919" i="202"/>
  <c r="BH919" i="202" s="1"/>
  <c r="R920" i="202"/>
  <c r="R921" i="202"/>
  <c r="BH921" i="202" s="1"/>
  <c r="R922" i="202"/>
  <c r="R923" i="202"/>
  <c r="R924" i="202"/>
  <c r="BH924" i="202" s="1"/>
  <c r="R925" i="202"/>
  <c r="R926" i="202"/>
  <c r="R927" i="202"/>
  <c r="BH927" i="202" s="1"/>
  <c r="R928" i="202"/>
  <c r="R929" i="202"/>
  <c r="BH929" i="202" s="1"/>
  <c r="R930" i="202"/>
  <c r="R931" i="202"/>
  <c r="R932" i="202"/>
  <c r="BH932" i="202" s="1"/>
  <c r="R933" i="202"/>
  <c r="R934" i="202"/>
  <c r="R935" i="202"/>
  <c r="BH935" i="202" s="1"/>
  <c r="R936" i="202"/>
  <c r="R937" i="202"/>
  <c r="BH937" i="202" s="1"/>
  <c r="R938" i="202"/>
  <c r="R939" i="202"/>
  <c r="R940" i="202"/>
  <c r="BH940" i="202" s="1"/>
  <c r="R941" i="202"/>
  <c r="R942" i="202"/>
  <c r="R943" i="202"/>
  <c r="BH943" i="202" s="1"/>
  <c r="R944" i="202"/>
  <c r="R945" i="202"/>
  <c r="BH945" i="202" s="1"/>
  <c r="R946" i="202"/>
  <c r="R947" i="202"/>
  <c r="R948" i="202"/>
  <c r="BH948" i="202" s="1"/>
  <c r="R949" i="202"/>
  <c r="R950" i="202"/>
  <c r="R951" i="202"/>
  <c r="BH951" i="202" s="1"/>
  <c r="R952" i="202"/>
  <c r="R953" i="202"/>
  <c r="BH953" i="202" s="1"/>
  <c r="R954" i="202"/>
  <c r="R955" i="202"/>
  <c r="R956" i="202"/>
  <c r="BH956" i="202" s="1"/>
  <c r="R957" i="202"/>
  <c r="R958" i="202"/>
  <c r="R959" i="202"/>
  <c r="BH959" i="202" s="1"/>
  <c r="R960" i="202"/>
  <c r="R961" i="202"/>
  <c r="BH961" i="202" s="1"/>
  <c r="R962" i="202"/>
  <c r="R963" i="202"/>
  <c r="R964" i="202"/>
  <c r="BH964" i="202" s="1"/>
  <c r="R965" i="202"/>
  <c r="R966" i="202"/>
  <c r="R967" i="202"/>
  <c r="BH967" i="202" s="1"/>
  <c r="R968" i="202"/>
  <c r="R969" i="202"/>
  <c r="BH969" i="202" s="1"/>
  <c r="R970" i="202"/>
  <c r="R971" i="202"/>
  <c r="R972" i="202"/>
  <c r="BH972" i="202" s="1"/>
  <c r="R973" i="202"/>
  <c r="R974" i="202"/>
  <c r="R975" i="202"/>
  <c r="BH975" i="202" s="1"/>
  <c r="R976" i="202"/>
  <c r="R977" i="202"/>
  <c r="BH977" i="202" s="1"/>
  <c r="R978" i="202"/>
  <c r="R979" i="202"/>
  <c r="R980" i="202"/>
  <c r="BH980" i="202" s="1"/>
  <c r="R981" i="202"/>
  <c r="R982" i="202"/>
  <c r="R983" i="202"/>
  <c r="BH983" i="202" s="1"/>
  <c r="R984" i="202"/>
  <c r="R985" i="202"/>
  <c r="BH985" i="202" s="1"/>
  <c r="R986" i="202"/>
  <c r="R987" i="202"/>
  <c r="R988" i="202"/>
  <c r="BH988" i="202" s="1"/>
  <c r="R989" i="202"/>
  <c r="R990" i="202"/>
  <c r="R991" i="202"/>
  <c r="BH991" i="202" s="1"/>
  <c r="R992" i="202"/>
  <c r="R993" i="202"/>
  <c r="BH993" i="202" s="1"/>
  <c r="R994" i="202"/>
  <c r="R995" i="202"/>
  <c r="R996" i="202"/>
  <c r="BH996" i="202" s="1"/>
  <c r="R997" i="202"/>
  <c r="R998" i="202"/>
  <c r="R999" i="202"/>
  <c r="BH999" i="202" s="1"/>
  <c r="R1000" i="202"/>
  <c r="R1001" i="202"/>
  <c r="BH1001" i="202" s="1"/>
  <c r="R1002" i="202"/>
  <c r="R1003" i="202"/>
  <c r="R1004" i="202"/>
  <c r="BH1004" i="202" s="1"/>
  <c r="R1005" i="202"/>
  <c r="R1006" i="202"/>
  <c r="R1007" i="202"/>
  <c r="BH1007" i="202" s="1"/>
  <c r="R1008" i="202"/>
  <c r="R1009" i="202"/>
  <c r="BH1009" i="202" s="1"/>
  <c r="R1010" i="202"/>
  <c r="R1011" i="202"/>
  <c r="R1012" i="202"/>
  <c r="BH1012" i="202" s="1"/>
  <c r="R1013" i="202"/>
  <c r="R1014" i="202"/>
  <c r="R1015" i="202"/>
  <c r="BH1015" i="202" s="1"/>
  <c r="R1016" i="202"/>
  <c r="R1017" i="202"/>
  <c r="BH1017" i="202" s="1"/>
  <c r="R1018" i="202"/>
  <c r="R1019" i="202"/>
  <c r="R1020" i="202"/>
  <c r="BH1020" i="202" s="1"/>
  <c r="R1021" i="202"/>
  <c r="R1022" i="202"/>
  <c r="R1023" i="202"/>
  <c r="BH1023" i="202" s="1"/>
  <c r="R1024" i="202"/>
  <c r="R1025" i="202"/>
  <c r="BH1025" i="202" s="1"/>
  <c r="R1026" i="202"/>
  <c r="R1027" i="202"/>
  <c r="R1028" i="202"/>
  <c r="BH1028" i="202" s="1"/>
  <c r="R1029" i="202"/>
  <c r="R1030" i="202"/>
  <c r="R1031" i="202"/>
  <c r="BH1031" i="202" s="1"/>
  <c r="R1032" i="202"/>
  <c r="R1033" i="202"/>
  <c r="BH1033" i="202" s="1"/>
  <c r="R1034" i="202"/>
  <c r="R1035" i="202"/>
  <c r="R1036" i="202"/>
  <c r="BH1036" i="202" s="1"/>
  <c r="R1037" i="202"/>
  <c r="R1038" i="202"/>
  <c r="R1039" i="202"/>
  <c r="BH1039" i="202" s="1"/>
  <c r="R1040" i="202"/>
  <c r="R1041" i="202"/>
  <c r="BH1041" i="202" s="1"/>
  <c r="R1042" i="202"/>
  <c r="R1043" i="202"/>
  <c r="R1044" i="202"/>
  <c r="BH1044" i="202" s="1"/>
  <c r="R1045" i="202"/>
  <c r="R1046" i="202"/>
  <c r="R1047" i="202"/>
  <c r="BH1047" i="202" s="1"/>
  <c r="R1048" i="202"/>
  <c r="R1049" i="202"/>
  <c r="BH1049" i="202" s="1"/>
  <c r="R1050" i="202"/>
  <c r="R1051" i="202"/>
  <c r="R1052" i="202"/>
  <c r="BH1052" i="202" s="1"/>
  <c r="R1053" i="202"/>
  <c r="R1054" i="202"/>
  <c r="R1055" i="202"/>
  <c r="BH1055" i="202" s="1"/>
  <c r="R1056" i="202"/>
  <c r="R1057" i="202"/>
  <c r="BH1057" i="202" s="1"/>
  <c r="R1058" i="202"/>
  <c r="R1059" i="202"/>
  <c r="R1060" i="202"/>
  <c r="BH1060" i="202" s="1"/>
  <c r="R1061" i="202"/>
  <c r="R1062" i="202"/>
  <c r="R1063" i="202"/>
  <c r="BH1063" i="202" s="1"/>
  <c r="R1064" i="202"/>
  <c r="R1065" i="202"/>
  <c r="BH1065" i="202" s="1"/>
  <c r="R1066" i="202"/>
  <c r="R1067" i="202"/>
  <c r="R1068" i="202"/>
  <c r="BH1068" i="202" s="1"/>
  <c r="R1069" i="202"/>
  <c r="R1070" i="202"/>
  <c r="R1071" i="202"/>
  <c r="BH1071" i="202" s="1"/>
  <c r="R1072" i="202"/>
  <c r="R1073" i="202"/>
  <c r="BH1073" i="202" s="1"/>
  <c r="R1074" i="202"/>
  <c r="R1075" i="202"/>
  <c r="R1076" i="202"/>
  <c r="BH1076" i="202" s="1"/>
  <c r="R1077" i="202"/>
  <c r="R1078" i="202"/>
  <c r="R1079" i="202"/>
  <c r="BH1079" i="202" s="1"/>
  <c r="R1080" i="202"/>
  <c r="R1081" i="202"/>
  <c r="BH1081" i="202" s="1"/>
  <c r="R1082" i="202"/>
  <c r="R1083" i="202"/>
  <c r="R1084" i="202"/>
  <c r="BH1084" i="202" s="1"/>
  <c r="R1085" i="202"/>
  <c r="R1086" i="202"/>
  <c r="R1087" i="202"/>
  <c r="BH1087" i="202" s="1"/>
  <c r="R1088" i="202"/>
  <c r="R1089" i="202"/>
  <c r="BH1089" i="202" s="1"/>
  <c r="R1090" i="202"/>
  <c r="R1091" i="202"/>
  <c r="R1092" i="202"/>
  <c r="BH1092" i="202" s="1"/>
  <c r="R1093" i="202"/>
  <c r="R1094" i="202"/>
  <c r="R1095" i="202"/>
  <c r="BH1095" i="202" s="1"/>
  <c r="R1096" i="202"/>
  <c r="R1097" i="202"/>
  <c r="BH1097" i="202" s="1"/>
  <c r="R1098" i="202"/>
  <c r="R1099" i="202"/>
  <c r="R1100" i="202"/>
  <c r="BH1100" i="202" s="1"/>
  <c r="R1101" i="202"/>
  <c r="R1102" i="202"/>
  <c r="R1103" i="202"/>
  <c r="BH1103" i="202" s="1"/>
  <c r="R1104" i="202"/>
  <c r="R1105" i="202"/>
  <c r="BH1105" i="202" s="1"/>
  <c r="R1106" i="202"/>
  <c r="R1107" i="202"/>
  <c r="R1108" i="202"/>
  <c r="BH1108" i="202" s="1"/>
  <c r="R1109" i="202"/>
  <c r="R1110" i="202"/>
  <c r="R1111" i="202"/>
  <c r="BH1111" i="202" s="1"/>
  <c r="R1112" i="202"/>
  <c r="R1113" i="202"/>
  <c r="BH1113" i="202" s="1"/>
  <c r="R1114" i="202"/>
  <c r="R1115" i="202"/>
  <c r="R1116" i="202"/>
  <c r="BH1116" i="202" s="1"/>
  <c r="R1117" i="202"/>
  <c r="R1118" i="202"/>
  <c r="R1119" i="202"/>
  <c r="BH1119" i="202" s="1"/>
  <c r="R1120" i="202"/>
  <c r="R1121" i="202"/>
  <c r="BH1121" i="202" s="1"/>
  <c r="R1122" i="202"/>
  <c r="R1123" i="202"/>
  <c r="R1124" i="202"/>
  <c r="BH1124" i="202" s="1"/>
  <c r="R1125" i="202"/>
  <c r="R1126" i="202"/>
  <c r="R1127" i="202"/>
  <c r="BH1127" i="202" s="1"/>
  <c r="R1128" i="202"/>
  <c r="R1129" i="202"/>
  <c r="BH1129" i="202" s="1"/>
  <c r="R1130" i="202"/>
  <c r="R1131" i="202"/>
  <c r="R1132" i="202"/>
  <c r="BH1132" i="202" s="1"/>
  <c r="R1133" i="202"/>
  <c r="R1134" i="202"/>
  <c r="R1135" i="202"/>
  <c r="BH1135" i="202" s="1"/>
  <c r="R1136" i="202"/>
  <c r="R1137" i="202"/>
  <c r="BH1137" i="202" s="1"/>
  <c r="R1138" i="202"/>
  <c r="R1139" i="202"/>
  <c r="R1140" i="202"/>
  <c r="BH1140" i="202" s="1"/>
  <c r="R1141" i="202"/>
  <c r="R1142" i="202"/>
  <c r="R1143" i="202"/>
  <c r="BH1143" i="202" s="1"/>
  <c r="R1144" i="202"/>
  <c r="R1145" i="202"/>
  <c r="BH1145" i="202" s="1"/>
  <c r="R1146" i="202"/>
  <c r="R1147" i="202"/>
  <c r="R1148" i="202"/>
  <c r="BH1148" i="202" s="1"/>
  <c r="R1149" i="202"/>
  <c r="R1150" i="202"/>
  <c r="R1151" i="202"/>
  <c r="BH1151" i="202" s="1"/>
  <c r="R1152" i="202"/>
  <c r="R1153" i="202"/>
  <c r="BH1153" i="202" s="1"/>
  <c r="R1154" i="202"/>
  <c r="R1155" i="202"/>
  <c r="R1156" i="202"/>
  <c r="BH1156" i="202" s="1"/>
  <c r="R1157" i="202"/>
  <c r="R1158" i="202"/>
  <c r="R1159" i="202"/>
  <c r="BH1159" i="202" s="1"/>
  <c r="R1160" i="202"/>
  <c r="R1161" i="202"/>
  <c r="BH1161" i="202" s="1"/>
  <c r="R1162" i="202"/>
  <c r="R1163" i="202"/>
  <c r="R1164" i="202"/>
  <c r="BH1164" i="202" s="1"/>
  <c r="R1165" i="202"/>
  <c r="R1166" i="202"/>
  <c r="R1167" i="202"/>
  <c r="BH1167" i="202" s="1"/>
  <c r="R1168" i="202"/>
  <c r="R1169" i="202"/>
  <c r="BH1169" i="202" s="1"/>
  <c r="R1170" i="202"/>
  <c r="R1171" i="202"/>
  <c r="R1172" i="202"/>
  <c r="BH1172" i="202" s="1"/>
  <c r="R1173" i="202"/>
  <c r="R1174" i="202"/>
  <c r="R1175" i="202"/>
  <c r="BH1175" i="202" s="1"/>
  <c r="R1176" i="202"/>
  <c r="R1177" i="202"/>
  <c r="BH1177" i="202" s="1"/>
  <c r="R1178" i="202"/>
  <c r="R1179" i="202"/>
  <c r="R1180" i="202"/>
  <c r="BH1180" i="202" s="1"/>
  <c r="R1181" i="202"/>
  <c r="R1182" i="202"/>
  <c r="R1183" i="202"/>
  <c r="BH1183" i="202" s="1"/>
  <c r="R1184" i="202"/>
  <c r="R1185" i="202"/>
  <c r="BH1185" i="202" s="1"/>
  <c r="R1186" i="202"/>
  <c r="R1187" i="202"/>
  <c r="R1188" i="202"/>
  <c r="BH1188" i="202" s="1"/>
  <c r="R1189" i="202"/>
  <c r="R1190" i="202"/>
  <c r="R1191" i="202"/>
  <c r="BH1191" i="202" s="1"/>
  <c r="R1192" i="202"/>
  <c r="R1193" i="202"/>
  <c r="BH1193" i="202" s="1"/>
  <c r="R1194" i="202"/>
  <c r="R1195" i="202"/>
  <c r="R1196" i="202"/>
  <c r="BH1196" i="202" s="1"/>
  <c r="R1197" i="202"/>
  <c r="R1198" i="202"/>
  <c r="R1199" i="202"/>
  <c r="BH1199" i="202" s="1"/>
  <c r="R1200" i="202"/>
  <c r="R1201" i="202"/>
  <c r="BH1201" i="202" s="1"/>
  <c r="R1202" i="202"/>
  <c r="R1203" i="202"/>
  <c r="R1204" i="202"/>
  <c r="BH1204" i="202" s="1"/>
  <c r="R1205" i="202"/>
  <c r="R1206" i="202"/>
  <c r="R1207" i="202"/>
  <c r="BH1207" i="202" s="1"/>
  <c r="R1208" i="202"/>
  <c r="R1209" i="202"/>
  <c r="BH1209" i="202" s="1"/>
  <c r="R1210" i="202"/>
  <c r="R1211" i="202"/>
  <c r="R1212" i="202"/>
  <c r="BH1212" i="202" s="1"/>
  <c r="R1213" i="202"/>
  <c r="R1214" i="202"/>
  <c r="R1215" i="202"/>
  <c r="BH1215" i="202" s="1"/>
  <c r="R1216" i="202"/>
  <c r="R1217" i="202"/>
  <c r="BH1217" i="202" s="1"/>
  <c r="R1218" i="202"/>
  <c r="R1219" i="202"/>
  <c r="R1220" i="202"/>
  <c r="BH1220" i="202" s="1"/>
  <c r="R1221" i="202"/>
  <c r="R1222" i="202"/>
  <c r="R1223" i="202"/>
  <c r="BH1223" i="202" s="1"/>
  <c r="R1224" i="202"/>
  <c r="R1225" i="202"/>
  <c r="BH1225" i="202" s="1"/>
  <c r="R1226" i="202"/>
  <c r="R1227" i="202"/>
  <c r="R1228" i="202"/>
  <c r="BH1228" i="202" s="1"/>
  <c r="R1229" i="202"/>
  <c r="R1230" i="202"/>
  <c r="R1231" i="202"/>
  <c r="BH1231" i="202" s="1"/>
  <c r="R1232" i="202"/>
  <c r="R1233" i="202"/>
  <c r="BH1233" i="202" s="1"/>
  <c r="R1234" i="202"/>
  <c r="R1235" i="202"/>
  <c r="R1236" i="202"/>
  <c r="BH1236" i="202" s="1"/>
  <c r="R1237" i="202"/>
  <c r="R1238" i="202"/>
  <c r="R1239" i="202"/>
  <c r="BH1239" i="202" s="1"/>
  <c r="R1240" i="202"/>
  <c r="R1241" i="202"/>
  <c r="BH1241" i="202" s="1"/>
  <c r="R1242" i="202"/>
  <c r="R1243" i="202"/>
  <c r="R1244" i="202"/>
  <c r="BH1244" i="202" s="1"/>
  <c r="R1245" i="202"/>
  <c r="R1246" i="202"/>
  <c r="R1247" i="202"/>
  <c r="BH1247" i="202" s="1"/>
  <c r="R1248" i="202"/>
  <c r="R1249" i="202"/>
  <c r="BH1249" i="202" s="1"/>
  <c r="R1250" i="202"/>
  <c r="R1251" i="202"/>
  <c r="R1252" i="202"/>
  <c r="BH1252" i="202" s="1"/>
  <c r="R1253" i="202"/>
  <c r="R1254" i="202"/>
  <c r="R1255" i="202"/>
  <c r="BH1255" i="202" s="1"/>
  <c r="R1256" i="202"/>
  <c r="R1257" i="202"/>
  <c r="BH1257" i="202" s="1"/>
  <c r="R1258" i="202"/>
  <c r="R1259" i="202"/>
  <c r="R1260" i="202"/>
  <c r="BH1260" i="202" s="1"/>
  <c r="R1261" i="202"/>
  <c r="R1262" i="202"/>
  <c r="R1263" i="202"/>
  <c r="BH1263" i="202" s="1"/>
  <c r="R1264" i="202"/>
  <c r="R1265" i="202"/>
  <c r="BH1265" i="202" s="1"/>
  <c r="R1266" i="202"/>
  <c r="R1267" i="202"/>
  <c r="R1268" i="202"/>
  <c r="BH1268" i="202" s="1"/>
  <c r="R1269" i="202"/>
  <c r="R1270" i="202"/>
  <c r="R1271" i="202"/>
  <c r="BH1271" i="202" s="1"/>
  <c r="R1272" i="202"/>
  <c r="R1273" i="202"/>
  <c r="BH1273" i="202" s="1"/>
  <c r="R1274" i="202"/>
  <c r="R1275" i="202"/>
  <c r="R1276" i="202"/>
  <c r="BH1276" i="202" s="1"/>
  <c r="R1277" i="202"/>
  <c r="R1278" i="202"/>
  <c r="R1279" i="202"/>
  <c r="BH1279" i="202" s="1"/>
  <c r="R1280" i="202"/>
  <c r="R1281" i="202"/>
  <c r="BH1281" i="202" s="1"/>
  <c r="R1282" i="202"/>
  <c r="R1283" i="202"/>
  <c r="R1284" i="202"/>
  <c r="BH1284" i="202" s="1"/>
  <c r="R1285" i="202"/>
  <c r="R1286" i="202"/>
  <c r="R1287" i="202"/>
  <c r="BH1287" i="202" s="1"/>
  <c r="R1288" i="202"/>
  <c r="R1289" i="202"/>
  <c r="BH1289" i="202" s="1"/>
  <c r="R1290" i="202"/>
  <c r="R1291" i="202"/>
  <c r="R1292" i="202"/>
  <c r="BH1292" i="202" s="1"/>
  <c r="R1293" i="202"/>
  <c r="R1294" i="202"/>
  <c r="R1295" i="202"/>
  <c r="BH1295" i="202" s="1"/>
  <c r="R1296" i="202"/>
  <c r="R1297" i="202"/>
  <c r="BH1297" i="202" s="1"/>
  <c r="R1298" i="202"/>
  <c r="R1299" i="202"/>
  <c r="R1300" i="202"/>
  <c r="BH1300" i="202" s="1"/>
  <c r="R1301" i="202"/>
  <c r="R1302" i="202"/>
  <c r="R1303" i="202"/>
  <c r="BH1303" i="202" s="1"/>
  <c r="R1304" i="202"/>
  <c r="R1305" i="202"/>
  <c r="BH1305" i="202" s="1"/>
  <c r="R1306" i="202"/>
  <c r="R1307" i="202"/>
  <c r="R1308" i="202"/>
  <c r="BH1308" i="202" s="1"/>
  <c r="R1309" i="202"/>
  <c r="R1310" i="202"/>
  <c r="R1311" i="202"/>
  <c r="BH1311" i="202" s="1"/>
  <c r="R1312" i="202"/>
  <c r="R1313" i="202"/>
  <c r="BH1313" i="202" s="1"/>
  <c r="R1314" i="202"/>
  <c r="R1315" i="202"/>
  <c r="R1316" i="202"/>
  <c r="BH1316" i="202" s="1"/>
  <c r="R1317" i="202"/>
  <c r="R1318" i="202"/>
  <c r="R1319" i="202"/>
  <c r="BH1319" i="202" s="1"/>
  <c r="R1320" i="202"/>
  <c r="R1321" i="202"/>
  <c r="BH1321" i="202" s="1"/>
  <c r="R1322" i="202"/>
  <c r="R1323" i="202"/>
  <c r="R1324" i="202"/>
  <c r="BH1324" i="202" s="1"/>
  <c r="R1325" i="202"/>
  <c r="R1326" i="202"/>
  <c r="R1327" i="202"/>
  <c r="BH1327" i="202" s="1"/>
  <c r="R1328" i="202"/>
  <c r="R1329" i="202"/>
  <c r="BH1329" i="202" s="1"/>
  <c r="R1330" i="202"/>
  <c r="R1331" i="202"/>
  <c r="R1332" i="202"/>
  <c r="BH1332" i="202" s="1"/>
  <c r="R1333" i="202"/>
  <c r="R1334" i="202"/>
  <c r="R1335" i="202"/>
  <c r="BH1335" i="202" s="1"/>
  <c r="R1336" i="202"/>
  <c r="R1337" i="202"/>
  <c r="BH1337" i="202" s="1"/>
  <c r="R1338" i="202"/>
  <c r="R1339" i="202"/>
  <c r="R1340" i="202"/>
  <c r="BH1340" i="202" s="1"/>
  <c r="R1341" i="202"/>
  <c r="R1342" i="202"/>
  <c r="R1343" i="202"/>
  <c r="BH1343" i="202" s="1"/>
  <c r="R1344" i="202"/>
  <c r="R1345" i="202"/>
  <c r="BH1345" i="202" s="1"/>
  <c r="R1346" i="202"/>
  <c r="R1347" i="202"/>
  <c r="R1348" i="202"/>
  <c r="BH1348" i="202" s="1"/>
  <c r="R1349" i="202"/>
  <c r="R1350" i="202"/>
  <c r="R1351" i="202"/>
  <c r="BH1351" i="202" s="1"/>
  <c r="R1352" i="202"/>
  <c r="R1353" i="202"/>
  <c r="BH1353" i="202" s="1"/>
  <c r="R1354" i="202"/>
  <c r="R1355" i="202"/>
  <c r="R1356" i="202"/>
  <c r="BH1356" i="202" s="1"/>
  <c r="R1357" i="202"/>
  <c r="R1358" i="202"/>
  <c r="R1359" i="202"/>
  <c r="BH1359" i="202" s="1"/>
  <c r="R1360" i="202"/>
  <c r="R1361" i="202"/>
  <c r="BH1361" i="202" s="1"/>
  <c r="R1362" i="202"/>
  <c r="R1363" i="202"/>
  <c r="R1364" i="202"/>
  <c r="BH1364" i="202" s="1"/>
  <c r="R1365" i="202"/>
  <c r="R1366" i="202"/>
  <c r="R1367" i="202"/>
  <c r="BH1367" i="202" s="1"/>
  <c r="R1368" i="202"/>
  <c r="R1369" i="202"/>
  <c r="BH1369" i="202" s="1"/>
  <c r="R1370" i="202"/>
  <c r="R1371" i="202"/>
  <c r="R1372" i="202"/>
  <c r="BH1372" i="202" s="1"/>
  <c r="R1373" i="202"/>
  <c r="R1374" i="202"/>
  <c r="R1375" i="202"/>
  <c r="BH1375" i="202" s="1"/>
  <c r="R1376" i="202"/>
  <c r="R1377" i="202"/>
  <c r="BH1377" i="202" s="1"/>
  <c r="R1378" i="202"/>
  <c r="R1379" i="202"/>
  <c r="R1380" i="202"/>
  <c r="BH1380" i="202" s="1"/>
  <c r="R1381" i="202"/>
  <c r="R1382" i="202"/>
  <c r="R1383" i="202"/>
  <c r="BH1383" i="202" s="1"/>
  <c r="R1384" i="202"/>
  <c r="R1385" i="202"/>
  <c r="BH1385" i="202" s="1"/>
  <c r="R1386" i="202"/>
  <c r="R1387" i="202"/>
  <c r="R1388" i="202"/>
  <c r="BH1388" i="202" s="1"/>
  <c r="R1389" i="202"/>
  <c r="R1390" i="202"/>
  <c r="R1391" i="202"/>
  <c r="BH1391" i="202" s="1"/>
  <c r="R1392" i="202"/>
  <c r="R1393" i="202"/>
  <c r="BH1393" i="202" s="1"/>
  <c r="R1394" i="202"/>
  <c r="R1395" i="202"/>
  <c r="R1396" i="202"/>
  <c r="BH1396" i="202" s="1"/>
  <c r="R1397" i="202"/>
  <c r="R1398" i="202"/>
  <c r="R1399" i="202"/>
  <c r="BH1399" i="202" s="1"/>
  <c r="R1400" i="202"/>
  <c r="R1401" i="202"/>
  <c r="BH1401" i="202" s="1"/>
  <c r="R1402" i="202"/>
  <c r="R1403" i="202"/>
  <c r="R1404" i="202"/>
  <c r="BH1404" i="202" s="1"/>
  <c r="R1405" i="202"/>
  <c r="R1406" i="202"/>
  <c r="R1407" i="202"/>
  <c r="BH1407" i="202" s="1"/>
  <c r="R1408" i="202"/>
  <c r="R1409" i="202"/>
  <c r="BH1409" i="202" s="1"/>
  <c r="R1410" i="202"/>
  <c r="R1411" i="202"/>
  <c r="R1412" i="202"/>
  <c r="BH1412" i="202" s="1"/>
  <c r="R1413" i="202"/>
  <c r="R1414" i="202"/>
  <c r="R1415" i="202"/>
  <c r="BH1415" i="202" s="1"/>
  <c r="R1416" i="202"/>
  <c r="R1417" i="202"/>
  <c r="BH1417" i="202" s="1"/>
  <c r="R1418" i="202"/>
  <c r="R1419" i="202"/>
  <c r="R1420" i="202"/>
  <c r="BH1420" i="202" s="1"/>
  <c r="R1421" i="202"/>
  <c r="R1422" i="202"/>
  <c r="R1423" i="202"/>
  <c r="BH1423" i="202" s="1"/>
  <c r="R1424" i="202"/>
  <c r="R1425" i="202"/>
  <c r="BH1425" i="202" s="1"/>
  <c r="R1426" i="202"/>
  <c r="R1427" i="202"/>
  <c r="R1428" i="202"/>
  <c r="BH1428" i="202" s="1"/>
  <c r="R1429" i="202"/>
  <c r="R1430" i="202"/>
  <c r="R1431" i="202"/>
  <c r="BH1431" i="202" s="1"/>
  <c r="R1432" i="202"/>
  <c r="R1433" i="202"/>
  <c r="BH1433" i="202" s="1"/>
  <c r="R1434" i="202"/>
  <c r="R1435" i="202"/>
  <c r="R1436" i="202"/>
  <c r="BH1436" i="202" s="1"/>
  <c r="R1437" i="202"/>
  <c r="R1438" i="202"/>
  <c r="R1439" i="202"/>
  <c r="BH1439" i="202" s="1"/>
  <c r="R1440" i="202"/>
  <c r="R1441" i="202"/>
  <c r="BH1441" i="202" s="1"/>
  <c r="R1442" i="202"/>
  <c r="R1443" i="202"/>
  <c r="R1444" i="202"/>
  <c r="BH1444" i="202" s="1"/>
  <c r="R1445" i="202"/>
  <c r="R1446" i="202"/>
  <c r="R1447" i="202"/>
  <c r="BH1447" i="202" s="1"/>
  <c r="R1448" i="202"/>
  <c r="R1449" i="202"/>
  <c r="BH1449" i="202" s="1"/>
  <c r="R1450" i="202"/>
  <c r="R1451" i="202"/>
  <c r="R1452" i="202"/>
  <c r="BH1452" i="202" s="1"/>
  <c r="R1453" i="202"/>
  <c r="R1454" i="202"/>
  <c r="R1455" i="202"/>
  <c r="BH1455" i="202" s="1"/>
  <c r="R1456" i="202"/>
  <c r="R1457" i="202"/>
  <c r="BH1457" i="202" s="1"/>
  <c r="R1458" i="202"/>
  <c r="R1459" i="202"/>
  <c r="R1460" i="202"/>
  <c r="BH1460" i="202" s="1"/>
  <c r="R1461" i="202"/>
  <c r="R1462" i="202"/>
  <c r="R1463" i="202"/>
  <c r="BH1463" i="202" s="1"/>
  <c r="R1464" i="202"/>
  <c r="R1465" i="202"/>
  <c r="BH1465" i="202" s="1"/>
  <c r="R1466" i="202"/>
  <c r="R1467" i="202"/>
  <c r="R1468" i="202"/>
  <c r="BH1468" i="202" s="1"/>
  <c r="R1469" i="202"/>
  <c r="R1470" i="202"/>
  <c r="R1471" i="202"/>
  <c r="BH1471" i="202" s="1"/>
  <c r="R1472" i="202"/>
  <c r="R1473" i="202"/>
  <c r="BH1473" i="202" s="1"/>
  <c r="R1474" i="202"/>
  <c r="R1475" i="202"/>
  <c r="R1476" i="202"/>
  <c r="BH1476" i="202" s="1"/>
  <c r="R1477" i="202"/>
  <c r="R1478" i="202"/>
  <c r="R1479" i="202"/>
  <c r="BH1479" i="202" s="1"/>
  <c r="R1480" i="202"/>
  <c r="R1481" i="202"/>
  <c r="BH1481" i="202" s="1"/>
  <c r="R1482" i="202"/>
  <c r="R1483" i="202"/>
  <c r="R1484" i="202"/>
  <c r="BH1484" i="202" s="1"/>
  <c r="R1485" i="202"/>
  <c r="R1486" i="202"/>
  <c r="R1487" i="202"/>
  <c r="BH1487" i="202" s="1"/>
  <c r="R1488" i="202"/>
  <c r="R1489" i="202"/>
  <c r="BH1489" i="202" s="1"/>
  <c r="R1490" i="202"/>
  <c r="R1491" i="202"/>
  <c r="R1492" i="202"/>
  <c r="BH1492" i="202" s="1"/>
  <c r="R1493" i="202"/>
  <c r="R1494" i="202"/>
  <c r="R1495" i="202"/>
  <c r="BH1495" i="202" s="1"/>
  <c r="R1496" i="202"/>
  <c r="R1497" i="202"/>
  <c r="BH1497" i="202" s="1"/>
  <c r="R1498" i="202"/>
  <c r="R1499" i="202"/>
  <c r="R1500" i="202"/>
  <c r="BH1500" i="202" s="1"/>
  <c r="R1501" i="202"/>
  <c r="R1502" i="202"/>
  <c r="R1503" i="202"/>
  <c r="BH1503" i="202" s="1"/>
  <c r="R1504" i="202"/>
  <c r="R1505" i="202"/>
  <c r="BH1505" i="202" s="1"/>
  <c r="R1506" i="202"/>
  <c r="R1507" i="202"/>
  <c r="R1508" i="202"/>
  <c r="BH1508" i="202" s="1"/>
  <c r="R1509" i="202"/>
  <c r="R1510" i="202"/>
  <c r="R1511" i="202"/>
  <c r="BH1511" i="202" s="1"/>
  <c r="R1512" i="202"/>
  <c r="R1513" i="202"/>
  <c r="BH1513" i="202" s="1"/>
  <c r="R1514" i="202"/>
  <c r="R1515" i="202"/>
  <c r="R1516" i="202"/>
  <c r="BH1516" i="202" s="1"/>
  <c r="R1517" i="202"/>
  <c r="R1518" i="202"/>
  <c r="R1519" i="202"/>
  <c r="BH1519" i="202" s="1"/>
  <c r="R1520" i="202"/>
  <c r="R1521" i="202"/>
  <c r="BH1521" i="202" s="1"/>
  <c r="R1522" i="202"/>
  <c r="R1523" i="202"/>
  <c r="R1524" i="202"/>
  <c r="BH1524" i="202" s="1"/>
  <c r="R1525" i="202"/>
  <c r="R1526" i="202"/>
  <c r="R1527" i="202"/>
  <c r="BH1527" i="202" s="1"/>
  <c r="R1528" i="202"/>
  <c r="R1529" i="202"/>
  <c r="BH1529" i="202" s="1"/>
  <c r="R1530" i="202"/>
  <c r="R1531" i="202"/>
  <c r="R1532" i="202"/>
  <c r="BH1532" i="202" s="1"/>
  <c r="R1533" i="202"/>
  <c r="R1534" i="202"/>
  <c r="R1535" i="202"/>
  <c r="BH1535" i="202" s="1"/>
  <c r="R1536" i="202"/>
  <c r="R1537" i="202"/>
  <c r="BH1537" i="202" s="1"/>
  <c r="R1538" i="202"/>
  <c r="R1539" i="202"/>
  <c r="R1540" i="202"/>
  <c r="BH1540" i="202" s="1"/>
  <c r="R1541" i="202"/>
  <c r="R1542" i="202"/>
  <c r="R1543" i="202"/>
  <c r="BH1543" i="202" s="1"/>
  <c r="R1544" i="202"/>
  <c r="R1545" i="202"/>
  <c r="BH1545" i="202" s="1"/>
  <c r="R1546" i="202"/>
  <c r="R1547" i="202"/>
  <c r="R1548" i="202"/>
  <c r="BH1548" i="202" s="1"/>
  <c r="R1549" i="202"/>
  <c r="R1550" i="202"/>
  <c r="R1551" i="202"/>
  <c r="BH1551" i="202" s="1"/>
  <c r="R1552" i="202"/>
  <c r="R1553" i="202"/>
  <c r="BH1553" i="202" s="1"/>
  <c r="R1554" i="202"/>
  <c r="R1555" i="202"/>
  <c r="R1556" i="202"/>
  <c r="BH1556" i="202" s="1"/>
  <c r="R1557" i="202"/>
  <c r="R1558" i="202"/>
  <c r="R1559" i="202"/>
  <c r="BH1559" i="202" s="1"/>
  <c r="R1560" i="202"/>
  <c r="R1561" i="202"/>
  <c r="BH1561" i="202" s="1"/>
  <c r="R1562" i="202"/>
  <c r="R1563" i="202"/>
  <c r="R1564" i="202"/>
  <c r="BH1564" i="202" s="1"/>
  <c r="R1565" i="202"/>
  <c r="R1566" i="202"/>
  <c r="R1567" i="202"/>
  <c r="BH1567" i="202" s="1"/>
  <c r="R1568" i="202"/>
  <c r="R1569" i="202"/>
  <c r="BH1569" i="202" s="1"/>
  <c r="R1570" i="202"/>
  <c r="R1571" i="202"/>
  <c r="R1572" i="202"/>
  <c r="BH1572" i="202" s="1"/>
  <c r="R1573" i="202"/>
  <c r="R1574" i="202"/>
  <c r="R1575" i="202"/>
  <c r="BH1575" i="202" s="1"/>
  <c r="R1576" i="202"/>
  <c r="R1577" i="202"/>
  <c r="BH1577" i="202" s="1"/>
  <c r="R1578" i="202"/>
  <c r="R1579" i="202"/>
  <c r="R1580" i="202"/>
  <c r="BH1580" i="202" s="1"/>
  <c r="R1581" i="202"/>
  <c r="R1582" i="202"/>
  <c r="R1583" i="202"/>
  <c r="BH1583" i="202" s="1"/>
  <c r="R1584" i="202"/>
  <c r="R1585" i="202"/>
  <c r="BH1585" i="202" s="1"/>
  <c r="R1586" i="202"/>
  <c r="R1587" i="202"/>
  <c r="R1588" i="202"/>
  <c r="BH1588" i="202" s="1"/>
  <c r="R1589" i="202"/>
  <c r="R1590" i="202"/>
  <c r="R1591" i="202"/>
  <c r="BH1591" i="202" s="1"/>
  <c r="R1592" i="202"/>
  <c r="R1593" i="202"/>
  <c r="BH1593" i="202" s="1"/>
  <c r="R1594" i="202"/>
  <c r="R1595" i="202"/>
  <c r="R1596" i="202"/>
  <c r="BH1596" i="202" s="1"/>
  <c r="R1597" i="202"/>
  <c r="R1598" i="202"/>
  <c r="R1599" i="202"/>
  <c r="BH1599" i="202" s="1"/>
  <c r="R1600" i="202"/>
  <c r="R1601" i="202"/>
  <c r="BH1601" i="202" s="1"/>
  <c r="R1602" i="202"/>
  <c r="R1603" i="202"/>
  <c r="R1604" i="202"/>
  <c r="BH1604" i="202" s="1"/>
  <c r="R1605" i="202"/>
  <c r="R1606" i="202"/>
  <c r="R1607" i="202"/>
  <c r="BH1607" i="202" s="1"/>
  <c r="R1608" i="202"/>
  <c r="R1609" i="202"/>
  <c r="BH1609" i="202" s="1"/>
  <c r="R1610" i="202"/>
  <c r="R1611" i="202"/>
  <c r="R1612" i="202"/>
  <c r="BH1612" i="202" s="1"/>
  <c r="R1613" i="202"/>
  <c r="R1614" i="202"/>
  <c r="R1615" i="202"/>
  <c r="BH1615" i="202" s="1"/>
  <c r="R1616" i="202"/>
  <c r="R1617" i="202"/>
  <c r="BH1617" i="202" s="1"/>
  <c r="R1618" i="202"/>
  <c r="R1619" i="202"/>
  <c r="R1620" i="202"/>
  <c r="BH1620" i="202" s="1"/>
  <c r="R1621" i="202"/>
  <c r="R1622" i="202"/>
  <c r="R1623" i="202"/>
  <c r="BH1623" i="202" s="1"/>
  <c r="R1624" i="202"/>
  <c r="R1625" i="202"/>
  <c r="BH1625" i="202" s="1"/>
  <c r="R1626" i="202"/>
  <c r="R1627" i="202"/>
  <c r="R1628" i="202"/>
  <c r="BH1628" i="202" s="1"/>
  <c r="R1629" i="202"/>
  <c r="R1630" i="202"/>
  <c r="R1631" i="202"/>
  <c r="BH1631" i="202" s="1"/>
  <c r="R1632" i="202"/>
  <c r="R1633" i="202"/>
  <c r="BH1633" i="202" s="1"/>
  <c r="R1634" i="202"/>
  <c r="R1635" i="202"/>
  <c r="R1636" i="202"/>
  <c r="BH1636" i="202" s="1"/>
  <c r="R1637" i="202"/>
  <c r="R1638" i="202"/>
  <c r="R1639" i="202"/>
  <c r="BH1639" i="202" s="1"/>
  <c r="R1640" i="202"/>
  <c r="R1641" i="202"/>
  <c r="BH1641" i="202" s="1"/>
  <c r="R1642" i="202"/>
  <c r="R1643" i="202"/>
  <c r="R1644" i="202"/>
  <c r="BH1644" i="202" s="1"/>
  <c r="R1645" i="202"/>
  <c r="R1646" i="202"/>
  <c r="R1647" i="202"/>
  <c r="BH1647" i="202" s="1"/>
  <c r="R1648" i="202"/>
  <c r="R1649" i="202"/>
  <c r="BH1649" i="202" s="1"/>
  <c r="R1650" i="202"/>
  <c r="R1651" i="202"/>
  <c r="R1652" i="202"/>
  <c r="BH1652" i="202" s="1"/>
  <c r="R1653" i="202"/>
  <c r="R1654" i="202"/>
  <c r="R1655" i="202"/>
  <c r="BH1655" i="202" s="1"/>
  <c r="R1656" i="202"/>
  <c r="R1657" i="202"/>
  <c r="BH1657" i="202" s="1"/>
  <c r="R1658" i="202"/>
  <c r="R1659" i="202"/>
  <c r="R1660" i="202"/>
  <c r="BH1660" i="202" s="1"/>
  <c r="R1661" i="202"/>
  <c r="R1662" i="202"/>
  <c r="R1663" i="202"/>
  <c r="BH1663" i="202" s="1"/>
  <c r="R1664" i="202"/>
  <c r="R1665" i="202"/>
  <c r="BH1665" i="202" s="1"/>
  <c r="R1666" i="202"/>
  <c r="R1667" i="202"/>
  <c r="R1668" i="202"/>
  <c r="BH1668" i="202" s="1"/>
  <c r="R1669" i="202"/>
  <c r="R1670" i="202"/>
  <c r="R1671" i="202"/>
  <c r="BH1671" i="202" s="1"/>
  <c r="R1672" i="202"/>
  <c r="R1673" i="202"/>
  <c r="BH1673" i="202" s="1"/>
  <c r="R1674" i="202"/>
  <c r="R1675" i="202"/>
  <c r="R1676" i="202"/>
  <c r="BH1676" i="202" s="1"/>
  <c r="R1677" i="202"/>
  <c r="R1678" i="202"/>
  <c r="R1679" i="202"/>
  <c r="BH1679" i="202" s="1"/>
  <c r="R1680" i="202"/>
  <c r="R1681" i="202"/>
  <c r="BH1681" i="202" s="1"/>
  <c r="R1682" i="202"/>
  <c r="R1683" i="202"/>
  <c r="R1684" i="202"/>
  <c r="BH1684" i="202" s="1"/>
  <c r="R1685" i="202"/>
  <c r="R1686" i="202"/>
  <c r="R1687" i="202"/>
  <c r="BH1687" i="202" s="1"/>
  <c r="R1688" i="202"/>
  <c r="R1689" i="202"/>
  <c r="BH1689" i="202" s="1"/>
  <c r="R1690" i="202"/>
  <c r="R1691" i="202"/>
  <c r="R1692" i="202"/>
  <c r="BH1692" i="202" s="1"/>
  <c r="R1693" i="202"/>
  <c r="R1694" i="202"/>
  <c r="R1695" i="202"/>
  <c r="BH1695" i="202" s="1"/>
  <c r="R1696" i="202"/>
  <c r="R1697" i="202"/>
  <c r="BH1697" i="202" s="1"/>
  <c r="R1698" i="202"/>
  <c r="R1699" i="202"/>
  <c r="R1700" i="202"/>
  <c r="BH1700" i="202" s="1"/>
  <c r="R1701" i="202"/>
  <c r="R1702" i="202"/>
  <c r="R1703" i="202"/>
  <c r="BH1703" i="202" s="1"/>
  <c r="R1704" i="202"/>
  <c r="R1705" i="202"/>
  <c r="BH1705" i="202" s="1"/>
  <c r="R1706" i="202"/>
  <c r="R1707" i="202"/>
  <c r="R1708" i="202"/>
  <c r="BH1708" i="202" s="1"/>
  <c r="R1709" i="202"/>
  <c r="R1710" i="202"/>
  <c r="R1711" i="202"/>
  <c r="BH1711" i="202" s="1"/>
  <c r="R1712" i="202"/>
  <c r="R1713" i="202"/>
  <c r="BH1713" i="202" s="1"/>
  <c r="R1714" i="202"/>
  <c r="R1715" i="202"/>
  <c r="R1716" i="202"/>
  <c r="BH1716" i="202" s="1"/>
  <c r="R1717" i="202"/>
  <c r="R1718" i="202"/>
  <c r="R1719" i="202"/>
  <c r="BH1719" i="202" s="1"/>
  <c r="R1720" i="202"/>
  <c r="R1721" i="202"/>
  <c r="BH1721" i="202" s="1"/>
  <c r="R1722" i="202"/>
  <c r="R1723" i="202"/>
  <c r="R1724" i="202"/>
  <c r="BH1724" i="202" s="1"/>
  <c r="R1725" i="202"/>
  <c r="R1726" i="202"/>
  <c r="R1727" i="202"/>
  <c r="BH1727" i="202" s="1"/>
  <c r="R1728" i="202"/>
  <c r="R1729" i="202"/>
  <c r="BH1729" i="202" s="1"/>
  <c r="R1730" i="202"/>
  <c r="R1731" i="202"/>
  <c r="R1732" i="202"/>
  <c r="BH1732" i="202" s="1"/>
  <c r="R1733" i="202"/>
  <c r="R1734" i="202"/>
  <c r="R1735" i="202"/>
  <c r="BH1735" i="202" s="1"/>
  <c r="R1736" i="202"/>
  <c r="R1737" i="202"/>
  <c r="BH1737" i="202" s="1"/>
  <c r="R1738" i="202"/>
  <c r="R1739" i="202"/>
  <c r="R1740" i="202"/>
  <c r="BH1740" i="202" s="1"/>
  <c r="R1741" i="202"/>
  <c r="R1742" i="202"/>
  <c r="R1743" i="202"/>
  <c r="BH1743" i="202" s="1"/>
  <c r="R1744" i="202"/>
  <c r="R1745" i="202"/>
  <c r="BH1745" i="202" s="1"/>
  <c r="R1746" i="202"/>
  <c r="R1747" i="202"/>
  <c r="R1748" i="202"/>
  <c r="BH1748" i="202" s="1"/>
  <c r="R1749" i="202"/>
  <c r="R1750" i="202"/>
  <c r="R1751" i="202"/>
  <c r="BH1751" i="202" s="1"/>
  <c r="R1752" i="202"/>
  <c r="R1753" i="202"/>
  <c r="BH1753" i="202" s="1"/>
  <c r="R1754" i="202"/>
  <c r="R1755" i="202"/>
  <c r="R1756" i="202"/>
  <c r="BH1756" i="202" s="1"/>
  <c r="R1757" i="202"/>
  <c r="R1758" i="202"/>
  <c r="R1759" i="202"/>
  <c r="BH1759" i="202" s="1"/>
  <c r="R1760" i="202"/>
  <c r="R1761" i="202"/>
  <c r="BH1761" i="202" s="1"/>
  <c r="R1762" i="202"/>
  <c r="R1763" i="202"/>
  <c r="R1764" i="202"/>
  <c r="BH1764" i="202" s="1"/>
  <c r="R1765" i="202"/>
  <c r="R1766" i="202"/>
  <c r="R1767" i="202"/>
  <c r="BH1767" i="202" s="1"/>
  <c r="R1768" i="202"/>
  <c r="R1769" i="202"/>
  <c r="BH1769" i="202" s="1"/>
  <c r="R1770" i="202"/>
  <c r="R1771" i="202"/>
  <c r="R1772" i="202"/>
  <c r="BH1772" i="202" s="1"/>
  <c r="R1773" i="202"/>
  <c r="R1774" i="202"/>
  <c r="R1775" i="202"/>
  <c r="BH1775" i="202" s="1"/>
  <c r="R1776" i="202"/>
  <c r="R1777" i="202"/>
  <c r="BH1777" i="202" s="1"/>
  <c r="R1778" i="202"/>
  <c r="R1779" i="202"/>
  <c r="R1780" i="202"/>
  <c r="BH1780" i="202" s="1"/>
  <c r="R1781" i="202"/>
  <c r="R1782" i="202"/>
  <c r="R1783" i="202"/>
  <c r="BH1783" i="202" s="1"/>
  <c r="R1784" i="202"/>
  <c r="R1785" i="202"/>
  <c r="BH1785" i="202" s="1"/>
  <c r="R1786" i="202"/>
  <c r="R1787" i="202"/>
  <c r="R1788" i="202"/>
  <c r="BH1788" i="202" s="1"/>
  <c r="R1789" i="202"/>
  <c r="R1790" i="202"/>
  <c r="R1791" i="202"/>
  <c r="BH1791" i="202" s="1"/>
  <c r="R1792" i="202"/>
  <c r="R1793" i="202"/>
  <c r="BH1793" i="202" s="1"/>
  <c r="R1794" i="202"/>
  <c r="R1795" i="202"/>
  <c r="R1796" i="202"/>
  <c r="BH1796" i="202" s="1"/>
  <c r="R1797" i="202"/>
  <c r="R1798" i="202"/>
  <c r="R1799" i="202"/>
  <c r="BH1799" i="202" s="1"/>
  <c r="R1800" i="202"/>
  <c r="R1801" i="202"/>
  <c r="BH1801" i="202" s="1"/>
  <c r="R1802" i="202"/>
  <c r="R1803" i="202"/>
  <c r="R1804" i="202"/>
  <c r="BH1804" i="202" s="1"/>
  <c r="R1805" i="202"/>
  <c r="R1806" i="202"/>
  <c r="R1807" i="202"/>
  <c r="BH1807" i="202" s="1"/>
  <c r="R1808" i="202"/>
  <c r="R1809" i="202"/>
  <c r="BH1809" i="202" s="1"/>
  <c r="R1810" i="202"/>
  <c r="R1811" i="202"/>
  <c r="R1812" i="202"/>
  <c r="BH1812" i="202" s="1"/>
  <c r="R1813" i="202"/>
  <c r="R1814" i="202"/>
  <c r="R1815" i="202"/>
  <c r="BH1815" i="202" s="1"/>
  <c r="R1816" i="202"/>
  <c r="R1817" i="202"/>
  <c r="BH1817" i="202" s="1"/>
  <c r="R1818" i="202"/>
  <c r="R1819" i="202"/>
  <c r="R1820" i="202"/>
  <c r="BH1820" i="202" s="1"/>
  <c r="R1821" i="202"/>
  <c r="R1822" i="202"/>
  <c r="R1823" i="202"/>
  <c r="BH1823" i="202" s="1"/>
  <c r="R1824" i="202"/>
  <c r="R1825" i="202"/>
  <c r="BH1825" i="202" s="1"/>
  <c r="R1826" i="202"/>
  <c r="R1827" i="202"/>
  <c r="R1828" i="202"/>
  <c r="BH1828" i="202" s="1"/>
  <c r="R1829" i="202"/>
  <c r="R1830" i="202"/>
  <c r="R1831" i="202"/>
  <c r="BH1831" i="202" s="1"/>
  <c r="R1832" i="202"/>
  <c r="R1833" i="202"/>
  <c r="BH1833" i="202" s="1"/>
  <c r="R1834" i="202"/>
  <c r="R1835" i="202"/>
  <c r="R1836" i="202"/>
  <c r="BH1836" i="202" s="1"/>
  <c r="R1837" i="202"/>
  <c r="R1838" i="202"/>
  <c r="R1839" i="202"/>
  <c r="BH1839" i="202" s="1"/>
  <c r="R1840" i="202"/>
  <c r="R1841" i="202"/>
  <c r="BH1841" i="202" s="1"/>
  <c r="R1842" i="202"/>
  <c r="R1843" i="202"/>
  <c r="R1844" i="202"/>
  <c r="BH1844" i="202" s="1"/>
  <c r="R1845" i="202"/>
  <c r="R1846" i="202"/>
  <c r="R1847" i="202"/>
  <c r="BH1847" i="202" s="1"/>
  <c r="R1848" i="202"/>
  <c r="R1849" i="202"/>
  <c r="BH1849" i="202" s="1"/>
  <c r="R1850" i="202"/>
  <c r="R1851" i="202"/>
  <c r="R1852" i="202"/>
  <c r="BH1852" i="202" s="1"/>
  <c r="R1853" i="202"/>
  <c r="R1854" i="202"/>
  <c r="R1855" i="202"/>
  <c r="BH1855" i="202" s="1"/>
  <c r="R1856" i="202"/>
  <c r="R1857" i="202"/>
  <c r="BH1857" i="202" s="1"/>
  <c r="R1858" i="202"/>
  <c r="R1859" i="202"/>
  <c r="R1860" i="202"/>
  <c r="BH1860" i="202" s="1"/>
  <c r="R1861" i="202"/>
  <c r="R1862" i="202"/>
  <c r="R1863" i="202"/>
  <c r="BH1863" i="202" s="1"/>
  <c r="R1864" i="202"/>
  <c r="R1865" i="202"/>
  <c r="BH1865" i="202" s="1"/>
  <c r="R1866" i="202"/>
  <c r="R1867" i="202"/>
  <c r="R1868" i="202"/>
  <c r="BH1868" i="202" s="1"/>
  <c r="R1869" i="202"/>
  <c r="R1870" i="202"/>
  <c r="R1871" i="202"/>
  <c r="BH1871" i="202" s="1"/>
  <c r="R1872" i="202"/>
  <c r="R1873" i="202"/>
  <c r="BH1873" i="202" s="1"/>
  <c r="R1874" i="202"/>
  <c r="R1875" i="202"/>
  <c r="R1876" i="202"/>
  <c r="BH1876" i="202" s="1"/>
  <c r="R1877" i="202"/>
  <c r="R1878" i="202"/>
  <c r="R1879" i="202"/>
  <c r="BH1879" i="202" s="1"/>
  <c r="R1880" i="202"/>
  <c r="R1881" i="202"/>
  <c r="BH1881" i="202" s="1"/>
  <c r="R1882" i="202"/>
  <c r="R1883" i="202"/>
  <c r="R1884" i="202"/>
  <c r="BH1884" i="202" s="1"/>
  <c r="R1885" i="202"/>
  <c r="R1886" i="202"/>
  <c r="R1887" i="202"/>
  <c r="BH1887" i="202" s="1"/>
  <c r="R1888" i="202"/>
  <c r="R1889" i="202"/>
  <c r="BH1889" i="202" s="1"/>
  <c r="R1890" i="202"/>
  <c r="R1891" i="202"/>
  <c r="R1892" i="202"/>
  <c r="BH1892" i="202" s="1"/>
  <c r="R1893" i="202"/>
  <c r="R1894" i="202"/>
  <c r="R1895" i="202"/>
  <c r="BH1895" i="202" s="1"/>
  <c r="R1896" i="202"/>
  <c r="R1897" i="202"/>
  <c r="BH1897" i="202" s="1"/>
  <c r="R1898" i="202"/>
  <c r="R1899" i="202"/>
  <c r="R1900" i="202"/>
  <c r="BH1900" i="202" s="1"/>
  <c r="R1901" i="202"/>
  <c r="R1902" i="202"/>
  <c r="R1903" i="202"/>
  <c r="BH1903" i="202" s="1"/>
  <c r="R1904" i="202"/>
  <c r="R1905" i="202"/>
  <c r="BH1905" i="202" s="1"/>
  <c r="R1906" i="202"/>
  <c r="R1907" i="202"/>
  <c r="R1908" i="202"/>
  <c r="BH1908" i="202" s="1"/>
  <c r="R1909" i="202"/>
  <c r="R1910" i="202"/>
  <c r="R1911" i="202"/>
  <c r="BH1911" i="202" s="1"/>
  <c r="R1912" i="202"/>
  <c r="R1913" i="202"/>
  <c r="BH1913" i="202" s="1"/>
  <c r="R1914" i="202"/>
  <c r="R1915" i="202"/>
  <c r="R1916" i="202"/>
  <c r="BH1916" i="202" s="1"/>
  <c r="R1917" i="202"/>
  <c r="R1918" i="202"/>
  <c r="R1919" i="202"/>
  <c r="BH1919" i="202" s="1"/>
  <c r="R1920" i="202"/>
  <c r="R1921" i="202"/>
  <c r="BH1921" i="202" s="1"/>
  <c r="R1922" i="202"/>
  <c r="R1923" i="202"/>
  <c r="R1924" i="202"/>
  <c r="BH1924" i="202" s="1"/>
  <c r="R1925" i="202"/>
  <c r="R1926" i="202"/>
  <c r="R1927" i="202"/>
  <c r="BH1927" i="202" s="1"/>
  <c r="R1928" i="202"/>
  <c r="R1929" i="202"/>
  <c r="BH1929" i="202" s="1"/>
  <c r="R1930" i="202"/>
  <c r="R1931" i="202"/>
  <c r="R1932" i="202"/>
  <c r="BH1932" i="202" s="1"/>
  <c r="R1933" i="202"/>
  <c r="R1934" i="202"/>
  <c r="R1935" i="202"/>
  <c r="BH1935" i="202" s="1"/>
  <c r="R1936" i="202"/>
  <c r="R1937" i="202"/>
  <c r="BH1937" i="202" s="1"/>
  <c r="R1938" i="202"/>
  <c r="R1939" i="202"/>
  <c r="R1940" i="202"/>
  <c r="BH1940" i="202" s="1"/>
  <c r="R1941" i="202"/>
  <c r="R1942" i="202"/>
  <c r="R1943" i="202"/>
  <c r="BH1943" i="202" s="1"/>
  <c r="R1944" i="202"/>
  <c r="R1945" i="202"/>
  <c r="BH1945" i="202" s="1"/>
  <c r="R1946" i="202"/>
  <c r="R1947" i="202"/>
  <c r="R1948" i="202"/>
  <c r="BH1948" i="202" s="1"/>
  <c r="R1949" i="202"/>
  <c r="R1950" i="202"/>
  <c r="R1951" i="202"/>
  <c r="BH1951" i="202" s="1"/>
  <c r="R1952" i="202"/>
  <c r="R1953" i="202"/>
  <c r="BH1953" i="202" s="1"/>
  <c r="R1954" i="202"/>
  <c r="R1955" i="202"/>
  <c r="R1956" i="202"/>
  <c r="BH1956" i="202" s="1"/>
  <c r="R1957" i="202"/>
  <c r="R1958" i="202"/>
  <c r="R1959" i="202"/>
  <c r="BH1959" i="202" s="1"/>
  <c r="R1960" i="202"/>
  <c r="R1961" i="202"/>
  <c r="BH1961" i="202" s="1"/>
  <c r="R1962" i="202"/>
  <c r="R1963" i="202"/>
  <c r="R1964" i="202"/>
  <c r="BH1964" i="202" s="1"/>
  <c r="R1965" i="202"/>
  <c r="R1966" i="202"/>
  <c r="R1967" i="202"/>
  <c r="BH1967" i="202" s="1"/>
  <c r="R1968" i="202"/>
  <c r="R1969" i="202"/>
  <c r="BH1969" i="202" s="1"/>
  <c r="R1970" i="202"/>
  <c r="R1971" i="202"/>
  <c r="R1972" i="202"/>
  <c r="BH1972" i="202" s="1"/>
  <c r="R1973" i="202"/>
  <c r="R1974" i="202"/>
  <c r="R1975" i="202"/>
  <c r="BH1975" i="202" s="1"/>
  <c r="R1976" i="202"/>
  <c r="R1977" i="202"/>
  <c r="BH1977" i="202" s="1"/>
  <c r="R1978" i="202"/>
  <c r="R1979" i="202"/>
  <c r="R1980" i="202"/>
  <c r="BH1980" i="202" s="1"/>
  <c r="R1981" i="202"/>
  <c r="R1982" i="202"/>
  <c r="R1983" i="202"/>
  <c r="BH1983" i="202" s="1"/>
  <c r="R1984" i="202"/>
  <c r="R1985" i="202"/>
  <c r="BH1985" i="202" s="1"/>
  <c r="R1986" i="202"/>
  <c r="R1987" i="202"/>
  <c r="R1988" i="202"/>
  <c r="BH1988" i="202" s="1"/>
  <c r="R1989" i="202"/>
  <c r="R1990" i="202"/>
  <c r="R1991" i="202"/>
  <c r="BH1991" i="202" s="1"/>
  <c r="R1992" i="202"/>
  <c r="R1993" i="202"/>
  <c r="BH1993" i="202" s="1"/>
  <c r="R1994" i="202"/>
  <c r="R1995" i="202"/>
  <c r="R1996" i="202"/>
  <c r="BH1996" i="202" s="1"/>
  <c r="R1997" i="202"/>
  <c r="R1998" i="202"/>
  <c r="R1999" i="202"/>
  <c r="BH1999" i="202" s="1"/>
  <c r="R2000" i="202"/>
  <c r="R2001" i="202"/>
  <c r="BH2001" i="202" s="1"/>
  <c r="R2002" i="202"/>
  <c r="R2003" i="202"/>
  <c r="R2004" i="202"/>
  <c r="BH2004" i="202" s="1"/>
  <c r="R2005" i="202"/>
  <c r="R2006" i="202"/>
  <c r="R2007" i="202"/>
  <c r="BH2007" i="202" s="1"/>
  <c r="R2008" i="202"/>
  <c r="R2009" i="202"/>
  <c r="BH2009" i="202" s="1"/>
  <c r="R2010" i="202"/>
  <c r="R2011" i="202"/>
  <c r="R2012" i="202"/>
  <c r="BH2012" i="202" s="1"/>
  <c r="R2013" i="202"/>
  <c r="R2014" i="202"/>
  <c r="R2015" i="202"/>
  <c r="BH2015" i="202" s="1"/>
  <c r="R2016" i="202"/>
  <c r="R2017" i="202"/>
  <c r="BH2017" i="202" s="1"/>
  <c r="R2018" i="202"/>
  <c r="R2019" i="202"/>
  <c r="R2020" i="202"/>
  <c r="BH2020" i="202" s="1"/>
  <c r="R2021" i="202"/>
  <c r="R2022" i="202"/>
  <c r="R2023" i="202"/>
  <c r="BH2023" i="202" s="1"/>
  <c r="R2024" i="202"/>
  <c r="R2025" i="202"/>
  <c r="BH2025" i="202" s="1"/>
  <c r="R2026" i="202"/>
  <c r="R2027" i="202"/>
  <c r="R2028" i="202"/>
  <c r="BH2028" i="202" s="1"/>
  <c r="R2029" i="202"/>
  <c r="R2030" i="202"/>
  <c r="R2031" i="202"/>
  <c r="BH2031" i="202" s="1"/>
  <c r="R2032" i="202"/>
  <c r="R2033" i="202"/>
  <c r="BH2033" i="202" s="1"/>
  <c r="R2034" i="202"/>
  <c r="R2035" i="202"/>
  <c r="R2036" i="202"/>
  <c r="BH2036" i="202" s="1"/>
  <c r="R2037" i="202"/>
  <c r="R2038" i="202"/>
  <c r="R2039" i="202"/>
  <c r="BH2039" i="202" s="1"/>
  <c r="R2040" i="202"/>
  <c r="R2041" i="202"/>
  <c r="BH2041" i="202" s="1"/>
  <c r="R2042" i="202"/>
  <c r="R2043" i="202"/>
  <c r="R2044" i="202"/>
  <c r="BH2044" i="202" s="1"/>
  <c r="R2045" i="202"/>
  <c r="R2046" i="202"/>
  <c r="R2047" i="202"/>
  <c r="BH2047" i="202" s="1"/>
  <c r="R2048" i="202"/>
  <c r="I93" i="93"/>
  <c r="J93" i="93" s="1"/>
  <c r="K93" i="93" s="1"/>
  <c r="L93" i="93" s="1"/>
  <c r="M93" i="93" s="1"/>
  <c r="C93" i="93"/>
  <c r="D93" i="93" s="1"/>
  <c r="E93" i="93" s="1"/>
  <c r="F93" i="93" s="1"/>
  <c r="G93" i="93" s="1"/>
  <c r="H93" i="93" s="1"/>
  <c r="K84" i="93"/>
  <c r="L84" i="93" s="1"/>
  <c r="M84" i="93" s="1"/>
  <c r="C84" i="93"/>
  <c r="D84" i="93" s="1"/>
  <c r="E84" i="93" s="1"/>
  <c r="F84" i="93" s="1"/>
  <c r="G84" i="93" s="1"/>
  <c r="H84" i="93" s="1"/>
  <c r="I84" i="93" s="1"/>
  <c r="J84" i="93" s="1"/>
  <c r="C69" i="93"/>
  <c r="D69" i="93" s="1"/>
  <c r="E69" i="93" s="1"/>
  <c r="F69" i="93" s="1"/>
  <c r="G69" i="93" s="1"/>
  <c r="H69" i="93" s="1"/>
  <c r="I69" i="93" s="1"/>
  <c r="J69" i="93" s="1"/>
  <c r="K69" i="93" s="1"/>
  <c r="L69" i="93" s="1"/>
  <c r="M69" i="93" s="1"/>
  <c r="I61" i="93"/>
  <c r="J61" i="93" s="1"/>
  <c r="K61" i="93" s="1"/>
  <c r="L61" i="93" s="1"/>
  <c r="M61" i="93" s="1"/>
  <c r="F61" i="93"/>
  <c r="G61" i="93" s="1"/>
  <c r="H61" i="93" s="1"/>
  <c r="C61" i="93"/>
  <c r="D61" i="93" s="1"/>
  <c r="E61" i="93" s="1"/>
  <c r="J55" i="93"/>
  <c r="K55" i="93" s="1"/>
  <c r="L55" i="93" s="1"/>
  <c r="M55" i="93" s="1"/>
  <c r="H55" i="93"/>
  <c r="I55" i="93" s="1"/>
  <c r="E55" i="93"/>
  <c r="F55" i="93" s="1"/>
  <c r="G55" i="93" s="1"/>
  <c r="C55" i="93"/>
  <c r="D55" i="93" s="1"/>
  <c r="C51" i="93"/>
  <c r="C53" i="93" s="1"/>
  <c r="C39" i="93"/>
  <c r="C34" i="93"/>
  <c r="C33" i="93"/>
  <c r="C31" i="93"/>
  <c r="C30" i="93"/>
  <c r="C29" i="93"/>
  <c r="C27" i="93" s="1"/>
  <c r="C28" i="93"/>
  <c r="G25" i="93"/>
  <c r="H25" i="93" s="1"/>
  <c r="I25" i="93" s="1"/>
  <c r="J25" i="93" s="1"/>
  <c r="K25" i="93" s="1"/>
  <c r="L25" i="93" s="1"/>
  <c r="M25" i="93" s="1"/>
  <c r="E25" i="93"/>
  <c r="F25" i="93" s="1"/>
  <c r="D25" i="93"/>
  <c r="C25" i="93"/>
  <c r="M19" i="93"/>
  <c r="L19" i="93"/>
  <c r="K19" i="93"/>
  <c r="J19" i="93"/>
  <c r="I19" i="93"/>
  <c r="H19" i="93"/>
  <c r="G19" i="93"/>
  <c r="F19" i="93"/>
  <c r="E19" i="93"/>
  <c r="D19" i="93"/>
  <c r="D16" i="93"/>
  <c r="E16" i="93" s="1"/>
  <c r="F16" i="93" s="1"/>
  <c r="G16" i="93" s="1"/>
  <c r="H16" i="93" s="1"/>
  <c r="I16" i="93" s="1"/>
  <c r="J16" i="93" s="1"/>
  <c r="K16" i="93" s="1"/>
  <c r="L16" i="93" s="1"/>
  <c r="M16" i="93" s="1"/>
  <c r="C16" i="93"/>
  <c r="D6" i="93"/>
  <c r="D5" i="93"/>
  <c r="G4" i="93"/>
  <c r="H4" i="93" s="1"/>
  <c r="I4" i="93" s="1"/>
  <c r="J4" i="93" s="1"/>
  <c r="K4" i="93" s="1"/>
  <c r="L4" i="93" s="1"/>
  <c r="M4" i="93" s="1"/>
  <c r="D4" i="93"/>
  <c r="E4" i="93" s="1"/>
  <c r="F4" i="93" s="1"/>
  <c r="C4" i="93"/>
  <c r="C76" i="93" s="1"/>
  <c r="D76" i="93" s="1"/>
  <c r="E76" i="93" s="1"/>
  <c r="F76" i="93" s="1"/>
  <c r="G76" i="93" s="1"/>
  <c r="H76" i="93" s="1"/>
  <c r="I76" i="93" s="1"/>
  <c r="J76" i="93" s="1"/>
  <c r="K76" i="93" s="1"/>
  <c r="L76" i="93" s="1"/>
  <c r="M76" i="93" s="1"/>
  <c r="J3" i="93"/>
  <c r="K3" i="93" s="1"/>
  <c r="L3" i="93" s="1"/>
  <c r="M3" i="93" s="1"/>
  <c r="G3" i="93"/>
  <c r="H3" i="93" s="1"/>
  <c r="I3" i="93" s="1"/>
  <c r="E3" i="93"/>
  <c r="F3" i="93" s="1"/>
  <c r="G16" i="50"/>
  <c r="H13" i="50" s="1"/>
  <c r="E16" i="50"/>
  <c r="F13" i="50" s="1"/>
  <c r="H15" i="50"/>
  <c r="J15" i="50" s="1"/>
  <c r="H14" i="50"/>
  <c r="J13" i="50" s="1"/>
  <c r="I9" i="50"/>
  <c r="G9" i="50"/>
  <c r="E9" i="50"/>
  <c r="Q3" i="50"/>
  <c r="U3" i="50" s="1"/>
  <c r="I3" i="50"/>
  <c r="M3" i="50" s="1"/>
  <c r="M9" i="50" s="1"/>
  <c r="C10" i="37"/>
  <c r="C9" i="37"/>
  <c r="C8" i="37"/>
  <c r="C7" i="37"/>
  <c r="C4" i="37"/>
  <c r="V98" i="39"/>
  <c r="U98" i="39"/>
  <c r="T98" i="39"/>
  <c r="S98" i="39"/>
  <c r="R98" i="39"/>
  <c r="Q98" i="39"/>
  <c r="P98" i="39"/>
  <c r="O98" i="39"/>
  <c r="N98" i="39"/>
  <c r="M98" i="39"/>
  <c r="L98" i="39"/>
  <c r="K98" i="39"/>
  <c r="J98" i="39"/>
  <c r="V97" i="39"/>
  <c r="U97" i="39"/>
  <c r="T97" i="39"/>
  <c r="S97" i="39"/>
  <c r="R97" i="39"/>
  <c r="Q97" i="39"/>
  <c r="P97" i="39"/>
  <c r="O97" i="39"/>
  <c r="N97" i="39"/>
  <c r="M97" i="39"/>
  <c r="L97" i="39"/>
  <c r="K97" i="39"/>
  <c r="J97" i="39"/>
  <c r="K89" i="39"/>
  <c r="K88" i="39"/>
  <c r="I89" i="39" s="1"/>
  <c r="I88" i="39"/>
  <c r="B58" i="39"/>
  <c r="B57" i="39"/>
  <c r="B56" i="39"/>
  <c r="I46" i="39"/>
  <c r="B31" i="39"/>
  <c r="C32" i="39" s="1"/>
  <c r="Y28" i="39"/>
  <c r="Y27" i="39"/>
  <c r="AD20" i="39"/>
  <c r="AD19" i="39"/>
  <c r="Z7" i="39" s="1"/>
  <c r="AD18" i="39"/>
  <c r="Y7" i="39" s="1"/>
  <c r="AD17" i="39"/>
  <c r="X7" i="39" s="1"/>
  <c r="AD16" i="39"/>
  <c r="AD15" i="39"/>
  <c r="V7" i="39" s="1"/>
  <c r="AD14" i="39"/>
  <c r="U7" i="39" s="1"/>
  <c r="AD13" i="39"/>
  <c r="T7" i="39" s="1"/>
  <c r="AD12" i="39"/>
  <c r="S7" i="39" s="1"/>
  <c r="AD11" i="39"/>
  <c r="R7" i="39" s="1"/>
  <c r="AD10" i="39"/>
  <c r="Q7" i="39" s="1"/>
  <c r="AD9" i="39"/>
  <c r="P7" i="39" s="1"/>
  <c r="AD8" i="39"/>
  <c r="AD7" i="39"/>
  <c r="N7" i="39" s="1"/>
  <c r="AA7" i="39"/>
  <c r="W7" i="39"/>
  <c r="O7" i="39"/>
  <c r="AD6" i="39"/>
  <c r="M7" i="39" s="1"/>
  <c r="AD5" i="39"/>
  <c r="L7" i="39" s="1"/>
  <c r="AD4" i="39"/>
  <c r="K7" i="39" s="1"/>
  <c r="AD3" i="39"/>
  <c r="J7" i="39" s="1"/>
  <c r="AD2" i="39"/>
  <c r="I7" i="39" s="1"/>
  <c r="F259" i="38"/>
  <c r="E259" i="38"/>
  <c r="D259" i="38"/>
  <c r="D258" i="38"/>
  <c r="F245" i="38"/>
  <c r="E245" i="38"/>
  <c r="D245" i="38"/>
  <c r="F231" i="38"/>
  <c r="E231" i="38"/>
  <c r="D231" i="38"/>
  <c r="F217" i="38"/>
  <c r="E217" i="38"/>
  <c r="D217" i="38"/>
  <c r="F203" i="38"/>
  <c r="E203" i="38"/>
  <c r="D203" i="38"/>
  <c r="F189" i="38"/>
  <c r="E189" i="38"/>
  <c r="D189" i="38"/>
  <c r="K187" i="38"/>
  <c r="F175" i="38"/>
  <c r="E175" i="38"/>
  <c r="D175" i="38"/>
  <c r="F161" i="38"/>
  <c r="E161" i="38"/>
  <c r="D161" i="38"/>
  <c r="K159" i="38"/>
  <c r="G159" i="38"/>
  <c r="L158" i="38"/>
  <c r="D158" i="38"/>
  <c r="D163" i="38" s="1"/>
  <c r="I157" i="38"/>
  <c r="I162" i="38" s="1"/>
  <c r="F147" i="38"/>
  <c r="E147" i="38"/>
  <c r="D147" i="38"/>
  <c r="D135" i="38"/>
  <c r="I134" i="38"/>
  <c r="F133" i="38"/>
  <c r="E133" i="38"/>
  <c r="D133" i="38"/>
  <c r="K131" i="38"/>
  <c r="G131" i="38"/>
  <c r="P130" i="38"/>
  <c r="L130" i="38"/>
  <c r="H130" i="38"/>
  <c r="D130" i="38"/>
  <c r="M129" i="38"/>
  <c r="M134" i="38" s="1"/>
  <c r="I129" i="38"/>
  <c r="E129" i="38"/>
  <c r="E134" i="38" s="1"/>
  <c r="F119" i="38"/>
  <c r="L56" i="39" s="1"/>
  <c r="I20" i="50" s="1"/>
  <c r="E119" i="38"/>
  <c r="D119" i="38"/>
  <c r="J56" i="39" s="1"/>
  <c r="P107" i="38"/>
  <c r="H107" i="38"/>
  <c r="E106" i="38"/>
  <c r="E104" i="38"/>
  <c r="E258" i="38" s="1"/>
  <c r="D104" i="38"/>
  <c r="K103" i="38"/>
  <c r="G103" i="38"/>
  <c r="P102" i="38"/>
  <c r="L102" i="38"/>
  <c r="L107" i="38" s="1"/>
  <c r="H102" i="38"/>
  <c r="D102" i="38"/>
  <c r="D107" i="38" s="1"/>
  <c r="M101" i="38"/>
  <c r="I101" i="38"/>
  <c r="E101" i="38"/>
  <c r="E90" i="38"/>
  <c r="D90" i="38"/>
  <c r="L79" i="38"/>
  <c r="D79" i="38"/>
  <c r="E76" i="38"/>
  <c r="D76" i="38"/>
  <c r="K75" i="38"/>
  <c r="G75" i="38"/>
  <c r="P74" i="38"/>
  <c r="P79" i="38" s="1"/>
  <c r="L74" i="38"/>
  <c r="H74" i="38"/>
  <c r="H79" i="38" s="1"/>
  <c r="D74" i="38"/>
  <c r="M73" i="38"/>
  <c r="I73" i="38"/>
  <c r="E73" i="38"/>
  <c r="E78" i="38" s="1"/>
  <c r="E62" i="38"/>
  <c r="D62" i="38"/>
  <c r="E48" i="38"/>
  <c r="D48" i="38"/>
  <c r="K47" i="38"/>
  <c r="G47" i="38"/>
  <c r="P46" i="38"/>
  <c r="P51" i="38" s="1"/>
  <c r="L46" i="38"/>
  <c r="L51" i="38" s="1"/>
  <c r="H46" i="38"/>
  <c r="H51" i="38" s="1"/>
  <c r="D46" i="38"/>
  <c r="D51" i="38" s="1"/>
  <c r="M45" i="38"/>
  <c r="I45" i="38"/>
  <c r="E45" i="38"/>
  <c r="E50" i="38" s="1"/>
  <c r="E34" i="38"/>
  <c r="D34" i="38"/>
  <c r="E20" i="38"/>
  <c r="D20" i="38"/>
  <c r="K19" i="38"/>
  <c r="G19" i="38"/>
  <c r="F19" i="38"/>
  <c r="P18" i="38"/>
  <c r="P23" i="38" s="1"/>
  <c r="L18" i="38"/>
  <c r="L23" i="38" s="1"/>
  <c r="K18" i="38"/>
  <c r="K23" i="38" s="1"/>
  <c r="K26" i="38" s="1"/>
  <c r="H18" i="38"/>
  <c r="H23" i="38" s="1"/>
  <c r="D18" i="38"/>
  <c r="D23" i="38" s="1"/>
  <c r="P17" i="38"/>
  <c r="M17" i="38"/>
  <c r="I17" i="38"/>
  <c r="H17" i="38"/>
  <c r="E17" i="38"/>
  <c r="E22" i="38" s="1"/>
  <c r="E6" i="38"/>
  <c r="K55" i="39" s="1"/>
  <c r="D6" i="38"/>
  <c r="K5" i="38"/>
  <c r="Q96" i="39" s="1"/>
  <c r="J5" i="38"/>
  <c r="P54" i="39" s="1"/>
  <c r="I5" i="38"/>
  <c r="O96" i="39" s="1"/>
  <c r="H5" i="38"/>
  <c r="N12" i="39" s="1"/>
  <c r="G5" i="38"/>
  <c r="F5" i="38"/>
  <c r="L96" i="39" s="1"/>
  <c r="E5" i="38"/>
  <c r="E229" i="38" s="1"/>
  <c r="D5" i="38"/>
  <c r="J96" i="39" s="1"/>
  <c r="P4" i="38"/>
  <c r="V95" i="39" s="1"/>
  <c r="V100" i="39" s="1"/>
  <c r="O4" i="38"/>
  <c r="U53" i="39" s="1"/>
  <c r="N4" i="38"/>
  <c r="T95" i="39" s="1"/>
  <c r="T100" i="39" s="1"/>
  <c r="M4" i="38"/>
  <c r="S95" i="39" s="1"/>
  <c r="S100" i="39" s="1"/>
  <c r="L4" i="38"/>
  <c r="K4" i="38"/>
  <c r="Q95" i="39" s="1"/>
  <c r="Q100" i="39" s="1"/>
  <c r="J4" i="38"/>
  <c r="Y5" i="50" s="1"/>
  <c r="Y12" i="50" s="1"/>
  <c r="I4" i="38"/>
  <c r="I214" i="38" s="1"/>
  <c r="H4" i="38"/>
  <c r="N95" i="39" s="1"/>
  <c r="N100" i="39" s="1"/>
  <c r="G4" i="38"/>
  <c r="G214" i="38" s="1"/>
  <c r="F4" i="38"/>
  <c r="L95" i="39" s="1"/>
  <c r="L100" i="39" s="1"/>
  <c r="L103" i="39" s="1"/>
  <c r="E4" i="38"/>
  <c r="G5" i="50" s="1"/>
  <c r="G12" i="50" s="1"/>
  <c r="G22" i="50" s="1"/>
  <c r="D4" i="38"/>
  <c r="P3" i="38"/>
  <c r="V94" i="39" s="1"/>
  <c r="V99" i="39" s="1"/>
  <c r="O3" i="38"/>
  <c r="O227" i="38" s="1"/>
  <c r="O232" i="38" s="1"/>
  <c r="N3" i="38"/>
  <c r="T94" i="39" s="1"/>
  <c r="T99" i="39" s="1"/>
  <c r="M3" i="38"/>
  <c r="S94" i="39" s="1"/>
  <c r="S99" i="39" s="1"/>
  <c r="L3" i="38"/>
  <c r="R52" i="39" s="1"/>
  <c r="K3" i="38"/>
  <c r="Q94" i="39" s="1"/>
  <c r="Q99" i="39" s="1"/>
  <c r="J3" i="38"/>
  <c r="Y4" i="50" s="1"/>
  <c r="Y11" i="50" s="1"/>
  <c r="I3" i="38"/>
  <c r="H3" i="38"/>
  <c r="N94" i="39" s="1"/>
  <c r="N99" i="39" s="1"/>
  <c r="G3" i="38"/>
  <c r="M4" i="50" s="1"/>
  <c r="M11" i="50" s="1"/>
  <c r="F3" i="38"/>
  <c r="L94" i="39" s="1"/>
  <c r="L99" i="39" s="1"/>
  <c r="E3" i="38"/>
  <c r="E213" i="38" s="1"/>
  <c r="E218" i="38" s="1"/>
  <c r="D3" i="38"/>
  <c r="D213" i="38" s="1"/>
  <c r="D218" i="38" s="1"/>
  <c r="L757" i="11"/>
  <c r="M757" i="11" s="1"/>
  <c r="N757" i="11" s="1"/>
  <c r="O757" i="11" s="1"/>
  <c r="P757" i="11" s="1"/>
  <c r="Q757" i="11" s="1"/>
  <c r="R757" i="11" s="1"/>
  <c r="S757" i="11" s="1"/>
  <c r="T757" i="11" s="1"/>
  <c r="U757" i="11" s="1"/>
  <c r="F128" i="11"/>
  <c r="E128" i="11"/>
  <c r="E252" i="11" s="1"/>
  <c r="E376" i="11" s="1"/>
  <c r="E500" i="11" s="1"/>
  <c r="E624" i="11" s="1"/>
  <c r="E748" i="11" s="1"/>
  <c r="D128" i="11"/>
  <c r="C128" i="11"/>
  <c r="C252" i="11" s="1"/>
  <c r="B128" i="11"/>
  <c r="B252" i="11" s="1"/>
  <c r="B376" i="11" s="1"/>
  <c r="B500" i="11" s="1"/>
  <c r="B624" i="11" s="1"/>
  <c r="B748" i="11" s="1"/>
  <c r="F127" i="11"/>
  <c r="E127" i="11"/>
  <c r="E251" i="11" s="1"/>
  <c r="E375" i="11" s="1"/>
  <c r="E499" i="11" s="1"/>
  <c r="E623" i="11" s="1"/>
  <c r="E747" i="11" s="1"/>
  <c r="D127" i="11"/>
  <c r="C127" i="11"/>
  <c r="C251" i="11" s="1"/>
  <c r="B127" i="11"/>
  <c r="B251" i="11" s="1"/>
  <c r="B375" i="11" s="1"/>
  <c r="B499" i="11" s="1"/>
  <c r="B623" i="11" s="1"/>
  <c r="B747" i="11" s="1"/>
  <c r="F126" i="11"/>
  <c r="E126" i="11"/>
  <c r="E250" i="11" s="1"/>
  <c r="E374" i="11" s="1"/>
  <c r="E498" i="11" s="1"/>
  <c r="E622" i="11" s="1"/>
  <c r="E746" i="11" s="1"/>
  <c r="D126" i="11"/>
  <c r="C126" i="11"/>
  <c r="C250" i="11" s="1"/>
  <c r="B126" i="11"/>
  <c r="B250" i="11" s="1"/>
  <c r="B374" i="11" s="1"/>
  <c r="B498" i="11" s="1"/>
  <c r="B622" i="11" s="1"/>
  <c r="B746" i="11" s="1"/>
  <c r="F125" i="11"/>
  <c r="E125" i="11"/>
  <c r="E249" i="11" s="1"/>
  <c r="E373" i="11" s="1"/>
  <c r="E497" i="11" s="1"/>
  <c r="E621" i="11" s="1"/>
  <c r="E745" i="11" s="1"/>
  <c r="D125" i="11"/>
  <c r="C125" i="11"/>
  <c r="C249" i="11" s="1"/>
  <c r="B125" i="11"/>
  <c r="B249" i="11" s="1"/>
  <c r="B373" i="11" s="1"/>
  <c r="B497" i="11" s="1"/>
  <c r="B621" i="11" s="1"/>
  <c r="B745" i="11" s="1"/>
  <c r="F124" i="11"/>
  <c r="E124" i="11"/>
  <c r="E248" i="11" s="1"/>
  <c r="E372" i="11" s="1"/>
  <c r="E496" i="11" s="1"/>
  <c r="E620" i="11" s="1"/>
  <c r="E744" i="11" s="1"/>
  <c r="D124" i="11"/>
  <c r="C124" i="11"/>
  <c r="C248" i="11" s="1"/>
  <c r="B124" i="11"/>
  <c r="B248" i="11" s="1"/>
  <c r="B372" i="11" s="1"/>
  <c r="B496" i="11" s="1"/>
  <c r="B620" i="11" s="1"/>
  <c r="B744" i="11" s="1"/>
  <c r="F123" i="11"/>
  <c r="E123" i="11"/>
  <c r="E247" i="11" s="1"/>
  <c r="E371" i="11" s="1"/>
  <c r="E495" i="11" s="1"/>
  <c r="E619" i="11" s="1"/>
  <c r="E743" i="11" s="1"/>
  <c r="D123" i="11"/>
  <c r="C123" i="11"/>
  <c r="C247" i="11" s="1"/>
  <c r="B123" i="11"/>
  <c r="B247" i="11" s="1"/>
  <c r="B371" i="11" s="1"/>
  <c r="B495" i="11" s="1"/>
  <c r="B619" i="11" s="1"/>
  <c r="B743" i="11" s="1"/>
  <c r="F122" i="11"/>
  <c r="E122" i="11"/>
  <c r="E246" i="11" s="1"/>
  <c r="E370" i="11" s="1"/>
  <c r="E494" i="11" s="1"/>
  <c r="E618" i="11" s="1"/>
  <c r="E742" i="11" s="1"/>
  <c r="D122" i="11"/>
  <c r="C122" i="11"/>
  <c r="C246" i="11" s="1"/>
  <c r="B122" i="11"/>
  <c r="B246" i="11" s="1"/>
  <c r="B370" i="11" s="1"/>
  <c r="B494" i="11" s="1"/>
  <c r="B618" i="11" s="1"/>
  <c r="B742" i="11" s="1"/>
  <c r="F121" i="11"/>
  <c r="E121" i="11"/>
  <c r="E245" i="11" s="1"/>
  <c r="E369" i="11" s="1"/>
  <c r="E493" i="11" s="1"/>
  <c r="E617" i="11" s="1"/>
  <c r="E741" i="11" s="1"/>
  <c r="D121" i="11"/>
  <c r="C121" i="11"/>
  <c r="C245" i="11" s="1"/>
  <c r="B121" i="11"/>
  <c r="B245" i="11" s="1"/>
  <c r="B369" i="11" s="1"/>
  <c r="B493" i="11" s="1"/>
  <c r="B617" i="11" s="1"/>
  <c r="B741" i="11" s="1"/>
  <c r="F120" i="11"/>
  <c r="E120" i="11"/>
  <c r="E244" i="11" s="1"/>
  <c r="E368" i="11" s="1"/>
  <c r="E492" i="11" s="1"/>
  <c r="E616" i="11" s="1"/>
  <c r="E740" i="11" s="1"/>
  <c r="D120" i="11"/>
  <c r="C120" i="11"/>
  <c r="C244" i="11" s="1"/>
  <c r="B120" i="11"/>
  <c r="B244" i="11" s="1"/>
  <c r="B368" i="11" s="1"/>
  <c r="B492" i="11" s="1"/>
  <c r="B616" i="11" s="1"/>
  <c r="B740" i="11" s="1"/>
  <c r="F119" i="11"/>
  <c r="E119" i="11"/>
  <c r="E243" i="11" s="1"/>
  <c r="E367" i="11" s="1"/>
  <c r="E491" i="11" s="1"/>
  <c r="E615" i="11" s="1"/>
  <c r="E739" i="11" s="1"/>
  <c r="D119" i="11"/>
  <c r="C119" i="11"/>
  <c r="C243" i="11" s="1"/>
  <c r="B119" i="11"/>
  <c r="B243" i="11" s="1"/>
  <c r="B367" i="11" s="1"/>
  <c r="B491" i="11" s="1"/>
  <c r="B615" i="11" s="1"/>
  <c r="B739" i="11" s="1"/>
  <c r="F118" i="11"/>
  <c r="E118" i="11"/>
  <c r="E242" i="11" s="1"/>
  <c r="E366" i="11" s="1"/>
  <c r="E490" i="11" s="1"/>
  <c r="E614" i="11" s="1"/>
  <c r="E738" i="11" s="1"/>
  <c r="D118" i="11"/>
  <c r="C118" i="11"/>
  <c r="C242" i="11" s="1"/>
  <c r="B118" i="11"/>
  <c r="B242" i="11" s="1"/>
  <c r="B366" i="11" s="1"/>
  <c r="B490" i="11" s="1"/>
  <c r="B614" i="11" s="1"/>
  <c r="B738" i="11" s="1"/>
  <c r="F117" i="11"/>
  <c r="E117" i="11"/>
  <c r="E241" i="11" s="1"/>
  <c r="E365" i="11" s="1"/>
  <c r="E489" i="11" s="1"/>
  <c r="E613" i="11" s="1"/>
  <c r="E737" i="11" s="1"/>
  <c r="D117" i="11"/>
  <c r="L117" i="11" s="1"/>
  <c r="C117" i="11"/>
  <c r="C241" i="11" s="1"/>
  <c r="B117" i="11"/>
  <c r="B241" i="11" s="1"/>
  <c r="B365" i="11" s="1"/>
  <c r="B489" i="11" s="1"/>
  <c r="B613" i="11" s="1"/>
  <c r="B737" i="11" s="1"/>
  <c r="F116" i="11"/>
  <c r="E116" i="11"/>
  <c r="E240" i="11" s="1"/>
  <c r="E364" i="11" s="1"/>
  <c r="E488" i="11" s="1"/>
  <c r="E612" i="11" s="1"/>
  <c r="E736" i="11" s="1"/>
  <c r="D116" i="11"/>
  <c r="L116" i="11" s="1"/>
  <c r="C116" i="11"/>
  <c r="C240" i="11" s="1"/>
  <c r="B116" i="11"/>
  <c r="B240" i="11" s="1"/>
  <c r="B364" i="11" s="1"/>
  <c r="B488" i="11" s="1"/>
  <c r="B612" i="11" s="1"/>
  <c r="B736" i="11" s="1"/>
  <c r="F115" i="11"/>
  <c r="E115" i="11"/>
  <c r="E239" i="11" s="1"/>
  <c r="E363" i="11" s="1"/>
  <c r="E487" i="11" s="1"/>
  <c r="E611" i="11" s="1"/>
  <c r="E735" i="11" s="1"/>
  <c r="D115" i="11"/>
  <c r="C115" i="11"/>
  <c r="C239" i="11" s="1"/>
  <c r="B115" i="11"/>
  <c r="B239" i="11" s="1"/>
  <c r="B363" i="11" s="1"/>
  <c r="B487" i="11" s="1"/>
  <c r="B611" i="11" s="1"/>
  <c r="B735" i="11" s="1"/>
  <c r="F114" i="11"/>
  <c r="E114" i="11"/>
  <c r="E238" i="11" s="1"/>
  <c r="E362" i="11" s="1"/>
  <c r="E486" i="11" s="1"/>
  <c r="E610" i="11" s="1"/>
  <c r="E734" i="11" s="1"/>
  <c r="D114" i="11"/>
  <c r="C114" i="11"/>
  <c r="C238" i="11" s="1"/>
  <c r="B114" i="11"/>
  <c r="B238" i="11" s="1"/>
  <c r="B362" i="11" s="1"/>
  <c r="B486" i="11" s="1"/>
  <c r="B610" i="11" s="1"/>
  <c r="B734" i="11" s="1"/>
  <c r="F113" i="11"/>
  <c r="E113" i="11"/>
  <c r="E237" i="11" s="1"/>
  <c r="E361" i="11" s="1"/>
  <c r="E485" i="11" s="1"/>
  <c r="E609" i="11" s="1"/>
  <c r="E733" i="11" s="1"/>
  <c r="D113" i="11"/>
  <c r="L113" i="11" s="1"/>
  <c r="C113" i="11"/>
  <c r="C237" i="11" s="1"/>
  <c r="B113" i="11"/>
  <c r="B237" i="11" s="1"/>
  <c r="B361" i="11" s="1"/>
  <c r="B485" i="11" s="1"/>
  <c r="B609" i="11" s="1"/>
  <c r="B733" i="11" s="1"/>
  <c r="F112" i="11"/>
  <c r="E112" i="11"/>
  <c r="E236" i="11" s="1"/>
  <c r="E360" i="11" s="1"/>
  <c r="E484" i="11" s="1"/>
  <c r="E608" i="11" s="1"/>
  <c r="E732" i="11" s="1"/>
  <c r="D112" i="11"/>
  <c r="L112" i="11" s="1"/>
  <c r="C112" i="11"/>
  <c r="C236" i="11" s="1"/>
  <c r="B112" i="11"/>
  <c r="B236" i="11" s="1"/>
  <c r="B360" i="11" s="1"/>
  <c r="B484" i="11" s="1"/>
  <c r="B608" i="11" s="1"/>
  <c r="B732" i="11" s="1"/>
  <c r="F111" i="11"/>
  <c r="E111" i="11"/>
  <c r="E235" i="11" s="1"/>
  <c r="E359" i="11" s="1"/>
  <c r="E483" i="11" s="1"/>
  <c r="E607" i="11" s="1"/>
  <c r="E731" i="11" s="1"/>
  <c r="D111" i="11"/>
  <c r="C111" i="11"/>
  <c r="C235" i="11" s="1"/>
  <c r="B111" i="11"/>
  <c r="B235" i="11" s="1"/>
  <c r="B359" i="11" s="1"/>
  <c r="B483" i="11" s="1"/>
  <c r="B607" i="11" s="1"/>
  <c r="B731" i="11" s="1"/>
  <c r="F110" i="11"/>
  <c r="E110" i="11"/>
  <c r="E234" i="11" s="1"/>
  <c r="E358" i="11" s="1"/>
  <c r="E482" i="11" s="1"/>
  <c r="E606" i="11" s="1"/>
  <c r="E730" i="11" s="1"/>
  <c r="D110" i="11"/>
  <c r="C110" i="11"/>
  <c r="C234" i="11" s="1"/>
  <c r="B110" i="11"/>
  <c r="B234" i="11" s="1"/>
  <c r="B358" i="11" s="1"/>
  <c r="B482" i="11" s="1"/>
  <c r="B606" i="11" s="1"/>
  <c r="B730" i="11" s="1"/>
  <c r="F109" i="11"/>
  <c r="E109" i="11"/>
  <c r="E233" i="11" s="1"/>
  <c r="E357" i="11" s="1"/>
  <c r="E481" i="11" s="1"/>
  <c r="E605" i="11" s="1"/>
  <c r="E729" i="11" s="1"/>
  <c r="D109" i="11"/>
  <c r="L109" i="11" s="1"/>
  <c r="C109" i="11"/>
  <c r="C233" i="11" s="1"/>
  <c r="B109" i="11"/>
  <c r="B233" i="11" s="1"/>
  <c r="B357" i="11" s="1"/>
  <c r="B481" i="11" s="1"/>
  <c r="B605" i="11" s="1"/>
  <c r="B729" i="11" s="1"/>
  <c r="F108" i="11"/>
  <c r="E108" i="11"/>
  <c r="E232" i="11" s="1"/>
  <c r="E356" i="11" s="1"/>
  <c r="E480" i="11" s="1"/>
  <c r="E604" i="11" s="1"/>
  <c r="E728" i="11" s="1"/>
  <c r="D108" i="11"/>
  <c r="L108" i="11" s="1"/>
  <c r="C108" i="11"/>
  <c r="C232" i="11" s="1"/>
  <c r="B108" i="11"/>
  <c r="B232" i="11" s="1"/>
  <c r="B356" i="11" s="1"/>
  <c r="B480" i="11" s="1"/>
  <c r="B604" i="11" s="1"/>
  <c r="B728" i="11" s="1"/>
  <c r="F107" i="11"/>
  <c r="E107" i="11"/>
  <c r="E231" i="11" s="1"/>
  <c r="E355" i="11" s="1"/>
  <c r="E479" i="11" s="1"/>
  <c r="E603" i="11" s="1"/>
  <c r="E727" i="11" s="1"/>
  <c r="D107" i="11"/>
  <c r="C107" i="11"/>
  <c r="C231" i="11" s="1"/>
  <c r="B107" i="11"/>
  <c r="B231" i="11" s="1"/>
  <c r="B355" i="11" s="1"/>
  <c r="B479" i="11" s="1"/>
  <c r="B603" i="11" s="1"/>
  <c r="B727" i="11" s="1"/>
  <c r="F106" i="11"/>
  <c r="E106" i="11"/>
  <c r="E230" i="11" s="1"/>
  <c r="E354" i="11" s="1"/>
  <c r="E478" i="11" s="1"/>
  <c r="E602" i="11" s="1"/>
  <c r="E726" i="11" s="1"/>
  <c r="D106" i="11"/>
  <c r="C106" i="11"/>
  <c r="C230" i="11" s="1"/>
  <c r="B106" i="11"/>
  <c r="B230" i="11" s="1"/>
  <c r="B354" i="11" s="1"/>
  <c r="B478" i="11" s="1"/>
  <c r="B602" i="11" s="1"/>
  <c r="B726" i="11" s="1"/>
  <c r="F105" i="11"/>
  <c r="E105" i="11"/>
  <c r="E229" i="11" s="1"/>
  <c r="E353" i="11" s="1"/>
  <c r="E477" i="11" s="1"/>
  <c r="E601" i="11" s="1"/>
  <c r="E725" i="11" s="1"/>
  <c r="D105" i="11"/>
  <c r="L105" i="11" s="1"/>
  <c r="C105" i="11"/>
  <c r="C229" i="11" s="1"/>
  <c r="B105" i="11"/>
  <c r="B229" i="11" s="1"/>
  <c r="B353" i="11" s="1"/>
  <c r="B477" i="11" s="1"/>
  <c r="B601" i="11" s="1"/>
  <c r="B725" i="11" s="1"/>
  <c r="L104" i="11"/>
  <c r="F104" i="11"/>
  <c r="E104" i="11"/>
  <c r="E228" i="11" s="1"/>
  <c r="E352" i="11" s="1"/>
  <c r="E476" i="11" s="1"/>
  <c r="E600" i="11" s="1"/>
  <c r="E724" i="11" s="1"/>
  <c r="D104" i="11"/>
  <c r="C104" i="11"/>
  <c r="C228" i="11" s="1"/>
  <c r="B104" i="11"/>
  <c r="B228" i="11" s="1"/>
  <c r="B352" i="11" s="1"/>
  <c r="B476" i="11" s="1"/>
  <c r="B600" i="11" s="1"/>
  <c r="B724" i="11" s="1"/>
  <c r="F103" i="11"/>
  <c r="E103" i="11"/>
  <c r="E227" i="11" s="1"/>
  <c r="E351" i="11" s="1"/>
  <c r="E475" i="11" s="1"/>
  <c r="E599" i="11" s="1"/>
  <c r="E723" i="11" s="1"/>
  <c r="D103" i="11"/>
  <c r="C103" i="11"/>
  <c r="C227" i="11" s="1"/>
  <c r="B103" i="11"/>
  <c r="B227" i="11" s="1"/>
  <c r="B351" i="11" s="1"/>
  <c r="B475" i="11" s="1"/>
  <c r="B599" i="11" s="1"/>
  <c r="B723" i="11" s="1"/>
  <c r="F102" i="11"/>
  <c r="E102" i="11"/>
  <c r="E226" i="11" s="1"/>
  <c r="E350" i="11" s="1"/>
  <c r="E474" i="11" s="1"/>
  <c r="E598" i="11" s="1"/>
  <c r="E722" i="11" s="1"/>
  <c r="D102" i="11"/>
  <c r="C102" i="11"/>
  <c r="C226" i="11" s="1"/>
  <c r="B102" i="11"/>
  <c r="B226" i="11" s="1"/>
  <c r="B350" i="11" s="1"/>
  <c r="B474" i="11" s="1"/>
  <c r="B598" i="11" s="1"/>
  <c r="B722" i="11" s="1"/>
  <c r="F101" i="11"/>
  <c r="E101" i="11"/>
  <c r="E225" i="11" s="1"/>
  <c r="E349" i="11" s="1"/>
  <c r="E473" i="11" s="1"/>
  <c r="E597" i="11" s="1"/>
  <c r="E721" i="11" s="1"/>
  <c r="D101" i="11"/>
  <c r="L101" i="11" s="1"/>
  <c r="C101" i="11"/>
  <c r="C225" i="11" s="1"/>
  <c r="B101" i="11"/>
  <c r="B225" i="11" s="1"/>
  <c r="B349" i="11" s="1"/>
  <c r="B473" i="11" s="1"/>
  <c r="B597" i="11" s="1"/>
  <c r="B721" i="11" s="1"/>
  <c r="L100" i="11"/>
  <c r="F100" i="11"/>
  <c r="E100" i="11"/>
  <c r="E224" i="11" s="1"/>
  <c r="E348" i="11" s="1"/>
  <c r="E472" i="11" s="1"/>
  <c r="E596" i="11" s="1"/>
  <c r="E720" i="11" s="1"/>
  <c r="D100" i="11"/>
  <c r="C100" i="11"/>
  <c r="C224" i="11" s="1"/>
  <c r="B100" i="11"/>
  <c r="B224" i="11" s="1"/>
  <c r="B348" i="11" s="1"/>
  <c r="B472" i="11" s="1"/>
  <c r="B596" i="11" s="1"/>
  <c r="B720" i="11" s="1"/>
  <c r="F99" i="11"/>
  <c r="E99" i="11"/>
  <c r="E223" i="11" s="1"/>
  <c r="E347" i="11" s="1"/>
  <c r="E471" i="11" s="1"/>
  <c r="E595" i="11" s="1"/>
  <c r="E719" i="11" s="1"/>
  <c r="D99" i="11"/>
  <c r="C99" i="11"/>
  <c r="C223" i="11" s="1"/>
  <c r="B99" i="11"/>
  <c r="B223" i="11" s="1"/>
  <c r="B347" i="11" s="1"/>
  <c r="B471" i="11" s="1"/>
  <c r="B595" i="11" s="1"/>
  <c r="B719" i="11" s="1"/>
  <c r="F98" i="11"/>
  <c r="E98" i="11"/>
  <c r="E222" i="11" s="1"/>
  <c r="E346" i="11" s="1"/>
  <c r="E470" i="11" s="1"/>
  <c r="E594" i="11" s="1"/>
  <c r="E718" i="11" s="1"/>
  <c r="D98" i="11"/>
  <c r="C98" i="11"/>
  <c r="C222" i="11" s="1"/>
  <c r="B98" i="11"/>
  <c r="B222" i="11" s="1"/>
  <c r="B346" i="11" s="1"/>
  <c r="B470" i="11" s="1"/>
  <c r="B594" i="11" s="1"/>
  <c r="B718" i="11" s="1"/>
  <c r="F97" i="11"/>
  <c r="E97" i="11"/>
  <c r="E221" i="11" s="1"/>
  <c r="E345" i="11" s="1"/>
  <c r="E469" i="11" s="1"/>
  <c r="E593" i="11" s="1"/>
  <c r="E717" i="11" s="1"/>
  <c r="D97" i="11"/>
  <c r="L97" i="11" s="1"/>
  <c r="C97" i="11"/>
  <c r="C221" i="11" s="1"/>
  <c r="B97" i="11"/>
  <c r="B221" i="11" s="1"/>
  <c r="B345" i="11" s="1"/>
  <c r="B469" i="11" s="1"/>
  <c r="B593" i="11" s="1"/>
  <c r="B717" i="11" s="1"/>
  <c r="C96" i="11"/>
  <c r="C220" i="11" s="1"/>
  <c r="C95" i="11"/>
  <c r="C219" i="11" s="1"/>
  <c r="C94" i="11"/>
  <c r="C218" i="11" s="1"/>
  <c r="C93" i="11"/>
  <c r="C217" i="11" s="1"/>
  <c r="C92" i="11"/>
  <c r="C216" i="11" s="1"/>
  <c r="C91" i="11"/>
  <c r="C215" i="11" s="1"/>
  <c r="C90" i="11"/>
  <c r="C214" i="11" s="1"/>
  <c r="C89" i="11"/>
  <c r="C213" i="11" s="1"/>
  <c r="C88" i="11"/>
  <c r="C212" i="11" s="1"/>
  <c r="C87" i="11"/>
  <c r="C211" i="11" s="1"/>
  <c r="C86" i="11"/>
  <c r="C210" i="11" s="1"/>
  <c r="C85" i="11"/>
  <c r="C209" i="11" s="1"/>
  <c r="C84" i="11"/>
  <c r="C208" i="11" s="1"/>
  <c r="C83" i="11"/>
  <c r="C207" i="11" s="1"/>
  <c r="C82" i="11"/>
  <c r="C206" i="11" s="1"/>
  <c r="C81" i="11"/>
  <c r="C205" i="11" s="1"/>
  <c r="C80" i="11"/>
  <c r="C204" i="11" s="1"/>
  <c r="C79" i="11"/>
  <c r="C203" i="11" s="1"/>
  <c r="C78" i="11"/>
  <c r="C202" i="11" s="1"/>
  <c r="C77" i="11"/>
  <c r="C201" i="11" s="1"/>
  <c r="C76" i="11"/>
  <c r="C200" i="11" s="1"/>
  <c r="C75" i="11"/>
  <c r="C199" i="11" s="1"/>
  <c r="C74" i="11"/>
  <c r="C198" i="11" s="1"/>
  <c r="C73" i="11"/>
  <c r="C197" i="11" s="1"/>
  <c r="C72" i="11"/>
  <c r="C196" i="11" s="1"/>
  <c r="C71" i="11"/>
  <c r="C195" i="11" s="1"/>
  <c r="C70" i="11"/>
  <c r="C194" i="11" s="1"/>
  <c r="C69" i="11"/>
  <c r="C193" i="11" s="1"/>
  <c r="C68" i="11"/>
  <c r="C192" i="11" s="1"/>
  <c r="C67" i="11"/>
  <c r="C191" i="11" s="1"/>
  <c r="C66" i="11"/>
  <c r="C190" i="11" s="1"/>
  <c r="C65" i="11"/>
  <c r="C189" i="11" s="1"/>
  <c r="C64" i="11"/>
  <c r="C188" i="11" s="1"/>
  <c r="F63" i="11"/>
  <c r="C63" i="11"/>
  <c r="C187" i="11" s="1"/>
  <c r="F62" i="11"/>
  <c r="C62" i="11"/>
  <c r="C186" i="11" s="1"/>
  <c r="F61" i="11"/>
  <c r="C61" i="11"/>
  <c r="C185" i="11" s="1"/>
  <c r="F60" i="11"/>
  <c r="C60" i="11"/>
  <c r="C184" i="11" s="1"/>
  <c r="F59" i="11"/>
  <c r="C59" i="11"/>
  <c r="C183" i="11" s="1"/>
  <c r="F58" i="11"/>
  <c r="C58" i="11"/>
  <c r="C182" i="11" s="1"/>
  <c r="F57" i="11"/>
  <c r="C57" i="11"/>
  <c r="C181" i="11" s="1"/>
  <c r="F56" i="11"/>
  <c r="C56" i="11"/>
  <c r="C180" i="11" s="1"/>
  <c r="F55" i="11"/>
  <c r="C55" i="11"/>
  <c r="C179" i="11" s="1"/>
  <c r="F54" i="11"/>
  <c r="C54" i="11"/>
  <c r="C178" i="11" s="1"/>
  <c r="F53" i="11"/>
  <c r="C53" i="11"/>
  <c r="C177" i="11" s="1"/>
  <c r="C52" i="11"/>
  <c r="C176" i="11" s="1"/>
  <c r="C51" i="11"/>
  <c r="C175" i="11" s="1"/>
  <c r="C50" i="11"/>
  <c r="C174" i="11" s="1"/>
  <c r="C49" i="11"/>
  <c r="C173" i="11" s="1"/>
  <c r="C48" i="11"/>
  <c r="C172" i="11" s="1"/>
  <c r="C47" i="11"/>
  <c r="C171" i="11" s="1"/>
  <c r="C46" i="11"/>
  <c r="C170" i="11" s="1"/>
  <c r="C45" i="11"/>
  <c r="C169" i="11" s="1"/>
  <c r="C44" i="11"/>
  <c r="C168" i="11" s="1"/>
  <c r="C43" i="11"/>
  <c r="C167" i="11" s="1"/>
  <c r="C42" i="11"/>
  <c r="C166" i="11" s="1"/>
  <c r="C41" i="11"/>
  <c r="C165" i="11" s="1"/>
  <c r="C40" i="11"/>
  <c r="C164" i="11" s="1"/>
  <c r="C39" i="11"/>
  <c r="C163" i="11" s="1"/>
  <c r="C38" i="11"/>
  <c r="C162" i="11" s="1"/>
  <c r="C37" i="11"/>
  <c r="C161" i="11" s="1"/>
  <c r="C36" i="11"/>
  <c r="C160" i="11" s="1"/>
  <c r="C35" i="11"/>
  <c r="C159" i="11" s="1"/>
  <c r="C34" i="11"/>
  <c r="C158" i="11" s="1"/>
  <c r="C33" i="11"/>
  <c r="C157" i="11" s="1"/>
  <c r="C32" i="11"/>
  <c r="C156" i="11" s="1"/>
  <c r="C31" i="11"/>
  <c r="C155" i="11" s="1"/>
  <c r="C30" i="11"/>
  <c r="C154" i="11" s="1"/>
  <c r="C29" i="11"/>
  <c r="C153" i="11" s="1"/>
  <c r="C28" i="11"/>
  <c r="C152" i="11" s="1"/>
  <c r="C27" i="11"/>
  <c r="C151" i="11" s="1"/>
  <c r="C26" i="11"/>
  <c r="C150" i="11" s="1"/>
  <c r="C25" i="11"/>
  <c r="C149" i="11" s="1"/>
  <c r="C24" i="11"/>
  <c r="C148" i="11" s="1"/>
  <c r="C23" i="11"/>
  <c r="C147" i="11" s="1"/>
  <c r="C22" i="11"/>
  <c r="C146" i="11" s="1"/>
  <c r="C21" i="11"/>
  <c r="C145" i="11" s="1"/>
  <c r="C20" i="11"/>
  <c r="C144" i="11" s="1"/>
  <c r="C19" i="11"/>
  <c r="C143" i="11" s="1"/>
  <c r="C18" i="11"/>
  <c r="C142" i="11" s="1"/>
  <c r="C17" i="11"/>
  <c r="C141" i="11" s="1"/>
  <c r="C16" i="11"/>
  <c r="C140" i="11" s="1"/>
  <c r="C15" i="11"/>
  <c r="C139" i="11" s="1"/>
  <c r="C14" i="11"/>
  <c r="C138" i="11" s="1"/>
  <c r="C13" i="11"/>
  <c r="C137" i="11" s="1"/>
  <c r="C12" i="11"/>
  <c r="C136" i="11" s="1"/>
  <c r="C11" i="11"/>
  <c r="C135" i="11" s="1"/>
  <c r="C10" i="11"/>
  <c r="C134" i="11" s="1"/>
  <c r="C9" i="11"/>
  <c r="C133" i="11" s="1"/>
  <c r="F8" i="11"/>
  <c r="F132" i="11" s="1"/>
  <c r="F256" i="11" s="1"/>
  <c r="F380" i="11" s="1"/>
  <c r="F504" i="11" s="1"/>
  <c r="F628" i="11" s="1"/>
  <c r="E8" i="11"/>
  <c r="E132" i="11" s="1"/>
  <c r="E256" i="11" s="1"/>
  <c r="E380" i="11" s="1"/>
  <c r="E504" i="11" s="1"/>
  <c r="E628" i="11" s="1"/>
  <c r="D8" i="11"/>
  <c r="D132" i="11" s="1"/>
  <c r="D256" i="11" s="1"/>
  <c r="D380" i="11" s="1"/>
  <c r="D504" i="11" s="1"/>
  <c r="D628" i="11" s="1"/>
  <c r="C8" i="11"/>
  <c r="C132" i="11" s="1"/>
  <c r="C256" i="11" s="1"/>
  <c r="C380" i="11" s="1"/>
  <c r="C504" i="11" s="1"/>
  <c r="C628" i="11" s="1"/>
  <c r="B8" i="11"/>
  <c r="B132" i="11" s="1"/>
  <c r="B256" i="11" s="1"/>
  <c r="B380" i="11" s="1"/>
  <c r="B504" i="11" s="1"/>
  <c r="B628" i="11" s="1"/>
  <c r="C3" i="11"/>
  <c r="F7" i="8"/>
  <c r="G7" i="8" s="1"/>
  <c r="E7" i="8"/>
  <c r="D7" i="8"/>
  <c r="C7" i="8"/>
  <c r="H44" i="6"/>
  <c r="H43" i="6"/>
  <c r="G43" i="6"/>
  <c r="F43" i="6"/>
  <c r="E43" i="6"/>
  <c r="D43" i="6"/>
  <c r="N41" i="6"/>
  <c r="L41" i="6"/>
  <c r="N40" i="6"/>
  <c r="L40" i="6"/>
  <c r="N39" i="6"/>
  <c r="L39" i="6"/>
  <c r="N38" i="6"/>
  <c r="L38" i="6"/>
  <c r="X22" i="6"/>
  <c r="W22" i="6"/>
  <c r="V22" i="6"/>
  <c r="U22" i="6"/>
  <c r="T22" i="6"/>
  <c r="S22" i="6"/>
  <c r="R22" i="6"/>
  <c r="Q22" i="6"/>
  <c r="P22" i="6"/>
  <c r="O22" i="6"/>
  <c r="N22" i="6"/>
  <c r="L126" i="10"/>
  <c r="P615" i="11" s="1"/>
  <c r="K126" i="10"/>
  <c r="J126" i="10"/>
  <c r="N621" i="11" s="1"/>
  <c r="I126" i="10"/>
  <c r="M608" i="11" s="1"/>
  <c r="H126" i="10"/>
  <c r="L595" i="11" s="1"/>
  <c r="G126" i="10"/>
  <c r="K614" i="11" s="1"/>
  <c r="F126" i="10"/>
  <c r="E126" i="10"/>
  <c r="D126" i="10"/>
  <c r="H607" i="11" s="1"/>
  <c r="C126" i="10"/>
  <c r="E38" i="9"/>
  <c r="E37" i="9"/>
  <c r="E34" i="9"/>
  <c r="E33" i="9"/>
  <c r="E30" i="9"/>
  <c r="E29" i="9"/>
  <c r="E26" i="9"/>
  <c r="L22" i="9"/>
  <c r="M22" i="9" s="1"/>
  <c r="N22" i="9" s="1"/>
  <c r="O22" i="9" s="1"/>
  <c r="P22" i="9" s="1"/>
  <c r="Q22" i="9" s="1"/>
  <c r="R22" i="9" s="1"/>
  <c r="J22" i="9"/>
  <c r="K22" i="9" s="1"/>
  <c r="I22" i="9"/>
  <c r="L16" i="9"/>
  <c r="L15" i="9"/>
  <c r="L13" i="9"/>
  <c r="I13" i="9"/>
  <c r="F13" i="9"/>
  <c r="L12" i="9"/>
  <c r="I12" i="9"/>
  <c r="F12" i="9"/>
  <c r="C12" i="9"/>
  <c r="L11" i="9"/>
  <c r="C11" i="9"/>
  <c r="L10" i="9"/>
  <c r="I10" i="9"/>
  <c r="F10" i="9"/>
  <c r="I9" i="9"/>
  <c r="F9" i="9"/>
  <c r="C9" i="9"/>
  <c r="L8" i="9"/>
  <c r="I8" i="9"/>
  <c r="F8" i="9"/>
  <c r="C8" i="9"/>
  <c r="I7" i="9"/>
  <c r="F7" i="9"/>
  <c r="C7" i="9"/>
  <c r="C6" i="9"/>
  <c r="I5" i="9"/>
  <c r="F5" i="9"/>
  <c r="C5" i="9"/>
  <c r="C10" i="9" s="1"/>
  <c r="C4" i="9"/>
  <c r="M26" i="36"/>
  <c r="L26" i="36"/>
  <c r="K26" i="36"/>
  <c r="J26" i="36"/>
  <c r="I26" i="36"/>
  <c r="H26" i="36"/>
  <c r="G26" i="36"/>
  <c r="F26" i="36"/>
  <c r="E26" i="36"/>
  <c r="D26" i="36"/>
  <c r="C26" i="36"/>
  <c r="M19" i="36"/>
  <c r="L19" i="36"/>
  <c r="K19" i="36"/>
  <c r="J19" i="36"/>
  <c r="I19" i="36"/>
  <c r="H19" i="36"/>
  <c r="G19" i="36"/>
  <c r="F19" i="36"/>
  <c r="E19" i="36"/>
  <c r="D19" i="36"/>
  <c r="C19" i="36"/>
  <c r="C10" i="36"/>
  <c r="C9" i="36"/>
  <c r="C8" i="36"/>
  <c r="C7" i="36"/>
  <c r="C4" i="36"/>
  <c r="M22" i="35"/>
  <c r="L22" i="35"/>
  <c r="K22" i="35"/>
  <c r="J22" i="35"/>
  <c r="I22" i="35"/>
  <c r="H22" i="35"/>
  <c r="G22" i="35"/>
  <c r="F22" i="35"/>
  <c r="E22" i="35"/>
  <c r="D22" i="35"/>
  <c r="C22" i="35"/>
  <c r="M17" i="35"/>
  <c r="L17" i="35"/>
  <c r="K17" i="35"/>
  <c r="J17" i="35"/>
  <c r="I17" i="35"/>
  <c r="H17" i="35"/>
  <c r="G17" i="35"/>
  <c r="F17" i="35"/>
  <c r="E17" i="35"/>
  <c r="D17" i="35"/>
  <c r="C17" i="35"/>
  <c r="C10" i="35"/>
  <c r="C9" i="35"/>
  <c r="C8" i="35"/>
  <c r="C7" i="35"/>
  <c r="C4" i="35"/>
  <c r="M22" i="34"/>
  <c r="L22" i="34"/>
  <c r="K22" i="34"/>
  <c r="J22" i="34"/>
  <c r="I22" i="34"/>
  <c r="H22" i="34"/>
  <c r="G22" i="34"/>
  <c r="F22" i="34"/>
  <c r="E22" i="34"/>
  <c r="D22" i="34"/>
  <c r="C22" i="34"/>
  <c r="C18" i="34"/>
  <c r="C19" i="34" s="1"/>
  <c r="M17" i="34"/>
  <c r="L17" i="34"/>
  <c r="K17" i="34"/>
  <c r="J17" i="34"/>
  <c r="I17" i="34"/>
  <c r="H17" i="34"/>
  <c r="G17" i="34"/>
  <c r="F17" i="34"/>
  <c r="E17" i="34"/>
  <c r="D17" i="34"/>
  <c r="C17" i="34"/>
  <c r="C10" i="34"/>
  <c r="C9" i="34"/>
  <c r="C8" i="34"/>
  <c r="C7" i="34"/>
  <c r="C4" i="34"/>
  <c r="M22" i="33"/>
  <c r="L22" i="33"/>
  <c r="K22" i="33"/>
  <c r="J22" i="33"/>
  <c r="I22" i="33"/>
  <c r="H22" i="33"/>
  <c r="G22" i="33"/>
  <c r="F22" i="33"/>
  <c r="E22" i="33"/>
  <c r="D22" i="33"/>
  <c r="C22" i="33"/>
  <c r="M20" i="33"/>
  <c r="L20" i="33"/>
  <c r="K20" i="33"/>
  <c r="J20" i="33"/>
  <c r="I20" i="33"/>
  <c r="H20" i="33"/>
  <c r="G20" i="33"/>
  <c r="F20" i="33"/>
  <c r="E20" i="33"/>
  <c r="D20" i="33"/>
  <c r="C20" i="33"/>
  <c r="C18" i="33"/>
  <c r="C19" i="33" s="1"/>
  <c r="M17" i="33"/>
  <c r="L17" i="33"/>
  <c r="K17" i="33"/>
  <c r="J17" i="33"/>
  <c r="I17" i="33"/>
  <c r="H17" i="33"/>
  <c r="G17" i="33"/>
  <c r="F17" i="33"/>
  <c r="E17" i="33"/>
  <c r="D17" i="33"/>
  <c r="C17" i="33"/>
  <c r="C10" i="33"/>
  <c r="C9" i="33"/>
  <c r="C8" i="33"/>
  <c r="C7" i="33"/>
  <c r="C4" i="33"/>
  <c r="M22" i="32"/>
  <c r="L22" i="32"/>
  <c r="K22" i="32"/>
  <c r="J22" i="32"/>
  <c r="I22" i="32"/>
  <c r="H22" i="32"/>
  <c r="G22" i="32"/>
  <c r="F22" i="32"/>
  <c r="E22" i="32"/>
  <c r="D22" i="32"/>
  <c r="C22" i="32"/>
  <c r="M20" i="32"/>
  <c r="L20" i="32"/>
  <c r="K20" i="32"/>
  <c r="J20" i="32"/>
  <c r="I20" i="32"/>
  <c r="H20" i="32"/>
  <c r="G20" i="32"/>
  <c r="F20" i="32"/>
  <c r="E20" i="32"/>
  <c r="D20" i="32"/>
  <c r="C20" i="32"/>
  <c r="C24" i="32" s="1"/>
  <c r="C18" i="32"/>
  <c r="C19" i="32" s="1"/>
  <c r="M17" i="32"/>
  <c r="L17" i="32"/>
  <c r="K17" i="32"/>
  <c r="J17" i="32"/>
  <c r="I17" i="32"/>
  <c r="H17" i="32"/>
  <c r="G17" i="32"/>
  <c r="F17" i="32"/>
  <c r="E17" i="32"/>
  <c r="D17" i="32"/>
  <c r="C17" i="32"/>
  <c r="C10" i="32"/>
  <c r="C9" i="32"/>
  <c r="C8" i="32"/>
  <c r="C7" i="32"/>
  <c r="C4" i="32"/>
  <c r="M22" i="31"/>
  <c r="L22" i="31"/>
  <c r="K22" i="31"/>
  <c r="J22" i="31"/>
  <c r="I22" i="31"/>
  <c r="H22" i="31"/>
  <c r="G22" i="31"/>
  <c r="F22" i="31"/>
  <c r="E22" i="31"/>
  <c r="D22" i="31"/>
  <c r="C22" i="31"/>
  <c r="M19" i="31"/>
  <c r="L19" i="31"/>
  <c r="K19" i="31"/>
  <c r="J19" i="31"/>
  <c r="I19" i="31"/>
  <c r="C18" i="31"/>
  <c r="C19" i="31" s="1"/>
  <c r="M17" i="31"/>
  <c r="L17" i="31"/>
  <c r="K17" i="31"/>
  <c r="J17" i="31"/>
  <c r="I17" i="31"/>
  <c r="H17" i="31"/>
  <c r="G17" i="31"/>
  <c r="F17" i="31"/>
  <c r="E17" i="31"/>
  <c r="D17" i="31"/>
  <c r="C17" i="31"/>
  <c r="C10" i="31"/>
  <c r="C9" i="31"/>
  <c r="C8" i="31"/>
  <c r="C7" i="31"/>
  <c r="C4" i="31"/>
  <c r="M22" i="30"/>
  <c r="L22" i="30"/>
  <c r="K22" i="30"/>
  <c r="J22" i="30"/>
  <c r="I22" i="30"/>
  <c r="H22" i="30"/>
  <c r="G22" i="30"/>
  <c r="F22" i="30"/>
  <c r="E22" i="30"/>
  <c r="D22" i="30"/>
  <c r="C22" i="30"/>
  <c r="M20" i="30"/>
  <c r="L20" i="30"/>
  <c r="K20" i="30"/>
  <c r="J20" i="30"/>
  <c r="I20" i="30"/>
  <c r="H20" i="30"/>
  <c r="G20" i="30"/>
  <c r="F20" i="30"/>
  <c r="E20" i="30"/>
  <c r="D20" i="30"/>
  <c r="C20" i="30"/>
  <c r="C24" i="30" s="1"/>
  <c r="C19" i="30"/>
  <c r="C18" i="30"/>
  <c r="M17" i="30"/>
  <c r="L17" i="30"/>
  <c r="K17" i="30"/>
  <c r="J17" i="30"/>
  <c r="I17" i="30"/>
  <c r="H17" i="30"/>
  <c r="G17" i="30"/>
  <c r="F17" i="30"/>
  <c r="E17" i="30"/>
  <c r="D17" i="30"/>
  <c r="C17" i="30"/>
  <c r="C10" i="30"/>
  <c r="C9" i="30"/>
  <c r="C8" i="30"/>
  <c r="C7" i="30"/>
  <c r="C4" i="30"/>
  <c r="M22" i="29"/>
  <c r="L22" i="29"/>
  <c r="K22" i="29"/>
  <c r="J22" i="29"/>
  <c r="I22" i="29"/>
  <c r="H22" i="29"/>
  <c r="G22" i="29"/>
  <c r="F22" i="29"/>
  <c r="E22" i="29"/>
  <c r="D22" i="29"/>
  <c r="C22" i="29"/>
  <c r="M20" i="29"/>
  <c r="L20" i="29"/>
  <c r="K20" i="29"/>
  <c r="J20" i="29"/>
  <c r="I20" i="29"/>
  <c r="H20" i="29"/>
  <c r="G20" i="29"/>
  <c r="F20" i="29"/>
  <c r="E20" i="29"/>
  <c r="D20" i="29"/>
  <c r="C20" i="29"/>
  <c r="C18" i="29"/>
  <c r="C19" i="29" s="1"/>
  <c r="M17" i="29"/>
  <c r="L17" i="29"/>
  <c r="K17" i="29"/>
  <c r="J17" i="29"/>
  <c r="I17" i="29"/>
  <c r="H17" i="29"/>
  <c r="G17" i="29"/>
  <c r="F17" i="29"/>
  <c r="E17" i="29"/>
  <c r="D17" i="29"/>
  <c r="C17" i="29"/>
  <c r="C10" i="29"/>
  <c r="C9" i="29"/>
  <c r="C8" i="29"/>
  <c r="C7" i="29"/>
  <c r="C4" i="29"/>
  <c r="M22" i="28"/>
  <c r="L22" i="28"/>
  <c r="K22" i="28"/>
  <c r="J22" i="28"/>
  <c r="I22" i="28"/>
  <c r="H22" i="28"/>
  <c r="G22" i="28"/>
  <c r="F22" i="28"/>
  <c r="E22" i="28"/>
  <c r="D22" i="28"/>
  <c r="C22" i="28"/>
  <c r="M20" i="28"/>
  <c r="L20" i="28"/>
  <c r="K20" i="28"/>
  <c r="J20" i="28"/>
  <c r="I20" i="28"/>
  <c r="H20" i="28"/>
  <c r="G20" i="28"/>
  <c r="F20" i="28"/>
  <c r="E20" i="28"/>
  <c r="D20" i="28"/>
  <c r="C20" i="28"/>
  <c r="C18" i="28"/>
  <c r="C19" i="28" s="1"/>
  <c r="M17" i="28"/>
  <c r="L17" i="28"/>
  <c r="K17" i="28"/>
  <c r="J17" i="28"/>
  <c r="I17" i="28"/>
  <c r="H17" i="28"/>
  <c r="G17" i="28"/>
  <c r="F17" i="28"/>
  <c r="E17" i="28"/>
  <c r="D17" i="28"/>
  <c r="C17" i="28"/>
  <c r="C10" i="28"/>
  <c r="C9" i="28"/>
  <c r="C8" i="28"/>
  <c r="C7" i="28"/>
  <c r="C4" i="28"/>
  <c r="M22" i="27"/>
  <c r="L22" i="27"/>
  <c r="K22" i="27"/>
  <c r="J22" i="27"/>
  <c r="I22" i="27"/>
  <c r="H22" i="27"/>
  <c r="G22" i="27"/>
  <c r="F22" i="27"/>
  <c r="E22" i="27"/>
  <c r="D22" i="27"/>
  <c r="C22" i="27"/>
  <c r="M20" i="27"/>
  <c r="L20" i="27"/>
  <c r="K20" i="27"/>
  <c r="J20" i="27"/>
  <c r="I20" i="27"/>
  <c r="H20" i="27"/>
  <c r="G20" i="27"/>
  <c r="F20" i="27"/>
  <c r="E20" i="27"/>
  <c r="D20" i="27"/>
  <c r="C20" i="27"/>
  <c r="C19" i="27"/>
  <c r="C24" i="27" s="1"/>
  <c r="C18" i="27"/>
  <c r="M17" i="27"/>
  <c r="L17" i="27"/>
  <c r="K17" i="27"/>
  <c r="J17" i="27"/>
  <c r="I17" i="27"/>
  <c r="H17" i="27"/>
  <c r="G17" i="27"/>
  <c r="F17" i="27"/>
  <c r="E17" i="27"/>
  <c r="D17" i="27"/>
  <c r="C17" i="27"/>
  <c r="C10" i="27"/>
  <c r="C9" i="27"/>
  <c r="C8" i="27"/>
  <c r="C7" i="27"/>
  <c r="C4" i="27"/>
  <c r="M22" i="26"/>
  <c r="L22" i="26"/>
  <c r="K22" i="26"/>
  <c r="J22" i="26"/>
  <c r="I22" i="26"/>
  <c r="H22" i="26"/>
  <c r="G22" i="26"/>
  <c r="F22" i="26"/>
  <c r="E22" i="26"/>
  <c r="D22" i="26"/>
  <c r="C22" i="26"/>
  <c r="M20" i="26"/>
  <c r="L20" i="26"/>
  <c r="K20" i="26"/>
  <c r="J20" i="26"/>
  <c r="I20" i="26"/>
  <c r="H20" i="26"/>
  <c r="G20" i="26"/>
  <c r="F20" i="26"/>
  <c r="E20" i="26"/>
  <c r="D20" i="26"/>
  <c r="C20" i="26"/>
  <c r="C19" i="26"/>
  <c r="C18" i="26"/>
  <c r="M17" i="26"/>
  <c r="L17" i="26"/>
  <c r="K17" i="26"/>
  <c r="J17" i="26"/>
  <c r="I17" i="26"/>
  <c r="H17" i="26"/>
  <c r="G17" i="26"/>
  <c r="F17" i="26"/>
  <c r="E17" i="26"/>
  <c r="D17" i="26"/>
  <c r="C17" i="26"/>
  <c r="C10" i="26"/>
  <c r="C9" i="26"/>
  <c r="C8" i="26"/>
  <c r="C7" i="26"/>
  <c r="C4" i="26"/>
  <c r="M22" i="25"/>
  <c r="L22" i="25"/>
  <c r="K22" i="25"/>
  <c r="J22" i="25"/>
  <c r="I22" i="25"/>
  <c r="H22" i="25"/>
  <c r="G22" i="25"/>
  <c r="F22" i="25"/>
  <c r="E22" i="25"/>
  <c r="D22" i="25"/>
  <c r="C22" i="25"/>
  <c r="M20" i="25"/>
  <c r="L20" i="25"/>
  <c r="K20" i="25"/>
  <c r="J20" i="25"/>
  <c r="I20" i="25"/>
  <c r="H20" i="25"/>
  <c r="G20" i="25"/>
  <c r="F20" i="25"/>
  <c r="E20" i="25"/>
  <c r="D20" i="25"/>
  <c r="C20" i="25"/>
  <c r="C18" i="25"/>
  <c r="C19" i="25" s="1"/>
  <c r="M17" i="25"/>
  <c r="L17" i="25"/>
  <c r="K17" i="25"/>
  <c r="J17" i="25"/>
  <c r="I17" i="25"/>
  <c r="H17" i="25"/>
  <c r="G17" i="25"/>
  <c r="F17" i="25"/>
  <c r="E17" i="25"/>
  <c r="D17" i="25"/>
  <c r="C17" i="25"/>
  <c r="C10" i="25"/>
  <c r="C9" i="25"/>
  <c r="C8" i="25"/>
  <c r="C7" i="25"/>
  <c r="C4" i="25"/>
  <c r="M22" i="16"/>
  <c r="L22" i="16"/>
  <c r="K22" i="16"/>
  <c r="J22" i="16"/>
  <c r="I22" i="16"/>
  <c r="H22" i="16"/>
  <c r="G22" i="16"/>
  <c r="F22" i="16"/>
  <c r="E22" i="16"/>
  <c r="D22" i="16"/>
  <c r="C22" i="16"/>
  <c r="C19" i="16"/>
  <c r="C24" i="16" s="1"/>
  <c r="C18" i="16"/>
  <c r="M17" i="16"/>
  <c r="L17" i="16"/>
  <c r="K17" i="16"/>
  <c r="J17" i="16"/>
  <c r="I17" i="16"/>
  <c r="H17" i="16"/>
  <c r="G17" i="16"/>
  <c r="F17" i="16"/>
  <c r="E17" i="16"/>
  <c r="D17" i="16"/>
  <c r="C17" i="16"/>
  <c r="C10" i="16"/>
  <c r="C9" i="16"/>
  <c r="C8" i="16"/>
  <c r="C7" i="16"/>
  <c r="C4" i="16"/>
  <c r="C20" i="24"/>
  <c r="C44" i="24" s="1"/>
  <c r="D16" i="24"/>
  <c r="C16" i="24"/>
  <c r="M10" i="24"/>
  <c r="L10" i="24"/>
  <c r="K10" i="24"/>
  <c r="J10" i="24"/>
  <c r="I10" i="24"/>
  <c r="H10" i="24"/>
  <c r="G10" i="24"/>
  <c r="F10" i="24"/>
  <c r="E10" i="24"/>
  <c r="D10" i="24"/>
  <c r="C10" i="24"/>
  <c r="C9" i="24"/>
  <c r="E6" i="24"/>
  <c r="F6" i="24" s="1"/>
  <c r="D6" i="24"/>
  <c r="D20" i="24" s="1"/>
  <c r="D44" i="24" s="1"/>
  <c r="C4" i="24"/>
  <c r="C20" i="23"/>
  <c r="C16" i="23"/>
  <c r="C9" i="23"/>
  <c r="D6" i="23"/>
  <c r="E6" i="23" s="1"/>
  <c r="C4" i="23"/>
  <c r="C20" i="22"/>
  <c r="C16" i="22"/>
  <c r="C9" i="22"/>
  <c r="D6" i="22"/>
  <c r="E6" i="22" s="1"/>
  <c r="C4" i="22"/>
  <c r="C20" i="21"/>
  <c r="C16" i="21"/>
  <c r="C9" i="21"/>
  <c r="D6" i="21"/>
  <c r="E6" i="21" s="1"/>
  <c r="C4" i="21"/>
  <c r="D20" i="20"/>
  <c r="C20" i="20"/>
  <c r="D16" i="20"/>
  <c r="C16" i="20"/>
  <c r="C9" i="20"/>
  <c r="D6" i="20"/>
  <c r="E6" i="20" s="1"/>
  <c r="C4" i="20"/>
  <c r="D20" i="19"/>
  <c r="C20" i="19"/>
  <c r="D16" i="19"/>
  <c r="C16" i="19"/>
  <c r="C9" i="19"/>
  <c r="D6" i="19"/>
  <c r="E6" i="19" s="1"/>
  <c r="C4" i="19"/>
  <c r="D20" i="18"/>
  <c r="C20" i="18"/>
  <c r="D16" i="18"/>
  <c r="C16" i="18"/>
  <c r="C9" i="18"/>
  <c r="D6" i="18"/>
  <c r="E6" i="18" s="1"/>
  <c r="C4" i="18"/>
  <c r="C9" i="17"/>
  <c r="C6" i="17"/>
  <c r="D6" i="17" s="1"/>
  <c r="C4" i="17"/>
  <c r="C20" i="5"/>
  <c r="C16" i="5"/>
  <c r="C9" i="5"/>
  <c r="D6" i="5"/>
  <c r="E6" i="5" s="1"/>
  <c r="C4" i="5"/>
  <c r="P220" i="12"/>
  <c r="P219" i="12"/>
  <c r="P218" i="12"/>
  <c r="P217" i="12"/>
  <c r="P216" i="12"/>
  <c r="P215" i="12"/>
  <c r="P214" i="12"/>
  <c r="P213" i="12"/>
  <c r="P212" i="12"/>
  <c r="P211" i="12"/>
  <c r="P210" i="12"/>
  <c r="G210" i="12"/>
  <c r="O209" i="12"/>
  <c r="N209" i="12"/>
  <c r="M209" i="12"/>
  <c r="L209" i="12"/>
  <c r="K209" i="12"/>
  <c r="J209" i="12"/>
  <c r="I209" i="12"/>
  <c r="H209" i="12"/>
  <c r="O208" i="12"/>
  <c r="N208" i="12"/>
  <c r="M208" i="12"/>
  <c r="L208" i="12"/>
  <c r="K208" i="12"/>
  <c r="J208" i="12"/>
  <c r="I208" i="12"/>
  <c r="H208" i="12"/>
  <c r="P205" i="12"/>
  <c r="P204" i="12"/>
  <c r="P203" i="12"/>
  <c r="P202" i="12"/>
  <c r="P201" i="12"/>
  <c r="P200" i="12"/>
  <c r="P199" i="12"/>
  <c r="P198" i="12"/>
  <c r="P197" i="12"/>
  <c r="P196" i="12"/>
  <c r="P195" i="12"/>
  <c r="G195" i="12"/>
  <c r="O194" i="12"/>
  <c r="N194" i="12"/>
  <c r="M194" i="12"/>
  <c r="L194" i="12"/>
  <c r="K194" i="12"/>
  <c r="J194" i="12"/>
  <c r="I194" i="12"/>
  <c r="H194" i="12"/>
  <c r="O193" i="12"/>
  <c r="N193" i="12"/>
  <c r="M193" i="12"/>
  <c r="L193" i="12"/>
  <c r="K193" i="12"/>
  <c r="J193" i="12"/>
  <c r="I193" i="12"/>
  <c r="H193" i="12"/>
  <c r="H182" i="12"/>
  <c r="H162" i="12"/>
  <c r="H151" i="12"/>
  <c r="R146" i="12"/>
  <c r="Q146" i="12"/>
  <c r="P146" i="12"/>
  <c r="O146" i="12"/>
  <c r="N146" i="12"/>
  <c r="M146" i="12"/>
  <c r="L146" i="12"/>
  <c r="K146" i="12"/>
  <c r="J146" i="12"/>
  <c r="I146" i="12"/>
  <c r="D20" i="34" s="1"/>
  <c r="H146" i="12"/>
  <c r="C20" i="34" s="1"/>
  <c r="G146" i="12"/>
  <c r="E146" i="12"/>
  <c r="G145" i="12"/>
  <c r="E145" i="12"/>
  <c r="G144" i="12"/>
  <c r="E144" i="12"/>
  <c r="R143" i="12"/>
  <c r="M20" i="31" s="1"/>
  <c r="Q143" i="12"/>
  <c r="L20" i="31" s="1"/>
  <c r="P143" i="12"/>
  <c r="K20" i="31" s="1"/>
  <c r="O143" i="12"/>
  <c r="J20" i="31" s="1"/>
  <c r="N143" i="12"/>
  <c r="I20" i="31" s="1"/>
  <c r="H143" i="12"/>
  <c r="C20" i="31" s="1"/>
  <c r="G143" i="12"/>
  <c r="E143" i="12"/>
  <c r="G142" i="12"/>
  <c r="E142" i="12"/>
  <c r="G141" i="12"/>
  <c r="E141" i="12"/>
  <c r="G140" i="12"/>
  <c r="E140" i="12"/>
  <c r="G139" i="12"/>
  <c r="E139" i="12"/>
  <c r="G138" i="12"/>
  <c r="E138" i="12"/>
  <c r="G137" i="12"/>
  <c r="E137" i="12"/>
  <c r="R136" i="12"/>
  <c r="M23" i="37" s="1"/>
  <c r="Q136" i="12"/>
  <c r="L20" i="16" s="1"/>
  <c r="P136" i="12"/>
  <c r="K20" i="16" s="1"/>
  <c r="O136" i="12"/>
  <c r="N136" i="12"/>
  <c r="M136" i="12"/>
  <c r="L136" i="12"/>
  <c r="G20" i="16" s="1"/>
  <c r="K136" i="12"/>
  <c r="F20" i="16" s="1"/>
  <c r="J136" i="12"/>
  <c r="I136" i="12"/>
  <c r="D20" i="16" s="1"/>
  <c r="H136" i="12"/>
  <c r="C23" i="37" s="1"/>
  <c r="G136" i="12"/>
  <c r="E136" i="12"/>
  <c r="I134" i="12"/>
  <c r="J134" i="12" s="1"/>
  <c r="K134" i="12" s="1"/>
  <c r="L134" i="12" s="1"/>
  <c r="M134" i="12" s="1"/>
  <c r="N134" i="12" s="1"/>
  <c r="O134" i="12" s="1"/>
  <c r="P134" i="12" s="1"/>
  <c r="Q134" i="12" s="1"/>
  <c r="R134" i="12" s="1"/>
  <c r="N127" i="12"/>
  <c r="M127" i="12"/>
  <c r="G127" i="12"/>
  <c r="G182" i="12" s="1"/>
  <c r="E127" i="12"/>
  <c r="E182" i="12" s="1"/>
  <c r="G126" i="12"/>
  <c r="G181" i="12" s="1"/>
  <c r="E126" i="12"/>
  <c r="E181" i="12" s="1"/>
  <c r="H125" i="12"/>
  <c r="G125" i="12"/>
  <c r="G180" i="12" s="1"/>
  <c r="E125" i="12"/>
  <c r="E180" i="12" s="1"/>
  <c r="R124" i="12"/>
  <c r="Q124" i="12"/>
  <c r="P124" i="12"/>
  <c r="O124" i="12"/>
  <c r="N124" i="12"/>
  <c r="H124" i="12"/>
  <c r="G124" i="12"/>
  <c r="G179" i="12" s="1"/>
  <c r="E124" i="12"/>
  <c r="E179" i="12" s="1"/>
  <c r="H123" i="12"/>
  <c r="G123" i="12"/>
  <c r="G178" i="12" s="1"/>
  <c r="E123" i="12"/>
  <c r="E178" i="12" s="1"/>
  <c r="R122" i="12"/>
  <c r="Q122" i="12"/>
  <c r="P122" i="12"/>
  <c r="O122" i="12"/>
  <c r="N122" i="12"/>
  <c r="H122" i="12"/>
  <c r="G122" i="12"/>
  <c r="G177" i="12" s="1"/>
  <c r="E122" i="12"/>
  <c r="E177" i="12" s="1"/>
  <c r="G121" i="12"/>
  <c r="G176" i="12" s="1"/>
  <c r="E121" i="12"/>
  <c r="E176" i="12" s="1"/>
  <c r="R120" i="12"/>
  <c r="Q120" i="12"/>
  <c r="P120" i="12"/>
  <c r="O120" i="12"/>
  <c r="N120" i="12"/>
  <c r="H120" i="12"/>
  <c r="G120" i="12"/>
  <c r="G175" i="12" s="1"/>
  <c r="E120" i="12"/>
  <c r="E175" i="12" s="1"/>
  <c r="H119" i="12"/>
  <c r="G119" i="12"/>
  <c r="G174" i="12" s="1"/>
  <c r="E119" i="12"/>
  <c r="E174" i="12" s="1"/>
  <c r="G118" i="12"/>
  <c r="G173" i="12" s="1"/>
  <c r="E118" i="12"/>
  <c r="E173" i="12" s="1"/>
  <c r="H117" i="12"/>
  <c r="G117" i="12"/>
  <c r="G172" i="12" s="1"/>
  <c r="E117" i="12"/>
  <c r="E172" i="12" s="1"/>
  <c r="G116" i="12"/>
  <c r="G171" i="12" s="1"/>
  <c r="E116" i="12"/>
  <c r="E171" i="12" s="1"/>
  <c r="G115" i="12"/>
  <c r="G170" i="12" s="1"/>
  <c r="E115" i="12"/>
  <c r="E170" i="12" s="1"/>
  <c r="G114" i="12"/>
  <c r="G169" i="12" s="1"/>
  <c r="E114" i="12"/>
  <c r="E169" i="12" s="1"/>
  <c r="G113" i="12"/>
  <c r="G168" i="12" s="1"/>
  <c r="E113" i="12"/>
  <c r="E168" i="12" s="1"/>
  <c r="G112" i="12"/>
  <c r="G167" i="12" s="1"/>
  <c r="E112" i="12"/>
  <c r="E167" i="12" s="1"/>
  <c r="G111" i="12"/>
  <c r="G166" i="12" s="1"/>
  <c r="E111" i="12"/>
  <c r="E166" i="12" s="1"/>
  <c r="G110" i="12"/>
  <c r="G165" i="12" s="1"/>
  <c r="E110" i="12"/>
  <c r="E165" i="12" s="1"/>
  <c r="G109" i="12"/>
  <c r="G164" i="12" s="1"/>
  <c r="E109" i="12"/>
  <c r="E164" i="12" s="1"/>
  <c r="H107" i="12"/>
  <c r="G103" i="12"/>
  <c r="E103" i="12"/>
  <c r="E102" i="12"/>
  <c r="E101" i="12"/>
  <c r="F100" i="12"/>
  <c r="E100" i="12"/>
  <c r="E99" i="12"/>
  <c r="E98" i="12"/>
  <c r="E97" i="12"/>
  <c r="E96" i="12"/>
  <c r="R94" i="12"/>
  <c r="N94" i="12"/>
  <c r="R93" i="12"/>
  <c r="G90" i="12"/>
  <c r="F90" i="12"/>
  <c r="F103" i="12" s="1"/>
  <c r="G89" i="12"/>
  <c r="F89" i="12"/>
  <c r="F102" i="12" s="1"/>
  <c r="G88" i="12"/>
  <c r="F88" i="12"/>
  <c r="F101" i="12" s="1"/>
  <c r="Q87" i="12"/>
  <c r="L205" i="12" s="1"/>
  <c r="P87" i="12"/>
  <c r="L204" i="12" s="1"/>
  <c r="M87" i="12"/>
  <c r="L201" i="12" s="1"/>
  <c r="L87" i="12"/>
  <c r="L200" i="12" s="1"/>
  <c r="K87" i="12"/>
  <c r="L199" i="12" s="1"/>
  <c r="I87" i="12"/>
  <c r="L197" i="12" s="1"/>
  <c r="H87" i="12"/>
  <c r="G87" i="12"/>
  <c r="G100" i="12" s="1"/>
  <c r="F87" i="12"/>
  <c r="G86" i="12"/>
  <c r="F86" i="12"/>
  <c r="F99" i="12" s="1"/>
  <c r="G85" i="12"/>
  <c r="F85" i="12"/>
  <c r="F98" i="12" s="1"/>
  <c r="G84" i="12"/>
  <c r="F84" i="12"/>
  <c r="F97" i="12" s="1"/>
  <c r="G83" i="12"/>
  <c r="F83" i="12"/>
  <c r="F96" i="12" s="1"/>
  <c r="Q81" i="12"/>
  <c r="Q94" i="12" s="1"/>
  <c r="P81" i="12"/>
  <c r="P94" i="12" s="1"/>
  <c r="O81" i="12"/>
  <c r="O94" i="12" s="1"/>
  <c r="N81" i="12"/>
  <c r="M81" i="12"/>
  <c r="M94" i="12" s="1"/>
  <c r="L81" i="12"/>
  <c r="L94" i="12" s="1"/>
  <c r="K81" i="12"/>
  <c r="K94" i="12" s="1"/>
  <c r="J81" i="12"/>
  <c r="J94" i="12" s="1"/>
  <c r="I81" i="12"/>
  <c r="I94" i="12" s="1"/>
  <c r="H81" i="12"/>
  <c r="H94" i="12" s="1"/>
  <c r="P77" i="12"/>
  <c r="D25" i="10" s="1"/>
  <c r="D30" i="11" s="1"/>
  <c r="P76" i="12"/>
  <c r="P75" i="12"/>
  <c r="D23" i="10" s="1"/>
  <c r="D28" i="11" s="1"/>
  <c r="P74" i="12"/>
  <c r="P73" i="12"/>
  <c r="D43" i="10" s="1"/>
  <c r="D48" i="11" s="1"/>
  <c r="P72" i="12"/>
  <c r="D9" i="10" s="1"/>
  <c r="D14" i="11" s="1"/>
  <c r="P71" i="12"/>
  <c r="P70" i="12"/>
  <c r="P69" i="12"/>
  <c r="D50" i="10" s="1"/>
  <c r="D55" i="11" s="1"/>
  <c r="P68" i="12"/>
  <c r="P67" i="12"/>
  <c r="G67" i="12"/>
  <c r="O66" i="12"/>
  <c r="N66" i="12"/>
  <c r="M66" i="12"/>
  <c r="L66" i="12"/>
  <c r="K66" i="12"/>
  <c r="F45" i="10" s="1"/>
  <c r="F50" i="11" s="1"/>
  <c r="J66" i="12"/>
  <c r="F29" i="10" s="1"/>
  <c r="F34" i="11" s="1"/>
  <c r="I66" i="12"/>
  <c r="H66" i="12"/>
  <c r="F11" i="10" s="1"/>
  <c r="F16" i="11" s="1"/>
  <c r="O65" i="12"/>
  <c r="B86" i="10" s="1"/>
  <c r="B91" i="11" s="1"/>
  <c r="B215" i="11" s="1"/>
  <c r="B339" i="11" s="1"/>
  <c r="B463" i="11" s="1"/>
  <c r="B587" i="11" s="1"/>
  <c r="B711" i="11" s="1"/>
  <c r="N65" i="12"/>
  <c r="B76" i="10" s="1"/>
  <c r="B81" i="11" s="1"/>
  <c r="B205" i="11" s="1"/>
  <c r="B329" i="11" s="1"/>
  <c r="B453" i="11" s="1"/>
  <c r="B577" i="11" s="1"/>
  <c r="B701" i="11" s="1"/>
  <c r="M65" i="12"/>
  <c r="B68" i="10" s="1"/>
  <c r="B73" i="11" s="1"/>
  <c r="B197" i="11" s="1"/>
  <c r="B321" i="11" s="1"/>
  <c r="B445" i="11" s="1"/>
  <c r="B569" i="11" s="1"/>
  <c r="B693" i="11" s="1"/>
  <c r="L65" i="12"/>
  <c r="K65" i="12"/>
  <c r="J65" i="12"/>
  <c r="I65" i="12"/>
  <c r="H65" i="12"/>
  <c r="P63" i="12"/>
  <c r="P62" i="12"/>
  <c r="P61" i="12"/>
  <c r="P60" i="12"/>
  <c r="P59" i="12"/>
  <c r="P58" i="12"/>
  <c r="P57" i="12"/>
  <c r="P56" i="12"/>
  <c r="P55" i="12"/>
  <c r="P54" i="12"/>
  <c r="P53" i="12"/>
  <c r="G53" i="12"/>
  <c r="O52" i="12"/>
  <c r="N52" i="12"/>
  <c r="M52" i="12"/>
  <c r="L52" i="12"/>
  <c r="K52" i="12"/>
  <c r="J52" i="12"/>
  <c r="I52" i="12"/>
  <c r="H52" i="12"/>
  <c r="O51" i="12"/>
  <c r="N51" i="12"/>
  <c r="M51" i="12"/>
  <c r="L51" i="12"/>
  <c r="K51" i="12"/>
  <c r="J51" i="12"/>
  <c r="I51" i="12"/>
  <c r="H51" i="12"/>
  <c r="B42" i="12"/>
  <c r="T31" i="12"/>
  <c r="S30" i="12"/>
  <c r="S182" i="12" s="1"/>
  <c r="H30" i="12"/>
  <c r="C26" i="34" s="1"/>
  <c r="C28" i="34" s="1"/>
  <c r="D30" i="12"/>
  <c r="C14" i="34" s="1"/>
  <c r="S29" i="12"/>
  <c r="S181" i="12" s="1"/>
  <c r="R29" i="12"/>
  <c r="M26" i="33" s="1"/>
  <c r="M28" i="33" s="1"/>
  <c r="Q29" i="12"/>
  <c r="L26" i="33" s="1"/>
  <c r="L28" i="33" s="1"/>
  <c r="P29" i="12"/>
  <c r="K26" i="33" s="1"/>
  <c r="K28" i="33" s="1"/>
  <c r="O29" i="12"/>
  <c r="J26" i="33" s="1"/>
  <c r="J28" i="33" s="1"/>
  <c r="N29" i="12"/>
  <c r="I26" i="33" s="1"/>
  <c r="I28" i="33" s="1"/>
  <c r="H29" i="12"/>
  <c r="C26" i="33" s="1"/>
  <c r="C28" i="33" s="1"/>
  <c r="D29" i="12"/>
  <c r="C14" i="33" s="1"/>
  <c r="S28" i="12"/>
  <c r="S144" i="12" s="1"/>
  <c r="R28" i="12"/>
  <c r="M26" i="32" s="1"/>
  <c r="M28" i="32" s="1"/>
  <c r="Q28" i="12"/>
  <c r="L26" i="32" s="1"/>
  <c r="L28" i="32" s="1"/>
  <c r="P28" i="12"/>
  <c r="K26" i="32" s="1"/>
  <c r="K28" i="32" s="1"/>
  <c r="O28" i="12"/>
  <c r="J26" i="32" s="1"/>
  <c r="J28" i="32" s="1"/>
  <c r="N28" i="12"/>
  <c r="I26" i="32" s="1"/>
  <c r="I28" i="32" s="1"/>
  <c r="H28" i="12"/>
  <c r="C26" i="32" s="1"/>
  <c r="C28" i="32" s="1"/>
  <c r="D28" i="12"/>
  <c r="F144" i="12" s="1"/>
  <c r="S27" i="12"/>
  <c r="S143" i="12" s="1"/>
  <c r="R27" i="12"/>
  <c r="M26" i="31" s="1"/>
  <c r="M28" i="31" s="1"/>
  <c r="Q27" i="12"/>
  <c r="L26" i="31" s="1"/>
  <c r="L28" i="31" s="1"/>
  <c r="P27" i="12"/>
  <c r="K26" i="31" s="1"/>
  <c r="K28" i="31" s="1"/>
  <c r="O27" i="12"/>
  <c r="J26" i="31" s="1"/>
  <c r="J28" i="31" s="1"/>
  <c r="N27" i="12"/>
  <c r="I26" i="31" s="1"/>
  <c r="I28" i="31" s="1"/>
  <c r="H27" i="12"/>
  <c r="C26" i="31" s="1"/>
  <c r="C28" i="31" s="1"/>
  <c r="D27" i="12"/>
  <c r="C14" i="31" s="1"/>
  <c r="S26" i="12"/>
  <c r="S142" i="12" s="1"/>
  <c r="R26" i="12"/>
  <c r="M26" i="30" s="1"/>
  <c r="M28" i="30" s="1"/>
  <c r="Q26" i="12"/>
  <c r="L26" i="30" s="1"/>
  <c r="L28" i="30" s="1"/>
  <c r="P26" i="12"/>
  <c r="K26" i="30" s="1"/>
  <c r="K28" i="30" s="1"/>
  <c r="O26" i="12"/>
  <c r="J26" i="30" s="1"/>
  <c r="J28" i="30" s="1"/>
  <c r="N26" i="12"/>
  <c r="I26" i="30" s="1"/>
  <c r="I28" i="30" s="1"/>
  <c r="H26" i="12"/>
  <c r="C26" i="30" s="1"/>
  <c r="C28" i="30" s="1"/>
  <c r="D26" i="12"/>
  <c r="F123" i="12" s="1"/>
  <c r="F178" i="12" s="1"/>
  <c r="S25" i="12"/>
  <c r="S177" i="12" s="1"/>
  <c r="R25" i="12"/>
  <c r="M26" i="29" s="1"/>
  <c r="M28" i="29" s="1"/>
  <c r="Q25" i="12"/>
  <c r="L26" i="29" s="1"/>
  <c r="L28" i="29" s="1"/>
  <c r="P25" i="12"/>
  <c r="K26" i="29" s="1"/>
  <c r="K28" i="29" s="1"/>
  <c r="O25" i="12"/>
  <c r="J26" i="29" s="1"/>
  <c r="J28" i="29" s="1"/>
  <c r="N25" i="12"/>
  <c r="I26" i="29" s="1"/>
  <c r="I28" i="29" s="1"/>
  <c r="H25" i="12"/>
  <c r="C26" i="29" s="1"/>
  <c r="C28" i="29" s="1"/>
  <c r="D25" i="12"/>
  <c r="C14" i="29" s="1"/>
  <c r="S24" i="12"/>
  <c r="S140" i="12" s="1"/>
  <c r="H24" i="12"/>
  <c r="C26" i="28" s="1"/>
  <c r="C28" i="28" s="1"/>
  <c r="D24" i="12"/>
  <c r="C14" i="28" s="1"/>
  <c r="S23" i="12"/>
  <c r="S175" i="12" s="1"/>
  <c r="R23" i="12"/>
  <c r="M26" i="27" s="1"/>
  <c r="M28" i="27" s="1"/>
  <c r="Q23" i="12"/>
  <c r="L26" i="27" s="1"/>
  <c r="L28" i="27" s="1"/>
  <c r="P23" i="12"/>
  <c r="K26" i="27" s="1"/>
  <c r="K28" i="27" s="1"/>
  <c r="O23" i="12"/>
  <c r="J26" i="27" s="1"/>
  <c r="J28" i="27" s="1"/>
  <c r="N23" i="12"/>
  <c r="I26" i="27" s="1"/>
  <c r="I28" i="27" s="1"/>
  <c r="H23" i="12"/>
  <c r="C26" i="27" s="1"/>
  <c r="C28" i="27" s="1"/>
  <c r="D23" i="12"/>
  <c r="C14" i="27" s="1"/>
  <c r="S22" i="12"/>
  <c r="S174" i="12" s="1"/>
  <c r="R22" i="12"/>
  <c r="M26" i="26" s="1"/>
  <c r="M28" i="26" s="1"/>
  <c r="Q22" i="12"/>
  <c r="L26" i="26" s="1"/>
  <c r="L28" i="26" s="1"/>
  <c r="P22" i="12"/>
  <c r="K26" i="26" s="1"/>
  <c r="K28" i="26" s="1"/>
  <c r="O22" i="12"/>
  <c r="J26" i="26" s="1"/>
  <c r="J28" i="26" s="1"/>
  <c r="N22" i="12"/>
  <c r="I26" i="26" s="1"/>
  <c r="I28" i="26" s="1"/>
  <c r="H22" i="12"/>
  <c r="C26" i="26" s="1"/>
  <c r="C28" i="26" s="1"/>
  <c r="D22" i="12"/>
  <c r="C14" i="26" s="1"/>
  <c r="S21" i="12"/>
  <c r="S173" i="12" s="1"/>
  <c r="R21" i="12"/>
  <c r="M26" i="25" s="1"/>
  <c r="M28" i="25" s="1"/>
  <c r="Q21" i="12"/>
  <c r="L26" i="25" s="1"/>
  <c r="L28" i="25" s="1"/>
  <c r="P21" i="12"/>
  <c r="K26" i="25" s="1"/>
  <c r="K28" i="25" s="1"/>
  <c r="O21" i="12"/>
  <c r="J26" i="25" s="1"/>
  <c r="J28" i="25" s="1"/>
  <c r="N21" i="12"/>
  <c r="I26" i="25" s="1"/>
  <c r="I28" i="25" s="1"/>
  <c r="H21" i="12"/>
  <c r="C26" i="25" s="1"/>
  <c r="C28" i="25" s="1"/>
  <c r="D21" i="12"/>
  <c r="C14" i="25" s="1"/>
  <c r="S20" i="12"/>
  <c r="H20" i="12"/>
  <c r="C26" i="16" s="1"/>
  <c r="C28" i="16" s="1"/>
  <c r="D20" i="12"/>
  <c r="C14" i="16" s="1"/>
  <c r="S18" i="12"/>
  <c r="J706" i="11" s="1"/>
  <c r="D18" i="12"/>
  <c r="F116" i="12" s="1"/>
  <c r="F171" i="12" s="1"/>
  <c r="S16" i="12"/>
  <c r="J695" i="11" s="1"/>
  <c r="D16" i="12"/>
  <c r="F115" i="12" s="1"/>
  <c r="F170" i="12" s="1"/>
  <c r="S14" i="12"/>
  <c r="J684" i="11" s="1"/>
  <c r="D14" i="12"/>
  <c r="F114" i="12" s="1"/>
  <c r="F169" i="12" s="1"/>
  <c r="S12" i="12"/>
  <c r="J673" i="11" s="1"/>
  <c r="D12" i="12"/>
  <c r="F113" i="12" s="1"/>
  <c r="F168" i="12" s="1"/>
  <c r="S10" i="12"/>
  <c r="J662" i="11" s="1"/>
  <c r="D10" i="12"/>
  <c r="C13" i="19" s="1"/>
  <c r="S8" i="12"/>
  <c r="J651" i="11" s="1"/>
  <c r="D8" i="12"/>
  <c r="C13" i="18" s="1"/>
  <c r="S6" i="12"/>
  <c r="J640" i="11" s="1"/>
  <c r="D6" i="12"/>
  <c r="F110" i="12" s="1"/>
  <c r="F165" i="12" s="1"/>
  <c r="S4" i="12"/>
  <c r="S164" i="12" s="1"/>
  <c r="D4" i="12"/>
  <c r="F109" i="12" s="1"/>
  <c r="F164" i="12" s="1"/>
  <c r="K2" i="12"/>
  <c r="G70" i="12" s="1"/>
  <c r="J2" i="12"/>
  <c r="J151" i="12" s="1"/>
  <c r="I2" i="12"/>
  <c r="H80" i="12" s="1"/>
  <c r="H93" i="12" s="1"/>
  <c r="M79" i="58"/>
  <c r="L79" i="58"/>
  <c r="K79" i="58"/>
  <c r="J79" i="58"/>
  <c r="I79" i="58"/>
  <c r="H79" i="58"/>
  <c r="G79" i="58"/>
  <c r="F79" i="58"/>
  <c r="E79" i="58"/>
  <c r="D79" i="58"/>
  <c r="N79" i="58" s="1"/>
  <c r="C79" i="58"/>
  <c r="M78" i="58"/>
  <c r="L78" i="58"/>
  <c r="K78" i="58"/>
  <c r="J78" i="58"/>
  <c r="I78" i="58"/>
  <c r="H78" i="58"/>
  <c r="G78" i="58"/>
  <c r="F78" i="58"/>
  <c r="E78" i="58"/>
  <c r="D78" i="58"/>
  <c r="N78" i="58" s="1"/>
  <c r="C78" i="58"/>
  <c r="M72" i="58"/>
  <c r="L72" i="58"/>
  <c r="K72" i="58"/>
  <c r="J72" i="58"/>
  <c r="I72" i="58"/>
  <c r="H72" i="58"/>
  <c r="G72" i="58"/>
  <c r="F72" i="58"/>
  <c r="E72" i="58"/>
  <c r="D72" i="58"/>
  <c r="N72" i="58" s="1"/>
  <c r="M66" i="58"/>
  <c r="L66" i="58"/>
  <c r="K66" i="58"/>
  <c r="J66" i="58"/>
  <c r="I66" i="58"/>
  <c r="C66" i="58"/>
  <c r="M65" i="58"/>
  <c r="L65" i="58"/>
  <c r="K65" i="58"/>
  <c r="J65" i="58"/>
  <c r="I65" i="58"/>
  <c r="M59" i="58"/>
  <c r="L59" i="58"/>
  <c r="K59" i="58"/>
  <c r="J59" i="58"/>
  <c r="I59" i="58"/>
  <c r="C59" i="58"/>
  <c r="C53" i="58"/>
  <c r="C52" i="58"/>
  <c r="C51" i="58"/>
  <c r="M45" i="58"/>
  <c r="L45" i="58"/>
  <c r="K45" i="58"/>
  <c r="J45" i="58"/>
  <c r="M44" i="58"/>
  <c r="L44" i="58"/>
  <c r="K44" i="58"/>
  <c r="J44" i="58"/>
  <c r="M43" i="58"/>
  <c r="L43" i="58"/>
  <c r="K43" i="58"/>
  <c r="J43" i="58"/>
  <c r="M29" i="58"/>
  <c r="L29" i="58"/>
  <c r="K29" i="58"/>
  <c r="J29" i="58"/>
  <c r="I29" i="58"/>
  <c r="C29" i="58"/>
  <c r="M28" i="58"/>
  <c r="L28" i="58"/>
  <c r="K28" i="58"/>
  <c r="J28" i="58"/>
  <c r="I28" i="58"/>
  <c r="C28" i="58"/>
  <c r="M27" i="58"/>
  <c r="L27" i="58"/>
  <c r="K27" i="58"/>
  <c r="J27" i="58"/>
  <c r="I27" i="58"/>
  <c r="C27" i="58"/>
  <c r="M21" i="58"/>
  <c r="L21" i="58"/>
  <c r="K21" i="58"/>
  <c r="J21" i="58"/>
  <c r="I21" i="58"/>
  <c r="C21" i="58"/>
  <c r="M20" i="58"/>
  <c r="L20" i="58"/>
  <c r="K20" i="58"/>
  <c r="J20" i="58"/>
  <c r="I20" i="58"/>
  <c r="C20" i="58"/>
  <c r="M14" i="58"/>
  <c r="L14" i="58"/>
  <c r="K14" i="58"/>
  <c r="J14" i="58"/>
  <c r="I14" i="58"/>
  <c r="D14" i="58"/>
  <c r="C14" i="58"/>
  <c r="M13" i="58"/>
  <c r="L13" i="58"/>
  <c r="K13" i="58"/>
  <c r="J13" i="58"/>
  <c r="I13" i="58"/>
  <c r="H13" i="58"/>
  <c r="G13" i="58"/>
  <c r="F13" i="58"/>
  <c r="E13" i="58"/>
  <c r="D13" i="58"/>
  <c r="N13" i="58" s="1"/>
  <c r="C13" i="58"/>
  <c r="M12" i="58"/>
  <c r="L12" i="58"/>
  <c r="K12" i="58"/>
  <c r="J12" i="58"/>
  <c r="I12" i="58"/>
  <c r="H12" i="58"/>
  <c r="G12" i="58"/>
  <c r="F12" i="58"/>
  <c r="E12" i="58"/>
  <c r="D12" i="58"/>
  <c r="N12" i="58" s="1"/>
  <c r="C12" i="58"/>
  <c r="B457" i="13"/>
  <c r="T456" i="13"/>
  <c r="S456" i="13"/>
  <c r="O245" i="38" s="1"/>
  <c r="R456" i="13"/>
  <c r="N245" i="38" s="1"/>
  <c r="Q456" i="13"/>
  <c r="M245" i="38" s="1"/>
  <c r="P456" i="13"/>
  <c r="L245" i="38" s="1"/>
  <c r="B456" i="13"/>
  <c r="T455" i="13"/>
  <c r="P231" i="38" s="1"/>
  <c r="S455" i="13"/>
  <c r="O231" i="38" s="1"/>
  <c r="R455" i="13"/>
  <c r="N231" i="38" s="1"/>
  <c r="Q455" i="13"/>
  <c r="M231" i="38" s="1"/>
  <c r="P455" i="13"/>
  <c r="L231" i="38" s="1"/>
  <c r="B455" i="13"/>
  <c r="T454" i="13"/>
  <c r="P217" i="38" s="1"/>
  <c r="S454" i="13"/>
  <c r="O217" i="38" s="1"/>
  <c r="R454" i="13"/>
  <c r="N217" i="38" s="1"/>
  <c r="Q454" i="13"/>
  <c r="M217" i="38" s="1"/>
  <c r="P454" i="13"/>
  <c r="L217" i="38" s="1"/>
  <c r="B454" i="13"/>
  <c r="T453" i="13"/>
  <c r="P203" i="38" s="1"/>
  <c r="S453" i="13"/>
  <c r="O203" i="38" s="1"/>
  <c r="R453" i="13"/>
  <c r="N203" i="38" s="1"/>
  <c r="Q453" i="13"/>
  <c r="P453" i="13"/>
  <c r="L203" i="38" s="1"/>
  <c r="B453" i="13"/>
  <c r="T452" i="13"/>
  <c r="P189" i="38" s="1"/>
  <c r="S452" i="13"/>
  <c r="R452" i="13"/>
  <c r="N189" i="38" s="1"/>
  <c r="Q452" i="13"/>
  <c r="M189" i="38" s="1"/>
  <c r="P452" i="13"/>
  <c r="L189" i="38" s="1"/>
  <c r="B452" i="13"/>
  <c r="B451" i="13"/>
  <c r="T450" i="13"/>
  <c r="P161" i="38" s="1"/>
  <c r="S450" i="13"/>
  <c r="O161" i="38" s="1"/>
  <c r="R450" i="13"/>
  <c r="Q450" i="13"/>
  <c r="M161" i="38" s="1"/>
  <c r="P450" i="13"/>
  <c r="B450" i="13"/>
  <c r="T449" i="13"/>
  <c r="P147" i="38" s="1"/>
  <c r="S449" i="13"/>
  <c r="O147" i="38" s="1"/>
  <c r="R449" i="13"/>
  <c r="Q449" i="13"/>
  <c r="M147" i="38" s="1"/>
  <c r="P449" i="13"/>
  <c r="B449" i="13"/>
  <c r="T448" i="13"/>
  <c r="P133" i="38" s="1"/>
  <c r="S448" i="13"/>
  <c r="R448" i="13"/>
  <c r="N133" i="38" s="1"/>
  <c r="Q448" i="13"/>
  <c r="M133" i="38" s="1"/>
  <c r="P448" i="13"/>
  <c r="L133" i="38" s="1"/>
  <c r="L135" i="38" s="1"/>
  <c r="B448" i="13"/>
  <c r="B447" i="13"/>
  <c r="J437" i="13"/>
  <c r="C435" i="13"/>
  <c r="D430" i="13"/>
  <c r="E430" i="13" s="1"/>
  <c r="F430" i="13" s="1"/>
  <c r="G430" i="13" s="1"/>
  <c r="H430" i="13" s="1"/>
  <c r="I430" i="13" s="1"/>
  <c r="J423" i="13"/>
  <c r="J417" i="13"/>
  <c r="K417" i="13" s="1"/>
  <c r="L417" i="13" s="1"/>
  <c r="M417" i="13" s="1"/>
  <c r="N417" i="13" s="1"/>
  <c r="O417" i="13" s="1"/>
  <c r="P417" i="13" s="1"/>
  <c r="Q417" i="13" s="1"/>
  <c r="R417" i="13" s="1"/>
  <c r="S417" i="13" s="1"/>
  <c r="T417" i="13" s="1"/>
  <c r="E417" i="13"/>
  <c r="F417" i="13" s="1"/>
  <c r="G417" i="13" s="1"/>
  <c r="H417" i="13" s="1"/>
  <c r="I417" i="13" s="1"/>
  <c r="D417" i="13"/>
  <c r="J409" i="13"/>
  <c r="J408" i="13"/>
  <c r="J406" i="13"/>
  <c r="J404" i="13"/>
  <c r="C65" i="58" s="1"/>
  <c r="K401" i="13"/>
  <c r="L401" i="13" s="1"/>
  <c r="M401" i="13" s="1"/>
  <c r="N401" i="13" s="1"/>
  <c r="O401" i="13" s="1"/>
  <c r="P401" i="13" s="1"/>
  <c r="Q401" i="13" s="1"/>
  <c r="R401" i="13" s="1"/>
  <c r="S401" i="13" s="1"/>
  <c r="T401" i="13" s="1"/>
  <c r="J401" i="13"/>
  <c r="E401" i="13"/>
  <c r="F401" i="13" s="1"/>
  <c r="G401" i="13" s="1"/>
  <c r="H401" i="13" s="1"/>
  <c r="I401" i="13" s="1"/>
  <c r="D401" i="13"/>
  <c r="J394" i="13"/>
  <c r="J393" i="13"/>
  <c r="J392" i="13"/>
  <c r="C390" i="13"/>
  <c r="K389" i="13"/>
  <c r="D59" i="58" s="1"/>
  <c r="K388" i="13"/>
  <c r="K382" i="13"/>
  <c r="L382" i="13" s="1"/>
  <c r="M382" i="13" s="1"/>
  <c r="N382" i="13" s="1"/>
  <c r="O382" i="13" s="1"/>
  <c r="P382" i="13" s="1"/>
  <c r="Q382" i="13" s="1"/>
  <c r="R382" i="13" s="1"/>
  <c r="S382" i="13" s="1"/>
  <c r="T382" i="13" s="1"/>
  <c r="J382" i="13"/>
  <c r="E382" i="13"/>
  <c r="F382" i="13" s="1"/>
  <c r="G382" i="13" s="1"/>
  <c r="H382" i="13" s="1"/>
  <c r="I382" i="13" s="1"/>
  <c r="D382" i="13"/>
  <c r="J375" i="13"/>
  <c r="N367" i="13"/>
  <c r="G51" i="58" s="1"/>
  <c r="L367" i="13"/>
  <c r="E51" i="58" s="1"/>
  <c r="K367" i="13"/>
  <c r="J51" i="58" s="1"/>
  <c r="J364" i="13"/>
  <c r="K364" i="13" s="1"/>
  <c r="L364" i="13" s="1"/>
  <c r="M364" i="13" s="1"/>
  <c r="N364" i="13" s="1"/>
  <c r="O364" i="13" s="1"/>
  <c r="P364" i="13" s="1"/>
  <c r="Q364" i="13" s="1"/>
  <c r="R364" i="13" s="1"/>
  <c r="S364" i="13" s="1"/>
  <c r="T364" i="13" s="1"/>
  <c r="D364" i="13"/>
  <c r="E364" i="13" s="1"/>
  <c r="F364" i="13" s="1"/>
  <c r="G364" i="13" s="1"/>
  <c r="H364" i="13" s="1"/>
  <c r="I364" i="13" s="1"/>
  <c r="J357" i="13"/>
  <c r="J349" i="13"/>
  <c r="C43" i="58" s="1"/>
  <c r="K346" i="13"/>
  <c r="L346" i="13" s="1"/>
  <c r="M346" i="13" s="1"/>
  <c r="N346" i="13" s="1"/>
  <c r="O346" i="13" s="1"/>
  <c r="P346" i="13" s="1"/>
  <c r="Q346" i="13" s="1"/>
  <c r="R346" i="13" s="1"/>
  <c r="S346" i="13" s="1"/>
  <c r="T346" i="13" s="1"/>
  <c r="J346" i="13"/>
  <c r="E346" i="13"/>
  <c r="F346" i="13" s="1"/>
  <c r="G346" i="13" s="1"/>
  <c r="H346" i="13" s="1"/>
  <c r="I346" i="13" s="1"/>
  <c r="D346" i="13"/>
  <c r="J339" i="13"/>
  <c r="J331" i="13"/>
  <c r="J332" i="13" s="1"/>
  <c r="J328" i="13"/>
  <c r="K328" i="13" s="1"/>
  <c r="L328" i="13" s="1"/>
  <c r="M328" i="13" s="1"/>
  <c r="N328" i="13" s="1"/>
  <c r="O328" i="13" s="1"/>
  <c r="P328" i="13" s="1"/>
  <c r="Q328" i="13" s="1"/>
  <c r="R328" i="13" s="1"/>
  <c r="S328" i="13" s="1"/>
  <c r="T328" i="13" s="1"/>
  <c r="D328" i="13"/>
  <c r="E328" i="13" s="1"/>
  <c r="F328" i="13" s="1"/>
  <c r="G328" i="13" s="1"/>
  <c r="H328" i="13" s="1"/>
  <c r="I328" i="13" s="1"/>
  <c r="J321" i="13"/>
  <c r="J312" i="13"/>
  <c r="K310" i="13"/>
  <c r="L310" i="13" s="1"/>
  <c r="M310" i="13" s="1"/>
  <c r="N310" i="13" s="1"/>
  <c r="O310" i="13" s="1"/>
  <c r="P310" i="13" s="1"/>
  <c r="Q310" i="13" s="1"/>
  <c r="R310" i="13" s="1"/>
  <c r="S310" i="13" s="1"/>
  <c r="T310" i="13" s="1"/>
  <c r="J310" i="13"/>
  <c r="J430" i="13" s="1"/>
  <c r="K430" i="13" s="1"/>
  <c r="L430" i="13" s="1"/>
  <c r="M430" i="13" s="1"/>
  <c r="N430" i="13" s="1"/>
  <c r="O430" i="13" s="1"/>
  <c r="P430" i="13" s="1"/>
  <c r="Q430" i="13" s="1"/>
  <c r="R430" i="13" s="1"/>
  <c r="S430" i="13" s="1"/>
  <c r="T430" i="13" s="1"/>
  <c r="E310" i="13"/>
  <c r="F310" i="13" s="1"/>
  <c r="G310" i="13" s="1"/>
  <c r="H310" i="13" s="1"/>
  <c r="I310" i="13" s="1"/>
  <c r="D310" i="13"/>
  <c r="O298" i="13"/>
  <c r="N298" i="13"/>
  <c r="M298" i="13"/>
  <c r="L298" i="13"/>
  <c r="K298" i="13"/>
  <c r="K296" i="13"/>
  <c r="L296" i="13" s="1"/>
  <c r="J293" i="13"/>
  <c r="K293" i="13" s="1"/>
  <c r="L293" i="13" s="1"/>
  <c r="M293" i="13" s="1"/>
  <c r="N293" i="13" s="1"/>
  <c r="O293" i="13" s="1"/>
  <c r="P293" i="13" s="1"/>
  <c r="Q293" i="13" s="1"/>
  <c r="R293" i="13" s="1"/>
  <c r="S293" i="13" s="1"/>
  <c r="T293" i="13" s="1"/>
  <c r="E293" i="13"/>
  <c r="F293" i="13" s="1"/>
  <c r="G293" i="13" s="1"/>
  <c r="H293" i="13" s="1"/>
  <c r="I293" i="13" s="1"/>
  <c r="D293" i="13"/>
  <c r="J286" i="13"/>
  <c r="J285" i="13"/>
  <c r="K282" i="13"/>
  <c r="K448" i="13" s="1"/>
  <c r="L281" i="13"/>
  <c r="L282" i="13" s="1"/>
  <c r="K281" i="13"/>
  <c r="M280" i="13"/>
  <c r="L280" i="13"/>
  <c r="E14" i="58" s="1"/>
  <c r="K275" i="13"/>
  <c r="L275" i="13" s="1"/>
  <c r="M275" i="13" s="1"/>
  <c r="N275" i="13" s="1"/>
  <c r="O275" i="13" s="1"/>
  <c r="P275" i="13" s="1"/>
  <c r="Q275" i="13" s="1"/>
  <c r="R275" i="13" s="1"/>
  <c r="S275" i="13" s="1"/>
  <c r="T275" i="13" s="1"/>
  <c r="J275" i="13"/>
  <c r="G275" i="13"/>
  <c r="H275" i="13" s="1"/>
  <c r="I275" i="13" s="1"/>
  <c r="F275" i="13"/>
  <c r="D275" i="13"/>
  <c r="J267" i="13"/>
  <c r="C266" i="13"/>
  <c r="K237" i="13"/>
  <c r="L236" i="13"/>
  <c r="K236" i="13"/>
  <c r="L237" i="13" s="1"/>
  <c r="K235" i="13"/>
  <c r="K234" i="13"/>
  <c r="K233" i="13"/>
  <c r="L234" i="13" s="1"/>
  <c r="K232" i="13"/>
  <c r="L233" i="13" s="1"/>
  <c r="L231" i="13"/>
  <c r="K231" i="13"/>
  <c r="L230" i="13"/>
  <c r="K230" i="13"/>
  <c r="L229" i="13"/>
  <c r="K229" i="13"/>
  <c r="K228" i="13"/>
  <c r="K220" i="13"/>
  <c r="K219" i="13"/>
  <c r="L220" i="13" s="1"/>
  <c r="K218" i="13"/>
  <c r="L219" i="13" s="1"/>
  <c r="M220" i="13" s="1"/>
  <c r="M217" i="13"/>
  <c r="N218" i="13" s="1"/>
  <c r="O219" i="13" s="1"/>
  <c r="P220" i="13" s="1"/>
  <c r="K217" i="13"/>
  <c r="L218" i="13" s="1"/>
  <c r="M219" i="13" s="1"/>
  <c r="N220" i="13" s="1"/>
  <c r="L216" i="13"/>
  <c r="K216" i="13"/>
  <c r="L217" i="13" s="1"/>
  <c r="M218" i="13" s="1"/>
  <c r="N219" i="13" s="1"/>
  <c r="O220" i="13" s="1"/>
  <c r="M215" i="13"/>
  <c r="N216" i="13" s="1"/>
  <c r="O217" i="13" s="1"/>
  <c r="P218" i="13" s="1"/>
  <c r="Q219" i="13" s="1"/>
  <c r="R220" i="13" s="1"/>
  <c r="K215" i="13"/>
  <c r="S214" i="13"/>
  <c r="T215" i="13" s="1"/>
  <c r="L214" i="13"/>
  <c r="K214" i="13"/>
  <c r="L215" i="13" s="1"/>
  <c r="M216" i="13" s="1"/>
  <c r="N217" i="13" s="1"/>
  <c r="O218" i="13" s="1"/>
  <c r="P219" i="13" s="1"/>
  <c r="Q220" i="13" s="1"/>
  <c r="R213" i="13"/>
  <c r="Q213" i="13"/>
  <c r="R214" i="13" s="1"/>
  <c r="S215" i="13" s="1"/>
  <c r="T216" i="13" s="1"/>
  <c r="M213" i="13"/>
  <c r="N214" i="13" s="1"/>
  <c r="O215" i="13" s="1"/>
  <c r="P216" i="13" s="1"/>
  <c r="Q217" i="13" s="1"/>
  <c r="R218" i="13" s="1"/>
  <c r="S219" i="13" s="1"/>
  <c r="T220" i="13" s="1"/>
  <c r="K213" i="13"/>
  <c r="T212" i="13"/>
  <c r="S212" i="13"/>
  <c r="T213" i="13" s="1"/>
  <c r="Q212" i="13"/>
  <c r="P212" i="13"/>
  <c r="O212" i="13"/>
  <c r="P213" i="13" s="1"/>
  <c r="Q214" i="13" s="1"/>
  <c r="R215" i="13" s="1"/>
  <c r="S216" i="13" s="1"/>
  <c r="T217" i="13" s="1"/>
  <c r="M212" i="13"/>
  <c r="N213" i="13" s="1"/>
  <c r="O214" i="13" s="1"/>
  <c r="P215" i="13" s="1"/>
  <c r="Q216" i="13" s="1"/>
  <c r="R217" i="13" s="1"/>
  <c r="S218" i="13" s="1"/>
  <c r="T219" i="13" s="1"/>
  <c r="L212" i="13"/>
  <c r="K212" i="13"/>
  <c r="L213" i="13" s="1"/>
  <c r="M214" i="13" s="1"/>
  <c r="N215" i="13" s="1"/>
  <c r="O216" i="13" s="1"/>
  <c r="P217" i="13" s="1"/>
  <c r="Q218" i="13" s="1"/>
  <c r="R219" i="13" s="1"/>
  <c r="S220" i="13" s="1"/>
  <c r="T211" i="13"/>
  <c r="S211" i="13"/>
  <c r="R211" i="13"/>
  <c r="Q211" i="13"/>
  <c r="R212" i="13" s="1"/>
  <c r="S213" i="13" s="1"/>
  <c r="T214" i="13" s="1"/>
  <c r="P211" i="13"/>
  <c r="O211" i="13"/>
  <c r="N211" i="13"/>
  <c r="M211" i="13"/>
  <c r="N212" i="13" s="1"/>
  <c r="O213" i="13" s="1"/>
  <c r="P214" i="13" s="1"/>
  <c r="Q215" i="13" s="1"/>
  <c r="R216" i="13" s="1"/>
  <c r="S217" i="13" s="1"/>
  <c r="T218" i="13" s="1"/>
  <c r="L211" i="13"/>
  <c r="K211" i="13"/>
  <c r="J206" i="13"/>
  <c r="D204" i="13" s="1"/>
  <c r="I202" i="13"/>
  <c r="D202" i="13"/>
  <c r="H202" i="13" s="1"/>
  <c r="J199" i="13"/>
  <c r="I199" i="13"/>
  <c r="H199" i="13"/>
  <c r="G199" i="13"/>
  <c r="F199" i="13"/>
  <c r="C199" i="13"/>
  <c r="K199" i="13" s="1"/>
  <c r="J194" i="13"/>
  <c r="I194" i="13"/>
  <c r="H194" i="13"/>
  <c r="G194" i="13"/>
  <c r="F194" i="13"/>
  <c r="E194" i="13"/>
  <c r="D194" i="13"/>
  <c r="O193" i="13"/>
  <c r="O198" i="13" s="1"/>
  <c r="N193" i="13"/>
  <c r="M193" i="13"/>
  <c r="L193" i="13"/>
  <c r="K193" i="13"/>
  <c r="J193" i="13"/>
  <c r="K198" i="13" s="1"/>
  <c r="I193" i="13"/>
  <c r="H193" i="13"/>
  <c r="G193" i="13"/>
  <c r="F193" i="13"/>
  <c r="E193" i="13"/>
  <c r="D193" i="13"/>
  <c r="K190" i="13"/>
  <c r="L190" i="13" s="1"/>
  <c r="M190" i="13" s="1"/>
  <c r="N190" i="13" s="1"/>
  <c r="O190" i="13" s="1"/>
  <c r="P190" i="13" s="1"/>
  <c r="Q190" i="13" s="1"/>
  <c r="R190" i="13" s="1"/>
  <c r="S190" i="13" s="1"/>
  <c r="T190" i="13" s="1"/>
  <c r="D190" i="13"/>
  <c r="E190" i="13" s="1"/>
  <c r="F190" i="13" s="1"/>
  <c r="G190" i="13" s="1"/>
  <c r="H190" i="13" s="1"/>
  <c r="I190" i="13" s="1"/>
  <c r="C180" i="13"/>
  <c r="J177" i="13"/>
  <c r="F172" i="13"/>
  <c r="F173" i="13" s="1"/>
  <c r="E172" i="13"/>
  <c r="D172" i="13"/>
  <c r="C172" i="13"/>
  <c r="F171" i="13"/>
  <c r="E173" i="13" s="1"/>
  <c r="E171" i="13"/>
  <c r="D173" i="13" s="1"/>
  <c r="D171" i="13"/>
  <c r="C173" i="13" s="1"/>
  <c r="C179" i="13" s="1"/>
  <c r="C171" i="13"/>
  <c r="C178" i="13" s="1"/>
  <c r="K177" i="13" s="1"/>
  <c r="L177" i="13" s="1"/>
  <c r="M177" i="13" s="1"/>
  <c r="C167" i="13"/>
  <c r="J163" i="13"/>
  <c r="K163" i="13" s="1"/>
  <c r="L163" i="13" s="1"/>
  <c r="M163" i="13" s="1"/>
  <c r="N163" i="13" s="1"/>
  <c r="O163" i="13" s="1"/>
  <c r="P163" i="13" s="1"/>
  <c r="Q163" i="13" s="1"/>
  <c r="R163" i="13" s="1"/>
  <c r="S163" i="13" s="1"/>
  <c r="T163" i="13" s="1"/>
  <c r="C158" i="13"/>
  <c r="C157" i="13"/>
  <c r="C89" i="13" s="1"/>
  <c r="C156" i="13"/>
  <c r="C155" i="13"/>
  <c r="J140" i="13"/>
  <c r="J139" i="13"/>
  <c r="J138" i="13"/>
  <c r="J141" i="13" s="1"/>
  <c r="C11" i="31" s="1"/>
  <c r="J137" i="13"/>
  <c r="B130" i="13"/>
  <c r="T129" i="13"/>
  <c r="S129" i="13"/>
  <c r="R129" i="13"/>
  <c r="Q129" i="13"/>
  <c r="P129" i="13"/>
  <c r="O129" i="13"/>
  <c r="N129" i="13"/>
  <c r="M129" i="13"/>
  <c r="L129" i="13"/>
  <c r="K129" i="13"/>
  <c r="J129" i="13"/>
  <c r="F129" i="13"/>
  <c r="E129" i="13"/>
  <c r="B129" i="13"/>
  <c r="T128" i="13"/>
  <c r="S128" i="13"/>
  <c r="R128" i="13"/>
  <c r="Q128" i="13"/>
  <c r="P128" i="13"/>
  <c r="J128" i="13"/>
  <c r="B128" i="13"/>
  <c r="T127" i="13"/>
  <c r="S127" i="13"/>
  <c r="R127" i="13"/>
  <c r="Q127" i="13"/>
  <c r="P127" i="13"/>
  <c r="J127" i="13"/>
  <c r="B127" i="13"/>
  <c r="T126" i="13"/>
  <c r="S126" i="13"/>
  <c r="R126" i="13"/>
  <c r="Q126" i="13"/>
  <c r="P126" i="13"/>
  <c r="J126" i="13"/>
  <c r="B126" i="13"/>
  <c r="T125" i="13"/>
  <c r="S125" i="13"/>
  <c r="R125" i="13"/>
  <c r="Q125" i="13"/>
  <c r="P125" i="13"/>
  <c r="J125" i="13"/>
  <c r="B125" i="13"/>
  <c r="J124" i="13"/>
  <c r="B124" i="13"/>
  <c r="T123" i="13"/>
  <c r="S123" i="13"/>
  <c r="R123" i="13"/>
  <c r="Q123" i="13"/>
  <c r="P123" i="13"/>
  <c r="J123" i="13"/>
  <c r="B123" i="13"/>
  <c r="T122" i="13"/>
  <c r="S122" i="13"/>
  <c r="R122" i="13"/>
  <c r="Q122" i="13"/>
  <c r="P122" i="13"/>
  <c r="O122" i="13"/>
  <c r="N122" i="13"/>
  <c r="M122" i="13"/>
  <c r="L122" i="13"/>
  <c r="K122" i="13"/>
  <c r="J122" i="13"/>
  <c r="F122" i="13"/>
  <c r="E122" i="13"/>
  <c r="B122" i="13"/>
  <c r="T121" i="13"/>
  <c r="S121" i="13"/>
  <c r="R121" i="13"/>
  <c r="Q121" i="13"/>
  <c r="P121" i="13"/>
  <c r="K121" i="13"/>
  <c r="J121" i="13"/>
  <c r="B121" i="13"/>
  <c r="J120" i="13"/>
  <c r="B120" i="13"/>
  <c r="I114" i="13"/>
  <c r="I111" i="13"/>
  <c r="H111" i="13"/>
  <c r="G111" i="13"/>
  <c r="F111" i="13"/>
  <c r="E111" i="13"/>
  <c r="D111" i="13"/>
  <c r="K97" i="13"/>
  <c r="L97" i="13" s="1"/>
  <c r="J97" i="13"/>
  <c r="I97" i="13"/>
  <c r="H97" i="13"/>
  <c r="J96" i="13"/>
  <c r="K96" i="13" s="1"/>
  <c r="L96" i="13" s="1"/>
  <c r="I96" i="13"/>
  <c r="H96" i="13"/>
  <c r="I95" i="13"/>
  <c r="J95" i="13" s="1"/>
  <c r="K95" i="13" s="1"/>
  <c r="L95" i="13" s="1"/>
  <c r="H95" i="13"/>
  <c r="J94" i="13"/>
  <c r="K94" i="13" s="1"/>
  <c r="L94" i="13" s="1"/>
  <c r="M94" i="13" s="1"/>
  <c r="N94" i="13" s="1"/>
  <c r="O94" i="13" s="1"/>
  <c r="P94" i="13" s="1"/>
  <c r="Q94" i="13" s="1"/>
  <c r="R94" i="13" s="1"/>
  <c r="S94" i="13" s="1"/>
  <c r="T94" i="13" s="1"/>
  <c r="I94" i="13"/>
  <c r="H94" i="13"/>
  <c r="I93" i="13"/>
  <c r="J93" i="13" s="1"/>
  <c r="K93" i="13" s="1"/>
  <c r="L93" i="13" s="1"/>
  <c r="H93" i="13"/>
  <c r="J92" i="13"/>
  <c r="I92" i="13"/>
  <c r="H92" i="13"/>
  <c r="I91" i="13"/>
  <c r="J91" i="13" s="1"/>
  <c r="K91" i="13" s="1"/>
  <c r="L91" i="13" s="1"/>
  <c r="M91" i="13" s="1"/>
  <c r="N91" i="13" s="1"/>
  <c r="O91" i="13" s="1"/>
  <c r="P91" i="13" s="1"/>
  <c r="Q91" i="13" s="1"/>
  <c r="R91" i="13" s="1"/>
  <c r="S91" i="13" s="1"/>
  <c r="T91" i="13" s="1"/>
  <c r="H91" i="13"/>
  <c r="J90" i="13"/>
  <c r="K90" i="13" s="1"/>
  <c r="L90" i="13" s="1"/>
  <c r="I90" i="13"/>
  <c r="I421" i="13" s="1"/>
  <c r="H90" i="13"/>
  <c r="B86" i="13"/>
  <c r="M80" i="13"/>
  <c r="N80" i="13" s="1"/>
  <c r="L80" i="13"/>
  <c r="L388" i="13" s="1"/>
  <c r="L389" i="13" s="1"/>
  <c r="I75" i="13"/>
  <c r="E75" i="13"/>
  <c r="N74" i="13"/>
  <c r="M74" i="13"/>
  <c r="M404" i="13" s="1"/>
  <c r="L74" i="13"/>
  <c r="L404" i="13" s="1"/>
  <c r="K74" i="13"/>
  <c r="K404" i="13" s="1"/>
  <c r="L73" i="13"/>
  <c r="M73" i="13" s="1"/>
  <c r="N73" i="13" s="1"/>
  <c r="O73" i="13" s="1"/>
  <c r="P73" i="13" s="1"/>
  <c r="Q73" i="13" s="1"/>
  <c r="R73" i="13" s="1"/>
  <c r="S73" i="13" s="1"/>
  <c r="T73" i="13" s="1"/>
  <c r="K73" i="13"/>
  <c r="N72" i="13"/>
  <c r="O72" i="13" s="1"/>
  <c r="P72" i="13" s="1"/>
  <c r="Q72" i="13" s="1"/>
  <c r="R72" i="13" s="1"/>
  <c r="S72" i="13" s="1"/>
  <c r="T72" i="13" s="1"/>
  <c r="M72" i="13"/>
  <c r="L72" i="13"/>
  <c r="K72" i="13"/>
  <c r="K331" i="13" s="1"/>
  <c r="N70" i="13"/>
  <c r="O70" i="13" s="1"/>
  <c r="M70" i="13"/>
  <c r="M313" i="13" s="1"/>
  <c r="L70" i="13"/>
  <c r="L313" i="13" s="1"/>
  <c r="K70" i="13"/>
  <c r="K313" i="13" s="1"/>
  <c r="G68" i="13"/>
  <c r="F68" i="13"/>
  <c r="D68" i="13"/>
  <c r="F67" i="13"/>
  <c r="J66" i="13"/>
  <c r="J75" i="13" s="1"/>
  <c r="I66" i="13"/>
  <c r="I68" i="13" s="1"/>
  <c r="H66" i="13"/>
  <c r="H75" i="13" s="1"/>
  <c r="G66" i="13"/>
  <c r="G75" i="13" s="1"/>
  <c r="F66" i="13"/>
  <c r="F75" i="13" s="1"/>
  <c r="E66" i="13"/>
  <c r="E68" i="13" s="1"/>
  <c r="D66" i="13"/>
  <c r="D75" i="13" s="1"/>
  <c r="I64" i="13"/>
  <c r="B61" i="13"/>
  <c r="C53" i="13"/>
  <c r="O51" i="13"/>
  <c r="K51" i="13"/>
  <c r="J51" i="13"/>
  <c r="E51" i="13"/>
  <c r="N51" i="13" s="1"/>
  <c r="O50" i="13"/>
  <c r="N50" i="13"/>
  <c r="M50" i="13"/>
  <c r="K50" i="13"/>
  <c r="J50" i="13"/>
  <c r="E50" i="13"/>
  <c r="L50" i="13" s="1"/>
  <c r="O49" i="13"/>
  <c r="K49" i="13"/>
  <c r="J49" i="13"/>
  <c r="E49" i="13"/>
  <c r="N49" i="13" s="1"/>
  <c r="O48" i="13"/>
  <c r="N48" i="13"/>
  <c r="M48" i="13"/>
  <c r="K48" i="13"/>
  <c r="J48" i="13"/>
  <c r="E48" i="13"/>
  <c r="L48" i="13" s="1"/>
  <c r="O47" i="13"/>
  <c r="K47" i="13"/>
  <c r="J47" i="13"/>
  <c r="E47" i="13"/>
  <c r="N47" i="13" s="1"/>
  <c r="O46" i="13"/>
  <c r="N46" i="13"/>
  <c r="M46" i="13"/>
  <c r="K46" i="13"/>
  <c r="J46" i="13"/>
  <c r="E46" i="13"/>
  <c r="L46" i="13" s="1"/>
  <c r="O45" i="13"/>
  <c r="K45" i="13"/>
  <c r="J45" i="13"/>
  <c r="E45" i="13"/>
  <c r="N45" i="13" s="1"/>
  <c r="O44" i="13"/>
  <c r="N44" i="13"/>
  <c r="M44" i="13"/>
  <c r="K44" i="13"/>
  <c r="J44" i="13"/>
  <c r="E44" i="13"/>
  <c r="L44" i="13" s="1"/>
  <c r="B40" i="13"/>
  <c r="L38" i="13"/>
  <c r="M38" i="13" s="1"/>
  <c r="N38" i="13" s="1"/>
  <c r="O38" i="13" s="1"/>
  <c r="P38" i="13" s="1"/>
  <c r="Q38" i="13" s="1"/>
  <c r="R38" i="13" s="1"/>
  <c r="S38" i="13" s="1"/>
  <c r="T38" i="13" s="1"/>
  <c r="K38" i="13"/>
  <c r="K92" i="13" s="1"/>
  <c r="L92" i="13" s="1"/>
  <c r="M92" i="13" s="1"/>
  <c r="N92" i="13" s="1"/>
  <c r="O92" i="13" s="1"/>
  <c r="P92" i="13" s="1"/>
  <c r="Q92" i="13" s="1"/>
  <c r="R92" i="13" s="1"/>
  <c r="S92" i="13" s="1"/>
  <c r="T92" i="13" s="1"/>
  <c r="N34" i="13"/>
  <c r="M34" i="13"/>
  <c r="L34" i="13"/>
  <c r="J34" i="13"/>
  <c r="H34" i="13"/>
  <c r="O30" i="13"/>
  <c r="P30" i="13" s="1"/>
  <c r="N30" i="13"/>
  <c r="M30" i="13"/>
  <c r="L30" i="13"/>
  <c r="K30" i="13"/>
  <c r="K34" i="13" s="1"/>
  <c r="J30" i="13"/>
  <c r="I30" i="13"/>
  <c r="I34" i="13" s="1"/>
  <c r="H30" i="13"/>
  <c r="G30" i="13"/>
  <c r="F30" i="13"/>
  <c r="E30" i="13"/>
  <c r="B23" i="13"/>
  <c r="E11" i="13"/>
  <c r="F11" i="13" s="1"/>
  <c r="G11" i="13" s="1"/>
  <c r="H11" i="13" s="1"/>
  <c r="I11" i="13" s="1"/>
  <c r="J11" i="13" s="1"/>
  <c r="K11" i="13" s="1"/>
  <c r="L11" i="13" s="1"/>
  <c r="M11" i="13" s="1"/>
  <c r="N11" i="13" s="1"/>
  <c r="O11" i="13" s="1"/>
  <c r="P11" i="13" s="1"/>
  <c r="Q11" i="13" s="1"/>
  <c r="R11" i="13" s="1"/>
  <c r="S11" i="13" s="1"/>
  <c r="T11" i="13" s="1"/>
  <c r="M10" i="13"/>
  <c r="N10" i="13" s="1"/>
  <c r="O10" i="13" s="1"/>
  <c r="P10" i="13" s="1"/>
  <c r="Q10" i="13" s="1"/>
  <c r="R10" i="13" s="1"/>
  <c r="S10" i="13" s="1"/>
  <c r="T10" i="13" s="1"/>
  <c r="L10" i="13"/>
  <c r="K10" i="13"/>
  <c r="D65" i="2"/>
  <c r="E63" i="2"/>
  <c r="F63" i="2" s="1"/>
  <c r="G63" i="2" s="1"/>
  <c r="F61" i="2"/>
  <c r="G61" i="2" s="1"/>
  <c r="E61" i="2"/>
  <c r="E59" i="2"/>
  <c r="F59" i="2" s="1"/>
  <c r="G59" i="2" s="1"/>
  <c r="F58" i="2"/>
  <c r="G58" i="2" s="1"/>
  <c r="E58" i="2"/>
  <c r="G57" i="2"/>
  <c r="F57" i="2"/>
  <c r="E57" i="2"/>
  <c r="F56" i="2"/>
  <c r="G56" i="2" s="1"/>
  <c r="E56" i="2"/>
  <c r="E54" i="2"/>
  <c r="F54" i="2" s="1"/>
  <c r="G54" i="2" s="1"/>
  <c r="F53" i="2"/>
  <c r="E53" i="2"/>
  <c r="E52" i="2"/>
  <c r="F52" i="2" s="1"/>
  <c r="G52" i="2" s="1"/>
  <c r="F51" i="2"/>
  <c r="G51" i="2" s="1"/>
  <c r="E51" i="2"/>
  <c r="E50" i="2"/>
  <c r="F50" i="2" s="1"/>
  <c r="F49" i="2"/>
  <c r="G49" i="2" s="1"/>
  <c r="E49" i="2"/>
  <c r="G48" i="2"/>
  <c r="F48" i="2"/>
  <c r="E48" i="2"/>
  <c r="F47" i="2"/>
  <c r="G47" i="2" s="1"/>
  <c r="N679" i="1" s="1"/>
  <c r="E47" i="2"/>
  <c r="E45" i="2"/>
  <c r="F45" i="2" s="1"/>
  <c r="G45" i="2" s="1"/>
  <c r="F44" i="2"/>
  <c r="E44" i="2"/>
  <c r="E43" i="2"/>
  <c r="F43" i="2" s="1"/>
  <c r="G43" i="2" s="1"/>
  <c r="F42" i="2"/>
  <c r="G42" i="2" s="1"/>
  <c r="E42" i="2"/>
  <c r="E40" i="2"/>
  <c r="F40" i="2" s="1"/>
  <c r="G40" i="2" s="1"/>
  <c r="F39" i="2"/>
  <c r="G39" i="2" s="1"/>
  <c r="E39" i="2"/>
  <c r="G37" i="2"/>
  <c r="F37" i="2"/>
  <c r="E37" i="2"/>
  <c r="F36" i="2"/>
  <c r="G36" i="2" s="1"/>
  <c r="E36" i="2"/>
  <c r="E34" i="2"/>
  <c r="F34" i="2" s="1"/>
  <c r="G34" i="2" s="1"/>
  <c r="F33" i="2"/>
  <c r="E33" i="2"/>
  <c r="E32" i="2"/>
  <c r="F32" i="2" s="1"/>
  <c r="G32" i="2" s="1"/>
  <c r="F31" i="2"/>
  <c r="G31" i="2" s="1"/>
  <c r="E31" i="2"/>
  <c r="E30" i="2"/>
  <c r="F30" i="2" s="1"/>
  <c r="G30" i="2" s="1"/>
  <c r="F29" i="2"/>
  <c r="G29" i="2" s="1"/>
  <c r="E29" i="2"/>
  <c r="G28" i="2"/>
  <c r="F28" i="2"/>
  <c r="E28" i="2"/>
  <c r="F26" i="2"/>
  <c r="G26" i="2" s="1"/>
  <c r="E26" i="2"/>
  <c r="E25" i="2"/>
  <c r="F25" i="2" s="1"/>
  <c r="G25" i="2" s="1"/>
  <c r="F24" i="2"/>
  <c r="E24" i="2"/>
  <c r="E23" i="2"/>
  <c r="F23" i="2" s="1"/>
  <c r="G23" i="2" s="1"/>
  <c r="F22" i="2"/>
  <c r="G22" i="2" s="1"/>
  <c r="E22" i="2"/>
  <c r="E20" i="2"/>
  <c r="F20" i="2" s="1"/>
  <c r="G20" i="2" s="1"/>
  <c r="F19" i="2"/>
  <c r="G19" i="2" s="1"/>
  <c r="E19" i="2"/>
  <c r="G18" i="2"/>
  <c r="F18" i="2"/>
  <c r="E18" i="2"/>
  <c r="F17" i="2"/>
  <c r="G17" i="2" s="1"/>
  <c r="E17" i="2"/>
  <c r="E16" i="2"/>
  <c r="F16" i="2" s="1"/>
  <c r="G16" i="2" s="1"/>
  <c r="F15" i="2"/>
  <c r="E15" i="2"/>
  <c r="E14" i="2"/>
  <c r="F14" i="2" s="1"/>
  <c r="F13" i="2"/>
  <c r="G13" i="2" s="1"/>
  <c r="E13" i="2"/>
  <c r="E12" i="2"/>
  <c r="F12" i="2" s="1"/>
  <c r="G12" i="2" s="1"/>
  <c r="F11" i="2"/>
  <c r="G11" i="2" s="1"/>
  <c r="E11" i="2"/>
  <c r="G10" i="2"/>
  <c r="F10" i="2"/>
  <c r="E10" i="2"/>
  <c r="F9" i="2"/>
  <c r="G9" i="2" s="1"/>
  <c r="E9" i="2"/>
  <c r="E8" i="2"/>
  <c r="F8" i="2" s="1"/>
  <c r="G8" i="2" s="1"/>
  <c r="C3" i="2"/>
  <c r="G53" i="2" s="1"/>
  <c r="B3" i="2"/>
  <c r="M77" i="53"/>
  <c r="L77" i="53"/>
  <c r="K77" i="53"/>
  <c r="J77" i="53"/>
  <c r="I77" i="53"/>
  <c r="H77" i="53"/>
  <c r="G77" i="53"/>
  <c r="F77" i="53"/>
  <c r="E77" i="53"/>
  <c r="D77" i="53"/>
  <c r="N77" i="53" s="1"/>
  <c r="C77" i="53"/>
  <c r="M76" i="53"/>
  <c r="L76" i="53"/>
  <c r="K76" i="53"/>
  <c r="J76" i="53"/>
  <c r="I76" i="53"/>
  <c r="H76" i="53"/>
  <c r="G76" i="53"/>
  <c r="F76" i="53"/>
  <c r="E76" i="53"/>
  <c r="D76" i="53"/>
  <c r="N76" i="53" s="1"/>
  <c r="C76" i="53"/>
  <c r="M75" i="53"/>
  <c r="L75" i="53"/>
  <c r="K75" i="53"/>
  <c r="J75" i="53"/>
  <c r="I75" i="53"/>
  <c r="H75" i="53"/>
  <c r="G75" i="53"/>
  <c r="F75" i="53"/>
  <c r="E75" i="53"/>
  <c r="D75" i="53"/>
  <c r="N75" i="53" s="1"/>
  <c r="C75" i="53"/>
  <c r="C69" i="53"/>
  <c r="M34" i="53"/>
  <c r="L34" i="53"/>
  <c r="K34" i="53"/>
  <c r="J34" i="53"/>
  <c r="I34" i="53"/>
  <c r="H34" i="53"/>
  <c r="G34" i="53"/>
  <c r="F34" i="53"/>
  <c r="E34" i="53"/>
  <c r="D34" i="53"/>
  <c r="N34" i="53" s="1"/>
  <c r="C34" i="53"/>
  <c r="M131" i="52"/>
  <c r="L131" i="52"/>
  <c r="K131" i="52"/>
  <c r="J131" i="52"/>
  <c r="I131" i="52"/>
  <c r="H131" i="52"/>
  <c r="D131" i="52"/>
  <c r="M125" i="52"/>
  <c r="L125" i="52"/>
  <c r="K125" i="52"/>
  <c r="J125" i="52"/>
  <c r="I125" i="52"/>
  <c r="H125" i="52"/>
  <c r="G125" i="52"/>
  <c r="F125" i="52"/>
  <c r="E125" i="52"/>
  <c r="D125" i="52"/>
  <c r="N125" i="52" s="1"/>
  <c r="C125" i="52"/>
  <c r="M123" i="52"/>
  <c r="L123" i="52"/>
  <c r="K123" i="52"/>
  <c r="J123" i="52"/>
  <c r="I123" i="52"/>
  <c r="H123" i="52"/>
  <c r="G123" i="52"/>
  <c r="F123" i="52"/>
  <c r="E123" i="52"/>
  <c r="D123" i="52"/>
  <c r="N123" i="52" s="1"/>
  <c r="C123" i="52"/>
  <c r="M122" i="52"/>
  <c r="L122" i="52"/>
  <c r="L124" i="52" s="1"/>
  <c r="K122" i="52"/>
  <c r="J122" i="52"/>
  <c r="I122" i="52"/>
  <c r="H122" i="52"/>
  <c r="G122" i="52"/>
  <c r="F122" i="52"/>
  <c r="E122" i="52"/>
  <c r="D122" i="52"/>
  <c r="D124" i="52" s="1"/>
  <c r="C122" i="52"/>
  <c r="M121" i="52"/>
  <c r="M124" i="52" s="1"/>
  <c r="L121" i="52"/>
  <c r="K121" i="52"/>
  <c r="K124" i="52" s="1"/>
  <c r="J121" i="52"/>
  <c r="J124" i="52" s="1"/>
  <c r="I121" i="52"/>
  <c r="I124" i="52" s="1"/>
  <c r="H121" i="52"/>
  <c r="H124" i="52" s="1"/>
  <c r="G121" i="52"/>
  <c r="G124" i="52" s="1"/>
  <c r="F121" i="52"/>
  <c r="F124" i="52" s="1"/>
  <c r="E121" i="52"/>
  <c r="E124" i="52" s="1"/>
  <c r="D121" i="52"/>
  <c r="N121" i="52" s="1"/>
  <c r="C121" i="52"/>
  <c r="C124" i="52" s="1"/>
  <c r="M115" i="52"/>
  <c r="L115" i="52"/>
  <c r="K115" i="52"/>
  <c r="J115" i="52"/>
  <c r="I115" i="52"/>
  <c r="H115" i="52"/>
  <c r="G115" i="52"/>
  <c r="F115" i="52"/>
  <c r="E115" i="52"/>
  <c r="D115" i="52"/>
  <c r="N115" i="52" s="1"/>
  <c r="C115" i="52"/>
  <c r="C114" i="52"/>
  <c r="C113" i="52"/>
  <c r="C111" i="52"/>
  <c r="M110" i="52"/>
  <c r="L110" i="52"/>
  <c r="K110" i="52"/>
  <c r="J110" i="52"/>
  <c r="I110" i="52"/>
  <c r="H110" i="52"/>
  <c r="G110" i="52"/>
  <c r="F110" i="52"/>
  <c r="N110" i="52" s="1"/>
  <c r="E110" i="52"/>
  <c r="D110" i="52"/>
  <c r="C110" i="52"/>
  <c r="M109" i="52"/>
  <c r="L109" i="52"/>
  <c r="K109" i="52"/>
  <c r="J109" i="52"/>
  <c r="I109" i="52"/>
  <c r="H109" i="52"/>
  <c r="G109" i="52"/>
  <c r="F109" i="52"/>
  <c r="N109" i="52" s="1"/>
  <c r="E109" i="52"/>
  <c r="D109" i="52"/>
  <c r="M108" i="52"/>
  <c r="L108" i="52"/>
  <c r="K108" i="52"/>
  <c r="J108" i="52"/>
  <c r="I108" i="52"/>
  <c r="H108" i="52"/>
  <c r="G108" i="52"/>
  <c r="F108" i="52"/>
  <c r="N108" i="52" s="1"/>
  <c r="E108" i="52"/>
  <c r="D108" i="52"/>
  <c r="C108" i="52"/>
  <c r="M107" i="52"/>
  <c r="L107" i="52"/>
  <c r="K107" i="52"/>
  <c r="J107" i="52"/>
  <c r="I107" i="52"/>
  <c r="H107" i="52"/>
  <c r="G107" i="52"/>
  <c r="F107" i="52"/>
  <c r="N107" i="52" s="1"/>
  <c r="E107" i="52"/>
  <c r="D107" i="52"/>
  <c r="C107" i="52"/>
  <c r="M106" i="52"/>
  <c r="L106" i="52"/>
  <c r="K106" i="52"/>
  <c r="J106" i="52"/>
  <c r="I106" i="52"/>
  <c r="H106" i="52"/>
  <c r="G106" i="52"/>
  <c r="F106" i="52"/>
  <c r="N106" i="52" s="1"/>
  <c r="O106" i="52" s="1"/>
  <c r="E106" i="52"/>
  <c r="D106" i="52"/>
  <c r="C106" i="52"/>
  <c r="M100" i="52"/>
  <c r="L100" i="52"/>
  <c r="K100" i="52"/>
  <c r="J100" i="52"/>
  <c r="I100" i="52"/>
  <c r="H100" i="52"/>
  <c r="G100" i="52"/>
  <c r="F100" i="52"/>
  <c r="E100" i="52"/>
  <c r="D100" i="52"/>
  <c r="C100" i="52"/>
  <c r="M99" i="52"/>
  <c r="L99" i="52"/>
  <c r="K99" i="52"/>
  <c r="J99" i="52"/>
  <c r="I99" i="52"/>
  <c r="H99" i="52"/>
  <c r="G99" i="52"/>
  <c r="F99" i="52"/>
  <c r="E99" i="52"/>
  <c r="D99" i="52"/>
  <c r="C99" i="52"/>
  <c r="M98" i="52"/>
  <c r="L98" i="52"/>
  <c r="K98" i="52"/>
  <c r="J98" i="52"/>
  <c r="I98" i="52"/>
  <c r="H98" i="52"/>
  <c r="G98" i="52"/>
  <c r="F98" i="52"/>
  <c r="E98" i="52"/>
  <c r="D98" i="52"/>
  <c r="C98" i="52"/>
  <c r="M97" i="52"/>
  <c r="L97" i="52"/>
  <c r="K97" i="52"/>
  <c r="J97" i="52"/>
  <c r="I97" i="52"/>
  <c r="H97" i="52"/>
  <c r="G97" i="52"/>
  <c r="F97" i="52"/>
  <c r="E97" i="52"/>
  <c r="D97" i="52"/>
  <c r="C97" i="52"/>
  <c r="M91" i="52"/>
  <c r="L91" i="52"/>
  <c r="K91" i="52"/>
  <c r="J91" i="52"/>
  <c r="I91" i="52"/>
  <c r="C91" i="52"/>
  <c r="K90" i="52"/>
  <c r="C90" i="52"/>
  <c r="M84" i="52"/>
  <c r="L84" i="52"/>
  <c r="K84" i="52"/>
  <c r="J84" i="52"/>
  <c r="I84" i="52"/>
  <c r="H84" i="52"/>
  <c r="G84" i="52"/>
  <c r="F84" i="52"/>
  <c r="N84" i="52" s="1"/>
  <c r="E84" i="52"/>
  <c r="D84" i="52"/>
  <c r="C84" i="52"/>
  <c r="M83" i="52"/>
  <c r="L83" i="52"/>
  <c r="K83" i="52"/>
  <c r="J83" i="52"/>
  <c r="I83" i="52"/>
  <c r="H83" i="52"/>
  <c r="G83" i="52"/>
  <c r="F83" i="52"/>
  <c r="N83" i="52" s="1"/>
  <c r="E83" i="52"/>
  <c r="D83" i="52"/>
  <c r="C83" i="52"/>
  <c r="M82" i="52"/>
  <c r="L82" i="52"/>
  <c r="K82" i="52"/>
  <c r="J82" i="52"/>
  <c r="I82" i="52"/>
  <c r="H82" i="52"/>
  <c r="G82" i="52"/>
  <c r="F82" i="52"/>
  <c r="M81" i="52"/>
  <c r="L81" i="52"/>
  <c r="K81" i="52"/>
  <c r="J81" i="52"/>
  <c r="I81" i="52"/>
  <c r="H81" i="52"/>
  <c r="C81" i="52"/>
  <c r="M80" i="52"/>
  <c r="L80" i="52"/>
  <c r="K80" i="52"/>
  <c r="J80" i="52"/>
  <c r="I80" i="52"/>
  <c r="H80" i="52"/>
  <c r="C80" i="52"/>
  <c r="M79" i="52"/>
  <c r="L79" i="52"/>
  <c r="K79" i="52"/>
  <c r="J79" i="52"/>
  <c r="I79" i="52"/>
  <c r="H79" i="52"/>
  <c r="G79" i="52"/>
  <c r="F79" i="52"/>
  <c r="C79" i="52"/>
  <c r="M78" i="52"/>
  <c r="L78" i="52"/>
  <c r="K78" i="52"/>
  <c r="J78" i="52"/>
  <c r="I78" i="52"/>
  <c r="H78" i="52"/>
  <c r="G78" i="52"/>
  <c r="F78" i="52"/>
  <c r="E78" i="52"/>
  <c r="D78" i="52"/>
  <c r="N78" i="52" s="1"/>
  <c r="C78" i="52"/>
  <c r="M77" i="52"/>
  <c r="L77" i="52"/>
  <c r="K77" i="52"/>
  <c r="J77" i="52"/>
  <c r="I77" i="52"/>
  <c r="H77" i="52"/>
  <c r="G77" i="52"/>
  <c r="F77" i="52"/>
  <c r="E77" i="52"/>
  <c r="D77" i="52"/>
  <c r="N77" i="52" s="1"/>
  <c r="C77" i="52"/>
  <c r="M76" i="52"/>
  <c r="L76" i="52"/>
  <c r="K76" i="52"/>
  <c r="J76" i="52"/>
  <c r="I76" i="52"/>
  <c r="H76" i="52"/>
  <c r="G76" i="52"/>
  <c r="F76" i="52"/>
  <c r="E76" i="52"/>
  <c r="D76" i="52"/>
  <c r="N76" i="52" s="1"/>
  <c r="C76" i="52"/>
  <c r="M75" i="52"/>
  <c r="L75" i="52"/>
  <c r="K75" i="52"/>
  <c r="J75" i="52"/>
  <c r="I75" i="52"/>
  <c r="H75" i="52"/>
  <c r="G75" i="52"/>
  <c r="F75" i="52"/>
  <c r="E75" i="52"/>
  <c r="D75" i="52"/>
  <c r="N75" i="52" s="1"/>
  <c r="C75" i="52"/>
  <c r="M74" i="52"/>
  <c r="L74" i="52"/>
  <c r="K74" i="52"/>
  <c r="J74" i="52"/>
  <c r="I74" i="52"/>
  <c r="H74" i="52"/>
  <c r="G74" i="52"/>
  <c r="F74" i="52"/>
  <c r="E74" i="52"/>
  <c r="D74" i="52"/>
  <c r="N74" i="52" s="1"/>
  <c r="C74" i="52"/>
  <c r="H73" i="52"/>
  <c r="G73" i="52"/>
  <c r="F73" i="52"/>
  <c r="E73" i="52"/>
  <c r="D73" i="52"/>
  <c r="M72" i="52"/>
  <c r="L72" i="52"/>
  <c r="K72" i="52"/>
  <c r="J72" i="52"/>
  <c r="I72" i="52"/>
  <c r="H72" i="52"/>
  <c r="G72" i="52"/>
  <c r="F72" i="52"/>
  <c r="E72" i="52"/>
  <c r="D72" i="52"/>
  <c r="N72" i="52" s="1"/>
  <c r="C72" i="52"/>
  <c r="M65" i="52"/>
  <c r="L65" i="52"/>
  <c r="K65" i="52"/>
  <c r="J65" i="52"/>
  <c r="I64" i="52"/>
  <c r="M63" i="52"/>
  <c r="L63" i="52"/>
  <c r="K63" i="52"/>
  <c r="J63" i="52"/>
  <c r="I63" i="52"/>
  <c r="H63" i="52"/>
  <c r="G63" i="52"/>
  <c r="F63" i="52"/>
  <c r="E63" i="52"/>
  <c r="D63" i="52"/>
  <c r="N63" i="52" s="1"/>
  <c r="C63" i="52"/>
  <c r="M62" i="52"/>
  <c r="L62" i="52"/>
  <c r="K62" i="52"/>
  <c r="J62" i="52"/>
  <c r="I62" i="52"/>
  <c r="H62" i="52"/>
  <c r="G62" i="52"/>
  <c r="F62" i="52"/>
  <c r="E62" i="52"/>
  <c r="D62" i="52"/>
  <c r="N62" i="52" s="1"/>
  <c r="C62" i="52"/>
  <c r="M61" i="52"/>
  <c r="L61" i="52"/>
  <c r="K61" i="52"/>
  <c r="J61" i="52"/>
  <c r="I61" i="52"/>
  <c r="H61" i="52"/>
  <c r="G61" i="52"/>
  <c r="F61" i="52"/>
  <c r="E61" i="52"/>
  <c r="D61" i="52"/>
  <c r="N61" i="52" s="1"/>
  <c r="C61" i="52"/>
  <c r="C60" i="52"/>
  <c r="C59" i="52"/>
  <c r="C58" i="52"/>
  <c r="M57" i="52"/>
  <c r="L57" i="52"/>
  <c r="K57" i="52"/>
  <c r="J57" i="52"/>
  <c r="I57" i="52"/>
  <c r="H57" i="52"/>
  <c r="G57" i="52"/>
  <c r="F57" i="52"/>
  <c r="E57" i="52"/>
  <c r="D57" i="52"/>
  <c r="N57" i="52" s="1"/>
  <c r="C57" i="52"/>
  <c r="M56" i="52"/>
  <c r="L56" i="52"/>
  <c r="K56" i="52"/>
  <c r="J56" i="52"/>
  <c r="I56" i="52"/>
  <c r="D56" i="52"/>
  <c r="C56" i="52"/>
  <c r="M55" i="52"/>
  <c r="L55" i="52"/>
  <c r="K55" i="52"/>
  <c r="J55" i="52"/>
  <c r="I55" i="52"/>
  <c r="H55" i="52"/>
  <c r="G55" i="52"/>
  <c r="F55" i="52"/>
  <c r="E55" i="52"/>
  <c r="D55" i="52"/>
  <c r="N55" i="52" s="1"/>
  <c r="C55" i="52"/>
  <c r="M54" i="52"/>
  <c r="L54" i="52"/>
  <c r="K54" i="52"/>
  <c r="J54" i="52"/>
  <c r="I54" i="52"/>
  <c r="H54" i="52"/>
  <c r="G54" i="52"/>
  <c r="F54" i="52"/>
  <c r="E54" i="52"/>
  <c r="D54" i="52"/>
  <c r="N54" i="52" s="1"/>
  <c r="C54" i="52"/>
  <c r="M53" i="52"/>
  <c r="L53" i="52"/>
  <c r="K53" i="52"/>
  <c r="J53" i="52"/>
  <c r="I53" i="52"/>
  <c r="H53" i="52"/>
  <c r="G53" i="52"/>
  <c r="F53" i="52"/>
  <c r="E53" i="52"/>
  <c r="D53" i="52"/>
  <c r="N53" i="52" s="1"/>
  <c r="C53" i="52"/>
  <c r="M47" i="52"/>
  <c r="L47" i="52"/>
  <c r="K47" i="52"/>
  <c r="J47" i="52"/>
  <c r="I47" i="52"/>
  <c r="H47" i="52"/>
  <c r="G47" i="52"/>
  <c r="F47" i="52"/>
  <c r="E47" i="52"/>
  <c r="D47" i="52"/>
  <c r="N47" i="52" s="1"/>
  <c r="C47" i="52"/>
  <c r="M46" i="52"/>
  <c r="L46" i="52"/>
  <c r="K46" i="52"/>
  <c r="J46" i="52"/>
  <c r="I46" i="52"/>
  <c r="H46" i="52"/>
  <c r="G46" i="52"/>
  <c r="F46" i="52"/>
  <c r="E46" i="52"/>
  <c r="D46" i="52"/>
  <c r="N46" i="52" s="1"/>
  <c r="C46" i="52"/>
  <c r="M45" i="52"/>
  <c r="L45" i="52"/>
  <c r="K45" i="52"/>
  <c r="J45" i="52"/>
  <c r="I45" i="52"/>
  <c r="H45" i="52"/>
  <c r="G45" i="52"/>
  <c r="F45" i="52"/>
  <c r="E45" i="52"/>
  <c r="D45" i="52"/>
  <c r="N45" i="52" s="1"/>
  <c r="C45" i="52"/>
  <c r="M44" i="52"/>
  <c r="L44" i="52"/>
  <c r="K44" i="52"/>
  <c r="J44" i="52"/>
  <c r="I44" i="52"/>
  <c r="H44" i="52"/>
  <c r="G44" i="52"/>
  <c r="F44" i="52"/>
  <c r="E44" i="52"/>
  <c r="D44" i="52"/>
  <c r="N44" i="52" s="1"/>
  <c r="C44" i="52"/>
  <c r="C43" i="52"/>
  <c r="C42" i="52"/>
  <c r="C41" i="52"/>
  <c r="M40" i="52"/>
  <c r="L40" i="52"/>
  <c r="K40" i="52"/>
  <c r="J40" i="52"/>
  <c r="I40" i="52"/>
  <c r="H40" i="52"/>
  <c r="G40" i="52"/>
  <c r="F40" i="52"/>
  <c r="N40" i="52" s="1"/>
  <c r="E40" i="52"/>
  <c r="D40" i="52"/>
  <c r="C40" i="52"/>
  <c r="M39" i="52"/>
  <c r="L39" i="52"/>
  <c r="K39" i="52"/>
  <c r="J39" i="52"/>
  <c r="I39" i="52"/>
  <c r="H39" i="52"/>
  <c r="G39" i="52"/>
  <c r="F39" i="52"/>
  <c r="E39" i="52"/>
  <c r="M38" i="52"/>
  <c r="L38" i="52"/>
  <c r="K38" i="52"/>
  <c r="J38" i="52"/>
  <c r="I38" i="52"/>
  <c r="H38" i="52"/>
  <c r="G38" i="52"/>
  <c r="F38" i="52"/>
  <c r="N38" i="52" s="1"/>
  <c r="E38" i="52"/>
  <c r="D38" i="52"/>
  <c r="C38" i="52"/>
  <c r="M37" i="52"/>
  <c r="L37" i="52"/>
  <c r="K37" i="52"/>
  <c r="J37" i="52"/>
  <c r="I37" i="52"/>
  <c r="H37" i="52"/>
  <c r="G37" i="52"/>
  <c r="F37" i="52"/>
  <c r="N37" i="52" s="1"/>
  <c r="E37" i="52"/>
  <c r="D37" i="52"/>
  <c r="C37" i="52"/>
  <c r="M36" i="52"/>
  <c r="L36" i="52"/>
  <c r="K36" i="52"/>
  <c r="J36" i="52"/>
  <c r="I36" i="52"/>
  <c r="H36" i="52"/>
  <c r="G36" i="52"/>
  <c r="F36" i="52"/>
  <c r="N36" i="52" s="1"/>
  <c r="E36" i="52"/>
  <c r="D36" i="52"/>
  <c r="C36" i="52"/>
  <c r="M31" i="52"/>
  <c r="L31" i="52"/>
  <c r="K31" i="52"/>
  <c r="J31" i="52"/>
  <c r="I31" i="52"/>
  <c r="H31" i="52"/>
  <c r="G31" i="52"/>
  <c r="F31" i="52"/>
  <c r="N31" i="52" s="1"/>
  <c r="E31" i="52"/>
  <c r="D31" i="52"/>
  <c r="L30" i="52"/>
  <c r="K30" i="52"/>
  <c r="J30" i="52"/>
  <c r="I30" i="52"/>
  <c r="H30" i="52"/>
  <c r="G30" i="52"/>
  <c r="F30" i="52"/>
  <c r="E30" i="52"/>
  <c r="D30" i="52"/>
  <c r="L29" i="52"/>
  <c r="K29" i="52"/>
  <c r="J29" i="52"/>
  <c r="I29" i="52"/>
  <c r="H29" i="52"/>
  <c r="G29" i="52"/>
  <c r="F29" i="52"/>
  <c r="E29" i="52"/>
  <c r="D29" i="52"/>
  <c r="L28" i="52"/>
  <c r="K28" i="52"/>
  <c r="J28" i="52"/>
  <c r="I28" i="52"/>
  <c r="H28" i="52"/>
  <c r="G28" i="52"/>
  <c r="F28" i="52"/>
  <c r="E28" i="52"/>
  <c r="D28" i="52"/>
  <c r="C27" i="52"/>
  <c r="C26" i="52"/>
  <c r="C25" i="52"/>
  <c r="M24" i="52"/>
  <c r="L24" i="52"/>
  <c r="K24" i="52"/>
  <c r="J24" i="52"/>
  <c r="I24" i="52"/>
  <c r="H24" i="52"/>
  <c r="G24" i="52"/>
  <c r="F24" i="52"/>
  <c r="N24" i="52" s="1"/>
  <c r="E24" i="52"/>
  <c r="D24" i="52"/>
  <c r="C24" i="52"/>
  <c r="M23" i="52"/>
  <c r="L23" i="52"/>
  <c r="K23" i="52"/>
  <c r="J23" i="52"/>
  <c r="I23" i="52"/>
  <c r="H23" i="52"/>
  <c r="G23" i="52"/>
  <c r="F23" i="52"/>
  <c r="M22" i="52"/>
  <c r="L22" i="52"/>
  <c r="K22" i="52"/>
  <c r="J22" i="52"/>
  <c r="I22" i="52"/>
  <c r="H22" i="52"/>
  <c r="G22" i="52"/>
  <c r="F22" i="52"/>
  <c r="N22" i="52" s="1"/>
  <c r="E22" i="52"/>
  <c r="D22" i="52"/>
  <c r="C22" i="52"/>
  <c r="M21" i="52"/>
  <c r="L21" i="52"/>
  <c r="K21" i="52"/>
  <c r="J21" i="52"/>
  <c r="I21" i="52"/>
  <c r="H21" i="52"/>
  <c r="G21" i="52"/>
  <c r="F21" i="52"/>
  <c r="N21" i="52" s="1"/>
  <c r="E21" i="52"/>
  <c r="D21" i="52"/>
  <c r="C21" i="52"/>
  <c r="M20" i="52"/>
  <c r="L20" i="52"/>
  <c r="K20" i="52"/>
  <c r="J20" i="52"/>
  <c r="I20" i="52"/>
  <c r="H20" i="52"/>
  <c r="G20" i="52"/>
  <c r="F20" i="52"/>
  <c r="N20" i="52" s="1"/>
  <c r="E20" i="52"/>
  <c r="D20" i="52"/>
  <c r="C20" i="52"/>
  <c r="M15" i="52"/>
  <c r="L15" i="52"/>
  <c r="K15" i="52"/>
  <c r="J15" i="52"/>
  <c r="I15" i="52"/>
  <c r="H15" i="52"/>
  <c r="G15" i="52"/>
  <c r="F15" i="52"/>
  <c r="N15" i="52" s="1"/>
  <c r="E15" i="52"/>
  <c r="D15" i="52"/>
  <c r="C14" i="52"/>
  <c r="C13" i="52"/>
  <c r="C12" i="52"/>
  <c r="M11" i="52"/>
  <c r="L11" i="52"/>
  <c r="K11" i="52"/>
  <c r="J11" i="52"/>
  <c r="I11" i="52"/>
  <c r="H11" i="52"/>
  <c r="G11" i="52"/>
  <c r="F11" i="52"/>
  <c r="N11" i="52" s="1"/>
  <c r="E11" i="52"/>
  <c r="D11" i="52"/>
  <c r="C11" i="52"/>
  <c r="M10" i="52"/>
  <c r="L10" i="52"/>
  <c r="K10" i="52"/>
  <c r="J10" i="52"/>
  <c r="I10" i="52"/>
  <c r="H10" i="52"/>
  <c r="G10" i="52"/>
  <c r="F10" i="52"/>
  <c r="C10" i="52"/>
  <c r="M9" i="52"/>
  <c r="L9" i="52"/>
  <c r="K9" i="52"/>
  <c r="J9" i="52"/>
  <c r="I9" i="52"/>
  <c r="H9" i="52"/>
  <c r="G9" i="52"/>
  <c r="F9" i="52"/>
  <c r="N9" i="52" s="1"/>
  <c r="E9" i="52"/>
  <c r="D9" i="52"/>
  <c r="C9" i="52"/>
  <c r="M8" i="52"/>
  <c r="L8" i="52"/>
  <c r="K8" i="52"/>
  <c r="J8" i="52"/>
  <c r="I8" i="52"/>
  <c r="H8" i="52"/>
  <c r="G8" i="52"/>
  <c r="F8" i="52"/>
  <c r="N8" i="52" s="1"/>
  <c r="E8" i="52"/>
  <c r="D8" i="52"/>
  <c r="C8" i="52"/>
  <c r="M7" i="52"/>
  <c r="L7" i="52"/>
  <c r="K7" i="52"/>
  <c r="J7" i="52"/>
  <c r="I7" i="52"/>
  <c r="H7" i="52"/>
  <c r="G7" i="52"/>
  <c r="F7" i="52"/>
  <c r="N7" i="52" s="1"/>
  <c r="E7" i="52"/>
  <c r="D7" i="52"/>
  <c r="C7" i="52"/>
  <c r="U859" i="1"/>
  <c r="R19" i="12" s="1"/>
  <c r="T859" i="1"/>
  <c r="Q19" i="12" s="1"/>
  <c r="S859" i="1"/>
  <c r="P19" i="12" s="1"/>
  <c r="R859" i="1"/>
  <c r="O19" i="12" s="1"/>
  <c r="Q859" i="1"/>
  <c r="N19" i="12" s="1"/>
  <c r="J859" i="1"/>
  <c r="I859" i="1"/>
  <c r="H859" i="1"/>
  <c r="G859" i="1"/>
  <c r="F859" i="1"/>
  <c r="E859" i="1"/>
  <c r="U858" i="1"/>
  <c r="R18" i="12" s="1"/>
  <c r="M24" i="23" s="1"/>
  <c r="T858" i="1"/>
  <c r="Q18" i="12" s="1"/>
  <c r="L24" i="23" s="1"/>
  <c r="S858" i="1"/>
  <c r="P18" i="12" s="1"/>
  <c r="K24" i="23" s="1"/>
  <c r="R858" i="1"/>
  <c r="O18" i="12" s="1"/>
  <c r="J24" i="23" s="1"/>
  <c r="Q858" i="1"/>
  <c r="N18" i="12" s="1"/>
  <c r="I24" i="23" s="1"/>
  <c r="K858" i="1"/>
  <c r="H18" i="12" s="1"/>
  <c r="C24" i="23" s="1"/>
  <c r="C26" i="23" s="1"/>
  <c r="J858" i="1"/>
  <c r="I858" i="1"/>
  <c r="H858" i="1"/>
  <c r="G858" i="1"/>
  <c r="F858" i="1"/>
  <c r="E858" i="1"/>
  <c r="C858" i="1"/>
  <c r="U857" i="1"/>
  <c r="R17" i="12" s="1"/>
  <c r="J857" i="1"/>
  <c r="I857" i="1"/>
  <c r="H857" i="1"/>
  <c r="G857" i="1"/>
  <c r="F857" i="1"/>
  <c r="E857" i="1"/>
  <c r="J856" i="1"/>
  <c r="I856" i="1"/>
  <c r="H856" i="1"/>
  <c r="G856" i="1"/>
  <c r="F856" i="1"/>
  <c r="E856" i="1"/>
  <c r="C856" i="1"/>
  <c r="J855" i="1"/>
  <c r="I855" i="1"/>
  <c r="H855" i="1"/>
  <c r="G855" i="1"/>
  <c r="F855" i="1"/>
  <c r="E855" i="1"/>
  <c r="J854" i="1"/>
  <c r="I854" i="1"/>
  <c r="H854" i="1"/>
  <c r="G854" i="1"/>
  <c r="F854" i="1"/>
  <c r="E854" i="1"/>
  <c r="C854" i="1"/>
  <c r="U853" i="1"/>
  <c r="R13" i="12" s="1"/>
  <c r="T853" i="1"/>
  <c r="Q13" i="12" s="1"/>
  <c r="S853" i="1"/>
  <c r="P13" i="12" s="1"/>
  <c r="R853" i="1"/>
  <c r="O13" i="12" s="1"/>
  <c r="Q853" i="1"/>
  <c r="N13" i="12" s="1"/>
  <c r="J853" i="1"/>
  <c r="I853" i="1"/>
  <c r="H853" i="1"/>
  <c r="G853" i="1"/>
  <c r="F853" i="1"/>
  <c r="E853" i="1"/>
  <c r="U852" i="1"/>
  <c r="R12" i="12" s="1"/>
  <c r="M24" i="20" s="1"/>
  <c r="T852" i="1"/>
  <c r="Q12" i="12" s="1"/>
  <c r="L24" i="20" s="1"/>
  <c r="S852" i="1"/>
  <c r="P12" i="12" s="1"/>
  <c r="K24" i="20" s="1"/>
  <c r="R852" i="1"/>
  <c r="O12" i="12" s="1"/>
  <c r="J24" i="20" s="1"/>
  <c r="Q852" i="1"/>
  <c r="N12" i="12" s="1"/>
  <c r="I24" i="20" s="1"/>
  <c r="J852" i="1"/>
  <c r="I852" i="1"/>
  <c r="H852" i="1"/>
  <c r="G852" i="1"/>
  <c r="F852" i="1"/>
  <c r="E852" i="1"/>
  <c r="C852" i="1"/>
  <c r="J851" i="1"/>
  <c r="I851" i="1"/>
  <c r="H851" i="1"/>
  <c r="G851" i="1"/>
  <c r="F851" i="1"/>
  <c r="E851" i="1"/>
  <c r="J850" i="1"/>
  <c r="I850" i="1"/>
  <c r="H850" i="1"/>
  <c r="G850" i="1"/>
  <c r="F850" i="1"/>
  <c r="E850" i="1"/>
  <c r="C850" i="1"/>
  <c r="J849" i="1"/>
  <c r="I849" i="1"/>
  <c r="H849" i="1"/>
  <c r="G849" i="1"/>
  <c r="F849" i="1"/>
  <c r="E849" i="1"/>
  <c r="J848" i="1"/>
  <c r="I848" i="1"/>
  <c r="H848" i="1"/>
  <c r="G848" i="1"/>
  <c r="F848" i="1"/>
  <c r="E848" i="1"/>
  <c r="C848" i="1"/>
  <c r="J847" i="1"/>
  <c r="I847" i="1"/>
  <c r="H847" i="1"/>
  <c r="G847" i="1"/>
  <c r="F847" i="1"/>
  <c r="E847" i="1"/>
  <c r="J846" i="1"/>
  <c r="I846" i="1"/>
  <c r="H846" i="1"/>
  <c r="G846" i="1"/>
  <c r="F846" i="1"/>
  <c r="E846" i="1"/>
  <c r="C846" i="1"/>
  <c r="J845" i="1"/>
  <c r="I845" i="1"/>
  <c r="H845" i="1"/>
  <c r="G845" i="1"/>
  <c r="F845" i="1"/>
  <c r="E845" i="1"/>
  <c r="J844" i="1"/>
  <c r="I844" i="1"/>
  <c r="H844" i="1"/>
  <c r="G844" i="1"/>
  <c r="F844" i="1"/>
  <c r="E844" i="1"/>
  <c r="C844" i="1"/>
  <c r="O842" i="1"/>
  <c r="P842" i="1" s="1"/>
  <c r="N842" i="1"/>
  <c r="M842" i="1"/>
  <c r="L842" i="1"/>
  <c r="U839" i="1"/>
  <c r="T839" i="1"/>
  <c r="S839" i="1"/>
  <c r="R839" i="1"/>
  <c r="Q839" i="1"/>
  <c r="P838" i="1"/>
  <c r="P839" i="1" s="1"/>
  <c r="O838" i="1"/>
  <c r="N838" i="1"/>
  <c r="M838" i="1"/>
  <c r="L838" i="1"/>
  <c r="K838" i="1"/>
  <c r="D837" i="1"/>
  <c r="B837" i="1"/>
  <c r="P836" i="1"/>
  <c r="B836" i="1"/>
  <c r="P834" i="1"/>
  <c r="P858" i="1" s="1"/>
  <c r="M18" i="12" s="1"/>
  <c r="H24" i="23" s="1"/>
  <c r="K834" i="1"/>
  <c r="K833" i="1"/>
  <c r="O831" i="1"/>
  <c r="N831" i="1"/>
  <c r="F131" i="52" s="1"/>
  <c r="M831" i="1"/>
  <c r="E131" i="52" s="1"/>
  <c r="L831" i="1"/>
  <c r="L830" i="1" s="1"/>
  <c r="M830" i="1" s="1"/>
  <c r="N830" i="1" s="1"/>
  <c r="K831" i="1"/>
  <c r="C131" i="52" s="1"/>
  <c r="A831" i="1"/>
  <c r="D832" i="1" s="1"/>
  <c r="P830" i="1"/>
  <c r="D829" i="1"/>
  <c r="K829" i="1" s="1"/>
  <c r="L829" i="1" s="1"/>
  <c r="M829" i="1" s="1"/>
  <c r="N829" i="1" s="1"/>
  <c r="O829" i="1" s="1"/>
  <c r="D828" i="1"/>
  <c r="S824" i="1"/>
  <c r="R824" i="1"/>
  <c r="U823" i="1"/>
  <c r="U824" i="1" s="1"/>
  <c r="T823" i="1"/>
  <c r="T824" i="1" s="1"/>
  <c r="S823" i="1"/>
  <c r="R823" i="1"/>
  <c r="L823" i="1"/>
  <c r="K823" i="1"/>
  <c r="D822" i="1"/>
  <c r="U821" i="1"/>
  <c r="T821" i="1"/>
  <c r="S821" i="1"/>
  <c r="R821" i="1"/>
  <c r="B821" i="1"/>
  <c r="U820" i="1"/>
  <c r="T820" i="1"/>
  <c r="S820" i="1"/>
  <c r="R820" i="1"/>
  <c r="U819" i="1"/>
  <c r="T819" i="1"/>
  <c r="S819" i="1"/>
  <c r="R819" i="1"/>
  <c r="U818" i="1"/>
  <c r="T818" i="1"/>
  <c r="S818" i="1"/>
  <c r="R818" i="1"/>
  <c r="A816" i="1"/>
  <c r="D817" i="1" s="1"/>
  <c r="U815" i="1"/>
  <c r="T815" i="1"/>
  <c r="S815" i="1"/>
  <c r="R815" i="1"/>
  <c r="L815" i="1"/>
  <c r="M815" i="1" s="1"/>
  <c r="N815" i="1" s="1"/>
  <c r="O815" i="1" s="1"/>
  <c r="P815" i="1" s="1"/>
  <c r="Q815" i="1" s="1"/>
  <c r="D814" i="1"/>
  <c r="T810" i="1"/>
  <c r="T811" i="1" s="1"/>
  <c r="D809" i="1"/>
  <c r="D808" i="1"/>
  <c r="D807" i="1"/>
  <c r="U806" i="1"/>
  <c r="U810" i="1" s="1"/>
  <c r="U811" i="1" s="1"/>
  <c r="T806" i="1"/>
  <c r="S806" i="1"/>
  <c r="S810" i="1" s="1"/>
  <c r="S811" i="1" s="1"/>
  <c r="R806" i="1"/>
  <c r="R810" i="1" s="1"/>
  <c r="R811" i="1" s="1"/>
  <c r="B806" i="1"/>
  <c r="U805" i="1"/>
  <c r="T805" i="1"/>
  <c r="T857" i="1" s="1"/>
  <c r="Q17" i="12" s="1"/>
  <c r="S805" i="1"/>
  <c r="S857" i="1" s="1"/>
  <c r="P17" i="12" s="1"/>
  <c r="R805" i="1"/>
  <c r="R857" i="1" s="1"/>
  <c r="O17" i="12" s="1"/>
  <c r="U804" i="1"/>
  <c r="U856" i="1" s="1"/>
  <c r="R16" i="12" s="1"/>
  <c r="M24" i="22" s="1"/>
  <c r="T804" i="1"/>
  <c r="T856" i="1" s="1"/>
  <c r="Q16" i="12" s="1"/>
  <c r="L24" i="22" s="1"/>
  <c r="S804" i="1"/>
  <c r="S856" i="1" s="1"/>
  <c r="P16" i="12" s="1"/>
  <c r="K24" i="22" s="1"/>
  <c r="R804" i="1"/>
  <c r="R856" i="1" s="1"/>
  <c r="O16" i="12" s="1"/>
  <c r="J24" i="22" s="1"/>
  <c r="U803" i="1"/>
  <c r="T803" i="1"/>
  <c r="S803" i="1"/>
  <c r="R803" i="1"/>
  <c r="A800" i="1"/>
  <c r="A799" i="1"/>
  <c r="D802" i="1" s="1"/>
  <c r="A798" i="1"/>
  <c r="U796" i="1"/>
  <c r="T796" i="1"/>
  <c r="S796" i="1"/>
  <c r="R796" i="1"/>
  <c r="M796" i="1"/>
  <c r="N796" i="1" s="1"/>
  <c r="O796" i="1" s="1"/>
  <c r="P796" i="1" s="1"/>
  <c r="Q796" i="1" s="1"/>
  <c r="L796" i="1"/>
  <c r="D794" i="1"/>
  <c r="D793" i="1"/>
  <c r="D792" i="1"/>
  <c r="S788" i="1"/>
  <c r="R788" i="1"/>
  <c r="Q788" i="1"/>
  <c r="K788" i="1"/>
  <c r="U787" i="1"/>
  <c r="U788" i="1" s="1"/>
  <c r="T787" i="1"/>
  <c r="S787" i="1"/>
  <c r="R787" i="1"/>
  <c r="Q787" i="1"/>
  <c r="P787" i="1"/>
  <c r="O787" i="1"/>
  <c r="N787" i="1"/>
  <c r="M787" i="1"/>
  <c r="L787" i="1"/>
  <c r="K787" i="1"/>
  <c r="D786" i="1"/>
  <c r="B786" i="1"/>
  <c r="U785" i="1"/>
  <c r="T785" i="1"/>
  <c r="T788" i="1" s="1"/>
  <c r="S785" i="1"/>
  <c r="R785" i="1"/>
  <c r="Q785" i="1"/>
  <c r="K785" i="1"/>
  <c r="B785" i="1"/>
  <c r="U784" i="1"/>
  <c r="T784" i="1"/>
  <c r="S784" i="1"/>
  <c r="R784" i="1"/>
  <c r="Q784" i="1"/>
  <c r="K784" i="1"/>
  <c r="U783" i="1"/>
  <c r="T783" i="1"/>
  <c r="S783" i="1"/>
  <c r="R783" i="1"/>
  <c r="Q783" i="1"/>
  <c r="K783" i="1"/>
  <c r="U782" i="1"/>
  <c r="T782" i="1"/>
  <c r="S782" i="1"/>
  <c r="R782" i="1"/>
  <c r="Q782" i="1"/>
  <c r="P782" i="1"/>
  <c r="N782" i="1"/>
  <c r="K782" i="1"/>
  <c r="D781" i="1"/>
  <c r="A780" i="1"/>
  <c r="E779" i="1"/>
  <c r="M778" i="1"/>
  <c r="N778" i="1" s="1"/>
  <c r="O778" i="1" s="1"/>
  <c r="P778" i="1" s="1"/>
  <c r="L778" i="1"/>
  <c r="U774" i="1"/>
  <c r="T774" i="1"/>
  <c r="S774" i="1"/>
  <c r="R774" i="1"/>
  <c r="Q774" i="1"/>
  <c r="P774" i="1"/>
  <c r="O774" i="1"/>
  <c r="N774" i="1"/>
  <c r="M774" i="1"/>
  <c r="L774" i="1"/>
  <c r="K774" i="1"/>
  <c r="D773" i="1"/>
  <c r="B773" i="1"/>
  <c r="B772" i="1"/>
  <c r="T767" i="1"/>
  <c r="L114" i="52" s="1"/>
  <c r="A767" i="1"/>
  <c r="D768" i="1" s="1"/>
  <c r="M766" i="1"/>
  <c r="N766" i="1" s="1"/>
  <c r="O766" i="1" s="1"/>
  <c r="P766" i="1" s="1"/>
  <c r="Q766" i="1" s="1"/>
  <c r="R766" i="1" s="1"/>
  <c r="S766" i="1" s="1"/>
  <c r="T766" i="1" s="1"/>
  <c r="U766" i="1" s="1"/>
  <c r="L766" i="1"/>
  <c r="P763" i="1"/>
  <c r="O763" i="1"/>
  <c r="N763" i="1"/>
  <c r="M763" i="1"/>
  <c r="L763" i="1"/>
  <c r="K763" i="1"/>
  <c r="D762" i="1"/>
  <c r="B762" i="1"/>
  <c r="B761" i="1"/>
  <c r="D757" i="1"/>
  <c r="A756" i="1"/>
  <c r="M755" i="1"/>
  <c r="N755" i="1" s="1"/>
  <c r="O755" i="1" s="1"/>
  <c r="P755" i="1" s="1"/>
  <c r="Q755" i="1" s="1"/>
  <c r="R755" i="1" s="1"/>
  <c r="S755" i="1" s="1"/>
  <c r="T755" i="1" s="1"/>
  <c r="U755" i="1" s="1"/>
  <c r="L755" i="1"/>
  <c r="U753" i="1"/>
  <c r="T753" i="1"/>
  <c r="S753" i="1"/>
  <c r="K753" i="1"/>
  <c r="U752" i="1"/>
  <c r="T752" i="1"/>
  <c r="S752" i="1"/>
  <c r="R752" i="1"/>
  <c r="R753" i="1" s="1"/>
  <c r="Q752" i="1"/>
  <c r="P752" i="1"/>
  <c r="O752" i="1"/>
  <c r="N752" i="1"/>
  <c r="M752" i="1"/>
  <c r="L752" i="1"/>
  <c r="K752" i="1"/>
  <c r="D751" i="1"/>
  <c r="B751" i="1"/>
  <c r="U750" i="1"/>
  <c r="T750" i="1"/>
  <c r="S750" i="1"/>
  <c r="R750" i="1"/>
  <c r="K750" i="1"/>
  <c r="B750" i="1"/>
  <c r="U749" i="1"/>
  <c r="T749" i="1"/>
  <c r="S749" i="1"/>
  <c r="R749" i="1"/>
  <c r="K749" i="1"/>
  <c r="U748" i="1"/>
  <c r="T748" i="1"/>
  <c r="S748" i="1"/>
  <c r="R748" i="1"/>
  <c r="K748" i="1"/>
  <c r="U747" i="1"/>
  <c r="T747" i="1"/>
  <c r="S747" i="1"/>
  <c r="R747" i="1"/>
  <c r="K747" i="1"/>
  <c r="D746" i="1"/>
  <c r="U745" i="1"/>
  <c r="M112" i="52" s="1"/>
  <c r="T745" i="1"/>
  <c r="L112" i="52" s="1"/>
  <c r="S745" i="1"/>
  <c r="K112" i="52" s="1"/>
  <c r="R745" i="1"/>
  <c r="J112" i="52" s="1"/>
  <c r="Q745" i="1"/>
  <c r="I112" i="52" s="1"/>
  <c r="P745" i="1"/>
  <c r="H112" i="52" s="1"/>
  <c r="O745" i="1"/>
  <c r="G112" i="52" s="1"/>
  <c r="N745" i="1"/>
  <c r="F112" i="52" s="1"/>
  <c r="M745" i="1"/>
  <c r="E112" i="52" s="1"/>
  <c r="L745" i="1"/>
  <c r="D112" i="52" s="1"/>
  <c r="K745" i="1"/>
  <c r="C112" i="52" s="1"/>
  <c r="A745" i="1"/>
  <c r="U744" i="1"/>
  <c r="M111" i="52" s="1"/>
  <c r="T744" i="1"/>
  <c r="T743" i="1" s="1"/>
  <c r="S744" i="1"/>
  <c r="K111" i="52" s="1"/>
  <c r="R744" i="1"/>
  <c r="J111" i="52" s="1"/>
  <c r="Q744" i="1"/>
  <c r="I111" i="52" s="1"/>
  <c r="P744" i="1"/>
  <c r="H111" i="52" s="1"/>
  <c r="O744" i="1"/>
  <c r="G111" i="52" s="1"/>
  <c r="N744" i="1"/>
  <c r="N743" i="1" s="1"/>
  <c r="M744" i="1"/>
  <c r="E111" i="52" s="1"/>
  <c r="L744" i="1"/>
  <c r="L743" i="1" s="1"/>
  <c r="A744" i="1"/>
  <c r="U743" i="1"/>
  <c r="S743" i="1"/>
  <c r="Q743" i="1"/>
  <c r="O743" i="1"/>
  <c r="M743" i="1"/>
  <c r="K743" i="1"/>
  <c r="U740" i="1"/>
  <c r="U741" i="1" s="1"/>
  <c r="T740" i="1"/>
  <c r="T741" i="1" s="1"/>
  <c r="S740" i="1"/>
  <c r="S741" i="1" s="1"/>
  <c r="R740" i="1"/>
  <c r="R741" i="1" s="1"/>
  <c r="L740" i="1"/>
  <c r="K740" i="1"/>
  <c r="D739" i="1"/>
  <c r="B739" i="1"/>
  <c r="U738" i="1"/>
  <c r="T738" i="1"/>
  <c r="S738" i="1"/>
  <c r="R738" i="1"/>
  <c r="B738" i="1"/>
  <c r="U737" i="1"/>
  <c r="T737" i="1"/>
  <c r="S737" i="1"/>
  <c r="R737" i="1"/>
  <c r="U736" i="1"/>
  <c r="T736" i="1"/>
  <c r="S736" i="1"/>
  <c r="R736" i="1"/>
  <c r="U735" i="1"/>
  <c r="T735" i="1"/>
  <c r="S735" i="1"/>
  <c r="R735" i="1"/>
  <c r="D733" i="1"/>
  <c r="A733" i="1"/>
  <c r="D734" i="1" s="1"/>
  <c r="V732" i="1"/>
  <c r="U732" i="1"/>
  <c r="T732" i="1"/>
  <c r="S732" i="1"/>
  <c r="R732" i="1"/>
  <c r="L732" i="1"/>
  <c r="M732" i="1" s="1"/>
  <c r="N732" i="1" s="1"/>
  <c r="O732" i="1" s="1"/>
  <c r="P732" i="1" s="1"/>
  <c r="Q732" i="1" s="1"/>
  <c r="T731" i="1"/>
  <c r="R731" i="1"/>
  <c r="U730" i="1"/>
  <c r="U767" i="1" s="1"/>
  <c r="M114" i="52" s="1"/>
  <c r="T730" i="1"/>
  <c r="T756" i="1" s="1"/>
  <c r="S730" i="1"/>
  <c r="S767" i="1" s="1"/>
  <c r="K114" i="52" s="1"/>
  <c r="R730" i="1"/>
  <c r="R767" i="1" s="1"/>
  <c r="J114" i="52" s="1"/>
  <c r="D730" i="1"/>
  <c r="K730" i="1" s="1"/>
  <c r="L730" i="1" s="1"/>
  <c r="U729" i="1"/>
  <c r="U731" i="1" s="1"/>
  <c r="T729" i="1"/>
  <c r="S729" i="1"/>
  <c r="S731" i="1" s="1"/>
  <c r="R729" i="1"/>
  <c r="Q729" i="1"/>
  <c r="P729" i="1"/>
  <c r="O729" i="1"/>
  <c r="N729" i="1"/>
  <c r="M729" i="1"/>
  <c r="L729" i="1"/>
  <c r="K729" i="1"/>
  <c r="K731" i="1" s="1"/>
  <c r="D729" i="1"/>
  <c r="L724" i="1"/>
  <c r="K724" i="1"/>
  <c r="D723" i="1"/>
  <c r="B723" i="1"/>
  <c r="B722" i="1"/>
  <c r="K721" i="1"/>
  <c r="L720" i="1"/>
  <c r="K720" i="1"/>
  <c r="L719" i="1"/>
  <c r="K719" i="1"/>
  <c r="K722" i="1" s="1"/>
  <c r="K717" i="1"/>
  <c r="C109" i="52" s="1"/>
  <c r="A717" i="1"/>
  <c r="D718" i="1" s="1"/>
  <c r="N715" i="1"/>
  <c r="O715" i="1" s="1"/>
  <c r="P715" i="1" s="1"/>
  <c r="Q715" i="1" s="1"/>
  <c r="R715" i="1" s="1"/>
  <c r="S715" i="1" s="1"/>
  <c r="T715" i="1" s="1"/>
  <c r="U715" i="1" s="1"/>
  <c r="M715" i="1"/>
  <c r="L715" i="1"/>
  <c r="K711" i="1"/>
  <c r="D710" i="1"/>
  <c r="B710" i="1"/>
  <c r="B709" i="1"/>
  <c r="K708" i="1"/>
  <c r="L707" i="1"/>
  <c r="K707" i="1"/>
  <c r="T706" i="1"/>
  <c r="P706" i="1"/>
  <c r="L706" i="1"/>
  <c r="L711" i="1" s="1"/>
  <c r="K706" i="1"/>
  <c r="K709" i="1" s="1"/>
  <c r="D705" i="1"/>
  <c r="A704" i="1"/>
  <c r="M703" i="1"/>
  <c r="N703" i="1" s="1"/>
  <c r="O703" i="1" s="1"/>
  <c r="P703" i="1" s="1"/>
  <c r="Q703" i="1" s="1"/>
  <c r="R703" i="1" s="1"/>
  <c r="S703" i="1" s="1"/>
  <c r="T703" i="1" s="1"/>
  <c r="U703" i="1" s="1"/>
  <c r="L703" i="1"/>
  <c r="K703" i="1"/>
  <c r="L702" i="1"/>
  <c r="M702" i="1" s="1"/>
  <c r="N702" i="1" s="1"/>
  <c r="O702" i="1" s="1"/>
  <c r="P702" i="1" s="1"/>
  <c r="Q702" i="1" s="1"/>
  <c r="R702" i="1" s="1"/>
  <c r="S702" i="1" s="1"/>
  <c r="T702" i="1" s="1"/>
  <c r="U702" i="1" s="1"/>
  <c r="D697" i="1"/>
  <c r="B697" i="1"/>
  <c r="K696" i="1"/>
  <c r="B696" i="1"/>
  <c r="K695" i="1"/>
  <c r="L694" i="1"/>
  <c r="K694" i="1"/>
  <c r="L693" i="1"/>
  <c r="K693" i="1"/>
  <c r="K698" i="1" s="1"/>
  <c r="K699" i="1" s="1"/>
  <c r="A691" i="1"/>
  <c r="D692" i="1" s="1"/>
  <c r="K690" i="1"/>
  <c r="L690" i="1" s="1"/>
  <c r="M690" i="1" s="1"/>
  <c r="N690" i="1" s="1"/>
  <c r="O690" i="1" s="1"/>
  <c r="P690" i="1" s="1"/>
  <c r="Q690" i="1" s="1"/>
  <c r="R690" i="1" s="1"/>
  <c r="S690" i="1" s="1"/>
  <c r="T690" i="1" s="1"/>
  <c r="U690" i="1" s="1"/>
  <c r="L689" i="1"/>
  <c r="M689" i="1" s="1"/>
  <c r="N689" i="1" s="1"/>
  <c r="O689" i="1" s="1"/>
  <c r="P689" i="1" s="1"/>
  <c r="Q689" i="1" s="1"/>
  <c r="R689" i="1" s="1"/>
  <c r="S689" i="1" s="1"/>
  <c r="T689" i="1" s="1"/>
  <c r="U689" i="1" s="1"/>
  <c r="U684" i="1"/>
  <c r="T684" i="1"/>
  <c r="S684" i="1"/>
  <c r="R684" i="1"/>
  <c r="Q684" i="1"/>
  <c r="P684" i="1"/>
  <c r="O684" i="1"/>
  <c r="N684" i="1"/>
  <c r="L684" i="1"/>
  <c r="K684" i="1"/>
  <c r="B683" i="1"/>
  <c r="B682" i="1"/>
  <c r="L680" i="1"/>
  <c r="K680" i="1"/>
  <c r="K682" i="1" s="1"/>
  <c r="K685" i="1" s="1"/>
  <c r="L679" i="1"/>
  <c r="K679" i="1"/>
  <c r="D678" i="1"/>
  <c r="D677" i="1"/>
  <c r="A677" i="1"/>
  <c r="A676" i="1"/>
  <c r="M675" i="1"/>
  <c r="N675" i="1" s="1"/>
  <c r="O675" i="1" s="1"/>
  <c r="P675" i="1" s="1"/>
  <c r="Q675" i="1" s="1"/>
  <c r="R675" i="1" s="1"/>
  <c r="S675" i="1" s="1"/>
  <c r="T675" i="1" s="1"/>
  <c r="U675" i="1" s="1"/>
  <c r="L675" i="1"/>
  <c r="D675" i="1"/>
  <c r="D674" i="1" s="1"/>
  <c r="U669" i="1"/>
  <c r="S669" i="1"/>
  <c r="R669" i="1"/>
  <c r="Q669" i="1"/>
  <c r="U668" i="1"/>
  <c r="T668" i="1"/>
  <c r="T669" i="1" s="1"/>
  <c r="S668" i="1"/>
  <c r="R668" i="1"/>
  <c r="Q668" i="1"/>
  <c r="P668" i="1"/>
  <c r="O668" i="1"/>
  <c r="K668" i="1"/>
  <c r="D667" i="1"/>
  <c r="D666" i="1"/>
  <c r="B665" i="1"/>
  <c r="A660" i="1"/>
  <c r="A659" i="1"/>
  <c r="A658" i="1"/>
  <c r="D661" i="1" s="1"/>
  <c r="A657" i="1"/>
  <c r="M654" i="1"/>
  <c r="N654" i="1" s="1"/>
  <c r="O654" i="1" s="1"/>
  <c r="P654" i="1" s="1"/>
  <c r="Q654" i="1" s="1"/>
  <c r="R654" i="1" s="1"/>
  <c r="S654" i="1" s="1"/>
  <c r="T654" i="1" s="1"/>
  <c r="U654" i="1" s="1"/>
  <c r="L654" i="1"/>
  <c r="L649" i="1"/>
  <c r="K649" i="1"/>
  <c r="D648" i="1"/>
  <c r="B648" i="1"/>
  <c r="B647" i="1"/>
  <c r="L642" i="1"/>
  <c r="D91" i="52" s="1"/>
  <c r="A642" i="1"/>
  <c r="A641" i="1"/>
  <c r="U640" i="1"/>
  <c r="M90" i="52" s="1"/>
  <c r="T640" i="1"/>
  <c r="L90" i="52" s="1"/>
  <c r="S640" i="1"/>
  <c r="R640" i="1"/>
  <c r="J90" i="52" s="1"/>
  <c r="A640" i="1"/>
  <c r="D643" i="1" s="1"/>
  <c r="Q639" i="1"/>
  <c r="P639" i="1"/>
  <c r="O639" i="1"/>
  <c r="N639" i="1"/>
  <c r="M639" i="1"/>
  <c r="L639" i="1"/>
  <c r="K639" i="1"/>
  <c r="L636" i="1"/>
  <c r="X631" i="1"/>
  <c r="W631" i="1"/>
  <c r="V631" i="1"/>
  <c r="U631" i="1"/>
  <c r="T631" i="1"/>
  <c r="S631" i="1"/>
  <c r="R631" i="1"/>
  <c r="Q631" i="1"/>
  <c r="P631" i="1"/>
  <c r="O631" i="1"/>
  <c r="N631" i="1"/>
  <c r="M631" i="1"/>
  <c r="L631" i="1"/>
  <c r="K631" i="1"/>
  <c r="D630" i="1"/>
  <c r="B630" i="1"/>
  <c r="B629" i="1"/>
  <c r="D624" i="1"/>
  <c r="A624" i="1"/>
  <c r="D623" i="1"/>
  <c r="A623" i="1"/>
  <c r="A622" i="1"/>
  <c r="D625" i="1" s="1"/>
  <c r="D621" i="1"/>
  <c r="L619" i="1"/>
  <c r="M619" i="1" s="1"/>
  <c r="N619" i="1" s="1"/>
  <c r="O619" i="1" s="1"/>
  <c r="P619" i="1" s="1"/>
  <c r="Q619" i="1" s="1"/>
  <c r="R619" i="1" s="1"/>
  <c r="S619" i="1" s="1"/>
  <c r="T619" i="1" s="1"/>
  <c r="U619" i="1" s="1"/>
  <c r="U616" i="1"/>
  <c r="S616" i="1"/>
  <c r="U615" i="1"/>
  <c r="T615" i="1"/>
  <c r="T616" i="1" s="1"/>
  <c r="S615" i="1"/>
  <c r="R615" i="1"/>
  <c r="R616" i="1" s="1"/>
  <c r="Q615" i="1"/>
  <c r="Q616" i="1" s="1"/>
  <c r="P615" i="1"/>
  <c r="O615" i="1"/>
  <c r="N615" i="1"/>
  <c r="M615" i="1"/>
  <c r="L615" i="1"/>
  <c r="K615" i="1"/>
  <c r="D614" i="1"/>
  <c r="B614" i="1"/>
  <c r="B613" i="1"/>
  <c r="P612" i="1"/>
  <c r="O612" i="1"/>
  <c r="N612" i="1"/>
  <c r="P611" i="1"/>
  <c r="O611" i="1"/>
  <c r="N611" i="1"/>
  <c r="P610" i="1"/>
  <c r="O610" i="1"/>
  <c r="O613" i="1" s="1"/>
  <c r="N610" i="1"/>
  <c r="A608" i="1"/>
  <c r="D609" i="1" s="1"/>
  <c r="M607" i="1"/>
  <c r="K607" i="1"/>
  <c r="D606" i="1"/>
  <c r="K605" i="1"/>
  <c r="D605" i="1"/>
  <c r="D604" i="1" s="1"/>
  <c r="M603" i="1"/>
  <c r="D603" i="1"/>
  <c r="M602" i="1"/>
  <c r="M605" i="1" s="1"/>
  <c r="L602" i="1"/>
  <c r="L603" i="1" s="1"/>
  <c r="T599" i="1"/>
  <c r="S599" i="1"/>
  <c r="Q599" i="1"/>
  <c r="U598" i="1"/>
  <c r="U599" i="1" s="1"/>
  <c r="T598" i="1"/>
  <c r="S598" i="1"/>
  <c r="R598" i="1"/>
  <c r="R599" i="1" s="1"/>
  <c r="Q598" i="1"/>
  <c r="P598" i="1"/>
  <c r="O598" i="1"/>
  <c r="N598" i="1"/>
  <c r="M598" i="1"/>
  <c r="L598" i="1"/>
  <c r="K598" i="1"/>
  <c r="D597" i="1"/>
  <c r="B597" i="1"/>
  <c r="P596" i="1"/>
  <c r="B596" i="1"/>
  <c r="P595" i="1"/>
  <c r="P594" i="1"/>
  <c r="P593" i="1"/>
  <c r="A591" i="1"/>
  <c r="D592" i="1" s="1"/>
  <c r="P590" i="1"/>
  <c r="L590" i="1"/>
  <c r="M590" i="1" s="1"/>
  <c r="N590" i="1" s="1"/>
  <c r="O590" i="1" s="1"/>
  <c r="P587" i="1"/>
  <c r="P588" i="1" s="1"/>
  <c r="O587" i="1"/>
  <c r="N587" i="1"/>
  <c r="M587" i="1"/>
  <c r="L587" i="1"/>
  <c r="K587" i="1"/>
  <c r="D586" i="1"/>
  <c r="B586" i="1"/>
  <c r="P585" i="1"/>
  <c r="B585" i="1"/>
  <c r="P584" i="1"/>
  <c r="P583" i="1"/>
  <c r="P582" i="1"/>
  <c r="A580" i="1"/>
  <c r="D581" i="1" s="1"/>
  <c r="P579" i="1"/>
  <c r="M579" i="1"/>
  <c r="N579" i="1" s="1"/>
  <c r="O579" i="1" s="1"/>
  <c r="L579" i="1"/>
  <c r="P577" i="1"/>
  <c r="O577" i="1"/>
  <c r="U576" i="1"/>
  <c r="U577" i="1" s="1"/>
  <c r="T576" i="1"/>
  <c r="T577" i="1" s="1"/>
  <c r="S576" i="1"/>
  <c r="S577" i="1" s="1"/>
  <c r="R576" i="1"/>
  <c r="Q576" i="1"/>
  <c r="P576" i="1"/>
  <c r="O576" i="1"/>
  <c r="N576" i="1"/>
  <c r="N577" i="1" s="1"/>
  <c r="M576" i="1"/>
  <c r="L576" i="1"/>
  <c r="K576" i="1"/>
  <c r="D575" i="1"/>
  <c r="B575" i="1"/>
  <c r="U574" i="1"/>
  <c r="T574" i="1"/>
  <c r="S574" i="1"/>
  <c r="R574" i="1"/>
  <c r="R577" i="1" s="1"/>
  <c r="Q574" i="1"/>
  <c r="P574" i="1"/>
  <c r="O574" i="1"/>
  <c r="N574" i="1"/>
  <c r="B574" i="1"/>
  <c r="U573" i="1"/>
  <c r="T573" i="1"/>
  <c r="S573" i="1"/>
  <c r="R573" i="1"/>
  <c r="Q573" i="1"/>
  <c r="P573" i="1"/>
  <c r="O573" i="1"/>
  <c r="N573" i="1"/>
  <c r="U572" i="1"/>
  <c r="T572" i="1"/>
  <c r="S572" i="1"/>
  <c r="R572" i="1"/>
  <c r="Q572" i="1"/>
  <c r="P572" i="1"/>
  <c r="O572" i="1"/>
  <c r="N572" i="1"/>
  <c r="U571" i="1"/>
  <c r="T571" i="1"/>
  <c r="S571" i="1"/>
  <c r="R571" i="1"/>
  <c r="Q571" i="1"/>
  <c r="P571" i="1"/>
  <c r="O571" i="1"/>
  <c r="N571" i="1"/>
  <c r="L571" i="1"/>
  <c r="M569" i="1"/>
  <c r="E79" i="52" s="1"/>
  <c r="L569" i="1"/>
  <c r="D79" i="52" s="1"/>
  <c r="A569" i="1"/>
  <c r="A568" i="1"/>
  <c r="D570" i="1" s="1"/>
  <c r="M567" i="1"/>
  <c r="L567" i="1"/>
  <c r="D566" i="1" s="1"/>
  <c r="U565" i="1"/>
  <c r="T565" i="1"/>
  <c r="S565" i="1"/>
  <c r="R565" i="1"/>
  <c r="Q565" i="1"/>
  <c r="P565" i="1"/>
  <c r="O565" i="1"/>
  <c r="D565" i="1" s="1"/>
  <c r="N565" i="1"/>
  <c r="M565" i="1"/>
  <c r="L565" i="1"/>
  <c r="S562" i="1"/>
  <c r="R562" i="1"/>
  <c r="U561" i="1"/>
  <c r="T561" i="1"/>
  <c r="S561" i="1"/>
  <c r="R561" i="1"/>
  <c r="Q561" i="1"/>
  <c r="Q562" i="1" s="1"/>
  <c r="P561" i="1"/>
  <c r="O561" i="1"/>
  <c r="N561" i="1"/>
  <c r="M561" i="1"/>
  <c r="L561" i="1"/>
  <c r="K561" i="1"/>
  <c r="D560" i="1"/>
  <c r="B560" i="1"/>
  <c r="U559" i="1"/>
  <c r="U562" i="1" s="1"/>
  <c r="T559" i="1"/>
  <c r="T562" i="1" s="1"/>
  <c r="S559" i="1"/>
  <c r="R559" i="1"/>
  <c r="Q559" i="1"/>
  <c r="B559" i="1"/>
  <c r="U558" i="1"/>
  <c r="T558" i="1"/>
  <c r="S558" i="1"/>
  <c r="R558" i="1"/>
  <c r="Q558" i="1"/>
  <c r="U557" i="1"/>
  <c r="T557" i="1"/>
  <c r="S557" i="1"/>
  <c r="R557" i="1"/>
  <c r="Q557" i="1"/>
  <c r="U556" i="1"/>
  <c r="T556" i="1"/>
  <c r="S556" i="1"/>
  <c r="R556" i="1"/>
  <c r="Q556" i="1"/>
  <c r="O556" i="1"/>
  <c r="A554" i="1"/>
  <c r="D555" i="1" s="1"/>
  <c r="K553" i="1"/>
  <c r="A550" i="1"/>
  <c r="L549" i="1"/>
  <c r="K548" i="1"/>
  <c r="D548" i="1"/>
  <c r="K549" i="1" s="1"/>
  <c r="L547" i="1"/>
  <c r="L548" i="1" s="1"/>
  <c r="M549" i="1" s="1"/>
  <c r="P546" i="1"/>
  <c r="O546" i="1"/>
  <c r="N546" i="1"/>
  <c r="M546" i="1"/>
  <c r="L546" i="1"/>
  <c r="K546" i="1"/>
  <c r="M545" i="1"/>
  <c r="N545" i="1" s="1"/>
  <c r="O545" i="1" s="1"/>
  <c r="P545" i="1" s="1"/>
  <c r="L545" i="1"/>
  <c r="U541" i="1"/>
  <c r="T541" i="1"/>
  <c r="S541" i="1"/>
  <c r="R541" i="1"/>
  <c r="Q541" i="1"/>
  <c r="P541" i="1"/>
  <c r="O541" i="1"/>
  <c r="N541" i="1"/>
  <c r="M541" i="1"/>
  <c r="L541" i="1"/>
  <c r="K541" i="1"/>
  <c r="D540" i="1"/>
  <c r="B540" i="1"/>
  <c r="Q539" i="1"/>
  <c r="Q542" i="1" s="1"/>
  <c r="B539" i="1"/>
  <c r="U538" i="1"/>
  <c r="T538" i="1"/>
  <c r="S538" i="1"/>
  <c r="R538" i="1"/>
  <c r="Q538" i="1"/>
  <c r="U537" i="1"/>
  <c r="T537" i="1"/>
  <c r="S537" i="1"/>
  <c r="R537" i="1"/>
  <c r="Q537" i="1"/>
  <c r="U536" i="1"/>
  <c r="T536" i="1"/>
  <c r="S536" i="1"/>
  <c r="R536" i="1"/>
  <c r="Q536" i="1"/>
  <c r="L536" i="1"/>
  <c r="A534" i="1"/>
  <c r="A533" i="1"/>
  <c r="D535" i="1" s="1"/>
  <c r="R532" i="1"/>
  <c r="R530" i="1" s="1"/>
  <c r="P532" i="1"/>
  <c r="O532" i="1"/>
  <c r="N532" i="1"/>
  <c r="M532" i="1"/>
  <c r="L532" i="1"/>
  <c r="K532" i="1"/>
  <c r="K606" i="1" s="1"/>
  <c r="K608" i="1" s="1"/>
  <c r="K531" i="1"/>
  <c r="K530" i="1"/>
  <c r="L530" i="1" s="1"/>
  <c r="M530" i="1" s="1"/>
  <c r="N530" i="1" s="1"/>
  <c r="O530" i="1" s="1"/>
  <c r="P530" i="1" s="1"/>
  <c r="U529" i="1"/>
  <c r="T529" i="1"/>
  <c r="S529" i="1"/>
  <c r="R529" i="1"/>
  <c r="Q529" i="1"/>
  <c r="N529" i="1"/>
  <c r="M529" i="1"/>
  <c r="K529" i="1"/>
  <c r="D529" i="1"/>
  <c r="P529" i="1" s="1"/>
  <c r="U528" i="1"/>
  <c r="T528" i="1"/>
  <c r="S528" i="1"/>
  <c r="R528" i="1"/>
  <c r="Q528" i="1"/>
  <c r="M528" i="1"/>
  <c r="N528" i="1" s="1"/>
  <c r="O528" i="1" s="1"/>
  <c r="P528" i="1" s="1"/>
  <c r="L528" i="1"/>
  <c r="T524" i="1"/>
  <c r="O524" i="1"/>
  <c r="U523" i="1"/>
  <c r="U524" i="1" s="1"/>
  <c r="T523" i="1"/>
  <c r="S523" i="1"/>
  <c r="S524" i="1" s="1"/>
  <c r="R523" i="1"/>
  <c r="Q523" i="1"/>
  <c r="P523" i="1"/>
  <c r="P524" i="1" s="1"/>
  <c r="O523" i="1"/>
  <c r="K523" i="1"/>
  <c r="D522" i="1"/>
  <c r="B522" i="1"/>
  <c r="U521" i="1"/>
  <c r="T521" i="1"/>
  <c r="S521" i="1"/>
  <c r="R521" i="1"/>
  <c r="R524" i="1" s="1"/>
  <c r="Q521" i="1"/>
  <c r="Q524" i="1" s="1"/>
  <c r="P521" i="1"/>
  <c r="O521" i="1"/>
  <c r="B521" i="1"/>
  <c r="U520" i="1"/>
  <c r="T520" i="1"/>
  <c r="S520" i="1"/>
  <c r="R520" i="1"/>
  <c r="Q520" i="1"/>
  <c r="P520" i="1"/>
  <c r="O520" i="1"/>
  <c r="U519" i="1"/>
  <c r="T519" i="1"/>
  <c r="S519" i="1"/>
  <c r="R519" i="1"/>
  <c r="Q519" i="1"/>
  <c r="P519" i="1"/>
  <c r="O519" i="1"/>
  <c r="U518" i="1"/>
  <c r="T518" i="1"/>
  <c r="S518" i="1"/>
  <c r="R518" i="1"/>
  <c r="Q518" i="1"/>
  <c r="P518" i="1"/>
  <c r="O518" i="1"/>
  <c r="L518" i="1"/>
  <c r="T516" i="1"/>
  <c r="L73" i="52" s="1"/>
  <c r="K516" i="1"/>
  <c r="C73" i="52" s="1"/>
  <c r="A516" i="1"/>
  <c r="D517" i="1" s="1"/>
  <c r="S515" i="1"/>
  <c r="P515" i="1"/>
  <c r="O515" i="1"/>
  <c r="N515" i="1"/>
  <c r="M515" i="1"/>
  <c r="L515" i="1"/>
  <c r="K515" i="1"/>
  <c r="U514" i="1"/>
  <c r="T514" i="1"/>
  <c r="S514" i="1"/>
  <c r="R514" i="1"/>
  <c r="Q514" i="1"/>
  <c r="P514" i="1"/>
  <c r="O514" i="1"/>
  <c r="M514" i="1"/>
  <c r="N514" i="1" s="1"/>
  <c r="D514" i="1" s="1"/>
  <c r="L514" i="1"/>
  <c r="R511" i="1"/>
  <c r="U510" i="1"/>
  <c r="U511" i="1" s="1"/>
  <c r="T510" i="1"/>
  <c r="T511" i="1" s="1"/>
  <c r="S510" i="1"/>
  <c r="R510" i="1"/>
  <c r="Q510" i="1"/>
  <c r="Q511" i="1" s="1"/>
  <c r="P510" i="1"/>
  <c r="O510" i="1"/>
  <c r="K510" i="1"/>
  <c r="D509" i="1"/>
  <c r="D508" i="1"/>
  <c r="U507" i="1"/>
  <c r="T507" i="1"/>
  <c r="S507" i="1"/>
  <c r="S511" i="1" s="1"/>
  <c r="R507" i="1"/>
  <c r="Q507" i="1"/>
  <c r="P507" i="1"/>
  <c r="O507" i="1"/>
  <c r="B507" i="1"/>
  <c r="U506" i="1"/>
  <c r="T506" i="1"/>
  <c r="S506" i="1"/>
  <c r="R506" i="1"/>
  <c r="Q506" i="1"/>
  <c r="P506" i="1"/>
  <c r="O506" i="1"/>
  <c r="U505" i="1"/>
  <c r="T505" i="1"/>
  <c r="S505" i="1"/>
  <c r="R505" i="1"/>
  <c r="Q505" i="1"/>
  <c r="P505" i="1"/>
  <c r="O505" i="1"/>
  <c r="U504" i="1"/>
  <c r="T504" i="1"/>
  <c r="S504" i="1"/>
  <c r="R504" i="1"/>
  <c r="Q504" i="1"/>
  <c r="P504" i="1"/>
  <c r="O504" i="1"/>
  <c r="N504" i="1"/>
  <c r="D503" i="1"/>
  <c r="P556" i="1" s="1"/>
  <c r="A502" i="1"/>
  <c r="U501" i="1"/>
  <c r="T501" i="1"/>
  <c r="L501" i="1"/>
  <c r="K501" i="1"/>
  <c r="A500" i="1"/>
  <c r="A499" i="1"/>
  <c r="U498" i="1"/>
  <c r="U515" i="1" s="1"/>
  <c r="T498" i="1"/>
  <c r="T515" i="1" s="1"/>
  <c r="S498" i="1"/>
  <c r="K71" i="52" s="1"/>
  <c r="R498" i="1"/>
  <c r="R515" i="1" s="1"/>
  <c r="Q498" i="1"/>
  <c r="P498" i="1"/>
  <c r="H71" i="52" s="1"/>
  <c r="O498" i="1"/>
  <c r="G71" i="52" s="1"/>
  <c r="N498" i="1"/>
  <c r="F71" i="52" s="1"/>
  <c r="M498" i="1"/>
  <c r="E71" i="52" s="1"/>
  <c r="L498" i="1"/>
  <c r="D498" i="1" s="1"/>
  <c r="K498" i="1"/>
  <c r="C71" i="52" s="1"/>
  <c r="R497" i="1"/>
  <c r="Q497" i="1"/>
  <c r="O497" i="1"/>
  <c r="K497" i="1"/>
  <c r="M496" i="1"/>
  <c r="N496" i="1" s="1"/>
  <c r="K496" i="1"/>
  <c r="U495" i="1"/>
  <c r="T495" i="1"/>
  <c r="S495" i="1"/>
  <c r="R495" i="1"/>
  <c r="Q495" i="1"/>
  <c r="P495" i="1"/>
  <c r="O495" i="1"/>
  <c r="M495" i="1"/>
  <c r="L495" i="1"/>
  <c r="D495" i="1"/>
  <c r="L496" i="1" s="1"/>
  <c r="U494" i="1"/>
  <c r="T494" i="1"/>
  <c r="S494" i="1"/>
  <c r="R494" i="1"/>
  <c r="Q494" i="1"/>
  <c r="P494" i="1"/>
  <c r="O494" i="1"/>
  <c r="L494" i="1"/>
  <c r="T490" i="1"/>
  <c r="U489" i="1"/>
  <c r="T489" i="1"/>
  <c r="S489" i="1"/>
  <c r="R489" i="1"/>
  <c r="Q489" i="1"/>
  <c r="P489" i="1"/>
  <c r="O489" i="1"/>
  <c r="N489" i="1"/>
  <c r="M489" i="1"/>
  <c r="L489" i="1"/>
  <c r="K489" i="1"/>
  <c r="B488" i="1"/>
  <c r="B487" i="1"/>
  <c r="U486" i="1"/>
  <c r="T486" i="1"/>
  <c r="S486" i="1"/>
  <c r="R486" i="1"/>
  <c r="U485" i="1"/>
  <c r="T485" i="1"/>
  <c r="S485" i="1"/>
  <c r="R485" i="1"/>
  <c r="U484" i="1"/>
  <c r="U490" i="1" s="1"/>
  <c r="T484" i="1"/>
  <c r="S484" i="1"/>
  <c r="R484" i="1"/>
  <c r="R490" i="1" s="1"/>
  <c r="A482" i="1"/>
  <c r="A481" i="1"/>
  <c r="A480" i="1"/>
  <c r="D483" i="1" s="1"/>
  <c r="Q479" i="1"/>
  <c r="I65" i="52" s="1"/>
  <c r="P479" i="1"/>
  <c r="H65" i="52" s="1"/>
  <c r="O479" i="1"/>
  <c r="G65" i="52" s="1"/>
  <c r="N479" i="1"/>
  <c r="M479" i="1"/>
  <c r="E65" i="52" s="1"/>
  <c r="L479" i="1"/>
  <c r="D65" i="52" s="1"/>
  <c r="K479" i="1"/>
  <c r="C65" i="52" s="1"/>
  <c r="U478" i="1"/>
  <c r="T478" i="1"/>
  <c r="S478" i="1"/>
  <c r="R478" i="1"/>
  <c r="L478" i="1"/>
  <c r="M478" i="1" s="1"/>
  <c r="N478" i="1" s="1"/>
  <c r="O478" i="1" s="1"/>
  <c r="P478" i="1" s="1"/>
  <c r="Q478" i="1" s="1"/>
  <c r="T474" i="1"/>
  <c r="U473" i="1"/>
  <c r="T473" i="1"/>
  <c r="S473" i="1"/>
  <c r="R473" i="1"/>
  <c r="Q473" i="1"/>
  <c r="P473" i="1"/>
  <c r="O473" i="1"/>
  <c r="N473" i="1"/>
  <c r="M473" i="1"/>
  <c r="L473" i="1"/>
  <c r="K473" i="1"/>
  <c r="B472" i="1"/>
  <c r="U471" i="1"/>
  <c r="T471" i="1"/>
  <c r="S471" i="1"/>
  <c r="R471" i="1"/>
  <c r="B471" i="1"/>
  <c r="U470" i="1"/>
  <c r="T470" i="1"/>
  <c r="S470" i="1"/>
  <c r="R470" i="1"/>
  <c r="U469" i="1"/>
  <c r="T469" i="1"/>
  <c r="S469" i="1"/>
  <c r="R469" i="1"/>
  <c r="U468" i="1"/>
  <c r="U474" i="1" s="1"/>
  <c r="T468" i="1"/>
  <c r="S468" i="1"/>
  <c r="S474" i="1" s="1"/>
  <c r="R468" i="1"/>
  <c r="R474" i="1" s="1"/>
  <c r="L466" i="1"/>
  <c r="A466" i="1"/>
  <c r="A465" i="1"/>
  <c r="D467" i="1" s="1"/>
  <c r="U464" i="1"/>
  <c r="M64" i="52" s="1"/>
  <c r="T464" i="1"/>
  <c r="L64" i="52" s="1"/>
  <c r="S464" i="1"/>
  <c r="K64" i="52" s="1"/>
  <c r="R464" i="1"/>
  <c r="J64" i="52" s="1"/>
  <c r="P464" i="1"/>
  <c r="H64" i="52" s="1"/>
  <c r="O464" i="1"/>
  <c r="G64" i="52" s="1"/>
  <c r="N464" i="1"/>
  <c r="F64" i="52" s="1"/>
  <c r="M464" i="1"/>
  <c r="L464" i="1"/>
  <c r="D64" i="52" s="1"/>
  <c r="K464" i="1"/>
  <c r="C64" i="52" s="1"/>
  <c r="L463" i="1"/>
  <c r="K463" i="1"/>
  <c r="U462" i="1"/>
  <c r="T462" i="1"/>
  <c r="S462" i="1"/>
  <c r="R462" i="1"/>
  <c r="L462" i="1"/>
  <c r="M462" i="1" s="1"/>
  <c r="U459" i="1"/>
  <c r="R459" i="1"/>
  <c r="U458" i="1"/>
  <c r="T458" i="1"/>
  <c r="S458" i="1"/>
  <c r="R458" i="1"/>
  <c r="Q458" i="1"/>
  <c r="P458" i="1"/>
  <c r="O458" i="1"/>
  <c r="N458" i="1"/>
  <c r="M458" i="1"/>
  <c r="L458" i="1"/>
  <c r="K458" i="1"/>
  <c r="B457" i="1"/>
  <c r="U456" i="1"/>
  <c r="T456" i="1"/>
  <c r="S456" i="1"/>
  <c r="R456" i="1"/>
  <c r="K456" i="1"/>
  <c r="B456" i="1"/>
  <c r="U455" i="1"/>
  <c r="T455" i="1"/>
  <c r="S455" i="1"/>
  <c r="R455" i="1"/>
  <c r="K455" i="1"/>
  <c r="U454" i="1"/>
  <c r="T454" i="1"/>
  <c r="S454" i="1"/>
  <c r="R454" i="1"/>
  <c r="K454" i="1"/>
  <c r="U453" i="1"/>
  <c r="T453" i="1"/>
  <c r="S453" i="1"/>
  <c r="S459" i="1" s="1"/>
  <c r="R453" i="1"/>
  <c r="L453" i="1"/>
  <c r="L459" i="1" s="1"/>
  <c r="K453" i="1"/>
  <c r="A451" i="1"/>
  <c r="A450" i="1"/>
  <c r="A449" i="1"/>
  <c r="D452" i="1" s="1"/>
  <c r="U448" i="1"/>
  <c r="T448" i="1"/>
  <c r="S448" i="1"/>
  <c r="R448" i="1"/>
  <c r="Q448" i="1"/>
  <c r="P448" i="1"/>
  <c r="O448" i="1"/>
  <c r="N448" i="1"/>
  <c r="M448" i="1"/>
  <c r="L448" i="1"/>
  <c r="E448" i="1"/>
  <c r="D448" i="1"/>
  <c r="U447" i="1"/>
  <c r="T447" i="1"/>
  <c r="S447" i="1"/>
  <c r="R447" i="1"/>
  <c r="L447" i="1"/>
  <c r="U443" i="1"/>
  <c r="T443" i="1"/>
  <c r="S443" i="1"/>
  <c r="R443" i="1"/>
  <c r="Q443" i="1"/>
  <c r="P443" i="1"/>
  <c r="O443" i="1"/>
  <c r="N443" i="1"/>
  <c r="M443" i="1"/>
  <c r="L443" i="1"/>
  <c r="K443" i="1"/>
  <c r="B442" i="1"/>
  <c r="B441" i="1"/>
  <c r="K440" i="1"/>
  <c r="D437" i="1"/>
  <c r="A436" i="1"/>
  <c r="T435" i="1"/>
  <c r="U435" i="1" s="1"/>
  <c r="L435" i="1"/>
  <c r="M435" i="1" s="1"/>
  <c r="N435" i="1" s="1"/>
  <c r="O435" i="1" s="1"/>
  <c r="P435" i="1" s="1"/>
  <c r="Q435" i="1" s="1"/>
  <c r="R435" i="1" s="1"/>
  <c r="S435" i="1" s="1"/>
  <c r="U432" i="1"/>
  <c r="T432" i="1"/>
  <c r="S432" i="1"/>
  <c r="R432" i="1"/>
  <c r="Q432" i="1"/>
  <c r="P432" i="1"/>
  <c r="O432" i="1"/>
  <c r="N432" i="1"/>
  <c r="M432" i="1"/>
  <c r="L432" i="1"/>
  <c r="K432" i="1"/>
  <c r="B431" i="1"/>
  <c r="B430" i="1"/>
  <c r="D426" i="1"/>
  <c r="A425" i="1"/>
  <c r="M424" i="1"/>
  <c r="N424" i="1" s="1"/>
  <c r="O424" i="1" s="1"/>
  <c r="P424" i="1" s="1"/>
  <c r="Q424" i="1" s="1"/>
  <c r="R424" i="1" s="1"/>
  <c r="S424" i="1" s="1"/>
  <c r="T424" i="1" s="1"/>
  <c r="U424" i="1" s="1"/>
  <c r="L424" i="1"/>
  <c r="U421" i="1"/>
  <c r="T421" i="1"/>
  <c r="S421" i="1"/>
  <c r="R421" i="1"/>
  <c r="Q421" i="1"/>
  <c r="P421" i="1"/>
  <c r="O421" i="1"/>
  <c r="N421" i="1"/>
  <c r="M421" i="1"/>
  <c r="L421" i="1"/>
  <c r="K421" i="1"/>
  <c r="B420" i="1"/>
  <c r="B419" i="1"/>
  <c r="D415" i="1"/>
  <c r="A414" i="1"/>
  <c r="M413" i="1"/>
  <c r="N413" i="1" s="1"/>
  <c r="O413" i="1" s="1"/>
  <c r="P413" i="1" s="1"/>
  <c r="Q413" i="1" s="1"/>
  <c r="R413" i="1" s="1"/>
  <c r="S413" i="1" s="1"/>
  <c r="T413" i="1" s="1"/>
  <c r="U413" i="1" s="1"/>
  <c r="L413" i="1"/>
  <c r="U410" i="1"/>
  <c r="U411" i="1" s="1"/>
  <c r="T410" i="1"/>
  <c r="S410" i="1"/>
  <c r="S411" i="1" s="1"/>
  <c r="R410" i="1"/>
  <c r="Q410" i="1"/>
  <c r="P410" i="1"/>
  <c r="O410" i="1"/>
  <c r="N410" i="1"/>
  <c r="M410" i="1"/>
  <c r="L410" i="1"/>
  <c r="K410" i="1"/>
  <c r="B409" i="1"/>
  <c r="U408" i="1"/>
  <c r="T408" i="1"/>
  <c r="T411" i="1" s="1"/>
  <c r="S408" i="1"/>
  <c r="R408" i="1"/>
  <c r="R411" i="1" s="1"/>
  <c r="Q408" i="1"/>
  <c r="Q411" i="1" s="1"/>
  <c r="B408" i="1"/>
  <c r="U407" i="1"/>
  <c r="T407" i="1"/>
  <c r="S407" i="1"/>
  <c r="R407" i="1"/>
  <c r="Q407" i="1"/>
  <c r="U406" i="1"/>
  <c r="T406" i="1"/>
  <c r="S406" i="1"/>
  <c r="R406" i="1"/>
  <c r="Q406" i="1"/>
  <c r="U405" i="1"/>
  <c r="T405" i="1"/>
  <c r="S405" i="1"/>
  <c r="R405" i="1"/>
  <c r="Q405" i="1"/>
  <c r="A403" i="1"/>
  <c r="O402" i="1"/>
  <c r="O400" i="1" s="1"/>
  <c r="A402" i="1"/>
  <c r="P401" i="1"/>
  <c r="O401" i="1"/>
  <c r="G56" i="52" s="1"/>
  <c r="N401" i="1"/>
  <c r="M401" i="1"/>
  <c r="A401" i="1"/>
  <c r="D404" i="1" s="1"/>
  <c r="L400" i="1"/>
  <c r="K400" i="1"/>
  <c r="D398" i="1"/>
  <c r="U397" i="1"/>
  <c r="T397" i="1"/>
  <c r="S397" i="1"/>
  <c r="R397" i="1"/>
  <c r="M397" i="1"/>
  <c r="N397" i="1" s="1"/>
  <c r="O397" i="1" s="1"/>
  <c r="P397" i="1" s="1"/>
  <c r="L397" i="1"/>
  <c r="T394" i="1"/>
  <c r="U393" i="1"/>
  <c r="U394" i="1" s="1"/>
  <c r="T393" i="1"/>
  <c r="S393" i="1"/>
  <c r="S394" i="1" s="1"/>
  <c r="R393" i="1"/>
  <c r="Q393" i="1"/>
  <c r="P393" i="1"/>
  <c r="P394" i="1" s="1"/>
  <c r="O393" i="1"/>
  <c r="N393" i="1"/>
  <c r="M393" i="1"/>
  <c r="L393" i="1"/>
  <c r="K393" i="1"/>
  <c r="B392" i="1"/>
  <c r="U391" i="1"/>
  <c r="T391" i="1"/>
  <c r="S391" i="1"/>
  <c r="R391" i="1"/>
  <c r="R394" i="1" s="1"/>
  <c r="Q391" i="1"/>
  <c r="Q394" i="1" s="1"/>
  <c r="P391" i="1"/>
  <c r="B391" i="1"/>
  <c r="U390" i="1"/>
  <c r="T390" i="1"/>
  <c r="S390" i="1"/>
  <c r="R390" i="1"/>
  <c r="Q390" i="1"/>
  <c r="P390" i="1"/>
  <c r="U389" i="1"/>
  <c r="T389" i="1"/>
  <c r="S389" i="1"/>
  <c r="R389" i="1"/>
  <c r="Q389" i="1"/>
  <c r="P389" i="1"/>
  <c r="U388" i="1"/>
  <c r="T388" i="1"/>
  <c r="S388" i="1"/>
  <c r="R388" i="1"/>
  <c r="Q388" i="1"/>
  <c r="P388" i="1"/>
  <c r="A386" i="1"/>
  <c r="A385" i="1"/>
  <c r="A384" i="1"/>
  <c r="D387" i="1" s="1"/>
  <c r="U383" i="1"/>
  <c r="T383" i="1"/>
  <c r="S383" i="1"/>
  <c r="R383" i="1"/>
  <c r="Q383" i="1"/>
  <c r="P383" i="1"/>
  <c r="O383" i="1"/>
  <c r="O380" i="1" s="1"/>
  <c r="N383" i="1"/>
  <c r="M383" i="1"/>
  <c r="L383" i="1"/>
  <c r="K383" i="1"/>
  <c r="K398" i="1" s="1"/>
  <c r="T382" i="1"/>
  <c r="S382" i="1"/>
  <c r="R382" i="1"/>
  <c r="K382" i="1"/>
  <c r="D383" i="1" s="1"/>
  <c r="D382" i="1"/>
  <c r="U381" i="1"/>
  <c r="T381" i="1"/>
  <c r="S381" i="1"/>
  <c r="R381" i="1"/>
  <c r="Q381" i="1"/>
  <c r="P381" i="1"/>
  <c r="L381" i="1"/>
  <c r="M381" i="1" s="1"/>
  <c r="N381" i="1" s="1"/>
  <c r="O381" i="1" s="1"/>
  <c r="U380" i="1"/>
  <c r="U382" i="1" s="1"/>
  <c r="T380" i="1"/>
  <c r="S380" i="1"/>
  <c r="Q380" i="1"/>
  <c r="Q382" i="1" s="1"/>
  <c r="P380" i="1"/>
  <c r="P382" i="1" s="1"/>
  <c r="N380" i="1"/>
  <c r="M380" i="1"/>
  <c r="L380" i="1"/>
  <c r="L382" i="1" s="1"/>
  <c r="K380" i="1"/>
  <c r="U379" i="1"/>
  <c r="T379" i="1"/>
  <c r="S379" i="1"/>
  <c r="R379" i="1"/>
  <c r="Q379" i="1"/>
  <c r="P379" i="1"/>
  <c r="L379" i="1"/>
  <c r="M379" i="1" s="1"/>
  <c r="N379" i="1" s="1"/>
  <c r="O379" i="1" s="1"/>
  <c r="U375" i="1"/>
  <c r="T375" i="1"/>
  <c r="S375" i="1"/>
  <c r="S376" i="1" s="1"/>
  <c r="R375" i="1"/>
  <c r="R376" i="1" s="1"/>
  <c r="Q375" i="1"/>
  <c r="Q376" i="1" s="1"/>
  <c r="P375" i="1"/>
  <c r="O375" i="1"/>
  <c r="N375" i="1"/>
  <c r="M375" i="1"/>
  <c r="L375" i="1"/>
  <c r="K375" i="1"/>
  <c r="B374" i="1"/>
  <c r="U373" i="1"/>
  <c r="U376" i="1" s="1"/>
  <c r="T373" i="1"/>
  <c r="T376" i="1" s="1"/>
  <c r="S373" i="1"/>
  <c r="R373" i="1"/>
  <c r="Q373" i="1"/>
  <c r="B373" i="1"/>
  <c r="U372" i="1"/>
  <c r="T372" i="1"/>
  <c r="S372" i="1"/>
  <c r="R372" i="1"/>
  <c r="Q372" i="1"/>
  <c r="U371" i="1"/>
  <c r="T371" i="1"/>
  <c r="S371" i="1"/>
  <c r="R371" i="1"/>
  <c r="Q371" i="1"/>
  <c r="U370" i="1"/>
  <c r="T370" i="1"/>
  <c r="S370" i="1"/>
  <c r="R370" i="1"/>
  <c r="Q370" i="1"/>
  <c r="D369" i="1"/>
  <c r="A368" i="1"/>
  <c r="A367" i="1"/>
  <c r="A366" i="1"/>
  <c r="U365" i="1"/>
  <c r="T365" i="1"/>
  <c r="S365" i="1"/>
  <c r="R365" i="1"/>
  <c r="P365" i="1"/>
  <c r="O365" i="1"/>
  <c r="N365" i="1"/>
  <c r="M365" i="1"/>
  <c r="L365" i="1"/>
  <c r="K365" i="1"/>
  <c r="T364" i="1"/>
  <c r="R364" i="1"/>
  <c r="K364" i="1"/>
  <c r="D365" i="1" s="1"/>
  <c r="S363" i="1"/>
  <c r="T363" i="1" s="1"/>
  <c r="L363" i="1"/>
  <c r="K363" i="1"/>
  <c r="L436" i="1" s="1"/>
  <c r="D60" i="52" s="1"/>
  <c r="U362" i="1"/>
  <c r="T362" i="1"/>
  <c r="S362" i="1"/>
  <c r="S364" i="1" s="1"/>
  <c r="R362" i="1"/>
  <c r="D362" i="1"/>
  <c r="R436" i="1" s="1"/>
  <c r="J60" i="52" s="1"/>
  <c r="U361" i="1"/>
  <c r="T361" i="1"/>
  <c r="S361" i="1"/>
  <c r="R361" i="1"/>
  <c r="L361" i="1"/>
  <c r="M361" i="1" s="1"/>
  <c r="N361" i="1" s="1"/>
  <c r="O361" i="1" s="1"/>
  <c r="P361" i="1" s="1"/>
  <c r="D361" i="1"/>
  <c r="U356" i="1"/>
  <c r="T356" i="1"/>
  <c r="S356" i="1"/>
  <c r="R356" i="1"/>
  <c r="Q356" i="1"/>
  <c r="P356" i="1"/>
  <c r="O356" i="1"/>
  <c r="N356" i="1"/>
  <c r="K356" i="1"/>
  <c r="P355" i="1"/>
  <c r="O355" i="1"/>
  <c r="N355" i="1"/>
  <c r="M355" i="1"/>
  <c r="M356" i="1" s="1"/>
  <c r="L355" i="1"/>
  <c r="L356" i="1" s="1"/>
  <c r="K355" i="1"/>
  <c r="B354" i="1"/>
  <c r="B353" i="1"/>
  <c r="T352" i="1"/>
  <c r="S352" i="1"/>
  <c r="R352" i="1"/>
  <c r="K352" i="1"/>
  <c r="K351" i="1"/>
  <c r="K350" i="1"/>
  <c r="K353" i="1" s="1"/>
  <c r="A348" i="1"/>
  <c r="D349" i="1" s="1"/>
  <c r="M350" i="1" s="1"/>
  <c r="A347" i="1"/>
  <c r="A346" i="1"/>
  <c r="A345" i="1"/>
  <c r="E344" i="1"/>
  <c r="D344" i="1"/>
  <c r="T343" i="1"/>
  <c r="S343" i="1"/>
  <c r="R343" i="1"/>
  <c r="L343" i="1"/>
  <c r="M343" i="1" s="1"/>
  <c r="T340" i="1"/>
  <c r="S340" i="1"/>
  <c r="R340" i="1"/>
  <c r="L340" i="1"/>
  <c r="K340" i="1"/>
  <c r="U339" i="1"/>
  <c r="U340" i="1" s="1"/>
  <c r="T339" i="1"/>
  <c r="S339" i="1"/>
  <c r="R339" i="1"/>
  <c r="Q339" i="1"/>
  <c r="Q340" i="1" s="1"/>
  <c r="P339" i="1"/>
  <c r="P340" i="1" s="1"/>
  <c r="O339" i="1"/>
  <c r="O340" i="1" s="1"/>
  <c r="N339" i="1"/>
  <c r="N340" i="1" s="1"/>
  <c r="M339" i="1"/>
  <c r="M340" i="1" s="1"/>
  <c r="L339" i="1"/>
  <c r="K339" i="1"/>
  <c r="B338" i="1"/>
  <c r="B337" i="1"/>
  <c r="K336" i="1"/>
  <c r="D333" i="1"/>
  <c r="A332" i="1"/>
  <c r="L331" i="1"/>
  <c r="M331" i="1" s="1"/>
  <c r="N331" i="1" s="1"/>
  <c r="O331" i="1" s="1"/>
  <c r="P331" i="1" s="1"/>
  <c r="Q331" i="1" s="1"/>
  <c r="R331" i="1" s="1"/>
  <c r="S331" i="1" s="1"/>
  <c r="T331" i="1" s="1"/>
  <c r="U331" i="1" s="1"/>
  <c r="Q329" i="1"/>
  <c r="P329" i="1"/>
  <c r="O329" i="1"/>
  <c r="N329" i="1"/>
  <c r="U328" i="1"/>
  <c r="U329" i="1" s="1"/>
  <c r="T328" i="1"/>
  <c r="T329" i="1" s="1"/>
  <c r="S328" i="1"/>
  <c r="S329" i="1" s="1"/>
  <c r="R328" i="1"/>
  <c r="R329" i="1" s="1"/>
  <c r="Q328" i="1"/>
  <c r="P328" i="1"/>
  <c r="O328" i="1"/>
  <c r="N328" i="1"/>
  <c r="M328" i="1"/>
  <c r="M329" i="1" s="1"/>
  <c r="L328" i="1"/>
  <c r="L329" i="1" s="1"/>
  <c r="K328" i="1"/>
  <c r="K329" i="1" s="1"/>
  <c r="B327" i="1"/>
  <c r="B326" i="1"/>
  <c r="D322" i="1"/>
  <c r="R321" i="1"/>
  <c r="J42" i="52" s="1"/>
  <c r="O321" i="1"/>
  <c r="G42" i="52" s="1"/>
  <c r="N321" i="1"/>
  <c r="F42" i="52" s="1"/>
  <c r="A321" i="1"/>
  <c r="M320" i="1"/>
  <c r="N320" i="1" s="1"/>
  <c r="O320" i="1" s="1"/>
  <c r="P320" i="1" s="1"/>
  <c r="Q320" i="1" s="1"/>
  <c r="R320" i="1" s="1"/>
  <c r="S320" i="1" s="1"/>
  <c r="T320" i="1" s="1"/>
  <c r="U320" i="1" s="1"/>
  <c r="L320" i="1"/>
  <c r="U318" i="1"/>
  <c r="T318" i="1"/>
  <c r="N318" i="1"/>
  <c r="M318" i="1"/>
  <c r="L318" i="1"/>
  <c r="K318" i="1"/>
  <c r="U317" i="1"/>
  <c r="T317" i="1"/>
  <c r="S317" i="1"/>
  <c r="S318" i="1" s="1"/>
  <c r="R317" i="1"/>
  <c r="R318" i="1" s="1"/>
  <c r="Q317" i="1"/>
  <c r="Q318" i="1" s="1"/>
  <c r="P317" i="1"/>
  <c r="P318" i="1" s="1"/>
  <c r="O317" i="1"/>
  <c r="O318" i="1" s="1"/>
  <c r="N317" i="1"/>
  <c r="M317" i="1"/>
  <c r="L317" i="1"/>
  <c r="K317" i="1"/>
  <c r="B316" i="1"/>
  <c r="B315" i="1"/>
  <c r="O312" i="1"/>
  <c r="S310" i="1"/>
  <c r="K41" i="52" s="1"/>
  <c r="O310" i="1"/>
  <c r="G41" i="52" s="1"/>
  <c r="A310" i="1"/>
  <c r="D311" i="1" s="1"/>
  <c r="O309" i="1"/>
  <c r="P309" i="1" s="1"/>
  <c r="Q309" i="1" s="1"/>
  <c r="R309" i="1" s="1"/>
  <c r="S309" i="1" s="1"/>
  <c r="T309" i="1" s="1"/>
  <c r="U309" i="1" s="1"/>
  <c r="N309" i="1"/>
  <c r="L309" i="1"/>
  <c r="M309" i="1" s="1"/>
  <c r="S307" i="1"/>
  <c r="R307" i="1"/>
  <c r="Q307" i="1"/>
  <c r="U306" i="1"/>
  <c r="T306" i="1"/>
  <c r="S306" i="1"/>
  <c r="R306" i="1"/>
  <c r="Q306" i="1"/>
  <c r="P306" i="1"/>
  <c r="O306" i="1"/>
  <c r="N306" i="1"/>
  <c r="M306" i="1"/>
  <c r="L306" i="1"/>
  <c r="K306" i="1"/>
  <c r="B305" i="1"/>
  <c r="U304" i="1"/>
  <c r="T304" i="1"/>
  <c r="S304" i="1"/>
  <c r="R304" i="1"/>
  <c r="Q304" i="1"/>
  <c r="P304" i="1"/>
  <c r="O304" i="1"/>
  <c r="N304" i="1"/>
  <c r="M304" i="1"/>
  <c r="B304" i="1"/>
  <c r="U303" i="1"/>
  <c r="T303" i="1"/>
  <c r="S303" i="1"/>
  <c r="R303" i="1"/>
  <c r="Q303" i="1"/>
  <c r="P303" i="1"/>
  <c r="O303" i="1"/>
  <c r="N303" i="1"/>
  <c r="M303" i="1"/>
  <c r="U302" i="1"/>
  <c r="T302" i="1"/>
  <c r="S302" i="1"/>
  <c r="R302" i="1"/>
  <c r="Q302" i="1"/>
  <c r="P302" i="1"/>
  <c r="O302" i="1"/>
  <c r="N302" i="1"/>
  <c r="M302" i="1"/>
  <c r="U301" i="1"/>
  <c r="T301" i="1"/>
  <c r="T307" i="1" s="1"/>
  <c r="S301" i="1"/>
  <c r="R301" i="1"/>
  <c r="Q301" i="1"/>
  <c r="P301" i="1"/>
  <c r="P307" i="1" s="1"/>
  <c r="O301" i="1"/>
  <c r="O307" i="1" s="1"/>
  <c r="N301" i="1"/>
  <c r="N307" i="1" s="1"/>
  <c r="M301" i="1"/>
  <c r="A299" i="1"/>
  <c r="D300" i="1" s="1"/>
  <c r="L298" i="1"/>
  <c r="D39" i="52" s="1"/>
  <c r="A298" i="1"/>
  <c r="A297" i="1"/>
  <c r="U296" i="1"/>
  <c r="T296" i="1"/>
  <c r="S296" i="1"/>
  <c r="R296" i="1"/>
  <c r="Q296" i="1"/>
  <c r="P296" i="1"/>
  <c r="O296" i="1"/>
  <c r="N296" i="1"/>
  <c r="M296" i="1"/>
  <c r="D296" i="1" s="1"/>
  <c r="L296" i="1"/>
  <c r="U295" i="1"/>
  <c r="T295" i="1"/>
  <c r="S295" i="1"/>
  <c r="R295" i="1"/>
  <c r="Q295" i="1"/>
  <c r="P295" i="1"/>
  <c r="O295" i="1"/>
  <c r="N295" i="1"/>
  <c r="M295" i="1"/>
  <c r="U292" i="1"/>
  <c r="T292" i="1"/>
  <c r="S292" i="1"/>
  <c r="R292" i="1"/>
  <c r="Q292" i="1"/>
  <c r="P292" i="1"/>
  <c r="O292" i="1"/>
  <c r="N292" i="1"/>
  <c r="M292" i="1"/>
  <c r="L292" i="1"/>
  <c r="K292" i="1"/>
  <c r="D291" i="1"/>
  <c r="B291" i="1"/>
  <c r="U290" i="1"/>
  <c r="T290" i="1"/>
  <c r="S290" i="1"/>
  <c r="R290" i="1"/>
  <c r="Q290" i="1"/>
  <c r="P290" i="1"/>
  <c r="O290" i="1"/>
  <c r="N290" i="1"/>
  <c r="B290" i="1"/>
  <c r="U289" i="1"/>
  <c r="T289" i="1"/>
  <c r="S289" i="1"/>
  <c r="R289" i="1"/>
  <c r="Q289" i="1"/>
  <c r="P289" i="1"/>
  <c r="O289" i="1"/>
  <c r="N289" i="1"/>
  <c r="U288" i="1"/>
  <c r="T288" i="1"/>
  <c r="S288" i="1"/>
  <c r="R288" i="1"/>
  <c r="Q288" i="1"/>
  <c r="P288" i="1"/>
  <c r="O288" i="1"/>
  <c r="N288" i="1"/>
  <c r="U287" i="1"/>
  <c r="T287" i="1"/>
  <c r="S287" i="1"/>
  <c r="R287" i="1"/>
  <c r="Q287" i="1"/>
  <c r="P287" i="1"/>
  <c r="O287" i="1"/>
  <c r="N287" i="1"/>
  <c r="A285" i="1"/>
  <c r="A284" i="1"/>
  <c r="A283" i="1"/>
  <c r="U282" i="1"/>
  <c r="T282" i="1"/>
  <c r="S282" i="1"/>
  <c r="R282" i="1"/>
  <c r="Q282" i="1"/>
  <c r="P282" i="1"/>
  <c r="O282" i="1"/>
  <c r="N282" i="1"/>
  <c r="M282" i="1"/>
  <c r="L282" i="1"/>
  <c r="K282" i="1"/>
  <c r="K298" i="1" s="1"/>
  <c r="U281" i="1"/>
  <c r="T281" i="1"/>
  <c r="S281" i="1"/>
  <c r="D281" i="1" s="1"/>
  <c r="R281" i="1"/>
  <c r="Q281" i="1"/>
  <c r="P281" i="1"/>
  <c r="O281" i="1"/>
  <c r="N281" i="1"/>
  <c r="M281" i="1"/>
  <c r="Q280" i="1"/>
  <c r="N280" i="1"/>
  <c r="D280" i="1"/>
  <c r="U279" i="1"/>
  <c r="T279" i="1"/>
  <c r="T321" i="1" s="1"/>
  <c r="L42" i="52" s="1"/>
  <c r="S279" i="1"/>
  <c r="S321" i="1" s="1"/>
  <c r="K42" i="52" s="1"/>
  <c r="R279" i="1"/>
  <c r="Q279" i="1"/>
  <c r="P279" i="1"/>
  <c r="O279" i="1"/>
  <c r="N279" i="1"/>
  <c r="N310" i="1" s="1"/>
  <c r="F41" i="52" s="1"/>
  <c r="M279" i="1"/>
  <c r="M278" i="1" s="1"/>
  <c r="M280" i="1" s="1"/>
  <c r="L279" i="1"/>
  <c r="L321" i="1" s="1"/>
  <c r="D42" i="52" s="1"/>
  <c r="K279" i="1"/>
  <c r="L332" i="1" s="1"/>
  <c r="D43" i="52" s="1"/>
  <c r="U278" i="1"/>
  <c r="T278" i="1"/>
  <c r="S278" i="1"/>
  <c r="S280" i="1" s="1"/>
  <c r="R278" i="1"/>
  <c r="R280" i="1" s="1"/>
  <c r="Q278" i="1"/>
  <c r="P278" i="1"/>
  <c r="P280" i="1" s="1"/>
  <c r="O278" i="1"/>
  <c r="O280" i="1" s="1"/>
  <c r="N278" i="1"/>
  <c r="K278" i="1"/>
  <c r="K280" i="1" s="1"/>
  <c r="D282" i="1" s="1"/>
  <c r="B271" i="1"/>
  <c r="U270" i="1"/>
  <c r="K270" i="1"/>
  <c r="U269" i="1"/>
  <c r="K269" i="1"/>
  <c r="U268" i="1"/>
  <c r="K268" i="1"/>
  <c r="K271" i="1" s="1"/>
  <c r="A266" i="1"/>
  <c r="A265" i="1"/>
  <c r="U264" i="1"/>
  <c r="M29" i="52" s="1"/>
  <c r="A264" i="1"/>
  <c r="D267" i="1" s="1"/>
  <c r="U263" i="1"/>
  <c r="A263" i="1"/>
  <c r="L262" i="1"/>
  <c r="D262" i="1"/>
  <c r="L261" i="1"/>
  <c r="M261" i="1" s="1"/>
  <c r="M262" i="1" s="1"/>
  <c r="B255" i="1"/>
  <c r="D251" i="1"/>
  <c r="N250" i="1"/>
  <c r="F27" i="52" s="1"/>
  <c r="A250" i="1"/>
  <c r="L249" i="1"/>
  <c r="B243" i="1"/>
  <c r="S238" i="1"/>
  <c r="K26" i="52" s="1"/>
  <c r="Q238" i="1"/>
  <c r="I26" i="52" s="1"/>
  <c r="A238" i="1"/>
  <c r="D239" i="1" s="1"/>
  <c r="L237" i="1"/>
  <c r="M237" i="1" s="1"/>
  <c r="N237" i="1" s="1"/>
  <c r="O237" i="1" s="1"/>
  <c r="P237" i="1" s="1"/>
  <c r="Q237" i="1" s="1"/>
  <c r="R237" i="1" s="1"/>
  <c r="S237" i="1" s="1"/>
  <c r="T237" i="1" s="1"/>
  <c r="U237" i="1" s="1"/>
  <c r="B231" i="1"/>
  <c r="D227" i="1"/>
  <c r="P226" i="1"/>
  <c r="H25" i="52" s="1"/>
  <c r="N226" i="1"/>
  <c r="F25" i="52" s="1"/>
  <c r="A226" i="1"/>
  <c r="L225" i="1"/>
  <c r="M225" i="1" s="1"/>
  <c r="U219" i="1"/>
  <c r="T219" i="1"/>
  <c r="S219" i="1"/>
  <c r="R219" i="1"/>
  <c r="Q219" i="1"/>
  <c r="P219" i="1"/>
  <c r="O219" i="1"/>
  <c r="N219" i="1"/>
  <c r="B219" i="1"/>
  <c r="U218" i="1"/>
  <c r="T218" i="1"/>
  <c r="S218" i="1"/>
  <c r="R218" i="1"/>
  <c r="Q218" i="1"/>
  <c r="P218" i="1"/>
  <c r="O218" i="1"/>
  <c r="N218" i="1"/>
  <c r="U217" i="1"/>
  <c r="T217" i="1"/>
  <c r="S217" i="1"/>
  <c r="R217" i="1"/>
  <c r="Q217" i="1"/>
  <c r="P217" i="1"/>
  <c r="O217" i="1"/>
  <c r="N217" i="1"/>
  <c r="U216" i="1"/>
  <c r="T216" i="1"/>
  <c r="S216" i="1"/>
  <c r="R216" i="1"/>
  <c r="Q216" i="1"/>
  <c r="P216" i="1"/>
  <c r="O216" i="1"/>
  <c r="N216" i="1"/>
  <c r="A214" i="1"/>
  <c r="A213" i="1"/>
  <c r="K212" i="1"/>
  <c r="A212" i="1"/>
  <c r="D215" i="1" s="1"/>
  <c r="U211" i="1"/>
  <c r="T211" i="1"/>
  <c r="S211" i="1"/>
  <c r="R211" i="1"/>
  <c r="Q211" i="1"/>
  <c r="P211" i="1"/>
  <c r="O211" i="1"/>
  <c r="N211" i="1"/>
  <c r="L211" i="1"/>
  <c r="M211" i="1" s="1"/>
  <c r="U210" i="1"/>
  <c r="T210" i="1"/>
  <c r="S210" i="1"/>
  <c r="R210" i="1"/>
  <c r="Q210" i="1"/>
  <c r="P210" i="1"/>
  <c r="O210" i="1"/>
  <c r="N210" i="1"/>
  <c r="U205" i="1"/>
  <c r="T205" i="1"/>
  <c r="S205" i="1"/>
  <c r="R205" i="1"/>
  <c r="Q205" i="1"/>
  <c r="P205" i="1"/>
  <c r="O205" i="1"/>
  <c r="N205" i="1"/>
  <c r="M205" i="1"/>
  <c r="B205" i="1"/>
  <c r="U204" i="1"/>
  <c r="T204" i="1"/>
  <c r="S204" i="1"/>
  <c r="R204" i="1"/>
  <c r="Q204" i="1"/>
  <c r="P204" i="1"/>
  <c r="O204" i="1"/>
  <c r="N204" i="1"/>
  <c r="M204" i="1"/>
  <c r="U203" i="1"/>
  <c r="T203" i="1"/>
  <c r="S203" i="1"/>
  <c r="R203" i="1"/>
  <c r="Q203" i="1"/>
  <c r="P203" i="1"/>
  <c r="O203" i="1"/>
  <c r="N203" i="1"/>
  <c r="M203" i="1"/>
  <c r="U202" i="1"/>
  <c r="T202" i="1"/>
  <c r="S202" i="1"/>
  <c r="R202" i="1"/>
  <c r="Q202" i="1"/>
  <c r="P202" i="1"/>
  <c r="O202" i="1"/>
  <c r="N202" i="1"/>
  <c r="M202" i="1"/>
  <c r="A200" i="1"/>
  <c r="A199" i="1"/>
  <c r="A198" i="1"/>
  <c r="D201" i="1" s="1"/>
  <c r="U197" i="1"/>
  <c r="T197" i="1"/>
  <c r="S197" i="1"/>
  <c r="R197" i="1"/>
  <c r="Q197" i="1"/>
  <c r="P197" i="1"/>
  <c r="O197" i="1"/>
  <c r="N197" i="1"/>
  <c r="M197" i="1"/>
  <c r="M212" i="1" s="1"/>
  <c r="L197" i="1"/>
  <c r="L194" i="1" s="1"/>
  <c r="K197" i="1"/>
  <c r="K213" i="1" s="1"/>
  <c r="U196" i="1"/>
  <c r="T196" i="1"/>
  <c r="S196" i="1"/>
  <c r="R196" i="1"/>
  <c r="Q196" i="1"/>
  <c r="P196" i="1"/>
  <c r="D196" i="1" s="1"/>
  <c r="O196" i="1"/>
  <c r="N196" i="1"/>
  <c r="M196" i="1"/>
  <c r="L196" i="1"/>
  <c r="U195" i="1"/>
  <c r="S195" i="1"/>
  <c r="N195" i="1"/>
  <c r="M195" i="1"/>
  <c r="K195" i="1"/>
  <c r="D197" i="1" s="1"/>
  <c r="D195" i="1"/>
  <c r="U194" i="1"/>
  <c r="U238" i="1" s="1"/>
  <c r="M26" i="52" s="1"/>
  <c r="T194" i="1"/>
  <c r="T238" i="1" s="1"/>
  <c r="L26" i="52" s="1"/>
  <c r="S194" i="1"/>
  <c r="S226" i="1" s="1"/>
  <c r="K25" i="52" s="1"/>
  <c r="R194" i="1"/>
  <c r="S250" i="1" s="1"/>
  <c r="K27" i="52" s="1"/>
  <c r="Q194" i="1"/>
  <c r="R250" i="1" s="1"/>
  <c r="J27" i="52" s="1"/>
  <c r="P194" i="1"/>
  <c r="P195" i="1" s="1"/>
  <c r="O194" i="1"/>
  <c r="P250" i="1" s="1"/>
  <c r="H27" i="52" s="1"/>
  <c r="N194" i="1"/>
  <c r="O250" i="1" s="1"/>
  <c r="G27" i="52" s="1"/>
  <c r="M194" i="1"/>
  <c r="M238" i="1" s="1"/>
  <c r="E26" i="52" s="1"/>
  <c r="K194" i="1"/>
  <c r="L250" i="1" s="1"/>
  <c r="D27" i="52" s="1"/>
  <c r="U193" i="1"/>
  <c r="T193" i="1"/>
  <c r="T195" i="1" s="1"/>
  <c r="S193" i="1"/>
  <c r="R193" i="1"/>
  <c r="R195" i="1" s="1"/>
  <c r="Q193" i="1"/>
  <c r="P193" i="1"/>
  <c r="O193" i="1"/>
  <c r="O195" i="1" s="1"/>
  <c r="N193" i="1"/>
  <c r="M193" i="1"/>
  <c r="K193" i="1"/>
  <c r="P186" i="1"/>
  <c r="K186" i="1"/>
  <c r="B186" i="1"/>
  <c r="P185" i="1"/>
  <c r="K185" i="1"/>
  <c r="P184" i="1"/>
  <c r="K184" i="1"/>
  <c r="P183" i="1"/>
  <c r="K183" i="1"/>
  <c r="A181" i="1"/>
  <c r="A180" i="1"/>
  <c r="A179" i="1"/>
  <c r="D182" i="1" s="1"/>
  <c r="A178" i="1"/>
  <c r="D177" i="1"/>
  <c r="L177" i="1" s="1"/>
  <c r="P176" i="1"/>
  <c r="M176" i="1"/>
  <c r="N176" i="1" s="1"/>
  <c r="L176" i="1"/>
  <c r="B170" i="1"/>
  <c r="Q165" i="1"/>
  <c r="I14" i="52" s="1"/>
  <c r="O165" i="1"/>
  <c r="G14" i="52" s="1"/>
  <c r="A165" i="1"/>
  <c r="D166" i="1" s="1"/>
  <c r="L164" i="1"/>
  <c r="M164" i="1" s="1"/>
  <c r="N164" i="1" s="1"/>
  <c r="O164" i="1" s="1"/>
  <c r="P164" i="1" s="1"/>
  <c r="Q164" i="1" s="1"/>
  <c r="R164" i="1" s="1"/>
  <c r="S164" i="1" s="1"/>
  <c r="T164" i="1" s="1"/>
  <c r="U164" i="1" s="1"/>
  <c r="B158" i="1"/>
  <c r="D154" i="1"/>
  <c r="U153" i="1"/>
  <c r="M13" i="52" s="1"/>
  <c r="T153" i="1"/>
  <c r="L13" i="52" s="1"/>
  <c r="N153" i="1"/>
  <c r="F13" i="52" s="1"/>
  <c r="A153" i="1"/>
  <c r="L152" i="1"/>
  <c r="M152" i="1" s="1"/>
  <c r="B146" i="1"/>
  <c r="U141" i="1"/>
  <c r="M12" i="52" s="1"/>
  <c r="S141" i="1"/>
  <c r="K12" i="52" s="1"/>
  <c r="R141" i="1"/>
  <c r="J12" i="52" s="1"/>
  <c r="Q141" i="1"/>
  <c r="I12" i="52" s="1"/>
  <c r="A141" i="1"/>
  <c r="D142" i="1" s="1"/>
  <c r="L140" i="1"/>
  <c r="M140" i="1" s="1"/>
  <c r="N140" i="1" s="1"/>
  <c r="O140" i="1" s="1"/>
  <c r="P140" i="1" s="1"/>
  <c r="Q140" i="1" s="1"/>
  <c r="R140" i="1" s="1"/>
  <c r="S140" i="1" s="1"/>
  <c r="T140" i="1" s="1"/>
  <c r="U140" i="1" s="1"/>
  <c r="U134" i="1"/>
  <c r="T134" i="1"/>
  <c r="S134" i="1"/>
  <c r="R134" i="1"/>
  <c r="Q134" i="1"/>
  <c r="P134" i="1"/>
  <c r="O134" i="1"/>
  <c r="N134" i="1"/>
  <c r="B134" i="1"/>
  <c r="U133" i="1"/>
  <c r="T133" i="1"/>
  <c r="S133" i="1"/>
  <c r="R133" i="1"/>
  <c r="Q133" i="1"/>
  <c r="P133" i="1"/>
  <c r="O133" i="1"/>
  <c r="N133" i="1"/>
  <c r="U132" i="1"/>
  <c r="T132" i="1"/>
  <c r="S132" i="1"/>
  <c r="R132" i="1"/>
  <c r="Q132" i="1"/>
  <c r="P132" i="1"/>
  <c r="O132" i="1"/>
  <c r="N132" i="1"/>
  <c r="U131" i="1"/>
  <c r="T131" i="1"/>
  <c r="S131" i="1"/>
  <c r="R131" i="1"/>
  <c r="Q131" i="1"/>
  <c r="P131" i="1"/>
  <c r="O131" i="1"/>
  <c r="N131" i="1"/>
  <c r="D130" i="1"/>
  <c r="A129" i="1"/>
  <c r="M128" i="1"/>
  <c r="E10" i="52" s="1"/>
  <c r="L128" i="1"/>
  <c r="D10" i="52" s="1"/>
  <c r="N10" i="52" s="1"/>
  <c r="A128" i="1"/>
  <c r="A127" i="1"/>
  <c r="U126" i="1"/>
  <c r="T126" i="1"/>
  <c r="S126" i="1"/>
  <c r="D126" i="1" s="1"/>
  <c r="R126" i="1"/>
  <c r="Q126" i="1"/>
  <c r="P126" i="1"/>
  <c r="O126" i="1"/>
  <c r="N126" i="1"/>
  <c r="M126" i="1"/>
  <c r="L126" i="1"/>
  <c r="V125" i="1"/>
  <c r="U125" i="1"/>
  <c r="T125" i="1"/>
  <c r="S125" i="1"/>
  <c r="R125" i="1"/>
  <c r="Q125" i="1"/>
  <c r="P125" i="1"/>
  <c r="O125" i="1"/>
  <c r="N125" i="1"/>
  <c r="M125" i="1"/>
  <c r="L125" i="1"/>
  <c r="K125" i="1"/>
  <c r="U120" i="1"/>
  <c r="T120" i="1"/>
  <c r="S120" i="1"/>
  <c r="R120" i="1"/>
  <c r="Q120" i="1"/>
  <c r="P120" i="1"/>
  <c r="O120" i="1"/>
  <c r="N120" i="1"/>
  <c r="B120" i="1"/>
  <c r="U119" i="1"/>
  <c r="T119" i="1"/>
  <c r="S119" i="1"/>
  <c r="R119" i="1"/>
  <c r="Q119" i="1"/>
  <c r="P119" i="1"/>
  <c r="O119" i="1"/>
  <c r="N119" i="1"/>
  <c r="U118" i="1"/>
  <c r="T118" i="1"/>
  <c r="S118" i="1"/>
  <c r="R118" i="1"/>
  <c r="Q118" i="1"/>
  <c r="P118" i="1"/>
  <c r="O118" i="1"/>
  <c r="N118" i="1"/>
  <c r="U117" i="1"/>
  <c r="T117" i="1"/>
  <c r="S117" i="1"/>
  <c r="R117" i="1"/>
  <c r="Q117" i="1"/>
  <c r="P117" i="1"/>
  <c r="O117" i="1"/>
  <c r="N117" i="1"/>
  <c r="A115" i="1"/>
  <c r="A114" i="1"/>
  <c r="A113" i="1"/>
  <c r="D116" i="1" s="1"/>
  <c r="U112" i="1"/>
  <c r="T112" i="1"/>
  <c r="S112" i="1"/>
  <c r="R112" i="1"/>
  <c r="Q112" i="1"/>
  <c r="P112" i="1"/>
  <c r="O112" i="1"/>
  <c r="N112" i="1"/>
  <c r="M112" i="1"/>
  <c r="L112" i="1"/>
  <c r="K112" i="1"/>
  <c r="U111" i="1"/>
  <c r="T111" i="1"/>
  <c r="S111" i="1"/>
  <c r="R111" i="1"/>
  <c r="Q111" i="1"/>
  <c r="P111" i="1"/>
  <c r="O111" i="1"/>
  <c r="N111" i="1"/>
  <c r="L111" i="1"/>
  <c r="M111" i="1" s="1"/>
  <c r="U110" i="1"/>
  <c r="S110" i="1"/>
  <c r="K110" i="1"/>
  <c r="D112" i="1" s="1"/>
  <c r="D110" i="1"/>
  <c r="U109" i="1"/>
  <c r="T109" i="1"/>
  <c r="T141" i="1" s="1"/>
  <c r="L12" i="52" s="1"/>
  <c r="S109" i="1"/>
  <c r="T165" i="1" s="1"/>
  <c r="L14" i="52" s="1"/>
  <c r="R109" i="1"/>
  <c r="S165" i="1" s="1"/>
  <c r="K14" i="52" s="1"/>
  <c r="Q109" i="1"/>
  <c r="Q153" i="1" s="1"/>
  <c r="I13" i="52" s="1"/>
  <c r="P109" i="1"/>
  <c r="P110" i="1" s="1"/>
  <c r="O109" i="1"/>
  <c r="O110" i="1" s="1"/>
  <c r="N109" i="1"/>
  <c r="N141" i="1" s="1"/>
  <c r="F12" i="52" s="1"/>
  <c r="K109" i="1"/>
  <c r="L165" i="1" s="1"/>
  <c r="D14" i="52" s="1"/>
  <c r="U108" i="1"/>
  <c r="T108" i="1"/>
  <c r="T110" i="1" s="1"/>
  <c r="S108" i="1"/>
  <c r="R108" i="1"/>
  <c r="R110" i="1" s="1"/>
  <c r="Q108" i="1"/>
  <c r="Q110" i="1" s="1"/>
  <c r="P108" i="1"/>
  <c r="O108" i="1"/>
  <c r="N108" i="1"/>
  <c r="N110" i="1" s="1"/>
  <c r="K108" i="1"/>
  <c r="U99" i="1"/>
  <c r="M84" i="53" s="1"/>
  <c r="T99" i="1"/>
  <c r="L84" i="53" s="1"/>
  <c r="S99" i="1"/>
  <c r="K84" i="53" s="1"/>
  <c r="R99" i="1"/>
  <c r="J84" i="53" s="1"/>
  <c r="Q99" i="1"/>
  <c r="I84" i="53" s="1"/>
  <c r="P99" i="1"/>
  <c r="H84" i="53" s="1"/>
  <c r="O99" i="1"/>
  <c r="G84" i="53" s="1"/>
  <c r="N99" i="1"/>
  <c r="F84" i="53" s="1"/>
  <c r="M99" i="1"/>
  <c r="E84" i="53" s="1"/>
  <c r="L99" i="1"/>
  <c r="D84" i="53" s="1"/>
  <c r="K99" i="1"/>
  <c r="C84" i="53" s="1"/>
  <c r="F99" i="1"/>
  <c r="E99" i="1"/>
  <c r="E98" i="1" s="1"/>
  <c r="B99" i="1"/>
  <c r="T98" i="1"/>
  <c r="S98" i="1"/>
  <c r="R98" i="1"/>
  <c r="Q98" i="1"/>
  <c r="P98" i="1"/>
  <c r="O98" i="1"/>
  <c r="N98" i="1"/>
  <c r="L98" i="1"/>
  <c r="K98" i="1"/>
  <c r="F98" i="1"/>
  <c r="U97" i="1"/>
  <c r="M78" i="53" s="1"/>
  <c r="T97" i="1"/>
  <c r="L78" i="53" s="1"/>
  <c r="S97" i="1"/>
  <c r="K78" i="53" s="1"/>
  <c r="R97" i="1"/>
  <c r="J78" i="53" s="1"/>
  <c r="Q97" i="1"/>
  <c r="I78" i="53" s="1"/>
  <c r="P97" i="1"/>
  <c r="H78" i="53" s="1"/>
  <c r="O97" i="1"/>
  <c r="G78" i="53" s="1"/>
  <c r="N97" i="1"/>
  <c r="F78" i="53" s="1"/>
  <c r="M97" i="1"/>
  <c r="E78" i="53" s="1"/>
  <c r="L97" i="1"/>
  <c r="D78" i="53" s="1"/>
  <c r="K97" i="1"/>
  <c r="C78" i="53" s="1"/>
  <c r="B97" i="1"/>
  <c r="U96" i="1"/>
  <c r="T96" i="1"/>
  <c r="S96" i="1"/>
  <c r="R96" i="1"/>
  <c r="R95" i="1" s="1"/>
  <c r="J17" i="22" s="1"/>
  <c r="Q96" i="1"/>
  <c r="P96" i="1"/>
  <c r="O96" i="1"/>
  <c r="N96" i="1"/>
  <c r="M96" i="1"/>
  <c r="L96" i="1"/>
  <c r="K96" i="1"/>
  <c r="B96" i="1"/>
  <c r="T95" i="1"/>
  <c r="Q95" i="1"/>
  <c r="N95" i="1"/>
  <c r="L95" i="1"/>
  <c r="U94" i="1"/>
  <c r="M68" i="53" s="1"/>
  <c r="T94" i="1"/>
  <c r="L68" i="53" s="1"/>
  <c r="S94" i="1"/>
  <c r="K68" i="53" s="1"/>
  <c r="R94" i="1"/>
  <c r="J68" i="53" s="1"/>
  <c r="Q94" i="1"/>
  <c r="I68" i="53" s="1"/>
  <c r="P94" i="1"/>
  <c r="H68" i="53" s="1"/>
  <c r="O94" i="1"/>
  <c r="G68" i="53" s="1"/>
  <c r="N94" i="1"/>
  <c r="F68" i="53" s="1"/>
  <c r="M94" i="1"/>
  <c r="E68" i="53" s="1"/>
  <c r="L94" i="1"/>
  <c r="D68" i="53" s="1"/>
  <c r="K94" i="1"/>
  <c r="C68" i="53" s="1"/>
  <c r="B94" i="1"/>
  <c r="U93" i="1"/>
  <c r="M67" i="53" s="1"/>
  <c r="T93" i="1"/>
  <c r="L67" i="53" s="1"/>
  <c r="S93" i="1"/>
  <c r="K67" i="53" s="1"/>
  <c r="R93" i="1"/>
  <c r="J67" i="53" s="1"/>
  <c r="Q93" i="1"/>
  <c r="I67" i="53" s="1"/>
  <c r="P93" i="1"/>
  <c r="H67" i="53" s="1"/>
  <c r="O93" i="1"/>
  <c r="G67" i="53" s="1"/>
  <c r="N93" i="1"/>
  <c r="F67" i="53" s="1"/>
  <c r="M93" i="1"/>
  <c r="E67" i="53" s="1"/>
  <c r="L93" i="1"/>
  <c r="D67" i="53" s="1"/>
  <c r="K93" i="1"/>
  <c r="C67" i="53" s="1"/>
  <c r="B93" i="1"/>
  <c r="U92" i="1"/>
  <c r="M66" i="53" s="1"/>
  <c r="T92" i="1"/>
  <c r="L66" i="53" s="1"/>
  <c r="S92" i="1"/>
  <c r="K66" i="53" s="1"/>
  <c r="R92" i="1"/>
  <c r="J66" i="53" s="1"/>
  <c r="Q92" i="1"/>
  <c r="I66" i="53" s="1"/>
  <c r="P92" i="1"/>
  <c r="H66" i="53" s="1"/>
  <c r="O92" i="1"/>
  <c r="G66" i="53" s="1"/>
  <c r="N92" i="1"/>
  <c r="F66" i="53" s="1"/>
  <c r="M92" i="1"/>
  <c r="E66" i="53" s="1"/>
  <c r="L92" i="1"/>
  <c r="D66" i="53" s="1"/>
  <c r="K92" i="1"/>
  <c r="C66" i="53" s="1"/>
  <c r="B92" i="1"/>
  <c r="U91" i="1"/>
  <c r="M65" i="53" s="1"/>
  <c r="T91" i="1"/>
  <c r="L65" i="53" s="1"/>
  <c r="S91" i="1"/>
  <c r="K65" i="53" s="1"/>
  <c r="R91" i="1"/>
  <c r="J65" i="53" s="1"/>
  <c r="Q91" i="1"/>
  <c r="I65" i="53" s="1"/>
  <c r="P91" i="1"/>
  <c r="H65" i="53" s="1"/>
  <c r="O91" i="1"/>
  <c r="G65" i="53" s="1"/>
  <c r="N91" i="1"/>
  <c r="F65" i="53" s="1"/>
  <c r="M91" i="1"/>
  <c r="E65" i="53" s="1"/>
  <c r="L91" i="1"/>
  <c r="D65" i="53" s="1"/>
  <c r="K91" i="1"/>
  <c r="C65" i="53" s="1"/>
  <c r="B91" i="1"/>
  <c r="U90" i="1"/>
  <c r="M64" i="53" s="1"/>
  <c r="T90" i="1"/>
  <c r="L64" i="53" s="1"/>
  <c r="S90" i="1"/>
  <c r="K64" i="53" s="1"/>
  <c r="R90" i="1"/>
  <c r="J64" i="53" s="1"/>
  <c r="Q90" i="1"/>
  <c r="I64" i="53" s="1"/>
  <c r="P90" i="1"/>
  <c r="H64" i="53" s="1"/>
  <c r="O90" i="1"/>
  <c r="G64" i="53" s="1"/>
  <c r="N90" i="1"/>
  <c r="F64" i="53" s="1"/>
  <c r="M90" i="1"/>
  <c r="E64" i="53" s="1"/>
  <c r="L90" i="1"/>
  <c r="D64" i="53" s="1"/>
  <c r="K90" i="1"/>
  <c r="C64" i="53" s="1"/>
  <c r="B90" i="1"/>
  <c r="B89" i="1"/>
  <c r="U88" i="1"/>
  <c r="M63" i="53" s="1"/>
  <c r="T88" i="1"/>
  <c r="L63" i="53" s="1"/>
  <c r="S88" i="1"/>
  <c r="K63" i="53" s="1"/>
  <c r="R88" i="1"/>
  <c r="J63" i="53" s="1"/>
  <c r="Q88" i="1"/>
  <c r="I63" i="53" s="1"/>
  <c r="P88" i="1"/>
  <c r="H63" i="53" s="1"/>
  <c r="O88" i="1"/>
  <c r="G63" i="53" s="1"/>
  <c r="N88" i="1"/>
  <c r="F63" i="53" s="1"/>
  <c r="M88" i="1"/>
  <c r="E63" i="53" s="1"/>
  <c r="L88" i="1"/>
  <c r="D63" i="53" s="1"/>
  <c r="K88" i="1"/>
  <c r="C63" i="53" s="1"/>
  <c r="B88" i="1"/>
  <c r="U87" i="1"/>
  <c r="M62" i="53" s="1"/>
  <c r="T87" i="1"/>
  <c r="L62" i="53" s="1"/>
  <c r="S87" i="1"/>
  <c r="K62" i="53" s="1"/>
  <c r="R87" i="1"/>
  <c r="J62" i="53" s="1"/>
  <c r="Q87" i="1"/>
  <c r="I62" i="53" s="1"/>
  <c r="P87" i="1"/>
  <c r="H62" i="53" s="1"/>
  <c r="O87" i="1"/>
  <c r="G62" i="53" s="1"/>
  <c r="N87" i="1"/>
  <c r="F62" i="53" s="1"/>
  <c r="M87" i="1"/>
  <c r="E62" i="53" s="1"/>
  <c r="L87" i="1"/>
  <c r="D62" i="53" s="1"/>
  <c r="K87" i="1"/>
  <c r="C62" i="53" s="1"/>
  <c r="B87" i="1"/>
  <c r="U86" i="1"/>
  <c r="M61" i="53" s="1"/>
  <c r="T86" i="1"/>
  <c r="L61" i="53" s="1"/>
  <c r="S86" i="1"/>
  <c r="K61" i="53" s="1"/>
  <c r="R86" i="1"/>
  <c r="J61" i="53" s="1"/>
  <c r="Q86" i="1"/>
  <c r="I61" i="53" s="1"/>
  <c r="P86" i="1"/>
  <c r="H61" i="53" s="1"/>
  <c r="O86" i="1"/>
  <c r="G61" i="53" s="1"/>
  <c r="N86" i="1"/>
  <c r="F61" i="53" s="1"/>
  <c r="M86" i="1"/>
  <c r="E61" i="53" s="1"/>
  <c r="L86" i="1"/>
  <c r="D61" i="53" s="1"/>
  <c r="K86" i="1"/>
  <c r="C61" i="53" s="1"/>
  <c r="B86" i="1"/>
  <c r="B85" i="1"/>
  <c r="U84" i="1"/>
  <c r="M60" i="53" s="1"/>
  <c r="T84" i="1"/>
  <c r="L60" i="53" s="1"/>
  <c r="L69" i="53" s="1"/>
  <c r="S84" i="1"/>
  <c r="K60" i="53" s="1"/>
  <c r="R84" i="1"/>
  <c r="J60" i="53" s="1"/>
  <c r="J69" i="53" s="1"/>
  <c r="Q84" i="1"/>
  <c r="I60" i="53" s="1"/>
  <c r="P84" i="1"/>
  <c r="H60" i="53" s="1"/>
  <c r="O84" i="1"/>
  <c r="G60" i="53" s="1"/>
  <c r="G69" i="53" s="1"/>
  <c r="N84" i="1"/>
  <c r="F60" i="53" s="1"/>
  <c r="F69" i="53" s="1"/>
  <c r="M84" i="1"/>
  <c r="E60" i="53" s="1"/>
  <c r="L84" i="1"/>
  <c r="D60" i="53" s="1"/>
  <c r="K84" i="1"/>
  <c r="C60" i="53" s="1"/>
  <c r="B84" i="1"/>
  <c r="T83" i="1"/>
  <c r="O83" i="1"/>
  <c r="N83" i="1"/>
  <c r="L83" i="1"/>
  <c r="U82" i="1"/>
  <c r="M54" i="53" s="1"/>
  <c r="T82" i="1"/>
  <c r="L54" i="53" s="1"/>
  <c r="S82" i="1"/>
  <c r="K54" i="53" s="1"/>
  <c r="R82" i="1"/>
  <c r="J54" i="53" s="1"/>
  <c r="Q82" i="1"/>
  <c r="I54" i="53" s="1"/>
  <c r="P82" i="1"/>
  <c r="H54" i="53" s="1"/>
  <c r="O82" i="1"/>
  <c r="G54" i="53" s="1"/>
  <c r="N82" i="1"/>
  <c r="F54" i="53" s="1"/>
  <c r="M82" i="1"/>
  <c r="E54" i="53" s="1"/>
  <c r="L82" i="1"/>
  <c r="D54" i="53" s="1"/>
  <c r="K82" i="1"/>
  <c r="C54" i="53" s="1"/>
  <c r="B82" i="1"/>
  <c r="U81" i="1"/>
  <c r="M17" i="20" s="1"/>
  <c r="T81" i="1"/>
  <c r="L17" i="20" s="1"/>
  <c r="S81" i="1"/>
  <c r="K17" i="20" s="1"/>
  <c r="R81" i="1"/>
  <c r="J17" i="20" s="1"/>
  <c r="Q81" i="1"/>
  <c r="I17" i="20" s="1"/>
  <c r="O81" i="1"/>
  <c r="G17" i="20" s="1"/>
  <c r="N81" i="1"/>
  <c r="M81" i="1"/>
  <c r="L81" i="1"/>
  <c r="K81" i="1"/>
  <c r="U80" i="1"/>
  <c r="M48" i="53" s="1"/>
  <c r="T80" i="1"/>
  <c r="L48" i="53" s="1"/>
  <c r="S80" i="1"/>
  <c r="K48" i="53" s="1"/>
  <c r="R80" i="1"/>
  <c r="J48" i="53" s="1"/>
  <c r="Q80" i="1"/>
  <c r="I48" i="53" s="1"/>
  <c r="P80" i="1"/>
  <c r="H48" i="53" s="1"/>
  <c r="O80" i="1"/>
  <c r="G48" i="53" s="1"/>
  <c r="N80" i="1"/>
  <c r="F48" i="53" s="1"/>
  <c r="M80" i="1"/>
  <c r="E48" i="53" s="1"/>
  <c r="L80" i="1"/>
  <c r="D48" i="53" s="1"/>
  <c r="K80" i="1"/>
  <c r="C48" i="53" s="1"/>
  <c r="B80" i="1"/>
  <c r="U79" i="1"/>
  <c r="M17" i="19" s="1"/>
  <c r="T79" i="1"/>
  <c r="L17" i="19" s="1"/>
  <c r="S79" i="1"/>
  <c r="K17" i="19" s="1"/>
  <c r="R79" i="1"/>
  <c r="Q79" i="1"/>
  <c r="P79" i="1"/>
  <c r="O79" i="1"/>
  <c r="M79" i="1"/>
  <c r="L79" i="1"/>
  <c r="K79" i="1"/>
  <c r="U78" i="1"/>
  <c r="M41" i="53" s="1"/>
  <c r="T78" i="1"/>
  <c r="L41" i="53" s="1"/>
  <c r="S78" i="1"/>
  <c r="K41" i="53" s="1"/>
  <c r="R78" i="1"/>
  <c r="J41" i="53" s="1"/>
  <c r="Q78" i="1"/>
  <c r="I41" i="53" s="1"/>
  <c r="P78" i="1"/>
  <c r="H41" i="53" s="1"/>
  <c r="O78" i="1"/>
  <c r="G41" i="53" s="1"/>
  <c r="N78" i="1"/>
  <c r="F41" i="53" s="1"/>
  <c r="M78" i="1"/>
  <c r="E41" i="53" s="1"/>
  <c r="L78" i="1"/>
  <c r="D41" i="53" s="1"/>
  <c r="N41" i="53" s="1"/>
  <c r="K78" i="1"/>
  <c r="C41" i="53" s="1"/>
  <c r="B78" i="1"/>
  <c r="U77" i="1"/>
  <c r="M40" i="53" s="1"/>
  <c r="T77" i="1"/>
  <c r="L40" i="53" s="1"/>
  <c r="S77" i="1"/>
  <c r="K40" i="53" s="1"/>
  <c r="R77" i="1"/>
  <c r="J40" i="53" s="1"/>
  <c r="Q77" i="1"/>
  <c r="I40" i="53" s="1"/>
  <c r="P77" i="1"/>
  <c r="H40" i="53" s="1"/>
  <c r="O77" i="1"/>
  <c r="G40" i="53" s="1"/>
  <c r="N77" i="1"/>
  <c r="F40" i="53" s="1"/>
  <c r="M77" i="1"/>
  <c r="E40" i="53" s="1"/>
  <c r="L77" i="1"/>
  <c r="D40" i="53" s="1"/>
  <c r="N40" i="53" s="1"/>
  <c r="K77" i="1"/>
  <c r="C40" i="53" s="1"/>
  <c r="B77" i="1"/>
  <c r="U76" i="1"/>
  <c r="M39" i="53" s="1"/>
  <c r="T76" i="1"/>
  <c r="L39" i="53" s="1"/>
  <c r="S76" i="1"/>
  <c r="K39" i="53" s="1"/>
  <c r="R76" i="1"/>
  <c r="J39" i="53" s="1"/>
  <c r="Q76" i="1"/>
  <c r="I39" i="53" s="1"/>
  <c r="P76" i="1"/>
  <c r="H39" i="53" s="1"/>
  <c r="O76" i="1"/>
  <c r="G39" i="53" s="1"/>
  <c r="N76" i="1"/>
  <c r="F39" i="53" s="1"/>
  <c r="M76" i="1"/>
  <c r="E39" i="53" s="1"/>
  <c r="L76" i="1"/>
  <c r="D39" i="53" s="1"/>
  <c r="N39" i="53" s="1"/>
  <c r="K76" i="1"/>
  <c r="C39" i="53" s="1"/>
  <c r="B76" i="1"/>
  <c r="U75" i="1"/>
  <c r="M38" i="53" s="1"/>
  <c r="T75" i="1"/>
  <c r="L38" i="53" s="1"/>
  <c r="S75" i="1"/>
  <c r="K38" i="53" s="1"/>
  <c r="R75" i="1"/>
  <c r="J38" i="53" s="1"/>
  <c r="Q75" i="1"/>
  <c r="I38" i="53" s="1"/>
  <c r="P75" i="1"/>
  <c r="H38" i="53" s="1"/>
  <c r="O75" i="1"/>
  <c r="G38" i="53" s="1"/>
  <c r="N75" i="1"/>
  <c r="F38" i="53" s="1"/>
  <c r="M75" i="1"/>
  <c r="E38" i="53" s="1"/>
  <c r="L75" i="1"/>
  <c r="D38" i="53" s="1"/>
  <c r="N38" i="53" s="1"/>
  <c r="K75" i="1"/>
  <c r="C38" i="53" s="1"/>
  <c r="B75" i="1"/>
  <c r="U74" i="1"/>
  <c r="M37" i="53" s="1"/>
  <c r="T74" i="1"/>
  <c r="L37" i="53" s="1"/>
  <c r="S74" i="1"/>
  <c r="K37" i="53" s="1"/>
  <c r="R74" i="1"/>
  <c r="J37" i="53" s="1"/>
  <c r="Q74" i="1"/>
  <c r="I37" i="53" s="1"/>
  <c r="P74" i="1"/>
  <c r="H37" i="53" s="1"/>
  <c r="O74" i="1"/>
  <c r="G37" i="53" s="1"/>
  <c r="N74" i="1"/>
  <c r="F37" i="53" s="1"/>
  <c r="M74" i="1"/>
  <c r="E37" i="53" s="1"/>
  <c r="L74" i="1"/>
  <c r="D37" i="53" s="1"/>
  <c r="N37" i="53" s="1"/>
  <c r="K74" i="1"/>
  <c r="C37" i="53" s="1"/>
  <c r="B74" i="1"/>
  <c r="U73" i="1"/>
  <c r="M36" i="53" s="1"/>
  <c r="T73" i="1"/>
  <c r="L36" i="53" s="1"/>
  <c r="S73" i="1"/>
  <c r="K36" i="53" s="1"/>
  <c r="R73" i="1"/>
  <c r="J36" i="53" s="1"/>
  <c r="Q73" i="1"/>
  <c r="I36" i="53" s="1"/>
  <c r="P73" i="1"/>
  <c r="H36" i="53" s="1"/>
  <c r="O73" i="1"/>
  <c r="G36" i="53" s="1"/>
  <c r="N73" i="1"/>
  <c r="F36" i="53" s="1"/>
  <c r="M73" i="1"/>
  <c r="E36" i="53" s="1"/>
  <c r="L73" i="1"/>
  <c r="D36" i="53" s="1"/>
  <c r="N36" i="53" s="1"/>
  <c r="K73" i="1"/>
  <c r="C36" i="53" s="1"/>
  <c r="E73" i="1"/>
  <c r="B73" i="1"/>
  <c r="U72" i="1"/>
  <c r="M35" i="53" s="1"/>
  <c r="T72" i="1"/>
  <c r="L35" i="53" s="1"/>
  <c r="S72" i="1"/>
  <c r="K35" i="53" s="1"/>
  <c r="R72" i="1"/>
  <c r="J35" i="53" s="1"/>
  <c r="Q72" i="1"/>
  <c r="I35" i="53" s="1"/>
  <c r="P72" i="1"/>
  <c r="H35" i="53" s="1"/>
  <c r="O72" i="1"/>
  <c r="G35" i="53" s="1"/>
  <c r="N72" i="1"/>
  <c r="F35" i="53" s="1"/>
  <c r="M72" i="1"/>
  <c r="E35" i="53" s="1"/>
  <c r="L72" i="1"/>
  <c r="D35" i="53" s="1"/>
  <c r="N35" i="53" s="1"/>
  <c r="K72" i="1"/>
  <c r="C35" i="53" s="1"/>
  <c r="B72" i="1"/>
  <c r="B71" i="1"/>
  <c r="U70" i="1"/>
  <c r="M33" i="53" s="1"/>
  <c r="T70" i="1"/>
  <c r="L33" i="53" s="1"/>
  <c r="S70" i="1"/>
  <c r="K33" i="53" s="1"/>
  <c r="R70" i="1"/>
  <c r="J33" i="53" s="1"/>
  <c r="Q70" i="1"/>
  <c r="I33" i="53" s="1"/>
  <c r="P70" i="1"/>
  <c r="H33" i="53" s="1"/>
  <c r="O70" i="1"/>
  <c r="G33" i="53" s="1"/>
  <c r="N70" i="1"/>
  <c r="F33" i="53" s="1"/>
  <c r="M70" i="1"/>
  <c r="E33" i="53" s="1"/>
  <c r="L70" i="1"/>
  <c r="D33" i="53" s="1"/>
  <c r="K70" i="1"/>
  <c r="C33" i="53" s="1"/>
  <c r="B70" i="1"/>
  <c r="U69" i="1"/>
  <c r="M32" i="53" s="1"/>
  <c r="T69" i="1"/>
  <c r="L32" i="53" s="1"/>
  <c r="S69" i="1"/>
  <c r="K32" i="53" s="1"/>
  <c r="R69" i="1"/>
  <c r="J32" i="53" s="1"/>
  <c r="Q69" i="1"/>
  <c r="I32" i="53" s="1"/>
  <c r="P69" i="1"/>
  <c r="H32" i="53" s="1"/>
  <c r="O69" i="1"/>
  <c r="G32" i="53" s="1"/>
  <c r="N69" i="1"/>
  <c r="F32" i="53" s="1"/>
  <c r="M69" i="1"/>
  <c r="E32" i="53" s="1"/>
  <c r="L69" i="1"/>
  <c r="D32" i="53" s="1"/>
  <c r="K69" i="1"/>
  <c r="C32" i="53" s="1"/>
  <c r="B69" i="1"/>
  <c r="U68" i="1"/>
  <c r="M17" i="18" s="1"/>
  <c r="S68" i="1"/>
  <c r="K17" i="18" s="1"/>
  <c r="R68" i="1"/>
  <c r="J17" i="18" s="1"/>
  <c r="Q68" i="1"/>
  <c r="I17" i="18" s="1"/>
  <c r="O68" i="1"/>
  <c r="K68" i="1"/>
  <c r="U67" i="1"/>
  <c r="M26" i="53" s="1"/>
  <c r="T67" i="1"/>
  <c r="L26" i="53" s="1"/>
  <c r="S67" i="1"/>
  <c r="K26" i="53" s="1"/>
  <c r="R67" i="1"/>
  <c r="J26" i="53" s="1"/>
  <c r="Q67" i="1"/>
  <c r="I26" i="53" s="1"/>
  <c r="P67" i="1"/>
  <c r="H26" i="53" s="1"/>
  <c r="O67" i="1"/>
  <c r="G26" i="53" s="1"/>
  <c r="N67" i="1"/>
  <c r="F26" i="53" s="1"/>
  <c r="M67" i="1"/>
  <c r="E26" i="53" s="1"/>
  <c r="L67" i="1"/>
  <c r="D26" i="53" s="1"/>
  <c r="K67" i="1"/>
  <c r="C26" i="53" s="1"/>
  <c r="B67" i="1"/>
  <c r="U66" i="1"/>
  <c r="M25" i="53" s="1"/>
  <c r="T66" i="1"/>
  <c r="L25" i="53" s="1"/>
  <c r="S66" i="1"/>
  <c r="K25" i="53" s="1"/>
  <c r="R66" i="1"/>
  <c r="J25" i="53" s="1"/>
  <c r="Q66" i="1"/>
  <c r="I25" i="53" s="1"/>
  <c r="P66" i="1"/>
  <c r="H25" i="53" s="1"/>
  <c r="O66" i="1"/>
  <c r="G25" i="53" s="1"/>
  <c r="N66" i="1"/>
  <c r="F25" i="53" s="1"/>
  <c r="M66" i="1"/>
  <c r="E25" i="53" s="1"/>
  <c r="L66" i="1"/>
  <c r="D25" i="53" s="1"/>
  <c r="K66" i="1"/>
  <c r="C25" i="53" s="1"/>
  <c r="B66" i="1"/>
  <c r="U65" i="1"/>
  <c r="M24" i="53" s="1"/>
  <c r="T65" i="1"/>
  <c r="L24" i="53" s="1"/>
  <c r="S65" i="1"/>
  <c r="K24" i="53" s="1"/>
  <c r="R65" i="1"/>
  <c r="J24" i="53" s="1"/>
  <c r="Q65" i="1"/>
  <c r="I24" i="53" s="1"/>
  <c r="P65" i="1"/>
  <c r="H24" i="53" s="1"/>
  <c r="O65" i="1"/>
  <c r="G24" i="53" s="1"/>
  <c r="N65" i="1"/>
  <c r="F24" i="53" s="1"/>
  <c r="M65" i="1"/>
  <c r="E24" i="53" s="1"/>
  <c r="L65" i="1"/>
  <c r="D24" i="53" s="1"/>
  <c r="K65" i="1"/>
  <c r="C24" i="53" s="1"/>
  <c r="B65" i="1"/>
  <c r="U64" i="1"/>
  <c r="M23" i="53" s="1"/>
  <c r="T64" i="1"/>
  <c r="L23" i="53" s="1"/>
  <c r="S64" i="1"/>
  <c r="K23" i="53" s="1"/>
  <c r="R64" i="1"/>
  <c r="J23" i="53" s="1"/>
  <c r="Q64" i="1"/>
  <c r="I23" i="53" s="1"/>
  <c r="P64" i="1"/>
  <c r="H23" i="53" s="1"/>
  <c r="O64" i="1"/>
  <c r="G23" i="53" s="1"/>
  <c r="N64" i="1"/>
  <c r="F23" i="53" s="1"/>
  <c r="M64" i="1"/>
  <c r="E23" i="53" s="1"/>
  <c r="L64" i="1"/>
  <c r="D23" i="53" s="1"/>
  <c r="K64" i="1"/>
  <c r="C23" i="53" s="1"/>
  <c r="B64" i="1"/>
  <c r="U63" i="1"/>
  <c r="M22" i="53" s="1"/>
  <c r="T63" i="1"/>
  <c r="L22" i="53" s="1"/>
  <c r="S63" i="1"/>
  <c r="K22" i="53" s="1"/>
  <c r="R63" i="1"/>
  <c r="J22" i="53" s="1"/>
  <c r="Q63" i="1"/>
  <c r="I22" i="53" s="1"/>
  <c r="P63" i="1"/>
  <c r="H22" i="53" s="1"/>
  <c r="O63" i="1"/>
  <c r="G22" i="53" s="1"/>
  <c r="N63" i="1"/>
  <c r="F22" i="53" s="1"/>
  <c r="M63" i="1"/>
  <c r="E22" i="53" s="1"/>
  <c r="L63" i="1"/>
  <c r="D22" i="53" s="1"/>
  <c r="K63" i="1"/>
  <c r="C22" i="53" s="1"/>
  <c r="B63" i="1"/>
  <c r="U62" i="1"/>
  <c r="M21" i="53" s="1"/>
  <c r="T62" i="1"/>
  <c r="L21" i="53" s="1"/>
  <c r="S62" i="1"/>
  <c r="K21" i="53" s="1"/>
  <c r="R62" i="1"/>
  <c r="J21" i="53" s="1"/>
  <c r="Q62" i="1"/>
  <c r="I21" i="53" s="1"/>
  <c r="P62" i="1"/>
  <c r="H21" i="53" s="1"/>
  <c r="O62" i="1"/>
  <c r="G21" i="53" s="1"/>
  <c r="N62" i="1"/>
  <c r="F21" i="53" s="1"/>
  <c r="M62" i="1"/>
  <c r="E21" i="53" s="1"/>
  <c r="L62" i="1"/>
  <c r="D21" i="53" s="1"/>
  <c r="K62" i="1"/>
  <c r="C21" i="53" s="1"/>
  <c r="B62" i="1"/>
  <c r="U61" i="1"/>
  <c r="M20" i="53" s="1"/>
  <c r="T61" i="1"/>
  <c r="L20" i="53" s="1"/>
  <c r="S61" i="1"/>
  <c r="K20" i="53" s="1"/>
  <c r="R61" i="1"/>
  <c r="J20" i="53" s="1"/>
  <c r="Q61" i="1"/>
  <c r="I20" i="53" s="1"/>
  <c r="P61" i="1"/>
  <c r="H20" i="53" s="1"/>
  <c r="O61" i="1"/>
  <c r="G20" i="53" s="1"/>
  <c r="N61" i="1"/>
  <c r="F20" i="53" s="1"/>
  <c r="M61" i="1"/>
  <c r="E20" i="53" s="1"/>
  <c r="L61" i="1"/>
  <c r="D20" i="53" s="1"/>
  <c r="K61" i="1"/>
  <c r="C20" i="53" s="1"/>
  <c r="B61" i="1"/>
  <c r="U60" i="1"/>
  <c r="M19" i="53" s="1"/>
  <c r="T60" i="1"/>
  <c r="L19" i="53" s="1"/>
  <c r="S60" i="1"/>
  <c r="K19" i="53" s="1"/>
  <c r="R60" i="1"/>
  <c r="J19" i="53" s="1"/>
  <c r="Q60" i="1"/>
  <c r="I19" i="53" s="1"/>
  <c r="P60" i="1"/>
  <c r="H19" i="53" s="1"/>
  <c r="O60" i="1"/>
  <c r="G19" i="53" s="1"/>
  <c r="N60" i="1"/>
  <c r="F19" i="53" s="1"/>
  <c r="M60" i="1"/>
  <c r="E19" i="53" s="1"/>
  <c r="L60" i="1"/>
  <c r="D19" i="53" s="1"/>
  <c r="K60" i="1"/>
  <c r="C19" i="53" s="1"/>
  <c r="B60" i="1"/>
  <c r="U59" i="1"/>
  <c r="M18" i="53" s="1"/>
  <c r="T59" i="1"/>
  <c r="L18" i="53" s="1"/>
  <c r="S59" i="1"/>
  <c r="K18" i="53" s="1"/>
  <c r="R59" i="1"/>
  <c r="J18" i="53" s="1"/>
  <c r="Q59" i="1"/>
  <c r="I18" i="53" s="1"/>
  <c r="P59" i="1"/>
  <c r="H18" i="53" s="1"/>
  <c r="O59" i="1"/>
  <c r="G18" i="53" s="1"/>
  <c r="N59" i="1"/>
  <c r="F18" i="53" s="1"/>
  <c r="M59" i="1"/>
  <c r="E18" i="53" s="1"/>
  <c r="L59" i="1"/>
  <c r="D18" i="53" s="1"/>
  <c r="K59" i="1"/>
  <c r="C18" i="53" s="1"/>
  <c r="B59" i="1"/>
  <c r="B58" i="1"/>
  <c r="T57" i="1"/>
  <c r="R57" i="1"/>
  <c r="Q57" i="1"/>
  <c r="P57" i="1"/>
  <c r="O57" i="1"/>
  <c r="N57" i="1"/>
  <c r="L57" i="1"/>
  <c r="A57" i="1"/>
  <c r="A68" i="1" s="1"/>
  <c r="A79" i="1" s="1"/>
  <c r="A81" i="1" s="1"/>
  <c r="A83" i="1" s="1"/>
  <c r="A95" i="1" s="1"/>
  <c r="A98" i="1" s="1"/>
  <c r="U56" i="1"/>
  <c r="M12" i="53" s="1"/>
  <c r="T56" i="1"/>
  <c r="L12" i="53" s="1"/>
  <c r="S56" i="1"/>
  <c r="K12" i="53" s="1"/>
  <c r="R56" i="1"/>
  <c r="J12" i="53" s="1"/>
  <c r="Q56" i="1"/>
  <c r="I12" i="53" s="1"/>
  <c r="P56" i="1"/>
  <c r="H12" i="53" s="1"/>
  <c r="O56" i="1"/>
  <c r="G12" i="53" s="1"/>
  <c r="N56" i="1"/>
  <c r="F12" i="53" s="1"/>
  <c r="M56" i="1"/>
  <c r="E12" i="53" s="1"/>
  <c r="L56" i="1"/>
  <c r="D12" i="53" s="1"/>
  <c r="N12" i="53" s="1"/>
  <c r="K56" i="1"/>
  <c r="C12" i="53" s="1"/>
  <c r="B56" i="1"/>
  <c r="U55" i="1"/>
  <c r="M11" i="53" s="1"/>
  <c r="T55" i="1"/>
  <c r="L11" i="53" s="1"/>
  <c r="S55" i="1"/>
  <c r="K11" i="53" s="1"/>
  <c r="R55" i="1"/>
  <c r="J11" i="53" s="1"/>
  <c r="Q55" i="1"/>
  <c r="I11" i="53" s="1"/>
  <c r="P55" i="1"/>
  <c r="H11" i="53" s="1"/>
  <c r="O55" i="1"/>
  <c r="G11" i="53" s="1"/>
  <c r="N55" i="1"/>
  <c r="F11" i="53" s="1"/>
  <c r="M55" i="1"/>
  <c r="E11" i="53" s="1"/>
  <c r="L55" i="1"/>
  <c r="D11" i="53" s="1"/>
  <c r="K55" i="1"/>
  <c r="C11" i="53" s="1"/>
  <c r="B55" i="1"/>
  <c r="U54" i="1"/>
  <c r="M10" i="53" s="1"/>
  <c r="T54" i="1"/>
  <c r="L10" i="53" s="1"/>
  <c r="S54" i="1"/>
  <c r="K10" i="53" s="1"/>
  <c r="R54" i="1"/>
  <c r="J10" i="53" s="1"/>
  <c r="Q54" i="1"/>
  <c r="I10" i="53" s="1"/>
  <c r="P54" i="1"/>
  <c r="H10" i="53" s="1"/>
  <c r="O54" i="1"/>
  <c r="G10" i="53" s="1"/>
  <c r="N54" i="1"/>
  <c r="F10" i="53" s="1"/>
  <c r="M54" i="1"/>
  <c r="E10" i="53" s="1"/>
  <c r="L54" i="1"/>
  <c r="D10" i="53" s="1"/>
  <c r="N10" i="53" s="1"/>
  <c r="K54" i="1"/>
  <c r="C10" i="53" s="1"/>
  <c r="B54" i="1"/>
  <c r="U53" i="1"/>
  <c r="M9" i="53" s="1"/>
  <c r="T53" i="1"/>
  <c r="L9" i="53" s="1"/>
  <c r="S53" i="1"/>
  <c r="K9" i="53" s="1"/>
  <c r="R53" i="1"/>
  <c r="J9" i="53" s="1"/>
  <c r="Q53" i="1"/>
  <c r="I9" i="53" s="1"/>
  <c r="P53" i="1"/>
  <c r="H9" i="53" s="1"/>
  <c r="O53" i="1"/>
  <c r="G9" i="53" s="1"/>
  <c r="N53" i="1"/>
  <c r="F9" i="53" s="1"/>
  <c r="M53" i="1"/>
  <c r="E9" i="53" s="1"/>
  <c r="L53" i="1"/>
  <c r="D9" i="53" s="1"/>
  <c r="N9" i="53" s="1"/>
  <c r="K53" i="1"/>
  <c r="C9" i="53" s="1"/>
  <c r="B53" i="1"/>
  <c r="U52" i="1"/>
  <c r="M8" i="53" s="1"/>
  <c r="T52" i="1"/>
  <c r="L8" i="53" s="1"/>
  <c r="S52" i="1"/>
  <c r="K8" i="53" s="1"/>
  <c r="R52" i="1"/>
  <c r="J8" i="53" s="1"/>
  <c r="Q52" i="1"/>
  <c r="I8" i="53" s="1"/>
  <c r="P52" i="1"/>
  <c r="H8" i="53" s="1"/>
  <c r="O52" i="1"/>
  <c r="G8" i="53" s="1"/>
  <c r="N52" i="1"/>
  <c r="F8" i="53" s="1"/>
  <c r="M52" i="1"/>
  <c r="E8" i="53" s="1"/>
  <c r="L52" i="1"/>
  <c r="D8" i="53" s="1"/>
  <c r="N8" i="53" s="1"/>
  <c r="K52" i="1"/>
  <c r="C8" i="53" s="1"/>
  <c r="B52" i="1"/>
  <c r="U51" i="1"/>
  <c r="M7" i="53" s="1"/>
  <c r="T51" i="1"/>
  <c r="L7" i="53" s="1"/>
  <c r="L87" i="53" s="1"/>
  <c r="S51" i="1"/>
  <c r="K7" i="53" s="1"/>
  <c r="R51" i="1"/>
  <c r="J7" i="53" s="1"/>
  <c r="Q51" i="1"/>
  <c r="I7" i="53" s="1"/>
  <c r="P51" i="1"/>
  <c r="H7" i="53" s="1"/>
  <c r="O51" i="1"/>
  <c r="G7" i="53" s="1"/>
  <c r="N51" i="1"/>
  <c r="F7" i="53" s="1"/>
  <c r="M51" i="1"/>
  <c r="E7" i="53" s="1"/>
  <c r="L51" i="1"/>
  <c r="D7" i="53" s="1"/>
  <c r="K51" i="1"/>
  <c r="C7" i="53" s="1"/>
  <c r="B51" i="1"/>
  <c r="U49" i="1"/>
  <c r="T49" i="1"/>
  <c r="S49" i="1"/>
  <c r="R49" i="1"/>
  <c r="Q49" i="1"/>
  <c r="P49" i="1"/>
  <c r="O49" i="1"/>
  <c r="N49" i="1"/>
  <c r="M49" i="1"/>
  <c r="L49" i="1"/>
  <c r="K49" i="1"/>
  <c r="E49" i="1"/>
  <c r="B49" i="1"/>
  <c r="U48" i="1"/>
  <c r="T48" i="1"/>
  <c r="S48" i="1"/>
  <c r="R48" i="1"/>
  <c r="Q48" i="1"/>
  <c r="P48" i="1"/>
  <c r="O48" i="1"/>
  <c r="N48" i="1"/>
  <c r="M48" i="1"/>
  <c r="L48" i="1"/>
  <c r="K48" i="1"/>
  <c r="E48" i="1"/>
  <c r="B48" i="1"/>
  <c r="U47" i="1"/>
  <c r="T47" i="1"/>
  <c r="S47" i="1"/>
  <c r="R47" i="1"/>
  <c r="Q47" i="1"/>
  <c r="P47" i="1"/>
  <c r="O47" i="1"/>
  <c r="N47" i="1"/>
  <c r="M47" i="1"/>
  <c r="L47" i="1"/>
  <c r="K47" i="1"/>
  <c r="E47" i="1"/>
  <c r="B47" i="1"/>
  <c r="U46" i="1"/>
  <c r="T46" i="1"/>
  <c r="S46" i="1"/>
  <c r="R46" i="1"/>
  <c r="Q46" i="1"/>
  <c r="P46" i="1"/>
  <c r="O46" i="1"/>
  <c r="N46" i="1"/>
  <c r="M46" i="1"/>
  <c r="L46" i="1"/>
  <c r="K46" i="1"/>
  <c r="E46" i="1"/>
  <c r="B46" i="1"/>
  <c r="U45" i="1"/>
  <c r="T45" i="1"/>
  <c r="S45" i="1"/>
  <c r="R45" i="1"/>
  <c r="Q45" i="1"/>
  <c r="P45" i="1"/>
  <c r="O45" i="1"/>
  <c r="N45" i="1"/>
  <c r="M45" i="1"/>
  <c r="L45" i="1"/>
  <c r="K45" i="1"/>
  <c r="E45" i="1"/>
  <c r="B45" i="1"/>
  <c r="U44" i="1"/>
  <c r="T44" i="1"/>
  <c r="S44" i="1"/>
  <c r="R44" i="1"/>
  <c r="Q44" i="1"/>
  <c r="P44" i="1"/>
  <c r="O44" i="1"/>
  <c r="N44" i="1"/>
  <c r="M44" i="1"/>
  <c r="L44" i="1"/>
  <c r="K44" i="1"/>
  <c r="E44" i="1"/>
  <c r="B44" i="1"/>
  <c r="U42" i="1"/>
  <c r="T42" i="1"/>
  <c r="S42" i="1"/>
  <c r="R42" i="1"/>
  <c r="Q42" i="1"/>
  <c r="P42" i="1"/>
  <c r="O42" i="1"/>
  <c r="N42" i="1"/>
  <c r="M42" i="1"/>
  <c r="L42" i="1"/>
  <c r="K42" i="1"/>
  <c r="E42" i="1"/>
  <c r="B42" i="1"/>
  <c r="U41" i="1"/>
  <c r="T41" i="1"/>
  <c r="S41" i="1"/>
  <c r="R41" i="1"/>
  <c r="Q41" i="1"/>
  <c r="P41" i="1"/>
  <c r="O41" i="1"/>
  <c r="N41" i="1"/>
  <c r="M41" i="1"/>
  <c r="L41" i="1"/>
  <c r="K41" i="1"/>
  <c r="E41" i="1"/>
  <c r="B41" i="1"/>
  <c r="U40" i="1"/>
  <c r="T40" i="1"/>
  <c r="S40" i="1"/>
  <c r="R40" i="1"/>
  <c r="Q40" i="1"/>
  <c r="P40" i="1"/>
  <c r="O40" i="1"/>
  <c r="N40" i="1"/>
  <c r="M40" i="1"/>
  <c r="L40" i="1"/>
  <c r="K40" i="1"/>
  <c r="E40" i="1"/>
  <c r="B40" i="1"/>
  <c r="U39" i="1"/>
  <c r="T39" i="1"/>
  <c r="S39" i="1"/>
  <c r="R39" i="1"/>
  <c r="Q39" i="1"/>
  <c r="P39" i="1"/>
  <c r="O39" i="1"/>
  <c r="N39" i="1"/>
  <c r="M39" i="1"/>
  <c r="L39" i="1"/>
  <c r="K39" i="1"/>
  <c r="E39" i="1"/>
  <c r="B39" i="1"/>
  <c r="U38" i="1"/>
  <c r="T38" i="1"/>
  <c r="S38" i="1"/>
  <c r="R38" i="1"/>
  <c r="Q38" i="1"/>
  <c r="P38" i="1"/>
  <c r="O38" i="1"/>
  <c r="N38" i="1"/>
  <c r="M38" i="1"/>
  <c r="L38" i="1"/>
  <c r="K38" i="1"/>
  <c r="E38" i="1"/>
  <c r="B38" i="1"/>
  <c r="U37" i="1"/>
  <c r="T37" i="1"/>
  <c r="T35" i="1" s="1"/>
  <c r="S37" i="1"/>
  <c r="R37" i="1"/>
  <c r="Q37" i="1"/>
  <c r="P37" i="1"/>
  <c r="O37" i="1"/>
  <c r="O35" i="1" s="1"/>
  <c r="N37" i="1"/>
  <c r="M37" i="1"/>
  <c r="L37" i="1"/>
  <c r="L35" i="1" s="1"/>
  <c r="K37" i="1"/>
  <c r="E37" i="1"/>
  <c r="B37" i="1"/>
  <c r="U35" i="1"/>
  <c r="S35" i="1"/>
  <c r="R35" i="1"/>
  <c r="Q35" i="1"/>
  <c r="P35" i="1"/>
  <c r="N35" i="1"/>
  <c r="M35" i="1"/>
  <c r="K35" i="1"/>
  <c r="K24" i="1"/>
  <c r="J24" i="1"/>
  <c r="I24" i="1"/>
  <c r="H24" i="1"/>
  <c r="G24" i="1"/>
  <c r="F24" i="1"/>
  <c r="E24" i="1"/>
  <c r="D22" i="1"/>
  <c r="L21" i="1"/>
  <c r="K21" i="1"/>
  <c r="J21" i="1"/>
  <c r="I16" i="13" s="1"/>
  <c r="I21" i="1"/>
  <c r="H16" i="13" s="1"/>
  <c r="H21" i="1"/>
  <c r="G16" i="13" s="1"/>
  <c r="G21" i="1"/>
  <c r="F16" i="13" s="1"/>
  <c r="F17" i="13" s="1"/>
  <c r="F21" i="1"/>
  <c r="E16" i="13" s="1"/>
  <c r="E21" i="1"/>
  <c r="D16" i="13" s="1"/>
  <c r="B17" i="1"/>
  <c r="P14" i="1"/>
  <c r="I14" i="1"/>
  <c r="H14" i="1"/>
  <c r="B13" i="1"/>
  <c r="P12" i="1"/>
  <c r="O12" i="1"/>
  <c r="O14" i="1" s="1"/>
  <c r="N12" i="1"/>
  <c r="N14" i="1" s="1"/>
  <c r="M12" i="1"/>
  <c r="M14" i="1" s="1"/>
  <c r="L12" i="1"/>
  <c r="L14" i="1" s="1"/>
  <c r="K12" i="1"/>
  <c r="K14" i="1" s="1"/>
  <c r="J12" i="1"/>
  <c r="J14" i="1" s="1"/>
  <c r="I12" i="1"/>
  <c r="H12" i="1"/>
  <c r="G12" i="1"/>
  <c r="G14" i="1" s="1"/>
  <c r="F12" i="1"/>
  <c r="F14" i="1" s="1"/>
  <c r="E12" i="1"/>
  <c r="E14" i="1" s="1"/>
  <c r="U4" i="1"/>
  <c r="T4" i="1"/>
  <c r="S4" i="1"/>
  <c r="R4" i="1"/>
  <c r="Q4" i="1"/>
  <c r="P4" i="1"/>
  <c r="O4" i="1"/>
  <c r="N4" i="1"/>
  <c r="M4" i="1"/>
  <c r="L4" i="1"/>
  <c r="K4" i="1"/>
  <c r="J4" i="1"/>
  <c r="I4" i="1"/>
  <c r="K3" i="1"/>
  <c r="L3" i="1" s="1"/>
  <c r="L2" i="1"/>
  <c r="M2" i="1" s="1"/>
  <c r="N2" i="1" s="1"/>
  <c r="O2" i="1" s="1"/>
  <c r="P2" i="1" s="1"/>
  <c r="Q2" i="1" s="1"/>
  <c r="R2" i="1" s="1"/>
  <c r="S2" i="1" s="1"/>
  <c r="T2" i="1" s="1"/>
  <c r="U2" i="1" s="1"/>
  <c r="C1" i="1"/>
  <c r="B5" i="1" s="1"/>
  <c r="D51" i="4"/>
  <c r="C51" i="4"/>
  <c r="D50" i="4"/>
  <c r="C50" i="4"/>
  <c r="C54" i="4" s="1"/>
  <c r="E48" i="4"/>
  <c r="E47" i="4"/>
  <c r="E46" i="4"/>
  <c r="E45" i="4"/>
  <c r="E44" i="4"/>
  <c r="E43" i="4"/>
  <c r="E42" i="4"/>
  <c r="E41" i="4"/>
  <c r="E40" i="4"/>
  <c r="E50" i="4" s="1"/>
  <c r="B40" i="4"/>
  <c r="B41" i="4" s="1"/>
  <c r="B42" i="4" s="1"/>
  <c r="B43" i="4" s="1"/>
  <c r="B44" i="4" s="1"/>
  <c r="B45" i="4" s="1"/>
  <c r="B46" i="4" s="1"/>
  <c r="B47" i="4" s="1"/>
  <c r="B48" i="4" s="1"/>
  <c r="E39" i="4"/>
  <c r="B39" i="4"/>
  <c r="E38" i="4"/>
  <c r="E51" i="4" s="1"/>
  <c r="C53" i="4" s="1"/>
  <c r="C33" i="4" s="1"/>
  <c r="C27" i="4"/>
  <c r="G15" i="4"/>
  <c r="C13" i="4" s="1"/>
  <c r="G14" i="4"/>
  <c r="G13" i="4"/>
  <c r="G12" i="4"/>
  <c r="C11" i="4"/>
  <c r="C10" i="4"/>
  <c r="D24" i="1" s="1"/>
  <c r="C9" i="4"/>
  <c r="F8" i="4" s="1"/>
  <c r="C8" i="4" s="1"/>
  <c r="BK993" i="202" l="1"/>
  <c r="BK409" i="202"/>
  <c r="BK1767" i="202"/>
  <c r="BK1967" i="202"/>
  <c r="BK1719" i="202"/>
  <c r="BK417" i="202"/>
  <c r="BK865" i="202"/>
  <c r="BK1809" i="202"/>
  <c r="BK1201" i="202"/>
  <c r="BK81" i="202"/>
  <c r="BK1081" i="202"/>
  <c r="BK497" i="202"/>
  <c r="BK1425" i="202"/>
  <c r="BK1535" i="202"/>
  <c r="BK1279" i="202"/>
  <c r="BK1111" i="202"/>
  <c r="BK1023" i="202"/>
  <c r="BK519" i="202"/>
  <c r="BH511" i="202"/>
  <c r="BK455" i="202"/>
  <c r="BK303" i="202"/>
  <c r="BH814" i="202"/>
  <c r="BK814" i="202" s="1"/>
  <c r="BK799" i="202"/>
  <c r="BH2046" i="202"/>
  <c r="BK2046" i="202" s="1"/>
  <c r="BH2014" i="202"/>
  <c r="BK2014" i="202" s="1"/>
  <c r="BH1990" i="202"/>
  <c r="BK1990" i="202" s="1"/>
  <c r="BH1958" i="202"/>
  <c r="BK1958" i="202" s="1"/>
  <c r="BH1934" i="202"/>
  <c r="BK1934" i="202" s="1"/>
  <c r="BH1902" i="202"/>
  <c r="BK1902" i="202" s="1"/>
  <c r="BH1878" i="202"/>
  <c r="BK1878" i="202" s="1"/>
  <c r="BH1846" i="202"/>
  <c r="BK1846" i="202" s="1"/>
  <c r="BH1822" i="202"/>
  <c r="BK1822" i="202" s="1"/>
  <c r="BH1790" i="202"/>
  <c r="BK1790" i="202" s="1"/>
  <c r="BH1766" i="202"/>
  <c r="BK1766" i="202" s="1"/>
  <c r="BH1734" i="202"/>
  <c r="BK1734" i="202" s="1"/>
  <c r="BH1702" i="202"/>
  <c r="BK1702" i="202" s="1"/>
  <c r="BH1670" i="202"/>
  <c r="BK1670" i="202" s="1"/>
  <c r="BH1646" i="202"/>
  <c r="BK1646" i="202" s="1"/>
  <c r="BH1606" i="202"/>
  <c r="BK1606" i="202" s="1"/>
  <c r="BH1574" i="202"/>
  <c r="BK1574" i="202" s="1"/>
  <c r="BH1550" i="202"/>
  <c r="BK1550" i="202" s="1"/>
  <c r="BH1518" i="202"/>
  <c r="BK1518" i="202" s="1"/>
  <c r="BH1494" i="202"/>
  <c r="BK1494" i="202" s="1"/>
  <c r="BH1470" i="202"/>
  <c r="BK1470" i="202" s="1"/>
  <c r="BH1438" i="202"/>
  <c r="BK1438" i="202" s="1"/>
  <c r="BH1406" i="202"/>
  <c r="BK1406" i="202" s="1"/>
  <c r="BH1374" i="202"/>
  <c r="BK1374" i="202" s="1"/>
  <c r="BH1350" i="202"/>
  <c r="BK1350" i="202" s="1"/>
  <c r="BH1318" i="202"/>
  <c r="BK1318" i="202" s="1"/>
  <c r="BH1286" i="202"/>
  <c r="BK1286" i="202" s="1"/>
  <c r="BH1262" i="202"/>
  <c r="BK1262" i="202" s="1"/>
  <c r="BH1238" i="202"/>
  <c r="BK1238" i="202" s="1"/>
  <c r="BH1206" i="202"/>
  <c r="BK1206" i="202" s="1"/>
  <c r="BH1174" i="202"/>
  <c r="BK1174" i="202" s="1"/>
  <c r="BH1150" i="202"/>
  <c r="BK1150" i="202" s="1"/>
  <c r="BH1118" i="202"/>
  <c r="BK1118" i="202" s="1"/>
  <c r="BH1086" i="202"/>
  <c r="BK1086" i="202" s="1"/>
  <c r="BH1054" i="202"/>
  <c r="BK1054" i="202" s="1"/>
  <c r="BH1038" i="202"/>
  <c r="BK1038" i="202" s="1"/>
  <c r="BH1006" i="202"/>
  <c r="BK1006" i="202" s="1"/>
  <c r="BH966" i="202"/>
  <c r="BK966" i="202" s="1"/>
  <c r="BH942" i="202"/>
  <c r="BK942" i="202" s="1"/>
  <c r="BH926" i="202"/>
  <c r="BK926" i="202" s="1"/>
  <c r="BH894" i="202"/>
  <c r="BK894" i="202" s="1"/>
  <c r="BH822" i="202"/>
  <c r="BK822" i="202" s="1"/>
  <c r="BH2045" i="202"/>
  <c r="BH2037" i="202"/>
  <c r="BH2029" i="202"/>
  <c r="BH2021" i="202"/>
  <c r="BH2013" i="202"/>
  <c r="BH2005" i="202"/>
  <c r="BH1997" i="202"/>
  <c r="BH1989" i="202"/>
  <c r="BH1981" i="202"/>
  <c r="BH1973" i="202"/>
  <c r="BH1965" i="202"/>
  <c r="BH1957" i="202"/>
  <c r="BH1949" i="202"/>
  <c r="BH1941" i="202"/>
  <c r="BH1933" i="202"/>
  <c r="BH1925" i="202"/>
  <c r="BH1917" i="202"/>
  <c r="BH1909" i="202"/>
  <c r="BH1901" i="202"/>
  <c r="BH1893" i="202"/>
  <c r="BH1885" i="202"/>
  <c r="BH1877" i="202"/>
  <c r="BH1869" i="202"/>
  <c r="BH1861" i="202"/>
  <c r="BH1853" i="202"/>
  <c r="BH1845" i="202"/>
  <c r="BH1837" i="202"/>
  <c r="BH1829" i="202"/>
  <c r="BH1821" i="202"/>
  <c r="BH1813" i="202"/>
  <c r="BH1805" i="202"/>
  <c r="BH1797" i="202"/>
  <c r="BH1789" i="202"/>
  <c r="BH1781" i="202"/>
  <c r="BH1773" i="202"/>
  <c r="BH1765" i="202"/>
  <c r="BH1757" i="202"/>
  <c r="BH1749" i="202"/>
  <c r="BH1741" i="202"/>
  <c r="BH1733" i="202"/>
  <c r="BH1725" i="202"/>
  <c r="BH1717" i="202"/>
  <c r="BH1709" i="202"/>
  <c r="BH1701" i="202"/>
  <c r="BH1693" i="202"/>
  <c r="BH1685" i="202"/>
  <c r="BH1677" i="202"/>
  <c r="BH1669" i="202"/>
  <c r="BH1661" i="202"/>
  <c r="BH1653" i="202"/>
  <c r="BH1645" i="202"/>
  <c r="BH1637" i="202"/>
  <c r="BH1629" i="202"/>
  <c r="BH1621" i="202"/>
  <c r="BH1613" i="202"/>
  <c r="BH1605" i="202"/>
  <c r="BH1597" i="202"/>
  <c r="BH1589" i="202"/>
  <c r="BH1581" i="202"/>
  <c r="BH1573" i="202"/>
  <c r="BH1565" i="202"/>
  <c r="BH1557" i="202"/>
  <c r="BH1549" i="202"/>
  <c r="BH1541" i="202"/>
  <c r="BH1533" i="202"/>
  <c r="BH1525" i="202"/>
  <c r="BH1517" i="202"/>
  <c r="BH1509" i="202"/>
  <c r="BH1501" i="202"/>
  <c r="BH1493" i="202"/>
  <c r="BH1485" i="202"/>
  <c r="BH1477" i="202"/>
  <c r="BH1469" i="202"/>
  <c r="BH1461" i="202"/>
  <c r="BH1453" i="202"/>
  <c r="BH1445" i="202"/>
  <c r="BH1437" i="202"/>
  <c r="BH1429" i="202"/>
  <c r="BH1421" i="202"/>
  <c r="BH1413" i="202"/>
  <c r="BH1405" i="202"/>
  <c r="BH1397" i="202"/>
  <c r="BH1389" i="202"/>
  <c r="BH1381" i="202"/>
  <c r="BH1373" i="202"/>
  <c r="BH1365" i="202"/>
  <c r="BH1357" i="202"/>
  <c r="BH1349" i="202"/>
  <c r="BH1341" i="202"/>
  <c r="BH1333" i="202"/>
  <c r="BH1325" i="202"/>
  <c r="BH1317" i="202"/>
  <c r="BH1309" i="202"/>
  <c r="BH1301" i="202"/>
  <c r="BH1293" i="202"/>
  <c r="BH1285" i="202"/>
  <c r="BH1277" i="202"/>
  <c r="BH1269" i="202"/>
  <c r="BH1261" i="202"/>
  <c r="BH1253" i="202"/>
  <c r="BH1245" i="202"/>
  <c r="BH1237" i="202"/>
  <c r="BH1229" i="202"/>
  <c r="BH1221" i="202"/>
  <c r="BH1213" i="202"/>
  <c r="BH1205" i="202"/>
  <c r="BH1197" i="202"/>
  <c r="BH1189" i="202"/>
  <c r="BH1181" i="202"/>
  <c r="BH1173" i="202"/>
  <c r="BH1165" i="202"/>
  <c r="BH1157" i="202"/>
  <c r="BK743" i="202"/>
  <c r="BH2038" i="202"/>
  <c r="BK2038" i="202" s="1"/>
  <c r="BH2006" i="202"/>
  <c r="BK2006" i="202" s="1"/>
  <c r="BH1974" i="202"/>
  <c r="BK1974" i="202" s="1"/>
  <c r="BH1926" i="202"/>
  <c r="BK1926" i="202" s="1"/>
  <c r="BH1894" i="202"/>
  <c r="BK1894" i="202" s="1"/>
  <c r="BH1862" i="202"/>
  <c r="BK1862" i="202" s="1"/>
  <c r="BH1838" i="202"/>
  <c r="BK1838" i="202" s="1"/>
  <c r="BH1806" i="202"/>
  <c r="BK1806" i="202" s="1"/>
  <c r="BH1774" i="202"/>
  <c r="BK1774" i="202" s="1"/>
  <c r="BH1742" i="202"/>
  <c r="BK1742" i="202" s="1"/>
  <c r="BH1710" i="202"/>
  <c r="BK1710" i="202" s="1"/>
  <c r="BH1686" i="202"/>
  <c r="BK1686" i="202" s="1"/>
  <c r="BH1654" i="202"/>
  <c r="BK1654" i="202" s="1"/>
  <c r="BH1622" i="202"/>
  <c r="BK1622" i="202" s="1"/>
  <c r="BH1598" i="202"/>
  <c r="BK1598" i="202" s="1"/>
  <c r="BH1566" i="202"/>
  <c r="BK1566" i="202" s="1"/>
  <c r="BH1526" i="202"/>
  <c r="BK1526" i="202" s="1"/>
  <c r="BH1486" i="202"/>
  <c r="BK1486" i="202" s="1"/>
  <c r="BH1454" i="202"/>
  <c r="BK1454" i="202" s="1"/>
  <c r="BH1430" i="202"/>
  <c r="BK1430" i="202" s="1"/>
  <c r="BH1398" i="202"/>
  <c r="BK1398" i="202" s="1"/>
  <c r="BH1366" i="202"/>
  <c r="BK1366" i="202" s="1"/>
  <c r="BH1334" i="202"/>
  <c r="BK1334" i="202" s="1"/>
  <c r="BH1310" i="202"/>
  <c r="BK1310" i="202" s="1"/>
  <c r="BH1278" i="202"/>
  <c r="BK1278" i="202" s="1"/>
  <c r="BH1230" i="202"/>
  <c r="BK1230" i="202" s="1"/>
  <c r="BH1198" i="202"/>
  <c r="BK1198" i="202" s="1"/>
  <c r="BH1166" i="202"/>
  <c r="BK1166" i="202" s="1"/>
  <c r="BH1134" i="202"/>
  <c r="BK1134" i="202" s="1"/>
  <c r="BH1110" i="202"/>
  <c r="BK1110" i="202" s="1"/>
  <c r="BH1078" i="202"/>
  <c r="BK1078" i="202" s="1"/>
  <c r="BH1046" i="202"/>
  <c r="BK1046" i="202" s="1"/>
  <c r="BH1014" i="202"/>
  <c r="BK1014" i="202" s="1"/>
  <c r="BH982" i="202"/>
  <c r="BK982" i="202" s="1"/>
  <c r="BH950" i="202"/>
  <c r="BK950" i="202" s="1"/>
  <c r="BH918" i="202"/>
  <c r="BK918" i="202" s="1"/>
  <c r="BH878" i="202"/>
  <c r="BK878" i="202" s="1"/>
  <c r="BH830" i="202"/>
  <c r="BK830" i="202" s="1"/>
  <c r="BK2036" i="202"/>
  <c r="BK1948" i="202"/>
  <c r="BK1780" i="202"/>
  <c r="BK1324" i="202"/>
  <c r="BK1196" i="202"/>
  <c r="BK927" i="202"/>
  <c r="BH2022" i="202"/>
  <c r="BK2022" i="202" s="1"/>
  <c r="BH1982" i="202"/>
  <c r="BK1982" i="202" s="1"/>
  <c r="BH1950" i="202"/>
  <c r="BK1950" i="202" s="1"/>
  <c r="BH1918" i="202"/>
  <c r="BK1918" i="202" s="1"/>
  <c r="BH1870" i="202"/>
  <c r="BK1870" i="202" s="1"/>
  <c r="BH1830" i="202"/>
  <c r="BK1830" i="202" s="1"/>
  <c r="BH1798" i="202"/>
  <c r="BK1798" i="202" s="1"/>
  <c r="BH1750" i="202"/>
  <c r="BK1750" i="202" s="1"/>
  <c r="BH1718" i="202"/>
  <c r="BK1718" i="202" s="1"/>
  <c r="BH1678" i="202"/>
  <c r="BK1678" i="202" s="1"/>
  <c r="BH1630" i="202"/>
  <c r="BK1630" i="202" s="1"/>
  <c r="BH1590" i="202"/>
  <c r="BK1590" i="202" s="1"/>
  <c r="BH1542" i="202"/>
  <c r="BK1542" i="202" s="1"/>
  <c r="BH1510" i="202"/>
  <c r="BK1510" i="202" s="1"/>
  <c r="BH1462" i="202"/>
  <c r="BK1462" i="202" s="1"/>
  <c r="BH1422" i="202"/>
  <c r="BK1422" i="202" s="1"/>
  <c r="BH1382" i="202"/>
  <c r="BK1382" i="202" s="1"/>
  <c r="BH1342" i="202"/>
  <c r="BK1342" i="202" s="1"/>
  <c r="BH1302" i="202"/>
  <c r="BK1302" i="202" s="1"/>
  <c r="BH1254" i="202"/>
  <c r="BK1254" i="202" s="1"/>
  <c r="BH1222" i="202"/>
  <c r="BK1222" i="202" s="1"/>
  <c r="BH1190" i="202"/>
  <c r="BK1190" i="202" s="1"/>
  <c r="BH1142" i="202"/>
  <c r="BK1142" i="202" s="1"/>
  <c r="BH1102" i="202"/>
  <c r="BK1102" i="202" s="1"/>
  <c r="BH1070" i="202"/>
  <c r="BK1070" i="202" s="1"/>
  <c r="BH1022" i="202"/>
  <c r="BK1022" i="202" s="1"/>
  <c r="BH990" i="202"/>
  <c r="BK990" i="202" s="1"/>
  <c r="BH958" i="202"/>
  <c r="BK958" i="202" s="1"/>
  <c r="BH910" i="202"/>
  <c r="BK910" i="202" s="1"/>
  <c r="BH886" i="202"/>
  <c r="BK886" i="202" s="1"/>
  <c r="BH862" i="202"/>
  <c r="BK862" i="202" s="1"/>
  <c r="BH854" i="202"/>
  <c r="BK854" i="202" s="1"/>
  <c r="BH838" i="202"/>
  <c r="BK838" i="202" s="1"/>
  <c r="BH2043" i="202"/>
  <c r="BK2043" i="202" s="1"/>
  <c r="BH2035" i="202"/>
  <c r="BK2035" i="202" s="1"/>
  <c r="BH2027" i="202"/>
  <c r="BK2027" i="202" s="1"/>
  <c r="BH2019" i="202"/>
  <c r="BK2019" i="202" s="1"/>
  <c r="BH2011" i="202"/>
  <c r="BK2011" i="202" s="1"/>
  <c r="BH2003" i="202"/>
  <c r="BK2003" i="202" s="1"/>
  <c r="BH1995" i="202"/>
  <c r="BK1995" i="202" s="1"/>
  <c r="BH1987" i="202"/>
  <c r="BK1987" i="202" s="1"/>
  <c r="BH1979" i="202"/>
  <c r="BK1979" i="202" s="1"/>
  <c r="BH1971" i="202"/>
  <c r="BK1971" i="202" s="1"/>
  <c r="BH1963" i="202"/>
  <c r="BK1963" i="202" s="1"/>
  <c r="BH1955" i="202"/>
  <c r="BK1955" i="202" s="1"/>
  <c r="BH1947" i="202"/>
  <c r="BK1947" i="202" s="1"/>
  <c r="BH1939" i="202"/>
  <c r="BK1939" i="202" s="1"/>
  <c r="BH1931" i="202"/>
  <c r="BK1931" i="202" s="1"/>
  <c r="BH1923" i="202"/>
  <c r="BK1923" i="202" s="1"/>
  <c r="BH1915" i="202"/>
  <c r="BK1915" i="202" s="1"/>
  <c r="BH1907" i="202"/>
  <c r="BK1907" i="202" s="1"/>
  <c r="BH1899" i="202"/>
  <c r="BK1899" i="202" s="1"/>
  <c r="BH1891" i="202"/>
  <c r="BK1891" i="202" s="1"/>
  <c r="BH1883" i="202"/>
  <c r="BK1883" i="202" s="1"/>
  <c r="BH1875" i="202"/>
  <c r="BK1875" i="202" s="1"/>
  <c r="BH1867" i="202"/>
  <c r="BK1867" i="202" s="1"/>
  <c r="BH1859" i="202"/>
  <c r="BK1859" i="202" s="1"/>
  <c r="BH1851" i="202"/>
  <c r="BK1851" i="202" s="1"/>
  <c r="BH1843" i="202"/>
  <c r="BK1843" i="202" s="1"/>
  <c r="BH1835" i="202"/>
  <c r="BK1835" i="202" s="1"/>
  <c r="BH1827" i="202"/>
  <c r="BK1827" i="202" s="1"/>
  <c r="BH1819" i="202"/>
  <c r="BK1819" i="202" s="1"/>
  <c r="BH1811" i="202"/>
  <c r="BK1811" i="202" s="1"/>
  <c r="BH1803" i="202"/>
  <c r="BK1803" i="202" s="1"/>
  <c r="BH1795" i="202"/>
  <c r="BK1795" i="202" s="1"/>
  <c r="BH1787" i="202"/>
  <c r="BK1787" i="202" s="1"/>
  <c r="BH1779" i="202"/>
  <c r="BK1779" i="202" s="1"/>
  <c r="BH1771" i="202"/>
  <c r="BK1771" i="202" s="1"/>
  <c r="BH1763" i="202"/>
  <c r="BK1763" i="202" s="1"/>
  <c r="BH1755" i="202"/>
  <c r="BK1755" i="202" s="1"/>
  <c r="BH1747" i="202"/>
  <c r="BK1747" i="202" s="1"/>
  <c r="BH1739" i="202"/>
  <c r="BK1739" i="202" s="1"/>
  <c r="BH1731" i="202"/>
  <c r="BK1731" i="202" s="1"/>
  <c r="BH1723" i="202"/>
  <c r="BK1723" i="202" s="1"/>
  <c r="BH1715" i="202"/>
  <c r="BK1715" i="202" s="1"/>
  <c r="BH1707" i="202"/>
  <c r="BK1707" i="202" s="1"/>
  <c r="BH1699" i="202"/>
  <c r="BK1699" i="202" s="1"/>
  <c r="BH1691" i="202"/>
  <c r="BK1691" i="202" s="1"/>
  <c r="BH1683" i="202"/>
  <c r="BK1683" i="202" s="1"/>
  <c r="BH1675" i="202"/>
  <c r="BK1675" i="202" s="1"/>
  <c r="BH1667" i="202"/>
  <c r="BK1667" i="202" s="1"/>
  <c r="BH1659" i="202"/>
  <c r="BK1659" i="202" s="1"/>
  <c r="BH1651" i="202"/>
  <c r="BK1651" i="202" s="1"/>
  <c r="BH1643" i="202"/>
  <c r="BK1643" i="202" s="1"/>
  <c r="BH1635" i="202"/>
  <c r="BK1635" i="202" s="1"/>
  <c r="BH1627" i="202"/>
  <c r="BK1627" i="202" s="1"/>
  <c r="BH1619" i="202"/>
  <c r="BK1619" i="202" s="1"/>
  <c r="BH1611" i="202"/>
  <c r="BK1611" i="202" s="1"/>
  <c r="BH1603" i="202"/>
  <c r="BK1603" i="202" s="1"/>
  <c r="BH1595" i="202"/>
  <c r="BK1595" i="202" s="1"/>
  <c r="BH1587" i="202"/>
  <c r="BK1587" i="202" s="1"/>
  <c r="BH1579" i="202"/>
  <c r="BK1579" i="202" s="1"/>
  <c r="BH1571" i="202"/>
  <c r="BK1571" i="202" s="1"/>
  <c r="BH1563" i="202"/>
  <c r="BK1563" i="202" s="1"/>
  <c r="BH1555" i="202"/>
  <c r="BK1555" i="202" s="1"/>
  <c r="BH1547" i="202"/>
  <c r="BK1547" i="202" s="1"/>
  <c r="BH1539" i="202"/>
  <c r="BK1539" i="202" s="1"/>
  <c r="BH1531" i="202"/>
  <c r="BK1531" i="202" s="1"/>
  <c r="BH1523" i="202"/>
  <c r="BK1523" i="202" s="1"/>
  <c r="BH1515" i="202"/>
  <c r="BK1515" i="202" s="1"/>
  <c r="BH1507" i="202"/>
  <c r="BK1507" i="202" s="1"/>
  <c r="BH1499" i="202"/>
  <c r="BK1499" i="202" s="1"/>
  <c r="BH1491" i="202"/>
  <c r="BK1491" i="202" s="1"/>
  <c r="BH1483" i="202"/>
  <c r="BK1483" i="202" s="1"/>
  <c r="BH1475" i="202"/>
  <c r="BK1475" i="202" s="1"/>
  <c r="BH1467" i="202"/>
  <c r="BK1467" i="202" s="1"/>
  <c r="BH1459" i="202"/>
  <c r="BK1459" i="202" s="1"/>
  <c r="BH1451" i="202"/>
  <c r="BK1451" i="202" s="1"/>
  <c r="BH1443" i="202"/>
  <c r="BK1443" i="202" s="1"/>
  <c r="BH1435" i="202"/>
  <c r="BK1435" i="202" s="1"/>
  <c r="BH1427" i="202"/>
  <c r="BK1427" i="202" s="1"/>
  <c r="BH1419" i="202"/>
  <c r="BK1419" i="202" s="1"/>
  <c r="BH1411" i="202"/>
  <c r="BK1411" i="202" s="1"/>
  <c r="BH1403" i="202"/>
  <c r="BK1403" i="202" s="1"/>
  <c r="BH1395" i="202"/>
  <c r="BK1395" i="202" s="1"/>
  <c r="BH1387" i="202"/>
  <c r="BK1387" i="202" s="1"/>
  <c r="BH1379" i="202"/>
  <c r="BK1379" i="202" s="1"/>
  <c r="BH1371" i="202"/>
  <c r="BK1371" i="202" s="1"/>
  <c r="BH1363" i="202"/>
  <c r="BK1363" i="202" s="1"/>
  <c r="BH1355" i="202"/>
  <c r="BK1355" i="202" s="1"/>
  <c r="BH1347" i="202"/>
  <c r="BK1347" i="202" s="1"/>
  <c r="BH1339" i="202"/>
  <c r="BK1339" i="202" s="1"/>
  <c r="BH1331" i="202"/>
  <c r="BK1331" i="202" s="1"/>
  <c r="BH1323" i="202"/>
  <c r="BK1323" i="202" s="1"/>
  <c r="BH1315" i="202"/>
  <c r="BK1315" i="202" s="1"/>
  <c r="BH1307" i="202"/>
  <c r="BK1307" i="202" s="1"/>
  <c r="BH1299" i="202"/>
  <c r="BK1299" i="202" s="1"/>
  <c r="BH1291" i="202"/>
  <c r="BK1291" i="202" s="1"/>
  <c r="BH1283" i="202"/>
  <c r="BK1283" i="202" s="1"/>
  <c r="BH1275" i="202"/>
  <c r="BK1275" i="202" s="1"/>
  <c r="BH1267" i="202"/>
  <c r="BK1267" i="202" s="1"/>
  <c r="BH1259" i="202"/>
  <c r="BK1259" i="202" s="1"/>
  <c r="BH1251" i="202"/>
  <c r="BK1251" i="202" s="1"/>
  <c r="BH1243" i="202"/>
  <c r="BK1243" i="202" s="1"/>
  <c r="BH1235" i="202"/>
  <c r="BK1235" i="202" s="1"/>
  <c r="BH1227" i="202"/>
  <c r="BK1227" i="202" s="1"/>
  <c r="BH1219" i="202"/>
  <c r="BK1219" i="202" s="1"/>
  <c r="BH1211" i="202"/>
  <c r="BK1211" i="202" s="1"/>
  <c r="BH1203" i="202"/>
  <c r="BK1203" i="202" s="1"/>
  <c r="BH1195" i="202"/>
  <c r="BK1195" i="202" s="1"/>
  <c r="BH1187" i="202"/>
  <c r="BK1187" i="202" s="1"/>
  <c r="BH1179" i="202"/>
  <c r="BK1179" i="202" s="1"/>
  <c r="BH1171" i="202"/>
  <c r="BK1171" i="202" s="1"/>
  <c r="BH2030" i="202"/>
  <c r="BK2030" i="202" s="1"/>
  <c r="BH1998" i="202"/>
  <c r="BK1998" i="202" s="1"/>
  <c r="BH1966" i="202"/>
  <c r="BK1966" i="202" s="1"/>
  <c r="BH1942" i="202"/>
  <c r="BK1942" i="202" s="1"/>
  <c r="BH1910" i="202"/>
  <c r="BK1910" i="202" s="1"/>
  <c r="BH1886" i="202"/>
  <c r="BK1886" i="202" s="1"/>
  <c r="BH1854" i="202"/>
  <c r="BK1854" i="202" s="1"/>
  <c r="BH1814" i="202"/>
  <c r="BK1814" i="202" s="1"/>
  <c r="BH1782" i="202"/>
  <c r="BK1782" i="202" s="1"/>
  <c r="BH1758" i="202"/>
  <c r="BK1758" i="202" s="1"/>
  <c r="BH1726" i="202"/>
  <c r="BK1726" i="202" s="1"/>
  <c r="BH1694" i="202"/>
  <c r="BK1694" i="202" s="1"/>
  <c r="BH1662" i="202"/>
  <c r="BK1662" i="202" s="1"/>
  <c r="BH1638" i="202"/>
  <c r="BK1638" i="202" s="1"/>
  <c r="BH1614" i="202"/>
  <c r="BK1614" i="202" s="1"/>
  <c r="BH1582" i="202"/>
  <c r="BK1582" i="202" s="1"/>
  <c r="BH1558" i="202"/>
  <c r="BK1558" i="202" s="1"/>
  <c r="BH1534" i="202"/>
  <c r="BK1534" i="202" s="1"/>
  <c r="BH1502" i="202"/>
  <c r="BK1502" i="202" s="1"/>
  <c r="BH1478" i="202"/>
  <c r="BK1478" i="202" s="1"/>
  <c r="BH1446" i="202"/>
  <c r="BK1446" i="202" s="1"/>
  <c r="BH1414" i="202"/>
  <c r="BK1414" i="202" s="1"/>
  <c r="BH1390" i="202"/>
  <c r="BK1390" i="202" s="1"/>
  <c r="BH1358" i="202"/>
  <c r="BK1358" i="202" s="1"/>
  <c r="BH1326" i="202"/>
  <c r="BK1326" i="202" s="1"/>
  <c r="BH1294" i="202"/>
  <c r="BK1294" i="202" s="1"/>
  <c r="BH1270" i="202"/>
  <c r="BK1270" i="202" s="1"/>
  <c r="BH1246" i="202"/>
  <c r="BK1246" i="202" s="1"/>
  <c r="BH1214" i="202"/>
  <c r="BK1214" i="202" s="1"/>
  <c r="BH1182" i="202"/>
  <c r="BK1182" i="202" s="1"/>
  <c r="BH1158" i="202"/>
  <c r="BK1158" i="202" s="1"/>
  <c r="BH1126" i="202"/>
  <c r="BK1126" i="202" s="1"/>
  <c r="BH1094" i="202"/>
  <c r="BK1094" i="202" s="1"/>
  <c r="BH1062" i="202"/>
  <c r="BK1062" i="202" s="1"/>
  <c r="BH1030" i="202"/>
  <c r="BK1030" i="202" s="1"/>
  <c r="BH998" i="202"/>
  <c r="BK998" i="202" s="1"/>
  <c r="BH974" i="202"/>
  <c r="BK974" i="202" s="1"/>
  <c r="BH934" i="202"/>
  <c r="BK934" i="202" s="1"/>
  <c r="BH902" i="202"/>
  <c r="BK902" i="202" s="1"/>
  <c r="BH870" i="202"/>
  <c r="BK870" i="202" s="1"/>
  <c r="BH846" i="202"/>
  <c r="BK846" i="202" s="1"/>
  <c r="BH2042" i="202"/>
  <c r="BH2034" i="202"/>
  <c r="BH2026" i="202"/>
  <c r="BH2018" i="202"/>
  <c r="BH2010" i="202"/>
  <c r="BH2002" i="202"/>
  <c r="BH1994" i="202"/>
  <c r="BH1986" i="202"/>
  <c r="BH1978" i="202"/>
  <c r="BH1970" i="202"/>
  <c r="BH1962" i="202"/>
  <c r="BH1954" i="202"/>
  <c r="BH1946" i="202"/>
  <c r="BH1938" i="202"/>
  <c r="BH1930" i="202"/>
  <c r="BH1922" i="202"/>
  <c r="BH1914" i="202"/>
  <c r="BH1906" i="202"/>
  <c r="BH1898" i="202"/>
  <c r="BH1890" i="202"/>
  <c r="BH1882" i="202"/>
  <c r="BH1874" i="202"/>
  <c r="BH1866" i="202"/>
  <c r="BH1858" i="202"/>
  <c r="BH1850" i="202"/>
  <c r="BH1842" i="202"/>
  <c r="BH1834" i="202"/>
  <c r="BH1826" i="202"/>
  <c r="BH1818" i="202"/>
  <c r="BH1810" i="202"/>
  <c r="BH1802" i="202"/>
  <c r="BH1794" i="202"/>
  <c r="BH1786" i="202"/>
  <c r="BH1778" i="202"/>
  <c r="BH1770" i="202"/>
  <c r="BH1762" i="202"/>
  <c r="BH1754" i="202"/>
  <c r="BH1746" i="202"/>
  <c r="BH1738" i="202"/>
  <c r="BH1730" i="202"/>
  <c r="BH1722" i="202"/>
  <c r="BH1714" i="202"/>
  <c r="BK1714" i="202" s="1"/>
  <c r="BH1706" i="202"/>
  <c r="BH1698" i="202"/>
  <c r="BH1690" i="202"/>
  <c r="BK1690" i="202" s="1"/>
  <c r="BH1682" i="202"/>
  <c r="BH1674" i="202"/>
  <c r="BH1666" i="202"/>
  <c r="BH1658" i="202"/>
  <c r="BH1650" i="202"/>
  <c r="BK1650" i="202" s="1"/>
  <c r="BH1642" i="202"/>
  <c r="BH1634" i="202"/>
  <c r="BH1626" i="202"/>
  <c r="BK1626" i="202" s="1"/>
  <c r="BH1618" i="202"/>
  <c r="BH1610" i="202"/>
  <c r="BH1602" i="202"/>
  <c r="BH1594" i="202"/>
  <c r="BH1586" i="202"/>
  <c r="BK1586" i="202" s="1"/>
  <c r="BH1578" i="202"/>
  <c r="BH1570" i="202"/>
  <c r="BH1562" i="202"/>
  <c r="BK1562" i="202" s="1"/>
  <c r="BH1554" i="202"/>
  <c r="BH1546" i="202"/>
  <c r="BH1538" i="202"/>
  <c r="BH1530" i="202"/>
  <c r="BH1522" i="202"/>
  <c r="BK1522" i="202" s="1"/>
  <c r="BH1514" i="202"/>
  <c r="BH1506" i="202"/>
  <c r="BH1498" i="202"/>
  <c r="BK1498" i="202" s="1"/>
  <c r="BH1490" i="202"/>
  <c r="BH1482" i="202"/>
  <c r="BH1474" i="202"/>
  <c r="BH1466" i="202"/>
  <c r="BH1458" i="202"/>
  <c r="BK1458" i="202" s="1"/>
  <c r="BH1450" i="202"/>
  <c r="BH1442" i="202"/>
  <c r="BH1434" i="202"/>
  <c r="BK1434" i="202" s="1"/>
  <c r="BH1426" i="202"/>
  <c r="BH1418" i="202"/>
  <c r="BH1410" i="202"/>
  <c r="BH1402" i="202"/>
  <c r="BH1394" i="202"/>
  <c r="BK1394" i="202" s="1"/>
  <c r="BH1386" i="202"/>
  <c r="BH1378" i="202"/>
  <c r="BH1370" i="202"/>
  <c r="BK1370" i="202" s="1"/>
  <c r="BH1362" i="202"/>
  <c r="BH1354" i="202"/>
  <c r="BH1346" i="202"/>
  <c r="BH1338" i="202"/>
  <c r="BH1330" i="202"/>
  <c r="BK1330" i="202" s="1"/>
  <c r="BH1322" i="202"/>
  <c r="BH1314" i="202"/>
  <c r="BH1306" i="202"/>
  <c r="BK1306" i="202" s="1"/>
  <c r="BH1298" i="202"/>
  <c r="BH1290" i="202"/>
  <c r="BH1282" i="202"/>
  <c r="BH1274" i="202"/>
  <c r="BH1266" i="202"/>
  <c r="BK1266" i="202" s="1"/>
  <c r="BH1258" i="202"/>
  <c r="BH1250" i="202"/>
  <c r="BH1242" i="202"/>
  <c r="BK1242" i="202" s="1"/>
  <c r="BH1234" i="202"/>
  <c r="BH1226" i="202"/>
  <c r="BH1218" i="202"/>
  <c r="BH1210" i="202"/>
  <c r="BH1202" i="202"/>
  <c r="BK1202" i="202" s="1"/>
  <c r="BH1194" i="202"/>
  <c r="BH1186" i="202"/>
  <c r="BH2048" i="202"/>
  <c r="BK2048" i="202" s="1"/>
  <c r="BH2040" i="202"/>
  <c r="BK2040" i="202" s="1"/>
  <c r="BH2032" i="202"/>
  <c r="BK2032" i="202" s="1"/>
  <c r="BH2024" i="202"/>
  <c r="BK2024" i="202" s="1"/>
  <c r="BH2016" i="202"/>
  <c r="BK2016" i="202" s="1"/>
  <c r="BH2008" i="202"/>
  <c r="BK2008" i="202" s="1"/>
  <c r="BH2000" i="202"/>
  <c r="BK2000" i="202" s="1"/>
  <c r="BH1992" i="202"/>
  <c r="BK1992" i="202" s="1"/>
  <c r="BH1984" i="202"/>
  <c r="BK1984" i="202" s="1"/>
  <c r="BH1976" i="202"/>
  <c r="BK1976" i="202" s="1"/>
  <c r="BH1968" i="202"/>
  <c r="BK1968" i="202" s="1"/>
  <c r="BH1960" i="202"/>
  <c r="BK1960" i="202" s="1"/>
  <c r="BH1952" i="202"/>
  <c r="BK1952" i="202" s="1"/>
  <c r="BH1944" i="202"/>
  <c r="BK1944" i="202" s="1"/>
  <c r="BH1936" i="202"/>
  <c r="BK1936" i="202" s="1"/>
  <c r="BH1928" i="202"/>
  <c r="BK1928" i="202" s="1"/>
  <c r="BH1920" i="202"/>
  <c r="BK1920" i="202" s="1"/>
  <c r="BH1912" i="202"/>
  <c r="BK1912" i="202" s="1"/>
  <c r="BH1904" i="202"/>
  <c r="BK1904" i="202" s="1"/>
  <c r="BH1896" i="202"/>
  <c r="BK1896" i="202" s="1"/>
  <c r="BH1888" i="202"/>
  <c r="BK1888" i="202" s="1"/>
  <c r="BH1880" i="202"/>
  <c r="BK1880" i="202" s="1"/>
  <c r="BH1872" i="202"/>
  <c r="BK1872" i="202" s="1"/>
  <c r="BH1864" i="202"/>
  <c r="BK1864" i="202" s="1"/>
  <c r="BH1856" i="202"/>
  <c r="BK1856" i="202" s="1"/>
  <c r="BH1848" i="202"/>
  <c r="BK1848" i="202" s="1"/>
  <c r="BH1840" i="202"/>
  <c r="BK1840" i="202" s="1"/>
  <c r="BH1832" i="202"/>
  <c r="BK1832" i="202" s="1"/>
  <c r="BH1824" i="202"/>
  <c r="BK1824" i="202" s="1"/>
  <c r="BH1816" i="202"/>
  <c r="BK1816" i="202" s="1"/>
  <c r="BH1808" i="202"/>
  <c r="BK1808" i="202" s="1"/>
  <c r="BH1800" i="202"/>
  <c r="BK1800" i="202" s="1"/>
  <c r="BH1792" i="202"/>
  <c r="BK1792" i="202" s="1"/>
  <c r="BH1784" i="202"/>
  <c r="BK1784" i="202" s="1"/>
  <c r="BH1776" i="202"/>
  <c r="BK1776" i="202" s="1"/>
  <c r="BH1768" i="202"/>
  <c r="BK1768" i="202" s="1"/>
  <c r="BH1760" i="202"/>
  <c r="BK1760" i="202" s="1"/>
  <c r="BH1752" i="202"/>
  <c r="BK1752" i="202" s="1"/>
  <c r="BH1744" i="202"/>
  <c r="BK1744" i="202" s="1"/>
  <c r="BH1736" i="202"/>
  <c r="BK1736" i="202" s="1"/>
  <c r="BH1728" i="202"/>
  <c r="BK1728" i="202" s="1"/>
  <c r="BH1720" i="202"/>
  <c r="BK1720" i="202" s="1"/>
  <c r="BH1712" i="202"/>
  <c r="BK1712" i="202" s="1"/>
  <c r="BH1704" i="202"/>
  <c r="BK1704" i="202" s="1"/>
  <c r="BH1696" i="202"/>
  <c r="BK1696" i="202" s="1"/>
  <c r="BH1688" i="202"/>
  <c r="BK1688" i="202" s="1"/>
  <c r="BH1680" i="202"/>
  <c r="BK1680" i="202" s="1"/>
  <c r="BH1672" i="202"/>
  <c r="BK1672" i="202" s="1"/>
  <c r="BH1664" i="202"/>
  <c r="BK1664" i="202" s="1"/>
  <c r="BH1656" i="202"/>
  <c r="BK1656" i="202" s="1"/>
  <c r="BH1648" i="202"/>
  <c r="BK1648" i="202" s="1"/>
  <c r="BH1640" i="202"/>
  <c r="BK1640" i="202" s="1"/>
  <c r="BH1632" i="202"/>
  <c r="BK1632" i="202" s="1"/>
  <c r="BH1624" i="202"/>
  <c r="BK1624" i="202" s="1"/>
  <c r="BH1616" i="202"/>
  <c r="BK1616" i="202" s="1"/>
  <c r="BH1608" i="202"/>
  <c r="BK1608" i="202" s="1"/>
  <c r="BH1600" i="202"/>
  <c r="BK1600" i="202" s="1"/>
  <c r="BH1592" i="202"/>
  <c r="BK1592" i="202" s="1"/>
  <c r="BH1584" i="202"/>
  <c r="BK1584" i="202" s="1"/>
  <c r="BH1576" i="202"/>
  <c r="BK1576" i="202" s="1"/>
  <c r="BH1568" i="202"/>
  <c r="BK1568" i="202" s="1"/>
  <c r="BH1560" i="202"/>
  <c r="BK1560" i="202" s="1"/>
  <c r="BH1552" i="202"/>
  <c r="BK1552" i="202" s="1"/>
  <c r="BH1544" i="202"/>
  <c r="BK1544" i="202" s="1"/>
  <c r="BH1536" i="202"/>
  <c r="BK1536" i="202" s="1"/>
  <c r="BH1528" i="202"/>
  <c r="BK1528" i="202" s="1"/>
  <c r="BH1520" i="202"/>
  <c r="BK1520" i="202" s="1"/>
  <c r="BH1512" i="202"/>
  <c r="BK1512" i="202" s="1"/>
  <c r="BH1504" i="202"/>
  <c r="BK1504" i="202" s="1"/>
  <c r="BH1496" i="202"/>
  <c r="BK1496" i="202" s="1"/>
  <c r="BH1488" i="202"/>
  <c r="BK1488" i="202" s="1"/>
  <c r="BH1480" i="202"/>
  <c r="BK1480" i="202" s="1"/>
  <c r="BH1472" i="202"/>
  <c r="BK1472" i="202" s="1"/>
  <c r="BH1464" i="202"/>
  <c r="BK1464" i="202" s="1"/>
  <c r="BH1456" i="202"/>
  <c r="BK1456" i="202" s="1"/>
  <c r="BH1448" i="202"/>
  <c r="BK1448" i="202" s="1"/>
  <c r="BH1440" i="202"/>
  <c r="BK1440" i="202" s="1"/>
  <c r="BH1432" i="202"/>
  <c r="BK1432" i="202" s="1"/>
  <c r="BH1424" i="202"/>
  <c r="BK1424" i="202" s="1"/>
  <c r="BH1416" i="202"/>
  <c r="BK1416" i="202" s="1"/>
  <c r="BH1408" i="202"/>
  <c r="BK1408" i="202" s="1"/>
  <c r="BH1400" i="202"/>
  <c r="BK1400" i="202" s="1"/>
  <c r="BH1392" i="202"/>
  <c r="BK1392" i="202" s="1"/>
  <c r="BH1384" i="202"/>
  <c r="BK1384" i="202" s="1"/>
  <c r="BH1376" i="202"/>
  <c r="BK1376" i="202" s="1"/>
  <c r="BH1368" i="202"/>
  <c r="BK1368" i="202" s="1"/>
  <c r="BH1360" i="202"/>
  <c r="BK1360" i="202" s="1"/>
  <c r="BH1352" i="202"/>
  <c r="BK1352" i="202" s="1"/>
  <c r="BH1344" i="202"/>
  <c r="BK1344" i="202" s="1"/>
  <c r="BH1336" i="202"/>
  <c r="BK1336" i="202" s="1"/>
  <c r="BH1328" i="202"/>
  <c r="BK1328" i="202" s="1"/>
  <c r="BH1320" i="202"/>
  <c r="BK1320" i="202" s="1"/>
  <c r="BH1312" i="202"/>
  <c r="BK1312" i="202" s="1"/>
  <c r="BH1304" i="202"/>
  <c r="BK1304" i="202" s="1"/>
  <c r="BH1296" i="202"/>
  <c r="BK1296" i="202" s="1"/>
  <c r="BH1288" i="202"/>
  <c r="BK1288" i="202" s="1"/>
  <c r="BH1280" i="202"/>
  <c r="BK1280" i="202" s="1"/>
  <c r="BH1272" i="202"/>
  <c r="BK1272" i="202" s="1"/>
  <c r="BH1264" i="202"/>
  <c r="BK1264" i="202" s="1"/>
  <c r="BH1256" i="202"/>
  <c r="BK1256" i="202" s="1"/>
  <c r="BH1248" i="202"/>
  <c r="BK1248" i="202" s="1"/>
  <c r="BH1240" i="202"/>
  <c r="BK1240" i="202" s="1"/>
  <c r="BH1232" i="202"/>
  <c r="BK1232" i="202" s="1"/>
  <c r="BH1224" i="202"/>
  <c r="BK1224" i="202" s="1"/>
  <c r="BH1216" i="202"/>
  <c r="BK1216" i="202" s="1"/>
  <c r="BH1208" i="202"/>
  <c r="BK1208" i="202" s="1"/>
  <c r="BH1200" i="202"/>
  <c r="BK1200" i="202" s="1"/>
  <c r="BH1192" i="202"/>
  <c r="BK1192" i="202" s="1"/>
  <c r="BH1184" i="202"/>
  <c r="BK1184" i="202" s="1"/>
  <c r="BH1176" i="202"/>
  <c r="BK1176" i="202" s="1"/>
  <c r="BH1168" i="202"/>
  <c r="BK1168" i="202" s="1"/>
  <c r="BH806" i="202"/>
  <c r="BK806" i="202" s="1"/>
  <c r="BH798" i="202"/>
  <c r="BK798" i="202" s="1"/>
  <c r="BH790" i="202"/>
  <c r="BK790" i="202" s="1"/>
  <c r="BH782" i="202"/>
  <c r="BK782" i="202" s="1"/>
  <c r="BH774" i="202"/>
  <c r="BK774" i="202" s="1"/>
  <c r="BH766" i="202"/>
  <c r="BK766" i="202" s="1"/>
  <c r="BH758" i="202"/>
  <c r="BK758" i="202" s="1"/>
  <c r="BH750" i="202"/>
  <c r="BK750" i="202" s="1"/>
  <c r="BH742" i="202"/>
  <c r="BK742" i="202" s="1"/>
  <c r="BH734" i="202"/>
  <c r="BK734" i="202" s="1"/>
  <c r="BH726" i="202"/>
  <c r="BK726" i="202" s="1"/>
  <c r="BH718" i="202"/>
  <c r="BK718" i="202" s="1"/>
  <c r="BH710" i="202"/>
  <c r="BK710" i="202" s="1"/>
  <c r="BH702" i="202"/>
  <c r="BK702" i="202" s="1"/>
  <c r="BH694" i="202"/>
  <c r="BK694" i="202" s="1"/>
  <c r="BH686" i="202"/>
  <c r="BK686" i="202" s="1"/>
  <c r="BH678" i="202"/>
  <c r="BH670" i="202"/>
  <c r="BK670" i="202" s="1"/>
  <c r="BH662" i="202"/>
  <c r="BH654" i="202"/>
  <c r="BH646" i="202"/>
  <c r="BH638" i="202"/>
  <c r="BH630" i="202"/>
  <c r="BH622" i="202"/>
  <c r="BH614" i="202"/>
  <c r="BH606" i="202"/>
  <c r="BK606" i="202" s="1"/>
  <c r="BH598" i="202"/>
  <c r="BH590" i="202"/>
  <c r="BH582" i="202"/>
  <c r="BH574" i="202"/>
  <c r="BH566" i="202"/>
  <c r="BH558" i="202"/>
  <c r="BH550" i="202"/>
  <c r="BH542" i="202"/>
  <c r="BK542" i="202" s="1"/>
  <c r="BH534" i="202"/>
  <c r="BH526" i="202"/>
  <c r="BH518" i="202"/>
  <c r="BH510" i="202"/>
  <c r="BH502" i="202"/>
  <c r="BH494" i="202"/>
  <c r="BH486" i="202"/>
  <c r="BH478" i="202"/>
  <c r="BK478" i="202" s="1"/>
  <c r="BH470" i="202"/>
  <c r="BH462" i="202"/>
  <c r="BH454" i="202"/>
  <c r="BH446" i="202"/>
  <c r="BH438" i="202"/>
  <c r="BH430" i="202"/>
  <c r="BH422" i="202"/>
  <c r="BH414" i="202"/>
  <c r="BK414" i="202" s="1"/>
  <c r="BH406" i="202"/>
  <c r="BH398" i="202"/>
  <c r="BH390" i="202"/>
  <c r="BH382" i="202"/>
  <c r="BH374" i="202"/>
  <c r="BH366" i="202"/>
  <c r="BH358" i="202"/>
  <c r="BH350" i="202"/>
  <c r="BK350" i="202" s="1"/>
  <c r="BH342" i="202"/>
  <c r="BH334" i="202"/>
  <c r="BH326" i="202"/>
  <c r="BH318" i="202"/>
  <c r="BH310" i="202"/>
  <c r="BH302" i="202"/>
  <c r="BH294" i="202"/>
  <c r="BH286" i="202"/>
  <c r="BK286" i="202" s="1"/>
  <c r="BH278" i="202"/>
  <c r="BH270" i="202"/>
  <c r="BH262" i="202"/>
  <c r="BH254" i="202"/>
  <c r="BH246" i="202"/>
  <c r="BH238" i="202"/>
  <c r="BH230" i="202"/>
  <c r="BH222" i="202"/>
  <c r="BK222" i="202" s="1"/>
  <c r="BH214" i="202"/>
  <c r="BH206" i="202"/>
  <c r="BH198" i="202"/>
  <c r="BH190" i="202"/>
  <c r="BH182" i="202"/>
  <c r="BH174" i="202"/>
  <c r="BH166" i="202"/>
  <c r="BH158" i="202"/>
  <c r="BK158" i="202" s="1"/>
  <c r="BH150" i="202"/>
  <c r="BH142" i="202"/>
  <c r="BH134" i="202"/>
  <c r="BH126" i="202"/>
  <c r="BH118" i="202"/>
  <c r="BH110" i="202"/>
  <c r="BH102" i="202"/>
  <c r="BH94" i="202"/>
  <c r="BK94" i="202" s="1"/>
  <c r="BH86" i="202"/>
  <c r="BH78" i="202"/>
  <c r="BH70" i="202"/>
  <c r="BH62" i="202"/>
  <c r="BH54" i="202"/>
  <c r="BH46" i="202"/>
  <c r="BH38" i="202"/>
  <c r="BH30" i="202"/>
  <c r="BK30" i="202" s="1"/>
  <c r="BH22" i="202"/>
  <c r="BH14" i="202"/>
  <c r="BH6" i="202"/>
  <c r="BI2045" i="202"/>
  <c r="BI2037" i="202"/>
  <c r="BH1149" i="202"/>
  <c r="BH1141" i="202"/>
  <c r="BH1133" i="202"/>
  <c r="BH1125" i="202"/>
  <c r="BH1117" i="202"/>
  <c r="BH1109" i="202"/>
  <c r="BH1101" i="202"/>
  <c r="BH1093" i="202"/>
  <c r="BK1093" i="202" s="1"/>
  <c r="BH1085" i="202"/>
  <c r="BH1077" i="202"/>
  <c r="BH1069" i="202"/>
  <c r="BH1061" i="202"/>
  <c r="BH1053" i="202"/>
  <c r="BH1045" i="202"/>
  <c r="BH1037" i="202"/>
  <c r="BH1029" i="202"/>
  <c r="BK1029" i="202" s="1"/>
  <c r="BH1021" i="202"/>
  <c r="BH1013" i="202"/>
  <c r="BH1005" i="202"/>
  <c r="BH997" i="202"/>
  <c r="BH989" i="202"/>
  <c r="BH981" i="202"/>
  <c r="BH973" i="202"/>
  <c r="BH965" i="202"/>
  <c r="BK965" i="202" s="1"/>
  <c r="BH957" i="202"/>
  <c r="BH949" i="202"/>
  <c r="BH941" i="202"/>
  <c r="BH933" i="202"/>
  <c r="BH925" i="202"/>
  <c r="BH917" i="202"/>
  <c r="BH909" i="202"/>
  <c r="BH901" i="202"/>
  <c r="BK901" i="202" s="1"/>
  <c r="BH893" i="202"/>
  <c r="BH885" i="202"/>
  <c r="BH877" i="202"/>
  <c r="BH869" i="202"/>
  <c r="BH861" i="202"/>
  <c r="BH853" i="202"/>
  <c r="BH845" i="202"/>
  <c r="BH837" i="202"/>
  <c r="BK837" i="202" s="1"/>
  <c r="BH829" i="202"/>
  <c r="BH821" i="202"/>
  <c r="BH813" i="202"/>
  <c r="BH805" i="202"/>
  <c r="BH797" i="202"/>
  <c r="BH789" i="202"/>
  <c r="BH781" i="202"/>
  <c r="BH773" i="202"/>
  <c r="BK773" i="202" s="1"/>
  <c r="BH765" i="202"/>
  <c r="BH757" i="202"/>
  <c r="BH749" i="202"/>
  <c r="BH741" i="202"/>
  <c r="BH733" i="202"/>
  <c r="BH725" i="202"/>
  <c r="BH717" i="202"/>
  <c r="BH709" i="202"/>
  <c r="BK709" i="202" s="1"/>
  <c r="BH701" i="202"/>
  <c r="BH693" i="202"/>
  <c r="BH685" i="202"/>
  <c r="BH677" i="202"/>
  <c r="BH669" i="202"/>
  <c r="BH661" i="202"/>
  <c r="BH653" i="202"/>
  <c r="BH645" i="202"/>
  <c r="BK645" i="202" s="1"/>
  <c r="BH637" i="202"/>
  <c r="BH629" i="202"/>
  <c r="BH621" i="202"/>
  <c r="BK621" i="202" s="1"/>
  <c r="BH613" i="202"/>
  <c r="BH605" i="202"/>
  <c r="BH597" i="202"/>
  <c r="BH589" i="202"/>
  <c r="BH581" i="202"/>
  <c r="BK581" i="202" s="1"/>
  <c r="BH573" i="202"/>
  <c r="BH565" i="202"/>
  <c r="BH557" i="202"/>
  <c r="BK557" i="202" s="1"/>
  <c r="BH549" i="202"/>
  <c r="BH541" i="202"/>
  <c r="BH533" i="202"/>
  <c r="BH525" i="202"/>
  <c r="BH517" i="202"/>
  <c r="BK517" i="202" s="1"/>
  <c r="BH509" i="202"/>
  <c r="BH501" i="202"/>
  <c r="BH493" i="202"/>
  <c r="BK493" i="202" s="1"/>
  <c r="BH485" i="202"/>
  <c r="BH477" i="202"/>
  <c r="BH469" i="202"/>
  <c r="BH461" i="202"/>
  <c r="BH453" i="202"/>
  <c r="BK453" i="202" s="1"/>
  <c r="BH445" i="202"/>
  <c r="BH437" i="202"/>
  <c r="BH429" i="202"/>
  <c r="BK429" i="202" s="1"/>
  <c r="BH421" i="202"/>
  <c r="BH413" i="202"/>
  <c r="BH405" i="202"/>
  <c r="BH397" i="202"/>
  <c r="BH389" i="202"/>
  <c r="BK389" i="202" s="1"/>
  <c r="BH381" i="202"/>
  <c r="BH373" i="202"/>
  <c r="BH365" i="202"/>
  <c r="BK365" i="202" s="1"/>
  <c r="BH357" i="202"/>
  <c r="BH349" i="202"/>
  <c r="BK1068" i="202"/>
  <c r="BK1044" i="202"/>
  <c r="BK1004" i="202"/>
  <c r="BK980" i="202"/>
  <c r="BK940" i="202"/>
  <c r="BK916" i="202"/>
  <c r="BK876" i="202"/>
  <c r="BK852" i="202"/>
  <c r="BK812" i="202"/>
  <c r="BK788" i="202"/>
  <c r="BK748" i="202"/>
  <c r="BK724" i="202"/>
  <c r="BK684" i="202"/>
  <c r="BK660" i="202"/>
  <c r="BK620" i="202"/>
  <c r="BK596" i="202"/>
  <c r="BK556" i="202"/>
  <c r="BK532" i="202"/>
  <c r="BK492" i="202"/>
  <c r="BK468" i="202"/>
  <c r="BK428" i="202"/>
  <c r="BH1163" i="202"/>
  <c r="BK1163" i="202" s="1"/>
  <c r="BH1155" i="202"/>
  <c r="BK1155" i="202" s="1"/>
  <c r="BH1147" i="202"/>
  <c r="BK1147" i="202" s="1"/>
  <c r="BH1139" i="202"/>
  <c r="BK1139" i="202" s="1"/>
  <c r="BH1131" i="202"/>
  <c r="BK1131" i="202" s="1"/>
  <c r="BH1123" i="202"/>
  <c r="BK1123" i="202" s="1"/>
  <c r="BH1115" i="202"/>
  <c r="BK1115" i="202" s="1"/>
  <c r="BH1107" i="202"/>
  <c r="BK1107" i="202" s="1"/>
  <c r="BH1099" i="202"/>
  <c r="BK1099" i="202" s="1"/>
  <c r="BH1091" i="202"/>
  <c r="BK1091" i="202" s="1"/>
  <c r="BH1083" i="202"/>
  <c r="BK1083" i="202" s="1"/>
  <c r="BH1075" i="202"/>
  <c r="BK1075" i="202" s="1"/>
  <c r="BH1067" i="202"/>
  <c r="BK1067" i="202" s="1"/>
  <c r="BH1059" i="202"/>
  <c r="BK1059" i="202" s="1"/>
  <c r="BH1051" i="202"/>
  <c r="BK1051" i="202" s="1"/>
  <c r="BH1043" i="202"/>
  <c r="BK1043" i="202" s="1"/>
  <c r="BH1035" i="202"/>
  <c r="BK1035" i="202" s="1"/>
  <c r="BH1027" i="202"/>
  <c r="BK1027" i="202" s="1"/>
  <c r="BH1019" i="202"/>
  <c r="BK1019" i="202" s="1"/>
  <c r="BH1011" i="202"/>
  <c r="BK1011" i="202" s="1"/>
  <c r="BH1003" i="202"/>
  <c r="BK1003" i="202" s="1"/>
  <c r="BH995" i="202"/>
  <c r="BK995" i="202" s="1"/>
  <c r="BH987" i="202"/>
  <c r="BK987" i="202" s="1"/>
  <c r="BH979" i="202"/>
  <c r="BK979" i="202" s="1"/>
  <c r="BH971" i="202"/>
  <c r="BK971" i="202" s="1"/>
  <c r="BH963" i="202"/>
  <c r="BK963" i="202" s="1"/>
  <c r="BH955" i="202"/>
  <c r="BK955" i="202" s="1"/>
  <c r="BH947" i="202"/>
  <c r="BK947" i="202" s="1"/>
  <c r="BH939" i="202"/>
  <c r="BK939" i="202" s="1"/>
  <c r="BH931" i="202"/>
  <c r="BK931" i="202" s="1"/>
  <c r="BH923" i="202"/>
  <c r="BK923" i="202" s="1"/>
  <c r="BH915" i="202"/>
  <c r="BK915" i="202" s="1"/>
  <c r="BH907" i="202"/>
  <c r="BK907" i="202" s="1"/>
  <c r="BH899" i="202"/>
  <c r="BK899" i="202" s="1"/>
  <c r="BH891" i="202"/>
  <c r="BK891" i="202" s="1"/>
  <c r="BH883" i="202"/>
  <c r="BK883" i="202" s="1"/>
  <c r="BH875" i="202"/>
  <c r="BK875" i="202" s="1"/>
  <c r="BH867" i="202"/>
  <c r="BK867" i="202" s="1"/>
  <c r="BH859" i="202"/>
  <c r="BK859" i="202" s="1"/>
  <c r="BH851" i="202"/>
  <c r="BK851" i="202" s="1"/>
  <c r="BH843" i="202"/>
  <c r="BK843" i="202" s="1"/>
  <c r="BH835" i="202"/>
  <c r="BK835" i="202" s="1"/>
  <c r="BH827" i="202"/>
  <c r="BK827" i="202" s="1"/>
  <c r="BH819" i="202"/>
  <c r="BK819" i="202" s="1"/>
  <c r="BH811" i="202"/>
  <c r="BK811" i="202" s="1"/>
  <c r="BH803" i="202"/>
  <c r="BK803" i="202" s="1"/>
  <c r="BH795" i="202"/>
  <c r="BK795" i="202" s="1"/>
  <c r="BH787" i="202"/>
  <c r="BK787" i="202" s="1"/>
  <c r="BH779" i="202"/>
  <c r="BK779" i="202" s="1"/>
  <c r="BH771" i="202"/>
  <c r="BK771" i="202" s="1"/>
  <c r="BH763" i="202"/>
  <c r="BK763" i="202" s="1"/>
  <c r="BH755" i="202"/>
  <c r="BK755" i="202" s="1"/>
  <c r="BH747" i="202"/>
  <c r="BK747" i="202" s="1"/>
  <c r="BH739" i="202"/>
  <c r="BK739" i="202" s="1"/>
  <c r="BH731" i="202"/>
  <c r="BK731" i="202" s="1"/>
  <c r="BH723" i="202"/>
  <c r="BK723" i="202" s="1"/>
  <c r="BH715" i="202"/>
  <c r="BK715" i="202" s="1"/>
  <c r="BH707" i="202"/>
  <c r="BK707" i="202" s="1"/>
  <c r="BH699" i="202"/>
  <c r="BK699" i="202" s="1"/>
  <c r="BH691" i="202"/>
  <c r="BK691" i="202" s="1"/>
  <c r="BH683" i="202"/>
  <c r="BK683" i="202" s="1"/>
  <c r="BH675" i="202"/>
  <c r="BK675" i="202" s="1"/>
  <c r="BH667" i="202"/>
  <c r="BK667" i="202" s="1"/>
  <c r="BH659" i="202"/>
  <c r="BK659" i="202" s="1"/>
  <c r="BH651" i="202"/>
  <c r="BK651" i="202" s="1"/>
  <c r="BH643" i="202"/>
  <c r="BK643" i="202" s="1"/>
  <c r="BH635" i="202"/>
  <c r="BK635" i="202" s="1"/>
  <c r="BH627" i="202"/>
  <c r="BK627" i="202" s="1"/>
  <c r="BH619" i="202"/>
  <c r="BK619" i="202" s="1"/>
  <c r="BH611" i="202"/>
  <c r="BK611" i="202" s="1"/>
  <c r="BH603" i="202"/>
  <c r="BK603" i="202" s="1"/>
  <c r="BH595" i="202"/>
  <c r="BK595" i="202" s="1"/>
  <c r="BH587" i="202"/>
  <c r="BK587" i="202" s="1"/>
  <c r="BH579" i="202"/>
  <c r="BK579" i="202" s="1"/>
  <c r="BH571" i="202"/>
  <c r="BK571" i="202" s="1"/>
  <c r="BH563" i="202"/>
  <c r="BK563" i="202" s="1"/>
  <c r="BH555" i="202"/>
  <c r="BK555" i="202" s="1"/>
  <c r="BH547" i="202"/>
  <c r="BK547" i="202" s="1"/>
  <c r="BH539" i="202"/>
  <c r="BK539" i="202" s="1"/>
  <c r="BH531" i="202"/>
  <c r="BK531" i="202" s="1"/>
  <c r="BH523" i="202"/>
  <c r="BK523" i="202" s="1"/>
  <c r="BH515" i="202"/>
  <c r="BK515" i="202" s="1"/>
  <c r="BH507" i="202"/>
  <c r="BK507" i="202" s="1"/>
  <c r="BH499" i="202"/>
  <c r="BK499" i="202" s="1"/>
  <c r="BH491" i="202"/>
  <c r="BK491" i="202" s="1"/>
  <c r="BH483" i="202"/>
  <c r="BK483" i="202" s="1"/>
  <c r="BH475" i="202"/>
  <c r="BK475" i="202" s="1"/>
  <c r="BH467" i="202"/>
  <c r="BK467" i="202" s="1"/>
  <c r="BH459" i="202"/>
  <c r="BK459" i="202" s="1"/>
  <c r="BH451" i="202"/>
  <c r="BK451" i="202" s="1"/>
  <c r="BH443" i="202"/>
  <c r="BK443" i="202" s="1"/>
  <c r="BH435" i="202"/>
  <c r="BK435" i="202" s="1"/>
  <c r="BH427" i="202"/>
  <c r="BK427" i="202" s="1"/>
  <c r="BH419" i="202"/>
  <c r="BK419" i="202" s="1"/>
  <c r="BH411" i="202"/>
  <c r="BK411" i="202" s="1"/>
  <c r="BH403" i="202"/>
  <c r="BK403" i="202" s="1"/>
  <c r="BH395" i="202"/>
  <c r="BK395" i="202" s="1"/>
  <c r="BH387" i="202"/>
  <c r="BK387" i="202" s="1"/>
  <c r="BH379" i="202"/>
  <c r="BK379" i="202" s="1"/>
  <c r="BH371" i="202"/>
  <c r="BK371" i="202" s="1"/>
  <c r="BH363" i="202"/>
  <c r="BK363" i="202" s="1"/>
  <c r="BH355" i="202"/>
  <c r="BK355" i="202" s="1"/>
  <c r="BH347" i="202"/>
  <c r="BK347" i="202" s="1"/>
  <c r="BH339" i="202"/>
  <c r="BK339" i="202" s="1"/>
  <c r="BH331" i="202"/>
  <c r="BK331" i="202" s="1"/>
  <c r="BH323" i="202"/>
  <c r="BK323" i="202" s="1"/>
  <c r="BH315" i="202"/>
  <c r="BK315" i="202" s="1"/>
  <c r="BH307" i="202"/>
  <c r="BK307" i="202" s="1"/>
  <c r="BH299" i="202"/>
  <c r="BK299" i="202" s="1"/>
  <c r="BH291" i="202"/>
  <c r="BK291" i="202" s="1"/>
  <c r="BH1178" i="202"/>
  <c r="BH1170" i="202"/>
  <c r="BH1162" i="202"/>
  <c r="BK1162" i="202" s="1"/>
  <c r="BH1154" i="202"/>
  <c r="BH1146" i="202"/>
  <c r="BH1138" i="202"/>
  <c r="BH1130" i="202"/>
  <c r="BH1122" i="202"/>
  <c r="BK1122" i="202" s="1"/>
  <c r="BH1114" i="202"/>
  <c r="BH1106" i="202"/>
  <c r="BH1098" i="202"/>
  <c r="BK1098" i="202" s="1"/>
  <c r="BH1090" i="202"/>
  <c r="BH1082" i="202"/>
  <c r="BH1074" i="202"/>
  <c r="BH1066" i="202"/>
  <c r="BH1058" i="202"/>
  <c r="BK1058" i="202" s="1"/>
  <c r="BH1050" i="202"/>
  <c r="BH1042" i="202"/>
  <c r="BH1034" i="202"/>
  <c r="BK1034" i="202" s="1"/>
  <c r="BH1026" i="202"/>
  <c r="BH1018" i="202"/>
  <c r="BH1010" i="202"/>
  <c r="BH1002" i="202"/>
  <c r="BH994" i="202"/>
  <c r="BK994" i="202" s="1"/>
  <c r="BH986" i="202"/>
  <c r="BH978" i="202"/>
  <c r="BH970" i="202"/>
  <c r="BK970" i="202" s="1"/>
  <c r="BH962" i="202"/>
  <c r="BH954" i="202"/>
  <c r="BH946" i="202"/>
  <c r="BH938" i="202"/>
  <c r="BH930" i="202"/>
  <c r="BK930" i="202" s="1"/>
  <c r="BH922" i="202"/>
  <c r="BH914" i="202"/>
  <c r="BH906" i="202"/>
  <c r="BK906" i="202" s="1"/>
  <c r="BH898" i="202"/>
  <c r="BH890" i="202"/>
  <c r="BH882" i="202"/>
  <c r="BH874" i="202"/>
  <c r="BH866" i="202"/>
  <c r="BK866" i="202" s="1"/>
  <c r="BH858" i="202"/>
  <c r="BH850" i="202"/>
  <c r="BH842" i="202"/>
  <c r="BK842" i="202" s="1"/>
  <c r="BH834" i="202"/>
  <c r="BH826" i="202"/>
  <c r="BH818" i="202"/>
  <c r="BH810" i="202"/>
  <c r="BH802" i="202"/>
  <c r="BK802" i="202" s="1"/>
  <c r="BH794" i="202"/>
  <c r="BH786" i="202"/>
  <c r="BH778" i="202"/>
  <c r="BK778" i="202" s="1"/>
  <c r="BH770" i="202"/>
  <c r="BH762" i="202"/>
  <c r="BH754" i="202"/>
  <c r="BH746" i="202"/>
  <c r="BH738" i="202"/>
  <c r="BK738" i="202" s="1"/>
  <c r="BH730" i="202"/>
  <c r="BH722" i="202"/>
  <c r="BH714" i="202"/>
  <c r="BK714" i="202" s="1"/>
  <c r="BH706" i="202"/>
  <c r="BH698" i="202"/>
  <c r="BH690" i="202"/>
  <c r="BH682" i="202"/>
  <c r="BH674" i="202"/>
  <c r="BK674" i="202" s="1"/>
  <c r="BH666" i="202"/>
  <c r="BH658" i="202"/>
  <c r="BH650" i="202"/>
  <c r="BK650" i="202" s="1"/>
  <c r="BH642" i="202"/>
  <c r="BH634" i="202"/>
  <c r="BH626" i="202"/>
  <c r="BH618" i="202"/>
  <c r="BH610" i="202"/>
  <c r="BK610" i="202" s="1"/>
  <c r="BH602" i="202"/>
  <c r="BH594" i="202"/>
  <c r="BH586" i="202"/>
  <c r="BK586" i="202" s="1"/>
  <c r="BH578" i="202"/>
  <c r="BH570" i="202"/>
  <c r="BH562" i="202"/>
  <c r="BH554" i="202"/>
  <c r="BH546" i="202"/>
  <c r="BK546" i="202" s="1"/>
  <c r="BH538" i="202"/>
  <c r="BH530" i="202"/>
  <c r="BH522" i="202"/>
  <c r="BK522" i="202" s="1"/>
  <c r="BH514" i="202"/>
  <c r="BH506" i="202"/>
  <c r="BH498" i="202"/>
  <c r="BH490" i="202"/>
  <c r="BH482" i="202"/>
  <c r="BK482" i="202" s="1"/>
  <c r="BH1160" i="202"/>
  <c r="BK1160" i="202" s="1"/>
  <c r="BH1152" i="202"/>
  <c r="BK1152" i="202" s="1"/>
  <c r="BH1144" i="202"/>
  <c r="BK1144" i="202" s="1"/>
  <c r="BH1136" i="202"/>
  <c r="BK1136" i="202" s="1"/>
  <c r="BH1128" i="202"/>
  <c r="BK1128" i="202" s="1"/>
  <c r="BH1120" i="202"/>
  <c r="BK1120" i="202" s="1"/>
  <c r="BH1112" i="202"/>
  <c r="BK1112" i="202" s="1"/>
  <c r="BH1104" i="202"/>
  <c r="BK1104" i="202" s="1"/>
  <c r="BH1096" i="202"/>
  <c r="BK1096" i="202" s="1"/>
  <c r="BH1088" i="202"/>
  <c r="BK1088" i="202" s="1"/>
  <c r="BH1080" i="202"/>
  <c r="BK1080" i="202" s="1"/>
  <c r="BH1072" i="202"/>
  <c r="BK1072" i="202" s="1"/>
  <c r="BH1064" i="202"/>
  <c r="BK1064" i="202" s="1"/>
  <c r="BH1056" i="202"/>
  <c r="BK1056" i="202" s="1"/>
  <c r="BH1048" i="202"/>
  <c r="BK1048" i="202" s="1"/>
  <c r="BH1040" i="202"/>
  <c r="BK1040" i="202" s="1"/>
  <c r="BH1032" i="202"/>
  <c r="BK1032" i="202" s="1"/>
  <c r="BH1024" i="202"/>
  <c r="BK1024" i="202" s="1"/>
  <c r="BH1016" i="202"/>
  <c r="BK1016" i="202" s="1"/>
  <c r="BH1008" i="202"/>
  <c r="BK1008" i="202" s="1"/>
  <c r="BH1000" i="202"/>
  <c r="BK1000" i="202" s="1"/>
  <c r="BH992" i="202"/>
  <c r="BK992" i="202" s="1"/>
  <c r="BH984" i="202"/>
  <c r="BK984" i="202" s="1"/>
  <c r="BH976" i="202"/>
  <c r="BK976" i="202" s="1"/>
  <c r="BH968" i="202"/>
  <c r="BK968" i="202" s="1"/>
  <c r="BH960" i="202"/>
  <c r="BK960" i="202" s="1"/>
  <c r="BH952" i="202"/>
  <c r="BK952" i="202" s="1"/>
  <c r="BH944" i="202"/>
  <c r="BK944" i="202" s="1"/>
  <c r="BH936" i="202"/>
  <c r="BK936" i="202" s="1"/>
  <c r="BH928" i="202"/>
  <c r="BK928" i="202" s="1"/>
  <c r="BH920" i="202"/>
  <c r="BK920" i="202" s="1"/>
  <c r="BH912" i="202"/>
  <c r="BK912" i="202" s="1"/>
  <c r="BH904" i="202"/>
  <c r="BK904" i="202" s="1"/>
  <c r="BH896" i="202"/>
  <c r="BK896" i="202" s="1"/>
  <c r="BH888" i="202"/>
  <c r="BK888" i="202" s="1"/>
  <c r="BH880" i="202"/>
  <c r="BK880" i="202" s="1"/>
  <c r="BH872" i="202"/>
  <c r="BK872" i="202" s="1"/>
  <c r="BH864" i="202"/>
  <c r="BK864" i="202" s="1"/>
  <c r="BH856" i="202"/>
  <c r="BK856" i="202" s="1"/>
  <c r="BH848" i="202"/>
  <c r="BK848" i="202" s="1"/>
  <c r="BH840" i="202"/>
  <c r="BK840" i="202" s="1"/>
  <c r="BH832" i="202"/>
  <c r="BK832" i="202" s="1"/>
  <c r="BH824" i="202"/>
  <c r="BK824" i="202" s="1"/>
  <c r="BH816" i="202"/>
  <c r="BK816" i="202" s="1"/>
  <c r="BH808" i="202"/>
  <c r="BK808" i="202" s="1"/>
  <c r="BH800" i="202"/>
  <c r="BK800" i="202" s="1"/>
  <c r="BH792" i="202"/>
  <c r="BK792" i="202" s="1"/>
  <c r="BH784" i="202"/>
  <c r="BK784" i="202" s="1"/>
  <c r="BH776" i="202"/>
  <c r="BK776" i="202" s="1"/>
  <c r="BH768" i="202"/>
  <c r="BK768" i="202" s="1"/>
  <c r="BH760" i="202"/>
  <c r="BK760" i="202" s="1"/>
  <c r="BH752" i="202"/>
  <c r="BK752" i="202" s="1"/>
  <c r="BH744" i="202"/>
  <c r="BK744" i="202" s="1"/>
  <c r="BH736" i="202"/>
  <c r="BK736" i="202" s="1"/>
  <c r="BH728" i="202"/>
  <c r="BK728" i="202" s="1"/>
  <c r="BH720" i="202"/>
  <c r="BK720" i="202" s="1"/>
  <c r="BH712" i="202"/>
  <c r="BK712" i="202" s="1"/>
  <c r="BH704" i="202"/>
  <c r="BK704" i="202" s="1"/>
  <c r="BH696" i="202"/>
  <c r="BK696" i="202" s="1"/>
  <c r="BH688" i="202"/>
  <c r="BK688" i="202" s="1"/>
  <c r="BH680" i="202"/>
  <c r="BK680" i="202" s="1"/>
  <c r="BH672" i="202"/>
  <c r="BK672" i="202" s="1"/>
  <c r="BH664" i="202"/>
  <c r="BK664" i="202" s="1"/>
  <c r="BH656" i="202"/>
  <c r="BK656" i="202" s="1"/>
  <c r="BH648" i="202"/>
  <c r="BK648" i="202" s="1"/>
  <c r="BH640" i="202"/>
  <c r="BK640" i="202" s="1"/>
  <c r="BH632" i="202"/>
  <c r="BK632" i="202" s="1"/>
  <c r="BH624" i="202"/>
  <c r="BK624" i="202" s="1"/>
  <c r="BH616" i="202"/>
  <c r="BK616" i="202" s="1"/>
  <c r="BH608" i="202"/>
  <c r="BK608" i="202" s="1"/>
  <c r="BH600" i="202"/>
  <c r="BK600" i="202" s="1"/>
  <c r="BH592" i="202"/>
  <c r="BK592" i="202" s="1"/>
  <c r="BH584" i="202"/>
  <c r="BK584" i="202" s="1"/>
  <c r="BH576" i="202"/>
  <c r="BK576" i="202" s="1"/>
  <c r="BH568" i="202"/>
  <c r="BK568" i="202" s="1"/>
  <c r="BH560" i="202"/>
  <c r="BK560" i="202" s="1"/>
  <c r="BH552" i="202"/>
  <c r="BK552" i="202" s="1"/>
  <c r="BH544" i="202"/>
  <c r="BK544" i="202" s="1"/>
  <c r="BH536" i="202"/>
  <c r="BK536" i="202" s="1"/>
  <c r="BH528" i="202"/>
  <c r="BK528" i="202" s="1"/>
  <c r="BH520" i="202"/>
  <c r="BK520" i="202" s="1"/>
  <c r="BH512" i="202"/>
  <c r="BK512" i="202" s="1"/>
  <c r="BH504" i="202"/>
  <c r="BK504" i="202" s="1"/>
  <c r="BH496" i="202"/>
  <c r="BK496" i="202" s="1"/>
  <c r="BH488" i="202"/>
  <c r="BK488" i="202" s="1"/>
  <c r="BH480" i="202"/>
  <c r="BK480" i="202" s="1"/>
  <c r="BH472" i="202"/>
  <c r="BK472" i="202" s="1"/>
  <c r="BH464" i="202"/>
  <c r="BK464" i="202" s="1"/>
  <c r="BH456" i="202"/>
  <c r="BK456" i="202" s="1"/>
  <c r="BH448" i="202"/>
  <c r="BK448" i="202" s="1"/>
  <c r="BH440" i="202"/>
  <c r="BK440" i="202" s="1"/>
  <c r="BH432" i="202"/>
  <c r="BK432" i="202" s="1"/>
  <c r="BH424" i="202"/>
  <c r="BK424" i="202" s="1"/>
  <c r="BH416" i="202"/>
  <c r="BK416" i="202" s="1"/>
  <c r="BH408" i="202"/>
  <c r="BK408" i="202" s="1"/>
  <c r="BH400" i="202"/>
  <c r="BK400" i="202" s="1"/>
  <c r="BH392" i="202"/>
  <c r="BK392" i="202" s="1"/>
  <c r="BH384" i="202"/>
  <c r="BK384" i="202" s="1"/>
  <c r="BH376" i="202"/>
  <c r="BK376" i="202" s="1"/>
  <c r="BH368" i="202"/>
  <c r="BK368" i="202" s="1"/>
  <c r="BH360" i="202"/>
  <c r="BK360" i="202" s="1"/>
  <c r="BH352" i="202"/>
  <c r="BK352" i="202" s="1"/>
  <c r="BH344" i="202"/>
  <c r="BK344" i="202" s="1"/>
  <c r="BH336" i="202"/>
  <c r="BK336" i="202" s="1"/>
  <c r="BH328" i="202"/>
  <c r="BK328" i="202" s="1"/>
  <c r="BH320" i="202"/>
  <c r="BK320" i="202" s="1"/>
  <c r="BH312" i="202"/>
  <c r="BK312" i="202" s="1"/>
  <c r="BH304" i="202"/>
  <c r="BK304" i="202" s="1"/>
  <c r="BH296" i="202"/>
  <c r="BK296" i="202" s="1"/>
  <c r="BH288" i="202"/>
  <c r="BK288" i="202" s="1"/>
  <c r="BI2029" i="202"/>
  <c r="BI2021" i="202"/>
  <c r="BI2013" i="202"/>
  <c r="BI2005" i="202"/>
  <c r="BI1997" i="202"/>
  <c r="BI1989" i="202"/>
  <c r="BI1981" i="202"/>
  <c r="BI1973" i="202"/>
  <c r="BI1965" i="202"/>
  <c r="BI1957" i="202"/>
  <c r="BI1949" i="202"/>
  <c r="BI1941" i="202"/>
  <c r="BI1933" i="202"/>
  <c r="BI1925" i="202"/>
  <c r="BI1917" i="202"/>
  <c r="BI1909" i="202"/>
  <c r="BI1901" i="202"/>
  <c r="BI1893" i="202"/>
  <c r="BI1885" i="202"/>
  <c r="BI1877" i="202"/>
  <c r="BI1869" i="202"/>
  <c r="BI1861" i="202"/>
  <c r="BI1853" i="202"/>
  <c r="BI1845" i="202"/>
  <c r="BI1837" i="202"/>
  <c r="BI1829" i="202"/>
  <c r="BI1821" i="202"/>
  <c r="BI1813" i="202"/>
  <c r="BI1805" i="202"/>
  <c r="BI1797" i="202"/>
  <c r="BI1789" i="202"/>
  <c r="BI1781" i="202"/>
  <c r="BI1773" i="202"/>
  <c r="BI1765" i="202"/>
  <c r="BI1757" i="202"/>
  <c r="BI1749" i="202"/>
  <c r="BI1741" i="202"/>
  <c r="BI1733" i="202"/>
  <c r="BI1725" i="202"/>
  <c r="BI1717" i="202"/>
  <c r="BI1709" i="202"/>
  <c r="BI1701" i="202"/>
  <c r="BI1693" i="202"/>
  <c r="BI1685" i="202"/>
  <c r="BI1677" i="202"/>
  <c r="BI1669" i="202"/>
  <c r="BI1661" i="202"/>
  <c r="BI1653" i="202"/>
  <c r="BI1645" i="202"/>
  <c r="BI1637" i="202"/>
  <c r="BI1629" i="202"/>
  <c r="BI1621" i="202"/>
  <c r="BI1613" i="202"/>
  <c r="BI1605" i="202"/>
  <c r="BI1597" i="202"/>
  <c r="BI1589" i="202"/>
  <c r="BI1581" i="202"/>
  <c r="BI1573" i="202"/>
  <c r="BI1565" i="202"/>
  <c r="BI1557" i="202"/>
  <c r="BI1549" i="202"/>
  <c r="BI1541" i="202"/>
  <c r="BI1533" i="202"/>
  <c r="BI1525" i="202"/>
  <c r="BI1517" i="202"/>
  <c r="BI1509" i="202"/>
  <c r="BI1501" i="202"/>
  <c r="BI1493" i="202"/>
  <c r="BI1485" i="202"/>
  <c r="BI1477" i="202"/>
  <c r="BI1469" i="202"/>
  <c r="BI1461" i="202"/>
  <c r="BI1453" i="202"/>
  <c r="BI1445" i="202"/>
  <c r="BI1437" i="202"/>
  <c r="BI1429" i="202"/>
  <c r="BI1421" i="202"/>
  <c r="BI1413" i="202"/>
  <c r="BI1405" i="202"/>
  <c r="BI1397" i="202"/>
  <c r="BI1389" i="202"/>
  <c r="BI1381" i="202"/>
  <c r="BI1373" i="202"/>
  <c r="BI1365" i="202"/>
  <c r="BH341" i="202"/>
  <c r="BK341" i="202" s="1"/>
  <c r="BH333" i="202"/>
  <c r="BH325" i="202"/>
  <c r="BH317" i="202"/>
  <c r="BH309" i="202"/>
  <c r="BH301" i="202"/>
  <c r="BK301" i="202" s="1"/>
  <c r="BH293" i="202"/>
  <c r="BH285" i="202"/>
  <c r="BH277" i="202"/>
  <c r="BK277" i="202" s="1"/>
  <c r="BH269" i="202"/>
  <c r="BH261" i="202"/>
  <c r="BH253" i="202"/>
  <c r="BH245" i="202"/>
  <c r="BH237" i="202"/>
  <c r="BK237" i="202" s="1"/>
  <c r="BH229" i="202"/>
  <c r="BH221" i="202"/>
  <c r="BH213" i="202"/>
  <c r="BK213" i="202" s="1"/>
  <c r="BH205" i="202"/>
  <c r="BH197" i="202"/>
  <c r="BH189" i="202"/>
  <c r="BH181" i="202"/>
  <c r="BH173" i="202"/>
  <c r="BK173" i="202" s="1"/>
  <c r="BH165" i="202"/>
  <c r="BH157" i="202"/>
  <c r="BH149" i="202"/>
  <c r="BK149" i="202" s="1"/>
  <c r="BH141" i="202"/>
  <c r="BH133" i="202"/>
  <c r="BH125" i="202"/>
  <c r="BH117" i="202"/>
  <c r="BH109" i="202"/>
  <c r="BK109" i="202" s="1"/>
  <c r="BH101" i="202"/>
  <c r="BH93" i="202"/>
  <c r="BH85" i="202"/>
  <c r="BK85" i="202" s="1"/>
  <c r="BH77" i="202"/>
  <c r="BH69" i="202"/>
  <c r="BH61" i="202"/>
  <c r="BH53" i="202"/>
  <c r="BH45" i="202"/>
  <c r="BK45" i="202" s="1"/>
  <c r="BH37" i="202"/>
  <c r="BH29" i="202"/>
  <c r="BH21" i="202"/>
  <c r="BK21" i="202" s="1"/>
  <c r="BH13" i="202"/>
  <c r="BH5" i="202"/>
  <c r="BI2044" i="202"/>
  <c r="BK2044" i="202" s="1"/>
  <c r="BI2036" i="202"/>
  <c r="BI2028" i="202"/>
  <c r="BK2028" i="202" s="1"/>
  <c r="BI2020" i="202"/>
  <c r="BK2020" i="202" s="1"/>
  <c r="BI2012" i="202"/>
  <c r="BK2012" i="202" s="1"/>
  <c r="BI2004" i="202"/>
  <c r="BK2004" i="202" s="1"/>
  <c r="BI1996" i="202"/>
  <c r="BK1996" i="202" s="1"/>
  <c r="BI1988" i="202"/>
  <c r="BK1988" i="202" s="1"/>
  <c r="BI1980" i="202"/>
  <c r="BK1980" i="202" s="1"/>
  <c r="BI1972" i="202"/>
  <c r="BK1972" i="202" s="1"/>
  <c r="BI1964" i="202"/>
  <c r="BK1964" i="202" s="1"/>
  <c r="BI1956" i="202"/>
  <c r="BK1956" i="202" s="1"/>
  <c r="BI1948" i="202"/>
  <c r="BI1940" i="202"/>
  <c r="BK1940" i="202" s="1"/>
  <c r="BI1932" i="202"/>
  <c r="BK1932" i="202" s="1"/>
  <c r="BI1924" i="202"/>
  <c r="BK1924" i="202" s="1"/>
  <c r="BI1916" i="202"/>
  <c r="BK1916" i="202" s="1"/>
  <c r="BI1908" i="202"/>
  <c r="BK1908" i="202" s="1"/>
  <c r="BI1900" i="202"/>
  <c r="BK1900" i="202" s="1"/>
  <c r="BI1892" i="202"/>
  <c r="BK1892" i="202" s="1"/>
  <c r="BI1884" i="202"/>
  <c r="BK1884" i="202" s="1"/>
  <c r="BI1876" i="202"/>
  <c r="BK1876" i="202" s="1"/>
  <c r="BI1868" i="202"/>
  <c r="BK1868" i="202" s="1"/>
  <c r="BI1860" i="202"/>
  <c r="BK1860" i="202" s="1"/>
  <c r="BI1852" i="202"/>
  <c r="BK1852" i="202" s="1"/>
  <c r="BI1844" i="202"/>
  <c r="BK1844" i="202" s="1"/>
  <c r="BI1836" i="202"/>
  <c r="BK1836" i="202" s="1"/>
  <c r="BI1828" i="202"/>
  <c r="BK1828" i="202" s="1"/>
  <c r="BI1820" i="202"/>
  <c r="BK1820" i="202" s="1"/>
  <c r="BI1812" i="202"/>
  <c r="BK1812" i="202" s="1"/>
  <c r="BI1804" i="202"/>
  <c r="BK1804" i="202" s="1"/>
  <c r="BI1796" i="202"/>
  <c r="BK1796" i="202" s="1"/>
  <c r="BI1788" i="202"/>
  <c r="BK1788" i="202" s="1"/>
  <c r="BI1780" i="202"/>
  <c r="BI1772" i="202"/>
  <c r="BK1772" i="202" s="1"/>
  <c r="BI1764" i="202"/>
  <c r="BK1764" i="202" s="1"/>
  <c r="BI1756" i="202"/>
  <c r="BK1756" i="202" s="1"/>
  <c r="BI1748" i="202"/>
  <c r="BK1748" i="202" s="1"/>
  <c r="BI1740" i="202"/>
  <c r="BK1740" i="202" s="1"/>
  <c r="BI1732" i="202"/>
  <c r="BK1732" i="202" s="1"/>
  <c r="BI1724" i="202"/>
  <c r="BK1724" i="202" s="1"/>
  <c r="BI1716" i="202"/>
  <c r="BK1716" i="202" s="1"/>
  <c r="BK404" i="202"/>
  <c r="BK380" i="202"/>
  <c r="BK340" i="202"/>
  <c r="BK316" i="202"/>
  <c r="BK276" i="202"/>
  <c r="BK252" i="202"/>
  <c r="BK212" i="202"/>
  <c r="BK188" i="202"/>
  <c r="BK148" i="202"/>
  <c r="BK124" i="202"/>
  <c r="BK84" i="202"/>
  <c r="BK60" i="202"/>
  <c r="BK20" i="202"/>
  <c r="BH283" i="202"/>
  <c r="BK283" i="202" s="1"/>
  <c r="BH275" i="202"/>
  <c r="BK275" i="202" s="1"/>
  <c r="BH267" i="202"/>
  <c r="BK267" i="202" s="1"/>
  <c r="BH259" i="202"/>
  <c r="BK259" i="202" s="1"/>
  <c r="BH251" i="202"/>
  <c r="BK251" i="202" s="1"/>
  <c r="BH243" i="202"/>
  <c r="BK243" i="202" s="1"/>
  <c r="BH235" i="202"/>
  <c r="BK235" i="202" s="1"/>
  <c r="BH227" i="202"/>
  <c r="BK227" i="202" s="1"/>
  <c r="BH219" i="202"/>
  <c r="BK219" i="202" s="1"/>
  <c r="BH211" i="202"/>
  <c r="BK211" i="202" s="1"/>
  <c r="BH203" i="202"/>
  <c r="BK203" i="202" s="1"/>
  <c r="BH195" i="202"/>
  <c r="BK195" i="202" s="1"/>
  <c r="BH187" i="202"/>
  <c r="BK187" i="202" s="1"/>
  <c r="BH179" i="202"/>
  <c r="BK179" i="202" s="1"/>
  <c r="BH171" i="202"/>
  <c r="BK171" i="202" s="1"/>
  <c r="BH163" i="202"/>
  <c r="BK163" i="202" s="1"/>
  <c r="BH155" i="202"/>
  <c r="BK155" i="202" s="1"/>
  <c r="BH147" i="202"/>
  <c r="BK147" i="202" s="1"/>
  <c r="BH139" i="202"/>
  <c r="BK139" i="202" s="1"/>
  <c r="BH131" i="202"/>
  <c r="BK131" i="202" s="1"/>
  <c r="BH123" i="202"/>
  <c r="BK123" i="202" s="1"/>
  <c r="BH115" i="202"/>
  <c r="BK115" i="202" s="1"/>
  <c r="BH107" i="202"/>
  <c r="BK107" i="202" s="1"/>
  <c r="BH99" i="202"/>
  <c r="BK99" i="202" s="1"/>
  <c r="BH91" i="202"/>
  <c r="BK91" i="202" s="1"/>
  <c r="BH83" i="202"/>
  <c r="BK83" i="202" s="1"/>
  <c r="BH75" i="202"/>
  <c r="BK75" i="202" s="1"/>
  <c r="BH67" i="202"/>
  <c r="BK67" i="202" s="1"/>
  <c r="BH59" i="202"/>
  <c r="BK59" i="202" s="1"/>
  <c r="BH51" i="202"/>
  <c r="BK51" i="202" s="1"/>
  <c r="BH43" i="202"/>
  <c r="BK43" i="202" s="1"/>
  <c r="BH35" i="202"/>
  <c r="BK35" i="202" s="1"/>
  <c r="BH27" i="202"/>
  <c r="BK27" i="202" s="1"/>
  <c r="BH19" i="202"/>
  <c r="BK19" i="202" s="1"/>
  <c r="BH11" i="202"/>
  <c r="BK11" i="202" s="1"/>
  <c r="BH3" i="202"/>
  <c r="BK3" i="202" s="1"/>
  <c r="BI2042" i="202"/>
  <c r="BI2034" i="202"/>
  <c r="BI2026" i="202"/>
  <c r="BI2018" i="202"/>
  <c r="BI2010" i="202"/>
  <c r="BI2002" i="202"/>
  <c r="BI1994" i="202"/>
  <c r="BI1986" i="202"/>
  <c r="BI1978" i="202"/>
  <c r="BI1970" i="202"/>
  <c r="BI1962" i="202"/>
  <c r="BI1954" i="202"/>
  <c r="BI1946" i="202"/>
  <c r="BI1938" i="202"/>
  <c r="BI1930" i="202"/>
  <c r="BI1922" i="202"/>
  <c r="BI1914" i="202"/>
  <c r="BI1906" i="202"/>
  <c r="BI1898" i="202"/>
  <c r="BI1890" i="202"/>
  <c r="BI1882" i="202"/>
  <c r="BI1874" i="202"/>
  <c r="BI1866" i="202"/>
  <c r="BI1858" i="202"/>
  <c r="BI1850" i="202"/>
  <c r="BI1842" i="202"/>
  <c r="BI1834" i="202"/>
  <c r="BI1826" i="202"/>
  <c r="BI1818" i="202"/>
  <c r="BI1810" i="202"/>
  <c r="BI1802" i="202"/>
  <c r="BI1794" i="202"/>
  <c r="BI1786" i="202"/>
  <c r="BI1778" i="202"/>
  <c r="BI1770" i="202"/>
  <c r="BI1762" i="202"/>
  <c r="BI1754" i="202"/>
  <c r="BI1746" i="202"/>
  <c r="BI1738" i="202"/>
  <c r="BI1730" i="202"/>
  <c r="BH474" i="202"/>
  <c r="BH466" i="202"/>
  <c r="BK466" i="202" s="1"/>
  <c r="BH458" i="202"/>
  <c r="BH450" i="202"/>
  <c r="BH442" i="202"/>
  <c r="BK442" i="202" s="1"/>
  <c r="BH434" i="202"/>
  <c r="BH426" i="202"/>
  <c r="BH418" i="202"/>
  <c r="BH410" i="202"/>
  <c r="BH402" i="202"/>
  <c r="BK402" i="202" s="1"/>
  <c r="BH394" i="202"/>
  <c r="BH386" i="202"/>
  <c r="BH378" i="202"/>
  <c r="BK378" i="202" s="1"/>
  <c r="BH370" i="202"/>
  <c r="BH362" i="202"/>
  <c r="BH354" i="202"/>
  <c r="BH346" i="202"/>
  <c r="BH338" i="202"/>
  <c r="BK338" i="202" s="1"/>
  <c r="BH330" i="202"/>
  <c r="BH322" i="202"/>
  <c r="BH314" i="202"/>
  <c r="BK314" i="202" s="1"/>
  <c r="BH306" i="202"/>
  <c r="BH298" i="202"/>
  <c r="BH290" i="202"/>
  <c r="BH282" i="202"/>
  <c r="BH274" i="202"/>
  <c r="BK274" i="202" s="1"/>
  <c r="BH266" i="202"/>
  <c r="BH258" i="202"/>
  <c r="BH250" i="202"/>
  <c r="BK250" i="202" s="1"/>
  <c r="BH242" i="202"/>
  <c r="BH234" i="202"/>
  <c r="BH226" i="202"/>
  <c r="BH218" i="202"/>
  <c r="BH210" i="202"/>
  <c r="BK210" i="202" s="1"/>
  <c r="BH202" i="202"/>
  <c r="BH194" i="202"/>
  <c r="BH186" i="202"/>
  <c r="BK186" i="202" s="1"/>
  <c r="BH178" i="202"/>
  <c r="BH170" i="202"/>
  <c r="BH162" i="202"/>
  <c r="BH154" i="202"/>
  <c r="BH146" i="202"/>
  <c r="BK146" i="202" s="1"/>
  <c r="BH138" i="202"/>
  <c r="BH130" i="202"/>
  <c r="BH122" i="202"/>
  <c r="BK122" i="202" s="1"/>
  <c r="BH114" i="202"/>
  <c r="BH106" i="202"/>
  <c r="BH98" i="202"/>
  <c r="BH90" i="202"/>
  <c r="BH82" i="202"/>
  <c r="BK82" i="202" s="1"/>
  <c r="BH74" i="202"/>
  <c r="BH66" i="202"/>
  <c r="BH58" i="202"/>
  <c r="BK58" i="202" s="1"/>
  <c r="BH50" i="202"/>
  <c r="BH42" i="202"/>
  <c r="BH34" i="202"/>
  <c r="BH26" i="202"/>
  <c r="BH18" i="202"/>
  <c r="BK18" i="202" s="1"/>
  <c r="BH10" i="202"/>
  <c r="BH2" i="202"/>
  <c r="BI2041" i="202"/>
  <c r="BK2041" i="202" s="1"/>
  <c r="BI2033" i="202"/>
  <c r="BK2033" i="202" s="1"/>
  <c r="BI2025" i="202"/>
  <c r="BK2025" i="202" s="1"/>
  <c r="BI2017" i="202"/>
  <c r="BK2017" i="202" s="1"/>
  <c r="BI2009" i="202"/>
  <c r="BK2009" i="202" s="1"/>
  <c r="BI2001" i="202"/>
  <c r="BK2001" i="202" s="1"/>
  <c r="BI1993" i="202"/>
  <c r="BK1993" i="202" s="1"/>
  <c r="BI1985" i="202"/>
  <c r="BK1985" i="202" s="1"/>
  <c r="BI1977" i="202"/>
  <c r="BK1977" i="202" s="1"/>
  <c r="BI1969" i="202"/>
  <c r="BK1969" i="202" s="1"/>
  <c r="BI1961" i="202"/>
  <c r="BK1961" i="202" s="1"/>
  <c r="BI1953" i="202"/>
  <c r="BK1953" i="202" s="1"/>
  <c r="BI1945" i="202"/>
  <c r="BK1945" i="202" s="1"/>
  <c r="BH280" i="202"/>
  <c r="BK280" i="202" s="1"/>
  <c r="BH272" i="202"/>
  <c r="BK272" i="202" s="1"/>
  <c r="BH264" i="202"/>
  <c r="BK264" i="202" s="1"/>
  <c r="BH256" i="202"/>
  <c r="BK256" i="202" s="1"/>
  <c r="BH248" i="202"/>
  <c r="BK248" i="202" s="1"/>
  <c r="BH240" i="202"/>
  <c r="BK240" i="202" s="1"/>
  <c r="BH232" i="202"/>
  <c r="BK232" i="202" s="1"/>
  <c r="BH224" i="202"/>
  <c r="BK224" i="202" s="1"/>
  <c r="BH216" i="202"/>
  <c r="BK216" i="202" s="1"/>
  <c r="BH208" i="202"/>
  <c r="BK208" i="202" s="1"/>
  <c r="BH200" i="202"/>
  <c r="BK200" i="202" s="1"/>
  <c r="BH192" i="202"/>
  <c r="BK192" i="202" s="1"/>
  <c r="BH184" i="202"/>
  <c r="BK184" i="202" s="1"/>
  <c r="BH176" i="202"/>
  <c r="BK176" i="202" s="1"/>
  <c r="BH168" i="202"/>
  <c r="BK168" i="202" s="1"/>
  <c r="BH160" i="202"/>
  <c r="BK160" i="202" s="1"/>
  <c r="BH152" i="202"/>
  <c r="BK152" i="202" s="1"/>
  <c r="BH144" i="202"/>
  <c r="BK144" i="202" s="1"/>
  <c r="BH136" i="202"/>
  <c r="BK136" i="202" s="1"/>
  <c r="BH128" i="202"/>
  <c r="BK128" i="202" s="1"/>
  <c r="BH120" i="202"/>
  <c r="BK120" i="202" s="1"/>
  <c r="BH112" i="202"/>
  <c r="BK112" i="202" s="1"/>
  <c r="BH104" i="202"/>
  <c r="BK104" i="202" s="1"/>
  <c r="BH96" i="202"/>
  <c r="BK96" i="202" s="1"/>
  <c r="BH88" i="202"/>
  <c r="BK88" i="202" s="1"/>
  <c r="BH80" i="202"/>
  <c r="BK80" i="202" s="1"/>
  <c r="BH72" i="202"/>
  <c r="BK72" i="202" s="1"/>
  <c r="BH64" i="202"/>
  <c r="BK64" i="202" s="1"/>
  <c r="BH56" i="202"/>
  <c r="BK56" i="202" s="1"/>
  <c r="BH48" i="202"/>
  <c r="BK48" i="202" s="1"/>
  <c r="BH40" i="202"/>
  <c r="BK40" i="202" s="1"/>
  <c r="BH32" i="202"/>
  <c r="BK32" i="202" s="1"/>
  <c r="BH24" i="202"/>
  <c r="BK24" i="202" s="1"/>
  <c r="BH16" i="202"/>
  <c r="BK16" i="202" s="1"/>
  <c r="BH8" i="202"/>
  <c r="BK8" i="202" s="1"/>
  <c r="BI2047" i="202"/>
  <c r="BK2047" i="202" s="1"/>
  <c r="BI2039" i="202"/>
  <c r="BK2039" i="202" s="1"/>
  <c r="BI2031" i="202"/>
  <c r="BK2031" i="202" s="1"/>
  <c r="BI2023" i="202"/>
  <c r="BK2023" i="202" s="1"/>
  <c r="BI2015" i="202"/>
  <c r="BK2015" i="202" s="1"/>
  <c r="BI2007" i="202"/>
  <c r="BK2007" i="202" s="1"/>
  <c r="BI1999" i="202"/>
  <c r="BK1999" i="202" s="1"/>
  <c r="BI1991" i="202"/>
  <c r="BK1991" i="202" s="1"/>
  <c r="BI1983" i="202"/>
  <c r="BK1983" i="202" s="1"/>
  <c r="BI1975" i="202"/>
  <c r="BK1975" i="202" s="1"/>
  <c r="BI1967" i="202"/>
  <c r="BI1959" i="202"/>
  <c r="BK1959" i="202" s="1"/>
  <c r="BI1951" i="202"/>
  <c r="BK1951" i="202" s="1"/>
  <c r="BI1943" i="202"/>
  <c r="BK1943" i="202" s="1"/>
  <c r="BI1935" i="202"/>
  <c r="BK1935" i="202" s="1"/>
  <c r="BI1927" i="202"/>
  <c r="BK1927" i="202" s="1"/>
  <c r="BI1919" i="202"/>
  <c r="BK1919" i="202" s="1"/>
  <c r="BI1911" i="202"/>
  <c r="BK1911" i="202" s="1"/>
  <c r="BI1903" i="202"/>
  <c r="BK1903" i="202" s="1"/>
  <c r="BI1895" i="202"/>
  <c r="BK1895" i="202" s="1"/>
  <c r="BI1887" i="202"/>
  <c r="BK1887" i="202" s="1"/>
  <c r="BI1879" i="202"/>
  <c r="BK1879" i="202" s="1"/>
  <c r="BI1871" i="202"/>
  <c r="BK1871" i="202" s="1"/>
  <c r="BI1863" i="202"/>
  <c r="BK1863" i="202" s="1"/>
  <c r="BI1855" i="202"/>
  <c r="BK1855" i="202" s="1"/>
  <c r="BI1847" i="202"/>
  <c r="BK1847" i="202" s="1"/>
  <c r="BI1839" i="202"/>
  <c r="BK1839" i="202" s="1"/>
  <c r="BI1831" i="202"/>
  <c r="BK1831" i="202" s="1"/>
  <c r="BI1823" i="202"/>
  <c r="BK1823" i="202" s="1"/>
  <c r="BI1815" i="202"/>
  <c r="BK1815" i="202" s="1"/>
  <c r="BI1807" i="202"/>
  <c r="BK1807" i="202" s="1"/>
  <c r="BI1799" i="202"/>
  <c r="BK1799" i="202" s="1"/>
  <c r="BI1791" i="202"/>
  <c r="BK1791" i="202" s="1"/>
  <c r="BI1357" i="202"/>
  <c r="BI1349" i="202"/>
  <c r="BI1341" i="202"/>
  <c r="BI1333" i="202"/>
  <c r="BI1325" i="202"/>
  <c r="BI1317" i="202"/>
  <c r="BI1309" i="202"/>
  <c r="BI1301" i="202"/>
  <c r="BI1293" i="202"/>
  <c r="BI1285" i="202"/>
  <c r="BI1277" i="202"/>
  <c r="BI1269" i="202"/>
  <c r="BI1261" i="202"/>
  <c r="BI1253" i="202"/>
  <c r="BI1245" i="202"/>
  <c r="BI1237" i="202"/>
  <c r="BI1229" i="202"/>
  <c r="BI1221" i="202"/>
  <c r="BI1213" i="202"/>
  <c r="BI1205" i="202"/>
  <c r="BI1197" i="202"/>
  <c r="BI1189" i="202"/>
  <c r="BI1181" i="202"/>
  <c r="BI1173" i="202"/>
  <c r="BI1165" i="202"/>
  <c r="BI1157" i="202"/>
  <c r="BI1149" i="202"/>
  <c r="BI1141" i="202"/>
  <c r="BI1133" i="202"/>
  <c r="BI1125" i="202"/>
  <c r="BI1117" i="202"/>
  <c r="BI1109" i="202"/>
  <c r="BI1101" i="202"/>
  <c r="BI1093" i="202"/>
  <c r="BI1085" i="202"/>
  <c r="BI1077" i="202"/>
  <c r="BI1069" i="202"/>
  <c r="BI1061" i="202"/>
  <c r="BI1053" i="202"/>
  <c r="BI1045" i="202"/>
  <c r="BI1037" i="202"/>
  <c r="BI1029" i="202"/>
  <c r="BI1021" i="202"/>
  <c r="BI1013" i="202"/>
  <c r="BI1005" i="202"/>
  <c r="BI997" i="202"/>
  <c r="BI989" i="202"/>
  <c r="BI981" i="202"/>
  <c r="BI973" i="202"/>
  <c r="BI965" i="202"/>
  <c r="BI957" i="202"/>
  <c r="BI949" i="202"/>
  <c r="BI941" i="202"/>
  <c r="BI933" i="202"/>
  <c r="BI925" i="202"/>
  <c r="BI917" i="202"/>
  <c r="BI909" i="202"/>
  <c r="BI901" i="202"/>
  <c r="BI893" i="202"/>
  <c r="BI885" i="202"/>
  <c r="BI877" i="202"/>
  <c r="BI869" i="202"/>
  <c r="BI861" i="202"/>
  <c r="BI853" i="202"/>
  <c r="BI845" i="202"/>
  <c r="BI837" i="202"/>
  <c r="BI829" i="202"/>
  <c r="BI821" i="202"/>
  <c r="BI813" i="202"/>
  <c r="BI805" i="202"/>
  <c r="BI797" i="202"/>
  <c r="BI789" i="202"/>
  <c r="BI781" i="202"/>
  <c r="BI773" i="202"/>
  <c r="BI765" i="202"/>
  <c r="BI757" i="202"/>
  <c r="BI749" i="202"/>
  <c r="BI741" i="202"/>
  <c r="BI733" i="202"/>
  <c r="BI725" i="202"/>
  <c r="BI717" i="202"/>
  <c r="BI709" i="202"/>
  <c r="BI701" i="202"/>
  <c r="BI693" i="202"/>
  <c r="BI685" i="202"/>
  <c r="BI1708" i="202"/>
  <c r="BK1708" i="202" s="1"/>
  <c r="BI1700" i="202"/>
  <c r="BK1700" i="202" s="1"/>
  <c r="BI1692" i="202"/>
  <c r="BK1692" i="202" s="1"/>
  <c r="BI1684" i="202"/>
  <c r="BK1684" i="202" s="1"/>
  <c r="BI1676" i="202"/>
  <c r="BK1676" i="202" s="1"/>
  <c r="BI1668" i="202"/>
  <c r="BK1668" i="202" s="1"/>
  <c r="BI1660" i="202"/>
  <c r="BK1660" i="202" s="1"/>
  <c r="BI1652" i="202"/>
  <c r="BK1652" i="202" s="1"/>
  <c r="BI1644" i="202"/>
  <c r="BK1644" i="202" s="1"/>
  <c r="BI1636" i="202"/>
  <c r="BK1636" i="202" s="1"/>
  <c r="BI1628" i="202"/>
  <c r="BK1628" i="202" s="1"/>
  <c r="BI1620" i="202"/>
  <c r="BK1620" i="202" s="1"/>
  <c r="BI1612" i="202"/>
  <c r="BK1612" i="202" s="1"/>
  <c r="BI1604" i="202"/>
  <c r="BK1604" i="202" s="1"/>
  <c r="BI1596" i="202"/>
  <c r="BK1596" i="202" s="1"/>
  <c r="BI1588" i="202"/>
  <c r="BK1588" i="202" s="1"/>
  <c r="BI1580" i="202"/>
  <c r="BK1580" i="202" s="1"/>
  <c r="BI1572" i="202"/>
  <c r="BK1572" i="202" s="1"/>
  <c r="BI1564" i="202"/>
  <c r="BK1564" i="202" s="1"/>
  <c r="BI1556" i="202"/>
  <c r="BK1556" i="202" s="1"/>
  <c r="BI1548" i="202"/>
  <c r="BK1548" i="202" s="1"/>
  <c r="BI1540" i="202"/>
  <c r="BK1540" i="202" s="1"/>
  <c r="BI1532" i="202"/>
  <c r="BK1532" i="202" s="1"/>
  <c r="BI1524" i="202"/>
  <c r="BK1524" i="202" s="1"/>
  <c r="BI1516" i="202"/>
  <c r="BK1516" i="202" s="1"/>
  <c r="BI1508" i="202"/>
  <c r="BK1508" i="202" s="1"/>
  <c r="BI1500" i="202"/>
  <c r="BK1500" i="202" s="1"/>
  <c r="BI1492" i="202"/>
  <c r="BK1492" i="202" s="1"/>
  <c r="BI1484" i="202"/>
  <c r="BK1484" i="202" s="1"/>
  <c r="BI1476" i="202"/>
  <c r="BK1476" i="202" s="1"/>
  <c r="BI1468" i="202"/>
  <c r="BK1468" i="202" s="1"/>
  <c r="BI1460" i="202"/>
  <c r="BK1460" i="202" s="1"/>
  <c r="BI1452" i="202"/>
  <c r="BK1452" i="202" s="1"/>
  <c r="BI1444" i="202"/>
  <c r="BK1444" i="202" s="1"/>
  <c r="BI1436" i="202"/>
  <c r="BK1436" i="202" s="1"/>
  <c r="BI1428" i="202"/>
  <c r="BK1428" i="202" s="1"/>
  <c r="BI1420" i="202"/>
  <c r="BK1420" i="202" s="1"/>
  <c r="BI1412" i="202"/>
  <c r="BK1412" i="202" s="1"/>
  <c r="BI1404" i="202"/>
  <c r="BK1404" i="202" s="1"/>
  <c r="BI1396" i="202"/>
  <c r="BK1396" i="202" s="1"/>
  <c r="BI1388" i="202"/>
  <c r="BK1388" i="202" s="1"/>
  <c r="BI1380" i="202"/>
  <c r="BK1380" i="202" s="1"/>
  <c r="BI1372" i="202"/>
  <c r="BK1372" i="202" s="1"/>
  <c r="BI1364" i="202"/>
  <c r="BK1364" i="202" s="1"/>
  <c r="BI1356" i="202"/>
  <c r="BK1356" i="202" s="1"/>
  <c r="BI1348" i="202"/>
  <c r="BK1348" i="202" s="1"/>
  <c r="BI1340" i="202"/>
  <c r="BK1340" i="202" s="1"/>
  <c r="BI1332" i="202"/>
  <c r="BK1332" i="202" s="1"/>
  <c r="BI1324" i="202"/>
  <c r="BI1316" i="202"/>
  <c r="BK1316" i="202" s="1"/>
  <c r="BI1308" i="202"/>
  <c r="BK1308" i="202" s="1"/>
  <c r="BI1300" i="202"/>
  <c r="BK1300" i="202" s="1"/>
  <c r="BI1292" i="202"/>
  <c r="BK1292" i="202" s="1"/>
  <c r="BI1284" i="202"/>
  <c r="BK1284" i="202" s="1"/>
  <c r="BI1276" i="202"/>
  <c r="BK1276" i="202" s="1"/>
  <c r="BI1268" i="202"/>
  <c r="BK1268" i="202" s="1"/>
  <c r="BI1260" i="202"/>
  <c r="BK1260" i="202" s="1"/>
  <c r="BI1252" i="202"/>
  <c r="BK1252" i="202" s="1"/>
  <c r="BI1244" i="202"/>
  <c r="BK1244" i="202" s="1"/>
  <c r="BI1236" i="202"/>
  <c r="BK1236" i="202" s="1"/>
  <c r="BI1228" i="202"/>
  <c r="BK1228" i="202" s="1"/>
  <c r="BI1220" i="202"/>
  <c r="BK1220" i="202" s="1"/>
  <c r="BI1212" i="202"/>
  <c r="BK1212" i="202" s="1"/>
  <c r="BI1204" i="202"/>
  <c r="BK1204" i="202" s="1"/>
  <c r="BI1196" i="202"/>
  <c r="BI1188" i="202"/>
  <c r="BK1188" i="202" s="1"/>
  <c r="BI1180" i="202"/>
  <c r="BK1180" i="202" s="1"/>
  <c r="BI1172" i="202"/>
  <c r="BK1172" i="202" s="1"/>
  <c r="BI1164" i="202"/>
  <c r="BK1164" i="202" s="1"/>
  <c r="BI1156" i="202"/>
  <c r="BK1156" i="202" s="1"/>
  <c r="BI1148" i="202"/>
  <c r="BK1148" i="202" s="1"/>
  <c r="BI1140" i="202"/>
  <c r="BK1140" i="202" s="1"/>
  <c r="BI1132" i="202"/>
  <c r="BK1132" i="202" s="1"/>
  <c r="BI1124" i="202"/>
  <c r="BK1124" i="202" s="1"/>
  <c r="BI1116" i="202"/>
  <c r="BK1116" i="202" s="1"/>
  <c r="BI1108" i="202"/>
  <c r="BK1108" i="202" s="1"/>
  <c r="BI1100" i="202"/>
  <c r="BK1100" i="202" s="1"/>
  <c r="BI1092" i="202"/>
  <c r="BK1092" i="202" s="1"/>
  <c r="BI1084" i="202"/>
  <c r="BK1084" i="202" s="1"/>
  <c r="BI1076" i="202"/>
  <c r="BK1076" i="202" s="1"/>
  <c r="BI1068" i="202"/>
  <c r="BI1060" i="202"/>
  <c r="BK1060" i="202" s="1"/>
  <c r="BI1052" i="202"/>
  <c r="BK1052" i="202" s="1"/>
  <c r="BI1044" i="202"/>
  <c r="BI1722" i="202"/>
  <c r="BI1714" i="202"/>
  <c r="BI1706" i="202"/>
  <c r="BI1698" i="202"/>
  <c r="BI1690" i="202"/>
  <c r="BI1682" i="202"/>
  <c r="BI1674" i="202"/>
  <c r="BI1666" i="202"/>
  <c r="BI1658" i="202"/>
  <c r="BI1650" i="202"/>
  <c r="BI1642" i="202"/>
  <c r="BI1634" i="202"/>
  <c r="BI1626" i="202"/>
  <c r="BI1618" i="202"/>
  <c r="BI1610" i="202"/>
  <c r="BI1602" i="202"/>
  <c r="BI1594" i="202"/>
  <c r="BI1586" i="202"/>
  <c r="BI1578" i="202"/>
  <c r="BI1570" i="202"/>
  <c r="BI1562" i="202"/>
  <c r="BI1554" i="202"/>
  <c r="BI1546" i="202"/>
  <c r="BI1538" i="202"/>
  <c r="BI1530" i="202"/>
  <c r="BI1522" i="202"/>
  <c r="BI1514" i="202"/>
  <c r="BI1506" i="202"/>
  <c r="BI1498" i="202"/>
  <c r="BI1490" i="202"/>
  <c r="BI1482" i="202"/>
  <c r="BI1474" i="202"/>
  <c r="BI1466" i="202"/>
  <c r="BI1458" i="202"/>
  <c r="BI1450" i="202"/>
  <c r="BI1442" i="202"/>
  <c r="BI1434" i="202"/>
  <c r="BI1426" i="202"/>
  <c r="BI1418" i="202"/>
  <c r="BI1410" i="202"/>
  <c r="BI1402" i="202"/>
  <c r="BI1394" i="202"/>
  <c r="BI1386" i="202"/>
  <c r="BI1378" i="202"/>
  <c r="BI1370" i="202"/>
  <c r="BI1362" i="202"/>
  <c r="BI1354" i="202"/>
  <c r="BI1346" i="202"/>
  <c r="BI1338" i="202"/>
  <c r="BI1330" i="202"/>
  <c r="BI1322" i="202"/>
  <c r="BI1314" i="202"/>
  <c r="BI1306" i="202"/>
  <c r="BI1298" i="202"/>
  <c r="BI1290" i="202"/>
  <c r="BI1282" i="202"/>
  <c r="BI1274" i="202"/>
  <c r="BI1937" i="202"/>
  <c r="BK1937" i="202" s="1"/>
  <c r="BI1929" i="202"/>
  <c r="BK1929" i="202" s="1"/>
  <c r="BI1921" i="202"/>
  <c r="BK1921" i="202" s="1"/>
  <c r="BI1913" i="202"/>
  <c r="BK1913" i="202" s="1"/>
  <c r="BI1905" i="202"/>
  <c r="BK1905" i="202" s="1"/>
  <c r="BI1897" i="202"/>
  <c r="BK1897" i="202" s="1"/>
  <c r="BI1889" i="202"/>
  <c r="BK1889" i="202" s="1"/>
  <c r="BI1881" i="202"/>
  <c r="BK1881" i="202" s="1"/>
  <c r="BI1873" i="202"/>
  <c r="BK1873" i="202" s="1"/>
  <c r="BI1865" i="202"/>
  <c r="BK1865" i="202" s="1"/>
  <c r="BI1857" i="202"/>
  <c r="BK1857" i="202" s="1"/>
  <c r="BI1849" i="202"/>
  <c r="BK1849" i="202" s="1"/>
  <c r="BI1841" i="202"/>
  <c r="BK1841" i="202" s="1"/>
  <c r="BI1833" i="202"/>
  <c r="BK1833" i="202" s="1"/>
  <c r="BI1825" i="202"/>
  <c r="BK1825" i="202" s="1"/>
  <c r="BI1817" i="202"/>
  <c r="BK1817" i="202" s="1"/>
  <c r="BI1809" i="202"/>
  <c r="BI1801" i="202"/>
  <c r="BK1801" i="202" s="1"/>
  <c r="BI1793" i="202"/>
  <c r="BK1793" i="202" s="1"/>
  <c r="BI1785" i="202"/>
  <c r="BK1785" i="202" s="1"/>
  <c r="BI1777" i="202"/>
  <c r="BK1777" i="202" s="1"/>
  <c r="BI1769" i="202"/>
  <c r="BK1769" i="202" s="1"/>
  <c r="BI1761" i="202"/>
  <c r="BK1761" i="202" s="1"/>
  <c r="BI1753" i="202"/>
  <c r="BK1753" i="202" s="1"/>
  <c r="BI1745" i="202"/>
  <c r="BK1745" i="202" s="1"/>
  <c r="BI1737" i="202"/>
  <c r="BK1737" i="202" s="1"/>
  <c r="BI1729" i="202"/>
  <c r="BK1729" i="202" s="1"/>
  <c r="BI1721" i="202"/>
  <c r="BK1721" i="202" s="1"/>
  <c r="BI1713" i="202"/>
  <c r="BK1713" i="202" s="1"/>
  <c r="BI1705" i="202"/>
  <c r="BK1705" i="202" s="1"/>
  <c r="BI1697" i="202"/>
  <c r="BK1697" i="202" s="1"/>
  <c r="BI1689" i="202"/>
  <c r="BK1689" i="202" s="1"/>
  <c r="BI1681" i="202"/>
  <c r="BK1681" i="202" s="1"/>
  <c r="BI1673" i="202"/>
  <c r="BK1673" i="202" s="1"/>
  <c r="BI1665" i="202"/>
  <c r="BK1665" i="202" s="1"/>
  <c r="BI1657" i="202"/>
  <c r="BK1657" i="202" s="1"/>
  <c r="BI1649" i="202"/>
  <c r="BK1649" i="202" s="1"/>
  <c r="BI1641" i="202"/>
  <c r="BK1641" i="202" s="1"/>
  <c r="BI1633" i="202"/>
  <c r="BK1633" i="202" s="1"/>
  <c r="BI1625" i="202"/>
  <c r="BK1625" i="202" s="1"/>
  <c r="BI1617" i="202"/>
  <c r="BK1617" i="202" s="1"/>
  <c r="BI1609" i="202"/>
  <c r="BK1609" i="202" s="1"/>
  <c r="BI1601" i="202"/>
  <c r="BK1601" i="202" s="1"/>
  <c r="BI1593" i="202"/>
  <c r="BK1593" i="202" s="1"/>
  <c r="BI1585" i="202"/>
  <c r="BK1585" i="202" s="1"/>
  <c r="BI1577" i="202"/>
  <c r="BK1577" i="202" s="1"/>
  <c r="BI1569" i="202"/>
  <c r="BK1569" i="202" s="1"/>
  <c r="BI1561" i="202"/>
  <c r="BK1561" i="202" s="1"/>
  <c r="BI1553" i="202"/>
  <c r="BK1553" i="202" s="1"/>
  <c r="BI1545" i="202"/>
  <c r="BK1545" i="202" s="1"/>
  <c r="BI1537" i="202"/>
  <c r="BK1537" i="202" s="1"/>
  <c r="BI1529" i="202"/>
  <c r="BK1529" i="202" s="1"/>
  <c r="BI1521" i="202"/>
  <c r="BK1521" i="202" s="1"/>
  <c r="BI1513" i="202"/>
  <c r="BK1513" i="202" s="1"/>
  <c r="BI1505" i="202"/>
  <c r="BK1505" i="202" s="1"/>
  <c r="BI1497" i="202"/>
  <c r="BK1497" i="202" s="1"/>
  <c r="BI1489" i="202"/>
  <c r="BK1489" i="202" s="1"/>
  <c r="BI1481" i="202"/>
  <c r="BK1481" i="202" s="1"/>
  <c r="BI1473" i="202"/>
  <c r="BK1473" i="202" s="1"/>
  <c r="BI1465" i="202"/>
  <c r="BK1465" i="202" s="1"/>
  <c r="BI1457" i="202"/>
  <c r="BK1457" i="202" s="1"/>
  <c r="BI1449" i="202"/>
  <c r="BK1449" i="202" s="1"/>
  <c r="BI1441" i="202"/>
  <c r="BK1441" i="202" s="1"/>
  <c r="BI1433" i="202"/>
  <c r="BK1433" i="202" s="1"/>
  <c r="BI1425" i="202"/>
  <c r="BI1417" i="202"/>
  <c r="BK1417" i="202" s="1"/>
  <c r="BI1409" i="202"/>
  <c r="BK1409" i="202" s="1"/>
  <c r="BI1401" i="202"/>
  <c r="BK1401" i="202" s="1"/>
  <c r="BI1393" i="202"/>
  <c r="BK1393" i="202" s="1"/>
  <c r="BI1385" i="202"/>
  <c r="BK1385" i="202" s="1"/>
  <c r="BI1377" i="202"/>
  <c r="BK1377" i="202" s="1"/>
  <c r="BI1369" i="202"/>
  <c r="BK1369" i="202" s="1"/>
  <c r="BI1361" i="202"/>
  <c r="BK1361" i="202" s="1"/>
  <c r="BI1783" i="202"/>
  <c r="BK1783" i="202" s="1"/>
  <c r="BI1775" i="202"/>
  <c r="BK1775" i="202" s="1"/>
  <c r="BI1767" i="202"/>
  <c r="BI1759" i="202"/>
  <c r="BK1759" i="202" s="1"/>
  <c r="BI1751" i="202"/>
  <c r="BK1751" i="202" s="1"/>
  <c r="BI1743" i="202"/>
  <c r="BK1743" i="202" s="1"/>
  <c r="BI1735" i="202"/>
  <c r="BK1735" i="202" s="1"/>
  <c r="BI1727" i="202"/>
  <c r="BK1727" i="202" s="1"/>
  <c r="BI1719" i="202"/>
  <c r="BI1711" i="202"/>
  <c r="BK1711" i="202" s="1"/>
  <c r="BI1703" i="202"/>
  <c r="BK1703" i="202" s="1"/>
  <c r="BI1695" i="202"/>
  <c r="BK1695" i="202" s="1"/>
  <c r="BI1687" i="202"/>
  <c r="BK1687" i="202" s="1"/>
  <c r="BI1679" i="202"/>
  <c r="BK1679" i="202" s="1"/>
  <c r="BI1671" i="202"/>
  <c r="BK1671" i="202" s="1"/>
  <c r="BI1663" i="202"/>
  <c r="BK1663" i="202" s="1"/>
  <c r="BI1655" i="202"/>
  <c r="BK1655" i="202" s="1"/>
  <c r="BI1647" i="202"/>
  <c r="BK1647" i="202" s="1"/>
  <c r="BI1639" i="202"/>
  <c r="BK1639" i="202" s="1"/>
  <c r="BI1631" i="202"/>
  <c r="BK1631" i="202" s="1"/>
  <c r="BI1623" i="202"/>
  <c r="BK1623" i="202" s="1"/>
  <c r="BI1615" i="202"/>
  <c r="BK1615" i="202" s="1"/>
  <c r="BI1607" i="202"/>
  <c r="BK1607" i="202" s="1"/>
  <c r="BI1599" i="202"/>
  <c r="BK1599" i="202" s="1"/>
  <c r="BI1591" i="202"/>
  <c r="BK1591" i="202" s="1"/>
  <c r="BI1583" i="202"/>
  <c r="BK1583" i="202" s="1"/>
  <c r="BI1575" i="202"/>
  <c r="BK1575" i="202" s="1"/>
  <c r="BI1567" i="202"/>
  <c r="BK1567" i="202" s="1"/>
  <c r="BI1559" i="202"/>
  <c r="BK1559" i="202" s="1"/>
  <c r="BI1551" i="202"/>
  <c r="BK1551" i="202" s="1"/>
  <c r="BI1543" i="202"/>
  <c r="BK1543" i="202" s="1"/>
  <c r="BI1535" i="202"/>
  <c r="BI1527" i="202"/>
  <c r="BK1527" i="202" s="1"/>
  <c r="BI1519" i="202"/>
  <c r="BK1519" i="202" s="1"/>
  <c r="BI1511" i="202"/>
  <c r="BK1511" i="202" s="1"/>
  <c r="BI1503" i="202"/>
  <c r="BK1503" i="202" s="1"/>
  <c r="BI1495" i="202"/>
  <c r="BK1495" i="202" s="1"/>
  <c r="BI1487" i="202"/>
  <c r="BK1487" i="202" s="1"/>
  <c r="BI1479" i="202"/>
  <c r="BK1479" i="202" s="1"/>
  <c r="BI1471" i="202"/>
  <c r="BK1471" i="202" s="1"/>
  <c r="BI1463" i="202"/>
  <c r="BK1463" i="202" s="1"/>
  <c r="BI1455" i="202"/>
  <c r="BK1455" i="202" s="1"/>
  <c r="BI1447" i="202"/>
  <c r="BK1447" i="202" s="1"/>
  <c r="BI1439" i="202"/>
  <c r="BK1439" i="202" s="1"/>
  <c r="BI1431" i="202"/>
  <c r="BK1431" i="202" s="1"/>
  <c r="BI1423" i="202"/>
  <c r="BK1423" i="202" s="1"/>
  <c r="BI1415" i="202"/>
  <c r="BK1415" i="202" s="1"/>
  <c r="BI1407" i="202"/>
  <c r="BK1407" i="202" s="1"/>
  <c r="BI1399" i="202"/>
  <c r="BK1399" i="202" s="1"/>
  <c r="BI1391" i="202"/>
  <c r="BK1391" i="202" s="1"/>
  <c r="BI1383" i="202"/>
  <c r="BK1383" i="202" s="1"/>
  <c r="BI1375" i="202"/>
  <c r="BK1375" i="202" s="1"/>
  <c r="BI1367" i="202"/>
  <c r="BK1367" i="202" s="1"/>
  <c r="BI1359" i="202"/>
  <c r="BK1359" i="202" s="1"/>
  <c r="BI1036" i="202"/>
  <c r="BK1036" i="202" s="1"/>
  <c r="BI1028" i="202"/>
  <c r="BK1028" i="202" s="1"/>
  <c r="BI1020" i="202"/>
  <c r="BK1020" i="202" s="1"/>
  <c r="BI1012" i="202"/>
  <c r="BK1012" i="202" s="1"/>
  <c r="BI1004" i="202"/>
  <c r="BI996" i="202"/>
  <c r="BK996" i="202" s="1"/>
  <c r="BI988" i="202"/>
  <c r="BK988" i="202" s="1"/>
  <c r="BI980" i="202"/>
  <c r="BI972" i="202"/>
  <c r="BK972" i="202" s="1"/>
  <c r="BI964" i="202"/>
  <c r="BK964" i="202" s="1"/>
  <c r="BI956" i="202"/>
  <c r="BK956" i="202" s="1"/>
  <c r="BI948" i="202"/>
  <c r="BK948" i="202" s="1"/>
  <c r="BI940" i="202"/>
  <c r="BI932" i="202"/>
  <c r="BK932" i="202" s="1"/>
  <c r="BI924" i="202"/>
  <c r="BK924" i="202" s="1"/>
  <c r="BI916" i="202"/>
  <c r="BI908" i="202"/>
  <c r="BK908" i="202" s="1"/>
  <c r="BI900" i="202"/>
  <c r="BK900" i="202" s="1"/>
  <c r="BI892" i="202"/>
  <c r="BK892" i="202" s="1"/>
  <c r="BI884" i="202"/>
  <c r="BK884" i="202" s="1"/>
  <c r="BI876" i="202"/>
  <c r="BI868" i="202"/>
  <c r="BK868" i="202" s="1"/>
  <c r="BI860" i="202"/>
  <c r="BK860" i="202" s="1"/>
  <c r="BI852" i="202"/>
  <c r="BI844" i="202"/>
  <c r="BK844" i="202" s="1"/>
  <c r="BI836" i="202"/>
  <c r="BK836" i="202" s="1"/>
  <c r="BI828" i="202"/>
  <c r="BK828" i="202" s="1"/>
  <c r="BI820" i="202"/>
  <c r="BK820" i="202" s="1"/>
  <c r="BI812" i="202"/>
  <c r="BI804" i="202"/>
  <c r="BK804" i="202" s="1"/>
  <c r="BI796" i="202"/>
  <c r="BK796" i="202" s="1"/>
  <c r="BI788" i="202"/>
  <c r="BI780" i="202"/>
  <c r="BK780" i="202" s="1"/>
  <c r="BI772" i="202"/>
  <c r="BK772" i="202" s="1"/>
  <c r="BI764" i="202"/>
  <c r="BK764" i="202" s="1"/>
  <c r="BI756" i="202"/>
  <c r="BK756" i="202" s="1"/>
  <c r="BI748" i="202"/>
  <c r="BI740" i="202"/>
  <c r="BK740" i="202" s="1"/>
  <c r="BI732" i="202"/>
  <c r="BK732" i="202" s="1"/>
  <c r="BI724" i="202"/>
  <c r="BI716" i="202"/>
  <c r="BK716" i="202" s="1"/>
  <c r="BI708" i="202"/>
  <c r="BK708" i="202" s="1"/>
  <c r="BI700" i="202"/>
  <c r="BK700" i="202" s="1"/>
  <c r="BI692" i="202"/>
  <c r="BK692" i="202" s="1"/>
  <c r="BI684" i="202"/>
  <c r="BI1266" i="202"/>
  <c r="BI1258" i="202"/>
  <c r="BI1250" i="202"/>
  <c r="BI1242" i="202"/>
  <c r="BI1234" i="202"/>
  <c r="BI1226" i="202"/>
  <c r="BI1218" i="202"/>
  <c r="BI1210" i="202"/>
  <c r="BI1202" i="202"/>
  <c r="BI1194" i="202"/>
  <c r="BI1186" i="202"/>
  <c r="BI1178" i="202"/>
  <c r="BI1170" i="202"/>
  <c r="BI1162" i="202"/>
  <c r="BI1154" i="202"/>
  <c r="BI1146" i="202"/>
  <c r="BI1138" i="202"/>
  <c r="BI1130" i="202"/>
  <c r="BI1122" i="202"/>
  <c r="BI1114" i="202"/>
  <c r="BI1106" i="202"/>
  <c r="BI1098" i="202"/>
  <c r="BI1090" i="202"/>
  <c r="BI1082" i="202"/>
  <c r="BI1074" i="202"/>
  <c r="BI1066" i="202"/>
  <c r="BI1058" i="202"/>
  <c r="BI1050" i="202"/>
  <c r="BI1042" i="202"/>
  <c r="BI1034" i="202"/>
  <c r="BI1026" i="202"/>
  <c r="BI1018" i="202"/>
  <c r="BI1010" i="202"/>
  <c r="BI1002" i="202"/>
  <c r="BI994" i="202"/>
  <c r="BI986" i="202"/>
  <c r="BI978" i="202"/>
  <c r="BI970" i="202"/>
  <c r="BI962" i="202"/>
  <c r="BI954" i="202"/>
  <c r="BI946" i="202"/>
  <c r="BI938" i="202"/>
  <c r="BI930" i="202"/>
  <c r="BI922" i="202"/>
  <c r="BI914" i="202"/>
  <c r="BI906" i="202"/>
  <c r="BI898" i="202"/>
  <c r="BI890" i="202"/>
  <c r="BI882" i="202"/>
  <c r="BI874" i="202"/>
  <c r="BI866" i="202"/>
  <c r="BI858" i="202"/>
  <c r="BI850" i="202"/>
  <c r="BI842" i="202"/>
  <c r="BI834" i="202"/>
  <c r="BI826" i="202"/>
  <c r="BI818" i="202"/>
  <c r="BI810" i="202"/>
  <c r="BI802" i="202"/>
  <c r="BI794" i="202"/>
  <c r="BI786" i="202"/>
  <c r="BI778" i="202"/>
  <c r="BI770" i="202"/>
  <c r="BI762" i="202"/>
  <c r="BI754" i="202"/>
  <c r="BI746" i="202"/>
  <c r="BI738" i="202"/>
  <c r="BI730" i="202"/>
  <c r="BI722" i="202"/>
  <c r="BI714" i="202"/>
  <c r="BI706" i="202"/>
  <c r="BI698" i="202"/>
  <c r="BI690" i="202"/>
  <c r="BI682" i="202"/>
  <c r="BI1353" i="202"/>
  <c r="BK1353" i="202" s="1"/>
  <c r="BI1345" i="202"/>
  <c r="BK1345" i="202" s="1"/>
  <c r="BI1337" i="202"/>
  <c r="BK1337" i="202" s="1"/>
  <c r="BI1329" i="202"/>
  <c r="BK1329" i="202" s="1"/>
  <c r="BI1321" i="202"/>
  <c r="BK1321" i="202" s="1"/>
  <c r="BI1313" i="202"/>
  <c r="BK1313" i="202" s="1"/>
  <c r="BI1305" i="202"/>
  <c r="BK1305" i="202" s="1"/>
  <c r="BI1297" i="202"/>
  <c r="BK1297" i="202" s="1"/>
  <c r="BI1289" i="202"/>
  <c r="BK1289" i="202" s="1"/>
  <c r="BI1281" i="202"/>
  <c r="BK1281" i="202" s="1"/>
  <c r="BI1273" i="202"/>
  <c r="BK1273" i="202" s="1"/>
  <c r="BI1265" i="202"/>
  <c r="BK1265" i="202" s="1"/>
  <c r="BI1257" i="202"/>
  <c r="BK1257" i="202" s="1"/>
  <c r="BI1249" i="202"/>
  <c r="BK1249" i="202" s="1"/>
  <c r="BI1241" i="202"/>
  <c r="BK1241" i="202" s="1"/>
  <c r="BI1233" i="202"/>
  <c r="BK1233" i="202" s="1"/>
  <c r="BI1225" i="202"/>
  <c r="BK1225" i="202" s="1"/>
  <c r="BI1217" i="202"/>
  <c r="BK1217" i="202" s="1"/>
  <c r="BI1209" i="202"/>
  <c r="BK1209" i="202" s="1"/>
  <c r="BI1201" i="202"/>
  <c r="BI1193" i="202"/>
  <c r="BK1193" i="202" s="1"/>
  <c r="BI1185" i="202"/>
  <c r="BK1185" i="202" s="1"/>
  <c r="BI1177" i="202"/>
  <c r="BK1177" i="202" s="1"/>
  <c r="BI1169" i="202"/>
  <c r="BK1169" i="202" s="1"/>
  <c r="BI1161" i="202"/>
  <c r="BK1161" i="202" s="1"/>
  <c r="BI1153" i="202"/>
  <c r="BK1153" i="202" s="1"/>
  <c r="BI1145" i="202"/>
  <c r="BK1145" i="202" s="1"/>
  <c r="BI1137" i="202"/>
  <c r="BK1137" i="202" s="1"/>
  <c r="BI1129" i="202"/>
  <c r="BK1129" i="202" s="1"/>
  <c r="BI1121" i="202"/>
  <c r="BK1121" i="202" s="1"/>
  <c r="BI1113" i="202"/>
  <c r="BK1113" i="202" s="1"/>
  <c r="BI1105" i="202"/>
  <c r="BK1105" i="202" s="1"/>
  <c r="BI1097" i="202"/>
  <c r="BK1097" i="202" s="1"/>
  <c r="BI1089" i="202"/>
  <c r="BK1089" i="202" s="1"/>
  <c r="BI1081" i="202"/>
  <c r="BI1073" i="202"/>
  <c r="BK1073" i="202" s="1"/>
  <c r="BI1065" i="202"/>
  <c r="BK1065" i="202" s="1"/>
  <c r="BI1057" i="202"/>
  <c r="BK1057" i="202" s="1"/>
  <c r="BI1049" i="202"/>
  <c r="BK1049" i="202" s="1"/>
  <c r="BI1041" i="202"/>
  <c r="BK1041" i="202" s="1"/>
  <c r="BI1033" i="202"/>
  <c r="BK1033" i="202" s="1"/>
  <c r="BI1025" i="202"/>
  <c r="BK1025" i="202" s="1"/>
  <c r="BI1017" i="202"/>
  <c r="BK1017" i="202" s="1"/>
  <c r="BI1009" i="202"/>
  <c r="BK1009" i="202" s="1"/>
  <c r="BI1001" i="202"/>
  <c r="BK1001" i="202" s="1"/>
  <c r="BI993" i="202"/>
  <c r="BI985" i="202"/>
  <c r="BK985" i="202" s="1"/>
  <c r="BI977" i="202"/>
  <c r="BK977" i="202" s="1"/>
  <c r="BI969" i="202"/>
  <c r="BK969" i="202" s="1"/>
  <c r="BI961" i="202"/>
  <c r="BK961" i="202" s="1"/>
  <c r="BI953" i="202"/>
  <c r="BK953" i="202" s="1"/>
  <c r="BI945" i="202"/>
  <c r="BK945" i="202" s="1"/>
  <c r="BI937" i="202"/>
  <c r="BK937" i="202" s="1"/>
  <c r="BI929" i="202"/>
  <c r="BK929" i="202" s="1"/>
  <c r="BI921" i="202"/>
  <c r="BK921" i="202" s="1"/>
  <c r="BI913" i="202"/>
  <c r="BK913" i="202" s="1"/>
  <c r="BI905" i="202"/>
  <c r="BK905" i="202" s="1"/>
  <c r="BI897" i="202"/>
  <c r="BK897" i="202" s="1"/>
  <c r="BI889" i="202"/>
  <c r="BK889" i="202" s="1"/>
  <c r="BI881" i="202"/>
  <c r="BK881" i="202" s="1"/>
  <c r="BI873" i="202"/>
  <c r="BK873" i="202" s="1"/>
  <c r="BI865" i="202"/>
  <c r="BI857" i="202"/>
  <c r="BK857" i="202" s="1"/>
  <c r="BI849" i="202"/>
  <c r="BK849" i="202" s="1"/>
  <c r="BI841" i="202"/>
  <c r="BK841" i="202" s="1"/>
  <c r="BI833" i="202"/>
  <c r="BK833" i="202" s="1"/>
  <c r="BI825" i="202"/>
  <c r="BK825" i="202" s="1"/>
  <c r="BI817" i="202"/>
  <c r="BK817" i="202" s="1"/>
  <c r="BI809" i="202"/>
  <c r="BK809" i="202" s="1"/>
  <c r="BI801" i="202"/>
  <c r="BK801" i="202" s="1"/>
  <c r="BI793" i="202"/>
  <c r="BK793" i="202" s="1"/>
  <c r="BI785" i="202"/>
  <c r="BK785" i="202" s="1"/>
  <c r="BI777" i="202"/>
  <c r="BK777" i="202" s="1"/>
  <c r="BI769" i="202"/>
  <c r="BK769" i="202" s="1"/>
  <c r="BI761" i="202"/>
  <c r="BK761" i="202" s="1"/>
  <c r="BI753" i="202"/>
  <c r="BK753" i="202" s="1"/>
  <c r="BI745" i="202"/>
  <c r="BK745" i="202" s="1"/>
  <c r="BI737" i="202"/>
  <c r="BK737" i="202" s="1"/>
  <c r="BI729" i="202"/>
  <c r="BK729" i="202" s="1"/>
  <c r="BI721" i="202"/>
  <c r="BK721" i="202" s="1"/>
  <c r="BI713" i="202"/>
  <c r="BK713" i="202" s="1"/>
  <c r="BI705" i="202"/>
  <c r="BK705" i="202" s="1"/>
  <c r="BI697" i="202"/>
  <c r="BK697" i="202" s="1"/>
  <c r="BI689" i="202"/>
  <c r="BK689" i="202" s="1"/>
  <c r="BI681" i="202"/>
  <c r="BK681" i="202" s="1"/>
  <c r="BI1351" i="202"/>
  <c r="BK1351" i="202" s="1"/>
  <c r="BI1343" i="202"/>
  <c r="BK1343" i="202" s="1"/>
  <c r="BI1335" i="202"/>
  <c r="BK1335" i="202" s="1"/>
  <c r="BI1327" i="202"/>
  <c r="BK1327" i="202" s="1"/>
  <c r="BI1319" i="202"/>
  <c r="BK1319" i="202" s="1"/>
  <c r="BI1311" i="202"/>
  <c r="BK1311" i="202" s="1"/>
  <c r="BI1303" i="202"/>
  <c r="BK1303" i="202" s="1"/>
  <c r="BI1295" i="202"/>
  <c r="BK1295" i="202" s="1"/>
  <c r="BI1287" i="202"/>
  <c r="BK1287" i="202" s="1"/>
  <c r="BI1279" i="202"/>
  <c r="BI1271" i="202"/>
  <c r="BK1271" i="202" s="1"/>
  <c r="BI1263" i="202"/>
  <c r="BK1263" i="202" s="1"/>
  <c r="BI1255" i="202"/>
  <c r="BK1255" i="202" s="1"/>
  <c r="BI1247" i="202"/>
  <c r="BK1247" i="202" s="1"/>
  <c r="BI1239" i="202"/>
  <c r="BK1239" i="202" s="1"/>
  <c r="BI1231" i="202"/>
  <c r="BK1231" i="202" s="1"/>
  <c r="BI1223" i="202"/>
  <c r="BK1223" i="202" s="1"/>
  <c r="BI1215" i="202"/>
  <c r="BK1215" i="202" s="1"/>
  <c r="BI1207" i="202"/>
  <c r="BK1207" i="202" s="1"/>
  <c r="BI1199" i="202"/>
  <c r="BK1199" i="202" s="1"/>
  <c r="BI1191" i="202"/>
  <c r="BK1191" i="202" s="1"/>
  <c r="BI1183" i="202"/>
  <c r="BK1183" i="202" s="1"/>
  <c r="BI1175" i="202"/>
  <c r="BK1175" i="202" s="1"/>
  <c r="BI1167" i="202"/>
  <c r="BK1167" i="202" s="1"/>
  <c r="BI1159" i="202"/>
  <c r="BK1159" i="202" s="1"/>
  <c r="BI1151" i="202"/>
  <c r="BK1151" i="202" s="1"/>
  <c r="BI1143" i="202"/>
  <c r="BK1143" i="202" s="1"/>
  <c r="BI1135" i="202"/>
  <c r="BK1135" i="202" s="1"/>
  <c r="BI1127" i="202"/>
  <c r="BK1127" i="202" s="1"/>
  <c r="BI1119" i="202"/>
  <c r="BK1119" i="202" s="1"/>
  <c r="BI1111" i="202"/>
  <c r="BI1103" i="202"/>
  <c r="BK1103" i="202" s="1"/>
  <c r="BI1095" i="202"/>
  <c r="BK1095" i="202" s="1"/>
  <c r="BI1087" i="202"/>
  <c r="BK1087" i="202" s="1"/>
  <c r="BI1079" i="202"/>
  <c r="BK1079" i="202" s="1"/>
  <c r="BI1071" i="202"/>
  <c r="BK1071" i="202" s="1"/>
  <c r="BI1063" i="202"/>
  <c r="BK1063" i="202" s="1"/>
  <c r="BI1055" i="202"/>
  <c r="BK1055" i="202" s="1"/>
  <c r="BI1047" i="202"/>
  <c r="BK1047" i="202" s="1"/>
  <c r="BI1039" i="202"/>
  <c r="BK1039" i="202" s="1"/>
  <c r="BI1031" i="202"/>
  <c r="BK1031" i="202" s="1"/>
  <c r="BI1023" i="202"/>
  <c r="BI1015" i="202"/>
  <c r="BK1015" i="202" s="1"/>
  <c r="BI1007" i="202"/>
  <c r="BK1007" i="202" s="1"/>
  <c r="BI999" i="202"/>
  <c r="BK999" i="202" s="1"/>
  <c r="BI991" i="202"/>
  <c r="BK991" i="202" s="1"/>
  <c r="BI983" i="202"/>
  <c r="BK983" i="202" s="1"/>
  <c r="BI975" i="202"/>
  <c r="BK975" i="202" s="1"/>
  <c r="BI967" i="202"/>
  <c r="BK967" i="202" s="1"/>
  <c r="BI959" i="202"/>
  <c r="BK959" i="202" s="1"/>
  <c r="BI951" i="202"/>
  <c r="BK951" i="202" s="1"/>
  <c r="BI943" i="202"/>
  <c r="BK943" i="202" s="1"/>
  <c r="BI935" i="202"/>
  <c r="BK935" i="202" s="1"/>
  <c r="BI927" i="202"/>
  <c r="BI919" i="202"/>
  <c r="BK919" i="202" s="1"/>
  <c r="BI911" i="202"/>
  <c r="BK911" i="202" s="1"/>
  <c r="BI903" i="202"/>
  <c r="BK903" i="202" s="1"/>
  <c r="BI895" i="202"/>
  <c r="BK895" i="202" s="1"/>
  <c r="BI887" i="202"/>
  <c r="BK887" i="202" s="1"/>
  <c r="BI879" i="202"/>
  <c r="BK879" i="202" s="1"/>
  <c r="BI871" i="202"/>
  <c r="BK871" i="202" s="1"/>
  <c r="BI863" i="202"/>
  <c r="BK863" i="202" s="1"/>
  <c r="BI855" i="202"/>
  <c r="BK855" i="202" s="1"/>
  <c r="BI847" i="202"/>
  <c r="BK847" i="202" s="1"/>
  <c r="BI839" i="202"/>
  <c r="BK839" i="202" s="1"/>
  <c r="BI831" i="202"/>
  <c r="BK831" i="202" s="1"/>
  <c r="BI823" i="202"/>
  <c r="BK823" i="202" s="1"/>
  <c r="BI815" i="202"/>
  <c r="BK815" i="202" s="1"/>
  <c r="BI807" i="202"/>
  <c r="BK807" i="202" s="1"/>
  <c r="BI799" i="202"/>
  <c r="BI791" i="202"/>
  <c r="BK791" i="202" s="1"/>
  <c r="BI783" i="202"/>
  <c r="BK783" i="202" s="1"/>
  <c r="BI775" i="202"/>
  <c r="BK775" i="202" s="1"/>
  <c r="BI767" i="202"/>
  <c r="BK767" i="202" s="1"/>
  <c r="BI759" i="202"/>
  <c r="BK759" i="202" s="1"/>
  <c r="BI751" i="202"/>
  <c r="BK751" i="202" s="1"/>
  <c r="BI743" i="202"/>
  <c r="BI735" i="202"/>
  <c r="BK735" i="202" s="1"/>
  <c r="BI727" i="202"/>
  <c r="BK727" i="202" s="1"/>
  <c r="BI719" i="202"/>
  <c r="BK719" i="202" s="1"/>
  <c r="BI711" i="202"/>
  <c r="BK711" i="202" s="1"/>
  <c r="BI703" i="202"/>
  <c r="BK703" i="202" s="1"/>
  <c r="BI695" i="202"/>
  <c r="BK695" i="202" s="1"/>
  <c r="BI687" i="202"/>
  <c r="BK687" i="202" s="1"/>
  <c r="BI677" i="202"/>
  <c r="BI669" i="202"/>
  <c r="BI661" i="202"/>
  <c r="BI653" i="202"/>
  <c r="BI645" i="202"/>
  <c r="BI637" i="202"/>
  <c r="BI629" i="202"/>
  <c r="BI621" i="202"/>
  <c r="BI613" i="202"/>
  <c r="BI605" i="202"/>
  <c r="BI597" i="202"/>
  <c r="BI589" i="202"/>
  <c r="BI581" i="202"/>
  <c r="BI573" i="202"/>
  <c r="BI565" i="202"/>
  <c r="BI557" i="202"/>
  <c r="BI549" i="202"/>
  <c r="BI541" i="202"/>
  <c r="BI533" i="202"/>
  <c r="BI525" i="202"/>
  <c r="BI517" i="202"/>
  <c r="BI509" i="202"/>
  <c r="BI501" i="202"/>
  <c r="BI493" i="202"/>
  <c r="BI485" i="202"/>
  <c r="BI477" i="202"/>
  <c r="BI469" i="202"/>
  <c r="BI461" i="202"/>
  <c r="BI453" i="202"/>
  <c r="BI445" i="202"/>
  <c r="BI437" i="202"/>
  <c r="BI429" i="202"/>
  <c r="BI421" i="202"/>
  <c r="BI413" i="202"/>
  <c r="BI405" i="202"/>
  <c r="BI397" i="202"/>
  <c r="BI389" i="202"/>
  <c r="BI381" i="202"/>
  <c r="BI373" i="202"/>
  <c r="BI365" i="202"/>
  <c r="BI357" i="202"/>
  <c r="BI349" i="202"/>
  <c r="BI341" i="202"/>
  <c r="BI333" i="202"/>
  <c r="BI325" i="202"/>
  <c r="BI317" i="202"/>
  <c r="BI309" i="202"/>
  <c r="BI301" i="202"/>
  <c r="BI293" i="202"/>
  <c r="BI285" i="202"/>
  <c r="BI277" i="202"/>
  <c r="BI269" i="202"/>
  <c r="BI261" i="202"/>
  <c r="BI253" i="202"/>
  <c r="BI245" i="202"/>
  <c r="BI237" i="202"/>
  <c r="BI229" i="202"/>
  <c r="BI221" i="202"/>
  <c r="BI213" i="202"/>
  <c r="BI205" i="202"/>
  <c r="BI197" i="202"/>
  <c r="BI189" i="202"/>
  <c r="BI181" i="202"/>
  <c r="BI173" i="202"/>
  <c r="BI165" i="202"/>
  <c r="BI157" i="202"/>
  <c r="BI149" i="202"/>
  <c r="BI141" i="202"/>
  <c r="BI133" i="202"/>
  <c r="BI125" i="202"/>
  <c r="BI117" i="202"/>
  <c r="BI109" i="202"/>
  <c r="BI101" i="202"/>
  <c r="BI93" i="202"/>
  <c r="BI85" i="202"/>
  <c r="BI77" i="202"/>
  <c r="BI69" i="202"/>
  <c r="BI61" i="202"/>
  <c r="BI53" i="202"/>
  <c r="BI45" i="202"/>
  <c r="BI37" i="202"/>
  <c r="BI29" i="202"/>
  <c r="BI21" i="202"/>
  <c r="BI13" i="202"/>
  <c r="BI5" i="202"/>
  <c r="BI676" i="202"/>
  <c r="BK676" i="202" s="1"/>
  <c r="BI668" i="202"/>
  <c r="BK668" i="202" s="1"/>
  <c r="BI660" i="202"/>
  <c r="BI652" i="202"/>
  <c r="BK652" i="202" s="1"/>
  <c r="BI644" i="202"/>
  <c r="BK644" i="202" s="1"/>
  <c r="BI636" i="202"/>
  <c r="BK636" i="202" s="1"/>
  <c r="BI628" i="202"/>
  <c r="BK628" i="202" s="1"/>
  <c r="BI620" i="202"/>
  <c r="BI612" i="202"/>
  <c r="BK612" i="202" s="1"/>
  <c r="BI604" i="202"/>
  <c r="BK604" i="202" s="1"/>
  <c r="BI596" i="202"/>
  <c r="BI588" i="202"/>
  <c r="BK588" i="202" s="1"/>
  <c r="BI580" i="202"/>
  <c r="BK580" i="202" s="1"/>
  <c r="BI572" i="202"/>
  <c r="BK572" i="202" s="1"/>
  <c r="BI564" i="202"/>
  <c r="BK564" i="202" s="1"/>
  <c r="BI556" i="202"/>
  <c r="BI548" i="202"/>
  <c r="BK548" i="202" s="1"/>
  <c r="BI540" i="202"/>
  <c r="BK540" i="202" s="1"/>
  <c r="BI532" i="202"/>
  <c r="BI524" i="202"/>
  <c r="BK524" i="202" s="1"/>
  <c r="BI516" i="202"/>
  <c r="BK516" i="202" s="1"/>
  <c r="BI508" i="202"/>
  <c r="BK508" i="202" s="1"/>
  <c r="BI500" i="202"/>
  <c r="BK500" i="202" s="1"/>
  <c r="BI492" i="202"/>
  <c r="BI484" i="202"/>
  <c r="BK484" i="202" s="1"/>
  <c r="BI476" i="202"/>
  <c r="BK476" i="202" s="1"/>
  <c r="BI468" i="202"/>
  <c r="BI460" i="202"/>
  <c r="BK460" i="202" s="1"/>
  <c r="BI452" i="202"/>
  <c r="BK452" i="202" s="1"/>
  <c r="BI444" i="202"/>
  <c r="BK444" i="202" s="1"/>
  <c r="BI436" i="202"/>
  <c r="BK436" i="202" s="1"/>
  <c r="BI428" i="202"/>
  <c r="BI420" i="202"/>
  <c r="BK420" i="202" s="1"/>
  <c r="BI412" i="202"/>
  <c r="BK412" i="202" s="1"/>
  <c r="BI404" i="202"/>
  <c r="BI396" i="202"/>
  <c r="BK396" i="202" s="1"/>
  <c r="BI388" i="202"/>
  <c r="BK388" i="202" s="1"/>
  <c r="BI380" i="202"/>
  <c r="BI372" i="202"/>
  <c r="BK372" i="202" s="1"/>
  <c r="BI364" i="202"/>
  <c r="BK364" i="202" s="1"/>
  <c r="BI356" i="202"/>
  <c r="BK356" i="202" s="1"/>
  <c r="BI348" i="202"/>
  <c r="BK348" i="202" s="1"/>
  <c r="BI340" i="202"/>
  <c r="BI332" i="202"/>
  <c r="BK332" i="202" s="1"/>
  <c r="BI324" i="202"/>
  <c r="BK324" i="202" s="1"/>
  <c r="BI316" i="202"/>
  <c r="BI308" i="202"/>
  <c r="BK308" i="202" s="1"/>
  <c r="BI300" i="202"/>
  <c r="BK300" i="202" s="1"/>
  <c r="BI292" i="202"/>
  <c r="BK292" i="202" s="1"/>
  <c r="BI284" i="202"/>
  <c r="BK284" i="202" s="1"/>
  <c r="BI276" i="202"/>
  <c r="BI268" i="202"/>
  <c r="BK268" i="202" s="1"/>
  <c r="BI260" i="202"/>
  <c r="BK260" i="202" s="1"/>
  <c r="BI252" i="202"/>
  <c r="BI244" i="202"/>
  <c r="BK244" i="202" s="1"/>
  <c r="BI236" i="202"/>
  <c r="BK236" i="202" s="1"/>
  <c r="BI228" i="202"/>
  <c r="BK228" i="202" s="1"/>
  <c r="BI220" i="202"/>
  <c r="BK220" i="202" s="1"/>
  <c r="BI212" i="202"/>
  <c r="BI204" i="202"/>
  <c r="BK204" i="202" s="1"/>
  <c r="BI196" i="202"/>
  <c r="BK196" i="202" s="1"/>
  <c r="BI188" i="202"/>
  <c r="BI180" i="202"/>
  <c r="BK180" i="202" s="1"/>
  <c r="BI172" i="202"/>
  <c r="BK172" i="202" s="1"/>
  <c r="BI164" i="202"/>
  <c r="BK164" i="202" s="1"/>
  <c r="BI156" i="202"/>
  <c r="BK156" i="202" s="1"/>
  <c r="BI148" i="202"/>
  <c r="BI140" i="202"/>
  <c r="BK140" i="202" s="1"/>
  <c r="BI132" i="202"/>
  <c r="BK132" i="202" s="1"/>
  <c r="BI124" i="202"/>
  <c r="BI116" i="202"/>
  <c r="BK116" i="202" s="1"/>
  <c r="BI108" i="202"/>
  <c r="BK108" i="202" s="1"/>
  <c r="BI100" i="202"/>
  <c r="BK100" i="202" s="1"/>
  <c r="BI92" i="202"/>
  <c r="BK92" i="202" s="1"/>
  <c r="BI84" i="202"/>
  <c r="BI76" i="202"/>
  <c r="BK76" i="202" s="1"/>
  <c r="BI68" i="202"/>
  <c r="BK68" i="202" s="1"/>
  <c r="BI60" i="202"/>
  <c r="BI52" i="202"/>
  <c r="BK52" i="202" s="1"/>
  <c r="BI44" i="202"/>
  <c r="BK44" i="202" s="1"/>
  <c r="BI36" i="202"/>
  <c r="BK36" i="202" s="1"/>
  <c r="BI28" i="202"/>
  <c r="BK28" i="202" s="1"/>
  <c r="BI20" i="202"/>
  <c r="BI12" i="202"/>
  <c r="BK12" i="202" s="1"/>
  <c r="BI4" i="202"/>
  <c r="BK4" i="202" s="1"/>
  <c r="BI674" i="202"/>
  <c r="BI666" i="202"/>
  <c r="BI658" i="202"/>
  <c r="BI650" i="202"/>
  <c r="BI642" i="202"/>
  <c r="BI634" i="202"/>
  <c r="BI626" i="202"/>
  <c r="BI618" i="202"/>
  <c r="BI610" i="202"/>
  <c r="BI602" i="202"/>
  <c r="BI594" i="202"/>
  <c r="BI586" i="202"/>
  <c r="BI578" i="202"/>
  <c r="BI570" i="202"/>
  <c r="BI562" i="202"/>
  <c r="BI554" i="202"/>
  <c r="BI546" i="202"/>
  <c r="BI538" i="202"/>
  <c r="BI530" i="202"/>
  <c r="BI522" i="202"/>
  <c r="BI514" i="202"/>
  <c r="BI506" i="202"/>
  <c r="BI498" i="202"/>
  <c r="BI490" i="202"/>
  <c r="BI482" i="202"/>
  <c r="BI474" i="202"/>
  <c r="BI466" i="202"/>
  <c r="BI458" i="202"/>
  <c r="BI450" i="202"/>
  <c r="BI442" i="202"/>
  <c r="BI434" i="202"/>
  <c r="BI426" i="202"/>
  <c r="BI418" i="202"/>
  <c r="BI410" i="202"/>
  <c r="BI402" i="202"/>
  <c r="BI394" i="202"/>
  <c r="BI386" i="202"/>
  <c r="BI378" i="202"/>
  <c r="BI370" i="202"/>
  <c r="BI362" i="202"/>
  <c r="BI354" i="202"/>
  <c r="BI346" i="202"/>
  <c r="BI338" i="202"/>
  <c r="BI330" i="202"/>
  <c r="BI322" i="202"/>
  <c r="BI314" i="202"/>
  <c r="BI306" i="202"/>
  <c r="BI298" i="202"/>
  <c r="BI290" i="202"/>
  <c r="BI282" i="202"/>
  <c r="BI274" i="202"/>
  <c r="BI266" i="202"/>
  <c r="BI258" i="202"/>
  <c r="BI250" i="202"/>
  <c r="BI242" i="202"/>
  <c r="BI234" i="202"/>
  <c r="BI226" i="202"/>
  <c r="BI218" i="202"/>
  <c r="BI210" i="202"/>
  <c r="BI202" i="202"/>
  <c r="BI194" i="202"/>
  <c r="BI186" i="202"/>
  <c r="BI178" i="202"/>
  <c r="BI170" i="202"/>
  <c r="BI162" i="202"/>
  <c r="BI154" i="202"/>
  <c r="BI146" i="202"/>
  <c r="BI138" i="202"/>
  <c r="BI130" i="202"/>
  <c r="BI122" i="202"/>
  <c r="BI114" i="202"/>
  <c r="BI106" i="202"/>
  <c r="BI98" i="202"/>
  <c r="BI90" i="202"/>
  <c r="BI82" i="202"/>
  <c r="BI74" i="202"/>
  <c r="BI66" i="202"/>
  <c r="BI58" i="202"/>
  <c r="BI50" i="202"/>
  <c r="BI42" i="202"/>
  <c r="BI34" i="202"/>
  <c r="BI26" i="202"/>
  <c r="BI18" i="202"/>
  <c r="BI10" i="202"/>
  <c r="BI2" i="202"/>
  <c r="BI673" i="202"/>
  <c r="BK673" i="202" s="1"/>
  <c r="BI665" i="202"/>
  <c r="BK665" i="202" s="1"/>
  <c r="BI657" i="202"/>
  <c r="BK657" i="202" s="1"/>
  <c r="BI649" i="202"/>
  <c r="BK649" i="202" s="1"/>
  <c r="BI641" i="202"/>
  <c r="BK641" i="202" s="1"/>
  <c r="BI633" i="202"/>
  <c r="BK633" i="202" s="1"/>
  <c r="BI625" i="202"/>
  <c r="BK625" i="202" s="1"/>
  <c r="BI617" i="202"/>
  <c r="BK617" i="202" s="1"/>
  <c r="BI609" i="202"/>
  <c r="BK609" i="202" s="1"/>
  <c r="BI601" i="202"/>
  <c r="BK601" i="202" s="1"/>
  <c r="BI593" i="202"/>
  <c r="BK593" i="202" s="1"/>
  <c r="BI585" i="202"/>
  <c r="BK585" i="202" s="1"/>
  <c r="BI577" i="202"/>
  <c r="BK577" i="202" s="1"/>
  <c r="BI569" i="202"/>
  <c r="BK569" i="202" s="1"/>
  <c r="BI561" i="202"/>
  <c r="BK561" i="202" s="1"/>
  <c r="BI553" i="202"/>
  <c r="BK553" i="202" s="1"/>
  <c r="BI545" i="202"/>
  <c r="BK545" i="202" s="1"/>
  <c r="BI537" i="202"/>
  <c r="BK537" i="202" s="1"/>
  <c r="BI529" i="202"/>
  <c r="BK529" i="202" s="1"/>
  <c r="BI521" i="202"/>
  <c r="BK521" i="202" s="1"/>
  <c r="BI513" i="202"/>
  <c r="BK513" i="202" s="1"/>
  <c r="BI505" i="202"/>
  <c r="BK505" i="202" s="1"/>
  <c r="BI497" i="202"/>
  <c r="BI489" i="202"/>
  <c r="BK489" i="202" s="1"/>
  <c r="BI481" i="202"/>
  <c r="BK481" i="202" s="1"/>
  <c r="BI473" i="202"/>
  <c r="BK473" i="202" s="1"/>
  <c r="BI465" i="202"/>
  <c r="BK465" i="202" s="1"/>
  <c r="BI457" i="202"/>
  <c r="BK457" i="202" s="1"/>
  <c r="BI449" i="202"/>
  <c r="BK449" i="202" s="1"/>
  <c r="BI441" i="202"/>
  <c r="BK441" i="202" s="1"/>
  <c r="BI433" i="202"/>
  <c r="BK433" i="202" s="1"/>
  <c r="BI425" i="202"/>
  <c r="BK425" i="202" s="1"/>
  <c r="BI417" i="202"/>
  <c r="BI409" i="202"/>
  <c r="BI401" i="202"/>
  <c r="BK401" i="202" s="1"/>
  <c r="BI393" i="202"/>
  <c r="BK393" i="202" s="1"/>
  <c r="BI385" i="202"/>
  <c r="BK385" i="202" s="1"/>
  <c r="BI377" i="202"/>
  <c r="BK377" i="202" s="1"/>
  <c r="BI369" i="202"/>
  <c r="BK369" i="202" s="1"/>
  <c r="BI361" i="202"/>
  <c r="BK361" i="202" s="1"/>
  <c r="BI353" i="202"/>
  <c r="BK353" i="202" s="1"/>
  <c r="BI345" i="202"/>
  <c r="BK345" i="202" s="1"/>
  <c r="BI337" i="202"/>
  <c r="BK337" i="202" s="1"/>
  <c r="BI329" i="202"/>
  <c r="BK329" i="202" s="1"/>
  <c r="BI321" i="202"/>
  <c r="BK321" i="202" s="1"/>
  <c r="BI313" i="202"/>
  <c r="BK313" i="202" s="1"/>
  <c r="BI305" i="202"/>
  <c r="BK305" i="202" s="1"/>
  <c r="BI297" i="202"/>
  <c r="BK297" i="202" s="1"/>
  <c r="BI289" i="202"/>
  <c r="BK289" i="202" s="1"/>
  <c r="BI281" i="202"/>
  <c r="BK281" i="202" s="1"/>
  <c r="BI273" i="202"/>
  <c r="BK273" i="202" s="1"/>
  <c r="BI265" i="202"/>
  <c r="BK265" i="202" s="1"/>
  <c r="BI257" i="202"/>
  <c r="BK257" i="202" s="1"/>
  <c r="BI249" i="202"/>
  <c r="BK249" i="202" s="1"/>
  <c r="BI241" i="202"/>
  <c r="BK241" i="202" s="1"/>
  <c r="BI233" i="202"/>
  <c r="BK233" i="202" s="1"/>
  <c r="BI225" i="202"/>
  <c r="BK225" i="202" s="1"/>
  <c r="BI217" i="202"/>
  <c r="BK217" i="202" s="1"/>
  <c r="BI209" i="202"/>
  <c r="BK209" i="202" s="1"/>
  <c r="BI201" i="202"/>
  <c r="BK201" i="202" s="1"/>
  <c r="BI193" i="202"/>
  <c r="BK193" i="202" s="1"/>
  <c r="BI185" i="202"/>
  <c r="BK185" i="202" s="1"/>
  <c r="BI177" i="202"/>
  <c r="BK177" i="202" s="1"/>
  <c r="BI169" i="202"/>
  <c r="BK169" i="202" s="1"/>
  <c r="BI161" i="202"/>
  <c r="BK161" i="202" s="1"/>
  <c r="BI153" i="202"/>
  <c r="BK153" i="202" s="1"/>
  <c r="BI145" i="202"/>
  <c r="BK145" i="202" s="1"/>
  <c r="BI137" i="202"/>
  <c r="BK137" i="202" s="1"/>
  <c r="BI129" i="202"/>
  <c r="BK129" i="202" s="1"/>
  <c r="BI121" i="202"/>
  <c r="BK121" i="202" s="1"/>
  <c r="BI113" i="202"/>
  <c r="BK113" i="202" s="1"/>
  <c r="BI105" i="202"/>
  <c r="BK105" i="202" s="1"/>
  <c r="BI97" i="202"/>
  <c r="BK97" i="202" s="1"/>
  <c r="BI89" i="202"/>
  <c r="BK89" i="202" s="1"/>
  <c r="BI81" i="202"/>
  <c r="BI73" i="202"/>
  <c r="BK73" i="202" s="1"/>
  <c r="BI65" i="202"/>
  <c r="BK65" i="202" s="1"/>
  <c r="BI57" i="202"/>
  <c r="BK57" i="202" s="1"/>
  <c r="BI49" i="202"/>
  <c r="BK49" i="202" s="1"/>
  <c r="BI41" i="202"/>
  <c r="BK41" i="202" s="1"/>
  <c r="BI33" i="202"/>
  <c r="BK33" i="202" s="1"/>
  <c r="BI25" i="202"/>
  <c r="BK25" i="202" s="1"/>
  <c r="BI17" i="202"/>
  <c r="BK17" i="202" s="1"/>
  <c r="BI9" i="202"/>
  <c r="BK9" i="202" s="1"/>
  <c r="BI679" i="202"/>
  <c r="BK679" i="202" s="1"/>
  <c r="BI671" i="202"/>
  <c r="BK671" i="202" s="1"/>
  <c r="BI663" i="202"/>
  <c r="BK663" i="202" s="1"/>
  <c r="BI655" i="202"/>
  <c r="BK655" i="202" s="1"/>
  <c r="BI647" i="202"/>
  <c r="BK647" i="202" s="1"/>
  <c r="BI639" i="202"/>
  <c r="BK639" i="202" s="1"/>
  <c r="BI631" i="202"/>
  <c r="BK631" i="202" s="1"/>
  <c r="BI623" i="202"/>
  <c r="BK623" i="202" s="1"/>
  <c r="BI615" i="202"/>
  <c r="BK615" i="202" s="1"/>
  <c r="BI607" i="202"/>
  <c r="BK607" i="202" s="1"/>
  <c r="BI599" i="202"/>
  <c r="BK599" i="202" s="1"/>
  <c r="BI591" i="202"/>
  <c r="BK591" i="202" s="1"/>
  <c r="BI583" i="202"/>
  <c r="BK583" i="202" s="1"/>
  <c r="BI575" i="202"/>
  <c r="BK575" i="202" s="1"/>
  <c r="BI567" i="202"/>
  <c r="BK567" i="202" s="1"/>
  <c r="BI559" i="202"/>
  <c r="BK559" i="202" s="1"/>
  <c r="BI551" i="202"/>
  <c r="BK551" i="202" s="1"/>
  <c r="BI543" i="202"/>
  <c r="BK543" i="202" s="1"/>
  <c r="BI535" i="202"/>
  <c r="BK535" i="202" s="1"/>
  <c r="BI527" i="202"/>
  <c r="BK527" i="202" s="1"/>
  <c r="BI519" i="202"/>
  <c r="BI511" i="202"/>
  <c r="BI503" i="202"/>
  <c r="BK503" i="202" s="1"/>
  <c r="BI495" i="202"/>
  <c r="BK495" i="202" s="1"/>
  <c r="BI487" i="202"/>
  <c r="BK487" i="202" s="1"/>
  <c r="BI479" i="202"/>
  <c r="BK479" i="202" s="1"/>
  <c r="BI471" i="202"/>
  <c r="BK471" i="202" s="1"/>
  <c r="BI463" i="202"/>
  <c r="BK463" i="202" s="1"/>
  <c r="BI455" i="202"/>
  <c r="BI447" i="202"/>
  <c r="BK447" i="202" s="1"/>
  <c r="BI439" i="202"/>
  <c r="BK439" i="202" s="1"/>
  <c r="BI431" i="202"/>
  <c r="BK431" i="202" s="1"/>
  <c r="BI423" i="202"/>
  <c r="BK423" i="202" s="1"/>
  <c r="BI415" i="202"/>
  <c r="BK415" i="202" s="1"/>
  <c r="BI407" i="202"/>
  <c r="BK407" i="202" s="1"/>
  <c r="BI399" i="202"/>
  <c r="BK399" i="202" s="1"/>
  <c r="BI391" i="202"/>
  <c r="BK391" i="202" s="1"/>
  <c r="BI383" i="202"/>
  <c r="BK383" i="202" s="1"/>
  <c r="BI375" i="202"/>
  <c r="BK375" i="202" s="1"/>
  <c r="BI367" i="202"/>
  <c r="BK367" i="202" s="1"/>
  <c r="BI359" i="202"/>
  <c r="BK359" i="202" s="1"/>
  <c r="BI351" i="202"/>
  <c r="BK351" i="202" s="1"/>
  <c r="BI343" i="202"/>
  <c r="BK343" i="202" s="1"/>
  <c r="BI335" i="202"/>
  <c r="BK335" i="202" s="1"/>
  <c r="BI327" i="202"/>
  <c r="BK327" i="202" s="1"/>
  <c r="BI319" i="202"/>
  <c r="BK319" i="202" s="1"/>
  <c r="BI311" i="202"/>
  <c r="BK311" i="202" s="1"/>
  <c r="BI303" i="202"/>
  <c r="BI295" i="202"/>
  <c r="BK295" i="202" s="1"/>
  <c r="BI287" i="202"/>
  <c r="BK287" i="202" s="1"/>
  <c r="BI279" i="202"/>
  <c r="BK279" i="202" s="1"/>
  <c r="BI271" i="202"/>
  <c r="BK271" i="202" s="1"/>
  <c r="BI263" i="202"/>
  <c r="BK263" i="202" s="1"/>
  <c r="BI255" i="202"/>
  <c r="BK255" i="202" s="1"/>
  <c r="BI247" i="202"/>
  <c r="BK247" i="202" s="1"/>
  <c r="BI239" i="202"/>
  <c r="BK239" i="202" s="1"/>
  <c r="BI231" i="202"/>
  <c r="BK231" i="202" s="1"/>
  <c r="BI223" i="202"/>
  <c r="BK223" i="202" s="1"/>
  <c r="BI215" i="202"/>
  <c r="BK215" i="202" s="1"/>
  <c r="BI207" i="202"/>
  <c r="BK207" i="202" s="1"/>
  <c r="BI199" i="202"/>
  <c r="BK199" i="202" s="1"/>
  <c r="BI191" i="202"/>
  <c r="BK191" i="202" s="1"/>
  <c r="BI183" i="202"/>
  <c r="BK183" i="202" s="1"/>
  <c r="BI175" i="202"/>
  <c r="BK175" i="202" s="1"/>
  <c r="BI167" i="202"/>
  <c r="BK167" i="202" s="1"/>
  <c r="BI159" i="202"/>
  <c r="BK159" i="202" s="1"/>
  <c r="BI151" i="202"/>
  <c r="BK151" i="202" s="1"/>
  <c r="BI143" i="202"/>
  <c r="BK143" i="202" s="1"/>
  <c r="BI135" i="202"/>
  <c r="BK135" i="202" s="1"/>
  <c r="BI127" i="202"/>
  <c r="BK127" i="202" s="1"/>
  <c r="BI119" i="202"/>
  <c r="BK119" i="202" s="1"/>
  <c r="BI111" i="202"/>
  <c r="BK111" i="202" s="1"/>
  <c r="BI103" i="202"/>
  <c r="BK103" i="202" s="1"/>
  <c r="BI95" i="202"/>
  <c r="BK95" i="202" s="1"/>
  <c r="BI87" i="202"/>
  <c r="BK87" i="202" s="1"/>
  <c r="BI79" i="202"/>
  <c r="BK79" i="202" s="1"/>
  <c r="BI71" i="202"/>
  <c r="BK71" i="202" s="1"/>
  <c r="BI63" i="202"/>
  <c r="BK63" i="202" s="1"/>
  <c r="BI55" i="202"/>
  <c r="BK55" i="202" s="1"/>
  <c r="BI47" i="202"/>
  <c r="BK47" i="202" s="1"/>
  <c r="BI39" i="202"/>
  <c r="BK39" i="202" s="1"/>
  <c r="BI31" i="202"/>
  <c r="BK31" i="202" s="1"/>
  <c r="BI23" i="202"/>
  <c r="BK23" i="202" s="1"/>
  <c r="BI15" i="202"/>
  <c r="BK15" i="202" s="1"/>
  <c r="BI7" i="202"/>
  <c r="BK7" i="202" s="1"/>
  <c r="BI678" i="202"/>
  <c r="BI670" i="202"/>
  <c r="BI662" i="202"/>
  <c r="BI654" i="202"/>
  <c r="BI646" i="202"/>
  <c r="BI638" i="202"/>
  <c r="BI630" i="202"/>
  <c r="BI622" i="202"/>
  <c r="BI614" i="202"/>
  <c r="BI606" i="202"/>
  <c r="BI598" i="202"/>
  <c r="BI590" i="202"/>
  <c r="BI582" i="202"/>
  <c r="BI574" i="202"/>
  <c r="BI566" i="202"/>
  <c r="BI558" i="202"/>
  <c r="BI550" i="202"/>
  <c r="BI542" i="202"/>
  <c r="BI534" i="202"/>
  <c r="BI526" i="202"/>
  <c r="BI518" i="202"/>
  <c r="BI510" i="202"/>
  <c r="BI502" i="202"/>
  <c r="BI494" i="202"/>
  <c r="BI486" i="202"/>
  <c r="BI478" i="202"/>
  <c r="BI470" i="202"/>
  <c r="BI462" i="202"/>
  <c r="BI454" i="202"/>
  <c r="BI446" i="202"/>
  <c r="BI438" i="202"/>
  <c r="BI430" i="202"/>
  <c r="BI422" i="202"/>
  <c r="BI414" i="202"/>
  <c r="BI406" i="202"/>
  <c r="BI398" i="202"/>
  <c r="BI390" i="202"/>
  <c r="BI382" i="202"/>
  <c r="BI374" i="202"/>
  <c r="BI366" i="202"/>
  <c r="BI358" i="202"/>
  <c r="BI350" i="202"/>
  <c r="BI342" i="202"/>
  <c r="BI334" i="202"/>
  <c r="BI326" i="202"/>
  <c r="BI318" i="202"/>
  <c r="BI310" i="202"/>
  <c r="BI302" i="202"/>
  <c r="BI294" i="202"/>
  <c r="BI286" i="202"/>
  <c r="BI278" i="202"/>
  <c r="BI270" i="202"/>
  <c r="BI262" i="202"/>
  <c r="BI254" i="202"/>
  <c r="BI246" i="202"/>
  <c r="BI238" i="202"/>
  <c r="BI230" i="202"/>
  <c r="BI222" i="202"/>
  <c r="BI214" i="202"/>
  <c r="BI206" i="202"/>
  <c r="BI198" i="202"/>
  <c r="BI190" i="202"/>
  <c r="BI182" i="202"/>
  <c r="BI174" i="202"/>
  <c r="BI166" i="202"/>
  <c r="BI158" i="202"/>
  <c r="BI150" i="202"/>
  <c r="BI142" i="202"/>
  <c r="BI134" i="202"/>
  <c r="BI126" i="202"/>
  <c r="BI118" i="202"/>
  <c r="BI110" i="202"/>
  <c r="BI102" i="202"/>
  <c r="BI94" i="202"/>
  <c r="BI86" i="202"/>
  <c r="BI78" i="202"/>
  <c r="BI70" i="202"/>
  <c r="BI62" i="202"/>
  <c r="BI54" i="202"/>
  <c r="BI46" i="202"/>
  <c r="BI38" i="202"/>
  <c r="BI30" i="202"/>
  <c r="BI22" i="202"/>
  <c r="BI14" i="202"/>
  <c r="BI6" i="202"/>
  <c r="BN4" i="202"/>
  <c r="O6" i="38"/>
  <c r="L17" i="5"/>
  <c r="N225" i="1"/>
  <c r="O225" i="1" s="1"/>
  <c r="P225" i="1" s="1"/>
  <c r="Q225" i="1" s="1"/>
  <c r="R225" i="1" s="1"/>
  <c r="S225" i="1" s="1"/>
  <c r="T225" i="1" s="1"/>
  <c r="U225" i="1" s="1"/>
  <c r="D225" i="1"/>
  <c r="O176" i="1"/>
  <c r="O177" i="1" s="1"/>
  <c r="N177" i="1"/>
  <c r="L216" i="1"/>
  <c r="L217" i="1" s="1"/>
  <c r="K216" i="1"/>
  <c r="K218" i="1"/>
  <c r="M216" i="1"/>
  <c r="K484" i="1"/>
  <c r="L145" i="1"/>
  <c r="R143" i="1"/>
  <c r="K145" i="1"/>
  <c r="Q143" i="1"/>
  <c r="N143" i="1"/>
  <c r="T143" i="1"/>
  <c r="S143" i="1"/>
  <c r="K143" i="1"/>
  <c r="U143" i="1"/>
  <c r="T268" i="1"/>
  <c r="L268" i="1"/>
  <c r="P268" i="1"/>
  <c r="O268" i="1"/>
  <c r="S268" i="1"/>
  <c r="R268" i="1"/>
  <c r="Q268" i="1"/>
  <c r="N268" i="1"/>
  <c r="M268" i="1"/>
  <c r="L270" i="1"/>
  <c r="L238" i="1"/>
  <c r="D26" i="52" s="1"/>
  <c r="L193" i="1"/>
  <c r="L195" i="1" s="1"/>
  <c r="M250" i="1"/>
  <c r="E27" i="52" s="1"/>
  <c r="L226" i="1"/>
  <c r="D25" i="52" s="1"/>
  <c r="J6" i="38"/>
  <c r="G17" i="5"/>
  <c r="L721" i="1"/>
  <c r="L695" i="1"/>
  <c r="L708" i="1"/>
  <c r="L681" i="1"/>
  <c r="K681" i="1"/>
  <c r="M470" i="1"/>
  <c r="M471" i="1" s="1"/>
  <c r="L470" i="1"/>
  <c r="L325" i="1"/>
  <c r="L429" i="1"/>
  <c r="L24" i="1"/>
  <c r="M3" i="1"/>
  <c r="M584" i="1" s="1"/>
  <c r="L22" i="1"/>
  <c r="L119" i="1"/>
  <c r="K119" i="1"/>
  <c r="K120" i="1" s="1"/>
  <c r="M117" i="1"/>
  <c r="L120" i="1"/>
  <c r="L117" i="1"/>
  <c r="K117" i="1"/>
  <c r="D152" i="1"/>
  <c r="N152" i="1"/>
  <c r="O152" i="1" s="1"/>
  <c r="P152" i="1" s="1"/>
  <c r="Q152" i="1" s="1"/>
  <c r="R152" i="1" s="1"/>
  <c r="S152" i="1" s="1"/>
  <c r="T152" i="1" s="1"/>
  <c r="U152" i="1" s="1"/>
  <c r="O167" i="1"/>
  <c r="T167" i="1"/>
  <c r="L167" i="1"/>
  <c r="M169" i="1"/>
  <c r="L169" i="1"/>
  <c r="S167" i="1"/>
  <c r="K169" i="1"/>
  <c r="Q167" i="1"/>
  <c r="K167" i="1"/>
  <c r="C2" i="93"/>
  <c r="C3" i="37"/>
  <c r="C3" i="34"/>
  <c r="C3" i="33"/>
  <c r="C3" i="28"/>
  <c r="C3" i="36"/>
  <c r="C3" i="31"/>
  <c r="C3" i="35"/>
  <c r="C3" i="25"/>
  <c r="C3" i="32"/>
  <c r="C3" i="16"/>
  <c r="C19" i="13"/>
  <c r="C3" i="30"/>
  <c r="C3" i="20"/>
  <c r="C3" i="19"/>
  <c r="C3" i="18"/>
  <c r="C3" i="29"/>
  <c r="C3" i="26"/>
  <c r="C3" i="23"/>
  <c r="C3" i="22"/>
  <c r="C3" i="21"/>
  <c r="C3" i="17"/>
  <c r="C3" i="5"/>
  <c r="C3" i="24"/>
  <c r="C3" i="27"/>
  <c r="D31" i="1"/>
  <c r="M185" i="1"/>
  <c r="M186" i="1" s="1"/>
  <c r="L183" i="1"/>
  <c r="L184" i="1" s="1"/>
  <c r="L186" i="1"/>
  <c r="L185" i="1"/>
  <c r="O183" i="1"/>
  <c r="N183" i="1"/>
  <c r="M183" i="1"/>
  <c r="L242" i="1"/>
  <c r="K242" i="1"/>
  <c r="Q240" i="1"/>
  <c r="U240" i="1"/>
  <c r="T240" i="1"/>
  <c r="L240" i="1"/>
  <c r="M240" i="1"/>
  <c r="M242" i="1"/>
  <c r="S240" i="1"/>
  <c r="K240" i="1"/>
  <c r="G6" i="38"/>
  <c r="D17" i="5"/>
  <c r="L34" i="1"/>
  <c r="L7" i="1" s="1"/>
  <c r="D10" i="93"/>
  <c r="C11" i="37"/>
  <c r="D11" i="37" s="1"/>
  <c r="E11" i="37" s="1"/>
  <c r="F11" i="37" s="1"/>
  <c r="G11" i="37" s="1"/>
  <c r="H11" i="37" s="1"/>
  <c r="I11" i="37" s="1"/>
  <c r="J11" i="37" s="1"/>
  <c r="K11" i="37" s="1"/>
  <c r="L11" i="37" s="1"/>
  <c r="M11" i="37" s="1"/>
  <c r="C11" i="36"/>
  <c r="D11" i="36" s="1"/>
  <c r="E11" i="36" s="1"/>
  <c r="F11" i="36" s="1"/>
  <c r="G11" i="36" s="1"/>
  <c r="H11" i="36" s="1"/>
  <c r="I11" i="36" s="1"/>
  <c r="J11" i="36" s="1"/>
  <c r="K11" i="36" s="1"/>
  <c r="L11" i="36" s="1"/>
  <c r="M11" i="36" s="1"/>
  <c r="C7" i="23"/>
  <c r="D7" i="23" s="1"/>
  <c r="E7" i="23" s="1"/>
  <c r="F7" i="23" s="1"/>
  <c r="G7" i="23" s="1"/>
  <c r="H7" i="23" s="1"/>
  <c r="I7" i="23" s="1"/>
  <c r="J7" i="23" s="1"/>
  <c r="K7" i="23" s="1"/>
  <c r="L7" i="23" s="1"/>
  <c r="M7" i="23" s="1"/>
  <c r="C7" i="22"/>
  <c r="D7" i="22" s="1"/>
  <c r="E7" i="22" s="1"/>
  <c r="F7" i="22" s="1"/>
  <c r="G7" i="22" s="1"/>
  <c r="H7" i="22" s="1"/>
  <c r="I7" i="22" s="1"/>
  <c r="J7" i="22" s="1"/>
  <c r="K7" i="22" s="1"/>
  <c r="L7" i="22" s="1"/>
  <c r="M7" i="22" s="1"/>
  <c r="C7" i="21"/>
  <c r="D7" i="21" s="1"/>
  <c r="E7" i="21" s="1"/>
  <c r="F7" i="21" s="1"/>
  <c r="G7" i="21" s="1"/>
  <c r="H7" i="21" s="1"/>
  <c r="I7" i="21" s="1"/>
  <c r="J7" i="21" s="1"/>
  <c r="K7" i="21" s="1"/>
  <c r="L7" i="21" s="1"/>
  <c r="M7" i="21" s="1"/>
  <c r="C7" i="5"/>
  <c r="D7" i="5" s="1"/>
  <c r="E7" i="5" s="1"/>
  <c r="F7" i="5" s="1"/>
  <c r="G7" i="5" s="1"/>
  <c r="H7" i="5" s="1"/>
  <c r="I7" i="5" s="1"/>
  <c r="J7" i="5" s="1"/>
  <c r="K7" i="5" s="1"/>
  <c r="L7" i="5" s="1"/>
  <c r="M7" i="5" s="1"/>
  <c r="C7" i="24"/>
  <c r="C7" i="20"/>
  <c r="D7" i="20" s="1"/>
  <c r="E7" i="20" s="1"/>
  <c r="F7" i="20" s="1"/>
  <c r="G7" i="20" s="1"/>
  <c r="H7" i="20" s="1"/>
  <c r="I7" i="20" s="1"/>
  <c r="J7" i="20" s="1"/>
  <c r="K7" i="20" s="1"/>
  <c r="L7" i="20" s="1"/>
  <c r="M7" i="20" s="1"/>
  <c r="C7" i="19"/>
  <c r="D7" i="19" s="1"/>
  <c r="E7" i="19" s="1"/>
  <c r="F7" i="19" s="1"/>
  <c r="G7" i="19" s="1"/>
  <c r="H7" i="19" s="1"/>
  <c r="I7" i="19" s="1"/>
  <c r="J7" i="19" s="1"/>
  <c r="K7" i="19" s="1"/>
  <c r="L7" i="19" s="1"/>
  <c r="M7" i="19" s="1"/>
  <c r="C7" i="18"/>
  <c r="D7" i="18" s="1"/>
  <c r="E7" i="18" s="1"/>
  <c r="F7" i="18" s="1"/>
  <c r="G7" i="18" s="1"/>
  <c r="H7" i="18" s="1"/>
  <c r="I7" i="18" s="1"/>
  <c r="J7" i="18" s="1"/>
  <c r="K7" i="18" s="1"/>
  <c r="L7" i="18" s="1"/>
  <c r="M7" i="18" s="1"/>
  <c r="C7" i="17"/>
  <c r="D7" i="17" s="1"/>
  <c r="E7" i="17" s="1"/>
  <c r="F7" i="17" s="1"/>
  <c r="G7" i="17" s="1"/>
  <c r="H7" i="17" s="1"/>
  <c r="I7" i="17" s="1"/>
  <c r="J7" i="17" s="1"/>
  <c r="K7" i="17" s="1"/>
  <c r="L7" i="17" s="1"/>
  <c r="M7" i="17" s="1"/>
  <c r="L204" i="1"/>
  <c r="L205" i="1" s="1"/>
  <c r="K204" i="1"/>
  <c r="K205" i="1"/>
  <c r="L202" i="1"/>
  <c r="K202" i="1"/>
  <c r="N7" i="53"/>
  <c r="D87" i="53"/>
  <c r="G20" i="38"/>
  <c r="D17" i="17"/>
  <c r="M68" i="1"/>
  <c r="N14" i="13"/>
  <c r="M14" i="13"/>
  <c r="T14" i="13"/>
  <c r="L14" i="13"/>
  <c r="S14" i="13"/>
  <c r="K14" i="13"/>
  <c r="R14" i="13"/>
  <c r="Q14" i="13"/>
  <c r="P14" i="13"/>
  <c r="O14" i="13"/>
  <c r="G22" i="1"/>
  <c r="F14" i="13" s="1"/>
  <c r="H17" i="13"/>
  <c r="B6" i="1"/>
  <c r="B16" i="1"/>
  <c r="K804" i="1"/>
  <c r="J16" i="13"/>
  <c r="J17" i="13" s="1"/>
  <c r="K627" i="1"/>
  <c r="K406" i="1"/>
  <c r="J22" i="1"/>
  <c r="I14" i="13" s="1"/>
  <c r="M6" i="38"/>
  <c r="C270" i="38" s="1"/>
  <c r="J17" i="5"/>
  <c r="J87" i="53"/>
  <c r="M20" i="38"/>
  <c r="J17" i="17"/>
  <c r="F34" i="38"/>
  <c r="C17" i="18"/>
  <c r="C18" i="18" s="1"/>
  <c r="G48" i="38"/>
  <c r="D17" i="19"/>
  <c r="N48" i="53"/>
  <c r="F17" i="20"/>
  <c r="P83" i="1"/>
  <c r="H69" i="53"/>
  <c r="P95" i="1"/>
  <c r="F104" i="38"/>
  <c r="F258" i="38" s="1"/>
  <c r="C17" i="23"/>
  <c r="C18" i="23" s="1"/>
  <c r="N104" i="38"/>
  <c r="N258" i="38" s="1"/>
  <c r="K17" i="23"/>
  <c r="O141" i="1"/>
  <c r="G12" i="52" s="1"/>
  <c r="R153" i="1"/>
  <c r="J13" i="52" s="1"/>
  <c r="N155" i="1"/>
  <c r="U165" i="1"/>
  <c r="M14" i="52" s="1"/>
  <c r="D176" i="1"/>
  <c r="Q195" i="1"/>
  <c r="T226" i="1"/>
  <c r="L25" i="52" s="1"/>
  <c r="P228" i="1"/>
  <c r="O238" i="1"/>
  <c r="G26" i="52" s="1"/>
  <c r="M249" i="1"/>
  <c r="N249" i="1" s="1"/>
  <c r="O249" i="1" s="1"/>
  <c r="P249" i="1" s="1"/>
  <c r="Q249" i="1" s="1"/>
  <c r="R249" i="1" s="1"/>
  <c r="S249" i="1" s="1"/>
  <c r="T249" i="1" s="1"/>
  <c r="U249" i="1" s="1"/>
  <c r="T250" i="1"/>
  <c r="L27" i="52" s="1"/>
  <c r="L278" i="1"/>
  <c r="L280" i="1" s="1"/>
  <c r="Q321" i="1"/>
  <c r="I42" i="52" s="1"/>
  <c r="Q310" i="1"/>
  <c r="I41" i="52" s="1"/>
  <c r="C39" i="52"/>
  <c r="N39" i="52" s="1"/>
  <c r="K295" i="1"/>
  <c r="M307" i="1"/>
  <c r="U307" i="1"/>
  <c r="T310" i="1"/>
  <c r="L41" i="52" s="1"/>
  <c r="M332" i="1"/>
  <c r="L364" i="1"/>
  <c r="M363" i="1"/>
  <c r="L425" i="1"/>
  <c r="D59" i="52" s="1"/>
  <c r="M436" i="1"/>
  <c r="L414" i="1"/>
  <c r="L405" i="1"/>
  <c r="L407" i="1"/>
  <c r="L408" i="1" s="1"/>
  <c r="L411" i="1" s="1"/>
  <c r="K407" i="1"/>
  <c r="P405" i="1"/>
  <c r="O405" i="1"/>
  <c r="N405" i="1"/>
  <c r="M405" i="1"/>
  <c r="K405" i="1"/>
  <c r="K408" i="1" s="1"/>
  <c r="L497" i="1"/>
  <c r="M531" i="1"/>
  <c r="K613" i="1"/>
  <c r="K616" i="1" s="1"/>
  <c r="K612" i="1"/>
  <c r="M610" i="1"/>
  <c r="L610" i="1"/>
  <c r="K610" i="1"/>
  <c r="K611" i="1" s="1"/>
  <c r="N735" i="1"/>
  <c r="M735" i="1"/>
  <c r="L735" i="1"/>
  <c r="M737" i="1"/>
  <c r="K735" i="1"/>
  <c r="K738" i="1" s="1"/>
  <c r="L737" i="1"/>
  <c r="L738" i="1" s="1"/>
  <c r="L741" i="1" s="1"/>
  <c r="K737" i="1"/>
  <c r="Q735" i="1"/>
  <c r="M738" i="1"/>
  <c r="P735" i="1"/>
  <c r="O735" i="1"/>
  <c r="K21" i="20"/>
  <c r="L61" i="12"/>
  <c r="N29" i="52"/>
  <c r="M90" i="13"/>
  <c r="N90" i="13" s="1"/>
  <c r="O90" i="13" s="1"/>
  <c r="P90" i="13" s="1"/>
  <c r="Q90" i="13" s="1"/>
  <c r="R90" i="13" s="1"/>
  <c r="S90" i="13" s="1"/>
  <c r="T90" i="13" s="1"/>
  <c r="C11" i="35"/>
  <c r="D11" i="31"/>
  <c r="E11" i="31" s="1"/>
  <c r="F11" i="31" s="1"/>
  <c r="G11" i="31" s="1"/>
  <c r="H11" i="31" s="1"/>
  <c r="I11" i="31" s="1"/>
  <c r="J11" i="31" s="1"/>
  <c r="K11" i="31" s="1"/>
  <c r="L11" i="31" s="1"/>
  <c r="M11" i="31" s="1"/>
  <c r="S197" i="13"/>
  <c r="K197" i="13"/>
  <c r="K195" i="13"/>
  <c r="O197" i="13"/>
  <c r="L199" i="13"/>
  <c r="I204" i="13"/>
  <c r="H204" i="13"/>
  <c r="G204" i="13"/>
  <c r="F204" i="13"/>
  <c r="C36" i="58"/>
  <c r="J333" i="13"/>
  <c r="C37" i="58" s="1"/>
  <c r="I276" i="11"/>
  <c r="N152" i="11"/>
  <c r="O276" i="11" s="1"/>
  <c r="O400" i="11" s="1"/>
  <c r="H276" i="11"/>
  <c r="M152" i="11"/>
  <c r="M28" i="11"/>
  <c r="G276" i="11"/>
  <c r="L152" i="11"/>
  <c r="D152" i="11"/>
  <c r="D276" i="11" s="1"/>
  <c r="D400" i="11" s="1"/>
  <c r="D524" i="11" s="1"/>
  <c r="D648" i="11" s="1"/>
  <c r="N276" i="11"/>
  <c r="N400" i="11" s="1"/>
  <c r="K152" i="11"/>
  <c r="K28" i="11"/>
  <c r="M276" i="11"/>
  <c r="M400" i="11" s="1"/>
  <c r="J152" i="11"/>
  <c r="J28" i="11"/>
  <c r="L276" i="11"/>
  <c r="I152" i="11"/>
  <c r="I28" i="11"/>
  <c r="K276" i="11"/>
  <c r="H152" i="11"/>
  <c r="H28" i="11"/>
  <c r="J276" i="11"/>
  <c r="J400" i="11" s="1"/>
  <c r="G152" i="11"/>
  <c r="O28" i="11"/>
  <c r="G28" i="11"/>
  <c r="N28" i="11"/>
  <c r="L28" i="11"/>
  <c r="D9" i="5"/>
  <c r="E9" i="5" s="1"/>
  <c r="F9" i="5" s="1"/>
  <c r="G9" i="5" s="1"/>
  <c r="H9" i="5" s="1"/>
  <c r="I9" i="5" s="1"/>
  <c r="J9" i="5" s="1"/>
  <c r="K9" i="5" s="1"/>
  <c r="L9" i="5" s="1"/>
  <c r="M9" i="5" s="1"/>
  <c r="D9" i="18"/>
  <c r="E9" i="18" s="1"/>
  <c r="F9" i="18" s="1"/>
  <c r="G9" i="18" s="1"/>
  <c r="H9" i="18" s="1"/>
  <c r="I9" i="18" s="1"/>
  <c r="J9" i="18" s="1"/>
  <c r="K9" i="18" s="1"/>
  <c r="L9" i="18" s="1"/>
  <c r="M9" i="18" s="1"/>
  <c r="D10" i="16"/>
  <c r="E10" i="16" s="1"/>
  <c r="F10" i="16" s="1"/>
  <c r="G10" i="16" s="1"/>
  <c r="H10" i="16" s="1"/>
  <c r="I10" i="16" s="1"/>
  <c r="J10" i="16" s="1"/>
  <c r="K10" i="16" s="1"/>
  <c r="L10" i="16" s="1"/>
  <c r="M10" i="16" s="1"/>
  <c r="H121" i="12"/>
  <c r="D7" i="29"/>
  <c r="E7" i="29" s="1"/>
  <c r="D8" i="30"/>
  <c r="E8" i="30" s="1"/>
  <c r="F8" i="30" s="1"/>
  <c r="G8" i="30" s="1"/>
  <c r="H8" i="30" s="1"/>
  <c r="I8" i="30" s="1"/>
  <c r="J8" i="30" s="1"/>
  <c r="K8" i="30" s="1"/>
  <c r="L8" i="30" s="1"/>
  <c r="M8" i="30" s="1"/>
  <c r="C29" i="30"/>
  <c r="C30" i="30" s="1"/>
  <c r="C31" i="30" s="1"/>
  <c r="H178" i="12"/>
  <c r="C31" i="32"/>
  <c r="C29" i="32"/>
  <c r="C30" i="32" s="1"/>
  <c r="H180" i="12"/>
  <c r="N11" i="53"/>
  <c r="O20" i="38"/>
  <c r="L17" i="17"/>
  <c r="N79" i="1"/>
  <c r="P81" i="1"/>
  <c r="H17" i="20" s="1"/>
  <c r="R83" i="1"/>
  <c r="M98" i="1"/>
  <c r="L133" i="1"/>
  <c r="L134" i="1" s="1"/>
  <c r="F22" i="1"/>
  <c r="E14" i="13" s="1"/>
  <c r="C12" i="4"/>
  <c r="H22" i="1"/>
  <c r="G14" i="13" s="1"/>
  <c r="K6" i="38"/>
  <c r="H17" i="5"/>
  <c r="C4" i="4"/>
  <c r="L417" i="1"/>
  <c r="K16" i="13"/>
  <c r="L302" i="1"/>
  <c r="L304" i="1" s="1"/>
  <c r="L371" i="1"/>
  <c r="L611" i="1"/>
  <c r="L406" i="1"/>
  <c r="L572" i="1"/>
  <c r="L537" i="1"/>
  <c r="L519" i="1"/>
  <c r="L454" i="1"/>
  <c r="L736" i="1"/>
  <c r="L269" i="1"/>
  <c r="K22" i="1"/>
  <c r="J14" i="13" s="1"/>
  <c r="R34" i="1"/>
  <c r="R7" i="1" s="1"/>
  <c r="F6" i="38"/>
  <c r="C17" i="5"/>
  <c r="C18" i="5" s="1"/>
  <c r="N6" i="38"/>
  <c r="K17" i="5"/>
  <c r="K87" i="53"/>
  <c r="K57" i="1"/>
  <c r="S57" i="1"/>
  <c r="L68" i="1"/>
  <c r="T68" i="1"/>
  <c r="L17" i="18" s="1"/>
  <c r="N32" i="53"/>
  <c r="N33" i="53"/>
  <c r="H48" i="38"/>
  <c r="E17" i="19"/>
  <c r="Q83" i="1"/>
  <c r="I69" i="53"/>
  <c r="I17" i="22"/>
  <c r="G104" i="38"/>
  <c r="G258" i="38" s="1"/>
  <c r="D17" i="23"/>
  <c r="O104" i="38"/>
  <c r="O258" i="38" s="1"/>
  <c r="L17" i="23"/>
  <c r="N84" i="53"/>
  <c r="K133" i="1"/>
  <c r="D140" i="1"/>
  <c r="P141" i="1"/>
  <c r="H12" i="52" s="1"/>
  <c r="S153" i="1"/>
  <c r="K13" i="52" s="1"/>
  <c r="M177" i="1"/>
  <c r="E177" i="1" s="1"/>
  <c r="D211" i="1"/>
  <c r="K217" i="1"/>
  <c r="M226" i="1"/>
  <c r="E25" i="52" s="1"/>
  <c r="U226" i="1"/>
  <c r="M25" i="52" s="1"/>
  <c r="K230" i="1"/>
  <c r="D237" i="1"/>
  <c r="P238" i="1"/>
  <c r="H26" i="52" s="1"/>
  <c r="U250" i="1"/>
  <c r="M27" i="52" s="1"/>
  <c r="R252" i="1"/>
  <c r="R310" i="1"/>
  <c r="J41" i="52" s="1"/>
  <c r="K312" i="1"/>
  <c r="K313" i="1" s="1"/>
  <c r="M314" i="1"/>
  <c r="U363" i="1"/>
  <c r="U364" i="1" s="1"/>
  <c r="U436" i="1"/>
  <c r="D379" i="1"/>
  <c r="M463" i="1"/>
  <c r="N463" i="1" s="1"/>
  <c r="O463" i="1" s="1"/>
  <c r="P463" i="1" s="1"/>
  <c r="D479" i="1"/>
  <c r="F65" i="52"/>
  <c r="N65" i="52" s="1"/>
  <c r="M518" i="1"/>
  <c r="M520" i="1"/>
  <c r="K518" i="1"/>
  <c r="K519" i="1" s="1"/>
  <c r="L520" i="1"/>
  <c r="K520" i="1"/>
  <c r="K521" i="1" s="1"/>
  <c r="K524" i="1" s="1"/>
  <c r="M521" i="1"/>
  <c r="L521" i="1"/>
  <c r="N518" i="1"/>
  <c r="N531" i="1"/>
  <c r="M571" i="1"/>
  <c r="M573" i="1"/>
  <c r="M574" i="1" s="1"/>
  <c r="M577" i="1" s="1"/>
  <c r="K571" i="1"/>
  <c r="K572" i="1" s="1"/>
  <c r="L573" i="1"/>
  <c r="L574" i="1" s="1"/>
  <c r="L577" i="1" s="1"/>
  <c r="K573" i="1"/>
  <c r="H74" i="1" s="1"/>
  <c r="L584" i="1"/>
  <c r="K584" i="1"/>
  <c r="L582" i="1"/>
  <c r="L583" i="1" s="1"/>
  <c r="L585" i="1" s="1"/>
  <c r="L588" i="1" s="1"/>
  <c r="K582" i="1"/>
  <c r="N613" i="1"/>
  <c r="N616" i="1" s="1"/>
  <c r="O616" i="1"/>
  <c r="O803" i="1"/>
  <c r="N803" i="1"/>
  <c r="M803" i="1"/>
  <c r="L803" i="1"/>
  <c r="L804" i="1" s="1"/>
  <c r="M805" i="1"/>
  <c r="M806" i="1" s="1"/>
  <c r="K803" i="1"/>
  <c r="K806" i="1" s="1"/>
  <c r="K810" i="1" s="1"/>
  <c r="K811" i="1" s="1"/>
  <c r="L805" i="1"/>
  <c r="L857" i="1" s="1"/>
  <c r="I17" i="12" s="1"/>
  <c r="D21" i="22" s="1"/>
  <c r="K805" i="1"/>
  <c r="Q803" i="1"/>
  <c r="P803" i="1"/>
  <c r="N833" i="1"/>
  <c r="O830" i="1"/>
  <c r="L21" i="20"/>
  <c r="L62" i="12"/>
  <c r="N90" i="12"/>
  <c r="O202" i="12" s="1"/>
  <c r="O59" i="12"/>
  <c r="I21" i="23"/>
  <c r="N124" i="52"/>
  <c r="J179" i="13"/>
  <c r="N177" i="13"/>
  <c r="O177" i="13" s="1"/>
  <c r="P177" i="13" s="1"/>
  <c r="Q177" i="13" s="1"/>
  <c r="R177" i="13" s="1"/>
  <c r="S177" i="13" s="1"/>
  <c r="T177" i="13" s="1"/>
  <c r="F6" i="22"/>
  <c r="E20" i="22"/>
  <c r="E16" i="22"/>
  <c r="C24" i="25"/>
  <c r="H118" i="12"/>
  <c r="C31" i="27"/>
  <c r="C29" i="27"/>
  <c r="C30" i="27" s="1"/>
  <c r="H175" i="12"/>
  <c r="D8" i="32"/>
  <c r="E8" i="32" s="1"/>
  <c r="F8" i="32" s="1"/>
  <c r="G8" i="32" s="1"/>
  <c r="H8" i="32" s="1"/>
  <c r="I8" i="32" s="1"/>
  <c r="J8" i="32" s="1"/>
  <c r="K8" i="32" s="1"/>
  <c r="L8" i="32" s="1"/>
  <c r="M8" i="32" s="1"/>
  <c r="C1" i="93"/>
  <c r="D1" i="93" s="1"/>
  <c r="D7" i="37"/>
  <c r="E7" i="37" s="1"/>
  <c r="F7" i="37" s="1"/>
  <c r="G7" i="37" s="1"/>
  <c r="H7" i="37" s="1"/>
  <c r="I7" i="37" s="1"/>
  <c r="J7" i="37" s="1"/>
  <c r="K7" i="37" s="1"/>
  <c r="L7" i="37" s="1"/>
  <c r="M7" i="37" s="1"/>
  <c r="D8" i="37"/>
  <c r="E8" i="37" s="1"/>
  <c r="F8" i="37" s="1"/>
  <c r="G8" i="37" s="1"/>
  <c r="H8" i="37" s="1"/>
  <c r="I8" i="37" s="1"/>
  <c r="J8" i="37" s="1"/>
  <c r="K8" i="37" s="1"/>
  <c r="L8" i="37" s="1"/>
  <c r="M8" i="37" s="1"/>
  <c r="D11" i="34"/>
  <c r="E11" i="34" s="1"/>
  <c r="F11" i="34" s="1"/>
  <c r="G11" i="34" s="1"/>
  <c r="H11" i="34" s="1"/>
  <c r="I11" i="34" s="1"/>
  <c r="J11" i="34" s="1"/>
  <c r="K11" i="34" s="1"/>
  <c r="L11" i="34" s="1"/>
  <c r="M11" i="34" s="1"/>
  <c r="D11" i="33"/>
  <c r="E11" i="33" s="1"/>
  <c r="F11" i="33" s="1"/>
  <c r="G11" i="33" s="1"/>
  <c r="H11" i="33" s="1"/>
  <c r="I11" i="33" s="1"/>
  <c r="J11" i="33" s="1"/>
  <c r="K11" i="33" s="1"/>
  <c r="L11" i="33" s="1"/>
  <c r="M11" i="33" s="1"/>
  <c r="D11" i="28"/>
  <c r="E11" i="28" s="1"/>
  <c r="F11" i="28" s="1"/>
  <c r="G11" i="28" s="1"/>
  <c r="H11" i="28" s="1"/>
  <c r="I11" i="28" s="1"/>
  <c r="J11" i="28" s="1"/>
  <c r="K11" i="28" s="1"/>
  <c r="L11" i="28" s="1"/>
  <c r="M11" i="28" s="1"/>
  <c r="D8" i="36"/>
  <c r="E8" i="36" s="1"/>
  <c r="F8" i="36" s="1"/>
  <c r="G8" i="36" s="1"/>
  <c r="H8" i="36" s="1"/>
  <c r="I8" i="36" s="1"/>
  <c r="J8" i="36" s="1"/>
  <c r="K8" i="36" s="1"/>
  <c r="L8" i="36" s="1"/>
  <c r="M8" i="36" s="1"/>
  <c r="D8" i="35"/>
  <c r="D9" i="34"/>
  <c r="E9" i="34" s="1"/>
  <c r="F9" i="34" s="1"/>
  <c r="G9" i="34" s="1"/>
  <c r="H9" i="34" s="1"/>
  <c r="I9" i="34" s="1"/>
  <c r="J9" i="34" s="1"/>
  <c r="K9" i="34" s="1"/>
  <c r="L9" i="34" s="1"/>
  <c r="M9" i="34" s="1"/>
  <c r="D11" i="29"/>
  <c r="E11" i="29" s="1"/>
  <c r="F11" i="29" s="1"/>
  <c r="G11" i="29" s="1"/>
  <c r="H11" i="29" s="1"/>
  <c r="I11" i="29" s="1"/>
  <c r="J11" i="29" s="1"/>
  <c r="K11" i="29" s="1"/>
  <c r="L11" i="29" s="1"/>
  <c r="M11" i="29" s="1"/>
  <c r="D8" i="29"/>
  <c r="E8" i="29" s="1"/>
  <c r="F8" i="29" s="1"/>
  <c r="G8" i="29" s="1"/>
  <c r="H8" i="29" s="1"/>
  <c r="I8" i="29" s="1"/>
  <c r="J8" i="29" s="1"/>
  <c r="K8" i="29" s="1"/>
  <c r="L8" i="29" s="1"/>
  <c r="M8" i="29" s="1"/>
  <c r="D7" i="36"/>
  <c r="E7" i="36" s="1"/>
  <c r="F7" i="36" s="1"/>
  <c r="G7" i="36" s="1"/>
  <c r="H7" i="36" s="1"/>
  <c r="I7" i="36" s="1"/>
  <c r="J7" i="36" s="1"/>
  <c r="K7" i="36" s="1"/>
  <c r="L7" i="36" s="1"/>
  <c r="M7" i="36" s="1"/>
  <c r="D10" i="35"/>
  <c r="D9" i="31"/>
  <c r="E9" i="31" s="1"/>
  <c r="F9" i="31" s="1"/>
  <c r="G9" i="31" s="1"/>
  <c r="H9" i="31" s="1"/>
  <c r="I9" i="31" s="1"/>
  <c r="J9" i="31" s="1"/>
  <c r="K9" i="31" s="1"/>
  <c r="L9" i="31" s="1"/>
  <c r="M9" i="31" s="1"/>
  <c r="D11" i="26"/>
  <c r="E11" i="26" s="1"/>
  <c r="F11" i="26" s="1"/>
  <c r="G11" i="26" s="1"/>
  <c r="H11" i="26" s="1"/>
  <c r="I11" i="26" s="1"/>
  <c r="J11" i="26" s="1"/>
  <c r="K11" i="26" s="1"/>
  <c r="L11" i="26" s="1"/>
  <c r="M11" i="26" s="1"/>
  <c r="D7" i="26"/>
  <c r="E7" i="26" s="1"/>
  <c r="D9" i="36"/>
  <c r="E9" i="36" s="1"/>
  <c r="F9" i="36" s="1"/>
  <c r="G9" i="36" s="1"/>
  <c r="H9" i="36" s="1"/>
  <c r="I9" i="36" s="1"/>
  <c r="J9" i="36" s="1"/>
  <c r="K9" i="36" s="1"/>
  <c r="L9" i="36" s="1"/>
  <c r="M9" i="36" s="1"/>
  <c r="D9" i="33"/>
  <c r="E9" i="33" s="1"/>
  <c r="F9" i="33" s="1"/>
  <c r="G9" i="33" s="1"/>
  <c r="H9" i="33" s="1"/>
  <c r="I9" i="33" s="1"/>
  <c r="J9" i="33" s="1"/>
  <c r="K9" i="33" s="1"/>
  <c r="L9" i="33" s="1"/>
  <c r="M9" i="33" s="1"/>
  <c r="D8" i="31"/>
  <c r="E8" i="31" s="1"/>
  <c r="F8" i="31" s="1"/>
  <c r="G8" i="31" s="1"/>
  <c r="H8" i="31" s="1"/>
  <c r="I8" i="31" s="1"/>
  <c r="D10" i="28"/>
  <c r="E10" i="28" s="1"/>
  <c r="F10" i="28" s="1"/>
  <c r="G10" i="28" s="1"/>
  <c r="H10" i="28" s="1"/>
  <c r="I10" i="28" s="1"/>
  <c r="J10" i="28" s="1"/>
  <c r="K10" i="28" s="1"/>
  <c r="L10" i="28" s="1"/>
  <c r="M10" i="28" s="1"/>
  <c r="D11" i="25"/>
  <c r="E11" i="25" s="1"/>
  <c r="F11" i="25" s="1"/>
  <c r="G11" i="25" s="1"/>
  <c r="H11" i="25" s="1"/>
  <c r="I11" i="25" s="1"/>
  <c r="J11" i="25" s="1"/>
  <c r="K11" i="25" s="1"/>
  <c r="L11" i="25" s="1"/>
  <c r="M11" i="25" s="1"/>
  <c r="D8" i="25"/>
  <c r="E8" i="25" s="1"/>
  <c r="F8" i="25" s="1"/>
  <c r="G8" i="25" s="1"/>
  <c r="H8" i="25" s="1"/>
  <c r="I8" i="25" s="1"/>
  <c r="J8" i="25" s="1"/>
  <c r="K8" i="25" s="1"/>
  <c r="L8" i="25" s="1"/>
  <c r="M8" i="25" s="1"/>
  <c r="D9" i="24"/>
  <c r="E9" i="24" s="1"/>
  <c r="F9" i="24" s="1"/>
  <c r="G9" i="24" s="1"/>
  <c r="H9" i="24" s="1"/>
  <c r="I9" i="24" s="1"/>
  <c r="J9" i="24" s="1"/>
  <c r="K9" i="24" s="1"/>
  <c r="L9" i="24" s="1"/>
  <c r="M9" i="24" s="1"/>
  <c r="D7" i="31"/>
  <c r="E7" i="31" s="1"/>
  <c r="F7" i="31" s="1"/>
  <c r="G7" i="31" s="1"/>
  <c r="H7" i="31" s="1"/>
  <c r="I7" i="31" s="1"/>
  <c r="J7" i="31" s="1"/>
  <c r="K7" i="31" s="1"/>
  <c r="L7" i="31" s="1"/>
  <c r="M7" i="31" s="1"/>
  <c r="D9" i="28"/>
  <c r="E9" i="28" s="1"/>
  <c r="F9" i="28" s="1"/>
  <c r="G9" i="28" s="1"/>
  <c r="H9" i="28" s="1"/>
  <c r="I9" i="28" s="1"/>
  <c r="J9" i="28" s="1"/>
  <c r="K9" i="28" s="1"/>
  <c r="L9" i="28" s="1"/>
  <c r="M9" i="28" s="1"/>
  <c r="D9" i="27"/>
  <c r="E9" i="27" s="1"/>
  <c r="F9" i="27" s="1"/>
  <c r="G9" i="27" s="1"/>
  <c r="H9" i="27" s="1"/>
  <c r="I9" i="27" s="1"/>
  <c r="J9" i="27" s="1"/>
  <c r="K9" i="27" s="1"/>
  <c r="L9" i="27" s="1"/>
  <c r="M9" i="27" s="1"/>
  <c r="D11" i="16"/>
  <c r="D7" i="28"/>
  <c r="D11" i="27"/>
  <c r="E11" i="27" s="1"/>
  <c r="F11" i="27" s="1"/>
  <c r="G11" i="27" s="1"/>
  <c r="H11" i="27" s="1"/>
  <c r="I11" i="27" s="1"/>
  <c r="J11" i="27" s="1"/>
  <c r="K11" i="27" s="1"/>
  <c r="L11" i="27" s="1"/>
  <c r="M11" i="27" s="1"/>
  <c r="D7" i="27"/>
  <c r="E7" i="27" s="1"/>
  <c r="F7" i="27" s="1"/>
  <c r="G7" i="27" s="1"/>
  <c r="H7" i="27" s="1"/>
  <c r="I7" i="27" s="1"/>
  <c r="J7" i="27" s="1"/>
  <c r="K7" i="27" s="1"/>
  <c r="L7" i="27" s="1"/>
  <c r="M7" i="27" s="1"/>
  <c r="D10" i="25"/>
  <c r="E10" i="25" s="1"/>
  <c r="F10" i="25" s="1"/>
  <c r="G10" i="25" s="1"/>
  <c r="H10" i="25" s="1"/>
  <c r="I10" i="25" s="1"/>
  <c r="J10" i="25" s="1"/>
  <c r="K10" i="25" s="1"/>
  <c r="L10" i="25" s="1"/>
  <c r="M10" i="25" s="1"/>
  <c r="D11" i="32"/>
  <c r="E11" i="32" s="1"/>
  <c r="F11" i="32" s="1"/>
  <c r="G11" i="32" s="1"/>
  <c r="H11" i="32" s="1"/>
  <c r="I11" i="32" s="1"/>
  <c r="J11" i="32" s="1"/>
  <c r="K11" i="32" s="1"/>
  <c r="L11" i="32" s="1"/>
  <c r="M11" i="32" s="1"/>
  <c r="D7" i="32"/>
  <c r="E7" i="32" s="1"/>
  <c r="F7" i="32" s="1"/>
  <c r="D7" i="16"/>
  <c r="E7" i="16" s="1"/>
  <c r="F7" i="16" s="1"/>
  <c r="G7" i="16" s="1"/>
  <c r="H7" i="16" s="1"/>
  <c r="I7" i="16" s="1"/>
  <c r="J7" i="16" s="1"/>
  <c r="K7" i="16" s="1"/>
  <c r="L7" i="16" s="1"/>
  <c r="M7" i="16" s="1"/>
  <c r="D10" i="34"/>
  <c r="E10" i="34" s="1"/>
  <c r="F10" i="34" s="1"/>
  <c r="G10" i="34" s="1"/>
  <c r="H10" i="34" s="1"/>
  <c r="I10" i="34" s="1"/>
  <c r="J10" i="34" s="1"/>
  <c r="K10" i="34" s="1"/>
  <c r="L10" i="34" s="1"/>
  <c r="M10" i="34" s="1"/>
  <c r="D11" i="30"/>
  <c r="E11" i="30" s="1"/>
  <c r="F11" i="30" s="1"/>
  <c r="G11" i="30" s="1"/>
  <c r="H11" i="30" s="1"/>
  <c r="I11" i="30" s="1"/>
  <c r="J11" i="30" s="1"/>
  <c r="K11" i="30" s="1"/>
  <c r="L11" i="30" s="1"/>
  <c r="M11" i="30" s="1"/>
  <c r="D10" i="30"/>
  <c r="E10" i="30" s="1"/>
  <c r="F10" i="30" s="1"/>
  <c r="G10" i="30" s="1"/>
  <c r="H10" i="30" s="1"/>
  <c r="I10" i="30" s="1"/>
  <c r="J10" i="30" s="1"/>
  <c r="K10" i="30" s="1"/>
  <c r="L10" i="30" s="1"/>
  <c r="M10" i="30" s="1"/>
  <c r="D10" i="29"/>
  <c r="E10" i="29" s="1"/>
  <c r="F10" i="29" s="1"/>
  <c r="G10" i="29" s="1"/>
  <c r="H10" i="29" s="1"/>
  <c r="I10" i="29" s="1"/>
  <c r="J10" i="29" s="1"/>
  <c r="K10" i="29" s="1"/>
  <c r="L10" i="29" s="1"/>
  <c r="M10" i="29" s="1"/>
  <c r="D9" i="25"/>
  <c r="E9" i="25" s="1"/>
  <c r="F9" i="25" s="1"/>
  <c r="G9" i="25" s="1"/>
  <c r="H9" i="25" s="1"/>
  <c r="I9" i="25" s="1"/>
  <c r="J9" i="25" s="1"/>
  <c r="K9" i="25" s="1"/>
  <c r="L9" i="25" s="1"/>
  <c r="M9" i="25" s="1"/>
  <c r="M372" i="1"/>
  <c r="K370" i="1"/>
  <c r="K373" i="1" s="1"/>
  <c r="K372" i="1"/>
  <c r="M373" i="1"/>
  <c r="M376" i="1" s="1"/>
  <c r="P370" i="1"/>
  <c r="O370" i="1"/>
  <c r="N370" i="1"/>
  <c r="M370" i="1"/>
  <c r="L370" i="1"/>
  <c r="K390" i="1"/>
  <c r="O388" i="1"/>
  <c r="N388" i="1"/>
  <c r="M388" i="1"/>
  <c r="L388" i="1"/>
  <c r="L389" i="1" s="1"/>
  <c r="M390" i="1"/>
  <c r="M391" i="1" s="1"/>
  <c r="M394" i="1" s="1"/>
  <c r="K388" i="1"/>
  <c r="K391" i="1" s="1"/>
  <c r="K394" i="1" s="1"/>
  <c r="L390" i="1"/>
  <c r="L391" i="1" s="1"/>
  <c r="L394" i="1" s="1"/>
  <c r="K411" i="1"/>
  <c r="S490" i="1"/>
  <c r="S487" i="1"/>
  <c r="R531" i="1"/>
  <c r="S532" i="1" s="1"/>
  <c r="S530" i="1"/>
  <c r="K647" i="1"/>
  <c r="K650" i="1" s="1"/>
  <c r="N644" i="1"/>
  <c r="U644" i="1"/>
  <c r="M644" i="1"/>
  <c r="T644" i="1"/>
  <c r="L644" i="1"/>
  <c r="L645" i="1" s="1"/>
  <c r="L850" i="1" s="1"/>
  <c r="I10" i="12" s="1"/>
  <c r="D24" i="19" s="1"/>
  <c r="S644" i="1"/>
  <c r="K644" i="1"/>
  <c r="K645" i="1" s="1"/>
  <c r="L646" i="1"/>
  <c r="L851" i="1" s="1"/>
  <c r="I11" i="12" s="1"/>
  <c r="R644" i="1"/>
  <c r="K646" i="1"/>
  <c r="Q644" i="1"/>
  <c r="P644" i="1"/>
  <c r="O644" i="1"/>
  <c r="N662" i="1"/>
  <c r="M662" i="1"/>
  <c r="L662" i="1"/>
  <c r="L663" i="1" s="1"/>
  <c r="L852" i="1" s="1"/>
  <c r="I12" i="12" s="1"/>
  <c r="D24" i="20" s="1"/>
  <c r="K662" i="1"/>
  <c r="K663" i="1" s="1"/>
  <c r="M665" i="1"/>
  <c r="M664" i="1"/>
  <c r="M853" i="1" s="1"/>
  <c r="J13" i="12" s="1"/>
  <c r="L665" i="1"/>
  <c r="L664" i="1"/>
  <c r="L853" i="1" s="1"/>
  <c r="I13" i="12" s="1"/>
  <c r="P662" i="1"/>
  <c r="K664" i="1"/>
  <c r="O662" i="1"/>
  <c r="L63" i="12"/>
  <c r="L77" i="12" s="1"/>
  <c r="E58" i="10" s="1"/>
  <c r="E63" i="11" s="1"/>
  <c r="E187" i="11" s="1"/>
  <c r="E311" i="11" s="1"/>
  <c r="E435" i="11" s="1"/>
  <c r="E559" i="11" s="1"/>
  <c r="E683" i="11" s="1"/>
  <c r="M21" i="20"/>
  <c r="O60" i="12"/>
  <c r="J21" i="23"/>
  <c r="G50" i="2"/>
  <c r="M234" i="13"/>
  <c r="K267" i="13"/>
  <c r="M296" i="13"/>
  <c r="E20" i="58"/>
  <c r="L297" i="13"/>
  <c r="C389" i="13"/>
  <c r="H303" i="11"/>
  <c r="H427" i="11" s="1"/>
  <c r="G303" i="11"/>
  <c r="G427" i="11" s="1"/>
  <c r="D179" i="11"/>
  <c r="D303" i="11" s="1"/>
  <c r="D427" i="11" s="1"/>
  <c r="D551" i="11" s="1"/>
  <c r="D675" i="11" s="1"/>
  <c r="I55" i="11"/>
  <c r="H179" i="11"/>
  <c r="I303" i="11" s="1"/>
  <c r="I427" i="11" s="1"/>
  <c r="H55" i="11"/>
  <c r="G179" i="11"/>
  <c r="G55" i="11"/>
  <c r="I278" i="11"/>
  <c r="N154" i="11"/>
  <c r="P278" i="11"/>
  <c r="P402" i="11" s="1"/>
  <c r="H278" i="11"/>
  <c r="H402" i="11" s="1"/>
  <c r="M154" i="11"/>
  <c r="M30" i="11"/>
  <c r="O278" i="11"/>
  <c r="G278" i="11"/>
  <c r="L154" i="11"/>
  <c r="D154" i="11"/>
  <c r="D278" i="11" s="1"/>
  <c r="D402" i="11" s="1"/>
  <c r="D526" i="11" s="1"/>
  <c r="D650" i="11" s="1"/>
  <c r="N278" i="11"/>
  <c r="N402" i="11" s="1"/>
  <c r="K154" i="11"/>
  <c r="K30" i="11"/>
  <c r="M278" i="11"/>
  <c r="M402" i="11" s="1"/>
  <c r="J154" i="11"/>
  <c r="J30" i="11"/>
  <c r="L278" i="11"/>
  <c r="I154" i="11"/>
  <c r="Q30" i="11"/>
  <c r="I30" i="11"/>
  <c r="K278" i="11"/>
  <c r="K402" i="11" s="1"/>
  <c r="P154" i="11"/>
  <c r="Q278" i="11" s="1"/>
  <c r="Q402" i="11" s="1"/>
  <c r="H154" i="11"/>
  <c r="P30" i="11"/>
  <c r="H30" i="11"/>
  <c r="J278" i="11"/>
  <c r="J402" i="11" s="1"/>
  <c r="O154" i="11"/>
  <c r="G154" i="11"/>
  <c r="O30" i="11"/>
  <c r="G30" i="11"/>
  <c r="N30" i="11"/>
  <c r="L30" i="11"/>
  <c r="D9" i="22"/>
  <c r="E9" i="22" s="1"/>
  <c r="F9" i="22" s="1"/>
  <c r="G9" i="22" s="1"/>
  <c r="H9" i="22" s="1"/>
  <c r="I9" i="22" s="1"/>
  <c r="J9" i="22" s="1"/>
  <c r="K9" i="22" s="1"/>
  <c r="L9" i="22" s="1"/>
  <c r="M9" i="22" s="1"/>
  <c r="D7" i="25"/>
  <c r="D8" i="26"/>
  <c r="E8" i="26" s="1"/>
  <c r="F8" i="26" s="1"/>
  <c r="G8" i="26" s="1"/>
  <c r="H8" i="26" s="1"/>
  <c r="I8" i="26" s="1"/>
  <c r="J8" i="26" s="1"/>
  <c r="K8" i="26" s="1"/>
  <c r="L8" i="26" s="1"/>
  <c r="M8" i="26" s="1"/>
  <c r="D8" i="27"/>
  <c r="E8" i="27" s="1"/>
  <c r="F8" i="27" s="1"/>
  <c r="G8" i="27" s="1"/>
  <c r="H8" i="27" s="1"/>
  <c r="I8" i="27" s="1"/>
  <c r="D9" i="29"/>
  <c r="E9" i="29" s="1"/>
  <c r="F9" i="29" s="1"/>
  <c r="G9" i="29" s="1"/>
  <c r="H9" i="29" s="1"/>
  <c r="I9" i="29" s="1"/>
  <c r="J9" i="29" s="1"/>
  <c r="K9" i="29" s="1"/>
  <c r="L9" i="29" s="1"/>
  <c r="M9" i="29" s="1"/>
  <c r="D10" i="31"/>
  <c r="E10" i="31" s="1"/>
  <c r="F10" i="31" s="1"/>
  <c r="G10" i="31" s="1"/>
  <c r="H10" i="31" s="1"/>
  <c r="I10" i="31" s="1"/>
  <c r="J10" i="31" s="1"/>
  <c r="K10" i="31" s="1"/>
  <c r="L10" i="31" s="1"/>
  <c r="M10" i="31" s="1"/>
  <c r="D10" i="33"/>
  <c r="E10" i="33" s="1"/>
  <c r="F10" i="33" s="1"/>
  <c r="G10" i="33" s="1"/>
  <c r="H10" i="33" s="1"/>
  <c r="I10" i="33" s="1"/>
  <c r="J10" i="33" s="1"/>
  <c r="K10" i="33" s="1"/>
  <c r="L10" i="33" s="1"/>
  <c r="M10" i="33" s="1"/>
  <c r="T252" i="1"/>
  <c r="F9" i="4"/>
  <c r="E17" i="13"/>
  <c r="H6" i="38"/>
  <c r="E17" i="5"/>
  <c r="P6" i="38"/>
  <c r="M17" i="5"/>
  <c r="E87" i="53"/>
  <c r="M87" i="53"/>
  <c r="M57" i="1"/>
  <c r="U57" i="1"/>
  <c r="N18" i="53"/>
  <c r="N20" i="53"/>
  <c r="N21" i="53"/>
  <c r="N22" i="53"/>
  <c r="N23" i="53"/>
  <c r="N24" i="53"/>
  <c r="N25" i="53"/>
  <c r="N26" i="53"/>
  <c r="N68" i="1"/>
  <c r="G17" i="19"/>
  <c r="K83" i="1"/>
  <c r="S83" i="1"/>
  <c r="K69" i="53"/>
  <c r="K95" i="1"/>
  <c r="S95" i="1"/>
  <c r="K17" i="22" s="1"/>
  <c r="N78" i="53"/>
  <c r="F17" i="23"/>
  <c r="K118" i="1"/>
  <c r="K131" i="1"/>
  <c r="M133" i="1"/>
  <c r="M134" i="1" s="1"/>
  <c r="K144" i="1"/>
  <c r="Q155" i="1"/>
  <c r="K157" i="1"/>
  <c r="D164" i="1"/>
  <c r="P165" i="1"/>
  <c r="H14" i="52" s="1"/>
  <c r="K203" i="1"/>
  <c r="M213" i="1"/>
  <c r="M218" i="1" s="1"/>
  <c r="M219" i="1" s="1"/>
  <c r="O226" i="1"/>
  <c r="G25" i="52" s="1"/>
  <c r="K228" i="1"/>
  <c r="S228" i="1"/>
  <c r="M230" i="1"/>
  <c r="R238" i="1"/>
  <c r="J26" i="52" s="1"/>
  <c r="K241" i="1"/>
  <c r="K243" i="1" s="1"/>
  <c r="L252" i="1"/>
  <c r="L253" i="1" s="1"/>
  <c r="L255" i="1" s="1"/>
  <c r="U252" i="1"/>
  <c r="N261" i="1"/>
  <c r="U265" i="1"/>
  <c r="M30" i="52" s="1"/>
  <c r="N30" i="52" s="1"/>
  <c r="M28" i="52"/>
  <c r="N28" i="52" s="1"/>
  <c r="T280" i="1"/>
  <c r="D286" i="1"/>
  <c r="M382" i="1"/>
  <c r="O382" i="1"/>
  <c r="N462" i="1"/>
  <c r="O462" i="1" s="1"/>
  <c r="P462" i="1" s="1"/>
  <c r="R539" i="1"/>
  <c r="R542" i="1" s="1"/>
  <c r="M536" i="1"/>
  <c r="M538" i="1"/>
  <c r="K536" i="1"/>
  <c r="K539" i="1" s="1"/>
  <c r="K542" i="1" s="1"/>
  <c r="L538" i="1"/>
  <c r="K538" i="1"/>
  <c r="U539" i="1"/>
  <c r="M539" i="1"/>
  <c r="P536" i="1"/>
  <c r="T539" i="1"/>
  <c r="L539" i="1"/>
  <c r="L542" i="1" s="1"/>
  <c r="O536" i="1"/>
  <c r="S539" i="1"/>
  <c r="S542" i="1" s="1"/>
  <c r="N536" i="1"/>
  <c r="T542" i="1"/>
  <c r="N79" i="52"/>
  <c r="M604" i="1"/>
  <c r="E82" i="52" s="1"/>
  <c r="L604" i="1"/>
  <c r="P613" i="1"/>
  <c r="P616" i="1" s="1"/>
  <c r="R719" i="1"/>
  <c r="Q719" i="1"/>
  <c r="P719" i="1"/>
  <c r="L722" i="1"/>
  <c r="O719" i="1"/>
  <c r="N719" i="1"/>
  <c r="U719" i="1"/>
  <c r="M719" i="1"/>
  <c r="T719" i="1"/>
  <c r="M721" i="1"/>
  <c r="M722" i="1" s="1"/>
  <c r="S719" i="1"/>
  <c r="L767" i="1"/>
  <c r="D114" i="52" s="1"/>
  <c r="L731" i="1"/>
  <c r="L756" i="1"/>
  <c r="M730" i="1"/>
  <c r="M731" i="1" s="1"/>
  <c r="L640" i="1"/>
  <c r="D90" i="52" s="1"/>
  <c r="N60" i="12"/>
  <c r="J21" i="22"/>
  <c r="K21" i="23"/>
  <c r="O61" i="12"/>
  <c r="P90" i="12"/>
  <c r="O204" i="12" s="1"/>
  <c r="D27" i="58"/>
  <c r="K314" i="13"/>
  <c r="E59" i="58"/>
  <c r="J143" i="12"/>
  <c r="E20" i="31" s="1"/>
  <c r="M97" i="13"/>
  <c r="N97" i="13" s="1"/>
  <c r="O97" i="13" s="1"/>
  <c r="P97" i="13" s="1"/>
  <c r="Q97" i="13" s="1"/>
  <c r="R97" i="13" s="1"/>
  <c r="S97" i="13" s="1"/>
  <c r="T97" i="13" s="1"/>
  <c r="M235" i="13"/>
  <c r="L448" i="13"/>
  <c r="L121" i="13"/>
  <c r="K423" i="13"/>
  <c r="O90" i="12"/>
  <c r="O203" i="12" s="1"/>
  <c r="D9" i="26"/>
  <c r="E9" i="26" s="1"/>
  <c r="F9" i="26" s="1"/>
  <c r="G9" i="26" s="1"/>
  <c r="H9" i="26" s="1"/>
  <c r="I9" i="26" s="1"/>
  <c r="J9" i="26" s="1"/>
  <c r="K9" i="26" s="1"/>
  <c r="L9" i="26" s="1"/>
  <c r="M9" i="26" s="1"/>
  <c r="D10" i="32"/>
  <c r="E10" i="32" s="1"/>
  <c r="F10" i="32" s="1"/>
  <c r="G10" i="32" s="1"/>
  <c r="H10" i="32" s="1"/>
  <c r="I10" i="32" s="1"/>
  <c r="J10" i="32" s="1"/>
  <c r="K10" i="32" s="1"/>
  <c r="L10" i="32" s="1"/>
  <c r="M10" i="32" s="1"/>
  <c r="I6" i="38"/>
  <c r="F17" i="5"/>
  <c r="I20" i="38"/>
  <c r="F17" i="17"/>
  <c r="H17" i="19"/>
  <c r="D17" i="21"/>
  <c r="L17" i="21"/>
  <c r="N60" i="53"/>
  <c r="D69" i="53"/>
  <c r="G90" i="38"/>
  <c r="D17" i="22"/>
  <c r="L17" i="22"/>
  <c r="G17" i="23"/>
  <c r="L118" i="1"/>
  <c r="L131" i="1"/>
  <c r="R155" i="1"/>
  <c r="L157" i="1"/>
  <c r="L203" i="1"/>
  <c r="L228" i="1"/>
  <c r="L229" i="1" s="1"/>
  <c r="L231" i="1" s="1"/>
  <c r="L241" i="1"/>
  <c r="L243" i="1" s="1"/>
  <c r="N332" i="1"/>
  <c r="F43" i="52" s="1"/>
  <c r="M310" i="1"/>
  <c r="E41" i="52" s="1"/>
  <c r="M321" i="1"/>
  <c r="E42" i="52" s="1"/>
  <c r="U310" i="1"/>
  <c r="M41" i="52" s="1"/>
  <c r="U321" i="1"/>
  <c r="M42" i="52" s="1"/>
  <c r="U280" i="1"/>
  <c r="T312" i="1"/>
  <c r="L312" i="1"/>
  <c r="L314" i="1"/>
  <c r="R312" i="1"/>
  <c r="K314" i="1"/>
  <c r="Q312" i="1"/>
  <c r="N312" i="1"/>
  <c r="U312" i="1"/>
  <c r="S312" i="1"/>
  <c r="O323" i="1"/>
  <c r="U323" i="1"/>
  <c r="M323" i="1"/>
  <c r="T323" i="1"/>
  <c r="L323" i="1"/>
  <c r="L324" i="1" s="1"/>
  <c r="L326" i="1" s="1"/>
  <c r="M325" i="1"/>
  <c r="S323" i="1"/>
  <c r="K323" i="1"/>
  <c r="K325" i="1"/>
  <c r="Q323" i="1"/>
  <c r="N382" i="1"/>
  <c r="P402" i="1"/>
  <c r="H56" i="52"/>
  <c r="P400" i="1"/>
  <c r="E64" i="52"/>
  <c r="N64" i="52" s="1"/>
  <c r="D464" i="1"/>
  <c r="P468" i="1"/>
  <c r="P474" i="1" s="1"/>
  <c r="L471" i="1"/>
  <c r="Q470" i="1"/>
  <c r="Q471" i="1" s="1"/>
  <c r="N468" i="1"/>
  <c r="N474" i="1" s="1"/>
  <c r="P470" i="1"/>
  <c r="P471" i="1" s="1"/>
  <c r="M468" i="1"/>
  <c r="M474" i="1" s="1"/>
  <c r="L468" i="1"/>
  <c r="L474" i="1" s="1"/>
  <c r="K468" i="1"/>
  <c r="Q468" i="1"/>
  <c r="Q474" i="1" s="1"/>
  <c r="L469" i="1"/>
  <c r="M497" i="1"/>
  <c r="S531" i="1"/>
  <c r="T532" i="1" s="1"/>
  <c r="M542" i="1"/>
  <c r="U542" i="1"/>
  <c r="M559" i="1"/>
  <c r="M562" i="1" s="1"/>
  <c r="K556" i="1"/>
  <c r="K557" i="1" s="1"/>
  <c r="K583" i="1"/>
  <c r="K585" i="1" s="1"/>
  <c r="K588" i="1" s="1"/>
  <c r="C82" i="52"/>
  <c r="L628" i="1"/>
  <c r="R626" i="1"/>
  <c r="K628" i="1"/>
  <c r="Q626" i="1"/>
  <c r="P626" i="1"/>
  <c r="O626" i="1"/>
  <c r="N626" i="1"/>
  <c r="U626" i="1"/>
  <c r="M626" i="1"/>
  <c r="T626" i="1"/>
  <c r="L626" i="1"/>
  <c r="L627" i="1" s="1"/>
  <c r="L629" i="1" s="1"/>
  <c r="L632" i="1" s="1"/>
  <c r="M628" i="1"/>
  <c r="S626" i="1"/>
  <c r="K626" i="1"/>
  <c r="K629" i="1" s="1"/>
  <c r="K632" i="1" s="1"/>
  <c r="K21" i="22"/>
  <c r="N61" i="12"/>
  <c r="M833" i="1"/>
  <c r="M835" i="1"/>
  <c r="M859" i="1" s="1"/>
  <c r="J19" i="12" s="1"/>
  <c r="E21" i="23" s="1"/>
  <c r="K836" i="1"/>
  <c r="K839" i="1" s="1"/>
  <c r="L21" i="23"/>
  <c r="O62" i="12"/>
  <c r="Q90" i="12"/>
  <c r="O205" i="12" s="1"/>
  <c r="P23" i="13"/>
  <c r="P34" i="13"/>
  <c r="Q30" i="13"/>
  <c r="J421" i="13"/>
  <c r="E27" i="58"/>
  <c r="L314" i="13"/>
  <c r="O80" i="13"/>
  <c r="O388" i="13" s="1"/>
  <c r="O389" i="13" s="1"/>
  <c r="N388" i="13"/>
  <c r="N389" i="13" s="1"/>
  <c r="M95" i="13"/>
  <c r="N95" i="13" s="1"/>
  <c r="O95" i="13" s="1"/>
  <c r="P95" i="13" s="1"/>
  <c r="Q95" i="13" s="1"/>
  <c r="R95" i="13" s="1"/>
  <c r="S95" i="13" s="1"/>
  <c r="T95" i="13" s="1"/>
  <c r="G133" i="38"/>
  <c r="D18" i="25"/>
  <c r="D19" i="25" s="1"/>
  <c r="I118" i="12" s="1"/>
  <c r="E6" i="17"/>
  <c r="D20" i="17"/>
  <c r="D16" i="17"/>
  <c r="F6" i="21"/>
  <c r="E20" i="21"/>
  <c r="E16" i="21"/>
  <c r="G6" i="24"/>
  <c r="F20" i="24"/>
  <c r="F44" i="24" s="1"/>
  <c r="F16" i="24"/>
  <c r="U98" i="1"/>
  <c r="L230" i="1"/>
  <c r="B12" i="1"/>
  <c r="G87" i="53"/>
  <c r="J20" i="38"/>
  <c r="G17" i="17"/>
  <c r="P68" i="1"/>
  <c r="H17" i="18" s="1"/>
  <c r="I17" i="19"/>
  <c r="F62" i="38"/>
  <c r="C17" i="20"/>
  <c r="C18" i="20" s="1"/>
  <c r="M83" i="1"/>
  <c r="U83" i="1"/>
  <c r="E69" i="53"/>
  <c r="M69" i="53"/>
  <c r="N61" i="53"/>
  <c r="N62" i="53"/>
  <c r="N63" i="53"/>
  <c r="M95" i="1"/>
  <c r="U95" i="1"/>
  <c r="K104" i="38"/>
  <c r="K258" i="38" s="1"/>
  <c r="H17" i="23"/>
  <c r="D111" i="1"/>
  <c r="M131" i="1"/>
  <c r="O153" i="1"/>
  <c r="G13" i="52" s="1"/>
  <c r="K155" i="1"/>
  <c r="K158" i="1" s="1"/>
  <c r="S155" i="1"/>
  <c r="M157" i="1"/>
  <c r="R165" i="1"/>
  <c r="J14" i="52" s="1"/>
  <c r="K168" i="1"/>
  <c r="C23" i="52"/>
  <c r="Q226" i="1"/>
  <c r="I25" i="52" s="1"/>
  <c r="M228" i="1"/>
  <c r="U228" i="1"/>
  <c r="Q250" i="1"/>
  <c r="I27" i="52" s="1"/>
  <c r="N252" i="1"/>
  <c r="L310" i="1"/>
  <c r="D41" i="52" s="1"/>
  <c r="L313" i="1"/>
  <c r="L315" i="1" s="1"/>
  <c r="N323" i="1"/>
  <c r="N343" i="1"/>
  <c r="O343" i="1" s="1"/>
  <c r="P343" i="1" s="1"/>
  <c r="Q343" i="1" s="1"/>
  <c r="K376" i="1"/>
  <c r="L486" i="1"/>
  <c r="K486" i="1"/>
  <c r="U487" i="1"/>
  <c r="T487" i="1"/>
  <c r="P599" i="1"/>
  <c r="M695" i="1"/>
  <c r="P693" i="1"/>
  <c r="O693" i="1"/>
  <c r="N693" i="1"/>
  <c r="M693" i="1"/>
  <c r="K725" i="1"/>
  <c r="K741" i="1"/>
  <c r="L21" i="22"/>
  <c r="N62" i="12"/>
  <c r="M21" i="22"/>
  <c r="R89" i="12"/>
  <c r="N63" i="12"/>
  <c r="N77" i="12" s="1"/>
  <c r="E80" i="10" s="1"/>
  <c r="E85" i="11" s="1"/>
  <c r="E209" i="11" s="1"/>
  <c r="E333" i="11" s="1"/>
  <c r="E457" i="11" s="1"/>
  <c r="E581" i="11" s="1"/>
  <c r="E705" i="11" s="1"/>
  <c r="M21" i="23"/>
  <c r="O63" i="12"/>
  <c r="O77" i="12" s="1"/>
  <c r="E91" i="10" s="1"/>
  <c r="E96" i="11" s="1"/>
  <c r="E220" i="11" s="1"/>
  <c r="E344" i="11" s="1"/>
  <c r="E468" i="11" s="1"/>
  <c r="E592" i="11" s="1"/>
  <c r="E716" i="11" s="1"/>
  <c r="R90" i="12"/>
  <c r="G14" i="2"/>
  <c r="F27" i="58"/>
  <c r="M314" i="13"/>
  <c r="K405" i="13"/>
  <c r="D65" i="58"/>
  <c r="I89" i="13"/>
  <c r="J89" i="13" s="1"/>
  <c r="K89" i="13" s="1"/>
  <c r="L89" i="13" s="1"/>
  <c r="M89" i="13" s="1"/>
  <c r="N89" i="13" s="1"/>
  <c r="O89" i="13" s="1"/>
  <c r="P89" i="13" s="1"/>
  <c r="Q89" i="13" s="1"/>
  <c r="R89" i="13" s="1"/>
  <c r="S89" i="13" s="1"/>
  <c r="T89" i="13" s="1"/>
  <c r="H89" i="13"/>
  <c r="K375" i="13"/>
  <c r="K392" i="13"/>
  <c r="I262" i="11"/>
  <c r="H262" i="11"/>
  <c r="G262" i="11"/>
  <c r="D138" i="11"/>
  <c r="D262" i="11" s="1"/>
  <c r="D386" i="11" s="1"/>
  <c r="D510" i="11" s="1"/>
  <c r="D634" i="11" s="1"/>
  <c r="K138" i="11"/>
  <c r="L262" i="11" s="1"/>
  <c r="L386" i="11" s="1"/>
  <c r="K14" i="11"/>
  <c r="J138" i="11"/>
  <c r="J14" i="11"/>
  <c r="I138" i="11"/>
  <c r="I14" i="11"/>
  <c r="K262" i="11"/>
  <c r="K386" i="11" s="1"/>
  <c r="H138" i="11"/>
  <c r="H14" i="11"/>
  <c r="J262" i="11"/>
  <c r="G138" i="11"/>
  <c r="G14" i="11"/>
  <c r="L14" i="11"/>
  <c r="E20" i="35"/>
  <c r="D9" i="17"/>
  <c r="E9" i="17" s="1"/>
  <c r="F9" i="17" s="1"/>
  <c r="G9" i="17" s="1"/>
  <c r="H9" i="17" s="1"/>
  <c r="I9" i="17" s="1"/>
  <c r="J9" i="17" s="1"/>
  <c r="K9" i="17" s="1"/>
  <c r="L9" i="17" s="1"/>
  <c r="M9" i="17" s="1"/>
  <c r="E20" i="20"/>
  <c r="E16" i="20"/>
  <c r="F6" i="20"/>
  <c r="D9" i="21"/>
  <c r="E9" i="21" s="1"/>
  <c r="F9" i="21" s="1"/>
  <c r="G9" i="21" s="1"/>
  <c r="H9" i="21" s="1"/>
  <c r="I9" i="21" s="1"/>
  <c r="J9" i="21" s="1"/>
  <c r="K9" i="21" s="1"/>
  <c r="L9" i="21" s="1"/>
  <c r="M9" i="21" s="1"/>
  <c r="H172" i="12"/>
  <c r="C29" i="16"/>
  <c r="C30" i="16" s="1"/>
  <c r="C31" i="16" s="1"/>
  <c r="H127" i="12"/>
  <c r="C18" i="35" s="1"/>
  <c r="C19" i="35" s="1"/>
  <c r="G17" i="18"/>
  <c r="C13" i="9"/>
  <c r="C14" i="9" s="1"/>
  <c r="L17" i="9"/>
  <c r="I14" i="9"/>
  <c r="F14" i="9"/>
  <c r="G17" i="13"/>
  <c r="H87" i="53"/>
  <c r="H89" i="53" s="1"/>
  <c r="K20" i="38"/>
  <c r="H17" i="17"/>
  <c r="J17" i="19"/>
  <c r="G62" i="38"/>
  <c r="D17" i="20"/>
  <c r="N54" i="53"/>
  <c r="F17" i="21"/>
  <c r="N64" i="53"/>
  <c r="N65" i="53"/>
  <c r="N66" i="53"/>
  <c r="N67" i="53"/>
  <c r="N68" i="53"/>
  <c r="F17" i="22"/>
  <c r="L104" i="38"/>
  <c r="L258" i="38" s="1"/>
  <c r="I17" i="23"/>
  <c r="K132" i="1"/>
  <c r="P153" i="1"/>
  <c r="T155" i="1"/>
  <c r="L168" i="1"/>
  <c r="L170" i="1" s="1"/>
  <c r="K210" i="1"/>
  <c r="L212" i="1"/>
  <c r="L218" i="1" s="1"/>
  <c r="L219" i="1" s="1"/>
  <c r="R226" i="1"/>
  <c r="J25" i="52" s="1"/>
  <c r="N228" i="1"/>
  <c r="K229" i="1"/>
  <c r="K231" i="1" s="1"/>
  <c r="O252" i="1"/>
  <c r="K254" i="1"/>
  <c r="K303" i="1"/>
  <c r="H52" i="1" s="1"/>
  <c r="L303" i="1"/>
  <c r="R323" i="1"/>
  <c r="R353" i="1"/>
  <c r="L352" i="1"/>
  <c r="P350" i="1"/>
  <c r="O350" i="1"/>
  <c r="N350" i="1"/>
  <c r="T353" i="1"/>
  <c r="L350" i="1"/>
  <c r="L353" i="1" s="1"/>
  <c r="S353" i="1"/>
  <c r="L372" i="1"/>
  <c r="L373" i="1" s="1"/>
  <c r="L376" i="1" s="1"/>
  <c r="M429" i="1"/>
  <c r="K427" i="1"/>
  <c r="K428" i="1" s="1"/>
  <c r="K429" i="1"/>
  <c r="L427" i="1"/>
  <c r="T459" i="1"/>
  <c r="P531" i="1"/>
  <c r="K593" i="1"/>
  <c r="K594" i="1" s="1"/>
  <c r="M595" i="1"/>
  <c r="L595" i="1"/>
  <c r="K595" i="1"/>
  <c r="T758" i="1"/>
  <c r="L113" i="52"/>
  <c r="N112" i="52"/>
  <c r="K771" i="1"/>
  <c r="U769" i="1"/>
  <c r="T769" i="1"/>
  <c r="L769" i="1"/>
  <c r="L770" i="1" s="1"/>
  <c r="L772" i="1" s="1"/>
  <c r="L775" i="1" s="1"/>
  <c r="M771" i="1"/>
  <c r="S769" i="1"/>
  <c r="K769" i="1"/>
  <c r="K770" i="1" s="1"/>
  <c r="L771" i="1"/>
  <c r="R769" i="1"/>
  <c r="P818" i="1"/>
  <c r="O818" i="1"/>
  <c r="N818" i="1"/>
  <c r="M818" i="1"/>
  <c r="L818" i="1"/>
  <c r="L819" i="1" s="1"/>
  <c r="M820" i="1"/>
  <c r="M821" i="1" s="1"/>
  <c r="K818" i="1"/>
  <c r="K821" i="1" s="1"/>
  <c r="K824" i="1" s="1"/>
  <c r="L820" i="1"/>
  <c r="L821" i="1" s="1"/>
  <c r="L824" i="1" s="1"/>
  <c r="K820" i="1"/>
  <c r="Q818" i="1"/>
  <c r="I21" i="20"/>
  <c r="L59" i="12"/>
  <c r="P70" i="13"/>
  <c r="Q70" i="13" s="1"/>
  <c r="R70" i="13" s="1"/>
  <c r="S70" i="13" s="1"/>
  <c r="T70" i="13" s="1"/>
  <c r="O313" i="13"/>
  <c r="L405" i="13"/>
  <c r="E66" i="58" s="1"/>
  <c r="E65" i="58"/>
  <c r="K393" i="13"/>
  <c r="L393" i="13" s="1"/>
  <c r="M393" i="13" s="1"/>
  <c r="K408" i="13"/>
  <c r="L408" i="13" s="1"/>
  <c r="K437" i="13"/>
  <c r="L437" i="13" s="1"/>
  <c r="M437" i="13" s="1"/>
  <c r="I296" i="11"/>
  <c r="H296" i="11"/>
  <c r="H420" i="11" s="1"/>
  <c r="M48" i="11"/>
  <c r="G296" i="11"/>
  <c r="L172" i="11"/>
  <c r="M296" i="11" s="1"/>
  <c r="M420" i="11" s="1"/>
  <c r="D172" i="11"/>
  <c r="D296" i="11" s="1"/>
  <c r="D420" i="11" s="1"/>
  <c r="D544" i="11" s="1"/>
  <c r="D668" i="11" s="1"/>
  <c r="K172" i="11"/>
  <c r="K48" i="11"/>
  <c r="J172" i="11"/>
  <c r="J48" i="11"/>
  <c r="L296" i="11"/>
  <c r="I172" i="11"/>
  <c r="I48" i="11"/>
  <c r="K296" i="11"/>
  <c r="H172" i="11"/>
  <c r="H48" i="11"/>
  <c r="J296" i="11"/>
  <c r="J420" i="11" s="1"/>
  <c r="G172" i="11"/>
  <c r="G48" i="11"/>
  <c r="L48" i="11"/>
  <c r="E20" i="19"/>
  <c r="E16" i="19"/>
  <c r="F6" i="19"/>
  <c r="D9" i="20"/>
  <c r="E9" i="20" s="1"/>
  <c r="F9" i="20" s="1"/>
  <c r="G9" i="20" s="1"/>
  <c r="H9" i="20" s="1"/>
  <c r="I9" i="20" s="1"/>
  <c r="J9" i="20" s="1"/>
  <c r="K9" i="20" s="1"/>
  <c r="L9" i="20" s="1"/>
  <c r="M9" i="20" s="1"/>
  <c r="F6" i="23"/>
  <c r="E20" i="23"/>
  <c r="E16" i="23"/>
  <c r="D8" i="16"/>
  <c r="E8" i="16" s="1"/>
  <c r="F8" i="16" s="1"/>
  <c r="G8" i="16" s="1"/>
  <c r="H8" i="16" s="1"/>
  <c r="I8" i="16" s="1"/>
  <c r="J8" i="16" s="1"/>
  <c r="K8" i="16" s="1"/>
  <c r="L8" i="16" s="1"/>
  <c r="M8" i="16" s="1"/>
  <c r="H126" i="12"/>
  <c r="D7" i="34"/>
  <c r="E7" i="34" s="1"/>
  <c r="F7" i="34" s="1"/>
  <c r="G7" i="34" s="1"/>
  <c r="H7" i="34" s="1"/>
  <c r="I7" i="34" s="1"/>
  <c r="J7" i="34" s="1"/>
  <c r="K7" i="34" s="1"/>
  <c r="L7" i="34" s="1"/>
  <c r="M7" i="34" s="1"/>
  <c r="L213" i="1"/>
  <c r="M254" i="1"/>
  <c r="S252" i="1"/>
  <c r="K252" i="1"/>
  <c r="K253" i="1" s="1"/>
  <c r="F87" i="53"/>
  <c r="N34" i="1"/>
  <c r="N7" i="1" s="1"/>
  <c r="I17" i="13"/>
  <c r="I22" i="1"/>
  <c r="H14" i="13" s="1"/>
  <c r="P34" i="1"/>
  <c r="P7" i="1" s="1"/>
  <c r="L6" i="38"/>
  <c r="I17" i="5"/>
  <c r="I87" i="53"/>
  <c r="L20" i="38"/>
  <c r="I17" i="17"/>
  <c r="F48" i="38"/>
  <c r="C17" i="19"/>
  <c r="C18" i="19" s="1"/>
  <c r="H62" i="38"/>
  <c r="I62" i="38" s="1"/>
  <c r="E17" i="20"/>
  <c r="G17" i="21"/>
  <c r="O95" i="1"/>
  <c r="O34" i="1" s="1"/>
  <c r="O7" i="1" s="1"/>
  <c r="M104" i="38"/>
  <c r="J17" i="23"/>
  <c r="L109" i="1"/>
  <c r="L132" i="1"/>
  <c r="U155" i="1"/>
  <c r="N238" i="1"/>
  <c r="F26" i="52" s="1"/>
  <c r="P252" i="1"/>
  <c r="L254" i="1"/>
  <c r="U271" i="1"/>
  <c r="P310" i="1"/>
  <c r="H41" i="52" s="1"/>
  <c r="P321" i="1"/>
  <c r="H42" i="52" s="1"/>
  <c r="L295" i="1"/>
  <c r="K324" i="1"/>
  <c r="K326" i="1" s="1"/>
  <c r="M453" i="1"/>
  <c r="M459" i="1" s="1"/>
  <c r="M455" i="1"/>
  <c r="L455" i="1"/>
  <c r="Q453" i="1"/>
  <c r="Q459" i="1" s="1"/>
  <c r="M456" i="1"/>
  <c r="P453" i="1"/>
  <c r="P459" i="1" s="1"/>
  <c r="O453" i="1"/>
  <c r="O459" i="1" s="1"/>
  <c r="N453" i="1"/>
  <c r="N459" i="1" s="1"/>
  <c r="O468" i="1"/>
  <c r="O474" i="1" s="1"/>
  <c r="M494" i="1"/>
  <c r="N494" i="1" s="1"/>
  <c r="T497" i="1"/>
  <c r="I71" i="52"/>
  <c r="Q516" i="1"/>
  <c r="I73" i="52" s="1"/>
  <c r="N73" i="52" s="1"/>
  <c r="Q515" i="1"/>
  <c r="E515" i="1" s="1"/>
  <c r="Q577" i="1"/>
  <c r="L593" i="1"/>
  <c r="L594" i="1" s="1"/>
  <c r="L596" i="1" s="1"/>
  <c r="L599" i="1" s="1"/>
  <c r="L607" i="1"/>
  <c r="E603" i="1"/>
  <c r="L696" i="1"/>
  <c r="K712" i="1"/>
  <c r="J21" i="20"/>
  <c r="L60" i="12"/>
  <c r="N334" i="1"/>
  <c r="K332" i="13"/>
  <c r="L331" i="13" s="1"/>
  <c r="D35" i="58"/>
  <c r="M405" i="13"/>
  <c r="F66" i="58" s="1"/>
  <c r="F65" i="58"/>
  <c r="M93" i="13"/>
  <c r="N93" i="13" s="1"/>
  <c r="O93" i="13" s="1"/>
  <c r="P93" i="13" s="1"/>
  <c r="Q93" i="13" s="1"/>
  <c r="R93" i="13" s="1"/>
  <c r="S93" i="13" s="1"/>
  <c r="T93" i="13" s="1"/>
  <c r="M96" i="13"/>
  <c r="N96" i="13" s="1"/>
  <c r="O96" i="13" s="1"/>
  <c r="P96" i="13" s="1"/>
  <c r="Q96" i="13" s="1"/>
  <c r="R96" i="13" s="1"/>
  <c r="S96" i="13" s="1"/>
  <c r="T96" i="13" s="1"/>
  <c r="K394" i="13"/>
  <c r="L394" i="13" s="1"/>
  <c r="M394" i="13" s="1"/>
  <c r="K409" i="13"/>
  <c r="L409" i="13" s="1"/>
  <c r="M409" i="13" s="1"/>
  <c r="C31" i="34"/>
  <c r="C29" i="34"/>
  <c r="C30" i="34" s="1"/>
  <c r="F6" i="5"/>
  <c r="E20" i="5"/>
  <c r="E16" i="5"/>
  <c r="E20" i="18"/>
  <c r="E16" i="18"/>
  <c r="F6" i="18"/>
  <c r="D9" i="19"/>
  <c r="E9" i="19" s="1"/>
  <c r="F9" i="19" s="1"/>
  <c r="G9" i="19" s="1"/>
  <c r="H9" i="19" s="1"/>
  <c r="I9" i="19" s="1"/>
  <c r="J9" i="19" s="1"/>
  <c r="K9" i="19" s="1"/>
  <c r="L9" i="19" s="1"/>
  <c r="M9" i="19" s="1"/>
  <c r="D9" i="23"/>
  <c r="E9" i="23" s="1"/>
  <c r="F9" i="23" s="1"/>
  <c r="G9" i="23" s="1"/>
  <c r="H9" i="23" s="1"/>
  <c r="I9" i="23" s="1"/>
  <c r="J9" i="23" s="1"/>
  <c r="K9" i="23" s="1"/>
  <c r="L9" i="23" s="1"/>
  <c r="M9" i="23" s="1"/>
  <c r="D9" i="16"/>
  <c r="E9" i="16" s="1"/>
  <c r="F9" i="16" s="1"/>
  <c r="G9" i="16" s="1"/>
  <c r="H9" i="16" s="1"/>
  <c r="I9" i="16" s="1"/>
  <c r="J9" i="16" s="1"/>
  <c r="K9" i="16" s="1"/>
  <c r="L9" i="16" s="1"/>
  <c r="M9" i="16" s="1"/>
  <c r="D7" i="33"/>
  <c r="E7" i="33" s="1"/>
  <c r="F7" i="33" s="1"/>
  <c r="G7" i="33" s="1"/>
  <c r="O332" i="1"/>
  <c r="G43" i="52" s="1"/>
  <c r="K334" i="1"/>
  <c r="K335" i="1" s="1"/>
  <c r="M336" i="1"/>
  <c r="D397" i="1"/>
  <c r="M402" i="1"/>
  <c r="E56" i="52" s="1"/>
  <c r="S436" i="1"/>
  <c r="K60" i="52" s="1"/>
  <c r="R487" i="1"/>
  <c r="P496" i="1"/>
  <c r="P497" i="1" s="1"/>
  <c r="R516" i="1"/>
  <c r="J73" i="52" s="1"/>
  <c r="K558" i="1"/>
  <c r="L591" i="1"/>
  <c r="L606" i="1"/>
  <c r="P679" i="1"/>
  <c r="N706" i="1"/>
  <c r="L747" i="1"/>
  <c r="L748" i="1" s="1"/>
  <c r="R756" i="1"/>
  <c r="J113" i="52" s="1"/>
  <c r="L784" i="1"/>
  <c r="O833" i="1"/>
  <c r="K835" i="1"/>
  <c r="J71" i="52"/>
  <c r="D111" i="52"/>
  <c r="L111" i="52"/>
  <c r="N122" i="52"/>
  <c r="J161" i="13"/>
  <c r="N197" i="13"/>
  <c r="L198" i="13"/>
  <c r="D203" i="13"/>
  <c r="J207" i="13"/>
  <c r="L232" i="13"/>
  <c r="M237" i="13"/>
  <c r="N313" i="13"/>
  <c r="M349" i="13"/>
  <c r="L368" i="13"/>
  <c r="L161" i="38"/>
  <c r="I18" i="27"/>
  <c r="C35" i="58"/>
  <c r="K51" i="58"/>
  <c r="B25" i="10"/>
  <c r="B30" i="11" s="1"/>
  <c r="B154" i="11" s="1"/>
  <c r="B278" i="11" s="1"/>
  <c r="B402" i="11" s="1"/>
  <c r="B526" i="11" s="1"/>
  <c r="B650" i="11" s="1"/>
  <c r="B23" i="10"/>
  <c r="B28" i="11" s="1"/>
  <c r="B152" i="11" s="1"/>
  <c r="B276" i="11" s="1"/>
  <c r="B400" i="11" s="1"/>
  <c r="B524" i="11" s="1"/>
  <c r="B648" i="11" s="1"/>
  <c r="B21" i="10"/>
  <c r="B26" i="11" s="1"/>
  <c r="B150" i="11" s="1"/>
  <c r="B274" i="11" s="1"/>
  <c r="B398" i="11" s="1"/>
  <c r="B522" i="11" s="1"/>
  <c r="B646" i="11" s="1"/>
  <c r="B19" i="10"/>
  <c r="B24" i="11" s="1"/>
  <c r="B148" i="11" s="1"/>
  <c r="B272" i="11" s="1"/>
  <c r="B396" i="11" s="1"/>
  <c r="B520" i="11" s="1"/>
  <c r="B644" i="11" s="1"/>
  <c r="B17" i="10"/>
  <c r="B22" i="11" s="1"/>
  <c r="B146" i="11" s="1"/>
  <c r="B270" i="11" s="1"/>
  <c r="B394" i="11" s="1"/>
  <c r="B518" i="11" s="1"/>
  <c r="B642" i="11" s="1"/>
  <c r="B15" i="10"/>
  <c r="B20" i="11" s="1"/>
  <c r="B144" i="11" s="1"/>
  <c r="B268" i="11" s="1"/>
  <c r="B392" i="11" s="1"/>
  <c r="B516" i="11" s="1"/>
  <c r="B640" i="11" s="1"/>
  <c r="B24" i="10"/>
  <c r="B29" i="11" s="1"/>
  <c r="B153" i="11" s="1"/>
  <c r="B277" i="11" s="1"/>
  <c r="B401" i="11" s="1"/>
  <c r="B525" i="11" s="1"/>
  <c r="B649" i="11" s="1"/>
  <c r="B22" i="10"/>
  <c r="B27" i="11" s="1"/>
  <c r="B151" i="11" s="1"/>
  <c r="B275" i="11" s="1"/>
  <c r="B399" i="11" s="1"/>
  <c r="B523" i="11" s="1"/>
  <c r="B647" i="11" s="1"/>
  <c r="B20" i="10"/>
  <c r="B25" i="11" s="1"/>
  <c r="B149" i="11" s="1"/>
  <c r="B273" i="11" s="1"/>
  <c r="B397" i="11" s="1"/>
  <c r="B521" i="11" s="1"/>
  <c r="B645" i="11" s="1"/>
  <c r="B18" i="10"/>
  <c r="B23" i="11" s="1"/>
  <c r="B147" i="11" s="1"/>
  <c r="B271" i="11" s="1"/>
  <c r="B395" i="11" s="1"/>
  <c r="B519" i="11" s="1"/>
  <c r="B643" i="11" s="1"/>
  <c r="B16" i="10"/>
  <c r="B21" i="11" s="1"/>
  <c r="B145" i="11" s="1"/>
  <c r="B269" i="11" s="1"/>
  <c r="B393" i="11" s="1"/>
  <c r="B517" i="11" s="1"/>
  <c r="B641" i="11" s="1"/>
  <c r="F24" i="10"/>
  <c r="F29" i="11" s="1"/>
  <c r="F22" i="10"/>
  <c r="F27" i="11" s="1"/>
  <c r="F20" i="10"/>
  <c r="F25" i="11" s="1"/>
  <c r="F18" i="10"/>
  <c r="F23" i="11" s="1"/>
  <c r="F16" i="10"/>
  <c r="F21" i="11" s="1"/>
  <c r="D70" i="10"/>
  <c r="D75" i="11" s="1"/>
  <c r="D81" i="10"/>
  <c r="D86" i="11" s="1"/>
  <c r="D59" i="10"/>
  <c r="D64" i="11" s="1"/>
  <c r="D48" i="10"/>
  <c r="D53" i="11" s="1"/>
  <c r="D26" i="10"/>
  <c r="D31" i="11" s="1"/>
  <c r="D4" i="10"/>
  <c r="D9" i="11" s="1"/>
  <c r="D84" i="10"/>
  <c r="D89" i="11" s="1"/>
  <c r="D62" i="10"/>
  <c r="D67" i="11" s="1"/>
  <c r="D73" i="10"/>
  <c r="D78" i="11" s="1"/>
  <c r="D51" i="10"/>
  <c r="D56" i="11" s="1"/>
  <c r="D40" i="10"/>
  <c r="D45" i="11" s="1"/>
  <c r="D18" i="10"/>
  <c r="D23" i="11" s="1"/>
  <c r="D88" i="10"/>
  <c r="D93" i="11" s="1"/>
  <c r="D66" i="10"/>
  <c r="D71" i="11" s="1"/>
  <c r="D55" i="10"/>
  <c r="D60" i="11" s="1"/>
  <c r="D77" i="10"/>
  <c r="D82" i="11" s="1"/>
  <c r="D44" i="10"/>
  <c r="D49" i="11" s="1"/>
  <c r="D22" i="10"/>
  <c r="D27" i="11" s="1"/>
  <c r="I80" i="12"/>
  <c r="I93" i="12" s="1"/>
  <c r="O87" i="12"/>
  <c r="L203" i="12" s="1"/>
  <c r="G99" i="12"/>
  <c r="H100" i="12"/>
  <c r="D23" i="20" s="1"/>
  <c r="S103" i="12"/>
  <c r="I107" i="12"/>
  <c r="S109" i="12"/>
  <c r="F112" i="12"/>
  <c r="F167" i="12" s="1"/>
  <c r="S117" i="12"/>
  <c r="F120" i="12"/>
  <c r="F175" i="12" s="1"/>
  <c r="S125" i="12"/>
  <c r="F137" i="12"/>
  <c r="F139" i="12"/>
  <c r="F141" i="12"/>
  <c r="F143" i="12"/>
  <c r="I162" i="12"/>
  <c r="S172" i="12"/>
  <c r="S180" i="12"/>
  <c r="G196" i="12"/>
  <c r="G212" i="12"/>
  <c r="C13" i="5"/>
  <c r="C13" i="21"/>
  <c r="C13" i="22"/>
  <c r="C13" i="23"/>
  <c r="C20" i="16"/>
  <c r="I18" i="25"/>
  <c r="I19" i="25" s="1"/>
  <c r="N118" i="12" s="1"/>
  <c r="J18" i="26"/>
  <c r="K18" i="29"/>
  <c r="C14" i="30"/>
  <c r="K18" i="31"/>
  <c r="C24" i="31"/>
  <c r="C24" i="33"/>
  <c r="D10" i="36"/>
  <c r="E10" i="36" s="1"/>
  <c r="F10" i="36" s="1"/>
  <c r="G10" i="36" s="1"/>
  <c r="H10" i="36" s="1"/>
  <c r="I10" i="36" s="1"/>
  <c r="J10" i="36" s="1"/>
  <c r="K10" i="36" s="1"/>
  <c r="L10" i="36" s="1"/>
  <c r="M10" i="36" s="1"/>
  <c r="F5" i="10"/>
  <c r="F10" i="11" s="1"/>
  <c r="F13" i="10"/>
  <c r="F18" i="11" s="1"/>
  <c r="F21" i="10"/>
  <c r="F26" i="11" s="1"/>
  <c r="F37" i="10"/>
  <c r="F42" i="11" s="1"/>
  <c r="C257" i="11"/>
  <c r="C265" i="11"/>
  <c r="F149" i="11"/>
  <c r="C273" i="11"/>
  <c r="C281" i="11"/>
  <c r="C289" i="11"/>
  <c r="C297" i="11"/>
  <c r="F181" i="11"/>
  <c r="C305" i="11"/>
  <c r="F186" i="11"/>
  <c r="C310" i="11"/>
  <c r="C312" i="11"/>
  <c r="C320" i="11"/>
  <c r="F204" i="11"/>
  <c r="C328" i="11"/>
  <c r="C336" i="11"/>
  <c r="C344" i="11"/>
  <c r="F223" i="11"/>
  <c r="C347" i="11"/>
  <c r="F227" i="11"/>
  <c r="G351" i="11" s="1"/>
  <c r="G475" i="11" s="1"/>
  <c r="C351" i="11"/>
  <c r="F231" i="11"/>
  <c r="C355" i="11"/>
  <c r="F235" i="11"/>
  <c r="C359" i="11"/>
  <c r="F239" i="11"/>
  <c r="C363" i="11"/>
  <c r="F248" i="11"/>
  <c r="C372" i="11"/>
  <c r="L334" i="1"/>
  <c r="L335" i="1" s="1"/>
  <c r="L337" i="1" s="1"/>
  <c r="N402" i="1"/>
  <c r="N400" i="1" s="1"/>
  <c r="K418" i="1"/>
  <c r="T436" i="1"/>
  <c r="L60" i="52" s="1"/>
  <c r="K495" i="1"/>
  <c r="S496" i="1"/>
  <c r="T496" i="1" s="1"/>
  <c r="U496" i="1" s="1"/>
  <c r="U497" i="1" s="1"/>
  <c r="K506" i="1"/>
  <c r="S516" i="1"/>
  <c r="K73" i="52" s="1"/>
  <c r="L529" i="1"/>
  <c r="L531" i="1" s="1"/>
  <c r="M547" i="1"/>
  <c r="L558" i="1"/>
  <c r="L559" i="1" s="1"/>
  <c r="L562" i="1" s="1"/>
  <c r="M606" i="1"/>
  <c r="M608" i="1" s="1"/>
  <c r="M612" i="1" s="1"/>
  <c r="Q679" i="1"/>
  <c r="D689" i="1"/>
  <c r="L698" i="1"/>
  <c r="O706" i="1"/>
  <c r="L709" i="1"/>
  <c r="P743" i="1"/>
  <c r="M747" i="1"/>
  <c r="S756" i="1"/>
  <c r="K113" i="52" s="1"/>
  <c r="M784" i="1"/>
  <c r="M785" i="1" s="1"/>
  <c r="M788" i="1" s="1"/>
  <c r="P833" i="1"/>
  <c r="L835" i="1"/>
  <c r="L859" i="1" s="1"/>
  <c r="I19" i="12" s="1"/>
  <c r="D21" i="23" s="1"/>
  <c r="G131" i="52"/>
  <c r="N131" i="52" s="1"/>
  <c r="M198" i="13"/>
  <c r="M232" i="13"/>
  <c r="L235" i="13"/>
  <c r="N349" i="13"/>
  <c r="M388" i="13"/>
  <c r="M389" i="13" s="1"/>
  <c r="N404" i="13"/>
  <c r="O189" i="38"/>
  <c r="L18" i="29"/>
  <c r="D51" i="58"/>
  <c r="L51" i="58"/>
  <c r="J629" i="11"/>
  <c r="O57" i="12"/>
  <c r="B35" i="10"/>
  <c r="B40" i="11" s="1"/>
  <c r="B164" i="11" s="1"/>
  <c r="B288" i="11" s="1"/>
  <c r="B412" i="11" s="1"/>
  <c r="B536" i="11" s="1"/>
  <c r="B660" i="11" s="1"/>
  <c r="B33" i="10"/>
  <c r="B38" i="11" s="1"/>
  <c r="B162" i="11" s="1"/>
  <c r="B286" i="11" s="1"/>
  <c r="B410" i="11" s="1"/>
  <c r="B534" i="11" s="1"/>
  <c r="B658" i="11" s="1"/>
  <c r="B31" i="10"/>
  <c r="B36" i="11" s="1"/>
  <c r="B160" i="11" s="1"/>
  <c r="B284" i="11" s="1"/>
  <c r="B408" i="11" s="1"/>
  <c r="B532" i="11" s="1"/>
  <c r="B656" i="11" s="1"/>
  <c r="B29" i="10"/>
  <c r="B34" i="11" s="1"/>
  <c r="B158" i="11" s="1"/>
  <c r="B282" i="11" s="1"/>
  <c r="B406" i="11" s="1"/>
  <c r="B530" i="11" s="1"/>
  <c r="B654" i="11" s="1"/>
  <c r="B27" i="10"/>
  <c r="B32" i="11" s="1"/>
  <c r="B156" i="11" s="1"/>
  <c r="B280" i="11" s="1"/>
  <c r="B404" i="11" s="1"/>
  <c r="B528" i="11" s="1"/>
  <c r="B652" i="11" s="1"/>
  <c r="B36" i="10"/>
  <c r="B41" i="11" s="1"/>
  <c r="B165" i="11" s="1"/>
  <c r="B289" i="11" s="1"/>
  <c r="B413" i="11" s="1"/>
  <c r="B537" i="11" s="1"/>
  <c r="B661" i="11" s="1"/>
  <c r="B34" i="10"/>
  <c r="B39" i="11" s="1"/>
  <c r="B163" i="11" s="1"/>
  <c r="B287" i="11" s="1"/>
  <c r="B411" i="11" s="1"/>
  <c r="B535" i="11" s="1"/>
  <c r="B659" i="11" s="1"/>
  <c r="B32" i="10"/>
  <c r="B37" i="11" s="1"/>
  <c r="B161" i="11" s="1"/>
  <c r="B285" i="11" s="1"/>
  <c r="B409" i="11" s="1"/>
  <c r="B533" i="11" s="1"/>
  <c r="B657" i="11" s="1"/>
  <c r="B30" i="10"/>
  <c r="B35" i="11" s="1"/>
  <c r="B159" i="11" s="1"/>
  <c r="B283" i="11" s="1"/>
  <c r="B407" i="11" s="1"/>
  <c r="B531" i="11" s="1"/>
  <c r="B655" i="11" s="1"/>
  <c r="B28" i="10"/>
  <c r="B33" i="11" s="1"/>
  <c r="B157" i="11" s="1"/>
  <c r="B281" i="11" s="1"/>
  <c r="B405" i="11" s="1"/>
  <c r="B529" i="11" s="1"/>
  <c r="B653" i="11" s="1"/>
  <c r="B26" i="10"/>
  <c r="B31" i="11" s="1"/>
  <c r="B155" i="11" s="1"/>
  <c r="B279" i="11" s="1"/>
  <c r="B403" i="11" s="1"/>
  <c r="B527" i="11" s="1"/>
  <c r="B651" i="11" s="1"/>
  <c r="F36" i="10"/>
  <c r="F41" i="11" s="1"/>
  <c r="F34" i="10"/>
  <c r="F39" i="11" s="1"/>
  <c r="F32" i="10"/>
  <c r="F37" i="11" s="1"/>
  <c r="F30" i="10"/>
  <c r="F35" i="11" s="1"/>
  <c r="F28" i="10"/>
  <c r="F33" i="11" s="1"/>
  <c r="F26" i="10"/>
  <c r="F31" i="11" s="1"/>
  <c r="J80" i="12"/>
  <c r="J93" i="12" s="1"/>
  <c r="G98" i="12"/>
  <c r="I100" i="12"/>
  <c r="E23" i="20" s="1"/>
  <c r="S102" i="12"/>
  <c r="J107" i="12"/>
  <c r="F111" i="12"/>
  <c r="F166" i="12" s="1"/>
  <c r="S116" i="12"/>
  <c r="F119" i="12"/>
  <c r="F174" i="12" s="1"/>
  <c r="S124" i="12"/>
  <c r="F127" i="12"/>
  <c r="F182" i="12" s="1"/>
  <c r="F136" i="12"/>
  <c r="I23" i="37"/>
  <c r="I20" i="35"/>
  <c r="J162" i="12"/>
  <c r="S171" i="12"/>
  <c r="S179" i="12"/>
  <c r="C13" i="17"/>
  <c r="C13" i="20"/>
  <c r="J18" i="25"/>
  <c r="J19" i="25" s="1"/>
  <c r="O118" i="12" s="1"/>
  <c r="L18" i="26"/>
  <c r="M18" i="29"/>
  <c r="I18" i="30"/>
  <c r="I24" i="30" s="1"/>
  <c r="L18" i="31"/>
  <c r="D9" i="32"/>
  <c r="E9" i="32" s="1"/>
  <c r="F9" i="32" s="1"/>
  <c r="G9" i="32" s="1"/>
  <c r="H9" i="32" s="1"/>
  <c r="I9" i="32" s="1"/>
  <c r="J9" i="32" s="1"/>
  <c r="K9" i="32" s="1"/>
  <c r="L9" i="32" s="1"/>
  <c r="M9" i="32" s="1"/>
  <c r="C14" i="32"/>
  <c r="I18" i="32"/>
  <c r="I19" i="32" s="1"/>
  <c r="N125" i="12" s="1"/>
  <c r="D9" i="35"/>
  <c r="D7" i="10"/>
  <c r="D12" i="11" s="1"/>
  <c r="D15" i="10"/>
  <c r="D20" i="11" s="1"/>
  <c r="D31" i="10"/>
  <c r="D36" i="11" s="1"/>
  <c r="D39" i="10"/>
  <c r="D44" i="11" s="1"/>
  <c r="D47" i="10"/>
  <c r="D52" i="11" s="1"/>
  <c r="B66" i="10"/>
  <c r="B71" i="11" s="1"/>
  <c r="B195" i="11" s="1"/>
  <c r="B319" i="11" s="1"/>
  <c r="B443" i="11" s="1"/>
  <c r="B567" i="11" s="1"/>
  <c r="B691" i="11" s="1"/>
  <c r="B74" i="10"/>
  <c r="B79" i="11" s="1"/>
  <c r="B203" i="11" s="1"/>
  <c r="B327" i="11" s="1"/>
  <c r="B451" i="11" s="1"/>
  <c r="B575" i="11" s="1"/>
  <c r="B699" i="11" s="1"/>
  <c r="B82" i="10"/>
  <c r="B87" i="11" s="1"/>
  <c r="B211" i="11" s="1"/>
  <c r="B335" i="11" s="1"/>
  <c r="B459" i="11" s="1"/>
  <c r="B583" i="11" s="1"/>
  <c r="B707" i="11" s="1"/>
  <c r="B90" i="10"/>
  <c r="B95" i="11" s="1"/>
  <c r="B219" i="11" s="1"/>
  <c r="B343" i="11" s="1"/>
  <c r="B467" i="11" s="1"/>
  <c r="B591" i="11" s="1"/>
  <c r="B715" i="11" s="1"/>
  <c r="C262" i="11"/>
  <c r="F146" i="11"/>
  <c r="C270" i="11"/>
  <c r="C278" i="11"/>
  <c r="C286" i="11"/>
  <c r="C294" i="11"/>
  <c r="F178" i="11"/>
  <c r="C302" i="11"/>
  <c r="C315" i="11"/>
  <c r="C323" i="11"/>
  <c r="C331" i="11"/>
  <c r="F215" i="11"/>
  <c r="C339" i="11"/>
  <c r="N99" i="11"/>
  <c r="H347" i="11"/>
  <c r="H471" i="11" s="1"/>
  <c r="M99" i="11"/>
  <c r="G347" i="11"/>
  <c r="G471" i="11" s="1"/>
  <c r="D223" i="11"/>
  <c r="D347" i="11" s="1"/>
  <c r="D471" i="11" s="1"/>
  <c r="D595" i="11" s="1"/>
  <c r="D719" i="11" s="1"/>
  <c r="K99" i="11"/>
  <c r="J99" i="11"/>
  <c r="Q99" i="11"/>
  <c r="I99" i="11"/>
  <c r="P99" i="11"/>
  <c r="H99" i="11"/>
  <c r="G223" i="11"/>
  <c r="H223" i="11" s="1"/>
  <c r="O99" i="11"/>
  <c r="G99" i="11"/>
  <c r="N103" i="11"/>
  <c r="H351" i="11"/>
  <c r="H475" i="11" s="1"/>
  <c r="M103" i="11"/>
  <c r="D227" i="11"/>
  <c r="D351" i="11" s="1"/>
  <c r="D475" i="11" s="1"/>
  <c r="D599" i="11" s="1"/>
  <c r="D723" i="11" s="1"/>
  <c r="K103" i="11"/>
  <c r="J103" i="11"/>
  <c r="Q103" i="11"/>
  <c r="I103" i="11"/>
  <c r="P103" i="11"/>
  <c r="H103" i="11"/>
  <c r="G227" i="11"/>
  <c r="H227" i="11" s="1"/>
  <c r="O103" i="11"/>
  <c r="G103" i="11"/>
  <c r="N107" i="11"/>
  <c r="H355" i="11"/>
  <c r="M107" i="11"/>
  <c r="G355" i="11"/>
  <c r="G479" i="11" s="1"/>
  <c r="D231" i="11"/>
  <c r="D355" i="11" s="1"/>
  <c r="D479" i="11" s="1"/>
  <c r="D603" i="11" s="1"/>
  <c r="D727" i="11" s="1"/>
  <c r="K107" i="11"/>
  <c r="J107" i="11"/>
  <c r="Q107" i="11"/>
  <c r="I107" i="11"/>
  <c r="P107" i="11"/>
  <c r="H107" i="11"/>
  <c r="H231" i="11" s="1"/>
  <c r="G231" i="11"/>
  <c r="O107" i="11"/>
  <c r="G107" i="11"/>
  <c r="N111" i="11"/>
  <c r="M111" i="11"/>
  <c r="G359" i="11"/>
  <c r="D235" i="11"/>
  <c r="D359" i="11" s="1"/>
  <c r="D483" i="11" s="1"/>
  <c r="D607" i="11" s="1"/>
  <c r="D731" i="11" s="1"/>
  <c r="K111" i="11"/>
  <c r="J111" i="11"/>
  <c r="Q111" i="11"/>
  <c r="I111" i="11"/>
  <c r="P111" i="11"/>
  <c r="H111" i="11"/>
  <c r="G235" i="11"/>
  <c r="H235" i="11" s="1"/>
  <c r="O111" i="11"/>
  <c r="G111" i="11"/>
  <c r="N115" i="11"/>
  <c r="H363" i="11"/>
  <c r="M115" i="11"/>
  <c r="G363" i="11"/>
  <c r="G487" i="11" s="1"/>
  <c r="D239" i="11"/>
  <c r="D363" i="11" s="1"/>
  <c r="D487" i="11" s="1"/>
  <c r="D611" i="11" s="1"/>
  <c r="D735" i="11" s="1"/>
  <c r="K115" i="11"/>
  <c r="J115" i="11"/>
  <c r="Q115" i="11"/>
  <c r="I115" i="11"/>
  <c r="H239" i="11"/>
  <c r="I239" i="11" s="1"/>
  <c r="P115" i="11"/>
  <c r="H115" i="11"/>
  <c r="G239" i="11"/>
  <c r="O115" i="11"/>
  <c r="G115" i="11"/>
  <c r="F245" i="11"/>
  <c r="G369" i="11" s="1"/>
  <c r="G493" i="11" s="1"/>
  <c r="C369" i="11"/>
  <c r="L418" i="1"/>
  <c r="L506" i="1"/>
  <c r="M558" i="1"/>
  <c r="R679" i="1"/>
  <c r="K716" i="1"/>
  <c r="L716" i="1" s="1"/>
  <c r="M716" i="1" s="1"/>
  <c r="N716" i="1" s="1"/>
  <c r="O716" i="1" s="1"/>
  <c r="P716" i="1" s="1"/>
  <c r="Q716" i="1" s="1"/>
  <c r="R716" i="1" s="1"/>
  <c r="S716" i="1" s="1"/>
  <c r="T716" i="1" s="1"/>
  <c r="U716" i="1" s="1"/>
  <c r="N747" i="1"/>
  <c r="L782" i="1"/>
  <c r="L783" i="1" s="1"/>
  <c r="D71" i="52"/>
  <c r="L71" i="52"/>
  <c r="F111" i="52"/>
  <c r="H68" i="13"/>
  <c r="K77" i="13"/>
  <c r="P197" i="13"/>
  <c r="N198" i="13"/>
  <c r="F202" i="13"/>
  <c r="N280" i="13"/>
  <c r="K297" i="13"/>
  <c r="C331" i="13"/>
  <c r="N368" i="13"/>
  <c r="N161" i="38"/>
  <c r="K18" i="27"/>
  <c r="M203" i="38"/>
  <c r="J18" i="30"/>
  <c r="J24" i="30" s="1"/>
  <c r="M51" i="58"/>
  <c r="H35" i="12"/>
  <c r="B47" i="10"/>
  <c r="B52" i="11" s="1"/>
  <c r="B176" i="11" s="1"/>
  <c r="B300" i="11" s="1"/>
  <c r="B424" i="11" s="1"/>
  <c r="B548" i="11" s="1"/>
  <c r="B672" i="11" s="1"/>
  <c r="B45" i="10"/>
  <c r="B50" i="11" s="1"/>
  <c r="B174" i="11" s="1"/>
  <c r="B298" i="11" s="1"/>
  <c r="B422" i="11" s="1"/>
  <c r="B546" i="11" s="1"/>
  <c r="B670" i="11" s="1"/>
  <c r="B43" i="10"/>
  <c r="B48" i="11" s="1"/>
  <c r="B172" i="11" s="1"/>
  <c r="B296" i="11" s="1"/>
  <c r="B420" i="11" s="1"/>
  <c r="B544" i="11" s="1"/>
  <c r="B668" i="11" s="1"/>
  <c r="B41" i="10"/>
  <c r="B46" i="11" s="1"/>
  <c r="B170" i="11" s="1"/>
  <c r="B294" i="11" s="1"/>
  <c r="B418" i="11" s="1"/>
  <c r="B542" i="11" s="1"/>
  <c r="B666" i="11" s="1"/>
  <c r="B39" i="10"/>
  <c r="B44" i="11" s="1"/>
  <c r="B168" i="11" s="1"/>
  <c r="B292" i="11" s="1"/>
  <c r="B416" i="11" s="1"/>
  <c r="B540" i="11" s="1"/>
  <c r="B664" i="11" s="1"/>
  <c r="B37" i="10"/>
  <c r="B42" i="11" s="1"/>
  <c r="B166" i="11" s="1"/>
  <c r="B290" i="11" s="1"/>
  <c r="B414" i="11" s="1"/>
  <c r="B538" i="11" s="1"/>
  <c r="B662" i="11" s="1"/>
  <c r="B46" i="10"/>
  <c r="B51" i="11" s="1"/>
  <c r="B175" i="11" s="1"/>
  <c r="B299" i="11" s="1"/>
  <c r="B423" i="11" s="1"/>
  <c r="B547" i="11" s="1"/>
  <c r="B671" i="11" s="1"/>
  <c r="B44" i="10"/>
  <c r="B49" i="11" s="1"/>
  <c r="B173" i="11" s="1"/>
  <c r="B297" i="11" s="1"/>
  <c r="B421" i="11" s="1"/>
  <c r="B545" i="11" s="1"/>
  <c r="B669" i="11" s="1"/>
  <c r="B42" i="10"/>
  <c r="B47" i="11" s="1"/>
  <c r="B171" i="11" s="1"/>
  <c r="B295" i="11" s="1"/>
  <c r="B419" i="11" s="1"/>
  <c r="B543" i="11" s="1"/>
  <c r="B667" i="11" s="1"/>
  <c r="B40" i="10"/>
  <c r="B45" i="11" s="1"/>
  <c r="B169" i="11" s="1"/>
  <c r="B293" i="11" s="1"/>
  <c r="B417" i="11" s="1"/>
  <c r="B541" i="11" s="1"/>
  <c r="B665" i="11" s="1"/>
  <c r="B38" i="10"/>
  <c r="B43" i="11" s="1"/>
  <c r="B167" i="11" s="1"/>
  <c r="B291" i="11" s="1"/>
  <c r="B415" i="11" s="1"/>
  <c r="B539" i="11" s="1"/>
  <c r="B663" i="11" s="1"/>
  <c r="F46" i="10"/>
  <c r="F51" i="11" s="1"/>
  <c r="F44" i="10"/>
  <c r="F49" i="11" s="1"/>
  <c r="F42" i="10"/>
  <c r="F47" i="11" s="1"/>
  <c r="F40" i="10"/>
  <c r="F45" i="11" s="1"/>
  <c r="F38" i="10"/>
  <c r="F43" i="11" s="1"/>
  <c r="G68" i="12"/>
  <c r="D74" i="10"/>
  <c r="D79" i="11" s="1"/>
  <c r="D85" i="10"/>
  <c r="D90" i="11" s="1"/>
  <c r="D63" i="10"/>
  <c r="D68" i="11" s="1"/>
  <c r="D30" i="10"/>
  <c r="D35" i="11" s="1"/>
  <c r="D8" i="10"/>
  <c r="D13" i="11" s="1"/>
  <c r="D78" i="10"/>
  <c r="D83" i="11" s="1"/>
  <c r="D89" i="10"/>
  <c r="D94" i="11" s="1"/>
  <c r="D67" i="10"/>
  <c r="D72" i="11" s="1"/>
  <c r="D56" i="10"/>
  <c r="D61" i="11" s="1"/>
  <c r="D34" i="10"/>
  <c r="D39" i="11" s="1"/>
  <c r="D12" i="10"/>
  <c r="D17" i="11" s="1"/>
  <c r="O89" i="12"/>
  <c r="N203" i="12" s="1"/>
  <c r="G97" i="12"/>
  <c r="S101" i="12"/>
  <c r="K107" i="12"/>
  <c r="S115" i="12"/>
  <c r="F118" i="12"/>
  <c r="F173" i="12" s="1"/>
  <c r="S123" i="12"/>
  <c r="F126" i="12"/>
  <c r="F181" i="12" s="1"/>
  <c r="J23" i="37"/>
  <c r="J20" i="35"/>
  <c r="S137" i="12"/>
  <c r="S139" i="12"/>
  <c r="S141" i="12"/>
  <c r="H20" i="34"/>
  <c r="G20" i="34"/>
  <c r="F20" i="34"/>
  <c r="E20" i="34"/>
  <c r="K162" i="12"/>
  <c r="S170" i="12"/>
  <c r="S178" i="12"/>
  <c r="G197" i="12"/>
  <c r="G213" i="12"/>
  <c r="D16" i="5"/>
  <c r="C16" i="17"/>
  <c r="D16" i="21"/>
  <c r="D16" i="22"/>
  <c r="D16" i="23"/>
  <c r="E20" i="16"/>
  <c r="M20" i="16"/>
  <c r="K18" i="25"/>
  <c r="K19" i="25" s="1"/>
  <c r="P118" i="12" s="1"/>
  <c r="M18" i="26"/>
  <c r="C24" i="26"/>
  <c r="K18" i="30"/>
  <c r="K24" i="30" s="1"/>
  <c r="M18" i="31"/>
  <c r="J18" i="32"/>
  <c r="J19" i="32" s="1"/>
  <c r="O125" i="12" s="1"/>
  <c r="D7" i="35"/>
  <c r="F7" i="10"/>
  <c r="F12" i="11" s="1"/>
  <c r="F15" i="10"/>
  <c r="F20" i="11" s="1"/>
  <c r="F23" i="10"/>
  <c r="F28" i="11" s="1"/>
  <c r="F31" i="10"/>
  <c r="F36" i="11" s="1"/>
  <c r="F39" i="10"/>
  <c r="F44" i="11" s="1"/>
  <c r="F47" i="10"/>
  <c r="F52" i="11" s="1"/>
  <c r="D58" i="10"/>
  <c r="D63" i="11" s="1"/>
  <c r="H728" i="11"/>
  <c r="H672" i="11"/>
  <c r="H664" i="11"/>
  <c r="F135" i="11"/>
  <c r="C259" i="11"/>
  <c r="C267" i="11"/>
  <c r="F151" i="11"/>
  <c r="C275" i="11"/>
  <c r="F159" i="11"/>
  <c r="C283" i="11"/>
  <c r="F167" i="11"/>
  <c r="C291" i="11"/>
  <c r="F175" i="11"/>
  <c r="C299" i="11"/>
  <c r="F183" i="11"/>
  <c r="C307" i="11"/>
  <c r="F194" i="11"/>
  <c r="C318" i="11"/>
  <c r="F202" i="11"/>
  <c r="C326" i="11"/>
  <c r="C334" i="11"/>
  <c r="C342" i="11"/>
  <c r="F222" i="11"/>
  <c r="C346" i="11"/>
  <c r="F226" i="11"/>
  <c r="G350" i="11" s="1"/>
  <c r="G474" i="11" s="1"/>
  <c r="C350" i="11"/>
  <c r="F230" i="11"/>
  <c r="G354" i="11" s="1"/>
  <c r="G478" i="11" s="1"/>
  <c r="C354" i="11"/>
  <c r="F234" i="11"/>
  <c r="C358" i="11"/>
  <c r="F238" i="11"/>
  <c r="G362" i="11" s="1"/>
  <c r="G486" i="11" s="1"/>
  <c r="C362" i="11"/>
  <c r="F242" i="11"/>
  <c r="G366" i="11" s="1"/>
  <c r="G490" i="11" s="1"/>
  <c r="C366" i="11"/>
  <c r="F250" i="11"/>
  <c r="C374" i="11"/>
  <c r="K416" i="1"/>
  <c r="K417" i="1" s="1"/>
  <c r="M418" i="1"/>
  <c r="R438" i="1"/>
  <c r="R444" i="1" s="1"/>
  <c r="L440" i="1"/>
  <c r="K504" i="1"/>
  <c r="K505" i="1" s="1"/>
  <c r="M506" i="1"/>
  <c r="M507" i="1" s="1"/>
  <c r="U516" i="1"/>
  <c r="M73" i="52" s="1"/>
  <c r="L556" i="1"/>
  <c r="L557" i="1" s="1"/>
  <c r="L580" i="1"/>
  <c r="S679" i="1"/>
  <c r="M681" i="1"/>
  <c r="Q706" i="1"/>
  <c r="R743" i="1"/>
  <c r="O747" i="1"/>
  <c r="U756" i="1"/>
  <c r="M113" i="52" s="1"/>
  <c r="K760" i="1"/>
  <c r="M782" i="1"/>
  <c r="M71" i="52"/>
  <c r="O34" i="13"/>
  <c r="L45" i="13"/>
  <c r="L47" i="13"/>
  <c r="L49" i="13"/>
  <c r="L51" i="13"/>
  <c r="O74" i="13"/>
  <c r="Q197" i="13"/>
  <c r="G202" i="13"/>
  <c r="M230" i="13"/>
  <c r="J350" i="13"/>
  <c r="F14" i="58"/>
  <c r="G54" i="12"/>
  <c r="O54" i="12"/>
  <c r="B58" i="10"/>
  <c r="B63" i="11" s="1"/>
  <c r="B187" i="11" s="1"/>
  <c r="B311" i="11" s="1"/>
  <c r="B435" i="11" s="1"/>
  <c r="B559" i="11" s="1"/>
  <c r="B683" i="11" s="1"/>
  <c r="B50" i="10"/>
  <c r="B55" i="11" s="1"/>
  <c r="B179" i="11" s="1"/>
  <c r="B303" i="11" s="1"/>
  <c r="B427" i="11" s="1"/>
  <c r="B551" i="11" s="1"/>
  <c r="B675" i="11" s="1"/>
  <c r="B52" i="10"/>
  <c r="B57" i="11" s="1"/>
  <c r="B181" i="11" s="1"/>
  <c r="B305" i="11" s="1"/>
  <c r="B429" i="11" s="1"/>
  <c r="B553" i="11" s="1"/>
  <c r="B677" i="11" s="1"/>
  <c r="B57" i="10"/>
  <c r="B62" i="11" s="1"/>
  <c r="B186" i="11" s="1"/>
  <c r="B310" i="11" s="1"/>
  <c r="B434" i="11" s="1"/>
  <c r="B558" i="11" s="1"/>
  <c r="B682" i="11" s="1"/>
  <c r="B49" i="10"/>
  <c r="B54" i="11" s="1"/>
  <c r="B178" i="11" s="1"/>
  <c r="B302" i="11" s="1"/>
  <c r="B426" i="11" s="1"/>
  <c r="B550" i="11" s="1"/>
  <c r="B674" i="11" s="1"/>
  <c r="B54" i="10"/>
  <c r="B59" i="11" s="1"/>
  <c r="B183" i="11" s="1"/>
  <c r="B307" i="11" s="1"/>
  <c r="B431" i="11" s="1"/>
  <c r="B555" i="11" s="1"/>
  <c r="B679" i="11" s="1"/>
  <c r="B51" i="10"/>
  <c r="B56" i="11" s="1"/>
  <c r="B180" i="11" s="1"/>
  <c r="B304" i="11" s="1"/>
  <c r="B428" i="11" s="1"/>
  <c r="B552" i="11" s="1"/>
  <c r="B676" i="11" s="1"/>
  <c r="B56" i="10"/>
  <c r="B61" i="11" s="1"/>
  <c r="B185" i="11" s="1"/>
  <c r="B309" i="11" s="1"/>
  <c r="B433" i="11" s="1"/>
  <c r="B557" i="11" s="1"/>
  <c r="B681" i="11" s="1"/>
  <c r="B48" i="10"/>
  <c r="B53" i="11" s="1"/>
  <c r="B177" i="11" s="1"/>
  <c r="B301" i="11" s="1"/>
  <c r="B425" i="11" s="1"/>
  <c r="B549" i="11" s="1"/>
  <c r="B673" i="11" s="1"/>
  <c r="D82" i="10"/>
  <c r="D87" i="11" s="1"/>
  <c r="D60" i="10"/>
  <c r="D65" i="11" s="1"/>
  <c r="D49" i="10"/>
  <c r="D54" i="11" s="1"/>
  <c r="D71" i="10"/>
  <c r="D76" i="11" s="1"/>
  <c r="D38" i="10"/>
  <c r="D43" i="11" s="1"/>
  <c r="D16" i="10"/>
  <c r="D21" i="11" s="1"/>
  <c r="J87" i="12"/>
  <c r="L198" i="12" s="1"/>
  <c r="R87" i="12"/>
  <c r="P89" i="12"/>
  <c r="N204" i="12" s="1"/>
  <c r="G96" i="12"/>
  <c r="S100" i="12"/>
  <c r="S114" i="12"/>
  <c r="F117" i="12"/>
  <c r="F172" i="12" s="1"/>
  <c r="S122" i="12"/>
  <c r="F125" i="12"/>
  <c r="F180" i="12" s="1"/>
  <c r="K23" i="37"/>
  <c r="I143" i="12"/>
  <c r="D20" i="31" s="1"/>
  <c r="F145" i="12"/>
  <c r="N147" i="12"/>
  <c r="I24" i="36" s="1"/>
  <c r="S169" i="12"/>
  <c r="D20" i="5"/>
  <c r="C20" i="17"/>
  <c r="D20" i="21"/>
  <c r="D20" i="22"/>
  <c r="D20" i="23"/>
  <c r="M18" i="25"/>
  <c r="M19" i="25" s="1"/>
  <c r="R118" i="12" s="1"/>
  <c r="D10" i="27"/>
  <c r="E10" i="27" s="1"/>
  <c r="F10" i="27" s="1"/>
  <c r="G10" i="27" s="1"/>
  <c r="H10" i="27" s="1"/>
  <c r="I10" i="27" s="1"/>
  <c r="J10" i="27" s="1"/>
  <c r="K10" i="27" s="1"/>
  <c r="L10" i="27" s="1"/>
  <c r="M10" i="27" s="1"/>
  <c r="D8" i="28"/>
  <c r="E8" i="28" s="1"/>
  <c r="F8" i="28" s="1"/>
  <c r="G8" i="28" s="1"/>
  <c r="H8" i="28" s="1"/>
  <c r="I8" i="28" s="1"/>
  <c r="J8" i="28" s="1"/>
  <c r="K8" i="28" s="1"/>
  <c r="L8" i="28" s="1"/>
  <c r="M8" i="28" s="1"/>
  <c r="L18" i="30"/>
  <c r="L24" i="30" s="1"/>
  <c r="K18" i="32"/>
  <c r="K19" i="32" s="1"/>
  <c r="P125" i="12" s="1"/>
  <c r="C20" i="35"/>
  <c r="D17" i="10"/>
  <c r="D22" i="11" s="1"/>
  <c r="D33" i="10"/>
  <c r="D38" i="11" s="1"/>
  <c r="D41" i="10"/>
  <c r="D46" i="11" s="1"/>
  <c r="B60" i="10"/>
  <c r="B65" i="11" s="1"/>
  <c r="B189" i="11" s="1"/>
  <c r="B313" i="11" s="1"/>
  <c r="B437" i="11" s="1"/>
  <c r="B561" i="11" s="1"/>
  <c r="B685" i="11" s="1"/>
  <c r="B84" i="10"/>
  <c r="B89" i="11" s="1"/>
  <c r="B213" i="11" s="1"/>
  <c r="B337" i="11" s="1"/>
  <c r="B461" i="11" s="1"/>
  <c r="B585" i="11" s="1"/>
  <c r="B709" i="11" s="1"/>
  <c r="G619" i="11"/>
  <c r="G611" i="11"/>
  <c r="G603" i="11"/>
  <c r="H727" i="11" s="1"/>
  <c r="G595" i="11"/>
  <c r="G587" i="11"/>
  <c r="H711" i="11" s="1"/>
  <c r="G579" i="11"/>
  <c r="H703" i="11" s="1"/>
  <c r="G571" i="11"/>
  <c r="H695" i="11" s="1"/>
  <c r="G620" i="11"/>
  <c r="G612" i="11"/>
  <c r="G604" i="11"/>
  <c r="G596" i="11"/>
  <c r="G588" i="11"/>
  <c r="G580" i="11"/>
  <c r="H704" i="11" s="1"/>
  <c r="G572" i="11"/>
  <c r="H696" i="11" s="1"/>
  <c r="G564" i="11"/>
  <c r="H688" i="11" s="1"/>
  <c r="G621" i="11"/>
  <c r="H745" i="11" s="1"/>
  <c r="G613" i="11"/>
  <c r="H737" i="11" s="1"/>
  <c r="G605" i="11"/>
  <c r="H729" i="11" s="1"/>
  <c r="G597" i="11"/>
  <c r="H721" i="11" s="1"/>
  <c r="G589" i="11"/>
  <c r="H713" i="11" s="1"/>
  <c r="G581" i="11"/>
  <c r="H705" i="11" s="1"/>
  <c r="G573" i="11"/>
  <c r="H697" i="11" s="1"/>
  <c r="G623" i="11"/>
  <c r="H747" i="11" s="1"/>
  <c r="G615" i="11"/>
  <c r="H739" i="11" s="1"/>
  <c r="G607" i="11"/>
  <c r="H731" i="11" s="1"/>
  <c r="G599" i="11"/>
  <c r="H723" i="11" s="1"/>
  <c r="G591" i="11"/>
  <c r="H715" i="11" s="1"/>
  <c r="G583" i="11"/>
  <c r="H707" i="11" s="1"/>
  <c r="G575" i="11"/>
  <c r="H699" i="11" s="1"/>
  <c r="G624" i="11"/>
  <c r="H748" i="11" s="1"/>
  <c r="G616" i="11"/>
  <c r="H740" i="11" s="1"/>
  <c r="G608" i="11"/>
  <c r="G600" i="11"/>
  <c r="H724" i="11" s="1"/>
  <c r="G592" i="11"/>
  <c r="G584" i="11"/>
  <c r="H708" i="11" s="1"/>
  <c r="G576" i="11"/>
  <c r="G568" i="11"/>
  <c r="H692" i="11" s="1"/>
  <c r="G560" i="11"/>
  <c r="H684" i="11" s="1"/>
  <c r="G617" i="11"/>
  <c r="H741" i="11" s="1"/>
  <c r="G609" i="11"/>
  <c r="H733" i="11" s="1"/>
  <c r="G601" i="11"/>
  <c r="H725" i="11" s="1"/>
  <c r="G593" i="11"/>
  <c r="H717" i="11" s="1"/>
  <c r="G585" i="11"/>
  <c r="H709" i="11" s="1"/>
  <c r="G577" i="11"/>
  <c r="G569" i="11"/>
  <c r="H693" i="11" s="1"/>
  <c r="G614" i="11"/>
  <c r="H738" i="11" s="1"/>
  <c r="G582" i="11"/>
  <c r="H706" i="11" s="1"/>
  <c r="G566" i="11"/>
  <c r="G553" i="11"/>
  <c r="G545" i="11"/>
  <c r="H669" i="11" s="1"/>
  <c r="G537" i="11"/>
  <c r="H661" i="11" s="1"/>
  <c r="G529" i="11"/>
  <c r="G521" i="11"/>
  <c r="H645" i="11" s="1"/>
  <c r="G513" i="11"/>
  <c r="H637" i="11" s="1"/>
  <c r="G505" i="11"/>
  <c r="G618" i="11"/>
  <c r="G586" i="11"/>
  <c r="H710" i="11" s="1"/>
  <c r="G567" i="11"/>
  <c r="H691" i="11" s="1"/>
  <c r="G565" i="11"/>
  <c r="H689" i="11" s="1"/>
  <c r="G554" i="11"/>
  <c r="H678" i="11" s="1"/>
  <c r="G546" i="11"/>
  <c r="H670" i="11" s="1"/>
  <c r="G538" i="11"/>
  <c r="H662" i="11" s="1"/>
  <c r="G530" i="11"/>
  <c r="H654" i="11" s="1"/>
  <c r="G522" i="11"/>
  <c r="G514" i="11"/>
  <c r="H638" i="11" s="1"/>
  <c r="G506" i="11"/>
  <c r="H630" i="11" s="1"/>
  <c r="G622" i="11"/>
  <c r="H746" i="11" s="1"/>
  <c r="G590" i="11"/>
  <c r="G570" i="11"/>
  <c r="H694" i="11" s="1"/>
  <c r="G562" i="11"/>
  <c r="H686" i="11" s="1"/>
  <c r="G555" i="11"/>
  <c r="H679" i="11" s="1"/>
  <c r="G547" i="11"/>
  <c r="G539" i="11"/>
  <c r="G531" i="11"/>
  <c r="G523" i="11"/>
  <c r="H647" i="11" s="1"/>
  <c r="G515" i="11"/>
  <c r="G507" i="11"/>
  <c r="H631" i="11" s="1"/>
  <c r="G594" i="11"/>
  <c r="H718" i="11" s="1"/>
  <c r="G556" i="11"/>
  <c r="H680" i="11" s="1"/>
  <c r="G548" i="11"/>
  <c r="G540" i="11"/>
  <c r="G532" i="11"/>
  <c r="H656" i="11" s="1"/>
  <c r="G524" i="11"/>
  <c r="H648" i="11" s="1"/>
  <c r="G516" i="11"/>
  <c r="H640" i="11" s="1"/>
  <c r="G508" i="11"/>
  <c r="H632" i="11" s="1"/>
  <c r="G598" i="11"/>
  <c r="H722" i="11" s="1"/>
  <c r="G557" i="11"/>
  <c r="H681" i="11" s="1"/>
  <c r="G549" i="11"/>
  <c r="H673" i="11" s="1"/>
  <c r="G541" i="11"/>
  <c r="H665" i="11" s="1"/>
  <c r="G533" i="11"/>
  <c r="G525" i="11"/>
  <c r="H649" i="11" s="1"/>
  <c r="G517" i="11"/>
  <c r="H641" i="11" s="1"/>
  <c r="G509" i="11"/>
  <c r="H633" i="11" s="1"/>
  <c r="G602" i="11"/>
  <c r="H726" i="11" s="1"/>
  <c r="G561" i="11"/>
  <c r="H685" i="11" s="1"/>
  <c r="G558" i="11"/>
  <c r="H682" i="11" s="1"/>
  <c r="G550" i="11"/>
  <c r="H674" i="11" s="1"/>
  <c r="G542" i="11"/>
  <c r="G534" i="11"/>
  <c r="H658" i="11" s="1"/>
  <c r="G526" i="11"/>
  <c r="G518" i="11"/>
  <c r="H642" i="11" s="1"/>
  <c r="G510" i="11"/>
  <c r="H634" i="11" s="1"/>
  <c r="G606" i="11"/>
  <c r="H730" i="11" s="1"/>
  <c r="G574" i="11"/>
  <c r="G559" i="11"/>
  <c r="H683" i="11" s="1"/>
  <c r="G551" i="11"/>
  <c r="G543" i="11"/>
  <c r="H667" i="11" s="1"/>
  <c r="G535" i="11"/>
  <c r="G527" i="11"/>
  <c r="H651" i="11" s="1"/>
  <c r="G519" i="11"/>
  <c r="H643" i="11" s="1"/>
  <c r="G511" i="11"/>
  <c r="G610" i="11"/>
  <c r="G578" i="11"/>
  <c r="G563" i="11"/>
  <c r="H687" i="11" s="1"/>
  <c r="G552" i="11"/>
  <c r="H676" i="11" s="1"/>
  <c r="G544" i="11"/>
  <c r="G536" i="11"/>
  <c r="H660" i="11" s="1"/>
  <c r="G528" i="11"/>
  <c r="H652" i="11" s="1"/>
  <c r="G520" i="11"/>
  <c r="H644" i="11" s="1"/>
  <c r="G512" i="11"/>
  <c r="O619" i="11"/>
  <c r="O611" i="11"/>
  <c r="O603" i="11"/>
  <c r="O595" i="11"/>
  <c r="O587" i="11"/>
  <c r="O579" i="11"/>
  <c r="O571" i="11"/>
  <c r="O620" i="11"/>
  <c r="O612" i="11"/>
  <c r="O604" i="11"/>
  <c r="O596" i="11"/>
  <c r="O588" i="11"/>
  <c r="O580" i="11"/>
  <c r="O572" i="11"/>
  <c r="O564" i="11"/>
  <c r="O621" i="11"/>
  <c r="O613" i="11"/>
  <c r="O605" i="11"/>
  <c r="O597" i="11"/>
  <c r="O589" i="11"/>
  <c r="O581" i="11"/>
  <c r="O573" i="11"/>
  <c r="O623" i="11"/>
  <c r="O615" i="11"/>
  <c r="O607" i="11"/>
  <c r="O599" i="11"/>
  <c r="O591" i="11"/>
  <c r="O583" i="11"/>
  <c r="O575" i="11"/>
  <c r="O624" i="11"/>
  <c r="O616" i="11"/>
  <c r="O608" i="11"/>
  <c r="O600" i="11"/>
  <c r="O592" i="11"/>
  <c r="O584" i="11"/>
  <c r="O576" i="11"/>
  <c r="O568" i="11"/>
  <c r="O560" i="11"/>
  <c r="O617" i="11"/>
  <c r="O609" i="11"/>
  <c r="O601" i="11"/>
  <c r="O593" i="11"/>
  <c r="O585" i="11"/>
  <c r="O577" i="11"/>
  <c r="O569" i="11"/>
  <c r="O622" i="11"/>
  <c r="O590" i="11"/>
  <c r="O553" i="11"/>
  <c r="O545" i="11"/>
  <c r="O537" i="11"/>
  <c r="O529" i="11"/>
  <c r="O521" i="11"/>
  <c r="O513" i="11"/>
  <c r="O505" i="11"/>
  <c r="O594" i="11"/>
  <c r="O563" i="11"/>
  <c r="O554" i="11"/>
  <c r="O546" i="11"/>
  <c r="O538" i="11"/>
  <c r="O530" i="11"/>
  <c r="O522" i="11"/>
  <c r="H646" i="11" s="1"/>
  <c r="O514" i="11"/>
  <c r="O506" i="11"/>
  <c r="O598" i="11"/>
  <c r="O555" i="11"/>
  <c r="O547" i="11"/>
  <c r="O539" i="11"/>
  <c r="O531" i="11"/>
  <c r="O523" i="11"/>
  <c r="O515" i="11"/>
  <c r="O507" i="11"/>
  <c r="O602" i="11"/>
  <c r="O556" i="11"/>
  <c r="O548" i="11"/>
  <c r="O540" i="11"/>
  <c r="O532" i="11"/>
  <c r="O524" i="11"/>
  <c r="O516" i="11"/>
  <c r="O508" i="11"/>
  <c r="O606" i="11"/>
  <c r="O574" i="11"/>
  <c r="O566" i="11"/>
  <c r="O565" i="11"/>
  <c r="O562" i="11"/>
  <c r="O557" i="11"/>
  <c r="O549" i="11"/>
  <c r="O541" i="11"/>
  <c r="O533" i="11"/>
  <c r="O525" i="11"/>
  <c r="O517" i="11"/>
  <c r="O509" i="11"/>
  <c r="O610" i="11"/>
  <c r="O578" i="11"/>
  <c r="H702" i="11" s="1"/>
  <c r="O567" i="11"/>
  <c r="O558" i="11"/>
  <c r="O550" i="11"/>
  <c r="O542" i="11"/>
  <c r="O534" i="11"/>
  <c r="O526" i="11"/>
  <c r="O518" i="11"/>
  <c r="O510" i="11"/>
  <c r="O614" i="11"/>
  <c r="O582" i="11"/>
  <c r="O570" i="11"/>
  <c r="O559" i="11"/>
  <c r="O551" i="11"/>
  <c r="O543" i="11"/>
  <c r="O535" i="11"/>
  <c r="O527" i="11"/>
  <c r="O519" i="11"/>
  <c r="O511" i="11"/>
  <c r="O618" i="11"/>
  <c r="O586" i="11"/>
  <c r="O561" i="11"/>
  <c r="O552" i="11"/>
  <c r="O544" i="11"/>
  <c r="O536" i="11"/>
  <c r="O528" i="11"/>
  <c r="O520" i="11"/>
  <c r="O512" i="11"/>
  <c r="F140" i="11"/>
  <c r="C264" i="11"/>
  <c r="C272" i="11"/>
  <c r="F156" i="11"/>
  <c r="C280" i="11"/>
  <c r="C288" i="11"/>
  <c r="C296" i="11"/>
  <c r="F180" i="11"/>
  <c r="C304" i="11"/>
  <c r="F189" i="11"/>
  <c r="C313" i="11"/>
  <c r="F197" i="11"/>
  <c r="C321" i="11"/>
  <c r="C329" i="11"/>
  <c r="F213" i="11"/>
  <c r="C337" i="11"/>
  <c r="N98" i="11"/>
  <c r="M98" i="11"/>
  <c r="G346" i="11"/>
  <c r="D222" i="11"/>
  <c r="D346" i="11" s="1"/>
  <c r="D470" i="11" s="1"/>
  <c r="D594" i="11" s="1"/>
  <c r="D718" i="11" s="1"/>
  <c r="K98" i="11"/>
  <c r="J98" i="11"/>
  <c r="Q98" i="11"/>
  <c r="I98" i="11"/>
  <c r="P98" i="11"/>
  <c r="H98" i="11"/>
  <c r="G222" i="11"/>
  <c r="H346" i="11" s="1"/>
  <c r="H470" i="11" s="1"/>
  <c r="O98" i="11"/>
  <c r="G98" i="11"/>
  <c r="N102" i="11"/>
  <c r="H350" i="11"/>
  <c r="H474" i="11" s="1"/>
  <c r="M102" i="11"/>
  <c r="D226" i="11"/>
  <c r="D350" i="11" s="1"/>
  <c r="D474" i="11" s="1"/>
  <c r="D598" i="11" s="1"/>
  <c r="D722" i="11" s="1"/>
  <c r="K102" i="11"/>
  <c r="J102" i="11"/>
  <c r="Q102" i="11"/>
  <c r="I102" i="11"/>
  <c r="H226" i="11"/>
  <c r="I226" i="11" s="1"/>
  <c r="P102" i="11"/>
  <c r="H102" i="11"/>
  <c r="G226" i="11"/>
  <c r="O102" i="11"/>
  <c r="G102" i="11"/>
  <c r="N106" i="11"/>
  <c r="M106" i="11"/>
  <c r="D230" i="11"/>
  <c r="D354" i="11" s="1"/>
  <c r="D478" i="11" s="1"/>
  <c r="D602" i="11" s="1"/>
  <c r="D726" i="11" s="1"/>
  <c r="K106" i="11"/>
  <c r="J106" i="11"/>
  <c r="Q106" i="11"/>
  <c r="I106" i="11"/>
  <c r="P106" i="11"/>
  <c r="H106" i="11"/>
  <c r="G230" i="11"/>
  <c r="H354" i="11" s="1"/>
  <c r="H478" i="11" s="1"/>
  <c r="O106" i="11"/>
  <c r="G106" i="11"/>
  <c r="N110" i="11"/>
  <c r="H358" i="11"/>
  <c r="H482" i="11" s="1"/>
  <c r="M110" i="11"/>
  <c r="G358" i="11"/>
  <c r="G482" i="11" s="1"/>
  <c r="D234" i="11"/>
  <c r="D358" i="11" s="1"/>
  <c r="D482" i="11" s="1"/>
  <c r="D606" i="11" s="1"/>
  <c r="D730" i="11" s="1"/>
  <c r="K110" i="11"/>
  <c r="J110" i="11"/>
  <c r="Q110" i="11"/>
  <c r="I110" i="11"/>
  <c r="P110" i="11"/>
  <c r="H110" i="11"/>
  <c r="G234" i="11"/>
  <c r="H234" i="11" s="1"/>
  <c r="O110" i="11"/>
  <c r="G110" i="11"/>
  <c r="N114" i="11"/>
  <c r="H362" i="11"/>
  <c r="H486" i="11" s="1"/>
  <c r="M114" i="11"/>
  <c r="D238" i="11"/>
  <c r="D362" i="11" s="1"/>
  <c r="D486" i="11" s="1"/>
  <c r="D610" i="11" s="1"/>
  <c r="D734" i="11" s="1"/>
  <c r="K114" i="11"/>
  <c r="J114" i="11"/>
  <c r="Q114" i="11"/>
  <c r="I114" i="11"/>
  <c r="P114" i="11"/>
  <c r="H114" i="11"/>
  <c r="G238" i="11"/>
  <c r="H238" i="11" s="1"/>
  <c r="O114" i="11"/>
  <c r="G114" i="11"/>
  <c r="F247" i="11"/>
  <c r="C371" i="11"/>
  <c r="L416" i="1"/>
  <c r="K438" i="1"/>
  <c r="K444" i="1" s="1"/>
  <c r="S438" i="1"/>
  <c r="S444" i="1" s="1"/>
  <c r="M440" i="1"/>
  <c r="M447" i="1"/>
  <c r="N495" i="1"/>
  <c r="N497" i="1" s="1"/>
  <c r="L504" i="1"/>
  <c r="L505" i="1" s="1"/>
  <c r="L848" i="1" s="1"/>
  <c r="I8" i="12" s="1"/>
  <c r="D24" i="18" s="1"/>
  <c r="O529" i="1"/>
  <c r="O531" i="1" s="1"/>
  <c r="D552" i="1"/>
  <c r="M556" i="1"/>
  <c r="L605" i="1"/>
  <c r="D82" i="52" s="1"/>
  <c r="D654" i="1"/>
  <c r="T679" i="1"/>
  <c r="R706" i="1"/>
  <c r="P747" i="1"/>
  <c r="M750" i="1"/>
  <c r="M753" i="1" s="1"/>
  <c r="R758" i="1"/>
  <c r="L760" i="1"/>
  <c r="D796" i="1"/>
  <c r="M45" i="13"/>
  <c r="M47" i="13"/>
  <c r="M49" i="13"/>
  <c r="M51" i="13"/>
  <c r="K79" i="13"/>
  <c r="R197" i="13"/>
  <c r="M367" i="13"/>
  <c r="J438" i="13"/>
  <c r="K438" i="13" s="1"/>
  <c r="C6" i="58"/>
  <c r="B69" i="10"/>
  <c r="B74" i="11" s="1"/>
  <c r="B198" i="11" s="1"/>
  <c r="B322" i="11" s="1"/>
  <c r="B446" i="11" s="1"/>
  <c r="B570" i="11" s="1"/>
  <c r="B694" i="11" s="1"/>
  <c r="B67" i="10"/>
  <c r="B72" i="11" s="1"/>
  <c r="B196" i="11" s="1"/>
  <c r="B320" i="11" s="1"/>
  <c r="B444" i="11" s="1"/>
  <c r="B568" i="11" s="1"/>
  <c r="B692" i="11" s="1"/>
  <c r="B65" i="10"/>
  <c r="B70" i="11" s="1"/>
  <c r="B194" i="11" s="1"/>
  <c r="B318" i="11" s="1"/>
  <c r="B442" i="11" s="1"/>
  <c r="B566" i="11" s="1"/>
  <c r="B690" i="11" s="1"/>
  <c r="B63" i="10"/>
  <c r="B68" i="11" s="1"/>
  <c r="B192" i="11" s="1"/>
  <c r="B316" i="11" s="1"/>
  <c r="B440" i="11" s="1"/>
  <c r="B564" i="11" s="1"/>
  <c r="B688" i="11" s="1"/>
  <c r="B61" i="10"/>
  <c r="B66" i="11" s="1"/>
  <c r="B190" i="11" s="1"/>
  <c r="B314" i="11" s="1"/>
  <c r="B438" i="11" s="1"/>
  <c r="B562" i="11" s="1"/>
  <c r="B686" i="11" s="1"/>
  <c r="B59" i="10"/>
  <c r="B64" i="11" s="1"/>
  <c r="B188" i="11" s="1"/>
  <c r="B312" i="11" s="1"/>
  <c r="B436" i="11" s="1"/>
  <c r="B560" i="11" s="1"/>
  <c r="B684" i="11" s="1"/>
  <c r="F69" i="10"/>
  <c r="F74" i="11" s="1"/>
  <c r="F67" i="10"/>
  <c r="F72" i="11" s="1"/>
  <c r="F65" i="10"/>
  <c r="F70" i="11" s="1"/>
  <c r="F63" i="10"/>
  <c r="F68" i="11" s="1"/>
  <c r="F61" i="10"/>
  <c r="F66" i="11" s="1"/>
  <c r="F59" i="10"/>
  <c r="F64" i="11" s="1"/>
  <c r="F68" i="10"/>
  <c r="F73" i="11" s="1"/>
  <c r="F66" i="10"/>
  <c r="F71" i="11" s="1"/>
  <c r="F64" i="10"/>
  <c r="F69" i="11" s="1"/>
  <c r="F62" i="10"/>
  <c r="F67" i="11" s="1"/>
  <c r="F60" i="10"/>
  <c r="F65" i="11" s="1"/>
  <c r="D86" i="10"/>
  <c r="D91" i="11" s="1"/>
  <c r="D64" i="10"/>
  <c r="D69" i="11" s="1"/>
  <c r="D75" i="10"/>
  <c r="D80" i="11" s="1"/>
  <c r="D42" i="10"/>
  <c r="D47" i="11" s="1"/>
  <c r="D20" i="10"/>
  <c r="D25" i="11" s="1"/>
  <c r="D53" i="10"/>
  <c r="D58" i="11" s="1"/>
  <c r="D90" i="10"/>
  <c r="D95" i="11" s="1"/>
  <c r="D68" i="10"/>
  <c r="D73" i="11" s="1"/>
  <c r="D57" i="10"/>
  <c r="D62" i="11" s="1"/>
  <c r="D79" i="10"/>
  <c r="D84" i="11" s="1"/>
  <c r="D46" i="10"/>
  <c r="D51" i="11" s="1"/>
  <c r="D24" i="10"/>
  <c r="D29" i="11" s="1"/>
  <c r="Q89" i="12"/>
  <c r="N205" i="12" s="1"/>
  <c r="S99" i="12"/>
  <c r="S113" i="12"/>
  <c r="S121" i="12"/>
  <c r="F124" i="12"/>
  <c r="F179" i="12" s="1"/>
  <c r="D23" i="37"/>
  <c r="D20" i="35"/>
  <c r="L23" i="37"/>
  <c r="L20" i="35"/>
  <c r="F138" i="12"/>
  <c r="F140" i="12"/>
  <c r="F142" i="12"/>
  <c r="S146" i="12"/>
  <c r="O147" i="12"/>
  <c r="J24" i="36" s="1"/>
  <c r="I151" i="12"/>
  <c r="S168" i="12"/>
  <c r="S176" i="12"/>
  <c r="G198" i="12"/>
  <c r="E16" i="24"/>
  <c r="M18" i="30"/>
  <c r="M24" i="30" s="1"/>
  <c r="L18" i="32"/>
  <c r="L19" i="32" s="1"/>
  <c r="Q125" i="12" s="1"/>
  <c r="D8" i="33"/>
  <c r="E8" i="33" s="1"/>
  <c r="F8" i="33" s="1"/>
  <c r="G8" i="33" s="1"/>
  <c r="H8" i="33" s="1"/>
  <c r="I8" i="33" s="1"/>
  <c r="J8" i="33" s="1"/>
  <c r="K8" i="33" s="1"/>
  <c r="L8" i="33" s="1"/>
  <c r="M8" i="33" s="1"/>
  <c r="I18" i="33"/>
  <c r="F9" i="10"/>
  <c r="F14" i="11" s="1"/>
  <c r="F17" i="10"/>
  <c r="F22" i="11" s="1"/>
  <c r="F25" i="10"/>
  <c r="F30" i="11" s="1"/>
  <c r="F33" i="10"/>
  <c r="F38" i="11" s="1"/>
  <c r="F41" i="10"/>
  <c r="F46" i="11" s="1"/>
  <c r="C261" i="11"/>
  <c r="F145" i="11"/>
  <c r="C269" i="11"/>
  <c r="F153" i="11"/>
  <c r="C277" i="11"/>
  <c r="F161" i="11"/>
  <c r="C285" i="11"/>
  <c r="F169" i="11"/>
  <c r="C293" i="11"/>
  <c r="F177" i="11"/>
  <c r="C301" i="11"/>
  <c r="F185" i="11"/>
  <c r="C309" i="11"/>
  <c r="F187" i="11"/>
  <c r="C311" i="11"/>
  <c r="C316" i="11"/>
  <c r="F200" i="11"/>
  <c r="C324" i="11"/>
  <c r="C332" i="11"/>
  <c r="C340" i="11"/>
  <c r="F221" i="11"/>
  <c r="C345" i="11"/>
  <c r="L99" i="11"/>
  <c r="F225" i="11"/>
  <c r="C349" i="11"/>
  <c r="L103" i="11"/>
  <c r="F229" i="11"/>
  <c r="C353" i="11"/>
  <c r="L107" i="11"/>
  <c r="F233" i="11"/>
  <c r="C357" i="11"/>
  <c r="L111" i="11"/>
  <c r="F237" i="11"/>
  <c r="C361" i="11"/>
  <c r="L115" i="11"/>
  <c r="F241" i="11"/>
  <c r="C365" i="11"/>
  <c r="F244" i="11"/>
  <c r="C368" i="11"/>
  <c r="F252" i="11"/>
  <c r="C376" i="11"/>
  <c r="L438" i="1"/>
  <c r="L444" i="1" s="1"/>
  <c r="T438" i="1"/>
  <c r="T444" i="1" s="1"/>
  <c r="N447" i="1"/>
  <c r="M504" i="1"/>
  <c r="N556" i="1"/>
  <c r="M636" i="1"/>
  <c r="M679" i="1"/>
  <c r="U679" i="1"/>
  <c r="D702" i="1"/>
  <c r="S706" i="1"/>
  <c r="M708" i="1"/>
  <c r="M709" i="1" s="1"/>
  <c r="Q747" i="1"/>
  <c r="K758" i="1"/>
  <c r="K759" i="1" s="1"/>
  <c r="M760" i="1"/>
  <c r="O782" i="1"/>
  <c r="L785" i="1"/>
  <c r="L788" i="1" s="1"/>
  <c r="D815" i="1"/>
  <c r="L833" i="1"/>
  <c r="L834" i="1" s="1"/>
  <c r="P835" i="1"/>
  <c r="P859" i="1" s="1"/>
  <c r="M19" i="12" s="1"/>
  <c r="G15" i="2"/>
  <c r="L301" i="1" s="1"/>
  <c r="L307" i="1" s="1"/>
  <c r="G24" i="2"/>
  <c r="Q484" i="1" s="1"/>
  <c r="G33" i="2"/>
  <c r="G44" i="2"/>
  <c r="O133" i="38"/>
  <c r="L18" i="25"/>
  <c r="L19" i="25" s="1"/>
  <c r="Q118" i="12" s="1"/>
  <c r="L147" i="38"/>
  <c r="I18" i="26"/>
  <c r="D20" i="58"/>
  <c r="H46" i="12"/>
  <c r="H47" i="12" s="1"/>
  <c r="G55" i="12"/>
  <c r="O55" i="12"/>
  <c r="B79" i="10"/>
  <c r="B84" i="11" s="1"/>
  <c r="B208" i="11" s="1"/>
  <c r="B332" i="11" s="1"/>
  <c r="B456" i="11" s="1"/>
  <c r="B580" i="11" s="1"/>
  <c r="B704" i="11" s="1"/>
  <c r="B77" i="10"/>
  <c r="B82" i="11" s="1"/>
  <c r="B206" i="11" s="1"/>
  <c r="B330" i="11" s="1"/>
  <c r="B454" i="11" s="1"/>
  <c r="B578" i="11" s="1"/>
  <c r="B702" i="11" s="1"/>
  <c r="B75" i="10"/>
  <c r="B80" i="11" s="1"/>
  <c r="B204" i="11" s="1"/>
  <c r="B328" i="11" s="1"/>
  <c r="B452" i="11" s="1"/>
  <c r="B576" i="11" s="1"/>
  <c r="B700" i="11" s="1"/>
  <c r="B73" i="10"/>
  <c r="B78" i="11" s="1"/>
  <c r="B202" i="11" s="1"/>
  <c r="B326" i="11" s="1"/>
  <c r="B450" i="11" s="1"/>
  <c r="B574" i="11" s="1"/>
  <c r="B698" i="11" s="1"/>
  <c r="B71" i="10"/>
  <c r="B76" i="11" s="1"/>
  <c r="B200" i="11" s="1"/>
  <c r="B324" i="11" s="1"/>
  <c r="B448" i="11" s="1"/>
  <c r="B572" i="11" s="1"/>
  <c r="B696" i="11" s="1"/>
  <c r="F79" i="10"/>
  <c r="F84" i="11" s="1"/>
  <c r="F77" i="10"/>
  <c r="F82" i="11" s="1"/>
  <c r="F75" i="10"/>
  <c r="F80" i="11" s="1"/>
  <c r="F73" i="10"/>
  <c r="F78" i="11" s="1"/>
  <c r="F71" i="10"/>
  <c r="F76" i="11" s="1"/>
  <c r="F80" i="10"/>
  <c r="F85" i="11" s="1"/>
  <c r="F78" i="10"/>
  <c r="F83" i="11" s="1"/>
  <c r="F76" i="10"/>
  <c r="F81" i="11" s="1"/>
  <c r="F74" i="10"/>
  <c r="F79" i="11" s="1"/>
  <c r="F72" i="10"/>
  <c r="F77" i="11" s="1"/>
  <c r="F70" i="10"/>
  <c r="F75" i="11" s="1"/>
  <c r="G69" i="12"/>
  <c r="S98" i="12"/>
  <c r="G102" i="12"/>
  <c r="S112" i="12"/>
  <c r="S120" i="12"/>
  <c r="E23" i="37"/>
  <c r="S145" i="12"/>
  <c r="H147" i="12"/>
  <c r="C24" i="36" s="1"/>
  <c r="P147" i="12"/>
  <c r="K24" i="36" s="1"/>
  <c r="S167" i="12"/>
  <c r="L196" i="12"/>
  <c r="E20" i="24"/>
  <c r="E44" i="24" s="1"/>
  <c r="H20" i="16"/>
  <c r="J18" i="27"/>
  <c r="C24" i="29"/>
  <c r="M18" i="32"/>
  <c r="M19" i="32" s="1"/>
  <c r="R125" i="12" s="1"/>
  <c r="J18" i="33"/>
  <c r="K20" i="35"/>
  <c r="D11" i="10"/>
  <c r="D16" i="11" s="1"/>
  <c r="D19" i="10"/>
  <c r="D24" i="11" s="1"/>
  <c r="D27" i="10"/>
  <c r="D32" i="11" s="1"/>
  <c r="D35" i="10"/>
  <c r="D40" i="11" s="1"/>
  <c r="D52" i="10"/>
  <c r="D57" i="11" s="1"/>
  <c r="B62" i="10"/>
  <c r="B67" i="11" s="1"/>
  <c r="B191" i="11" s="1"/>
  <c r="B315" i="11" s="1"/>
  <c r="B439" i="11" s="1"/>
  <c r="B563" i="11" s="1"/>
  <c r="B687" i="11" s="1"/>
  <c r="B70" i="10"/>
  <c r="B75" i="11" s="1"/>
  <c r="B199" i="11" s="1"/>
  <c r="B323" i="11" s="1"/>
  <c r="B447" i="11" s="1"/>
  <c r="B571" i="11" s="1"/>
  <c r="B695" i="11" s="1"/>
  <c r="B78" i="10"/>
  <c r="B83" i="11" s="1"/>
  <c r="B207" i="11" s="1"/>
  <c r="B331" i="11" s="1"/>
  <c r="B455" i="11" s="1"/>
  <c r="B579" i="11" s="1"/>
  <c r="B703" i="11" s="1"/>
  <c r="I621" i="11"/>
  <c r="I613" i="11"/>
  <c r="I605" i="11"/>
  <c r="I597" i="11"/>
  <c r="I589" i="11"/>
  <c r="I581" i="11"/>
  <c r="I573" i="11"/>
  <c r="I565" i="11"/>
  <c r="I622" i="11"/>
  <c r="I614" i="11"/>
  <c r="I606" i="11"/>
  <c r="I598" i="11"/>
  <c r="I590" i="11"/>
  <c r="I582" i="11"/>
  <c r="I574" i="11"/>
  <c r="I566" i="11"/>
  <c r="H690" i="11" s="1"/>
  <c r="I623" i="11"/>
  <c r="I615" i="11"/>
  <c r="I607" i="11"/>
  <c r="I599" i="11"/>
  <c r="I591" i="11"/>
  <c r="I583" i="11"/>
  <c r="I575" i="11"/>
  <c r="I617" i="11"/>
  <c r="I609" i="11"/>
  <c r="I601" i="11"/>
  <c r="I593" i="11"/>
  <c r="I585" i="11"/>
  <c r="I577" i="11"/>
  <c r="I618" i="11"/>
  <c r="I610" i="11"/>
  <c r="I602" i="11"/>
  <c r="I594" i="11"/>
  <c r="I586" i="11"/>
  <c r="I578" i="11"/>
  <c r="I570" i="11"/>
  <c r="I562" i="11"/>
  <c r="I619" i="11"/>
  <c r="I611" i="11"/>
  <c r="I603" i="11"/>
  <c r="I595" i="11"/>
  <c r="I587" i="11"/>
  <c r="I579" i="11"/>
  <c r="I571" i="11"/>
  <c r="I616" i="11"/>
  <c r="I584" i="11"/>
  <c r="I568" i="11"/>
  <c r="I555" i="11"/>
  <c r="I547" i="11"/>
  <c r="I539" i="11"/>
  <c r="I531" i="11"/>
  <c r="I523" i="11"/>
  <c r="I515" i="11"/>
  <c r="I507" i="11"/>
  <c r="I620" i="11"/>
  <c r="I588" i="11"/>
  <c r="I569" i="11"/>
  <c r="I556" i="11"/>
  <c r="I548" i="11"/>
  <c r="I540" i="11"/>
  <c r="I532" i="11"/>
  <c r="I524" i="11"/>
  <c r="I516" i="11"/>
  <c r="I508" i="11"/>
  <c r="I624" i="11"/>
  <c r="I592" i="11"/>
  <c r="I564" i="11"/>
  <c r="I557" i="11"/>
  <c r="I549" i="11"/>
  <c r="I541" i="11"/>
  <c r="I533" i="11"/>
  <c r="I525" i="11"/>
  <c r="I517" i="11"/>
  <c r="I509" i="11"/>
  <c r="I596" i="11"/>
  <c r="I558" i="11"/>
  <c r="I550" i="11"/>
  <c r="I542" i="11"/>
  <c r="I534" i="11"/>
  <c r="I526" i="11"/>
  <c r="I518" i="11"/>
  <c r="I510" i="11"/>
  <c r="I600" i="11"/>
  <c r="I561" i="11"/>
  <c r="I559" i="11"/>
  <c r="I551" i="11"/>
  <c r="I543" i="11"/>
  <c r="I535" i="11"/>
  <c r="H659" i="11" s="1"/>
  <c r="I527" i="11"/>
  <c r="I519" i="11"/>
  <c r="I511" i="11"/>
  <c r="I604" i="11"/>
  <c r="I572" i="11"/>
  <c r="I563" i="11"/>
  <c r="I552" i="11"/>
  <c r="I544" i="11"/>
  <c r="I536" i="11"/>
  <c r="I528" i="11"/>
  <c r="I520" i="11"/>
  <c r="I512" i="11"/>
  <c r="I608" i="11"/>
  <c r="I576" i="11"/>
  <c r="I553" i="11"/>
  <c r="I545" i="11"/>
  <c r="I537" i="11"/>
  <c r="I529" i="11"/>
  <c r="I521" i="11"/>
  <c r="I513" i="11"/>
  <c r="I505" i="11"/>
  <c r="I612" i="11"/>
  <c r="I580" i="11"/>
  <c r="I567" i="11"/>
  <c r="I560" i="11"/>
  <c r="I554" i="11"/>
  <c r="I546" i="11"/>
  <c r="I538" i="11"/>
  <c r="I530" i="11"/>
  <c r="I522" i="11"/>
  <c r="I514" i="11"/>
  <c r="I506" i="11"/>
  <c r="F134" i="11"/>
  <c r="C258" i="11"/>
  <c r="F142" i="11"/>
  <c r="C266" i="11"/>
  <c r="F150" i="11"/>
  <c r="C274" i="11"/>
  <c r="F158" i="11"/>
  <c r="C282" i="11"/>
  <c r="F166" i="11"/>
  <c r="C290" i="11"/>
  <c r="F174" i="11"/>
  <c r="C298" i="11"/>
  <c r="F182" i="11"/>
  <c r="C306" i="11"/>
  <c r="C319" i="11"/>
  <c r="F203" i="11"/>
  <c r="C327" i="11"/>
  <c r="C335" i="11"/>
  <c r="C343" i="11"/>
  <c r="N97" i="11"/>
  <c r="H345" i="11"/>
  <c r="M97" i="11"/>
  <c r="G345" i="11"/>
  <c r="G469" i="11" s="1"/>
  <c r="D221" i="11"/>
  <c r="D345" i="11" s="1"/>
  <c r="D469" i="11" s="1"/>
  <c r="D593" i="11" s="1"/>
  <c r="D717" i="11" s="1"/>
  <c r="K97" i="11"/>
  <c r="J97" i="11"/>
  <c r="Q97" i="11"/>
  <c r="I97" i="11"/>
  <c r="H221" i="11"/>
  <c r="I221" i="11" s="1"/>
  <c r="P97" i="11"/>
  <c r="H97" i="11"/>
  <c r="G221" i="11"/>
  <c r="O97" i="11"/>
  <c r="G97" i="11"/>
  <c r="N101" i="11"/>
  <c r="M101" i="11"/>
  <c r="G349" i="11"/>
  <c r="D225" i="11"/>
  <c r="D349" i="11" s="1"/>
  <c r="D473" i="11" s="1"/>
  <c r="D597" i="11" s="1"/>
  <c r="D721" i="11" s="1"/>
  <c r="K101" i="11"/>
  <c r="J101" i="11"/>
  <c r="Q101" i="11"/>
  <c r="I101" i="11"/>
  <c r="H225" i="11"/>
  <c r="I349" i="11" s="1"/>
  <c r="I473" i="11" s="1"/>
  <c r="P101" i="11"/>
  <c r="H101" i="11"/>
  <c r="G225" i="11"/>
  <c r="H349" i="11" s="1"/>
  <c r="H473" i="11" s="1"/>
  <c r="O101" i="11"/>
  <c r="G101" i="11"/>
  <c r="N105" i="11"/>
  <c r="H353" i="11"/>
  <c r="H477" i="11" s="1"/>
  <c r="M105" i="11"/>
  <c r="G353" i="11"/>
  <c r="D229" i="11"/>
  <c r="D353" i="11" s="1"/>
  <c r="D477" i="11" s="1"/>
  <c r="D601" i="11" s="1"/>
  <c r="D725" i="11" s="1"/>
  <c r="K105" i="11"/>
  <c r="J105" i="11"/>
  <c r="Q105" i="11"/>
  <c r="I105" i="11"/>
  <c r="H229" i="11"/>
  <c r="I229" i="11" s="1"/>
  <c r="P105" i="11"/>
  <c r="H105" i="11"/>
  <c r="G229" i="11"/>
  <c r="O105" i="11"/>
  <c r="G105" i="11"/>
  <c r="N109" i="11"/>
  <c r="M109" i="11"/>
  <c r="G357" i="11"/>
  <c r="D233" i="11"/>
  <c r="D357" i="11" s="1"/>
  <c r="D481" i="11" s="1"/>
  <c r="D605" i="11" s="1"/>
  <c r="D729" i="11" s="1"/>
  <c r="K109" i="11"/>
  <c r="J109" i="11"/>
  <c r="Q109" i="11"/>
  <c r="I109" i="11"/>
  <c r="P109" i="11"/>
  <c r="H109" i="11"/>
  <c r="G233" i="11"/>
  <c r="H357" i="11" s="1"/>
  <c r="H481" i="11" s="1"/>
  <c r="O109" i="11"/>
  <c r="G109" i="11"/>
  <c r="N113" i="11"/>
  <c r="H361" i="11"/>
  <c r="H485" i="11" s="1"/>
  <c r="M113" i="11"/>
  <c r="G361" i="11"/>
  <c r="G485" i="11" s="1"/>
  <c r="D237" i="11"/>
  <c r="D361" i="11" s="1"/>
  <c r="D485" i="11" s="1"/>
  <c r="D609" i="11" s="1"/>
  <c r="D733" i="11" s="1"/>
  <c r="K113" i="11"/>
  <c r="J113" i="11"/>
  <c r="Q113" i="11"/>
  <c r="I113" i="11"/>
  <c r="P113" i="11"/>
  <c r="H113" i="11"/>
  <c r="G237" i="11"/>
  <c r="H237" i="11" s="1"/>
  <c r="O113" i="11"/>
  <c r="G113" i="11"/>
  <c r="N117" i="11"/>
  <c r="H365" i="11"/>
  <c r="H489" i="11" s="1"/>
  <c r="M117" i="11"/>
  <c r="G365" i="11"/>
  <c r="D241" i="11"/>
  <c r="D365" i="11" s="1"/>
  <c r="D489" i="11" s="1"/>
  <c r="D613" i="11" s="1"/>
  <c r="D737" i="11" s="1"/>
  <c r="K117" i="11"/>
  <c r="J117" i="11"/>
  <c r="Q117" i="11"/>
  <c r="I117" i="11"/>
  <c r="P117" i="11"/>
  <c r="H117" i="11"/>
  <c r="G241" i="11"/>
  <c r="H241" i="11" s="1"/>
  <c r="O117" i="11"/>
  <c r="G117" i="11"/>
  <c r="F249" i="11"/>
  <c r="G373" i="11" s="1"/>
  <c r="G497" i="11" s="1"/>
  <c r="C373" i="11"/>
  <c r="L749" i="1"/>
  <c r="L197" i="13"/>
  <c r="T197" i="13"/>
  <c r="D205" i="13"/>
  <c r="M231" i="13"/>
  <c r="M281" i="13"/>
  <c r="M282" i="13" s="1"/>
  <c r="K349" i="13"/>
  <c r="O367" i="13"/>
  <c r="P245" i="38"/>
  <c r="M18" i="33"/>
  <c r="I51" i="58"/>
  <c r="L2" i="12"/>
  <c r="B91" i="10"/>
  <c r="B96" i="11" s="1"/>
  <c r="B220" i="11" s="1"/>
  <c r="B344" i="11" s="1"/>
  <c r="B468" i="11" s="1"/>
  <c r="B592" i="11" s="1"/>
  <c r="B716" i="11" s="1"/>
  <c r="B89" i="10"/>
  <c r="B94" i="11" s="1"/>
  <c r="B218" i="11" s="1"/>
  <c r="B342" i="11" s="1"/>
  <c r="B466" i="11" s="1"/>
  <c r="B590" i="11" s="1"/>
  <c r="B714" i="11" s="1"/>
  <c r="B87" i="10"/>
  <c r="B92" i="11" s="1"/>
  <c r="B216" i="11" s="1"/>
  <c r="B340" i="11" s="1"/>
  <c r="B464" i="11" s="1"/>
  <c r="B588" i="11" s="1"/>
  <c r="B712" i="11" s="1"/>
  <c r="B85" i="10"/>
  <c r="B90" i="11" s="1"/>
  <c r="B214" i="11" s="1"/>
  <c r="B338" i="11" s="1"/>
  <c r="B462" i="11" s="1"/>
  <c r="B586" i="11" s="1"/>
  <c r="B710" i="11" s="1"/>
  <c r="B83" i="10"/>
  <c r="B88" i="11" s="1"/>
  <c r="B212" i="11" s="1"/>
  <c r="B336" i="11" s="1"/>
  <c r="B460" i="11" s="1"/>
  <c r="B584" i="11" s="1"/>
  <c r="B708" i="11" s="1"/>
  <c r="B81" i="10"/>
  <c r="B86" i="11" s="1"/>
  <c r="B210" i="11" s="1"/>
  <c r="B334" i="11" s="1"/>
  <c r="B458" i="11" s="1"/>
  <c r="B582" i="11" s="1"/>
  <c r="B706" i="11" s="1"/>
  <c r="F91" i="10"/>
  <c r="F96" i="11" s="1"/>
  <c r="F89" i="10"/>
  <c r="F94" i="11" s="1"/>
  <c r="F87" i="10"/>
  <c r="F92" i="11" s="1"/>
  <c r="F85" i="10"/>
  <c r="F90" i="11" s="1"/>
  <c r="F83" i="10"/>
  <c r="F88" i="11" s="1"/>
  <c r="F81" i="10"/>
  <c r="F86" i="11" s="1"/>
  <c r="F90" i="10"/>
  <c r="F95" i="11" s="1"/>
  <c r="F88" i="10"/>
  <c r="F93" i="11" s="1"/>
  <c r="F86" i="10"/>
  <c r="F91" i="11" s="1"/>
  <c r="F84" i="10"/>
  <c r="F89" i="11" s="1"/>
  <c r="F82" i="10"/>
  <c r="F87" i="11" s="1"/>
  <c r="D72" i="10"/>
  <c r="D77" i="11" s="1"/>
  <c r="D83" i="10"/>
  <c r="D88" i="11" s="1"/>
  <c r="D61" i="10"/>
  <c r="D66" i="11" s="1"/>
  <c r="D28" i="10"/>
  <c r="D33" i="11" s="1"/>
  <c r="D6" i="10"/>
  <c r="D11" i="11" s="1"/>
  <c r="D76" i="10"/>
  <c r="D81" i="11" s="1"/>
  <c r="D54" i="10"/>
  <c r="D59" i="11" s="1"/>
  <c r="D87" i="10"/>
  <c r="D92" i="11" s="1"/>
  <c r="D65" i="10"/>
  <c r="D70" i="11" s="1"/>
  <c r="D32" i="10"/>
  <c r="D37" i="11" s="1"/>
  <c r="D10" i="10"/>
  <c r="D15" i="11" s="1"/>
  <c r="D80" i="10"/>
  <c r="D85" i="11" s="1"/>
  <c r="D91" i="10"/>
  <c r="D96" i="11" s="1"/>
  <c r="D69" i="10"/>
  <c r="D74" i="11" s="1"/>
  <c r="D36" i="10"/>
  <c r="D41" i="11" s="1"/>
  <c r="D14" i="10"/>
  <c r="D19" i="11" s="1"/>
  <c r="S97" i="12"/>
  <c r="G101" i="12"/>
  <c r="S111" i="12"/>
  <c r="S119" i="12"/>
  <c r="F122" i="12"/>
  <c r="F177" i="12" s="1"/>
  <c r="S127" i="12"/>
  <c r="S136" i="12"/>
  <c r="S138" i="12"/>
  <c r="I147" i="12"/>
  <c r="D24" i="36" s="1"/>
  <c r="Q147" i="12"/>
  <c r="L24" i="36" s="1"/>
  <c r="K151" i="12"/>
  <c r="S166" i="12"/>
  <c r="G211" i="12"/>
  <c r="I20" i="16"/>
  <c r="D10" i="26"/>
  <c r="E10" i="26" s="1"/>
  <c r="F10" i="26" s="1"/>
  <c r="G10" i="26" s="1"/>
  <c r="H10" i="26" s="1"/>
  <c r="I10" i="26" s="1"/>
  <c r="J10" i="26" s="1"/>
  <c r="K10" i="26" s="1"/>
  <c r="L10" i="26" s="1"/>
  <c r="M10" i="26" s="1"/>
  <c r="L18" i="27"/>
  <c r="I18" i="29"/>
  <c r="D7" i="30"/>
  <c r="E7" i="30" s="1"/>
  <c r="F7" i="30" s="1"/>
  <c r="G7" i="30" s="1"/>
  <c r="H7" i="30" s="1"/>
  <c r="I7" i="30" s="1"/>
  <c r="J7" i="30" s="1"/>
  <c r="K7" i="30" s="1"/>
  <c r="L7" i="30" s="1"/>
  <c r="M7" i="30" s="1"/>
  <c r="I18" i="31"/>
  <c r="K18" i="33"/>
  <c r="D8" i="34"/>
  <c r="E8" i="34" s="1"/>
  <c r="F8" i="34" s="1"/>
  <c r="G8" i="34" s="1"/>
  <c r="H8" i="34" s="1"/>
  <c r="I8" i="34" s="1"/>
  <c r="J8" i="34" s="1"/>
  <c r="K8" i="34" s="1"/>
  <c r="L8" i="34" s="1"/>
  <c r="M8" i="34" s="1"/>
  <c r="M20" i="35"/>
  <c r="F19" i="10"/>
  <c r="F24" i="11" s="1"/>
  <c r="F27" i="10"/>
  <c r="F32" i="11" s="1"/>
  <c r="F35" i="10"/>
  <c r="F40" i="11" s="1"/>
  <c r="F43" i="10"/>
  <c r="F48" i="11" s="1"/>
  <c r="B53" i="10"/>
  <c r="B58" i="11" s="1"/>
  <c r="B182" i="11" s="1"/>
  <c r="B306" i="11" s="1"/>
  <c r="B430" i="11" s="1"/>
  <c r="B554" i="11" s="1"/>
  <c r="B678" i="11" s="1"/>
  <c r="C263" i="11"/>
  <c r="F147" i="11"/>
  <c r="C271" i="11"/>
  <c r="F155" i="11"/>
  <c r="C279" i="11"/>
  <c r="C287" i="11"/>
  <c r="F171" i="11"/>
  <c r="C295" i="11"/>
  <c r="F179" i="11"/>
  <c r="C303" i="11"/>
  <c r="F190" i="11"/>
  <c r="C314" i="11"/>
  <c r="F198" i="11"/>
  <c r="C322" i="11"/>
  <c r="C330" i="11"/>
  <c r="C338" i="11"/>
  <c r="L98" i="11"/>
  <c r="F224" i="11"/>
  <c r="G348" i="11" s="1"/>
  <c r="G472" i="11" s="1"/>
  <c r="C348" i="11"/>
  <c r="L102" i="11"/>
  <c r="F228" i="11"/>
  <c r="C352" i="11"/>
  <c r="L106" i="11"/>
  <c r="F232" i="11"/>
  <c r="G356" i="11" s="1"/>
  <c r="G480" i="11" s="1"/>
  <c r="C356" i="11"/>
  <c r="L110" i="11"/>
  <c r="F236" i="11"/>
  <c r="C360" i="11"/>
  <c r="L114" i="11"/>
  <c r="F240" i="11"/>
  <c r="G364" i="11" s="1"/>
  <c r="G488" i="11" s="1"/>
  <c r="C364" i="11"/>
  <c r="F246" i="11"/>
  <c r="G370" i="11" s="1"/>
  <c r="G494" i="11" s="1"/>
  <c r="C370" i="11"/>
  <c r="L336" i="1"/>
  <c r="L507" i="1"/>
  <c r="O679" i="1"/>
  <c r="L682" i="1"/>
  <c r="L685" i="1" s="1"/>
  <c r="M706" i="1"/>
  <c r="U706" i="1"/>
  <c r="M749" i="1"/>
  <c r="J64" i="13"/>
  <c r="M197" i="13"/>
  <c r="L349" i="13"/>
  <c r="K368" i="13"/>
  <c r="N147" i="38"/>
  <c r="K18" i="26"/>
  <c r="G56" i="12"/>
  <c r="O56" i="12"/>
  <c r="B13" i="10"/>
  <c r="B18" i="11" s="1"/>
  <c r="B142" i="11" s="1"/>
  <c r="B266" i="11" s="1"/>
  <c r="B390" i="11" s="1"/>
  <c r="B514" i="11" s="1"/>
  <c r="B638" i="11" s="1"/>
  <c r="B11" i="10"/>
  <c r="B16" i="11" s="1"/>
  <c r="B140" i="11" s="1"/>
  <c r="B264" i="11" s="1"/>
  <c r="B388" i="11" s="1"/>
  <c r="B512" i="11" s="1"/>
  <c r="B636" i="11" s="1"/>
  <c r="B9" i="10"/>
  <c r="B14" i="11" s="1"/>
  <c r="B138" i="11" s="1"/>
  <c r="B262" i="11" s="1"/>
  <c r="B386" i="11" s="1"/>
  <c r="B510" i="11" s="1"/>
  <c r="B634" i="11" s="1"/>
  <c r="B7" i="10"/>
  <c r="B12" i="11" s="1"/>
  <c r="B136" i="11" s="1"/>
  <c r="B260" i="11" s="1"/>
  <c r="B384" i="11" s="1"/>
  <c r="B508" i="11" s="1"/>
  <c r="B632" i="11" s="1"/>
  <c r="B5" i="10"/>
  <c r="B10" i="11" s="1"/>
  <c r="B134" i="11" s="1"/>
  <c r="B258" i="11" s="1"/>
  <c r="B382" i="11" s="1"/>
  <c r="B506" i="11" s="1"/>
  <c r="B630" i="11" s="1"/>
  <c r="B14" i="10"/>
  <c r="B19" i="11" s="1"/>
  <c r="B143" i="11" s="1"/>
  <c r="B267" i="11" s="1"/>
  <c r="B391" i="11" s="1"/>
  <c r="B515" i="11" s="1"/>
  <c r="B639" i="11" s="1"/>
  <c r="B12" i="10"/>
  <c r="B17" i="11" s="1"/>
  <c r="B141" i="11" s="1"/>
  <c r="B265" i="11" s="1"/>
  <c r="B389" i="11" s="1"/>
  <c r="B513" i="11" s="1"/>
  <c r="B637" i="11" s="1"/>
  <c r="B10" i="10"/>
  <c r="B15" i="11" s="1"/>
  <c r="B139" i="11" s="1"/>
  <c r="B263" i="11" s="1"/>
  <c r="B387" i="11" s="1"/>
  <c r="B511" i="11" s="1"/>
  <c r="B635" i="11" s="1"/>
  <c r="B8" i="10"/>
  <c r="B13" i="11" s="1"/>
  <c r="B137" i="11" s="1"/>
  <c r="B261" i="11" s="1"/>
  <c r="B385" i="11" s="1"/>
  <c r="B509" i="11" s="1"/>
  <c r="B633" i="11" s="1"/>
  <c r="B6" i="10"/>
  <c r="B11" i="11" s="1"/>
  <c r="B135" i="11" s="1"/>
  <c r="B259" i="11" s="1"/>
  <c r="B383" i="11" s="1"/>
  <c r="B507" i="11" s="1"/>
  <c r="B631" i="11" s="1"/>
  <c r="B4" i="10"/>
  <c r="B9" i="11" s="1"/>
  <c r="B133" i="11" s="1"/>
  <c r="B257" i="11" s="1"/>
  <c r="B381" i="11" s="1"/>
  <c r="B505" i="11" s="1"/>
  <c r="B629" i="11" s="1"/>
  <c r="F14" i="10"/>
  <c r="F19" i="11" s="1"/>
  <c r="F12" i="10"/>
  <c r="F17" i="11" s="1"/>
  <c r="F10" i="10"/>
  <c r="F15" i="11" s="1"/>
  <c r="F8" i="10"/>
  <c r="F13" i="11" s="1"/>
  <c r="F6" i="10"/>
  <c r="F11" i="11" s="1"/>
  <c r="F4" i="10"/>
  <c r="F9" i="11" s="1"/>
  <c r="N87" i="12"/>
  <c r="L202" i="12" s="1"/>
  <c r="S96" i="12"/>
  <c r="S110" i="12"/>
  <c r="S118" i="12"/>
  <c r="F121" i="12"/>
  <c r="F176" i="12" s="1"/>
  <c r="S126" i="12"/>
  <c r="F146" i="12"/>
  <c r="J147" i="12"/>
  <c r="E24" i="36" s="1"/>
  <c r="R147" i="12"/>
  <c r="M24" i="36" s="1"/>
  <c r="S165" i="12"/>
  <c r="C13" i="36"/>
  <c r="J20" i="16"/>
  <c r="M18" i="27"/>
  <c r="C24" i="28"/>
  <c r="J18" i="29"/>
  <c r="D9" i="30"/>
  <c r="E9" i="30" s="1"/>
  <c r="F9" i="30" s="1"/>
  <c r="G9" i="30" s="1"/>
  <c r="H9" i="30" s="1"/>
  <c r="I9" i="30" s="1"/>
  <c r="J9" i="30" s="1"/>
  <c r="K9" i="30" s="1"/>
  <c r="L9" i="30" s="1"/>
  <c r="M9" i="30" s="1"/>
  <c r="J18" i="31"/>
  <c r="L18" i="33"/>
  <c r="D5" i="10"/>
  <c r="D10" i="11" s="1"/>
  <c r="D13" i="10"/>
  <c r="D18" i="11" s="1"/>
  <c r="D21" i="10"/>
  <c r="D26" i="11" s="1"/>
  <c r="D29" i="10"/>
  <c r="D34" i="11" s="1"/>
  <c r="D37" i="10"/>
  <c r="D42" i="11" s="1"/>
  <c r="D45" i="10"/>
  <c r="D50" i="11" s="1"/>
  <c r="B55" i="10"/>
  <c r="B60" i="11" s="1"/>
  <c r="B184" i="11" s="1"/>
  <c r="B308" i="11" s="1"/>
  <c r="B432" i="11" s="1"/>
  <c r="B556" i="11" s="1"/>
  <c r="B680" i="11" s="1"/>
  <c r="B64" i="10"/>
  <c r="B69" i="11" s="1"/>
  <c r="B193" i="11" s="1"/>
  <c r="B317" i="11" s="1"/>
  <c r="B441" i="11" s="1"/>
  <c r="B565" i="11" s="1"/>
  <c r="B689" i="11" s="1"/>
  <c r="B72" i="10"/>
  <c r="B77" i="11" s="1"/>
  <c r="B201" i="11" s="1"/>
  <c r="B325" i="11" s="1"/>
  <c r="B449" i="11" s="1"/>
  <c r="B573" i="11" s="1"/>
  <c r="B697" i="11" s="1"/>
  <c r="B80" i="10"/>
  <c r="B85" i="11" s="1"/>
  <c r="B209" i="11" s="1"/>
  <c r="B333" i="11" s="1"/>
  <c r="B457" i="11" s="1"/>
  <c r="B581" i="11" s="1"/>
  <c r="B705" i="11" s="1"/>
  <c r="B88" i="10"/>
  <c r="B93" i="11" s="1"/>
  <c r="B217" i="11" s="1"/>
  <c r="B341" i="11" s="1"/>
  <c r="B465" i="11" s="1"/>
  <c r="B589" i="11" s="1"/>
  <c r="B713" i="11" s="1"/>
  <c r="F136" i="11"/>
  <c r="C260" i="11"/>
  <c r="F144" i="11"/>
  <c r="C268" i="11"/>
  <c r="F152" i="11"/>
  <c r="C276" i="11"/>
  <c r="F160" i="11"/>
  <c r="C284" i="11"/>
  <c r="F168" i="11"/>
  <c r="C292" i="11"/>
  <c r="F176" i="11"/>
  <c r="C300" i="11"/>
  <c r="F184" i="11"/>
  <c r="C308" i="11"/>
  <c r="F193" i="11"/>
  <c r="C317" i="11"/>
  <c r="F201" i="11"/>
  <c r="C325" i="11"/>
  <c r="C333" i="11"/>
  <c r="F217" i="11"/>
  <c r="C341" i="11"/>
  <c r="N100" i="11"/>
  <c r="M100" i="11"/>
  <c r="D224" i="11"/>
  <c r="D348" i="11" s="1"/>
  <c r="D472" i="11" s="1"/>
  <c r="D596" i="11" s="1"/>
  <c r="D720" i="11" s="1"/>
  <c r="K100" i="11"/>
  <c r="J100" i="11"/>
  <c r="Q100" i="11"/>
  <c r="I100" i="11"/>
  <c r="P100" i="11"/>
  <c r="H100" i="11"/>
  <c r="G224" i="11"/>
  <c r="H224" i="11" s="1"/>
  <c r="O100" i="11"/>
  <c r="G100" i="11"/>
  <c r="N104" i="11"/>
  <c r="H352" i="11"/>
  <c r="M104" i="11"/>
  <c r="G352" i="11"/>
  <c r="G476" i="11" s="1"/>
  <c r="D228" i="11"/>
  <c r="D352" i="11" s="1"/>
  <c r="D476" i="11" s="1"/>
  <c r="D600" i="11" s="1"/>
  <c r="D724" i="11" s="1"/>
  <c r="K104" i="11"/>
  <c r="J104" i="11"/>
  <c r="Q104" i="11"/>
  <c r="I104" i="11"/>
  <c r="H228" i="11"/>
  <c r="I352" i="11" s="1"/>
  <c r="I476" i="11" s="1"/>
  <c r="P104" i="11"/>
  <c r="H104" i="11"/>
  <c r="G228" i="11"/>
  <c r="O104" i="11"/>
  <c r="G104" i="11"/>
  <c r="N108" i="11"/>
  <c r="M108" i="11"/>
  <c r="D232" i="11"/>
  <c r="D356" i="11" s="1"/>
  <c r="D480" i="11" s="1"/>
  <c r="D604" i="11" s="1"/>
  <c r="D728" i="11" s="1"/>
  <c r="K108" i="11"/>
  <c r="J108" i="11"/>
  <c r="Q108" i="11"/>
  <c r="I108" i="11"/>
  <c r="H232" i="11"/>
  <c r="I356" i="11" s="1"/>
  <c r="I480" i="11" s="1"/>
  <c r="P108" i="11"/>
  <c r="H108" i="11"/>
  <c r="G232" i="11"/>
  <c r="H356" i="11" s="1"/>
  <c r="H480" i="11" s="1"/>
  <c r="O108" i="11"/>
  <c r="G108" i="11"/>
  <c r="N112" i="11"/>
  <c r="H360" i="11"/>
  <c r="H484" i="11" s="1"/>
  <c r="M112" i="11"/>
  <c r="G360" i="11"/>
  <c r="D236" i="11"/>
  <c r="D360" i="11" s="1"/>
  <c r="D484" i="11" s="1"/>
  <c r="D608" i="11" s="1"/>
  <c r="D732" i="11" s="1"/>
  <c r="K112" i="11"/>
  <c r="J112" i="11"/>
  <c r="Q112" i="11"/>
  <c r="I112" i="11"/>
  <c r="H236" i="11"/>
  <c r="I236" i="11" s="1"/>
  <c r="P112" i="11"/>
  <c r="H112" i="11"/>
  <c r="G236" i="11"/>
  <c r="O112" i="11"/>
  <c r="G112" i="11"/>
  <c r="N116" i="11"/>
  <c r="M116" i="11"/>
  <c r="D240" i="11"/>
  <c r="D364" i="11" s="1"/>
  <c r="D488" i="11" s="1"/>
  <c r="D612" i="11" s="1"/>
  <c r="D736" i="11" s="1"/>
  <c r="K116" i="11"/>
  <c r="J116" i="11"/>
  <c r="Q116" i="11"/>
  <c r="I116" i="11"/>
  <c r="P116" i="11"/>
  <c r="H116" i="11"/>
  <c r="G240" i="11"/>
  <c r="H364" i="11" s="1"/>
  <c r="H488" i="11" s="1"/>
  <c r="O116" i="11"/>
  <c r="G116" i="11"/>
  <c r="F243" i="11"/>
  <c r="C367" i="11"/>
  <c r="F251" i="11"/>
  <c r="C375" i="11"/>
  <c r="J622" i="11"/>
  <c r="J614" i="11"/>
  <c r="J606" i="11"/>
  <c r="J598" i="11"/>
  <c r="J590" i="11"/>
  <c r="J582" i="11"/>
  <c r="J574" i="11"/>
  <c r="J566" i="11"/>
  <c r="J623" i="11"/>
  <c r="J615" i="11"/>
  <c r="J607" i="11"/>
  <c r="J599" i="11"/>
  <c r="J591" i="11"/>
  <c r="J583" i="11"/>
  <c r="J575" i="11"/>
  <c r="J567" i="11"/>
  <c r="J624" i="11"/>
  <c r="J616" i="11"/>
  <c r="J608" i="11"/>
  <c r="J600" i="11"/>
  <c r="J592" i="11"/>
  <c r="J584" i="11"/>
  <c r="J576" i="11"/>
  <c r="J618" i="11"/>
  <c r="J610" i="11"/>
  <c r="J602" i="11"/>
  <c r="J594" i="11"/>
  <c r="J586" i="11"/>
  <c r="J578" i="11"/>
  <c r="J619" i="11"/>
  <c r="J611" i="11"/>
  <c r="J603" i="11"/>
  <c r="J595" i="11"/>
  <c r="J587" i="11"/>
  <c r="J579" i="11"/>
  <c r="J571" i="11"/>
  <c r="J563" i="11"/>
  <c r="J620" i="11"/>
  <c r="J612" i="11"/>
  <c r="J604" i="11"/>
  <c r="J596" i="11"/>
  <c r="H720" i="11" s="1"/>
  <c r="J588" i="11"/>
  <c r="J580" i="11"/>
  <c r="J572" i="11"/>
  <c r="G118" i="11"/>
  <c r="O118" i="11"/>
  <c r="G119" i="11"/>
  <c r="O119" i="11"/>
  <c r="G120" i="11"/>
  <c r="O120" i="11"/>
  <c r="G121" i="11"/>
  <c r="O121" i="11"/>
  <c r="G122" i="11"/>
  <c r="O122" i="11"/>
  <c r="G123" i="11"/>
  <c r="O123" i="11"/>
  <c r="G124" i="11"/>
  <c r="O124" i="11"/>
  <c r="G125" i="11"/>
  <c r="O125" i="11"/>
  <c r="G126" i="11"/>
  <c r="O126" i="11"/>
  <c r="G127" i="11"/>
  <c r="O127" i="11"/>
  <c r="G128" i="11"/>
  <c r="O128" i="11"/>
  <c r="G242" i="11"/>
  <c r="H366" i="11" s="1"/>
  <c r="H490" i="11" s="1"/>
  <c r="G243" i="11"/>
  <c r="G244" i="11"/>
  <c r="H368" i="11" s="1"/>
  <c r="H492" i="11" s="1"/>
  <c r="G245" i="11"/>
  <c r="H245" i="11" s="1"/>
  <c r="G246" i="11"/>
  <c r="H370" i="11" s="1"/>
  <c r="H494" i="11" s="1"/>
  <c r="G247" i="11"/>
  <c r="G248" i="11"/>
  <c r="H372" i="11" s="1"/>
  <c r="H496" i="11" s="1"/>
  <c r="G249" i="11"/>
  <c r="H249" i="11" s="1"/>
  <c r="G250" i="11"/>
  <c r="H374" i="11" s="1"/>
  <c r="H498" i="11" s="1"/>
  <c r="G251" i="11"/>
  <c r="G252" i="11"/>
  <c r="H376" i="11" s="1"/>
  <c r="H500" i="11" s="1"/>
  <c r="H505" i="11"/>
  <c r="P505" i="11"/>
  <c r="J507" i="11"/>
  <c r="K508" i="11"/>
  <c r="L509" i="11"/>
  <c r="M510" i="11"/>
  <c r="N511" i="11"/>
  <c r="H513" i="11"/>
  <c r="P513" i="11"/>
  <c r="J515" i="11"/>
  <c r="K516" i="11"/>
  <c r="L517" i="11"/>
  <c r="M518" i="11"/>
  <c r="N519" i="11"/>
  <c r="H521" i="11"/>
  <c r="P521" i="11"/>
  <c r="J523" i="11"/>
  <c r="K524" i="11"/>
  <c r="L525" i="11"/>
  <c r="M526" i="11"/>
  <c r="N527" i="11"/>
  <c r="H529" i="11"/>
  <c r="H653" i="11" s="1"/>
  <c r="P529" i="11"/>
  <c r="J531" i="11"/>
  <c r="K532" i="11"/>
  <c r="L533" i="11"/>
  <c r="M534" i="11"/>
  <c r="N535" i="11"/>
  <c r="H537" i="11"/>
  <c r="P537" i="11"/>
  <c r="J539" i="11"/>
  <c r="K540" i="11"/>
  <c r="L541" i="11"/>
  <c r="M542" i="11"/>
  <c r="N543" i="11"/>
  <c r="H545" i="11"/>
  <c r="P545" i="11"/>
  <c r="J547" i="11"/>
  <c r="K548" i="11"/>
  <c r="L549" i="11"/>
  <c r="M550" i="11"/>
  <c r="N551" i="11"/>
  <c r="H553" i="11"/>
  <c r="P553" i="11"/>
  <c r="J555" i="11"/>
  <c r="K556" i="11"/>
  <c r="L557" i="11"/>
  <c r="M558" i="11"/>
  <c r="N559" i="11"/>
  <c r="K562" i="11"/>
  <c r="M564" i="11"/>
  <c r="K565" i="11"/>
  <c r="H566" i="11"/>
  <c r="J568" i="11"/>
  <c r="K569" i="11"/>
  <c r="L570" i="11"/>
  <c r="K582" i="11"/>
  <c r="M584" i="11"/>
  <c r="H595" i="11"/>
  <c r="H719" i="11" s="1"/>
  <c r="J597" i="11"/>
  <c r="L599" i="11"/>
  <c r="N601" i="11"/>
  <c r="P603" i="11"/>
  <c r="M616" i="11"/>
  <c r="Q101" i="39"/>
  <c r="Q102" i="39"/>
  <c r="M22" i="38"/>
  <c r="D138" i="38"/>
  <c r="K623" i="11"/>
  <c r="K615" i="11"/>
  <c r="K607" i="11"/>
  <c r="K599" i="11"/>
  <c r="K591" i="11"/>
  <c r="K583" i="11"/>
  <c r="K575" i="11"/>
  <c r="K567" i="11"/>
  <c r="K624" i="11"/>
  <c r="K616" i="11"/>
  <c r="K608" i="11"/>
  <c r="K600" i="11"/>
  <c r="K592" i="11"/>
  <c r="K584" i="11"/>
  <c r="K576" i="11"/>
  <c r="K568" i="11"/>
  <c r="K560" i="11"/>
  <c r="K617" i="11"/>
  <c r="K609" i="11"/>
  <c r="K601" i="11"/>
  <c r="K593" i="11"/>
  <c r="K585" i="11"/>
  <c r="K577" i="11"/>
  <c r="K619" i="11"/>
  <c r="K611" i="11"/>
  <c r="K603" i="11"/>
  <c r="K595" i="11"/>
  <c r="K587" i="11"/>
  <c r="K579" i="11"/>
  <c r="K571" i="11"/>
  <c r="K620" i="11"/>
  <c r="K612" i="11"/>
  <c r="K604" i="11"/>
  <c r="K596" i="11"/>
  <c r="K588" i="11"/>
  <c r="K580" i="11"/>
  <c r="K572" i="11"/>
  <c r="K564" i="11"/>
  <c r="K621" i="11"/>
  <c r="K613" i="11"/>
  <c r="K605" i="11"/>
  <c r="K597" i="11"/>
  <c r="K589" i="11"/>
  <c r="K581" i="11"/>
  <c r="K573" i="11"/>
  <c r="H118" i="11"/>
  <c r="P118" i="11"/>
  <c r="H119" i="11"/>
  <c r="P119" i="11"/>
  <c r="H120" i="11"/>
  <c r="P120" i="11"/>
  <c r="H121" i="11"/>
  <c r="P121" i="11"/>
  <c r="H122" i="11"/>
  <c r="P122" i="11"/>
  <c r="H123" i="11"/>
  <c r="P123" i="11"/>
  <c r="H124" i="11"/>
  <c r="P124" i="11"/>
  <c r="H125" i="11"/>
  <c r="P125" i="11"/>
  <c r="H126" i="11"/>
  <c r="P126" i="11"/>
  <c r="H127" i="11"/>
  <c r="P127" i="11"/>
  <c r="H128" i="11"/>
  <c r="P128" i="11"/>
  <c r="H242" i="11"/>
  <c r="I366" i="11" s="1"/>
  <c r="I490" i="11" s="1"/>
  <c r="H243" i="11"/>
  <c r="I243" i="11" s="1"/>
  <c r="H246" i="11"/>
  <c r="I370" i="11" s="1"/>
  <c r="I494" i="11" s="1"/>
  <c r="H247" i="11"/>
  <c r="I247" i="11" s="1"/>
  <c r="H250" i="11"/>
  <c r="I374" i="11" s="1"/>
  <c r="I498" i="11" s="1"/>
  <c r="H251" i="11"/>
  <c r="I251" i="11" s="1"/>
  <c r="J506" i="11"/>
  <c r="K507" i="11"/>
  <c r="L508" i="11"/>
  <c r="M509" i="11"/>
  <c r="N510" i="11"/>
  <c r="H512" i="11"/>
  <c r="H636" i="11" s="1"/>
  <c r="P512" i="11"/>
  <c r="J514" i="11"/>
  <c r="K515" i="11"/>
  <c r="L516" i="11"/>
  <c r="M517" i="11"/>
  <c r="N518" i="11"/>
  <c r="H520" i="11"/>
  <c r="P520" i="11"/>
  <c r="J522" i="11"/>
  <c r="K523" i="11"/>
  <c r="L524" i="11"/>
  <c r="M525" i="11"/>
  <c r="N526" i="11"/>
  <c r="H528" i="11"/>
  <c r="P528" i="11"/>
  <c r="J530" i="11"/>
  <c r="K531" i="11"/>
  <c r="L532" i="11"/>
  <c r="M533" i="11"/>
  <c r="N534" i="11"/>
  <c r="H536" i="11"/>
  <c r="P536" i="11"/>
  <c r="J538" i="11"/>
  <c r="K539" i="11"/>
  <c r="L540" i="11"/>
  <c r="M541" i="11"/>
  <c r="N542" i="11"/>
  <c r="H544" i="11"/>
  <c r="H668" i="11" s="1"/>
  <c r="P544" i="11"/>
  <c r="J546" i="11"/>
  <c r="K547" i="11"/>
  <c r="L548" i="11"/>
  <c r="M549" i="11"/>
  <c r="N550" i="11"/>
  <c r="H552" i="11"/>
  <c r="P552" i="11"/>
  <c r="J554" i="11"/>
  <c r="K555" i="11"/>
  <c r="L556" i="11"/>
  <c r="M557" i="11"/>
  <c r="N558" i="11"/>
  <c r="J560" i="11"/>
  <c r="L562" i="11"/>
  <c r="H563" i="11"/>
  <c r="N564" i="11"/>
  <c r="M565" i="11"/>
  <c r="K566" i="11"/>
  <c r="L567" i="11"/>
  <c r="M568" i="11"/>
  <c r="N569" i="11"/>
  <c r="K578" i="11"/>
  <c r="M580" i="11"/>
  <c r="H591" i="11"/>
  <c r="J593" i="11"/>
  <c r="N597" i="11"/>
  <c r="P599" i="11"/>
  <c r="K610" i="11"/>
  <c r="M612" i="11"/>
  <c r="H736" i="11" s="1"/>
  <c r="H623" i="11"/>
  <c r="P135" i="38"/>
  <c r="L624" i="11"/>
  <c r="L616" i="11"/>
  <c r="L608" i="11"/>
  <c r="L600" i="11"/>
  <c r="L592" i="11"/>
  <c r="L584" i="11"/>
  <c r="L576" i="11"/>
  <c r="L568" i="11"/>
  <c r="L617" i="11"/>
  <c r="L609" i="11"/>
  <c r="L601" i="11"/>
  <c r="L593" i="11"/>
  <c r="L585" i="11"/>
  <c r="L577" i="11"/>
  <c r="L569" i="11"/>
  <c r="L561" i="11"/>
  <c r="L618" i="11"/>
  <c r="L610" i="11"/>
  <c r="L602" i="11"/>
  <c r="L594" i="11"/>
  <c r="L586" i="11"/>
  <c r="L578" i="11"/>
  <c r="L620" i="11"/>
  <c r="L612" i="11"/>
  <c r="L604" i="11"/>
  <c r="L596" i="11"/>
  <c r="L588" i="11"/>
  <c r="L580" i="11"/>
  <c r="L572" i="11"/>
  <c r="L621" i="11"/>
  <c r="L613" i="11"/>
  <c r="L605" i="11"/>
  <c r="L597" i="11"/>
  <c r="L589" i="11"/>
  <c r="L581" i="11"/>
  <c r="L573" i="11"/>
  <c r="L565" i="11"/>
  <c r="L622" i="11"/>
  <c r="L614" i="11"/>
  <c r="L606" i="11"/>
  <c r="L598" i="11"/>
  <c r="L590" i="11"/>
  <c r="L582" i="11"/>
  <c r="L574" i="11"/>
  <c r="L566" i="11"/>
  <c r="I118" i="11"/>
  <c r="Q118" i="11"/>
  <c r="I119" i="11"/>
  <c r="Q119" i="11"/>
  <c r="I120" i="11"/>
  <c r="Q120" i="11"/>
  <c r="I121" i="11"/>
  <c r="Q121" i="11"/>
  <c r="I122" i="11"/>
  <c r="Q122" i="11"/>
  <c r="I123" i="11"/>
  <c r="Q123" i="11"/>
  <c r="I124" i="11"/>
  <c r="Q124" i="11"/>
  <c r="I125" i="11"/>
  <c r="Q125" i="11"/>
  <c r="I126" i="11"/>
  <c r="Q126" i="11"/>
  <c r="I127" i="11"/>
  <c r="Q127" i="11"/>
  <c r="I128" i="11"/>
  <c r="Q128" i="11"/>
  <c r="J505" i="11"/>
  <c r="K506" i="11"/>
  <c r="L507" i="11"/>
  <c r="M508" i="11"/>
  <c r="N509" i="11"/>
  <c r="H511" i="11"/>
  <c r="H635" i="11" s="1"/>
  <c r="P511" i="11"/>
  <c r="J513" i="11"/>
  <c r="K514" i="11"/>
  <c r="L515" i="11"/>
  <c r="M516" i="11"/>
  <c r="N517" i="11"/>
  <c r="H519" i="11"/>
  <c r="P519" i="11"/>
  <c r="J521" i="11"/>
  <c r="K522" i="11"/>
  <c r="L523" i="11"/>
  <c r="M524" i="11"/>
  <c r="N525" i="11"/>
  <c r="H527" i="11"/>
  <c r="P527" i="11"/>
  <c r="J529" i="11"/>
  <c r="K530" i="11"/>
  <c r="L531" i="11"/>
  <c r="M532" i="11"/>
  <c r="N533" i="11"/>
  <c r="H535" i="11"/>
  <c r="P535" i="11"/>
  <c r="J537" i="11"/>
  <c r="K538" i="11"/>
  <c r="L539" i="11"/>
  <c r="M540" i="11"/>
  <c r="N541" i="11"/>
  <c r="H543" i="11"/>
  <c r="P543" i="11"/>
  <c r="J545" i="11"/>
  <c r="K546" i="11"/>
  <c r="L547" i="11"/>
  <c r="M548" i="11"/>
  <c r="N549" i="11"/>
  <c r="H551" i="11"/>
  <c r="H675" i="11" s="1"/>
  <c r="P551" i="11"/>
  <c r="J553" i="11"/>
  <c r="K554" i="11"/>
  <c r="L555" i="11"/>
  <c r="M556" i="11"/>
  <c r="N557" i="11"/>
  <c r="H559" i="11"/>
  <c r="P559" i="11"/>
  <c r="L560" i="11"/>
  <c r="N562" i="11"/>
  <c r="N565" i="11"/>
  <c r="N566" i="11"/>
  <c r="P568" i="11"/>
  <c r="K574" i="11"/>
  <c r="M576" i="11"/>
  <c r="H587" i="11"/>
  <c r="J589" i="11"/>
  <c r="L591" i="11"/>
  <c r="N593" i="11"/>
  <c r="P595" i="11"/>
  <c r="K606" i="11"/>
  <c r="H619" i="11"/>
  <c r="H743" i="11" s="1"/>
  <c r="J621" i="11"/>
  <c r="L623" i="11"/>
  <c r="D26" i="38"/>
  <c r="H54" i="38"/>
  <c r="M617" i="11"/>
  <c r="M609" i="11"/>
  <c r="M601" i="11"/>
  <c r="M593" i="11"/>
  <c r="M585" i="11"/>
  <c r="M577" i="11"/>
  <c r="M569" i="11"/>
  <c r="M618" i="11"/>
  <c r="M610" i="11"/>
  <c r="M602" i="11"/>
  <c r="M594" i="11"/>
  <c r="M586" i="11"/>
  <c r="M578" i="11"/>
  <c r="M570" i="11"/>
  <c r="M562" i="11"/>
  <c r="M619" i="11"/>
  <c r="M611" i="11"/>
  <c r="M603" i="11"/>
  <c r="M595" i="11"/>
  <c r="M587" i="11"/>
  <c r="M579" i="11"/>
  <c r="M621" i="11"/>
  <c r="M613" i="11"/>
  <c r="M605" i="11"/>
  <c r="M597" i="11"/>
  <c r="M589" i="11"/>
  <c r="M581" i="11"/>
  <c r="M573" i="11"/>
  <c r="M622" i="11"/>
  <c r="M614" i="11"/>
  <c r="M606" i="11"/>
  <c r="M598" i="11"/>
  <c r="M590" i="11"/>
  <c r="M582" i="11"/>
  <c r="M574" i="11"/>
  <c r="M566" i="11"/>
  <c r="M623" i="11"/>
  <c r="M615" i="11"/>
  <c r="M607" i="11"/>
  <c r="M599" i="11"/>
  <c r="M591" i="11"/>
  <c r="M583" i="11"/>
  <c r="M575" i="11"/>
  <c r="M567" i="11"/>
  <c r="J118" i="11"/>
  <c r="J119" i="11"/>
  <c r="J120" i="11"/>
  <c r="J121" i="11"/>
  <c r="J122" i="11"/>
  <c r="J123" i="11"/>
  <c r="J124" i="11"/>
  <c r="J125" i="11"/>
  <c r="J126" i="11"/>
  <c r="J127" i="11"/>
  <c r="J128" i="11"/>
  <c r="K505" i="11"/>
  <c r="L506" i="11"/>
  <c r="M507" i="11"/>
  <c r="N508" i="11"/>
  <c r="H510" i="11"/>
  <c r="P510" i="11"/>
  <c r="J512" i="11"/>
  <c r="K513" i="11"/>
  <c r="L514" i="11"/>
  <c r="M515" i="11"/>
  <c r="H639" i="11" s="1"/>
  <c r="N516" i="11"/>
  <c r="H518" i="11"/>
  <c r="P518" i="11"/>
  <c r="J520" i="11"/>
  <c r="K521" i="11"/>
  <c r="L522" i="11"/>
  <c r="M523" i="11"/>
  <c r="N524" i="11"/>
  <c r="H526" i="11"/>
  <c r="H650" i="11" s="1"/>
  <c r="P526" i="11"/>
  <c r="J528" i="11"/>
  <c r="K529" i="11"/>
  <c r="L530" i="11"/>
  <c r="M531" i="11"/>
  <c r="N532" i="11"/>
  <c r="H534" i="11"/>
  <c r="P534" i="11"/>
  <c r="J536" i="11"/>
  <c r="K537" i="11"/>
  <c r="L538" i="11"/>
  <c r="M539" i="11"/>
  <c r="N540" i="11"/>
  <c r="H542" i="11"/>
  <c r="H666" i="11" s="1"/>
  <c r="P542" i="11"/>
  <c r="J544" i="11"/>
  <c r="K545" i="11"/>
  <c r="L546" i="11"/>
  <c r="M547" i="11"/>
  <c r="N548" i="11"/>
  <c r="H550" i="11"/>
  <c r="P550" i="11"/>
  <c r="J552" i="11"/>
  <c r="K553" i="11"/>
  <c r="L554" i="11"/>
  <c r="M555" i="11"/>
  <c r="N556" i="11"/>
  <c r="H558" i="11"/>
  <c r="P558" i="11"/>
  <c r="M560" i="11"/>
  <c r="K563" i="11"/>
  <c r="P567" i="11"/>
  <c r="M572" i="11"/>
  <c r="H583" i="11"/>
  <c r="J585" i="11"/>
  <c r="L587" i="11"/>
  <c r="N589" i="11"/>
  <c r="P591" i="11"/>
  <c r="K602" i="11"/>
  <c r="M604" i="11"/>
  <c r="H615" i="11"/>
  <c r="J617" i="11"/>
  <c r="L619" i="11"/>
  <c r="P623" i="11"/>
  <c r="L102" i="39"/>
  <c r="L104" i="39" s="1"/>
  <c r="L101" i="39"/>
  <c r="T101" i="39"/>
  <c r="E80" i="38"/>
  <c r="E136" i="38"/>
  <c r="P14" i="39"/>
  <c r="Q13" i="39"/>
  <c r="O14" i="39"/>
  <c r="P13" i="39"/>
  <c r="V14" i="39"/>
  <c r="N14" i="39"/>
  <c r="O13" i="39"/>
  <c r="K4" i="39"/>
  <c r="U14" i="39"/>
  <c r="M14" i="39"/>
  <c r="V13" i="39"/>
  <c r="N13" i="39"/>
  <c r="T14" i="39"/>
  <c r="L14" i="39"/>
  <c r="U13" i="39"/>
  <c r="M13" i="39"/>
  <c r="S14" i="39"/>
  <c r="K14" i="39"/>
  <c r="T13" i="39"/>
  <c r="L13" i="39"/>
  <c r="R14" i="39"/>
  <c r="J14" i="39"/>
  <c r="S13" i="39"/>
  <c r="K13" i="39"/>
  <c r="Q14" i="39"/>
  <c r="R13" i="39"/>
  <c r="J13" i="39"/>
  <c r="K5" i="39"/>
  <c r="N618" i="11"/>
  <c r="N610" i="11"/>
  <c r="N602" i="11"/>
  <c r="N594" i="11"/>
  <c r="N586" i="11"/>
  <c r="N578" i="11"/>
  <c r="N570" i="11"/>
  <c r="N619" i="11"/>
  <c r="N611" i="11"/>
  <c r="N603" i="11"/>
  <c r="N595" i="11"/>
  <c r="N587" i="11"/>
  <c r="N579" i="11"/>
  <c r="N571" i="11"/>
  <c r="N563" i="11"/>
  <c r="N620" i="11"/>
  <c r="N612" i="11"/>
  <c r="N604" i="11"/>
  <c r="N596" i="11"/>
  <c r="N588" i="11"/>
  <c r="N580" i="11"/>
  <c r="N572" i="11"/>
  <c r="N622" i="11"/>
  <c r="N614" i="11"/>
  <c r="N606" i="11"/>
  <c r="N598" i="11"/>
  <c r="N590" i="11"/>
  <c r="N582" i="11"/>
  <c r="N574" i="11"/>
  <c r="N623" i="11"/>
  <c r="N615" i="11"/>
  <c r="N607" i="11"/>
  <c r="N599" i="11"/>
  <c r="N591" i="11"/>
  <c r="N583" i="11"/>
  <c r="N575" i="11"/>
  <c r="N567" i="11"/>
  <c r="N624" i="11"/>
  <c r="N616" i="11"/>
  <c r="N608" i="11"/>
  <c r="N600" i="11"/>
  <c r="N592" i="11"/>
  <c r="N584" i="11"/>
  <c r="N576" i="11"/>
  <c r="N568" i="11"/>
  <c r="K118" i="11"/>
  <c r="K119" i="11"/>
  <c r="K120" i="11"/>
  <c r="K121" i="11"/>
  <c r="K122" i="11"/>
  <c r="K123" i="11"/>
  <c r="K124" i="11"/>
  <c r="K125" i="11"/>
  <c r="K126" i="11"/>
  <c r="K127" i="11"/>
  <c r="K128" i="11"/>
  <c r="L505" i="11"/>
  <c r="H629" i="11" s="1"/>
  <c r="M506" i="11"/>
  <c r="N507" i="11"/>
  <c r="H509" i="11"/>
  <c r="P509" i="11"/>
  <c r="J511" i="11"/>
  <c r="K512" i="11"/>
  <c r="L513" i="11"/>
  <c r="M514" i="11"/>
  <c r="N515" i="11"/>
  <c r="H517" i="11"/>
  <c r="P517" i="11"/>
  <c r="J519" i="11"/>
  <c r="K520" i="11"/>
  <c r="L521" i="11"/>
  <c r="M522" i="11"/>
  <c r="N523" i="11"/>
  <c r="H525" i="11"/>
  <c r="P525" i="11"/>
  <c r="J527" i="11"/>
  <c r="K528" i="11"/>
  <c r="L529" i="11"/>
  <c r="M530" i="11"/>
  <c r="N531" i="11"/>
  <c r="H533" i="11"/>
  <c r="H657" i="11" s="1"/>
  <c r="P533" i="11"/>
  <c r="J535" i="11"/>
  <c r="K536" i="11"/>
  <c r="L537" i="11"/>
  <c r="M538" i="11"/>
  <c r="N539" i="11"/>
  <c r="H541" i="11"/>
  <c r="P541" i="11"/>
  <c r="J543" i="11"/>
  <c r="K544" i="11"/>
  <c r="L545" i="11"/>
  <c r="M546" i="11"/>
  <c r="N547" i="11"/>
  <c r="H549" i="11"/>
  <c r="P549" i="11"/>
  <c r="J551" i="11"/>
  <c r="K552" i="11"/>
  <c r="L553" i="11"/>
  <c r="H677" i="11" s="1"/>
  <c r="M554" i="11"/>
  <c r="N555" i="11"/>
  <c r="H557" i="11"/>
  <c r="P557" i="11"/>
  <c r="J559" i="11"/>
  <c r="N560" i="11"/>
  <c r="J561" i="11"/>
  <c r="P562" i="11"/>
  <c r="L563" i="11"/>
  <c r="H564" i="11"/>
  <c r="P566" i="11"/>
  <c r="H571" i="11"/>
  <c r="H579" i="11"/>
  <c r="J581" i="11"/>
  <c r="L583" i="11"/>
  <c r="N585" i="11"/>
  <c r="P587" i="11"/>
  <c r="K598" i="11"/>
  <c r="M600" i="11"/>
  <c r="H611" i="11"/>
  <c r="H735" i="11" s="1"/>
  <c r="J613" i="11"/>
  <c r="L615" i="11"/>
  <c r="N617" i="11"/>
  <c r="P619" i="11"/>
  <c r="M16" i="50"/>
  <c r="L118" i="11"/>
  <c r="L119" i="11"/>
  <c r="L120" i="11"/>
  <c r="L121" i="11"/>
  <c r="L122" i="11"/>
  <c r="L123" i="11"/>
  <c r="L124" i="11"/>
  <c r="L125" i="11"/>
  <c r="L126" i="11"/>
  <c r="L127" i="11"/>
  <c r="L128" i="11"/>
  <c r="D242" i="11"/>
  <c r="D366" i="11" s="1"/>
  <c r="D490" i="11" s="1"/>
  <c r="D614" i="11" s="1"/>
  <c r="D738" i="11" s="1"/>
  <c r="D243" i="11"/>
  <c r="D367" i="11" s="1"/>
  <c r="D491" i="11" s="1"/>
  <c r="D615" i="11" s="1"/>
  <c r="D739" i="11" s="1"/>
  <c r="D244" i="11"/>
  <c r="D368" i="11" s="1"/>
  <c r="D492" i="11" s="1"/>
  <c r="D616" i="11" s="1"/>
  <c r="D740" i="11" s="1"/>
  <c r="D245" i="11"/>
  <c r="D369" i="11" s="1"/>
  <c r="D493" i="11" s="1"/>
  <c r="D617" i="11" s="1"/>
  <c r="D741" i="11" s="1"/>
  <c r="D246" i="11"/>
  <c r="D370" i="11" s="1"/>
  <c r="D494" i="11" s="1"/>
  <c r="D618" i="11" s="1"/>
  <c r="D742" i="11" s="1"/>
  <c r="D247" i="11"/>
  <c r="D371" i="11" s="1"/>
  <c r="D495" i="11" s="1"/>
  <c r="D619" i="11" s="1"/>
  <c r="D743" i="11" s="1"/>
  <c r="D248" i="11"/>
  <c r="D372" i="11" s="1"/>
  <c r="D496" i="11" s="1"/>
  <c r="D620" i="11" s="1"/>
  <c r="D744" i="11" s="1"/>
  <c r="D249" i="11"/>
  <c r="D373" i="11" s="1"/>
  <c r="D497" i="11" s="1"/>
  <c r="D621" i="11" s="1"/>
  <c r="D745" i="11" s="1"/>
  <c r="D250" i="11"/>
  <c r="D374" i="11" s="1"/>
  <c r="D498" i="11" s="1"/>
  <c r="D622" i="11" s="1"/>
  <c r="D746" i="11" s="1"/>
  <c r="D251" i="11"/>
  <c r="D375" i="11" s="1"/>
  <c r="D499" i="11" s="1"/>
  <c r="D623" i="11" s="1"/>
  <c r="D747" i="11" s="1"/>
  <c r="D252" i="11"/>
  <c r="D376" i="11" s="1"/>
  <c r="D500" i="11" s="1"/>
  <c r="D624" i="11" s="1"/>
  <c r="D748" i="11" s="1"/>
  <c r="G367" i="11"/>
  <c r="G491" i="11" s="1"/>
  <c r="G368" i="11"/>
  <c r="G371" i="11"/>
  <c r="G495" i="11" s="1"/>
  <c r="G372" i="11"/>
  <c r="G374" i="11"/>
  <c r="G375" i="11"/>
  <c r="G499" i="11" s="1"/>
  <c r="G376" i="11"/>
  <c r="M505" i="11"/>
  <c r="N506" i="11"/>
  <c r="H508" i="11"/>
  <c r="P508" i="11"/>
  <c r="J510" i="11"/>
  <c r="K511" i="11"/>
  <c r="L512" i="11"/>
  <c r="M513" i="11"/>
  <c r="N514" i="11"/>
  <c r="H516" i="11"/>
  <c r="P516" i="11"/>
  <c r="J518" i="11"/>
  <c r="K519" i="11"/>
  <c r="L520" i="11"/>
  <c r="M521" i="11"/>
  <c r="N522" i="11"/>
  <c r="H524" i="11"/>
  <c r="P524" i="11"/>
  <c r="J526" i="11"/>
  <c r="K527" i="11"/>
  <c r="L528" i="11"/>
  <c r="M529" i="11"/>
  <c r="N530" i="11"/>
  <c r="H532" i="11"/>
  <c r="P532" i="11"/>
  <c r="J534" i="11"/>
  <c r="K535" i="11"/>
  <c r="L536" i="11"/>
  <c r="M537" i="11"/>
  <c r="N538" i="11"/>
  <c r="H540" i="11"/>
  <c r="P540" i="11"/>
  <c r="J542" i="11"/>
  <c r="K543" i="11"/>
  <c r="L544" i="11"/>
  <c r="M545" i="11"/>
  <c r="N546" i="11"/>
  <c r="H548" i="11"/>
  <c r="P548" i="11"/>
  <c r="J550" i="11"/>
  <c r="K551" i="11"/>
  <c r="L552" i="11"/>
  <c r="M553" i="11"/>
  <c r="N554" i="11"/>
  <c r="H556" i="11"/>
  <c r="P556" i="11"/>
  <c r="J558" i="11"/>
  <c r="K559" i="11"/>
  <c r="P560" i="11"/>
  <c r="K561" i="11"/>
  <c r="M563" i="11"/>
  <c r="L571" i="11"/>
  <c r="H575" i="11"/>
  <c r="J577" i="11"/>
  <c r="L579" i="11"/>
  <c r="N581" i="11"/>
  <c r="P583" i="11"/>
  <c r="K594" i="11"/>
  <c r="M596" i="11"/>
  <c r="J609" i="11"/>
  <c r="L611" i="11"/>
  <c r="N613" i="11"/>
  <c r="H620" i="11"/>
  <c r="H612" i="11"/>
  <c r="H604" i="11"/>
  <c r="H596" i="11"/>
  <c r="H588" i="11"/>
  <c r="H712" i="11" s="1"/>
  <c r="H580" i="11"/>
  <c r="H572" i="11"/>
  <c r="H621" i="11"/>
  <c r="H613" i="11"/>
  <c r="H605" i="11"/>
  <c r="H597" i="11"/>
  <c r="H589" i="11"/>
  <c r="H581" i="11"/>
  <c r="H573" i="11"/>
  <c r="H565" i="11"/>
  <c r="H622" i="11"/>
  <c r="H614" i="11"/>
  <c r="H606" i="11"/>
  <c r="H598" i="11"/>
  <c r="H590" i="11"/>
  <c r="H714" i="11" s="1"/>
  <c r="H582" i="11"/>
  <c r="H574" i="11"/>
  <c r="H698" i="11" s="1"/>
  <c r="H624" i="11"/>
  <c r="H616" i="11"/>
  <c r="H608" i="11"/>
  <c r="H732" i="11" s="1"/>
  <c r="H600" i="11"/>
  <c r="H592" i="11"/>
  <c r="H716" i="11" s="1"/>
  <c r="H584" i="11"/>
  <c r="H576" i="11"/>
  <c r="H700" i="11" s="1"/>
  <c r="H617" i="11"/>
  <c r="H609" i="11"/>
  <c r="H601" i="11"/>
  <c r="H593" i="11"/>
  <c r="H585" i="11"/>
  <c r="H577" i="11"/>
  <c r="H701" i="11" s="1"/>
  <c r="H569" i="11"/>
  <c r="H561" i="11"/>
  <c r="H618" i="11"/>
  <c r="H742" i="11" s="1"/>
  <c r="H610" i="11"/>
  <c r="H734" i="11" s="1"/>
  <c r="H602" i="11"/>
  <c r="H594" i="11"/>
  <c r="H586" i="11"/>
  <c r="H578" i="11"/>
  <c r="H570" i="11"/>
  <c r="P620" i="11"/>
  <c r="P612" i="11"/>
  <c r="P604" i="11"/>
  <c r="P596" i="11"/>
  <c r="P588" i="11"/>
  <c r="P580" i="11"/>
  <c r="P572" i="11"/>
  <c r="P564" i="11"/>
  <c r="P621" i="11"/>
  <c r="P613" i="11"/>
  <c r="P605" i="11"/>
  <c r="P597" i="11"/>
  <c r="P589" i="11"/>
  <c r="P581" i="11"/>
  <c r="P573" i="11"/>
  <c r="P565" i="11"/>
  <c r="P622" i="11"/>
  <c r="P614" i="11"/>
  <c r="P606" i="11"/>
  <c r="P598" i="11"/>
  <c r="P590" i="11"/>
  <c r="P582" i="11"/>
  <c r="P574" i="11"/>
  <c r="P624" i="11"/>
  <c r="P616" i="11"/>
  <c r="P608" i="11"/>
  <c r="P600" i="11"/>
  <c r="P592" i="11"/>
  <c r="P584" i="11"/>
  <c r="P576" i="11"/>
  <c r="P617" i="11"/>
  <c r="P609" i="11"/>
  <c r="P601" i="11"/>
  <c r="P593" i="11"/>
  <c r="P585" i="11"/>
  <c r="P577" i="11"/>
  <c r="P569" i="11"/>
  <c r="P561" i="11"/>
  <c r="P618" i="11"/>
  <c r="P610" i="11"/>
  <c r="P602" i="11"/>
  <c r="P594" i="11"/>
  <c r="P586" i="11"/>
  <c r="P578" i="11"/>
  <c r="P570" i="11"/>
  <c r="M118" i="11"/>
  <c r="M119" i="11"/>
  <c r="M120" i="11"/>
  <c r="M121" i="11"/>
  <c r="M122" i="11"/>
  <c r="M123" i="11"/>
  <c r="M124" i="11"/>
  <c r="M125" i="11"/>
  <c r="M126" i="11"/>
  <c r="M127" i="11"/>
  <c r="M128" i="11"/>
  <c r="H367" i="11"/>
  <c r="H491" i="11" s="1"/>
  <c r="H371" i="11"/>
  <c r="H495" i="11" s="1"/>
  <c r="H375" i="11"/>
  <c r="H499" i="11" s="1"/>
  <c r="N505" i="11"/>
  <c r="H507" i="11"/>
  <c r="P507" i="11"/>
  <c r="J509" i="11"/>
  <c r="K510" i="11"/>
  <c r="L511" i="11"/>
  <c r="M512" i="11"/>
  <c r="N513" i="11"/>
  <c r="H515" i="11"/>
  <c r="P515" i="11"/>
  <c r="J517" i="11"/>
  <c r="K518" i="11"/>
  <c r="L519" i="11"/>
  <c r="M520" i="11"/>
  <c r="N521" i="11"/>
  <c r="H523" i="11"/>
  <c r="P523" i="11"/>
  <c r="J525" i="11"/>
  <c r="K526" i="11"/>
  <c r="L527" i="11"/>
  <c r="M528" i="11"/>
  <c r="N529" i="11"/>
  <c r="H531" i="11"/>
  <c r="H655" i="11" s="1"/>
  <c r="P531" i="11"/>
  <c r="J533" i="11"/>
  <c r="K534" i="11"/>
  <c r="L535" i="11"/>
  <c r="M536" i="11"/>
  <c r="N537" i="11"/>
  <c r="H539" i="11"/>
  <c r="H663" i="11" s="1"/>
  <c r="P539" i="11"/>
  <c r="J541" i="11"/>
  <c r="K542" i="11"/>
  <c r="L543" i="11"/>
  <c r="M544" i="11"/>
  <c r="N545" i="11"/>
  <c r="H547" i="11"/>
  <c r="H671" i="11" s="1"/>
  <c r="P547" i="11"/>
  <c r="J549" i="11"/>
  <c r="K550" i="11"/>
  <c r="L551" i="11"/>
  <c r="M552" i="11"/>
  <c r="N553" i="11"/>
  <c r="H555" i="11"/>
  <c r="P555" i="11"/>
  <c r="J557" i="11"/>
  <c r="K558" i="11"/>
  <c r="L559" i="11"/>
  <c r="M561" i="11"/>
  <c r="H562" i="11"/>
  <c r="J564" i="11"/>
  <c r="H568" i="11"/>
  <c r="J570" i="11"/>
  <c r="M571" i="11"/>
  <c r="J573" i="11"/>
  <c r="L575" i="11"/>
  <c r="N577" i="11"/>
  <c r="P579" i="11"/>
  <c r="K590" i="11"/>
  <c r="M592" i="11"/>
  <c r="H603" i="11"/>
  <c r="J605" i="11"/>
  <c r="L607" i="11"/>
  <c r="N609" i="11"/>
  <c r="P611" i="11"/>
  <c r="K622" i="11"/>
  <c r="M624" i="11"/>
  <c r="E53" i="38"/>
  <c r="D82" i="38"/>
  <c r="H110" i="38"/>
  <c r="L163" i="38"/>
  <c r="N118" i="11"/>
  <c r="N119" i="11"/>
  <c r="N120" i="11"/>
  <c r="N121" i="11"/>
  <c r="N122" i="11"/>
  <c r="N123" i="11"/>
  <c r="N124" i="11"/>
  <c r="N125" i="11"/>
  <c r="N126" i="11"/>
  <c r="N127" i="11"/>
  <c r="N128" i="11"/>
  <c r="I367" i="11"/>
  <c r="I371" i="11"/>
  <c r="I495" i="11" s="1"/>
  <c r="I375" i="11"/>
  <c r="H506" i="11"/>
  <c r="P506" i="11"/>
  <c r="J508" i="11"/>
  <c r="K509" i="11"/>
  <c r="L510" i="11"/>
  <c r="M511" i="11"/>
  <c r="N512" i="11"/>
  <c r="H514" i="11"/>
  <c r="P514" i="11"/>
  <c r="J516" i="11"/>
  <c r="K517" i="11"/>
  <c r="L518" i="11"/>
  <c r="M519" i="11"/>
  <c r="N520" i="11"/>
  <c r="H522" i="11"/>
  <c r="P522" i="11"/>
  <c r="J524" i="11"/>
  <c r="K525" i="11"/>
  <c r="L526" i="11"/>
  <c r="M527" i="11"/>
  <c r="N528" i="11"/>
  <c r="H530" i="11"/>
  <c r="P530" i="11"/>
  <c r="J532" i="11"/>
  <c r="K533" i="11"/>
  <c r="L534" i="11"/>
  <c r="M535" i="11"/>
  <c r="N536" i="11"/>
  <c r="H538" i="11"/>
  <c r="P538" i="11"/>
  <c r="J540" i="11"/>
  <c r="K541" i="11"/>
  <c r="L542" i="11"/>
  <c r="M543" i="11"/>
  <c r="N544" i="11"/>
  <c r="H546" i="11"/>
  <c r="P546" i="11"/>
  <c r="J548" i="11"/>
  <c r="K549" i="11"/>
  <c r="L550" i="11"/>
  <c r="M551" i="11"/>
  <c r="N552" i="11"/>
  <c r="H554" i="11"/>
  <c r="P554" i="11"/>
  <c r="J556" i="11"/>
  <c r="K557" i="11"/>
  <c r="L558" i="11"/>
  <c r="M559" i="11"/>
  <c r="H560" i="11"/>
  <c r="N561" i="11"/>
  <c r="J562" i="11"/>
  <c r="P563" i="11"/>
  <c r="L564" i="11"/>
  <c r="J565" i="11"/>
  <c r="H567" i="11"/>
  <c r="J569" i="11"/>
  <c r="K570" i="11"/>
  <c r="P571" i="11"/>
  <c r="N573" i="11"/>
  <c r="P575" i="11"/>
  <c r="K586" i="11"/>
  <c r="M588" i="11"/>
  <c r="H599" i="11"/>
  <c r="J601" i="11"/>
  <c r="L603" i="11"/>
  <c r="N605" i="11"/>
  <c r="P607" i="11"/>
  <c r="K618" i="11"/>
  <c r="M620" i="11"/>
  <c r="H744" i="11" s="1"/>
  <c r="Y17" i="50"/>
  <c r="Y16" i="50"/>
  <c r="I22" i="38"/>
  <c r="H82" i="38"/>
  <c r="N101" i="39"/>
  <c r="V101" i="39"/>
  <c r="Q103" i="39"/>
  <c r="D8" i="38"/>
  <c r="L8" i="38"/>
  <c r="G9" i="38"/>
  <c r="G12" i="38" s="1"/>
  <c r="O9" i="38"/>
  <c r="F17" i="38"/>
  <c r="N17" i="38"/>
  <c r="I18" i="38"/>
  <c r="I23" i="38" s="1"/>
  <c r="I26" i="38" s="1"/>
  <c r="D19" i="38"/>
  <c r="D31" i="38"/>
  <c r="D36" i="38" s="1"/>
  <c r="L31" i="38"/>
  <c r="G32" i="38"/>
  <c r="G37" i="38" s="1"/>
  <c r="G40" i="38" s="1"/>
  <c r="O32" i="38"/>
  <c r="O37" i="38" s="1"/>
  <c r="J33" i="38"/>
  <c r="J45" i="38"/>
  <c r="E46" i="38"/>
  <c r="E51" i="38" s="1"/>
  <c r="E54" i="38" s="1"/>
  <c r="M46" i="38"/>
  <c r="M51" i="38" s="1"/>
  <c r="H47" i="38"/>
  <c r="H59" i="38"/>
  <c r="H64" i="38" s="1"/>
  <c r="P59" i="38"/>
  <c r="K60" i="38"/>
  <c r="K65" i="38" s="1"/>
  <c r="K68" i="38" s="1"/>
  <c r="F61" i="38"/>
  <c r="F73" i="38"/>
  <c r="N73" i="38"/>
  <c r="I74" i="38"/>
  <c r="I79" i="38" s="1"/>
  <c r="D75" i="38"/>
  <c r="D87" i="38"/>
  <c r="D92" i="38" s="1"/>
  <c r="L87" i="38"/>
  <c r="G88" i="38"/>
  <c r="G93" i="38" s="1"/>
  <c r="G96" i="38" s="1"/>
  <c r="O88" i="38"/>
  <c r="O93" i="38" s="1"/>
  <c r="J89" i="38"/>
  <c r="J101" i="38"/>
  <c r="E102" i="38"/>
  <c r="E107" i="38" s="1"/>
  <c r="M102" i="38"/>
  <c r="M107" i="38" s="1"/>
  <c r="H103" i="38"/>
  <c r="H115" i="38"/>
  <c r="H120" i="38" s="1"/>
  <c r="P115" i="38"/>
  <c r="P120" i="38" s="1"/>
  <c r="K116" i="38"/>
  <c r="F117" i="38"/>
  <c r="F129" i="38"/>
  <c r="F134" i="38" s="1"/>
  <c r="N129" i="38"/>
  <c r="N134" i="38" s="1"/>
  <c r="I130" i="38"/>
  <c r="D131" i="38"/>
  <c r="D143" i="38"/>
  <c r="D148" i="38" s="1"/>
  <c r="L143" i="38"/>
  <c r="L148" i="38" s="1"/>
  <c r="G144" i="38"/>
  <c r="O144" i="38"/>
  <c r="O149" i="38" s="1"/>
  <c r="J145" i="38"/>
  <c r="J157" i="38"/>
  <c r="J162" i="38" s="1"/>
  <c r="E158" i="38"/>
  <c r="E163" i="38" s="1"/>
  <c r="M158" i="38"/>
  <c r="M163" i="38" s="1"/>
  <c r="H159" i="38"/>
  <c r="H171" i="38"/>
  <c r="H176" i="38" s="1"/>
  <c r="P171" i="38"/>
  <c r="P176" i="38" s="1"/>
  <c r="K172" i="38"/>
  <c r="F173" i="38"/>
  <c r="F185" i="38"/>
  <c r="F190" i="38" s="1"/>
  <c r="N185" i="38"/>
  <c r="N190" i="38" s="1"/>
  <c r="I186" i="38"/>
  <c r="D187" i="38"/>
  <c r="D199" i="38"/>
  <c r="D204" i="38" s="1"/>
  <c r="L199" i="38"/>
  <c r="L204" i="38" s="1"/>
  <c r="G200" i="38"/>
  <c r="O200" i="38"/>
  <c r="O205" i="38" s="1"/>
  <c r="J201" i="38"/>
  <c r="J213" i="38"/>
  <c r="J218" i="38" s="1"/>
  <c r="E214" i="38"/>
  <c r="E219" i="38" s="1"/>
  <c r="M214" i="38"/>
  <c r="M219" i="38" s="1"/>
  <c r="H215" i="38"/>
  <c r="H227" i="38"/>
  <c r="H232" i="38" s="1"/>
  <c r="P227" i="38"/>
  <c r="P232" i="38" s="1"/>
  <c r="K228" i="38"/>
  <c r="F229" i="38"/>
  <c r="F241" i="38"/>
  <c r="F246" i="38" s="1"/>
  <c r="N241" i="38"/>
  <c r="N246" i="38" s="1"/>
  <c r="I242" i="38"/>
  <c r="D243" i="38"/>
  <c r="D255" i="38"/>
  <c r="D260" i="38" s="1"/>
  <c r="L255" i="38"/>
  <c r="L260" i="38" s="1"/>
  <c r="G256" i="38"/>
  <c r="O256" i="38"/>
  <c r="J257" i="38"/>
  <c r="J10" i="39"/>
  <c r="R10" i="39"/>
  <c r="Q11" i="39"/>
  <c r="P12" i="39"/>
  <c r="C33" i="39"/>
  <c r="C34" i="39" s="1"/>
  <c r="M52" i="39"/>
  <c r="K53" i="39"/>
  <c r="V53" i="39"/>
  <c r="P94" i="39"/>
  <c r="P99" i="39" s="1"/>
  <c r="K96" i="39"/>
  <c r="D9" i="37"/>
  <c r="E9" i="37" s="1"/>
  <c r="F9" i="37" s="1"/>
  <c r="G9" i="37" s="1"/>
  <c r="H9" i="37" s="1"/>
  <c r="I9" i="37" s="1"/>
  <c r="J9" i="37" s="1"/>
  <c r="K9" i="37" s="1"/>
  <c r="L9" i="37" s="1"/>
  <c r="M9" i="37" s="1"/>
  <c r="AC5" i="50"/>
  <c r="AC12" i="50" s="1"/>
  <c r="O52" i="39"/>
  <c r="U4" i="50"/>
  <c r="U11" i="50" s="1"/>
  <c r="O94" i="39"/>
  <c r="O99" i="39" s="1"/>
  <c r="J53" i="39"/>
  <c r="J58" i="39" s="1"/>
  <c r="J95" i="39"/>
  <c r="J100" i="39" s="1"/>
  <c r="J103" i="39" s="1"/>
  <c r="E5" i="50"/>
  <c r="E12" i="50" s="1"/>
  <c r="R53" i="39"/>
  <c r="R95" i="39"/>
  <c r="R100" i="39" s="1"/>
  <c r="M54" i="39"/>
  <c r="M96" i="39"/>
  <c r="E8" i="38"/>
  <c r="H9" i="38"/>
  <c r="H12" i="38" s="1"/>
  <c r="P9" i="38"/>
  <c r="G17" i="38"/>
  <c r="G22" i="38" s="1"/>
  <c r="O17" i="38"/>
  <c r="O22" i="38" s="1"/>
  <c r="J18" i="38"/>
  <c r="J23" i="38" s="1"/>
  <c r="J26" i="38" s="1"/>
  <c r="E19" i="38"/>
  <c r="E25" i="38" s="1"/>
  <c r="E31" i="38"/>
  <c r="E36" i="38" s="1"/>
  <c r="M31" i="38"/>
  <c r="H32" i="38"/>
  <c r="H37" i="38" s="1"/>
  <c r="P32" i="38"/>
  <c r="P37" i="38" s="1"/>
  <c r="K33" i="38"/>
  <c r="K45" i="38"/>
  <c r="F46" i="38"/>
  <c r="F51" i="38" s="1"/>
  <c r="F54" i="38" s="1"/>
  <c r="N46" i="38"/>
  <c r="N51" i="38" s="1"/>
  <c r="I47" i="38"/>
  <c r="I59" i="38"/>
  <c r="D60" i="38"/>
  <c r="D65" i="38" s="1"/>
  <c r="L60" i="38"/>
  <c r="L65" i="38" s="1"/>
  <c r="G61" i="38"/>
  <c r="G73" i="38"/>
  <c r="O73" i="38"/>
  <c r="J74" i="38"/>
  <c r="J79" i="38" s="1"/>
  <c r="J82" i="38" s="1"/>
  <c r="E75" i="38"/>
  <c r="E81" i="38" s="1"/>
  <c r="E83" i="38" s="1"/>
  <c r="E87" i="38"/>
  <c r="E92" i="38" s="1"/>
  <c r="M87" i="38"/>
  <c r="H88" i="38"/>
  <c r="H93" i="38" s="1"/>
  <c r="P88" i="38"/>
  <c r="P93" i="38" s="1"/>
  <c r="K89" i="38"/>
  <c r="K101" i="38"/>
  <c r="K106" i="38" s="1"/>
  <c r="F102" i="38"/>
  <c r="F107" i="38" s="1"/>
  <c r="F110" i="38" s="1"/>
  <c r="N102" i="38"/>
  <c r="N107" i="38" s="1"/>
  <c r="I103" i="38"/>
  <c r="I115" i="38"/>
  <c r="I120" i="38" s="1"/>
  <c r="D116" i="38"/>
  <c r="D121" i="38" s="1"/>
  <c r="L116" i="38"/>
  <c r="G117" i="38"/>
  <c r="G129" i="38"/>
  <c r="G134" i="38" s="1"/>
  <c r="O129" i="38"/>
  <c r="O134" i="38" s="1"/>
  <c r="J130" i="38"/>
  <c r="E131" i="38"/>
  <c r="E137" i="38" s="1"/>
  <c r="E143" i="38"/>
  <c r="E148" i="38" s="1"/>
  <c r="M143" i="38"/>
  <c r="M148" i="38" s="1"/>
  <c r="H144" i="38"/>
  <c r="P144" i="38"/>
  <c r="P149" i="38" s="1"/>
  <c r="K145" i="38"/>
  <c r="K157" i="38"/>
  <c r="K162" i="38" s="1"/>
  <c r="F158" i="38"/>
  <c r="F163" i="38" s="1"/>
  <c r="N158" i="38"/>
  <c r="N163" i="38" s="1"/>
  <c r="I159" i="38"/>
  <c r="I165" i="38" s="1"/>
  <c r="I171" i="38"/>
  <c r="I176" i="38" s="1"/>
  <c r="D172" i="38"/>
  <c r="D177" i="38" s="1"/>
  <c r="D180" i="38" s="1"/>
  <c r="L172" i="38"/>
  <c r="G173" i="38"/>
  <c r="G185" i="38"/>
  <c r="G190" i="38" s="1"/>
  <c r="O185" i="38"/>
  <c r="O190" i="38" s="1"/>
  <c r="J186" i="38"/>
  <c r="E187" i="38"/>
  <c r="E199" i="38"/>
  <c r="E204" i="38" s="1"/>
  <c r="M199" i="38"/>
  <c r="M204" i="38" s="1"/>
  <c r="H200" i="38"/>
  <c r="P200" i="38"/>
  <c r="P205" i="38" s="1"/>
  <c r="K201" i="38"/>
  <c r="K213" i="38"/>
  <c r="K218" i="38" s="1"/>
  <c r="F214" i="38"/>
  <c r="F219" i="38" s="1"/>
  <c r="F222" i="38" s="1"/>
  <c r="N214" i="38"/>
  <c r="N219" i="38" s="1"/>
  <c r="I215" i="38"/>
  <c r="I227" i="38"/>
  <c r="I232" i="38" s="1"/>
  <c r="D228" i="38"/>
  <c r="D233" i="38" s="1"/>
  <c r="D236" i="38" s="1"/>
  <c r="L228" i="38"/>
  <c r="L233" i="38" s="1"/>
  <c r="G229" i="38"/>
  <c r="G241" i="38"/>
  <c r="G246" i="38" s="1"/>
  <c r="O241" i="38"/>
  <c r="O246" i="38" s="1"/>
  <c r="J242" i="38"/>
  <c r="E243" i="38"/>
  <c r="E255" i="38"/>
  <c r="E260" i="38" s="1"/>
  <c r="M255" i="38"/>
  <c r="H256" i="38"/>
  <c r="P256" i="38"/>
  <c r="K257" i="38"/>
  <c r="K10" i="39"/>
  <c r="S10" i="39"/>
  <c r="J11" i="39"/>
  <c r="R11" i="39"/>
  <c r="Q12" i="39"/>
  <c r="N52" i="39"/>
  <c r="L53" i="39"/>
  <c r="L58" i="39" s="1"/>
  <c r="L61" i="39" s="1"/>
  <c r="J54" i="39"/>
  <c r="R94" i="39"/>
  <c r="R99" i="39" s="1"/>
  <c r="N96" i="39"/>
  <c r="N102" i="39" s="1"/>
  <c r="N104" i="39" s="1"/>
  <c r="Y3" i="50"/>
  <c r="U9" i="50"/>
  <c r="F8" i="38"/>
  <c r="N8" i="38"/>
  <c r="I9" i="38"/>
  <c r="I12" i="38" s="1"/>
  <c r="F31" i="38"/>
  <c r="F36" i="38" s="1"/>
  <c r="N31" i="38"/>
  <c r="I32" i="38"/>
  <c r="I37" i="38" s="1"/>
  <c r="D33" i="38"/>
  <c r="D45" i="38"/>
  <c r="D50" i="38" s="1"/>
  <c r="L45" i="38"/>
  <c r="G46" i="38"/>
  <c r="G51" i="38" s="1"/>
  <c r="G54" i="38" s="1"/>
  <c r="O46" i="38"/>
  <c r="O51" i="38" s="1"/>
  <c r="J47" i="38"/>
  <c r="J59" i="38"/>
  <c r="E60" i="38"/>
  <c r="E65" i="38" s="1"/>
  <c r="M60" i="38"/>
  <c r="M65" i="38" s="1"/>
  <c r="H61" i="38"/>
  <c r="H73" i="38"/>
  <c r="P73" i="38"/>
  <c r="K74" i="38"/>
  <c r="K79" i="38" s="1"/>
  <c r="K82" i="38" s="1"/>
  <c r="F75" i="38"/>
  <c r="F87" i="38"/>
  <c r="N87" i="38"/>
  <c r="I88" i="38"/>
  <c r="I93" i="38" s="1"/>
  <c r="I96" i="38" s="1"/>
  <c r="D89" i="38"/>
  <c r="D101" i="38"/>
  <c r="D106" i="38" s="1"/>
  <c r="L101" i="38"/>
  <c r="L106" i="38" s="1"/>
  <c r="G102" i="38"/>
  <c r="G107" i="38" s="1"/>
  <c r="G110" i="38" s="1"/>
  <c r="O102" i="38"/>
  <c r="O107" i="38" s="1"/>
  <c r="J103" i="38"/>
  <c r="J115" i="38"/>
  <c r="J120" i="38" s="1"/>
  <c r="E116" i="38"/>
  <c r="E121" i="38" s="1"/>
  <c r="M116" i="38"/>
  <c r="H117" i="38"/>
  <c r="H129" i="38"/>
  <c r="H134" i="38" s="1"/>
  <c r="P129" i="38"/>
  <c r="P134" i="38" s="1"/>
  <c r="K130" i="38"/>
  <c r="F131" i="38"/>
  <c r="F143" i="38"/>
  <c r="F148" i="38" s="1"/>
  <c r="N143" i="38"/>
  <c r="N148" i="38" s="1"/>
  <c r="I144" i="38"/>
  <c r="D145" i="38"/>
  <c r="D157" i="38"/>
  <c r="D162" i="38" s="1"/>
  <c r="L157" i="38"/>
  <c r="L162" i="38" s="1"/>
  <c r="G158" i="38"/>
  <c r="O158" i="38"/>
  <c r="O163" i="38" s="1"/>
  <c r="J159" i="38"/>
  <c r="J171" i="38"/>
  <c r="J176" i="38" s="1"/>
  <c r="E172" i="38"/>
  <c r="E177" i="38" s="1"/>
  <c r="M172" i="38"/>
  <c r="H173" i="38"/>
  <c r="H185" i="38"/>
  <c r="H190" i="38" s="1"/>
  <c r="P185" i="38"/>
  <c r="P190" i="38" s="1"/>
  <c r="K186" i="38"/>
  <c r="F187" i="38"/>
  <c r="F199" i="38"/>
  <c r="F204" i="38" s="1"/>
  <c r="N199" i="38"/>
  <c r="N204" i="38" s="1"/>
  <c r="I200" i="38"/>
  <c r="D201" i="38"/>
  <c r="L213" i="38"/>
  <c r="L218" i="38" s="1"/>
  <c r="O214" i="38"/>
  <c r="O219" i="38" s="1"/>
  <c r="J215" i="38"/>
  <c r="J227" i="38"/>
  <c r="J232" i="38" s="1"/>
  <c r="E228" i="38"/>
  <c r="E233" i="38" s="1"/>
  <c r="E236" i="38" s="1"/>
  <c r="M228" i="38"/>
  <c r="M233" i="38" s="1"/>
  <c r="H229" i="38"/>
  <c r="H241" i="38"/>
  <c r="H246" i="38" s="1"/>
  <c r="P241" i="38"/>
  <c r="P246" i="38" s="1"/>
  <c r="K242" i="38"/>
  <c r="F243" i="38"/>
  <c r="F255" i="38"/>
  <c r="F260" i="38" s="1"/>
  <c r="N255" i="38"/>
  <c r="N260" i="38" s="1"/>
  <c r="I256" i="38"/>
  <c r="D257" i="38"/>
  <c r="L10" i="39"/>
  <c r="T10" i="39"/>
  <c r="K11" i="39"/>
  <c r="K16" i="39" s="1"/>
  <c r="S11" i="39"/>
  <c r="J12" i="39"/>
  <c r="C35" i="39"/>
  <c r="P52" i="39"/>
  <c r="N53" i="39"/>
  <c r="K54" i="39"/>
  <c r="U94" i="39"/>
  <c r="U99" i="39" s="1"/>
  <c r="P96" i="39"/>
  <c r="G8" i="38"/>
  <c r="O8" i="38"/>
  <c r="J9" i="38"/>
  <c r="J12" i="38" s="1"/>
  <c r="G31" i="38"/>
  <c r="O31" i="38"/>
  <c r="J32" i="38"/>
  <c r="J37" i="38" s="1"/>
  <c r="J40" i="38" s="1"/>
  <c r="E33" i="38"/>
  <c r="K59" i="38"/>
  <c r="F60" i="38"/>
  <c r="F65" i="38" s="1"/>
  <c r="F68" i="38" s="1"/>
  <c r="N60" i="38"/>
  <c r="N65" i="38" s="1"/>
  <c r="I61" i="38"/>
  <c r="G87" i="38"/>
  <c r="O87" i="38"/>
  <c r="J88" i="38"/>
  <c r="J93" i="38" s="1"/>
  <c r="E89" i="38"/>
  <c r="K115" i="38"/>
  <c r="K120" i="38" s="1"/>
  <c r="F116" i="38"/>
  <c r="F121" i="38" s="1"/>
  <c r="N116" i="38"/>
  <c r="I117" i="38"/>
  <c r="G143" i="38"/>
  <c r="G148" i="38" s="1"/>
  <c r="O143" i="38"/>
  <c r="O148" i="38" s="1"/>
  <c r="J144" i="38"/>
  <c r="E145" i="38"/>
  <c r="E157" i="38"/>
  <c r="E162" i="38" s="1"/>
  <c r="M157" i="38"/>
  <c r="M162" i="38" s="1"/>
  <c r="H158" i="38"/>
  <c r="P158" i="38"/>
  <c r="P163" i="38" s="1"/>
  <c r="K171" i="38"/>
  <c r="K176" i="38" s="1"/>
  <c r="F172" i="38"/>
  <c r="F177" i="38" s="1"/>
  <c r="N172" i="38"/>
  <c r="I173" i="38"/>
  <c r="I185" i="38"/>
  <c r="I190" i="38" s="1"/>
  <c r="D186" i="38"/>
  <c r="D191" i="38" s="1"/>
  <c r="L186" i="38"/>
  <c r="L191" i="38" s="1"/>
  <c r="G187" i="38"/>
  <c r="G199" i="38"/>
  <c r="G204" i="38" s="1"/>
  <c r="O199" i="38"/>
  <c r="O204" i="38" s="1"/>
  <c r="J200" i="38"/>
  <c r="E201" i="38"/>
  <c r="M213" i="38"/>
  <c r="M218" i="38" s="1"/>
  <c r="H214" i="38"/>
  <c r="P214" i="38"/>
  <c r="P219" i="38" s="1"/>
  <c r="K215" i="38"/>
  <c r="K227" i="38"/>
  <c r="K232" i="38" s="1"/>
  <c r="F228" i="38"/>
  <c r="F233" i="38" s="1"/>
  <c r="N228" i="38"/>
  <c r="N233" i="38" s="1"/>
  <c r="I229" i="38"/>
  <c r="I241" i="38"/>
  <c r="I246" i="38" s="1"/>
  <c r="D242" i="38"/>
  <c r="D247" i="38" s="1"/>
  <c r="L242" i="38"/>
  <c r="L247" i="38" s="1"/>
  <c r="G243" i="38"/>
  <c r="G255" i="38"/>
  <c r="O255" i="38"/>
  <c r="O260" i="38" s="1"/>
  <c r="J256" i="38"/>
  <c r="E257" i="38"/>
  <c r="M10" i="39"/>
  <c r="U10" i="39"/>
  <c r="L11" i="39"/>
  <c r="L16" i="39" s="1"/>
  <c r="L19" i="39" s="1"/>
  <c r="T11" i="39"/>
  <c r="K12" i="39"/>
  <c r="C17" i="37"/>
  <c r="Q52" i="39"/>
  <c r="O53" i="39"/>
  <c r="L54" i="39"/>
  <c r="J55" i="39"/>
  <c r="K95" i="39"/>
  <c r="K100" i="39" s="1"/>
  <c r="K103" i="39" s="1"/>
  <c r="I4" i="50"/>
  <c r="I11" i="50" s="1"/>
  <c r="J52" i="39"/>
  <c r="E4" i="50"/>
  <c r="E11" i="50" s="1"/>
  <c r="M5" i="50"/>
  <c r="M12" i="50" s="1"/>
  <c r="M17" i="50" s="1"/>
  <c r="M53" i="39"/>
  <c r="H8" i="38"/>
  <c r="P8" i="38"/>
  <c r="K9" i="38"/>
  <c r="K12" i="38" s="1"/>
  <c r="J17" i="38"/>
  <c r="J22" i="38" s="1"/>
  <c r="E18" i="38"/>
  <c r="E23" i="38" s="1"/>
  <c r="M18" i="38"/>
  <c r="M23" i="38" s="1"/>
  <c r="H19" i="38"/>
  <c r="H26" i="38" s="1"/>
  <c r="H31" i="38"/>
  <c r="P31" i="38"/>
  <c r="K32" i="38"/>
  <c r="K37" i="38" s="1"/>
  <c r="K40" i="38" s="1"/>
  <c r="F33" i="38"/>
  <c r="F45" i="38"/>
  <c r="F50" i="38" s="1"/>
  <c r="N45" i="38"/>
  <c r="I46" i="38"/>
  <c r="I51" i="38" s="1"/>
  <c r="I54" i="38" s="1"/>
  <c r="D47" i="38"/>
  <c r="D54" i="38" s="1"/>
  <c r="D59" i="38"/>
  <c r="D64" i="38" s="1"/>
  <c r="L59" i="38"/>
  <c r="G60" i="38"/>
  <c r="G65" i="38" s="1"/>
  <c r="G68" i="38" s="1"/>
  <c r="O60" i="38"/>
  <c r="O65" i="38" s="1"/>
  <c r="J61" i="38"/>
  <c r="J73" i="38"/>
  <c r="E74" i="38"/>
  <c r="E79" i="38" s="1"/>
  <c r="E82" i="38" s="1"/>
  <c r="M74" i="38"/>
  <c r="M79" i="38" s="1"/>
  <c r="H75" i="38"/>
  <c r="H87" i="38"/>
  <c r="P87" i="38"/>
  <c r="K88" i="38"/>
  <c r="K93" i="38" s="1"/>
  <c r="F89" i="38"/>
  <c r="F101" i="38"/>
  <c r="F106" i="38" s="1"/>
  <c r="N101" i="38"/>
  <c r="N106" i="38" s="1"/>
  <c r="I102" i="38"/>
  <c r="I107" i="38" s="1"/>
  <c r="I110" i="38" s="1"/>
  <c r="D103" i="38"/>
  <c r="D110" i="38" s="1"/>
  <c r="D115" i="38"/>
  <c r="D120" i="38" s="1"/>
  <c r="L115" i="38"/>
  <c r="L120" i="38" s="1"/>
  <c r="G116" i="38"/>
  <c r="O116" i="38"/>
  <c r="J117" i="38"/>
  <c r="K56" i="39"/>
  <c r="J129" i="38"/>
  <c r="J134" i="38" s="1"/>
  <c r="E130" i="38"/>
  <c r="E135" i="38" s="1"/>
  <c r="M130" i="38"/>
  <c r="M135" i="38" s="1"/>
  <c r="H131" i="38"/>
  <c r="H143" i="38"/>
  <c r="H148" i="38" s="1"/>
  <c r="P143" i="38"/>
  <c r="P148" i="38" s="1"/>
  <c r="K144" i="38"/>
  <c r="F145" i="38"/>
  <c r="F157" i="38"/>
  <c r="F162" i="38" s="1"/>
  <c r="N157" i="38"/>
  <c r="N162" i="38" s="1"/>
  <c r="I158" i="38"/>
  <c r="D159" i="38"/>
  <c r="D166" i="38" s="1"/>
  <c r="D171" i="38"/>
  <c r="D176" i="38" s="1"/>
  <c r="L171" i="38"/>
  <c r="L176" i="38" s="1"/>
  <c r="G172" i="38"/>
  <c r="O172" i="38"/>
  <c r="J173" i="38"/>
  <c r="J185" i="38"/>
  <c r="J190" i="38" s="1"/>
  <c r="E186" i="38"/>
  <c r="E191" i="38" s="1"/>
  <c r="E194" i="38" s="1"/>
  <c r="M186" i="38"/>
  <c r="M191" i="38" s="1"/>
  <c r="H187" i="38"/>
  <c r="H199" i="38"/>
  <c r="H204" i="38" s="1"/>
  <c r="P199" i="38"/>
  <c r="P204" i="38" s="1"/>
  <c r="K200" i="38"/>
  <c r="F201" i="38"/>
  <c r="F213" i="38"/>
  <c r="F218" i="38" s="1"/>
  <c r="N213" i="38"/>
  <c r="N218" i="38" s="1"/>
  <c r="D215" i="38"/>
  <c r="D221" i="38" s="1"/>
  <c r="D227" i="38"/>
  <c r="D232" i="38" s="1"/>
  <c r="L227" i="38"/>
  <c r="L232" i="38" s="1"/>
  <c r="G228" i="38"/>
  <c r="O228" i="38"/>
  <c r="O233" i="38" s="1"/>
  <c r="J229" i="38"/>
  <c r="J241" i="38"/>
  <c r="J246" i="38" s="1"/>
  <c r="E242" i="38"/>
  <c r="E247" i="38" s="1"/>
  <c r="E250" i="38" s="1"/>
  <c r="M242" i="38"/>
  <c r="M247" i="38" s="1"/>
  <c r="H243" i="38"/>
  <c r="H255" i="38"/>
  <c r="P255" i="38"/>
  <c r="K256" i="38"/>
  <c r="F257" i="38"/>
  <c r="N10" i="39"/>
  <c r="V10" i="39"/>
  <c r="V15" i="39" s="1"/>
  <c r="M11" i="39"/>
  <c r="U11" i="39"/>
  <c r="L12" i="39"/>
  <c r="S52" i="39"/>
  <c r="P53" i="39"/>
  <c r="N54" i="39"/>
  <c r="M95" i="39"/>
  <c r="M100" i="39" s="1"/>
  <c r="D10" i="37"/>
  <c r="E10" i="37" s="1"/>
  <c r="F10" i="37" s="1"/>
  <c r="G10" i="37" s="1"/>
  <c r="H10" i="37" s="1"/>
  <c r="I10" i="37" s="1"/>
  <c r="J10" i="37" s="1"/>
  <c r="K10" i="37" s="1"/>
  <c r="L10" i="37" s="1"/>
  <c r="M10" i="37" s="1"/>
  <c r="Q4" i="50"/>
  <c r="Q11" i="50" s="1"/>
  <c r="Q9" i="50"/>
  <c r="K94" i="39"/>
  <c r="K99" i="39" s="1"/>
  <c r="G4" i="50"/>
  <c r="G11" i="50" s="1"/>
  <c r="G17" i="50" s="1"/>
  <c r="S101" i="39"/>
  <c r="N103" i="39"/>
  <c r="I8" i="38"/>
  <c r="D9" i="38"/>
  <c r="D12" i="38" s="1"/>
  <c r="L9" i="38"/>
  <c r="K17" i="38"/>
  <c r="K22" i="38" s="1"/>
  <c r="F18" i="38"/>
  <c r="F23" i="38" s="1"/>
  <c r="F26" i="38" s="1"/>
  <c r="N18" i="38"/>
  <c r="N23" i="38" s="1"/>
  <c r="I19" i="38"/>
  <c r="I31" i="38"/>
  <c r="D32" i="38"/>
  <c r="D37" i="38" s="1"/>
  <c r="L32" i="38"/>
  <c r="L37" i="38" s="1"/>
  <c r="G33" i="38"/>
  <c r="G45" i="38"/>
  <c r="G50" i="38" s="1"/>
  <c r="O45" i="38"/>
  <c r="J46" i="38"/>
  <c r="J51" i="38" s="1"/>
  <c r="J54" i="38" s="1"/>
  <c r="E47" i="38"/>
  <c r="E59" i="38"/>
  <c r="E64" i="38" s="1"/>
  <c r="M59" i="38"/>
  <c r="H60" i="38"/>
  <c r="H65" i="38" s="1"/>
  <c r="P60" i="38"/>
  <c r="P65" i="38" s="1"/>
  <c r="K61" i="38"/>
  <c r="K73" i="38"/>
  <c r="F74" i="38"/>
  <c r="F79" i="38" s="1"/>
  <c r="F82" i="38" s="1"/>
  <c r="N74" i="38"/>
  <c r="N79" i="38" s="1"/>
  <c r="I75" i="38"/>
  <c r="I87" i="38"/>
  <c r="D88" i="38"/>
  <c r="D93" i="38" s="1"/>
  <c r="L88" i="38"/>
  <c r="L93" i="38" s="1"/>
  <c r="G89" i="38"/>
  <c r="G101" i="38"/>
  <c r="O101" i="38"/>
  <c r="O106" i="38" s="1"/>
  <c r="J102" i="38"/>
  <c r="J107" i="38" s="1"/>
  <c r="E103" i="38"/>
  <c r="E109" i="38" s="1"/>
  <c r="E115" i="38"/>
  <c r="E120" i="38" s="1"/>
  <c r="M115" i="38"/>
  <c r="M120" i="38" s="1"/>
  <c r="H116" i="38"/>
  <c r="P116" i="38"/>
  <c r="K117" i="38"/>
  <c r="K129" i="38"/>
  <c r="K134" i="38" s="1"/>
  <c r="F130" i="38"/>
  <c r="F135" i="38" s="1"/>
  <c r="N130" i="38"/>
  <c r="N135" i="38" s="1"/>
  <c r="I131" i="38"/>
  <c r="I137" i="38" s="1"/>
  <c r="I143" i="38"/>
  <c r="I148" i="38" s="1"/>
  <c r="D144" i="38"/>
  <c r="D149" i="38" s="1"/>
  <c r="L144" i="38"/>
  <c r="G145" i="38"/>
  <c r="G157" i="38"/>
  <c r="G162" i="38" s="1"/>
  <c r="O157" i="38"/>
  <c r="O162" i="38" s="1"/>
  <c r="J158" i="38"/>
  <c r="E159" i="38"/>
  <c r="E171" i="38"/>
  <c r="E176" i="38" s="1"/>
  <c r="M171" i="38"/>
  <c r="M176" i="38" s="1"/>
  <c r="H172" i="38"/>
  <c r="P172" i="38"/>
  <c r="K173" i="38"/>
  <c r="K185" i="38"/>
  <c r="K190" i="38" s="1"/>
  <c r="F186" i="38"/>
  <c r="F191" i="38" s="1"/>
  <c r="F194" i="38" s="1"/>
  <c r="N186" i="38"/>
  <c r="N191" i="38" s="1"/>
  <c r="I187" i="38"/>
  <c r="I199" i="38"/>
  <c r="I204" i="38" s="1"/>
  <c r="D200" i="38"/>
  <c r="D205" i="38" s="1"/>
  <c r="D208" i="38" s="1"/>
  <c r="L200" i="38"/>
  <c r="L205" i="38" s="1"/>
  <c r="G201" i="38"/>
  <c r="G213" i="38"/>
  <c r="G218" i="38" s="1"/>
  <c r="O213" i="38"/>
  <c r="O218" i="38" s="1"/>
  <c r="J214" i="38"/>
  <c r="E215" i="38"/>
  <c r="E221" i="38" s="1"/>
  <c r="E227" i="38"/>
  <c r="E232" i="38" s="1"/>
  <c r="M227" i="38"/>
  <c r="M232" i="38" s="1"/>
  <c r="H228" i="38"/>
  <c r="P228" i="38"/>
  <c r="P233" i="38" s="1"/>
  <c r="K229" i="38"/>
  <c r="K241" i="38"/>
  <c r="K246" i="38" s="1"/>
  <c r="F242" i="38"/>
  <c r="F247" i="38" s="1"/>
  <c r="F250" i="38" s="1"/>
  <c r="N242" i="38"/>
  <c r="N247" i="38" s="1"/>
  <c r="I243" i="38"/>
  <c r="I255" i="38"/>
  <c r="D256" i="38"/>
  <c r="D261" i="38" s="1"/>
  <c r="L256" i="38"/>
  <c r="G257" i="38"/>
  <c r="O10" i="39"/>
  <c r="O15" i="39" s="1"/>
  <c r="N11" i="39"/>
  <c r="N16" i="39" s="1"/>
  <c r="N19" i="39" s="1"/>
  <c r="V11" i="39"/>
  <c r="M12" i="39"/>
  <c r="T52" i="39"/>
  <c r="Q53" i="39"/>
  <c r="O54" i="39"/>
  <c r="P95" i="39"/>
  <c r="P100" i="39" s="1"/>
  <c r="AC4" i="50"/>
  <c r="AC11" i="50" s="1"/>
  <c r="F14" i="50"/>
  <c r="F15" i="50"/>
  <c r="O95" i="39"/>
  <c r="O100" i="39" s="1"/>
  <c r="O103" i="39" s="1"/>
  <c r="U5" i="50"/>
  <c r="U12" i="50" s="1"/>
  <c r="J8" i="38"/>
  <c r="E9" i="38"/>
  <c r="E12" i="38" s="1"/>
  <c r="M9" i="38"/>
  <c r="D17" i="38"/>
  <c r="D22" i="38" s="1"/>
  <c r="L17" i="38"/>
  <c r="L22" i="38" s="1"/>
  <c r="G18" i="38"/>
  <c r="G23" i="38" s="1"/>
  <c r="G26" i="38" s="1"/>
  <c r="O18" i="38"/>
  <c r="O23" i="38" s="1"/>
  <c r="J19" i="38"/>
  <c r="J31" i="38"/>
  <c r="E32" i="38"/>
  <c r="E37" i="38" s="1"/>
  <c r="E40" i="38" s="1"/>
  <c r="M32" i="38"/>
  <c r="M37" i="38" s="1"/>
  <c r="H33" i="38"/>
  <c r="H45" i="38"/>
  <c r="H50" i="38" s="1"/>
  <c r="P45" i="38"/>
  <c r="K46" i="38"/>
  <c r="K51" i="38" s="1"/>
  <c r="K54" i="38" s="1"/>
  <c r="F47" i="38"/>
  <c r="F59" i="38"/>
  <c r="F64" i="38" s="1"/>
  <c r="N59" i="38"/>
  <c r="I60" i="38"/>
  <c r="I65" i="38" s="1"/>
  <c r="D61" i="38"/>
  <c r="D73" i="38"/>
  <c r="D78" i="38" s="1"/>
  <c r="L73" i="38"/>
  <c r="G74" i="38"/>
  <c r="G79" i="38" s="1"/>
  <c r="G82" i="38" s="1"/>
  <c r="O74" i="38"/>
  <c r="O79" i="38" s="1"/>
  <c r="J75" i="38"/>
  <c r="J87" i="38"/>
  <c r="E88" i="38"/>
  <c r="E93" i="38" s="1"/>
  <c r="M88" i="38"/>
  <c r="M93" i="38" s="1"/>
  <c r="H89" i="38"/>
  <c r="H101" i="38"/>
  <c r="P101" i="38"/>
  <c r="K102" i="38"/>
  <c r="K107" i="38" s="1"/>
  <c r="K110" i="38" s="1"/>
  <c r="F103" i="38"/>
  <c r="F115" i="38"/>
  <c r="F120" i="38" s="1"/>
  <c r="N115" i="38"/>
  <c r="N120" i="38" s="1"/>
  <c r="I116" i="38"/>
  <c r="D117" i="38"/>
  <c r="D129" i="38"/>
  <c r="D134" i="38" s="1"/>
  <c r="L129" i="38"/>
  <c r="L134" i="38" s="1"/>
  <c r="G130" i="38"/>
  <c r="G135" i="38" s="1"/>
  <c r="G138" i="38" s="1"/>
  <c r="O130" i="38"/>
  <c r="J131" i="38"/>
  <c r="J143" i="38"/>
  <c r="J148" i="38" s="1"/>
  <c r="E144" i="38"/>
  <c r="E149" i="38" s="1"/>
  <c r="E152" i="38" s="1"/>
  <c r="M144" i="38"/>
  <c r="M149" i="38" s="1"/>
  <c r="H145" i="38"/>
  <c r="H157" i="38"/>
  <c r="H162" i="38" s="1"/>
  <c r="P157" i="38"/>
  <c r="P162" i="38" s="1"/>
  <c r="K158" i="38"/>
  <c r="F159" i="38"/>
  <c r="F171" i="38"/>
  <c r="F176" i="38" s="1"/>
  <c r="N171" i="38"/>
  <c r="N176" i="38" s="1"/>
  <c r="I172" i="38"/>
  <c r="D173" i="38"/>
  <c r="D185" i="38"/>
  <c r="D190" i="38" s="1"/>
  <c r="L185" i="38"/>
  <c r="L190" i="38" s="1"/>
  <c r="G186" i="38"/>
  <c r="O186" i="38"/>
  <c r="J187" i="38"/>
  <c r="J199" i="38"/>
  <c r="J204" i="38" s="1"/>
  <c r="E200" i="38"/>
  <c r="E205" i="38" s="1"/>
  <c r="E208" i="38" s="1"/>
  <c r="M200" i="38"/>
  <c r="M205" i="38" s="1"/>
  <c r="H201" i="38"/>
  <c r="H213" i="38"/>
  <c r="H218" i="38" s="1"/>
  <c r="P213" i="38"/>
  <c r="P218" i="38" s="1"/>
  <c r="K214" i="38"/>
  <c r="F215" i="38"/>
  <c r="F227" i="38"/>
  <c r="F232" i="38" s="1"/>
  <c r="N227" i="38"/>
  <c r="N232" i="38" s="1"/>
  <c r="I228" i="38"/>
  <c r="D229" i="38"/>
  <c r="D241" i="38"/>
  <c r="D246" i="38" s="1"/>
  <c r="L241" i="38"/>
  <c r="L246" i="38" s="1"/>
  <c r="G242" i="38"/>
  <c r="O242" i="38"/>
  <c r="O247" i="38" s="1"/>
  <c r="J243" i="38"/>
  <c r="J255" i="38"/>
  <c r="E256" i="38"/>
  <c r="E261" i="38" s="1"/>
  <c r="E264" i="38" s="1"/>
  <c r="M256" i="38"/>
  <c r="H257" i="38"/>
  <c r="P10" i="39"/>
  <c r="P15" i="39" s="1"/>
  <c r="O11" i="39"/>
  <c r="O16" i="39" s="1"/>
  <c r="O19" i="39" s="1"/>
  <c r="K52" i="39"/>
  <c r="K57" i="39" s="1"/>
  <c r="U52" i="39"/>
  <c r="S53" i="39"/>
  <c r="Q54" i="39"/>
  <c r="J94" i="39"/>
  <c r="J99" i="39" s="1"/>
  <c r="I5" i="50"/>
  <c r="I12" i="50" s="1"/>
  <c r="K12" i="50" s="1"/>
  <c r="K8" i="38"/>
  <c r="F9" i="38"/>
  <c r="F12" i="38" s="1"/>
  <c r="N9" i="38"/>
  <c r="K31" i="38"/>
  <c r="F32" i="38"/>
  <c r="F37" i="38" s="1"/>
  <c r="F40" i="38" s="1"/>
  <c r="N32" i="38"/>
  <c r="N37" i="38" s="1"/>
  <c r="I33" i="38"/>
  <c r="G59" i="38"/>
  <c r="G64" i="38" s="1"/>
  <c r="O59" i="38"/>
  <c r="J60" i="38"/>
  <c r="J65" i="38" s="1"/>
  <c r="J68" i="38" s="1"/>
  <c r="E61" i="38"/>
  <c r="K87" i="38"/>
  <c r="F88" i="38"/>
  <c r="F93" i="38" s="1"/>
  <c r="F96" i="38" s="1"/>
  <c r="N88" i="38"/>
  <c r="N93" i="38" s="1"/>
  <c r="I89" i="38"/>
  <c r="G115" i="38"/>
  <c r="G120" i="38" s="1"/>
  <c r="O115" i="38"/>
  <c r="O120" i="38" s="1"/>
  <c r="J116" i="38"/>
  <c r="E117" i="38"/>
  <c r="K143" i="38"/>
  <c r="K148" i="38" s="1"/>
  <c r="F144" i="38"/>
  <c r="F149" i="38" s="1"/>
  <c r="F152" i="38" s="1"/>
  <c r="N144" i="38"/>
  <c r="I145" i="38"/>
  <c r="G171" i="38"/>
  <c r="G176" i="38" s="1"/>
  <c r="O171" i="38"/>
  <c r="O176" i="38" s="1"/>
  <c r="J172" i="38"/>
  <c r="E173" i="38"/>
  <c r="E185" i="38"/>
  <c r="E190" i="38" s="1"/>
  <c r="M185" i="38"/>
  <c r="M190" i="38" s="1"/>
  <c r="H186" i="38"/>
  <c r="P186" i="38"/>
  <c r="P191" i="38" s="1"/>
  <c r="K199" i="38"/>
  <c r="K204" i="38" s="1"/>
  <c r="F200" i="38"/>
  <c r="F205" i="38" s="1"/>
  <c r="F208" i="38" s="1"/>
  <c r="N200" i="38"/>
  <c r="N205" i="38" s="1"/>
  <c r="I201" i="38"/>
  <c r="I213" i="38"/>
  <c r="I218" i="38" s="1"/>
  <c r="D214" i="38"/>
  <c r="D219" i="38" s="1"/>
  <c r="D220" i="38" s="1"/>
  <c r="L214" i="38"/>
  <c r="L219" i="38" s="1"/>
  <c r="G215" i="38"/>
  <c r="G227" i="38"/>
  <c r="G232" i="38" s="1"/>
  <c r="J228" i="38"/>
  <c r="E241" i="38"/>
  <c r="E246" i="38" s="1"/>
  <c r="M241" i="38"/>
  <c r="M246" i="38" s="1"/>
  <c r="H242" i="38"/>
  <c r="P242" i="38"/>
  <c r="P247" i="38" s="1"/>
  <c r="K243" i="38"/>
  <c r="K255" i="38"/>
  <c r="K260" i="38" s="1"/>
  <c r="F256" i="38"/>
  <c r="F261" i="38" s="1"/>
  <c r="N256" i="38"/>
  <c r="I257" i="38"/>
  <c r="Q10" i="39"/>
  <c r="P11" i="39"/>
  <c r="O12" i="39"/>
  <c r="L52" i="39"/>
  <c r="V52" i="39"/>
  <c r="T53" i="39"/>
  <c r="M94" i="39"/>
  <c r="M99" i="39" s="1"/>
  <c r="U95" i="39"/>
  <c r="U100" i="39" s="1"/>
  <c r="Q5" i="50"/>
  <c r="Q12" i="50" s="1"/>
  <c r="C58" i="93"/>
  <c r="C85" i="93"/>
  <c r="C70" i="93"/>
  <c r="BK685" i="202" l="1"/>
  <c r="BK813" i="202"/>
  <c r="BK1005" i="202"/>
  <c r="BK1133" i="202"/>
  <c r="BK1754" i="202"/>
  <c r="BK1882" i="202"/>
  <c r="BK2010" i="202"/>
  <c r="BK2" i="202"/>
  <c r="BK66" i="202"/>
  <c r="BK130" i="202"/>
  <c r="BK194" i="202"/>
  <c r="BK258" i="202"/>
  <c r="BK322" i="202"/>
  <c r="BK386" i="202"/>
  <c r="BK450" i="202"/>
  <c r="BK29" i="202"/>
  <c r="BK93" i="202"/>
  <c r="BK157" i="202"/>
  <c r="BK221" i="202"/>
  <c r="BK285" i="202"/>
  <c r="BK530" i="202"/>
  <c r="BK594" i="202"/>
  <c r="BK658" i="202"/>
  <c r="BK722" i="202"/>
  <c r="BK786" i="202"/>
  <c r="BK850" i="202"/>
  <c r="BK914" i="202"/>
  <c r="BK978" i="202"/>
  <c r="BK1042" i="202"/>
  <c r="BK1106" i="202"/>
  <c r="BK1170" i="202"/>
  <c r="BK373" i="202"/>
  <c r="BK437" i="202"/>
  <c r="BK501" i="202"/>
  <c r="BK565" i="202"/>
  <c r="BK629" i="202"/>
  <c r="BK693" i="202"/>
  <c r="BK757" i="202"/>
  <c r="BK821" i="202"/>
  <c r="BK885" i="202"/>
  <c r="BK949" i="202"/>
  <c r="BK1013" i="202"/>
  <c r="BK1077" i="202"/>
  <c r="BK1141" i="202"/>
  <c r="BK38" i="202"/>
  <c r="BK102" i="202"/>
  <c r="BK166" i="202"/>
  <c r="BK230" i="202"/>
  <c r="BK294" i="202"/>
  <c r="BK358" i="202"/>
  <c r="BK422" i="202"/>
  <c r="BK486" i="202"/>
  <c r="BK550" i="202"/>
  <c r="BK614" i="202"/>
  <c r="BK678" i="202"/>
  <c r="BK1186" i="202"/>
  <c r="BK1250" i="202"/>
  <c r="BK1314" i="202"/>
  <c r="BK1378" i="202"/>
  <c r="BK1442" i="202"/>
  <c r="BK1506" i="202"/>
  <c r="BK1570" i="202"/>
  <c r="BK1634" i="202"/>
  <c r="BK1698" i="202"/>
  <c r="BK1762" i="202"/>
  <c r="BK1826" i="202"/>
  <c r="BK1890" i="202"/>
  <c r="BK1954" i="202"/>
  <c r="BK2018" i="202"/>
  <c r="BK1189" i="202"/>
  <c r="BK1253" i="202"/>
  <c r="BK1317" i="202"/>
  <c r="BK1381" i="202"/>
  <c r="BK1445" i="202"/>
  <c r="BK1509" i="202"/>
  <c r="BK1573" i="202"/>
  <c r="BK1637" i="202"/>
  <c r="BK1701" i="202"/>
  <c r="BK1765" i="202"/>
  <c r="BK1829" i="202"/>
  <c r="BK1893" i="202"/>
  <c r="BK1957" i="202"/>
  <c r="BK2021" i="202"/>
  <c r="BK749" i="202"/>
  <c r="BK877" i="202"/>
  <c r="BK941" i="202"/>
  <c r="BK1069" i="202"/>
  <c r="BK1818" i="202"/>
  <c r="BK1946" i="202"/>
  <c r="BK10" i="202"/>
  <c r="BK74" i="202"/>
  <c r="BK138" i="202"/>
  <c r="BK202" i="202"/>
  <c r="BK266" i="202"/>
  <c r="BK330" i="202"/>
  <c r="BK394" i="202"/>
  <c r="BK458" i="202"/>
  <c r="BK37" i="202"/>
  <c r="BK101" i="202"/>
  <c r="BK165" i="202"/>
  <c r="BK229" i="202"/>
  <c r="BK293" i="202"/>
  <c r="BK538" i="202"/>
  <c r="BK602" i="202"/>
  <c r="BK666" i="202"/>
  <c r="BK730" i="202"/>
  <c r="BK794" i="202"/>
  <c r="BK858" i="202"/>
  <c r="BK922" i="202"/>
  <c r="BK986" i="202"/>
  <c r="BK1050" i="202"/>
  <c r="BK1114" i="202"/>
  <c r="BK1178" i="202"/>
  <c r="BK381" i="202"/>
  <c r="BK445" i="202"/>
  <c r="BK509" i="202"/>
  <c r="BK573" i="202"/>
  <c r="BK637" i="202"/>
  <c r="BK701" i="202"/>
  <c r="BK765" i="202"/>
  <c r="BK829" i="202"/>
  <c r="BK893" i="202"/>
  <c r="BK957" i="202"/>
  <c r="BK1021" i="202"/>
  <c r="BK1085" i="202"/>
  <c r="BK1149" i="202"/>
  <c r="BK46" i="202"/>
  <c r="BK110" i="202"/>
  <c r="BK174" i="202"/>
  <c r="BK238" i="202"/>
  <c r="BK302" i="202"/>
  <c r="BK366" i="202"/>
  <c r="BK430" i="202"/>
  <c r="BK494" i="202"/>
  <c r="BK558" i="202"/>
  <c r="BK622" i="202"/>
  <c r="BK1194" i="202"/>
  <c r="BK1258" i="202"/>
  <c r="BK1322" i="202"/>
  <c r="BK1386" i="202"/>
  <c r="BK1450" i="202"/>
  <c r="BK1514" i="202"/>
  <c r="BK1578" i="202"/>
  <c r="BK1642" i="202"/>
  <c r="BK1706" i="202"/>
  <c r="BK1770" i="202"/>
  <c r="BK1834" i="202"/>
  <c r="BK1898" i="202"/>
  <c r="BK1962" i="202"/>
  <c r="BK2026" i="202"/>
  <c r="BK246" i="202"/>
  <c r="BK502" i="202"/>
  <c r="BK1906" i="202"/>
  <c r="BK26" i="202"/>
  <c r="BK90" i="202"/>
  <c r="BK154" i="202"/>
  <c r="BK218" i="202"/>
  <c r="BK282" i="202"/>
  <c r="BK346" i="202"/>
  <c r="BK410" i="202"/>
  <c r="BK474" i="202"/>
  <c r="BK53" i="202"/>
  <c r="BK117" i="202"/>
  <c r="BK181" i="202"/>
  <c r="BK245" i="202"/>
  <c r="BK309" i="202"/>
  <c r="BK490" i="202"/>
  <c r="BK554" i="202"/>
  <c r="BK618" i="202"/>
  <c r="BK682" i="202"/>
  <c r="BK746" i="202"/>
  <c r="BK810" i="202"/>
  <c r="BK874" i="202"/>
  <c r="BK938" i="202"/>
  <c r="BK1002" i="202"/>
  <c r="BK1066" i="202"/>
  <c r="BK1130" i="202"/>
  <c r="BK397" i="202"/>
  <c r="BK461" i="202"/>
  <c r="BK525" i="202"/>
  <c r="BK589" i="202"/>
  <c r="BK653" i="202"/>
  <c r="BK717" i="202"/>
  <c r="BK781" i="202"/>
  <c r="BK845" i="202"/>
  <c r="BK909" i="202"/>
  <c r="BK973" i="202"/>
  <c r="BK1037" i="202"/>
  <c r="BK1101" i="202"/>
  <c r="BK62" i="202"/>
  <c r="BK126" i="202"/>
  <c r="BK190" i="202"/>
  <c r="BK254" i="202"/>
  <c r="BK318" i="202"/>
  <c r="BK382" i="202"/>
  <c r="BK446" i="202"/>
  <c r="BK510" i="202"/>
  <c r="BK574" i="202"/>
  <c r="BK638" i="202"/>
  <c r="BK1210" i="202"/>
  <c r="BK1274" i="202"/>
  <c r="BK1338" i="202"/>
  <c r="BK1402" i="202"/>
  <c r="BK1466" i="202"/>
  <c r="BK1530" i="202"/>
  <c r="BK1594" i="202"/>
  <c r="BK1658" i="202"/>
  <c r="BK1722" i="202"/>
  <c r="BK1786" i="202"/>
  <c r="BK1850" i="202"/>
  <c r="BK1914" i="202"/>
  <c r="BK1978" i="202"/>
  <c r="BK2042" i="202"/>
  <c r="BK54" i="202"/>
  <c r="BK310" i="202"/>
  <c r="BK566" i="202"/>
  <c r="BK1778" i="202"/>
  <c r="BK1970" i="202"/>
  <c r="BK34" i="202"/>
  <c r="BK98" i="202"/>
  <c r="BK162" i="202"/>
  <c r="BK226" i="202"/>
  <c r="BK290" i="202"/>
  <c r="BK354" i="202"/>
  <c r="BK418" i="202"/>
  <c r="BK61" i="202"/>
  <c r="BK125" i="202"/>
  <c r="BK189" i="202"/>
  <c r="BK253" i="202"/>
  <c r="BK317" i="202"/>
  <c r="BK498" i="202"/>
  <c r="BK562" i="202"/>
  <c r="BK626" i="202"/>
  <c r="BK690" i="202"/>
  <c r="BK754" i="202"/>
  <c r="BK818" i="202"/>
  <c r="BK882" i="202"/>
  <c r="BK946" i="202"/>
  <c r="BK1010" i="202"/>
  <c r="BK1074" i="202"/>
  <c r="BK1138" i="202"/>
  <c r="BK405" i="202"/>
  <c r="BK469" i="202"/>
  <c r="BK533" i="202"/>
  <c r="BK597" i="202"/>
  <c r="BK661" i="202"/>
  <c r="BK725" i="202"/>
  <c r="BK789" i="202"/>
  <c r="BK853" i="202"/>
  <c r="BK917" i="202"/>
  <c r="BK981" i="202"/>
  <c r="BK1045" i="202"/>
  <c r="BK1109" i="202"/>
  <c r="BK6" i="202"/>
  <c r="BK70" i="202"/>
  <c r="BK134" i="202"/>
  <c r="BK198" i="202"/>
  <c r="BK262" i="202"/>
  <c r="BK326" i="202"/>
  <c r="BK390" i="202"/>
  <c r="BK454" i="202"/>
  <c r="BK518" i="202"/>
  <c r="BK582" i="202"/>
  <c r="BK646" i="202"/>
  <c r="BK1218" i="202"/>
  <c r="BK1282" i="202"/>
  <c r="BK1346" i="202"/>
  <c r="BK1410" i="202"/>
  <c r="BK1474" i="202"/>
  <c r="BK1538" i="202"/>
  <c r="BK1602" i="202"/>
  <c r="BK1666" i="202"/>
  <c r="BK1730" i="202"/>
  <c r="BK1794" i="202"/>
  <c r="BK1858" i="202"/>
  <c r="BK1922" i="202"/>
  <c r="BK1986" i="202"/>
  <c r="BK118" i="202"/>
  <c r="BK374" i="202"/>
  <c r="BK630" i="202"/>
  <c r="BK2034" i="202"/>
  <c r="BK42" i="202"/>
  <c r="BK106" i="202"/>
  <c r="BK170" i="202"/>
  <c r="BK234" i="202"/>
  <c r="BK298" i="202"/>
  <c r="BK362" i="202"/>
  <c r="BK426" i="202"/>
  <c r="BK5" i="202"/>
  <c r="BK69" i="202"/>
  <c r="BK133" i="202"/>
  <c r="BK197" i="202"/>
  <c r="BK261" i="202"/>
  <c r="BK325" i="202"/>
  <c r="BK506" i="202"/>
  <c r="BK570" i="202"/>
  <c r="BK634" i="202"/>
  <c r="BK698" i="202"/>
  <c r="BK762" i="202"/>
  <c r="BK826" i="202"/>
  <c r="BK890" i="202"/>
  <c r="BK954" i="202"/>
  <c r="BK1018" i="202"/>
  <c r="BK1082" i="202"/>
  <c r="BK1146" i="202"/>
  <c r="BK349" i="202"/>
  <c r="BK413" i="202"/>
  <c r="BK477" i="202"/>
  <c r="BK541" i="202"/>
  <c r="BK605" i="202"/>
  <c r="BK669" i="202"/>
  <c r="BK733" i="202"/>
  <c r="BK797" i="202"/>
  <c r="BK861" i="202"/>
  <c r="BK925" i="202"/>
  <c r="BK989" i="202"/>
  <c r="BK1053" i="202"/>
  <c r="BK1117" i="202"/>
  <c r="BK14" i="202"/>
  <c r="BK78" i="202"/>
  <c r="BK142" i="202"/>
  <c r="BK206" i="202"/>
  <c r="BK270" i="202"/>
  <c r="BK334" i="202"/>
  <c r="BK398" i="202"/>
  <c r="BK462" i="202"/>
  <c r="BK526" i="202"/>
  <c r="BK590" i="202"/>
  <c r="BK654" i="202"/>
  <c r="BK1226" i="202"/>
  <c r="BK1290" i="202"/>
  <c r="BK1354" i="202"/>
  <c r="BK1418" i="202"/>
  <c r="BK1482" i="202"/>
  <c r="BK1546" i="202"/>
  <c r="BK1610" i="202"/>
  <c r="BK1674" i="202"/>
  <c r="BK1738" i="202"/>
  <c r="BK1802" i="202"/>
  <c r="BK1866" i="202"/>
  <c r="BK1930" i="202"/>
  <c r="BK1994" i="202"/>
  <c r="BK1165" i="202"/>
  <c r="BK1229" i="202"/>
  <c r="BK1293" i="202"/>
  <c r="BK1357" i="202"/>
  <c r="BK1421" i="202"/>
  <c r="BK1485" i="202"/>
  <c r="BK1549" i="202"/>
  <c r="BK1613" i="202"/>
  <c r="BK1677" i="202"/>
  <c r="BK1741" i="202"/>
  <c r="BK1805" i="202"/>
  <c r="BK1869" i="202"/>
  <c r="BK1933" i="202"/>
  <c r="BK1997" i="202"/>
  <c r="BK182" i="202"/>
  <c r="BK438" i="202"/>
  <c r="BK1842" i="202"/>
  <c r="BK50" i="202"/>
  <c r="BK114" i="202"/>
  <c r="BK178" i="202"/>
  <c r="BK242" i="202"/>
  <c r="BK306" i="202"/>
  <c r="BK370" i="202"/>
  <c r="BK434" i="202"/>
  <c r="BK13" i="202"/>
  <c r="BK77" i="202"/>
  <c r="BK141" i="202"/>
  <c r="BK205" i="202"/>
  <c r="BK269" i="202"/>
  <c r="BK333" i="202"/>
  <c r="BK514" i="202"/>
  <c r="BK578" i="202"/>
  <c r="BK642" i="202"/>
  <c r="BK706" i="202"/>
  <c r="BK770" i="202"/>
  <c r="BK834" i="202"/>
  <c r="BK898" i="202"/>
  <c r="BK962" i="202"/>
  <c r="BK1026" i="202"/>
  <c r="BK1090" i="202"/>
  <c r="BK1154" i="202"/>
  <c r="BK357" i="202"/>
  <c r="BK421" i="202"/>
  <c r="BK485" i="202"/>
  <c r="BK549" i="202"/>
  <c r="BK613" i="202"/>
  <c r="BK677" i="202"/>
  <c r="BK741" i="202"/>
  <c r="BK805" i="202"/>
  <c r="BK869" i="202"/>
  <c r="BK933" i="202"/>
  <c r="BK997" i="202"/>
  <c r="BK1061" i="202"/>
  <c r="BK1125" i="202"/>
  <c r="BK22" i="202"/>
  <c r="BK86" i="202"/>
  <c r="BK150" i="202"/>
  <c r="BK214" i="202"/>
  <c r="BK278" i="202"/>
  <c r="BK342" i="202"/>
  <c r="BK406" i="202"/>
  <c r="BK470" i="202"/>
  <c r="BK534" i="202"/>
  <c r="BK598" i="202"/>
  <c r="BK662" i="202"/>
  <c r="BK1234" i="202"/>
  <c r="BK1298" i="202"/>
  <c r="BK1362" i="202"/>
  <c r="BK1426" i="202"/>
  <c r="BK1490" i="202"/>
  <c r="BK1554" i="202"/>
  <c r="BK1618" i="202"/>
  <c r="BK1682" i="202"/>
  <c r="BK1746" i="202"/>
  <c r="BK1810" i="202"/>
  <c r="BK1874" i="202"/>
  <c r="BK1938" i="202"/>
  <c r="BK2002" i="202"/>
  <c r="BK1173" i="202"/>
  <c r="BK1237" i="202"/>
  <c r="BK1301" i="202"/>
  <c r="BK1365" i="202"/>
  <c r="BK1429" i="202"/>
  <c r="BK1493" i="202"/>
  <c r="BK1557" i="202"/>
  <c r="BK1621" i="202"/>
  <c r="BK1685" i="202"/>
  <c r="BK1749" i="202"/>
  <c r="BK1813" i="202"/>
  <c r="BK1877" i="202"/>
  <c r="BK1941" i="202"/>
  <c r="BK2005" i="202"/>
  <c r="BK1181" i="202"/>
  <c r="BK1245" i="202"/>
  <c r="BK1309" i="202"/>
  <c r="BK1373" i="202"/>
  <c r="BK1437" i="202"/>
  <c r="BK1501" i="202"/>
  <c r="BK1565" i="202"/>
  <c r="BK1629" i="202"/>
  <c r="BK1693" i="202"/>
  <c r="BK1757" i="202"/>
  <c r="BK1821" i="202"/>
  <c r="BK1885" i="202"/>
  <c r="BK1949" i="202"/>
  <c r="BK2013" i="202"/>
  <c r="BK511" i="202"/>
  <c r="BK1197" i="202"/>
  <c r="BK1261" i="202"/>
  <c r="BK1325" i="202"/>
  <c r="BK1389" i="202"/>
  <c r="BK1453" i="202"/>
  <c r="BK1517" i="202"/>
  <c r="BK1581" i="202"/>
  <c r="BK1645" i="202"/>
  <c r="BK1709" i="202"/>
  <c r="BK1773" i="202"/>
  <c r="BK1837" i="202"/>
  <c r="BK1901" i="202"/>
  <c r="BK1965" i="202"/>
  <c r="BK2029" i="202"/>
  <c r="BK1205" i="202"/>
  <c r="BK1269" i="202"/>
  <c r="BK1333" i="202"/>
  <c r="BK1397" i="202"/>
  <c r="BK1461" i="202"/>
  <c r="BK1525" i="202"/>
  <c r="BK1589" i="202"/>
  <c r="BK1653" i="202"/>
  <c r="BK1717" i="202"/>
  <c r="BK1781" i="202"/>
  <c r="BK1845" i="202"/>
  <c r="BK1909" i="202"/>
  <c r="BK1973" i="202"/>
  <c r="BK2037" i="202"/>
  <c r="BK1213" i="202"/>
  <c r="BK1277" i="202"/>
  <c r="BK1341" i="202"/>
  <c r="BK1405" i="202"/>
  <c r="BK1469" i="202"/>
  <c r="BK1533" i="202"/>
  <c r="BK1597" i="202"/>
  <c r="BK1661" i="202"/>
  <c r="BK1725" i="202"/>
  <c r="BK1789" i="202"/>
  <c r="BK1853" i="202"/>
  <c r="BK1917" i="202"/>
  <c r="BK1981" i="202"/>
  <c r="BK2045" i="202"/>
  <c r="BK1157" i="202"/>
  <c r="BK1221" i="202"/>
  <c r="BK1285" i="202"/>
  <c r="BK1349" i="202"/>
  <c r="BK1413" i="202"/>
  <c r="BK1477" i="202"/>
  <c r="BK1541" i="202"/>
  <c r="BK1605" i="202"/>
  <c r="BK1669" i="202"/>
  <c r="BK1733" i="202"/>
  <c r="BK1797" i="202"/>
  <c r="BK1861" i="202"/>
  <c r="BK1925" i="202"/>
  <c r="BK1989" i="202"/>
  <c r="N15" i="39"/>
  <c r="L15" i="39"/>
  <c r="L17" i="39" s="1"/>
  <c r="P16" i="39"/>
  <c r="P17" i="39" s="1"/>
  <c r="U16" i="39"/>
  <c r="S16" i="39"/>
  <c r="Q15" i="39"/>
  <c r="Q18" i="39" s="1"/>
  <c r="R15" i="39"/>
  <c r="J16" i="39"/>
  <c r="J19" i="39" s="1"/>
  <c r="M16" i="39"/>
  <c r="M19" i="39" s="1"/>
  <c r="K15" i="39"/>
  <c r="K18" i="39" s="1"/>
  <c r="M15" i="39"/>
  <c r="M17" i="39" s="1"/>
  <c r="K596" i="1"/>
  <c r="K599" i="1" s="1"/>
  <c r="J350" i="11"/>
  <c r="J474" i="11" s="1"/>
  <c r="J226" i="11"/>
  <c r="J367" i="11"/>
  <c r="J491" i="11" s="1"/>
  <c r="J243" i="11"/>
  <c r="I245" i="11"/>
  <c r="I369" i="11"/>
  <c r="I493" i="11" s="1"/>
  <c r="J353" i="11"/>
  <c r="J477" i="11" s="1"/>
  <c r="J229" i="11"/>
  <c r="K419" i="1"/>
  <c r="I359" i="11"/>
  <c r="I483" i="11" s="1"/>
  <c r="I235" i="11"/>
  <c r="I223" i="11"/>
  <c r="I347" i="11"/>
  <c r="I471" i="11" s="1"/>
  <c r="J221" i="11"/>
  <c r="J345" i="11"/>
  <c r="J469" i="11" s="1"/>
  <c r="L858" i="1"/>
  <c r="I18" i="12" s="1"/>
  <c r="D24" i="23" s="1"/>
  <c r="K337" i="1"/>
  <c r="J371" i="11"/>
  <c r="J495" i="11" s="1"/>
  <c r="J247" i="11"/>
  <c r="I237" i="11"/>
  <c r="I361" i="11"/>
  <c r="I485" i="11" s="1"/>
  <c r="I234" i="11"/>
  <c r="I358" i="11"/>
  <c r="I482" i="11" s="1"/>
  <c r="K772" i="1"/>
  <c r="K775" i="1" s="1"/>
  <c r="I351" i="11"/>
  <c r="I475" i="11" s="1"/>
  <c r="I227" i="11"/>
  <c r="K255" i="1"/>
  <c r="K315" i="1"/>
  <c r="I362" i="11"/>
  <c r="I486" i="11" s="1"/>
  <c r="I238" i="11"/>
  <c r="J360" i="11"/>
  <c r="J484" i="11" s="1"/>
  <c r="J236" i="11"/>
  <c r="I348" i="11"/>
  <c r="I472" i="11" s="1"/>
  <c r="I224" i="11"/>
  <c r="J375" i="11"/>
  <c r="J499" i="11" s="1"/>
  <c r="J251" i="11"/>
  <c r="I373" i="11"/>
  <c r="I497" i="11" s="1"/>
  <c r="I249" i="11"/>
  <c r="I365" i="11"/>
  <c r="I489" i="11" s="1"/>
  <c r="I241" i="11"/>
  <c r="J239" i="11"/>
  <c r="J363" i="11"/>
  <c r="J487" i="11" s="1"/>
  <c r="K430" i="1"/>
  <c r="K433" i="1" s="1"/>
  <c r="K852" i="1"/>
  <c r="H12" i="12" s="1"/>
  <c r="C24" i="20" s="1"/>
  <c r="C26" i="20" s="1"/>
  <c r="L856" i="1"/>
  <c r="I16" i="12" s="1"/>
  <c r="D24" i="22" s="1"/>
  <c r="Q490" i="1"/>
  <c r="K761" i="1"/>
  <c r="K764" i="1" s="1"/>
  <c r="I355" i="11"/>
  <c r="I479" i="11" s="1"/>
  <c r="I231" i="11"/>
  <c r="E35" i="58"/>
  <c r="J62" i="38"/>
  <c r="K62" i="38" s="1"/>
  <c r="L62" i="38" s="1"/>
  <c r="M62" i="38" s="1"/>
  <c r="N62" i="38" s="1"/>
  <c r="O62" i="38" s="1"/>
  <c r="P62" i="38" s="1"/>
  <c r="C274" i="38"/>
  <c r="K850" i="1"/>
  <c r="H10" i="12" s="1"/>
  <c r="C24" i="19" s="1"/>
  <c r="C26" i="19" s="1"/>
  <c r="O17" i="39"/>
  <c r="O18" i="39"/>
  <c r="O20" i="39" s="1"/>
  <c r="C427" i="11"/>
  <c r="F303" i="11"/>
  <c r="I345" i="11"/>
  <c r="I469" i="11" s="1"/>
  <c r="G324" i="11"/>
  <c r="G448" i="11" s="1"/>
  <c r="D200" i="11"/>
  <c r="D324" i="11" s="1"/>
  <c r="D448" i="11" s="1"/>
  <c r="D572" i="11" s="1"/>
  <c r="D696" i="11" s="1"/>
  <c r="H76" i="11"/>
  <c r="G200" i="11"/>
  <c r="H324" i="11" s="1"/>
  <c r="H448" i="11" s="1"/>
  <c r="G76" i="11"/>
  <c r="K137" i="13"/>
  <c r="E7" i="35"/>
  <c r="I309" i="11"/>
  <c r="I433" i="11" s="1"/>
  <c r="N185" i="11"/>
  <c r="N61" i="11"/>
  <c r="H309" i="11"/>
  <c r="M185" i="11"/>
  <c r="M61" i="11"/>
  <c r="O309" i="11"/>
  <c r="O433" i="11" s="1"/>
  <c r="G309" i="11"/>
  <c r="G433" i="11" s="1"/>
  <c r="L185" i="11"/>
  <c r="D185" i="11"/>
  <c r="D309" i="11" s="1"/>
  <c r="D433" i="11" s="1"/>
  <c r="D557" i="11" s="1"/>
  <c r="D681" i="11" s="1"/>
  <c r="N309" i="11"/>
  <c r="K185" i="11"/>
  <c r="K61" i="11"/>
  <c r="M309" i="11"/>
  <c r="M433" i="11" s="1"/>
  <c r="J185" i="11"/>
  <c r="J61" i="11"/>
  <c r="L309" i="11"/>
  <c r="I185" i="11"/>
  <c r="I61" i="11"/>
  <c r="K309" i="11"/>
  <c r="H185" i="11"/>
  <c r="H61" i="11"/>
  <c r="J309" i="11"/>
  <c r="G185" i="11"/>
  <c r="O61" i="11"/>
  <c r="G61" i="11"/>
  <c r="L61" i="11"/>
  <c r="I327" i="11"/>
  <c r="I451" i="11" s="1"/>
  <c r="H327" i="11"/>
  <c r="G327" i="11"/>
  <c r="G451" i="11" s="1"/>
  <c r="D203" i="11"/>
  <c r="D327" i="11" s="1"/>
  <c r="D451" i="11" s="1"/>
  <c r="D575" i="11" s="1"/>
  <c r="D699" i="11" s="1"/>
  <c r="K79" i="11"/>
  <c r="J203" i="11"/>
  <c r="J79" i="11"/>
  <c r="I203" i="11"/>
  <c r="I79" i="11"/>
  <c r="K327" i="11"/>
  <c r="K451" i="11" s="1"/>
  <c r="H203" i="11"/>
  <c r="H79" i="11"/>
  <c r="J327" i="11"/>
  <c r="G203" i="11"/>
  <c r="G79" i="11"/>
  <c r="C26" i="35"/>
  <c r="C28" i="35" s="1"/>
  <c r="C46" i="35" s="1"/>
  <c r="H36" i="12"/>
  <c r="I363" i="11"/>
  <c r="I487" i="11" s="1"/>
  <c r="C418" i="11"/>
  <c r="F294" i="11"/>
  <c r="N547" i="1"/>
  <c r="M548" i="1"/>
  <c r="N549" i="1" s="1"/>
  <c r="C487" i="11"/>
  <c r="F363" i="11"/>
  <c r="C471" i="11"/>
  <c r="F347" i="11"/>
  <c r="C444" i="11"/>
  <c r="F320" i="11"/>
  <c r="C421" i="11"/>
  <c r="F297" i="11"/>
  <c r="C389" i="11"/>
  <c r="F265" i="11"/>
  <c r="J171" i="13"/>
  <c r="K161" i="13"/>
  <c r="M106" i="38"/>
  <c r="M258" i="38"/>
  <c r="L217" i="12"/>
  <c r="L73" i="12"/>
  <c r="E54" i="10" s="1"/>
  <c r="E59" i="11" s="1"/>
  <c r="E183" i="11" s="1"/>
  <c r="E307" i="11" s="1"/>
  <c r="E431" i="11" s="1"/>
  <c r="E555" i="11" s="1"/>
  <c r="E679" i="11" s="1"/>
  <c r="F20" i="20"/>
  <c r="F16" i="20"/>
  <c r="G6" i="20"/>
  <c r="M312" i="13"/>
  <c r="F28" i="58"/>
  <c r="M315" i="13"/>
  <c r="F29" i="58" s="1"/>
  <c r="K137" i="38"/>
  <c r="J137" i="38"/>
  <c r="I249" i="38"/>
  <c r="E165" i="38"/>
  <c r="E164" i="38"/>
  <c r="K64" i="38"/>
  <c r="R101" i="39"/>
  <c r="O248" i="38"/>
  <c r="I123" i="38"/>
  <c r="D206" i="38"/>
  <c r="D207" i="38"/>
  <c r="D209" i="38" s="1"/>
  <c r="E55" i="38"/>
  <c r="C419" i="11"/>
  <c r="F295" i="11"/>
  <c r="C489" i="11"/>
  <c r="F365" i="11"/>
  <c r="F137" i="11"/>
  <c r="I343" i="11"/>
  <c r="I467" i="11" s="1"/>
  <c r="N219" i="11"/>
  <c r="N95" i="11"/>
  <c r="P343" i="11"/>
  <c r="H343" i="11"/>
  <c r="M219" i="11"/>
  <c r="M95" i="11"/>
  <c r="O343" i="11"/>
  <c r="G343" i="11"/>
  <c r="G467" i="11" s="1"/>
  <c r="L219" i="11"/>
  <c r="D219" i="11"/>
  <c r="D343" i="11" s="1"/>
  <c r="D467" i="11" s="1"/>
  <c r="D591" i="11" s="1"/>
  <c r="D715" i="11" s="1"/>
  <c r="N343" i="11"/>
  <c r="N467" i="11" s="1"/>
  <c r="K219" i="11"/>
  <c r="K95" i="11"/>
  <c r="M343" i="11"/>
  <c r="M467" i="11" s="1"/>
  <c r="J219" i="11"/>
  <c r="J95" i="11"/>
  <c r="L343" i="11"/>
  <c r="I219" i="11"/>
  <c r="I95" i="11"/>
  <c r="K343" i="11"/>
  <c r="K467" i="11" s="1"/>
  <c r="H219" i="11"/>
  <c r="P95" i="11"/>
  <c r="H95" i="11"/>
  <c r="J343" i="11"/>
  <c r="O219" i="11"/>
  <c r="G219" i="11"/>
  <c r="O95" i="11"/>
  <c r="G95" i="11"/>
  <c r="L95" i="11"/>
  <c r="K207" i="38"/>
  <c r="G123" i="38"/>
  <c r="L248" i="38"/>
  <c r="D264" i="38"/>
  <c r="K263" i="38"/>
  <c r="H221" i="38"/>
  <c r="M234" i="38"/>
  <c r="L149" i="38"/>
  <c r="G52" i="38"/>
  <c r="G53" i="38"/>
  <c r="G55" i="38" s="1"/>
  <c r="E17" i="50"/>
  <c r="J96" i="38"/>
  <c r="L220" i="38"/>
  <c r="L164" i="38"/>
  <c r="G193" i="38"/>
  <c r="E94" i="38"/>
  <c r="E95" i="38"/>
  <c r="J61" i="39"/>
  <c r="N248" i="38"/>
  <c r="D94" i="38"/>
  <c r="D95" i="38"/>
  <c r="H252" i="11"/>
  <c r="H248" i="11"/>
  <c r="H244" i="11"/>
  <c r="Q104" i="39"/>
  <c r="C491" i="11"/>
  <c r="F367" i="11"/>
  <c r="I232" i="11"/>
  <c r="H476" i="11"/>
  <c r="C484" i="11"/>
  <c r="F360" i="11"/>
  <c r="C446" i="11"/>
  <c r="F322" i="11"/>
  <c r="C411" i="11"/>
  <c r="F287" i="11"/>
  <c r="Q289" i="11"/>
  <c r="Q413" i="11" s="1"/>
  <c r="I289" i="11"/>
  <c r="I413" i="11" s="1"/>
  <c r="N165" i="11"/>
  <c r="P289" i="11"/>
  <c r="H289" i="11"/>
  <c r="M165" i="11"/>
  <c r="M41" i="11"/>
  <c r="O289" i="11"/>
  <c r="G289" i="11"/>
  <c r="G413" i="11" s="1"/>
  <c r="L165" i="11"/>
  <c r="D165" i="11"/>
  <c r="D289" i="11" s="1"/>
  <c r="D413" i="11" s="1"/>
  <c r="D537" i="11" s="1"/>
  <c r="D661" i="11" s="1"/>
  <c r="N289" i="11"/>
  <c r="K165" i="11"/>
  <c r="K41" i="11"/>
  <c r="M289" i="11"/>
  <c r="M413" i="11" s="1"/>
  <c r="J165" i="11"/>
  <c r="J41" i="11"/>
  <c r="L289" i="11"/>
  <c r="I165" i="11"/>
  <c r="Q41" i="11"/>
  <c r="I41" i="11"/>
  <c r="K289" i="11"/>
  <c r="K413" i="11" s="1"/>
  <c r="P165" i="11"/>
  <c r="H165" i="11"/>
  <c r="P41" i="11"/>
  <c r="H41" i="11"/>
  <c r="J289" i="11"/>
  <c r="O165" i="11"/>
  <c r="G165" i="11"/>
  <c r="O41" i="11"/>
  <c r="G41" i="11"/>
  <c r="N41" i="11"/>
  <c r="L41" i="11"/>
  <c r="I307" i="11"/>
  <c r="I431" i="11" s="1"/>
  <c r="H307" i="11"/>
  <c r="H431" i="11" s="1"/>
  <c r="M183" i="11"/>
  <c r="N183" i="11" s="1"/>
  <c r="M59" i="11"/>
  <c r="G307" i="11"/>
  <c r="L183" i="11"/>
  <c r="D183" i="11"/>
  <c r="D307" i="11" s="1"/>
  <c r="D431" i="11" s="1"/>
  <c r="D555" i="11" s="1"/>
  <c r="D679" i="11" s="1"/>
  <c r="N307" i="11"/>
  <c r="N431" i="11" s="1"/>
  <c r="K183" i="11"/>
  <c r="K59" i="11"/>
  <c r="M307" i="11"/>
  <c r="M431" i="11" s="1"/>
  <c r="J183" i="11"/>
  <c r="J59" i="11"/>
  <c r="L307" i="11"/>
  <c r="I183" i="11"/>
  <c r="Q59" i="11"/>
  <c r="I59" i="11"/>
  <c r="K307" i="11"/>
  <c r="K431" i="11" s="1"/>
  <c r="H183" i="11"/>
  <c r="P59" i="11"/>
  <c r="H59" i="11"/>
  <c r="J307" i="11"/>
  <c r="J431" i="11" s="1"/>
  <c r="G183" i="11"/>
  <c r="O59" i="11"/>
  <c r="G59" i="11"/>
  <c r="N59" i="11"/>
  <c r="L59" i="11"/>
  <c r="T202" i="13"/>
  <c r="T203" i="13"/>
  <c r="T204" i="13"/>
  <c r="T205" i="13"/>
  <c r="I225" i="11"/>
  <c r="H469" i="11"/>
  <c r="C459" i="11"/>
  <c r="F335" i="11"/>
  <c r="C422" i="11"/>
  <c r="F298" i="11"/>
  <c r="C390" i="11"/>
  <c r="F266" i="11"/>
  <c r="I288" i="11"/>
  <c r="N164" i="11"/>
  <c r="H288" i="11"/>
  <c r="H412" i="11" s="1"/>
  <c r="M164" i="11"/>
  <c r="M40" i="11"/>
  <c r="O288" i="11"/>
  <c r="O412" i="11" s="1"/>
  <c r="G288" i="11"/>
  <c r="L164" i="11"/>
  <c r="D164" i="11"/>
  <c r="D288" i="11" s="1"/>
  <c r="D412" i="11" s="1"/>
  <c r="D536" i="11" s="1"/>
  <c r="D660" i="11" s="1"/>
  <c r="N288" i="11"/>
  <c r="K164" i="11"/>
  <c r="K40" i="11"/>
  <c r="M288" i="11"/>
  <c r="M412" i="11" s="1"/>
  <c r="J164" i="11"/>
  <c r="J40" i="11"/>
  <c r="L288" i="11"/>
  <c r="I164" i="11"/>
  <c r="I40" i="11"/>
  <c r="K288" i="11"/>
  <c r="H164" i="11"/>
  <c r="P40" i="11"/>
  <c r="H40" i="11"/>
  <c r="J288" i="11"/>
  <c r="O164" i="11"/>
  <c r="P288" i="11" s="1"/>
  <c r="P412" i="11" s="1"/>
  <c r="G164" i="11"/>
  <c r="O40" i="11"/>
  <c r="G40" i="11"/>
  <c r="N40" i="11"/>
  <c r="L40" i="11"/>
  <c r="M642" i="1"/>
  <c r="E91" i="52" s="1"/>
  <c r="N636" i="1"/>
  <c r="N642" i="1" s="1"/>
  <c r="F91" i="52" s="1"/>
  <c r="F216" i="11"/>
  <c r="I273" i="11"/>
  <c r="H273" i="11"/>
  <c r="H397" i="11" s="1"/>
  <c r="G273" i="11"/>
  <c r="D149" i="11"/>
  <c r="D273" i="11" s="1"/>
  <c r="D397" i="11" s="1"/>
  <c r="D521" i="11" s="1"/>
  <c r="D645" i="11" s="1"/>
  <c r="K149" i="11"/>
  <c r="L273" i="11" s="1"/>
  <c r="L397" i="11" s="1"/>
  <c r="K25" i="11"/>
  <c r="J149" i="11"/>
  <c r="J25" i="11"/>
  <c r="I149" i="11"/>
  <c r="I25" i="11"/>
  <c r="K273" i="11"/>
  <c r="H149" i="11"/>
  <c r="H25" i="11"/>
  <c r="J273" i="11"/>
  <c r="G149" i="11"/>
  <c r="G25" i="11"/>
  <c r="L25" i="11"/>
  <c r="R202" i="13"/>
  <c r="R203" i="13"/>
  <c r="R204" i="13"/>
  <c r="R205" i="13"/>
  <c r="F205" i="11"/>
  <c r="F172" i="11"/>
  <c r="L31" i="30"/>
  <c r="L29" i="30"/>
  <c r="L30" i="30" s="1"/>
  <c r="Q178" i="12"/>
  <c r="C498" i="11"/>
  <c r="F374" i="11"/>
  <c r="F218" i="11"/>
  <c r="K29" i="30"/>
  <c r="K30" i="30" s="1"/>
  <c r="K31" i="30"/>
  <c r="P178" i="12"/>
  <c r="I261" i="11"/>
  <c r="I385" i="11" s="1"/>
  <c r="H261" i="11"/>
  <c r="H385" i="11" s="1"/>
  <c r="G261" i="11"/>
  <c r="G385" i="11" s="1"/>
  <c r="D137" i="11"/>
  <c r="D261" i="11" s="1"/>
  <c r="D385" i="11" s="1"/>
  <c r="D509" i="11" s="1"/>
  <c r="D633" i="11" s="1"/>
  <c r="K13" i="11"/>
  <c r="J137" i="11"/>
  <c r="J13" i="11"/>
  <c r="I137" i="11"/>
  <c r="I13" i="11"/>
  <c r="K261" i="11"/>
  <c r="K385" i="11" s="1"/>
  <c r="H137" i="11"/>
  <c r="H13" i="11"/>
  <c r="J261" i="11"/>
  <c r="J385" i="11" s="1"/>
  <c r="G137" i="11"/>
  <c r="G13" i="11"/>
  <c r="N71" i="52"/>
  <c r="H487" i="11"/>
  <c r="C439" i="11"/>
  <c r="F315" i="11"/>
  <c r="C402" i="11"/>
  <c r="F278" i="11"/>
  <c r="L90" i="12"/>
  <c r="O200" i="12" s="1"/>
  <c r="O215" i="12" s="1"/>
  <c r="O71" i="12"/>
  <c r="E85" i="10" s="1"/>
  <c r="E90" i="11" s="1"/>
  <c r="E214" i="11" s="1"/>
  <c r="E338" i="11" s="1"/>
  <c r="E462" i="11" s="1"/>
  <c r="E586" i="11" s="1"/>
  <c r="E710" i="11" s="1"/>
  <c r="M236" i="13"/>
  <c r="K849" i="1"/>
  <c r="H9" i="12" s="1"/>
  <c r="K507" i="1"/>
  <c r="K511" i="1" s="1"/>
  <c r="C479" i="11"/>
  <c r="F355" i="11"/>
  <c r="C460" i="11"/>
  <c r="F336" i="11"/>
  <c r="C434" i="11"/>
  <c r="F310" i="11"/>
  <c r="C405" i="11"/>
  <c r="F281" i="11"/>
  <c r="I308" i="11"/>
  <c r="I432" i="11" s="1"/>
  <c r="H308" i="11"/>
  <c r="H432" i="11" s="1"/>
  <c r="M184" i="11"/>
  <c r="M60" i="11"/>
  <c r="G308" i="11"/>
  <c r="G432" i="11" s="1"/>
  <c r="L184" i="11"/>
  <c r="D184" i="11"/>
  <c r="D308" i="11" s="1"/>
  <c r="D432" i="11" s="1"/>
  <c r="D556" i="11" s="1"/>
  <c r="D680" i="11" s="1"/>
  <c r="N308" i="11"/>
  <c r="N432" i="11" s="1"/>
  <c r="K184" i="11"/>
  <c r="K60" i="11"/>
  <c r="M308" i="11"/>
  <c r="M432" i="11" s="1"/>
  <c r="J184" i="11"/>
  <c r="J60" i="11"/>
  <c r="L308" i="11"/>
  <c r="I184" i="11"/>
  <c r="Q60" i="11"/>
  <c r="I60" i="11"/>
  <c r="K308" i="11"/>
  <c r="H184" i="11"/>
  <c r="P60" i="11"/>
  <c r="H60" i="11"/>
  <c r="J308" i="11"/>
  <c r="J432" i="11" s="1"/>
  <c r="G184" i="11"/>
  <c r="G60" i="11"/>
  <c r="N60" i="11"/>
  <c r="L60" i="11"/>
  <c r="I337" i="11"/>
  <c r="I461" i="11" s="1"/>
  <c r="H337" i="11"/>
  <c r="M89" i="11"/>
  <c r="G337" i="11"/>
  <c r="G461" i="11" s="1"/>
  <c r="D213" i="11"/>
  <c r="D337" i="11" s="1"/>
  <c r="D461" i="11" s="1"/>
  <c r="D585" i="11" s="1"/>
  <c r="D709" i="11" s="1"/>
  <c r="J89" i="11"/>
  <c r="I213" i="11"/>
  <c r="I89" i="11"/>
  <c r="H213" i="11"/>
  <c r="H89" i="11"/>
  <c r="J337" i="11"/>
  <c r="G213" i="11"/>
  <c r="O89" i="11"/>
  <c r="G89" i="11"/>
  <c r="L89" i="11"/>
  <c r="F20" i="5"/>
  <c r="F16" i="5"/>
  <c r="G6" i="5"/>
  <c r="N409" i="13"/>
  <c r="O409" i="13" s="1"/>
  <c r="L74" i="12"/>
  <c r="E55" i="10" s="1"/>
  <c r="E60" i="11" s="1"/>
  <c r="E184" i="11" s="1"/>
  <c r="E308" i="11" s="1"/>
  <c r="E432" i="11" s="1"/>
  <c r="E556" i="11" s="1"/>
  <c r="E680" i="11" s="1"/>
  <c r="L218" i="12"/>
  <c r="L608" i="1"/>
  <c r="L612" i="1" s="1"/>
  <c r="H77" i="1" s="1"/>
  <c r="F20" i="23"/>
  <c r="F16" i="23"/>
  <c r="G6" i="23"/>
  <c r="N437" i="13"/>
  <c r="O437" i="13" s="1"/>
  <c r="P437" i="13" s="1"/>
  <c r="Q437" i="13" s="1"/>
  <c r="R437" i="13" s="1"/>
  <c r="S437" i="13" s="1"/>
  <c r="T437" i="13" s="1"/>
  <c r="N220" i="12"/>
  <c r="N76" i="12"/>
  <c r="E79" i="10" s="1"/>
  <c r="E84" i="11" s="1"/>
  <c r="E208" i="11" s="1"/>
  <c r="E332" i="11" s="1"/>
  <c r="E456" i="11" s="1"/>
  <c r="E580" i="11" s="1"/>
  <c r="E704" i="11" s="1"/>
  <c r="N484" i="1"/>
  <c r="M17" i="21"/>
  <c r="M143" i="12"/>
  <c r="H59" i="58"/>
  <c r="K474" i="1"/>
  <c r="K471" i="1"/>
  <c r="L758" i="1"/>
  <c r="L759" i="1" s="1"/>
  <c r="L761" i="1" s="1"/>
  <c r="L764" i="1" s="1"/>
  <c r="D113" i="52"/>
  <c r="N262" i="1"/>
  <c r="O261" i="1"/>
  <c r="G402" i="11"/>
  <c r="L267" i="13"/>
  <c r="O74" i="12"/>
  <c r="E88" i="10" s="1"/>
  <c r="E93" i="11" s="1"/>
  <c r="E217" i="11" s="1"/>
  <c r="E341" i="11" s="1"/>
  <c r="E465" i="11" s="1"/>
  <c r="E589" i="11" s="1"/>
  <c r="E713" i="11" s="1"/>
  <c r="O218" i="12"/>
  <c r="K851" i="1"/>
  <c r="H11" i="12" s="1"/>
  <c r="F56" i="52"/>
  <c r="N56" i="52" s="1"/>
  <c r="C29" i="25"/>
  <c r="C30" i="25" s="1"/>
  <c r="C31" i="25" s="1"/>
  <c r="H173" i="12"/>
  <c r="H184" i="12" s="1"/>
  <c r="O73" i="12"/>
  <c r="E87" i="10" s="1"/>
  <c r="E92" i="11" s="1"/>
  <c r="E216" i="11" s="1"/>
  <c r="E340" i="11" s="1"/>
  <c r="E464" i="11" s="1"/>
  <c r="E588" i="11" s="1"/>
  <c r="E712" i="11" s="1"/>
  <c r="O217" i="12"/>
  <c r="I17" i="21"/>
  <c r="F20" i="38"/>
  <c r="C17" i="17"/>
  <c r="C18" i="17" s="1"/>
  <c r="K34" i="1"/>
  <c r="K7" i="1" s="1"/>
  <c r="H104" i="38"/>
  <c r="H106" i="38" s="1"/>
  <c r="E17" i="23"/>
  <c r="K400" i="11"/>
  <c r="O205" i="13"/>
  <c r="O194" i="13"/>
  <c r="O202" i="13"/>
  <c r="O203" i="13"/>
  <c r="O204" i="13"/>
  <c r="M613" i="1"/>
  <c r="M616" i="1" s="1"/>
  <c r="H17" i="21"/>
  <c r="M210" i="1"/>
  <c r="D752" i="1"/>
  <c r="D615" i="1"/>
  <c r="D339" i="1"/>
  <c r="D763" i="1"/>
  <c r="D576" i="1"/>
  <c r="D541" i="1"/>
  <c r="D489" i="1"/>
  <c r="D410" i="1"/>
  <c r="D317" i="1"/>
  <c r="D587" i="1"/>
  <c r="D458" i="1"/>
  <c r="D443" i="1"/>
  <c r="D355" i="1"/>
  <c r="D684" i="1"/>
  <c r="D561" i="1"/>
  <c r="D421" i="1"/>
  <c r="D787" i="1"/>
  <c r="D774" i="1"/>
  <c r="D598" i="1"/>
  <c r="D838" i="1"/>
  <c r="D631" i="1"/>
  <c r="D473" i="1"/>
  <c r="D393" i="1"/>
  <c r="D306" i="1"/>
  <c r="D205" i="1"/>
  <c r="F44" i="1" s="1"/>
  <c r="D432" i="1"/>
  <c r="D375" i="1"/>
  <c r="D328" i="1"/>
  <c r="D292" i="1"/>
  <c r="L855" i="1"/>
  <c r="I15" i="12" s="1"/>
  <c r="M270" i="1"/>
  <c r="P143" i="1"/>
  <c r="D249" i="1"/>
  <c r="M248" i="38"/>
  <c r="AC16" i="50"/>
  <c r="AC17" i="50"/>
  <c r="N150" i="38"/>
  <c r="Y9" i="50"/>
  <c r="AC3" i="50"/>
  <c r="AC9" i="50" s="1"/>
  <c r="M150" i="38"/>
  <c r="I282" i="11"/>
  <c r="I406" i="11" s="1"/>
  <c r="H282" i="11"/>
  <c r="H406" i="11" s="1"/>
  <c r="G282" i="11"/>
  <c r="G406" i="11" s="1"/>
  <c r="D158" i="11"/>
  <c r="D282" i="11" s="1"/>
  <c r="D406" i="11" s="1"/>
  <c r="D530" i="11" s="1"/>
  <c r="D654" i="11" s="1"/>
  <c r="J34" i="11"/>
  <c r="I158" i="11"/>
  <c r="I34" i="11"/>
  <c r="H158" i="11"/>
  <c r="H34" i="11"/>
  <c r="J282" i="11"/>
  <c r="J406" i="11" s="1"/>
  <c r="G158" i="11"/>
  <c r="G34" i="11"/>
  <c r="C406" i="11"/>
  <c r="F282" i="11"/>
  <c r="C492" i="11"/>
  <c r="F368" i="11"/>
  <c r="C481" i="11"/>
  <c r="F357" i="11"/>
  <c r="L77" i="13"/>
  <c r="K406" i="13"/>
  <c r="Q34" i="13"/>
  <c r="R30" i="13"/>
  <c r="L289" i="1"/>
  <c r="L845" i="1" s="1"/>
  <c r="I5" i="12" s="1"/>
  <c r="M287" i="1"/>
  <c r="L287" i="1"/>
  <c r="L288" i="1" s="1"/>
  <c r="K287" i="1"/>
  <c r="K288" i="1" s="1"/>
  <c r="M289" i="1"/>
  <c r="M290" i="1" s="1"/>
  <c r="K289" i="1"/>
  <c r="H51" i="1" s="1"/>
  <c r="M18" i="39"/>
  <c r="I193" i="38"/>
  <c r="H179" i="38"/>
  <c r="C476" i="11"/>
  <c r="F352" i="11"/>
  <c r="C430" i="11"/>
  <c r="F306" i="11"/>
  <c r="G235" i="38"/>
  <c r="G179" i="38"/>
  <c r="G66" i="38"/>
  <c r="G67" i="38"/>
  <c r="G69" i="38" s="1"/>
  <c r="P18" i="39"/>
  <c r="O135" i="38"/>
  <c r="F66" i="38"/>
  <c r="F67" i="38"/>
  <c r="F69" i="38" s="1"/>
  <c r="J11" i="38"/>
  <c r="J13" i="38" s="1"/>
  <c r="J10" i="38"/>
  <c r="G106" i="38"/>
  <c r="D248" i="38"/>
  <c r="D249" i="38"/>
  <c r="L192" i="38"/>
  <c r="P164" i="38"/>
  <c r="K24" i="38"/>
  <c r="K25" i="38"/>
  <c r="K27" i="38" s="1"/>
  <c r="P206" i="38"/>
  <c r="F109" i="38"/>
  <c r="F111" i="38" s="1"/>
  <c r="F108" i="38"/>
  <c r="E26" i="38"/>
  <c r="E27" i="38" s="1"/>
  <c r="T15" i="39"/>
  <c r="P248" i="38"/>
  <c r="H193" i="38"/>
  <c r="P136" i="38"/>
  <c r="K165" i="38"/>
  <c r="I64" i="38"/>
  <c r="M8" i="38"/>
  <c r="E222" i="38"/>
  <c r="E223" i="38" s="1"/>
  <c r="H66" i="38"/>
  <c r="H67" i="38"/>
  <c r="L10" i="38"/>
  <c r="O234" i="38"/>
  <c r="N149" i="38"/>
  <c r="J102" i="39"/>
  <c r="J104" i="39" s="1"/>
  <c r="J101" i="39"/>
  <c r="D192" i="38"/>
  <c r="D193" i="38"/>
  <c r="H165" i="38"/>
  <c r="L136" i="38"/>
  <c r="E234" i="38"/>
  <c r="E235" i="38"/>
  <c r="E237" i="38" s="1"/>
  <c r="I207" i="38"/>
  <c r="D152" i="38"/>
  <c r="K102" i="39"/>
  <c r="K104" i="39" s="1"/>
  <c r="K101" i="39"/>
  <c r="L234" i="38"/>
  <c r="H207" i="38"/>
  <c r="P150" i="38"/>
  <c r="F53" i="38"/>
  <c r="F55" i="38" s="1"/>
  <c r="F52" i="38"/>
  <c r="J25" i="38"/>
  <c r="J27" i="38" s="1"/>
  <c r="J24" i="38"/>
  <c r="J57" i="39"/>
  <c r="F236" i="38"/>
  <c r="O206" i="38"/>
  <c r="F180" i="38"/>
  <c r="O150" i="38"/>
  <c r="L18" i="39"/>
  <c r="L20" i="39" s="1"/>
  <c r="H249" i="38"/>
  <c r="D165" i="38"/>
  <c r="D167" i="38" s="1"/>
  <c r="D164" i="38"/>
  <c r="H137" i="38"/>
  <c r="L108" i="38"/>
  <c r="N10" i="38"/>
  <c r="O136" i="38"/>
  <c r="E38" i="38"/>
  <c r="E39" i="38"/>
  <c r="E41" i="38" s="1"/>
  <c r="E10" i="38"/>
  <c r="E11" i="38"/>
  <c r="E13" i="38" s="1"/>
  <c r="O102" i="39"/>
  <c r="O104" i="39" s="1"/>
  <c r="O101" i="39"/>
  <c r="K58" i="39"/>
  <c r="K61" i="39" s="1"/>
  <c r="F248" i="38"/>
  <c r="F249" i="38"/>
  <c r="F251" i="38" s="1"/>
  <c r="J221" i="38"/>
  <c r="N192" i="38"/>
  <c r="E166" i="38"/>
  <c r="D38" i="38"/>
  <c r="D39" i="38"/>
  <c r="D11" i="38"/>
  <c r="D13" i="38" s="1"/>
  <c r="D10" i="38"/>
  <c r="E24" i="38"/>
  <c r="G500" i="11"/>
  <c r="G496" i="11"/>
  <c r="G492" i="11"/>
  <c r="H240" i="11"/>
  <c r="I228" i="11"/>
  <c r="H348" i="11"/>
  <c r="H472" i="11" s="1"/>
  <c r="C457" i="11"/>
  <c r="F333" i="11"/>
  <c r="C424" i="11"/>
  <c r="F300" i="11"/>
  <c r="C392" i="11"/>
  <c r="F268" i="11"/>
  <c r="U758" i="1"/>
  <c r="C472" i="11"/>
  <c r="F348" i="11"/>
  <c r="F163" i="11"/>
  <c r="I322" i="11"/>
  <c r="N198" i="11"/>
  <c r="N74" i="11"/>
  <c r="P322" i="11"/>
  <c r="H322" i="11"/>
  <c r="M198" i="11"/>
  <c r="M74" i="11"/>
  <c r="O322" i="11"/>
  <c r="O446" i="11" s="1"/>
  <c r="G322" i="11"/>
  <c r="L198" i="11"/>
  <c r="D198" i="11"/>
  <c r="D322" i="11" s="1"/>
  <c r="D446" i="11" s="1"/>
  <c r="D570" i="11" s="1"/>
  <c r="D694" i="11" s="1"/>
  <c r="N322" i="11"/>
  <c r="K198" i="11"/>
  <c r="K74" i="11"/>
  <c r="M322" i="11"/>
  <c r="M446" i="11" s="1"/>
  <c r="J198" i="11"/>
  <c r="J74" i="11"/>
  <c r="L322" i="11"/>
  <c r="L446" i="11" s="1"/>
  <c r="I198" i="11"/>
  <c r="Q74" i="11"/>
  <c r="I74" i="11"/>
  <c r="K322" i="11"/>
  <c r="K446" i="11" s="1"/>
  <c r="P198" i="11"/>
  <c r="Q322" i="11" s="1"/>
  <c r="Q446" i="11" s="1"/>
  <c r="H198" i="11"/>
  <c r="P74" i="11"/>
  <c r="H74" i="11"/>
  <c r="J322" i="11"/>
  <c r="J446" i="11" s="1"/>
  <c r="O198" i="11"/>
  <c r="G198" i="11"/>
  <c r="O74" i="11"/>
  <c r="G74" i="11"/>
  <c r="L74" i="11"/>
  <c r="I329" i="11"/>
  <c r="H329" i="11"/>
  <c r="H453" i="11" s="1"/>
  <c r="M81" i="11"/>
  <c r="G329" i="11"/>
  <c r="L205" i="11"/>
  <c r="M329" i="11" s="1"/>
  <c r="M453" i="11" s="1"/>
  <c r="D205" i="11"/>
  <c r="D329" i="11" s="1"/>
  <c r="D453" i="11" s="1"/>
  <c r="D577" i="11" s="1"/>
  <c r="D701" i="11" s="1"/>
  <c r="K205" i="11"/>
  <c r="K81" i="11"/>
  <c r="J205" i="11"/>
  <c r="J81" i="11"/>
  <c r="L329" i="11"/>
  <c r="I205" i="11"/>
  <c r="I81" i="11"/>
  <c r="K329" i="11"/>
  <c r="H205" i="11"/>
  <c r="H81" i="11"/>
  <c r="J329" i="11"/>
  <c r="G205" i="11"/>
  <c r="G81" i="11"/>
  <c r="L81" i="11"/>
  <c r="L202" i="13"/>
  <c r="L203" i="13"/>
  <c r="L204" i="13"/>
  <c r="L205" i="13"/>
  <c r="L194" i="13"/>
  <c r="H233" i="11"/>
  <c r="G481" i="11"/>
  <c r="F211" i="11"/>
  <c r="H280" i="11"/>
  <c r="H404" i="11" s="1"/>
  <c r="G280" i="11"/>
  <c r="D156" i="11"/>
  <c r="D280" i="11" s="1"/>
  <c r="D404" i="11" s="1"/>
  <c r="D528" i="11" s="1"/>
  <c r="D652" i="11" s="1"/>
  <c r="H32" i="11"/>
  <c r="G156" i="11"/>
  <c r="G32" i="11"/>
  <c r="C500" i="11"/>
  <c r="F376" i="11"/>
  <c r="C485" i="11"/>
  <c r="F361" i="11"/>
  <c r="C456" i="11"/>
  <c r="F332" i="11"/>
  <c r="C433" i="11"/>
  <c r="F309" i="11"/>
  <c r="C401" i="11"/>
  <c r="F277" i="11"/>
  <c r="L100" i="12"/>
  <c r="H23" i="20" s="1"/>
  <c r="I277" i="11"/>
  <c r="I401" i="11" s="1"/>
  <c r="N153" i="11"/>
  <c r="P277" i="11"/>
  <c r="H277" i="11"/>
  <c r="M153" i="11"/>
  <c r="M29" i="11"/>
  <c r="O277" i="11"/>
  <c r="O401" i="11" s="1"/>
  <c r="G277" i="11"/>
  <c r="L153" i="11"/>
  <c r="D153" i="11"/>
  <c r="D277" i="11" s="1"/>
  <c r="D401" i="11" s="1"/>
  <c r="D525" i="11" s="1"/>
  <c r="D649" i="11" s="1"/>
  <c r="N277" i="11"/>
  <c r="K153" i="11"/>
  <c r="K29" i="11"/>
  <c r="M277" i="11"/>
  <c r="M401" i="11" s="1"/>
  <c r="J153" i="11"/>
  <c r="J29" i="11"/>
  <c r="L277" i="11"/>
  <c r="L401" i="11" s="1"/>
  <c r="I153" i="11"/>
  <c r="I29" i="11"/>
  <c r="K277" i="11"/>
  <c r="K401" i="11" s="1"/>
  <c r="H153" i="11"/>
  <c r="P29" i="11"/>
  <c r="H29" i="11"/>
  <c r="J277" i="11"/>
  <c r="J401" i="11" s="1"/>
  <c r="O153" i="11"/>
  <c r="G153" i="11"/>
  <c r="O29" i="11"/>
  <c r="G29" i="11"/>
  <c r="L29" i="11"/>
  <c r="N29" i="11"/>
  <c r="I295" i="11"/>
  <c r="H295" i="11"/>
  <c r="H419" i="11" s="1"/>
  <c r="G295" i="11"/>
  <c r="D171" i="11"/>
  <c r="D295" i="11" s="1"/>
  <c r="D419" i="11" s="1"/>
  <c r="D543" i="11" s="1"/>
  <c r="D667" i="11" s="1"/>
  <c r="K171" i="11"/>
  <c r="L295" i="11" s="1"/>
  <c r="L419" i="11" s="1"/>
  <c r="K47" i="11"/>
  <c r="J171" i="11"/>
  <c r="J47" i="11"/>
  <c r="I171" i="11"/>
  <c r="I47" i="11"/>
  <c r="K295" i="11"/>
  <c r="H171" i="11"/>
  <c r="H47" i="11"/>
  <c r="J295" i="11"/>
  <c r="G171" i="11"/>
  <c r="G47" i="11"/>
  <c r="L47" i="11"/>
  <c r="L79" i="13"/>
  <c r="K390" i="13"/>
  <c r="D553" i="1"/>
  <c r="L553" i="1" s="1"/>
  <c r="D607" i="1"/>
  <c r="H230" i="11"/>
  <c r="C445" i="11"/>
  <c r="F321" i="11"/>
  <c r="C412" i="11"/>
  <c r="F288" i="11"/>
  <c r="J351" i="13"/>
  <c r="C45" i="58" s="1"/>
  <c r="C44" i="58"/>
  <c r="C478" i="11"/>
  <c r="F354" i="11"/>
  <c r="C458" i="11"/>
  <c r="F334" i="11"/>
  <c r="C423" i="11"/>
  <c r="F299" i="11"/>
  <c r="C391" i="11"/>
  <c r="F267" i="11"/>
  <c r="C29" i="26"/>
  <c r="C30" i="26" s="1"/>
  <c r="C31" i="26"/>
  <c r="H174" i="12"/>
  <c r="I283" i="11"/>
  <c r="H283" i="11"/>
  <c r="G283" i="11"/>
  <c r="D159" i="11"/>
  <c r="D283" i="11" s="1"/>
  <c r="D407" i="11" s="1"/>
  <c r="D531" i="11" s="1"/>
  <c r="D655" i="11" s="1"/>
  <c r="K35" i="11"/>
  <c r="J159" i="11"/>
  <c r="J35" i="11"/>
  <c r="I159" i="11"/>
  <c r="I35" i="11"/>
  <c r="K283" i="11"/>
  <c r="H159" i="11"/>
  <c r="H35" i="11"/>
  <c r="J283" i="11"/>
  <c r="J407" i="11" s="1"/>
  <c r="G159" i="11"/>
  <c r="G35" i="11"/>
  <c r="H359" i="11"/>
  <c r="H483" i="11" s="1"/>
  <c r="F191" i="11"/>
  <c r="F154" i="11"/>
  <c r="Q100" i="12"/>
  <c r="M23" i="20" s="1"/>
  <c r="M26" i="20" s="1"/>
  <c r="N233" i="13"/>
  <c r="C496" i="11"/>
  <c r="F372" i="11"/>
  <c r="F212" i="11"/>
  <c r="F157" i="11"/>
  <c r="P100" i="12"/>
  <c r="L23" i="20" s="1"/>
  <c r="L26" i="20" s="1"/>
  <c r="I319" i="11"/>
  <c r="N71" i="11"/>
  <c r="H319" i="11"/>
  <c r="M195" i="11"/>
  <c r="M71" i="11"/>
  <c r="G319" i="11"/>
  <c r="L195" i="11"/>
  <c r="D195" i="11"/>
  <c r="D319" i="11" s="1"/>
  <c r="D443" i="11" s="1"/>
  <c r="D567" i="11" s="1"/>
  <c r="D691" i="11" s="1"/>
  <c r="N319" i="11"/>
  <c r="N443" i="11" s="1"/>
  <c r="K195" i="11"/>
  <c r="K71" i="11"/>
  <c r="M319" i="11"/>
  <c r="M443" i="11" s="1"/>
  <c r="J195" i="11"/>
  <c r="J71" i="11"/>
  <c r="L319" i="11"/>
  <c r="I195" i="11"/>
  <c r="I71" i="11"/>
  <c r="K319" i="11"/>
  <c r="H195" i="11"/>
  <c r="H71" i="11"/>
  <c r="J319" i="11"/>
  <c r="J443" i="11" s="1"/>
  <c r="G195" i="11"/>
  <c r="G71" i="11"/>
  <c r="L71" i="11"/>
  <c r="D133" i="11"/>
  <c r="D257" i="11" s="1"/>
  <c r="D381" i="11" s="1"/>
  <c r="D505" i="11" s="1"/>
  <c r="D629" i="11" s="1"/>
  <c r="G9" i="11"/>
  <c r="E52" i="58"/>
  <c r="L369" i="13"/>
  <c r="I203" i="13"/>
  <c r="H203" i="13"/>
  <c r="G203" i="13"/>
  <c r="F203" i="13"/>
  <c r="N394" i="13"/>
  <c r="O394" i="13" s="1"/>
  <c r="K420" i="11"/>
  <c r="M408" i="13"/>
  <c r="L411" i="13"/>
  <c r="J28" i="12" s="1"/>
  <c r="E26" i="32" s="1"/>
  <c r="E28" i="32" s="1"/>
  <c r="O314" i="13"/>
  <c r="H27" i="58"/>
  <c r="S497" i="1"/>
  <c r="L847" i="1"/>
  <c r="I7" i="12" s="1"/>
  <c r="K301" i="1"/>
  <c r="I386" i="11"/>
  <c r="M17" i="22"/>
  <c r="E17" i="21"/>
  <c r="G89" i="53"/>
  <c r="L312" i="13"/>
  <c r="E28" i="58"/>
  <c r="L315" i="13"/>
  <c r="E29" i="58" s="1"/>
  <c r="O76" i="12"/>
  <c r="E90" i="10" s="1"/>
  <c r="E95" i="11" s="1"/>
  <c r="E219" i="11" s="1"/>
  <c r="E343" i="11" s="1"/>
  <c r="E467" i="11" s="1"/>
  <c r="E591" i="11" s="1"/>
  <c r="E715" i="11" s="1"/>
  <c r="O220" i="12"/>
  <c r="O219" i="12"/>
  <c r="O75" i="12"/>
  <c r="E89" i="10" s="1"/>
  <c r="E94" i="11" s="1"/>
  <c r="E218" i="11" s="1"/>
  <c r="E342" i="11" s="1"/>
  <c r="E466" i="11" s="1"/>
  <c r="E590" i="11" s="1"/>
  <c r="E714" i="11" s="1"/>
  <c r="K17" i="21"/>
  <c r="J8" i="27"/>
  <c r="I24" i="27"/>
  <c r="O402" i="11"/>
  <c r="D21" i="20"/>
  <c r="L54" i="12"/>
  <c r="L647" i="1"/>
  <c r="L650" i="1" s="1"/>
  <c r="O155" i="1"/>
  <c r="L439" i="1"/>
  <c r="L441" i="1" s="1"/>
  <c r="J17" i="21"/>
  <c r="L75" i="12"/>
  <c r="E56" i="10" s="1"/>
  <c r="E61" i="11" s="1"/>
  <c r="E185" i="11" s="1"/>
  <c r="E309" i="11" s="1"/>
  <c r="E433" i="11" s="1"/>
  <c r="E557" i="11" s="1"/>
  <c r="E681" i="11" s="1"/>
  <c r="L219" i="12"/>
  <c r="D58" i="52"/>
  <c r="M425" i="1"/>
  <c r="M414" i="1"/>
  <c r="K469" i="1"/>
  <c r="H44" i="1"/>
  <c r="E23" i="52"/>
  <c r="M119" i="1"/>
  <c r="N220" i="38"/>
  <c r="H10" i="38"/>
  <c r="H11" i="38"/>
  <c r="H13" i="38" s="1"/>
  <c r="I179" i="38"/>
  <c r="C395" i="11"/>
  <c r="F271" i="11"/>
  <c r="I263" i="11"/>
  <c r="H263" i="11"/>
  <c r="M15" i="11"/>
  <c r="G263" i="11"/>
  <c r="L139" i="11"/>
  <c r="D139" i="11"/>
  <c r="D263" i="11" s="1"/>
  <c r="D387" i="11" s="1"/>
  <c r="D511" i="11" s="1"/>
  <c r="D635" i="11" s="1"/>
  <c r="K139" i="11"/>
  <c r="K15" i="11"/>
  <c r="M263" i="11"/>
  <c r="M387" i="11" s="1"/>
  <c r="J139" i="11"/>
  <c r="J15" i="11"/>
  <c r="L263" i="11"/>
  <c r="I139" i="11"/>
  <c r="I15" i="11"/>
  <c r="K263" i="11"/>
  <c r="H139" i="11"/>
  <c r="H15" i="11"/>
  <c r="J263" i="11"/>
  <c r="J387" i="11" s="1"/>
  <c r="G139" i="11"/>
  <c r="G15" i="11"/>
  <c r="L15" i="11"/>
  <c r="H314" i="11"/>
  <c r="G314" i="11"/>
  <c r="G438" i="11" s="1"/>
  <c r="D190" i="11"/>
  <c r="D314" i="11" s="1"/>
  <c r="D438" i="11" s="1"/>
  <c r="D562" i="11" s="1"/>
  <c r="D686" i="11" s="1"/>
  <c r="I66" i="11"/>
  <c r="H190" i="11"/>
  <c r="I314" i="11" s="1"/>
  <c r="I438" i="11" s="1"/>
  <c r="H66" i="11"/>
  <c r="G190" i="11"/>
  <c r="G66" i="11"/>
  <c r="C386" i="11"/>
  <c r="F262" i="11"/>
  <c r="I293" i="11"/>
  <c r="H293" i="11"/>
  <c r="H417" i="11" s="1"/>
  <c r="G293" i="11"/>
  <c r="D169" i="11"/>
  <c r="D293" i="11" s="1"/>
  <c r="D417" i="11" s="1"/>
  <c r="D541" i="11" s="1"/>
  <c r="D665" i="11" s="1"/>
  <c r="J45" i="11"/>
  <c r="I169" i="11"/>
  <c r="I45" i="11"/>
  <c r="H169" i="11"/>
  <c r="H45" i="11"/>
  <c r="J293" i="11"/>
  <c r="G169" i="11"/>
  <c r="G45" i="11"/>
  <c r="M102" i="39"/>
  <c r="M101" i="39"/>
  <c r="K11" i="38"/>
  <c r="K13" i="38" s="1"/>
  <c r="K10" i="38"/>
  <c r="F122" i="38"/>
  <c r="F123" i="38"/>
  <c r="N64" i="38"/>
  <c r="G165" i="38"/>
  <c r="F165" i="38"/>
  <c r="F164" i="38"/>
  <c r="M220" i="38"/>
  <c r="J64" i="38"/>
  <c r="H96" i="38"/>
  <c r="L150" i="38"/>
  <c r="D222" i="38"/>
  <c r="D223" i="38" s="1"/>
  <c r="M192" i="38"/>
  <c r="D136" i="38"/>
  <c r="D137" i="38"/>
  <c r="D139" i="38" s="1"/>
  <c r="V16" i="39"/>
  <c r="V17" i="39" s="1"/>
  <c r="E178" i="38"/>
  <c r="E179" i="38"/>
  <c r="E181" i="38" s="1"/>
  <c r="I151" i="38"/>
  <c r="D96" i="38"/>
  <c r="H68" i="38"/>
  <c r="D235" i="38"/>
  <c r="D237" i="38" s="1"/>
  <c r="D234" i="38"/>
  <c r="D179" i="38"/>
  <c r="D181" i="38" s="1"/>
  <c r="D178" i="38"/>
  <c r="H151" i="38"/>
  <c r="K96" i="38"/>
  <c r="I16" i="50"/>
  <c r="I17" i="50"/>
  <c r="G260" i="38"/>
  <c r="K235" i="38"/>
  <c r="G207" i="38"/>
  <c r="K179" i="38"/>
  <c r="G151" i="38"/>
  <c r="G92" i="38"/>
  <c r="D109" i="38"/>
  <c r="D111" i="38" s="1"/>
  <c r="D108" i="38"/>
  <c r="F10" i="38"/>
  <c r="F11" i="38"/>
  <c r="F13" i="38" s="1"/>
  <c r="M260" i="38"/>
  <c r="G136" i="38"/>
  <c r="G137" i="38"/>
  <c r="G139" i="38" s="1"/>
  <c r="U17" i="50"/>
  <c r="U16" i="50"/>
  <c r="F192" i="38"/>
  <c r="F193" i="38"/>
  <c r="F195" i="38" s="1"/>
  <c r="J165" i="38"/>
  <c r="N136" i="38"/>
  <c r="E110" i="38"/>
  <c r="E111" i="38" s="1"/>
  <c r="I82" i="38"/>
  <c r="I499" i="11"/>
  <c r="I491" i="11"/>
  <c r="I250" i="11"/>
  <c r="I246" i="11"/>
  <c r="I242" i="11"/>
  <c r="G484" i="11"/>
  <c r="I360" i="11"/>
  <c r="I484" i="11" s="1"/>
  <c r="F209" i="11"/>
  <c r="I298" i="11"/>
  <c r="N174" i="11"/>
  <c r="H298" i="11"/>
  <c r="M174" i="11"/>
  <c r="M50" i="11"/>
  <c r="O298" i="11"/>
  <c r="G298" i="11"/>
  <c r="G422" i="11" s="1"/>
  <c r="L174" i="11"/>
  <c r="D174" i="11"/>
  <c r="D298" i="11" s="1"/>
  <c r="D422" i="11" s="1"/>
  <c r="D546" i="11" s="1"/>
  <c r="D670" i="11" s="1"/>
  <c r="N298" i="11"/>
  <c r="K174" i="11"/>
  <c r="K50" i="11"/>
  <c r="M298" i="11"/>
  <c r="M422" i="11" s="1"/>
  <c r="J174" i="11"/>
  <c r="J50" i="11"/>
  <c r="L298" i="11"/>
  <c r="I174" i="11"/>
  <c r="I50" i="11"/>
  <c r="K298" i="11"/>
  <c r="K422" i="11" s="1"/>
  <c r="H174" i="11"/>
  <c r="H50" i="11"/>
  <c r="J298" i="11"/>
  <c r="G174" i="11"/>
  <c r="O50" i="11"/>
  <c r="G50" i="11"/>
  <c r="N50" i="11"/>
  <c r="L50" i="11"/>
  <c r="C438" i="11"/>
  <c r="F314" i="11"/>
  <c r="C403" i="11"/>
  <c r="F279" i="11"/>
  <c r="I344" i="11"/>
  <c r="I468" i="11" s="1"/>
  <c r="N220" i="11"/>
  <c r="N96" i="11"/>
  <c r="P344" i="11"/>
  <c r="H344" i="11"/>
  <c r="M220" i="11"/>
  <c r="M96" i="11"/>
  <c r="O344" i="11"/>
  <c r="O468" i="11" s="1"/>
  <c r="G344" i="11"/>
  <c r="L220" i="11"/>
  <c r="D220" i="11"/>
  <c r="D344" i="11" s="1"/>
  <c r="D468" i="11" s="1"/>
  <c r="D592" i="11" s="1"/>
  <c r="D716" i="11" s="1"/>
  <c r="N344" i="11"/>
  <c r="K220" i="11"/>
  <c r="K96" i="11"/>
  <c r="M344" i="11"/>
  <c r="M468" i="11" s="1"/>
  <c r="J220" i="11"/>
  <c r="J96" i="11"/>
  <c r="L344" i="11"/>
  <c r="L468" i="11" s="1"/>
  <c r="Q220" i="11"/>
  <c r="I220" i="11"/>
  <c r="Q96" i="11"/>
  <c r="I96" i="11"/>
  <c r="K344" i="11"/>
  <c r="K468" i="11" s="1"/>
  <c r="P220" i="11"/>
  <c r="Q344" i="11" s="1"/>
  <c r="Q468" i="11" s="1"/>
  <c r="H220" i="11"/>
  <c r="P96" i="11"/>
  <c r="H96" i="11"/>
  <c r="J344" i="11"/>
  <c r="O220" i="11"/>
  <c r="G220" i="11"/>
  <c r="O96" i="11"/>
  <c r="G96" i="11"/>
  <c r="L96" i="11"/>
  <c r="H259" i="11"/>
  <c r="G259" i="11"/>
  <c r="G383" i="11" s="1"/>
  <c r="D135" i="11"/>
  <c r="D259" i="11" s="1"/>
  <c r="D383" i="11" s="1"/>
  <c r="D507" i="11" s="1"/>
  <c r="D631" i="11" s="1"/>
  <c r="I11" i="11"/>
  <c r="H135" i="11"/>
  <c r="I259" i="11" s="1"/>
  <c r="I383" i="11" s="1"/>
  <c r="H11" i="11"/>
  <c r="G135" i="11"/>
  <c r="G11" i="11"/>
  <c r="G477" i="11"/>
  <c r="I353" i="11"/>
  <c r="I477" i="11" s="1"/>
  <c r="C451" i="11"/>
  <c r="F327" i="11"/>
  <c r="C414" i="11"/>
  <c r="F290" i="11"/>
  <c r="C382" i="11"/>
  <c r="F258" i="11"/>
  <c r="I272" i="11"/>
  <c r="H272" i="11"/>
  <c r="H396" i="11" s="1"/>
  <c r="G272" i="11"/>
  <c r="D148" i="11"/>
  <c r="D272" i="11" s="1"/>
  <c r="D396" i="11" s="1"/>
  <c r="D520" i="11" s="1"/>
  <c r="D644" i="11" s="1"/>
  <c r="K24" i="11"/>
  <c r="J148" i="11"/>
  <c r="J24" i="11"/>
  <c r="I148" i="11"/>
  <c r="I24" i="11"/>
  <c r="K272" i="11"/>
  <c r="K396" i="11" s="1"/>
  <c r="H148" i="11"/>
  <c r="H24" i="11"/>
  <c r="J272" i="11"/>
  <c r="J396" i="11" s="1"/>
  <c r="G148" i="11"/>
  <c r="G24" i="11"/>
  <c r="C473" i="11"/>
  <c r="F349" i="11"/>
  <c r="F208" i="11"/>
  <c r="I299" i="11"/>
  <c r="N175" i="11"/>
  <c r="H299" i="11"/>
  <c r="H423" i="11" s="1"/>
  <c r="M175" i="11"/>
  <c r="M51" i="11"/>
  <c r="O299" i="11"/>
  <c r="G299" i="11"/>
  <c r="L175" i="11"/>
  <c r="D175" i="11"/>
  <c r="D299" i="11" s="1"/>
  <c r="D423" i="11" s="1"/>
  <c r="D547" i="11" s="1"/>
  <c r="D671" i="11" s="1"/>
  <c r="N299" i="11"/>
  <c r="N423" i="11" s="1"/>
  <c r="K175" i="11"/>
  <c r="K51" i="11"/>
  <c r="M299" i="11"/>
  <c r="M423" i="11" s="1"/>
  <c r="J175" i="11"/>
  <c r="J51" i="11"/>
  <c r="L299" i="11"/>
  <c r="I175" i="11"/>
  <c r="I51" i="11"/>
  <c r="K299" i="11"/>
  <c r="K423" i="11" s="1"/>
  <c r="H175" i="11"/>
  <c r="P51" i="11"/>
  <c r="H51" i="11"/>
  <c r="J299" i="11"/>
  <c r="J423" i="11" s="1"/>
  <c r="O175" i="11"/>
  <c r="P299" i="11" s="1"/>
  <c r="P423" i="11" s="1"/>
  <c r="G175" i="11"/>
  <c r="O51" i="11"/>
  <c r="G51" i="11"/>
  <c r="N51" i="11"/>
  <c r="L51" i="11"/>
  <c r="I328" i="11"/>
  <c r="I452" i="11" s="1"/>
  <c r="H328" i="11"/>
  <c r="H452" i="11" s="1"/>
  <c r="G328" i="11"/>
  <c r="G452" i="11" s="1"/>
  <c r="D204" i="11"/>
  <c r="D328" i="11" s="1"/>
  <c r="D452" i="11" s="1"/>
  <c r="D576" i="11" s="1"/>
  <c r="D700" i="11" s="1"/>
  <c r="K204" i="11"/>
  <c r="K80" i="11"/>
  <c r="J204" i="11"/>
  <c r="J80" i="11"/>
  <c r="L328" i="11"/>
  <c r="L452" i="11" s="1"/>
  <c r="I204" i="11"/>
  <c r="I80" i="11"/>
  <c r="K328" i="11"/>
  <c r="H204" i="11"/>
  <c r="H80" i="11"/>
  <c r="J328" i="11"/>
  <c r="J452" i="11" s="1"/>
  <c r="G204" i="11"/>
  <c r="G80" i="11"/>
  <c r="L80" i="11"/>
  <c r="I350" i="11"/>
  <c r="I474" i="11" s="1"/>
  <c r="F164" i="11"/>
  <c r="G269" i="11"/>
  <c r="G393" i="11" s="1"/>
  <c r="D145" i="11"/>
  <c r="D269" i="11" s="1"/>
  <c r="D393" i="11" s="1"/>
  <c r="D517" i="11" s="1"/>
  <c r="D641" i="11" s="1"/>
  <c r="H21" i="11"/>
  <c r="G145" i="11"/>
  <c r="H269" i="11" s="1"/>
  <c r="H393" i="11" s="1"/>
  <c r="G21" i="11"/>
  <c r="D80" i="52"/>
  <c r="M580" i="1"/>
  <c r="F210" i="11"/>
  <c r="F143" i="11"/>
  <c r="R100" i="12"/>
  <c r="I265" i="11"/>
  <c r="N141" i="11"/>
  <c r="O265" i="11" s="1"/>
  <c r="O389" i="11" s="1"/>
  <c r="H265" i="11"/>
  <c r="M141" i="11"/>
  <c r="M17" i="11"/>
  <c r="G265" i="11"/>
  <c r="L141" i="11"/>
  <c r="D141" i="11"/>
  <c r="D265" i="11" s="1"/>
  <c r="D389" i="11" s="1"/>
  <c r="D513" i="11" s="1"/>
  <c r="D637" i="11" s="1"/>
  <c r="N265" i="11"/>
  <c r="N389" i="11" s="1"/>
  <c r="K141" i="11"/>
  <c r="K17" i="11"/>
  <c r="M265" i="11"/>
  <c r="M389" i="11" s="1"/>
  <c r="J141" i="11"/>
  <c r="J17" i="11"/>
  <c r="L265" i="11"/>
  <c r="I141" i="11"/>
  <c r="I17" i="11"/>
  <c r="K265" i="11"/>
  <c r="H141" i="11"/>
  <c r="H17" i="11"/>
  <c r="J265" i="11"/>
  <c r="J389" i="11" s="1"/>
  <c r="G141" i="11"/>
  <c r="O17" i="11"/>
  <c r="G17" i="11"/>
  <c r="N17" i="11"/>
  <c r="L17" i="11"/>
  <c r="I316" i="11"/>
  <c r="I440" i="11" s="1"/>
  <c r="H316" i="11"/>
  <c r="G316" i="11"/>
  <c r="G440" i="11" s="1"/>
  <c r="D192" i="11"/>
  <c r="D316" i="11" s="1"/>
  <c r="D440" i="11" s="1"/>
  <c r="D564" i="11" s="1"/>
  <c r="D688" i="11" s="1"/>
  <c r="K68" i="11"/>
  <c r="J192" i="11"/>
  <c r="K316" i="11" s="1"/>
  <c r="K440" i="11" s="1"/>
  <c r="J68" i="11"/>
  <c r="I192" i="11"/>
  <c r="I68" i="11"/>
  <c r="H192" i="11"/>
  <c r="H68" i="11"/>
  <c r="J316" i="11"/>
  <c r="G192" i="11"/>
  <c r="G68" i="11"/>
  <c r="H479" i="11"/>
  <c r="C463" i="11"/>
  <c r="F339" i="11"/>
  <c r="C426" i="11"/>
  <c r="F302" i="11"/>
  <c r="C394" i="11"/>
  <c r="F270" i="11"/>
  <c r="Q300" i="11"/>
  <c r="Q424" i="11" s="1"/>
  <c r="I300" i="11"/>
  <c r="I424" i="11" s="1"/>
  <c r="N176" i="11"/>
  <c r="P300" i="11"/>
  <c r="P424" i="11" s="1"/>
  <c r="H300" i="11"/>
  <c r="M176" i="11"/>
  <c r="M52" i="11"/>
  <c r="O300" i="11"/>
  <c r="O424" i="11" s="1"/>
  <c r="G300" i="11"/>
  <c r="G424" i="11" s="1"/>
  <c r="L176" i="11"/>
  <c r="D176" i="11"/>
  <c r="D300" i="11" s="1"/>
  <c r="D424" i="11" s="1"/>
  <c r="D548" i="11" s="1"/>
  <c r="D672" i="11" s="1"/>
  <c r="N300" i="11"/>
  <c r="K176" i="11"/>
  <c r="K52" i="11"/>
  <c r="M300" i="11"/>
  <c r="M424" i="11" s="1"/>
  <c r="J176" i="11"/>
  <c r="J52" i="11"/>
  <c r="L300" i="11"/>
  <c r="I176" i="11"/>
  <c r="Q52" i="11"/>
  <c r="I52" i="11"/>
  <c r="K300" i="11"/>
  <c r="P176" i="11"/>
  <c r="H176" i="11"/>
  <c r="P52" i="11"/>
  <c r="H52" i="11"/>
  <c r="J300" i="11"/>
  <c r="O176" i="11"/>
  <c r="G176" i="11"/>
  <c r="O52" i="11"/>
  <c r="G52" i="11"/>
  <c r="N52" i="11"/>
  <c r="L52" i="11"/>
  <c r="C475" i="11"/>
  <c r="F351" i="11"/>
  <c r="C452" i="11"/>
  <c r="F328" i="11"/>
  <c r="C429" i="11"/>
  <c r="F305" i="11"/>
  <c r="C397" i="11"/>
  <c r="F273" i="11"/>
  <c r="D26" i="20"/>
  <c r="I341" i="11"/>
  <c r="N217" i="11"/>
  <c r="O341" i="11" s="1"/>
  <c r="N93" i="11"/>
  <c r="H341" i="11"/>
  <c r="M217" i="11"/>
  <c r="N341" i="11" s="1"/>
  <c r="N465" i="11" s="1"/>
  <c r="M93" i="11"/>
  <c r="G341" i="11"/>
  <c r="L217" i="11"/>
  <c r="D217" i="11"/>
  <c r="D341" i="11" s="1"/>
  <c r="D465" i="11" s="1"/>
  <c r="D589" i="11" s="1"/>
  <c r="D713" i="11" s="1"/>
  <c r="K217" i="11"/>
  <c r="K93" i="11"/>
  <c r="M341" i="11"/>
  <c r="M465" i="11" s="1"/>
  <c r="J217" i="11"/>
  <c r="J93" i="11"/>
  <c r="L341" i="11"/>
  <c r="L465" i="11" s="1"/>
  <c r="I217" i="11"/>
  <c r="Q93" i="11"/>
  <c r="I93" i="11"/>
  <c r="K341" i="11"/>
  <c r="H217" i="11"/>
  <c r="P93" i="11"/>
  <c r="H93" i="11"/>
  <c r="J341" i="11"/>
  <c r="J465" i="11" s="1"/>
  <c r="G217" i="11"/>
  <c r="G93" i="11"/>
  <c r="L93" i="11"/>
  <c r="G279" i="11"/>
  <c r="G403" i="11" s="1"/>
  <c r="D155" i="11"/>
  <c r="D279" i="11" s="1"/>
  <c r="D403" i="11" s="1"/>
  <c r="D527" i="11" s="1"/>
  <c r="D651" i="11" s="1"/>
  <c r="G31" i="11"/>
  <c r="F43" i="58"/>
  <c r="M350" i="13"/>
  <c r="K859" i="1"/>
  <c r="H19" i="12" s="1"/>
  <c r="O100" i="12"/>
  <c r="K23" i="20" s="1"/>
  <c r="K26" i="20" s="1"/>
  <c r="L153" i="1"/>
  <c r="L141" i="1"/>
  <c r="L108" i="1"/>
  <c r="L110" i="1" s="1"/>
  <c r="M165" i="1"/>
  <c r="M109" i="1"/>
  <c r="H112" i="12"/>
  <c r="D18" i="19"/>
  <c r="F20" i="19"/>
  <c r="F16" i="19"/>
  <c r="G6" i="19"/>
  <c r="N393" i="13"/>
  <c r="O393" i="13" s="1"/>
  <c r="G386" i="11"/>
  <c r="O484" i="1"/>
  <c r="L484" i="1"/>
  <c r="H90" i="38"/>
  <c r="I90" i="38" s="1"/>
  <c r="J90" i="38" s="1"/>
  <c r="E17" i="22"/>
  <c r="E18" i="22" s="1"/>
  <c r="D18" i="20"/>
  <c r="H113" i="12"/>
  <c r="E20" i="17"/>
  <c r="E16" i="17"/>
  <c r="F6" i="17"/>
  <c r="K424" i="13"/>
  <c r="I29" i="12" s="1"/>
  <c r="D26" i="33" s="1"/>
  <c r="D28" i="33" s="1"/>
  <c r="L423" i="13"/>
  <c r="F76" i="38"/>
  <c r="C17" i="21"/>
  <c r="C18" i="21" s="1"/>
  <c r="N235" i="13"/>
  <c r="E10" i="35"/>
  <c r="K140" i="13"/>
  <c r="L220" i="12"/>
  <c r="L76" i="12"/>
  <c r="E57" i="10" s="1"/>
  <c r="E62" i="11" s="1"/>
  <c r="E186" i="11" s="1"/>
  <c r="E310" i="11" s="1"/>
  <c r="E434" i="11" s="1"/>
  <c r="E558" i="11" s="1"/>
  <c r="E682" i="11" s="1"/>
  <c r="K857" i="1"/>
  <c r="H17" i="12" s="1"/>
  <c r="L806" i="1"/>
  <c r="L810" i="1" s="1"/>
  <c r="L811" i="1" s="1"/>
  <c r="H400" i="11"/>
  <c r="K202" i="13"/>
  <c r="K203" i="13"/>
  <c r="K204" i="13"/>
  <c r="K205" i="13"/>
  <c r="K194" i="13"/>
  <c r="E60" i="52"/>
  <c r="M438" i="1"/>
  <c r="M444" i="1" s="1"/>
  <c r="J89" i="53"/>
  <c r="D89" i="53"/>
  <c r="Q34" i="1"/>
  <c r="Q7" i="1" s="1"/>
  <c r="P167" i="1"/>
  <c r="M271" i="1"/>
  <c r="F207" i="38"/>
  <c r="F209" i="38" s="1"/>
  <c r="F206" i="38"/>
  <c r="E206" i="38"/>
  <c r="E207" i="38"/>
  <c r="E209" i="38" s="1"/>
  <c r="C462" i="11"/>
  <c r="F338" i="11"/>
  <c r="I221" i="38"/>
  <c r="E192" i="38"/>
  <c r="E193" i="38"/>
  <c r="E195" i="38" s="1"/>
  <c r="K151" i="38"/>
  <c r="N234" i="38"/>
  <c r="D80" i="38"/>
  <c r="D81" i="38"/>
  <c r="D83" i="38" s="1"/>
  <c r="H52" i="38"/>
  <c r="H53" i="38"/>
  <c r="H55" i="38" s="1"/>
  <c r="L24" i="38"/>
  <c r="E122" i="38"/>
  <c r="E123" i="38"/>
  <c r="M64" i="38"/>
  <c r="D40" i="38"/>
  <c r="I10" i="38"/>
  <c r="I11" i="38"/>
  <c r="I13" i="38" s="1"/>
  <c r="Q17" i="50"/>
  <c r="Q16" i="50"/>
  <c r="P10" i="38"/>
  <c r="T16" i="39"/>
  <c r="N206" i="38"/>
  <c r="E180" i="38"/>
  <c r="D53" i="38"/>
  <c r="D55" i="38" s="1"/>
  <c r="D52" i="38"/>
  <c r="R16" i="39"/>
  <c r="E262" i="38"/>
  <c r="E263" i="38"/>
  <c r="E265" i="38" s="1"/>
  <c r="I235" i="38"/>
  <c r="M206" i="38"/>
  <c r="K108" i="38"/>
  <c r="K109" i="38"/>
  <c r="K111" i="38" s="1"/>
  <c r="F136" i="38"/>
  <c r="F137" i="38"/>
  <c r="F139" i="38" s="1"/>
  <c r="H373" i="11"/>
  <c r="H497" i="11" s="1"/>
  <c r="H369" i="11"/>
  <c r="H493" i="11" s="1"/>
  <c r="M136" i="38"/>
  <c r="C449" i="11"/>
  <c r="F325" i="11"/>
  <c r="C416" i="11"/>
  <c r="F292" i="11"/>
  <c r="C384" i="11"/>
  <c r="F260" i="11"/>
  <c r="G290" i="11"/>
  <c r="D166" i="11"/>
  <c r="D290" i="11" s="1"/>
  <c r="D414" i="11" s="1"/>
  <c r="D538" i="11" s="1"/>
  <c r="D662" i="11" s="1"/>
  <c r="G42" i="11"/>
  <c r="O70" i="12"/>
  <c r="E84" i="10" s="1"/>
  <c r="E89" i="11" s="1"/>
  <c r="E213" i="11" s="1"/>
  <c r="E337" i="11" s="1"/>
  <c r="E461" i="11" s="1"/>
  <c r="E585" i="11" s="1"/>
  <c r="E709" i="11" s="1"/>
  <c r="K90" i="12"/>
  <c r="O199" i="12" s="1"/>
  <c r="O214" i="12" s="1"/>
  <c r="C494" i="11"/>
  <c r="F370" i="11"/>
  <c r="C480" i="11"/>
  <c r="F356" i="11"/>
  <c r="I333" i="11"/>
  <c r="N209" i="11"/>
  <c r="N85" i="11"/>
  <c r="P333" i="11"/>
  <c r="H333" i="11"/>
  <c r="M209" i="11"/>
  <c r="M85" i="11"/>
  <c r="O333" i="11"/>
  <c r="G333" i="11"/>
  <c r="L209" i="11"/>
  <c r="D209" i="11"/>
  <c r="D333" i="11" s="1"/>
  <c r="D457" i="11" s="1"/>
  <c r="D581" i="11" s="1"/>
  <c r="D705" i="11" s="1"/>
  <c r="N333" i="11"/>
  <c r="K209" i="11"/>
  <c r="K85" i="11"/>
  <c r="M333" i="11"/>
  <c r="M457" i="11" s="1"/>
  <c r="J209" i="11"/>
  <c r="J85" i="11"/>
  <c r="L333" i="11"/>
  <c r="L457" i="11" s="1"/>
  <c r="Q209" i="11"/>
  <c r="I209" i="11"/>
  <c r="Q85" i="11"/>
  <c r="I85" i="11"/>
  <c r="K333" i="11"/>
  <c r="P209" i="11"/>
  <c r="Q333" i="11" s="1"/>
  <c r="Q457" i="11" s="1"/>
  <c r="H209" i="11"/>
  <c r="P85" i="11"/>
  <c r="H85" i="11"/>
  <c r="J333" i="11"/>
  <c r="J457" i="11" s="1"/>
  <c r="O209" i="11"/>
  <c r="G209" i="11"/>
  <c r="O85" i="11"/>
  <c r="G85" i="11"/>
  <c r="L85" i="11"/>
  <c r="I281" i="11"/>
  <c r="I405" i="11" s="1"/>
  <c r="H281" i="11"/>
  <c r="H405" i="11" s="1"/>
  <c r="G281" i="11"/>
  <c r="G405" i="11" s="1"/>
  <c r="D157" i="11"/>
  <c r="D281" i="11" s="1"/>
  <c r="D405" i="11" s="1"/>
  <c r="D529" i="11" s="1"/>
  <c r="D653" i="11" s="1"/>
  <c r="I33" i="11"/>
  <c r="H157" i="11"/>
  <c r="H33" i="11"/>
  <c r="G157" i="11"/>
  <c r="G33" i="11"/>
  <c r="H51" i="58"/>
  <c r="O368" i="13"/>
  <c r="G473" i="11"/>
  <c r="I264" i="11"/>
  <c r="H264" i="11"/>
  <c r="M140" i="11"/>
  <c r="M16" i="11"/>
  <c r="G264" i="11"/>
  <c r="L140" i="11"/>
  <c r="D140" i="11"/>
  <c r="D264" i="11" s="1"/>
  <c r="D388" i="11" s="1"/>
  <c r="D512" i="11" s="1"/>
  <c r="D636" i="11" s="1"/>
  <c r="N264" i="11"/>
  <c r="N388" i="11" s="1"/>
  <c r="K140" i="11"/>
  <c r="K16" i="11"/>
  <c r="M264" i="11"/>
  <c r="M388" i="11" s="1"/>
  <c r="J140" i="11"/>
  <c r="J16" i="11"/>
  <c r="L264" i="11"/>
  <c r="I140" i="11"/>
  <c r="I16" i="11"/>
  <c r="K264" i="11"/>
  <c r="H140" i="11"/>
  <c r="H16" i="11"/>
  <c r="J264" i="11"/>
  <c r="J388" i="11" s="1"/>
  <c r="G140" i="11"/>
  <c r="G16" i="11"/>
  <c r="N16" i="11"/>
  <c r="L16" i="11"/>
  <c r="O69" i="12"/>
  <c r="E83" i="10" s="1"/>
  <c r="E88" i="11" s="1"/>
  <c r="E212" i="11" s="1"/>
  <c r="E336" i="11" s="1"/>
  <c r="E460" i="11" s="1"/>
  <c r="E584" i="11" s="1"/>
  <c r="E708" i="11" s="1"/>
  <c r="O213" i="12"/>
  <c r="J90" i="12"/>
  <c r="O198" i="12" s="1"/>
  <c r="M90" i="12"/>
  <c r="O201" i="12" s="1"/>
  <c r="O58" i="12"/>
  <c r="H21" i="23"/>
  <c r="S758" i="1"/>
  <c r="C448" i="11"/>
  <c r="F324" i="11"/>
  <c r="C425" i="11"/>
  <c r="F301" i="11"/>
  <c r="C393" i="11"/>
  <c r="F269" i="11"/>
  <c r="I332" i="11"/>
  <c r="N208" i="11"/>
  <c r="N84" i="11"/>
  <c r="P332" i="11"/>
  <c r="P456" i="11" s="1"/>
  <c r="H332" i="11"/>
  <c r="M208" i="11"/>
  <c r="M84" i="11"/>
  <c r="O332" i="11"/>
  <c r="G332" i="11"/>
  <c r="L208" i="11"/>
  <c r="D208" i="11"/>
  <c r="D332" i="11" s="1"/>
  <c r="D456" i="11" s="1"/>
  <c r="D580" i="11" s="1"/>
  <c r="D704" i="11" s="1"/>
  <c r="N332" i="11"/>
  <c r="N456" i="11" s="1"/>
  <c r="K208" i="11"/>
  <c r="K84" i="11"/>
  <c r="M332" i="11"/>
  <c r="M456" i="11" s="1"/>
  <c r="J208" i="11"/>
  <c r="J84" i="11"/>
  <c r="L332" i="11"/>
  <c r="Q208" i="11"/>
  <c r="I208" i="11"/>
  <c r="Q84" i="11"/>
  <c r="I84" i="11"/>
  <c r="K332" i="11"/>
  <c r="P208" i="11"/>
  <c r="Q332" i="11" s="1"/>
  <c r="Q456" i="11" s="1"/>
  <c r="H208" i="11"/>
  <c r="P84" i="11"/>
  <c r="H84" i="11"/>
  <c r="J332" i="11"/>
  <c r="J456" i="11" s="1"/>
  <c r="O208" i="11"/>
  <c r="G208" i="11"/>
  <c r="O84" i="11"/>
  <c r="G84" i="11"/>
  <c r="L84" i="11"/>
  <c r="I317" i="11"/>
  <c r="I441" i="11" s="1"/>
  <c r="H317" i="11"/>
  <c r="H441" i="11" s="1"/>
  <c r="G317" i="11"/>
  <c r="G441" i="11" s="1"/>
  <c r="D193" i="11"/>
  <c r="D317" i="11" s="1"/>
  <c r="D441" i="11" s="1"/>
  <c r="D565" i="11" s="1"/>
  <c r="D689" i="11" s="1"/>
  <c r="K193" i="11"/>
  <c r="K69" i="11"/>
  <c r="J193" i="11"/>
  <c r="J69" i="11"/>
  <c r="L317" i="11"/>
  <c r="L441" i="11" s="1"/>
  <c r="I193" i="11"/>
  <c r="I69" i="11"/>
  <c r="K317" i="11"/>
  <c r="H193" i="11"/>
  <c r="H69" i="11"/>
  <c r="J317" i="11"/>
  <c r="J441" i="11" s="1"/>
  <c r="G193" i="11"/>
  <c r="G69" i="11"/>
  <c r="L69" i="11"/>
  <c r="O334" i="1"/>
  <c r="H222" i="11"/>
  <c r="G470" i="11"/>
  <c r="C437" i="11"/>
  <c r="F313" i="11"/>
  <c r="C404" i="11"/>
  <c r="F280" i="11"/>
  <c r="I294" i="11"/>
  <c r="I418" i="11" s="1"/>
  <c r="H294" i="11"/>
  <c r="H418" i="11" s="1"/>
  <c r="G294" i="11"/>
  <c r="G418" i="11" s="1"/>
  <c r="D170" i="11"/>
  <c r="D294" i="11" s="1"/>
  <c r="D418" i="11" s="1"/>
  <c r="D542" i="11" s="1"/>
  <c r="D666" i="11" s="1"/>
  <c r="K46" i="11"/>
  <c r="J170" i="11"/>
  <c r="J46" i="11"/>
  <c r="I170" i="11"/>
  <c r="I46" i="11"/>
  <c r="K294" i="11"/>
  <c r="H170" i="11"/>
  <c r="H46" i="11"/>
  <c r="J294" i="11"/>
  <c r="J418" i="11" s="1"/>
  <c r="G170" i="11"/>
  <c r="G46" i="11"/>
  <c r="H291" i="11"/>
  <c r="G291" i="11"/>
  <c r="D167" i="11"/>
  <c r="D291" i="11" s="1"/>
  <c r="D415" i="11" s="1"/>
  <c r="D539" i="11" s="1"/>
  <c r="D663" i="11" s="1"/>
  <c r="H43" i="11"/>
  <c r="G167" i="11"/>
  <c r="G43" i="11"/>
  <c r="O68" i="12"/>
  <c r="E82" i="10" s="1"/>
  <c r="E87" i="11" s="1"/>
  <c r="E211" i="11" s="1"/>
  <c r="E335" i="11" s="1"/>
  <c r="E459" i="11" s="1"/>
  <c r="E583" i="11" s="1"/>
  <c r="E707" i="11" s="1"/>
  <c r="I90" i="12"/>
  <c r="O197" i="12" s="1"/>
  <c r="O212" i="12" s="1"/>
  <c r="N231" i="13"/>
  <c r="C490" i="11"/>
  <c r="F366" i="11"/>
  <c r="C474" i="11"/>
  <c r="F350" i="11"/>
  <c r="C450" i="11"/>
  <c r="F326" i="11"/>
  <c r="C415" i="11"/>
  <c r="F291" i="11"/>
  <c r="C383" i="11"/>
  <c r="F259" i="11"/>
  <c r="H129" i="12"/>
  <c r="C22" i="36" s="1"/>
  <c r="C23" i="36" s="1"/>
  <c r="J100" i="12"/>
  <c r="F23" i="20" s="1"/>
  <c r="I287" i="11"/>
  <c r="I411" i="11" s="1"/>
  <c r="N163" i="11"/>
  <c r="O287" i="11" s="1"/>
  <c r="O411" i="11" s="1"/>
  <c r="H287" i="11"/>
  <c r="M163" i="11"/>
  <c r="M39" i="11"/>
  <c r="G287" i="11"/>
  <c r="L163" i="11"/>
  <c r="D163" i="11"/>
  <c r="D287" i="11" s="1"/>
  <c r="D411" i="11" s="1"/>
  <c r="D535" i="11" s="1"/>
  <c r="D659" i="11" s="1"/>
  <c r="N287" i="11"/>
  <c r="N411" i="11" s="1"/>
  <c r="K163" i="11"/>
  <c r="K39" i="11"/>
  <c r="M287" i="11"/>
  <c r="M411" i="11" s="1"/>
  <c r="J163" i="11"/>
  <c r="J39" i="11"/>
  <c r="L287" i="11"/>
  <c r="I163" i="11"/>
  <c r="I39" i="11"/>
  <c r="K287" i="11"/>
  <c r="H163" i="11"/>
  <c r="H39" i="11"/>
  <c r="J287" i="11"/>
  <c r="J411" i="11" s="1"/>
  <c r="G163" i="11"/>
  <c r="O39" i="11"/>
  <c r="G39" i="11"/>
  <c r="N39" i="11"/>
  <c r="L39" i="11"/>
  <c r="I338" i="11"/>
  <c r="I462" i="11" s="1"/>
  <c r="N90" i="11"/>
  <c r="H338" i="11"/>
  <c r="M90" i="11"/>
  <c r="G338" i="11"/>
  <c r="L214" i="11"/>
  <c r="M214" i="11" s="1"/>
  <c r="D214" i="11"/>
  <c r="D338" i="11" s="1"/>
  <c r="D462" i="11" s="1"/>
  <c r="D586" i="11" s="1"/>
  <c r="D710" i="11" s="1"/>
  <c r="K214" i="11"/>
  <c r="K90" i="11"/>
  <c r="J214" i="11"/>
  <c r="K338" i="11" s="1"/>
  <c r="K462" i="11" s="1"/>
  <c r="J90" i="11"/>
  <c r="L338" i="11"/>
  <c r="L462" i="11" s="1"/>
  <c r="I214" i="11"/>
  <c r="Q90" i="11"/>
  <c r="I90" i="11"/>
  <c r="H214" i="11"/>
  <c r="P90" i="11"/>
  <c r="H90" i="11"/>
  <c r="J338" i="11"/>
  <c r="G214" i="11"/>
  <c r="O90" i="11"/>
  <c r="G90" i="11"/>
  <c r="L90" i="11"/>
  <c r="N369" i="13"/>
  <c r="G52" i="58"/>
  <c r="P202" i="13"/>
  <c r="P203" i="13"/>
  <c r="P204" i="13"/>
  <c r="P205" i="13"/>
  <c r="C493" i="11"/>
  <c r="F369" i="11"/>
  <c r="H292" i="11"/>
  <c r="H416" i="11" s="1"/>
  <c r="G292" i="11"/>
  <c r="D168" i="11"/>
  <c r="D292" i="11" s="1"/>
  <c r="D416" i="11" s="1"/>
  <c r="D540" i="11" s="1"/>
  <c r="D664" i="11" s="1"/>
  <c r="I44" i="11"/>
  <c r="H168" i="11"/>
  <c r="I292" i="11" s="1"/>
  <c r="I416" i="11" s="1"/>
  <c r="H44" i="11"/>
  <c r="G168" i="11"/>
  <c r="G44" i="11"/>
  <c r="I271" i="11"/>
  <c r="I395" i="11" s="1"/>
  <c r="H271" i="11"/>
  <c r="G271" i="11"/>
  <c r="D147" i="11"/>
  <c r="D271" i="11" s="1"/>
  <c r="D395" i="11" s="1"/>
  <c r="D519" i="11" s="1"/>
  <c r="D643" i="11" s="1"/>
  <c r="J23" i="11"/>
  <c r="I147" i="11"/>
  <c r="I23" i="11"/>
  <c r="H147" i="11"/>
  <c r="H23" i="11"/>
  <c r="J271" i="11"/>
  <c r="J395" i="11" s="1"/>
  <c r="G147" i="11"/>
  <c r="G23" i="11"/>
  <c r="G301" i="11"/>
  <c r="G425" i="11" s="1"/>
  <c r="D177" i="11"/>
  <c r="D301" i="11" s="1"/>
  <c r="D425" i="11" s="1"/>
  <c r="D549" i="11" s="1"/>
  <c r="D673" i="11" s="1"/>
  <c r="G53" i="11"/>
  <c r="N314" i="13"/>
  <c r="G27" i="58"/>
  <c r="N204" i="13"/>
  <c r="N205" i="13"/>
  <c r="N194" i="13"/>
  <c r="N202" i="13"/>
  <c r="N203" i="13"/>
  <c r="F20" i="18"/>
  <c r="F16" i="18"/>
  <c r="G6" i="18"/>
  <c r="O228" i="1"/>
  <c r="F18" i="22"/>
  <c r="K395" i="13"/>
  <c r="I27" i="12" s="1"/>
  <c r="D26" i="31" s="1"/>
  <c r="D28" i="31" s="1"/>
  <c r="L392" i="13"/>
  <c r="K411" i="13"/>
  <c r="I28" i="12" s="1"/>
  <c r="D26" i="32" s="1"/>
  <c r="D28" i="32" s="1"/>
  <c r="D66" i="58"/>
  <c r="N219" i="12"/>
  <c r="N75" i="12"/>
  <c r="E78" i="10" s="1"/>
  <c r="E83" i="11" s="1"/>
  <c r="E207" i="11" s="1"/>
  <c r="E331" i="11" s="1"/>
  <c r="E455" i="11" s="1"/>
  <c r="E579" i="11" s="1"/>
  <c r="E703" i="11" s="1"/>
  <c r="K559" i="1"/>
  <c r="K562" i="1" s="1"/>
  <c r="D343" i="1"/>
  <c r="T228" i="1"/>
  <c r="P312" i="1"/>
  <c r="L55" i="12"/>
  <c r="E21" i="20"/>
  <c r="K847" i="1"/>
  <c r="H7" i="12" s="1"/>
  <c r="E7" i="28"/>
  <c r="F20" i="22"/>
  <c r="F16" i="22"/>
  <c r="G6" i="22"/>
  <c r="D227" i="13"/>
  <c r="K179" i="13"/>
  <c r="L351" i="1"/>
  <c r="I48" i="38"/>
  <c r="F17" i="19"/>
  <c r="F7" i="29"/>
  <c r="S202" i="13"/>
  <c r="S203" i="13"/>
  <c r="S204" i="13"/>
  <c r="S205" i="13"/>
  <c r="K156" i="1"/>
  <c r="K819" i="1"/>
  <c r="O240" i="1"/>
  <c r="R167" i="1"/>
  <c r="K170" i="1"/>
  <c r="M21" i="1"/>
  <c r="N3" i="1"/>
  <c r="M486" i="1"/>
  <c r="O143" i="1"/>
  <c r="C455" i="11"/>
  <c r="F331" i="11"/>
  <c r="I284" i="11"/>
  <c r="H284" i="11"/>
  <c r="G284" i="11"/>
  <c r="G408" i="11" s="1"/>
  <c r="D160" i="11"/>
  <c r="D284" i="11" s="1"/>
  <c r="D408" i="11" s="1"/>
  <c r="D532" i="11" s="1"/>
  <c r="D656" i="11" s="1"/>
  <c r="K160" i="11"/>
  <c r="K36" i="11"/>
  <c r="J160" i="11"/>
  <c r="J36" i="11"/>
  <c r="L284" i="11"/>
  <c r="I160" i="11"/>
  <c r="I36" i="11"/>
  <c r="K284" i="11"/>
  <c r="K408" i="11" s="1"/>
  <c r="H160" i="11"/>
  <c r="H36" i="11"/>
  <c r="J284" i="11"/>
  <c r="G160" i="11"/>
  <c r="G36" i="11"/>
  <c r="L36" i="11"/>
  <c r="D188" i="11"/>
  <c r="D312" i="11" s="1"/>
  <c r="D436" i="11" s="1"/>
  <c r="D560" i="11" s="1"/>
  <c r="D684" i="11" s="1"/>
  <c r="G64" i="11"/>
  <c r="D36" i="58"/>
  <c r="K333" i="13"/>
  <c r="L332" i="13"/>
  <c r="L375" i="13"/>
  <c r="K376" i="13"/>
  <c r="I26" i="12" s="1"/>
  <c r="D26" i="30" s="1"/>
  <c r="D28" i="30" s="1"/>
  <c r="G20" i="24"/>
  <c r="G44" i="24" s="1"/>
  <c r="G16" i="24"/>
  <c r="H6" i="24"/>
  <c r="D24" i="25"/>
  <c r="E7" i="25"/>
  <c r="C12" i="37"/>
  <c r="D12" i="37" s="1"/>
  <c r="E12" i="37" s="1"/>
  <c r="F12" i="37" s="1"/>
  <c r="G12" i="37" s="1"/>
  <c r="H12" i="37" s="1"/>
  <c r="I12" i="37" s="1"/>
  <c r="J12" i="37" s="1"/>
  <c r="K12" i="37" s="1"/>
  <c r="L12" i="37" s="1"/>
  <c r="M12" i="37" s="1"/>
  <c r="D11" i="93"/>
  <c r="C12" i="36"/>
  <c r="D12" i="36" s="1"/>
  <c r="E12" i="36" s="1"/>
  <c r="F12" i="36" s="1"/>
  <c r="G12" i="36" s="1"/>
  <c r="H12" i="36" s="1"/>
  <c r="I12" i="36" s="1"/>
  <c r="J12" i="36" s="1"/>
  <c r="K12" i="36" s="1"/>
  <c r="L12" i="36" s="1"/>
  <c r="M12" i="36" s="1"/>
  <c r="C8" i="20"/>
  <c r="D8" i="20" s="1"/>
  <c r="E8" i="20" s="1"/>
  <c r="F8" i="20" s="1"/>
  <c r="G8" i="20" s="1"/>
  <c r="H8" i="20" s="1"/>
  <c r="I8" i="20" s="1"/>
  <c r="J8" i="20" s="1"/>
  <c r="K8" i="20" s="1"/>
  <c r="L8" i="20" s="1"/>
  <c r="M8" i="20" s="1"/>
  <c r="C8" i="19"/>
  <c r="D8" i="19" s="1"/>
  <c r="E8" i="19" s="1"/>
  <c r="F8" i="19" s="1"/>
  <c r="G8" i="19" s="1"/>
  <c r="H8" i="19" s="1"/>
  <c r="I8" i="19" s="1"/>
  <c r="J8" i="19" s="1"/>
  <c r="K8" i="19" s="1"/>
  <c r="L8" i="19" s="1"/>
  <c r="M8" i="19" s="1"/>
  <c r="C8" i="18"/>
  <c r="D8" i="18" s="1"/>
  <c r="E8" i="18" s="1"/>
  <c r="F8" i="18" s="1"/>
  <c r="G8" i="18" s="1"/>
  <c r="H8" i="18" s="1"/>
  <c r="I8" i="18" s="1"/>
  <c r="J8" i="18" s="1"/>
  <c r="K8" i="18" s="1"/>
  <c r="L8" i="18" s="1"/>
  <c r="M8" i="18" s="1"/>
  <c r="C8" i="17"/>
  <c r="D8" i="17" s="1"/>
  <c r="E8" i="17" s="1"/>
  <c r="F8" i="17" s="1"/>
  <c r="G8" i="17" s="1"/>
  <c r="H8" i="17" s="1"/>
  <c r="I8" i="17" s="1"/>
  <c r="J8" i="17" s="1"/>
  <c r="K8" i="17" s="1"/>
  <c r="L8" i="17" s="1"/>
  <c r="M8" i="17" s="1"/>
  <c r="C8" i="23"/>
  <c r="D8" i="23" s="1"/>
  <c r="E8" i="23" s="1"/>
  <c r="F8" i="23" s="1"/>
  <c r="G8" i="23" s="1"/>
  <c r="H8" i="23" s="1"/>
  <c r="I8" i="23" s="1"/>
  <c r="J8" i="23" s="1"/>
  <c r="K8" i="23" s="1"/>
  <c r="L8" i="23" s="1"/>
  <c r="M8" i="23" s="1"/>
  <c r="C8" i="22"/>
  <c r="D8" i="22" s="1"/>
  <c r="E8" i="22" s="1"/>
  <c r="F8" i="22" s="1"/>
  <c r="G8" i="22" s="1"/>
  <c r="H8" i="22" s="1"/>
  <c r="I8" i="22" s="1"/>
  <c r="J8" i="22" s="1"/>
  <c r="K8" i="22" s="1"/>
  <c r="L8" i="22" s="1"/>
  <c r="M8" i="22" s="1"/>
  <c r="C8" i="21"/>
  <c r="D8" i="21" s="1"/>
  <c r="E8" i="21" s="1"/>
  <c r="F8" i="21" s="1"/>
  <c r="G8" i="21" s="1"/>
  <c r="H8" i="21" s="1"/>
  <c r="I8" i="21" s="1"/>
  <c r="J8" i="21" s="1"/>
  <c r="K8" i="21" s="1"/>
  <c r="L8" i="21" s="1"/>
  <c r="M8" i="21" s="1"/>
  <c r="C8" i="5"/>
  <c r="D8" i="5" s="1"/>
  <c r="E8" i="5" s="1"/>
  <c r="F8" i="5" s="1"/>
  <c r="G8" i="5" s="1"/>
  <c r="H8" i="5" s="1"/>
  <c r="I8" i="5" s="1"/>
  <c r="J8" i="5" s="1"/>
  <c r="K8" i="5" s="1"/>
  <c r="L8" i="5" s="1"/>
  <c r="M8" i="5" s="1"/>
  <c r="C8" i="24"/>
  <c r="D8" i="24" s="1"/>
  <c r="E8" i="24" s="1"/>
  <c r="F8" i="24" s="1"/>
  <c r="G8" i="24" s="1"/>
  <c r="H8" i="24" s="1"/>
  <c r="I8" i="24" s="1"/>
  <c r="J8" i="24" s="1"/>
  <c r="K8" i="24" s="1"/>
  <c r="L8" i="24" s="1"/>
  <c r="M8" i="24" s="1"/>
  <c r="C14" i="4"/>
  <c r="Q252" i="1"/>
  <c r="H45" i="1"/>
  <c r="F234" i="38"/>
  <c r="F235" i="38"/>
  <c r="F237" i="38" s="1"/>
  <c r="D24" i="38"/>
  <c r="D25" i="38"/>
  <c r="D27" i="38" s="1"/>
  <c r="K249" i="38"/>
  <c r="D123" i="38"/>
  <c r="D122" i="38"/>
  <c r="O10" i="38"/>
  <c r="J179" i="38"/>
  <c r="P234" i="38"/>
  <c r="D43" i="58"/>
  <c r="K350" i="13"/>
  <c r="C443" i="11"/>
  <c r="F319" i="11"/>
  <c r="N74" i="12"/>
  <c r="E77" i="10" s="1"/>
  <c r="E82" i="11" s="1"/>
  <c r="E206" i="11" s="1"/>
  <c r="E330" i="11" s="1"/>
  <c r="E454" i="11" s="1"/>
  <c r="E578" i="11" s="1"/>
  <c r="E702" i="11" s="1"/>
  <c r="N218" i="12"/>
  <c r="D21" i="19"/>
  <c r="I86" i="12"/>
  <c r="K197" i="12" s="1"/>
  <c r="D11" i="35"/>
  <c r="D13" i="36" s="1"/>
  <c r="E11" i="16"/>
  <c r="I24" i="31"/>
  <c r="J8" i="31"/>
  <c r="H109" i="12"/>
  <c r="C22" i="5"/>
  <c r="D18" i="5"/>
  <c r="N436" i="1"/>
  <c r="M364" i="1"/>
  <c r="N363" i="1"/>
  <c r="H116" i="12"/>
  <c r="D18" i="23"/>
  <c r="K856" i="1"/>
  <c r="H16" i="12" s="1"/>
  <c r="C24" i="22" s="1"/>
  <c r="C26" i="22" s="1"/>
  <c r="K490" i="1"/>
  <c r="K487" i="1"/>
  <c r="E248" i="38"/>
  <c r="E249" i="38"/>
  <c r="E251" i="38" s="1"/>
  <c r="K59" i="39"/>
  <c r="K60" i="39"/>
  <c r="K62" i="39" s="1"/>
  <c r="F178" i="38"/>
  <c r="F179" i="38"/>
  <c r="F181" i="38" s="1"/>
  <c r="J151" i="38"/>
  <c r="E96" i="38"/>
  <c r="I68" i="38"/>
  <c r="P103" i="39"/>
  <c r="G221" i="38"/>
  <c r="K193" i="38"/>
  <c r="O164" i="38"/>
  <c r="F138" i="38"/>
  <c r="J110" i="38"/>
  <c r="M103" i="39"/>
  <c r="N17" i="39"/>
  <c r="N18" i="39"/>
  <c r="N20" i="39" s="1"/>
  <c r="J249" i="38"/>
  <c r="F221" i="38"/>
  <c r="F223" i="38" s="1"/>
  <c r="F220" i="38"/>
  <c r="J193" i="38"/>
  <c r="N164" i="38"/>
  <c r="E138" i="38"/>
  <c r="E139" i="38" s="1"/>
  <c r="D67" i="38"/>
  <c r="D66" i="38"/>
  <c r="U15" i="39"/>
  <c r="D250" i="38"/>
  <c r="D194" i="38"/>
  <c r="M164" i="38"/>
  <c r="F124" i="38"/>
  <c r="G10" i="38"/>
  <c r="G11" i="38"/>
  <c r="G13" i="38" s="1"/>
  <c r="F262" i="38"/>
  <c r="F263" i="38"/>
  <c r="J235" i="38"/>
  <c r="F151" i="38"/>
  <c r="F153" i="38" s="1"/>
  <c r="F150" i="38"/>
  <c r="J123" i="38"/>
  <c r="E68" i="38"/>
  <c r="I40" i="38"/>
  <c r="S15" i="39"/>
  <c r="E150" i="38"/>
  <c r="E151" i="38"/>
  <c r="E153" i="38" s="1"/>
  <c r="D124" i="38"/>
  <c r="G24" i="38"/>
  <c r="G25" i="38"/>
  <c r="G27" i="38" s="1"/>
  <c r="Q16" i="39"/>
  <c r="Q19" i="39" s="1"/>
  <c r="D262" i="38"/>
  <c r="D263" i="38"/>
  <c r="D265" i="38" s="1"/>
  <c r="H235" i="38"/>
  <c r="L206" i="38"/>
  <c r="F22" i="38"/>
  <c r="E52" i="38"/>
  <c r="G498" i="11"/>
  <c r="C499" i="11"/>
  <c r="F375" i="11"/>
  <c r="C441" i="11"/>
  <c r="F317" i="11"/>
  <c r="C408" i="11"/>
  <c r="F284" i="11"/>
  <c r="I274" i="11"/>
  <c r="H274" i="11"/>
  <c r="M26" i="11"/>
  <c r="G274" i="11"/>
  <c r="G398" i="11" s="1"/>
  <c r="L150" i="11"/>
  <c r="D150" i="11"/>
  <c r="D274" i="11" s="1"/>
  <c r="D398" i="11" s="1"/>
  <c r="D522" i="11" s="1"/>
  <c r="D646" i="11" s="1"/>
  <c r="K150" i="11"/>
  <c r="K26" i="11"/>
  <c r="M274" i="11"/>
  <c r="M398" i="11" s="1"/>
  <c r="J150" i="11"/>
  <c r="J26" i="11"/>
  <c r="L274" i="11"/>
  <c r="I150" i="11"/>
  <c r="I26" i="11"/>
  <c r="K274" i="11"/>
  <c r="K398" i="11" s="1"/>
  <c r="H150" i="11"/>
  <c r="H26" i="11"/>
  <c r="J274" i="11"/>
  <c r="G150" i="11"/>
  <c r="G26" i="11"/>
  <c r="L26" i="11"/>
  <c r="C29" i="28"/>
  <c r="C30" i="28" s="1"/>
  <c r="C31" i="28" s="1"/>
  <c r="H176" i="12"/>
  <c r="K54" i="12"/>
  <c r="E43" i="58"/>
  <c r="L350" i="13"/>
  <c r="C488" i="11"/>
  <c r="F364" i="11"/>
  <c r="F214" i="11"/>
  <c r="I285" i="11"/>
  <c r="I409" i="11" s="1"/>
  <c r="H285" i="11"/>
  <c r="M37" i="11"/>
  <c r="G285" i="11"/>
  <c r="L161" i="11"/>
  <c r="M285" i="11" s="1"/>
  <c r="M409" i="11" s="1"/>
  <c r="D161" i="11"/>
  <c r="D285" i="11" s="1"/>
  <c r="D409" i="11" s="1"/>
  <c r="D533" i="11" s="1"/>
  <c r="D657" i="11" s="1"/>
  <c r="K161" i="11"/>
  <c r="K37" i="11"/>
  <c r="J161" i="11"/>
  <c r="J37" i="11"/>
  <c r="L285" i="11"/>
  <c r="L409" i="11" s="1"/>
  <c r="I161" i="11"/>
  <c r="I37" i="11"/>
  <c r="K285" i="11"/>
  <c r="H161" i="11"/>
  <c r="H37" i="11"/>
  <c r="J285" i="11"/>
  <c r="J409" i="11" s="1"/>
  <c r="G161" i="11"/>
  <c r="G37" i="11"/>
  <c r="L37" i="11"/>
  <c r="N88" i="11"/>
  <c r="H336" i="11"/>
  <c r="M88" i="11"/>
  <c r="G336" i="11"/>
  <c r="D212" i="11"/>
  <c r="D336" i="11" s="1"/>
  <c r="D460" i="11" s="1"/>
  <c r="D584" i="11" s="1"/>
  <c r="D708" i="11" s="1"/>
  <c r="I88" i="11"/>
  <c r="H212" i="11"/>
  <c r="I336" i="11" s="1"/>
  <c r="I460" i="11" s="1"/>
  <c r="P88" i="11"/>
  <c r="H88" i="11"/>
  <c r="G212" i="11"/>
  <c r="O88" i="11"/>
  <c r="G88" i="11"/>
  <c r="M448" i="13"/>
  <c r="M121" i="13"/>
  <c r="C497" i="11"/>
  <c r="F373" i="11"/>
  <c r="F195" i="11"/>
  <c r="M100" i="12"/>
  <c r="I23" i="20" s="1"/>
  <c r="I26" i="20" s="1"/>
  <c r="C469" i="11"/>
  <c r="F345" i="11"/>
  <c r="C440" i="11"/>
  <c r="F316" i="11"/>
  <c r="C417" i="11"/>
  <c r="F293" i="11"/>
  <c r="C385" i="11"/>
  <c r="F261" i="11"/>
  <c r="I321" i="11"/>
  <c r="I445" i="11" s="1"/>
  <c r="N197" i="11"/>
  <c r="N73" i="11"/>
  <c r="P321" i="11"/>
  <c r="H321" i="11"/>
  <c r="M197" i="11"/>
  <c r="M73" i="11"/>
  <c r="O321" i="11"/>
  <c r="G321" i="11"/>
  <c r="G445" i="11" s="1"/>
  <c r="L197" i="11"/>
  <c r="D197" i="11"/>
  <c r="D321" i="11" s="1"/>
  <c r="D445" i="11" s="1"/>
  <c r="D569" i="11" s="1"/>
  <c r="D693" i="11" s="1"/>
  <c r="N321" i="11"/>
  <c r="N445" i="11" s="1"/>
  <c r="K197" i="11"/>
  <c r="K73" i="11"/>
  <c r="M321" i="11"/>
  <c r="M445" i="11" s="1"/>
  <c r="J197" i="11"/>
  <c r="J73" i="11"/>
  <c r="L321" i="11"/>
  <c r="I197" i="11"/>
  <c r="I73" i="11"/>
  <c r="K321" i="11"/>
  <c r="K445" i="11" s="1"/>
  <c r="H197" i="11"/>
  <c r="P73" i="11"/>
  <c r="H73" i="11"/>
  <c r="J321" i="11"/>
  <c r="O197" i="11"/>
  <c r="G197" i="11"/>
  <c r="O73" i="11"/>
  <c r="G73" i="11"/>
  <c r="L73" i="11"/>
  <c r="F51" i="58"/>
  <c r="N51" i="58" s="1"/>
  <c r="M368" i="13"/>
  <c r="C495" i="11"/>
  <c r="F371" i="11"/>
  <c r="C461" i="11"/>
  <c r="F337" i="11"/>
  <c r="C428" i="11"/>
  <c r="F304" i="11"/>
  <c r="C396" i="11"/>
  <c r="F272" i="11"/>
  <c r="I270" i="11"/>
  <c r="I394" i="11" s="1"/>
  <c r="H270" i="11"/>
  <c r="H394" i="11" s="1"/>
  <c r="G270" i="11"/>
  <c r="G394" i="11" s="1"/>
  <c r="D146" i="11"/>
  <c r="D270" i="11" s="1"/>
  <c r="D394" i="11" s="1"/>
  <c r="D518" i="11" s="1"/>
  <c r="D642" i="11" s="1"/>
  <c r="I22" i="11"/>
  <c r="H146" i="11"/>
  <c r="H22" i="11"/>
  <c r="G146" i="11"/>
  <c r="G22" i="11"/>
  <c r="H302" i="11"/>
  <c r="G302" i="11"/>
  <c r="D178" i="11"/>
  <c r="D302" i="11" s="1"/>
  <c r="D426" i="11" s="1"/>
  <c r="D550" i="11" s="1"/>
  <c r="D674" i="11" s="1"/>
  <c r="H54" i="11"/>
  <c r="G178" i="11"/>
  <c r="G54" i="11"/>
  <c r="Q202" i="13"/>
  <c r="Q203" i="13"/>
  <c r="Q204" i="13"/>
  <c r="Q205" i="13"/>
  <c r="L750" i="1"/>
  <c r="L753" i="1" s="1"/>
  <c r="C486" i="11"/>
  <c r="F362" i="11"/>
  <c r="C470" i="11"/>
  <c r="F346" i="11"/>
  <c r="C442" i="11"/>
  <c r="F318" i="11"/>
  <c r="C407" i="11"/>
  <c r="F283" i="11"/>
  <c r="I311" i="11"/>
  <c r="I435" i="11" s="1"/>
  <c r="N187" i="11"/>
  <c r="N63" i="11"/>
  <c r="P311" i="11"/>
  <c r="H311" i="11"/>
  <c r="M187" i="11"/>
  <c r="M63" i="11"/>
  <c r="O311" i="11"/>
  <c r="G311" i="11"/>
  <c r="G435" i="11" s="1"/>
  <c r="L187" i="11"/>
  <c r="D187" i="11"/>
  <c r="D311" i="11" s="1"/>
  <c r="D435" i="11" s="1"/>
  <c r="D559" i="11" s="1"/>
  <c r="D683" i="11" s="1"/>
  <c r="N311" i="11"/>
  <c r="K187" i="11"/>
  <c r="K63" i="11"/>
  <c r="M311" i="11"/>
  <c r="M435" i="11" s="1"/>
  <c r="J187" i="11"/>
  <c r="J63" i="11"/>
  <c r="L311" i="11"/>
  <c r="Q187" i="11"/>
  <c r="I187" i="11"/>
  <c r="Q63" i="11"/>
  <c r="I63" i="11"/>
  <c r="K311" i="11"/>
  <c r="K435" i="11" s="1"/>
  <c r="P187" i="11"/>
  <c r="Q311" i="11" s="1"/>
  <c r="Q435" i="11" s="1"/>
  <c r="H187" i="11"/>
  <c r="P63" i="11"/>
  <c r="H63" i="11"/>
  <c r="J311" i="11"/>
  <c r="O187" i="11"/>
  <c r="G187" i="11"/>
  <c r="O63" i="11"/>
  <c r="G63" i="11"/>
  <c r="L63" i="11"/>
  <c r="I20" i="34"/>
  <c r="I320" i="11"/>
  <c r="N196" i="11"/>
  <c r="O320" i="11" s="1"/>
  <c r="O444" i="11" s="1"/>
  <c r="N72" i="11"/>
  <c r="H320" i="11"/>
  <c r="M196" i="11"/>
  <c r="M72" i="11"/>
  <c r="G320" i="11"/>
  <c r="L196" i="11"/>
  <c r="D196" i="11"/>
  <c r="D320" i="11" s="1"/>
  <c r="D444" i="11" s="1"/>
  <c r="D568" i="11" s="1"/>
  <c r="D692" i="11" s="1"/>
  <c r="N320" i="11"/>
  <c r="K196" i="11"/>
  <c r="K72" i="11"/>
  <c r="M320" i="11"/>
  <c r="M444" i="11" s="1"/>
  <c r="J196" i="11"/>
  <c r="J72" i="11"/>
  <c r="L320" i="11"/>
  <c r="L444" i="11" s="1"/>
  <c r="I196" i="11"/>
  <c r="I72" i="11"/>
  <c r="K320" i="11"/>
  <c r="H196" i="11"/>
  <c r="H72" i="11"/>
  <c r="J320" i="11"/>
  <c r="J444" i="11" s="1"/>
  <c r="G196" i="11"/>
  <c r="O72" i="11"/>
  <c r="G72" i="11"/>
  <c r="L72" i="11"/>
  <c r="K299" i="13"/>
  <c r="D21" i="58"/>
  <c r="G483" i="11"/>
  <c r="F207" i="11"/>
  <c r="F170" i="11"/>
  <c r="F138" i="11"/>
  <c r="G268" i="11"/>
  <c r="D144" i="11"/>
  <c r="D268" i="11" s="1"/>
  <c r="D392" i="11" s="1"/>
  <c r="D516" i="11" s="1"/>
  <c r="D640" i="11" s="1"/>
  <c r="G20" i="11"/>
  <c r="N405" i="13"/>
  <c r="G66" i="58" s="1"/>
  <c r="G65" i="58"/>
  <c r="F196" i="11"/>
  <c r="F173" i="11"/>
  <c r="F141" i="11"/>
  <c r="I275" i="11"/>
  <c r="I399" i="11" s="1"/>
  <c r="H275" i="11"/>
  <c r="H399" i="11" s="1"/>
  <c r="M151" i="11"/>
  <c r="M27" i="11"/>
  <c r="G275" i="11"/>
  <c r="L151" i="11"/>
  <c r="D151" i="11"/>
  <c r="D275" i="11" s="1"/>
  <c r="D399" i="11" s="1"/>
  <c r="D523" i="11" s="1"/>
  <c r="D647" i="11" s="1"/>
  <c r="N275" i="11"/>
  <c r="N399" i="11" s="1"/>
  <c r="K151" i="11"/>
  <c r="K27" i="11"/>
  <c r="M275" i="11"/>
  <c r="M399" i="11" s="1"/>
  <c r="J151" i="11"/>
  <c r="J27" i="11"/>
  <c r="L275" i="11"/>
  <c r="I151" i="11"/>
  <c r="I27" i="11"/>
  <c r="K275" i="11"/>
  <c r="K399" i="11" s="1"/>
  <c r="H151" i="11"/>
  <c r="H27" i="11"/>
  <c r="J275" i="11"/>
  <c r="J399" i="11" s="1"/>
  <c r="G151" i="11"/>
  <c r="G27" i="11"/>
  <c r="N27" i="11"/>
  <c r="L27" i="11"/>
  <c r="I304" i="11"/>
  <c r="I428" i="11" s="1"/>
  <c r="H304" i="11"/>
  <c r="G304" i="11"/>
  <c r="D180" i="11"/>
  <c r="D304" i="11" s="1"/>
  <c r="D428" i="11" s="1"/>
  <c r="D552" i="11" s="1"/>
  <c r="D676" i="11" s="1"/>
  <c r="J56" i="11"/>
  <c r="I180" i="11"/>
  <c r="I56" i="11"/>
  <c r="H180" i="11"/>
  <c r="H56" i="11"/>
  <c r="J304" i="11"/>
  <c r="J428" i="11" s="1"/>
  <c r="G180" i="11"/>
  <c r="G56" i="11"/>
  <c r="G334" i="11"/>
  <c r="D210" i="11"/>
  <c r="D334" i="11" s="1"/>
  <c r="D458" i="11" s="1"/>
  <c r="D582" i="11" s="1"/>
  <c r="D706" i="11" s="1"/>
  <c r="G86" i="11"/>
  <c r="M400" i="1"/>
  <c r="M407" i="1"/>
  <c r="M408" i="1" s="1"/>
  <c r="M411" i="1" s="1"/>
  <c r="H7" i="33"/>
  <c r="D494" i="1"/>
  <c r="G17" i="22"/>
  <c r="G18" i="22" s="1"/>
  <c r="F89" i="53"/>
  <c r="P332" i="1"/>
  <c r="H13" i="52"/>
  <c r="P155" i="1"/>
  <c r="P484" i="1"/>
  <c r="P104" i="38"/>
  <c r="P258" i="38" s="1"/>
  <c r="P260" i="38" s="1"/>
  <c r="M17" i="23"/>
  <c r="L836" i="1"/>
  <c r="L839" i="1" s="1"/>
  <c r="P323" i="1"/>
  <c r="K315" i="13"/>
  <c r="D29" i="58" s="1"/>
  <c r="K312" i="13"/>
  <c r="D28" i="58"/>
  <c r="I34" i="38"/>
  <c r="J34" i="38" s="1"/>
  <c r="K34" i="38" s="1"/>
  <c r="L34" i="38" s="1"/>
  <c r="M34" i="38" s="1"/>
  <c r="N34" i="38" s="1"/>
  <c r="O34" i="38" s="1"/>
  <c r="P34" i="38" s="1"/>
  <c r="P36" i="38" s="1"/>
  <c r="F17" i="18"/>
  <c r="F18" i="18" s="1"/>
  <c r="L299" i="13"/>
  <c r="E21" i="58"/>
  <c r="D462" i="1"/>
  <c r="H38" i="1"/>
  <c r="L55" i="39"/>
  <c r="I19" i="50" s="1"/>
  <c r="K11" i="50" s="1"/>
  <c r="K17" i="50" s="1"/>
  <c r="L428" i="1"/>
  <c r="L400" i="11"/>
  <c r="I400" i="11"/>
  <c r="K485" i="1"/>
  <c r="K439" i="1"/>
  <c r="M24" i="1"/>
  <c r="K855" i="1"/>
  <c r="H15" i="12" s="1"/>
  <c r="K146" i="1"/>
  <c r="T34" i="1"/>
  <c r="J207" i="38"/>
  <c r="O220" i="38"/>
  <c r="E66" i="38"/>
  <c r="E67" i="38"/>
  <c r="E69" i="38" s="1"/>
  <c r="L64" i="38"/>
  <c r="E124" i="38"/>
  <c r="O24" i="38"/>
  <c r="F78" i="38"/>
  <c r="M52" i="58"/>
  <c r="L52" i="58"/>
  <c r="D52" i="58"/>
  <c r="K52" i="58"/>
  <c r="K369" i="13"/>
  <c r="J52" i="58"/>
  <c r="I52" i="58"/>
  <c r="H132" i="12"/>
  <c r="C22" i="37" s="1"/>
  <c r="I266" i="11"/>
  <c r="N142" i="11"/>
  <c r="P266" i="11"/>
  <c r="P390" i="11" s="1"/>
  <c r="H266" i="11"/>
  <c r="M142" i="11"/>
  <c r="M18" i="11"/>
  <c r="O266" i="11"/>
  <c r="G266" i="11"/>
  <c r="G390" i="11" s="1"/>
  <c r="L142" i="11"/>
  <c r="D142" i="11"/>
  <c r="D266" i="11" s="1"/>
  <c r="D390" i="11" s="1"/>
  <c r="D514" i="11" s="1"/>
  <c r="D638" i="11" s="1"/>
  <c r="N266" i="11"/>
  <c r="N390" i="11" s="1"/>
  <c r="K142" i="11"/>
  <c r="K18" i="11"/>
  <c r="M266" i="11"/>
  <c r="M390" i="11" s="1"/>
  <c r="J142" i="11"/>
  <c r="J18" i="11"/>
  <c r="L266" i="11"/>
  <c r="I142" i="11"/>
  <c r="I18" i="11"/>
  <c r="K266" i="11"/>
  <c r="H142" i="11"/>
  <c r="P18" i="11"/>
  <c r="H18" i="11"/>
  <c r="J266" i="11"/>
  <c r="J390" i="11" s="1"/>
  <c r="O142" i="11"/>
  <c r="G142" i="11"/>
  <c r="O18" i="11"/>
  <c r="G18" i="11"/>
  <c r="N18" i="11"/>
  <c r="L18" i="11"/>
  <c r="C467" i="11"/>
  <c r="F343" i="11"/>
  <c r="F192" i="11"/>
  <c r="F148" i="11"/>
  <c r="C24" i="35"/>
  <c r="K100" i="12"/>
  <c r="G23" i="20" s="1"/>
  <c r="G313" i="11"/>
  <c r="G437" i="11" s="1"/>
  <c r="D189" i="11"/>
  <c r="D313" i="11" s="1"/>
  <c r="D437" i="11" s="1"/>
  <c r="D561" i="11" s="1"/>
  <c r="D685" i="11" s="1"/>
  <c r="H65" i="11"/>
  <c r="G189" i="11"/>
  <c r="H313" i="11" s="1"/>
  <c r="H437" i="11" s="1"/>
  <c r="G65" i="11"/>
  <c r="P74" i="13"/>
  <c r="O404" i="13"/>
  <c r="O349" i="13"/>
  <c r="M855" i="1"/>
  <c r="J15" i="12" s="1"/>
  <c r="M849" i="1"/>
  <c r="J9" i="12" s="1"/>
  <c r="I342" i="11"/>
  <c r="I466" i="11" s="1"/>
  <c r="N218" i="11"/>
  <c r="N94" i="11"/>
  <c r="P342" i="11"/>
  <c r="P466" i="11" s="1"/>
  <c r="H342" i="11"/>
  <c r="M218" i="11"/>
  <c r="M94" i="11"/>
  <c r="O342" i="11"/>
  <c r="O466" i="11" s="1"/>
  <c r="G342" i="11"/>
  <c r="G466" i="11" s="1"/>
  <c r="L218" i="11"/>
  <c r="D218" i="11"/>
  <c r="D342" i="11" s="1"/>
  <c r="D466" i="11" s="1"/>
  <c r="D590" i="11" s="1"/>
  <c r="D714" i="11" s="1"/>
  <c r="N342" i="11"/>
  <c r="K218" i="11"/>
  <c r="K94" i="11"/>
  <c r="M342" i="11"/>
  <c r="M466" i="11" s="1"/>
  <c r="J218" i="11"/>
  <c r="J94" i="11"/>
  <c r="L342" i="11"/>
  <c r="Q218" i="11"/>
  <c r="I218" i="11"/>
  <c r="Q94" i="11"/>
  <c r="I94" i="11"/>
  <c r="K342" i="11"/>
  <c r="P218" i="11"/>
  <c r="Q342" i="11" s="1"/>
  <c r="Q466" i="11" s="1"/>
  <c r="H218" i="11"/>
  <c r="P94" i="11"/>
  <c r="H94" i="11"/>
  <c r="J342" i="11"/>
  <c r="O218" i="11"/>
  <c r="G218" i="11"/>
  <c r="O94" i="11"/>
  <c r="G94" i="11"/>
  <c r="L94" i="11"/>
  <c r="O178" i="12"/>
  <c r="J31" i="30"/>
  <c r="J29" i="30"/>
  <c r="J30" i="30" s="1"/>
  <c r="N281" i="13"/>
  <c r="N282" i="13" s="1"/>
  <c r="G14" i="58"/>
  <c r="O280" i="13"/>
  <c r="L849" i="1"/>
  <c r="I9" i="12" s="1"/>
  <c r="C447" i="11"/>
  <c r="F323" i="11"/>
  <c r="C410" i="11"/>
  <c r="F286" i="11"/>
  <c r="I260" i="11"/>
  <c r="H260" i="11"/>
  <c r="G260" i="11"/>
  <c r="G384" i="11" s="1"/>
  <c r="D136" i="11"/>
  <c r="D260" i="11" s="1"/>
  <c r="D384" i="11" s="1"/>
  <c r="D508" i="11" s="1"/>
  <c r="D632" i="11" s="1"/>
  <c r="J12" i="11"/>
  <c r="I136" i="11"/>
  <c r="I12" i="11"/>
  <c r="H136" i="11"/>
  <c r="H12" i="11"/>
  <c r="J260" i="11"/>
  <c r="J384" i="11" s="1"/>
  <c r="G136" i="11"/>
  <c r="G12" i="11"/>
  <c r="F59" i="58"/>
  <c r="N59" i="58" s="1"/>
  <c r="K143" i="12"/>
  <c r="C483" i="11"/>
  <c r="F359" i="11"/>
  <c r="C468" i="11"/>
  <c r="F344" i="11"/>
  <c r="C436" i="11"/>
  <c r="F312" i="11"/>
  <c r="C413" i="11"/>
  <c r="F289" i="11"/>
  <c r="C381" i="11"/>
  <c r="F257" i="11"/>
  <c r="C31" i="33"/>
  <c r="C29" i="33"/>
  <c r="C30" i="33" s="1"/>
  <c r="H181" i="12"/>
  <c r="I297" i="11"/>
  <c r="I421" i="11" s="1"/>
  <c r="H297" i="11"/>
  <c r="H421" i="11" s="1"/>
  <c r="M173" i="11"/>
  <c r="M49" i="11"/>
  <c r="G297" i="11"/>
  <c r="L173" i="11"/>
  <c r="D173" i="11"/>
  <c r="D297" i="11" s="1"/>
  <c r="D421" i="11" s="1"/>
  <c r="D545" i="11" s="1"/>
  <c r="D669" i="11" s="1"/>
  <c r="N297" i="11"/>
  <c r="N421" i="11" s="1"/>
  <c r="K173" i="11"/>
  <c r="K49" i="11"/>
  <c r="M297" i="11"/>
  <c r="M421" i="11" s="1"/>
  <c r="J173" i="11"/>
  <c r="J49" i="11"/>
  <c r="L297" i="11"/>
  <c r="I173" i="11"/>
  <c r="I49" i="11"/>
  <c r="K297" i="11"/>
  <c r="K421" i="11" s="1"/>
  <c r="H173" i="11"/>
  <c r="H49" i="11"/>
  <c r="J297" i="11"/>
  <c r="J421" i="11" s="1"/>
  <c r="G173" i="11"/>
  <c r="G49" i="11"/>
  <c r="N49" i="11"/>
  <c r="L49" i="11"/>
  <c r="I326" i="11"/>
  <c r="I450" i="11" s="1"/>
  <c r="H326" i="11"/>
  <c r="H450" i="11" s="1"/>
  <c r="G326" i="11"/>
  <c r="G450" i="11" s="1"/>
  <c r="D202" i="11"/>
  <c r="D326" i="11" s="1"/>
  <c r="D450" i="11" s="1"/>
  <c r="D574" i="11" s="1"/>
  <c r="D698" i="11" s="1"/>
  <c r="J78" i="11"/>
  <c r="I202" i="11"/>
  <c r="J326" i="11" s="1"/>
  <c r="J450" i="11" s="1"/>
  <c r="I78" i="11"/>
  <c r="H202" i="11"/>
  <c r="H78" i="11"/>
  <c r="G202" i="11"/>
  <c r="G78" i="11"/>
  <c r="D199" i="11"/>
  <c r="D323" i="11" s="1"/>
  <c r="D447" i="11" s="1"/>
  <c r="D571" i="11" s="1"/>
  <c r="D695" i="11" s="1"/>
  <c r="G75" i="11"/>
  <c r="L456" i="1"/>
  <c r="I89" i="53"/>
  <c r="L420" i="11"/>
  <c r="I420" i="11"/>
  <c r="D23" i="52"/>
  <c r="N23" i="52" s="1"/>
  <c r="L210" i="1"/>
  <c r="H386" i="11"/>
  <c r="M484" i="1"/>
  <c r="L5" i="38"/>
  <c r="P51" i="13"/>
  <c r="P49" i="13"/>
  <c r="P47" i="13"/>
  <c r="P45" i="13"/>
  <c r="P193" i="13"/>
  <c r="P50" i="13"/>
  <c r="P48" i="13"/>
  <c r="P46" i="13"/>
  <c r="P44" i="13"/>
  <c r="Q23" i="13"/>
  <c r="Q12" i="1"/>
  <c r="Q14" i="1" s="1"/>
  <c r="N69" i="53"/>
  <c r="H133" i="38"/>
  <c r="E18" i="25"/>
  <c r="E19" i="25" s="1"/>
  <c r="J118" i="12" s="1"/>
  <c r="N27" i="58"/>
  <c r="G44" i="1"/>
  <c r="P20" i="38"/>
  <c r="P22" i="38" s="1"/>
  <c r="M17" i="17"/>
  <c r="U34" i="1"/>
  <c r="U7" i="1" s="1"/>
  <c r="K853" i="1"/>
  <c r="H13" i="12" s="1"/>
  <c r="M847" i="1"/>
  <c r="J7" i="12" s="1"/>
  <c r="G7" i="32"/>
  <c r="D12" i="93"/>
  <c r="E1" i="93"/>
  <c r="D13" i="93"/>
  <c r="E13" i="93" s="1"/>
  <c r="G34" i="38"/>
  <c r="C272" i="38" s="1"/>
  <c r="D17" i="18"/>
  <c r="D18" i="18" s="1"/>
  <c r="R228" i="1"/>
  <c r="G400" i="11"/>
  <c r="E43" i="52"/>
  <c r="M334" i="1"/>
  <c r="H17" i="22"/>
  <c r="H111" i="12"/>
  <c r="C22" i="18"/>
  <c r="K389" i="1"/>
  <c r="E10" i="93"/>
  <c r="U167" i="1"/>
  <c r="M352" i="1"/>
  <c r="M353" i="1" s="1"/>
  <c r="L271" i="1"/>
  <c r="K219" i="1"/>
  <c r="D219" i="1" s="1"/>
  <c r="F45" i="1" s="1"/>
  <c r="I310" i="11"/>
  <c r="N186" i="11"/>
  <c r="N62" i="11"/>
  <c r="H310" i="11"/>
  <c r="M186" i="11"/>
  <c r="M62" i="11"/>
  <c r="O310" i="11"/>
  <c r="O434" i="11" s="1"/>
  <c r="G310" i="11"/>
  <c r="L186" i="11"/>
  <c r="D186" i="11"/>
  <c r="D310" i="11" s="1"/>
  <c r="D434" i="11" s="1"/>
  <c r="D558" i="11" s="1"/>
  <c r="D682" i="11" s="1"/>
  <c r="N310" i="11"/>
  <c r="K186" i="11"/>
  <c r="K62" i="11"/>
  <c r="M310" i="11"/>
  <c r="M434" i="11" s="1"/>
  <c r="J186" i="11"/>
  <c r="J62" i="11"/>
  <c r="L310" i="11"/>
  <c r="L434" i="11" s="1"/>
  <c r="Q186" i="11"/>
  <c r="I186" i="11"/>
  <c r="Q62" i="11"/>
  <c r="I62" i="11"/>
  <c r="K310" i="11"/>
  <c r="P186" i="11"/>
  <c r="Q310" i="11" s="1"/>
  <c r="Q434" i="11" s="1"/>
  <c r="H186" i="11"/>
  <c r="P62" i="11"/>
  <c r="H62" i="11"/>
  <c r="J310" i="11"/>
  <c r="J434" i="11" s="1"/>
  <c r="O186" i="11"/>
  <c r="P310" i="11" s="1"/>
  <c r="P434" i="11" s="1"/>
  <c r="G186" i="11"/>
  <c r="O62" i="11"/>
  <c r="G62" i="11"/>
  <c r="L62" i="11"/>
  <c r="I339" i="11"/>
  <c r="I463" i="11" s="1"/>
  <c r="H339" i="11"/>
  <c r="G339" i="11"/>
  <c r="G463" i="11" s="1"/>
  <c r="D215" i="11"/>
  <c r="D339" i="11" s="1"/>
  <c r="D463" i="11" s="1"/>
  <c r="D587" i="11" s="1"/>
  <c r="D711" i="11" s="1"/>
  <c r="K215" i="11"/>
  <c r="L339" i="11" s="1"/>
  <c r="L463" i="11" s="1"/>
  <c r="K91" i="11"/>
  <c r="J215" i="11"/>
  <c r="J91" i="11"/>
  <c r="I215" i="11"/>
  <c r="I91" i="11"/>
  <c r="K339" i="11"/>
  <c r="H215" i="11"/>
  <c r="H91" i="11"/>
  <c r="J339" i="11"/>
  <c r="G215" i="11"/>
  <c r="G91" i="11"/>
  <c r="L91" i="11"/>
  <c r="K439" i="13"/>
  <c r="I30" i="12" s="1"/>
  <c r="D26" i="34" s="1"/>
  <c r="D28" i="34" s="1"/>
  <c r="L438" i="13"/>
  <c r="I286" i="11"/>
  <c r="H286" i="11"/>
  <c r="H410" i="11" s="1"/>
  <c r="M162" i="11"/>
  <c r="N286" i="11" s="1"/>
  <c r="N410" i="11" s="1"/>
  <c r="M38" i="11"/>
  <c r="G286" i="11"/>
  <c r="L162" i="11"/>
  <c r="D162" i="11"/>
  <c r="D286" i="11" s="1"/>
  <c r="D410" i="11" s="1"/>
  <c r="D534" i="11" s="1"/>
  <c r="D658" i="11" s="1"/>
  <c r="K162" i="11"/>
  <c r="K38" i="11"/>
  <c r="M286" i="11"/>
  <c r="M410" i="11" s="1"/>
  <c r="J162" i="11"/>
  <c r="J38" i="11"/>
  <c r="L286" i="11"/>
  <c r="I162" i="11"/>
  <c r="I38" i="11"/>
  <c r="K286" i="11"/>
  <c r="H162" i="11"/>
  <c r="H38" i="11"/>
  <c r="J286" i="11"/>
  <c r="G162" i="11"/>
  <c r="G38" i="11"/>
  <c r="N38" i="11"/>
  <c r="L38" i="11"/>
  <c r="I29" i="30"/>
  <c r="I30" i="30" s="1"/>
  <c r="N178" i="12"/>
  <c r="I31" i="30"/>
  <c r="O64" i="38"/>
  <c r="O191" i="38"/>
  <c r="O108" i="38"/>
  <c r="K123" i="38"/>
  <c r="M24" i="38"/>
  <c r="M203" i="13"/>
  <c r="M204" i="13"/>
  <c r="M205" i="13"/>
  <c r="M194" i="13"/>
  <c r="M202" i="13"/>
  <c r="C454" i="11"/>
  <c r="F330" i="11"/>
  <c r="C387" i="11"/>
  <c r="F263" i="11"/>
  <c r="I318" i="11"/>
  <c r="I442" i="11" s="1"/>
  <c r="H318" i="11"/>
  <c r="M70" i="11"/>
  <c r="G318" i="11"/>
  <c r="G442" i="11" s="1"/>
  <c r="L194" i="11"/>
  <c r="M318" i="11" s="1"/>
  <c r="M442" i="11" s="1"/>
  <c r="D194" i="11"/>
  <c r="D318" i="11" s="1"/>
  <c r="D442" i="11" s="1"/>
  <c r="D566" i="11" s="1"/>
  <c r="D690" i="11" s="1"/>
  <c r="K194" i="11"/>
  <c r="K70" i="11"/>
  <c r="J194" i="11"/>
  <c r="J70" i="11"/>
  <c r="L318" i="11"/>
  <c r="I194" i="11"/>
  <c r="I70" i="11"/>
  <c r="K318" i="11"/>
  <c r="H194" i="11"/>
  <c r="H70" i="11"/>
  <c r="J318" i="11"/>
  <c r="G194" i="11"/>
  <c r="G70" i="11"/>
  <c r="L70" i="11"/>
  <c r="H325" i="11"/>
  <c r="G325" i="11"/>
  <c r="G449" i="11" s="1"/>
  <c r="D201" i="11"/>
  <c r="D325" i="11" s="1"/>
  <c r="D449" i="11" s="1"/>
  <c r="D573" i="11" s="1"/>
  <c r="D697" i="11" s="1"/>
  <c r="I77" i="11"/>
  <c r="H201" i="11"/>
  <c r="I325" i="11" s="1"/>
  <c r="I449" i="11" s="1"/>
  <c r="H77" i="11"/>
  <c r="G201" i="11"/>
  <c r="G77" i="11"/>
  <c r="N232" i="13"/>
  <c r="C398" i="11"/>
  <c r="F274" i="11"/>
  <c r="F264" i="38"/>
  <c r="P220" i="38"/>
  <c r="N108" i="38"/>
  <c r="U101" i="39"/>
  <c r="K19" i="39"/>
  <c r="P192" i="38"/>
  <c r="F39" i="38"/>
  <c r="F41" i="38" s="1"/>
  <c r="F38" i="38"/>
  <c r="G249" i="38"/>
  <c r="K221" i="38"/>
  <c r="O192" i="38"/>
  <c r="F166" i="38"/>
  <c r="E108" i="38"/>
  <c r="D68" i="38"/>
  <c r="H40" i="38"/>
  <c r="P101" i="39"/>
  <c r="P102" i="39"/>
  <c r="P104" i="39" s="1"/>
  <c r="J15" i="39"/>
  <c r="D150" i="38"/>
  <c r="D151" i="38"/>
  <c r="D153" i="38" s="1"/>
  <c r="H123" i="38"/>
  <c r="P64" i="38"/>
  <c r="I25" i="38"/>
  <c r="I27" i="38" s="1"/>
  <c r="I24" i="38"/>
  <c r="E220" i="38"/>
  <c r="C465" i="11"/>
  <c r="F341" i="11"/>
  <c r="C432" i="11"/>
  <c r="F308" i="11"/>
  <c r="C400" i="11"/>
  <c r="F276" i="11"/>
  <c r="G258" i="11"/>
  <c r="G382" i="11" s="1"/>
  <c r="D134" i="11"/>
  <c r="D258" i="11" s="1"/>
  <c r="D382" i="11" s="1"/>
  <c r="D506" i="11" s="1"/>
  <c r="D630" i="11" s="1"/>
  <c r="H10" i="11"/>
  <c r="G134" i="11"/>
  <c r="H258" i="11" s="1"/>
  <c r="H382" i="11" s="1"/>
  <c r="G10" i="11"/>
  <c r="J83" i="13"/>
  <c r="J84" i="13" s="1"/>
  <c r="J68" i="13"/>
  <c r="K67" i="13" s="1"/>
  <c r="F206" i="11"/>
  <c r="F139" i="11"/>
  <c r="O148" i="12"/>
  <c r="J18" i="93" s="1"/>
  <c r="J22" i="93" s="1"/>
  <c r="N148" i="12"/>
  <c r="I18" i="93" s="1"/>
  <c r="I22" i="93" s="1"/>
  <c r="M148" i="12"/>
  <c r="H18" i="93" s="1"/>
  <c r="H22" i="93" s="1"/>
  <c r="L148" i="12"/>
  <c r="G18" i="93" s="1"/>
  <c r="G22" i="93" s="1"/>
  <c r="R148" i="12"/>
  <c r="M18" i="93" s="1"/>
  <c r="M22" i="93" s="1"/>
  <c r="J148" i="12"/>
  <c r="E18" i="93" s="1"/>
  <c r="E22" i="93" s="1"/>
  <c r="Q148" i="12"/>
  <c r="L18" i="93" s="1"/>
  <c r="L22" i="93" s="1"/>
  <c r="I148" i="12"/>
  <c r="D18" i="93" s="1"/>
  <c r="P148" i="12"/>
  <c r="K18" i="93" s="1"/>
  <c r="K22" i="93" s="1"/>
  <c r="H148" i="12"/>
  <c r="N100" i="12"/>
  <c r="J23" i="20" s="1"/>
  <c r="J26" i="20" s="1"/>
  <c r="Q267" i="11"/>
  <c r="Q391" i="11" s="1"/>
  <c r="I267" i="11"/>
  <c r="N143" i="11"/>
  <c r="P267" i="11"/>
  <c r="P391" i="11" s="1"/>
  <c r="H267" i="11"/>
  <c r="M143" i="11"/>
  <c r="M19" i="11"/>
  <c r="O267" i="11"/>
  <c r="G267" i="11"/>
  <c r="G391" i="11" s="1"/>
  <c r="L143" i="11"/>
  <c r="D143" i="11"/>
  <c r="D267" i="11" s="1"/>
  <c r="D391" i="11" s="1"/>
  <c r="D515" i="11" s="1"/>
  <c r="D639" i="11" s="1"/>
  <c r="N267" i="11"/>
  <c r="N391" i="11" s="1"/>
  <c r="K143" i="11"/>
  <c r="K19" i="11"/>
  <c r="M267" i="11"/>
  <c r="M391" i="11" s="1"/>
  <c r="J143" i="11"/>
  <c r="J19" i="11"/>
  <c r="L267" i="11"/>
  <c r="I143" i="11"/>
  <c r="Q19" i="11"/>
  <c r="I19" i="11"/>
  <c r="K267" i="11"/>
  <c r="P143" i="11"/>
  <c r="H143" i="11"/>
  <c r="P19" i="11"/>
  <c r="H19" i="11"/>
  <c r="J267" i="11"/>
  <c r="J391" i="11" s="1"/>
  <c r="O143" i="11"/>
  <c r="G143" i="11"/>
  <c r="O19" i="11"/>
  <c r="G19" i="11"/>
  <c r="N19" i="11"/>
  <c r="L19" i="11"/>
  <c r="I340" i="11"/>
  <c r="I464" i="11" s="1"/>
  <c r="N92" i="11"/>
  <c r="H340" i="11"/>
  <c r="M216" i="11"/>
  <c r="N216" i="11" s="1"/>
  <c r="M92" i="11"/>
  <c r="G340" i="11"/>
  <c r="G464" i="11" s="1"/>
  <c r="L216" i="11"/>
  <c r="M340" i="11" s="1"/>
  <c r="M464" i="11" s="1"/>
  <c r="D216" i="11"/>
  <c r="D340" i="11" s="1"/>
  <c r="D464" i="11" s="1"/>
  <c r="D588" i="11" s="1"/>
  <c r="D712" i="11" s="1"/>
  <c r="N340" i="11"/>
  <c r="K216" i="11"/>
  <c r="K92" i="11"/>
  <c r="J216" i="11"/>
  <c r="J92" i="11"/>
  <c r="L340" i="11"/>
  <c r="I216" i="11"/>
  <c r="Q92" i="11"/>
  <c r="I92" i="11"/>
  <c r="K340" i="11"/>
  <c r="H216" i="11"/>
  <c r="P92" i="11"/>
  <c r="H92" i="11"/>
  <c r="J340" i="11"/>
  <c r="G216" i="11"/>
  <c r="O92" i="11"/>
  <c r="G92" i="11"/>
  <c r="L92" i="11"/>
  <c r="L151" i="12"/>
  <c r="M2" i="12"/>
  <c r="G199" i="12"/>
  <c r="G214" i="12"/>
  <c r="L162" i="12"/>
  <c r="L107" i="12"/>
  <c r="K80" i="12"/>
  <c r="K93" i="12" s="1"/>
  <c r="G71" i="12"/>
  <c r="G57" i="12"/>
  <c r="F205" i="13"/>
  <c r="F206" i="13" s="1"/>
  <c r="F207" i="13" s="1"/>
  <c r="I205" i="13"/>
  <c r="H205" i="13"/>
  <c r="G205" i="13"/>
  <c r="G206" i="13" s="1"/>
  <c r="G207" i="13" s="1"/>
  <c r="G489" i="11"/>
  <c r="F219" i="11"/>
  <c r="I305" i="11"/>
  <c r="H305" i="11"/>
  <c r="G305" i="11"/>
  <c r="G429" i="11" s="1"/>
  <c r="D181" i="11"/>
  <c r="D305" i="11" s="1"/>
  <c r="D429" i="11" s="1"/>
  <c r="D553" i="11" s="1"/>
  <c r="D677" i="11" s="1"/>
  <c r="K57" i="11"/>
  <c r="J181" i="11"/>
  <c r="K305" i="11" s="1"/>
  <c r="K429" i="11" s="1"/>
  <c r="J57" i="11"/>
  <c r="I181" i="11"/>
  <c r="I57" i="11"/>
  <c r="H181" i="11"/>
  <c r="H57" i="11"/>
  <c r="J305" i="11"/>
  <c r="G181" i="11"/>
  <c r="G57" i="11"/>
  <c r="C29" i="29"/>
  <c r="C30" i="29" s="1"/>
  <c r="C31" i="29" s="1"/>
  <c r="H177" i="12"/>
  <c r="H187" i="12" s="1"/>
  <c r="C477" i="11"/>
  <c r="F353" i="11"/>
  <c r="C464" i="11"/>
  <c r="F340" i="11"/>
  <c r="C435" i="11"/>
  <c r="F311" i="11"/>
  <c r="C409" i="11"/>
  <c r="F285" i="11"/>
  <c r="M29" i="30"/>
  <c r="R178" i="12"/>
  <c r="I306" i="11"/>
  <c r="H306" i="11"/>
  <c r="G306" i="11"/>
  <c r="G430" i="11" s="1"/>
  <c r="D182" i="11"/>
  <c r="D306" i="11" s="1"/>
  <c r="D430" i="11" s="1"/>
  <c r="D554" i="11" s="1"/>
  <c r="D678" i="11" s="1"/>
  <c r="K182" i="11"/>
  <c r="L306" i="11" s="1"/>
  <c r="L430" i="11" s="1"/>
  <c r="K58" i="11"/>
  <c r="J182" i="11"/>
  <c r="J58" i="11"/>
  <c r="I182" i="11"/>
  <c r="I58" i="11"/>
  <c r="K306" i="11"/>
  <c r="H182" i="11"/>
  <c r="H58" i="11"/>
  <c r="J306" i="11"/>
  <c r="G182" i="11"/>
  <c r="G58" i="11"/>
  <c r="L58" i="11"/>
  <c r="O447" i="1"/>
  <c r="P447" i="1" s="1"/>
  <c r="L419" i="1"/>
  <c r="L422" i="1" s="1"/>
  <c r="C453" i="11"/>
  <c r="F329" i="11"/>
  <c r="C420" i="11"/>
  <c r="F296" i="11"/>
  <c r="C388" i="11"/>
  <c r="F264" i="11"/>
  <c r="N87" i="11"/>
  <c r="M87" i="11"/>
  <c r="G335" i="11"/>
  <c r="D211" i="11"/>
  <c r="D335" i="11" s="1"/>
  <c r="D459" i="11" s="1"/>
  <c r="D583" i="11" s="1"/>
  <c r="D707" i="11" s="1"/>
  <c r="K87" i="11"/>
  <c r="J87" i="11"/>
  <c r="Q87" i="11"/>
  <c r="I87" i="11"/>
  <c r="H211" i="11"/>
  <c r="I335" i="11" s="1"/>
  <c r="I459" i="11" s="1"/>
  <c r="P87" i="11"/>
  <c r="H87" i="11"/>
  <c r="G211" i="11"/>
  <c r="H335" i="11" s="1"/>
  <c r="H459" i="11" s="1"/>
  <c r="O87" i="11"/>
  <c r="G87" i="11"/>
  <c r="L87" i="11"/>
  <c r="C482" i="11"/>
  <c r="F358" i="11"/>
  <c r="C466" i="11"/>
  <c r="F342" i="11"/>
  <c r="C431" i="11"/>
  <c r="F307" i="11"/>
  <c r="C399" i="11"/>
  <c r="F275" i="11"/>
  <c r="I331" i="11"/>
  <c r="N207" i="11"/>
  <c r="N83" i="11"/>
  <c r="P331" i="11"/>
  <c r="P455" i="11" s="1"/>
  <c r="H331" i="11"/>
  <c r="M207" i="11"/>
  <c r="M83" i="11"/>
  <c r="O331" i="11"/>
  <c r="G331" i="11"/>
  <c r="G455" i="11" s="1"/>
  <c r="L207" i="11"/>
  <c r="D207" i="11"/>
  <c r="D331" i="11" s="1"/>
  <c r="D455" i="11" s="1"/>
  <c r="D579" i="11" s="1"/>
  <c r="D703" i="11" s="1"/>
  <c r="N331" i="11"/>
  <c r="N455" i="11" s="1"/>
  <c r="K207" i="11"/>
  <c r="K83" i="11"/>
  <c r="M331" i="11"/>
  <c r="M455" i="11" s="1"/>
  <c r="J207" i="11"/>
  <c r="J83" i="11"/>
  <c r="L331" i="11"/>
  <c r="Q207" i="11"/>
  <c r="I207" i="11"/>
  <c r="Q83" i="11"/>
  <c r="I83" i="11"/>
  <c r="K331" i="11"/>
  <c r="P207" i="11"/>
  <c r="Q331" i="11" s="1"/>
  <c r="Q455" i="11" s="1"/>
  <c r="H207" i="11"/>
  <c r="P83" i="11"/>
  <c r="H83" i="11"/>
  <c r="J331" i="11"/>
  <c r="J455" i="11" s="1"/>
  <c r="O207" i="11"/>
  <c r="G207" i="11"/>
  <c r="O83" i="11"/>
  <c r="G83" i="11"/>
  <c r="L83" i="11"/>
  <c r="N54" i="12"/>
  <c r="F199" i="11"/>
  <c r="G323" i="11" s="1"/>
  <c r="G447" i="11" s="1"/>
  <c r="F162" i="11"/>
  <c r="K139" i="13"/>
  <c r="E9" i="35"/>
  <c r="N350" i="13"/>
  <c r="G43" i="58"/>
  <c r="F220" i="11"/>
  <c r="F188" i="11"/>
  <c r="G312" i="11" s="1"/>
  <c r="G436" i="11" s="1"/>
  <c r="F165" i="11"/>
  <c r="F133" i="11"/>
  <c r="G257" i="11" s="1"/>
  <c r="G381" i="11" s="1"/>
  <c r="H179" i="12"/>
  <c r="C31" i="31"/>
  <c r="C29" i="31"/>
  <c r="C30" i="31" s="1"/>
  <c r="I330" i="11"/>
  <c r="N82" i="11"/>
  <c r="H330" i="11"/>
  <c r="M206" i="11"/>
  <c r="N330" i="11" s="1"/>
  <c r="N454" i="11" s="1"/>
  <c r="M82" i="11"/>
  <c r="G330" i="11"/>
  <c r="L206" i="11"/>
  <c r="D206" i="11"/>
  <c r="D330" i="11" s="1"/>
  <c r="D454" i="11" s="1"/>
  <c r="D578" i="11" s="1"/>
  <c r="D702" i="11" s="1"/>
  <c r="K206" i="11"/>
  <c r="K82" i="11"/>
  <c r="M330" i="11"/>
  <c r="M454" i="11" s="1"/>
  <c r="J206" i="11"/>
  <c r="J82" i="11"/>
  <c r="L330" i="11"/>
  <c r="L454" i="11" s="1"/>
  <c r="I206" i="11"/>
  <c r="Q82" i="11"/>
  <c r="I82" i="11"/>
  <c r="K330" i="11"/>
  <c r="H206" i="11"/>
  <c r="H82" i="11"/>
  <c r="J330" i="11"/>
  <c r="J454" i="11" s="1"/>
  <c r="G206" i="11"/>
  <c r="G82" i="11"/>
  <c r="L82" i="11"/>
  <c r="I315" i="11"/>
  <c r="I439" i="11" s="1"/>
  <c r="H315" i="11"/>
  <c r="G315" i="11"/>
  <c r="G439" i="11" s="1"/>
  <c r="D191" i="11"/>
  <c r="D315" i="11" s="1"/>
  <c r="D439" i="11" s="1"/>
  <c r="D563" i="11" s="1"/>
  <c r="D687" i="11" s="1"/>
  <c r="J67" i="11"/>
  <c r="I191" i="11"/>
  <c r="I67" i="11"/>
  <c r="H191" i="11"/>
  <c r="H67" i="11"/>
  <c r="J315" i="11"/>
  <c r="G191" i="11"/>
  <c r="G67" i="11"/>
  <c r="M233" i="13"/>
  <c r="N111" i="52"/>
  <c r="D81" i="52"/>
  <c r="M591" i="1"/>
  <c r="G420" i="11"/>
  <c r="J386" i="11"/>
  <c r="M696" i="1"/>
  <c r="F20" i="21"/>
  <c r="F16" i="21"/>
  <c r="G6" i="21"/>
  <c r="L143" i="12"/>
  <c r="G59" i="58"/>
  <c r="M836" i="1"/>
  <c r="M839" i="1" s="1"/>
  <c r="M312" i="1"/>
  <c r="M252" i="1"/>
  <c r="N236" i="13"/>
  <c r="M767" i="1"/>
  <c r="M756" i="1"/>
  <c r="N730" i="1"/>
  <c r="M640" i="1"/>
  <c r="G37" i="1"/>
  <c r="K134" i="1"/>
  <c r="D134" i="1" s="1"/>
  <c r="F38" i="1" s="1"/>
  <c r="F90" i="38"/>
  <c r="C17" i="22"/>
  <c r="C18" i="22" s="1"/>
  <c r="H20" i="38"/>
  <c r="H22" i="38" s="1"/>
  <c r="E17" i="17"/>
  <c r="M34" i="1"/>
  <c r="M7" i="1" s="1"/>
  <c r="L402" i="11"/>
  <c r="I402" i="11"/>
  <c r="G650" i="11" s="1"/>
  <c r="I650" i="11" s="1"/>
  <c r="F20" i="58"/>
  <c r="M297" i="13"/>
  <c r="N296" i="13"/>
  <c r="K665" i="1"/>
  <c r="K669" i="1" s="1"/>
  <c r="T530" i="1"/>
  <c r="F7" i="26"/>
  <c r="E8" i="35"/>
  <c r="K138" i="13"/>
  <c r="M857" i="1"/>
  <c r="J17" i="12" s="1"/>
  <c r="K574" i="1"/>
  <c r="K577" i="1" s="1"/>
  <c r="M60" i="52"/>
  <c r="U438" i="1"/>
  <c r="U444" i="1" s="1"/>
  <c r="Q228" i="1"/>
  <c r="N20" i="38"/>
  <c r="N22" i="38" s="1"/>
  <c r="K17" i="17"/>
  <c r="S34" i="1"/>
  <c r="S7" i="1" s="1"/>
  <c r="K357" i="13"/>
  <c r="K321" i="13"/>
  <c r="K285" i="13"/>
  <c r="K303" i="13"/>
  <c r="K286" i="13"/>
  <c r="L286" i="13" s="1"/>
  <c r="M286" i="13" s="1"/>
  <c r="N286" i="13" s="1"/>
  <c r="O286" i="13" s="1"/>
  <c r="K339" i="13"/>
  <c r="L195" i="13"/>
  <c r="M199" i="13"/>
  <c r="L613" i="1"/>
  <c r="L616" i="1" s="1"/>
  <c r="N407" i="1"/>
  <c r="N408" i="1" s="1"/>
  <c r="N411" i="1" s="1"/>
  <c r="K537" i="1"/>
  <c r="K848" i="1" s="1"/>
  <c r="H8" i="12" s="1"/>
  <c r="C24" i="18" s="1"/>
  <c r="K371" i="1"/>
  <c r="K736" i="1"/>
  <c r="H34" i="38"/>
  <c r="H36" i="38" s="1"/>
  <c r="E17" i="18"/>
  <c r="E18" i="18" s="1"/>
  <c r="D7" i="24"/>
  <c r="K29" i="1"/>
  <c r="N240" i="1"/>
  <c r="P240" i="1"/>
  <c r="R240" i="1"/>
  <c r="K845" i="1"/>
  <c r="H5" i="12" s="1"/>
  <c r="H37" i="1"/>
  <c r="M145" i="1"/>
  <c r="BN6" i="202" l="1"/>
  <c r="P19" i="39"/>
  <c r="M20" i="39"/>
  <c r="K17" i="39"/>
  <c r="Q17" i="39"/>
  <c r="H39" i="38"/>
  <c r="H41" i="38" s="1"/>
  <c r="H38" i="38"/>
  <c r="N24" i="38"/>
  <c r="P38" i="38"/>
  <c r="N214" i="11"/>
  <c r="N338" i="11"/>
  <c r="N462" i="11" s="1"/>
  <c r="J92" i="38"/>
  <c r="K90" i="38"/>
  <c r="O307" i="11"/>
  <c r="O431" i="11" s="1"/>
  <c r="O183" i="11"/>
  <c r="C26" i="18"/>
  <c r="I111" i="12"/>
  <c r="D22" i="18"/>
  <c r="O216" i="11"/>
  <c r="O340" i="11"/>
  <c r="O464" i="11" s="1"/>
  <c r="D21" i="5"/>
  <c r="H54" i="12"/>
  <c r="I32" i="12"/>
  <c r="I83" i="12"/>
  <c r="H197" i="12" s="1"/>
  <c r="I44" i="12"/>
  <c r="I49" i="12" s="1"/>
  <c r="H108" i="38"/>
  <c r="H109" i="38"/>
  <c r="H111" i="38" s="1"/>
  <c r="J18" i="39"/>
  <c r="J20" i="39" s="1"/>
  <c r="J17" i="39"/>
  <c r="I55" i="12"/>
  <c r="E21" i="17"/>
  <c r="F408" i="11"/>
  <c r="C532" i="11"/>
  <c r="I116" i="12"/>
  <c r="D22" i="23"/>
  <c r="E18" i="23"/>
  <c r="E36" i="58"/>
  <c r="L333" i="13"/>
  <c r="M332" i="13"/>
  <c r="C579" i="11"/>
  <c r="F455" i="11"/>
  <c r="G7" i="29"/>
  <c r="G20" i="22"/>
  <c r="G16" i="22"/>
  <c r="H6" i="22"/>
  <c r="L213" i="12"/>
  <c r="L69" i="12"/>
  <c r="E50" i="10" s="1"/>
  <c r="E55" i="11" s="1"/>
  <c r="C549" i="11"/>
  <c r="F425" i="11"/>
  <c r="F416" i="11"/>
  <c r="C540" i="11"/>
  <c r="O236" i="13"/>
  <c r="O490" i="1"/>
  <c r="D12" i="52"/>
  <c r="L143" i="1"/>
  <c r="L144" i="1" s="1"/>
  <c r="C553" i="11"/>
  <c r="F429" i="11"/>
  <c r="C597" i="11"/>
  <c r="F473" i="11"/>
  <c r="C538" i="11"/>
  <c r="F414" i="11"/>
  <c r="G95" i="38"/>
  <c r="G97" i="38" s="1"/>
  <c r="G94" i="38"/>
  <c r="M845" i="1"/>
  <c r="J5" i="12" s="1"/>
  <c r="M120" i="1"/>
  <c r="D120" i="1" s="1"/>
  <c r="F37" i="1" s="1"/>
  <c r="N408" i="13"/>
  <c r="M411" i="13"/>
  <c r="C609" i="11"/>
  <c r="F485" i="11"/>
  <c r="F424" i="11"/>
  <c r="C548" i="11"/>
  <c r="L57" i="39"/>
  <c r="C554" i="11"/>
  <c r="F430" i="11"/>
  <c r="C605" i="11"/>
  <c r="F481" i="11"/>
  <c r="E54" i="1"/>
  <c r="E94" i="1"/>
  <c r="E61" i="1"/>
  <c r="E91" i="1"/>
  <c r="L432" i="11"/>
  <c r="C535" i="11"/>
  <c r="F411" i="11"/>
  <c r="C545" i="11"/>
  <c r="F421" i="11"/>
  <c r="O547" i="1"/>
  <c r="N548" i="1"/>
  <c r="O549" i="1" s="1"/>
  <c r="M331" i="13"/>
  <c r="Q447" i="1"/>
  <c r="K375" i="11"/>
  <c r="K499" i="11" s="1"/>
  <c r="K251" i="11"/>
  <c r="J235" i="11"/>
  <c r="J359" i="11"/>
  <c r="J483" i="11" s="1"/>
  <c r="F400" i="11"/>
  <c r="C524" i="11"/>
  <c r="D21" i="18"/>
  <c r="J54" i="12"/>
  <c r="K358" i="13"/>
  <c r="L357" i="13"/>
  <c r="H115" i="12"/>
  <c r="C22" i="22"/>
  <c r="D18" i="22"/>
  <c r="C537" i="11"/>
  <c r="F413" i="11"/>
  <c r="K306" i="13"/>
  <c r="K300" i="13"/>
  <c r="K449" i="13"/>
  <c r="C531" i="11"/>
  <c r="F407" i="11"/>
  <c r="C619" i="11"/>
  <c r="F495" i="11"/>
  <c r="K68" i="12"/>
  <c r="E38" i="10" s="1"/>
  <c r="E43" i="11" s="1"/>
  <c r="K212" i="12"/>
  <c r="U17" i="39"/>
  <c r="C22" i="23"/>
  <c r="K8" i="31"/>
  <c r="J24" i="31"/>
  <c r="F7" i="25"/>
  <c r="E24" i="25"/>
  <c r="K335" i="13"/>
  <c r="D37" i="58"/>
  <c r="F22" i="22"/>
  <c r="K115" i="12"/>
  <c r="N206" i="13"/>
  <c r="M338" i="11"/>
  <c r="M462" i="11" s="1"/>
  <c r="L411" i="11"/>
  <c r="C539" i="11"/>
  <c r="F415" i="11"/>
  <c r="C22" i="21"/>
  <c r="D18" i="21"/>
  <c r="H114" i="12"/>
  <c r="D13" i="52"/>
  <c r="L155" i="1"/>
  <c r="L156" i="1" s="1"/>
  <c r="L158" i="1" s="1"/>
  <c r="E80" i="52"/>
  <c r="N580" i="1"/>
  <c r="M582" i="1"/>
  <c r="G263" i="38"/>
  <c r="L68" i="12"/>
  <c r="E49" i="10" s="1"/>
  <c r="E54" i="11" s="1"/>
  <c r="L212" i="12"/>
  <c r="D21" i="17"/>
  <c r="I54" i="12"/>
  <c r="C620" i="11"/>
  <c r="F496" i="11"/>
  <c r="C515" i="11"/>
  <c r="F391" i="11"/>
  <c r="P106" i="38"/>
  <c r="M10" i="38"/>
  <c r="E63" i="1"/>
  <c r="E60" i="1"/>
  <c r="E64" i="1"/>
  <c r="E75" i="1"/>
  <c r="E92" i="1"/>
  <c r="O206" i="13"/>
  <c r="H110" i="12"/>
  <c r="H128" i="12" s="1"/>
  <c r="C20" i="36" s="1"/>
  <c r="C22" i="17"/>
  <c r="D18" i="17"/>
  <c r="N490" i="1"/>
  <c r="G20" i="23"/>
  <c r="G16" i="23"/>
  <c r="H6" i="23"/>
  <c r="G20" i="5"/>
  <c r="G16" i="5"/>
  <c r="H6" i="5"/>
  <c r="K89" i="11"/>
  <c r="C603" i="11"/>
  <c r="F479" i="11"/>
  <c r="C546" i="11"/>
  <c r="F422" i="11"/>
  <c r="C615" i="11"/>
  <c r="F491" i="11"/>
  <c r="R17" i="39"/>
  <c r="G20" i="20"/>
  <c r="G16" i="20"/>
  <c r="H6" i="20"/>
  <c r="K317" i="13"/>
  <c r="L161" i="13"/>
  <c r="J361" i="11"/>
  <c r="J485" i="11" s="1"/>
  <c r="J237" i="11"/>
  <c r="K226" i="11"/>
  <c r="K350" i="11"/>
  <c r="K474" i="11" s="1"/>
  <c r="H25" i="38"/>
  <c r="H27" i="38" s="1"/>
  <c r="H24" i="38"/>
  <c r="G20" i="21"/>
  <c r="G16" i="21"/>
  <c r="H6" i="21"/>
  <c r="C27" i="18"/>
  <c r="C28" i="18" s="1"/>
  <c r="C29" i="18" s="1"/>
  <c r="H166" i="12"/>
  <c r="F20" i="31"/>
  <c r="K147" i="12"/>
  <c r="F24" i="36" s="1"/>
  <c r="F23" i="37"/>
  <c r="F20" i="35"/>
  <c r="E21" i="22"/>
  <c r="N55" i="12"/>
  <c r="H14" i="58"/>
  <c r="N14" i="58" s="1"/>
  <c r="O281" i="13"/>
  <c r="O282" i="13" s="1"/>
  <c r="F80" i="38"/>
  <c r="F81" i="38"/>
  <c r="F83" i="38" s="1"/>
  <c r="C509" i="11"/>
  <c r="F385" i="11"/>
  <c r="E7" i="24"/>
  <c r="L29" i="1"/>
  <c r="M195" i="13"/>
  <c r="N199" i="13"/>
  <c r="M299" i="13"/>
  <c r="F21" i="58"/>
  <c r="O237" i="13"/>
  <c r="G454" i="11"/>
  <c r="I454" i="11"/>
  <c r="N212" i="12"/>
  <c r="N68" i="12"/>
  <c r="I89" i="12"/>
  <c r="N197" i="12" s="1"/>
  <c r="L455" i="11"/>
  <c r="C590" i="11"/>
  <c r="F466" i="11"/>
  <c r="I211" i="11"/>
  <c r="C544" i="11"/>
  <c r="F420" i="11"/>
  <c r="K430" i="11"/>
  <c r="N24" i="30"/>
  <c r="M30" i="30"/>
  <c r="M31" i="30" s="1"/>
  <c r="K464" i="11"/>
  <c r="L391" i="11"/>
  <c r="I391" i="11"/>
  <c r="F432" i="11"/>
  <c r="C556" i="11"/>
  <c r="H449" i="11"/>
  <c r="K442" i="11"/>
  <c r="J410" i="11"/>
  <c r="K463" i="11"/>
  <c r="G434" i="11"/>
  <c r="I434" i="11"/>
  <c r="H18" i="22"/>
  <c r="C21" i="20"/>
  <c r="L53" i="12"/>
  <c r="R96" i="39"/>
  <c r="R54" i="39"/>
  <c r="L229" i="38"/>
  <c r="L173" i="38"/>
  <c r="L179" i="38" s="1"/>
  <c r="L117" i="38"/>
  <c r="L123" i="38" s="1"/>
  <c r="L61" i="38"/>
  <c r="L68" i="38" s="1"/>
  <c r="L215" i="38"/>
  <c r="L159" i="38"/>
  <c r="L103" i="38"/>
  <c r="L47" i="38"/>
  <c r="L54" i="38" s="1"/>
  <c r="R12" i="39"/>
  <c r="R18" i="39" s="1"/>
  <c r="L257" i="38"/>
  <c r="L263" i="38" s="1"/>
  <c r="L201" i="38"/>
  <c r="L145" i="38"/>
  <c r="L151" i="38" s="1"/>
  <c r="L89" i="38"/>
  <c r="L96" i="38" s="1"/>
  <c r="L33" i="38"/>
  <c r="L40" i="38" s="1"/>
  <c r="L243" i="38"/>
  <c r="L187" i="38"/>
  <c r="L131" i="38"/>
  <c r="L75" i="38"/>
  <c r="L82" i="38" s="1"/>
  <c r="L19" i="38"/>
  <c r="I384" i="11"/>
  <c r="K466" i="11"/>
  <c r="E21" i="18"/>
  <c r="J55" i="12"/>
  <c r="L390" i="11"/>
  <c r="I390" i="11"/>
  <c r="K111" i="12"/>
  <c r="F22" i="18"/>
  <c r="G18" i="18"/>
  <c r="I7" i="33"/>
  <c r="G428" i="11"/>
  <c r="G444" i="11"/>
  <c r="I444" i="11"/>
  <c r="H435" i="11"/>
  <c r="H445" i="11"/>
  <c r="K88" i="11"/>
  <c r="G409" i="11"/>
  <c r="H398" i="11"/>
  <c r="C565" i="11"/>
  <c r="F441" i="11"/>
  <c r="I46" i="93"/>
  <c r="I29" i="31"/>
  <c r="I30" i="31" s="1"/>
  <c r="I31" i="31" s="1"/>
  <c r="N179" i="12"/>
  <c r="C567" i="11"/>
  <c r="F443" i="11"/>
  <c r="I173" i="12"/>
  <c r="H408" i="11"/>
  <c r="G395" i="11"/>
  <c r="G411" i="11"/>
  <c r="O232" i="13"/>
  <c r="L456" i="11"/>
  <c r="C572" i="11"/>
  <c r="F448" i="11"/>
  <c r="L388" i="11"/>
  <c r="I388" i="11"/>
  <c r="G457" i="11"/>
  <c r="I457" i="11"/>
  <c r="C573" i="11"/>
  <c r="F449" i="11"/>
  <c r="M66" i="38"/>
  <c r="C21" i="22"/>
  <c r="N53" i="12"/>
  <c r="H89" i="12"/>
  <c r="G76" i="38"/>
  <c r="I112" i="12"/>
  <c r="D22" i="19"/>
  <c r="E18" i="19"/>
  <c r="G465" i="11"/>
  <c r="I465" i="11"/>
  <c r="C576" i="11"/>
  <c r="F452" i="11"/>
  <c r="K424" i="11"/>
  <c r="C518" i="11"/>
  <c r="F394" i="11"/>
  <c r="L389" i="11"/>
  <c r="I389" i="11"/>
  <c r="C575" i="11"/>
  <c r="F451" i="11"/>
  <c r="H383" i="11"/>
  <c r="C527" i="11"/>
  <c r="F403" i="11"/>
  <c r="H422" i="11"/>
  <c r="N66" i="38"/>
  <c r="J417" i="11"/>
  <c r="L387" i="11"/>
  <c r="I387" i="11"/>
  <c r="L443" i="11"/>
  <c r="I407" i="11"/>
  <c r="K454" i="13"/>
  <c r="K127" i="13"/>
  <c r="K391" i="13"/>
  <c r="J419" i="11"/>
  <c r="C525" i="11"/>
  <c r="F401" i="11"/>
  <c r="C624" i="11"/>
  <c r="F500" i="11"/>
  <c r="J453" i="11"/>
  <c r="C581" i="11"/>
  <c r="F457" i="11"/>
  <c r="O36" i="38"/>
  <c r="M36" i="38"/>
  <c r="C600" i="11"/>
  <c r="F476" i="11"/>
  <c r="L290" i="1"/>
  <c r="L293" i="1" s="1"/>
  <c r="R34" i="13"/>
  <c r="S30" i="13"/>
  <c r="C616" i="11"/>
  <c r="F492" i="11"/>
  <c r="E62" i="1"/>
  <c r="E67" i="1"/>
  <c r="C271" i="38"/>
  <c r="M267" i="13"/>
  <c r="Q89" i="11"/>
  <c r="H461" i="11"/>
  <c r="J397" i="11"/>
  <c r="O636" i="1"/>
  <c r="J412" i="11"/>
  <c r="N412" i="11"/>
  <c r="T206" i="13"/>
  <c r="H413" i="11"/>
  <c r="C570" i="11"/>
  <c r="F446" i="11"/>
  <c r="Q95" i="11"/>
  <c r="H467" i="11"/>
  <c r="C613" i="11"/>
  <c r="F489" i="11"/>
  <c r="F92" i="38"/>
  <c r="C568" i="11"/>
  <c r="F444" i="11"/>
  <c r="C542" i="11"/>
  <c r="F418" i="11"/>
  <c r="H451" i="11"/>
  <c r="K433" i="11"/>
  <c r="J231" i="11"/>
  <c r="J355" i="11"/>
  <c r="J479" i="11" s="1"/>
  <c r="J224" i="11"/>
  <c r="J348" i="11"/>
  <c r="J472" i="11" s="1"/>
  <c r="K247" i="11"/>
  <c r="K371" i="11"/>
  <c r="K495" i="11" s="1"/>
  <c r="C21" i="5"/>
  <c r="H83" i="12"/>
  <c r="H53" i="12"/>
  <c r="H32" i="12"/>
  <c r="H44" i="12"/>
  <c r="H49" i="12" s="1"/>
  <c r="E114" i="52"/>
  <c r="M769" i="1"/>
  <c r="C512" i="11"/>
  <c r="F388" i="11"/>
  <c r="N297" i="13"/>
  <c r="O296" i="13"/>
  <c r="G20" i="58"/>
  <c r="N206" i="11"/>
  <c r="C588" i="11"/>
  <c r="F464" i="11"/>
  <c r="K141" i="13"/>
  <c r="K289" i="13"/>
  <c r="E81" i="52"/>
  <c r="N591" i="1"/>
  <c r="M593" i="1"/>
  <c r="I455" i="11"/>
  <c r="C601" i="11"/>
  <c r="F477" i="11"/>
  <c r="K148" i="12"/>
  <c r="F18" i="93" s="1"/>
  <c r="F22" i="93" s="1"/>
  <c r="K66" i="13"/>
  <c r="C522" i="11"/>
  <c r="F398" i="11"/>
  <c r="C511" i="11"/>
  <c r="F387" i="11"/>
  <c r="H135" i="38"/>
  <c r="M490" i="1"/>
  <c r="L421" i="11"/>
  <c r="C560" i="11"/>
  <c r="F436" i="11"/>
  <c r="E21" i="21"/>
  <c r="M55" i="12"/>
  <c r="C45" i="35"/>
  <c r="C47" i="35" s="1"/>
  <c r="C29" i="35"/>
  <c r="C30" i="35" s="1"/>
  <c r="C31" i="35" s="1"/>
  <c r="H43" i="52"/>
  <c r="P334" i="1"/>
  <c r="Q332" i="1"/>
  <c r="L399" i="11"/>
  <c r="G392" i="11"/>
  <c r="J435" i="11"/>
  <c r="N435" i="11"/>
  <c r="P435" i="11"/>
  <c r="C566" i="11"/>
  <c r="F442" i="11"/>
  <c r="H426" i="11"/>
  <c r="C520" i="11"/>
  <c r="F396" i="11"/>
  <c r="J445" i="11"/>
  <c r="P445" i="11"/>
  <c r="C541" i="11"/>
  <c r="F417" i="11"/>
  <c r="C621" i="11"/>
  <c r="F497" i="11"/>
  <c r="Q88" i="11"/>
  <c r="H460" i="11"/>
  <c r="J398" i="11"/>
  <c r="O436" i="1"/>
  <c r="N364" i="1"/>
  <c r="O363" i="1"/>
  <c r="E11" i="35"/>
  <c r="E13" i="36" s="1"/>
  <c r="F11" i="16"/>
  <c r="K351" i="13"/>
  <c r="D44" i="58"/>
  <c r="H16" i="24"/>
  <c r="I6" i="24"/>
  <c r="H20" i="24"/>
  <c r="H44" i="24" s="1"/>
  <c r="J408" i="11"/>
  <c r="J48" i="38"/>
  <c r="I50" i="38"/>
  <c r="F7" i="28"/>
  <c r="P206" i="13"/>
  <c r="H462" i="11"/>
  <c r="F450" i="11"/>
  <c r="C574" i="11"/>
  <c r="H415" i="11"/>
  <c r="K418" i="11"/>
  <c r="C528" i="11"/>
  <c r="F404" i="11"/>
  <c r="K441" i="11"/>
  <c r="G456" i="11"/>
  <c r="I456" i="11"/>
  <c r="G388" i="11"/>
  <c r="O457" i="11"/>
  <c r="I92" i="38"/>
  <c r="K206" i="13"/>
  <c r="D22" i="20"/>
  <c r="E18" i="20"/>
  <c r="I113" i="12"/>
  <c r="C22" i="19"/>
  <c r="G389" i="11"/>
  <c r="K452" i="11"/>
  <c r="L423" i="11"/>
  <c r="I423" i="11"/>
  <c r="I396" i="11"/>
  <c r="H468" i="11"/>
  <c r="J422" i="11"/>
  <c r="N422" i="11"/>
  <c r="J242" i="11"/>
  <c r="J366" i="11"/>
  <c r="J490" i="11" s="1"/>
  <c r="I13" i="50"/>
  <c r="K13" i="50" s="1"/>
  <c r="I15" i="50"/>
  <c r="K15" i="50" s="1"/>
  <c r="F125" i="38"/>
  <c r="M104" i="39"/>
  <c r="G387" i="11"/>
  <c r="G129" i="11"/>
  <c r="C44" i="93" s="1"/>
  <c r="C57" i="93" s="1"/>
  <c r="G443" i="11"/>
  <c r="I443" i="11"/>
  <c r="G407" i="11"/>
  <c r="C547" i="11"/>
  <c r="F423" i="11"/>
  <c r="M79" i="13"/>
  <c r="L390" i="13"/>
  <c r="H401" i="11"/>
  <c r="H446" i="11"/>
  <c r="C596" i="11"/>
  <c r="F472" i="11"/>
  <c r="L11" i="38"/>
  <c r="I66" i="38"/>
  <c r="I67" i="38"/>
  <c r="I69" i="38" s="1"/>
  <c r="D21" i="21"/>
  <c r="M54" i="12"/>
  <c r="E66" i="1"/>
  <c r="D613" i="1"/>
  <c r="F77" i="1" s="1"/>
  <c r="D574" i="1"/>
  <c r="F74" i="1" s="1"/>
  <c r="J461" i="11"/>
  <c r="O60" i="11"/>
  <c r="K432" i="11"/>
  <c r="C529" i="11"/>
  <c r="F405" i="11"/>
  <c r="C526" i="11"/>
  <c r="F402" i="11"/>
  <c r="R206" i="13"/>
  <c r="C583" i="11"/>
  <c r="F459" i="11"/>
  <c r="L431" i="11"/>
  <c r="J413" i="11"/>
  <c r="N413" i="11"/>
  <c r="P413" i="11"/>
  <c r="I244" i="11"/>
  <c r="I368" i="11"/>
  <c r="I492" i="11" s="1"/>
  <c r="J467" i="11"/>
  <c r="P467" i="11"/>
  <c r="J451" i="11"/>
  <c r="F7" i="35"/>
  <c r="L137" i="13"/>
  <c r="C551" i="11"/>
  <c r="F427" i="11"/>
  <c r="K363" i="11"/>
  <c r="K487" i="11" s="1"/>
  <c r="K239" i="11"/>
  <c r="J241" i="11"/>
  <c r="J365" i="11"/>
  <c r="J489" i="11" s="1"/>
  <c r="J362" i="11"/>
  <c r="J486" i="11" s="1"/>
  <c r="J238" i="11"/>
  <c r="K345" i="11"/>
  <c r="K469" i="11" s="1"/>
  <c r="K221" i="11"/>
  <c r="J369" i="11"/>
  <c r="J493" i="11" s="1"/>
  <c r="J245" i="11"/>
  <c r="K322" i="13"/>
  <c r="L321" i="13"/>
  <c r="P82" i="11"/>
  <c r="J111" i="12"/>
  <c r="E22" i="18"/>
  <c r="K340" i="13"/>
  <c r="L339" i="13"/>
  <c r="F8" i="35"/>
  <c r="L138" i="13"/>
  <c r="H439" i="11"/>
  <c r="O82" i="11"/>
  <c r="K454" i="11"/>
  <c r="N351" i="13"/>
  <c r="G45" i="58" s="1"/>
  <c r="G44" i="58"/>
  <c r="O455" i="11"/>
  <c r="F482" i="11"/>
  <c r="C606" i="11"/>
  <c r="C577" i="11"/>
  <c r="F453" i="11"/>
  <c r="H430" i="11"/>
  <c r="H429" i="11"/>
  <c r="H464" i="11"/>
  <c r="O391" i="11"/>
  <c r="C589" i="11"/>
  <c r="F465" i="11"/>
  <c r="O233" i="13"/>
  <c r="H442" i="11"/>
  <c r="L410" i="11"/>
  <c r="I410" i="11"/>
  <c r="H463" i="11"/>
  <c r="K434" i="11"/>
  <c r="M55" i="39"/>
  <c r="E5" i="93"/>
  <c r="E6" i="93"/>
  <c r="F6" i="93" s="1"/>
  <c r="G6" i="93" s="1"/>
  <c r="H6" i="93" s="1"/>
  <c r="I6" i="93" s="1"/>
  <c r="J6" i="93" s="1"/>
  <c r="K6" i="93" s="1"/>
  <c r="L6" i="93" s="1"/>
  <c r="M6" i="93" s="1"/>
  <c r="F1" i="93"/>
  <c r="G1" i="93" s="1"/>
  <c r="H1" i="93" s="1"/>
  <c r="I1" i="93" s="1"/>
  <c r="J1" i="93" s="1"/>
  <c r="K1" i="93" s="1"/>
  <c r="L1" i="93" s="1"/>
  <c r="M1" i="93" s="1"/>
  <c r="P198" i="13"/>
  <c r="P194" i="13" s="1"/>
  <c r="G421" i="11"/>
  <c r="N121" i="13"/>
  <c r="N448" i="13"/>
  <c r="H466" i="11"/>
  <c r="I43" i="58"/>
  <c r="H43" i="58"/>
  <c r="O350" i="13"/>
  <c r="O390" i="11"/>
  <c r="J53" i="58"/>
  <c r="I53" i="58"/>
  <c r="K371" i="13"/>
  <c r="M53" i="58"/>
  <c r="L53" i="58"/>
  <c r="D53" i="58"/>
  <c r="K53" i="58"/>
  <c r="M53" i="12"/>
  <c r="C21" i="21"/>
  <c r="H88" i="12"/>
  <c r="K441" i="1"/>
  <c r="L430" i="1"/>
  <c r="G399" i="11"/>
  <c r="K444" i="11"/>
  <c r="Q206" i="13"/>
  <c r="F52" i="58"/>
  <c r="M369" i="13"/>
  <c r="I212" i="11"/>
  <c r="K409" i="11"/>
  <c r="C623" i="11"/>
  <c r="F499" i="11"/>
  <c r="D69" i="38"/>
  <c r="N43" i="58"/>
  <c r="E11" i="93"/>
  <c r="F11" i="93" s="1"/>
  <c r="G11" i="93" s="1"/>
  <c r="H11" i="93" s="1"/>
  <c r="I11" i="93" s="1"/>
  <c r="J11" i="93" s="1"/>
  <c r="K11" i="93" s="1"/>
  <c r="L11" i="93" s="1"/>
  <c r="M11" i="93" s="1"/>
  <c r="J462" i="11"/>
  <c r="K411" i="11"/>
  <c r="O456" i="11"/>
  <c r="K457" i="11"/>
  <c r="G414" i="11"/>
  <c r="E125" i="38"/>
  <c r="K36" i="38"/>
  <c r="M423" i="13"/>
  <c r="L424" i="13"/>
  <c r="C22" i="20"/>
  <c r="O93" i="11"/>
  <c r="O217" i="11" s="1"/>
  <c r="K465" i="11"/>
  <c r="C599" i="11"/>
  <c r="F475" i="11"/>
  <c r="H424" i="11"/>
  <c r="C550" i="11"/>
  <c r="F426" i="11"/>
  <c r="H440" i="11"/>
  <c r="G423" i="11"/>
  <c r="G396" i="11"/>
  <c r="J468" i="11"/>
  <c r="N468" i="11"/>
  <c r="P468" i="11"/>
  <c r="C562" i="11"/>
  <c r="F438" i="11"/>
  <c r="J246" i="11"/>
  <c r="J370" i="11"/>
  <c r="J494" i="11" s="1"/>
  <c r="I417" i="11"/>
  <c r="H438" i="11"/>
  <c r="E58" i="52"/>
  <c r="N414" i="1"/>
  <c r="N425" i="1"/>
  <c r="M416" i="1"/>
  <c r="I29" i="27"/>
  <c r="I30" i="27" s="1"/>
  <c r="I31" i="27" s="1"/>
  <c r="N175" i="12"/>
  <c r="O234" i="13"/>
  <c r="C536" i="11"/>
  <c r="F412" i="11"/>
  <c r="I419" i="11"/>
  <c r="N401" i="11"/>
  <c r="P401" i="11"/>
  <c r="C557" i="11"/>
  <c r="F433" i="11"/>
  <c r="G404" i="11"/>
  <c r="L206" i="13"/>
  <c r="L453" i="11"/>
  <c r="N446" i="11"/>
  <c r="P446" i="11"/>
  <c r="J228" i="11"/>
  <c r="J352" i="11"/>
  <c r="J476" i="11" s="1"/>
  <c r="D41" i="38"/>
  <c r="J60" i="39"/>
  <c r="J62" i="39" s="1"/>
  <c r="J59" i="39"/>
  <c r="H69" i="38"/>
  <c r="G108" i="38"/>
  <c r="G109" i="38"/>
  <c r="G111" i="38" s="1"/>
  <c r="K407" i="13"/>
  <c r="K421" i="13"/>
  <c r="K422" i="13" s="1"/>
  <c r="C530" i="11"/>
  <c r="F406" i="11"/>
  <c r="E76" i="1"/>
  <c r="D616" i="1"/>
  <c r="E77" i="1"/>
  <c r="M89" i="53"/>
  <c r="N89" i="11"/>
  <c r="C21" i="18"/>
  <c r="J53" i="12"/>
  <c r="H85" i="12"/>
  <c r="I397" i="11"/>
  <c r="L412" i="11"/>
  <c r="I412" i="11"/>
  <c r="G431" i="11"/>
  <c r="C608" i="11"/>
  <c r="F484" i="11"/>
  <c r="I372" i="11"/>
  <c r="I496" i="11" s="1"/>
  <c r="I248" i="11"/>
  <c r="C543" i="11"/>
  <c r="F419" i="11"/>
  <c r="K67" i="38"/>
  <c r="K69" i="38" s="1"/>
  <c r="K66" i="38"/>
  <c r="C595" i="11"/>
  <c r="F471" i="11"/>
  <c r="O185" i="11"/>
  <c r="Q61" i="11"/>
  <c r="H433" i="11"/>
  <c r="J351" i="11"/>
  <c r="J475" i="11" s="1"/>
  <c r="J227" i="11"/>
  <c r="K367" i="11"/>
  <c r="K491" i="11" s="1"/>
  <c r="K243" i="11"/>
  <c r="C555" i="11"/>
  <c r="F431" i="11"/>
  <c r="P66" i="38"/>
  <c r="K854" i="1"/>
  <c r="H14" i="12" s="1"/>
  <c r="C24" i="21" s="1"/>
  <c r="G7" i="26"/>
  <c r="E90" i="52"/>
  <c r="M646" i="1"/>
  <c r="J439" i="11"/>
  <c r="K455" i="11"/>
  <c r="G459" i="11"/>
  <c r="J430" i="11"/>
  <c r="C533" i="11"/>
  <c r="F409" i="11"/>
  <c r="J429" i="11"/>
  <c r="J464" i="11"/>
  <c r="N464" i="11"/>
  <c r="K391" i="11"/>
  <c r="J442" i="11"/>
  <c r="C578" i="11"/>
  <c r="F454" i="11"/>
  <c r="G410" i="11"/>
  <c r="J463" i="11"/>
  <c r="F10" i="93"/>
  <c r="G10" i="93" s="1"/>
  <c r="H10" i="93" s="1"/>
  <c r="I10" i="93" s="1"/>
  <c r="J10" i="93" s="1"/>
  <c r="K10" i="93" s="1"/>
  <c r="L10" i="93" s="1"/>
  <c r="M10" i="93" s="1"/>
  <c r="E12" i="93"/>
  <c r="P24" i="38"/>
  <c r="H131" i="12"/>
  <c r="C21" i="37" s="1"/>
  <c r="C592" i="11"/>
  <c r="F468" i="11"/>
  <c r="C534" i="11"/>
  <c r="F410" i="11"/>
  <c r="J466" i="11"/>
  <c r="N466" i="11"/>
  <c r="O405" i="13"/>
  <c r="H66" i="58" s="1"/>
  <c r="H65" i="58"/>
  <c r="N65" i="58" s="1"/>
  <c r="K390" i="11"/>
  <c r="N24" i="1"/>
  <c r="J20" i="34"/>
  <c r="L435" i="11"/>
  <c r="C594" i="11"/>
  <c r="F470" i="11"/>
  <c r="C552" i="11"/>
  <c r="F428" i="11"/>
  <c r="L445" i="11"/>
  <c r="C564" i="11"/>
  <c r="F440" i="11"/>
  <c r="C612" i="11"/>
  <c r="F488" i="11"/>
  <c r="L398" i="11"/>
  <c r="I398" i="11"/>
  <c r="S17" i="39"/>
  <c r="F60" i="52"/>
  <c r="N438" i="1"/>
  <c r="N444" i="1" s="1"/>
  <c r="L408" i="11"/>
  <c r="I408" i="11"/>
  <c r="N66" i="58"/>
  <c r="G20" i="18"/>
  <c r="G16" i="18"/>
  <c r="H6" i="18"/>
  <c r="G416" i="11"/>
  <c r="C598" i="11"/>
  <c r="F474" i="11"/>
  <c r="C561" i="11"/>
  <c r="F437" i="11"/>
  <c r="K456" i="11"/>
  <c r="O72" i="12"/>
  <c r="E86" i="10" s="1"/>
  <c r="E91" i="11" s="1"/>
  <c r="O216" i="12"/>
  <c r="K388" i="11"/>
  <c r="C604" i="11"/>
  <c r="F480" i="11"/>
  <c r="E22" i="22"/>
  <c r="J115" i="12"/>
  <c r="M141" i="1"/>
  <c r="M108" i="1"/>
  <c r="M110" i="1" s="1"/>
  <c r="M153" i="1"/>
  <c r="N165" i="1"/>
  <c r="C21" i="23"/>
  <c r="O53" i="12"/>
  <c r="H90" i="12"/>
  <c r="J424" i="11"/>
  <c r="N424" i="11"/>
  <c r="J440" i="11"/>
  <c r="K389" i="11"/>
  <c r="O423" i="11"/>
  <c r="L422" i="11"/>
  <c r="I422" i="11"/>
  <c r="J250" i="11"/>
  <c r="J374" i="11"/>
  <c r="J498" i="11" s="1"/>
  <c r="K20" i="39"/>
  <c r="G417" i="11"/>
  <c r="K387" i="11"/>
  <c r="C519" i="11"/>
  <c r="F395" i="11"/>
  <c r="Q20" i="39"/>
  <c r="E59" i="52"/>
  <c r="M427" i="1"/>
  <c r="K89" i="53"/>
  <c r="J24" i="27"/>
  <c r="K8" i="27"/>
  <c r="H206" i="13"/>
  <c r="H207" i="13" s="1"/>
  <c r="K443" i="11"/>
  <c r="K407" i="11"/>
  <c r="C582" i="11"/>
  <c r="F458" i="11"/>
  <c r="G419" i="11"/>
  <c r="G453" i="11"/>
  <c r="I453" i="11"/>
  <c r="I364" i="11"/>
  <c r="I488" i="11" s="1"/>
  <c r="I240" i="11"/>
  <c r="L12" i="38"/>
  <c r="D251" i="38"/>
  <c r="M77" i="13"/>
  <c r="L406" i="13"/>
  <c r="E59" i="1"/>
  <c r="E84" i="1"/>
  <c r="E72" i="1"/>
  <c r="O262" i="1"/>
  <c r="P261" i="1"/>
  <c r="H20" i="31"/>
  <c r="H23" i="37"/>
  <c r="M147" i="12"/>
  <c r="H24" i="36" s="1"/>
  <c r="H20" i="35"/>
  <c r="P89" i="11"/>
  <c r="C558" i="11"/>
  <c r="F434" i="11"/>
  <c r="C563" i="11"/>
  <c r="F439" i="11"/>
  <c r="G397" i="11"/>
  <c r="G412" i="11"/>
  <c r="J225" i="11"/>
  <c r="J349" i="11"/>
  <c r="J473" i="11" s="1"/>
  <c r="L413" i="11"/>
  <c r="I252" i="11"/>
  <c r="I376" i="11"/>
  <c r="I500" i="11" s="1"/>
  <c r="E97" i="38"/>
  <c r="L467" i="11"/>
  <c r="J433" i="11"/>
  <c r="N433" i="11"/>
  <c r="K236" i="11"/>
  <c r="K360" i="11"/>
  <c r="K484" i="11" s="1"/>
  <c r="C280" i="13"/>
  <c r="N731" i="1"/>
  <c r="N756" i="1"/>
  <c r="O730" i="1"/>
  <c r="N640" i="1"/>
  <c r="N767" i="1"/>
  <c r="O66" i="38"/>
  <c r="M438" i="13"/>
  <c r="L439" i="13"/>
  <c r="J30" i="12" s="1"/>
  <c r="E26" i="34" s="1"/>
  <c r="E28" i="34" s="1"/>
  <c r="N52" i="58"/>
  <c r="L67" i="38"/>
  <c r="L69" i="38" s="1"/>
  <c r="L66" i="38"/>
  <c r="T7" i="1"/>
  <c r="L89" i="53"/>
  <c r="G22" i="22"/>
  <c r="L115" i="12"/>
  <c r="H444" i="11"/>
  <c r="I109" i="12"/>
  <c r="D22" i="5"/>
  <c r="E18" i="5"/>
  <c r="D125" i="38"/>
  <c r="O3" i="1"/>
  <c r="N538" i="1"/>
  <c r="N470" i="1"/>
  <c r="N429" i="1"/>
  <c r="N820" i="1"/>
  <c r="N760" i="1"/>
  <c r="N390" i="1"/>
  <c r="N595" i="1"/>
  <c r="N771" i="1"/>
  <c r="N440" i="1"/>
  <c r="N145" i="1"/>
  <c r="N520" i="1"/>
  <c r="N664" i="1"/>
  <c r="N708" i="1"/>
  <c r="N336" i="1"/>
  <c r="N835" i="1"/>
  <c r="N418" i="1"/>
  <c r="N242" i="1"/>
  <c r="N737" i="1"/>
  <c r="N584" i="1"/>
  <c r="N314" i="1"/>
  <c r="N325" i="1"/>
  <c r="N185" i="1"/>
  <c r="N254" i="1"/>
  <c r="N486" i="1"/>
  <c r="N352" i="1"/>
  <c r="N353" i="1" s="1"/>
  <c r="N558" i="1"/>
  <c r="N169" i="1"/>
  <c r="N805" i="1"/>
  <c r="N372" i="1"/>
  <c r="N230" i="1"/>
  <c r="N628" i="1"/>
  <c r="N157" i="1"/>
  <c r="N681" i="1"/>
  <c r="N506" i="1"/>
  <c r="N695" i="1"/>
  <c r="N455" i="1"/>
  <c r="N784" i="1"/>
  <c r="N749" i="1"/>
  <c r="N270" i="1"/>
  <c r="N721" i="1"/>
  <c r="L179" i="13"/>
  <c r="D228" i="13"/>
  <c r="C21" i="17"/>
  <c r="I53" i="12"/>
  <c r="H84" i="12"/>
  <c r="G28" i="58"/>
  <c r="N28" i="58" s="1"/>
  <c r="N315" i="13"/>
  <c r="G29" i="58" s="1"/>
  <c r="N29" i="58" s="1"/>
  <c r="H395" i="11"/>
  <c r="G53" i="58"/>
  <c r="N371" i="13"/>
  <c r="H411" i="11"/>
  <c r="C517" i="11"/>
  <c r="F393" i="11"/>
  <c r="H52" i="58"/>
  <c r="O369" i="13"/>
  <c r="H457" i="11"/>
  <c r="F384" i="11"/>
  <c r="C508" i="11"/>
  <c r="F10" i="35"/>
  <c r="L140" i="13"/>
  <c r="E14" i="52"/>
  <c r="M167" i="1"/>
  <c r="M351" i="13"/>
  <c r="F45" i="58" s="1"/>
  <c r="F44" i="58"/>
  <c r="H465" i="11"/>
  <c r="C521" i="11"/>
  <c r="F397" i="11"/>
  <c r="C587" i="11"/>
  <c r="F463" i="11"/>
  <c r="C506" i="11"/>
  <c r="F382" i="11"/>
  <c r="J67" i="38"/>
  <c r="J69" i="38" s="1"/>
  <c r="J66" i="38"/>
  <c r="F167" i="38"/>
  <c r="E89" i="53"/>
  <c r="H28" i="58"/>
  <c r="O315" i="13"/>
  <c r="H29" i="58" s="1"/>
  <c r="I206" i="13"/>
  <c r="I207" i="13" s="1"/>
  <c r="C569" i="11"/>
  <c r="F445" i="11"/>
  <c r="C580" i="11"/>
  <c r="F456" i="11"/>
  <c r="F392" i="11"/>
  <c r="C516" i="11"/>
  <c r="D195" i="38"/>
  <c r="T17" i="39"/>
  <c r="P20" i="39"/>
  <c r="N36" i="38"/>
  <c r="E51" i="1"/>
  <c r="E78" i="1"/>
  <c r="E53" i="1"/>
  <c r="D577" i="1"/>
  <c r="E74" i="1"/>
  <c r="E55" i="1"/>
  <c r="H258" i="38"/>
  <c r="H260" i="38" s="1"/>
  <c r="I104" i="38"/>
  <c r="C21" i="19"/>
  <c r="K53" i="12"/>
  <c r="H86" i="12"/>
  <c r="N237" i="13"/>
  <c r="L36" i="38"/>
  <c r="J36" i="38"/>
  <c r="E167" i="38"/>
  <c r="C513" i="11"/>
  <c r="F389" i="11"/>
  <c r="C611" i="11"/>
  <c r="F487" i="11"/>
  <c r="I36" i="38"/>
  <c r="J373" i="11"/>
  <c r="J497" i="11" s="1"/>
  <c r="J249" i="11"/>
  <c r="K846" i="1"/>
  <c r="H6" i="12" s="1"/>
  <c r="C24" i="17" s="1"/>
  <c r="L303" i="13"/>
  <c r="K304" i="13"/>
  <c r="H454" i="11"/>
  <c r="F9" i="35"/>
  <c r="L139" i="13"/>
  <c r="C523" i="11"/>
  <c r="F399" i="11"/>
  <c r="G215" i="12"/>
  <c r="M162" i="12"/>
  <c r="M107" i="12"/>
  <c r="L80" i="12"/>
  <c r="L93" i="12" s="1"/>
  <c r="G72" i="12"/>
  <c r="G58" i="12"/>
  <c r="G200" i="12"/>
  <c r="M151" i="12"/>
  <c r="N2" i="12"/>
  <c r="M206" i="13"/>
  <c r="H434" i="11"/>
  <c r="H7" i="32"/>
  <c r="Q74" i="13"/>
  <c r="P490" i="1"/>
  <c r="H428" i="11"/>
  <c r="I133" i="38"/>
  <c r="I135" i="38" s="1"/>
  <c r="F18" i="25"/>
  <c r="F19" i="25" s="1"/>
  <c r="K118" i="12" s="1"/>
  <c r="H409" i="11"/>
  <c r="K287" i="13"/>
  <c r="L285" i="13"/>
  <c r="T531" i="1"/>
  <c r="U532" i="1" s="1"/>
  <c r="D532" i="1" s="1"/>
  <c r="E113" i="52"/>
  <c r="M758" i="1"/>
  <c r="L147" i="12"/>
  <c r="G24" i="36" s="1"/>
  <c r="G20" i="31"/>
  <c r="G23" i="37"/>
  <c r="G20" i="35"/>
  <c r="N234" i="13"/>
  <c r="H455" i="11"/>
  <c r="G703" i="11" s="1"/>
  <c r="I703" i="11" s="1"/>
  <c r="I430" i="11"/>
  <c r="C559" i="11"/>
  <c r="F435" i="11"/>
  <c r="I429" i="11"/>
  <c r="L464" i="11"/>
  <c r="H391" i="11"/>
  <c r="G639" i="11" s="1"/>
  <c r="I639" i="11" s="1"/>
  <c r="D28" i="93"/>
  <c r="D22" i="93"/>
  <c r="D33" i="93" s="1"/>
  <c r="L442" i="11"/>
  <c r="K410" i="11"/>
  <c r="N434" i="11"/>
  <c r="M5" i="38"/>
  <c r="M11" i="38" s="1"/>
  <c r="Q193" i="13"/>
  <c r="Q50" i="13"/>
  <c r="Q48" i="13"/>
  <c r="Q46" i="13"/>
  <c r="Q44" i="13"/>
  <c r="R23" i="13"/>
  <c r="Q51" i="13"/>
  <c r="Q49" i="13"/>
  <c r="Q47" i="13"/>
  <c r="Q45" i="13"/>
  <c r="R12" i="1"/>
  <c r="R14" i="1" s="1"/>
  <c r="C505" i="11"/>
  <c r="F381" i="11"/>
  <c r="C607" i="11"/>
  <c r="F483" i="11"/>
  <c r="H384" i="11"/>
  <c r="C571" i="11"/>
  <c r="F447" i="11"/>
  <c r="L466" i="11"/>
  <c r="C591" i="11"/>
  <c r="F467" i="11"/>
  <c r="H390" i="11"/>
  <c r="L306" i="13"/>
  <c r="L300" i="13"/>
  <c r="L449" i="13"/>
  <c r="G458" i="11"/>
  <c r="N444" i="11"/>
  <c r="O435" i="11"/>
  <c r="C610" i="11"/>
  <c r="F486" i="11"/>
  <c r="G426" i="11"/>
  <c r="C585" i="11"/>
  <c r="F461" i="11"/>
  <c r="O445" i="11"/>
  <c r="C593" i="11"/>
  <c r="F469" i="11"/>
  <c r="L88" i="11"/>
  <c r="J88" i="11"/>
  <c r="G460" i="11"/>
  <c r="L351" i="13"/>
  <c r="E45" i="58" s="1"/>
  <c r="E44" i="58"/>
  <c r="F24" i="38"/>
  <c r="F25" i="38"/>
  <c r="F27" i="38" s="1"/>
  <c r="F265" i="38"/>
  <c r="H164" i="12"/>
  <c r="M375" i="13"/>
  <c r="L376" i="13"/>
  <c r="M819" i="1"/>
  <c r="M557" i="1"/>
  <c r="M469" i="1"/>
  <c r="L16" i="13"/>
  <c r="M783" i="1"/>
  <c r="M770" i="1"/>
  <c r="M720" i="1"/>
  <c r="M627" i="1"/>
  <c r="M594" i="1"/>
  <c r="M335" i="1"/>
  <c r="M834" i="1"/>
  <c r="M748" i="1"/>
  <c r="M663" i="1"/>
  <c r="M428" i="1"/>
  <c r="M430" i="1" s="1"/>
  <c r="M433" i="1" s="1"/>
  <c r="M371" i="1"/>
  <c r="M611" i="1"/>
  <c r="G77" i="1" s="1"/>
  <c r="M485" i="1"/>
  <c r="M487" i="1" s="1"/>
  <c r="M406" i="1"/>
  <c r="M759" i="1"/>
  <c r="M761" i="1" s="1"/>
  <c r="M764" i="1" s="1"/>
  <c r="M707" i="1"/>
  <c r="M572" i="1"/>
  <c r="G74" i="1" s="1"/>
  <c r="M537" i="1"/>
  <c r="M519" i="1"/>
  <c r="M454" i="1"/>
  <c r="M736" i="1"/>
  <c r="M694" i="1"/>
  <c r="M645" i="1"/>
  <c r="M439" i="1"/>
  <c r="M441" i="1" s="1"/>
  <c r="M269" i="1"/>
  <c r="M804" i="1"/>
  <c r="M680" i="1"/>
  <c r="M583" i="1"/>
  <c r="M505" i="1"/>
  <c r="M417" i="1"/>
  <c r="M351" i="1"/>
  <c r="M324" i="1"/>
  <c r="M168" i="1"/>
  <c r="M313" i="1"/>
  <c r="M253" i="1"/>
  <c r="M241" i="1"/>
  <c r="M118" i="1"/>
  <c r="M389" i="1"/>
  <c r="M217" i="1"/>
  <c r="G45" i="1" s="1"/>
  <c r="M22" i="1"/>
  <c r="N21" i="1"/>
  <c r="M288" i="1"/>
  <c r="G51" i="1" s="1"/>
  <c r="M184" i="1"/>
  <c r="M229" i="1"/>
  <c r="M132" i="1"/>
  <c r="G38" i="1" s="1"/>
  <c r="S206" i="13"/>
  <c r="L395" i="13"/>
  <c r="J27" i="12" s="1"/>
  <c r="E26" i="31" s="1"/>
  <c r="E28" i="31" s="1"/>
  <c r="M392" i="13"/>
  <c r="C617" i="11"/>
  <c r="F493" i="11"/>
  <c r="G462" i="11"/>
  <c r="C507" i="11"/>
  <c r="F383" i="11"/>
  <c r="C614" i="11"/>
  <c r="F490" i="11"/>
  <c r="G415" i="11"/>
  <c r="I346" i="11"/>
  <c r="I470" i="11" s="1"/>
  <c r="I222" i="11"/>
  <c r="H456" i="11"/>
  <c r="G704" i="11" s="1"/>
  <c r="I704" i="11" s="1"/>
  <c r="H388" i="11"/>
  <c r="N457" i="11"/>
  <c r="P457" i="11"/>
  <c r="C618" i="11"/>
  <c r="F494" i="11"/>
  <c r="C586" i="11"/>
  <c r="F462" i="11"/>
  <c r="F20" i="17"/>
  <c r="F16" i="17"/>
  <c r="G6" i="17"/>
  <c r="L490" i="1"/>
  <c r="L485" i="1"/>
  <c r="L487" i="1" s="1"/>
  <c r="G20" i="19"/>
  <c r="G16" i="19"/>
  <c r="H6" i="19"/>
  <c r="L424" i="11"/>
  <c r="H389" i="11"/>
  <c r="G468" i="11"/>
  <c r="O422" i="11"/>
  <c r="G36" i="38"/>
  <c r="C510" i="11"/>
  <c r="F386" i="11"/>
  <c r="H387" i="11"/>
  <c r="H92" i="38"/>
  <c r="K307" i="1"/>
  <c r="K302" i="1"/>
  <c r="L371" i="13"/>
  <c r="E53" i="58"/>
  <c r="H443" i="11"/>
  <c r="H407" i="11"/>
  <c r="C602" i="11"/>
  <c r="F478" i="11"/>
  <c r="I230" i="11"/>
  <c r="I354" i="11"/>
  <c r="I478" i="11" s="1"/>
  <c r="K419" i="11"/>
  <c r="G401" i="11"/>
  <c r="I357" i="11"/>
  <c r="I481" i="11" s="1"/>
  <c r="I233" i="11"/>
  <c r="K453" i="11"/>
  <c r="G446" i="11"/>
  <c r="I446" i="11"/>
  <c r="K290" i="1"/>
  <c r="E52" i="1"/>
  <c r="E93" i="1"/>
  <c r="E56" i="1"/>
  <c r="E65" i="1"/>
  <c r="J213" i="11"/>
  <c r="N184" i="11"/>
  <c r="C584" i="11"/>
  <c r="F460" i="11"/>
  <c r="C622" i="11"/>
  <c r="F498" i="11"/>
  <c r="K397" i="11"/>
  <c r="K412" i="11"/>
  <c r="C514" i="11"/>
  <c r="F390" i="11"/>
  <c r="O413" i="11"/>
  <c r="J232" i="11"/>
  <c r="J356" i="11"/>
  <c r="J480" i="11" s="1"/>
  <c r="D97" i="38"/>
  <c r="L152" i="38"/>
  <c r="P219" i="11"/>
  <c r="O467" i="11"/>
  <c r="M108" i="38"/>
  <c r="P61" i="11"/>
  <c r="L433" i="11"/>
  <c r="L854" i="1"/>
  <c r="I14" i="12" s="1"/>
  <c r="D24" i="21" s="1"/>
  <c r="J358" i="11"/>
  <c r="J482" i="11" s="1"/>
  <c r="J234" i="11"/>
  <c r="J347" i="11"/>
  <c r="J471" i="11" s="1"/>
  <c r="J223" i="11"/>
  <c r="K229" i="11"/>
  <c r="K353" i="11"/>
  <c r="K477" i="11" s="1"/>
  <c r="C81" i="36" l="1"/>
  <c r="C21" i="36"/>
  <c r="K234" i="11"/>
  <c r="K358" i="11"/>
  <c r="K482" i="11" s="1"/>
  <c r="K232" i="11"/>
  <c r="K356" i="11"/>
  <c r="K480" i="11" s="1"/>
  <c r="Q343" i="11"/>
  <c r="Q467" i="11" s="1"/>
  <c r="Q219" i="11"/>
  <c r="C708" i="11"/>
  <c r="F708" i="11" s="1"/>
  <c r="F584" i="11"/>
  <c r="F602" i="11"/>
  <c r="C726" i="11"/>
  <c r="F726" i="11" s="1"/>
  <c r="G20" i="17"/>
  <c r="G16" i="17"/>
  <c r="H6" i="17"/>
  <c r="M850" i="1"/>
  <c r="J10" i="12" s="1"/>
  <c r="E24" i="19" s="1"/>
  <c r="M858" i="1"/>
  <c r="J18" i="12" s="1"/>
  <c r="E24" i="23" s="1"/>
  <c r="F610" i="11"/>
  <c r="C734" i="11"/>
  <c r="F734" i="11" s="1"/>
  <c r="I21" i="12"/>
  <c r="D26" i="25" s="1"/>
  <c r="D28" i="25" s="1"/>
  <c r="F6" i="58"/>
  <c r="M207" i="13"/>
  <c r="M227" i="13"/>
  <c r="M268" i="13" s="1"/>
  <c r="K20" i="12" s="1"/>
  <c r="L304" i="13"/>
  <c r="J22" i="12" s="1"/>
  <c r="E26" i="26" s="1"/>
  <c r="E28" i="26" s="1"/>
  <c r="M303" i="13"/>
  <c r="C640" i="11"/>
  <c r="F640" i="11" s="1"/>
  <c r="F516" i="11"/>
  <c r="C630" i="11"/>
  <c r="F630" i="11" s="1"/>
  <c r="F506" i="11"/>
  <c r="G705" i="11"/>
  <c r="I705" i="11" s="1"/>
  <c r="N849" i="1"/>
  <c r="K9" i="12" s="1"/>
  <c r="N507" i="1"/>
  <c r="D507" i="1" s="1"/>
  <c r="F69" i="1" s="1"/>
  <c r="H69" i="1"/>
  <c r="N559" i="1"/>
  <c r="N738" i="1"/>
  <c r="N845" i="1"/>
  <c r="K5" i="12" s="1"/>
  <c r="N471" i="1"/>
  <c r="O731" i="1"/>
  <c r="O756" i="1"/>
  <c r="P730" i="1"/>
  <c r="O640" i="1"/>
  <c r="O767" i="1"/>
  <c r="C688" i="11"/>
  <c r="F688" i="11" s="1"/>
  <c r="F564" i="11"/>
  <c r="K20" i="34"/>
  <c r="F578" i="11"/>
  <c r="C702" i="11"/>
  <c r="F702" i="11" s="1"/>
  <c r="C26" i="21"/>
  <c r="L367" i="11"/>
  <c r="L491" i="11" s="1"/>
  <c r="L243" i="11"/>
  <c r="K352" i="11"/>
  <c r="K476" i="11" s="1"/>
  <c r="K228" i="11"/>
  <c r="G672" i="11"/>
  <c r="I672" i="11" s="1"/>
  <c r="M67" i="12"/>
  <c r="E59" i="10" s="1"/>
  <c r="E64" i="11" s="1"/>
  <c r="F606" i="11"/>
  <c r="C730" i="11"/>
  <c r="F730" i="11" s="1"/>
  <c r="K238" i="11"/>
  <c r="K362" i="11"/>
  <c r="K486" i="11" s="1"/>
  <c r="J368" i="11"/>
  <c r="J492" i="11" s="1"/>
  <c r="J244" i="11"/>
  <c r="R227" i="13"/>
  <c r="F596" i="11"/>
  <c r="C720" i="11"/>
  <c r="F720" i="11" s="1"/>
  <c r="K16" i="50"/>
  <c r="L13" i="50"/>
  <c r="N13" i="50" s="1"/>
  <c r="M13" i="50" s="1"/>
  <c r="D6" i="58"/>
  <c r="K207" i="13"/>
  <c r="K227" i="13"/>
  <c r="P207" i="13"/>
  <c r="P227" i="13"/>
  <c r="J6" i="24"/>
  <c r="I20" i="24"/>
  <c r="I44" i="24" s="1"/>
  <c r="I16" i="24"/>
  <c r="G60" i="52"/>
  <c r="O438" i="1"/>
  <c r="O444" i="1" s="1"/>
  <c r="H34" i="12"/>
  <c r="H40" i="12" s="1"/>
  <c r="C21" i="24"/>
  <c r="H38" i="12"/>
  <c r="C27" i="36" s="1"/>
  <c r="K348" i="11"/>
  <c r="K472" i="11" s="1"/>
  <c r="K224" i="11"/>
  <c r="C692" i="11"/>
  <c r="F692" i="11" s="1"/>
  <c r="F568" i="11"/>
  <c r="C694" i="11"/>
  <c r="F694" i="11" s="1"/>
  <c r="F570" i="11"/>
  <c r="I167" i="12"/>
  <c r="C689" i="11"/>
  <c r="F689" i="11" s="1"/>
  <c r="F565" i="11"/>
  <c r="L194" i="38"/>
  <c r="L193" i="38"/>
  <c r="J211" i="11"/>
  <c r="J335" i="11"/>
  <c r="J459" i="11" s="1"/>
  <c r="L523" i="1"/>
  <c r="L510" i="1"/>
  <c r="L668" i="1"/>
  <c r="H16" i="20"/>
  <c r="I6" i="20"/>
  <c r="H20" i="20"/>
  <c r="H20" i="23"/>
  <c r="H16" i="23"/>
  <c r="I6" i="23"/>
  <c r="F620" i="11"/>
  <c r="C744" i="11"/>
  <c r="F744" i="11" s="1"/>
  <c r="N207" i="13"/>
  <c r="N227" i="13"/>
  <c r="G6" i="58"/>
  <c r="I25" i="12"/>
  <c r="D26" i="29" s="1"/>
  <c r="D28" i="29" s="1"/>
  <c r="L375" i="11"/>
  <c r="L499" i="11" s="1"/>
  <c r="L251" i="11"/>
  <c r="C733" i="11"/>
  <c r="F733" i="11" s="1"/>
  <c r="F609" i="11"/>
  <c r="R19" i="39"/>
  <c r="R20" i="39" s="1"/>
  <c r="C656" i="11"/>
  <c r="F656" i="11" s="1"/>
  <c r="F532" i="11"/>
  <c r="O465" i="11"/>
  <c r="O214" i="11"/>
  <c r="O338" i="11"/>
  <c r="O462" i="11" s="1"/>
  <c r="N162" i="12"/>
  <c r="N107" i="12"/>
  <c r="G73" i="12"/>
  <c r="G59" i="12"/>
  <c r="M80" i="12"/>
  <c r="M93" i="12" s="1"/>
  <c r="G201" i="12"/>
  <c r="N151" i="12"/>
  <c r="O2" i="12"/>
  <c r="G216" i="12"/>
  <c r="C637" i="11"/>
  <c r="F637" i="11" s="1"/>
  <c r="F513" i="11"/>
  <c r="H53" i="58"/>
  <c r="O371" i="13"/>
  <c r="M179" i="13"/>
  <c r="D229" i="13"/>
  <c r="N855" i="1"/>
  <c r="K15" i="12" s="1"/>
  <c r="N539" i="1"/>
  <c r="F113" i="52"/>
  <c r="N758" i="1"/>
  <c r="F14" i="52"/>
  <c r="N167" i="1"/>
  <c r="F595" i="11"/>
  <c r="C719" i="11"/>
  <c r="F719" i="11" s="1"/>
  <c r="J248" i="11"/>
  <c r="J372" i="11"/>
  <c r="J496" i="11" s="1"/>
  <c r="C654" i="11"/>
  <c r="F654" i="11" s="1"/>
  <c r="F530" i="11"/>
  <c r="I44" i="58"/>
  <c r="O351" i="13"/>
  <c r="H44" i="58"/>
  <c r="C713" i="11"/>
  <c r="F713" i="11" s="1"/>
  <c r="F589" i="11"/>
  <c r="L141" i="13"/>
  <c r="L289" i="13"/>
  <c r="G7" i="35"/>
  <c r="M137" i="13"/>
  <c r="G694" i="11"/>
  <c r="I694" i="11" s="1"/>
  <c r="C652" i="11"/>
  <c r="F652" i="11" s="1"/>
  <c r="F528" i="11"/>
  <c r="F522" i="11"/>
  <c r="C646" i="11"/>
  <c r="F646" i="11" s="1"/>
  <c r="F81" i="52"/>
  <c r="O591" i="1"/>
  <c r="N593" i="1"/>
  <c r="O297" i="13"/>
  <c r="H20" i="58"/>
  <c r="N20" i="58" s="1"/>
  <c r="H67" i="12"/>
  <c r="E4" i="10" s="1"/>
  <c r="E9" i="11" s="1"/>
  <c r="F95" i="38"/>
  <c r="F97" i="38" s="1"/>
  <c r="F94" i="38"/>
  <c r="G661" i="11"/>
  <c r="I661" i="11" s="1"/>
  <c r="N267" i="13"/>
  <c r="C724" i="11"/>
  <c r="F724" i="11" s="1"/>
  <c r="F600" i="11"/>
  <c r="C748" i="11"/>
  <c r="F748" i="11" s="1"/>
  <c r="F624" i="11"/>
  <c r="C642" i="11"/>
  <c r="F642" i="11" s="1"/>
  <c r="F518" i="11"/>
  <c r="C691" i="11"/>
  <c r="F691" i="11" s="1"/>
  <c r="F567" i="11"/>
  <c r="J213" i="12"/>
  <c r="J85" i="12"/>
  <c r="J198" i="12" s="1"/>
  <c r="J69" i="12"/>
  <c r="E28" i="10" s="1"/>
  <c r="E33" i="11" s="1"/>
  <c r="L250" i="38"/>
  <c r="L249" i="38"/>
  <c r="L110" i="38"/>
  <c r="L109" i="38"/>
  <c r="L111" i="38" s="1"/>
  <c r="R103" i="39"/>
  <c r="R102" i="39"/>
  <c r="R104" i="39" s="1"/>
  <c r="F7" i="24"/>
  <c r="M29" i="1"/>
  <c r="J89" i="12"/>
  <c r="N198" i="12" s="1"/>
  <c r="N213" i="12" s="1"/>
  <c r="N69" i="12"/>
  <c r="E72" i="10" s="1"/>
  <c r="E77" i="11" s="1"/>
  <c r="L226" i="11"/>
  <c r="L350" i="11"/>
  <c r="L474" i="11" s="1"/>
  <c r="O207" i="13"/>
  <c r="O227" i="13"/>
  <c r="H6" i="58"/>
  <c r="I68" i="12"/>
  <c r="E16" i="10" s="1"/>
  <c r="E21" i="11" s="1"/>
  <c r="I84" i="12"/>
  <c r="I197" i="12" s="1"/>
  <c r="I212" i="12" s="1"/>
  <c r="D22" i="21"/>
  <c r="E18" i="21"/>
  <c r="I114" i="12"/>
  <c r="J46" i="93"/>
  <c r="J29" i="31"/>
  <c r="J30" i="31" s="1"/>
  <c r="J31" i="31" s="1"/>
  <c r="O179" i="12"/>
  <c r="E167" i="11"/>
  <c r="E291" i="11" s="1"/>
  <c r="E415" i="11" s="1"/>
  <c r="E539" i="11" s="1"/>
  <c r="E663" i="11" s="1"/>
  <c r="J43" i="11"/>
  <c r="H167" i="11"/>
  <c r="N43" i="11"/>
  <c r="P43" i="11"/>
  <c r="L43" i="11"/>
  <c r="Q43" i="11"/>
  <c r="K43" i="11"/>
  <c r="I43" i="11"/>
  <c r="M43" i="11"/>
  <c r="O43" i="11"/>
  <c r="J68" i="12"/>
  <c r="E27" i="10" s="1"/>
  <c r="E32" i="11" s="1"/>
  <c r="J212" i="12"/>
  <c r="I85" i="12"/>
  <c r="J197" i="12" s="1"/>
  <c r="C677" i="11"/>
  <c r="F677" i="11" s="1"/>
  <c r="F553" i="11"/>
  <c r="C664" i="11"/>
  <c r="F664" i="11" s="1"/>
  <c r="F540" i="11"/>
  <c r="H130" i="12"/>
  <c r="D21" i="24"/>
  <c r="I38" i="12"/>
  <c r="D27" i="36" s="1"/>
  <c r="I34" i="12"/>
  <c r="I40" i="12" s="1"/>
  <c r="G52" i="1"/>
  <c r="K304" i="1"/>
  <c r="D304" i="1" s="1"/>
  <c r="O184" i="11"/>
  <c r="O308" i="11"/>
  <c r="O432" i="11" s="1"/>
  <c r="J357" i="11"/>
  <c r="J481" i="11" s="1"/>
  <c r="J233" i="11"/>
  <c r="M231" i="1"/>
  <c r="K213" i="11"/>
  <c r="K337" i="11"/>
  <c r="K461" i="11" s="1"/>
  <c r="C634" i="11"/>
  <c r="F634" i="11" s="1"/>
  <c r="F510" i="11"/>
  <c r="H16" i="19"/>
  <c r="I6" i="19"/>
  <c r="H20" i="19"/>
  <c r="M848" i="1"/>
  <c r="J8" i="12" s="1"/>
  <c r="E24" i="18" s="1"/>
  <c r="M596" i="1"/>
  <c r="C717" i="11"/>
  <c r="F717" i="11" s="1"/>
  <c r="F593" i="11"/>
  <c r="C683" i="11"/>
  <c r="F683" i="11" s="1"/>
  <c r="F559" i="11"/>
  <c r="R74" i="13"/>
  <c r="C26" i="17"/>
  <c r="E35" i="1"/>
  <c r="F587" i="11"/>
  <c r="C711" i="11"/>
  <c r="F711" i="11" s="1"/>
  <c r="N722" i="1"/>
  <c r="P3" i="1"/>
  <c r="O145" i="1"/>
  <c r="O440" i="1"/>
  <c r="O169" i="1"/>
  <c r="O737" i="1"/>
  <c r="O738" i="1" s="1"/>
  <c r="O254" i="1"/>
  <c r="O486" i="1"/>
  <c r="O558" i="1"/>
  <c r="O559" i="1" s="1"/>
  <c r="O562" i="1" s="1"/>
  <c r="O628" i="1"/>
  <c r="O230" i="1"/>
  <c r="O784" i="1"/>
  <c r="O785" i="1" s="1"/>
  <c r="O788" i="1" s="1"/>
  <c r="O835" i="1"/>
  <c r="O185" i="1"/>
  <c r="O186" i="1" s="1"/>
  <c r="O805" i="1"/>
  <c r="O749" i="1"/>
  <c r="O750" i="1" s="1"/>
  <c r="O753" i="1" s="1"/>
  <c r="O681" i="1"/>
  <c r="O855" i="1" s="1"/>
  <c r="L15" i="12" s="1"/>
  <c r="O372" i="1"/>
  <c r="O708" i="1"/>
  <c r="O709" i="1" s="1"/>
  <c r="O407" i="1"/>
  <c r="O538" i="1"/>
  <c r="O695" i="1"/>
  <c r="O696" i="1" s="1"/>
  <c r="O429" i="1"/>
  <c r="O470" i="1"/>
  <c r="O471" i="1" s="1"/>
  <c r="O242" i="1"/>
  <c r="O584" i="1"/>
  <c r="O352" i="1"/>
  <c r="O353" i="1" s="1"/>
  <c r="O771" i="1"/>
  <c r="O820" i="1"/>
  <c r="O821" i="1" s="1"/>
  <c r="O721" i="1"/>
  <c r="O722" i="1" s="1"/>
  <c r="O270" i="1"/>
  <c r="O271" i="1" s="1"/>
  <c r="O336" i="1"/>
  <c r="O314" i="1"/>
  <c r="O595" i="1"/>
  <c r="O418" i="1"/>
  <c r="O390" i="1"/>
  <c r="O391" i="1" s="1"/>
  <c r="O394" i="1" s="1"/>
  <c r="O664" i="1"/>
  <c r="O325" i="1"/>
  <c r="O455" i="1"/>
  <c r="O456" i="1" s="1"/>
  <c r="O760" i="1"/>
  <c r="O157" i="1"/>
  <c r="J376" i="11"/>
  <c r="J500" i="11" s="1"/>
  <c r="J252" i="11"/>
  <c r="C687" i="11"/>
  <c r="F687" i="11" s="1"/>
  <c r="F563" i="11"/>
  <c r="E57" i="1"/>
  <c r="F582" i="11"/>
  <c r="C706" i="11"/>
  <c r="F706" i="11" s="1"/>
  <c r="E13" i="52"/>
  <c r="M155" i="1"/>
  <c r="M156" i="1" s="1"/>
  <c r="F604" i="11"/>
  <c r="C728" i="11"/>
  <c r="F728" i="11" s="1"/>
  <c r="C685" i="11"/>
  <c r="F685" i="11" s="1"/>
  <c r="F561" i="11"/>
  <c r="C658" i="11"/>
  <c r="F658" i="11" s="1"/>
  <c r="F534" i="11"/>
  <c r="F12" i="93"/>
  <c r="E33" i="93"/>
  <c r="K227" i="11"/>
  <c r="K351" i="11"/>
  <c r="K475" i="11" s="1"/>
  <c r="J98" i="12"/>
  <c r="F23" i="18" s="1"/>
  <c r="J196" i="12"/>
  <c r="I98" i="12"/>
  <c r="E23" i="18" s="1"/>
  <c r="E26" i="18" s="1"/>
  <c r="H98" i="12"/>
  <c r="D23" i="18" s="1"/>
  <c r="D26" i="18" s="1"/>
  <c r="K456" i="13"/>
  <c r="K426" i="13"/>
  <c r="C723" i="11"/>
  <c r="F723" i="11" s="1"/>
  <c r="F599" i="11"/>
  <c r="K38" i="38"/>
  <c r="K39" i="38"/>
  <c r="K41" i="38" s="1"/>
  <c r="C747" i="11"/>
  <c r="F747" i="11" s="1"/>
  <c r="F623" i="11"/>
  <c r="L433" i="1"/>
  <c r="G8" i="35"/>
  <c r="M138" i="13"/>
  <c r="L322" i="13"/>
  <c r="J23" i="12" s="1"/>
  <c r="E26" i="27" s="1"/>
  <c r="E28" i="27" s="1"/>
  <c r="M321" i="13"/>
  <c r="C650" i="11"/>
  <c r="F650" i="11" s="1"/>
  <c r="F526" i="11"/>
  <c r="K242" i="11"/>
  <c r="K366" i="11"/>
  <c r="K490" i="11" s="1"/>
  <c r="I94" i="38"/>
  <c r="I95" i="38"/>
  <c r="I97" i="38" s="1"/>
  <c r="G7" i="28"/>
  <c r="N44" i="58"/>
  <c r="H138" i="38"/>
  <c r="H139" i="38" s="1"/>
  <c r="H136" i="38"/>
  <c r="K75" i="13"/>
  <c r="K64" i="13"/>
  <c r="N299" i="13"/>
  <c r="G21" i="58"/>
  <c r="K231" i="11"/>
  <c r="K355" i="11"/>
  <c r="K479" i="11" s="1"/>
  <c r="T227" i="13"/>
  <c r="C651" i="11"/>
  <c r="F651" i="11" s="1"/>
  <c r="F527" i="11"/>
  <c r="G78" i="38"/>
  <c r="H76" i="38"/>
  <c r="C696" i="11"/>
  <c r="F696" i="11" s="1"/>
  <c r="F572" i="11"/>
  <c r="J7" i="33"/>
  <c r="L166" i="38"/>
  <c r="L165" i="38"/>
  <c r="F590" i="11"/>
  <c r="C714" i="11"/>
  <c r="F714" i="11" s="1"/>
  <c r="K237" i="11"/>
  <c r="K361" i="11"/>
  <c r="K485" i="11" s="1"/>
  <c r="P108" i="38"/>
  <c r="C27" i="21"/>
  <c r="C28" i="21" s="1"/>
  <c r="C29" i="21"/>
  <c r="H169" i="12"/>
  <c r="K170" i="12"/>
  <c r="K24" i="31"/>
  <c r="L8" i="31"/>
  <c r="C661" i="11"/>
  <c r="F661" i="11" s="1"/>
  <c r="F537" i="11"/>
  <c r="C659" i="11"/>
  <c r="F659" i="11" s="1"/>
  <c r="F535" i="11"/>
  <c r="C678" i="11"/>
  <c r="F678" i="11" s="1"/>
  <c r="F554" i="11"/>
  <c r="L146" i="1"/>
  <c r="L844" i="1"/>
  <c r="C17" i="24"/>
  <c r="C18" i="24" s="1"/>
  <c r="H68" i="12"/>
  <c r="E5" i="10" s="1"/>
  <c r="E10" i="11" s="1"/>
  <c r="H212" i="12"/>
  <c r="P340" i="11"/>
  <c r="P464" i="11" s="1"/>
  <c r="P216" i="11"/>
  <c r="M395" i="13"/>
  <c r="K27" i="12" s="1"/>
  <c r="F26" i="31" s="1"/>
  <c r="F28" i="31" s="1"/>
  <c r="N392" i="13"/>
  <c r="C638" i="11"/>
  <c r="F638" i="11" s="1"/>
  <c r="F514" i="11"/>
  <c r="C631" i="11"/>
  <c r="F631" i="11" s="1"/>
  <c r="F507" i="11"/>
  <c r="M337" i="1"/>
  <c r="C629" i="11"/>
  <c r="F629" i="11" s="1"/>
  <c r="F505" i="11"/>
  <c r="K293" i="1"/>
  <c r="D290" i="1"/>
  <c r="J222" i="11"/>
  <c r="J346" i="11"/>
  <c r="J470" i="11" s="1"/>
  <c r="M243" i="1"/>
  <c r="M585" i="1"/>
  <c r="M629" i="1"/>
  <c r="J26" i="12"/>
  <c r="E26" i="30" s="1"/>
  <c r="E28" i="30" s="1"/>
  <c r="C647" i="11"/>
  <c r="F647" i="11" s="1"/>
  <c r="F523" i="11"/>
  <c r="K373" i="11"/>
  <c r="K497" i="11" s="1"/>
  <c r="K249" i="11"/>
  <c r="J38" i="38"/>
  <c r="J39" i="38"/>
  <c r="J41" i="38" s="1"/>
  <c r="K196" i="12"/>
  <c r="I99" i="12"/>
  <c r="E23" i="19" s="1"/>
  <c r="E26" i="19" s="1"/>
  <c r="H99" i="12"/>
  <c r="D23" i="19" s="1"/>
  <c r="D26" i="19" s="1"/>
  <c r="D27" i="19" s="1"/>
  <c r="D28" i="19" s="1"/>
  <c r="N38" i="38"/>
  <c r="F580" i="11"/>
  <c r="C704" i="11"/>
  <c r="F704" i="11" s="1"/>
  <c r="G10" i="35"/>
  <c r="M140" i="13"/>
  <c r="N271" i="1"/>
  <c r="N859" i="1"/>
  <c r="K19" i="12" s="1"/>
  <c r="N836" i="1"/>
  <c r="H99" i="1"/>
  <c r="H76" i="1"/>
  <c r="L846" i="1"/>
  <c r="I6" i="12" s="1"/>
  <c r="D24" i="17" s="1"/>
  <c r="L170" i="12"/>
  <c r="M439" i="13"/>
  <c r="N438" i="13"/>
  <c r="P262" i="1"/>
  <c r="E262" i="1" s="1"/>
  <c r="Q261" i="1"/>
  <c r="C676" i="11"/>
  <c r="F676" i="11" s="1"/>
  <c r="F552" i="11"/>
  <c r="O24" i="1"/>
  <c r="P24" i="1" s="1"/>
  <c r="J67" i="12"/>
  <c r="E26" i="10" s="1"/>
  <c r="E31" i="11" s="1"/>
  <c r="J211" i="12"/>
  <c r="K413" i="13"/>
  <c r="K128" i="13"/>
  <c r="K455" i="13"/>
  <c r="M419" i="1"/>
  <c r="L340" i="13"/>
  <c r="J24" i="12" s="1"/>
  <c r="E26" i="28" s="1"/>
  <c r="E28" i="28" s="1"/>
  <c r="M339" i="13"/>
  <c r="I23" i="12"/>
  <c r="D26" i="27" s="1"/>
  <c r="D28" i="27" s="1"/>
  <c r="K241" i="11"/>
  <c r="K365" i="11"/>
  <c r="K489" i="11" s="1"/>
  <c r="L13" i="38"/>
  <c r="L127" i="13"/>
  <c r="L391" i="13"/>
  <c r="L454" i="13"/>
  <c r="C27" i="19"/>
  <c r="C28" i="19" s="1"/>
  <c r="C29" i="19"/>
  <c r="H167" i="12"/>
  <c r="I52" i="38"/>
  <c r="I53" i="38"/>
  <c r="I55" i="38" s="1"/>
  <c r="D45" i="58"/>
  <c r="K353" i="13"/>
  <c r="C644" i="11"/>
  <c r="F644" i="11" s="1"/>
  <c r="F520" i="11"/>
  <c r="M69" i="12"/>
  <c r="E61" i="10" s="1"/>
  <c r="E66" i="11" s="1"/>
  <c r="M213" i="12"/>
  <c r="J88" i="12"/>
  <c r="M198" i="12" s="1"/>
  <c r="I96" i="12"/>
  <c r="H96" i="12"/>
  <c r="H196" i="12"/>
  <c r="H211" i="12" s="1"/>
  <c r="C737" i="11"/>
  <c r="F737" i="11" s="1"/>
  <c r="F613" i="11"/>
  <c r="M38" i="38"/>
  <c r="C649" i="11"/>
  <c r="F649" i="11" s="1"/>
  <c r="F525" i="11"/>
  <c r="L111" i="12"/>
  <c r="G22" i="18"/>
  <c r="H18" i="18"/>
  <c r="L222" i="38"/>
  <c r="L221" i="38"/>
  <c r="L223" i="38" s="1"/>
  <c r="L67" i="12"/>
  <c r="E48" i="10" s="1"/>
  <c r="E53" i="11" s="1"/>
  <c r="L211" i="12"/>
  <c r="C633" i="11"/>
  <c r="F633" i="11" s="1"/>
  <c r="F509" i="11"/>
  <c r="H20" i="21"/>
  <c r="H16" i="21"/>
  <c r="I6" i="21"/>
  <c r="F603" i="11"/>
  <c r="C727" i="11"/>
  <c r="F727" i="11" s="1"/>
  <c r="H171" i="12"/>
  <c r="C27" i="23"/>
  <c r="C28" i="23" s="1"/>
  <c r="C29" i="23"/>
  <c r="F619" i="11"/>
  <c r="C743" i="11"/>
  <c r="F743" i="11" s="1"/>
  <c r="N331" i="13"/>
  <c r="F35" i="58"/>
  <c r="L59" i="39"/>
  <c r="L60" i="39"/>
  <c r="L62" i="39" s="1"/>
  <c r="K18" i="50" s="1"/>
  <c r="K28" i="12"/>
  <c r="F26" i="32" s="1"/>
  <c r="F28" i="32" s="1"/>
  <c r="C662" i="11"/>
  <c r="F662" i="11" s="1"/>
  <c r="F538" i="11"/>
  <c r="H7" i="29"/>
  <c r="I69" i="12"/>
  <c r="E17" i="10" s="1"/>
  <c r="E22" i="11" s="1"/>
  <c r="J84" i="12"/>
  <c r="I198" i="12" s="1"/>
  <c r="I213" i="12" s="1"/>
  <c r="C715" i="11"/>
  <c r="F715" i="11" s="1"/>
  <c r="F591" i="11"/>
  <c r="L229" i="11"/>
  <c r="L353" i="11"/>
  <c r="L477" i="11" s="1"/>
  <c r="K347" i="11"/>
  <c r="K471" i="11" s="1"/>
  <c r="K223" i="11"/>
  <c r="L453" i="13"/>
  <c r="L370" i="13"/>
  <c r="L378" i="13"/>
  <c r="L126" i="13"/>
  <c r="G39" i="38"/>
  <c r="G41" i="38" s="1"/>
  <c r="G38" i="38"/>
  <c r="F586" i="11"/>
  <c r="C710" i="11"/>
  <c r="F710" i="11" s="1"/>
  <c r="C741" i="11"/>
  <c r="F741" i="11" s="1"/>
  <c r="F617" i="11"/>
  <c r="M255" i="1"/>
  <c r="M854" i="1"/>
  <c r="J14" i="12" s="1"/>
  <c r="E24" i="21" s="1"/>
  <c r="M682" i="1"/>
  <c r="M846" i="1"/>
  <c r="J6" i="12" s="1"/>
  <c r="E24" i="17" s="1"/>
  <c r="N375" i="13"/>
  <c r="M376" i="13"/>
  <c r="K26" i="12" s="1"/>
  <c r="F26" i="30" s="1"/>
  <c r="F28" i="30" s="1"/>
  <c r="H147" i="38"/>
  <c r="H149" i="38" s="1"/>
  <c r="E18" i="26"/>
  <c r="C695" i="11"/>
  <c r="F695" i="11" s="1"/>
  <c r="F571" i="11"/>
  <c r="Q198" i="13"/>
  <c r="Q194" i="13" s="1"/>
  <c r="L38" i="38"/>
  <c r="L39" i="38"/>
  <c r="L41" i="38" s="1"/>
  <c r="K67" i="12"/>
  <c r="E37" i="10" s="1"/>
  <c r="E42" i="11" s="1"/>
  <c r="K211" i="12"/>
  <c r="F521" i="11"/>
  <c r="C645" i="11"/>
  <c r="F645" i="11" s="1"/>
  <c r="F517" i="11"/>
  <c r="C641" i="11"/>
  <c r="F641" i="11" s="1"/>
  <c r="I97" i="12"/>
  <c r="E23" i="17" s="1"/>
  <c r="E26" i="17" s="1"/>
  <c r="H97" i="12"/>
  <c r="D23" i="17" s="1"/>
  <c r="D26" i="17" s="1"/>
  <c r="I196" i="12"/>
  <c r="I211" i="12" s="1"/>
  <c r="N750" i="1"/>
  <c r="N186" i="1"/>
  <c r="D186" i="1" s="1"/>
  <c r="F42" i="1" s="1"/>
  <c r="H42" i="1"/>
  <c r="N391" i="1"/>
  <c r="H60" i="1"/>
  <c r="C682" i="11"/>
  <c r="F682" i="11" s="1"/>
  <c r="F558" i="11"/>
  <c r="J364" i="11"/>
  <c r="J488" i="11" s="1"/>
  <c r="J240" i="11"/>
  <c r="K374" i="11"/>
  <c r="K498" i="11" s="1"/>
  <c r="K250" i="11"/>
  <c r="E12" i="52"/>
  <c r="M143" i="1"/>
  <c r="M144" i="1" s="1"/>
  <c r="M146" i="1" s="1"/>
  <c r="C716" i="11"/>
  <c r="F716" i="11" s="1"/>
  <c r="F592" i="11"/>
  <c r="M851" i="1"/>
  <c r="J11" i="12" s="1"/>
  <c r="M647" i="1"/>
  <c r="C732" i="11"/>
  <c r="F732" i="11" s="1"/>
  <c r="F608" i="11"/>
  <c r="E6" i="58"/>
  <c r="L207" i="13"/>
  <c r="L227" i="13"/>
  <c r="C660" i="11"/>
  <c r="F660" i="11" s="1"/>
  <c r="F536" i="11"/>
  <c r="F59" i="52"/>
  <c r="N427" i="1"/>
  <c r="P341" i="11"/>
  <c r="P465" i="11" s="1"/>
  <c r="P217" i="11"/>
  <c r="J336" i="11"/>
  <c r="J460" i="11" s="1"/>
  <c r="J212" i="11"/>
  <c r="G714" i="11"/>
  <c r="I714" i="11" s="1"/>
  <c r="I24" i="12"/>
  <c r="D26" i="28" s="1"/>
  <c r="D28" i="28" s="1"/>
  <c r="K369" i="11"/>
  <c r="K493" i="11" s="1"/>
  <c r="K245" i="11"/>
  <c r="L239" i="11"/>
  <c r="L363" i="11"/>
  <c r="L487" i="11" s="1"/>
  <c r="C653" i="11"/>
  <c r="F653" i="11" s="1"/>
  <c r="F529" i="11"/>
  <c r="N79" i="13"/>
  <c r="M390" i="13"/>
  <c r="F574" i="11"/>
  <c r="C698" i="11"/>
  <c r="F698" i="11" s="1"/>
  <c r="K48" i="38"/>
  <c r="J50" i="38"/>
  <c r="F11" i="35"/>
  <c r="F13" i="36" s="1"/>
  <c r="G11" i="16"/>
  <c r="I43" i="52"/>
  <c r="Q334" i="1"/>
  <c r="R332" i="1"/>
  <c r="F13" i="93"/>
  <c r="G13" i="93" s="1"/>
  <c r="H13" i="93" s="1"/>
  <c r="I13" i="93" s="1"/>
  <c r="J13" i="93" s="1"/>
  <c r="K13" i="93" s="1"/>
  <c r="L13" i="93" s="1"/>
  <c r="M13" i="93" s="1"/>
  <c r="C636" i="11"/>
  <c r="F636" i="11" s="1"/>
  <c r="F512" i="11"/>
  <c r="G715" i="11"/>
  <c r="I715" i="11" s="1"/>
  <c r="C740" i="11"/>
  <c r="F740" i="11" s="1"/>
  <c r="F616" i="11"/>
  <c r="O38" i="38"/>
  <c r="C700" i="11"/>
  <c r="F700" i="11" s="1"/>
  <c r="F576" i="11"/>
  <c r="N196" i="12"/>
  <c r="N211" i="12" s="1"/>
  <c r="I102" i="12"/>
  <c r="E23" i="22" s="1"/>
  <c r="E26" i="22" s="1"/>
  <c r="E27" i="22" s="1"/>
  <c r="E28" i="22" s="1"/>
  <c r="H102" i="12"/>
  <c r="D23" i="22" s="1"/>
  <c r="D26" i="22" s="1"/>
  <c r="J102" i="12"/>
  <c r="F23" i="22" s="1"/>
  <c r="C697" i="11"/>
  <c r="F697" i="11" s="1"/>
  <c r="F573" i="11"/>
  <c r="P233" i="13"/>
  <c r="K166" i="12"/>
  <c r="L153" i="38"/>
  <c r="E178" i="11"/>
  <c r="E302" i="11" s="1"/>
  <c r="E426" i="11" s="1"/>
  <c r="E550" i="11" s="1"/>
  <c r="E674" i="11" s="1"/>
  <c r="J54" i="11"/>
  <c r="H178" i="11"/>
  <c r="N54" i="11"/>
  <c r="P54" i="11"/>
  <c r="L54" i="11"/>
  <c r="Q54" i="11"/>
  <c r="K54" i="11"/>
  <c r="I54" i="11"/>
  <c r="M54" i="11"/>
  <c r="O54" i="11"/>
  <c r="F80" i="52"/>
  <c r="O580" i="1"/>
  <c r="N582" i="1"/>
  <c r="N583" i="1" s="1"/>
  <c r="C663" i="11"/>
  <c r="F663" i="11" s="1"/>
  <c r="F539" i="11"/>
  <c r="D22" i="22"/>
  <c r="I115" i="12"/>
  <c r="C648" i="11"/>
  <c r="F648" i="11" s="1"/>
  <c r="F524" i="11"/>
  <c r="C672" i="11"/>
  <c r="F672" i="11" s="1"/>
  <c r="F548" i="11"/>
  <c r="N411" i="13"/>
  <c r="L28" i="12" s="1"/>
  <c r="G26" i="32" s="1"/>
  <c r="G28" i="32" s="1"/>
  <c r="O408" i="13"/>
  <c r="O411" i="13" s="1"/>
  <c r="M28" i="12" s="1"/>
  <c r="H26" i="32" s="1"/>
  <c r="H28" i="32" s="1"/>
  <c r="C673" i="11"/>
  <c r="F673" i="11" s="1"/>
  <c r="F549" i="11"/>
  <c r="E22" i="23"/>
  <c r="F18" i="23"/>
  <c r="J116" i="12"/>
  <c r="M315" i="1"/>
  <c r="M856" i="1"/>
  <c r="J16" i="12" s="1"/>
  <c r="E24" i="22" s="1"/>
  <c r="M772" i="1"/>
  <c r="C709" i="11"/>
  <c r="F709" i="11" s="1"/>
  <c r="F585" i="11"/>
  <c r="O235" i="13"/>
  <c r="I7" i="32"/>
  <c r="M139" i="13"/>
  <c r="G9" i="35"/>
  <c r="I38" i="38"/>
  <c r="I39" i="38"/>
  <c r="I41" i="38" s="1"/>
  <c r="C693" i="11"/>
  <c r="F693" i="11" s="1"/>
  <c r="F569" i="11"/>
  <c r="I67" i="12"/>
  <c r="E15" i="10" s="1"/>
  <c r="E20" i="11" s="1"/>
  <c r="N785" i="1"/>
  <c r="N847" i="1"/>
  <c r="K7" i="12" s="1"/>
  <c r="N373" i="1"/>
  <c r="N709" i="1"/>
  <c r="J109" i="12"/>
  <c r="E22" i="5"/>
  <c r="F18" i="5"/>
  <c r="L236" i="11"/>
  <c r="L360" i="11"/>
  <c r="L484" i="11" s="1"/>
  <c r="K225" i="11"/>
  <c r="K349" i="11"/>
  <c r="K473" i="11" s="1"/>
  <c r="L353" i="13"/>
  <c r="C643" i="11"/>
  <c r="F643" i="11" s="1"/>
  <c r="F519" i="11"/>
  <c r="R103" i="12"/>
  <c r="J103" i="12"/>
  <c r="F23" i="23" s="1"/>
  <c r="Q103" i="12"/>
  <c r="M23" i="23" s="1"/>
  <c r="M26" i="23" s="1"/>
  <c r="I103" i="12"/>
  <c r="E23" i="23" s="1"/>
  <c r="E26" i="23" s="1"/>
  <c r="P103" i="12"/>
  <c r="L23" i="23" s="1"/>
  <c r="L26" i="23" s="1"/>
  <c r="H103" i="12"/>
  <c r="D23" i="23" s="1"/>
  <c r="D26" i="23" s="1"/>
  <c r="O103" i="12"/>
  <c r="K23" i="23" s="1"/>
  <c r="K26" i="23" s="1"/>
  <c r="N103" i="12"/>
  <c r="J23" i="23" s="1"/>
  <c r="J26" i="23" s="1"/>
  <c r="M103" i="12"/>
  <c r="I23" i="23" s="1"/>
  <c r="I26" i="23" s="1"/>
  <c r="L103" i="12"/>
  <c r="H23" i="23" s="1"/>
  <c r="H26" i="23" s="1"/>
  <c r="O196" i="12"/>
  <c r="O211" i="12" s="1"/>
  <c r="O221" i="12" s="1"/>
  <c r="K103" i="12"/>
  <c r="G23" i="23" s="1"/>
  <c r="F598" i="11"/>
  <c r="C722" i="11"/>
  <c r="F722" i="11" s="1"/>
  <c r="P235" i="13"/>
  <c r="F58" i="52"/>
  <c r="O425" i="1"/>
  <c r="O414" i="1"/>
  <c r="N416" i="1"/>
  <c r="N417" i="1" s="1"/>
  <c r="K370" i="11"/>
  <c r="K494" i="11" s="1"/>
  <c r="K246" i="11"/>
  <c r="C27" i="20"/>
  <c r="C28" i="20" s="1"/>
  <c r="C29" i="20" s="1"/>
  <c r="H168" i="12"/>
  <c r="F53" i="58"/>
  <c r="N53" i="58" s="1"/>
  <c r="M371" i="13"/>
  <c r="H101" i="12"/>
  <c r="D23" i="21" s="1"/>
  <c r="D26" i="21" s="1"/>
  <c r="M196" i="12"/>
  <c r="M211" i="12" s="1"/>
  <c r="K378" i="13"/>
  <c r="K126" i="13"/>
  <c r="K453" i="13"/>
  <c r="K370" i="13"/>
  <c r="J133" i="38"/>
  <c r="J135" i="38" s="1"/>
  <c r="G18" i="25"/>
  <c r="G19" i="25" s="1"/>
  <c r="L118" i="12" s="1"/>
  <c r="E27" i="18"/>
  <c r="E28" i="18" s="1"/>
  <c r="E29" i="18"/>
  <c r="J166" i="12"/>
  <c r="M212" i="12"/>
  <c r="M68" i="12"/>
  <c r="E60" i="10" s="1"/>
  <c r="E65" i="11" s="1"/>
  <c r="I88" i="12"/>
  <c r="M197" i="12" s="1"/>
  <c r="G716" i="11"/>
  <c r="I716" i="11" s="1"/>
  <c r="E22" i="20"/>
  <c r="F18" i="20"/>
  <c r="J113" i="12"/>
  <c r="C745" i="11"/>
  <c r="F745" i="11" s="1"/>
  <c r="F621" i="11"/>
  <c r="O642" i="1"/>
  <c r="G91" i="52" s="1"/>
  <c r="P636" i="1"/>
  <c r="S34" i="13"/>
  <c r="T30" i="13"/>
  <c r="T34" i="13" s="1"/>
  <c r="K397" i="13"/>
  <c r="D19" i="31"/>
  <c r="F575" i="11"/>
  <c r="C699" i="11"/>
  <c r="F699" i="11" s="1"/>
  <c r="N67" i="12"/>
  <c r="E70" i="10" s="1"/>
  <c r="E75" i="11" s="1"/>
  <c r="G683" i="11"/>
  <c r="I683" i="11" s="1"/>
  <c r="L26" i="38"/>
  <c r="L25" i="38"/>
  <c r="L27" i="38" s="1"/>
  <c r="L207" i="38"/>
  <c r="L208" i="38"/>
  <c r="H22" i="22"/>
  <c r="M115" i="12"/>
  <c r="I18" i="22"/>
  <c r="E71" i="10"/>
  <c r="E76" i="11" s="1"/>
  <c r="F69" i="12"/>
  <c r="F68" i="12"/>
  <c r="M306" i="13"/>
  <c r="M300" i="13"/>
  <c r="M449" i="13"/>
  <c r="L317" i="13"/>
  <c r="M161" i="13"/>
  <c r="C739" i="11"/>
  <c r="F739" i="11" s="1"/>
  <c r="F615" i="11"/>
  <c r="H20" i="5"/>
  <c r="H16" i="5"/>
  <c r="I6" i="5"/>
  <c r="K451" i="13"/>
  <c r="K336" i="13"/>
  <c r="K124" i="13"/>
  <c r="K337" i="13"/>
  <c r="C655" i="11"/>
  <c r="F655" i="11" s="1"/>
  <c r="F531" i="11"/>
  <c r="H170" i="12"/>
  <c r="C27" i="22"/>
  <c r="C28" i="22" s="1"/>
  <c r="C29" i="22"/>
  <c r="P547" i="1"/>
  <c r="P548" i="1" s="1"/>
  <c r="O548" i="1"/>
  <c r="P549" i="1" s="1"/>
  <c r="D549" i="1" s="1"/>
  <c r="E179" i="11"/>
  <c r="E303" i="11" s="1"/>
  <c r="E427" i="11" s="1"/>
  <c r="E551" i="11" s="1"/>
  <c r="E675" i="11" s="1"/>
  <c r="I179" i="11"/>
  <c r="Q55" i="11"/>
  <c r="K55" i="11"/>
  <c r="M55" i="11"/>
  <c r="O55" i="11"/>
  <c r="J55" i="11"/>
  <c r="N55" i="11"/>
  <c r="P55" i="11"/>
  <c r="L55" i="11"/>
  <c r="F579" i="11"/>
  <c r="C703" i="11"/>
  <c r="F703" i="11" s="1"/>
  <c r="I171" i="12"/>
  <c r="D27" i="23"/>
  <c r="D28" i="23" s="1"/>
  <c r="D29" i="23" s="1"/>
  <c r="P183" i="11"/>
  <c r="P307" i="11"/>
  <c r="P431" i="11" s="1"/>
  <c r="L90" i="38"/>
  <c r="K92" i="38"/>
  <c r="M170" i="1"/>
  <c r="M852" i="1"/>
  <c r="J12" i="12" s="1"/>
  <c r="E24" i="20" s="1"/>
  <c r="M229" i="38"/>
  <c r="M173" i="38"/>
  <c r="M179" i="38" s="1"/>
  <c r="M117" i="38"/>
  <c r="M123" i="38" s="1"/>
  <c r="M61" i="38"/>
  <c r="M215" i="38"/>
  <c r="M159" i="38"/>
  <c r="M103" i="38"/>
  <c r="M47" i="38"/>
  <c r="M54" i="38" s="1"/>
  <c r="S96" i="39"/>
  <c r="S12" i="39"/>
  <c r="M257" i="38"/>
  <c r="M263" i="38" s="1"/>
  <c r="M201" i="38"/>
  <c r="M145" i="38"/>
  <c r="M89" i="38"/>
  <c r="M96" i="38" s="1"/>
  <c r="M33" i="38"/>
  <c r="M40" i="38" s="1"/>
  <c r="M243" i="38"/>
  <c r="M187" i="38"/>
  <c r="M131" i="38"/>
  <c r="M75" i="38"/>
  <c r="M82" i="38" s="1"/>
  <c r="M19" i="38"/>
  <c r="S54" i="39"/>
  <c r="M12" i="38"/>
  <c r="M13" i="38" s="1"/>
  <c r="U530" i="1"/>
  <c r="U531" i="1" s="1"/>
  <c r="I138" i="38"/>
  <c r="I139" i="38" s="1"/>
  <c r="I136" i="38"/>
  <c r="I258" i="38"/>
  <c r="I260" i="38" s="1"/>
  <c r="I106" i="38"/>
  <c r="J104" i="38"/>
  <c r="C632" i="11"/>
  <c r="F632" i="11" s="1"/>
  <c r="F508" i="11"/>
  <c r="N453" i="13"/>
  <c r="N370" i="13"/>
  <c r="N126" i="13"/>
  <c r="N456" i="1"/>
  <c r="N857" i="1"/>
  <c r="K17" i="12" s="1"/>
  <c r="N806" i="1"/>
  <c r="N853" i="1"/>
  <c r="K13" i="12" s="1"/>
  <c r="N665" i="1"/>
  <c r="N821" i="1"/>
  <c r="I164" i="12"/>
  <c r="F114" i="52"/>
  <c r="N769" i="1"/>
  <c r="L407" i="13"/>
  <c r="L421" i="13"/>
  <c r="L422" i="13" s="1"/>
  <c r="L8" i="27"/>
  <c r="K24" i="27"/>
  <c r="O67" i="12"/>
  <c r="E81" i="10" s="1"/>
  <c r="E86" i="11" s="1"/>
  <c r="E215" i="11"/>
  <c r="E339" i="11" s="1"/>
  <c r="E463" i="11" s="1"/>
  <c r="E587" i="11" s="1"/>
  <c r="E711" i="11" s="1"/>
  <c r="L215" i="11"/>
  <c r="P91" i="11"/>
  <c r="N91" i="11"/>
  <c r="Q91" i="11"/>
  <c r="M91" i="11"/>
  <c r="O91" i="11"/>
  <c r="F612" i="11"/>
  <c r="C736" i="11"/>
  <c r="F736" i="11" s="1"/>
  <c r="F594" i="11"/>
  <c r="C718" i="11"/>
  <c r="F718" i="11" s="1"/>
  <c r="H7" i="26"/>
  <c r="C667" i="11"/>
  <c r="F667" i="11" s="1"/>
  <c r="F543" i="11"/>
  <c r="J29" i="12"/>
  <c r="E26" i="33" s="1"/>
  <c r="E28" i="33" s="1"/>
  <c r="F5" i="93"/>
  <c r="E28" i="93"/>
  <c r="P234" i="13"/>
  <c r="L221" i="11"/>
  <c r="L345" i="11"/>
  <c r="L469" i="11" s="1"/>
  <c r="C707" i="11"/>
  <c r="F707" i="11" s="1"/>
  <c r="F583" i="11"/>
  <c r="C671" i="11"/>
  <c r="F671" i="11" s="1"/>
  <c r="F547" i="11"/>
  <c r="D27" i="20"/>
  <c r="D28" i="20" s="1"/>
  <c r="D29" i="20" s="1"/>
  <c r="I168" i="12"/>
  <c r="P436" i="1"/>
  <c r="O364" i="1"/>
  <c r="P363" i="1"/>
  <c r="C690" i="11"/>
  <c r="F690" i="11" s="1"/>
  <c r="F566" i="11"/>
  <c r="C684" i="11"/>
  <c r="F684" i="11" s="1"/>
  <c r="F560" i="11"/>
  <c r="C725" i="11"/>
  <c r="F725" i="11" s="1"/>
  <c r="F601" i="11"/>
  <c r="F588" i="11"/>
  <c r="C712" i="11"/>
  <c r="F712" i="11" s="1"/>
  <c r="L371" i="11"/>
  <c r="L495" i="11" s="1"/>
  <c r="L247" i="11"/>
  <c r="C666" i="11"/>
  <c r="F666" i="11" s="1"/>
  <c r="F542" i="11"/>
  <c r="C705" i="11"/>
  <c r="F705" i="11" s="1"/>
  <c r="F581" i="11"/>
  <c r="C680" i="11"/>
  <c r="F680" i="11" s="1"/>
  <c r="F556" i="11"/>
  <c r="N195" i="13"/>
  <c r="O199" i="13"/>
  <c r="K450" i="13"/>
  <c r="K123" i="13"/>
  <c r="K318" i="13"/>
  <c r="I110" i="12"/>
  <c r="D17" i="24" s="1"/>
  <c r="D22" i="17"/>
  <c r="E18" i="17"/>
  <c r="C639" i="11"/>
  <c r="F639" i="11" s="1"/>
  <c r="F515" i="11"/>
  <c r="J173" i="12"/>
  <c r="G147" i="38"/>
  <c r="D18" i="26"/>
  <c r="D19" i="26" s="1"/>
  <c r="E21" i="5"/>
  <c r="H55" i="12"/>
  <c r="J32" i="12"/>
  <c r="J44" i="12"/>
  <c r="J49" i="12" s="1"/>
  <c r="J83" i="12"/>
  <c r="H198" i="12" s="1"/>
  <c r="C721" i="11"/>
  <c r="F721" i="11" s="1"/>
  <c r="F597" i="11"/>
  <c r="F36" i="58"/>
  <c r="M333" i="13"/>
  <c r="N332" i="13"/>
  <c r="D27" i="18"/>
  <c r="D28" i="18" s="1"/>
  <c r="D29" i="18" s="1"/>
  <c r="I166" i="12"/>
  <c r="J94" i="38"/>
  <c r="J95" i="38"/>
  <c r="J97" i="38" s="1"/>
  <c r="M16" i="13"/>
  <c r="N783" i="1"/>
  <c r="N770" i="1"/>
  <c r="N772" i="1" s="1"/>
  <c r="N775" i="1" s="1"/>
  <c r="N389" i="1"/>
  <c r="N720" i="1"/>
  <c r="N627" i="1"/>
  <c r="N629" i="1" s="1"/>
  <c r="N632" i="1" s="1"/>
  <c r="N834" i="1"/>
  <c r="N858" i="1" s="1"/>
  <c r="K18" i="12" s="1"/>
  <c r="F24" i="23" s="1"/>
  <c r="N748" i="1"/>
  <c r="N663" i="1"/>
  <c r="N852" i="1" s="1"/>
  <c r="K12" i="12" s="1"/>
  <c r="F24" i="20" s="1"/>
  <c r="F26" i="20" s="1"/>
  <c r="N428" i="1"/>
  <c r="N430" i="1" s="1"/>
  <c r="N433" i="1" s="1"/>
  <c r="N371" i="1"/>
  <c r="N485" i="1"/>
  <c r="N487" i="1" s="1"/>
  <c r="N406" i="1"/>
  <c r="N313" i="1"/>
  <c r="N315" i="1" s="1"/>
  <c r="N759" i="1"/>
  <c r="N707" i="1"/>
  <c r="N537" i="1"/>
  <c r="N519" i="1"/>
  <c r="G70" i="1" s="1"/>
  <c r="N454" i="1"/>
  <c r="N736" i="1"/>
  <c r="N694" i="1"/>
  <c r="N645" i="1"/>
  <c r="N850" i="1" s="1"/>
  <c r="K10" i="12" s="1"/>
  <c r="F24" i="19" s="1"/>
  <c r="N439" i="1"/>
  <c r="N441" i="1" s="1"/>
  <c r="N804" i="1"/>
  <c r="N680" i="1"/>
  <c r="N505" i="1"/>
  <c r="G69" i="1" s="1"/>
  <c r="N351" i="1"/>
  <c r="N324" i="1"/>
  <c r="N326" i="1" s="1"/>
  <c r="N819" i="1"/>
  <c r="N557" i="1"/>
  <c r="N469" i="1"/>
  <c r="N335" i="1"/>
  <c r="N337" i="1" s="1"/>
  <c r="N253" i="1"/>
  <c r="N255" i="1" s="1"/>
  <c r="N241" i="1"/>
  <c r="N243" i="1" s="1"/>
  <c r="N144" i="1"/>
  <c r="N22" i="1"/>
  <c r="O21" i="1"/>
  <c r="N156" i="1"/>
  <c r="N158" i="1" s="1"/>
  <c r="N594" i="1"/>
  <c r="N596" i="1" s="1"/>
  <c r="N599" i="1" s="1"/>
  <c r="N269" i="1"/>
  <c r="N229" i="1"/>
  <c r="N231" i="1" s="1"/>
  <c r="N168" i="1"/>
  <c r="N170" i="1" s="1"/>
  <c r="N184" i="1"/>
  <c r="F622" i="11"/>
  <c r="C746" i="11"/>
  <c r="F746" i="11" s="1"/>
  <c r="J354" i="11"/>
  <c r="J478" i="11" s="1"/>
  <c r="J230" i="11"/>
  <c r="F618" i="11"/>
  <c r="C742" i="11"/>
  <c r="F742" i="11" s="1"/>
  <c r="H95" i="38"/>
  <c r="H97" i="38" s="1"/>
  <c r="H94" i="38"/>
  <c r="F614" i="11"/>
  <c r="C738" i="11"/>
  <c r="F738" i="11" s="1"/>
  <c r="S227" i="13"/>
  <c r="M326" i="1"/>
  <c r="C731" i="11"/>
  <c r="F731" i="11" s="1"/>
  <c r="F607" i="11"/>
  <c r="N5" i="38"/>
  <c r="R193" i="13"/>
  <c r="R50" i="13"/>
  <c r="R48" i="13"/>
  <c r="R46" i="13"/>
  <c r="R44" i="13"/>
  <c r="S23" i="13"/>
  <c r="R51" i="13"/>
  <c r="R49" i="13"/>
  <c r="R47" i="13"/>
  <c r="R45" i="13"/>
  <c r="S12" i="1"/>
  <c r="S14" i="1" s="1"/>
  <c r="L287" i="13"/>
  <c r="J21" i="12" s="1"/>
  <c r="E26" i="25" s="1"/>
  <c r="E28" i="25" s="1"/>
  <c r="M285" i="13"/>
  <c r="G682" i="11"/>
  <c r="I682" i="11" s="1"/>
  <c r="I22" i="12"/>
  <c r="D26" i="26" s="1"/>
  <c r="D28" i="26" s="1"/>
  <c r="F611" i="11"/>
  <c r="C735" i="11"/>
  <c r="F735" i="11" s="1"/>
  <c r="H263" i="38"/>
  <c r="N696" i="1"/>
  <c r="H75" i="1"/>
  <c r="N521" i="1"/>
  <c r="D521" i="1" s="1"/>
  <c r="F70" i="1" s="1"/>
  <c r="H70" i="1"/>
  <c r="I128" i="12"/>
  <c r="D20" i="36" s="1"/>
  <c r="I131" i="12"/>
  <c r="F90" i="52"/>
  <c r="N646" i="1"/>
  <c r="N77" i="13"/>
  <c r="M406" i="13"/>
  <c r="M353" i="13"/>
  <c r="J29" i="27"/>
  <c r="J30" i="27" s="1"/>
  <c r="J31" i="27"/>
  <c r="O175" i="12"/>
  <c r="J170" i="12"/>
  <c r="H16" i="18"/>
  <c r="I6" i="18"/>
  <c r="H20" i="18"/>
  <c r="C657" i="11"/>
  <c r="F657" i="11" s="1"/>
  <c r="F533" i="11"/>
  <c r="C679" i="11"/>
  <c r="F679" i="11" s="1"/>
  <c r="F555" i="11"/>
  <c r="P309" i="11"/>
  <c r="P433" i="11" s="1"/>
  <c r="P185" i="11"/>
  <c r="C681" i="11"/>
  <c r="F681" i="11" s="1"/>
  <c r="F557" i="11"/>
  <c r="C686" i="11"/>
  <c r="F686" i="11" s="1"/>
  <c r="F562" i="11"/>
  <c r="C674" i="11"/>
  <c r="F674" i="11" s="1"/>
  <c r="F550" i="11"/>
  <c r="N423" i="13"/>
  <c r="M424" i="13"/>
  <c r="K29" i="12" s="1"/>
  <c r="F26" i="33" s="1"/>
  <c r="F28" i="33" s="1"/>
  <c r="Q207" i="13"/>
  <c r="Q227" i="13"/>
  <c r="M19" i="50"/>
  <c r="O11" i="50" s="1"/>
  <c r="M57" i="39"/>
  <c r="C701" i="11"/>
  <c r="F701" i="11" s="1"/>
  <c r="F577" i="11"/>
  <c r="C675" i="11"/>
  <c r="F675" i="11" s="1"/>
  <c r="F551" i="11"/>
  <c r="L15" i="50"/>
  <c r="N15" i="50" s="1"/>
  <c r="M15" i="50" s="1"/>
  <c r="O15" i="50" s="1"/>
  <c r="K844" i="1"/>
  <c r="H4" i="12" s="1"/>
  <c r="C665" i="11"/>
  <c r="F665" i="11" s="1"/>
  <c r="F541" i="11"/>
  <c r="C635" i="11"/>
  <c r="F635" i="11" s="1"/>
  <c r="F511" i="11"/>
  <c r="O206" i="11"/>
  <c r="O330" i="11"/>
  <c r="O454" i="11" s="1"/>
  <c r="C26" i="37"/>
  <c r="C59" i="93"/>
  <c r="G217" i="38"/>
  <c r="D18" i="31"/>
  <c r="J112" i="12"/>
  <c r="E22" i="19"/>
  <c r="F18" i="19"/>
  <c r="L138" i="38"/>
  <c r="L137" i="38"/>
  <c r="L139" i="38" s="1"/>
  <c r="L236" i="38"/>
  <c r="L235" i="38"/>
  <c r="C668" i="11"/>
  <c r="F668" i="11" s="1"/>
  <c r="F544" i="11"/>
  <c r="O448" i="13"/>
  <c r="O121" i="13"/>
  <c r="C670" i="11"/>
  <c r="F670" i="11" s="1"/>
  <c r="F546" i="11"/>
  <c r="C27" i="17"/>
  <c r="C28" i="17" s="1"/>
  <c r="C29" i="17" s="1"/>
  <c r="H165" i="12"/>
  <c r="H183" i="12" s="1"/>
  <c r="F24" i="25"/>
  <c r="G7" i="25"/>
  <c r="L358" i="13"/>
  <c r="J25" i="12" s="1"/>
  <c r="E26" i="29" s="1"/>
  <c r="E28" i="29" s="1"/>
  <c r="M357" i="13"/>
  <c r="K359" i="11"/>
  <c r="K483" i="11" s="1"/>
  <c r="K235" i="11"/>
  <c r="C669" i="11"/>
  <c r="F669" i="11" s="1"/>
  <c r="F545" i="11"/>
  <c r="C729" i="11"/>
  <c r="F729" i="11" s="1"/>
  <c r="F605" i="11"/>
  <c r="P237" i="13"/>
  <c r="H20" i="22"/>
  <c r="H16" i="22"/>
  <c r="I6" i="22"/>
  <c r="L335" i="13"/>
  <c r="E37" i="58"/>
  <c r="D26" i="37"/>
  <c r="D59" i="93"/>
  <c r="F26" i="16" l="1"/>
  <c r="F28" i="16" s="1"/>
  <c r="N585" i="1"/>
  <c r="N588" i="1" s="1"/>
  <c r="M221" i="11"/>
  <c r="M345" i="11"/>
  <c r="M469" i="11" s="1"/>
  <c r="Q307" i="11"/>
  <c r="Q431" i="11" s="1"/>
  <c r="G679" i="11" s="1"/>
  <c r="I679" i="11" s="1"/>
  <c r="Q183" i="11"/>
  <c r="O423" i="13"/>
  <c r="O424" i="13" s="1"/>
  <c r="M29" i="12" s="1"/>
  <c r="H26" i="33" s="1"/>
  <c r="H28" i="33" s="1"/>
  <c r="N424" i="13"/>
  <c r="O77" i="13"/>
  <c r="N406" i="13"/>
  <c r="N353" i="13"/>
  <c r="O720" i="1"/>
  <c r="O627" i="1"/>
  <c r="O629" i="1" s="1"/>
  <c r="O632" i="1" s="1"/>
  <c r="O335" i="1"/>
  <c r="O337" i="1" s="1"/>
  <c r="O834" i="1"/>
  <c r="O858" i="1" s="1"/>
  <c r="L18" i="12" s="1"/>
  <c r="G24" i="23" s="1"/>
  <c r="G26" i="23" s="1"/>
  <c r="O748" i="1"/>
  <c r="O663" i="1"/>
  <c r="O852" i="1" s="1"/>
  <c r="L12" i="12" s="1"/>
  <c r="G24" i="20" s="1"/>
  <c r="G26" i="20" s="1"/>
  <c r="O485" i="1"/>
  <c r="O487" i="1" s="1"/>
  <c r="O406" i="1"/>
  <c r="O313" i="1"/>
  <c r="O315" i="1" s="1"/>
  <c r="O707" i="1"/>
  <c r="O537" i="1"/>
  <c r="O454" i="1"/>
  <c r="O736" i="1"/>
  <c r="O694" i="1"/>
  <c r="O645" i="1"/>
  <c r="O850" i="1" s="1"/>
  <c r="L10" i="12" s="1"/>
  <c r="G24" i="19" s="1"/>
  <c r="O439" i="1"/>
  <c r="O441" i="1" s="1"/>
  <c r="O804" i="1"/>
  <c r="O680" i="1"/>
  <c r="O819" i="1"/>
  <c r="O557" i="1"/>
  <c r="O469" i="1"/>
  <c r="N16" i="13"/>
  <c r="O783" i="1"/>
  <c r="O389" i="1"/>
  <c r="O241" i="1"/>
  <c r="O243" i="1" s="1"/>
  <c r="O144" i="1"/>
  <c r="P21" i="1"/>
  <c r="O22" i="1"/>
  <c r="O156" i="1"/>
  <c r="O158" i="1" s="1"/>
  <c r="O229" i="1"/>
  <c r="O231" i="1" s="1"/>
  <c r="O184" i="1"/>
  <c r="G42" i="1" s="1"/>
  <c r="O269" i="1"/>
  <c r="O351" i="1"/>
  <c r="O168" i="1"/>
  <c r="O170" i="1" s="1"/>
  <c r="O371" i="1"/>
  <c r="O324" i="1"/>
  <c r="O253" i="1"/>
  <c r="O255" i="1" s="1"/>
  <c r="N851" i="1"/>
  <c r="K11" i="12" s="1"/>
  <c r="N647" i="1"/>
  <c r="I16" i="22"/>
  <c r="J6" i="22"/>
  <c r="I20" i="22"/>
  <c r="K112" i="12"/>
  <c r="F22" i="19"/>
  <c r="G18" i="19"/>
  <c r="O5" i="38"/>
  <c r="S50" i="13"/>
  <c r="S48" i="13"/>
  <c r="S46" i="13"/>
  <c r="S44" i="13"/>
  <c r="T23" i="13"/>
  <c r="S51" i="13"/>
  <c r="S49" i="13"/>
  <c r="S47" i="13"/>
  <c r="S45" i="13"/>
  <c r="S193" i="13"/>
  <c r="T12" i="1"/>
  <c r="T14" i="1" s="1"/>
  <c r="G60" i="1"/>
  <c r="E59" i="93"/>
  <c r="E26" i="37"/>
  <c r="E29" i="25"/>
  <c r="E30" i="25" s="1"/>
  <c r="E31" i="25" s="1"/>
  <c r="H60" i="52"/>
  <c r="P438" i="1"/>
  <c r="P444" i="1" s="1"/>
  <c r="E210" i="11"/>
  <c r="E334" i="11" s="1"/>
  <c r="E458" i="11" s="1"/>
  <c r="E582" i="11" s="1"/>
  <c r="E706" i="11" s="1"/>
  <c r="J86" i="11"/>
  <c r="L86" i="11"/>
  <c r="P86" i="11"/>
  <c r="N86" i="11"/>
  <c r="H86" i="11"/>
  <c r="Q86" i="11"/>
  <c r="K86" i="11"/>
  <c r="I86" i="11"/>
  <c r="G210" i="11"/>
  <c r="O86" i="11"/>
  <c r="M86" i="11"/>
  <c r="M194" i="38"/>
  <c r="M193" i="38"/>
  <c r="S103" i="39"/>
  <c r="S102" i="39"/>
  <c r="M235" i="38"/>
  <c r="M237" i="38" s="1"/>
  <c r="M236" i="38"/>
  <c r="J168" i="12"/>
  <c r="I101" i="12"/>
  <c r="E23" i="21" s="1"/>
  <c r="E26" i="21" s="1"/>
  <c r="J97" i="12"/>
  <c r="F23" i="17" s="1"/>
  <c r="M685" i="1"/>
  <c r="L223" i="11"/>
  <c r="L347" i="11"/>
  <c r="L471" i="11" s="1"/>
  <c r="L166" i="12"/>
  <c r="J96" i="12"/>
  <c r="L241" i="11"/>
  <c r="L365" i="11"/>
  <c r="L489" i="11" s="1"/>
  <c r="G231" i="38"/>
  <c r="D18" i="32"/>
  <c r="D19" i="32" s="1"/>
  <c r="M588" i="1"/>
  <c r="L242" i="11"/>
  <c r="L366" i="11"/>
  <c r="L490" i="11" s="1"/>
  <c r="H8" i="35"/>
  <c r="N138" i="13"/>
  <c r="O857" i="1"/>
  <c r="L17" i="12" s="1"/>
  <c r="O806" i="1"/>
  <c r="S74" i="13"/>
  <c r="I291" i="11"/>
  <c r="I415" i="11" s="1"/>
  <c r="I167" i="11"/>
  <c r="E22" i="21"/>
  <c r="F18" i="21"/>
  <c r="J114" i="12"/>
  <c r="E133" i="11"/>
  <c r="E257" i="11" s="1"/>
  <c r="E381" i="11" s="1"/>
  <c r="E505" i="11" s="1"/>
  <c r="E629" i="11" s="1"/>
  <c r="Q9" i="11"/>
  <c r="K9" i="11"/>
  <c r="I9" i="11"/>
  <c r="G133" i="11"/>
  <c r="M9" i="11"/>
  <c r="O9" i="11"/>
  <c r="J9" i="11"/>
  <c r="N9" i="11"/>
  <c r="P9" i="11"/>
  <c r="L9" i="11"/>
  <c r="H9" i="11"/>
  <c r="L195" i="38"/>
  <c r="L228" i="13"/>
  <c r="K268" i="13"/>
  <c r="K6" i="58"/>
  <c r="S228" i="13"/>
  <c r="E188" i="11"/>
  <c r="E312" i="11" s="1"/>
  <c r="E436" i="11" s="1"/>
  <c r="E560" i="11" s="1"/>
  <c r="E684" i="11" s="1"/>
  <c r="Q64" i="11"/>
  <c r="K64" i="11"/>
  <c r="I64" i="11"/>
  <c r="G188" i="11"/>
  <c r="M64" i="11"/>
  <c r="O64" i="11"/>
  <c r="J64" i="11"/>
  <c r="L64" i="11"/>
  <c r="P64" i="11"/>
  <c r="N64" i="11"/>
  <c r="H64" i="11"/>
  <c r="G114" i="52"/>
  <c r="O769" i="1"/>
  <c r="O770" i="1" s="1"/>
  <c r="L234" i="11"/>
  <c r="L358" i="11"/>
  <c r="L482" i="11" s="1"/>
  <c r="D21" i="36"/>
  <c r="L6" i="58"/>
  <c r="T228" i="13"/>
  <c r="E166" i="11"/>
  <c r="E290" i="11" s="1"/>
  <c r="E414" i="11" s="1"/>
  <c r="E538" i="11" s="1"/>
  <c r="E662" i="11" s="1"/>
  <c r="K42" i="11"/>
  <c r="I42" i="11"/>
  <c r="G166" i="11"/>
  <c r="M42" i="11"/>
  <c r="O42" i="11"/>
  <c r="J42" i="11"/>
  <c r="N42" i="11"/>
  <c r="P42" i="11"/>
  <c r="L42" i="11"/>
  <c r="H42" i="11"/>
  <c r="Q42" i="11"/>
  <c r="E134" i="11"/>
  <c r="E258" i="11" s="1"/>
  <c r="E382" i="11" s="1"/>
  <c r="E506" i="11" s="1"/>
  <c r="E630" i="11" s="1"/>
  <c r="J10" i="11"/>
  <c r="H134" i="11"/>
  <c r="N10" i="11"/>
  <c r="P10" i="11"/>
  <c r="L10" i="11"/>
  <c r="O10" i="11"/>
  <c r="I10" i="11"/>
  <c r="Q10" i="11"/>
  <c r="K10" i="11"/>
  <c r="M10" i="11"/>
  <c r="L237" i="11"/>
  <c r="L361" i="11"/>
  <c r="L485" i="11" s="1"/>
  <c r="D27" i="21"/>
  <c r="D28" i="21" s="1"/>
  <c r="D29" i="21" s="1"/>
  <c r="I169" i="12"/>
  <c r="F21" i="21"/>
  <c r="M56" i="12"/>
  <c r="G74" i="12"/>
  <c r="G60" i="12"/>
  <c r="O162" i="12"/>
  <c r="O107" i="12"/>
  <c r="N80" i="12"/>
  <c r="N93" i="12" s="1"/>
  <c r="G202" i="12"/>
  <c r="G217" i="12"/>
  <c r="O151" i="12"/>
  <c r="P2" i="12"/>
  <c r="O228" i="13"/>
  <c r="J6" i="20"/>
  <c r="I20" i="20"/>
  <c r="I16" i="20"/>
  <c r="K368" i="11"/>
  <c r="K492" i="11" s="1"/>
  <c r="K244" i="11"/>
  <c r="G90" i="52"/>
  <c r="O646" i="1"/>
  <c r="E27" i="19"/>
  <c r="E28" i="19" s="1"/>
  <c r="E29" i="19" s="1"/>
  <c r="J167" i="12"/>
  <c r="L225" i="11"/>
  <c r="L349" i="11"/>
  <c r="L473" i="11" s="1"/>
  <c r="H9" i="35"/>
  <c r="N139" i="13"/>
  <c r="L237" i="38"/>
  <c r="J6" i="58"/>
  <c r="R228" i="13"/>
  <c r="H186" i="12"/>
  <c r="N333" i="13"/>
  <c r="O332" i="13"/>
  <c r="G36" i="58"/>
  <c r="H69" i="12"/>
  <c r="E6" i="10" s="1"/>
  <c r="E11" i="11" s="1"/>
  <c r="H213" i="12"/>
  <c r="O195" i="13"/>
  <c r="P199" i="13"/>
  <c r="L24" i="27"/>
  <c r="M8" i="27"/>
  <c r="M24" i="27" s="1"/>
  <c r="M110" i="38"/>
  <c r="M109" i="38"/>
  <c r="L337" i="13"/>
  <c r="K342" i="13"/>
  <c r="L209" i="38"/>
  <c r="D24" i="31"/>
  <c r="I124" i="12"/>
  <c r="P642" i="1"/>
  <c r="H91" i="52" s="1"/>
  <c r="Q636" i="1"/>
  <c r="J101" i="12"/>
  <c r="F23" i="21" s="1"/>
  <c r="F26" i="21" s="1"/>
  <c r="Q236" i="13"/>
  <c r="F26" i="23"/>
  <c r="J43" i="52"/>
  <c r="S332" i="1"/>
  <c r="R334" i="1"/>
  <c r="L48" i="38"/>
  <c r="K50" i="38"/>
  <c r="M239" i="11"/>
  <c r="M363" i="11"/>
  <c r="M487" i="11" s="1"/>
  <c r="H152" i="38"/>
  <c r="H153" i="38" s="1"/>
  <c r="H150" i="38"/>
  <c r="K354" i="13"/>
  <c r="K452" i="13"/>
  <c r="K355" i="13"/>
  <c r="K125" i="13"/>
  <c r="Q262" i="1"/>
  <c r="R261" i="1"/>
  <c r="N395" i="13"/>
  <c r="O392" i="13"/>
  <c r="O395" i="13" s="1"/>
  <c r="M27" i="12" s="1"/>
  <c r="H26" i="31" s="1"/>
  <c r="H28" i="31" s="1"/>
  <c r="C22" i="24"/>
  <c r="D18" i="24"/>
  <c r="L231" i="11"/>
  <c r="L355" i="11"/>
  <c r="L479" i="11" s="1"/>
  <c r="L227" i="11"/>
  <c r="L351" i="11"/>
  <c r="L475" i="11" s="1"/>
  <c r="O853" i="1"/>
  <c r="L13" i="12" s="1"/>
  <c r="O665" i="1"/>
  <c r="O539" i="1"/>
  <c r="O542" i="1" s="1"/>
  <c r="O849" i="1"/>
  <c r="L9" i="12" s="1"/>
  <c r="O859" i="1"/>
  <c r="L19" i="12" s="1"/>
  <c r="G21" i="23" s="1"/>
  <c r="O836" i="1"/>
  <c r="O839" i="1" s="1"/>
  <c r="P308" i="11"/>
  <c r="P432" i="11" s="1"/>
  <c r="P184" i="11"/>
  <c r="M226" i="11"/>
  <c r="M350" i="11"/>
  <c r="M474" i="11" s="1"/>
  <c r="M844" i="1"/>
  <c r="P756" i="1"/>
  <c r="Q730" i="1"/>
  <c r="P640" i="1"/>
  <c r="P767" i="1"/>
  <c r="P731" i="1"/>
  <c r="H16" i="17"/>
  <c r="I6" i="17"/>
  <c r="H20" i="17"/>
  <c r="N848" i="1"/>
  <c r="K8" i="12" s="1"/>
  <c r="F24" i="18" s="1"/>
  <c r="G18" i="30"/>
  <c r="G24" i="30" s="1"/>
  <c r="J52" i="38"/>
  <c r="J53" i="38"/>
  <c r="J55" i="38" s="1"/>
  <c r="L250" i="11"/>
  <c r="L374" i="11"/>
  <c r="L498" i="11" s="1"/>
  <c r="M358" i="13"/>
  <c r="K25" i="12" s="1"/>
  <c r="F26" i="29" s="1"/>
  <c r="F28" i="29" s="1"/>
  <c r="N357" i="13"/>
  <c r="J6" i="18"/>
  <c r="I20" i="18"/>
  <c r="I16" i="18"/>
  <c r="H185" i="12"/>
  <c r="C28" i="36" s="1"/>
  <c r="N854" i="1"/>
  <c r="K14" i="12" s="1"/>
  <c r="F24" i="21" s="1"/>
  <c r="N682" i="1"/>
  <c r="N685" i="1" s="1"/>
  <c r="L456" i="13"/>
  <c r="L426" i="13"/>
  <c r="F21" i="22"/>
  <c r="N56" i="12"/>
  <c r="E26" i="20"/>
  <c r="E27" i="20" s="1"/>
  <c r="E28" i="20" s="1"/>
  <c r="M236" i="11"/>
  <c r="M360" i="11"/>
  <c r="M484" i="11" s="1"/>
  <c r="K212" i="11"/>
  <c r="K336" i="11"/>
  <c r="K460" i="11" s="1"/>
  <c r="K240" i="11"/>
  <c r="K364" i="11"/>
  <c r="K488" i="11" s="1"/>
  <c r="M229" i="11"/>
  <c r="M353" i="11"/>
  <c r="M477" i="11" s="1"/>
  <c r="G35" i="58"/>
  <c r="O331" i="13"/>
  <c r="H217" i="38"/>
  <c r="H219" i="38" s="1"/>
  <c r="E18" i="31"/>
  <c r="M340" i="13"/>
  <c r="N339" i="13"/>
  <c r="H10" i="35"/>
  <c r="N140" i="13"/>
  <c r="I76" i="38"/>
  <c r="H78" i="38"/>
  <c r="N55" i="39"/>
  <c r="G245" i="38"/>
  <c r="D18" i="33"/>
  <c r="D19" i="33" s="1"/>
  <c r="K252" i="11"/>
  <c r="K376" i="11"/>
  <c r="K500" i="11" s="1"/>
  <c r="O408" i="1"/>
  <c r="L213" i="11"/>
  <c r="L337" i="11"/>
  <c r="L461" i="11" s="1"/>
  <c r="F52" i="1"/>
  <c r="D307" i="1"/>
  <c r="N268" i="13"/>
  <c r="L20" i="12" s="1"/>
  <c r="O267" i="13"/>
  <c r="H21" i="58"/>
  <c r="N21" i="58" s="1"/>
  <c r="O299" i="13"/>
  <c r="K248" i="11"/>
  <c r="K372" i="11"/>
  <c r="K496" i="11" s="1"/>
  <c r="D230" i="13"/>
  <c r="N179" i="13"/>
  <c r="M375" i="11"/>
  <c r="M499" i="11" s="1"/>
  <c r="M251" i="11"/>
  <c r="L228" i="11"/>
  <c r="L352" i="11"/>
  <c r="L476" i="11" s="1"/>
  <c r="G113" i="52"/>
  <c r="O758" i="1"/>
  <c r="O759" i="1" s="1"/>
  <c r="N562" i="1"/>
  <c r="D29" i="25"/>
  <c r="D30" i="25" s="1"/>
  <c r="D31" i="25" s="1"/>
  <c r="G161" i="38"/>
  <c r="D18" i="27"/>
  <c r="M354" i="13"/>
  <c r="M452" i="13"/>
  <c r="M125" i="13"/>
  <c r="K230" i="11"/>
  <c r="K354" i="11"/>
  <c r="K478" i="11" s="1"/>
  <c r="M335" i="13"/>
  <c r="F37" i="58"/>
  <c r="Q235" i="13"/>
  <c r="I7" i="26"/>
  <c r="M166" i="38"/>
  <c r="M165" i="38"/>
  <c r="N91" i="52"/>
  <c r="J138" i="38"/>
  <c r="J139" i="38" s="1"/>
  <c r="J136" i="38"/>
  <c r="L246" i="11"/>
  <c r="L370" i="11"/>
  <c r="L494" i="11" s="1"/>
  <c r="J7" i="32"/>
  <c r="I24" i="32"/>
  <c r="L369" i="11"/>
  <c r="L493" i="11" s="1"/>
  <c r="L245" i="11"/>
  <c r="I7" i="29"/>
  <c r="D96" i="93"/>
  <c r="D87" i="93"/>
  <c r="G219" i="38"/>
  <c r="Q185" i="11"/>
  <c r="Q309" i="11"/>
  <c r="Q433" i="11" s="1"/>
  <c r="G681" i="11" s="1"/>
  <c r="I681" i="11" s="1"/>
  <c r="M407" i="13"/>
  <c r="M421" i="13"/>
  <c r="M422" i="13" s="1"/>
  <c r="N856" i="1"/>
  <c r="K16" i="12" s="1"/>
  <c r="F24" i="22" s="1"/>
  <c r="F26" i="22" s="1"/>
  <c r="E19" i="26"/>
  <c r="I119" i="12"/>
  <c r="D24" i="26"/>
  <c r="J110" i="12"/>
  <c r="E22" i="17"/>
  <c r="F18" i="17"/>
  <c r="M247" i="11"/>
  <c r="M371" i="11"/>
  <c r="M495" i="11" s="1"/>
  <c r="L413" i="13"/>
  <c r="L128" i="13"/>
  <c r="L455" i="13"/>
  <c r="J258" i="38"/>
  <c r="J260" i="38" s="1"/>
  <c r="J106" i="38"/>
  <c r="M152" i="38"/>
  <c r="M151" i="38"/>
  <c r="M222" i="38"/>
  <c r="M221" i="38"/>
  <c r="M223" i="38" s="1"/>
  <c r="E200" i="11"/>
  <c r="E324" i="11" s="1"/>
  <c r="E448" i="11" s="1"/>
  <c r="E572" i="11" s="1"/>
  <c r="E696" i="11" s="1"/>
  <c r="J76" i="11"/>
  <c r="H200" i="11"/>
  <c r="L76" i="11"/>
  <c r="P76" i="11"/>
  <c r="N76" i="11"/>
  <c r="Q76" i="11"/>
  <c r="K76" i="11"/>
  <c r="I76" i="11"/>
  <c r="M76" i="11"/>
  <c r="O76" i="11"/>
  <c r="E189" i="11"/>
  <c r="E313" i="11" s="1"/>
  <c r="E437" i="11" s="1"/>
  <c r="E561" i="11" s="1"/>
  <c r="E685" i="11" s="1"/>
  <c r="P65" i="11"/>
  <c r="N65" i="11"/>
  <c r="Q65" i="11"/>
  <c r="K65" i="11"/>
  <c r="I65" i="11"/>
  <c r="M65" i="11"/>
  <c r="O65" i="11"/>
  <c r="J65" i="11"/>
  <c r="H189" i="11"/>
  <c r="L65" i="11"/>
  <c r="M453" i="13"/>
  <c r="M370" i="13"/>
  <c r="M378" i="13"/>
  <c r="M126" i="13"/>
  <c r="F22" i="5"/>
  <c r="G18" i="5"/>
  <c r="K109" i="12"/>
  <c r="N376" i="1"/>
  <c r="F22" i="23"/>
  <c r="G18" i="23"/>
  <c r="K116" i="12"/>
  <c r="G80" i="52"/>
  <c r="O582" i="1"/>
  <c r="O583" i="1" s="1"/>
  <c r="M228" i="13"/>
  <c r="L268" i="13"/>
  <c r="J20" i="12" s="1"/>
  <c r="J86" i="12"/>
  <c r="E21" i="19"/>
  <c r="K55" i="12"/>
  <c r="N376" i="13"/>
  <c r="L26" i="12" s="1"/>
  <c r="G26" i="30" s="1"/>
  <c r="G28" i="30" s="1"/>
  <c r="C35" i="30" s="1"/>
  <c r="C36" i="30" s="1"/>
  <c r="D20" i="39" s="1"/>
  <c r="O375" i="13"/>
  <c r="O376" i="13" s="1"/>
  <c r="M26" i="12" s="1"/>
  <c r="H26" i="30" s="1"/>
  <c r="H28" i="30" s="1"/>
  <c r="O28" i="30" s="1"/>
  <c r="I16" i="21"/>
  <c r="J6" i="21"/>
  <c r="I20" i="21"/>
  <c r="E177" i="11"/>
  <c r="E301" i="11" s="1"/>
  <c r="E425" i="11" s="1"/>
  <c r="E549" i="11" s="1"/>
  <c r="E673" i="11" s="1"/>
  <c r="P53" i="11"/>
  <c r="N53" i="11"/>
  <c r="H53" i="11"/>
  <c r="Q53" i="11"/>
  <c r="K53" i="11"/>
  <c r="I53" i="11"/>
  <c r="G177" i="11"/>
  <c r="M53" i="11"/>
  <c r="O53" i="11"/>
  <c r="J53" i="11"/>
  <c r="L53" i="11"/>
  <c r="D23" i="5"/>
  <c r="H104" i="12"/>
  <c r="H105" i="12"/>
  <c r="D28" i="37" s="1"/>
  <c r="E19" i="31"/>
  <c r="L397" i="13"/>
  <c r="E155" i="11"/>
  <c r="E279" i="11" s="1"/>
  <c r="E403" i="11" s="1"/>
  <c r="E527" i="11" s="1"/>
  <c r="E651" i="11" s="1"/>
  <c r="H31" i="11"/>
  <c r="Q31" i="11"/>
  <c r="K31" i="11"/>
  <c r="I31" i="11"/>
  <c r="G155" i="11"/>
  <c r="M31" i="11"/>
  <c r="O31" i="11"/>
  <c r="J31" i="11"/>
  <c r="N31" i="11"/>
  <c r="P31" i="11"/>
  <c r="L31" i="11"/>
  <c r="N439" i="13"/>
  <c r="L30" i="12" s="1"/>
  <c r="G26" i="34" s="1"/>
  <c r="G28" i="34" s="1"/>
  <c r="O438" i="13"/>
  <c r="N839" i="1"/>
  <c r="K222" i="11"/>
  <c r="K346" i="11"/>
  <c r="K470" i="11" s="1"/>
  <c r="I4" i="12"/>
  <c r="L843" i="1"/>
  <c r="M8" i="31"/>
  <c r="M24" i="31" s="1"/>
  <c r="L24" i="31"/>
  <c r="L167" i="38"/>
  <c r="G80" i="38"/>
  <c r="G81" i="38"/>
  <c r="G83" i="38" s="1"/>
  <c r="N306" i="13"/>
  <c r="N300" i="13"/>
  <c r="N449" i="13"/>
  <c r="H7" i="28"/>
  <c r="F33" i="93"/>
  <c r="G12" i="93"/>
  <c r="M158" i="1"/>
  <c r="O845" i="1"/>
  <c r="L5" i="12" s="1"/>
  <c r="J6" i="19"/>
  <c r="I20" i="19"/>
  <c r="I16" i="19"/>
  <c r="E201" i="11"/>
  <c r="E325" i="11" s="1"/>
  <c r="E449" i="11" s="1"/>
  <c r="E573" i="11" s="1"/>
  <c r="E697" i="11" s="1"/>
  <c r="J77" i="11"/>
  <c r="L77" i="11"/>
  <c r="P77" i="11"/>
  <c r="N77" i="11"/>
  <c r="I201" i="11"/>
  <c r="K77" i="11"/>
  <c r="Q77" i="11"/>
  <c r="O77" i="11"/>
  <c r="M77" i="11"/>
  <c r="O370" i="13"/>
  <c r="O126" i="13"/>
  <c r="O453" i="13"/>
  <c r="P338" i="11"/>
  <c r="P462" i="11" s="1"/>
  <c r="P214" i="11"/>
  <c r="L348" i="11"/>
  <c r="L472" i="11" s="1"/>
  <c r="L224" i="11"/>
  <c r="L238" i="11"/>
  <c r="L362" i="11"/>
  <c r="L486" i="11" s="1"/>
  <c r="L20" i="34"/>
  <c r="N846" i="1"/>
  <c r="K6" i="12" s="1"/>
  <c r="F24" i="17" s="1"/>
  <c r="P175" i="12"/>
  <c r="K29" i="27"/>
  <c r="K30" i="27" s="1"/>
  <c r="K31" i="27" s="1"/>
  <c r="M249" i="38"/>
  <c r="M251" i="38" s="1"/>
  <c r="M250" i="38"/>
  <c r="N394" i="1"/>
  <c r="D391" i="1"/>
  <c r="R198" i="13"/>
  <c r="R194" i="13" s="1"/>
  <c r="D27" i="17"/>
  <c r="D28" i="17" s="1"/>
  <c r="D29" i="17" s="1"/>
  <c r="I165" i="12"/>
  <c r="M215" i="11"/>
  <c r="M339" i="11"/>
  <c r="M463" i="11" s="1"/>
  <c r="I108" i="38"/>
  <c r="I109" i="38"/>
  <c r="I111" i="38" s="1"/>
  <c r="M208" i="38"/>
  <c r="M207" i="38"/>
  <c r="M209" i="38" s="1"/>
  <c r="M68" i="38"/>
  <c r="M67" i="38"/>
  <c r="M317" i="13"/>
  <c r="N161" i="13"/>
  <c r="M775" i="1"/>
  <c r="M391" i="13"/>
  <c r="M454" i="13"/>
  <c r="M127" i="13"/>
  <c r="K30" i="12"/>
  <c r="F26" i="34" s="1"/>
  <c r="F28" i="34" s="1"/>
  <c r="F21" i="23"/>
  <c r="T19" i="12"/>
  <c r="M632" i="1"/>
  <c r="F51" i="1"/>
  <c r="D293" i="1"/>
  <c r="K46" i="93"/>
  <c r="K29" i="31"/>
  <c r="K30" i="31" s="1"/>
  <c r="K31" i="31" s="1"/>
  <c r="P179" i="12"/>
  <c r="K83" i="13"/>
  <c r="K84" i="13" s="1"/>
  <c r="K71" i="13"/>
  <c r="K68" i="13"/>
  <c r="L67" i="13" s="1"/>
  <c r="M322" i="13"/>
  <c r="N321" i="13"/>
  <c r="O847" i="1"/>
  <c r="L7" i="12" s="1"/>
  <c r="O373" i="1"/>
  <c r="O376" i="1" s="1"/>
  <c r="Q3" i="1"/>
  <c r="Q24" i="1" s="1"/>
  <c r="P805" i="1"/>
  <c r="P721" i="1"/>
  <c r="P722" i="1" s="1"/>
  <c r="P708" i="1"/>
  <c r="P749" i="1"/>
  <c r="P372" i="1"/>
  <c r="P429" i="1"/>
  <c r="P695" i="1"/>
  <c r="P352" i="1"/>
  <c r="P771" i="1"/>
  <c r="P314" i="1"/>
  <c r="P270" i="1"/>
  <c r="P681" i="1"/>
  <c r="P664" i="1"/>
  <c r="P538" i="1"/>
  <c r="P455" i="1"/>
  <c r="P418" i="1"/>
  <c r="P169" i="1"/>
  <c r="P157" i="1"/>
  <c r="P230" i="1"/>
  <c r="P820" i="1"/>
  <c r="P336" i="1"/>
  <c r="P325" i="1"/>
  <c r="P737" i="1"/>
  <c r="P738" i="1" s="1"/>
  <c r="P254" i="1"/>
  <c r="P628" i="1"/>
  <c r="P486" i="1"/>
  <c r="P558" i="1"/>
  <c r="P559" i="1" s="1"/>
  <c r="P562" i="1" s="1"/>
  <c r="P440" i="1"/>
  <c r="P145" i="1"/>
  <c r="P242" i="1"/>
  <c r="P784" i="1"/>
  <c r="P760" i="1"/>
  <c r="P407" i="1"/>
  <c r="P408" i="1" s="1"/>
  <c r="P411" i="1" s="1"/>
  <c r="E145" i="11"/>
  <c r="E269" i="11" s="1"/>
  <c r="E393" i="11" s="1"/>
  <c r="E517" i="11" s="1"/>
  <c r="E641" i="11" s="1"/>
  <c r="J21" i="11"/>
  <c r="H145" i="11"/>
  <c r="L21" i="11"/>
  <c r="P21" i="11"/>
  <c r="N21" i="11"/>
  <c r="Q21" i="11"/>
  <c r="K21" i="11"/>
  <c r="I21" i="11"/>
  <c r="M21" i="11"/>
  <c r="O21" i="11"/>
  <c r="L251" i="38"/>
  <c r="G81" i="52"/>
  <c r="O593" i="1"/>
  <c r="O594" i="1" s="1"/>
  <c r="N542" i="1"/>
  <c r="I16" i="23"/>
  <c r="J6" i="23"/>
  <c r="I20" i="23"/>
  <c r="L524" i="1"/>
  <c r="D29" i="19"/>
  <c r="K6" i="24"/>
  <c r="J20" i="24"/>
  <c r="J44" i="24" s="1"/>
  <c r="J16" i="24"/>
  <c r="M367" i="11"/>
  <c r="M491" i="11" s="1"/>
  <c r="M243" i="11"/>
  <c r="H66" i="1"/>
  <c r="M304" i="13"/>
  <c r="N303" i="13"/>
  <c r="L359" i="11"/>
  <c r="L483" i="11" s="1"/>
  <c r="L235" i="11"/>
  <c r="P330" i="11"/>
  <c r="P454" i="11" s="1"/>
  <c r="P206" i="11"/>
  <c r="J38" i="12"/>
  <c r="E27" i="36" s="1"/>
  <c r="J34" i="12"/>
  <c r="J40" i="12" s="1"/>
  <c r="E21" i="24"/>
  <c r="E146" i="11"/>
  <c r="E270" i="11" s="1"/>
  <c r="E394" i="11" s="1"/>
  <c r="E518" i="11" s="1"/>
  <c r="E642" i="11" s="1"/>
  <c r="I146" i="11"/>
  <c r="Q22" i="11"/>
  <c r="K22" i="11"/>
  <c r="L22" i="11"/>
  <c r="M22" i="11"/>
  <c r="O22" i="11"/>
  <c r="P22" i="11"/>
  <c r="J22" i="11"/>
  <c r="N22" i="11"/>
  <c r="G149" i="38"/>
  <c r="F28" i="93"/>
  <c r="G5" i="93"/>
  <c r="M26" i="38"/>
  <c r="M25" i="38"/>
  <c r="N419" i="1"/>
  <c r="N422" i="1" s="1"/>
  <c r="J164" i="12"/>
  <c r="E27" i="23"/>
  <c r="E28" i="23" s="1"/>
  <c r="E29" i="23"/>
  <c r="J171" i="12"/>
  <c r="Q341" i="11"/>
  <c r="Q465" i="11" s="1"/>
  <c r="G713" i="11" s="1"/>
  <c r="I713" i="11" s="1"/>
  <c r="Q217" i="11"/>
  <c r="F29" i="25"/>
  <c r="F30" i="25" s="1"/>
  <c r="F31" i="25"/>
  <c r="K173" i="12"/>
  <c r="K133" i="38"/>
  <c r="K135" i="38" s="1"/>
  <c r="H18" i="25"/>
  <c r="H19" i="25" s="1"/>
  <c r="M118" i="12" s="1"/>
  <c r="C96" i="93"/>
  <c r="C87" i="93"/>
  <c r="E29" i="22"/>
  <c r="N285" i="13"/>
  <c r="M287" i="13"/>
  <c r="K21" i="12" s="1"/>
  <c r="F26" i="25" s="1"/>
  <c r="F28" i="25" s="1"/>
  <c r="T96" i="39"/>
  <c r="N215" i="38"/>
  <c r="N159" i="38"/>
  <c r="N103" i="38"/>
  <c r="N47" i="38"/>
  <c r="N54" i="38" s="1"/>
  <c r="T12" i="39"/>
  <c r="N257" i="38"/>
  <c r="N263" i="38" s="1"/>
  <c r="N201" i="38"/>
  <c r="N145" i="38"/>
  <c r="N89" i="38"/>
  <c r="N96" i="38" s="1"/>
  <c r="N33" i="38"/>
  <c r="N243" i="38"/>
  <c r="N187" i="38"/>
  <c r="N131" i="38"/>
  <c r="N75" i="38"/>
  <c r="N82" i="38" s="1"/>
  <c r="N19" i="38"/>
  <c r="T54" i="39"/>
  <c r="N229" i="38"/>
  <c r="N173" i="38"/>
  <c r="N179" i="38" s="1"/>
  <c r="N117" i="38"/>
  <c r="N123" i="38" s="1"/>
  <c r="N61" i="38"/>
  <c r="N11" i="38"/>
  <c r="N12" i="38"/>
  <c r="P364" i="1"/>
  <c r="Q436" i="1"/>
  <c r="I263" i="38"/>
  <c r="K94" i="38"/>
  <c r="K95" i="38"/>
  <c r="K97" i="38" s="1"/>
  <c r="I16" i="5"/>
  <c r="J6" i="5"/>
  <c r="I20" i="5"/>
  <c r="L450" i="13"/>
  <c r="L123" i="13"/>
  <c r="L318" i="13"/>
  <c r="P414" i="1"/>
  <c r="G58" i="52"/>
  <c r="P425" i="1"/>
  <c r="O416" i="1"/>
  <c r="E17" i="24"/>
  <c r="J128" i="12"/>
  <c r="E20" i="36" s="1"/>
  <c r="J131" i="12"/>
  <c r="P236" i="13"/>
  <c r="I302" i="11"/>
  <c r="I426" i="11" s="1"/>
  <c r="I178" i="11"/>
  <c r="G11" i="35"/>
  <c r="G13" i="36" s="1"/>
  <c r="H11" i="16"/>
  <c r="N390" i="13"/>
  <c r="O79" i="13"/>
  <c r="O390" i="13" s="1"/>
  <c r="C412" i="13"/>
  <c r="F128" i="13" s="1"/>
  <c r="M39" i="38"/>
  <c r="M41" i="38" s="1"/>
  <c r="E23" i="5"/>
  <c r="I104" i="12"/>
  <c r="I105" i="12"/>
  <c r="E28" i="37" s="1"/>
  <c r="L373" i="11"/>
  <c r="L497" i="11" s="1"/>
  <c r="L249" i="11"/>
  <c r="Q216" i="11"/>
  <c r="Q340" i="11"/>
  <c r="Q464" i="11" s="1"/>
  <c r="G712" i="11" s="1"/>
  <c r="I712" i="11" s="1"/>
  <c r="K7" i="33"/>
  <c r="G21" i="21"/>
  <c r="M57" i="12"/>
  <c r="M740" i="1"/>
  <c r="M649" i="1"/>
  <c r="M823" i="1"/>
  <c r="M724" i="1"/>
  <c r="M668" i="1"/>
  <c r="M523" i="1"/>
  <c r="M524" i="1" s="1"/>
  <c r="M510" i="1"/>
  <c r="M810" i="1"/>
  <c r="M698" i="1"/>
  <c r="M711" i="1"/>
  <c r="H7" i="35"/>
  <c r="N137" i="13"/>
  <c r="I45" i="58"/>
  <c r="H45" i="58"/>
  <c r="N45" i="58" s="1"/>
  <c r="I6" i="58"/>
  <c r="N6" i="58" s="1"/>
  <c r="Q228" i="13"/>
  <c r="D471" i="1"/>
  <c r="K85" i="12"/>
  <c r="F21" i="18"/>
  <c r="J56" i="12"/>
  <c r="G99" i="1"/>
  <c r="L232" i="11"/>
  <c r="L356" i="11"/>
  <c r="L480" i="11" s="1"/>
  <c r="D21" i="37"/>
  <c r="D21" i="93"/>
  <c r="D39" i="93" s="1"/>
  <c r="E144" i="11"/>
  <c r="E268" i="11" s="1"/>
  <c r="E392" i="11" s="1"/>
  <c r="E516" i="11" s="1"/>
  <c r="E640" i="11" s="1"/>
  <c r="Q20" i="11"/>
  <c r="K20" i="11"/>
  <c r="I20" i="11"/>
  <c r="G144" i="11"/>
  <c r="M20" i="11"/>
  <c r="O20" i="11"/>
  <c r="J20" i="11"/>
  <c r="N20" i="11"/>
  <c r="P20" i="11"/>
  <c r="L20" i="11"/>
  <c r="H20" i="11"/>
  <c r="H7" i="25"/>
  <c r="G24" i="25"/>
  <c r="N761" i="1"/>
  <c r="G175" i="38"/>
  <c r="D18" i="28"/>
  <c r="D19" i="28" s="1"/>
  <c r="I22" i="22"/>
  <c r="N115" i="12"/>
  <c r="J18" i="22"/>
  <c r="G203" i="38"/>
  <c r="H203" i="38" s="1"/>
  <c r="H205" i="38" s="1"/>
  <c r="D18" i="30"/>
  <c r="F21" i="17"/>
  <c r="I56" i="12"/>
  <c r="L451" i="13"/>
  <c r="L336" i="13"/>
  <c r="L124" i="13"/>
  <c r="C24" i="5"/>
  <c r="H31" i="12"/>
  <c r="H43" i="12"/>
  <c r="H48" i="12" s="1"/>
  <c r="M60" i="39"/>
  <c r="N146" i="1"/>
  <c r="N844" i="1"/>
  <c r="K324" i="13"/>
  <c r="D19" i="27"/>
  <c r="L56" i="12"/>
  <c r="F21" i="20"/>
  <c r="M137" i="38"/>
  <c r="M139" i="38" s="1"/>
  <c r="M138" i="38"/>
  <c r="S19" i="39"/>
  <c r="S18" i="39"/>
  <c r="M90" i="38"/>
  <c r="L92" i="38"/>
  <c r="J303" i="11"/>
  <c r="J427" i="11" s="1"/>
  <c r="J179" i="11"/>
  <c r="I147" i="38"/>
  <c r="I149" i="38" s="1"/>
  <c r="F18" i="26"/>
  <c r="M170" i="12"/>
  <c r="E199" i="11"/>
  <c r="E323" i="11" s="1"/>
  <c r="E447" i="11" s="1"/>
  <c r="E571" i="11" s="1"/>
  <c r="E695" i="11" s="1"/>
  <c r="J75" i="11"/>
  <c r="L75" i="11"/>
  <c r="P75" i="11"/>
  <c r="N75" i="11"/>
  <c r="H75" i="11"/>
  <c r="Q75" i="11"/>
  <c r="O75" i="11"/>
  <c r="K75" i="11"/>
  <c r="I75" i="11"/>
  <c r="G199" i="11"/>
  <c r="M75" i="11"/>
  <c r="F22" i="20"/>
  <c r="G18" i="20"/>
  <c r="K113" i="12"/>
  <c r="G59" i="52"/>
  <c r="O427" i="1"/>
  <c r="O428" i="1" s="1"/>
  <c r="O430" i="1" s="1"/>
  <c r="L354" i="13"/>
  <c r="L452" i="13"/>
  <c r="L125" i="13"/>
  <c r="N788" i="1"/>
  <c r="D27" i="22"/>
  <c r="D28" i="22" s="1"/>
  <c r="D29" i="22" s="1"/>
  <c r="I170" i="12"/>
  <c r="Q234" i="13"/>
  <c r="N753" i="1"/>
  <c r="E18" i="30"/>
  <c r="E24" i="30" s="1"/>
  <c r="O28" i="32"/>
  <c r="C35" i="32"/>
  <c r="C36" i="32" s="1"/>
  <c r="D22" i="39" s="1"/>
  <c r="H22" i="18"/>
  <c r="I18" i="18"/>
  <c r="M111" i="12"/>
  <c r="E190" i="11"/>
  <c r="E314" i="11" s="1"/>
  <c r="E438" i="11" s="1"/>
  <c r="E562" i="11" s="1"/>
  <c r="E686" i="11" s="1"/>
  <c r="P66" i="11"/>
  <c r="N66" i="11"/>
  <c r="I190" i="11"/>
  <c r="Q66" i="11"/>
  <c r="K66" i="11"/>
  <c r="M66" i="11"/>
  <c r="O66" i="11"/>
  <c r="J66" i="11"/>
  <c r="L66" i="11"/>
  <c r="M422" i="1"/>
  <c r="M6" i="58"/>
  <c r="M141" i="13"/>
  <c r="M289" i="13"/>
  <c r="M599" i="1"/>
  <c r="K233" i="11"/>
  <c r="K357" i="11"/>
  <c r="K481" i="11" s="1"/>
  <c r="E156" i="11"/>
  <c r="E280" i="11" s="1"/>
  <c r="E404" i="11" s="1"/>
  <c r="E528" i="11" s="1"/>
  <c r="E652" i="11" s="1"/>
  <c r="K32" i="11"/>
  <c r="I32" i="11"/>
  <c r="M32" i="11"/>
  <c r="O32" i="11"/>
  <c r="J32" i="11"/>
  <c r="H156" i="11"/>
  <c r="N32" i="11"/>
  <c r="P32" i="11"/>
  <c r="L32" i="11"/>
  <c r="Q32" i="11"/>
  <c r="P228" i="13"/>
  <c r="G7" i="24"/>
  <c r="N29" i="1"/>
  <c r="N810" i="1" s="1"/>
  <c r="N811" i="1" s="1"/>
  <c r="E157" i="11"/>
  <c r="E281" i="11" s="1"/>
  <c r="E405" i="11" s="1"/>
  <c r="E529" i="11" s="1"/>
  <c r="E653" i="11" s="1"/>
  <c r="I157" i="11"/>
  <c r="Q33" i="11"/>
  <c r="K33" i="11"/>
  <c r="M33" i="11"/>
  <c r="O33" i="11"/>
  <c r="J33" i="11"/>
  <c r="N33" i="11"/>
  <c r="P33" i="11"/>
  <c r="L33" i="11"/>
  <c r="K335" i="11"/>
  <c r="K459" i="11" s="1"/>
  <c r="K211" i="11"/>
  <c r="R207" i="13"/>
  <c r="K32" i="12"/>
  <c r="F21" i="5"/>
  <c r="H56" i="12"/>
  <c r="K44" i="12"/>
  <c r="K49" i="12" s="1"/>
  <c r="K83" i="12"/>
  <c r="H199" i="12" s="1"/>
  <c r="N228" i="13"/>
  <c r="C33" i="23"/>
  <c r="C34" i="23" s="1"/>
  <c r="S20" i="39" l="1"/>
  <c r="O585" i="1"/>
  <c r="G75" i="1"/>
  <c r="O433" i="1"/>
  <c r="F27" i="22"/>
  <c r="F28" i="22" s="1"/>
  <c r="F29" i="22" s="1"/>
  <c r="O761" i="1"/>
  <c r="O764" i="1" s="1"/>
  <c r="O596" i="1"/>
  <c r="G76" i="1"/>
  <c r="O772" i="1"/>
  <c r="H208" i="38"/>
  <c r="H209" i="38" s="1"/>
  <c r="H206" i="38"/>
  <c r="L233" i="11"/>
  <c r="L357" i="11"/>
  <c r="L481" i="11" s="1"/>
  <c r="N90" i="38"/>
  <c r="M92" i="38"/>
  <c r="L70" i="12"/>
  <c r="E51" i="10" s="1"/>
  <c r="E56" i="11" s="1"/>
  <c r="L214" i="12"/>
  <c r="H175" i="38"/>
  <c r="H177" i="38" s="1"/>
  <c r="E18" i="28"/>
  <c r="N170" i="12"/>
  <c r="M741" i="1"/>
  <c r="H161" i="38"/>
  <c r="H163" i="38" s="1"/>
  <c r="E18" i="27"/>
  <c r="N249" i="38"/>
  <c r="N250" i="38"/>
  <c r="N109" i="38"/>
  <c r="N111" i="38" s="1"/>
  <c r="N110" i="38"/>
  <c r="M27" i="38"/>
  <c r="Q330" i="11"/>
  <c r="Q454" i="11" s="1"/>
  <c r="G702" i="11" s="1"/>
  <c r="I702" i="11" s="1"/>
  <c r="Q206" i="11"/>
  <c r="N243" i="11"/>
  <c r="N367" i="11"/>
  <c r="N491" i="11" s="1"/>
  <c r="P785" i="1"/>
  <c r="H94" i="1"/>
  <c r="P456" i="1"/>
  <c r="P696" i="1"/>
  <c r="I217" i="38"/>
  <c r="F18" i="31"/>
  <c r="M69" i="38"/>
  <c r="M348" i="11"/>
  <c r="M472" i="11" s="1"/>
  <c r="M224" i="11"/>
  <c r="K110" i="12"/>
  <c r="F22" i="17"/>
  <c r="G18" i="17"/>
  <c r="M456" i="13"/>
  <c r="M426" i="13"/>
  <c r="J7" i="26"/>
  <c r="G163" i="38"/>
  <c r="F26" i="18"/>
  <c r="H222" i="38"/>
  <c r="H223" i="38" s="1"/>
  <c r="H220" i="38"/>
  <c r="D19" i="29"/>
  <c r="K360" i="13"/>
  <c r="L355" i="13"/>
  <c r="R175" i="12"/>
  <c r="M29" i="27"/>
  <c r="N335" i="13"/>
  <c r="G37" i="58"/>
  <c r="K6" i="20"/>
  <c r="J20" i="20"/>
  <c r="J16" i="20"/>
  <c r="M237" i="11"/>
  <c r="M361" i="11"/>
  <c r="M485" i="11" s="1"/>
  <c r="M234" i="11"/>
  <c r="M358" i="11"/>
  <c r="M482" i="11" s="1"/>
  <c r="E27" i="21"/>
  <c r="E28" i="21" s="1"/>
  <c r="E29" i="21"/>
  <c r="J169" i="12"/>
  <c r="I8" i="35"/>
  <c r="O138" i="13"/>
  <c r="M223" i="11"/>
  <c r="M347" i="11"/>
  <c r="M471" i="11" s="1"/>
  <c r="S198" i="13"/>
  <c r="S194" i="13" s="1"/>
  <c r="S207" i="13"/>
  <c r="O326" i="1"/>
  <c r="J199" i="12"/>
  <c r="L98" i="12"/>
  <c r="H23" i="18" s="1"/>
  <c r="K98" i="12"/>
  <c r="G23" i="18" s="1"/>
  <c r="M811" i="1"/>
  <c r="H59" i="52"/>
  <c r="P427" i="1"/>
  <c r="N40" i="38"/>
  <c r="N39" i="38"/>
  <c r="N165" i="38"/>
  <c r="N166" i="38"/>
  <c r="P539" i="1"/>
  <c r="P849" i="1"/>
  <c r="M9" i="12" s="1"/>
  <c r="I57" i="12"/>
  <c r="G21" i="17"/>
  <c r="M397" i="13"/>
  <c r="F19" i="31"/>
  <c r="H72" i="1"/>
  <c r="L222" i="11"/>
  <c r="L346" i="11"/>
  <c r="L470" i="11" s="1"/>
  <c r="D373" i="1"/>
  <c r="I203" i="38"/>
  <c r="F18" i="30"/>
  <c r="F24" i="30" s="1"/>
  <c r="H231" i="38"/>
  <c r="H233" i="38" s="1"/>
  <c r="E18" i="32"/>
  <c r="E19" i="32" s="1"/>
  <c r="E27" i="17"/>
  <c r="E28" i="17" s="1"/>
  <c r="J165" i="12"/>
  <c r="E29" i="17"/>
  <c r="M413" i="13"/>
  <c r="M128" i="13"/>
  <c r="M455" i="13"/>
  <c r="M246" i="11"/>
  <c r="M370" i="11"/>
  <c r="M494" i="11" s="1"/>
  <c r="I126" i="12"/>
  <c r="D24" i="33"/>
  <c r="L240" i="11"/>
  <c r="L364" i="11"/>
  <c r="L488" i="11" s="1"/>
  <c r="C47" i="36"/>
  <c r="M843" i="1"/>
  <c r="J4" i="12"/>
  <c r="G21" i="18"/>
  <c r="L85" i="12"/>
  <c r="J200" i="12" s="1"/>
  <c r="J57" i="12"/>
  <c r="C377" i="13"/>
  <c r="F126" i="13" s="1"/>
  <c r="G189" i="38"/>
  <c r="D18" i="29"/>
  <c r="K43" i="52"/>
  <c r="S334" i="1"/>
  <c r="T332" i="1"/>
  <c r="M111" i="38"/>
  <c r="L31" i="27"/>
  <c r="Q175" i="12"/>
  <c r="L29" i="27"/>
  <c r="L30" i="27" s="1"/>
  <c r="I9" i="35"/>
  <c r="O139" i="13"/>
  <c r="I258" i="11"/>
  <c r="I382" i="11" s="1"/>
  <c r="I134" i="11"/>
  <c r="T229" i="13"/>
  <c r="H257" i="11"/>
  <c r="H381" i="11" s="1"/>
  <c r="H133" i="11"/>
  <c r="J291" i="11"/>
  <c r="J415" i="11" s="1"/>
  <c r="J167" i="11"/>
  <c r="M241" i="11"/>
  <c r="M365" i="11"/>
  <c r="M489" i="11" s="1"/>
  <c r="M195" i="38"/>
  <c r="I280" i="11"/>
  <c r="I404" i="11" s="1"/>
  <c r="I156" i="11"/>
  <c r="L94" i="38"/>
  <c r="L95" i="38"/>
  <c r="L97" i="38" s="1"/>
  <c r="I7" i="25"/>
  <c r="H24" i="25"/>
  <c r="Q229" i="13"/>
  <c r="G22" i="20"/>
  <c r="H18" i="20"/>
  <c r="L113" i="12"/>
  <c r="C29" i="37"/>
  <c r="C31" i="37" s="1"/>
  <c r="C40" i="93"/>
  <c r="I121" i="12"/>
  <c r="E19" i="28"/>
  <c r="D24" i="28"/>
  <c r="J314" i="11"/>
  <c r="J438" i="11" s="1"/>
  <c r="J190" i="11"/>
  <c r="M166" i="12"/>
  <c r="R235" i="13"/>
  <c r="E18" i="29"/>
  <c r="K168" i="12"/>
  <c r="F27" i="20"/>
  <c r="F28" i="20" s="1"/>
  <c r="F29" i="20" s="1"/>
  <c r="C24" i="24"/>
  <c r="H33" i="12"/>
  <c r="H39" i="12" s="1"/>
  <c r="H37" i="12"/>
  <c r="C30" i="36" s="1"/>
  <c r="K84" i="12"/>
  <c r="I70" i="12"/>
  <c r="E18" i="10" s="1"/>
  <c r="E23" i="11" s="1"/>
  <c r="G177" i="38"/>
  <c r="F66" i="1"/>
  <c r="D474" i="1"/>
  <c r="M249" i="11"/>
  <c r="M373" i="11"/>
  <c r="M497" i="11" s="1"/>
  <c r="Q237" i="13"/>
  <c r="K6" i="5"/>
  <c r="J20" i="5"/>
  <c r="J16" i="5"/>
  <c r="N236" i="38"/>
  <c r="N235" i="38"/>
  <c r="N222" i="38"/>
  <c r="N221" i="38"/>
  <c r="K138" i="38"/>
  <c r="K139" i="38" s="1"/>
  <c r="K136" i="38"/>
  <c r="H5" i="93"/>
  <c r="G28" i="93"/>
  <c r="J270" i="11"/>
  <c r="J394" i="11" s="1"/>
  <c r="J146" i="11"/>
  <c r="M359" i="11"/>
  <c r="M483" i="11" s="1"/>
  <c r="M235" i="11"/>
  <c r="K6" i="23"/>
  <c r="J20" i="23"/>
  <c r="J16" i="23"/>
  <c r="I269" i="11"/>
  <c r="I393" i="11" s="1"/>
  <c r="I145" i="11"/>
  <c r="P845" i="1"/>
  <c r="M5" i="12" s="1"/>
  <c r="P853" i="1"/>
  <c r="M13" i="12" s="1"/>
  <c r="P665" i="1"/>
  <c r="D665" i="1" s="1"/>
  <c r="F82" i="1" s="1"/>
  <c r="F81" i="1" s="1"/>
  <c r="H82" i="1"/>
  <c r="P847" i="1"/>
  <c r="M7" i="12" s="1"/>
  <c r="P373" i="1"/>
  <c r="P376" i="1" s="1"/>
  <c r="H59" i="1"/>
  <c r="N322" i="13"/>
  <c r="L23" i="12" s="1"/>
  <c r="G26" i="27" s="1"/>
  <c r="G28" i="27" s="1"/>
  <c r="O321" i="13"/>
  <c r="O322" i="13" s="1"/>
  <c r="M23" i="12" s="1"/>
  <c r="H26" i="27" s="1"/>
  <c r="H28" i="27" s="1"/>
  <c r="F60" i="1"/>
  <c r="D394" i="1"/>
  <c r="G33" i="93"/>
  <c r="H12" i="93"/>
  <c r="N229" i="13"/>
  <c r="J7" i="29"/>
  <c r="I24" i="29"/>
  <c r="F18" i="29"/>
  <c r="M228" i="11"/>
  <c r="M352" i="11"/>
  <c r="M476" i="11" s="1"/>
  <c r="L372" i="11"/>
  <c r="L496" i="11" s="1"/>
  <c r="L248" i="11"/>
  <c r="M213" i="11"/>
  <c r="M337" i="11"/>
  <c r="M461" i="11" s="1"/>
  <c r="G247" i="38"/>
  <c r="H73" i="1"/>
  <c r="M231" i="11"/>
  <c r="M355" i="11"/>
  <c r="M479" i="11" s="1"/>
  <c r="R262" i="1"/>
  <c r="S261" i="1"/>
  <c r="Q199" i="13"/>
  <c r="P195" i="13"/>
  <c r="O851" i="1"/>
  <c r="L11" i="12" s="1"/>
  <c r="O647" i="1"/>
  <c r="H129" i="11"/>
  <c r="D44" i="93" s="1"/>
  <c r="D57" i="93" s="1"/>
  <c r="I129" i="11"/>
  <c r="E44" i="93" s="1"/>
  <c r="E57" i="93" s="1"/>
  <c r="M242" i="11"/>
  <c r="M366" i="11"/>
  <c r="M490" i="11" s="1"/>
  <c r="F23" i="5"/>
  <c r="K6" i="22"/>
  <c r="J20" i="22"/>
  <c r="J16" i="22"/>
  <c r="P748" i="1"/>
  <c r="P663" i="1"/>
  <c r="P428" i="1"/>
  <c r="P430" i="1" s="1"/>
  <c r="P433" i="1" s="1"/>
  <c r="P371" i="1"/>
  <c r="P707" i="1"/>
  <c r="P537" i="1"/>
  <c r="P454" i="1"/>
  <c r="P736" i="1"/>
  <c r="P694" i="1"/>
  <c r="G86" i="1" s="1"/>
  <c r="P645" i="1"/>
  <c r="P439" i="1"/>
  <c r="P804" i="1"/>
  <c r="P680" i="1"/>
  <c r="P351" i="1"/>
  <c r="G56" i="1" s="1"/>
  <c r="P324" i="1"/>
  <c r="P326" i="1" s="1"/>
  <c r="P819" i="1"/>
  <c r="P557" i="1"/>
  <c r="G73" i="1" s="1"/>
  <c r="P469" i="1"/>
  <c r="O16" i="13"/>
  <c r="P783" i="1"/>
  <c r="P253" i="1"/>
  <c r="P720" i="1"/>
  <c r="P627" i="1"/>
  <c r="P335" i="1"/>
  <c r="P313" i="1"/>
  <c r="Q21" i="1"/>
  <c r="P406" i="1"/>
  <c r="G61" i="1" s="1"/>
  <c r="P485" i="1"/>
  <c r="P156" i="1"/>
  <c r="P269" i="1"/>
  <c r="P229" i="1"/>
  <c r="P168" i="1"/>
  <c r="P241" i="1"/>
  <c r="P144" i="1"/>
  <c r="P22" i="1"/>
  <c r="N354" i="13"/>
  <c r="N452" i="13"/>
  <c r="N125" i="13"/>
  <c r="E29" i="36"/>
  <c r="E23" i="24"/>
  <c r="K38" i="12"/>
  <c r="F27" i="36" s="1"/>
  <c r="K34" i="12"/>
  <c r="K40" i="12" s="1"/>
  <c r="F21" i="24"/>
  <c r="J214" i="12"/>
  <c r="J70" i="12"/>
  <c r="E29" i="10" s="1"/>
  <c r="E34" i="11" s="1"/>
  <c r="O229" i="13"/>
  <c r="I22" i="18"/>
  <c r="J18" i="18"/>
  <c r="N111" i="12"/>
  <c r="I152" i="38"/>
  <c r="I153" i="38" s="1"/>
  <c r="I150" i="38"/>
  <c r="D24" i="27"/>
  <c r="I120" i="12"/>
  <c r="C26" i="5"/>
  <c r="O391" i="13"/>
  <c r="O454" i="13"/>
  <c r="O127" i="13"/>
  <c r="Q414" i="1"/>
  <c r="H58" i="52"/>
  <c r="Q425" i="1"/>
  <c r="P416" i="1"/>
  <c r="P417" i="1" s="1"/>
  <c r="I60" i="52"/>
  <c r="Q438" i="1"/>
  <c r="Q444" i="1" s="1"/>
  <c r="N151" i="38"/>
  <c r="N152" i="38"/>
  <c r="T103" i="39"/>
  <c r="T102" i="39"/>
  <c r="P821" i="1"/>
  <c r="P855" i="1"/>
  <c r="M15" i="12" s="1"/>
  <c r="P750" i="1"/>
  <c r="K23" i="12"/>
  <c r="F26" i="27" s="1"/>
  <c r="F28" i="27" s="1"/>
  <c r="C323" i="13"/>
  <c r="F123" i="13" s="1"/>
  <c r="M20" i="34"/>
  <c r="Q214" i="11"/>
  <c r="Q338" i="11"/>
  <c r="Q462" i="11" s="1"/>
  <c r="G710" i="11" s="1"/>
  <c r="I710" i="11" s="1"/>
  <c r="D836" i="1"/>
  <c r="D839" i="1" s="1"/>
  <c r="D29" i="26"/>
  <c r="D30" i="26" s="1"/>
  <c r="D31" i="26" s="1"/>
  <c r="I174" i="12"/>
  <c r="R236" i="13"/>
  <c r="O306" i="13"/>
  <c r="C307" i="13" s="1"/>
  <c r="O300" i="13"/>
  <c r="O449" i="13"/>
  <c r="H61" i="1"/>
  <c r="I10" i="35"/>
  <c r="O140" i="13"/>
  <c r="I35" i="58"/>
  <c r="H35" i="58"/>
  <c r="P331" i="13"/>
  <c r="L212" i="11"/>
  <c r="L336" i="11"/>
  <c r="L460" i="11" s="1"/>
  <c r="K89" i="12"/>
  <c r="N70" i="12"/>
  <c r="E73" i="10" s="1"/>
  <c r="E78" i="11" s="1"/>
  <c r="L178" i="12"/>
  <c r="G29" i="30"/>
  <c r="G30" i="30" s="1"/>
  <c r="G31" i="30" s="1"/>
  <c r="N350" i="11"/>
  <c r="N474" i="11" s="1"/>
  <c r="N226" i="11"/>
  <c r="D22" i="24"/>
  <c r="E18" i="24"/>
  <c r="K96" i="12"/>
  <c r="N239" i="11"/>
  <c r="N363" i="11"/>
  <c r="N487" i="11" s="1"/>
  <c r="M349" i="11"/>
  <c r="M473" i="11" s="1"/>
  <c r="M225" i="11"/>
  <c r="P229" i="13"/>
  <c r="T74" i="13"/>
  <c r="E29" i="20"/>
  <c r="U54" i="39"/>
  <c r="U96" i="39"/>
  <c r="O215" i="38"/>
  <c r="O159" i="38"/>
  <c r="O103" i="38"/>
  <c r="O47" i="38"/>
  <c r="O54" i="38" s="1"/>
  <c r="U12" i="39"/>
  <c r="O257" i="38"/>
  <c r="O263" i="38" s="1"/>
  <c r="O201" i="38"/>
  <c r="O145" i="38"/>
  <c r="O89" i="38"/>
  <c r="O96" i="38" s="1"/>
  <c r="O33" i="38"/>
  <c r="O243" i="38"/>
  <c r="O187" i="38"/>
  <c r="O131" i="38"/>
  <c r="O75" i="38"/>
  <c r="O82" i="38" s="1"/>
  <c r="O19" i="38"/>
  <c r="O229" i="38"/>
  <c r="O173" i="38"/>
  <c r="O179" i="38" s="1"/>
  <c r="O117" i="38"/>
  <c r="O123" i="38" s="1"/>
  <c r="O61" i="38"/>
  <c r="O12" i="38"/>
  <c r="O11" i="38"/>
  <c r="O146" i="1"/>
  <c r="O844" i="1"/>
  <c r="N407" i="13"/>
  <c r="N421" i="13"/>
  <c r="N422" i="13" s="1"/>
  <c r="L211" i="11"/>
  <c r="L335" i="11"/>
  <c r="L459" i="11" s="1"/>
  <c r="F26" i="37"/>
  <c r="F59" i="93"/>
  <c r="J281" i="11"/>
  <c r="J405" i="11" s="1"/>
  <c r="J157" i="11"/>
  <c r="H199" i="11"/>
  <c r="H323" i="11"/>
  <c r="H447" i="11" s="1"/>
  <c r="K179" i="11"/>
  <c r="K303" i="11"/>
  <c r="K427" i="11" s="1"/>
  <c r="D24" i="30"/>
  <c r="D19" i="30"/>
  <c r="H268" i="11"/>
  <c r="H392" i="11" s="1"/>
  <c r="H144" i="11"/>
  <c r="M356" i="11"/>
  <c r="M480" i="11" s="1"/>
  <c r="M232" i="11"/>
  <c r="R229" i="13"/>
  <c r="M71" i="12"/>
  <c r="E63" i="10" s="1"/>
  <c r="E68" i="11" s="1"/>
  <c r="L88" i="12"/>
  <c r="M200" i="12" s="1"/>
  <c r="M215" i="12" s="1"/>
  <c r="N391" i="13"/>
  <c r="N454" i="13"/>
  <c r="N127" i="13"/>
  <c r="E21" i="37"/>
  <c r="E21" i="93"/>
  <c r="E39" i="93" s="1"/>
  <c r="N26" i="38"/>
  <c r="N25" i="38"/>
  <c r="N27" i="38" s="1"/>
  <c r="N207" i="38"/>
  <c r="N209" i="38" s="1"/>
  <c r="N208" i="38"/>
  <c r="G152" i="38"/>
  <c r="G153" i="38" s="1"/>
  <c r="G150" i="38"/>
  <c r="N304" i="13"/>
  <c r="L22" i="12" s="1"/>
  <c r="G26" i="26" s="1"/>
  <c r="G28" i="26" s="1"/>
  <c r="O303" i="13"/>
  <c r="O304" i="13" s="1"/>
  <c r="M22" i="12" s="1"/>
  <c r="H26" i="26" s="1"/>
  <c r="H28" i="26" s="1"/>
  <c r="L6" i="24"/>
  <c r="K20" i="24"/>
  <c r="K44" i="24" s="1"/>
  <c r="K16" i="24"/>
  <c r="P271" i="1"/>
  <c r="P709" i="1"/>
  <c r="L66" i="13"/>
  <c r="L46" i="93"/>
  <c r="Q179" i="12"/>
  <c r="L29" i="31"/>
  <c r="L30" i="31" s="1"/>
  <c r="L31" i="31" s="1"/>
  <c r="E24" i="31"/>
  <c r="J124" i="12"/>
  <c r="K69" i="12"/>
  <c r="E39" i="10" s="1"/>
  <c r="E44" i="11" s="1"/>
  <c r="G22" i="5"/>
  <c r="H18" i="5"/>
  <c r="L109" i="12"/>
  <c r="I189" i="11"/>
  <c r="I313" i="11"/>
  <c r="I437" i="11" s="1"/>
  <c r="M153" i="38"/>
  <c r="M369" i="11"/>
  <c r="M493" i="11" s="1"/>
  <c r="M245" i="11"/>
  <c r="O411" i="1"/>
  <c r="D408" i="1"/>
  <c r="Q19" i="50"/>
  <c r="S11" i="50" s="1"/>
  <c r="N57" i="39"/>
  <c r="H114" i="52"/>
  <c r="P769" i="1"/>
  <c r="P770" i="1" s="1"/>
  <c r="Q184" i="11"/>
  <c r="Q308" i="11"/>
  <c r="Q432" i="11" s="1"/>
  <c r="G680" i="11" s="1"/>
  <c r="I680" i="11" s="1"/>
  <c r="L57" i="12"/>
  <c r="G21" i="20"/>
  <c r="C45" i="24"/>
  <c r="D46" i="93"/>
  <c r="I179" i="12"/>
  <c r="D29" i="31"/>
  <c r="D30" i="31" s="1"/>
  <c r="D31" i="31" s="1"/>
  <c r="S229" i="13"/>
  <c r="L368" i="11"/>
  <c r="L492" i="11" s="1"/>
  <c r="L244" i="11"/>
  <c r="P162" i="12"/>
  <c r="P107" i="12"/>
  <c r="G203" i="12"/>
  <c r="O80" i="12"/>
  <c r="O93" i="12" s="1"/>
  <c r="G218" i="12"/>
  <c r="P151" i="12"/>
  <c r="Q2" i="12"/>
  <c r="G75" i="12"/>
  <c r="G61" i="12"/>
  <c r="H312" i="11"/>
  <c r="H436" i="11" s="1"/>
  <c r="H188" i="11"/>
  <c r="I20" i="12"/>
  <c r="F26" i="17"/>
  <c r="E96" i="93"/>
  <c r="E87" i="93"/>
  <c r="O417" i="1"/>
  <c r="O419" i="1" s="1"/>
  <c r="P77" i="13"/>
  <c r="Q77" i="13" s="1"/>
  <c r="R77" i="13" s="1"/>
  <c r="S77" i="13" s="1"/>
  <c r="T77" i="13" s="1"/>
  <c r="O406" i="13"/>
  <c r="O353" i="13"/>
  <c r="K203" i="38"/>
  <c r="K205" i="38" s="1"/>
  <c r="H18" i="30"/>
  <c r="H24" i="30" s="1"/>
  <c r="I7" i="28"/>
  <c r="M46" i="93"/>
  <c r="M29" i="31"/>
  <c r="R179" i="12"/>
  <c r="O439" i="13"/>
  <c r="M30" i="12" s="1"/>
  <c r="H26" i="34" s="1"/>
  <c r="H28" i="34" s="1"/>
  <c r="P438" i="13"/>
  <c r="H279" i="11"/>
  <c r="H403" i="11" s="1"/>
  <c r="H155" i="11"/>
  <c r="C279" i="38"/>
  <c r="H301" i="11"/>
  <c r="H425" i="11" s="1"/>
  <c r="H177" i="11"/>
  <c r="K164" i="12"/>
  <c r="F19" i="26"/>
  <c r="J119" i="12"/>
  <c r="E24" i="26"/>
  <c r="G222" i="38"/>
  <c r="G223" i="38" s="1"/>
  <c r="G220" i="38"/>
  <c r="M124" i="13"/>
  <c r="M451" i="13"/>
  <c r="M336" i="13"/>
  <c r="D559" i="1"/>
  <c r="N251" i="11"/>
  <c r="N375" i="11"/>
  <c r="N499" i="11" s="1"/>
  <c r="O268" i="13"/>
  <c r="M20" i="12" s="1"/>
  <c r="P267" i="13"/>
  <c r="H81" i="38"/>
  <c r="H83" i="38" s="1"/>
  <c r="H80" i="38"/>
  <c r="O339" i="13"/>
  <c r="N340" i="13"/>
  <c r="L24" i="12" s="1"/>
  <c r="G26" i="28" s="1"/>
  <c r="G28" i="28" s="1"/>
  <c r="N360" i="11"/>
  <c r="N484" i="11" s="1"/>
  <c r="N236" i="11"/>
  <c r="K6" i="18"/>
  <c r="J20" i="18"/>
  <c r="J16" i="18"/>
  <c r="H90" i="52"/>
  <c r="P646" i="1"/>
  <c r="C35" i="31"/>
  <c r="C36" i="31" s="1"/>
  <c r="D21" i="39" s="1"/>
  <c r="R237" i="13"/>
  <c r="I186" i="12"/>
  <c r="E135" i="11"/>
  <c r="E259" i="11" s="1"/>
  <c r="E383" i="11" s="1"/>
  <c r="E507" i="11" s="1"/>
  <c r="E631" i="11" s="1"/>
  <c r="J11" i="11"/>
  <c r="N11" i="11"/>
  <c r="P11" i="11"/>
  <c r="L11" i="11"/>
  <c r="I135" i="11"/>
  <c r="Q11" i="11"/>
  <c r="K11" i="11"/>
  <c r="M11" i="11"/>
  <c r="O11" i="11"/>
  <c r="O810" i="1"/>
  <c r="O811" i="1" s="1"/>
  <c r="H210" i="11"/>
  <c r="H334" i="11"/>
  <c r="H458" i="11" s="1"/>
  <c r="F21" i="19"/>
  <c r="K86" i="12"/>
  <c r="K199" i="12" s="1"/>
  <c r="K56" i="12"/>
  <c r="O848" i="1"/>
  <c r="L8" i="12" s="1"/>
  <c r="G24" i="18" s="1"/>
  <c r="L29" i="12"/>
  <c r="G26" i="33" s="1"/>
  <c r="G28" i="33" s="1"/>
  <c r="C35" i="33" s="1"/>
  <c r="C36" i="33" s="1"/>
  <c r="D23" i="39" s="1"/>
  <c r="C425" i="13"/>
  <c r="R636" i="1"/>
  <c r="H214" i="12"/>
  <c r="H70" i="12"/>
  <c r="E7" i="10" s="1"/>
  <c r="E12" i="11" s="1"/>
  <c r="N764" i="1"/>
  <c r="H11" i="35"/>
  <c r="H13" i="36" s="1"/>
  <c r="I11" i="16"/>
  <c r="O285" i="13"/>
  <c r="O287" i="13" s="1"/>
  <c r="M21" i="12" s="1"/>
  <c r="H26" i="25" s="1"/>
  <c r="H28" i="25" s="1"/>
  <c r="D36" i="25" s="1"/>
  <c r="N287" i="13"/>
  <c r="L21" i="12" s="1"/>
  <c r="G26" i="25" s="1"/>
  <c r="G28" i="25" s="1"/>
  <c r="G31" i="25" s="1"/>
  <c r="K22" i="12"/>
  <c r="F26" i="26" s="1"/>
  <c r="F28" i="26" s="1"/>
  <c r="N510" i="1"/>
  <c r="D510" i="1" s="1"/>
  <c r="N823" i="1"/>
  <c r="N824" i="1" s="1"/>
  <c r="N724" i="1"/>
  <c r="N668" i="1"/>
  <c r="D668" i="1" s="1"/>
  <c r="N523" i="1"/>
  <c r="N740" i="1"/>
  <c r="N741" i="1" s="1"/>
  <c r="N649" i="1"/>
  <c r="N650" i="1" s="1"/>
  <c r="N711" i="1"/>
  <c r="N698" i="1"/>
  <c r="J22" i="22"/>
  <c r="O115" i="12"/>
  <c r="K18" i="22"/>
  <c r="G29" i="25"/>
  <c r="G30" i="25" s="1"/>
  <c r="L173" i="12"/>
  <c r="I7" i="35"/>
  <c r="O137" i="13"/>
  <c r="M824" i="1"/>
  <c r="L7" i="33"/>
  <c r="L324" i="13"/>
  <c r="E19" i="27"/>
  <c r="N13" i="38"/>
  <c r="N138" i="38"/>
  <c r="N137" i="38"/>
  <c r="T18" i="39"/>
  <c r="T19" i="39"/>
  <c r="J183" i="12"/>
  <c r="J186" i="12"/>
  <c r="P857" i="1"/>
  <c r="M17" i="12" s="1"/>
  <c r="P806" i="1"/>
  <c r="N317" i="13"/>
  <c r="O161" i="13"/>
  <c r="J201" i="11"/>
  <c r="J325" i="11"/>
  <c r="J449" i="11" s="1"/>
  <c r="K6" i="19"/>
  <c r="J20" i="19"/>
  <c r="J16" i="19"/>
  <c r="J147" i="38"/>
  <c r="G18" i="26"/>
  <c r="K6" i="21"/>
  <c r="J20" i="21"/>
  <c r="J16" i="21"/>
  <c r="K198" i="12"/>
  <c r="K213" i="12" s="1"/>
  <c r="J99" i="12"/>
  <c r="F23" i="19" s="1"/>
  <c r="F26" i="19" s="1"/>
  <c r="G22" i="23"/>
  <c r="H18" i="23"/>
  <c r="L116" i="12"/>
  <c r="I324" i="11"/>
  <c r="I448" i="11" s="1"/>
  <c r="I200" i="11"/>
  <c r="J108" i="38"/>
  <c r="J109" i="38"/>
  <c r="J111" i="38" s="1"/>
  <c r="I29" i="32"/>
  <c r="I30" i="32" s="1"/>
  <c r="I31" i="32"/>
  <c r="N180" i="12"/>
  <c r="M167" i="38"/>
  <c r="G26" i="16"/>
  <c r="G28" i="16" s="1"/>
  <c r="L376" i="11"/>
  <c r="L500" i="11" s="1"/>
  <c r="L252" i="11"/>
  <c r="I78" i="38"/>
  <c r="J76" i="38"/>
  <c r="O55" i="39"/>
  <c r="K24" i="12"/>
  <c r="F26" i="28" s="1"/>
  <c r="F28" i="28" s="1"/>
  <c r="N353" i="11"/>
  <c r="N477" i="11" s="1"/>
  <c r="N229" i="11"/>
  <c r="H245" i="38"/>
  <c r="H247" i="38" s="1"/>
  <c r="E18" i="33"/>
  <c r="E19" i="33" s="1"/>
  <c r="N358" i="13"/>
  <c r="O357" i="13"/>
  <c r="O358" i="13" s="1"/>
  <c r="M25" i="12" s="1"/>
  <c r="H26" i="29" s="1"/>
  <c r="H28" i="29" s="1"/>
  <c r="Q756" i="1"/>
  <c r="Q640" i="1"/>
  <c r="Q767" i="1"/>
  <c r="Q731" i="1"/>
  <c r="M227" i="11"/>
  <c r="M351" i="11"/>
  <c r="M475" i="11" s="1"/>
  <c r="L27" i="12"/>
  <c r="G26" i="31" s="1"/>
  <c r="G28" i="31" s="1"/>
  <c r="C396" i="13"/>
  <c r="F127" i="13" s="1"/>
  <c r="K52" i="38"/>
  <c r="K53" i="38"/>
  <c r="K55" i="38" s="1"/>
  <c r="I183" i="12"/>
  <c r="M70" i="12"/>
  <c r="E62" i="10" s="1"/>
  <c r="E67" i="11" s="1"/>
  <c r="K88" i="12"/>
  <c r="E21" i="36"/>
  <c r="G21" i="22"/>
  <c r="N57" i="12"/>
  <c r="I125" i="12"/>
  <c r="D24" i="32"/>
  <c r="P5" i="38"/>
  <c r="T50" i="13"/>
  <c r="T48" i="13"/>
  <c r="T46" i="13"/>
  <c r="T44" i="13"/>
  <c r="T51" i="13"/>
  <c r="T49" i="13"/>
  <c r="T47" i="13"/>
  <c r="T45" i="13"/>
  <c r="T193" i="13"/>
  <c r="U12" i="1"/>
  <c r="U14" i="1" s="1"/>
  <c r="L112" i="12"/>
  <c r="G22" i="19"/>
  <c r="H18" i="19"/>
  <c r="O854" i="1"/>
  <c r="L14" i="12" s="1"/>
  <c r="G24" i="21" s="1"/>
  <c r="O682" i="1"/>
  <c r="O685" i="1" s="1"/>
  <c r="E29" i="30"/>
  <c r="E30" i="30" s="1"/>
  <c r="E31" i="30" s="1"/>
  <c r="J178" i="12"/>
  <c r="N843" i="1"/>
  <c r="K4" i="12"/>
  <c r="G205" i="38"/>
  <c r="H7" i="24"/>
  <c r="O29" i="1"/>
  <c r="M650" i="1"/>
  <c r="J302" i="11"/>
  <c r="J426" i="11" s="1"/>
  <c r="J178" i="11"/>
  <c r="N68" i="38"/>
  <c r="N67" i="38"/>
  <c r="N69" i="38" s="1"/>
  <c r="N194" i="38"/>
  <c r="N193" i="38"/>
  <c r="P353" i="1"/>
  <c r="R3" i="1"/>
  <c r="R24" i="1" s="1"/>
  <c r="Q314" i="1"/>
  <c r="Q169" i="1"/>
  <c r="Q737" i="1"/>
  <c r="Q738" i="1" s="1"/>
  <c r="D738" i="1" s="1"/>
  <c r="F90" i="1" s="1"/>
  <c r="Q157" i="1"/>
  <c r="Q820" i="1"/>
  <c r="Q821" i="1" s="1"/>
  <c r="Q749" i="1"/>
  <c r="Q750" i="1" s="1"/>
  <c r="Q753" i="1" s="1"/>
  <c r="Q455" i="1"/>
  <c r="Q456" i="1" s="1"/>
  <c r="D456" i="1" s="1"/>
  <c r="Q145" i="1"/>
  <c r="Q242" i="1"/>
  <c r="Q418" i="1"/>
  <c r="Q628" i="1"/>
  <c r="Q849" i="1" s="1"/>
  <c r="N9" i="12" s="1"/>
  <c r="Q270" i="1"/>
  <c r="Q271" i="1" s="1"/>
  <c r="Q325" i="1"/>
  <c r="Q486" i="1"/>
  <c r="H67" i="1" s="1"/>
  <c r="Q254" i="1"/>
  <c r="Q721" i="1"/>
  <c r="Q722" i="1" s="1"/>
  <c r="Q429" i="1"/>
  <c r="Q708" i="1"/>
  <c r="Q709" i="1" s="1"/>
  <c r="Q760" i="1"/>
  <c r="Q336" i="1"/>
  <c r="Q805" i="1"/>
  <c r="Q771" i="1"/>
  <c r="Q230" i="1"/>
  <c r="Q352" i="1"/>
  <c r="Q353" i="1" s="1"/>
  <c r="D353" i="1" s="1"/>
  <c r="Q695" i="1"/>
  <c r="Q696" i="1" s="1"/>
  <c r="Q440" i="1"/>
  <c r="Q681" i="1"/>
  <c r="M450" i="13"/>
  <c r="M123" i="13"/>
  <c r="M318" i="13"/>
  <c r="N215" i="11"/>
  <c r="N339" i="11"/>
  <c r="N463" i="11" s="1"/>
  <c r="M238" i="11"/>
  <c r="M362" i="11"/>
  <c r="M486" i="11" s="1"/>
  <c r="L32" i="12"/>
  <c r="H57" i="12"/>
  <c r="G21" i="5"/>
  <c r="L83" i="12"/>
  <c r="L44" i="12"/>
  <c r="L49" i="12" s="1"/>
  <c r="D24" i="5"/>
  <c r="I31" i="12"/>
  <c r="I43" i="12"/>
  <c r="D23" i="24"/>
  <c r="D29" i="36"/>
  <c r="E26" i="16"/>
  <c r="E28" i="16" s="1"/>
  <c r="J35" i="12"/>
  <c r="J46" i="12"/>
  <c r="J47" i="12" s="1"/>
  <c r="F27" i="23"/>
  <c r="F28" i="23" s="1"/>
  <c r="F29" i="23" s="1"/>
  <c r="K171" i="12"/>
  <c r="J263" i="38"/>
  <c r="N371" i="11"/>
  <c r="N495" i="11" s="1"/>
  <c r="N247" i="11"/>
  <c r="J24" i="32"/>
  <c r="K7" i="32"/>
  <c r="L230" i="11"/>
  <c r="L354" i="11"/>
  <c r="L478" i="11" s="1"/>
  <c r="D231" i="13"/>
  <c r="O179" i="13"/>
  <c r="M374" i="11"/>
  <c r="M498" i="11" s="1"/>
  <c r="M250" i="11"/>
  <c r="J6" i="17"/>
  <c r="I20" i="17"/>
  <c r="I16" i="17"/>
  <c r="H113" i="52"/>
  <c r="P758" i="1"/>
  <c r="P759" i="1" s="1"/>
  <c r="M48" i="38"/>
  <c r="L50" i="38"/>
  <c r="M337" i="13"/>
  <c r="L342" i="13"/>
  <c r="O333" i="13"/>
  <c r="P332" i="13"/>
  <c r="I36" i="58"/>
  <c r="H36" i="58"/>
  <c r="H166" i="11"/>
  <c r="H290" i="11"/>
  <c r="H414" i="11" s="1"/>
  <c r="M229" i="13"/>
  <c r="F22" i="21"/>
  <c r="G18" i="21"/>
  <c r="K114" i="12"/>
  <c r="K128" i="12" s="1"/>
  <c r="F20" i="36" s="1"/>
  <c r="N141" i="13"/>
  <c r="N289" i="13"/>
  <c r="N378" i="13"/>
  <c r="G233" i="38"/>
  <c r="S104" i="39"/>
  <c r="F29" i="19"/>
  <c r="K167" i="12"/>
  <c r="F27" i="19"/>
  <c r="F28" i="19" s="1"/>
  <c r="G94" i="1"/>
  <c r="O856" i="1"/>
  <c r="L16" i="12" s="1"/>
  <c r="G24" i="22" s="1"/>
  <c r="N221" i="11"/>
  <c r="N345" i="11"/>
  <c r="N469" i="11" s="1"/>
  <c r="P761" i="1" l="1"/>
  <c r="P772" i="1"/>
  <c r="P775" i="1" s="1"/>
  <c r="D669" i="1"/>
  <c r="E82" i="1"/>
  <c r="E81" i="1" s="1"/>
  <c r="J126" i="12"/>
  <c r="E24" i="33"/>
  <c r="D511" i="1"/>
  <c r="E69" i="1"/>
  <c r="O422" i="1"/>
  <c r="L7" i="32"/>
  <c r="K24" i="32"/>
  <c r="I7" i="24"/>
  <c r="P29" i="1"/>
  <c r="J200" i="11"/>
  <c r="J324" i="11"/>
  <c r="J448" i="11" s="1"/>
  <c r="L53" i="38"/>
  <c r="L55" i="38" s="1"/>
  <c r="L52" i="38"/>
  <c r="G22" i="21"/>
  <c r="H18" i="21"/>
  <c r="L114" i="12"/>
  <c r="N48" i="38"/>
  <c r="M50" i="38"/>
  <c r="D232" i="13"/>
  <c r="P179" i="13"/>
  <c r="H71" i="12"/>
  <c r="E8" i="10" s="1"/>
  <c r="E13" i="11" s="1"/>
  <c r="I161" i="38"/>
  <c r="F18" i="27"/>
  <c r="M112" i="12"/>
  <c r="H22" i="19"/>
  <c r="I18" i="19"/>
  <c r="E191" i="11"/>
  <c r="E315" i="11" s="1"/>
  <c r="E439" i="11" s="1"/>
  <c r="E563" i="11" s="1"/>
  <c r="E687" i="11" s="1"/>
  <c r="P67" i="11"/>
  <c r="N67" i="11"/>
  <c r="Q67" i="11"/>
  <c r="K67" i="11"/>
  <c r="M67" i="11"/>
  <c r="O67" i="11"/>
  <c r="L67" i="11"/>
  <c r="J191" i="11"/>
  <c r="N227" i="11"/>
  <c r="N351" i="11"/>
  <c r="N475" i="11" s="1"/>
  <c r="H250" i="38"/>
  <c r="H251" i="38" s="1"/>
  <c r="H248" i="38"/>
  <c r="I81" i="38"/>
  <c r="I83" i="38" s="1"/>
  <c r="I80" i="38"/>
  <c r="L171" i="12"/>
  <c r="G27" i="23"/>
  <c r="G28" i="23" s="1"/>
  <c r="G29" i="23" s="1"/>
  <c r="J149" i="38"/>
  <c r="O170" i="12"/>
  <c r="P268" i="13"/>
  <c r="N20" i="12" s="1"/>
  <c r="Q267" i="13"/>
  <c r="F87" i="93"/>
  <c r="F96" i="93"/>
  <c r="O226" i="11"/>
  <c r="O350" i="11"/>
  <c r="O474" i="11" s="1"/>
  <c r="K147" i="38"/>
  <c r="K149" i="38" s="1"/>
  <c r="H18" i="26"/>
  <c r="H21" i="21"/>
  <c r="M58" i="12"/>
  <c r="M88" i="12"/>
  <c r="M201" i="12" s="1"/>
  <c r="D31" i="27"/>
  <c r="D29" i="27"/>
  <c r="D30" i="27" s="1"/>
  <c r="I175" i="12"/>
  <c r="E158" i="11"/>
  <c r="E282" i="11" s="1"/>
  <c r="E406" i="11" s="1"/>
  <c r="E530" i="11" s="1"/>
  <c r="E654" i="11" s="1"/>
  <c r="Q34" i="11"/>
  <c r="K34" i="11"/>
  <c r="M34" i="11"/>
  <c r="O34" i="11"/>
  <c r="J158" i="11"/>
  <c r="N34" i="11"/>
  <c r="P34" i="11"/>
  <c r="L34" i="11"/>
  <c r="N242" i="11"/>
  <c r="N366" i="11"/>
  <c r="N490" i="11" s="1"/>
  <c r="R199" i="13"/>
  <c r="Q195" i="13"/>
  <c r="G250" i="38"/>
  <c r="G251" i="38" s="1"/>
  <c r="G248" i="38"/>
  <c r="L6" i="23"/>
  <c r="K20" i="23"/>
  <c r="K16" i="23"/>
  <c r="E147" i="11"/>
  <c r="E271" i="11" s="1"/>
  <c r="E395" i="11" s="1"/>
  <c r="E519" i="11" s="1"/>
  <c r="E643" i="11" s="1"/>
  <c r="Q23" i="11"/>
  <c r="K23" i="11"/>
  <c r="M23" i="11"/>
  <c r="O23" i="11"/>
  <c r="J147" i="11"/>
  <c r="N23" i="11"/>
  <c r="P23" i="11"/>
  <c r="L23" i="11"/>
  <c r="C47" i="37"/>
  <c r="H29" i="25"/>
  <c r="H30" i="25" s="1"/>
  <c r="H31" i="25" s="1"/>
  <c r="M173" i="12"/>
  <c r="O846" i="1"/>
  <c r="L6" i="12" s="1"/>
  <c r="G24" i="17" s="1"/>
  <c r="I181" i="12"/>
  <c r="D31" i="33"/>
  <c r="D29" i="33"/>
  <c r="D30" i="33" s="1"/>
  <c r="F59" i="1"/>
  <c r="D376" i="1"/>
  <c r="I71" i="12"/>
  <c r="E19" i="10" s="1"/>
  <c r="E24" i="11" s="1"/>
  <c r="L84" i="12"/>
  <c r="I200" i="12" s="1"/>
  <c r="I215" i="12" s="1"/>
  <c r="K46" i="12"/>
  <c r="K47" i="12" s="1"/>
  <c r="O141" i="13"/>
  <c r="O289" i="13"/>
  <c r="O378" i="13"/>
  <c r="N234" i="11"/>
  <c r="N358" i="11"/>
  <c r="N482" i="11" s="1"/>
  <c r="M30" i="27"/>
  <c r="M31" i="27" s="1"/>
  <c r="N24" i="27"/>
  <c r="F27" i="18"/>
  <c r="F28" i="18" s="1"/>
  <c r="F29" i="18" s="1"/>
  <c r="K165" i="12"/>
  <c r="F27" i="17"/>
  <c r="F28" i="17" s="1"/>
  <c r="F29" i="17" s="1"/>
  <c r="M94" i="38"/>
  <c r="M95" i="38"/>
  <c r="M97" i="38" s="1"/>
  <c r="Q857" i="1"/>
  <c r="N17" i="12" s="1"/>
  <c r="Q806" i="1"/>
  <c r="G236" i="38"/>
  <c r="G237" i="38" s="1"/>
  <c r="G234" i="38"/>
  <c r="F27" i="21"/>
  <c r="F28" i="21" s="1"/>
  <c r="F29" i="21"/>
  <c r="K169" i="12"/>
  <c r="L38" i="12"/>
  <c r="G27" i="36" s="1"/>
  <c r="L34" i="12"/>
  <c r="L40" i="12" s="1"/>
  <c r="G21" i="24"/>
  <c r="G29" i="19"/>
  <c r="L167" i="12"/>
  <c r="G27" i="19"/>
  <c r="G28" i="19" s="1"/>
  <c r="N71" i="12"/>
  <c r="E74" i="10" s="1"/>
  <c r="E79" i="11" s="1"/>
  <c r="L89" i="12"/>
  <c r="N200" i="12" s="1"/>
  <c r="N215" i="12" s="1"/>
  <c r="O353" i="11"/>
  <c r="O477" i="11" s="1"/>
  <c r="O229" i="11"/>
  <c r="M376" i="11"/>
  <c r="M500" i="11" s="1"/>
  <c r="M252" i="11"/>
  <c r="K99" i="12"/>
  <c r="G23" i="19" s="1"/>
  <c r="G26" i="19" s="1"/>
  <c r="P161" i="13"/>
  <c r="O317" i="13"/>
  <c r="J120" i="12"/>
  <c r="E24" i="27"/>
  <c r="E136" i="11"/>
  <c r="E260" i="11" s="1"/>
  <c r="E384" i="11" s="1"/>
  <c r="E508" i="11" s="1"/>
  <c r="E632" i="11" s="1"/>
  <c r="Q12" i="11"/>
  <c r="K12" i="11"/>
  <c r="M12" i="11"/>
  <c r="O12" i="11"/>
  <c r="J136" i="11"/>
  <c r="N12" i="11"/>
  <c r="P12" i="11"/>
  <c r="L12" i="11"/>
  <c r="L6" i="18"/>
  <c r="K20" i="18"/>
  <c r="K16" i="18"/>
  <c r="H26" i="16"/>
  <c r="H28" i="16" s="1"/>
  <c r="I301" i="11"/>
  <c r="I425" i="11" s="1"/>
  <c r="I177" i="11"/>
  <c r="M30" i="31"/>
  <c r="M31" i="31" s="1"/>
  <c r="N24" i="31"/>
  <c r="O452" i="13"/>
  <c r="O125" i="13"/>
  <c r="O354" i="13"/>
  <c r="M244" i="11"/>
  <c r="M368" i="11"/>
  <c r="M492" i="11" s="1"/>
  <c r="L71" i="12"/>
  <c r="E52" i="10" s="1"/>
  <c r="E57" i="11" s="1"/>
  <c r="L215" i="12"/>
  <c r="F61" i="1"/>
  <c r="D411" i="1"/>
  <c r="H22" i="5"/>
  <c r="I18" i="5"/>
  <c r="M109" i="12"/>
  <c r="S230" i="13"/>
  <c r="O13" i="38"/>
  <c r="O137" i="38"/>
  <c r="O138" i="38"/>
  <c r="U19" i="39"/>
  <c r="U18" i="39"/>
  <c r="N225" i="11"/>
  <c r="N349" i="11"/>
  <c r="N473" i="11" s="1"/>
  <c r="M212" i="11"/>
  <c r="M336" i="11"/>
  <c r="M460" i="11" s="1"/>
  <c r="H97" i="1"/>
  <c r="N153" i="38"/>
  <c r="K217" i="38"/>
  <c r="K219" i="38" s="1"/>
  <c r="H18" i="31"/>
  <c r="G18" i="29"/>
  <c r="P158" i="1"/>
  <c r="P255" i="1"/>
  <c r="H21" i="20"/>
  <c r="L58" i="12"/>
  <c r="T13" i="12"/>
  <c r="N359" i="11"/>
  <c r="N483" i="11" s="1"/>
  <c r="N235" i="11"/>
  <c r="N223" i="38"/>
  <c r="I199" i="12"/>
  <c r="I214" i="12" s="1"/>
  <c r="L97" i="12"/>
  <c r="H23" i="17" s="1"/>
  <c r="K97" i="12"/>
  <c r="G23" i="17" s="1"/>
  <c r="G26" i="17" s="1"/>
  <c r="K190" i="11"/>
  <c r="K314" i="11"/>
  <c r="K438" i="11" s="1"/>
  <c r="J7" i="25"/>
  <c r="I24" i="25"/>
  <c r="C288" i="13"/>
  <c r="F121" i="13" s="1"/>
  <c r="P138" i="13"/>
  <c r="J8" i="35"/>
  <c r="G166" i="38"/>
  <c r="G167" i="38" s="1"/>
  <c r="G164" i="38"/>
  <c r="H166" i="38"/>
  <c r="H167" i="38" s="1"/>
  <c r="H164" i="38"/>
  <c r="O90" i="38"/>
  <c r="N92" i="38"/>
  <c r="I45" i="12"/>
  <c r="Q855" i="1"/>
  <c r="N15" i="12" s="1"/>
  <c r="N85" i="12"/>
  <c r="J202" i="12" s="1"/>
  <c r="I21" i="18"/>
  <c r="J59" i="12"/>
  <c r="N450" i="13"/>
  <c r="N123" i="13"/>
  <c r="N318" i="13"/>
  <c r="O236" i="11"/>
  <c r="O360" i="11"/>
  <c r="O484" i="11" s="1"/>
  <c r="E29" i="26"/>
  <c r="E30" i="26" s="1"/>
  <c r="E31" i="26" s="1"/>
  <c r="J174" i="12"/>
  <c r="P80" i="12"/>
  <c r="P93" i="12" s="1"/>
  <c r="G219" i="12"/>
  <c r="Q151" i="12"/>
  <c r="R2" i="12"/>
  <c r="G76" i="12"/>
  <c r="G62" i="12"/>
  <c r="G204" i="12"/>
  <c r="Q162" i="12"/>
  <c r="Q107" i="12"/>
  <c r="O193" i="38"/>
  <c r="O195" i="38" s="1"/>
  <c r="O194" i="38"/>
  <c r="P487" i="1"/>
  <c r="P848" i="1"/>
  <c r="M8" i="12" s="1"/>
  <c r="H24" i="18" s="1"/>
  <c r="G72" i="1"/>
  <c r="T261" i="1"/>
  <c r="T262" i="1" s="1"/>
  <c r="S262" i="1"/>
  <c r="N177" i="12"/>
  <c r="I31" i="29"/>
  <c r="I29" i="29"/>
  <c r="I30" i="29" s="1"/>
  <c r="H22" i="20"/>
  <c r="I18" i="20"/>
  <c r="M113" i="12"/>
  <c r="G191" i="38"/>
  <c r="M222" i="11"/>
  <c r="M346" i="11"/>
  <c r="M470" i="11" s="1"/>
  <c r="J58" i="12"/>
  <c r="M85" i="12"/>
  <c r="H21" i="18"/>
  <c r="N237" i="11"/>
  <c r="N361" i="11"/>
  <c r="N485" i="11" s="1"/>
  <c r="D26" i="5"/>
  <c r="H65" i="1"/>
  <c r="O775" i="1"/>
  <c r="O345" i="11"/>
  <c r="O469" i="11" s="1"/>
  <c r="O221" i="11"/>
  <c r="I114" i="52"/>
  <c r="Q769" i="1"/>
  <c r="J7" i="35"/>
  <c r="P137" i="13"/>
  <c r="O407" i="13"/>
  <c r="O421" i="13"/>
  <c r="O422" i="13" s="1"/>
  <c r="L164" i="12"/>
  <c r="J217" i="38"/>
  <c r="J219" i="38" s="1"/>
  <c r="G18" i="31"/>
  <c r="N232" i="11"/>
  <c r="N356" i="11"/>
  <c r="N480" i="11" s="1"/>
  <c r="L179" i="11"/>
  <c r="L303" i="11"/>
  <c r="L427" i="11" s="1"/>
  <c r="J35" i="58"/>
  <c r="Q331" i="13"/>
  <c r="K131" i="12"/>
  <c r="D821" i="1"/>
  <c r="F97" i="1" s="1"/>
  <c r="H19" i="31"/>
  <c r="O397" i="13"/>
  <c r="C379" i="13"/>
  <c r="N230" i="13"/>
  <c r="I37" i="58"/>
  <c r="H37" i="58"/>
  <c r="O335" i="13"/>
  <c r="M354" i="11"/>
  <c r="M478" i="11" s="1"/>
  <c r="M230" i="11"/>
  <c r="I33" i="12"/>
  <c r="D24" i="24"/>
  <c r="D26" i="24" s="1"/>
  <c r="N238" i="11"/>
  <c r="N362" i="11"/>
  <c r="N486" i="11" s="1"/>
  <c r="Q847" i="1"/>
  <c r="N7" i="12" s="1"/>
  <c r="N195" i="38"/>
  <c r="O823" i="1"/>
  <c r="O824" i="1" s="1"/>
  <c r="O724" i="1"/>
  <c r="O740" i="1"/>
  <c r="O741" i="1" s="1"/>
  <c r="O649" i="1"/>
  <c r="O650" i="1" s="1"/>
  <c r="O698" i="1"/>
  <c r="O711" i="1"/>
  <c r="I90" i="52"/>
  <c r="N90" i="52" s="1"/>
  <c r="Q646" i="1"/>
  <c r="L6" i="19"/>
  <c r="K20" i="19"/>
  <c r="K16" i="19"/>
  <c r="H96" i="1"/>
  <c r="I334" i="11"/>
  <c r="I458" i="11" s="1"/>
  <c r="I210" i="11"/>
  <c r="J135" i="11"/>
  <c r="J259" i="11"/>
  <c r="J383" i="11" s="1"/>
  <c r="O251" i="11"/>
  <c r="O375" i="11"/>
  <c r="O499" i="11" s="1"/>
  <c r="N245" i="11"/>
  <c r="N369" i="11"/>
  <c r="N493" i="11" s="1"/>
  <c r="E168" i="11"/>
  <c r="E292" i="11" s="1"/>
  <c r="E416" i="11" s="1"/>
  <c r="E540" i="11" s="1"/>
  <c r="E664" i="11" s="1"/>
  <c r="M44" i="11"/>
  <c r="O44" i="11"/>
  <c r="J44" i="11"/>
  <c r="J129" i="11" s="1"/>
  <c r="F44" i="93" s="1"/>
  <c r="F57" i="93" s="1"/>
  <c r="N44" i="11"/>
  <c r="P44" i="11"/>
  <c r="L44" i="11"/>
  <c r="I168" i="11"/>
  <c r="Q44" i="11"/>
  <c r="K44" i="11"/>
  <c r="G19" i="31"/>
  <c r="N397" i="13"/>
  <c r="M335" i="11"/>
  <c r="M459" i="11" s="1"/>
  <c r="M211" i="11"/>
  <c r="O68" i="38"/>
  <c r="O67" i="38"/>
  <c r="O249" i="38"/>
  <c r="O250" i="38"/>
  <c r="O109" i="38"/>
  <c r="O111" i="38" s="1"/>
  <c r="O110" i="38"/>
  <c r="C35" i="25"/>
  <c r="C36" i="25" s="1"/>
  <c r="D15" i="39" s="1"/>
  <c r="P854" i="1"/>
  <c r="M14" i="12" s="1"/>
  <c r="H24" i="21" s="1"/>
  <c r="P682" i="1"/>
  <c r="P685" i="1" s="1"/>
  <c r="L6" i="22"/>
  <c r="K20" i="22"/>
  <c r="K16" i="22"/>
  <c r="N213" i="11"/>
  <c r="N337" i="11"/>
  <c r="N461" i="11" s="1"/>
  <c r="K7" i="29"/>
  <c r="J24" i="29"/>
  <c r="H58" i="12"/>
  <c r="H21" i="5"/>
  <c r="M83" i="12"/>
  <c r="K146" i="11"/>
  <c r="K270" i="11"/>
  <c r="K394" i="11" s="1"/>
  <c r="N237" i="38"/>
  <c r="N249" i="11"/>
  <c r="N373" i="11"/>
  <c r="N497" i="11" s="1"/>
  <c r="C32" i="36"/>
  <c r="H189" i="38"/>
  <c r="L168" i="12"/>
  <c r="G27" i="20"/>
  <c r="G28" i="20" s="1"/>
  <c r="G29" i="20" s="1"/>
  <c r="J134" i="11"/>
  <c r="J258" i="11"/>
  <c r="J382" i="11" s="1"/>
  <c r="P542" i="1"/>
  <c r="D539" i="1"/>
  <c r="G26" i="18"/>
  <c r="E19" i="29"/>
  <c r="L360" i="13"/>
  <c r="M355" i="13"/>
  <c r="N348" i="11"/>
  <c r="N472" i="11" s="1"/>
  <c r="N224" i="11"/>
  <c r="M357" i="11"/>
  <c r="M481" i="11" s="1"/>
  <c r="M233" i="11"/>
  <c r="F21" i="36"/>
  <c r="P810" i="1"/>
  <c r="P811" i="1" s="1"/>
  <c r="D806" i="1"/>
  <c r="F96" i="1" s="1"/>
  <c r="F95" i="1" s="1"/>
  <c r="I11" i="35"/>
  <c r="I13" i="36" s="1"/>
  <c r="J11" i="16"/>
  <c r="F73" i="1"/>
  <c r="D562" i="1"/>
  <c r="G19" i="26"/>
  <c r="K119" i="12"/>
  <c r="F24" i="26"/>
  <c r="I155" i="11"/>
  <c r="I279" i="11"/>
  <c r="I403" i="11" s="1"/>
  <c r="D26" i="16"/>
  <c r="D28" i="16" s="1"/>
  <c r="I35" i="12"/>
  <c r="I37" i="12" s="1"/>
  <c r="D30" i="36" s="1"/>
  <c r="I46" i="12"/>
  <c r="I47" i="12" s="1"/>
  <c r="I268" i="11"/>
  <c r="I392" i="11" s="1"/>
  <c r="I144" i="11"/>
  <c r="I323" i="11"/>
  <c r="I447" i="11" s="1"/>
  <c r="I199" i="11"/>
  <c r="O40" i="38"/>
  <c r="O39" i="38"/>
  <c r="O166" i="38"/>
  <c r="O165" i="38"/>
  <c r="O167" i="38" s="1"/>
  <c r="O363" i="11"/>
  <c r="O487" i="11" s="1"/>
  <c r="O239" i="11"/>
  <c r="S237" i="13"/>
  <c r="F17" i="24"/>
  <c r="P419" i="1"/>
  <c r="P422" i="1" s="1"/>
  <c r="O111" i="12"/>
  <c r="J22" i="18"/>
  <c r="K18" i="18"/>
  <c r="P146" i="1"/>
  <c r="P844" i="1"/>
  <c r="Q485" i="1"/>
  <c r="Q487" i="1" s="1"/>
  <c r="D487" i="1" s="1"/>
  <c r="Q313" i="1"/>
  <c r="Q315" i="1" s="1"/>
  <c r="Q759" i="1"/>
  <c r="Q761" i="1" s="1"/>
  <c r="Q707" i="1"/>
  <c r="Q736" i="1"/>
  <c r="G90" i="1" s="1"/>
  <c r="Q645" i="1"/>
  <c r="Q850" i="1" s="1"/>
  <c r="N10" i="12" s="1"/>
  <c r="I24" i="19" s="1"/>
  <c r="Q439" i="1"/>
  <c r="Q441" i="1" s="1"/>
  <c r="Q269" i="1"/>
  <c r="Q804" i="1"/>
  <c r="Q856" i="1" s="1"/>
  <c r="N16" i="12" s="1"/>
  <c r="I24" i="22" s="1"/>
  <c r="C33" i="22" s="1"/>
  <c r="Q680" i="1"/>
  <c r="Q324" i="1"/>
  <c r="Q326" i="1" s="1"/>
  <c r="Q819" i="1"/>
  <c r="G97" i="1" s="1"/>
  <c r="Q469" i="1"/>
  <c r="G66" i="1" s="1"/>
  <c r="P16" i="13"/>
  <c r="Q770" i="1"/>
  <c r="Q772" i="1" s="1"/>
  <c r="Q775" i="1" s="1"/>
  <c r="Q720" i="1"/>
  <c r="Q627" i="1"/>
  <c r="Q335" i="1"/>
  <c r="Q337" i="1" s="1"/>
  <c r="Q748" i="1"/>
  <c r="G91" i="1" s="1"/>
  <c r="R21" i="1"/>
  <c r="Q156" i="1"/>
  <c r="Q158" i="1" s="1"/>
  <c r="Q229" i="1"/>
  <c r="Q231" i="1" s="1"/>
  <c r="Q168" i="1"/>
  <c r="Q170" i="1" s="1"/>
  <c r="Q454" i="1"/>
  <c r="G65" i="1" s="1"/>
  <c r="Q253" i="1"/>
  <c r="Q255" i="1" s="1"/>
  <c r="Q241" i="1"/>
  <c r="Q243" i="1" s="1"/>
  <c r="Q144" i="1"/>
  <c r="Q22" i="1"/>
  <c r="P856" i="1"/>
  <c r="M16" i="12" s="1"/>
  <c r="H24" i="22" s="1"/>
  <c r="G96" i="1"/>
  <c r="J105" i="12"/>
  <c r="F28" i="37" s="1"/>
  <c r="H90" i="1"/>
  <c r="M372" i="11"/>
  <c r="M496" i="11" s="1"/>
  <c r="M248" i="11"/>
  <c r="O230" i="13"/>
  <c r="J145" i="11"/>
  <c r="J269" i="11"/>
  <c r="J393" i="11" s="1"/>
  <c r="D31" i="28"/>
  <c r="D29" i="28"/>
  <c r="D30" i="28" s="1"/>
  <c r="I176" i="12"/>
  <c r="J156" i="11"/>
  <c r="J280" i="11"/>
  <c r="J404" i="11" s="1"/>
  <c r="N365" i="11"/>
  <c r="N489" i="11" s="1"/>
  <c r="N241" i="11"/>
  <c r="J71" i="12"/>
  <c r="E30" i="10" s="1"/>
  <c r="E35" i="11" s="1"/>
  <c r="J215" i="12"/>
  <c r="J125" i="12"/>
  <c r="E24" i="32"/>
  <c r="H26" i="18"/>
  <c r="K7" i="26"/>
  <c r="H180" i="38"/>
  <c r="H181" i="38" s="1"/>
  <c r="H178" i="38"/>
  <c r="T198" i="13"/>
  <c r="T194" i="13" s="1"/>
  <c r="T207" i="13"/>
  <c r="I113" i="52"/>
  <c r="Q758" i="1"/>
  <c r="N337" i="13"/>
  <c r="M342" i="13"/>
  <c r="O180" i="12"/>
  <c r="J29" i="32"/>
  <c r="J30" i="32" s="1"/>
  <c r="J31" i="32" s="1"/>
  <c r="G59" i="93"/>
  <c r="G26" i="37"/>
  <c r="L6" i="21"/>
  <c r="K20" i="21"/>
  <c r="K16" i="21"/>
  <c r="H21" i="22"/>
  <c r="N58" i="12"/>
  <c r="M89" i="12"/>
  <c r="N201" i="12" s="1"/>
  <c r="T20" i="39"/>
  <c r="M7" i="33"/>
  <c r="C305" i="13"/>
  <c r="C308" i="13" s="1"/>
  <c r="C122" i="13" s="1"/>
  <c r="P851" i="1"/>
  <c r="M11" i="12" s="1"/>
  <c r="P647" i="1"/>
  <c r="O340" i="13"/>
  <c r="M24" i="12" s="1"/>
  <c r="H26" i="28" s="1"/>
  <c r="H28" i="28" s="1"/>
  <c r="P339" i="13"/>
  <c r="K183" i="12"/>
  <c r="K186" i="12"/>
  <c r="J7" i="28"/>
  <c r="I312" i="11"/>
  <c r="I436" i="11" s="1"/>
  <c r="I188" i="11"/>
  <c r="T230" i="13"/>
  <c r="L75" i="13"/>
  <c r="L64" i="13"/>
  <c r="N456" i="13"/>
  <c r="N426" i="13"/>
  <c r="O222" i="38"/>
  <c r="O221" i="38"/>
  <c r="O223" i="38" s="1"/>
  <c r="G23" i="5"/>
  <c r="D36" i="27"/>
  <c r="C35" i="27"/>
  <c r="C36" i="27" s="1"/>
  <c r="D17" i="39" s="1"/>
  <c r="I59" i="52"/>
  <c r="Q427" i="1"/>
  <c r="Q428" i="1" s="1"/>
  <c r="Q430" i="1" s="1"/>
  <c r="Q433" i="1" s="1"/>
  <c r="N166" i="12"/>
  <c r="P243" i="1"/>
  <c r="P315" i="1"/>
  <c r="P441" i="1"/>
  <c r="P846" i="1"/>
  <c r="M6" i="12" s="1"/>
  <c r="H24" i="17" s="1"/>
  <c r="G59" i="1"/>
  <c r="J104" i="12"/>
  <c r="N231" i="11"/>
  <c r="N355" i="11"/>
  <c r="N479" i="11" s="1"/>
  <c r="C26" i="24"/>
  <c r="S236" i="13"/>
  <c r="J121" i="12"/>
  <c r="E24" i="28"/>
  <c r="R230" i="13"/>
  <c r="K167" i="11"/>
  <c r="K291" i="11"/>
  <c r="K415" i="11" s="1"/>
  <c r="S636" i="1"/>
  <c r="T636" i="1" s="1"/>
  <c r="N370" i="11"/>
  <c r="N494" i="11" s="1"/>
  <c r="N246" i="11"/>
  <c r="H236" i="38"/>
  <c r="H237" i="38" s="1"/>
  <c r="H234" i="38"/>
  <c r="F24" i="31"/>
  <c r="K124" i="12"/>
  <c r="L6" i="20"/>
  <c r="K20" i="20"/>
  <c r="K16" i="20"/>
  <c r="I122" i="12"/>
  <c r="D24" i="29"/>
  <c r="P788" i="1"/>
  <c r="D785" i="1"/>
  <c r="O599" i="1"/>
  <c r="D596" i="1"/>
  <c r="K6" i="17"/>
  <c r="J20" i="17"/>
  <c r="J16" i="17"/>
  <c r="O215" i="11"/>
  <c r="O339" i="11"/>
  <c r="O463" i="11" s="1"/>
  <c r="F56" i="1"/>
  <c r="D356" i="1"/>
  <c r="Q845" i="1"/>
  <c r="N5" i="12" s="1"/>
  <c r="S3" i="1"/>
  <c r="R314" i="1"/>
  <c r="R721" i="1"/>
  <c r="R722" i="1" s="1"/>
  <c r="R325" i="1"/>
  <c r="R270" i="1"/>
  <c r="R271" i="1" s="1"/>
  <c r="R254" i="1"/>
  <c r="R429" i="1"/>
  <c r="R771" i="1"/>
  <c r="R440" i="1"/>
  <c r="R760" i="1"/>
  <c r="R157" i="1"/>
  <c r="R646" i="1"/>
  <c r="R169" i="1"/>
  <c r="R708" i="1"/>
  <c r="R695" i="1"/>
  <c r="R696" i="1" s="1"/>
  <c r="R418" i="1"/>
  <c r="R847" i="1" s="1"/>
  <c r="O7" i="12" s="1"/>
  <c r="R681" i="1"/>
  <c r="R230" i="1"/>
  <c r="R145" i="1"/>
  <c r="R242" i="1"/>
  <c r="R628" i="1"/>
  <c r="R849" i="1" s="1"/>
  <c r="O9" i="12" s="1"/>
  <c r="R336" i="1"/>
  <c r="G208" i="38"/>
  <c r="G209" i="38" s="1"/>
  <c r="G206" i="38"/>
  <c r="K325" i="11"/>
  <c r="K449" i="11" s="1"/>
  <c r="K201" i="11"/>
  <c r="I290" i="11"/>
  <c r="I414" i="11" s="1"/>
  <c r="I166" i="11"/>
  <c r="N250" i="11"/>
  <c r="N374" i="11"/>
  <c r="N498" i="11" s="1"/>
  <c r="O247" i="11"/>
  <c r="O371" i="11"/>
  <c r="O495" i="11" s="1"/>
  <c r="E26" i="35"/>
  <c r="E28" i="35" s="1"/>
  <c r="E46" i="35" s="1"/>
  <c r="J36" i="12"/>
  <c r="H200" i="12"/>
  <c r="H215" i="12" s="1"/>
  <c r="L96" i="12"/>
  <c r="F19" i="27"/>
  <c r="M324" i="13"/>
  <c r="F65" i="1"/>
  <c r="D459" i="1"/>
  <c r="H56" i="1"/>
  <c r="V12" i="39"/>
  <c r="P257" i="38"/>
  <c r="P263" i="38" s="1"/>
  <c r="P201" i="38"/>
  <c r="P145" i="38"/>
  <c r="P89" i="38"/>
  <c r="P96" i="38" s="1"/>
  <c r="P33" i="38"/>
  <c r="V96" i="39"/>
  <c r="P243" i="38"/>
  <c r="P187" i="38"/>
  <c r="P131" i="38"/>
  <c r="P75" i="38"/>
  <c r="P82" i="38" s="1"/>
  <c r="P19" i="38"/>
  <c r="V54" i="39"/>
  <c r="P229" i="38"/>
  <c r="P173" i="38"/>
  <c r="P179" i="38" s="1"/>
  <c r="P117" i="38"/>
  <c r="P123" i="38" s="1"/>
  <c r="P61" i="38"/>
  <c r="P215" i="38"/>
  <c r="P159" i="38"/>
  <c r="P103" i="38"/>
  <c r="P47" i="38"/>
  <c r="P54" i="38" s="1"/>
  <c r="P11" i="38"/>
  <c r="P12" i="38"/>
  <c r="M199" i="12"/>
  <c r="M214" i="12" s="1"/>
  <c r="L101" i="12"/>
  <c r="H23" i="21" s="1"/>
  <c r="H26" i="21" s="1"/>
  <c r="M101" i="12"/>
  <c r="I23" i="21" s="1"/>
  <c r="K101" i="12"/>
  <c r="G23" i="21" s="1"/>
  <c r="G26" i="21" s="1"/>
  <c r="L25" i="12"/>
  <c r="L46" i="12" s="1"/>
  <c r="L47" i="12" s="1"/>
  <c r="C359" i="13"/>
  <c r="F125" i="13" s="1"/>
  <c r="U19" i="50"/>
  <c r="W11" i="50" s="1"/>
  <c r="O57" i="39"/>
  <c r="N139" i="38"/>
  <c r="P115" i="12"/>
  <c r="K22" i="22"/>
  <c r="L18" i="22"/>
  <c r="N524" i="1"/>
  <c r="D523" i="1"/>
  <c r="C35" i="26"/>
  <c r="C36" i="26" s="1"/>
  <c r="D16" i="39" s="1"/>
  <c r="I175" i="38"/>
  <c r="I177" i="38" s="1"/>
  <c r="F18" i="28"/>
  <c r="F19" i="28" s="1"/>
  <c r="P439" i="13"/>
  <c r="Q438" i="13"/>
  <c r="M178" i="12"/>
  <c r="H31" i="30"/>
  <c r="H29" i="30"/>
  <c r="H30" i="30" s="1"/>
  <c r="E46" i="93"/>
  <c r="E31" i="31"/>
  <c r="E29" i="31"/>
  <c r="E30" i="31" s="1"/>
  <c r="J179" i="12"/>
  <c r="M6" i="24"/>
  <c r="L20" i="24"/>
  <c r="L44" i="24" s="1"/>
  <c r="L16" i="24"/>
  <c r="E19" i="30"/>
  <c r="I123" i="12"/>
  <c r="K157" i="11"/>
  <c r="K281" i="11"/>
  <c r="K405" i="11" s="1"/>
  <c r="N455" i="13"/>
  <c r="N413" i="13"/>
  <c r="N128" i="13"/>
  <c r="O235" i="38"/>
  <c r="O236" i="38"/>
  <c r="O152" i="38"/>
  <c r="O151" i="38"/>
  <c r="U103" i="39"/>
  <c r="U102" i="39"/>
  <c r="U104" i="39" s="1"/>
  <c r="E22" i="24"/>
  <c r="F18" i="24"/>
  <c r="E202" i="11"/>
  <c r="E326" i="11" s="1"/>
  <c r="E450" i="11" s="1"/>
  <c r="E574" i="11" s="1"/>
  <c r="E698" i="11" s="1"/>
  <c r="N78" i="11"/>
  <c r="Q78" i="11"/>
  <c r="K78" i="11"/>
  <c r="M78" i="11"/>
  <c r="O78" i="11"/>
  <c r="L78" i="11"/>
  <c r="J202" i="11"/>
  <c r="P78" i="11"/>
  <c r="J10" i="35"/>
  <c r="P140" i="13"/>
  <c r="H91" i="1"/>
  <c r="T104" i="39"/>
  <c r="C27" i="5"/>
  <c r="C28" i="5" s="1"/>
  <c r="C29" i="5" s="1"/>
  <c r="P230" i="13"/>
  <c r="P170" i="1"/>
  <c r="P337" i="1"/>
  <c r="P850" i="1"/>
  <c r="M10" i="12" s="1"/>
  <c r="H24" i="19" s="1"/>
  <c r="F26" i="5"/>
  <c r="G21" i="19"/>
  <c r="L86" i="12"/>
  <c r="K57" i="12"/>
  <c r="H33" i="93"/>
  <c r="I12" i="93"/>
  <c r="I58" i="12"/>
  <c r="H21" i="17"/>
  <c r="M84" i="12"/>
  <c r="I201" i="12" s="1"/>
  <c r="I5" i="93"/>
  <c r="H28" i="93"/>
  <c r="G180" i="38"/>
  <c r="G181" i="38" s="1"/>
  <c r="G178" i="38"/>
  <c r="K35" i="12"/>
  <c r="J9" i="35"/>
  <c r="P139" i="13"/>
  <c r="L43" i="52"/>
  <c r="U332" i="1"/>
  <c r="T334" i="1"/>
  <c r="I231" i="38"/>
  <c r="F18" i="32"/>
  <c r="F19" i="32" s="1"/>
  <c r="F29" i="30"/>
  <c r="F30" i="30" s="1"/>
  <c r="F31" i="30" s="1"/>
  <c r="K178" i="12"/>
  <c r="C398" i="13"/>
  <c r="N167" i="38"/>
  <c r="M98" i="12"/>
  <c r="I23" i="18" s="1"/>
  <c r="I245" i="38"/>
  <c r="I247" i="38" s="1"/>
  <c r="F18" i="33"/>
  <c r="F19" i="33" s="1"/>
  <c r="N251" i="38"/>
  <c r="O588" i="1"/>
  <c r="D585" i="1"/>
  <c r="P333" i="13"/>
  <c r="Q332" i="13"/>
  <c r="J36" i="58"/>
  <c r="K178" i="11"/>
  <c r="K302" i="11"/>
  <c r="K426" i="11" s="1"/>
  <c r="K31" i="12"/>
  <c r="F24" i="5"/>
  <c r="K43" i="12"/>
  <c r="D31" i="32"/>
  <c r="D29" i="32"/>
  <c r="D30" i="32" s="1"/>
  <c r="I180" i="12"/>
  <c r="K76" i="38"/>
  <c r="J78" i="38"/>
  <c r="P55" i="39"/>
  <c r="H22" i="23"/>
  <c r="I18" i="23"/>
  <c r="M116" i="12"/>
  <c r="K70" i="12"/>
  <c r="E40" i="10" s="1"/>
  <c r="E45" i="11" s="1"/>
  <c r="K214" i="12"/>
  <c r="K208" i="38"/>
  <c r="K209" i="38" s="1"/>
  <c r="K206" i="38"/>
  <c r="N60" i="39"/>
  <c r="J313" i="11"/>
  <c r="J437" i="11" s="1"/>
  <c r="J189" i="11"/>
  <c r="E192" i="11"/>
  <c r="E316" i="11" s="1"/>
  <c r="E440" i="11" s="1"/>
  <c r="E564" i="11" s="1"/>
  <c r="E688" i="11" s="1"/>
  <c r="P68" i="11"/>
  <c r="N68" i="11"/>
  <c r="K192" i="11"/>
  <c r="Q68" i="11"/>
  <c r="M68" i="11"/>
  <c r="O68" i="11"/>
  <c r="L68" i="11"/>
  <c r="D31" i="30"/>
  <c r="D29" i="30"/>
  <c r="D30" i="30" s="1"/>
  <c r="I178" i="12"/>
  <c r="C34" i="30"/>
  <c r="O843" i="1"/>
  <c r="L4" i="12"/>
  <c r="O25" i="38"/>
  <c r="O26" i="38"/>
  <c r="O208" i="38"/>
  <c r="O207" i="38"/>
  <c r="Q230" i="13"/>
  <c r="D45" i="24"/>
  <c r="N199" i="12"/>
  <c r="N214" i="12" s="1"/>
  <c r="L102" i="12"/>
  <c r="H23" i="22" s="1"/>
  <c r="H26" i="22" s="1"/>
  <c r="K102" i="12"/>
  <c r="G23" i="22" s="1"/>
  <c r="G26" i="22" s="1"/>
  <c r="P753" i="1"/>
  <c r="D750" i="1"/>
  <c r="I58" i="52"/>
  <c r="R425" i="1"/>
  <c r="R414" i="1"/>
  <c r="Q416" i="1"/>
  <c r="Q417" i="1" s="1"/>
  <c r="Q846" i="1" s="1"/>
  <c r="N6" i="12" s="1"/>
  <c r="I24" i="17" s="1"/>
  <c r="P231" i="1"/>
  <c r="P629" i="1"/>
  <c r="P852" i="1"/>
  <c r="M12" i="12" s="1"/>
  <c r="H24" i="20" s="1"/>
  <c r="G82" i="1"/>
  <c r="N228" i="11"/>
  <c r="N352" i="11"/>
  <c r="N476" i="11" s="1"/>
  <c r="L6" i="5"/>
  <c r="K20" i="5"/>
  <c r="K16" i="5"/>
  <c r="C38" i="93"/>
  <c r="C37" i="93" s="1"/>
  <c r="C45" i="93"/>
  <c r="C47" i="93" s="1"/>
  <c r="C56" i="93" s="1"/>
  <c r="C62" i="93" s="1"/>
  <c r="C63" i="93" s="1"/>
  <c r="I133" i="11"/>
  <c r="I257" i="11"/>
  <c r="I381" i="11" s="1"/>
  <c r="J31" i="12"/>
  <c r="E24" i="5"/>
  <c r="E26" i="5" s="1"/>
  <c r="J43" i="12"/>
  <c r="M364" i="11"/>
  <c r="M488" i="11" s="1"/>
  <c r="M240" i="11"/>
  <c r="I205" i="38"/>
  <c r="J203" i="38"/>
  <c r="N41" i="38"/>
  <c r="N223" i="11"/>
  <c r="N347" i="11"/>
  <c r="N471" i="11" s="1"/>
  <c r="N124" i="13"/>
  <c r="N451" i="13"/>
  <c r="N336" i="13"/>
  <c r="G22" i="17"/>
  <c r="H18" i="17"/>
  <c r="L110" i="12"/>
  <c r="G17" i="24" s="1"/>
  <c r="I219" i="38"/>
  <c r="C285" i="38"/>
  <c r="O243" i="11"/>
  <c r="O367" i="11"/>
  <c r="O491" i="11" s="1"/>
  <c r="E180" i="11"/>
  <c r="E304" i="11" s="1"/>
  <c r="E428" i="11" s="1"/>
  <c r="E552" i="11" s="1"/>
  <c r="E676" i="11" s="1"/>
  <c r="Q56" i="11"/>
  <c r="K56" i="11"/>
  <c r="M56" i="11"/>
  <c r="O56" i="11"/>
  <c r="J180" i="11"/>
  <c r="N56" i="11"/>
  <c r="L56" i="11"/>
  <c r="P56" i="11"/>
  <c r="K126" i="12" l="1"/>
  <c r="F24" i="33"/>
  <c r="K121" i="12"/>
  <c r="G19" i="28"/>
  <c r="F24" i="28"/>
  <c r="U636" i="1"/>
  <c r="D32" i="36"/>
  <c r="D48" i="36" s="1"/>
  <c r="D46" i="24"/>
  <c r="D27" i="24"/>
  <c r="D28" i="24" s="1"/>
  <c r="D29" i="24" s="1"/>
  <c r="J175" i="38"/>
  <c r="G18" i="28"/>
  <c r="H29" i="23"/>
  <c r="M171" i="12"/>
  <c r="H27" i="23"/>
  <c r="H28" i="23" s="1"/>
  <c r="R332" i="13"/>
  <c r="K36" i="58"/>
  <c r="Q333" i="13"/>
  <c r="E45" i="24"/>
  <c r="M20" i="24"/>
  <c r="M44" i="24" s="1"/>
  <c r="M16" i="24"/>
  <c r="P208" i="38"/>
  <c r="P207" i="38"/>
  <c r="H23" i="5"/>
  <c r="J166" i="11"/>
  <c r="J290" i="11"/>
  <c r="J414" i="11" s="1"/>
  <c r="J48" i="12"/>
  <c r="J45" i="12"/>
  <c r="I222" i="38"/>
  <c r="I223" i="38" s="1"/>
  <c r="I220" i="38"/>
  <c r="O223" i="11"/>
  <c r="O347" i="11"/>
  <c r="O471" i="11" s="1"/>
  <c r="J33" i="12"/>
  <c r="J39" i="12" s="1"/>
  <c r="J37" i="12"/>
  <c r="E30" i="36" s="1"/>
  <c r="E32" i="36" s="1"/>
  <c r="E48" i="36" s="1"/>
  <c r="E24" i="24"/>
  <c r="M6" i="5"/>
  <c r="L20" i="5"/>
  <c r="L16" i="5"/>
  <c r="P632" i="1"/>
  <c r="L76" i="38"/>
  <c r="K78" i="38"/>
  <c r="Q55" i="39"/>
  <c r="O153" i="38"/>
  <c r="L157" i="11"/>
  <c r="L281" i="11"/>
  <c r="L405" i="11" s="1"/>
  <c r="N30" i="12"/>
  <c r="I26" i="34" s="1"/>
  <c r="I28" i="34" s="1"/>
  <c r="P249" i="38"/>
  <c r="P251" i="38" s="1"/>
  <c r="P250" i="38"/>
  <c r="R855" i="1"/>
  <c r="O15" i="12" s="1"/>
  <c r="T3" i="1"/>
  <c r="S681" i="1"/>
  <c r="S145" i="1"/>
  <c r="S270" i="1"/>
  <c r="S271" i="1" s="1"/>
  <c r="S440" i="1"/>
  <c r="S695" i="1"/>
  <c r="S696" i="1" s="1"/>
  <c r="S242" i="1"/>
  <c r="S230" i="1"/>
  <c r="S628" i="1"/>
  <c r="S849" i="1" s="1"/>
  <c r="P9" i="12" s="1"/>
  <c r="S336" i="1"/>
  <c r="S325" i="1"/>
  <c r="S157" i="1"/>
  <c r="S721" i="1"/>
  <c r="S722" i="1" s="1"/>
  <c r="S429" i="1"/>
  <c r="S771" i="1"/>
  <c r="S708" i="1"/>
  <c r="S709" i="1" s="1"/>
  <c r="S646" i="1"/>
  <c r="S254" i="1"/>
  <c r="S760" i="1"/>
  <c r="S169" i="1"/>
  <c r="S418" i="1"/>
  <c r="S314" i="1"/>
  <c r="L6" i="17"/>
  <c r="K20" i="17"/>
  <c r="K16" i="17"/>
  <c r="D29" i="29"/>
  <c r="D30" i="29" s="1"/>
  <c r="D31" i="29"/>
  <c r="I177" i="12"/>
  <c r="F46" i="93"/>
  <c r="F29" i="31"/>
  <c r="F30" i="31" s="1"/>
  <c r="F31" i="31" s="1"/>
  <c r="K179" i="12"/>
  <c r="L167" i="11"/>
  <c r="L291" i="11"/>
  <c r="L415" i="11" s="1"/>
  <c r="J188" i="11"/>
  <c r="J312" i="11"/>
  <c r="J436" i="11" s="1"/>
  <c r="P340" i="13"/>
  <c r="N24" i="12" s="1"/>
  <c r="I26" i="28" s="1"/>
  <c r="I28" i="28" s="1"/>
  <c r="Q339" i="13"/>
  <c r="L7" i="26"/>
  <c r="N372" i="11"/>
  <c r="N496" i="11" s="1"/>
  <c r="N248" i="11"/>
  <c r="P111" i="12"/>
  <c r="K22" i="18"/>
  <c r="L18" i="18"/>
  <c r="J144" i="11"/>
  <c r="J268" i="11"/>
  <c r="J392" i="11" s="1"/>
  <c r="J122" i="12"/>
  <c r="E24" i="29"/>
  <c r="L146" i="11"/>
  <c r="L270" i="11"/>
  <c r="L394" i="11" s="1"/>
  <c r="L7" i="29"/>
  <c r="K24" i="29"/>
  <c r="O69" i="38"/>
  <c r="O238" i="11"/>
  <c r="O362" i="11"/>
  <c r="O486" i="11" s="1"/>
  <c r="O232" i="11"/>
  <c r="O356" i="11"/>
  <c r="O480" i="11" s="1"/>
  <c r="O455" i="13"/>
  <c r="O413" i="13"/>
  <c r="C414" i="13" s="1"/>
  <c r="O128" i="13"/>
  <c r="G194" i="38"/>
  <c r="G195" i="38" s="1"/>
  <c r="G192" i="38"/>
  <c r="I29" i="25"/>
  <c r="I30" i="25" s="1"/>
  <c r="I31" i="25" s="1"/>
  <c r="N173" i="12"/>
  <c r="H26" i="17"/>
  <c r="N212" i="11"/>
  <c r="N336" i="11"/>
  <c r="N460" i="11" s="1"/>
  <c r="O450" i="13"/>
  <c r="O123" i="13"/>
  <c r="O318" i="13"/>
  <c r="P353" i="11"/>
  <c r="P477" i="11" s="1"/>
  <c r="P229" i="11"/>
  <c r="P350" i="11"/>
  <c r="P474" i="11" s="1"/>
  <c r="P226" i="11"/>
  <c r="L128" i="12"/>
  <c r="G20" i="36" s="1"/>
  <c r="J152" i="38"/>
  <c r="J153" i="38" s="1"/>
  <c r="J150" i="38"/>
  <c r="I163" i="38"/>
  <c r="O48" i="38"/>
  <c r="N50" i="38"/>
  <c r="J21" i="17"/>
  <c r="I60" i="12"/>
  <c r="O84" i="12"/>
  <c r="I203" i="12" s="1"/>
  <c r="H59" i="12"/>
  <c r="I21" i="5"/>
  <c r="N83" i="12"/>
  <c r="F29" i="36"/>
  <c r="F23" i="24"/>
  <c r="J245" i="38"/>
  <c r="J247" i="38" s="1"/>
  <c r="G18" i="33"/>
  <c r="G19" i="33" s="1"/>
  <c r="O166" i="12"/>
  <c r="H19" i="26"/>
  <c r="L119" i="12"/>
  <c r="G24" i="26"/>
  <c r="G21" i="36"/>
  <c r="G27" i="18"/>
  <c r="G28" i="18" s="1"/>
  <c r="G29" i="18" s="1"/>
  <c r="H191" i="38"/>
  <c r="I189" i="38"/>
  <c r="J168" i="11"/>
  <c r="J292" i="11"/>
  <c r="J416" i="11" s="1"/>
  <c r="K135" i="11"/>
  <c r="K259" i="11"/>
  <c r="K383" i="11" s="1"/>
  <c r="M6" i="19"/>
  <c r="L20" i="19"/>
  <c r="L16" i="19"/>
  <c r="K7" i="25"/>
  <c r="J24" i="25"/>
  <c r="L216" i="12"/>
  <c r="L221" i="12" s="1"/>
  <c r="L72" i="12"/>
  <c r="E53" i="10" s="1"/>
  <c r="E58" i="11" s="1"/>
  <c r="T231" i="13"/>
  <c r="M6" i="18"/>
  <c r="L20" i="18"/>
  <c r="L16" i="18"/>
  <c r="S199" i="13"/>
  <c r="R195" i="13"/>
  <c r="E137" i="11"/>
  <c r="E261" i="11" s="1"/>
  <c r="E385" i="11" s="1"/>
  <c r="E509" i="11" s="1"/>
  <c r="E633" i="11" s="1"/>
  <c r="K137" i="11"/>
  <c r="Q13" i="11"/>
  <c r="M13" i="11"/>
  <c r="O13" i="11"/>
  <c r="L13" i="11"/>
  <c r="P13" i="11"/>
  <c r="N13" i="11"/>
  <c r="K200" i="11"/>
  <c r="K324" i="11"/>
  <c r="K448" i="11" s="1"/>
  <c r="D261" i="1"/>
  <c r="S24" i="1"/>
  <c r="T24" i="1" s="1"/>
  <c r="L302" i="11"/>
  <c r="L426" i="11" s="1"/>
  <c r="L178" i="11"/>
  <c r="O27" i="38"/>
  <c r="E169" i="11"/>
  <c r="E293" i="11" s="1"/>
  <c r="E417" i="11" s="1"/>
  <c r="E541" i="11" s="1"/>
  <c r="E665" i="11" s="1"/>
  <c r="M45" i="11"/>
  <c r="O45" i="11"/>
  <c r="J169" i="11"/>
  <c r="L45" i="11"/>
  <c r="P45" i="11"/>
  <c r="N45" i="11"/>
  <c r="Q45" i="11"/>
  <c r="K45" i="11"/>
  <c r="K129" i="11" s="1"/>
  <c r="G44" i="93" s="1"/>
  <c r="G57" i="93" s="1"/>
  <c r="F26" i="35"/>
  <c r="F28" i="35" s="1"/>
  <c r="F46" i="35" s="1"/>
  <c r="K36" i="12"/>
  <c r="I72" i="12"/>
  <c r="E20" i="10" s="1"/>
  <c r="E25" i="11" s="1"/>
  <c r="I216" i="12"/>
  <c r="K10" i="35"/>
  <c r="Q140" i="13"/>
  <c r="F19" i="30"/>
  <c r="J123" i="12"/>
  <c r="I180" i="38"/>
  <c r="I181" i="38" s="1"/>
  <c r="I178" i="38"/>
  <c r="P13" i="38"/>
  <c r="P235" i="38"/>
  <c r="P237" i="38" s="1"/>
  <c r="P236" i="38"/>
  <c r="P40" i="38"/>
  <c r="P39" i="38"/>
  <c r="P371" i="11"/>
  <c r="P495" i="11" s="1"/>
  <c r="P247" i="11"/>
  <c r="S231" i="13"/>
  <c r="C46" i="24"/>
  <c r="C27" i="24"/>
  <c r="C28" i="24" s="1"/>
  <c r="C29" i="24"/>
  <c r="K105" i="12"/>
  <c r="G28" i="37" s="1"/>
  <c r="K7" i="28"/>
  <c r="N216" i="12"/>
  <c r="N72" i="12"/>
  <c r="E75" i="10" s="1"/>
  <c r="E80" i="11" s="1"/>
  <c r="G87" i="93"/>
  <c r="G96" i="93"/>
  <c r="O241" i="11"/>
  <c r="O365" i="11"/>
  <c r="O489" i="11" s="1"/>
  <c r="Q629" i="1"/>
  <c r="Q632" i="1" s="1"/>
  <c r="Q848" i="1"/>
  <c r="N8" i="12" s="1"/>
  <c r="I24" i="18" s="1"/>
  <c r="Q854" i="1"/>
  <c r="N14" i="12" s="1"/>
  <c r="I24" i="21" s="1"/>
  <c r="I26" i="21" s="1"/>
  <c r="Q682" i="1"/>
  <c r="Q685" i="1" s="1"/>
  <c r="N357" i="11"/>
  <c r="N481" i="11" s="1"/>
  <c r="N233" i="11"/>
  <c r="F72" i="1"/>
  <c r="D542" i="1"/>
  <c r="H201" i="12"/>
  <c r="H216" i="12" s="1"/>
  <c r="M96" i="12"/>
  <c r="O337" i="11"/>
  <c r="O461" i="11" s="1"/>
  <c r="O213" i="11"/>
  <c r="N211" i="11"/>
  <c r="N335" i="11"/>
  <c r="N459" i="11" s="1"/>
  <c r="O245" i="11"/>
  <c r="O369" i="11"/>
  <c r="O493" i="11" s="1"/>
  <c r="J334" i="11"/>
  <c r="J458" i="11" s="1"/>
  <c r="J210" i="11"/>
  <c r="O231" i="13"/>
  <c r="F21" i="37"/>
  <c r="F21" i="93"/>
  <c r="F39" i="93" s="1"/>
  <c r="J222" i="38"/>
  <c r="J223" i="38" s="1"/>
  <c r="J220" i="38"/>
  <c r="R151" i="12"/>
  <c r="G77" i="12"/>
  <c r="G63" i="12"/>
  <c r="G205" i="12"/>
  <c r="R162" i="12"/>
  <c r="R107" i="12"/>
  <c r="G220" i="12"/>
  <c r="Q80" i="12"/>
  <c r="Q93" i="12" s="1"/>
  <c r="P360" i="11"/>
  <c r="P484" i="11" s="1"/>
  <c r="P236" i="11"/>
  <c r="I21" i="21"/>
  <c r="M59" i="12"/>
  <c r="N88" i="12"/>
  <c r="O225" i="11"/>
  <c r="O349" i="11"/>
  <c r="O473" i="11" s="1"/>
  <c r="E181" i="11"/>
  <c r="E305" i="11" s="1"/>
  <c r="E429" i="11" s="1"/>
  <c r="E553" i="11" s="1"/>
  <c r="E677" i="11" s="1"/>
  <c r="P57" i="11"/>
  <c r="L57" i="11"/>
  <c r="K181" i="11"/>
  <c r="Q57" i="11"/>
  <c r="M57" i="11"/>
  <c r="O57" i="11"/>
  <c r="N57" i="11"/>
  <c r="J301" i="11"/>
  <c r="J425" i="11" s="1"/>
  <c r="J177" i="11"/>
  <c r="Q268" i="13"/>
  <c r="R267" i="13"/>
  <c r="O227" i="11"/>
  <c r="O351" i="11"/>
  <c r="O475" i="11" s="1"/>
  <c r="P823" i="1"/>
  <c r="P724" i="1"/>
  <c r="P740" i="1"/>
  <c r="P649" i="1"/>
  <c r="P650" i="1" s="1"/>
  <c r="P711" i="1"/>
  <c r="P698" i="1"/>
  <c r="J59" i="52"/>
  <c r="R427" i="1"/>
  <c r="F27" i="5"/>
  <c r="F28" i="5" s="1"/>
  <c r="F29" i="5"/>
  <c r="J205" i="38"/>
  <c r="C284" i="38"/>
  <c r="J257" i="11"/>
  <c r="J381" i="11" s="1"/>
  <c r="J133" i="11"/>
  <c r="C64" i="93"/>
  <c r="O352" i="11"/>
  <c r="O476" i="11" s="1"/>
  <c r="O228" i="11"/>
  <c r="Q419" i="1"/>
  <c r="Q422" i="1" s="1"/>
  <c r="G24" i="5"/>
  <c r="L31" i="12"/>
  <c r="L43" i="12"/>
  <c r="K189" i="11"/>
  <c r="K313" i="11"/>
  <c r="K437" i="11" s="1"/>
  <c r="K125" i="12"/>
  <c r="F24" i="32"/>
  <c r="J12" i="93"/>
  <c r="I33" i="93"/>
  <c r="Q231" i="13"/>
  <c r="O237" i="38"/>
  <c r="R709" i="1"/>
  <c r="F76" i="1"/>
  <c r="D599" i="1"/>
  <c r="O370" i="11"/>
  <c r="O494" i="11" s="1"/>
  <c r="O246" i="11"/>
  <c r="K104" i="12"/>
  <c r="L83" i="13"/>
  <c r="L84" i="13" s="1"/>
  <c r="L71" i="13"/>
  <c r="L68" i="13"/>
  <c r="M67" i="13" s="1"/>
  <c r="K58" i="12"/>
  <c r="H21" i="19"/>
  <c r="M86" i="12"/>
  <c r="H27" i="18"/>
  <c r="H28" i="18" s="1"/>
  <c r="H29" i="18" s="1"/>
  <c r="F67" i="1"/>
  <c r="D490" i="1"/>
  <c r="O41" i="38"/>
  <c r="D26" i="35"/>
  <c r="D28" i="35" s="1"/>
  <c r="I36" i="12"/>
  <c r="C48" i="36"/>
  <c r="C49" i="36" s="1"/>
  <c r="C33" i="36"/>
  <c r="C34" i="36" s="1"/>
  <c r="C35" i="36" s="1"/>
  <c r="M44" i="12"/>
  <c r="M49" i="12" s="1"/>
  <c r="I39" i="12"/>
  <c r="R331" i="13"/>
  <c r="K35" i="58"/>
  <c r="K8" i="35"/>
  <c r="Q138" i="13"/>
  <c r="L190" i="11"/>
  <c r="L314" i="11"/>
  <c r="L438" i="11" s="1"/>
  <c r="U20" i="39"/>
  <c r="Q161" i="13"/>
  <c r="E203" i="11"/>
  <c r="E327" i="11" s="1"/>
  <c r="E451" i="11" s="1"/>
  <c r="E575" i="11" s="1"/>
  <c r="E699" i="11" s="1"/>
  <c r="L79" i="11"/>
  <c r="P79" i="11"/>
  <c r="N79" i="11"/>
  <c r="K203" i="11"/>
  <c r="Q79" i="11"/>
  <c r="M79" i="11"/>
  <c r="O79" i="11"/>
  <c r="O234" i="11"/>
  <c r="O358" i="11"/>
  <c r="O482" i="11" s="1"/>
  <c r="E148" i="11"/>
  <c r="E272" i="11" s="1"/>
  <c r="E396" i="11" s="1"/>
  <c r="E520" i="11" s="1"/>
  <c r="E644" i="11" s="1"/>
  <c r="M24" i="11"/>
  <c r="O24" i="11"/>
  <c r="N24" i="11"/>
  <c r="P24" i="11"/>
  <c r="L24" i="11"/>
  <c r="K148" i="11"/>
  <c r="Q24" i="11"/>
  <c r="O242" i="11"/>
  <c r="O366" i="11"/>
  <c r="O490" i="11" s="1"/>
  <c r="M216" i="12"/>
  <c r="M72" i="12"/>
  <c r="E64" i="10" s="1"/>
  <c r="E69" i="11" s="1"/>
  <c r="I26" i="16"/>
  <c r="I28" i="16" s="1"/>
  <c r="N35" i="12"/>
  <c r="N46" i="12"/>
  <c r="N47" i="12" s="1"/>
  <c r="K191" i="11"/>
  <c r="K315" i="11"/>
  <c r="K439" i="11" s="1"/>
  <c r="H22" i="21"/>
  <c r="I18" i="21"/>
  <c r="M114" i="12"/>
  <c r="J7" i="24"/>
  <c r="Q29" i="1"/>
  <c r="E68" i="1"/>
  <c r="K9" i="35"/>
  <c r="Q139" i="13"/>
  <c r="V102" i="39"/>
  <c r="V104" i="39" s="1"/>
  <c r="T105" i="39" s="1"/>
  <c r="V103" i="39"/>
  <c r="H22" i="17"/>
  <c r="I18" i="17"/>
  <c r="M110" i="12"/>
  <c r="G29" i="17"/>
  <c r="G27" i="17"/>
  <c r="G28" i="17" s="1"/>
  <c r="L165" i="12"/>
  <c r="L186" i="12" s="1"/>
  <c r="I208" i="38"/>
  <c r="I209" i="38" s="1"/>
  <c r="I206" i="38"/>
  <c r="N364" i="11"/>
  <c r="N488" i="11" s="1"/>
  <c r="N240" i="11"/>
  <c r="C94" i="93"/>
  <c r="C78" i="93"/>
  <c r="C77" i="93"/>
  <c r="C86" i="93"/>
  <c r="C88" i="93" s="1"/>
  <c r="C71" i="93"/>
  <c r="C95" i="93"/>
  <c r="C97" i="93" s="1"/>
  <c r="S414" i="1"/>
  <c r="J58" i="52"/>
  <c r="S425" i="1"/>
  <c r="R416" i="1"/>
  <c r="G27" i="22"/>
  <c r="G28" i="22" s="1"/>
  <c r="G29" i="22"/>
  <c r="D47" i="24"/>
  <c r="I22" i="23"/>
  <c r="J18" i="23"/>
  <c r="N116" i="12"/>
  <c r="I250" i="38"/>
  <c r="I251" i="38" s="1"/>
  <c r="I248" i="38"/>
  <c r="I233" i="38"/>
  <c r="K202" i="11"/>
  <c r="K326" i="11"/>
  <c r="K450" i="11" s="1"/>
  <c r="F22" i="24"/>
  <c r="G18" i="24"/>
  <c r="D524" i="1"/>
  <c r="E70" i="1"/>
  <c r="O60" i="39"/>
  <c r="P110" i="38"/>
  <c r="P109" i="38"/>
  <c r="P26" i="38"/>
  <c r="P25" i="38"/>
  <c r="P151" i="38"/>
  <c r="P153" i="38" s="1"/>
  <c r="P152" i="38"/>
  <c r="K120" i="12"/>
  <c r="F24" i="27"/>
  <c r="O374" i="11"/>
  <c r="O498" i="11" s="1"/>
  <c r="O250" i="11"/>
  <c r="J21" i="18"/>
  <c r="J60" i="12"/>
  <c r="O85" i="12"/>
  <c r="M6" i="20"/>
  <c r="L20" i="20"/>
  <c r="L16" i="20"/>
  <c r="J176" i="12"/>
  <c r="E29" i="28"/>
  <c r="E30" i="28" s="1"/>
  <c r="E31" i="28" s="1"/>
  <c r="G26" i="5"/>
  <c r="E29" i="32"/>
  <c r="E30" i="32" s="1"/>
  <c r="E31" i="32" s="1"/>
  <c r="J180" i="12"/>
  <c r="K145" i="11"/>
  <c r="K269" i="11"/>
  <c r="K393" i="11" s="1"/>
  <c r="J11" i="35"/>
  <c r="J13" i="36" s="1"/>
  <c r="K11" i="16"/>
  <c r="O348" i="11"/>
  <c r="O472" i="11" s="1"/>
  <c r="O224" i="11"/>
  <c r="N354" i="11"/>
  <c r="N478" i="11" s="1"/>
  <c r="N230" i="11"/>
  <c r="C380" i="13"/>
  <c r="C126" i="13" s="1"/>
  <c r="E126" i="13"/>
  <c r="K7" i="35"/>
  <c r="Q137" i="13"/>
  <c r="J201" i="12"/>
  <c r="J216" i="12" s="1"/>
  <c r="N98" i="12"/>
  <c r="J23" i="18" s="1"/>
  <c r="N324" i="13"/>
  <c r="G19" i="27"/>
  <c r="I48" i="12"/>
  <c r="P141" i="13"/>
  <c r="P289" i="13"/>
  <c r="M97" i="12"/>
  <c r="I23" i="17" s="1"/>
  <c r="I26" i="17" s="1"/>
  <c r="K222" i="38"/>
  <c r="K223" i="38" s="1"/>
  <c r="K220" i="38"/>
  <c r="M128" i="12"/>
  <c r="H20" i="36" s="1"/>
  <c r="H17" i="24"/>
  <c r="M131" i="12"/>
  <c r="N368" i="11"/>
  <c r="N492" i="11" s="1"/>
  <c r="N244" i="11"/>
  <c r="M46" i="12"/>
  <c r="M47" i="12" s="1"/>
  <c r="K147" i="11"/>
  <c r="K271" i="11"/>
  <c r="K395" i="11" s="1"/>
  <c r="I22" i="19"/>
  <c r="J18" i="19"/>
  <c r="N112" i="12"/>
  <c r="Q179" i="13"/>
  <c r="D233" i="13"/>
  <c r="G29" i="21"/>
  <c r="L169" i="12"/>
  <c r="G27" i="21"/>
  <c r="G28" i="21" s="1"/>
  <c r="K31" i="32"/>
  <c r="P180" i="12"/>
  <c r="K29" i="32"/>
  <c r="K30" i="32" s="1"/>
  <c r="P339" i="11"/>
  <c r="P463" i="11" s="1"/>
  <c r="P215" i="11"/>
  <c r="F94" i="1"/>
  <c r="D788" i="1"/>
  <c r="K280" i="11"/>
  <c r="K404" i="11" s="1"/>
  <c r="K156" i="11"/>
  <c r="P843" i="1"/>
  <c r="M4" i="12"/>
  <c r="K134" i="11"/>
  <c r="K258" i="11"/>
  <c r="K382" i="11" s="1"/>
  <c r="O249" i="11"/>
  <c r="O373" i="11"/>
  <c r="O497" i="11" s="1"/>
  <c r="H72" i="12"/>
  <c r="E9" i="10" s="1"/>
  <c r="E14" i="11" s="1"/>
  <c r="M6" i="22"/>
  <c r="L20" i="22"/>
  <c r="L16" i="22"/>
  <c r="Q851" i="1"/>
  <c r="N11" i="12" s="1"/>
  <c r="N44" i="12" s="1"/>
  <c r="N49" i="12" s="1"/>
  <c r="Q647" i="1"/>
  <c r="L183" i="12"/>
  <c r="D27" i="5"/>
  <c r="D28" i="5" s="1"/>
  <c r="D29" i="5" s="1"/>
  <c r="J72" i="12"/>
  <c r="E31" i="10" s="1"/>
  <c r="E36" i="11" s="1"/>
  <c r="I22" i="20"/>
  <c r="J18" i="20"/>
  <c r="N113" i="12"/>
  <c r="N95" i="38"/>
  <c r="N97" i="38" s="1"/>
  <c r="N94" i="38"/>
  <c r="I22" i="5"/>
  <c r="J18" i="5"/>
  <c r="N109" i="12"/>
  <c r="M35" i="12"/>
  <c r="E31" i="27"/>
  <c r="E29" i="27"/>
  <c r="E30" i="27" s="1"/>
  <c r="J175" i="12"/>
  <c r="Q810" i="1"/>
  <c r="M6" i="23"/>
  <c r="L20" i="23"/>
  <c r="L16" i="23"/>
  <c r="L131" i="12"/>
  <c r="M167" i="12"/>
  <c r="M7" i="32"/>
  <c r="M24" i="32" s="1"/>
  <c r="L24" i="32"/>
  <c r="P764" i="1"/>
  <c r="R851" i="1"/>
  <c r="O11" i="12" s="1"/>
  <c r="R647" i="1"/>
  <c r="P243" i="11"/>
  <c r="P367" i="11"/>
  <c r="P491" i="11" s="1"/>
  <c r="H26" i="20"/>
  <c r="H27" i="20" s="1"/>
  <c r="H28" i="20" s="1"/>
  <c r="C33" i="20"/>
  <c r="C34" i="20" s="1"/>
  <c r="D10" i="39" s="1"/>
  <c r="H27" i="22"/>
  <c r="H28" i="22" s="1"/>
  <c r="H29" i="22"/>
  <c r="R231" i="13"/>
  <c r="C20" i="39"/>
  <c r="C37" i="30"/>
  <c r="C39" i="30" s="1"/>
  <c r="L192" i="11"/>
  <c r="L316" i="11"/>
  <c r="L440" i="11" s="1"/>
  <c r="M43" i="52"/>
  <c r="U334" i="1"/>
  <c r="I28" i="93"/>
  <c r="J5" i="93"/>
  <c r="R845" i="1"/>
  <c r="O5" i="12" s="1"/>
  <c r="M6" i="21"/>
  <c r="L20" i="21"/>
  <c r="L16" i="21"/>
  <c r="P231" i="13"/>
  <c r="R759" i="1"/>
  <c r="R761" i="1" s="1"/>
  <c r="R707" i="1"/>
  <c r="R645" i="1"/>
  <c r="R680" i="1"/>
  <c r="R417" i="1"/>
  <c r="R846" i="1" s="1"/>
  <c r="O6" i="12" s="1"/>
  <c r="J24" i="17" s="1"/>
  <c r="R324" i="1"/>
  <c r="R326" i="1" s="1"/>
  <c r="Q16" i="13"/>
  <c r="R770" i="1"/>
  <c r="R772" i="1" s="1"/>
  <c r="R775" i="1" s="1"/>
  <c r="R720" i="1"/>
  <c r="R627" i="1"/>
  <c r="R428" i="1"/>
  <c r="R430" i="1" s="1"/>
  <c r="R433" i="1" s="1"/>
  <c r="R313" i="1"/>
  <c r="R156" i="1"/>
  <c r="R158" i="1" s="1"/>
  <c r="R144" i="1"/>
  <c r="R229" i="1"/>
  <c r="R231" i="1" s="1"/>
  <c r="R269" i="1"/>
  <c r="R168" i="1"/>
  <c r="R170" i="1" s="1"/>
  <c r="R253" i="1"/>
  <c r="R255" i="1" s="1"/>
  <c r="R241" i="1"/>
  <c r="R243" i="1" s="1"/>
  <c r="R439" i="1"/>
  <c r="R441" i="1" s="1"/>
  <c r="R335" i="1"/>
  <c r="R22" i="1"/>
  <c r="S21" i="1"/>
  <c r="J323" i="11"/>
  <c r="J447" i="11" s="1"/>
  <c r="J199" i="11"/>
  <c r="J279" i="11"/>
  <c r="J403" i="11" s="1"/>
  <c r="J155" i="11"/>
  <c r="F19" i="29"/>
  <c r="M360" i="13"/>
  <c r="N355" i="13"/>
  <c r="M32" i="12"/>
  <c r="G24" i="31"/>
  <c r="L124" i="12"/>
  <c r="P251" i="11"/>
  <c r="P375" i="11"/>
  <c r="P499" i="11" s="1"/>
  <c r="I59" i="12"/>
  <c r="I21" i="17"/>
  <c r="N84" i="12"/>
  <c r="I202" i="12" s="1"/>
  <c r="O124" i="13"/>
  <c r="O451" i="13"/>
  <c r="O336" i="13"/>
  <c r="M179" i="11"/>
  <c r="M303" i="11"/>
  <c r="M427" i="11" s="1"/>
  <c r="M168" i="12"/>
  <c r="J161" i="38"/>
  <c r="J163" i="38" s="1"/>
  <c r="G18" i="27"/>
  <c r="P90" i="38"/>
  <c r="O92" i="38"/>
  <c r="O359" i="11"/>
  <c r="O483" i="11" s="1"/>
  <c r="O235" i="11"/>
  <c r="O139" i="38"/>
  <c r="M164" i="12"/>
  <c r="K136" i="11"/>
  <c r="K260" i="11"/>
  <c r="K384" i="11" s="1"/>
  <c r="N376" i="11"/>
  <c r="N500" i="11" s="1"/>
  <c r="N252" i="11"/>
  <c r="N59" i="12"/>
  <c r="I21" i="22"/>
  <c r="N89" i="12"/>
  <c r="K152" i="38"/>
  <c r="K153" i="38" s="1"/>
  <c r="K150" i="38"/>
  <c r="J181" i="12"/>
  <c r="E31" i="33"/>
  <c r="E29" i="33"/>
  <c r="E30" i="33" s="1"/>
  <c r="K48" i="12"/>
  <c r="K45" i="12"/>
  <c r="I26" i="18"/>
  <c r="P166" i="38"/>
  <c r="P165" i="38"/>
  <c r="Y19" i="50"/>
  <c r="AA11" i="50" s="1"/>
  <c r="P57" i="39"/>
  <c r="J37" i="58"/>
  <c r="P335" i="13"/>
  <c r="K71" i="12"/>
  <c r="E41" i="10" s="1"/>
  <c r="E46" i="11" s="1"/>
  <c r="J231" i="38"/>
  <c r="J233" i="38" s="1"/>
  <c r="G18" i="32"/>
  <c r="G19" i="32" s="1"/>
  <c r="L22" i="22"/>
  <c r="Q115" i="12"/>
  <c r="M18" i="22"/>
  <c r="P221" i="38"/>
  <c r="P222" i="38"/>
  <c r="P138" i="38"/>
  <c r="P137" i="38"/>
  <c r="P139" i="38" s="1"/>
  <c r="K180" i="11"/>
  <c r="K304" i="11"/>
  <c r="K428" i="11" s="1"/>
  <c r="E27" i="5"/>
  <c r="E28" i="5" s="1"/>
  <c r="E29" i="5" s="1"/>
  <c r="F91" i="1"/>
  <c r="D753" i="1"/>
  <c r="M102" i="12"/>
  <c r="I23" i="22" s="1"/>
  <c r="I26" i="22" s="1"/>
  <c r="O209" i="38"/>
  <c r="J81" i="38"/>
  <c r="J83" i="38" s="1"/>
  <c r="J80" i="38"/>
  <c r="K33" i="12"/>
  <c r="K39" i="12" s="1"/>
  <c r="K37" i="12"/>
  <c r="F30" i="36" s="1"/>
  <c r="F24" i="24"/>
  <c r="F75" i="1"/>
  <c r="D588" i="1"/>
  <c r="C399" i="13"/>
  <c r="C127" i="13" s="1"/>
  <c r="E127" i="13"/>
  <c r="K200" i="12"/>
  <c r="K215" i="12" s="1"/>
  <c r="M99" i="12"/>
  <c r="I23" i="19" s="1"/>
  <c r="I26" i="19" s="1"/>
  <c r="L99" i="12"/>
  <c r="H23" i="19" s="1"/>
  <c r="H26" i="19" s="1"/>
  <c r="H27" i="19" s="1"/>
  <c r="H28" i="19" s="1"/>
  <c r="Q439" i="13"/>
  <c r="O30" i="12" s="1"/>
  <c r="J26" i="34" s="1"/>
  <c r="J28" i="34" s="1"/>
  <c r="R438" i="13"/>
  <c r="P170" i="12"/>
  <c r="G26" i="29"/>
  <c r="G28" i="29" s="1"/>
  <c r="L35" i="12"/>
  <c r="P68" i="38"/>
  <c r="P67" i="38"/>
  <c r="P194" i="38"/>
  <c r="P193" i="38"/>
  <c r="V18" i="39"/>
  <c r="V19" i="39"/>
  <c r="L201" i="11"/>
  <c r="L325" i="11"/>
  <c r="L449" i="11" s="1"/>
  <c r="T237" i="13"/>
  <c r="O355" i="11"/>
  <c r="O479" i="11" s="1"/>
  <c r="O231" i="11"/>
  <c r="O337" i="13"/>
  <c r="N342" i="13"/>
  <c r="E159" i="11"/>
  <c r="E283" i="11" s="1"/>
  <c r="E407" i="11" s="1"/>
  <c r="E531" i="11" s="1"/>
  <c r="E655" i="11" s="1"/>
  <c r="K159" i="11"/>
  <c r="Q35" i="11"/>
  <c r="M35" i="11"/>
  <c r="O35" i="11"/>
  <c r="N35" i="11"/>
  <c r="P35" i="11"/>
  <c r="L35" i="11"/>
  <c r="Q844" i="1"/>
  <c r="Q146" i="1"/>
  <c r="P239" i="11"/>
  <c r="P363" i="11"/>
  <c r="P487" i="11" s="1"/>
  <c r="F31" i="26"/>
  <c r="K174" i="12"/>
  <c r="F29" i="26"/>
  <c r="F30" i="26" s="1"/>
  <c r="J29" i="29"/>
  <c r="J30" i="29" s="1"/>
  <c r="J31" i="29" s="1"/>
  <c r="O177" i="12"/>
  <c r="O251" i="38"/>
  <c r="H24" i="31"/>
  <c r="M124" i="12"/>
  <c r="O456" i="13"/>
  <c r="O426" i="13"/>
  <c r="C427" i="13" s="1"/>
  <c r="C428" i="13" s="1"/>
  <c r="C129" i="13" s="1"/>
  <c r="P221" i="11"/>
  <c r="P345" i="11"/>
  <c r="P469" i="11" s="1"/>
  <c r="O361" i="11"/>
  <c r="O485" i="11" s="1"/>
  <c r="O237" i="11"/>
  <c r="N222" i="11"/>
  <c r="N346" i="11"/>
  <c r="N470" i="11" s="1"/>
  <c r="G67" i="1"/>
  <c r="J217" i="12"/>
  <c r="J73" i="12"/>
  <c r="E32" i="10" s="1"/>
  <c r="E37" i="11" s="1"/>
  <c r="K189" i="38"/>
  <c r="K191" i="38" s="1"/>
  <c r="H18" i="29"/>
  <c r="K158" i="11"/>
  <c r="K282" i="11"/>
  <c r="K406" i="11" s="1"/>
  <c r="C280" i="38"/>
  <c r="M53" i="38"/>
  <c r="M55" i="38" s="1"/>
  <c r="M52" i="38"/>
  <c r="I26" i="37" l="1"/>
  <c r="I59" i="93"/>
  <c r="H19" i="33"/>
  <c r="L126" i="12"/>
  <c r="G24" i="33"/>
  <c r="K245" i="38"/>
  <c r="H18" i="33"/>
  <c r="P337" i="13"/>
  <c r="O342" i="13"/>
  <c r="M325" i="11"/>
  <c r="M449" i="11" s="1"/>
  <c r="M201" i="11"/>
  <c r="O28" i="29"/>
  <c r="C35" i="29"/>
  <c r="C36" i="29" s="1"/>
  <c r="D19" i="39" s="1"/>
  <c r="M22" i="22"/>
  <c r="R115" i="12"/>
  <c r="I73" i="12"/>
  <c r="E21" i="10" s="1"/>
  <c r="E26" i="11" s="1"/>
  <c r="I217" i="12"/>
  <c r="G46" i="93"/>
  <c r="G31" i="31"/>
  <c r="G29" i="31"/>
  <c r="G30" i="31" s="1"/>
  <c r="L179" i="12"/>
  <c r="Q180" i="12"/>
  <c r="L29" i="32"/>
  <c r="L30" i="32" s="1"/>
  <c r="L31" i="32" s="1"/>
  <c r="H26" i="35"/>
  <c r="H28" i="35" s="1"/>
  <c r="H46" i="35" s="1"/>
  <c r="M36" i="12"/>
  <c r="L134" i="11"/>
  <c r="L258" i="11"/>
  <c r="L382" i="11" s="1"/>
  <c r="Q215" i="11"/>
  <c r="Q339" i="11"/>
  <c r="Q463" i="11" s="1"/>
  <c r="G711" i="11" s="1"/>
  <c r="I711" i="11" s="1"/>
  <c r="L145" i="11"/>
  <c r="L269" i="11"/>
  <c r="L393" i="11" s="1"/>
  <c r="L326" i="11"/>
  <c r="L450" i="11" s="1"/>
  <c r="L202" i="11"/>
  <c r="N171" i="12"/>
  <c r="I27" i="23"/>
  <c r="I28" i="23" s="1"/>
  <c r="I29" i="23"/>
  <c r="I22" i="21"/>
  <c r="J18" i="21"/>
  <c r="N114" i="12"/>
  <c r="L203" i="11"/>
  <c r="L327" i="11"/>
  <c r="L451" i="11" s="1"/>
  <c r="K72" i="12"/>
  <c r="E42" i="10" s="1"/>
  <c r="E47" i="11" s="1"/>
  <c r="L37" i="12"/>
  <c r="G30" i="36" s="1"/>
  <c r="G24" i="24"/>
  <c r="L33" i="12"/>
  <c r="R268" i="13"/>
  <c r="P20" i="12" s="1"/>
  <c r="S267" i="13"/>
  <c r="M202" i="12"/>
  <c r="N101" i="12"/>
  <c r="J23" i="21" s="1"/>
  <c r="E204" i="11"/>
  <c r="E328" i="11" s="1"/>
  <c r="E452" i="11" s="1"/>
  <c r="E576" i="11" s="1"/>
  <c r="E700" i="11" s="1"/>
  <c r="N80" i="11"/>
  <c r="Q80" i="11"/>
  <c r="M80" i="11"/>
  <c r="O80" i="11"/>
  <c r="L204" i="11"/>
  <c r="P80" i="11"/>
  <c r="M178" i="11"/>
  <c r="M302" i="11"/>
  <c r="M426" i="11" s="1"/>
  <c r="E182" i="11"/>
  <c r="E306" i="11" s="1"/>
  <c r="E430" i="11" s="1"/>
  <c r="E554" i="11" s="1"/>
  <c r="E678" i="11" s="1"/>
  <c r="L182" i="11"/>
  <c r="P58" i="11"/>
  <c r="N58" i="11"/>
  <c r="Q58" i="11"/>
  <c r="M58" i="11"/>
  <c r="O58" i="11"/>
  <c r="M20" i="19"/>
  <c r="M16" i="19"/>
  <c r="I191" i="38"/>
  <c r="J189" i="38"/>
  <c r="F32" i="36"/>
  <c r="F48" i="36" s="1"/>
  <c r="K80" i="38"/>
  <c r="K81" i="38"/>
  <c r="K83" i="38" s="1"/>
  <c r="K176" i="12"/>
  <c r="F29" i="28"/>
  <c r="F30" i="28" s="1"/>
  <c r="F31" i="28" s="1"/>
  <c r="P60" i="39"/>
  <c r="F29" i="37"/>
  <c r="F31" i="37" s="1"/>
  <c r="F47" i="37" s="1"/>
  <c r="F40" i="93"/>
  <c r="F38" i="93" s="1"/>
  <c r="F37" i="93" s="1"/>
  <c r="N202" i="12"/>
  <c r="R102" i="12"/>
  <c r="P102" i="12"/>
  <c r="L23" i="22" s="1"/>
  <c r="L26" i="22" s="1"/>
  <c r="O102" i="12"/>
  <c r="K23" i="22" s="1"/>
  <c r="K26" i="22" s="1"/>
  <c r="N102" i="12"/>
  <c r="J23" i="22" s="1"/>
  <c r="J26" i="22" s="1"/>
  <c r="Q102" i="12"/>
  <c r="M23" i="22" s="1"/>
  <c r="M26" i="22" s="1"/>
  <c r="O95" i="38"/>
  <c r="O97" i="38" s="1"/>
  <c r="O94" i="38"/>
  <c r="M34" i="12"/>
  <c r="M40" i="12" s="1"/>
  <c r="H21" i="24"/>
  <c r="M38" i="12"/>
  <c r="H27" i="36" s="1"/>
  <c r="Q232" i="13"/>
  <c r="M192" i="11"/>
  <c r="M316" i="11"/>
  <c r="M440" i="11" s="1"/>
  <c r="R180" i="12"/>
  <c r="M29" i="32"/>
  <c r="M20" i="23"/>
  <c r="M16" i="23"/>
  <c r="J22" i="20"/>
  <c r="K18" i="20"/>
  <c r="O113" i="12"/>
  <c r="H24" i="5"/>
  <c r="M31" i="12"/>
  <c r="M43" i="12"/>
  <c r="D234" i="13"/>
  <c r="M266" i="13" s="1"/>
  <c r="R179" i="13"/>
  <c r="P224" i="11"/>
  <c r="P348" i="11"/>
  <c r="P472" i="11" s="1"/>
  <c r="F29" i="27"/>
  <c r="F30" i="27" s="1"/>
  <c r="F31" i="27" s="1"/>
  <c r="K175" i="12"/>
  <c r="H29" i="21"/>
  <c r="M169" i="12"/>
  <c r="H27" i="21"/>
  <c r="H28" i="21" s="1"/>
  <c r="M66" i="13"/>
  <c r="O20" i="12"/>
  <c r="L181" i="11"/>
  <c r="L305" i="11"/>
  <c r="L429" i="11" s="1"/>
  <c r="M73" i="12"/>
  <c r="E65" i="10" s="1"/>
  <c r="E70" i="11" s="1"/>
  <c r="M217" i="12"/>
  <c r="P245" i="11"/>
  <c r="P369" i="11"/>
  <c r="P493" i="11" s="1"/>
  <c r="T232" i="13"/>
  <c r="E149" i="11"/>
  <c r="E273" i="11" s="1"/>
  <c r="E397" i="11" s="1"/>
  <c r="E521" i="11" s="1"/>
  <c r="E645" i="11" s="1"/>
  <c r="M25" i="11"/>
  <c r="O25" i="11"/>
  <c r="N25" i="11"/>
  <c r="L149" i="11"/>
  <c r="P25" i="11"/>
  <c r="Q25" i="11"/>
  <c r="K293" i="11"/>
  <c r="K417" i="11" s="1"/>
  <c r="K169" i="11"/>
  <c r="S195" i="13"/>
  <c r="T199" i="13"/>
  <c r="T195" i="13" s="1"/>
  <c r="H194" i="38"/>
  <c r="H195" i="38" s="1"/>
  <c r="H192" i="38"/>
  <c r="Q350" i="11"/>
  <c r="Q474" i="11" s="1"/>
  <c r="G722" i="11" s="1"/>
  <c r="I722" i="11" s="1"/>
  <c r="Q226" i="11"/>
  <c r="O212" i="11"/>
  <c r="O336" i="11"/>
  <c r="O460" i="11" s="1"/>
  <c r="C415" i="13"/>
  <c r="C128" i="13" s="1"/>
  <c r="E128" i="13"/>
  <c r="M167" i="11"/>
  <c r="M291" i="11"/>
  <c r="M415" i="11" s="1"/>
  <c r="S845" i="1"/>
  <c r="P5" i="12" s="1"/>
  <c r="M76" i="38"/>
  <c r="L78" i="38"/>
  <c r="R55" i="39"/>
  <c r="R57" i="39" s="1"/>
  <c r="K290" i="11"/>
  <c r="K414" i="11" s="1"/>
  <c r="K166" i="11"/>
  <c r="S332" i="13"/>
  <c r="L36" i="58"/>
  <c r="R333" i="13"/>
  <c r="L121" i="12"/>
  <c r="G24" i="28"/>
  <c r="L27" i="22"/>
  <c r="L28" i="22" s="1"/>
  <c r="L29" i="22" s="1"/>
  <c r="Q170" i="12"/>
  <c r="D34" i="22"/>
  <c r="P92" i="38"/>
  <c r="C276" i="38"/>
  <c r="N303" i="11"/>
  <c r="N427" i="11" s="1"/>
  <c r="N179" i="11"/>
  <c r="Q251" i="11"/>
  <c r="Q375" i="11"/>
  <c r="Q499" i="11" s="1"/>
  <c r="G747" i="11" s="1"/>
  <c r="I747" i="11" s="1"/>
  <c r="G19" i="29"/>
  <c r="N360" i="13"/>
  <c r="O355" i="13"/>
  <c r="S645" i="1"/>
  <c r="S850" i="1" s="1"/>
  <c r="P10" i="12" s="1"/>
  <c r="K24" i="19" s="1"/>
  <c r="S439" i="1"/>
  <c r="S441" i="1" s="1"/>
  <c r="S680" i="1"/>
  <c r="R16" i="13"/>
  <c r="S770" i="1"/>
  <c r="S772" i="1" s="1"/>
  <c r="S775" i="1" s="1"/>
  <c r="S720" i="1"/>
  <c r="S627" i="1"/>
  <c r="S335" i="1"/>
  <c r="S337" i="1" s="1"/>
  <c r="S313" i="1"/>
  <c r="S315" i="1" s="1"/>
  <c r="S759" i="1"/>
  <c r="S761" i="1" s="1"/>
  <c r="S707" i="1"/>
  <c r="S229" i="1"/>
  <c r="S231" i="1" s="1"/>
  <c r="S269" i="1"/>
  <c r="S168" i="1"/>
  <c r="S170" i="1" s="1"/>
  <c r="S253" i="1"/>
  <c r="S255" i="1" s="1"/>
  <c r="S241" i="1"/>
  <c r="S243" i="1" s="1"/>
  <c r="S144" i="1"/>
  <c r="S324" i="1"/>
  <c r="S326" i="1" s="1"/>
  <c r="S22" i="1"/>
  <c r="T21" i="1"/>
  <c r="S156" i="1"/>
  <c r="S158" i="1" s="1"/>
  <c r="O32" i="12"/>
  <c r="J21" i="5"/>
  <c r="H60" i="12"/>
  <c r="O44" i="12"/>
  <c r="O49" i="12" s="1"/>
  <c r="O83" i="12"/>
  <c r="H29" i="19"/>
  <c r="J22" i="5"/>
  <c r="K18" i="5"/>
  <c r="O109" i="12"/>
  <c r="N168" i="12"/>
  <c r="I27" i="20"/>
  <c r="I28" i="20" s="1"/>
  <c r="I29" i="20" s="1"/>
  <c r="M20" i="22"/>
  <c r="M16" i="22"/>
  <c r="D29" i="37"/>
  <c r="D31" i="37" s="1"/>
  <c r="D40" i="93"/>
  <c r="D38" i="93" s="1"/>
  <c r="D37" i="93" s="1"/>
  <c r="P242" i="11"/>
  <c r="P366" i="11"/>
  <c r="P490" i="11" s="1"/>
  <c r="H59" i="93"/>
  <c r="H26" i="37"/>
  <c r="J33" i="93"/>
  <c r="K12" i="93"/>
  <c r="J208" i="38"/>
  <c r="J209" i="38" s="1"/>
  <c r="J206" i="38"/>
  <c r="N266" i="13"/>
  <c r="L135" i="11"/>
  <c r="L259" i="11"/>
  <c r="L383" i="11" s="1"/>
  <c r="H202" i="12"/>
  <c r="N96" i="12"/>
  <c r="O96" i="12"/>
  <c r="N53" i="38"/>
  <c r="N55" i="38" s="1"/>
  <c r="N52" i="38"/>
  <c r="K231" i="38"/>
  <c r="K233" i="38" s="1"/>
  <c r="H18" i="32"/>
  <c r="H19" i="32" s="1"/>
  <c r="K144" i="11"/>
  <c r="K268" i="11"/>
  <c r="K392" i="11" s="1"/>
  <c r="M7" i="26"/>
  <c r="C34" i="31"/>
  <c r="S855" i="1"/>
  <c r="P15" i="12" s="1"/>
  <c r="L105" i="12"/>
  <c r="H28" i="37" s="1"/>
  <c r="V20" i="39"/>
  <c r="T22" i="39" s="1"/>
  <c r="L158" i="11"/>
  <c r="L282" i="11"/>
  <c r="L406" i="11" s="1"/>
  <c r="O222" i="11"/>
  <c r="O346" i="11"/>
  <c r="O470" i="11" s="1"/>
  <c r="H46" i="93"/>
  <c r="H29" i="31"/>
  <c r="H30" i="31" s="1"/>
  <c r="H31" i="31"/>
  <c r="M179" i="12"/>
  <c r="P231" i="11"/>
  <c r="P355" i="11"/>
  <c r="P479" i="11" s="1"/>
  <c r="P195" i="38"/>
  <c r="L304" i="11"/>
  <c r="L428" i="11" s="1"/>
  <c r="L180" i="11"/>
  <c r="L125" i="12"/>
  <c r="G24" i="32"/>
  <c r="P167" i="38"/>
  <c r="N73" i="12"/>
  <c r="E76" i="10" s="1"/>
  <c r="E81" i="11" s="1"/>
  <c r="N217" i="12"/>
  <c r="N221" i="12" s="1"/>
  <c r="N22" i="22" s="1"/>
  <c r="C32" i="22" s="1"/>
  <c r="R146" i="1"/>
  <c r="R844" i="1"/>
  <c r="E20" i="39"/>
  <c r="F284" i="38" s="1"/>
  <c r="Q243" i="11"/>
  <c r="Q367" i="11"/>
  <c r="Q491" i="11" s="1"/>
  <c r="G739" i="11" s="1"/>
  <c r="I739" i="11" s="1"/>
  <c r="Q811" i="1"/>
  <c r="D810" i="1"/>
  <c r="N164" i="12"/>
  <c r="I21" i="19"/>
  <c r="N86" i="12"/>
  <c r="K59" i="12"/>
  <c r="L156" i="11"/>
  <c r="L280" i="11"/>
  <c r="L404" i="11" s="1"/>
  <c r="O112" i="12"/>
  <c r="J22" i="19"/>
  <c r="K18" i="19"/>
  <c r="L120" i="12"/>
  <c r="G24" i="27"/>
  <c r="L7" i="35"/>
  <c r="R137" i="13"/>
  <c r="K11" i="35"/>
  <c r="K13" i="36" s="1"/>
  <c r="L11" i="16"/>
  <c r="M20" i="20"/>
  <c r="M16" i="20"/>
  <c r="I236" i="38"/>
  <c r="I237" i="38" s="1"/>
  <c r="I234" i="38"/>
  <c r="L9" i="35"/>
  <c r="R139" i="13"/>
  <c r="L191" i="11"/>
  <c r="L315" i="11"/>
  <c r="L439" i="11" s="1"/>
  <c r="S331" i="13"/>
  <c r="L35" i="58"/>
  <c r="F31" i="32"/>
  <c r="F29" i="32"/>
  <c r="F30" i="32" s="1"/>
  <c r="K180" i="12"/>
  <c r="P228" i="11"/>
  <c r="P352" i="11"/>
  <c r="P476" i="11" s="1"/>
  <c r="P741" i="1"/>
  <c r="K177" i="11"/>
  <c r="K301" i="11"/>
  <c r="K425" i="11" s="1"/>
  <c r="Q360" i="11"/>
  <c r="Q484" i="11" s="1"/>
  <c r="G732" i="11" s="1"/>
  <c r="I732" i="11" s="1"/>
  <c r="Q236" i="11"/>
  <c r="P232" i="13"/>
  <c r="O266" i="13"/>
  <c r="O335" i="11"/>
  <c r="O459" i="11" s="1"/>
  <c r="O211" i="11"/>
  <c r="L7" i="28"/>
  <c r="Q247" i="11"/>
  <c r="Q371" i="11"/>
  <c r="Q495" i="11" s="1"/>
  <c r="G743" i="11" s="1"/>
  <c r="I743" i="11" s="1"/>
  <c r="U24" i="1"/>
  <c r="J31" i="25"/>
  <c r="J29" i="25"/>
  <c r="J30" i="25" s="1"/>
  <c r="O173" i="12"/>
  <c r="P48" i="38"/>
  <c r="O50" i="38"/>
  <c r="Q353" i="11"/>
  <c r="Q477" i="11" s="1"/>
  <c r="G725" i="11" s="1"/>
  <c r="I725" i="11" s="1"/>
  <c r="Q229" i="11"/>
  <c r="K29" i="29"/>
  <c r="K30" i="29" s="1"/>
  <c r="K31" i="29" s="1"/>
  <c r="P177" i="12"/>
  <c r="Q111" i="12"/>
  <c r="L22" i="18"/>
  <c r="M18" i="18"/>
  <c r="T17" i="12"/>
  <c r="S851" i="1"/>
  <c r="P11" i="12" s="1"/>
  <c r="S647" i="1"/>
  <c r="K21" i="18"/>
  <c r="J61" i="12"/>
  <c r="P85" i="12"/>
  <c r="J204" i="12" s="1"/>
  <c r="U3" i="1"/>
  <c r="T157" i="1"/>
  <c r="T418" i="1"/>
  <c r="T708" i="1"/>
  <c r="T709" i="1" s="1"/>
  <c r="T336" i="1"/>
  <c r="T254" i="1"/>
  <c r="T169" i="1"/>
  <c r="T646" i="1"/>
  <c r="T721" i="1"/>
  <c r="T722" i="1" s="1"/>
  <c r="T771" i="1"/>
  <c r="T230" i="1"/>
  <c r="T681" i="1"/>
  <c r="T145" i="1"/>
  <c r="T429" i="1"/>
  <c r="T242" i="1"/>
  <c r="T628" i="1"/>
  <c r="T849" i="1" s="1"/>
  <c r="Q9" i="12" s="1"/>
  <c r="T440" i="1"/>
  <c r="T760" i="1"/>
  <c r="T325" i="1"/>
  <c r="T270" i="1"/>
  <c r="T314" i="1"/>
  <c r="T695" i="1"/>
  <c r="T696" i="1" s="1"/>
  <c r="P347" i="11"/>
  <c r="P471" i="11" s="1"/>
  <c r="P223" i="11"/>
  <c r="H26" i="5"/>
  <c r="C34" i="22"/>
  <c r="D12" i="39" s="1"/>
  <c r="J236" i="38"/>
  <c r="J237" i="38" s="1"/>
  <c r="J234" i="38"/>
  <c r="O252" i="11"/>
  <c r="O376" i="11"/>
  <c r="O500" i="11" s="1"/>
  <c r="J166" i="38"/>
  <c r="J167" i="38" s="1"/>
  <c r="J164" i="38"/>
  <c r="K175" i="38"/>
  <c r="K177" i="38" s="1"/>
  <c r="H18" i="28"/>
  <c r="H19" i="28" s="1"/>
  <c r="K122" i="12"/>
  <c r="F24" i="29"/>
  <c r="R337" i="1"/>
  <c r="J28" i="93"/>
  <c r="K5" i="93"/>
  <c r="S232" i="13"/>
  <c r="E160" i="11"/>
  <c r="E284" i="11" s="1"/>
  <c r="E408" i="11" s="1"/>
  <c r="E532" i="11" s="1"/>
  <c r="E656" i="11" s="1"/>
  <c r="N36" i="11"/>
  <c r="L160" i="11"/>
  <c r="P36" i="11"/>
  <c r="Q36" i="11"/>
  <c r="M36" i="11"/>
  <c r="O36" i="11"/>
  <c r="E138" i="11"/>
  <c r="E262" i="11" s="1"/>
  <c r="E386" i="11" s="1"/>
  <c r="E510" i="11" s="1"/>
  <c r="E634" i="11" s="1"/>
  <c r="Q14" i="11"/>
  <c r="O14" i="11"/>
  <c r="N14" i="11"/>
  <c r="L138" i="11"/>
  <c r="P14" i="11"/>
  <c r="M14" i="11"/>
  <c r="I27" i="19"/>
  <c r="I28" i="19" s="1"/>
  <c r="I29" i="19" s="1"/>
  <c r="N167" i="12"/>
  <c r="O244" i="11"/>
  <c r="O368" i="11"/>
  <c r="O492" i="11" s="1"/>
  <c r="G29" i="5"/>
  <c r="G27" i="5"/>
  <c r="G28" i="5" s="1"/>
  <c r="J203" i="12"/>
  <c r="R419" i="1"/>
  <c r="R422" i="1" s="1"/>
  <c r="L148" i="11"/>
  <c r="L272" i="11"/>
  <c r="L396" i="11" s="1"/>
  <c r="P358" i="11"/>
  <c r="P482" i="11" s="1"/>
  <c r="P234" i="11"/>
  <c r="M190" i="11"/>
  <c r="M314" i="11"/>
  <c r="M438" i="11" s="1"/>
  <c r="P213" i="11"/>
  <c r="P337" i="11"/>
  <c r="P461" i="11" s="1"/>
  <c r="O233" i="11"/>
  <c r="O357" i="11"/>
  <c r="O481" i="11" s="1"/>
  <c r="L7" i="25"/>
  <c r="K24" i="25"/>
  <c r="H21" i="36"/>
  <c r="N32" i="12"/>
  <c r="P232" i="11"/>
  <c r="P356" i="11"/>
  <c r="P480" i="11" s="1"/>
  <c r="M7" i="29"/>
  <c r="M24" i="29" s="1"/>
  <c r="L24" i="29"/>
  <c r="P166" i="12"/>
  <c r="Q340" i="13"/>
  <c r="O24" i="12" s="1"/>
  <c r="J26" i="28" s="1"/>
  <c r="J28" i="28" s="1"/>
  <c r="R339" i="13"/>
  <c r="M60" i="12"/>
  <c r="J21" i="21"/>
  <c r="O88" i="12"/>
  <c r="M203" i="12" s="1"/>
  <c r="M157" i="11"/>
  <c r="M281" i="11"/>
  <c r="M405" i="11" s="1"/>
  <c r="L104" i="12"/>
  <c r="K181" i="12"/>
  <c r="F31" i="33"/>
  <c r="F29" i="33"/>
  <c r="F30" i="33" s="1"/>
  <c r="P361" i="11"/>
  <c r="P485" i="11" s="1"/>
  <c r="P237" i="11"/>
  <c r="L159" i="11"/>
  <c r="L283" i="11"/>
  <c r="L407" i="11" s="1"/>
  <c r="P69" i="38"/>
  <c r="I27" i="22"/>
  <c r="I28" i="22" s="1"/>
  <c r="I29" i="22"/>
  <c r="P235" i="11"/>
  <c r="P359" i="11"/>
  <c r="P483" i="11" s="1"/>
  <c r="K155" i="11"/>
  <c r="K279" i="11"/>
  <c r="K403" i="11" s="1"/>
  <c r="R315" i="1"/>
  <c r="R854" i="1"/>
  <c r="O14" i="12" s="1"/>
  <c r="J24" i="21" s="1"/>
  <c r="R682" i="1"/>
  <c r="R685" i="1" s="1"/>
  <c r="J21" i="19"/>
  <c r="K60" i="12"/>
  <c r="O86" i="12"/>
  <c r="G21" i="93"/>
  <c r="G39" i="93" s="1"/>
  <c r="G21" i="37"/>
  <c r="J26" i="18"/>
  <c r="J218" i="12"/>
  <c r="J74" i="12"/>
  <c r="E33" i="10" s="1"/>
  <c r="E38" i="11" s="1"/>
  <c r="P27" i="38"/>
  <c r="G22" i="24"/>
  <c r="H18" i="24"/>
  <c r="K59" i="52"/>
  <c r="S427" i="1"/>
  <c r="S428" i="1" s="1"/>
  <c r="S430" i="1" s="1"/>
  <c r="S433" i="1" s="1"/>
  <c r="Q724" i="1"/>
  <c r="Q725" i="1" s="1"/>
  <c r="Q698" i="1"/>
  <c r="Q740" i="1"/>
  <c r="Q741" i="1" s="1"/>
  <c r="Q649" i="1"/>
  <c r="Q650" i="1" s="1"/>
  <c r="Q823" i="1"/>
  <c r="Q824" i="1" s="1"/>
  <c r="Q711" i="1"/>
  <c r="Q712" i="1" s="1"/>
  <c r="I26" i="35"/>
  <c r="I28" i="35" s="1"/>
  <c r="I46" i="35" s="1"/>
  <c r="N36" i="12"/>
  <c r="Q289" i="13"/>
  <c r="Q141" i="13"/>
  <c r="G29" i="36"/>
  <c r="G32" i="36" s="1"/>
  <c r="G48" i="36" s="1"/>
  <c r="G23" i="24"/>
  <c r="G26" i="24" s="1"/>
  <c r="G46" i="24" s="1"/>
  <c r="P824" i="1"/>
  <c r="D823" i="1"/>
  <c r="D824" i="1" s="1"/>
  <c r="P241" i="11"/>
  <c r="P365" i="11"/>
  <c r="P489" i="11" s="1"/>
  <c r="P41" i="38"/>
  <c r="G19" i="30"/>
  <c r="K123" i="12"/>
  <c r="L137" i="11"/>
  <c r="L261" i="11"/>
  <c r="L385" i="11" s="1"/>
  <c r="M20" i="18"/>
  <c r="M16" i="18"/>
  <c r="G31" i="26"/>
  <c r="L174" i="12"/>
  <c r="G29" i="26"/>
  <c r="G30" i="26" s="1"/>
  <c r="J250" i="38"/>
  <c r="J251" i="38" s="1"/>
  <c r="J248" i="38"/>
  <c r="H73" i="12"/>
  <c r="E10" i="10" s="1"/>
  <c r="E15" i="11" s="1"/>
  <c r="H217" i="12"/>
  <c r="I166" i="38"/>
  <c r="I167" i="38" s="1"/>
  <c r="I164" i="38"/>
  <c r="H19" i="27"/>
  <c r="O324" i="13"/>
  <c r="C325" i="13" s="1"/>
  <c r="M6" i="17"/>
  <c r="L20" i="17"/>
  <c r="L16" i="17"/>
  <c r="P209" i="38"/>
  <c r="Q363" i="11"/>
  <c r="Q487" i="11" s="1"/>
  <c r="G735" i="11" s="1"/>
  <c r="I735" i="11" s="1"/>
  <c r="Q239" i="11"/>
  <c r="R439" i="13"/>
  <c r="P30" i="12" s="1"/>
  <c r="K26" i="34" s="1"/>
  <c r="K28" i="34" s="1"/>
  <c r="S438" i="13"/>
  <c r="E170" i="11"/>
  <c r="E294" i="11" s="1"/>
  <c r="E418" i="11" s="1"/>
  <c r="E542" i="11" s="1"/>
  <c r="E666" i="11" s="1"/>
  <c r="K170" i="11"/>
  <c r="Q46" i="11"/>
  <c r="M46" i="11"/>
  <c r="O46" i="11"/>
  <c r="N46" i="11"/>
  <c r="P46" i="11"/>
  <c r="L46" i="11"/>
  <c r="L129" i="11" s="1"/>
  <c r="H44" i="93" s="1"/>
  <c r="H57" i="93" s="1"/>
  <c r="H29" i="20"/>
  <c r="R850" i="1"/>
  <c r="O10" i="12" s="1"/>
  <c r="J24" i="19" s="1"/>
  <c r="M20" i="21"/>
  <c r="M16" i="21"/>
  <c r="P249" i="11"/>
  <c r="P373" i="11"/>
  <c r="P497" i="11" s="1"/>
  <c r="H21" i="93"/>
  <c r="H39" i="93" s="1"/>
  <c r="H21" i="37"/>
  <c r="O98" i="12"/>
  <c r="K23" i="18" s="1"/>
  <c r="O230" i="11"/>
  <c r="O354" i="11"/>
  <c r="O478" i="11" s="1"/>
  <c r="F45" i="24"/>
  <c r="F47" i="24" s="1"/>
  <c r="F27" i="24"/>
  <c r="F28" i="24" s="1"/>
  <c r="O240" i="11"/>
  <c r="O364" i="11"/>
  <c r="O488" i="11" s="1"/>
  <c r="I22" i="17"/>
  <c r="J18" i="17"/>
  <c r="N110" i="12"/>
  <c r="N128" i="12" s="1"/>
  <c r="I20" i="36" s="1"/>
  <c r="K7" i="24"/>
  <c r="R29" i="1"/>
  <c r="L8" i="35"/>
  <c r="R138" i="13"/>
  <c r="K201" i="12"/>
  <c r="K216" i="12" s="1"/>
  <c r="P246" i="11"/>
  <c r="P370" i="11"/>
  <c r="P494" i="11" s="1"/>
  <c r="R232" i="13"/>
  <c r="L189" i="11"/>
  <c r="L313" i="11"/>
  <c r="L437" i="11" s="1"/>
  <c r="P349" i="11"/>
  <c r="P473" i="11" s="1"/>
  <c r="P225" i="11"/>
  <c r="K210" i="11"/>
  <c r="K334" i="11"/>
  <c r="K458" i="11" s="1"/>
  <c r="L200" i="11"/>
  <c r="L324" i="11"/>
  <c r="L448" i="11" s="1"/>
  <c r="K292" i="11"/>
  <c r="K416" i="11" s="1"/>
  <c r="K168" i="11"/>
  <c r="P362" i="11"/>
  <c r="P486" i="11" s="1"/>
  <c r="P238" i="11"/>
  <c r="M146" i="11"/>
  <c r="M270" i="11"/>
  <c r="M394" i="11" s="1"/>
  <c r="M20" i="5"/>
  <c r="M16" i="5"/>
  <c r="U639" i="1"/>
  <c r="D636" i="1"/>
  <c r="K194" i="38"/>
  <c r="K195" i="38" s="1"/>
  <c r="K192" i="38"/>
  <c r="Q843" i="1"/>
  <c r="N4" i="12"/>
  <c r="E161" i="11"/>
  <c r="E285" i="11" s="1"/>
  <c r="E409" i="11" s="1"/>
  <c r="E533" i="11" s="1"/>
  <c r="E657" i="11" s="1"/>
  <c r="Q37" i="11"/>
  <c r="M161" i="11"/>
  <c r="O37" i="11"/>
  <c r="N37" i="11"/>
  <c r="P37" i="11"/>
  <c r="Q345" i="11"/>
  <c r="Q469" i="11" s="1"/>
  <c r="G717" i="11" s="1"/>
  <c r="I717" i="11" s="1"/>
  <c r="Q221" i="11"/>
  <c r="G26" i="35"/>
  <c r="G28" i="35" s="1"/>
  <c r="G46" i="35" s="1"/>
  <c r="L36" i="12"/>
  <c r="P223" i="38"/>
  <c r="P124" i="13"/>
  <c r="P451" i="13"/>
  <c r="P336" i="13"/>
  <c r="I27" i="18"/>
  <c r="I28" i="18" s="1"/>
  <c r="I29" i="18" s="1"/>
  <c r="L136" i="11"/>
  <c r="L260" i="11"/>
  <c r="L384" i="11" s="1"/>
  <c r="O97" i="12"/>
  <c r="K23" i="17" s="1"/>
  <c r="K199" i="11"/>
  <c r="K323" i="11"/>
  <c r="K447" i="11" s="1"/>
  <c r="R629" i="1"/>
  <c r="R632" i="1" s="1"/>
  <c r="R848" i="1"/>
  <c r="O8" i="12" s="1"/>
  <c r="J24" i="18" s="1"/>
  <c r="L147" i="11"/>
  <c r="L271" i="11"/>
  <c r="L395" i="11" s="1"/>
  <c r="P250" i="11"/>
  <c r="P374" i="11"/>
  <c r="P498" i="11" s="1"/>
  <c r="P111" i="38"/>
  <c r="J22" i="23"/>
  <c r="K18" i="23"/>
  <c r="O116" i="12"/>
  <c r="K58" i="52"/>
  <c r="T425" i="1"/>
  <c r="T414" i="1"/>
  <c r="S416" i="1"/>
  <c r="H27" i="17"/>
  <c r="H28" i="17" s="1"/>
  <c r="M165" i="12"/>
  <c r="M183" i="12" s="1"/>
  <c r="H29" i="17"/>
  <c r="E193" i="11"/>
  <c r="E317" i="11" s="1"/>
  <c r="E441" i="11" s="1"/>
  <c r="E565" i="11" s="1"/>
  <c r="E689" i="11" s="1"/>
  <c r="N69" i="11"/>
  <c r="Q69" i="11"/>
  <c r="M69" i="11"/>
  <c r="O69" i="11"/>
  <c r="L193" i="11"/>
  <c r="P69" i="11"/>
  <c r="R161" i="13"/>
  <c r="D46" i="35"/>
  <c r="L48" i="12"/>
  <c r="L45" i="12"/>
  <c r="K133" i="11"/>
  <c r="K257" i="11"/>
  <c r="K381" i="11" s="1"/>
  <c r="P351" i="11"/>
  <c r="P475" i="11" s="1"/>
  <c r="P227" i="11"/>
  <c r="N97" i="12"/>
  <c r="J23" i="17" s="1"/>
  <c r="J26" i="17" s="1"/>
  <c r="M104" i="12"/>
  <c r="I23" i="5"/>
  <c r="M105" i="12"/>
  <c r="I28" i="37" s="1"/>
  <c r="R140" i="13"/>
  <c r="L10" i="35"/>
  <c r="I19" i="26"/>
  <c r="M119" i="12"/>
  <c r="H24" i="26"/>
  <c r="F26" i="24"/>
  <c r="F46" i="24" s="1"/>
  <c r="I218" i="12"/>
  <c r="I74" i="12"/>
  <c r="E22" i="10" s="1"/>
  <c r="E27" i="11" s="1"/>
  <c r="K161" i="38"/>
  <c r="K163" i="38" s="1"/>
  <c r="H18" i="27"/>
  <c r="J177" i="12"/>
  <c r="E31" i="29"/>
  <c r="E29" i="29"/>
  <c r="E30" i="29" s="1"/>
  <c r="O248" i="11"/>
  <c r="O372" i="11"/>
  <c r="O496" i="11" s="1"/>
  <c r="K188" i="11"/>
  <c r="K312" i="11"/>
  <c r="K436" i="11" s="1"/>
  <c r="S847" i="1"/>
  <c r="P7" i="12" s="1"/>
  <c r="AC19" i="50"/>
  <c r="AE11" i="50" s="1"/>
  <c r="Q57" i="39"/>
  <c r="E26" i="24"/>
  <c r="E40" i="93"/>
  <c r="E38" i="93" s="1"/>
  <c r="E37" i="93" s="1"/>
  <c r="E29" i="37"/>
  <c r="E31" i="37" s="1"/>
  <c r="E47" i="37" s="1"/>
  <c r="Q335" i="13"/>
  <c r="K37" i="58"/>
  <c r="J177" i="38"/>
  <c r="M121" i="12" l="1"/>
  <c r="H24" i="28"/>
  <c r="F78" i="93"/>
  <c r="F95" i="93"/>
  <c r="F97" i="93" s="1"/>
  <c r="F86" i="93"/>
  <c r="F88" i="93" s="1"/>
  <c r="F71" i="93"/>
  <c r="C12" i="39"/>
  <c r="E12" i="39" s="1"/>
  <c r="F276" i="38" s="1"/>
  <c r="C35" i="22"/>
  <c r="C37" i="22" s="1"/>
  <c r="J27" i="18"/>
  <c r="J28" i="18" s="1"/>
  <c r="J29" i="18"/>
  <c r="I21" i="36"/>
  <c r="K166" i="38"/>
  <c r="K167" i="38" s="1"/>
  <c r="K164" i="38"/>
  <c r="M10" i="35"/>
  <c r="T140" i="13" s="1"/>
  <c r="S140" i="13"/>
  <c r="M136" i="11"/>
  <c r="M260" i="11"/>
  <c r="M384" i="11" s="1"/>
  <c r="M189" i="11"/>
  <c r="M313" i="11"/>
  <c r="M437" i="11" s="1"/>
  <c r="R289" i="13"/>
  <c r="R141" i="13"/>
  <c r="P364" i="11"/>
  <c r="P488" i="11" s="1"/>
  <c r="P240" i="11"/>
  <c r="M120" i="12"/>
  <c r="H24" i="27"/>
  <c r="L29" i="29"/>
  <c r="L30" i="29" s="1"/>
  <c r="L31" i="29"/>
  <c r="Q177" i="12"/>
  <c r="L24" i="25"/>
  <c r="M7" i="25"/>
  <c r="M24" i="25" s="1"/>
  <c r="N190" i="11"/>
  <c r="N314" i="11"/>
  <c r="N438" i="11" s="1"/>
  <c r="K180" i="38"/>
  <c r="K181" i="38" s="1"/>
  <c r="K178" i="38"/>
  <c r="R111" i="12"/>
  <c r="M22" i="18"/>
  <c r="O52" i="38"/>
  <c r="O53" i="38"/>
  <c r="O55" i="38" s="1"/>
  <c r="Q352" i="11"/>
  <c r="Q476" i="11" s="1"/>
  <c r="G724" i="11" s="1"/>
  <c r="I724" i="11" s="1"/>
  <c r="Q228" i="11"/>
  <c r="M191" i="11"/>
  <c r="M315" i="11"/>
  <c r="M439" i="11" s="1"/>
  <c r="L11" i="35"/>
  <c r="L13" i="36" s="1"/>
  <c r="M11" i="16"/>
  <c r="M11" i="35" s="1"/>
  <c r="M13" i="36" s="1"/>
  <c r="O167" i="12"/>
  <c r="E78" i="93"/>
  <c r="E95" i="93"/>
  <c r="E97" i="93" s="1"/>
  <c r="E86" i="93"/>
  <c r="E88" i="93" s="1"/>
  <c r="E71" i="93"/>
  <c r="L188" i="11"/>
  <c r="L312" i="11"/>
  <c r="L436" i="11" s="1"/>
  <c r="E151" i="11"/>
  <c r="E275" i="11" s="1"/>
  <c r="E399" i="11" s="1"/>
  <c r="E523" i="11" s="1"/>
  <c r="E647" i="11" s="1"/>
  <c r="O27" i="11"/>
  <c r="P27" i="11"/>
  <c r="N151" i="11"/>
  <c r="Q27" i="11"/>
  <c r="P116" i="12"/>
  <c r="K22" i="23"/>
  <c r="L18" i="23"/>
  <c r="M147" i="11"/>
  <c r="M271" i="11"/>
  <c r="M395" i="11" s="1"/>
  <c r="I24" i="5"/>
  <c r="N31" i="12"/>
  <c r="N43" i="12"/>
  <c r="S233" i="13"/>
  <c r="M8" i="35"/>
  <c r="T138" i="13" s="1"/>
  <c r="S138" i="13"/>
  <c r="L170" i="11"/>
  <c r="L294" i="11"/>
  <c r="L418" i="11" s="1"/>
  <c r="L123" i="12"/>
  <c r="H19" i="30"/>
  <c r="H22" i="24"/>
  <c r="M29" i="29"/>
  <c r="R177" i="12"/>
  <c r="Q234" i="11"/>
  <c r="Q358" i="11"/>
  <c r="Q482" i="11" s="1"/>
  <c r="G730" i="11" s="1"/>
  <c r="I730" i="11" s="1"/>
  <c r="K28" i="93"/>
  <c r="L5" i="93"/>
  <c r="H27" i="5"/>
  <c r="H28" i="5" s="1"/>
  <c r="H29" i="5" s="1"/>
  <c r="U429" i="1"/>
  <c r="H63" i="1" s="1"/>
  <c r="U418" i="1"/>
  <c r="U242" i="1"/>
  <c r="H47" i="1" s="1"/>
  <c r="U628" i="1"/>
  <c r="U157" i="1"/>
  <c r="H40" i="1" s="1"/>
  <c r="U721" i="1"/>
  <c r="U681" i="1"/>
  <c r="U169" i="1"/>
  <c r="H41" i="1" s="1"/>
  <c r="U314" i="1"/>
  <c r="H53" i="1" s="1"/>
  <c r="U254" i="1"/>
  <c r="H48" i="1" s="1"/>
  <c r="U646" i="1"/>
  <c r="U695" i="1"/>
  <c r="U771" i="1"/>
  <c r="H93" i="1" s="1"/>
  <c r="U440" i="1"/>
  <c r="H64" i="1" s="1"/>
  <c r="U760" i="1"/>
  <c r="H92" i="1" s="1"/>
  <c r="U145" i="1"/>
  <c r="U230" i="1"/>
  <c r="H46" i="1" s="1"/>
  <c r="U325" i="1"/>
  <c r="H54" i="1" s="1"/>
  <c r="U336" i="1"/>
  <c r="H55" i="1" s="1"/>
  <c r="U708" i="1"/>
  <c r="Q166" i="12"/>
  <c r="R843" i="1"/>
  <c r="O4" i="12"/>
  <c r="M180" i="11"/>
  <c r="M304" i="11"/>
  <c r="M428" i="11" s="1"/>
  <c r="L144" i="11"/>
  <c r="L268" i="11"/>
  <c r="L392" i="11" s="1"/>
  <c r="C286" i="38"/>
  <c r="L80" i="38"/>
  <c r="L81" i="38"/>
  <c r="L83" i="38" s="1"/>
  <c r="P336" i="11"/>
  <c r="P460" i="11" s="1"/>
  <c r="P212" i="11"/>
  <c r="L169" i="11"/>
  <c r="L293" i="11"/>
  <c r="L417" i="11" s="1"/>
  <c r="Q348" i="11"/>
  <c r="Q472" i="11" s="1"/>
  <c r="G720" i="11" s="1"/>
  <c r="I720" i="11" s="1"/>
  <c r="Q224" i="11"/>
  <c r="K22" i="20"/>
  <c r="L18" i="20"/>
  <c r="P113" i="12"/>
  <c r="M30" i="32"/>
  <c r="M31" i="32" s="1"/>
  <c r="N24" i="32"/>
  <c r="J27" i="22"/>
  <c r="J28" i="22" s="1"/>
  <c r="J29" i="22" s="1"/>
  <c r="J26" i="21"/>
  <c r="E150" i="11"/>
  <c r="E274" i="11" s="1"/>
  <c r="E398" i="11" s="1"/>
  <c r="E522" i="11" s="1"/>
  <c r="E646" i="11" s="1"/>
  <c r="N26" i="11"/>
  <c r="P26" i="11"/>
  <c r="O26" i="11"/>
  <c r="Q26" i="11"/>
  <c r="M150" i="11"/>
  <c r="Q337" i="13"/>
  <c r="P342" i="13"/>
  <c r="M200" i="11"/>
  <c r="M324" i="11"/>
  <c r="M448" i="11" s="1"/>
  <c r="R698" i="1"/>
  <c r="R649" i="1"/>
  <c r="R650" i="1" s="1"/>
  <c r="R724" i="1"/>
  <c r="R725" i="1" s="1"/>
  <c r="R711" i="1"/>
  <c r="R712" i="1" s="1"/>
  <c r="G45" i="24"/>
  <c r="G47" i="24" s="1"/>
  <c r="G27" i="24"/>
  <c r="G28" i="24" s="1"/>
  <c r="G29" i="24" s="1"/>
  <c r="K203" i="12"/>
  <c r="O99" i="12"/>
  <c r="K23" i="19" s="1"/>
  <c r="K26" i="19" s="1"/>
  <c r="M74" i="12"/>
  <c r="E66" i="10" s="1"/>
  <c r="E71" i="11" s="1"/>
  <c r="M218" i="12"/>
  <c r="Q223" i="11"/>
  <c r="Q347" i="11"/>
  <c r="Q471" i="11" s="1"/>
  <c r="G719" i="11" s="1"/>
  <c r="I719" i="11" s="1"/>
  <c r="L21" i="18"/>
  <c r="J62" i="12"/>
  <c r="Q85" i="12"/>
  <c r="J205" i="12" s="1"/>
  <c r="P50" i="38"/>
  <c r="C273" i="38"/>
  <c r="M7" i="28"/>
  <c r="M125" i="12"/>
  <c r="H24" i="32"/>
  <c r="M135" i="11"/>
  <c r="M259" i="11"/>
  <c r="M383" i="11" s="1"/>
  <c r="O34" i="12"/>
  <c r="O40" i="12" s="1"/>
  <c r="J21" i="24"/>
  <c r="O38" i="12"/>
  <c r="J27" i="36" s="1"/>
  <c r="H19" i="29"/>
  <c r="O360" i="13"/>
  <c r="C361" i="13" s="1"/>
  <c r="P95" i="38"/>
  <c r="P97" i="38" s="1"/>
  <c r="P94" i="38"/>
  <c r="M78" i="38"/>
  <c r="N76" i="38"/>
  <c r="S55" i="39"/>
  <c r="S57" i="39" s="1"/>
  <c r="M181" i="11"/>
  <c r="M305" i="11"/>
  <c r="M429" i="11" s="1"/>
  <c r="J27" i="20"/>
  <c r="J28" i="20" s="1"/>
  <c r="J29" i="20"/>
  <c r="O168" i="12"/>
  <c r="K27" i="22"/>
  <c r="K28" i="22" s="1"/>
  <c r="K29" i="22" s="1"/>
  <c r="J191" i="38"/>
  <c r="C283" i="38"/>
  <c r="M129" i="11"/>
  <c r="I44" i="93" s="1"/>
  <c r="I57" i="93" s="1"/>
  <c r="L59" i="52"/>
  <c r="T427" i="1"/>
  <c r="T428" i="1" s="1"/>
  <c r="T430" i="1" s="1"/>
  <c r="T433" i="1" s="1"/>
  <c r="I27" i="17"/>
  <c r="I28" i="17" s="1"/>
  <c r="N165" i="12"/>
  <c r="I29" i="17"/>
  <c r="L133" i="11"/>
  <c r="L257" i="11"/>
  <c r="L381" i="11" s="1"/>
  <c r="O171" i="12"/>
  <c r="J27" i="23"/>
  <c r="J28" i="23" s="1"/>
  <c r="J29" i="23"/>
  <c r="N146" i="11"/>
  <c r="N270" i="11"/>
  <c r="N394" i="11" s="1"/>
  <c r="T851" i="1"/>
  <c r="Q11" i="12" s="1"/>
  <c r="T647" i="1"/>
  <c r="M9" i="35"/>
  <c r="T139" i="13" s="1"/>
  <c r="S139" i="13"/>
  <c r="E46" i="24"/>
  <c r="E47" i="24" s="1"/>
  <c r="E27" i="24"/>
  <c r="E28" i="24" s="1"/>
  <c r="E29" i="24" s="1"/>
  <c r="P248" i="11"/>
  <c r="P372" i="11"/>
  <c r="P496" i="11" s="1"/>
  <c r="M193" i="11"/>
  <c r="M317" i="11"/>
  <c r="M441" i="11" s="1"/>
  <c r="Q238" i="11"/>
  <c r="Q362" i="11"/>
  <c r="Q486" i="11" s="1"/>
  <c r="G734" i="11" s="1"/>
  <c r="I734" i="11" s="1"/>
  <c r="L7" i="24"/>
  <c r="S29" i="1"/>
  <c r="F29" i="24"/>
  <c r="Q249" i="11"/>
  <c r="Q373" i="11"/>
  <c r="Q497" i="11" s="1"/>
  <c r="G745" i="11" s="1"/>
  <c r="I745" i="11" s="1"/>
  <c r="K74" i="12"/>
  <c r="E44" i="10" s="1"/>
  <c r="E49" i="11" s="1"/>
  <c r="K218" i="12"/>
  <c r="R340" i="13"/>
  <c r="P24" i="12" s="1"/>
  <c r="K26" i="28" s="1"/>
  <c r="K28" i="28" s="1"/>
  <c r="S339" i="13"/>
  <c r="Q232" i="11"/>
  <c r="Q356" i="11"/>
  <c r="Q480" i="11" s="1"/>
  <c r="G728" i="11" s="1"/>
  <c r="I728" i="11" s="1"/>
  <c r="P357" i="11"/>
  <c r="P481" i="11" s="1"/>
  <c r="P233" i="11"/>
  <c r="M138" i="11"/>
  <c r="M262" i="11"/>
  <c r="M386" i="11" s="1"/>
  <c r="J75" i="12"/>
  <c r="E34" i="10" s="1"/>
  <c r="E39" i="11" s="1"/>
  <c r="J219" i="12"/>
  <c r="M156" i="11"/>
  <c r="M280" i="11"/>
  <c r="M404" i="11" s="1"/>
  <c r="K236" i="38"/>
  <c r="K237" i="38" s="1"/>
  <c r="K234" i="38"/>
  <c r="H87" i="93"/>
  <c r="H96" i="93"/>
  <c r="D78" i="93"/>
  <c r="D95" i="93"/>
  <c r="D97" i="93" s="1"/>
  <c r="D86" i="93"/>
  <c r="D88" i="93" s="1"/>
  <c r="D71" i="93"/>
  <c r="P109" i="12"/>
  <c r="K22" i="5"/>
  <c r="L18" i="5"/>
  <c r="S848" i="1"/>
  <c r="P8" i="12" s="1"/>
  <c r="K24" i="18" s="1"/>
  <c r="S629" i="1"/>
  <c r="S632" i="1" s="1"/>
  <c r="R335" i="13"/>
  <c r="L37" i="58"/>
  <c r="K21" i="5"/>
  <c r="P83" i="12"/>
  <c r="H204" i="12" s="1"/>
  <c r="H61" i="12"/>
  <c r="P32" i="12"/>
  <c r="P44" i="12"/>
  <c r="P49" i="12" s="1"/>
  <c r="D235" i="13"/>
  <c r="S179" i="13"/>
  <c r="N131" i="12"/>
  <c r="I194" i="38"/>
  <c r="I195" i="38" s="1"/>
  <c r="I192" i="38"/>
  <c r="M182" i="11"/>
  <c r="M306" i="11"/>
  <c r="M430" i="11" s="1"/>
  <c r="E171" i="11"/>
  <c r="E295" i="11" s="1"/>
  <c r="E419" i="11" s="1"/>
  <c r="E543" i="11" s="1"/>
  <c r="E667" i="11" s="1"/>
  <c r="M47" i="11"/>
  <c r="O47" i="11"/>
  <c r="N47" i="11"/>
  <c r="L171" i="11"/>
  <c r="P47" i="11"/>
  <c r="Q47" i="11"/>
  <c r="M27" i="22"/>
  <c r="M28" i="22" s="1"/>
  <c r="M29" i="22"/>
  <c r="R170" i="12"/>
  <c r="K247" i="38"/>
  <c r="C287" i="38"/>
  <c r="Q60" i="39"/>
  <c r="H29" i="26"/>
  <c r="H30" i="26" s="1"/>
  <c r="H31" i="26" s="1"/>
  <c r="M174" i="12"/>
  <c r="I26" i="5"/>
  <c r="G40" i="93"/>
  <c r="G38" i="93" s="1"/>
  <c r="G37" i="93" s="1"/>
  <c r="G29" i="37"/>
  <c r="G31" i="37" s="1"/>
  <c r="G47" i="37" s="1"/>
  <c r="L175" i="38"/>
  <c r="L177" i="38" s="1"/>
  <c r="I18" i="28"/>
  <c r="I19" i="28" s="1"/>
  <c r="L210" i="11"/>
  <c r="L334" i="11"/>
  <c r="L458" i="11" s="1"/>
  <c r="Q370" i="11"/>
  <c r="Q494" i="11" s="1"/>
  <c r="G742" i="11" s="1"/>
  <c r="I742" i="11" s="1"/>
  <c r="Q246" i="11"/>
  <c r="S439" i="13"/>
  <c r="Q30" i="12" s="1"/>
  <c r="L26" i="34" s="1"/>
  <c r="L28" i="34" s="1"/>
  <c r="T438" i="13"/>
  <c r="T439" i="13" s="1"/>
  <c r="E139" i="11"/>
  <c r="E263" i="11" s="1"/>
  <c r="E387" i="11" s="1"/>
  <c r="E511" i="11" s="1"/>
  <c r="E635" i="11" s="1"/>
  <c r="Q15" i="11"/>
  <c r="M139" i="11"/>
  <c r="O15" i="11"/>
  <c r="N15" i="11"/>
  <c r="P15" i="11"/>
  <c r="Q241" i="11"/>
  <c r="Q365" i="11"/>
  <c r="Q489" i="11" s="1"/>
  <c r="G737" i="11" s="1"/>
  <c r="I737" i="11" s="1"/>
  <c r="E162" i="11"/>
  <c r="E286" i="11" s="1"/>
  <c r="E410" i="11" s="1"/>
  <c r="E534" i="11" s="1"/>
  <c r="E658" i="11" s="1"/>
  <c r="O38" i="11"/>
  <c r="P38" i="11"/>
  <c r="N162" i="11"/>
  <c r="Q38" i="11"/>
  <c r="L155" i="11"/>
  <c r="L279" i="11"/>
  <c r="L403" i="11" s="1"/>
  <c r="M159" i="11"/>
  <c r="M283" i="11"/>
  <c r="M407" i="11" s="1"/>
  <c r="C281" i="38"/>
  <c r="M148" i="11"/>
  <c r="M272" i="11"/>
  <c r="M396" i="11" s="1"/>
  <c r="P244" i="11"/>
  <c r="P368" i="11"/>
  <c r="P492" i="11" s="1"/>
  <c r="M160" i="11"/>
  <c r="M284" i="11"/>
  <c r="M408" i="11" s="1"/>
  <c r="P252" i="11"/>
  <c r="P376" i="11"/>
  <c r="P500" i="11" s="1"/>
  <c r="P211" i="11"/>
  <c r="P335" i="11"/>
  <c r="P459" i="11" s="1"/>
  <c r="L177" i="11"/>
  <c r="L301" i="11"/>
  <c r="L425" i="11" s="1"/>
  <c r="S137" i="13"/>
  <c r="M7" i="35"/>
  <c r="D811" i="1"/>
  <c r="E96" i="1"/>
  <c r="E95" i="1" s="1"/>
  <c r="P222" i="11"/>
  <c r="P346" i="11"/>
  <c r="P470" i="11" s="1"/>
  <c r="M61" i="12"/>
  <c r="K21" i="21"/>
  <c r="P88" i="12"/>
  <c r="M204" i="12" s="1"/>
  <c r="D47" i="37"/>
  <c r="O164" i="12"/>
  <c r="T680" i="1"/>
  <c r="T324" i="1"/>
  <c r="T326" i="1" s="1"/>
  <c r="S16" i="13"/>
  <c r="T770" i="1"/>
  <c r="T772" i="1" s="1"/>
  <c r="T775" i="1" s="1"/>
  <c r="T720" i="1"/>
  <c r="T627" i="1"/>
  <c r="T335" i="1"/>
  <c r="T337" i="1" s="1"/>
  <c r="T759" i="1"/>
  <c r="T761" i="1" s="1"/>
  <c r="T707" i="1"/>
  <c r="T645" i="1"/>
  <c r="T850" i="1" s="1"/>
  <c r="Q10" i="12" s="1"/>
  <c r="L24" i="19" s="1"/>
  <c r="T439" i="1"/>
  <c r="T441" i="1" s="1"/>
  <c r="T269" i="1"/>
  <c r="G49" i="1" s="1"/>
  <c r="T229" i="1"/>
  <c r="T231" i="1" s="1"/>
  <c r="T168" i="1"/>
  <c r="T170" i="1" s="1"/>
  <c r="T253" i="1"/>
  <c r="T255" i="1" s="1"/>
  <c r="T241" i="1"/>
  <c r="T243" i="1" s="1"/>
  <c r="T144" i="1"/>
  <c r="T22" i="1"/>
  <c r="T156" i="1"/>
  <c r="T158" i="1" s="1"/>
  <c r="T313" i="1"/>
  <c r="T315" i="1" s="1"/>
  <c r="U21" i="1"/>
  <c r="L122" i="12"/>
  <c r="G24" i="29"/>
  <c r="J26" i="16"/>
  <c r="J28" i="16" s="1"/>
  <c r="O35" i="12"/>
  <c r="O46" i="12"/>
  <c r="O47" i="12" s="1"/>
  <c r="L266" i="13"/>
  <c r="K266" i="13"/>
  <c r="G29" i="33"/>
  <c r="G30" i="33" s="1"/>
  <c r="G31" i="33" s="1"/>
  <c r="L181" i="12"/>
  <c r="K21" i="17"/>
  <c r="I61" i="12"/>
  <c r="P84" i="12"/>
  <c r="K26" i="18"/>
  <c r="J180" i="38"/>
  <c r="J181" i="38" s="1"/>
  <c r="J178" i="38"/>
  <c r="I29" i="36"/>
  <c r="I23" i="24"/>
  <c r="L58" i="52"/>
  <c r="U425" i="1"/>
  <c r="U414" i="1"/>
  <c r="T416" i="1"/>
  <c r="T417" i="1" s="1"/>
  <c r="T846" i="1" s="1"/>
  <c r="Q6" i="12" s="1"/>
  <c r="L24" i="17" s="1"/>
  <c r="L323" i="11"/>
  <c r="L447" i="11" s="1"/>
  <c r="L199" i="11"/>
  <c r="R639" i="1"/>
  <c r="T639" i="1"/>
  <c r="S639" i="1"/>
  <c r="L168" i="11"/>
  <c r="L292" i="11"/>
  <c r="L416" i="11" s="1"/>
  <c r="Q225" i="11"/>
  <c r="Q349" i="11"/>
  <c r="Q473" i="11" s="1"/>
  <c r="G721" i="11" s="1"/>
  <c r="I721" i="11" s="1"/>
  <c r="O110" i="12"/>
  <c r="J17" i="24" s="1"/>
  <c r="J22" i="17"/>
  <c r="K18" i="17"/>
  <c r="P354" i="11"/>
  <c r="P478" i="11" s="1"/>
  <c r="P230" i="11"/>
  <c r="M20" i="17"/>
  <c r="M16" i="17"/>
  <c r="Q361" i="11"/>
  <c r="Q485" i="11" s="1"/>
  <c r="G733" i="11" s="1"/>
  <c r="I733" i="11" s="1"/>
  <c r="Q237" i="11"/>
  <c r="H29" i="36"/>
  <c r="H32" i="36" s="1"/>
  <c r="H23" i="24"/>
  <c r="N34" i="12"/>
  <c r="N40" i="12" s="1"/>
  <c r="I21" i="24"/>
  <c r="N38" i="12"/>
  <c r="I27" i="36" s="1"/>
  <c r="Q337" i="11"/>
  <c r="Q461" i="11" s="1"/>
  <c r="G709" i="11" s="1"/>
  <c r="I709" i="11" s="1"/>
  <c r="Q213" i="11"/>
  <c r="F31" i="29"/>
  <c r="K177" i="12"/>
  <c r="F29" i="29"/>
  <c r="F30" i="29" s="1"/>
  <c r="T845" i="1"/>
  <c r="Q5" i="12" s="1"/>
  <c r="D740" i="1"/>
  <c r="G31" i="27"/>
  <c r="G29" i="27"/>
  <c r="G30" i="27" s="1"/>
  <c r="L175" i="12"/>
  <c r="K73" i="12"/>
  <c r="E43" i="10" s="1"/>
  <c r="E48" i="11" s="1"/>
  <c r="E205" i="11"/>
  <c r="E329" i="11" s="1"/>
  <c r="E453" i="11" s="1"/>
  <c r="E577" i="11" s="1"/>
  <c r="E701" i="11" s="1"/>
  <c r="O81" i="11"/>
  <c r="P81" i="11"/>
  <c r="N81" i="11"/>
  <c r="Q81" i="11"/>
  <c r="M205" i="11"/>
  <c r="C21" i="39"/>
  <c r="C37" i="31"/>
  <c r="C39" i="31" s="1"/>
  <c r="S417" i="1"/>
  <c r="S846" i="1" s="1"/>
  <c r="P6" i="12" s="1"/>
  <c r="K24" i="17" s="1"/>
  <c r="K26" i="17" s="1"/>
  <c r="M36" i="58"/>
  <c r="N36" i="58" s="1"/>
  <c r="S333" i="13"/>
  <c r="T332" i="13"/>
  <c r="T333" i="13" s="1"/>
  <c r="T335" i="13" s="1"/>
  <c r="N167" i="11"/>
  <c r="N291" i="11"/>
  <c r="N415" i="11" s="1"/>
  <c r="M273" i="11"/>
  <c r="M397" i="11" s="1"/>
  <c r="M149" i="11"/>
  <c r="M45" i="12"/>
  <c r="M48" i="12"/>
  <c r="I17" i="24"/>
  <c r="I18" i="24" s="1"/>
  <c r="N192" i="11"/>
  <c r="N316" i="11"/>
  <c r="N440" i="11" s="1"/>
  <c r="M186" i="12"/>
  <c r="T267" i="13"/>
  <c r="T268" i="13" s="1"/>
  <c r="R20" i="12" s="1"/>
  <c r="S268" i="13"/>
  <c r="M203" i="11"/>
  <c r="M327" i="11"/>
  <c r="M451" i="11" s="1"/>
  <c r="M202" i="11"/>
  <c r="M326" i="11"/>
  <c r="M450" i="11" s="1"/>
  <c r="M258" i="11"/>
  <c r="M382" i="11" s="1"/>
  <c r="M134" i="11"/>
  <c r="T271" i="1"/>
  <c r="D271" i="1" s="1"/>
  <c r="F49" i="1" s="1"/>
  <c r="H49" i="1"/>
  <c r="T855" i="1"/>
  <c r="Q15" i="12" s="1"/>
  <c r="Q355" i="11"/>
  <c r="Q479" i="11" s="1"/>
  <c r="G727" i="11" s="1"/>
  <c r="I727" i="11" s="1"/>
  <c r="Q231" i="11"/>
  <c r="M158" i="11"/>
  <c r="M282" i="11"/>
  <c r="M406" i="11" s="1"/>
  <c r="K23" i="5"/>
  <c r="O105" i="12"/>
  <c r="K28" i="37" s="1"/>
  <c r="Q366" i="11"/>
  <c r="Q490" i="11" s="1"/>
  <c r="G738" i="11" s="1"/>
  <c r="I738" i="11" s="1"/>
  <c r="Q242" i="11"/>
  <c r="H203" i="12"/>
  <c r="H218" i="12" s="1"/>
  <c r="L166" i="11"/>
  <c r="L290" i="11"/>
  <c r="L414" i="11" s="1"/>
  <c r="Q245" i="11"/>
  <c r="Q369" i="11"/>
  <c r="Q493" i="11" s="1"/>
  <c r="G741" i="11" s="1"/>
  <c r="I741" i="11" s="1"/>
  <c r="M75" i="13"/>
  <c r="M64" i="13"/>
  <c r="M37" i="12"/>
  <c r="H30" i="36" s="1"/>
  <c r="H24" i="24"/>
  <c r="M33" i="12"/>
  <c r="R233" i="13"/>
  <c r="N178" i="11"/>
  <c r="N302" i="11"/>
  <c r="N426" i="11" s="1"/>
  <c r="K26" i="16"/>
  <c r="K28" i="16" s="1"/>
  <c r="P35" i="12"/>
  <c r="P46" i="12"/>
  <c r="P47" i="12" s="1"/>
  <c r="N201" i="11"/>
  <c r="N325" i="11"/>
  <c r="N449" i="11" s="1"/>
  <c r="I19" i="33"/>
  <c r="M126" i="12"/>
  <c r="H24" i="33"/>
  <c r="N119" i="12"/>
  <c r="J19" i="26"/>
  <c r="I24" i="26"/>
  <c r="Q250" i="11"/>
  <c r="Q374" i="11"/>
  <c r="Q498" i="11" s="1"/>
  <c r="G746" i="11" s="1"/>
  <c r="I746" i="11" s="1"/>
  <c r="N285" i="11"/>
  <c r="N409" i="11" s="1"/>
  <c r="N161" i="11"/>
  <c r="K21" i="19"/>
  <c r="K61" i="12"/>
  <c r="P86" i="12"/>
  <c r="T331" i="13"/>
  <c r="M35" i="58"/>
  <c r="N35" i="58" s="1"/>
  <c r="K202" i="12"/>
  <c r="K217" i="12" s="1"/>
  <c r="N99" i="12"/>
  <c r="J23" i="19" s="1"/>
  <c r="J26" i="19" s="1"/>
  <c r="J27" i="19" s="1"/>
  <c r="J28" i="19" s="1"/>
  <c r="J29" i="19" s="1"/>
  <c r="Q124" i="13"/>
  <c r="Q451" i="13"/>
  <c r="Q336" i="13"/>
  <c r="Q227" i="11"/>
  <c r="Q351" i="11"/>
  <c r="Q475" i="11" s="1"/>
  <c r="G723" i="11" s="1"/>
  <c r="I723" i="11" s="1"/>
  <c r="S161" i="13"/>
  <c r="Q98" i="12"/>
  <c r="M23" i="18" s="1"/>
  <c r="E123" i="13"/>
  <c r="C326" i="13"/>
  <c r="C123" i="13" s="1"/>
  <c r="M137" i="11"/>
  <c r="M261" i="11"/>
  <c r="M385" i="11" s="1"/>
  <c r="Q359" i="11"/>
  <c r="Q483" i="11" s="1"/>
  <c r="G731" i="11" s="1"/>
  <c r="I731" i="11" s="1"/>
  <c r="Q235" i="11"/>
  <c r="N157" i="11"/>
  <c r="N281" i="11"/>
  <c r="N405" i="11" s="1"/>
  <c r="K29" i="25"/>
  <c r="K30" i="25" s="1"/>
  <c r="K31" i="25" s="1"/>
  <c r="P173" i="12"/>
  <c r="P98" i="12"/>
  <c r="L23" i="18" s="1"/>
  <c r="T233" i="13"/>
  <c r="T847" i="1"/>
  <c r="Q7" i="12" s="1"/>
  <c r="Q233" i="13"/>
  <c r="P266" i="13"/>
  <c r="P112" i="12"/>
  <c r="K22" i="19"/>
  <c r="L18" i="19"/>
  <c r="G29" i="32"/>
  <c r="G30" i="32" s="1"/>
  <c r="G31" i="32"/>
  <c r="L180" i="12"/>
  <c r="N104" i="12"/>
  <c r="J23" i="5"/>
  <c r="N105" i="12"/>
  <c r="J28" i="37" s="1"/>
  <c r="J59" i="93"/>
  <c r="J26" i="37"/>
  <c r="S146" i="1"/>
  <c r="S844" i="1"/>
  <c r="S682" i="1"/>
  <c r="S685" i="1" s="1"/>
  <c r="S854" i="1"/>
  <c r="P14" i="12" s="1"/>
  <c r="K24" i="21" s="1"/>
  <c r="O179" i="11"/>
  <c r="O303" i="11"/>
  <c r="O427" i="11" s="1"/>
  <c r="O101" i="12"/>
  <c r="K23" i="21" s="1"/>
  <c r="L39" i="12"/>
  <c r="J22" i="21"/>
  <c r="K18" i="21"/>
  <c r="O114" i="12"/>
  <c r="O128" i="12" s="1"/>
  <c r="J20" i="36" s="1"/>
  <c r="I96" i="93"/>
  <c r="I87" i="93"/>
  <c r="L12" i="93"/>
  <c r="K33" i="93"/>
  <c r="H74" i="12"/>
  <c r="E11" i="10" s="1"/>
  <c r="E16" i="11" s="1"/>
  <c r="G29" i="28"/>
  <c r="G30" i="28" s="1"/>
  <c r="G31" i="28" s="1"/>
  <c r="L176" i="12"/>
  <c r="R60" i="39"/>
  <c r="E194" i="11"/>
  <c r="E318" i="11" s="1"/>
  <c r="E442" i="11" s="1"/>
  <c r="E566" i="11" s="1"/>
  <c r="E690" i="11" s="1"/>
  <c r="P70" i="11"/>
  <c r="N70" i="11"/>
  <c r="Q70" i="11"/>
  <c r="M194" i="11"/>
  <c r="O70" i="11"/>
  <c r="H48" i="36"/>
  <c r="M204" i="11"/>
  <c r="M328" i="11"/>
  <c r="M452" i="11" s="1"/>
  <c r="P101" i="12"/>
  <c r="L23" i="21" s="1"/>
  <c r="N169" i="12"/>
  <c r="N183" i="12" s="1"/>
  <c r="I27" i="21"/>
  <c r="I28" i="21" s="1"/>
  <c r="I29" i="21" s="1"/>
  <c r="M145" i="11"/>
  <c r="M269" i="11"/>
  <c r="M393" i="11" s="1"/>
  <c r="N121" i="12" l="1"/>
  <c r="I24" i="28"/>
  <c r="I22" i="24"/>
  <c r="J18" i="24"/>
  <c r="G95" i="93"/>
  <c r="G97" i="93" s="1"/>
  <c r="G86" i="93"/>
  <c r="G88" i="93" s="1"/>
  <c r="G71" i="93"/>
  <c r="G78" i="93"/>
  <c r="N326" i="11"/>
  <c r="N450" i="11" s="1"/>
  <c r="N202" i="11"/>
  <c r="P131" i="12"/>
  <c r="L21" i="19"/>
  <c r="K62" i="12"/>
  <c r="Q86" i="12"/>
  <c r="K205" i="12" s="1"/>
  <c r="M293" i="11"/>
  <c r="M417" i="11" s="1"/>
  <c r="M169" i="11"/>
  <c r="R173" i="12"/>
  <c r="M29" i="25"/>
  <c r="C34" i="25"/>
  <c r="N328" i="11"/>
  <c r="N452" i="11" s="1"/>
  <c r="N204" i="11"/>
  <c r="K22" i="21"/>
  <c r="L18" i="21"/>
  <c r="P114" i="12"/>
  <c r="P303" i="11"/>
  <c r="P427" i="11" s="1"/>
  <c r="P179" i="11"/>
  <c r="N137" i="11"/>
  <c r="N261" i="11"/>
  <c r="N385" i="11" s="1"/>
  <c r="O325" i="11"/>
  <c r="O449" i="11" s="1"/>
  <c r="O201" i="11"/>
  <c r="S234" i="13"/>
  <c r="H40" i="93"/>
  <c r="H38" i="93" s="1"/>
  <c r="H37" i="93" s="1"/>
  <c r="H29" i="37"/>
  <c r="H31" i="37" s="1"/>
  <c r="S335" i="13"/>
  <c r="M37" i="58"/>
  <c r="N37" i="58" s="1"/>
  <c r="D741" i="1"/>
  <c r="E90" i="1"/>
  <c r="M58" i="52"/>
  <c r="U416" i="1"/>
  <c r="N148" i="11"/>
  <c r="N272" i="11"/>
  <c r="N396" i="11" s="1"/>
  <c r="N139" i="11"/>
  <c r="N263" i="11"/>
  <c r="N387" i="11" s="1"/>
  <c r="M210" i="11"/>
  <c r="M334" i="11"/>
  <c r="M458" i="11" s="1"/>
  <c r="Q101" i="12"/>
  <c r="M23" i="21" s="1"/>
  <c r="S340" i="13"/>
  <c r="Q24" i="12" s="1"/>
  <c r="L26" i="28" s="1"/>
  <c r="L28" i="28" s="1"/>
  <c r="T339" i="13"/>
  <c r="T340" i="13" s="1"/>
  <c r="S649" i="1"/>
  <c r="S650" i="1" s="1"/>
  <c r="S724" i="1"/>
  <c r="S725" i="1" s="1"/>
  <c r="S698" i="1"/>
  <c r="S711" i="1"/>
  <c r="S712" i="1" s="1"/>
  <c r="Q248" i="11"/>
  <c r="Q372" i="11"/>
  <c r="Q496" i="11" s="1"/>
  <c r="G744" i="11" s="1"/>
  <c r="I744" i="11" s="1"/>
  <c r="M122" i="12"/>
  <c r="H24" i="29"/>
  <c r="K27" i="20"/>
  <c r="K28" i="20" s="1"/>
  <c r="K29" i="20"/>
  <c r="P168" i="12"/>
  <c r="Q212" i="11"/>
  <c r="Q336" i="11"/>
  <c r="Q460" i="11" s="1"/>
  <c r="G708" i="11" s="1"/>
  <c r="I708" i="11" s="1"/>
  <c r="U851" i="1"/>
  <c r="R11" i="12" s="1"/>
  <c r="U647" i="1"/>
  <c r="D647" i="1" s="1"/>
  <c r="F80" i="1" s="1"/>
  <c r="F79" i="1" s="1"/>
  <c r="H80" i="1"/>
  <c r="T234" i="13"/>
  <c r="L29" i="25"/>
  <c r="L30" i="25" s="1"/>
  <c r="L31" i="25" s="1"/>
  <c r="Q173" i="12"/>
  <c r="O286" i="11"/>
  <c r="O410" i="11" s="1"/>
  <c r="O162" i="11"/>
  <c r="J194" i="38"/>
  <c r="J195" i="38" s="1"/>
  <c r="J192" i="38"/>
  <c r="U849" i="1"/>
  <c r="R9" i="12" s="1"/>
  <c r="H78" i="1"/>
  <c r="N260" i="11"/>
  <c r="N384" i="11" s="1"/>
  <c r="N136" i="11"/>
  <c r="O169" i="12"/>
  <c r="J27" i="21"/>
  <c r="J28" i="21" s="1"/>
  <c r="J29" i="21" s="1"/>
  <c r="N174" i="12"/>
  <c r="I31" i="26"/>
  <c r="I29" i="26"/>
  <c r="I30" i="26" s="1"/>
  <c r="L21" i="21"/>
  <c r="M62" i="12"/>
  <c r="Q88" i="12"/>
  <c r="M205" i="12" s="1"/>
  <c r="N203" i="11"/>
  <c r="N327" i="11"/>
  <c r="N451" i="11" s="1"/>
  <c r="L21" i="5"/>
  <c r="H62" i="12"/>
  <c r="Q32" i="12"/>
  <c r="Q83" i="12"/>
  <c r="Q44" i="12"/>
  <c r="Q49" i="12" s="1"/>
  <c r="Q230" i="11"/>
  <c r="Q354" i="11"/>
  <c r="Q478" i="11" s="1"/>
  <c r="G726" i="11" s="1"/>
  <c r="I726" i="11" s="1"/>
  <c r="M292" i="11"/>
  <c r="M416" i="11" s="1"/>
  <c r="M168" i="11"/>
  <c r="M59" i="52"/>
  <c r="U427" i="1"/>
  <c r="K27" i="18"/>
  <c r="K28" i="18" s="1"/>
  <c r="K29" i="18"/>
  <c r="Q252" i="11"/>
  <c r="Q376" i="11"/>
  <c r="Q500" i="11" s="1"/>
  <c r="G748" i="11" s="1"/>
  <c r="I748" i="11" s="1"/>
  <c r="E163" i="11"/>
  <c r="E287" i="11" s="1"/>
  <c r="E411" i="11" s="1"/>
  <c r="E535" i="11" s="1"/>
  <c r="E659" i="11" s="1"/>
  <c r="Q39" i="11"/>
  <c r="O163" i="11"/>
  <c r="P39" i="11"/>
  <c r="M7" i="24"/>
  <c r="U29" i="1" s="1"/>
  <c r="T29" i="1"/>
  <c r="O146" i="11"/>
  <c r="O270" i="11"/>
  <c r="O394" i="11" s="1"/>
  <c r="N181" i="11"/>
  <c r="N305" i="11"/>
  <c r="N429" i="11" s="1"/>
  <c r="R337" i="13"/>
  <c r="Q342" i="13"/>
  <c r="N304" i="11"/>
  <c r="N428" i="11" s="1"/>
  <c r="N180" i="11"/>
  <c r="U847" i="1"/>
  <c r="R7" i="12" s="1"/>
  <c r="H62" i="1"/>
  <c r="H57" i="1" s="1"/>
  <c r="N48" i="12"/>
  <c r="N45" i="12"/>
  <c r="R166" i="12"/>
  <c r="K27" i="19"/>
  <c r="K28" i="19" s="1"/>
  <c r="K29" i="19" s="1"/>
  <c r="P167" i="12"/>
  <c r="N145" i="11"/>
  <c r="N269" i="11"/>
  <c r="N393" i="11" s="1"/>
  <c r="Q20" i="12"/>
  <c r="C269" i="13"/>
  <c r="F120" i="13" s="1"/>
  <c r="J26" i="35"/>
  <c r="J28" i="35" s="1"/>
  <c r="O36" i="12"/>
  <c r="T146" i="1"/>
  <c r="T844" i="1"/>
  <c r="T137" i="13"/>
  <c r="L180" i="38"/>
  <c r="L181" i="38" s="1"/>
  <c r="L178" i="38"/>
  <c r="N182" i="11"/>
  <c r="N306" i="11"/>
  <c r="N430" i="11" s="1"/>
  <c r="R451" i="13"/>
  <c r="R336" i="13"/>
  <c r="R124" i="13"/>
  <c r="S60" i="39"/>
  <c r="N135" i="11"/>
  <c r="N259" i="11"/>
  <c r="N383" i="11" s="1"/>
  <c r="P52" i="38"/>
  <c r="P53" i="38"/>
  <c r="P55" i="38" s="1"/>
  <c r="N150" i="11"/>
  <c r="N274" i="11"/>
  <c r="N398" i="11" s="1"/>
  <c r="J24" i="5"/>
  <c r="J26" i="5" s="1"/>
  <c r="O31" i="12"/>
  <c r="O43" i="12"/>
  <c r="M30" i="29"/>
  <c r="M31" i="29" s="1"/>
  <c r="N24" i="29"/>
  <c r="N37" i="12"/>
  <c r="I30" i="36" s="1"/>
  <c r="I24" i="24"/>
  <c r="I26" i="24" s="1"/>
  <c r="I46" i="24" s="1"/>
  <c r="N33" i="12"/>
  <c r="N39" i="12" s="1"/>
  <c r="O275" i="11"/>
  <c r="O399" i="11" s="1"/>
  <c r="O151" i="11"/>
  <c r="U709" i="1"/>
  <c r="D709" i="1" s="1"/>
  <c r="F87" i="1" s="1"/>
  <c r="H87" i="1"/>
  <c r="P171" i="12"/>
  <c r="K27" i="23"/>
  <c r="K28" i="23" s="1"/>
  <c r="K29" i="23" s="1"/>
  <c r="M39" i="12"/>
  <c r="R234" i="13"/>
  <c r="Q266" i="13"/>
  <c r="K204" i="12"/>
  <c r="Q99" i="12"/>
  <c r="M23" i="19" s="1"/>
  <c r="P99" i="12"/>
  <c r="L23" i="19" s="1"/>
  <c r="L26" i="19" s="1"/>
  <c r="O119" i="12"/>
  <c r="K19" i="26"/>
  <c r="J24" i="26"/>
  <c r="K26" i="35"/>
  <c r="K28" i="35" s="1"/>
  <c r="K46" i="35" s="1"/>
  <c r="P36" i="12"/>
  <c r="K26" i="21"/>
  <c r="S843" i="1"/>
  <c r="P4" i="12"/>
  <c r="M175" i="38"/>
  <c r="M177" i="38" s="1"/>
  <c r="J18" i="28"/>
  <c r="J19" i="28" s="1"/>
  <c r="K75" i="12"/>
  <c r="E45" i="10" s="1"/>
  <c r="E50" i="11" s="1"/>
  <c r="K219" i="12"/>
  <c r="O104" i="12"/>
  <c r="M26" i="16"/>
  <c r="M28" i="16" s="1"/>
  <c r="N149" i="11"/>
  <c r="N273" i="11"/>
  <c r="N397" i="11" s="1"/>
  <c r="E172" i="11"/>
  <c r="E296" i="11" s="1"/>
  <c r="E420" i="11" s="1"/>
  <c r="E544" i="11" s="1"/>
  <c r="E668" i="11" s="1"/>
  <c r="N48" i="11"/>
  <c r="N129" i="11" s="1"/>
  <c r="J44" i="93" s="1"/>
  <c r="J57" i="93" s="1"/>
  <c r="P48" i="11"/>
  <c r="Q48" i="11"/>
  <c r="M172" i="11"/>
  <c r="O48" i="11"/>
  <c r="H26" i="24"/>
  <c r="H46" i="24" s="1"/>
  <c r="P110" i="12"/>
  <c r="P128" i="12" s="1"/>
  <c r="K20" i="36" s="1"/>
  <c r="K22" i="17"/>
  <c r="L18" i="17"/>
  <c r="N160" i="11"/>
  <c r="N284" i="11"/>
  <c r="N408" i="11" s="1"/>
  <c r="N159" i="11"/>
  <c r="N283" i="11"/>
  <c r="N407" i="11" s="1"/>
  <c r="R30" i="12"/>
  <c r="M26" i="34" s="1"/>
  <c r="M28" i="34" s="1"/>
  <c r="C35" i="34" s="1"/>
  <c r="C36" i="34" s="1"/>
  <c r="D24" i="39" s="1"/>
  <c r="C440" i="13"/>
  <c r="F130" i="13" s="1"/>
  <c r="S419" i="1"/>
  <c r="S422" i="1" s="1"/>
  <c r="M295" i="11"/>
  <c r="M419" i="11" s="1"/>
  <c r="M171" i="11"/>
  <c r="N186" i="12"/>
  <c r="N262" i="11"/>
  <c r="N386" i="11" s="1"/>
  <c r="N138" i="11"/>
  <c r="O76" i="38"/>
  <c r="N78" i="38"/>
  <c r="T55" i="39"/>
  <c r="T57" i="39" s="1"/>
  <c r="H31" i="32"/>
  <c r="M180" i="12"/>
  <c r="H29" i="32"/>
  <c r="H30" i="32" s="1"/>
  <c r="C34" i="32"/>
  <c r="U845" i="1"/>
  <c r="R5" i="12" s="1"/>
  <c r="H39" i="1"/>
  <c r="H35" i="1" s="1"/>
  <c r="O186" i="12"/>
  <c r="L22" i="20"/>
  <c r="M18" i="20"/>
  <c r="Q113" i="12"/>
  <c r="M144" i="11"/>
  <c r="M268" i="11"/>
  <c r="M392" i="11" s="1"/>
  <c r="M123" i="12"/>
  <c r="I19" i="30"/>
  <c r="M188" i="11"/>
  <c r="M312" i="11"/>
  <c r="M436" i="11" s="1"/>
  <c r="E21" i="39"/>
  <c r="F285" i="38" s="1"/>
  <c r="J27" i="17"/>
  <c r="J28" i="17" s="1"/>
  <c r="O165" i="12"/>
  <c r="O183" i="12" s="1"/>
  <c r="J29" i="17"/>
  <c r="I32" i="36"/>
  <c r="I48" i="36" s="1"/>
  <c r="I204" i="12"/>
  <c r="I219" i="12" s="1"/>
  <c r="P97" i="12"/>
  <c r="L23" i="17" s="1"/>
  <c r="L26" i="17" s="1"/>
  <c r="L177" i="12"/>
  <c r="G29" i="29"/>
  <c r="G30" i="29" s="1"/>
  <c r="G31" i="29" s="1"/>
  <c r="C34" i="29"/>
  <c r="T854" i="1"/>
  <c r="Q14" i="12" s="1"/>
  <c r="L24" i="21" s="1"/>
  <c r="L26" i="21" s="1"/>
  <c r="T682" i="1"/>
  <c r="T685" i="1" s="1"/>
  <c r="M75" i="12"/>
  <c r="E67" i="10" s="1"/>
  <c r="E72" i="11" s="1"/>
  <c r="M219" i="12"/>
  <c r="K26" i="37"/>
  <c r="K59" i="93"/>
  <c r="Q233" i="11"/>
  <c r="Q357" i="11"/>
  <c r="Q481" i="11" s="1"/>
  <c r="G729" i="11" s="1"/>
  <c r="I729" i="11" s="1"/>
  <c r="E173" i="11"/>
  <c r="E297" i="11" s="1"/>
  <c r="E421" i="11" s="1"/>
  <c r="E545" i="11" s="1"/>
  <c r="E669" i="11" s="1"/>
  <c r="O49" i="11"/>
  <c r="P49" i="11"/>
  <c r="N173" i="11"/>
  <c r="Q49" i="11"/>
  <c r="M80" i="38"/>
  <c r="M81" i="38"/>
  <c r="M83" i="38" s="1"/>
  <c r="O131" i="12"/>
  <c r="J76" i="12"/>
  <c r="E35" i="10" s="1"/>
  <c r="E40" i="11" s="1"/>
  <c r="J220" i="12"/>
  <c r="J221" i="12" s="1"/>
  <c r="N22" i="18" s="1"/>
  <c r="C32" i="18" s="1"/>
  <c r="E195" i="11"/>
  <c r="E319" i="11" s="1"/>
  <c r="E443" i="11" s="1"/>
  <c r="E567" i="11" s="1"/>
  <c r="E691" i="11" s="1"/>
  <c r="Q71" i="11"/>
  <c r="O71" i="11"/>
  <c r="N195" i="11"/>
  <c r="P71" i="11"/>
  <c r="U855" i="1"/>
  <c r="R15" i="12" s="1"/>
  <c r="H84" i="1"/>
  <c r="M170" i="11"/>
  <c r="M294" i="11"/>
  <c r="M418" i="11" s="1"/>
  <c r="N191" i="11"/>
  <c r="N315" i="11"/>
  <c r="N439" i="11" s="1"/>
  <c r="H29" i="27"/>
  <c r="H30" i="27" s="1"/>
  <c r="H31" i="27" s="1"/>
  <c r="M175" i="12"/>
  <c r="C34" i="27"/>
  <c r="J21" i="36"/>
  <c r="M176" i="12"/>
  <c r="H29" i="28"/>
  <c r="H30" i="28" s="1"/>
  <c r="H31" i="28" s="1"/>
  <c r="T451" i="13"/>
  <c r="T336" i="13"/>
  <c r="T124" i="13"/>
  <c r="Q335" i="11"/>
  <c r="Q459" i="11" s="1"/>
  <c r="G707" i="11" s="1"/>
  <c r="I707" i="11" s="1"/>
  <c r="Q211" i="11"/>
  <c r="N156" i="11"/>
  <c r="N280" i="11"/>
  <c r="N404" i="11" s="1"/>
  <c r="E125" i="13"/>
  <c r="C362" i="13"/>
  <c r="C125" i="13" s="1"/>
  <c r="N200" i="11"/>
  <c r="N324" i="11"/>
  <c r="N448" i="11" s="1"/>
  <c r="Q240" i="11"/>
  <c r="Q364" i="11"/>
  <c r="Q488" i="11" s="1"/>
  <c r="G736" i="11" s="1"/>
  <c r="I736" i="11" s="1"/>
  <c r="E140" i="11"/>
  <c r="E264" i="11" s="1"/>
  <c r="E388" i="11" s="1"/>
  <c r="E512" i="11" s="1"/>
  <c r="E636" i="11" s="1"/>
  <c r="Q16" i="11"/>
  <c r="O16" i="11"/>
  <c r="O129" i="11" s="1"/>
  <c r="K44" i="93" s="1"/>
  <c r="K57" i="93" s="1"/>
  <c r="P16" i="11"/>
  <c r="N140" i="11"/>
  <c r="H31" i="33"/>
  <c r="H29" i="33"/>
  <c r="H30" i="33" s="1"/>
  <c r="M181" i="12"/>
  <c r="O161" i="11"/>
  <c r="O285" i="11"/>
  <c r="O409" i="11" s="1"/>
  <c r="N205" i="11"/>
  <c r="N329" i="11"/>
  <c r="N453" i="11" s="1"/>
  <c r="I75" i="12"/>
  <c r="E23" i="10" s="1"/>
  <c r="E28" i="11" s="1"/>
  <c r="M177" i="11"/>
  <c r="M301" i="11"/>
  <c r="M425" i="11" s="1"/>
  <c r="M155" i="11"/>
  <c r="M279" i="11"/>
  <c r="M403" i="11" s="1"/>
  <c r="K250" i="38"/>
  <c r="K251" i="38" s="1"/>
  <c r="K248" i="38"/>
  <c r="I21" i="37"/>
  <c r="I21" i="93"/>
  <c r="I39" i="93" s="1"/>
  <c r="P34" i="12"/>
  <c r="P40" i="12" s="1"/>
  <c r="K21" i="24"/>
  <c r="P38" i="12"/>
  <c r="K27" i="36" s="1"/>
  <c r="Q109" i="12"/>
  <c r="L22" i="5"/>
  <c r="M18" i="5"/>
  <c r="N317" i="11"/>
  <c r="N441" i="11" s="1"/>
  <c r="N193" i="11"/>
  <c r="U722" i="1"/>
  <c r="D722" i="1" s="1"/>
  <c r="F88" i="1" s="1"/>
  <c r="H88" i="1"/>
  <c r="L28" i="93"/>
  <c r="M5" i="93"/>
  <c r="M28" i="93" s="1"/>
  <c r="S141" i="13"/>
  <c r="S289" i="13"/>
  <c r="N271" i="11"/>
  <c r="N395" i="11" s="1"/>
  <c r="N147" i="11"/>
  <c r="N189" i="11"/>
  <c r="N313" i="11"/>
  <c r="N437" i="11" s="1"/>
  <c r="T419" i="1"/>
  <c r="T422" i="1" s="1"/>
  <c r="U696" i="1"/>
  <c r="D696" i="1" s="1"/>
  <c r="F86" i="1" s="1"/>
  <c r="H86" i="1"/>
  <c r="J29" i="36"/>
  <c r="J23" i="24"/>
  <c r="M12" i="93"/>
  <c r="M33" i="93" s="1"/>
  <c r="L33" i="93"/>
  <c r="L21" i="17"/>
  <c r="I62" i="12"/>
  <c r="Q84" i="12"/>
  <c r="I205" i="12" s="1"/>
  <c r="O157" i="11"/>
  <c r="O281" i="11"/>
  <c r="O405" i="11" s="1"/>
  <c r="M71" i="13"/>
  <c r="M83" i="13"/>
  <c r="M84" i="13" s="1"/>
  <c r="M68" i="13"/>
  <c r="N67" i="13" s="1"/>
  <c r="M166" i="11"/>
  <c r="M290" i="11"/>
  <c r="M414" i="11" s="1"/>
  <c r="N134" i="11"/>
  <c r="N258" i="11"/>
  <c r="N382" i="11" s="1"/>
  <c r="O178" i="11"/>
  <c r="O302" i="11"/>
  <c r="O426" i="11" s="1"/>
  <c r="M323" i="11"/>
  <c r="M447" i="11" s="1"/>
  <c r="M199" i="11"/>
  <c r="N194" i="11"/>
  <c r="N318" i="11"/>
  <c r="N442" i="11" s="1"/>
  <c r="J96" i="93"/>
  <c r="J87" i="93"/>
  <c r="Q112" i="12"/>
  <c r="L22" i="19"/>
  <c r="M18" i="19"/>
  <c r="T266" i="13"/>
  <c r="T161" i="13"/>
  <c r="J19" i="33"/>
  <c r="N126" i="12"/>
  <c r="I24" i="33"/>
  <c r="P96" i="12"/>
  <c r="N158" i="11"/>
  <c r="N282" i="11"/>
  <c r="N406" i="11" s="1"/>
  <c r="O192" i="11"/>
  <c r="O316" i="11"/>
  <c r="O440" i="11" s="1"/>
  <c r="O167" i="11"/>
  <c r="O291" i="11"/>
  <c r="O415" i="11" s="1"/>
  <c r="T16" i="13"/>
  <c r="U770" i="1"/>
  <c r="U720" i="1"/>
  <c r="G88" i="1" s="1"/>
  <c r="U627" i="1"/>
  <c r="U335" i="1"/>
  <c r="U428" i="1"/>
  <c r="U313" i="1"/>
  <c r="U759" i="1"/>
  <c r="U707" i="1"/>
  <c r="G87" i="1" s="1"/>
  <c r="U645" i="1"/>
  <c r="U439" i="1"/>
  <c r="U680" i="1"/>
  <c r="U417" i="1"/>
  <c r="U324" i="1"/>
  <c r="U168" i="1"/>
  <c r="U156" i="1"/>
  <c r="U253" i="1"/>
  <c r="U241" i="1"/>
  <c r="U144" i="1"/>
  <c r="U22" i="1"/>
  <c r="U229" i="1"/>
  <c r="T629" i="1"/>
  <c r="T632" i="1" s="1"/>
  <c r="T848" i="1"/>
  <c r="Q8" i="12" s="1"/>
  <c r="L24" i="18" s="1"/>
  <c r="L26" i="18" s="1"/>
  <c r="Q222" i="11"/>
  <c r="Q346" i="11"/>
  <c r="Q470" i="11" s="1"/>
  <c r="G718" i="11" s="1"/>
  <c r="I718" i="11" s="1"/>
  <c r="Q368" i="11"/>
  <c r="Q492" i="11" s="1"/>
  <c r="G740" i="11" s="1"/>
  <c r="I740" i="11" s="1"/>
  <c r="Q244" i="11"/>
  <c r="I27" i="5"/>
  <c r="I28" i="5" s="1"/>
  <c r="I29" i="5"/>
  <c r="T179" i="13"/>
  <c r="D236" i="13"/>
  <c r="H219" i="12"/>
  <c r="H75" i="12"/>
  <c r="E12" i="10" s="1"/>
  <c r="E17" i="11" s="1"/>
  <c r="P164" i="12"/>
  <c r="M133" i="11"/>
  <c r="M257" i="11"/>
  <c r="M381" i="11" s="1"/>
  <c r="H45" i="24"/>
  <c r="H47" i="24" s="1"/>
  <c r="H27" i="24"/>
  <c r="H28" i="24" s="1"/>
  <c r="T141" i="13"/>
  <c r="T289" i="13"/>
  <c r="Q116" i="12"/>
  <c r="L22" i="23"/>
  <c r="M18" i="23"/>
  <c r="O190" i="11"/>
  <c r="O314" i="11"/>
  <c r="O438" i="11" s="1"/>
  <c r="L27" i="18" l="1"/>
  <c r="L28" i="18" s="1"/>
  <c r="L29" i="18" s="1"/>
  <c r="O121" i="12"/>
  <c r="J24" i="28"/>
  <c r="J27" i="5"/>
  <c r="J28" i="5" s="1"/>
  <c r="J29" i="5"/>
  <c r="N155" i="11"/>
  <c r="N279" i="11"/>
  <c r="N403" i="11" s="1"/>
  <c r="O193" i="11"/>
  <c r="O317" i="11"/>
  <c r="O441" i="11" s="1"/>
  <c r="N177" i="11"/>
  <c r="N301" i="11"/>
  <c r="N425" i="11" s="1"/>
  <c r="O191" i="11"/>
  <c r="O315" i="11"/>
  <c r="O439" i="11" s="1"/>
  <c r="U231" i="1"/>
  <c r="D231" i="1" s="1"/>
  <c r="F46" i="1" s="1"/>
  <c r="G46" i="1"/>
  <c r="U846" i="1"/>
  <c r="R6" i="12" s="1"/>
  <c r="M24" i="17" s="1"/>
  <c r="C33" i="17" s="1"/>
  <c r="G62" i="1"/>
  <c r="L27" i="19"/>
  <c r="L28" i="19" s="1"/>
  <c r="L29" i="19" s="1"/>
  <c r="Q167" i="12"/>
  <c r="R109" i="12"/>
  <c r="M22" i="5"/>
  <c r="U854" i="1"/>
  <c r="R14" i="12" s="1"/>
  <c r="M24" i="21" s="1"/>
  <c r="C33" i="21" s="1"/>
  <c r="C34" i="21" s="1"/>
  <c r="D11" i="39" s="1"/>
  <c r="U682" i="1"/>
  <c r="U848" i="1"/>
  <c r="R8" i="12" s="1"/>
  <c r="M24" i="18" s="1"/>
  <c r="U629" i="1"/>
  <c r="G78" i="1"/>
  <c r="P316" i="11"/>
  <c r="P440" i="11" s="1"/>
  <c r="P192" i="11"/>
  <c r="Q164" i="12"/>
  <c r="O329" i="11"/>
  <c r="O453" i="11" s="1"/>
  <c r="O205" i="11"/>
  <c r="M21" i="21"/>
  <c r="M63" i="12"/>
  <c r="M77" i="12" s="1"/>
  <c r="E69" i="10" s="1"/>
  <c r="E74" i="11" s="1"/>
  <c r="R88" i="12"/>
  <c r="R101" i="12" s="1"/>
  <c r="T15" i="12" s="1"/>
  <c r="J21" i="37"/>
  <c r="J21" i="93"/>
  <c r="J39" i="93" s="1"/>
  <c r="G84" i="1"/>
  <c r="Q97" i="12"/>
  <c r="M23" i="17" s="1"/>
  <c r="M26" i="17" s="1"/>
  <c r="M22" i="20"/>
  <c r="R113" i="12"/>
  <c r="C22" i="39"/>
  <c r="C37" i="32"/>
  <c r="C39" i="32" s="1"/>
  <c r="K27" i="17"/>
  <c r="K28" i="17" s="1"/>
  <c r="K29" i="17" s="1"/>
  <c r="P165" i="12"/>
  <c r="O180" i="11"/>
  <c r="O304" i="11"/>
  <c r="O428" i="11" s="1"/>
  <c r="P270" i="11"/>
  <c r="P394" i="11" s="1"/>
  <c r="P146" i="11"/>
  <c r="M177" i="12"/>
  <c r="H29" i="29"/>
  <c r="H30" i="29" s="1"/>
  <c r="H31" i="29" s="1"/>
  <c r="R24" i="12"/>
  <c r="C341" i="13"/>
  <c r="F124" i="13" s="1"/>
  <c r="O272" i="11"/>
  <c r="O396" i="11" s="1"/>
  <c r="O148" i="11"/>
  <c r="H47" i="37"/>
  <c r="C15" i="39"/>
  <c r="C37" i="25"/>
  <c r="C39" i="25" s="1"/>
  <c r="K76" i="12"/>
  <c r="E46" i="10" s="1"/>
  <c r="E51" i="11" s="1"/>
  <c r="K220" i="12"/>
  <c r="K221" i="12" s="1"/>
  <c r="U243" i="1"/>
  <c r="D243" i="1" s="1"/>
  <c r="F47" i="1" s="1"/>
  <c r="G47" i="1"/>
  <c r="N257" i="11"/>
  <c r="N381" i="11" s="1"/>
  <c r="N133" i="11"/>
  <c r="U337" i="1"/>
  <c r="D337" i="1" s="1"/>
  <c r="G55" i="1"/>
  <c r="N66" i="13"/>
  <c r="H29" i="24"/>
  <c r="U844" i="1"/>
  <c r="U146" i="1"/>
  <c r="D146" i="1" s="1"/>
  <c r="F39" i="1" s="1"/>
  <c r="G39" i="1"/>
  <c r="U441" i="1"/>
  <c r="D441" i="1" s="1"/>
  <c r="G64" i="1"/>
  <c r="P302" i="11"/>
  <c r="P426" i="11" s="1"/>
  <c r="P178" i="11"/>
  <c r="O189" i="11"/>
  <c r="O313" i="11"/>
  <c r="O437" i="11" s="1"/>
  <c r="O140" i="11"/>
  <c r="O264" i="11"/>
  <c r="O388" i="11" s="1"/>
  <c r="O324" i="11"/>
  <c r="O448" i="11" s="1"/>
  <c r="O200" i="11"/>
  <c r="L27" i="20"/>
  <c r="L28" i="20" s="1"/>
  <c r="L29" i="20"/>
  <c r="Q168" i="12"/>
  <c r="O159" i="11"/>
  <c r="O283" i="11"/>
  <c r="O407" i="11" s="1"/>
  <c r="E174" i="11"/>
  <c r="E298" i="11" s="1"/>
  <c r="E422" i="11" s="1"/>
  <c r="E546" i="11" s="1"/>
  <c r="E670" i="11" s="1"/>
  <c r="P50" i="11"/>
  <c r="Q50" i="11"/>
  <c r="O174" i="11"/>
  <c r="L26" i="16"/>
  <c r="L28" i="16" s="1"/>
  <c r="D36" i="16" s="1"/>
  <c r="Q35" i="12"/>
  <c r="Q46" i="12"/>
  <c r="Q47" i="12" s="1"/>
  <c r="T649" i="1"/>
  <c r="T650" i="1" s="1"/>
  <c r="T724" i="1"/>
  <c r="T725" i="1" s="1"/>
  <c r="T698" i="1"/>
  <c r="T711" i="1"/>
  <c r="T712" i="1" s="1"/>
  <c r="U419" i="1"/>
  <c r="H95" i="93"/>
  <c r="H97" i="93" s="1"/>
  <c r="H86" i="93"/>
  <c r="H88" i="93" s="1"/>
  <c r="H71" i="93"/>
  <c r="H78" i="93"/>
  <c r="Q303" i="11"/>
  <c r="Q427" i="11" s="1"/>
  <c r="G675" i="11" s="1"/>
  <c r="I675" i="11" s="1"/>
  <c r="Q179" i="11"/>
  <c r="N24" i="25"/>
  <c r="M30" i="25"/>
  <c r="M31" i="25" s="1"/>
  <c r="P314" i="11"/>
  <c r="P438" i="11" s="1"/>
  <c r="P190" i="11"/>
  <c r="O158" i="11"/>
  <c r="O282" i="11"/>
  <c r="O406" i="11" s="1"/>
  <c r="O147" i="11"/>
  <c r="O271" i="11"/>
  <c r="O395" i="11" s="1"/>
  <c r="P175" i="38"/>
  <c r="M18" i="28"/>
  <c r="O195" i="11"/>
  <c r="O319" i="11"/>
  <c r="O443" i="11" s="1"/>
  <c r="N188" i="11"/>
  <c r="N312" i="11"/>
  <c r="N436" i="11" s="1"/>
  <c r="O273" i="11"/>
  <c r="O397" i="11" s="1"/>
  <c r="O149" i="11"/>
  <c r="U649" i="1"/>
  <c r="U724" i="1"/>
  <c r="U698" i="1"/>
  <c r="D698" i="1" s="1"/>
  <c r="U711" i="1"/>
  <c r="O327" i="11"/>
  <c r="O451" i="11" s="1"/>
  <c r="O203" i="11"/>
  <c r="P162" i="11"/>
  <c r="P286" i="11"/>
  <c r="P410" i="11" s="1"/>
  <c r="M26" i="21"/>
  <c r="K21" i="93"/>
  <c r="K39" i="93" s="1"/>
  <c r="K21" i="37"/>
  <c r="E141" i="11"/>
  <c r="E265" i="11" s="1"/>
  <c r="E389" i="11" s="1"/>
  <c r="E513" i="11" s="1"/>
  <c r="E637" i="11" s="1"/>
  <c r="Q17" i="11"/>
  <c r="O141" i="11"/>
  <c r="P17" i="11"/>
  <c r="P129" i="11" s="1"/>
  <c r="L44" i="93" s="1"/>
  <c r="L57" i="93" s="1"/>
  <c r="U255" i="1"/>
  <c r="D255" i="1" s="1"/>
  <c r="F48" i="1" s="1"/>
  <c r="G48" i="1"/>
  <c r="L23" i="5"/>
  <c r="P104" i="12"/>
  <c r="P105" i="12"/>
  <c r="L28" i="37" s="1"/>
  <c r="C19" i="39"/>
  <c r="C37" i="29"/>
  <c r="C39" i="29" s="1"/>
  <c r="N123" i="12"/>
  <c r="J19" i="30"/>
  <c r="N171" i="11"/>
  <c r="N295" i="11"/>
  <c r="N419" i="11" s="1"/>
  <c r="O284" i="11"/>
  <c r="O408" i="11" s="1"/>
  <c r="O160" i="11"/>
  <c r="M180" i="38"/>
  <c r="M181" i="38" s="1"/>
  <c r="M178" i="38"/>
  <c r="O174" i="12"/>
  <c r="J31" i="26"/>
  <c r="J29" i="26"/>
  <c r="J30" i="26" s="1"/>
  <c r="S235" i="13"/>
  <c r="R266" i="13"/>
  <c r="O48" i="12"/>
  <c r="O45" i="12"/>
  <c r="O259" i="11"/>
  <c r="O383" i="11" s="1"/>
  <c r="O135" i="11"/>
  <c r="N175" i="38"/>
  <c r="N177" i="38" s="1"/>
  <c r="K18" i="28"/>
  <c r="K19" i="28" s="1"/>
  <c r="R342" i="13"/>
  <c r="S337" i="13"/>
  <c r="T235" i="13"/>
  <c r="S266" i="13"/>
  <c r="J22" i="24"/>
  <c r="U850" i="1"/>
  <c r="R10" i="12" s="1"/>
  <c r="M24" i="19" s="1"/>
  <c r="C33" i="19" s="1"/>
  <c r="G80" i="1"/>
  <c r="M22" i="23"/>
  <c r="R116" i="12"/>
  <c r="O258" i="11"/>
  <c r="O382" i="11" s="1"/>
  <c r="O134" i="11"/>
  <c r="K96" i="93"/>
  <c r="K87" i="93"/>
  <c r="T60" i="39"/>
  <c r="N172" i="11"/>
  <c r="N296" i="11"/>
  <c r="N420" i="11" s="1"/>
  <c r="K24" i="5"/>
  <c r="K26" i="5" s="1"/>
  <c r="P31" i="12"/>
  <c r="P43" i="12"/>
  <c r="P119" i="12"/>
  <c r="L19" i="26"/>
  <c r="K24" i="26"/>
  <c r="P151" i="11"/>
  <c r="P275" i="11"/>
  <c r="P399" i="11" s="1"/>
  <c r="O37" i="12"/>
  <c r="J30" i="36" s="1"/>
  <c r="J32" i="36" s="1"/>
  <c r="J48" i="36" s="1"/>
  <c r="J24" i="24"/>
  <c r="J26" i="24" s="1"/>
  <c r="J46" i="24" s="1"/>
  <c r="O33" i="12"/>
  <c r="O39" i="12" s="1"/>
  <c r="Q4" i="12"/>
  <c r="T843" i="1"/>
  <c r="O269" i="11"/>
  <c r="O393" i="11" s="1"/>
  <c r="O145" i="11"/>
  <c r="P287" i="11"/>
  <c r="P411" i="11" s="1"/>
  <c r="P163" i="11"/>
  <c r="L26" i="37"/>
  <c r="L59" i="93"/>
  <c r="M220" i="12"/>
  <c r="M221" i="12" s="1"/>
  <c r="M76" i="12"/>
  <c r="E68" i="10" s="1"/>
  <c r="E73" i="11" s="1"/>
  <c r="O136" i="11"/>
  <c r="O260" i="11"/>
  <c r="O384" i="11" s="1"/>
  <c r="R86" i="12"/>
  <c r="R99" i="12" s="1"/>
  <c r="T11" i="12" s="1"/>
  <c r="K63" i="12"/>
  <c r="K77" i="12" s="1"/>
  <c r="E47" i="10" s="1"/>
  <c r="E52" i="11" s="1"/>
  <c r="M21" i="19"/>
  <c r="N210" i="11"/>
  <c r="N334" i="11"/>
  <c r="N458" i="11" s="1"/>
  <c r="P201" i="11"/>
  <c r="P325" i="11"/>
  <c r="P449" i="11" s="1"/>
  <c r="L22" i="21"/>
  <c r="M18" i="21"/>
  <c r="Q114" i="12"/>
  <c r="N169" i="11"/>
  <c r="N293" i="11"/>
  <c r="N417" i="11" s="1"/>
  <c r="K17" i="24"/>
  <c r="K18" i="24" s="1"/>
  <c r="I45" i="24"/>
  <c r="I47" i="24" s="1"/>
  <c r="I27" i="24"/>
  <c r="I28" i="24" s="1"/>
  <c r="I29" i="24"/>
  <c r="U772" i="1"/>
  <c r="G93" i="1"/>
  <c r="Q171" i="12"/>
  <c r="L27" i="23"/>
  <c r="L28" i="23" s="1"/>
  <c r="L29" i="23" s="1"/>
  <c r="I29" i="33"/>
  <c r="I30" i="33" s="1"/>
  <c r="I31" i="33" s="1"/>
  <c r="N181" i="12"/>
  <c r="U170" i="1"/>
  <c r="D170" i="1" s="1"/>
  <c r="F41" i="1" s="1"/>
  <c r="G41" i="1"/>
  <c r="U315" i="1"/>
  <c r="D315" i="1" s="1"/>
  <c r="G53" i="1"/>
  <c r="O280" i="11"/>
  <c r="O404" i="11" s="1"/>
  <c r="O156" i="11"/>
  <c r="O297" i="11"/>
  <c r="O421" i="11" s="1"/>
  <c r="O173" i="11"/>
  <c r="N80" i="38"/>
  <c r="N81" i="38"/>
  <c r="N83" i="38" s="1"/>
  <c r="O182" i="11"/>
  <c r="O306" i="11"/>
  <c r="O430" i="11" s="1"/>
  <c r="I29" i="37"/>
  <c r="I31" i="37" s="1"/>
  <c r="I47" i="37" s="1"/>
  <c r="I40" i="93"/>
  <c r="I38" i="93" s="1"/>
  <c r="I37" i="93" s="1"/>
  <c r="H205" i="12"/>
  <c r="Q96" i="12"/>
  <c r="K27" i="21"/>
  <c r="K28" i="21" s="1"/>
  <c r="K29" i="21" s="1"/>
  <c r="P169" i="12"/>
  <c r="P183" i="12" s="1"/>
  <c r="I29" i="28"/>
  <c r="I30" i="28" s="1"/>
  <c r="I31" i="28"/>
  <c r="N176" i="12"/>
  <c r="P186" i="12"/>
  <c r="P285" i="11"/>
  <c r="P409" i="11" s="1"/>
  <c r="P161" i="11"/>
  <c r="U761" i="1"/>
  <c r="D761" i="1" s="1"/>
  <c r="G92" i="1"/>
  <c r="O194" i="11"/>
  <c r="O318" i="11"/>
  <c r="O442" i="11" s="1"/>
  <c r="C290" i="13"/>
  <c r="D237" i="13"/>
  <c r="J180" i="13"/>
  <c r="U326" i="1"/>
  <c r="D326" i="1" s="1"/>
  <c r="G54" i="1"/>
  <c r="U430" i="1"/>
  <c r="G63" i="1"/>
  <c r="P291" i="11"/>
  <c r="P415" i="11" s="1"/>
  <c r="P167" i="11"/>
  <c r="K19" i="33"/>
  <c r="O126" i="12"/>
  <c r="J24" i="33"/>
  <c r="R112" i="12"/>
  <c r="M22" i="19"/>
  <c r="N199" i="11"/>
  <c r="N323" i="11"/>
  <c r="N447" i="11" s="1"/>
  <c r="N166" i="11"/>
  <c r="N290" i="11"/>
  <c r="N414" i="11" s="1"/>
  <c r="I76" i="12"/>
  <c r="E24" i="10" s="1"/>
  <c r="E29" i="11" s="1"/>
  <c r="I220" i="12"/>
  <c r="I221" i="12" s="1"/>
  <c r="E152" i="11"/>
  <c r="E276" i="11" s="1"/>
  <c r="E400" i="11" s="1"/>
  <c r="E524" i="11" s="1"/>
  <c r="E648" i="11" s="1"/>
  <c r="P28" i="11"/>
  <c r="Q28" i="11"/>
  <c r="O152" i="11"/>
  <c r="K21" i="36"/>
  <c r="N170" i="11"/>
  <c r="N294" i="11"/>
  <c r="N418" i="11" s="1"/>
  <c r="C8" i="39"/>
  <c r="N144" i="11"/>
  <c r="N268" i="11"/>
  <c r="N392" i="11" s="1"/>
  <c r="P76" i="38"/>
  <c r="O78" i="38"/>
  <c r="U55" i="39"/>
  <c r="U57" i="39" s="1"/>
  <c r="K29" i="36"/>
  <c r="K23" i="24"/>
  <c r="O181" i="11"/>
  <c r="O305" i="11"/>
  <c r="O429" i="11" s="1"/>
  <c r="L21" i="24"/>
  <c r="Q38" i="12"/>
  <c r="L27" i="36" s="1"/>
  <c r="Q34" i="12"/>
  <c r="Q40" i="12" s="1"/>
  <c r="O139" i="11"/>
  <c r="O263" i="11"/>
  <c r="O387" i="11" s="1"/>
  <c r="O204" i="11"/>
  <c r="O328" i="11"/>
  <c r="O452" i="11" s="1"/>
  <c r="O202" i="11"/>
  <c r="O326" i="11"/>
  <c r="O450" i="11" s="1"/>
  <c r="U158" i="1"/>
  <c r="D158" i="1" s="1"/>
  <c r="F40" i="1" s="1"/>
  <c r="G40" i="1"/>
  <c r="P281" i="11"/>
  <c r="P405" i="11" s="1"/>
  <c r="P157" i="11"/>
  <c r="C17" i="39"/>
  <c r="C37" i="27"/>
  <c r="C39" i="27" s="1"/>
  <c r="E164" i="11"/>
  <c r="E288" i="11" s="1"/>
  <c r="E412" i="11" s="1"/>
  <c r="E536" i="11" s="1"/>
  <c r="E660" i="11" s="1"/>
  <c r="P164" i="11"/>
  <c r="Q40" i="11"/>
  <c r="E196" i="11"/>
  <c r="E320" i="11" s="1"/>
  <c r="E444" i="11" s="1"/>
  <c r="E568" i="11" s="1"/>
  <c r="E692" i="11" s="1"/>
  <c r="Q72" i="11"/>
  <c r="O196" i="11"/>
  <c r="P72" i="11"/>
  <c r="M21" i="5"/>
  <c r="H63" i="12"/>
  <c r="H77" i="12" s="1"/>
  <c r="E14" i="10" s="1"/>
  <c r="E19" i="11" s="1"/>
  <c r="R32" i="12"/>
  <c r="R83" i="12"/>
  <c r="R96" i="12" s="1"/>
  <c r="R44" i="12"/>
  <c r="R49" i="12" s="1"/>
  <c r="T5" i="12"/>
  <c r="O138" i="11"/>
  <c r="O262" i="11"/>
  <c r="O386" i="11" s="1"/>
  <c r="Q110" i="12"/>
  <c r="L22" i="17"/>
  <c r="M18" i="17"/>
  <c r="M26" i="19"/>
  <c r="O274" i="11"/>
  <c r="O398" i="11" s="1"/>
  <c r="O150" i="11"/>
  <c r="J46" i="35"/>
  <c r="I63" i="12"/>
  <c r="I77" i="12" s="1"/>
  <c r="E25" i="10" s="1"/>
  <c r="E30" i="11" s="1"/>
  <c r="M21" i="17"/>
  <c r="D34" i="17" s="1"/>
  <c r="R84" i="12"/>
  <c r="R97" i="12" s="1"/>
  <c r="T7" i="12"/>
  <c r="N168" i="11"/>
  <c r="N292" i="11"/>
  <c r="N416" i="11" s="1"/>
  <c r="H76" i="12"/>
  <c r="E13" i="10" s="1"/>
  <c r="E18" i="11" s="1"/>
  <c r="H220" i="12"/>
  <c r="H221" i="12" s="1"/>
  <c r="R85" i="12"/>
  <c r="R98" i="12" s="1"/>
  <c r="T9" i="12" s="1"/>
  <c r="M21" i="18"/>
  <c r="J63" i="12"/>
  <c r="J77" i="12" s="1"/>
  <c r="E36" i="10" s="1"/>
  <c r="E41" i="11" s="1"/>
  <c r="S451" i="13"/>
  <c r="S336" i="13"/>
  <c r="S124" i="13"/>
  <c r="O137" i="11"/>
  <c r="O261" i="11"/>
  <c r="O385" i="11" s="1"/>
  <c r="I86" i="93" l="1"/>
  <c r="I88" i="93" s="1"/>
  <c r="I71" i="93"/>
  <c r="I95" i="93"/>
  <c r="I97" i="93" s="1"/>
  <c r="I78" i="93"/>
  <c r="K22" i="24"/>
  <c r="P121" i="12"/>
  <c r="K24" i="28"/>
  <c r="M59" i="93"/>
  <c r="M26" i="37"/>
  <c r="E165" i="11"/>
  <c r="E289" i="11" s="1"/>
  <c r="E413" i="11" s="1"/>
  <c r="E537" i="11" s="1"/>
  <c r="E661" i="11" s="1"/>
  <c r="Q165" i="11"/>
  <c r="R110" i="12"/>
  <c r="M22" i="17"/>
  <c r="R38" i="12"/>
  <c r="M27" i="36" s="1"/>
  <c r="R34" i="12"/>
  <c r="R40" i="12" s="1"/>
  <c r="M21" i="24"/>
  <c r="Q288" i="11"/>
  <c r="Q412" i="11" s="1"/>
  <c r="G660" i="11" s="1"/>
  <c r="I660" i="11" s="1"/>
  <c r="Q164" i="11"/>
  <c r="P139" i="11"/>
  <c r="P263" i="11"/>
  <c r="P387" i="11" s="1"/>
  <c r="F53" i="1"/>
  <c r="D318" i="1"/>
  <c r="O293" i="11"/>
  <c r="O417" i="11" s="1"/>
  <c r="O169" i="11"/>
  <c r="L96" i="93"/>
  <c r="L87" i="93"/>
  <c r="D699" i="1"/>
  <c r="E86" i="1"/>
  <c r="P282" i="11"/>
  <c r="P406" i="11" s="1"/>
  <c r="P158" i="11"/>
  <c r="L26" i="35"/>
  <c r="L28" i="35" s="1"/>
  <c r="Q36" i="12"/>
  <c r="L17" i="24"/>
  <c r="L18" i="24" s="1"/>
  <c r="G35" i="1"/>
  <c r="N64" i="13"/>
  <c r="N75" i="13"/>
  <c r="P304" i="11"/>
  <c r="P428" i="11" s="1"/>
  <c r="P180" i="11"/>
  <c r="U632" i="1"/>
  <c r="D629" i="1"/>
  <c r="N22" i="17"/>
  <c r="C32" i="17" s="1"/>
  <c r="J29" i="33"/>
  <c r="J30" i="33" s="1"/>
  <c r="J31" i="33" s="1"/>
  <c r="O181" i="12"/>
  <c r="F54" i="1"/>
  <c r="D329" i="1"/>
  <c r="P318" i="11"/>
  <c r="P442" i="11" s="1"/>
  <c r="P194" i="11"/>
  <c r="D34" i="19"/>
  <c r="P48" i="12"/>
  <c r="P45" i="12"/>
  <c r="J40" i="93"/>
  <c r="J29" i="37"/>
  <c r="J31" i="37" s="1"/>
  <c r="J47" i="37" s="1"/>
  <c r="E19" i="39"/>
  <c r="F283" i="38" s="1"/>
  <c r="P141" i="11"/>
  <c r="P265" i="11"/>
  <c r="P389" i="11" s="1"/>
  <c r="U725" i="1"/>
  <c r="D724" i="1"/>
  <c r="P195" i="11"/>
  <c r="P319" i="11"/>
  <c r="P443" i="11" s="1"/>
  <c r="Q190" i="11"/>
  <c r="Q314" i="11"/>
  <c r="Q438" i="11" s="1"/>
  <c r="G686" i="11" s="1"/>
  <c r="I686" i="11" s="1"/>
  <c r="P200" i="11"/>
  <c r="P324" i="11"/>
  <c r="P448" i="11" s="1"/>
  <c r="F35" i="1"/>
  <c r="N22" i="19"/>
  <c r="C32" i="19" s="1"/>
  <c r="C33" i="18"/>
  <c r="C34" i="18" s="1"/>
  <c r="M26" i="18"/>
  <c r="P315" i="11"/>
  <c r="P439" i="11" s="1"/>
  <c r="P191" i="11"/>
  <c r="O155" i="11"/>
  <c r="O279" i="11"/>
  <c r="O403" i="11" s="1"/>
  <c r="L27" i="17"/>
  <c r="L28" i="17" s="1"/>
  <c r="L29" i="17" s="1"/>
  <c r="Q165" i="12"/>
  <c r="Q183" i="12" s="1"/>
  <c r="U60" i="39"/>
  <c r="E153" i="11"/>
  <c r="E277" i="11" s="1"/>
  <c r="E401" i="11" s="1"/>
  <c r="E525" i="11" s="1"/>
  <c r="E649" i="11" s="1"/>
  <c r="Q29" i="11"/>
  <c r="P153" i="11"/>
  <c r="K180" i="13"/>
  <c r="J165" i="13"/>
  <c r="U775" i="1"/>
  <c r="D772" i="1"/>
  <c r="M22" i="21"/>
  <c r="R114" i="12"/>
  <c r="E176" i="11"/>
  <c r="E300" i="11" s="1"/>
  <c r="E424" i="11" s="1"/>
  <c r="E548" i="11" s="1"/>
  <c r="E672" i="11" s="1"/>
  <c r="Q176" i="11"/>
  <c r="Q287" i="11"/>
  <c r="Q411" i="11" s="1"/>
  <c r="Q163" i="11"/>
  <c r="K24" i="24"/>
  <c r="K26" i="24" s="1"/>
  <c r="K46" i="24" s="1"/>
  <c r="P33" i="12"/>
  <c r="P37" i="12"/>
  <c r="K30" i="36" s="1"/>
  <c r="K32" i="36" s="1"/>
  <c r="K48" i="36" s="1"/>
  <c r="M27" i="23"/>
  <c r="M28" i="23" s="1"/>
  <c r="M29" i="23" s="1"/>
  <c r="R171" i="12"/>
  <c r="N22" i="23"/>
  <c r="C32" i="23" s="1"/>
  <c r="T337" i="13"/>
  <c r="T342" i="13" s="1"/>
  <c r="C343" i="13" s="1"/>
  <c r="S342" i="13"/>
  <c r="P160" i="11"/>
  <c r="P284" i="11"/>
  <c r="P408" i="11" s="1"/>
  <c r="Q286" i="11"/>
  <c r="Q410" i="11" s="1"/>
  <c r="G658" i="11" s="1"/>
  <c r="I658" i="11" s="1"/>
  <c r="Q162" i="11"/>
  <c r="U650" i="1"/>
  <c r="D649" i="1"/>
  <c r="P174" i="11"/>
  <c r="P298" i="11"/>
  <c r="P422" i="11" s="1"/>
  <c r="P313" i="11"/>
  <c r="P437" i="11" s="1"/>
  <c r="P189" i="11"/>
  <c r="U843" i="1"/>
  <c r="R4" i="12"/>
  <c r="F55" i="1"/>
  <c r="D340" i="1"/>
  <c r="E175" i="11"/>
  <c r="E299" i="11" s="1"/>
  <c r="E423" i="11" s="1"/>
  <c r="E547" i="11" s="1"/>
  <c r="E671" i="11" s="1"/>
  <c r="P175" i="11"/>
  <c r="Q51" i="11"/>
  <c r="M26" i="28"/>
  <c r="M28" i="28" s="1"/>
  <c r="R35" i="12"/>
  <c r="R46" i="12"/>
  <c r="R47" i="12" s="1"/>
  <c r="L5" i="9" s="1"/>
  <c r="J38" i="93"/>
  <c r="J37" i="93" s="1"/>
  <c r="U685" i="1"/>
  <c r="D682" i="1"/>
  <c r="J29" i="28"/>
  <c r="J30" i="28" s="1"/>
  <c r="J31" i="28" s="1"/>
  <c r="O176" i="12"/>
  <c r="E142" i="11"/>
  <c r="E266" i="11" s="1"/>
  <c r="E390" i="11" s="1"/>
  <c r="E514" i="11" s="1"/>
  <c r="E638" i="11" s="1"/>
  <c r="Q18" i="11"/>
  <c r="Q129" i="11" s="1"/>
  <c r="M44" i="93" s="1"/>
  <c r="M57" i="93" s="1"/>
  <c r="P142" i="11"/>
  <c r="O80" i="38"/>
  <c r="O81" i="38"/>
  <c r="O83" i="38" s="1"/>
  <c r="L19" i="33"/>
  <c r="P126" i="12"/>
  <c r="K24" i="33"/>
  <c r="F92" i="1"/>
  <c r="D764" i="1"/>
  <c r="P173" i="11"/>
  <c r="P297" i="11"/>
  <c r="P421" i="11" s="1"/>
  <c r="L27" i="21"/>
  <c r="L28" i="21" s="1"/>
  <c r="L29" i="21"/>
  <c r="Q169" i="12"/>
  <c r="G659" i="11"/>
  <c r="I659" i="11" s="1"/>
  <c r="K27" i="5"/>
  <c r="K28" i="5" s="1"/>
  <c r="K29" i="5"/>
  <c r="T236" i="13"/>
  <c r="P203" i="11"/>
  <c r="P327" i="11"/>
  <c r="P451" i="11" s="1"/>
  <c r="P149" i="11"/>
  <c r="P273" i="11"/>
  <c r="P397" i="11" s="1"/>
  <c r="O133" i="11"/>
  <c r="O257" i="11"/>
  <c r="O381" i="11" s="1"/>
  <c r="E198" i="11"/>
  <c r="E322" i="11" s="1"/>
  <c r="E446" i="11" s="1"/>
  <c r="E570" i="11" s="1"/>
  <c r="E694" i="11" s="1"/>
  <c r="Q198" i="11"/>
  <c r="G57" i="1"/>
  <c r="O177" i="11"/>
  <c r="O301" i="11"/>
  <c r="O425" i="11" s="1"/>
  <c r="E154" i="11"/>
  <c r="E278" i="11" s="1"/>
  <c r="E402" i="11" s="1"/>
  <c r="E526" i="11" s="1"/>
  <c r="E650" i="11" s="1"/>
  <c r="Q154" i="11"/>
  <c r="O170" i="11"/>
  <c r="O294" i="11"/>
  <c r="O418" i="11" s="1"/>
  <c r="P261" i="11"/>
  <c r="P385" i="11" s="1"/>
  <c r="P137" i="11"/>
  <c r="P262" i="11"/>
  <c r="P386" i="11" s="1"/>
  <c r="P138" i="11"/>
  <c r="P320" i="11"/>
  <c r="P444" i="11" s="1"/>
  <c r="P196" i="11"/>
  <c r="P326" i="11"/>
  <c r="P450" i="11" s="1"/>
  <c r="P202" i="11"/>
  <c r="P78" i="38"/>
  <c r="C275" i="38"/>
  <c r="V55" i="39"/>
  <c r="V57" i="39" s="1"/>
  <c r="O290" i="11"/>
  <c r="O414" i="11" s="1"/>
  <c r="O166" i="11"/>
  <c r="Q291" i="11"/>
  <c r="Q415" i="11" s="1"/>
  <c r="G663" i="11" s="1"/>
  <c r="I663" i="11" s="1"/>
  <c r="Q167" i="11"/>
  <c r="Q285" i="11"/>
  <c r="Q409" i="11" s="1"/>
  <c r="G657" i="11" s="1"/>
  <c r="I657" i="11" s="1"/>
  <c r="Q161" i="11"/>
  <c r="P156" i="11"/>
  <c r="P280" i="11"/>
  <c r="P404" i="11" s="1"/>
  <c r="P145" i="11"/>
  <c r="P269" i="11"/>
  <c r="P393" i="11" s="1"/>
  <c r="Q275" i="11"/>
  <c r="Q399" i="11" s="1"/>
  <c r="G647" i="11" s="1"/>
  <c r="I647" i="11" s="1"/>
  <c r="Q151" i="11"/>
  <c r="C34" i="19"/>
  <c r="D9" i="39" s="1"/>
  <c r="L29" i="36"/>
  <c r="L23" i="24"/>
  <c r="P177" i="38"/>
  <c r="P140" i="11"/>
  <c r="P264" i="11"/>
  <c r="P388" i="11" s="1"/>
  <c r="Q302" i="11"/>
  <c r="Q426" i="11" s="1"/>
  <c r="G674" i="11" s="1"/>
  <c r="I674" i="11" s="1"/>
  <c r="Q178" i="11"/>
  <c r="E15" i="39"/>
  <c r="F279" i="38" s="1"/>
  <c r="D34" i="21"/>
  <c r="C34" i="17"/>
  <c r="D7" i="39" s="1"/>
  <c r="N22" i="5"/>
  <c r="P221" i="12"/>
  <c r="N66" i="93" s="1"/>
  <c r="O292" i="11"/>
  <c r="O416" i="11" s="1"/>
  <c r="O168" i="11"/>
  <c r="P150" i="11"/>
  <c r="P274" i="11"/>
  <c r="P398" i="11" s="1"/>
  <c r="T32" i="12"/>
  <c r="E17" i="39"/>
  <c r="F281" i="38" s="1"/>
  <c r="P305" i="11"/>
  <c r="P429" i="11" s="1"/>
  <c r="P181" i="11"/>
  <c r="P152" i="11"/>
  <c r="P276" i="11"/>
  <c r="P400" i="11" s="1"/>
  <c r="P306" i="11"/>
  <c r="P430" i="11" s="1"/>
  <c r="P182" i="11"/>
  <c r="Q325" i="11"/>
  <c r="Q449" i="11" s="1"/>
  <c r="G697" i="11" s="1"/>
  <c r="I697" i="11" s="1"/>
  <c r="Q201" i="11"/>
  <c r="P136" i="11"/>
  <c r="P260" i="11"/>
  <c r="P384" i="11" s="1"/>
  <c r="O172" i="11"/>
  <c r="O296" i="11"/>
  <c r="O420" i="11" s="1"/>
  <c r="N180" i="38"/>
  <c r="N181" i="38" s="1"/>
  <c r="N178" i="38"/>
  <c r="O295" i="11"/>
  <c r="O419" i="11" s="1"/>
  <c r="O171" i="11"/>
  <c r="U422" i="1"/>
  <c r="D419" i="1"/>
  <c r="Q131" i="12"/>
  <c r="Q146" i="11"/>
  <c r="Q270" i="11"/>
  <c r="Q394" i="11" s="1"/>
  <c r="G642" i="11" s="1"/>
  <c r="I642" i="11" s="1"/>
  <c r="E22" i="39"/>
  <c r="F286" i="38" s="1"/>
  <c r="P205" i="11"/>
  <c r="P329" i="11"/>
  <c r="P453" i="11" s="1"/>
  <c r="Q192" i="11"/>
  <c r="Q316" i="11"/>
  <c r="Q440" i="11" s="1"/>
  <c r="G688" i="11" s="1"/>
  <c r="I688" i="11" s="1"/>
  <c r="P317" i="11"/>
  <c r="P441" i="11" s="1"/>
  <c r="P193" i="11"/>
  <c r="E143" i="11"/>
  <c r="E267" i="11" s="1"/>
  <c r="E391" i="11" s="1"/>
  <c r="E515" i="11" s="1"/>
  <c r="E639" i="11" s="1"/>
  <c r="Q143" i="11"/>
  <c r="Q157" i="11"/>
  <c r="Q281" i="11"/>
  <c r="Q405" i="11" s="1"/>
  <c r="G653" i="11" s="1"/>
  <c r="I653" i="11" s="1"/>
  <c r="P328" i="11"/>
  <c r="P452" i="11" s="1"/>
  <c r="P204" i="11"/>
  <c r="O144" i="11"/>
  <c r="O268" i="11"/>
  <c r="O392" i="11" s="1"/>
  <c r="O199" i="11"/>
  <c r="O323" i="11"/>
  <c r="O447" i="11" s="1"/>
  <c r="E197" i="11"/>
  <c r="E321" i="11" s="1"/>
  <c r="E445" i="11" s="1"/>
  <c r="E569" i="11" s="1"/>
  <c r="E693" i="11" s="1"/>
  <c r="P197" i="11"/>
  <c r="Q73" i="11"/>
  <c r="K29" i="26"/>
  <c r="K30" i="26" s="1"/>
  <c r="P174" i="12"/>
  <c r="K31" i="26"/>
  <c r="J45" i="24"/>
  <c r="J47" i="24" s="1"/>
  <c r="J27" i="24"/>
  <c r="J28" i="24" s="1"/>
  <c r="J29" i="24" s="1"/>
  <c r="P135" i="11"/>
  <c r="P259" i="11"/>
  <c r="P383" i="11" s="1"/>
  <c r="O123" i="12"/>
  <c r="K19" i="30"/>
  <c r="P271" i="11"/>
  <c r="P395" i="11" s="1"/>
  <c r="P147" i="11"/>
  <c r="Q128" i="12"/>
  <c r="L20" i="36" s="1"/>
  <c r="R164" i="12"/>
  <c r="O175" i="38"/>
  <c r="O177" i="38" s="1"/>
  <c r="L18" i="28"/>
  <c r="L19" i="28" s="1"/>
  <c r="R104" i="12"/>
  <c r="R105" i="12"/>
  <c r="M27" i="19"/>
  <c r="M28" i="19" s="1"/>
  <c r="M29" i="19" s="1"/>
  <c r="R167" i="12"/>
  <c r="U433" i="1"/>
  <c r="D430" i="1"/>
  <c r="C291" i="13"/>
  <c r="C121" i="13" s="1"/>
  <c r="E121" i="13"/>
  <c r="M23" i="5"/>
  <c r="Q104" i="12"/>
  <c r="Q105" i="12"/>
  <c r="M28" i="37" s="1"/>
  <c r="O210" i="11"/>
  <c r="O334" i="11"/>
  <c r="O458" i="11" s="1"/>
  <c r="N22" i="21"/>
  <c r="C32" i="21" s="1"/>
  <c r="L24" i="5"/>
  <c r="L26" i="5" s="1"/>
  <c r="Q31" i="12"/>
  <c r="Q43" i="12"/>
  <c r="Q119" i="12"/>
  <c r="M19" i="26"/>
  <c r="L24" i="26"/>
  <c r="P134" i="11"/>
  <c r="P258" i="11"/>
  <c r="P382" i="11" s="1"/>
  <c r="U712" i="1"/>
  <c r="D711" i="1"/>
  <c r="O188" i="11"/>
  <c r="O312" i="11"/>
  <c r="O436" i="11" s="1"/>
  <c r="P159" i="11"/>
  <c r="P283" i="11"/>
  <c r="P407" i="11" s="1"/>
  <c r="F64" i="1"/>
  <c r="D444" i="1"/>
  <c r="P148" i="11"/>
  <c r="P272" i="11"/>
  <c r="P396" i="11" s="1"/>
  <c r="M27" i="20"/>
  <c r="M28" i="20" s="1"/>
  <c r="M29" i="20"/>
  <c r="R168" i="12"/>
  <c r="N22" i="20"/>
  <c r="C32" i="20" s="1"/>
  <c r="M17" i="24"/>
  <c r="R128" i="12"/>
  <c r="M20" i="36" s="1"/>
  <c r="R131" i="12"/>
  <c r="C35" i="16"/>
  <c r="C36" i="16" s="1"/>
  <c r="D14" i="39" s="1"/>
  <c r="L22" i="24" l="1"/>
  <c r="M18" i="24"/>
  <c r="M22" i="24" s="1"/>
  <c r="M19" i="28"/>
  <c r="Q121" i="12"/>
  <c r="L24" i="28"/>
  <c r="L29" i="5"/>
  <c r="L27" i="5"/>
  <c r="L28" i="5" s="1"/>
  <c r="Q174" i="12"/>
  <c r="L29" i="26"/>
  <c r="L30" i="26" s="1"/>
  <c r="L31" i="26" s="1"/>
  <c r="P334" i="11"/>
  <c r="P458" i="11" s="1"/>
  <c r="P210" i="11"/>
  <c r="Q280" i="11"/>
  <c r="Q404" i="11" s="1"/>
  <c r="G652" i="11" s="1"/>
  <c r="I652" i="11" s="1"/>
  <c r="Q156" i="11"/>
  <c r="V60" i="39"/>
  <c r="P301" i="11"/>
  <c r="P425" i="11" s="1"/>
  <c r="P177" i="11"/>
  <c r="Q273" i="11"/>
  <c r="Q397" i="11" s="1"/>
  <c r="G645" i="11" s="1"/>
  <c r="I645" i="11" s="1"/>
  <c r="Q149" i="11"/>
  <c r="K31" i="33"/>
  <c r="K29" i="33"/>
  <c r="K30" i="33" s="1"/>
  <c r="P181" i="12"/>
  <c r="R31" i="12"/>
  <c r="M24" i="5"/>
  <c r="C33" i="5" s="1"/>
  <c r="C34" i="5" s="1"/>
  <c r="D6" i="39" s="1"/>
  <c r="R43" i="12"/>
  <c r="Q277" i="11"/>
  <c r="Q401" i="11" s="1"/>
  <c r="G649" i="11" s="1"/>
  <c r="I649" i="11" s="1"/>
  <c r="Q153" i="11"/>
  <c r="Q319" i="11"/>
  <c r="Q443" i="11" s="1"/>
  <c r="G691" i="11" s="1"/>
  <c r="I691" i="11" s="1"/>
  <c r="Q195" i="11"/>
  <c r="L46" i="35"/>
  <c r="P169" i="11"/>
  <c r="P293" i="11"/>
  <c r="P417" i="11" s="1"/>
  <c r="C10" i="39"/>
  <c r="C35" i="20"/>
  <c r="C37" i="20" s="1"/>
  <c r="Q283" i="11"/>
  <c r="Q407" i="11" s="1"/>
  <c r="G655" i="11" s="1"/>
  <c r="I655" i="11" s="1"/>
  <c r="Q159" i="11"/>
  <c r="R119" i="12"/>
  <c r="M24" i="26"/>
  <c r="P144" i="11"/>
  <c r="P268" i="11"/>
  <c r="P392" i="11" s="1"/>
  <c r="Q193" i="11"/>
  <c r="Q317" i="11"/>
  <c r="Q441" i="11" s="1"/>
  <c r="G689" i="11" s="1"/>
  <c r="I689" i="11" s="1"/>
  <c r="Q182" i="11"/>
  <c r="Q306" i="11"/>
  <c r="Q430" i="11" s="1"/>
  <c r="G678" i="11" s="1"/>
  <c r="I678" i="11" s="1"/>
  <c r="U271" i="38"/>
  <c r="U273" i="38"/>
  <c r="C58" i="39"/>
  <c r="C57" i="39"/>
  <c r="U272" i="38"/>
  <c r="C56" i="39"/>
  <c r="C290" i="38"/>
  <c r="Q137" i="11"/>
  <c r="Q261" i="11"/>
  <c r="Q385" i="11" s="1"/>
  <c r="G633" i="11" s="1"/>
  <c r="I633" i="11" s="1"/>
  <c r="M26" i="35"/>
  <c r="M28" i="35" s="1"/>
  <c r="M46" i="35" s="1"/>
  <c r="R36" i="12"/>
  <c r="I4" i="9" s="1"/>
  <c r="I6" i="9" s="1"/>
  <c r="I11" i="9" s="1"/>
  <c r="I15" i="9" s="1"/>
  <c r="I17" i="9" s="1"/>
  <c r="P279" i="11"/>
  <c r="P403" i="11" s="1"/>
  <c r="P155" i="11"/>
  <c r="C9" i="39"/>
  <c r="C35" i="19"/>
  <c r="C37" i="19" s="1"/>
  <c r="D725" i="1"/>
  <c r="E88" i="1"/>
  <c r="Q158" i="11"/>
  <c r="Q282" i="11"/>
  <c r="Q406" i="11" s="1"/>
  <c r="G654" i="11" s="1"/>
  <c r="I654" i="11" s="1"/>
  <c r="K45" i="24"/>
  <c r="K47" i="24" s="1"/>
  <c r="K27" i="24"/>
  <c r="K28" i="24" s="1"/>
  <c r="K29" i="24"/>
  <c r="M29" i="36"/>
  <c r="M23" i="24"/>
  <c r="Q259" i="11"/>
  <c r="Q383" i="11" s="1"/>
  <c r="G631" i="11" s="1"/>
  <c r="I631" i="11" s="1"/>
  <c r="Q135" i="11"/>
  <c r="Q274" i="11"/>
  <c r="Q398" i="11" s="1"/>
  <c r="G646" i="11" s="1"/>
  <c r="I646" i="11" s="1"/>
  <c r="Q150" i="11"/>
  <c r="P81" i="38"/>
  <c r="P83" i="38" s="1"/>
  <c r="P80" i="38"/>
  <c r="Q327" i="11"/>
  <c r="Q451" i="11" s="1"/>
  <c r="G699" i="11" s="1"/>
  <c r="I699" i="11" s="1"/>
  <c r="Q203" i="11"/>
  <c r="M19" i="33"/>
  <c r="Q126" i="12"/>
  <c r="L24" i="33"/>
  <c r="D36" i="28"/>
  <c r="C35" i="28"/>
  <c r="C36" i="28" s="1"/>
  <c r="D18" i="39" s="1"/>
  <c r="Q189" i="11"/>
  <c r="Q313" i="11"/>
  <c r="Q437" i="11" s="1"/>
  <c r="G685" i="11" s="1"/>
  <c r="I685" i="11" s="1"/>
  <c r="Q191" i="11"/>
  <c r="Q315" i="11"/>
  <c r="Q439" i="11" s="1"/>
  <c r="G687" i="11" s="1"/>
  <c r="I687" i="11" s="1"/>
  <c r="K29" i="37"/>
  <c r="K31" i="37" s="1"/>
  <c r="K47" i="37" s="1"/>
  <c r="K40" i="93"/>
  <c r="K38" i="93" s="1"/>
  <c r="K37" i="93" s="1"/>
  <c r="M96" i="93"/>
  <c r="M87" i="93"/>
  <c r="P188" i="11"/>
  <c r="P312" i="11"/>
  <c r="P436" i="11" s="1"/>
  <c r="Q48" i="12"/>
  <c r="Q45" i="12"/>
  <c r="M26" i="5"/>
  <c r="D34" i="5" s="1"/>
  <c r="Q321" i="11"/>
  <c r="Q445" i="11" s="1"/>
  <c r="G693" i="11" s="1"/>
  <c r="I693" i="11" s="1"/>
  <c r="Q197" i="11"/>
  <c r="Q204" i="11"/>
  <c r="Q328" i="11"/>
  <c r="Q452" i="11" s="1"/>
  <c r="G700" i="11" s="1"/>
  <c r="I700" i="11" s="1"/>
  <c r="L21" i="37"/>
  <c r="L21" i="93"/>
  <c r="L39" i="93" s="1"/>
  <c r="G648" i="11"/>
  <c r="I648" i="11" s="1"/>
  <c r="P168" i="11"/>
  <c r="P292" i="11"/>
  <c r="P416" i="11" s="1"/>
  <c r="Q202" i="11"/>
  <c r="Q326" i="11"/>
  <c r="Q450" i="11" s="1"/>
  <c r="G698" i="11" s="1"/>
  <c r="I698" i="11" s="1"/>
  <c r="M27" i="21"/>
  <c r="M28" i="21" s="1"/>
  <c r="M29" i="21" s="1"/>
  <c r="R169" i="12"/>
  <c r="K29" i="28"/>
  <c r="K30" i="28" s="1"/>
  <c r="K31" i="28" s="1"/>
  <c r="P176" i="12"/>
  <c r="Q33" i="12"/>
  <c r="Q39" i="12" s="1"/>
  <c r="Q37" i="12"/>
  <c r="L30" i="36" s="1"/>
  <c r="L32" i="36" s="1"/>
  <c r="L48" i="36" s="1"/>
  <c r="L24" i="24"/>
  <c r="L26" i="24" s="1"/>
  <c r="L46" i="24" s="1"/>
  <c r="Q271" i="11"/>
  <c r="Q395" i="11" s="1"/>
  <c r="G643" i="11" s="1"/>
  <c r="I643" i="11" s="1"/>
  <c r="Q147" i="11"/>
  <c r="F62" i="1"/>
  <c r="D422" i="1"/>
  <c r="P296" i="11"/>
  <c r="P420" i="11" s="1"/>
  <c r="P172" i="11"/>
  <c r="Q276" i="11"/>
  <c r="Q400" i="11" s="1"/>
  <c r="Q152" i="11"/>
  <c r="P294" i="11"/>
  <c r="P418" i="11" s="1"/>
  <c r="P170" i="11"/>
  <c r="Q299" i="11"/>
  <c r="Q423" i="11" s="1"/>
  <c r="G671" i="11" s="1"/>
  <c r="I671" i="11" s="1"/>
  <c r="Q175" i="11"/>
  <c r="Q284" i="11"/>
  <c r="Q408" i="11" s="1"/>
  <c r="G656" i="11" s="1"/>
  <c r="I656" i="11" s="1"/>
  <c r="Q160" i="11"/>
  <c r="P39" i="12"/>
  <c r="F93" i="1"/>
  <c r="D775" i="1"/>
  <c r="M27" i="18"/>
  <c r="M28" i="18" s="1"/>
  <c r="M29" i="18"/>
  <c r="Q324" i="11"/>
  <c r="Q448" i="11" s="1"/>
  <c r="G696" i="11" s="1"/>
  <c r="I696" i="11" s="1"/>
  <c r="Q200" i="11"/>
  <c r="Q265" i="11"/>
  <c r="Q389" i="11" s="1"/>
  <c r="G637" i="11" s="1"/>
  <c r="I637" i="11" s="1"/>
  <c r="Q141" i="11"/>
  <c r="C7" i="39"/>
  <c r="C35" i="17"/>
  <c r="C37" i="17" s="1"/>
  <c r="N71" i="13"/>
  <c r="N83" i="13"/>
  <c r="N84" i="13" s="1"/>
  <c r="N68" i="13"/>
  <c r="O67" i="13" s="1"/>
  <c r="E83" i="1"/>
  <c r="M27" i="17"/>
  <c r="M28" i="17" s="1"/>
  <c r="M29" i="17" s="1"/>
  <c r="R165" i="12"/>
  <c r="Q272" i="11"/>
  <c r="Q396" i="11" s="1"/>
  <c r="G644" i="11" s="1"/>
  <c r="I644" i="11" s="1"/>
  <c r="Q148" i="11"/>
  <c r="Q181" i="11"/>
  <c r="Q305" i="11"/>
  <c r="Q429" i="11" s="1"/>
  <c r="G677" i="11" s="1"/>
  <c r="I677" i="11" s="1"/>
  <c r="Q264" i="11"/>
  <c r="Q388" i="11" s="1"/>
  <c r="G636" i="11" s="1"/>
  <c r="I636" i="11" s="1"/>
  <c r="Q140" i="11"/>
  <c r="P166" i="11"/>
  <c r="P290" i="11"/>
  <c r="P414" i="11" s="1"/>
  <c r="Q320" i="11"/>
  <c r="Q444" i="11" s="1"/>
  <c r="Q196" i="11"/>
  <c r="P257" i="11"/>
  <c r="P381" i="11" s="1"/>
  <c r="P133" i="11"/>
  <c r="Q297" i="11"/>
  <c r="Q421" i="11" s="1"/>
  <c r="G669" i="11" s="1"/>
  <c r="I669" i="11" s="1"/>
  <c r="Q173" i="11"/>
  <c r="Q266" i="11"/>
  <c r="Q390" i="11" s="1"/>
  <c r="G638" i="11" s="1"/>
  <c r="I638" i="11" s="1"/>
  <c r="Q142" i="11"/>
  <c r="F84" i="1"/>
  <c r="D685" i="1"/>
  <c r="Q298" i="11"/>
  <c r="Q422" i="11" s="1"/>
  <c r="G670" i="11" s="1"/>
  <c r="I670" i="11" s="1"/>
  <c r="Q174" i="11"/>
  <c r="D8" i="39"/>
  <c r="C35" i="18"/>
  <c r="C37" i="18" s="1"/>
  <c r="Q194" i="11"/>
  <c r="Q318" i="11"/>
  <c r="Q442" i="11" s="1"/>
  <c r="G690" i="11" s="1"/>
  <c r="I690" i="11" s="1"/>
  <c r="F78" i="1"/>
  <c r="F68" i="1" s="1"/>
  <c r="D632" i="1"/>
  <c r="M21" i="37"/>
  <c r="M21" i="93"/>
  <c r="M39" i="93" s="1"/>
  <c r="C11" i="39"/>
  <c r="C35" i="21"/>
  <c r="C37" i="21" s="1"/>
  <c r="Q329" i="11"/>
  <c r="Q453" i="11" s="1"/>
  <c r="G701" i="11" s="1"/>
  <c r="I701" i="11" s="1"/>
  <c r="Q205" i="11"/>
  <c r="Q260" i="11"/>
  <c r="Q384" i="11" s="1"/>
  <c r="G632" i="11" s="1"/>
  <c r="I632" i="11" s="1"/>
  <c r="Q136" i="11"/>
  <c r="N22" i="24"/>
  <c r="C32" i="5"/>
  <c r="C282" i="38"/>
  <c r="Q269" i="11"/>
  <c r="Q393" i="11" s="1"/>
  <c r="G641" i="11" s="1"/>
  <c r="I641" i="11" s="1"/>
  <c r="Q145" i="11"/>
  <c r="G692" i="11"/>
  <c r="I692" i="11" s="1"/>
  <c r="D650" i="1"/>
  <c r="E80" i="1"/>
  <c r="E79" i="1" s="1"/>
  <c r="E124" i="13"/>
  <c r="C344" i="13"/>
  <c r="C124" i="13" s="1"/>
  <c r="J168" i="13"/>
  <c r="J172" i="13"/>
  <c r="Q186" i="12"/>
  <c r="Q263" i="11"/>
  <c r="Q387" i="11" s="1"/>
  <c r="G635" i="11" s="1"/>
  <c r="I635" i="11" s="1"/>
  <c r="Q139" i="11"/>
  <c r="D34" i="18"/>
  <c r="D712" i="1"/>
  <c r="E87" i="1"/>
  <c r="F63" i="1"/>
  <c r="D433" i="1"/>
  <c r="Q258" i="11"/>
  <c r="Q382" i="11" s="1"/>
  <c r="G630" i="11" s="1"/>
  <c r="I630" i="11" s="1"/>
  <c r="Q134" i="11"/>
  <c r="O180" i="38"/>
  <c r="O181" i="38" s="1"/>
  <c r="O178" i="38"/>
  <c r="P123" i="12"/>
  <c r="L19" i="30"/>
  <c r="P199" i="11"/>
  <c r="P323" i="11"/>
  <c r="P447" i="11" s="1"/>
  <c r="P171" i="11"/>
  <c r="P295" i="11"/>
  <c r="P419" i="11" s="1"/>
  <c r="P180" i="38"/>
  <c r="P181" i="38" s="1"/>
  <c r="P178" i="38"/>
  <c r="L21" i="36"/>
  <c r="M21" i="36" s="1"/>
  <c r="Q262" i="11"/>
  <c r="Q386" i="11" s="1"/>
  <c r="G634" i="11" s="1"/>
  <c r="I634" i="11" s="1"/>
  <c r="Q138" i="11"/>
  <c r="J86" i="93"/>
  <c r="J88" i="93" s="1"/>
  <c r="J71" i="93"/>
  <c r="J78" i="93"/>
  <c r="J95" i="93"/>
  <c r="J97" i="93" s="1"/>
  <c r="C35" i="23"/>
  <c r="C37" i="23" s="1"/>
  <c r="L180" i="13"/>
  <c r="K165" i="13"/>
  <c r="Q304" i="11"/>
  <c r="Q428" i="11" s="1"/>
  <c r="G676" i="11" s="1"/>
  <c r="I676" i="11" s="1"/>
  <c r="Q180" i="11"/>
  <c r="F83" i="1" l="1"/>
  <c r="L29" i="37"/>
  <c r="L31" i="37" s="1"/>
  <c r="L47" i="37" s="1"/>
  <c r="L40" i="93"/>
  <c r="R186" i="12"/>
  <c r="Q155" i="11"/>
  <c r="Q279" i="11"/>
  <c r="Q403" i="11" s="1"/>
  <c r="G651" i="11" s="1"/>
  <c r="I651" i="11" s="1"/>
  <c r="Q295" i="11"/>
  <c r="Q419" i="11" s="1"/>
  <c r="G667" i="11" s="1"/>
  <c r="I667" i="11" s="1"/>
  <c r="Q171" i="11"/>
  <c r="Q296" i="11"/>
  <c r="Q420" i="11" s="1"/>
  <c r="G668" i="11" s="1"/>
  <c r="I668" i="11" s="1"/>
  <c r="Q172" i="11"/>
  <c r="R183" i="12"/>
  <c r="P171" i="13"/>
  <c r="J436" i="13"/>
  <c r="J183" i="13"/>
  <c r="O171" i="13"/>
  <c r="N171" i="13"/>
  <c r="M171" i="13"/>
  <c r="T171" i="13"/>
  <c r="L171" i="13"/>
  <c r="S171" i="13"/>
  <c r="K171" i="13"/>
  <c r="R171" i="13"/>
  <c r="Q171" i="13"/>
  <c r="Q312" i="11"/>
  <c r="Q436" i="11" s="1"/>
  <c r="G684" i="11" s="1"/>
  <c r="I684" i="11" s="1"/>
  <c r="Q188" i="11"/>
  <c r="E10" i="39"/>
  <c r="F274" i="38" s="1"/>
  <c r="Q199" i="11"/>
  <c r="Q323" i="11"/>
  <c r="Q447" i="11" s="1"/>
  <c r="G695" i="11" s="1"/>
  <c r="I695" i="11" s="1"/>
  <c r="Q290" i="11"/>
  <c r="Q414" i="11" s="1"/>
  <c r="G662" i="11" s="1"/>
  <c r="I662" i="11" s="1"/>
  <c r="Q166" i="11"/>
  <c r="Q268" i="11"/>
  <c r="Q392" i="11" s="1"/>
  <c r="G640" i="11" s="1"/>
  <c r="I640" i="11" s="1"/>
  <c r="Q144" i="11"/>
  <c r="Q210" i="11"/>
  <c r="Q334" i="11"/>
  <c r="Q458" i="11" s="1"/>
  <c r="G706" i="11" s="1"/>
  <c r="I706" i="11" s="1"/>
  <c r="L31" i="28"/>
  <c r="L29" i="28"/>
  <c r="L30" i="28" s="1"/>
  <c r="Q176" i="12"/>
  <c r="K172" i="13"/>
  <c r="K168" i="13"/>
  <c r="M180" i="13"/>
  <c r="L165" i="13"/>
  <c r="M19" i="30"/>
  <c r="R123" i="12" s="1"/>
  <c r="Q123" i="12"/>
  <c r="J182" i="13"/>
  <c r="E11" i="39"/>
  <c r="F275" i="38" s="1"/>
  <c r="E8" i="39"/>
  <c r="F272" i="38" s="1"/>
  <c r="E7" i="39"/>
  <c r="F271" i="38" s="1"/>
  <c r="F57" i="1"/>
  <c r="Q293" i="11"/>
  <c r="Q417" i="11" s="1"/>
  <c r="G665" i="11" s="1"/>
  <c r="I665" i="11" s="1"/>
  <c r="Q169" i="11"/>
  <c r="R48" i="12"/>
  <c r="R45" i="12"/>
  <c r="L4" i="9" s="1"/>
  <c r="L9" i="9" s="1"/>
  <c r="L14" i="9" s="1"/>
  <c r="L18" i="9" s="1"/>
  <c r="L20" i="9" s="1"/>
  <c r="H24" i="9" s="1"/>
  <c r="Q177" i="11"/>
  <c r="Q301" i="11"/>
  <c r="Q425" i="11" s="1"/>
  <c r="G673" i="11" s="1"/>
  <c r="I673" i="11" s="1"/>
  <c r="C6" i="39"/>
  <c r="C35" i="5"/>
  <c r="C37" i="5" s="1"/>
  <c r="Q170" i="11"/>
  <c r="Q294" i="11"/>
  <c r="Q418" i="11" s="1"/>
  <c r="G666" i="11" s="1"/>
  <c r="I666" i="11" s="1"/>
  <c r="Q292" i="11"/>
  <c r="Q416" i="11" s="1"/>
  <c r="G664" i="11" s="1"/>
  <c r="I664" i="11" s="1"/>
  <c r="Q168" i="11"/>
  <c r="K78" i="93"/>
  <c r="K86" i="93"/>
  <c r="K88" i="93" s="1"/>
  <c r="K71" i="93"/>
  <c r="K95" i="93"/>
  <c r="K97" i="93" s="1"/>
  <c r="L29" i="33"/>
  <c r="L30" i="33" s="1"/>
  <c r="L31" i="33" s="1"/>
  <c r="Q181" i="12"/>
  <c r="M29" i="26"/>
  <c r="R174" i="12"/>
  <c r="C35" i="35"/>
  <c r="C36" i="35" s="1"/>
  <c r="K47" i="39"/>
  <c r="R121" i="12"/>
  <c r="M24" i="28"/>
  <c r="O66" i="93"/>
  <c r="C32" i="24"/>
  <c r="Q257" i="11"/>
  <c r="Q381" i="11" s="1"/>
  <c r="G629" i="11" s="1"/>
  <c r="I629" i="11" s="1"/>
  <c r="I750" i="11" s="1"/>
  <c r="Q133" i="11"/>
  <c r="H762" i="11" s="1"/>
  <c r="H763" i="11" s="1"/>
  <c r="M27" i="5"/>
  <c r="M28" i="5" s="1"/>
  <c r="M29" i="5"/>
  <c r="D290" i="38"/>
  <c r="R33" i="12"/>
  <c r="R37" i="12"/>
  <c r="M30" i="36" s="1"/>
  <c r="C39" i="36" s="1"/>
  <c r="C40" i="36" s="1"/>
  <c r="M24" i="24"/>
  <c r="C33" i="24" s="1"/>
  <c r="C34" i="24" s="1"/>
  <c r="M45" i="24"/>
  <c r="O66" i="13"/>
  <c r="L38" i="93"/>
  <c r="L37" i="93" s="1"/>
  <c r="R126" i="12"/>
  <c r="M24" i="33"/>
  <c r="E9" i="39"/>
  <c r="F273" i="38" s="1"/>
  <c r="L45" i="24"/>
  <c r="L47" i="24" s="1"/>
  <c r="L27" i="24"/>
  <c r="L28" i="24" s="1"/>
  <c r="L29" i="24" s="1"/>
  <c r="Y29" i="39"/>
  <c r="R39" i="12" l="1"/>
  <c r="F4" i="9"/>
  <c r="F6" i="9" s="1"/>
  <c r="F11" i="9" s="1"/>
  <c r="F15" i="9" s="1"/>
  <c r="F17" i="9" s="1"/>
  <c r="M40" i="93"/>
  <c r="M38" i="93" s="1"/>
  <c r="M37" i="93" s="1"/>
  <c r="M29" i="37"/>
  <c r="M31" i="37" s="1"/>
  <c r="K436" i="13"/>
  <c r="K183" i="13"/>
  <c r="K182" i="13"/>
  <c r="M29" i="33"/>
  <c r="R181" i="12"/>
  <c r="U759" i="11"/>
  <c r="M759" i="11"/>
  <c r="T759" i="11"/>
  <c r="L759" i="11"/>
  <c r="S759" i="11"/>
  <c r="K759" i="11"/>
  <c r="R759" i="11"/>
  <c r="Q759" i="11"/>
  <c r="P759" i="11"/>
  <c r="I757" i="11"/>
  <c r="O759" i="11"/>
  <c r="I754" i="11"/>
  <c r="N759" i="11"/>
  <c r="C35" i="24"/>
  <c r="C37" i="24" s="1"/>
  <c r="L78" i="93"/>
  <c r="L95" i="93"/>
  <c r="L97" i="93" s="1"/>
  <c r="L86" i="93"/>
  <c r="L88" i="93" s="1"/>
  <c r="L71" i="93"/>
  <c r="M30" i="26"/>
  <c r="M31" i="26" s="1"/>
  <c r="N24" i="26"/>
  <c r="C34" i="26" s="1"/>
  <c r="E6" i="39"/>
  <c r="F270" i="38" s="1"/>
  <c r="L172" i="13"/>
  <c r="L168" i="13"/>
  <c r="L258" i="13"/>
  <c r="K258" i="13"/>
  <c r="M258" i="13"/>
  <c r="O258" i="13"/>
  <c r="N258" i="13"/>
  <c r="P258" i="13"/>
  <c r="R258" i="13"/>
  <c r="Q258" i="13"/>
  <c r="S258" i="13"/>
  <c r="T258" i="13"/>
  <c r="O64" i="13"/>
  <c r="O75" i="13"/>
  <c r="N180" i="13"/>
  <c r="M165" i="13"/>
  <c r="M26" i="24"/>
  <c r="M29" i="28"/>
  <c r="R176" i="12"/>
  <c r="C34" i="28"/>
  <c r="D7" i="93"/>
  <c r="H153" i="12"/>
  <c r="I24" i="9"/>
  <c r="M32" i="36"/>
  <c r="M48" i="36" s="1"/>
  <c r="E7" i="93" l="1"/>
  <c r="J24" i="9"/>
  <c r="I153" i="12"/>
  <c r="M46" i="24"/>
  <c r="M47" i="24" s="1"/>
  <c r="M27" i="24"/>
  <c r="M28" i="24" s="1"/>
  <c r="M29" i="24" s="1"/>
  <c r="F8" i="93"/>
  <c r="M760" i="11"/>
  <c r="J154" i="12"/>
  <c r="C16" i="39"/>
  <c r="E16" i="39" s="1"/>
  <c r="F280" i="38" s="1"/>
  <c r="C37" i="26"/>
  <c r="C39" i="26" s="1"/>
  <c r="I8" i="93"/>
  <c r="P760" i="11"/>
  <c r="M154" i="12"/>
  <c r="U760" i="11"/>
  <c r="R154" i="12"/>
  <c r="M30" i="28"/>
  <c r="M31" i="28" s="1"/>
  <c r="N24" i="28"/>
  <c r="O180" i="13"/>
  <c r="N165" i="13"/>
  <c r="J8" i="93"/>
  <c r="Q760" i="11"/>
  <c r="N154" i="12"/>
  <c r="C18" i="39"/>
  <c r="C37" i="28"/>
  <c r="C39" i="28" s="1"/>
  <c r="L182" i="13"/>
  <c r="L436" i="13"/>
  <c r="L183" i="13"/>
  <c r="K8" i="93"/>
  <c r="R760" i="11"/>
  <c r="O154" i="12"/>
  <c r="M30" i="33"/>
  <c r="M31" i="33" s="1"/>
  <c r="N24" i="33"/>
  <c r="C34" i="33" s="1"/>
  <c r="C38" i="37"/>
  <c r="C39" i="37" s="1"/>
  <c r="M47" i="37"/>
  <c r="M172" i="13"/>
  <c r="M168" i="13"/>
  <c r="D8" i="93"/>
  <c r="H154" i="12"/>
  <c r="H155" i="12" s="1"/>
  <c r="C14" i="37" s="1"/>
  <c r="C27" i="37" s="1"/>
  <c r="K248" i="13"/>
  <c r="Q248" i="13"/>
  <c r="P248" i="13"/>
  <c r="T248" i="13"/>
  <c r="R248" i="13"/>
  <c r="S248" i="13"/>
  <c r="N248" i="13"/>
  <c r="O248" i="13"/>
  <c r="L248" i="13"/>
  <c r="M248" i="13"/>
  <c r="M78" i="93"/>
  <c r="C80" i="93" s="1"/>
  <c r="M95" i="93"/>
  <c r="M97" i="93" s="1"/>
  <c r="C99" i="93" s="1"/>
  <c r="M71" i="93"/>
  <c r="C73" i="93" s="1"/>
  <c r="M86" i="93"/>
  <c r="M88" i="93" s="1"/>
  <c r="C90" i="93" s="1"/>
  <c r="G8" i="93"/>
  <c r="N760" i="11"/>
  <c r="K154" i="12"/>
  <c r="S760" i="11"/>
  <c r="L8" i="93"/>
  <c r="P154" i="12"/>
  <c r="K130" i="13"/>
  <c r="K441" i="13"/>
  <c r="J130" i="13"/>
  <c r="J118" i="13" s="1"/>
  <c r="J114" i="13" s="1"/>
  <c r="J111" i="13" s="1"/>
  <c r="K457" i="13"/>
  <c r="L441" i="13"/>
  <c r="L443" i="13" s="1"/>
  <c r="E8" i="93"/>
  <c r="L760" i="11"/>
  <c r="I154" i="12"/>
  <c r="O71" i="13"/>
  <c r="O83" i="13"/>
  <c r="O84" i="13" s="1"/>
  <c r="O68" i="13"/>
  <c r="P67" i="13" s="1"/>
  <c r="D57" i="39"/>
  <c r="D56" i="39"/>
  <c r="D58" i="39"/>
  <c r="H8" i="93"/>
  <c r="O760" i="11"/>
  <c r="L154" i="12"/>
  <c r="M8" i="93"/>
  <c r="T760" i="11"/>
  <c r="Q154" i="12"/>
  <c r="C32" i="37" l="1"/>
  <c r="C33" i="37" s="1"/>
  <c r="C34" i="37" s="1"/>
  <c r="C46" i="37"/>
  <c r="C48" i="37" s="1"/>
  <c r="G259" i="38"/>
  <c r="D18" i="34"/>
  <c r="D19" i="34" s="1"/>
  <c r="F7" i="93"/>
  <c r="K24" i="9"/>
  <c r="J153" i="12"/>
  <c r="J155" i="12" s="1"/>
  <c r="E14" i="37" s="1"/>
  <c r="E18" i="39"/>
  <c r="F282" i="38" s="1"/>
  <c r="K443" i="13"/>
  <c r="M182" i="13"/>
  <c r="M436" i="13"/>
  <c r="M183" i="13"/>
  <c r="K264" i="13"/>
  <c r="P66" i="13"/>
  <c r="C23" i="39"/>
  <c r="E23" i="39" s="1"/>
  <c r="F287" i="38" s="1"/>
  <c r="C37" i="33"/>
  <c r="C39" i="33" s="1"/>
  <c r="K249" i="13"/>
  <c r="N249" i="13"/>
  <c r="T249" i="13"/>
  <c r="P249" i="13"/>
  <c r="L249" i="13"/>
  <c r="L264" i="13" s="1"/>
  <c r="M249" i="13"/>
  <c r="R249" i="13"/>
  <c r="S249" i="13"/>
  <c r="O249" i="13"/>
  <c r="Q249" i="13"/>
  <c r="N172" i="13"/>
  <c r="N168" i="13"/>
  <c r="L130" i="13"/>
  <c r="L457" i="13"/>
  <c r="P180" i="13"/>
  <c r="O165" i="13"/>
  <c r="I155" i="12"/>
  <c r="D14" i="37" s="1"/>
  <c r="O172" i="13" l="1"/>
  <c r="O168" i="13"/>
  <c r="P64" i="13"/>
  <c r="P75" i="13"/>
  <c r="L250" i="13"/>
  <c r="K250" i="13"/>
  <c r="N250" i="13"/>
  <c r="S250" i="13"/>
  <c r="P250" i="13"/>
  <c r="M250" i="13"/>
  <c r="M264" i="13" s="1"/>
  <c r="Q250" i="13"/>
  <c r="R250" i="13"/>
  <c r="T250" i="13"/>
  <c r="O250" i="13"/>
  <c r="I127" i="12"/>
  <c r="D24" i="34"/>
  <c r="N182" i="13"/>
  <c r="N436" i="13"/>
  <c r="N183" i="13"/>
  <c r="Q180" i="13"/>
  <c r="P165" i="13"/>
  <c r="P172" i="13" s="1"/>
  <c r="H259" i="38"/>
  <c r="H261" i="38" s="1"/>
  <c r="E18" i="34"/>
  <c r="E19" i="34" s="1"/>
  <c r="M130" i="13"/>
  <c r="M457" i="13"/>
  <c r="M441" i="13"/>
  <c r="N441" i="13"/>
  <c r="N443" i="13" s="1"/>
  <c r="G261" i="38"/>
  <c r="G7" i="93"/>
  <c r="L24" i="9"/>
  <c r="K153" i="12"/>
  <c r="K155" i="12" s="1"/>
  <c r="F14" i="37" s="1"/>
  <c r="J127" i="12" l="1"/>
  <c r="E24" i="34"/>
  <c r="P436" i="13"/>
  <c r="P183" i="13"/>
  <c r="P182" i="13"/>
  <c r="H264" i="38"/>
  <c r="H265" i="38" s="1"/>
  <c r="H262" i="38"/>
  <c r="R180" i="13"/>
  <c r="Q165" i="13"/>
  <c r="Q172" i="13" s="1"/>
  <c r="G264" i="38"/>
  <c r="G265" i="38" s="1"/>
  <c r="G262" i="38"/>
  <c r="L251" i="13"/>
  <c r="K251" i="13"/>
  <c r="M251" i="13"/>
  <c r="S251" i="13"/>
  <c r="P251" i="13"/>
  <c r="Q251" i="13"/>
  <c r="N251" i="13"/>
  <c r="N264" i="13" s="1"/>
  <c r="R251" i="13"/>
  <c r="O251" i="13"/>
  <c r="T251" i="13"/>
  <c r="N130" i="13"/>
  <c r="N457" i="13"/>
  <c r="P71" i="13"/>
  <c r="P168" i="13"/>
  <c r="P68" i="13"/>
  <c r="Q67" i="13" s="1"/>
  <c r="I259" i="38"/>
  <c r="I261" i="38" s="1"/>
  <c r="F18" i="34"/>
  <c r="F19" i="34" s="1"/>
  <c r="H7" i="93"/>
  <c r="M24" i="9"/>
  <c r="L153" i="12"/>
  <c r="L155" i="12" s="1"/>
  <c r="G14" i="37" s="1"/>
  <c r="M443" i="13"/>
  <c r="D29" i="34"/>
  <c r="D30" i="34" s="1"/>
  <c r="D31" i="34"/>
  <c r="I182" i="12"/>
  <c r="O436" i="13"/>
  <c r="O183" i="13"/>
  <c r="O182" i="13"/>
  <c r="K127" i="12" l="1"/>
  <c r="F24" i="34"/>
  <c r="K252" i="13"/>
  <c r="L252" i="13"/>
  <c r="M252" i="13"/>
  <c r="N252" i="13"/>
  <c r="P252" i="13"/>
  <c r="S252" i="13"/>
  <c r="Q252" i="13"/>
  <c r="O252" i="13"/>
  <c r="O264" i="13" s="1"/>
  <c r="R252" i="13"/>
  <c r="T252" i="13"/>
  <c r="P457" i="13"/>
  <c r="P130" i="13"/>
  <c r="O130" i="13"/>
  <c r="O457" i="13"/>
  <c r="O441" i="13"/>
  <c r="P441" i="13"/>
  <c r="P443" i="13" s="1"/>
  <c r="Q441" i="13"/>
  <c r="Q443" i="13" s="1"/>
  <c r="I7" i="93"/>
  <c r="N24" i="9"/>
  <c r="M153" i="12"/>
  <c r="M155" i="12" s="1"/>
  <c r="H14" i="37" s="1"/>
  <c r="Q436" i="13"/>
  <c r="Q183" i="13"/>
  <c r="Q182" i="13"/>
  <c r="J259" i="38"/>
  <c r="J261" i="38" s="1"/>
  <c r="G18" i="34"/>
  <c r="G19" i="34" s="1"/>
  <c r="S180" i="13"/>
  <c r="R165" i="13"/>
  <c r="R172" i="13" s="1"/>
  <c r="J182" i="12"/>
  <c r="E29" i="34"/>
  <c r="E30" i="34" s="1"/>
  <c r="E31" i="34" s="1"/>
  <c r="I264" i="38"/>
  <c r="I265" i="38" s="1"/>
  <c r="I262" i="38"/>
  <c r="Q66" i="13"/>
  <c r="K253" i="13"/>
  <c r="L253" i="13"/>
  <c r="M253" i="13"/>
  <c r="N253" i="13"/>
  <c r="O253" i="13"/>
  <c r="S253" i="13"/>
  <c r="R253" i="13"/>
  <c r="T253" i="13"/>
  <c r="P253" i="13"/>
  <c r="P264" i="13" s="1"/>
  <c r="Q253" i="13"/>
  <c r="L127" i="12" l="1"/>
  <c r="G24" i="34"/>
  <c r="J7" i="93"/>
  <c r="O24" i="9"/>
  <c r="N153" i="12"/>
  <c r="N155" i="12" s="1"/>
  <c r="I14" i="37" s="1"/>
  <c r="L259" i="38"/>
  <c r="L261" i="38" s="1"/>
  <c r="I18" i="34"/>
  <c r="I24" i="34" s="1"/>
  <c r="J264" i="38"/>
  <c r="J265" i="38" s="1"/>
  <c r="J262" i="38"/>
  <c r="F29" i="34"/>
  <c r="F30" i="34" s="1"/>
  <c r="F31" i="34" s="1"/>
  <c r="K182" i="12"/>
  <c r="Q64" i="13"/>
  <c r="Q75" i="13"/>
  <c r="K254" i="13"/>
  <c r="L254" i="13"/>
  <c r="N254" i="13"/>
  <c r="M254" i="13"/>
  <c r="O254" i="13"/>
  <c r="P254" i="13"/>
  <c r="T254" i="13"/>
  <c r="R254" i="13"/>
  <c r="Q254" i="13"/>
  <c r="Q264" i="13" s="1"/>
  <c r="S254" i="13"/>
  <c r="O443" i="13"/>
  <c r="Q457" i="13"/>
  <c r="Q130" i="13"/>
  <c r="R441" i="13"/>
  <c r="R443" i="13" s="1"/>
  <c r="R436" i="13"/>
  <c r="R183" i="13"/>
  <c r="R182" i="13"/>
  <c r="T180" i="13"/>
  <c r="T165" i="13" s="1"/>
  <c r="T172" i="13" s="1"/>
  <c r="S165" i="13"/>
  <c r="S172" i="13" s="1"/>
  <c r="K259" i="38"/>
  <c r="K261" i="38" s="1"/>
  <c r="H18" i="34"/>
  <c r="H24" i="34" s="1"/>
  <c r="I29" i="34" l="1"/>
  <c r="I30" i="34" s="1"/>
  <c r="I31" i="34" s="1"/>
  <c r="N182" i="12"/>
  <c r="K264" i="38"/>
  <c r="K265" i="38" s="1"/>
  <c r="K262" i="38"/>
  <c r="M259" i="38"/>
  <c r="M261" i="38" s="1"/>
  <c r="J18" i="34"/>
  <c r="J19" i="34" s="1"/>
  <c r="L264" i="38"/>
  <c r="L265" i="38" s="1"/>
  <c r="L262" i="38"/>
  <c r="S436" i="13"/>
  <c r="S183" i="13"/>
  <c r="S182" i="13"/>
  <c r="H29" i="34"/>
  <c r="H30" i="34" s="1"/>
  <c r="H31" i="34" s="1"/>
  <c r="M182" i="12"/>
  <c r="Q71" i="13"/>
  <c r="Q168" i="13"/>
  <c r="Q68" i="13"/>
  <c r="R67" i="13" s="1"/>
  <c r="T182" i="13"/>
  <c r="T436" i="13"/>
  <c r="T183" i="13"/>
  <c r="K255" i="13"/>
  <c r="L255" i="13"/>
  <c r="M255" i="13"/>
  <c r="N255" i="13"/>
  <c r="O255" i="13"/>
  <c r="P255" i="13"/>
  <c r="Q255" i="13"/>
  <c r="T255" i="13"/>
  <c r="R255" i="13"/>
  <c r="R264" i="13" s="1"/>
  <c r="S255" i="13"/>
  <c r="G29" i="34"/>
  <c r="G30" i="34" s="1"/>
  <c r="G31" i="34" s="1"/>
  <c r="L182" i="12"/>
  <c r="K7" i="93"/>
  <c r="P24" i="9"/>
  <c r="O153" i="12"/>
  <c r="O155" i="12" s="1"/>
  <c r="J14" i="37" s="1"/>
  <c r="R457" i="13"/>
  <c r="R130" i="13"/>
  <c r="T130" i="13" l="1"/>
  <c r="T457" i="13"/>
  <c r="T441" i="13"/>
  <c r="M264" i="38"/>
  <c r="M265" i="38" s="1"/>
  <c r="M262" i="38"/>
  <c r="L7" i="93"/>
  <c r="Q24" i="9"/>
  <c r="P153" i="12"/>
  <c r="P155" i="12" s="1"/>
  <c r="K14" i="37" s="1"/>
  <c r="R66" i="13"/>
  <c r="K256" i="13"/>
  <c r="L256" i="13"/>
  <c r="M256" i="13"/>
  <c r="N256" i="13"/>
  <c r="P256" i="13"/>
  <c r="O256" i="13"/>
  <c r="Q256" i="13"/>
  <c r="R256" i="13"/>
  <c r="S256" i="13"/>
  <c r="S264" i="13" s="1"/>
  <c r="T256" i="13"/>
  <c r="K257" i="13"/>
  <c r="K265" i="13" s="1"/>
  <c r="L257" i="13"/>
  <c r="L265" i="13" s="1"/>
  <c r="N257" i="13"/>
  <c r="M257" i="13"/>
  <c r="O257" i="13"/>
  <c r="O265" i="13" s="1"/>
  <c r="Q257" i="13"/>
  <c r="Q265" i="13" s="1"/>
  <c r="P257" i="13"/>
  <c r="R257" i="13"/>
  <c r="R265" i="13" s="1"/>
  <c r="S257" i="13"/>
  <c r="S265" i="13" s="1"/>
  <c r="T257" i="13"/>
  <c r="S130" i="13"/>
  <c r="S457" i="13"/>
  <c r="S441" i="13"/>
  <c r="S443" i="13" s="1"/>
  <c r="O127" i="12"/>
  <c r="J24" i="34"/>
  <c r="N259" i="38"/>
  <c r="N261" i="38" s="1"/>
  <c r="K18" i="34"/>
  <c r="K19" i="34" s="1"/>
  <c r="P127" i="12" l="1"/>
  <c r="K24" i="34"/>
  <c r="N265" i="13"/>
  <c r="M7" i="93"/>
  <c r="R24" i="9"/>
  <c r="R153" i="12" s="1"/>
  <c r="R155" i="12" s="1"/>
  <c r="M14" i="37" s="1"/>
  <c r="Q153" i="12"/>
  <c r="Q155" i="12" s="1"/>
  <c r="L14" i="37" s="1"/>
  <c r="J29" i="34"/>
  <c r="J30" i="34" s="1"/>
  <c r="J31" i="34"/>
  <c r="O182" i="12"/>
  <c r="R120" i="13"/>
  <c r="R118" i="13" s="1"/>
  <c r="R114" i="13" s="1"/>
  <c r="R111" i="13" s="1"/>
  <c r="R270" i="13"/>
  <c r="R447" i="13"/>
  <c r="T264" i="13"/>
  <c r="T265" i="13"/>
  <c r="N264" i="38"/>
  <c r="N265" i="38" s="1"/>
  <c r="N262" i="38"/>
  <c r="L120" i="13"/>
  <c r="L118" i="13" s="1"/>
  <c r="L114" i="13" s="1"/>
  <c r="L111" i="13" s="1"/>
  <c r="L270" i="13"/>
  <c r="L447" i="13"/>
  <c r="R64" i="13"/>
  <c r="R75" i="13"/>
  <c r="T443" i="13"/>
  <c r="C442" i="13"/>
  <c r="K120" i="13"/>
  <c r="K118" i="13" s="1"/>
  <c r="K114" i="13" s="1"/>
  <c r="K111" i="13" s="1"/>
  <c r="K270" i="13"/>
  <c r="K447" i="13"/>
  <c r="P265" i="13"/>
  <c r="Q120" i="13"/>
  <c r="Q118" i="13" s="1"/>
  <c r="Q114" i="13" s="1"/>
  <c r="Q111" i="13" s="1"/>
  <c r="Q270" i="13"/>
  <c r="Q447" i="13"/>
  <c r="O270" i="13"/>
  <c r="O447" i="13"/>
  <c r="O120" i="13"/>
  <c r="O118" i="13" s="1"/>
  <c r="O114" i="13" s="1"/>
  <c r="O111" i="13" s="1"/>
  <c r="P259" i="38"/>
  <c r="M18" i="34"/>
  <c r="S120" i="13"/>
  <c r="S118" i="13" s="1"/>
  <c r="S114" i="13" s="1"/>
  <c r="S111" i="13" s="1"/>
  <c r="S270" i="13"/>
  <c r="S447" i="13"/>
  <c r="O259" i="38"/>
  <c r="O261" i="38" s="1"/>
  <c r="L18" i="34"/>
  <c r="L19" i="34" s="1"/>
  <c r="M265" i="13"/>
  <c r="Q127" i="12" l="1"/>
  <c r="M19" i="34"/>
  <c r="L24" i="34"/>
  <c r="T120" i="13"/>
  <c r="T118" i="13" s="1"/>
  <c r="T114" i="13" s="1"/>
  <c r="T111" i="13" s="1"/>
  <c r="T270" i="13"/>
  <c r="T447" i="13"/>
  <c r="O119" i="38"/>
  <c r="L18" i="16"/>
  <c r="L19" i="16" s="1"/>
  <c r="S458" i="13"/>
  <c r="N119" i="38"/>
  <c r="K18" i="16"/>
  <c r="K19" i="16" s="1"/>
  <c r="R458" i="13"/>
  <c r="P447" i="13"/>
  <c r="P120" i="13"/>
  <c r="P118" i="13" s="1"/>
  <c r="P114" i="13" s="1"/>
  <c r="P111" i="13" s="1"/>
  <c r="P270" i="13"/>
  <c r="H119" i="38"/>
  <c r="E18" i="16"/>
  <c r="E19" i="16" s="1"/>
  <c r="L458" i="13"/>
  <c r="N270" i="13"/>
  <c r="N447" i="13"/>
  <c r="N120" i="13"/>
  <c r="N118" i="13" s="1"/>
  <c r="N114" i="13" s="1"/>
  <c r="N111" i="13" s="1"/>
  <c r="C271" i="13"/>
  <c r="K31" i="34"/>
  <c r="P182" i="12"/>
  <c r="K29" i="34"/>
  <c r="K30" i="34" s="1"/>
  <c r="M119" i="38"/>
  <c r="J18" i="16"/>
  <c r="J19" i="16" s="1"/>
  <c r="Q458" i="13"/>
  <c r="R168" i="13"/>
  <c r="R71" i="13"/>
  <c r="R68" i="13"/>
  <c r="S67" i="13" s="1"/>
  <c r="P261" i="38"/>
  <c r="C288" i="38"/>
  <c r="G119" i="38"/>
  <c r="D18" i="16"/>
  <c r="D19" i="16" s="1"/>
  <c r="K458" i="13"/>
  <c r="M120" i="13"/>
  <c r="M118" i="13" s="1"/>
  <c r="M114" i="13" s="1"/>
  <c r="M111" i="13" s="1"/>
  <c r="M270" i="13"/>
  <c r="M447" i="13"/>
  <c r="K119" i="38"/>
  <c r="H18" i="16"/>
  <c r="O458" i="13"/>
  <c r="O264" i="38"/>
  <c r="O265" i="38" s="1"/>
  <c r="O262" i="38"/>
  <c r="D443" i="13"/>
  <c r="C443" i="13"/>
  <c r="C130" i="13" s="1"/>
  <c r="E130" i="13"/>
  <c r="L24" i="16" l="1"/>
  <c r="Q117" i="12"/>
  <c r="C272" i="13"/>
  <c r="C120" i="13" s="1"/>
  <c r="E120" i="13"/>
  <c r="S66" i="13"/>
  <c r="D24" i="16"/>
  <c r="I117" i="12"/>
  <c r="J24" i="16"/>
  <c r="O117" i="12"/>
  <c r="U56" i="39"/>
  <c r="U58" i="39" s="1"/>
  <c r="O121" i="38"/>
  <c r="L119" i="38"/>
  <c r="P458" i="13"/>
  <c r="I18" i="16"/>
  <c r="I19" i="16" s="1"/>
  <c r="M56" i="39"/>
  <c r="G121" i="38"/>
  <c r="S56" i="39"/>
  <c r="S58" i="39" s="1"/>
  <c r="M121" i="38"/>
  <c r="K24" i="16"/>
  <c r="P117" i="12"/>
  <c r="L29" i="34"/>
  <c r="L30" i="34" s="1"/>
  <c r="L31" i="34"/>
  <c r="Q182" i="12"/>
  <c r="I119" i="38"/>
  <c r="F18" i="16"/>
  <c r="F19" i="16" s="1"/>
  <c r="M458" i="13"/>
  <c r="N56" i="39"/>
  <c r="H121" i="38"/>
  <c r="T56" i="39"/>
  <c r="T58" i="39" s="1"/>
  <c r="N121" i="38"/>
  <c r="R127" i="12"/>
  <c r="M24" i="34"/>
  <c r="P119" i="38"/>
  <c r="M18" i="16"/>
  <c r="M19" i="16" s="1"/>
  <c r="T458" i="13"/>
  <c r="J119" i="38"/>
  <c r="G18" i="16"/>
  <c r="G19" i="16" s="1"/>
  <c r="N458" i="13"/>
  <c r="Q56" i="39"/>
  <c r="K121" i="38"/>
  <c r="P264" i="38"/>
  <c r="P265" i="38" s="1"/>
  <c r="P262" i="38"/>
  <c r="J117" i="12"/>
  <c r="E24" i="16"/>
  <c r="V56" i="39" l="1"/>
  <c r="V58" i="39" s="1"/>
  <c r="P121" i="38"/>
  <c r="F24" i="16"/>
  <c r="K117" i="12"/>
  <c r="J29" i="16"/>
  <c r="J30" i="16" s="1"/>
  <c r="J31" i="16"/>
  <c r="O172" i="12"/>
  <c r="L31" i="16"/>
  <c r="Q172" i="12"/>
  <c r="L29" i="16"/>
  <c r="L30" i="16" s="1"/>
  <c r="N124" i="38"/>
  <c r="N125" i="38" s="1"/>
  <c r="N122" i="38"/>
  <c r="M20" i="50"/>
  <c r="M58" i="39"/>
  <c r="D18" i="35"/>
  <c r="D19" i="35" s="1"/>
  <c r="I129" i="12"/>
  <c r="D22" i="36" s="1"/>
  <c r="I132" i="12"/>
  <c r="I130" i="12"/>
  <c r="T61" i="39"/>
  <c r="T62" i="39" s="1"/>
  <c r="T59" i="39"/>
  <c r="I24" i="16"/>
  <c r="N117" i="12"/>
  <c r="D31" i="16"/>
  <c r="I172" i="12"/>
  <c r="D29" i="16"/>
  <c r="D30" i="16" s="1"/>
  <c r="J172" i="12"/>
  <c r="E29" i="16"/>
  <c r="E30" i="16" s="1"/>
  <c r="E31" i="16"/>
  <c r="P56" i="39"/>
  <c r="J121" i="38"/>
  <c r="H124" i="38"/>
  <c r="H125" i="38" s="1"/>
  <c r="H122" i="38"/>
  <c r="P129" i="12"/>
  <c r="K22" i="36" s="1"/>
  <c r="K81" i="36" s="1"/>
  <c r="K18" i="35"/>
  <c r="P132" i="12"/>
  <c r="P130" i="12"/>
  <c r="S64" i="13"/>
  <c r="S75" i="13"/>
  <c r="AC20" i="50"/>
  <c r="AE12" i="50" s="1"/>
  <c r="AE17" i="50" s="1"/>
  <c r="Q58" i="39"/>
  <c r="C278" i="38"/>
  <c r="G24" i="16"/>
  <c r="H19" i="16"/>
  <c r="L117" i="12"/>
  <c r="E18" i="35"/>
  <c r="J129" i="12"/>
  <c r="E22" i="36" s="1"/>
  <c r="E81" i="36" s="1"/>
  <c r="J132" i="12"/>
  <c r="J130" i="12"/>
  <c r="Q20" i="50"/>
  <c r="S12" i="50" s="1"/>
  <c r="S17" i="50" s="1"/>
  <c r="N58" i="39"/>
  <c r="K31" i="16"/>
  <c r="P172" i="12"/>
  <c r="K29" i="16"/>
  <c r="K30" i="16" s="1"/>
  <c r="R56" i="39"/>
  <c r="R58" i="39" s="1"/>
  <c r="L121" i="38"/>
  <c r="R117" i="12"/>
  <c r="M24" i="16"/>
  <c r="M124" i="38"/>
  <c r="M125" i="38" s="1"/>
  <c r="M122" i="38"/>
  <c r="O124" i="38"/>
  <c r="O125" i="38" s="1"/>
  <c r="O122" i="38"/>
  <c r="S61" i="39"/>
  <c r="S62" i="39" s="1"/>
  <c r="S59" i="39"/>
  <c r="U61" i="39"/>
  <c r="U62" i="39" s="1"/>
  <c r="U59" i="39"/>
  <c r="K124" i="38"/>
  <c r="K125" i="38" s="1"/>
  <c r="K122" i="38"/>
  <c r="R182" i="12"/>
  <c r="M29" i="34"/>
  <c r="O56" i="39"/>
  <c r="I121" i="38"/>
  <c r="G124" i="38"/>
  <c r="G125" i="38" s="1"/>
  <c r="G122" i="38"/>
  <c r="J18" i="35"/>
  <c r="O129" i="12"/>
  <c r="J22" i="36" s="1"/>
  <c r="J81" i="36" s="1"/>
  <c r="O132" i="12"/>
  <c r="O130" i="12"/>
  <c r="L18" i="35"/>
  <c r="Q129" i="12"/>
  <c r="L22" i="36" s="1"/>
  <c r="L81" i="36" s="1"/>
  <c r="Q132" i="12"/>
  <c r="Q130" i="12"/>
  <c r="U20" i="50" l="1"/>
  <c r="W12" i="50" s="1"/>
  <c r="W17" i="50" s="1"/>
  <c r="O58" i="39"/>
  <c r="L124" i="38"/>
  <c r="L125" i="38" s="1"/>
  <c r="L122" i="38"/>
  <c r="E20" i="93"/>
  <c r="E22" i="37"/>
  <c r="I184" i="12"/>
  <c r="I187" i="12"/>
  <c r="I185" i="12"/>
  <c r="D28" i="36" s="1"/>
  <c r="D23" i="36"/>
  <c r="E23" i="36" s="1"/>
  <c r="D81" i="36"/>
  <c r="R61" i="39"/>
  <c r="R62" i="39" s="1"/>
  <c r="R59" i="39"/>
  <c r="J124" i="38"/>
  <c r="J125" i="38" s="1"/>
  <c r="J122" i="38"/>
  <c r="E19" i="35"/>
  <c r="D24" i="35"/>
  <c r="O184" i="12"/>
  <c r="O187" i="12"/>
  <c r="J27" i="37" s="1"/>
  <c r="O185" i="12"/>
  <c r="J28" i="36" s="1"/>
  <c r="Y20" i="50"/>
  <c r="AA12" i="50" s="1"/>
  <c r="AA17" i="50" s="1"/>
  <c r="P58" i="39"/>
  <c r="I18" i="35"/>
  <c r="N129" i="12"/>
  <c r="I22" i="36" s="1"/>
  <c r="I81" i="36" s="1"/>
  <c r="N132" i="12"/>
  <c r="N130" i="12"/>
  <c r="M61" i="39"/>
  <c r="M62" i="39" s="1"/>
  <c r="M59" i="39"/>
  <c r="J20" i="93"/>
  <c r="J22" i="37"/>
  <c r="S168" i="13"/>
  <c r="S71" i="13"/>
  <c r="S68" i="13"/>
  <c r="T67" i="13" s="1"/>
  <c r="P184" i="12"/>
  <c r="P187" i="12"/>
  <c r="K27" i="37" s="1"/>
  <c r="P185" i="12"/>
  <c r="K28" i="36" s="1"/>
  <c r="G18" i="35"/>
  <c r="L129" i="12"/>
  <c r="G22" i="36" s="1"/>
  <c r="G81" i="36" s="1"/>
  <c r="L132" i="12"/>
  <c r="L130" i="12"/>
  <c r="I29" i="16"/>
  <c r="I30" i="16" s="1"/>
  <c r="I31" i="16" s="1"/>
  <c r="N172" i="12"/>
  <c r="O12" i="50"/>
  <c r="O17" i="50" s="1"/>
  <c r="O13" i="50"/>
  <c r="N24" i="34"/>
  <c r="C34" i="34" s="1"/>
  <c r="M30" i="34"/>
  <c r="M31" i="34" s="1"/>
  <c r="H24" i="16"/>
  <c r="M117" i="12"/>
  <c r="K22" i="37"/>
  <c r="K20" i="93"/>
  <c r="F18" i="35"/>
  <c r="K129" i="12"/>
  <c r="F22" i="36" s="1"/>
  <c r="F81" i="36" s="1"/>
  <c r="K132" i="12"/>
  <c r="K130" i="12"/>
  <c r="N61" i="39"/>
  <c r="N62" i="39" s="1"/>
  <c r="S18" i="50" s="1"/>
  <c r="N59" i="39"/>
  <c r="G29" i="16"/>
  <c r="G30" i="16" s="1"/>
  <c r="G31" i="16"/>
  <c r="L172" i="12"/>
  <c r="J184" i="12"/>
  <c r="J187" i="12"/>
  <c r="E27" i="37" s="1"/>
  <c r="J185" i="12"/>
  <c r="E28" i="36" s="1"/>
  <c r="F29" i="16"/>
  <c r="F30" i="16" s="1"/>
  <c r="F31" i="16"/>
  <c r="K172" i="12"/>
  <c r="L20" i="93"/>
  <c r="L22" i="37"/>
  <c r="R172" i="12"/>
  <c r="M29" i="16"/>
  <c r="C59" i="39"/>
  <c r="C61" i="39"/>
  <c r="V273" i="38"/>
  <c r="W273" i="38" s="1"/>
  <c r="V271" i="38"/>
  <c r="W271" i="38" s="1"/>
  <c r="X272" i="38" s="1"/>
  <c r="V272" i="38"/>
  <c r="W272" i="38" s="1"/>
  <c r="C60" i="39"/>
  <c r="C291" i="38"/>
  <c r="P124" i="38"/>
  <c r="P125" i="38" s="1"/>
  <c r="P122" i="38"/>
  <c r="I124" i="38"/>
  <c r="I125" i="38" s="1"/>
  <c r="I122" i="38"/>
  <c r="M18" i="35"/>
  <c r="R129" i="12"/>
  <c r="M22" i="36" s="1"/>
  <c r="M81" i="36" s="1"/>
  <c r="R132" i="12"/>
  <c r="R130" i="12"/>
  <c r="Q61" i="39"/>
  <c r="Q62" i="39" s="1"/>
  <c r="AE18" i="50" s="1"/>
  <c r="Q59" i="39"/>
  <c r="D20" i="93"/>
  <c r="D22" i="37"/>
  <c r="Q184" i="12"/>
  <c r="Q187" i="12"/>
  <c r="L27" i="37" s="1"/>
  <c r="Q185" i="12"/>
  <c r="L28" i="36" s="1"/>
  <c r="V61" i="39"/>
  <c r="V62" i="39" s="1"/>
  <c r="V59" i="39"/>
  <c r="L47" i="36" l="1"/>
  <c r="L49" i="36" s="1"/>
  <c r="L33" i="36"/>
  <c r="L34" i="36" s="1"/>
  <c r="L35" i="36" s="1"/>
  <c r="H29" i="16"/>
  <c r="H30" i="16" s="1"/>
  <c r="H31" i="16"/>
  <c r="M172" i="12"/>
  <c r="F19" i="35"/>
  <c r="E24" i="35"/>
  <c r="D27" i="37"/>
  <c r="E33" i="36"/>
  <c r="E34" i="36" s="1"/>
  <c r="E47" i="36"/>
  <c r="E49" i="36" s="1"/>
  <c r="E35" i="36"/>
  <c r="G20" i="93"/>
  <c r="G22" i="37"/>
  <c r="D291" i="38"/>
  <c r="C293" i="38"/>
  <c r="M30" i="16"/>
  <c r="M31" i="16" s="1"/>
  <c r="N24" i="16"/>
  <c r="E32" i="37"/>
  <c r="E33" i="37" s="1"/>
  <c r="E34" i="37" s="1"/>
  <c r="E46" i="37"/>
  <c r="E48" i="37" s="1"/>
  <c r="F22" i="37"/>
  <c r="F20" i="93"/>
  <c r="C37" i="34"/>
  <c r="C39" i="34" s="1"/>
  <c r="C24" i="39"/>
  <c r="E24" i="39" s="1"/>
  <c r="F288" i="38" s="1"/>
  <c r="P61" i="39"/>
  <c r="P62" i="39" s="1"/>
  <c r="AA18" i="50" s="1"/>
  <c r="P59" i="39"/>
  <c r="M20" i="93"/>
  <c r="M22" i="37"/>
  <c r="R184" i="12"/>
  <c r="R187" i="12"/>
  <c r="M27" i="37" s="1"/>
  <c r="R185" i="12"/>
  <c r="M28" i="36" s="1"/>
  <c r="P13" i="50"/>
  <c r="R13" i="50" s="1"/>
  <c r="Q13" i="50" s="1"/>
  <c r="S13" i="50" s="1"/>
  <c r="O16" i="50"/>
  <c r="P15" i="50" s="1"/>
  <c r="R15" i="50" s="1"/>
  <c r="Q15" i="50" s="1"/>
  <c r="S15" i="50" s="1"/>
  <c r="J29" i="93"/>
  <c r="J23" i="93"/>
  <c r="J34" i="93" s="1"/>
  <c r="J51" i="93" s="1"/>
  <c r="J53" i="93" s="1"/>
  <c r="J31" i="93"/>
  <c r="J30" i="93"/>
  <c r="E29" i="93"/>
  <c r="E23" i="93"/>
  <c r="E34" i="93" s="1"/>
  <c r="E51" i="93" s="1"/>
  <c r="E53" i="93" s="1"/>
  <c r="E31" i="93"/>
  <c r="E30" i="93"/>
  <c r="L46" i="37"/>
  <c r="L48" i="37" s="1"/>
  <c r="L32" i="37"/>
  <c r="L33" i="37" s="1"/>
  <c r="L34" i="37" s="1"/>
  <c r="L184" i="12"/>
  <c r="L187" i="12"/>
  <c r="G27" i="37" s="1"/>
  <c r="L185" i="12"/>
  <c r="G28" i="36" s="1"/>
  <c r="K47" i="36"/>
  <c r="K49" i="36" s="1"/>
  <c r="K33" i="36"/>
  <c r="K34" i="36" s="1"/>
  <c r="K35" i="36" s="1"/>
  <c r="J33" i="36"/>
  <c r="J34" i="36" s="1"/>
  <c r="J35" i="36" s="1"/>
  <c r="J47" i="36"/>
  <c r="J49" i="36" s="1"/>
  <c r="X273" i="38"/>
  <c r="L23" i="93"/>
  <c r="L34" i="93" s="1"/>
  <c r="L51" i="93" s="1"/>
  <c r="L53" i="93" s="1"/>
  <c r="L29" i="93"/>
  <c r="L31" i="93"/>
  <c r="L30" i="93"/>
  <c r="K23" i="93"/>
  <c r="K34" i="93" s="1"/>
  <c r="K51" i="93" s="1"/>
  <c r="K53" i="93" s="1"/>
  <c r="K29" i="93"/>
  <c r="K31" i="93"/>
  <c r="K30" i="93"/>
  <c r="N184" i="12"/>
  <c r="N187" i="12"/>
  <c r="I27" i="37" s="1"/>
  <c r="N185" i="12"/>
  <c r="I28" i="36" s="1"/>
  <c r="K32" i="37"/>
  <c r="K33" i="37" s="1"/>
  <c r="K34" i="37" s="1"/>
  <c r="K46" i="37"/>
  <c r="K48" i="37" s="1"/>
  <c r="O18" i="50"/>
  <c r="T63" i="39"/>
  <c r="J46" i="37"/>
  <c r="J48" i="37" s="1"/>
  <c r="J32" i="37"/>
  <c r="J33" i="37" s="1"/>
  <c r="J34" i="37" s="1"/>
  <c r="D23" i="93"/>
  <c r="D34" i="93" s="1"/>
  <c r="D51" i="93" s="1"/>
  <c r="D53" i="93" s="1"/>
  <c r="D29" i="93"/>
  <c r="D30" i="93"/>
  <c r="D31" i="93"/>
  <c r="K184" i="12"/>
  <c r="K187" i="12"/>
  <c r="F27" i="37" s="1"/>
  <c r="K185" i="12"/>
  <c r="F28" i="36" s="1"/>
  <c r="F23" i="36"/>
  <c r="G23" i="36" s="1"/>
  <c r="O61" i="39"/>
  <c r="O62" i="39" s="1"/>
  <c r="W18" i="50" s="1"/>
  <c r="O59" i="39"/>
  <c r="H18" i="35"/>
  <c r="M129" i="12"/>
  <c r="H22" i="36" s="1"/>
  <c r="H81" i="36" s="1"/>
  <c r="M132" i="12"/>
  <c r="M130" i="12"/>
  <c r="T66" i="13"/>
  <c r="I20" i="93"/>
  <c r="I22" i="37"/>
  <c r="D29" i="35"/>
  <c r="D30" i="35" s="1"/>
  <c r="D45" i="35"/>
  <c r="D47" i="35" s="1"/>
  <c r="D31" i="35"/>
  <c r="D47" i="36"/>
  <c r="D49" i="36" s="1"/>
  <c r="D33" i="36"/>
  <c r="D34" i="36" s="1"/>
  <c r="D35" i="36" s="1"/>
  <c r="I32" i="37" l="1"/>
  <c r="I33" i="37" s="1"/>
  <c r="I46" i="37"/>
  <c r="I48" i="37" s="1"/>
  <c r="I34" i="37"/>
  <c r="G33" i="36"/>
  <c r="G34" i="36" s="1"/>
  <c r="G35" i="36" s="1"/>
  <c r="G47" i="36"/>
  <c r="G49" i="36" s="1"/>
  <c r="M33" i="36"/>
  <c r="M34" i="36" s="1"/>
  <c r="M35" i="36" s="1"/>
  <c r="M47" i="36"/>
  <c r="M49" i="36" s="1"/>
  <c r="E45" i="35"/>
  <c r="E47" i="35" s="1"/>
  <c r="E29" i="35"/>
  <c r="E30" i="35" s="1"/>
  <c r="E31" i="35" s="1"/>
  <c r="H22" i="37"/>
  <c r="H20" i="93"/>
  <c r="M32" i="37"/>
  <c r="M33" i="37" s="1"/>
  <c r="M46" i="37"/>
  <c r="M48" i="37" s="1"/>
  <c r="M34" i="37"/>
  <c r="F23" i="93"/>
  <c r="F34" i="93" s="1"/>
  <c r="F51" i="93" s="1"/>
  <c r="F53" i="93" s="1"/>
  <c r="F29" i="93"/>
  <c r="F31" i="93"/>
  <c r="F30" i="93"/>
  <c r="G19" i="35"/>
  <c r="F24" i="35"/>
  <c r="D27" i="93"/>
  <c r="D45" i="93"/>
  <c r="D47" i="93" s="1"/>
  <c r="D56" i="93" s="1"/>
  <c r="M184" i="12"/>
  <c r="M187" i="12"/>
  <c r="H27" i="37" s="1"/>
  <c r="M185" i="12"/>
  <c r="H28" i="36" s="1"/>
  <c r="J45" i="93"/>
  <c r="J47" i="93" s="1"/>
  <c r="J56" i="93" s="1"/>
  <c r="J27" i="93"/>
  <c r="K27" i="93"/>
  <c r="K45" i="93"/>
  <c r="K47" i="93" s="1"/>
  <c r="K56" i="93" s="1"/>
  <c r="E27" i="93"/>
  <c r="E45" i="93"/>
  <c r="E47" i="93" s="1"/>
  <c r="E56" i="93" s="1"/>
  <c r="G46" i="37"/>
  <c r="G48" i="37" s="1"/>
  <c r="G34" i="37"/>
  <c r="G32" i="37"/>
  <c r="G33" i="37" s="1"/>
  <c r="I23" i="93"/>
  <c r="I34" i="93" s="1"/>
  <c r="I51" i="93" s="1"/>
  <c r="I53" i="93" s="1"/>
  <c r="I29" i="93"/>
  <c r="I31" i="93"/>
  <c r="I30" i="93"/>
  <c r="G29" i="93"/>
  <c r="G23" i="93"/>
  <c r="G34" i="93" s="1"/>
  <c r="G51" i="93" s="1"/>
  <c r="G53" i="93" s="1"/>
  <c r="G31" i="93"/>
  <c r="G30" i="93"/>
  <c r="T64" i="13"/>
  <c r="T75" i="13"/>
  <c r="H23" i="36"/>
  <c r="I23" i="36" s="1"/>
  <c r="J23" i="36" s="1"/>
  <c r="K23" i="36" s="1"/>
  <c r="L23" i="36" s="1"/>
  <c r="M23" i="36" s="1"/>
  <c r="I47" i="36"/>
  <c r="I49" i="36" s="1"/>
  <c r="I33" i="36"/>
  <c r="I34" i="36" s="1"/>
  <c r="I35" i="36" s="1"/>
  <c r="M29" i="93"/>
  <c r="M23" i="93"/>
  <c r="M34" i="93" s="1"/>
  <c r="M51" i="93" s="1"/>
  <c r="M53" i="93" s="1"/>
  <c r="M31" i="93"/>
  <c r="M30" i="93"/>
  <c r="F33" i="36"/>
  <c r="F34" i="36" s="1"/>
  <c r="F47" i="36"/>
  <c r="F49" i="36" s="1"/>
  <c r="F35" i="36"/>
  <c r="L45" i="93"/>
  <c r="L47" i="93" s="1"/>
  <c r="L56" i="93" s="1"/>
  <c r="L27" i="93"/>
  <c r="F32" i="37"/>
  <c r="F33" i="37" s="1"/>
  <c r="F34" i="37" s="1"/>
  <c r="F46" i="37"/>
  <c r="F48" i="37" s="1"/>
  <c r="N24" i="35"/>
  <c r="C34" i="16"/>
  <c r="S16" i="50"/>
  <c r="T15" i="50" s="1"/>
  <c r="V15" i="50" s="1"/>
  <c r="U15" i="50" s="1"/>
  <c r="W15" i="50" s="1"/>
  <c r="T13" i="50"/>
  <c r="V13" i="50" s="1"/>
  <c r="U13" i="50" s="1"/>
  <c r="W13" i="50" s="1"/>
  <c r="D34" i="37"/>
  <c r="D32" i="37"/>
  <c r="D33" i="37" s="1"/>
  <c r="D46" i="37"/>
  <c r="D48" i="37" s="1"/>
  <c r="L85" i="93" l="1"/>
  <c r="L70" i="93"/>
  <c r="L58" i="93"/>
  <c r="L94" i="93"/>
  <c r="L77" i="93"/>
  <c r="W16" i="50"/>
  <c r="X15" i="50" s="1"/>
  <c r="Z15" i="50" s="1"/>
  <c r="Y15" i="50" s="1"/>
  <c r="AA15" i="50" s="1"/>
  <c r="M27" i="93"/>
  <c r="M45" i="93"/>
  <c r="M47" i="93" s="1"/>
  <c r="M56" i="93" s="1"/>
  <c r="H33" i="36"/>
  <c r="H34" i="36" s="1"/>
  <c r="H47" i="36"/>
  <c r="H49" i="36" s="1"/>
  <c r="H35" i="36"/>
  <c r="H46" i="37"/>
  <c r="H48" i="37" s="1"/>
  <c r="H32" i="37"/>
  <c r="H33" i="37" s="1"/>
  <c r="H34" i="37" s="1"/>
  <c r="N67" i="93"/>
  <c r="N28" i="36"/>
  <c r="E85" i="93"/>
  <c r="E70" i="93"/>
  <c r="E58" i="93"/>
  <c r="E62" i="93" s="1"/>
  <c r="E77" i="93"/>
  <c r="E94" i="93"/>
  <c r="F27" i="93"/>
  <c r="F45" i="93"/>
  <c r="F47" i="93" s="1"/>
  <c r="F56" i="93" s="1"/>
  <c r="C37" i="37"/>
  <c r="C40" i="37" s="1"/>
  <c r="C42" i="37" s="1"/>
  <c r="D85" i="93"/>
  <c r="D70" i="93"/>
  <c r="D58" i="93"/>
  <c r="D62" i="93" s="1"/>
  <c r="D94" i="93"/>
  <c r="D77" i="93"/>
  <c r="C14" i="39"/>
  <c r="C37" i="16"/>
  <c r="C39" i="16" s="1"/>
  <c r="I45" i="93"/>
  <c r="I47" i="93" s="1"/>
  <c r="I56" i="93" s="1"/>
  <c r="I27" i="93"/>
  <c r="K58" i="93"/>
  <c r="K62" i="93" s="1"/>
  <c r="K85" i="93"/>
  <c r="K70" i="93"/>
  <c r="K94" i="93"/>
  <c r="K77" i="93"/>
  <c r="F45" i="35"/>
  <c r="F47" i="35" s="1"/>
  <c r="F29" i="35"/>
  <c r="F30" i="35" s="1"/>
  <c r="F31" i="35" s="1"/>
  <c r="L62" i="93"/>
  <c r="G45" i="93"/>
  <c r="G47" i="93" s="1"/>
  <c r="G56" i="93" s="1"/>
  <c r="G27" i="93"/>
  <c r="T168" i="13"/>
  <c r="T71" i="13"/>
  <c r="T68" i="13"/>
  <c r="J58" i="93"/>
  <c r="J62" i="93" s="1"/>
  <c r="J85" i="93"/>
  <c r="J70" i="93"/>
  <c r="J94" i="93"/>
  <c r="J77" i="93"/>
  <c r="H19" i="35"/>
  <c r="G24" i="35"/>
  <c r="H29" i="93"/>
  <c r="H23" i="93"/>
  <c r="H34" i="93" s="1"/>
  <c r="H51" i="93" s="1"/>
  <c r="H53" i="93" s="1"/>
  <c r="H31" i="93"/>
  <c r="H30" i="93"/>
  <c r="D63" i="93" l="1"/>
  <c r="X13" i="50"/>
  <c r="Z13" i="50" s="1"/>
  <c r="Y13" i="50" s="1"/>
  <c r="AA13" i="50" s="1"/>
  <c r="H27" i="93"/>
  <c r="H45" i="93"/>
  <c r="H47" i="93" s="1"/>
  <c r="H56" i="93" s="1"/>
  <c r="I85" i="93"/>
  <c r="I70" i="93"/>
  <c r="I58" i="93"/>
  <c r="I77" i="93"/>
  <c r="I94" i="93"/>
  <c r="G29" i="35"/>
  <c r="G30" i="35" s="1"/>
  <c r="G45" i="35"/>
  <c r="G47" i="35" s="1"/>
  <c r="G31" i="35"/>
  <c r="E14" i="39"/>
  <c r="F278" i="38" s="1"/>
  <c r="K46" i="39"/>
  <c r="I47" i="39" s="1"/>
  <c r="N62" i="93"/>
  <c r="C38" i="36"/>
  <c r="C41" i="36" s="1"/>
  <c r="C43" i="36" s="1"/>
  <c r="I62" i="93"/>
  <c r="I19" i="35"/>
  <c r="H24" i="35"/>
  <c r="G85" i="93"/>
  <c r="G70" i="93"/>
  <c r="G58" i="93"/>
  <c r="G77" i="93"/>
  <c r="G94" i="93"/>
  <c r="G62" i="93"/>
  <c r="F58" i="93"/>
  <c r="F62" i="93" s="1"/>
  <c r="F85" i="93"/>
  <c r="F70" i="93"/>
  <c r="F94" i="93"/>
  <c r="F77" i="93"/>
  <c r="M85" i="93"/>
  <c r="M70" i="93"/>
  <c r="M58" i="93"/>
  <c r="M62" i="93" s="1"/>
  <c r="M77" i="93"/>
  <c r="M94" i="93"/>
  <c r="C79" i="93" l="1"/>
  <c r="C81" i="93" s="1"/>
  <c r="AA16" i="50"/>
  <c r="AB15" i="50" s="1"/>
  <c r="AD15" i="50" s="1"/>
  <c r="AC15" i="50" s="1"/>
  <c r="AE15" i="50" s="1"/>
  <c r="D64" i="93"/>
  <c r="C65" i="93" s="1"/>
  <c r="D65" i="93" s="1" a="1"/>
  <c r="D65" i="93" s="1"/>
  <c r="E63" i="93"/>
  <c r="H29" i="35"/>
  <c r="H30" i="35" s="1"/>
  <c r="H45" i="35"/>
  <c r="H47" i="35" s="1"/>
  <c r="H31" i="35"/>
  <c r="D68" i="39"/>
  <c r="D59" i="39"/>
  <c r="D67" i="39"/>
  <c r="D60" i="39"/>
  <c r="D65" i="39"/>
  <c r="D64" i="39"/>
  <c r="D62" i="39"/>
  <c r="D63" i="39"/>
  <c r="D69" i="39"/>
  <c r="D66" i="39"/>
  <c r="D61" i="39"/>
  <c r="H62" i="93"/>
  <c r="C66" i="93" s="1"/>
  <c r="J19" i="35"/>
  <c r="I24" i="35"/>
  <c r="H58" i="93"/>
  <c r="H85" i="93"/>
  <c r="C89" i="93" s="1"/>
  <c r="C91" i="93" s="1"/>
  <c r="H70" i="93"/>
  <c r="C72" i="93" s="1"/>
  <c r="C74" i="93" s="1"/>
  <c r="H77" i="93"/>
  <c r="H94" i="93"/>
  <c r="C98" i="93" s="1"/>
  <c r="C100" i="93" s="1"/>
  <c r="AB13" i="50" l="1"/>
  <c r="AD13" i="50" s="1"/>
  <c r="AC13" i="50" s="1"/>
  <c r="AE13" i="50" s="1"/>
  <c r="F63" i="93"/>
  <c r="E64" i="93"/>
  <c r="D66" i="93"/>
  <c r="I29" i="35"/>
  <c r="I30" i="35" s="1"/>
  <c r="I45" i="35"/>
  <c r="I47" i="35" s="1"/>
  <c r="I31" i="35"/>
  <c r="C67" i="93"/>
  <c r="K19" i="35"/>
  <c r="J24" i="35"/>
  <c r="AF13" i="50" l="1"/>
  <c r="AE16" i="50"/>
  <c r="AF15" i="50" s="1"/>
  <c r="J29" i="35"/>
  <c r="J30" i="35" s="1"/>
  <c r="J45" i="35"/>
  <c r="J47" i="35" s="1"/>
  <c r="J31" i="35"/>
  <c r="L19" i="35"/>
  <c r="K24" i="35"/>
  <c r="G63" i="93"/>
  <c r="F64" i="93"/>
  <c r="H63" i="93" l="1"/>
  <c r="G64" i="93"/>
  <c r="K45" i="35"/>
  <c r="K47" i="35" s="1"/>
  <c r="K29" i="35"/>
  <c r="K30" i="35" s="1"/>
  <c r="K31" i="35" s="1"/>
  <c r="M19" i="35"/>
  <c r="M24" i="35" s="1"/>
  <c r="L24" i="35"/>
  <c r="L29" i="35" l="1"/>
  <c r="L30" i="35" s="1"/>
  <c r="L45" i="35"/>
  <c r="L47" i="35" s="1"/>
  <c r="L31" i="35"/>
  <c r="H64" i="93"/>
  <c r="I63" i="93"/>
  <c r="M45" i="35"/>
  <c r="M47" i="35" s="1"/>
  <c r="M29" i="35"/>
  <c r="M30" i="35" s="1"/>
  <c r="M31" i="35" s="1"/>
  <c r="C34" i="35"/>
  <c r="C37" i="35" s="1"/>
  <c r="C39" i="35" s="1"/>
  <c r="J63" i="93" l="1"/>
  <c r="I64" i="93"/>
  <c r="J64" i="93" l="1"/>
  <c r="K63" i="93"/>
  <c r="K64" i="93" l="1"/>
  <c r="L63" i="93"/>
  <c r="L64" i="93" l="1"/>
  <c r="M63" i="93"/>
  <c r="M64" i="9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Gualy</author>
  </authors>
  <commentList>
    <comment ref="C20" authorId="0" shapeId="0" xr:uid="{AB43B340-F5EC-452A-AA1E-6F3E99475DE2}">
      <text>
        <r>
          <rPr>
            <b/>
            <sz val="9"/>
            <color indexed="81"/>
            <rFont val="Tahoma"/>
            <family val="2"/>
          </rPr>
          <t>Fuente: Actualizaciones al Ecostos año 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Mónica Liliana Rodríguez Muñoz</author>
    <author>Aquadatos</author>
    <author>Jhon Martinez</author>
    <author>tc={3463335E-A55B-4B0B-BCD2-8CFD4AAEF4EB}</author>
    <author>tc={10887701-241D-452F-8EDE-B8F6F3B8EF29}</author>
    <author>tc={8404EA1E-427F-424E-A9F2-97D6D5A135BB}</author>
    <author>Mónica Rodríguez</author>
    <author>MÓNICA RODRIGUEZ</author>
  </authors>
  <commentList>
    <comment ref="B1" authorId="0" shapeId="0" xr:uid="{00000000-0006-0000-0200-000001000000}">
      <text>
        <r>
          <rPr>
            <b/>
            <sz val="9"/>
            <color rgb="FF000000"/>
            <rFont val="Tahoma"/>
            <family val="2"/>
          </rPr>
          <t>Mónica Liliana Rodríguez Muñoz:</t>
        </r>
        <r>
          <rPr>
            <sz val="9"/>
            <color rgb="FF000000"/>
            <rFont val="Tahoma"/>
            <family val="2"/>
          </rPr>
          <t xml:space="preserve">
</t>
        </r>
        <r>
          <rPr>
            <sz val="9"/>
            <color rgb="FF000000"/>
            <rFont val="Tahoma"/>
            <family val="2"/>
          </rPr>
          <t>Cambiar el nombre del sistema</t>
        </r>
      </text>
    </comment>
    <comment ref="B2" authorId="0" shapeId="0" xr:uid="{00000000-0006-0000-0200-000002000000}">
      <text>
        <r>
          <rPr>
            <b/>
            <sz val="9"/>
            <color indexed="81"/>
            <rFont val="Tahoma"/>
            <family val="2"/>
          </rPr>
          <t>Mónica Liliana Rodríguez Muñoz:</t>
        </r>
        <r>
          <rPr>
            <sz val="9"/>
            <color indexed="81"/>
            <rFont val="Tahoma"/>
            <family val="2"/>
          </rPr>
          <t xml:space="preserve">
Cambiar el nombre del sistema</t>
        </r>
      </text>
    </comment>
    <comment ref="B5" authorId="1" shapeId="0" xr:uid="{75BB8894-BCB6-439D-8593-E2D6DAA4DA31}">
      <text>
        <r>
          <rPr>
            <b/>
            <sz val="9"/>
            <color indexed="81"/>
            <rFont val="Tahoma"/>
            <family val="2"/>
          </rPr>
          <t>Aquadatos:</t>
        </r>
        <r>
          <rPr>
            <sz val="9"/>
            <color indexed="81"/>
            <rFont val="Tahoma"/>
            <family val="2"/>
          </rPr>
          <t xml:space="preserve">
Producción se incluye anexo independiente para cada ciudad, depende de los usuarios o de los datos que tenga la empresa.
Tratada
</t>
        </r>
      </text>
    </comment>
    <comment ref="B6" authorId="2" shapeId="0" xr:uid="{DC412F1E-E235-4C8E-9760-BBCC02CF010F}">
      <text>
        <r>
          <rPr>
            <b/>
            <sz val="9"/>
            <color indexed="81"/>
            <rFont val="Tahoma"/>
            <family val="2"/>
          </rPr>
          <t>Jhon Martinez:</t>
        </r>
        <r>
          <rPr>
            <sz val="9"/>
            <color indexed="81"/>
            <rFont val="Tahoma"/>
            <family val="2"/>
          </rPr>
          <t xml:space="preserve">
Cambiar nombre a Producida</t>
        </r>
      </text>
    </comment>
    <comment ref="D448" authorId="3" shapeId="0" xr:uid="{00000000-0006-0000-0200-000021000000}">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propone recambio en máximo 5 años
Reply:
    Si no se dispone de la información de año de instalación de los equipos se puede definir que el 50% de los macromedidores existentes estan llegando a la vida útil</t>
        </r>
      </text>
    </comment>
    <comment ref="D477" authorId="4" shapeId="0" xr:uid="{10887701-241D-452F-8EDE-B8F6F3B8EF29}">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asume que en el 6 año se inicia de nuevo con los realizados en el año 1</t>
        </r>
      </text>
    </comment>
    <comment ref="D478" authorId="5" shapeId="0" xr:uid="{00000000-0006-0000-0200-000024000000}">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Depende de los años de priorización</t>
        </r>
      </text>
    </comment>
    <comment ref="D548" authorId="0" shapeId="0" xr:uid="{B2977B07-FF66-40EC-9D79-405A42FC0DCC}">
      <text>
        <r>
          <rPr>
            <b/>
            <sz val="9"/>
            <color indexed="81"/>
            <rFont val="Tahoma"/>
            <family val="2"/>
          </rPr>
          <t>Mónica Liliana Rodríguez Muñoz:</t>
        </r>
        <r>
          <rPr>
            <sz val="9"/>
            <color indexed="81"/>
            <rFont val="Tahoma"/>
            <family val="2"/>
          </rPr>
          <t xml:space="preserve">
Acá ya están incluidos los que suministra la Consultoría</t>
        </r>
      </text>
    </comment>
    <comment ref="K554" authorId="0" shapeId="0" xr:uid="{31DFB845-C7C1-4380-9CED-48D4A420910E}">
      <text>
        <r>
          <rPr>
            <b/>
            <sz val="9"/>
            <color rgb="FF000000"/>
            <rFont val="Tahoma"/>
            <family val="2"/>
          </rPr>
          <t>Mónica Liliana Rodríguez Muñoz:</t>
        </r>
        <r>
          <rPr>
            <sz val="9"/>
            <color rgb="FF000000"/>
            <rFont val="Tahoma"/>
            <family val="2"/>
          </rPr>
          <t xml:space="preserve">
</t>
        </r>
        <r>
          <rPr>
            <sz val="9"/>
            <color rgb="FF000000"/>
            <rFont val="Tahoma"/>
            <family val="2"/>
          </rPr>
          <t xml:space="preserve">Número de equipos de presión suministrados por esta Consultoría
</t>
        </r>
      </text>
    </comment>
    <comment ref="D574" authorId="0" shapeId="0" xr:uid="{00000000-0006-0000-0200-00002E000000}">
      <text>
        <r>
          <rPr>
            <b/>
            <sz val="9"/>
            <color indexed="81"/>
            <rFont val="Tahoma"/>
            <family val="2"/>
          </rPr>
          <t>Mónica Liliana Rodríguez Muñoz:</t>
        </r>
        <r>
          <rPr>
            <sz val="9"/>
            <color indexed="81"/>
            <rFont val="Tahoma"/>
            <family val="2"/>
          </rPr>
          <t xml:space="preserve">
Se ajusta al 50% de los equipos</t>
        </r>
      </text>
    </comment>
    <comment ref="D603" authorId="0" shapeId="0" xr:uid="{00000000-0006-0000-0200-00002F000000}">
      <text>
        <r>
          <rPr>
            <b/>
            <sz val="9"/>
            <color indexed="81"/>
            <rFont val="Tahoma"/>
            <family val="2"/>
          </rPr>
          <t>Mónica Liliana Rodríguez Muñoz:</t>
        </r>
        <r>
          <rPr>
            <sz val="9"/>
            <color indexed="81"/>
            <rFont val="Tahoma"/>
            <family val="2"/>
          </rPr>
          <t xml:space="preserve">
Se asume que el 50% de los equipos existentes en el año 0 ya se encuentran cumpliendo su vida útil
</t>
        </r>
      </text>
    </comment>
    <comment ref="D604" authorId="6" shapeId="0" xr:uid="{00000000-0006-0000-0200-000030000000}">
      <text>
        <r>
          <rPr>
            <b/>
            <sz val="9"/>
            <color indexed="81"/>
            <rFont val="Tahoma"/>
            <family val="2"/>
          </rPr>
          <t>Mónica Rodríguez:</t>
        </r>
        <r>
          <rPr>
            <sz val="9"/>
            <color indexed="81"/>
            <rFont val="Tahoma"/>
            <family val="2"/>
          </rPr>
          <t xml:space="preserve"> revisar la cantidad de equipos de la empresa en el año 0</t>
        </r>
      </text>
    </comment>
    <comment ref="D620" authorId="7" shapeId="0" xr:uid="{BA32252E-93BA-4185-9A60-C3B74618DC0C}">
      <text>
        <r>
          <rPr>
            <b/>
            <sz val="9"/>
            <color indexed="81"/>
            <rFont val="Tahoma"/>
            <family val="2"/>
          </rPr>
          <t>MÓNICA RODRIGUEZ:</t>
        </r>
        <r>
          <rPr>
            <sz val="9"/>
            <color indexed="81"/>
            <rFont val="Tahoma"/>
            <family val="2"/>
          </rPr>
          <t xml:space="preserve">
Resolución 0330 Artículo 57</t>
        </r>
      </text>
    </comment>
    <comment ref="B624" authorId="2" shapeId="0" xr:uid="{C2B5DD54-3E2E-4554-AFBD-2F026CAE78DB}">
      <text>
        <r>
          <rPr>
            <b/>
            <sz val="9"/>
            <color indexed="81"/>
            <rFont val="Tahoma"/>
            <family val="2"/>
          </rPr>
          <t>Jhon Martinez:</t>
        </r>
        <r>
          <rPr>
            <sz val="9"/>
            <color indexed="81"/>
            <rFont val="Tahoma"/>
            <family val="2"/>
          </rPr>
          <t xml:space="preserve">
Cuentan con dos licencias</t>
        </r>
      </text>
    </comment>
    <comment ref="D624" authorId="0" shapeId="0" xr:uid="{00000000-0006-0000-0200-000033000000}">
      <text>
        <r>
          <rPr>
            <b/>
            <sz val="9"/>
            <color indexed="81"/>
            <rFont val="Tahoma"/>
            <family val="2"/>
          </rPr>
          <t>Mónica Liliana Rodríguez Muñoz:</t>
        </r>
        <r>
          <rPr>
            <sz val="9"/>
            <color indexed="81"/>
            <rFont val="Tahoma"/>
            <family val="2"/>
          </rPr>
          <t xml:space="preserve">
Actualización a los 5 años</t>
        </r>
      </text>
    </comment>
    <comment ref="D636" authorId="0" shapeId="0" xr:uid="{00000000-0006-0000-0200-000034000000}">
      <text>
        <r>
          <rPr>
            <b/>
            <sz val="9"/>
            <color indexed="81"/>
            <rFont val="Tahoma"/>
            <family val="2"/>
          </rPr>
          <t>Mónica Liliana Rodríguez Muñoz:</t>
        </r>
        <r>
          <rPr>
            <sz val="9"/>
            <color indexed="81"/>
            <rFont val="Tahoma"/>
            <family val="2"/>
          </rPr>
          <t xml:space="preserve">
Depende de los años de priorización</t>
        </r>
      </text>
    </comment>
    <comment ref="D637" authorId="0" shapeId="0" xr:uid="{B93CD636-C8D8-4F61-AF22-24CF2A20A15F}">
      <text>
        <r>
          <rPr>
            <b/>
            <sz val="9"/>
            <color indexed="81"/>
            <rFont val="Tahoma"/>
            <family val="2"/>
          </rPr>
          <t>Mónica Liliana Rodríguez Muñoz:</t>
        </r>
        <r>
          <rPr>
            <sz val="9"/>
            <color indexed="81"/>
            <rFont val="Tahoma"/>
            <family val="2"/>
          </rPr>
          <t xml:space="preserve">
Depende del período en que se requiera repetir la impermeabilización</t>
        </r>
      </text>
    </comment>
    <comment ref="D641" authorId="0" shapeId="0" xr:uid="{00000000-0006-0000-0200-000037000000}">
      <text>
        <r>
          <rPr>
            <b/>
            <sz val="9"/>
            <color indexed="81"/>
            <rFont val="Tahoma"/>
            <family val="2"/>
          </rPr>
          <t>Mónica Liliana Rodríguez Muñoz:</t>
        </r>
        <r>
          <rPr>
            <sz val="9"/>
            <color indexed="81"/>
            <rFont val="Tahoma"/>
            <family val="2"/>
          </rPr>
          <t xml:space="preserve">
Se debe definir una de las filas o manual o calculado</t>
        </r>
      </text>
    </comment>
    <comment ref="D654" authorId="0" shapeId="0" xr:uid="{00000000-0006-0000-0200-000039000000}">
      <text>
        <r>
          <rPr>
            <b/>
            <sz val="9"/>
            <color indexed="81"/>
            <rFont val="Tahoma"/>
            <family val="2"/>
          </rPr>
          <t>Mónica Liliana Rodríguez Muñoz:</t>
        </r>
        <r>
          <rPr>
            <sz val="9"/>
            <color indexed="81"/>
            <rFont val="Tahoma"/>
            <family val="2"/>
          </rPr>
          <t xml:space="preserve">
Depende de los años de priorización</t>
        </r>
      </text>
    </comment>
    <comment ref="B656" authorId="2" shapeId="0" xr:uid="{8C7F5F6B-4F02-4312-8E63-D24369DE266F}">
      <text>
        <r>
          <rPr>
            <b/>
            <sz val="9"/>
            <color indexed="81"/>
            <rFont val="Tahoma"/>
            <family val="2"/>
          </rPr>
          <t>Jhon Martinez:</t>
        </r>
        <r>
          <rPr>
            <sz val="9"/>
            <color indexed="81"/>
            <rFont val="Tahoma"/>
            <family val="2"/>
          </rPr>
          <t xml:space="preserve">
Incluir 2 cuadrillas </t>
        </r>
      </text>
    </comment>
    <comment ref="D656" authorId="7" shapeId="0" xr:uid="{9B58F7D6-3041-4CB2-8F20-7578378580AF}">
      <text>
        <r>
          <rPr>
            <b/>
            <sz val="9"/>
            <color indexed="81"/>
            <rFont val="Tahoma"/>
            <family val="2"/>
          </rPr>
          <t>MÓNICA RODRIGUEZ:</t>
        </r>
        <r>
          <rPr>
            <sz val="9"/>
            <color indexed="81"/>
            <rFont val="Tahoma"/>
            <family val="2"/>
          </rPr>
          <t xml:space="preserve">
Anexo </t>
        </r>
      </text>
    </comment>
    <comment ref="D674" authorId="0" shapeId="0" xr:uid="{5771C31E-1633-409C-804C-2EA2855C8717}">
      <text>
        <r>
          <rPr>
            <b/>
            <sz val="9"/>
            <color indexed="81"/>
            <rFont val="Tahoma"/>
            <family val="2"/>
          </rPr>
          <t>Mónica Liliana Rodríguez Muñoz:</t>
        </r>
        <r>
          <rPr>
            <sz val="9"/>
            <color indexed="81"/>
            <rFont val="Tahoma"/>
            <family val="2"/>
          </rPr>
          <t xml:space="preserve">
Formular con la renovación de redes</t>
        </r>
      </text>
    </comment>
    <comment ref="D677" authorId="0" shapeId="0" xr:uid="{00000000-0006-0000-0200-00003E000000}">
      <text>
        <r>
          <rPr>
            <b/>
            <sz val="9"/>
            <color indexed="81"/>
            <rFont val="Tahoma"/>
            <family val="2"/>
          </rPr>
          <t>Mónica Liliana Rodríguez Muñoz:</t>
        </r>
        <r>
          <rPr>
            <sz val="9"/>
            <color indexed="81"/>
            <rFont val="Tahoma"/>
            <family val="2"/>
          </rPr>
          <t xml:space="preserve">
Se debe definir una de las filas o manual o calculado</t>
        </r>
      </text>
    </comment>
    <comment ref="B779" authorId="0" shapeId="0" xr:uid="{00000000-0006-0000-0200-000043000000}">
      <text>
        <r>
          <rPr>
            <b/>
            <sz val="9"/>
            <color indexed="81"/>
            <rFont val="Tahoma"/>
            <family val="2"/>
          </rPr>
          <t>Mónica Liliana Rodríguez Muñoz:</t>
        </r>
        <r>
          <rPr>
            <sz val="9"/>
            <color indexed="81"/>
            <rFont val="Tahoma"/>
            <family val="2"/>
          </rPr>
          <t xml:space="preserve">
Definir la vida útil</t>
        </r>
      </text>
    </comment>
    <comment ref="D779" authorId="7" shapeId="0" xr:uid="{F28729D4-4193-4ADE-9302-440FA42A8349}">
      <text>
        <r>
          <rPr>
            <b/>
            <sz val="9"/>
            <color indexed="81"/>
            <rFont val="Tahoma"/>
            <family val="2"/>
          </rPr>
          <t>MÓNICA RODRIGUEZ:</t>
        </r>
        <r>
          <rPr>
            <sz val="9"/>
            <color indexed="81"/>
            <rFont val="Tahoma"/>
            <family val="2"/>
          </rPr>
          <t xml:space="preserve">
Se propone recambio en máximo 5 años
Se define que el 50% de los macromedidores existentes estan llegando a la vida útil</t>
        </r>
      </text>
    </comment>
    <comment ref="D793" authorId="0" shapeId="0" xr:uid="{00000000-0006-0000-0200-000045000000}">
      <text>
        <r>
          <rPr>
            <b/>
            <sz val="9"/>
            <color indexed="81"/>
            <rFont val="Tahoma"/>
            <family val="2"/>
          </rPr>
          <t>Mónica Liliana Rodríguez Muñoz:</t>
        </r>
        <r>
          <rPr>
            <sz val="9"/>
            <color indexed="81"/>
            <rFont val="Tahoma"/>
            <family val="2"/>
          </rPr>
          <t xml:space="preserve">
Formular con la renovación de redes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MÓNICA RODRIGUEZ</author>
  </authors>
  <commentList>
    <comment ref="B3" authorId="0" shapeId="0" xr:uid="{5F889684-26E8-4D6B-9FD0-FE89AEA8B016}">
      <text>
        <r>
          <rPr>
            <b/>
            <sz val="9"/>
            <color indexed="81"/>
            <rFont val="Tahoma"/>
            <family val="2"/>
          </rPr>
          <t>MÓNICA RODRIGUEZ:</t>
        </r>
        <r>
          <rPr>
            <sz val="9"/>
            <color indexed="81"/>
            <rFont val="Tahoma"/>
            <family val="2"/>
          </rPr>
          <t xml:space="preserve">
Verificar el año en que se esta realizando el análisis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Mónica Liliana Rodríguez Muñoz</author>
    <author>MÓNICA RODRIGUEZ</author>
    <author>tc={89E00B7E-B441-47A4-994F-1EF7C2D82AA6}</author>
    <author>Usuario de Windows</author>
    <author>Esteban Huertas</author>
    <author>tc={0AB12AAC-F4A7-4892-A24C-A8DF6F35C46F}</author>
    <author>tc={2F7E71EC-4326-49B3-AE8E-216D5055801C}</author>
  </authors>
  <commentList>
    <comment ref="E2" authorId="0" shapeId="0" xr:uid="{93B8A6B3-9FFF-4DBF-9373-9D80F5DF31CC}">
      <text>
        <r>
          <rPr>
            <b/>
            <sz val="9"/>
            <color rgb="FF000000"/>
            <rFont val="Tahoma"/>
            <family val="2"/>
          </rPr>
          <t>Mónica Liliana Rodríguez Muñoz:</t>
        </r>
        <r>
          <rPr>
            <sz val="9"/>
            <color rgb="FF000000"/>
            <rFont val="Tahoma"/>
            <family val="2"/>
          </rPr>
          <t xml:space="preserve">
</t>
        </r>
        <r>
          <rPr>
            <sz val="9"/>
            <color rgb="FF000000"/>
            <rFont val="Tahoma"/>
            <family val="2"/>
          </rPr>
          <t>Cambiar el nombre del sistema</t>
        </r>
      </text>
    </comment>
    <comment ref="E3" authorId="0" shapeId="0" xr:uid="{B946B157-C6FE-44EB-B3CA-308158A11CED}">
      <text>
        <r>
          <rPr>
            <b/>
            <sz val="9"/>
            <color indexed="81"/>
            <rFont val="Tahoma"/>
            <family val="2"/>
          </rPr>
          <t>Mónica Liliana Rodríguez Muñoz:</t>
        </r>
        <r>
          <rPr>
            <sz val="9"/>
            <color indexed="81"/>
            <rFont val="Tahoma"/>
            <family val="2"/>
          </rPr>
          <t xml:space="preserve">
Cambiar el nombre del sistema</t>
        </r>
      </text>
    </comment>
    <comment ref="B36" authorId="1" shapeId="0" xr:uid="{62B99340-F10A-4770-836A-6BB30C17481A}">
      <text>
        <r>
          <rPr>
            <b/>
            <sz val="9"/>
            <color indexed="81"/>
            <rFont val="Tahoma"/>
            <family val="2"/>
          </rPr>
          <t>MÓNICA RODRIGUEZ:</t>
        </r>
        <r>
          <rPr>
            <sz val="9"/>
            <color indexed="81"/>
            <rFont val="Tahoma"/>
            <family val="2"/>
          </rPr>
          <t xml:space="preserve">
Valor que va a estar 0, puede ser modificado por la empresa</t>
        </r>
      </text>
    </comment>
    <comment ref="B40" authorId="1" shapeId="0" xr:uid="{EF07702B-7535-45D6-9470-F8897030233F}">
      <text>
        <r>
          <rPr>
            <b/>
            <sz val="9"/>
            <color indexed="81"/>
            <rFont val="Tahoma"/>
            <family val="2"/>
          </rPr>
          <t>MÓNICA RODRIGUEZ:</t>
        </r>
        <r>
          <rPr>
            <sz val="9"/>
            <color indexed="81"/>
            <rFont val="Tahoma"/>
            <family val="2"/>
          </rPr>
          <t xml:space="preserve">
Valor que va a estar 0, puede ser modificado por la empresa</t>
        </r>
      </text>
    </comment>
    <comment ref="H83" authorId="2" shapeId="0" xr:uid="{89E00B7E-B441-47A4-994F-1EF7C2D82AA6}">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Revisar medidores de gran diámetro = Plan Director</t>
        </r>
      </text>
    </comment>
    <comment ref="B84" authorId="1" shapeId="0" xr:uid="{2154E628-3744-4FAF-B2CA-5751705DF2EC}">
      <text>
        <r>
          <rPr>
            <b/>
            <sz val="9"/>
            <color indexed="81"/>
            <rFont val="Tahoma"/>
            <family val="2"/>
          </rPr>
          <t>MÓNICA RODRIGUEZ:</t>
        </r>
        <r>
          <rPr>
            <sz val="9"/>
            <color indexed="81"/>
            <rFont val="Tahoma"/>
            <family val="2"/>
          </rPr>
          <t xml:space="preserve">
Instructivo</t>
        </r>
      </text>
    </comment>
    <comment ref="I84" authorId="1" shapeId="0" xr:uid="{10D7E2F0-CE87-41D6-B2D3-6E3A016946B8}">
      <text>
        <r>
          <rPr>
            <b/>
            <sz val="9"/>
            <color indexed="81"/>
            <rFont val="Tahoma"/>
            <family val="2"/>
          </rPr>
          <t>MÓNICA RODRIGUEZ:</t>
        </r>
        <r>
          <rPr>
            <sz val="9"/>
            <color indexed="81"/>
            <rFont val="Tahoma"/>
            <family val="2"/>
          </rPr>
          <t xml:space="preserve">
Usuarios Facturados no medidos</t>
        </r>
      </text>
    </comment>
    <comment ref="B116" authorId="1" shapeId="0" xr:uid="{69C9D17E-5C55-4E2E-82D0-4A40D274333C}">
      <text>
        <r>
          <rPr>
            <b/>
            <sz val="9"/>
            <color indexed="81"/>
            <rFont val="Tahoma"/>
            <family val="2"/>
          </rPr>
          <t>MÓNICA RODRIGUEZ:</t>
        </r>
        <r>
          <rPr>
            <sz val="9"/>
            <color indexed="81"/>
            <rFont val="Tahoma"/>
            <family val="2"/>
          </rPr>
          <t xml:space="preserve">
Revisar si se debe incluir algo adicional</t>
        </r>
      </text>
    </comment>
    <comment ref="C118" authorId="1" shapeId="0" xr:uid="{E7113A36-9E30-44EA-B598-4F63BEA9FB7D}">
      <text>
        <r>
          <rPr>
            <b/>
            <sz val="9"/>
            <color indexed="81"/>
            <rFont val="Tahoma"/>
            <family val="2"/>
          </rPr>
          <t>MÓNICA RODRIGUEZ:</t>
        </r>
        <r>
          <rPr>
            <sz val="9"/>
            <color indexed="81"/>
            <rFont val="Tahoma"/>
            <family val="2"/>
          </rPr>
          <t xml:space="preserve">
Valor inicial en la evaluación comercial y posterior análisis final en el componente financiero</t>
        </r>
      </text>
    </comment>
    <comment ref="B154" authorId="1" shapeId="0" xr:uid="{10DC7014-2B66-43FC-AAB5-B61173F5D09F}">
      <text>
        <r>
          <rPr>
            <b/>
            <sz val="9"/>
            <color indexed="81"/>
            <rFont val="Tahoma"/>
            <family val="2"/>
          </rPr>
          <t>MÓNICA RODRIGUEZ:</t>
        </r>
        <r>
          <rPr>
            <sz val="9"/>
            <color indexed="81"/>
            <rFont val="Tahoma"/>
            <family val="2"/>
          </rPr>
          <t xml:space="preserve">
Explicar en el instructivo</t>
        </r>
      </text>
    </comment>
    <comment ref="B188" authorId="1" shapeId="0" xr:uid="{B78694E0-4090-4834-ABEB-61C41AD5DCB3}">
      <text>
        <r>
          <rPr>
            <b/>
            <sz val="9"/>
            <color indexed="81"/>
            <rFont val="Tahoma"/>
            <family val="2"/>
          </rPr>
          <t>MÓNICA RODRIGUEZ:</t>
        </r>
        <r>
          <rPr>
            <sz val="9"/>
            <color indexed="81"/>
            <rFont val="Tahoma"/>
            <family val="2"/>
          </rPr>
          <t xml:space="preserve">
Iniciar los programas a partir del año 2022</t>
        </r>
      </text>
    </comment>
    <comment ref="J267" authorId="3" shapeId="0" xr:uid="{6CEA6002-2064-44D0-83D4-07451CF1495F}">
      <text>
        <r>
          <rPr>
            <b/>
            <sz val="9"/>
            <color indexed="81"/>
            <rFont val="Tahoma"/>
            <family val="2"/>
          </rPr>
          <t>Usuario de Windows:</t>
        </r>
        <r>
          <rPr>
            <sz val="9"/>
            <color indexed="81"/>
            <rFont val="Tahoma"/>
            <family val="2"/>
          </rPr>
          <t xml:space="preserve">
El programa también puede ser analizado incluyendo el costo del debido proceso tanto comercial como de laboratorio, costo que podría estar cercano al valor del cambio, incluso podría superarlo </t>
        </r>
      </text>
    </comment>
    <comment ref="C296" authorId="4" shapeId="0" xr:uid="{9916526F-0328-4D8A-BB89-64AA8AE2DEEA}">
      <text>
        <r>
          <rPr>
            <b/>
            <sz val="9"/>
            <color indexed="81"/>
            <rFont val="Tahoma"/>
            <family val="2"/>
          </rPr>
          <t>Valor de referencia</t>
        </r>
      </text>
    </comment>
    <comment ref="B298" authorId="1" shapeId="0" xr:uid="{19FF4884-3A9C-4EF2-B0E8-22DA412ED003}">
      <text>
        <r>
          <rPr>
            <b/>
            <sz val="9"/>
            <color indexed="81"/>
            <rFont val="Tahoma"/>
            <family val="2"/>
          </rPr>
          <t>MÓNICA RODRIGUEZ:</t>
        </r>
        <r>
          <rPr>
            <sz val="9"/>
            <color indexed="81"/>
            <rFont val="Tahoma"/>
            <family val="2"/>
          </rPr>
          <t xml:space="preserve">
Lo diligencia la empresa</t>
        </r>
      </text>
    </comment>
    <comment ref="O331" authorId="5" shapeId="0" xr:uid="{0AB12AAC-F4A7-4892-A24C-A8DF6F35C46F}">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73831 valor obtenido PDP. Universo</t>
        </r>
      </text>
    </comment>
    <comment ref="K367" authorId="6" shapeId="0" xr:uid="{2F7E71EC-4326-49B3-AE8E-216D5055801C}">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Explicación en el informe referente a como se obtiene este dato.</t>
        </r>
      </text>
    </comment>
    <comment ref="K424" authorId="0" shapeId="0" xr:uid="{7052DA48-E609-4A92-AFF2-C25BF3E3381E}">
      <text>
        <r>
          <rPr>
            <b/>
            <sz val="9"/>
            <color indexed="81"/>
            <rFont val="Tahoma"/>
            <family val="2"/>
          </rPr>
          <t xml:space="preserve">Mónica Liliana Rodríguez Muñoz:
</t>
        </r>
        <r>
          <rPr>
            <sz val="9"/>
            <color indexed="81"/>
            <rFont val="Tahoma"/>
            <family val="2"/>
          </rPr>
          <t>Revisar costo (suma de las dos celdas)</t>
        </r>
      </text>
    </comment>
    <comment ref="C433" authorId="3" shapeId="0" xr:uid="{D861A046-6622-45EA-90A7-A39E27EBDB33}">
      <text>
        <r>
          <rPr>
            <b/>
            <sz val="9"/>
            <color indexed="81"/>
            <rFont val="Tahoma"/>
            <family val="2"/>
          </rPr>
          <t xml:space="preserve">Usuario de Windows:
</t>
        </r>
        <r>
          <rPr>
            <sz val="9"/>
            <color indexed="81"/>
            <rFont val="Tahoma"/>
            <family val="2"/>
          </rPr>
          <t>Este porcentaje se establece considerando que los beneficios del programa los percibe el área comercial y para guardar un equilibrio en la relación beneficio/costo, la mayor parte del costo se carga al área comercial y el restante al área técnica.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tc={C41C39BF-6958-4EFE-BE98-035885B34EDD}</author>
    <author>tc={B14AA8FD-6740-44BF-BE17-4A49740EE086}</author>
    <author>tc={AE6685B8-7B17-414F-9FD5-82DA750EC9DC}</author>
    <author>tc={5CF1FB95-EC71-481A-A26C-AB6110FD3C15}</author>
    <author>tc={EC601370-3860-4A48-B6E1-5617B31E14B8}</author>
    <author>tc={C5067650-EB74-49B4-93C3-ED1999D6D46C}</author>
    <author>tc={DE8C4C6C-5B18-420E-B7A0-2ED1AD6017E6}</author>
    <author>tc={5D0FFD1C-DF66-4617-8D86-E7EE62B921D0}</author>
    <author>tc={1D8F565F-0DF7-418D-A2D6-13AAEB915C4A}</author>
    <author>tc={CC68E1F9-8E84-47A5-B499-A56D4354595D}</author>
    <author>tc={98806035-99D4-4C7C-9193-B71CD327B825}</author>
    <author>tc={95B32F3E-0E63-4367-845A-34CA7C3A44B1}</author>
    <author>tc={DEEEA38A-CE34-4E3D-B09A-DC78F53147A7}</author>
  </authors>
  <commentList>
    <comment ref="B3" authorId="0" shapeId="0" xr:uid="{C41C39BF-6958-4EFE-BE98-035885B34EDD}">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Actualizar nombre</t>
        </r>
      </text>
    </comment>
    <comment ref="E4" authorId="1" shapeId="0" xr:uid="{B14AA8FD-6740-44BF-BE17-4A49740EE086}">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$416611.5</t>
        </r>
      </text>
    </comment>
    <comment ref="E5" authorId="2" shapeId="0" xr:uid="{AE6685B8-7B17-414F-9FD5-82DA750EC9DC}">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$110969.375</t>
        </r>
      </text>
    </comment>
    <comment ref="E6" authorId="3" shapeId="0" xr:uid="{5CF1FB95-EC71-481A-A26C-AB6110FD3C1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$148164.5</t>
        </r>
      </text>
    </comment>
    <comment ref="E7" authorId="4" shapeId="0" xr:uid="{EC601370-3860-4A48-B6E1-5617B31E14B8}">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$38,777</t>
        </r>
      </text>
    </comment>
    <comment ref="E8" authorId="5" shapeId="0" xr:uid="{C5067650-EB74-49B4-93C3-ED1999D6D46C}">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$1186588.83333333</t>
        </r>
      </text>
    </comment>
    <comment ref="E10" authorId="6" shapeId="0" xr:uid="{DE8C4C6C-5B18-420E-B7A0-2ED1AD6017E6}">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1" authorId="7" shapeId="0" xr:uid="{5D0FFD1C-DF66-4617-8D86-E7EE62B921D0}">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2" authorId="8" shapeId="0" xr:uid="{1D8F565F-0DF7-418D-A2D6-13AAEB915C4A}">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3" authorId="9" shapeId="0" xr:uid="{CC68E1F9-8E84-47A5-B499-A56D4354595D}">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4" authorId="10" shapeId="0" xr:uid="{98806035-99D4-4C7C-9193-B71CD327B82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7" authorId="11" shapeId="0" xr:uid="{95B32F3E-0E63-4367-845A-34CA7C3A44B1}">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
Reply:
    $148969.375</t>
        </r>
      </text>
    </comment>
    <comment ref="E18" authorId="12" shapeId="0" xr:uid="{DEEEA38A-CE34-4E3D-B09A-DC78F53147A7}">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tc={EA32754D-A54E-444F-9A51-526344F7FFB2}</author>
    <author>Alejandro Gualy</author>
  </authors>
  <commentList>
    <comment ref="S2" authorId="0" shapeId="0" xr:uid="{EA32754D-A54E-444F-9A51-526344F7FFB2}">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Revisar hoja de alternativas y diligenciar Manual</t>
        </r>
      </text>
    </comment>
    <comment ref="G155" authorId="1" shapeId="0" xr:uid="{00000000-0006-0000-0A00-000001000000}">
      <text>
        <r>
          <rPr>
            <b/>
            <sz val="10"/>
            <color rgb="FF000000"/>
            <rFont val="Tahoma"/>
            <family val="2"/>
          </rPr>
          <t>Alejandro Gualy:</t>
        </r>
        <r>
          <rPr>
            <sz val="10"/>
            <color rgb="FF000000"/>
            <rFont val="Tahoma"/>
            <family val="2"/>
          </rPr>
          <t xml:space="preserve">
</t>
        </r>
        <r>
          <rPr>
            <sz val="10"/>
            <color rgb="FF000000"/>
            <rFont val="Tahoma"/>
            <family val="2"/>
          </rPr>
          <t>NO INCLUYE EL VALOR DE TASAS AMBIENTALES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tc={DA9C49AC-2579-49E1-A75A-DD20843298DB}</author>
  </authors>
  <commentList>
    <comment ref="C37" authorId="0" shapeId="0" xr:uid="{DA9C49AC-2579-49E1-A75A-DD20843298DB}">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Recuperación 
proyectado a perpetuidad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tc={F1584061-4AD0-48D9-8C1E-54F66103ECC5}</author>
  </authors>
  <commentList>
    <comment ref="C37" authorId="0" shapeId="0" xr:uid="{F1584061-4AD0-48D9-8C1E-54F66103ECC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Afectado por índice de recaudo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tc={FE072164-D8FB-4432-B4C5-6F7F9A14CE63}</author>
  </authors>
  <commentList>
    <comment ref="C37" authorId="0" shapeId="0" xr:uid="{FE072164-D8FB-4432-B4C5-6F7F9A14CE63}">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Perpetuidad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tc={A2C5E68C-8D4E-4132-9414-CB18F10B387A}</author>
  </authors>
  <commentList>
    <comment ref="C39" authorId="0" shapeId="0" xr:uid="{A2C5E68C-8D4E-4132-9414-CB18F10B387A}">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tc={F3843FFC-8D6D-4D62-ADE4-31BC53D60D71}</author>
    <author>tc={68D66D66-5EB9-446A-B551-80651E0F46D7}</author>
  </authors>
  <commentList>
    <comment ref="D19" authorId="0" shapeId="0" xr:uid="{F3843FFC-8D6D-4D62-ADE4-31BC53D60D71}">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FORMULAR</t>
        </r>
      </text>
    </comment>
    <comment ref="C37" authorId="1" shapeId="0" xr:uid="{68D66D66-5EB9-446A-B551-80651E0F46D7}">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tc={0A0114B2-FD67-4D38-9907-14789C1B387B}</author>
  </authors>
  <commentList>
    <comment ref="C37" authorId="0" shapeId="0" xr:uid="{0A0114B2-FD67-4D38-9907-14789C1B387B}">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tc={63761C22-2820-4328-A63A-A5E99B8F48D7}</author>
  </authors>
  <commentList>
    <comment ref="C37" authorId="0" shapeId="0" xr:uid="{63761C22-2820-4328-A63A-A5E99B8F48D7}">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tc={0A27345A-2C23-4F2B-822C-CA1BC5FE280B}</author>
  </authors>
  <commentList>
    <comment ref="C37" authorId="0" shapeId="0" xr:uid="{0A27345A-2C23-4F2B-822C-CA1BC5FE280B}">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Alejandro Gualy</author>
  </authors>
  <commentList>
    <comment ref="C12" authorId="0" shapeId="0" xr:uid="{D5C378F1-2971-40D7-B962-AFA8DCB0B344}">
      <text>
        <r>
          <rPr>
            <b/>
            <sz val="9"/>
            <color indexed="81"/>
            <rFont val="Tahoma"/>
            <family val="2"/>
          </rPr>
          <t>Suscriptores promedio a 31 de diciembre de 2025.</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juan leonardi ramirez granados</author>
    <author>Juan Leonardi Ramirez Granados</author>
  </authors>
  <commentList>
    <comment ref="M38" authorId="0" shapeId="0" xr:uid="{6C5287A5-A716-45E9-9254-D9219E1E29AA}">
      <text>
        <r>
          <rPr>
            <b/>
            <sz val="9"/>
            <color indexed="81"/>
            <rFont val="Tahoma"/>
            <family val="2"/>
          </rPr>
          <t xml:space="preserve">CRA:
</t>
        </r>
        <r>
          <rPr>
            <sz val="9"/>
            <color indexed="81"/>
            <rFont val="Tahoma"/>
            <family val="2"/>
          </rPr>
          <t>DECRETO 1724 DEL 15 DE DICIEMBRE DE 2021</t>
        </r>
        <r>
          <rPr>
            <sz val="9"/>
            <color indexed="81"/>
            <rFont val="Tahoma"/>
            <family val="2"/>
          </rPr>
          <t xml:space="preserve">
</t>
        </r>
      </text>
    </comment>
    <comment ref="M39" authorId="0" shapeId="0" xr:uid="{7A5475B2-1091-45ED-BA76-4F936C502400}">
      <text>
        <r>
          <rPr>
            <b/>
            <sz val="9"/>
            <color indexed="81"/>
            <rFont val="Tahoma"/>
            <family val="2"/>
          </rPr>
          <t xml:space="preserve">CRA: 
</t>
        </r>
        <r>
          <rPr>
            <sz val="9"/>
            <color indexed="81"/>
            <rFont val="Tahoma"/>
            <family val="2"/>
          </rPr>
          <t>DECRETO 2613 DEL 28 DE DICIEMBRE DE 2022</t>
        </r>
        <r>
          <rPr>
            <sz val="9"/>
            <color indexed="81"/>
            <rFont val="Tahoma"/>
            <family val="2"/>
          </rPr>
          <t xml:space="preserve">
</t>
        </r>
      </text>
    </comment>
    <comment ref="M40" authorId="1" shapeId="0" xr:uid="{A816CAF3-6045-41E4-8BBA-DFF95387B352}">
      <text>
        <r>
          <rPr>
            <b/>
            <sz val="9"/>
            <color indexed="81"/>
            <rFont val="Tahoma"/>
            <family val="2"/>
          </rPr>
          <t>CRA:</t>
        </r>
        <r>
          <rPr>
            <sz val="9"/>
            <color indexed="81"/>
            <rFont val="Tahoma"/>
            <family val="2"/>
          </rPr>
          <t xml:space="preserve">
DECRETO 2292 DEL 29 DE DICIEMBRE DE 2023.</t>
        </r>
      </text>
    </comment>
    <comment ref="M41" authorId="0" shapeId="0" xr:uid="{5E7ED5E1-779A-4D39-820A-9345E79E95C3}">
      <text>
        <r>
          <rPr>
            <b/>
            <sz val="9"/>
            <color indexed="81"/>
            <rFont val="Tahoma"/>
            <family val="2"/>
          </rPr>
          <t>CRA:</t>
        </r>
        <r>
          <rPr>
            <sz val="9"/>
            <color indexed="81"/>
            <rFont val="Tahoma"/>
            <family val="2"/>
          </rPr>
          <t xml:space="preserve">
DECRETO 1572 DE 2024.</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Alejandro Gualy</author>
  </authors>
  <commentList>
    <comment ref="F5" authorId="0" shapeId="0" xr:uid="{00000000-0006-0000-2600-000001000000}">
      <text>
        <r>
          <rPr>
            <b/>
            <sz val="9"/>
            <color indexed="81"/>
            <rFont val="Tahoma"/>
            <family val="2"/>
          </rPr>
          <t xml:space="preserve">Alejandro Gualy: 
</t>
        </r>
        <r>
          <rPr>
            <sz val="9"/>
            <color indexed="81"/>
            <rFont val="Tahoma"/>
            <family val="2"/>
          </rPr>
          <t>A octubre de 2019.</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G133" authorId="0" shapeId="0" xr:uid="{00000000-0006-0000-2300-000001000000}">
      <text>
        <r>
          <rPr>
            <b/>
            <sz val="10"/>
            <color rgb="FF000000"/>
            <rFont val="Tahoma"/>
            <family val="2"/>
          </rPr>
          <t>Microsoft Office User:</t>
        </r>
        <r>
          <rPr>
            <sz val="10"/>
            <color rgb="FF000000"/>
            <rFont val="Tahoma"/>
            <family val="2"/>
          </rPr>
          <t xml:space="preserve">
</t>
        </r>
        <r>
          <rPr>
            <sz val="10"/>
            <color rgb="FF000000"/>
            <rFont val="Tahoma"/>
            <family val="2"/>
          </rPr>
          <t>SE MODIFICÓ LA FÓRMULA DE LA CRA. EN LUGAR DE DEJAR "" SE DEBE DEJAR CERO (0)</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Mónica Rodríguez</author>
    <author>tc={0D63F3F1-8FF7-42D6-8532-D62756B9DC15}</author>
  </authors>
  <commentList>
    <comment ref="B103" authorId="0" shapeId="0" xr:uid="{00000000-0006-0000-2700-000001000000}">
      <text>
        <r>
          <rPr>
            <b/>
            <sz val="9"/>
            <color indexed="81"/>
            <rFont val="Tahoma"/>
            <family val="2"/>
          </rPr>
          <t>Mónica Rodríguez:</t>
        </r>
        <r>
          <rPr>
            <sz val="9"/>
            <color indexed="81"/>
            <rFont val="Tahoma"/>
            <family val="2"/>
          </rPr>
          <t xml:space="preserve">
Datos del componente comercial</t>
        </r>
      </text>
    </comment>
    <comment ref="B117" authorId="0" shapeId="0" xr:uid="{00000000-0006-0000-2700-000002000000}">
      <text>
        <r>
          <rPr>
            <b/>
            <sz val="9"/>
            <color indexed="81"/>
            <rFont val="Tahoma"/>
            <family val="2"/>
          </rPr>
          <t>Mónica Rodríguez:</t>
        </r>
        <r>
          <rPr>
            <sz val="9"/>
            <color indexed="81"/>
            <rFont val="Tahoma"/>
            <family val="2"/>
          </rPr>
          <t xml:space="preserve">
Datos del componente comercial</t>
        </r>
      </text>
    </comment>
    <comment ref="B131" authorId="0" shapeId="0" xr:uid="{00000000-0006-0000-2700-000003000000}">
      <text>
        <r>
          <rPr>
            <b/>
            <sz val="9"/>
            <color indexed="81"/>
            <rFont val="Tahoma"/>
            <family val="2"/>
          </rPr>
          <t>Mónica Rodríguez:</t>
        </r>
        <r>
          <rPr>
            <sz val="9"/>
            <color indexed="81"/>
            <rFont val="Tahoma"/>
            <family val="2"/>
          </rPr>
          <t xml:space="preserve">
Datos del componente comercial</t>
        </r>
      </text>
    </comment>
    <comment ref="B145" authorId="0" shapeId="0" xr:uid="{00000000-0006-0000-2700-000004000000}">
      <text>
        <r>
          <rPr>
            <b/>
            <sz val="9"/>
            <color indexed="81"/>
            <rFont val="Tahoma"/>
            <family val="2"/>
          </rPr>
          <t>Mónica Rodríguez:</t>
        </r>
        <r>
          <rPr>
            <sz val="9"/>
            <color indexed="81"/>
            <rFont val="Tahoma"/>
            <family val="2"/>
          </rPr>
          <t xml:space="preserve">
Datos del componente comercial</t>
        </r>
      </text>
    </comment>
    <comment ref="B159" authorId="0" shapeId="0" xr:uid="{00000000-0006-0000-2700-000005000000}">
      <text>
        <r>
          <rPr>
            <b/>
            <sz val="9"/>
            <color indexed="81"/>
            <rFont val="Tahoma"/>
            <family val="2"/>
          </rPr>
          <t>Mónica Rodríguez:</t>
        </r>
        <r>
          <rPr>
            <sz val="9"/>
            <color indexed="81"/>
            <rFont val="Tahoma"/>
            <family val="2"/>
          </rPr>
          <t xml:space="preserve">
Datos del componente comercial</t>
        </r>
      </text>
    </comment>
    <comment ref="B173" authorId="0" shapeId="0" xr:uid="{00000000-0006-0000-2700-000006000000}">
      <text>
        <r>
          <rPr>
            <b/>
            <sz val="9"/>
            <color indexed="81"/>
            <rFont val="Tahoma"/>
            <family val="2"/>
          </rPr>
          <t>Mónica Rodríguez:</t>
        </r>
        <r>
          <rPr>
            <sz val="9"/>
            <color indexed="81"/>
            <rFont val="Tahoma"/>
            <family val="2"/>
          </rPr>
          <t xml:space="preserve">
Datos del componente comercial</t>
        </r>
      </text>
    </comment>
    <comment ref="B187" authorId="0" shapeId="0" xr:uid="{00000000-0006-0000-2700-000007000000}">
      <text>
        <r>
          <rPr>
            <b/>
            <sz val="9"/>
            <color indexed="81"/>
            <rFont val="Tahoma"/>
            <family val="2"/>
          </rPr>
          <t>Mónica Rodríguez:</t>
        </r>
        <r>
          <rPr>
            <sz val="9"/>
            <color indexed="81"/>
            <rFont val="Tahoma"/>
            <family val="2"/>
          </rPr>
          <t xml:space="preserve">
Datos del componente comercial</t>
        </r>
      </text>
    </comment>
    <comment ref="B201" authorId="0" shapeId="0" xr:uid="{00000000-0006-0000-2700-000008000000}">
      <text>
        <r>
          <rPr>
            <b/>
            <sz val="9"/>
            <color indexed="81"/>
            <rFont val="Tahoma"/>
            <family val="2"/>
          </rPr>
          <t>Mónica Rodríguez:</t>
        </r>
        <r>
          <rPr>
            <sz val="9"/>
            <color indexed="81"/>
            <rFont val="Tahoma"/>
            <family val="2"/>
          </rPr>
          <t xml:space="preserve">
Datos del componente comercial</t>
        </r>
      </text>
    </comment>
    <comment ref="B215" authorId="0" shapeId="0" xr:uid="{00000000-0006-0000-2700-000009000000}">
      <text>
        <r>
          <rPr>
            <b/>
            <sz val="9"/>
            <color indexed="81"/>
            <rFont val="Tahoma"/>
            <family val="2"/>
          </rPr>
          <t>Mónica Rodríguez:</t>
        </r>
        <r>
          <rPr>
            <sz val="9"/>
            <color indexed="81"/>
            <rFont val="Tahoma"/>
            <family val="2"/>
          </rPr>
          <t xml:space="preserve">
Datos del componente comercial</t>
        </r>
      </text>
    </comment>
    <comment ref="B229" authorId="0" shapeId="0" xr:uid="{00000000-0006-0000-2700-00000A000000}">
      <text>
        <r>
          <rPr>
            <b/>
            <sz val="9"/>
            <color indexed="81"/>
            <rFont val="Tahoma"/>
            <family val="2"/>
          </rPr>
          <t>Mónica Rodríguez:</t>
        </r>
        <r>
          <rPr>
            <sz val="9"/>
            <color indexed="81"/>
            <rFont val="Tahoma"/>
            <family val="2"/>
          </rPr>
          <t xml:space="preserve">
Datos del componente comercial</t>
        </r>
      </text>
    </comment>
    <comment ref="B243" authorId="0" shapeId="0" xr:uid="{00000000-0006-0000-2700-00000B000000}">
      <text>
        <r>
          <rPr>
            <b/>
            <sz val="9"/>
            <color indexed="81"/>
            <rFont val="Tahoma"/>
            <family val="2"/>
          </rPr>
          <t>Mónica Rodríguez:</t>
        </r>
        <r>
          <rPr>
            <sz val="9"/>
            <color indexed="81"/>
            <rFont val="Tahoma"/>
            <family val="2"/>
          </rPr>
          <t xml:space="preserve">
Datos del componente comercial</t>
        </r>
      </text>
    </comment>
    <comment ref="F290" authorId="1" shapeId="0" xr:uid="{0D63F3F1-8FF7-42D6-8532-D62756B9DC1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Daños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Mónica Rodríguez</author>
    <author>tc={CB7CA270-2301-4CD3-9224-DA8F6E1C75BF}</author>
  </authors>
  <commentList>
    <comment ref="H12" authorId="0" shapeId="0" xr:uid="{00000000-0006-0000-2900-000001000000}">
      <text>
        <r>
          <rPr>
            <b/>
            <sz val="9"/>
            <color indexed="81"/>
            <rFont val="Tahoma"/>
            <family val="2"/>
          </rPr>
          <t>Mónica Rodríguez:</t>
        </r>
        <r>
          <rPr>
            <sz val="9"/>
            <color indexed="81"/>
            <rFont val="Tahoma"/>
            <family val="2"/>
          </rPr>
          <t xml:space="preserve">
Datos del componente comercial</t>
        </r>
      </text>
    </comment>
    <comment ref="H48" authorId="1" shapeId="0" xr:uid="{CB7CA270-2301-4CD3-9224-DA8F6E1C75BF}">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ESTÁ FILA SE DEBE DILIGENCIAR MANUALMENTE</t>
        </r>
      </text>
    </comment>
    <comment ref="H54" authorId="0" shapeId="0" xr:uid="{00000000-0006-0000-2900-000002000000}">
      <text>
        <r>
          <rPr>
            <b/>
            <sz val="9"/>
            <color indexed="81"/>
            <rFont val="Tahoma"/>
            <family val="2"/>
          </rPr>
          <t>Mónica Rodríguez:</t>
        </r>
        <r>
          <rPr>
            <sz val="9"/>
            <color indexed="81"/>
            <rFont val="Tahoma"/>
            <family val="2"/>
          </rPr>
          <t xml:space="preserve">
Datos del componente comercial</t>
        </r>
      </text>
    </comment>
    <comment ref="H96" authorId="0" shapeId="0" xr:uid="{00000000-0006-0000-2900-000003000000}">
      <text>
        <r>
          <rPr>
            <b/>
            <sz val="9"/>
            <color indexed="81"/>
            <rFont val="Tahoma"/>
            <family val="2"/>
          </rPr>
          <t>Mónica Rodríguez:</t>
        </r>
        <r>
          <rPr>
            <sz val="9"/>
            <color indexed="81"/>
            <rFont val="Tahoma"/>
            <family val="2"/>
          </rPr>
          <t xml:space="preserve">
Datos del componente comercial</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Diana M. Aldana Romero</author>
  </authors>
  <commentList>
    <comment ref="D26" authorId="0" shapeId="0" xr:uid="{DABD9517-FB2C-4F94-8653-3DAB7CFC2E70}">
      <text>
        <r>
          <rPr>
            <sz val="9"/>
            <color rgb="FF000000"/>
            <rFont val="Tahoma"/>
            <family val="2"/>
          </rPr>
          <t xml:space="preserve">1 de julio de 2022 - 30 de junio de 2023
</t>
        </r>
      </text>
    </comment>
    <comment ref="E26" authorId="0" shapeId="0" xr:uid="{61AF86F1-AB85-4155-AB88-A8F697CEB06E}">
      <text>
        <r>
          <rPr>
            <sz val="9"/>
            <color rgb="FF000000"/>
            <rFont val="Tahoma"/>
            <family val="2"/>
          </rPr>
          <t xml:space="preserve">1 de julio de 2023 - 30 de junio de 2024
</t>
        </r>
      </text>
    </comment>
    <comment ref="F26" authorId="0" shapeId="0" xr:uid="{086772FD-A7C8-4534-B46D-420071E356A9}">
      <text>
        <r>
          <rPr>
            <sz val="9"/>
            <color rgb="FF000000"/>
            <rFont val="Tahoma"/>
            <family val="2"/>
          </rPr>
          <t xml:space="preserve">1 de julio de 2024 - 30 de junio de 2025
</t>
        </r>
      </text>
    </comment>
    <comment ref="G26" authorId="0" shapeId="0" xr:uid="{5B1508FB-5E01-47FE-B06F-1E8A312AF4FE}">
      <text>
        <r>
          <rPr>
            <sz val="9"/>
            <color rgb="FF000000"/>
            <rFont val="Tahoma"/>
            <family val="2"/>
          </rPr>
          <t xml:space="preserve">1 de julio de 2025 - 30 de junio de 2026
</t>
        </r>
      </text>
    </comment>
    <comment ref="H26" authorId="0" shapeId="0" xr:uid="{A68D666E-49B7-452C-B46E-379E271ABFB8}">
      <text>
        <r>
          <rPr>
            <sz val="9"/>
            <color indexed="81"/>
            <rFont val="Tahoma"/>
            <family val="2"/>
          </rPr>
          <t xml:space="preserve">1 de julio de 2026 - 30 de junio de 2027
</t>
        </r>
      </text>
    </comment>
    <comment ref="I26" authorId="0" shapeId="0" xr:uid="{BBD160A9-BE9F-4627-A5F4-6EA8DCDB7BB5}">
      <text>
        <r>
          <rPr>
            <sz val="9"/>
            <color indexed="81"/>
            <rFont val="Tahoma"/>
            <family val="2"/>
          </rPr>
          <t xml:space="preserve">1 de julio de 2027 - 30 de junio de 2028
</t>
        </r>
      </text>
    </comment>
    <comment ref="J26" authorId="0" shapeId="0" xr:uid="{3567F02E-D1C9-4AA7-A1F9-6BE836DC3DF6}">
      <text>
        <r>
          <rPr>
            <sz val="9"/>
            <color rgb="FF000000"/>
            <rFont val="Tahoma"/>
            <family val="2"/>
          </rPr>
          <t xml:space="preserve">1 de julio de 2028 - 30 de junio de 2029
</t>
        </r>
      </text>
    </comment>
    <comment ref="K26" authorId="0" shapeId="0" xr:uid="{0C739068-777E-4A0A-A942-DE46B92C2595}">
      <text>
        <r>
          <rPr>
            <sz val="9"/>
            <color rgb="FF000000"/>
            <rFont val="Tahoma"/>
            <family val="2"/>
          </rPr>
          <t xml:space="preserve">1 de julio de 2029 - 30 de junio de 2030
</t>
        </r>
      </text>
    </comment>
    <comment ref="L26" authorId="0" shapeId="0" xr:uid="{B8F45E0D-6813-4952-97B3-947CC652EAA1}">
      <text>
        <r>
          <rPr>
            <sz val="9"/>
            <color indexed="81"/>
            <rFont val="Tahoma"/>
            <family val="2"/>
          </rPr>
          <t xml:space="preserve">1 de julio de 2030 - 30 de junio de 2031
</t>
        </r>
      </text>
    </comment>
    <comment ref="M26" authorId="0" shapeId="0" xr:uid="{EE04BC91-B771-49B7-BEE1-052999206390}">
      <text>
        <r>
          <rPr>
            <sz val="9"/>
            <color rgb="FF000000"/>
            <rFont val="Tahoma"/>
            <family val="2"/>
          </rPr>
          <t xml:space="preserve">1 de julio de 2031 - 30 de junio de 2032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<sst xmlns="http://schemas.openxmlformats.org/spreadsheetml/2006/main" count="7402" uniqueCount="3423">
  <si>
    <t>Macromedición</t>
  </si>
  <si>
    <t>No. de puntos macromedidos</t>
  </si>
  <si>
    <t>No. de puntos faltantes</t>
  </si>
  <si>
    <t>COSTOS UNITARIOS PROGRAMAS TÉCNICOS</t>
  </si>
  <si>
    <t>ÍTEM</t>
  </si>
  <si>
    <t>No. DE SMMLV</t>
  </si>
  <si>
    <t>($)</t>
  </si>
  <si>
    <t>SMMLV</t>
  </si>
  <si>
    <t>NO</t>
  </si>
  <si>
    <t>UN</t>
  </si>
  <si>
    <t>DESCRIPCIÓN</t>
  </si>
  <si>
    <t>(años)</t>
  </si>
  <si>
    <t>IPC</t>
  </si>
  <si>
    <t>IPC Histórico</t>
  </si>
  <si>
    <t>SMMLV Histórico</t>
  </si>
  <si>
    <t>AIU</t>
  </si>
  <si>
    <t>COSTO UNITARIO DIRECTO</t>
  </si>
  <si>
    <t>COSTO UNITARIO TOTAL</t>
  </si>
  <si>
    <t>Cantidad de equipos con edad mayor a 23 años</t>
  </si>
  <si>
    <t>Definir valor anual</t>
  </si>
  <si>
    <t>(un)</t>
  </si>
  <si>
    <t>Captación</t>
  </si>
  <si>
    <t>Almacenamiento local de datos de caudal</t>
  </si>
  <si>
    <t>Procesamiento de datos</t>
  </si>
  <si>
    <t>Tiempo estimado para inversión total</t>
  </si>
  <si>
    <t>No. de equipos a instalar por año</t>
  </si>
  <si>
    <t>Verificación metrológica</t>
  </si>
  <si>
    <t>Verificación metrológica de equipos de registro de caudal</t>
  </si>
  <si>
    <t>un</t>
  </si>
  <si>
    <t>PROGRAMAS 688 DE 2014</t>
  </si>
  <si>
    <t>PROPUESTOS</t>
  </si>
  <si>
    <t>OTROS</t>
  </si>
  <si>
    <t>SECTORIZACIÓN</t>
  </si>
  <si>
    <t>GESTIÓN DEL PLANO DE PRESIONES</t>
  </si>
  <si>
    <t>IMPERMEABILIZACIÓN DE TANQUES</t>
  </si>
  <si>
    <t>REDES PROVISIONALES A COMUNIDADES ILEGALES*</t>
  </si>
  <si>
    <t>Suministro e instalación de Medidor Ultrasónico de Caudal Clamp-On para tuberías desde 14" hasta 60" (incluye excavaciones, llenos, retiros, recuperación espacio público y caja)</t>
  </si>
  <si>
    <t>Reemplazo macromedidor entre 14" hasta 60"  incluye suministro e instalación</t>
  </si>
  <si>
    <t>Sectorización</t>
  </si>
  <si>
    <t>Verificación de aislamiento. Prueba de estanqueidad del sector</t>
  </si>
  <si>
    <t>Verificación de aislamiento. Presión en límites</t>
  </si>
  <si>
    <t>Verificación de aislamiento. Identificación por medio de geófono</t>
  </si>
  <si>
    <t>Gestión del plano de presiones</t>
  </si>
  <si>
    <t>Suministro e instalación de infraestructura para la gestión automática de presiones</t>
  </si>
  <si>
    <t>Suministro e instalación de caja para medición de puntos de presión (no incluye equipo-incluye excavaciones, llenos, retiros, recuperación espacio público)</t>
  </si>
  <si>
    <t>Suministro e instalación de equipo de medición presión (incluye elementos de seguridad)</t>
  </si>
  <si>
    <t>Elaboración y calibración de modelo hidráulico</t>
  </si>
  <si>
    <t>Actualización y calibración de modelo hidráulico</t>
  </si>
  <si>
    <t>Impermeabilización de tanques</t>
  </si>
  <si>
    <t>Reemplazo de sensor de nivel</t>
  </si>
  <si>
    <t>Atención de daños</t>
  </si>
  <si>
    <t>Capacitación y seguimiento a personal de la ESP para reducción de tiempos en atención de daños</t>
  </si>
  <si>
    <t>año</t>
  </si>
  <si>
    <t>Búsqueda sistemática de fugas</t>
  </si>
  <si>
    <t>Suministro e instalación para instrumentación y control de nivel en tanques de almacenamiento</t>
  </si>
  <si>
    <t>Reparación de fugas en acometidas (incluye excavaciones, llenos, retiros, recuperación espacio público y accesorios)</t>
  </si>
  <si>
    <t>Reparación de fugas en redes menores (incluye excavaciones, llenos, retiros, recuperación espacio público y accesorios)</t>
  </si>
  <si>
    <t>Reparación de fugas en redes matrices (incluye excavaciones, llenos, retiros, recuperación espacio público y accesorios)</t>
  </si>
  <si>
    <t>Telemetría de los registros de caudalímetros electromagnéticos</t>
  </si>
  <si>
    <t>Telemetría de los registros de caudalímetros ultrasónicos</t>
  </si>
  <si>
    <t>Almacenamiento local de datos de nivel</t>
  </si>
  <si>
    <t>Telemetría de los registros de nivel</t>
  </si>
  <si>
    <t>Procesamiento de datos de equipos</t>
  </si>
  <si>
    <t>Análisis de datos</t>
  </si>
  <si>
    <t>Suministro e instalación de tapa para  caja-Válvula de Cierre Permanente</t>
  </si>
  <si>
    <t>Reposición de redes</t>
  </si>
  <si>
    <t>BÚSQUEDA SISTEMÁTICA DE FUGAS Y CONEXIONES CLANDESTINAS (CONTROL ACTIVO DE FUGAS)</t>
  </si>
  <si>
    <t>REPOSICIÓN DE REDES (RENOVACIÓN Y/O REPOSICIÓN DE REDES)</t>
  </si>
  <si>
    <t>ATENCIÓN DE DAÑOS (MEJORAMIENTO DE LA VELOCIDAD Y CALIDAD EN LAS REPARACIONES)</t>
  </si>
  <si>
    <t>Reposición de redes con diámetros &lt;6" (incluye excavaciones, llenos, retiros, recuperación espacio público, tubería, accesorios y acometidas)</t>
  </si>
  <si>
    <t>Reposición de redes con diámetros 8"-12" (incluye excavaciones, llenos, retiros, recuperación espacio público, tubería y accesorios)</t>
  </si>
  <si>
    <t>Reposición de redes con diámetros 14"-20" (incluye excavaciones, llenos, retiros, recuperación espacio público, tubería y accesorios)</t>
  </si>
  <si>
    <t>m</t>
  </si>
  <si>
    <t>Suministro e instalación de Medidor Electromagnético &lt;=6" (incluye excavaciones, llenos, retiros, recuperación espacio público y caja)</t>
  </si>
  <si>
    <t>Suministro e instalación de Medidor Electromagnético 8"-12" (incluye excavaciones, llenos, retiros, recuperación espacio público y caja)</t>
  </si>
  <si>
    <t>Reemplazo macromedidor &lt;=6"  incluye suministro e instalación</t>
  </si>
  <si>
    <t>Reemplazo macromedidor 8"-12"  incluye suministro e instalación</t>
  </si>
  <si>
    <t>Volumen recuperado de producción por Programas</t>
  </si>
  <si>
    <r>
      <t>(m</t>
    </r>
    <r>
      <rPr>
        <vertAlign val="superscript"/>
        <sz val="9"/>
        <color theme="1"/>
        <rFont val="Arial"/>
        <family val="2"/>
      </rPr>
      <t>3</t>
    </r>
    <r>
      <rPr>
        <sz val="9"/>
        <color theme="1"/>
        <rFont val="Arial"/>
        <family val="2"/>
      </rPr>
      <t>/año)</t>
    </r>
  </si>
  <si>
    <t>Total Usuarios</t>
  </si>
  <si>
    <t>(%)</t>
  </si>
  <si>
    <t>INCLUIR PROGRAMA</t>
  </si>
  <si>
    <t>Medidores faltantes</t>
  </si>
  <si>
    <t>Telemetría y/o almacenamiento local de datos</t>
  </si>
  <si>
    <t>MACROMEDICIÓN</t>
  </si>
  <si>
    <t>Entrada PTAP's</t>
  </si>
  <si>
    <t>Salida PTAP's</t>
  </si>
  <si>
    <t>Macromedición sectores</t>
  </si>
  <si>
    <t>Válvulas de cierre permanente</t>
  </si>
  <si>
    <t>Verificación de aislamiento</t>
  </si>
  <si>
    <t>Instalación de ERP's</t>
  </si>
  <si>
    <t>Infraestructura para la gestión automática de presiones</t>
  </si>
  <si>
    <t>Puntos de presión al interior del sector</t>
  </si>
  <si>
    <t>Modelo hidráulico</t>
  </si>
  <si>
    <t>ATENCIÓN DE DAÑOS</t>
  </si>
  <si>
    <t>Mejoramiento en la velocidad y calidad de las reparaciones</t>
  </si>
  <si>
    <t>BÚSQUEDA SISTEMÁTICA DE FUGAS</t>
  </si>
  <si>
    <t>Reparación de fugas en redes menores</t>
  </si>
  <si>
    <t>Reparación de fugas en redes matrices</t>
  </si>
  <si>
    <t>Reparación de fugas en acometidas</t>
  </si>
  <si>
    <t xml:space="preserve">REPOSICIÓN DE REDES </t>
  </si>
  <si>
    <t>PRODUCCIÓN NETA</t>
  </si>
  <si>
    <t>PROYECCIÓN DE USUARIOS</t>
  </si>
  <si>
    <t>INCREMENTO COSTOS</t>
  </si>
  <si>
    <t>IANC</t>
  </si>
  <si>
    <t>%</t>
  </si>
  <si>
    <t>(m3/año)</t>
  </si>
  <si>
    <t>Beneficio</t>
  </si>
  <si>
    <t>COSTO DE PRODUCCIÓN</t>
  </si>
  <si>
    <t>Res 688 de 2014</t>
  </si>
  <si>
    <t>Entrada PTAP'S</t>
  </si>
  <si>
    <t>Salida PTAP'S</t>
  </si>
  <si>
    <t>No. de puntos macromedidos a la entrada de las PTAP'S</t>
  </si>
  <si>
    <t>No. de puntos faltantes a la entrada de las PTAP'S</t>
  </si>
  <si>
    <t>No. de puntos macromedidos a la salida de las PTAP'S</t>
  </si>
  <si>
    <t>No. de puntos faltantes a la salida de las PTAP'S</t>
  </si>
  <si>
    <t>Medidores faltantes en sectores hidráulicos</t>
  </si>
  <si>
    <t>2.1.1</t>
  </si>
  <si>
    <t>2.1.2</t>
  </si>
  <si>
    <t>Medidores faltantes en tanques asociados a sectores</t>
  </si>
  <si>
    <t>No. de tanques macromedidos</t>
  </si>
  <si>
    <t>No. de tanques faltantes</t>
  </si>
  <si>
    <t>No. de válvulas a instalar por año</t>
  </si>
  <si>
    <t>No. de macromedidores nuevos</t>
  </si>
  <si>
    <t>Tiempo estimado para inversión total - Años de priorización</t>
  </si>
  <si>
    <t>1.1.1</t>
  </si>
  <si>
    <t>1.1.2</t>
  </si>
  <si>
    <t>1.1.3</t>
  </si>
  <si>
    <t>1.1.4</t>
  </si>
  <si>
    <t>1.1.5</t>
  </si>
  <si>
    <t>1.1.6</t>
  </si>
  <si>
    <t>1.2.1</t>
  </si>
  <si>
    <t>1.2.2</t>
  </si>
  <si>
    <t>1.2.3</t>
  </si>
  <si>
    <t>1.2.4</t>
  </si>
  <si>
    <t>1.2.5</t>
  </si>
  <si>
    <t>1.2.6</t>
  </si>
  <si>
    <t>1.3.1</t>
  </si>
  <si>
    <t>1.3.2</t>
  </si>
  <si>
    <t>1.3.3</t>
  </si>
  <si>
    <t>1.3.4</t>
  </si>
  <si>
    <t>1.3.5</t>
  </si>
  <si>
    <t>1.3.6</t>
  </si>
  <si>
    <t>2.1.3</t>
  </si>
  <si>
    <t>2.1.4</t>
  </si>
  <si>
    <t>2.1.5</t>
  </si>
  <si>
    <t>2.1.6</t>
  </si>
  <si>
    <t>2.1.7</t>
  </si>
  <si>
    <t>Total puntos de telemetría o almacenamiento de datos por año</t>
  </si>
  <si>
    <t>N/A</t>
  </si>
  <si>
    <t>No. de válvulas faltantes</t>
  </si>
  <si>
    <t>No. de verificaciones a realizar por año</t>
  </si>
  <si>
    <t>No. de ERP's a instalar por año</t>
  </si>
  <si>
    <t>No. de ERP's faltantes</t>
  </si>
  <si>
    <t>No. de ERP's con instalación de gestión automática de presiones por año</t>
  </si>
  <si>
    <t>3.3.1</t>
  </si>
  <si>
    <t>Equipos de presión fijos faltantes en sectores hidráulicos</t>
  </si>
  <si>
    <t>No. total de equipos fijos (instalados y faltantes)</t>
  </si>
  <si>
    <t>No. de puntos fijos de presión a instalar por año</t>
  </si>
  <si>
    <t>Equipos de presión rotativos faltantes en sectores hidráulicos</t>
  </si>
  <si>
    <t>3.3.2</t>
  </si>
  <si>
    <t>Procesamiento de datos presión</t>
  </si>
  <si>
    <t>Análisis de datos de presión</t>
  </si>
  <si>
    <t>3.3.3</t>
  </si>
  <si>
    <t>3.3.4</t>
  </si>
  <si>
    <t>3.3.5</t>
  </si>
  <si>
    <t>Vida útil equipos</t>
  </si>
  <si>
    <t>No. de equipos de presión instalados</t>
  </si>
  <si>
    <t>Cantidad de equipos rotativos disponibles en el año 0 edad mayor a 5 años</t>
  </si>
  <si>
    <t>Cantidad de equipos fijos disponibles en el año 0 con edad mayor a 5 años</t>
  </si>
  <si>
    <t>Cantidad de equipos fijos requeridos en el año 0</t>
  </si>
  <si>
    <t>Cantidad de equipos rotativos requeridos en el año 0</t>
  </si>
  <si>
    <t>Periodo actualización de modelación</t>
  </si>
  <si>
    <t>(m)</t>
  </si>
  <si>
    <t>Frecuencia para impermeabilización de tanques</t>
  </si>
  <si>
    <t>Área total de impermeabilización</t>
  </si>
  <si>
    <t>Prueba de estanqueidad en tanques</t>
  </si>
  <si>
    <r>
      <t>(m</t>
    </r>
    <r>
      <rPr>
        <vertAlign val="superscript"/>
        <sz val="9"/>
        <color theme="1"/>
        <rFont val="Arial"/>
        <family val="2"/>
      </rPr>
      <t>2</t>
    </r>
    <r>
      <rPr>
        <sz val="9"/>
        <color theme="1"/>
        <rFont val="Arial"/>
        <family val="2"/>
      </rPr>
      <t>)</t>
    </r>
  </si>
  <si>
    <t>Valor calculado</t>
  </si>
  <si>
    <t>Pruebas de estanqueidad e impermeabilización de tanques</t>
  </si>
  <si>
    <t>Volumen de agua recuperado por mejoramiento en la velocidad</t>
  </si>
  <si>
    <t>Volumen de agua recuperado por mejoramiento en la calidad de las reparaciones</t>
  </si>
  <si>
    <t>(año)</t>
  </si>
  <si>
    <t>Porcentaje de redes a detectar</t>
  </si>
  <si>
    <t>Longitud total de redes en el sistema</t>
  </si>
  <si>
    <t>Longitud total de redes a detectar</t>
  </si>
  <si>
    <t>Se define un seguimiento al año</t>
  </si>
  <si>
    <t>Reparación de fugas</t>
  </si>
  <si>
    <t>6.2.1</t>
  </si>
  <si>
    <t>Número estimado de daños en fugas no visibles recuperables</t>
  </si>
  <si>
    <t>6.2.2</t>
  </si>
  <si>
    <t>6.2.3</t>
  </si>
  <si>
    <t>6.3.1</t>
  </si>
  <si>
    <t>6.3.2</t>
  </si>
  <si>
    <t>6.3.4</t>
  </si>
  <si>
    <t>6.3.5</t>
  </si>
  <si>
    <t xml:space="preserve">Telemetría y/o almacenamiento local de datos de nivel </t>
  </si>
  <si>
    <t>No. total de tanques</t>
  </si>
  <si>
    <t>No. de tanques con control de nivel</t>
  </si>
  <si>
    <t>Cantidad de equipos con edad mayor a 5 años</t>
  </si>
  <si>
    <t>6.3.3</t>
  </si>
  <si>
    <t>Porcentaje de redes a reponer</t>
  </si>
  <si>
    <t>Longitud total de redes a reponer</t>
  </si>
  <si>
    <t>EVALUACIÓN DE PROGRAMAS DE REDUCCIÓN DE PÉRDIDAS TÉCNICAS</t>
  </si>
  <si>
    <t>Sistema 1</t>
  </si>
  <si>
    <t>Sistema 2</t>
  </si>
  <si>
    <t>No. de puntos que se requieren medir en tanques</t>
  </si>
  <si>
    <t>SI</t>
  </si>
  <si>
    <t>No. de cajas faltantes</t>
  </si>
  <si>
    <t>No. de caja de medición de presión a instalar por año</t>
  </si>
  <si>
    <t>Suministro e instalación de caja, tapa y válvula de cierre permanente (incluye excavaciones, llenos, retiros, recuperación espacio público)</t>
  </si>
  <si>
    <t>Lavado e impermeabilizado de tanques de almacenamiento de agua potable</t>
  </si>
  <si>
    <t>REDES PROVISIONALES A COMUNIDADES ILEGALES</t>
  </si>
  <si>
    <t>Redes provisionales</t>
  </si>
  <si>
    <t>(usuarios)</t>
  </si>
  <si>
    <t>Cantidad de usuarios estimados en los AHDI</t>
  </si>
  <si>
    <t>Redes provisionales a comunidades ilegales</t>
  </si>
  <si>
    <t>Redes provisionales (incluye excavaciones, llenos, retiros, recuperación espacio público, tubería y accesorios)</t>
  </si>
  <si>
    <t>(usuario)</t>
  </si>
  <si>
    <t>Porcentaje del costo total que aplica en programas técnicos</t>
  </si>
  <si>
    <t xml:space="preserve"> </t>
  </si>
  <si>
    <t xml:space="preserve">Volumen de agua recuperado por reposición de redes con diámetros &lt;6" </t>
  </si>
  <si>
    <t xml:space="preserve">Volumen de agua recuperado por reposición de redes con diámetros 8-12" </t>
  </si>
  <si>
    <t xml:space="preserve">Volumen de agua recuperado por reposición de redes con diámetros 14-20" </t>
  </si>
  <si>
    <t>Tiempo estimado para Reemplazo</t>
  </si>
  <si>
    <t>Reemplazo de equipos fijos y rotativos</t>
  </si>
  <si>
    <t>Reemplazo de macromedidores</t>
  </si>
  <si>
    <t>No. de equipos de presión faltantes</t>
  </si>
  <si>
    <t>Instrumentación y control de nivel en tanques</t>
  </si>
  <si>
    <t>Operación</t>
  </si>
  <si>
    <t>Inversión</t>
  </si>
  <si>
    <t>PARÁMETRO</t>
  </si>
  <si>
    <t>VALOR</t>
  </si>
  <si>
    <t>IMPORENTA</t>
  </si>
  <si>
    <t>PORCENTAJE DE RECAUDO</t>
  </si>
  <si>
    <t>TASA CRECIMIENTO SALARIO MÍNIMO MENSUAL</t>
  </si>
  <si>
    <t>Relación beneficio costo gestión de pérdidas técnicas</t>
  </si>
  <si>
    <t>Datos generales</t>
  </si>
  <si>
    <t>Tasa de tributación</t>
  </si>
  <si>
    <t>Proyección ingresos / costos evitados ($ corrientes)</t>
  </si>
  <si>
    <t>Costo energía $m3</t>
  </si>
  <si>
    <t>Costo químicos $m3</t>
  </si>
  <si>
    <t>Datos generales proyecto</t>
  </si>
  <si>
    <t>Nombre del proyecto</t>
  </si>
  <si>
    <t>Descripción</t>
  </si>
  <si>
    <t>Flujo de caja del proyecto corrientes</t>
  </si>
  <si>
    <t>Valor inversión</t>
  </si>
  <si>
    <t>Costo operativo</t>
  </si>
  <si>
    <t>Gasto admnistrativo</t>
  </si>
  <si>
    <t>Utilidad operativa</t>
  </si>
  <si>
    <t>Impuesto de renta</t>
  </si>
  <si>
    <t>Utilidad neta</t>
  </si>
  <si>
    <t>Valor inversión</t>
  </si>
  <si>
    <t>Relación B/C</t>
  </si>
  <si>
    <t>VNA ingresos</t>
  </si>
  <si>
    <t>VNA Egresos</t>
  </si>
  <si>
    <t>VNA Egresos +  Inversión</t>
  </si>
  <si>
    <t>Total, Indice de Precios al Consumidor (IPC)</t>
  </si>
  <si>
    <t>Base Diciembre de 2018 = 100,00</t>
  </si>
  <si>
    <t>Mes</t>
  </si>
  <si>
    <t>Enero</t>
  </si>
  <si>
    <t>Febrero</t>
  </si>
  <si>
    <t>Marzo</t>
  </si>
  <si>
    <t>Abril</t>
  </si>
  <si>
    <t>Mayo</t>
  </si>
  <si>
    <t>Junio</t>
  </si>
  <si>
    <t>Julio</t>
  </si>
  <si>
    <t>Agosto</t>
  </si>
  <si>
    <t>Septiembre</t>
  </si>
  <si>
    <t>Octubre</t>
  </si>
  <si>
    <t>Noviembre</t>
  </si>
  <si>
    <t>Diciembre</t>
  </si>
  <si>
    <r>
      <rPr>
        <b/>
        <sz val="8"/>
        <rFont val="Segoe UI"/>
        <family val="2"/>
        <charset val="204"/>
      </rPr>
      <t>Fuente:</t>
    </r>
    <r>
      <rPr>
        <sz val="8"/>
        <rFont val="Segoe UI"/>
        <family val="2"/>
        <charset val="204"/>
      </rPr>
      <t xml:space="preserve"> DANE.</t>
    </r>
  </si>
  <si>
    <r>
      <rPr>
        <b/>
        <sz val="8"/>
        <rFont val="Segoe UI"/>
        <family val="2"/>
        <charset val="204"/>
      </rPr>
      <t>Nota:</t>
    </r>
    <r>
      <rPr>
        <sz val="8"/>
        <rFont val="Segoe UI"/>
        <family val="2"/>
        <charset val="204"/>
      </rPr>
      <t xml:space="preserve"> La diferencia en la suma de las variables, obedece al sistema de aproximación y redondeo.</t>
    </r>
  </si>
  <si>
    <t>ICFO - BASE DANE: DICIEMBRE DE 2014</t>
  </si>
  <si>
    <t>SALARIO MÍNIMO MENSUAL LEGAL VIGENTE</t>
  </si>
  <si>
    <t>AÑO</t>
  </si>
  <si>
    <t>Monto Diario</t>
  </si>
  <si>
    <t>Monto Mensual</t>
  </si>
  <si>
    <t>Variación Anual</t>
  </si>
  <si>
    <t>Mes / Año</t>
  </si>
  <si>
    <t>2014</t>
  </si>
  <si>
    <t>2015</t>
  </si>
  <si>
    <t>2016</t>
  </si>
  <si>
    <t>2017</t>
  </si>
  <si>
    <t>2018</t>
  </si>
  <si>
    <t>2019</t>
  </si>
  <si>
    <t>2020</t>
  </si>
  <si>
    <t>2021</t>
  </si>
  <si>
    <t>Meta de inflación e inflación total al consumidor</t>
  </si>
  <si>
    <t>1.1. Serie histórica_periodicidad mensual</t>
  </si>
  <si>
    <t/>
  </si>
  <si>
    <t xml:space="preserve">Información disponible a partir de enero de 1993. </t>
  </si>
  <si>
    <r>
      <rPr>
        <sz val="9"/>
        <color theme="1"/>
        <rFont val="Helvetica"/>
        <family val="2"/>
      </rPr>
      <t xml:space="preserve"> </t>
    </r>
    <r>
      <rPr>
        <i/>
        <sz val="9"/>
        <color theme="1"/>
        <rFont val="Helvetica"/>
        <family val="2"/>
      </rPr>
      <t>Banco de la República - Gerencia Técnica - información extraída de la bodega de datos -Serankua- el 14/07/2021 19:28:43</t>
    </r>
  </si>
  <si>
    <t>Año(aaaa)-Mes(mm)</t>
  </si>
  <si>
    <r>
      <rPr>
        <b/>
        <sz val="9"/>
        <color theme="1"/>
        <rFont val="Arial"/>
        <family val="2"/>
      </rPr>
      <t>Inflación total</t>
    </r>
    <r>
      <rPr>
        <b/>
        <sz val="9.9499999999999993"/>
        <color theme="1"/>
        <rFont val="Arial"/>
        <family val="2"/>
      </rPr>
      <t xml:space="preserve"> 1</t>
    </r>
  </si>
  <si>
    <t>Límite superior</t>
  </si>
  <si>
    <t>Meta de inflación</t>
  </si>
  <si>
    <t>Límite inferior</t>
  </si>
  <si>
    <r>
      <rPr>
        <b/>
        <sz val="9"/>
        <color theme="1"/>
        <rFont val="Helvetica"/>
        <family val="2"/>
      </rPr>
      <t>Fuente</t>
    </r>
    <r>
      <rPr>
        <sz val="9"/>
        <color theme="1"/>
        <rFont val="Helvetica"/>
        <family val="2"/>
      </rPr>
      <t>: Meta de inflación, Junta Directiva Banco de la República. Inflación total al consumidor, DANE.</t>
    </r>
  </si>
  <si>
    <r>
      <rPr>
        <sz val="9"/>
        <color theme="1"/>
        <rFont val="Helvetica"/>
        <family val="2"/>
      </rPr>
      <t xml:space="preserve"> </t>
    </r>
    <r>
      <rPr>
        <b/>
        <sz val="9"/>
        <color theme="1"/>
        <rFont val="Helvetica"/>
        <family val="2"/>
      </rPr>
      <t>Nota</t>
    </r>
    <r>
      <rPr>
        <sz val="9"/>
        <color theme="1"/>
        <rFont val="Helvetica"/>
        <family val="2"/>
      </rPr>
      <t xml:space="preserve">: Atendiendo lo previsto en el parágrafo del artículo 2o. de la Ley 31 de 1992, la Junta Directiva del Banco de la República ha fijado la meta de inflación para cada año a partir de 1993. En el comunicado de prensa del 27 de noviembre de 2015, la Junta Directiva del Banco de la República, de conformidad con la Ley 31 de 1992, reitera que la meta de inflación es el 3% </t>
    </r>
    <r>
      <rPr>
        <u/>
        <sz val="9"/>
        <color rgb="FF0000FF"/>
        <rFont val="Helvetica"/>
        <family val="2"/>
      </rPr>
      <t>http://www.banrep.gov.co/es/comunicado-27-11-2015-2</t>
    </r>
    <r>
      <rPr>
        <sz val="9"/>
        <color theme="1"/>
        <rFont val="Helvetica"/>
        <family val="2"/>
      </rPr>
      <t>.</t>
    </r>
  </si>
  <si>
    <r>
      <rPr>
        <sz val="9"/>
        <color theme="1"/>
        <rFont val="Helvetica"/>
        <family val="2"/>
      </rPr>
      <t xml:space="preserve"> </t>
    </r>
    <r>
      <rPr>
        <b/>
        <sz val="9"/>
        <color theme="1"/>
        <rFont val="Helvetica"/>
        <family val="2"/>
      </rPr>
      <t>¹</t>
    </r>
    <r>
      <rPr>
        <sz val="9"/>
        <color theme="1"/>
        <rFont val="Helvetica"/>
        <family val="2"/>
      </rPr>
      <t xml:space="preserve"> Inflación total al consumidor se refiere a la variación doce meses del IPC total Nacional Ponderado, producido por el DANE. </t>
    </r>
  </si>
  <si>
    <t>Industrial</t>
  </si>
  <si>
    <t>Oficial</t>
  </si>
  <si>
    <t>Especial</t>
  </si>
  <si>
    <t>TOTAL</t>
  </si>
  <si>
    <t>No. de equipos de presión fijos y rotativos nuevos</t>
  </si>
  <si>
    <t>3.3.6</t>
  </si>
  <si>
    <t>Número de puntos de captación</t>
  </si>
  <si>
    <t>Número de puntos en la entrada de las PTAP's</t>
  </si>
  <si>
    <t>Número de puntos a la salida de las PTAP's</t>
  </si>
  <si>
    <t>No. de distritos y/o sectores con ERP's</t>
  </si>
  <si>
    <t>No. total de cajas para equipos rotativos (disponibles y faltantes)</t>
  </si>
  <si>
    <t>No. de cajas disponibles</t>
  </si>
  <si>
    <t xml:space="preserve">No. de equipos rotativos de presión a instalar por año </t>
  </si>
  <si>
    <t>Cantidad de equipos rotativos suministrados por esta Consultoría en el año 0</t>
  </si>
  <si>
    <t>No. Total de tanques en el sistema</t>
  </si>
  <si>
    <t>TASA DE CAPITAL DE TRABAJO</t>
  </si>
  <si>
    <t>TASA CRECIMIENTO INGRESOS (IPC 3% Art.125 L142/94)</t>
  </si>
  <si>
    <t>Concepto</t>
  </si>
  <si>
    <t>CEP</t>
  </si>
  <si>
    <t>CED</t>
  </si>
  <si>
    <t>CIQ</t>
  </si>
  <si>
    <t>SUSCRIPTORES</t>
  </si>
  <si>
    <t>CCP</t>
  </si>
  <si>
    <t>Identificación del activo</t>
  </si>
  <si>
    <t>Año planeado</t>
  </si>
  <si>
    <t>POIR programa pérdidas por activo j</t>
  </si>
  <si>
    <t>Vida Útil</t>
  </si>
  <si>
    <t>Año 1</t>
  </si>
  <si>
    <t>Año 2</t>
  </si>
  <si>
    <t>Año 3</t>
  </si>
  <si>
    <t>Año 4</t>
  </si>
  <si>
    <t>Año 5</t>
  </si>
  <si>
    <t>Año 6</t>
  </si>
  <si>
    <t>Año 7</t>
  </si>
  <si>
    <t>Año 8</t>
  </si>
  <si>
    <t>Año 9</t>
  </si>
  <si>
    <t>Año 10</t>
  </si>
  <si>
    <t>WACC</t>
  </si>
  <si>
    <t>Depreciación (d)</t>
  </si>
  <si>
    <t>Base de capital regulado (BCRi)</t>
  </si>
  <si>
    <t>Base de capital regulado del año anterior (BCRi-1) * r</t>
  </si>
  <si>
    <t>r * BCR0ac, al</t>
  </si>
  <si>
    <t>r * BCR1,ac, al</t>
  </si>
  <si>
    <t>r * BCR2,ac, al</t>
  </si>
  <si>
    <t>r * BCR3,ac, al</t>
  </si>
  <si>
    <t>r * BCR4,ac, al</t>
  </si>
  <si>
    <t>r * BCR5,ac, al</t>
  </si>
  <si>
    <t>r * BCR6,ac, al</t>
  </si>
  <si>
    <t>r * BCR7,ac, al</t>
  </si>
  <si>
    <t>r * BCR8,ac, al</t>
  </si>
  <si>
    <t>r * BCR9,ac, al</t>
  </si>
  <si>
    <t>Costo de inversión (CI)</t>
  </si>
  <si>
    <t>Consumo corregido por pérdidas (CCP)</t>
  </si>
  <si>
    <t>Costo medio de inversión (CMI)</t>
  </si>
  <si>
    <t>VP(CIi,ac, al)</t>
  </si>
  <si>
    <t>VP(CCPi,ac, al)</t>
  </si>
  <si>
    <t>CMI</t>
  </si>
  <si>
    <t>CMI POIR pérdidas</t>
  </si>
  <si>
    <t>CMI ACTUAL ESP</t>
  </si>
  <si>
    <t>NUEVO CMI ESP</t>
  </si>
  <si>
    <t>CONCEPTO</t>
  </si>
  <si>
    <t>CAPEX</t>
  </si>
  <si>
    <t>OPEX</t>
  </si>
  <si>
    <t>No.</t>
  </si>
  <si>
    <t>PROGRAMAS TÉCNICOS</t>
  </si>
  <si>
    <t>MACROMEDIDORES</t>
  </si>
  <si>
    <t>VIDA ÚTIL (AÑOS)</t>
  </si>
  <si>
    <t>ESTACIONES REDUCTORAS DE PRESIÓN</t>
  </si>
  <si>
    <t>NO SE REQUIERE</t>
  </si>
  <si>
    <t>REDES</t>
  </si>
  <si>
    <t>REHABILITACIÓN REDES</t>
  </si>
  <si>
    <t>REHABILITACIÓN TANQUES</t>
  </si>
  <si>
    <t>Proyección metros cúbicos recuperados</t>
  </si>
  <si>
    <t>CMO ACTUAL DESDE EL AÑO 6 ($2014)</t>
  </si>
  <si>
    <t>Activo j</t>
  </si>
  <si>
    <t>CMO P.P.</t>
  </si>
  <si>
    <t>VIDA ÚTIL</t>
  </si>
  <si>
    <t>DEPREC. AÑO 1</t>
  </si>
  <si>
    <t>DEPREC. AÑO 2</t>
  </si>
  <si>
    <t>DEPREC. AÑO 3</t>
  </si>
  <si>
    <t>DEPREC. AÑO 4</t>
  </si>
  <si>
    <t>DEPREC. AÑO 5</t>
  </si>
  <si>
    <t>DEPREC. AÑO 6</t>
  </si>
  <si>
    <t>DEPREC. AÑO 7</t>
  </si>
  <si>
    <t>DEPREC. AÑO 8</t>
  </si>
  <si>
    <t>DEPREC. AÑO 9</t>
  </si>
  <si>
    <t>DEPREC. AÑO 10</t>
  </si>
  <si>
    <t>DEPREC. AÑO 11</t>
  </si>
  <si>
    <t>ACTIVOS CAPEX</t>
  </si>
  <si>
    <t>Proyecto</t>
  </si>
  <si>
    <t>Municipio</t>
  </si>
  <si>
    <t>Empresa</t>
  </si>
  <si>
    <t>COP$</t>
  </si>
  <si>
    <t>Año</t>
  </si>
  <si>
    <t>% Incremento</t>
  </si>
  <si>
    <t>Usuarios</t>
  </si>
  <si>
    <t>Tasa de crecimiento DANE</t>
  </si>
  <si>
    <t>Tasa de crecimiento OTRA</t>
  </si>
  <si>
    <t>OTRA</t>
  </si>
  <si>
    <t>Residencial</t>
  </si>
  <si>
    <t>Comercial</t>
  </si>
  <si>
    <t>Facturación neta</t>
  </si>
  <si>
    <t>Volumen facturado recuperado Programas</t>
  </si>
  <si>
    <t>Sí</t>
  </si>
  <si>
    <t>Estrato</t>
  </si>
  <si>
    <t>Mayor estrato</t>
  </si>
  <si>
    <t>Estrato 1 x mayoración (1.2)</t>
  </si>
  <si>
    <t>Tasa de deterioro medidor mayor a &gt; 3 años</t>
  </si>
  <si>
    <t>Total</t>
  </si>
  <si>
    <t>Número de medidores por usuarios nuevos</t>
  </si>
  <si>
    <t>Número de medidores potenciales para cambio</t>
  </si>
  <si>
    <t>Número de medidores nuevos usuarios</t>
  </si>
  <si>
    <t>Número de medidores nuevos usuarios con 1 año de vida</t>
  </si>
  <si>
    <t>Número de medidores nuevos usuarios con 2 años de vida</t>
  </si>
  <si>
    <t>Número de medidores nuevos usuarios con 3 años de vida</t>
  </si>
  <si>
    <t>Número de medidores nuevos usuarios con 4 años de vida</t>
  </si>
  <si>
    <t>Número de medidores nuevos usuarios con 5 años de vida</t>
  </si>
  <si>
    <t>Número de medidores nuevos usuarios con 6 años de vida</t>
  </si>
  <si>
    <t>Número de medidores nuevos usuarios con 7 años de vida</t>
  </si>
  <si>
    <t>Número de medidores nuevos usuarios con 8 años de vida</t>
  </si>
  <si>
    <t>Número de medidores nuevos usuarios con 9 años de vida</t>
  </si>
  <si>
    <t>Número de medidores nuevos usuarios con 10 años de vida</t>
  </si>
  <si>
    <t>Número por cambio</t>
  </si>
  <si>
    <t>Número de medidores cambiados con 1 año de vida</t>
  </si>
  <si>
    <t>Número de medidores cambiados con 2 años de vida</t>
  </si>
  <si>
    <t>Número de medidores cambiados con 3 años de vida</t>
  </si>
  <si>
    <t>Número de medidores cambiados con 4 años de vida</t>
  </si>
  <si>
    <t>Número de medidores cambiados con 5 años de vida</t>
  </si>
  <si>
    <t>Número de medidores cambiados con 6 años de vida</t>
  </si>
  <si>
    <t>Número de medidores cambiados con 7 años de vida</t>
  </si>
  <si>
    <t>Número de medidores cambiados con 8 años de vida</t>
  </si>
  <si>
    <t>Número de medidores cambiados con 9 años de vida</t>
  </si>
  <si>
    <t>Número de medidores cambiados con 10 años de vida</t>
  </si>
  <si>
    <t>Costo unitario de la empresa asumido por el cambio de medidor ($)</t>
  </si>
  <si>
    <t>Número de brazaletes instalados</t>
  </si>
  <si>
    <t>Número de guayas instalados</t>
  </si>
  <si>
    <t>m3/mes/suscriptor</t>
  </si>
  <si>
    <t>Número de inspecciones realizadas</t>
  </si>
  <si>
    <t>Número de cobros realizados</t>
  </si>
  <si>
    <t>Volúmenes recuperados por cobros a terceros (m3/año)</t>
  </si>
  <si>
    <t>Costo unitario de la empresa asumido para la detección consumos terceros($)</t>
  </si>
  <si>
    <t>Número de usuarios con consumo 0</t>
  </si>
  <si>
    <t>Número de usuarios inactivos y otros</t>
  </si>
  <si>
    <t>Número de inspecciones realizadas a inactivos y otros</t>
  </si>
  <si>
    <t>Volúmenes recuperados por actualización de catastro (m3/año)</t>
  </si>
  <si>
    <t>Costo de inspección por actualización catastro ($/año)</t>
  </si>
  <si>
    <t>Costo unitario de sostenimiento comunicacional por equipo ($)</t>
  </si>
  <si>
    <t>Costo de implementación programa de telemetría ($/año)</t>
  </si>
  <si>
    <t>Beneficio de implementación programa telemetría ($/año)</t>
  </si>
  <si>
    <t>Volúmenes recuperados por software con inteligencia para alertas (m3/año)</t>
  </si>
  <si>
    <t>Costo anual de implementación programa alertas ($/año)</t>
  </si>
  <si>
    <t>Beneficio de implementación programa alertas ($/año)</t>
  </si>
  <si>
    <t>Porcentaje del costo total que aplica en programas comerciales</t>
  </si>
  <si>
    <t>Redes provisionales (incluye excavaciones, llenos, retiros, recuperación espacio público, tubería y accesorios) (usuarios)</t>
  </si>
  <si>
    <t>Beneficio de implementación programa redes provisionales a usuarios ilegales ($)</t>
  </si>
  <si>
    <t>Itém</t>
  </si>
  <si>
    <t>Unidad</t>
  </si>
  <si>
    <t xml:space="preserve">Costo  </t>
  </si>
  <si>
    <t xml:space="preserve"> Referencia de Costo</t>
  </si>
  <si>
    <t>Fecha</t>
  </si>
  <si>
    <t>Indice de actualización</t>
  </si>
  <si>
    <t>$/medidor</t>
  </si>
  <si>
    <t>DECRETO 2019-DECGGL-2251 
Por medio del cual se fijan los precios para el cobro de trabajos, suministros y servicios que realice EPM E.S.P.</t>
  </si>
  <si>
    <t>Análisis del mercado</t>
  </si>
  <si>
    <t>Medidor de 1"</t>
  </si>
  <si>
    <t>Costo unitario de equipo de telemetría completo para un gran consumidor</t>
  </si>
  <si>
    <t>Medidor de 1-1/2"</t>
  </si>
  <si>
    <t>Medidor de 2"</t>
  </si>
  <si>
    <t>Medidor de 3"</t>
  </si>
  <si>
    <t>Costo unitario sostenimiento comunicacional equipo telemetría</t>
  </si>
  <si>
    <t>Valor plan datos anual</t>
  </si>
  <si>
    <t>Precio del mercado</t>
  </si>
  <si>
    <t>Costo actualización software de facturación integral para ESP con inteligencia para alertas ($)</t>
  </si>
  <si>
    <t>$/software</t>
  </si>
  <si>
    <t xml:space="preserve">Modulos de alertas interconectado con el software </t>
  </si>
  <si>
    <t>Estimación basada en precios de mercado</t>
  </si>
  <si>
    <t>$/comunidad ilegal</t>
  </si>
  <si>
    <t xml:space="preserve">Incluye visistas de reconocimiento de un equipo interdiciplinario </t>
  </si>
  <si>
    <t>Costo acometida en comunidades ilegales ($)</t>
  </si>
  <si>
    <t>$/visita con geófono</t>
  </si>
  <si>
    <t>REVISIÓN FACTURACIÓN CLIENTES INSTITUCIONALES</t>
  </si>
  <si>
    <t>FACTURACIÓN PRESUNTIVA DE DAÑOS OCASIONADOS POR TERCEROS</t>
  </si>
  <si>
    <t>4.3 Cobro de consumos por ejecución de obras de infraestructura (cobro de terceros)</t>
  </si>
  <si>
    <t>SUPERVISIÓN CUENTAS INACTIVAS (CORTADO, COACTIVO, PREDIO DEMOLIDO, SUSPENDIDO, ACOMETIDA POR INSTALAR, DEPURACIÓN CARTERA, INHABILITADO)</t>
  </si>
  <si>
    <t>INSTALACIÓN DISPOSITIVOS ANTIFRAUDE</t>
  </si>
  <si>
    <t>4.2 Instalación de dispositivos antifraude</t>
  </si>
  <si>
    <t>LECTURA REMOTA GRANDES CONSUMIDORES</t>
  </si>
  <si>
    <t>4.9 Telemetría grandes consumidores</t>
  </si>
  <si>
    <t>FACTURACIÓN DE PREDIOS CON INSPECCIONES POR CRUCES DE INFORMACIÓN COMERCIAL Y GEOGRÁFICA</t>
  </si>
  <si>
    <t>4.6 Seguimiento a provisionales de obra</t>
  </si>
  <si>
    <t>4.7 Actualización catastro de usuarios y georeferenciación</t>
  </si>
  <si>
    <t xml:space="preserve">4.10 Implementación de software con inteligencia para alertas </t>
  </si>
  <si>
    <t>MANEJO DE FRAUDES</t>
  </si>
  <si>
    <t>ANÁLISIS SISTEMICO DE BAJOS CONSUMOS</t>
  </si>
  <si>
    <t>4.4 Seguimiento usuarios con consumo 0</t>
  </si>
  <si>
    <t>4.5 Seguimiento usuarios con bajo consumo &gt;0 y menor a 5 m3 /mes</t>
  </si>
  <si>
    <t>FACTURACIÓN PRESUNTIVA COMUNIDADES ILEGALES</t>
  </si>
  <si>
    <t>4.8 Facturación presuntiva de comunidades ilegales</t>
  </si>
  <si>
    <t>BUSQUEDA SISTEMTICA DE FUGAS Y CONEXIONES CLANDESTINAS</t>
  </si>
  <si>
    <t>SUSTITUCIÓN DE MEDIDORES RESIDENCIALES</t>
  </si>
  <si>
    <t>4.1 Renovación de Medidores (cambio masivo)</t>
  </si>
  <si>
    <t>MACROMEDICIÓN CONJUNTOS HABITACIONALES</t>
  </si>
  <si>
    <t>TIPO PROGRAMA</t>
  </si>
  <si>
    <t>NOMBRE</t>
  </si>
  <si>
    <t>C.Op. Programas Técnicos</t>
  </si>
  <si>
    <t>C.Op. Programas Comerciales</t>
  </si>
  <si>
    <t>TOTAL OPEX PROGRAMAS TÉCNICOS ($ CORRIENTES)</t>
  </si>
  <si>
    <t>TOTAL CAPEX PROGRAMAS TÉCNICOS ($ CORRIENTES)</t>
  </si>
  <si>
    <t>TOTAL OPEX PROGRAMAS TÉCNICOS ($ DIC. 2014)</t>
  </si>
  <si>
    <t>TOTAL CAPEX PROGRAMAS TÉCNICOS ($ DIC. 2014)</t>
  </si>
  <si>
    <t>TOTAL OPEX PROGRAMAS COMERCIALES ($ CORRIENTES)</t>
  </si>
  <si>
    <t>TOTAL OPEX PROGRAMAS COMERCIALES ($ DIC. 2014)</t>
  </si>
  <si>
    <t>TOTAL OPEX PROGRAMAS PÉRDIDAS ($ CORRIENTES)</t>
  </si>
  <si>
    <t>TOTAL CAPEX PROGRAMAS PÉRDIDAS ($ CORRIENTES)</t>
  </si>
  <si>
    <t>TOTAL OPEX PROGRAMAS PÉRDIDAS ($ DIC. 2014)</t>
  </si>
  <si>
    <t>TOTAL CAPEX PROGRAMAS PÉRDIDAS ($ DIC. 2014)</t>
  </si>
  <si>
    <t>CAPEX $ CORRIENTES</t>
  </si>
  <si>
    <t>CAPEX $ DIC.2014</t>
  </si>
  <si>
    <t>VOLÚMENES RECUPERADOS POR PROGRAMA COMERCIAL</t>
  </si>
  <si>
    <t>TÉCNICO</t>
  </si>
  <si>
    <t>COMERCIAL</t>
  </si>
  <si>
    <t>VOLÚMENES RECUPERADOS POR PROGRAMA</t>
  </si>
  <si>
    <t>TOTAL PROGRAMAS PÉRDIDAS</t>
  </si>
  <si>
    <t>CMO PROGRAMA DE PÉRDIDAS ($ CORRIENTES)</t>
  </si>
  <si>
    <t>CMI PROGRAMA DE PÉRDIDAS ($ CORRIENTES)</t>
  </si>
  <si>
    <t>CMO</t>
  </si>
  <si>
    <t>C.C.</t>
  </si>
  <si>
    <t>CMO + CMI INCREMENTAL POR INCLUIR CAPEX Y OPEX DEL PROGRAMA DE PÉRDIDAS EN EL ESTUDIO DE COSTOS DE LA EMPRESA ($ CORRIENTES)</t>
  </si>
  <si>
    <t>CONCEPTO ($/m3)</t>
  </si>
  <si>
    <t>TOTAL EGRESOS</t>
  </si>
  <si>
    <t>Criterio de elección</t>
  </si>
  <si>
    <t>Relación beneficio costo gestión de pérdidas comerciales</t>
  </si>
  <si>
    <t>Proyección ingresos ($ corrientes)</t>
  </si>
  <si>
    <t>Total ingresos</t>
  </si>
  <si>
    <t>TASA DE DESCUENTO (WACC) EN PESOS CORRIENTES</t>
  </si>
  <si>
    <t>Tasa de descuento después de impuestos ($Corrientes)</t>
  </si>
  <si>
    <t>m3/año</t>
  </si>
  <si>
    <t>Cargo fijo acueducto ($/Suscriptor)</t>
  </si>
  <si>
    <t>Cargo variable acueducto ($/m3)</t>
  </si>
  <si>
    <t>Cargo fijo alcantarillado ($/Suscriptor)</t>
  </si>
  <si>
    <t>Cargo variable alcantarillado ($/m3)</t>
  </si>
  <si>
    <t>Metros cúbicos recuperados</t>
  </si>
  <si>
    <t>Nuevos suscriptores facturados</t>
  </si>
  <si>
    <t>Proyecciones</t>
  </si>
  <si>
    <t>Costo depreciación (Amortización)</t>
  </si>
  <si>
    <t>NUEVOS SUSCRIPTORES FACTURADOS</t>
  </si>
  <si>
    <t>TOTAL NUEVOS SUSCRIPTORES FACTURADOS</t>
  </si>
  <si>
    <t>TOTAL PROGRAMAS TÉCNICOS</t>
  </si>
  <si>
    <t>TOTAL PROGRAMAS COMERCIALES</t>
  </si>
  <si>
    <t>TOTAL PROGRAMAS TÉCNICOS Y COMERCIALES</t>
  </si>
  <si>
    <t>DEPRECIACIONES ANUALES $CORRIENTES</t>
  </si>
  <si>
    <t>DEPRECIACIONES ACUMULADAS $CORRIENTES</t>
  </si>
  <si>
    <t>Incluye ejecucion de acometida AHDI (Sin medidor)</t>
  </si>
  <si>
    <t>PROGRAMA 1 MACROMEDICIÓN</t>
  </si>
  <si>
    <t>Unidades</t>
  </si>
  <si>
    <t>2023</t>
  </si>
  <si>
    <t>2024</t>
  </si>
  <si>
    <t>2025</t>
  </si>
  <si>
    <t>2026</t>
  </si>
  <si>
    <t>2027</t>
  </si>
  <si>
    <t>2028</t>
  </si>
  <si>
    <t>2029</t>
  </si>
  <si>
    <t>2030</t>
  </si>
  <si>
    <t>2031</t>
  </si>
  <si>
    <t>m³/año</t>
  </si>
  <si>
    <t>V RECUPERADO DE PRODUCCIÓN</t>
  </si>
  <si>
    <t>V RECUPERADO DE FACTURACIÓN</t>
  </si>
  <si>
    <t>PRODUCCIÓN AL APLICAR EL PROGRAMA</t>
  </si>
  <si>
    <t xml:space="preserve"> FACTURACIÓN AL APLICAR EL PROGRAMA</t>
  </si>
  <si>
    <t>IANC [%]</t>
  </si>
  <si>
    <t>ISUF [m³/usuarios/mes]</t>
  </si>
  <si>
    <t>m³/usuarios/mes</t>
  </si>
  <si>
    <t>ICUF [m³/usuarios/mes]</t>
  </si>
  <si>
    <t>IPUF [m³/usuarios/mes]</t>
  </si>
  <si>
    <t>PROGRAMA 2 SECTORIZACIÓN</t>
  </si>
  <si>
    <t>PROGRAMA 3 GESTIÓN PLANO PRESIONES</t>
  </si>
  <si>
    <t>PROGRAMA 4 IMPERMEABILIZACIÓN TANQUES</t>
  </si>
  <si>
    <t>PROGRAMA 5 ATENCIÓN DAÑOS</t>
  </si>
  <si>
    <t>PROGRAMA 6 BÚSQUEDA SIST. FUGAS</t>
  </si>
  <si>
    <t>PROGRAMA 7 REPOSICIÓN REDES</t>
  </si>
  <si>
    <t>PROGRAMA 8 REDES COMUNIDADES ILEGALES</t>
  </si>
  <si>
    <t>VISOR DE ALTERNATIVAS</t>
  </si>
  <si>
    <t>ALTERNATIVA No. 1</t>
  </si>
  <si>
    <t>Programas</t>
  </si>
  <si>
    <t>Beneficio</t>
  </si>
  <si>
    <t>Programa</t>
  </si>
  <si>
    <t>VNA Ingresos</t>
  </si>
  <si>
    <t>VNA Egresos+Inversión</t>
  </si>
  <si>
    <t>Costo</t>
  </si>
  <si>
    <t>P.1 Macromedición</t>
  </si>
  <si>
    <t>Programas Incluidos en la Alternativa</t>
  </si>
  <si>
    <t>P.2 Sectorización</t>
  </si>
  <si>
    <t>P.3 Gestión del Plano de Presiones</t>
  </si>
  <si>
    <t>P.4 Impermeabilización de Tanques</t>
  </si>
  <si>
    <t>U</t>
  </si>
  <si>
    <t>P.5 Atención de Daños</t>
  </si>
  <si>
    <t>P.6 Búsqueda Sistemática de Fugas</t>
  </si>
  <si>
    <t>P.7 Reposición de Redes</t>
  </si>
  <si>
    <t>P.8 Redes Provisionales Com. Ilegales</t>
  </si>
  <si>
    <t>*SE DEBE MARCAR CON "SI" LOS PROGRAMAS QUE SE DESEAN INCLUIR</t>
  </si>
  <si>
    <t>ALTERNATIVA No. 2</t>
  </si>
  <si>
    <t>HERRAMIENTA DE CÁLCULO PARA EL PLAN DE GESTIÓN DE PÉRDIDAS</t>
  </si>
  <si>
    <t xml:space="preserve">4. Consolidado y Análisis de Alternativas </t>
  </si>
  <si>
    <t>Hoja de Cálculo</t>
  </si>
  <si>
    <t>EV PROG TÉCNICOS</t>
  </si>
  <si>
    <t>PROG TÉCNICOS</t>
  </si>
  <si>
    <t>C UNIT PROG TÉCNICOS</t>
  </si>
  <si>
    <t>EV PROG CCIALES</t>
  </si>
  <si>
    <t>PROG CCIALES</t>
  </si>
  <si>
    <t>C UNIT PROG CCIALES</t>
  </si>
  <si>
    <t>BC TÉCNICO P1</t>
  </si>
  <si>
    <t>BC TÉCNICO P2</t>
  </si>
  <si>
    <t>BC TÉCNICO P3</t>
  </si>
  <si>
    <t>BC TÉCNICO P4</t>
  </si>
  <si>
    <t>BC TÉCNICO P5</t>
  </si>
  <si>
    <t>BC TÉCNICO P6</t>
  </si>
  <si>
    <t>BC TÉCNICO P7</t>
  </si>
  <si>
    <t>BC TÉCNICO P8</t>
  </si>
  <si>
    <t>BC COMERCIAL P9</t>
  </si>
  <si>
    <t>BC COMERCIAL P10</t>
  </si>
  <si>
    <t>BC COMERCIAL P11</t>
  </si>
  <si>
    <t>BC COMERCIAL P12</t>
  </si>
  <si>
    <t>BC COMERCIAL P13</t>
  </si>
  <si>
    <t>BC COMERCIAL P14</t>
  </si>
  <si>
    <t>BC COMERCIAL P15</t>
  </si>
  <si>
    <t>BC COMERCIAL P16</t>
  </si>
  <si>
    <t>BC COMERCIAL P17</t>
  </si>
  <si>
    <t>BC COMERCIAL P18</t>
  </si>
  <si>
    <t>BC COMERCIAL P19</t>
  </si>
  <si>
    <t>BC TOTAL TÉCNICO</t>
  </si>
  <si>
    <t>BC TOTAL COMERCIAL</t>
  </si>
  <si>
    <t>BC TOTAL PROGRAMAS</t>
  </si>
  <si>
    <t>BC PROGR ALTERNATIVA + TARIFA</t>
  </si>
  <si>
    <t>CMI POIR PPERDIDAS</t>
  </si>
  <si>
    <t>INV POIR PPERDIDAS</t>
  </si>
  <si>
    <t>CMO PPERDIDAS</t>
  </si>
  <si>
    <t>INDICES</t>
  </si>
  <si>
    <t>BANREPÚBLICA</t>
  </si>
  <si>
    <t>PROYEC SUSC</t>
  </si>
  <si>
    <t>Consolidado Programas</t>
  </si>
  <si>
    <t>Registros</t>
  </si>
  <si>
    <t>Alternativas</t>
  </si>
  <si>
    <t>PARÁMETROS</t>
  </si>
  <si>
    <t xml:space="preserve">3. Formulación, Evaluación y Análisis Financiero </t>
  </si>
  <si>
    <t xml:space="preserve">2. Formulación, Evaluación y Análisis Comercial </t>
  </si>
  <si>
    <t xml:space="preserve">1. Formulación, Evaluación y Análisis Técnico </t>
  </si>
  <si>
    <t xml:space="preserve">BALANCE HÍDRICO </t>
  </si>
  <si>
    <t xml:space="preserve">VOLUMEN DE INGRESO AL SISTEMA </t>
  </si>
  <si>
    <t>V AUTORIZADO NO FACTURADO</t>
  </si>
  <si>
    <t>PÉRDIDAS</t>
  </si>
  <si>
    <t>COMERCIALES</t>
  </si>
  <si>
    <t>TÉCNICAS</t>
  </si>
  <si>
    <t xml:space="preserve">V AUTORIZADO FACTURADO </t>
  </si>
  <si>
    <t xml:space="preserve">VOLUMEN AUTORIZADO </t>
  </si>
  <si>
    <t>m³</t>
  </si>
  <si>
    <t>VOLUMEN DE AGUA NO FACTURADA</t>
  </si>
  <si>
    <t>-</t>
  </si>
  <si>
    <t>0. Parámetros</t>
  </si>
  <si>
    <t>Relación Beneficio Costo Gestión de Pérdidas - Total Programas</t>
  </si>
  <si>
    <t>Relación Beneficio Costo Gestión de Pérdidas - Total Comercial</t>
  </si>
  <si>
    <t>Relación Beneficio Costo Gestión de Pérdidas: Total Programas + Tarifa</t>
  </si>
  <si>
    <t>RESUMEN FINANCIERO</t>
  </si>
  <si>
    <t>Resumen de los Programas Para Análisis Financiero</t>
  </si>
  <si>
    <t>- A continuación se muestran las hojas de cálculo que componen la herramienta de cálculo. Inicialmente se ocultan las hojas que no hacen parte del resumen global del análisis de gestión de pérdidas; el usuario puede mostrarlas en caso de requerirlas.</t>
  </si>
  <si>
    <t xml:space="preserve">- Las celdas en amarillo de las hojas EV PROG TÉCNICOS y EV PROG CCIALES deben ser diligenciadas </t>
  </si>
  <si>
    <t>BC</t>
  </si>
  <si>
    <t>Relación BC</t>
  </si>
  <si>
    <t>Costos + Inversión</t>
  </si>
  <si>
    <t>1. MACROMEDICIÓN</t>
  </si>
  <si>
    <t>1.1 Captación</t>
  </si>
  <si>
    <t>Actividad o estrategia</t>
  </si>
  <si>
    <t>Total general</t>
  </si>
  <si>
    <t>Medidor Electromagnético &lt;=6" faltante</t>
  </si>
  <si>
    <t>Medidor Electromagnético 8"-12" faltante</t>
  </si>
  <si>
    <t>Medidor Ultrasónico de Caudal Clamp-On para tuberías desde 14" hasta 60" faltante</t>
  </si>
  <si>
    <t>Telemetría</t>
  </si>
  <si>
    <t>Almacenamiento local de datos</t>
  </si>
  <si>
    <t>Reemplazo macromedidores /medidor nivel</t>
  </si>
  <si>
    <t>1.2 Entrada PTAP'S</t>
  </si>
  <si>
    <t>Reemplazo macromedidor &lt;=6"</t>
  </si>
  <si>
    <t>Reemplazo macromedidor 8"-12"</t>
  </si>
  <si>
    <t>Reemplazo macromedidor entre 14" hasta 60"</t>
  </si>
  <si>
    <t>2. SECTORIZACIÓN</t>
  </si>
  <si>
    <t>Un</t>
  </si>
  <si>
    <t>Válvulas de Cierre Permanente</t>
  </si>
  <si>
    <t>3. GESTIÓN DEL PLANO DE PRESIONES</t>
  </si>
  <si>
    <t>No. de caja de medición de presión equipos fijos a instalar por año</t>
  </si>
  <si>
    <t>No. de caja de medición de presión equipos rotativos a instalar por año</t>
  </si>
  <si>
    <t>4. IMPERMEABILIZACIÓN DE TANQUES</t>
  </si>
  <si>
    <r>
      <t>m</t>
    </r>
    <r>
      <rPr>
        <vertAlign val="superscript"/>
        <sz val="9"/>
        <color rgb="FF000000"/>
        <rFont val="Arial"/>
        <family val="2"/>
      </rPr>
      <t>2</t>
    </r>
  </si>
  <si>
    <t>5. ATENCIÓN DE DAÑOS</t>
  </si>
  <si>
    <t>6. BÚSQUEDA SISTEMÁTICA DE FUGAS</t>
  </si>
  <si>
    <t>Detección fugas con geófono</t>
  </si>
  <si>
    <t>7. REPOSICIÓN DE REDES</t>
  </si>
  <si>
    <t>Tuberías con Diámetros &lt;6"</t>
  </si>
  <si>
    <t>Tuberías con Diámetros 8"-12"</t>
  </si>
  <si>
    <t>Tuberías con diámetros 14"-20"</t>
  </si>
  <si>
    <t>8. REDES PROVISIONALES A COMUNIDADES ILEGALES</t>
  </si>
  <si>
    <r>
      <t>m</t>
    </r>
    <r>
      <rPr>
        <vertAlign val="superscript"/>
        <sz val="9"/>
        <color rgb="FF000000"/>
        <rFont val="Arial"/>
        <family val="2"/>
      </rPr>
      <t>3</t>
    </r>
  </si>
  <si>
    <t>Telemetría/Almacenamiento local de datos</t>
  </si>
  <si>
    <t>Reemplazo macromedidores</t>
  </si>
  <si>
    <t>PROGRAMA SELECCIONADO EN LA ALTERNATIVA</t>
  </si>
  <si>
    <t>TOTAL OPEX PROGRAMAS TÉCNICOS DE LA ALTERNATIVA($ CORRIENTES)</t>
  </si>
  <si>
    <t>TOTAL CAPEX PROGRAMAS TÉCNICOS DE LA ALTERNATIVA ($ CORRIENTES)</t>
  </si>
  <si>
    <t>TOTAL OPEX PROGRAMAS TÉCNICOS DE LA ALTERNATIVA ($ DIC. 2014)</t>
  </si>
  <si>
    <t>TOTAL OPEX PROGRAMAS COMERCIALES DE LA ALTERNATIVA ($ CORRIENTES)</t>
  </si>
  <si>
    <t>TOTAL NUEVOS SUSCRIPTORES FACTURADOS DE LA ALTERNATIVA SELECCIONADA</t>
  </si>
  <si>
    <t>TOTAL OPEX PROGRAMAS COMERCIALES DE LA ALTERNATIVA ($ DIC. 2014)</t>
  </si>
  <si>
    <t>TOTAL OPEX PROGRAMAS PÉRDIDAS DE LA ALTERNATIVA ($ CORRIENTES)</t>
  </si>
  <si>
    <t>TOTAL CAPEX PROGRAMAS PÉRDIDAS DE LA ALTERNATIVA ($ CORRIENTES)</t>
  </si>
  <si>
    <t>PROG 1</t>
  </si>
  <si>
    <t>PROG 2</t>
  </si>
  <si>
    <t>PROG 3</t>
  </si>
  <si>
    <t>PROG 4</t>
  </si>
  <si>
    <t>PROG 5</t>
  </si>
  <si>
    <t>PROG 6</t>
  </si>
  <si>
    <t>PROG 7</t>
  </si>
  <si>
    <t>PROG 8</t>
  </si>
  <si>
    <t>TOTAL PROGRAMAS ALTERNATIVA</t>
  </si>
  <si>
    <t>Provisionales de obra</t>
  </si>
  <si>
    <t>Fecha de entrada en servicio</t>
  </si>
  <si>
    <t>EVALUACIÓN DE PROGRAMAS DE REDUCCIÓN DE PÉRDIDAS COMERCIALES</t>
  </si>
  <si>
    <r>
      <t>m</t>
    </r>
    <r>
      <rPr>
        <vertAlign val="superscript"/>
        <sz val="9"/>
        <rFont val="Arial"/>
        <family val="2"/>
      </rPr>
      <t>3</t>
    </r>
    <r>
      <rPr>
        <sz val="9"/>
        <rFont val="Arial"/>
        <family val="2"/>
      </rPr>
      <t>/daño</t>
    </r>
  </si>
  <si>
    <r>
      <t>m</t>
    </r>
    <r>
      <rPr>
        <vertAlign val="superscript"/>
        <sz val="9"/>
        <rFont val="Arial"/>
        <family val="2"/>
      </rPr>
      <t>3</t>
    </r>
    <r>
      <rPr>
        <sz val="9"/>
        <rFont val="Arial"/>
        <family val="2"/>
      </rPr>
      <t>/mes/suscriptor</t>
    </r>
  </si>
  <si>
    <r>
      <t>m</t>
    </r>
    <r>
      <rPr>
        <vertAlign val="superscript"/>
        <sz val="11"/>
        <rFont val="Calibri Light"/>
        <family val="2"/>
        <scheme val="minor"/>
      </rPr>
      <t>2</t>
    </r>
  </si>
  <si>
    <t>Suscriptores</t>
  </si>
  <si>
    <t>CONSUMO CORREGIDO POR PÉRDIDAS ACUEDUCTO (CCP)</t>
  </si>
  <si>
    <t>CUP_IQi</t>
  </si>
  <si>
    <t>CUP_EPi</t>
  </si>
  <si>
    <t>CUP_EDi</t>
  </si>
  <si>
    <t>CUP_E</t>
  </si>
  <si>
    <t>ALTERNATIVA No. 3</t>
  </si>
  <si>
    <r>
      <t xml:space="preserve">EVOLUCIÓN DE LOS COMPONENTES DEL BALANCE HÍDRICO APLICANDO EL PLAN DE GESTIÓN DE PÉRDIDAS CON LA </t>
    </r>
    <r>
      <rPr>
        <b/>
        <sz val="18"/>
        <color theme="4" tint="-0.249977111117893"/>
        <rFont val="Calibri Light"/>
        <family val="2"/>
        <scheme val="minor"/>
      </rPr>
      <t>ALTERNATIVA No. 2</t>
    </r>
  </si>
  <si>
    <t>Fuente: Archivo "CONS Y SUSC 2006-2019 ACUEDUCTO 2019-11-27.xlsx"</t>
  </si>
  <si>
    <t>Agua en Bloque</t>
  </si>
  <si>
    <t>Consumo promedio ponderado por uso</t>
  </si>
  <si>
    <t>TARIFA ESTUDIO DE COSTOS</t>
  </si>
  <si>
    <t>Número de usuarios</t>
  </si>
  <si>
    <t>Plan de Gestión Social</t>
  </si>
  <si>
    <t>mes</t>
  </si>
  <si>
    <t>¿Dentro de los proyectos de la empresa ya se encuentra contemplado este subprograma?</t>
  </si>
  <si>
    <t>COSTO ASOCIDADO A VOLUMEN RECUPERADO</t>
  </si>
  <si>
    <t>COSTOS INVERSIÓN/OPERACIÓN</t>
  </si>
  <si>
    <t>VOLÚMENES RECUPERADOS POR EJECUCIÓN DE PROGRAMAS</t>
  </si>
  <si>
    <t>Servicio directo</t>
  </si>
  <si>
    <t>Usuario facturados no medidos</t>
  </si>
  <si>
    <t>Consumo promedio</t>
  </si>
  <si>
    <t>TASA DE DETERIORO</t>
  </si>
  <si>
    <t>VNA Beneficio</t>
  </si>
  <si>
    <t>B/C parcial</t>
  </si>
  <si>
    <t>INVERSIÓN/OPERACIÓN</t>
  </si>
  <si>
    <t>Mantenimiento de estación reguladora (Incluye verificación y actualización del setting)</t>
  </si>
  <si>
    <t>Instalación y mantenimiento de ERP's</t>
  </si>
  <si>
    <t>No. de ERP's que requieren mantenimiento</t>
  </si>
  <si>
    <t>Volumen de agua recuperado instalación de ERP's</t>
  </si>
  <si>
    <t>Volumen de agua recuperado mantenimiento de ERP's</t>
  </si>
  <si>
    <t>Número de cuadrillas que dispone la empresa para atención de daños</t>
  </si>
  <si>
    <t>Número de cuadrillas requeridas para atención de daños en tiempo meta</t>
  </si>
  <si>
    <t>Software de recolección de daños (actualización)</t>
  </si>
  <si>
    <t>Software de recolección de daños (implementación)</t>
  </si>
  <si>
    <t>Costo anual en SMMLV</t>
  </si>
  <si>
    <t>Costo anual operación (OPEX)</t>
  </si>
  <si>
    <t>Costo anual Inversión (CAPEX)</t>
  </si>
  <si>
    <t>Volumen de agua recuperado por reposición de acometidas</t>
  </si>
  <si>
    <t>Reposición de acometidas (incluye excavaciones, llenos, retiros, recuperación espacio público y accesorios)</t>
  </si>
  <si>
    <t>Cantidad de acometidas a reponer</t>
  </si>
  <si>
    <t>OPEX</t>
  </si>
  <si>
    <t>Reboses en tanques</t>
  </si>
  <si>
    <t>Mantenimiento de ERP's</t>
  </si>
  <si>
    <t>Telemetría de los registros de equipos de presión</t>
  </si>
  <si>
    <t>Almacenamiento local de datos de presión</t>
  </si>
  <si>
    <t>Elaboración modelo hidráulico</t>
  </si>
  <si>
    <t>Actualización modelo hidráulico</t>
  </si>
  <si>
    <t>Acometidas</t>
  </si>
  <si>
    <t>REPOSICIÓN DE REDES Y ACOMETIDAS</t>
  </si>
  <si>
    <t>Total longitud redes</t>
  </si>
  <si>
    <t>Reposición de acometidas</t>
  </si>
  <si>
    <t>(daño)</t>
  </si>
  <si>
    <t>No. de equipos rotativos existentes</t>
  </si>
  <si>
    <t>No. de equipos rotativos faltantes</t>
  </si>
  <si>
    <t>Total equipos totales por año (existentes y nuevos)</t>
  </si>
  <si>
    <r>
      <t>(m</t>
    </r>
    <r>
      <rPr>
        <vertAlign val="superscript"/>
        <sz val="12"/>
        <rFont val="Arial"/>
        <family val="2"/>
      </rPr>
      <t>3</t>
    </r>
    <r>
      <rPr>
        <sz val="12"/>
        <rFont val="Arial"/>
        <family val="2"/>
      </rPr>
      <t>/año)</t>
    </r>
  </si>
  <si>
    <r>
      <t>(m</t>
    </r>
    <r>
      <rPr>
        <vertAlign val="superscript"/>
        <sz val="12"/>
        <color theme="1"/>
        <rFont val="Arial"/>
        <family val="2"/>
      </rPr>
      <t>3</t>
    </r>
    <r>
      <rPr>
        <sz val="12"/>
        <color theme="1"/>
        <rFont val="Arial"/>
        <family val="2"/>
      </rPr>
      <t>/año)</t>
    </r>
  </si>
  <si>
    <t>km</t>
  </si>
  <si>
    <t>Usuario</t>
  </si>
  <si>
    <t>Gestión de la demanda</t>
  </si>
  <si>
    <r>
      <t>Costo de operación/m</t>
    </r>
    <r>
      <rPr>
        <vertAlign val="superscript"/>
        <sz val="12"/>
        <color theme="1"/>
        <rFont val="Arial"/>
        <family val="2"/>
      </rPr>
      <t>3</t>
    </r>
  </si>
  <si>
    <r>
      <t>($/m</t>
    </r>
    <r>
      <rPr>
        <vertAlign val="superscript"/>
        <sz val="12"/>
        <color theme="1"/>
        <rFont val="Arial"/>
        <family val="2"/>
      </rPr>
      <t>3</t>
    </r>
    <r>
      <rPr>
        <sz val="12"/>
        <color theme="1"/>
        <rFont val="Arial"/>
        <family val="2"/>
      </rPr>
      <t>)</t>
    </r>
  </si>
  <si>
    <r>
      <t>m</t>
    </r>
    <r>
      <rPr>
        <b/>
        <vertAlign val="superscript"/>
        <sz val="9"/>
        <color rgb="FF000000"/>
        <rFont val="Arial"/>
        <family val="2"/>
      </rPr>
      <t>3</t>
    </r>
  </si>
  <si>
    <t>TASA DE DESCUENTO</t>
  </si>
  <si>
    <t>PROYECCIÓN USUARIOS</t>
  </si>
  <si>
    <t>DANE 2018</t>
  </si>
  <si>
    <t>ESP</t>
  </si>
  <si>
    <t>TASA SELECCIONADA PROYECCIÓN USUARIOS</t>
  </si>
  <si>
    <t>REDUCCIÓN CONSUMO</t>
  </si>
  <si>
    <t>Temporal</t>
  </si>
  <si>
    <t>TOTAL USUARIOS</t>
  </si>
  <si>
    <t>Porcentaje de congelados del total de usuarios</t>
  </si>
  <si>
    <t>Porcentaje de Grandes Consumidores del total de usuarios</t>
  </si>
  <si>
    <t>FACTURACIÓN NETA</t>
  </si>
  <si>
    <t>Facturación Bruta sistema total</t>
  </si>
  <si>
    <t>Volúmenes de facturación incrementado por la ejecución de los programas</t>
  </si>
  <si>
    <t>RELACIÓN B/C PARCIAL</t>
  </si>
  <si>
    <t>VNA ASOCIDADO A VOLUMEN DE FACTURACIÓN RECUPERADA</t>
  </si>
  <si>
    <t>VNA IMPLEMENTACIÓN DEL PROGRAMA</t>
  </si>
  <si>
    <t>DATOS BASE</t>
  </si>
  <si>
    <t>Método de cálculo</t>
  </si>
  <si>
    <t>Usuarios Totales</t>
  </si>
  <si>
    <t>Porcentaje de submedición medidor nuevo</t>
  </si>
  <si>
    <t>9. RENOVACIÓN DE MEDIDORES (CAMBIO MASIVO)</t>
  </si>
  <si>
    <t>Volúmenes recuperados por cambio de medidor (m3/año)</t>
  </si>
  <si>
    <t>Volumen deterioro año 0</t>
  </si>
  <si>
    <t>Volumen deterioro año 1</t>
  </si>
  <si>
    <t>Volumen deterioro año 2</t>
  </si>
  <si>
    <t>Volumen deterioro año 3</t>
  </si>
  <si>
    <t>Volumen deterioro año 4</t>
  </si>
  <si>
    <t>Volumen deterioro año 5</t>
  </si>
  <si>
    <t>Volumen deterioro año 6</t>
  </si>
  <si>
    <t>Volumen deterioro año 7</t>
  </si>
  <si>
    <t>Volumen deterioro año 8</t>
  </si>
  <si>
    <t>Volumen deterioro año 9</t>
  </si>
  <si>
    <t>Volumen deterioro año 10</t>
  </si>
  <si>
    <t>Error global de medición %</t>
  </si>
  <si>
    <t>Costo de implementación cambio de medidores ($/año)</t>
  </si>
  <si>
    <t>VNA de implementación cambio de medidores</t>
  </si>
  <si>
    <t>Beneficio de implementación cambio de medidores ($/año)</t>
  </si>
  <si>
    <t>VNA del beneficio</t>
  </si>
  <si>
    <t>B/C Parcial</t>
  </si>
  <si>
    <t>11. COBRO DE CONSUMOS POR EJECUCIÓN DE OBRAS DE INFRAESTRUCTURA (COBRO DE TERCEROS)</t>
  </si>
  <si>
    <t>Programa dirigido a desarrolladores de obras públicas que causen daños en la red y por ende perdidas de agua; lo que se busca es la recuperación vía facturación de tales perdidas.</t>
  </si>
  <si>
    <t>N°/año</t>
  </si>
  <si>
    <t>% de cobros del total de inspecciones</t>
  </si>
  <si>
    <t>Volumen promedio de cobro por consumos de obras</t>
  </si>
  <si>
    <t>Volumen recuperado por visita realizada (m3/visita)</t>
  </si>
  <si>
    <t>Costo de implementación programa cobros a terceros ($/año)</t>
  </si>
  <si>
    <t>VNA de implementación del programa cobros a terceros</t>
  </si>
  <si>
    <t>Beneficio de implementación de cobro a terceros ($/año)</t>
  </si>
  <si>
    <t>Número de anomalías encontradas</t>
  </si>
  <si>
    <t>% del volumen recuperado</t>
  </si>
  <si>
    <t>Costo de implementación programa seguimiento consumo 0 ($/año)</t>
  </si>
  <si>
    <t>VNA de implementación del programa seguimiento consumo 0</t>
  </si>
  <si>
    <t>Beneficio de implementación programa seguimiento consumo 0 ($/año)</t>
  </si>
  <si>
    <t>% de inspecciones del total de usuarios con bajos consumos</t>
  </si>
  <si>
    <t>Costo de implementación programa seguimiento bajos consumos ($/año)</t>
  </si>
  <si>
    <t>VNA de implementación del programa seguimiento bajos consumos</t>
  </si>
  <si>
    <t>Beneficio de implementación programa seguimiento bajos consumos ($/año)</t>
  </si>
  <si>
    <t>% de anomalías encontradas</t>
  </si>
  <si>
    <t>Costo de implementación programa seguimiento provisionales ($/año)</t>
  </si>
  <si>
    <t>VNA de implementación del programa seguimiento provisionales</t>
  </si>
  <si>
    <t>Beneficio de implementación programa seguimiento provisionales ($/año)</t>
  </si>
  <si>
    <t>15. ACTUALIZACIÓN CATASTRO DE USUARIOS Y GEOREFERENCIACIÓN</t>
  </si>
  <si>
    <t>Costo de implementación programa actualización catastro ($/año)</t>
  </si>
  <si>
    <t>VNA de implementación del programa actualización catastro</t>
  </si>
  <si>
    <t>Beneficio de implementación programa actualización catastro ($/año)</t>
  </si>
  <si>
    <t>Costo unitario anual gestión social ($/año)</t>
  </si>
  <si>
    <t xml:space="preserve">Grandes consumidores con equipo de telemetría </t>
  </si>
  <si>
    <t>Consumo promedio grandes consumidores m3/mes-suscriptor</t>
  </si>
  <si>
    <t>VNA de implementación programa de telemetría</t>
  </si>
  <si>
    <t>18. SOFTWARE DE INTELIGENCIA PARA ALERTAS</t>
  </si>
  <si>
    <t>Este programa que involucra la Inteligencia Artificial (IA) está dirigido principalmente al grupo de pequeños consumidores no residenciales. Se busca que a través de la implementación y uso de nuevas tecnologías se puedan generar alertas automáticas en el sistema durante el proceso de lectura y critica, para identificar posibles anomalías que estén ocasionando perdidas de agua potable.</t>
  </si>
  <si>
    <t>Pequeños consumidores no residenciales</t>
  </si>
  <si>
    <t>Consumo promedio pequeños consumidores no residenciales (m3/mes)</t>
  </si>
  <si>
    <t>Costo unitario de alquiler y sostenimiento software ($/suscriptor/mes)</t>
  </si>
  <si>
    <t>VNA de implementación programa alertas</t>
  </si>
  <si>
    <t>Este programa está dirigido a la normalización de usuarios ilegales a través de la provisión de redes e individualización de los usuarios. Es un programa compartido entre el área Comercial (beneficios por facturación) y el área técnica (recuperación de volumen de producción). La mayor parte del costo se carga al área comercial y el restante al área técnica, toda vez que los beneficios del programa los percibe el área comercial y se debe guardar un equilibrio en la relación beneficio/costo.</t>
  </si>
  <si>
    <r>
      <t>m</t>
    </r>
    <r>
      <rPr>
        <vertAlign val="superscript"/>
        <sz val="9"/>
        <rFont val="Arial"/>
        <family val="2"/>
      </rPr>
      <t>3</t>
    </r>
    <r>
      <rPr>
        <sz val="9"/>
        <rFont val="Arial"/>
        <family val="2"/>
      </rPr>
      <t>/suscriptor/mes</t>
    </r>
  </si>
  <si>
    <t>VNA de implementación programa de redes provisionales a usuarios ilegales</t>
  </si>
  <si>
    <r>
      <t>Volumen de agua recuperado por redes provisionales a usuarios ilegales (m</t>
    </r>
    <r>
      <rPr>
        <vertAlign val="superscript"/>
        <sz val="9"/>
        <color theme="1"/>
        <rFont val="Arial"/>
        <family val="2"/>
      </rPr>
      <t>3</t>
    </r>
    <r>
      <rPr>
        <sz val="9"/>
        <color theme="1"/>
        <rFont val="Arial"/>
        <family val="2"/>
      </rPr>
      <t>/año)</t>
    </r>
  </si>
  <si>
    <t>PRODUCCIÓN</t>
  </si>
  <si>
    <t>FACTURACIÓN</t>
  </si>
  <si>
    <t>Otros ingresos por beneficios adicionales</t>
  </si>
  <si>
    <t>Total Ingresos (costos variables totales evitados energía  + químicos y otros)</t>
  </si>
  <si>
    <t>Otros Costos evitados por beneficios adicionales</t>
  </si>
  <si>
    <t>Otros Ingresos y/o Costos evitados por beneficios adicionales</t>
  </si>
  <si>
    <t>Otros ingresos (Ajuste del CMO y CMI Programa Pérdidas)</t>
  </si>
  <si>
    <t>Número de cuadrillas requeridas para atención de daños</t>
  </si>
  <si>
    <t>PROGRAMA</t>
  </si>
  <si>
    <t>V TOTAL RECUPERADO</t>
  </si>
  <si>
    <t>Nombre del Programa</t>
  </si>
  <si>
    <t>PLAN DE GESTIÓN DE PÉRDIDAS</t>
  </si>
  <si>
    <t>El plan de gestión de pérdidas incluye los programas requeridos según la Res 0330 de 2017 junto con la combinación óptima</t>
  </si>
  <si>
    <t>Programas requisito esencial</t>
  </si>
  <si>
    <t>1. Macromedición</t>
  </si>
  <si>
    <t>2. Sectorización</t>
  </si>
  <si>
    <t>3. Gestión de la demanda y de la Presión</t>
  </si>
  <si>
    <t>Total de Programas Plan de Gestión</t>
  </si>
  <si>
    <t xml:space="preserve"> Costo</t>
  </si>
  <si>
    <t xml:space="preserve"> Beneficio</t>
  </si>
  <si>
    <t>Vol. Recuperado</t>
  </si>
  <si>
    <t>PRODUCCIÓN</t>
  </si>
  <si>
    <t>FACTURACIÓN</t>
  </si>
  <si>
    <t>MONTO DISPONIBLE PARA REDUCCIÓN DE PÉRDIDAS</t>
  </si>
  <si>
    <t>ALTERNATIVA No. 2</t>
  </si>
  <si>
    <t>**EVALUADA EN EVOLUCIÓN DEL BALANCE HÍDRICO Y FINANCIERAMENTE</t>
  </si>
  <si>
    <t>PROGRAMA INCLUIDO DENTRO DEL P19</t>
  </si>
  <si>
    <t>4, 5, 6, 9, 10, 11, 12, 13, 14, 15, 16, 17, 19</t>
  </si>
  <si>
    <t>VALORES PROYECTADOS</t>
  </si>
  <si>
    <t>VOLUMEN RECUPERADO PROGRAMAS TÉCNICOS - PRODUCCIÓN</t>
  </si>
  <si>
    <t>VOLUMEN RECUPERADO PROGRAMAS COMERCIALES - FACTURACIÓN</t>
  </si>
  <si>
    <t>Proyectado</t>
  </si>
  <si>
    <t>Al aplicar el Plan de GP</t>
  </si>
  <si>
    <t>VALOR MÍNIMO B/C</t>
  </si>
  <si>
    <t>CARGO FIJO ACUEDUCTO ($/Suscriptor)</t>
  </si>
  <si>
    <t>CARGO CONSUMO ACUEDUCTO ($/m3)</t>
  </si>
  <si>
    <t>CARGO FIJO ALCANTARILLADO ($/Suscriptor)</t>
  </si>
  <si>
    <t>CARGO CONSUMO ALCANTARILLADO ($/m3)</t>
  </si>
  <si>
    <t>IPUF</t>
  </si>
  <si>
    <t>1.3 Salidas PTAP'S</t>
  </si>
  <si>
    <t>Medidores faltantes en sectores y/o distritos hidráulicos</t>
  </si>
  <si>
    <t>Número de sectores y/o distritos</t>
  </si>
  <si>
    <t>RELACIÓN BC</t>
  </si>
  <si>
    <t>Obligatorios</t>
  </si>
  <si>
    <t xml:space="preserve"> Mayor Volumen recuperado</t>
  </si>
  <si>
    <t>Mayor Relación B/C</t>
  </si>
  <si>
    <t>Técnicos</t>
  </si>
  <si>
    <t>Comerciales</t>
  </si>
  <si>
    <t>Cuadrilla para atención de daños anual</t>
  </si>
  <si>
    <t>Alternativa 1</t>
  </si>
  <si>
    <t>Alternativa 2</t>
  </si>
  <si>
    <t>Alternativa 3</t>
  </si>
  <si>
    <t>vp</t>
  </si>
  <si>
    <t>vf</t>
  </si>
  <si>
    <t>Número de medidores para cambio</t>
  </si>
  <si>
    <t>TOTAL PROGRAMAS PÉRDIDAS TÉCNICAS</t>
  </si>
  <si>
    <t>TOTAL PROGRAMAS PÉRDIDAS COMERCIALES</t>
  </si>
  <si>
    <t>TOTAL PROGRAMAS TÉCNICOS DE LA ALTERNATIVA SELECCIONADA</t>
  </si>
  <si>
    <t>TOTAL PROGRAMAS COMERCIALES DE LA ALTERNATIVA SELECCIONADA</t>
  </si>
  <si>
    <t>Metros cúbicos recuperados Programas Técnicos</t>
  </si>
  <si>
    <t>Metros cúbicos recuperados Programas Comerciales</t>
  </si>
  <si>
    <t>BENEFICIOS POR PROGRAMA</t>
  </si>
  <si>
    <t>1, 2, 3, 5, 6, 9, 10, 11, 12, 13, 14, 15, 16, 17, 19</t>
  </si>
  <si>
    <t>1, 2, 3, 4, 5, 6, 9, 10, 11, 12, 13, 14, 15, 16, 17, 19</t>
  </si>
  <si>
    <t>Frenados/ Congelados / Trabados</t>
  </si>
  <si>
    <t>Proyecciones Macroeconómicas Colombia - Marzo de 2025</t>
  </si>
  <si>
    <t>Dirección de Investigaciones Económicas, Sectoriales y de Mercado -Bancolombia</t>
  </si>
  <si>
    <t>Glosario</t>
  </si>
  <si>
    <t>SA: Cifras con ajuste estacional</t>
  </si>
  <si>
    <t>E.A: efectivo anual</t>
  </si>
  <si>
    <t>Escenario de proyección: base</t>
  </si>
  <si>
    <t>Producción, Empleo, y cuentas fiscales</t>
  </si>
  <si>
    <t>Sector Externo y tasa de cambio</t>
  </si>
  <si>
    <t>Inflación y tasas de interés</t>
  </si>
  <si>
    <t>Variables internacionales</t>
  </si>
  <si>
    <t>PIB (var. 
% anual, 
precios 
constantes 
2015)</t>
  </si>
  <si>
    <t>PIB 
(precios 
constantes 
2015)</t>
  </si>
  <si>
    <t>PIB (var. 
% anual, 
nominal)</t>
  </si>
  <si>
    <t>PIB 
(nominal)</t>
  </si>
  <si>
    <t>Consumo
privado
(var. % 
anual, 
precios 
constantes 
2015)</t>
  </si>
  <si>
    <t>Consumo 
privado
(precios 
constantes 
2015)</t>
  </si>
  <si>
    <t>Desempleo 
(13 
ciudades, 
% PEA)</t>
  </si>
  <si>
    <t>Balance 
fiscal 
(% del PIB,
 acumulado 
4T)</t>
  </si>
  <si>
    <t>Deuda 
bruta del
Gobierno
Nacional
Central
(% del PIB)</t>
  </si>
  <si>
    <t>Petróleo
Brent 
(USD por 
barril, 
promedio
de periodo)</t>
  </si>
  <si>
    <t>Exportaciones
(USD mn FOB)</t>
  </si>
  <si>
    <t>Importaciones
(USD mn CIF)</t>
  </si>
  <si>
    <t>Balance
de cuenta 
corriente 
(% del 
PIB)</t>
  </si>
  <si>
    <t>Tasa de 
Cambio 
USDCOP 
($, promedio
de periodo)</t>
  </si>
  <si>
    <t>Inflación 
(var. % 
anual, 
fin de
periodo)</t>
  </si>
  <si>
    <t>IPP
(Oferta
interna,
var. %
anual,
fin de
periodo)</t>
  </si>
  <si>
    <t>Tasa
repo
(var. % 
anual, 
fin de
periodo)</t>
  </si>
  <si>
    <t>DTF 
(% E.A, 
promedio
de
periodo)</t>
  </si>
  <si>
    <t>IBR
overnight
(% E.A, 
fin de
periodo)</t>
  </si>
  <si>
    <t>TES 10Y
(%,
promedio
de
periodo)</t>
  </si>
  <si>
    <t>PIB 
EE.UU. 
(var. % 
anual)</t>
  </si>
  <si>
    <t>Desempleo 
en EE.UU. 
(% de la 
PEA; SA;
promedio
de periodo)</t>
  </si>
  <si>
    <t>Inflación 
en EE.UU. 
(PCE; var. %
anual; fin de
periodo; SA)</t>
  </si>
  <si>
    <t>Tasa 
Fondos 
Federales 
de EE.UU.
(% E.A; 
límite sup.)</t>
  </si>
  <si>
    <t>SOFR
(%E.A.;
fin de
periodo)</t>
  </si>
  <si>
    <t>TASA CRECIMIENTO CAPEX (IPC PROYECTADO)</t>
  </si>
  <si>
    <t>CUP</t>
  </si>
  <si>
    <t>FACTOR INDEXACIÓN (DIC. 2014 A JUNIO 2025)</t>
  </si>
  <si>
    <t>Número de inspecciones realizadas (% de inspecciones del total de usuarios con consumo 0)</t>
  </si>
  <si>
    <t>Porcentaje de efectividad de visitas</t>
  </si>
  <si>
    <t>Número de seguimiento</t>
  </si>
  <si>
    <t>12. SEGUIMIENTO USUARIOS CON CONSUMO 0 E INACTIVOS</t>
  </si>
  <si>
    <t>Usuarios a caracterización e incorporación AHDI</t>
  </si>
  <si>
    <t>Cantidad de macros estimados en los AHDI (usuarios)</t>
  </si>
  <si>
    <t>17. GRANDES CONSUMIDORES</t>
  </si>
  <si>
    <t>Grandes consumidores &gt;= 200 m3/mes</t>
  </si>
  <si>
    <t>No</t>
  </si>
  <si>
    <t>Detección de fugas</t>
  </si>
  <si>
    <t>Detección de Fugas en Acometidas</t>
  </si>
  <si>
    <t>APU</t>
  </si>
  <si>
    <r>
      <t>Volúmenes recuperados por corte a la red (m</t>
    </r>
    <r>
      <rPr>
        <vertAlign val="superscript"/>
        <sz val="9"/>
        <color theme="1"/>
        <rFont val="Arial"/>
        <family val="2"/>
      </rPr>
      <t>3</t>
    </r>
    <r>
      <rPr>
        <sz val="9"/>
        <color theme="1"/>
        <rFont val="Arial"/>
        <family val="2"/>
      </rPr>
      <t>/año)</t>
    </r>
  </si>
  <si>
    <t>Número de usuarios fraudulentos</t>
  </si>
  <si>
    <t>Costo de implementación Instalación de corte a la red ($/año)</t>
  </si>
  <si>
    <t>VNA de implementación gestión de fraudes</t>
  </si>
  <si>
    <t>Catastro de Usuarios</t>
  </si>
  <si>
    <t>Costo unitario de la empresa caracterización($)</t>
  </si>
  <si>
    <t>Medidor de  6"</t>
  </si>
  <si>
    <t>Resolución 438 de 2023</t>
  </si>
  <si>
    <t>Costo unitario de la empresa instalación por macromedidor y sostenimiento comunicacional por equipo telemetría($)</t>
  </si>
  <si>
    <t>13. SEGUIMIENTO ANOMALIAS</t>
  </si>
  <si>
    <t>VR</t>
  </si>
  <si>
    <t>Perpetuidad</t>
  </si>
  <si>
    <t>m3/año Acumulado</t>
  </si>
  <si>
    <t>VALOR RESIDUAL</t>
  </si>
  <si>
    <t>Gradiente</t>
  </si>
  <si>
    <t>Periodo</t>
  </si>
  <si>
    <t>Inflación</t>
  </si>
  <si>
    <t>Crecimiento PIB</t>
  </si>
  <si>
    <t>Delta PIB</t>
  </si>
  <si>
    <t>m3/año Acumulado Comerciales</t>
  </si>
  <si>
    <t>m3/año Acumulado técnicos</t>
  </si>
  <si>
    <t>Detección de fugas con geófono en redes</t>
  </si>
  <si>
    <t>PROGRAMA 9 RENOVACIÓN MEDIDORES (CAMBIO MASIVO)</t>
  </si>
  <si>
    <t>PROGRAMA 10 GESTIÓN DE FRAUDES</t>
  </si>
  <si>
    <t>PROGRAMA 11 COBRO DE CONSUMOS POR EJECUCIÓN DE OBRAS DE INFRAESTRUCTURA (COBRO DE TERCEROS)</t>
  </si>
  <si>
    <t>PROGRAMA 12 SEGUIMIENTO USUARIOS CON CONSUMO 0 E INACTIVOS</t>
  </si>
  <si>
    <t>PROGRAMA 13 SEGUIMIENTO ANOMALÍAS</t>
  </si>
  <si>
    <t>PROGRAMA 14 SEGUIMIENTO Y CONTROL MEDIDORES GRANDES DIÁMETROS</t>
  </si>
  <si>
    <t>PROGRAMA 15 ACTUALIZACIÓN CATASTRO DE USUARIOS Y GEOREFERENCIACIÓN</t>
  </si>
  <si>
    <t>PROGRAMA 16 CARACTERIZACIÓN DE COMUNIDADES ILEGALES</t>
  </si>
  <si>
    <t>PROGRAMA 17 GRANDES CONSUMIDORES</t>
  </si>
  <si>
    <t>PROGRAMA 18 SOFTWARE DE INTELIGENCIA PARA ALERTAS</t>
  </si>
  <si>
    <t>PROGRAMA 8 Y 19 NORMALIZACIÓN AHDI (TÉCNICO - COMERCIAL)</t>
  </si>
  <si>
    <t>P.9 Renovación de Medidores (Cambio Masivo)</t>
  </si>
  <si>
    <t>P.10 Gestión de Fraudes</t>
  </si>
  <si>
    <t>P.11Cobro de Consumos por ejecución de obras de infraestructura (Cobro de terceros)</t>
  </si>
  <si>
    <t>P.12 Seguimiento Usuarios Consumo 0 e Inactivos</t>
  </si>
  <si>
    <t>P.13 Seguimiento anomalías</t>
  </si>
  <si>
    <t>P.14 Seguimiento y control medidores grandes diámetros</t>
  </si>
  <si>
    <t>P.15 Actualización Catastro de Usuarios y Georeferenciación</t>
  </si>
  <si>
    <t>P.16 Caracterización de Comunidades Ilegales</t>
  </si>
  <si>
    <t>P.17 Grandes Consumidores</t>
  </si>
  <si>
    <t>P.18 Software de Inteligencia para Alertas</t>
  </si>
  <si>
    <t>P.19 Normalización AHDI (Técnico-Comercial)</t>
  </si>
  <si>
    <t>2032</t>
  </si>
  <si>
    <t>2033</t>
  </si>
  <si>
    <t>2034</t>
  </si>
  <si>
    <t>2035</t>
  </si>
  <si>
    <t>CMI MARGINAL</t>
  </si>
  <si>
    <t>Porcentaje de submedición año base y deterioro natural</t>
  </si>
  <si>
    <r>
      <t>Volúmenes recuperados por programa de telemetría (m</t>
    </r>
    <r>
      <rPr>
        <vertAlign val="superscript"/>
        <sz val="9"/>
        <color theme="1"/>
        <rFont val="Arial"/>
        <family val="2"/>
      </rPr>
      <t>3</t>
    </r>
    <r>
      <rPr>
        <sz val="9"/>
        <color theme="1"/>
        <rFont val="Arial"/>
        <family val="2"/>
      </rPr>
      <t>/año)</t>
    </r>
  </si>
  <si>
    <t>Costo unitario por redes provisionales a usuarios (usuario)</t>
  </si>
  <si>
    <t>Costo anual por redes provisionales a usuarios (usuario)</t>
  </si>
  <si>
    <t>No. de macromedidores faltantes o que requieren cambio (incluye macromedidores de sectores y/o distritos sin materializar)</t>
  </si>
  <si>
    <t>No. de macromedidores existentes sin telemetría o almacenamiento de datos/ dañados o con problemas</t>
  </si>
  <si>
    <t>Total de puntos de medición</t>
  </si>
  <si>
    <t>Suministro e instalación de caja y estación reguladora de presión &lt;=6'' (incluye excavaciones, llenos, retiros, recuperación espacio público)</t>
  </si>
  <si>
    <t>Suministro e instalación de caja y estación reguladora de presión&lt;=10''(incluye excavaciones, llenos, retiros, recuperación espacio público)</t>
  </si>
  <si>
    <t>No. total de ERP'S</t>
  </si>
  <si>
    <t>10. GESTIÓN DE FRAUDE</t>
  </si>
  <si>
    <t>14. SEGUIMIENTO Y CONTROL MEDIDORES GRANDES DIÁMETROS</t>
  </si>
  <si>
    <t>16. CARACTERIZACIÓN DE COMUNIDADES ILEGALES</t>
  </si>
  <si>
    <t>19. NORMALIZACIÓN AHDI (TÉCNICO-COMERCIAL)</t>
  </si>
  <si>
    <t>8. NORMALIZACIÓN AHDI (TÉCNICO - COMERCIAL)</t>
  </si>
  <si>
    <t>Valor establecido por la ESP como la meta para alcanzar en todas la ciudad el valor del IPUF [m³/usuarios/mes]</t>
  </si>
  <si>
    <t>Consumo promedio (m3/mes/usuario)</t>
  </si>
  <si>
    <t>Gestión y corte en fraudes detectados</t>
  </si>
  <si>
    <t>Visita para la revisión técnica en usuarios con consumo cero, consumo promedio y bajos consumos</t>
  </si>
  <si>
    <t xml:space="preserve">Visita para la revisión técnica en usuarios grandes consumidores </t>
  </si>
  <si>
    <t>Caracterización de comunidades ilegales</t>
  </si>
  <si>
    <t>Telemetria para grandes consumidores</t>
  </si>
  <si>
    <t>Costo de implementación programa ($/año)</t>
  </si>
  <si>
    <t>Instalación de medidores por renovación</t>
  </si>
  <si>
    <t>CMO AÑO 8 + P.P.</t>
  </si>
  <si>
    <t>$ CORRIENTES</t>
  </si>
  <si>
    <t>Interventoría</t>
  </si>
  <si>
    <t>Operac. Contratista</t>
  </si>
  <si>
    <t>La herramienta de cálculo contiene la formulación, evaluación y el análisis técnico, comercial y financiero para la estructuración del plan de gestión de pérdidas, incorpora un modelo de análisis y selección de alternativas.</t>
  </si>
  <si>
    <t>Índices - Serie de empalme
2003 - 2026</t>
  </si>
  <si>
    <t>Actualizado el 6 de Marzo de 2026</t>
  </si>
  <si>
    <t>CARGO FIJO ACUEDUCTO ($ Dic 2026) $/Suscriptor</t>
  </si>
  <si>
    <t>CARGO VARIABLE ACUEDUCTO ($ Dic 2026) $/m3</t>
  </si>
  <si>
    <t>CARGO FIJO ALCANTARILLADO ($ Dic 2026) $/Suscriptor</t>
  </si>
  <si>
    <t>CARGO VARIABLE ALCANTARILLADO ($ Dic 2026) $/m3</t>
  </si>
  <si>
    <t>COSTO UNITARIO DE ENERGÍA ($ Jun 2026) $/m3</t>
  </si>
  <si>
    <t>COSTO UNITARIO DE QUÍMICOS ($ Jun 2026) $/m3</t>
  </si>
  <si>
    <t>2015-2025</t>
  </si>
  <si>
    <t>2015-2025 excluyendo 20 y 21</t>
  </si>
  <si>
    <t>G 2015-2025 excluyendo 20 y 21</t>
  </si>
  <si>
    <t>G 2015- 2025</t>
  </si>
  <si>
    <r>
      <t>COUe</t>
    </r>
    <r>
      <rPr>
        <b/>
        <vertAlign val="subscript"/>
        <sz val="8"/>
        <color theme="1"/>
        <rFont val="Tahoma"/>
        <family val="2"/>
      </rPr>
      <t>ac</t>
    </r>
  </si>
  <si>
    <r>
      <t>ITO</t>
    </r>
    <r>
      <rPr>
        <b/>
        <vertAlign val="subscript"/>
        <sz val="8"/>
        <rFont val="Tahoma"/>
        <family val="2"/>
      </rPr>
      <t>i,ac</t>
    </r>
  </si>
  <si>
    <r>
      <t>COUe</t>
    </r>
    <r>
      <rPr>
        <b/>
        <vertAlign val="subscript"/>
        <sz val="9"/>
        <color theme="1"/>
        <rFont val="Tahoma"/>
        <family val="2"/>
      </rPr>
      <t>ac</t>
    </r>
  </si>
  <si>
    <r>
      <t>ITO</t>
    </r>
    <r>
      <rPr>
        <b/>
        <vertAlign val="subscript"/>
        <sz val="9"/>
        <rFont val="Tahoma"/>
        <family val="2"/>
      </rPr>
      <t>i,ac</t>
    </r>
  </si>
  <si>
    <t>Año9 $Jun 25 PARA APU</t>
  </si>
  <si>
    <r>
      <t>COe</t>
    </r>
    <r>
      <rPr>
        <b/>
        <vertAlign val="subscript"/>
        <sz val="8"/>
        <color theme="1"/>
        <rFont val="Tahoma"/>
        <family val="2"/>
      </rPr>
      <t>ac</t>
    </r>
  </si>
  <si>
    <r>
      <t>COT</t>
    </r>
    <r>
      <rPr>
        <b/>
        <vertAlign val="subscript"/>
        <sz val="8"/>
        <rFont val="Tahoma"/>
        <family val="2"/>
      </rPr>
      <t>i,ac</t>
    </r>
  </si>
  <si>
    <r>
      <t>r</t>
    </r>
    <r>
      <rPr>
        <b/>
        <vertAlign val="subscript"/>
        <sz val="8"/>
        <color theme="1"/>
        <rFont val="Tahoma"/>
        <family val="2"/>
      </rPr>
      <t>ct</t>
    </r>
  </si>
  <si>
    <r>
      <t>AP</t>
    </r>
    <r>
      <rPr>
        <vertAlign val="subscript"/>
        <sz val="8"/>
        <color theme="1"/>
        <rFont val="Calibri Light"/>
        <family val="2"/>
        <scheme val="minor"/>
      </rPr>
      <t>8</t>
    </r>
  </si>
  <si>
    <r>
      <t>RCSAP</t>
    </r>
    <r>
      <rPr>
        <vertAlign val="subscript"/>
        <sz val="8"/>
        <color theme="1"/>
        <rFont val="Calibri Light"/>
        <family val="2"/>
        <scheme val="minor"/>
      </rPr>
      <t>8</t>
    </r>
  </si>
  <si>
    <r>
      <t>ECSAP</t>
    </r>
    <r>
      <rPr>
        <vertAlign val="subscript"/>
        <sz val="8"/>
        <color theme="1"/>
        <rFont val="Calibri Light"/>
        <family val="2"/>
        <scheme val="minor"/>
      </rPr>
      <t>8</t>
    </r>
  </si>
  <si>
    <r>
      <t>AS</t>
    </r>
    <r>
      <rPr>
        <vertAlign val="subscript"/>
        <sz val="8"/>
        <color theme="1"/>
        <rFont val="Calibri Light"/>
        <family val="2"/>
        <scheme val="minor"/>
      </rPr>
      <t>8</t>
    </r>
  </si>
  <si>
    <r>
      <t>CEP</t>
    </r>
    <r>
      <rPr>
        <vertAlign val="subscript"/>
        <sz val="8"/>
        <color theme="1"/>
        <rFont val="Calibri Light"/>
        <family val="2"/>
        <scheme val="minor"/>
      </rPr>
      <t>8</t>
    </r>
  </si>
  <si>
    <r>
      <t>CUP_EP</t>
    </r>
    <r>
      <rPr>
        <vertAlign val="subscript"/>
        <sz val="8"/>
        <color theme="1"/>
        <rFont val="Calibri Light"/>
        <family val="2"/>
        <scheme val="minor"/>
      </rPr>
      <t>8</t>
    </r>
  </si>
  <si>
    <r>
      <t>CED</t>
    </r>
    <r>
      <rPr>
        <vertAlign val="subscript"/>
        <sz val="8"/>
        <color theme="1"/>
        <rFont val="Calibri Light"/>
        <family val="2"/>
        <scheme val="minor"/>
      </rPr>
      <t>8</t>
    </r>
  </si>
  <si>
    <r>
      <t>CUP_ED</t>
    </r>
    <r>
      <rPr>
        <vertAlign val="subscript"/>
        <sz val="8"/>
        <color theme="1"/>
        <rFont val="Calibri Light"/>
        <family val="2"/>
        <scheme val="minor"/>
      </rPr>
      <t>8</t>
    </r>
  </si>
  <si>
    <r>
      <t>CIQ</t>
    </r>
    <r>
      <rPr>
        <vertAlign val="subscript"/>
        <sz val="8"/>
        <color theme="1"/>
        <rFont val="Calibri Light"/>
        <family val="2"/>
        <scheme val="minor"/>
      </rPr>
      <t>8</t>
    </r>
  </si>
  <si>
    <r>
      <t>CUP_IQ</t>
    </r>
    <r>
      <rPr>
        <vertAlign val="subscript"/>
        <sz val="8"/>
        <color theme="1"/>
        <rFont val="Calibri Light"/>
        <family val="2"/>
        <scheme val="minor"/>
      </rPr>
      <t>8</t>
    </r>
  </si>
  <si>
    <t>CMO ACTUAL DESDE EL AÑO 9 + PROGRAMA PÉRDIDAS TÉCNICAS ($2014)</t>
  </si>
  <si>
    <t>Año Tarifario 9</t>
  </si>
  <si>
    <t>CMO AÑO 9 + P.P.</t>
  </si>
  <si>
    <t>CMO AÑO 9</t>
  </si>
  <si>
    <t>CMO ACTUAL DESDE EL AÑO 9 + PROGRAMA PÉRDIDAS COMERCIALES ($2014)</t>
  </si>
  <si>
    <t>CMO ACTUAL DESDE EL AÑO 9 + TOTAL PROGRAMA PÉRDIDAS ($2014) ALTERNATIVA SELECCIONADA</t>
  </si>
  <si>
    <t>MAY</t>
  </si>
  <si>
    <t>amb S.A E.S.P</t>
  </si>
  <si>
    <t>Tasa de descuento ($Corrientes)</t>
  </si>
  <si>
    <t>COSTOS DE REFERENCIA</t>
  </si>
  <si>
    <t>Acueducto</t>
  </si>
  <si>
    <t>CMA ($/Susc)</t>
  </si>
  <si>
    <r>
      <t>CARGO POR CONSUMO ($/m</t>
    </r>
    <r>
      <rPr>
        <b/>
        <vertAlign val="superscript"/>
        <sz val="11"/>
        <color theme="1"/>
        <rFont val="Calibri Light"/>
        <family val="2"/>
        <scheme val="minor"/>
      </rPr>
      <t>3</t>
    </r>
    <r>
      <rPr>
        <b/>
        <sz val="11"/>
        <color theme="1"/>
        <rFont val="Calibri Light"/>
        <family val="2"/>
        <scheme val="minor"/>
      </rPr>
      <t>)</t>
    </r>
  </si>
  <si>
    <t>CMO MARGINAL ($/m3)</t>
  </si>
  <si>
    <r>
      <t>CMI MARGINAL ($/m</t>
    </r>
    <r>
      <rPr>
        <b/>
        <vertAlign val="superscript"/>
        <sz val="11"/>
        <color theme="1"/>
        <rFont val="Calibri Light"/>
        <family val="2"/>
        <scheme val="minor"/>
      </rPr>
      <t>3</t>
    </r>
    <r>
      <rPr>
        <b/>
        <sz val="11"/>
        <color theme="1"/>
        <rFont val="Calibri Light"/>
        <family val="2"/>
        <scheme val="minor"/>
      </rPr>
      <t>)</t>
    </r>
  </si>
  <si>
    <r>
      <t>CMT ($/m</t>
    </r>
    <r>
      <rPr>
        <b/>
        <vertAlign val="superscript"/>
        <sz val="11"/>
        <color theme="1"/>
        <rFont val="Calibri Light"/>
        <family val="2"/>
        <scheme val="minor"/>
      </rPr>
      <t>3</t>
    </r>
    <r>
      <rPr>
        <b/>
        <sz val="11"/>
        <color theme="1"/>
        <rFont val="Calibri Light"/>
        <family val="2"/>
        <scheme val="minor"/>
      </rPr>
      <t>)</t>
    </r>
  </si>
  <si>
    <t>Alcantarillado</t>
  </si>
  <si>
    <r>
      <t>CMI ($/m</t>
    </r>
    <r>
      <rPr>
        <b/>
        <vertAlign val="superscript"/>
        <sz val="11"/>
        <color theme="1"/>
        <rFont val="Calibri Light"/>
        <family val="2"/>
        <scheme val="minor"/>
      </rPr>
      <t>3</t>
    </r>
    <r>
      <rPr>
        <b/>
        <sz val="11"/>
        <color theme="1"/>
        <rFont val="Calibri Light"/>
        <family val="2"/>
        <scheme val="minor"/>
      </rPr>
      <t>)</t>
    </r>
  </si>
  <si>
    <t>CANTIDADES</t>
  </si>
  <si>
    <t>SUSCRIPTORES PROM./MES</t>
  </si>
  <si>
    <t>SUSCRIPTORES PROM./MES ADICIONALES</t>
  </si>
  <si>
    <r>
      <t>m</t>
    </r>
    <r>
      <rPr>
        <b/>
        <vertAlign val="superscript"/>
        <sz val="11"/>
        <color theme="1"/>
        <rFont val="Calibri Light"/>
        <family val="2"/>
        <scheme val="minor"/>
      </rPr>
      <t>3</t>
    </r>
    <r>
      <rPr>
        <b/>
        <sz val="11"/>
        <color theme="1"/>
        <rFont val="Calibri Light"/>
        <family val="2"/>
        <scheme val="minor"/>
      </rPr>
      <t>/Año Facturados</t>
    </r>
  </si>
  <si>
    <r>
      <t>m</t>
    </r>
    <r>
      <rPr>
        <b/>
        <vertAlign val="superscript"/>
        <sz val="11"/>
        <color theme="1"/>
        <rFont val="Calibri Light"/>
        <family val="2"/>
        <scheme val="minor"/>
      </rPr>
      <t>3</t>
    </r>
    <r>
      <rPr>
        <b/>
        <sz val="11"/>
        <color theme="1"/>
        <rFont val="Calibri Light"/>
        <family val="2"/>
        <scheme val="minor"/>
      </rPr>
      <t>/Año Facturados Adicionales</t>
    </r>
  </si>
  <si>
    <r>
      <t>m</t>
    </r>
    <r>
      <rPr>
        <b/>
        <vertAlign val="superscript"/>
        <sz val="11"/>
        <color theme="1"/>
        <rFont val="Calibri Light"/>
        <family val="2"/>
        <scheme val="minor"/>
      </rPr>
      <t>3</t>
    </r>
    <r>
      <rPr>
        <b/>
        <sz val="11"/>
        <color theme="1"/>
        <rFont val="Calibri Light"/>
        <family val="2"/>
        <scheme val="minor"/>
      </rPr>
      <t>/Año Recuperados</t>
    </r>
  </si>
  <si>
    <t>m3/Año Facturados Adicionales</t>
  </si>
  <si>
    <t>TOTAL INGRESOS (Millones de pesos corrientes)</t>
  </si>
  <si>
    <t>CARGO POR CONSUMO ($/m3)</t>
  </si>
  <si>
    <t>CMI MARGINAL ($/m3)</t>
  </si>
  <si>
    <t>TOTAL COSTOS (Millones de pesos corrientes)</t>
  </si>
  <si>
    <t>COSTO DE VENTAS</t>
  </si>
  <si>
    <t>AHORRO ENERGÍA Y QUÍMICOS</t>
  </si>
  <si>
    <t>COSTOS OPEX DEL PROGRAMA</t>
  </si>
  <si>
    <t>COSTOS CAPEX DEL PROGRAMA</t>
  </si>
  <si>
    <t>INTERVENTORÍA EXTERNA</t>
  </si>
  <si>
    <t>DE ADMINISTRACION Y OPERACIÓN</t>
  </si>
  <si>
    <t>DETERIORO, DEPRECIACIONES, AGOTAMIENTO, AMORTIZACIONES Y PROVISIONES</t>
  </si>
  <si>
    <t>UTILIDAD OPERACIONAL ACUEDUCTO (Millones de pesos corrientes)</t>
  </si>
  <si>
    <t>NETO OTROS INGRESOS OTROS COSTOS</t>
  </si>
  <si>
    <t>UTILIDAD ANTES DE IMPUESTOS ACUEDUCTO (Millones de pesos corrientes)</t>
  </si>
  <si>
    <t>UTILIDAD OPERACIONAL ALCANTARILLADO (Millones de pesos corrientes)</t>
  </si>
  <si>
    <t>UTILIDAD ANTES DE IMPUESTOS ALCANTARILLADO (Millones de pesos corrientes)</t>
  </si>
  <si>
    <t>FLUJO DE CAJA METODO INDIRECTO</t>
  </si>
  <si>
    <t>UTILIDAD OPERACIONAL AC+ALC (Millones de pesos corrientes)</t>
  </si>
  <si>
    <t>(+) DEPRECIACIONES Y AMORTIZACIONES</t>
  </si>
  <si>
    <t>(+) NECESIDADES OPERATIVAS DE FONDOS</t>
  </si>
  <si>
    <t>(-) VARIACION EN ACTIVOS (POIR)</t>
  </si>
  <si>
    <t>FLUJO DE CAJA LIBRE (Millones de pesos corrientes)</t>
  </si>
  <si>
    <t>Valor Residual</t>
  </si>
  <si>
    <t>FLUJO DE CAJA LIBRE ACUMULADO (Millones de pesos corrientes)</t>
  </si>
  <si>
    <t>Condición FCL acumulado &gt;=0</t>
  </si>
  <si>
    <t>Período de Recuperación de la Inversión (Payback)</t>
  </si>
  <si>
    <t>VNA (WACC PESOS CORRIENTES) Millones de pesos corrientes</t>
  </si>
  <si>
    <t>RELACIÓN BENEFICIO COSTO ENFOQUE CONSERVADOR</t>
  </si>
  <si>
    <t>INGRESOS</t>
  </si>
  <si>
    <t>COSTOS (LOS COSTOS EVITADOS SE DEJAN EN CERO)</t>
  </si>
  <si>
    <t>VALOR PRESENTE NETO DE LOS INGRESOS</t>
  </si>
  <si>
    <t>VALOR PRESENTE NETO DE LOS COSTOS</t>
  </si>
  <si>
    <t>RELACIÓN BENEFICIO COSTO (B/C)</t>
  </si>
  <si>
    <t>RELACIÓN BENEFICIO COSTO ENFOQUE AMPLIADO</t>
  </si>
  <si>
    <t>INGRESOS (LOS COSTOS EVITADOS SE CONSIDERAN COMO INGRESOS ADICIONALES)</t>
  </si>
  <si>
    <t>RELACIÓN BENEFICIO COSTO+INVERSIONES ENFOQUE CONSERVADOR</t>
  </si>
  <si>
    <t>INVERSIONES</t>
  </si>
  <si>
    <t>TOTAL COSTOS+INVERSIONES</t>
  </si>
  <si>
    <t>VALOR PRESENTE NETO DE LOS COSTOS+ INVERSIONES</t>
  </si>
  <si>
    <t>RELACIÓN BENEFICIO COSTO+ INVERSIONES ENFOQUE AMPLIADO</t>
  </si>
  <si>
    <t>OJO REVISAR ESTA CONDICIÓN</t>
  </si>
  <si>
    <t>DEPREC ANUALES</t>
  </si>
  <si>
    <t>Usuarios sistema Bucaramanga</t>
  </si>
  <si>
    <t>Usuarios sistema Floridablanca</t>
  </si>
  <si>
    <t>Usuarios sistema Girón</t>
  </si>
  <si>
    <t>Provisional</t>
  </si>
  <si>
    <t>Agua en bloque</t>
  </si>
  <si>
    <t>1 a 3 años</t>
  </si>
  <si>
    <t>3-5 años</t>
  </si>
  <si>
    <t>5-8 años</t>
  </si>
  <si>
    <t>8-10 años</t>
  </si>
  <si>
    <t>Número de medidores repuestos</t>
  </si>
  <si>
    <t>143 - Retiro para prueba</t>
  </si>
  <si>
    <t>103 - Cambio de Medidor</t>
  </si>
  <si>
    <t>148 - Cambio de Tecnologia</t>
  </si>
  <si>
    <t>019 - Medidor Robado</t>
  </si>
  <si>
    <t>$/usuario</t>
  </si>
  <si>
    <t>Programa de mantenimiento correctivo y preventivo a través del cambio o renovación de medidores a usuarios residenciales y no residenciales, cuyo objeto es reducir el error de medición, identificando y cambiando aquellos aparatos de medición que no estén cumpliendo con criterios técnicos y económicos establecidos por la empresa.</t>
  </si>
  <si>
    <t>9. RENOVACIÓN/REPOSICIÓN DE MEDIDORES (CAMBIO MASIVO)</t>
  </si>
  <si>
    <t>10. GESTIÓN DE FRAUDES Y CONEXIONES CLANDESTINAS</t>
  </si>
  <si>
    <t>Programa dirigido a usuarios con uso irregular del servicio (fraude), que corresponda a un cliente que se encuentra registrado en la base de datos y que cuenta con el servicio de acueducto, desde la manipulación del medidor hasta acometidas no autorizadas. adecuada gestión de fraudes y conexiones clandestinas; y a clandestinos que son usuarios que no están registrados en la base de datos de la empresa y consumen el servicio sin autorización. Su objeto es, mediante el corte efectivo o definitivo del servicio y/o la implementación de estrategias comerciales, recuperar metros cúbicos no facturados.</t>
  </si>
  <si>
    <t>Programa de seguimiento permanente a usuarios que registren consumo nulo así como aquellos inactivos en la base de facturación (cortado, coactivo, predio demolido, suspendido, acometida por instalar, depuración cartera, inhabilitado), con el objetivo de detectar posibles casos de fraude, fallas operativas o mal funcionamiento de los medidores y conexiones clandestinas y corregirlas o normalizar la facturación para así reducir las pérdidas comerciales de agua no facturada.</t>
  </si>
  <si>
    <t>Programa de seguimiento permanente a suscriptores que registren bajos consumos y facturación por promedio. Tiene por objeto hacer un análisis de las anomalías reportadas por las diferentes actividades comerciales, identificarlas en terreno y corregirlas para así reducir las pérdidas comerciales de agua.</t>
  </si>
  <si>
    <t>% de inspecciones del total de grandes consumidores y provisionales</t>
  </si>
  <si>
    <t>Programa dirigido a usuarios activos e inactivos que constituye el eje estructural del Plan de Reducción de Pérdidas Comerciales, al depender de la calidad y veracidad de la información de clientes y medidores para la identificación de causas de pérdidas y definición de acciones correctivas. Tiene por objeto la realización -total o parcial- de actividades en terreno, como son: levantamiento predial, encuestas, georreferenciación, verificación de discrepancias en datos y catastro que permita identificar, caracterizar, localizar y actualizar la información de los usuarios de los servicios públicos de acueducto y alcantarillado que se estén y no facturando y los que se encuentren clandestinos.</t>
  </si>
  <si>
    <t>Programa dirigido a grandes consumidores para los que se requiera una mayor exactitud de los consumos, ya sea por evidencia de anomalías anteriores o porque cuentan con equipos de medición con algún grado de obsolescencia. Tiene por objeto evitar errores en la lectura del consumo y fraudes; todo esto al ser en tiempo real hace más eficiente el proceso de recolección de datos y mejora el servicio de facturación prestado por la empresa.</t>
  </si>
  <si>
    <t>17. TELEMETRÍA GRANDES CONSUMIDORES</t>
  </si>
  <si>
    <t>Edad parque de medidores actual (años)</t>
  </si>
  <si>
    <t>% deterioro anual</t>
  </si>
  <si>
    <t>Curva de deterioro teórica</t>
  </si>
  <si>
    <t>Número de medidores instalados (nuevos + reposición)</t>
  </si>
  <si>
    <t>Tasa de reposición anual</t>
  </si>
  <si>
    <t>Beneficio de implementación gestión de fraudes ($/año)</t>
  </si>
  <si>
    <t>Volúmenes promedio recuperados por anomalía (m3/año)</t>
  </si>
  <si>
    <t>Usuarios a caracterización y vinculación</t>
  </si>
  <si>
    <t>Beneficio de implementación programa ($/año)</t>
  </si>
  <si>
    <t>16.VINCULACIÓN DE COMUNIDADES ILEGALES</t>
  </si>
  <si>
    <t>TOTAL COSTOS UNITARIOS PARTICULARES ($ Jun 2026) $/m3</t>
  </si>
  <si>
    <t>BCR AÑO 10 $DIC2014</t>
  </si>
  <si>
    <t>BCR AÑO 10 $DIC 2026</t>
  </si>
  <si>
    <t>Número de usuarios potenciales fraudulentos</t>
  </si>
  <si>
    <t>Grandes consumidores &gt;= 500 m3/mes</t>
  </si>
  <si>
    <t>Incluye Telemetría + Instalación</t>
  </si>
  <si>
    <t>$ telemetría</t>
  </si>
  <si>
    <t>Comercial</t>
  </si>
  <si>
    <t xml:space="preserve">% </t>
  </si>
  <si>
    <t>Reducción esperada consumo promedio</t>
  </si>
  <si>
    <t>Activos (medidor funcionando)</t>
  </si>
  <si>
    <t>Sin aparato de medición</t>
  </si>
  <si>
    <t>Número de familias/pila pública</t>
  </si>
  <si>
    <t>Número de pilas a vincular</t>
  </si>
  <si>
    <t>RECONOCIMIENTO DE COSTOS EN COMUNIDADES NO LEGALIZADAS</t>
  </si>
  <si>
    <t>% deterioro anual/Volumen deterioro medidor nuevo</t>
  </si>
  <si>
    <t>Tasa de deterioro medidores nuevos</t>
  </si>
  <si>
    <t>Promedio tasa de deterioro medidor nuevo &lt; 3 años</t>
  </si>
  <si>
    <t>Tasa de deterioro parque de medidores actual</t>
  </si>
  <si>
    <t>Vida útil del parque de medidores actual (años)</t>
  </si>
  <si>
    <t>Total medidores repuestos</t>
  </si>
  <si>
    <t>% medidores repuestos del total de usuarios</t>
  </si>
  <si>
    <r>
      <t>Consumo cero o sin consumo (0 m</t>
    </r>
    <r>
      <rPr>
        <vertAlign val="superscript"/>
        <sz val="9"/>
        <color theme="1"/>
        <rFont val="Arial"/>
        <family val="2"/>
      </rPr>
      <t>3</t>
    </r>
    <r>
      <rPr>
        <sz val="9"/>
        <color theme="1"/>
        <rFont val="Arial"/>
        <family val="2"/>
      </rPr>
      <t>)</t>
    </r>
  </si>
  <si>
    <r>
      <t>Bajo Consumo (1 a 5 m</t>
    </r>
    <r>
      <rPr>
        <vertAlign val="superscript"/>
        <sz val="9"/>
        <color theme="1"/>
        <rFont val="Arial"/>
        <family val="2"/>
      </rPr>
      <t>3</t>
    </r>
    <r>
      <rPr>
        <sz val="9"/>
        <color theme="1"/>
        <rFont val="Arial"/>
        <family val="2"/>
      </rPr>
      <t>)</t>
    </r>
  </si>
  <si>
    <r>
      <t>Grandes Consumidores &gt;= 500 m</t>
    </r>
    <r>
      <rPr>
        <vertAlign val="superscript"/>
        <sz val="9"/>
        <color theme="1"/>
        <rFont val="Arial"/>
        <family val="2"/>
      </rPr>
      <t>3</t>
    </r>
    <r>
      <rPr>
        <sz val="9"/>
        <color theme="1"/>
        <rFont val="Arial"/>
        <family val="2"/>
      </rPr>
      <t>/mes/Tasa crecimiento GC</t>
    </r>
  </si>
  <si>
    <r>
      <t>Consumo promedio Grandes Consumidores m</t>
    </r>
    <r>
      <rPr>
        <vertAlign val="superscript"/>
        <sz val="9"/>
        <color theme="1"/>
        <rFont val="Arial"/>
        <family val="2"/>
      </rPr>
      <t>3</t>
    </r>
    <r>
      <rPr>
        <sz val="9"/>
        <color theme="1"/>
        <rFont val="Arial"/>
        <family val="2"/>
      </rPr>
      <t>/mes-suscriptor</t>
    </r>
  </si>
  <si>
    <r>
      <t>Consumo promedio pilas públicas (m</t>
    </r>
    <r>
      <rPr>
        <vertAlign val="superscript"/>
        <sz val="9"/>
        <color theme="1"/>
        <rFont val="Arial"/>
        <family val="2"/>
      </rPr>
      <t>3</t>
    </r>
    <r>
      <rPr>
        <sz val="9"/>
        <color theme="1"/>
        <rFont val="Arial"/>
        <family val="2"/>
      </rPr>
      <t>/familia/mes)</t>
    </r>
  </si>
  <si>
    <r>
      <t>Consumo Promedio m</t>
    </r>
    <r>
      <rPr>
        <b/>
        <vertAlign val="superscript"/>
        <sz val="9"/>
        <color theme="1"/>
        <rFont val="Arial"/>
        <family val="2"/>
      </rPr>
      <t>3</t>
    </r>
    <r>
      <rPr>
        <b/>
        <sz val="9"/>
        <color theme="1"/>
        <rFont val="Arial"/>
        <family val="2"/>
      </rPr>
      <t>/mes</t>
    </r>
  </si>
  <si>
    <r>
      <t>Consumo Promedio Usuario m</t>
    </r>
    <r>
      <rPr>
        <b/>
        <vertAlign val="superscript"/>
        <sz val="9"/>
        <color theme="1"/>
        <rFont val="Arial"/>
        <family val="2"/>
      </rPr>
      <t>3</t>
    </r>
    <r>
      <rPr>
        <b/>
        <sz val="9"/>
        <color theme="1"/>
        <rFont val="Arial"/>
        <family val="2"/>
      </rPr>
      <t>/mes</t>
    </r>
  </si>
  <si>
    <r>
      <t>Submedición promedio por usuario (m</t>
    </r>
    <r>
      <rPr>
        <vertAlign val="superscript"/>
        <sz val="9"/>
        <color theme="1"/>
        <rFont val="Arial"/>
        <family val="2"/>
      </rPr>
      <t>3</t>
    </r>
    <r>
      <rPr>
        <sz val="9"/>
        <color theme="1"/>
        <rFont val="Arial"/>
        <family val="2"/>
      </rPr>
      <t>/mes)</t>
    </r>
  </si>
  <si>
    <r>
      <t>Volúmenes perdidos por deterioro natural del parque de medidores (m</t>
    </r>
    <r>
      <rPr>
        <vertAlign val="superscript"/>
        <sz val="9"/>
        <color theme="1"/>
        <rFont val="Arial"/>
        <family val="2"/>
      </rPr>
      <t>3</t>
    </r>
    <r>
      <rPr>
        <sz val="9"/>
        <color theme="1"/>
        <rFont val="Arial"/>
        <family val="2"/>
      </rPr>
      <t>/año)</t>
    </r>
  </si>
  <si>
    <r>
      <t>%deterioro medidor &gt; 3 años/Consumo promedio de usuario con medidor nuevo (m</t>
    </r>
    <r>
      <rPr>
        <vertAlign val="superscript"/>
        <sz val="9"/>
        <color theme="1"/>
        <rFont val="Arial"/>
        <family val="2"/>
      </rPr>
      <t>3</t>
    </r>
    <r>
      <rPr>
        <sz val="9"/>
        <color theme="1"/>
        <rFont val="Arial"/>
        <family val="2"/>
      </rPr>
      <t>/mes)</t>
    </r>
  </si>
  <si>
    <r>
      <t>Volumen de deterioro medidor nuevo (m</t>
    </r>
    <r>
      <rPr>
        <vertAlign val="superscript"/>
        <sz val="9"/>
        <color theme="1"/>
        <rFont val="Arial"/>
        <family val="2"/>
      </rPr>
      <t>3</t>
    </r>
    <r>
      <rPr>
        <sz val="9"/>
        <color theme="1"/>
        <rFont val="Arial"/>
        <family val="2"/>
      </rPr>
      <t>/mes)</t>
    </r>
  </si>
  <si>
    <r>
      <t>Volumen recuperado medidor nuevo (m</t>
    </r>
    <r>
      <rPr>
        <vertAlign val="superscript"/>
        <sz val="9"/>
        <color theme="1"/>
        <rFont val="Arial"/>
        <family val="2"/>
      </rPr>
      <t>3</t>
    </r>
    <r>
      <rPr>
        <sz val="9"/>
        <color theme="1"/>
        <rFont val="Arial"/>
        <family val="2"/>
      </rPr>
      <t>/mes)</t>
    </r>
  </si>
  <si>
    <r>
      <t>Curva de volumen recuperado por cada medidor (m</t>
    </r>
    <r>
      <rPr>
        <b/>
        <vertAlign val="superscript"/>
        <sz val="9"/>
        <color theme="1"/>
        <rFont val="Arial"/>
        <family val="2"/>
      </rPr>
      <t>3</t>
    </r>
    <r>
      <rPr>
        <b/>
        <sz val="9"/>
        <color theme="1"/>
        <rFont val="Arial"/>
        <family val="2"/>
      </rPr>
      <t>/mes/medidor repuesto)</t>
    </r>
  </si>
  <si>
    <r>
      <t>Volúmenes recuperados por cambio de medidores (m</t>
    </r>
    <r>
      <rPr>
        <b/>
        <vertAlign val="superscript"/>
        <sz val="9"/>
        <color theme="1"/>
        <rFont val="Arial"/>
        <family val="2"/>
      </rPr>
      <t>3</t>
    </r>
    <r>
      <rPr>
        <b/>
        <sz val="9"/>
        <color theme="1"/>
        <rFont val="Arial"/>
        <family val="2"/>
      </rPr>
      <t>/año)</t>
    </r>
  </si>
  <si>
    <t>Número de meses de recuperación de volumen en el año</t>
  </si>
  <si>
    <t>Costo de la visita y gestión del fraude</t>
  </si>
  <si>
    <r>
      <t>Volúmenes recuperados con consumo 0 (m</t>
    </r>
    <r>
      <rPr>
        <vertAlign val="superscript"/>
        <sz val="9"/>
        <color theme="1"/>
        <rFont val="Arial"/>
        <family val="2"/>
      </rPr>
      <t>3</t>
    </r>
    <r>
      <rPr>
        <sz val="9"/>
        <color theme="1"/>
        <rFont val="Arial"/>
        <family val="2"/>
      </rPr>
      <t>/año)</t>
    </r>
  </si>
  <si>
    <r>
      <t>Volúmenes recuperados acumulados con consumo 0 (m</t>
    </r>
    <r>
      <rPr>
        <vertAlign val="superscript"/>
        <sz val="9"/>
        <color theme="1"/>
        <rFont val="Arial"/>
        <family val="2"/>
      </rPr>
      <t>3</t>
    </r>
    <r>
      <rPr>
        <sz val="9"/>
        <color theme="1"/>
        <rFont val="Arial"/>
        <family val="2"/>
      </rPr>
      <t>/año)</t>
    </r>
  </si>
  <si>
    <r>
      <t>Volumen recuperado por corte a la red (m</t>
    </r>
    <r>
      <rPr>
        <vertAlign val="superscript"/>
        <sz val="9"/>
        <rFont val="Arial"/>
        <family val="2"/>
      </rPr>
      <t>3</t>
    </r>
    <r>
      <rPr>
        <sz val="9"/>
        <rFont val="Arial"/>
        <family val="2"/>
      </rPr>
      <t>/corte/mes) y (m</t>
    </r>
    <r>
      <rPr>
        <vertAlign val="superscript"/>
        <sz val="9"/>
        <rFont val="Arial"/>
        <family val="2"/>
      </rPr>
      <t>3</t>
    </r>
    <r>
      <rPr>
        <sz val="9"/>
        <rFont val="Arial"/>
        <family val="2"/>
      </rPr>
      <t>/corte/año)</t>
    </r>
  </si>
  <si>
    <r>
      <t>Número de suscriptores con bajo consumo con consumo &gt;0 y &lt;5 m</t>
    </r>
    <r>
      <rPr>
        <vertAlign val="superscript"/>
        <sz val="9"/>
        <color theme="1"/>
        <rFont val="Arial"/>
        <family val="2"/>
      </rPr>
      <t>3</t>
    </r>
    <r>
      <rPr>
        <sz val="9"/>
        <color theme="1"/>
        <rFont val="Arial"/>
        <family val="2"/>
      </rPr>
      <t>/mes</t>
    </r>
  </si>
  <si>
    <r>
      <t>Volumen promedio recuperados por anomalía (m</t>
    </r>
    <r>
      <rPr>
        <vertAlign val="superscript"/>
        <sz val="9"/>
        <color theme="1"/>
        <rFont val="Arial"/>
        <family val="2"/>
      </rPr>
      <t>3</t>
    </r>
    <r>
      <rPr>
        <sz val="9"/>
        <color theme="1"/>
        <rFont val="Arial"/>
        <family val="2"/>
      </rPr>
      <t>/mes/suscriptor)</t>
    </r>
  </si>
  <si>
    <r>
      <t>Volumen recuperado por anomalía encontrada (m</t>
    </r>
    <r>
      <rPr>
        <vertAlign val="superscript"/>
        <sz val="9"/>
        <color theme="1"/>
        <rFont val="Arial"/>
        <family val="2"/>
      </rPr>
      <t>3</t>
    </r>
    <r>
      <rPr>
        <sz val="9"/>
        <color theme="1"/>
        <rFont val="Arial"/>
        <family val="2"/>
      </rPr>
      <t>/año)</t>
    </r>
  </si>
  <si>
    <t>% de inspecciones del total de suscriptores con bajos consumos / Número de inspecciones realizadas</t>
  </si>
  <si>
    <r>
      <t>Volúmenes recuperados suscriptores con consumo &gt;0 y &lt;5 (m</t>
    </r>
    <r>
      <rPr>
        <vertAlign val="superscript"/>
        <sz val="9"/>
        <color theme="1"/>
        <rFont val="Arial"/>
        <family val="2"/>
      </rPr>
      <t>3</t>
    </r>
    <r>
      <rPr>
        <sz val="9"/>
        <color theme="1"/>
        <rFont val="Arial"/>
        <family val="2"/>
      </rPr>
      <t xml:space="preserve"> /año)</t>
    </r>
  </si>
  <si>
    <r>
      <t>Volúmenes recuperados acumulados suscriptores con consumo &gt;0 y &lt;5 (m</t>
    </r>
    <r>
      <rPr>
        <vertAlign val="superscript"/>
        <sz val="9"/>
        <color theme="1"/>
        <rFont val="Arial"/>
        <family val="2"/>
      </rPr>
      <t>3</t>
    </r>
    <r>
      <rPr>
        <sz val="9"/>
        <color theme="1"/>
        <rFont val="Arial"/>
        <family val="2"/>
      </rPr>
      <t xml:space="preserve"> /año)</t>
    </r>
  </si>
  <si>
    <t>Costo de inspección por bajo consumo ($/visita)</t>
  </si>
  <si>
    <t>Número de anomalías recuperables</t>
  </si>
  <si>
    <t>% anomalías recuperables</t>
  </si>
  <si>
    <t xml:space="preserve">14. SEGUIMIENTO Y CONTROL MEDIDORES GRANDES CONSUMIDORES </t>
  </si>
  <si>
    <t>Programa de seguimiento permanente a suscriptores provisionales o temporales, grandes consumidores y/o diámetros y medición general y de control. Tiene por objeto hacer análisis de anomalías, identificarlas en terreno y corregirlas para así reducir las pérdidas comerciales de agua. En este análisis solo se incluyen grandes consumidores y provisionales.</t>
  </si>
  <si>
    <t>Número de grandes consumidores y temporales para obra</t>
  </si>
  <si>
    <t>Temporales para obra</t>
  </si>
  <si>
    <t>Número de anomalías recuperables</t>
  </si>
  <si>
    <t>% de anomalías recuperables</t>
  </si>
  <si>
    <r>
      <t>Volumen recuperado acumulado (m</t>
    </r>
    <r>
      <rPr>
        <vertAlign val="superscript"/>
        <sz val="9"/>
        <color theme="1"/>
        <rFont val="Arial"/>
        <family val="2"/>
      </rPr>
      <t>3</t>
    </r>
    <r>
      <rPr>
        <sz val="9"/>
        <color theme="1"/>
        <rFont val="Arial"/>
        <family val="2"/>
      </rPr>
      <t>/año)</t>
    </r>
  </si>
  <si>
    <t>Volúmenes recuperados por año</t>
  </si>
  <si>
    <r>
      <t>Volumen promedio recuperado por anomalía (m</t>
    </r>
    <r>
      <rPr>
        <vertAlign val="superscript"/>
        <sz val="9"/>
        <color theme="1"/>
        <rFont val="Arial"/>
        <family val="2"/>
      </rPr>
      <t>3</t>
    </r>
    <r>
      <rPr>
        <sz val="9"/>
        <color theme="1"/>
        <rFont val="Arial"/>
        <family val="2"/>
      </rPr>
      <t>/mes)</t>
    </r>
  </si>
  <si>
    <r>
      <t>Volumen recuperado por anomalía (m</t>
    </r>
    <r>
      <rPr>
        <vertAlign val="superscript"/>
        <sz val="9"/>
        <color theme="1"/>
        <rFont val="Arial"/>
        <family val="2"/>
      </rPr>
      <t>3</t>
    </r>
    <r>
      <rPr>
        <sz val="9"/>
        <color theme="1"/>
        <rFont val="Arial"/>
        <family val="2"/>
      </rPr>
      <t>/anomalía/año)</t>
    </r>
  </si>
  <si>
    <t>del consumo medio de grandes consumidores</t>
  </si>
  <si>
    <t>Costo unitario de inspección a gran consumidor ($/año)</t>
  </si>
  <si>
    <t>Número de usuarios a intervenir</t>
  </si>
  <si>
    <t>Costo unitario de la empresa asumido para la inspección consumos 0 ($)</t>
  </si>
  <si>
    <t>% usuarios a censar</t>
  </si>
  <si>
    <t>Número de visitas realizadas en el año</t>
  </si>
  <si>
    <t>% de inspecciones</t>
  </si>
  <si>
    <t>Número de anomalías encontradas recuperables</t>
  </si>
  <si>
    <t>Número de pilas públicas a vincular</t>
  </si>
  <si>
    <t>% familias a vincular</t>
  </si>
  <si>
    <t>Número de familias a vincular</t>
  </si>
  <si>
    <t>Total N° familias</t>
  </si>
  <si>
    <r>
      <t>Volúmenes recuperados por vinculación (comunidades no legales) (m</t>
    </r>
    <r>
      <rPr>
        <vertAlign val="superscript"/>
        <sz val="9"/>
        <rFont val="Arial"/>
        <family val="2"/>
      </rPr>
      <t>3</t>
    </r>
    <r>
      <rPr>
        <sz val="9"/>
        <rFont val="Arial"/>
        <family val="2"/>
      </rPr>
      <t>/año)</t>
    </r>
  </si>
  <si>
    <t>Volúmenes acumulados por vinculación</t>
  </si>
  <si>
    <t>VNA de implementación vinculación pilas (comunidades no legales)</t>
  </si>
  <si>
    <t>Programa dirigido a la caracterización de comunidades no legalizadas, que permitan la vinculación de usuarios al sistema y la recuperación de volúmenes de agua potable por facturación del servicio.</t>
  </si>
  <si>
    <t>% volumen recuperado</t>
  </si>
  <si>
    <t>Grandes consumidores con equipo de telemetría por año</t>
  </si>
  <si>
    <t>Costo unitario instalación de dispositivos de telemetría ($). No incluye medidor</t>
  </si>
  <si>
    <t>DATOS OPEX AÑO TARIFARIO 9 ($2014)</t>
  </si>
  <si>
    <t>Año9 $Jun 25</t>
  </si>
  <si>
    <t>19 VINCULACIÓN INDIVUAL (TÉCNICO - COMERCIAL)</t>
  </si>
  <si>
    <t>VINCULACIÓN INDIVUAL (TÉCNICO - COMERCIAL)</t>
  </si>
  <si>
    <t>38-40</t>
  </si>
  <si>
    <t>41-43</t>
  </si>
  <si>
    <t>49-51</t>
  </si>
  <si>
    <t>52-53</t>
  </si>
  <si>
    <t>P.19 Vinculación Individual (Técnico-Comercial)</t>
  </si>
  <si>
    <t>$200.000.000.000</t>
  </si>
  <si>
    <t>Comb. Óptimas</t>
  </si>
  <si>
    <t>TIR y TIR MODIFICADA (TIRM)</t>
  </si>
  <si>
    <t>C</t>
  </si>
  <si>
    <t>Combinaciones</t>
  </si>
  <si>
    <t>PF 1</t>
  </si>
  <si>
    <t>PF 2</t>
  </si>
  <si>
    <t>PF 3</t>
  </si>
  <si>
    <t>Op.1</t>
  </si>
  <si>
    <t>VNA Ingresos PF1</t>
  </si>
  <si>
    <t>VNA Ingresos PF2</t>
  </si>
  <si>
    <t>VNA Ingresos PF3</t>
  </si>
  <si>
    <t>VNA Ingresos O1</t>
  </si>
  <si>
    <t>VNA Egresos+Inversión PF1</t>
  </si>
  <si>
    <t>VNA Egresos+Inversión PF2</t>
  </si>
  <si>
    <t>VNA Egresos+Inversión PF3</t>
  </si>
  <si>
    <t>VNA Egresos+Inversión O1</t>
  </si>
  <si>
    <t>V Recuperado PF1</t>
  </si>
  <si>
    <t>V Recuperado PF2</t>
  </si>
  <si>
    <t>V Recuperado PF3</t>
  </si>
  <si>
    <t>V Recuperado O1</t>
  </si>
  <si>
    <t>Volumen Recuperado</t>
  </si>
  <si>
    <t>Op.2</t>
  </si>
  <si>
    <t>VNA Ingresos O2</t>
  </si>
  <si>
    <t>VNA Egresos+Inversión O2</t>
  </si>
  <si>
    <t>V Recuperado O2</t>
  </si>
  <si>
    <t>Op.3</t>
  </si>
  <si>
    <t>VNA Ingresos O3</t>
  </si>
  <si>
    <t>VNA Egresos+Inversión O3</t>
  </si>
  <si>
    <t>V Recuperado O3</t>
  </si>
  <si>
    <t>Op.4</t>
  </si>
  <si>
    <t>VNA Ingresos O4</t>
  </si>
  <si>
    <t>VNA Egresos+Inversión O4</t>
  </si>
  <si>
    <t>V Recuperado O4</t>
  </si>
  <si>
    <t>Op.5</t>
  </si>
  <si>
    <t>VNA Ingresos O5</t>
  </si>
  <si>
    <t>VNA Egresos+Inversión O5</t>
  </si>
  <si>
    <t>V Recuperado O5</t>
  </si>
  <si>
    <t>Op.6</t>
  </si>
  <si>
    <t>VNA Ingresos O6</t>
  </si>
  <si>
    <t>VNA Egresos+Inversión O6</t>
  </si>
  <si>
    <t>V Recuperado O6</t>
  </si>
  <si>
    <t>Op.7</t>
  </si>
  <si>
    <t>VNA Ingresos O7</t>
  </si>
  <si>
    <t>VNA Egresos+Inversión O7</t>
  </si>
  <si>
    <t>V Recuperado O7</t>
  </si>
  <si>
    <t>Op.8</t>
  </si>
  <si>
    <t>VNA Ingresos O8</t>
  </si>
  <si>
    <t>VNA Egresos+Inversión O8</t>
  </si>
  <si>
    <t>V Recuperado O8</t>
  </si>
  <si>
    <t>Op.9</t>
  </si>
  <si>
    <t>VNA Ingresos O9</t>
  </si>
  <si>
    <t>VNA Egresos+Inversión O9</t>
  </si>
  <si>
    <t>V Recuperado O9</t>
  </si>
  <si>
    <t>Op.10</t>
  </si>
  <si>
    <t>VNA Ingresos O10</t>
  </si>
  <si>
    <t>VNA Egresos+Inversión O10</t>
  </si>
  <si>
    <t>V Recuperado O10</t>
  </si>
  <si>
    <t>Op.11</t>
  </si>
  <si>
    <t>VNA Ingresos O11</t>
  </si>
  <si>
    <t>VNA Egresos+Inversión O11</t>
  </si>
  <si>
    <t>V Recuperado O11</t>
  </si>
  <si>
    <t>Ver. BC</t>
  </si>
  <si>
    <t>Ver. MM</t>
  </si>
  <si>
    <t>Datos Generales</t>
  </si>
  <si>
    <t>1, 2, 3, 4, 5, 6, 9, 10, 13, 16, 17</t>
  </si>
  <si>
    <t>1, 2, 3, 5, 6, 9, 10, 12, 13, 16, 17</t>
  </si>
  <si>
    <t>1, 2, 3, 5, 6, 9, 10, 13, 14, 16, 17</t>
  </si>
  <si>
    <t>1, 2, 3, 5, 6, 9, 10, 13, 15, 16, 17</t>
  </si>
  <si>
    <t>1, 2, 3, 4, 5, 6, 9, 10, 12, 13, 16, 17</t>
  </si>
  <si>
    <t>1, 2, 3, 4, 5, 6, 9, 10, 13, 14, 16, 17</t>
  </si>
  <si>
    <t>1, 2, 3, 4, 5, 6, 9, 10, 13, 15, 16, 17</t>
  </si>
  <si>
    <t>1, 2, 3, 5, 6, 9, 10, 12, 13, 14, 16, 17</t>
  </si>
  <si>
    <t>1, 2, 3, 5, 6, 9, 10, 12, 13, 15, 16, 17</t>
  </si>
  <si>
    <t>1, 2, 3, 5, 6, 9, 10, 13, 14, 15, 16, 17</t>
  </si>
  <si>
    <t>1, 2, 3, 4, 5, 6, 9, 10, 12, 13, 14, 16, 17</t>
  </si>
  <si>
    <t>1, 2, 3, 4, 5, 6, 9, 10, 12, 13, 15, 16, 17</t>
  </si>
  <si>
    <t>1, 2, 3, 4, 5, 6, 9, 10, 13, 14, 15, 16, 17</t>
  </si>
  <si>
    <t>1, 2, 3, 5, 6, 9, 10, 12, 13, 14, 15, 16, 17</t>
  </si>
  <si>
    <t>Qué se hizo</t>
  </si>
  <si>
    <t>4, 5</t>
  </si>
  <si>
    <t>4, 6</t>
  </si>
  <si>
    <t>4, 9</t>
  </si>
  <si>
    <t>4, 10</t>
  </si>
  <si>
    <t>4, 12</t>
  </si>
  <si>
    <t>4, 13</t>
  </si>
  <si>
    <t>4, 14</t>
  </si>
  <si>
    <t>4, 15</t>
  </si>
  <si>
    <t>4, 16</t>
  </si>
  <si>
    <t>4, 17</t>
  </si>
  <si>
    <t>5, 6</t>
  </si>
  <si>
    <t>5, 9</t>
  </si>
  <si>
    <t>5, 10</t>
  </si>
  <si>
    <t>5, 12</t>
  </si>
  <si>
    <t>5, 13</t>
  </si>
  <si>
    <t>5, 14</t>
  </si>
  <si>
    <t>5, 15</t>
  </si>
  <si>
    <t>5, 16</t>
  </si>
  <si>
    <t>5, 17</t>
  </si>
  <si>
    <t>6, 9</t>
  </si>
  <si>
    <t>6, 10</t>
  </si>
  <si>
    <t>6, 12</t>
  </si>
  <si>
    <t>6, 13</t>
  </si>
  <si>
    <t>6, 14</t>
  </si>
  <si>
    <t>6, 15</t>
  </si>
  <si>
    <t>6, 16</t>
  </si>
  <si>
    <t>6, 17</t>
  </si>
  <si>
    <t>9, 10</t>
  </si>
  <si>
    <t>9, 12</t>
  </si>
  <si>
    <t>9, 13</t>
  </si>
  <si>
    <t>9, 14</t>
  </si>
  <si>
    <t>9, 15</t>
  </si>
  <si>
    <t>9, 16</t>
  </si>
  <si>
    <t>9, 17</t>
  </si>
  <si>
    <t>10, 12</t>
  </si>
  <si>
    <t>10, 13</t>
  </si>
  <si>
    <t>10, 14</t>
  </si>
  <si>
    <t>10, 15</t>
  </si>
  <si>
    <t>10, 16</t>
  </si>
  <si>
    <t>10, 17</t>
  </si>
  <si>
    <t>12, 13</t>
  </si>
  <si>
    <t>12, 14</t>
  </si>
  <si>
    <t>12, 15</t>
  </si>
  <si>
    <t>12, 16</t>
  </si>
  <si>
    <t>12, 17</t>
  </si>
  <si>
    <t>13, 14</t>
  </si>
  <si>
    <t>13, 15</t>
  </si>
  <si>
    <t>13, 16</t>
  </si>
  <si>
    <t>13, 17</t>
  </si>
  <si>
    <t>14, 15</t>
  </si>
  <si>
    <t>14, 16</t>
  </si>
  <si>
    <t>14, 17</t>
  </si>
  <si>
    <t>15, 16</t>
  </si>
  <si>
    <t>15, 17</t>
  </si>
  <si>
    <t>16, 17</t>
  </si>
  <si>
    <t>4, 5, 6</t>
  </si>
  <si>
    <t>4, 5, 9</t>
  </si>
  <si>
    <t>4, 5, 10</t>
  </si>
  <si>
    <t>4, 5, 12</t>
  </si>
  <si>
    <t>4, 5, 13</t>
  </si>
  <si>
    <t>4, 5, 14</t>
  </si>
  <si>
    <t>4, 5, 15</t>
  </si>
  <si>
    <t>4, 5, 16</t>
  </si>
  <si>
    <t>4, 5, 17</t>
  </si>
  <si>
    <t>4, 6, 9</t>
  </si>
  <si>
    <t>4, 6, 10</t>
  </si>
  <si>
    <t>4, 6, 12</t>
  </si>
  <si>
    <t>4, 6, 13</t>
  </si>
  <si>
    <t>4, 6, 14</t>
  </si>
  <si>
    <t>4, 6, 15</t>
  </si>
  <si>
    <t>4, 6, 16</t>
  </si>
  <si>
    <t>4, 6, 17</t>
  </si>
  <si>
    <t>4, 9, 10</t>
  </si>
  <si>
    <t>4, 9, 12</t>
  </si>
  <si>
    <t>4, 9, 13</t>
  </si>
  <si>
    <t>4, 9, 14</t>
  </si>
  <si>
    <t>4, 9, 15</t>
  </si>
  <si>
    <t>4, 9, 16</t>
  </si>
  <si>
    <t>4, 9, 17</t>
  </si>
  <si>
    <t>4, 10, 12</t>
  </si>
  <si>
    <t>4, 10, 13</t>
  </si>
  <si>
    <t>4, 10, 14</t>
  </si>
  <si>
    <t>4, 10, 15</t>
  </si>
  <si>
    <t>4, 10, 16</t>
  </si>
  <si>
    <t>4, 10, 17</t>
  </si>
  <si>
    <t>4, 12, 13</t>
  </si>
  <si>
    <t>4, 12, 14</t>
  </si>
  <si>
    <t>4, 12, 15</t>
  </si>
  <si>
    <t>4, 12, 16</t>
  </si>
  <si>
    <t>4, 12, 17</t>
  </si>
  <si>
    <t>4, 13, 14</t>
  </si>
  <si>
    <t>4, 13, 15</t>
  </si>
  <si>
    <t>4, 13, 16</t>
  </si>
  <si>
    <t>4, 13, 17</t>
  </si>
  <si>
    <t>4, 14, 15</t>
  </si>
  <si>
    <t>4, 14, 16</t>
  </si>
  <si>
    <t>4, 14, 17</t>
  </si>
  <si>
    <t>4, 15, 16</t>
  </si>
  <si>
    <t>4, 15, 17</t>
  </si>
  <si>
    <t>4, 16, 17</t>
  </si>
  <si>
    <t>5, 6, 9</t>
  </si>
  <si>
    <t>5, 6, 10</t>
  </si>
  <si>
    <t>5, 6, 12</t>
  </si>
  <si>
    <t>5, 6, 13</t>
  </si>
  <si>
    <t>5, 6, 14</t>
  </si>
  <si>
    <t>5, 6, 15</t>
  </si>
  <si>
    <t>5, 6, 16</t>
  </si>
  <si>
    <t>5, 6, 17</t>
  </si>
  <si>
    <t>5, 9, 10</t>
  </si>
  <si>
    <t>5, 9, 12</t>
  </si>
  <si>
    <t>5, 9, 13</t>
  </si>
  <si>
    <t>5, 9, 14</t>
  </si>
  <si>
    <t>5, 9, 15</t>
  </si>
  <si>
    <t>5, 9, 16</t>
  </si>
  <si>
    <t>5, 9, 17</t>
  </si>
  <si>
    <t>5, 10, 12</t>
  </si>
  <si>
    <t>5, 10, 13</t>
  </si>
  <si>
    <t>5, 10, 14</t>
  </si>
  <si>
    <t>5, 10, 15</t>
  </si>
  <si>
    <t>5, 10, 16</t>
  </si>
  <si>
    <t>5, 10, 17</t>
  </si>
  <si>
    <t>5, 12, 13</t>
  </si>
  <si>
    <t>5, 12, 14</t>
  </si>
  <si>
    <t>5, 12, 15</t>
  </si>
  <si>
    <t>5, 12, 16</t>
  </si>
  <si>
    <t>5, 12, 17</t>
  </si>
  <si>
    <t>5, 13, 14</t>
  </si>
  <si>
    <t>5, 13, 15</t>
  </si>
  <si>
    <t>5, 13, 16</t>
  </si>
  <si>
    <t>5, 13, 17</t>
  </si>
  <si>
    <t>5, 14, 15</t>
  </si>
  <si>
    <t>5, 14, 16</t>
  </si>
  <si>
    <t>5, 14, 17</t>
  </si>
  <si>
    <t>5, 15, 16</t>
  </si>
  <si>
    <t>5, 15, 17</t>
  </si>
  <si>
    <t>5, 16, 17</t>
  </si>
  <si>
    <t>6, 9, 10</t>
  </si>
  <si>
    <t>6, 9, 12</t>
  </si>
  <si>
    <t>6, 9, 13</t>
  </si>
  <si>
    <t>6, 9, 14</t>
  </si>
  <si>
    <t>6, 9, 15</t>
  </si>
  <si>
    <t>6, 9, 16</t>
  </si>
  <si>
    <t>6, 9, 17</t>
  </si>
  <si>
    <t>6, 10, 12</t>
  </si>
  <si>
    <t>6, 10, 13</t>
  </si>
  <si>
    <t>6, 10, 14</t>
  </si>
  <si>
    <t>6, 10, 15</t>
  </si>
  <si>
    <t>6, 10, 16</t>
  </si>
  <si>
    <t>6, 10, 17</t>
  </si>
  <si>
    <t>6, 12, 13</t>
  </si>
  <si>
    <t>6, 12, 14</t>
  </si>
  <si>
    <t>6, 12, 15</t>
  </si>
  <si>
    <t>6, 12, 16</t>
  </si>
  <si>
    <t>6, 12, 17</t>
  </si>
  <si>
    <t>6, 13, 14</t>
  </si>
  <si>
    <t>6, 13, 15</t>
  </si>
  <si>
    <t>6, 13, 16</t>
  </si>
  <si>
    <t>6, 13, 17</t>
  </si>
  <si>
    <t>6, 14, 15</t>
  </si>
  <si>
    <t>6, 14, 16</t>
  </si>
  <si>
    <t>6, 14, 17</t>
  </si>
  <si>
    <t>6, 15, 16</t>
  </si>
  <si>
    <t>6, 15, 17</t>
  </si>
  <si>
    <t>6, 16, 17</t>
  </si>
  <si>
    <t>9, 10, 12</t>
  </si>
  <si>
    <t>9, 10, 13</t>
  </si>
  <si>
    <t>9, 10, 14</t>
  </si>
  <si>
    <t>9, 10, 15</t>
  </si>
  <si>
    <t>9, 10, 16</t>
  </si>
  <si>
    <t>9, 10, 17</t>
  </si>
  <si>
    <t>9, 12, 13</t>
  </si>
  <si>
    <t>9, 12, 14</t>
  </si>
  <si>
    <t>9, 12, 15</t>
  </si>
  <si>
    <t>9, 12, 16</t>
  </si>
  <si>
    <t>9, 12, 17</t>
  </si>
  <si>
    <t>9, 13, 14</t>
  </si>
  <si>
    <t>9, 13, 15</t>
  </si>
  <si>
    <t>9, 13, 16</t>
  </si>
  <si>
    <t>9, 13, 17</t>
  </si>
  <si>
    <t>9, 14, 15</t>
  </si>
  <si>
    <t>9, 14, 16</t>
  </si>
  <si>
    <t>9, 14, 17</t>
  </si>
  <si>
    <t>9, 15, 16</t>
  </si>
  <si>
    <t>9, 15, 17</t>
  </si>
  <si>
    <t>9, 16, 17</t>
  </si>
  <si>
    <t>10, 12, 13</t>
  </si>
  <si>
    <t>10, 12, 14</t>
  </si>
  <si>
    <t>10, 12, 15</t>
  </si>
  <si>
    <t>10, 12, 16</t>
  </si>
  <si>
    <t>10, 12, 17</t>
  </si>
  <si>
    <t>10, 13, 14</t>
  </si>
  <si>
    <t>10, 13, 15</t>
  </si>
  <si>
    <t>10, 13, 16</t>
  </si>
  <si>
    <t>10, 13, 17</t>
  </si>
  <si>
    <t>10, 14, 15</t>
  </si>
  <si>
    <t>10, 14, 16</t>
  </si>
  <si>
    <t>10, 14, 17</t>
  </si>
  <si>
    <t>10, 15, 16</t>
  </si>
  <si>
    <t>10, 15, 17</t>
  </si>
  <si>
    <t>10, 16, 17</t>
  </si>
  <si>
    <t>12, 13, 14</t>
  </si>
  <si>
    <t>12, 13, 15</t>
  </si>
  <si>
    <t>12, 13, 16</t>
  </si>
  <si>
    <t>12, 13, 17</t>
  </si>
  <si>
    <t>12, 14, 15</t>
  </si>
  <si>
    <t>12, 14, 16</t>
  </si>
  <si>
    <t>12, 14, 17</t>
  </si>
  <si>
    <t>12, 15, 16</t>
  </si>
  <si>
    <t>12, 15, 17</t>
  </si>
  <si>
    <t>12, 16, 17</t>
  </si>
  <si>
    <t>13, 14, 15</t>
  </si>
  <si>
    <t>13, 14, 16</t>
  </si>
  <si>
    <t>13, 14, 17</t>
  </si>
  <si>
    <t>13, 15, 16</t>
  </si>
  <si>
    <t>13, 15, 17</t>
  </si>
  <si>
    <t>13, 16, 17</t>
  </si>
  <si>
    <t>14, 15, 16</t>
  </si>
  <si>
    <t>14, 15, 17</t>
  </si>
  <si>
    <t>14, 16, 17</t>
  </si>
  <si>
    <t>15, 16, 17</t>
  </si>
  <si>
    <t>4, 5, 6, 9</t>
  </si>
  <si>
    <t>4, 5, 6, 10</t>
  </si>
  <si>
    <t>4, 5, 6, 12</t>
  </si>
  <si>
    <t>4, 5, 6, 13</t>
  </si>
  <si>
    <t>4, 5, 6, 14</t>
  </si>
  <si>
    <t>4, 5, 6, 15</t>
  </si>
  <si>
    <t>4, 5, 6, 16</t>
  </si>
  <si>
    <t>4, 5, 6, 17</t>
  </si>
  <si>
    <t>4, 5, 9, 10</t>
  </si>
  <si>
    <t>4, 5, 9, 12</t>
  </si>
  <si>
    <t>4, 5, 9, 13</t>
  </si>
  <si>
    <t>4, 5, 9, 14</t>
  </si>
  <si>
    <t>4, 5, 9, 15</t>
  </si>
  <si>
    <t>4, 5, 9, 16</t>
  </si>
  <si>
    <t>4, 5, 9, 17</t>
  </si>
  <si>
    <t>4, 5, 10, 12</t>
  </si>
  <si>
    <t>4, 5, 10, 13</t>
  </si>
  <si>
    <t>4, 5, 10, 14</t>
  </si>
  <si>
    <t>4, 5, 10, 15</t>
  </si>
  <si>
    <t>4, 5, 10, 16</t>
  </si>
  <si>
    <t>4, 5, 10, 17</t>
  </si>
  <si>
    <t>4, 5, 12, 13</t>
  </si>
  <si>
    <t>4, 5, 12, 14</t>
  </si>
  <si>
    <t>4, 5, 12, 15</t>
  </si>
  <si>
    <t>4, 5, 12, 16</t>
  </si>
  <si>
    <t>4, 5, 12, 17</t>
  </si>
  <si>
    <t>4, 5, 13, 14</t>
  </si>
  <si>
    <t>4, 5, 13, 15</t>
  </si>
  <si>
    <t>4, 5, 13, 16</t>
  </si>
  <si>
    <t>4, 5, 13, 17</t>
  </si>
  <si>
    <t>4, 5, 14, 15</t>
  </si>
  <si>
    <t>4, 5, 14, 16</t>
  </si>
  <si>
    <t>4, 5, 14, 17</t>
  </si>
  <si>
    <t>4, 5, 15, 16</t>
  </si>
  <si>
    <t>4, 5, 15, 17</t>
  </si>
  <si>
    <t>4, 5, 16, 17</t>
  </si>
  <si>
    <t>4, 6, 9, 10</t>
  </si>
  <si>
    <t>4, 6, 9, 12</t>
  </si>
  <si>
    <t>4, 6, 9, 13</t>
  </si>
  <si>
    <t>4, 6, 9, 14</t>
  </si>
  <si>
    <t>4, 6, 9, 15</t>
  </si>
  <si>
    <t>4, 6, 9, 16</t>
  </si>
  <si>
    <t>4, 6, 9, 17</t>
  </si>
  <si>
    <t>4, 6, 10, 12</t>
  </si>
  <si>
    <t>4, 6, 10, 13</t>
  </si>
  <si>
    <t>4, 6, 10, 14</t>
  </si>
  <si>
    <t>4, 6, 10, 15</t>
  </si>
  <si>
    <t>4, 6, 10, 16</t>
  </si>
  <si>
    <t>4, 6, 10, 17</t>
  </si>
  <si>
    <t>4, 6, 12, 13</t>
  </si>
  <si>
    <t>4, 6, 12, 14</t>
  </si>
  <si>
    <t>4, 6, 12, 15</t>
  </si>
  <si>
    <t>4, 6, 12, 16</t>
  </si>
  <si>
    <t>4, 6, 12, 17</t>
  </si>
  <si>
    <t>4, 6, 13, 14</t>
  </si>
  <si>
    <t>4, 6, 13, 15</t>
  </si>
  <si>
    <t>4, 6, 13, 16</t>
  </si>
  <si>
    <t>4, 6, 13, 17</t>
  </si>
  <si>
    <t>4, 6, 14, 15</t>
  </si>
  <si>
    <t>4, 6, 14, 16</t>
  </si>
  <si>
    <t>4, 6, 14, 17</t>
  </si>
  <si>
    <t>4, 6, 15, 16</t>
  </si>
  <si>
    <t>4, 6, 15, 17</t>
  </si>
  <si>
    <t>4, 6, 16, 17</t>
  </si>
  <si>
    <t>4, 9, 10, 12</t>
  </si>
  <si>
    <t>4, 9, 10, 13</t>
  </si>
  <si>
    <t>4, 9, 10, 14</t>
  </si>
  <si>
    <t>4, 9, 10, 15</t>
  </si>
  <si>
    <t>4, 9, 10, 16</t>
  </si>
  <si>
    <t>4, 9, 10, 17</t>
  </si>
  <si>
    <t>4, 9, 12, 13</t>
  </si>
  <si>
    <t>4, 9, 12, 14</t>
  </si>
  <si>
    <t>4, 9, 12, 15</t>
  </si>
  <si>
    <t>4, 9, 12, 16</t>
  </si>
  <si>
    <t>4, 9, 12, 17</t>
  </si>
  <si>
    <t>4, 9, 13, 14</t>
  </si>
  <si>
    <t>4, 9, 13, 15</t>
  </si>
  <si>
    <t>4, 9, 13, 16</t>
  </si>
  <si>
    <t>4, 9, 13, 17</t>
  </si>
  <si>
    <t>4, 9, 14, 15</t>
  </si>
  <si>
    <t>4, 9, 14, 16</t>
  </si>
  <si>
    <t>4, 9, 14, 17</t>
  </si>
  <si>
    <t>4, 9, 15, 16</t>
  </si>
  <si>
    <t>4, 9, 15, 17</t>
  </si>
  <si>
    <t>4, 9, 16, 17</t>
  </si>
  <si>
    <t>4, 10, 12, 13</t>
  </si>
  <si>
    <t>4, 10, 12, 14</t>
  </si>
  <si>
    <t>4, 10, 12, 15</t>
  </si>
  <si>
    <t>4, 10, 12, 16</t>
  </si>
  <si>
    <t>4, 10, 12, 17</t>
  </si>
  <si>
    <t>4, 10, 13, 14</t>
  </si>
  <si>
    <t>4, 10, 13, 15</t>
  </si>
  <si>
    <t>4, 10, 13, 16</t>
  </si>
  <si>
    <t>4, 10, 13, 17</t>
  </si>
  <si>
    <t>4, 10, 14, 15</t>
  </si>
  <si>
    <t>4, 10, 14, 16</t>
  </si>
  <si>
    <t>4, 10, 14, 17</t>
  </si>
  <si>
    <t>4, 10, 15, 16</t>
  </si>
  <si>
    <t>4, 10, 15, 17</t>
  </si>
  <si>
    <t>4, 10, 16, 17</t>
  </si>
  <si>
    <t>4, 12, 13, 14</t>
  </si>
  <si>
    <t>4, 12, 13, 15</t>
  </si>
  <si>
    <t>4, 12, 13, 16</t>
  </si>
  <si>
    <t>4, 12, 13, 17</t>
  </si>
  <si>
    <t>4, 12, 14, 15</t>
  </si>
  <si>
    <t>4, 12, 14, 16</t>
  </si>
  <si>
    <t>4, 12, 14, 17</t>
  </si>
  <si>
    <t>4, 12, 15, 16</t>
  </si>
  <si>
    <t>4, 12, 15, 17</t>
  </si>
  <si>
    <t>4, 12, 16, 17</t>
  </si>
  <si>
    <t>4, 13, 14, 15</t>
  </si>
  <si>
    <t>4, 13, 14, 16</t>
  </si>
  <si>
    <t>4, 13, 14, 17</t>
  </si>
  <si>
    <t>4, 13, 15, 16</t>
  </si>
  <si>
    <t>4, 13, 15, 17</t>
  </si>
  <si>
    <t>4, 13, 16, 17</t>
  </si>
  <si>
    <t>4, 14, 15, 16</t>
  </si>
  <si>
    <t>4, 14, 15, 17</t>
  </si>
  <si>
    <t>4, 14, 16, 17</t>
  </si>
  <si>
    <t>4, 15, 16, 17</t>
  </si>
  <si>
    <t>5, 6, 9, 10</t>
  </si>
  <si>
    <t>5, 6, 9, 12</t>
  </si>
  <si>
    <t>5, 6, 9, 13</t>
  </si>
  <si>
    <t>5, 6, 9, 14</t>
  </si>
  <si>
    <t>5, 6, 9, 15</t>
  </si>
  <si>
    <t>5, 6, 9, 16</t>
  </si>
  <si>
    <t>5, 6, 9, 17</t>
  </si>
  <si>
    <t>5, 6, 10, 12</t>
  </si>
  <si>
    <t>5, 6, 10, 13</t>
  </si>
  <si>
    <t>5, 6, 10, 14</t>
  </si>
  <si>
    <t>5, 6, 10, 15</t>
  </si>
  <si>
    <t>5, 6, 10, 16</t>
  </si>
  <si>
    <t>5, 6, 10, 17</t>
  </si>
  <si>
    <t>5, 6, 12, 13</t>
  </si>
  <si>
    <t>5, 6, 12, 14</t>
  </si>
  <si>
    <t>5, 6, 12, 15</t>
  </si>
  <si>
    <t>5, 6, 12, 16</t>
  </si>
  <si>
    <t>5, 6, 12, 17</t>
  </si>
  <si>
    <t>5, 6, 13, 14</t>
  </si>
  <si>
    <t>5, 6, 13, 15</t>
  </si>
  <si>
    <t>5, 6, 13, 16</t>
  </si>
  <si>
    <t>5, 6, 13, 17</t>
  </si>
  <si>
    <t>5, 6, 14, 15</t>
  </si>
  <si>
    <t>5, 6, 14, 16</t>
  </si>
  <si>
    <t>5, 6, 14, 17</t>
  </si>
  <si>
    <t>5, 6, 15, 16</t>
  </si>
  <si>
    <t>5, 6, 15, 17</t>
  </si>
  <si>
    <t>5, 6, 16, 17</t>
  </si>
  <si>
    <t>5, 9, 10, 12</t>
  </si>
  <si>
    <t>5, 9, 10, 13</t>
  </si>
  <si>
    <t>5, 9, 10, 14</t>
  </si>
  <si>
    <t>5, 9, 10, 15</t>
  </si>
  <si>
    <t>5, 9, 10, 16</t>
  </si>
  <si>
    <t>5, 9, 10, 17</t>
  </si>
  <si>
    <t>5, 9, 12, 13</t>
  </si>
  <si>
    <t>5, 9, 12, 14</t>
  </si>
  <si>
    <t>5, 9, 12, 15</t>
  </si>
  <si>
    <t>5, 9, 12, 16</t>
  </si>
  <si>
    <t>5, 9, 12, 17</t>
  </si>
  <si>
    <t>5, 9, 13, 14</t>
  </si>
  <si>
    <t>5, 9, 13, 15</t>
  </si>
  <si>
    <t>5, 9, 13, 16</t>
  </si>
  <si>
    <t>5, 9, 13, 17</t>
  </si>
  <si>
    <t>5, 9, 14, 15</t>
  </si>
  <si>
    <t>5, 9, 14, 16</t>
  </si>
  <si>
    <t>5, 9, 14, 17</t>
  </si>
  <si>
    <t>5, 9, 15, 16</t>
  </si>
  <si>
    <t>5, 9, 15, 17</t>
  </si>
  <si>
    <t>5, 9, 16, 17</t>
  </si>
  <si>
    <t>5, 10, 12, 13</t>
  </si>
  <si>
    <t>5, 10, 12, 14</t>
  </si>
  <si>
    <t>5, 10, 12, 15</t>
  </si>
  <si>
    <t>5, 10, 12, 16</t>
  </si>
  <si>
    <t>5, 10, 12, 17</t>
  </si>
  <si>
    <t>5, 10, 13, 14</t>
  </si>
  <si>
    <t>5, 10, 13, 15</t>
  </si>
  <si>
    <t>5, 10, 13, 16</t>
  </si>
  <si>
    <t>5, 10, 13, 17</t>
  </si>
  <si>
    <t>5, 10, 14, 15</t>
  </si>
  <si>
    <t>5, 10, 14, 16</t>
  </si>
  <si>
    <t>5, 10, 14, 17</t>
  </si>
  <si>
    <t>5, 10, 15, 16</t>
  </si>
  <si>
    <t>5, 10, 15, 17</t>
  </si>
  <si>
    <t>5, 10, 16, 17</t>
  </si>
  <si>
    <t>5, 12, 13, 14</t>
  </si>
  <si>
    <t>5, 12, 13, 15</t>
  </si>
  <si>
    <t>5, 12, 13, 16</t>
  </si>
  <si>
    <t>5, 12, 13, 17</t>
  </si>
  <si>
    <t>5, 12, 14, 15</t>
  </si>
  <si>
    <t>5, 12, 14, 16</t>
  </si>
  <si>
    <t>5, 12, 14, 17</t>
  </si>
  <si>
    <t>5, 12, 15, 16</t>
  </si>
  <si>
    <t>5, 12, 15, 17</t>
  </si>
  <si>
    <t>5, 12, 16, 17</t>
  </si>
  <si>
    <t>5, 13, 14, 15</t>
  </si>
  <si>
    <t>5, 13, 14, 16</t>
  </si>
  <si>
    <t>5, 13, 14, 17</t>
  </si>
  <si>
    <t>5, 13, 15, 16</t>
  </si>
  <si>
    <t>5, 13, 15, 17</t>
  </si>
  <si>
    <t>5, 13, 16, 17</t>
  </si>
  <si>
    <t>5, 14, 15, 16</t>
  </si>
  <si>
    <t>5, 14, 15, 17</t>
  </si>
  <si>
    <t>5, 14, 16, 17</t>
  </si>
  <si>
    <t>5, 15, 16, 17</t>
  </si>
  <si>
    <t>6, 9, 10, 12</t>
  </si>
  <si>
    <t>6, 9, 10, 13</t>
  </si>
  <si>
    <t>6, 9, 10, 14</t>
  </si>
  <si>
    <t>6, 9, 10, 15</t>
  </si>
  <si>
    <t>6, 9, 10, 16</t>
  </si>
  <si>
    <t>6, 9, 10, 17</t>
  </si>
  <si>
    <t>6, 9, 12, 13</t>
  </si>
  <si>
    <t>6, 9, 12, 14</t>
  </si>
  <si>
    <t>6, 9, 12, 15</t>
  </si>
  <si>
    <t>6, 9, 12, 16</t>
  </si>
  <si>
    <t>6, 9, 12, 17</t>
  </si>
  <si>
    <t>6, 9, 13, 14</t>
  </si>
  <si>
    <t>6, 9, 13, 15</t>
  </si>
  <si>
    <t>6, 9, 13, 16</t>
  </si>
  <si>
    <t>6, 9, 13, 17</t>
  </si>
  <si>
    <t>6, 9, 14, 15</t>
  </si>
  <si>
    <t>6, 9, 14, 16</t>
  </si>
  <si>
    <t>6, 9, 14, 17</t>
  </si>
  <si>
    <t>6, 9, 15, 16</t>
  </si>
  <si>
    <t>6, 9, 15, 17</t>
  </si>
  <si>
    <t>6, 9, 16, 17</t>
  </si>
  <si>
    <t>6, 10, 12, 13</t>
  </si>
  <si>
    <t>6, 10, 12, 14</t>
  </si>
  <si>
    <t>6, 10, 12, 15</t>
  </si>
  <si>
    <t>6, 10, 12, 16</t>
  </si>
  <si>
    <t>6, 10, 12, 17</t>
  </si>
  <si>
    <t>6, 10, 13, 14</t>
  </si>
  <si>
    <t>6, 10, 13, 15</t>
  </si>
  <si>
    <t>6, 10, 13, 16</t>
  </si>
  <si>
    <t>6, 10, 13, 17</t>
  </si>
  <si>
    <t>6, 10, 14, 15</t>
  </si>
  <si>
    <t>6, 10, 14, 16</t>
  </si>
  <si>
    <t>6, 10, 14, 17</t>
  </si>
  <si>
    <t>6, 10, 15, 16</t>
  </si>
  <si>
    <t>6, 10, 15, 17</t>
  </si>
  <si>
    <t>6, 10, 16, 17</t>
  </si>
  <si>
    <t>6, 12, 13, 14</t>
  </si>
  <si>
    <t>6, 12, 13, 15</t>
  </si>
  <si>
    <t>6, 12, 13, 16</t>
  </si>
  <si>
    <t>6, 12, 13, 17</t>
  </si>
  <si>
    <t>6, 12, 14, 15</t>
  </si>
  <si>
    <t>6, 12, 14, 16</t>
  </si>
  <si>
    <t>6, 12, 14, 17</t>
  </si>
  <si>
    <t>6, 12, 15, 16</t>
  </si>
  <si>
    <t>6, 12, 15, 17</t>
  </si>
  <si>
    <t>6, 12, 16, 17</t>
  </si>
  <si>
    <t>6, 13, 14, 15</t>
  </si>
  <si>
    <t>6, 13, 14, 16</t>
  </si>
  <si>
    <t>6, 13, 14, 17</t>
  </si>
  <si>
    <t>6, 13, 15, 16</t>
  </si>
  <si>
    <t>6, 13, 15, 17</t>
  </si>
  <si>
    <t>6, 13, 16, 17</t>
  </si>
  <si>
    <t>6, 14, 15, 16</t>
  </si>
  <si>
    <t>6, 14, 15, 17</t>
  </si>
  <si>
    <t>6, 14, 16, 17</t>
  </si>
  <si>
    <t>6, 15, 16, 17</t>
  </si>
  <si>
    <t>9, 10, 12, 13</t>
  </si>
  <si>
    <t>9, 10, 12, 14</t>
  </si>
  <si>
    <t>9, 10, 12, 15</t>
  </si>
  <si>
    <t>9, 10, 12, 16</t>
  </si>
  <si>
    <t>9, 10, 12, 17</t>
  </si>
  <si>
    <t>9, 10, 13, 14</t>
  </si>
  <si>
    <t>9, 10, 13, 15</t>
  </si>
  <si>
    <t>9, 10, 13, 16</t>
  </si>
  <si>
    <t>9, 10, 13, 17</t>
  </si>
  <si>
    <t>9, 10, 14, 15</t>
  </si>
  <si>
    <t>9, 10, 14, 16</t>
  </si>
  <si>
    <t>9, 10, 14, 17</t>
  </si>
  <si>
    <t>9, 10, 15, 16</t>
  </si>
  <si>
    <t>9, 10, 15, 17</t>
  </si>
  <si>
    <t>9, 10, 16, 17</t>
  </si>
  <si>
    <t>9, 12, 13, 14</t>
  </si>
  <si>
    <t>9, 12, 13, 15</t>
  </si>
  <si>
    <t>9, 12, 13, 16</t>
  </si>
  <si>
    <t>9, 12, 13, 17</t>
  </si>
  <si>
    <t>9, 12, 14, 15</t>
  </si>
  <si>
    <t>9, 12, 14, 16</t>
  </si>
  <si>
    <t>9, 12, 14, 17</t>
  </si>
  <si>
    <t>9, 12, 15, 16</t>
  </si>
  <si>
    <t>9, 12, 15, 17</t>
  </si>
  <si>
    <t>9, 12, 16, 17</t>
  </si>
  <si>
    <t>9, 13, 14, 15</t>
  </si>
  <si>
    <t>9, 13, 14, 16</t>
  </si>
  <si>
    <t>9, 13, 14, 17</t>
  </si>
  <si>
    <t>9, 13, 15, 16</t>
  </si>
  <si>
    <t>9, 13, 15, 17</t>
  </si>
  <si>
    <t>9, 13, 16, 17</t>
  </si>
  <si>
    <t>9, 14, 15, 16</t>
  </si>
  <si>
    <t>9, 14, 15, 17</t>
  </si>
  <si>
    <t>9, 14, 16, 17</t>
  </si>
  <si>
    <t>9, 15, 16, 17</t>
  </si>
  <si>
    <t>10, 12, 13, 14</t>
  </si>
  <si>
    <t>10, 12, 13, 15</t>
  </si>
  <si>
    <t>10, 12, 13, 16</t>
  </si>
  <si>
    <t>10, 12, 13, 17</t>
  </si>
  <si>
    <t>10, 12, 14, 15</t>
  </si>
  <si>
    <t>10, 12, 14, 16</t>
  </si>
  <si>
    <t>10, 12, 14, 17</t>
  </si>
  <si>
    <t>10, 12, 15, 16</t>
  </si>
  <si>
    <t>10, 12, 15, 17</t>
  </si>
  <si>
    <t>10, 12, 16, 17</t>
  </si>
  <si>
    <t>10, 13, 14, 15</t>
  </si>
  <si>
    <t>10, 13, 14, 16</t>
  </si>
  <si>
    <t>10, 13, 14, 17</t>
  </si>
  <si>
    <t>10, 13, 15, 16</t>
  </si>
  <si>
    <t>10, 13, 15, 17</t>
  </si>
  <si>
    <t>10, 13, 16, 17</t>
  </si>
  <si>
    <t>10, 14, 15, 16</t>
  </si>
  <si>
    <t>10, 14, 15, 17</t>
  </si>
  <si>
    <t>10, 14, 16, 17</t>
  </si>
  <si>
    <t>10, 15, 16, 17</t>
  </si>
  <si>
    <t>12, 13, 14, 15</t>
  </si>
  <si>
    <t>12, 13, 14, 16</t>
  </si>
  <si>
    <t>12, 13, 14, 17</t>
  </si>
  <si>
    <t>12, 13, 15, 16</t>
  </si>
  <si>
    <t>12, 13, 15, 17</t>
  </si>
  <si>
    <t>12, 13, 16, 17</t>
  </si>
  <si>
    <t>12, 14, 15, 16</t>
  </si>
  <si>
    <t>12, 14, 15, 17</t>
  </si>
  <si>
    <t>12, 14, 16, 17</t>
  </si>
  <si>
    <t>12, 15, 16, 17</t>
  </si>
  <si>
    <t>13, 14, 15, 16</t>
  </si>
  <si>
    <t>13, 14, 15, 17</t>
  </si>
  <si>
    <t>13, 14, 16, 17</t>
  </si>
  <si>
    <t>13, 15, 16, 17</t>
  </si>
  <si>
    <t>14, 15, 16, 17</t>
  </si>
  <si>
    <t>4, 5, 6, 9, 10</t>
  </si>
  <si>
    <t>4, 5, 6, 9, 12</t>
  </si>
  <si>
    <t>4, 5, 6, 9, 13</t>
  </si>
  <si>
    <t>4, 5, 6, 9, 14</t>
  </si>
  <si>
    <t>4, 5, 6, 9, 15</t>
  </si>
  <si>
    <t>4, 5, 6, 9, 16</t>
  </si>
  <si>
    <t>4, 5, 6, 9, 17</t>
  </si>
  <si>
    <t>4, 5, 6, 10, 12</t>
  </si>
  <si>
    <t>4, 5, 6, 10, 13</t>
  </si>
  <si>
    <t>4, 5, 6, 10, 14</t>
  </si>
  <si>
    <t>4, 5, 6, 10, 15</t>
  </si>
  <si>
    <t>4, 5, 6, 10, 16</t>
  </si>
  <si>
    <t>4, 5, 6, 10, 17</t>
  </si>
  <si>
    <t>4, 5, 6, 12, 13</t>
  </si>
  <si>
    <t>4, 5, 6, 12, 14</t>
  </si>
  <si>
    <t>4, 5, 6, 12, 15</t>
  </si>
  <si>
    <t>4, 5, 6, 12, 16</t>
  </si>
  <si>
    <t>4, 5, 6, 12, 17</t>
  </si>
  <si>
    <t>4, 5, 6, 13, 14</t>
  </si>
  <si>
    <t>4, 5, 6, 13, 15</t>
  </si>
  <si>
    <t>4, 5, 6, 13, 16</t>
  </si>
  <si>
    <t>4, 5, 6, 13, 17</t>
  </si>
  <si>
    <t>4, 5, 6, 14, 15</t>
  </si>
  <si>
    <t>4, 5, 6, 14, 16</t>
  </si>
  <si>
    <t>4, 5, 6, 14, 17</t>
  </si>
  <si>
    <t>4, 5, 6, 15, 16</t>
  </si>
  <si>
    <t>4, 5, 6, 15, 17</t>
  </si>
  <si>
    <t>4, 5, 6, 16, 17</t>
  </si>
  <si>
    <t>4, 5, 9, 10, 12</t>
  </si>
  <si>
    <t>4, 5, 9, 10, 13</t>
  </si>
  <si>
    <t>4, 5, 9, 10, 14</t>
  </si>
  <si>
    <t>4, 5, 9, 10, 15</t>
  </si>
  <si>
    <t>4, 5, 9, 10, 16</t>
  </si>
  <si>
    <t>4, 5, 9, 10, 17</t>
  </si>
  <si>
    <t>4, 5, 9, 12, 13</t>
  </si>
  <si>
    <t>4, 5, 9, 12, 14</t>
  </si>
  <si>
    <t>4, 5, 9, 12, 15</t>
  </si>
  <si>
    <t>4, 5, 9, 12, 16</t>
  </si>
  <si>
    <t>4, 5, 9, 12, 17</t>
  </si>
  <si>
    <t>4, 5, 9, 13, 14</t>
  </si>
  <si>
    <t>4, 5, 9, 13, 15</t>
  </si>
  <si>
    <t>4, 5, 9, 13, 16</t>
  </si>
  <si>
    <t>4, 5, 9, 13, 17</t>
  </si>
  <si>
    <t>4, 5, 9, 14, 15</t>
  </si>
  <si>
    <t>4, 5, 9, 14, 16</t>
  </si>
  <si>
    <t>4, 5, 9, 14, 17</t>
  </si>
  <si>
    <t>4, 5, 9, 15, 16</t>
  </si>
  <si>
    <t>4, 5, 9, 15, 17</t>
  </si>
  <si>
    <t>4, 5, 9, 16, 17</t>
  </si>
  <si>
    <t>4, 5, 10, 12, 13</t>
  </si>
  <si>
    <t>4, 5, 10, 12, 14</t>
  </si>
  <si>
    <t>4, 5, 10, 12, 15</t>
  </si>
  <si>
    <t>4, 5, 10, 12, 16</t>
  </si>
  <si>
    <t>4, 5, 10, 12, 17</t>
  </si>
  <si>
    <t>4, 5, 10, 13, 14</t>
  </si>
  <si>
    <t>4, 5, 10, 13, 15</t>
  </si>
  <si>
    <t>4, 5, 10, 13, 16</t>
  </si>
  <si>
    <t>4, 5, 10, 13, 17</t>
  </si>
  <si>
    <t>4, 5, 10, 14, 15</t>
  </si>
  <si>
    <t>4, 5, 10, 14, 16</t>
  </si>
  <si>
    <t>4, 5, 10, 14, 17</t>
  </si>
  <si>
    <t>4, 5, 10, 15, 16</t>
  </si>
  <si>
    <t>4, 5, 10, 15, 17</t>
  </si>
  <si>
    <t>4, 5, 10, 16, 17</t>
  </si>
  <si>
    <t>4, 5, 12, 13, 14</t>
  </si>
  <si>
    <t>4, 5, 12, 13, 15</t>
  </si>
  <si>
    <t>4, 5, 12, 13, 16</t>
  </si>
  <si>
    <t>4, 5, 12, 13, 17</t>
  </si>
  <si>
    <t>4, 5, 12, 14, 15</t>
  </si>
  <si>
    <t>4, 5, 12, 14, 16</t>
  </si>
  <si>
    <t>4, 5, 12, 14, 17</t>
  </si>
  <si>
    <t>4, 5, 12, 15, 16</t>
  </si>
  <si>
    <t>4, 5, 12, 15, 17</t>
  </si>
  <si>
    <t>4, 5, 12, 16, 17</t>
  </si>
  <si>
    <t>4, 5, 13, 14, 15</t>
  </si>
  <si>
    <t>4, 5, 13, 14, 16</t>
  </si>
  <si>
    <t>4, 5, 13, 14, 17</t>
  </si>
  <si>
    <t>4, 5, 13, 15, 16</t>
  </si>
  <si>
    <t>4, 5, 13, 15, 17</t>
  </si>
  <si>
    <t>4, 5, 13, 16, 17</t>
  </si>
  <si>
    <t>4, 5, 14, 15, 16</t>
  </si>
  <si>
    <t>4, 5, 14, 15, 17</t>
  </si>
  <si>
    <t>4, 5, 14, 16, 17</t>
  </si>
  <si>
    <t>4, 5, 15, 16, 17</t>
  </si>
  <si>
    <t>4, 6, 9, 10, 12</t>
  </si>
  <si>
    <t>4, 6, 9, 10, 13</t>
  </si>
  <si>
    <t>4, 6, 9, 10, 14</t>
  </si>
  <si>
    <t>4, 6, 9, 10, 15</t>
  </si>
  <si>
    <t>4, 6, 9, 10, 16</t>
  </si>
  <si>
    <t>4, 6, 9, 10, 17</t>
  </si>
  <si>
    <t>4, 6, 9, 12, 13</t>
  </si>
  <si>
    <t>4, 6, 9, 12, 14</t>
  </si>
  <si>
    <t>4, 6, 9, 12, 15</t>
  </si>
  <si>
    <t>4, 6, 9, 12, 16</t>
  </si>
  <si>
    <t>4, 6, 9, 12, 17</t>
  </si>
  <si>
    <t>4, 6, 9, 13, 14</t>
  </si>
  <si>
    <t>4, 6, 9, 13, 15</t>
  </si>
  <si>
    <t>4, 6, 9, 13, 16</t>
  </si>
  <si>
    <t>4, 6, 9, 13, 17</t>
  </si>
  <si>
    <t>4, 6, 9, 14, 15</t>
  </si>
  <si>
    <t>4, 6, 9, 14, 16</t>
  </si>
  <si>
    <t>4, 6, 9, 14, 17</t>
  </si>
  <si>
    <t>4, 6, 9, 15, 16</t>
  </si>
  <si>
    <t>4, 6, 9, 15, 17</t>
  </si>
  <si>
    <t>4, 6, 9, 16, 17</t>
  </si>
  <si>
    <t>4, 6, 10, 12, 13</t>
  </si>
  <si>
    <t>4, 6, 10, 12, 14</t>
  </si>
  <si>
    <t>4, 6, 10, 12, 15</t>
  </si>
  <si>
    <t>4, 6, 10, 12, 16</t>
  </si>
  <si>
    <t>4, 6, 10, 12, 17</t>
  </si>
  <si>
    <t>4, 6, 10, 13, 14</t>
  </si>
  <si>
    <t>4, 6, 10, 13, 15</t>
  </si>
  <si>
    <t>4, 6, 10, 13, 16</t>
  </si>
  <si>
    <t>4, 6, 10, 13, 17</t>
  </si>
  <si>
    <t>4, 6, 10, 14, 15</t>
  </si>
  <si>
    <t>4, 6, 10, 14, 16</t>
  </si>
  <si>
    <t>4, 6, 10, 14, 17</t>
  </si>
  <si>
    <t>4, 6, 10, 15, 16</t>
  </si>
  <si>
    <t>4, 6, 10, 15, 17</t>
  </si>
  <si>
    <t>4, 6, 10, 16, 17</t>
  </si>
  <si>
    <t>4, 6, 12, 13, 14</t>
  </si>
  <si>
    <t>4, 6, 12, 13, 15</t>
  </si>
  <si>
    <t>4, 6, 12, 13, 16</t>
  </si>
  <si>
    <t>4, 6, 12, 13, 17</t>
  </si>
  <si>
    <t>4, 6, 12, 14, 15</t>
  </si>
  <si>
    <t>4, 6, 12, 14, 16</t>
  </si>
  <si>
    <t>4, 6, 12, 14, 17</t>
  </si>
  <si>
    <t>4, 6, 12, 15, 16</t>
  </si>
  <si>
    <t>4, 6, 12, 15, 17</t>
  </si>
  <si>
    <t>4, 6, 12, 16, 17</t>
  </si>
  <si>
    <t>4, 6, 13, 14, 15</t>
  </si>
  <si>
    <t>4, 6, 13, 14, 16</t>
  </si>
  <si>
    <t>4, 6, 13, 14, 17</t>
  </si>
  <si>
    <t>4, 6, 13, 15, 16</t>
  </si>
  <si>
    <t>4, 6, 13, 15, 17</t>
  </si>
  <si>
    <t>4, 6, 13, 16, 17</t>
  </si>
  <si>
    <t>4, 6, 14, 15, 16</t>
  </si>
  <si>
    <t>4, 6, 14, 15, 17</t>
  </si>
  <si>
    <t>4, 6, 14, 16, 17</t>
  </si>
  <si>
    <t>4, 6, 15, 16, 17</t>
  </si>
  <si>
    <t>4, 9, 10, 12, 13</t>
  </si>
  <si>
    <t>4, 9, 10, 12, 14</t>
  </si>
  <si>
    <t>4, 9, 10, 12, 15</t>
  </si>
  <si>
    <t>4, 9, 10, 12, 16</t>
  </si>
  <si>
    <t>4, 9, 10, 12, 17</t>
  </si>
  <si>
    <t>4, 9, 10, 13, 14</t>
  </si>
  <si>
    <t>4, 9, 10, 13, 15</t>
  </si>
  <si>
    <t>4, 9, 10, 13, 16</t>
  </si>
  <si>
    <t>4, 9, 10, 13, 17</t>
  </si>
  <si>
    <t>4, 9, 10, 14, 15</t>
  </si>
  <si>
    <t>4, 9, 10, 14, 16</t>
  </si>
  <si>
    <t>4, 9, 10, 14, 17</t>
  </si>
  <si>
    <t>4, 9, 10, 15, 16</t>
  </si>
  <si>
    <t>4, 9, 10, 15, 17</t>
  </si>
  <si>
    <t>4, 9, 10, 16, 17</t>
  </si>
  <si>
    <t>4, 9, 12, 13, 14</t>
  </si>
  <si>
    <t>4, 9, 12, 13, 15</t>
  </si>
  <si>
    <t>4, 9, 12, 13, 16</t>
  </si>
  <si>
    <t>4, 9, 12, 13, 17</t>
  </si>
  <si>
    <t>4, 9, 12, 14, 15</t>
  </si>
  <si>
    <t>4, 9, 12, 14, 16</t>
  </si>
  <si>
    <t>4, 9, 12, 14, 17</t>
  </si>
  <si>
    <t>4, 9, 12, 15, 16</t>
  </si>
  <si>
    <t>4, 9, 12, 15, 17</t>
  </si>
  <si>
    <t>4, 9, 12, 16, 17</t>
  </si>
  <si>
    <t>4, 9, 13, 14, 15</t>
  </si>
  <si>
    <t>4, 9, 13, 14, 16</t>
  </si>
  <si>
    <t>4, 9, 13, 14, 17</t>
  </si>
  <si>
    <t>4, 9, 13, 15, 16</t>
  </si>
  <si>
    <t>4, 9, 13, 15, 17</t>
  </si>
  <si>
    <t>4, 9, 13, 16, 17</t>
  </si>
  <si>
    <t>4, 9, 14, 15, 16</t>
  </si>
  <si>
    <t>4, 9, 14, 15, 17</t>
  </si>
  <si>
    <t>4, 9, 14, 16, 17</t>
  </si>
  <si>
    <t>4, 9, 15, 16, 17</t>
  </si>
  <si>
    <t>4, 10, 12, 13, 14</t>
  </si>
  <si>
    <t>4, 10, 12, 13, 15</t>
  </si>
  <si>
    <t>4, 10, 12, 13, 16</t>
  </si>
  <si>
    <t>4, 10, 12, 13, 17</t>
  </si>
  <si>
    <t>4, 10, 12, 14, 15</t>
  </si>
  <si>
    <t>4, 10, 12, 14, 16</t>
  </si>
  <si>
    <t>4, 10, 12, 14, 17</t>
  </si>
  <si>
    <t>4, 10, 12, 15, 16</t>
  </si>
  <si>
    <t>4, 10, 12, 15, 17</t>
  </si>
  <si>
    <t>4, 10, 12, 16, 17</t>
  </si>
  <si>
    <t>4, 10, 13, 14, 15</t>
  </si>
  <si>
    <t>4, 10, 13, 14, 16</t>
  </si>
  <si>
    <t>4, 10, 13, 14, 17</t>
  </si>
  <si>
    <t>4, 10, 13, 15, 16</t>
  </si>
  <si>
    <t>4, 10, 13, 15, 17</t>
  </si>
  <si>
    <t>4, 10, 13, 16, 17</t>
  </si>
  <si>
    <t>4, 10, 14, 15, 16</t>
  </si>
  <si>
    <t>4, 10, 14, 15, 17</t>
  </si>
  <si>
    <t>4, 10, 14, 16, 17</t>
  </si>
  <si>
    <t>4, 10, 15, 16, 17</t>
  </si>
  <si>
    <t>4, 12, 13, 14, 15</t>
  </si>
  <si>
    <t>4, 12, 13, 14, 16</t>
  </si>
  <si>
    <t>4, 12, 13, 14, 17</t>
  </si>
  <si>
    <t>4, 12, 13, 15, 16</t>
  </si>
  <si>
    <t>4, 12, 13, 15, 17</t>
  </si>
  <si>
    <t>4, 12, 13, 16, 17</t>
  </si>
  <si>
    <t>4, 12, 14, 15, 16</t>
  </si>
  <si>
    <t>4, 12, 14, 15, 17</t>
  </si>
  <si>
    <t>4, 12, 14, 16, 17</t>
  </si>
  <si>
    <t>4, 12, 15, 16, 17</t>
  </si>
  <si>
    <t>4, 13, 14, 15, 16</t>
  </si>
  <si>
    <t>4, 13, 14, 15, 17</t>
  </si>
  <si>
    <t>4, 13, 14, 16, 17</t>
  </si>
  <si>
    <t>4, 13, 15, 16, 17</t>
  </si>
  <si>
    <t>4, 14, 15, 16, 17</t>
  </si>
  <si>
    <t>5, 6, 9, 10, 12</t>
  </si>
  <si>
    <t>5, 6, 9, 10, 13</t>
  </si>
  <si>
    <t>5, 6, 9, 10, 14</t>
  </si>
  <si>
    <t>5, 6, 9, 10, 15</t>
  </si>
  <si>
    <t>5, 6, 9, 10, 16</t>
  </si>
  <si>
    <t>5, 6, 9, 10, 17</t>
  </si>
  <si>
    <t>5, 6, 9, 12, 13</t>
  </si>
  <si>
    <t>5, 6, 9, 12, 14</t>
  </si>
  <si>
    <t>5, 6, 9, 12, 15</t>
  </si>
  <si>
    <t>5, 6, 9, 12, 16</t>
  </si>
  <si>
    <t>5, 6, 9, 12, 17</t>
  </si>
  <si>
    <t>5, 6, 9, 13, 14</t>
  </si>
  <si>
    <t>5, 6, 9, 13, 15</t>
  </si>
  <si>
    <t>5, 6, 9, 13, 16</t>
  </si>
  <si>
    <t>5, 6, 9, 13, 17</t>
  </si>
  <si>
    <t>5, 6, 9, 14, 15</t>
  </si>
  <si>
    <t>5, 6, 9, 14, 16</t>
  </si>
  <si>
    <t>5, 6, 9, 14, 17</t>
  </si>
  <si>
    <t>5, 6, 9, 15, 16</t>
  </si>
  <si>
    <t>5, 6, 9, 15, 17</t>
  </si>
  <si>
    <t>5, 6, 9, 16, 17</t>
  </si>
  <si>
    <t>5, 6, 10, 12, 13</t>
  </si>
  <si>
    <t>5, 6, 10, 12, 14</t>
  </si>
  <si>
    <t>5, 6, 10, 12, 15</t>
  </si>
  <si>
    <t>5, 6, 10, 12, 16</t>
  </si>
  <si>
    <t>5, 6, 10, 12, 17</t>
  </si>
  <si>
    <t>5, 6, 10, 13, 14</t>
  </si>
  <si>
    <t>5, 6, 10, 13, 15</t>
  </si>
  <si>
    <t>5, 6, 10, 13, 16</t>
  </si>
  <si>
    <t>5, 6, 10, 13, 17</t>
  </si>
  <si>
    <t>5, 6, 10, 14, 15</t>
  </si>
  <si>
    <t>5, 6, 10, 14, 16</t>
  </si>
  <si>
    <t>5, 6, 10, 14, 17</t>
  </si>
  <si>
    <t>5, 6, 10, 15, 16</t>
  </si>
  <si>
    <t>5, 6, 10, 15, 17</t>
  </si>
  <si>
    <t>5, 6, 10, 16, 17</t>
  </si>
  <si>
    <t>5, 6, 12, 13, 14</t>
  </si>
  <si>
    <t>5, 6, 12, 13, 15</t>
  </si>
  <si>
    <t>5, 6, 12, 13, 16</t>
  </si>
  <si>
    <t>5, 6, 12, 13, 17</t>
  </si>
  <si>
    <t>5, 6, 12, 14, 15</t>
  </si>
  <si>
    <t>5, 6, 12, 14, 16</t>
  </si>
  <si>
    <t>5, 6, 12, 14, 17</t>
  </si>
  <si>
    <t>5, 6, 12, 15, 16</t>
  </si>
  <si>
    <t>5, 6, 12, 15, 17</t>
  </si>
  <si>
    <t>5, 6, 12, 16, 17</t>
  </si>
  <si>
    <t>5, 6, 13, 14, 15</t>
  </si>
  <si>
    <t>5, 6, 13, 14, 16</t>
  </si>
  <si>
    <t>5, 6, 13, 14, 17</t>
  </si>
  <si>
    <t>5, 6, 13, 15, 16</t>
  </si>
  <si>
    <t>5, 6, 13, 15, 17</t>
  </si>
  <si>
    <t>5, 6, 13, 16, 17</t>
  </si>
  <si>
    <t>5, 6, 14, 15, 16</t>
  </si>
  <si>
    <t>5, 6, 14, 15, 17</t>
  </si>
  <si>
    <t>5, 6, 14, 16, 17</t>
  </si>
  <si>
    <t>5, 6, 15, 16, 17</t>
  </si>
  <si>
    <t>5, 9, 10, 12, 13</t>
  </si>
  <si>
    <t>5, 9, 10, 12, 14</t>
  </si>
  <si>
    <t>5, 9, 10, 12, 15</t>
  </si>
  <si>
    <t>5, 9, 10, 12, 16</t>
  </si>
  <si>
    <t>5, 9, 10, 12, 17</t>
  </si>
  <si>
    <t>5, 9, 10, 13, 14</t>
  </si>
  <si>
    <t>5, 9, 10, 13, 15</t>
  </si>
  <si>
    <t>5, 9, 10, 13, 16</t>
  </si>
  <si>
    <t>5, 9, 10, 13, 17</t>
  </si>
  <si>
    <t>5, 9, 10, 14, 15</t>
  </si>
  <si>
    <t>5, 9, 10, 14, 16</t>
  </si>
  <si>
    <t>5, 9, 10, 14, 17</t>
  </si>
  <si>
    <t>5, 9, 10, 15, 16</t>
  </si>
  <si>
    <t>5, 9, 10, 15, 17</t>
  </si>
  <si>
    <t>5, 9, 10, 16, 17</t>
  </si>
  <si>
    <t>5, 9, 12, 13, 14</t>
  </si>
  <si>
    <t>5, 9, 12, 13, 15</t>
  </si>
  <si>
    <t>5, 9, 12, 13, 16</t>
  </si>
  <si>
    <t>5, 9, 12, 13, 17</t>
  </si>
  <si>
    <t>5, 9, 12, 14, 15</t>
  </si>
  <si>
    <t>5, 9, 12, 14, 16</t>
  </si>
  <si>
    <t>5, 9, 12, 14, 17</t>
  </si>
  <si>
    <t>5, 9, 12, 15, 16</t>
  </si>
  <si>
    <t>5, 9, 12, 15, 17</t>
  </si>
  <si>
    <t>5, 9, 12, 16, 17</t>
  </si>
  <si>
    <t>5, 9, 13, 14, 15</t>
  </si>
  <si>
    <t>5, 9, 13, 14, 16</t>
  </si>
  <si>
    <t>5, 9, 13, 14, 17</t>
  </si>
  <si>
    <t>5, 9, 13, 15, 16</t>
  </si>
  <si>
    <t>5, 9, 13, 15, 17</t>
  </si>
  <si>
    <t>5, 9, 13, 16, 17</t>
  </si>
  <si>
    <t>5, 9, 14, 15, 16</t>
  </si>
  <si>
    <t>5, 9, 14, 15, 17</t>
  </si>
  <si>
    <t>5, 9, 14, 16, 17</t>
  </si>
  <si>
    <t>5, 9, 15, 16, 17</t>
  </si>
  <si>
    <t>5, 10, 12, 13, 14</t>
  </si>
  <si>
    <t>5, 10, 12, 13, 15</t>
  </si>
  <si>
    <t>5, 10, 12, 13, 16</t>
  </si>
  <si>
    <t>5, 10, 12, 13, 17</t>
  </si>
  <si>
    <t>5, 10, 12, 14, 15</t>
  </si>
  <si>
    <t>5, 10, 12, 14, 16</t>
  </si>
  <si>
    <t>5, 10, 12, 14, 17</t>
  </si>
  <si>
    <t>5, 10, 12, 15, 16</t>
  </si>
  <si>
    <t>5, 10, 12, 15, 17</t>
  </si>
  <si>
    <t>5, 10, 12, 16, 17</t>
  </si>
  <si>
    <t>5, 10, 13, 14, 15</t>
  </si>
  <si>
    <t>5, 10, 13, 14, 16</t>
  </si>
  <si>
    <t>5, 10, 13, 14, 17</t>
  </si>
  <si>
    <t>5, 10, 13, 15, 16</t>
  </si>
  <si>
    <t>5, 10, 13, 15, 17</t>
  </si>
  <si>
    <t>5, 10, 13, 16, 17</t>
  </si>
  <si>
    <t>5, 10, 14, 15, 16</t>
  </si>
  <si>
    <t>5, 10, 14, 15, 17</t>
  </si>
  <si>
    <t>5, 10, 14, 16, 17</t>
  </si>
  <si>
    <t>5, 10, 15, 16, 17</t>
  </si>
  <si>
    <t>5, 12, 13, 14, 15</t>
  </si>
  <si>
    <t>5, 12, 13, 14, 16</t>
  </si>
  <si>
    <t>5, 12, 13, 14, 17</t>
  </si>
  <si>
    <t>5, 12, 13, 15, 16</t>
  </si>
  <si>
    <t>5, 12, 13, 15, 17</t>
  </si>
  <si>
    <t>5, 12, 13, 16, 17</t>
  </si>
  <si>
    <t>5, 12, 14, 15, 16</t>
  </si>
  <si>
    <t>5, 12, 14, 15, 17</t>
  </si>
  <si>
    <t>5, 12, 14, 16, 17</t>
  </si>
  <si>
    <t>5, 12, 15, 16, 17</t>
  </si>
  <si>
    <t>5, 13, 14, 15, 16</t>
  </si>
  <si>
    <t>5, 13, 14, 15, 17</t>
  </si>
  <si>
    <t>5, 13, 14, 16, 17</t>
  </si>
  <si>
    <t>5, 13, 15, 16, 17</t>
  </si>
  <si>
    <t>5, 14, 15, 16, 17</t>
  </si>
  <si>
    <t>6, 9, 10, 12, 13</t>
  </si>
  <si>
    <t>6, 9, 10, 12, 14</t>
  </si>
  <si>
    <t>6, 9, 10, 12, 15</t>
  </si>
  <si>
    <t>6, 9, 10, 12, 16</t>
  </si>
  <si>
    <t>6, 9, 10, 12, 17</t>
  </si>
  <si>
    <t>6, 9, 10, 13, 14</t>
  </si>
  <si>
    <t>6, 9, 10, 13, 15</t>
  </si>
  <si>
    <t>6, 9, 10, 13, 16</t>
  </si>
  <si>
    <t>6, 9, 10, 13, 17</t>
  </si>
  <si>
    <t>6, 9, 10, 14, 15</t>
  </si>
  <si>
    <t>6, 9, 10, 14, 16</t>
  </si>
  <si>
    <t>6, 9, 10, 14, 17</t>
  </si>
  <si>
    <t>6, 9, 10, 15, 16</t>
  </si>
  <si>
    <t>6, 9, 10, 15, 17</t>
  </si>
  <si>
    <t>6, 9, 10, 16, 17</t>
  </si>
  <si>
    <t>6, 9, 12, 13, 14</t>
  </si>
  <si>
    <t>6, 9, 12, 13, 15</t>
  </si>
  <si>
    <t>6, 9, 12, 13, 16</t>
  </si>
  <si>
    <t>6, 9, 12, 13, 17</t>
  </si>
  <si>
    <t>6, 9, 12, 14, 15</t>
  </si>
  <si>
    <t>6, 9, 12, 14, 16</t>
  </si>
  <si>
    <t>6, 9, 12, 14, 17</t>
  </si>
  <si>
    <t>6, 9, 12, 15, 16</t>
  </si>
  <si>
    <t>6, 9, 12, 15, 17</t>
  </si>
  <si>
    <t>6, 9, 12, 16, 17</t>
  </si>
  <si>
    <t>6, 9, 13, 14, 15</t>
  </si>
  <si>
    <t>6, 9, 13, 14, 16</t>
  </si>
  <si>
    <t>6, 9, 13, 14, 17</t>
  </si>
  <si>
    <t>6, 9, 13, 15, 16</t>
  </si>
  <si>
    <t>6, 9, 13, 15, 17</t>
  </si>
  <si>
    <t>6, 9, 13, 16, 17</t>
  </si>
  <si>
    <t>6, 9, 14, 15, 16</t>
  </si>
  <si>
    <t>6, 9, 14, 15, 17</t>
  </si>
  <si>
    <t>6, 9, 14, 16, 17</t>
  </si>
  <si>
    <t>6, 9, 15, 16, 17</t>
  </si>
  <si>
    <t>6, 10, 12, 13, 14</t>
  </si>
  <si>
    <t>6, 10, 12, 13, 15</t>
  </si>
  <si>
    <t>6, 10, 12, 13, 16</t>
  </si>
  <si>
    <t>6, 10, 12, 13, 17</t>
  </si>
  <si>
    <t>6, 10, 12, 14, 15</t>
  </si>
  <si>
    <t>6, 10, 12, 14, 16</t>
  </si>
  <si>
    <t>6, 10, 12, 14, 17</t>
  </si>
  <si>
    <t>6, 10, 12, 15, 16</t>
  </si>
  <si>
    <t>6, 10, 12, 15, 17</t>
  </si>
  <si>
    <t>6, 10, 12, 16, 17</t>
  </si>
  <si>
    <t>6, 10, 13, 14, 15</t>
  </si>
  <si>
    <t>6, 10, 13, 14, 16</t>
  </si>
  <si>
    <t>6, 10, 13, 14, 17</t>
  </si>
  <si>
    <t>6, 10, 13, 15, 16</t>
  </si>
  <si>
    <t>6, 10, 13, 15, 17</t>
  </si>
  <si>
    <t>6, 10, 13, 16, 17</t>
  </si>
  <si>
    <t>6, 10, 14, 15, 16</t>
  </si>
  <si>
    <t>6, 10, 14, 15, 17</t>
  </si>
  <si>
    <t>6, 10, 14, 16, 17</t>
  </si>
  <si>
    <t>6, 10, 15, 16, 17</t>
  </si>
  <si>
    <t>6, 12, 13, 14, 15</t>
  </si>
  <si>
    <t>6, 12, 13, 14, 16</t>
  </si>
  <si>
    <t>6, 12, 13, 14, 17</t>
  </si>
  <si>
    <t>6, 12, 13, 15, 16</t>
  </si>
  <si>
    <t>6, 12, 13, 15, 17</t>
  </si>
  <si>
    <t>6, 12, 13, 16, 17</t>
  </si>
  <si>
    <t>6, 12, 14, 15, 16</t>
  </si>
  <si>
    <t>6, 12, 14, 15, 17</t>
  </si>
  <si>
    <t>6, 12, 14, 16, 17</t>
  </si>
  <si>
    <t>6, 12, 15, 16, 17</t>
  </si>
  <si>
    <t>6, 13, 14, 15, 16</t>
  </si>
  <si>
    <t>6, 13, 14, 15, 17</t>
  </si>
  <si>
    <t>6, 13, 14, 16, 17</t>
  </si>
  <si>
    <t>6, 13, 15, 16, 17</t>
  </si>
  <si>
    <t>6, 14, 15, 16, 17</t>
  </si>
  <si>
    <t>9, 10, 12, 13, 14</t>
  </si>
  <si>
    <t>9, 10, 12, 13, 15</t>
  </si>
  <si>
    <t>9, 10, 12, 13, 16</t>
  </si>
  <si>
    <t>9, 10, 12, 13, 17</t>
  </si>
  <si>
    <t>9, 10, 12, 14, 15</t>
  </si>
  <si>
    <t>9, 10, 12, 14, 16</t>
  </si>
  <si>
    <t>9, 10, 12, 14, 17</t>
  </si>
  <si>
    <t>9, 10, 12, 15, 16</t>
  </si>
  <si>
    <t>9, 10, 12, 15, 17</t>
  </si>
  <si>
    <t>9, 10, 12, 16, 17</t>
  </si>
  <si>
    <t>9, 10, 13, 14, 15</t>
  </si>
  <si>
    <t>9, 10, 13, 14, 16</t>
  </si>
  <si>
    <t>9, 10, 13, 14, 17</t>
  </si>
  <si>
    <t>9, 10, 13, 15, 16</t>
  </si>
  <si>
    <t>9, 10, 13, 15, 17</t>
  </si>
  <si>
    <t>9, 10, 13, 16, 17</t>
  </si>
  <si>
    <t>9, 10, 14, 15, 16</t>
  </si>
  <si>
    <t>9, 10, 14, 15, 17</t>
  </si>
  <si>
    <t>9, 10, 14, 16, 17</t>
  </si>
  <si>
    <t>9, 10, 15, 16, 17</t>
  </si>
  <si>
    <t>9, 12, 13, 14, 15</t>
  </si>
  <si>
    <t>9, 12, 13, 14, 16</t>
  </si>
  <si>
    <t>9, 12, 13, 14, 17</t>
  </si>
  <si>
    <t>9, 12, 13, 15, 16</t>
  </si>
  <si>
    <t>9, 12, 13, 15, 17</t>
  </si>
  <si>
    <t>9, 12, 13, 16, 17</t>
  </si>
  <si>
    <t>9, 12, 14, 15, 16</t>
  </si>
  <si>
    <t>9, 12, 14, 15, 17</t>
  </si>
  <si>
    <t>9, 12, 14, 16, 17</t>
  </si>
  <si>
    <t>9, 12, 15, 16, 17</t>
  </si>
  <si>
    <t>9, 13, 14, 15, 16</t>
  </si>
  <si>
    <t>9, 13, 14, 15, 17</t>
  </si>
  <si>
    <t>9, 13, 14, 16, 17</t>
  </si>
  <si>
    <t>9, 13, 15, 16, 17</t>
  </si>
  <si>
    <t>9, 14, 15, 16, 17</t>
  </si>
  <si>
    <t>10, 12, 13, 14, 15</t>
  </si>
  <si>
    <t>10, 12, 13, 14, 16</t>
  </si>
  <si>
    <t>10, 12, 13, 14, 17</t>
  </si>
  <si>
    <t>10, 12, 13, 15, 16</t>
  </si>
  <si>
    <t>10, 12, 13, 15, 17</t>
  </si>
  <si>
    <t>10, 12, 13, 16, 17</t>
  </si>
  <si>
    <t>10, 12, 14, 15, 16</t>
  </si>
  <si>
    <t>10, 12, 14, 15, 17</t>
  </si>
  <si>
    <t>10, 12, 14, 16, 17</t>
  </si>
  <si>
    <t>10, 12, 15, 16, 17</t>
  </si>
  <si>
    <t>10, 13, 14, 15, 16</t>
  </si>
  <si>
    <t>10, 13, 14, 15, 17</t>
  </si>
  <si>
    <t>10, 13, 14, 16, 17</t>
  </si>
  <si>
    <t>10, 13, 15, 16, 17</t>
  </si>
  <si>
    <t>10, 14, 15, 16, 17</t>
  </si>
  <si>
    <t>12, 13, 14, 15, 16</t>
  </si>
  <si>
    <t>12, 13, 14, 15, 17</t>
  </si>
  <si>
    <t>12, 13, 14, 16, 17</t>
  </si>
  <si>
    <t>12, 13, 15, 16, 17</t>
  </si>
  <si>
    <t>12, 14, 15, 16, 17</t>
  </si>
  <si>
    <t>13, 14, 15, 16, 17</t>
  </si>
  <si>
    <t>4, 5, 6, 9, 10, 12</t>
  </si>
  <si>
    <t>4, 5, 6, 9, 10, 13</t>
  </si>
  <si>
    <t>4, 5, 6, 9, 10, 14</t>
  </si>
  <si>
    <t>4, 5, 6, 9, 10, 15</t>
  </si>
  <si>
    <t>4, 5, 6, 9, 10, 16</t>
  </si>
  <si>
    <t>4, 5, 6, 9, 10, 17</t>
  </si>
  <si>
    <t>4, 5, 6, 9, 12, 13</t>
  </si>
  <si>
    <t>4, 5, 6, 9, 12, 14</t>
  </si>
  <si>
    <t>4, 5, 6, 9, 12, 15</t>
  </si>
  <si>
    <t>4, 5, 6, 9, 12, 16</t>
  </si>
  <si>
    <t>4, 5, 6, 9, 12, 17</t>
  </si>
  <si>
    <t>4, 5, 6, 9, 13, 14</t>
  </si>
  <si>
    <t>4, 5, 6, 9, 13, 15</t>
  </si>
  <si>
    <t>4, 5, 6, 9, 13, 16</t>
  </si>
  <si>
    <t>4, 5, 6, 9, 13, 17</t>
  </si>
  <si>
    <t>4, 5, 6, 9, 14, 15</t>
  </si>
  <si>
    <t>4, 5, 6, 9, 14, 16</t>
  </si>
  <si>
    <t>4, 5, 6, 9, 14, 17</t>
  </si>
  <si>
    <t>4, 5, 6, 9, 15, 16</t>
  </si>
  <si>
    <t>4, 5, 6, 9, 15, 17</t>
  </si>
  <si>
    <t>4, 5, 6, 9, 16, 17</t>
  </si>
  <si>
    <t>4, 5, 6, 10, 12, 13</t>
  </si>
  <si>
    <t>4, 5, 6, 10, 12, 14</t>
  </si>
  <si>
    <t>4, 5, 6, 10, 12, 15</t>
  </si>
  <si>
    <t>4, 5, 6, 10, 12, 16</t>
  </si>
  <si>
    <t>4, 5, 6, 10, 12, 17</t>
  </si>
  <si>
    <t>4, 5, 6, 10, 13, 14</t>
  </si>
  <si>
    <t>4, 5, 6, 10, 13, 15</t>
  </si>
  <si>
    <t>4, 5, 6, 10, 13, 16</t>
  </si>
  <si>
    <t>4, 5, 6, 10, 13, 17</t>
  </si>
  <si>
    <t>4, 5, 6, 10, 14, 15</t>
  </si>
  <si>
    <t>4, 5, 6, 10, 14, 16</t>
  </si>
  <si>
    <t>4, 5, 6, 10, 14, 17</t>
  </si>
  <si>
    <t>4, 5, 6, 10, 15, 16</t>
  </si>
  <si>
    <t>4, 5, 6, 10, 15, 17</t>
  </si>
  <si>
    <t>4, 5, 6, 10, 16, 17</t>
  </si>
  <si>
    <t>4, 5, 6, 12, 13, 14</t>
  </si>
  <si>
    <t>4, 5, 6, 12, 13, 15</t>
  </si>
  <si>
    <t>4, 5, 6, 12, 13, 16</t>
  </si>
  <si>
    <t>4, 5, 6, 12, 13, 17</t>
  </si>
  <si>
    <t>4, 5, 6, 12, 14, 15</t>
  </si>
  <si>
    <t>4, 5, 6, 12, 14, 16</t>
  </si>
  <si>
    <t>4, 5, 6, 12, 14, 17</t>
  </si>
  <si>
    <t>4, 5, 6, 12, 15, 16</t>
  </si>
  <si>
    <t>4, 5, 6, 12, 15, 17</t>
  </si>
  <si>
    <t>4, 5, 6, 12, 16, 17</t>
  </si>
  <si>
    <t>4, 5, 6, 13, 14, 15</t>
  </si>
  <si>
    <t>4, 5, 6, 13, 14, 16</t>
  </si>
  <si>
    <t>4, 5, 6, 13, 14, 17</t>
  </si>
  <si>
    <t>4, 5, 6, 13, 15, 16</t>
  </si>
  <si>
    <t>4, 5, 6, 13, 15, 17</t>
  </si>
  <si>
    <t>4, 5, 6, 13, 16, 17</t>
  </si>
  <si>
    <t>4, 5, 6, 14, 15, 16</t>
  </si>
  <si>
    <t>4, 5, 6, 14, 15, 17</t>
  </si>
  <si>
    <t>4, 5, 6, 14, 16, 17</t>
  </si>
  <si>
    <t>4, 5, 6, 15, 16, 17</t>
  </si>
  <si>
    <t>4, 5, 9, 10, 12, 13</t>
  </si>
  <si>
    <t>4, 5, 9, 10, 12, 14</t>
  </si>
  <si>
    <t>4, 5, 9, 10, 12, 15</t>
  </si>
  <si>
    <t>4, 5, 9, 10, 12, 16</t>
  </si>
  <si>
    <t>4, 5, 9, 10, 12, 17</t>
  </si>
  <si>
    <t>4, 5, 9, 10, 13, 14</t>
  </si>
  <si>
    <t>4, 5, 9, 10, 13, 15</t>
  </si>
  <si>
    <t>4, 5, 9, 10, 13, 16</t>
  </si>
  <si>
    <t>4, 5, 9, 10, 13, 17</t>
  </si>
  <si>
    <t>4, 5, 9, 10, 14, 15</t>
  </si>
  <si>
    <t>4, 5, 9, 10, 14, 16</t>
  </si>
  <si>
    <t>4, 5, 9, 10, 14, 17</t>
  </si>
  <si>
    <t>4, 5, 9, 10, 15, 16</t>
  </si>
  <si>
    <t>4, 5, 9, 10, 15, 17</t>
  </si>
  <si>
    <t>4, 5, 9, 10, 16, 17</t>
  </si>
  <si>
    <t>4, 5, 9, 12, 13, 14</t>
  </si>
  <si>
    <t>4, 5, 9, 12, 13, 15</t>
  </si>
  <si>
    <t>4, 5, 9, 12, 13, 16</t>
  </si>
  <si>
    <t>4, 5, 9, 12, 13, 17</t>
  </si>
  <si>
    <t>4, 5, 9, 12, 14, 15</t>
  </si>
  <si>
    <t>4, 5, 9, 12, 14, 16</t>
  </si>
  <si>
    <t>4, 5, 9, 12, 14, 17</t>
  </si>
  <si>
    <t>4, 5, 9, 12, 15, 16</t>
  </si>
  <si>
    <t>4, 5, 9, 12, 15, 17</t>
  </si>
  <si>
    <t>4, 5, 9, 12, 16, 17</t>
  </si>
  <si>
    <t>4, 5, 9, 13, 14, 15</t>
  </si>
  <si>
    <t>4, 5, 9, 13, 14, 16</t>
  </si>
  <si>
    <t>4, 5, 9, 13, 14, 17</t>
  </si>
  <si>
    <t>4, 5, 9, 13, 15, 16</t>
  </si>
  <si>
    <t>4, 5, 9, 13, 15, 17</t>
  </si>
  <si>
    <t>4, 5, 9, 13, 16, 17</t>
  </si>
  <si>
    <t>4, 5, 9, 14, 15, 16</t>
  </si>
  <si>
    <t>4, 5, 9, 14, 15, 17</t>
  </si>
  <si>
    <t>4, 5, 9, 14, 16, 17</t>
  </si>
  <si>
    <t>4, 5, 9, 15, 16, 17</t>
  </si>
  <si>
    <t>4, 5, 10, 12, 13, 14</t>
  </si>
  <si>
    <t>4, 5, 10, 12, 13, 15</t>
  </si>
  <si>
    <t>4, 5, 10, 12, 13, 16</t>
  </si>
  <si>
    <t>4, 5, 10, 12, 13, 17</t>
  </si>
  <si>
    <t>4, 5, 10, 12, 14, 15</t>
  </si>
  <si>
    <t>4, 5, 10, 12, 14, 16</t>
  </si>
  <si>
    <t>4, 5, 10, 12, 14, 17</t>
  </si>
  <si>
    <t>4, 5, 10, 12, 15, 16</t>
  </si>
  <si>
    <t>4, 5, 10, 12, 15, 17</t>
  </si>
  <si>
    <t>4, 5, 10, 12, 16, 17</t>
  </si>
  <si>
    <t>4, 5, 10, 13, 14, 15</t>
  </si>
  <si>
    <t>4, 5, 10, 13, 14, 16</t>
  </si>
  <si>
    <t>4, 5, 10, 13, 14, 17</t>
  </si>
  <si>
    <t>4, 5, 10, 13, 15, 16</t>
  </si>
  <si>
    <t>4, 5, 10, 13, 15, 17</t>
  </si>
  <si>
    <t>4, 5, 10, 13, 16, 17</t>
  </si>
  <si>
    <t>4, 5, 10, 14, 15, 16</t>
  </si>
  <si>
    <t>4, 5, 10, 14, 15, 17</t>
  </si>
  <si>
    <t>4, 5, 10, 14, 16, 17</t>
  </si>
  <si>
    <t>4, 5, 10, 15, 16, 17</t>
  </si>
  <si>
    <t>4, 5, 12, 13, 14, 15</t>
  </si>
  <si>
    <t>4, 5, 12, 13, 14, 16</t>
  </si>
  <si>
    <t>4, 5, 12, 13, 14, 17</t>
  </si>
  <si>
    <t>4, 5, 12, 13, 15, 16</t>
  </si>
  <si>
    <t>4, 5, 12, 13, 15, 17</t>
  </si>
  <si>
    <t>4, 5, 12, 13, 16, 17</t>
  </si>
  <si>
    <t>4, 5, 12, 14, 15, 16</t>
  </si>
  <si>
    <t>4, 5, 12, 14, 15, 17</t>
  </si>
  <si>
    <t>4, 5, 12, 14, 16, 17</t>
  </si>
  <si>
    <t>4, 5, 12, 15, 16, 17</t>
  </si>
  <si>
    <t>4, 5, 13, 14, 15, 16</t>
  </si>
  <si>
    <t>4, 5, 13, 14, 15, 17</t>
  </si>
  <si>
    <t>4, 5, 13, 14, 16, 17</t>
  </si>
  <si>
    <t>4, 5, 13, 15, 16, 17</t>
  </si>
  <si>
    <t>4, 5, 14, 15, 16, 17</t>
  </si>
  <si>
    <t>4, 6, 9, 10, 12, 13</t>
  </si>
  <si>
    <t>4, 6, 9, 10, 12, 14</t>
  </si>
  <si>
    <t>4, 6, 9, 10, 12, 15</t>
  </si>
  <si>
    <t>4, 6, 9, 10, 12, 16</t>
  </si>
  <si>
    <t>4, 6, 9, 10, 12, 17</t>
  </si>
  <si>
    <t>4, 6, 9, 10, 13, 14</t>
  </si>
  <si>
    <t>4, 6, 9, 10, 13, 15</t>
  </si>
  <si>
    <t>4, 6, 9, 10, 13, 16</t>
  </si>
  <si>
    <t>4, 6, 9, 10, 13, 17</t>
  </si>
  <si>
    <t>4, 6, 9, 10, 14, 15</t>
  </si>
  <si>
    <t>4, 6, 9, 10, 14, 16</t>
  </si>
  <si>
    <t>4, 6, 9, 10, 14, 17</t>
  </si>
  <si>
    <t>4, 6, 9, 10, 15, 16</t>
  </si>
  <si>
    <t>4, 6, 9, 10, 15, 17</t>
  </si>
  <si>
    <t>4, 6, 9, 10, 16, 17</t>
  </si>
  <si>
    <t>4, 6, 9, 12, 13, 14</t>
  </si>
  <si>
    <t>4, 6, 9, 12, 13, 15</t>
  </si>
  <si>
    <t>4, 6, 9, 12, 13, 16</t>
  </si>
  <si>
    <t>4, 6, 9, 12, 13, 17</t>
  </si>
  <si>
    <t>4, 6, 9, 12, 14, 15</t>
  </si>
  <si>
    <t>4, 6, 9, 12, 14, 16</t>
  </si>
  <si>
    <t>4, 6, 9, 12, 14, 17</t>
  </si>
  <si>
    <t>4, 6, 9, 12, 15, 16</t>
  </si>
  <si>
    <t>4, 6, 9, 12, 15, 17</t>
  </si>
  <si>
    <t>4, 6, 9, 12, 16, 17</t>
  </si>
  <si>
    <t>4, 6, 9, 13, 14, 15</t>
  </si>
  <si>
    <t>4, 6, 9, 13, 14, 16</t>
  </si>
  <si>
    <t>4, 6, 9, 13, 14, 17</t>
  </si>
  <si>
    <t>4, 6, 9, 13, 15, 16</t>
  </si>
  <si>
    <t>4, 6, 9, 13, 15, 17</t>
  </si>
  <si>
    <t>4, 6, 9, 13, 16, 17</t>
  </si>
  <si>
    <t>4, 6, 9, 14, 15, 16</t>
  </si>
  <si>
    <t>4, 6, 9, 14, 15, 17</t>
  </si>
  <si>
    <t>4, 6, 9, 14, 16, 17</t>
  </si>
  <si>
    <t>4, 6, 9, 15, 16, 17</t>
  </si>
  <si>
    <t>4, 6, 10, 12, 13, 14</t>
  </si>
  <si>
    <t>4, 6, 10, 12, 13, 15</t>
  </si>
  <si>
    <t>4, 6, 10, 12, 13, 16</t>
  </si>
  <si>
    <t>4, 6, 10, 12, 13, 17</t>
  </si>
  <si>
    <t>4, 6, 10, 12, 14, 15</t>
  </si>
  <si>
    <t>4, 6, 10, 12, 14, 16</t>
  </si>
  <si>
    <t>4, 6, 10, 12, 14, 17</t>
  </si>
  <si>
    <t>4, 6, 10, 12, 15, 16</t>
  </si>
  <si>
    <t>4, 6, 10, 12, 15, 17</t>
  </si>
  <si>
    <t>4, 6, 10, 12, 16, 17</t>
  </si>
  <si>
    <t>4, 6, 10, 13, 14, 15</t>
  </si>
  <si>
    <t>4, 6, 10, 13, 14, 16</t>
  </si>
  <si>
    <t>4, 6, 10, 13, 14, 17</t>
  </si>
  <si>
    <t>4, 6, 10, 13, 15, 16</t>
  </si>
  <si>
    <t>4, 6, 10, 13, 15, 17</t>
  </si>
  <si>
    <t>4, 6, 10, 13, 16, 17</t>
  </si>
  <si>
    <t>4, 6, 10, 14, 15, 16</t>
  </si>
  <si>
    <t>4, 6, 10, 14, 15, 17</t>
  </si>
  <si>
    <t>4, 6, 10, 14, 16, 17</t>
  </si>
  <si>
    <t>4, 6, 10, 15, 16, 17</t>
  </si>
  <si>
    <t>4, 6, 12, 13, 14, 15</t>
  </si>
  <si>
    <t>4, 6, 12, 13, 14, 16</t>
  </si>
  <si>
    <t>4, 6, 12, 13, 14, 17</t>
  </si>
  <si>
    <t>4, 6, 12, 13, 15, 16</t>
  </si>
  <si>
    <t>4, 6, 12, 13, 15, 17</t>
  </si>
  <si>
    <t>4, 6, 12, 13, 16, 17</t>
  </si>
  <si>
    <t>4, 6, 12, 14, 15, 16</t>
  </si>
  <si>
    <t>4, 6, 12, 14, 15, 17</t>
  </si>
  <si>
    <t>4, 6, 12, 14, 16, 17</t>
  </si>
  <si>
    <t>4, 6, 12, 15, 16, 17</t>
  </si>
  <si>
    <t>4, 6, 13, 14, 15, 16</t>
  </si>
  <si>
    <t>4, 6, 13, 14, 15, 17</t>
  </si>
  <si>
    <t>4, 6, 13, 14, 16, 17</t>
  </si>
  <si>
    <t>4, 6, 13, 15, 16, 17</t>
  </si>
  <si>
    <t>4, 6, 14, 15, 16, 17</t>
  </si>
  <si>
    <t>4, 9, 10, 12, 13, 14</t>
  </si>
  <si>
    <t>4, 9, 10, 12, 13, 15</t>
  </si>
  <si>
    <t>4, 9, 10, 12, 13, 16</t>
  </si>
  <si>
    <t>4, 9, 10, 12, 13, 17</t>
  </si>
  <si>
    <t>4, 9, 10, 12, 14, 15</t>
  </si>
  <si>
    <t>4, 9, 10, 12, 14, 16</t>
  </si>
  <si>
    <t>4, 9, 10, 12, 14, 17</t>
  </si>
  <si>
    <t>4, 9, 10, 12, 15, 16</t>
  </si>
  <si>
    <t>4, 9, 10, 12, 15, 17</t>
  </si>
  <si>
    <t>4, 9, 10, 12, 16, 17</t>
  </si>
  <si>
    <t>4, 9, 10, 13, 14, 15</t>
  </si>
  <si>
    <t>4, 9, 10, 13, 14, 16</t>
  </si>
  <si>
    <t>4, 9, 10, 13, 14, 17</t>
  </si>
  <si>
    <t>4, 9, 10, 13, 15, 16</t>
  </si>
  <si>
    <t>4, 9, 10, 13, 15, 17</t>
  </si>
  <si>
    <t>4, 9, 10, 13, 16, 17</t>
  </si>
  <si>
    <t>4, 9, 10, 14, 15, 16</t>
  </si>
  <si>
    <t>4, 9, 10, 14, 15, 17</t>
  </si>
  <si>
    <t>4, 9, 10, 14, 16, 17</t>
  </si>
  <si>
    <t>4, 9, 10, 15, 16, 17</t>
  </si>
  <si>
    <t>4, 9, 12, 13, 14, 15</t>
  </si>
  <si>
    <t>4, 9, 12, 13, 14, 16</t>
  </si>
  <si>
    <t>4, 9, 12, 13, 14, 17</t>
  </si>
  <si>
    <t>4, 9, 12, 13, 15, 16</t>
  </si>
  <si>
    <t>4, 9, 12, 13, 15, 17</t>
  </si>
  <si>
    <t>4, 9, 12, 13, 16, 17</t>
  </si>
  <si>
    <t>4, 9, 12, 14, 15, 16</t>
  </si>
  <si>
    <t>4, 9, 12, 14, 15, 17</t>
  </si>
  <si>
    <t>4, 9, 12, 14, 16, 17</t>
  </si>
  <si>
    <t>4, 9, 12, 15, 16, 17</t>
  </si>
  <si>
    <t>4, 9, 13, 14, 15, 16</t>
  </si>
  <si>
    <t>4, 9, 13, 14, 15, 17</t>
  </si>
  <si>
    <t>4, 9, 13, 14, 16, 17</t>
  </si>
  <si>
    <t>4, 9, 13, 15, 16, 17</t>
  </si>
  <si>
    <t>4, 9, 14, 15, 16, 17</t>
  </si>
  <si>
    <t>4, 10, 12, 13, 14, 15</t>
  </si>
  <si>
    <t>4, 10, 12, 13, 14, 16</t>
  </si>
  <si>
    <t>4, 10, 12, 13, 14, 17</t>
  </si>
  <si>
    <t>4, 10, 12, 13, 15, 16</t>
  </si>
  <si>
    <t>4, 10, 12, 13, 15, 17</t>
  </si>
  <si>
    <t>4, 10, 12, 13, 16, 17</t>
  </si>
  <si>
    <t>4, 10, 12, 14, 15, 16</t>
  </si>
  <si>
    <t>4, 10, 12, 14, 15, 17</t>
  </si>
  <si>
    <t>4, 10, 12, 14, 16, 17</t>
  </si>
  <si>
    <t>4, 10, 12, 15, 16, 17</t>
  </si>
  <si>
    <t>4, 10, 13, 14, 15, 16</t>
  </si>
  <si>
    <t>4, 10, 13, 14, 15, 17</t>
  </si>
  <si>
    <t>4, 10, 13, 14, 16, 17</t>
  </si>
  <si>
    <t>4, 10, 13, 15, 16, 17</t>
  </si>
  <si>
    <t>4, 10, 14, 15, 16, 17</t>
  </si>
  <si>
    <t>4, 12, 13, 14, 15, 16</t>
  </si>
  <si>
    <t>4, 12, 13, 14, 15, 17</t>
  </si>
  <si>
    <t>4, 12, 13, 14, 16, 17</t>
  </si>
  <si>
    <t>4, 12, 13, 15, 16, 17</t>
  </si>
  <si>
    <t>4, 12, 14, 15, 16, 17</t>
  </si>
  <si>
    <t>4, 13, 14, 15, 16, 17</t>
  </si>
  <si>
    <t>5, 6, 9, 10, 12, 13</t>
  </si>
  <si>
    <t>5, 6, 9, 10, 12, 14</t>
  </si>
  <si>
    <t>5, 6, 9, 10, 12, 15</t>
  </si>
  <si>
    <t>5, 6, 9, 10, 12, 16</t>
  </si>
  <si>
    <t>5, 6, 9, 10, 12, 17</t>
  </si>
  <si>
    <t>5, 6, 9, 10, 13, 14</t>
  </si>
  <si>
    <t>5, 6, 9, 10, 13, 15</t>
  </si>
  <si>
    <t>5, 6, 9, 10, 13, 16</t>
  </si>
  <si>
    <t>5, 6, 9, 10, 13, 17</t>
  </si>
  <si>
    <t>5, 6, 9, 10, 14, 15</t>
  </si>
  <si>
    <t>5, 6, 9, 10, 14, 16</t>
  </si>
  <si>
    <t>5, 6, 9, 10, 14, 17</t>
  </si>
  <si>
    <t>5, 6, 9, 10, 15, 16</t>
  </si>
  <si>
    <t>5, 6, 9, 10, 15, 17</t>
  </si>
  <si>
    <t>5, 6, 9, 10, 16, 17</t>
  </si>
  <si>
    <t>5, 6, 9, 12, 13, 14</t>
  </si>
  <si>
    <t>5, 6, 9, 12, 13, 15</t>
  </si>
  <si>
    <t>5, 6, 9, 12, 13, 16</t>
  </si>
  <si>
    <t>5, 6, 9, 12, 13, 17</t>
  </si>
  <si>
    <t>5, 6, 9, 12, 14, 15</t>
  </si>
  <si>
    <t>5, 6, 9, 12, 14, 16</t>
  </si>
  <si>
    <t>5, 6, 9, 12, 14, 17</t>
  </si>
  <si>
    <t>5, 6, 9, 12, 15, 16</t>
  </si>
  <si>
    <t>5, 6, 9, 12, 15, 17</t>
  </si>
  <si>
    <t>5, 6, 9, 12, 16, 17</t>
  </si>
  <si>
    <t>5, 6, 9, 13, 14, 15</t>
  </si>
  <si>
    <t>5, 6, 9, 13, 14, 16</t>
  </si>
  <si>
    <t>5, 6, 9, 13, 14, 17</t>
  </si>
  <si>
    <t>5, 6, 9, 13, 15, 16</t>
  </si>
  <si>
    <t>5, 6, 9, 13, 15, 17</t>
  </si>
  <si>
    <t>5, 6, 9, 13, 16, 17</t>
  </si>
  <si>
    <t>5, 6, 9, 14, 15, 16</t>
  </si>
  <si>
    <t>5, 6, 9, 14, 15, 17</t>
  </si>
  <si>
    <t>5, 6, 9, 14, 16, 17</t>
  </si>
  <si>
    <t>5, 6, 9, 15, 16, 17</t>
  </si>
  <si>
    <t>5, 6, 10, 12, 13, 14</t>
  </si>
  <si>
    <t>5, 6, 10, 12, 13, 15</t>
  </si>
  <si>
    <t>5, 6, 10, 12, 13, 16</t>
  </si>
  <si>
    <t>5, 6, 10, 12, 13, 17</t>
  </si>
  <si>
    <t>5, 6, 10, 12, 14, 15</t>
  </si>
  <si>
    <t>5, 6, 10, 12, 14, 16</t>
  </si>
  <si>
    <t>5, 6, 10, 12, 14, 17</t>
  </si>
  <si>
    <t>5, 6, 10, 12, 15, 16</t>
  </si>
  <si>
    <t>5, 6, 10, 12, 15, 17</t>
  </si>
  <si>
    <t>5, 6, 10, 12, 16, 17</t>
  </si>
  <si>
    <t>5, 6, 10, 13, 14, 15</t>
  </si>
  <si>
    <t>5, 6, 10, 13, 14, 16</t>
  </si>
  <si>
    <t>5, 6, 10, 13, 14, 17</t>
  </si>
  <si>
    <t>5, 6, 10, 13, 15, 16</t>
  </si>
  <si>
    <t>5, 6, 10, 13, 15, 17</t>
  </si>
  <si>
    <t>5, 6, 10, 13, 16, 17</t>
  </si>
  <si>
    <t>5, 6, 10, 14, 15, 16</t>
  </si>
  <si>
    <t>5, 6, 10, 14, 15, 17</t>
  </si>
  <si>
    <t>5, 6, 10, 14, 16, 17</t>
  </si>
  <si>
    <t>5, 6, 10, 15, 16, 17</t>
  </si>
  <si>
    <t>5, 6, 12, 13, 14, 15</t>
  </si>
  <si>
    <t>5, 6, 12, 13, 14, 16</t>
  </si>
  <si>
    <t>5, 6, 12, 13, 14, 17</t>
  </si>
  <si>
    <t>5, 6, 12, 13, 15, 16</t>
  </si>
  <si>
    <t>5, 6, 12, 13, 15, 17</t>
  </si>
  <si>
    <t>5, 6, 12, 13, 16, 17</t>
  </si>
  <si>
    <t>5, 6, 12, 14, 15, 16</t>
  </si>
  <si>
    <t>5, 6, 12, 14, 15, 17</t>
  </si>
  <si>
    <t>5, 6, 12, 14, 16, 17</t>
  </si>
  <si>
    <t>5, 6, 12, 15, 16, 17</t>
  </si>
  <si>
    <t>5, 6, 13, 14, 15, 16</t>
  </si>
  <si>
    <t>5, 6, 13, 14, 15, 17</t>
  </si>
  <si>
    <t>5, 6, 13, 14, 16, 17</t>
  </si>
  <si>
    <t>5, 6, 13, 15, 16, 17</t>
  </si>
  <si>
    <t>5, 6, 14, 15, 16, 17</t>
  </si>
  <si>
    <t>5, 9, 10, 12, 13, 14</t>
  </si>
  <si>
    <t>5, 9, 10, 12, 13, 15</t>
  </si>
  <si>
    <t>5, 9, 10, 12, 13, 16</t>
  </si>
  <si>
    <t>5, 9, 10, 12, 13, 17</t>
  </si>
  <si>
    <t>5, 9, 10, 12, 14, 15</t>
  </si>
  <si>
    <t>5, 9, 10, 12, 14, 16</t>
  </si>
  <si>
    <t>5, 9, 10, 12, 14, 17</t>
  </si>
  <si>
    <t>5, 9, 10, 12, 15, 16</t>
  </si>
  <si>
    <t>5, 9, 10, 12, 15, 17</t>
  </si>
  <si>
    <t>5, 9, 10, 12, 16, 17</t>
  </si>
  <si>
    <t>5, 9, 10, 13, 14, 15</t>
  </si>
  <si>
    <t>5, 9, 10, 13, 14, 16</t>
  </si>
  <si>
    <t>5, 9, 10, 13, 14, 17</t>
  </si>
  <si>
    <t>5, 9, 10, 13, 15, 16</t>
  </si>
  <si>
    <t>5, 9, 10, 13, 15, 17</t>
  </si>
  <si>
    <t>5, 9, 10, 13, 16, 17</t>
  </si>
  <si>
    <t>5, 9, 10, 14, 15, 16</t>
  </si>
  <si>
    <t>5, 9, 10, 14, 15, 17</t>
  </si>
  <si>
    <t>5, 9, 10, 14, 16, 17</t>
  </si>
  <si>
    <t>5, 9, 10, 15, 16, 17</t>
  </si>
  <si>
    <t>5, 9, 12, 13, 14, 15</t>
  </si>
  <si>
    <t>5, 9, 12, 13, 14, 16</t>
  </si>
  <si>
    <t>5, 9, 12, 13, 14, 17</t>
  </si>
  <si>
    <t>5, 9, 12, 13, 15, 16</t>
  </si>
  <si>
    <t>5, 9, 12, 13, 15, 17</t>
  </si>
  <si>
    <t>5, 9, 12, 13, 16, 17</t>
  </si>
  <si>
    <t>5, 9, 12, 14, 15, 16</t>
  </si>
  <si>
    <t>5, 9, 12, 14, 15, 17</t>
  </si>
  <si>
    <t>5, 9, 12, 14, 16, 17</t>
  </si>
  <si>
    <t>5, 9, 12, 15, 16, 17</t>
  </si>
  <si>
    <t>5, 9, 13, 14, 15, 16</t>
  </si>
  <si>
    <t>5, 9, 13, 14, 15, 17</t>
  </si>
  <si>
    <t>5, 9, 13, 14, 16, 17</t>
  </si>
  <si>
    <t>5, 9, 13, 15, 16, 17</t>
  </si>
  <si>
    <t>5, 9, 14, 15, 16, 17</t>
  </si>
  <si>
    <t>5, 10, 12, 13, 14, 15</t>
  </si>
  <si>
    <t>5, 10, 12, 13, 14, 16</t>
  </si>
  <si>
    <t>5, 10, 12, 13, 14, 17</t>
  </si>
  <si>
    <t>5, 10, 12, 13, 15, 16</t>
  </si>
  <si>
    <t>5, 10, 12, 13, 15, 17</t>
  </si>
  <si>
    <t>5, 10, 12, 13, 16, 17</t>
  </si>
  <si>
    <t>5, 10, 12, 14, 15, 16</t>
  </si>
  <si>
    <t>5, 10, 12, 14, 15, 17</t>
  </si>
  <si>
    <t>5, 10, 12, 14, 16, 17</t>
  </si>
  <si>
    <t>5, 10, 12, 15, 16, 17</t>
  </si>
  <si>
    <t>5, 10, 13, 14, 15, 16</t>
  </si>
  <si>
    <t>5, 10, 13, 14, 15, 17</t>
  </si>
  <si>
    <t>5, 10, 13, 14, 16, 17</t>
  </si>
  <si>
    <t>5, 10, 13, 15, 16, 17</t>
  </si>
  <si>
    <t>5, 10, 14, 15, 16, 17</t>
  </si>
  <si>
    <t>5, 12, 13, 14, 15, 16</t>
  </si>
  <si>
    <t>5, 12, 13, 14, 15, 17</t>
  </si>
  <si>
    <t>5, 12, 13, 14, 16, 17</t>
  </si>
  <si>
    <t>5, 12, 13, 15, 16, 17</t>
  </si>
  <si>
    <t>5, 12, 14, 15, 16, 17</t>
  </si>
  <si>
    <t>5, 13, 14, 15, 16, 17</t>
  </si>
  <si>
    <t>6, 9, 10, 12, 13, 14</t>
  </si>
  <si>
    <t>6, 9, 10, 12, 13, 15</t>
  </si>
  <si>
    <t>6, 9, 10, 12, 13, 16</t>
  </si>
  <si>
    <t>6, 9, 10, 12, 13, 17</t>
  </si>
  <si>
    <t>6, 9, 10, 12, 14, 15</t>
  </si>
  <si>
    <t>6, 9, 10, 12, 14, 16</t>
  </si>
  <si>
    <t>6, 9, 10, 12, 14, 17</t>
  </si>
  <si>
    <t>6, 9, 10, 12, 15, 16</t>
  </si>
  <si>
    <t>6, 9, 10, 12, 15, 17</t>
  </si>
  <si>
    <t>6, 9, 10, 12, 16, 17</t>
  </si>
  <si>
    <t>6, 9, 10, 13, 14, 15</t>
  </si>
  <si>
    <t>6, 9, 10, 13, 14, 16</t>
  </si>
  <si>
    <t>6, 9, 10, 13, 14, 17</t>
  </si>
  <si>
    <t>6, 9, 10, 13, 15, 16</t>
  </si>
  <si>
    <t>6, 9, 10, 13, 15, 17</t>
  </si>
  <si>
    <t>6, 9, 10, 13, 16, 17</t>
  </si>
  <si>
    <t>6, 9, 10, 14, 15, 16</t>
  </si>
  <si>
    <t>6, 9, 10, 14, 15, 17</t>
  </si>
  <si>
    <t>6, 9, 10, 14, 16, 17</t>
  </si>
  <si>
    <t>6, 9, 10, 15, 16, 17</t>
  </si>
  <si>
    <t>6, 9, 12, 13, 14, 15</t>
  </si>
  <si>
    <t>6, 9, 12, 13, 14, 16</t>
  </si>
  <si>
    <t>6, 9, 12, 13, 14, 17</t>
  </si>
  <si>
    <t>6, 9, 12, 13, 15, 16</t>
  </si>
  <si>
    <t>6, 9, 12, 13, 15, 17</t>
  </si>
  <si>
    <t>6, 9, 12, 13, 16, 17</t>
  </si>
  <si>
    <t>6, 9, 12, 14, 15, 16</t>
  </si>
  <si>
    <t>6, 9, 12, 14, 15, 17</t>
  </si>
  <si>
    <t>6, 9, 12, 14, 16, 17</t>
  </si>
  <si>
    <t>6, 9, 12, 15, 16, 17</t>
  </si>
  <si>
    <t>6, 9, 13, 14, 15, 16</t>
  </si>
  <si>
    <t>6, 9, 13, 14, 15, 17</t>
  </si>
  <si>
    <t>6, 9, 13, 14, 16, 17</t>
  </si>
  <si>
    <t>6, 9, 13, 15, 16, 17</t>
  </si>
  <si>
    <t>6, 9, 14, 15, 16, 17</t>
  </si>
  <si>
    <t>6, 10, 12, 13, 14, 15</t>
  </si>
  <si>
    <t>6, 10, 12, 13, 14, 16</t>
  </si>
  <si>
    <t>6, 10, 12, 13, 14, 17</t>
  </si>
  <si>
    <t>6, 10, 12, 13, 15, 16</t>
  </si>
  <si>
    <t>6, 10, 12, 13, 15, 17</t>
  </si>
  <si>
    <t>6, 10, 12, 13, 16, 17</t>
  </si>
  <si>
    <t>6, 10, 12, 14, 15, 16</t>
  </si>
  <si>
    <t>6, 10, 12, 14, 15, 17</t>
  </si>
  <si>
    <t>6, 10, 12, 14, 16, 17</t>
  </si>
  <si>
    <t>6, 10, 12, 15, 16, 17</t>
  </si>
  <si>
    <t>6, 10, 13, 14, 15, 16</t>
  </si>
  <si>
    <t>6, 10, 13, 14, 15, 17</t>
  </si>
  <si>
    <t>6, 10, 13, 14, 16, 17</t>
  </si>
  <si>
    <t>6, 10, 13, 15, 16, 17</t>
  </si>
  <si>
    <t>6, 10, 14, 15, 16, 17</t>
  </si>
  <si>
    <t>6, 12, 13, 14, 15, 16</t>
  </si>
  <si>
    <t>6, 12, 13, 14, 15, 17</t>
  </si>
  <si>
    <t>6, 12, 13, 14, 16, 17</t>
  </si>
  <si>
    <t>6, 12, 13, 15, 16, 17</t>
  </si>
  <si>
    <t>6, 12, 14, 15, 16, 17</t>
  </si>
  <si>
    <t>6, 13, 14, 15, 16, 17</t>
  </si>
  <si>
    <t>9, 10, 12, 13, 14, 15</t>
  </si>
  <si>
    <t>9, 10, 12, 13, 14, 16</t>
  </si>
  <si>
    <t>9, 10, 12, 13, 14, 17</t>
  </si>
  <si>
    <t>9, 10, 12, 13, 15, 16</t>
  </si>
  <si>
    <t>9, 10, 12, 13, 15, 17</t>
  </si>
  <si>
    <t>9, 10, 12, 13, 16, 17</t>
  </si>
  <si>
    <t>9, 10, 12, 14, 15, 16</t>
  </si>
  <si>
    <t>9, 10, 12, 14, 15, 17</t>
  </si>
  <si>
    <t>9, 10, 12, 14, 16, 17</t>
  </si>
  <si>
    <t>9, 10, 12, 15, 16, 17</t>
  </si>
  <si>
    <t>9, 10, 13, 14, 15, 16</t>
  </si>
  <si>
    <t>9, 10, 13, 14, 15, 17</t>
  </si>
  <si>
    <t>9, 10, 13, 14, 16, 17</t>
  </si>
  <si>
    <t>9, 10, 13, 15, 16, 17</t>
  </si>
  <si>
    <t>9, 10, 14, 15, 16, 17</t>
  </si>
  <si>
    <t>9, 12, 13, 14, 15, 16</t>
  </si>
  <si>
    <t>9, 12, 13, 14, 15, 17</t>
  </si>
  <si>
    <t>9, 12, 13, 14, 16, 17</t>
  </si>
  <si>
    <t>9, 12, 13, 15, 16, 17</t>
  </si>
  <si>
    <t>9, 12, 14, 15, 16, 17</t>
  </si>
  <si>
    <t>9, 13, 14, 15, 16, 17</t>
  </si>
  <si>
    <t>10, 12, 13, 14, 15, 16</t>
  </si>
  <si>
    <t>10, 12, 13, 14, 15, 17</t>
  </si>
  <si>
    <t>10, 12, 13, 14, 16, 17</t>
  </si>
  <si>
    <t>10, 12, 13, 15, 16, 17</t>
  </si>
  <si>
    <t>10, 12, 14, 15, 16, 17</t>
  </si>
  <si>
    <t>10, 13, 14, 15, 16, 17</t>
  </si>
  <si>
    <t>12, 13, 14, 15, 16, 17</t>
  </si>
  <si>
    <t>4, 5, 6, 9, 10, 12, 13</t>
  </si>
  <si>
    <t>4, 5, 6, 9, 10, 12, 14</t>
  </si>
  <si>
    <t>4, 5, 6, 9, 10, 12, 15</t>
  </si>
  <si>
    <t>4, 5, 6, 9, 10, 12, 16</t>
  </si>
  <si>
    <t>4, 5, 6, 9, 10, 12, 17</t>
  </si>
  <si>
    <t>4, 5, 6, 9, 10, 13, 14</t>
  </si>
  <si>
    <t>4, 5, 6, 9, 10, 13, 15</t>
  </si>
  <si>
    <t>4, 5, 6, 9, 10, 13, 16</t>
  </si>
  <si>
    <t>4, 5, 6, 9, 10, 13, 17</t>
  </si>
  <si>
    <t>4, 5, 6, 9, 10, 14, 15</t>
  </si>
  <si>
    <t>4, 5, 6, 9, 10, 14, 16</t>
  </si>
  <si>
    <t>4, 5, 6, 9, 10, 14, 17</t>
  </si>
  <si>
    <t>4, 5, 6, 9, 10, 15, 16</t>
  </si>
  <si>
    <t>4, 5, 6, 9, 10, 15, 17</t>
  </si>
  <si>
    <t>4, 5, 6, 9, 10, 16, 17</t>
  </si>
  <si>
    <t>4, 5, 6, 9, 12, 13, 14</t>
  </si>
  <si>
    <t>4, 5, 6, 9, 12, 13, 15</t>
  </si>
  <si>
    <t>4, 5, 6, 9, 12, 13, 16</t>
  </si>
  <si>
    <t>4, 5, 6, 9, 12, 13, 17</t>
  </si>
  <si>
    <t>4, 5, 6, 9, 12, 14, 15</t>
  </si>
  <si>
    <t>4, 5, 6, 9, 12, 14, 16</t>
  </si>
  <si>
    <t>4, 5, 6, 9, 12, 14, 17</t>
  </si>
  <si>
    <t>4, 5, 6, 9, 12, 15, 16</t>
  </si>
  <si>
    <t>4, 5, 6, 9, 12, 15, 17</t>
  </si>
  <si>
    <t>4, 5, 6, 9, 12, 16, 17</t>
  </si>
  <si>
    <t>4, 5, 6, 9, 13, 14, 15</t>
  </si>
  <si>
    <t>4, 5, 6, 9, 13, 14, 16</t>
  </si>
  <si>
    <t>4, 5, 6, 9, 13, 14, 17</t>
  </si>
  <si>
    <t>4, 5, 6, 9, 13, 15, 16</t>
  </si>
  <si>
    <t>4, 5, 6, 9, 13, 15, 17</t>
  </si>
  <si>
    <t>4, 5, 6, 9, 13, 16, 17</t>
  </si>
  <si>
    <t>4, 5, 6, 9, 14, 15, 16</t>
  </si>
  <si>
    <t>4, 5, 6, 9, 14, 15, 17</t>
  </si>
  <si>
    <t>4, 5, 6, 9, 14, 16, 17</t>
  </si>
  <si>
    <t>4, 5, 6, 9, 15, 16, 17</t>
  </si>
  <si>
    <t>4, 5, 6, 10, 12, 13, 14</t>
  </si>
  <si>
    <t>4, 5, 6, 10, 12, 13, 15</t>
  </si>
  <si>
    <t>4, 5, 6, 10, 12, 13, 16</t>
  </si>
  <si>
    <t>4, 5, 6, 10, 12, 13, 17</t>
  </si>
  <si>
    <t>4, 5, 6, 10, 12, 14, 15</t>
  </si>
  <si>
    <t>4, 5, 6, 10, 12, 14, 16</t>
  </si>
  <si>
    <t>4, 5, 6, 10, 12, 14, 17</t>
  </si>
  <si>
    <t>4, 5, 6, 10, 12, 15, 16</t>
  </si>
  <si>
    <t>4, 5, 6, 10, 12, 15, 17</t>
  </si>
  <si>
    <t>4, 5, 6, 10, 12, 16, 17</t>
  </si>
  <si>
    <t>4, 5, 6, 10, 13, 14, 15</t>
  </si>
  <si>
    <t>4, 5, 6, 10, 13, 14, 16</t>
  </si>
  <si>
    <t>4, 5, 6, 10, 13, 14, 17</t>
  </si>
  <si>
    <t>4, 5, 6, 10, 13, 15, 16</t>
  </si>
  <si>
    <t>4, 5, 6, 10, 13, 15, 17</t>
  </si>
  <si>
    <t>4, 5, 6, 10, 13, 16, 17</t>
  </si>
  <si>
    <t>4, 5, 6, 10, 14, 15, 16</t>
  </si>
  <si>
    <t>4, 5, 6, 10, 14, 15, 17</t>
  </si>
  <si>
    <t>4, 5, 6, 10, 14, 16, 17</t>
  </si>
  <si>
    <t>4, 5, 6, 10, 15, 16, 17</t>
  </si>
  <si>
    <t>4, 5, 6, 12, 13, 14, 15</t>
  </si>
  <si>
    <t>4, 5, 6, 12, 13, 14, 16</t>
  </si>
  <si>
    <t>4, 5, 6, 12, 13, 14, 17</t>
  </si>
  <si>
    <t>4, 5, 6, 12, 13, 15, 16</t>
  </si>
  <si>
    <t>4, 5, 6, 12, 13, 15, 17</t>
  </si>
  <si>
    <t>4, 5, 6, 12, 13, 16, 17</t>
  </si>
  <si>
    <t>4, 5, 6, 12, 14, 15, 16</t>
  </si>
  <si>
    <t>4, 5, 6, 12, 14, 15, 17</t>
  </si>
  <si>
    <t>4, 5, 6, 12, 14, 16, 17</t>
  </si>
  <si>
    <t>4, 5, 6, 12, 15, 16, 17</t>
  </si>
  <si>
    <t>4, 5, 6, 13, 14, 15, 16</t>
  </si>
  <si>
    <t>4, 5, 6, 13, 14, 15, 17</t>
  </si>
  <si>
    <t>4, 5, 6, 13, 14, 16, 17</t>
  </si>
  <si>
    <t>4, 5, 6, 13, 15, 16, 17</t>
  </si>
  <si>
    <t>4, 5, 6, 14, 15, 16, 17</t>
  </si>
  <si>
    <t>4, 5, 9, 10, 12, 13, 14</t>
  </si>
  <si>
    <t>4, 5, 9, 10, 12, 13, 15</t>
  </si>
  <si>
    <t>4, 5, 9, 10, 12, 13, 16</t>
  </si>
  <si>
    <t>4, 5, 9, 10, 12, 13, 17</t>
  </si>
  <si>
    <t>4, 5, 9, 10, 12, 14, 15</t>
  </si>
  <si>
    <t>4, 5, 9, 10, 12, 14, 16</t>
  </si>
  <si>
    <t>4, 5, 9, 10, 12, 14, 17</t>
  </si>
  <si>
    <t>4, 5, 9, 10, 12, 15, 16</t>
  </si>
  <si>
    <t>4, 5, 9, 10, 12, 15, 17</t>
  </si>
  <si>
    <t>4, 5, 9, 10, 12, 16, 17</t>
  </si>
  <si>
    <t>4, 5, 9, 10, 13, 14, 15</t>
  </si>
  <si>
    <t>4, 5, 9, 10, 13, 14, 16</t>
  </si>
  <si>
    <t>4, 5, 9, 10, 13, 14, 17</t>
  </si>
  <si>
    <t>4, 5, 9, 10, 13, 15, 16</t>
  </si>
  <si>
    <t>4, 5, 9, 10, 13, 15, 17</t>
  </si>
  <si>
    <t>4, 5, 9, 10, 13, 16, 17</t>
  </si>
  <si>
    <t>4, 5, 9, 10, 14, 15, 16</t>
  </si>
  <si>
    <t>4, 5, 9, 10, 14, 15, 17</t>
  </si>
  <si>
    <t>4, 5, 9, 10, 14, 16, 17</t>
  </si>
  <si>
    <t>4, 5, 9, 10, 15, 16, 17</t>
  </si>
  <si>
    <t>4, 5, 9, 12, 13, 14, 15</t>
  </si>
  <si>
    <t>4, 5, 9, 12, 13, 14, 16</t>
  </si>
  <si>
    <t>4, 5, 9, 12, 13, 14, 17</t>
  </si>
  <si>
    <t>4, 5, 9, 12, 13, 15, 16</t>
  </si>
  <si>
    <t>4, 5, 9, 12, 13, 15, 17</t>
  </si>
  <si>
    <t>4, 5, 9, 12, 13, 16, 17</t>
  </si>
  <si>
    <t>4, 5, 9, 12, 14, 15, 16</t>
  </si>
  <si>
    <t>4, 5, 9, 12, 14, 15, 17</t>
  </si>
  <si>
    <t>4, 5, 9, 12, 14, 16, 17</t>
  </si>
  <si>
    <t>4, 5, 9, 12, 15, 16, 17</t>
  </si>
  <si>
    <t>4, 5, 9, 13, 14, 15, 16</t>
  </si>
  <si>
    <t>4, 5, 9, 13, 14, 15, 17</t>
  </si>
  <si>
    <t>4, 5, 9, 13, 14, 16, 17</t>
  </si>
  <si>
    <t>4, 5, 9, 13, 15, 16, 17</t>
  </si>
  <si>
    <t>4, 5, 9, 14, 15, 16, 17</t>
  </si>
  <si>
    <t>4, 5, 10, 12, 13, 14, 15</t>
  </si>
  <si>
    <t>4, 5, 10, 12, 13, 14, 16</t>
  </si>
  <si>
    <t>4, 5, 10, 12, 13, 14, 17</t>
  </si>
  <si>
    <t>4, 5, 10, 12, 13, 15, 16</t>
  </si>
  <si>
    <t>4, 5, 10, 12, 13, 15, 17</t>
  </si>
  <si>
    <t>4, 5, 10, 12, 13, 16, 17</t>
  </si>
  <si>
    <t>4, 5, 10, 12, 14, 15, 16</t>
  </si>
  <si>
    <t>4, 5, 10, 12, 14, 15, 17</t>
  </si>
  <si>
    <t>4, 5, 10, 12, 14, 16, 17</t>
  </si>
  <si>
    <t>4, 5, 10, 12, 15, 16, 17</t>
  </si>
  <si>
    <t>4, 5, 10, 13, 14, 15, 16</t>
  </si>
  <si>
    <t>4, 5, 10, 13, 14, 15, 17</t>
  </si>
  <si>
    <t>4, 5, 10, 13, 14, 16, 17</t>
  </si>
  <si>
    <t>4, 5, 10, 13, 15, 16, 17</t>
  </si>
  <si>
    <t>4, 5, 10, 14, 15, 16, 17</t>
  </si>
  <si>
    <t>4, 5, 12, 13, 14, 15, 16</t>
  </si>
  <si>
    <t>4, 5, 12, 13, 14, 15, 17</t>
  </si>
  <si>
    <t>4, 5, 12, 13, 14, 16, 17</t>
  </si>
  <si>
    <t>4, 5, 12, 13, 15, 16, 17</t>
  </si>
  <si>
    <t>4, 5, 12, 14, 15, 16, 17</t>
  </si>
  <si>
    <t>4, 5, 13, 14, 15, 16, 17</t>
  </si>
  <si>
    <t>4, 6, 9, 10, 12, 13, 14</t>
  </si>
  <si>
    <t>4, 6, 9, 10, 12, 13, 15</t>
  </si>
  <si>
    <t>4, 6, 9, 10, 12, 13, 16</t>
  </si>
  <si>
    <t>4, 6, 9, 10, 12, 13, 17</t>
  </si>
  <si>
    <t>4, 6, 9, 10, 12, 14, 15</t>
  </si>
  <si>
    <t>4, 6, 9, 10, 12, 14, 16</t>
  </si>
  <si>
    <t>4, 6, 9, 10, 12, 14, 17</t>
  </si>
  <si>
    <t>4, 6, 9, 10, 12, 15, 16</t>
  </si>
  <si>
    <t>4, 6, 9, 10, 12, 15, 17</t>
  </si>
  <si>
    <t>4, 6, 9, 10, 12, 16, 17</t>
  </si>
  <si>
    <t>4, 6, 9, 10, 13, 14, 15</t>
  </si>
  <si>
    <t>4, 6, 9, 10, 13, 14, 16</t>
  </si>
  <si>
    <t>4, 6, 9, 10, 13, 14, 17</t>
  </si>
  <si>
    <t>4, 6, 9, 10, 13, 15, 16</t>
  </si>
  <si>
    <t>4, 6, 9, 10, 13, 15, 17</t>
  </si>
  <si>
    <t>4, 6, 9, 10, 13, 16, 17</t>
  </si>
  <si>
    <t>4, 6, 9, 10, 14, 15, 16</t>
  </si>
  <si>
    <t>4, 6, 9, 10, 14, 15, 17</t>
  </si>
  <si>
    <t>4, 6, 9, 10, 14, 16, 17</t>
  </si>
  <si>
    <t>4, 6, 9, 10, 15, 16, 17</t>
  </si>
  <si>
    <t>4, 6, 9, 12, 13, 14, 15</t>
  </si>
  <si>
    <t>4, 6, 9, 12, 13, 14, 16</t>
  </si>
  <si>
    <t>4, 6, 9, 12, 13, 14, 17</t>
  </si>
  <si>
    <t>4, 6, 9, 12, 13, 15, 16</t>
  </si>
  <si>
    <t>4, 6, 9, 12, 13, 15, 17</t>
  </si>
  <si>
    <t>4, 6, 9, 12, 13, 16, 17</t>
  </si>
  <si>
    <t>4, 6, 9, 12, 14, 15, 16</t>
  </si>
  <si>
    <t>4, 6, 9, 12, 14, 15, 17</t>
  </si>
  <si>
    <t>4, 6, 9, 12, 14, 16, 17</t>
  </si>
  <si>
    <t>4, 6, 9, 12, 15, 16, 17</t>
  </si>
  <si>
    <t>4, 6, 9, 13, 14, 15, 16</t>
  </si>
  <si>
    <t>4, 6, 9, 13, 14, 15, 17</t>
  </si>
  <si>
    <t>4, 6, 9, 13, 14, 16, 17</t>
  </si>
  <si>
    <t>4, 6, 9, 13, 15, 16, 17</t>
  </si>
  <si>
    <t>4, 6, 9, 14, 15, 16, 17</t>
  </si>
  <si>
    <t>4, 6, 10, 12, 13, 14, 15</t>
  </si>
  <si>
    <t>4, 6, 10, 12, 13, 14, 16</t>
  </si>
  <si>
    <t>4, 6, 10, 12, 13, 14, 17</t>
  </si>
  <si>
    <t>4, 6, 10, 12, 13, 15, 16</t>
  </si>
  <si>
    <t>4, 6, 10, 12, 13, 15, 17</t>
  </si>
  <si>
    <t>4, 6, 10, 12, 13, 16, 17</t>
  </si>
  <si>
    <t>4, 6, 10, 12, 14, 15, 16</t>
  </si>
  <si>
    <t>4, 6, 10, 12, 14, 15, 17</t>
  </si>
  <si>
    <t>4, 6, 10, 12, 14, 16, 17</t>
  </si>
  <si>
    <t>4, 6, 10, 12, 15, 16, 17</t>
  </si>
  <si>
    <t>4, 6, 10, 13, 14, 15, 16</t>
  </si>
  <si>
    <t>4, 6, 10, 13, 14, 15, 17</t>
  </si>
  <si>
    <t>4, 6, 10, 13, 14, 16, 17</t>
  </si>
  <si>
    <t>4, 6, 10, 13, 15, 16, 17</t>
  </si>
  <si>
    <t>4, 6, 10, 14, 15, 16, 17</t>
  </si>
  <si>
    <t>4, 6, 12, 13, 14, 15, 16</t>
  </si>
  <si>
    <t>4, 6, 12, 13, 14, 15, 17</t>
  </si>
  <si>
    <t>4, 6, 12, 13, 14, 16, 17</t>
  </si>
  <si>
    <t>4, 6, 12, 13, 15, 16, 17</t>
  </si>
  <si>
    <t>4, 6, 12, 14, 15, 16, 17</t>
  </si>
  <si>
    <t>4, 6, 13, 14, 15, 16, 17</t>
  </si>
  <si>
    <t>4, 9, 10, 12, 13, 14, 15</t>
  </si>
  <si>
    <t>4, 9, 10, 12, 13, 14, 16</t>
  </si>
  <si>
    <t>4, 9, 10, 12, 13, 14, 17</t>
  </si>
  <si>
    <t>4, 9, 10, 12, 13, 15, 16</t>
  </si>
  <si>
    <t>4, 9, 10, 12, 13, 15, 17</t>
  </si>
  <si>
    <t>4, 9, 10, 12, 13, 16, 17</t>
  </si>
  <si>
    <t>4, 9, 10, 12, 14, 15, 16</t>
  </si>
  <si>
    <t>4, 9, 10, 12, 14, 15, 17</t>
  </si>
  <si>
    <t>4, 9, 10, 12, 14, 16, 17</t>
  </si>
  <si>
    <t>4, 9, 10, 12, 15, 16, 17</t>
  </si>
  <si>
    <t>4, 9, 10, 13, 14, 15, 16</t>
  </si>
  <si>
    <t>4, 9, 10, 13, 14, 15, 17</t>
  </si>
  <si>
    <t>4, 9, 10, 13, 14, 16, 17</t>
  </si>
  <si>
    <t>4, 9, 10, 13, 15, 16, 17</t>
  </si>
  <si>
    <t>4, 9, 10, 14, 15, 16, 17</t>
  </si>
  <si>
    <t>4, 9, 12, 13, 14, 15, 16</t>
  </si>
  <si>
    <t>4, 9, 12, 13, 14, 15, 17</t>
  </si>
  <si>
    <t>4, 9, 12, 13, 14, 16, 17</t>
  </si>
  <si>
    <t>4, 9, 12, 13, 15, 16, 17</t>
  </si>
  <si>
    <t>4, 9, 12, 14, 15, 16, 17</t>
  </si>
  <si>
    <t>4, 9, 13, 14, 15, 16, 17</t>
  </si>
  <si>
    <t>4, 10, 12, 13, 14, 15, 16</t>
  </si>
  <si>
    <t>4, 10, 12, 13, 14, 15, 17</t>
  </si>
  <si>
    <t>4, 10, 12, 13, 14, 16, 17</t>
  </si>
  <si>
    <t>4, 10, 12, 13, 15, 16, 17</t>
  </si>
  <si>
    <t>4, 10, 12, 14, 15, 16, 17</t>
  </si>
  <si>
    <t>4, 10, 13, 14, 15, 16, 17</t>
  </si>
  <si>
    <t>4, 12, 13, 14, 15, 16, 17</t>
  </si>
  <si>
    <t>5, 6, 9, 10, 12, 13, 14</t>
  </si>
  <si>
    <t>5, 6, 9, 10, 12, 13, 15</t>
  </si>
  <si>
    <t>5, 6, 9, 10, 12, 13, 16</t>
  </si>
  <si>
    <t>5, 6, 9, 10, 12, 13, 17</t>
  </si>
  <si>
    <t>5, 6, 9, 10, 12, 14, 15</t>
  </si>
  <si>
    <t>5, 6, 9, 10, 12, 14, 16</t>
  </si>
  <si>
    <t>5, 6, 9, 10, 12, 14, 17</t>
  </si>
  <si>
    <t>5, 6, 9, 10, 12, 15, 16</t>
  </si>
  <si>
    <t>5, 6, 9, 10, 12, 15, 17</t>
  </si>
  <si>
    <t>5, 6, 9, 10, 12, 16, 17</t>
  </si>
  <si>
    <t>5, 6, 9, 10, 13, 14, 15</t>
  </si>
  <si>
    <t>5, 6, 9, 10, 13, 14, 16</t>
  </si>
  <si>
    <t>5, 6, 9, 10, 13, 14, 17</t>
  </si>
  <si>
    <t>5, 6, 9, 10, 13, 15, 16</t>
  </si>
  <si>
    <t>5, 6, 9, 10, 13, 15, 17</t>
  </si>
  <si>
    <t>5, 6, 9, 10, 13, 16, 17</t>
  </si>
  <si>
    <t>5, 6, 9, 10, 14, 15, 16</t>
  </si>
  <si>
    <t>5, 6, 9, 10, 14, 15, 17</t>
  </si>
  <si>
    <t>5, 6, 9, 10, 14, 16, 17</t>
  </si>
  <si>
    <t>5, 6, 9, 10, 15, 16, 17</t>
  </si>
  <si>
    <t>5, 6, 9, 12, 13, 14, 15</t>
  </si>
  <si>
    <t>5, 6, 9, 12, 13, 14, 16</t>
  </si>
  <si>
    <t>5, 6, 9, 12, 13, 14, 17</t>
  </si>
  <si>
    <t>5, 6, 9, 12, 13, 15, 16</t>
  </si>
  <si>
    <t>5, 6, 9, 12, 13, 15, 17</t>
  </si>
  <si>
    <t>5, 6, 9, 12, 13, 16, 17</t>
  </si>
  <si>
    <t>5, 6, 9, 12, 14, 15, 16</t>
  </si>
  <si>
    <t>5, 6, 9, 12, 14, 15, 17</t>
  </si>
  <si>
    <t>5, 6, 9, 12, 14, 16, 17</t>
  </si>
  <si>
    <t>5, 6, 9, 12, 15, 16, 17</t>
  </si>
  <si>
    <t>5, 6, 9, 13, 14, 15, 16</t>
  </si>
  <si>
    <t>5, 6, 9, 13, 14, 15, 17</t>
  </si>
  <si>
    <t>5, 6, 9, 13, 14, 16, 17</t>
  </si>
  <si>
    <t>5, 6, 9, 13, 15, 16, 17</t>
  </si>
  <si>
    <t>5, 6, 9, 14, 15, 16, 17</t>
  </si>
  <si>
    <t>5, 6, 10, 12, 13, 14, 15</t>
  </si>
  <si>
    <t>5, 6, 10, 12, 13, 14, 16</t>
  </si>
  <si>
    <t>5, 6, 10, 12, 13, 14, 17</t>
  </si>
  <si>
    <t>5, 6, 10, 12, 13, 15, 16</t>
  </si>
  <si>
    <t>5, 6, 10, 12, 13, 15, 17</t>
  </si>
  <si>
    <t>5, 6, 10, 12, 13, 16, 17</t>
  </si>
  <si>
    <t>5, 6, 10, 12, 14, 15, 16</t>
  </si>
  <si>
    <t>5, 6, 10, 12, 14, 15, 17</t>
  </si>
  <si>
    <t>5, 6, 10, 12, 14, 16, 17</t>
  </si>
  <si>
    <t>5, 6, 10, 12, 15, 16, 17</t>
  </si>
  <si>
    <t>5, 6, 10, 13, 14, 15, 16</t>
  </si>
  <si>
    <t>5, 6, 10, 13, 14, 15, 17</t>
  </si>
  <si>
    <t>5, 6, 10, 13, 14, 16, 17</t>
  </si>
  <si>
    <t>5, 6, 10, 13, 15, 16, 17</t>
  </si>
  <si>
    <t>5, 6, 10, 14, 15, 16, 17</t>
  </si>
  <si>
    <t>5, 6, 12, 13, 14, 15, 16</t>
  </si>
  <si>
    <t>5, 6, 12, 13, 14, 15, 17</t>
  </si>
  <si>
    <t>5, 6, 12, 13, 14, 16, 17</t>
  </si>
  <si>
    <t>5, 6, 12, 13, 15, 16, 17</t>
  </si>
  <si>
    <t>5, 6, 12, 14, 15, 16, 17</t>
  </si>
  <si>
    <t>5, 6, 13, 14, 15, 16, 17</t>
  </si>
  <si>
    <t>5, 9, 10, 12, 13, 14, 15</t>
  </si>
  <si>
    <t>5, 9, 10, 12, 13, 14, 16</t>
  </si>
  <si>
    <t>5, 9, 10, 12, 13, 14, 17</t>
  </si>
  <si>
    <t>5, 9, 10, 12, 13, 15, 16</t>
  </si>
  <si>
    <t>5, 9, 10, 12, 13, 15, 17</t>
  </si>
  <si>
    <t>5, 9, 10, 12, 13, 16, 17</t>
  </si>
  <si>
    <t>5, 9, 10, 12, 14, 15, 16</t>
  </si>
  <si>
    <t>5, 9, 10, 12, 14, 15, 17</t>
  </si>
  <si>
    <t>5, 9, 10, 12, 14, 16, 17</t>
  </si>
  <si>
    <t>5, 9, 10, 12, 15, 16, 17</t>
  </si>
  <si>
    <t>5, 9, 10, 13, 14, 15, 16</t>
  </si>
  <si>
    <t>5, 9, 10, 13, 14, 15, 17</t>
  </si>
  <si>
    <t>5, 9, 10, 13, 14, 16, 17</t>
  </si>
  <si>
    <t>5, 9, 10, 13, 15, 16, 17</t>
  </si>
  <si>
    <t>5, 9, 10, 14, 15, 16, 17</t>
  </si>
  <si>
    <t>5, 9, 12, 13, 14, 15, 16</t>
  </si>
  <si>
    <t>5, 9, 12, 13, 14, 15, 17</t>
  </si>
  <si>
    <t>5, 9, 12, 13, 14, 16, 17</t>
  </si>
  <si>
    <t>5, 9, 12, 13, 15, 16, 17</t>
  </si>
  <si>
    <t>5, 9, 12, 14, 15, 16, 17</t>
  </si>
  <si>
    <t>5, 9, 13, 14, 15, 16, 17</t>
  </si>
  <si>
    <t>5, 10, 12, 13, 14, 15, 16</t>
  </si>
  <si>
    <t>5, 10, 12, 13, 14, 15, 17</t>
  </si>
  <si>
    <t>5, 10, 12, 13, 14, 16, 17</t>
  </si>
  <si>
    <t>5, 10, 12, 13, 15, 16, 17</t>
  </si>
  <si>
    <t>5, 10, 12, 14, 15, 16, 17</t>
  </si>
  <si>
    <t>5, 10, 13, 14, 15, 16, 17</t>
  </si>
  <si>
    <t>5, 12, 13, 14, 15, 16, 17</t>
  </si>
  <si>
    <t>6, 9, 10, 12, 13, 14, 15</t>
  </si>
  <si>
    <t>6, 9, 10, 12, 13, 14, 16</t>
  </si>
  <si>
    <t>6, 9, 10, 12, 13, 14, 17</t>
  </si>
  <si>
    <t>6, 9, 10, 12, 13, 15, 16</t>
  </si>
  <si>
    <t>6, 9, 10, 12, 13, 15, 17</t>
  </si>
  <si>
    <t>6, 9, 10, 12, 13, 16, 17</t>
  </si>
  <si>
    <t>6, 9, 10, 12, 14, 15, 16</t>
  </si>
  <si>
    <t>6, 9, 10, 12, 14, 15, 17</t>
  </si>
  <si>
    <t>6, 9, 10, 12, 14, 16, 17</t>
  </si>
  <si>
    <t>6, 9, 10, 12, 15, 16, 17</t>
  </si>
  <si>
    <t>6, 9, 10, 13, 14, 15, 16</t>
  </si>
  <si>
    <t>6, 9, 10, 13, 14, 15, 17</t>
  </si>
  <si>
    <t>6, 9, 10, 13, 14, 16, 17</t>
  </si>
  <si>
    <t>6, 9, 10, 13, 15, 16, 17</t>
  </si>
  <si>
    <t>6, 9, 10, 14, 15, 16, 17</t>
  </si>
  <si>
    <t>6, 9, 12, 13, 14, 15, 16</t>
  </si>
  <si>
    <t>6, 9, 12, 13, 14, 15, 17</t>
  </si>
  <si>
    <t>6, 9, 12, 13, 14, 16, 17</t>
  </si>
  <si>
    <t>6, 9, 12, 13, 15, 16, 17</t>
  </si>
  <si>
    <t>6, 9, 12, 14, 15, 16, 17</t>
  </si>
  <si>
    <t>6, 9, 13, 14, 15, 16, 17</t>
  </si>
  <si>
    <t>6, 10, 12, 13, 14, 15, 16</t>
  </si>
  <si>
    <t>6, 10, 12, 13, 14, 15, 17</t>
  </si>
  <si>
    <t>6, 10, 12, 13, 14, 16, 17</t>
  </si>
  <si>
    <t>6, 10, 12, 13, 15, 16, 17</t>
  </si>
  <si>
    <t>6, 10, 12, 14, 15, 16, 17</t>
  </si>
  <si>
    <t>6, 10, 13, 14, 15, 16, 17</t>
  </si>
  <si>
    <t>6, 12, 13, 14, 15, 16, 17</t>
  </si>
  <si>
    <t>9, 10, 12, 13, 14, 15, 16</t>
  </si>
  <si>
    <t>9, 10, 12, 13, 14, 15, 17</t>
  </si>
  <si>
    <t>9, 10, 12, 13, 14, 16, 17</t>
  </si>
  <si>
    <t>9, 10, 12, 13, 15, 16, 17</t>
  </si>
  <si>
    <t>9, 10, 12, 14, 15, 16, 17</t>
  </si>
  <si>
    <t>9, 10, 13, 14, 15, 16, 17</t>
  </si>
  <si>
    <t>9, 12, 13, 14, 15, 16, 17</t>
  </si>
  <si>
    <t>10, 12, 13, 14, 15, 16, 17</t>
  </si>
  <si>
    <t>4, 5, 6, 9, 10, 12, 13, 14</t>
  </si>
  <si>
    <t>4, 5, 6, 9, 10, 12, 13, 15</t>
  </si>
  <si>
    <t>4, 5, 6, 9, 10, 12, 13, 16</t>
  </si>
  <si>
    <t>4, 5, 6, 9, 10, 12, 13, 17</t>
  </si>
  <si>
    <t>4, 5, 6, 9, 10, 12, 14, 15</t>
  </si>
  <si>
    <t>4, 5, 6, 9, 10, 12, 14, 16</t>
  </si>
  <si>
    <t>4, 5, 6, 9, 10, 12, 14, 17</t>
  </si>
  <si>
    <t>4, 5, 6, 9, 10, 12, 15, 16</t>
  </si>
  <si>
    <t>4, 5, 6, 9, 10, 12, 15, 17</t>
  </si>
  <si>
    <t>4, 5, 6, 9, 10, 12, 16, 17</t>
  </si>
  <si>
    <t>4, 5, 6, 9, 10, 13, 14, 15</t>
  </si>
  <si>
    <t>4, 5, 6, 9, 10, 13, 14, 16</t>
  </si>
  <si>
    <t>4, 5, 6, 9, 10, 13, 14, 17</t>
  </si>
  <si>
    <t>4, 5, 6, 9, 10, 13, 15, 16</t>
  </si>
  <si>
    <t>4, 5, 6, 9, 10, 13, 15, 17</t>
  </si>
  <si>
    <t>4, 5, 6, 9, 10, 13, 16, 17</t>
  </si>
  <si>
    <t>4, 5, 6, 9, 10, 14, 15, 16</t>
  </si>
  <si>
    <t>4, 5, 6, 9, 10, 14, 15, 17</t>
  </si>
  <si>
    <t>4, 5, 6, 9, 10, 14, 16, 17</t>
  </si>
  <si>
    <t>4, 5, 6, 9, 10, 15, 16, 17</t>
  </si>
  <si>
    <t>4, 5, 6, 9, 12, 13, 14, 15</t>
  </si>
  <si>
    <t>4, 5, 6, 9, 12, 13, 14, 16</t>
  </si>
  <si>
    <t>4, 5, 6, 9, 12, 13, 14, 17</t>
  </si>
  <si>
    <t>4, 5, 6, 9, 12, 13, 15, 16</t>
  </si>
  <si>
    <t>4, 5, 6, 9, 12, 13, 15, 17</t>
  </si>
  <si>
    <t>4, 5, 6, 9, 12, 13, 16, 17</t>
  </si>
  <si>
    <t>4, 5, 6, 9, 12, 14, 15, 16</t>
  </si>
  <si>
    <t>4, 5, 6, 9, 12, 14, 15, 17</t>
  </si>
  <si>
    <t>4, 5, 6, 9, 12, 14, 16, 17</t>
  </si>
  <si>
    <t>4, 5, 6, 9, 12, 15, 16, 17</t>
  </si>
  <si>
    <t>4, 5, 6, 9, 13, 14, 15, 16</t>
  </si>
  <si>
    <t>4, 5, 6, 9, 13, 14, 15, 17</t>
  </si>
  <si>
    <t>4, 5, 6, 9, 13, 14, 16, 17</t>
  </si>
  <si>
    <t>4, 5, 6, 9, 13, 15, 16, 17</t>
  </si>
  <si>
    <t>4, 5, 6, 9, 14, 15, 16, 17</t>
  </si>
  <si>
    <t>4, 5, 6, 10, 12, 13, 14, 15</t>
  </si>
  <si>
    <t>4, 5, 6, 10, 12, 13, 14, 16</t>
  </si>
  <si>
    <t>4, 5, 6, 10, 12, 13, 14, 17</t>
  </si>
  <si>
    <t>4, 5, 6, 10, 12, 13, 15, 16</t>
  </si>
  <si>
    <t>4, 5, 6, 10, 12, 13, 15, 17</t>
  </si>
  <si>
    <t>4, 5, 6, 10, 12, 13, 16, 17</t>
  </si>
  <si>
    <t>4, 5, 6, 10, 12, 14, 15, 16</t>
  </si>
  <si>
    <t>4, 5, 6, 10, 12, 14, 15, 17</t>
  </si>
  <si>
    <t>4, 5, 6, 10, 12, 14, 16, 17</t>
  </si>
  <si>
    <t>4, 5, 6, 10, 12, 15, 16, 17</t>
  </si>
  <si>
    <t>4, 5, 6, 10, 13, 14, 15, 16</t>
  </si>
  <si>
    <t>4, 5, 6, 10, 13, 14, 15, 17</t>
  </si>
  <si>
    <t>4, 5, 6, 10, 13, 14, 16, 17</t>
  </si>
  <si>
    <t>4, 5, 6, 10, 13, 15, 16, 17</t>
  </si>
  <si>
    <t>4, 5, 6, 10, 14, 15, 16, 17</t>
  </si>
  <si>
    <t>4, 5, 6, 12, 13, 14, 15, 16</t>
  </si>
  <si>
    <t>4, 5, 6, 12, 13, 14, 15, 17</t>
  </si>
  <si>
    <t>4, 5, 6, 12, 13, 14, 16, 17</t>
  </si>
  <si>
    <t>4, 5, 6, 12, 13, 15, 16, 17</t>
  </si>
  <si>
    <t>4, 5, 6, 12, 14, 15, 16, 17</t>
  </si>
  <si>
    <t>4, 5, 6, 13, 14, 15, 16, 17</t>
  </si>
  <si>
    <t>4, 5, 9, 10, 12, 13, 14, 15</t>
  </si>
  <si>
    <t>4, 5, 9, 10, 12, 13, 14, 16</t>
  </si>
  <si>
    <t>4, 5, 9, 10, 12, 13, 14, 17</t>
  </si>
  <si>
    <t>4, 5, 9, 10, 12, 13, 15, 16</t>
  </si>
  <si>
    <t>4, 5, 9, 10, 12, 13, 15, 17</t>
  </si>
  <si>
    <t>4, 5, 9, 10, 12, 13, 16, 17</t>
  </si>
  <si>
    <t>4, 5, 9, 10, 12, 14, 15, 16</t>
  </si>
  <si>
    <t>4, 5, 9, 10, 12, 14, 15, 17</t>
  </si>
  <si>
    <t>4, 5, 9, 10, 12, 14, 16, 17</t>
  </si>
  <si>
    <t>4, 5, 9, 10, 12, 15, 16, 17</t>
  </si>
  <si>
    <t>4, 5, 9, 10, 13, 14, 15, 16</t>
  </si>
  <si>
    <t>4, 5, 9, 10, 13, 14, 15, 17</t>
  </si>
  <si>
    <t>4, 5, 9, 10, 13, 14, 16, 17</t>
  </si>
  <si>
    <t>4, 5, 9, 10, 13, 15, 16, 17</t>
  </si>
  <si>
    <t>4, 5, 9, 10, 14, 15, 16, 17</t>
  </si>
  <si>
    <t>4, 5, 9, 12, 13, 14, 15, 16</t>
  </si>
  <si>
    <t>4, 5, 9, 12, 13, 14, 15, 17</t>
  </si>
  <si>
    <t>4, 5, 9, 12, 13, 14, 16, 17</t>
  </si>
  <si>
    <t>4, 5, 9, 12, 13, 15, 16, 17</t>
  </si>
  <si>
    <t>4, 5, 9, 12, 14, 15, 16, 17</t>
  </si>
  <si>
    <t>4, 5, 9, 13, 14, 15, 16, 17</t>
  </si>
  <si>
    <t>4, 5, 10, 12, 13, 14, 15, 16</t>
  </si>
  <si>
    <t>4, 5, 10, 12, 13, 14, 15, 17</t>
  </si>
  <si>
    <t>4, 5, 10, 12, 13, 14, 16, 17</t>
  </si>
  <si>
    <t>4, 5, 10, 12, 13, 15, 16, 17</t>
  </si>
  <si>
    <t>4, 5, 10, 12, 14, 15, 16, 17</t>
  </si>
  <si>
    <t>4, 5, 10, 13, 14, 15, 16, 17</t>
  </si>
  <si>
    <t>4, 5, 12, 13, 14, 15, 16, 17</t>
  </si>
  <si>
    <t>4, 6, 9, 10, 12, 13, 14, 15</t>
  </si>
  <si>
    <t>4, 6, 9, 10, 12, 13, 14, 16</t>
  </si>
  <si>
    <t>4, 6, 9, 10, 12, 13, 14, 17</t>
  </si>
  <si>
    <t>4, 6, 9, 10, 12, 13, 15, 16</t>
  </si>
  <si>
    <t>4, 6, 9, 10, 12, 13, 15, 17</t>
  </si>
  <si>
    <t>4, 6, 9, 10, 12, 13, 16, 17</t>
  </si>
  <si>
    <t>4, 6, 9, 10, 12, 14, 15, 16</t>
  </si>
  <si>
    <t>4, 6, 9, 10, 12, 14, 15, 17</t>
  </si>
  <si>
    <t>4, 6, 9, 10, 12, 14, 16, 17</t>
  </si>
  <si>
    <t>4, 6, 9, 10, 12, 15, 16, 17</t>
  </si>
  <si>
    <t>4, 6, 9, 10, 13, 14, 15, 16</t>
  </si>
  <si>
    <t>4, 6, 9, 10, 13, 14, 15, 17</t>
  </si>
  <si>
    <t>4, 6, 9, 10, 13, 14, 16, 17</t>
  </si>
  <si>
    <t>4, 6, 9, 10, 13, 15, 16, 17</t>
  </si>
  <si>
    <t>4, 6, 9, 10, 14, 15, 16, 17</t>
  </si>
  <si>
    <t>4, 6, 9, 12, 13, 14, 15, 16</t>
  </si>
  <si>
    <t>4, 6, 9, 12, 13, 14, 15, 17</t>
  </si>
  <si>
    <t>4, 6, 9, 12, 13, 14, 16, 17</t>
  </si>
  <si>
    <t>4, 6, 9, 12, 13, 15, 16, 17</t>
  </si>
  <si>
    <t>4, 6, 9, 12, 14, 15, 16, 17</t>
  </si>
  <si>
    <t>4, 6, 9, 13, 14, 15, 16, 17</t>
  </si>
  <si>
    <t>4, 6, 10, 12, 13, 14, 15, 16</t>
  </si>
  <si>
    <t>4, 6, 10, 12, 13, 14, 15, 17</t>
  </si>
  <si>
    <t>4, 6, 10, 12, 13, 14, 16, 17</t>
  </si>
  <si>
    <t>4, 6, 10, 12, 13, 15, 16, 17</t>
  </si>
  <si>
    <t>4, 6, 10, 12, 14, 15, 16, 17</t>
  </si>
  <si>
    <t>4, 6, 10, 13, 14, 15, 16, 17</t>
  </si>
  <si>
    <t>4, 6, 12, 13, 14, 15, 16, 17</t>
  </si>
  <si>
    <t>4, 9, 10, 12, 13, 14, 15, 16</t>
  </si>
  <si>
    <t>4, 9, 10, 12, 13, 14, 15, 17</t>
  </si>
  <si>
    <t>4, 9, 10, 12, 13, 14, 16, 17</t>
  </si>
  <si>
    <t>4, 9, 10, 12, 13, 15, 16, 17</t>
  </si>
  <si>
    <t>4, 9, 10, 12, 14, 15, 16, 17</t>
  </si>
  <si>
    <t>4, 9, 10, 13, 14, 15, 16, 17</t>
  </si>
  <si>
    <t>4, 9, 12, 13, 14, 15, 16, 17</t>
  </si>
  <si>
    <t>4, 10, 12, 13, 14, 15, 16, 17</t>
  </si>
  <si>
    <t>5, 6, 9, 10, 12, 13, 14, 15</t>
  </si>
  <si>
    <t>5, 6, 9, 10, 12, 13, 14, 16</t>
  </si>
  <si>
    <t>5, 6, 9, 10, 12, 13, 14, 17</t>
  </si>
  <si>
    <t>5, 6, 9, 10, 12, 13, 15, 16</t>
  </si>
  <si>
    <t>5, 6, 9, 10, 12, 13, 15, 17</t>
  </si>
  <si>
    <t>5, 6, 9, 10, 12, 13, 16, 17</t>
  </si>
  <si>
    <t>5, 6, 9, 10, 12, 14, 15, 16</t>
  </si>
  <si>
    <t>5, 6, 9, 10, 12, 14, 15, 17</t>
  </si>
  <si>
    <t>5, 6, 9, 10, 12, 14, 16, 17</t>
  </si>
  <si>
    <t>5, 6, 9, 10, 12, 15, 16, 17</t>
  </si>
  <si>
    <t>5, 6, 9, 10, 13, 14, 15, 16</t>
  </si>
  <si>
    <t>5, 6, 9, 10, 13, 14, 15, 17</t>
  </si>
  <si>
    <t>5, 6, 9, 10, 13, 14, 16, 17</t>
  </si>
  <si>
    <t>5, 6, 9, 10, 13, 15, 16, 17</t>
  </si>
  <si>
    <t>5, 6, 9, 10, 14, 15, 16, 17</t>
  </si>
  <si>
    <t>5, 6, 9, 12, 13, 14, 15, 16</t>
  </si>
  <si>
    <t>5, 6, 9, 12, 13, 14, 15, 17</t>
  </si>
  <si>
    <t>5, 6, 9, 12, 13, 14, 16, 17</t>
  </si>
  <si>
    <t>5, 6, 9, 12, 13, 15, 16, 17</t>
  </si>
  <si>
    <t>5, 6, 9, 12, 14, 15, 16, 17</t>
  </si>
  <si>
    <t>5, 6, 9, 13, 14, 15, 16, 17</t>
  </si>
  <si>
    <t>5, 6, 10, 12, 13, 14, 15, 16</t>
  </si>
  <si>
    <t>5, 6, 10, 12, 13, 14, 15, 17</t>
  </si>
  <si>
    <t>5, 6, 10, 12, 13, 14, 16, 17</t>
  </si>
  <si>
    <t>5, 6, 10, 12, 13, 15, 16, 17</t>
  </si>
  <si>
    <t>5, 6, 10, 12, 14, 15, 16, 17</t>
  </si>
  <si>
    <t>5, 6, 10, 13, 14, 15, 16, 17</t>
  </si>
  <si>
    <t>5, 6, 12, 13, 14, 15, 16, 17</t>
  </si>
  <si>
    <t>5, 9, 10, 12, 13, 14, 15, 16</t>
  </si>
  <si>
    <t>5, 9, 10, 12, 13, 14, 15, 17</t>
  </si>
  <si>
    <t>5, 9, 10, 12, 13, 14, 16, 17</t>
  </si>
  <si>
    <t>5, 9, 10, 12, 13, 15, 16, 17</t>
  </si>
  <si>
    <t>5, 9, 10, 12, 14, 15, 16, 17</t>
  </si>
  <si>
    <t>5, 9, 10, 13, 14, 15, 16, 17</t>
  </si>
  <si>
    <t>5, 9, 12, 13, 14, 15, 16, 17</t>
  </si>
  <si>
    <t>5, 10, 12, 13, 14, 15, 16, 17</t>
  </si>
  <si>
    <t>6, 9, 10, 12, 13, 14, 15, 16</t>
  </si>
  <si>
    <t>6, 9, 10, 12, 13, 14, 15, 17</t>
  </si>
  <si>
    <t>6, 9, 10, 12, 13, 14, 16, 17</t>
  </si>
  <si>
    <t>6, 9, 10, 12, 13, 15, 16, 17</t>
  </si>
  <si>
    <t>6, 9, 10, 12, 14, 15, 16, 17</t>
  </si>
  <si>
    <t>6, 9, 10, 13, 14, 15, 16, 17</t>
  </si>
  <si>
    <t>6, 9, 12, 13, 14, 15, 16, 17</t>
  </si>
  <si>
    <t>6, 10, 12, 13, 14, 15, 16, 17</t>
  </si>
  <si>
    <t>9, 10, 12, 13, 14, 15, 16, 17</t>
  </si>
  <si>
    <t>4, 5, 6, 9, 10, 12, 13, 14, 15</t>
  </si>
  <si>
    <t>4, 5, 6, 9, 10, 12, 13, 14, 16</t>
  </si>
  <si>
    <t>4, 5, 6, 9, 10, 12, 13, 14, 17</t>
  </si>
  <si>
    <t>4, 5, 6, 9, 10, 12, 13, 15, 16</t>
  </si>
  <si>
    <t>4, 5, 6, 9, 10, 12, 13, 15, 17</t>
  </si>
  <si>
    <t>4, 5, 6, 9, 10, 12, 13, 16, 17</t>
  </si>
  <si>
    <t>4, 5, 6, 9, 10, 12, 14, 15, 16</t>
  </si>
  <si>
    <t>4, 5, 6, 9, 10, 12, 14, 15, 17</t>
  </si>
  <si>
    <t>4, 5, 6, 9, 10, 12, 14, 16, 17</t>
  </si>
  <si>
    <t>4, 5, 6, 9, 10, 12, 15, 16, 17</t>
  </si>
  <si>
    <t>4, 5, 6, 9, 10, 13, 14, 15, 16</t>
  </si>
  <si>
    <t>4, 5, 6, 9, 10, 13, 14, 15, 17</t>
  </si>
  <si>
    <t>4, 5, 6, 9, 10, 13, 14, 16, 17</t>
  </si>
  <si>
    <t>4, 5, 6, 9, 10, 13, 15, 16, 17</t>
  </si>
  <si>
    <t>4, 5, 6, 9, 10, 14, 15, 16, 17</t>
  </si>
  <si>
    <t>4, 5, 6, 9, 12, 13, 14, 15, 16</t>
  </si>
  <si>
    <t>4, 5, 6, 9, 12, 13, 14, 15, 17</t>
  </si>
  <si>
    <t>4, 5, 6, 9, 12, 13, 14, 16, 17</t>
  </si>
  <si>
    <t>4, 5, 6, 9, 12, 13, 15, 16, 17</t>
  </si>
  <si>
    <t>4, 5, 6, 9, 12, 14, 15, 16, 17</t>
  </si>
  <si>
    <t>4, 5, 6, 9, 13, 14, 15, 16, 17</t>
  </si>
  <si>
    <t>4, 5, 6, 10, 12, 13, 14, 15, 16</t>
  </si>
  <si>
    <t>4, 5, 6, 10, 12, 13, 14, 15, 17</t>
  </si>
  <si>
    <t>4, 5, 6, 10, 12, 13, 14, 16, 17</t>
  </si>
  <si>
    <t>4, 5, 6, 10, 12, 13, 15, 16, 17</t>
  </si>
  <si>
    <t>4, 5, 6, 10, 12, 14, 15, 16, 17</t>
  </si>
  <si>
    <t>4, 5, 6, 10, 13, 14, 15, 16, 17</t>
  </si>
  <si>
    <t>4, 5, 6, 12, 13, 14, 15, 16, 17</t>
  </si>
  <si>
    <t>4, 5, 9, 10, 12, 13, 14, 15, 16</t>
  </si>
  <si>
    <t>4, 5, 9, 10, 12, 13, 14, 15, 17</t>
  </si>
  <si>
    <t>4, 5, 9, 10, 12, 13, 14, 16, 17</t>
  </si>
  <si>
    <t>4, 5, 9, 10, 12, 13, 15, 16, 17</t>
  </si>
  <si>
    <t>4, 5, 9, 10, 12, 14, 15, 16, 17</t>
  </si>
  <si>
    <t>4, 5, 9, 10, 13, 14, 15, 16, 17</t>
  </si>
  <si>
    <t>4, 5, 9, 12, 13, 14, 15, 16, 17</t>
  </si>
  <si>
    <t>4, 5, 10, 12, 13, 14, 15, 16, 17</t>
  </si>
  <si>
    <t>4, 6, 9, 10, 12, 13, 14, 15, 16</t>
  </si>
  <si>
    <t>4, 6, 9, 10, 12, 13, 14, 15, 17</t>
  </si>
  <si>
    <t>4, 6, 9, 10, 12, 13, 14, 16, 17</t>
  </si>
  <si>
    <t>4, 6, 9, 10, 12, 13, 15, 16, 17</t>
  </si>
  <si>
    <t>4, 6, 9, 10, 12, 14, 15, 16, 17</t>
  </si>
  <si>
    <t>4, 6, 9, 10, 13, 14, 15, 16, 17</t>
  </si>
  <si>
    <t>4, 6, 9, 12, 13, 14, 15, 16, 17</t>
  </si>
  <si>
    <t>4, 6, 10, 12, 13, 14, 15, 16, 17</t>
  </si>
  <si>
    <t>4, 9, 10, 12, 13, 14, 15, 16, 17</t>
  </si>
  <si>
    <t>5, 6, 9, 10, 12, 13, 14, 15, 16</t>
  </si>
  <si>
    <t>5, 6, 9, 10, 12, 13, 14, 15, 17</t>
  </si>
  <si>
    <t>5, 6, 9, 10, 12, 13, 14, 16, 17</t>
  </si>
  <si>
    <t>5, 6, 9, 10, 12, 13, 15, 16, 17</t>
  </si>
  <si>
    <t>5, 6, 9, 10, 12, 14, 15, 16, 17</t>
  </si>
  <si>
    <t>5, 6, 9, 10, 13, 14, 15, 16, 17</t>
  </si>
  <si>
    <t>5, 6, 9, 12, 13, 14, 15, 16, 17</t>
  </si>
  <si>
    <t>5, 6, 10, 12, 13, 14, 15, 16, 17</t>
  </si>
  <si>
    <t>5, 9, 10, 12, 13, 14, 15, 16, 17</t>
  </si>
  <si>
    <t>6, 9, 10, 12, 13, 14, 15, 16, 17</t>
  </si>
  <si>
    <t>4, 5, 6, 9, 10, 12, 13, 14, 15, 16</t>
  </si>
  <si>
    <t>4, 5, 6, 9, 10, 12, 13, 14, 15, 17</t>
  </si>
  <si>
    <t>4, 5, 6, 9, 10, 12, 13, 14, 16, 17</t>
  </si>
  <si>
    <t>4, 5, 6, 9, 10, 12, 13, 15, 16, 17</t>
  </si>
  <si>
    <t>4, 5, 6, 9, 10, 12, 14, 15, 16, 17</t>
  </si>
  <si>
    <t>4, 5, 6, 9, 10, 13, 14, 15, 16, 17</t>
  </si>
  <si>
    <t>4, 5, 6, 9, 12, 13, 14, 15, 16, 17</t>
  </si>
  <si>
    <t>4, 5, 6, 10, 12, 13, 14, 15, 16, 17</t>
  </si>
  <si>
    <t>4, 5, 9, 10, 12, 13, 14, 15, 16, 17</t>
  </si>
  <si>
    <t>4, 6, 9, 10, 12, 13, 14, 15, 16, 17</t>
  </si>
  <si>
    <t>5, 6, 9, 10, 12, 13, 14, 15, 16, 17</t>
  </si>
  <si>
    <t>4, 5, 6, 9, 10, 12, 13, 14, 15, 16, 17</t>
  </si>
  <si>
    <t>Valor Vol Rec</t>
  </si>
  <si>
    <t>#Comb.MM OK</t>
  </si>
  <si>
    <t>#Comb.BC OK</t>
  </si>
  <si>
    <t>Recomendación BC min</t>
  </si>
  <si>
    <t>Valor #15 Mayor Volumen Recuperado</t>
  </si>
  <si>
    <t>1, 2, 3, 4, 5, 6, 9, 10, 12, 13, 14, 15, 16, 17</t>
  </si>
  <si>
    <t>CONTROLES DE INTEGRIDAD DEL MODELO (CT-005)</t>
  </si>
  <si>
    <t>Tabla PROGRAMAS (clave)</t>
  </si>
  <si>
    <t>Tabla VOL_REC (clave)</t>
  </si>
  <si>
    <t>Diversidad de B/C en Registros</t>
  </si>
  <si>
    <t>Plantilla GESPER v2.5 — qué corrige, qué conserva y qué queda pendiente</t>
  </si>
  <si>
    <t>La plantilla se validó contra el caso de referencia de Bucaramanga (CR-AMB-BUC-001) y reproduce sus 16 indicadores financieros, varios exactos hasta el último dígito. Para lograrlo se restituyeron 3.374 celdas de estructura que faltaban (series del Banco de la República, tablas de índices y de años) y se devolvieron a su forma original 13 arreglos que habían cambiado la manera de calcular volúmenes, costos y enlaces entre programas.</t>
  </si>
  <si>
    <t>1. Los números cierran con el caso oficial</t>
  </si>
  <si>
    <t>El flujo de caja mezclaba unidades: una fila estaba en pesos y sus vecinas en millones, y al restarlas el resultado quedaba desviado por un factor de un millón. Además tenía vacías las celdas del IPC y de la tasa de descuento, de modo que el modelo descontaba a tasa cero sin avisar. Corregido eso, los 16 indicadores del caso de referencia coinciden.</t>
  </si>
  <si>
    <t>2. El motor recomienda por el criterio correcto</t>
  </si>
  <si>
    <t>La combinación recomendada ya no se toma de una fila fija de la lista: se elige la de mayor volumen de agua recuperada entre las que cumplen el presupuesto y la relación beneficio/costo exigida.</t>
  </si>
  <si>
    <t>3. El archivo abre sin avisos de referencias circulares</t>
  </si>
  <si>
    <t>Las dos cadenas de celdas que dependían de sí mismas están resueltas: la del programa 4 por fórmula, y la del enlace entre los programas 8 y 19 porque la fila de cantidades del programa 19 vuelve a ser una entrada que se diligencia, no un cálculo derivado.</t>
  </si>
  <si>
    <t>4. El motor de combinaciones no pierde opciones</t>
  </si>
  <si>
    <t>El proceso que arma las combinaciones ya no descarta en silencio la opción de tamaño máximo, tiene manejo de errores y deja el libro en un estado consistente si algo falla. Ese bloque vive en el código (VBA) y no se modificó en esta versión.</t>
  </si>
  <si>
    <t>5. Se repusieron los controles de integridad</t>
  </si>
  <si>
    <t>Qué hay que hacer antes de usarla</t>
  </si>
  <si>
    <t>Diligenciar PARÁMETROS!E8 (WACC de la empresa) y E9: si se dejan vacías, el modelo descuenta al 3,56 % en lugar del WACC real y ninguna fórmula lo advierte. Quedan además dos decisiones abiertas y dos defectos de código pendientes, todos listados en la hoja FIX PLANTILLA.</t>
  </si>
  <si>
    <t>La hoja Alternativas muestra tres avisos (X26:Y29) que detectan si falta la tabla de programas, si falta el volumen recuperado, o si el motor todavía no se ha ejecutado. No intervienen en ningún cálculo: sólo avisan.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</si>
</sst>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6" formatCode="&quot;$&quot;\ #,##0;[Red]\-&quot;$&quot;\ #,##0"/>
    <numFmt numFmtId="8" formatCode="&quot;$&quot;\ #,##0.00;[Red]\-&quot;$&quot;\ #,##0.00"/>
    <numFmt numFmtId="42" formatCode="_-&quot;$&quot;\ * #,##0_-;\-&quot;$&quot;\ * #,##0_-;_-&quot;$&quot;\ * &quot;-&quot;_-;_-@_-"/>
    <numFmt numFmtId="41" formatCode="_-* #,##0_-;\-* #,##0_-;_-* &quot;-&quot;_-;_-@_-"/>
    <numFmt numFmtId="44" formatCode="_-&quot;$&quot;\ * #,##0.00_-;\-&quot;$&quot;\ * #,##0.00_-;_-&quot;$&quot;\ * &quot;-&quot;??_-;_-@_-"/>
    <numFmt numFmtId="43" formatCode="_-* #,##0.00_-;\-* #,##0.00_-;_-* &quot;-&quot;??_-;_-@_-"/>
    <numFmt numFmtId="164" formatCode="0.0%"/>
    <numFmt numFmtId="165" formatCode="0.000%"/>
    <numFmt numFmtId="166" formatCode="_(* #,##0.00_);_(* \(#,##0.00\);_(* &quot;-&quot;??_);_(@_)"/>
    <numFmt numFmtId="167" formatCode="0_);\(0\)"/>
    <numFmt numFmtId="168" formatCode="_-[$$-240A]\ * #,##0.00_-;\-[$$-240A]\ * #,##0.00_-;_-[$$-240A]\ * &quot;-&quot;??_-;_-@_-"/>
    <numFmt numFmtId="169" formatCode="0.0"/>
    <numFmt numFmtId="170" formatCode="_-[$$-240A]* #,##0.00_-;\-[$$-240A]* #,##0.00_-;_-[$$-240A]* &quot;-&quot;??_-;_-@_-"/>
    <numFmt numFmtId="171" formatCode="[$$-240A]\ #,##0.00"/>
    <numFmt numFmtId="172" formatCode="0.0000%"/>
    <numFmt numFmtId="173" formatCode="####\-##"/>
    <numFmt numFmtId="174" formatCode="#,##0.00000"/>
    <numFmt numFmtId="175" formatCode="0.00_);\(0.00\)"/>
    <numFmt numFmtId="176" formatCode="0.000"/>
    <numFmt numFmtId="177" formatCode="_-&quot;$&quot;\ * #,##0.00_-;\-&quot;$&quot;\ * #,##0.00_-;_-&quot;$&quot;\ * &quot;-&quot;_-;_-@_-"/>
    <numFmt numFmtId="178" formatCode="#,##0&quot; d,ac,al&quot;"/>
    <numFmt numFmtId="179" formatCode="#,##0\ &quot; BCR,ac,al&quot;"/>
    <numFmt numFmtId="180" formatCode="#,##0&quot; CI,ac,al&quot;"/>
    <numFmt numFmtId="181" formatCode="#,##0&quot; CCP,ac,al&quot;"/>
    <numFmt numFmtId="182" formatCode="_-&quot;$&quot;* #,##0.00_-;\-&quot;$&quot;* #,##0.00_-;_-&quot;$&quot;* &quot;-&quot;_-;_-@_-"/>
    <numFmt numFmtId="183" formatCode="dd\-mm\-yy;@"/>
    <numFmt numFmtId="184" formatCode="_(* #,##0_);_(* \(#,##0\);_(* &quot;-&quot;??_);_(@_)"/>
    <numFmt numFmtId="185" formatCode="#,##0.0"/>
    <numFmt numFmtId="186" formatCode="_-* #,##0.00_-;\-* #,##0.00_-;_-* &quot;-&quot;_-;_-@_-"/>
    <numFmt numFmtId="187" formatCode="_-&quot;$&quot;\ * #,##0_-;\-&quot;$&quot;\ * #,##0_-;_-&quot;$&quot;\ * &quot;-&quot;??_-;_-@_-"/>
    <numFmt numFmtId="188" formatCode="_-* #,##0.00000_-;\-* #,##0.00000_-;_-* &quot;-&quot;_-;_-@_-"/>
    <numFmt numFmtId="189" formatCode="_-[$$-240A]\ * #,##0_-;\-[$$-240A]\ * #,##0_-;_-[$$-240A]\ * &quot;-&quot;_-;_-@_-"/>
    <numFmt numFmtId="190" formatCode="#,##0.0000"/>
    <numFmt numFmtId="191" formatCode="0.000000000"/>
    <numFmt numFmtId="192" formatCode="&quot;$&quot;\ #,##0"/>
    <numFmt numFmtId="193" formatCode="0.0000"/>
    <numFmt numFmtId="194" formatCode="_-* #,##0_-;\-* #,##0_-;_-* &quot;-&quot;??_-;_-@_-"/>
    <numFmt numFmtId="195" formatCode="_(* #,##0_);_(* \(#,##0\);_(* &quot;-&quot;_);_(@_)"/>
    <numFmt numFmtId="196" formatCode="_-[$$-240A]* #,##0.0000_-;\-[$$-240A]* #,##0.0000_-;_-[$$-240A]* &quot;-&quot;??_-;_-@_-"/>
  </numFmts>
  <fonts count="179" x14ac:knownFonts="1">
    <font>
      <sz val="11"/>
      <color theme="1"/>
      <name val="Calibri Light"/>
      <family val="2"/>
      <scheme val="minor"/>
    </font>
    <font>
      <sz val="11"/>
      <color theme="1"/>
      <name val="Calibri Light"/>
      <family val="2"/>
      <scheme val="minor"/>
    </font>
    <font>
      <sz val="11"/>
      <color theme="1"/>
      <name val="Calibri Light"/>
      <family val="2"/>
      <scheme val="minor"/>
    </font>
    <font>
      <b/>
      <sz val="11"/>
      <color theme="1"/>
      <name val="Calibri Light"/>
      <family val="2"/>
      <scheme val="minor"/>
    </font>
    <font>
      <sz val="11"/>
      <color theme="4"/>
      <name val="Calibri Light"/>
      <family val="2"/>
      <scheme val="minor"/>
    </font>
    <font>
      <sz val="9"/>
      <color indexed="81"/>
      <name val="Tahoma"/>
      <family val="2"/>
    </font>
    <font>
      <sz val="11"/>
      <name val="Calibri Light"/>
      <family val="2"/>
      <scheme val="minor"/>
    </font>
    <font>
      <b/>
      <sz val="11"/>
      <name val="Calibri Light"/>
      <family val="2"/>
      <scheme val="minor"/>
    </font>
    <font>
      <sz val="11"/>
      <color theme="1"/>
      <name val="Calibri"/>
      <family val="2"/>
    </font>
    <font>
      <sz val="8"/>
      <name val="Calibri Light"/>
      <family val="2"/>
      <scheme val="minor"/>
    </font>
    <font>
      <b/>
      <sz val="9"/>
      <color theme="1"/>
      <name val="Calibri Light"/>
      <family val="2"/>
      <scheme val="minor"/>
    </font>
    <font>
      <sz val="9"/>
      <color theme="1"/>
      <name val="Calibri Light"/>
      <family val="2"/>
      <scheme val="minor"/>
    </font>
    <font>
      <sz val="9"/>
      <color theme="1"/>
      <name val="Arial"/>
      <family val="2"/>
    </font>
    <font>
      <b/>
      <sz val="9"/>
      <color theme="1"/>
      <name val="Arial"/>
      <family val="2"/>
    </font>
    <font>
      <vertAlign val="superscript"/>
      <sz val="9"/>
      <color theme="1"/>
      <name val="Arial"/>
      <family val="2"/>
    </font>
    <font>
      <sz val="9"/>
      <color theme="4"/>
      <name val="Arial"/>
      <family val="2"/>
    </font>
    <font>
      <sz val="9"/>
      <name val="Arial"/>
      <family val="2"/>
    </font>
    <font>
      <sz val="9"/>
      <color rgb="FFFF0000"/>
      <name val="Arial"/>
      <family val="2"/>
    </font>
    <font>
      <u/>
      <sz val="9"/>
      <color theme="1"/>
      <name val="Arial"/>
      <family val="2"/>
    </font>
    <font>
      <b/>
      <sz val="9"/>
      <color theme="4"/>
      <name val="Arial"/>
      <family val="2"/>
    </font>
    <font>
      <b/>
      <sz val="9"/>
      <name val="Arial"/>
      <family val="2"/>
    </font>
    <font>
      <sz val="9"/>
      <color rgb="FF0000FF"/>
      <name val="Arial"/>
      <family val="2"/>
    </font>
    <font>
      <b/>
      <sz val="9"/>
      <color indexed="81"/>
      <name val="Tahoma"/>
      <family val="2"/>
    </font>
    <font>
      <sz val="9"/>
      <color indexed="12"/>
      <name val="Arial"/>
      <family val="2"/>
    </font>
    <font>
      <b/>
      <sz val="12"/>
      <color theme="1"/>
      <name val="Arial"/>
      <family val="2"/>
    </font>
    <font>
      <sz val="12"/>
      <color theme="1"/>
      <name val="Arial"/>
      <family val="2"/>
    </font>
    <font>
      <b/>
      <sz val="14"/>
      <color theme="1"/>
      <name val="Arial"/>
      <family val="2"/>
    </font>
    <font>
      <sz val="14"/>
      <color theme="1"/>
      <name val="Arial"/>
      <family val="2"/>
    </font>
    <font>
      <sz val="14"/>
      <name val="Arial"/>
      <family val="2"/>
    </font>
    <font>
      <sz val="11"/>
      <color theme="1"/>
      <name val="Arial"/>
      <family val="2"/>
    </font>
    <font>
      <sz val="11"/>
      <color theme="4"/>
      <name val="Arial"/>
      <family val="2"/>
    </font>
    <font>
      <sz val="11"/>
      <color rgb="FFFF0000"/>
      <name val="Arial"/>
      <family val="2"/>
    </font>
    <font>
      <b/>
      <sz val="9"/>
      <color theme="0"/>
      <name val="Arial"/>
      <family val="2"/>
    </font>
    <font>
      <u/>
      <sz val="11"/>
      <color theme="10"/>
      <name val="Calibri Light"/>
      <family val="2"/>
      <scheme val="minor"/>
    </font>
    <font>
      <b/>
      <sz val="11"/>
      <color theme="1"/>
      <name val="Arial"/>
      <family val="2"/>
    </font>
    <font>
      <b/>
      <sz val="12"/>
      <color theme="0"/>
      <name val="Arial"/>
      <family val="2"/>
    </font>
    <font>
      <sz val="12"/>
      <color theme="0"/>
      <name val="Arial"/>
      <family val="2"/>
    </font>
    <font>
      <sz val="11"/>
      <name val="Arial"/>
      <family val="2"/>
    </font>
    <font>
      <b/>
      <sz val="11"/>
      <color theme="4"/>
      <name val="Arial"/>
      <family val="2"/>
    </font>
    <font>
      <b/>
      <sz val="11"/>
      <name val="Arial"/>
      <family val="2"/>
    </font>
    <font>
      <sz val="9"/>
      <color theme="6"/>
      <name val="Arial"/>
      <family val="2"/>
    </font>
    <font>
      <sz val="10"/>
      <name val="Arial"/>
      <family val="2"/>
    </font>
    <font>
      <sz val="9"/>
      <name val="Segoe UI"/>
      <family val="2"/>
      <charset val="204"/>
    </font>
    <font>
      <b/>
      <sz val="14"/>
      <color theme="0"/>
      <name val="Segoe UI"/>
      <family val="2"/>
      <charset val="204"/>
    </font>
    <font>
      <b/>
      <sz val="9"/>
      <name val="Segoe UI"/>
      <family val="2"/>
      <charset val="204"/>
    </font>
    <font>
      <sz val="8"/>
      <name val="Segoe UI"/>
      <family val="2"/>
      <charset val="204"/>
    </font>
    <font>
      <b/>
      <sz val="8"/>
      <name val="Segoe UI"/>
      <family val="2"/>
      <charset val="204"/>
    </font>
    <font>
      <sz val="10"/>
      <name val="Segoe UI"/>
      <family val="2"/>
      <charset val="204"/>
    </font>
    <font>
      <b/>
      <sz val="8"/>
      <name val="Arial"/>
      <family val="2"/>
    </font>
    <font>
      <sz val="8"/>
      <name val="Arial"/>
      <family val="2"/>
    </font>
    <font>
      <b/>
      <sz val="12"/>
      <color rgb="FF004677"/>
      <name val="Helvetica"/>
      <family val="2"/>
    </font>
    <font>
      <sz val="11"/>
      <color theme="1"/>
      <name val="Helvetica"/>
      <family val="2"/>
    </font>
    <font>
      <sz val="9"/>
      <color theme="1"/>
      <name val="Helvetica"/>
      <family val="2"/>
    </font>
    <font>
      <i/>
      <sz val="9"/>
      <color theme="1"/>
      <name val="Helvetica"/>
      <family val="2"/>
    </font>
    <font>
      <b/>
      <sz val="9.9499999999999993"/>
      <color theme="1"/>
      <name val="Arial"/>
      <family val="2"/>
    </font>
    <font>
      <sz val="10"/>
      <color theme="1"/>
      <name val="Arial"/>
      <family val="2"/>
    </font>
    <font>
      <b/>
      <sz val="9"/>
      <color theme="1"/>
      <name val="Helvetica"/>
      <family val="2"/>
    </font>
    <font>
      <u/>
      <sz val="9"/>
      <color rgb="FF0000FF"/>
      <name val="Helvetica"/>
      <family val="2"/>
    </font>
    <font>
      <sz val="10"/>
      <color rgb="FF000000"/>
      <name val="Tahoma"/>
      <family val="2"/>
    </font>
    <font>
      <b/>
      <sz val="10"/>
      <color rgb="FF000000"/>
      <name val="Tahoma"/>
      <family val="2"/>
    </font>
    <font>
      <b/>
      <sz val="16"/>
      <color rgb="FF333333"/>
      <name val="Arial"/>
      <family val="2"/>
    </font>
    <font>
      <b/>
      <sz val="10"/>
      <name val="Segoe UI"/>
      <family val="2"/>
    </font>
    <font>
      <b/>
      <sz val="9"/>
      <color rgb="FF000000"/>
      <name val="Tahoma"/>
      <family val="2"/>
    </font>
    <font>
      <sz val="9"/>
      <color rgb="FF000000"/>
      <name val="Tahoma"/>
      <family val="2"/>
    </font>
    <font>
      <b/>
      <u/>
      <sz val="9"/>
      <color theme="1"/>
      <name val="Arial"/>
      <family val="2"/>
    </font>
    <font>
      <b/>
      <sz val="15"/>
      <color theme="3"/>
      <name val="Calibri Light"/>
      <family val="2"/>
      <scheme val="minor"/>
    </font>
    <font>
      <sz val="11"/>
      <color theme="0"/>
      <name val="Calibri Light"/>
      <family val="2"/>
      <scheme val="minor"/>
    </font>
    <font>
      <b/>
      <sz val="10"/>
      <name val="Arial"/>
      <family val="2"/>
    </font>
    <font>
      <b/>
      <sz val="11"/>
      <color rgb="FF3F3F3F"/>
      <name val="Calibri Light"/>
      <family val="2"/>
      <scheme val="minor"/>
    </font>
    <font>
      <b/>
      <sz val="10"/>
      <color rgb="FF3F3F3F"/>
      <name val="Arial"/>
      <family val="2"/>
    </font>
    <font>
      <b/>
      <sz val="14"/>
      <name val="Arial"/>
      <family val="2"/>
    </font>
    <font>
      <sz val="10"/>
      <color theme="0"/>
      <name val="Arial"/>
      <family val="2"/>
    </font>
    <font>
      <b/>
      <sz val="10"/>
      <color theme="1"/>
      <name val="Arial"/>
      <family val="2"/>
    </font>
    <font>
      <sz val="10"/>
      <color theme="2" tint="-9.9978637043366805E-2"/>
      <name val="Arial"/>
      <family val="2"/>
    </font>
    <font>
      <sz val="10"/>
      <color theme="0" tint="-0.14999847407452621"/>
      <name val="Arial"/>
      <family val="2"/>
    </font>
    <font>
      <b/>
      <sz val="10"/>
      <color rgb="FFFF0000"/>
      <name val="Arial"/>
      <family val="2"/>
    </font>
    <font>
      <sz val="11"/>
      <color rgb="FF000000"/>
      <name val="Calibri"/>
      <family val="2"/>
    </font>
    <font>
      <b/>
      <sz val="28"/>
      <color theme="4" tint="-0.499984740745262"/>
      <name val="Times New Roman"/>
      <family val="1"/>
    </font>
    <font>
      <b/>
      <sz val="11"/>
      <color theme="0" tint="-0.249977111117893"/>
      <name val="Calibri Light"/>
      <family val="2"/>
      <scheme val="minor"/>
    </font>
    <font>
      <sz val="11"/>
      <color theme="0" tint="-0.249977111117893"/>
      <name val="Calibri Light"/>
      <family val="2"/>
      <scheme val="minor"/>
    </font>
    <font>
      <b/>
      <sz val="11"/>
      <color theme="4" tint="-0.499984740745262"/>
      <name val="Calibri Light"/>
      <family val="2"/>
      <scheme val="minor"/>
    </font>
    <font>
      <i/>
      <sz val="20"/>
      <color theme="1"/>
      <name val="Calibri Light"/>
      <family val="2"/>
      <scheme val="minor"/>
    </font>
    <font>
      <b/>
      <i/>
      <sz val="11"/>
      <color theme="4" tint="-0.499984740745262"/>
      <name val="Calibri Light"/>
      <family val="2"/>
      <scheme val="minor"/>
    </font>
    <font>
      <b/>
      <i/>
      <sz val="12"/>
      <color theme="4" tint="-0.499984740745262"/>
      <name val="Calibri Light"/>
      <family val="2"/>
      <scheme val="minor"/>
    </font>
    <font>
      <b/>
      <i/>
      <sz val="11"/>
      <name val="Calibri Light"/>
      <family val="2"/>
      <scheme val="minor"/>
    </font>
    <font>
      <i/>
      <sz val="22"/>
      <color theme="4" tint="-0.499984740745262"/>
      <name val="Calibri Light"/>
      <family val="2"/>
      <scheme val="minor"/>
    </font>
    <font>
      <b/>
      <sz val="12"/>
      <color theme="4" tint="-0.499984740745262"/>
      <name val="Calibri Light"/>
      <family val="2"/>
      <scheme val="minor"/>
    </font>
    <font>
      <b/>
      <sz val="22"/>
      <color theme="4" tint="-0.499984740745262"/>
      <name val="Aharoni"/>
    </font>
    <font>
      <b/>
      <sz val="16"/>
      <color theme="3" tint="9.9978637043366805E-2"/>
      <name val="Amasis MT Pro"/>
      <family val="1"/>
    </font>
    <font>
      <i/>
      <sz val="11"/>
      <color theme="4" tint="-0.249977111117893"/>
      <name val="Calibri Light"/>
      <family val="2"/>
      <scheme val="minor"/>
    </font>
    <font>
      <b/>
      <sz val="18"/>
      <color theme="1"/>
      <name val="Calibri Light"/>
      <family val="2"/>
      <scheme val="minor"/>
    </font>
    <font>
      <i/>
      <sz val="11"/>
      <color theme="1"/>
      <name val="Calibri Light"/>
      <family val="2"/>
      <scheme val="minor"/>
    </font>
    <font>
      <b/>
      <i/>
      <sz val="11"/>
      <color theme="1"/>
      <name val="Calibri Light"/>
      <family val="2"/>
      <scheme val="minor"/>
    </font>
    <font>
      <b/>
      <sz val="16"/>
      <color theme="1"/>
      <name val="Calibri Light"/>
      <family val="2"/>
      <scheme val="minor"/>
    </font>
    <font>
      <b/>
      <sz val="11"/>
      <color theme="3" tint="9.9978637043366805E-2"/>
      <name val="Calibri Light"/>
      <family val="2"/>
      <scheme val="minor"/>
    </font>
    <font>
      <b/>
      <i/>
      <sz val="11"/>
      <color theme="3" tint="9.9978637043366805E-2"/>
      <name val="Calibri Light"/>
      <family val="2"/>
      <scheme val="minor"/>
    </font>
    <font>
      <b/>
      <sz val="9"/>
      <name val="Calibri Light"/>
      <family val="2"/>
      <scheme val="minor"/>
    </font>
    <font>
      <sz val="9"/>
      <name val="Calibri Light"/>
      <family val="2"/>
      <scheme val="minor"/>
    </font>
    <font>
      <sz val="12"/>
      <color theme="1"/>
      <name val="Calibri Light"/>
      <family val="2"/>
      <scheme val="minor"/>
    </font>
    <font>
      <sz val="12"/>
      <color theme="3" tint="0.249977111117893"/>
      <name val="Calibri Light"/>
      <family val="2"/>
      <scheme val="minor"/>
    </font>
    <font>
      <b/>
      <sz val="9"/>
      <color rgb="FF000000"/>
      <name val="Arial"/>
      <family val="2"/>
    </font>
    <font>
      <sz val="9"/>
      <color rgb="FF000000"/>
      <name val="Arial"/>
      <family val="2"/>
    </font>
    <font>
      <vertAlign val="superscript"/>
      <sz val="9"/>
      <color rgb="FF000000"/>
      <name val="Arial"/>
      <family val="2"/>
    </font>
    <font>
      <b/>
      <vertAlign val="superscript"/>
      <sz val="9"/>
      <color rgb="FF000000"/>
      <name val="Arial"/>
      <family val="2"/>
    </font>
    <font>
      <sz val="11"/>
      <color theme="0" tint="-0.34998626667073579"/>
      <name val="Calibri Light"/>
      <family val="2"/>
      <scheme val="minor"/>
    </font>
    <font>
      <vertAlign val="superscript"/>
      <sz val="9"/>
      <name val="Arial"/>
      <family val="2"/>
    </font>
    <font>
      <vertAlign val="superscript"/>
      <sz val="11"/>
      <name val="Calibri Light"/>
      <family val="2"/>
      <scheme val="minor"/>
    </font>
    <font>
      <b/>
      <sz val="18"/>
      <color theme="4" tint="-0.249977111117893"/>
      <name val="Calibri Light"/>
      <family val="2"/>
      <scheme val="minor"/>
    </font>
    <font>
      <b/>
      <sz val="16"/>
      <color theme="3" tint="9.9978637043366805E-2"/>
      <name val="Calibri Light"/>
      <family val="2"/>
      <scheme val="minor"/>
    </font>
    <font>
      <b/>
      <sz val="9"/>
      <color theme="0" tint="-4.9989318521683403E-2"/>
      <name val="Arial"/>
      <family val="2"/>
    </font>
    <font>
      <sz val="11"/>
      <color rgb="FFFF0000"/>
      <name val="Calibri Light"/>
      <family val="2"/>
      <scheme val="minor"/>
    </font>
    <font>
      <b/>
      <sz val="9"/>
      <color theme="4" tint="0.59999389629810485"/>
      <name val="Arial"/>
      <family val="2"/>
    </font>
    <font>
      <sz val="11"/>
      <color rgb="FF006100"/>
      <name val="Calibri Light"/>
      <family val="2"/>
      <scheme val="minor"/>
    </font>
    <font>
      <sz val="11"/>
      <color rgb="FF9C0006"/>
      <name val="Calibri Light"/>
      <family val="2"/>
      <scheme val="minor"/>
    </font>
    <font>
      <sz val="18"/>
      <color theme="3"/>
      <name val="Calibri Light"/>
      <family val="2"/>
      <scheme val="major"/>
    </font>
    <font>
      <b/>
      <sz val="13"/>
      <color theme="3"/>
      <name val="Calibri Light"/>
      <family val="2"/>
      <scheme val="minor"/>
    </font>
    <font>
      <b/>
      <sz val="11"/>
      <color theme="3"/>
      <name val="Calibri Light"/>
      <family val="2"/>
      <scheme val="minor"/>
    </font>
    <font>
      <sz val="11"/>
      <color rgb="FF9C5700"/>
      <name val="Calibri Light"/>
      <family val="2"/>
      <scheme val="minor"/>
    </font>
    <font>
      <sz val="11"/>
      <color rgb="FF3F3F76"/>
      <name val="Calibri Light"/>
      <family val="2"/>
      <scheme val="minor"/>
    </font>
    <font>
      <b/>
      <sz val="11"/>
      <color rgb="FFFA7D00"/>
      <name val="Calibri Light"/>
      <family val="2"/>
      <scheme val="minor"/>
    </font>
    <font>
      <sz val="11"/>
      <color rgb="FFFA7D00"/>
      <name val="Calibri Light"/>
      <family val="2"/>
      <scheme val="minor"/>
    </font>
    <font>
      <b/>
      <sz val="11"/>
      <color theme="0"/>
      <name val="Calibri Light"/>
      <family val="2"/>
      <scheme val="minor"/>
    </font>
    <font>
      <i/>
      <sz val="11"/>
      <color rgb="FF7F7F7F"/>
      <name val="Calibri Light"/>
      <family val="2"/>
      <scheme val="minor"/>
    </font>
    <font>
      <u/>
      <sz val="9"/>
      <name val="Arial"/>
      <family val="2"/>
    </font>
    <font>
      <sz val="12"/>
      <color rgb="FFFF0000"/>
      <name val="Arial"/>
      <family val="2"/>
    </font>
    <font>
      <sz val="12"/>
      <name val="Arial"/>
      <family val="2"/>
    </font>
    <font>
      <vertAlign val="superscript"/>
      <sz val="12"/>
      <name val="Arial"/>
      <family val="2"/>
    </font>
    <font>
      <sz val="12"/>
      <color theme="4"/>
      <name val="Arial"/>
      <family val="2"/>
    </font>
    <font>
      <vertAlign val="superscript"/>
      <sz val="12"/>
      <color theme="1"/>
      <name val="Arial"/>
      <family val="2"/>
    </font>
    <font>
      <sz val="12"/>
      <color rgb="FF0000FF"/>
      <name val="Arial"/>
      <family val="2"/>
    </font>
    <font>
      <b/>
      <sz val="12"/>
      <name val="Arial"/>
      <family val="2"/>
    </font>
    <font>
      <b/>
      <sz val="12"/>
      <color theme="3" tint="9.9978637043366805E-2"/>
      <name val="Arial"/>
      <family val="2"/>
    </font>
    <font>
      <i/>
      <sz val="9"/>
      <color theme="1"/>
      <name val="Arial"/>
      <family val="2"/>
    </font>
    <font>
      <sz val="11"/>
      <color rgb="FFC00000"/>
      <name val="Calibri Light"/>
      <family val="2"/>
      <scheme val="minor"/>
    </font>
    <font>
      <b/>
      <sz val="22"/>
      <color theme="1"/>
      <name val="Calibri Light"/>
      <family val="2"/>
      <scheme val="minor"/>
    </font>
    <font>
      <b/>
      <sz val="9"/>
      <color theme="6"/>
      <name val="Arial"/>
      <family val="2"/>
    </font>
    <font>
      <b/>
      <sz val="14"/>
      <color theme="0"/>
      <name val="Arial"/>
      <family val="2"/>
    </font>
    <font>
      <sz val="9"/>
      <name val="Segoe UI"/>
      <family val="2"/>
    </font>
    <font>
      <b/>
      <sz val="20"/>
      <color theme="4"/>
      <name val="Calibri Light"/>
      <family val="1"/>
      <scheme val="major"/>
    </font>
    <font>
      <b/>
      <sz val="10"/>
      <color theme="0"/>
      <name val="Calibri Light"/>
      <family val="1"/>
      <scheme val="major"/>
    </font>
    <font>
      <b/>
      <sz val="10"/>
      <name val="Calibri Light"/>
      <family val="2"/>
      <scheme val="minor"/>
    </font>
    <font>
      <sz val="10"/>
      <name val="Calibri Light"/>
      <family val="2"/>
      <scheme val="minor"/>
    </font>
    <font>
      <strike/>
      <sz val="9"/>
      <color rgb="FFFF0000"/>
      <name val="Arial"/>
      <family val="2"/>
    </font>
    <font>
      <b/>
      <sz val="10"/>
      <color theme="0"/>
      <name val="Arial"/>
      <family val="2"/>
    </font>
    <font>
      <i/>
      <sz val="10"/>
      <name val="Arial"/>
      <family val="2"/>
    </font>
    <font>
      <i/>
      <sz val="9"/>
      <name val="Arial"/>
      <family val="2"/>
    </font>
    <font>
      <b/>
      <sz val="12"/>
      <name val="Segoe UI"/>
      <family val="2"/>
      <charset val="204"/>
    </font>
    <font>
      <sz val="8"/>
      <color theme="1"/>
      <name val="Tahoma"/>
      <family val="2"/>
    </font>
    <font>
      <b/>
      <sz val="8"/>
      <color theme="1"/>
      <name val="Tahoma"/>
      <family val="2"/>
    </font>
    <font>
      <b/>
      <sz val="8"/>
      <name val="Tahoma"/>
      <family val="2"/>
    </font>
    <font>
      <b/>
      <vertAlign val="subscript"/>
      <sz val="8"/>
      <color theme="1"/>
      <name val="Tahoma"/>
      <family val="2"/>
    </font>
    <font>
      <b/>
      <vertAlign val="subscript"/>
      <sz val="8"/>
      <name val="Tahoma"/>
      <family val="2"/>
    </font>
    <font>
      <b/>
      <sz val="8"/>
      <color rgb="FF3F3F3F"/>
      <name val="Tahoma"/>
      <family val="2"/>
    </font>
    <font>
      <sz val="9"/>
      <color theme="1"/>
      <name val="Tahoma"/>
      <family val="2"/>
    </font>
    <font>
      <b/>
      <sz val="9"/>
      <color theme="0"/>
      <name val="Tahoma"/>
      <family val="2"/>
    </font>
    <font>
      <sz val="9"/>
      <color rgb="FFFF0000"/>
      <name val="Tahoma"/>
      <family val="2"/>
    </font>
    <font>
      <b/>
      <sz val="9"/>
      <color theme="1"/>
      <name val="Tahoma"/>
      <family val="2"/>
    </font>
    <font>
      <b/>
      <sz val="9"/>
      <name val="Tahoma"/>
      <family val="2"/>
    </font>
    <font>
      <b/>
      <vertAlign val="subscript"/>
      <sz val="9"/>
      <color theme="1"/>
      <name val="Tahoma"/>
      <family val="2"/>
    </font>
    <font>
      <b/>
      <vertAlign val="subscript"/>
      <sz val="9"/>
      <name val="Tahoma"/>
      <family val="2"/>
    </font>
    <font>
      <b/>
      <sz val="8"/>
      <color theme="1"/>
      <name val="Calibri Light"/>
      <family val="2"/>
      <scheme val="minor"/>
    </font>
    <font>
      <sz val="8"/>
      <color theme="1"/>
      <name val="Calibri Light"/>
      <family val="2"/>
      <scheme val="minor"/>
    </font>
    <font>
      <vertAlign val="subscript"/>
      <sz val="8"/>
      <color theme="1"/>
      <name val="Calibri Light"/>
      <family val="2"/>
      <scheme val="minor"/>
    </font>
    <font>
      <sz val="8"/>
      <name val="Tahoma"/>
      <family val="2"/>
    </font>
    <font>
      <b/>
      <vertAlign val="superscript"/>
      <sz val="11"/>
      <color theme="1"/>
      <name val="Calibri Light"/>
      <family val="2"/>
      <scheme val="minor"/>
    </font>
    <font>
      <b/>
      <sz val="11"/>
      <color rgb="FFFF0000"/>
      <name val="Calibri Light"/>
      <family val="2"/>
      <scheme val="minor"/>
    </font>
    <font>
      <b/>
      <sz val="7"/>
      <color theme="1"/>
      <name val="Calibri Light"/>
      <family val="2"/>
      <scheme val="minor"/>
    </font>
    <font>
      <b/>
      <sz val="7"/>
      <color theme="0"/>
      <name val="Arial"/>
      <family val="2"/>
    </font>
    <font>
      <b/>
      <sz val="9"/>
      <color rgb="FFFF0000"/>
      <name val="Arial"/>
      <family val="2"/>
    </font>
    <font>
      <sz val="9"/>
      <color theme="0"/>
      <name val="Arial"/>
      <family val="2"/>
    </font>
    <font>
      <b/>
      <sz val="9"/>
      <color theme="9" tint="-0.499984740745262"/>
      <name val="Arial"/>
      <family val="2"/>
    </font>
    <font>
      <b/>
      <sz val="9"/>
      <color theme="3" tint="9.9978637043366805E-2"/>
      <name val="Arial"/>
      <family val="2"/>
    </font>
    <font>
      <b/>
      <sz val="9"/>
      <color rgb="FF0000FF"/>
      <name val="Arial"/>
      <family val="2"/>
    </font>
    <font>
      <sz val="9"/>
      <color rgb="FF7030A0"/>
      <name val="Arial"/>
      <family val="2"/>
    </font>
    <font>
      <b/>
      <vertAlign val="superscript"/>
      <sz val="9"/>
      <color theme="1"/>
      <name val="Arial"/>
      <family val="2"/>
    </font>
    <font>
      <i/>
      <sz val="9"/>
      <color theme="3"/>
      <name val="Arial"/>
      <family val="2"/>
    </font>
    <font>
      <sz val="9"/>
      <color rgb="FF262626"/>
      <name val="Arial"/>
      <family val="2"/>
    </font>
    <font>
      <b/>
      <sz val="18"/>
      <color rgb="FF1F4E78"/>
      <name val="Calibri Light"/>
      <family val="2"/>
      <scheme val="minor"/>
    </font>
    <font>
      <b/>
      <sz val="12"/>
      <color rgb="FF2E75B6"/>
      <name val="Calibri Light"/>
      <family val="2"/>
      <scheme val="minor"/>
    </font>
  </fonts>
  <fills count="9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5"/>
      </patternFill>
    </fill>
    <fill>
      <patternFill patternType="solid">
        <fgColor theme="7" tint="0.59999389629810485"/>
        <bgColor indexed="65"/>
      </patternFill>
    </fill>
    <fill>
      <patternFill patternType="solid">
        <fgColor theme="7"/>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249977111117893"/>
        <bgColor indexed="64"/>
      </patternFill>
    </fill>
    <fill>
      <patternFill patternType="solid">
        <fgColor theme="5"/>
        <bgColor indexed="64"/>
      </patternFill>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B6004B"/>
        <bgColor indexed="64"/>
      </patternFill>
    </fill>
    <fill>
      <patternFill patternType="solid">
        <fgColor indexed="44"/>
        <bgColor indexed="64"/>
      </patternFill>
    </fill>
    <fill>
      <patternFill patternType="solid">
        <fgColor rgb="FF5B9BD5"/>
        <bgColor rgb="FF5B9BD5"/>
      </patternFill>
    </fill>
    <fill>
      <patternFill patternType="solid">
        <fgColor theme="4"/>
        <bgColor theme="4"/>
      </patternFill>
    </fill>
    <fill>
      <patternFill patternType="solid">
        <fgColor rgb="FFBDD7EE"/>
        <bgColor rgb="FFBDD7EE"/>
      </patternFill>
    </fill>
    <fill>
      <patternFill patternType="solid">
        <fgColor rgb="FFDDEBF7"/>
        <bgColor rgb="FFDDEBF7"/>
      </patternFill>
    </fill>
    <fill>
      <patternFill patternType="solid">
        <fgColor rgb="FFF0F4FA"/>
      </patternFill>
    </fill>
    <fill>
      <patternFill patternType="solid">
        <fgColor rgb="FFFFFFFF"/>
      </patternFill>
    </fill>
    <fill>
      <patternFill patternType="solid">
        <fgColor rgb="FFD6EAF8"/>
      </patternFill>
    </fill>
    <fill>
      <patternFill patternType="solid">
        <fgColor rgb="FFEFE9C8"/>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2F2F2"/>
      </patternFill>
    </fill>
    <fill>
      <patternFill patternType="solid">
        <fgColor rgb="FFFFFFCC"/>
      </patternFill>
    </fill>
    <fill>
      <patternFill patternType="solid">
        <fgColor theme="8"/>
      </patternFill>
    </fill>
    <fill>
      <patternFill patternType="solid">
        <fgColor rgb="FFD5B4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CC99FF"/>
        <bgColor indexed="64"/>
      </patternFill>
    </fill>
    <fill>
      <patternFill patternType="solid">
        <fgColor theme="7" tint="0.59999389629810485"/>
        <bgColor indexed="64"/>
      </patternFill>
    </fill>
    <fill>
      <patternFill patternType="solid">
        <fgColor theme="0"/>
        <bgColor theme="4" tint="0.79998168889431442"/>
      </patternFill>
    </fill>
    <fill>
      <patternFill patternType="solid">
        <fgColor theme="2"/>
        <bgColor indexed="64"/>
      </patternFill>
    </fill>
    <fill>
      <patternFill patternType="solid">
        <fgColor theme="7" tint="0.39997558519241921"/>
        <bgColor indexed="64"/>
      </patternFill>
    </fill>
    <fill>
      <patternFill patternType="solid">
        <fgColor rgb="FFE7F1F9"/>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3" tint="0.249977111117893"/>
        <bgColor indexed="64"/>
      </patternFill>
    </fill>
    <fill>
      <patternFill patternType="solid">
        <fgColor theme="2" tint="-0.249977111117893"/>
        <bgColor indexed="64"/>
      </patternFill>
    </fill>
    <fill>
      <patternFill patternType="solid">
        <fgColor theme="4"/>
        <bgColor indexed="64"/>
      </patternFill>
    </fill>
    <fill>
      <patternFill patternType="solid">
        <fgColor rgb="FFD9D9D9"/>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39997558519241921"/>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theme="4" tint="0.79998168889431442"/>
      </patternFill>
    </fill>
    <fill>
      <patternFill patternType="solid">
        <fgColor theme="4" tint="0.79998168889431442"/>
        <bgColor theme="4" tint="0.79998168889431442"/>
      </patternFill>
    </fill>
    <fill>
      <patternFill patternType="solid">
        <fgColor theme="3" tint="0.89999084444715716"/>
        <bgColor indexed="64"/>
      </patternFill>
    </fill>
    <fill>
      <patternFill patternType="solid">
        <fgColor theme="9" tint="0.79995117038483843"/>
        <bgColor indexed="64"/>
      </patternFill>
    </fill>
    <fill>
      <patternFill patternType="solid">
        <fgColor theme="2" tint="-0.499984740745262"/>
        <bgColor indexed="64"/>
      </patternFill>
    </fill>
    <fill>
      <patternFill patternType="solid">
        <fgColor rgb="FF00B0F0"/>
        <bgColor indexed="64"/>
      </patternFill>
    </fill>
    <fill>
      <patternFill patternType="solid">
        <fgColor rgb="FF7030A0"/>
        <bgColor indexed="64"/>
      </patternFill>
    </fill>
    <fill>
      <patternFill patternType="solid">
        <fgColor theme="6"/>
        <bgColor indexed="64"/>
      </patternFill>
    </fill>
    <fill>
      <patternFill patternType="solid">
        <fgColor rgb="FFFF4343"/>
        <bgColor indexed="64"/>
      </patternFill>
    </fill>
    <fill>
      <patternFill patternType="solid">
        <fgColor rgb="FFF1ABD5"/>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DEEAF6"/>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style="thin">
        <color theme="0" tint="-0.2499465926084170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rgb="FFFFFFFF"/>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979991"/>
      </left>
      <right/>
      <top style="thin">
        <color rgb="FF979991"/>
      </top>
      <bottom/>
      <diagonal/>
    </border>
    <border>
      <left style="thin">
        <color rgb="FF979991"/>
      </left>
      <right/>
      <top style="thin">
        <color rgb="FF979991"/>
      </top>
      <bottom style="thin">
        <color rgb="FF979991"/>
      </bottom>
      <diagonal/>
    </border>
    <border>
      <left style="thin">
        <color rgb="FF979991"/>
      </left>
      <right style="thin">
        <color rgb="FF979991"/>
      </right>
      <top style="thin">
        <color rgb="FF979991"/>
      </top>
      <bottom style="thin">
        <color rgb="FF979991"/>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right/>
      <top style="thin">
        <color theme="0" tint="-0.34998626667073579"/>
      </top>
      <bottom style="thin">
        <color theme="0" tint="-0.34998626667073579"/>
      </bottom>
      <diagonal/>
    </border>
    <border>
      <left style="medium">
        <color indexed="64"/>
      </left>
      <right style="medium">
        <color indexed="64"/>
      </right>
      <top style="medium">
        <color indexed="64"/>
      </top>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rgb="FF3F3F3F"/>
      </left>
      <right style="thin">
        <color rgb="FF3F3F3F"/>
      </right>
      <top/>
      <bottom style="thin">
        <color rgb="FF3F3F3F"/>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right/>
      <top style="medium">
        <color indexed="64"/>
      </top>
      <bottom/>
      <diagonal/>
    </border>
    <border>
      <left style="thin">
        <color rgb="FF3F3F3F"/>
      </left>
      <right style="thin">
        <color rgb="FF3F3F3F"/>
      </right>
      <top style="medium">
        <color indexed="64"/>
      </top>
      <bottom style="thin">
        <color rgb="FF3F3F3F"/>
      </bottom>
      <diagonal/>
    </border>
    <border>
      <left style="thin">
        <color rgb="FF3F3F3F"/>
      </left>
      <right style="thin">
        <color rgb="FF3F3F3F"/>
      </right>
      <top style="thin">
        <color rgb="FF3F3F3F"/>
      </top>
      <bottom style="medium">
        <color indexed="64"/>
      </bottom>
      <diagonal/>
    </border>
    <border>
      <left/>
      <right style="thin">
        <color indexed="64"/>
      </right>
      <top style="medium">
        <color indexed="64"/>
      </top>
      <bottom style="medium">
        <color indexed="64"/>
      </bottom>
      <diagonal/>
    </border>
    <border>
      <left/>
      <right style="thin">
        <color rgb="FF3F3F3F"/>
      </right>
      <top/>
      <bottom style="medium">
        <color indexed="64"/>
      </bottom>
      <diagonal/>
    </border>
    <border>
      <left style="thin">
        <color rgb="FF3F3F3F"/>
      </left>
      <right style="thin">
        <color rgb="FF3F3F3F"/>
      </right>
      <top/>
      <bottom style="medium">
        <color indexed="64"/>
      </bottom>
      <diagonal/>
    </border>
    <border>
      <left style="thin">
        <color rgb="FF3F3F3F"/>
      </left>
      <right style="medium">
        <color indexed="64"/>
      </right>
      <top/>
      <bottom style="medium">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3"/>
      </left>
      <right/>
      <top style="thin">
        <color theme="3"/>
      </top>
      <bottom style="thin">
        <color theme="0"/>
      </bottom>
      <diagonal/>
    </border>
    <border>
      <left/>
      <right/>
      <top style="thin">
        <color theme="3"/>
      </top>
      <bottom style="thin">
        <color theme="0"/>
      </bottom>
      <diagonal/>
    </border>
    <border>
      <left style="thin">
        <color theme="3"/>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indexed="64"/>
      </left>
      <right/>
      <top style="medium">
        <color indexed="64"/>
      </top>
      <bottom style="medium">
        <color indexed="64"/>
      </bottom>
      <diagonal/>
    </border>
    <border>
      <left/>
      <right/>
      <top/>
      <bottom style="thick">
        <color auto="1"/>
      </bottom>
      <diagonal/>
    </border>
    <border>
      <left/>
      <right style="medium">
        <color rgb="FF000000"/>
      </right>
      <top style="medium">
        <color indexed="64"/>
      </top>
      <bottom/>
      <diagonal/>
    </border>
    <border>
      <left style="medium">
        <color indexed="64"/>
      </left>
      <right style="medium">
        <color indexed="64"/>
      </right>
      <top style="medium">
        <color indexed="64"/>
      </top>
      <bottom style="thick">
        <color rgb="FFFFFFFF"/>
      </bottom>
      <diagonal/>
    </border>
    <border>
      <left style="medium">
        <color indexed="64"/>
      </left>
      <right style="thin">
        <color indexed="64"/>
      </right>
      <top style="medium">
        <color indexed="64"/>
      </top>
      <bottom style="thick">
        <color rgb="FFFFFFFF"/>
      </bottom>
      <diagonal/>
    </border>
    <border>
      <left style="thin">
        <color indexed="64"/>
      </left>
      <right style="thin">
        <color indexed="64"/>
      </right>
      <top style="medium">
        <color indexed="64"/>
      </top>
      <bottom style="thick">
        <color rgb="FFFFFFFF"/>
      </bottom>
      <diagonal/>
    </border>
    <border>
      <left style="thin">
        <color indexed="64"/>
      </left>
      <right style="medium">
        <color indexed="64"/>
      </right>
      <top style="medium">
        <color indexed="64"/>
      </top>
      <bottom style="thick">
        <color rgb="FFFFFFFF"/>
      </bottom>
      <diagonal/>
    </border>
    <border>
      <left style="medium">
        <color indexed="64"/>
      </left>
      <right style="medium">
        <color indexed="64"/>
      </right>
      <top style="thin">
        <color indexed="64"/>
      </top>
      <bottom style="thin">
        <color rgb="FFFFFFFF"/>
      </bottom>
      <diagonal/>
    </border>
    <border>
      <left style="thin">
        <color indexed="64"/>
      </left>
      <right style="medium">
        <color indexed="64"/>
      </right>
      <top style="thin">
        <color indexed="64"/>
      </top>
      <bottom style="thin">
        <color rgb="FFFFFFFF"/>
      </bottom>
      <diagonal/>
    </border>
    <border>
      <left style="medium">
        <color indexed="64"/>
      </left>
      <right style="thin">
        <color rgb="FFFFFFFF"/>
      </right>
      <top style="thin">
        <color indexed="64"/>
      </top>
      <bottom style="thin">
        <color indexed="64"/>
      </bottom>
      <diagonal/>
    </border>
    <border>
      <left style="medium">
        <color indexed="64"/>
      </left>
      <right style="thin">
        <color rgb="FFFFFFFF"/>
      </right>
      <top style="thin">
        <color indexed="64"/>
      </top>
      <bottom style="medium">
        <color indexed="64"/>
      </bottom>
      <diagonal/>
    </border>
    <border>
      <left style="medium">
        <color auto="1"/>
      </left>
      <right/>
      <top/>
      <bottom style="thin">
        <color auto="1"/>
      </bottom>
      <diagonal/>
    </border>
  </borders>
  <cellStyleXfs count="86">
    <xf numFmtId="0" fontId="0" fillId="0" borderId="0"/>
    <xf numFmtId="44" fontId="2" fillId="0" borderId="0" applyFont="0" applyFill="0" applyBorder="0" applyAlignment="0" applyProtection="0"/>
    <xf numFmtId="9" fontId="2" fillId="0" borderId="0" applyFont="0" applyFill="0" applyBorder="0" applyAlignment="0" applyProtection="0"/>
    <xf numFmtId="0" fontId="8" fillId="0" borderId="0"/>
    <xf numFmtId="166" fontId="2" fillId="0" borderId="0" applyFont="0" applyFill="0" applyBorder="0" applyAlignment="0" applyProtection="0"/>
    <xf numFmtId="43" fontId="2" fillId="0" borderId="0" applyFont="0" applyFill="0" applyBorder="0" applyAlignment="0" applyProtection="0"/>
    <xf numFmtId="42" fontId="1" fillId="0" borderId="0" applyFont="0" applyFill="0" applyBorder="0" applyAlignment="0" applyProtection="0"/>
    <xf numFmtId="0" fontId="1" fillId="4" borderId="0" applyNumberFormat="0" applyBorder="0" applyAlignment="0" applyProtection="0"/>
    <xf numFmtId="0" fontId="1" fillId="5" borderId="0" applyNumberFormat="0" applyBorder="0" applyAlignment="0" applyProtection="0"/>
    <xf numFmtId="0" fontId="33" fillId="0" borderId="0" applyNumberFormat="0" applyFill="0" applyBorder="0" applyAlignment="0" applyProtection="0"/>
    <xf numFmtId="9" fontId="1" fillId="0" borderId="0" applyFont="0" applyFill="0" applyBorder="0" applyAlignment="0" applyProtection="0"/>
    <xf numFmtId="0" fontId="41" fillId="0" borderId="0"/>
    <xf numFmtId="9" fontId="41" fillId="0" borderId="0" applyFont="0" applyFill="0" applyBorder="0" applyAlignment="0" applyProtection="0"/>
    <xf numFmtId="41" fontId="1" fillId="0" borderId="0" applyFont="0" applyFill="0" applyBorder="0" applyAlignment="0" applyProtection="0"/>
    <xf numFmtId="0" fontId="65" fillId="0" borderId="47" applyNumberFormat="0" applyFill="0" applyAlignment="0" applyProtection="0"/>
    <xf numFmtId="0" fontId="1" fillId="29" borderId="49" applyNumberFormat="0" applyFont="0" applyAlignment="0" applyProtection="0"/>
    <xf numFmtId="0" fontId="66" fillId="30" borderId="0" applyNumberFormat="0" applyBorder="0" applyAlignment="0" applyProtection="0"/>
    <xf numFmtId="0" fontId="68" fillId="28" borderId="48" applyNumberFormat="0" applyAlignment="0" applyProtection="0"/>
    <xf numFmtId="42" fontId="1" fillId="0" borderId="0" applyFont="0" applyFill="0" applyBorder="0" applyAlignment="0" applyProtection="0"/>
    <xf numFmtId="0" fontId="41" fillId="0" borderId="0"/>
    <xf numFmtId="166"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166" fontId="1" fillId="0" borderId="0" applyFont="0" applyFill="0" applyBorder="0" applyAlignment="0" applyProtection="0"/>
    <xf numFmtId="0" fontId="8" fillId="0" borderId="0"/>
    <xf numFmtId="2" fontId="15" fillId="11" borderId="0" applyNumberFormat="0">
      <alignment horizontal="center" vertical="center"/>
    </xf>
    <xf numFmtId="44" fontId="1" fillId="0" borderId="0" applyFont="0" applyFill="0" applyBorder="0" applyAlignment="0" applyProtection="0"/>
    <xf numFmtId="44" fontId="1" fillId="0" borderId="0" applyFont="0" applyFill="0" applyBorder="0" applyAlignment="0" applyProtection="0"/>
    <xf numFmtId="0" fontId="1" fillId="0" borderId="0"/>
    <xf numFmtId="0" fontId="114" fillId="0" borderId="0" applyNumberFormat="0" applyFill="0" applyBorder="0" applyAlignment="0" applyProtection="0"/>
    <xf numFmtId="0" fontId="115" fillId="0" borderId="90" applyNumberFormat="0" applyFill="0" applyAlignment="0" applyProtection="0"/>
    <xf numFmtId="0" fontId="116" fillId="0" borderId="91" applyNumberFormat="0" applyFill="0" applyAlignment="0" applyProtection="0"/>
    <xf numFmtId="0" fontId="116" fillId="0" borderId="0" applyNumberFormat="0" applyFill="0" applyBorder="0" applyAlignment="0" applyProtection="0"/>
    <xf numFmtId="0" fontId="112" fillId="51" borderId="0" applyNumberFormat="0" applyBorder="0" applyAlignment="0" applyProtection="0"/>
    <xf numFmtId="0" fontId="113" fillId="52" borderId="0" applyNumberFormat="0" applyBorder="0" applyAlignment="0" applyProtection="0"/>
    <xf numFmtId="0" fontId="117" fillId="53" borderId="0" applyNumberFormat="0" applyBorder="0" applyAlignment="0" applyProtection="0"/>
    <xf numFmtId="0" fontId="118" fillId="54" borderId="92" applyNumberFormat="0" applyAlignment="0" applyProtection="0"/>
    <xf numFmtId="0" fontId="68" fillId="28" borderId="48" applyNumberFormat="0" applyAlignment="0" applyProtection="0"/>
    <xf numFmtId="0" fontId="119" fillId="28" borderId="92" applyNumberFormat="0" applyAlignment="0" applyProtection="0"/>
    <xf numFmtId="0" fontId="120" fillId="0" borderId="93" applyNumberFormat="0" applyFill="0" applyAlignment="0" applyProtection="0"/>
    <xf numFmtId="0" fontId="121" fillId="55" borderId="94" applyNumberFormat="0" applyAlignment="0" applyProtection="0"/>
    <xf numFmtId="0" fontId="110" fillId="0" borderId="0" applyNumberFormat="0" applyFill="0" applyBorder="0" applyAlignment="0" applyProtection="0"/>
    <xf numFmtId="0" fontId="122" fillId="0" borderId="0" applyNumberFormat="0" applyFill="0" applyBorder="0" applyAlignment="0" applyProtection="0"/>
    <xf numFmtId="0" fontId="3" fillId="0" borderId="95" applyNumberFormat="0" applyFill="0" applyAlignment="0" applyProtection="0"/>
    <xf numFmtId="0" fontId="66"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66"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66" fillId="63" borderId="0" applyNumberFormat="0" applyBorder="0" applyAlignment="0" applyProtection="0"/>
    <xf numFmtId="0" fontId="1" fillId="64"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66" fillId="67" borderId="0" applyNumberFormat="0" applyBorder="0" applyAlignment="0" applyProtection="0"/>
    <xf numFmtId="0" fontId="1" fillId="68" borderId="0" applyNumberFormat="0" applyBorder="0" applyAlignment="0" applyProtection="0"/>
    <xf numFmtId="0" fontId="1" fillId="69" borderId="0" applyNumberFormat="0" applyBorder="0" applyAlignment="0" applyProtection="0"/>
    <xf numFmtId="0" fontId="66" fillId="3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72" borderId="0" applyNumberFormat="0" applyBorder="0" applyAlignment="0" applyProtection="0"/>
    <xf numFmtId="0" fontId="66" fillId="73"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6" borderId="0" applyNumberFormat="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4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195" fontId="1" fillId="0" borderId="0" applyFont="0" applyFill="0" applyBorder="0" applyAlignment="0" applyProtection="0"/>
    <xf numFmtId="9" fontId="1" fillId="0" borderId="0" applyFont="0" applyFill="0" applyBorder="0" applyAlignment="0" applyProtection="0"/>
  </cellStyleXfs>
  <cellXfs count="1912">
    <xf numFmtId="0" fontId="0" fillId="0" borderId="0" xfId="0"/>
    <xf numFmtId="0" fontId="0" fillId="0" borderId="0" xfId="0" applyAlignment="1">
      <alignment horizontal="center"/>
    </xf>
    <xf numFmtId="44" fontId="4" fillId="0" borderId="0" xfId="1" applyFont="1" applyAlignment="1">
      <alignment horizontal="center"/>
    </xf>
    <xf numFmtId="0" fontId="10" fillId="3" borderId="0" xfId="0" applyFont="1" applyFill="1" applyAlignment="1">
      <alignment horizontal="center"/>
    </xf>
    <xf numFmtId="0" fontId="10" fillId="3" borderId="0" xfId="0" applyFont="1" applyFill="1"/>
    <xf numFmtId="0" fontId="11" fillId="3" borderId="0" xfId="0" applyFont="1" applyFill="1"/>
    <xf numFmtId="0" fontId="10" fillId="3" borderId="0" xfId="0" applyFont="1" applyFill="1" applyAlignment="1">
      <alignment wrapText="1"/>
    </xf>
    <xf numFmtId="0" fontId="7" fillId="0" borderId="0" xfId="0" applyFont="1" applyAlignment="1">
      <alignment horizontal="center"/>
    </xf>
    <xf numFmtId="0" fontId="6" fillId="0" borderId="0" xfId="0" applyFont="1"/>
    <xf numFmtId="0" fontId="0" fillId="0" borderId="1" xfId="0" applyBorder="1"/>
    <xf numFmtId="0" fontId="3"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44" fontId="7" fillId="2" borderId="1" xfId="1" applyFont="1" applyFill="1" applyBorder="1" applyAlignment="1">
      <alignment horizontal="center" vertical="center" wrapText="1"/>
    </xf>
    <xf numFmtId="10" fontId="3" fillId="2" borderId="1" xfId="2" applyNumberFormat="1" applyFont="1" applyFill="1" applyBorder="1" applyAlignment="1">
      <alignment horizontal="center" vertical="center" wrapText="1"/>
    </xf>
    <xf numFmtId="44" fontId="3" fillId="2" borderId="1" xfId="1" applyFont="1" applyFill="1" applyBorder="1" applyAlignment="1">
      <alignment horizontal="center" vertical="center" wrapText="1"/>
    </xf>
    <xf numFmtId="2" fontId="3" fillId="2" borderId="1" xfId="1" applyNumberFormat="1" applyFont="1" applyFill="1" applyBorder="1" applyAlignment="1">
      <alignment horizontal="center" vertical="center" wrapText="1"/>
    </xf>
    <xf numFmtId="44" fontId="0" fillId="0" borderId="0" xfId="0" applyNumberFormat="1"/>
    <xf numFmtId="44" fontId="6" fillId="0" borderId="1" xfId="1" applyFont="1" applyFill="1" applyBorder="1" applyAlignment="1">
      <alignment vertical="center"/>
    </xf>
    <xf numFmtId="0" fontId="0" fillId="0" borderId="0" xfId="0" applyAlignment="1">
      <alignment horizontal="center" vertical="center"/>
    </xf>
    <xf numFmtId="0" fontId="6" fillId="0" borderId="1" xfId="0" applyFont="1" applyBorder="1" applyAlignment="1">
      <alignment horizontal="center" vertical="center"/>
    </xf>
    <xf numFmtId="2" fontId="6" fillId="0" borderId="1" xfId="1" applyNumberFormat="1" applyFont="1" applyFill="1" applyBorder="1" applyAlignment="1">
      <alignment horizontal="center" vertical="center"/>
    </xf>
    <xf numFmtId="0" fontId="6" fillId="0" borderId="0" xfId="0" applyFont="1" applyAlignment="1">
      <alignment horizontal="center" vertical="center"/>
    </xf>
    <xf numFmtId="0" fontId="6" fillId="0" borderId="1" xfId="0" applyFont="1" applyBorder="1"/>
    <xf numFmtId="44" fontId="6" fillId="0" borderId="0" xfId="0" applyNumberFormat="1" applyFont="1" applyAlignment="1">
      <alignment horizontal="center" vertical="center"/>
    </xf>
    <xf numFmtId="42" fontId="6" fillId="0" borderId="0" xfId="6" applyFont="1" applyFill="1" applyAlignment="1">
      <alignment horizontal="center" vertical="center"/>
    </xf>
    <xf numFmtId="0" fontId="0" fillId="0" borderId="0" xfId="0" applyAlignment="1">
      <alignment horizontal="center" vertical="center" wrapText="1"/>
    </xf>
    <xf numFmtId="169" fontId="6" fillId="0" borderId="0" xfId="0" applyNumberFormat="1" applyFont="1" applyAlignment="1">
      <alignment horizontal="center" vertical="center"/>
    </xf>
    <xf numFmtId="0" fontId="42" fillId="3" borderId="0" xfId="11" applyFont="1" applyFill="1"/>
    <xf numFmtId="2" fontId="42" fillId="0" borderId="0" xfId="12" applyNumberFormat="1" applyFont="1" applyFill="1" applyBorder="1" applyAlignment="1">
      <alignment horizontal="center"/>
    </xf>
    <xf numFmtId="2" fontId="42" fillId="15" borderId="0" xfId="12" applyNumberFormat="1" applyFont="1" applyFill="1" applyBorder="1" applyAlignment="1">
      <alignment horizontal="center"/>
    </xf>
    <xf numFmtId="2" fontId="42" fillId="15" borderId="17" xfId="12" applyNumberFormat="1" applyFont="1" applyFill="1" applyBorder="1" applyAlignment="1">
      <alignment horizontal="center"/>
    </xf>
    <xf numFmtId="10" fontId="42" fillId="3" borderId="0" xfId="10" applyNumberFormat="1" applyFont="1" applyFill="1"/>
    <xf numFmtId="0" fontId="42" fillId="3" borderId="0" xfId="11" applyFont="1" applyFill="1" applyAlignment="1">
      <alignment vertical="center"/>
    </xf>
    <xf numFmtId="0" fontId="47" fillId="3" borderId="0" xfId="11" applyFont="1" applyFill="1"/>
    <xf numFmtId="0" fontId="49" fillId="0" borderId="0" xfId="0" applyFont="1" applyAlignment="1">
      <alignment vertical="center"/>
    </xf>
    <xf numFmtId="0" fontId="48" fillId="0" borderId="0" xfId="0" applyFont="1" applyAlignment="1">
      <alignment vertical="center" wrapText="1"/>
    </xf>
    <xf numFmtId="0" fontId="48" fillId="19" borderId="29" xfId="0" applyFont="1" applyFill="1" applyBorder="1" applyAlignment="1">
      <alignment horizontal="center" vertical="center"/>
    </xf>
    <xf numFmtId="0" fontId="48" fillId="19" borderId="30" xfId="0" applyFont="1" applyFill="1" applyBorder="1" applyAlignment="1">
      <alignment horizontal="center" vertical="center"/>
    </xf>
    <xf numFmtId="0" fontId="48" fillId="19" borderId="31" xfId="0" applyFont="1" applyFill="1" applyBorder="1" applyAlignment="1">
      <alignment horizontal="center" vertical="center"/>
    </xf>
    <xf numFmtId="171" fontId="48" fillId="20" borderId="34" xfId="0" applyNumberFormat="1" applyFont="1" applyFill="1" applyBorder="1" applyAlignment="1">
      <alignment vertical="center" wrapText="1"/>
    </xf>
    <xf numFmtId="0" fontId="48" fillId="0" borderId="35" xfId="0" applyFont="1" applyBorder="1" applyAlignment="1">
      <alignment vertical="center"/>
    </xf>
    <xf numFmtId="2" fontId="49" fillId="0" borderId="1" xfId="0" applyNumberFormat="1" applyFont="1" applyBorder="1" applyAlignment="1">
      <alignment vertical="center"/>
    </xf>
    <xf numFmtId="2" fontId="49" fillId="0" borderId="37" xfId="0" applyNumberFormat="1" applyFont="1" applyBorder="1" applyAlignment="1">
      <alignment vertical="center"/>
    </xf>
    <xf numFmtId="2" fontId="49" fillId="0" borderId="2" xfId="0" applyNumberFormat="1" applyFont="1" applyBorder="1" applyAlignment="1">
      <alignment vertical="center"/>
    </xf>
    <xf numFmtId="171" fontId="48" fillId="21" borderId="34" xfId="0" applyNumberFormat="1" applyFont="1" applyFill="1" applyBorder="1" applyAlignment="1">
      <alignment vertical="center" wrapText="1"/>
    </xf>
    <xf numFmtId="0" fontId="48" fillId="0" borderId="3" xfId="0" applyFont="1" applyBorder="1" applyAlignment="1">
      <alignment vertical="center"/>
    </xf>
    <xf numFmtId="171" fontId="48" fillId="21" borderId="1" xfId="0" applyNumberFormat="1" applyFont="1" applyFill="1" applyBorder="1" applyAlignment="1">
      <alignment vertical="center" wrapText="1"/>
    </xf>
    <xf numFmtId="2" fontId="48" fillId="12" borderId="8" xfId="0" applyNumberFormat="1" applyFont="1" applyFill="1" applyBorder="1" applyAlignment="1">
      <alignment horizontal="right" vertical="center"/>
    </xf>
    <xf numFmtId="171" fontId="48" fillId="20" borderId="11" xfId="0" applyNumberFormat="1" applyFont="1" applyFill="1" applyBorder="1" applyAlignment="1">
      <alignment vertical="center" wrapText="1"/>
    </xf>
    <xf numFmtId="171" fontId="48" fillId="20" borderId="1" xfId="0" applyNumberFormat="1" applyFont="1" applyFill="1" applyBorder="1" applyAlignment="1">
      <alignment vertical="center" wrapText="1"/>
    </xf>
    <xf numFmtId="2" fontId="49" fillId="0" borderId="3" xfId="0" applyNumberFormat="1" applyFont="1" applyBorder="1" applyAlignment="1">
      <alignment vertical="center"/>
    </xf>
    <xf numFmtId="171" fontId="48" fillId="21" borderId="11" xfId="0" applyNumberFormat="1" applyFont="1" applyFill="1" applyBorder="1" applyAlignment="1">
      <alignment vertical="center" wrapText="1"/>
    </xf>
    <xf numFmtId="0" fontId="48" fillId="0" borderId="23" xfId="0" applyFont="1" applyBorder="1" applyAlignment="1">
      <alignment vertical="center"/>
    </xf>
    <xf numFmtId="2" fontId="48" fillId="11" borderId="8" xfId="0" applyNumberFormat="1" applyFont="1" applyFill="1" applyBorder="1" applyAlignment="1">
      <alignment horizontal="right" vertical="center"/>
    </xf>
    <xf numFmtId="2" fontId="49" fillId="0" borderId="38" xfId="0" applyNumberFormat="1" applyFont="1" applyBorder="1" applyAlignment="1">
      <alignment vertical="center"/>
    </xf>
    <xf numFmtId="2" fontId="49" fillId="0" borderId="39" xfId="0" applyNumberFormat="1" applyFont="1" applyBorder="1" applyAlignment="1">
      <alignment vertical="center"/>
    </xf>
    <xf numFmtId="2" fontId="49" fillId="0" borderId="23" xfId="0" applyNumberFormat="1" applyFont="1" applyBorder="1" applyAlignment="1">
      <alignment vertical="center"/>
    </xf>
    <xf numFmtId="0" fontId="50" fillId="0" borderId="0" xfId="3" applyFont="1" applyAlignment="1">
      <alignment horizontal="left" vertical="top" wrapText="1"/>
    </xf>
    <xf numFmtId="0" fontId="8" fillId="0" borderId="0" xfId="3"/>
    <xf numFmtId="0" fontId="51" fillId="0" borderId="0" xfId="3" applyFont="1" applyAlignment="1">
      <alignment horizontal="left" vertical="top" wrapText="1"/>
    </xf>
    <xf numFmtId="0" fontId="8" fillId="0" borderId="0" xfId="3" applyAlignment="1">
      <alignment horizontal="center" vertical="top" wrapText="1"/>
    </xf>
    <xf numFmtId="0" fontId="52" fillId="0" borderId="0" xfId="3" applyFont="1" applyAlignment="1">
      <alignment horizontal="left" vertical="top" wrapText="1"/>
    </xf>
    <xf numFmtId="0" fontId="13" fillId="22" borderId="40" xfId="3" applyFont="1" applyFill="1" applyBorder="1" applyAlignment="1">
      <alignment horizontal="left" vertical="top" wrapText="1"/>
    </xf>
    <xf numFmtId="0" fontId="8" fillId="22" borderId="41" xfId="3" applyFill="1" applyBorder="1" applyAlignment="1">
      <alignment horizontal="left" vertical="top" wrapText="1"/>
    </xf>
    <xf numFmtId="0" fontId="13" fillId="22" borderId="41" xfId="3" applyFont="1" applyFill="1" applyBorder="1" applyAlignment="1">
      <alignment horizontal="left" vertical="top" wrapText="1"/>
    </xf>
    <xf numFmtId="0" fontId="13" fillId="22" borderId="42" xfId="3" applyFont="1" applyFill="1" applyBorder="1" applyAlignment="1">
      <alignment horizontal="left" vertical="top" wrapText="1"/>
    </xf>
    <xf numFmtId="173" fontId="55" fillId="22" borderId="41" xfId="3" applyNumberFormat="1" applyFont="1" applyFill="1" applyBorder="1" applyAlignment="1">
      <alignment horizontal="left" vertical="top" wrapText="1"/>
    </xf>
    <xf numFmtId="4" fontId="55" fillId="23" borderId="41" xfId="3" applyNumberFormat="1" applyFont="1" applyFill="1" applyBorder="1" applyAlignment="1">
      <alignment horizontal="right" vertical="top" wrapText="1"/>
    </xf>
    <xf numFmtId="2" fontId="55" fillId="23" borderId="41" xfId="3" applyNumberFormat="1" applyFont="1" applyFill="1" applyBorder="1" applyAlignment="1">
      <alignment horizontal="right" vertical="top" wrapText="1"/>
    </xf>
    <xf numFmtId="2" fontId="55" fillId="23" borderId="42" xfId="3" applyNumberFormat="1" applyFont="1" applyFill="1" applyBorder="1" applyAlignment="1">
      <alignment horizontal="right" vertical="top" wrapText="1"/>
    </xf>
    <xf numFmtId="173" fontId="55" fillId="24" borderId="41" xfId="3" applyNumberFormat="1" applyFont="1" applyFill="1" applyBorder="1" applyAlignment="1">
      <alignment horizontal="left" vertical="top" wrapText="1"/>
    </xf>
    <xf numFmtId="4" fontId="55" fillId="24" borderId="41" xfId="3" applyNumberFormat="1" applyFont="1" applyFill="1" applyBorder="1" applyAlignment="1">
      <alignment horizontal="right" vertical="top" wrapText="1"/>
    </xf>
    <xf numFmtId="2" fontId="55" fillId="24" borderId="41" xfId="3" applyNumberFormat="1" applyFont="1" applyFill="1" applyBorder="1" applyAlignment="1">
      <alignment horizontal="right" vertical="top" wrapText="1"/>
    </xf>
    <xf numFmtId="2" fontId="55" fillId="24" borderId="42" xfId="3" applyNumberFormat="1" applyFont="1" applyFill="1" applyBorder="1" applyAlignment="1">
      <alignment horizontal="right" vertical="top" wrapText="1"/>
    </xf>
    <xf numFmtId="0" fontId="8" fillId="23" borderId="41" xfId="3" applyFill="1" applyBorder="1" applyAlignment="1">
      <alignment horizontal="right" vertical="top" wrapText="1"/>
    </xf>
    <xf numFmtId="0" fontId="8" fillId="23" borderId="42" xfId="3" applyFill="1" applyBorder="1" applyAlignment="1">
      <alignment horizontal="right" vertical="top" wrapText="1"/>
    </xf>
    <xf numFmtId="0" fontId="8" fillId="24" borderId="41" xfId="3" applyFill="1" applyBorder="1" applyAlignment="1">
      <alignment horizontal="right" vertical="top" wrapText="1"/>
    </xf>
    <xf numFmtId="0" fontId="8" fillId="24" borderId="42" xfId="3" applyFill="1" applyBorder="1" applyAlignment="1">
      <alignment horizontal="right" vertical="top" wrapText="1"/>
    </xf>
    <xf numFmtId="10" fontId="47" fillId="3" borderId="0" xfId="2" applyNumberFormat="1" applyFont="1" applyFill="1"/>
    <xf numFmtId="10" fontId="61" fillId="26" borderId="8" xfId="11" applyNumberFormat="1" applyFont="1" applyFill="1" applyBorder="1" applyAlignment="1">
      <alignment horizontal="center" vertical="center"/>
    </xf>
    <xf numFmtId="3" fontId="16" fillId="0" borderId="0" xfId="0" applyNumberFormat="1" applyFont="1" applyAlignment="1">
      <alignment horizontal="center" vertical="center" wrapText="1"/>
    </xf>
    <xf numFmtId="44" fontId="0" fillId="0" borderId="0" xfId="1" applyFont="1"/>
    <xf numFmtId="10" fontId="6" fillId="0" borderId="1" xfId="10" applyNumberFormat="1" applyFont="1" applyFill="1" applyBorder="1" applyAlignment="1">
      <alignment horizontal="center" vertical="center"/>
    </xf>
    <xf numFmtId="0" fontId="6" fillId="0" borderId="1" xfId="0" applyFont="1" applyBorder="1" applyAlignment="1">
      <alignment vertical="center" wrapText="1"/>
    </xf>
    <xf numFmtId="44" fontId="4" fillId="0" borderId="0" xfId="1" applyFont="1"/>
    <xf numFmtId="44" fontId="0" fillId="0" borderId="0" xfId="1" applyFont="1" applyAlignment="1">
      <alignment horizontal="center"/>
    </xf>
    <xf numFmtId="0" fontId="55" fillId="0" borderId="0" xfId="0" applyFont="1"/>
    <xf numFmtId="0" fontId="71" fillId="0" borderId="0" xfId="0" applyFont="1"/>
    <xf numFmtId="0" fontId="55" fillId="31" borderId="1" xfId="15" applyFont="1" applyFill="1" applyBorder="1" applyAlignment="1">
      <alignment horizontal="center" vertical="center"/>
    </xf>
    <xf numFmtId="0" fontId="65" fillId="0" borderId="47" xfId="14"/>
    <xf numFmtId="0" fontId="55" fillId="13" borderId="1" xfId="15" applyFont="1" applyFill="1" applyBorder="1" applyAlignment="1">
      <alignment horizontal="center" vertical="center"/>
    </xf>
    <xf numFmtId="0" fontId="69" fillId="13" borderId="1" xfId="17" applyFont="1" applyFill="1" applyBorder="1" applyAlignment="1">
      <alignment horizontal="center" vertical="center"/>
    </xf>
    <xf numFmtId="42" fontId="69" fillId="13" borderId="1" xfId="17" applyNumberFormat="1" applyFont="1" applyFill="1" applyBorder="1" applyAlignment="1">
      <alignment horizontal="center" vertical="center"/>
    </xf>
    <xf numFmtId="0" fontId="69" fillId="13" borderId="1" xfId="17" applyNumberFormat="1" applyFont="1" applyFill="1" applyBorder="1" applyAlignment="1">
      <alignment horizontal="center" vertical="center"/>
    </xf>
    <xf numFmtId="42" fontId="55" fillId="13" borderId="1" xfId="18" applyFont="1" applyFill="1" applyBorder="1"/>
    <xf numFmtId="0" fontId="69" fillId="13" borderId="48" xfId="17" applyFont="1" applyFill="1" applyAlignment="1">
      <alignment horizontal="center" vertical="center"/>
    </xf>
    <xf numFmtId="42" fontId="69" fillId="13" borderId="48" xfId="17" applyNumberFormat="1" applyFont="1" applyFill="1" applyAlignment="1">
      <alignment horizontal="center" vertical="center"/>
    </xf>
    <xf numFmtId="41" fontId="55" fillId="13" borderId="1" xfId="0" applyNumberFormat="1" applyFont="1" applyFill="1" applyBorder="1"/>
    <xf numFmtId="182" fontId="55" fillId="13" borderId="1" xfId="0" applyNumberFormat="1" applyFont="1" applyFill="1" applyBorder="1" applyAlignment="1">
      <alignment horizontal="center"/>
    </xf>
    <xf numFmtId="42" fontId="55" fillId="0" borderId="0" xfId="18" applyFont="1"/>
    <xf numFmtId="174" fontId="55" fillId="0" borderId="0" xfId="0" applyNumberFormat="1" applyFont="1"/>
    <xf numFmtId="0" fontId="67" fillId="32" borderId="1" xfId="16" applyFont="1" applyFill="1" applyBorder="1" applyAlignment="1">
      <alignment horizontal="center" vertical="center" wrapText="1"/>
    </xf>
    <xf numFmtId="0" fontId="67" fillId="32" borderId="1" xfId="16" applyFont="1" applyFill="1" applyBorder="1" applyAlignment="1">
      <alignment horizontal="center" vertical="center"/>
    </xf>
    <xf numFmtId="0" fontId="7" fillId="32" borderId="1" xfId="16" applyFont="1" applyFill="1" applyBorder="1" applyAlignment="1">
      <alignment horizontal="center" vertical="center" wrapText="1"/>
    </xf>
    <xf numFmtId="178" fontId="67" fillId="32" borderId="1" xfId="16" applyNumberFormat="1" applyFont="1" applyFill="1" applyBorder="1" applyAlignment="1">
      <alignment horizontal="center" vertical="center" wrapText="1"/>
    </xf>
    <xf numFmtId="179" fontId="67" fillId="32" borderId="1" xfId="16" applyNumberFormat="1" applyFont="1" applyFill="1" applyBorder="1" applyAlignment="1">
      <alignment horizontal="center" vertical="center" wrapText="1"/>
    </xf>
    <xf numFmtId="180" fontId="67" fillId="32" borderId="1" xfId="16" applyNumberFormat="1" applyFont="1" applyFill="1" applyBorder="1" applyAlignment="1">
      <alignment horizontal="center" vertical="center" wrapText="1"/>
    </xf>
    <xf numFmtId="181" fontId="67" fillId="32" borderId="1" xfId="16" applyNumberFormat="1" applyFont="1" applyFill="1" applyBorder="1" applyAlignment="1">
      <alignment horizontal="center" vertical="center" wrapText="1"/>
    </xf>
    <xf numFmtId="4" fontId="55" fillId="0" borderId="0" xfId="0" applyNumberFormat="1" applyFont="1" applyAlignment="1">
      <alignment vertical="center"/>
    </xf>
    <xf numFmtId="0" fontId="67" fillId="32" borderId="30" xfId="16" applyFont="1" applyFill="1" applyBorder="1" applyAlignment="1">
      <alignment horizontal="center" vertical="center" wrapText="1"/>
    </xf>
    <xf numFmtId="4" fontId="72" fillId="13" borderId="31" xfId="18" applyNumberFormat="1" applyFont="1" applyFill="1" applyBorder="1" applyAlignment="1">
      <alignment vertical="center"/>
    </xf>
    <xf numFmtId="0" fontId="72" fillId="0" borderId="0" xfId="0" applyFont="1" applyAlignment="1">
      <alignment vertical="center"/>
    </xf>
    <xf numFmtId="0" fontId="55" fillId="0" borderId="0" xfId="0" applyFont="1" applyAlignment="1">
      <alignment vertical="center" wrapText="1"/>
    </xf>
    <xf numFmtId="0" fontId="55" fillId="0" borderId="0" xfId="0" applyFont="1" applyAlignment="1">
      <alignment vertical="center"/>
    </xf>
    <xf numFmtId="0" fontId="55" fillId="0" borderId="0" xfId="0" applyFont="1" applyAlignment="1">
      <alignment horizontal="left" vertical="center"/>
    </xf>
    <xf numFmtId="42" fontId="55" fillId="0" borderId="0" xfId="0" applyNumberFormat="1" applyFont="1"/>
    <xf numFmtId="0" fontId="67" fillId="32" borderId="37" xfId="16" applyFont="1" applyFill="1" applyBorder="1" applyAlignment="1">
      <alignment horizontal="center" vertical="center" wrapText="1"/>
    </xf>
    <xf numFmtId="0" fontId="55" fillId="31" borderId="21" xfId="15" applyFont="1" applyFill="1" applyBorder="1" applyAlignment="1">
      <alignment horizontal="center" vertical="center"/>
    </xf>
    <xf numFmtId="0" fontId="55" fillId="31" borderId="36" xfId="15" applyFont="1" applyFill="1" applyBorder="1" applyAlignment="1">
      <alignment horizontal="center" vertical="center"/>
    </xf>
    <xf numFmtId="0" fontId="55" fillId="31" borderId="39" xfId="15" applyFont="1" applyFill="1" applyBorder="1" applyAlignment="1">
      <alignment horizontal="center" vertical="center"/>
    </xf>
    <xf numFmtId="0" fontId="55" fillId="31" borderId="37" xfId="15" applyFont="1" applyFill="1" applyBorder="1" applyAlignment="1">
      <alignment horizontal="center" vertical="center"/>
    </xf>
    <xf numFmtId="0" fontId="55" fillId="13" borderId="9" xfId="15" applyFont="1" applyFill="1" applyBorder="1" applyAlignment="1">
      <alignment horizontal="center" vertical="center" wrapText="1"/>
    </xf>
    <xf numFmtId="0" fontId="55" fillId="13" borderId="11" xfId="15" applyFont="1" applyFill="1" applyBorder="1" applyAlignment="1">
      <alignment horizontal="center" vertical="center" wrapText="1"/>
    </xf>
    <xf numFmtId="0" fontId="55" fillId="13" borderId="14" xfId="15" applyFont="1" applyFill="1" applyBorder="1" applyAlignment="1">
      <alignment horizontal="center" vertical="center" wrapText="1"/>
    </xf>
    <xf numFmtId="0" fontId="55" fillId="13" borderId="60" xfId="15" applyFont="1" applyFill="1" applyBorder="1" applyAlignment="1">
      <alignment horizontal="center" vertical="center" wrapText="1"/>
    </xf>
    <xf numFmtId="0" fontId="55" fillId="13" borderId="65" xfId="15" applyFont="1" applyFill="1" applyBorder="1" applyAlignment="1">
      <alignment horizontal="center" vertical="center" wrapText="1"/>
    </xf>
    <xf numFmtId="0" fontId="55" fillId="13" borderId="62" xfId="15" applyFont="1" applyFill="1" applyBorder="1" applyAlignment="1">
      <alignment horizontal="center" vertical="center" wrapText="1"/>
    </xf>
    <xf numFmtId="0" fontId="55" fillId="13" borderId="21" xfId="15" applyFont="1" applyFill="1" applyBorder="1" applyAlignment="1">
      <alignment horizontal="center" vertical="center" wrapText="1"/>
    </xf>
    <xf numFmtId="0" fontId="55" fillId="13" borderId="1" xfId="15" applyFont="1" applyFill="1" applyBorder="1" applyAlignment="1">
      <alignment horizontal="center" vertical="center" wrapText="1"/>
    </xf>
    <xf numFmtId="3" fontId="69" fillId="13" borderId="36" xfId="17" applyNumberFormat="1" applyFont="1" applyFill="1" applyBorder="1" applyAlignment="1">
      <alignment horizontal="center" vertical="center"/>
    </xf>
    <xf numFmtId="42" fontId="69" fillId="13" borderId="36" xfId="17" applyNumberFormat="1" applyFont="1" applyFill="1" applyBorder="1" applyAlignment="1">
      <alignment horizontal="center" vertical="center"/>
    </xf>
    <xf numFmtId="3" fontId="69" fillId="13" borderId="10" xfId="13" applyNumberFormat="1" applyFont="1" applyFill="1" applyBorder="1" applyAlignment="1">
      <alignment horizontal="center" vertical="center"/>
    </xf>
    <xf numFmtId="3" fontId="69" fillId="13" borderId="1" xfId="17" applyNumberFormat="1" applyFont="1" applyFill="1" applyBorder="1" applyAlignment="1">
      <alignment horizontal="center" vertical="center"/>
    </xf>
    <xf numFmtId="3" fontId="69" fillId="13" borderId="12" xfId="13" applyNumberFormat="1" applyFont="1" applyFill="1" applyBorder="1" applyAlignment="1">
      <alignment horizontal="center" vertical="center"/>
    </xf>
    <xf numFmtId="3" fontId="69" fillId="13" borderId="39" xfId="17" applyNumberFormat="1" applyFont="1" applyFill="1" applyBorder="1" applyAlignment="1">
      <alignment horizontal="center" vertical="center"/>
    </xf>
    <xf numFmtId="42" fontId="69" fillId="13" borderId="39" xfId="17" applyNumberFormat="1" applyFont="1" applyFill="1" applyBorder="1" applyAlignment="1">
      <alignment horizontal="center" vertical="center"/>
    </xf>
    <xf numFmtId="3" fontId="69" fillId="13" borderId="15" xfId="13" applyNumberFormat="1" applyFont="1" applyFill="1" applyBorder="1" applyAlignment="1">
      <alignment horizontal="center" vertical="center"/>
    </xf>
    <xf numFmtId="0" fontId="69" fillId="13" borderId="12" xfId="13" applyNumberFormat="1" applyFont="1" applyFill="1" applyBorder="1" applyAlignment="1">
      <alignment horizontal="center" vertical="center"/>
    </xf>
    <xf numFmtId="0" fontId="69" fillId="13" borderId="15" xfId="13" applyNumberFormat="1" applyFont="1" applyFill="1" applyBorder="1" applyAlignment="1">
      <alignment horizontal="center" vertical="center"/>
    </xf>
    <xf numFmtId="42" fontId="69" fillId="13" borderId="21" xfId="17" applyNumberFormat="1" applyFont="1" applyFill="1" applyBorder="1" applyAlignment="1">
      <alignment horizontal="center" vertical="center"/>
    </xf>
    <xf numFmtId="3" fontId="69" fillId="13" borderId="61" xfId="13" applyNumberFormat="1" applyFont="1" applyFill="1" applyBorder="1" applyAlignment="1">
      <alignment horizontal="center" vertical="center"/>
    </xf>
    <xf numFmtId="3" fontId="69" fillId="13" borderId="37" xfId="17" applyNumberFormat="1" applyFont="1" applyFill="1" applyBorder="1" applyAlignment="1">
      <alignment horizontal="center" vertical="center"/>
    </xf>
    <xf numFmtId="42" fontId="69" fillId="13" borderId="20" xfId="17" applyNumberFormat="1" applyFont="1" applyFill="1" applyBorder="1" applyAlignment="1">
      <alignment horizontal="center" vertical="center"/>
    </xf>
    <xf numFmtId="3" fontId="69" fillId="13" borderId="66" xfId="13" applyNumberFormat="1" applyFont="1" applyFill="1" applyBorder="1" applyAlignment="1">
      <alignment horizontal="center" vertical="center"/>
    </xf>
    <xf numFmtId="3" fontId="69" fillId="13" borderId="21" xfId="17" applyNumberFormat="1" applyFont="1" applyFill="1" applyBorder="1" applyAlignment="1">
      <alignment horizontal="center" vertical="center"/>
    </xf>
    <xf numFmtId="42" fontId="69" fillId="13" borderId="63" xfId="17" applyNumberFormat="1" applyFont="1" applyFill="1" applyBorder="1" applyAlignment="1">
      <alignment horizontal="center" vertical="center"/>
    </xf>
    <xf numFmtId="3" fontId="69" fillId="13" borderId="64" xfId="13" applyNumberFormat="1" applyFont="1" applyFill="1" applyBorder="1" applyAlignment="1">
      <alignment horizontal="center" vertical="center"/>
    </xf>
    <xf numFmtId="0" fontId="69" fillId="13" borderId="21" xfId="17" applyFont="1" applyFill="1" applyBorder="1" applyAlignment="1">
      <alignment horizontal="center" vertical="center"/>
    </xf>
    <xf numFmtId="0" fontId="69" fillId="13" borderId="21" xfId="13" applyNumberFormat="1" applyFont="1" applyFill="1" applyBorder="1" applyAlignment="1">
      <alignment horizontal="center" vertical="center"/>
    </xf>
    <xf numFmtId="0" fontId="69" fillId="13" borderId="1" xfId="13" applyNumberFormat="1" applyFont="1" applyFill="1" applyBorder="1" applyAlignment="1">
      <alignment horizontal="center" vertical="center"/>
    </xf>
    <xf numFmtId="0" fontId="67" fillId="32" borderId="4" xfId="16" applyFont="1" applyFill="1" applyBorder="1" applyAlignment="1">
      <alignment horizontal="center" vertical="center"/>
    </xf>
    <xf numFmtId="10" fontId="68" fillId="13" borderId="1" xfId="10" applyNumberFormat="1" applyFont="1" applyFill="1" applyBorder="1" applyAlignment="1">
      <alignment horizontal="center" vertical="center"/>
    </xf>
    <xf numFmtId="0" fontId="0" fillId="3" borderId="0" xfId="0" applyFill="1"/>
    <xf numFmtId="0" fontId="72" fillId="32" borderId="51" xfId="0" applyFont="1" applyFill="1" applyBorder="1" applyAlignment="1">
      <alignment horizontal="center" vertical="center" wrapText="1"/>
    </xf>
    <xf numFmtId="0" fontId="72" fillId="32" borderId="55" xfId="0" applyFont="1" applyFill="1" applyBorder="1" applyAlignment="1">
      <alignment horizontal="center" vertical="center"/>
    </xf>
    <xf numFmtId="0" fontId="55" fillId="32" borderId="51" xfId="0" applyFont="1" applyFill="1" applyBorder="1" applyAlignment="1">
      <alignment vertical="center" wrapText="1"/>
    </xf>
    <xf numFmtId="0" fontId="55" fillId="32" borderId="53" xfId="0" applyFont="1" applyFill="1" applyBorder="1" applyAlignment="1">
      <alignment vertical="center" wrapText="1"/>
    </xf>
    <xf numFmtId="0" fontId="55" fillId="32" borderId="55" xfId="0" applyFont="1" applyFill="1" applyBorder="1" applyAlignment="1">
      <alignment vertical="center" wrapText="1"/>
    </xf>
    <xf numFmtId="0" fontId="3" fillId="0" borderId="0" xfId="0" applyFont="1"/>
    <xf numFmtId="41" fontId="69" fillId="34" borderId="1" xfId="17" applyNumberFormat="1" applyFont="1" applyFill="1" applyBorder="1" applyAlignment="1">
      <alignment horizontal="center" vertical="center"/>
    </xf>
    <xf numFmtId="0" fontId="72" fillId="32" borderId="8" xfId="0" applyFont="1" applyFill="1" applyBorder="1" applyAlignment="1">
      <alignment horizontal="center" vertical="center" wrapText="1"/>
    </xf>
    <xf numFmtId="0" fontId="73" fillId="0" borderId="0" xfId="0" applyFont="1" applyAlignment="1">
      <alignment horizontal="center" vertical="center"/>
    </xf>
    <xf numFmtId="0" fontId="72" fillId="32" borderId="8" xfId="0" applyFont="1" applyFill="1" applyBorder="1" applyAlignment="1">
      <alignment horizontal="center" vertical="center"/>
    </xf>
    <xf numFmtId="10" fontId="55" fillId="13" borderId="74" xfId="0" applyNumberFormat="1" applyFont="1" applyFill="1" applyBorder="1" applyAlignment="1">
      <alignment horizontal="center" vertical="center"/>
    </xf>
    <xf numFmtId="10" fontId="55" fillId="13" borderId="75" xfId="0" applyNumberFormat="1" applyFont="1" applyFill="1" applyBorder="1" applyAlignment="1">
      <alignment horizontal="center" vertical="center"/>
    </xf>
    <xf numFmtId="0" fontId="55" fillId="32" borderId="55" xfId="0" applyFont="1" applyFill="1" applyBorder="1" applyAlignment="1">
      <alignment vertical="center"/>
    </xf>
    <xf numFmtId="177" fontId="55" fillId="13" borderId="9" xfId="6" applyNumberFormat="1" applyFont="1" applyFill="1" applyBorder="1"/>
    <xf numFmtId="177" fontId="55" fillId="13" borderId="36" xfId="6" applyNumberFormat="1" applyFont="1" applyFill="1" applyBorder="1"/>
    <xf numFmtId="177" fontId="55" fillId="13" borderId="10" xfId="6" applyNumberFormat="1" applyFont="1" applyFill="1" applyBorder="1"/>
    <xf numFmtId="177" fontId="55" fillId="13" borderId="14" xfId="6" applyNumberFormat="1" applyFont="1" applyFill="1" applyBorder="1"/>
    <xf numFmtId="177" fontId="55" fillId="13" borderId="39" xfId="6" applyNumberFormat="1" applyFont="1" applyFill="1" applyBorder="1"/>
    <xf numFmtId="177" fontId="55" fillId="13" borderId="15" xfId="6" applyNumberFormat="1" applyFont="1" applyFill="1" applyBorder="1"/>
    <xf numFmtId="0" fontId="55" fillId="32" borderId="51" xfId="0" applyFont="1" applyFill="1" applyBorder="1" applyAlignment="1">
      <alignment horizontal="left" vertical="center"/>
    </xf>
    <xf numFmtId="0" fontId="55" fillId="32" borderId="55" xfId="0" applyFont="1" applyFill="1" applyBorder="1" applyAlignment="1">
      <alignment horizontal="left" vertical="center"/>
    </xf>
    <xf numFmtId="0" fontId="55" fillId="13" borderId="27" xfId="0" applyFont="1" applyFill="1" applyBorder="1"/>
    <xf numFmtId="0" fontId="55" fillId="13" borderId="28" xfId="0" applyFont="1" applyFill="1" applyBorder="1"/>
    <xf numFmtId="0" fontId="67" fillId="32" borderId="76" xfId="0" applyFont="1" applyFill="1" applyBorder="1" applyAlignment="1">
      <alignment horizontal="center" vertical="center"/>
    </xf>
    <xf numFmtId="0" fontId="67" fillId="32" borderId="77" xfId="0" applyFont="1" applyFill="1" applyBorder="1" applyAlignment="1">
      <alignment horizontal="center" vertical="center"/>
    </xf>
    <xf numFmtId="4" fontId="55" fillId="13" borderId="44" xfId="0" applyNumberFormat="1" applyFont="1" applyFill="1" applyBorder="1"/>
    <xf numFmtId="4" fontId="55" fillId="13" borderId="31" xfId="0" applyNumberFormat="1" applyFont="1" applyFill="1" applyBorder="1"/>
    <xf numFmtId="0" fontId="67" fillId="32" borderId="78" xfId="0" applyFont="1" applyFill="1" applyBorder="1" applyAlignment="1">
      <alignment horizontal="center" vertical="center"/>
    </xf>
    <xf numFmtId="0" fontId="72" fillId="32" borderId="8" xfId="0" applyFont="1" applyFill="1" applyBorder="1" applyAlignment="1">
      <alignment vertical="center"/>
    </xf>
    <xf numFmtId="0" fontId="55" fillId="32" borderId="30" xfId="0" applyFont="1" applyFill="1" applyBorder="1" applyAlignment="1">
      <alignment horizontal="right" vertical="center"/>
    </xf>
    <xf numFmtId="0" fontId="55" fillId="32" borderId="53" xfId="0" applyFont="1" applyFill="1" applyBorder="1" applyAlignment="1">
      <alignment vertical="center"/>
    </xf>
    <xf numFmtId="0" fontId="55" fillId="32" borderId="50" xfId="0" applyFont="1" applyFill="1" applyBorder="1" applyAlignment="1">
      <alignment vertical="center"/>
    </xf>
    <xf numFmtId="0" fontId="55" fillId="32" borderId="52" xfId="0" applyFont="1" applyFill="1" applyBorder="1" applyAlignment="1">
      <alignment vertical="center"/>
    </xf>
    <xf numFmtId="0" fontId="55" fillId="32" borderId="80" xfId="0" applyFont="1" applyFill="1" applyBorder="1" applyAlignment="1">
      <alignment vertical="center"/>
    </xf>
    <xf numFmtId="0" fontId="72" fillId="32" borderId="46" xfId="0" applyFont="1" applyFill="1" applyBorder="1" applyAlignment="1">
      <alignment horizontal="center" vertical="center"/>
    </xf>
    <xf numFmtId="0" fontId="67" fillId="32" borderId="72" xfId="0" applyFont="1" applyFill="1" applyBorder="1" applyAlignment="1">
      <alignment horizontal="center" vertical="center"/>
    </xf>
    <xf numFmtId="0" fontId="72" fillId="32" borderId="62" xfId="0" applyFont="1" applyFill="1" applyBorder="1" applyAlignment="1">
      <alignment vertical="center"/>
    </xf>
    <xf numFmtId="0" fontId="72" fillId="32" borderId="51" xfId="0" applyFont="1" applyFill="1" applyBorder="1" applyAlignment="1">
      <alignment vertical="center"/>
    </xf>
    <xf numFmtId="0" fontId="72" fillId="32" borderId="53" xfId="0" applyFont="1" applyFill="1" applyBorder="1" applyAlignment="1">
      <alignment vertical="center" wrapText="1"/>
    </xf>
    <xf numFmtId="0" fontId="72" fillId="32" borderId="53" xfId="0" applyFont="1" applyFill="1" applyBorder="1" applyAlignment="1">
      <alignment vertical="center"/>
    </xf>
    <xf numFmtId="0" fontId="72" fillId="13" borderId="26" xfId="0" applyFont="1" applyFill="1" applyBorder="1"/>
    <xf numFmtId="2" fontId="72" fillId="13" borderId="8" xfId="0" applyNumberFormat="1" applyFont="1" applyFill="1" applyBorder="1" applyAlignment="1">
      <alignment vertical="center"/>
    </xf>
    <xf numFmtId="0" fontId="72" fillId="0" borderId="8" xfId="0" applyFont="1" applyBorder="1" applyAlignment="1">
      <alignment horizontal="center" vertical="center" wrapText="1"/>
    </xf>
    <xf numFmtId="10" fontId="55" fillId="13" borderId="73" xfId="0" applyNumberFormat="1" applyFont="1" applyFill="1" applyBorder="1" applyAlignment="1">
      <alignment horizontal="center" vertical="center"/>
    </xf>
    <xf numFmtId="0" fontId="74" fillId="0" borderId="0" xfId="0" applyFont="1" applyAlignment="1">
      <alignment horizontal="center" vertical="center"/>
    </xf>
    <xf numFmtId="0" fontId="72" fillId="32" borderId="78" xfId="0" applyFont="1" applyFill="1" applyBorder="1" applyAlignment="1">
      <alignment horizontal="center" vertical="center"/>
    </xf>
    <xf numFmtId="0" fontId="72" fillId="32" borderId="76" xfId="0" applyFont="1" applyFill="1" applyBorder="1" applyAlignment="1">
      <alignment horizontal="center" vertical="center"/>
    </xf>
    <xf numFmtId="0" fontId="72" fillId="32" borderId="77" xfId="0" applyFont="1" applyFill="1" applyBorder="1" applyAlignment="1">
      <alignment horizontal="center" vertical="center"/>
    </xf>
    <xf numFmtId="0" fontId="55" fillId="32" borderId="9" xfId="0" applyFont="1" applyFill="1" applyBorder="1" applyAlignment="1">
      <alignment vertical="center"/>
    </xf>
    <xf numFmtId="170" fontId="55" fillId="13" borderId="36" xfId="0" applyNumberFormat="1" applyFont="1" applyFill="1" applyBorder="1" applyAlignment="1">
      <alignment vertical="center"/>
    </xf>
    <xf numFmtId="170" fontId="55" fillId="13" borderId="10" xfId="0" applyNumberFormat="1" applyFont="1" applyFill="1" applyBorder="1" applyAlignment="1">
      <alignment vertical="center"/>
    </xf>
    <xf numFmtId="0" fontId="55" fillId="32" borderId="14" xfId="0" applyFont="1" applyFill="1" applyBorder="1" applyAlignment="1">
      <alignment vertical="center"/>
    </xf>
    <xf numFmtId="170" fontId="55" fillId="13" borderId="39" xfId="0" applyNumberFormat="1" applyFont="1" applyFill="1" applyBorder="1" applyAlignment="1">
      <alignment vertical="center"/>
    </xf>
    <xf numFmtId="170" fontId="55" fillId="13" borderId="15" xfId="0" applyNumberFormat="1" applyFont="1" applyFill="1" applyBorder="1" applyAlignment="1">
      <alignment vertical="center"/>
    </xf>
    <xf numFmtId="0" fontId="72" fillId="32" borderId="50" xfId="0" applyFont="1" applyFill="1" applyBorder="1" applyAlignment="1">
      <alignment horizontal="center" vertical="center"/>
    </xf>
    <xf numFmtId="0" fontId="72" fillId="32" borderId="54" xfId="0" applyFont="1" applyFill="1" applyBorder="1" applyAlignment="1">
      <alignment horizontal="center" vertical="center"/>
    </xf>
    <xf numFmtId="0" fontId="55" fillId="32" borderId="54" xfId="0" applyFont="1" applyFill="1" applyBorder="1" applyAlignment="1">
      <alignment vertical="center"/>
    </xf>
    <xf numFmtId="177" fontId="55" fillId="13" borderId="1" xfId="6" applyNumberFormat="1" applyFont="1" applyFill="1" applyBorder="1"/>
    <xf numFmtId="177" fontId="55" fillId="13" borderId="11" xfId="6" applyNumberFormat="1" applyFont="1" applyFill="1" applyBorder="1"/>
    <xf numFmtId="177" fontId="55" fillId="13" borderId="12" xfId="6" applyNumberFormat="1" applyFont="1" applyFill="1" applyBorder="1"/>
    <xf numFmtId="177" fontId="55" fillId="13" borderId="14" xfId="6" applyNumberFormat="1" applyFont="1" applyFill="1" applyBorder="1" applyAlignment="1">
      <alignment vertical="center"/>
    </xf>
    <xf numFmtId="177" fontId="55" fillId="13" borderId="39" xfId="6" applyNumberFormat="1" applyFont="1" applyFill="1" applyBorder="1" applyAlignment="1">
      <alignment vertical="center"/>
    </xf>
    <xf numFmtId="177" fontId="55" fillId="13" borderId="15" xfId="6" applyNumberFormat="1" applyFont="1" applyFill="1" applyBorder="1" applyAlignment="1">
      <alignment vertical="center"/>
    </xf>
    <xf numFmtId="4" fontId="55" fillId="13" borderId="9" xfId="21" applyNumberFormat="1" applyFont="1" applyFill="1" applyBorder="1" applyAlignment="1">
      <alignment vertical="center"/>
    </xf>
    <xf numFmtId="4" fontId="55" fillId="13" borderId="36" xfId="21" applyNumberFormat="1" applyFont="1" applyFill="1" applyBorder="1" applyAlignment="1">
      <alignment vertical="center"/>
    </xf>
    <xf numFmtId="4" fontId="55" fillId="13" borderId="10" xfId="21" applyNumberFormat="1" applyFont="1" applyFill="1" applyBorder="1" applyAlignment="1">
      <alignment vertical="center"/>
    </xf>
    <xf numFmtId="3" fontId="55" fillId="13" borderId="14" xfId="21" applyNumberFormat="1" applyFont="1" applyFill="1" applyBorder="1" applyAlignment="1">
      <alignment vertical="center"/>
    </xf>
    <xf numFmtId="3" fontId="55" fillId="13" borderId="39" xfId="21" applyNumberFormat="1" applyFont="1" applyFill="1" applyBorder="1" applyAlignment="1">
      <alignment vertical="center"/>
    </xf>
    <xf numFmtId="3" fontId="55" fillId="13" borderId="15" xfId="21" applyNumberFormat="1" applyFont="1" applyFill="1" applyBorder="1" applyAlignment="1">
      <alignment vertical="center"/>
    </xf>
    <xf numFmtId="0" fontId="72" fillId="13" borderId="26" xfId="0" applyFont="1" applyFill="1" applyBorder="1" applyAlignment="1">
      <alignment vertical="center"/>
    </xf>
    <xf numFmtId="0" fontId="55" fillId="13" borderId="27" xfId="0" applyFont="1" applyFill="1" applyBorder="1" applyAlignment="1">
      <alignment vertical="center"/>
    </xf>
    <xf numFmtId="0" fontId="55" fillId="13" borderId="28" xfId="0" applyFont="1" applyFill="1" applyBorder="1" applyAlignment="1">
      <alignment vertical="center"/>
    </xf>
    <xf numFmtId="2" fontId="72" fillId="13" borderId="8" xfId="0" applyNumberFormat="1" applyFont="1" applyFill="1" applyBorder="1" applyAlignment="1">
      <alignment vertical="center" wrapText="1"/>
    </xf>
    <xf numFmtId="6" fontId="72" fillId="13" borderId="63" xfId="6" applyNumberFormat="1" applyFont="1" applyFill="1" applyBorder="1" applyAlignment="1">
      <alignment vertical="center"/>
    </xf>
    <xf numFmtId="6" fontId="72" fillId="13" borderId="64" xfId="6" applyNumberFormat="1" applyFont="1" applyFill="1" applyBorder="1" applyAlignment="1">
      <alignment vertical="center"/>
    </xf>
    <xf numFmtId="6" fontId="55" fillId="13" borderId="51" xfId="0" applyNumberFormat="1" applyFont="1" applyFill="1" applyBorder="1" applyAlignment="1">
      <alignment vertical="center" wrapText="1"/>
    </xf>
    <xf numFmtId="6" fontId="55" fillId="13" borderId="53" xfId="0" applyNumberFormat="1" applyFont="1" applyFill="1" applyBorder="1" applyAlignment="1">
      <alignment vertical="center" wrapText="1"/>
    </xf>
    <xf numFmtId="6" fontId="55" fillId="13" borderId="55" xfId="0" applyNumberFormat="1" applyFont="1" applyFill="1" applyBorder="1" applyAlignment="1">
      <alignment vertical="center" wrapText="1"/>
    </xf>
    <xf numFmtId="6" fontId="55" fillId="13" borderId="9" xfId="6" applyNumberFormat="1" applyFont="1" applyFill="1" applyBorder="1" applyAlignment="1">
      <alignment vertical="center"/>
    </xf>
    <xf numFmtId="6" fontId="55" fillId="13" borderId="36" xfId="6" applyNumberFormat="1" applyFont="1" applyFill="1" applyBorder="1" applyAlignment="1">
      <alignment vertical="center"/>
    </xf>
    <xf numFmtId="6" fontId="55" fillId="13" borderId="10" xfId="6" applyNumberFormat="1" applyFont="1" applyFill="1" applyBorder="1" applyAlignment="1">
      <alignment vertical="center"/>
    </xf>
    <xf numFmtId="6" fontId="55" fillId="13" borderId="11" xfId="6" applyNumberFormat="1" applyFont="1" applyFill="1" applyBorder="1" applyAlignment="1">
      <alignment vertical="center"/>
    </xf>
    <xf numFmtId="6" fontId="55" fillId="13" borderId="1" xfId="6" applyNumberFormat="1" applyFont="1" applyFill="1" applyBorder="1" applyAlignment="1">
      <alignment vertical="center"/>
    </xf>
    <xf numFmtId="6" fontId="55" fillId="13" borderId="12" xfId="6" applyNumberFormat="1" applyFont="1" applyFill="1" applyBorder="1" applyAlignment="1">
      <alignment vertical="center"/>
    </xf>
    <xf numFmtId="6" fontId="72" fillId="13" borderId="11" xfId="6" applyNumberFormat="1" applyFont="1" applyFill="1" applyBorder="1" applyAlignment="1">
      <alignment vertical="center"/>
    </xf>
    <xf numFmtId="6" fontId="72" fillId="13" borderId="1" xfId="6" applyNumberFormat="1" applyFont="1" applyFill="1" applyBorder="1" applyAlignment="1">
      <alignment vertical="center"/>
    </xf>
    <xf numFmtId="6" fontId="72" fillId="13" borderId="12" xfId="6" applyNumberFormat="1" applyFont="1" applyFill="1" applyBorder="1" applyAlignment="1">
      <alignment vertical="center"/>
    </xf>
    <xf numFmtId="6" fontId="55" fillId="13" borderId="14" xfId="6" applyNumberFormat="1" applyFont="1" applyFill="1" applyBorder="1" applyAlignment="1">
      <alignment vertical="center"/>
    </xf>
    <xf numFmtId="6" fontId="55" fillId="13" borderId="39" xfId="6" applyNumberFormat="1" applyFont="1" applyFill="1" applyBorder="1" applyAlignment="1">
      <alignment vertical="center"/>
    </xf>
    <xf numFmtId="6" fontId="55" fillId="13" borderId="15" xfId="6" applyNumberFormat="1" applyFont="1" applyFill="1" applyBorder="1" applyAlignment="1">
      <alignment vertical="center"/>
    </xf>
    <xf numFmtId="6" fontId="72" fillId="13" borderId="82" xfId="6" applyNumberFormat="1" applyFont="1" applyFill="1" applyBorder="1" applyAlignment="1">
      <alignment vertical="center"/>
    </xf>
    <xf numFmtId="0" fontId="55" fillId="37" borderId="0" xfId="0" applyFont="1" applyFill="1"/>
    <xf numFmtId="10" fontId="55" fillId="0" borderId="0" xfId="2" applyNumberFormat="1" applyFont="1"/>
    <xf numFmtId="0" fontId="0" fillId="0" borderId="1" xfId="0" applyBorder="1" applyAlignment="1">
      <alignment horizontal="center"/>
    </xf>
    <xf numFmtId="0" fontId="88" fillId="3" borderId="0" xfId="0" applyFont="1" applyFill="1"/>
    <xf numFmtId="0" fontId="89" fillId="3" borderId="0" xfId="0" applyFont="1" applyFill="1" applyAlignment="1">
      <alignment horizontal="right"/>
    </xf>
    <xf numFmtId="4" fontId="55" fillId="0" borderId="44" xfId="0" applyNumberFormat="1" applyFont="1" applyBorder="1"/>
    <xf numFmtId="4" fontId="55" fillId="0" borderId="31" xfId="0" applyNumberFormat="1" applyFont="1" applyBorder="1"/>
    <xf numFmtId="0" fontId="96" fillId="0" borderId="17" xfId="0" applyFont="1" applyBorder="1" applyAlignment="1">
      <alignment horizontal="center"/>
    </xf>
    <xf numFmtId="0" fontId="97" fillId="0" borderId="3" xfId="0" applyFont="1" applyBorder="1" applyAlignment="1">
      <alignment horizontal="center" vertical="center" wrapText="1"/>
    </xf>
    <xf numFmtId="0" fontId="97" fillId="0" borderId="23" xfId="0" applyFont="1" applyBorder="1" applyAlignment="1">
      <alignment horizontal="center" vertical="center" wrapText="1"/>
    </xf>
    <xf numFmtId="0" fontId="10" fillId="0" borderId="25" xfId="0" applyFont="1" applyBorder="1" applyAlignment="1">
      <alignment horizontal="center"/>
    </xf>
    <xf numFmtId="0" fontId="10" fillId="0" borderId="19" xfId="0" applyFont="1" applyBorder="1" applyAlignment="1">
      <alignment horizontal="center"/>
    </xf>
    <xf numFmtId="0" fontId="11" fillId="0" borderId="4" xfId="0" applyFont="1" applyBorder="1" applyAlignment="1">
      <alignment horizontal="center" vertical="center" wrapText="1"/>
    </xf>
    <xf numFmtId="0" fontId="11" fillId="0" borderId="2" xfId="0" applyFont="1" applyBorder="1"/>
    <xf numFmtId="0" fontId="11" fillId="0" borderId="2" xfId="0" applyFont="1" applyBorder="1" applyAlignment="1">
      <alignment wrapText="1"/>
    </xf>
    <xf numFmtId="0" fontId="11" fillId="0" borderId="18"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25" xfId="0" applyFont="1" applyBorder="1" applyAlignment="1">
      <alignment horizontal="center" vertical="center" wrapText="1"/>
    </xf>
    <xf numFmtId="0" fontId="11" fillId="0" borderId="22" xfId="0" applyFont="1" applyBorder="1"/>
    <xf numFmtId="2" fontId="0" fillId="0" borderId="0" xfId="10" applyNumberFormat="1" applyFont="1" applyProtection="1"/>
    <xf numFmtId="3" fontId="0" fillId="0" borderId="0" xfId="0" applyNumberFormat="1" applyProtection="1">
      <protection locked="0"/>
    </xf>
    <xf numFmtId="3" fontId="0" fillId="0" borderId="0" xfId="0" applyNumberFormat="1"/>
    <xf numFmtId="4" fontId="0" fillId="0" borderId="0" xfId="0" applyNumberFormat="1"/>
    <xf numFmtId="0" fontId="55" fillId="13" borderId="21" xfId="15" applyFont="1" applyFill="1" applyBorder="1" applyAlignment="1">
      <alignment horizontal="center" vertical="center"/>
    </xf>
    <xf numFmtId="0" fontId="69" fillId="13" borderId="57" xfId="17" applyFont="1" applyFill="1" applyBorder="1" applyAlignment="1">
      <alignment horizontal="center" vertical="center"/>
    </xf>
    <xf numFmtId="42" fontId="69" fillId="13" borderId="57" xfId="17" applyNumberFormat="1" applyFont="1" applyFill="1" applyBorder="1" applyAlignment="1">
      <alignment horizontal="center" vertical="center"/>
    </xf>
    <xf numFmtId="0" fontId="69" fillId="13" borderId="21" xfId="17" applyNumberFormat="1" applyFont="1" applyFill="1" applyBorder="1" applyAlignment="1">
      <alignment horizontal="center" vertical="center"/>
    </xf>
    <xf numFmtId="42" fontId="55" fillId="13" borderId="21" xfId="18" applyFont="1" applyFill="1" applyBorder="1"/>
    <xf numFmtId="182" fontId="55" fillId="13" borderId="21" xfId="0" applyNumberFormat="1" applyFont="1" applyFill="1" applyBorder="1" applyAlignment="1">
      <alignment horizontal="center"/>
    </xf>
    <xf numFmtId="0" fontId="55" fillId="13" borderId="36" xfId="15" applyFont="1" applyFill="1" applyBorder="1" applyAlignment="1">
      <alignment horizontal="center" vertical="center"/>
    </xf>
    <xf numFmtId="0" fontId="69" fillId="13" borderId="84" xfId="17" applyFont="1" applyFill="1" applyBorder="1" applyAlignment="1">
      <alignment horizontal="center" vertical="center"/>
    </xf>
    <xf numFmtId="42" fontId="69" fillId="13" borderId="84" xfId="17" applyNumberFormat="1" applyFont="1" applyFill="1" applyBorder="1" applyAlignment="1">
      <alignment horizontal="center" vertical="center"/>
    </xf>
    <xf numFmtId="0" fontId="69" fillId="13" borderId="36" xfId="17" applyNumberFormat="1" applyFont="1" applyFill="1" applyBorder="1" applyAlignment="1">
      <alignment horizontal="center" vertical="center"/>
    </xf>
    <xf numFmtId="42" fontId="55" fillId="13" borderId="36" xfId="18" applyFont="1" applyFill="1" applyBorder="1"/>
    <xf numFmtId="0" fontId="55" fillId="13" borderId="39" xfId="15" applyFont="1" applyFill="1" applyBorder="1" applyAlignment="1">
      <alignment horizontal="center" vertical="center"/>
    </xf>
    <xf numFmtId="0" fontId="69" fillId="13" borderId="85" xfId="17" applyFont="1" applyFill="1" applyBorder="1" applyAlignment="1">
      <alignment horizontal="center" vertical="center"/>
    </xf>
    <xf numFmtId="42" fontId="69" fillId="13" borderId="85" xfId="17" applyNumberFormat="1" applyFont="1" applyFill="1" applyBorder="1" applyAlignment="1">
      <alignment horizontal="center" vertical="center"/>
    </xf>
    <xf numFmtId="0" fontId="69" fillId="13" borderId="39" xfId="17" applyNumberFormat="1" applyFont="1" applyFill="1" applyBorder="1" applyAlignment="1">
      <alignment horizontal="center" vertical="center"/>
    </xf>
    <xf numFmtId="42" fontId="55" fillId="13" borderId="39" xfId="18" applyFont="1" applyFill="1" applyBorder="1"/>
    <xf numFmtId="0" fontId="0" fillId="0" borderId="14" xfId="0" applyBorder="1"/>
    <xf numFmtId="0" fontId="3" fillId="0" borderId="30" xfId="0" applyFont="1" applyBorder="1" applyAlignment="1">
      <alignment horizontal="center" vertical="center"/>
    </xf>
    <xf numFmtId="0" fontId="3" fillId="0" borderId="44" xfId="0" applyFont="1" applyBorder="1" applyAlignment="1">
      <alignment horizontal="center" vertical="center"/>
    </xf>
    <xf numFmtId="0" fontId="3" fillId="0" borderId="31" xfId="0" applyFont="1" applyBorder="1" applyAlignment="1">
      <alignment horizontal="center" vertical="center"/>
    </xf>
    <xf numFmtId="3" fontId="0" fillId="0" borderId="60" xfId="0" applyNumberFormat="1" applyBorder="1"/>
    <xf numFmtId="3" fontId="0" fillId="0" borderId="21" xfId="0" applyNumberFormat="1" applyBorder="1"/>
    <xf numFmtId="3" fontId="0" fillId="0" borderId="61" xfId="0" applyNumberFormat="1" applyBorder="1"/>
    <xf numFmtId="10" fontId="0" fillId="0" borderId="39" xfId="10" applyNumberFormat="1" applyFont="1" applyBorder="1"/>
    <xf numFmtId="10" fontId="0" fillId="0" borderId="15" xfId="10" applyNumberFormat="1" applyFont="1" applyBorder="1"/>
    <xf numFmtId="10" fontId="60" fillId="25" borderId="28" xfId="10" applyNumberFormat="1" applyFont="1" applyFill="1" applyBorder="1" applyAlignment="1">
      <alignment horizontal="center" vertical="center" wrapText="1"/>
    </xf>
    <xf numFmtId="3" fontId="6" fillId="35" borderId="0" xfId="0" applyNumberFormat="1" applyFont="1" applyFill="1"/>
    <xf numFmtId="3" fontId="6" fillId="42" borderId="0" xfId="0" applyNumberFormat="1" applyFont="1" applyFill="1"/>
    <xf numFmtId="3" fontId="84" fillId="0" borderId="0" xfId="0" applyNumberFormat="1" applyFont="1"/>
    <xf numFmtId="2" fontId="84" fillId="0" borderId="0" xfId="10" applyNumberFormat="1" applyFont="1" applyProtection="1"/>
    <xf numFmtId="0" fontId="29" fillId="0" borderId="0" xfId="0" applyFont="1" applyProtection="1">
      <protection locked="0"/>
    </xf>
    <xf numFmtId="0" fontId="17" fillId="0" borderId="0" xfId="0" applyFont="1" applyAlignment="1" applyProtection="1">
      <alignment horizontal="left" vertical="center" indent="1"/>
      <protection locked="0"/>
    </xf>
    <xf numFmtId="0" fontId="29" fillId="0" borderId="0" xfId="0" applyFont="1" applyAlignment="1" applyProtection="1">
      <alignment horizontal="center" vertical="center"/>
      <protection locked="0"/>
    </xf>
    <xf numFmtId="0" fontId="29" fillId="0" borderId="0" xfId="0" applyFont="1" applyAlignment="1" applyProtection="1">
      <alignment horizontal="center"/>
      <protection locked="0"/>
    </xf>
    <xf numFmtId="0" fontId="27" fillId="0" borderId="0" xfId="0" applyFont="1" applyAlignment="1" applyProtection="1">
      <alignment horizontal="center" vertical="center"/>
      <protection locked="0"/>
    </xf>
    <xf numFmtId="0" fontId="26" fillId="0" borderId="7" xfId="0" applyFont="1" applyBorder="1" applyAlignment="1" applyProtection="1">
      <alignment horizontal="center" vertical="center"/>
      <protection locked="0"/>
    </xf>
    <xf numFmtId="0" fontId="27"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3" fontId="15" fillId="0" borderId="0" xfId="0" applyNumberFormat="1" applyFont="1" applyAlignment="1" applyProtection="1">
      <alignment horizontal="center" vertical="center"/>
      <protection locked="0"/>
    </xf>
    <xf numFmtId="3" fontId="16" fillId="0" borderId="0" xfId="0" applyNumberFormat="1" applyFont="1" applyAlignment="1" applyProtection="1">
      <alignment horizontal="center" vertical="center"/>
      <protection locked="0"/>
    </xf>
    <xf numFmtId="0" fontId="12" fillId="0" borderId="0" xfId="0" applyFont="1" applyAlignment="1" applyProtection="1">
      <alignment vertical="center"/>
      <protection locked="0"/>
    </xf>
    <xf numFmtId="0" fontId="12" fillId="0" borderId="0" xfId="0" applyFont="1" applyProtection="1">
      <protection locked="0"/>
    </xf>
    <xf numFmtId="3" fontId="15" fillId="11" borderId="0" xfId="0" applyNumberFormat="1" applyFont="1" applyFill="1" applyAlignment="1" applyProtection="1">
      <alignment horizontal="center" vertical="center"/>
      <protection locked="0"/>
    </xf>
    <xf numFmtId="0" fontId="12" fillId="0" borderId="0" xfId="0" applyFont="1" applyAlignment="1" applyProtection="1">
      <alignment horizontal="center"/>
      <protection locked="0"/>
    </xf>
    <xf numFmtId="3" fontId="21" fillId="0" borderId="0" xfId="4" applyNumberFormat="1" applyFont="1" applyFill="1" applyBorder="1" applyAlignment="1" applyProtection="1">
      <alignment horizontal="center" vertical="center"/>
      <protection locked="0"/>
    </xf>
    <xf numFmtId="3" fontId="16" fillId="0" borderId="0" xfId="4" applyNumberFormat="1" applyFont="1" applyFill="1" applyBorder="1" applyAlignment="1" applyProtection="1">
      <alignment horizontal="center" vertical="center"/>
      <protection locked="0"/>
    </xf>
    <xf numFmtId="3" fontId="12"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24" fillId="0" borderId="0" xfId="0" applyFont="1" applyAlignment="1" applyProtection="1">
      <alignment horizontal="left" vertical="center"/>
      <protection locked="0"/>
    </xf>
    <xf numFmtId="44" fontId="16" fillId="0" borderId="0" xfId="1" applyFont="1" applyFill="1" applyAlignment="1" applyProtection="1">
      <alignment horizontal="center" vertical="center"/>
      <protection locked="0"/>
    </xf>
    <xf numFmtId="167" fontId="13" fillId="0" borderId="0" xfId="5" applyNumberFormat="1" applyFont="1" applyFill="1" applyBorder="1" applyAlignment="1" applyProtection="1">
      <alignment horizontal="center" vertical="center"/>
      <protection locked="0"/>
    </xf>
    <xf numFmtId="3" fontId="13"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35" fillId="43" borderId="0" xfId="0" applyFont="1" applyFill="1" applyAlignment="1" applyProtection="1">
      <alignment horizontal="right" vertical="center"/>
      <protection locked="0"/>
    </xf>
    <xf numFmtId="0" fontId="35" fillId="43" borderId="0" xfId="0" applyFont="1" applyFill="1" applyAlignment="1" applyProtection="1">
      <alignment horizontal="center" vertical="center"/>
      <protection locked="0"/>
    </xf>
    <xf numFmtId="3" fontId="36" fillId="43" borderId="0" xfId="0" applyNumberFormat="1" applyFont="1" applyFill="1" applyAlignment="1" applyProtection="1">
      <alignment horizontal="center" vertical="center"/>
      <protection locked="0"/>
    </xf>
    <xf numFmtId="0" fontId="36" fillId="43" borderId="0" xfId="0" applyFont="1" applyFill="1" applyAlignment="1" applyProtection="1">
      <alignment horizontal="center" vertical="center"/>
      <protection locked="0"/>
    </xf>
    <xf numFmtId="0" fontId="13" fillId="0" borderId="0" xfId="0" applyFont="1" applyAlignment="1" applyProtection="1">
      <alignment vertical="center"/>
      <protection locked="0"/>
    </xf>
    <xf numFmtId="167" fontId="13" fillId="0" borderId="0" xfId="5" applyNumberFormat="1" applyFont="1" applyFill="1" applyBorder="1" applyAlignment="1" applyProtection="1">
      <alignment horizontal="left" vertical="center"/>
      <protection locked="0"/>
    </xf>
    <xf numFmtId="0" fontId="29" fillId="0" borderId="0" xfId="0" applyFont="1" applyAlignment="1" applyProtection="1">
      <alignment vertical="center"/>
      <protection locked="0"/>
    </xf>
    <xf numFmtId="1" fontId="12" fillId="0" borderId="0" xfId="0" applyNumberFormat="1" applyFont="1" applyAlignment="1" applyProtection="1">
      <alignment horizontal="center" vertical="center"/>
      <protection locked="0"/>
    </xf>
    <xf numFmtId="0" fontId="33" fillId="0" borderId="0" xfId="9" applyFill="1" applyAlignment="1" applyProtection="1">
      <alignment horizontal="right" vertical="center"/>
      <protection locked="0"/>
    </xf>
    <xf numFmtId="0" fontId="12" fillId="0" borderId="0" xfId="0" applyFont="1" applyAlignment="1" applyProtection="1">
      <alignment horizontal="left" vertical="center"/>
      <protection locked="0"/>
    </xf>
    <xf numFmtId="0" fontId="15" fillId="0" borderId="5" xfId="4" applyNumberFormat="1" applyFont="1" applyFill="1" applyBorder="1" applyAlignment="1" applyProtection="1">
      <alignment horizontal="center" vertical="center"/>
      <protection locked="0"/>
    </xf>
    <xf numFmtId="1" fontId="12" fillId="0" borderId="0" xfId="0" applyNumberFormat="1" applyFont="1" applyAlignment="1" applyProtection="1">
      <alignment horizontal="center"/>
      <protection locked="0"/>
    </xf>
    <xf numFmtId="44" fontId="16" fillId="0" borderId="0" xfId="1" applyFont="1" applyFill="1" applyBorder="1" applyAlignment="1" applyProtection="1">
      <alignment horizontal="center" vertical="center"/>
      <protection locked="0"/>
    </xf>
    <xf numFmtId="4" fontId="16" fillId="0" borderId="0" xfId="0" applyNumberFormat="1" applyFont="1" applyAlignment="1" applyProtection="1">
      <alignment horizontal="center" vertical="center"/>
      <protection locked="0"/>
    </xf>
    <xf numFmtId="0" fontId="31" fillId="0" borderId="0" xfId="0" applyFont="1" applyAlignment="1" applyProtection="1">
      <alignment vertical="center"/>
      <protection locked="0"/>
    </xf>
    <xf numFmtId="0" fontId="30" fillId="0" borderId="0" xfId="0" applyFont="1" applyAlignment="1" applyProtection="1">
      <alignment vertical="center"/>
      <protection locked="0"/>
    </xf>
    <xf numFmtId="0" fontId="0" fillId="0" borderId="0" xfId="0" applyProtection="1">
      <protection locked="0"/>
    </xf>
    <xf numFmtId="4" fontId="6" fillId="0" borderId="0" xfId="0" applyNumberFormat="1" applyFont="1" applyProtection="1">
      <protection locked="0"/>
    </xf>
    <xf numFmtId="167" fontId="12" fillId="0" borderId="0" xfId="5" applyNumberFormat="1" applyFont="1" applyFill="1" applyBorder="1" applyAlignment="1" applyProtection="1">
      <alignment horizontal="left" vertical="center"/>
      <protection locked="0"/>
    </xf>
    <xf numFmtId="0" fontId="33" fillId="0" borderId="0" xfId="9" applyFill="1" applyAlignment="1" applyProtection="1">
      <alignment vertical="center"/>
      <protection locked="0"/>
    </xf>
    <xf numFmtId="2" fontId="16" fillId="0" borderId="0" xfId="0" applyNumberFormat="1" applyFont="1" applyAlignment="1" applyProtection="1">
      <alignment horizontal="center" vertical="center"/>
      <protection locked="0"/>
    </xf>
    <xf numFmtId="0" fontId="15" fillId="0" borderId="45" xfId="4" applyNumberFormat="1" applyFont="1" applyFill="1" applyBorder="1" applyAlignment="1" applyProtection="1">
      <alignment horizontal="center" vertical="center"/>
      <protection locked="0"/>
    </xf>
    <xf numFmtId="44" fontId="0" fillId="0" borderId="0" xfId="1" applyFont="1" applyProtection="1">
      <protection locked="0"/>
    </xf>
    <xf numFmtId="167" fontId="33" fillId="0" borderId="0" xfId="9" applyNumberFormat="1" applyFill="1" applyBorder="1" applyAlignment="1" applyProtection="1">
      <alignment horizontal="right" vertical="center"/>
      <protection locked="0"/>
    </xf>
    <xf numFmtId="0" fontId="36" fillId="0" borderId="0" xfId="0" applyFont="1" applyAlignment="1" applyProtection="1">
      <alignment horizontal="center" vertical="center"/>
      <protection locked="0"/>
    </xf>
    <xf numFmtId="3" fontId="16" fillId="43" borderId="0" xfId="4" applyNumberFormat="1" applyFont="1" applyFill="1" applyBorder="1" applyAlignment="1" applyProtection="1">
      <alignment horizontal="center" vertical="center"/>
      <protection locked="0"/>
    </xf>
    <xf numFmtId="0" fontId="12" fillId="43" borderId="0" xfId="0" applyFont="1" applyFill="1" applyAlignment="1" applyProtection="1">
      <alignment horizontal="center" vertical="center"/>
      <protection locked="0"/>
    </xf>
    <xf numFmtId="4" fontId="37" fillId="0" borderId="0" xfId="0" applyNumberFormat="1" applyFont="1" applyProtection="1">
      <protection locked="0"/>
    </xf>
    <xf numFmtId="0" fontId="13" fillId="0" borderId="0" xfId="0" applyFont="1" applyAlignment="1" applyProtection="1">
      <alignment horizontal="right" vertical="center"/>
      <protection locked="0"/>
    </xf>
    <xf numFmtId="44" fontId="29" fillId="0" borderId="0" xfId="1" applyFont="1" applyProtection="1">
      <protection locked="0"/>
    </xf>
    <xf numFmtId="0" fontId="18" fillId="0" borderId="0" xfId="0" applyFont="1" applyAlignment="1" applyProtection="1">
      <alignment horizontal="left" vertical="center" wrapText="1" indent="1"/>
      <protection locked="0"/>
    </xf>
    <xf numFmtId="2" fontId="12" fillId="0" borderId="0" xfId="0" applyNumberFormat="1" applyFont="1" applyAlignment="1" applyProtection="1">
      <alignment horizontal="center"/>
      <protection locked="0"/>
    </xf>
    <xf numFmtId="0" fontId="23" fillId="0" borderId="0" xfId="4" applyNumberFormat="1" applyFont="1" applyFill="1" applyBorder="1" applyAlignment="1" applyProtection="1">
      <alignment horizontal="center"/>
      <protection locked="0"/>
    </xf>
    <xf numFmtId="0" fontId="36" fillId="43" borderId="0" xfId="0" applyFont="1" applyFill="1" applyAlignment="1" applyProtection="1">
      <alignment vertical="center"/>
      <protection locked="0"/>
    </xf>
    <xf numFmtId="0" fontId="24" fillId="0" borderId="0" xfId="0" applyFont="1" applyAlignment="1" applyProtection="1">
      <alignment horizontal="center" vertical="center"/>
      <protection locked="0"/>
    </xf>
    <xf numFmtId="0" fontId="25" fillId="0" borderId="0" xfId="0" applyFont="1" applyAlignment="1" applyProtection="1">
      <alignment vertical="center"/>
      <protection locked="0"/>
    </xf>
    <xf numFmtId="0" fontId="18" fillId="0" borderId="0" xfId="0" applyFont="1" applyAlignment="1" applyProtection="1">
      <alignment horizontal="left" vertical="center"/>
      <protection locked="0"/>
    </xf>
    <xf numFmtId="0" fontId="13" fillId="0" borderId="0" xfId="0" applyFont="1" applyAlignment="1" applyProtection="1">
      <alignment horizontal="left" vertical="center"/>
      <protection locked="0"/>
    </xf>
    <xf numFmtId="2" fontId="19" fillId="11" borderId="0" xfId="0" applyNumberFormat="1" applyFont="1" applyFill="1" applyAlignment="1" applyProtection="1">
      <alignment horizontal="center" vertical="center"/>
      <protection locked="0"/>
    </xf>
    <xf numFmtId="2" fontId="20" fillId="0" borderId="0" xfId="0" applyNumberFormat="1" applyFont="1" applyAlignment="1" applyProtection="1">
      <alignment horizontal="center" vertical="center"/>
      <protection locked="0"/>
    </xf>
    <xf numFmtId="2" fontId="15" fillId="11" borderId="0" xfId="0" applyNumberFormat="1" applyFont="1" applyFill="1" applyAlignment="1" applyProtection="1">
      <alignment horizontal="center" vertical="center"/>
      <protection locked="0"/>
    </xf>
    <xf numFmtId="2" fontId="20" fillId="0" borderId="0" xfId="0" applyNumberFormat="1" applyFont="1" applyAlignment="1" applyProtection="1">
      <alignment horizontal="center" vertical="center" wrapText="1"/>
      <protection locked="0"/>
    </xf>
    <xf numFmtId="0" fontId="13" fillId="0" borderId="0" xfId="0" applyFont="1" applyAlignment="1" applyProtection="1">
      <alignment vertical="center" wrapText="1"/>
      <protection locked="0"/>
    </xf>
    <xf numFmtId="1" fontId="32" fillId="9" borderId="0" xfId="8" applyNumberFormat="1" applyFont="1" applyFill="1" applyAlignment="1" applyProtection="1">
      <alignment horizontal="center" vertical="center" wrapText="1"/>
      <protection locked="0"/>
    </xf>
    <xf numFmtId="0" fontId="40" fillId="0" borderId="0" xfId="0" applyFont="1" applyAlignment="1" applyProtection="1">
      <alignment horizontal="center" vertical="center"/>
      <protection locked="0"/>
    </xf>
    <xf numFmtId="0" fontId="15" fillId="0" borderId="0" xfId="0" applyFont="1" applyAlignment="1" applyProtection="1">
      <alignment vertical="center" wrapText="1"/>
      <protection locked="0"/>
    </xf>
    <xf numFmtId="2" fontId="12" fillId="0" borderId="0" xfId="0" applyNumberFormat="1" applyFont="1" applyAlignment="1" applyProtection="1">
      <alignment vertical="center"/>
      <protection locked="0"/>
    </xf>
    <xf numFmtId="2" fontId="15" fillId="0" borderId="0" xfId="0" applyNumberFormat="1" applyFont="1" applyAlignment="1" applyProtection="1">
      <alignment horizontal="center" vertical="center"/>
      <protection locked="0"/>
    </xf>
    <xf numFmtId="0" fontId="20" fillId="0" borderId="0" xfId="0" applyFont="1" applyAlignment="1" applyProtection="1">
      <alignment horizontal="center" vertical="center"/>
      <protection locked="0"/>
    </xf>
    <xf numFmtId="0" fontId="19" fillId="6" borderId="0" xfId="0" applyFont="1" applyFill="1" applyAlignment="1" applyProtection="1">
      <alignment horizontal="center" vertical="center"/>
      <protection locked="0"/>
    </xf>
    <xf numFmtId="2" fontId="12" fillId="0" borderId="0" xfId="0" applyNumberFormat="1" applyFont="1" applyAlignment="1" applyProtection="1">
      <alignment horizontal="center" vertical="center"/>
      <protection locked="0"/>
    </xf>
    <xf numFmtId="44" fontId="12" fillId="0" borderId="0" xfId="0" applyNumberFormat="1" applyFont="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0" xfId="0" applyFont="1" applyAlignment="1" applyProtection="1">
      <alignment vertical="center" wrapText="1"/>
      <protection locked="0"/>
    </xf>
    <xf numFmtId="0" fontId="34" fillId="0" borderId="0" xfId="0" applyFont="1" applyAlignment="1" applyProtection="1">
      <alignment vertical="center"/>
      <protection locked="0"/>
    </xf>
    <xf numFmtId="44" fontId="34" fillId="4" borderId="0" xfId="7" applyNumberFormat="1" applyFont="1" applyAlignment="1" applyProtection="1">
      <alignment horizontal="center" vertical="center"/>
      <protection locked="0"/>
    </xf>
    <xf numFmtId="4" fontId="38" fillId="4" borderId="0" xfId="7" applyNumberFormat="1" applyFont="1" applyAlignment="1" applyProtection="1">
      <alignment horizontal="center" vertical="center"/>
      <protection locked="0"/>
    </xf>
    <xf numFmtId="44" fontId="13" fillId="0" borderId="0" xfId="0" applyNumberFormat="1" applyFont="1" applyAlignment="1" applyProtection="1">
      <alignment horizontal="center" vertical="center"/>
      <protection locked="0"/>
    </xf>
    <xf numFmtId="0" fontId="12" fillId="0" borderId="0" xfId="0" applyFont="1" applyAlignment="1" applyProtection="1">
      <alignment horizontal="right" vertical="center"/>
      <protection locked="0"/>
    </xf>
    <xf numFmtId="2" fontId="16" fillId="11" borderId="0" xfId="0" applyNumberFormat="1" applyFont="1" applyFill="1" applyAlignment="1" applyProtection="1">
      <alignment horizontal="center" vertical="center"/>
      <protection locked="0"/>
    </xf>
    <xf numFmtId="2" fontId="16" fillId="8" borderId="0" xfId="0" applyNumberFormat="1" applyFont="1" applyFill="1" applyAlignment="1" applyProtection="1">
      <alignment horizontal="center" vertical="center"/>
      <protection locked="0"/>
    </xf>
    <xf numFmtId="2" fontId="15" fillId="8" borderId="0" xfId="0" applyNumberFormat="1" applyFont="1" applyFill="1" applyAlignment="1" applyProtection="1">
      <alignment horizontal="center" vertical="center"/>
      <protection locked="0"/>
    </xf>
    <xf numFmtId="4" fontId="38" fillId="7" borderId="0" xfId="7" applyNumberFormat="1" applyFont="1" applyFill="1" applyAlignment="1" applyProtection="1">
      <alignment horizontal="center" vertical="center"/>
      <protection locked="0"/>
    </xf>
    <xf numFmtId="0" fontId="30" fillId="0" borderId="0" xfId="0" applyFont="1" applyProtection="1">
      <protection locked="0"/>
    </xf>
    <xf numFmtId="8" fontId="34" fillId="0" borderId="0" xfId="0" applyNumberFormat="1" applyFont="1" applyAlignment="1" applyProtection="1">
      <alignment horizontal="center" vertical="center"/>
      <protection locked="0"/>
    </xf>
    <xf numFmtId="4" fontId="13" fillId="0" borderId="0" xfId="0" applyNumberFormat="1" applyFont="1" applyAlignment="1" applyProtection="1">
      <alignment horizontal="center" vertical="center"/>
      <protection locked="0"/>
    </xf>
    <xf numFmtId="2" fontId="34" fillId="0" borderId="0" xfId="7" applyNumberFormat="1" applyFont="1" applyFill="1" applyAlignment="1" applyProtection="1">
      <alignment horizontal="center" vertical="center"/>
      <protection locked="0"/>
    </xf>
    <xf numFmtId="0" fontId="39" fillId="0" borderId="0" xfId="0" applyFont="1" applyAlignment="1" applyProtection="1">
      <alignment horizontal="center" vertical="center"/>
      <protection locked="0"/>
    </xf>
    <xf numFmtId="0" fontId="39"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0" fontId="38" fillId="0" borderId="0" xfId="0" applyFont="1" applyAlignment="1" applyProtection="1">
      <alignment vertical="center"/>
      <protection locked="0"/>
    </xf>
    <xf numFmtId="0" fontId="13" fillId="0" borderId="0" xfId="0" applyFont="1" applyAlignment="1" applyProtection="1">
      <alignment horizontal="center" vertical="center" wrapText="1"/>
      <protection locked="0"/>
    </xf>
    <xf numFmtId="0" fontId="12" fillId="0" borderId="0" xfId="0" applyFont="1" applyAlignment="1" applyProtection="1">
      <alignment vertical="center" wrapText="1"/>
      <protection locked="0"/>
    </xf>
    <xf numFmtId="4" fontId="34" fillId="4" borderId="0" xfId="7" applyNumberFormat="1" applyFont="1" applyAlignment="1" applyProtection="1">
      <alignment horizontal="center" vertical="center"/>
      <protection locked="0"/>
    </xf>
    <xf numFmtId="2" fontId="19" fillId="11" borderId="0" xfId="0" applyNumberFormat="1" applyFont="1" applyFill="1" applyAlignment="1" applyProtection="1">
      <alignment horizontal="center" vertical="center" wrapText="1"/>
      <protection locked="0"/>
    </xf>
    <xf numFmtId="4" fontId="38" fillId="0" borderId="0" xfId="7" applyNumberFormat="1" applyFont="1" applyFill="1" applyAlignment="1" applyProtection="1">
      <alignment horizontal="center" vertical="center"/>
      <protection locked="0"/>
    </xf>
    <xf numFmtId="0" fontId="12" fillId="0" borderId="0" xfId="0" applyFont="1" applyAlignment="1" applyProtection="1">
      <alignment horizontal="right" vertical="center" wrapText="1"/>
      <protection locked="0"/>
    </xf>
    <xf numFmtId="0" fontId="18" fillId="0" borderId="0" xfId="0" applyFont="1" applyAlignment="1" applyProtection="1">
      <alignment vertical="center" wrapText="1"/>
      <protection locked="0"/>
    </xf>
    <xf numFmtId="0" fontId="18" fillId="0" borderId="0" xfId="0" applyFont="1" applyAlignment="1" applyProtection="1">
      <alignment horizontal="center" vertical="center" wrapText="1"/>
      <protection locked="0"/>
    </xf>
    <xf numFmtId="0" fontId="64" fillId="0" borderId="0" xfId="0" applyFont="1" applyAlignment="1" applyProtection="1">
      <alignment horizontal="center" vertical="center" wrapText="1"/>
      <protection locked="0"/>
    </xf>
    <xf numFmtId="2" fontId="15" fillId="11" borderId="0" xfId="0" applyNumberFormat="1" applyFont="1" applyFill="1" applyAlignment="1" applyProtection="1">
      <alignment horizontal="center" vertical="center" wrapText="1"/>
      <protection locked="0"/>
    </xf>
    <xf numFmtId="2" fontId="34" fillId="0" borderId="0" xfId="0" applyNumberFormat="1" applyFont="1" applyAlignment="1" applyProtection="1">
      <alignment horizontal="center" vertical="center"/>
      <protection locked="0"/>
    </xf>
    <xf numFmtId="2" fontId="13" fillId="0" borderId="0" xfId="0" applyNumberFormat="1" applyFont="1" applyAlignment="1" applyProtection="1">
      <alignment horizontal="center" vertical="center"/>
      <protection locked="0"/>
    </xf>
    <xf numFmtId="2" fontId="13" fillId="0" borderId="0" xfId="7" applyNumberFormat="1" applyFont="1" applyFill="1" applyAlignment="1" applyProtection="1">
      <alignment horizontal="center" vertical="center"/>
      <protection locked="0"/>
    </xf>
    <xf numFmtId="3" fontId="19" fillId="11" borderId="0" xfId="0" applyNumberFormat="1" applyFont="1" applyFill="1" applyAlignment="1" applyProtection="1">
      <alignment horizontal="center" vertical="center"/>
      <protection locked="0"/>
    </xf>
    <xf numFmtId="9" fontId="19" fillId="11" borderId="0" xfId="2" applyFont="1" applyFill="1" applyAlignment="1" applyProtection="1">
      <alignment horizontal="center" vertical="center"/>
      <protection locked="0"/>
    </xf>
    <xf numFmtId="4" fontId="16" fillId="11" borderId="0" xfId="0" applyNumberFormat="1" applyFont="1" applyFill="1" applyAlignment="1" applyProtection="1">
      <alignment horizontal="center" vertical="center"/>
      <protection locked="0"/>
    </xf>
    <xf numFmtId="4" fontId="19" fillId="11" borderId="0" xfId="0" applyNumberFormat="1" applyFont="1" applyFill="1" applyAlignment="1" applyProtection="1">
      <alignment horizontal="center" vertical="center"/>
      <protection locked="0"/>
    </xf>
    <xf numFmtId="4" fontId="15" fillId="11" borderId="0" xfId="0" applyNumberFormat="1" applyFont="1" applyFill="1" applyAlignment="1" applyProtection="1">
      <alignment horizontal="center" vertical="center"/>
      <protection locked="0"/>
    </xf>
    <xf numFmtId="2" fontId="19" fillId="0" borderId="0" xfId="0" applyNumberFormat="1" applyFont="1" applyAlignment="1" applyProtection="1">
      <alignment horizontal="center" vertical="center"/>
      <protection locked="0"/>
    </xf>
    <xf numFmtId="4" fontId="20" fillId="0" borderId="0" xfId="0" applyNumberFormat="1" applyFont="1" applyAlignment="1" applyProtection="1">
      <alignment horizontal="center" vertical="center"/>
      <protection locked="0"/>
    </xf>
    <xf numFmtId="4" fontId="38" fillId="11" borderId="0" xfId="7" applyNumberFormat="1" applyFont="1" applyFill="1" applyAlignment="1" applyProtection="1">
      <alignment horizontal="center" vertical="center"/>
      <protection locked="0"/>
    </xf>
    <xf numFmtId="3" fontId="16" fillId="0" borderId="0" xfId="0" applyNumberFormat="1" applyFont="1" applyAlignment="1" applyProtection="1">
      <alignment horizontal="center" vertical="center" wrapText="1"/>
      <protection locked="0"/>
    </xf>
    <xf numFmtId="9" fontId="19" fillId="11" borderId="0" xfId="10" applyFont="1" applyFill="1" applyAlignment="1" applyProtection="1">
      <alignment horizontal="center" vertical="center" wrapText="1"/>
      <protection locked="0"/>
    </xf>
    <xf numFmtId="3" fontId="20" fillId="0" borderId="0" xfId="0" applyNumberFormat="1" applyFont="1" applyAlignment="1" applyProtection="1">
      <alignment horizontal="center" vertical="center" wrapText="1"/>
      <protection locked="0"/>
    </xf>
    <xf numFmtId="8" fontId="34" fillId="0" borderId="0" xfId="0" applyNumberFormat="1" applyFont="1" applyAlignment="1" applyProtection="1">
      <alignment vertical="center"/>
      <protection locked="0"/>
    </xf>
    <xf numFmtId="167" fontId="18" fillId="0" borderId="0" xfId="5" applyNumberFormat="1" applyFont="1" applyFill="1" applyBorder="1" applyAlignment="1" applyProtection="1">
      <alignment horizontal="right" vertical="center"/>
      <protection locked="0"/>
    </xf>
    <xf numFmtId="167" fontId="18" fillId="0" borderId="0" xfId="5" applyNumberFormat="1" applyFont="1" applyFill="1" applyBorder="1" applyAlignment="1" applyProtection="1">
      <alignment horizontal="left" vertical="center"/>
      <protection locked="0"/>
    </xf>
    <xf numFmtId="3" fontId="19" fillId="11" borderId="0" xfId="0" applyNumberFormat="1" applyFont="1" applyFill="1" applyAlignment="1" applyProtection="1">
      <alignment horizontal="center" vertical="center" wrapText="1"/>
      <protection locked="0"/>
    </xf>
    <xf numFmtId="0" fontId="24" fillId="0" borderId="0" xfId="0" applyFont="1" applyAlignment="1" applyProtection="1">
      <alignment horizontal="left" vertical="center" wrapText="1"/>
      <protection locked="0"/>
    </xf>
    <xf numFmtId="3" fontId="19" fillId="0" borderId="0" xfId="0" applyNumberFormat="1" applyFont="1" applyAlignment="1" applyProtection="1">
      <alignment horizontal="center" vertical="center"/>
      <protection locked="0"/>
    </xf>
    <xf numFmtId="10" fontId="19" fillId="11" borderId="0" xfId="10" applyNumberFormat="1" applyFont="1" applyFill="1" applyAlignment="1" applyProtection="1">
      <alignment horizontal="center" vertical="center" wrapText="1"/>
      <protection locked="0"/>
    </xf>
    <xf numFmtId="0" fontId="3" fillId="32" borderId="8" xfId="0" applyFont="1" applyFill="1" applyBorder="1" applyAlignment="1" applyProtection="1">
      <alignment horizontal="center" vertical="center" wrapText="1"/>
      <protection locked="0"/>
    </xf>
    <xf numFmtId="0" fontId="0" fillId="32" borderId="58" xfId="0" applyFill="1" applyBorder="1" applyAlignment="1" applyProtection="1">
      <alignment vertical="center"/>
      <protection locked="0"/>
    </xf>
    <xf numFmtId="0" fontId="0" fillId="32" borderId="59" xfId="0" applyFill="1" applyBorder="1" applyAlignment="1" applyProtection="1">
      <alignment vertical="center"/>
      <protection locked="0"/>
    </xf>
    <xf numFmtId="44" fontId="16" fillId="0" borderId="0" xfId="1" applyFont="1" applyFill="1" applyAlignment="1" applyProtection="1">
      <alignment horizontal="center" vertical="center"/>
    </xf>
    <xf numFmtId="3" fontId="13" fillId="27" borderId="0" xfId="0" applyNumberFormat="1" applyFont="1" applyFill="1" applyAlignment="1">
      <alignment horizontal="center" vertical="center"/>
    </xf>
    <xf numFmtId="3" fontId="20" fillId="27" borderId="0" xfId="0" applyNumberFormat="1" applyFont="1" applyFill="1" applyAlignment="1">
      <alignment horizontal="center" vertical="center"/>
    </xf>
    <xf numFmtId="3" fontId="36" fillId="43" borderId="0" xfId="0" applyNumberFormat="1" applyFont="1" applyFill="1" applyAlignment="1">
      <alignment horizontal="center" vertical="center"/>
    </xf>
    <xf numFmtId="2" fontId="35" fillId="43" borderId="0" xfId="0" applyNumberFormat="1" applyFont="1" applyFill="1" applyAlignment="1">
      <alignment horizontal="center" vertical="center"/>
    </xf>
    <xf numFmtId="44" fontId="35" fillId="43" borderId="0" xfId="1" applyFont="1" applyFill="1" applyAlignment="1" applyProtection="1">
      <alignment horizontal="center" vertical="center"/>
    </xf>
    <xf numFmtId="44" fontId="16" fillId="0" borderId="0" xfId="1" applyFont="1" applyFill="1" applyBorder="1" applyAlignment="1" applyProtection="1">
      <alignment horizontal="center" vertical="center"/>
    </xf>
    <xf numFmtId="4" fontId="16" fillId="0" borderId="6" xfId="0" applyNumberFormat="1" applyFont="1" applyBorder="1" applyAlignment="1">
      <alignment horizontal="center"/>
    </xf>
    <xf numFmtId="2" fontId="17" fillId="0" borderId="0" xfId="0" applyNumberFormat="1" applyFont="1" applyAlignment="1">
      <alignment horizontal="center"/>
    </xf>
    <xf numFmtId="0" fontId="35" fillId="43" borderId="0" xfId="0" applyFont="1" applyFill="1" applyAlignment="1">
      <alignment horizontal="right" vertical="center"/>
    </xf>
    <xf numFmtId="2" fontId="17" fillId="0" borderId="0" xfId="0" applyNumberFormat="1" applyFont="1" applyAlignment="1">
      <alignment horizontal="center" vertical="center"/>
    </xf>
    <xf numFmtId="2" fontId="16" fillId="0" borderId="0" xfId="0" applyNumberFormat="1" applyFont="1" applyAlignment="1">
      <alignment horizontal="center" vertical="center"/>
    </xf>
    <xf numFmtId="4" fontId="36" fillId="43" borderId="0" xfId="0" applyNumberFormat="1" applyFont="1" applyFill="1" applyAlignment="1">
      <alignment horizontal="center" vertical="center"/>
    </xf>
    <xf numFmtId="175" fontId="13" fillId="0" borderId="0" xfId="5" applyNumberFormat="1" applyFont="1" applyFill="1" applyBorder="1" applyAlignment="1" applyProtection="1">
      <alignment horizontal="center" vertical="center"/>
    </xf>
    <xf numFmtId="2" fontId="20" fillId="0" borderId="0" xfId="0" applyNumberFormat="1" applyFont="1" applyAlignment="1">
      <alignment horizontal="center" vertical="center"/>
    </xf>
    <xf numFmtId="1" fontId="32" fillId="9" borderId="0" xfId="8" applyNumberFormat="1" applyFont="1" applyFill="1" applyAlignment="1" applyProtection="1">
      <alignment horizontal="center" vertical="center" wrapText="1"/>
    </xf>
    <xf numFmtId="2" fontId="20" fillId="0" borderId="0" xfId="0" applyNumberFormat="1" applyFont="1" applyAlignment="1">
      <alignment horizontal="center" vertical="center" wrapText="1"/>
    </xf>
    <xf numFmtId="0" fontId="13" fillId="0" borderId="0" xfId="0" applyFont="1" applyAlignment="1">
      <alignment horizontal="center" vertical="center"/>
    </xf>
    <xf numFmtId="0" fontId="40" fillId="0" borderId="0" xfId="0" applyFont="1" applyAlignment="1">
      <alignment horizontal="center" vertical="center"/>
    </xf>
    <xf numFmtId="0" fontId="13" fillId="13" borderId="0" xfId="0" applyFont="1" applyFill="1" applyAlignment="1">
      <alignment horizontal="center" vertical="center"/>
    </xf>
    <xf numFmtId="2" fontId="12" fillId="0" borderId="0" xfId="0" applyNumberFormat="1" applyFont="1" applyAlignment="1">
      <alignment horizontal="center" vertical="center"/>
    </xf>
    <xf numFmtId="2" fontId="17" fillId="48" borderId="0" xfId="0" applyNumberFormat="1" applyFont="1" applyFill="1" applyAlignment="1">
      <alignment horizontal="center" vertical="center"/>
    </xf>
    <xf numFmtId="44" fontId="12" fillId="0" borderId="0" xfId="0" applyNumberFormat="1" applyFont="1" applyAlignment="1">
      <alignment horizontal="center" vertical="center"/>
    </xf>
    <xf numFmtId="44" fontId="17" fillId="48" borderId="0" xfId="0" applyNumberFormat="1" applyFont="1" applyFill="1" applyAlignment="1">
      <alignment horizontal="center" vertical="center"/>
    </xf>
    <xf numFmtId="44" fontId="34" fillId="4" borderId="0" xfId="7" applyNumberFormat="1" applyFont="1" applyAlignment="1" applyProtection="1">
      <alignment horizontal="center" vertical="center"/>
    </xf>
    <xf numFmtId="42" fontId="34" fillId="0" borderId="0" xfId="6" applyFont="1" applyAlignment="1" applyProtection="1">
      <alignment horizontal="center" vertical="center"/>
    </xf>
    <xf numFmtId="0" fontId="34" fillId="0" borderId="0" xfId="0" applyFont="1" applyAlignment="1">
      <alignment vertical="center" wrapText="1"/>
    </xf>
    <xf numFmtId="2" fontId="34" fillId="7" borderId="0" xfId="0" applyNumberFormat="1" applyFont="1" applyFill="1" applyAlignment="1">
      <alignment horizontal="center" vertical="center"/>
    </xf>
    <xf numFmtId="2" fontId="16" fillId="8" borderId="0" xfId="0" applyNumberFormat="1" applyFont="1" applyFill="1" applyAlignment="1">
      <alignment horizontal="center" vertical="center"/>
    </xf>
    <xf numFmtId="4" fontId="34" fillId="0" borderId="0" xfId="0" applyNumberFormat="1" applyFont="1" applyAlignment="1">
      <alignment horizontal="center" vertical="center"/>
    </xf>
    <xf numFmtId="0" fontId="34" fillId="0" borderId="0" xfId="0" applyFont="1" applyAlignment="1">
      <alignment vertical="center"/>
    </xf>
    <xf numFmtId="44" fontId="34" fillId="0" borderId="0" xfId="0" applyNumberFormat="1" applyFont="1" applyAlignment="1">
      <alignment horizontal="center" vertical="center"/>
    </xf>
    <xf numFmtId="2" fontId="15" fillId="8" borderId="0" xfId="0" applyNumberFormat="1" applyFont="1" applyFill="1" applyAlignment="1">
      <alignment horizontal="center" vertical="center"/>
    </xf>
    <xf numFmtId="2" fontId="15" fillId="0" borderId="0" xfId="0" applyNumberFormat="1" applyFont="1" applyAlignment="1">
      <alignment horizontal="center" vertical="center"/>
    </xf>
    <xf numFmtId="2" fontId="13" fillId="0" borderId="0" xfId="0" applyNumberFormat="1" applyFont="1" applyAlignment="1">
      <alignment horizontal="center" vertical="center"/>
    </xf>
    <xf numFmtId="0" fontId="12" fillId="0" borderId="0" xfId="0" applyFont="1" applyAlignment="1">
      <alignment horizontal="center" vertical="center"/>
    </xf>
    <xf numFmtId="1" fontId="12" fillId="0" borderId="0" xfId="0" applyNumberFormat="1" applyFont="1" applyAlignment="1">
      <alignment horizontal="center" vertical="center"/>
    </xf>
    <xf numFmtId="4" fontId="16" fillId="0" borderId="0" xfId="0" applyNumberFormat="1" applyFont="1" applyAlignment="1">
      <alignment horizontal="center" vertical="center"/>
    </xf>
    <xf numFmtId="4" fontId="20" fillId="0" borderId="0" xfId="0" applyNumberFormat="1" applyFont="1" applyAlignment="1">
      <alignment horizontal="center" vertical="center"/>
    </xf>
    <xf numFmtId="44" fontId="34" fillId="0" borderId="0" xfId="7" applyNumberFormat="1" applyFont="1" applyFill="1" applyAlignment="1" applyProtection="1">
      <alignment horizontal="center" vertical="center"/>
    </xf>
    <xf numFmtId="2" fontId="34" fillId="0" borderId="0" xfId="0" applyNumberFormat="1" applyFont="1" applyAlignment="1">
      <alignment horizontal="center" vertical="center"/>
    </xf>
    <xf numFmtId="44" fontId="34" fillId="0" borderId="0" xfId="1" applyFont="1" applyAlignment="1" applyProtection="1">
      <alignment horizontal="center" vertical="center"/>
    </xf>
    <xf numFmtId="4" fontId="34" fillId="0" borderId="0" xfId="1" applyNumberFormat="1" applyFont="1" applyAlignment="1" applyProtection="1">
      <alignment horizontal="center" vertical="center"/>
    </xf>
    <xf numFmtId="4" fontId="39" fillId="0" borderId="0" xfId="0" applyNumberFormat="1" applyFont="1" applyAlignment="1">
      <alignment horizontal="center" vertical="center"/>
    </xf>
    <xf numFmtId="3" fontId="20" fillId="0" borderId="0" xfId="0" applyNumberFormat="1" applyFont="1" applyAlignment="1">
      <alignment horizontal="center" vertical="center" wrapText="1"/>
    </xf>
    <xf numFmtId="1" fontId="20" fillId="0" borderId="0" xfId="8" applyNumberFormat="1" applyFont="1" applyFill="1" applyAlignment="1" applyProtection="1">
      <alignment horizontal="center" vertical="center" wrapText="1"/>
    </xf>
    <xf numFmtId="3" fontId="20" fillId="0" borderId="0" xfId="8" applyNumberFormat="1" applyFont="1" applyFill="1" applyAlignment="1" applyProtection="1">
      <alignment horizontal="center" vertical="center" wrapText="1"/>
    </xf>
    <xf numFmtId="3" fontId="34" fillId="0" borderId="0" xfId="0" applyNumberFormat="1" applyFont="1" applyAlignment="1">
      <alignment horizontal="center" vertical="center"/>
    </xf>
    <xf numFmtId="3" fontId="19" fillId="11" borderId="0" xfId="0" applyNumberFormat="1" applyFont="1" applyFill="1" applyAlignment="1">
      <alignment horizontal="center" vertical="center" wrapText="1"/>
    </xf>
    <xf numFmtId="8" fontId="34" fillId="0" borderId="0" xfId="0" applyNumberFormat="1" applyFont="1" applyAlignment="1">
      <alignment horizontal="center" vertical="center"/>
    </xf>
    <xf numFmtId="177" fontId="29" fillId="0" borderId="9" xfId="6" applyNumberFormat="1" applyFont="1" applyBorder="1" applyProtection="1"/>
    <xf numFmtId="177" fontId="29" fillId="0" borderId="36" xfId="6" applyNumberFormat="1" applyFont="1" applyBorder="1" applyProtection="1"/>
    <xf numFmtId="177" fontId="29" fillId="0" borderId="10" xfId="6" applyNumberFormat="1" applyFont="1" applyBorder="1" applyProtection="1"/>
    <xf numFmtId="177" fontId="29" fillId="0" borderId="14" xfId="6" applyNumberFormat="1" applyFont="1" applyBorder="1" applyProtection="1"/>
    <xf numFmtId="177" fontId="29" fillId="0" borderId="39" xfId="6" applyNumberFormat="1" applyFont="1" applyBorder="1" applyProtection="1"/>
    <xf numFmtId="177" fontId="29" fillId="0" borderId="15" xfId="6" applyNumberFormat="1" applyFont="1" applyBorder="1" applyProtection="1"/>
    <xf numFmtId="177" fontId="29" fillId="0" borderId="43" xfId="6" applyNumberFormat="1" applyFont="1" applyBorder="1" applyProtection="1"/>
    <xf numFmtId="177" fontId="29" fillId="0" borderId="37" xfId="6" applyNumberFormat="1" applyFont="1" applyBorder="1" applyProtection="1"/>
    <xf numFmtId="177" fontId="29" fillId="0" borderId="13" xfId="6" applyNumberFormat="1" applyFont="1" applyBorder="1" applyProtection="1"/>
    <xf numFmtId="0" fontId="12" fillId="3" borderId="0" xfId="0" applyFont="1" applyFill="1" applyProtection="1">
      <protection locked="0"/>
    </xf>
    <xf numFmtId="0" fontId="13" fillId="3" borderId="0" xfId="0" applyFont="1" applyFill="1" applyProtection="1">
      <protection locked="0"/>
    </xf>
    <xf numFmtId="0" fontId="16" fillId="3" borderId="1" xfId="19" applyFont="1" applyFill="1" applyBorder="1" applyAlignment="1" applyProtection="1">
      <alignment horizontal="center"/>
      <protection locked="0"/>
    </xf>
    <xf numFmtId="0" fontId="12" fillId="3" borderId="1" xfId="0" applyFont="1" applyFill="1" applyBorder="1" applyAlignment="1" applyProtection="1">
      <alignment horizontal="center"/>
      <protection locked="0"/>
    </xf>
    <xf numFmtId="0" fontId="12" fillId="3" borderId="0" xfId="0" applyFont="1" applyFill="1" applyAlignment="1" applyProtection="1">
      <alignment horizontal="center"/>
      <protection locked="0"/>
    </xf>
    <xf numFmtId="0" fontId="12" fillId="3" borderId="0" xfId="0" applyFont="1" applyFill="1" applyAlignment="1" applyProtection="1">
      <alignment horizontal="center" vertical="center"/>
      <protection locked="0"/>
    </xf>
    <xf numFmtId="0" fontId="12" fillId="3" borderId="0" xfId="0" applyFont="1" applyFill="1" applyAlignment="1" applyProtection="1">
      <alignment horizontal="left" vertical="center" indent="1"/>
      <protection locked="0"/>
    </xf>
    <xf numFmtId="3" fontId="16" fillId="3" borderId="0" xfId="20" applyNumberFormat="1" applyFont="1" applyFill="1" applyBorder="1" applyAlignment="1" applyProtection="1">
      <alignment horizontal="center" vertical="center"/>
      <protection locked="0"/>
    </xf>
    <xf numFmtId="10" fontId="21" fillId="3" borderId="0" xfId="10" applyNumberFormat="1" applyFont="1" applyFill="1" applyBorder="1" applyAlignment="1" applyProtection="1">
      <alignment horizontal="center" vertical="center"/>
      <protection locked="0"/>
    </xf>
    <xf numFmtId="3" fontId="21" fillId="3" borderId="0" xfId="20" applyNumberFormat="1" applyFont="1" applyFill="1" applyBorder="1" applyAlignment="1" applyProtection="1">
      <alignment horizontal="center" vertical="center"/>
      <protection locked="0"/>
    </xf>
    <xf numFmtId="10" fontId="16" fillId="3" borderId="0" xfId="10" applyNumberFormat="1" applyFont="1" applyFill="1" applyBorder="1" applyAlignment="1" applyProtection="1">
      <alignment horizontal="center" vertical="center"/>
      <protection locked="0"/>
    </xf>
    <xf numFmtId="0" fontId="12" fillId="3" borderId="0" xfId="0" applyFont="1" applyFill="1" applyAlignment="1" applyProtection="1">
      <alignment vertical="center"/>
      <protection locked="0"/>
    </xf>
    <xf numFmtId="3" fontId="12" fillId="3" borderId="0" xfId="0" applyNumberFormat="1" applyFont="1" applyFill="1" applyAlignment="1" applyProtection="1">
      <alignment horizontal="center" vertical="center"/>
      <protection locked="0"/>
    </xf>
    <xf numFmtId="41" fontId="12" fillId="3" borderId="0" xfId="13" applyFont="1" applyFill="1" applyProtection="1">
      <protection locked="0"/>
    </xf>
    <xf numFmtId="167" fontId="13" fillId="3" borderId="0" xfId="21" applyNumberFormat="1" applyFont="1" applyFill="1" applyBorder="1" applyAlignment="1" applyProtection="1">
      <alignment horizontal="left"/>
      <protection locked="0"/>
    </xf>
    <xf numFmtId="2" fontId="12" fillId="3" borderId="0" xfId="0" applyNumberFormat="1" applyFont="1" applyFill="1" applyAlignment="1" applyProtection="1">
      <alignment horizontal="center" vertical="center"/>
      <protection locked="0"/>
    </xf>
    <xf numFmtId="185" fontId="21" fillId="3" borderId="0" xfId="20" applyNumberFormat="1" applyFont="1" applyFill="1" applyBorder="1" applyAlignment="1" applyProtection="1">
      <alignment horizontal="center" vertical="center"/>
      <protection locked="0"/>
    </xf>
    <xf numFmtId="4" fontId="21" fillId="3" borderId="0" xfId="20" applyNumberFormat="1" applyFont="1" applyFill="1" applyBorder="1" applyAlignment="1" applyProtection="1">
      <alignment horizontal="center" vertical="center"/>
      <protection locked="0"/>
    </xf>
    <xf numFmtId="1" fontId="12" fillId="3" borderId="0" xfId="0" applyNumberFormat="1" applyFont="1" applyFill="1" applyAlignment="1" applyProtection="1">
      <alignment horizontal="center" vertical="center"/>
      <protection locked="0"/>
    </xf>
    <xf numFmtId="3" fontId="16" fillId="3" borderId="0" xfId="10" applyNumberFormat="1" applyFont="1" applyFill="1" applyBorder="1" applyAlignment="1" applyProtection="1">
      <alignment horizontal="center" vertical="center"/>
      <protection locked="0"/>
    </xf>
    <xf numFmtId="3" fontId="21" fillId="3" borderId="0" xfId="10" applyNumberFormat="1" applyFont="1" applyFill="1" applyBorder="1" applyAlignment="1" applyProtection="1">
      <alignment horizontal="center" vertical="center"/>
      <protection locked="0"/>
    </xf>
    <xf numFmtId="10" fontId="12" fillId="3" borderId="0" xfId="10" applyNumberFormat="1" applyFont="1" applyFill="1" applyAlignment="1" applyProtection="1">
      <alignment horizontal="center" vertical="center"/>
      <protection locked="0"/>
    </xf>
    <xf numFmtId="0" fontId="16" fillId="3" borderId="0" xfId="0" applyFont="1" applyFill="1" applyAlignment="1" applyProtection="1">
      <alignment horizontal="center" vertical="center"/>
      <protection locked="0"/>
    </xf>
    <xf numFmtId="0" fontId="12" fillId="3" borderId="0" xfId="0" applyFont="1" applyFill="1" applyAlignment="1" applyProtection="1">
      <alignment horizontal="right"/>
      <protection locked="0"/>
    </xf>
    <xf numFmtId="1" fontId="12" fillId="3" borderId="0" xfId="0" applyNumberFormat="1" applyFont="1" applyFill="1" applyProtection="1">
      <protection locked="0"/>
    </xf>
    <xf numFmtId="184" fontId="13" fillId="3" borderId="0" xfId="20" applyNumberFormat="1" applyFont="1" applyFill="1" applyBorder="1" applyProtection="1">
      <protection locked="0"/>
    </xf>
    <xf numFmtId="3" fontId="17" fillId="3" borderId="0" xfId="10" applyNumberFormat="1" applyFont="1" applyFill="1" applyBorder="1" applyAlignment="1" applyProtection="1">
      <alignment horizontal="center" vertical="center"/>
      <protection locked="0"/>
    </xf>
    <xf numFmtId="3" fontId="16" fillId="0" borderId="0" xfId="10" applyNumberFormat="1" applyFont="1" applyFill="1" applyBorder="1" applyAlignment="1" applyProtection="1">
      <alignment horizontal="center" vertical="center"/>
      <protection locked="0"/>
    </xf>
    <xf numFmtId="4" fontId="17" fillId="3" borderId="0" xfId="10" applyNumberFormat="1" applyFont="1" applyFill="1" applyBorder="1" applyAlignment="1" applyProtection="1">
      <alignment horizontal="center" vertical="center"/>
      <protection locked="0"/>
    </xf>
    <xf numFmtId="41" fontId="17" fillId="3" borderId="0" xfId="13" applyFont="1" applyFill="1" applyBorder="1" applyAlignment="1" applyProtection="1">
      <alignment horizontal="center" vertical="center"/>
      <protection locked="0"/>
    </xf>
    <xf numFmtId="8" fontId="12" fillId="3" borderId="0" xfId="0" applyNumberFormat="1" applyFont="1" applyFill="1" applyProtection="1">
      <protection locked="0"/>
    </xf>
    <xf numFmtId="164" fontId="12" fillId="3" borderId="0" xfId="0" applyNumberFormat="1" applyFont="1" applyFill="1" applyAlignment="1" applyProtection="1">
      <alignment horizontal="center" vertical="center"/>
      <protection locked="0"/>
    </xf>
    <xf numFmtId="186" fontId="12" fillId="3" borderId="0" xfId="13" applyNumberFormat="1" applyFont="1" applyFill="1" applyAlignment="1" applyProtection="1">
      <alignment vertical="center"/>
      <protection locked="0"/>
    </xf>
    <xf numFmtId="184" fontId="13" fillId="0" borderId="0" xfId="20" applyNumberFormat="1" applyFont="1" applyFill="1" applyBorder="1" applyProtection="1">
      <protection locked="0"/>
    </xf>
    <xf numFmtId="3" fontId="21" fillId="0" borderId="0" xfId="10" applyNumberFormat="1" applyFont="1" applyFill="1" applyBorder="1" applyAlignment="1" applyProtection="1">
      <alignment horizontal="center" vertical="center"/>
      <protection locked="0"/>
    </xf>
    <xf numFmtId="10" fontId="12" fillId="0" borderId="0" xfId="13" applyNumberFormat="1" applyFont="1" applyFill="1" applyAlignment="1" applyProtection="1">
      <alignment horizontal="center"/>
      <protection locked="0"/>
    </xf>
    <xf numFmtId="2" fontId="12" fillId="3" borderId="1" xfId="0" applyNumberFormat="1" applyFont="1" applyFill="1" applyBorder="1" applyProtection="1">
      <protection locked="0"/>
    </xf>
    <xf numFmtId="0" fontId="12" fillId="3" borderId="1" xfId="0" applyFont="1" applyFill="1" applyBorder="1" applyProtection="1">
      <protection locked="0"/>
    </xf>
    <xf numFmtId="3" fontId="16" fillId="3" borderId="0" xfId="20" applyNumberFormat="1" applyFont="1" applyFill="1" applyBorder="1" applyAlignment="1" applyProtection="1">
      <alignment horizontal="center" vertical="center"/>
    </xf>
    <xf numFmtId="3" fontId="16" fillId="3" borderId="0" xfId="10" applyNumberFormat="1" applyFont="1" applyFill="1" applyBorder="1" applyAlignment="1" applyProtection="1">
      <alignment horizontal="center" vertical="center"/>
    </xf>
    <xf numFmtId="10" fontId="12" fillId="3" borderId="0" xfId="10" applyNumberFormat="1" applyFont="1" applyFill="1" applyAlignment="1" applyProtection="1">
      <alignment horizontal="center" vertical="center"/>
    </xf>
    <xf numFmtId="3" fontId="16" fillId="0" borderId="0" xfId="10" applyNumberFormat="1" applyFont="1" applyFill="1" applyBorder="1" applyAlignment="1" applyProtection="1">
      <alignment horizontal="center" vertical="center"/>
    </xf>
    <xf numFmtId="4" fontId="16" fillId="3" borderId="0" xfId="10" applyNumberFormat="1" applyFont="1" applyFill="1" applyBorder="1" applyAlignment="1" applyProtection="1">
      <alignment horizontal="center" vertical="center"/>
    </xf>
    <xf numFmtId="3" fontId="21" fillId="3" borderId="0" xfId="10" applyNumberFormat="1" applyFont="1" applyFill="1" applyBorder="1" applyAlignment="1" applyProtection="1">
      <alignment horizontal="center" vertical="center"/>
    </xf>
    <xf numFmtId="4" fontId="21" fillId="3" borderId="0" xfId="10" applyNumberFormat="1" applyFont="1" applyFill="1" applyBorder="1" applyAlignment="1" applyProtection="1">
      <alignment horizontal="center" vertical="center"/>
    </xf>
    <xf numFmtId="185" fontId="16" fillId="3" borderId="0" xfId="10" applyNumberFormat="1" applyFont="1" applyFill="1" applyBorder="1" applyAlignment="1" applyProtection="1">
      <alignment horizontal="center" vertical="center"/>
    </xf>
    <xf numFmtId="0" fontId="55" fillId="0" borderId="0" xfId="0" applyFont="1" applyProtection="1">
      <protection locked="0"/>
    </xf>
    <xf numFmtId="0" fontId="26" fillId="0" borderId="0" xfId="0" applyFont="1" applyProtection="1">
      <protection locked="0"/>
    </xf>
    <xf numFmtId="0" fontId="72" fillId="32" borderId="51" xfId="0" applyFont="1" applyFill="1" applyBorder="1" applyAlignment="1" applyProtection="1">
      <alignment horizontal="center" vertical="center" wrapText="1"/>
      <protection locked="0"/>
    </xf>
    <xf numFmtId="0" fontId="72" fillId="32" borderId="55" xfId="0" applyFont="1" applyFill="1" applyBorder="1" applyAlignment="1" applyProtection="1">
      <alignment horizontal="center" vertical="center"/>
      <protection locked="0"/>
    </xf>
    <xf numFmtId="0" fontId="55" fillId="32" borderId="58" xfId="0" applyFont="1" applyFill="1" applyBorder="1" applyAlignment="1" applyProtection="1">
      <alignment vertical="center" wrapText="1"/>
      <protection locked="0"/>
    </xf>
    <xf numFmtId="0" fontId="55" fillId="32" borderId="51" xfId="0" applyFont="1" applyFill="1" applyBorder="1" applyAlignment="1" applyProtection="1">
      <alignment vertical="center" wrapText="1"/>
      <protection locked="0"/>
    </xf>
    <xf numFmtId="0" fontId="55" fillId="32" borderId="69" xfId="0" applyFont="1" applyFill="1" applyBorder="1" applyAlignment="1" applyProtection="1">
      <alignment vertical="center" wrapText="1"/>
      <protection locked="0"/>
    </xf>
    <xf numFmtId="0" fontId="55" fillId="32" borderId="59" xfId="0" applyFont="1" applyFill="1" applyBorder="1" applyAlignment="1" applyProtection="1">
      <alignment vertical="center" wrapText="1"/>
      <protection locked="0"/>
    </xf>
    <xf numFmtId="0" fontId="55" fillId="26" borderId="55" xfId="0" applyFont="1" applyFill="1" applyBorder="1" applyAlignment="1" applyProtection="1">
      <alignment vertical="center" wrapText="1"/>
      <protection locked="0"/>
    </xf>
    <xf numFmtId="0" fontId="55" fillId="11" borderId="4" xfId="15" applyFont="1" applyFill="1" applyBorder="1" applyAlignment="1" applyProtection="1">
      <alignment vertical="center"/>
      <protection locked="0"/>
    </xf>
    <xf numFmtId="0" fontId="55" fillId="32" borderId="22" xfId="0" applyFont="1" applyFill="1" applyBorder="1" applyAlignment="1" applyProtection="1">
      <alignment vertical="center" wrapText="1"/>
      <protection locked="0"/>
    </xf>
    <xf numFmtId="0" fontId="55" fillId="32" borderId="26" xfId="0" applyFont="1" applyFill="1" applyBorder="1" applyAlignment="1" applyProtection="1">
      <alignment horizontal="center" vertical="center" wrapText="1"/>
      <protection locked="0"/>
    </xf>
    <xf numFmtId="0" fontId="55" fillId="32" borderId="8" xfId="0" applyFont="1" applyFill="1" applyBorder="1" applyAlignment="1" applyProtection="1">
      <alignment vertical="center" wrapText="1"/>
      <protection locked="0"/>
    </xf>
    <xf numFmtId="0" fontId="55" fillId="32" borderId="31" xfId="0" applyFont="1" applyFill="1" applyBorder="1" applyAlignment="1" applyProtection="1">
      <alignment vertical="center" wrapText="1"/>
      <protection locked="0"/>
    </xf>
    <xf numFmtId="0" fontId="55" fillId="32" borderId="73" xfId="0" applyFont="1" applyFill="1" applyBorder="1" applyAlignment="1" applyProtection="1">
      <alignment vertical="center" wrapText="1"/>
      <protection locked="0"/>
    </xf>
    <xf numFmtId="4" fontId="55" fillId="0" borderId="0" xfId="0" applyNumberFormat="1" applyFont="1" applyProtection="1">
      <protection locked="0"/>
    </xf>
    <xf numFmtId="0" fontId="55" fillId="0" borderId="1" xfId="0" applyFont="1" applyBorder="1" applyAlignment="1" applyProtection="1">
      <alignment horizontal="center" vertical="center" wrapText="1"/>
      <protection locked="0"/>
    </xf>
    <xf numFmtId="0" fontId="55" fillId="0" borderId="1" xfId="0" applyFont="1" applyBorder="1" applyProtection="1">
      <protection locked="0"/>
    </xf>
    <xf numFmtId="3" fontId="55" fillId="0" borderId="1" xfId="0" applyNumberFormat="1" applyFont="1" applyBorder="1" applyProtection="1">
      <protection locked="0"/>
    </xf>
    <xf numFmtId="177" fontId="55" fillId="0" borderId="0" xfId="0" applyNumberFormat="1" applyFont="1" applyProtection="1">
      <protection locked="0"/>
    </xf>
    <xf numFmtId="3" fontId="72" fillId="0" borderId="10" xfId="0" applyNumberFormat="1" applyFont="1" applyBorder="1" applyAlignment="1" applyProtection="1">
      <alignment horizontal="center" vertical="center" wrapText="1"/>
      <protection locked="0"/>
    </xf>
    <xf numFmtId="3" fontId="72" fillId="0" borderId="15" xfId="0" applyNumberFormat="1" applyFont="1" applyBorder="1" applyAlignment="1" applyProtection="1">
      <alignment horizontal="center" vertical="center" wrapText="1"/>
      <protection locked="0"/>
    </xf>
    <xf numFmtId="3" fontId="72" fillId="0" borderId="30" xfId="0" applyNumberFormat="1" applyFont="1" applyBorder="1" applyAlignment="1" applyProtection="1">
      <alignment horizontal="center" vertical="center" wrapText="1"/>
      <protection locked="0"/>
    </xf>
    <xf numFmtId="3" fontId="72" fillId="0" borderId="8" xfId="0" applyNumberFormat="1" applyFont="1" applyBorder="1" applyAlignment="1" applyProtection="1">
      <alignment horizontal="center" vertical="center" wrapText="1"/>
      <protection locked="0"/>
    </xf>
    <xf numFmtId="0" fontId="55" fillId="0" borderId="9" xfId="0" applyFont="1" applyBorder="1" applyAlignment="1" applyProtection="1">
      <alignment horizontal="center" vertical="center" wrapText="1"/>
      <protection locked="0"/>
    </xf>
    <xf numFmtId="0" fontId="55" fillId="0" borderId="11" xfId="0" applyFont="1" applyBorder="1" applyAlignment="1" applyProtection="1">
      <alignment horizontal="center" vertical="center" wrapText="1"/>
      <protection locked="0"/>
    </xf>
    <xf numFmtId="0" fontId="55" fillId="0" borderId="14" xfId="0" applyFont="1" applyBorder="1" applyAlignment="1" applyProtection="1">
      <alignment horizontal="center" vertical="center" wrapText="1"/>
      <protection locked="0"/>
    </xf>
    <xf numFmtId="3" fontId="72" fillId="0" borderId="72" xfId="0" applyNumberFormat="1" applyFont="1" applyBorder="1" applyAlignment="1" applyProtection="1">
      <alignment horizontal="center" vertical="center" wrapText="1"/>
      <protection locked="0"/>
    </xf>
    <xf numFmtId="3" fontId="72" fillId="0" borderId="46" xfId="0" applyNumberFormat="1" applyFont="1" applyBorder="1" applyAlignment="1" applyProtection="1">
      <alignment horizontal="center" vertical="center" wrapText="1"/>
      <protection locked="0"/>
    </xf>
    <xf numFmtId="0" fontId="72" fillId="3" borderId="0" xfId="0" applyFont="1" applyFill="1" applyProtection="1">
      <protection locked="0"/>
    </xf>
    <xf numFmtId="0" fontId="72" fillId="32" borderId="79" xfId="0" applyFont="1" applyFill="1" applyBorder="1" applyAlignment="1" applyProtection="1">
      <alignment horizontal="center" vertical="center"/>
      <protection locked="0"/>
    </xf>
    <xf numFmtId="0" fontId="55" fillId="32" borderId="51" xfId="0" applyFont="1" applyFill="1" applyBorder="1" applyAlignment="1" applyProtection="1">
      <alignment vertical="center"/>
      <protection locked="0"/>
    </xf>
    <xf numFmtId="0" fontId="55" fillId="32" borderId="53" xfId="0" applyFont="1" applyFill="1" applyBorder="1" applyAlignment="1" applyProtection="1">
      <alignment vertical="center" wrapText="1"/>
      <protection locked="0"/>
    </xf>
    <xf numFmtId="3" fontId="55" fillId="0" borderId="11" xfId="0" applyNumberFormat="1" applyFont="1" applyBorder="1" applyAlignment="1" applyProtection="1">
      <alignment vertical="center" wrapText="1"/>
      <protection locked="0"/>
    </xf>
    <xf numFmtId="3" fontId="55" fillId="0" borderId="1" xfId="0" applyNumberFormat="1" applyFont="1" applyBorder="1" applyAlignment="1" applyProtection="1">
      <alignment vertical="center" wrapText="1"/>
      <protection locked="0"/>
    </xf>
    <xf numFmtId="3" fontId="55" fillId="0" borderId="12" xfId="0" applyNumberFormat="1" applyFont="1" applyBorder="1" applyAlignment="1" applyProtection="1">
      <alignment vertical="center" wrapText="1"/>
      <protection locked="0"/>
    </xf>
    <xf numFmtId="0" fontId="55" fillId="32" borderId="55" xfId="0" applyFont="1" applyFill="1" applyBorder="1" applyAlignment="1" applyProtection="1">
      <alignment vertical="center" wrapText="1"/>
      <protection locked="0"/>
    </xf>
    <xf numFmtId="3" fontId="55" fillId="0" borderId="9" xfId="0" applyNumberFormat="1" applyFont="1" applyBorder="1" applyAlignment="1" applyProtection="1">
      <alignment vertical="center" wrapText="1"/>
      <protection locked="0"/>
    </xf>
    <xf numFmtId="3" fontId="55" fillId="0" borderId="36" xfId="0" applyNumberFormat="1" applyFont="1" applyBorder="1" applyAlignment="1" applyProtection="1">
      <alignment vertical="center" wrapText="1"/>
      <protection locked="0"/>
    </xf>
    <xf numFmtId="0" fontId="75" fillId="0" borderId="0" xfId="0" applyFont="1" applyProtection="1">
      <protection locked="0"/>
    </xf>
    <xf numFmtId="0" fontId="3" fillId="0" borderId="0" xfId="0" applyFont="1" applyProtection="1">
      <protection locked="0"/>
    </xf>
    <xf numFmtId="0" fontId="72" fillId="32" borderId="8" xfId="0" applyFont="1" applyFill="1" applyBorder="1" applyAlignment="1" applyProtection="1">
      <alignment horizontal="center" vertical="center" wrapText="1"/>
      <protection locked="0"/>
    </xf>
    <xf numFmtId="177" fontId="55" fillId="0" borderId="70" xfId="6" applyNumberFormat="1" applyFont="1" applyFill="1" applyBorder="1" applyAlignment="1" applyProtection="1">
      <alignment vertical="center" wrapText="1"/>
    </xf>
    <xf numFmtId="177" fontId="55" fillId="0" borderId="51" xfId="6" applyNumberFormat="1" applyFont="1" applyFill="1" applyBorder="1" applyAlignment="1" applyProtection="1">
      <alignment vertical="center" wrapText="1"/>
    </xf>
    <xf numFmtId="177" fontId="55" fillId="0" borderId="55" xfId="6" applyNumberFormat="1" applyFont="1" applyFill="1" applyBorder="1" applyAlignment="1" applyProtection="1">
      <alignment vertical="center" wrapText="1"/>
    </xf>
    <xf numFmtId="177" fontId="55" fillId="0" borderId="8" xfId="6" applyNumberFormat="1" applyFont="1" applyFill="1" applyBorder="1" applyAlignment="1" applyProtection="1">
      <alignment vertical="center" wrapText="1"/>
    </xf>
    <xf numFmtId="0" fontId="55" fillId="0" borderId="8" xfId="0" applyFont="1" applyBorder="1" applyAlignment="1">
      <alignment horizontal="center" vertical="center" wrapText="1"/>
    </xf>
    <xf numFmtId="44" fontId="55" fillId="41" borderId="1" xfId="1" applyFont="1" applyFill="1" applyBorder="1" applyProtection="1"/>
    <xf numFmtId="0" fontId="55" fillId="0" borderId="1" xfId="0" applyFont="1" applyBorder="1" applyAlignment="1">
      <alignment horizontal="center" vertical="center" wrapText="1"/>
    </xf>
    <xf numFmtId="3" fontId="55" fillId="0" borderId="1" xfId="0" applyNumberFormat="1" applyFont="1" applyBorder="1" applyAlignment="1">
      <alignment horizontal="center" vertical="center" wrapText="1"/>
    </xf>
    <xf numFmtId="3" fontId="55" fillId="0" borderId="1" xfId="0" applyNumberFormat="1" applyFont="1" applyBorder="1"/>
    <xf numFmtId="177" fontId="55" fillId="0" borderId="1" xfId="0" applyNumberFormat="1" applyFont="1" applyBorder="1"/>
    <xf numFmtId="3" fontId="72" fillId="0" borderId="1" xfId="13" applyNumberFormat="1" applyFont="1" applyBorder="1" applyAlignment="1" applyProtection="1">
      <alignment horizontal="center" vertical="center" wrapText="1"/>
    </xf>
    <xf numFmtId="3" fontId="72" fillId="0" borderId="9" xfId="0" applyNumberFormat="1" applyFont="1" applyBorder="1" applyAlignment="1">
      <alignment horizontal="center" vertical="center" wrapText="1"/>
    </xf>
    <xf numFmtId="3" fontId="72" fillId="0" borderId="36" xfId="0" applyNumberFormat="1" applyFont="1" applyBorder="1" applyAlignment="1">
      <alignment horizontal="center" vertical="center" wrapText="1"/>
    </xf>
    <xf numFmtId="3" fontId="72" fillId="0" borderId="14" xfId="0" applyNumberFormat="1" applyFont="1" applyBorder="1" applyAlignment="1">
      <alignment horizontal="center" vertical="center" wrapText="1"/>
    </xf>
    <xf numFmtId="3" fontId="72" fillId="0" borderId="39" xfId="0" applyNumberFormat="1" applyFont="1" applyBorder="1" applyAlignment="1">
      <alignment horizontal="center" vertical="center" wrapText="1"/>
    </xf>
    <xf numFmtId="0" fontId="55" fillId="0" borderId="9" xfId="0" applyFont="1" applyBorder="1" applyAlignment="1">
      <alignment horizontal="center" vertical="center" wrapText="1"/>
    </xf>
    <xf numFmtId="3" fontId="55" fillId="0" borderId="10" xfId="0" applyNumberFormat="1" applyFont="1" applyBorder="1" applyAlignment="1">
      <alignment horizontal="center" vertical="center" wrapText="1"/>
    </xf>
    <xf numFmtId="177" fontId="55" fillId="0" borderId="60" xfId="0" applyNumberFormat="1" applyFont="1" applyBorder="1"/>
    <xf numFmtId="177" fontId="55" fillId="0" borderId="21" xfId="0" applyNumberFormat="1" applyFont="1" applyBorder="1"/>
    <xf numFmtId="177" fontId="55" fillId="0" borderId="61" xfId="0" applyNumberFormat="1" applyFont="1" applyBorder="1"/>
    <xf numFmtId="0" fontId="55" fillId="0" borderId="11" xfId="0" applyFont="1" applyBorder="1" applyAlignment="1">
      <alignment horizontal="center" vertical="center" wrapText="1"/>
    </xf>
    <xf numFmtId="3" fontId="55" fillId="0" borderId="12" xfId="0" applyNumberFormat="1" applyFont="1" applyBorder="1" applyAlignment="1">
      <alignment horizontal="center" vertical="center" wrapText="1"/>
    </xf>
    <xf numFmtId="177" fontId="55" fillId="0" borderId="11" xfId="0" applyNumberFormat="1" applyFont="1" applyBorder="1"/>
    <xf numFmtId="177" fontId="55" fillId="0" borderId="12" xfId="0" applyNumberFormat="1" applyFont="1" applyBorder="1"/>
    <xf numFmtId="0" fontId="55" fillId="0" borderId="14" xfId="0" applyFont="1" applyBorder="1" applyAlignment="1">
      <alignment horizontal="center" vertical="center" wrapText="1"/>
    </xf>
    <xf numFmtId="3" fontId="55" fillId="0" borderId="15" xfId="0" applyNumberFormat="1" applyFont="1" applyBorder="1" applyAlignment="1">
      <alignment horizontal="center" vertical="center" wrapText="1"/>
    </xf>
    <xf numFmtId="177" fontId="55" fillId="0" borderId="14" xfId="0" applyNumberFormat="1" applyFont="1" applyBorder="1"/>
    <xf numFmtId="177" fontId="55" fillId="0" borderId="39" xfId="0" applyNumberFormat="1" applyFont="1" applyBorder="1"/>
    <xf numFmtId="177" fontId="55" fillId="0" borderId="15" xfId="0" applyNumberFormat="1" applyFont="1" applyBorder="1"/>
    <xf numFmtId="3" fontId="72" fillId="0" borderId="10" xfId="0" applyNumberFormat="1" applyFont="1" applyBorder="1" applyAlignment="1">
      <alignment horizontal="center" vertical="center" wrapText="1"/>
    </xf>
    <xf numFmtId="3" fontId="72" fillId="0" borderId="15" xfId="0" applyNumberFormat="1" applyFont="1" applyBorder="1" applyAlignment="1">
      <alignment horizontal="center" vertical="center" wrapText="1"/>
    </xf>
    <xf numFmtId="3" fontId="55" fillId="0" borderId="58" xfId="0" applyNumberFormat="1" applyFont="1" applyBorder="1" applyAlignment="1">
      <alignment horizontal="center" vertical="center" wrapText="1"/>
    </xf>
    <xf numFmtId="177" fontId="55" fillId="0" borderId="9" xfId="6" applyNumberFormat="1" applyFont="1" applyBorder="1" applyProtection="1"/>
    <xf numFmtId="177" fontId="55" fillId="0" borderId="36" xfId="6" applyNumberFormat="1" applyFont="1" applyBorder="1" applyProtection="1"/>
    <xf numFmtId="177" fontId="55" fillId="0" borderId="10" xfId="6" applyNumberFormat="1" applyFont="1" applyBorder="1" applyProtection="1"/>
    <xf numFmtId="0" fontId="55" fillId="0" borderId="0" xfId="0" applyFont="1" applyAlignment="1">
      <alignment horizontal="center"/>
    </xf>
    <xf numFmtId="3" fontId="55" fillId="0" borderId="2" xfId="0" applyNumberFormat="1" applyFont="1" applyBorder="1" applyAlignment="1">
      <alignment horizontal="center" vertical="center" wrapText="1"/>
    </xf>
    <xf numFmtId="177" fontId="55" fillId="0" borderId="11" xfId="6" applyNumberFormat="1" applyFont="1" applyBorder="1" applyProtection="1"/>
    <xf numFmtId="177" fontId="55" fillId="0" borderId="1" xfId="6" applyNumberFormat="1" applyFont="1" applyBorder="1" applyProtection="1"/>
    <xf numFmtId="177" fontId="55" fillId="0" borderId="12" xfId="6" applyNumberFormat="1" applyFont="1" applyBorder="1" applyProtection="1"/>
    <xf numFmtId="0" fontId="55" fillId="0" borderId="43" xfId="0" applyFont="1" applyBorder="1" applyAlignment="1">
      <alignment horizontal="center" vertical="center" wrapText="1"/>
    </xf>
    <xf numFmtId="3" fontId="55" fillId="0" borderId="22" xfId="0" applyNumberFormat="1" applyFont="1" applyBorder="1" applyAlignment="1">
      <alignment horizontal="center" vertical="center" wrapText="1"/>
    </xf>
    <xf numFmtId="177" fontId="55" fillId="0" borderId="14" xfId="6" applyNumberFormat="1" applyFont="1" applyBorder="1" applyProtection="1"/>
    <xf numFmtId="177" fontId="55" fillId="0" borderId="39" xfId="6" applyNumberFormat="1" applyFont="1" applyBorder="1" applyProtection="1"/>
    <xf numFmtId="177" fontId="55" fillId="0" borderId="15" xfId="6" applyNumberFormat="1" applyFont="1" applyBorder="1" applyProtection="1"/>
    <xf numFmtId="177" fontId="55" fillId="0" borderId="8" xfId="0" applyNumberFormat="1" applyFont="1" applyBorder="1"/>
    <xf numFmtId="44" fontId="72" fillId="41" borderId="62" xfId="1" applyFont="1" applyFill="1" applyBorder="1" applyAlignment="1" applyProtection="1">
      <alignment vertical="center" wrapText="1"/>
    </xf>
    <xf numFmtId="0" fontId="55" fillId="32" borderId="51" xfId="0" applyFont="1" applyFill="1" applyBorder="1" applyAlignment="1">
      <alignment horizontal="center" vertical="center" wrapText="1"/>
    </xf>
    <xf numFmtId="0" fontId="55" fillId="32" borderId="51" xfId="0" applyFont="1" applyFill="1" applyBorder="1" applyAlignment="1">
      <alignment vertical="center"/>
    </xf>
    <xf numFmtId="0" fontId="55" fillId="32" borderId="50" xfId="0" applyFont="1" applyFill="1" applyBorder="1" applyAlignment="1">
      <alignment vertical="center" wrapText="1"/>
    </xf>
    <xf numFmtId="3" fontId="55" fillId="13" borderId="9" xfId="0" applyNumberFormat="1" applyFont="1" applyFill="1" applyBorder="1" applyAlignment="1">
      <alignment vertical="center" wrapText="1"/>
    </xf>
    <xf numFmtId="3" fontId="55" fillId="13" borderId="36" xfId="0" applyNumberFormat="1" applyFont="1" applyFill="1" applyBorder="1" applyAlignment="1">
      <alignment vertical="center" wrapText="1"/>
    </xf>
    <xf numFmtId="3" fontId="55" fillId="13" borderId="10" xfId="0" applyNumberFormat="1" applyFont="1" applyFill="1" applyBorder="1" applyAlignment="1">
      <alignment vertical="center" wrapText="1"/>
    </xf>
    <xf numFmtId="0" fontId="55" fillId="32" borderId="53" xfId="0" applyFont="1" applyFill="1" applyBorder="1" applyAlignment="1">
      <alignment horizontal="center" vertical="center" wrapText="1"/>
    </xf>
    <xf numFmtId="0" fontId="55" fillId="32" borderId="52" xfId="0" applyFont="1" applyFill="1" applyBorder="1" applyAlignment="1">
      <alignment vertical="center" wrapText="1"/>
    </xf>
    <xf numFmtId="3" fontId="55" fillId="13" borderId="11" xfId="0" applyNumberFormat="1" applyFont="1" applyFill="1" applyBorder="1" applyAlignment="1">
      <alignment vertical="center" wrapText="1"/>
    </xf>
    <xf numFmtId="3" fontId="55" fillId="13" borderId="1" xfId="0" applyNumberFormat="1" applyFont="1" applyFill="1" applyBorder="1" applyAlignment="1">
      <alignment vertical="center" wrapText="1"/>
    </xf>
    <xf numFmtId="3" fontId="55" fillId="13" borderId="12" xfId="0" applyNumberFormat="1" applyFont="1" applyFill="1" applyBorder="1" applyAlignment="1">
      <alignment vertical="center" wrapText="1"/>
    </xf>
    <xf numFmtId="3" fontId="55" fillId="0" borderId="11" xfId="0" applyNumberFormat="1" applyFont="1" applyBorder="1" applyAlignment="1">
      <alignment vertical="center" wrapText="1"/>
    </xf>
    <xf numFmtId="3" fontId="55" fillId="0" borderId="1" xfId="0" applyNumberFormat="1" applyFont="1" applyBorder="1" applyAlignment="1">
      <alignment vertical="center" wrapText="1"/>
    </xf>
    <xf numFmtId="3" fontId="55" fillId="0" borderId="12" xfId="0" applyNumberFormat="1" applyFont="1" applyBorder="1" applyAlignment="1">
      <alignment vertical="center" wrapText="1"/>
    </xf>
    <xf numFmtId="0" fontId="55" fillId="32" borderId="55" xfId="0" applyFont="1" applyFill="1" applyBorder="1" applyAlignment="1">
      <alignment horizontal="center" vertical="center" wrapText="1"/>
    </xf>
    <xf numFmtId="3" fontId="55" fillId="0" borderId="39" xfId="0" applyNumberFormat="1" applyFont="1" applyBorder="1" applyAlignment="1">
      <alignment vertical="center" wrapText="1"/>
    </xf>
    <xf numFmtId="3" fontId="55" fillId="0" borderId="15" xfId="0" applyNumberFormat="1" applyFont="1" applyBorder="1" applyAlignment="1">
      <alignment vertical="center" wrapText="1"/>
    </xf>
    <xf numFmtId="3" fontId="72" fillId="0" borderId="62" xfId="0" applyNumberFormat="1" applyFont="1" applyBorder="1" applyAlignment="1">
      <alignment vertical="center" wrapText="1"/>
    </xf>
    <xf numFmtId="3" fontId="72" fillId="0" borderId="56" xfId="0" applyNumberFormat="1" applyFont="1" applyBorder="1" applyAlignment="1">
      <alignment vertical="center" wrapText="1"/>
    </xf>
    <xf numFmtId="3" fontId="72" fillId="0" borderId="65" xfId="0" applyNumberFormat="1" applyFont="1" applyBorder="1" applyAlignment="1">
      <alignment vertical="center" wrapText="1"/>
    </xf>
    <xf numFmtId="3" fontId="72" fillId="0" borderId="71" xfId="0" applyNumberFormat="1" applyFont="1" applyBorder="1" applyAlignment="1">
      <alignment vertical="center" wrapText="1"/>
    </xf>
    <xf numFmtId="3" fontId="72" fillId="41" borderId="30" xfId="0" applyNumberFormat="1" applyFont="1" applyFill="1" applyBorder="1" applyAlignment="1">
      <alignment vertical="center" wrapText="1"/>
    </xf>
    <xf numFmtId="3" fontId="72" fillId="41" borderId="8" xfId="0" applyNumberFormat="1" applyFont="1" applyFill="1" applyBorder="1" applyAlignment="1">
      <alignment vertical="center" wrapText="1"/>
    </xf>
    <xf numFmtId="177" fontId="0" fillId="0" borderId="28" xfId="6" applyNumberFormat="1" applyFont="1" applyFill="1" applyBorder="1" applyAlignment="1" applyProtection="1">
      <alignment vertical="center" wrapText="1"/>
    </xf>
    <xf numFmtId="0" fontId="72" fillId="0" borderId="0" xfId="0" applyFont="1" applyAlignment="1" applyProtection="1">
      <alignment vertical="center"/>
      <protection locked="0"/>
    </xf>
    <xf numFmtId="0" fontId="55" fillId="0" borderId="0" xfId="0" applyFont="1" applyAlignment="1" applyProtection="1">
      <alignment vertical="center" wrapText="1"/>
      <protection locked="0"/>
    </xf>
    <xf numFmtId="0" fontId="73" fillId="0" borderId="0" xfId="0" applyFont="1" applyAlignment="1" applyProtection="1">
      <alignment horizontal="center" vertical="center"/>
      <protection locked="0"/>
    </xf>
    <xf numFmtId="0" fontId="72" fillId="32" borderId="46" xfId="0" applyFont="1" applyFill="1" applyBorder="1" applyAlignment="1" applyProtection="1">
      <alignment horizontal="center" vertical="center"/>
      <protection locked="0"/>
    </xf>
    <xf numFmtId="0" fontId="72" fillId="32" borderId="78" xfId="0" applyFont="1" applyFill="1" applyBorder="1" applyAlignment="1" applyProtection="1">
      <alignment horizontal="center" vertical="center"/>
      <protection locked="0"/>
    </xf>
    <xf numFmtId="0" fontId="72" fillId="32" borderId="76" xfId="0" applyFont="1" applyFill="1" applyBorder="1" applyAlignment="1" applyProtection="1">
      <alignment horizontal="center" vertical="center"/>
      <protection locked="0"/>
    </xf>
    <xf numFmtId="0" fontId="55" fillId="32" borderId="50" xfId="0" applyFont="1" applyFill="1" applyBorder="1" applyAlignment="1" applyProtection="1">
      <alignment vertical="center"/>
      <protection locked="0"/>
    </xf>
    <xf numFmtId="0" fontId="55" fillId="32" borderId="52" xfId="0" applyFont="1" applyFill="1" applyBorder="1" applyAlignment="1" applyProtection="1">
      <alignment vertical="center"/>
      <protection locked="0"/>
    </xf>
    <xf numFmtId="177" fontId="55" fillId="13" borderId="14" xfId="6" applyNumberFormat="1" applyFont="1" applyFill="1" applyBorder="1" applyProtection="1">
      <protection locked="0"/>
    </xf>
    <xf numFmtId="177" fontId="55" fillId="13" borderId="39" xfId="6" applyNumberFormat="1" applyFont="1" applyFill="1" applyBorder="1" applyProtection="1">
      <protection locked="0"/>
    </xf>
    <xf numFmtId="177" fontId="55" fillId="13" borderId="15" xfId="6" applyNumberFormat="1" applyFont="1" applyFill="1" applyBorder="1" applyProtection="1">
      <protection locked="0"/>
    </xf>
    <xf numFmtId="0" fontId="55" fillId="0" borderId="0" xfId="0" applyFont="1" applyAlignment="1" applyProtection="1">
      <alignment vertical="center"/>
      <protection locked="0"/>
    </xf>
    <xf numFmtId="0" fontId="72" fillId="32" borderId="8" xfId="0" applyFont="1" applyFill="1" applyBorder="1" applyAlignment="1" applyProtection="1">
      <alignment horizontal="center" vertical="center"/>
      <protection locked="0"/>
    </xf>
    <xf numFmtId="0" fontId="55" fillId="32" borderId="51" xfId="0" applyFont="1" applyFill="1" applyBorder="1" applyAlignment="1" applyProtection="1">
      <alignment horizontal="left" vertical="center"/>
      <protection locked="0"/>
    </xf>
    <xf numFmtId="0" fontId="55" fillId="32" borderId="55" xfId="0" applyFont="1" applyFill="1" applyBorder="1" applyAlignment="1" applyProtection="1">
      <alignment horizontal="left" vertical="center"/>
      <protection locked="0"/>
    </xf>
    <xf numFmtId="0" fontId="72" fillId="13" borderId="26" xfId="0" applyFont="1" applyFill="1" applyBorder="1" applyProtection="1">
      <protection locked="0"/>
    </xf>
    <xf numFmtId="0" fontId="55" fillId="13" borderId="27" xfId="0" applyFont="1" applyFill="1" applyBorder="1" applyProtection="1">
      <protection locked="0"/>
    </xf>
    <xf numFmtId="0" fontId="55" fillId="13" borderId="28" xfId="0" applyFont="1" applyFill="1" applyBorder="1" applyProtection="1">
      <protection locked="0"/>
    </xf>
    <xf numFmtId="0" fontId="55" fillId="0" borderId="0" xfId="0" applyFont="1" applyAlignment="1" applyProtection="1">
      <alignment horizontal="left" vertical="center"/>
      <protection locked="0"/>
    </xf>
    <xf numFmtId="0" fontId="67" fillId="32" borderId="76" xfId="0" applyFont="1" applyFill="1" applyBorder="1" applyAlignment="1" applyProtection="1">
      <alignment horizontal="center" vertical="center"/>
      <protection locked="0"/>
    </xf>
    <xf numFmtId="0" fontId="67" fillId="32" borderId="77" xfId="0" applyFont="1" applyFill="1" applyBorder="1" applyAlignment="1" applyProtection="1">
      <alignment horizontal="center" vertical="center"/>
      <protection locked="0"/>
    </xf>
    <xf numFmtId="0" fontId="67" fillId="32" borderId="72" xfId="0" applyFont="1" applyFill="1" applyBorder="1" applyAlignment="1" applyProtection="1">
      <alignment horizontal="center" vertical="center"/>
      <protection locked="0"/>
    </xf>
    <xf numFmtId="0" fontId="72" fillId="32" borderId="51" xfId="0" applyFont="1" applyFill="1" applyBorder="1" applyAlignment="1" applyProtection="1">
      <alignment vertical="center"/>
      <protection locked="0"/>
    </xf>
    <xf numFmtId="0" fontId="72" fillId="32" borderId="53" xfId="0" applyFont="1" applyFill="1" applyBorder="1" applyAlignment="1" applyProtection="1">
      <alignment vertical="center" wrapText="1"/>
      <protection locked="0"/>
    </xf>
    <xf numFmtId="0" fontId="55" fillId="32" borderId="53" xfId="0" applyFont="1" applyFill="1" applyBorder="1" applyAlignment="1" applyProtection="1">
      <alignment vertical="center"/>
      <protection locked="0"/>
    </xf>
    <xf numFmtId="6" fontId="55" fillId="13" borderId="11" xfId="6" applyNumberFormat="1" applyFont="1" applyFill="1" applyBorder="1" applyAlignment="1" applyProtection="1">
      <alignment vertical="center"/>
      <protection locked="0"/>
    </xf>
    <xf numFmtId="6" fontId="55" fillId="13" borderId="1" xfId="6" applyNumberFormat="1" applyFont="1" applyFill="1" applyBorder="1" applyAlignment="1" applyProtection="1">
      <alignment vertical="center"/>
      <protection locked="0"/>
    </xf>
    <xf numFmtId="6" fontId="55" fillId="13" borderId="12" xfId="6" applyNumberFormat="1" applyFont="1" applyFill="1" applyBorder="1" applyAlignment="1" applyProtection="1">
      <alignment vertical="center"/>
      <protection locked="0"/>
    </xf>
    <xf numFmtId="0" fontId="72" fillId="32" borderId="53" xfId="0" applyFont="1" applyFill="1" applyBorder="1" applyAlignment="1" applyProtection="1">
      <alignment vertical="center"/>
      <protection locked="0"/>
    </xf>
    <xf numFmtId="0" fontId="55" fillId="32" borderId="55" xfId="0" applyFont="1" applyFill="1" applyBorder="1" applyAlignment="1" applyProtection="1">
      <alignment vertical="center"/>
      <protection locked="0"/>
    </xf>
    <xf numFmtId="0" fontId="72" fillId="32" borderId="8" xfId="0" applyFont="1" applyFill="1" applyBorder="1" applyAlignment="1" applyProtection="1">
      <alignment vertical="center"/>
      <protection locked="0"/>
    </xf>
    <xf numFmtId="0" fontId="55" fillId="32" borderId="80" xfId="0" applyFont="1" applyFill="1" applyBorder="1" applyAlignment="1" applyProtection="1">
      <alignment vertical="center"/>
      <protection locked="0"/>
    </xf>
    <xf numFmtId="177" fontId="55" fillId="13" borderId="9" xfId="6" applyNumberFormat="1" applyFont="1" applyFill="1" applyBorder="1" applyProtection="1"/>
    <xf numFmtId="177" fontId="55" fillId="13" borderId="36" xfId="6" applyNumberFormat="1" applyFont="1" applyFill="1" applyBorder="1" applyProtection="1"/>
    <xf numFmtId="177" fontId="55" fillId="13" borderId="10" xfId="6" applyNumberFormat="1" applyFont="1" applyFill="1" applyBorder="1" applyProtection="1"/>
    <xf numFmtId="177" fontId="55" fillId="13" borderId="11" xfId="6" applyNumberFormat="1" applyFont="1" applyFill="1" applyBorder="1" applyProtection="1"/>
    <xf numFmtId="177" fontId="55" fillId="13" borderId="1" xfId="6" applyNumberFormat="1" applyFont="1" applyFill="1" applyBorder="1" applyProtection="1"/>
    <xf numFmtId="177" fontId="55" fillId="13" borderId="12" xfId="6" applyNumberFormat="1" applyFont="1" applyFill="1" applyBorder="1" applyProtection="1"/>
    <xf numFmtId="6" fontId="55" fillId="13" borderId="36" xfId="6" applyNumberFormat="1" applyFont="1" applyFill="1" applyBorder="1" applyAlignment="1" applyProtection="1">
      <alignment vertical="center"/>
    </xf>
    <xf numFmtId="6" fontId="55" fillId="13" borderId="10" xfId="6" applyNumberFormat="1" applyFont="1" applyFill="1" applyBorder="1" applyAlignment="1" applyProtection="1">
      <alignment vertical="center"/>
    </xf>
    <xf numFmtId="6" fontId="72" fillId="13" borderId="1" xfId="6" applyNumberFormat="1" applyFont="1" applyFill="1" applyBorder="1" applyAlignment="1" applyProtection="1">
      <alignment vertical="center"/>
    </xf>
    <xf numFmtId="6" fontId="72" fillId="13" borderId="12" xfId="6" applyNumberFormat="1" applyFont="1" applyFill="1" applyBorder="1" applyAlignment="1" applyProtection="1">
      <alignment vertical="center"/>
    </xf>
    <xf numFmtId="6" fontId="55" fillId="13" borderId="1" xfId="6" applyNumberFormat="1" applyFont="1" applyFill="1" applyBorder="1" applyAlignment="1" applyProtection="1">
      <alignment vertical="center"/>
    </xf>
    <xf numFmtId="6" fontId="55" fillId="13" borderId="12" xfId="6" applyNumberFormat="1" applyFont="1" applyFill="1" applyBorder="1" applyAlignment="1" applyProtection="1">
      <alignment vertical="center"/>
    </xf>
    <xf numFmtId="6" fontId="55" fillId="13" borderId="9" xfId="6" applyNumberFormat="1" applyFont="1" applyFill="1" applyBorder="1" applyAlignment="1" applyProtection="1">
      <alignment vertical="center"/>
    </xf>
    <xf numFmtId="6" fontId="72" fillId="13" borderId="11" xfId="6" applyNumberFormat="1" applyFont="1" applyFill="1" applyBorder="1" applyAlignment="1" applyProtection="1">
      <alignment vertical="center"/>
    </xf>
    <xf numFmtId="6" fontId="55" fillId="13" borderId="11" xfId="6" applyNumberFormat="1" applyFont="1" applyFill="1" applyBorder="1" applyAlignment="1" applyProtection="1">
      <alignment vertical="center"/>
    </xf>
    <xf numFmtId="6" fontId="55" fillId="13" borderId="14" xfId="6" applyNumberFormat="1" applyFont="1" applyFill="1" applyBorder="1" applyAlignment="1" applyProtection="1">
      <alignment vertical="center"/>
    </xf>
    <xf numFmtId="6" fontId="55" fillId="13" borderId="39" xfId="6" applyNumberFormat="1" applyFont="1" applyFill="1" applyBorder="1" applyAlignment="1" applyProtection="1">
      <alignment vertical="center"/>
    </xf>
    <xf numFmtId="6" fontId="55" fillId="13" borderId="15" xfId="6" applyNumberFormat="1" applyFont="1" applyFill="1" applyBorder="1" applyAlignment="1" applyProtection="1">
      <alignment vertical="center"/>
    </xf>
    <xf numFmtId="6" fontId="72" fillId="13" borderId="82" xfId="6" applyNumberFormat="1" applyFont="1" applyFill="1" applyBorder="1" applyAlignment="1" applyProtection="1">
      <alignment vertical="center"/>
    </xf>
    <xf numFmtId="6" fontId="72" fillId="13" borderId="63" xfId="6" applyNumberFormat="1" applyFont="1" applyFill="1" applyBorder="1" applyAlignment="1" applyProtection="1">
      <alignment vertical="center"/>
    </xf>
    <xf numFmtId="6" fontId="72" fillId="13" borderId="64" xfId="6" applyNumberFormat="1" applyFont="1" applyFill="1" applyBorder="1" applyAlignment="1" applyProtection="1">
      <alignment vertical="center"/>
    </xf>
    <xf numFmtId="0" fontId="74" fillId="0" borderId="0" xfId="0" applyFont="1" applyAlignment="1" applyProtection="1">
      <alignment horizontal="center" vertical="center"/>
      <protection locked="0"/>
    </xf>
    <xf numFmtId="0" fontId="55" fillId="32" borderId="79" xfId="0" applyFont="1" applyFill="1" applyBorder="1" applyAlignment="1" applyProtection="1">
      <alignment vertical="center"/>
      <protection locked="0"/>
    </xf>
    <xf numFmtId="0" fontId="55" fillId="32" borderId="68" xfId="0" applyFont="1" applyFill="1" applyBorder="1" applyAlignment="1" applyProtection="1">
      <alignment vertical="center"/>
      <protection locked="0"/>
    </xf>
    <xf numFmtId="177" fontId="55" fillId="13" borderId="62" xfId="6" applyNumberFormat="1" applyFont="1" applyFill="1" applyBorder="1" applyAlignment="1" applyProtection="1">
      <alignment vertical="center"/>
      <protection locked="0"/>
    </xf>
    <xf numFmtId="0" fontId="55" fillId="37" borderId="0" xfId="0" applyFont="1" applyFill="1" applyProtection="1">
      <protection locked="0"/>
    </xf>
    <xf numFmtId="0" fontId="72" fillId="13" borderId="26" xfId="0" applyFont="1" applyFill="1" applyBorder="1" applyAlignment="1" applyProtection="1">
      <alignment vertical="center"/>
      <protection locked="0"/>
    </xf>
    <xf numFmtId="0" fontId="55" fillId="13" borderId="27" xfId="0" applyFont="1" applyFill="1" applyBorder="1" applyAlignment="1" applyProtection="1">
      <alignment vertical="center"/>
      <protection locked="0"/>
    </xf>
    <xf numFmtId="0" fontId="55" fillId="13" borderId="28" xfId="0" applyFont="1" applyFill="1" applyBorder="1" applyAlignment="1" applyProtection="1">
      <alignment vertical="center"/>
      <protection locked="0"/>
    </xf>
    <xf numFmtId="0" fontId="72" fillId="32" borderId="50" xfId="0" applyFont="1" applyFill="1" applyBorder="1" applyAlignment="1" applyProtection="1">
      <alignment horizontal="center" vertical="center"/>
      <protection locked="0"/>
    </xf>
    <xf numFmtId="0" fontId="72" fillId="32" borderId="54" xfId="0" applyFont="1" applyFill="1" applyBorder="1" applyAlignment="1" applyProtection="1">
      <alignment horizontal="center" vertical="center"/>
      <protection locked="0"/>
    </xf>
    <xf numFmtId="170" fontId="55" fillId="13" borderId="37" xfId="0" applyNumberFormat="1" applyFont="1" applyFill="1" applyBorder="1" applyAlignment="1">
      <alignment vertical="center"/>
    </xf>
    <xf numFmtId="170" fontId="55" fillId="13" borderId="13" xfId="0" applyNumberFormat="1" applyFont="1" applyFill="1" applyBorder="1" applyAlignment="1">
      <alignment vertical="center"/>
    </xf>
    <xf numFmtId="177" fontId="55" fillId="13" borderId="63" xfId="6" applyNumberFormat="1" applyFont="1" applyFill="1" applyBorder="1" applyAlignment="1" applyProtection="1">
      <alignment vertical="center"/>
    </xf>
    <xf numFmtId="177" fontId="55" fillId="13" borderId="64" xfId="6" applyNumberFormat="1" applyFont="1" applyFill="1" applyBorder="1" applyAlignment="1" applyProtection="1">
      <alignment vertical="center"/>
    </xf>
    <xf numFmtId="170" fontId="55" fillId="13" borderId="81" xfId="0" applyNumberFormat="1" applyFont="1" applyFill="1" applyBorder="1" applyAlignment="1">
      <alignment vertical="center"/>
    </xf>
    <xf numFmtId="170" fontId="55" fillId="13" borderId="38" xfId="0" applyNumberFormat="1" applyFont="1" applyFill="1" applyBorder="1" applyAlignment="1">
      <alignment vertical="center"/>
    </xf>
    <xf numFmtId="170" fontId="55" fillId="13" borderId="18" xfId="0" applyNumberFormat="1" applyFont="1" applyFill="1" applyBorder="1" applyAlignment="1">
      <alignment vertical="center"/>
    </xf>
    <xf numFmtId="4" fontId="55" fillId="13" borderId="9" xfId="21" applyNumberFormat="1" applyFont="1" applyFill="1" applyBorder="1" applyAlignment="1" applyProtection="1">
      <alignment vertical="center"/>
    </xf>
    <xf numFmtId="4" fontId="55" fillId="13" borderId="36" xfId="21" applyNumberFormat="1" applyFont="1" applyFill="1" applyBorder="1" applyAlignment="1" applyProtection="1">
      <alignment vertical="center"/>
    </xf>
    <xf numFmtId="4" fontId="55" fillId="13" borderId="10" xfId="21" applyNumberFormat="1" applyFont="1" applyFill="1" applyBorder="1" applyAlignment="1" applyProtection="1">
      <alignment vertical="center"/>
    </xf>
    <xf numFmtId="3" fontId="55" fillId="13" borderId="14" xfId="21" applyNumberFormat="1" applyFont="1" applyFill="1" applyBorder="1" applyAlignment="1" applyProtection="1">
      <alignment vertical="center"/>
    </xf>
    <xf numFmtId="3" fontId="55" fillId="13" borderId="39" xfId="21" applyNumberFormat="1" applyFont="1" applyFill="1" applyBorder="1" applyAlignment="1" applyProtection="1">
      <alignment vertical="center"/>
    </xf>
    <xf numFmtId="3" fontId="55" fillId="13" borderId="15" xfId="21" applyNumberFormat="1" applyFont="1" applyFill="1" applyBorder="1" applyAlignment="1" applyProtection="1">
      <alignment vertical="center"/>
    </xf>
    <xf numFmtId="0" fontId="0" fillId="39" borderId="0" xfId="0" applyFill="1" applyProtection="1">
      <protection locked="0"/>
    </xf>
    <xf numFmtId="2" fontId="0" fillId="39" borderId="0" xfId="0" applyNumberFormat="1" applyFill="1" applyProtection="1">
      <protection locked="0"/>
    </xf>
    <xf numFmtId="187" fontId="0" fillId="39" borderId="0" xfId="22" applyNumberFormat="1" applyFont="1" applyFill="1" applyProtection="1">
      <protection locked="0"/>
    </xf>
    <xf numFmtId="0" fontId="0" fillId="3" borderId="0" xfId="0" applyFill="1" applyProtection="1">
      <protection locked="0"/>
    </xf>
    <xf numFmtId="0" fontId="0" fillId="15" borderId="0" xfId="0" applyFill="1" applyProtection="1">
      <protection locked="0"/>
    </xf>
    <xf numFmtId="0" fontId="3" fillId="15" borderId="0" xfId="0" applyFont="1" applyFill="1" applyProtection="1">
      <protection locked="0"/>
    </xf>
    <xf numFmtId="0" fontId="78" fillId="15" borderId="0" xfId="0" applyFont="1" applyFill="1" applyProtection="1">
      <protection locked="0"/>
    </xf>
    <xf numFmtId="0" fontId="79" fillId="15" borderId="0" xfId="0" applyFont="1" applyFill="1" applyProtection="1">
      <protection locked="0"/>
    </xf>
    <xf numFmtId="0" fontId="80" fillId="15" borderId="0" xfId="0" applyFont="1" applyFill="1" applyAlignment="1" applyProtection="1">
      <alignment horizontal="center"/>
      <protection locked="0"/>
    </xf>
    <xf numFmtId="0" fontId="0" fillId="40" borderId="0" xfId="0" applyFill="1" applyAlignment="1" applyProtection="1">
      <alignment horizontal="center"/>
      <protection locked="0"/>
    </xf>
    <xf numFmtId="0" fontId="82" fillId="15" borderId="0" xfId="0" applyFont="1" applyFill="1" applyAlignment="1" applyProtection="1">
      <alignment horizontal="center"/>
      <protection locked="0"/>
    </xf>
    <xf numFmtId="2" fontId="0" fillId="15" borderId="0" xfId="0" applyNumberFormat="1" applyFill="1" applyProtection="1">
      <protection locked="0"/>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87" fontId="0" fillId="0" borderId="0" xfId="22" applyNumberFormat="1" applyFont="1" applyAlignment="1" applyProtection="1">
      <alignment horizontal="center"/>
      <protection locked="0"/>
    </xf>
    <xf numFmtId="0" fontId="3" fillId="39" borderId="0" xfId="0" applyFont="1" applyFill="1" applyAlignment="1" applyProtection="1">
      <alignment horizontal="right"/>
      <protection locked="0"/>
    </xf>
    <xf numFmtId="0" fontId="82" fillId="15" borderId="1" xfId="0"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28" fillId="0" borderId="0" xfId="0" applyFont="1" applyAlignment="1" applyProtection="1">
      <alignment horizontal="center" vertical="center"/>
      <protection locked="0"/>
    </xf>
    <xf numFmtId="0" fontId="70" fillId="0" borderId="0" xfId="0" applyFont="1" applyAlignment="1" applyProtection="1">
      <alignment horizontal="center" vertical="center"/>
      <protection locked="0"/>
    </xf>
    <xf numFmtId="0" fontId="6" fillId="0" borderId="0" xfId="0" applyFont="1" applyAlignment="1" applyProtection="1">
      <alignment horizontal="center"/>
      <protection locked="0"/>
    </xf>
    <xf numFmtId="0" fontId="6" fillId="0" borderId="0" xfId="0" applyFont="1" applyProtection="1">
      <protection locked="0"/>
    </xf>
    <xf numFmtId="0" fontId="0" fillId="15" borderId="0" xfId="0" applyFill="1" applyAlignment="1">
      <alignment horizontal="center"/>
    </xf>
    <xf numFmtId="187" fontId="1" fillId="15" borderId="0" xfId="22" applyNumberFormat="1" applyFont="1" applyFill="1" applyProtection="1"/>
    <xf numFmtId="0" fontId="0" fillId="15" borderId="1" xfId="0" applyFill="1" applyBorder="1" applyAlignment="1">
      <alignment horizontal="center"/>
    </xf>
    <xf numFmtId="0" fontId="79" fillId="15" borderId="6" xfId="0" applyFont="1" applyFill="1" applyBorder="1"/>
    <xf numFmtId="2" fontId="0" fillId="15" borderId="0" xfId="0" applyNumberFormat="1" applyFill="1" applyAlignment="1">
      <alignment horizontal="center"/>
    </xf>
    <xf numFmtId="4" fontId="84" fillId="0" borderId="0" xfId="0" applyNumberFormat="1" applyFont="1"/>
    <xf numFmtId="0" fontId="26" fillId="0" borderId="0" xfId="0" applyFont="1" applyAlignment="1" applyProtection="1">
      <alignment horizontal="center" vertical="center"/>
      <protection locked="0"/>
    </xf>
    <xf numFmtId="4" fontId="0" fillId="0" borderId="0" xfId="0" applyNumberFormat="1" applyProtection="1">
      <protection locked="0"/>
    </xf>
    <xf numFmtId="44" fontId="55" fillId="0" borderId="0" xfId="0" applyNumberFormat="1" applyFont="1" applyProtection="1">
      <protection locked="0"/>
    </xf>
    <xf numFmtId="177" fontId="55" fillId="12" borderId="62" xfId="6" applyNumberFormat="1" applyFont="1" applyFill="1" applyBorder="1" applyAlignment="1" applyProtection="1">
      <alignment vertical="center"/>
    </xf>
    <xf numFmtId="6" fontId="55" fillId="12" borderId="36" xfId="6" applyNumberFormat="1" applyFont="1" applyFill="1" applyBorder="1" applyAlignment="1" applyProtection="1">
      <alignment vertical="center"/>
    </xf>
    <xf numFmtId="6" fontId="55" fillId="12" borderId="10" xfId="6" applyNumberFormat="1" applyFont="1" applyFill="1" applyBorder="1" applyAlignment="1" applyProtection="1">
      <alignment vertical="center"/>
    </xf>
    <xf numFmtId="44" fontId="55" fillId="12" borderId="1" xfId="6" applyNumberFormat="1" applyFont="1" applyFill="1" applyBorder="1" applyAlignment="1" applyProtection="1">
      <alignment vertical="center"/>
    </xf>
    <xf numFmtId="6" fontId="55" fillId="12" borderId="1" xfId="6" applyNumberFormat="1" applyFont="1" applyFill="1" applyBorder="1" applyAlignment="1" applyProtection="1">
      <alignment vertical="center"/>
    </xf>
    <xf numFmtId="6" fontId="55" fillId="12" borderId="12" xfId="6" applyNumberFormat="1" applyFont="1" applyFill="1" applyBorder="1" applyAlignment="1" applyProtection="1">
      <alignment vertical="center"/>
    </xf>
    <xf numFmtId="44" fontId="55" fillId="12" borderId="9" xfId="6" applyNumberFormat="1" applyFont="1" applyFill="1" applyBorder="1" applyAlignment="1" applyProtection="1">
      <alignment vertical="center"/>
    </xf>
    <xf numFmtId="44" fontId="55" fillId="12" borderId="11" xfId="6" applyNumberFormat="1" applyFont="1" applyFill="1" applyBorder="1" applyAlignment="1" applyProtection="1">
      <alignment vertical="center"/>
    </xf>
    <xf numFmtId="6" fontId="55" fillId="0" borderId="0" xfId="0" applyNumberFormat="1" applyFont="1"/>
    <xf numFmtId="2" fontId="55" fillId="0" borderId="0" xfId="2" applyNumberFormat="1" applyFont="1" applyProtection="1"/>
    <xf numFmtId="0" fontId="91" fillId="0" borderId="1" xfId="0" applyFont="1" applyBorder="1" applyAlignment="1" applyProtection="1">
      <alignment horizontal="center"/>
      <protection locked="0"/>
    </xf>
    <xf numFmtId="0" fontId="0" fillId="41" borderId="1" xfId="0" applyFill="1" applyBorder="1" applyAlignment="1" applyProtection="1">
      <alignment horizontal="center"/>
      <protection locked="0"/>
    </xf>
    <xf numFmtId="3" fontId="0" fillId="0" borderId="1" xfId="0" applyNumberFormat="1" applyBorder="1" applyProtection="1">
      <protection locked="0"/>
    </xf>
    <xf numFmtId="0" fontId="95" fillId="0" borderId="1" xfId="0" applyFont="1" applyBorder="1" applyAlignment="1" applyProtection="1">
      <alignment horizontal="center"/>
      <protection locked="0"/>
    </xf>
    <xf numFmtId="0" fontId="0" fillId="44" borderId="1" xfId="0" applyFill="1" applyBorder="1" applyAlignment="1" applyProtection="1">
      <alignment horizontal="center"/>
      <protection locked="0"/>
    </xf>
    <xf numFmtId="10" fontId="0" fillId="0" borderId="1" xfId="2" applyNumberFormat="1" applyFont="1" applyBorder="1" applyAlignment="1" applyProtection="1">
      <alignment horizontal="center"/>
    </xf>
    <xf numFmtId="3" fontId="0" fillId="0" borderId="1" xfId="0" applyNumberFormat="1" applyBorder="1"/>
    <xf numFmtId="0" fontId="0" fillId="0" borderId="0" xfId="0" applyAlignment="1" applyProtection="1">
      <alignment vertical="center"/>
      <protection locked="0"/>
    </xf>
    <xf numFmtId="0" fontId="35" fillId="0" borderId="0" xfId="0" applyFont="1" applyAlignment="1" applyProtection="1">
      <alignment horizontal="center" vertical="center"/>
      <protection locked="0"/>
    </xf>
    <xf numFmtId="3" fontId="35" fillId="0" borderId="0" xfId="0" applyNumberFormat="1" applyFont="1" applyAlignment="1" applyProtection="1">
      <alignment horizontal="center" vertical="center"/>
      <protection locked="0"/>
    </xf>
    <xf numFmtId="3" fontId="100" fillId="46" borderId="1" xfId="0" applyNumberFormat="1" applyFont="1" applyFill="1" applyBorder="1" applyAlignment="1" applyProtection="1">
      <alignment horizontal="center" vertical="center" wrapText="1"/>
      <protection locked="0"/>
    </xf>
    <xf numFmtId="0" fontId="101" fillId="0" borderId="1" xfId="0" applyFont="1" applyBorder="1" applyAlignment="1" applyProtection="1">
      <alignment horizontal="center" vertical="center" wrapText="1"/>
      <protection locked="0"/>
    </xf>
    <xf numFmtId="3" fontId="16" fillId="0" borderId="1" xfId="0" applyNumberFormat="1" applyFont="1" applyBorder="1" applyAlignment="1" applyProtection="1">
      <alignment horizontal="center" vertical="center" wrapText="1"/>
      <protection locked="0"/>
    </xf>
    <xf numFmtId="3" fontId="20" fillId="0" borderId="1" xfId="0" applyNumberFormat="1" applyFont="1" applyBorder="1" applyAlignment="1" applyProtection="1">
      <alignment horizontal="center" vertical="center" wrapText="1"/>
      <protection locked="0"/>
    </xf>
    <xf numFmtId="3" fontId="100" fillId="46" borderId="1" xfId="0" applyNumberFormat="1" applyFont="1" applyFill="1" applyBorder="1" applyAlignment="1" applyProtection="1">
      <alignment vertical="center" wrapText="1"/>
      <protection locked="0"/>
    </xf>
    <xf numFmtId="0" fontId="100" fillId="0" borderId="1" xfId="0" applyFont="1" applyBorder="1" applyAlignment="1" applyProtection="1">
      <alignment horizontal="center" vertical="center" wrapText="1"/>
      <protection locked="0"/>
    </xf>
    <xf numFmtId="3" fontId="0" fillId="0" borderId="0" xfId="0" applyNumberFormat="1" applyAlignment="1" applyProtection="1">
      <alignment vertical="center"/>
      <protection locked="0"/>
    </xf>
    <xf numFmtId="3" fontId="3" fillId="0" borderId="0" xfId="0" applyNumberFormat="1" applyFont="1" applyAlignment="1" applyProtection="1">
      <alignment vertical="center"/>
      <protection locked="0"/>
    </xf>
    <xf numFmtId="3" fontId="16" fillId="0" borderId="1" xfId="0" applyNumberFormat="1" applyFont="1" applyBorder="1" applyAlignment="1">
      <alignment horizontal="center" vertical="center" wrapText="1"/>
    </xf>
    <xf numFmtId="3" fontId="20" fillId="0" borderId="1" xfId="0" applyNumberFormat="1" applyFont="1" applyBorder="1" applyAlignment="1">
      <alignment horizontal="center" vertical="center" wrapText="1"/>
    </xf>
    <xf numFmtId="0" fontId="101" fillId="0" borderId="0" xfId="0" applyFont="1" applyAlignment="1" applyProtection="1">
      <alignment horizontal="center" vertical="center" wrapText="1"/>
      <protection locked="0"/>
    </xf>
    <xf numFmtId="3" fontId="104" fillId="0" borderId="0" xfId="0" applyNumberFormat="1" applyFont="1" applyAlignment="1" applyProtection="1">
      <alignment vertical="center"/>
      <protection locked="0"/>
    </xf>
    <xf numFmtId="3" fontId="104" fillId="0" borderId="0" xfId="0" applyNumberFormat="1" applyFont="1" applyAlignment="1">
      <alignment vertical="center"/>
    </xf>
    <xf numFmtId="3" fontId="104" fillId="0" borderId="0" xfId="0" applyNumberFormat="1" applyFont="1" applyAlignment="1">
      <alignment horizontal="center" vertical="center"/>
    </xf>
    <xf numFmtId="3" fontId="21" fillId="3" borderId="0" xfId="10" applyNumberFormat="1" applyFont="1" applyFill="1" applyBorder="1" applyAlignment="1">
      <alignment horizontal="center" vertical="center"/>
    </xf>
    <xf numFmtId="176" fontId="12" fillId="0" borderId="0" xfId="0" applyNumberFormat="1" applyFont="1" applyAlignment="1" applyProtection="1">
      <alignment vertical="center"/>
      <protection locked="0"/>
    </xf>
    <xf numFmtId="1" fontId="12" fillId="3" borderId="0" xfId="0" applyNumberFormat="1" applyFont="1" applyFill="1" applyAlignment="1">
      <alignment horizontal="center" vertical="center"/>
    </xf>
    <xf numFmtId="3" fontId="12" fillId="3" borderId="0" xfId="0" applyNumberFormat="1" applyFont="1" applyFill="1" applyAlignment="1">
      <alignment horizontal="center" vertical="center"/>
    </xf>
    <xf numFmtId="0" fontId="16" fillId="0" borderId="0" xfId="0" applyFont="1" applyAlignment="1" applyProtection="1">
      <alignment horizontal="left" vertical="center"/>
      <protection locked="0"/>
    </xf>
    <xf numFmtId="0" fontId="15" fillId="0" borderId="0" xfId="0" applyFont="1" applyAlignment="1" applyProtection="1">
      <alignment horizontal="center"/>
      <protection locked="0"/>
    </xf>
    <xf numFmtId="0" fontId="12" fillId="3" borderId="0" xfId="0" applyFont="1" applyFill="1" applyAlignment="1">
      <alignment horizontal="center" vertical="center"/>
    </xf>
    <xf numFmtId="184" fontId="12" fillId="3" borderId="1" xfId="0" applyNumberFormat="1" applyFont="1" applyFill="1" applyBorder="1"/>
    <xf numFmtId="0" fontId="13" fillId="12" borderId="0" xfId="0" applyFont="1" applyFill="1" applyAlignment="1" applyProtection="1">
      <alignment horizontal="center" vertical="center" wrapText="1"/>
      <protection locked="0"/>
    </xf>
    <xf numFmtId="3" fontId="13" fillId="12" borderId="0" xfId="0" applyNumberFormat="1" applyFont="1" applyFill="1" applyAlignment="1" applyProtection="1">
      <alignment horizontal="center" vertical="center" wrapText="1"/>
      <protection locked="0"/>
    </xf>
    <xf numFmtId="0" fontId="13" fillId="3" borderId="0" xfId="21" applyNumberFormat="1" applyFont="1" applyFill="1" applyBorder="1" applyAlignment="1" applyProtection="1">
      <alignment horizontal="center" vertical="center"/>
      <protection locked="0"/>
    </xf>
    <xf numFmtId="10" fontId="16" fillId="3" borderId="0" xfId="10" applyNumberFormat="1" applyFont="1" applyFill="1" applyAlignment="1" applyProtection="1">
      <alignment horizontal="center" vertical="center"/>
      <protection locked="0"/>
    </xf>
    <xf numFmtId="0" fontId="13" fillId="0" borderId="0" xfId="21" applyNumberFormat="1" applyFont="1" applyFill="1" applyBorder="1" applyAlignment="1" applyProtection="1">
      <alignment horizontal="center" vertical="center"/>
      <protection locked="0"/>
    </xf>
    <xf numFmtId="4" fontId="12" fillId="3" borderId="0" xfId="0" applyNumberFormat="1" applyFont="1" applyFill="1" applyAlignment="1" applyProtection="1">
      <alignment horizontal="center" vertical="center"/>
      <protection locked="0"/>
    </xf>
    <xf numFmtId="0" fontId="16" fillId="3" borderId="0" xfId="0" applyFont="1" applyFill="1" applyAlignment="1">
      <alignment horizontal="center" vertical="center"/>
    </xf>
    <xf numFmtId="44" fontId="12" fillId="3" borderId="0" xfId="0" applyNumberFormat="1" applyFont="1" applyFill="1" applyAlignment="1" applyProtection="1">
      <alignment horizontal="center" vertical="center"/>
      <protection locked="0"/>
    </xf>
    <xf numFmtId="186" fontId="12" fillId="3" borderId="0" xfId="13" applyNumberFormat="1" applyFont="1" applyFill="1" applyAlignment="1" applyProtection="1">
      <alignment horizontal="center" vertical="center"/>
      <protection locked="0"/>
    </xf>
    <xf numFmtId="42" fontId="12" fillId="3" borderId="0" xfId="6" applyFont="1" applyFill="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3" fontId="12" fillId="3" borderId="1" xfId="0" applyNumberFormat="1" applyFont="1" applyFill="1" applyBorder="1" applyAlignment="1">
      <alignment horizontal="center" vertical="center"/>
    </xf>
    <xf numFmtId="0" fontId="3" fillId="0" borderId="0" xfId="0" applyFont="1" applyAlignment="1">
      <alignment horizontal="center"/>
    </xf>
    <xf numFmtId="0" fontId="16" fillId="0" borderId="0" xfId="0" applyFont="1" applyAlignment="1" applyProtection="1">
      <alignment vertical="center"/>
      <protection locked="0"/>
    </xf>
    <xf numFmtId="0" fontId="70" fillId="50" borderId="0" xfId="0" applyFont="1" applyFill="1" applyAlignment="1" applyProtection="1">
      <alignment horizontal="left" vertical="center"/>
      <protection locked="0"/>
    </xf>
    <xf numFmtId="0" fontId="16" fillId="50" borderId="0" xfId="0" applyFont="1" applyFill="1" applyAlignment="1" applyProtection="1">
      <alignment horizontal="center" vertical="center"/>
      <protection locked="0"/>
    </xf>
    <xf numFmtId="3" fontId="16" fillId="50" borderId="0" xfId="0" applyNumberFormat="1" applyFont="1" applyFill="1" applyAlignment="1" applyProtection="1">
      <alignment horizontal="center" vertical="center"/>
      <protection locked="0"/>
    </xf>
    <xf numFmtId="0" fontId="109" fillId="0" borderId="0" xfId="0" applyFont="1" applyAlignment="1" applyProtection="1">
      <alignment horizontal="center" vertical="center"/>
      <protection locked="0"/>
    </xf>
    <xf numFmtId="0" fontId="111" fillId="6" borderId="0" xfId="0" applyFont="1" applyFill="1" applyAlignment="1" applyProtection="1">
      <alignment horizontal="center" vertical="center"/>
      <protection locked="0"/>
    </xf>
    <xf numFmtId="10" fontId="4" fillId="11" borderId="0" xfId="2" applyNumberFormat="1" applyFont="1" applyFill="1" applyAlignment="1">
      <alignment horizontal="right"/>
    </xf>
    <xf numFmtId="44" fontId="4" fillId="0" borderId="0" xfId="1" applyFont="1" applyFill="1" applyAlignment="1">
      <alignment horizontal="center"/>
    </xf>
    <xf numFmtId="1" fontId="32" fillId="0" borderId="0" xfId="8" applyNumberFormat="1" applyFont="1" applyFill="1" applyAlignment="1" applyProtection="1">
      <alignment horizontal="center" vertical="center" wrapText="1"/>
      <protection locked="0"/>
    </xf>
    <xf numFmtId="167" fontId="18" fillId="0" borderId="0" xfId="0" applyNumberFormat="1" applyFont="1" applyAlignment="1" applyProtection="1">
      <alignment horizontal="left" vertical="center"/>
      <protection locked="0"/>
    </xf>
    <xf numFmtId="42" fontId="34" fillId="0" borderId="0" xfId="6" applyFont="1" applyBorder="1" applyAlignment="1" applyProtection="1">
      <alignment horizontal="center" vertical="center"/>
    </xf>
    <xf numFmtId="44" fontId="34" fillId="4" borderId="0" xfId="7" applyNumberFormat="1" applyFont="1" applyBorder="1" applyAlignment="1" applyProtection="1">
      <alignment horizontal="center" vertical="center"/>
    </xf>
    <xf numFmtId="3" fontId="15" fillId="0" borderId="0" xfId="0" applyNumberFormat="1" applyFont="1" applyAlignment="1" applyProtection="1">
      <alignment horizontal="center" vertical="center" wrapText="1"/>
      <protection locked="0"/>
    </xf>
    <xf numFmtId="1" fontId="32" fillId="0" borderId="0" xfId="8" applyNumberFormat="1" applyFont="1" applyFill="1" applyAlignment="1" applyProtection="1">
      <alignment horizontal="center" vertical="center" wrapText="1"/>
    </xf>
    <xf numFmtId="177" fontId="29" fillId="0" borderId="39" xfId="6" applyNumberFormat="1" applyFont="1" applyFill="1" applyBorder="1" applyProtection="1"/>
    <xf numFmtId="0" fontId="33" fillId="0" borderId="0" xfId="9" applyFill="1" applyAlignment="1" applyProtection="1">
      <alignment horizontal="center" vertical="center"/>
      <protection locked="0"/>
    </xf>
    <xf numFmtId="0" fontId="101" fillId="0" borderId="1" xfId="0" applyFont="1" applyBorder="1" applyAlignment="1" applyProtection="1">
      <alignment horizontal="center" vertical="center"/>
      <protection locked="0"/>
    </xf>
    <xf numFmtId="167" fontId="12" fillId="0" borderId="0" xfId="5" applyNumberFormat="1" applyFont="1" applyFill="1" applyBorder="1" applyAlignment="1" applyProtection="1">
      <alignment vertical="center"/>
      <protection locked="0"/>
    </xf>
    <xf numFmtId="0" fontId="16" fillId="0" borderId="0" xfId="0" applyFont="1" applyAlignment="1" applyProtection="1">
      <alignment horizontal="right" vertical="center" wrapText="1"/>
      <protection locked="0"/>
    </xf>
    <xf numFmtId="0" fontId="123" fillId="0" borderId="0" xfId="0" applyFont="1" applyAlignment="1" applyProtection="1">
      <alignment vertical="center" wrapText="1"/>
      <protection locked="0"/>
    </xf>
    <xf numFmtId="0" fontId="20" fillId="0" borderId="0" xfId="0" applyFont="1" applyAlignment="1" applyProtection="1">
      <alignment horizontal="center" vertical="center" wrapText="1"/>
      <protection locked="0"/>
    </xf>
    <xf numFmtId="0" fontId="20" fillId="0" borderId="0" xfId="0" applyFont="1" applyAlignment="1" applyProtection="1">
      <alignment vertical="center" wrapText="1"/>
      <protection locked="0"/>
    </xf>
    <xf numFmtId="1" fontId="20" fillId="9" borderId="0" xfId="8" applyNumberFormat="1" applyFont="1" applyFill="1" applyAlignment="1" applyProtection="1">
      <alignment horizontal="center" vertical="center" wrapText="1"/>
      <protection locked="0"/>
    </xf>
    <xf numFmtId="2" fontId="19" fillId="11" borderId="0" xfId="0" applyNumberFormat="1" applyFont="1" applyFill="1" applyAlignment="1">
      <alignment horizontal="center" vertical="center"/>
    </xf>
    <xf numFmtId="1" fontId="20" fillId="0" borderId="0" xfId="0" applyNumberFormat="1" applyFont="1" applyAlignment="1">
      <alignment horizontal="center" vertical="center"/>
    </xf>
    <xf numFmtId="0" fontId="124" fillId="0" borderId="0" xfId="0" applyFont="1" applyProtection="1">
      <protection locked="0"/>
    </xf>
    <xf numFmtId="0" fontId="125" fillId="0" borderId="0" xfId="0" applyFont="1" applyAlignment="1" applyProtection="1">
      <alignment horizontal="center" vertical="center"/>
      <protection locked="0"/>
    </xf>
    <xf numFmtId="0" fontId="124" fillId="0" borderId="0" xfId="0" applyFont="1" applyAlignment="1" applyProtection="1">
      <alignment horizontal="center" vertical="center"/>
      <protection locked="0"/>
    </xf>
    <xf numFmtId="3" fontId="127" fillId="11" borderId="0" xfId="0" applyNumberFormat="1" applyFont="1" applyFill="1" applyAlignment="1" applyProtection="1">
      <alignment horizontal="center" vertical="center"/>
      <protection locked="0"/>
    </xf>
    <xf numFmtId="3" fontId="127" fillId="11" borderId="0" xfId="4" applyNumberFormat="1" applyFont="1" applyFill="1" applyBorder="1" applyAlignment="1" applyProtection="1">
      <alignment horizontal="center" vertical="center"/>
      <protection locked="0"/>
    </xf>
    <xf numFmtId="3" fontId="124" fillId="0" borderId="0" xfId="4" applyNumberFormat="1" applyFont="1" applyFill="1" applyBorder="1" applyAlignment="1" applyProtection="1">
      <alignment horizontal="center" vertical="center"/>
      <protection locked="0"/>
    </xf>
    <xf numFmtId="0" fontId="124" fillId="0" borderId="0" xfId="0" applyFont="1" applyAlignment="1" applyProtection="1">
      <alignment horizontal="center"/>
      <protection locked="0"/>
    </xf>
    <xf numFmtId="0" fontId="25" fillId="0" borderId="0" xfId="0" applyFont="1" applyProtection="1">
      <protection locked="0"/>
    </xf>
    <xf numFmtId="0" fontId="25" fillId="0" borderId="0" xfId="0" applyFont="1" applyAlignment="1" applyProtection="1">
      <alignment horizontal="center" vertical="center"/>
      <protection locked="0"/>
    </xf>
    <xf numFmtId="3" fontId="125" fillId="11" borderId="0" xfId="0" applyNumberFormat="1" applyFont="1" applyFill="1" applyAlignment="1">
      <alignment horizontal="center" vertical="center"/>
    </xf>
    <xf numFmtId="0" fontId="25" fillId="0" borderId="0" xfId="0" applyFont="1" applyAlignment="1" applyProtection="1">
      <alignment horizontal="center"/>
      <protection locked="0"/>
    </xf>
    <xf numFmtId="0" fontId="25" fillId="0" borderId="0" xfId="0" applyFont="1" applyAlignment="1" applyProtection="1">
      <alignment horizontal="left" vertical="center" indent="1"/>
      <protection locked="0"/>
    </xf>
    <xf numFmtId="3" fontId="129" fillId="0" borderId="0" xfId="4" applyNumberFormat="1" applyFont="1" applyFill="1" applyBorder="1" applyAlignment="1" applyProtection="1">
      <alignment horizontal="center" vertical="center"/>
      <protection locked="0"/>
    </xf>
    <xf numFmtId="3" fontId="125" fillId="0" borderId="0" xfId="4" applyNumberFormat="1" applyFont="1" applyFill="1" applyBorder="1" applyAlignment="1" applyProtection="1">
      <alignment horizontal="center" vertical="center"/>
    </xf>
    <xf numFmtId="3" fontId="125" fillId="0" borderId="0" xfId="4" applyNumberFormat="1" applyFont="1" applyFill="1" applyBorder="1" applyAlignment="1" applyProtection="1">
      <alignment horizontal="center" vertical="center"/>
      <protection locked="0"/>
    </xf>
    <xf numFmtId="10" fontId="125" fillId="0" borderId="0" xfId="2" applyNumberFormat="1" applyFont="1" applyFill="1" applyBorder="1" applyAlignment="1" applyProtection="1">
      <alignment horizontal="center" vertical="center"/>
      <protection locked="0"/>
    </xf>
    <xf numFmtId="10" fontId="125" fillId="0" borderId="0" xfId="2" applyNumberFormat="1" applyFont="1" applyFill="1" applyBorder="1" applyAlignment="1" applyProtection="1">
      <alignment horizontal="center" vertical="center"/>
    </xf>
    <xf numFmtId="0" fontId="24" fillId="0" borderId="0" xfId="0" applyFont="1" applyProtection="1">
      <protection locked="0"/>
    </xf>
    <xf numFmtId="176" fontId="25" fillId="0" borderId="0" xfId="0" applyNumberFormat="1" applyFont="1" applyProtection="1">
      <protection locked="0"/>
    </xf>
    <xf numFmtId="0" fontId="125" fillId="0" borderId="0" xfId="0" applyFont="1" applyProtection="1">
      <protection locked="0"/>
    </xf>
    <xf numFmtId="44" fontId="125" fillId="0" borderId="0" xfId="1" applyFont="1" applyFill="1" applyProtection="1">
      <protection locked="0"/>
    </xf>
    <xf numFmtId="9" fontId="125" fillId="0" borderId="0" xfId="0" applyNumberFormat="1" applyFont="1" applyProtection="1">
      <protection locked="0"/>
    </xf>
    <xf numFmtId="0" fontId="125" fillId="0" borderId="0" xfId="0" applyFont="1" applyAlignment="1">
      <alignment horizontal="left" vertical="center" indent="1"/>
    </xf>
    <xf numFmtId="0" fontId="125" fillId="0" borderId="0" xfId="0" applyFont="1" applyAlignment="1" applyProtection="1">
      <alignment horizontal="center"/>
      <protection locked="0"/>
    </xf>
    <xf numFmtId="10" fontId="125" fillId="0" borderId="0" xfId="2" applyNumberFormat="1" applyFont="1" applyFill="1" applyProtection="1">
      <protection locked="0"/>
    </xf>
    <xf numFmtId="10" fontId="125" fillId="0" borderId="0" xfId="0" applyNumberFormat="1" applyFont="1" applyProtection="1">
      <protection locked="0"/>
    </xf>
    <xf numFmtId="10" fontId="130" fillId="0" borderId="0" xfId="2" applyNumberFormat="1" applyFont="1" applyFill="1" applyBorder="1" applyAlignment="1" applyProtection="1">
      <alignment horizontal="center" vertical="center"/>
      <protection locked="0"/>
    </xf>
    <xf numFmtId="164" fontId="125" fillId="0" borderId="0" xfId="2" applyNumberFormat="1" applyFont="1" applyFill="1" applyAlignment="1" applyProtection="1">
      <alignment horizontal="center" vertical="center"/>
      <protection locked="0"/>
    </xf>
    <xf numFmtId="189" fontId="131" fillId="0" borderId="0" xfId="0" applyNumberFormat="1" applyFont="1" applyAlignment="1">
      <alignment horizontal="center" vertical="center"/>
    </xf>
    <xf numFmtId="44" fontId="125" fillId="0" borderId="0" xfId="1" applyFont="1" applyFill="1" applyAlignment="1" applyProtection="1">
      <alignment horizontal="center" vertical="center"/>
    </xf>
    <xf numFmtId="10" fontId="125" fillId="27" borderId="0" xfId="2" applyNumberFormat="1" applyFont="1" applyFill="1" applyAlignment="1" applyProtection="1">
      <alignment horizontal="center" vertical="center"/>
    </xf>
    <xf numFmtId="164" fontId="125" fillId="0" borderId="0" xfId="2" applyNumberFormat="1" applyFont="1" applyFill="1" applyAlignment="1" applyProtection="1">
      <alignment horizontal="center" vertical="center"/>
    </xf>
    <xf numFmtId="0" fontId="25" fillId="0" borderId="0" xfId="0" applyFont="1" applyAlignment="1" applyProtection="1">
      <alignment horizontal="left" vertical="center"/>
      <protection locked="0"/>
    </xf>
    <xf numFmtId="10" fontId="125" fillId="27" borderId="0" xfId="10" applyNumberFormat="1" applyFont="1" applyFill="1" applyAlignment="1" applyProtection="1">
      <alignment horizontal="center" vertical="center"/>
    </xf>
    <xf numFmtId="10" fontId="125" fillId="0" borderId="0" xfId="10" applyNumberFormat="1" applyFont="1" applyFill="1" applyAlignment="1" applyProtection="1">
      <alignment horizontal="center" vertical="center"/>
    </xf>
    <xf numFmtId="8" fontId="25" fillId="0" borderId="0" xfId="0" applyNumberFormat="1" applyFont="1" applyProtection="1">
      <protection locked="0"/>
    </xf>
    <xf numFmtId="168" fontId="125" fillId="0" borderId="0" xfId="0" applyNumberFormat="1" applyFont="1" applyAlignment="1">
      <alignment horizontal="center" vertical="center"/>
    </xf>
    <xf numFmtId="0" fontId="24" fillId="0" borderId="0" xfId="0" applyFont="1" applyAlignment="1">
      <alignment horizontal="center" vertical="center"/>
    </xf>
    <xf numFmtId="4" fontId="125" fillId="0" borderId="0" xfId="2" applyNumberFormat="1" applyFont="1" applyFill="1" applyAlignment="1" applyProtection="1">
      <alignment horizontal="center" vertical="center"/>
      <protection locked="0"/>
    </xf>
    <xf numFmtId="10" fontId="130" fillId="27" borderId="0" xfId="2" applyNumberFormat="1" applyFont="1" applyFill="1" applyAlignment="1" applyProtection="1">
      <alignment horizontal="center" vertical="center"/>
    </xf>
    <xf numFmtId="10" fontId="127" fillId="0" borderId="0" xfId="2" applyNumberFormat="1" applyFont="1" applyFill="1" applyAlignment="1" applyProtection="1">
      <alignment horizontal="center" vertical="center"/>
      <protection locked="0"/>
    </xf>
    <xf numFmtId="3" fontId="15" fillId="3" borderId="0" xfId="20" applyNumberFormat="1" applyFont="1" applyFill="1" applyBorder="1" applyAlignment="1" applyProtection="1">
      <alignment horizontal="center" vertical="center"/>
      <protection locked="0"/>
    </xf>
    <xf numFmtId="0" fontId="12" fillId="3" borderId="0" xfId="0" applyFont="1" applyFill="1" applyAlignment="1" applyProtection="1">
      <alignment horizontal="left" vertical="center"/>
      <protection locked="0"/>
    </xf>
    <xf numFmtId="44" fontId="12" fillId="3" borderId="0" xfId="22" applyFont="1" applyFill="1" applyAlignment="1" applyProtection="1">
      <alignment horizontal="left" vertical="center"/>
      <protection locked="0"/>
    </xf>
    <xf numFmtId="3" fontId="16" fillId="0" borderId="0" xfId="20" applyNumberFormat="1" applyFont="1" applyFill="1" applyBorder="1" applyAlignment="1" applyProtection="1">
      <alignment horizontal="left" vertical="center"/>
    </xf>
    <xf numFmtId="3" fontId="130" fillId="50" borderId="0" xfId="0" applyNumberFormat="1" applyFont="1" applyFill="1" applyAlignment="1" applyProtection="1">
      <alignment horizontal="center" vertical="center"/>
      <protection locked="0"/>
    </xf>
    <xf numFmtId="0" fontId="132" fillId="32" borderId="1" xfId="0" applyFont="1" applyFill="1" applyBorder="1" applyAlignment="1" applyProtection="1">
      <alignment wrapText="1"/>
      <protection locked="0"/>
    </xf>
    <xf numFmtId="10" fontId="20" fillId="3" borderId="0" xfId="10" applyNumberFormat="1" applyFont="1" applyFill="1" applyBorder="1" applyAlignment="1" applyProtection="1">
      <alignment horizontal="center" vertical="center"/>
    </xf>
    <xf numFmtId="3" fontId="12" fillId="3" borderId="0" xfId="10" applyNumberFormat="1" applyFont="1" applyFill="1" applyBorder="1" applyAlignment="1" applyProtection="1">
      <alignment horizontal="left" vertical="center"/>
      <protection locked="0"/>
    </xf>
    <xf numFmtId="3" fontId="17" fillId="3" borderId="0" xfId="10" applyNumberFormat="1" applyFont="1" applyFill="1" applyBorder="1" applyAlignment="1" applyProtection="1">
      <alignment horizontal="left" vertical="center"/>
      <protection locked="0"/>
    </xf>
    <xf numFmtId="41" fontId="21" fillId="3" borderId="0" xfId="13" applyFont="1" applyFill="1" applyBorder="1" applyAlignment="1" applyProtection="1">
      <alignment horizontal="left" vertical="center"/>
      <protection locked="0"/>
    </xf>
    <xf numFmtId="3" fontId="16" fillId="3" borderId="0" xfId="10" applyNumberFormat="1" applyFont="1" applyFill="1" applyBorder="1" applyAlignment="1" applyProtection="1">
      <alignment horizontal="left" vertical="center"/>
      <protection locked="0"/>
    </xf>
    <xf numFmtId="41" fontId="19" fillId="11" borderId="0" xfId="13" applyFont="1" applyFill="1" applyProtection="1">
      <protection locked="0"/>
    </xf>
    <xf numFmtId="164" fontId="19" fillId="11" borderId="0" xfId="13" applyNumberFormat="1" applyFont="1" applyFill="1" applyProtection="1">
      <protection locked="0"/>
    </xf>
    <xf numFmtId="3" fontId="21" fillId="3" borderId="0" xfId="10" applyNumberFormat="1" applyFont="1" applyFill="1" applyBorder="1" applyAlignment="1" applyProtection="1">
      <alignment horizontal="left" vertical="center"/>
      <protection locked="0"/>
    </xf>
    <xf numFmtId="3" fontId="16" fillId="3" borderId="0" xfId="10" applyNumberFormat="1" applyFont="1" applyFill="1" applyBorder="1" applyAlignment="1">
      <alignment horizontal="center" vertical="center"/>
    </xf>
    <xf numFmtId="0" fontId="132" fillId="32" borderId="1" xfId="0" applyFont="1" applyFill="1" applyBorder="1" applyAlignment="1" applyProtection="1">
      <alignment vertical="center" wrapText="1"/>
      <protection locked="0"/>
    </xf>
    <xf numFmtId="10" fontId="13" fillId="33" borderId="0" xfId="6" applyNumberFormat="1" applyFont="1" applyFill="1" applyAlignment="1" applyProtection="1">
      <alignment vertical="center"/>
    </xf>
    <xf numFmtId="41" fontId="15" fillId="0" borderId="0" xfId="13" applyFont="1" applyFill="1" applyAlignment="1" applyProtection="1">
      <alignment vertical="center"/>
      <protection locked="0"/>
    </xf>
    <xf numFmtId="3" fontId="12" fillId="0" borderId="0" xfId="10" applyNumberFormat="1" applyFont="1" applyFill="1" applyBorder="1" applyAlignment="1" applyProtection="1">
      <alignment horizontal="left" vertical="center"/>
      <protection locked="0"/>
    </xf>
    <xf numFmtId="0" fontId="20" fillId="3" borderId="0" xfId="21" applyNumberFormat="1" applyFont="1" applyFill="1" applyBorder="1" applyAlignment="1" applyProtection="1">
      <alignment horizontal="center" vertical="center"/>
      <protection locked="0"/>
    </xf>
    <xf numFmtId="3" fontId="13" fillId="3" borderId="1" xfId="0" applyNumberFormat="1" applyFont="1" applyFill="1" applyBorder="1" applyAlignment="1">
      <alignment horizontal="center" vertical="center"/>
    </xf>
    <xf numFmtId="0" fontId="16" fillId="0" borderId="0" xfId="0" applyFont="1" applyAlignment="1" applyProtection="1">
      <alignment horizontal="left" vertical="center" indent="1"/>
      <protection locked="0"/>
    </xf>
    <xf numFmtId="2" fontId="13" fillId="33" borderId="0" xfId="6" applyNumberFormat="1" applyFont="1" applyFill="1" applyProtection="1"/>
    <xf numFmtId="0" fontId="55" fillId="32" borderId="30" xfId="0" applyFont="1" applyFill="1" applyBorder="1" applyAlignment="1">
      <alignment vertical="center" wrapText="1"/>
    </xf>
    <xf numFmtId="0" fontId="16" fillId="0" borderId="0" xfId="0" applyFont="1" applyAlignment="1" applyProtection="1">
      <alignment vertical="center" wrapText="1"/>
      <protection locked="0"/>
    </xf>
    <xf numFmtId="0" fontId="39" fillId="0" borderId="0" xfId="0" applyFont="1" applyAlignment="1">
      <alignment vertical="center"/>
    </xf>
    <xf numFmtId="0" fontId="39" fillId="0" borderId="0" xfId="0" applyFont="1" applyAlignment="1">
      <alignment vertical="center" wrapText="1"/>
    </xf>
    <xf numFmtId="0" fontId="37" fillId="0" borderId="0" xfId="0" applyFont="1" applyProtection="1">
      <protection locked="0"/>
    </xf>
    <xf numFmtId="0" fontId="130" fillId="0" borderId="0" xfId="0" applyFont="1" applyAlignment="1" applyProtection="1">
      <alignment horizontal="left" vertical="center"/>
      <protection locked="0"/>
    </xf>
    <xf numFmtId="2" fontId="15" fillId="13" borderId="0" xfId="0" applyNumberFormat="1" applyFont="1" applyFill="1" applyAlignment="1" applyProtection="1">
      <alignment horizontal="center" vertical="center"/>
      <protection locked="0"/>
    </xf>
    <xf numFmtId="0" fontId="55" fillId="32" borderId="80" xfId="0" applyFont="1" applyFill="1" applyBorder="1" applyAlignment="1">
      <alignment vertical="center" wrapText="1"/>
    </xf>
    <xf numFmtId="2" fontId="38" fillId="11" borderId="0" xfId="0" applyNumberFormat="1" applyFont="1" applyFill="1" applyAlignment="1" applyProtection="1">
      <alignment horizontal="center" vertical="center"/>
      <protection locked="0"/>
    </xf>
    <xf numFmtId="0" fontId="0" fillId="78" borderId="96" xfId="0" applyFill="1" applyBorder="1" applyProtection="1">
      <protection locked="0"/>
    </xf>
    <xf numFmtId="3" fontId="0" fillId="0" borderId="0" xfId="0" applyNumberFormat="1" applyAlignment="1" applyProtection="1">
      <alignment horizontal="center"/>
      <protection locked="0"/>
    </xf>
    <xf numFmtId="0" fontId="0" fillId="0" borderId="96" xfId="0" applyBorder="1" applyProtection="1">
      <protection locked="0"/>
    </xf>
    <xf numFmtId="6" fontId="133" fillId="0" borderId="0" xfId="22" applyNumberFormat="1" applyFont="1" applyAlignment="1" applyProtection="1">
      <alignment horizontal="left"/>
    </xf>
    <xf numFmtId="0" fontId="3" fillId="79" borderId="29" xfId="0" applyFont="1" applyFill="1" applyBorder="1" applyProtection="1">
      <protection locked="0"/>
    </xf>
    <xf numFmtId="0" fontId="3" fillId="44" borderId="29" xfId="0" applyFont="1" applyFill="1" applyBorder="1" applyProtection="1">
      <protection locked="0"/>
    </xf>
    <xf numFmtId="0" fontId="0" fillId="47" borderId="32" xfId="0" applyFill="1" applyBorder="1" applyAlignment="1">
      <alignment horizontal="center"/>
    </xf>
    <xf numFmtId="0" fontId="0" fillId="47" borderId="29" xfId="0" applyFill="1" applyBorder="1" applyProtection="1">
      <protection locked="0"/>
    </xf>
    <xf numFmtId="44" fontId="0" fillId="47" borderId="0" xfId="22" applyFont="1" applyFill="1" applyBorder="1" applyAlignment="1">
      <alignment horizontal="center"/>
    </xf>
    <xf numFmtId="0" fontId="0" fillId="47" borderId="33" xfId="0" applyFill="1" applyBorder="1" applyProtection="1">
      <protection locked="0"/>
    </xf>
    <xf numFmtId="6" fontId="0" fillId="39" borderId="0" xfId="0" applyNumberFormat="1" applyFill="1" applyProtection="1">
      <protection locked="0"/>
    </xf>
    <xf numFmtId="0" fontId="0" fillId="80" borderId="0" xfId="0" applyFill="1"/>
    <xf numFmtId="10" fontId="0" fillId="0" borderId="0" xfId="2" applyNumberFormat="1" applyFont="1" applyProtection="1">
      <protection locked="0"/>
    </xf>
    <xf numFmtId="3" fontId="0" fillId="81" borderId="1" xfId="0" applyNumberFormat="1" applyFill="1" applyBorder="1"/>
    <xf numFmtId="171" fontId="55" fillId="0" borderId="0" xfId="0" applyNumberFormat="1" applyFont="1"/>
    <xf numFmtId="168" fontId="55" fillId="0" borderId="0" xfId="0" applyNumberFormat="1" applyFont="1"/>
    <xf numFmtId="0" fontId="121" fillId="19" borderId="97" xfId="0" applyFont="1" applyFill="1" applyBorder="1" applyAlignment="1">
      <alignment horizontal="center"/>
    </xf>
    <xf numFmtId="0" fontId="121" fillId="19" borderId="99" xfId="0" applyFont="1" applyFill="1" applyBorder="1"/>
    <xf numFmtId="4" fontId="0" fillId="78" borderId="97" xfId="0" applyNumberFormat="1" applyFill="1" applyBorder="1" applyAlignment="1">
      <alignment horizontal="center"/>
    </xf>
    <xf numFmtId="0" fontId="0" fillId="78" borderId="98" xfId="0" applyFill="1" applyBorder="1"/>
    <xf numFmtId="0" fontId="0" fillId="0" borderId="98" xfId="0" applyBorder="1"/>
    <xf numFmtId="6" fontId="133" fillId="0" borderId="97" xfId="22" applyNumberFormat="1" applyFont="1" applyBorder="1" applyAlignment="1">
      <alignment horizontal="left"/>
    </xf>
    <xf numFmtId="0" fontId="3" fillId="80" borderId="0" xfId="0" applyFont="1" applyFill="1" applyAlignment="1">
      <alignment horizontal="center" vertical="center" wrapText="1"/>
    </xf>
    <xf numFmtId="0" fontId="0" fillId="80" borderId="83" xfId="0" applyFill="1" applyBorder="1" applyAlignment="1">
      <alignment vertical="center" wrapText="1"/>
    </xf>
    <xf numFmtId="0" fontId="0" fillId="80" borderId="69" xfId="0" applyFill="1" applyBorder="1"/>
    <xf numFmtId="0" fontId="0" fillId="80" borderId="0" xfId="0" applyFill="1" applyAlignment="1">
      <alignment vertical="center" wrapText="1"/>
    </xf>
    <xf numFmtId="0" fontId="0" fillId="80" borderId="29" xfId="0" applyFill="1" applyBorder="1"/>
    <xf numFmtId="0" fontId="0" fillId="80" borderId="7" xfId="0" applyFill="1" applyBorder="1" applyAlignment="1">
      <alignment vertical="center" wrapText="1"/>
    </xf>
    <xf numFmtId="0" fontId="0" fillId="80" borderId="33" xfId="0" applyFill="1" applyBorder="1"/>
    <xf numFmtId="190" fontId="72" fillId="12" borderId="31" xfId="18" applyNumberFormat="1" applyFont="1" applyFill="1" applyBorder="1" applyAlignment="1">
      <alignment vertical="center"/>
    </xf>
    <xf numFmtId="3" fontId="0" fillId="15" borderId="0" xfId="0" applyNumberFormat="1" applyFill="1" applyProtection="1">
      <protection locked="0"/>
    </xf>
    <xf numFmtId="3" fontId="6" fillId="0" borderId="0" xfId="0" applyNumberFormat="1" applyFont="1" applyProtection="1">
      <protection locked="0"/>
    </xf>
    <xf numFmtId="10" fontId="6" fillId="0" borderId="0" xfId="2" applyNumberFormat="1" applyFont="1" applyProtection="1">
      <protection locked="0"/>
    </xf>
    <xf numFmtId="191" fontId="0" fillId="0" borderId="0" xfId="0" applyNumberFormat="1" applyProtection="1">
      <protection locked="0"/>
    </xf>
    <xf numFmtId="3" fontId="55" fillId="13" borderId="62" xfId="21" applyNumberFormat="1" applyFont="1" applyFill="1" applyBorder="1" applyAlignment="1" applyProtection="1">
      <alignment horizontal="center" vertical="center"/>
    </xf>
    <xf numFmtId="3" fontId="55" fillId="13" borderId="63" xfId="21" applyNumberFormat="1" applyFont="1" applyFill="1" applyBorder="1" applyAlignment="1" applyProtection="1">
      <alignment horizontal="center" vertical="center"/>
    </xf>
    <xf numFmtId="3" fontId="55" fillId="13" borderId="64" xfId="21" applyNumberFormat="1" applyFont="1" applyFill="1" applyBorder="1" applyAlignment="1" applyProtection="1">
      <alignment horizontal="center" vertical="center"/>
    </xf>
    <xf numFmtId="0" fontId="72" fillId="32" borderId="72" xfId="0" applyFont="1" applyFill="1" applyBorder="1" applyAlignment="1" applyProtection="1">
      <alignment horizontal="center" vertical="center"/>
      <protection locked="0"/>
    </xf>
    <xf numFmtId="0" fontId="67" fillId="32" borderId="1" xfId="0" applyFont="1" applyFill="1" applyBorder="1" applyAlignment="1" applyProtection="1">
      <alignment horizontal="center" vertical="center"/>
      <protection locked="0"/>
    </xf>
    <xf numFmtId="6" fontId="55" fillId="0" borderId="1" xfId="0" applyNumberFormat="1" applyFont="1" applyBorder="1"/>
    <xf numFmtId="2" fontId="55" fillId="0" borderId="1" xfId="2" applyNumberFormat="1" applyFont="1" applyBorder="1" applyProtection="1"/>
    <xf numFmtId="4" fontId="29" fillId="0" borderId="0" xfId="0" applyNumberFormat="1" applyFont="1" applyProtection="1">
      <protection locked="0"/>
    </xf>
    <xf numFmtId="3" fontId="13" fillId="3" borderId="0" xfId="0" applyNumberFormat="1" applyFont="1" applyFill="1" applyAlignment="1">
      <alignment horizontal="center" vertical="center"/>
    </xf>
    <xf numFmtId="10" fontId="13" fillId="3" borderId="0" xfId="10" applyNumberFormat="1" applyFont="1" applyFill="1" applyAlignment="1" applyProtection="1">
      <alignment horizontal="center" vertical="center"/>
    </xf>
    <xf numFmtId="3" fontId="135" fillId="3" borderId="0" xfId="10" applyNumberFormat="1" applyFont="1" applyFill="1" applyBorder="1" applyAlignment="1" applyProtection="1">
      <alignment horizontal="center" vertical="center"/>
    </xf>
    <xf numFmtId="3" fontId="135" fillId="3" borderId="0" xfId="0" applyNumberFormat="1" applyFont="1" applyFill="1" applyAlignment="1">
      <alignment horizontal="center" vertical="center"/>
    </xf>
    <xf numFmtId="0" fontId="72" fillId="32" borderId="67" xfId="0" applyFont="1" applyFill="1" applyBorder="1" applyAlignment="1" applyProtection="1">
      <alignment horizontal="center" vertical="center"/>
      <protection locked="0"/>
    </xf>
    <xf numFmtId="3" fontId="72" fillId="41" borderId="62" xfId="0" applyNumberFormat="1" applyFont="1" applyFill="1" applyBorder="1" applyAlignment="1">
      <alignment vertical="center" wrapText="1"/>
    </xf>
    <xf numFmtId="4" fontId="55" fillId="13" borderId="11" xfId="21" applyNumberFormat="1" applyFont="1" applyFill="1" applyBorder="1" applyAlignment="1" applyProtection="1">
      <alignment vertical="center"/>
    </xf>
    <xf numFmtId="4" fontId="55" fillId="13" borderId="1" xfId="21" applyNumberFormat="1" applyFont="1" applyFill="1" applyBorder="1" applyAlignment="1" applyProtection="1">
      <alignment vertical="center"/>
    </xf>
    <xf numFmtId="4" fontId="55" fillId="13" borderId="12" xfId="21" applyNumberFormat="1" applyFont="1" applyFill="1" applyBorder="1" applyAlignment="1" applyProtection="1">
      <alignment vertical="center"/>
    </xf>
    <xf numFmtId="43" fontId="6" fillId="0" borderId="0" xfId="0" applyNumberFormat="1" applyFont="1" applyAlignment="1">
      <alignment horizontal="center" vertical="center"/>
    </xf>
    <xf numFmtId="164" fontId="19" fillId="11" borderId="0" xfId="2" applyNumberFormat="1" applyFont="1" applyFill="1" applyAlignment="1" applyProtection="1">
      <alignment horizontal="center" vertical="center" wrapText="1"/>
      <protection locked="0"/>
    </xf>
    <xf numFmtId="0" fontId="72" fillId="32" borderId="32" xfId="0" applyFont="1" applyFill="1" applyBorder="1" applyAlignment="1" applyProtection="1">
      <alignment horizontal="center" vertical="center"/>
      <protection locked="0"/>
    </xf>
    <xf numFmtId="0" fontId="72" fillId="32" borderId="51" xfId="0" applyFont="1" applyFill="1" applyBorder="1" applyAlignment="1" applyProtection="1">
      <alignment horizontal="center" vertical="center"/>
      <protection locked="0"/>
    </xf>
    <xf numFmtId="0" fontId="0" fillId="6" borderId="1" xfId="0" applyFill="1" applyBorder="1" applyAlignment="1" applyProtection="1">
      <alignment horizontal="center"/>
      <protection locked="0"/>
    </xf>
    <xf numFmtId="4" fontId="0" fillId="0" borderId="0" xfId="0" applyNumberFormat="1" applyAlignment="1" applyProtection="1">
      <alignment horizontal="center" vertical="center"/>
      <protection locked="0"/>
    </xf>
    <xf numFmtId="0" fontId="72" fillId="32" borderId="67" xfId="0" applyFont="1" applyFill="1" applyBorder="1" applyAlignment="1">
      <alignment horizontal="center" vertical="center"/>
    </xf>
    <xf numFmtId="171" fontId="55" fillId="13" borderId="9" xfId="0" applyNumberFormat="1" applyFont="1" applyFill="1" applyBorder="1" applyAlignment="1">
      <alignment vertical="center" wrapText="1"/>
    </xf>
    <xf numFmtId="171" fontId="55" fillId="0" borderId="11" xfId="0" applyNumberFormat="1" applyFont="1" applyBorder="1" applyAlignment="1">
      <alignment vertical="center" wrapText="1"/>
    </xf>
    <xf numFmtId="171" fontId="72" fillId="0" borderId="62" xfId="0" applyNumberFormat="1" applyFont="1" applyBorder="1" applyAlignment="1">
      <alignment vertical="center" wrapText="1"/>
    </xf>
    <xf numFmtId="171" fontId="72" fillId="0" borderId="56" xfId="0" applyNumberFormat="1" applyFont="1" applyBorder="1" applyAlignment="1">
      <alignment vertical="center" wrapText="1"/>
    </xf>
    <xf numFmtId="171" fontId="72" fillId="41" borderId="62" xfId="0" applyNumberFormat="1" applyFont="1" applyFill="1" applyBorder="1" applyAlignment="1">
      <alignment vertical="center" wrapText="1"/>
    </xf>
    <xf numFmtId="0" fontId="72" fillId="32" borderId="52" xfId="0" applyFont="1" applyFill="1" applyBorder="1" applyAlignment="1">
      <alignment vertical="center" wrapText="1"/>
    </xf>
    <xf numFmtId="0" fontId="72" fillId="32" borderId="50" xfId="0" applyFont="1" applyFill="1" applyBorder="1" applyAlignment="1">
      <alignment vertical="center"/>
    </xf>
    <xf numFmtId="0" fontId="72" fillId="32" borderId="52" xfId="0" applyFont="1" applyFill="1" applyBorder="1" applyAlignment="1">
      <alignment vertical="center"/>
    </xf>
    <xf numFmtId="0" fontId="72" fillId="32" borderId="68" xfId="0" applyFont="1" applyFill="1" applyBorder="1" applyAlignment="1">
      <alignment vertical="center"/>
    </xf>
    <xf numFmtId="6" fontId="72" fillId="13" borderId="62" xfId="6" applyNumberFormat="1" applyFont="1" applyFill="1" applyBorder="1" applyAlignment="1">
      <alignment vertical="center"/>
    </xf>
    <xf numFmtId="0" fontId="72" fillId="32" borderId="50" xfId="0" applyFont="1" applyFill="1" applyBorder="1" applyAlignment="1" applyProtection="1">
      <alignment vertical="center"/>
      <protection locked="0"/>
    </xf>
    <xf numFmtId="0" fontId="72" fillId="32" borderId="52" xfId="0" applyFont="1" applyFill="1" applyBorder="1" applyAlignment="1" applyProtection="1">
      <alignment vertical="center" wrapText="1"/>
      <protection locked="0"/>
    </xf>
    <xf numFmtId="0" fontId="72" fillId="32" borderId="52" xfId="0" applyFont="1" applyFill="1" applyBorder="1" applyAlignment="1" applyProtection="1">
      <alignment vertical="center"/>
      <protection locked="0"/>
    </xf>
    <xf numFmtId="0" fontId="55" fillId="32" borderId="54" xfId="0" applyFont="1" applyFill="1" applyBorder="1" applyAlignment="1" applyProtection="1">
      <alignment vertical="center"/>
      <protection locked="0"/>
    </xf>
    <xf numFmtId="0" fontId="72" fillId="32" borderId="68" xfId="0" applyFont="1" applyFill="1" applyBorder="1" applyAlignment="1" applyProtection="1">
      <alignment vertical="center"/>
      <protection locked="0"/>
    </xf>
    <xf numFmtId="6" fontId="72" fillId="13" borderId="62" xfId="6" applyNumberFormat="1" applyFont="1" applyFill="1" applyBorder="1" applyAlignment="1" applyProtection="1">
      <alignment vertical="center"/>
    </xf>
    <xf numFmtId="3" fontId="55" fillId="13" borderId="36" xfId="21" applyNumberFormat="1" applyFont="1" applyFill="1" applyBorder="1" applyAlignment="1">
      <alignment vertical="center"/>
    </xf>
    <xf numFmtId="3" fontId="55" fillId="13" borderId="10" xfId="21" applyNumberFormat="1" applyFont="1" applyFill="1" applyBorder="1" applyAlignment="1">
      <alignment vertical="center"/>
    </xf>
    <xf numFmtId="4" fontId="19" fillId="0" borderId="0" xfId="0" applyNumberFormat="1" applyFont="1" applyAlignment="1" applyProtection="1">
      <alignment horizontal="center" vertical="center"/>
      <protection locked="0"/>
    </xf>
    <xf numFmtId="1" fontId="15" fillId="11" borderId="0" xfId="0" applyNumberFormat="1" applyFont="1" applyFill="1" applyAlignment="1" applyProtection="1">
      <alignment horizontal="center" vertical="center"/>
      <protection locked="0"/>
    </xf>
    <xf numFmtId="4" fontId="19" fillId="11" borderId="0" xfId="0" applyNumberFormat="1" applyFont="1" applyFill="1" applyAlignment="1">
      <alignment horizontal="center"/>
    </xf>
    <xf numFmtId="177" fontId="0" fillId="0" borderId="8" xfId="6" applyNumberFormat="1" applyFont="1" applyFill="1" applyBorder="1" applyAlignment="1">
      <alignment vertical="center" wrapText="1"/>
    </xf>
    <xf numFmtId="0" fontId="0" fillId="0" borderId="0" xfId="0" applyAlignment="1" applyProtection="1">
      <alignment wrapText="1"/>
      <protection locked="0"/>
    </xf>
    <xf numFmtId="44" fontId="12" fillId="0" borderId="0" xfId="0" applyNumberFormat="1" applyFont="1" applyAlignment="1" applyProtection="1">
      <alignment horizontal="center"/>
      <protection locked="0"/>
    </xf>
    <xf numFmtId="185" fontId="0" fillId="0" borderId="0" xfId="0" applyNumberFormat="1" applyAlignment="1" applyProtection="1">
      <alignment horizontal="center"/>
      <protection locked="0"/>
    </xf>
    <xf numFmtId="0" fontId="26" fillId="10" borderId="7" xfId="0" applyFont="1" applyFill="1" applyBorder="1" applyAlignment="1" applyProtection="1">
      <alignment horizontal="center" vertical="center"/>
      <protection locked="0"/>
    </xf>
    <xf numFmtId="0" fontId="136" fillId="82" borderId="7" xfId="0" applyFont="1" applyFill="1" applyBorder="1" applyAlignment="1" applyProtection="1">
      <alignment horizontal="center" vertical="center"/>
      <protection locked="0"/>
    </xf>
    <xf numFmtId="0" fontId="44" fillId="14" borderId="16" xfId="0" applyFont="1" applyFill="1" applyBorder="1"/>
    <xf numFmtId="0" fontId="44" fillId="14" borderId="0" xfId="0" applyFont="1" applyFill="1"/>
    <xf numFmtId="0" fontId="44" fillId="14" borderId="17" xfId="0" applyFont="1" applyFill="1" applyBorder="1"/>
    <xf numFmtId="0" fontId="44" fillId="3" borderId="2" xfId="0" applyFont="1" applyFill="1" applyBorder="1" applyAlignment="1">
      <alignment horizontal="center" vertical="center"/>
    </xf>
    <xf numFmtId="0" fontId="44" fillId="3" borderId="3" xfId="0" applyFont="1" applyFill="1" applyBorder="1" applyAlignment="1">
      <alignment vertical="center"/>
    </xf>
    <xf numFmtId="0" fontId="42" fillId="3" borderId="3" xfId="0" applyFont="1" applyFill="1" applyBorder="1"/>
    <xf numFmtId="0" fontId="42" fillId="3" borderId="23" xfId="0" applyFont="1" applyFill="1" applyBorder="1"/>
    <xf numFmtId="0" fontId="44" fillId="3" borderId="18" xfId="0" applyFont="1" applyFill="1" applyBorder="1" applyAlignment="1">
      <alignment horizontal="right" vertical="center"/>
    </xf>
    <xf numFmtId="0" fontId="44" fillId="0" borderId="3" xfId="0" applyFont="1" applyBorder="1" applyAlignment="1">
      <alignment horizontal="center"/>
    </xf>
    <xf numFmtId="0" fontId="44" fillId="0" borderId="23" xfId="0" applyFont="1" applyBorder="1" applyAlignment="1">
      <alignment horizontal="center"/>
    </xf>
    <xf numFmtId="0" fontId="44" fillId="0" borderId="4" xfId="0" applyFont="1" applyBorder="1" applyAlignment="1">
      <alignment horizontal="center"/>
    </xf>
    <xf numFmtId="2" fontId="42" fillId="0" borderId="23" xfId="12" quotePrefix="1" applyNumberFormat="1" applyFont="1" applyFill="1" applyBorder="1" applyAlignment="1">
      <alignment horizontal="center"/>
    </xf>
    <xf numFmtId="0" fontId="42" fillId="0" borderId="23" xfId="12" quotePrefix="1" applyNumberFormat="1" applyFont="1" applyFill="1" applyBorder="1" applyAlignment="1">
      <alignment horizontal="center"/>
    </xf>
    <xf numFmtId="0" fontId="137" fillId="0" borderId="18" xfId="12" quotePrefix="1" applyNumberFormat="1" applyFont="1" applyFill="1" applyBorder="1" applyAlignment="1">
      <alignment horizontal="center"/>
    </xf>
    <xf numFmtId="4" fontId="42" fillId="15" borderId="0" xfId="12" applyNumberFormat="1" applyFont="1" applyFill="1" applyBorder="1" applyAlignment="1">
      <alignment horizontal="center"/>
    </xf>
    <xf numFmtId="4" fontId="42" fillId="15" borderId="24" xfId="12" applyNumberFormat="1" applyFont="1" applyFill="1" applyBorder="1" applyAlignment="1">
      <alignment horizontal="center"/>
    </xf>
    <xf numFmtId="0" fontId="137" fillId="0" borderId="24" xfId="12" quotePrefix="1" applyNumberFormat="1" applyFont="1" applyFill="1" applyBorder="1" applyAlignment="1">
      <alignment horizontal="center"/>
    </xf>
    <xf numFmtId="2" fontId="42" fillId="15" borderId="24" xfId="12" applyNumberFormat="1" applyFont="1" applyFill="1" applyBorder="1" applyAlignment="1">
      <alignment horizontal="center"/>
    </xf>
    <xf numFmtId="2" fontId="42" fillId="0" borderId="24" xfId="12" applyNumberFormat="1" applyFont="1" applyFill="1" applyBorder="1" applyAlignment="1">
      <alignment horizontal="center"/>
    </xf>
    <xf numFmtId="2" fontId="137" fillId="15" borderId="24" xfId="12" applyNumberFormat="1" applyFont="1" applyFill="1" applyBorder="1" applyAlignment="1">
      <alignment horizontal="center"/>
    </xf>
    <xf numFmtId="2" fontId="137" fillId="15" borderId="17" xfId="12" applyNumberFormat="1" applyFont="1" applyFill="1" applyBorder="1" applyAlignment="1">
      <alignment horizontal="center"/>
    </xf>
    <xf numFmtId="14" fontId="0" fillId="0" borderId="0" xfId="0" applyNumberFormat="1"/>
    <xf numFmtId="0" fontId="139" fillId="84" borderId="102" xfId="0" applyFont="1" applyFill="1" applyBorder="1"/>
    <xf numFmtId="0" fontId="139" fillId="84" borderId="106" xfId="11" applyFont="1" applyFill="1" applyBorder="1" applyAlignment="1">
      <alignment horizontal="center" vertical="center"/>
    </xf>
    <xf numFmtId="0" fontId="139" fillId="84" borderId="107" xfId="11" applyFont="1" applyFill="1" applyBorder="1" applyAlignment="1">
      <alignment horizontal="center" vertical="center" wrapText="1"/>
    </xf>
    <xf numFmtId="0" fontId="139" fillId="84" borderId="108" xfId="11" applyFont="1" applyFill="1" applyBorder="1" applyAlignment="1">
      <alignment horizontal="center" vertical="center" wrapText="1"/>
    </xf>
    <xf numFmtId="0" fontId="140" fillId="10" borderId="21" xfId="11" applyFont="1" applyFill="1" applyBorder="1" applyAlignment="1">
      <alignment horizontal="center" vertical="center"/>
    </xf>
    <xf numFmtId="164" fontId="141" fillId="0" borderId="21" xfId="10" applyNumberFormat="1" applyFont="1" applyBorder="1" applyAlignment="1">
      <alignment horizontal="center"/>
    </xf>
    <xf numFmtId="41" fontId="141" fillId="0" borderId="21" xfId="13" applyFont="1" applyBorder="1" applyAlignment="1">
      <alignment horizontal="center"/>
    </xf>
    <xf numFmtId="192" fontId="141" fillId="0" borderId="21" xfId="6" applyNumberFormat="1" applyFont="1" applyBorder="1" applyAlignment="1">
      <alignment horizontal="center" vertical="center"/>
    </xf>
    <xf numFmtId="10" fontId="141" fillId="0" borderId="21" xfId="10" applyNumberFormat="1" applyFont="1" applyBorder="1" applyAlignment="1">
      <alignment horizontal="center"/>
    </xf>
    <xf numFmtId="0" fontId="140" fillId="10" borderId="1" xfId="11" applyFont="1" applyFill="1" applyBorder="1" applyAlignment="1">
      <alignment horizontal="center" vertical="center"/>
    </xf>
    <xf numFmtId="164" fontId="141" fillId="0" borderId="1" xfId="10" applyNumberFormat="1" applyFont="1" applyBorder="1" applyAlignment="1">
      <alignment horizontal="center"/>
    </xf>
    <xf numFmtId="41" fontId="141" fillId="0" borderId="1" xfId="13" applyFont="1" applyBorder="1" applyAlignment="1">
      <alignment horizontal="center"/>
    </xf>
    <xf numFmtId="192" fontId="141" fillId="0" borderId="1" xfId="6" applyNumberFormat="1" applyFont="1" applyBorder="1" applyAlignment="1">
      <alignment horizontal="center" vertical="center"/>
    </xf>
    <xf numFmtId="192" fontId="141" fillId="0" borderId="1" xfId="10" applyNumberFormat="1" applyFont="1" applyBorder="1" applyAlignment="1">
      <alignment horizontal="center"/>
    </xf>
    <xf numFmtId="10" fontId="141" fillId="0" borderId="1" xfId="10" applyNumberFormat="1" applyFont="1" applyBorder="1" applyAlignment="1">
      <alignment horizontal="center"/>
    </xf>
    <xf numFmtId="164" fontId="141" fillId="49" borderId="1" xfId="10" applyNumberFormat="1" applyFont="1" applyFill="1" applyBorder="1" applyAlignment="1">
      <alignment horizontal="center" vertical="center"/>
    </xf>
    <xf numFmtId="41" fontId="141" fillId="49" borderId="1" xfId="13" applyFont="1" applyFill="1" applyBorder="1" applyAlignment="1">
      <alignment horizontal="center" vertical="center"/>
    </xf>
    <xf numFmtId="192" fontId="141" fillId="49" borderId="1" xfId="11" applyNumberFormat="1" applyFont="1" applyFill="1" applyBorder="1" applyAlignment="1">
      <alignment horizontal="center" vertical="center"/>
    </xf>
    <xf numFmtId="10" fontId="141" fillId="49" borderId="1" xfId="10" applyNumberFormat="1" applyFont="1" applyFill="1" applyBorder="1" applyAlignment="1">
      <alignment horizontal="center" vertical="center"/>
    </xf>
    <xf numFmtId="0" fontId="72" fillId="32" borderId="28" xfId="0" applyFont="1" applyFill="1" applyBorder="1" applyAlignment="1" applyProtection="1">
      <alignment horizontal="center" vertical="center"/>
      <protection locked="0"/>
    </xf>
    <xf numFmtId="0" fontId="72" fillId="32" borderId="69" xfId="0" applyFont="1" applyFill="1" applyBorder="1" applyAlignment="1">
      <alignment horizontal="center" vertical="center"/>
    </xf>
    <xf numFmtId="3" fontId="19" fillId="79" borderId="0" xfId="10" applyNumberFormat="1" applyFont="1" applyFill="1" applyBorder="1" applyAlignment="1" applyProtection="1">
      <alignment horizontal="center" vertical="center"/>
      <protection locked="0"/>
    </xf>
    <xf numFmtId="0" fontId="72" fillId="32" borderId="72" xfId="0" applyFont="1" applyFill="1" applyBorder="1" applyAlignment="1">
      <alignment horizontal="center" vertical="center"/>
    </xf>
    <xf numFmtId="0" fontId="72" fillId="32" borderId="30" xfId="0" applyFont="1" applyFill="1" applyBorder="1" applyAlignment="1" applyProtection="1">
      <alignment horizontal="center" vertical="center"/>
      <protection locked="0"/>
    </xf>
    <xf numFmtId="0" fontId="72" fillId="32" borderId="86" xfId="0" applyFont="1" applyFill="1" applyBorder="1" applyAlignment="1" applyProtection="1">
      <alignment horizontal="center" vertical="center"/>
      <protection locked="0"/>
    </xf>
    <xf numFmtId="3" fontId="12" fillId="3" borderId="0" xfId="10" applyNumberFormat="1" applyFont="1" applyFill="1" applyBorder="1" applyAlignment="1" applyProtection="1">
      <alignment horizontal="center" vertical="center"/>
      <protection locked="0"/>
    </xf>
    <xf numFmtId="9" fontId="32" fillId="3" borderId="0" xfId="2" applyFont="1" applyFill="1" applyBorder="1" applyAlignment="1" applyProtection="1">
      <alignment horizontal="center" vertical="center"/>
      <protection locked="0"/>
    </xf>
    <xf numFmtId="184" fontId="12" fillId="0" borderId="1" xfId="0" applyNumberFormat="1" applyFont="1" applyBorder="1"/>
    <xf numFmtId="0" fontId="142" fillId="3" borderId="0" xfId="0" applyFont="1" applyFill="1" applyProtection="1">
      <protection locked="0"/>
    </xf>
    <xf numFmtId="3" fontId="13" fillId="33" borderId="0" xfId="6" applyNumberFormat="1" applyFont="1" applyFill="1" applyAlignment="1" applyProtection="1">
      <alignment horizontal="center" vertical="center"/>
    </xf>
    <xf numFmtId="184" fontId="143" fillId="9" borderId="1" xfId="20" applyNumberFormat="1" applyFont="1" applyFill="1" applyBorder="1" applyAlignment="1">
      <alignment horizontal="center" vertical="center" wrapText="1"/>
    </xf>
    <xf numFmtId="184" fontId="143" fillId="9" borderId="1" xfId="20" applyNumberFormat="1" applyFont="1" applyFill="1" applyBorder="1" applyAlignment="1">
      <alignment horizontal="center" vertical="center"/>
    </xf>
    <xf numFmtId="42" fontId="143" fillId="9" borderId="1" xfId="6" applyFont="1" applyFill="1" applyBorder="1" applyAlignment="1">
      <alignment horizontal="center" vertical="center"/>
    </xf>
    <xf numFmtId="0" fontId="55" fillId="3" borderId="1" xfId="0" applyFont="1" applyFill="1" applyBorder="1" applyAlignment="1">
      <alignment horizontal="center" vertical="center"/>
    </xf>
    <xf numFmtId="42" fontId="41" fillId="0" borderId="1" xfId="6" applyFont="1" applyFill="1" applyBorder="1" applyAlignment="1">
      <alignment horizontal="center" vertical="center"/>
    </xf>
    <xf numFmtId="188" fontId="41" fillId="3" borderId="21" xfId="13" applyNumberFormat="1" applyFont="1" applyFill="1" applyBorder="1" applyAlignment="1">
      <alignment horizontal="center" vertical="center"/>
    </xf>
    <xf numFmtId="0" fontId="41" fillId="3" borderId="1" xfId="0" applyFont="1" applyFill="1" applyBorder="1" applyAlignment="1">
      <alignment vertical="center" wrapText="1"/>
    </xf>
    <xf numFmtId="0" fontId="41" fillId="3" borderId="1" xfId="0" applyFont="1" applyFill="1" applyBorder="1" applyAlignment="1">
      <alignment horizontal="center" vertical="center" wrapText="1"/>
    </xf>
    <xf numFmtId="9" fontId="41" fillId="3" borderId="1" xfId="10" applyFont="1" applyFill="1" applyBorder="1" applyAlignment="1">
      <alignment horizontal="center" vertical="center" wrapText="1"/>
    </xf>
    <xf numFmtId="0" fontId="41" fillId="3" borderId="1" xfId="0" applyFont="1" applyFill="1" applyBorder="1" applyAlignment="1">
      <alignment horizontal="center" vertical="center"/>
    </xf>
    <xf numFmtId="0" fontId="41" fillId="0" borderId="1" xfId="0" applyFont="1" applyBorder="1" applyAlignment="1">
      <alignment horizontal="center" vertical="center"/>
    </xf>
    <xf numFmtId="0" fontId="16" fillId="3" borderId="0" xfId="0" applyFont="1" applyFill="1" applyProtection="1">
      <protection locked="0"/>
    </xf>
    <xf numFmtId="0" fontId="145" fillId="32" borderId="1" xfId="0" applyFont="1" applyFill="1" applyBorder="1" applyAlignment="1" applyProtection="1">
      <alignment wrapText="1"/>
      <protection locked="0"/>
    </xf>
    <xf numFmtId="2" fontId="49" fillId="0" borderId="21" xfId="0" applyNumberFormat="1" applyFont="1" applyBorder="1" applyAlignment="1">
      <alignment vertical="center"/>
    </xf>
    <xf numFmtId="2" fontId="49" fillId="0" borderId="20" xfId="0" applyNumberFormat="1" applyFont="1" applyBorder="1" applyAlignment="1">
      <alignment vertical="center"/>
    </xf>
    <xf numFmtId="2" fontId="49" fillId="0" borderId="19" xfId="0" applyNumberFormat="1" applyFont="1" applyBorder="1" applyAlignment="1">
      <alignment vertical="center"/>
    </xf>
    <xf numFmtId="0" fontId="48" fillId="19" borderId="44" xfId="0" applyFont="1" applyFill="1" applyBorder="1" applyAlignment="1">
      <alignment horizontal="center" vertical="center"/>
    </xf>
    <xf numFmtId="0" fontId="48" fillId="19" borderId="109" xfId="0" applyFont="1" applyFill="1" applyBorder="1" applyAlignment="1">
      <alignment horizontal="center" vertical="center"/>
    </xf>
    <xf numFmtId="0" fontId="48" fillId="19" borderId="26" xfId="0" applyFont="1" applyFill="1" applyBorder="1" applyAlignment="1">
      <alignment horizontal="center" vertical="center"/>
    </xf>
    <xf numFmtId="3" fontId="48" fillId="19" borderId="28" xfId="0" applyNumberFormat="1" applyFont="1" applyFill="1" applyBorder="1" applyAlignment="1">
      <alignment horizontal="center" vertical="center"/>
    </xf>
    <xf numFmtId="0" fontId="125" fillId="3" borderId="0" xfId="0" applyFont="1" applyFill="1" applyAlignment="1">
      <alignment horizontal="left" vertical="center" indent="1"/>
    </xf>
    <xf numFmtId="0" fontId="136" fillId="50" borderId="0" xfId="0" applyFont="1" applyFill="1" applyAlignment="1" applyProtection="1">
      <alignment horizontal="left" vertical="center"/>
      <protection locked="0"/>
    </xf>
    <xf numFmtId="0" fontId="35" fillId="50" borderId="0" xfId="0" applyFont="1" applyFill="1" applyAlignment="1" applyProtection="1">
      <alignment horizontal="left"/>
      <protection locked="0"/>
    </xf>
    <xf numFmtId="43" fontId="55" fillId="0" borderId="0" xfId="5" applyFont="1"/>
    <xf numFmtId="4" fontId="55" fillId="0" borderId="0" xfId="0" applyNumberFormat="1" applyFont="1"/>
    <xf numFmtId="0" fontId="72" fillId="0" borderId="0" xfId="0" applyFont="1" applyAlignment="1">
      <alignment vertical="center" wrapText="1"/>
    </xf>
    <xf numFmtId="6" fontId="55" fillId="0" borderId="0" xfId="0" applyNumberFormat="1" applyFont="1" applyAlignment="1">
      <alignment vertical="center" wrapText="1"/>
    </xf>
    <xf numFmtId="2" fontId="72" fillId="0" borderId="0" xfId="0" applyNumberFormat="1" applyFont="1" applyAlignment="1">
      <alignment vertical="center"/>
    </xf>
    <xf numFmtId="9" fontId="55" fillId="0" borderId="0" xfId="0" applyNumberFormat="1" applyFont="1"/>
    <xf numFmtId="10" fontId="0" fillId="0" borderId="0" xfId="0" applyNumberFormat="1"/>
    <xf numFmtId="0" fontId="55" fillId="32" borderId="26" xfId="0" applyFont="1" applyFill="1" applyBorder="1" applyAlignment="1">
      <alignment horizontal="right" vertical="center"/>
    </xf>
    <xf numFmtId="4" fontId="55" fillId="13" borderId="30" xfId="0" applyNumberFormat="1" applyFont="1" applyFill="1" applyBorder="1"/>
    <xf numFmtId="0" fontId="72" fillId="32" borderId="30" xfId="0" applyFont="1" applyFill="1" applyBorder="1" applyAlignment="1">
      <alignment horizontal="right" vertical="center"/>
    </xf>
    <xf numFmtId="0" fontId="0" fillId="80" borderId="83" xfId="0" applyFill="1" applyBorder="1"/>
    <xf numFmtId="0" fontId="0" fillId="80" borderId="69" xfId="0" applyFill="1" applyBorder="1" applyAlignment="1">
      <alignment vertical="center" wrapText="1"/>
    </xf>
    <xf numFmtId="0" fontId="0" fillId="80" borderId="29" xfId="0" applyFill="1" applyBorder="1" applyAlignment="1">
      <alignment vertical="center" wrapText="1"/>
    </xf>
    <xf numFmtId="0" fontId="0" fillId="80" borderId="7" xfId="0" applyFill="1" applyBorder="1"/>
    <xf numFmtId="0" fontId="0" fillId="80" borderId="33" xfId="0" applyFill="1" applyBorder="1" applyAlignment="1">
      <alignment vertical="center"/>
    </xf>
    <xf numFmtId="4" fontId="19" fillId="11" borderId="0" xfId="0" applyNumberFormat="1" applyFont="1" applyFill="1" applyAlignment="1" applyProtection="1">
      <alignment horizontal="center" vertical="center" wrapText="1"/>
      <protection locked="0"/>
    </xf>
    <xf numFmtId="4" fontId="12" fillId="0" borderId="0" xfId="0" applyNumberFormat="1" applyFont="1" applyAlignment="1">
      <alignment horizontal="center" vertical="center"/>
    </xf>
    <xf numFmtId="0" fontId="27" fillId="0" borderId="0" xfId="0" applyFont="1" applyAlignment="1" applyProtection="1">
      <alignment horizontal="center" vertical="center" wrapText="1"/>
      <protection locked="0"/>
    </xf>
    <xf numFmtId="0" fontId="3" fillId="39" borderId="0" xfId="0" applyFont="1" applyFill="1" applyAlignment="1" applyProtection="1">
      <alignment horizontal="right" vertical="center"/>
      <protection locked="0"/>
    </xf>
    <xf numFmtId="0" fontId="3" fillId="39" borderId="0" xfId="0" applyFont="1" applyFill="1" applyAlignment="1" applyProtection="1">
      <alignment horizontal="right" vertical="center" wrapText="1"/>
      <protection locked="0"/>
    </xf>
    <xf numFmtId="0" fontId="3" fillId="39" borderId="110" xfId="0" applyFont="1" applyFill="1" applyBorder="1" applyAlignment="1" applyProtection="1">
      <alignment horizontal="right" vertical="center" wrapText="1"/>
      <protection locked="0"/>
    </xf>
    <xf numFmtId="0" fontId="0" fillId="13" borderId="0" xfId="0" applyFill="1" applyAlignment="1" applyProtection="1">
      <alignment horizontal="center" vertical="center"/>
      <protection locked="0"/>
    </xf>
    <xf numFmtId="6" fontId="0" fillId="0" borderId="0" xfId="22" applyNumberFormat="1" applyFont="1" applyAlignment="1" applyProtection="1">
      <alignment horizontal="center" vertical="center"/>
    </xf>
    <xf numFmtId="2" fontId="0" fillId="0" borderId="0" xfId="0" applyNumberFormat="1" applyAlignment="1">
      <alignment horizontal="center" vertical="center"/>
    </xf>
    <xf numFmtId="6" fontId="133" fillId="0" borderId="0" xfId="22" applyNumberFormat="1" applyFont="1" applyAlignment="1" applyProtection="1">
      <alignment horizontal="left" vertical="center"/>
    </xf>
    <xf numFmtId="0" fontId="0" fillId="41" borderId="0" xfId="0" applyFill="1" applyAlignment="1" applyProtection="1">
      <alignment horizontal="center" vertical="center"/>
      <protection locked="0"/>
    </xf>
    <xf numFmtId="2" fontId="3" fillId="79" borderId="32" xfId="0" applyNumberFormat="1" applyFont="1" applyFill="1" applyBorder="1" applyAlignment="1">
      <alignment horizontal="center"/>
    </xf>
    <xf numFmtId="2" fontId="3" fillId="79" borderId="0" xfId="0" applyNumberFormat="1" applyFont="1" applyFill="1" applyAlignment="1">
      <alignment horizontal="center"/>
    </xf>
    <xf numFmtId="4" fontId="3" fillId="79" borderId="0" xfId="0" applyNumberFormat="1" applyFont="1" applyFill="1" applyAlignment="1">
      <alignment horizontal="center"/>
    </xf>
    <xf numFmtId="44" fontId="3" fillId="79" borderId="0" xfId="22" applyFont="1" applyFill="1" applyBorder="1" applyAlignment="1">
      <alignment horizontal="left"/>
    </xf>
    <xf numFmtId="44" fontId="3" fillId="79" borderId="0" xfId="22" applyFont="1" applyFill="1" applyBorder="1" applyAlignment="1">
      <alignment horizontal="center"/>
    </xf>
    <xf numFmtId="2" fontId="3" fillId="44" borderId="32" xfId="0" applyNumberFormat="1" applyFont="1" applyFill="1" applyBorder="1" applyAlignment="1">
      <alignment horizontal="center"/>
    </xf>
    <xf numFmtId="0" fontId="0" fillId="47" borderId="0" xfId="0" applyFill="1" applyAlignment="1">
      <alignment horizontal="center"/>
    </xf>
    <xf numFmtId="0" fontId="0" fillId="47" borderId="68" xfId="0" applyFill="1" applyBorder="1" applyAlignment="1">
      <alignment horizontal="center"/>
    </xf>
    <xf numFmtId="0" fontId="0" fillId="47" borderId="7" xfId="0" applyFill="1" applyBorder="1" applyAlignment="1">
      <alignment horizontal="center"/>
    </xf>
    <xf numFmtId="4" fontId="1" fillId="47" borderId="7" xfId="22" applyNumberFormat="1" applyFont="1" applyFill="1" applyBorder="1" applyAlignment="1">
      <alignment horizontal="center"/>
    </xf>
    <xf numFmtId="44" fontId="0" fillId="47" borderId="7" xfId="22" applyFont="1" applyFill="1" applyBorder="1" applyAlignment="1">
      <alignment horizontal="center"/>
    </xf>
    <xf numFmtId="3" fontId="55" fillId="13" borderId="63" xfId="21" applyNumberFormat="1" applyFont="1" applyFill="1" applyBorder="1" applyAlignment="1">
      <alignment vertical="center"/>
    </xf>
    <xf numFmtId="3" fontId="55" fillId="13" borderId="64" xfId="21" applyNumberFormat="1" applyFont="1" applyFill="1" applyBorder="1" applyAlignment="1">
      <alignment vertical="center"/>
    </xf>
    <xf numFmtId="4" fontId="55" fillId="13" borderId="44" xfId="21" applyNumberFormat="1" applyFont="1" applyFill="1" applyBorder="1" applyAlignment="1">
      <alignment vertical="center"/>
    </xf>
    <xf numFmtId="4" fontId="55" fillId="13" borderId="31" xfId="21" applyNumberFormat="1" applyFont="1" applyFill="1" applyBorder="1" applyAlignment="1">
      <alignment vertical="center"/>
    </xf>
    <xf numFmtId="3" fontId="55" fillId="13" borderId="44" xfId="21" applyNumberFormat="1" applyFont="1" applyFill="1" applyBorder="1" applyAlignment="1">
      <alignment vertical="center"/>
    </xf>
    <xf numFmtId="3" fontId="55" fillId="13" borderId="30" xfId="0" applyNumberFormat="1" applyFont="1" applyFill="1" applyBorder="1"/>
    <xf numFmtId="0" fontId="75" fillId="0" borderId="0" xfId="0" applyFont="1" applyAlignment="1">
      <alignment horizontal="center" vertical="center"/>
    </xf>
    <xf numFmtId="0" fontId="12" fillId="0" borderId="0" xfId="0" applyFont="1" applyAlignment="1" applyProtection="1">
      <alignment horizontal="left" vertical="center" wrapText="1"/>
      <protection locked="0"/>
    </xf>
    <xf numFmtId="3" fontId="16" fillId="11" borderId="0" xfId="0" applyNumberFormat="1" applyFont="1" applyFill="1" applyAlignment="1">
      <alignment horizontal="center" vertical="center" wrapText="1"/>
    </xf>
    <xf numFmtId="2" fontId="20" fillId="11" borderId="0" xfId="0" applyNumberFormat="1" applyFont="1" applyFill="1" applyAlignment="1" applyProtection="1">
      <alignment horizontal="center" vertical="center"/>
      <protection locked="0"/>
    </xf>
    <xf numFmtId="0" fontId="12" fillId="3" borderId="0" xfId="0" applyFont="1" applyFill="1" applyAlignment="1" applyProtection="1">
      <alignment wrapText="1"/>
      <protection locked="0"/>
    </xf>
    <xf numFmtId="0" fontId="3" fillId="3" borderId="0" xfId="0" applyFont="1" applyFill="1"/>
    <xf numFmtId="0" fontId="72" fillId="32" borderId="26" xfId="0" applyFont="1" applyFill="1" applyBorder="1" applyAlignment="1">
      <alignment horizontal="center" vertical="center"/>
    </xf>
    <xf numFmtId="0" fontId="6" fillId="0" borderId="0" xfId="0" applyFont="1" applyAlignment="1" applyProtection="1">
      <alignment horizontal="center" vertical="center"/>
      <protection locked="0"/>
    </xf>
    <xf numFmtId="6" fontId="55" fillId="0" borderId="0" xfId="6" applyNumberFormat="1" applyFont="1" applyFill="1" applyBorder="1" applyAlignment="1">
      <alignment vertical="center"/>
    </xf>
    <xf numFmtId="44" fontId="29" fillId="0" borderId="0" xfId="0" applyNumberFormat="1" applyFont="1" applyProtection="1">
      <protection locked="0"/>
    </xf>
    <xf numFmtId="3" fontId="55" fillId="13" borderId="50" xfId="21" applyNumberFormat="1" applyFont="1" applyFill="1" applyBorder="1" applyAlignment="1">
      <alignment vertical="center"/>
    </xf>
    <xf numFmtId="3" fontId="55" fillId="13" borderId="26" xfId="21" applyNumberFormat="1" applyFont="1" applyFill="1" applyBorder="1" applyAlignment="1">
      <alignment vertical="center"/>
    </xf>
    <xf numFmtId="3" fontId="55" fillId="13" borderId="81" xfId="21" applyNumberFormat="1" applyFont="1" applyFill="1" applyBorder="1" applyAlignment="1">
      <alignment vertical="center"/>
    </xf>
    <xf numFmtId="3" fontId="55" fillId="13" borderId="86" xfId="21" applyNumberFormat="1" applyFont="1" applyFill="1" applyBorder="1" applyAlignment="1">
      <alignment vertical="center"/>
    </xf>
    <xf numFmtId="3" fontId="55" fillId="13" borderId="35" xfId="21" applyNumberFormat="1" applyFont="1" applyFill="1" applyBorder="1" applyAlignment="1">
      <alignment vertical="center"/>
    </xf>
    <xf numFmtId="3" fontId="55" fillId="13" borderId="27" xfId="21" applyNumberFormat="1" applyFont="1" applyFill="1" applyBorder="1" applyAlignment="1">
      <alignment vertical="center"/>
    </xf>
    <xf numFmtId="3" fontId="55" fillId="13" borderId="31" xfId="21" applyNumberFormat="1" applyFont="1" applyFill="1" applyBorder="1" applyAlignment="1">
      <alignment vertical="center"/>
    </xf>
    <xf numFmtId="0" fontId="55" fillId="48" borderId="1" xfId="0" applyFont="1" applyFill="1" applyBorder="1" applyAlignment="1">
      <alignment horizontal="center" vertical="center"/>
    </xf>
    <xf numFmtId="188" fontId="41" fillId="48" borderId="21" xfId="13" applyNumberFormat="1" applyFont="1" applyFill="1" applyBorder="1" applyAlignment="1">
      <alignment horizontal="center" vertical="center"/>
    </xf>
    <xf numFmtId="0" fontId="41" fillId="48" borderId="1" xfId="0" applyFont="1" applyFill="1" applyBorder="1" applyAlignment="1">
      <alignment vertical="center" wrapText="1"/>
    </xf>
    <xf numFmtId="0" fontId="41" fillId="48" borderId="1" xfId="0" applyFont="1" applyFill="1" applyBorder="1" applyAlignment="1">
      <alignment horizontal="center" vertical="center"/>
    </xf>
    <xf numFmtId="0" fontId="41" fillId="48" borderId="1" xfId="0" applyFont="1" applyFill="1" applyBorder="1" applyAlignment="1">
      <alignment horizontal="center" vertical="center" wrapText="1"/>
    </xf>
    <xf numFmtId="0" fontId="72" fillId="0" borderId="0" xfId="0" applyFont="1"/>
    <xf numFmtId="0" fontId="55" fillId="0" borderId="0" xfId="0" applyFont="1" applyAlignment="1">
      <alignment horizontal="center" vertical="center"/>
    </xf>
    <xf numFmtId="0" fontId="55" fillId="0" borderId="0" xfId="0" applyFont="1" applyAlignment="1">
      <alignment wrapText="1"/>
    </xf>
    <xf numFmtId="42" fontId="41" fillId="0" borderId="0" xfId="6" applyFont="1" applyFill="1" applyAlignment="1">
      <alignment horizontal="center"/>
    </xf>
    <xf numFmtId="2" fontId="16" fillId="11" borderId="0" xfId="0" applyNumberFormat="1" applyFont="1" applyFill="1" applyAlignment="1">
      <alignment horizontal="center" vertical="center"/>
    </xf>
    <xf numFmtId="0" fontId="72" fillId="32" borderId="69" xfId="0" applyFont="1" applyFill="1" applyBorder="1" applyAlignment="1" applyProtection="1">
      <alignment horizontal="center" vertical="center"/>
      <protection locked="0"/>
    </xf>
    <xf numFmtId="4" fontId="0" fillId="15" borderId="0" xfId="0" applyNumberFormat="1" applyFill="1" applyProtection="1">
      <protection locked="0"/>
    </xf>
    <xf numFmtId="0" fontId="72" fillId="32" borderId="26" xfId="0" applyFont="1" applyFill="1" applyBorder="1" applyAlignment="1" applyProtection="1">
      <alignment horizontal="center" vertical="center"/>
      <protection locked="0"/>
    </xf>
    <xf numFmtId="0" fontId="55" fillId="32" borderId="26" xfId="0" applyFont="1" applyFill="1" applyBorder="1" applyAlignment="1" applyProtection="1">
      <alignment horizontal="right" vertical="center"/>
      <protection locked="0"/>
    </xf>
    <xf numFmtId="3" fontId="72" fillId="0" borderId="8" xfId="0" applyNumberFormat="1" applyFont="1" applyBorder="1" applyAlignment="1">
      <alignment vertical="center" wrapText="1"/>
    </xf>
    <xf numFmtId="3" fontId="55" fillId="0" borderId="14" xfId="0" applyNumberFormat="1" applyFont="1" applyBorder="1" applyAlignment="1">
      <alignment vertical="center" wrapText="1"/>
    </xf>
    <xf numFmtId="3" fontId="72" fillId="0" borderId="30" xfId="0" applyNumberFormat="1" applyFont="1" applyBorder="1" applyAlignment="1">
      <alignment vertical="center" wrapText="1"/>
    </xf>
    <xf numFmtId="3" fontId="72" fillId="41" borderId="56" xfId="0" applyNumberFormat="1" applyFont="1" applyFill="1" applyBorder="1" applyAlignment="1">
      <alignment vertical="center" wrapText="1"/>
    </xf>
    <xf numFmtId="0" fontId="48" fillId="18" borderId="112" xfId="0" applyFont="1" applyFill="1" applyBorder="1" applyAlignment="1">
      <alignment horizontal="center" vertical="center" wrapText="1"/>
    </xf>
    <xf numFmtId="0" fontId="48" fillId="18" borderId="113" xfId="0" applyFont="1" applyFill="1" applyBorder="1" applyAlignment="1">
      <alignment horizontal="center" vertical="center" wrapText="1"/>
    </xf>
    <xf numFmtId="0" fontId="48" fillId="18" borderId="114" xfId="0" applyFont="1" applyFill="1" applyBorder="1" applyAlignment="1">
      <alignment horizontal="center" vertical="center" wrapText="1"/>
    </xf>
    <xf numFmtId="0" fontId="48" fillId="18" borderId="115" xfId="0" applyFont="1" applyFill="1" applyBorder="1" applyAlignment="1">
      <alignment horizontal="center" vertical="center" wrapText="1"/>
    </xf>
    <xf numFmtId="1" fontId="48" fillId="20" borderId="116" xfId="0" applyNumberFormat="1" applyFont="1" applyFill="1" applyBorder="1" applyAlignment="1">
      <alignment horizontal="center" vertical="center" wrapText="1"/>
    </xf>
    <xf numFmtId="172" fontId="48" fillId="20" borderId="117" xfId="0" applyNumberFormat="1" applyFont="1" applyFill="1" applyBorder="1" applyAlignment="1">
      <alignment vertical="center" wrapText="1"/>
    </xf>
    <xf numFmtId="1" fontId="48" fillId="21" borderId="116" xfId="0" applyNumberFormat="1" applyFont="1" applyFill="1" applyBorder="1" applyAlignment="1">
      <alignment horizontal="center" vertical="center" wrapText="1"/>
    </xf>
    <xf numFmtId="172" fontId="48" fillId="21" borderId="117" xfId="0" applyNumberFormat="1" applyFont="1" applyFill="1" applyBorder="1" applyAlignment="1">
      <alignment vertical="center" wrapText="1"/>
    </xf>
    <xf numFmtId="1" fontId="48" fillId="20" borderId="118" xfId="0" applyNumberFormat="1" applyFont="1" applyFill="1" applyBorder="1" applyAlignment="1">
      <alignment horizontal="center" vertical="center" wrapText="1"/>
    </xf>
    <xf numFmtId="1" fontId="48" fillId="21" borderId="118" xfId="0" applyNumberFormat="1" applyFont="1" applyFill="1" applyBorder="1" applyAlignment="1">
      <alignment horizontal="center" vertical="center" wrapText="1"/>
    </xf>
    <xf numFmtId="1" fontId="48" fillId="20" borderId="119" xfId="0" applyNumberFormat="1" applyFont="1" applyFill="1" applyBorder="1" applyAlignment="1">
      <alignment horizontal="center" vertical="center" wrapText="1"/>
    </xf>
    <xf numFmtId="171" fontId="48" fillId="20" borderId="39" xfId="0" applyNumberFormat="1" applyFont="1" applyFill="1" applyBorder="1" applyAlignment="1">
      <alignment vertical="center" wrapText="1"/>
    </xf>
    <xf numFmtId="2" fontId="137" fillId="0" borderId="24" xfId="12" applyNumberFormat="1" applyFont="1" applyFill="1" applyBorder="1" applyAlignment="1">
      <alignment horizontal="center"/>
    </xf>
    <xf numFmtId="0" fontId="42" fillId="15" borderId="25" xfId="12" applyNumberFormat="1" applyFont="1" applyFill="1" applyBorder="1" applyAlignment="1">
      <alignment horizontal="center"/>
    </xf>
    <xf numFmtId="0" fontId="42" fillId="3" borderId="0" xfId="0" applyFont="1" applyFill="1"/>
    <xf numFmtId="0" fontId="44" fillId="0" borderId="19" xfId="0" applyFont="1" applyBorder="1" applyAlignment="1">
      <alignment horizontal="center"/>
    </xf>
    <xf numFmtId="0" fontId="44" fillId="0" borderId="17" xfId="0" applyFont="1" applyBorder="1" applyAlignment="1">
      <alignment horizontal="center"/>
    </xf>
    <xf numFmtId="169" fontId="42" fillId="0" borderId="20" xfId="0" applyNumberFormat="1" applyFont="1" applyBorder="1" applyAlignment="1">
      <alignment horizontal="left" indent="1"/>
    </xf>
    <xf numFmtId="2" fontId="42" fillId="0" borderId="22" xfId="12" applyNumberFormat="1" applyFont="1" applyFill="1" applyBorder="1" applyAlignment="1">
      <alignment horizontal="center"/>
    </xf>
    <xf numFmtId="2" fontId="42" fillId="0" borderId="23" xfId="12" applyNumberFormat="1" applyFont="1" applyFill="1" applyBorder="1" applyAlignment="1">
      <alignment horizontal="center"/>
    </xf>
    <xf numFmtId="169" fontId="42" fillId="15" borderId="20" xfId="0" applyNumberFormat="1" applyFont="1" applyFill="1" applyBorder="1" applyAlignment="1">
      <alignment horizontal="left" indent="1"/>
    </xf>
    <xf numFmtId="2" fontId="42" fillId="15" borderId="16" xfId="12" applyNumberFormat="1" applyFont="1" applyFill="1" applyBorder="1" applyAlignment="1">
      <alignment horizontal="center"/>
    </xf>
    <xf numFmtId="2" fontId="42" fillId="0" borderId="16" xfId="12" applyNumberFormat="1" applyFont="1" applyFill="1" applyBorder="1" applyAlignment="1">
      <alignment horizontal="center"/>
    </xf>
    <xf numFmtId="169" fontId="42" fillId="15" borderId="21" xfId="0" applyNumberFormat="1" applyFont="1" applyFill="1" applyBorder="1" applyAlignment="1">
      <alignment horizontal="left" indent="1"/>
    </xf>
    <xf numFmtId="2" fontId="42" fillId="15" borderId="19" xfId="12" applyNumberFormat="1" applyFont="1" applyFill="1" applyBorder="1" applyAlignment="1">
      <alignment horizontal="center"/>
    </xf>
    <xf numFmtId="0" fontId="45" fillId="3" borderId="23" xfId="0" applyFont="1" applyFill="1" applyBorder="1" applyAlignment="1">
      <alignment vertical="center"/>
    </xf>
    <xf numFmtId="0" fontId="42" fillId="3" borderId="23" xfId="0" applyFont="1" applyFill="1" applyBorder="1" applyAlignment="1">
      <alignment vertical="center"/>
    </xf>
    <xf numFmtId="0" fontId="42" fillId="3" borderId="18" xfId="0" applyFont="1" applyFill="1" applyBorder="1" applyAlignment="1">
      <alignment vertical="center"/>
    </xf>
    <xf numFmtId="0" fontId="45" fillId="3" borderId="0" xfId="0" applyFont="1" applyFill="1" applyAlignment="1">
      <alignment vertical="center" wrapText="1"/>
    </xf>
    <xf numFmtId="0" fontId="42" fillId="3" borderId="0" xfId="0" applyFont="1" applyFill="1" applyAlignment="1">
      <alignment vertical="center"/>
    </xf>
    <xf numFmtId="0" fontId="42" fillId="3" borderId="24" xfId="0" applyFont="1" applyFill="1" applyBorder="1" applyAlignment="1">
      <alignment vertical="center"/>
    </xf>
    <xf numFmtId="3" fontId="46" fillId="3" borderId="19" xfId="0" applyNumberFormat="1" applyFont="1" applyFill="1" applyBorder="1" applyAlignment="1">
      <alignment vertical="center"/>
    </xf>
    <xf numFmtId="3" fontId="46" fillId="3" borderId="17" xfId="0" applyNumberFormat="1" applyFont="1" applyFill="1" applyBorder="1" applyAlignment="1">
      <alignment vertical="center"/>
    </xf>
    <xf numFmtId="3" fontId="46" fillId="3" borderId="17" xfId="0" applyNumberFormat="1" applyFont="1" applyFill="1" applyBorder="1" applyAlignment="1">
      <alignment horizontal="left" vertical="center"/>
    </xf>
    <xf numFmtId="0" fontId="42" fillId="3" borderId="17" xfId="0" applyFont="1" applyFill="1" applyBorder="1" applyAlignment="1">
      <alignment vertical="center"/>
    </xf>
    <xf numFmtId="0" fontId="42" fillId="3" borderId="25" xfId="0" applyFont="1" applyFill="1" applyBorder="1" applyAlignment="1">
      <alignment vertical="center"/>
    </xf>
    <xf numFmtId="0" fontId="154" fillId="43" borderId="8" xfId="0" applyFont="1" applyFill="1" applyBorder="1" applyAlignment="1">
      <alignment horizontal="center" vertical="center" wrapText="1"/>
    </xf>
    <xf numFmtId="49" fontId="156" fillId="11" borderId="8" xfId="0" applyNumberFormat="1" applyFont="1" applyFill="1" applyBorder="1" applyAlignment="1">
      <alignment horizontal="center" vertical="center"/>
    </xf>
    <xf numFmtId="49" fontId="156" fillId="0" borderId="0" xfId="0" applyNumberFormat="1" applyFont="1" applyAlignment="1">
      <alignment horizontal="center" vertical="center"/>
    </xf>
    <xf numFmtId="0" fontId="153" fillId="0" borderId="51" xfId="0" applyFont="1" applyBorder="1" applyAlignment="1">
      <alignment horizontal="center" vertical="center"/>
    </xf>
    <xf numFmtId="4" fontId="153" fillId="0" borderId="51" xfId="0" applyNumberFormat="1" applyFont="1" applyBorder="1" applyAlignment="1">
      <alignment horizontal="center" vertical="center"/>
    </xf>
    <xf numFmtId="4" fontId="153" fillId="0" borderId="0" xfId="0" applyNumberFormat="1" applyFont="1" applyAlignment="1">
      <alignment horizontal="center" vertical="center"/>
    </xf>
    <xf numFmtId="0" fontId="153" fillId="0" borderId="53" xfId="0" applyFont="1" applyBorder="1" applyAlignment="1">
      <alignment horizontal="center" vertical="center"/>
    </xf>
    <xf numFmtId="4" fontId="153" fillId="0" borderId="53" xfId="0" applyNumberFormat="1" applyFont="1" applyBorder="1" applyAlignment="1">
      <alignment horizontal="center" vertical="center"/>
    </xf>
    <xf numFmtId="0" fontId="153" fillId="0" borderId="79" xfId="0" applyFont="1" applyBorder="1" applyAlignment="1">
      <alignment horizontal="center" vertical="center"/>
    </xf>
    <xf numFmtId="0" fontId="153" fillId="0" borderId="8" xfId="0" applyFont="1" applyBorder="1" applyAlignment="1">
      <alignment horizontal="center" vertical="center"/>
    </xf>
    <xf numFmtId="193" fontId="153" fillId="0" borderId="8" xfId="0" applyNumberFormat="1" applyFont="1" applyBorder="1" applyAlignment="1">
      <alignment horizontal="center" vertical="center"/>
    </xf>
    <xf numFmtId="0" fontId="153" fillId="0" borderId="0" xfId="0" applyFont="1" applyAlignment="1">
      <alignment horizontal="center" vertical="center"/>
    </xf>
    <xf numFmtId="0" fontId="157" fillId="32" borderId="50" xfId="16" applyFont="1" applyFill="1" applyBorder="1" applyAlignment="1">
      <alignment horizontal="right" vertical="center" wrapText="1"/>
    </xf>
    <xf numFmtId="0" fontId="157" fillId="32" borderId="52" xfId="16" applyFont="1" applyFill="1" applyBorder="1" applyAlignment="1">
      <alignment horizontal="right" vertical="center" wrapText="1"/>
    </xf>
    <xf numFmtId="0" fontId="156" fillId="43" borderId="67" xfId="0" applyFont="1" applyFill="1" applyBorder="1" applyAlignment="1">
      <alignment horizontal="center" vertical="center" wrapText="1"/>
    </xf>
    <xf numFmtId="0" fontId="157" fillId="43" borderId="30" xfId="16" applyFont="1" applyFill="1" applyBorder="1" applyAlignment="1">
      <alignment horizontal="center" vertical="center"/>
    </xf>
    <xf numFmtId="0" fontId="157" fillId="43" borderId="86" xfId="16" applyFont="1" applyFill="1" applyBorder="1" applyAlignment="1">
      <alignment horizontal="center" vertical="center"/>
    </xf>
    <xf numFmtId="0" fontId="157" fillId="43" borderId="44" xfId="16" applyFont="1" applyFill="1" applyBorder="1" applyAlignment="1">
      <alignment horizontal="center" vertical="center"/>
    </xf>
    <xf numFmtId="0" fontId="157" fillId="43" borderId="31" xfId="16" applyFont="1" applyFill="1" applyBorder="1" applyAlignment="1">
      <alignment horizontal="center" vertical="center"/>
    </xf>
    <xf numFmtId="0" fontId="157" fillId="32" borderId="8" xfId="16" applyFont="1" applyFill="1" applyBorder="1" applyAlignment="1">
      <alignment horizontal="left" vertical="center" wrapText="1"/>
    </xf>
    <xf numFmtId="10" fontId="156" fillId="13" borderId="8" xfId="0" applyNumberFormat="1" applyFont="1" applyFill="1" applyBorder="1" applyAlignment="1">
      <alignment horizontal="center" vertical="center"/>
    </xf>
    <xf numFmtId="0" fontId="154" fillId="43" borderId="67" xfId="0" applyFont="1" applyFill="1" applyBorder="1" applyAlignment="1">
      <alignment horizontal="center" vertical="center" wrapText="1"/>
    </xf>
    <xf numFmtId="0" fontId="153" fillId="0" borderId="0" xfId="0" applyFont="1" applyAlignment="1">
      <alignment vertical="center"/>
    </xf>
    <xf numFmtId="0" fontId="153" fillId="32" borderId="70" xfId="0" applyFont="1" applyFill="1" applyBorder="1" applyAlignment="1">
      <alignment vertical="center"/>
    </xf>
    <xf numFmtId="10" fontId="153" fillId="13" borderId="70" xfId="0" applyNumberFormat="1" applyFont="1" applyFill="1" applyBorder="1" applyAlignment="1">
      <alignment vertical="center"/>
    </xf>
    <xf numFmtId="0" fontId="153" fillId="32" borderId="53" xfId="0" applyFont="1" applyFill="1" applyBorder="1" applyAlignment="1">
      <alignment vertical="center"/>
    </xf>
    <xf numFmtId="10" fontId="153" fillId="13" borderId="53" xfId="0" applyNumberFormat="1" applyFont="1" applyFill="1" applyBorder="1" applyAlignment="1">
      <alignment vertical="center"/>
    </xf>
    <xf numFmtId="10" fontId="153" fillId="0" borderId="0" xfId="0" applyNumberFormat="1" applyFont="1" applyAlignment="1">
      <alignment vertical="center"/>
    </xf>
    <xf numFmtId="10" fontId="155" fillId="0" borderId="0" xfId="0" applyNumberFormat="1" applyFont="1" applyAlignment="1">
      <alignment vertical="center"/>
    </xf>
    <xf numFmtId="10" fontId="153" fillId="13" borderId="53" xfId="10" applyNumberFormat="1" applyFont="1" applyFill="1" applyBorder="1" applyAlignment="1">
      <alignment vertical="center"/>
    </xf>
    <xf numFmtId="168" fontId="153" fillId="13" borderId="53" xfId="6" applyNumberFormat="1" applyFont="1" applyFill="1" applyBorder="1" applyAlignment="1">
      <alignment vertical="center"/>
    </xf>
    <xf numFmtId="168" fontId="153" fillId="13" borderId="53" xfId="1" applyNumberFormat="1" applyFont="1" applyFill="1" applyBorder="1" applyAlignment="1">
      <alignment vertical="center"/>
    </xf>
    <xf numFmtId="4" fontId="153" fillId="0" borderId="0" xfId="0" applyNumberFormat="1" applyFont="1" applyAlignment="1">
      <alignment vertical="center"/>
    </xf>
    <xf numFmtId="0" fontId="153" fillId="32" borderId="55" xfId="0" applyFont="1" applyFill="1" applyBorder="1" applyAlignment="1">
      <alignment vertical="center"/>
    </xf>
    <xf numFmtId="168" fontId="153" fillId="13" borderId="55" xfId="1" applyNumberFormat="1" applyFont="1" applyFill="1" applyBorder="1" applyAlignment="1">
      <alignment vertical="center"/>
    </xf>
    <xf numFmtId="44" fontId="153" fillId="13" borderId="53" xfId="6" applyNumberFormat="1" applyFont="1" applyFill="1" applyBorder="1" applyAlignment="1">
      <alignment horizontal="right" vertical="center"/>
    </xf>
    <xf numFmtId="0" fontId="156" fillId="32" borderId="53" xfId="0" applyFont="1" applyFill="1" applyBorder="1" applyAlignment="1">
      <alignment horizontal="right" vertical="center"/>
    </xf>
    <xf numFmtId="4" fontId="153" fillId="13" borderId="53" xfId="6" applyNumberFormat="1" applyFont="1" applyFill="1" applyBorder="1" applyAlignment="1">
      <alignment horizontal="right" vertical="center"/>
    </xf>
    <xf numFmtId="0" fontId="156" fillId="32" borderId="55" xfId="0" applyFont="1" applyFill="1" applyBorder="1" applyAlignment="1">
      <alignment horizontal="right" vertical="center"/>
    </xf>
    <xf numFmtId="3" fontId="153" fillId="13" borderId="55" xfId="6" applyNumberFormat="1" applyFont="1" applyFill="1" applyBorder="1" applyAlignment="1">
      <alignment horizontal="right" vertical="center"/>
    </xf>
    <xf numFmtId="0" fontId="153" fillId="0" borderId="9" xfId="0" applyFont="1" applyBorder="1" applyAlignment="1">
      <alignment horizontal="center" vertical="center"/>
    </xf>
    <xf numFmtId="0" fontId="153" fillId="0" borderId="36" xfId="0" applyFont="1" applyBorder="1" applyAlignment="1">
      <alignment horizontal="center" vertical="center"/>
    </xf>
    <xf numFmtId="10" fontId="153" fillId="0" borderId="36" xfId="10" applyNumberFormat="1" applyFont="1" applyBorder="1" applyAlignment="1">
      <alignment horizontal="center" vertical="center"/>
    </xf>
    <xf numFmtId="0" fontId="153" fillId="0" borderId="10" xfId="0" applyFont="1" applyBorder="1" applyAlignment="1">
      <alignment vertical="center"/>
    </xf>
    <xf numFmtId="0" fontId="153" fillId="0" borderId="11" xfId="0" applyFont="1" applyBorder="1" applyAlignment="1">
      <alignment horizontal="center" vertical="center"/>
    </xf>
    <xf numFmtId="10" fontId="153" fillId="0" borderId="1" xfId="10" applyNumberFormat="1" applyFont="1" applyBorder="1" applyAlignment="1">
      <alignment horizontal="center" vertical="center"/>
    </xf>
    <xf numFmtId="10" fontId="153" fillId="0" borderId="12" xfId="10" applyNumberFormat="1" applyFont="1" applyBorder="1" applyAlignment="1">
      <alignment horizontal="center" vertical="center"/>
    </xf>
    <xf numFmtId="0" fontId="153" fillId="0" borderId="14" xfId="0" applyFont="1" applyBorder="1" applyAlignment="1">
      <alignment horizontal="center" vertical="center"/>
    </xf>
    <xf numFmtId="10" fontId="153" fillId="0" borderId="39" xfId="10" applyNumberFormat="1" applyFont="1" applyBorder="1" applyAlignment="1">
      <alignment horizontal="center" vertical="center"/>
    </xf>
    <xf numFmtId="10" fontId="153" fillId="0" borderId="15" xfId="10" applyNumberFormat="1" applyFont="1" applyBorder="1" applyAlignment="1">
      <alignment horizontal="center" vertical="center"/>
    </xf>
    <xf numFmtId="0" fontId="153" fillId="0" borderId="27" xfId="0" applyFont="1" applyBorder="1" applyAlignment="1">
      <alignment horizontal="center" vertical="center"/>
    </xf>
    <xf numFmtId="10" fontId="153" fillId="0" borderId="27" xfId="10" applyNumberFormat="1" applyFont="1" applyBorder="1" applyAlignment="1">
      <alignment horizontal="center" vertical="center"/>
    </xf>
    <xf numFmtId="10" fontId="153" fillId="0" borderId="36" xfId="0" applyNumberFormat="1" applyFont="1" applyBorder="1" applyAlignment="1">
      <alignment vertical="center"/>
    </xf>
    <xf numFmtId="10" fontId="153" fillId="0" borderId="10" xfId="0" applyNumberFormat="1" applyFont="1" applyBorder="1" applyAlignment="1">
      <alignment vertical="center"/>
    </xf>
    <xf numFmtId="10" fontId="153" fillId="0" borderId="39" xfId="0" applyNumberFormat="1" applyFont="1" applyBorder="1" applyAlignment="1">
      <alignment vertical="center"/>
    </xf>
    <xf numFmtId="10" fontId="153" fillId="0" borderId="15" xfId="0" applyNumberFormat="1" applyFont="1" applyBorder="1" applyAlignment="1">
      <alignment vertical="center"/>
    </xf>
    <xf numFmtId="0" fontId="153" fillId="0" borderId="1" xfId="0" applyFont="1" applyBorder="1" applyAlignment="1">
      <alignment vertical="center"/>
    </xf>
    <xf numFmtId="10" fontId="153" fillId="0" borderId="1" xfId="0" applyNumberFormat="1" applyFont="1" applyBorder="1" applyAlignment="1">
      <alignment vertical="center"/>
    </xf>
    <xf numFmtId="41" fontId="157" fillId="13" borderId="62" xfId="17" applyNumberFormat="1" applyFont="1" applyFill="1" applyBorder="1" applyAlignment="1">
      <alignment horizontal="center" vertical="center"/>
    </xf>
    <xf numFmtId="41" fontId="157" fillId="13" borderId="87" xfId="17" applyNumberFormat="1" applyFont="1" applyFill="1" applyBorder="1" applyAlignment="1">
      <alignment horizontal="center" vertical="center"/>
    </xf>
    <xf numFmtId="41" fontId="157" fillId="13" borderId="88" xfId="17" applyNumberFormat="1" applyFont="1" applyFill="1" applyBorder="1" applyAlignment="1">
      <alignment horizontal="center" vertical="center"/>
    </xf>
    <xf numFmtId="41" fontId="157" fillId="13" borderId="89" xfId="17" applyNumberFormat="1" applyFont="1" applyFill="1" applyBorder="1" applyAlignment="1">
      <alignment horizontal="center" vertical="center"/>
    </xf>
    <xf numFmtId="0" fontId="147" fillId="0" borderId="0" xfId="0" applyFont="1" applyAlignment="1">
      <alignment vertical="center"/>
    </xf>
    <xf numFmtId="0" fontId="149" fillId="32" borderId="26" xfId="16" applyFont="1" applyFill="1" applyBorder="1" applyAlignment="1">
      <alignment horizontal="center" vertical="center" wrapText="1"/>
    </xf>
    <xf numFmtId="0" fontId="149" fillId="32" borderId="46" xfId="16" applyFont="1" applyFill="1" applyBorder="1" applyAlignment="1">
      <alignment horizontal="center" vertical="center" wrapText="1"/>
    </xf>
    <xf numFmtId="0" fontId="149" fillId="32" borderId="50" xfId="16" applyFont="1" applyFill="1" applyBorder="1" applyAlignment="1">
      <alignment horizontal="center" vertical="center" wrapText="1"/>
    </xf>
    <xf numFmtId="187" fontId="152" fillId="31" borderId="51" xfId="17" applyNumberFormat="1" applyFont="1" applyFill="1" applyBorder="1" applyAlignment="1">
      <alignment horizontal="center" vertical="center"/>
    </xf>
    <xf numFmtId="0" fontId="149" fillId="32" borderId="8" xfId="16" applyFont="1" applyFill="1" applyBorder="1" applyAlignment="1">
      <alignment horizontal="center" vertical="center" wrapText="1"/>
    </xf>
    <xf numFmtId="4" fontId="148" fillId="13" borderId="8" xfId="0" applyNumberFormat="1" applyFont="1" applyFill="1" applyBorder="1" applyAlignment="1">
      <alignment horizontal="center" vertical="center" wrapText="1"/>
    </xf>
    <xf numFmtId="4" fontId="148" fillId="12" borderId="8" xfId="0" applyNumberFormat="1" applyFont="1" applyFill="1" applyBorder="1" applyAlignment="1">
      <alignment horizontal="center" vertical="center" wrapText="1"/>
    </xf>
    <xf numFmtId="0" fontId="149" fillId="32" borderId="52" xfId="16" applyFont="1" applyFill="1" applyBorder="1" applyAlignment="1">
      <alignment horizontal="center" vertical="center" wrapText="1"/>
    </xf>
    <xf numFmtId="187" fontId="147" fillId="13" borderId="53" xfId="6" applyNumberFormat="1" applyFont="1" applyFill="1" applyBorder="1" applyAlignment="1">
      <alignment vertical="center"/>
    </xf>
    <xf numFmtId="42" fontId="152" fillId="31" borderId="51" xfId="17" applyNumberFormat="1" applyFont="1" applyFill="1" applyBorder="1" applyAlignment="1">
      <alignment horizontal="center" vertical="center"/>
    </xf>
    <xf numFmtId="187" fontId="152" fillId="31" borderId="53" xfId="17" applyNumberFormat="1" applyFont="1" applyFill="1" applyBorder="1" applyAlignment="1">
      <alignment horizontal="center" vertical="center"/>
    </xf>
    <xf numFmtId="42" fontId="147" fillId="13" borderId="53" xfId="6" applyFont="1" applyFill="1" applyBorder="1" applyAlignment="1">
      <alignment vertical="center"/>
    </xf>
    <xf numFmtId="42" fontId="152" fillId="31" borderId="53" xfId="17" applyNumberFormat="1" applyFont="1" applyFill="1" applyBorder="1" applyAlignment="1">
      <alignment horizontal="center" vertical="center"/>
    </xf>
    <xf numFmtId="187" fontId="147" fillId="13" borderId="53" xfId="6" applyNumberFormat="1" applyFont="1" applyFill="1" applyBorder="1" applyAlignment="1">
      <alignment horizontal="center" vertical="center"/>
    </xf>
    <xf numFmtId="10" fontId="147" fillId="13" borderId="53" xfId="10" applyNumberFormat="1" applyFont="1" applyFill="1" applyBorder="1" applyAlignment="1">
      <alignment vertical="center"/>
    </xf>
    <xf numFmtId="42" fontId="147" fillId="13" borderId="53" xfId="6" applyFont="1" applyFill="1" applyBorder="1" applyAlignment="1">
      <alignment horizontal="center" vertical="center"/>
    </xf>
    <xf numFmtId="3" fontId="152" fillId="31" borderId="53" xfId="17" applyNumberFormat="1" applyFont="1" applyFill="1" applyBorder="1" applyAlignment="1">
      <alignment vertical="center"/>
    </xf>
    <xf numFmtId="0" fontId="149" fillId="32" borderId="54" xfId="16" applyFont="1" applyFill="1" applyBorder="1" applyAlignment="1">
      <alignment horizontal="center" vertical="center" wrapText="1"/>
    </xf>
    <xf numFmtId="3" fontId="152" fillId="31" borderId="55" xfId="17" applyNumberFormat="1" applyFont="1" applyFill="1" applyBorder="1" applyAlignment="1">
      <alignment vertical="center"/>
    </xf>
    <xf numFmtId="177" fontId="149" fillId="13" borderId="56" xfId="6" applyNumberFormat="1" applyFont="1" applyFill="1" applyBorder="1" applyAlignment="1">
      <alignment horizontal="center" vertical="center" wrapText="1"/>
    </xf>
    <xf numFmtId="177" fontId="149" fillId="13" borderId="8" xfId="6" applyNumberFormat="1" applyFont="1" applyFill="1" applyBorder="1" applyAlignment="1">
      <alignment horizontal="center" vertical="center" wrapText="1"/>
    </xf>
    <xf numFmtId="9" fontId="147" fillId="0" borderId="0" xfId="2" applyFont="1" applyAlignment="1">
      <alignment vertical="center"/>
    </xf>
    <xf numFmtId="42" fontId="147" fillId="0" borderId="0" xfId="0" applyNumberFormat="1" applyFont="1" applyAlignment="1">
      <alignment vertical="center"/>
    </xf>
    <xf numFmtId="0" fontId="148" fillId="0" borderId="0" xfId="0" applyFont="1" applyAlignment="1">
      <alignment vertical="center"/>
    </xf>
    <xf numFmtId="0" fontId="161" fillId="0" borderId="21" xfId="0" applyFont="1" applyBorder="1"/>
    <xf numFmtId="4" fontId="161" fillId="0" borderId="21" xfId="0" applyNumberFormat="1" applyFont="1" applyBorder="1"/>
    <xf numFmtId="0" fontId="148" fillId="32" borderId="51" xfId="0" applyFont="1" applyFill="1" applyBorder="1" applyAlignment="1">
      <alignment horizontal="center" vertical="center" wrapText="1"/>
    </xf>
    <xf numFmtId="0" fontId="161" fillId="0" borderId="1" xfId="0" applyFont="1" applyBorder="1"/>
    <xf numFmtId="4" fontId="161" fillId="0" borderId="1" xfId="0" applyNumberFormat="1" applyFont="1" applyBorder="1"/>
    <xf numFmtId="0" fontId="148" fillId="32" borderId="55" xfId="0" applyFont="1" applyFill="1" applyBorder="1" applyAlignment="1">
      <alignment horizontal="center" vertical="center"/>
    </xf>
    <xf numFmtId="177" fontId="147" fillId="47" borderId="8" xfId="6" applyNumberFormat="1" applyFont="1" applyFill="1" applyBorder="1" applyAlignment="1">
      <alignment horizontal="center" vertical="center" wrapText="1"/>
    </xf>
    <xf numFmtId="3" fontId="147" fillId="0" borderId="0" xfId="0" applyNumberFormat="1" applyFont="1" applyAlignment="1">
      <alignment vertical="center"/>
    </xf>
    <xf numFmtId="0" fontId="161" fillId="0" borderId="0" xfId="0" applyFont="1"/>
    <xf numFmtId="4" fontId="147" fillId="0" borderId="0" xfId="0" applyNumberFormat="1" applyFont="1" applyAlignment="1">
      <alignment vertical="center"/>
    </xf>
    <xf numFmtId="0" fontId="148" fillId="0" borderId="0" xfId="0" applyFont="1" applyAlignment="1">
      <alignment horizontal="center" vertical="center"/>
    </xf>
    <xf numFmtId="0" fontId="148" fillId="0" borderId="0" xfId="0" applyFont="1" applyAlignment="1">
      <alignment horizontal="center" vertical="center" textRotation="255"/>
    </xf>
    <xf numFmtId="10" fontId="147" fillId="0" borderId="0" xfId="2" applyNumberFormat="1" applyFont="1" applyFill="1" applyBorder="1" applyAlignment="1">
      <alignment vertical="center"/>
    </xf>
    <xf numFmtId="0" fontId="147" fillId="0" borderId="0" xfId="0" applyFont="1" applyAlignment="1">
      <alignment vertical="center" textRotation="255"/>
    </xf>
    <xf numFmtId="0" fontId="147" fillId="0" borderId="0" xfId="0" applyFont="1" applyAlignment="1">
      <alignment horizontal="center" vertical="center"/>
    </xf>
    <xf numFmtId="184" fontId="163" fillId="0" borderId="0" xfId="0" applyNumberFormat="1" applyFont="1" applyAlignment="1">
      <alignment horizontal="right" vertical="center" wrapText="1"/>
    </xf>
    <xf numFmtId="166" fontId="147" fillId="0" borderId="0" xfId="0" applyNumberFormat="1" applyFont="1" applyAlignment="1">
      <alignment vertical="center"/>
    </xf>
    <xf numFmtId="187" fontId="147" fillId="0" borderId="0" xfId="1" applyNumberFormat="1" applyFont="1" applyFill="1" applyBorder="1" applyAlignment="1">
      <alignment vertical="center"/>
    </xf>
    <xf numFmtId="0" fontId="148" fillId="0" borderId="0" xfId="0" applyFont="1" applyAlignment="1">
      <alignment horizontal="center" vertical="center" wrapText="1"/>
    </xf>
    <xf numFmtId="0" fontId="148" fillId="0" borderId="0" xfId="0" applyFont="1" applyAlignment="1">
      <alignment horizontal="right" vertical="center"/>
    </xf>
    <xf numFmtId="177" fontId="147" fillId="0" borderId="0" xfId="6" applyNumberFormat="1" applyFont="1" applyFill="1" applyBorder="1" applyAlignment="1">
      <alignment horizontal="center" vertical="center" wrapText="1"/>
    </xf>
    <xf numFmtId="42" fontId="147" fillId="0" borderId="0" xfId="6" applyFont="1" applyFill="1" applyBorder="1" applyAlignment="1">
      <alignment horizontal="center" vertical="center" wrapText="1"/>
    </xf>
    <xf numFmtId="0" fontId="55" fillId="32" borderId="51" xfId="0" applyFont="1" applyFill="1" applyBorder="1" applyAlignment="1">
      <alignment horizontal="right" vertical="center" wrapText="1"/>
    </xf>
    <xf numFmtId="10" fontId="55" fillId="13" borderId="51" xfId="0" applyNumberFormat="1" applyFont="1" applyFill="1" applyBorder="1" applyAlignment="1">
      <alignment horizontal="center" vertical="center"/>
    </xf>
    <xf numFmtId="10" fontId="0" fillId="0" borderId="0" xfId="10" applyNumberFormat="1" applyFont="1"/>
    <xf numFmtId="0" fontId="55" fillId="32" borderId="55" xfId="0" applyFont="1" applyFill="1" applyBorder="1" applyAlignment="1">
      <alignment horizontal="right" vertical="center" wrapText="1"/>
    </xf>
    <xf numFmtId="10" fontId="55" fillId="13" borderId="55" xfId="0" applyNumberFormat="1" applyFont="1" applyFill="1" applyBorder="1" applyAlignment="1">
      <alignment horizontal="center" vertical="center"/>
    </xf>
    <xf numFmtId="3" fontId="0" fillId="0" borderId="0" xfId="0" applyNumberFormat="1" applyAlignment="1">
      <alignment horizontal="center" vertical="center"/>
    </xf>
    <xf numFmtId="0" fontId="3" fillId="34" borderId="8" xfId="0" applyFont="1" applyFill="1" applyBorder="1" applyAlignment="1">
      <alignment horizontal="center" vertical="center" wrapText="1"/>
    </xf>
    <xf numFmtId="0" fontId="3" fillId="34" borderId="30" xfId="0" applyFont="1" applyFill="1" applyBorder="1" applyAlignment="1">
      <alignment horizontal="center" vertical="center"/>
    </xf>
    <xf numFmtId="0" fontId="3" fillId="34" borderId="8" xfId="0" applyFont="1" applyFill="1" applyBorder="1" applyAlignment="1">
      <alignment horizontal="center" vertical="center"/>
    </xf>
    <xf numFmtId="0" fontId="0" fillId="3" borderId="32" xfId="0" applyFill="1" applyBorder="1"/>
    <xf numFmtId="0" fontId="3" fillId="33" borderId="50" xfId="0" applyFont="1" applyFill="1" applyBorder="1"/>
    <xf numFmtId="194" fontId="0" fillId="33" borderId="51" xfId="21" applyNumberFormat="1" applyFont="1" applyFill="1" applyBorder="1"/>
    <xf numFmtId="0" fontId="3" fillId="33" borderId="52" xfId="0" applyFont="1" applyFill="1" applyBorder="1"/>
    <xf numFmtId="194" fontId="0" fillId="33" borderId="53" xfId="21" applyNumberFormat="1" applyFont="1" applyFill="1" applyBorder="1"/>
    <xf numFmtId="4" fontId="0" fillId="33" borderId="53" xfId="21" applyNumberFormat="1" applyFont="1" applyFill="1" applyBorder="1"/>
    <xf numFmtId="4" fontId="6" fillId="33" borderId="53" xfId="0" applyNumberFormat="1" applyFont="1" applyFill="1" applyBorder="1"/>
    <xf numFmtId="0" fontId="3" fillId="33" borderId="80" xfId="0" applyFont="1" applyFill="1" applyBorder="1"/>
    <xf numFmtId="4" fontId="0" fillId="33" borderId="79" xfId="0" applyNumberFormat="1" applyFill="1" applyBorder="1"/>
    <xf numFmtId="4" fontId="0" fillId="33" borderId="51" xfId="0" applyNumberFormat="1" applyFill="1" applyBorder="1"/>
    <xf numFmtId="0" fontId="3" fillId="33" borderId="54" xfId="0" applyFont="1" applyFill="1" applyBorder="1"/>
    <xf numFmtId="4" fontId="0" fillId="33" borderId="55" xfId="0" applyNumberFormat="1" applyFill="1" applyBorder="1"/>
    <xf numFmtId="0" fontId="3" fillId="33" borderId="120" xfId="0" applyFont="1" applyFill="1" applyBorder="1"/>
    <xf numFmtId="194" fontId="0" fillId="33" borderId="70" xfId="21" applyNumberFormat="1" applyFont="1" applyFill="1" applyBorder="1"/>
    <xf numFmtId="10" fontId="0" fillId="33" borderId="55" xfId="10" applyNumberFormat="1" applyFont="1" applyFill="1" applyBorder="1"/>
    <xf numFmtId="3" fontId="0" fillId="33" borderId="53" xfId="0" applyNumberFormat="1" applyFill="1" applyBorder="1"/>
    <xf numFmtId="9" fontId="0" fillId="0" borderId="0" xfId="0" applyNumberFormat="1"/>
    <xf numFmtId="3" fontId="0" fillId="33" borderId="55" xfId="0" applyNumberFormat="1" applyFill="1" applyBorder="1"/>
    <xf numFmtId="3" fontId="7" fillId="34" borderId="30" xfId="0" applyNumberFormat="1" applyFont="1" applyFill="1" applyBorder="1" applyAlignment="1">
      <alignment horizontal="center" vertical="center" wrapText="1"/>
    </xf>
    <xf numFmtId="0" fontId="3" fillId="33" borderId="26" xfId="0" applyFont="1" applyFill="1" applyBorder="1" applyAlignment="1">
      <alignment horizontal="center" vertical="center" wrapText="1"/>
    </xf>
    <xf numFmtId="3" fontId="3" fillId="33" borderId="72" xfId="84" applyNumberFormat="1" applyFont="1" applyFill="1" applyBorder="1"/>
    <xf numFmtId="3" fontId="3" fillId="33" borderId="8" xfId="84" applyNumberFormat="1" applyFont="1" applyFill="1" applyBorder="1"/>
    <xf numFmtId="195" fontId="3" fillId="0" borderId="0" xfId="84" applyFont="1"/>
    <xf numFmtId="0" fontId="3" fillId="86" borderId="51" xfId="0" applyFont="1" applyFill="1" applyBorder="1" applyAlignment="1">
      <alignment vertical="center"/>
    </xf>
    <xf numFmtId="3" fontId="0" fillId="13" borderId="51" xfId="84" applyNumberFormat="1" applyFont="1" applyFill="1" applyBorder="1"/>
    <xf numFmtId="0" fontId="3" fillId="86" borderId="53" xfId="0" applyFont="1" applyFill="1" applyBorder="1" applyAlignment="1">
      <alignment vertical="center"/>
    </xf>
    <xf numFmtId="3" fontId="0" fillId="13" borderId="53" xfId="84" applyNumberFormat="1" applyFont="1" applyFill="1" applyBorder="1"/>
    <xf numFmtId="0" fontId="3" fillId="86" borderId="55" xfId="0" applyFont="1" applyFill="1" applyBorder="1" applyAlignment="1">
      <alignment vertical="center"/>
    </xf>
    <xf numFmtId="3" fontId="0" fillId="13" borderId="79" xfId="84" applyNumberFormat="1" applyFont="1" applyFill="1" applyBorder="1"/>
    <xf numFmtId="0" fontId="3" fillId="86" borderId="120" xfId="0" applyFont="1" applyFill="1" applyBorder="1" applyAlignment="1">
      <alignment vertical="center"/>
    </xf>
    <xf numFmtId="0" fontId="3" fillId="86" borderId="52" xfId="0" applyFont="1" applyFill="1" applyBorder="1" applyAlignment="1">
      <alignment vertical="center"/>
    </xf>
    <xf numFmtId="0" fontId="3" fillId="33" borderId="26" xfId="0" applyFont="1" applyFill="1" applyBorder="1" applyAlignment="1">
      <alignment horizontal="center" vertical="center"/>
    </xf>
    <xf numFmtId="3" fontId="3" fillId="33" borderId="46" xfId="84" applyNumberFormat="1" applyFont="1" applyFill="1" applyBorder="1"/>
    <xf numFmtId="3" fontId="3" fillId="13" borderId="51" xfId="84" applyNumberFormat="1" applyFont="1" applyFill="1" applyBorder="1"/>
    <xf numFmtId="0" fontId="0" fillId="86" borderId="70" xfId="0" applyFill="1" applyBorder="1" applyAlignment="1">
      <alignment vertical="center"/>
    </xf>
    <xf numFmtId="0" fontId="0" fillId="86" borderId="53" xfId="0" applyFill="1" applyBorder="1" applyAlignment="1">
      <alignment vertical="center"/>
    </xf>
    <xf numFmtId="43" fontId="0" fillId="0" borderId="0" xfId="21" applyFont="1"/>
    <xf numFmtId="0" fontId="3" fillId="86" borderId="56" xfId="0" applyFont="1" applyFill="1" applyBorder="1" applyAlignment="1">
      <alignment vertical="center"/>
    </xf>
    <xf numFmtId="3" fontId="0" fillId="13" borderId="56" xfId="84" applyNumberFormat="1" applyFont="1" applyFill="1" applyBorder="1"/>
    <xf numFmtId="0" fontId="3" fillId="86" borderId="8" xfId="0" applyFont="1" applyFill="1" applyBorder="1" applyAlignment="1">
      <alignment vertical="center"/>
    </xf>
    <xf numFmtId="3" fontId="0" fillId="13" borderId="70" xfId="84" applyNumberFormat="1" applyFont="1" applyFill="1" applyBorder="1"/>
    <xf numFmtId="0" fontId="3" fillId="33" borderId="68" xfId="0" applyFont="1" applyFill="1" applyBorder="1" applyAlignment="1">
      <alignment horizontal="center" vertical="center" wrapText="1"/>
    </xf>
    <xf numFmtId="10" fontId="3" fillId="0" borderId="0" xfId="10" applyNumberFormat="1" applyFont="1"/>
    <xf numFmtId="195" fontId="0" fillId="0" borderId="0" xfId="84" applyFont="1" applyBorder="1" applyAlignment="1">
      <alignment vertical="center"/>
    </xf>
    <xf numFmtId="195" fontId="3" fillId="34" borderId="8" xfId="84" applyFont="1" applyFill="1" applyBorder="1" applyAlignment="1">
      <alignment horizontal="center" vertical="center" wrapText="1"/>
    </xf>
    <xf numFmtId="4" fontId="3" fillId="33" borderId="72" xfId="84" applyNumberFormat="1" applyFont="1" applyFill="1" applyBorder="1"/>
    <xf numFmtId="4" fontId="3" fillId="33" borderId="46" xfId="84" applyNumberFormat="1" applyFont="1" applyFill="1" applyBorder="1"/>
    <xf numFmtId="0" fontId="165" fillId="3" borderId="0" xfId="0" applyFont="1" applyFill="1" applyAlignment="1">
      <alignment horizontal="center" vertical="center"/>
    </xf>
    <xf numFmtId="0" fontId="3" fillId="86" borderId="51" xfId="0" applyFont="1" applyFill="1" applyBorder="1" applyAlignment="1">
      <alignment horizontal="left" vertical="center"/>
    </xf>
    <xf numFmtId="4" fontId="0" fillId="13" borderId="9" xfId="84" applyNumberFormat="1" applyFont="1" applyFill="1" applyBorder="1"/>
    <xf numFmtId="4" fontId="0" fillId="13" borderId="51" xfId="84" applyNumberFormat="1" applyFont="1" applyFill="1" applyBorder="1"/>
    <xf numFmtId="0" fontId="3" fillId="86" borderId="53" xfId="0" applyFont="1" applyFill="1" applyBorder="1" applyAlignment="1">
      <alignment horizontal="left" vertical="center"/>
    </xf>
    <xf numFmtId="4" fontId="0" fillId="13" borderId="11" xfId="84" applyNumberFormat="1" applyFont="1" applyFill="1" applyBorder="1"/>
    <xf numFmtId="4" fontId="0" fillId="13" borderId="53" xfId="84" applyNumberFormat="1" applyFont="1" applyFill="1" applyBorder="1"/>
    <xf numFmtId="0" fontId="3" fillId="86" borderId="55" xfId="0" applyFont="1" applyFill="1" applyBorder="1" applyAlignment="1">
      <alignment horizontal="left" vertical="center"/>
    </xf>
    <xf numFmtId="4" fontId="6" fillId="13" borderId="14" xfId="84" applyNumberFormat="1" applyFont="1" applyFill="1" applyBorder="1"/>
    <xf numFmtId="195" fontId="3" fillId="34" borderId="46" xfId="84" applyFont="1" applyFill="1" applyBorder="1" applyAlignment="1">
      <alignment horizontal="center" vertical="center" wrapText="1"/>
    </xf>
    <xf numFmtId="0" fontId="3" fillId="33" borderId="51" xfId="0" applyFont="1" applyFill="1" applyBorder="1" applyAlignment="1">
      <alignment vertical="center" wrapText="1"/>
    </xf>
    <xf numFmtId="4" fontId="3" fillId="33" borderId="81" xfId="84" applyNumberFormat="1" applyFont="1" applyFill="1" applyBorder="1" applyAlignment="1">
      <alignment vertical="center"/>
    </xf>
    <xf numFmtId="4" fontId="3" fillId="33" borderId="9" xfId="84" applyNumberFormat="1" applyFont="1" applyFill="1" applyBorder="1" applyAlignment="1">
      <alignment vertical="center"/>
    </xf>
    <xf numFmtId="4" fontId="3" fillId="33" borderId="51" xfId="84" applyNumberFormat="1" applyFont="1" applyFill="1" applyBorder="1" applyAlignment="1">
      <alignment vertical="center"/>
    </xf>
    <xf numFmtId="4" fontId="3" fillId="27" borderId="27" xfId="84" applyNumberFormat="1" applyFont="1" applyFill="1" applyBorder="1" applyAlignment="1">
      <alignment horizontal="center"/>
    </xf>
    <xf numFmtId="195" fontId="3" fillId="27" borderId="28" xfId="84" applyFont="1" applyFill="1" applyBorder="1" applyAlignment="1">
      <alignment horizontal="center"/>
    </xf>
    <xf numFmtId="0" fontId="3" fillId="33" borderId="55" xfId="0" applyFont="1" applyFill="1" applyBorder="1" applyAlignment="1">
      <alignment vertical="center" wrapText="1"/>
    </xf>
    <xf numFmtId="4" fontId="3" fillId="33" borderId="18" xfId="84" applyNumberFormat="1" applyFont="1" applyFill="1" applyBorder="1" applyAlignment="1">
      <alignment vertical="center"/>
    </xf>
    <xf numFmtId="4" fontId="3" fillId="33" borderId="43" xfId="84" applyNumberFormat="1" applyFont="1" applyFill="1" applyBorder="1" applyAlignment="1">
      <alignment vertical="center"/>
    </xf>
    <xf numFmtId="4" fontId="3" fillId="33" borderId="79" xfId="84" applyNumberFormat="1" applyFont="1" applyFill="1" applyBorder="1" applyAlignment="1">
      <alignment vertical="center"/>
    </xf>
    <xf numFmtId="4" fontId="3" fillId="0" borderId="0" xfId="0" applyNumberFormat="1" applyFont="1"/>
    <xf numFmtId="0" fontId="3" fillId="33" borderId="54" xfId="0" applyFont="1" applyFill="1" applyBorder="1" applyAlignment="1">
      <alignment vertical="center" wrapText="1"/>
    </xf>
    <xf numFmtId="4" fontId="166" fillId="33" borderId="8" xfId="84" applyNumberFormat="1" applyFont="1" applyFill="1" applyBorder="1" applyAlignment="1">
      <alignment vertical="center"/>
    </xf>
    <xf numFmtId="0" fontId="3" fillId="33" borderId="68" xfId="0" applyFont="1" applyFill="1" applyBorder="1" applyAlignment="1">
      <alignment vertical="center" wrapText="1"/>
    </xf>
    <xf numFmtId="3" fontId="3" fillId="33" borderId="8" xfId="84" applyNumberFormat="1" applyFont="1" applyFill="1" applyBorder="1" applyAlignment="1">
      <alignment horizontal="center" vertical="center"/>
    </xf>
    <xf numFmtId="0" fontId="3" fillId="33" borderId="8" xfId="0" applyFont="1" applyFill="1" applyBorder="1" applyAlignment="1">
      <alignment vertical="center" wrapText="1"/>
    </xf>
    <xf numFmtId="10" fontId="3" fillId="13" borderId="71" xfId="10" applyNumberFormat="1" applyFont="1" applyFill="1" applyBorder="1" applyAlignment="1">
      <alignment vertical="center" wrapText="1"/>
    </xf>
    <xf numFmtId="4" fontId="3" fillId="13" borderId="8" xfId="84" applyNumberFormat="1" applyFont="1" applyFill="1" applyBorder="1" applyAlignment="1">
      <alignment vertical="center" wrapText="1"/>
    </xf>
    <xf numFmtId="3" fontId="1" fillId="13" borderId="9" xfId="84" applyNumberFormat="1" applyFont="1" applyFill="1" applyBorder="1"/>
    <xf numFmtId="4" fontId="1" fillId="13" borderId="9" xfId="84" applyNumberFormat="1" applyFont="1" applyFill="1" applyBorder="1"/>
    <xf numFmtId="4" fontId="1" fillId="13" borderId="51" xfId="84" applyNumberFormat="1" applyFont="1" applyFill="1" applyBorder="1"/>
    <xf numFmtId="3" fontId="1" fillId="13" borderId="14" xfId="84" applyNumberFormat="1" applyFont="1" applyFill="1" applyBorder="1"/>
    <xf numFmtId="4" fontId="1" fillId="13" borderId="14" xfId="84" applyNumberFormat="1" applyFont="1" applyFill="1" applyBorder="1"/>
    <xf numFmtId="4" fontId="1" fillId="13" borderId="55" xfId="84" applyNumberFormat="1" applyFont="1" applyFill="1" applyBorder="1"/>
    <xf numFmtId="4" fontId="1" fillId="13" borderId="56" xfId="84" applyNumberFormat="1" applyFont="1" applyFill="1" applyBorder="1" applyAlignment="1">
      <alignment vertical="center" wrapText="1"/>
    </xf>
    <xf numFmtId="4" fontId="3" fillId="13" borderId="56" xfId="84" applyNumberFormat="1" applyFont="1" applyFill="1" applyBorder="1" applyAlignment="1">
      <alignment vertical="center" wrapText="1"/>
    </xf>
    <xf numFmtId="0" fontId="3" fillId="34" borderId="72" xfId="0" applyFont="1" applyFill="1" applyBorder="1" applyAlignment="1">
      <alignment horizontal="center" vertical="center"/>
    </xf>
    <xf numFmtId="0" fontId="3" fillId="86" borderId="50" xfId="0" applyFont="1" applyFill="1" applyBorder="1" applyAlignment="1">
      <alignment horizontal="left" vertical="center"/>
    </xf>
    <xf numFmtId="0" fontId="3" fillId="86" borderId="52" xfId="0" applyFont="1" applyFill="1" applyBorder="1" applyAlignment="1">
      <alignment horizontal="left" vertical="center"/>
    </xf>
    <xf numFmtId="4" fontId="1" fillId="13" borderId="53" xfId="84" applyNumberFormat="1" applyFont="1" applyFill="1" applyBorder="1"/>
    <xf numFmtId="0" fontId="167" fillId="85" borderId="0" xfId="0" applyFont="1" applyFill="1" applyAlignment="1" applyProtection="1">
      <alignment horizontal="center" vertical="center"/>
      <protection locked="0"/>
    </xf>
    <xf numFmtId="44" fontId="55" fillId="0" borderId="0" xfId="1" applyFont="1" applyProtection="1">
      <protection locked="0"/>
    </xf>
    <xf numFmtId="0" fontId="72" fillId="3" borderId="0" xfId="0" applyFont="1" applyFill="1" applyAlignment="1" applyProtection="1">
      <alignment horizontal="center" vertical="center"/>
      <protection locked="0"/>
    </xf>
    <xf numFmtId="0" fontId="72" fillId="0" borderId="1" xfId="0" applyFont="1" applyBorder="1" applyAlignment="1" applyProtection="1">
      <alignment horizontal="center" vertical="center" wrapText="1"/>
      <protection locked="0"/>
    </xf>
    <xf numFmtId="177" fontId="72" fillId="0" borderId="1" xfId="0" applyNumberFormat="1" applyFont="1" applyBorder="1"/>
    <xf numFmtId="177" fontId="72" fillId="0" borderId="1" xfId="0" applyNumberFormat="1" applyFont="1" applyBorder="1" applyProtection="1">
      <protection locked="0"/>
    </xf>
    <xf numFmtId="3" fontId="55" fillId="0" borderId="0" xfId="0" applyNumberFormat="1" applyFont="1" applyProtection="1">
      <protection locked="0"/>
    </xf>
    <xf numFmtId="0" fontId="15" fillId="88" borderId="0" xfId="0" applyFont="1" applyFill="1" applyAlignment="1" applyProtection="1">
      <alignment horizontal="center"/>
      <protection locked="0"/>
    </xf>
    <xf numFmtId="0" fontId="19" fillId="42" borderId="0" xfId="0" applyFont="1" applyFill="1" applyAlignment="1" applyProtection="1">
      <alignment horizontal="center"/>
      <protection locked="0"/>
    </xf>
    <xf numFmtId="0" fontId="13" fillId="42" borderId="0" xfId="0" applyFont="1" applyFill="1" applyProtection="1">
      <protection locked="0"/>
    </xf>
    <xf numFmtId="183" fontId="13" fillId="42" borderId="0" xfId="0" applyNumberFormat="1" applyFont="1" applyFill="1" applyProtection="1">
      <protection locked="0"/>
    </xf>
    <xf numFmtId="0" fontId="19" fillId="42" borderId="1" xfId="0" applyFont="1" applyFill="1" applyBorder="1" applyAlignment="1" applyProtection="1">
      <alignment horizontal="center"/>
      <protection locked="0"/>
    </xf>
    <xf numFmtId="10" fontId="131" fillId="0" borderId="0" xfId="2" applyNumberFormat="1" applyFont="1" applyAlignment="1">
      <alignment horizontal="center" vertical="center"/>
    </xf>
    <xf numFmtId="3" fontId="19" fillId="0" borderId="0" xfId="10" applyNumberFormat="1" applyFont="1" applyFill="1" applyBorder="1" applyAlignment="1" applyProtection="1">
      <alignment horizontal="center" vertical="center"/>
    </xf>
    <xf numFmtId="1" fontId="16" fillId="3" borderId="0" xfId="0" applyNumberFormat="1" applyFont="1" applyFill="1" applyAlignment="1">
      <alignment horizontal="center" vertical="center"/>
    </xf>
    <xf numFmtId="3" fontId="16" fillId="3" borderId="0" xfId="10" applyNumberFormat="1" applyFont="1" applyFill="1" applyBorder="1" applyAlignment="1" applyProtection="1">
      <alignment horizontal="left" vertical="top"/>
      <protection locked="0"/>
    </xf>
    <xf numFmtId="3" fontId="19" fillId="0" borderId="0" xfId="10" applyNumberFormat="1" applyFont="1" applyFill="1" applyBorder="1" applyAlignment="1" applyProtection="1">
      <alignment horizontal="center" vertical="center"/>
      <protection locked="0"/>
    </xf>
    <xf numFmtId="164" fontId="19" fillId="0" borderId="0" xfId="13" applyNumberFormat="1" applyFont="1" applyFill="1" applyProtection="1">
      <protection locked="0"/>
    </xf>
    <xf numFmtId="0" fontId="55" fillId="0" borderId="1" xfId="0" applyFont="1" applyBorder="1" applyAlignment="1">
      <alignment horizontal="center" vertical="center"/>
    </xf>
    <xf numFmtId="0" fontId="41" fillId="0" borderId="21" xfId="0" applyFont="1" applyBorder="1" applyAlignment="1">
      <alignment vertical="center" wrapText="1"/>
    </xf>
    <xf numFmtId="0" fontId="41" fillId="0" borderId="21" xfId="0" applyFont="1" applyBorder="1" applyAlignment="1">
      <alignment horizontal="center" vertical="center"/>
    </xf>
    <xf numFmtId="0" fontId="41" fillId="0" borderId="21" xfId="0" applyFont="1" applyBorder="1" applyAlignment="1">
      <alignment horizontal="center" vertical="center" wrapText="1"/>
    </xf>
    <xf numFmtId="9" fontId="41" fillId="0" borderId="21" xfId="10" applyFont="1" applyFill="1" applyBorder="1" applyAlignment="1">
      <alignment horizontal="center" vertical="center" wrapText="1"/>
    </xf>
    <xf numFmtId="17" fontId="41" fillId="0" borderId="21" xfId="10" applyNumberFormat="1" applyFont="1" applyFill="1" applyBorder="1" applyAlignment="1">
      <alignment horizontal="center" vertical="center" wrapText="1"/>
    </xf>
    <xf numFmtId="188" fontId="41" fillId="0" borderId="21" xfId="13" applyNumberFormat="1" applyFont="1" applyFill="1" applyBorder="1" applyAlignment="1">
      <alignment horizontal="center" vertical="center"/>
    </xf>
    <xf numFmtId="0" fontId="41" fillId="0" borderId="1" xfId="0" applyFont="1" applyBorder="1" applyAlignment="1">
      <alignment vertical="center" wrapText="1"/>
    </xf>
    <xf numFmtId="0" fontId="41" fillId="0" borderId="1" xfId="0" applyFont="1" applyBorder="1" applyAlignment="1">
      <alignment horizontal="center" vertical="center" wrapText="1"/>
    </xf>
    <xf numFmtId="0" fontId="144" fillId="0" borderId="1" xfId="0" applyFont="1" applyBorder="1" applyAlignment="1">
      <alignment horizontal="left" vertical="center" wrapText="1" indent="3"/>
    </xf>
    <xf numFmtId="42" fontId="41" fillId="48" borderId="1" xfId="6" applyFont="1" applyFill="1" applyBorder="1" applyAlignment="1">
      <alignment horizontal="center" vertical="center"/>
    </xf>
    <xf numFmtId="17" fontId="41" fillId="48" borderId="21" xfId="10" applyNumberFormat="1" applyFont="1" applyFill="1" applyBorder="1" applyAlignment="1">
      <alignment horizontal="center" vertical="center" wrapText="1"/>
    </xf>
    <xf numFmtId="0" fontId="55" fillId="48" borderId="0" xfId="0" applyFont="1" applyFill="1"/>
    <xf numFmtId="0" fontId="6" fillId="12" borderId="1" xfId="0" applyFont="1" applyFill="1" applyBorder="1" applyAlignment="1">
      <alignment horizontal="center" vertical="center"/>
    </xf>
    <xf numFmtId="0" fontId="6" fillId="12" borderId="1" xfId="0" applyFont="1" applyFill="1" applyBorder="1" applyAlignment="1">
      <alignment vertical="center" wrapText="1"/>
    </xf>
    <xf numFmtId="44" fontId="6" fillId="12" borderId="1" xfId="1" applyFont="1" applyFill="1" applyBorder="1" applyAlignment="1">
      <alignment vertical="center"/>
    </xf>
    <xf numFmtId="10" fontId="6" fillId="12" borderId="1" xfId="10" applyNumberFormat="1" applyFont="1" applyFill="1" applyBorder="1" applyAlignment="1">
      <alignment horizontal="center" vertical="center"/>
    </xf>
    <xf numFmtId="2" fontId="6" fillId="12" borderId="1" xfId="1" applyNumberFormat="1" applyFont="1" applyFill="1" applyBorder="1" applyAlignment="1">
      <alignment horizontal="center" vertical="center"/>
    </xf>
    <xf numFmtId="0" fontId="6" fillId="12" borderId="0" xfId="0" applyFont="1" applyFill="1" applyAlignment="1">
      <alignment horizontal="center" vertical="center"/>
    </xf>
    <xf numFmtId="0" fontId="6" fillId="12" borderId="0" xfId="0" applyFont="1" applyFill="1"/>
    <xf numFmtId="44" fontId="6" fillId="12" borderId="0" xfId="0" applyNumberFormat="1" applyFont="1" applyFill="1" applyAlignment="1">
      <alignment horizontal="center" vertical="center"/>
    </xf>
    <xf numFmtId="44" fontId="55" fillId="0" borderId="0" xfId="0" applyNumberFormat="1" applyFont="1"/>
    <xf numFmtId="43" fontId="6" fillId="12" borderId="0" xfId="0" applyNumberFormat="1" applyFont="1" applyFill="1" applyAlignment="1">
      <alignment horizontal="center" vertical="center"/>
    </xf>
    <xf numFmtId="196" fontId="55" fillId="13" borderId="39" xfId="0" applyNumberFormat="1" applyFont="1" applyFill="1" applyBorder="1" applyAlignment="1">
      <alignment vertical="center"/>
    </xf>
    <xf numFmtId="0" fontId="160" fillId="3" borderId="0" xfId="0" applyFont="1" applyFill="1" applyAlignment="1">
      <alignment horizontal="center" vertical="center"/>
    </xf>
    <xf numFmtId="3" fontId="160" fillId="0" borderId="0" xfId="0" applyNumberFormat="1" applyFont="1" applyAlignment="1">
      <alignment horizontal="center" vertical="center"/>
    </xf>
    <xf numFmtId="6" fontId="55" fillId="13" borderId="73" xfId="6" applyNumberFormat="1" applyFont="1" applyFill="1" applyBorder="1" applyAlignment="1">
      <alignment vertical="center"/>
    </xf>
    <xf numFmtId="6" fontId="55" fillId="13" borderId="74" xfId="6" applyNumberFormat="1" applyFont="1" applyFill="1" applyBorder="1" applyAlignment="1">
      <alignment vertical="center"/>
    </xf>
    <xf numFmtId="6" fontId="72" fillId="13" borderId="74" xfId="6" applyNumberFormat="1" applyFont="1" applyFill="1" applyBorder="1" applyAlignment="1">
      <alignment vertical="center"/>
    </xf>
    <xf numFmtId="6" fontId="55" fillId="13" borderId="75" xfId="6" applyNumberFormat="1" applyFont="1" applyFill="1" applyBorder="1" applyAlignment="1">
      <alignment vertical="center"/>
    </xf>
    <xf numFmtId="6" fontId="72" fillId="13" borderId="33" xfId="6" applyNumberFormat="1" applyFont="1" applyFill="1" applyBorder="1" applyAlignment="1">
      <alignment vertical="center"/>
    </xf>
    <xf numFmtId="3" fontId="6" fillId="0" borderId="0" xfId="0" applyNumberFormat="1" applyFont="1"/>
    <xf numFmtId="164" fontId="168" fillId="10" borderId="0" xfId="10" applyNumberFormat="1" applyFont="1" applyFill="1" applyAlignment="1" applyProtection="1">
      <alignment horizontal="center" vertical="center" wrapText="1"/>
    </xf>
    <xf numFmtId="169" fontId="0" fillId="39" borderId="0" xfId="0" applyNumberFormat="1" applyFill="1" applyProtection="1">
      <protection locked="0"/>
    </xf>
    <xf numFmtId="4" fontId="0" fillId="33" borderId="51" xfId="21" applyNumberFormat="1" applyFont="1" applyFill="1" applyBorder="1"/>
    <xf numFmtId="3" fontId="55" fillId="48" borderId="11" xfId="0" applyNumberFormat="1" applyFont="1" applyFill="1" applyBorder="1" applyAlignment="1">
      <alignment vertical="center" wrapText="1"/>
    </xf>
    <xf numFmtId="3" fontId="55" fillId="48" borderId="1" xfId="0" applyNumberFormat="1" applyFont="1" applyFill="1" applyBorder="1" applyAlignment="1">
      <alignment vertical="center" wrapText="1"/>
    </xf>
    <xf numFmtId="3" fontId="55" fillId="48" borderId="12" xfId="0" applyNumberFormat="1" applyFont="1" applyFill="1" applyBorder="1" applyAlignment="1">
      <alignment vertical="center" wrapText="1"/>
    </xf>
    <xf numFmtId="6" fontId="55" fillId="13" borderId="81" xfId="6" applyNumberFormat="1" applyFont="1" applyFill="1" applyBorder="1" applyAlignment="1">
      <alignment vertical="center"/>
    </xf>
    <xf numFmtId="6" fontId="55" fillId="13" borderId="4" xfId="6" applyNumberFormat="1" applyFont="1" applyFill="1" applyBorder="1" applyAlignment="1">
      <alignment vertical="center"/>
    </xf>
    <xf numFmtId="6" fontId="72" fillId="13" borderId="4" xfId="6" applyNumberFormat="1" applyFont="1" applyFill="1" applyBorder="1" applyAlignment="1">
      <alignment vertical="center"/>
    </xf>
    <xf numFmtId="6" fontId="55" fillId="13" borderId="38" xfId="6" applyNumberFormat="1" applyFont="1" applyFill="1" applyBorder="1" applyAlignment="1">
      <alignment vertical="center"/>
    </xf>
    <xf numFmtId="6" fontId="0" fillId="0" borderId="0" xfId="0" applyNumberFormat="1"/>
    <xf numFmtId="192" fontId="55" fillId="0" borderId="0" xfId="0" applyNumberFormat="1" applyFont="1"/>
    <xf numFmtId="0" fontId="72" fillId="32" borderId="28" xfId="0" applyFont="1" applyFill="1" applyBorder="1" applyAlignment="1">
      <alignment horizontal="center" vertical="center"/>
    </xf>
    <xf numFmtId="0" fontId="72" fillId="32" borderId="30" xfId="0" applyFont="1" applyFill="1" applyBorder="1" applyAlignment="1">
      <alignment horizontal="center" vertical="center"/>
    </xf>
    <xf numFmtId="0" fontId="72" fillId="32" borderId="86" xfId="0" applyFont="1" applyFill="1" applyBorder="1" applyAlignment="1">
      <alignment horizontal="center" vertical="center"/>
    </xf>
    <xf numFmtId="6" fontId="55" fillId="0" borderId="0" xfId="0" applyNumberFormat="1" applyFont="1" applyProtection="1">
      <protection locked="0"/>
    </xf>
    <xf numFmtId="0" fontId="16" fillId="0" borderId="0" xfId="0" applyFont="1" applyProtection="1">
      <protection locked="0"/>
    </xf>
    <xf numFmtId="167" fontId="12" fillId="0" borderId="0" xfId="0" applyNumberFormat="1" applyFont="1" applyProtection="1">
      <protection locked="0"/>
    </xf>
    <xf numFmtId="3" fontId="12" fillId="0" borderId="0" xfId="0" applyNumberFormat="1" applyFont="1" applyAlignment="1">
      <alignment horizontal="center" vertical="center"/>
    </xf>
    <xf numFmtId="3" fontId="12" fillId="11" borderId="0" xfId="0" applyNumberFormat="1" applyFont="1" applyFill="1" applyAlignment="1">
      <alignment horizontal="center" vertical="center"/>
    </xf>
    <xf numFmtId="10" fontId="16" fillId="0" borderId="0" xfId="10" applyNumberFormat="1" applyFont="1" applyFill="1" applyBorder="1" applyAlignment="1" applyProtection="1">
      <alignment horizontal="center" vertical="center"/>
    </xf>
    <xf numFmtId="10" fontId="16" fillId="14" borderId="0" xfId="2" applyNumberFormat="1" applyFont="1" applyFill="1" applyAlignment="1" applyProtection="1">
      <alignment horizontal="center" vertical="center"/>
      <protection locked="0"/>
    </xf>
    <xf numFmtId="2" fontId="20" fillId="11" borderId="0" xfId="2" applyNumberFormat="1" applyFont="1" applyFill="1" applyBorder="1" applyAlignment="1" applyProtection="1">
      <alignment horizontal="center" vertical="center"/>
      <protection locked="0"/>
    </xf>
    <xf numFmtId="0" fontId="12" fillId="11" borderId="0" xfId="0" applyFont="1" applyFill="1" applyProtection="1">
      <protection locked="0"/>
    </xf>
    <xf numFmtId="9" fontId="12" fillId="3" borderId="0" xfId="2" applyFont="1" applyFill="1" applyAlignment="1" applyProtection="1">
      <alignment horizontal="center" vertical="center"/>
      <protection locked="0"/>
    </xf>
    <xf numFmtId="3" fontId="20" fillId="0" borderId="0" xfId="10" applyNumberFormat="1" applyFont="1" applyFill="1" applyBorder="1" applyAlignment="1" applyProtection="1">
      <alignment horizontal="center" vertical="center"/>
    </xf>
    <xf numFmtId="3" fontId="16" fillId="11" borderId="0" xfId="10" applyNumberFormat="1" applyFont="1" applyFill="1" applyBorder="1" applyAlignment="1" applyProtection="1">
      <alignment horizontal="center" vertical="center"/>
    </xf>
    <xf numFmtId="0" fontId="13" fillId="10" borderId="7" xfId="0" applyFont="1" applyFill="1" applyBorder="1" applyAlignment="1" applyProtection="1">
      <alignment horizontal="center" vertical="center"/>
      <protection locked="0"/>
    </xf>
    <xf numFmtId="0" fontId="32" fillId="82" borderId="7" xfId="0" applyFont="1" applyFill="1" applyBorder="1" applyAlignment="1" applyProtection="1">
      <alignment horizontal="center" vertical="center"/>
      <protection locked="0"/>
    </xf>
    <xf numFmtId="0" fontId="20" fillId="50" borderId="0" xfId="0" applyFont="1" applyFill="1" applyAlignment="1" applyProtection="1">
      <alignment horizontal="left" vertical="center"/>
      <protection locked="0"/>
    </xf>
    <xf numFmtId="10" fontId="12" fillId="0" borderId="0" xfId="0" applyNumberFormat="1" applyFont="1" applyAlignment="1" applyProtection="1">
      <alignment horizontal="center" vertical="center"/>
      <protection locked="0"/>
    </xf>
    <xf numFmtId="0" fontId="13" fillId="0" borderId="0" xfId="0" applyFont="1" applyAlignment="1" applyProtection="1">
      <alignment horizontal="left"/>
      <protection locked="0"/>
    </xf>
    <xf numFmtId="44" fontId="12" fillId="3" borderId="0" xfId="22" applyFont="1" applyFill="1" applyAlignment="1" applyProtection="1">
      <alignment horizontal="center"/>
      <protection locked="0"/>
    </xf>
    <xf numFmtId="10" fontId="12" fillId="0" borderId="0" xfId="10" applyNumberFormat="1" applyFont="1" applyFill="1" applyAlignment="1" applyProtection="1">
      <alignment horizontal="center" vertical="center"/>
      <protection locked="0"/>
    </xf>
    <xf numFmtId="10" fontId="170" fillId="0" borderId="0" xfId="10" applyNumberFormat="1" applyFont="1" applyFill="1" applyAlignment="1" applyProtection="1">
      <alignment horizontal="center" vertical="center"/>
    </xf>
    <xf numFmtId="10" fontId="20" fillId="27" borderId="0" xfId="10" applyNumberFormat="1" applyFont="1" applyFill="1" applyAlignment="1" applyProtection="1">
      <alignment horizontal="center" vertical="center"/>
    </xf>
    <xf numFmtId="0" fontId="12" fillId="0" borderId="0" xfId="0" applyFont="1" applyAlignment="1" applyProtection="1">
      <alignment horizontal="left"/>
      <protection locked="0"/>
    </xf>
    <xf numFmtId="0" fontId="13" fillId="3" borderId="0" xfId="0" applyFont="1" applyFill="1" applyAlignment="1" applyProtection="1">
      <alignment horizontal="left"/>
      <protection locked="0"/>
    </xf>
    <xf numFmtId="189" fontId="171" fillId="0" borderId="0" xfId="0" applyNumberFormat="1" applyFont="1" applyAlignment="1">
      <alignment horizontal="center" vertical="center"/>
    </xf>
    <xf numFmtId="0" fontId="12" fillId="3" borderId="0" xfId="0" applyFont="1" applyFill="1" applyAlignment="1" applyProtection="1">
      <alignment horizontal="left"/>
      <protection locked="0"/>
    </xf>
    <xf numFmtId="10" fontId="12" fillId="0" borderId="0" xfId="0" applyNumberFormat="1" applyFont="1" applyAlignment="1">
      <alignment horizontal="center" vertical="center"/>
    </xf>
    <xf numFmtId="0" fontId="32" fillId="87" borderId="0" xfId="0" applyFont="1" applyFill="1" applyAlignment="1" applyProtection="1">
      <alignment horizontal="left"/>
      <protection locked="0"/>
    </xf>
    <xf numFmtId="44" fontId="12" fillId="0" borderId="0" xfId="22" applyFont="1" applyFill="1" applyAlignment="1" applyProtection="1">
      <alignment horizontal="center" vertical="center"/>
      <protection locked="0"/>
    </xf>
    <xf numFmtId="44" fontId="12" fillId="3" borderId="0" xfId="22" applyFont="1" applyFill="1" applyProtection="1">
      <protection locked="0"/>
    </xf>
    <xf numFmtId="44" fontId="12" fillId="3" borderId="0" xfId="22" applyFont="1" applyFill="1" applyAlignment="1" applyProtection="1">
      <alignment horizontal="center" vertical="center"/>
      <protection locked="0"/>
    </xf>
    <xf numFmtId="9" fontId="12" fillId="3" borderId="0" xfId="0" applyNumberFormat="1" applyFont="1" applyFill="1" applyAlignment="1" applyProtection="1">
      <alignment horizontal="center" vertical="center"/>
      <protection locked="0"/>
    </xf>
    <xf numFmtId="0" fontId="16" fillId="0" borderId="0" xfId="0" applyFont="1" applyAlignment="1">
      <alignment horizontal="left" vertical="center" indent="1"/>
    </xf>
    <xf numFmtId="0" fontId="20" fillId="3" borderId="0" xfId="0" applyFont="1" applyFill="1" applyProtection="1">
      <protection locked="0"/>
    </xf>
    <xf numFmtId="0" fontId="20" fillId="0" borderId="0" xfId="0" applyFont="1" applyAlignment="1">
      <alignment horizontal="left" vertical="center" indent="1"/>
    </xf>
    <xf numFmtId="0" fontId="20" fillId="3" borderId="0" xfId="0" applyFont="1" applyFill="1" applyAlignment="1" applyProtection="1">
      <alignment horizontal="center" vertical="center"/>
      <protection locked="0"/>
    </xf>
    <xf numFmtId="3" fontId="20" fillId="11" borderId="0" xfId="20" applyNumberFormat="1" applyFont="1" applyFill="1" applyBorder="1" applyAlignment="1" applyProtection="1">
      <alignment horizontal="center" vertical="center"/>
      <protection locked="0"/>
    </xf>
    <xf numFmtId="3" fontId="20" fillId="0" borderId="0" xfId="20" applyNumberFormat="1" applyFont="1" applyFill="1" applyBorder="1" applyAlignment="1" applyProtection="1">
      <alignment horizontal="center" vertical="center"/>
      <protection locked="0"/>
    </xf>
    <xf numFmtId="0" fontId="20" fillId="0" borderId="0" xfId="0" applyFont="1" applyProtection="1">
      <protection locked="0"/>
    </xf>
    <xf numFmtId="0" fontId="20" fillId="3" borderId="0" xfId="0" applyFont="1" applyFill="1" applyAlignment="1" applyProtection="1">
      <alignment horizontal="center"/>
      <protection locked="0"/>
    </xf>
    <xf numFmtId="3" fontId="16" fillId="11" borderId="0" xfId="20" applyNumberFormat="1" applyFont="1" applyFill="1" applyBorder="1" applyAlignment="1" applyProtection="1">
      <alignment horizontal="center" vertical="center"/>
    </xf>
    <xf numFmtId="0" fontId="16" fillId="3" borderId="0" xfId="0" applyFont="1" applyFill="1" applyAlignment="1" applyProtection="1">
      <alignment horizontal="center"/>
      <protection locked="0"/>
    </xf>
    <xf numFmtId="3" fontId="16" fillId="11" borderId="0" xfId="10" applyNumberFormat="1" applyFont="1" applyFill="1" applyAlignment="1" applyProtection="1">
      <alignment horizontal="center" vertical="center"/>
      <protection locked="0"/>
    </xf>
    <xf numFmtId="10" fontId="16" fillId="11" borderId="0" xfId="10" applyNumberFormat="1" applyFont="1" applyFill="1" applyAlignment="1" applyProtection="1">
      <alignment horizontal="center" vertical="center"/>
      <protection locked="0"/>
    </xf>
    <xf numFmtId="0" fontId="16" fillId="3" borderId="0" xfId="0" applyFont="1" applyFill="1" applyAlignment="1" applyProtection="1">
      <alignment horizontal="left" vertical="center" indent="1"/>
      <protection locked="0"/>
    </xf>
    <xf numFmtId="10" fontId="15" fillId="0" borderId="0" xfId="10" applyNumberFormat="1" applyFont="1" applyFill="1" applyBorder="1" applyAlignment="1" applyProtection="1">
      <alignment horizontal="center" vertical="center"/>
      <protection locked="0"/>
    </xf>
    <xf numFmtId="164" fontId="16" fillId="3" borderId="0" xfId="10" applyNumberFormat="1" applyFont="1" applyFill="1" applyAlignment="1" applyProtection="1">
      <alignment horizontal="center" vertical="center"/>
      <protection locked="0"/>
    </xf>
    <xf numFmtId="10" fontId="16" fillId="3" borderId="0" xfId="10" applyNumberFormat="1" applyFont="1" applyFill="1" applyBorder="1" applyAlignment="1" applyProtection="1">
      <alignment horizontal="center" vertical="center"/>
    </xf>
    <xf numFmtId="10" fontId="15" fillId="11" borderId="0" xfId="10" applyNumberFormat="1" applyFont="1" applyFill="1" applyBorder="1" applyAlignment="1" applyProtection="1">
      <alignment horizontal="center" vertical="center"/>
    </xf>
    <xf numFmtId="10" fontId="15" fillId="11" borderId="0" xfId="10" applyNumberFormat="1" applyFont="1" applyFill="1" applyAlignment="1" applyProtection="1">
      <alignment horizontal="center" vertical="center"/>
    </xf>
    <xf numFmtId="0" fontId="20" fillId="3" borderId="0" xfId="0" applyFont="1" applyFill="1" applyAlignment="1" applyProtection="1">
      <alignment horizontal="left" vertical="center" indent="1"/>
      <protection locked="0"/>
    </xf>
    <xf numFmtId="10" fontId="16" fillId="11" borderId="0" xfId="10" applyNumberFormat="1" applyFont="1" applyFill="1" applyBorder="1" applyAlignment="1" applyProtection="1">
      <alignment horizontal="center" vertical="center"/>
      <protection locked="0"/>
    </xf>
    <xf numFmtId="10" fontId="16" fillId="0" borderId="0" xfId="10" applyNumberFormat="1" applyFont="1" applyFill="1" applyBorder="1" applyAlignment="1" applyProtection="1">
      <alignment horizontal="center" vertical="center"/>
      <protection locked="0"/>
    </xf>
    <xf numFmtId="44" fontId="13" fillId="27" borderId="0" xfId="22" applyFont="1" applyFill="1" applyAlignment="1" applyProtection="1">
      <alignment horizontal="center" vertical="center"/>
      <protection locked="0"/>
    </xf>
    <xf numFmtId="0" fontId="20" fillId="3" borderId="0" xfId="20" applyNumberFormat="1" applyFont="1" applyFill="1" applyBorder="1" applyAlignment="1" applyProtection="1">
      <alignment horizontal="center" vertical="center"/>
      <protection locked="0"/>
    </xf>
    <xf numFmtId="167" fontId="13" fillId="0" borderId="0" xfId="21" applyNumberFormat="1" applyFont="1" applyFill="1" applyBorder="1" applyAlignment="1" applyProtection="1">
      <alignment horizontal="left"/>
      <protection locked="0"/>
    </xf>
    <xf numFmtId="0" fontId="20" fillId="11" borderId="0" xfId="0" applyFont="1" applyFill="1" applyAlignment="1" applyProtection="1">
      <alignment horizontal="center" vertical="center"/>
      <protection locked="0"/>
    </xf>
    <xf numFmtId="3" fontId="16" fillId="11" borderId="0" xfId="20" applyNumberFormat="1" applyFont="1" applyFill="1" applyBorder="1" applyAlignment="1" applyProtection="1">
      <alignment horizontal="center" vertical="center"/>
      <protection locked="0"/>
    </xf>
    <xf numFmtId="164" fontId="12" fillId="0" borderId="0" xfId="10" applyNumberFormat="1" applyFont="1" applyFill="1" applyAlignment="1" applyProtection="1">
      <alignment horizontal="center" vertical="center"/>
    </xf>
    <xf numFmtId="165" fontId="12" fillId="3" borderId="0" xfId="10" applyNumberFormat="1" applyFont="1" applyFill="1" applyAlignment="1" applyProtection="1">
      <alignment horizontal="center" vertical="center"/>
      <protection locked="0"/>
    </xf>
    <xf numFmtId="3" fontId="12" fillId="0" borderId="0" xfId="13" applyNumberFormat="1" applyFont="1" applyFill="1" applyAlignment="1" applyProtection="1">
      <alignment horizontal="center" vertical="center"/>
    </xf>
    <xf numFmtId="3" fontId="12" fillId="11" borderId="0" xfId="13" applyNumberFormat="1" applyFont="1" applyFill="1" applyAlignment="1" applyProtection="1">
      <alignment horizontal="center" vertical="center"/>
    </xf>
    <xf numFmtId="0" fontId="12" fillId="3" borderId="0" xfId="0" applyFont="1" applyFill="1" applyAlignment="1">
      <alignment horizontal="left" vertical="center" indent="1"/>
    </xf>
    <xf numFmtId="3" fontId="12" fillId="0" borderId="0" xfId="13" applyNumberFormat="1" applyFont="1" applyFill="1" applyBorder="1" applyAlignment="1" applyProtection="1">
      <alignment horizontal="center" vertical="center"/>
    </xf>
    <xf numFmtId="164" fontId="12" fillId="3" borderId="0" xfId="10" applyNumberFormat="1" applyFont="1" applyFill="1" applyAlignment="1" applyProtection="1">
      <alignment horizontal="center" vertical="center"/>
    </xf>
    <xf numFmtId="4" fontId="12" fillId="3" borderId="0" xfId="13" applyNumberFormat="1" applyFont="1" applyFill="1" applyAlignment="1" applyProtection="1">
      <alignment horizontal="center" vertical="center"/>
    </xf>
    <xf numFmtId="41" fontId="12" fillId="3" borderId="0" xfId="13" applyFont="1" applyFill="1" applyAlignment="1" applyProtection="1">
      <alignment horizontal="center" vertical="center"/>
    </xf>
    <xf numFmtId="3" fontId="20" fillId="0" borderId="0" xfId="10" applyNumberFormat="1" applyFont="1" applyFill="1" applyAlignment="1" applyProtection="1">
      <alignment horizontal="center" vertical="center"/>
    </xf>
    <xf numFmtId="164" fontId="12" fillId="3" borderId="0" xfId="10" applyNumberFormat="1" applyFont="1" applyFill="1" applyAlignment="1" applyProtection="1">
      <alignment horizontal="center" vertical="center"/>
      <protection locked="0"/>
    </xf>
    <xf numFmtId="0" fontId="20" fillId="3" borderId="0" xfId="0" applyFont="1" applyFill="1" applyAlignment="1" applyProtection="1">
      <alignment horizontal="left" vertical="center"/>
      <protection locked="0"/>
    </xf>
    <xf numFmtId="3" fontId="20" fillId="27" borderId="0" xfId="10" applyNumberFormat="1" applyFont="1" applyFill="1" applyAlignment="1" applyProtection="1">
      <alignment horizontal="center" vertical="center"/>
    </xf>
    <xf numFmtId="10" fontId="21" fillId="0" borderId="0" xfId="10" applyNumberFormat="1" applyFont="1" applyFill="1" applyBorder="1" applyAlignment="1" applyProtection="1">
      <alignment horizontal="center" vertical="center"/>
      <protection locked="0"/>
    </xf>
    <xf numFmtId="3" fontId="172" fillId="3" borderId="0" xfId="20" applyNumberFormat="1" applyFont="1" applyFill="1" applyBorder="1" applyAlignment="1" applyProtection="1">
      <alignment horizontal="center" vertical="center"/>
      <protection locked="0"/>
    </xf>
    <xf numFmtId="10" fontId="20" fillId="0" borderId="0" xfId="10" applyNumberFormat="1" applyFont="1" applyFill="1" applyAlignment="1" applyProtection="1">
      <alignment horizontal="center" vertical="center"/>
    </xf>
    <xf numFmtId="0" fontId="13" fillId="0" borderId="0" xfId="0" applyFont="1" applyProtection="1">
      <protection locked="0"/>
    </xf>
    <xf numFmtId="3" fontId="16" fillId="11" borderId="0" xfId="0" applyNumberFormat="1" applyFont="1" applyFill="1" applyAlignment="1">
      <alignment horizontal="center" vertical="center"/>
    </xf>
    <xf numFmtId="3" fontId="16" fillId="0" borderId="0" xfId="0" applyNumberFormat="1" applyFont="1" applyAlignment="1">
      <alignment horizontal="center" vertical="center"/>
    </xf>
    <xf numFmtId="10" fontId="16" fillId="3" borderId="0" xfId="2" applyNumberFormat="1" applyFont="1" applyFill="1" applyBorder="1" applyAlignment="1" applyProtection="1">
      <alignment horizontal="center" vertical="center"/>
      <protection locked="0"/>
    </xf>
    <xf numFmtId="10" fontId="16" fillId="11" borderId="0" xfId="2" applyNumberFormat="1" applyFont="1" applyFill="1" applyBorder="1" applyAlignment="1" applyProtection="1">
      <alignment horizontal="center" vertical="center"/>
      <protection locked="0"/>
    </xf>
    <xf numFmtId="3" fontId="12" fillId="11" borderId="0" xfId="0" applyNumberFormat="1" applyFont="1" applyFill="1" applyAlignment="1" applyProtection="1">
      <alignment horizontal="center" vertical="center"/>
      <protection locked="0"/>
    </xf>
    <xf numFmtId="3" fontId="21" fillId="0" borderId="0" xfId="20" applyNumberFormat="1" applyFont="1" applyFill="1" applyBorder="1" applyAlignment="1" applyProtection="1">
      <alignment horizontal="center" vertical="center"/>
      <protection locked="0"/>
    </xf>
    <xf numFmtId="4" fontId="16" fillId="11" borderId="0" xfId="20" applyNumberFormat="1" applyFont="1" applyFill="1" applyBorder="1" applyAlignment="1" applyProtection="1">
      <alignment horizontal="center" vertical="center"/>
    </xf>
    <xf numFmtId="4" fontId="16" fillId="0" borderId="0" xfId="20" applyNumberFormat="1" applyFont="1" applyFill="1" applyBorder="1" applyAlignment="1" applyProtection="1">
      <alignment horizontal="center" vertical="center"/>
    </xf>
    <xf numFmtId="4" fontId="12" fillId="11" borderId="0" xfId="0" applyNumberFormat="1" applyFont="1" applyFill="1" applyAlignment="1">
      <alignment horizontal="center" vertical="center"/>
    </xf>
    <xf numFmtId="1" fontId="20" fillId="11" borderId="0" xfId="2" applyNumberFormat="1" applyFont="1" applyFill="1" applyBorder="1" applyAlignment="1" applyProtection="1">
      <alignment horizontal="center" vertical="center"/>
      <protection locked="0"/>
    </xf>
    <xf numFmtId="0" fontId="12" fillId="0" borderId="0" xfId="0" applyFont="1"/>
    <xf numFmtId="3" fontId="15" fillId="11" borderId="0" xfId="20" applyNumberFormat="1" applyFont="1" applyFill="1" applyBorder="1" applyAlignment="1" applyProtection="1">
      <alignment horizontal="center" vertical="center"/>
      <protection locked="0"/>
    </xf>
    <xf numFmtId="3" fontId="19" fillId="11" borderId="0" xfId="20" applyNumberFormat="1" applyFont="1" applyFill="1" applyBorder="1" applyAlignment="1" applyProtection="1">
      <alignment horizontal="center" vertical="center"/>
      <protection locked="0"/>
    </xf>
    <xf numFmtId="3" fontId="15" fillId="0" borderId="0" xfId="20" applyNumberFormat="1" applyFont="1" applyFill="1" applyBorder="1" applyAlignment="1" applyProtection="1">
      <alignment horizontal="center" vertical="center"/>
      <protection locked="0"/>
    </xf>
    <xf numFmtId="3" fontId="19" fillId="0" borderId="0" xfId="0" applyNumberFormat="1" applyFont="1" applyAlignment="1">
      <alignment horizontal="center" vertical="center"/>
    </xf>
    <xf numFmtId="0" fontId="20" fillId="50" borderId="0" xfId="0" applyFont="1" applyFill="1" applyAlignment="1">
      <alignment horizontal="left" vertical="center"/>
    </xf>
    <xf numFmtId="167" fontId="13" fillId="0" borderId="0" xfId="21" applyNumberFormat="1" applyFont="1" applyFill="1" applyBorder="1" applyAlignment="1" applyProtection="1">
      <alignment horizontal="left"/>
    </xf>
    <xf numFmtId="2" fontId="20" fillId="27" borderId="0" xfId="10" applyNumberFormat="1" applyFont="1" applyFill="1" applyAlignment="1" applyProtection="1">
      <alignment horizontal="center" vertical="center"/>
    </xf>
    <xf numFmtId="2" fontId="12" fillId="3" borderId="0" xfId="21" applyNumberFormat="1" applyFont="1" applyFill="1" applyAlignment="1" applyProtection="1">
      <alignment horizontal="center" vertical="center"/>
    </xf>
    <xf numFmtId="2" fontId="12" fillId="3" borderId="0" xfId="0" applyNumberFormat="1" applyFont="1" applyFill="1" applyAlignment="1">
      <alignment horizontal="center" vertical="center"/>
    </xf>
    <xf numFmtId="4" fontId="16" fillId="0" borderId="0" xfId="20" applyNumberFormat="1" applyFont="1" applyFill="1" applyBorder="1" applyAlignment="1" applyProtection="1">
      <alignment horizontal="center" vertical="center"/>
      <protection locked="0"/>
    </xf>
    <xf numFmtId="0" fontId="12" fillId="0" borderId="0" xfId="0" applyFont="1" applyAlignment="1">
      <alignment horizontal="left" vertical="center" indent="1"/>
    </xf>
    <xf numFmtId="0" fontId="173" fillId="0" borderId="0" xfId="0" applyFont="1" applyAlignment="1">
      <alignment horizontal="left" vertical="center" indent="1"/>
    </xf>
    <xf numFmtId="0" fontId="32" fillId="43" borderId="0" xfId="0" applyFont="1" applyFill="1" applyAlignment="1" applyProtection="1">
      <alignment horizontal="center" vertical="center"/>
      <protection locked="0"/>
    </xf>
    <xf numFmtId="3" fontId="13" fillId="0" borderId="0" xfId="0" applyNumberFormat="1" applyFont="1" applyAlignment="1" applyProtection="1">
      <alignment horizontal="center" vertical="center" wrapText="1"/>
      <protection locked="0"/>
    </xf>
    <xf numFmtId="167" fontId="12" fillId="3" borderId="0" xfId="21" applyNumberFormat="1" applyFont="1" applyFill="1" applyBorder="1" applyAlignment="1" applyProtection="1">
      <alignment horizontal="left" vertical="center"/>
    </xf>
    <xf numFmtId="0" fontId="15" fillId="3" borderId="5" xfId="20" applyNumberFormat="1" applyFont="1" applyFill="1" applyBorder="1" applyAlignment="1" applyProtection="1">
      <alignment horizontal="center" vertical="center"/>
      <protection locked="0"/>
    </xf>
    <xf numFmtId="8" fontId="12" fillId="3" borderId="0" xfId="0" applyNumberFormat="1" applyFont="1" applyFill="1" applyAlignment="1" applyProtection="1">
      <alignment horizontal="center" vertical="center"/>
      <protection locked="0"/>
    </xf>
    <xf numFmtId="3" fontId="12" fillId="3" borderId="0" xfId="13" applyNumberFormat="1" applyFont="1" applyFill="1" applyAlignment="1" applyProtection="1">
      <alignment horizontal="center" vertical="center"/>
    </xf>
    <xf numFmtId="167" fontId="12" fillId="3" borderId="0" xfId="21" applyNumberFormat="1" applyFont="1" applyFill="1" applyBorder="1" applyAlignment="1" applyProtection="1">
      <alignment horizontal="left" vertical="center" wrapText="1"/>
    </xf>
    <xf numFmtId="3" fontId="20" fillId="3" borderId="0" xfId="0" applyNumberFormat="1" applyFont="1" applyFill="1" applyAlignment="1" applyProtection="1">
      <alignment horizontal="left"/>
      <protection locked="0"/>
    </xf>
    <xf numFmtId="177" fontId="12" fillId="3" borderId="0" xfId="6" applyNumberFormat="1" applyFont="1" applyFill="1" applyProtection="1">
      <protection locked="0"/>
    </xf>
    <xf numFmtId="177" fontId="16" fillId="33" borderId="0" xfId="6" applyNumberFormat="1" applyFont="1" applyFill="1" applyBorder="1" applyAlignment="1" applyProtection="1">
      <alignment horizontal="center" vertical="center"/>
    </xf>
    <xf numFmtId="9" fontId="12" fillId="3" borderId="0" xfId="10" applyFont="1" applyFill="1" applyProtection="1">
      <protection locked="0"/>
    </xf>
    <xf numFmtId="177" fontId="12" fillId="0" borderId="0" xfId="0" applyNumberFormat="1" applyFont="1" applyAlignment="1">
      <alignment horizontal="center" vertical="center"/>
    </xf>
    <xf numFmtId="0" fontId="13" fillId="77" borderId="1" xfId="0" applyFont="1" applyFill="1" applyBorder="1" applyAlignment="1" applyProtection="1">
      <alignment horizontal="center" vertical="center" wrapText="1"/>
      <protection locked="0"/>
    </xf>
    <xf numFmtId="0" fontId="13" fillId="36" borderId="0" xfId="0" applyFont="1" applyFill="1" applyAlignment="1" applyProtection="1">
      <alignment horizontal="center" vertical="center" wrapText="1"/>
      <protection locked="0"/>
    </xf>
    <xf numFmtId="0" fontId="12" fillId="0" borderId="1" xfId="0" applyFont="1" applyBorder="1" applyAlignment="1" applyProtection="1">
      <alignment horizontal="center"/>
      <protection locked="0"/>
    </xf>
    <xf numFmtId="2" fontId="12" fillId="11" borderId="1" xfId="0" applyNumberFormat="1" applyFont="1" applyFill="1" applyBorder="1" applyAlignment="1" applyProtection="1">
      <alignment horizontal="center"/>
      <protection locked="0"/>
    </xf>
    <xf numFmtId="3" fontId="12" fillId="11" borderId="1" xfId="0" applyNumberFormat="1" applyFont="1" applyFill="1" applyBorder="1" applyAlignment="1" applyProtection="1">
      <alignment horizontal="center"/>
      <protection locked="0"/>
    </xf>
    <xf numFmtId="2" fontId="12" fillId="0" borderId="1" xfId="0" applyNumberFormat="1" applyFont="1" applyBorder="1" applyAlignment="1" applyProtection="1">
      <alignment horizontal="center"/>
      <protection locked="0"/>
    </xf>
    <xf numFmtId="1" fontId="12" fillId="0" borderId="1" xfId="0" applyNumberFormat="1" applyFont="1" applyBorder="1" applyAlignment="1" applyProtection="1">
      <alignment horizontal="center"/>
      <protection locked="0"/>
    </xf>
    <xf numFmtId="0" fontId="12" fillId="3" borderId="1" xfId="0" applyFont="1" applyFill="1" applyBorder="1" applyAlignment="1" applyProtection="1">
      <alignment horizontal="left"/>
      <protection locked="0"/>
    </xf>
    <xf numFmtId="2" fontId="12" fillId="3" borderId="1" xfId="10" applyNumberFormat="1" applyFont="1" applyFill="1" applyBorder="1" applyAlignment="1" applyProtection="1">
      <alignment horizontal="center" vertical="center"/>
    </xf>
    <xf numFmtId="2" fontId="12" fillId="3" borderId="0" xfId="10" applyNumberFormat="1" applyFont="1" applyFill="1" applyBorder="1" applyAlignment="1" applyProtection="1">
      <alignment horizontal="center" vertical="center"/>
      <protection locked="0"/>
    </xf>
    <xf numFmtId="2" fontId="12" fillId="0" borderId="1" xfId="10" applyNumberFormat="1" applyFont="1" applyFill="1" applyBorder="1" applyAlignment="1" applyProtection="1">
      <alignment horizontal="center" vertical="center"/>
    </xf>
    <xf numFmtId="0" fontId="13" fillId="3" borderId="0" xfId="0" applyFont="1" applyFill="1" applyAlignment="1" applyProtection="1">
      <alignment horizontal="left" vertical="center"/>
      <protection locked="0"/>
    </xf>
    <xf numFmtId="3" fontId="20" fillId="27" borderId="0" xfId="10" applyNumberFormat="1" applyFont="1" applyFill="1" applyAlignment="1" applyProtection="1">
      <alignment horizontal="center" vertical="center" wrapText="1"/>
    </xf>
    <xf numFmtId="2" fontId="16" fillId="3" borderId="0" xfId="0" applyNumberFormat="1" applyFont="1" applyFill="1" applyAlignment="1">
      <alignment horizontal="center" vertical="center"/>
    </xf>
    <xf numFmtId="10" fontId="20" fillId="11" borderId="0" xfId="10" applyNumberFormat="1" applyFont="1" applyFill="1" applyBorder="1" applyAlignment="1" applyProtection="1">
      <alignment horizontal="center" vertical="center"/>
      <protection locked="0"/>
    </xf>
    <xf numFmtId="10" fontId="12" fillId="0" borderId="0" xfId="10" applyNumberFormat="1" applyFont="1" applyFill="1" applyAlignment="1" applyProtection="1">
      <alignment horizontal="center" vertical="center"/>
    </xf>
    <xf numFmtId="3" fontId="20" fillId="0" borderId="0" xfId="10" applyNumberFormat="1" applyFont="1" applyFill="1" applyAlignment="1" applyProtection="1">
      <alignment horizontal="center" vertical="center" wrapText="1"/>
    </xf>
    <xf numFmtId="3" fontId="16" fillId="0" borderId="0" xfId="20" applyNumberFormat="1" applyFont="1" applyFill="1" applyBorder="1" applyAlignment="1" applyProtection="1">
      <alignment horizontal="center" vertical="center"/>
    </xf>
    <xf numFmtId="164" fontId="13" fillId="11" borderId="0" xfId="0" applyNumberFormat="1" applyFont="1" applyFill="1" applyAlignment="1" applyProtection="1">
      <alignment horizontal="center" vertical="center"/>
      <protection locked="0"/>
    </xf>
    <xf numFmtId="10" fontId="12" fillId="3" borderId="0" xfId="0" applyNumberFormat="1" applyFont="1" applyFill="1" applyAlignment="1" applyProtection="1">
      <alignment horizontal="center" vertical="center"/>
      <protection locked="0"/>
    </xf>
    <xf numFmtId="9" fontId="12" fillId="0" borderId="0" xfId="0" applyNumberFormat="1" applyFont="1" applyAlignment="1" applyProtection="1">
      <alignment horizontal="left" vertical="top"/>
      <protection locked="0"/>
    </xf>
    <xf numFmtId="0" fontId="12" fillId="2" borderId="0" xfId="0" applyFont="1" applyFill="1" applyAlignment="1" applyProtection="1">
      <alignment horizontal="center" vertical="center"/>
      <protection locked="0"/>
    </xf>
    <xf numFmtId="3" fontId="20" fillId="50" borderId="0" xfId="0" applyNumberFormat="1" applyFont="1" applyFill="1" applyAlignment="1" applyProtection="1">
      <alignment horizontal="center" vertical="center"/>
      <protection locked="0"/>
    </xf>
    <xf numFmtId="10" fontId="12" fillId="0" borderId="0" xfId="2" applyNumberFormat="1" applyFont="1" applyFill="1" applyAlignment="1" applyProtection="1">
      <alignment horizontal="center" vertical="center"/>
      <protection locked="0"/>
    </xf>
    <xf numFmtId="164" fontId="12" fillId="0" borderId="0" xfId="0" applyNumberFormat="1" applyFont="1" applyAlignment="1">
      <alignment horizontal="center" vertical="center"/>
    </xf>
    <xf numFmtId="10" fontId="20" fillId="0" borderId="0" xfId="10" applyNumberFormat="1" applyFont="1" applyFill="1" applyBorder="1" applyAlignment="1" applyProtection="1">
      <alignment horizontal="center" vertical="center"/>
      <protection locked="0"/>
    </xf>
    <xf numFmtId="0" fontId="12" fillId="3" borderId="0" xfId="0" applyFont="1" applyFill="1" applyAlignment="1" applyProtection="1">
      <alignment horizontal="center" vertical="center" wrapText="1"/>
      <protection locked="0"/>
    </xf>
    <xf numFmtId="0" fontId="12" fillId="3" borderId="0" xfId="0" applyFont="1" applyFill="1" applyAlignment="1" applyProtection="1">
      <alignment horizontal="left" vertical="center" wrapText="1"/>
      <protection locked="0"/>
    </xf>
    <xf numFmtId="2" fontId="20" fillId="11" borderId="0" xfId="10" applyNumberFormat="1" applyFont="1" applyFill="1" applyBorder="1" applyAlignment="1" applyProtection="1">
      <alignment horizontal="center" vertical="center"/>
      <protection locked="0"/>
    </xf>
    <xf numFmtId="10" fontId="21" fillId="3" borderId="0" xfId="10" applyNumberFormat="1" applyFont="1" applyFill="1" applyBorder="1" applyAlignment="1" applyProtection="1">
      <alignment horizontal="left" vertical="center"/>
      <protection locked="0"/>
    </xf>
    <xf numFmtId="9" fontId="12" fillId="3" borderId="0" xfId="0" applyNumberFormat="1" applyFont="1" applyFill="1" applyAlignment="1" applyProtection="1">
      <alignment horizontal="left" vertical="center"/>
      <protection locked="0"/>
    </xf>
    <xf numFmtId="0" fontId="32" fillId="43" borderId="0" xfId="0" applyFont="1" applyFill="1" applyAlignment="1" applyProtection="1">
      <alignment vertical="center"/>
      <protection locked="0"/>
    </xf>
    <xf numFmtId="184" fontId="32" fillId="43" borderId="0" xfId="20" applyNumberFormat="1" applyFont="1" applyFill="1" applyBorder="1" applyAlignment="1" applyProtection="1">
      <alignment vertical="center"/>
      <protection locked="0"/>
    </xf>
    <xf numFmtId="184" fontId="32" fillId="43" borderId="7" xfId="20" applyNumberFormat="1" applyFont="1" applyFill="1" applyBorder="1" applyAlignment="1" applyProtection="1">
      <alignment vertical="center"/>
      <protection locked="0"/>
    </xf>
    <xf numFmtId="0" fontId="32" fillId="43" borderId="7" xfId="21" applyNumberFormat="1" applyFont="1" applyFill="1" applyBorder="1" applyAlignment="1" applyProtection="1">
      <alignment horizontal="center" vertical="center"/>
      <protection locked="0"/>
    </xf>
    <xf numFmtId="0" fontId="32" fillId="43" borderId="7" xfId="21" applyNumberFormat="1" applyFont="1" applyFill="1" applyBorder="1" applyAlignment="1" applyProtection="1">
      <alignment horizontal="center" vertical="center"/>
    </xf>
    <xf numFmtId="0" fontId="32" fillId="3" borderId="0" xfId="0" applyFont="1" applyFill="1" applyAlignment="1" applyProtection="1">
      <alignment vertical="center"/>
      <protection locked="0"/>
    </xf>
    <xf numFmtId="41" fontId="13" fillId="3" borderId="0" xfId="13" applyFont="1" applyFill="1" applyAlignment="1" applyProtection="1">
      <alignment vertical="center"/>
      <protection locked="0"/>
    </xf>
    <xf numFmtId="41" fontId="13" fillId="3" borderId="0" xfId="13" applyFont="1" applyFill="1" applyAlignment="1" applyProtection="1">
      <alignment horizontal="center" vertical="center"/>
      <protection locked="0"/>
    </xf>
    <xf numFmtId="41" fontId="13" fillId="3" borderId="0" xfId="13" applyFont="1" applyFill="1" applyAlignment="1" applyProtection="1">
      <alignment horizontal="center" vertical="center"/>
    </xf>
    <xf numFmtId="0" fontId="13" fillId="3" borderId="0" xfId="0" applyFont="1" applyFill="1" applyAlignment="1" applyProtection="1">
      <alignment vertical="center"/>
      <protection locked="0"/>
    </xf>
    <xf numFmtId="0" fontId="13" fillId="3" borderId="0" xfId="0" applyFont="1" applyFill="1" applyAlignment="1" applyProtection="1">
      <alignment horizontal="center" vertical="center"/>
      <protection locked="0"/>
    </xf>
    <xf numFmtId="10" fontId="13" fillId="0" borderId="0" xfId="10" applyNumberFormat="1" applyFont="1" applyFill="1" applyAlignment="1" applyProtection="1">
      <alignment horizontal="right" vertical="center"/>
    </xf>
    <xf numFmtId="10" fontId="13" fillId="3" borderId="0" xfId="10" applyNumberFormat="1" applyFont="1" applyFill="1" applyAlignment="1" applyProtection="1">
      <alignment horizontal="right" vertical="center"/>
    </xf>
    <xf numFmtId="42" fontId="13" fillId="3" borderId="0" xfId="6" applyFont="1" applyFill="1" applyAlignment="1" applyProtection="1">
      <alignment horizontal="center" vertical="center"/>
    </xf>
    <xf numFmtId="42" fontId="12" fillId="0" borderId="0" xfId="0" applyNumberFormat="1" applyFont="1" applyAlignment="1">
      <alignment vertical="center"/>
    </xf>
    <xf numFmtId="8" fontId="13" fillId="33" borderId="0" xfId="6" applyNumberFormat="1" applyFont="1" applyFill="1" applyAlignment="1" applyProtection="1">
      <alignment vertical="center"/>
    </xf>
    <xf numFmtId="42" fontId="13" fillId="3" borderId="0" xfId="6" applyFont="1" applyFill="1" applyAlignment="1" applyProtection="1">
      <alignment horizontal="center" vertical="center"/>
      <protection locked="0"/>
    </xf>
    <xf numFmtId="2" fontId="13" fillId="7" borderId="0" xfId="0" applyNumberFormat="1" applyFont="1" applyFill="1" applyAlignment="1">
      <alignment horizontal="center" vertical="center"/>
    </xf>
    <xf numFmtId="3" fontId="13" fillId="3" borderId="0" xfId="0" applyNumberFormat="1" applyFont="1" applyFill="1" applyProtection="1">
      <protection locked="0"/>
    </xf>
    <xf numFmtId="0" fontId="12" fillId="43" borderId="0" xfId="0" applyFont="1" applyFill="1" applyProtection="1">
      <protection locked="0"/>
    </xf>
    <xf numFmtId="42" fontId="20" fillId="3" borderId="0" xfId="6" applyFont="1" applyFill="1" applyBorder="1" applyAlignment="1" applyProtection="1">
      <alignment horizontal="center" vertical="center"/>
    </xf>
    <xf numFmtId="0" fontId="20" fillId="3" borderId="0" xfId="0" applyFont="1" applyFill="1" applyAlignment="1" applyProtection="1">
      <alignment vertical="center"/>
      <protection locked="0"/>
    </xf>
    <xf numFmtId="44" fontId="13" fillId="3" borderId="0" xfId="0" applyNumberFormat="1" applyFont="1" applyFill="1" applyAlignment="1" applyProtection="1">
      <alignment horizontal="center" vertical="center"/>
      <protection locked="0"/>
    </xf>
    <xf numFmtId="8" fontId="13" fillId="3" borderId="0" xfId="0" applyNumberFormat="1" applyFont="1" applyFill="1" applyAlignment="1" applyProtection="1">
      <alignment vertical="center"/>
      <protection locked="0"/>
    </xf>
    <xf numFmtId="184" fontId="32" fillId="38" borderId="7" xfId="20" applyNumberFormat="1" applyFont="1" applyFill="1" applyBorder="1" applyAlignment="1" applyProtection="1">
      <alignment vertical="center" wrapText="1"/>
      <protection locked="0"/>
    </xf>
    <xf numFmtId="184" fontId="32" fillId="38" borderId="7" xfId="20" applyNumberFormat="1" applyFont="1" applyFill="1" applyBorder="1" applyAlignment="1" applyProtection="1">
      <alignment vertical="center"/>
      <protection locked="0"/>
    </xf>
    <xf numFmtId="0" fontId="32" fillId="38" borderId="7" xfId="21" applyNumberFormat="1" applyFont="1" applyFill="1" applyBorder="1" applyAlignment="1" applyProtection="1">
      <alignment horizontal="center" vertical="center"/>
      <protection locked="0"/>
    </xf>
    <xf numFmtId="0" fontId="32" fillId="38" borderId="7" xfId="21" applyNumberFormat="1" applyFont="1" applyFill="1" applyBorder="1" applyAlignment="1" applyProtection="1">
      <alignment horizontal="center" vertical="center"/>
    </xf>
    <xf numFmtId="0" fontId="12" fillId="38" borderId="0" xfId="0" applyFont="1" applyFill="1" applyProtection="1">
      <protection locked="0"/>
    </xf>
    <xf numFmtId="0" fontId="32" fillId="38" borderId="0" xfId="0" applyFont="1" applyFill="1" applyAlignment="1" applyProtection="1">
      <alignment vertical="center"/>
      <protection locked="0"/>
    </xf>
    <xf numFmtId="187" fontId="13" fillId="3" borderId="0" xfId="0" applyNumberFormat="1" applyFont="1" applyFill="1" applyAlignment="1">
      <alignment horizontal="center" vertical="center"/>
    </xf>
    <xf numFmtId="168" fontId="13" fillId="3" borderId="0" xfId="0" applyNumberFormat="1" applyFont="1" applyFill="1" applyAlignment="1" applyProtection="1">
      <alignment horizontal="center" vertical="center"/>
      <protection locked="0"/>
    </xf>
    <xf numFmtId="187" fontId="12" fillId="0" borderId="0" xfId="0" applyNumberFormat="1" applyFont="1" applyAlignment="1">
      <alignment vertical="center"/>
    </xf>
    <xf numFmtId="1" fontId="13" fillId="3" borderId="0" xfId="0" applyNumberFormat="1" applyFont="1" applyFill="1" applyAlignment="1" applyProtection="1">
      <alignment vertical="center"/>
      <protection locked="0"/>
    </xf>
    <xf numFmtId="177" fontId="13" fillId="3" borderId="0" xfId="6" applyNumberFormat="1" applyFont="1" applyFill="1" applyAlignment="1" applyProtection="1">
      <alignment horizontal="center" vertical="center"/>
      <protection locked="0"/>
    </xf>
    <xf numFmtId="42" fontId="20" fillId="3" borderId="0" xfId="6" applyFont="1" applyFill="1" applyAlignment="1" applyProtection="1">
      <alignment horizontal="center" vertical="center"/>
    </xf>
    <xf numFmtId="0" fontId="20" fillId="3" borderId="0" xfId="0" applyFont="1" applyFill="1" applyAlignment="1" applyProtection="1">
      <alignment vertical="center" wrapText="1"/>
      <protection locked="0"/>
    </xf>
    <xf numFmtId="42" fontId="20" fillId="3" borderId="0" xfId="0" applyNumberFormat="1" applyFont="1" applyFill="1" applyAlignment="1">
      <alignment horizontal="center" vertical="center"/>
    </xf>
    <xf numFmtId="0" fontId="13" fillId="3" borderId="0" xfId="0" applyFont="1" applyFill="1" applyAlignment="1" applyProtection="1">
      <alignment vertical="center" wrapText="1"/>
      <protection locked="0"/>
    </xf>
    <xf numFmtId="8" fontId="20" fillId="33" borderId="0" xfId="6" applyNumberFormat="1" applyFont="1" applyFill="1" applyAlignment="1" applyProtection="1">
      <alignment vertical="center"/>
    </xf>
    <xf numFmtId="44" fontId="20" fillId="3" borderId="0" xfId="0" applyNumberFormat="1" applyFont="1" applyFill="1" applyAlignment="1" applyProtection="1">
      <alignment horizontal="center" vertical="center"/>
      <protection locked="0"/>
    </xf>
    <xf numFmtId="1" fontId="20" fillId="3" borderId="0" xfId="0" applyNumberFormat="1" applyFont="1" applyFill="1" applyAlignment="1" applyProtection="1">
      <alignment vertical="center"/>
      <protection locked="0"/>
    </xf>
    <xf numFmtId="2" fontId="13" fillId="83" borderId="0" xfId="0" applyNumberFormat="1" applyFont="1" applyFill="1" applyAlignment="1">
      <alignment horizontal="center" vertical="center"/>
    </xf>
    <xf numFmtId="42" fontId="13" fillId="0" borderId="0" xfId="6" applyFont="1" applyFill="1" applyAlignment="1" applyProtection="1">
      <alignment horizontal="center" vertical="center"/>
    </xf>
    <xf numFmtId="44" fontId="13" fillId="3" borderId="0" xfId="0" applyNumberFormat="1" applyFont="1" applyFill="1" applyAlignment="1">
      <alignment horizontal="center" vertical="center"/>
    </xf>
    <xf numFmtId="44" fontId="12" fillId="0" borderId="0" xfId="0" applyNumberFormat="1" applyFont="1"/>
    <xf numFmtId="43" fontId="13" fillId="3" borderId="0" xfId="0" applyNumberFormat="1" applyFont="1" applyFill="1" applyAlignment="1" applyProtection="1">
      <alignment horizontal="center" vertical="center"/>
      <protection locked="0"/>
    </xf>
    <xf numFmtId="41" fontId="13" fillId="3" borderId="0" xfId="0" applyNumberFormat="1" applyFont="1" applyFill="1" applyAlignment="1" applyProtection="1">
      <alignment horizontal="center" vertical="center"/>
      <protection locked="0"/>
    </xf>
    <xf numFmtId="42" fontId="13" fillId="0" borderId="0" xfId="0" applyNumberFormat="1" applyFont="1" applyAlignment="1" applyProtection="1">
      <alignment horizontal="center" vertical="center"/>
      <protection locked="0"/>
    </xf>
    <xf numFmtId="42" fontId="20" fillId="0" borderId="0" xfId="6" applyFont="1" applyFill="1" applyAlignment="1" applyProtection="1">
      <alignment horizontal="center" vertical="center"/>
    </xf>
    <xf numFmtId="42" fontId="20" fillId="3" borderId="0" xfId="6" applyFont="1" applyFill="1" applyAlignment="1" applyProtection="1">
      <alignment horizontal="center" vertical="center"/>
      <protection locked="0"/>
    </xf>
    <xf numFmtId="44" fontId="13" fillId="3" borderId="0" xfId="0" applyNumberFormat="1" applyFont="1" applyFill="1" applyAlignment="1" applyProtection="1">
      <alignment vertical="center"/>
      <protection locked="0"/>
    </xf>
    <xf numFmtId="10" fontId="19" fillId="0" borderId="0" xfId="13" applyNumberFormat="1" applyFont="1" applyFill="1" applyAlignment="1" applyProtection="1">
      <alignment vertical="center"/>
      <protection locked="0"/>
    </xf>
    <xf numFmtId="42" fontId="20" fillId="0" borderId="0" xfId="6" applyFont="1" applyFill="1" applyAlignment="1" applyProtection="1">
      <alignment horizontal="center" vertical="center"/>
      <protection locked="0"/>
    </xf>
    <xf numFmtId="187" fontId="13" fillId="38" borderId="0" xfId="6" applyNumberFormat="1" applyFont="1" applyFill="1" applyAlignment="1" applyProtection="1">
      <alignment horizontal="center" vertical="center"/>
      <protection locked="0"/>
    </xf>
    <xf numFmtId="187" fontId="13" fillId="33" borderId="0" xfId="6" applyNumberFormat="1" applyFont="1" applyFill="1" applyAlignment="1" applyProtection="1">
      <alignment vertical="center"/>
    </xf>
    <xf numFmtId="43" fontId="13" fillId="3" borderId="0" xfId="0" applyNumberFormat="1" applyFont="1" applyFill="1" applyAlignment="1" applyProtection="1">
      <alignment vertical="center"/>
      <protection locked="0"/>
    </xf>
    <xf numFmtId="42" fontId="13" fillId="33" borderId="0" xfId="6" applyFont="1" applyFill="1" applyAlignment="1" applyProtection="1">
      <alignment vertical="center"/>
    </xf>
    <xf numFmtId="185" fontId="19" fillId="11" borderId="0" xfId="0" applyNumberFormat="1" applyFont="1" applyFill="1" applyAlignment="1">
      <alignment horizontal="center" vertical="center"/>
    </xf>
    <xf numFmtId="189" fontId="20" fillId="0" borderId="0" xfId="13" applyNumberFormat="1" applyFont="1" applyFill="1" applyAlignment="1" applyProtection="1">
      <alignment horizontal="center" vertical="center"/>
    </xf>
    <xf numFmtId="10" fontId="13" fillId="0" borderId="0" xfId="13" applyNumberFormat="1" applyFont="1" applyFill="1" applyAlignment="1" applyProtection="1">
      <alignment horizontal="center" vertical="center"/>
      <protection locked="0"/>
    </xf>
    <xf numFmtId="189" fontId="20" fillId="0" borderId="0" xfId="6" applyNumberFormat="1" applyFont="1" applyFill="1" applyAlignment="1" applyProtection="1">
      <alignment horizontal="center" vertical="center"/>
    </xf>
    <xf numFmtId="42" fontId="13" fillId="33" borderId="0" xfId="6" applyFont="1" applyFill="1" applyProtection="1"/>
    <xf numFmtId="0" fontId="13" fillId="0" borderId="0" xfId="0" applyFont="1" applyAlignment="1" applyProtection="1">
      <alignment wrapText="1"/>
      <protection locked="0"/>
    </xf>
    <xf numFmtId="3" fontId="20" fillId="0" borderId="0" xfId="10" applyNumberFormat="1" applyFont="1" applyFill="1" applyBorder="1" applyAlignment="1" applyProtection="1">
      <alignment horizontal="center" vertical="center"/>
      <protection locked="0"/>
    </xf>
    <xf numFmtId="3" fontId="172" fillId="0" borderId="0" xfId="10" applyNumberFormat="1" applyFont="1" applyFill="1" applyBorder="1" applyAlignment="1" applyProtection="1">
      <alignment horizontal="center" vertical="center"/>
      <protection locked="0"/>
    </xf>
    <xf numFmtId="2" fontId="13" fillId="2" borderId="0" xfId="10" applyNumberFormat="1" applyFont="1" applyFill="1" applyAlignment="1" applyProtection="1">
      <alignment horizontal="center" vertical="center"/>
      <protection locked="0"/>
    </xf>
    <xf numFmtId="44" fontId="20" fillId="2" borderId="0" xfId="6" applyNumberFormat="1" applyFont="1" applyFill="1" applyBorder="1" applyAlignment="1" applyProtection="1">
      <alignment horizontal="center" vertical="center"/>
    </xf>
    <xf numFmtId="10" fontId="20" fillId="2" borderId="0" xfId="10" applyNumberFormat="1" applyFont="1" applyFill="1" applyBorder="1" applyAlignment="1" applyProtection="1">
      <alignment horizontal="center" vertical="center"/>
      <protection locked="0"/>
    </xf>
    <xf numFmtId="164" fontId="20" fillId="11" borderId="0" xfId="1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164" fontId="13" fillId="2" borderId="0" xfId="0" applyNumberFormat="1" applyFont="1" applyFill="1" applyAlignment="1" applyProtection="1">
      <alignment horizontal="center" vertical="center"/>
      <protection locked="0"/>
    </xf>
    <xf numFmtId="42" fontId="20" fillId="2" borderId="0" xfId="6" applyFont="1" applyFill="1" applyBorder="1" applyAlignment="1" applyProtection="1">
      <alignment horizontal="center" vertical="center"/>
    </xf>
    <xf numFmtId="42" fontId="20" fillId="0" borderId="0" xfId="0" applyNumberFormat="1" applyFont="1" applyAlignment="1">
      <alignment horizontal="center" vertical="center"/>
    </xf>
    <xf numFmtId="10" fontId="16" fillId="11" borderId="0" xfId="13" applyNumberFormat="1" applyFont="1" applyFill="1" applyProtection="1">
      <protection locked="0"/>
    </xf>
    <xf numFmtId="10" fontId="16" fillId="11" borderId="0" xfId="2" applyNumberFormat="1" applyFont="1" applyFill="1" applyProtection="1">
      <protection locked="0"/>
    </xf>
    <xf numFmtId="41" fontId="16" fillId="11" borderId="0" xfId="13" applyFont="1" applyFill="1" applyProtection="1">
      <protection locked="0"/>
    </xf>
    <xf numFmtId="2" fontId="12" fillId="11" borderId="0" xfId="0" applyNumberFormat="1" applyFont="1" applyFill="1" applyProtection="1">
      <protection locked="0"/>
    </xf>
    <xf numFmtId="3" fontId="16" fillId="0" borderId="0" xfId="10" applyNumberFormat="1" applyFont="1" applyFill="1" applyBorder="1" applyAlignment="1" applyProtection="1">
      <alignment horizontal="left" vertical="center"/>
      <protection locked="0"/>
    </xf>
    <xf numFmtId="9" fontId="16" fillId="11" borderId="0" xfId="13" applyNumberFormat="1" applyFont="1" applyFill="1" applyProtection="1">
      <protection locked="0"/>
    </xf>
    <xf numFmtId="4" fontId="16" fillId="0" borderId="0" xfId="10" applyNumberFormat="1" applyFont="1" applyFill="1" applyBorder="1" applyAlignment="1" applyProtection="1">
      <alignment horizontal="center" vertical="center"/>
    </xf>
    <xf numFmtId="0" fontId="12" fillId="11" borderId="0" xfId="0" applyFont="1" applyFill="1" applyAlignment="1" applyProtection="1">
      <alignment vertical="center"/>
      <protection locked="0"/>
    </xf>
    <xf numFmtId="10" fontId="16" fillId="11" borderId="0" xfId="13" applyNumberFormat="1" applyFont="1" applyFill="1" applyAlignment="1" applyProtection="1">
      <alignment vertical="center"/>
      <protection locked="0"/>
    </xf>
    <xf numFmtId="9" fontId="16" fillId="2" borderId="0" xfId="2" applyFont="1" applyFill="1" applyAlignment="1" applyProtection="1">
      <alignment vertical="center"/>
      <protection locked="0"/>
    </xf>
    <xf numFmtId="164" fontId="16" fillId="2" borderId="0" xfId="2" applyNumberFormat="1" applyFont="1" applyFill="1" applyProtection="1"/>
    <xf numFmtId="164" fontId="16" fillId="11" borderId="0" xfId="13" applyNumberFormat="1" applyFont="1" applyFill="1" applyProtection="1">
      <protection locked="0"/>
    </xf>
    <xf numFmtId="186" fontId="12" fillId="0" borderId="0" xfId="13" applyNumberFormat="1" applyFont="1" applyFill="1" applyProtection="1"/>
    <xf numFmtId="8" fontId="12" fillId="0" borderId="0" xfId="0" applyNumberFormat="1" applyFont="1" applyProtection="1">
      <protection locked="0"/>
    </xf>
    <xf numFmtId="2" fontId="16" fillId="2" borderId="0" xfId="0" applyNumberFormat="1" applyFont="1" applyFill="1" applyProtection="1">
      <protection locked="0"/>
    </xf>
    <xf numFmtId="3" fontId="16" fillId="0" borderId="0" xfId="6" applyNumberFormat="1" applyFont="1" applyFill="1" applyProtection="1"/>
    <xf numFmtId="9" fontId="16" fillId="0" borderId="0" xfId="13" applyNumberFormat="1" applyFont="1" applyFill="1" applyProtection="1"/>
    <xf numFmtId="41" fontId="169" fillId="0" borderId="0" xfId="13" applyFont="1" applyFill="1" applyProtection="1">
      <protection locked="0"/>
    </xf>
    <xf numFmtId="41" fontId="12" fillId="0" borderId="0" xfId="0" applyNumberFormat="1" applyFont="1" applyAlignment="1" applyProtection="1">
      <alignment horizontal="left" vertical="center"/>
      <protection locked="0"/>
    </xf>
    <xf numFmtId="41" fontId="16" fillId="0" borderId="0" xfId="0" applyNumberFormat="1" applyFont="1" applyAlignment="1" applyProtection="1">
      <alignment horizontal="center" vertical="center"/>
      <protection locked="0"/>
    </xf>
    <xf numFmtId="189" fontId="20" fillId="2" borderId="0" xfId="6" applyNumberFormat="1" applyFont="1" applyFill="1" applyBorder="1" applyAlignment="1" applyProtection="1">
      <alignment horizontal="center" vertical="center"/>
      <protection locked="0"/>
    </xf>
    <xf numFmtId="42" fontId="13" fillId="2" borderId="0" xfId="0" applyNumberFormat="1" applyFont="1" applyFill="1" applyAlignment="1" applyProtection="1">
      <alignment vertical="center"/>
      <protection locked="0"/>
    </xf>
    <xf numFmtId="44" fontId="13" fillId="0" borderId="0" xfId="0" applyNumberFormat="1" applyFont="1" applyAlignment="1">
      <alignment horizontal="center" vertical="center"/>
    </xf>
    <xf numFmtId="164" fontId="16" fillId="0" borderId="0" xfId="0" applyNumberFormat="1" applyFont="1" applyProtection="1">
      <protection locked="0"/>
    </xf>
    <xf numFmtId="10" fontId="12" fillId="0" borderId="0" xfId="6" applyNumberFormat="1" applyFont="1" applyFill="1" applyAlignment="1" applyProtection="1">
      <alignment vertical="center"/>
    </xf>
    <xf numFmtId="42" fontId="13" fillId="2" borderId="0" xfId="0" applyNumberFormat="1" applyFont="1" applyFill="1" applyAlignment="1" applyProtection="1">
      <alignment horizontal="center" vertical="center"/>
      <protection locked="0"/>
    </xf>
    <xf numFmtId="44" fontId="20" fillId="0" borderId="0" xfId="6" applyNumberFormat="1" applyFont="1" applyFill="1" applyBorder="1" applyAlignment="1" applyProtection="1">
      <alignment horizontal="center" vertical="center"/>
    </xf>
    <xf numFmtId="187" fontId="20" fillId="0" borderId="0" xfId="6" applyNumberFormat="1" applyFont="1" applyFill="1" applyBorder="1" applyAlignment="1" applyProtection="1">
      <alignment horizontal="center" vertical="center"/>
    </xf>
    <xf numFmtId="44" fontId="13" fillId="0" borderId="0" xfId="0" applyNumberFormat="1" applyFont="1" applyAlignment="1" applyProtection="1">
      <alignment vertical="center"/>
      <protection locked="0"/>
    </xf>
    <xf numFmtId="44" fontId="0" fillId="15" borderId="0" xfId="0" applyNumberFormat="1" applyFill="1" applyProtection="1">
      <protection locked="0"/>
    </xf>
    <xf numFmtId="0" fontId="55" fillId="11" borderId="1" xfId="0" applyFont="1" applyFill="1" applyBorder="1" applyAlignment="1">
      <alignment horizontal="center" vertical="center"/>
    </xf>
    <xf numFmtId="0" fontId="41" fillId="11" borderId="21" xfId="0" applyFont="1" applyFill="1" applyBorder="1" applyAlignment="1">
      <alignment vertical="center" wrapText="1"/>
    </xf>
    <xf numFmtId="0" fontId="41" fillId="11" borderId="21" xfId="0" applyFont="1" applyFill="1" applyBorder="1" applyAlignment="1">
      <alignment horizontal="center" vertical="center"/>
    </xf>
    <xf numFmtId="0" fontId="41" fillId="11" borderId="21" xfId="0" applyFont="1" applyFill="1" applyBorder="1" applyAlignment="1">
      <alignment horizontal="center" vertical="center" wrapText="1"/>
    </xf>
    <xf numFmtId="42" fontId="41" fillId="11" borderId="1" xfId="6" applyFont="1" applyFill="1" applyBorder="1" applyAlignment="1">
      <alignment horizontal="center" vertical="center"/>
    </xf>
    <xf numFmtId="9" fontId="41" fillId="11" borderId="21" xfId="10" applyFont="1" applyFill="1" applyBorder="1" applyAlignment="1">
      <alignment horizontal="center" vertical="center" wrapText="1"/>
    </xf>
    <xf numFmtId="17" fontId="41" fillId="11" borderId="21" xfId="10" applyNumberFormat="1" applyFont="1" applyFill="1" applyBorder="1" applyAlignment="1">
      <alignment horizontal="center" vertical="center" wrapText="1"/>
    </xf>
    <xf numFmtId="188" fontId="41" fillId="11" borderId="21" xfId="13" applyNumberFormat="1" applyFont="1" applyFill="1" applyBorder="1" applyAlignment="1">
      <alignment horizontal="center" vertical="center"/>
    </xf>
    <xf numFmtId="0" fontId="55" fillId="11" borderId="0" xfId="0" applyFont="1" applyFill="1"/>
    <xf numFmtId="3" fontId="12" fillId="11" borderId="0" xfId="0" applyNumberFormat="1" applyFont="1" applyFill="1"/>
    <xf numFmtId="3" fontId="12" fillId="0" borderId="0" xfId="2" applyNumberFormat="1" applyFont="1" applyFill="1" applyProtection="1">
      <protection locked="0"/>
    </xf>
    <xf numFmtId="0" fontId="175" fillId="32" borderId="1" xfId="0" applyFont="1" applyFill="1" applyBorder="1" applyAlignment="1" applyProtection="1">
      <alignment vertical="center" wrapText="1"/>
      <protection locked="0"/>
    </xf>
    <xf numFmtId="189" fontId="20" fillId="0" borderId="0" xfId="6" applyNumberFormat="1" applyFont="1" applyFill="1" applyBorder="1" applyAlignment="1" applyProtection="1">
      <alignment horizontal="center" vertical="center"/>
      <protection locked="0"/>
    </xf>
    <xf numFmtId="3" fontId="15" fillId="0" borderId="0" xfId="0" applyNumberFormat="1" applyFont="1" applyAlignment="1">
      <alignment horizontal="center" vertical="center"/>
    </xf>
    <xf numFmtId="44" fontId="6" fillId="0" borderId="1" xfId="68" applyFont="1" applyFill="1" applyBorder="1" applyAlignment="1">
      <alignment vertical="center"/>
    </xf>
    <xf numFmtId="167" fontId="16" fillId="0" borderId="0" xfId="21" applyNumberFormat="1" applyFont="1" applyFill="1" applyBorder="1" applyAlignment="1" applyProtection="1">
      <alignment horizontal="left" vertical="center"/>
    </xf>
    <xf numFmtId="44" fontId="0" fillId="0" borderId="1" xfId="1" applyFont="1" applyBorder="1" applyAlignment="1">
      <alignment horizontal="center"/>
    </xf>
    <xf numFmtId="4" fontId="0" fillId="0" borderId="1" xfId="0" applyNumberFormat="1" applyBorder="1" applyAlignment="1">
      <alignment horizontal="center"/>
    </xf>
    <xf numFmtId="176" fontId="0" fillId="15" borderId="0" xfId="0" applyNumberFormat="1" applyFill="1" applyAlignment="1">
      <alignment horizontal="center"/>
    </xf>
    <xf numFmtId="44" fontId="1" fillId="47" borderId="0" xfId="22" applyFont="1" applyFill="1" applyBorder="1" applyAlignment="1">
      <alignment horizontal="center"/>
    </xf>
    <xf numFmtId="176" fontId="1" fillId="47" borderId="0" xfId="22" applyNumberFormat="1" applyFont="1" applyFill="1" applyBorder="1" applyAlignment="1">
      <alignment horizontal="center"/>
    </xf>
    <xf numFmtId="10" fontId="3" fillId="13" borderId="8" xfId="10" applyNumberFormat="1" applyFont="1" applyFill="1" applyBorder="1" applyAlignment="1">
      <alignment vertical="center" wrapText="1"/>
    </xf>
    <xf numFmtId="10" fontId="155" fillId="13" borderId="0" xfId="0" applyNumberFormat="1" applyFont="1" applyFill="1" applyAlignment="1">
      <alignment vertical="center"/>
    </xf>
    <xf numFmtId="0" fontId="176" fillId="0" borderId="0" xfId="0" applyFont="1" applyAlignment="1">
      <alignment vertical="top" wrapText="1"/>
    </xf>
    <xf numFmtId="3" fontId="16" fillId="11" borderId="0" xfId="0" applyNumberFormat="1" applyFont="1" applyFill="1" applyProtection="1">
      <protection locked="0"/>
    </xf>
    <xf numFmtId="2" fontId="172" fillId="11" borderId="0" xfId="0" applyNumberFormat="1" applyFont="1" applyFill="1" applyAlignment="1" applyProtection="1">
      <alignment horizontal="center" vertical="center"/>
      <protection locked="0"/>
    </xf>
    <xf numFmtId="2" fontId="172" fillId="0" borderId="0" xfId="0" applyNumberFormat="1" applyFont="1" applyAlignment="1" applyProtection="1">
      <alignment horizontal="center" vertical="center"/>
      <protection locked="0"/>
    </xf>
    <xf numFmtId="0" fontId="178" fillId="0" borderId="0" xfId="0" applyFont="1"/>
    <xf numFmtId="0" fontId="0" fillId="0" borderId="0" xfId="0" applyFont="1" applyAlignment="1">
      <alignment vertical="top" wrapText="1"/>
    </xf>
    <xf numFmtId="0" fontId="177" fillId="89" borderId="0" xfId="0" applyFont="1" applyFill="1"/>
    <xf numFmtId="0" fontId="87" fillId="3" borderId="0" xfId="0" applyFont="1" applyFill="1" applyAlignment="1">
      <alignment horizontal="center" vertical="center"/>
    </xf>
    <xf numFmtId="0" fontId="98" fillId="3" borderId="0" xfId="0" applyFont="1" applyFill="1" applyAlignment="1">
      <alignment horizontal="center" vertical="center" wrapText="1"/>
    </xf>
    <xf numFmtId="0" fontId="99" fillId="3" borderId="0" xfId="0" quotePrefix="1" applyFont="1" applyFill="1" applyAlignment="1">
      <alignment horizontal="left" vertical="center" wrapText="1"/>
    </xf>
    <xf numFmtId="0" fontId="99" fillId="3" borderId="0" xfId="0" applyFont="1" applyFill="1" applyAlignment="1">
      <alignment horizontal="left" vertical="center" wrapText="1"/>
    </xf>
    <xf numFmtId="0" fontId="0" fillId="32" borderId="9" xfId="0" applyFill="1" applyBorder="1" applyAlignment="1">
      <alignment vertical="center" wrapText="1"/>
    </xf>
    <xf numFmtId="0" fontId="0" fillId="32" borderId="14" xfId="0" applyFill="1" applyBorder="1" applyAlignment="1">
      <alignment vertical="center" wrapText="1"/>
    </xf>
    <xf numFmtId="0" fontId="35" fillId="43" borderId="7" xfId="0" applyFont="1" applyFill="1" applyBorder="1" applyAlignment="1" applyProtection="1">
      <alignment horizontal="left" vertical="center"/>
      <protection locked="0"/>
    </xf>
    <xf numFmtId="0" fontId="100" fillId="46" borderId="37" xfId="0" applyFont="1" applyFill="1" applyBorder="1" applyAlignment="1" applyProtection="1">
      <alignment horizontal="center" vertical="center" wrapText="1"/>
      <protection locked="0"/>
    </xf>
    <xf numFmtId="0" fontId="100" fillId="46" borderId="21" xfId="0" applyFont="1" applyFill="1" applyBorder="1" applyAlignment="1" applyProtection="1">
      <alignment horizontal="center" vertical="center" wrapText="1"/>
      <protection locked="0"/>
    </xf>
    <xf numFmtId="3" fontId="100" fillId="46" borderId="1" xfId="0" applyNumberFormat="1" applyFont="1" applyFill="1" applyBorder="1" applyAlignment="1" applyProtection="1">
      <alignment horizontal="center" vertical="center" wrapText="1"/>
      <protection locked="0"/>
    </xf>
    <xf numFmtId="0" fontId="35" fillId="45" borderId="0" xfId="0" applyFont="1" applyFill="1" applyAlignment="1" applyProtection="1">
      <alignment horizontal="center" vertical="center"/>
      <protection locked="0"/>
    </xf>
    <xf numFmtId="3" fontId="100" fillId="46" borderId="37" xfId="0" applyNumberFormat="1" applyFont="1" applyFill="1" applyBorder="1" applyAlignment="1" applyProtection="1">
      <alignment horizontal="center" vertical="center"/>
      <protection locked="0"/>
    </xf>
    <xf numFmtId="3" fontId="100" fillId="46" borderId="21" xfId="0" applyNumberFormat="1" applyFont="1" applyFill="1" applyBorder="1" applyAlignment="1" applyProtection="1">
      <alignment horizontal="center" vertical="center"/>
      <protection locked="0"/>
    </xf>
    <xf numFmtId="0" fontId="100" fillId="46" borderId="2" xfId="0" applyFont="1" applyFill="1" applyBorder="1" applyAlignment="1" applyProtection="1">
      <alignment horizontal="left" vertical="center" wrapText="1"/>
      <protection locked="0"/>
    </xf>
    <xf numFmtId="0" fontId="100" fillId="46" borderId="3" xfId="0" applyFont="1" applyFill="1" applyBorder="1" applyAlignment="1" applyProtection="1">
      <alignment horizontal="left" vertical="center" wrapText="1"/>
      <protection locked="0"/>
    </xf>
    <xf numFmtId="0" fontId="100" fillId="46" borderId="4" xfId="0" applyFont="1" applyFill="1" applyBorder="1" applyAlignment="1" applyProtection="1">
      <alignment horizontal="left" vertical="center" wrapText="1"/>
      <protection locked="0"/>
    </xf>
    <xf numFmtId="0" fontId="7" fillId="0" borderId="2" xfId="0" applyFont="1" applyBorder="1" applyAlignment="1">
      <alignment horizontal="left" wrapText="1"/>
    </xf>
    <xf numFmtId="0" fontId="7" fillId="0" borderId="3" xfId="0" applyFont="1" applyBorder="1" applyAlignment="1">
      <alignment horizontal="left" wrapText="1"/>
    </xf>
    <xf numFmtId="0" fontId="3" fillId="0" borderId="0" xfId="0" applyFont="1" applyAlignment="1">
      <alignment horizontal="center"/>
    </xf>
    <xf numFmtId="0" fontId="32" fillId="43" borderId="0" xfId="0" applyFont="1" applyFill="1" applyAlignment="1" applyProtection="1">
      <alignment horizontal="center" vertical="center"/>
      <protection locked="0"/>
    </xf>
    <xf numFmtId="0" fontId="20" fillId="2" borderId="0" xfId="0" applyFont="1" applyFill="1" applyAlignment="1" applyProtection="1">
      <alignment horizontal="center" vertical="center"/>
      <protection locked="0"/>
    </xf>
    <xf numFmtId="0" fontId="41" fillId="82" borderId="37" xfId="0" applyFont="1" applyFill="1" applyBorder="1" applyAlignment="1">
      <alignment horizontal="center" vertical="center" wrapText="1"/>
    </xf>
    <xf numFmtId="0" fontId="41" fillId="82" borderId="20" xfId="0" applyFont="1" applyFill="1" applyBorder="1" applyAlignment="1">
      <alignment horizontal="center" vertical="center" wrapText="1"/>
    </xf>
    <xf numFmtId="0" fontId="41" fillId="82" borderId="21" xfId="0" applyFont="1" applyFill="1" applyBorder="1" applyAlignment="1">
      <alignment horizontal="center" vertical="center" wrapText="1"/>
    </xf>
    <xf numFmtId="0" fontId="41" fillId="0" borderId="37" xfId="0" applyFont="1" applyBorder="1" applyAlignment="1">
      <alignment horizontal="center" vertical="center" wrapText="1"/>
    </xf>
    <xf numFmtId="0" fontId="41" fillId="0" borderId="20" xfId="0" applyFont="1" applyBorder="1" applyAlignment="1">
      <alignment horizontal="center" vertical="center" wrapText="1"/>
    </xf>
    <xf numFmtId="0" fontId="41" fillId="0" borderId="21" xfId="0" applyFont="1" applyBorder="1" applyAlignment="1">
      <alignment horizontal="center" vertical="center" wrapText="1"/>
    </xf>
    <xf numFmtId="0" fontId="72" fillId="26" borderId="46" xfId="0" applyFont="1" applyFill="1" applyBorder="1" applyAlignment="1" applyProtection="1">
      <alignment horizontal="center" wrapText="1"/>
      <protection locked="0"/>
    </xf>
    <xf numFmtId="0" fontId="72" fillId="26" borderId="56" xfId="0" applyFont="1" applyFill="1" applyBorder="1" applyAlignment="1" applyProtection="1">
      <alignment horizontal="center" wrapText="1"/>
      <protection locked="0"/>
    </xf>
    <xf numFmtId="0" fontId="72" fillId="32" borderId="26" xfId="0" applyFont="1" applyFill="1" applyBorder="1" applyAlignment="1" applyProtection="1">
      <alignment horizontal="center" vertical="center" wrapText="1"/>
      <protection locked="0"/>
    </xf>
    <xf numFmtId="0" fontId="72" fillId="32" borderId="27" xfId="0" applyFont="1" applyFill="1" applyBorder="1" applyAlignment="1" applyProtection="1">
      <alignment horizontal="center" vertical="center" wrapText="1"/>
      <protection locked="0"/>
    </xf>
    <xf numFmtId="0" fontId="72" fillId="32" borderId="28" xfId="0" applyFont="1" applyFill="1" applyBorder="1" applyAlignment="1" applyProtection="1">
      <alignment horizontal="center" vertical="center" wrapText="1"/>
      <protection locked="0"/>
    </xf>
    <xf numFmtId="0" fontId="72" fillId="26" borderId="26" xfId="0" applyFont="1" applyFill="1" applyBorder="1" applyAlignment="1" applyProtection="1">
      <alignment horizontal="center" vertical="center" wrapText="1"/>
      <protection locked="0"/>
    </xf>
    <xf numFmtId="0" fontId="72" fillId="26" borderId="27" xfId="0" applyFont="1" applyFill="1" applyBorder="1" applyAlignment="1" applyProtection="1">
      <alignment horizontal="center" vertical="center" wrapText="1"/>
      <protection locked="0"/>
    </xf>
    <xf numFmtId="0" fontId="72" fillId="26" borderId="28" xfId="0" applyFont="1" applyFill="1" applyBorder="1" applyAlignment="1" applyProtection="1">
      <alignment horizontal="center" vertical="center" wrapText="1"/>
      <protection locked="0"/>
    </xf>
    <xf numFmtId="0" fontId="72" fillId="32" borderId="46" xfId="0" applyFont="1" applyFill="1" applyBorder="1" applyAlignment="1" applyProtection="1">
      <alignment horizontal="center" vertical="center" wrapText="1"/>
      <protection locked="0"/>
    </xf>
    <xf numFmtId="0" fontId="72" fillId="32" borderId="56" xfId="0" applyFont="1" applyFill="1" applyBorder="1" applyAlignment="1" applyProtection="1">
      <alignment horizontal="center" vertical="center" wrapText="1"/>
      <protection locked="0"/>
    </xf>
    <xf numFmtId="0" fontId="72" fillId="32" borderId="71" xfId="0" applyFont="1" applyFill="1" applyBorder="1" applyAlignment="1" applyProtection="1">
      <alignment horizontal="center" vertical="center" wrapText="1"/>
      <protection locked="0"/>
    </xf>
    <xf numFmtId="0" fontId="72" fillId="32" borderId="67" xfId="0" applyFont="1" applyFill="1" applyBorder="1" applyAlignment="1" applyProtection="1">
      <alignment horizontal="center" vertical="center" wrapText="1"/>
      <protection locked="0"/>
    </xf>
    <xf numFmtId="0" fontId="72" fillId="32" borderId="68" xfId="0" applyFont="1" applyFill="1" applyBorder="1" applyAlignment="1" applyProtection="1">
      <alignment horizontal="center" vertical="center" wrapText="1"/>
      <protection locked="0"/>
    </xf>
    <xf numFmtId="0" fontId="72" fillId="32" borderId="26" xfId="0" applyFont="1" applyFill="1" applyBorder="1" applyAlignment="1" applyProtection="1">
      <alignment horizontal="right" vertical="center" wrapText="1"/>
      <protection locked="0"/>
    </xf>
    <xf numFmtId="0" fontId="72" fillId="32" borderId="27" xfId="0" applyFont="1" applyFill="1" applyBorder="1" applyAlignment="1" applyProtection="1">
      <alignment horizontal="right" vertical="center" wrapText="1"/>
      <protection locked="0"/>
    </xf>
    <xf numFmtId="0" fontId="72" fillId="32" borderId="28" xfId="0" applyFont="1" applyFill="1" applyBorder="1" applyAlignment="1" applyProtection="1">
      <alignment horizontal="right" vertical="center" wrapText="1"/>
      <protection locked="0"/>
    </xf>
    <xf numFmtId="0" fontId="55" fillId="32" borderId="9" xfId="0" applyFont="1" applyFill="1" applyBorder="1" applyAlignment="1" applyProtection="1">
      <alignment horizontal="center" vertical="center" wrapText="1"/>
      <protection locked="0"/>
    </xf>
    <xf numFmtId="0" fontId="55" fillId="32" borderId="14" xfId="0" applyFont="1" applyFill="1" applyBorder="1" applyAlignment="1" applyProtection="1">
      <alignment horizontal="center" vertical="center" wrapText="1"/>
      <protection locked="0"/>
    </xf>
    <xf numFmtId="0" fontId="55" fillId="32" borderId="9" xfId="0" applyFont="1" applyFill="1" applyBorder="1" applyAlignment="1">
      <alignment vertical="center" wrapText="1"/>
    </xf>
    <xf numFmtId="0" fontId="55" fillId="32" borderId="14" xfId="0" applyFont="1" applyFill="1" applyBorder="1" applyAlignment="1">
      <alignment vertical="center" wrapText="1"/>
    </xf>
    <xf numFmtId="0" fontId="55" fillId="32" borderId="9" xfId="0" applyFont="1" applyFill="1" applyBorder="1" applyAlignment="1" applyProtection="1">
      <alignment vertical="center" wrapText="1"/>
      <protection locked="0"/>
    </xf>
    <xf numFmtId="0" fontId="55" fillId="32" borderId="14" xfId="0" applyFont="1" applyFill="1" applyBorder="1" applyAlignment="1" applyProtection="1">
      <alignment vertical="center" wrapText="1"/>
      <protection locked="0"/>
    </xf>
    <xf numFmtId="0" fontId="24" fillId="26" borderId="67" xfId="0" applyFont="1" applyFill="1" applyBorder="1" applyAlignment="1">
      <alignment horizontal="center" vertical="center" wrapText="1"/>
    </xf>
    <xf numFmtId="0" fontId="24" fillId="26" borderId="83" xfId="0" applyFont="1" applyFill="1" applyBorder="1" applyAlignment="1">
      <alignment horizontal="center" vertical="center" wrapText="1"/>
    </xf>
    <xf numFmtId="0" fontId="24" fillId="26" borderId="69" xfId="0" applyFont="1" applyFill="1" applyBorder="1" applyAlignment="1">
      <alignment horizontal="center" vertical="center" wrapText="1"/>
    </xf>
    <xf numFmtId="0" fontId="72" fillId="26" borderId="1" xfId="0" applyFont="1" applyFill="1" applyBorder="1" applyAlignment="1" applyProtection="1">
      <alignment horizontal="right" vertical="center" wrapText="1"/>
      <protection locked="0"/>
    </xf>
    <xf numFmtId="0" fontId="72" fillId="0" borderId="46" xfId="0" applyFont="1" applyBorder="1" applyAlignment="1" applyProtection="1">
      <alignment horizontal="center" vertical="center" wrapText="1"/>
      <protection locked="0"/>
    </xf>
    <xf numFmtId="0" fontId="72" fillId="0" borderId="71" xfId="0" applyFont="1" applyBorder="1" applyAlignment="1" applyProtection="1">
      <alignment horizontal="center" vertical="center" wrapText="1"/>
      <protection locked="0"/>
    </xf>
    <xf numFmtId="0" fontId="72" fillId="0" borderId="56" xfId="0" applyFont="1" applyBorder="1" applyAlignment="1" applyProtection="1">
      <alignment horizontal="center" vertical="center" wrapText="1"/>
      <protection locked="0"/>
    </xf>
    <xf numFmtId="0" fontId="55" fillId="32" borderId="43" xfId="0" applyFont="1" applyFill="1" applyBorder="1" applyAlignment="1">
      <alignment vertical="center" wrapText="1"/>
    </xf>
    <xf numFmtId="0" fontId="55" fillId="0" borderId="30" xfId="0" applyFont="1" applyBorder="1" applyAlignment="1" applyProtection="1">
      <alignment horizontal="center" vertical="center" wrapText="1"/>
      <protection locked="0"/>
    </xf>
    <xf numFmtId="0" fontId="55" fillId="0" borderId="44" xfId="0" applyFont="1" applyBorder="1" applyAlignment="1" applyProtection="1">
      <alignment horizontal="center" vertical="center" wrapText="1"/>
      <protection locked="0"/>
    </xf>
    <xf numFmtId="0" fontId="55" fillId="0" borderId="31" xfId="0" applyFont="1" applyBorder="1" applyAlignment="1" applyProtection="1">
      <alignment horizontal="center" vertical="center" wrapText="1"/>
      <protection locked="0"/>
    </xf>
    <xf numFmtId="0" fontId="55" fillId="0" borderId="9" xfId="0" applyFont="1" applyBorder="1" applyAlignment="1">
      <alignment horizontal="center" vertical="center" wrapText="1"/>
    </xf>
    <xf numFmtId="0" fontId="55" fillId="0" borderId="14" xfId="0" applyFont="1" applyBorder="1" applyAlignment="1">
      <alignment horizontal="center" vertical="center" wrapText="1"/>
    </xf>
    <xf numFmtId="0" fontId="72" fillId="26" borderId="30" xfId="0" applyFont="1" applyFill="1" applyBorder="1" applyAlignment="1" applyProtection="1">
      <alignment horizontal="center" vertical="center" wrapText="1"/>
      <protection locked="0"/>
    </xf>
    <xf numFmtId="0" fontId="72" fillId="26" borderId="44" xfId="0" applyFont="1" applyFill="1" applyBorder="1" applyAlignment="1" applyProtection="1">
      <alignment horizontal="center" vertical="center" wrapText="1"/>
      <protection locked="0"/>
    </xf>
    <xf numFmtId="0" fontId="72" fillId="26" borderId="31" xfId="0" applyFont="1" applyFill="1" applyBorder="1" applyAlignment="1" applyProtection="1">
      <alignment horizontal="center" vertical="center" wrapText="1"/>
      <protection locked="0"/>
    </xf>
    <xf numFmtId="0" fontId="72" fillId="13" borderId="26" xfId="0" applyFont="1" applyFill="1" applyBorder="1" applyAlignment="1">
      <alignment horizontal="left" vertical="center"/>
    </xf>
    <xf numFmtId="0" fontId="72" fillId="13" borderId="27" xfId="0" applyFont="1" applyFill="1" applyBorder="1" applyAlignment="1">
      <alignment horizontal="left" vertical="center"/>
    </xf>
    <xf numFmtId="0" fontId="72" fillId="13" borderId="28" xfId="0" applyFont="1" applyFill="1" applyBorder="1" applyAlignment="1">
      <alignment horizontal="left" vertical="center"/>
    </xf>
    <xf numFmtId="0" fontId="72" fillId="32" borderId="26" xfId="0" applyFont="1" applyFill="1" applyBorder="1" applyAlignment="1" applyProtection="1">
      <alignment horizontal="center" vertical="center"/>
      <protection locked="0"/>
    </xf>
    <xf numFmtId="0" fontId="72" fillId="32" borderId="28" xfId="0" applyFont="1" applyFill="1" applyBorder="1" applyAlignment="1" applyProtection="1">
      <alignment horizontal="center" vertical="center"/>
      <protection locked="0"/>
    </xf>
    <xf numFmtId="0" fontId="72" fillId="32" borderId="69" xfId="0" applyFont="1" applyFill="1" applyBorder="1" applyAlignment="1" applyProtection="1">
      <alignment horizontal="center" vertical="center" wrapText="1"/>
      <protection locked="0"/>
    </xf>
    <xf numFmtId="0" fontId="72" fillId="32" borderId="26" xfId="0" applyFont="1" applyFill="1" applyBorder="1" applyAlignment="1">
      <alignment horizontal="center" vertical="center"/>
    </xf>
    <xf numFmtId="0" fontId="72" fillId="32" borderId="28" xfId="0" applyFont="1" applyFill="1" applyBorder="1" applyAlignment="1">
      <alignment horizontal="center" vertical="center"/>
    </xf>
    <xf numFmtId="0" fontId="72" fillId="32" borderId="67" xfId="0" applyFont="1" applyFill="1" applyBorder="1" applyAlignment="1">
      <alignment horizontal="center" vertical="center"/>
    </xf>
    <xf numFmtId="0" fontId="72" fillId="32" borderId="69" xfId="0" applyFont="1" applyFill="1" applyBorder="1" applyAlignment="1">
      <alignment horizontal="center" vertical="center"/>
    </xf>
    <xf numFmtId="0" fontId="72" fillId="32" borderId="67" xfId="0" applyFont="1" applyFill="1" applyBorder="1" applyAlignment="1">
      <alignment horizontal="center" vertical="center" wrapText="1"/>
    </xf>
    <xf numFmtId="0" fontId="72" fillId="32" borderId="69" xfId="0" applyFont="1" applyFill="1" applyBorder="1" applyAlignment="1">
      <alignment horizontal="center" vertical="center" wrapText="1"/>
    </xf>
    <xf numFmtId="0" fontId="72" fillId="32" borderId="26" xfId="0" applyFont="1" applyFill="1" applyBorder="1" applyAlignment="1">
      <alignment horizontal="center" vertical="center" wrapText="1"/>
    </xf>
    <xf numFmtId="0" fontId="72" fillId="32" borderId="28" xfId="0" applyFont="1" applyFill="1" applyBorder="1" applyAlignment="1">
      <alignment horizontal="center" vertical="center" wrapText="1"/>
    </xf>
    <xf numFmtId="0" fontId="72" fillId="32" borderId="67" xfId="0" applyFont="1" applyFill="1" applyBorder="1" applyAlignment="1" applyProtection="1">
      <alignment horizontal="center" vertical="center"/>
      <protection locked="0"/>
    </xf>
    <xf numFmtId="0" fontId="72" fillId="32" borderId="69" xfId="0" applyFont="1" applyFill="1" applyBorder="1" applyAlignment="1" applyProtection="1">
      <alignment horizontal="center" vertical="center"/>
      <protection locked="0"/>
    </xf>
    <xf numFmtId="0" fontId="72" fillId="13" borderId="26" xfId="0" applyFont="1" applyFill="1" applyBorder="1" applyAlignment="1" applyProtection="1">
      <alignment horizontal="left" vertical="center"/>
      <protection locked="0"/>
    </xf>
    <xf numFmtId="0" fontId="72" fillId="13" borderId="27" xfId="0" applyFont="1" applyFill="1" applyBorder="1" applyAlignment="1" applyProtection="1">
      <alignment horizontal="left" vertical="center"/>
      <protection locked="0"/>
    </xf>
    <xf numFmtId="0" fontId="72" fillId="13" borderId="28" xfId="0" applyFont="1" applyFill="1" applyBorder="1" applyAlignment="1" applyProtection="1">
      <alignment horizontal="left" vertical="center"/>
      <protection locked="0"/>
    </xf>
    <xf numFmtId="0" fontId="148" fillId="0" borderId="0" xfId="0" applyFont="1" applyAlignment="1">
      <alignment horizontal="center" vertical="center"/>
    </xf>
    <xf numFmtId="0" fontId="148" fillId="0" borderId="7" xfId="0" applyFont="1" applyBorder="1" applyAlignment="1">
      <alignment horizontal="center" vertical="center" wrapText="1"/>
    </xf>
    <xf numFmtId="0" fontId="160" fillId="82" borderId="26" xfId="0" applyFont="1" applyFill="1" applyBorder="1" applyAlignment="1">
      <alignment horizontal="center" vertical="center"/>
    </xf>
    <xf numFmtId="0" fontId="160" fillId="82" borderId="28" xfId="0" applyFont="1" applyFill="1" applyBorder="1" applyAlignment="1">
      <alignment horizontal="center" vertical="center"/>
    </xf>
    <xf numFmtId="0" fontId="48" fillId="17" borderId="26" xfId="0" applyFont="1" applyFill="1" applyBorder="1" applyAlignment="1">
      <alignment horizontal="center" vertical="center"/>
    </xf>
    <xf numFmtId="0" fontId="48" fillId="17" borderId="27" xfId="0" applyFont="1" applyFill="1" applyBorder="1" applyAlignment="1">
      <alignment horizontal="center" vertical="center"/>
    </xf>
    <xf numFmtId="0" fontId="48" fillId="17" borderId="28" xfId="0" applyFont="1" applyFill="1" applyBorder="1" applyAlignment="1">
      <alignment horizontal="center" vertical="center"/>
    </xf>
    <xf numFmtId="0" fontId="48" fillId="0" borderId="67" xfId="0" applyFont="1" applyBorder="1" applyAlignment="1">
      <alignment horizontal="center" vertical="center" wrapText="1"/>
    </xf>
    <xf numFmtId="0" fontId="48" fillId="0" borderId="83" xfId="0" applyFont="1" applyBorder="1" applyAlignment="1">
      <alignment horizontal="center" vertical="center" wrapText="1"/>
    </xf>
    <xf numFmtId="0" fontId="48" fillId="0" borderId="111" xfId="0" applyFont="1" applyBorder="1" applyAlignment="1">
      <alignment horizontal="center" vertical="center" wrapText="1"/>
    </xf>
    <xf numFmtId="0" fontId="42" fillId="0" borderId="0" xfId="11" applyFont="1" applyAlignment="1">
      <alignment horizontal="center"/>
    </xf>
    <xf numFmtId="0" fontId="45" fillId="3" borderId="22" xfId="0" applyFont="1" applyFill="1" applyBorder="1" applyAlignment="1">
      <alignment horizontal="left" vertical="center"/>
    </xf>
    <xf numFmtId="0" fontId="45" fillId="3" borderId="23" xfId="0" applyFont="1" applyFill="1" applyBorder="1" applyAlignment="1">
      <alignment horizontal="left" vertical="center"/>
    </xf>
    <xf numFmtId="0" fontId="45" fillId="3" borderId="16" xfId="0" applyFont="1" applyFill="1" applyBorder="1" applyAlignment="1">
      <alignment horizontal="left" vertical="center" wrapText="1"/>
    </xf>
    <xf numFmtId="0" fontId="45" fillId="3" borderId="0" xfId="0" applyFont="1" applyFill="1" applyAlignment="1">
      <alignment horizontal="left" vertical="center" wrapText="1"/>
    </xf>
    <xf numFmtId="0" fontId="146" fillId="15" borderId="16" xfId="0" applyFont="1" applyFill="1" applyBorder="1" applyAlignment="1">
      <alignment horizontal="center" vertical="center" wrapText="1"/>
    </xf>
    <xf numFmtId="0" fontId="146" fillId="15" borderId="0" xfId="0" applyFont="1" applyFill="1" applyAlignment="1">
      <alignment horizontal="center" vertical="center" wrapText="1"/>
    </xf>
    <xf numFmtId="0" fontId="43" fillId="16" borderId="0" xfId="0" applyFont="1" applyFill="1" applyAlignment="1">
      <alignment horizontal="center" vertical="center"/>
    </xf>
    <xf numFmtId="0" fontId="8" fillId="0" borderId="0" xfId="3" applyAlignment="1">
      <alignment horizontal="left" vertical="top" wrapText="1"/>
    </xf>
    <xf numFmtId="0" fontId="138" fillId="0" borderId="0" xfId="0" applyFont="1"/>
    <xf numFmtId="0" fontId="3" fillId="0" borderId="0" xfId="0" applyFont="1" applyAlignment="1">
      <alignment horizontal="left"/>
    </xf>
    <xf numFmtId="0" fontId="3" fillId="0" borderId="0" xfId="0" applyFont="1"/>
    <xf numFmtId="0" fontId="139" fillId="10" borderId="100" xfId="0" applyFont="1" applyFill="1" applyBorder="1" applyAlignment="1">
      <alignment horizontal="center"/>
    </xf>
    <xf numFmtId="0" fontId="139" fillId="10" borderId="101" xfId="0" applyFont="1" applyFill="1" applyBorder="1" applyAlignment="1">
      <alignment horizontal="center"/>
    </xf>
    <xf numFmtId="0" fontId="139" fillId="84" borderId="103" xfId="0" applyFont="1" applyFill="1" applyBorder="1" applyAlignment="1">
      <alignment horizontal="center"/>
    </xf>
    <xf numFmtId="0" fontId="139" fillId="84" borderId="104" xfId="0" applyFont="1" applyFill="1" applyBorder="1" applyAlignment="1">
      <alignment horizontal="center"/>
    </xf>
    <xf numFmtId="0" fontId="139" fillId="84" borderId="105" xfId="0" applyFont="1" applyFill="1" applyBorder="1" applyAlignment="1">
      <alignment horizontal="center"/>
    </xf>
    <xf numFmtId="0" fontId="72" fillId="12" borderId="72" xfId="0" applyFont="1" applyFill="1" applyBorder="1" applyAlignment="1">
      <alignment horizontal="center" vertical="center"/>
    </xf>
    <xf numFmtId="0" fontId="72" fillId="12" borderId="65" xfId="0" applyFont="1" applyFill="1" applyBorder="1" applyAlignment="1">
      <alignment horizontal="center" vertical="center"/>
    </xf>
    <xf numFmtId="0" fontId="72" fillId="12" borderId="62" xfId="0" applyFont="1" applyFill="1" applyBorder="1" applyAlignment="1">
      <alignment horizontal="center" vertical="center"/>
    </xf>
    <xf numFmtId="0" fontId="72" fillId="0" borderId="72" xfId="0" applyFont="1" applyBorder="1" applyAlignment="1">
      <alignment horizontal="center" vertical="center"/>
    </xf>
    <xf numFmtId="0" fontId="72" fillId="0" borderId="65" xfId="0" applyFont="1" applyBorder="1" applyAlignment="1">
      <alignment horizontal="center" vertical="center"/>
    </xf>
    <xf numFmtId="0" fontId="72" fillId="0" borderId="62" xfId="0" applyFont="1" applyBorder="1" applyAlignment="1">
      <alignment horizontal="center" vertical="center"/>
    </xf>
    <xf numFmtId="0" fontId="134" fillId="41" borderId="67" xfId="0" applyFont="1" applyFill="1" applyBorder="1" applyAlignment="1">
      <alignment horizontal="center"/>
    </xf>
    <xf numFmtId="0" fontId="134" fillId="41" borderId="83" xfId="0" applyFont="1" applyFill="1" applyBorder="1" applyAlignment="1">
      <alignment horizontal="center"/>
    </xf>
    <xf numFmtId="0" fontId="134" fillId="41" borderId="69" xfId="0" applyFont="1" applyFill="1" applyBorder="1" applyAlignment="1">
      <alignment horizontal="center"/>
    </xf>
    <xf numFmtId="0" fontId="134" fillId="41" borderId="68" xfId="0" applyFont="1" applyFill="1" applyBorder="1" applyAlignment="1">
      <alignment horizontal="center"/>
    </xf>
    <xf numFmtId="0" fontId="134" fillId="41" borderId="7" xfId="0" applyFont="1" applyFill="1" applyBorder="1" applyAlignment="1">
      <alignment horizontal="center"/>
    </xf>
    <xf numFmtId="0" fontId="134" fillId="41" borderId="33" xfId="0" applyFont="1" applyFill="1" applyBorder="1" applyAlignment="1">
      <alignment horizontal="center"/>
    </xf>
    <xf numFmtId="0" fontId="0" fillId="47" borderId="32" xfId="0" applyFill="1" applyBorder="1" applyAlignment="1">
      <alignment horizontal="center" vertical="center"/>
    </xf>
    <xf numFmtId="0" fontId="0" fillId="47" borderId="0" xfId="0" applyFill="1" applyAlignment="1">
      <alignment horizontal="center" vertical="center"/>
    </xf>
    <xf numFmtId="0" fontId="0" fillId="47" borderId="29" xfId="0" applyFill="1" applyBorder="1" applyAlignment="1">
      <alignment horizontal="center" vertical="center"/>
    </xf>
    <xf numFmtId="2" fontId="3" fillId="44" borderId="0" xfId="0" applyNumberFormat="1" applyFont="1" applyFill="1" applyAlignment="1">
      <alignment horizontal="center"/>
    </xf>
    <xf numFmtId="0" fontId="108" fillId="49" borderId="0" xfId="0" applyFont="1" applyFill="1" applyAlignment="1" applyProtection="1">
      <alignment horizontal="left"/>
      <protection locked="0"/>
    </xf>
    <xf numFmtId="0" fontId="80" fillId="15" borderId="0" xfId="0" applyFont="1" applyFill="1" applyAlignment="1" applyProtection="1">
      <alignment horizontal="center"/>
      <protection locked="0"/>
    </xf>
    <xf numFmtId="0" fontId="85" fillId="15" borderId="0" xfId="0" applyFont="1" applyFill="1" applyAlignment="1">
      <alignment horizontal="center" vertical="center" wrapText="1"/>
    </xf>
    <xf numFmtId="0" fontId="0" fillId="80" borderId="67" xfId="0" applyFill="1" applyBorder="1" applyAlignment="1">
      <alignment horizontal="center" vertical="center"/>
    </xf>
    <xf numFmtId="0" fontId="0" fillId="80" borderId="32" xfId="0" applyFill="1" applyBorder="1" applyAlignment="1">
      <alignment horizontal="center" vertical="center"/>
    </xf>
    <xf numFmtId="0" fontId="0" fillId="80" borderId="68" xfId="0" applyFill="1" applyBorder="1" applyAlignment="1">
      <alignment horizontal="center" vertical="center"/>
    </xf>
    <xf numFmtId="0" fontId="86" fillId="15" borderId="1" xfId="0" applyFont="1" applyFill="1" applyBorder="1" applyAlignment="1" applyProtection="1">
      <alignment horizontal="center" vertical="center"/>
      <protection locked="0"/>
    </xf>
    <xf numFmtId="0" fontId="108" fillId="49" borderId="0" xfId="0" applyFont="1" applyFill="1" applyAlignment="1" applyProtection="1">
      <alignment horizontal="center"/>
      <protection locked="0"/>
    </xf>
    <xf numFmtId="0" fontId="77" fillId="15" borderId="0" xfId="0" applyFont="1" applyFill="1" applyAlignment="1" applyProtection="1">
      <alignment horizontal="center"/>
      <protection locked="0"/>
    </xf>
    <xf numFmtId="0" fontId="80" fillId="15" borderId="0" xfId="0" applyFont="1" applyFill="1" applyAlignment="1" applyProtection="1">
      <alignment horizontal="center" vertical="center" wrapText="1"/>
      <protection locked="0"/>
    </xf>
    <xf numFmtId="0" fontId="80" fillId="15" borderId="17" xfId="0" applyFont="1" applyFill="1" applyBorder="1" applyAlignment="1" applyProtection="1">
      <alignment horizontal="center" vertical="center" wrapText="1"/>
      <protection locked="0"/>
    </xf>
    <xf numFmtId="2" fontId="81" fillId="15" borderId="0" xfId="0" applyNumberFormat="1" applyFont="1" applyFill="1" applyAlignment="1" applyProtection="1">
      <alignment horizontal="center" vertical="center"/>
      <protection locked="0"/>
    </xf>
    <xf numFmtId="2" fontId="81" fillId="15" borderId="17" xfId="0" applyNumberFormat="1" applyFont="1" applyFill="1" applyBorder="1" applyAlignment="1" applyProtection="1">
      <alignment horizontal="center" vertical="center"/>
      <protection locked="0"/>
    </xf>
    <xf numFmtId="0" fontId="83" fillId="15" borderId="1" xfId="0" applyFont="1" applyFill="1" applyBorder="1" applyAlignment="1" applyProtection="1">
      <alignment horizontal="center" vertical="center"/>
      <protection locked="0"/>
    </xf>
    <xf numFmtId="0" fontId="72" fillId="12" borderId="26" xfId="0" applyFont="1" applyFill="1" applyBorder="1" applyAlignment="1">
      <alignment horizontal="left" vertical="center"/>
    </xf>
    <xf numFmtId="0" fontId="72" fillId="12" borderId="27" xfId="0" applyFont="1" applyFill="1" applyBorder="1" applyAlignment="1">
      <alignment horizontal="left" vertical="center"/>
    </xf>
    <xf numFmtId="0" fontId="72" fillId="12" borderId="28" xfId="0" applyFont="1" applyFill="1" applyBorder="1" applyAlignment="1">
      <alignment horizontal="left" vertical="center"/>
    </xf>
    <xf numFmtId="3" fontId="0" fillId="81" borderId="37" xfId="0" applyNumberFormat="1" applyFill="1" applyBorder="1" applyAlignment="1">
      <alignment horizontal="center" vertical="center"/>
    </xf>
    <xf numFmtId="3" fontId="0" fillId="81" borderId="21" xfId="0" applyNumberFormat="1" applyFill="1" applyBorder="1" applyAlignment="1">
      <alignment horizontal="center" vertical="center"/>
    </xf>
    <xf numFmtId="10" fontId="0" fillId="0" borderId="37" xfId="2" applyNumberFormat="1" applyFont="1" applyBorder="1" applyAlignment="1" applyProtection="1">
      <alignment horizontal="center" vertical="center"/>
    </xf>
    <xf numFmtId="10" fontId="0" fillId="0" borderId="21" xfId="2" applyNumberFormat="1" applyFont="1" applyBorder="1" applyAlignment="1" applyProtection="1">
      <alignment horizontal="center" vertical="center"/>
    </xf>
    <xf numFmtId="10" fontId="94" fillId="0" borderId="1" xfId="2" applyNumberFormat="1" applyFont="1" applyBorder="1" applyAlignment="1" applyProtection="1">
      <alignment horizontal="center"/>
    </xf>
    <xf numFmtId="3" fontId="0" fillId="0" borderId="2" xfId="0" applyNumberFormat="1" applyBorder="1" applyAlignment="1">
      <alignment horizontal="center"/>
    </xf>
    <xf numFmtId="3" fontId="0" fillId="0" borderId="4" xfId="0" applyNumberFormat="1" applyBorder="1" applyAlignment="1">
      <alignment horizontal="center"/>
    </xf>
    <xf numFmtId="0" fontId="92" fillId="0" borderId="2" xfId="0" applyFont="1" applyBorder="1" applyAlignment="1" applyProtection="1">
      <alignment horizontal="center" vertical="center"/>
      <protection locked="0"/>
    </xf>
    <xf numFmtId="0" fontId="92" fillId="0" borderId="3" xfId="0" applyFont="1" applyBorder="1" applyAlignment="1" applyProtection="1">
      <alignment horizontal="center" vertical="center"/>
      <protection locked="0"/>
    </xf>
    <xf numFmtId="0" fontId="92" fillId="0" borderId="4" xfId="0" applyFont="1" applyBorder="1" applyAlignment="1" applyProtection="1">
      <alignment horizontal="center" vertical="center"/>
      <protection locked="0"/>
    </xf>
    <xf numFmtId="0" fontId="92" fillId="0" borderId="2" xfId="0" applyFont="1" applyBorder="1" applyAlignment="1" applyProtection="1">
      <alignment horizontal="center" vertical="center" wrapText="1"/>
      <protection locked="0"/>
    </xf>
    <xf numFmtId="0" fontId="92" fillId="0" borderId="4" xfId="0" applyFont="1" applyBorder="1" applyAlignment="1" applyProtection="1">
      <alignment horizontal="center" vertical="center" wrapText="1"/>
      <protection locked="0"/>
    </xf>
    <xf numFmtId="3" fontId="0" fillId="11" borderId="2" xfId="0" applyNumberFormat="1" applyFill="1" applyBorder="1" applyAlignment="1">
      <alignment horizontal="center"/>
    </xf>
    <xf numFmtId="3" fontId="0" fillId="11" borderId="3" xfId="0" applyNumberFormat="1" applyFill="1" applyBorder="1" applyAlignment="1">
      <alignment horizontal="center"/>
    </xf>
    <xf numFmtId="3" fontId="0" fillId="11" borderId="4" xfId="0" applyNumberFormat="1" applyFill="1" applyBorder="1" applyAlignment="1">
      <alignment horizontal="center"/>
    </xf>
    <xf numFmtId="3" fontId="0" fillId="0" borderId="37" xfId="0" applyNumberFormat="1" applyBorder="1" applyAlignment="1">
      <alignment horizontal="center" vertical="center"/>
    </xf>
    <xf numFmtId="3" fontId="0" fillId="0" borderId="21" xfId="0" applyNumberFormat="1" applyBorder="1" applyAlignment="1">
      <alignment horizontal="center" vertical="center"/>
    </xf>
    <xf numFmtId="0" fontId="0" fillId="41" borderId="1" xfId="0" applyFill="1" applyBorder="1" applyAlignment="1" applyProtection="1">
      <alignment horizontal="center" vertical="center"/>
      <protection locked="0"/>
    </xf>
    <xf numFmtId="3" fontId="0" fillId="0" borderId="3" xfId="0" applyNumberFormat="1" applyBorder="1" applyAlignment="1">
      <alignment horizontal="center"/>
    </xf>
    <xf numFmtId="0" fontId="93" fillId="0" borderId="22" xfId="0" applyFont="1" applyBorder="1" applyAlignment="1" applyProtection="1">
      <alignment horizontal="center" vertical="center"/>
      <protection locked="0"/>
    </xf>
    <xf numFmtId="0" fontId="93" fillId="0" borderId="23" xfId="0" applyFont="1" applyBorder="1" applyAlignment="1" applyProtection="1">
      <alignment horizontal="center" vertical="center"/>
      <protection locked="0"/>
    </xf>
    <xf numFmtId="0" fontId="93" fillId="0" borderId="18" xfId="0" applyFont="1" applyBorder="1" applyAlignment="1" applyProtection="1">
      <alignment horizontal="center" vertical="center"/>
      <protection locked="0"/>
    </xf>
    <xf numFmtId="0" fontId="93" fillId="0" borderId="19" xfId="0" applyFont="1" applyBorder="1" applyAlignment="1" applyProtection="1">
      <alignment horizontal="center" vertical="center"/>
      <protection locked="0"/>
    </xf>
    <xf numFmtId="0" fontId="93" fillId="0" borderId="17" xfId="0" applyFont="1" applyBorder="1" applyAlignment="1" applyProtection="1">
      <alignment horizontal="center" vertical="center"/>
      <protection locked="0"/>
    </xf>
    <xf numFmtId="0" fontId="93" fillId="0" borderId="25" xfId="0" applyFont="1" applyBorder="1" applyAlignment="1" applyProtection="1">
      <alignment horizontal="center" vertical="center"/>
      <protection locked="0"/>
    </xf>
    <xf numFmtId="0" fontId="92" fillId="0" borderId="22" xfId="0" applyFont="1" applyBorder="1" applyAlignment="1" applyProtection="1">
      <alignment horizontal="center" vertical="center"/>
      <protection locked="0"/>
    </xf>
    <xf numFmtId="0" fontId="92" fillId="0" borderId="18" xfId="0" applyFont="1" applyBorder="1" applyAlignment="1" applyProtection="1">
      <alignment horizontal="center" vertical="center"/>
      <protection locked="0"/>
    </xf>
    <xf numFmtId="0" fontId="92" fillId="0" borderId="19" xfId="0" applyFont="1" applyBorder="1" applyAlignment="1" applyProtection="1">
      <alignment horizontal="center" vertical="center"/>
      <protection locked="0"/>
    </xf>
    <xf numFmtId="0" fontId="92" fillId="0" borderId="25" xfId="0" applyFont="1" applyBorder="1" applyAlignment="1" applyProtection="1">
      <alignment horizontal="center" vertical="center"/>
      <protection locked="0"/>
    </xf>
    <xf numFmtId="0" fontId="0" fillId="7" borderId="1" xfId="0" applyFill="1" applyBorder="1" applyAlignment="1" applyProtection="1">
      <alignment horizontal="center" vertical="center"/>
      <protection locked="0"/>
    </xf>
    <xf numFmtId="3" fontId="0" fillId="0" borderId="1" xfId="0" applyNumberFormat="1" applyBorder="1" applyAlignment="1">
      <alignment horizontal="center"/>
    </xf>
    <xf numFmtId="0" fontId="0" fillId="44" borderId="1" xfId="0" applyFill="1" applyBorder="1" applyAlignment="1" applyProtection="1">
      <alignment horizontal="center" vertical="center"/>
      <protection locked="0"/>
    </xf>
    <xf numFmtId="0" fontId="90" fillId="0" borderId="0" xfId="0" applyFont="1" applyAlignment="1" applyProtection="1">
      <alignment horizontal="center" vertical="center"/>
      <protection locked="0"/>
    </xf>
    <xf numFmtId="0" fontId="93" fillId="0" borderId="1" xfId="0" applyFont="1" applyBorder="1" applyAlignment="1" applyProtection="1">
      <alignment horizontal="center" vertical="center"/>
      <protection locked="0"/>
    </xf>
    <xf numFmtId="0" fontId="92" fillId="0" borderId="1" xfId="0" applyFont="1" applyBorder="1" applyAlignment="1" applyProtection="1">
      <alignment horizontal="center" vertical="center"/>
      <protection locked="0"/>
    </xf>
    <xf numFmtId="0" fontId="0" fillId="33" borderId="1" xfId="0" applyFill="1" applyBorder="1" applyAlignment="1" applyProtection="1">
      <alignment horizontal="center" vertical="center"/>
      <protection locked="0"/>
    </xf>
    <xf numFmtId="3" fontId="0" fillId="11" borderId="1" xfId="0" applyNumberFormat="1" applyFill="1" applyBorder="1" applyAlignment="1">
      <alignment horizontal="center"/>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3" fontId="0" fillId="0" borderId="1" xfId="0" applyNumberFormat="1" applyBorder="1" applyAlignment="1" applyProtection="1">
      <alignment horizontal="center"/>
      <protection locked="0"/>
    </xf>
    <xf numFmtId="0" fontId="94" fillId="0" borderId="1" xfId="0" applyFont="1" applyBorder="1" applyAlignment="1" applyProtection="1">
      <alignment horizontal="center"/>
      <protection locked="0"/>
    </xf>
    <xf numFmtId="4" fontId="0" fillId="0" borderId="3" xfId="0" applyNumberFormat="1" applyBorder="1" applyAlignment="1" applyProtection="1">
      <alignment horizontal="center"/>
      <protection locked="0"/>
    </xf>
    <xf numFmtId="195" fontId="3" fillId="34" borderId="67" xfId="84" applyFont="1" applyFill="1" applyBorder="1" applyAlignment="1">
      <alignment horizontal="center" vertical="center" wrapText="1"/>
    </xf>
    <xf numFmtId="195" fontId="3" fillId="34" borderId="68" xfId="84" applyFont="1" applyFill="1" applyBorder="1" applyAlignment="1">
      <alignment horizontal="center" vertical="center" wrapText="1"/>
    </xf>
  </cellXfs>
  <cellStyles count="86">
    <cellStyle name="20% - Énfasis1" xfId="45" builtinId="30" customBuiltin="1"/>
    <cellStyle name="20% - Énfasis2" xfId="48" builtinId="34" customBuiltin="1"/>
    <cellStyle name="20% - Énfasis3" xfId="52" builtinId="38" customBuiltin="1"/>
    <cellStyle name="20% - Énfasis4" xfId="56" builtinId="42" customBuiltin="1"/>
    <cellStyle name="20% - Énfasis5" xfId="59" builtinId="46" customBuiltin="1"/>
    <cellStyle name="20% - Énfasis6" xfId="63" builtinId="50" customBuiltin="1"/>
    <cellStyle name="40% - Énfasis1" xfId="7" builtinId="31" customBuiltin="1"/>
    <cellStyle name="40% - Énfasis2" xfId="49" builtinId="35" customBuiltin="1"/>
    <cellStyle name="40% - Énfasis3" xfId="53" builtinId="39" customBuiltin="1"/>
    <cellStyle name="40% - Énfasis4" xfId="8" builtinId="43" customBuiltin="1"/>
    <cellStyle name="40% - Énfasis5" xfId="60" builtinId="47" customBuiltin="1"/>
    <cellStyle name="40% - Énfasis6" xfId="64" builtinId="51" customBuiltin="1"/>
    <cellStyle name="60% - Énfasis1" xfId="46" builtinId="32" customBuiltin="1"/>
    <cellStyle name="60% - Énfasis2" xfId="50" builtinId="36" customBuiltin="1"/>
    <cellStyle name="60% - Énfasis3" xfId="54" builtinId="40" customBuiltin="1"/>
    <cellStyle name="60% - Énfasis4" xfId="57" builtinId="44" customBuiltin="1"/>
    <cellStyle name="60% - Énfasis5" xfId="61" builtinId="48" customBuiltin="1"/>
    <cellStyle name="60% - Énfasis6" xfId="65" builtinId="52" customBuiltin="1"/>
    <cellStyle name="Bueno" xfId="33" builtinId="26" customBuiltin="1"/>
    <cellStyle name="Cálculo" xfId="38" builtinId="22" customBuiltin="1"/>
    <cellStyle name="Celda de comprobación" xfId="40" builtinId="23" customBuiltin="1"/>
    <cellStyle name="Celda vinculada" xfId="39" builtinId="24" customBuiltin="1"/>
    <cellStyle name="Comma 3 3" xfId="23" xr:uid="{00000000-0005-0000-0000-000002000000}"/>
    <cellStyle name="Encabezado 1" xfId="14" builtinId="16" customBuiltin="1"/>
    <cellStyle name="Encabezado 4" xfId="32" builtinId="19" customBuiltin="1"/>
    <cellStyle name="Énfasis1" xfId="44" builtinId="29" customBuiltin="1"/>
    <cellStyle name="Énfasis2" xfId="47" builtinId="33" customBuiltin="1"/>
    <cellStyle name="Énfasis3" xfId="51" builtinId="37" customBuiltin="1"/>
    <cellStyle name="Énfasis4" xfId="55" builtinId="41" customBuiltin="1"/>
    <cellStyle name="Énfasis5" xfId="58" builtinId="45" customBuiltin="1"/>
    <cellStyle name="Énfasis5 2" xfId="16" xr:uid="{00000000-0005-0000-0000-000004000000}"/>
    <cellStyle name="Énfasis6" xfId="62" builtinId="49" customBuiltin="1"/>
    <cellStyle name="Entrada" xfId="36" builtinId="20" customBuiltin="1"/>
    <cellStyle name="Estilo 1" xfId="25" xr:uid="{00000000-0005-0000-0000-000005000000}"/>
    <cellStyle name="Hipervínculo" xfId="9" builtinId="8"/>
    <cellStyle name="Incorrecto" xfId="34" builtinId="27" customBuiltin="1"/>
    <cellStyle name="Millares" xfId="5" builtinId="3"/>
    <cellStyle name="Millares [0]" xfId="13" builtinId="6"/>
    <cellStyle name="Millares [0] 2" xfId="84" xr:uid="{B901DC21-B40A-4B45-91CC-425DD98B93CA}"/>
    <cellStyle name="Millares 2" xfId="4" xr:uid="{00000000-0005-0000-0000-000009000000}"/>
    <cellStyle name="Millares 2 2" xfId="20" xr:uid="{00000000-0005-0000-0000-00000A000000}"/>
    <cellStyle name="Millares 2 3" xfId="81" xr:uid="{09A23D91-2FB8-4D2B-B963-B8A861EC0659}"/>
    <cellStyle name="Millares 3" xfId="21" xr:uid="{00000000-0005-0000-0000-00000B000000}"/>
    <cellStyle name="Millares 3 2" xfId="82" xr:uid="{21891B30-7B0C-4909-90B4-EAB36C45E829}"/>
    <cellStyle name="Moneda" xfId="1" builtinId="4"/>
    <cellStyle name="Moneda [0]" xfId="6" builtinId="7"/>
    <cellStyle name="Moneda [0] 2" xfId="18" xr:uid="{00000000-0005-0000-0000-00000E000000}"/>
    <cellStyle name="Moneda 10" xfId="68" xr:uid="{3EF0C745-A545-416E-AC66-44AC1E19D668}"/>
    <cellStyle name="Moneda 11" xfId="69" xr:uid="{2A3AB692-F9AB-48E2-B727-FB4DBEBC146D}"/>
    <cellStyle name="Moneda 12" xfId="74" xr:uid="{60AED0B7-B143-44FE-A55F-8411CB7FFC6D}"/>
    <cellStyle name="Moneda 13" xfId="73" xr:uid="{B8B8F35F-002A-4B1D-9680-D9BFA1FE9D7F}"/>
    <cellStyle name="Moneda 14" xfId="75" xr:uid="{519B9C59-8A21-4B34-AFC5-312F03FC94A3}"/>
    <cellStyle name="Moneda 15" xfId="76" xr:uid="{2170C0BF-DEE1-4D4C-9CF8-7977D3062656}"/>
    <cellStyle name="Moneda 16" xfId="77" xr:uid="{DB189138-684F-4C42-B361-D5E6C68803A8}"/>
    <cellStyle name="Moneda 17" xfId="78" xr:uid="{553A26EF-02A2-4B49-AA68-6C813ABE3A6C}"/>
    <cellStyle name="Moneda 18" xfId="80" xr:uid="{6DBAC847-1616-44FB-956A-B2E77155ADE2}"/>
    <cellStyle name="Moneda 19" xfId="79" xr:uid="{C0D6462E-1086-41F9-8E84-921EB1A7902A}"/>
    <cellStyle name="Moneda 2" xfId="22" xr:uid="{00000000-0005-0000-0000-00000F000000}"/>
    <cellStyle name="Moneda 20" xfId="83" xr:uid="{D1C86CC8-C9D9-44F7-A014-6807E6A4EDD8}"/>
    <cellStyle name="Moneda 3" xfId="26" xr:uid="{FE849C7E-9FA0-4236-8B2A-CCEBFE45E7EF}"/>
    <cellStyle name="Moneda 4" xfId="27" xr:uid="{5CB8BDD6-C303-42DC-BAFF-C7C76285E34B}"/>
    <cellStyle name="Moneda 5" xfId="66" xr:uid="{D963AB4E-1076-43A3-97AC-5740E029C257}"/>
    <cellStyle name="Moneda 6" xfId="67" xr:uid="{4325CC2D-9452-4F81-A105-EA89C8034BAE}"/>
    <cellStyle name="Moneda 7" xfId="70" xr:uid="{70A2B7D6-5619-46A5-8E25-15E47D239B63}"/>
    <cellStyle name="Moneda 8" xfId="71" xr:uid="{193845F8-BFB9-4F0C-815B-2C7AE72E4AD5}"/>
    <cellStyle name="Moneda 9" xfId="72" xr:uid="{8329DE0E-0CA9-40F5-A74A-A43BCFEFAE48}"/>
    <cellStyle name="Neutral" xfId="35" builtinId="28" customBuiltin="1"/>
    <cellStyle name="Normal" xfId="0" builtinId="0"/>
    <cellStyle name="Normal 2" xfId="11" xr:uid="{00000000-0005-0000-0000-000011000000}"/>
    <cellStyle name="Normal 2 3" xfId="19" xr:uid="{00000000-0005-0000-0000-000012000000}"/>
    <cellStyle name="Normal 3" xfId="3" xr:uid="{00000000-0005-0000-0000-000013000000}"/>
    <cellStyle name="Normal 3 2" xfId="28" xr:uid="{21C23200-9705-4966-B3AE-91A9359A5F1F}"/>
    <cellStyle name="Normal 4" xfId="24" xr:uid="{00000000-0005-0000-0000-000014000000}"/>
    <cellStyle name="Notas" xfId="15" builtinId="10" customBuiltin="1"/>
    <cellStyle name="Percent 2" xfId="85" xr:uid="{9BFECB87-2301-4C96-9F37-1DBF3E52E6AF}"/>
    <cellStyle name="Porcentaje" xfId="2" builtinId="5"/>
    <cellStyle name="Porcentaje 2" xfId="10" xr:uid="{00000000-0005-0000-0000-000017000000}"/>
    <cellStyle name="Porcentaje 2 2" xfId="12" xr:uid="{00000000-0005-0000-0000-000018000000}"/>
    <cellStyle name="Salida" xfId="37" builtinId="21" customBuiltin="1"/>
    <cellStyle name="Salida 2" xfId="17" xr:uid="{00000000-0005-0000-0000-000019000000}"/>
    <cellStyle name="Texto de advertencia" xfId="41" builtinId="11" customBuiltin="1"/>
    <cellStyle name="Texto explicativo" xfId="42" builtinId="53" customBuiltin="1"/>
    <cellStyle name="Título" xfId="29" builtinId="15" customBuiltin="1"/>
    <cellStyle name="Título 2" xfId="30" builtinId="17" customBuiltin="1"/>
    <cellStyle name="Título 3" xfId="31" builtinId="18" customBuiltin="1"/>
    <cellStyle name="Total" xfId="43" builtinId="25" customBuiltin="1"/>
  </cellStyles>
  <dxfs count="244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4" formatCode="#,##0.0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fill>
        <patternFill patternType="solid">
          <fgColor indexed="64"/>
          <bgColor theme="0" tint="-4.9989318521683403E-2"/>
        </patternFill>
      </fill>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4" formatCode="#,##0.0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fill>
        <patternFill patternType="solid">
          <fgColor indexed="64"/>
          <bgColor theme="0" tint="-4.9989318521683403E-2"/>
        </patternFill>
      </fill>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2" formatCode="0.0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bottom" textRotation="0" wrapText="0" indent="0" justifyLastLine="0" shrinkToFit="0" readingOrder="0"/>
      <protection locked="0" hidden="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protection locked="0" hidden="0"/>
    </dxf>
    <dxf>
      <numFmt numFmtId="3" formatCode="#,##0"/>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4" formatCode="#,##0.00"/>
      <protection locked="0" hidden="0"/>
    </dxf>
    <dxf>
      <numFmt numFmtId="3" formatCode="#,##0"/>
      <fill>
        <patternFill patternType="none">
          <fgColor indexed="64"/>
          <bgColor auto="1"/>
        </patternFill>
      </fill>
      <protection locked="0" hidden="0"/>
    </dxf>
    <dxf>
      <numFmt numFmtId="4" formatCode="#,##0.00"/>
      <protection locked="0" hidden="0"/>
    </dxf>
    <dxf>
      <numFmt numFmtId="3" formatCode="#,##0"/>
      <protection locked="0" hidden="0"/>
    </dxf>
    <dxf>
      <numFmt numFmtId="3" formatCode="#,##0"/>
      <protection locked="0" hidden="0"/>
    </dxf>
    <dxf>
      <numFmt numFmtId="3" formatCode="#,##0"/>
      <protection locked="0" hidden="0"/>
    </dxf>
    <dxf>
      <alignment horizontal="center" vertical="bottom" textRotation="0" wrapText="0" indent="0" justifyLastLine="0" shrinkToFit="0" readingOrder="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family val="2"/>
        <scheme val="none"/>
      </font>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4" formatCode="#,##0.00"/>
      <protection locked="0" hidden="0"/>
    </dxf>
    <dxf>
      <numFmt numFmtId="3" formatCode="#,##0"/>
      <protection locked="0" hidden="0"/>
    </dxf>
    <dxf>
      <numFmt numFmtId="3" formatCode="#,##0"/>
      <protection locked="0" hidden="0"/>
    </dxf>
    <dxf>
      <numFmt numFmtId="3" formatCode="#,##0"/>
      <protection locked="0" hidden="0"/>
    </dxf>
    <dxf>
      <alignment horizontal="center" vertical="bottom" textRotation="0" wrapText="0" indent="0" justifyLastLine="0" shrinkToFit="0" readingOrder="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family val="2"/>
        <scheme val="none"/>
      </font>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fill>
        <patternFill>
          <bgColor theme="9" tint="0.79998168889431442"/>
        </patternFill>
      </fill>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center" textRotation="0" wrapText="0" relativeIndent="0" justifyLastLine="0" shrinkToFit="0" readingOrder="0"/>
    </dxf>
    <dxf>
      <border>
        <bottom style="medium">
          <color indexed="64"/>
        </bottom>
      </border>
    </dxf>
    <dxf>
      <font>
        <b/>
        <i val="0"/>
        <strike val="0"/>
        <condense val="0"/>
        <extend val="0"/>
        <outline val="0"/>
        <shadow val="0"/>
        <u val="none"/>
        <vertAlign val="baseline"/>
        <sz val="8"/>
        <color auto="1"/>
        <name val="Arial"/>
        <scheme val="none"/>
      </font>
      <numFmt numFmtId="3" formatCode="#,##0"/>
      <fill>
        <patternFill patternType="solid">
          <fgColor theme="4"/>
          <bgColor theme="4"/>
        </patternFill>
      </fill>
      <alignment horizontal="center" vertical="center" textRotation="0" wrapText="0" relativeIndent="0" justifyLastLine="0" shrinkToFit="0" readingOrder="0"/>
      <border diagonalUp="0" diagonalDown="0">
        <left style="medium">
          <color indexed="0"/>
        </left>
        <right style="medium">
          <color indexed="0"/>
        </right>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9"/>
        <color theme="1"/>
        <name val="Calibri Light"/>
        <scheme val="minor"/>
      </font>
      <fill>
        <patternFill patternType="none">
          <fgColor indexed="64"/>
          <bgColor auto="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Calibri Light"/>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Calibri Light"/>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9"/>
        <color auto="1"/>
        <name val="Calibri Light"/>
        <scheme val="minor"/>
      </font>
      <fill>
        <patternFill patternType="none">
          <fgColor indexed="64"/>
          <bgColor auto="1"/>
        </patternFill>
      </fill>
      <alignment horizontal="center"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Light"/>
        <scheme val="minor"/>
      </font>
      <fill>
        <patternFill patternType="none">
          <fgColor indexed="64"/>
          <bgColor auto="1"/>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auto="1"/>
        <name val="Calibri Light"/>
        <scheme val="minor"/>
      </font>
      <fill>
        <patternFill patternType="none">
          <fgColor indexed="64"/>
          <bgColor auto="1"/>
        </patternFill>
      </fill>
      <alignment horizontal="center" vertical="bottom"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4"/>
      </font>
      <fill>
        <patternFill>
          <bgColor rgb="FFFFFF00"/>
        </patternFill>
      </fill>
    </dxf>
    <dxf>
      <font>
        <color theme="0"/>
      </font>
      <fill>
        <patternFill patternType="none">
          <bgColor auto="1"/>
        </patternFill>
      </fill>
    </dxf>
    <dxf>
      <font>
        <color theme="4"/>
      </font>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FF00"/>
        </patternFill>
      </fill>
    </dxf>
    <dxf>
      <fill>
        <patternFill patternType="none">
          <bgColor auto="1"/>
        </patternFill>
      </fill>
    </dxf>
    <dxf>
      <font>
        <color theme="4"/>
      </font>
      <fill>
        <patternFill>
          <bgColor rgb="FFFFFF00"/>
        </patternFill>
      </fill>
    </dxf>
    <dxf>
      <font>
        <b/>
        <i val="0"/>
        <color theme="4" tint="0.59996337778862885"/>
      </font>
      <fill>
        <patternFill>
          <bgColor theme="7"/>
        </patternFill>
      </fill>
    </dxf>
    <dxf>
      <font>
        <color theme="0"/>
      </font>
    </dxf>
    <dxf>
      <font>
        <b/>
        <i val="0"/>
        <color theme="4" tint="0.59996337778862885"/>
      </font>
      <fill>
        <patternFill>
          <bgColor theme="7"/>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ont>
        <color theme="0"/>
      </font>
      <fill>
        <patternFill patternType="none">
          <bgColor auto="1"/>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b/>
        <i val="0"/>
        <color theme="4" tint="0.59996337778862885"/>
      </font>
      <fill>
        <patternFill>
          <bgColor theme="7"/>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dxf>
    <dxf>
      <font>
        <b/>
        <i val="0"/>
        <color theme="4" tint="0.59996337778862885"/>
      </font>
      <fill>
        <patternFill>
          <bgColor theme="7"/>
        </patternFill>
      </fill>
    </dxf>
    <dxf>
      <font>
        <color theme="0"/>
      </font>
      <fill>
        <patternFill patternType="none">
          <bgColor auto="1"/>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ont>
        <color theme="0"/>
      </font>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patternFill>
          <bgColor rgb="FFFFFF00"/>
        </patternFill>
      </fill>
    </dxf>
    <dxf>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4"/>
      </font>
      <fill>
        <patternFill>
          <bgColor rgb="FFFFFF00"/>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patternType="none">
          <bgColor auto="1"/>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4"/>
      </font>
      <fill>
        <patternFill>
          <bgColor rgb="FFFFFF00"/>
        </patternFill>
      </fill>
    </dxf>
    <dxf>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ont>
        <color theme="0"/>
      </font>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bgColor theme="4" tint="0.59996337778862885"/>
        </patternFill>
      </fill>
    </dxf>
    <dxf>
      <font>
        <color theme="0"/>
      </font>
    </dxf>
    <dxf>
      <font>
        <color theme="0"/>
      </font>
      <fill>
        <patternFill patternType="none">
          <bgColor auto="1"/>
        </patternFill>
      </fill>
    </dxf>
    <dxf>
      <font>
        <color theme="0"/>
      </font>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ont>
        <color theme="0"/>
      </font>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ont>
        <color theme="0"/>
      </font>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ont>
        <color theme="0"/>
      </font>
    </dxf>
    <dxf>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ont>
        <color rgb="FF9C0006"/>
      </font>
      <fill>
        <patternFill>
          <bgColor rgb="FFFFC7CE"/>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ill>
        <patternFill patternType="none">
          <bgColor auto="1"/>
        </patternFill>
      </fill>
    </dxf>
    <dxf>
      <font>
        <b/>
        <i val="0"/>
        <color theme="4" tint="0.59996337778862885"/>
      </font>
      <fill>
        <patternFill>
          <bgColor theme="7"/>
        </patternFill>
      </fill>
    </dxf>
    <dxf>
      <fill>
        <patternFill patternType="none">
          <bgColor auto="1"/>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ont>
        <b/>
        <i val="0"/>
        <color theme="4" tint="0.59996337778862885"/>
      </font>
      <fill>
        <patternFill>
          <bgColor theme="7"/>
        </patternFill>
      </fill>
    </dxf>
    <dxf>
      <fill>
        <patternFill>
          <bgColor rgb="FFFFFF00"/>
        </patternFill>
      </fill>
    </dxf>
    <dxf>
      <font>
        <color theme="0"/>
      </font>
      <fill>
        <patternFill>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theme="4" tint="0.59996337778862885"/>
      </font>
      <fill>
        <patternFill>
          <bgColor theme="7"/>
        </patternFill>
      </fill>
    </dxf>
    <dxf>
      <fill>
        <patternFill patternType="none">
          <bgColor auto="1"/>
        </patternFill>
      </fill>
    </dxf>
    <dxf>
      <fill>
        <patternFill patternType="none">
          <bgColor auto="1"/>
        </patternFill>
      </fill>
    </dxf>
    <dxf>
      <font>
        <b/>
        <i val="0"/>
        <color theme="4" tint="0.59996337778862885"/>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bgColor theme="6" tint="0.79998168889431442"/>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ont>
        <color theme="0"/>
      </font>
      <fill>
        <patternFill patternType="none">
          <bgColor auto="1"/>
        </patternFill>
      </fill>
    </dxf>
    <dxf>
      <font>
        <color theme="0"/>
      </font>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fill>
        <patternFill patternType="none">
          <bgColor auto="1"/>
        </patternFill>
      </fill>
    </dxf>
    <dxf>
      <font>
        <b/>
        <i val="0"/>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4" tint="0.59996337778862885"/>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dxf>
    <dxf>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dxf>
    <dxf>
      <font>
        <color theme="0"/>
      </font>
      <fill>
        <patternFill patternType="none">
          <bgColor auto="1"/>
        </patternFill>
      </fill>
    </dxf>
    <dxf>
      <font>
        <color theme="0"/>
      </font>
    </dxf>
    <dxf>
      <font>
        <color theme="0"/>
      </font>
      <fill>
        <patternFill>
          <bgColor theme="6" tint="0.79998168889431442"/>
        </patternFill>
      </fill>
    </dxf>
    <dxf>
      <fill>
        <patternFill>
          <bgColor theme="4" tint="0.59996337778862885"/>
        </patternFill>
      </fill>
    </dxf>
    <dxf>
      <fill>
        <patternFill>
          <bgColor rgb="FFFFFF00"/>
        </patternFill>
      </fill>
    </dxf>
    <dxf>
      <font>
        <color theme="0"/>
      </font>
      <fill>
        <patternFill>
          <bgColor theme="0"/>
        </patternFill>
      </fill>
    </dxf>
    <dxf>
      <font>
        <color theme="4"/>
      </font>
      <fill>
        <patternFill>
          <bgColor rgb="FFFFFF00"/>
        </patternFill>
      </fill>
    </dxf>
    <dxf>
      <font>
        <color theme="0"/>
      </font>
      <fill>
        <patternFill patternType="none">
          <bgColor auto="1"/>
        </patternFill>
      </fill>
    </dxf>
    <dxf>
      <font>
        <color theme="0"/>
      </font>
      <fill>
        <patternFill>
          <bgColor theme="0"/>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ill>
        <patternFill>
          <bgColor rgb="FFFFFF00"/>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bgColor theme="6"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rgb="FFFFFF00"/>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dxf>
    <dxf>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dxf>
    <dxf>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dxf>
    <dxf>
      <font>
        <color theme="0"/>
      </font>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ill>
        <patternFill patternType="none">
          <bgColor auto="1"/>
        </patternFill>
      </fill>
    </dxf>
    <dxf>
      <fill>
        <gradientFill type="path" left="0.5" right="0.5" top="0.5" bottom="0.5">
          <stop position="0">
            <color theme="0"/>
          </stop>
          <stop position="1">
            <color rgb="FFFF0000"/>
          </stop>
        </gradient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FF0000"/>
          </stop>
        </gradientFill>
      </fill>
    </dxf>
    <dxf>
      <font>
        <color theme="0"/>
      </font>
      <fill>
        <patternFill patternType="none">
          <bgColor auto="1"/>
        </patternFill>
      </fill>
    </dxf>
    <dxf>
      <fill>
        <gradientFill type="path" left="0.5" right="0.5" top="0.5" bottom="0.5">
          <stop position="0">
            <color theme="0"/>
          </stop>
          <stop position="1">
            <color rgb="FFFF0000"/>
          </stop>
        </gradientFill>
      </fill>
    </dxf>
    <dxf>
      <font>
        <color theme="0"/>
      </font>
    </dxf>
    <dxf>
      <font>
        <color theme="0"/>
      </font>
      <fill>
        <patternFill patternType="none">
          <bgColor auto="1"/>
        </patternFill>
      </fill>
    </dxf>
    <dxf>
      <fill>
        <patternFill>
          <bgColor theme="4" tint="0.59996337778862885"/>
        </patternFill>
      </fill>
    </dxf>
    <dxf>
      <fill>
        <gradientFill type="path" left="0.5" right="0.5" top="0.5" bottom="0.5">
          <stop position="0">
            <color theme="0"/>
          </stop>
          <stop position="1">
            <color rgb="FFFF0000"/>
          </stop>
        </gradientFill>
      </fill>
    </dxf>
    <dxf>
      <font>
        <color theme="0"/>
      </font>
      <fill>
        <patternFill patternType="none">
          <bgColor auto="1"/>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59996337778862885"/>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gradientFill type="path" left="0.5" right="0.5" top="0.5" bottom="0.5">
          <stop position="0">
            <color theme="0"/>
          </stop>
          <stop position="1">
            <color rgb="FFFF0000"/>
          </stop>
        </gradient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rgb="FFFFFF00"/>
        </patternFill>
      </fill>
    </dxf>
    <dxf>
      <font>
        <color theme="0"/>
      </font>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patternFill>
          <bgColor rgb="FFFFFF00"/>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ont>
        <color theme="0"/>
      </font>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patternFill>
          <bgColor rgb="FFFFFF00"/>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theme="0"/>
      </font>
      <fill>
        <patternFill patternType="none">
          <bgColor auto="1"/>
        </patternFill>
      </fill>
    </dxf>
    <dxf>
      <font>
        <color rgb="FF9C0006"/>
      </font>
      <fill>
        <patternFill>
          <bgColor rgb="FFFFC7CE"/>
        </patternFill>
      </fill>
    </dxf>
    <dxf>
      <fill>
        <patternFill>
          <bgColor rgb="FFFFFF00"/>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FF0000"/>
          </stop>
        </gradient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gradientFill type="path" left="0.5" right="0.5" top="0.5" bottom="0.5">
          <stop position="0">
            <color theme="0"/>
          </stop>
          <stop position="1">
            <color rgb="FFFF0000"/>
          </stop>
        </gradient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FFFF00"/>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rgb="FFFFFF00"/>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FF0000"/>
          </stop>
        </gradient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ill>
        <patternFill>
          <bgColor rgb="FFFFFF00"/>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gradientFill type="path" left="0.5" right="0.5" top="0.5" bottom="0.5">
          <stop position="0">
            <color theme="0"/>
          </stop>
          <stop position="1">
            <color rgb="FFFF0000"/>
          </stop>
        </gradient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patternType="none">
          <bgColor auto="1"/>
        </patternFill>
      </fill>
    </dxf>
    <dxf>
      <fill>
        <patternFill>
          <bgColor rgb="FFFFFF00"/>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gradientFill type="path" left="0.5" right="0.5" top="0.5" bottom="0.5">
          <stop position="0">
            <color theme="0"/>
          </stop>
          <stop position="1">
            <color rgb="FFFF0000"/>
          </stop>
        </gradientFill>
      </fill>
    </dxf>
    <dxf>
      <font>
        <color rgb="FF9C0006"/>
      </font>
      <fill>
        <patternFill>
          <bgColor rgb="FFFFC7CE"/>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bgColor rgb="FFFFFF00"/>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ont>
        <color theme="0"/>
      </font>
      <numFmt numFmtId="2" formatCode="0.00"/>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dxf>
    <dxf>
      <fill>
        <gradientFill type="path" left="0.5" right="0.5" top="0.5" bottom="0.5">
          <stop position="0">
            <color theme="0"/>
          </stop>
          <stop position="1">
            <color rgb="FFFF0000"/>
          </stop>
        </gradientFill>
      </fill>
    </dxf>
    <dxf>
      <fill>
        <patternFill>
          <bgColor theme="4" tint="0.59996337778862885"/>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FF0000"/>
          </stop>
        </gradientFill>
      </fill>
    </dxf>
    <dxf>
      <font>
        <color rgb="FF9C0006"/>
      </font>
      <fill>
        <patternFill>
          <bgColor rgb="FFFFC7CE"/>
        </patternFill>
      </fill>
    </dxf>
    <dxf>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border>
        <left style="thin">
          <color auto="1"/>
        </left>
        <right style="thin">
          <color auto="1"/>
        </right>
        <top style="thin">
          <color auto="1"/>
        </top>
        <bottom style="thin">
          <color auto="1"/>
        </bottom>
        <vertical style="hair">
          <color auto="1"/>
        </vertical>
        <horizontal style="hair">
          <color auto="1"/>
        </horizontal>
      </border>
    </dxf>
    <dxf>
      <border>
        <left style="thin">
          <color auto="1"/>
        </left>
        <right style="thin">
          <color auto="1"/>
        </right>
        <top style="thin">
          <color auto="1"/>
        </top>
        <bottom style="thin">
          <color auto="1"/>
        </bottom>
        <vertical style="hair">
          <color auto="1"/>
        </vertical>
        <horizontal style="hair">
          <color auto="1"/>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border>
        <left style="thin">
          <color auto="1"/>
        </left>
        <right style="thin">
          <color auto="1"/>
        </right>
        <top style="thin">
          <color auto="1"/>
        </top>
        <bottom style="thin">
          <color auto="1"/>
        </bottom>
        <vertical style="hair">
          <color auto="1"/>
        </vertical>
        <horizontal style="hair">
          <color auto="1"/>
        </horizontal>
      </border>
    </dxf>
  </dxfs>
  <tableStyles count="3" defaultTableStyle="TableStyleMedium2" defaultPivotStyle="PivotStyleLight16">
    <tableStyle name="PivotStyleLight15 2" table="0" count="12" xr9:uid="{C03AE1AE-9EB7-4C0A-B2DF-678E77D57462}">
      <tableStyleElement type="wholeTable" dxfId="2439"/>
      <tableStyleElement type="headerRow" dxfId="2438"/>
      <tableStyleElement type="totalRow" dxfId="2437"/>
      <tableStyleElement type="firstRowStripe" dxfId="2436"/>
      <tableStyleElement type="firstColumnStripe" dxfId="2435"/>
      <tableStyleElement type="firstSubtotalColumn" dxfId="2434"/>
      <tableStyleElement type="firstSubtotalRow" dxfId="2433"/>
      <tableStyleElement type="secondSubtotalRow" dxfId="2432"/>
      <tableStyleElement type="firstRowSubheading" dxfId="2431"/>
      <tableStyleElement type="secondRowSubheading" dxfId="2430"/>
      <tableStyleElement type="pageFieldLabels" dxfId="2429"/>
      <tableStyleElement type="pageFieldValues" dxfId="2428"/>
    </tableStyle>
    <tableStyle name="Estilo de tabla dinámica 1" table="0" count="1" xr9:uid="{2D62E376-1DF5-42F9-8D78-14E1ED34C98A}">
      <tableStyleElement type="wholeTable" dxfId="2427"/>
    </tableStyle>
    <tableStyle name="Estilo de tabla dinámica 2" table="0" count="6" xr9:uid="{2C8588B9-0F51-4BDE-8024-8592C7CE5131}">
      <tableStyleElement type="wholeTable" dxfId="2426"/>
      <tableStyleElement type="headerRow" dxfId="2425"/>
      <tableStyleElement type="totalRow" dxfId="2424"/>
      <tableStyleElement type="firstRowStripe" dxfId="2423"/>
      <tableStyleElement type="pageFieldLabels" dxfId="2422"/>
      <tableStyleElement type="pageFieldValues" dxfId="2421"/>
    </tableStyle>
  </tableStyles>
  <colors>
    <mruColors>
      <color rgb="FF9933FF"/>
      <color rgb="FFCC99FF"/>
      <color rgb="FFFF43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6.xml"/><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8"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7.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hartsheet" Target="chartsheets/sheet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0" i="0" baseline="0">
                <a:effectLst/>
              </a:rPr>
              <a:t>GRÁFICA BENEFICIO COSTO</a:t>
            </a:r>
            <a:endParaRPr lang="es-CO">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TOTAL TÉCNICO'!$B$45</c:f>
              <c:strCache>
                <c:ptCount val="1"/>
                <c:pt idx="0">
                  <c:v>Beneficio</c:v>
                </c:pt>
              </c:strCache>
            </c:strRef>
          </c:tx>
          <c:spPr>
            <a:ln w="28575" cap="rnd">
              <a:solidFill>
                <a:schemeClr val="accent1"/>
              </a:solidFill>
              <a:round/>
            </a:ln>
            <a:effectLst/>
          </c:spPr>
          <c:marker>
            <c:symbol val="none"/>
          </c:marker>
          <c:cat>
            <c:numRef>
              <c:f>'BC TOTAL TÉCNICO'!$C$44:$M$44</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TOTAL TÉCNICO'!$C$45:$M$45</c:f>
              <c:numCache>
                <c:formatCode>"$"#,##0_);[Red]\("$"#,##0\)</c:formatCode>
                <c:ptCount val="11"/>
                <c:pt idx="0">
                  <c:v>0</c:v>
                </c:pt>
                <c:pt idx="1">
                  <c:v>250502.0983910147</c:v>
                </c:pt>
                <c:pt idx="2">
                  <c:v>1638686.098167757</c:v>
                </c:pt>
                <c:pt idx="3">
                  <c:v>3541237.7312308</c:v>
                </c:pt>
                <c:pt idx="4">
                  <c:v>5681351.1884902641</c:v>
                </c:pt>
                <c:pt idx="5">
                  <c:v>8463979.8076468892</c:v>
                </c:pt>
                <c:pt idx="6">
                  <c:v>11904106.665012322</c:v>
                </c:pt>
                <c:pt idx="7">
                  <c:v>14837638.079037001</c:v>
                </c:pt>
                <c:pt idx="8">
                  <c:v>18229237.406069197</c:v>
                </c:pt>
                <c:pt idx="9">
                  <c:v>22009597.402364943</c:v>
                </c:pt>
                <c:pt idx="10">
                  <c:v>26252261.485178288</c:v>
                </c:pt>
              </c:numCache>
            </c:numRef>
          </c:val>
          <c:smooth val="0"/>
          <c:extLst>
            <c:ext xmlns:c16="http://schemas.microsoft.com/office/drawing/2014/chart" uri="{C3380CC4-5D6E-409C-BE32-E72D297353CC}">
              <c16:uniqueId val="{00000000-98FA-4FFD-98A2-E846C3190611}"/>
            </c:ext>
          </c:extLst>
        </c:ser>
        <c:ser>
          <c:idx val="1"/>
          <c:order val="1"/>
          <c:tx>
            <c:strRef>
              <c:f>'BC TOTAL TÉCNICO'!$B$46</c:f>
              <c:strCache>
                <c:ptCount val="1"/>
                <c:pt idx="0">
                  <c:v>Costos + Inversión</c:v>
                </c:pt>
              </c:strCache>
            </c:strRef>
          </c:tx>
          <c:spPr>
            <a:ln w="28575" cap="rnd">
              <a:solidFill>
                <a:schemeClr val="accent2"/>
              </a:solidFill>
              <a:round/>
            </a:ln>
            <a:effectLst/>
          </c:spPr>
          <c:marker>
            <c:symbol val="none"/>
          </c:marker>
          <c:cat>
            <c:numRef>
              <c:f>'BC TOTAL TÉCNICO'!$C$44:$M$44</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TOTAL TÉCNICO'!$C$46:$M$46</c:f>
              <c:numCache>
                <c:formatCode>"$"#,##0_);[Red]\("$"#,##0\)</c:formatCode>
                <c:ptCount val="11"/>
                <c:pt idx="0">
                  <c:v>0</c:v>
                </c:pt>
                <c:pt idx="1">
                  <c:v>2390961.8444051421</c:v>
                </c:pt>
                <c:pt idx="2">
                  <c:v>11482197.861317368</c:v>
                </c:pt>
                <c:pt idx="3">
                  <c:v>9298889.3759914935</c:v>
                </c:pt>
                <c:pt idx="4">
                  <c:v>12443673.93030991</c:v>
                </c:pt>
                <c:pt idx="5">
                  <c:v>10607403.994900122</c:v>
                </c:pt>
                <c:pt idx="6">
                  <c:v>13794687.856624236</c:v>
                </c:pt>
                <c:pt idx="7">
                  <c:v>3783019.1468942822</c:v>
                </c:pt>
                <c:pt idx="8">
                  <c:v>5134846.8446653457</c:v>
                </c:pt>
                <c:pt idx="9">
                  <c:v>4146587.5599922095</c:v>
                </c:pt>
                <c:pt idx="10">
                  <c:v>4181152.9951421241</c:v>
                </c:pt>
              </c:numCache>
            </c:numRef>
          </c:val>
          <c:smooth val="0"/>
          <c:extLst>
            <c:ext xmlns:c16="http://schemas.microsoft.com/office/drawing/2014/chart" uri="{C3380CC4-5D6E-409C-BE32-E72D297353CC}">
              <c16:uniqueId val="{00000001-98FA-4FFD-98A2-E846C3190611}"/>
            </c:ext>
          </c:extLst>
        </c:ser>
        <c:dLbls>
          <c:showLegendKey val="0"/>
          <c:showVal val="0"/>
          <c:showCatName val="0"/>
          <c:showSerName val="0"/>
          <c:showPercent val="0"/>
          <c:showBubbleSize val="0"/>
        </c:dLbls>
        <c:smooth val="0"/>
        <c:axId val="193654576"/>
        <c:axId val="193658888"/>
      </c:lineChart>
      <c:catAx>
        <c:axId val="19365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8888"/>
        <c:crosses val="autoZero"/>
        <c:auto val="1"/>
        <c:lblAlgn val="ctr"/>
        <c:lblOffset val="100"/>
        <c:noMultiLvlLbl val="0"/>
      </c:catAx>
      <c:valAx>
        <c:axId val="1936588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0" i="0" baseline="0">
                <a:effectLst/>
              </a:rPr>
              <a:t>GRÁFICA BENEFICIO COSTO</a:t>
            </a:r>
            <a:endParaRPr lang="es-CO">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TOTAL COMERCIAL'!$B$45</c:f>
              <c:strCache>
                <c:ptCount val="1"/>
                <c:pt idx="0">
                  <c:v>Beneficio</c:v>
                </c:pt>
              </c:strCache>
            </c:strRef>
          </c:tx>
          <c:spPr>
            <a:ln w="28575" cap="rnd">
              <a:solidFill>
                <a:schemeClr val="accent1"/>
              </a:solidFill>
              <a:round/>
            </a:ln>
            <a:effectLst/>
          </c:spPr>
          <c:marker>
            <c:symbol val="none"/>
          </c:marker>
          <c:cat>
            <c:numRef>
              <c:f>'BC TOTAL COMERCIAL'!$C$44:$M$44</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COMERCIAL'!$C$45:$M$45</c:f>
              <c:numCache>
                <c:formatCode>"$"#,##0_);[Red]\("$"#,##0\)</c:formatCode>
                <c:ptCount val="11"/>
                <c:pt idx="0">
                  <c:v>0</c:v>
                </c:pt>
                <c:pt idx="1">
                  <c:v>4312392.6517680092</c:v>
                </c:pt>
                <c:pt idx="2">
                  <c:v>9869532.0029713046</c:v>
                </c:pt>
                <c:pt idx="3">
                  <c:v>17177927.264440965</c:v>
                </c:pt>
                <c:pt idx="4">
                  <c:v>26620453.350619033</c:v>
                </c:pt>
                <c:pt idx="5">
                  <c:v>37954837.734550744</c:v>
                </c:pt>
                <c:pt idx="6">
                  <c:v>40986846.469164394</c:v>
                </c:pt>
                <c:pt idx="7">
                  <c:v>46196704.589181848</c:v>
                </c:pt>
                <c:pt idx="8">
                  <c:v>51717853.849482439</c:v>
                </c:pt>
                <c:pt idx="9">
                  <c:v>57442594.559229501</c:v>
                </c:pt>
                <c:pt idx="10">
                  <c:v>63247986.306698084</c:v>
                </c:pt>
              </c:numCache>
            </c:numRef>
          </c:val>
          <c:smooth val="0"/>
          <c:extLst>
            <c:ext xmlns:c16="http://schemas.microsoft.com/office/drawing/2014/chart" uri="{C3380CC4-5D6E-409C-BE32-E72D297353CC}">
              <c16:uniqueId val="{00000000-630C-4426-8C15-775A792DF510}"/>
            </c:ext>
          </c:extLst>
        </c:ser>
        <c:ser>
          <c:idx val="1"/>
          <c:order val="1"/>
          <c:tx>
            <c:strRef>
              <c:f>'BC TOTAL COMERCIAL'!$B$46</c:f>
              <c:strCache>
                <c:ptCount val="1"/>
                <c:pt idx="0">
                  <c:v>Costos + Inversión</c:v>
                </c:pt>
              </c:strCache>
            </c:strRef>
          </c:tx>
          <c:spPr>
            <a:ln w="28575" cap="rnd">
              <a:solidFill>
                <a:schemeClr val="accent2"/>
              </a:solidFill>
              <a:round/>
            </a:ln>
            <a:effectLst/>
          </c:spPr>
          <c:marker>
            <c:symbol val="none"/>
          </c:marker>
          <c:cat>
            <c:numRef>
              <c:f>'BC TOTAL COMERCIAL'!$C$44:$M$44</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COMERCIAL'!$C$46:$M$46</c:f>
              <c:numCache>
                <c:formatCode>"$"#,##0_);[Red]\("$"#,##0\)</c:formatCode>
                <c:ptCount val="11"/>
                <c:pt idx="0">
                  <c:v>0</c:v>
                </c:pt>
                <c:pt idx="1">
                  <c:v>3670528.4139963128</c:v>
                </c:pt>
                <c:pt idx="2">
                  <c:v>4003515.1850612559</c:v>
                </c:pt>
                <c:pt idx="3">
                  <c:v>4336424.9433143036</c:v>
                </c:pt>
                <c:pt idx="4">
                  <c:v>4933097.7731209388</c:v>
                </c:pt>
                <c:pt idx="5">
                  <c:v>5335127.5911086118</c:v>
                </c:pt>
                <c:pt idx="6">
                  <c:v>2134409.3793863473</c:v>
                </c:pt>
                <c:pt idx="7">
                  <c:v>2255643.4052536162</c:v>
                </c:pt>
                <c:pt idx="8">
                  <c:v>2383763.4995433409</c:v>
                </c:pt>
                <c:pt idx="9">
                  <c:v>2519160.7895647027</c:v>
                </c:pt>
                <c:pt idx="10">
                  <c:v>2662248.6185798198</c:v>
                </c:pt>
              </c:numCache>
            </c:numRef>
          </c:val>
          <c:smooth val="0"/>
          <c:extLst>
            <c:ext xmlns:c16="http://schemas.microsoft.com/office/drawing/2014/chart" uri="{C3380CC4-5D6E-409C-BE32-E72D297353CC}">
              <c16:uniqueId val="{00000001-630C-4426-8C15-775A792DF510}"/>
            </c:ext>
          </c:extLst>
        </c:ser>
        <c:dLbls>
          <c:showLegendKey val="0"/>
          <c:showVal val="0"/>
          <c:showCatName val="0"/>
          <c:showSerName val="0"/>
          <c:showPercent val="0"/>
          <c:showBubbleSize val="0"/>
        </c:dLbls>
        <c:smooth val="0"/>
        <c:axId val="193656928"/>
        <c:axId val="193655752"/>
      </c:lineChart>
      <c:catAx>
        <c:axId val="1936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5752"/>
        <c:crosses val="autoZero"/>
        <c:auto val="1"/>
        <c:lblAlgn val="ctr"/>
        <c:lblOffset val="100"/>
        <c:noMultiLvlLbl val="0"/>
      </c:catAx>
      <c:valAx>
        <c:axId val="1936557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0" i="0" baseline="0">
                <a:effectLst/>
              </a:rPr>
              <a:t>GRÁFICA BENEFICIO COSTO</a:t>
            </a:r>
            <a:endParaRPr lang="es-CO">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TOTAL PROGRAMAS'!$B$47</c:f>
              <c:strCache>
                <c:ptCount val="1"/>
                <c:pt idx="0">
                  <c:v>Beneficio</c:v>
                </c:pt>
              </c:strCache>
            </c:strRef>
          </c:tx>
          <c:spPr>
            <a:ln w="28575" cap="rnd">
              <a:solidFill>
                <a:schemeClr val="accent1"/>
              </a:solidFill>
              <a:round/>
            </a:ln>
            <a:effectLst/>
          </c:spPr>
          <c:marker>
            <c:symbol val="none"/>
          </c:marker>
          <c:cat>
            <c:numRef>
              <c:f>'BC TOTAL PROGRAMAS'!$C$46:$M$46</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PROGRAMAS'!$C$47:$M$47</c:f>
              <c:numCache>
                <c:formatCode>"$"#,##0_);[Red]\("$"#,##0\)</c:formatCode>
                <c:ptCount val="11"/>
                <c:pt idx="0">
                  <c:v>0</c:v>
                </c:pt>
                <c:pt idx="1">
                  <c:v>3682898.0111758444</c:v>
                </c:pt>
                <c:pt idx="2">
                  <c:v>6376494.7631745925</c:v>
                </c:pt>
                <c:pt idx="3">
                  <c:v>8376689.4530205419</c:v>
                </c:pt>
                <c:pt idx="4">
                  <c:v>10323379.791234558</c:v>
                </c:pt>
                <c:pt idx="5">
                  <c:v>12472667.620752333</c:v>
                </c:pt>
                <c:pt idx="6">
                  <c:v>6383538.1568679856</c:v>
                </c:pt>
                <c:pt idx="7">
                  <c:v>6008189.3255499685</c:v>
                </c:pt>
                <c:pt idx="8">
                  <c:v>6508848.8837753134</c:v>
                </c:pt>
                <c:pt idx="9">
                  <c:v>6806553.5963516124</c:v>
                </c:pt>
                <c:pt idx="10">
                  <c:v>7035280.8902672771</c:v>
                </c:pt>
              </c:numCache>
            </c:numRef>
          </c:val>
          <c:smooth val="0"/>
          <c:extLst>
            <c:ext xmlns:c16="http://schemas.microsoft.com/office/drawing/2014/chart" uri="{C3380CC4-5D6E-409C-BE32-E72D297353CC}">
              <c16:uniqueId val="{00000000-0FFD-4D25-93DB-348F70CF484E}"/>
            </c:ext>
          </c:extLst>
        </c:ser>
        <c:ser>
          <c:idx val="1"/>
          <c:order val="1"/>
          <c:tx>
            <c:strRef>
              <c:f>'BC TOTAL PROGRAMAS'!$B$48</c:f>
              <c:strCache>
                <c:ptCount val="1"/>
                <c:pt idx="0">
                  <c:v>Costos + Inversión</c:v>
                </c:pt>
              </c:strCache>
            </c:strRef>
          </c:tx>
          <c:spPr>
            <a:ln w="28575" cap="rnd">
              <a:solidFill>
                <a:schemeClr val="accent2"/>
              </a:solidFill>
              <a:round/>
            </a:ln>
            <a:effectLst/>
          </c:spPr>
          <c:marker>
            <c:symbol val="none"/>
          </c:marker>
          <c:cat>
            <c:numRef>
              <c:f>'BC TOTAL PROGRAMAS'!$C$46:$M$46</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PROGRAMAS'!$C$48:$M$48</c:f>
              <c:numCache>
                <c:formatCode>"$"#,##0_);[Red]\("$"#,##0\)</c:formatCode>
                <c:ptCount val="11"/>
                <c:pt idx="0">
                  <c:v>0</c:v>
                </c:pt>
                <c:pt idx="1">
                  <c:v>6061490.2584014554</c:v>
                </c:pt>
                <c:pt idx="2">
                  <c:v>15485713.046378624</c:v>
                </c:pt>
                <c:pt idx="3">
                  <c:v>13635314.319305796</c:v>
                </c:pt>
                <c:pt idx="4">
                  <c:v>17376771.703430846</c:v>
                </c:pt>
                <c:pt idx="5">
                  <c:v>15942531.586008733</c:v>
                </c:pt>
                <c:pt idx="6">
                  <c:v>15929097.236010581</c:v>
                </c:pt>
                <c:pt idx="7">
                  <c:v>6038662.5521478988</c:v>
                </c:pt>
                <c:pt idx="8">
                  <c:v>7518610.3442086866</c:v>
                </c:pt>
                <c:pt idx="9">
                  <c:v>6665748.3495569117</c:v>
                </c:pt>
                <c:pt idx="10">
                  <c:v>6843401.6137219435</c:v>
                </c:pt>
              </c:numCache>
            </c:numRef>
          </c:val>
          <c:smooth val="0"/>
          <c:extLst>
            <c:ext xmlns:c16="http://schemas.microsoft.com/office/drawing/2014/chart" uri="{C3380CC4-5D6E-409C-BE32-E72D297353CC}">
              <c16:uniqueId val="{00000001-0FFD-4D25-93DB-348F70CF484E}"/>
            </c:ext>
          </c:extLst>
        </c:ser>
        <c:dLbls>
          <c:showLegendKey val="0"/>
          <c:showVal val="0"/>
          <c:showCatName val="0"/>
          <c:showSerName val="0"/>
          <c:showPercent val="0"/>
          <c:showBubbleSize val="0"/>
        </c:dLbls>
        <c:smooth val="0"/>
        <c:axId val="193658104"/>
        <c:axId val="193659672"/>
      </c:lineChart>
      <c:catAx>
        <c:axId val="193658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9672"/>
        <c:crosses val="autoZero"/>
        <c:auto val="1"/>
        <c:lblAlgn val="ctr"/>
        <c:lblOffset val="100"/>
        <c:noMultiLvlLbl val="0"/>
      </c:catAx>
      <c:valAx>
        <c:axId val="193659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Programas'!$D$10:$J$10</c:f>
              <c:numCache>
                <c:formatCode>0.00</c:formatCode>
                <c:ptCount val="7"/>
                <c:pt idx="0">
                  <c:v>23.831262003420072</c:v>
                </c:pt>
                <c:pt idx="1">
                  <c:v>23.893607509325392</c:v>
                </c:pt>
                <c:pt idx="2">
                  <c:v>25.533621644464482</c:v>
                </c:pt>
                <c:pt idx="3">
                  <c:v>27.770740872609203</c:v>
                </c:pt>
                <c:pt idx="4">
                  <c:v>26.571619228751363</c:v>
                </c:pt>
                <c:pt idx="5">
                  <c:v>27.692142517810904</c:v>
                </c:pt>
                <c:pt idx="6">
                  <c:v>28.234467265426716</c:v>
                </c:pt>
              </c:numCache>
            </c:numRef>
          </c:val>
          <c:smooth val="0"/>
          <c:extLst>
            <c:ext xmlns:c16="http://schemas.microsoft.com/office/drawing/2014/chart" uri="{C3380CC4-5D6E-409C-BE32-E72D297353CC}">
              <c16:uniqueId val="{00000000-137B-486A-B1D7-E0141A941D0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Programas'!$D$11:$J$11</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137B-486A-B1D7-E0141A941D0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Programas'!$D$12:$J$12</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137B-486A-B1D7-E0141A941D02}"/>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Programas'!$D$13:$J$13</c:f>
              <c:numCache>
                <c:formatCode>#,##0.00</c:formatCode>
                <c:ptCount val="7"/>
                <c:pt idx="0">
                  <c:v>4.5670069693486823</c:v>
                </c:pt>
                <c:pt idx="1">
                  <c:v>4.5530106194944029</c:v>
                </c:pt>
                <c:pt idx="2">
                  <c:v>4.8947845808389232</c:v>
                </c:pt>
                <c:pt idx="3">
                  <c:v>5.3766903133556117</c:v>
                </c:pt>
                <c:pt idx="4">
                  <c:v>5.1544051693355719</c:v>
                </c:pt>
                <c:pt idx="5">
                  <c:v>5.373224686397668</c:v>
                </c:pt>
                <c:pt idx="6">
                  <c:v>5.4443700729393765</c:v>
                </c:pt>
              </c:numCache>
            </c:numRef>
          </c:val>
          <c:smooth val="0"/>
          <c:extLst>
            <c:ext xmlns:c16="http://schemas.microsoft.com/office/drawing/2014/chart" uri="{C3380CC4-5D6E-409C-BE32-E72D297353CC}">
              <c16:uniqueId val="{00000004-137B-486A-B1D7-E0141A941D02}"/>
            </c:ext>
          </c:extLst>
        </c:ser>
        <c:dLbls>
          <c:showLegendKey val="0"/>
          <c:showVal val="0"/>
          <c:showCatName val="0"/>
          <c:showSerName val="0"/>
          <c:showPercent val="0"/>
          <c:showBubbleSize val="0"/>
        </c:dLbls>
        <c:marker val="1"/>
        <c:smooth val="0"/>
        <c:axId val="193653008"/>
        <c:axId val="193653400"/>
      </c:lineChart>
      <c:catAx>
        <c:axId val="19365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3400"/>
        <c:crosses val="autoZero"/>
        <c:auto val="1"/>
        <c:lblAlgn val="ctr"/>
        <c:lblOffset val="100"/>
        <c:noMultiLvlLbl val="0"/>
      </c:catAx>
      <c:valAx>
        <c:axId val="19365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30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Programas'!$D$24:$J$24</c:f>
              <c:numCache>
                <c:formatCode>0.00</c:formatCode>
                <c:ptCount val="7"/>
                <c:pt idx="0">
                  <c:v>23.831262003420072</c:v>
                </c:pt>
                <c:pt idx="1">
                  <c:v>23.893607509325392</c:v>
                </c:pt>
                <c:pt idx="2">
                  <c:v>25.533621644464482</c:v>
                </c:pt>
                <c:pt idx="3">
                  <c:v>27.770740872609203</c:v>
                </c:pt>
                <c:pt idx="4">
                  <c:v>26.571619228751363</c:v>
                </c:pt>
                <c:pt idx="5">
                  <c:v>27.692142517810904</c:v>
                </c:pt>
                <c:pt idx="6">
                  <c:v>28.234467265426716</c:v>
                </c:pt>
              </c:numCache>
            </c:numRef>
          </c:val>
          <c:smooth val="0"/>
          <c:extLst>
            <c:ext xmlns:c16="http://schemas.microsoft.com/office/drawing/2014/chart" uri="{C3380CC4-5D6E-409C-BE32-E72D297353CC}">
              <c16:uniqueId val="{00000000-E091-4CAB-A71C-C375BC16035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Programas'!$D$25:$J$25</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E091-4CAB-A71C-C375BC16035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Programas'!$D$26:$J$26</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E091-4CAB-A71C-C375BC16035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Programas'!$D$27:$J$27</c:f>
              <c:numCache>
                <c:formatCode>#,##0.00</c:formatCode>
                <c:ptCount val="7"/>
                <c:pt idx="0">
                  <c:v>4.5670069693486823</c:v>
                </c:pt>
                <c:pt idx="1">
                  <c:v>4.5530106194944029</c:v>
                </c:pt>
                <c:pt idx="2">
                  <c:v>4.8947845808389232</c:v>
                </c:pt>
                <c:pt idx="3">
                  <c:v>5.3766903133556117</c:v>
                </c:pt>
                <c:pt idx="4">
                  <c:v>5.1544051693355719</c:v>
                </c:pt>
                <c:pt idx="5">
                  <c:v>5.373224686397668</c:v>
                </c:pt>
                <c:pt idx="6">
                  <c:v>5.4443700729393765</c:v>
                </c:pt>
              </c:numCache>
            </c:numRef>
          </c:val>
          <c:smooth val="0"/>
          <c:extLst>
            <c:ext xmlns:c16="http://schemas.microsoft.com/office/drawing/2014/chart" uri="{C3380CC4-5D6E-409C-BE32-E72D297353CC}">
              <c16:uniqueId val="{00000004-E091-4CAB-A71C-C375BC160351}"/>
            </c:ext>
          </c:extLst>
        </c:ser>
        <c:dLbls>
          <c:showLegendKey val="0"/>
          <c:showVal val="0"/>
          <c:showCatName val="0"/>
          <c:showSerName val="0"/>
          <c:showPercent val="0"/>
          <c:showBubbleSize val="0"/>
        </c:dLbls>
        <c:marker val="1"/>
        <c:smooth val="0"/>
        <c:axId val="193656144"/>
        <c:axId val="576302176"/>
      </c:lineChart>
      <c:catAx>
        <c:axId val="193656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2176"/>
        <c:crosses val="autoZero"/>
        <c:auto val="1"/>
        <c:lblAlgn val="ctr"/>
        <c:lblOffset val="100"/>
        <c:noMultiLvlLbl val="0"/>
      </c:catAx>
      <c:valAx>
        <c:axId val="57630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61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Programas'!$D$38:$J$38</c:f>
              <c:numCache>
                <c:formatCode>0.00</c:formatCode>
                <c:ptCount val="7"/>
                <c:pt idx="0">
                  <c:v>23.831262003420072</c:v>
                </c:pt>
                <c:pt idx="1">
                  <c:v>23.893607509325392</c:v>
                </c:pt>
                <c:pt idx="2">
                  <c:v>25.533621644464482</c:v>
                </c:pt>
                <c:pt idx="3">
                  <c:v>27.295670855079972</c:v>
                </c:pt>
                <c:pt idx="4">
                  <c:v>24.046540105010905</c:v>
                </c:pt>
                <c:pt idx="5">
                  <c:v>26.138774055944268</c:v>
                </c:pt>
                <c:pt idx="6">
                  <c:v>27.483299870230287</c:v>
                </c:pt>
              </c:numCache>
            </c:numRef>
          </c:val>
          <c:smooth val="0"/>
          <c:extLst>
            <c:ext xmlns:c16="http://schemas.microsoft.com/office/drawing/2014/chart" uri="{C3380CC4-5D6E-409C-BE32-E72D297353CC}">
              <c16:uniqueId val="{00000000-2BCA-4AC6-8B6B-E29E76A44A38}"/>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Programas'!$D$39:$J$39</c:f>
              <c:numCache>
                <c:formatCode>#,##0.00</c:formatCode>
                <c:ptCount val="7"/>
                <c:pt idx="0">
                  <c:v>19.163932521463877</c:v>
                </c:pt>
                <c:pt idx="1">
                  <c:v>19.055350338861206</c:v>
                </c:pt>
                <c:pt idx="2">
                  <c:v>19.16995813987899</c:v>
                </c:pt>
                <c:pt idx="3">
                  <c:v>19.234479805220445</c:v>
                </c:pt>
                <c:pt idx="4">
                  <c:v>18.753266391808655</c:v>
                </c:pt>
                <c:pt idx="5">
                  <c:v>18.995355460426634</c:v>
                </c:pt>
                <c:pt idx="6">
                  <c:v>19.082967912499718</c:v>
                </c:pt>
              </c:numCache>
            </c:numRef>
          </c:val>
          <c:smooth val="0"/>
          <c:extLst>
            <c:ext xmlns:c16="http://schemas.microsoft.com/office/drawing/2014/chart" uri="{C3380CC4-5D6E-409C-BE32-E72D297353CC}">
              <c16:uniqueId val="{00000002-2BCA-4AC6-8B6B-E29E76A44A38}"/>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Programas'!$D$40:$J$40</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2BCA-4AC6-8B6B-E29E76A44A38}"/>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Programas'!$D$41:$J$41</c:f>
              <c:numCache>
                <c:formatCode>#,##0.00</c:formatCode>
                <c:ptCount val="7"/>
                <c:pt idx="0">
                  <c:v>4.5670069693486823</c:v>
                </c:pt>
                <c:pt idx="1">
                  <c:v>4.5530106194944029</c:v>
                </c:pt>
                <c:pt idx="2">
                  <c:v>4.8947845808389232</c:v>
                </c:pt>
                <c:pt idx="3">
                  <c:v>5.2501802983197994</c:v>
                </c:pt>
                <c:pt idx="4">
                  <c:v>4.5095117239057991</c:v>
                </c:pt>
                <c:pt idx="5">
                  <c:v>4.9651530449243904</c:v>
                </c:pt>
                <c:pt idx="6">
                  <c:v>5.244629295532123</c:v>
                </c:pt>
              </c:numCache>
            </c:numRef>
          </c:val>
          <c:smooth val="0"/>
          <c:extLst>
            <c:ext xmlns:c16="http://schemas.microsoft.com/office/drawing/2014/chart" uri="{C3380CC4-5D6E-409C-BE32-E72D297353CC}">
              <c16:uniqueId val="{00000004-2BCA-4AC6-8B6B-E29E76A44A38}"/>
            </c:ext>
          </c:extLst>
        </c:ser>
        <c:dLbls>
          <c:showLegendKey val="0"/>
          <c:showVal val="0"/>
          <c:showCatName val="0"/>
          <c:showSerName val="0"/>
          <c:showPercent val="0"/>
          <c:showBubbleSize val="0"/>
        </c:dLbls>
        <c:marker val="1"/>
        <c:smooth val="0"/>
        <c:axId val="576308840"/>
        <c:axId val="576309232"/>
      </c:lineChart>
      <c:catAx>
        <c:axId val="5763088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9232"/>
        <c:crosses val="autoZero"/>
        <c:auto val="1"/>
        <c:lblAlgn val="ctr"/>
        <c:lblOffset val="100"/>
        <c:noMultiLvlLbl val="0"/>
      </c:catAx>
      <c:valAx>
        <c:axId val="57630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88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Programas'!$D$52:$J$52</c:f>
              <c:numCache>
                <c:formatCode>0.00</c:formatCode>
                <c:ptCount val="7"/>
                <c:pt idx="0">
                  <c:v>23.831262003420072</c:v>
                </c:pt>
                <c:pt idx="1">
                  <c:v>23.893607509325392</c:v>
                </c:pt>
                <c:pt idx="2">
                  <c:v>25.533621644464482</c:v>
                </c:pt>
                <c:pt idx="3">
                  <c:v>27.770740872609203</c:v>
                </c:pt>
                <c:pt idx="4">
                  <c:v>26.568148685961081</c:v>
                </c:pt>
                <c:pt idx="5">
                  <c:v>27.686811173166902</c:v>
                </c:pt>
                <c:pt idx="6">
                  <c:v>28.225716886064276</c:v>
                </c:pt>
              </c:numCache>
            </c:numRef>
          </c:val>
          <c:smooth val="0"/>
          <c:extLst>
            <c:ext xmlns:c16="http://schemas.microsoft.com/office/drawing/2014/chart" uri="{C3380CC4-5D6E-409C-BE32-E72D297353CC}">
              <c16:uniqueId val="{00000000-E55F-40B3-B970-96F1D38454B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Programas'!$D$53:$J$53</c:f>
              <c:numCache>
                <c:formatCode>#,##0.00</c:formatCode>
                <c:ptCount val="7"/>
                <c:pt idx="0">
                  <c:v>19.163932521463877</c:v>
                </c:pt>
                <c:pt idx="1">
                  <c:v>19.055350338861206</c:v>
                </c:pt>
                <c:pt idx="2">
                  <c:v>19.16995813987899</c:v>
                </c:pt>
                <c:pt idx="3">
                  <c:v>19.360989820256258</c:v>
                </c:pt>
                <c:pt idx="4">
                  <c:v>19.397243039655862</c:v>
                </c:pt>
                <c:pt idx="5">
                  <c:v>19.401996569533228</c:v>
                </c:pt>
                <c:pt idx="6">
                  <c:v>19.280357833738833</c:v>
                </c:pt>
              </c:numCache>
            </c:numRef>
          </c:val>
          <c:smooth val="0"/>
          <c:extLst>
            <c:ext xmlns:c16="http://schemas.microsoft.com/office/drawing/2014/chart" uri="{C3380CC4-5D6E-409C-BE32-E72D297353CC}">
              <c16:uniqueId val="{00000002-E55F-40B3-B970-96F1D38454B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Programas'!$D$54:$J$54</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E55F-40B3-B970-96F1D38454B2}"/>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Programas'!$D$55:$J$55</c:f>
              <c:numCache>
                <c:formatCode>#,##0.00</c:formatCode>
                <c:ptCount val="7"/>
                <c:pt idx="0">
                  <c:v>4.5670069693486823</c:v>
                </c:pt>
                <c:pt idx="1">
                  <c:v>4.5530106194944029</c:v>
                </c:pt>
                <c:pt idx="2">
                  <c:v>4.8947845808389232</c:v>
                </c:pt>
                <c:pt idx="3">
                  <c:v>5.3766903133556117</c:v>
                </c:pt>
                <c:pt idx="4">
                  <c:v>5.1534883717530064</c:v>
                </c:pt>
                <c:pt idx="5">
                  <c:v>5.3717941540309848</c:v>
                </c:pt>
                <c:pt idx="6">
                  <c:v>5.4420192167712376</c:v>
                </c:pt>
              </c:numCache>
            </c:numRef>
          </c:val>
          <c:smooth val="0"/>
          <c:extLst>
            <c:ext xmlns:c16="http://schemas.microsoft.com/office/drawing/2014/chart" uri="{C3380CC4-5D6E-409C-BE32-E72D297353CC}">
              <c16:uniqueId val="{00000004-E55F-40B3-B970-96F1D38454B2}"/>
            </c:ext>
          </c:extLst>
        </c:ser>
        <c:dLbls>
          <c:showLegendKey val="0"/>
          <c:showVal val="0"/>
          <c:showCatName val="0"/>
          <c:showSerName val="0"/>
          <c:showPercent val="0"/>
          <c:showBubbleSize val="0"/>
        </c:dLbls>
        <c:marker val="1"/>
        <c:smooth val="0"/>
        <c:axId val="576304528"/>
        <c:axId val="576305704"/>
      </c:lineChart>
      <c:catAx>
        <c:axId val="576304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5704"/>
        <c:crosses val="autoZero"/>
        <c:auto val="1"/>
        <c:lblAlgn val="ctr"/>
        <c:lblOffset val="100"/>
        <c:noMultiLvlLbl val="0"/>
      </c:catAx>
      <c:valAx>
        <c:axId val="576305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45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Programas'!$D$66:$J$66</c:f>
              <c:numCache>
                <c:formatCode>0.00</c:formatCode>
                <c:ptCount val="7"/>
                <c:pt idx="0">
                  <c:v>23.831262003420072</c:v>
                </c:pt>
                <c:pt idx="1">
                  <c:v>23.893607509325392</c:v>
                </c:pt>
                <c:pt idx="2">
                  <c:v>25.533621644464482</c:v>
                </c:pt>
                <c:pt idx="3">
                  <c:v>27.471257621678291</c:v>
                </c:pt>
                <c:pt idx="4">
                  <c:v>26.100122695691635</c:v>
                </c:pt>
                <c:pt idx="5">
                  <c:v>27.013449468923241</c:v>
                </c:pt>
                <c:pt idx="6">
                  <c:v>27.904264379986355</c:v>
                </c:pt>
              </c:numCache>
            </c:numRef>
          </c:val>
          <c:smooth val="0"/>
          <c:extLst>
            <c:ext xmlns:c16="http://schemas.microsoft.com/office/drawing/2014/chart" uri="{C3380CC4-5D6E-409C-BE32-E72D297353CC}">
              <c16:uniqueId val="{00000000-54F6-45E7-B488-4FD5FD30A44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Programas'!$D$67:$J$67</c:f>
              <c:numCache>
                <c:formatCode>#,##0.00</c:formatCode>
                <c:ptCount val="7"/>
                <c:pt idx="0">
                  <c:v>19.163932521463877</c:v>
                </c:pt>
                <c:pt idx="1">
                  <c:v>19.055350338861206</c:v>
                </c:pt>
                <c:pt idx="2">
                  <c:v>19.16995813987899</c:v>
                </c:pt>
                <c:pt idx="3">
                  <c:v>19.281045070320214</c:v>
                </c:pt>
                <c:pt idx="4">
                  <c:v>19.274395557179695</c:v>
                </c:pt>
                <c:pt idx="5">
                  <c:v>19.222996995218125</c:v>
                </c:pt>
                <c:pt idx="6">
                  <c:v>19.194392702924439</c:v>
                </c:pt>
              </c:numCache>
            </c:numRef>
          </c:val>
          <c:smooth val="0"/>
          <c:extLst>
            <c:ext xmlns:c16="http://schemas.microsoft.com/office/drawing/2014/chart" uri="{C3380CC4-5D6E-409C-BE32-E72D297353CC}">
              <c16:uniqueId val="{00000002-54F6-45E7-B488-4FD5FD30A44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Programas'!$D$68:$J$68</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54F6-45E7-B488-4FD5FD30A442}"/>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Programas'!$D$69:$J$69</c:f>
              <c:numCache>
                <c:formatCode>#,##0.00</c:formatCode>
                <c:ptCount val="7"/>
                <c:pt idx="0">
                  <c:v>4.5670069693486823</c:v>
                </c:pt>
                <c:pt idx="1">
                  <c:v>4.5530106194944029</c:v>
                </c:pt>
                <c:pt idx="2">
                  <c:v>4.8947845808389232</c:v>
                </c:pt>
                <c:pt idx="3">
                  <c:v>5.2967455634195684</c:v>
                </c:pt>
                <c:pt idx="4">
                  <c:v>5.0306408892768388</c:v>
                </c:pt>
                <c:pt idx="5">
                  <c:v>5.1927945797158817</c:v>
                </c:pt>
                <c:pt idx="6">
                  <c:v>5.3560540859568437</c:v>
                </c:pt>
              </c:numCache>
            </c:numRef>
          </c:val>
          <c:smooth val="0"/>
          <c:extLst>
            <c:ext xmlns:c16="http://schemas.microsoft.com/office/drawing/2014/chart" uri="{C3380CC4-5D6E-409C-BE32-E72D297353CC}">
              <c16:uniqueId val="{00000004-54F6-45E7-B488-4FD5FD30A442}"/>
            </c:ext>
          </c:extLst>
        </c:ser>
        <c:dLbls>
          <c:showLegendKey val="0"/>
          <c:showVal val="0"/>
          <c:showCatName val="0"/>
          <c:showSerName val="0"/>
          <c:showPercent val="0"/>
          <c:showBubbleSize val="0"/>
        </c:dLbls>
        <c:marker val="1"/>
        <c:smooth val="0"/>
        <c:axId val="191295832"/>
        <c:axId val="191297008"/>
      </c:lineChart>
      <c:catAx>
        <c:axId val="191295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1297008"/>
        <c:crosses val="autoZero"/>
        <c:auto val="1"/>
        <c:lblAlgn val="ctr"/>
        <c:lblOffset val="100"/>
        <c:noMultiLvlLbl val="0"/>
      </c:catAx>
      <c:valAx>
        <c:axId val="19129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12958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Programas'!$D$80:$J$80</c:f>
              <c:numCache>
                <c:formatCode>0.00</c:formatCode>
                <c:ptCount val="7"/>
                <c:pt idx="0">
                  <c:v>23.831262003420072</c:v>
                </c:pt>
                <c:pt idx="1">
                  <c:v>23.893607509325392</c:v>
                </c:pt>
                <c:pt idx="2">
                  <c:v>25.533621644464482</c:v>
                </c:pt>
                <c:pt idx="3">
                  <c:v>27.770740872609203</c:v>
                </c:pt>
                <c:pt idx="4">
                  <c:v>26.400762280551298</c:v>
                </c:pt>
                <c:pt idx="5">
                  <c:v>27.339387648530639</c:v>
                </c:pt>
                <c:pt idx="6">
                  <c:v>27.657430413354785</c:v>
                </c:pt>
              </c:numCache>
            </c:numRef>
          </c:val>
          <c:smooth val="0"/>
          <c:extLst>
            <c:ext xmlns:c16="http://schemas.microsoft.com/office/drawing/2014/chart" uri="{C3380CC4-5D6E-409C-BE32-E72D297353CC}">
              <c16:uniqueId val="{00000000-0A40-4795-BE37-3F80E1682B7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Programas'!$D$81:$J$81</c:f>
              <c:numCache>
                <c:formatCode>#,##0.00</c:formatCode>
                <c:ptCount val="7"/>
                <c:pt idx="0">
                  <c:v>19.163932521463877</c:v>
                </c:pt>
                <c:pt idx="1">
                  <c:v>19.055350338861206</c:v>
                </c:pt>
                <c:pt idx="2">
                  <c:v>19.16995813987899</c:v>
                </c:pt>
                <c:pt idx="3">
                  <c:v>19.360989820256258</c:v>
                </c:pt>
                <c:pt idx="4">
                  <c:v>19.3531279796651</c:v>
                </c:pt>
                <c:pt idx="5">
                  <c:v>19.309226775623948</c:v>
                </c:pt>
                <c:pt idx="6">
                  <c:v>19.128901138068255</c:v>
                </c:pt>
              </c:numCache>
            </c:numRef>
          </c:val>
          <c:smooth val="0"/>
          <c:extLst>
            <c:ext xmlns:c16="http://schemas.microsoft.com/office/drawing/2014/chart" uri="{C3380CC4-5D6E-409C-BE32-E72D297353CC}">
              <c16:uniqueId val="{00000002-0A40-4795-BE37-3F80E1682B7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Programas'!$D$82:$J$82</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0A40-4795-BE37-3F80E1682B7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Programas'!$D$83:$J$83</c:f>
              <c:numCache>
                <c:formatCode>#,##0.00</c:formatCode>
                <c:ptCount val="7"/>
                <c:pt idx="0">
                  <c:v>4.5670069693486823</c:v>
                </c:pt>
                <c:pt idx="1">
                  <c:v>4.5530106194944029</c:v>
                </c:pt>
                <c:pt idx="2">
                  <c:v>4.8947845808389232</c:v>
                </c:pt>
                <c:pt idx="3">
                  <c:v>5.3766903133556117</c:v>
                </c:pt>
                <c:pt idx="4">
                  <c:v>5.1093733117622442</c:v>
                </c:pt>
                <c:pt idx="5">
                  <c:v>5.2790243601217046</c:v>
                </c:pt>
                <c:pt idx="6">
                  <c:v>5.2905625211006591</c:v>
                </c:pt>
              </c:numCache>
            </c:numRef>
          </c:val>
          <c:smooth val="0"/>
          <c:extLst>
            <c:ext xmlns:c16="http://schemas.microsoft.com/office/drawing/2014/chart" uri="{C3380CC4-5D6E-409C-BE32-E72D297353CC}">
              <c16:uniqueId val="{00000004-0A40-4795-BE37-3F80E1682B76}"/>
            </c:ext>
          </c:extLst>
        </c:ser>
        <c:dLbls>
          <c:showLegendKey val="0"/>
          <c:showVal val="0"/>
          <c:showCatName val="0"/>
          <c:showSerName val="0"/>
          <c:showPercent val="0"/>
          <c:showBubbleSize val="0"/>
        </c:dLbls>
        <c:marker val="1"/>
        <c:smooth val="0"/>
        <c:axId val="594198624"/>
        <c:axId val="594200976"/>
      </c:lineChart>
      <c:catAx>
        <c:axId val="594198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200976"/>
        <c:crosses val="autoZero"/>
        <c:auto val="1"/>
        <c:lblAlgn val="ctr"/>
        <c:lblOffset val="100"/>
        <c:noMultiLvlLbl val="0"/>
      </c:catAx>
      <c:valAx>
        <c:axId val="59420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1986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Programas'!$D$94:$J$94</c:f>
              <c:numCache>
                <c:formatCode>0.00</c:formatCode>
                <c:ptCount val="7"/>
                <c:pt idx="0">
                  <c:v>23.831262003420072</c:v>
                </c:pt>
                <c:pt idx="1">
                  <c:v>23.893607509325392</c:v>
                </c:pt>
                <c:pt idx="2">
                  <c:v>25.533621644464482</c:v>
                </c:pt>
                <c:pt idx="3">
                  <c:v>27.770740872609203</c:v>
                </c:pt>
                <c:pt idx="4">
                  <c:v>25.576253104555342</c:v>
                </c:pt>
                <c:pt idx="5">
                  <c:v>25.092330558629421</c:v>
                </c:pt>
                <c:pt idx="6">
                  <c:v>24.485614091694444</c:v>
                </c:pt>
              </c:numCache>
            </c:numRef>
          </c:val>
          <c:smooth val="0"/>
          <c:extLst>
            <c:ext xmlns:c16="http://schemas.microsoft.com/office/drawing/2014/chart" uri="{C3380CC4-5D6E-409C-BE32-E72D297353CC}">
              <c16:uniqueId val="{00000000-C988-4E13-957C-260021F5D0FA}"/>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Programas'!$D$95:$J$95</c:f>
              <c:numCache>
                <c:formatCode>#,##0.00</c:formatCode>
                <c:ptCount val="7"/>
                <c:pt idx="0">
                  <c:v>19.163932521463877</c:v>
                </c:pt>
                <c:pt idx="1">
                  <c:v>19.055350338861206</c:v>
                </c:pt>
                <c:pt idx="2">
                  <c:v>19.16995813987899</c:v>
                </c:pt>
                <c:pt idx="3">
                  <c:v>19.360989820256258</c:v>
                </c:pt>
                <c:pt idx="4">
                  <c:v>19.138722870152471</c:v>
                </c:pt>
                <c:pt idx="5">
                  <c:v>18.729994565487758</c:v>
                </c:pt>
                <c:pt idx="6">
                  <c:v>18.325433558806928</c:v>
                </c:pt>
              </c:numCache>
            </c:numRef>
          </c:val>
          <c:smooth val="0"/>
          <c:extLst>
            <c:ext xmlns:c16="http://schemas.microsoft.com/office/drawing/2014/chart" uri="{C3380CC4-5D6E-409C-BE32-E72D297353CC}">
              <c16:uniqueId val="{00000002-C988-4E13-957C-260021F5D0FA}"/>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Programas'!$D$96:$J$96</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C988-4E13-957C-260021F5D0FA}"/>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Programas'!$D$97:$J$97</c:f>
              <c:numCache>
                <c:formatCode>#,##0.00</c:formatCode>
                <c:ptCount val="7"/>
                <c:pt idx="0">
                  <c:v>4.5670069693486823</c:v>
                </c:pt>
                <c:pt idx="1">
                  <c:v>4.5530106194944029</c:v>
                </c:pt>
                <c:pt idx="2">
                  <c:v>4.8947845808389232</c:v>
                </c:pt>
                <c:pt idx="3">
                  <c:v>5.3766903133556117</c:v>
                </c:pt>
                <c:pt idx="4">
                  <c:v>4.8949682022496148</c:v>
                </c:pt>
                <c:pt idx="5">
                  <c:v>4.6997921499855142</c:v>
                </c:pt>
                <c:pt idx="6">
                  <c:v>4.4870949418393327</c:v>
                </c:pt>
              </c:numCache>
            </c:numRef>
          </c:val>
          <c:smooth val="0"/>
          <c:extLst>
            <c:ext xmlns:c16="http://schemas.microsoft.com/office/drawing/2014/chart" uri="{C3380CC4-5D6E-409C-BE32-E72D297353CC}">
              <c16:uniqueId val="{00000004-C988-4E13-957C-260021F5D0FA}"/>
            </c:ext>
          </c:extLst>
        </c:ser>
        <c:dLbls>
          <c:showLegendKey val="0"/>
          <c:showVal val="0"/>
          <c:showCatName val="0"/>
          <c:showSerName val="0"/>
          <c:showPercent val="0"/>
          <c:showBubbleSize val="0"/>
        </c:dLbls>
        <c:marker val="1"/>
        <c:smooth val="0"/>
        <c:axId val="594202152"/>
        <c:axId val="594202544"/>
      </c:lineChart>
      <c:catAx>
        <c:axId val="594202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202544"/>
        <c:crosses val="autoZero"/>
        <c:auto val="1"/>
        <c:lblAlgn val="ctr"/>
        <c:lblOffset val="100"/>
        <c:noMultiLvlLbl val="0"/>
      </c:catAx>
      <c:valAx>
        <c:axId val="59420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2021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Programas'!$D$108:$J$108</c:f>
              <c:numCache>
                <c:formatCode>0.00</c:formatCode>
                <c:ptCount val="7"/>
                <c:pt idx="0">
                  <c:v>23.831262003420072</c:v>
                </c:pt>
                <c:pt idx="1">
                  <c:v>23.893607509325392</c:v>
                </c:pt>
                <c:pt idx="2">
                  <c:v>25.533621644464482</c:v>
                </c:pt>
                <c:pt idx="3">
                  <c:v>27.770740872609203</c:v>
                </c:pt>
                <c:pt idx="4">
                  <c:v>26.571619228751363</c:v>
                </c:pt>
                <c:pt idx="5">
                  <c:v>27.692142517810904</c:v>
                </c:pt>
                <c:pt idx="6">
                  <c:v>28.234467265426716</c:v>
                </c:pt>
              </c:numCache>
            </c:numRef>
          </c:val>
          <c:smooth val="0"/>
          <c:extLst>
            <c:ext xmlns:c16="http://schemas.microsoft.com/office/drawing/2014/chart" uri="{C3380CC4-5D6E-409C-BE32-E72D297353CC}">
              <c16:uniqueId val="{00000000-1E2C-4139-AC37-627C602DDF8C}"/>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Programas'!$D$109:$J$109</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1E2C-4139-AC37-627C602DDF8C}"/>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Programas'!$D$110:$J$110</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1E2C-4139-AC37-627C602DDF8C}"/>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Programas'!$D$111:$J$111</c:f>
              <c:numCache>
                <c:formatCode>#,##0.00</c:formatCode>
                <c:ptCount val="7"/>
                <c:pt idx="0">
                  <c:v>4.5670069693486823</c:v>
                </c:pt>
                <c:pt idx="1">
                  <c:v>4.5530106194944029</c:v>
                </c:pt>
                <c:pt idx="2">
                  <c:v>4.8947845808389232</c:v>
                </c:pt>
                <c:pt idx="3">
                  <c:v>5.3766903133556117</c:v>
                </c:pt>
                <c:pt idx="4">
                  <c:v>5.1544051693355719</c:v>
                </c:pt>
                <c:pt idx="5">
                  <c:v>5.373224686397668</c:v>
                </c:pt>
                <c:pt idx="6">
                  <c:v>5.4443700729393765</c:v>
                </c:pt>
              </c:numCache>
            </c:numRef>
          </c:val>
          <c:smooth val="0"/>
          <c:extLst>
            <c:ext xmlns:c16="http://schemas.microsoft.com/office/drawing/2014/chart" uri="{C3380CC4-5D6E-409C-BE32-E72D297353CC}">
              <c16:uniqueId val="{00000004-1E2C-4139-AC37-627C602DDF8C}"/>
            </c:ext>
          </c:extLst>
        </c:ser>
        <c:dLbls>
          <c:showLegendKey val="0"/>
          <c:showVal val="0"/>
          <c:showCatName val="0"/>
          <c:showSerName val="0"/>
          <c:showPercent val="0"/>
          <c:showBubbleSize val="0"/>
        </c:dLbls>
        <c:marker val="1"/>
        <c:smooth val="0"/>
        <c:axId val="573021624"/>
        <c:axId val="200746712"/>
      </c:lineChart>
      <c:catAx>
        <c:axId val="573021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6712"/>
        <c:crosses val="autoZero"/>
        <c:auto val="1"/>
        <c:lblAlgn val="ctr"/>
        <c:lblOffset val="100"/>
        <c:noMultiLvlLbl val="0"/>
      </c:catAx>
      <c:valAx>
        <c:axId val="20074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30216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Programas'!$D$122:$J$122</c:f>
              <c:numCache>
                <c:formatCode>0.00</c:formatCode>
                <c:ptCount val="7"/>
                <c:pt idx="0">
                  <c:v>23.831262003420072</c:v>
                </c:pt>
                <c:pt idx="1">
                  <c:v>23.893607509325392</c:v>
                </c:pt>
                <c:pt idx="2">
                  <c:v>25.533621644464482</c:v>
                </c:pt>
                <c:pt idx="3">
                  <c:v>27.583189679962285</c:v>
                </c:pt>
                <c:pt idx="4">
                  <c:v>26.239167323279766</c:v>
                </c:pt>
                <c:pt idx="5">
                  <c:v>27.253393939223606</c:v>
                </c:pt>
                <c:pt idx="6">
                  <c:v>27.722407162623362</c:v>
                </c:pt>
              </c:numCache>
            </c:numRef>
          </c:val>
          <c:smooth val="0"/>
          <c:extLst>
            <c:ext xmlns:c16="http://schemas.microsoft.com/office/drawing/2014/chart" uri="{C3380CC4-5D6E-409C-BE32-E72D297353CC}">
              <c16:uniqueId val="{00000000-C8F5-4325-8641-48F8161F04F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Programas'!$D$123:$J$123</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C8F5-4325-8641-48F8161F04F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Programas'!$D$124:$J$124</c:f>
              <c:numCache>
                <c:formatCode>#,##0.00</c:formatCode>
                <c:ptCount val="7"/>
                <c:pt idx="0">
                  <c:v>14.596925552115195</c:v>
                </c:pt>
                <c:pt idx="1">
                  <c:v>14.502339719366804</c:v>
                </c:pt>
                <c:pt idx="2">
                  <c:v>14.275173559040066</c:v>
                </c:pt>
                <c:pt idx="3">
                  <c:v>14.020611274216783</c:v>
                </c:pt>
                <c:pt idx="4">
                  <c:v>14.308244219908183</c:v>
                </c:pt>
                <c:pt idx="5">
                  <c:v>14.11533467610905</c:v>
                </c:pt>
                <c:pt idx="6">
                  <c:v>13.937077674908405</c:v>
                </c:pt>
              </c:numCache>
            </c:numRef>
          </c:val>
          <c:smooth val="0"/>
          <c:extLst>
            <c:ext xmlns:c16="http://schemas.microsoft.com/office/drawing/2014/chart" uri="{C3380CC4-5D6E-409C-BE32-E72D297353CC}">
              <c16:uniqueId val="{00000003-C8F5-4325-8641-48F8161F04F7}"/>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Programas'!$D$125:$J$125</c:f>
              <c:numCache>
                <c:formatCode>#,##0.00</c:formatCode>
                <c:ptCount val="7"/>
                <c:pt idx="0">
                  <c:v>4.5670069693486823</c:v>
                </c:pt>
                <c:pt idx="1">
                  <c:v>4.5530106194944029</c:v>
                </c:pt>
                <c:pt idx="2">
                  <c:v>4.8947845808389232</c:v>
                </c:pt>
                <c:pt idx="3">
                  <c:v>5.3403785460394744</c:v>
                </c:pt>
                <c:pt idx="4">
                  <c:v>5.0899156173302451</c:v>
                </c:pt>
                <c:pt idx="5">
                  <c:v>5.288092425790861</c:v>
                </c:pt>
                <c:pt idx="6">
                  <c:v>5.3456310149985669</c:v>
                </c:pt>
              </c:numCache>
            </c:numRef>
          </c:val>
          <c:smooth val="0"/>
          <c:extLst>
            <c:ext xmlns:c16="http://schemas.microsoft.com/office/drawing/2014/chart" uri="{C3380CC4-5D6E-409C-BE32-E72D297353CC}">
              <c16:uniqueId val="{00000004-C8F5-4325-8641-48F8161F04F7}"/>
            </c:ext>
          </c:extLst>
        </c:ser>
        <c:dLbls>
          <c:showLegendKey val="0"/>
          <c:showVal val="0"/>
          <c:showCatName val="0"/>
          <c:showSerName val="0"/>
          <c:showPercent val="0"/>
          <c:showBubbleSize val="0"/>
        </c:dLbls>
        <c:marker val="1"/>
        <c:smooth val="0"/>
        <c:axId val="200741616"/>
        <c:axId val="200738088"/>
      </c:lineChart>
      <c:catAx>
        <c:axId val="200741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8088"/>
        <c:crosses val="autoZero"/>
        <c:auto val="1"/>
        <c:lblAlgn val="ctr"/>
        <c:lblOffset val="100"/>
        <c:noMultiLvlLbl val="0"/>
      </c:catAx>
      <c:valAx>
        <c:axId val="20073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1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Programas'!$D$136:$J$136</c:f>
              <c:numCache>
                <c:formatCode>0.00</c:formatCode>
                <c:ptCount val="7"/>
                <c:pt idx="0">
                  <c:v>23.831262003420072</c:v>
                </c:pt>
                <c:pt idx="1">
                  <c:v>23.893607509325392</c:v>
                </c:pt>
                <c:pt idx="2">
                  <c:v>25.533621644464482</c:v>
                </c:pt>
                <c:pt idx="3">
                  <c:v>27.314506487537759</c:v>
                </c:pt>
                <c:pt idx="4">
                  <c:v>26.126060236762889</c:v>
                </c:pt>
                <c:pt idx="5">
                  <c:v>27.256076879599089</c:v>
                </c:pt>
                <c:pt idx="6">
                  <c:v>27.80490850011433</c:v>
                </c:pt>
              </c:numCache>
            </c:numRef>
          </c:val>
          <c:smooth val="0"/>
          <c:extLst>
            <c:ext xmlns:c16="http://schemas.microsoft.com/office/drawing/2014/chart" uri="{C3380CC4-5D6E-409C-BE32-E72D297353CC}">
              <c16:uniqueId val="{00000000-3638-4AE0-8364-B57B6570883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Programas'!$D$137:$J$137</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3638-4AE0-8364-B57B6570883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Programas'!$D$138:$J$138</c:f>
              <c:numCache>
                <c:formatCode>#,##0.00</c:formatCode>
                <c:ptCount val="7"/>
                <c:pt idx="0">
                  <c:v>14.596925552115195</c:v>
                </c:pt>
                <c:pt idx="1">
                  <c:v>14.502339719366804</c:v>
                </c:pt>
                <c:pt idx="2">
                  <c:v>14.275173559040066</c:v>
                </c:pt>
                <c:pt idx="3">
                  <c:v>14.072630999750837</c:v>
                </c:pt>
                <c:pt idx="4">
                  <c:v>14.33018491333797</c:v>
                </c:pt>
                <c:pt idx="5">
                  <c:v>14.114814093729107</c:v>
                </c:pt>
                <c:pt idx="6">
                  <c:v>13.921169182334745</c:v>
                </c:pt>
              </c:numCache>
            </c:numRef>
          </c:val>
          <c:smooth val="0"/>
          <c:extLst>
            <c:ext xmlns:c16="http://schemas.microsoft.com/office/drawing/2014/chart" uri="{C3380CC4-5D6E-409C-BE32-E72D297353CC}">
              <c16:uniqueId val="{00000003-3638-4AE0-8364-B57B6570883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Programas'!$D$139:$J$139</c:f>
              <c:numCache>
                <c:formatCode>#,##0.00</c:formatCode>
                <c:ptCount val="7"/>
                <c:pt idx="0">
                  <c:v>4.5670069693486823</c:v>
                </c:pt>
                <c:pt idx="1">
                  <c:v>4.5530106194944029</c:v>
                </c:pt>
                <c:pt idx="2">
                  <c:v>4.8947845808389232</c:v>
                </c:pt>
                <c:pt idx="3">
                  <c:v>5.2883588205054206</c:v>
                </c:pt>
                <c:pt idx="4">
                  <c:v>5.0679749239004579</c:v>
                </c:pt>
                <c:pt idx="5">
                  <c:v>5.2886130081708043</c:v>
                </c:pt>
                <c:pt idx="6">
                  <c:v>5.3615395075722265</c:v>
                </c:pt>
              </c:numCache>
            </c:numRef>
          </c:val>
          <c:smooth val="0"/>
          <c:extLst>
            <c:ext xmlns:c16="http://schemas.microsoft.com/office/drawing/2014/chart" uri="{C3380CC4-5D6E-409C-BE32-E72D297353CC}">
              <c16:uniqueId val="{00000004-3638-4AE0-8364-B57B65708836}"/>
            </c:ext>
          </c:extLst>
        </c:ser>
        <c:dLbls>
          <c:showLegendKey val="0"/>
          <c:showVal val="0"/>
          <c:showCatName val="0"/>
          <c:showSerName val="0"/>
          <c:showPercent val="0"/>
          <c:showBubbleSize val="0"/>
        </c:dLbls>
        <c:marker val="1"/>
        <c:smooth val="0"/>
        <c:axId val="200742008"/>
        <c:axId val="200738480"/>
      </c:lineChart>
      <c:catAx>
        <c:axId val="200742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8480"/>
        <c:crosses val="autoZero"/>
        <c:auto val="1"/>
        <c:lblAlgn val="ctr"/>
        <c:lblOffset val="100"/>
        <c:noMultiLvlLbl val="0"/>
      </c:catAx>
      <c:valAx>
        <c:axId val="20073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20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Programas'!$D$150:$J$150</c:f>
              <c:numCache>
                <c:formatCode>0.00</c:formatCode>
                <c:ptCount val="7"/>
                <c:pt idx="0">
                  <c:v>23.831262003420072</c:v>
                </c:pt>
                <c:pt idx="1">
                  <c:v>23.893607509325392</c:v>
                </c:pt>
                <c:pt idx="2">
                  <c:v>25.533621644464482</c:v>
                </c:pt>
                <c:pt idx="3">
                  <c:v>27.770740872609203</c:v>
                </c:pt>
                <c:pt idx="4">
                  <c:v>26.571619228751363</c:v>
                </c:pt>
                <c:pt idx="5">
                  <c:v>27.692142517810904</c:v>
                </c:pt>
                <c:pt idx="6">
                  <c:v>28.234467265426716</c:v>
                </c:pt>
              </c:numCache>
            </c:numRef>
          </c:val>
          <c:smooth val="0"/>
          <c:extLst>
            <c:ext xmlns:c16="http://schemas.microsoft.com/office/drawing/2014/chart" uri="{C3380CC4-5D6E-409C-BE32-E72D297353CC}">
              <c16:uniqueId val="{00000000-A5A5-45E9-A01F-0700E6A9788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Programas'!$D$151:$J$151</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A5A5-45E9-A01F-0700E6A9788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Programas'!$D$152:$J$152</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A5A5-45E9-A01F-0700E6A9788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Programas'!$D$153:$J$153</c:f>
              <c:numCache>
                <c:formatCode>#,##0.00</c:formatCode>
                <c:ptCount val="7"/>
                <c:pt idx="0">
                  <c:v>4.5670069693486823</c:v>
                </c:pt>
                <c:pt idx="1">
                  <c:v>4.5530106194944029</c:v>
                </c:pt>
                <c:pt idx="2">
                  <c:v>4.8947845808389232</c:v>
                </c:pt>
                <c:pt idx="3">
                  <c:v>5.3766903133556117</c:v>
                </c:pt>
                <c:pt idx="4">
                  <c:v>5.1544051693355719</c:v>
                </c:pt>
                <c:pt idx="5">
                  <c:v>5.373224686397668</c:v>
                </c:pt>
                <c:pt idx="6">
                  <c:v>5.4443700729393765</c:v>
                </c:pt>
              </c:numCache>
            </c:numRef>
          </c:val>
          <c:smooth val="0"/>
          <c:extLst>
            <c:ext xmlns:c16="http://schemas.microsoft.com/office/drawing/2014/chart" uri="{C3380CC4-5D6E-409C-BE32-E72D297353CC}">
              <c16:uniqueId val="{00000004-A5A5-45E9-A01F-0700E6A97886}"/>
            </c:ext>
          </c:extLst>
        </c:ser>
        <c:dLbls>
          <c:showLegendKey val="0"/>
          <c:showVal val="0"/>
          <c:showCatName val="0"/>
          <c:showSerName val="0"/>
          <c:showPercent val="0"/>
          <c:showBubbleSize val="0"/>
        </c:dLbls>
        <c:marker val="1"/>
        <c:smooth val="0"/>
        <c:axId val="200743576"/>
        <c:axId val="200738872"/>
      </c:lineChart>
      <c:catAx>
        <c:axId val="2007435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8872"/>
        <c:crosses val="autoZero"/>
        <c:auto val="1"/>
        <c:lblAlgn val="ctr"/>
        <c:lblOffset val="100"/>
        <c:noMultiLvlLbl val="0"/>
      </c:catAx>
      <c:valAx>
        <c:axId val="20073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35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Programas'!$D$164:$I$164</c:f>
              <c:numCache>
                <c:formatCode>0.00</c:formatCode>
                <c:ptCount val="6"/>
                <c:pt idx="0">
                  <c:v>23.831262003420072</c:v>
                </c:pt>
                <c:pt idx="1">
                  <c:v>23.893607509325392</c:v>
                </c:pt>
                <c:pt idx="2">
                  <c:v>25.533621644464482</c:v>
                </c:pt>
                <c:pt idx="3">
                  <c:v>27.742809647688844</c:v>
                </c:pt>
                <c:pt idx="4">
                  <c:v>26.517363954360906</c:v>
                </c:pt>
                <c:pt idx="5">
                  <c:v>27.612930862043676</c:v>
                </c:pt>
              </c:numCache>
            </c:numRef>
          </c:val>
          <c:smooth val="0"/>
          <c:extLst>
            <c:ext xmlns:c16="http://schemas.microsoft.com/office/drawing/2014/chart" uri="{C3380CC4-5D6E-409C-BE32-E72D297353CC}">
              <c16:uniqueId val="{00000000-4552-4D11-9A78-9F756F401CD3}"/>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Programas'!$D$165:$I$165</c:f>
              <c:numCache>
                <c:formatCode>#,##0.00</c:formatCode>
                <c:ptCount val="6"/>
                <c:pt idx="0">
                  <c:v>19.163932521463877</c:v>
                </c:pt>
                <c:pt idx="1">
                  <c:v>19.055350338861206</c:v>
                </c:pt>
                <c:pt idx="2">
                  <c:v>19.16995813987899</c:v>
                </c:pt>
                <c:pt idx="3">
                  <c:v>19.360989820256258</c:v>
                </c:pt>
                <c:pt idx="4">
                  <c:v>19.398159837238428</c:v>
                </c:pt>
                <c:pt idx="5">
                  <c:v>19.403427101899911</c:v>
                </c:pt>
              </c:numCache>
            </c:numRef>
          </c:val>
          <c:smooth val="0"/>
          <c:extLst>
            <c:ext xmlns:c16="http://schemas.microsoft.com/office/drawing/2014/chart" uri="{C3380CC4-5D6E-409C-BE32-E72D297353CC}">
              <c16:uniqueId val="{00000002-4552-4D11-9A78-9F756F401CD3}"/>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Programas'!$D$166:$I$166</c:f>
              <c:numCache>
                <c:formatCode>#,##0.00</c:formatCode>
                <c:ptCount val="6"/>
                <c:pt idx="0">
                  <c:v>14.596925552115195</c:v>
                </c:pt>
                <c:pt idx="1">
                  <c:v>14.502339719366804</c:v>
                </c:pt>
                <c:pt idx="2">
                  <c:v>14.275173559040066</c:v>
                </c:pt>
                <c:pt idx="3">
                  <c:v>13.989707268514149</c:v>
                </c:pt>
                <c:pt idx="4">
                  <c:v>14.25427919274925</c:v>
                </c:pt>
                <c:pt idx="5">
                  <c:v>14.045572191385244</c:v>
                </c:pt>
              </c:numCache>
            </c:numRef>
          </c:val>
          <c:smooth val="0"/>
          <c:extLst>
            <c:ext xmlns:c16="http://schemas.microsoft.com/office/drawing/2014/chart" uri="{C3380CC4-5D6E-409C-BE32-E72D297353CC}">
              <c16:uniqueId val="{00000003-4552-4D11-9A78-9F756F401CD3}"/>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Programas'!$D$167:$I$167</c:f>
              <c:numCache>
                <c:formatCode>#,##0.00</c:formatCode>
                <c:ptCount val="6"/>
                <c:pt idx="0">
                  <c:v>4.5670069693486823</c:v>
                </c:pt>
                <c:pt idx="1">
                  <c:v>4.5530106194944029</c:v>
                </c:pt>
                <c:pt idx="2">
                  <c:v>4.8947845808389232</c:v>
                </c:pt>
                <c:pt idx="3">
                  <c:v>5.3712825517421088</c:v>
                </c:pt>
                <c:pt idx="4">
                  <c:v>5.1438806444891778</c:v>
                </c:pt>
                <c:pt idx="5">
                  <c:v>5.3578549105146678</c:v>
                </c:pt>
              </c:numCache>
            </c:numRef>
          </c:val>
          <c:smooth val="0"/>
          <c:extLst>
            <c:ext xmlns:c16="http://schemas.microsoft.com/office/drawing/2014/chart" uri="{C3380CC4-5D6E-409C-BE32-E72D297353CC}">
              <c16:uniqueId val="{00000004-4552-4D11-9A78-9F756F401CD3}"/>
            </c:ext>
          </c:extLst>
        </c:ser>
        <c:dLbls>
          <c:showLegendKey val="0"/>
          <c:showVal val="0"/>
          <c:showCatName val="0"/>
          <c:showSerName val="0"/>
          <c:showPercent val="0"/>
          <c:showBubbleSize val="0"/>
        </c:dLbls>
        <c:marker val="1"/>
        <c:smooth val="0"/>
        <c:axId val="200741224"/>
        <c:axId val="200735736"/>
      </c:lineChart>
      <c:catAx>
        <c:axId val="200741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5736"/>
        <c:crosses val="autoZero"/>
        <c:auto val="1"/>
        <c:lblAlgn val="ctr"/>
        <c:lblOffset val="100"/>
        <c:noMultiLvlLbl val="0"/>
      </c:catAx>
      <c:valAx>
        <c:axId val="200735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12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Programas'!$D$178:$J$178</c:f>
              <c:numCache>
                <c:formatCode>0.00</c:formatCode>
                <c:ptCount val="7"/>
                <c:pt idx="0">
                  <c:v>23.831262003420072</c:v>
                </c:pt>
                <c:pt idx="1">
                  <c:v>23.893607509325392</c:v>
                </c:pt>
                <c:pt idx="2">
                  <c:v>25.533621644464482</c:v>
                </c:pt>
                <c:pt idx="3">
                  <c:v>27.718561821497079</c:v>
                </c:pt>
                <c:pt idx="4">
                  <c:v>26.469702993688127</c:v>
                </c:pt>
                <c:pt idx="5">
                  <c:v>27.542525400147134</c:v>
                </c:pt>
                <c:pt idx="6">
                  <c:v>28.037954512295325</c:v>
                </c:pt>
              </c:numCache>
            </c:numRef>
          </c:val>
          <c:smooth val="0"/>
          <c:extLst>
            <c:ext xmlns:c16="http://schemas.microsoft.com/office/drawing/2014/chart" uri="{C3380CC4-5D6E-409C-BE32-E72D297353CC}">
              <c16:uniqueId val="{00000000-DD27-4668-85E8-D954C2ABB8D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Programas'!$D$179:$J$179</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DD27-4668-85E8-D954C2ABB8D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Programas'!$D$180:$J$180</c:f>
              <c:numCache>
                <c:formatCode>#,##0.00</c:formatCode>
                <c:ptCount val="7"/>
                <c:pt idx="0">
                  <c:v>14.596925552115195</c:v>
                </c:pt>
                <c:pt idx="1">
                  <c:v>14.502339719366804</c:v>
                </c:pt>
                <c:pt idx="2">
                  <c:v>14.275173559040066</c:v>
                </c:pt>
                <c:pt idx="3">
                  <c:v>13.994401887674771</c:v>
                </c:pt>
                <c:pt idx="4">
                  <c:v>14.263524542080519</c:v>
                </c:pt>
                <c:pt idx="5">
                  <c:v>14.059233263860097</c:v>
                </c:pt>
                <c:pt idx="6">
                  <c:v>13.876231598692438</c:v>
                </c:pt>
              </c:numCache>
            </c:numRef>
          </c:val>
          <c:smooth val="0"/>
          <c:extLst>
            <c:ext xmlns:c16="http://schemas.microsoft.com/office/drawing/2014/chart" uri="{C3380CC4-5D6E-409C-BE32-E72D297353CC}">
              <c16:uniqueId val="{00000003-DD27-4668-85E8-D954C2ABB8D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Programas'!$D$181:$J$181</c:f>
              <c:numCache>
                <c:formatCode>#,##0.00</c:formatCode>
                <c:ptCount val="7"/>
                <c:pt idx="0">
                  <c:v>4.5670069693486823</c:v>
                </c:pt>
                <c:pt idx="1">
                  <c:v>4.5530106194944029</c:v>
                </c:pt>
                <c:pt idx="2">
                  <c:v>4.8947845808389232</c:v>
                </c:pt>
                <c:pt idx="3">
                  <c:v>5.3665879325814867</c:v>
                </c:pt>
                <c:pt idx="4">
                  <c:v>5.1346352951579082</c:v>
                </c:pt>
                <c:pt idx="5">
                  <c:v>5.3441938380398142</c:v>
                </c:pt>
                <c:pt idx="6">
                  <c:v>5.4064770912145335</c:v>
                </c:pt>
              </c:numCache>
            </c:numRef>
          </c:val>
          <c:smooth val="0"/>
          <c:extLst>
            <c:ext xmlns:c16="http://schemas.microsoft.com/office/drawing/2014/chart" uri="{C3380CC4-5D6E-409C-BE32-E72D297353CC}">
              <c16:uniqueId val="{00000004-DD27-4668-85E8-D954C2ABB8D6}"/>
            </c:ext>
          </c:extLst>
        </c:ser>
        <c:dLbls>
          <c:showLegendKey val="0"/>
          <c:showVal val="0"/>
          <c:showCatName val="0"/>
          <c:showSerName val="0"/>
          <c:showPercent val="0"/>
          <c:showBubbleSize val="0"/>
        </c:dLbls>
        <c:marker val="1"/>
        <c:smooth val="0"/>
        <c:axId val="200742400"/>
        <c:axId val="200743968"/>
      </c:lineChart>
      <c:catAx>
        <c:axId val="2007424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3968"/>
        <c:crosses val="autoZero"/>
        <c:auto val="1"/>
        <c:lblAlgn val="ctr"/>
        <c:lblOffset val="100"/>
        <c:noMultiLvlLbl val="0"/>
      </c:catAx>
      <c:valAx>
        <c:axId val="20074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2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Programas'!$D$192:$J$192</c:f>
              <c:numCache>
                <c:formatCode>0.00</c:formatCode>
                <c:ptCount val="7"/>
                <c:pt idx="0">
                  <c:v>23.831262003420072</c:v>
                </c:pt>
                <c:pt idx="1">
                  <c:v>23.893607509325392</c:v>
                </c:pt>
                <c:pt idx="2">
                  <c:v>25.533621644464482</c:v>
                </c:pt>
                <c:pt idx="3">
                  <c:v>27.768816438089388</c:v>
                </c:pt>
                <c:pt idx="4">
                  <c:v>26.567881092553726</c:v>
                </c:pt>
                <c:pt idx="5">
                  <c:v>27.686684910951019</c:v>
                </c:pt>
                <c:pt idx="6">
                  <c:v>28.227046189623113</c:v>
                </c:pt>
              </c:numCache>
            </c:numRef>
          </c:val>
          <c:smooth val="0"/>
          <c:extLst>
            <c:ext xmlns:c16="http://schemas.microsoft.com/office/drawing/2014/chart" uri="{C3380CC4-5D6E-409C-BE32-E72D297353CC}">
              <c16:uniqueId val="{00000000-982F-4A36-A4EC-70AE3F8723A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Programas'!$D$193:$J$193</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982F-4A36-A4EC-70AE3F8723A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Programas'!$D$194:$J$194</c:f>
              <c:numCache>
                <c:formatCode>#,##0.00</c:formatCode>
                <c:ptCount val="7"/>
                <c:pt idx="0">
                  <c:v>14.596925552115195</c:v>
                </c:pt>
                <c:pt idx="1">
                  <c:v>14.502339719366804</c:v>
                </c:pt>
                <c:pt idx="2">
                  <c:v>14.275173559040066</c:v>
                </c:pt>
                <c:pt idx="3">
                  <c:v>13.984672096472124</c:v>
                </c:pt>
                <c:pt idx="4">
                  <c:v>14.244479797537409</c:v>
                </c:pt>
                <c:pt idx="5">
                  <c:v>14.031261378270809</c:v>
                </c:pt>
                <c:pt idx="6">
                  <c:v>13.839769601396462</c:v>
                </c:pt>
              </c:numCache>
            </c:numRef>
          </c:val>
          <c:smooth val="0"/>
          <c:extLst>
            <c:ext xmlns:c16="http://schemas.microsoft.com/office/drawing/2014/chart" uri="{C3380CC4-5D6E-409C-BE32-E72D297353CC}">
              <c16:uniqueId val="{00000003-982F-4A36-A4EC-70AE3F8723A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Programas'!$D$195:$J$195</c:f>
              <c:numCache>
                <c:formatCode>#,##0.00</c:formatCode>
                <c:ptCount val="7"/>
                <c:pt idx="0">
                  <c:v>4.5670069693486823</c:v>
                </c:pt>
                <c:pt idx="1">
                  <c:v>4.5530106194944029</c:v>
                </c:pt>
                <c:pt idx="2">
                  <c:v>4.8947845808389232</c:v>
                </c:pt>
                <c:pt idx="3">
                  <c:v>5.3763177237841333</c:v>
                </c:pt>
                <c:pt idx="4">
                  <c:v>5.153680039701019</c:v>
                </c:pt>
                <c:pt idx="5">
                  <c:v>5.3721657236291023</c:v>
                </c:pt>
                <c:pt idx="6">
                  <c:v>5.44293908851051</c:v>
                </c:pt>
              </c:numCache>
            </c:numRef>
          </c:val>
          <c:smooth val="0"/>
          <c:extLst>
            <c:ext xmlns:c16="http://schemas.microsoft.com/office/drawing/2014/chart" uri="{C3380CC4-5D6E-409C-BE32-E72D297353CC}">
              <c16:uniqueId val="{00000004-982F-4A36-A4EC-70AE3F8723A1}"/>
            </c:ext>
          </c:extLst>
        </c:ser>
        <c:dLbls>
          <c:showLegendKey val="0"/>
          <c:showVal val="0"/>
          <c:showCatName val="0"/>
          <c:showSerName val="0"/>
          <c:showPercent val="0"/>
          <c:showBubbleSize val="0"/>
        </c:dLbls>
        <c:marker val="1"/>
        <c:smooth val="0"/>
        <c:axId val="200750632"/>
        <c:axId val="200751024"/>
      </c:lineChart>
      <c:catAx>
        <c:axId val="200750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51024"/>
        <c:crosses val="autoZero"/>
        <c:auto val="1"/>
        <c:lblAlgn val="ctr"/>
        <c:lblOffset val="100"/>
        <c:noMultiLvlLbl val="0"/>
      </c:catAx>
      <c:valAx>
        <c:axId val="200751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506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Programas'!$D$206:$J$206</c:f>
              <c:numCache>
                <c:formatCode>0.00</c:formatCode>
                <c:ptCount val="7"/>
                <c:pt idx="0">
                  <c:v>23.831262003420072</c:v>
                </c:pt>
                <c:pt idx="1">
                  <c:v>23.893607509325392</c:v>
                </c:pt>
                <c:pt idx="2">
                  <c:v>25.533621644464482</c:v>
                </c:pt>
                <c:pt idx="3">
                  <c:v>27.758717214467339</c:v>
                </c:pt>
                <c:pt idx="4">
                  <c:v>26.548134593761112</c:v>
                </c:pt>
                <c:pt idx="5">
                  <c:v>27.657666132429839</c:v>
                </c:pt>
                <c:pt idx="6">
                  <c:v>28.18918468335962</c:v>
                </c:pt>
              </c:numCache>
            </c:numRef>
          </c:val>
          <c:smooth val="0"/>
          <c:extLst>
            <c:ext xmlns:c16="http://schemas.microsoft.com/office/drawing/2014/chart" uri="{C3380CC4-5D6E-409C-BE32-E72D297353CC}">
              <c16:uniqueId val="{00000000-0905-4D5F-8926-0D9DCE1BC330}"/>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Programas'!$D$207:$J$207</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0905-4D5F-8926-0D9DCE1BC330}"/>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Programas'!$D$208:$J$208</c:f>
              <c:numCache>
                <c:formatCode>#,##0.00</c:formatCode>
                <c:ptCount val="7"/>
                <c:pt idx="0">
                  <c:v>14.596925552115195</c:v>
                </c:pt>
                <c:pt idx="1">
                  <c:v>14.502339719366804</c:v>
                </c:pt>
                <c:pt idx="2">
                  <c:v>14.275173559040066</c:v>
                </c:pt>
                <c:pt idx="3">
                  <c:v>13.986627406129514</c:v>
                </c:pt>
                <c:pt idx="4">
                  <c:v>14.248310254935458</c:v>
                </c:pt>
                <c:pt idx="5">
                  <c:v>14.036892015807028</c:v>
                </c:pt>
                <c:pt idx="6">
                  <c:v>13.847070325354863</c:v>
                </c:pt>
              </c:numCache>
            </c:numRef>
          </c:val>
          <c:smooth val="0"/>
          <c:extLst>
            <c:ext xmlns:c16="http://schemas.microsoft.com/office/drawing/2014/chart" uri="{C3380CC4-5D6E-409C-BE32-E72D297353CC}">
              <c16:uniqueId val="{00000003-0905-4D5F-8926-0D9DCE1BC330}"/>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Programas'!$D$209:$J$209</c:f>
              <c:numCache>
                <c:formatCode>#,##0.00</c:formatCode>
                <c:ptCount val="7"/>
                <c:pt idx="0">
                  <c:v>4.5670069693486823</c:v>
                </c:pt>
                <c:pt idx="1">
                  <c:v>4.5530106194944029</c:v>
                </c:pt>
                <c:pt idx="2">
                  <c:v>4.8947845808389232</c:v>
                </c:pt>
                <c:pt idx="3">
                  <c:v>5.3743624141267432</c:v>
                </c:pt>
                <c:pt idx="4">
                  <c:v>5.14984958230297</c:v>
                </c:pt>
                <c:pt idx="5">
                  <c:v>5.3665350860928829</c:v>
                </c:pt>
                <c:pt idx="6">
                  <c:v>5.4356383645521085</c:v>
                </c:pt>
              </c:numCache>
            </c:numRef>
          </c:val>
          <c:smooth val="0"/>
          <c:extLst>
            <c:ext xmlns:c16="http://schemas.microsoft.com/office/drawing/2014/chart" uri="{C3380CC4-5D6E-409C-BE32-E72D297353CC}">
              <c16:uniqueId val="{00000004-0905-4D5F-8926-0D9DCE1BC330}"/>
            </c:ext>
          </c:extLst>
        </c:ser>
        <c:dLbls>
          <c:showLegendKey val="0"/>
          <c:showVal val="0"/>
          <c:showCatName val="0"/>
          <c:showSerName val="0"/>
          <c:showPercent val="0"/>
          <c:showBubbleSize val="0"/>
        </c:dLbls>
        <c:marker val="1"/>
        <c:smooth val="0"/>
        <c:axId val="200748280"/>
        <c:axId val="628849336"/>
      </c:lineChart>
      <c:catAx>
        <c:axId val="2007482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9336"/>
        <c:crosses val="autoZero"/>
        <c:auto val="1"/>
        <c:lblAlgn val="ctr"/>
        <c:lblOffset val="100"/>
        <c:noMultiLvlLbl val="0"/>
      </c:catAx>
      <c:valAx>
        <c:axId val="62884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82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Programas'!$D$220:$J$220</c:f>
              <c:numCache>
                <c:formatCode>0.00</c:formatCode>
                <c:ptCount val="7"/>
                <c:pt idx="0">
                  <c:v>23.831262003420072</c:v>
                </c:pt>
                <c:pt idx="1">
                  <c:v>23.893607509325392</c:v>
                </c:pt>
                <c:pt idx="2">
                  <c:v>25.533621644464482</c:v>
                </c:pt>
                <c:pt idx="3">
                  <c:v>27.52676075943231</c:v>
                </c:pt>
                <c:pt idx="4">
                  <c:v>26.335968971024126</c:v>
                </c:pt>
                <c:pt idx="5">
                  <c:v>27.464050092166637</c:v>
                </c:pt>
                <c:pt idx="6">
                  <c:v>27.938177526337217</c:v>
                </c:pt>
              </c:numCache>
            </c:numRef>
          </c:val>
          <c:smooth val="0"/>
          <c:extLst>
            <c:ext xmlns:c16="http://schemas.microsoft.com/office/drawing/2014/chart" uri="{C3380CC4-5D6E-409C-BE32-E72D297353CC}">
              <c16:uniqueId val="{00000000-DD3F-46BE-B5A8-1F35AE36CD8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Programas'!$D$221:$J$221</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DD3F-46BE-B5A8-1F35AE36CD8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Programas'!$D$222:$J$222</c:f>
              <c:numCache>
                <c:formatCode>#,##0.00</c:formatCode>
                <c:ptCount val="7"/>
                <c:pt idx="0">
                  <c:v>14.596925552115195</c:v>
                </c:pt>
                <c:pt idx="1">
                  <c:v>14.502339719366804</c:v>
                </c:pt>
                <c:pt idx="2">
                  <c:v>14.275173559040066</c:v>
                </c:pt>
                <c:pt idx="3">
                  <c:v>14.031536471776272</c:v>
                </c:pt>
                <c:pt idx="4">
                  <c:v>14.289466481553649</c:v>
                </c:pt>
                <c:pt idx="5">
                  <c:v>14.074460163037084</c:v>
                </c:pt>
                <c:pt idx="6">
                  <c:v>13.895471304234309</c:v>
                </c:pt>
              </c:numCache>
            </c:numRef>
          </c:val>
          <c:smooth val="0"/>
          <c:extLst>
            <c:ext xmlns:c16="http://schemas.microsoft.com/office/drawing/2014/chart" uri="{C3380CC4-5D6E-409C-BE32-E72D297353CC}">
              <c16:uniqueId val="{00000003-DD3F-46BE-B5A8-1F35AE36CD8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Programas'!$D$223:$J$223</c:f>
              <c:numCache>
                <c:formatCode>#,##0.00</c:formatCode>
                <c:ptCount val="7"/>
                <c:pt idx="0">
                  <c:v>4.5670069693486823</c:v>
                </c:pt>
                <c:pt idx="1">
                  <c:v>4.5530106194944029</c:v>
                </c:pt>
                <c:pt idx="2">
                  <c:v>4.8947845808389232</c:v>
                </c:pt>
                <c:pt idx="3">
                  <c:v>5.3294533484799853</c:v>
                </c:pt>
                <c:pt idx="4">
                  <c:v>5.1086933556847782</c:v>
                </c:pt>
                <c:pt idx="5">
                  <c:v>5.3289669388628269</c:v>
                </c:pt>
                <c:pt idx="6">
                  <c:v>5.3872373856726625</c:v>
                </c:pt>
              </c:numCache>
            </c:numRef>
          </c:val>
          <c:smooth val="0"/>
          <c:extLst>
            <c:ext xmlns:c16="http://schemas.microsoft.com/office/drawing/2014/chart" uri="{C3380CC4-5D6E-409C-BE32-E72D297353CC}">
              <c16:uniqueId val="{00000004-DD3F-46BE-B5A8-1F35AE36CD86}"/>
            </c:ext>
          </c:extLst>
        </c:ser>
        <c:dLbls>
          <c:showLegendKey val="0"/>
          <c:showVal val="0"/>
          <c:showCatName val="0"/>
          <c:showSerName val="0"/>
          <c:showPercent val="0"/>
          <c:showBubbleSize val="0"/>
        </c:dLbls>
        <c:marker val="1"/>
        <c:smooth val="0"/>
        <c:axId val="628849728"/>
        <c:axId val="628850512"/>
      </c:lineChart>
      <c:catAx>
        <c:axId val="62884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50512"/>
        <c:crosses val="autoZero"/>
        <c:auto val="1"/>
        <c:lblAlgn val="ctr"/>
        <c:lblOffset val="100"/>
        <c:noMultiLvlLbl val="0"/>
      </c:catAx>
      <c:valAx>
        <c:axId val="62885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97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Programas'!$D$234:$J$234</c:f>
              <c:numCache>
                <c:formatCode>0.00</c:formatCode>
                <c:ptCount val="7"/>
                <c:pt idx="0">
                  <c:v>23.831262003420072</c:v>
                </c:pt>
                <c:pt idx="1">
                  <c:v>23.893607509325392</c:v>
                </c:pt>
                <c:pt idx="2">
                  <c:v>25.533621644464482</c:v>
                </c:pt>
                <c:pt idx="3">
                  <c:v>27.584712202360173</c:v>
                </c:pt>
                <c:pt idx="4">
                  <c:v>26.388843977143871</c:v>
                </c:pt>
                <c:pt idx="5">
                  <c:v>27.515229278296648</c:v>
                </c:pt>
                <c:pt idx="6">
                  <c:v>28.059189598013457</c:v>
                </c:pt>
              </c:numCache>
            </c:numRef>
          </c:val>
          <c:smooth val="0"/>
          <c:extLst>
            <c:ext xmlns:c16="http://schemas.microsoft.com/office/drawing/2014/chart" uri="{C3380CC4-5D6E-409C-BE32-E72D297353CC}">
              <c16:uniqueId val="{00000000-4466-493B-81E7-BB893328597B}"/>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Programas'!$D$235:$J$235</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4466-493B-81E7-BB893328597B}"/>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Programas'!$D$236:$J$236</c:f>
              <c:numCache>
                <c:formatCode>#,##0.00</c:formatCode>
                <c:ptCount val="7"/>
                <c:pt idx="0">
                  <c:v>14.596925552115195</c:v>
                </c:pt>
                <c:pt idx="1">
                  <c:v>14.502339719366804</c:v>
                </c:pt>
                <c:pt idx="2">
                  <c:v>14.275173559040066</c:v>
                </c:pt>
                <c:pt idx="3">
                  <c:v>14.020316498810319</c:v>
                </c:pt>
                <c:pt idx="4">
                  <c:v>14.279209703352592</c:v>
                </c:pt>
                <c:pt idx="5">
                  <c:v>14.064529646965001</c:v>
                </c:pt>
                <c:pt idx="6">
                  <c:v>13.872136898973359</c:v>
                </c:pt>
              </c:numCache>
            </c:numRef>
          </c:val>
          <c:smooth val="0"/>
          <c:extLst>
            <c:ext xmlns:c16="http://schemas.microsoft.com/office/drawing/2014/chart" uri="{C3380CC4-5D6E-409C-BE32-E72D297353CC}">
              <c16:uniqueId val="{00000003-4466-493B-81E7-BB893328597B}"/>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Programas'!$D$237:$J$237</c:f>
              <c:numCache>
                <c:formatCode>#,##0.00</c:formatCode>
                <c:ptCount val="7"/>
                <c:pt idx="0">
                  <c:v>4.5670069693486823</c:v>
                </c:pt>
                <c:pt idx="1">
                  <c:v>4.5530106194944029</c:v>
                </c:pt>
                <c:pt idx="2">
                  <c:v>4.8947845808389232</c:v>
                </c:pt>
                <c:pt idx="3">
                  <c:v>5.340673321445939</c:v>
                </c:pt>
                <c:pt idx="4">
                  <c:v>5.1189501338858356</c:v>
                </c:pt>
                <c:pt idx="5">
                  <c:v>5.3388974549349104</c:v>
                </c:pt>
                <c:pt idx="6">
                  <c:v>5.4105717909336128</c:v>
                </c:pt>
              </c:numCache>
            </c:numRef>
          </c:val>
          <c:smooth val="0"/>
          <c:extLst>
            <c:ext xmlns:c16="http://schemas.microsoft.com/office/drawing/2014/chart" uri="{C3380CC4-5D6E-409C-BE32-E72D297353CC}">
              <c16:uniqueId val="{00000004-4466-493B-81E7-BB893328597B}"/>
            </c:ext>
          </c:extLst>
        </c:ser>
        <c:dLbls>
          <c:showLegendKey val="0"/>
          <c:showVal val="0"/>
          <c:showCatName val="0"/>
          <c:showSerName val="0"/>
          <c:showPercent val="0"/>
          <c:showBubbleSize val="0"/>
        </c:dLbls>
        <c:marker val="1"/>
        <c:smooth val="0"/>
        <c:axId val="628848160"/>
        <c:axId val="628850120"/>
      </c:lineChart>
      <c:catAx>
        <c:axId val="6288481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50120"/>
        <c:crosses val="autoZero"/>
        <c:auto val="1"/>
        <c:lblAlgn val="ctr"/>
        <c:lblOffset val="100"/>
        <c:noMultiLvlLbl val="0"/>
      </c:catAx>
      <c:valAx>
        <c:axId val="62885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81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Programas'!$D$248:$J$248</c:f>
              <c:numCache>
                <c:formatCode>0.00</c:formatCode>
                <c:ptCount val="7"/>
                <c:pt idx="0">
                  <c:v>23.831262003420072</c:v>
                </c:pt>
                <c:pt idx="1">
                  <c:v>23.893607509325392</c:v>
                </c:pt>
                <c:pt idx="2">
                  <c:v>25.533621644464482</c:v>
                </c:pt>
                <c:pt idx="3">
                  <c:v>27.770740872609203</c:v>
                </c:pt>
                <c:pt idx="4">
                  <c:v>26.571619228751363</c:v>
                </c:pt>
                <c:pt idx="5">
                  <c:v>27.692142517810904</c:v>
                </c:pt>
                <c:pt idx="6">
                  <c:v>28.234467265426716</c:v>
                </c:pt>
              </c:numCache>
            </c:numRef>
          </c:val>
          <c:smooth val="0"/>
          <c:extLst>
            <c:ext xmlns:c16="http://schemas.microsoft.com/office/drawing/2014/chart" uri="{C3380CC4-5D6E-409C-BE32-E72D297353CC}">
              <c16:uniqueId val="{00000000-A262-4247-A939-31A8FB30AD8F}"/>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Programas'!$D$249:$J$249</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A262-4247-A939-31A8FB30AD8F}"/>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Programas'!$D$250:$J$250</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A262-4247-A939-31A8FB30AD8F}"/>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Programas'!$D$251:$J$251</c:f>
              <c:numCache>
                <c:formatCode>#,##0.00</c:formatCode>
                <c:ptCount val="7"/>
                <c:pt idx="0">
                  <c:v>4.5670069693486823</c:v>
                </c:pt>
                <c:pt idx="1">
                  <c:v>4.5530106194944029</c:v>
                </c:pt>
                <c:pt idx="2">
                  <c:v>4.8947845808389232</c:v>
                </c:pt>
                <c:pt idx="3">
                  <c:v>5.3766903133556117</c:v>
                </c:pt>
                <c:pt idx="4">
                  <c:v>5.1544051693355719</c:v>
                </c:pt>
                <c:pt idx="5">
                  <c:v>5.373224686397668</c:v>
                </c:pt>
                <c:pt idx="6">
                  <c:v>5.4443700729393765</c:v>
                </c:pt>
              </c:numCache>
            </c:numRef>
          </c:val>
          <c:smooth val="0"/>
          <c:extLst>
            <c:ext xmlns:c16="http://schemas.microsoft.com/office/drawing/2014/chart" uri="{C3380CC4-5D6E-409C-BE32-E72D297353CC}">
              <c16:uniqueId val="{00000004-A262-4247-A939-31A8FB30AD8F}"/>
            </c:ext>
          </c:extLst>
        </c:ser>
        <c:dLbls>
          <c:showLegendKey val="0"/>
          <c:showVal val="0"/>
          <c:showCatName val="0"/>
          <c:showSerName val="0"/>
          <c:showPercent val="0"/>
          <c:showBubbleSize val="0"/>
        </c:dLbls>
        <c:marker val="1"/>
        <c:smooth val="0"/>
        <c:axId val="628839144"/>
        <c:axId val="628838752"/>
      </c:lineChart>
      <c:catAx>
        <c:axId val="628839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38752"/>
        <c:crosses val="autoZero"/>
        <c:auto val="1"/>
        <c:lblAlgn val="ctr"/>
        <c:lblOffset val="100"/>
        <c:noMultiLvlLbl val="0"/>
      </c:catAx>
      <c:valAx>
        <c:axId val="62883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391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Programas'!$D$262:$J$262</c:f>
              <c:numCache>
                <c:formatCode>0.00</c:formatCode>
                <c:ptCount val="7"/>
                <c:pt idx="0">
                  <c:v>23.831262003420072</c:v>
                </c:pt>
                <c:pt idx="1">
                  <c:v>23.893607509325392</c:v>
                </c:pt>
                <c:pt idx="2">
                  <c:v>25.533621644464482</c:v>
                </c:pt>
                <c:pt idx="3">
                  <c:v>27.770740872609203</c:v>
                </c:pt>
                <c:pt idx="4">
                  <c:v>26.571619228751363</c:v>
                </c:pt>
                <c:pt idx="5">
                  <c:v>27.692142517810904</c:v>
                </c:pt>
                <c:pt idx="6">
                  <c:v>28.234467265426716</c:v>
                </c:pt>
              </c:numCache>
            </c:numRef>
          </c:val>
          <c:smooth val="0"/>
          <c:extLst>
            <c:ext xmlns:c16="http://schemas.microsoft.com/office/drawing/2014/chart" uri="{C3380CC4-5D6E-409C-BE32-E72D297353CC}">
              <c16:uniqueId val="{00000000-0AFC-4A08-A406-529EA28D65C3}"/>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Programas'!$D$263:$J$263</c:f>
              <c:numCache>
                <c:formatCode>#,##0.00</c:formatCode>
                <c:ptCount val="7"/>
                <c:pt idx="0">
                  <c:v>19.163932521463877</c:v>
                </c:pt>
                <c:pt idx="1">
                  <c:v>19.055350338861206</c:v>
                </c:pt>
                <c:pt idx="2">
                  <c:v>19.16995813987899</c:v>
                </c:pt>
                <c:pt idx="3">
                  <c:v>19.360989820256258</c:v>
                </c:pt>
                <c:pt idx="4">
                  <c:v>19.398159837238428</c:v>
                </c:pt>
                <c:pt idx="5">
                  <c:v>19.403427101899911</c:v>
                </c:pt>
                <c:pt idx="6">
                  <c:v>19.282708689906972</c:v>
                </c:pt>
              </c:numCache>
            </c:numRef>
          </c:val>
          <c:smooth val="0"/>
          <c:extLst>
            <c:ext xmlns:c16="http://schemas.microsoft.com/office/drawing/2014/chart" uri="{C3380CC4-5D6E-409C-BE32-E72D297353CC}">
              <c16:uniqueId val="{00000002-0AFC-4A08-A406-529EA28D65C3}"/>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Programas'!$D$264:$J$264</c:f>
              <c:numCache>
                <c:formatCode>#,##0.00</c:formatCode>
                <c:ptCount val="7"/>
                <c:pt idx="0">
                  <c:v>14.596925552115195</c:v>
                </c:pt>
                <c:pt idx="1">
                  <c:v>14.502339719366804</c:v>
                </c:pt>
                <c:pt idx="2">
                  <c:v>14.275173559040066</c:v>
                </c:pt>
                <c:pt idx="3">
                  <c:v>13.984299506900646</c:v>
                </c:pt>
                <c:pt idx="4">
                  <c:v>14.243754667902856</c:v>
                </c:pt>
                <c:pt idx="5">
                  <c:v>14.030202415502243</c:v>
                </c:pt>
                <c:pt idx="6">
                  <c:v>13.838338616967595</c:v>
                </c:pt>
              </c:numCache>
            </c:numRef>
          </c:val>
          <c:smooth val="0"/>
          <c:extLst>
            <c:ext xmlns:c16="http://schemas.microsoft.com/office/drawing/2014/chart" uri="{C3380CC4-5D6E-409C-BE32-E72D297353CC}">
              <c16:uniqueId val="{00000003-0AFC-4A08-A406-529EA28D65C3}"/>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Programas'!$D$265:$J$265</c:f>
              <c:numCache>
                <c:formatCode>#,##0.00</c:formatCode>
                <c:ptCount val="7"/>
                <c:pt idx="0">
                  <c:v>4.5670069693486823</c:v>
                </c:pt>
                <c:pt idx="1">
                  <c:v>4.5530106194944029</c:v>
                </c:pt>
                <c:pt idx="2">
                  <c:v>4.8947845808389232</c:v>
                </c:pt>
                <c:pt idx="3">
                  <c:v>5.3766903133556117</c:v>
                </c:pt>
                <c:pt idx="4">
                  <c:v>5.1544051693355719</c:v>
                </c:pt>
                <c:pt idx="5">
                  <c:v>5.373224686397668</c:v>
                </c:pt>
                <c:pt idx="6">
                  <c:v>5.4443700729393765</c:v>
                </c:pt>
              </c:numCache>
            </c:numRef>
          </c:val>
          <c:smooth val="0"/>
          <c:extLst>
            <c:ext xmlns:c16="http://schemas.microsoft.com/office/drawing/2014/chart" uri="{C3380CC4-5D6E-409C-BE32-E72D297353CC}">
              <c16:uniqueId val="{00000004-0AFC-4A08-A406-529EA28D65C3}"/>
            </c:ext>
          </c:extLst>
        </c:ser>
        <c:dLbls>
          <c:showLegendKey val="0"/>
          <c:showVal val="0"/>
          <c:showCatName val="0"/>
          <c:showSerName val="0"/>
          <c:showPercent val="0"/>
          <c:showBubbleSize val="0"/>
        </c:dLbls>
        <c:marker val="1"/>
        <c:smooth val="0"/>
        <c:axId val="628843456"/>
        <c:axId val="628846592"/>
      </c:lineChart>
      <c:catAx>
        <c:axId val="6288434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6592"/>
        <c:crosses val="autoZero"/>
        <c:auto val="1"/>
        <c:lblAlgn val="ctr"/>
        <c:lblOffset val="100"/>
        <c:noMultiLvlLbl val="0"/>
      </c:catAx>
      <c:valAx>
        <c:axId val="62884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34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INDICADORES ALTERNATIVA No.1</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v>IANC [%]</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Alternativas!$J$9:$V$9</c:f>
              <c:strCach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strCache>
            </c:strRef>
          </c:cat>
          <c:val>
            <c:numRef>
              <c:f>Alternativas!$J$17:$V$17</c:f>
              <c:numCache>
                <c:formatCode>0.00</c:formatCode>
                <c:ptCount val="13"/>
                <c:pt idx="0">
                  <c:v>23.831262003420072</c:v>
                </c:pt>
                <c:pt idx="1">
                  <c:v>23.893607509325392</c:v>
                </c:pt>
                <c:pt idx="2">
                  <c:v>25.533621644464482</c:v>
                </c:pt>
                <c:pt idx="3">
                  <c:v>25.852172066794111</c:v>
                </c:pt>
                <c:pt idx="4">
                  <c:v>21.997581206285968</c:v>
                </c:pt>
                <c:pt idx="5">
                  <c:v>23.568018207281355</c:v>
                </c:pt>
                <c:pt idx="6">
                  <c:v>24.896342780315248</c:v>
                </c:pt>
                <c:pt idx="7">
                  <c:v>25.210631462345994</c:v>
                </c:pt>
                <c:pt idx="8">
                  <c:v>26.356618593950515</c:v>
                </c:pt>
                <c:pt idx="9">
                  <c:v>26.096410786829161</c:v>
                </c:pt>
                <c:pt idx="10">
                  <c:v>26.14747192283809</c:v>
                </c:pt>
                <c:pt idx="11">
                  <c:v>26.467888539878309</c:v>
                </c:pt>
                <c:pt idx="12">
                  <c:v>26.7171942087204</c:v>
                </c:pt>
              </c:numCache>
            </c:numRef>
          </c:val>
          <c:smooth val="0"/>
          <c:extLst>
            <c:ext xmlns:c16="http://schemas.microsoft.com/office/drawing/2014/chart" uri="{C3380CC4-5D6E-409C-BE32-E72D297353CC}">
              <c16:uniqueId val="{00000000-CF38-46E2-8AA3-13E897313452}"/>
            </c:ext>
          </c:extLst>
        </c:ser>
        <c:ser>
          <c:idx val="1"/>
          <c:order val="1"/>
          <c:tx>
            <c:v>ISUF [m³/usuarios/mes]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Alternativas!$J$9:$Q$9</c:f>
              <c:strCache>
                <c:ptCount val="8"/>
                <c:pt idx="0">
                  <c:v>2023</c:v>
                </c:pt>
                <c:pt idx="1">
                  <c:v>2024</c:v>
                </c:pt>
                <c:pt idx="2">
                  <c:v>2025</c:v>
                </c:pt>
                <c:pt idx="3">
                  <c:v>2026</c:v>
                </c:pt>
                <c:pt idx="4">
                  <c:v>2027</c:v>
                </c:pt>
                <c:pt idx="5">
                  <c:v>2028</c:v>
                </c:pt>
                <c:pt idx="6">
                  <c:v>2029</c:v>
                </c:pt>
                <c:pt idx="7">
                  <c:v>2030</c:v>
                </c:pt>
              </c:strCache>
            </c:strRef>
          </c:cat>
          <c:val>
            <c:numRef>
              <c:f>Alternativas!$J$18:$V$18</c:f>
              <c:numCache>
                <c:formatCode>0.00</c:formatCode>
                <c:ptCount val="13"/>
                <c:pt idx="0">
                  <c:v>19.163932521463877</c:v>
                </c:pt>
                <c:pt idx="1">
                  <c:v>19.055350338861206</c:v>
                </c:pt>
                <c:pt idx="2">
                  <c:v>19.16995813987899</c:v>
                </c:pt>
                <c:pt idx="3">
                  <c:v>19.154535055284398</c:v>
                </c:pt>
                <c:pt idx="4">
                  <c:v>18.584470254176594</c:v>
                </c:pt>
                <c:pt idx="5">
                  <c:v>18.720725027468877</c:v>
                </c:pt>
                <c:pt idx="6">
                  <c:v>18.840844373678468</c:v>
                </c:pt>
                <c:pt idx="7">
                  <c:v>18.663244562017386</c:v>
                </c:pt>
                <c:pt idx="8">
                  <c:v>18.439198188583305</c:v>
                </c:pt>
                <c:pt idx="9">
                  <c:v>18.167120133961788</c:v>
                </c:pt>
                <c:pt idx="10">
                  <c:v>17.965708207110556</c:v>
                </c:pt>
                <c:pt idx="11">
                  <c:v>17.823002486245638</c:v>
                </c:pt>
                <c:pt idx="12">
                  <c:v>17.656372935342624</c:v>
                </c:pt>
              </c:numCache>
            </c:numRef>
          </c:val>
          <c:smooth val="0"/>
          <c:extLst>
            <c:ext xmlns:c16="http://schemas.microsoft.com/office/drawing/2014/chart" uri="{C3380CC4-5D6E-409C-BE32-E72D297353CC}">
              <c16:uniqueId val="{00000002-CF38-46E2-8AA3-13E897313452}"/>
            </c:ext>
          </c:extLst>
        </c:ser>
        <c:ser>
          <c:idx val="2"/>
          <c:order val="2"/>
          <c:tx>
            <c:v>ICUF [m³/usuarios/mes]</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Alternativas!$J$9:$Q$9</c:f>
              <c:strCache>
                <c:ptCount val="8"/>
                <c:pt idx="0">
                  <c:v>2023</c:v>
                </c:pt>
                <c:pt idx="1">
                  <c:v>2024</c:v>
                </c:pt>
                <c:pt idx="2">
                  <c:v>2025</c:v>
                </c:pt>
                <c:pt idx="3">
                  <c:v>2026</c:v>
                </c:pt>
                <c:pt idx="4">
                  <c:v>2027</c:v>
                </c:pt>
                <c:pt idx="5">
                  <c:v>2028</c:v>
                </c:pt>
                <c:pt idx="6">
                  <c:v>2029</c:v>
                </c:pt>
                <c:pt idx="7">
                  <c:v>2030</c:v>
                </c:pt>
              </c:strCache>
            </c:strRef>
          </c:cat>
          <c:val>
            <c:numRef>
              <c:f>Alternativas!$J$19:$V$19</c:f>
              <c:numCache>
                <c:formatCode>0.00</c:formatCode>
                <c:ptCount val="13"/>
                <c:pt idx="0">
                  <c:v>14.596925552115195</c:v>
                </c:pt>
                <c:pt idx="1">
                  <c:v>14.502339719366804</c:v>
                </c:pt>
                <c:pt idx="2">
                  <c:v>14.275173559040066</c:v>
                </c:pt>
                <c:pt idx="3">
                  <c:v>14.20267169419788</c:v>
                </c:pt>
                <c:pt idx="4">
                  <c:v>14.496336318256038</c:v>
                </c:pt>
                <c:pt idx="5">
                  <c:v>14.308621144459936</c:v>
                </c:pt>
                <c:pt idx="6">
                  <c:v>14.150163175701737</c:v>
                </c:pt>
                <c:pt idx="7">
                  <c:v>13.958122756570853</c:v>
                </c:pt>
                <c:pt idx="8">
                  <c:v>13.57924905023577</c:v>
                </c:pt>
                <c:pt idx="9">
                  <c:v>13.426153835666371</c:v>
                </c:pt>
                <c:pt idx="10">
                  <c:v>13.268129697917303</c:v>
                </c:pt>
                <c:pt idx="11">
                  <c:v>13.105630053726404</c:v>
                </c:pt>
                <c:pt idx="12">
                  <c:v>12.939085487991189</c:v>
                </c:pt>
              </c:numCache>
            </c:numRef>
          </c:val>
          <c:smooth val="0"/>
          <c:extLst>
            <c:ext xmlns:c16="http://schemas.microsoft.com/office/drawing/2014/chart" uri="{C3380CC4-5D6E-409C-BE32-E72D297353CC}">
              <c16:uniqueId val="{00000003-CF38-46E2-8AA3-13E897313452}"/>
            </c:ext>
          </c:extLst>
        </c:ser>
        <c:ser>
          <c:idx val="3"/>
          <c:order val="3"/>
          <c:tx>
            <c:v>IPUF [m³/usuarios/mes]</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Alternativas!$J$9:$Q$9</c:f>
              <c:strCache>
                <c:ptCount val="8"/>
                <c:pt idx="0">
                  <c:v>2023</c:v>
                </c:pt>
                <c:pt idx="1">
                  <c:v>2024</c:v>
                </c:pt>
                <c:pt idx="2">
                  <c:v>2025</c:v>
                </c:pt>
                <c:pt idx="3">
                  <c:v>2026</c:v>
                </c:pt>
                <c:pt idx="4">
                  <c:v>2027</c:v>
                </c:pt>
                <c:pt idx="5">
                  <c:v>2028</c:v>
                </c:pt>
                <c:pt idx="6">
                  <c:v>2029</c:v>
                </c:pt>
                <c:pt idx="7">
                  <c:v>2030</c:v>
                </c:pt>
              </c:strCache>
            </c:strRef>
          </c:cat>
          <c:val>
            <c:numRef>
              <c:f>Alternativas!$J$20:$V$20</c:f>
              <c:numCache>
                <c:formatCode>0.00</c:formatCode>
                <c:ptCount val="13"/>
                <c:pt idx="0">
                  <c:v>4.5670069693486823</c:v>
                </c:pt>
                <c:pt idx="1">
                  <c:v>4.5530106194944029</c:v>
                </c:pt>
                <c:pt idx="2">
                  <c:v>4.8947845808389232</c:v>
                </c:pt>
                <c:pt idx="3">
                  <c:v>4.9518633610865184</c:v>
                </c:pt>
                <c:pt idx="4">
                  <c:v>4.0881339359205562</c:v>
                </c:pt>
                <c:pt idx="5">
                  <c:v>4.4121038830089407</c:v>
                </c:pt>
                <c:pt idx="6">
                  <c:v>4.6906811979767316</c:v>
                </c:pt>
                <c:pt idx="7">
                  <c:v>4.7051218054465327</c:v>
                </c:pt>
                <c:pt idx="8">
                  <c:v>4.8599491383475346</c:v>
                </c:pt>
                <c:pt idx="9">
                  <c:v>4.740966298295417</c:v>
                </c:pt>
                <c:pt idx="10">
                  <c:v>4.6975785091932529</c:v>
                </c:pt>
                <c:pt idx="11">
                  <c:v>4.7173724325192339</c:v>
                </c:pt>
                <c:pt idx="12">
                  <c:v>4.7172874473514348</c:v>
                </c:pt>
              </c:numCache>
            </c:numRef>
          </c:val>
          <c:smooth val="0"/>
          <c:extLst>
            <c:ext xmlns:c16="http://schemas.microsoft.com/office/drawing/2014/chart" uri="{C3380CC4-5D6E-409C-BE32-E72D297353CC}">
              <c16:uniqueId val="{00000004-CF38-46E2-8AA3-13E897313452}"/>
            </c:ext>
          </c:extLst>
        </c:ser>
        <c:dLbls>
          <c:showLegendKey val="0"/>
          <c:showVal val="0"/>
          <c:showCatName val="0"/>
          <c:showSerName val="0"/>
          <c:showPercent val="0"/>
          <c:showBubbleSize val="0"/>
        </c:dLbls>
        <c:marker val="1"/>
        <c:smooth val="0"/>
        <c:axId val="1038293072"/>
        <c:axId val="1038312208"/>
      </c:lineChart>
      <c:catAx>
        <c:axId val="103829307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44429788684389909"/>
              <c:y val="0.6582547584187409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312208"/>
        <c:crosses val="autoZero"/>
        <c:auto val="1"/>
        <c:lblAlgn val="ctr"/>
        <c:lblOffset val="100"/>
        <c:noMultiLvlLbl val="0"/>
      </c:catAx>
      <c:valAx>
        <c:axId val="103831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930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s-MX"/>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INDICADORES ALTERNATIVA No.2</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v>IANC [%]</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Alternativas!$J$51:$V$51</c:f>
              <c:strCach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strCache>
            </c:strRef>
          </c:cat>
          <c:val>
            <c:numRef>
              <c:f>Alternativas!$J$59:$V$59</c:f>
              <c:numCache>
                <c:formatCode>0.00</c:formatCode>
                <c:ptCount val="13"/>
                <c:pt idx="0">
                  <c:v>23.831262003420072</c:v>
                </c:pt>
                <c:pt idx="1">
                  <c:v>23.893607509325392</c:v>
                </c:pt>
                <c:pt idx="2">
                  <c:v>25.533621644464482</c:v>
                </c:pt>
                <c:pt idx="3">
                  <c:v>25.811786535012494</c:v>
                </c:pt>
                <c:pt idx="4">
                  <c:v>20.807006228955714</c:v>
                </c:pt>
                <c:pt idx="5">
                  <c:v>20.58744240949521</c:v>
                </c:pt>
                <c:pt idx="6">
                  <c:v>20.705366420779399</c:v>
                </c:pt>
                <c:pt idx="7">
                  <c:v>20.207899430670359</c:v>
                </c:pt>
                <c:pt idx="8">
                  <c:v>20.688836062109683</c:v>
                </c:pt>
                <c:pt idx="9">
                  <c:v>22.800095107169032</c:v>
                </c:pt>
                <c:pt idx="10">
                  <c:v>22.896102611721698</c:v>
                </c:pt>
                <c:pt idx="11">
                  <c:v>23.275244437963785</c:v>
                </c:pt>
                <c:pt idx="12">
                  <c:v>23.57455974942021</c:v>
                </c:pt>
              </c:numCache>
            </c:numRef>
          </c:val>
          <c:smooth val="0"/>
          <c:extLst>
            <c:ext xmlns:c16="http://schemas.microsoft.com/office/drawing/2014/chart" uri="{C3380CC4-5D6E-409C-BE32-E72D297353CC}">
              <c16:uniqueId val="{00000000-EB27-43B6-B792-E9945F99422E}"/>
            </c:ext>
          </c:extLst>
        </c:ser>
        <c:ser>
          <c:idx val="1"/>
          <c:order val="1"/>
          <c:tx>
            <c:v>ISUF [m³/usuarios/mes]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Alternativas!$J$51:$Q$51</c:f>
              <c:strCache>
                <c:ptCount val="8"/>
                <c:pt idx="0">
                  <c:v>2023</c:v>
                </c:pt>
                <c:pt idx="1">
                  <c:v>2024</c:v>
                </c:pt>
                <c:pt idx="2">
                  <c:v>2025</c:v>
                </c:pt>
                <c:pt idx="3">
                  <c:v>2026</c:v>
                </c:pt>
                <c:pt idx="4">
                  <c:v>2027</c:v>
                </c:pt>
                <c:pt idx="5">
                  <c:v>2028</c:v>
                </c:pt>
                <c:pt idx="6">
                  <c:v>2029</c:v>
                </c:pt>
                <c:pt idx="7">
                  <c:v>2030</c:v>
                </c:pt>
              </c:strCache>
            </c:strRef>
          </c:cat>
          <c:val>
            <c:numRef>
              <c:f>Alternativas!$J$60:$V$60</c:f>
              <c:numCache>
                <c:formatCode>0.00</c:formatCode>
                <c:ptCount val="13"/>
                <c:pt idx="0">
                  <c:v>19.163932521463877</c:v>
                </c:pt>
                <c:pt idx="1">
                  <c:v>19.055350338861206</c:v>
                </c:pt>
                <c:pt idx="2">
                  <c:v>19.16995813987899</c:v>
                </c:pt>
                <c:pt idx="3">
                  <c:v>19.154535055284398</c:v>
                </c:pt>
                <c:pt idx="4">
                  <c:v>18.324116489508079</c:v>
                </c:pt>
                <c:pt idx="5">
                  <c:v>18.04586195869004</c:v>
                </c:pt>
                <c:pt idx="6">
                  <c:v>17.881218386410286</c:v>
                </c:pt>
                <c:pt idx="7">
                  <c:v>17.501743962962639</c:v>
                </c:pt>
                <c:pt idx="8">
                  <c:v>17.121485016749812</c:v>
                </c:pt>
                <c:pt idx="9">
                  <c:v>17.39141240433467</c:v>
                </c:pt>
                <c:pt idx="10">
                  <c:v>17.208118068405692</c:v>
                </c:pt>
                <c:pt idx="11">
                  <c:v>17.081357845617084</c:v>
                </c:pt>
                <c:pt idx="12">
                  <c:v>16.930338177401637</c:v>
                </c:pt>
              </c:numCache>
            </c:numRef>
          </c:val>
          <c:smooth val="0"/>
          <c:extLst>
            <c:ext xmlns:c16="http://schemas.microsoft.com/office/drawing/2014/chart" uri="{C3380CC4-5D6E-409C-BE32-E72D297353CC}">
              <c16:uniqueId val="{00000002-EB27-43B6-B792-E9945F99422E}"/>
            </c:ext>
          </c:extLst>
        </c:ser>
        <c:ser>
          <c:idx val="2"/>
          <c:order val="2"/>
          <c:tx>
            <c:v>ICUF [m³/usuarios/mes]</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Alternativas!$J$51:$Q$51</c:f>
              <c:strCache>
                <c:ptCount val="8"/>
                <c:pt idx="0">
                  <c:v>2023</c:v>
                </c:pt>
                <c:pt idx="1">
                  <c:v>2024</c:v>
                </c:pt>
                <c:pt idx="2">
                  <c:v>2025</c:v>
                </c:pt>
                <c:pt idx="3">
                  <c:v>2026</c:v>
                </c:pt>
                <c:pt idx="4">
                  <c:v>2027</c:v>
                </c:pt>
                <c:pt idx="5">
                  <c:v>2028</c:v>
                </c:pt>
                <c:pt idx="6">
                  <c:v>2029</c:v>
                </c:pt>
                <c:pt idx="7">
                  <c:v>2030</c:v>
                </c:pt>
              </c:strCache>
            </c:strRef>
          </c:cat>
          <c:val>
            <c:numRef>
              <c:f>Alternativas!$J$61:$V$61</c:f>
              <c:numCache>
                <c:formatCode>0.00</c:formatCode>
                <c:ptCount val="13"/>
                <c:pt idx="0">
                  <c:v>14.596925552115195</c:v>
                </c:pt>
                <c:pt idx="1">
                  <c:v>14.502339719366804</c:v>
                </c:pt>
                <c:pt idx="2">
                  <c:v>14.275173559040066</c:v>
                </c:pt>
                <c:pt idx="3">
                  <c:v>14.210407355040253</c:v>
                </c:pt>
                <c:pt idx="4">
                  <c:v>14.511416430135032</c:v>
                </c:pt>
                <c:pt idx="5">
                  <c:v>14.330680520647723</c:v>
                </c:pt>
                <c:pt idx="6">
                  <c:v>14.178846599004258</c:v>
                </c:pt>
                <c:pt idx="7">
                  <c:v>13.965009144313727</c:v>
                </c:pt>
                <c:pt idx="8">
                  <c:v>13.57924905023577</c:v>
                </c:pt>
                <c:pt idx="9">
                  <c:v>13.426153835666371</c:v>
                </c:pt>
                <c:pt idx="10">
                  <c:v>13.268129697917303</c:v>
                </c:pt>
                <c:pt idx="11">
                  <c:v>13.105630053726404</c:v>
                </c:pt>
                <c:pt idx="12">
                  <c:v>12.939085487991189</c:v>
                </c:pt>
              </c:numCache>
            </c:numRef>
          </c:val>
          <c:smooth val="0"/>
          <c:extLst>
            <c:ext xmlns:c16="http://schemas.microsoft.com/office/drawing/2014/chart" uri="{C3380CC4-5D6E-409C-BE32-E72D297353CC}">
              <c16:uniqueId val="{00000003-EB27-43B6-B792-E9945F99422E}"/>
            </c:ext>
          </c:extLst>
        </c:ser>
        <c:ser>
          <c:idx val="3"/>
          <c:order val="3"/>
          <c:tx>
            <c:v>IPUF [m³/usuarios/mes]</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Alternativas!$J$51:$Q$51</c:f>
              <c:strCache>
                <c:ptCount val="8"/>
                <c:pt idx="0">
                  <c:v>2023</c:v>
                </c:pt>
                <c:pt idx="1">
                  <c:v>2024</c:v>
                </c:pt>
                <c:pt idx="2">
                  <c:v>2025</c:v>
                </c:pt>
                <c:pt idx="3">
                  <c:v>2026</c:v>
                </c:pt>
                <c:pt idx="4">
                  <c:v>2027</c:v>
                </c:pt>
                <c:pt idx="5">
                  <c:v>2028</c:v>
                </c:pt>
                <c:pt idx="6">
                  <c:v>2029</c:v>
                </c:pt>
                <c:pt idx="7">
                  <c:v>2030</c:v>
                </c:pt>
              </c:strCache>
            </c:strRef>
          </c:cat>
          <c:val>
            <c:numRef>
              <c:f>Alternativas!$J$62:$V$62</c:f>
              <c:numCache>
                <c:formatCode>#,##0.00</c:formatCode>
                <c:ptCount val="13"/>
                <c:pt idx="0">
                  <c:v>4.5670069693486823</c:v>
                </c:pt>
                <c:pt idx="1">
                  <c:v>4.5530106194944029</c:v>
                </c:pt>
                <c:pt idx="2">
                  <c:v>4.8947845808389232</c:v>
                </c:pt>
                <c:pt idx="3">
                  <c:v>4.9441277002441453</c:v>
                </c:pt>
                <c:pt idx="4">
                  <c:v>3.8127000593730465</c:v>
                </c:pt>
                <c:pt idx="5">
                  <c:v>3.7151814380423165</c:v>
                </c:pt>
                <c:pt idx="6">
                  <c:v>3.7023717874060278</c:v>
                </c:pt>
                <c:pt idx="7" formatCode="0.00">
                  <c:v>3.5367348186489114</c:v>
                </c:pt>
                <c:pt idx="8" formatCode="0.00">
                  <c:v>3.5422359665140419</c:v>
                </c:pt>
                <c:pt idx="9" formatCode="0.00">
                  <c:v>3.9652585686682986</c:v>
                </c:pt>
                <c:pt idx="10" formatCode="0.00">
                  <c:v>3.9399883704883898</c:v>
                </c:pt>
                <c:pt idx="11" formatCode="0.00">
                  <c:v>3.9757277918906802</c:v>
                </c:pt>
                <c:pt idx="12" formatCode="0.00">
                  <c:v>3.9912526894104481</c:v>
                </c:pt>
              </c:numCache>
            </c:numRef>
          </c:val>
          <c:smooth val="0"/>
          <c:extLst>
            <c:ext xmlns:c16="http://schemas.microsoft.com/office/drawing/2014/chart" uri="{C3380CC4-5D6E-409C-BE32-E72D297353CC}">
              <c16:uniqueId val="{00000004-EB27-43B6-B792-E9945F99422E}"/>
            </c:ext>
          </c:extLst>
        </c:ser>
        <c:dLbls>
          <c:showLegendKey val="0"/>
          <c:showVal val="0"/>
          <c:showCatName val="0"/>
          <c:showSerName val="0"/>
          <c:showPercent val="0"/>
          <c:showBubbleSize val="0"/>
        </c:dLbls>
        <c:marker val="1"/>
        <c:smooth val="0"/>
        <c:axId val="1038296816"/>
        <c:axId val="1038288080"/>
      </c:lineChart>
      <c:catAx>
        <c:axId val="103829681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45609389297410491"/>
              <c:y val="0.5403319419771541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88080"/>
        <c:crosses val="autoZero"/>
        <c:auto val="1"/>
        <c:lblAlgn val="ctr"/>
        <c:lblOffset val="100"/>
        <c:noMultiLvlLbl val="0"/>
      </c:catAx>
      <c:valAx>
        <c:axId val="1038288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968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s-MX"/>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INDICADORES ALTERNATIVA No.3</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v>IANC [%]</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Alternativas!$J$93:$V$93</c:f>
              <c:strCach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strCache>
            </c:strRef>
          </c:cat>
          <c:val>
            <c:numRef>
              <c:f>Alternativas!$J$101:$V$101</c:f>
              <c:numCache>
                <c:formatCode>0.00</c:formatCode>
                <c:ptCount val="13"/>
                <c:pt idx="0">
                  <c:v>23.831262003420072</c:v>
                </c:pt>
                <c:pt idx="1">
                  <c:v>23.893607509325392</c:v>
                </c:pt>
                <c:pt idx="2">
                  <c:v>25.533621644464482</c:v>
                </c:pt>
                <c:pt idx="3">
                  <c:v>27.770740872609203</c:v>
                </c:pt>
                <c:pt idx="4">
                  <c:v>26.571619228751363</c:v>
                </c:pt>
                <c:pt idx="5">
                  <c:v>27.692142517810904</c:v>
                </c:pt>
                <c:pt idx="6">
                  <c:v>28.234467265426716</c:v>
                </c:pt>
                <c:pt idx="7">
                  <c:v>28.783189060858057</c:v>
                </c:pt>
                <c:pt idx="8">
                  <c:v>29.412290635380835</c:v>
                </c:pt>
                <c:pt idx="9">
                  <c:v>29.425214681770157</c:v>
                </c:pt>
                <c:pt idx="10">
                  <c:v>29.95750281303291</c:v>
                </c:pt>
                <c:pt idx="11">
                  <c:v>30.471469296899102</c:v>
                </c:pt>
                <c:pt idx="12">
                  <c:v>30.968044090183461</c:v>
                </c:pt>
              </c:numCache>
            </c:numRef>
          </c:val>
          <c:smooth val="0"/>
          <c:extLst>
            <c:ext xmlns:c16="http://schemas.microsoft.com/office/drawing/2014/chart" uri="{C3380CC4-5D6E-409C-BE32-E72D297353CC}">
              <c16:uniqueId val="{00000000-DF68-428F-84B6-217B2A0E416F}"/>
            </c:ext>
          </c:extLst>
        </c:ser>
        <c:ser>
          <c:idx val="1"/>
          <c:order val="1"/>
          <c:tx>
            <c:v>ISUF [m³/usuarios/mes]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Alternativas!$J$93:$Q$93</c:f>
              <c:strCache>
                <c:ptCount val="8"/>
                <c:pt idx="0">
                  <c:v>2023</c:v>
                </c:pt>
                <c:pt idx="1">
                  <c:v>2024</c:v>
                </c:pt>
                <c:pt idx="2">
                  <c:v>2025</c:v>
                </c:pt>
                <c:pt idx="3">
                  <c:v>2026</c:v>
                </c:pt>
                <c:pt idx="4">
                  <c:v>2027</c:v>
                </c:pt>
                <c:pt idx="5">
                  <c:v>2028</c:v>
                </c:pt>
                <c:pt idx="6">
                  <c:v>2029</c:v>
                </c:pt>
                <c:pt idx="7">
                  <c:v>2030</c:v>
                </c:pt>
              </c:strCache>
            </c:strRef>
          </c:cat>
          <c:val>
            <c:numRef>
              <c:f>Alternativas!$J$102:$V$102</c:f>
              <c:numCache>
                <c:formatCode>0.00</c:formatCode>
                <c:ptCount val="13"/>
                <c:pt idx="0">
                  <c:v>19.163932521463877</c:v>
                </c:pt>
                <c:pt idx="1">
                  <c:v>19.055350338861206</c:v>
                </c:pt>
                <c:pt idx="2">
                  <c:v>19.16995813987899</c:v>
                </c:pt>
                <c:pt idx="3">
                  <c:v>19.360989820256258</c:v>
                </c:pt>
                <c:pt idx="4">
                  <c:v>19.398159837238428</c:v>
                </c:pt>
                <c:pt idx="5">
                  <c:v>19.403427101899911</c:v>
                </c:pt>
                <c:pt idx="6">
                  <c:v>19.282708689906972</c:v>
                </c:pt>
                <c:pt idx="7">
                  <c:v>19.199109154678606</c:v>
                </c:pt>
                <c:pt idx="8">
                  <c:v>19.073260828386015</c:v>
                </c:pt>
                <c:pt idx="9">
                  <c:v>18.86667583442124</c:v>
                </c:pt>
                <c:pt idx="10">
                  <c:v>18.798774097644309</c:v>
                </c:pt>
                <c:pt idx="11">
                  <c:v>18.725372694880242</c:v>
                </c:pt>
                <c:pt idx="12">
                  <c:v>18.646733217040325</c:v>
                </c:pt>
              </c:numCache>
            </c:numRef>
          </c:val>
          <c:smooth val="0"/>
          <c:extLst>
            <c:ext xmlns:c16="http://schemas.microsoft.com/office/drawing/2014/chart" uri="{C3380CC4-5D6E-409C-BE32-E72D297353CC}">
              <c16:uniqueId val="{00000002-DF68-428F-84B6-217B2A0E416F}"/>
            </c:ext>
          </c:extLst>
        </c:ser>
        <c:ser>
          <c:idx val="2"/>
          <c:order val="2"/>
          <c:tx>
            <c:v>ICUF [m³/usuarios/mes]</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Alternativas!$J$93:$Q$93</c:f>
              <c:strCache>
                <c:ptCount val="8"/>
                <c:pt idx="0">
                  <c:v>2023</c:v>
                </c:pt>
                <c:pt idx="1">
                  <c:v>2024</c:v>
                </c:pt>
                <c:pt idx="2">
                  <c:v>2025</c:v>
                </c:pt>
                <c:pt idx="3">
                  <c:v>2026</c:v>
                </c:pt>
                <c:pt idx="4">
                  <c:v>2027</c:v>
                </c:pt>
                <c:pt idx="5">
                  <c:v>2028</c:v>
                </c:pt>
                <c:pt idx="6">
                  <c:v>2029</c:v>
                </c:pt>
                <c:pt idx="7">
                  <c:v>2030</c:v>
                </c:pt>
              </c:strCache>
            </c:strRef>
          </c:cat>
          <c:val>
            <c:numRef>
              <c:f>Alternativas!$J$103:$V$103</c:f>
              <c:numCache>
                <c:formatCode>0.00</c:formatCode>
                <c:ptCount val="13"/>
                <c:pt idx="0">
                  <c:v>14.596925552115195</c:v>
                </c:pt>
                <c:pt idx="1">
                  <c:v>14.502339719366804</c:v>
                </c:pt>
                <c:pt idx="2">
                  <c:v>14.275173559040066</c:v>
                </c:pt>
                <c:pt idx="3">
                  <c:v>13.984299506900646</c:v>
                </c:pt>
                <c:pt idx="4">
                  <c:v>14.243754667902856</c:v>
                </c:pt>
                <c:pt idx="5">
                  <c:v>14.030202415502243</c:v>
                </c:pt>
                <c:pt idx="6">
                  <c:v>13.838338616967595</c:v>
                </c:pt>
                <c:pt idx="7">
                  <c:v>13.672993268686955</c:v>
                </c:pt>
                <c:pt idx="8">
                  <c:v>13.463377919896875</c:v>
                </c:pt>
                <c:pt idx="9">
                  <c:v>13.315115966829138</c:v>
                </c:pt>
                <c:pt idx="10">
                  <c:v>13.167130818526813</c:v>
                </c:pt>
                <c:pt idx="11">
                  <c:v>13.01947650342988</c:v>
                </c:pt>
                <c:pt idx="12">
                  <c:v>12.872204653008394</c:v>
                </c:pt>
              </c:numCache>
            </c:numRef>
          </c:val>
          <c:smooth val="0"/>
          <c:extLst>
            <c:ext xmlns:c16="http://schemas.microsoft.com/office/drawing/2014/chart" uri="{C3380CC4-5D6E-409C-BE32-E72D297353CC}">
              <c16:uniqueId val="{00000003-DF68-428F-84B6-217B2A0E416F}"/>
            </c:ext>
          </c:extLst>
        </c:ser>
        <c:ser>
          <c:idx val="3"/>
          <c:order val="3"/>
          <c:tx>
            <c:v>IPUF [m³/usuarios/mes]</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Alternativas!$J$93:$Q$93</c:f>
              <c:strCache>
                <c:ptCount val="8"/>
                <c:pt idx="0">
                  <c:v>2023</c:v>
                </c:pt>
                <c:pt idx="1">
                  <c:v>2024</c:v>
                </c:pt>
                <c:pt idx="2">
                  <c:v>2025</c:v>
                </c:pt>
                <c:pt idx="3">
                  <c:v>2026</c:v>
                </c:pt>
                <c:pt idx="4">
                  <c:v>2027</c:v>
                </c:pt>
                <c:pt idx="5">
                  <c:v>2028</c:v>
                </c:pt>
                <c:pt idx="6">
                  <c:v>2029</c:v>
                </c:pt>
                <c:pt idx="7">
                  <c:v>2030</c:v>
                </c:pt>
              </c:strCache>
            </c:strRef>
          </c:cat>
          <c:val>
            <c:numRef>
              <c:f>Alternativas!$J$104:$V$104</c:f>
              <c:numCache>
                <c:formatCode>#,##0.00</c:formatCode>
                <c:ptCount val="13"/>
                <c:pt idx="0">
                  <c:v>4.5670069693486823</c:v>
                </c:pt>
                <c:pt idx="1">
                  <c:v>4.5530106194944029</c:v>
                </c:pt>
                <c:pt idx="2">
                  <c:v>4.8947845808389232</c:v>
                </c:pt>
                <c:pt idx="3">
                  <c:v>5.3766903133556117</c:v>
                </c:pt>
                <c:pt idx="4">
                  <c:v>5.1544051693355719</c:v>
                </c:pt>
                <c:pt idx="5">
                  <c:v>5.373224686397668</c:v>
                </c:pt>
                <c:pt idx="6">
                  <c:v>5.4443700729393765</c:v>
                </c:pt>
                <c:pt idx="7" formatCode="0.00">
                  <c:v>5.5261158859916506</c:v>
                </c:pt>
                <c:pt idx="8" formatCode="0.00">
                  <c:v>5.6098829084891406</c:v>
                </c:pt>
                <c:pt idx="9" formatCode="0.00">
                  <c:v>5.5515598675921023</c:v>
                </c:pt>
                <c:pt idx="10" formatCode="0.00">
                  <c:v>5.6316432791174957</c:v>
                </c:pt>
                <c:pt idx="11" formatCode="0.00">
                  <c:v>5.7058961914503623</c:v>
                </c:pt>
                <c:pt idx="12" formatCode="0.00">
                  <c:v>5.7745285640319306</c:v>
                </c:pt>
              </c:numCache>
            </c:numRef>
          </c:val>
          <c:smooth val="0"/>
          <c:extLst>
            <c:ext xmlns:c16="http://schemas.microsoft.com/office/drawing/2014/chart" uri="{C3380CC4-5D6E-409C-BE32-E72D297353CC}">
              <c16:uniqueId val="{00000004-DF68-428F-84B6-217B2A0E416F}"/>
            </c:ext>
          </c:extLst>
        </c:ser>
        <c:dLbls>
          <c:showLegendKey val="0"/>
          <c:showVal val="0"/>
          <c:showCatName val="0"/>
          <c:showSerName val="0"/>
          <c:showPercent val="0"/>
          <c:showBubbleSize val="0"/>
        </c:dLbls>
        <c:marker val="1"/>
        <c:smooth val="0"/>
        <c:axId val="1038300144"/>
        <c:axId val="1038298064"/>
      </c:lineChart>
      <c:catAx>
        <c:axId val="10383001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45609389297410491"/>
              <c:y val="0.6625342187904673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98064"/>
        <c:crosses val="autoZero"/>
        <c:auto val="1"/>
        <c:lblAlgn val="ctr"/>
        <c:lblOffset val="100"/>
        <c:noMultiLvlLbl val="0"/>
      </c:catAx>
      <c:valAx>
        <c:axId val="103829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3001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s-MX"/>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GRÁFICA BENEFICIO COSTO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PROGR ALTERNATIVA + TARIFA'!$B$46</c:f>
              <c:strCache>
                <c:ptCount val="1"/>
                <c:pt idx="0">
                  <c:v>Beneficio</c:v>
                </c:pt>
              </c:strCache>
            </c:strRef>
          </c:tx>
          <c:spPr>
            <a:ln w="28575" cap="rnd">
              <a:solidFill>
                <a:schemeClr val="accent1"/>
              </a:solidFill>
              <a:round/>
            </a:ln>
            <a:effectLst/>
          </c:spPr>
          <c:marker>
            <c:symbol val="none"/>
          </c:marker>
          <c:cat>
            <c:numRef>
              <c:f>'BC PROGR ALTERNATIVA + TARIFA'!$C$45:$M$45</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PROGR ALTERNATIVA + TARIFA'!$C$46:$M$46</c:f>
              <c:numCache>
                <c:formatCode>"$"#,##0_);[Red]\("$"#,##0\)</c:formatCode>
                <c:ptCount val="11"/>
                <c:pt idx="0">
                  <c:v>0</c:v>
                </c:pt>
                <c:pt idx="1">
                  <c:v>3876332.4168952056</c:v>
                </c:pt>
                <c:pt idx="2">
                  <c:v>7033112.1606246857</c:v>
                </c:pt>
                <c:pt idx="3">
                  <c:v>9251046.2882862855</c:v>
                </c:pt>
                <c:pt idx="4">
                  <c:v>11313909.114361141</c:v>
                </c:pt>
                <c:pt idx="5">
                  <c:v>13719872.32140499</c:v>
                </c:pt>
                <c:pt idx="6">
                  <c:v>7642146.0105717322</c:v>
                </c:pt>
                <c:pt idx="7">
                  <c:v>7042654.1072816178</c:v>
                </c:pt>
                <c:pt idx="8">
                  <c:v>7678209.8371132379</c:v>
                </c:pt>
                <c:pt idx="9">
                  <c:v>8075809.5427095946</c:v>
                </c:pt>
                <c:pt idx="10">
                  <c:v>8422653.9521204494</c:v>
                </c:pt>
              </c:numCache>
            </c:numRef>
          </c:val>
          <c:smooth val="0"/>
          <c:extLst>
            <c:ext xmlns:c16="http://schemas.microsoft.com/office/drawing/2014/chart" uri="{C3380CC4-5D6E-409C-BE32-E72D297353CC}">
              <c16:uniqueId val="{00000000-E6F8-4B13-B1A1-344A62EE2B5D}"/>
            </c:ext>
          </c:extLst>
        </c:ser>
        <c:ser>
          <c:idx val="1"/>
          <c:order val="1"/>
          <c:tx>
            <c:strRef>
              <c:f>'BC PROGR ALTERNATIVA + TARIFA'!$B$47</c:f>
              <c:strCache>
                <c:ptCount val="1"/>
                <c:pt idx="0">
                  <c:v>Costos + Inversión</c:v>
                </c:pt>
              </c:strCache>
            </c:strRef>
          </c:tx>
          <c:spPr>
            <a:ln w="28575" cap="rnd">
              <a:solidFill>
                <a:schemeClr val="accent2"/>
              </a:solidFill>
              <a:round/>
            </a:ln>
            <a:effectLst/>
          </c:spPr>
          <c:marker>
            <c:symbol val="none"/>
          </c:marker>
          <c:cat>
            <c:numRef>
              <c:f>'BC PROGR ALTERNATIVA + TARIFA'!$C$45:$M$45</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PROGR ALTERNATIVA + TARIFA'!$C$47:$M$47</c:f>
              <c:numCache>
                <c:formatCode>"$"#,##0_);[Red]\("$"#,##0\)</c:formatCode>
                <c:ptCount val="11"/>
                <c:pt idx="0">
                  <c:v>0</c:v>
                </c:pt>
                <c:pt idx="1">
                  <c:v>6061490.2584014554</c:v>
                </c:pt>
                <c:pt idx="2">
                  <c:v>15485713.046378624</c:v>
                </c:pt>
                <c:pt idx="3">
                  <c:v>13635314.319305796</c:v>
                </c:pt>
                <c:pt idx="4">
                  <c:v>17376771.703430846</c:v>
                </c:pt>
                <c:pt idx="5">
                  <c:v>15942531.586008733</c:v>
                </c:pt>
                <c:pt idx="6">
                  <c:v>15929097.236010581</c:v>
                </c:pt>
                <c:pt idx="7">
                  <c:v>6038662.5521478988</c:v>
                </c:pt>
                <c:pt idx="8">
                  <c:v>7518610.3442086866</c:v>
                </c:pt>
                <c:pt idx="9">
                  <c:v>6665748.3495569117</c:v>
                </c:pt>
                <c:pt idx="10">
                  <c:v>6843401.6137219435</c:v>
                </c:pt>
              </c:numCache>
            </c:numRef>
          </c:val>
          <c:smooth val="0"/>
          <c:extLst>
            <c:ext xmlns:c16="http://schemas.microsoft.com/office/drawing/2014/chart" uri="{C3380CC4-5D6E-409C-BE32-E72D297353CC}">
              <c16:uniqueId val="{00000001-E6F8-4B13-B1A1-344A62EE2B5D}"/>
            </c:ext>
          </c:extLst>
        </c:ser>
        <c:dLbls>
          <c:showLegendKey val="0"/>
          <c:showVal val="0"/>
          <c:showCatName val="0"/>
          <c:showSerName val="0"/>
          <c:showPercent val="0"/>
          <c:showBubbleSize val="0"/>
        </c:dLbls>
        <c:smooth val="0"/>
        <c:axId val="628847376"/>
        <c:axId val="628844632"/>
      </c:lineChart>
      <c:catAx>
        <c:axId val="628847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4632"/>
        <c:crosses val="autoZero"/>
        <c:auto val="1"/>
        <c:lblAlgn val="ctr"/>
        <c:lblOffset val="100"/>
        <c:noMultiLvlLbl val="0"/>
      </c:catAx>
      <c:valAx>
        <c:axId val="628844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100" b="0" i="0" baseline="0">
                    <a:effectLst/>
                  </a:rPr>
                  <a:t>$ Miles de pesos corrientes</a:t>
                </a:r>
                <a:endParaRPr lang="es-CO"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7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'FCAJA PROYECTO TASA 16,28'!$B$62</c:f>
              <c:strCache>
                <c:ptCount val="1"/>
                <c:pt idx="0">
                  <c:v>FLUJO DE CAJA LIBRE (Millones de pesos corrientes)</c:v>
                </c:pt>
              </c:strCache>
            </c:strRef>
          </c:tx>
          <c:spPr>
            <a:solidFill>
              <a:schemeClr val="accent2"/>
            </a:solidFill>
            <a:ln>
              <a:noFill/>
            </a:ln>
            <a:effectLst/>
          </c:spPr>
          <c:invertIfNegative val="0"/>
          <c:dLbls>
            <c:dLbl>
              <c:idx val="0"/>
              <c:layout>
                <c:manualLayout>
                  <c:x val="-1.3656783313518452E-3"/>
                  <c:y val="-3.1361762290682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30A-4521-BCCA-52736ECA73F1}"/>
                </c:ext>
              </c:extLst>
            </c:dLbl>
            <c:dLbl>
              <c:idx val="1"/>
              <c:layout>
                <c:manualLayout>
                  <c:x val="-2.7313566627036904E-3"/>
                  <c:y val="-3.7633785491472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0A-4521-BCCA-52736ECA73F1}"/>
                </c:ext>
              </c:extLst>
            </c:dLbl>
            <c:dLbl>
              <c:idx val="2"/>
              <c:layout>
                <c:manualLayout>
                  <c:x val="0"/>
                  <c:y val="-3.9625070961391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0A-4521-BCCA-52736ECA73F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'FCAJA PROYECTO TASA 16,28'!$C$61:$M$61</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'FCAJA PROYECTO TASA 16,28'!$C$62:$M$62</c:f>
              <c:numCache>
                <c:formatCode>#,##0.00</c:formatCode>
                <c:ptCount val="11"/>
                <c:pt idx="0">
                  <c:v>0</c:v>
                </c:pt>
                <c:pt idx="1">
                  <c:v>4369.2571884253011</c:v>
                </c:pt>
                <c:pt idx="2">
                  <c:v>-1097.3110786514553</c:v>
                </c:pt>
                <c:pt idx="3">
                  <c:v>4091.1117739305873</c:v>
                </c:pt>
                <c:pt idx="4">
                  <c:v>3898.9247468309495</c:v>
                </c:pt>
                <c:pt idx="5">
                  <c:v>9216.5767051633411</c:v>
                </c:pt>
                <c:pt idx="6">
                  <c:v>-788.44182396967881</c:v>
                </c:pt>
                <c:pt idx="7">
                  <c:v>9382.1808783188517</c:v>
                </c:pt>
                <c:pt idx="8">
                  <c:v>8806.8528587280689</c:v>
                </c:pt>
                <c:pt idx="9">
                  <c:v>10409.152477491614</c:v>
                </c:pt>
                <c:pt idx="10">
                  <c:v>10904.180450288106</c:v>
                </c:pt>
              </c:numCache>
            </c:numRef>
          </c:val>
          <c:extLst>
            <c:ext xmlns:c16="http://schemas.microsoft.com/office/drawing/2014/chart" uri="{C3380CC4-5D6E-409C-BE32-E72D297353CC}">
              <c16:uniqueId val="{00000003-130A-4521-BCCA-52736ECA73F1}"/>
            </c:ext>
          </c:extLst>
        </c:ser>
        <c:dLbls>
          <c:showLegendKey val="0"/>
          <c:showVal val="0"/>
          <c:showCatName val="0"/>
          <c:showSerName val="0"/>
          <c:showPercent val="0"/>
          <c:showBubbleSize val="0"/>
        </c:dLbls>
        <c:gapWidth val="150"/>
        <c:axId val="2038312408"/>
        <c:axId val="2038317808"/>
      </c:barChart>
      <c:lineChart>
        <c:grouping val="standard"/>
        <c:varyColors val="0"/>
        <c:ser>
          <c:idx val="2"/>
          <c:order val="1"/>
          <c:tx>
            <c:strRef>
              <c:f>'FCAJA PROYECTO TASA 16,28'!$B$63</c:f>
              <c:strCache>
                <c:ptCount val="1"/>
                <c:pt idx="0">
                  <c:v>FLUJO DE CAJA LIBRE ACUMULADO (Millones de pesos corrientes)</c:v>
                </c:pt>
              </c:strCache>
            </c:strRef>
          </c:tx>
          <c:spPr>
            <a:ln w="28575" cap="rnd">
              <a:solidFill>
                <a:schemeClr val="accent3"/>
              </a:solidFill>
              <a:round/>
            </a:ln>
            <a:effectLst/>
          </c:spPr>
          <c:marker>
            <c:symbol val="none"/>
          </c:marker>
          <c:val>
            <c:numRef>
              <c:f>'FCAJA PROYECTO TASA 16,28'!$C$63:$M$63</c:f>
              <c:numCache>
                <c:formatCode>#,##0.00</c:formatCode>
                <c:ptCount val="11"/>
                <c:pt idx="0">
                  <c:v>0</c:v>
                </c:pt>
                <c:pt idx="1">
                  <c:v>4369.2571884253011</c:v>
                </c:pt>
                <c:pt idx="2">
                  <c:v>3271.9461097738458</c:v>
                </c:pt>
                <c:pt idx="3">
                  <c:v>7363.0578837044332</c:v>
                </c:pt>
                <c:pt idx="4">
                  <c:v>11261.982630535382</c:v>
                </c:pt>
                <c:pt idx="5">
                  <c:v>20478.559335698723</c:v>
                </c:pt>
                <c:pt idx="6">
                  <c:v>19690.117511729044</c:v>
                </c:pt>
                <c:pt idx="7">
                  <c:v>29072.298390047894</c:v>
                </c:pt>
                <c:pt idx="8">
                  <c:v>37879.151248775961</c:v>
                </c:pt>
                <c:pt idx="9">
                  <c:v>48288.303726267579</c:v>
                </c:pt>
                <c:pt idx="10">
                  <c:v>59192.484176555685</c:v>
                </c:pt>
              </c:numCache>
            </c:numRef>
          </c:val>
          <c:smooth val="0"/>
          <c:extLst>
            <c:ext xmlns:c16="http://schemas.microsoft.com/office/drawing/2014/chart" uri="{C3380CC4-5D6E-409C-BE32-E72D297353CC}">
              <c16:uniqueId val="{00000004-130A-4521-BCCA-52736ECA73F1}"/>
            </c:ext>
          </c:extLst>
        </c:ser>
        <c:dLbls>
          <c:showLegendKey val="0"/>
          <c:showVal val="0"/>
          <c:showCatName val="0"/>
          <c:showSerName val="0"/>
          <c:showPercent val="0"/>
          <c:showBubbleSize val="0"/>
        </c:dLbls>
        <c:marker val="1"/>
        <c:smooth val="0"/>
        <c:axId val="2038312408"/>
        <c:axId val="2038317808"/>
      </c:lineChart>
      <c:catAx>
        <c:axId val="2038312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38317808"/>
        <c:crosses val="autoZero"/>
        <c:auto val="1"/>
        <c:lblAlgn val="ctr"/>
        <c:lblOffset val="100"/>
        <c:noMultiLvlLbl val="0"/>
      </c:catAx>
      <c:valAx>
        <c:axId val="2038317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38312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Arial" panose="020B0604020202020204" pitchFamily="34" charset="0"/>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latin typeface="Arial" panose="020B0604020202020204" pitchFamily="34" charset="0"/>
          <a:cs typeface="Arial" panose="020B0604020202020204" pitchFamily="34" charset="0"/>
        </a:defRPr>
      </a:pPr>
      <a:endParaRPr lang="es-MX"/>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1269755-B1A2-4475-82BD-2F516541E529}">
  <sheetPr codeName="Gráfico61">
    <tabColor rgb="FFFFC000"/>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19" Type="http://schemas.openxmlformats.org/officeDocument/2006/relationships/chart" Target="../charts/chart22.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5.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6.emf"/><Relationship Id="rId2" Type="http://schemas.openxmlformats.org/officeDocument/2006/relationships/image" Target="../media/image3.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0.emf"/><Relationship Id="rId11" Type="http://schemas.openxmlformats.org/officeDocument/2006/relationships/image" Target="../media/image7.emf"/><Relationship Id="rId5" Type="http://schemas.openxmlformats.org/officeDocument/2006/relationships/image" Target="../media/image9.emf"/><Relationship Id="rId15" Type="http://schemas.openxmlformats.org/officeDocument/2006/relationships/image" Target="../media/image2.emf"/><Relationship Id="rId10" Type="http://schemas.openxmlformats.org/officeDocument/2006/relationships/image" Target="../media/image11.emf"/><Relationship Id="rId4" Type="http://schemas.openxmlformats.org/officeDocument/2006/relationships/image" Target="../media/image14.emf"/><Relationship Id="rId9" Type="http://schemas.openxmlformats.org/officeDocument/2006/relationships/image" Target="../media/image13.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190500</xdr:colOff>
          <xdr:row>11</xdr:row>
          <xdr:rowOff>190500</xdr:rowOff>
        </xdr:from>
        <xdr:to>
          <xdr:col>4</xdr:col>
          <xdr:colOff>466725</xdr:colOff>
          <xdr:row>13</xdr:row>
          <xdr:rowOff>28575</xdr:rowOff>
        </xdr:to>
        <xdr:sp macro="" textlink="">
          <xdr:nvSpPr>
            <xdr:cNvPr id="54277" name="MH1" hidden="1">
              <a:extLst>
                <a:ext uri="{63B3BB69-23CF-44E3-9099-C40C66FF867C}">
                  <a14:compatExt spid="_x0000_s54277"/>
                </a:ext>
                <a:ext uri="{FF2B5EF4-FFF2-40B4-BE49-F238E27FC236}">
                  <a16:creationId xmlns:a16="http://schemas.microsoft.com/office/drawing/2014/main" id="{00000000-0008-0000-0000-00000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142875</xdr:rowOff>
        </xdr:from>
        <xdr:to>
          <xdr:col>4</xdr:col>
          <xdr:colOff>819150</xdr:colOff>
          <xdr:row>15</xdr:row>
          <xdr:rowOff>123825</xdr:rowOff>
        </xdr:to>
        <xdr:sp macro="" textlink="">
          <xdr:nvSpPr>
            <xdr:cNvPr id="54278" name="CheckBox1" hidden="1">
              <a:extLst>
                <a:ext uri="{63B3BB69-23CF-44E3-9099-C40C66FF867C}">
                  <a14:compatExt spid="_x0000_s54278"/>
                </a:ext>
                <a:ext uri="{FF2B5EF4-FFF2-40B4-BE49-F238E27FC236}">
                  <a16:creationId xmlns:a16="http://schemas.microsoft.com/office/drawing/2014/main" id="{00000000-0008-0000-0000-00000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152400</xdr:rowOff>
        </xdr:from>
        <xdr:to>
          <xdr:col>4</xdr:col>
          <xdr:colOff>371475</xdr:colOff>
          <xdr:row>16</xdr:row>
          <xdr:rowOff>19050</xdr:rowOff>
        </xdr:to>
        <xdr:sp macro="" textlink="">
          <xdr:nvSpPr>
            <xdr:cNvPr id="54279" name="CheckBox2" hidden="1">
              <a:extLst>
                <a:ext uri="{63B3BB69-23CF-44E3-9099-C40C66FF867C}">
                  <a14:compatExt spid="_x0000_s54279"/>
                </a:ext>
                <a:ext uri="{FF2B5EF4-FFF2-40B4-BE49-F238E27FC236}">
                  <a16:creationId xmlns:a16="http://schemas.microsoft.com/office/drawing/2014/main" id="{00000000-0008-0000-0000-00000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142875</xdr:rowOff>
        </xdr:from>
        <xdr:to>
          <xdr:col>4</xdr:col>
          <xdr:colOff>828675</xdr:colOff>
          <xdr:row>20</xdr:row>
          <xdr:rowOff>38100</xdr:rowOff>
        </xdr:to>
        <xdr:sp macro="" textlink="">
          <xdr:nvSpPr>
            <xdr:cNvPr id="54281" name="CheckBox3" hidden="1">
              <a:extLst>
                <a:ext uri="{63B3BB69-23CF-44E3-9099-C40C66FF867C}">
                  <a14:compatExt spid="_x0000_s54281"/>
                </a:ext>
                <a:ext uri="{FF2B5EF4-FFF2-40B4-BE49-F238E27FC236}">
                  <a16:creationId xmlns:a16="http://schemas.microsoft.com/office/drawing/2014/main" id="{00000000-0008-0000-0000-00000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19</xdr:row>
          <xdr:rowOff>152400</xdr:rowOff>
        </xdr:from>
        <xdr:to>
          <xdr:col>4</xdr:col>
          <xdr:colOff>57150</xdr:colOff>
          <xdr:row>19</xdr:row>
          <xdr:rowOff>171450</xdr:rowOff>
        </xdr:to>
        <xdr:sp macro="" textlink="">
          <xdr:nvSpPr>
            <xdr:cNvPr id="54282" name="CheckBox4" hidden="1">
              <a:extLst>
                <a:ext uri="{63B3BB69-23CF-44E3-9099-C40C66FF867C}">
                  <a14:compatExt spid="_x0000_s54282"/>
                </a:ext>
                <a:ext uri="{FF2B5EF4-FFF2-40B4-BE49-F238E27FC236}">
                  <a16:creationId xmlns:a16="http://schemas.microsoft.com/office/drawing/2014/main" id="{00000000-0008-0000-0000-00000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23</xdr:row>
          <xdr:rowOff>0</xdr:rowOff>
        </xdr:from>
        <xdr:to>
          <xdr:col>4</xdr:col>
          <xdr:colOff>371475</xdr:colOff>
          <xdr:row>24</xdr:row>
          <xdr:rowOff>114300</xdr:rowOff>
        </xdr:to>
        <xdr:sp macro="" textlink="">
          <xdr:nvSpPr>
            <xdr:cNvPr id="54283" name="CheckBox5" hidden="1">
              <a:extLst>
                <a:ext uri="{63B3BB69-23CF-44E3-9099-C40C66FF867C}">
                  <a14:compatExt spid="_x0000_s54283"/>
                </a:ext>
                <a:ext uri="{FF2B5EF4-FFF2-40B4-BE49-F238E27FC236}">
                  <a16:creationId xmlns:a16="http://schemas.microsoft.com/office/drawing/2014/main" id="{00000000-0008-0000-0000-00000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24</xdr:row>
          <xdr:rowOff>9525</xdr:rowOff>
        </xdr:from>
        <xdr:to>
          <xdr:col>4</xdr:col>
          <xdr:colOff>314325</xdr:colOff>
          <xdr:row>25</xdr:row>
          <xdr:rowOff>38100</xdr:rowOff>
        </xdr:to>
        <xdr:sp macro="" textlink="">
          <xdr:nvSpPr>
            <xdr:cNvPr id="54284" name="CheckBox6" hidden="1">
              <a:extLst>
                <a:ext uri="{63B3BB69-23CF-44E3-9099-C40C66FF867C}">
                  <a14:compatExt spid="_x0000_s54284"/>
                </a:ext>
                <a:ext uri="{FF2B5EF4-FFF2-40B4-BE49-F238E27FC236}">
                  <a16:creationId xmlns:a16="http://schemas.microsoft.com/office/drawing/2014/main" id="{00000000-0008-0000-0000-00000C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25</xdr:row>
          <xdr:rowOff>9525</xdr:rowOff>
        </xdr:from>
        <xdr:to>
          <xdr:col>4</xdr:col>
          <xdr:colOff>257175</xdr:colOff>
          <xdr:row>26</xdr:row>
          <xdr:rowOff>47625</xdr:rowOff>
        </xdr:to>
        <xdr:sp macro="" textlink="">
          <xdr:nvSpPr>
            <xdr:cNvPr id="54287" name="CheckBox7" hidden="1">
              <a:extLst>
                <a:ext uri="{63B3BB69-23CF-44E3-9099-C40C66FF867C}">
                  <a14:compatExt spid="_x0000_s54287"/>
                </a:ext>
                <a:ext uri="{FF2B5EF4-FFF2-40B4-BE49-F238E27FC236}">
                  <a16:creationId xmlns:a16="http://schemas.microsoft.com/office/drawing/2014/main" id="{00000000-0008-0000-0000-00000F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26</xdr:row>
          <xdr:rowOff>28575</xdr:rowOff>
        </xdr:from>
        <xdr:to>
          <xdr:col>4</xdr:col>
          <xdr:colOff>257175</xdr:colOff>
          <xdr:row>27</xdr:row>
          <xdr:rowOff>38100</xdr:rowOff>
        </xdr:to>
        <xdr:sp macro="" textlink="">
          <xdr:nvSpPr>
            <xdr:cNvPr id="54288" name="CheckBox8" hidden="1">
              <a:extLst>
                <a:ext uri="{63B3BB69-23CF-44E3-9099-C40C66FF867C}">
                  <a14:compatExt spid="_x0000_s54288"/>
                </a:ext>
                <a:ext uri="{FF2B5EF4-FFF2-40B4-BE49-F238E27FC236}">
                  <a16:creationId xmlns:a16="http://schemas.microsoft.com/office/drawing/2014/main" id="{00000000-0008-0000-0000-000010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27</xdr:row>
          <xdr:rowOff>0</xdr:rowOff>
        </xdr:from>
        <xdr:to>
          <xdr:col>4</xdr:col>
          <xdr:colOff>257175</xdr:colOff>
          <xdr:row>28</xdr:row>
          <xdr:rowOff>38100</xdr:rowOff>
        </xdr:to>
        <xdr:sp macro="" textlink="">
          <xdr:nvSpPr>
            <xdr:cNvPr id="54291" name="CheckBox9" hidden="1">
              <a:extLst>
                <a:ext uri="{63B3BB69-23CF-44E3-9099-C40C66FF867C}">
                  <a14:compatExt spid="_x0000_s54291"/>
                </a:ext>
                <a:ext uri="{FF2B5EF4-FFF2-40B4-BE49-F238E27FC236}">
                  <a16:creationId xmlns:a16="http://schemas.microsoft.com/office/drawing/2014/main" id="{00000000-0008-0000-0000-00001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28</xdr:row>
          <xdr:rowOff>9525</xdr:rowOff>
        </xdr:from>
        <xdr:to>
          <xdr:col>4</xdr:col>
          <xdr:colOff>257175</xdr:colOff>
          <xdr:row>29</xdr:row>
          <xdr:rowOff>19050</xdr:rowOff>
        </xdr:to>
        <xdr:sp macro="" textlink="">
          <xdr:nvSpPr>
            <xdr:cNvPr id="54292" name="CheckBox10" hidden="1">
              <a:extLst>
                <a:ext uri="{63B3BB69-23CF-44E3-9099-C40C66FF867C}">
                  <a14:compatExt spid="_x0000_s54292"/>
                </a:ext>
                <a:ext uri="{FF2B5EF4-FFF2-40B4-BE49-F238E27FC236}">
                  <a16:creationId xmlns:a16="http://schemas.microsoft.com/office/drawing/2014/main" id="{00000000-0008-0000-0000-00001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29</xdr:row>
          <xdr:rowOff>9525</xdr:rowOff>
        </xdr:from>
        <xdr:to>
          <xdr:col>4</xdr:col>
          <xdr:colOff>257175</xdr:colOff>
          <xdr:row>30</xdr:row>
          <xdr:rowOff>47625</xdr:rowOff>
        </xdr:to>
        <xdr:sp macro="" textlink="">
          <xdr:nvSpPr>
            <xdr:cNvPr id="54293" name="CheckBox11" hidden="1">
              <a:extLst>
                <a:ext uri="{63B3BB69-23CF-44E3-9099-C40C66FF867C}">
                  <a14:compatExt spid="_x0000_s54293"/>
                </a:ext>
                <a:ext uri="{FF2B5EF4-FFF2-40B4-BE49-F238E27FC236}">
                  <a16:creationId xmlns:a16="http://schemas.microsoft.com/office/drawing/2014/main" id="{00000000-0008-0000-0000-00001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30</xdr:row>
          <xdr:rowOff>28575</xdr:rowOff>
        </xdr:from>
        <xdr:to>
          <xdr:col>4</xdr:col>
          <xdr:colOff>257175</xdr:colOff>
          <xdr:row>31</xdr:row>
          <xdr:rowOff>38100</xdr:rowOff>
        </xdr:to>
        <xdr:sp macro="" textlink="">
          <xdr:nvSpPr>
            <xdr:cNvPr id="54294" name="CheckBox12" hidden="1">
              <a:extLst>
                <a:ext uri="{63B3BB69-23CF-44E3-9099-C40C66FF867C}">
                  <a14:compatExt spid="_x0000_s54294"/>
                </a:ext>
                <a:ext uri="{FF2B5EF4-FFF2-40B4-BE49-F238E27FC236}">
                  <a16:creationId xmlns:a16="http://schemas.microsoft.com/office/drawing/2014/main" id="{00000000-0008-0000-0000-00001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32</xdr:row>
          <xdr:rowOff>28575</xdr:rowOff>
        </xdr:from>
        <xdr:to>
          <xdr:col>4</xdr:col>
          <xdr:colOff>466725</xdr:colOff>
          <xdr:row>33</xdr:row>
          <xdr:rowOff>38100</xdr:rowOff>
        </xdr:to>
        <xdr:sp macro="" textlink="">
          <xdr:nvSpPr>
            <xdr:cNvPr id="54296" name="CheckBox14" hidden="1">
              <a:extLst>
                <a:ext uri="{63B3BB69-23CF-44E3-9099-C40C66FF867C}">
                  <a14:compatExt spid="_x0000_s54296"/>
                </a:ext>
                <a:ext uri="{FF2B5EF4-FFF2-40B4-BE49-F238E27FC236}">
                  <a16:creationId xmlns:a16="http://schemas.microsoft.com/office/drawing/2014/main" id="{00000000-0008-0000-0000-000018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33</xdr:row>
          <xdr:rowOff>28575</xdr:rowOff>
        </xdr:from>
        <xdr:to>
          <xdr:col>4</xdr:col>
          <xdr:colOff>495300</xdr:colOff>
          <xdr:row>34</xdr:row>
          <xdr:rowOff>85725</xdr:rowOff>
        </xdr:to>
        <xdr:sp macro="" textlink="">
          <xdr:nvSpPr>
            <xdr:cNvPr id="54297" name="CheckBox15" hidden="1">
              <a:extLst>
                <a:ext uri="{63B3BB69-23CF-44E3-9099-C40C66FF867C}">
                  <a14:compatExt spid="_x0000_s54297"/>
                </a:ext>
                <a:ext uri="{FF2B5EF4-FFF2-40B4-BE49-F238E27FC236}">
                  <a16:creationId xmlns:a16="http://schemas.microsoft.com/office/drawing/2014/main" id="{00000000-0008-0000-0000-00001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34</xdr:row>
          <xdr:rowOff>38100</xdr:rowOff>
        </xdr:from>
        <xdr:to>
          <xdr:col>4</xdr:col>
          <xdr:colOff>523875</xdr:colOff>
          <xdr:row>35</xdr:row>
          <xdr:rowOff>66675</xdr:rowOff>
        </xdr:to>
        <xdr:sp macro="" textlink="">
          <xdr:nvSpPr>
            <xdr:cNvPr id="54298" name="CheckBox16" hidden="1">
              <a:extLst>
                <a:ext uri="{63B3BB69-23CF-44E3-9099-C40C66FF867C}">
                  <a14:compatExt spid="_x0000_s54298"/>
                </a:ext>
                <a:ext uri="{FF2B5EF4-FFF2-40B4-BE49-F238E27FC236}">
                  <a16:creationId xmlns:a16="http://schemas.microsoft.com/office/drawing/2014/main" id="{00000000-0008-0000-0000-00001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35</xdr:row>
          <xdr:rowOff>28575</xdr:rowOff>
        </xdr:from>
        <xdr:to>
          <xdr:col>4</xdr:col>
          <xdr:colOff>466725</xdr:colOff>
          <xdr:row>36</xdr:row>
          <xdr:rowOff>66675</xdr:rowOff>
        </xdr:to>
        <xdr:sp macro="" textlink="">
          <xdr:nvSpPr>
            <xdr:cNvPr id="54299" name="CheckBox17" hidden="1">
              <a:extLst>
                <a:ext uri="{63B3BB69-23CF-44E3-9099-C40C66FF867C}">
                  <a14:compatExt spid="_x0000_s54299"/>
                </a:ext>
                <a:ext uri="{FF2B5EF4-FFF2-40B4-BE49-F238E27FC236}">
                  <a16:creationId xmlns:a16="http://schemas.microsoft.com/office/drawing/2014/main" id="{00000000-0008-0000-0000-00001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36</xdr:row>
          <xdr:rowOff>28575</xdr:rowOff>
        </xdr:from>
        <xdr:to>
          <xdr:col>4</xdr:col>
          <xdr:colOff>466725</xdr:colOff>
          <xdr:row>37</xdr:row>
          <xdr:rowOff>38100</xdr:rowOff>
        </xdr:to>
        <xdr:sp macro="" textlink="">
          <xdr:nvSpPr>
            <xdr:cNvPr id="54300" name="CheckBox18" hidden="1">
              <a:extLst>
                <a:ext uri="{63B3BB69-23CF-44E3-9099-C40C66FF867C}">
                  <a14:compatExt spid="_x0000_s54300"/>
                </a:ext>
                <a:ext uri="{FF2B5EF4-FFF2-40B4-BE49-F238E27FC236}">
                  <a16:creationId xmlns:a16="http://schemas.microsoft.com/office/drawing/2014/main" id="{00000000-0008-0000-0000-00001C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22</xdr:row>
          <xdr:rowOff>9525</xdr:rowOff>
        </xdr:from>
        <xdr:to>
          <xdr:col>8</xdr:col>
          <xdr:colOff>247650</xdr:colOff>
          <xdr:row>22</xdr:row>
          <xdr:rowOff>114300</xdr:rowOff>
        </xdr:to>
        <xdr:sp macro="" textlink="">
          <xdr:nvSpPr>
            <xdr:cNvPr id="54303" name="CheckBox19" hidden="1">
              <a:extLst>
                <a:ext uri="{63B3BB69-23CF-44E3-9099-C40C66FF867C}">
                  <a14:compatExt spid="_x0000_s54303"/>
                </a:ext>
                <a:ext uri="{FF2B5EF4-FFF2-40B4-BE49-F238E27FC236}">
                  <a16:creationId xmlns:a16="http://schemas.microsoft.com/office/drawing/2014/main" id="{00000000-0008-0000-0000-00001F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23</xdr:row>
          <xdr:rowOff>28575</xdr:rowOff>
        </xdr:from>
        <xdr:to>
          <xdr:col>8</xdr:col>
          <xdr:colOff>752475</xdr:colOff>
          <xdr:row>24</xdr:row>
          <xdr:rowOff>57150</xdr:rowOff>
        </xdr:to>
        <xdr:sp macro="" textlink="">
          <xdr:nvSpPr>
            <xdr:cNvPr id="54304" name="CheckBox20" hidden="1">
              <a:extLst>
                <a:ext uri="{63B3BB69-23CF-44E3-9099-C40C66FF867C}">
                  <a14:compatExt spid="_x0000_s54304"/>
                </a:ext>
                <a:ext uri="{FF2B5EF4-FFF2-40B4-BE49-F238E27FC236}">
                  <a16:creationId xmlns:a16="http://schemas.microsoft.com/office/drawing/2014/main" id="{00000000-0008-0000-0000-000020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24</xdr:row>
          <xdr:rowOff>28575</xdr:rowOff>
        </xdr:from>
        <xdr:to>
          <xdr:col>8</xdr:col>
          <xdr:colOff>809625</xdr:colOff>
          <xdr:row>25</xdr:row>
          <xdr:rowOff>142875</xdr:rowOff>
        </xdr:to>
        <xdr:sp macro="" textlink="">
          <xdr:nvSpPr>
            <xdr:cNvPr id="54305" name="CheckBox21" hidden="1">
              <a:extLst>
                <a:ext uri="{63B3BB69-23CF-44E3-9099-C40C66FF867C}">
                  <a14:compatExt spid="_x0000_s54305"/>
                </a:ext>
                <a:ext uri="{FF2B5EF4-FFF2-40B4-BE49-F238E27FC236}">
                  <a16:creationId xmlns:a16="http://schemas.microsoft.com/office/drawing/2014/main" id="{00000000-0008-0000-0000-00002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25</xdr:row>
          <xdr:rowOff>28575</xdr:rowOff>
        </xdr:from>
        <xdr:to>
          <xdr:col>8</xdr:col>
          <xdr:colOff>695325</xdr:colOff>
          <xdr:row>26</xdr:row>
          <xdr:rowOff>38100</xdr:rowOff>
        </xdr:to>
        <xdr:sp macro="" textlink="">
          <xdr:nvSpPr>
            <xdr:cNvPr id="54306" name="CheckBox22" hidden="1">
              <a:extLst>
                <a:ext uri="{63B3BB69-23CF-44E3-9099-C40C66FF867C}">
                  <a14:compatExt spid="_x0000_s54306"/>
                </a:ext>
                <a:ext uri="{FF2B5EF4-FFF2-40B4-BE49-F238E27FC236}">
                  <a16:creationId xmlns:a16="http://schemas.microsoft.com/office/drawing/2014/main" id="{00000000-0008-0000-0000-00002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26</xdr:row>
          <xdr:rowOff>9525</xdr:rowOff>
        </xdr:from>
        <xdr:to>
          <xdr:col>8</xdr:col>
          <xdr:colOff>695325</xdr:colOff>
          <xdr:row>27</xdr:row>
          <xdr:rowOff>47625</xdr:rowOff>
        </xdr:to>
        <xdr:sp macro="" textlink="">
          <xdr:nvSpPr>
            <xdr:cNvPr id="54307" name="CheckBox23" hidden="1">
              <a:extLst>
                <a:ext uri="{63B3BB69-23CF-44E3-9099-C40C66FF867C}">
                  <a14:compatExt spid="_x0000_s54307"/>
                </a:ext>
                <a:ext uri="{FF2B5EF4-FFF2-40B4-BE49-F238E27FC236}">
                  <a16:creationId xmlns:a16="http://schemas.microsoft.com/office/drawing/2014/main" id="{00000000-0008-0000-0000-00002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27</xdr:row>
          <xdr:rowOff>28575</xdr:rowOff>
        </xdr:from>
        <xdr:to>
          <xdr:col>8</xdr:col>
          <xdr:colOff>695325</xdr:colOff>
          <xdr:row>28</xdr:row>
          <xdr:rowOff>38100</xdr:rowOff>
        </xdr:to>
        <xdr:sp macro="" textlink="">
          <xdr:nvSpPr>
            <xdr:cNvPr id="54308" name="CheckBox24" hidden="1">
              <a:extLst>
                <a:ext uri="{63B3BB69-23CF-44E3-9099-C40C66FF867C}">
                  <a14:compatExt spid="_x0000_s54308"/>
                </a:ext>
                <a:ext uri="{FF2B5EF4-FFF2-40B4-BE49-F238E27FC236}">
                  <a16:creationId xmlns:a16="http://schemas.microsoft.com/office/drawing/2014/main" id="{00000000-0008-0000-0000-00002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809625</xdr:colOff>
          <xdr:row>31</xdr:row>
          <xdr:rowOff>133350</xdr:rowOff>
        </xdr:from>
        <xdr:to>
          <xdr:col>9</xdr:col>
          <xdr:colOff>0</xdr:colOff>
          <xdr:row>33</xdr:row>
          <xdr:rowOff>57150</xdr:rowOff>
        </xdr:to>
        <xdr:sp macro="" textlink="">
          <xdr:nvSpPr>
            <xdr:cNvPr id="54311" name="CheckBox13" hidden="1">
              <a:extLst>
                <a:ext uri="{63B3BB69-23CF-44E3-9099-C40C66FF867C}">
                  <a14:compatExt spid="_x0000_s54311"/>
                </a:ext>
                <a:ext uri="{FF2B5EF4-FFF2-40B4-BE49-F238E27FC236}">
                  <a16:creationId xmlns:a16="http://schemas.microsoft.com/office/drawing/2014/main" id="{00000000-0008-0000-0000-00002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161925</xdr:rowOff>
        </xdr:from>
        <xdr:to>
          <xdr:col>9</xdr:col>
          <xdr:colOff>66675</xdr:colOff>
          <xdr:row>36</xdr:row>
          <xdr:rowOff>66675</xdr:rowOff>
        </xdr:to>
        <xdr:sp macro="" textlink="">
          <xdr:nvSpPr>
            <xdr:cNvPr id="54312" name="CheckBox26" hidden="1">
              <a:extLst>
                <a:ext uri="{63B3BB69-23CF-44E3-9099-C40C66FF867C}">
                  <a14:compatExt spid="_x0000_s54312"/>
                </a:ext>
                <a:ext uri="{FF2B5EF4-FFF2-40B4-BE49-F238E27FC236}">
                  <a16:creationId xmlns:a16="http://schemas.microsoft.com/office/drawing/2014/main" id="{00000000-0008-0000-0000-000028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419100</xdr:colOff>
      <xdr:row>34</xdr:row>
      <xdr:rowOff>85396</xdr:rowOff>
    </xdr:from>
    <xdr:to>
      <xdr:col>7</xdr:col>
      <xdr:colOff>747548</xdr:colOff>
      <xdr:row>36</xdr:row>
      <xdr:rowOff>118241</xdr:rowOff>
    </xdr:to>
    <xdr:sp macro="" textlink="">
      <xdr:nvSpPr>
        <xdr:cNvPr id="8" name="Cerrar llave 7">
          <a:extLst>
            <a:ext uri="{FF2B5EF4-FFF2-40B4-BE49-F238E27FC236}">
              <a16:creationId xmlns:a16="http://schemas.microsoft.com/office/drawing/2014/main" id="{00000000-0008-0000-0000-000008000000}"/>
            </a:ext>
          </a:extLst>
        </xdr:cNvPr>
        <xdr:cNvSpPr/>
      </xdr:nvSpPr>
      <xdr:spPr>
        <a:xfrm>
          <a:off x="6553200" y="6448096"/>
          <a:ext cx="328448" cy="41384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O" sz="1100"/>
        </a:p>
      </xdr:txBody>
    </xdr:sp>
    <xdr:clientData/>
  </xdr:twoCellAnchor>
  <xdr:twoCellAnchor>
    <xdr:from>
      <xdr:col>7</xdr:col>
      <xdr:colOff>430596</xdr:colOff>
      <xdr:row>31</xdr:row>
      <xdr:rowOff>73572</xdr:rowOff>
    </xdr:from>
    <xdr:to>
      <xdr:col>7</xdr:col>
      <xdr:colOff>759044</xdr:colOff>
      <xdr:row>33</xdr:row>
      <xdr:rowOff>106417</xdr:rowOff>
    </xdr:to>
    <xdr:sp macro="" textlink="">
      <xdr:nvSpPr>
        <xdr:cNvPr id="49" name="Cerrar llave 48">
          <a:extLst>
            <a:ext uri="{FF2B5EF4-FFF2-40B4-BE49-F238E27FC236}">
              <a16:creationId xmlns:a16="http://schemas.microsoft.com/office/drawing/2014/main" id="{00000000-0008-0000-0000-000031000000}"/>
            </a:ext>
          </a:extLst>
        </xdr:cNvPr>
        <xdr:cNvSpPr/>
      </xdr:nvSpPr>
      <xdr:spPr>
        <a:xfrm>
          <a:off x="6564696" y="5864772"/>
          <a:ext cx="328448" cy="41384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editAs="oneCell">
        <xdr:from>
          <xdr:col>11</xdr:col>
          <xdr:colOff>190500</xdr:colOff>
          <xdr:row>13</xdr:row>
          <xdr:rowOff>38100</xdr:rowOff>
        </xdr:from>
        <xdr:to>
          <xdr:col>12</xdr:col>
          <xdr:colOff>171450</xdr:colOff>
          <xdr:row>14</xdr:row>
          <xdr:rowOff>57150</xdr:rowOff>
        </xdr:to>
        <xdr:sp macro="" textlink="">
          <xdr:nvSpPr>
            <xdr:cNvPr id="54313" name="CheckBox27" hidden="1">
              <a:extLst>
                <a:ext uri="{63B3BB69-23CF-44E3-9099-C40C66FF867C}">
                  <a14:compatExt spid="_x0000_s54313"/>
                </a:ext>
                <a:ext uri="{FF2B5EF4-FFF2-40B4-BE49-F238E27FC236}">
                  <a16:creationId xmlns:a16="http://schemas.microsoft.com/office/drawing/2014/main" id="{00000000-0008-0000-0000-00002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31</xdr:row>
          <xdr:rowOff>0</xdr:rowOff>
        </xdr:from>
        <xdr:to>
          <xdr:col>4</xdr:col>
          <xdr:colOff>466725</xdr:colOff>
          <xdr:row>32</xdr:row>
          <xdr:rowOff>85725</xdr:rowOff>
        </xdr:to>
        <xdr:sp macro="" textlink="">
          <xdr:nvSpPr>
            <xdr:cNvPr id="54314" name="CheckBox25" hidden="1">
              <a:extLst>
                <a:ext uri="{63B3BB69-23CF-44E3-9099-C40C66FF867C}">
                  <a14:compatExt spid="_x0000_s54314"/>
                </a:ext>
                <a:ext uri="{FF2B5EF4-FFF2-40B4-BE49-F238E27FC236}">
                  <a16:creationId xmlns:a16="http://schemas.microsoft.com/office/drawing/2014/main" id="{00000000-0008-0000-0000-00002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28</xdr:row>
          <xdr:rowOff>0</xdr:rowOff>
        </xdr:from>
        <xdr:to>
          <xdr:col>8</xdr:col>
          <xdr:colOff>695325</xdr:colOff>
          <xdr:row>29</xdr:row>
          <xdr:rowOff>85725</xdr:rowOff>
        </xdr:to>
        <xdr:sp macro="" textlink="">
          <xdr:nvSpPr>
            <xdr:cNvPr id="54315" name="CheckBox28" hidden="1">
              <a:extLst>
                <a:ext uri="{63B3BB69-23CF-44E3-9099-C40C66FF867C}">
                  <a14:compatExt spid="_x0000_s54315"/>
                </a:ext>
                <a:ext uri="{FF2B5EF4-FFF2-40B4-BE49-F238E27FC236}">
                  <a16:creationId xmlns:a16="http://schemas.microsoft.com/office/drawing/2014/main" id="{00000000-0008-0000-0000-00002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588307</xdr:colOff>
      <xdr:row>49</xdr:row>
      <xdr:rowOff>135590</xdr:rowOff>
    </xdr:from>
    <xdr:to>
      <xdr:col>11</xdr:col>
      <xdr:colOff>324970</xdr:colOff>
      <xdr:row>79</xdr:row>
      <xdr:rowOff>67235</xdr:rowOff>
    </xdr:to>
    <xdr:graphicFrame macro="">
      <xdr:nvGraphicFramePr>
        <xdr:cNvPr id="2" name="Gráfico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767601</xdr:colOff>
      <xdr:row>49</xdr:row>
      <xdr:rowOff>113178</xdr:rowOff>
    </xdr:from>
    <xdr:to>
      <xdr:col>10</xdr:col>
      <xdr:colOff>67234</xdr:colOff>
      <xdr:row>76</xdr:row>
      <xdr:rowOff>145676</xdr:rowOff>
    </xdr:to>
    <xdr:graphicFrame macro="">
      <xdr:nvGraphicFramePr>
        <xdr:cNvPr id="2" name="Gráfico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3636307</xdr:colOff>
      <xdr:row>50</xdr:row>
      <xdr:rowOff>34739</xdr:rowOff>
    </xdr:from>
    <xdr:to>
      <xdr:col>9</xdr:col>
      <xdr:colOff>246528</xdr:colOff>
      <xdr:row>75</xdr:row>
      <xdr:rowOff>67236</xdr:rowOff>
    </xdr:to>
    <xdr:graphicFrame macro="">
      <xdr:nvGraphicFramePr>
        <xdr:cNvPr id="3" name="Gráfico 2">
          <a:extLst>
            <a:ext uri="{FF2B5EF4-FFF2-40B4-BE49-F238E27FC236}">
              <a16:creationId xmlns:a16="http://schemas.microsoft.com/office/drawing/2014/main" id="{00000000-0008-0000-2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761999</xdr:rowOff>
    </xdr:from>
    <xdr:to>
      <xdr:col>19</xdr:col>
      <xdr:colOff>750794</xdr:colOff>
      <xdr:row>1</xdr:row>
      <xdr:rowOff>45718</xdr:rowOff>
    </xdr:to>
    <xdr:pic>
      <xdr:nvPicPr>
        <xdr:cNvPr id="2" name="Imagen 5" descr="linea">
          <a:extLst>
            <a:ext uri="{FF2B5EF4-FFF2-40B4-BE49-F238E27FC236}">
              <a16:creationId xmlns:a16="http://schemas.microsoft.com/office/drawing/2014/main" id="{00000000-0008-0000-24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61999"/>
          <a:ext cx="13615894" cy="457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208990</xdr:colOff>
      <xdr:row>0</xdr:row>
      <xdr:rowOff>124946</xdr:rowOff>
    </xdr:from>
    <xdr:to>
      <xdr:col>0</xdr:col>
      <xdr:colOff>1256740</xdr:colOff>
      <xdr:row>0</xdr:row>
      <xdr:rowOff>553571</xdr:rowOff>
    </xdr:to>
    <xdr:pic>
      <xdr:nvPicPr>
        <xdr:cNvPr id="3" name="Imagen 6">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990" y="124946"/>
          <a:ext cx="10477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342342</xdr:colOff>
      <xdr:row>0</xdr:row>
      <xdr:rowOff>152400</xdr:rowOff>
    </xdr:from>
    <xdr:to>
      <xdr:col>19</xdr:col>
      <xdr:colOff>488489</xdr:colOff>
      <xdr:row>0</xdr:row>
      <xdr:rowOff>581025</xdr:rowOff>
    </xdr:to>
    <xdr:pic>
      <xdr:nvPicPr>
        <xdr:cNvPr id="4" name="Imagen 7">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04042" y="152400"/>
          <a:ext cx="2156946"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180975</xdr:colOff>
      <xdr:row>0</xdr:row>
      <xdr:rowOff>76200</xdr:rowOff>
    </xdr:from>
    <xdr:to>
      <xdr:col>36</xdr:col>
      <xdr:colOff>180975</xdr:colOff>
      <xdr:row>13</xdr:row>
      <xdr:rowOff>190500</xdr:rowOff>
    </xdr:to>
    <xdr:graphicFrame macro="">
      <xdr:nvGraphicFramePr>
        <xdr:cNvPr id="2" name="GR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180975</xdr:colOff>
      <xdr:row>14</xdr:row>
      <xdr:rowOff>38100</xdr:rowOff>
    </xdr:from>
    <xdr:to>
      <xdr:col>36</xdr:col>
      <xdr:colOff>180975</xdr:colOff>
      <xdr:row>27</xdr:row>
      <xdr:rowOff>152400</xdr:rowOff>
    </xdr:to>
    <xdr:graphicFrame macro="">
      <xdr:nvGraphicFramePr>
        <xdr:cNvPr id="3" name="GR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180975</xdr:colOff>
      <xdr:row>28</xdr:row>
      <xdr:rowOff>38100</xdr:rowOff>
    </xdr:from>
    <xdr:to>
      <xdr:col>36</xdr:col>
      <xdr:colOff>180975</xdr:colOff>
      <xdr:row>41</xdr:row>
      <xdr:rowOff>152400</xdr:rowOff>
    </xdr:to>
    <xdr:graphicFrame macro="">
      <xdr:nvGraphicFramePr>
        <xdr:cNvPr id="4" name="GR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180975</xdr:colOff>
      <xdr:row>42</xdr:row>
      <xdr:rowOff>38100</xdr:rowOff>
    </xdr:from>
    <xdr:to>
      <xdr:col>36</xdr:col>
      <xdr:colOff>180975</xdr:colOff>
      <xdr:row>55</xdr:row>
      <xdr:rowOff>152400</xdr:rowOff>
    </xdr:to>
    <xdr:graphicFrame macro="">
      <xdr:nvGraphicFramePr>
        <xdr:cNvPr id="5" name="GR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180975</xdr:colOff>
      <xdr:row>56</xdr:row>
      <xdr:rowOff>38100</xdr:rowOff>
    </xdr:from>
    <xdr:to>
      <xdr:col>36</xdr:col>
      <xdr:colOff>180975</xdr:colOff>
      <xdr:row>69</xdr:row>
      <xdr:rowOff>152400</xdr:rowOff>
    </xdr:to>
    <xdr:graphicFrame macro="">
      <xdr:nvGraphicFramePr>
        <xdr:cNvPr id="6" name="GR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180975</xdr:colOff>
      <xdr:row>70</xdr:row>
      <xdr:rowOff>38100</xdr:rowOff>
    </xdr:from>
    <xdr:to>
      <xdr:col>36</xdr:col>
      <xdr:colOff>180975</xdr:colOff>
      <xdr:row>83</xdr:row>
      <xdr:rowOff>152400</xdr:rowOff>
    </xdr:to>
    <xdr:graphicFrame macro="">
      <xdr:nvGraphicFramePr>
        <xdr:cNvPr id="7" name="GR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180975</xdr:colOff>
      <xdr:row>84</xdr:row>
      <xdr:rowOff>38100</xdr:rowOff>
    </xdr:from>
    <xdr:to>
      <xdr:col>36</xdr:col>
      <xdr:colOff>180975</xdr:colOff>
      <xdr:row>97</xdr:row>
      <xdr:rowOff>152400</xdr:rowOff>
    </xdr:to>
    <xdr:graphicFrame macro="">
      <xdr:nvGraphicFramePr>
        <xdr:cNvPr id="8" name="GR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180975</xdr:colOff>
      <xdr:row>98</xdr:row>
      <xdr:rowOff>38100</xdr:rowOff>
    </xdr:from>
    <xdr:to>
      <xdr:col>36</xdr:col>
      <xdr:colOff>180975</xdr:colOff>
      <xdr:row>111</xdr:row>
      <xdr:rowOff>152400</xdr:rowOff>
    </xdr:to>
    <xdr:graphicFrame macro="">
      <xdr:nvGraphicFramePr>
        <xdr:cNvPr id="9" name="GR8">
          <a:extLst>
            <a:ext uri="{FF2B5EF4-FFF2-40B4-BE49-F238E27FC236}">
              <a16:creationId xmlns:a16="http://schemas.microsoft.com/office/drawing/2014/main" id="{00000000-0008-0000-2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180975</xdr:colOff>
      <xdr:row>112</xdr:row>
      <xdr:rowOff>38100</xdr:rowOff>
    </xdr:from>
    <xdr:to>
      <xdr:col>36</xdr:col>
      <xdr:colOff>180975</xdr:colOff>
      <xdr:row>125</xdr:row>
      <xdr:rowOff>152400</xdr:rowOff>
    </xdr:to>
    <xdr:graphicFrame macro="">
      <xdr:nvGraphicFramePr>
        <xdr:cNvPr id="10" name="GR9">
          <a:extLst>
            <a:ext uri="{FF2B5EF4-FFF2-40B4-BE49-F238E27FC236}">
              <a16:creationId xmlns:a16="http://schemas.microsoft.com/office/drawing/2014/main" id="{00000000-0008-0000-2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180975</xdr:colOff>
      <xdr:row>126</xdr:row>
      <xdr:rowOff>38100</xdr:rowOff>
    </xdr:from>
    <xdr:to>
      <xdr:col>36</xdr:col>
      <xdr:colOff>180975</xdr:colOff>
      <xdr:row>139</xdr:row>
      <xdr:rowOff>152400</xdr:rowOff>
    </xdr:to>
    <xdr:graphicFrame macro="">
      <xdr:nvGraphicFramePr>
        <xdr:cNvPr id="11" name="GR10">
          <a:extLst>
            <a:ext uri="{FF2B5EF4-FFF2-40B4-BE49-F238E27FC236}">
              <a16:creationId xmlns:a16="http://schemas.microsoft.com/office/drawing/2014/main" id="{00000000-0008-0000-2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180975</xdr:colOff>
      <xdr:row>140</xdr:row>
      <xdr:rowOff>38100</xdr:rowOff>
    </xdr:from>
    <xdr:to>
      <xdr:col>36</xdr:col>
      <xdr:colOff>180975</xdr:colOff>
      <xdr:row>153</xdr:row>
      <xdr:rowOff>152400</xdr:rowOff>
    </xdr:to>
    <xdr:graphicFrame macro="">
      <xdr:nvGraphicFramePr>
        <xdr:cNvPr id="12" name="GR11">
          <a:extLst>
            <a:ext uri="{FF2B5EF4-FFF2-40B4-BE49-F238E27FC236}">
              <a16:creationId xmlns:a16="http://schemas.microsoft.com/office/drawing/2014/main" id="{00000000-0008-0000-2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180975</xdr:colOff>
      <xdr:row>154</xdr:row>
      <xdr:rowOff>38100</xdr:rowOff>
    </xdr:from>
    <xdr:to>
      <xdr:col>36</xdr:col>
      <xdr:colOff>180975</xdr:colOff>
      <xdr:row>167</xdr:row>
      <xdr:rowOff>152400</xdr:rowOff>
    </xdr:to>
    <xdr:graphicFrame macro="">
      <xdr:nvGraphicFramePr>
        <xdr:cNvPr id="13" name="GR12">
          <a:extLst>
            <a:ext uri="{FF2B5EF4-FFF2-40B4-BE49-F238E27FC236}">
              <a16:creationId xmlns:a16="http://schemas.microsoft.com/office/drawing/2014/main" id="{00000000-0008-0000-2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180975</xdr:colOff>
      <xdr:row>168</xdr:row>
      <xdr:rowOff>38100</xdr:rowOff>
    </xdr:from>
    <xdr:to>
      <xdr:col>36</xdr:col>
      <xdr:colOff>180975</xdr:colOff>
      <xdr:row>181</xdr:row>
      <xdr:rowOff>152400</xdr:rowOff>
    </xdr:to>
    <xdr:graphicFrame macro="">
      <xdr:nvGraphicFramePr>
        <xdr:cNvPr id="14" name="GR13">
          <a:extLst>
            <a:ext uri="{FF2B5EF4-FFF2-40B4-BE49-F238E27FC236}">
              <a16:creationId xmlns:a16="http://schemas.microsoft.com/office/drawing/2014/main" id="{00000000-0008-0000-2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180975</xdr:colOff>
      <xdr:row>182</xdr:row>
      <xdr:rowOff>38100</xdr:rowOff>
    </xdr:from>
    <xdr:to>
      <xdr:col>36</xdr:col>
      <xdr:colOff>180975</xdr:colOff>
      <xdr:row>195</xdr:row>
      <xdr:rowOff>152400</xdr:rowOff>
    </xdr:to>
    <xdr:graphicFrame macro="">
      <xdr:nvGraphicFramePr>
        <xdr:cNvPr id="15" name="GR14">
          <a:extLst>
            <a:ext uri="{FF2B5EF4-FFF2-40B4-BE49-F238E27FC236}">
              <a16:creationId xmlns:a16="http://schemas.microsoft.com/office/drawing/2014/main" id="{00000000-0008-0000-2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180975</xdr:colOff>
      <xdr:row>196</xdr:row>
      <xdr:rowOff>38100</xdr:rowOff>
    </xdr:from>
    <xdr:to>
      <xdr:col>36</xdr:col>
      <xdr:colOff>180975</xdr:colOff>
      <xdr:row>209</xdr:row>
      <xdr:rowOff>152400</xdr:rowOff>
    </xdr:to>
    <xdr:graphicFrame macro="">
      <xdr:nvGraphicFramePr>
        <xdr:cNvPr id="16" name="GR15">
          <a:extLst>
            <a:ext uri="{FF2B5EF4-FFF2-40B4-BE49-F238E27FC236}">
              <a16:creationId xmlns:a16="http://schemas.microsoft.com/office/drawing/2014/main" id="{00000000-0008-0000-2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180975</xdr:colOff>
      <xdr:row>210</xdr:row>
      <xdr:rowOff>38100</xdr:rowOff>
    </xdr:from>
    <xdr:to>
      <xdr:col>36</xdr:col>
      <xdr:colOff>180975</xdr:colOff>
      <xdr:row>223</xdr:row>
      <xdr:rowOff>152400</xdr:rowOff>
    </xdr:to>
    <xdr:graphicFrame macro="">
      <xdr:nvGraphicFramePr>
        <xdr:cNvPr id="17" name="GR16">
          <a:extLst>
            <a:ext uri="{FF2B5EF4-FFF2-40B4-BE49-F238E27FC236}">
              <a16:creationId xmlns:a16="http://schemas.microsoft.com/office/drawing/2014/main" id="{00000000-0008-0000-2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180975</xdr:colOff>
      <xdr:row>224</xdr:row>
      <xdr:rowOff>38100</xdr:rowOff>
    </xdr:from>
    <xdr:to>
      <xdr:col>36</xdr:col>
      <xdr:colOff>180975</xdr:colOff>
      <xdr:row>237</xdr:row>
      <xdr:rowOff>152400</xdr:rowOff>
    </xdr:to>
    <xdr:graphicFrame macro="">
      <xdr:nvGraphicFramePr>
        <xdr:cNvPr id="18" name="GR17">
          <a:extLst>
            <a:ext uri="{FF2B5EF4-FFF2-40B4-BE49-F238E27FC236}">
              <a16:creationId xmlns:a16="http://schemas.microsoft.com/office/drawing/2014/main" id="{00000000-0008-0000-2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180975</xdr:colOff>
      <xdr:row>238</xdr:row>
      <xdr:rowOff>38100</xdr:rowOff>
    </xdr:from>
    <xdr:to>
      <xdr:col>36</xdr:col>
      <xdr:colOff>180975</xdr:colOff>
      <xdr:row>251</xdr:row>
      <xdr:rowOff>152400</xdr:rowOff>
    </xdr:to>
    <xdr:graphicFrame macro="">
      <xdr:nvGraphicFramePr>
        <xdr:cNvPr id="19" name="GR18">
          <a:extLst>
            <a:ext uri="{FF2B5EF4-FFF2-40B4-BE49-F238E27FC236}">
              <a16:creationId xmlns:a16="http://schemas.microsoft.com/office/drawing/2014/main" id="{00000000-0008-0000-2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180975</xdr:colOff>
      <xdr:row>252</xdr:row>
      <xdr:rowOff>38100</xdr:rowOff>
    </xdr:from>
    <xdr:to>
      <xdr:col>36</xdr:col>
      <xdr:colOff>180975</xdr:colOff>
      <xdr:row>265</xdr:row>
      <xdr:rowOff>152400</xdr:rowOff>
    </xdr:to>
    <xdr:graphicFrame macro="">
      <xdr:nvGraphicFramePr>
        <xdr:cNvPr id="20" name="GR19">
          <a:extLst>
            <a:ext uri="{FF2B5EF4-FFF2-40B4-BE49-F238E27FC236}">
              <a16:creationId xmlns:a16="http://schemas.microsoft.com/office/drawing/2014/main" id="{00000000-0008-0000-28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0</xdr:row>
          <xdr:rowOff>133350</xdr:rowOff>
        </xdr:from>
        <xdr:to>
          <xdr:col>5</xdr:col>
          <xdr:colOff>152400</xdr:colOff>
          <xdr:row>2</xdr:row>
          <xdr:rowOff>95250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29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Combinación de Programas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2</xdr:row>
          <xdr:rowOff>171450</xdr:rowOff>
        </xdr:from>
        <xdr:to>
          <xdr:col>14</xdr:col>
          <xdr:colOff>533400</xdr:colOff>
          <xdr:row>4</xdr:row>
          <xdr:rowOff>95250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2900-000002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GRAFICAR</a:t>
              </a:r>
            </a:p>
          </xdr:txBody>
        </xdr:sp>
        <xdr:clientData fPrintsWithSheet="0"/>
      </xdr:twoCellAnchor>
    </mc:Choice>
    <mc:Fallback/>
  </mc:AlternateContent>
  <xdr:twoCellAnchor>
    <xdr:from>
      <xdr:col>7</xdr:col>
      <xdr:colOff>2481332</xdr:colOff>
      <xdr:row>20</xdr:row>
      <xdr:rowOff>138458</xdr:rowOff>
    </xdr:from>
    <xdr:to>
      <xdr:col>17</xdr:col>
      <xdr:colOff>338207</xdr:colOff>
      <xdr:row>43</xdr:row>
      <xdr:rowOff>46383</xdr:rowOff>
    </xdr:to>
    <xdr:graphicFrame macro="">
      <xdr:nvGraphicFramePr>
        <xdr:cNvPr id="8" name="GR_Alternativa1A1">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1761191</xdr:colOff>
      <xdr:row>62</xdr:row>
      <xdr:rowOff>166407</xdr:rowOff>
    </xdr:from>
    <xdr:to>
      <xdr:col>16</xdr:col>
      <xdr:colOff>660213</xdr:colOff>
      <xdr:row>85</xdr:row>
      <xdr:rowOff>106456</xdr:rowOff>
    </xdr:to>
    <xdr:graphicFrame macro="">
      <xdr:nvGraphicFramePr>
        <xdr:cNvPr id="9" name="GR_Alternativa2A2">
          <a:extLst>
            <a:ext uri="{FF2B5EF4-FFF2-40B4-BE49-F238E27FC236}">
              <a16:creationId xmlns:a16="http://schemas.microsoft.com/office/drawing/2014/main" id="{00000000-0008-0000-2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1592169</xdr:colOff>
      <xdr:row>105</xdr:row>
      <xdr:rowOff>126999</xdr:rowOff>
    </xdr:from>
    <xdr:to>
      <xdr:col>16</xdr:col>
      <xdr:colOff>491191</xdr:colOff>
      <xdr:row>128</xdr:row>
      <xdr:rowOff>54535</xdr:rowOff>
    </xdr:to>
    <xdr:graphicFrame macro="">
      <xdr:nvGraphicFramePr>
        <xdr:cNvPr id="10" name="GR_Alternativa3A3">
          <a:extLst>
            <a:ext uri="{FF2B5EF4-FFF2-40B4-BE49-F238E27FC236}">
              <a16:creationId xmlns:a16="http://schemas.microsoft.com/office/drawing/2014/main" id="{00000000-0008-0000-2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1675278</xdr:colOff>
      <xdr:row>50</xdr:row>
      <xdr:rowOff>113177</xdr:rowOff>
    </xdr:from>
    <xdr:to>
      <xdr:col>10</xdr:col>
      <xdr:colOff>616324</xdr:colOff>
      <xdr:row>81</xdr:row>
      <xdr:rowOff>11205</xdr:rowOff>
    </xdr:to>
    <xdr:graphicFrame macro="">
      <xdr:nvGraphicFramePr>
        <xdr:cNvPr id="3" name="Gráfico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8654143" cy="6272893"/>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MÓNICA RODRIGUEZ" id="{408E6B41-98A2-4BE7-9C4D-D5CA8D747632}" userId="26213ed60f64263d" providerId="Windows Live"/>
  <person displayName="Mónica Rodriguez" id="{9C5156A2-0355-496D-A135-C002BC245401}" userId="4c1aaef54ca6640e"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0000000}" name="Tabla25" displayName="Tabla25" ref="A1:A9" totalsRowShown="0" headerRowDxfId="781" dataDxfId="779" headerRowBorderDxfId="780" tableBorderDxfId="778" totalsRowBorderDxfId="777">
  <autoFilter ref="A1:A9" xr:uid="{00000000-0009-0000-0100-000019000000}"/>
  <tableColumns count="1">
    <tableColumn id="1" xr3:uid="{00000000-0010-0000-0000-000001000000}" name="PROGRAMAS 688 DE 2014" dataDxfId="776"/>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1000000}" name="Tabla26" displayName="Tabla26" ref="A1:B18" totalsRowShown="0" headerRowDxfId="674" dataDxfId="672" headerRowBorderDxfId="673" tableBorderDxfId="671">
  <autoFilter ref="A1:B18" xr:uid="{00000000-0009-0000-0100-00001A000000}"/>
  <tableColumns count="2">
    <tableColumn id="1" xr3:uid="{00000000-0010-0000-0100-000001000000}" name="PROGRAMAS 688 DE 2014" dataDxfId="670"/>
    <tableColumn id="2" xr3:uid="{00000000-0010-0000-0100-000002000000}" name="PROPUESTOS" dataDxfId="669"/>
  </tableColumns>
  <tableStyleInfo name="TableStyleMedium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a352" displayName="Tabla352" ref="A30:I42" totalsRowShown="0" headerRowDxfId="471" dataDxfId="469" headerRowBorderDxfId="470" tableBorderDxfId="468">
  <tableColumns count="9">
    <tableColumn id="1" xr3:uid="{00000000-0010-0000-0200-000001000000}" name="Mes / Año" dataDxfId="467"/>
    <tableColumn id="12" xr3:uid="{00000000-0010-0000-0200-00000C000000}" name="2014" dataDxfId="466"/>
    <tableColumn id="13" xr3:uid="{00000000-0010-0000-0200-00000D000000}" name="2015" dataDxfId="465"/>
    <tableColumn id="14" xr3:uid="{00000000-0010-0000-0200-00000E000000}" name="2016" dataDxfId="464"/>
    <tableColumn id="15" xr3:uid="{00000000-0010-0000-0200-00000F000000}" name="2017" dataDxfId="463"/>
    <tableColumn id="16" xr3:uid="{00000000-0010-0000-0200-000010000000}" name="2018" dataDxfId="462"/>
    <tableColumn id="17" xr3:uid="{00000000-0010-0000-0200-000011000000}" name="2019" dataDxfId="461"/>
    <tableColumn id="2" xr3:uid="{00000000-0010-0000-0200-000002000000}" name="2020" dataDxfId="460"/>
    <tableColumn id="3" xr3:uid="{00000000-0010-0000-0200-000003000000}" name="2021" dataDxfId="45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PROG1" displayName="PROG1" ref="B2:P14" totalsRowCount="1" headerRowDxfId="457" dataDxfId="456" totalsRowDxfId="455">
  <autoFilter ref="B2:P13"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300-000001000000}" name="PROGRAMA 1 MACROMEDICIÓN" dataDxfId="454" totalsRowDxfId="453"/>
    <tableColumn id="2" xr3:uid="{00000000-0010-0000-0300-000002000000}" name="Unidades" dataDxfId="452" totalsRowDxfId="451"/>
    <tableColumn id="7" xr3:uid="{00000000-0010-0000-0300-000007000000}" name="2023" dataDxfId="450" totalsRowDxfId="449">
      <calculatedColumnFormula>+#REF!</calculatedColumnFormula>
    </tableColumn>
    <tableColumn id="8" xr3:uid="{00000000-0010-0000-0300-000008000000}" name="2024" dataDxfId="448" totalsRowDxfId="447">
      <calculatedColumnFormula>+#REF!</calculatedColumnFormula>
    </tableColumn>
    <tableColumn id="9" xr3:uid="{00000000-0010-0000-0300-000009000000}" name="2025" dataDxfId="446" totalsRowDxfId="445">
      <calculatedColumnFormula>+#REF!</calculatedColumnFormula>
    </tableColumn>
    <tableColumn id="10" xr3:uid="{00000000-0010-0000-0300-00000A000000}" name="2026" dataDxfId="444" totalsRowDxfId="443">
      <calculatedColumnFormula>+#REF!</calculatedColumnFormula>
    </tableColumn>
    <tableColumn id="11" xr3:uid="{00000000-0010-0000-0300-00000B000000}" name="2027" dataDxfId="442" totalsRowDxfId="441">
      <calculatedColumnFormula>+#REF!</calculatedColumnFormula>
    </tableColumn>
    <tableColumn id="12" xr3:uid="{00000000-0010-0000-0300-00000C000000}" name="2028" dataDxfId="440" totalsRowDxfId="439">
      <calculatedColumnFormula>+#REF!</calculatedColumnFormula>
    </tableColumn>
    <tableColumn id="13" xr3:uid="{00000000-0010-0000-0300-00000D000000}" name="2029" dataDxfId="438" totalsRowDxfId="437">
      <calculatedColumnFormula>+#REF!</calculatedColumnFormula>
    </tableColumn>
    <tableColumn id="14" xr3:uid="{00000000-0010-0000-0300-00000E000000}" name="2030" dataDxfId="436" totalsRowDxfId="435">
      <calculatedColumnFormula>+#REF!</calculatedColumnFormula>
    </tableColumn>
    <tableColumn id="15" xr3:uid="{00000000-0010-0000-0300-00000F000000}" name="2031" dataDxfId="434" totalsRowDxfId="433">
      <calculatedColumnFormula>+#REF!</calculatedColumnFormula>
    </tableColumn>
    <tableColumn id="16" xr3:uid="{00000000-0010-0000-0300-000010000000}" name="2032" dataDxfId="432" totalsRowDxfId="431">
      <calculatedColumnFormula>+#REF!</calculatedColumnFormula>
    </tableColumn>
    <tableColumn id="17" xr3:uid="{00000000-0010-0000-0300-000011000000}" name="2033" dataDxfId="430" totalsRowDxfId="429">
      <calculatedColumnFormula>+#REF!</calculatedColumnFormula>
    </tableColumn>
    <tableColumn id="18" xr3:uid="{00000000-0010-0000-0300-000012000000}" name="2034" dataDxfId="428" totalsRowDxfId="427">
      <calculatedColumnFormula>+#REF!</calculatedColumnFormula>
    </tableColumn>
    <tableColumn id="19" xr3:uid="{00000000-0010-0000-0300-000013000000}" name="2035" dataDxfId="426" totalsRowDxfId="425">
      <calculatedColumnFormula>+#REF!</calculatedColumnFormula>
    </tableColum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PROG2" displayName="PROG2" ref="B16:P27" totalsRowShown="0" headerRowDxfId="424" dataDxfId="423">
  <autoFilter ref="B16:P27" xr:uid="{00000000-0009-0000-0100-000003000000}"/>
  <tableColumns count="15">
    <tableColumn id="1" xr3:uid="{00000000-0010-0000-0400-000001000000}" name="PROGRAMA 2 SECTORIZACIÓN" dataDxfId="422"/>
    <tableColumn id="2" xr3:uid="{00000000-0010-0000-0400-000002000000}" name="Unidades" dataDxfId="421"/>
    <tableColumn id="7" xr3:uid="{00000000-0010-0000-0400-000007000000}" name="2023" dataDxfId="420">
      <calculatedColumnFormula>+D3</calculatedColumnFormula>
    </tableColumn>
    <tableColumn id="8" xr3:uid="{00000000-0010-0000-0400-000008000000}" name="2024" dataDxfId="419">
      <calculatedColumnFormula>+E3</calculatedColumnFormula>
    </tableColumn>
    <tableColumn id="9" xr3:uid="{00000000-0010-0000-0400-000009000000}" name="2025" dataDxfId="418">
      <calculatedColumnFormula>+F3</calculatedColumnFormula>
    </tableColumn>
    <tableColumn id="10" xr3:uid="{00000000-0010-0000-0400-00000A000000}" name="2026" dataDxfId="417">
      <calculatedColumnFormula>+G3</calculatedColumnFormula>
    </tableColumn>
    <tableColumn id="11" xr3:uid="{00000000-0010-0000-0400-00000B000000}" name="2027" dataDxfId="416">
      <calculatedColumnFormula>+H3</calculatedColumnFormula>
    </tableColumn>
    <tableColumn id="12" xr3:uid="{00000000-0010-0000-0400-00000C000000}" name="2028" dataDxfId="415">
      <calculatedColumnFormula>+I3</calculatedColumnFormula>
    </tableColumn>
    <tableColumn id="13" xr3:uid="{00000000-0010-0000-0400-00000D000000}" name="2029" dataDxfId="414">
      <calculatedColumnFormula>+J3</calculatedColumnFormula>
    </tableColumn>
    <tableColumn id="14" xr3:uid="{00000000-0010-0000-0400-00000E000000}" name="2030" dataDxfId="413">
      <calculatedColumnFormula>+K3</calculatedColumnFormula>
    </tableColumn>
    <tableColumn id="15" xr3:uid="{00000000-0010-0000-0400-00000F000000}" name="2031" dataDxfId="412">
      <calculatedColumnFormula>+L3</calculatedColumnFormula>
    </tableColumn>
    <tableColumn id="16" xr3:uid="{00000000-0010-0000-0400-000010000000}" name="2032" dataDxfId="411">
      <calculatedColumnFormula>+M3</calculatedColumnFormula>
    </tableColumn>
    <tableColumn id="17" xr3:uid="{00000000-0010-0000-0400-000011000000}" name="2033" dataDxfId="410">
      <calculatedColumnFormula>+N3</calculatedColumnFormula>
    </tableColumn>
    <tableColumn id="18" xr3:uid="{00000000-0010-0000-0400-000012000000}" name="2034" dataDxfId="409">
      <calculatedColumnFormula>+O3</calculatedColumnFormula>
    </tableColumn>
    <tableColumn id="19" xr3:uid="{00000000-0010-0000-0400-000013000000}" name="2035" dataDxfId="408">
      <calculatedColumnFormula>+P3</calculatedColumnFormula>
    </tableColumn>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PROG3" displayName="PROG3" ref="B30:P41" totalsRowShown="0" headerRowDxfId="407" dataDxfId="406">
  <autoFilter ref="B30:P41" xr:uid="{00000000-0009-0000-0100-000004000000}"/>
  <tableColumns count="15">
    <tableColumn id="1" xr3:uid="{00000000-0010-0000-0500-000001000000}" name="PROGRAMA 3 GESTIÓN PLANO PRESIONES" dataDxfId="405"/>
    <tableColumn id="2" xr3:uid="{00000000-0010-0000-0500-000002000000}" name="Unidades" dataDxfId="404"/>
    <tableColumn id="7" xr3:uid="{00000000-0010-0000-0500-000007000000}" name="2023" dataDxfId="403">
      <calculatedColumnFormula>+D17</calculatedColumnFormula>
    </tableColumn>
    <tableColumn id="8" xr3:uid="{00000000-0010-0000-0500-000008000000}" name="2024" dataDxfId="402">
      <calculatedColumnFormula>+E17</calculatedColumnFormula>
    </tableColumn>
    <tableColumn id="9" xr3:uid="{00000000-0010-0000-0500-000009000000}" name="2025" dataDxfId="401">
      <calculatedColumnFormula>+F17</calculatedColumnFormula>
    </tableColumn>
    <tableColumn id="10" xr3:uid="{00000000-0010-0000-0500-00000A000000}" name="2026" dataDxfId="400">
      <calculatedColumnFormula>+G17</calculatedColumnFormula>
    </tableColumn>
    <tableColumn id="11" xr3:uid="{00000000-0010-0000-0500-00000B000000}" name="2027" dataDxfId="399">
      <calculatedColumnFormula>+H17</calculatedColumnFormula>
    </tableColumn>
    <tableColumn id="12" xr3:uid="{00000000-0010-0000-0500-00000C000000}" name="2028" dataDxfId="398">
      <calculatedColumnFormula>+I17</calculatedColumnFormula>
    </tableColumn>
    <tableColumn id="13" xr3:uid="{00000000-0010-0000-0500-00000D000000}" name="2029" dataDxfId="397">
      <calculatedColumnFormula>+J17</calculatedColumnFormula>
    </tableColumn>
    <tableColumn id="14" xr3:uid="{00000000-0010-0000-0500-00000E000000}" name="2030" dataDxfId="396">
      <calculatedColumnFormula>+K17</calculatedColumnFormula>
    </tableColumn>
    <tableColumn id="15" xr3:uid="{00000000-0010-0000-0500-00000F000000}" name="2031" dataDxfId="395">
      <calculatedColumnFormula>+L17</calculatedColumnFormula>
    </tableColumn>
    <tableColumn id="16" xr3:uid="{00000000-0010-0000-0500-000010000000}" name="2032" dataDxfId="394">
      <calculatedColumnFormula>+M17</calculatedColumnFormula>
    </tableColumn>
    <tableColumn id="17" xr3:uid="{00000000-0010-0000-0500-000011000000}" name="2033" dataDxfId="393">
      <calculatedColumnFormula>+N17</calculatedColumnFormula>
    </tableColumn>
    <tableColumn id="18" xr3:uid="{00000000-0010-0000-0500-000012000000}" name="2034" dataDxfId="392">
      <calculatedColumnFormula>+O17</calculatedColumnFormula>
    </tableColumn>
    <tableColumn id="19" xr3:uid="{00000000-0010-0000-0500-000013000000}" name="2035" dataDxfId="391">
      <calculatedColumnFormula>+P17</calculatedColumnFormula>
    </tableColumn>
  </tableColumns>
  <tableStyleInfo name="TableStyleMedium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PROG4" displayName="PROG4" ref="B44:P56" totalsRowCount="1" headerRowDxfId="390" dataDxfId="389">
  <autoFilter ref="B44:P55" xr:uid="{00000000-0009-0000-0100-000005000000}"/>
  <tableColumns count="15">
    <tableColumn id="1" xr3:uid="{00000000-0010-0000-0600-000001000000}" name="PROGRAMA 4 IMPERMEABILIZACIÓN TANQUES" dataDxfId="388" totalsRowDxfId="387"/>
    <tableColumn id="2" xr3:uid="{00000000-0010-0000-0600-000002000000}" name="Unidades" dataDxfId="386" totalsRowDxfId="385"/>
    <tableColumn id="7" xr3:uid="{00000000-0010-0000-0600-000007000000}" name="2023" dataDxfId="384" totalsRowDxfId="383">
      <calculatedColumnFormula>+D31</calculatedColumnFormula>
    </tableColumn>
    <tableColumn id="8" xr3:uid="{00000000-0010-0000-0600-000008000000}" name="2024" dataDxfId="382" totalsRowDxfId="381">
      <calculatedColumnFormula>+E31</calculatedColumnFormula>
    </tableColumn>
    <tableColumn id="9" xr3:uid="{00000000-0010-0000-0600-000009000000}" name="2025" dataDxfId="380" totalsRowDxfId="379">
      <calculatedColumnFormula>+F31</calculatedColumnFormula>
    </tableColumn>
    <tableColumn id="10" xr3:uid="{00000000-0010-0000-0600-00000A000000}" name="2026" dataDxfId="378" totalsRowDxfId="377">
      <calculatedColumnFormula>+G31</calculatedColumnFormula>
    </tableColumn>
    <tableColumn id="11" xr3:uid="{00000000-0010-0000-0600-00000B000000}" name="2027" dataDxfId="376" totalsRowDxfId="375">
      <calculatedColumnFormula>+H31</calculatedColumnFormula>
    </tableColumn>
    <tableColumn id="12" xr3:uid="{00000000-0010-0000-0600-00000C000000}" name="2028" dataDxfId="374" totalsRowDxfId="373">
      <calculatedColumnFormula>+I31</calculatedColumnFormula>
    </tableColumn>
    <tableColumn id="13" xr3:uid="{00000000-0010-0000-0600-00000D000000}" name="2029" dataDxfId="372" totalsRowDxfId="371">
      <calculatedColumnFormula>+J31</calculatedColumnFormula>
    </tableColumn>
    <tableColumn id="14" xr3:uid="{00000000-0010-0000-0600-00000E000000}" name="2030" dataDxfId="370" totalsRowDxfId="369">
      <calculatedColumnFormula>+K31</calculatedColumnFormula>
    </tableColumn>
    <tableColumn id="15" xr3:uid="{00000000-0010-0000-0600-00000F000000}" name="2031" dataDxfId="368" totalsRowDxfId="367">
      <calculatedColumnFormula>+L31</calculatedColumnFormula>
    </tableColumn>
    <tableColumn id="16" xr3:uid="{00000000-0010-0000-0600-000010000000}" name="2032" dataDxfId="366" totalsRowDxfId="365">
      <calculatedColumnFormula>+M31</calculatedColumnFormula>
    </tableColumn>
    <tableColumn id="17" xr3:uid="{00000000-0010-0000-0600-000011000000}" name="2033" dataDxfId="364" totalsRowDxfId="363">
      <calculatedColumnFormula>+N31</calculatedColumnFormula>
    </tableColumn>
    <tableColumn id="18" xr3:uid="{00000000-0010-0000-0600-000012000000}" name="2034" dataDxfId="362" totalsRowDxfId="361">
      <calculatedColumnFormula>+O31</calculatedColumnFormula>
    </tableColumn>
    <tableColumn id="19" xr3:uid="{00000000-0010-0000-0600-000013000000}" name="2035" dataDxfId="360" totalsRowDxfId="359">
      <calculatedColumnFormula>+P31</calculatedColumn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7000000}" name="PROG5" displayName="PROG5" ref="B58:P69" totalsRowShown="0" headerRowDxfId="358" dataDxfId="357">
  <autoFilter ref="B58:P69" xr:uid="{00000000-0009-0000-0100-000006000000}"/>
  <tableColumns count="15">
    <tableColumn id="1" xr3:uid="{00000000-0010-0000-0700-000001000000}" name="PROGRAMA 5 ATENCIÓN DAÑOS" dataDxfId="356"/>
    <tableColumn id="2" xr3:uid="{00000000-0010-0000-0700-000002000000}" name="Unidades" dataDxfId="355"/>
    <tableColumn id="7" xr3:uid="{00000000-0010-0000-0700-000007000000}" name="2023" dataDxfId="354">
      <calculatedColumnFormula>+D45</calculatedColumnFormula>
    </tableColumn>
    <tableColumn id="8" xr3:uid="{00000000-0010-0000-0700-000008000000}" name="2024" dataDxfId="353">
      <calculatedColumnFormula>+E45</calculatedColumnFormula>
    </tableColumn>
    <tableColumn id="9" xr3:uid="{00000000-0010-0000-0700-000009000000}" name="2025" dataDxfId="352">
      <calculatedColumnFormula>+F45</calculatedColumnFormula>
    </tableColumn>
    <tableColumn id="10" xr3:uid="{00000000-0010-0000-0700-00000A000000}" name="2026" dataDxfId="351">
      <calculatedColumnFormula>+G45</calculatedColumnFormula>
    </tableColumn>
    <tableColumn id="11" xr3:uid="{00000000-0010-0000-0700-00000B000000}" name="2027" dataDxfId="350">
      <calculatedColumnFormula>+H45</calculatedColumnFormula>
    </tableColumn>
    <tableColumn id="12" xr3:uid="{00000000-0010-0000-0700-00000C000000}" name="2028" dataDxfId="349">
      <calculatedColumnFormula>+I45</calculatedColumnFormula>
    </tableColumn>
    <tableColumn id="13" xr3:uid="{00000000-0010-0000-0700-00000D000000}" name="2029" dataDxfId="348">
      <calculatedColumnFormula>+J45</calculatedColumnFormula>
    </tableColumn>
    <tableColumn id="14" xr3:uid="{00000000-0010-0000-0700-00000E000000}" name="2030" dataDxfId="347">
      <calculatedColumnFormula>+K45</calculatedColumnFormula>
    </tableColumn>
    <tableColumn id="15" xr3:uid="{00000000-0010-0000-0700-00000F000000}" name="2031" dataDxfId="346">
      <calculatedColumnFormula>+L45</calculatedColumnFormula>
    </tableColumn>
    <tableColumn id="16" xr3:uid="{00000000-0010-0000-0700-000010000000}" name="2032" dataDxfId="345">
      <calculatedColumnFormula>+M45</calculatedColumnFormula>
    </tableColumn>
    <tableColumn id="17" xr3:uid="{00000000-0010-0000-0700-000011000000}" name="2033" dataDxfId="344">
      <calculatedColumnFormula>+N45</calculatedColumnFormula>
    </tableColumn>
    <tableColumn id="18" xr3:uid="{00000000-0010-0000-0700-000012000000}" name="2034" dataDxfId="343">
      <calculatedColumnFormula>+O45</calculatedColumnFormula>
    </tableColumn>
    <tableColumn id="19" xr3:uid="{00000000-0010-0000-0700-000013000000}" name="2035" dataDxfId="342">
      <calculatedColumnFormula>+P45</calculatedColumn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8000000}" name="PROG6" displayName="PROG6" ref="B72:P83" totalsRowShown="0" headerRowDxfId="341" dataDxfId="340">
  <autoFilter ref="B72:P83" xr:uid="{00000000-0009-0000-0100-000007000000}"/>
  <tableColumns count="15">
    <tableColumn id="1" xr3:uid="{00000000-0010-0000-0800-000001000000}" name="PROGRAMA 6 BÚSQUEDA SIST. FUGAS" dataDxfId="339"/>
    <tableColumn id="2" xr3:uid="{00000000-0010-0000-0800-000002000000}" name="Unidades" dataDxfId="338"/>
    <tableColumn id="7" xr3:uid="{00000000-0010-0000-0800-000007000000}" name="2023" dataDxfId="337">
      <calculatedColumnFormula>+D59</calculatedColumnFormula>
    </tableColumn>
    <tableColumn id="8" xr3:uid="{00000000-0010-0000-0800-000008000000}" name="2024" dataDxfId="336">
      <calculatedColumnFormula>+E59</calculatedColumnFormula>
    </tableColumn>
    <tableColumn id="9" xr3:uid="{00000000-0010-0000-0800-000009000000}" name="2025" dataDxfId="335">
      <calculatedColumnFormula>+F59</calculatedColumnFormula>
    </tableColumn>
    <tableColumn id="10" xr3:uid="{00000000-0010-0000-0800-00000A000000}" name="2026" dataDxfId="334">
      <calculatedColumnFormula>+G59</calculatedColumnFormula>
    </tableColumn>
    <tableColumn id="11" xr3:uid="{00000000-0010-0000-0800-00000B000000}" name="2027" dataDxfId="333">
      <calculatedColumnFormula>+H59</calculatedColumnFormula>
    </tableColumn>
    <tableColumn id="12" xr3:uid="{00000000-0010-0000-0800-00000C000000}" name="2028" dataDxfId="332">
      <calculatedColumnFormula>+I59</calculatedColumnFormula>
    </tableColumn>
    <tableColumn id="13" xr3:uid="{00000000-0010-0000-0800-00000D000000}" name="2029" dataDxfId="331">
      <calculatedColumnFormula>+J59</calculatedColumnFormula>
    </tableColumn>
    <tableColumn id="14" xr3:uid="{00000000-0010-0000-0800-00000E000000}" name="2030" dataDxfId="330">
      <calculatedColumnFormula>+K59</calculatedColumnFormula>
    </tableColumn>
    <tableColumn id="15" xr3:uid="{00000000-0010-0000-0800-00000F000000}" name="2031" dataDxfId="329">
      <calculatedColumnFormula>+L59</calculatedColumnFormula>
    </tableColumn>
    <tableColumn id="16" xr3:uid="{00000000-0010-0000-0800-000010000000}" name="2032" dataDxfId="328">
      <calculatedColumnFormula>+M59</calculatedColumnFormula>
    </tableColumn>
    <tableColumn id="17" xr3:uid="{00000000-0010-0000-0800-000011000000}" name="2033" dataDxfId="327">
      <calculatedColumnFormula>+N59</calculatedColumnFormula>
    </tableColumn>
    <tableColumn id="18" xr3:uid="{00000000-0010-0000-0800-000012000000}" name="2034" dataDxfId="326">
      <calculatedColumnFormula>+O59</calculatedColumnFormula>
    </tableColumn>
    <tableColumn id="19" xr3:uid="{00000000-0010-0000-0800-000013000000}" name="2035" dataDxfId="325">
      <calculatedColumnFormula>+P59</calculatedColumnFormula>
    </tableColumn>
  </tableColumns>
  <tableStyleInfo name="TableStyleMedium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PROG7" displayName="PROG7" ref="B86:P97" totalsRowShown="0" headerRowDxfId="324" dataDxfId="323">
  <autoFilter ref="B86:P97" xr:uid="{00000000-0009-0000-0100-000008000000}"/>
  <tableColumns count="15">
    <tableColumn id="1" xr3:uid="{00000000-0010-0000-0900-000001000000}" name="PROGRAMA 7 REPOSICIÓN REDES" dataDxfId="322"/>
    <tableColumn id="2" xr3:uid="{00000000-0010-0000-0900-000002000000}" name="Unidades" dataDxfId="321"/>
    <tableColumn id="7" xr3:uid="{00000000-0010-0000-0900-000007000000}" name="2023" dataDxfId="320">
      <calculatedColumnFormula>+D73</calculatedColumnFormula>
    </tableColumn>
    <tableColumn id="8" xr3:uid="{00000000-0010-0000-0900-000008000000}" name="2024" dataDxfId="319">
      <calculatedColumnFormula>+E73</calculatedColumnFormula>
    </tableColumn>
    <tableColumn id="9" xr3:uid="{00000000-0010-0000-0900-000009000000}" name="2025" dataDxfId="318">
      <calculatedColumnFormula>+F73</calculatedColumnFormula>
    </tableColumn>
    <tableColumn id="10" xr3:uid="{00000000-0010-0000-0900-00000A000000}" name="2026" dataDxfId="317">
      <calculatedColumnFormula>+G73</calculatedColumnFormula>
    </tableColumn>
    <tableColumn id="11" xr3:uid="{00000000-0010-0000-0900-00000B000000}" name="2027" dataDxfId="316">
      <calculatedColumnFormula>+H73</calculatedColumnFormula>
    </tableColumn>
    <tableColumn id="12" xr3:uid="{00000000-0010-0000-0900-00000C000000}" name="2028" dataDxfId="315">
      <calculatedColumnFormula>+I73</calculatedColumnFormula>
    </tableColumn>
    <tableColumn id="13" xr3:uid="{00000000-0010-0000-0900-00000D000000}" name="2029" dataDxfId="314">
      <calculatedColumnFormula>+J73</calculatedColumnFormula>
    </tableColumn>
    <tableColumn id="14" xr3:uid="{00000000-0010-0000-0900-00000E000000}" name="2030" dataDxfId="313">
      <calculatedColumnFormula>+K73</calculatedColumnFormula>
    </tableColumn>
    <tableColumn id="15" xr3:uid="{00000000-0010-0000-0900-00000F000000}" name="2031" dataDxfId="312">
      <calculatedColumnFormula>+L73</calculatedColumnFormula>
    </tableColumn>
    <tableColumn id="16" xr3:uid="{00000000-0010-0000-0900-000010000000}" name="2032" dataDxfId="311">
      <calculatedColumnFormula>+M73</calculatedColumnFormula>
    </tableColumn>
    <tableColumn id="17" xr3:uid="{00000000-0010-0000-0900-000011000000}" name="2033" dataDxfId="310">
      <calculatedColumnFormula>+N73</calculatedColumnFormula>
    </tableColumn>
    <tableColumn id="18" xr3:uid="{00000000-0010-0000-0900-000012000000}" name="2034" dataDxfId="309">
      <calculatedColumnFormula>+O73</calculatedColumnFormula>
    </tableColumn>
    <tableColumn id="19" xr3:uid="{00000000-0010-0000-0900-000013000000}" name="2035" dataDxfId="308">
      <calculatedColumnFormula>+P73</calculatedColumnFormula>
    </tableColumn>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PROG8" displayName="PROG8" ref="B100:P111" totalsRowShown="0" headerRowDxfId="307" dataDxfId="306">
  <autoFilter ref="B100:P111" xr:uid="{00000000-0009-0000-0100-000009000000}"/>
  <tableColumns count="15">
    <tableColumn id="1" xr3:uid="{00000000-0010-0000-0A00-000001000000}" name="PROGRAMA 8 REDES COMUNIDADES ILEGALES" dataDxfId="305"/>
    <tableColumn id="2" xr3:uid="{00000000-0010-0000-0A00-000002000000}" name="Unidades" dataDxfId="304"/>
    <tableColumn id="7" xr3:uid="{00000000-0010-0000-0A00-000007000000}" name="2023" dataDxfId="303">
      <calculatedColumnFormula>+D87</calculatedColumnFormula>
    </tableColumn>
    <tableColumn id="8" xr3:uid="{00000000-0010-0000-0A00-000008000000}" name="2024" dataDxfId="302">
      <calculatedColumnFormula>+E87</calculatedColumnFormula>
    </tableColumn>
    <tableColumn id="9" xr3:uid="{00000000-0010-0000-0A00-000009000000}" name="2025" dataDxfId="301">
      <calculatedColumnFormula>+F87</calculatedColumnFormula>
    </tableColumn>
    <tableColumn id="10" xr3:uid="{00000000-0010-0000-0A00-00000A000000}" name="2026" dataDxfId="300">
      <calculatedColumnFormula>+G87</calculatedColumnFormula>
    </tableColumn>
    <tableColumn id="11" xr3:uid="{00000000-0010-0000-0A00-00000B000000}" name="2027" dataDxfId="299">
      <calculatedColumnFormula>+H87</calculatedColumnFormula>
    </tableColumn>
    <tableColumn id="12" xr3:uid="{00000000-0010-0000-0A00-00000C000000}" name="2028" dataDxfId="298">
      <calculatedColumnFormula>+I87</calculatedColumnFormula>
    </tableColumn>
    <tableColumn id="13" xr3:uid="{00000000-0010-0000-0A00-00000D000000}" name="2029" dataDxfId="297">
      <calculatedColumnFormula>+J87</calculatedColumnFormula>
    </tableColumn>
    <tableColumn id="14" xr3:uid="{00000000-0010-0000-0A00-00000E000000}" name="2030" dataDxfId="296">
      <calculatedColumnFormula>+K87</calculatedColumnFormula>
    </tableColumn>
    <tableColumn id="15" xr3:uid="{00000000-0010-0000-0A00-00000F000000}" name="2031" dataDxfId="295">
      <calculatedColumnFormula>+L87</calculatedColumnFormula>
    </tableColumn>
    <tableColumn id="16" xr3:uid="{00000000-0010-0000-0A00-000010000000}" name="2032" dataDxfId="294">
      <calculatedColumnFormula>+M87</calculatedColumnFormula>
    </tableColumn>
    <tableColumn id="17" xr3:uid="{00000000-0010-0000-0A00-000011000000}" name="2033" dataDxfId="293">
      <calculatedColumnFormula>+N87</calculatedColumnFormula>
    </tableColumn>
    <tableColumn id="18" xr3:uid="{00000000-0010-0000-0A00-000012000000}" name="2034" dataDxfId="292">
      <calculatedColumnFormula>+O87</calculatedColumnFormula>
    </tableColumn>
    <tableColumn id="19" xr3:uid="{00000000-0010-0000-0A00-000013000000}" name="2035" dataDxfId="291">
      <calculatedColumnFormula>+P87</calculatedColumnFormula>
    </tableColumn>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B000000}" name="PROG9" displayName="PROG9" ref="B114:P125" totalsRowShown="0" headerRowDxfId="290" dataDxfId="289">
  <autoFilter ref="B114:P125" xr:uid="{00000000-0009-0000-0100-00000A000000}"/>
  <tableColumns count="15">
    <tableColumn id="1" xr3:uid="{00000000-0010-0000-0B00-000001000000}" name="PROGRAMA 9 RENOVACIÓN MEDIDORES (CAMBIO MASIVO)" dataDxfId="288"/>
    <tableColumn id="2" xr3:uid="{00000000-0010-0000-0B00-000002000000}" name="Unidades" dataDxfId="287"/>
    <tableColumn id="7" xr3:uid="{00000000-0010-0000-0B00-000007000000}" name="2023" dataDxfId="286">
      <calculatedColumnFormula>+D101</calculatedColumnFormula>
    </tableColumn>
    <tableColumn id="8" xr3:uid="{00000000-0010-0000-0B00-000008000000}" name="2024" dataDxfId="285">
      <calculatedColumnFormula>+E101</calculatedColumnFormula>
    </tableColumn>
    <tableColumn id="9" xr3:uid="{00000000-0010-0000-0B00-000009000000}" name="2025" dataDxfId="284">
      <calculatedColumnFormula>+F101</calculatedColumnFormula>
    </tableColumn>
    <tableColumn id="10" xr3:uid="{00000000-0010-0000-0B00-00000A000000}" name="2026" dataDxfId="283">
      <calculatedColumnFormula>+G101</calculatedColumnFormula>
    </tableColumn>
    <tableColumn id="11" xr3:uid="{00000000-0010-0000-0B00-00000B000000}" name="2027" dataDxfId="282">
      <calculatedColumnFormula>+H101</calculatedColumnFormula>
    </tableColumn>
    <tableColumn id="12" xr3:uid="{00000000-0010-0000-0B00-00000C000000}" name="2028" dataDxfId="281">
      <calculatedColumnFormula>+I101</calculatedColumnFormula>
    </tableColumn>
    <tableColumn id="13" xr3:uid="{00000000-0010-0000-0B00-00000D000000}" name="2029" dataDxfId="280">
      <calculatedColumnFormula>+J101</calculatedColumnFormula>
    </tableColumn>
    <tableColumn id="14" xr3:uid="{00000000-0010-0000-0B00-00000E000000}" name="2030" dataDxfId="279">
      <calculatedColumnFormula>+K101</calculatedColumnFormula>
    </tableColumn>
    <tableColumn id="15" xr3:uid="{00000000-0010-0000-0B00-00000F000000}" name="2031" dataDxfId="278">
      <calculatedColumnFormula>+L101</calculatedColumnFormula>
    </tableColumn>
    <tableColumn id="16" xr3:uid="{00000000-0010-0000-0B00-000010000000}" name="2032" dataDxfId="277">
      <calculatedColumnFormula>+M101</calculatedColumnFormula>
    </tableColumn>
    <tableColumn id="17" xr3:uid="{00000000-0010-0000-0B00-000011000000}" name="2033" dataDxfId="276">
      <calculatedColumnFormula>+N101</calculatedColumnFormula>
    </tableColumn>
    <tableColumn id="18" xr3:uid="{00000000-0010-0000-0B00-000012000000}" name="2034" dataDxfId="275">
      <calculatedColumnFormula>+O101</calculatedColumnFormula>
    </tableColumn>
    <tableColumn id="19" xr3:uid="{00000000-0010-0000-0B00-000013000000}" name="2035" dataDxfId="274">
      <calculatedColumnFormula>+P101</calculatedColumnFormula>
    </tableColumn>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C000000}" name="PROG10" displayName="PROG10" ref="B128:P139" totalsRowShown="0" headerRowDxfId="273" dataDxfId="272">
  <autoFilter ref="B128:P139" xr:uid="{00000000-0009-0000-0100-00000B000000}"/>
  <tableColumns count="15">
    <tableColumn id="1" xr3:uid="{00000000-0010-0000-0C00-000001000000}" name="PROGRAMA 10 GESTIÓN DE FRAUDES" dataDxfId="271"/>
    <tableColumn id="2" xr3:uid="{00000000-0010-0000-0C00-000002000000}" name="Unidades" dataDxfId="270"/>
    <tableColumn id="7" xr3:uid="{00000000-0010-0000-0C00-000007000000}" name="2023" dataDxfId="269">
      <calculatedColumnFormula>+D115</calculatedColumnFormula>
    </tableColumn>
    <tableColumn id="8" xr3:uid="{00000000-0010-0000-0C00-000008000000}" name="2024" dataDxfId="268">
      <calculatedColumnFormula>+E115</calculatedColumnFormula>
    </tableColumn>
    <tableColumn id="9" xr3:uid="{00000000-0010-0000-0C00-000009000000}" name="2025" dataDxfId="267">
      <calculatedColumnFormula>+F115</calculatedColumnFormula>
    </tableColumn>
    <tableColumn id="10" xr3:uid="{00000000-0010-0000-0C00-00000A000000}" name="2026" dataDxfId="266">
      <calculatedColumnFormula>+G115</calculatedColumnFormula>
    </tableColumn>
    <tableColumn id="11" xr3:uid="{00000000-0010-0000-0C00-00000B000000}" name="2027" dataDxfId="265">
      <calculatedColumnFormula>+H115</calculatedColumnFormula>
    </tableColumn>
    <tableColumn id="12" xr3:uid="{00000000-0010-0000-0C00-00000C000000}" name="2028" dataDxfId="264">
      <calculatedColumnFormula>+I115</calculatedColumnFormula>
    </tableColumn>
    <tableColumn id="13" xr3:uid="{00000000-0010-0000-0C00-00000D000000}" name="2029" dataDxfId="263">
      <calculatedColumnFormula>+J115</calculatedColumnFormula>
    </tableColumn>
    <tableColumn id="14" xr3:uid="{00000000-0010-0000-0C00-00000E000000}" name="2030" dataDxfId="262">
      <calculatedColumnFormula>+K115</calculatedColumnFormula>
    </tableColumn>
    <tableColumn id="15" xr3:uid="{00000000-0010-0000-0C00-00000F000000}" name="2031" dataDxfId="261">
      <calculatedColumnFormula>+L115</calculatedColumnFormula>
    </tableColumn>
    <tableColumn id="16" xr3:uid="{00000000-0010-0000-0C00-000010000000}" name="2032" dataDxfId="260">
      <calculatedColumnFormula>+M115</calculatedColumnFormula>
    </tableColumn>
    <tableColumn id="17" xr3:uid="{00000000-0010-0000-0C00-000011000000}" name="2033" dataDxfId="259">
      <calculatedColumnFormula>+N115</calculatedColumnFormula>
    </tableColumn>
    <tableColumn id="18" xr3:uid="{00000000-0010-0000-0C00-000012000000}" name="2034" dataDxfId="258">
      <calculatedColumnFormula>+O115</calculatedColumnFormula>
    </tableColumn>
    <tableColumn id="19" xr3:uid="{00000000-0010-0000-0C00-000013000000}" name="2035" dataDxfId="257">
      <calculatedColumnFormula>+P115</calculatedColumnFormula>
    </tableColumn>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PROG11" displayName="PROG11" ref="B142:P153" totalsRowShown="0" headerRowDxfId="256" dataDxfId="255">
  <autoFilter ref="B142:P153" xr:uid="{00000000-0009-0000-0100-00000C000000}"/>
  <tableColumns count="15">
    <tableColumn id="1" xr3:uid="{00000000-0010-0000-0D00-000001000000}" name="PROGRAMA 11 COBRO DE CONSUMOS POR EJECUCIÓN DE OBRAS DE INFRAESTRUCTURA (COBRO DE TERCEROS)" dataDxfId="254"/>
    <tableColumn id="2" xr3:uid="{00000000-0010-0000-0D00-000002000000}" name="Unidades" dataDxfId="253"/>
    <tableColumn id="7" xr3:uid="{00000000-0010-0000-0D00-000007000000}" name="2023" dataDxfId="252">
      <calculatedColumnFormula>+D129</calculatedColumnFormula>
    </tableColumn>
    <tableColumn id="8" xr3:uid="{00000000-0010-0000-0D00-000008000000}" name="2024" dataDxfId="251">
      <calculatedColumnFormula>+E129</calculatedColumnFormula>
    </tableColumn>
    <tableColumn id="9" xr3:uid="{00000000-0010-0000-0D00-000009000000}" name="2025" dataDxfId="250">
      <calculatedColumnFormula>+F129</calculatedColumnFormula>
    </tableColumn>
    <tableColumn id="10" xr3:uid="{00000000-0010-0000-0D00-00000A000000}" name="2026" dataDxfId="249">
      <calculatedColumnFormula>+G129</calculatedColumnFormula>
    </tableColumn>
    <tableColumn id="11" xr3:uid="{00000000-0010-0000-0D00-00000B000000}" name="2027" dataDxfId="248">
      <calculatedColumnFormula>+H129</calculatedColumnFormula>
    </tableColumn>
    <tableColumn id="12" xr3:uid="{00000000-0010-0000-0D00-00000C000000}" name="2028" dataDxfId="247">
      <calculatedColumnFormula>+I129</calculatedColumnFormula>
    </tableColumn>
    <tableColumn id="13" xr3:uid="{00000000-0010-0000-0D00-00000D000000}" name="2029" dataDxfId="246">
      <calculatedColumnFormula>+J129</calculatedColumnFormula>
    </tableColumn>
    <tableColumn id="14" xr3:uid="{00000000-0010-0000-0D00-00000E000000}" name="2030" dataDxfId="245">
      <calculatedColumnFormula>+K129</calculatedColumnFormula>
    </tableColumn>
    <tableColumn id="15" xr3:uid="{00000000-0010-0000-0D00-00000F000000}" name="2031" dataDxfId="244">
      <calculatedColumnFormula>+L129</calculatedColumnFormula>
    </tableColumn>
    <tableColumn id="16" xr3:uid="{00000000-0010-0000-0D00-000010000000}" name="2032" dataDxfId="243">
      <calculatedColumnFormula>+M129</calculatedColumnFormula>
    </tableColumn>
    <tableColumn id="17" xr3:uid="{00000000-0010-0000-0D00-000011000000}" name="2033" dataDxfId="242">
      <calculatedColumnFormula>+N129</calculatedColumnFormula>
    </tableColumn>
    <tableColumn id="18" xr3:uid="{00000000-0010-0000-0D00-000012000000}" name="2034" dataDxfId="241">
      <calculatedColumnFormula>+O129</calculatedColumnFormula>
    </tableColumn>
    <tableColumn id="19" xr3:uid="{00000000-0010-0000-0D00-000013000000}" name="2035" dataDxfId="240">
      <calculatedColumnFormula>+P129</calculatedColumnFormula>
    </tableColumn>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E000000}" name="PROG12" displayName="PROG12" ref="B156:P167" totalsRowShown="0" headerRowDxfId="239" dataDxfId="238">
  <autoFilter ref="B156:P167" xr:uid="{00000000-0009-0000-0100-00000D000000}"/>
  <tableColumns count="15">
    <tableColumn id="1" xr3:uid="{00000000-0010-0000-0E00-000001000000}" name="PROGRAMA 12 SEGUIMIENTO USUARIOS CON CONSUMO 0 E INACTIVOS" dataDxfId="237"/>
    <tableColumn id="2" xr3:uid="{00000000-0010-0000-0E00-000002000000}" name="Unidades" dataDxfId="236"/>
    <tableColumn id="7" xr3:uid="{00000000-0010-0000-0E00-000007000000}" name="2023" dataDxfId="235">
      <calculatedColumnFormula>+D143</calculatedColumnFormula>
    </tableColumn>
    <tableColumn id="8" xr3:uid="{00000000-0010-0000-0E00-000008000000}" name="2024" dataDxfId="234">
      <calculatedColumnFormula>+E143</calculatedColumnFormula>
    </tableColumn>
    <tableColumn id="9" xr3:uid="{00000000-0010-0000-0E00-000009000000}" name="2025" dataDxfId="233">
      <calculatedColumnFormula>+F143</calculatedColumnFormula>
    </tableColumn>
    <tableColumn id="10" xr3:uid="{00000000-0010-0000-0E00-00000A000000}" name="2026" dataDxfId="232">
      <calculatedColumnFormula>+G143</calculatedColumnFormula>
    </tableColumn>
    <tableColumn id="11" xr3:uid="{00000000-0010-0000-0E00-00000B000000}" name="2027" dataDxfId="231">
      <calculatedColumnFormula>+H143</calculatedColumnFormula>
    </tableColumn>
    <tableColumn id="12" xr3:uid="{00000000-0010-0000-0E00-00000C000000}" name="2028" dataDxfId="230">
      <calculatedColumnFormula>+I143</calculatedColumnFormula>
    </tableColumn>
    <tableColumn id="13" xr3:uid="{00000000-0010-0000-0E00-00000D000000}" name="2029" dataDxfId="229">
      <calculatedColumnFormula>+J143</calculatedColumnFormula>
    </tableColumn>
    <tableColumn id="14" xr3:uid="{00000000-0010-0000-0E00-00000E000000}" name="2030" dataDxfId="228">
      <calculatedColumnFormula>+K143</calculatedColumnFormula>
    </tableColumn>
    <tableColumn id="15" xr3:uid="{00000000-0010-0000-0E00-00000F000000}" name="2031" dataDxfId="227">
      <calculatedColumnFormula>+L143</calculatedColumnFormula>
    </tableColumn>
    <tableColumn id="16" xr3:uid="{00000000-0010-0000-0E00-000010000000}" name="2032" dataDxfId="226">
      <calculatedColumnFormula>+M143</calculatedColumnFormula>
    </tableColumn>
    <tableColumn id="17" xr3:uid="{00000000-0010-0000-0E00-000011000000}" name="2033" dataDxfId="225">
      <calculatedColumnFormula>+N143</calculatedColumnFormula>
    </tableColumn>
    <tableColumn id="18" xr3:uid="{00000000-0010-0000-0E00-000012000000}" name="2034" dataDxfId="224">
      <calculatedColumnFormula>+O143</calculatedColumnFormula>
    </tableColumn>
    <tableColumn id="19" xr3:uid="{00000000-0010-0000-0E00-000013000000}" name="2035" dataDxfId="223">
      <calculatedColumnFormula>+P143</calculatedColumnFormula>
    </tableColumn>
  </tableColumns>
  <tableStyleInfo name="TableStyleMedium2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F000000}" name="PROG13" displayName="PROG13" ref="B170:P181" totalsRowShown="0" headerRowDxfId="222" dataDxfId="221">
  <autoFilter ref="B170:P181" xr:uid="{00000000-0009-0000-0100-00000E000000}"/>
  <tableColumns count="15">
    <tableColumn id="1" xr3:uid="{00000000-0010-0000-0F00-000001000000}" name="PROGRAMA 13 SEGUIMIENTO ANOMALÍAS" dataDxfId="220"/>
    <tableColumn id="2" xr3:uid="{00000000-0010-0000-0F00-000002000000}" name="Unidades" dataDxfId="219"/>
    <tableColumn id="7" xr3:uid="{00000000-0010-0000-0F00-000007000000}" name="2023" dataDxfId="218">
      <calculatedColumnFormula>+D157</calculatedColumnFormula>
    </tableColumn>
    <tableColumn id="8" xr3:uid="{00000000-0010-0000-0F00-000008000000}" name="2024" dataDxfId="217">
      <calculatedColumnFormula>+E157</calculatedColumnFormula>
    </tableColumn>
    <tableColumn id="9" xr3:uid="{00000000-0010-0000-0F00-000009000000}" name="2025" dataDxfId="216">
      <calculatedColumnFormula>+F157</calculatedColumnFormula>
    </tableColumn>
    <tableColumn id="10" xr3:uid="{00000000-0010-0000-0F00-00000A000000}" name="2026" dataDxfId="215">
      <calculatedColumnFormula>+G157</calculatedColumnFormula>
    </tableColumn>
    <tableColumn id="11" xr3:uid="{00000000-0010-0000-0F00-00000B000000}" name="2027" dataDxfId="214">
      <calculatedColumnFormula>+H157</calculatedColumnFormula>
    </tableColumn>
    <tableColumn id="12" xr3:uid="{00000000-0010-0000-0F00-00000C000000}" name="2028" dataDxfId="213">
      <calculatedColumnFormula>+I157</calculatedColumnFormula>
    </tableColumn>
    <tableColumn id="13" xr3:uid="{00000000-0010-0000-0F00-00000D000000}" name="2029" dataDxfId="212">
      <calculatedColumnFormula>+J157</calculatedColumnFormula>
    </tableColumn>
    <tableColumn id="14" xr3:uid="{00000000-0010-0000-0F00-00000E000000}" name="2030" dataDxfId="211">
      <calculatedColumnFormula>+K157</calculatedColumnFormula>
    </tableColumn>
    <tableColumn id="15" xr3:uid="{00000000-0010-0000-0F00-00000F000000}" name="2031" dataDxfId="210">
      <calculatedColumnFormula>+L157</calculatedColumnFormula>
    </tableColumn>
    <tableColumn id="16" xr3:uid="{00000000-0010-0000-0F00-000010000000}" name="2032" dataDxfId="209">
      <calculatedColumnFormula>+M157</calculatedColumnFormula>
    </tableColumn>
    <tableColumn id="17" xr3:uid="{00000000-0010-0000-0F00-000011000000}" name="2033" dataDxfId="208">
      <calculatedColumnFormula>+N157</calculatedColumnFormula>
    </tableColumn>
    <tableColumn id="18" xr3:uid="{00000000-0010-0000-0F00-000012000000}" name="2034" dataDxfId="207">
      <calculatedColumnFormula>+O157</calculatedColumnFormula>
    </tableColumn>
    <tableColumn id="19" xr3:uid="{00000000-0010-0000-0F00-000013000000}" name="2035" dataDxfId="206">
      <calculatedColumnFormula>+P157</calculatedColumnFormula>
    </tableColumn>
  </tableColumns>
  <tableStyleInfo name="TableStyleMedium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0000000}" name="PROG14" displayName="PROG14" ref="B184:P195" totalsRowShown="0" headerRowDxfId="205" dataDxfId="204">
  <autoFilter ref="B184:P195" xr:uid="{00000000-0009-0000-0100-00000F000000}"/>
  <tableColumns count="15">
    <tableColumn id="1" xr3:uid="{00000000-0010-0000-1000-000001000000}" name="PROGRAMA 14 SEGUIMIENTO Y CONTROL MEDIDORES GRANDES DIÁMETROS" dataDxfId="203"/>
    <tableColumn id="2" xr3:uid="{00000000-0010-0000-1000-000002000000}" name="Unidades" dataDxfId="202"/>
    <tableColumn id="7" xr3:uid="{00000000-0010-0000-1000-000007000000}" name="2023" dataDxfId="201">
      <calculatedColumnFormula>+D171</calculatedColumnFormula>
    </tableColumn>
    <tableColumn id="8" xr3:uid="{00000000-0010-0000-1000-000008000000}" name="2024" dataDxfId="200">
      <calculatedColumnFormula>+E171</calculatedColumnFormula>
    </tableColumn>
    <tableColumn id="9" xr3:uid="{00000000-0010-0000-1000-000009000000}" name="2025" dataDxfId="199">
      <calculatedColumnFormula>+F171</calculatedColumnFormula>
    </tableColumn>
    <tableColumn id="10" xr3:uid="{00000000-0010-0000-1000-00000A000000}" name="2026" dataDxfId="198">
      <calculatedColumnFormula>+G171</calculatedColumnFormula>
    </tableColumn>
    <tableColumn id="11" xr3:uid="{00000000-0010-0000-1000-00000B000000}" name="2027" dataDxfId="197">
      <calculatedColumnFormula>+H171</calculatedColumnFormula>
    </tableColumn>
    <tableColumn id="12" xr3:uid="{00000000-0010-0000-1000-00000C000000}" name="2028" dataDxfId="196">
      <calculatedColumnFormula>+I171</calculatedColumnFormula>
    </tableColumn>
    <tableColumn id="13" xr3:uid="{00000000-0010-0000-1000-00000D000000}" name="2029" dataDxfId="195">
      <calculatedColumnFormula>+J171</calculatedColumnFormula>
    </tableColumn>
    <tableColumn id="14" xr3:uid="{00000000-0010-0000-1000-00000E000000}" name="2030" dataDxfId="194">
      <calculatedColumnFormula>+K171</calculatedColumnFormula>
    </tableColumn>
    <tableColumn id="15" xr3:uid="{00000000-0010-0000-1000-00000F000000}" name="2031" dataDxfId="193">
      <calculatedColumnFormula>+L171</calculatedColumnFormula>
    </tableColumn>
    <tableColumn id="16" xr3:uid="{00000000-0010-0000-1000-000010000000}" name="2032" dataDxfId="192">
      <calculatedColumnFormula>+M171</calculatedColumnFormula>
    </tableColumn>
    <tableColumn id="17" xr3:uid="{00000000-0010-0000-1000-000011000000}" name="2033" dataDxfId="191">
      <calculatedColumnFormula>+N171</calculatedColumnFormula>
    </tableColumn>
    <tableColumn id="18" xr3:uid="{00000000-0010-0000-1000-000012000000}" name="2034" dataDxfId="190">
      <calculatedColumnFormula>+O171</calculatedColumnFormula>
    </tableColumn>
    <tableColumn id="19" xr3:uid="{00000000-0010-0000-1000-000013000000}" name="2035" dataDxfId="189">
      <calculatedColumnFormula>+P171</calculatedColumnFormula>
    </tableColumn>
  </tableColumns>
  <tableStyleInfo name="TableStyleMedium2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1000000}" name="PROG15" displayName="PROG15" ref="B198:P209" totalsRowShown="0" headerRowDxfId="188" dataDxfId="187">
  <autoFilter ref="B198:P209" xr:uid="{00000000-0009-0000-0100-000010000000}"/>
  <tableColumns count="15">
    <tableColumn id="1" xr3:uid="{00000000-0010-0000-1100-000001000000}" name="PROGRAMA 15 ACTUALIZACIÓN CATASTRO DE USUARIOS Y GEOREFERENCIACIÓN" dataDxfId="186"/>
    <tableColumn id="2" xr3:uid="{00000000-0010-0000-1100-000002000000}" name="Unidades" dataDxfId="185"/>
    <tableColumn id="7" xr3:uid="{00000000-0010-0000-1100-000007000000}" name="2023" dataDxfId="184">
      <calculatedColumnFormula>+D185</calculatedColumnFormula>
    </tableColumn>
    <tableColumn id="8" xr3:uid="{00000000-0010-0000-1100-000008000000}" name="2024" dataDxfId="183">
      <calculatedColumnFormula>+E185</calculatedColumnFormula>
    </tableColumn>
    <tableColumn id="9" xr3:uid="{00000000-0010-0000-1100-000009000000}" name="2025" dataDxfId="182">
      <calculatedColumnFormula>+F185</calculatedColumnFormula>
    </tableColumn>
    <tableColumn id="10" xr3:uid="{00000000-0010-0000-1100-00000A000000}" name="2026" dataDxfId="181">
      <calculatedColumnFormula>+G185</calculatedColumnFormula>
    </tableColumn>
    <tableColumn id="11" xr3:uid="{00000000-0010-0000-1100-00000B000000}" name="2027" dataDxfId="180">
      <calculatedColumnFormula>+H185</calculatedColumnFormula>
    </tableColumn>
    <tableColumn id="12" xr3:uid="{00000000-0010-0000-1100-00000C000000}" name="2028" dataDxfId="179">
      <calculatedColumnFormula>+I185</calculatedColumnFormula>
    </tableColumn>
    <tableColumn id="13" xr3:uid="{00000000-0010-0000-1100-00000D000000}" name="2029" dataDxfId="178">
      <calculatedColumnFormula>+J185</calculatedColumnFormula>
    </tableColumn>
    <tableColumn id="14" xr3:uid="{00000000-0010-0000-1100-00000E000000}" name="2030" dataDxfId="177">
      <calculatedColumnFormula>+K185</calculatedColumnFormula>
    </tableColumn>
    <tableColumn id="15" xr3:uid="{00000000-0010-0000-1100-00000F000000}" name="2031" dataDxfId="176">
      <calculatedColumnFormula>+L185</calculatedColumnFormula>
    </tableColumn>
    <tableColumn id="16" xr3:uid="{00000000-0010-0000-1100-000010000000}" name="2032" dataDxfId="175">
      <calculatedColumnFormula>+M185</calculatedColumnFormula>
    </tableColumn>
    <tableColumn id="17" xr3:uid="{00000000-0010-0000-1100-000011000000}" name="2033" dataDxfId="174">
      <calculatedColumnFormula>+N185</calculatedColumnFormula>
    </tableColumn>
    <tableColumn id="18" xr3:uid="{00000000-0010-0000-1100-000012000000}" name="2034" dataDxfId="173">
      <calculatedColumnFormula>+O185</calculatedColumnFormula>
    </tableColumn>
    <tableColumn id="19" xr3:uid="{00000000-0010-0000-1100-000013000000}" name="2035" dataDxfId="172">
      <calculatedColumnFormula>+P185</calculatedColumnFormula>
    </tableColumn>
  </tableColumns>
  <tableStyleInfo name="TableStyleMedium2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2000000}" name="PROG16" displayName="PROG16" ref="B212:P223" totalsRowShown="0" headerRowDxfId="171" dataDxfId="170">
  <autoFilter ref="B212:P223" xr:uid="{00000000-0009-0000-0100-000011000000}"/>
  <tableColumns count="15">
    <tableColumn id="1" xr3:uid="{00000000-0010-0000-1200-000001000000}" name="PROGRAMA 16 CARACTERIZACIÓN DE COMUNIDADES ILEGALES" dataDxfId="169"/>
    <tableColumn id="2" xr3:uid="{00000000-0010-0000-1200-000002000000}" name="Unidades" dataDxfId="168"/>
    <tableColumn id="7" xr3:uid="{00000000-0010-0000-1200-000007000000}" name="2023" dataDxfId="167">
      <calculatedColumnFormula>+D199</calculatedColumnFormula>
    </tableColumn>
    <tableColumn id="8" xr3:uid="{00000000-0010-0000-1200-000008000000}" name="2024" dataDxfId="166">
      <calculatedColumnFormula>+E199</calculatedColumnFormula>
    </tableColumn>
    <tableColumn id="9" xr3:uid="{00000000-0010-0000-1200-000009000000}" name="2025" dataDxfId="165">
      <calculatedColumnFormula>+F199</calculatedColumnFormula>
    </tableColumn>
    <tableColumn id="10" xr3:uid="{00000000-0010-0000-1200-00000A000000}" name="2026" dataDxfId="164">
      <calculatedColumnFormula>+G199</calculatedColumnFormula>
    </tableColumn>
    <tableColumn id="11" xr3:uid="{00000000-0010-0000-1200-00000B000000}" name="2027" dataDxfId="163">
      <calculatedColumnFormula>+H199</calculatedColumnFormula>
    </tableColumn>
    <tableColumn id="12" xr3:uid="{00000000-0010-0000-1200-00000C000000}" name="2028" dataDxfId="162">
      <calculatedColumnFormula>+I199</calculatedColumnFormula>
    </tableColumn>
    <tableColumn id="13" xr3:uid="{00000000-0010-0000-1200-00000D000000}" name="2029" dataDxfId="161">
      <calculatedColumnFormula>+J199</calculatedColumnFormula>
    </tableColumn>
    <tableColumn id="14" xr3:uid="{00000000-0010-0000-1200-00000E000000}" name="2030" dataDxfId="160">
      <calculatedColumnFormula>+K199</calculatedColumnFormula>
    </tableColumn>
    <tableColumn id="15" xr3:uid="{00000000-0010-0000-1200-00000F000000}" name="2031" dataDxfId="159">
      <calculatedColumnFormula>+L199</calculatedColumnFormula>
    </tableColumn>
    <tableColumn id="16" xr3:uid="{00000000-0010-0000-1200-000010000000}" name="2032" dataDxfId="158">
      <calculatedColumnFormula>+M199</calculatedColumnFormula>
    </tableColumn>
    <tableColumn id="17" xr3:uid="{00000000-0010-0000-1200-000011000000}" name="2033" dataDxfId="157">
      <calculatedColumnFormula>+N199</calculatedColumnFormula>
    </tableColumn>
    <tableColumn id="18" xr3:uid="{00000000-0010-0000-1200-000012000000}" name="2034" dataDxfId="156">
      <calculatedColumnFormula>+O199</calculatedColumnFormula>
    </tableColumn>
    <tableColumn id="19" xr3:uid="{00000000-0010-0000-1200-000013000000}" name="2035" dataDxfId="155">
      <calculatedColumnFormula>+P199</calculatedColumnFormula>
    </tableColumn>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3000000}" name="PROG17" displayName="PROG17" ref="B226:P237" totalsRowShown="0" headerRowDxfId="154" dataDxfId="153">
  <autoFilter ref="B226:P237" xr:uid="{00000000-0009-0000-0100-000012000000}"/>
  <tableColumns count="15">
    <tableColumn id="1" xr3:uid="{00000000-0010-0000-1300-000001000000}" name="PROGRAMA 17 GRANDES CONSUMIDORES" dataDxfId="152"/>
    <tableColumn id="2" xr3:uid="{00000000-0010-0000-1300-000002000000}" name="Unidades" dataDxfId="151"/>
    <tableColumn id="7" xr3:uid="{00000000-0010-0000-1300-000007000000}" name="2023" dataDxfId="150">
      <calculatedColumnFormula>+D213</calculatedColumnFormula>
    </tableColumn>
    <tableColumn id="8" xr3:uid="{00000000-0010-0000-1300-000008000000}" name="2024" dataDxfId="149">
      <calculatedColumnFormula>+E213</calculatedColumnFormula>
    </tableColumn>
    <tableColumn id="9" xr3:uid="{00000000-0010-0000-1300-000009000000}" name="2025" dataDxfId="148">
      <calculatedColumnFormula>+F213</calculatedColumnFormula>
    </tableColumn>
    <tableColumn id="10" xr3:uid="{00000000-0010-0000-1300-00000A000000}" name="2026" dataDxfId="147">
      <calculatedColumnFormula>+G213</calculatedColumnFormula>
    </tableColumn>
    <tableColumn id="11" xr3:uid="{00000000-0010-0000-1300-00000B000000}" name="2027" dataDxfId="146">
      <calculatedColumnFormula>+H213</calculatedColumnFormula>
    </tableColumn>
    <tableColumn id="12" xr3:uid="{00000000-0010-0000-1300-00000C000000}" name="2028" dataDxfId="145">
      <calculatedColumnFormula>+I213</calculatedColumnFormula>
    </tableColumn>
    <tableColumn id="13" xr3:uid="{00000000-0010-0000-1300-00000D000000}" name="2029" dataDxfId="144">
      <calculatedColumnFormula>+J213</calculatedColumnFormula>
    </tableColumn>
    <tableColumn id="14" xr3:uid="{00000000-0010-0000-1300-00000E000000}" name="2030" dataDxfId="143">
      <calculatedColumnFormula>+K213</calculatedColumnFormula>
    </tableColumn>
    <tableColumn id="15" xr3:uid="{00000000-0010-0000-1300-00000F000000}" name="2031" dataDxfId="142">
      <calculatedColumnFormula>+L213</calculatedColumnFormula>
    </tableColumn>
    <tableColumn id="16" xr3:uid="{00000000-0010-0000-1300-000010000000}" name="2032" dataDxfId="141">
      <calculatedColumnFormula>+M213</calculatedColumnFormula>
    </tableColumn>
    <tableColumn id="17" xr3:uid="{00000000-0010-0000-1300-000011000000}" name="2033" dataDxfId="140">
      <calculatedColumnFormula>+N213</calculatedColumnFormula>
    </tableColumn>
    <tableColumn id="18" xr3:uid="{00000000-0010-0000-1300-000012000000}" name="2034" dataDxfId="139">
      <calculatedColumnFormula>+O213</calculatedColumnFormula>
    </tableColumn>
    <tableColumn id="19" xr3:uid="{00000000-0010-0000-1300-000013000000}" name="2035" dataDxfId="138">
      <calculatedColumnFormula>+P213</calculatedColumnFormula>
    </tableColumn>
  </tableColumns>
  <tableStyleInfo name="TableStyleMedium2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PROG18" displayName="PROG18" ref="B240:P251" totalsRowShown="0" headerRowDxfId="137" dataDxfId="136">
  <autoFilter ref="B240:P251" xr:uid="{00000000-0009-0000-0100-000013000000}"/>
  <tableColumns count="15">
    <tableColumn id="1" xr3:uid="{00000000-0010-0000-1400-000001000000}" name="PROGRAMA 18 SOFTWARE DE INTELIGENCIA PARA ALERTAS" dataDxfId="135"/>
    <tableColumn id="2" xr3:uid="{00000000-0010-0000-1400-000002000000}" name="Unidades" dataDxfId="134"/>
    <tableColumn id="7" xr3:uid="{00000000-0010-0000-1400-000007000000}" name="2023" dataDxfId="133">
      <calculatedColumnFormula>+D227</calculatedColumnFormula>
    </tableColumn>
    <tableColumn id="8" xr3:uid="{00000000-0010-0000-1400-000008000000}" name="2024" dataDxfId="132">
      <calculatedColumnFormula>+E227</calculatedColumnFormula>
    </tableColumn>
    <tableColumn id="9" xr3:uid="{00000000-0010-0000-1400-000009000000}" name="2025" dataDxfId="131">
      <calculatedColumnFormula>+F227</calculatedColumnFormula>
    </tableColumn>
    <tableColumn id="10" xr3:uid="{00000000-0010-0000-1400-00000A000000}" name="2026" dataDxfId="130">
      <calculatedColumnFormula>+G227</calculatedColumnFormula>
    </tableColumn>
    <tableColumn id="11" xr3:uid="{00000000-0010-0000-1400-00000B000000}" name="2027" dataDxfId="129">
      <calculatedColumnFormula>+H227</calculatedColumnFormula>
    </tableColumn>
    <tableColumn id="12" xr3:uid="{00000000-0010-0000-1400-00000C000000}" name="2028" dataDxfId="128">
      <calculatedColumnFormula>+I227</calculatedColumnFormula>
    </tableColumn>
    <tableColumn id="13" xr3:uid="{00000000-0010-0000-1400-00000D000000}" name="2029" dataDxfId="127">
      <calculatedColumnFormula>+J227</calculatedColumnFormula>
    </tableColumn>
    <tableColumn id="14" xr3:uid="{00000000-0010-0000-1400-00000E000000}" name="2030" dataDxfId="126">
      <calculatedColumnFormula>+K227</calculatedColumnFormula>
    </tableColumn>
    <tableColumn id="15" xr3:uid="{00000000-0010-0000-1400-00000F000000}" name="2031" dataDxfId="125">
      <calculatedColumnFormula>+L227</calculatedColumnFormula>
    </tableColumn>
    <tableColumn id="16" xr3:uid="{00000000-0010-0000-1400-000010000000}" name="2032" dataDxfId="124">
      <calculatedColumnFormula>+M227</calculatedColumnFormula>
    </tableColumn>
    <tableColumn id="17" xr3:uid="{00000000-0010-0000-1400-000011000000}" name="2033" dataDxfId="123">
      <calculatedColumnFormula>+N227</calculatedColumnFormula>
    </tableColumn>
    <tableColumn id="18" xr3:uid="{00000000-0010-0000-1400-000012000000}" name="2034" dataDxfId="122">
      <calculatedColumnFormula>+O227</calculatedColumnFormula>
    </tableColumn>
    <tableColumn id="19" xr3:uid="{00000000-0010-0000-1400-000013000000}" name="2035" dataDxfId="121">
      <calculatedColumnFormula>+P227</calculatedColumnFormula>
    </tableColumn>
  </tableColumns>
  <tableStyleInfo name="TableStyleMedium2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5000000}" name="PROG19" displayName="PROG19" ref="B254:P265" totalsRowShown="0" headerRowDxfId="120" dataDxfId="119">
  <autoFilter ref="B254:P265" xr:uid="{00000000-0009-0000-0100-000014000000}"/>
  <tableColumns count="15">
    <tableColumn id="1" xr3:uid="{00000000-0010-0000-1500-000001000000}" name="PROGRAMA 8 Y 19 NORMALIZACIÓN AHDI (TÉCNICO - COMERCIAL)" dataDxfId="118"/>
    <tableColumn id="2" xr3:uid="{00000000-0010-0000-1500-000002000000}" name="Unidades" dataDxfId="117"/>
    <tableColumn id="7" xr3:uid="{00000000-0010-0000-1500-000007000000}" name="2023" dataDxfId="116">
      <calculatedColumnFormula>+D241</calculatedColumnFormula>
    </tableColumn>
    <tableColumn id="8" xr3:uid="{00000000-0010-0000-1500-000008000000}" name="2024" dataDxfId="115">
      <calculatedColumnFormula>+E241</calculatedColumnFormula>
    </tableColumn>
    <tableColumn id="9" xr3:uid="{00000000-0010-0000-1500-000009000000}" name="2025" dataDxfId="114">
      <calculatedColumnFormula>+F241</calculatedColumnFormula>
    </tableColumn>
    <tableColumn id="10" xr3:uid="{00000000-0010-0000-1500-00000A000000}" name="2026" dataDxfId="113">
      <calculatedColumnFormula>+G241</calculatedColumnFormula>
    </tableColumn>
    <tableColumn id="11" xr3:uid="{00000000-0010-0000-1500-00000B000000}" name="2027" dataDxfId="112">
      <calculatedColumnFormula>+H241</calculatedColumnFormula>
    </tableColumn>
    <tableColumn id="12" xr3:uid="{00000000-0010-0000-1500-00000C000000}" name="2028" dataDxfId="111">
      <calculatedColumnFormula>+I241</calculatedColumnFormula>
    </tableColumn>
    <tableColumn id="13" xr3:uid="{00000000-0010-0000-1500-00000D000000}" name="2029" dataDxfId="110">
      <calculatedColumnFormula>+J241</calculatedColumnFormula>
    </tableColumn>
    <tableColumn id="14" xr3:uid="{00000000-0010-0000-1500-00000E000000}" name="2030" dataDxfId="109">
      <calculatedColumnFormula>+K241</calculatedColumnFormula>
    </tableColumn>
    <tableColumn id="15" xr3:uid="{00000000-0010-0000-1500-00000F000000}" name="2031" dataDxfId="108">
      <calculatedColumnFormula>+L241</calculatedColumnFormula>
    </tableColumn>
    <tableColumn id="16" xr3:uid="{00000000-0010-0000-1500-000010000000}" name="2032" dataDxfId="107">
      <calculatedColumnFormula>+M241</calculatedColumnFormula>
    </tableColumn>
    <tableColumn id="17" xr3:uid="{00000000-0010-0000-1500-000011000000}" name="2033" dataDxfId="106">
      <calculatedColumnFormula>+N241</calculatedColumnFormula>
    </tableColumn>
    <tableColumn id="18" xr3:uid="{00000000-0010-0000-1500-000012000000}" name="2034" dataDxfId="105">
      <calculatedColumnFormula>+O241</calculatedColumnFormula>
    </tableColumn>
    <tableColumn id="19" xr3:uid="{00000000-0010-0000-1500-000013000000}" name="2035" dataDxfId="104">
      <calculatedColumnFormula>+P241</calculatedColumnFormula>
    </tableColumn>
  </tableColumns>
  <tableStyleInfo name="TableStyleMedium2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7B573F4-6C64-4390-8762-55A65D3CE966}" name="VOL_REC" displayName="VOL_REC" ref="B269:D288" totalsRowShown="0">
  <autoFilter ref="B269:D288" xr:uid="{E7B573F4-6C64-4390-8762-55A65D3CE966}"/>
  <tableColumns count="3">
    <tableColumn id="1" xr3:uid="{375788A9-A517-4E3E-BDB0-64462AE02045}" name="PROGRAMA" dataDxfId="103"/>
    <tableColumn id="2" xr3:uid="{BF6C5595-B808-47D1-ACE1-C566C42DE716}" name="V TOTAL RECUPERADO" dataDxfId="102"/>
    <tableColumn id="3" xr3:uid="{54CC4B6B-2F7A-4D88-B767-5283998151E7}" name="Nombre del Programa" dataDxfId="10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6000000}" name="PROGRAMAS" displayName="PROGRAMAS" ref="B5:E24" totalsRowShown="0" headerRowDxfId="94" dataDxfId="93">
  <autoFilter ref="B5:E24" xr:uid="{00000000-0009-0000-0100-000015000000}"/>
  <tableColumns count="4">
    <tableColumn id="1" xr3:uid="{00000000-0010-0000-1600-000001000000}" name="Programa" dataDxfId="92"/>
    <tableColumn id="2" xr3:uid="{00000000-0010-0000-1600-000002000000}" name="VNA Ingresos" dataDxfId="91"/>
    <tableColumn id="3" xr3:uid="{00000000-0010-0000-1600-000003000000}" name="VNA Egresos+Inversión" dataDxfId="90"/>
    <tableColumn id="4" xr3:uid="{00000000-0010-0000-1600-000004000000}" name="BC" dataDxfId="89">
      <calculatedColumnFormula>+IFERROR(PROGRAMAS[[#This Row],[VNA Ingresos]]/PROGRAMAS[[#This Row],[VNA Egresos+Inversión]],0)</calculatedColumnFormula>
    </tableColumn>
  </tableColumns>
  <tableStyleInfo name="TableStyleMedium2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7000000}" name="Alternativa1" displayName="Alternativa1" ref="H9:V20" totalsRowShown="0" headerRowDxfId="88" dataDxfId="87">
  <tableColumns count="15">
    <tableColumn id="1" xr3:uid="{00000000-0010-0000-1700-000001000000}" name="ALTERNATIVA No. 1" dataDxfId="86"/>
    <tableColumn id="2" xr3:uid="{00000000-0010-0000-1700-000002000000}" name="U" dataDxfId="85"/>
    <tableColumn id="7" xr3:uid="{00000000-0010-0000-1700-000007000000}" name="2023" dataDxfId="84">
      <calculatedColumnFormula>+#REF!</calculatedColumnFormula>
    </tableColumn>
    <tableColumn id="8" xr3:uid="{00000000-0010-0000-1700-000008000000}" name="2024" dataDxfId="83">
      <calculatedColumnFormula>+#REF!</calculatedColumnFormula>
    </tableColumn>
    <tableColumn id="9" xr3:uid="{00000000-0010-0000-1700-000009000000}" name="2025" dataDxfId="82">
      <calculatedColumnFormula>+#REF!</calculatedColumnFormula>
    </tableColumn>
    <tableColumn id="10" xr3:uid="{00000000-0010-0000-1700-00000A000000}" name="2026" dataDxfId="81">
      <calculatedColumnFormula>+#REF!</calculatedColumnFormula>
    </tableColumn>
    <tableColumn id="11" xr3:uid="{00000000-0010-0000-1700-00000B000000}" name="2027" dataDxfId="80">
      <calculatedColumnFormula>+#REF!</calculatedColumnFormula>
    </tableColumn>
    <tableColumn id="12" xr3:uid="{00000000-0010-0000-1700-00000C000000}" name="2028" dataDxfId="79">
      <calculatedColumnFormula>+#REF!</calculatedColumnFormula>
    </tableColumn>
    <tableColumn id="13" xr3:uid="{00000000-0010-0000-1700-00000D000000}" name="2029" dataDxfId="78">
      <calculatedColumnFormula>+#REF!</calculatedColumnFormula>
    </tableColumn>
    <tableColumn id="14" xr3:uid="{00000000-0010-0000-1700-00000E000000}" name="2030" dataDxfId="77">
      <calculatedColumnFormula>+#REF!</calculatedColumnFormula>
    </tableColumn>
    <tableColumn id="15" xr3:uid="{00000000-0010-0000-1700-00000F000000}" name="2031" dataDxfId="76">
      <calculatedColumnFormula>+#REF!</calculatedColumnFormula>
    </tableColumn>
    <tableColumn id="16" xr3:uid="{00000000-0010-0000-1700-000010000000}" name="2032" dataDxfId="75">
      <calculatedColumnFormula>+#REF!</calculatedColumnFormula>
    </tableColumn>
    <tableColumn id="17" xr3:uid="{00000000-0010-0000-1700-000011000000}" name="2033" dataDxfId="74">
      <calculatedColumnFormula>+#REF!</calculatedColumnFormula>
    </tableColumn>
    <tableColumn id="18" xr3:uid="{00000000-0010-0000-1700-000012000000}" name="2034" dataDxfId="73">
      <calculatedColumnFormula>+#REF!</calculatedColumnFormula>
    </tableColumn>
    <tableColumn id="19" xr3:uid="{00000000-0010-0000-1700-000013000000}" name="2035" dataDxfId="72">
      <calculatedColumnFormula>+#REF!</calculatedColumnFormula>
    </tableColumn>
  </tableColumns>
  <tableStyleInfo name="TableStyleMedium2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8000000}" name="Alternativa2" displayName="Alternativa2" ref="H51:V62" totalsRowShown="0" headerRowDxfId="71" dataDxfId="70">
  <tableColumns count="15">
    <tableColumn id="1" xr3:uid="{00000000-0010-0000-1800-000001000000}" name="ALTERNATIVA No. 2" dataDxfId="69" totalsRowDxfId="68"/>
    <tableColumn id="2" xr3:uid="{00000000-0010-0000-1800-000002000000}" name="U" dataDxfId="67" totalsRowDxfId="66"/>
    <tableColumn id="7" xr3:uid="{00000000-0010-0000-1800-000007000000}" name="2023" dataDxfId="65" totalsRowDxfId="64">
      <calculatedColumnFormula>+#REF!</calculatedColumnFormula>
    </tableColumn>
    <tableColumn id="8" xr3:uid="{00000000-0010-0000-1800-000008000000}" name="2024" dataDxfId="63" totalsRowDxfId="62">
      <calculatedColumnFormula>+#REF!</calculatedColumnFormula>
    </tableColumn>
    <tableColumn id="9" xr3:uid="{00000000-0010-0000-1800-000009000000}" name="2025" dataDxfId="61" totalsRowDxfId="60">
      <calculatedColumnFormula>+#REF!</calculatedColumnFormula>
    </tableColumn>
    <tableColumn id="10" xr3:uid="{00000000-0010-0000-1800-00000A000000}" name="2026" dataDxfId="59" totalsRowDxfId="58">
      <calculatedColumnFormula>+#REF!</calculatedColumnFormula>
    </tableColumn>
    <tableColumn id="11" xr3:uid="{00000000-0010-0000-1800-00000B000000}" name="2027" dataDxfId="57" totalsRowDxfId="56">
      <calculatedColumnFormula>+#REF!</calculatedColumnFormula>
    </tableColumn>
    <tableColumn id="12" xr3:uid="{00000000-0010-0000-1800-00000C000000}" name="2028" dataDxfId="55" totalsRowDxfId="54">
      <calculatedColumnFormula>+#REF!</calculatedColumnFormula>
    </tableColumn>
    <tableColumn id="13" xr3:uid="{00000000-0010-0000-1800-00000D000000}" name="2029" dataDxfId="53" totalsRowDxfId="52">
      <calculatedColumnFormula>+#REF!</calculatedColumnFormula>
    </tableColumn>
    <tableColumn id="14" xr3:uid="{00000000-0010-0000-1800-00000E000000}" name="2030" dataDxfId="51" totalsRowDxfId="50">
      <calculatedColumnFormula>+#REF!</calculatedColumnFormula>
    </tableColumn>
    <tableColumn id="15" xr3:uid="{00000000-0010-0000-1800-00000F000000}" name="2031" dataDxfId="49" totalsRowDxfId="48">
      <calculatedColumnFormula>+#REF!</calculatedColumnFormula>
    </tableColumn>
    <tableColumn id="16" xr3:uid="{00000000-0010-0000-1800-000010000000}" name="2032" dataDxfId="47" totalsRowDxfId="46">
      <calculatedColumnFormula>+#REF!</calculatedColumnFormula>
    </tableColumn>
    <tableColumn id="17" xr3:uid="{00000000-0010-0000-1800-000011000000}" name="2033" dataDxfId="45" totalsRowDxfId="44">
      <calculatedColumnFormula>+#REF!</calculatedColumnFormula>
    </tableColumn>
    <tableColumn id="18" xr3:uid="{00000000-0010-0000-1800-000012000000}" name="2034" dataDxfId="43" totalsRowDxfId="42">
      <calculatedColumnFormula>+#REF!</calculatedColumnFormula>
    </tableColumn>
    <tableColumn id="19" xr3:uid="{00000000-0010-0000-1800-000013000000}" name="2035" dataDxfId="41" totalsRowDxfId="40">
      <calculatedColumnFormula>+#REF!</calculatedColumnFormula>
    </tableColumn>
  </tableColumns>
  <tableStyleInfo name="TableStyleMedium2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9000000}" name="Alternativa3" displayName="Alternativa3" ref="H93:V104" totalsRowShown="0" headerRowDxfId="39" dataDxfId="38">
  <tableColumns count="15">
    <tableColumn id="1" xr3:uid="{00000000-0010-0000-1900-000001000000}" name="ALTERNATIVA No. 3" dataDxfId="37" totalsRowDxfId="36"/>
    <tableColumn id="2" xr3:uid="{00000000-0010-0000-1900-000002000000}" name="U" dataDxfId="35" totalsRowDxfId="34"/>
    <tableColumn id="7" xr3:uid="{00000000-0010-0000-1900-000007000000}" name="2023" dataDxfId="33" totalsRowDxfId="32">
      <calculatedColumnFormula>+#REF!</calculatedColumnFormula>
    </tableColumn>
    <tableColumn id="8" xr3:uid="{00000000-0010-0000-1900-000008000000}" name="2024" dataDxfId="31" totalsRowDxfId="30">
      <calculatedColumnFormula>+#REF!</calculatedColumnFormula>
    </tableColumn>
    <tableColumn id="9" xr3:uid="{00000000-0010-0000-1900-000009000000}" name="2025" dataDxfId="29" totalsRowDxfId="28">
      <calculatedColumnFormula>+#REF!</calculatedColumnFormula>
    </tableColumn>
    <tableColumn id="10" xr3:uid="{00000000-0010-0000-1900-00000A000000}" name="2026" dataDxfId="27" totalsRowDxfId="26">
      <calculatedColumnFormula>+#REF!</calculatedColumnFormula>
    </tableColumn>
    <tableColumn id="11" xr3:uid="{00000000-0010-0000-1900-00000B000000}" name="2027" dataDxfId="25" totalsRowDxfId="24">
      <calculatedColumnFormula>+#REF!</calculatedColumnFormula>
    </tableColumn>
    <tableColumn id="12" xr3:uid="{00000000-0010-0000-1900-00000C000000}" name="2028" dataDxfId="23" totalsRowDxfId="22">
      <calculatedColumnFormula>+#REF!</calculatedColumnFormula>
    </tableColumn>
    <tableColumn id="13" xr3:uid="{00000000-0010-0000-1900-00000D000000}" name="2029" dataDxfId="21" totalsRowDxfId="20">
      <calculatedColumnFormula>+#REF!</calculatedColumnFormula>
    </tableColumn>
    <tableColumn id="14" xr3:uid="{00000000-0010-0000-1900-00000E000000}" name="2030" dataDxfId="19" totalsRowDxfId="18">
      <calculatedColumnFormula>+#REF!</calculatedColumnFormula>
    </tableColumn>
    <tableColumn id="15" xr3:uid="{00000000-0010-0000-1900-00000F000000}" name="2031" dataDxfId="17" totalsRowDxfId="16">
      <calculatedColumnFormula>+#REF!</calculatedColumnFormula>
    </tableColumn>
    <tableColumn id="16" xr3:uid="{00000000-0010-0000-1900-000010000000}" name="2032" dataDxfId="15" totalsRowDxfId="14">
      <calculatedColumnFormula>+#REF!</calculatedColumnFormula>
    </tableColumn>
    <tableColumn id="17" xr3:uid="{00000000-0010-0000-1900-000011000000}" name="2033" dataDxfId="13" totalsRowDxfId="12">
      <calculatedColumnFormula>+#REF!</calculatedColumnFormula>
    </tableColumn>
    <tableColumn id="18" xr3:uid="{00000000-0010-0000-1900-000012000000}" name="2034" dataDxfId="11" totalsRowDxfId="10">
      <calculatedColumnFormula>+#REF!</calculatedColumnFormula>
    </tableColumn>
    <tableColumn id="19" xr3:uid="{00000000-0010-0000-1900-000013000000}" name="2035" dataDxfId="9" totalsRowDxfId="8">
      <calculatedColumnFormula>+#REF!</calculatedColumnFormula>
    </tableColumn>
  </tableColumns>
  <tableStyleInfo name="TableStyleMedium21" showFirstColumn="0" showLastColumn="0" showRowStripes="1" showColumnStripes="0"/>
</table>
</file>

<file path=xl/theme/theme1.xml><?xml version="1.0" encoding="utf-8"?>
<a:theme xmlns:a="http://schemas.openxmlformats.org/drawingml/2006/main" name="Metropolitano">
  <a:themeElements>
    <a:clrScheme name="Metropolitano">
      <a:dk1>
        <a:sysClr val="windowText" lastClr="000000"/>
      </a:dk1>
      <a:lt1>
        <a:sysClr val="window" lastClr="FFFFFF"/>
      </a:lt1>
      <a:dk2>
        <a:srgbClr val="162F33"/>
      </a:dk2>
      <a:lt2>
        <a:srgbClr val="EAF0E0"/>
      </a:lt2>
      <a:accent1>
        <a:srgbClr val="50B4C8"/>
      </a:accent1>
      <a:accent2>
        <a:srgbClr val="A8B97F"/>
      </a:accent2>
      <a:accent3>
        <a:srgbClr val="9B9256"/>
      </a:accent3>
      <a:accent4>
        <a:srgbClr val="657689"/>
      </a:accent4>
      <a:accent5>
        <a:srgbClr val="7A855D"/>
      </a:accent5>
      <a:accent6>
        <a:srgbClr val="84AC9D"/>
      </a:accent6>
      <a:hlink>
        <a:srgbClr val="2370CD"/>
      </a:hlink>
      <a:folHlink>
        <a:srgbClr val="877589"/>
      </a:folHlink>
    </a:clrScheme>
    <a:fontScheme name="Metropolitan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o">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threadedComments/threadedComment1.xml><?xml version="1.0" encoding="utf-8"?>
<ThreadedComments xmlns="http://schemas.microsoft.com/office/spreadsheetml/2018/threadedcomments" xmlns:x="http://schemas.openxmlformats.org/spreadsheetml/2006/main">
  <threadedComment ref="D448" dT="2021-06-16T15:04:08.77" personId="{408E6B41-98A2-4BE7-9C4D-D5CA8D747632}" id="{3463335E-A55B-4B0B-BCD2-8CFD4AAEF4EB}">
    <text>Se propone recambio en máximo 5 años</text>
  </threadedComment>
  <threadedComment ref="D448" dT="2021-06-17T20:00:47.94" personId="{408E6B41-98A2-4BE7-9C4D-D5CA8D747632}" id="{2BCB9234-8CDB-48DC-902E-FD47924277FF}" parentId="{3463335E-A55B-4B0B-BCD2-8CFD4AAEF4EB}">
    <text>Si no se dispone de la información de año de instalación de los equipos se puede definir que el 50% de los macromedidores existentes estan llegando a la vida útil</text>
  </threadedComment>
  <threadedComment ref="D477" dT="2026-05-08T12:11:27.51" personId="{9C5156A2-0355-496D-A135-C002BC245401}" id="{10887701-241D-452F-8EDE-B8F6F3B8EF29}">
    <text>Se asume que en el 6 año se inicia de nuevo con los realizados en el año 1</text>
  </threadedComment>
  <threadedComment ref="D478" dT="2021-06-21T16:11:08.66" personId="{408E6B41-98A2-4BE7-9C4D-D5CA8D747632}" id="{8404EA1E-427F-424E-A9F2-97D6D5A135BB}">
    <text>Depende de los años de priorización</text>
  </threadedComment>
</ThreadedComments>
</file>

<file path=xl/threadedComments/threadedComment2.xml><?xml version="1.0" encoding="utf-8"?>
<ThreadedComments xmlns="http://schemas.microsoft.com/office/spreadsheetml/2018/threadedcomments" xmlns:x="http://schemas.openxmlformats.org/spreadsheetml/2006/main">
  <threadedComment ref="H83" dT="2025-03-25T16:33:54.24" personId="{9C5156A2-0355-496D-A135-C002BC245401}" id="{89E00B7E-B441-47A4-994F-1EF7C2D82AA6}">
    <text>Revisar medidores de gran diámetro = Plan Director</text>
  </threadedComment>
  <threadedComment ref="O331" dT="2025-06-25T14:53:21.06" personId="{9C5156A2-0355-496D-A135-C002BC245401}" id="{0AB12AAC-F4A7-4892-A24C-A8DF6F35C46F}">
    <text>73831 valor obtenido PDP. Universo</text>
  </threadedComment>
  <threadedComment ref="K367" dT="2026-06-19T16:07:14.70" personId="{9C5156A2-0355-496D-A135-C002BC245401}" id="{2F7E71EC-4326-49B3-AE8E-216D5055801C}">
    <text>Explicación en el informe referente a como se obtiene este dato.</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5-07-29T21:00:19.61" personId="{9C5156A2-0355-496D-A135-C002BC245401}" id="{C41C39BF-6958-4EFE-BE98-035885B34EDD}">
    <text>Actualizar nombre</text>
  </threadedComment>
  <threadedComment ref="E4" dT="2025-08-19T21:20:33.76" personId="{9C5156A2-0355-496D-A135-C002BC245401}" id="{B14AA8FD-6740-44BF-BE17-4A49740EE086}">
    <text>$416611.5</text>
  </threadedComment>
  <threadedComment ref="E5" dT="2025-08-19T21:18:56.01" personId="{9C5156A2-0355-496D-A135-C002BC245401}" id="{AE6685B8-7B17-414F-9FD5-82DA750EC9DC}">
    <text>$110969.375</text>
  </threadedComment>
  <threadedComment ref="E6" dT="2025-08-19T21:19:43.25" personId="{9C5156A2-0355-496D-A135-C002BC245401}" id="{5CF1FB95-EC71-481A-A26C-AB6110FD3C15}">
    <text>$148164.5</text>
  </threadedComment>
  <threadedComment ref="E7" dT="2025-08-19T21:14:21.39" personId="{9C5156A2-0355-496D-A135-C002BC245401}" id="{EC601370-3860-4A48-B6E1-5617B31E14B8}">
    <text>$38,777</text>
  </threadedComment>
  <threadedComment ref="E8" dT="2026-05-07T02:49:23.64" personId="{9C5156A2-0355-496D-A135-C002BC245401}" id="{C5067650-EB74-49B4-93C3-ED1999D6D46C}">
    <text>$1186588.83333333</text>
  </threadedComment>
  <threadedComment ref="E10" dT="2025-07-30T16:06:36.09" personId="{9C5156A2-0355-496D-A135-C002BC245401}" id="{DE8C4C6C-5B18-420E-B7A0-2ED1AD6017E6}">
    <text>Se involucre en P19</text>
  </threadedComment>
  <threadedComment ref="E11" dT="2025-07-30T16:06:40.58" personId="{9C5156A2-0355-496D-A135-C002BC245401}" id="{5D0FFD1C-DF66-4617-8D86-E7EE62B921D0}">
    <text>Se involucre en P19</text>
  </threadedComment>
  <threadedComment ref="E12" dT="2025-07-30T16:06:44.38" personId="{9C5156A2-0355-496D-A135-C002BC245401}" id="{1D8F565F-0DF7-418D-A2D6-13AAEB915C4A}">
    <text>Se involucre en P19</text>
  </threadedComment>
  <threadedComment ref="E13" dT="2025-07-30T16:06:48.76" personId="{9C5156A2-0355-496D-A135-C002BC245401}" id="{CC68E1F9-8E84-47A5-B499-A56D4354595D}">
    <text>Se involucre en P19</text>
  </threadedComment>
  <threadedComment ref="E14" dT="2025-07-30T16:06:54.59" personId="{9C5156A2-0355-496D-A135-C002BC245401}" id="{98806035-99D4-4C7C-9193-B71CD327B825}">
    <text>Se involucre en P19</text>
  </threadedComment>
  <threadedComment ref="E17" dT="2025-07-30T16:06:29.44" personId="{9C5156A2-0355-496D-A135-C002BC245401}" id="{95B32F3E-0E63-4367-845A-34CA7C3A44B1}">
    <text>Se involucre en P19</text>
  </threadedComment>
  <threadedComment ref="E17" dT="2026-05-07T02:48:40.48" personId="{9C5156A2-0355-496D-A135-C002BC245401}" id="{FBC0B191-C72B-482C-892A-644EC8EF3426}" parentId="{95B32F3E-0E63-4367-845A-34CA7C3A44B1}">
    <text>$148969.375</text>
  </threadedComment>
  <threadedComment ref="E18" dT="2025-07-30T16:06:24.48" personId="{9C5156A2-0355-496D-A135-C002BC245401}" id="{DEEEA38A-CE34-4E3D-B09A-DC78F53147A7}">
    <text>Se involucre en P19</text>
  </threadedComment>
</ThreadedComments>
</file>

<file path=xl/threadedComments/threadedComment4.xml><?xml version="1.0" encoding="utf-8"?>
<ThreadedComments xmlns="http://schemas.microsoft.com/office/spreadsheetml/2018/threadedcomments" xmlns:x="http://schemas.openxmlformats.org/spreadsheetml/2006/main">
  <threadedComment ref="S2" dT="2025-06-10T16:41:06.55" personId="{9C5156A2-0355-496D-A135-C002BC245401}" id="{EA32754D-A54E-444F-9A51-526344F7FFB2}">
    <text>Revisar hoja de alternativas y diligenciar Manual</text>
  </threadedComment>
</ThreadedComments>
</file>

<file path=xl/threadedComments/threadedComment5.xml><?xml version="1.0" encoding="utf-8"?>
<ThreadedComments xmlns="http://schemas.microsoft.com/office/spreadsheetml/2018/threadedcomments" xmlns:x="http://schemas.openxmlformats.org/spreadsheetml/2006/main">
  <threadedComment ref="C37" dT="2025-07-09T20:52:05.21" personId="{9C5156A2-0355-496D-A135-C002BC245401}" id="{DA9C49AC-2579-49E1-A75A-DD20843298DB}">
    <text>Recuperación 
proyectado a perpetuidad</text>
  </threadedComment>
</ThreadedComments>
</file>

<file path=xl/threadedComments/threadedComment6.xml><?xml version="1.0" encoding="utf-8"?>
<ThreadedComments xmlns="http://schemas.microsoft.com/office/spreadsheetml/2018/threadedcomments" xmlns:x="http://schemas.openxmlformats.org/spreadsheetml/2006/main">
  <threadedComment ref="C37" dT="2025-07-09T20:52:19.98" personId="{9C5156A2-0355-496D-A135-C002BC245401}" id="{F1584061-4AD0-48D9-8C1E-54F66103ECC5}">
    <text>Afectado por índice de recaudo</text>
  </threadedComment>
</ThreadedComments>
</file>

<file path=xl/threadedComments/threadedComment7.xml><?xml version="1.0" encoding="utf-8"?>
<ThreadedComments xmlns="http://schemas.microsoft.com/office/spreadsheetml/2018/threadedcomments" xmlns:x="http://schemas.openxmlformats.org/spreadsheetml/2006/main">
  <threadedComment ref="C37" dT="2025-07-09T21:23:10.19" personId="{9C5156A2-0355-496D-A135-C002BC245401}" id="{FE072164-D8FB-4432-B4C5-6F7F9A14CE63}">
    <text>Perpetuidad</text>
  </threadedComment>
</ThreadedComments>
</file>

<file path=xl/threadedComments/threadedComment8.xml><?xml version="1.0" encoding="utf-8"?>
<ThreadedComments xmlns="http://schemas.microsoft.com/office/spreadsheetml/2018/threadedcomments" xmlns:x="http://schemas.openxmlformats.org/spreadsheetml/2006/main">
  <threadedComment ref="C39" dT="2025-07-09T21:27:10.65" personId="{9C5156A2-0355-496D-A135-C002BC245401}" id="{A2C5E68C-8D4E-4132-9414-CB18F10B387A}">
    <text>Índice de recaudo</text>
  </threadedComment>
</ThreadedComments>
</file>

<file path=xl/threadedComments/threadedComment9.xml><?xml version="1.0" encoding="utf-8"?>
<ThreadedComments xmlns="http://schemas.microsoft.com/office/spreadsheetml/2018/threadedcomments" xmlns:x="http://schemas.openxmlformats.org/spreadsheetml/2006/main">
  <threadedComment ref="D19" dT="2026-05-22T23:19:55.05" personId="{9C5156A2-0355-496D-A135-C002BC245401}" id="{F3843FFC-8D6D-4D62-ADE4-31BC53D60D71}">
    <text>FORMULAR</text>
  </threadedComment>
  <threadedComment ref="C37" dT="2025-07-09T21:30:18.38" personId="{9C5156A2-0355-496D-A135-C002BC245401}" id="{68D66D66-5EB9-446A-B551-80651E0F46D7}">
    <text>Índice de recaudo</text>
  </threadedComment>
</ThreadedComments>
</file>

<file path=xl/threadedComments/threadedComment10.xml><?xml version="1.0" encoding="utf-8"?>
<ThreadedComments xmlns="http://schemas.microsoft.com/office/spreadsheetml/2018/threadedcomments" xmlns:x="http://schemas.openxmlformats.org/spreadsheetml/2006/main">
  <threadedComment ref="C37" dT="2025-07-09T21:33:16.04" personId="{9C5156A2-0355-496D-A135-C002BC245401}" id="{0A0114B2-FD67-4D38-9907-14789C1B387B}">
    <text>Índice de recaudo</text>
  </threadedComment>
</ThreadedComments>
</file>

<file path=xl/threadedComments/threadedComment11.xml><?xml version="1.0" encoding="utf-8"?>
<ThreadedComments xmlns="http://schemas.microsoft.com/office/spreadsheetml/2018/threadedcomments" xmlns:x="http://schemas.openxmlformats.org/spreadsheetml/2006/main">
  <threadedComment ref="C37" dT="2025-07-09T21:46:36.33" personId="{9C5156A2-0355-496D-A135-C002BC245401}" id="{63761C22-2820-4328-A63A-A5E99B8F48D7}">
    <text>Índice de recaudo</text>
  </threadedComment>
</ThreadedComments>
</file>

<file path=xl/threadedComments/threadedComment12.xml><?xml version="1.0" encoding="utf-8"?>
<ThreadedComments xmlns="http://schemas.microsoft.com/office/spreadsheetml/2018/threadedcomments" xmlns:x="http://schemas.openxmlformats.org/spreadsheetml/2006/main">
  <threadedComment ref="C37" dT="2025-07-09T21:59:57.65" personId="{9C5156A2-0355-496D-A135-C002BC245401}" id="{0A27345A-2C23-4F2B-822C-CA1BC5FE280B}">
    <text>Índice de recaudo</text>
  </threadedComment>
</ThreadedComments>
</file>

<file path=xl/threadedComments/threadedComment13.xml><?xml version="1.0" encoding="utf-8"?>
<ThreadedComments xmlns="http://schemas.microsoft.com/office/spreadsheetml/2018/threadedcomments" xmlns:x="http://schemas.openxmlformats.org/spreadsheetml/2006/main">
  <threadedComment ref="F290" dT="2025-08-04T20:16:06.44" personId="{9C5156A2-0355-496D-A135-C002BC245401}" id="{0D63F3F1-8FF7-42D6-8532-D62756B9DC15}">
    <text>Daños</text>
  </threadedComment>
</ThreadedComments>
</file>

<file path=xl/threadedComments/threadedComment14.xml><?xml version="1.0" encoding="utf-8"?>
<ThreadedComments xmlns="http://schemas.microsoft.com/office/spreadsheetml/2018/threadedcomments" xmlns:x="http://schemas.openxmlformats.org/spreadsheetml/2006/main">
  <threadedComment ref="H48" dT="2025-06-10T16:39:45.23" personId="{9C5156A2-0355-496D-A135-C002BC245401}" id="{CB7CA270-2301-4CD3-9224-DA8F6E1C75BF}">
    <text>ESTÁ FILA SE DEBE DILIGENCIAR MANUALMENTE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68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3D7BD0-F9A5-42CF-A024-85FE04921E9A}">
  <we:reference id="wa200009404" version="1.0.0.8" store="en-US" storeType="OMEX"/>
  <we:alternateReferences>
    <we:reference id="wa200009404" version="1.0.0.8" store="en-US" storeType="OMEX"/>
  </we:alternateReferences>
  <we:properties>
    <we:property name="claude.fileId" value="&quot;6035e493-5a3d-46ed-bb86-1ccb065c562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ontrol" Target="../activeX/activeX23.xml"/><Relationship Id="rId21" Type="http://schemas.openxmlformats.org/officeDocument/2006/relationships/image" Target="../media/image9.emf"/><Relationship Id="rId34" Type="http://schemas.openxmlformats.org/officeDocument/2006/relationships/control" Target="../activeX/activeX18.xml"/><Relationship Id="rId42" Type="http://schemas.openxmlformats.org/officeDocument/2006/relationships/image" Target="../media/image14.emf"/><Relationship Id="rId47" Type="http://schemas.openxmlformats.org/officeDocument/2006/relationships/control" Target="../activeX/activeX29.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control" Target="../activeX/activeX1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6.xml"/><Relationship Id="rId37" Type="http://schemas.openxmlformats.org/officeDocument/2006/relationships/control" Target="../activeX/activeX21.xml"/><Relationship Id="rId40" Type="http://schemas.openxmlformats.org/officeDocument/2006/relationships/control" Target="../activeX/activeX24.xml"/><Relationship Id="rId45" Type="http://schemas.openxmlformats.org/officeDocument/2006/relationships/image" Target="../media/image15.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image" Target="../media/image12.emf"/><Relationship Id="rId36" Type="http://schemas.openxmlformats.org/officeDocument/2006/relationships/control" Target="../activeX/activeX20.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3.emf"/><Relationship Id="rId44" Type="http://schemas.openxmlformats.org/officeDocument/2006/relationships/control" Target="../activeX/activeX27.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control" Target="../activeX/activeX15.xml"/><Relationship Id="rId35" Type="http://schemas.openxmlformats.org/officeDocument/2006/relationships/control" Target="../activeX/activeX19.xml"/><Relationship Id="rId43" Type="http://schemas.openxmlformats.org/officeDocument/2006/relationships/control" Target="../activeX/activeX26.xml"/><Relationship Id="rId48"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ntrol" Target="../activeX/activeX17.xml"/><Relationship Id="rId38" Type="http://schemas.openxmlformats.org/officeDocument/2006/relationships/control" Target="../activeX/activeX22.xml"/><Relationship Id="rId46" Type="http://schemas.openxmlformats.org/officeDocument/2006/relationships/control" Target="../activeX/activeX28.xml"/><Relationship Id="rId20" Type="http://schemas.openxmlformats.org/officeDocument/2006/relationships/control" Target="../activeX/activeX9.xml"/><Relationship Id="rId41"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omments" Target="../comments16.xml"/><Relationship Id="rId4" Type="http://schemas.openxmlformats.org/officeDocument/2006/relationships/table" Target="../tables/table3.xml"/></Relationships>
</file>

<file path=xl/worksheets/_rels/sheet38.xml.rels><?xml version="1.0" encoding="UTF-8" standalone="yes"?>
<Relationships xmlns="http://schemas.openxmlformats.org/package/2006/relationships"><Relationship Id="rId1" Type="http://schemas.openxmlformats.org/officeDocument/2006/relationships/hyperlink" Target="http://www.banrep.gov.co/es/comunicado-27-11-2015-2" TargetMode="External"/></Relationships>
</file>

<file path=xl/worksheets/_rels/sheet3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11.bin"/></Relationships>
</file>

<file path=xl/worksheets/_rels/sheet41.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3" Type="http://schemas.openxmlformats.org/officeDocument/2006/relationships/vmlDrawing" Target="../drawings/vmlDrawing20.vml"/><Relationship Id="rId21" Type="http://schemas.openxmlformats.org/officeDocument/2006/relationships/table" Target="../tables/table21.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microsoft.com/office/2017/10/relationships/threadedComment" Target="../threadedComments/threadedComment13.xml"/><Relationship Id="rId2" Type="http://schemas.openxmlformats.org/officeDocument/2006/relationships/drawing" Target="../drawings/drawing6.xml"/><Relationship Id="rId16" Type="http://schemas.openxmlformats.org/officeDocument/2006/relationships/table" Target="../tables/table16.xml"/><Relationship Id="rId20" Type="http://schemas.openxmlformats.org/officeDocument/2006/relationships/table" Target="../tables/table20.xml"/><Relationship Id="rId1" Type="http://schemas.openxmlformats.org/officeDocument/2006/relationships/printerSettings" Target="../printerSettings/printerSettings12.bin"/><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comments" Target="../comments19.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10" Type="http://schemas.openxmlformats.org/officeDocument/2006/relationships/table" Target="../tables/table10.xml"/><Relationship Id="rId19" Type="http://schemas.openxmlformats.org/officeDocument/2006/relationships/table" Target="../tables/table19.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s>
</file>

<file path=xl/worksheets/_rels/sheet4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21.vml"/><Relationship Id="rId7" Type="http://schemas.openxmlformats.org/officeDocument/2006/relationships/table" Target="../tables/table25.xml"/><Relationship Id="rId2" Type="http://schemas.openxmlformats.org/officeDocument/2006/relationships/drawing" Target="../drawings/drawing7.xml"/><Relationship Id="rId1" Type="http://schemas.openxmlformats.org/officeDocument/2006/relationships/printerSettings" Target="../printerSettings/printerSettings13.bin"/><Relationship Id="rId6" Type="http://schemas.openxmlformats.org/officeDocument/2006/relationships/table" Target="../tables/table24.xml"/><Relationship Id="rId11" Type="http://schemas.microsoft.com/office/2017/10/relationships/threadedComment" Target="../threadedComments/threadedComment14.xml"/><Relationship Id="rId5" Type="http://schemas.openxmlformats.org/officeDocument/2006/relationships/ctrlProp" Target="../ctrlProps/ctrlProp2.xml"/><Relationship Id="rId10" Type="http://schemas.openxmlformats.org/officeDocument/2006/relationships/comments" Target="../comments20.xml"/><Relationship Id="rId4" Type="http://schemas.openxmlformats.org/officeDocument/2006/relationships/ctrlProp" Target="../ctrlProps/ctrlProp1.xml"/><Relationship Id="rId9" Type="http://schemas.openxmlformats.org/officeDocument/2006/relationships/table" Target="../tables/table2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5.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0">
    <pageSetUpPr fitToPage="1"/>
  </sheetPr>
  <dimension ref="B1:L37"/>
  <sheetViews>
    <sheetView zoomScale="85" zoomScaleNormal="85" workbookViewId="0">
      <selection activeCell="M22" sqref="M22"/>
    </sheetView>
  </sheetViews>
  <sheetFormatPr baseColWidth="10" defaultColWidth="11" defaultRowHeight="15" x14ac:dyDescent="0.25"/>
  <cols>
    <col min="1" max="1" width="14.5" style="152" customWidth="1"/>
    <col min="2" max="4" width="11" style="152"/>
    <col min="5" max="5" width="17.75" style="152" customWidth="1"/>
    <col min="6" max="16384" width="11" style="152"/>
  </cols>
  <sheetData>
    <row r="1" spans="2:12" x14ac:dyDescent="0.25">
      <c r="B1" s="1724" t="s">
        <v>603</v>
      </c>
      <c r="C1" s="1724"/>
      <c r="D1" s="1724"/>
      <c r="E1" s="1724"/>
      <c r="F1" s="1724"/>
      <c r="G1" s="1724"/>
      <c r="H1" s="1724"/>
      <c r="I1" s="1724"/>
      <c r="J1" s="1724"/>
      <c r="K1" s="1724"/>
      <c r="L1" s="1724"/>
    </row>
    <row r="2" spans="2:12" x14ac:dyDescent="0.25">
      <c r="B2" s="1724"/>
      <c r="C2" s="1724"/>
      <c r="D2" s="1724"/>
      <c r="E2" s="1724"/>
      <c r="F2" s="1724"/>
      <c r="G2" s="1724"/>
      <c r="H2" s="1724"/>
      <c r="I2" s="1724"/>
      <c r="J2" s="1724"/>
      <c r="K2" s="1724"/>
      <c r="L2" s="1724"/>
    </row>
    <row r="3" spans="2:12" x14ac:dyDescent="0.25">
      <c r="B3" s="1724"/>
      <c r="C3" s="1724"/>
      <c r="D3" s="1724"/>
      <c r="E3" s="1724"/>
      <c r="F3" s="1724"/>
      <c r="G3" s="1724"/>
      <c r="H3" s="1724"/>
      <c r="I3" s="1724"/>
      <c r="J3" s="1724"/>
      <c r="K3" s="1724"/>
      <c r="L3" s="1724"/>
    </row>
    <row r="4" spans="2:12" x14ac:dyDescent="0.25">
      <c r="B4" s="1724"/>
      <c r="C4" s="1724"/>
      <c r="D4" s="1724"/>
      <c r="E4" s="1724"/>
      <c r="F4" s="1724"/>
      <c r="G4" s="1724"/>
      <c r="H4" s="1724"/>
      <c r="I4" s="1724"/>
      <c r="J4" s="1724"/>
      <c r="K4" s="1724"/>
      <c r="L4" s="1724"/>
    </row>
    <row r="6" spans="2:12" x14ac:dyDescent="0.25">
      <c r="B6" s="1725" t="s">
        <v>1062</v>
      </c>
      <c r="C6" s="1725"/>
      <c r="D6" s="1725"/>
      <c r="E6" s="1725"/>
      <c r="F6" s="1725"/>
      <c r="G6" s="1725"/>
      <c r="H6" s="1725"/>
      <c r="I6" s="1725"/>
      <c r="J6" s="1725"/>
      <c r="K6" s="1725"/>
      <c r="L6" s="1725"/>
    </row>
    <row r="7" spans="2:12" x14ac:dyDescent="0.25">
      <c r="B7" s="1725"/>
      <c r="C7" s="1725"/>
      <c r="D7" s="1725"/>
      <c r="E7" s="1725"/>
      <c r="F7" s="1725"/>
      <c r="G7" s="1725"/>
      <c r="H7" s="1725"/>
      <c r="I7" s="1725"/>
      <c r="J7" s="1725"/>
      <c r="K7" s="1725"/>
      <c r="L7" s="1725"/>
    </row>
    <row r="8" spans="2:12" x14ac:dyDescent="0.25">
      <c r="B8" s="1725"/>
      <c r="C8" s="1725"/>
      <c r="D8" s="1725"/>
      <c r="E8" s="1725"/>
      <c r="F8" s="1725"/>
      <c r="G8" s="1725"/>
      <c r="H8" s="1725"/>
      <c r="I8" s="1725"/>
      <c r="J8" s="1725"/>
      <c r="K8" s="1725"/>
      <c r="L8" s="1725"/>
    </row>
    <row r="9" spans="2:12" ht="16.149999999999999" customHeight="1" x14ac:dyDescent="0.25">
      <c r="B9" s="1726" t="s">
        <v>665</v>
      </c>
      <c r="C9" s="1727"/>
      <c r="D9" s="1727"/>
      <c r="E9" s="1727"/>
      <c r="F9" s="1727"/>
      <c r="G9" s="1727"/>
      <c r="H9" s="1727"/>
      <c r="I9" s="1727"/>
      <c r="J9" s="1727"/>
      <c r="K9" s="1727"/>
      <c r="L9" s="1727"/>
    </row>
    <row r="10" spans="2:12" ht="16.149999999999999" customHeight="1" x14ac:dyDescent="0.25">
      <c r="B10" s="1727"/>
      <c r="C10" s="1727"/>
      <c r="D10" s="1727"/>
      <c r="E10" s="1727"/>
      <c r="F10" s="1727"/>
      <c r="G10" s="1727"/>
      <c r="H10" s="1727"/>
      <c r="I10" s="1727"/>
      <c r="J10" s="1727"/>
      <c r="K10" s="1727"/>
      <c r="L10" s="1727"/>
    </row>
    <row r="11" spans="2:12" ht="16.149999999999999" customHeight="1" x14ac:dyDescent="0.25">
      <c r="B11" s="1726" t="s">
        <v>666</v>
      </c>
      <c r="C11" s="1727"/>
      <c r="D11" s="1727"/>
      <c r="E11" s="1727"/>
      <c r="F11" s="1727"/>
      <c r="G11" s="1727"/>
      <c r="H11" s="1727"/>
      <c r="I11" s="1727"/>
      <c r="J11" s="1727"/>
      <c r="K11" s="1727"/>
      <c r="L11" s="1727"/>
    </row>
    <row r="12" spans="2:12" ht="20.25" x14ac:dyDescent="0.3">
      <c r="B12" s="247" t="s">
        <v>659</v>
      </c>
      <c r="J12" s="247" t="s">
        <v>604</v>
      </c>
    </row>
    <row r="13" spans="2:12" x14ac:dyDescent="0.25">
      <c r="B13" s="248" t="s">
        <v>605</v>
      </c>
      <c r="C13" s="152" t="s">
        <v>644</v>
      </c>
      <c r="J13" s="248" t="s">
        <v>605</v>
      </c>
      <c r="K13" s="152" t="s">
        <v>641</v>
      </c>
    </row>
    <row r="14" spans="2:12" ht="20.25" x14ac:dyDescent="0.3">
      <c r="B14" s="247" t="s">
        <v>647</v>
      </c>
      <c r="J14" s="248" t="s">
        <v>605</v>
      </c>
      <c r="K14" s="152" t="s">
        <v>642</v>
      </c>
    </row>
    <row r="15" spans="2:12" ht="23.45" customHeight="1" x14ac:dyDescent="0.25">
      <c r="B15" s="248" t="s">
        <v>605</v>
      </c>
      <c r="C15" s="152" t="s">
        <v>606</v>
      </c>
      <c r="J15" s="248" t="s">
        <v>605</v>
      </c>
      <c r="K15" s="152" t="s">
        <v>643</v>
      </c>
    </row>
    <row r="16" spans="2:12" ht="21.6" customHeight="1" x14ac:dyDescent="0.25">
      <c r="B16" s="248" t="s">
        <v>605</v>
      </c>
      <c r="C16" s="152" t="s">
        <v>607</v>
      </c>
    </row>
    <row r="17" spans="2:12" ht="25.15" customHeight="1" x14ac:dyDescent="0.25">
      <c r="B17" s="248" t="s">
        <v>605</v>
      </c>
      <c r="C17" s="152" t="s">
        <v>608</v>
      </c>
    </row>
    <row r="18" spans="2:12" ht="20.25" x14ac:dyDescent="0.3">
      <c r="B18" s="247" t="s">
        <v>646</v>
      </c>
    </row>
    <row r="19" spans="2:12" x14ac:dyDescent="0.25">
      <c r="B19" s="248" t="s">
        <v>605</v>
      </c>
      <c r="C19" s="152" t="s">
        <v>609</v>
      </c>
    </row>
    <row r="20" spans="2:12" x14ac:dyDescent="0.25">
      <c r="B20" s="248" t="s">
        <v>605</v>
      </c>
      <c r="C20" s="152" t="s">
        <v>610</v>
      </c>
    </row>
    <row r="21" spans="2:12" ht="22.15" customHeight="1" x14ac:dyDescent="0.25">
      <c r="B21" s="248" t="s">
        <v>605</v>
      </c>
      <c r="C21" s="152" t="s">
        <v>611</v>
      </c>
    </row>
    <row r="22" spans="2:12" ht="20.25" x14ac:dyDescent="0.3">
      <c r="B22" s="247" t="s">
        <v>645</v>
      </c>
      <c r="L22" s="1114"/>
    </row>
    <row r="23" spans="2:12" x14ac:dyDescent="0.25">
      <c r="B23" s="248" t="s">
        <v>605</v>
      </c>
      <c r="C23" s="152" t="s">
        <v>663</v>
      </c>
      <c r="F23" s="248" t="s">
        <v>605</v>
      </c>
      <c r="G23" s="152" t="s">
        <v>625</v>
      </c>
    </row>
    <row r="24" spans="2:12" x14ac:dyDescent="0.25">
      <c r="B24" s="248" t="s">
        <v>605</v>
      </c>
      <c r="C24" s="152" t="s">
        <v>612</v>
      </c>
      <c r="F24" s="248" t="s">
        <v>605</v>
      </c>
      <c r="G24" s="152" t="s">
        <v>626</v>
      </c>
    </row>
    <row r="25" spans="2:12" x14ac:dyDescent="0.25">
      <c r="B25" s="248" t="s">
        <v>605</v>
      </c>
      <c r="C25" s="152" t="s">
        <v>613</v>
      </c>
      <c r="F25" s="248" t="s">
        <v>605</v>
      </c>
      <c r="G25" s="152" t="s">
        <v>627</v>
      </c>
    </row>
    <row r="26" spans="2:12" x14ac:dyDescent="0.25">
      <c r="B26" s="248" t="s">
        <v>605</v>
      </c>
      <c r="C26" s="152" t="s">
        <v>614</v>
      </c>
      <c r="F26" s="248" t="s">
        <v>605</v>
      </c>
      <c r="G26" s="152" t="s">
        <v>628</v>
      </c>
    </row>
    <row r="27" spans="2:12" x14ac:dyDescent="0.25">
      <c r="B27" s="248" t="s">
        <v>605</v>
      </c>
      <c r="C27" s="152" t="s">
        <v>615</v>
      </c>
      <c r="F27" s="248" t="s">
        <v>605</v>
      </c>
      <c r="G27" s="152" t="s">
        <v>629</v>
      </c>
    </row>
    <row r="28" spans="2:12" x14ac:dyDescent="0.25">
      <c r="B28" s="248" t="s">
        <v>605</v>
      </c>
      <c r="C28" s="152" t="s">
        <v>616</v>
      </c>
      <c r="F28" s="248" t="s">
        <v>605</v>
      </c>
      <c r="G28" s="152" t="s">
        <v>630</v>
      </c>
    </row>
    <row r="29" spans="2:12" x14ac:dyDescent="0.25">
      <c r="B29" s="248" t="s">
        <v>605</v>
      </c>
      <c r="C29" s="152" t="s">
        <v>617</v>
      </c>
      <c r="F29" s="248" t="s">
        <v>605</v>
      </c>
      <c r="G29" s="152" t="s">
        <v>632</v>
      </c>
    </row>
    <row r="30" spans="2:12" x14ac:dyDescent="0.25">
      <c r="B30" s="248" t="s">
        <v>605</v>
      </c>
      <c r="C30" s="152" t="s">
        <v>618</v>
      </c>
      <c r="F30" s="248" t="s">
        <v>605</v>
      </c>
      <c r="G30" s="152" t="s">
        <v>633</v>
      </c>
    </row>
    <row r="31" spans="2:12" x14ac:dyDescent="0.25">
      <c r="B31" s="248" t="s">
        <v>605</v>
      </c>
      <c r="C31" s="152" t="s">
        <v>619</v>
      </c>
      <c r="F31" s="248" t="s">
        <v>605</v>
      </c>
      <c r="G31" s="152" t="s">
        <v>634</v>
      </c>
    </row>
    <row r="32" spans="2:12" x14ac:dyDescent="0.25">
      <c r="B32" s="248" t="s">
        <v>605</v>
      </c>
      <c r="C32" s="152" t="s">
        <v>631</v>
      </c>
      <c r="F32" s="248" t="s">
        <v>605</v>
      </c>
      <c r="G32" s="152" t="s">
        <v>637</v>
      </c>
    </row>
    <row r="33" spans="2:7" x14ac:dyDescent="0.25">
      <c r="B33" s="248" t="s">
        <v>605</v>
      </c>
      <c r="C33" s="152" t="s">
        <v>620</v>
      </c>
      <c r="F33" s="248" t="s">
        <v>605</v>
      </c>
      <c r="G33" s="152" t="s">
        <v>636</v>
      </c>
    </row>
    <row r="34" spans="2:7" x14ac:dyDescent="0.25">
      <c r="B34" s="248" t="s">
        <v>605</v>
      </c>
      <c r="C34" s="152" t="s">
        <v>621</v>
      </c>
      <c r="F34" s="248" t="s">
        <v>605</v>
      </c>
      <c r="G34" s="152" t="s">
        <v>635</v>
      </c>
    </row>
    <row r="35" spans="2:7" x14ac:dyDescent="0.25">
      <c r="B35" s="248" t="s">
        <v>605</v>
      </c>
      <c r="C35" s="152" t="s">
        <v>622</v>
      </c>
      <c r="F35" s="248" t="s">
        <v>605</v>
      </c>
      <c r="G35" s="152" t="s">
        <v>638</v>
      </c>
    </row>
    <row r="36" spans="2:7" x14ac:dyDescent="0.25">
      <c r="B36" s="248" t="s">
        <v>605</v>
      </c>
      <c r="C36" s="152" t="s">
        <v>623</v>
      </c>
      <c r="F36" s="248" t="s">
        <v>605</v>
      </c>
      <c r="G36" s="152" t="s">
        <v>639</v>
      </c>
    </row>
    <row r="37" spans="2:7" x14ac:dyDescent="0.25">
      <c r="B37" s="248" t="s">
        <v>605</v>
      </c>
      <c r="C37" s="152" t="s">
        <v>624</v>
      </c>
      <c r="F37" s="248" t="s">
        <v>605</v>
      </c>
      <c r="G37" s="152" t="s">
        <v>640</v>
      </c>
    </row>
  </sheetData>
  <mergeCells count="4">
    <mergeCell ref="B1:L4"/>
    <mergeCell ref="B6:L8"/>
    <mergeCell ref="B9:L10"/>
    <mergeCell ref="B11:L11"/>
  </mergeCells>
  <phoneticPr fontId="9" type="noConversion"/>
  <pageMargins left="0.7" right="0.7" top="0.75" bottom="0.75" header="0.3" footer="0.3"/>
  <pageSetup scale="53" fitToHeight="0" orientation="portrait" r:id="rId1"/>
  <drawing r:id="rId2"/>
  <legacyDrawing r:id="rId3"/>
  <controls>
    <mc:AlternateContent xmlns:mc="http://schemas.openxmlformats.org/markup-compatibility/2006">
      <mc:Choice Requires="x14">
        <control shapeId="54315" r:id="rId4" name="CheckBox28">
          <controlPr defaultSize="0" autoLine="0" r:id="rId5">
            <anchor moveWithCells="1">
              <from>
                <xdr:col>7</xdr:col>
                <xdr:colOff>714375</xdr:colOff>
                <xdr:row>28</xdr:row>
                <xdr:rowOff>0</xdr:rowOff>
              </from>
              <to>
                <xdr:col>8</xdr:col>
                <xdr:colOff>695325</xdr:colOff>
                <xdr:row>29</xdr:row>
                <xdr:rowOff>85725</xdr:rowOff>
              </to>
            </anchor>
          </controlPr>
        </control>
      </mc:Choice>
      <mc:Fallback>
        <control shapeId="54315" r:id="rId4" name="CheckBox28"/>
      </mc:Fallback>
    </mc:AlternateContent>
    <mc:AlternateContent xmlns:mc="http://schemas.openxmlformats.org/markup-compatibility/2006">
      <mc:Choice Requires="x14">
        <control shapeId="54314" r:id="rId6" name="CheckBox25">
          <controlPr defaultSize="0" autoLine="0" r:id="rId7">
            <anchor moveWithCells="1">
              <from>
                <xdr:col>3</xdr:col>
                <xdr:colOff>485775</xdr:colOff>
                <xdr:row>31</xdr:row>
                <xdr:rowOff>0</xdr:rowOff>
              </from>
              <to>
                <xdr:col>4</xdr:col>
                <xdr:colOff>466725</xdr:colOff>
                <xdr:row>32</xdr:row>
                <xdr:rowOff>85725</xdr:rowOff>
              </to>
            </anchor>
          </controlPr>
        </control>
      </mc:Choice>
      <mc:Fallback>
        <control shapeId="54314" r:id="rId6" name="CheckBox25"/>
      </mc:Fallback>
    </mc:AlternateContent>
    <mc:AlternateContent xmlns:mc="http://schemas.openxmlformats.org/markup-compatibility/2006">
      <mc:Choice Requires="x14">
        <control shapeId="54313" r:id="rId8" name="CheckBox27">
          <controlPr defaultSize="0" autoLine="0" r:id="rId9">
            <anchor moveWithCells="1">
              <from>
                <xdr:col>11</xdr:col>
                <xdr:colOff>190500</xdr:colOff>
                <xdr:row>13</xdr:row>
                <xdr:rowOff>38100</xdr:rowOff>
              </from>
              <to>
                <xdr:col>12</xdr:col>
                <xdr:colOff>171450</xdr:colOff>
                <xdr:row>14</xdr:row>
                <xdr:rowOff>57150</xdr:rowOff>
              </to>
            </anchor>
          </controlPr>
        </control>
      </mc:Choice>
      <mc:Fallback>
        <control shapeId="54313" r:id="rId8" name="CheckBox27"/>
      </mc:Fallback>
    </mc:AlternateContent>
    <mc:AlternateContent xmlns:mc="http://schemas.openxmlformats.org/markup-compatibility/2006">
      <mc:Choice Requires="x14">
        <control shapeId="54312" r:id="rId10" name="CheckBox26">
          <controlPr defaultSize="0" autoLine="0" r:id="rId11">
            <anchor moveWithCells="1">
              <from>
                <xdr:col>8</xdr:col>
                <xdr:colOff>0</xdr:colOff>
                <xdr:row>34</xdr:row>
                <xdr:rowOff>161925</xdr:rowOff>
              </from>
              <to>
                <xdr:col>9</xdr:col>
                <xdr:colOff>66675</xdr:colOff>
                <xdr:row>36</xdr:row>
                <xdr:rowOff>66675</xdr:rowOff>
              </to>
            </anchor>
          </controlPr>
        </control>
      </mc:Choice>
      <mc:Fallback>
        <control shapeId="54312" r:id="rId10" name="CheckBox26"/>
      </mc:Fallback>
    </mc:AlternateContent>
    <mc:AlternateContent xmlns:mc="http://schemas.openxmlformats.org/markup-compatibility/2006">
      <mc:Choice Requires="x14">
        <control shapeId="54311" r:id="rId12" name="CheckBox13">
          <controlPr defaultSize="0" autoLine="0" autoPict="0" r:id="rId13">
            <anchor moveWithCells="1">
              <from>
                <xdr:col>7</xdr:col>
                <xdr:colOff>809625</xdr:colOff>
                <xdr:row>31</xdr:row>
                <xdr:rowOff>133350</xdr:rowOff>
              </from>
              <to>
                <xdr:col>9</xdr:col>
                <xdr:colOff>0</xdr:colOff>
                <xdr:row>33</xdr:row>
                <xdr:rowOff>57150</xdr:rowOff>
              </to>
            </anchor>
          </controlPr>
        </control>
      </mc:Choice>
      <mc:Fallback>
        <control shapeId="54311" r:id="rId12" name="CheckBox13"/>
      </mc:Fallback>
    </mc:AlternateContent>
    <mc:AlternateContent xmlns:mc="http://schemas.openxmlformats.org/markup-compatibility/2006">
      <mc:Choice Requires="x14">
        <control shapeId="54308" r:id="rId14" name="CheckBox24">
          <controlPr defaultSize="0" autoLine="0" r:id="rId15">
            <anchor moveWithCells="1">
              <from>
                <xdr:col>7</xdr:col>
                <xdr:colOff>714375</xdr:colOff>
                <xdr:row>27</xdr:row>
                <xdr:rowOff>28575</xdr:rowOff>
              </from>
              <to>
                <xdr:col>8</xdr:col>
                <xdr:colOff>695325</xdr:colOff>
                <xdr:row>28</xdr:row>
                <xdr:rowOff>38100</xdr:rowOff>
              </to>
            </anchor>
          </controlPr>
        </control>
      </mc:Choice>
      <mc:Fallback>
        <control shapeId="54308" r:id="rId14" name="CheckBox24"/>
      </mc:Fallback>
    </mc:AlternateContent>
    <mc:AlternateContent xmlns:mc="http://schemas.openxmlformats.org/markup-compatibility/2006">
      <mc:Choice Requires="x14">
        <control shapeId="54307" r:id="rId16" name="CheckBox23">
          <controlPr defaultSize="0" autoLine="0" r:id="rId17">
            <anchor moveWithCells="1">
              <from>
                <xdr:col>7</xdr:col>
                <xdr:colOff>714375</xdr:colOff>
                <xdr:row>26</xdr:row>
                <xdr:rowOff>9525</xdr:rowOff>
              </from>
              <to>
                <xdr:col>8</xdr:col>
                <xdr:colOff>695325</xdr:colOff>
                <xdr:row>27</xdr:row>
                <xdr:rowOff>47625</xdr:rowOff>
              </to>
            </anchor>
          </controlPr>
        </control>
      </mc:Choice>
      <mc:Fallback>
        <control shapeId="54307" r:id="rId16" name="CheckBox23"/>
      </mc:Fallback>
    </mc:AlternateContent>
    <mc:AlternateContent xmlns:mc="http://schemas.openxmlformats.org/markup-compatibility/2006">
      <mc:Choice Requires="x14">
        <control shapeId="54306" r:id="rId18" name="CheckBox22">
          <controlPr defaultSize="0" autoLine="0" r:id="rId19">
            <anchor moveWithCells="1">
              <from>
                <xdr:col>7</xdr:col>
                <xdr:colOff>714375</xdr:colOff>
                <xdr:row>25</xdr:row>
                <xdr:rowOff>28575</xdr:rowOff>
              </from>
              <to>
                <xdr:col>8</xdr:col>
                <xdr:colOff>695325</xdr:colOff>
                <xdr:row>26</xdr:row>
                <xdr:rowOff>38100</xdr:rowOff>
              </to>
            </anchor>
          </controlPr>
        </control>
      </mc:Choice>
      <mc:Fallback>
        <control shapeId="54306" r:id="rId18" name="CheckBox22"/>
      </mc:Fallback>
    </mc:AlternateContent>
    <mc:AlternateContent xmlns:mc="http://schemas.openxmlformats.org/markup-compatibility/2006">
      <mc:Choice Requires="x14">
        <control shapeId="54305" r:id="rId20" name="CheckBox21">
          <controlPr defaultSize="0" autoLine="0" r:id="rId21">
            <anchor moveWithCells="1">
              <from>
                <xdr:col>7</xdr:col>
                <xdr:colOff>714375</xdr:colOff>
                <xdr:row>24</xdr:row>
                <xdr:rowOff>28575</xdr:rowOff>
              </from>
              <to>
                <xdr:col>8</xdr:col>
                <xdr:colOff>809625</xdr:colOff>
                <xdr:row>25</xdr:row>
                <xdr:rowOff>142875</xdr:rowOff>
              </to>
            </anchor>
          </controlPr>
        </control>
      </mc:Choice>
      <mc:Fallback>
        <control shapeId="54305" r:id="rId20" name="CheckBox21"/>
      </mc:Fallback>
    </mc:AlternateContent>
    <mc:AlternateContent xmlns:mc="http://schemas.openxmlformats.org/markup-compatibility/2006">
      <mc:Choice Requires="x14">
        <control shapeId="54304" r:id="rId22" name="CheckBox20">
          <controlPr defaultSize="0" autoLine="0" r:id="rId23">
            <anchor moveWithCells="1">
              <from>
                <xdr:col>7</xdr:col>
                <xdr:colOff>714375</xdr:colOff>
                <xdr:row>23</xdr:row>
                <xdr:rowOff>28575</xdr:rowOff>
              </from>
              <to>
                <xdr:col>8</xdr:col>
                <xdr:colOff>752475</xdr:colOff>
                <xdr:row>24</xdr:row>
                <xdr:rowOff>57150</xdr:rowOff>
              </to>
            </anchor>
          </controlPr>
        </control>
      </mc:Choice>
      <mc:Fallback>
        <control shapeId="54304" r:id="rId22" name="CheckBox20"/>
      </mc:Fallback>
    </mc:AlternateContent>
    <mc:AlternateContent xmlns:mc="http://schemas.openxmlformats.org/markup-compatibility/2006">
      <mc:Choice Requires="x14">
        <control shapeId="54303" r:id="rId24" name="CheckBox19">
          <controlPr defaultSize="0" autoLine="0" r:id="rId25">
            <anchor moveWithCells="1">
              <from>
                <xdr:col>7</xdr:col>
                <xdr:colOff>714375</xdr:colOff>
                <xdr:row>22</xdr:row>
                <xdr:rowOff>9525</xdr:rowOff>
              </from>
              <to>
                <xdr:col>8</xdr:col>
                <xdr:colOff>247650</xdr:colOff>
                <xdr:row>22</xdr:row>
                <xdr:rowOff>114300</xdr:rowOff>
              </to>
            </anchor>
          </controlPr>
        </control>
      </mc:Choice>
      <mc:Fallback>
        <control shapeId="54303" r:id="rId24" name="CheckBox19"/>
      </mc:Fallback>
    </mc:AlternateContent>
    <mc:AlternateContent xmlns:mc="http://schemas.openxmlformats.org/markup-compatibility/2006">
      <mc:Choice Requires="x14">
        <control shapeId="54300" r:id="rId26" name="CheckBox18">
          <controlPr defaultSize="0" autoLine="0" r:id="rId19">
            <anchor moveWithCells="1">
              <from>
                <xdr:col>3</xdr:col>
                <xdr:colOff>485775</xdr:colOff>
                <xdr:row>36</xdr:row>
                <xdr:rowOff>28575</xdr:rowOff>
              </from>
              <to>
                <xdr:col>4</xdr:col>
                <xdr:colOff>466725</xdr:colOff>
                <xdr:row>37</xdr:row>
                <xdr:rowOff>38100</xdr:rowOff>
              </to>
            </anchor>
          </controlPr>
        </control>
      </mc:Choice>
      <mc:Fallback>
        <control shapeId="54300" r:id="rId26" name="CheckBox18"/>
      </mc:Fallback>
    </mc:AlternateContent>
    <mc:AlternateContent xmlns:mc="http://schemas.openxmlformats.org/markup-compatibility/2006">
      <mc:Choice Requires="x14">
        <control shapeId="54299" r:id="rId27" name="CheckBox17">
          <controlPr defaultSize="0" autoLine="0" r:id="rId28">
            <anchor moveWithCells="1">
              <from>
                <xdr:col>3</xdr:col>
                <xdr:colOff>485775</xdr:colOff>
                <xdr:row>35</xdr:row>
                <xdr:rowOff>28575</xdr:rowOff>
              </from>
              <to>
                <xdr:col>4</xdr:col>
                <xdr:colOff>466725</xdr:colOff>
                <xdr:row>36</xdr:row>
                <xdr:rowOff>66675</xdr:rowOff>
              </to>
            </anchor>
          </controlPr>
        </control>
      </mc:Choice>
      <mc:Fallback>
        <control shapeId="54299" r:id="rId27" name="CheckBox17"/>
      </mc:Fallback>
    </mc:AlternateContent>
    <mc:AlternateContent xmlns:mc="http://schemas.openxmlformats.org/markup-compatibility/2006">
      <mc:Choice Requires="x14">
        <control shapeId="54298" r:id="rId29" name="CheckBox16">
          <controlPr defaultSize="0" autoLine="0" r:id="rId23">
            <anchor moveWithCells="1">
              <from>
                <xdr:col>3</xdr:col>
                <xdr:colOff>485775</xdr:colOff>
                <xdr:row>34</xdr:row>
                <xdr:rowOff>38100</xdr:rowOff>
              </from>
              <to>
                <xdr:col>4</xdr:col>
                <xdr:colOff>523875</xdr:colOff>
                <xdr:row>35</xdr:row>
                <xdr:rowOff>66675</xdr:rowOff>
              </to>
            </anchor>
          </controlPr>
        </control>
      </mc:Choice>
      <mc:Fallback>
        <control shapeId="54298" r:id="rId29" name="CheckBox16"/>
      </mc:Fallback>
    </mc:AlternateContent>
    <mc:AlternateContent xmlns:mc="http://schemas.openxmlformats.org/markup-compatibility/2006">
      <mc:Choice Requires="x14">
        <control shapeId="54297" r:id="rId30" name="CheckBox15">
          <controlPr defaultSize="0" autoLine="0" r:id="rId31">
            <anchor moveWithCells="1">
              <from>
                <xdr:col>3</xdr:col>
                <xdr:colOff>485775</xdr:colOff>
                <xdr:row>33</xdr:row>
                <xdr:rowOff>28575</xdr:rowOff>
              </from>
              <to>
                <xdr:col>4</xdr:col>
                <xdr:colOff>495300</xdr:colOff>
                <xdr:row>34</xdr:row>
                <xdr:rowOff>85725</xdr:rowOff>
              </to>
            </anchor>
          </controlPr>
        </control>
      </mc:Choice>
      <mc:Fallback>
        <control shapeId="54297" r:id="rId30" name="CheckBox15"/>
      </mc:Fallback>
    </mc:AlternateContent>
    <mc:AlternateContent xmlns:mc="http://schemas.openxmlformats.org/markup-compatibility/2006">
      <mc:Choice Requires="x14">
        <control shapeId="54296" r:id="rId32" name="CheckBox14">
          <controlPr defaultSize="0" autoLine="0" r:id="rId19">
            <anchor moveWithCells="1">
              <from>
                <xdr:col>3</xdr:col>
                <xdr:colOff>485775</xdr:colOff>
                <xdr:row>32</xdr:row>
                <xdr:rowOff>28575</xdr:rowOff>
              </from>
              <to>
                <xdr:col>4</xdr:col>
                <xdr:colOff>466725</xdr:colOff>
                <xdr:row>33</xdr:row>
                <xdr:rowOff>38100</xdr:rowOff>
              </to>
            </anchor>
          </controlPr>
        </control>
      </mc:Choice>
      <mc:Fallback>
        <control shapeId="54296" r:id="rId32" name="CheckBox14"/>
      </mc:Fallback>
    </mc:AlternateContent>
    <mc:AlternateContent xmlns:mc="http://schemas.openxmlformats.org/markup-compatibility/2006">
      <mc:Choice Requires="x14">
        <control shapeId="54294" r:id="rId33" name="CheckBox12">
          <controlPr defaultSize="0" autoLine="0" r:id="rId19">
            <anchor moveWithCells="1">
              <from>
                <xdr:col>3</xdr:col>
                <xdr:colOff>276225</xdr:colOff>
                <xdr:row>30</xdr:row>
                <xdr:rowOff>28575</xdr:rowOff>
              </from>
              <to>
                <xdr:col>4</xdr:col>
                <xdr:colOff>257175</xdr:colOff>
                <xdr:row>31</xdr:row>
                <xdr:rowOff>38100</xdr:rowOff>
              </to>
            </anchor>
          </controlPr>
        </control>
      </mc:Choice>
      <mc:Fallback>
        <control shapeId="54294" r:id="rId33" name="CheckBox12"/>
      </mc:Fallback>
    </mc:AlternateContent>
    <mc:AlternateContent xmlns:mc="http://schemas.openxmlformats.org/markup-compatibility/2006">
      <mc:Choice Requires="x14">
        <control shapeId="54293" r:id="rId34" name="CheckBox11">
          <controlPr defaultSize="0" autoLine="0" r:id="rId28">
            <anchor moveWithCells="1">
              <from>
                <xdr:col>3</xdr:col>
                <xdr:colOff>276225</xdr:colOff>
                <xdr:row>29</xdr:row>
                <xdr:rowOff>9525</xdr:rowOff>
              </from>
              <to>
                <xdr:col>4</xdr:col>
                <xdr:colOff>257175</xdr:colOff>
                <xdr:row>30</xdr:row>
                <xdr:rowOff>47625</xdr:rowOff>
              </to>
            </anchor>
          </controlPr>
        </control>
      </mc:Choice>
      <mc:Fallback>
        <control shapeId="54293" r:id="rId34" name="CheckBox11"/>
      </mc:Fallback>
    </mc:AlternateContent>
    <mc:AlternateContent xmlns:mc="http://schemas.openxmlformats.org/markup-compatibility/2006">
      <mc:Choice Requires="x14">
        <control shapeId="54292" r:id="rId35" name="CheckBox10">
          <controlPr defaultSize="0" autoLine="0" r:id="rId19">
            <anchor moveWithCells="1">
              <from>
                <xdr:col>3</xdr:col>
                <xdr:colOff>276225</xdr:colOff>
                <xdr:row>28</xdr:row>
                <xdr:rowOff>9525</xdr:rowOff>
              </from>
              <to>
                <xdr:col>4</xdr:col>
                <xdr:colOff>257175</xdr:colOff>
                <xdr:row>29</xdr:row>
                <xdr:rowOff>19050</xdr:rowOff>
              </to>
            </anchor>
          </controlPr>
        </control>
      </mc:Choice>
      <mc:Fallback>
        <control shapeId="54292" r:id="rId35" name="CheckBox10"/>
      </mc:Fallback>
    </mc:AlternateContent>
    <mc:AlternateContent xmlns:mc="http://schemas.openxmlformats.org/markup-compatibility/2006">
      <mc:Choice Requires="x14">
        <control shapeId="54291" r:id="rId36" name="CheckBox9">
          <controlPr defaultSize="0" autoLine="0" r:id="rId28">
            <anchor moveWithCells="1">
              <from>
                <xdr:col>3</xdr:col>
                <xdr:colOff>276225</xdr:colOff>
                <xdr:row>27</xdr:row>
                <xdr:rowOff>0</xdr:rowOff>
              </from>
              <to>
                <xdr:col>4</xdr:col>
                <xdr:colOff>257175</xdr:colOff>
                <xdr:row>28</xdr:row>
                <xdr:rowOff>38100</xdr:rowOff>
              </to>
            </anchor>
          </controlPr>
        </control>
      </mc:Choice>
      <mc:Fallback>
        <control shapeId="54291" r:id="rId36" name="CheckBox9"/>
      </mc:Fallback>
    </mc:AlternateContent>
    <mc:AlternateContent xmlns:mc="http://schemas.openxmlformats.org/markup-compatibility/2006">
      <mc:Choice Requires="x14">
        <control shapeId="54288" r:id="rId37" name="CheckBox8">
          <controlPr defaultSize="0" autoLine="0" r:id="rId19">
            <anchor moveWithCells="1">
              <from>
                <xdr:col>3</xdr:col>
                <xdr:colOff>276225</xdr:colOff>
                <xdr:row>26</xdr:row>
                <xdr:rowOff>28575</xdr:rowOff>
              </from>
              <to>
                <xdr:col>4</xdr:col>
                <xdr:colOff>257175</xdr:colOff>
                <xdr:row>27</xdr:row>
                <xdr:rowOff>38100</xdr:rowOff>
              </to>
            </anchor>
          </controlPr>
        </control>
      </mc:Choice>
      <mc:Fallback>
        <control shapeId="54288" r:id="rId37" name="CheckBox8"/>
      </mc:Fallback>
    </mc:AlternateContent>
    <mc:AlternateContent xmlns:mc="http://schemas.openxmlformats.org/markup-compatibility/2006">
      <mc:Choice Requires="x14">
        <control shapeId="54287" r:id="rId38" name="CheckBox7">
          <controlPr defaultSize="0" autoLine="0" r:id="rId28">
            <anchor moveWithCells="1">
              <from>
                <xdr:col>3</xdr:col>
                <xdr:colOff>276225</xdr:colOff>
                <xdr:row>25</xdr:row>
                <xdr:rowOff>9525</xdr:rowOff>
              </from>
              <to>
                <xdr:col>4</xdr:col>
                <xdr:colOff>257175</xdr:colOff>
                <xdr:row>26</xdr:row>
                <xdr:rowOff>47625</xdr:rowOff>
              </to>
            </anchor>
          </controlPr>
        </control>
      </mc:Choice>
      <mc:Fallback>
        <control shapeId="54287" r:id="rId38" name="CheckBox7"/>
      </mc:Fallback>
    </mc:AlternateContent>
    <mc:AlternateContent xmlns:mc="http://schemas.openxmlformats.org/markup-compatibility/2006">
      <mc:Choice Requires="x14">
        <control shapeId="54284" r:id="rId39" name="CheckBox6">
          <controlPr defaultSize="0" autoLine="0" r:id="rId23">
            <anchor moveWithCells="1">
              <from>
                <xdr:col>3</xdr:col>
                <xdr:colOff>276225</xdr:colOff>
                <xdr:row>24</xdr:row>
                <xdr:rowOff>9525</xdr:rowOff>
              </from>
              <to>
                <xdr:col>4</xdr:col>
                <xdr:colOff>314325</xdr:colOff>
                <xdr:row>25</xdr:row>
                <xdr:rowOff>38100</xdr:rowOff>
              </to>
            </anchor>
          </controlPr>
        </control>
      </mc:Choice>
      <mc:Fallback>
        <control shapeId="54284" r:id="rId39" name="CheckBox6"/>
      </mc:Fallback>
    </mc:AlternateContent>
    <mc:AlternateContent xmlns:mc="http://schemas.openxmlformats.org/markup-compatibility/2006">
      <mc:Choice Requires="x14">
        <control shapeId="54283" r:id="rId40" name="CheckBox5">
          <controlPr defaultSize="0" autoLine="0" r:id="rId21">
            <anchor moveWithCells="1">
              <from>
                <xdr:col>3</xdr:col>
                <xdr:colOff>276225</xdr:colOff>
                <xdr:row>23</xdr:row>
                <xdr:rowOff>0</xdr:rowOff>
              </from>
              <to>
                <xdr:col>4</xdr:col>
                <xdr:colOff>371475</xdr:colOff>
                <xdr:row>24</xdr:row>
                <xdr:rowOff>114300</xdr:rowOff>
              </to>
            </anchor>
          </controlPr>
        </control>
      </mc:Choice>
      <mc:Fallback>
        <control shapeId="54283" r:id="rId40" name="CheckBox5"/>
      </mc:Fallback>
    </mc:AlternateContent>
    <mc:AlternateContent xmlns:mc="http://schemas.openxmlformats.org/markup-compatibility/2006">
      <mc:Choice Requires="x14">
        <control shapeId="54282" r:id="rId41" name="CheckBox4">
          <controlPr defaultSize="0" autoLine="0" r:id="rId42">
            <anchor moveWithCells="1">
              <from>
                <xdr:col>4</xdr:col>
                <xdr:colOff>9525</xdr:colOff>
                <xdr:row>19</xdr:row>
                <xdr:rowOff>152400</xdr:rowOff>
              </from>
              <to>
                <xdr:col>4</xdr:col>
                <xdr:colOff>57150</xdr:colOff>
                <xdr:row>19</xdr:row>
                <xdr:rowOff>171450</xdr:rowOff>
              </to>
            </anchor>
          </controlPr>
        </control>
      </mc:Choice>
      <mc:Fallback>
        <control shapeId="54282" r:id="rId41" name="CheckBox4"/>
      </mc:Fallback>
    </mc:AlternateContent>
    <mc:AlternateContent xmlns:mc="http://schemas.openxmlformats.org/markup-compatibility/2006">
      <mc:Choice Requires="x14">
        <control shapeId="54281" r:id="rId43" name="CheckBox3">
          <controlPr defaultSize="0" autoLine="0" r:id="rId9">
            <anchor moveWithCells="1">
              <from>
                <xdr:col>4</xdr:col>
                <xdr:colOff>9525</xdr:colOff>
                <xdr:row>18</xdr:row>
                <xdr:rowOff>142875</xdr:rowOff>
              </from>
              <to>
                <xdr:col>4</xdr:col>
                <xdr:colOff>828675</xdr:colOff>
                <xdr:row>20</xdr:row>
                <xdr:rowOff>38100</xdr:rowOff>
              </to>
            </anchor>
          </controlPr>
        </control>
      </mc:Choice>
      <mc:Fallback>
        <control shapeId="54281" r:id="rId43" name="CheckBox3"/>
      </mc:Fallback>
    </mc:AlternateContent>
    <mc:AlternateContent xmlns:mc="http://schemas.openxmlformats.org/markup-compatibility/2006">
      <mc:Choice Requires="x14">
        <control shapeId="54279" r:id="rId44" name="CheckBox2">
          <controlPr defaultSize="0" autoLine="0" r:id="rId45">
            <anchor moveWithCells="1">
              <from>
                <xdr:col>4</xdr:col>
                <xdr:colOff>0</xdr:colOff>
                <xdr:row>15</xdr:row>
                <xdr:rowOff>152400</xdr:rowOff>
              </from>
              <to>
                <xdr:col>4</xdr:col>
                <xdr:colOff>371475</xdr:colOff>
                <xdr:row>16</xdr:row>
                <xdr:rowOff>19050</xdr:rowOff>
              </to>
            </anchor>
          </controlPr>
        </control>
      </mc:Choice>
      <mc:Fallback>
        <control shapeId="54279" r:id="rId44" name="CheckBox2"/>
      </mc:Fallback>
    </mc:AlternateContent>
    <mc:AlternateContent xmlns:mc="http://schemas.openxmlformats.org/markup-compatibility/2006">
      <mc:Choice Requires="x14">
        <control shapeId="54278" r:id="rId46" name="CheckBox1">
          <controlPr defaultSize="0" autoLine="0" r:id="rId9">
            <anchor moveWithCells="1">
              <from>
                <xdr:col>4</xdr:col>
                <xdr:colOff>0</xdr:colOff>
                <xdr:row>14</xdr:row>
                <xdr:rowOff>142875</xdr:rowOff>
              </from>
              <to>
                <xdr:col>4</xdr:col>
                <xdr:colOff>819150</xdr:colOff>
                <xdr:row>15</xdr:row>
                <xdr:rowOff>123825</xdr:rowOff>
              </to>
            </anchor>
          </controlPr>
        </control>
      </mc:Choice>
      <mc:Fallback>
        <control shapeId="54278" r:id="rId46" name="CheckBox1"/>
      </mc:Fallback>
    </mc:AlternateContent>
    <mc:AlternateContent xmlns:mc="http://schemas.openxmlformats.org/markup-compatibility/2006">
      <mc:Choice Requires="x14">
        <control shapeId="54277" r:id="rId47" name="MH1">
          <controlPr defaultSize="0" autoLine="0" autoPict="0" r:id="rId48">
            <anchor moveWithCells="1">
              <from>
                <xdr:col>3</xdr:col>
                <xdr:colOff>190500</xdr:colOff>
                <xdr:row>11</xdr:row>
                <xdr:rowOff>190500</xdr:rowOff>
              </from>
              <to>
                <xdr:col>4</xdr:col>
                <xdr:colOff>466725</xdr:colOff>
                <xdr:row>13</xdr:row>
                <xdr:rowOff>28575</xdr:rowOff>
              </to>
            </anchor>
          </controlPr>
        </control>
      </mc:Choice>
      <mc:Fallback>
        <control shapeId="54277" r:id="rId47" name="MH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rgb="FF9933FF"/>
  </sheetPr>
  <dimension ref="B2:L54"/>
  <sheetViews>
    <sheetView showGridLines="0" zoomScaleNormal="100" workbookViewId="0">
      <selection activeCell="C10" sqref="C10"/>
    </sheetView>
  </sheetViews>
  <sheetFormatPr baseColWidth="10" defaultColWidth="10.625" defaultRowHeight="11.25" x14ac:dyDescent="0.25"/>
  <cols>
    <col min="1" max="1" width="10.625" style="1202"/>
    <col min="2" max="2" width="70.75" style="1202" customWidth="1"/>
    <col min="3" max="3" width="22.125" style="1202" customWidth="1"/>
    <col min="4" max="4" width="14" style="1202" customWidth="1"/>
    <col min="5" max="12" width="12.375" style="1202" customWidth="1"/>
    <col min="13" max="16384" width="10.625" style="1202"/>
  </cols>
  <sheetData>
    <row r="2" spans="2:8" ht="12" thickBot="1" x14ac:dyDescent="0.3"/>
    <row r="3" spans="2:8" ht="18" customHeight="1" thickBot="1" x14ac:dyDescent="0.3">
      <c r="B3" s="1180" t="s">
        <v>231</v>
      </c>
      <c r="C3" s="1180" t="s">
        <v>232</v>
      </c>
    </row>
    <row r="4" spans="2:8" ht="18" customHeight="1" x14ac:dyDescent="0.25">
      <c r="B4" s="1203" t="s">
        <v>972</v>
      </c>
      <c r="C4" s="1204">
        <f>+INDICES!$M$21/(INDICES!$X$15*(1+$C$9))</f>
        <v>0.52984239895510898</v>
      </c>
    </row>
    <row r="5" spans="2:8" ht="18" customHeight="1" x14ac:dyDescent="0.25">
      <c r="B5" s="1205" t="s">
        <v>233</v>
      </c>
      <c r="C5" s="1206">
        <v>0.35</v>
      </c>
    </row>
    <row r="6" spans="2:8" ht="18" customHeight="1" x14ac:dyDescent="0.25">
      <c r="B6" s="1205" t="s">
        <v>234</v>
      </c>
      <c r="C6" s="1206">
        <v>1</v>
      </c>
    </row>
    <row r="7" spans="2:8" ht="18" customHeight="1" x14ac:dyDescent="0.25">
      <c r="B7" s="1205" t="s">
        <v>317</v>
      </c>
      <c r="C7" s="1209">
        <v>2.6100000000000002E-2</v>
      </c>
      <c r="E7" s="1207"/>
    </row>
    <row r="8" spans="2:8" ht="18" customHeight="1" x14ac:dyDescent="0.25">
      <c r="B8" s="1205" t="s">
        <v>536</v>
      </c>
      <c r="C8" s="1209">
        <f>+$F$8</f>
        <v>0.16276703160799988</v>
      </c>
      <c r="E8" s="1716">
        <v>0.12280000000000001</v>
      </c>
      <c r="F8" s="1716">
        <f>(1+E8)*(1+$C$9)-1</f>
        <v>0.16276703160799988</v>
      </c>
    </row>
    <row r="9" spans="2:8" ht="18" customHeight="1" x14ac:dyDescent="0.25">
      <c r="B9" s="1205" t="s">
        <v>318</v>
      </c>
      <c r="C9" s="1209">
        <f>BANREPÚBLICA!$V$35</f>
        <v>3.559586E-2</v>
      </c>
      <c r="E9" s="1208">
        <v>0.09</v>
      </c>
      <c r="F9" s="1716">
        <f>(1+E9)*(1+$C$9)-1</f>
        <v>0.12879948740000002</v>
      </c>
    </row>
    <row r="10" spans="2:8" ht="18" customHeight="1" thickBot="1" x14ac:dyDescent="0.3">
      <c r="B10" s="1205" t="s">
        <v>970</v>
      </c>
      <c r="C10" s="1209">
        <f>BANREPÚBLICA!$V$35</f>
        <v>3.559586E-2</v>
      </c>
    </row>
    <row r="11" spans="2:8" ht="18.2" customHeight="1" thickBot="1" x14ac:dyDescent="0.3">
      <c r="B11" s="1205" t="s">
        <v>235</v>
      </c>
      <c r="C11" s="1206">
        <f>AVERAGE(INDICES!$N$33:$N$37)</f>
        <v>5.6799799999999998E-2</v>
      </c>
      <c r="F11" s="1181" t="s">
        <v>971</v>
      </c>
      <c r="G11" s="1181" t="s">
        <v>1275</v>
      </c>
      <c r="H11" s="1182"/>
    </row>
    <row r="12" spans="2:8" ht="18" customHeight="1" x14ac:dyDescent="0.25">
      <c r="B12" s="1205" t="s">
        <v>1070</v>
      </c>
      <c r="C12" s="1210">
        <f>G12*(1+$C$9)</f>
        <v>44.838664438044702</v>
      </c>
      <c r="F12" s="1183" t="s">
        <v>729</v>
      </c>
      <c r="G12" s="1184">
        <f>'CMO PPERDIDAS'!E38</f>
        <v>43.297454315860925</v>
      </c>
      <c r="H12" s="1185"/>
    </row>
    <row r="13" spans="2:8" ht="18" customHeight="1" x14ac:dyDescent="0.25">
      <c r="B13" s="1205" t="s">
        <v>1069</v>
      </c>
      <c r="C13" s="1210">
        <f>+G15*(1+$C$9)</f>
        <v>240.70071704065188</v>
      </c>
      <c r="F13" s="1186" t="s">
        <v>730</v>
      </c>
      <c r="G13" s="1187">
        <f>+'CMO PPERDIDAS'!E30</f>
        <v>226.0396141853825</v>
      </c>
      <c r="H13" s="1185"/>
    </row>
    <row r="14" spans="2:8" ht="18" customHeight="1" thickBot="1" x14ac:dyDescent="0.3">
      <c r="B14" s="1205" t="s">
        <v>1195</v>
      </c>
      <c r="C14" s="1210">
        <f>SUM(C12:C13)</f>
        <v>285.53938147869655</v>
      </c>
      <c r="F14" s="1188" t="s">
        <v>731</v>
      </c>
      <c r="G14" s="1187">
        <f>+'CMO PPERDIDAS'!E34</f>
        <v>6.3876543444973795</v>
      </c>
      <c r="H14" s="1185"/>
    </row>
    <row r="15" spans="2:8" ht="18" customHeight="1" thickBot="1" x14ac:dyDescent="0.3">
      <c r="B15" s="1205" t="s">
        <v>1065</v>
      </c>
      <c r="C15" s="1211">
        <v>12027.92</v>
      </c>
      <c r="F15" s="1189" t="s">
        <v>732</v>
      </c>
      <c r="G15" s="1190">
        <f>SUM(G13:G14)</f>
        <v>232.42726852987988</v>
      </c>
      <c r="H15" s="1191"/>
    </row>
    <row r="16" spans="2:8" ht="18" customHeight="1" x14ac:dyDescent="0.25">
      <c r="B16" s="1205" t="s">
        <v>1066</v>
      </c>
      <c r="C16" s="1211">
        <v>3572.41</v>
      </c>
      <c r="H16" s="1212"/>
    </row>
    <row r="17" spans="2:12" ht="18" customHeight="1" x14ac:dyDescent="0.25">
      <c r="B17" s="1205" t="s">
        <v>1067</v>
      </c>
      <c r="C17" s="1211">
        <v>0</v>
      </c>
    </row>
    <row r="18" spans="2:12" ht="18" customHeight="1" thickBot="1" x14ac:dyDescent="0.3">
      <c r="B18" s="1213" t="s">
        <v>1068</v>
      </c>
      <c r="C18" s="1214">
        <v>0</v>
      </c>
    </row>
    <row r="19" spans="2:12" ht="12" thickBot="1" x14ac:dyDescent="0.3"/>
    <row r="20" spans="2:12" ht="23.25" thickBot="1" x14ac:dyDescent="0.3">
      <c r="B20" s="1180" t="s">
        <v>231</v>
      </c>
      <c r="C20" s="1180" t="s">
        <v>1274</v>
      </c>
    </row>
    <row r="21" spans="2:12" ht="14.25" x14ac:dyDescent="0.25">
      <c r="B21" s="1192" t="s">
        <v>1077</v>
      </c>
      <c r="C21" s="1215">
        <v>10697.000000000004</v>
      </c>
    </row>
    <row r="22" spans="2:12" x14ac:dyDescent="0.25">
      <c r="B22" s="1193" t="s">
        <v>320</v>
      </c>
      <c r="C22" s="1215">
        <v>10671551722.709999</v>
      </c>
    </row>
    <row r="23" spans="2:12" x14ac:dyDescent="0.25">
      <c r="B23" s="1193" t="s">
        <v>321</v>
      </c>
      <c r="C23" s="1215">
        <v>300398768.88999999</v>
      </c>
    </row>
    <row r="24" spans="2:12" x14ac:dyDescent="0.25">
      <c r="B24" s="1193" t="s">
        <v>322</v>
      </c>
      <c r="C24" s="1215">
        <v>2044312415.7984002</v>
      </c>
    </row>
    <row r="25" spans="2:12" ht="14.25" x14ac:dyDescent="0.25">
      <c r="B25" s="1193" t="s">
        <v>1078</v>
      </c>
      <c r="C25" s="1215">
        <v>1298914110.1079445</v>
      </c>
    </row>
    <row r="26" spans="2:12" x14ac:dyDescent="0.25">
      <c r="B26" s="1216" t="s">
        <v>727</v>
      </c>
      <c r="C26" s="1217">
        <v>300041</v>
      </c>
    </row>
    <row r="27" spans="2:12" ht="12" thickBot="1" x14ac:dyDescent="0.3">
      <c r="B27" s="1218" t="s">
        <v>324</v>
      </c>
      <c r="C27" s="1219">
        <f>G30</f>
        <v>63980742.840000004</v>
      </c>
    </row>
    <row r="28" spans="2:12" ht="12" thickBot="1" x14ac:dyDescent="0.3"/>
    <row r="29" spans="2:12" ht="12" thickBot="1" x14ac:dyDescent="0.3">
      <c r="B29" s="1194" t="s">
        <v>231</v>
      </c>
      <c r="C29" s="1195" t="s">
        <v>329</v>
      </c>
      <c r="D29" s="1196" t="s">
        <v>330</v>
      </c>
      <c r="E29" s="1197" t="s">
        <v>331</v>
      </c>
      <c r="F29" s="1197" t="s">
        <v>332</v>
      </c>
      <c r="G29" s="1197" t="s">
        <v>333</v>
      </c>
      <c r="H29" s="1197" t="s">
        <v>334</v>
      </c>
      <c r="I29" s="1197" t="s">
        <v>335</v>
      </c>
      <c r="J29" s="1197" t="s">
        <v>336</v>
      </c>
      <c r="K29" s="1197" t="s">
        <v>337</v>
      </c>
      <c r="L29" s="1198" t="s">
        <v>338</v>
      </c>
    </row>
    <row r="30" spans="2:12" ht="12" thickBot="1" x14ac:dyDescent="0.3">
      <c r="B30" s="1199" t="s">
        <v>728</v>
      </c>
      <c r="C30" s="1238">
        <v>53998308</v>
      </c>
      <c r="D30" s="1239">
        <v>56894335.679999992</v>
      </c>
      <c r="E30" s="1239">
        <v>59253219.840000004</v>
      </c>
      <c r="F30" s="1240">
        <v>61613804.039999999</v>
      </c>
      <c r="G30" s="1239">
        <v>63980742.840000004</v>
      </c>
      <c r="H30" s="1240">
        <v>66048339.600000009</v>
      </c>
      <c r="I30" s="1239">
        <v>67860109.199999988</v>
      </c>
      <c r="J30" s="1240">
        <v>69763098.239999995</v>
      </c>
      <c r="K30" s="1239">
        <v>71680074.24000001</v>
      </c>
      <c r="L30" s="1241">
        <v>73651119.359999999</v>
      </c>
    </row>
    <row r="32" spans="2:12" ht="12" thickBot="1" x14ac:dyDescent="0.3"/>
    <row r="33" spans="2:5" ht="12" thickBot="1" x14ac:dyDescent="0.3">
      <c r="B33" s="1199" t="s">
        <v>999</v>
      </c>
      <c r="C33" s="1200">
        <f>+C53</f>
        <v>5.1672586649968544E-2</v>
      </c>
    </row>
    <row r="35" spans="2:5" ht="12" thickBot="1" x14ac:dyDescent="0.3"/>
    <row r="36" spans="2:5" ht="12" thickBot="1" x14ac:dyDescent="0.3">
      <c r="B36" s="1201" t="s">
        <v>1000</v>
      </c>
      <c r="C36" s="1201" t="s">
        <v>1001</v>
      </c>
      <c r="D36" s="1201" t="s">
        <v>1002</v>
      </c>
      <c r="E36" s="1201" t="s">
        <v>1003</v>
      </c>
    </row>
    <row r="37" spans="2:5" x14ac:dyDescent="0.25">
      <c r="B37" s="1220">
        <v>2014</v>
      </c>
      <c r="C37" s="1221"/>
      <c r="D37" s="1222">
        <v>4.4999999999999998E-2</v>
      </c>
      <c r="E37" s="1223"/>
    </row>
    <row r="38" spans="2:5" x14ac:dyDescent="0.25">
      <c r="B38" s="1224">
        <v>2015</v>
      </c>
      <c r="C38" s="1225">
        <v>6.7660967624590729E-2</v>
      </c>
      <c r="D38" s="1225">
        <v>3.1E-2</v>
      </c>
      <c r="E38" s="1226">
        <f>+D38-D37</f>
        <v>-1.3999999999999999E-2</v>
      </c>
    </row>
    <row r="39" spans="2:5" x14ac:dyDescent="0.25">
      <c r="B39" s="1224">
        <f>+B38+1</f>
        <v>2016</v>
      </c>
      <c r="C39" s="1225">
        <v>5.7467348097671733E-2</v>
      </c>
      <c r="D39" s="1225">
        <v>2.1000000000000001E-2</v>
      </c>
      <c r="E39" s="1226">
        <f>+D39-D38</f>
        <v>-9.9999999999999985E-3</v>
      </c>
    </row>
    <row r="40" spans="2:5" x14ac:dyDescent="0.25">
      <c r="B40" s="1224">
        <f>+B39+1</f>
        <v>2017</v>
      </c>
      <c r="C40" s="1225">
        <v>4.0919342712920193E-2</v>
      </c>
      <c r="D40" s="1225">
        <v>1.7999999999999999E-2</v>
      </c>
      <c r="E40" s="1226">
        <f>+D40-D39</f>
        <v>-3.0000000000000027E-3</v>
      </c>
    </row>
    <row r="41" spans="2:5" x14ac:dyDescent="0.25">
      <c r="B41" s="1224">
        <f>+B40+1</f>
        <v>2018</v>
      </c>
      <c r="C41" s="1225">
        <v>3.1778786628146927E-2</v>
      </c>
      <c r="D41" s="1225">
        <v>2.5000000000000001E-2</v>
      </c>
      <c r="E41" s="1226">
        <f>+D41-D40</f>
        <v>7.0000000000000027E-3</v>
      </c>
    </row>
    <row r="42" spans="2:5" x14ac:dyDescent="0.25">
      <c r="B42" s="1224">
        <f t="shared" ref="B42:B48" si="0">+B41+1</f>
        <v>2019</v>
      </c>
      <c r="C42" s="1225">
        <v>3.8000000000000034E-2</v>
      </c>
      <c r="D42" s="1225">
        <v>3.3000000000000002E-2</v>
      </c>
      <c r="E42" s="1226">
        <f t="shared" ref="E42:E47" si="1">+D42-D41</f>
        <v>8.0000000000000002E-3</v>
      </c>
    </row>
    <row r="43" spans="2:5" x14ac:dyDescent="0.25">
      <c r="B43" s="1224">
        <f t="shared" si="0"/>
        <v>2020</v>
      </c>
      <c r="C43" s="1225">
        <v>1.6184971098265999E-2</v>
      </c>
      <c r="D43" s="1225">
        <v>-6.8000000000000005E-2</v>
      </c>
      <c r="E43" s="1226">
        <f t="shared" si="1"/>
        <v>-0.10100000000000001</v>
      </c>
    </row>
    <row r="44" spans="2:5" x14ac:dyDescent="0.25">
      <c r="B44" s="1224">
        <f t="shared" si="0"/>
        <v>2021</v>
      </c>
      <c r="C44" s="1225">
        <v>5.6219188471748227E-2</v>
      </c>
      <c r="D44" s="1225">
        <v>0.106</v>
      </c>
      <c r="E44" s="1226">
        <f t="shared" si="1"/>
        <v>0.17399999999999999</v>
      </c>
    </row>
    <row r="45" spans="2:5" x14ac:dyDescent="0.25">
      <c r="B45" s="1224">
        <f t="shared" si="0"/>
        <v>2022</v>
      </c>
      <c r="C45" s="1225">
        <v>0.13122699937169013</v>
      </c>
      <c r="D45" s="1225">
        <v>7.4999999999999997E-2</v>
      </c>
      <c r="E45" s="1226">
        <f>+D45-D44</f>
        <v>-3.1E-2</v>
      </c>
    </row>
    <row r="46" spans="2:5" x14ac:dyDescent="0.25">
      <c r="B46" s="1224">
        <f t="shared" si="0"/>
        <v>2023</v>
      </c>
      <c r="C46" s="1225">
        <v>9.2755693088947044E-2</v>
      </c>
      <c r="D46" s="1225">
        <v>6.0000000000000001E-3</v>
      </c>
      <c r="E46" s="1226">
        <f>+D46-D45</f>
        <v>-6.8999999999999992E-2</v>
      </c>
    </row>
    <row r="47" spans="2:5" x14ac:dyDescent="0.25">
      <c r="B47" s="1224">
        <f t="shared" si="0"/>
        <v>2024</v>
      </c>
      <c r="C47" s="1225">
        <v>5.1989544002323473E-2</v>
      </c>
      <c r="D47" s="1225">
        <v>1.7000000000000001E-2</v>
      </c>
      <c r="E47" s="1226">
        <f t="shared" si="1"/>
        <v>1.1000000000000001E-2</v>
      </c>
    </row>
    <row r="48" spans="2:5" ht="12" thickBot="1" x14ac:dyDescent="0.3">
      <c r="B48" s="1227">
        <f t="shared" si="0"/>
        <v>2025</v>
      </c>
      <c r="C48" s="1228">
        <v>5.1007730535615803E-2</v>
      </c>
      <c r="D48" s="1228">
        <v>2.5999999999999999E-2</v>
      </c>
      <c r="E48" s="1229">
        <f>+D48-D47</f>
        <v>8.9999999999999976E-3</v>
      </c>
    </row>
    <row r="49" spans="2:5" ht="12" thickBot="1" x14ac:dyDescent="0.3">
      <c r="B49" s="1230"/>
      <c r="C49" s="1231"/>
      <c r="D49" s="1231"/>
      <c r="E49" s="1231"/>
    </row>
    <row r="50" spans="2:5" x14ac:dyDescent="0.25">
      <c r="B50" s="1220" t="s">
        <v>1071</v>
      </c>
      <c r="C50" s="1232">
        <f>AVERAGE(C38:C48)</f>
        <v>5.7746415602901842E-2</v>
      </c>
      <c r="D50" s="1232">
        <f>AVERAGE(D38:D48)</f>
        <v>2.6363636363636367E-2</v>
      </c>
      <c r="E50" s="1233">
        <f>AVERAGE(E38:E48)</f>
        <v>-1.7272727272727279E-3</v>
      </c>
    </row>
    <row r="51" spans="2:5" ht="12" thickBot="1" x14ac:dyDescent="0.3">
      <c r="B51" s="1227" t="s">
        <v>1072</v>
      </c>
      <c r="C51" s="1234">
        <f>AVERAGE(C38:C42,C45:C48)</f>
        <v>6.2534045784656225E-2</v>
      </c>
      <c r="D51" s="1234">
        <f>AVERAGE(D38:D42,D45:D48)</f>
        <v>2.8000000000000008E-2</v>
      </c>
      <c r="E51" s="1235">
        <f>AVERAGE(E38:E42,E45:E48)</f>
        <v>-1.0222222222222223E-2</v>
      </c>
    </row>
    <row r="53" spans="2:5" x14ac:dyDescent="0.25">
      <c r="B53" s="1236" t="s">
        <v>1073</v>
      </c>
      <c r="C53" s="1237">
        <f>(1+C51)*(1+E51)-1</f>
        <v>5.1672586649968544E-2</v>
      </c>
    </row>
    <row r="54" spans="2:5" x14ac:dyDescent="0.25">
      <c r="B54" s="1236" t="s">
        <v>1074</v>
      </c>
      <c r="C54" s="1237">
        <f>(1+C50)*(1+E50)-1</f>
        <v>5.591939906686072E-2</v>
      </c>
      <c r="D54" s="1207"/>
    </row>
  </sheetData>
  <dataValidations count="1">
    <dataValidation type="list" allowBlank="1" showInputMessage="1" showErrorMessage="1" sqref="C7" xr:uid="{00000000-0002-0000-0100-000000000000}">
      <formula1>"2.61%,2.43%"</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4"/>
  </sheetPr>
  <dimension ref="A1:AD859"/>
  <sheetViews>
    <sheetView showGridLines="0" zoomScale="85" zoomScaleNormal="85" zoomScaleSheetLayoutView="100" workbookViewId="0">
      <selection activeCell="V647" sqref="V647"/>
    </sheetView>
  </sheetViews>
  <sheetFormatPr baseColWidth="10" defaultColWidth="11.375" defaultRowHeight="14.25" outlineLevelRow="1" outlineLevelCol="1" x14ac:dyDescent="0.2"/>
  <cols>
    <col min="1" max="1" width="5.5" style="297" bestFit="1" customWidth="1"/>
    <col min="2" max="2" width="98.125" style="297" customWidth="1"/>
    <col min="3" max="3" width="24.375" style="297" customWidth="1"/>
    <col min="4" max="4" width="26" style="297" customWidth="1"/>
    <col min="5" max="5" width="29" style="297" customWidth="1" outlineLevel="1"/>
    <col min="6" max="6" width="29.375" style="297" customWidth="1" outlineLevel="1"/>
    <col min="7" max="7" width="24.375" style="297" customWidth="1" outlineLevel="1"/>
    <col min="8" max="8" width="23.375" style="297" customWidth="1" outlineLevel="1"/>
    <col min="9" max="9" width="18.375" style="297" customWidth="1"/>
    <col min="10" max="10" width="19.375" style="297" customWidth="1"/>
    <col min="11" max="11" width="26.375" style="297" customWidth="1"/>
    <col min="12" max="16" width="31.375" style="297" customWidth="1"/>
    <col min="17" max="17" width="26.25" style="297" customWidth="1"/>
    <col min="18" max="19" width="26" style="297" customWidth="1"/>
    <col min="20" max="21" width="28" style="297" customWidth="1"/>
    <col min="22" max="16384" width="11.375" style="297"/>
  </cols>
  <sheetData>
    <row r="1" spans="1:29" x14ac:dyDescent="0.2">
      <c r="B1" s="298" t="s">
        <v>204</v>
      </c>
      <c r="C1" s="299" t="str">
        <f>'EV PROG CCIALES'!C4</f>
        <v>amb S.A E.S.P</v>
      </c>
    </row>
    <row r="2" spans="1:29" ht="18.75" thickBot="1" x14ac:dyDescent="0.25">
      <c r="B2" s="298" t="s">
        <v>205</v>
      </c>
      <c r="C2" s="300"/>
      <c r="K2" s="989">
        <v>0</v>
      </c>
      <c r="L2" s="989">
        <f>K2+1</f>
        <v>1</v>
      </c>
      <c r="M2" s="989">
        <f t="shared" ref="M2:U2" si="0">L2+1</f>
        <v>2</v>
      </c>
      <c r="N2" s="989">
        <f t="shared" si="0"/>
        <v>3</v>
      </c>
      <c r="O2" s="989">
        <f t="shared" si="0"/>
        <v>4</v>
      </c>
      <c r="P2" s="989">
        <f t="shared" si="0"/>
        <v>5</v>
      </c>
      <c r="Q2" s="989">
        <f t="shared" si="0"/>
        <v>6</v>
      </c>
      <c r="R2" s="989">
        <f t="shared" si="0"/>
        <v>7</v>
      </c>
      <c r="S2" s="989">
        <f t="shared" si="0"/>
        <v>8</v>
      </c>
      <c r="T2" s="989">
        <f t="shared" si="0"/>
        <v>9</v>
      </c>
      <c r="U2" s="989">
        <f t="shared" si="0"/>
        <v>10</v>
      </c>
    </row>
    <row r="3" spans="1:29" s="303" customFormat="1" ht="18.75" thickBot="1" x14ac:dyDescent="0.3">
      <c r="A3" s="301"/>
      <c r="B3" s="301"/>
      <c r="C3" s="301"/>
      <c r="D3" s="301"/>
      <c r="E3" s="990">
        <v>2019</v>
      </c>
      <c r="F3" s="990">
        <v>2020</v>
      </c>
      <c r="G3" s="990">
        <v>2021</v>
      </c>
      <c r="H3" s="990">
        <v>2022</v>
      </c>
      <c r="I3" s="990">
        <v>2023</v>
      </c>
      <c r="J3" s="990">
        <v>2024</v>
      </c>
      <c r="K3" s="302">
        <f t="shared" ref="K3:U3" si="1">+J3+1</f>
        <v>2025</v>
      </c>
      <c r="L3" s="302">
        <f t="shared" si="1"/>
        <v>2026</v>
      </c>
      <c r="M3" s="302">
        <f t="shared" si="1"/>
        <v>2027</v>
      </c>
      <c r="N3" s="302">
        <f t="shared" si="1"/>
        <v>2028</v>
      </c>
      <c r="O3" s="302">
        <f t="shared" si="1"/>
        <v>2029</v>
      </c>
      <c r="P3" s="302">
        <f t="shared" si="1"/>
        <v>2030</v>
      </c>
      <c r="Q3" s="302">
        <f t="shared" si="1"/>
        <v>2031</v>
      </c>
      <c r="R3" s="302">
        <f t="shared" si="1"/>
        <v>2032</v>
      </c>
      <c r="S3" s="302">
        <f t="shared" si="1"/>
        <v>2033</v>
      </c>
      <c r="T3" s="302">
        <f t="shared" si="1"/>
        <v>2034</v>
      </c>
      <c r="U3" s="302">
        <f t="shared" si="1"/>
        <v>2035</v>
      </c>
    </row>
    <row r="4" spans="1:29" s="808" customFormat="1" ht="30" customHeight="1" x14ac:dyDescent="0.25">
      <c r="A4" s="315"/>
      <c r="B4" s="809" t="s">
        <v>101</v>
      </c>
      <c r="C4" s="811" t="s">
        <v>78</v>
      </c>
      <c r="D4" s="811"/>
      <c r="E4" s="878"/>
      <c r="F4" s="878"/>
      <c r="G4" s="878"/>
      <c r="H4" s="878"/>
      <c r="I4" s="878">
        <f t="shared" ref="I4:U4" si="2">SUM(I5:I6)</f>
        <v>147947832</v>
      </c>
      <c r="J4" s="878">
        <f t="shared" si="2"/>
        <v>150842216.752</v>
      </c>
      <c r="K4" s="878">
        <f t="shared" si="2"/>
        <v>155228669</v>
      </c>
      <c r="L4" s="878">
        <f t="shared" si="2"/>
        <v>160975784.33789039</v>
      </c>
      <c r="M4" s="878">
        <f t="shared" si="2"/>
        <v>164832691.74082848</v>
      </c>
      <c r="N4" s="878">
        <f t="shared" si="2"/>
        <v>168421176.86676553</v>
      </c>
      <c r="O4" s="878">
        <f t="shared" si="2"/>
        <v>170972388.20253459</v>
      </c>
      <c r="P4" s="878">
        <f t="shared" si="2"/>
        <v>173891144.48456669</v>
      </c>
      <c r="Q4" s="878">
        <f t="shared" si="2"/>
        <v>176465489.91017631</v>
      </c>
      <c r="R4" s="878">
        <f t="shared" si="2"/>
        <v>178307116.18877435</v>
      </c>
      <c r="S4" s="878">
        <f t="shared" si="2"/>
        <v>181485222.36256659</v>
      </c>
      <c r="T4" s="878">
        <f t="shared" si="2"/>
        <v>184663328.53635788</v>
      </c>
      <c r="U4" s="878">
        <f t="shared" si="2"/>
        <v>187841434.71015012</v>
      </c>
    </row>
    <row r="5" spans="1:29" s="839" customFormat="1" ht="18" x14ac:dyDescent="0.2">
      <c r="A5" s="833"/>
      <c r="B5" s="1063" t="str">
        <f>IF($C$1="",CONCATENATE("Producción Sistema N.A"),CONCATENATE("Volumen Entrada Plantas ",$C$1))</f>
        <v>Volumen Entrada Plantas amb S.A E.S.P</v>
      </c>
      <c r="C5" s="834" t="s">
        <v>783</v>
      </c>
      <c r="D5" s="835"/>
      <c r="E5" s="836">
        <v>70874452</v>
      </c>
      <c r="F5" s="836">
        <v>71686188</v>
      </c>
      <c r="G5" s="836">
        <v>71703692</v>
      </c>
      <c r="H5" s="836">
        <v>73469577</v>
      </c>
      <c r="I5" s="837">
        <v>74716620</v>
      </c>
      <c r="J5" s="836">
        <v>76411561</v>
      </c>
      <c r="K5" s="836">
        <v>78530740</v>
      </c>
      <c r="L5" s="836">
        <v>81532407.893731564</v>
      </c>
      <c r="M5" s="836">
        <v>83485887.722254351</v>
      </c>
      <c r="N5" s="836">
        <v>85303414.713732541</v>
      </c>
      <c r="O5" s="836">
        <v>86595574.30224821</v>
      </c>
      <c r="P5" s="836">
        <v>88073891.234871581</v>
      </c>
      <c r="Q5" s="836">
        <v>89377767.977348566</v>
      </c>
      <c r="R5" s="836">
        <v>90310530.787308216</v>
      </c>
      <c r="S5" s="836">
        <v>91920205.496811867</v>
      </c>
      <c r="T5" s="836">
        <v>93529880.206315041</v>
      </c>
      <c r="U5" s="836">
        <v>95139554.915818691</v>
      </c>
      <c r="V5" s="838"/>
      <c r="W5" s="838"/>
      <c r="X5" s="838"/>
      <c r="Y5" s="838"/>
      <c r="Z5" s="838"/>
      <c r="AA5" s="838"/>
      <c r="AB5" s="838"/>
      <c r="AC5" s="838"/>
    </row>
    <row r="6" spans="1:29" s="843" customFormat="1" ht="18" x14ac:dyDescent="0.2">
      <c r="A6" s="840"/>
      <c r="B6" s="1063" t="str">
        <f>IF($C$1="",CONCATENATE("Entrada al Sistema N.A"),CONCATENATE("Volumen Producido ",$C$1))</f>
        <v>Volumen Producido amb S.A E.S.P</v>
      </c>
      <c r="C6" s="841" t="s">
        <v>784</v>
      </c>
      <c r="D6" s="841"/>
      <c r="E6" s="836">
        <v>69722922.175999999</v>
      </c>
      <c r="F6" s="836">
        <v>70248190.208000004</v>
      </c>
      <c r="G6" s="836">
        <v>70334295.471999988</v>
      </c>
      <c r="H6" s="836">
        <v>71925204.75999999</v>
      </c>
      <c r="I6" s="837">
        <v>73231212</v>
      </c>
      <c r="J6" s="836">
        <v>74430655.752000004</v>
      </c>
      <c r="K6" s="842">
        <v>76697929</v>
      </c>
      <c r="L6" s="842">
        <v>79443376.444158807</v>
      </c>
      <c r="M6" s="842">
        <v>81346804.018574134</v>
      </c>
      <c r="N6" s="842">
        <v>83117762.153032988</v>
      </c>
      <c r="O6" s="842">
        <v>84376813.900286376</v>
      </c>
      <c r="P6" s="842">
        <v>85817253.249695092</v>
      </c>
      <c r="Q6" s="842">
        <v>87087721.932827741</v>
      </c>
      <c r="R6" s="842">
        <v>87996585.401466116</v>
      </c>
      <c r="S6" s="842">
        <v>89565016.865754709</v>
      </c>
      <c r="T6" s="842">
        <v>91133448.330042839</v>
      </c>
      <c r="U6" s="842">
        <v>92701879.794331446</v>
      </c>
      <c r="V6" s="838"/>
      <c r="W6" s="838"/>
      <c r="X6" s="838"/>
      <c r="Y6" s="838"/>
      <c r="Z6" s="838"/>
      <c r="AA6" s="838"/>
      <c r="AB6" s="838"/>
      <c r="AC6" s="838"/>
    </row>
    <row r="7" spans="1:29" s="843" customFormat="1" ht="18" customHeight="1" x14ac:dyDescent="0.2">
      <c r="A7" s="840"/>
      <c r="B7" s="844" t="s">
        <v>77</v>
      </c>
      <c r="C7" s="841" t="s">
        <v>784</v>
      </c>
      <c r="D7" s="841"/>
      <c r="E7" s="841"/>
      <c r="F7" s="841"/>
      <c r="G7" s="841"/>
      <c r="H7" s="841"/>
      <c r="I7" s="845"/>
      <c r="J7" s="845"/>
      <c r="K7" s="846">
        <f>+K$34</f>
        <v>0</v>
      </c>
      <c r="L7" s="846">
        <f>+L$34</f>
        <v>847139.72604797326</v>
      </c>
      <c r="M7" s="846">
        <f>+M$34</f>
        <v>4176000.2220463725</v>
      </c>
      <c r="N7" s="846">
        <f t="shared" ref="N7:U7" si="3">+N$34</f>
        <v>4015699.0835286407</v>
      </c>
      <c r="O7" s="846">
        <f t="shared" si="3"/>
        <v>1577726.578905012</v>
      </c>
      <c r="P7" s="846">
        <f t="shared" si="3"/>
        <v>1454370.3521092376</v>
      </c>
      <c r="Q7" s="846">
        <f t="shared" si="3"/>
        <v>1324749.8344848985</v>
      </c>
      <c r="R7" s="846">
        <f t="shared" si="3"/>
        <v>369713.27115430206</v>
      </c>
      <c r="S7" s="846">
        <f t="shared" si="3"/>
        <v>708248.10308125056</v>
      </c>
      <c r="T7" s="846">
        <f t="shared" si="3"/>
        <v>424628.87534097966</v>
      </c>
      <c r="U7" s="846">
        <f t="shared" si="3"/>
        <v>533863.21803743194</v>
      </c>
      <c r="V7" s="847"/>
      <c r="W7" s="847"/>
      <c r="X7" s="847"/>
      <c r="Y7" s="847"/>
      <c r="Z7" s="847"/>
      <c r="AA7" s="847"/>
      <c r="AB7" s="847"/>
      <c r="AC7" s="847"/>
    </row>
    <row r="8" spans="1:29" s="843" customFormat="1" ht="12" customHeight="1" x14ac:dyDescent="0.2">
      <c r="A8" s="840"/>
      <c r="B8" s="844"/>
      <c r="C8" s="841"/>
      <c r="D8" s="841"/>
      <c r="E8" s="841"/>
      <c r="F8" s="841"/>
      <c r="G8" s="841"/>
      <c r="H8" s="841"/>
      <c r="I8" s="848"/>
      <c r="J8" s="849"/>
      <c r="K8" s="849"/>
      <c r="L8" s="849"/>
      <c r="M8" s="849"/>
      <c r="N8" s="849"/>
      <c r="O8" s="849"/>
      <c r="P8" s="849"/>
      <c r="Q8" s="849"/>
      <c r="R8" s="849"/>
      <c r="S8" s="849"/>
      <c r="T8" s="849"/>
      <c r="U8" s="849"/>
      <c r="V8" s="847"/>
      <c r="W8" s="847"/>
      <c r="X8" s="847"/>
      <c r="Y8" s="847"/>
      <c r="Z8" s="847"/>
      <c r="AA8" s="847"/>
      <c r="AB8" s="847"/>
      <c r="AC8" s="847"/>
    </row>
    <row r="9" spans="1:29" s="840" customFormat="1" ht="12" customHeight="1" x14ac:dyDescent="0.25">
      <c r="B9" s="850"/>
      <c r="J9" s="851"/>
      <c r="K9" s="851"/>
      <c r="L9" s="851"/>
      <c r="M9" s="851"/>
      <c r="N9" s="851"/>
      <c r="O9" s="851"/>
      <c r="P9" s="851"/>
      <c r="Q9" s="851"/>
      <c r="R9" s="851"/>
      <c r="S9" s="851"/>
      <c r="T9" s="851"/>
      <c r="U9" s="851"/>
    </row>
    <row r="10" spans="1:29" s="852" customFormat="1" ht="12" customHeight="1" x14ac:dyDescent="0.2">
      <c r="C10" s="853"/>
      <c r="D10" s="853"/>
      <c r="E10" s="853"/>
      <c r="F10" s="853"/>
      <c r="G10" s="853"/>
      <c r="H10" s="853"/>
      <c r="I10" s="854"/>
      <c r="J10" s="854"/>
      <c r="K10" s="854"/>
      <c r="L10" s="854"/>
      <c r="M10" s="854"/>
      <c r="N10" s="854"/>
      <c r="O10" s="854"/>
      <c r="P10" s="854"/>
      <c r="Q10" s="854"/>
      <c r="R10" s="854"/>
      <c r="S10" s="854"/>
      <c r="T10" s="854"/>
      <c r="U10" s="854"/>
      <c r="V10" s="854"/>
      <c r="W10" s="854"/>
      <c r="X10" s="854"/>
      <c r="Y10" s="854"/>
      <c r="Z10" s="854"/>
      <c r="AA10" s="854"/>
      <c r="AB10" s="854"/>
      <c r="AC10" s="854"/>
    </row>
    <row r="11" spans="1:29" s="808" customFormat="1" ht="30" customHeight="1" x14ac:dyDescent="0.25">
      <c r="A11" s="315"/>
      <c r="B11" s="809" t="s">
        <v>102</v>
      </c>
      <c r="C11" s="810"/>
      <c r="D11" s="811"/>
      <c r="E11" s="811"/>
      <c r="F11" s="811"/>
      <c r="G11" s="811"/>
      <c r="H11" s="811"/>
      <c r="I11" s="811"/>
      <c r="J11" s="811"/>
      <c r="K11" s="811"/>
      <c r="L11" s="811"/>
      <c r="M11" s="811"/>
      <c r="N11" s="811"/>
      <c r="O11" s="811"/>
      <c r="P11" s="811"/>
      <c r="Q11" s="811"/>
      <c r="R11" s="811"/>
      <c r="S11" s="811"/>
      <c r="T11" s="811"/>
      <c r="U11" s="811"/>
    </row>
    <row r="12" spans="1:29" s="856" customFormat="1" ht="15" x14ac:dyDescent="0.2">
      <c r="A12" s="852"/>
      <c r="B12" s="1063" t="str">
        <f>IF($C$1="",CONCATENATE("Usuarios Sistema N.A"),CONCATENATE("Usuarios Sistema ",$C$1))</f>
        <v>Usuarios Sistema amb S.A E.S.P</v>
      </c>
      <c r="C12" s="834" t="s">
        <v>214</v>
      </c>
      <c r="D12" s="847"/>
      <c r="E12" s="846">
        <f>'EV PROG CCIALES'!D23</f>
        <v>288799</v>
      </c>
      <c r="F12" s="846">
        <f>'EV PROG CCIALES'!E23</f>
        <v>294763</v>
      </c>
      <c r="G12" s="846">
        <f>'EV PROG CCIALES'!F23</f>
        <v>303301</v>
      </c>
      <c r="H12" s="846">
        <f>'EV PROG CCIALES'!G23</f>
        <v>309477</v>
      </c>
      <c r="I12" s="846">
        <f>'EV PROG CCIALES'!H23</f>
        <v>318442</v>
      </c>
      <c r="J12" s="846">
        <f>'EV PROG CCIALES'!I23</f>
        <v>325502</v>
      </c>
      <c r="K12" s="846">
        <f>'EV PROG CCIALES'!J23</f>
        <v>333412</v>
      </c>
      <c r="L12" s="846">
        <f>'EV PROG CCIALES'!K23</f>
        <v>341939.19999999995</v>
      </c>
      <c r="M12" s="846">
        <f>'EV PROG CCIALES'!L23</f>
        <v>349461</v>
      </c>
      <c r="N12" s="846">
        <f>'EV PROG CCIALES'!M23</f>
        <v>356972</v>
      </c>
      <c r="O12" s="846">
        <f>'EV PROG CCIALES'!N23</f>
        <v>364648</v>
      </c>
      <c r="P12" s="846">
        <f>'EV PROG CCIALES'!O23</f>
        <v>372488</v>
      </c>
      <c r="Q12" s="846">
        <f>'EV PROG CCIALES'!P23</f>
        <v>380496.56146201264</v>
      </c>
      <c r="R12" s="846">
        <f>'EV PROG CCIALES'!Q23</f>
        <v>388677.30848890479</v>
      </c>
      <c r="S12" s="846">
        <f>'EV PROG CCIALES'!R23</f>
        <v>397033.94310243073</v>
      </c>
      <c r="T12" s="846">
        <f>'EV PROG CCIALES'!S23</f>
        <v>405570.24691850279</v>
      </c>
      <c r="U12" s="846">
        <f>'EV PROG CCIALES'!T23</f>
        <v>414290.08285848069</v>
      </c>
      <c r="V12" s="847"/>
      <c r="W12" s="847"/>
      <c r="X12" s="847"/>
      <c r="Y12" s="847"/>
      <c r="Z12" s="847"/>
      <c r="AA12" s="847"/>
      <c r="AB12" s="847"/>
      <c r="AC12" s="847"/>
    </row>
    <row r="13" spans="1:29" s="856" customFormat="1" ht="15" x14ac:dyDescent="0.2">
      <c r="A13" s="852"/>
      <c r="B13" s="855" t="str">
        <f>IF($C$2="",CONCATENATE("Usuarios Sistema N.A"),CONCATENATE("Usuarios Sistema ",$C$2))</f>
        <v>Usuarios Sistema N.A</v>
      </c>
      <c r="C13" s="834"/>
      <c r="D13" s="834"/>
      <c r="E13" s="834"/>
      <c r="F13" s="834"/>
      <c r="G13" s="834"/>
      <c r="H13" s="834"/>
      <c r="I13" s="847"/>
      <c r="J13" s="847"/>
      <c r="K13" s="847"/>
      <c r="L13" s="847"/>
      <c r="M13" s="847"/>
      <c r="N13" s="847"/>
      <c r="O13" s="847"/>
      <c r="P13" s="847"/>
      <c r="Q13" s="847"/>
      <c r="R13" s="847"/>
      <c r="S13" s="847"/>
      <c r="T13" s="847"/>
      <c r="U13" s="847"/>
      <c r="V13" s="847"/>
      <c r="W13" s="847"/>
      <c r="X13" s="847"/>
      <c r="Y13" s="847"/>
      <c r="Z13" s="847"/>
      <c r="AA13" s="847"/>
      <c r="AB13" s="847"/>
      <c r="AC13" s="847"/>
    </row>
    <row r="14" spans="1:29" s="856" customFormat="1" ht="15" x14ac:dyDescent="0.2">
      <c r="A14" s="852"/>
      <c r="B14" s="855" t="s">
        <v>79</v>
      </c>
      <c r="C14" s="834"/>
      <c r="D14" s="847"/>
      <c r="E14" s="846">
        <f t="shared" ref="E14:J14" si="4">SUM(E12:E13)</f>
        <v>288799</v>
      </c>
      <c r="F14" s="846">
        <f t="shared" si="4"/>
        <v>294763</v>
      </c>
      <c r="G14" s="846">
        <f t="shared" si="4"/>
        <v>303301</v>
      </c>
      <c r="H14" s="846">
        <f t="shared" si="4"/>
        <v>309477</v>
      </c>
      <c r="I14" s="846">
        <f t="shared" si="4"/>
        <v>318442</v>
      </c>
      <c r="J14" s="846">
        <f t="shared" si="4"/>
        <v>325502</v>
      </c>
      <c r="K14" s="846">
        <f t="shared" ref="K14:U14" si="5">SUM(K12:K13)</f>
        <v>333412</v>
      </c>
      <c r="L14" s="846">
        <f t="shared" si="5"/>
        <v>341939.19999999995</v>
      </c>
      <c r="M14" s="846">
        <f t="shared" si="5"/>
        <v>349461</v>
      </c>
      <c r="N14" s="846">
        <f t="shared" si="5"/>
        <v>356972</v>
      </c>
      <c r="O14" s="846">
        <f t="shared" si="5"/>
        <v>364648</v>
      </c>
      <c r="P14" s="846">
        <f t="shared" si="5"/>
        <v>372488</v>
      </c>
      <c r="Q14" s="846">
        <f t="shared" si="5"/>
        <v>380496.56146201264</v>
      </c>
      <c r="R14" s="846">
        <f>SUM(R12:R13)</f>
        <v>388677.30848890479</v>
      </c>
      <c r="S14" s="846">
        <f t="shared" si="5"/>
        <v>397033.94310243073</v>
      </c>
      <c r="T14" s="846">
        <f t="shared" si="5"/>
        <v>405570.24691850279</v>
      </c>
      <c r="U14" s="846">
        <f t="shared" si="5"/>
        <v>414290.08285848069</v>
      </c>
      <c r="V14" s="847"/>
      <c r="W14" s="847"/>
      <c r="X14" s="847"/>
      <c r="Y14" s="847"/>
      <c r="Z14" s="847"/>
      <c r="AA14" s="847"/>
      <c r="AB14" s="847"/>
      <c r="AC14" s="847"/>
    </row>
    <row r="15" spans="1:29" s="852" customFormat="1" ht="15" x14ac:dyDescent="0.2">
      <c r="B15" s="855"/>
      <c r="H15" s="857"/>
      <c r="I15" s="857"/>
      <c r="J15" s="857"/>
      <c r="K15" s="857"/>
      <c r="L15" s="857"/>
      <c r="M15" s="857"/>
      <c r="N15" s="857"/>
      <c r="O15" s="857"/>
      <c r="P15" s="857"/>
      <c r="Q15" s="857"/>
      <c r="R15" s="857"/>
      <c r="S15" s="857"/>
      <c r="T15" s="857"/>
      <c r="U15" s="857"/>
      <c r="V15" s="857"/>
      <c r="W15" s="857"/>
      <c r="X15" s="857"/>
      <c r="Y15" s="858"/>
      <c r="Z15" s="858"/>
      <c r="AA15" s="858"/>
      <c r="AB15" s="858"/>
      <c r="AC15" s="858"/>
    </row>
    <row r="16" spans="1:29" s="852" customFormat="1" ht="15.75" x14ac:dyDescent="0.2">
      <c r="B16" s="855" t="str">
        <f>CONCATENATE("Tasa de crecimientos usuarios Sistema ",$C$1)</f>
        <v>Tasa de crecimientos usuarios Sistema amb S.A E.S.P</v>
      </c>
      <c r="C16" s="834" t="s">
        <v>80</v>
      </c>
      <c r="D16" s="848"/>
      <c r="J16" s="859"/>
      <c r="K16" s="859"/>
      <c r="L16" s="859"/>
      <c r="M16" s="859"/>
      <c r="N16" s="859"/>
      <c r="O16" s="859"/>
      <c r="P16" s="859"/>
      <c r="Q16" s="859"/>
      <c r="R16" s="859"/>
      <c r="S16" s="859"/>
      <c r="T16" s="859"/>
      <c r="U16" s="859"/>
      <c r="V16" s="859"/>
      <c r="W16" s="859"/>
      <c r="X16" s="859"/>
      <c r="Y16" s="859"/>
      <c r="Z16" s="859"/>
      <c r="AA16" s="859"/>
      <c r="AB16" s="859"/>
      <c r="AC16" s="859"/>
    </row>
    <row r="17" spans="1:29" s="852" customFormat="1" ht="15" x14ac:dyDescent="0.2">
      <c r="B17" s="855" t="str">
        <f>CONCATENATE("Tasa de crecimientos usuarios Sistema ",$C$2)</f>
        <v xml:space="preserve">Tasa de crecimientos usuarios Sistema </v>
      </c>
      <c r="C17" s="834"/>
      <c r="D17" s="834"/>
      <c r="E17" s="834"/>
      <c r="F17" s="834"/>
      <c r="G17" s="834"/>
      <c r="H17" s="834"/>
      <c r="I17" s="847"/>
      <c r="J17" s="848"/>
      <c r="K17" s="848"/>
      <c r="L17" s="848"/>
      <c r="M17" s="848"/>
      <c r="N17" s="848"/>
      <c r="O17" s="848"/>
      <c r="P17" s="848"/>
      <c r="Q17" s="848"/>
      <c r="R17" s="848"/>
      <c r="S17" s="848"/>
      <c r="T17" s="848"/>
      <c r="U17" s="848"/>
      <c r="V17" s="848"/>
      <c r="W17" s="848"/>
      <c r="X17" s="848"/>
      <c r="Y17" s="848"/>
      <c r="Z17" s="848"/>
      <c r="AA17" s="848"/>
      <c r="AB17" s="848"/>
      <c r="AC17" s="848"/>
    </row>
    <row r="18" spans="1:29" s="852" customFormat="1" ht="15" x14ac:dyDescent="0.2">
      <c r="B18" s="855"/>
      <c r="K18" s="860"/>
      <c r="L18" s="860"/>
      <c r="M18" s="860"/>
      <c r="N18" s="860"/>
      <c r="O18" s="860"/>
      <c r="P18" s="860"/>
      <c r="Q18" s="860"/>
      <c r="R18" s="860"/>
      <c r="S18" s="860"/>
      <c r="T18" s="860"/>
      <c r="U18" s="860"/>
      <c r="V18" s="860"/>
      <c r="W18" s="860"/>
      <c r="X18" s="860"/>
      <c r="Y18" s="860"/>
      <c r="Z18" s="860"/>
      <c r="AA18" s="860"/>
      <c r="AB18" s="860"/>
      <c r="AC18" s="860"/>
    </row>
    <row r="19" spans="1:29" s="840" customFormat="1" ht="12" customHeight="1" x14ac:dyDescent="0.2"/>
    <row r="20" spans="1:29" s="808" customFormat="1" ht="30" customHeight="1" x14ac:dyDescent="0.25">
      <c r="A20" s="315"/>
      <c r="B20" s="809" t="s">
        <v>103</v>
      </c>
      <c r="C20" s="810"/>
      <c r="D20" s="811"/>
      <c r="E20" s="811"/>
      <c r="F20" s="811"/>
      <c r="G20" s="811"/>
      <c r="H20" s="811"/>
      <c r="I20" s="811"/>
      <c r="J20" s="811"/>
      <c r="K20" s="811"/>
      <c r="L20" s="811"/>
      <c r="M20" s="811"/>
      <c r="N20" s="811"/>
      <c r="O20" s="811"/>
      <c r="P20" s="811"/>
      <c r="Q20" s="811"/>
      <c r="R20" s="811"/>
      <c r="S20" s="811"/>
      <c r="T20" s="811"/>
      <c r="U20" s="811"/>
    </row>
    <row r="21" spans="1:29" s="357" customFormat="1" ht="20.100000000000001" customHeight="1" x14ac:dyDescent="0.25">
      <c r="A21" s="841"/>
      <c r="E21" s="861">
        <f>INDICES!M35</f>
        <v>828116</v>
      </c>
      <c r="F21" s="861">
        <f>INDICES!M36</f>
        <v>877803</v>
      </c>
      <c r="G21" s="861">
        <f>INDICES!M37</f>
        <v>908526</v>
      </c>
      <c r="H21" s="861">
        <f>INDICES!M38</f>
        <v>1000000</v>
      </c>
      <c r="I21" s="861">
        <f>INDICES!M39</f>
        <v>1160000</v>
      </c>
      <c r="J21" s="861">
        <f>INDICES!M40</f>
        <v>1300000</v>
      </c>
      <c r="K21" s="861">
        <f>INDICES!M41</f>
        <v>1423500</v>
      </c>
      <c r="L21" s="861">
        <f>INDICES!M42</f>
        <v>1750905</v>
      </c>
      <c r="M21" s="862">
        <f>L21*(1+$D$22)^(M3-L3)</f>
        <v>1850356.053819</v>
      </c>
      <c r="N21" s="862">
        <f>M21*(1+$D$22)^(N3-M3)</f>
        <v>1955455.9076047086</v>
      </c>
      <c r="O21" s="862">
        <f>N21*(1+$D$22)^(O3-N3)</f>
        <v>2066525.4120654745</v>
      </c>
      <c r="P21" s="862">
        <f t="shared" ref="P21:U21" si="6">O21*(1+$D$22)^(P3-O3)</f>
        <v>2183903.6421657111</v>
      </c>
      <c r="Q21" s="862">
        <f t="shared" si="6"/>
        <v>2307948.932259995</v>
      </c>
      <c r="R21" s="862">
        <f t="shared" si="6"/>
        <v>2439039.9700225764</v>
      </c>
      <c r="S21" s="862">
        <f t="shared" si="6"/>
        <v>2577576.9525118647</v>
      </c>
      <c r="T21" s="862">
        <f t="shared" si="6"/>
        <v>2723982.8078991482</v>
      </c>
      <c r="U21" s="862">
        <f t="shared" si="6"/>
        <v>2878704.4865912586</v>
      </c>
    </row>
    <row r="22" spans="1:29" s="357" customFormat="1" ht="15" customHeight="1" x14ac:dyDescent="0.25">
      <c r="A22" s="841"/>
      <c r="B22" s="317" t="s">
        <v>7</v>
      </c>
      <c r="C22" s="357" t="s">
        <v>14</v>
      </c>
      <c r="D22" s="863">
        <f>PARÁMETROS!$C$11</f>
        <v>5.6799799999999998E-2</v>
      </c>
      <c r="F22" s="864">
        <f t="shared" ref="F22:K22" si="7">+(F21/E21)^((1/(F3-E3)))-1</f>
        <v>6.0000048302411679E-2</v>
      </c>
      <c r="G22" s="864">
        <f t="shared" si="7"/>
        <v>3.4999880383183912E-2</v>
      </c>
      <c r="H22" s="864">
        <f t="shared" si="7"/>
        <v>0.10068396501586085</v>
      </c>
      <c r="I22" s="864">
        <f t="shared" si="7"/>
        <v>0.15999999999999992</v>
      </c>
      <c r="J22" s="864">
        <f t="shared" si="7"/>
        <v>0.1206896551724137</v>
      </c>
      <c r="K22" s="864">
        <f t="shared" si="7"/>
        <v>9.4999999999999973E-2</v>
      </c>
      <c r="L22" s="864">
        <f>+(L21/K21)^((1/(L3-K3)))-1</f>
        <v>0.22999999999999998</v>
      </c>
      <c r="M22" s="864">
        <f>+(M21/L21)^((1/(M3-L3)))-1</f>
        <v>5.6799800000000067E-2</v>
      </c>
      <c r="N22" s="864">
        <f t="shared" ref="N22:U22" si="8">+(N21/M21)^((1/(N3-M3)))-1</f>
        <v>5.6799800000000067E-2</v>
      </c>
      <c r="O22" s="864">
        <f t="shared" si="8"/>
        <v>5.6799800000000067E-2</v>
      </c>
      <c r="P22" s="864">
        <f t="shared" si="8"/>
        <v>5.6799800000000067E-2</v>
      </c>
      <c r="Q22" s="864">
        <f t="shared" si="8"/>
        <v>5.6799800000000067E-2</v>
      </c>
      <c r="R22" s="864">
        <f t="shared" si="8"/>
        <v>5.6799800000000067E-2</v>
      </c>
      <c r="S22" s="864">
        <f t="shared" si="8"/>
        <v>5.6799800000000067E-2</v>
      </c>
      <c r="T22" s="864">
        <f t="shared" si="8"/>
        <v>5.6799800000000067E-2</v>
      </c>
      <c r="U22" s="864">
        <f t="shared" si="8"/>
        <v>5.6799800000000067E-2</v>
      </c>
    </row>
    <row r="23" spans="1:29" s="357" customFormat="1" ht="12" customHeight="1" x14ac:dyDescent="0.25">
      <c r="A23" s="841"/>
      <c r="B23" s="865"/>
    </row>
    <row r="24" spans="1:29" s="357" customFormat="1" ht="20.100000000000001" customHeight="1" x14ac:dyDescent="0.25">
      <c r="A24" s="841"/>
      <c r="B24" s="317" t="s">
        <v>12</v>
      </c>
      <c r="C24" s="357" t="s">
        <v>13</v>
      </c>
      <c r="D24" s="866">
        <f>+PARÁMETROS!$C$10</f>
        <v>3.559586E-2</v>
      </c>
      <c r="E24" s="1397">
        <f>+INDICES!R22</f>
        <v>3.8000000000000034E-2</v>
      </c>
      <c r="F24" s="1397">
        <f>+INDICES!S22</f>
        <v>1.6184971098265999E-2</v>
      </c>
      <c r="G24" s="1397">
        <f>+INDICES!T22</f>
        <v>5.6219188471748227E-2</v>
      </c>
      <c r="H24" s="1397">
        <f>+INDICES!U22</f>
        <v>0.13122699937169013</v>
      </c>
      <c r="I24" s="1397">
        <f>+INDICES!V22</f>
        <v>9.2755693088947044E-2</v>
      </c>
      <c r="J24" s="1397">
        <f>+INDICES!W22</f>
        <v>5.1989544002323473E-2</v>
      </c>
      <c r="K24" s="1397">
        <f>+INDICES!X22</f>
        <v>5.1007730535615803E-2</v>
      </c>
      <c r="L24" s="867">
        <f>K24*(1+$D$24)^(L3-K3)</f>
        <v>5.2823394570679305E-2</v>
      </c>
      <c r="M24" s="867">
        <f t="shared" ref="M24:U24" si="9">L24*(1+$D$24)^(M3-L3)</f>
        <v>5.4703688728541963E-2</v>
      </c>
      <c r="N24" s="867">
        <f t="shared" si="9"/>
        <v>5.6650913574006714E-2</v>
      </c>
      <c r="O24" s="867">
        <f t="shared" si="9"/>
        <v>5.8667451562459151E-2</v>
      </c>
      <c r="P24" s="867">
        <f t="shared" si="9"/>
        <v>6.0755769954833221E-2</v>
      </c>
      <c r="Q24" s="867">
        <f t="shared" si="9"/>
        <v>6.2918423836337667E-2</v>
      </c>
      <c r="R24" s="867">
        <f t="shared" si="9"/>
        <v>6.5158059242636596E-2</v>
      </c>
      <c r="S24" s="867">
        <f t="shared" si="9"/>
        <v>6.7477416397309184E-2</v>
      </c>
      <c r="T24" s="867">
        <f t="shared" si="9"/>
        <v>6.9879333064549506E-2</v>
      </c>
      <c r="U24" s="867">
        <f t="shared" si="9"/>
        <v>7.2366748021208571E-2</v>
      </c>
    </row>
    <row r="25" spans="1:29" s="357" customFormat="1" ht="12" customHeight="1" x14ac:dyDescent="0.25">
      <c r="A25" s="841"/>
      <c r="B25" s="865"/>
    </row>
    <row r="26" spans="1:29" s="357" customFormat="1" ht="12" customHeight="1" x14ac:dyDescent="0.25">
      <c r="A26" s="841"/>
      <c r="B26" s="865"/>
      <c r="D26" s="356"/>
    </row>
    <row r="27" spans="1:29" s="357" customFormat="1" ht="12" customHeight="1" x14ac:dyDescent="0.2">
      <c r="A27" s="841"/>
      <c r="B27" s="865"/>
      <c r="D27" s="868"/>
    </row>
    <row r="28" spans="1:29" s="808" customFormat="1" ht="30" customHeight="1" x14ac:dyDescent="0.25">
      <c r="A28" s="315"/>
      <c r="B28" s="1064" t="s">
        <v>108</v>
      </c>
      <c r="C28" s="810"/>
      <c r="D28" s="811"/>
      <c r="E28" s="811"/>
      <c r="F28" s="811"/>
      <c r="G28" s="811"/>
      <c r="H28" s="811"/>
      <c r="I28" s="811"/>
      <c r="J28" s="811"/>
      <c r="K28" s="811"/>
      <c r="L28" s="811"/>
      <c r="M28" s="811"/>
      <c r="N28" s="811"/>
      <c r="O28" s="811"/>
      <c r="P28" s="811"/>
      <c r="Q28" s="811"/>
      <c r="R28" s="811"/>
      <c r="S28" s="811"/>
      <c r="T28" s="811"/>
      <c r="U28" s="811"/>
    </row>
    <row r="29" spans="1:29" s="840" customFormat="1" ht="21.75" customHeight="1" x14ac:dyDescent="0.2">
      <c r="B29" s="865" t="s">
        <v>788</v>
      </c>
      <c r="C29" s="841" t="s">
        <v>789</v>
      </c>
      <c r="I29" s="869"/>
      <c r="J29" s="869"/>
      <c r="K29" s="862">
        <f>SUM('BC TOTAL TÉCNICO'!C$7:C$10)</f>
        <v>285.53938147869655</v>
      </c>
      <c r="L29" s="862">
        <f>SUM('BC TOTAL TÉCNICO'!D$7:D$10)</f>
        <v>295.70340132629883</v>
      </c>
      <c r="M29" s="862">
        <f>SUM('BC TOTAL TÉCNICO'!E$7:E$10)</f>
        <v>306.22921820143358</v>
      </c>
      <c r="N29" s="862">
        <f>SUM('BC TOTAL TÉCNICO'!F$7:F$10)</f>
        <v>317.12971058044121</v>
      </c>
      <c r="O29" s="862">
        <f>SUM('BC TOTAL TÉCNICO'!G$7:G$10)</f>
        <v>328.41821536010309</v>
      </c>
      <c r="P29" s="862">
        <f>SUM('BC TOTAL TÉCNICO'!H$7:H$10)</f>
        <v>340.10854417551116</v>
      </c>
      <c r="Q29" s="862">
        <f>SUM('BC TOTAL TÉCNICO'!I$7:I$10)</f>
        <v>352.21500029878644</v>
      </c>
      <c r="R29" s="862">
        <f>SUM('BC TOTAL TÉCNICO'!J$7:J$10)</f>
        <v>364.75239613932195</v>
      </c>
      <c r="S29" s="862">
        <f>SUM('BC TOTAL TÉCNICO'!K$7:K$10)</f>
        <v>377.73607136696177</v>
      </c>
      <c r="T29" s="862">
        <f>SUM('BC TOTAL TÉCNICO'!L$7:L$10)</f>
        <v>391.18191168029011</v>
      </c>
      <c r="U29" s="862">
        <f>SUM('BC TOTAL TÉCNICO'!M$7:M$10)</f>
        <v>405.10636824299405</v>
      </c>
    </row>
    <row r="30" spans="1:29" s="840" customFormat="1" ht="21.75" customHeight="1" x14ac:dyDescent="0.2">
      <c r="B30" s="865"/>
      <c r="C30" s="841"/>
      <c r="D30" s="870"/>
      <c r="J30" s="871"/>
    </row>
    <row r="31" spans="1:29" s="357" customFormat="1" ht="21.75" customHeight="1" x14ac:dyDescent="0.25">
      <c r="A31" s="841"/>
      <c r="B31" s="1065" t="s">
        <v>791</v>
      </c>
      <c r="C31" s="841" t="s">
        <v>109</v>
      </c>
      <c r="D31" s="872">
        <f>+PARÁMETROS!$C$8</f>
        <v>0.16276703160799988</v>
      </c>
    </row>
    <row r="32" spans="1:29" s="357" customFormat="1" ht="21.75" customHeight="1" x14ac:dyDescent="0.2">
      <c r="A32" s="841"/>
      <c r="B32" s="840"/>
      <c r="C32" s="841"/>
      <c r="D32" s="873"/>
    </row>
    <row r="33" spans="1:29" s="307" customFormat="1" ht="30" customHeight="1" x14ac:dyDescent="0.25">
      <c r="A33" s="304"/>
      <c r="B33" s="323" t="s">
        <v>745</v>
      </c>
      <c r="C33" s="304"/>
      <c r="D33" s="305"/>
      <c r="E33" s="305"/>
      <c r="F33" s="305"/>
      <c r="G33" s="305"/>
      <c r="H33" s="305"/>
      <c r="I33" s="313"/>
      <c r="J33" s="313"/>
      <c r="K33" s="306"/>
      <c r="L33" s="306"/>
      <c r="M33" s="306"/>
      <c r="N33" s="306"/>
      <c r="O33" s="306"/>
      <c r="P33" s="306"/>
      <c r="Q33" s="306"/>
      <c r="R33" s="306"/>
      <c r="S33" s="306"/>
      <c r="T33" s="306"/>
      <c r="U33" s="306"/>
    </row>
    <row r="34" spans="1:29" s="321" customFormat="1" ht="30" customHeight="1" x14ac:dyDescent="0.2">
      <c r="A34" s="316"/>
      <c r="B34" s="319"/>
      <c r="C34" s="812"/>
      <c r="D34" s="316" t="s">
        <v>81</v>
      </c>
      <c r="E34" s="795" t="s">
        <v>743</v>
      </c>
      <c r="F34" s="796" t="s">
        <v>744</v>
      </c>
      <c r="G34" s="796" t="s">
        <v>364</v>
      </c>
      <c r="H34" s="796" t="s">
        <v>363</v>
      </c>
      <c r="J34" s="320"/>
      <c r="K34" s="429">
        <f t="shared" ref="K34:U34" si="10">SUM(K35,K57,K68,K79,K81,K83,K95,K98)</f>
        <v>0</v>
      </c>
      <c r="L34" s="430">
        <f t="shared" si="10"/>
        <v>847139.72604797326</v>
      </c>
      <c r="M34" s="430">
        <f t="shared" si="10"/>
        <v>4176000.2220463725</v>
      </c>
      <c r="N34" s="430">
        <f t="shared" si="10"/>
        <v>4015699.0835286407</v>
      </c>
      <c r="O34" s="430">
        <f t="shared" si="10"/>
        <v>1577726.578905012</v>
      </c>
      <c r="P34" s="430">
        <f t="shared" si="10"/>
        <v>1454370.3521092376</v>
      </c>
      <c r="Q34" s="429">
        <f t="shared" si="10"/>
        <v>1324749.8344848985</v>
      </c>
      <c r="R34" s="429">
        <f t="shared" si="10"/>
        <v>369713.27115430206</v>
      </c>
      <c r="S34" s="429">
        <f t="shared" si="10"/>
        <v>708248.10308125056</v>
      </c>
      <c r="T34" s="429">
        <f t="shared" si="10"/>
        <v>424628.87534097966</v>
      </c>
      <c r="U34" s="429">
        <f t="shared" si="10"/>
        <v>533863.21803743194</v>
      </c>
    </row>
    <row r="35" spans="1:29" s="325" customFormat="1" ht="20.100000000000001" customHeight="1" x14ac:dyDescent="0.25">
      <c r="A35" s="322">
        <v>1</v>
      </c>
      <c r="B35" s="323" t="s">
        <v>84</v>
      </c>
      <c r="C35" s="432"/>
      <c r="D35" s="324"/>
      <c r="E35" s="433">
        <f>IFERROR(SUM(E37:E56),0)</f>
        <v>0</v>
      </c>
      <c r="F35" s="433">
        <f>IFERROR(SUM(F37:F45),0)</f>
        <v>328056325.812904</v>
      </c>
      <c r="G35" s="433">
        <f>IFERROR(SUM(G37:G56),0)</f>
        <v>1057637603.4082819</v>
      </c>
      <c r="H35" s="433">
        <f>IFERROR(SUM(H37:H56),0)</f>
        <v>592299110.83458292</v>
      </c>
      <c r="I35" s="324"/>
      <c r="J35" s="324"/>
      <c r="K35" s="431">
        <f>SUM(K37:K56)</f>
        <v>0</v>
      </c>
      <c r="L35" s="431">
        <f t="shared" ref="L35:U35" si="11">SUM(L37:L56)</f>
        <v>0</v>
      </c>
      <c r="M35" s="431">
        <f t="shared" si="11"/>
        <v>0</v>
      </c>
      <c r="N35" s="431">
        <f t="shared" si="11"/>
        <v>0</v>
      </c>
      <c r="O35" s="431">
        <f t="shared" si="11"/>
        <v>0</v>
      </c>
      <c r="P35" s="431">
        <f t="shared" si="11"/>
        <v>0</v>
      </c>
      <c r="Q35" s="431">
        <f t="shared" si="11"/>
        <v>0</v>
      </c>
      <c r="R35" s="431">
        <f t="shared" si="11"/>
        <v>0</v>
      </c>
      <c r="S35" s="431">
        <f t="shared" si="11"/>
        <v>0</v>
      </c>
      <c r="T35" s="431">
        <f t="shared" si="11"/>
        <v>0</v>
      </c>
      <c r="U35" s="431">
        <f t="shared" si="11"/>
        <v>0</v>
      </c>
    </row>
    <row r="36" spans="1:29" s="307" customFormat="1" ht="15" customHeight="1" x14ac:dyDescent="0.25">
      <c r="A36" s="326">
        <v>1.1000000000000001</v>
      </c>
      <c r="B36" s="327" t="s">
        <v>21</v>
      </c>
      <c r="C36" s="328"/>
      <c r="D36" s="328"/>
      <c r="E36" s="304"/>
      <c r="F36" s="329"/>
      <c r="G36" s="304"/>
      <c r="H36" s="304"/>
      <c r="I36" s="304"/>
      <c r="J36" s="304"/>
      <c r="K36" s="329"/>
      <c r="L36" s="329"/>
      <c r="M36" s="329"/>
      <c r="N36" s="329"/>
      <c r="O36" s="329"/>
      <c r="P36" s="329"/>
      <c r="Q36" s="329"/>
      <c r="R36" s="329"/>
      <c r="S36" s="329"/>
      <c r="T36" s="329"/>
      <c r="U36" s="329"/>
      <c r="V36" s="329"/>
      <c r="W36" s="329"/>
      <c r="X36" s="329"/>
      <c r="Y36" s="329"/>
      <c r="Z36" s="329"/>
      <c r="AA36" s="329"/>
      <c r="AB36" s="329"/>
      <c r="AC36" s="329"/>
    </row>
    <row r="37" spans="1:29" s="307" customFormat="1" ht="15" customHeight="1" x14ac:dyDescent="0.2">
      <c r="A37" s="330" t="s">
        <v>125</v>
      </c>
      <c r="B37" s="331" t="str">
        <f t="shared" ref="B37:B42" si="12">VLOOKUP(A37,$A$106:$B$189,2,FALSE)</f>
        <v>Medidores faltantes</v>
      </c>
      <c r="C37" s="436"/>
      <c r="D37" s="332" t="s">
        <v>207</v>
      </c>
      <c r="E37" s="428">
        <f>IF(D37="NO",0,D122)</f>
        <v>0</v>
      </c>
      <c r="F37" s="428">
        <f>IF(D37="NO",0,D120)</f>
        <v>86470303.502883017</v>
      </c>
      <c r="G37" s="987">
        <f>IF(D37="NO",0,SUM($K131:$U131))</f>
        <v>0</v>
      </c>
      <c r="H37" s="987">
        <f>SUM($K119:$U119)</f>
        <v>116910199.71627259</v>
      </c>
      <c r="I37" s="310"/>
      <c r="J37" s="310"/>
      <c r="K37" s="435">
        <f t="shared" ref="K37:U37" si="13">IF($D37="","",IF($D37="No",0,K$121))</f>
        <v>0</v>
      </c>
      <c r="L37" s="435">
        <f t="shared" si="13"/>
        <v>0</v>
      </c>
      <c r="M37" s="435">
        <f t="shared" si="13"/>
        <v>0</v>
      </c>
      <c r="N37" s="435">
        <f t="shared" si="13"/>
        <v>0</v>
      </c>
      <c r="O37" s="435">
        <f t="shared" si="13"/>
        <v>0</v>
      </c>
      <c r="P37" s="435">
        <f t="shared" si="13"/>
        <v>0</v>
      </c>
      <c r="Q37" s="435">
        <f t="shared" si="13"/>
        <v>0</v>
      </c>
      <c r="R37" s="435">
        <f t="shared" si="13"/>
        <v>0</v>
      </c>
      <c r="S37" s="435">
        <f t="shared" si="13"/>
        <v>0</v>
      </c>
      <c r="T37" s="435">
        <f t="shared" si="13"/>
        <v>0</v>
      </c>
      <c r="U37" s="435">
        <f t="shared" si="13"/>
        <v>0</v>
      </c>
      <c r="V37" s="333"/>
      <c r="W37" s="333"/>
      <c r="X37" s="333"/>
      <c r="Y37" s="333"/>
      <c r="Z37" s="333"/>
      <c r="AA37" s="333"/>
      <c r="AB37" s="333"/>
      <c r="AC37" s="333"/>
    </row>
    <row r="38" spans="1:29" s="307" customFormat="1" ht="15" customHeight="1" x14ac:dyDescent="0.2">
      <c r="A38" s="330" t="s">
        <v>126</v>
      </c>
      <c r="B38" s="331" t="str">
        <f t="shared" si="12"/>
        <v>Telemetría y/o almacenamiento local de datos</v>
      </c>
      <c r="C38" s="436"/>
      <c r="D38" s="332" t="s">
        <v>207</v>
      </c>
      <c r="E38" s="428">
        <f>IF(D38="NO",0,D136)</f>
        <v>0</v>
      </c>
      <c r="F38" s="428">
        <f>IF(D38="NO",0,D134)</f>
        <v>15218618.985471366</v>
      </c>
      <c r="G38" s="987">
        <f>IF(D38="NO",0,SUM($K132:$U132))</f>
        <v>0</v>
      </c>
      <c r="H38" s="987">
        <f>SUM($K133:$U133)</f>
        <v>20575986.355107382</v>
      </c>
      <c r="I38" s="310"/>
      <c r="J38" s="310"/>
      <c r="K38" s="435">
        <f t="shared" ref="K38:U38" si="14">IF($D38="","",IF($D38="No",0,K$135))</f>
        <v>0</v>
      </c>
      <c r="L38" s="435">
        <f t="shared" si="14"/>
        <v>0</v>
      </c>
      <c r="M38" s="435">
        <f t="shared" si="14"/>
        <v>0</v>
      </c>
      <c r="N38" s="435">
        <f t="shared" si="14"/>
        <v>0</v>
      </c>
      <c r="O38" s="435">
        <f t="shared" si="14"/>
        <v>0</v>
      </c>
      <c r="P38" s="435">
        <f t="shared" si="14"/>
        <v>0</v>
      </c>
      <c r="Q38" s="435">
        <f t="shared" si="14"/>
        <v>0</v>
      </c>
      <c r="R38" s="435">
        <f t="shared" si="14"/>
        <v>0</v>
      </c>
      <c r="S38" s="435">
        <f t="shared" si="14"/>
        <v>0</v>
      </c>
      <c r="T38" s="435">
        <f t="shared" si="14"/>
        <v>0</v>
      </c>
      <c r="U38" s="435">
        <f t="shared" si="14"/>
        <v>0</v>
      </c>
      <c r="V38" s="333"/>
      <c r="W38" s="333"/>
      <c r="X38" s="333"/>
      <c r="Y38" s="333"/>
      <c r="Z38" s="333"/>
      <c r="AA38" s="333"/>
      <c r="AB38" s="333"/>
      <c r="AC38" s="333"/>
    </row>
    <row r="39" spans="1:29" s="307" customFormat="1" ht="15" customHeight="1" x14ac:dyDescent="0.2">
      <c r="A39" s="330" t="s">
        <v>127</v>
      </c>
      <c r="B39" s="331" t="str">
        <f t="shared" si="12"/>
        <v>Procesamiento de datos</v>
      </c>
      <c r="C39" s="436"/>
      <c r="D39" s="332" t="s">
        <v>207</v>
      </c>
      <c r="E39" s="428">
        <f>IF(D39="NO",0,D148)</f>
        <v>0</v>
      </c>
      <c r="F39" s="434">
        <f>IF(D39="NO",0,D146)</f>
        <v>26722425.110290654</v>
      </c>
      <c r="G39" s="987">
        <f>IF(D39="NO",0,SUM($K144:$U144))</f>
        <v>61012280.934201792</v>
      </c>
      <c r="H39" s="987">
        <f>SUM($K145:$U145)</f>
        <v>0</v>
      </c>
      <c r="I39" s="310"/>
      <c r="J39" s="310"/>
      <c r="K39" s="435">
        <f t="shared" ref="K39:U39" si="15">IF($D39="","",IF($D39="No",0,K$147))</f>
        <v>0</v>
      </c>
      <c r="L39" s="435">
        <f t="shared" si="15"/>
        <v>0</v>
      </c>
      <c r="M39" s="435">
        <f t="shared" si="15"/>
        <v>0</v>
      </c>
      <c r="N39" s="435">
        <f t="shared" si="15"/>
        <v>0</v>
      </c>
      <c r="O39" s="435">
        <f t="shared" si="15"/>
        <v>0</v>
      </c>
      <c r="P39" s="435">
        <f t="shared" si="15"/>
        <v>0</v>
      </c>
      <c r="Q39" s="435">
        <f t="shared" si="15"/>
        <v>0</v>
      </c>
      <c r="R39" s="435">
        <f t="shared" si="15"/>
        <v>0</v>
      </c>
      <c r="S39" s="435">
        <f t="shared" si="15"/>
        <v>0</v>
      </c>
      <c r="T39" s="435">
        <f t="shared" si="15"/>
        <v>0</v>
      </c>
      <c r="U39" s="435">
        <f t="shared" si="15"/>
        <v>0</v>
      </c>
      <c r="V39" s="333"/>
      <c r="W39" s="333"/>
      <c r="X39" s="333"/>
      <c r="Y39" s="333"/>
      <c r="Z39" s="333"/>
      <c r="AA39" s="333"/>
      <c r="AB39" s="333"/>
      <c r="AC39" s="333"/>
    </row>
    <row r="40" spans="1:29" s="310" customFormat="1" ht="15" customHeight="1" x14ac:dyDescent="0.2">
      <c r="A40" s="330" t="s">
        <v>128</v>
      </c>
      <c r="B40" s="331" t="str">
        <f t="shared" si="12"/>
        <v>Análisis de datos</v>
      </c>
      <c r="C40" s="436"/>
      <c r="D40" s="332" t="s">
        <v>207</v>
      </c>
      <c r="E40" s="428">
        <f>IF(D40="NO",0,D160)</f>
        <v>0</v>
      </c>
      <c r="F40" s="434">
        <f>IF(D40="NO",0,D158)</f>
        <v>31647410.397417612</v>
      </c>
      <c r="G40" s="987">
        <f>IF(D40="NO",0,SUM($K156:$U156))</f>
        <v>72256940.978895321</v>
      </c>
      <c r="H40" s="987">
        <f>SUM($K157:$U157)</f>
        <v>0</v>
      </c>
      <c r="K40" s="435">
        <f t="shared" ref="K40:U40" si="16">IF($D40="","",IF($D40="No",0,K$159))</f>
        <v>0</v>
      </c>
      <c r="L40" s="435">
        <f t="shared" si="16"/>
        <v>0</v>
      </c>
      <c r="M40" s="435">
        <f t="shared" si="16"/>
        <v>0</v>
      </c>
      <c r="N40" s="435">
        <f t="shared" si="16"/>
        <v>0</v>
      </c>
      <c r="O40" s="435">
        <f t="shared" si="16"/>
        <v>0</v>
      </c>
      <c r="P40" s="435">
        <f t="shared" si="16"/>
        <v>0</v>
      </c>
      <c r="Q40" s="435">
        <f t="shared" si="16"/>
        <v>0</v>
      </c>
      <c r="R40" s="435">
        <f t="shared" si="16"/>
        <v>0</v>
      </c>
      <c r="S40" s="435">
        <f t="shared" si="16"/>
        <v>0</v>
      </c>
      <c r="T40" s="435">
        <f t="shared" si="16"/>
        <v>0</v>
      </c>
      <c r="U40" s="435">
        <f t="shared" si="16"/>
        <v>0</v>
      </c>
      <c r="V40" s="333"/>
      <c r="W40" s="333"/>
      <c r="X40" s="333"/>
      <c r="Y40" s="333"/>
      <c r="Z40" s="333"/>
      <c r="AA40" s="333"/>
      <c r="AB40" s="333"/>
      <c r="AC40" s="333"/>
    </row>
    <row r="41" spans="1:29" s="310" customFormat="1" ht="15" customHeight="1" x14ac:dyDescent="0.2">
      <c r="A41" s="330" t="s">
        <v>129</v>
      </c>
      <c r="B41" s="331" t="str">
        <f t="shared" si="12"/>
        <v>Verificación metrológica</v>
      </c>
      <c r="C41" s="436"/>
      <c r="D41" s="332" t="s">
        <v>207</v>
      </c>
      <c r="E41" s="428">
        <f>IF(D41="NO",0,D172)</f>
        <v>0</v>
      </c>
      <c r="F41" s="434">
        <f>IF(D41="NO",0,D170)</f>
        <v>58037402.179721832</v>
      </c>
      <c r="G41" s="987">
        <f>SUM($K168:$U168)</f>
        <v>134770967.30374914</v>
      </c>
      <c r="H41" s="987">
        <f>SUM($K169:$U169)</f>
        <v>0</v>
      </c>
      <c r="K41" s="435">
        <f t="shared" ref="K41:U41" si="17">IF($D41="","",IF($D41="No",0,K$171))</f>
        <v>0</v>
      </c>
      <c r="L41" s="435">
        <f t="shared" si="17"/>
        <v>0</v>
      </c>
      <c r="M41" s="435">
        <f t="shared" si="17"/>
        <v>0</v>
      </c>
      <c r="N41" s="435">
        <f t="shared" si="17"/>
        <v>0</v>
      </c>
      <c r="O41" s="435">
        <f t="shared" si="17"/>
        <v>0</v>
      </c>
      <c r="P41" s="435">
        <f t="shared" si="17"/>
        <v>0</v>
      </c>
      <c r="Q41" s="435">
        <f t="shared" si="17"/>
        <v>0</v>
      </c>
      <c r="R41" s="435">
        <f t="shared" si="17"/>
        <v>0</v>
      </c>
      <c r="S41" s="435">
        <f t="shared" si="17"/>
        <v>0</v>
      </c>
      <c r="T41" s="435">
        <f t="shared" si="17"/>
        <v>0</v>
      </c>
      <c r="U41" s="435">
        <f t="shared" si="17"/>
        <v>0</v>
      </c>
      <c r="V41" s="333"/>
      <c r="W41" s="333"/>
      <c r="X41" s="333"/>
      <c r="Y41" s="333"/>
      <c r="Z41" s="333"/>
      <c r="AA41" s="333"/>
      <c r="AB41" s="333"/>
      <c r="AC41" s="333"/>
    </row>
    <row r="42" spans="1:29" s="310" customFormat="1" ht="15" customHeight="1" x14ac:dyDescent="0.2">
      <c r="A42" s="330" t="s">
        <v>130</v>
      </c>
      <c r="B42" s="331" t="str">
        <f t="shared" si="12"/>
        <v>Reemplazo de macromedidores</v>
      </c>
      <c r="C42" s="436"/>
      <c r="D42" s="332" t="s">
        <v>207</v>
      </c>
      <c r="E42" s="428">
        <f>IF(D42="NO",0,D188)</f>
        <v>0</v>
      </c>
      <c r="F42" s="434">
        <f>IF(D42="NO",0,D186)</f>
        <v>109960165.63711956</v>
      </c>
      <c r="G42" s="987">
        <f>SUM($K184:$U184)</f>
        <v>0</v>
      </c>
      <c r="H42" s="987">
        <f>SUM($K185:$U185)</f>
        <v>158954974.19431514</v>
      </c>
      <c r="K42" s="435">
        <f t="shared" ref="K42:U42" si="18">IF($D42="","",IF($D42="No",0,K$187))</f>
        <v>0</v>
      </c>
      <c r="L42" s="435">
        <f t="shared" si="18"/>
        <v>0</v>
      </c>
      <c r="M42" s="435">
        <f t="shared" si="18"/>
        <v>0</v>
      </c>
      <c r="N42" s="435">
        <f t="shared" si="18"/>
        <v>0</v>
      </c>
      <c r="O42" s="435">
        <f t="shared" si="18"/>
        <v>0</v>
      </c>
      <c r="P42" s="435">
        <f t="shared" si="18"/>
        <v>0</v>
      </c>
      <c r="Q42" s="435">
        <f t="shared" si="18"/>
        <v>0</v>
      </c>
      <c r="R42" s="435">
        <f t="shared" si="18"/>
        <v>0</v>
      </c>
      <c r="S42" s="435">
        <f t="shared" si="18"/>
        <v>0</v>
      </c>
      <c r="T42" s="435">
        <f t="shared" si="18"/>
        <v>0</v>
      </c>
      <c r="U42" s="435">
        <f t="shared" si="18"/>
        <v>0</v>
      </c>
      <c r="V42" s="333"/>
      <c r="W42" s="333"/>
      <c r="X42" s="333"/>
      <c r="Y42" s="333"/>
      <c r="Z42" s="333"/>
      <c r="AA42" s="333"/>
      <c r="AB42" s="333"/>
      <c r="AC42" s="333"/>
    </row>
    <row r="43" spans="1:29" s="307" customFormat="1" ht="15" customHeight="1" x14ac:dyDescent="0.25">
      <c r="A43" s="326">
        <v>1.2</v>
      </c>
      <c r="B43" s="327" t="s">
        <v>85</v>
      </c>
      <c r="C43" s="328"/>
      <c r="D43" s="328"/>
      <c r="E43" s="318"/>
      <c r="F43" s="334"/>
      <c r="G43" s="304"/>
      <c r="H43" s="304"/>
      <c r="I43" s="304"/>
      <c r="J43" s="304"/>
      <c r="K43" s="335"/>
      <c r="L43" s="335"/>
      <c r="M43" s="335"/>
      <c r="N43" s="335"/>
      <c r="O43" s="335"/>
      <c r="P43" s="335"/>
      <c r="Q43" s="335"/>
      <c r="R43" s="335"/>
      <c r="S43" s="335"/>
      <c r="T43" s="335"/>
      <c r="U43" s="335"/>
      <c r="V43" s="329"/>
      <c r="W43" s="329"/>
      <c r="X43" s="329"/>
      <c r="Y43" s="329"/>
      <c r="Z43" s="329"/>
      <c r="AA43" s="329"/>
      <c r="AB43" s="329"/>
      <c r="AC43" s="329"/>
    </row>
    <row r="44" spans="1:29" s="310" customFormat="1" ht="15" customHeight="1" x14ac:dyDescent="0.2">
      <c r="A44" s="330" t="s">
        <v>131</v>
      </c>
      <c r="B44" s="331" t="str">
        <f t="shared" ref="B44:B49" si="19">VLOOKUP(A44,$A$192:$B$275,2,FALSE)</f>
        <v>Medidores faltantes</v>
      </c>
      <c r="C44" s="436"/>
      <c r="D44" s="332" t="s">
        <v>207</v>
      </c>
      <c r="E44" s="434">
        <f>IF(D44="NO",0,D207)</f>
        <v>0</v>
      </c>
      <c r="F44" s="434">
        <f>IF(D44="NO",0,D205)</f>
        <v>0</v>
      </c>
      <c r="G44" s="987">
        <f>SUM($K203:$U203)</f>
        <v>0</v>
      </c>
      <c r="H44" s="987">
        <f>SUM($K204:$U204)</f>
        <v>0</v>
      </c>
      <c r="I44" s="304"/>
      <c r="J44" s="304"/>
      <c r="K44" s="435">
        <f t="shared" ref="K44:U44" si="20">IF($D44="","",IF($D44="No",0,K$206))</f>
        <v>0</v>
      </c>
      <c r="L44" s="435">
        <f t="shared" si="20"/>
        <v>0</v>
      </c>
      <c r="M44" s="435">
        <f t="shared" si="20"/>
        <v>0</v>
      </c>
      <c r="N44" s="435">
        <f t="shared" si="20"/>
        <v>0</v>
      </c>
      <c r="O44" s="435">
        <f t="shared" si="20"/>
        <v>0</v>
      </c>
      <c r="P44" s="435">
        <f t="shared" si="20"/>
        <v>0</v>
      </c>
      <c r="Q44" s="435">
        <f t="shared" si="20"/>
        <v>0</v>
      </c>
      <c r="R44" s="435">
        <f t="shared" si="20"/>
        <v>0</v>
      </c>
      <c r="S44" s="435">
        <f t="shared" si="20"/>
        <v>0</v>
      </c>
      <c r="T44" s="435">
        <f t="shared" si="20"/>
        <v>0</v>
      </c>
      <c r="U44" s="435">
        <f t="shared" si="20"/>
        <v>0</v>
      </c>
      <c r="V44" s="312"/>
      <c r="W44" s="312"/>
      <c r="X44" s="312"/>
      <c r="Y44" s="312"/>
      <c r="Z44" s="312"/>
      <c r="AA44" s="312"/>
      <c r="AB44" s="312"/>
      <c r="AC44" s="312"/>
    </row>
    <row r="45" spans="1:29" s="310" customFormat="1" ht="15" customHeight="1" x14ac:dyDescent="0.2">
      <c r="A45" s="330" t="s">
        <v>132</v>
      </c>
      <c r="B45" s="331" t="str">
        <f t="shared" si="19"/>
        <v>Telemetría y/o almacenamiento local de datos</v>
      </c>
      <c r="C45" s="436"/>
      <c r="D45" s="332" t="s">
        <v>207</v>
      </c>
      <c r="E45" s="434">
        <f>IF(D45="NO",0,D221)</f>
        <v>0</v>
      </c>
      <c r="F45" s="434">
        <f>IF(D45="NO",0,D219)</f>
        <v>0</v>
      </c>
      <c r="G45" s="987">
        <f>SUM($K217:$U217)</f>
        <v>0</v>
      </c>
      <c r="H45" s="987">
        <f>SUM($K218:$U218)</f>
        <v>0</v>
      </c>
      <c r="I45" s="304"/>
      <c r="J45" s="304"/>
      <c r="K45" s="435">
        <f t="shared" ref="K45:U45" si="21">IF($D45="","",IF($D45="No",0,K$220))</f>
        <v>0</v>
      </c>
      <c r="L45" s="435">
        <f t="shared" si="21"/>
        <v>0</v>
      </c>
      <c r="M45" s="435">
        <f t="shared" si="21"/>
        <v>0</v>
      </c>
      <c r="N45" s="435">
        <f t="shared" si="21"/>
        <v>0</v>
      </c>
      <c r="O45" s="435">
        <f t="shared" si="21"/>
        <v>0</v>
      </c>
      <c r="P45" s="435">
        <f t="shared" si="21"/>
        <v>0</v>
      </c>
      <c r="Q45" s="435">
        <f t="shared" si="21"/>
        <v>0</v>
      </c>
      <c r="R45" s="435">
        <f t="shared" si="21"/>
        <v>0</v>
      </c>
      <c r="S45" s="435">
        <f t="shared" si="21"/>
        <v>0</v>
      </c>
      <c r="T45" s="435">
        <f t="shared" si="21"/>
        <v>0</v>
      </c>
      <c r="U45" s="435">
        <f t="shared" si="21"/>
        <v>0</v>
      </c>
      <c r="V45" s="312"/>
      <c r="W45" s="312"/>
      <c r="X45" s="312"/>
      <c r="Y45" s="312"/>
      <c r="Z45" s="312"/>
      <c r="AA45" s="312"/>
      <c r="AB45" s="312"/>
      <c r="AC45" s="312"/>
    </row>
    <row r="46" spans="1:29" s="310" customFormat="1" ht="15" customHeight="1" x14ac:dyDescent="0.2">
      <c r="A46" s="330" t="s">
        <v>133</v>
      </c>
      <c r="B46" s="331" t="str">
        <f t="shared" si="19"/>
        <v>Procesamiento de datos</v>
      </c>
      <c r="C46" s="436"/>
      <c r="D46" s="332" t="s">
        <v>207</v>
      </c>
      <c r="E46" s="434">
        <f>IF(D46="NO",0,D233)</f>
        <v>0</v>
      </c>
      <c r="F46" s="434">
        <f>IF(D46="NO",0,D231)</f>
        <v>31889159.015546571</v>
      </c>
      <c r="G46" s="987">
        <f>SUM($K229:$U229)</f>
        <v>71297178.210516334</v>
      </c>
      <c r="H46" s="987">
        <f>SUM($K230:$U230)</f>
        <v>0</v>
      </c>
      <c r="I46" s="304"/>
      <c r="J46" s="304"/>
      <c r="K46" s="435">
        <f t="shared" ref="K46:U46" si="22">IF($D46="","",IF($D46="No",0,K$232))</f>
        <v>0</v>
      </c>
      <c r="L46" s="435">
        <f t="shared" si="22"/>
        <v>0</v>
      </c>
      <c r="M46" s="435">
        <f t="shared" si="22"/>
        <v>0</v>
      </c>
      <c r="N46" s="435">
        <f t="shared" si="22"/>
        <v>0</v>
      </c>
      <c r="O46" s="435">
        <f t="shared" si="22"/>
        <v>0</v>
      </c>
      <c r="P46" s="435">
        <f t="shared" si="22"/>
        <v>0</v>
      </c>
      <c r="Q46" s="435">
        <f t="shared" si="22"/>
        <v>0</v>
      </c>
      <c r="R46" s="435">
        <f t="shared" si="22"/>
        <v>0</v>
      </c>
      <c r="S46" s="435">
        <f t="shared" si="22"/>
        <v>0</v>
      </c>
      <c r="T46" s="435">
        <f t="shared" si="22"/>
        <v>0</v>
      </c>
      <c r="U46" s="435">
        <f t="shared" si="22"/>
        <v>0</v>
      </c>
      <c r="V46" s="312"/>
      <c r="W46" s="312"/>
      <c r="X46" s="312"/>
      <c r="Y46" s="312"/>
      <c r="Z46" s="312"/>
      <c r="AA46" s="312"/>
      <c r="AB46" s="312"/>
      <c r="AC46" s="312"/>
    </row>
    <row r="47" spans="1:29" s="310" customFormat="1" ht="15" customHeight="1" x14ac:dyDescent="0.2">
      <c r="A47" s="330" t="s">
        <v>134</v>
      </c>
      <c r="B47" s="331" t="str">
        <f t="shared" si="19"/>
        <v>Análisis de datos</v>
      </c>
      <c r="C47" s="436"/>
      <c r="D47" s="332" t="s">
        <v>207</v>
      </c>
      <c r="E47" s="434">
        <f>IF(D47="NO",0,D245)</f>
        <v>0</v>
      </c>
      <c r="F47" s="434">
        <f>IF(D47="NO",0,D243)</f>
        <v>37766381.547641478</v>
      </c>
      <c r="G47" s="987">
        <f>SUM($K241:$U241)</f>
        <v>84437361.118737504</v>
      </c>
      <c r="H47" s="987">
        <f>SUM($K242:$U242)</f>
        <v>0</v>
      </c>
      <c r="I47" s="304"/>
      <c r="J47" s="304"/>
      <c r="K47" s="435">
        <f t="shared" ref="K47:U47" si="23">IF($D47="","",IF($D47="No",0,K$244))</f>
        <v>0</v>
      </c>
      <c r="L47" s="435">
        <f t="shared" si="23"/>
        <v>0</v>
      </c>
      <c r="M47" s="435">
        <f t="shared" si="23"/>
        <v>0</v>
      </c>
      <c r="N47" s="435">
        <f t="shared" si="23"/>
        <v>0</v>
      </c>
      <c r="O47" s="435">
        <f t="shared" si="23"/>
        <v>0</v>
      </c>
      <c r="P47" s="435">
        <f t="shared" si="23"/>
        <v>0</v>
      </c>
      <c r="Q47" s="435">
        <f t="shared" si="23"/>
        <v>0</v>
      </c>
      <c r="R47" s="435">
        <f t="shared" si="23"/>
        <v>0</v>
      </c>
      <c r="S47" s="435">
        <f t="shared" si="23"/>
        <v>0</v>
      </c>
      <c r="T47" s="435">
        <f t="shared" si="23"/>
        <v>0</v>
      </c>
      <c r="U47" s="435">
        <f t="shared" si="23"/>
        <v>0</v>
      </c>
      <c r="V47" s="312"/>
      <c r="W47" s="312"/>
      <c r="X47" s="312"/>
      <c r="Y47" s="312"/>
      <c r="Z47" s="312"/>
      <c r="AA47" s="312"/>
      <c r="AB47" s="312"/>
      <c r="AC47" s="312"/>
    </row>
    <row r="48" spans="1:29" s="310" customFormat="1" ht="15" customHeight="1" x14ac:dyDescent="0.2">
      <c r="A48" s="330" t="s">
        <v>135</v>
      </c>
      <c r="B48" s="331" t="str">
        <f t="shared" si="19"/>
        <v>Verificación metrológica</v>
      </c>
      <c r="C48" s="436"/>
      <c r="D48" s="332" t="s">
        <v>207</v>
      </c>
      <c r="E48" s="434">
        <f>IF(D48="NO",0,D257)</f>
        <v>0</v>
      </c>
      <c r="F48" s="434">
        <f>IF(D48="NO",0,D255)</f>
        <v>72156150.351886988</v>
      </c>
      <c r="G48" s="987">
        <f>SUM($K253:$U253)</f>
        <v>161325355.3696804</v>
      </c>
      <c r="H48" s="987">
        <f>SUM($K254:$U254)</f>
        <v>0</v>
      </c>
      <c r="I48" s="304"/>
      <c r="J48" s="304"/>
      <c r="K48" s="435">
        <f t="shared" ref="K48:U48" si="24">IF($D48="","",IF($D48="No",0,K$256))</f>
        <v>0</v>
      </c>
      <c r="L48" s="435">
        <f t="shared" si="24"/>
        <v>0</v>
      </c>
      <c r="M48" s="435">
        <f t="shared" si="24"/>
        <v>0</v>
      </c>
      <c r="N48" s="435">
        <f t="shared" si="24"/>
        <v>0</v>
      </c>
      <c r="O48" s="435">
        <f t="shared" si="24"/>
        <v>0</v>
      </c>
      <c r="P48" s="435">
        <f t="shared" si="24"/>
        <v>0</v>
      </c>
      <c r="Q48" s="435">
        <f t="shared" si="24"/>
        <v>0</v>
      </c>
      <c r="R48" s="435">
        <f t="shared" si="24"/>
        <v>0</v>
      </c>
      <c r="S48" s="435">
        <f t="shared" si="24"/>
        <v>0</v>
      </c>
      <c r="T48" s="435">
        <f t="shared" si="24"/>
        <v>0</v>
      </c>
      <c r="U48" s="435">
        <f t="shared" si="24"/>
        <v>0</v>
      </c>
      <c r="V48" s="312"/>
      <c r="W48" s="312"/>
      <c r="X48" s="312"/>
      <c r="Y48" s="312"/>
      <c r="Z48" s="312"/>
      <c r="AA48" s="312"/>
      <c r="AB48" s="312"/>
      <c r="AC48" s="312"/>
    </row>
    <row r="49" spans="1:29" s="310" customFormat="1" ht="15" customHeight="1" x14ac:dyDescent="0.2">
      <c r="A49" s="330" t="s">
        <v>136</v>
      </c>
      <c r="B49" s="331" t="str">
        <f t="shared" si="19"/>
        <v>Reemplazo de macromedidores</v>
      </c>
      <c r="C49" s="436"/>
      <c r="D49" s="332" t="s">
        <v>207</v>
      </c>
      <c r="E49" s="434">
        <f>IF(D49="NO",0,D273)</f>
        <v>0</v>
      </c>
      <c r="F49" s="434">
        <f>IF(D49="NO",0,D271)</f>
        <v>23816479.177167866</v>
      </c>
      <c r="G49" s="987">
        <f>SUM($K269:$U269)</f>
        <v>0</v>
      </c>
      <c r="H49" s="987">
        <f>SUM($K270:$U270)</f>
        <v>69781498.696856827</v>
      </c>
      <c r="I49" s="304"/>
      <c r="J49" s="304"/>
      <c r="K49" s="435">
        <f t="shared" ref="K49:U49" si="25">IF($D49="","",IF($D49="No",0,K$272))</f>
        <v>0</v>
      </c>
      <c r="L49" s="435">
        <f t="shared" si="25"/>
        <v>0</v>
      </c>
      <c r="M49" s="435">
        <f t="shared" si="25"/>
        <v>0</v>
      </c>
      <c r="N49" s="435">
        <f t="shared" si="25"/>
        <v>0</v>
      </c>
      <c r="O49" s="435">
        <f t="shared" si="25"/>
        <v>0</v>
      </c>
      <c r="P49" s="435">
        <f t="shared" si="25"/>
        <v>0</v>
      </c>
      <c r="Q49" s="435">
        <f t="shared" si="25"/>
        <v>0</v>
      </c>
      <c r="R49" s="435">
        <f t="shared" si="25"/>
        <v>0</v>
      </c>
      <c r="S49" s="435">
        <f t="shared" si="25"/>
        <v>0</v>
      </c>
      <c r="T49" s="435">
        <f t="shared" si="25"/>
        <v>0</v>
      </c>
      <c r="U49" s="435">
        <f t="shared" si="25"/>
        <v>0</v>
      </c>
      <c r="V49" s="312"/>
      <c r="W49" s="312"/>
      <c r="X49" s="312"/>
      <c r="Y49" s="312"/>
      <c r="Z49" s="312"/>
      <c r="AA49" s="312"/>
      <c r="AB49" s="312"/>
      <c r="AC49" s="312"/>
    </row>
    <row r="50" spans="1:29" s="307" customFormat="1" ht="15" customHeight="1" x14ac:dyDescent="0.25">
      <c r="A50" s="326">
        <v>1.3</v>
      </c>
      <c r="B50" s="327" t="s">
        <v>86</v>
      </c>
      <c r="C50" s="328"/>
      <c r="D50" s="332" t="s">
        <v>207</v>
      </c>
      <c r="E50" s="334"/>
      <c r="F50" s="334"/>
      <c r="G50" s="304"/>
      <c r="H50" s="304"/>
      <c r="I50" s="304"/>
      <c r="J50" s="304"/>
      <c r="K50" s="335"/>
      <c r="L50" s="335"/>
      <c r="M50" s="335"/>
      <c r="N50" s="335"/>
      <c r="O50" s="335"/>
      <c r="P50" s="335"/>
      <c r="Q50" s="335"/>
      <c r="R50" s="335"/>
      <c r="S50" s="335"/>
      <c r="T50" s="335"/>
      <c r="U50" s="335"/>
      <c r="V50" s="329"/>
      <c r="W50" s="329"/>
      <c r="X50" s="329"/>
      <c r="Y50" s="329"/>
      <c r="Z50" s="329"/>
      <c r="AA50" s="329"/>
      <c r="AB50" s="329"/>
      <c r="AC50" s="329"/>
    </row>
    <row r="51" spans="1:29" s="310" customFormat="1" ht="15" customHeight="1" x14ac:dyDescent="0.2">
      <c r="A51" s="330" t="s">
        <v>137</v>
      </c>
      <c r="B51" s="331" t="str">
        <f t="shared" ref="B51:B56" si="26">VLOOKUP(A51,$A$274:$B$357,2,FALSE)</f>
        <v>Medidores faltantes</v>
      </c>
      <c r="C51" s="436"/>
      <c r="D51" s="332" t="s">
        <v>207</v>
      </c>
      <c r="E51" s="434">
        <f>IF(D51="NO",0,D292)</f>
        <v>0</v>
      </c>
      <c r="F51" s="434">
        <f>IF(D51="NO",0,D290)</f>
        <v>43235151.751441509</v>
      </c>
      <c r="G51" s="987">
        <f>SUM($K288:$U288)</f>
        <v>0</v>
      </c>
      <c r="H51" s="987">
        <f>SUM($K289:$U289)</f>
        <v>58455099.858136296</v>
      </c>
      <c r="I51" s="304"/>
      <c r="J51" s="304"/>
      <c r="K51" s="435">
        <f t="shared" ref="K51:U51" si="27">IF($D51="","",IF($D51="No",0,K$291))</f>
        <v>0</v>
      </c>
      <c r="L51" s="435">
        <f t="shared" si="27"/>
        <v>0</v>
      </c>
      <c r="M51" s="435">
        <f t="shared" si="27"/>
        <v>0</v>
      </c>
      <c r="N51" s="435">
        <f t="shared" si="27"/>
        <v>0</v>
      </c>
      <c r="O51" s="435">
        <f t="shared" si="27"/>
        <v>0</v>
      </c>
      <c r="P51" s="435">
        <f t="shared" si="27"/>
        <v>0</v>
      </c>
      <c r="Q51" s="435">
        <f t="shared" si="27"/>
        <v>0</v>
      </c>
      <c r="R51" s="435">
        <f t="shared" si="27"/>
        <v>0</v>
      </c>
      <c r="S51" s="435">
        <f t="shared" si="27"/>
        <v>0</v>
      </c>
      <c r="T51" s="435">
        <f t="shared" si="27"/>
        <v>0</v>
      </c>
      <c r="U51" s="435">
        <f t="shared" si="27"/>
        <v>0</v>
      </c>
      <c r="V51" s="312"/>
      <c r="W51" s="312"/>
      <c r="X51" s="312"/>
      <c r="Y51" s="312"/>
      <c r="Z51" s="312"/>
      <c r="AA51" s="312"/>
      <c r="AB51" s="312"/>
      <c r="AC51" s="312"/>
    </row>
    <row r="52" spans="1:29" s="310" customFormat="1" ht="15" customHeight="1" x14ac:dyDescent="0.2">
      <c r="A52" s="330" t="s">
        <v>138</v>
      </c>
      <c r="B52" s="331" t="str">
        <f t="shared" si="26"/>
        <v>Telemetría y/o almacenamiento local de datos</v>
      </c>
      <c r="C52" s="436"/>
      <c r="D52" s="332" t="s">
        <v>207</v>
      </c>
      <c r="E52" s="434">
        <f>IF(D52="NO",0,D306)</f>
        <v>0</v>
      </c>
      <c r="F52" s="434">
        <f>IF(D52="NO",0,D304)</f>
        <v>0</v>
      </c>
      <c r="G52" s="987">
        <f>SUM($K302:$U302)</f>
        <v>0</v>
      </c>
      <c r="H52" s="987">
        <f>SUM($K303:$U303)</f>
        <v>0</v>
      </c>
      <c r="I52" s="304"/>
      <c r="J52" s="304"/>
      <c r="K52" s="435">
        <f t="shared" ref="K52:U52" si="28">IF($D52="","",IF($D52="No",0,K$305))</f>
        <v>0</v>
      </c>
      <c r="L52" s="435">
        <f t="shared" si="28"/>
        <v>0</v>
      </c>
      <c r="M52" s="435">
        <f t="shared" si="28"/>
        <v>0</v>
      </c>
      <c r="N52" s="435">
        <f t="shared" si="28"/>
        <v>0</v>
      </c>
      <c r="O52" s="435">
        <f t="shared" si="28"/>
        <v>0</v>
      </c>
      <c r="P52" s="435">
        <f t="shared" si="28"/>
        <v>0</v>
      </c>
      <c r="Q52" s="435">
        <f t="shared" si="28"/>
        <v>0</v>
      </c>
      <c r="R52" s="435">
        <f t="shared" si="28"/>
        <v>0</v>
      </c>
      <c r="S52" s="435">
        <f t="shared" si="28"/>
        <v>0</v>
      </c>
      <c r="T52" s="435">
        <f t="shared" si="28"/>
        <v>0</v>
      </c>
      <c r="U52" s="435">
        <f t="shared" si="28"/>
        <v>0</v>
      </c>
      <c r="V52" s="312"/>
      <c r="W52" s="312"/>
      <c r="X52" s="312"/>
      <c r="Y52" s="312"/>
      <c r="Z52" s="312"/>
      <c r="AA52" s="312"/>
      <c r="AB52" s="312"/>
      <c r="AC52" s="312"/>
    </row>
    <row r="53" spans="1:29" s="310" customFormat="1" ht="15" customHeight="1" x14ac:dyDescent="0.2">
      <c r="A53" s="330" t="s">
        <v>139</v>
      </c>
      <c r="B53" s="331" t="str">
        <f t="shared" si="26"/>
        <v>Procesamiento de datos</v>
      </c>
      <c r="C53" s="436"/>
      <c r="D53" s="332" t="s">
        <v>207</v>
      </c>
      <c r="E53" s="434">
        <f>IF(D53="NO",0,D317)</f>
        <v>0</v>
      </c>
      <c r="F53" s="434">
        <f>IF(D53="NO",0,D315)</f>
        <v>40630188.786682576</v>
      </c>
      <c r="G53" s="987">
        <f>SUM($K313:$U313)</f>
        <v>106259392.31577449</v>
      </c>
      <c r="H53" s="987">
        <f>SUM($K314:$U314)</f>
        <v>0</v>
      </c>
      <c r="I53" s="304"/>
      <c r="J53" s="304"/>
      <c r="K53" s="435">
        <f t="shared" ref="K53:U53" si="29">IF($D53="","",IF($D53="No",0,K$316))</f>
        <v>0</v>
      </c>
      <c r="L53" s="435">
        <f t="shared" si="29"/>
        <v>0</v>
      </c>
      <c r="M53" s="435">
        <f t="shared" si="29"/>
        <v>0</v>
      </c>
      <c r="N53" s="435">
        <f t="shared" si="29"/>
        <v>0</v>
      </c>
      <c r="O53" s="435">
        <f t="shared" si="29"/>
        <v>0</v>
      </c>
      <c r="P53" s="435">
        <f t="shared" si="29"/>
        <v>0</v>
      </c>
      <c r="Q53" s="435">
        <f t="shared" si="29"/>
        <v>0</v>
      </c>
      <c r="R53" s="435">
        <f t="shared" si="29"/>
        <v>0</v>
      </c>
      <c r="S53" s="435">
        <f t="shared" si="29"/>
        <v>0</v>
      </c>
      <c r="T53" s="435">
        <f t="shared" si="29"/>
        <v>0</v>
      </c>
      <c r="U53" s="435">
        <f t="shared" si="29"/>
        <v>0</v>
      </c>
      <c r="V53" s="312"/>
      <c r="W53" s="312"/>
      <c r="X53" s="312"/>
      <c r="Y53" s="312"/>
      <c r="Z53" s="312"/>
      <c r="AA53" s="312"/>
      <c r="AB53" s="312"/>
      <c r="AC53" s="312"/>
    </row>
    <row r="54" spans="1:29" s="310" customFormat="1" ht="15" customHeight="1" x14ac:dyDescent="0.2">
      <c r="A54" s="330" t="s">
        <v>140</v>
      </c>
      <c r="B54" s="331" t="str">
        <f t="shared" si="26"/>
        <v>Análisis de datos</v>
      </c>
      <c r="C54" s="436"/>
      <c r="D54" s="332" t="s">
        <v>207</v>
      </c>
      <c r="E54" s="434">
        <f>IF(D54="NO",0,D328)</f>
        <v>0</v>
      </c>
      <c r="F54" s="434">
        <f>IF(D54="NO",0,D326)</f>
        <v>55950485.593077868</v>
      </c>
      <c r="G54" s="987">
        <f>SUM($K324:$U324)</f>
        <v>125843166.67810628</v>
      </c>
      <c r="H54" s="987">
        <f>SUM($K325:$U325)</f>
        <v>0</v>
      </c>
      <c r="I54" s="304"/>
      <c r="J54" s="304"/>
      <c r="K54" s="435">
        <f t="shared" ref="K54:U54" si="30">IF($D54="","",IF($D54="No",0,K$327))</f>
        <v>0</v>
      </c>
      <c r="L54" s="435">
        <f t="shared" si="30"/>
        <v>0</v>
      </c>
      <c r="M54" s="435">
        <f t="shared" si="30"/>
        <v>0</v>
      </c>
      <c r="N54" s="435">
        <f t="shared" si="30"/>
        <v>0</v>
      </c>
      <c r="O54" s="435">
        <f t="shared" si="30"/>
        <v>0</v>
      </c>
      <c r="P54" s="435">
        <f t="shared" si="30"/>
        <v>0</v>
      </c>
      <c r="Q54" s="435">
        <f t="shared" si="30"/>
        <v>0</v>
      </c>
      <c r="R54" s="435">
        <f t="shared" si="30"/>
        <v>0</v>
      </c>
      <c r="S54" s="435">
        <f t="shared" si="30"/>
        <v>0</v>
      </c>
      <c r="T54" s="435">
        <f t="shared" si="30"/>
        <v>0</v>
      </c>
      <c r="U54" s="435">
        <f t="shared" si="30"/>
        <v>0</v>
      </c>
      <c r="V54" s="312"/>
      <c r="W54" s="312"/>
      <c r="X54" s="312"/>
      <c r="Y54" s="312"/>
      <c r="Z54" s="312"/>
      <c r="AA54" s="312"/>
      <c r="AB54" s="312"/>
      <c r="AC54" s="312"/>
    </row>
    <row r="55" spans="1:29" s="310" customFormat="1" ht="15" customHeight="1" x14ac:dyDescent="0.2">
      <c r="A55" s="330" t="s">
        <v>141</v>
      </c>
      <c r="B55" s="331" t="str">
        <f t="shared" si="26"/>
        <v>Verificación metrológica</v>
      </c>
      <c r="C55" s="436"/>
      <c r="D55" s="332" t="s">
        <v>207</v>
      </c>
      <c r="E55" s="434">
        <f>IF(D55="NO",0,D339)</f>
        <v>0</v>
      </c>
      <c r="F55" s="434">
        <f>IF(D55="NO",0,D337)</f>
        <v>106898555.94511773</v>
      </c>
      <c r="G55" s="987">
        <f>SUM($K335:$U335)</f>
        <v>240434960.4986206</v>
      </c>
      <c r="H55" s="987">
        <f>SUM($K336:$U336)</f>
        <v>0</v>
      </c>
      <c r="I55" s="304"/>
      <c r="J55" s="304"/>
      <c r="K55" s="435">
        <f t="shared" ref="K55:U55" si="31">IF($D55="","",IF($D55="No",0,K$338))</f>
        <v>0</v>
      </c>
      <c r="L55" s="435">
        <f t="shared" si="31"/>
        <v>0</v>
      </c>
      <c r="M55" s="435">
        <f t="shared" si="31"/>
        <v>0</v>
      </c>
      <c r="N55" s="435">
        <f t="shared" si="31"/>
        <v>0</v>
      </c>
      <c r="O55" s="435">
        <f t="shared" si="31"/>
        <v>0</v>
      </c>
      <c r="P55" s="435">
        <f t="shared" si="31"/>
        <v>0</v>
      </c>
      <c r="Q55" s="435">
        <f t="shared" si="31"/>
        <v>0</v>
      </c>
      <c r="R55" s="435">
        <f t="shared" si="31"/>
        <v>0</v>
      </c>
      <c r="S55" s="435">
        <f t="shared" si="31"/>
        <v>0</v>
      </c>
      <c r="T55" s="435">
        <f t="shared" si="31"/>
        <v>0</v>
      </c>
      <c r="U55" s="435">
        <f t="shared" si="31"/>
        <v>0</v>
      </c>
      <c r="V55" s="312"/>
      <c r="W55" s="312"/>
      <c r="X55" s="312"/>
      <c r="Y55" s="312"/>
      <c r="Z55" s="312"/>
      <c r="AA55" s="312"/>
      <c r="AB55" s="312"/>
      <c r="AC55" s="312"/>
    </row>
    <row r="56" spans="1:29" s="310" customFormat="1" ht="15" customHeight="1" x14ac:dyDescent="0.2">
      <c r="A56" s="330" t="s">
        <v>142</v>
      </c>
      <c r="B56" s="331" t="str">
        <f t="shared" si="26"/>
        <v>Reemplazo de macromedidores</v>
      </c>
      <c r="C56" s="436"/>
      <c r="D56" s="332" t="s">
        <v>207</v>
      </c>
      <c r="E56" s="434">
        <f>IF(D56="NO",0,D355)</f>
        <v>0</v>
      </c>
      <c r="F56" s="434">
        <f>IF(D56="NO",0,D353)</f>
        <v>94876496.106852502</v>
      </c>
      <c r="G56" s="987">
        <f>SUM($K351:$U351)</f>
        <v>0</v>
      </c>
      <c r="H56" s="987">
        <f>SUM($K352:$U352)</f>
        <v>167621352.01389468</v>
      </c>
      <c r="I56" s="304"/>
      <c r="J56" s="304"/>
      <c r="K56" s="435">
        <f t="shared" ref="K56:U56" si="32">IF($D56="","",IF($D56="No",0,K$354))</f>
        <v>0</v>
      </c>
      <c r="L56" s="435">
        <f t="shared" si="32"/>
        <v>0</v>
      </c>
      <c r="M56" s="435">
        <f t="shared" si="32"/>
        <v>0</v>
      </c>
      <c r="N56" s="435">
        <f t="shared" si="32"/>
        <v>0</v>
      </c>
      <c r="O56" s="435">
        <f t="shared" si="32"/>
        <v>0</v>
      </c>
      <c r="P56" s="435">
        <f t="shared" si="32"/>
        <v>0</v>
      </c>
      <c r="Q56" s="435">
        <f t="shared" si="32"/>
        <v>0</v>
      </c>
      <c r="R56" s="435">
        <f t="shared" si="32"/>
        <v>0</v>
      </c>
      <c r="S56" s="435">
        <f t="shared" si="32"/>
        <v>0</v>
      </c>
      <c r="T56" s="435">
        <f t="shared" si="32"/>
        <v>0</v>
      </c>
      <c r="U56" s="435">
        <f t="shared" si="32"/>
        <v>0</v>
      </c>
      <c r="V56" s="312"/>
      <c r="W56" s="312"/>
      <c r="X56" s="312"/>
      <c r="Y56" s="312"/>
      <c r="Z56" s="312"/>
      <c r="AA56" s="312"/>
      <c r="AB56" s="312"/>
      <c r="AC56" s="312"/>
    </row>
    <row r="57" spans="1:29" s="325" customFormat="1" ht="20.100000000000001" customHeight="1" x14ac:dyDescent="0.25">
      <c r="A57" s="437">
        <f>A35+1</f>
        <v>2</v>
      </c>
      <c r="B57" s="323" t="s">
        <v>32</v>
      </c>
      <c r="C57" s="432"/>
      <c r="D57" s="324"/>
      <c r="E57" s="433">
        <f>IFERROR(SUM(E59:E67),0)</f>
        <v>0</v>
      </c>
      <c r="F57" s="433">
        <f>IFERROR(SUM(F59:F67),0)</f>
        <v>3839722924.9195967</v>
      </c>
      <c r="G57" s="433">
        <f>IFERROR(SUM(G59:G67),0)</f>
        <v>3311098555.8801866</v>
      </c>
      <c r="H57" s="433">
        <f>IFERROR(SUM(H59:H67),0)</f>
        <v>3920856192.6039724</v>
      </c>
      <c r="I57" s="324"/>
      <c r="J57" s="324"/>
      <c r="K57" s="431">
        <f>SUM(K59:K67)</f>
        <v>0</v>
      </c>
      <c r="L57" s="431">
        <f>SUM(L59:L67)</f>
        <v>0</v>
      </c>
      <c r="M57" s="431">
        <f t="shared" ref="M57:U57" si="33">SUM(M59:M67)</f>
        <v>0</v>
      </c>
      <c r="N57" s="431">
        <f t="shared" si="33"/>
        <v>0</v>
      </c>
      <c r="O57" s="431">
        <f t="shared" si="33"/>
        <v>0</v>
      </c>
      <c r="P57" s="431">
        <f t="shared" si="33"/>
        <v>0</v>
      </c>
      <c r="Q57" s="431">
        <f t="shared" si="33"/>
        <v>0</v>
      </c>
      <c r="R57" s="431">
        <f t="shared" si="33"/>
        <v>0</v>
      </c>
      <c r="S57" s="431">
        <f t="shared" si="33"/>
        <v>0</v>
      </c>
      <c r="T57" s="431">
        <f t="shared" si="33"/>
        <v>0</v>
      </c>
      <c r="U57" s="431">
        <f t="shared" si="33"/>
        <v>0</v>
      </c>
    </row>
    <row r="58" spans="1:29" s="304" customFormat="1" ht="15" customHeight="1" x14ac:dyDescent="0.25">
      <c r="A58" s="326">
        <v>2.1</v>
      </c>
      <c r="B58" s="326" t="str">
        <f t="shared" ref="B58:B67" si="34">VLOOKUP(A58,$A$359:$B$491,2,FALSE)</f>
        <v>Macromedición sectores</v>
      </c>
      <c r="C58" s="336"/>
      <c r="D58" s="337"/>
      <c r="E58" s="311"/>
      <c r="F58" s="338"/>
      <c r="K58" s="339"/>
      <c r="L58" s="339"/>
      <c r="M58" s="339"/>
      <c r="N58" s="339"/>
      <c r="O58" s="339"/>
      <c r="P58" s="339"/>
      <c r="Q58" s="339"/>
      <c r="R58" s="339"/>
      <c r="S58" s="339"/>
      <c r="T58" s="339"/>
      <c r="U58" s="339"/>
      <c r="V58" s="338"/>
      <c r="W58" s="338"/>
      <c r="X58" s="312"/>
      <c r="Y58" s="312"/>
      <c r="Z58" s="312"/>
      <c r="AA58" s="312"/>
      <c r="AB58" s="312"/>
      <c r="AC58" s="312"/>
    </row>
    <row r="59" spans="1:29" s="304" customFormat="1" ht="15" customHeight="1" x14ac:dyDescent="0.2">
      <c r="A59" s="330" t="s">
        <v>117</v>
      </c>
      <c r="B59" s="307" t="str">
        <f t="shared" si="34"/>
        <v>Medidores faltantes en sectores y/o distritos hidráulicos</v>
      </c>
      <c r="C59" s="438"/>
      <c r="D59" s="332" t="s">
        <v>207</v>
      </c>
      <c r="E59" s="434">
        <f>IF($D59="NO",0,D375)</f>
        <v>0</v>
      </c>
      <c r="F59" s="434">
        <f>IF($D59="NO",0,D373)</f>
        <v>679137713.97672248</v>
      </c>
      <c r="G59" s="987">
        <f>SUM($K371:$U371)</f>
        <v>0</v>
      </c>
      <c r="H59" s="987">
        <f>SUM($K372:$U372)</f>
        <v>1088195835.2230101</v>
      </c>
      <c r="K59" s="435">
        <f>IF($D59="","",IF($D59="No",0,K$374))</f>
        <v>0</v>
      </c>
      <c r="L59" s="435">
        <f t="shared" ref="L59:U59" si="35">IF($D59="","",IF(OR($D59="Nulo",$D59="No"),0,L$374))</f>
        <v>0</v>
      </c>
      <c r="M59" s="435">
        <f t="shared" si="35"/>
        <v>0</v>
      </c>
      <c r="N59" s="435">
        <f t="shared" si="35"/>
        <v>0</v>
      </c>
      <c r="O59" s="435">
        <f t="shared" si="35"/>
        <v>0</v>
      </c>
      <c r="P59" s="435">
        <f t="shared" si="35"/>
        <v>0</v>
      </c>
      <c r="Q59" s="435">
        <f t="shared" si="35"/>
        <v>0</v>
      </c>
      <c r="R59" s="435">
        <f t="shared" si="35"/>
        <v>0</v>
      </c>
      <c r="S59" s="435">
        <f t="shared" si="35"/>
        <v>0</v>
      </c>
      <c r="T59" s="435">
        <f t="shared" si="35"/>
        <v>0</v>
      </c>
      <c r="U59" s="435">
        <f t="shared" si="35"/>
        <v>0</v>
      </c>
      <c r="V59" s="312"/>
      <c r="W59" s="312"/>
      <c r="X59" s="312"/>
      <c r="Y59" s="312"/>
      <c r="Z59" s="312"/>
      <c r="AA59" s="312"/>
      <c r="AB59" s="312"/>
      <c r="AC59" s="312"/>
    </row>
    <row r="60" spans="1:29" s="304" customFormat="1" ht="15" customHeight="1" x14ac:dyDescent="0.2">
      <c r="A60" s="330" t="s">
        <v>118</v>
      </c>
      <c r="B60" s="307" t="str">
        <f t="shared" si="34"/>
        <v>Medidores faltantes en tanques asociados a sectores</v>
      </c>
      <c r="C60" s="438"/>
      <c r="D60" s="332" t="s">
        <v>207</v>
      </c>
      <c r="E60" s="434">
        <f>IF($D60="NO",0,D393)</f>
        <v>0</v>
      </c>
      <c r="F60" s="434">
        <f>IF($D60="NO",0,D391)</f>
        <v>413351229.76731491</v>
      </c>
      <c r="G60" s="987">
        <f>SUM($K389:$U389)</f>
        <v>0</v>
      </c>
      <c r="H60" s="987">
        <f>SUM($K390:$U390)</f>
        <v>570912069.8051635</v>
      </c>
      <c r="K60" s="435">
        <f>IF($D60="","",IF($D60="No",0,K$392))</f>
        <v>0</v>
      </c>
      <c r="L60" s="435">
        <f t="shared" ref="L60:U60" si="36">IF($D60="","",IF(OR($D60="Nulo",$D60="No"),0,L$392))</f>
        <v>0</v>
      </c>
      <c r="M60" s="435">
        <f t="shared" si="36"/>
        <v>0</v>
      </c>
      <c r="N60" s="435">
        <f t="shared" si="36"/>
        <v>0</v>
      </c>
      <c r="O60" s="435">
        <f t="shared" si="36"/>
        <v>0</v>
      </c>
      <c r="P60" s="435">
        <f t="shared" si="36"/>
        <v>0</v>
      </c>
      <c r="Q60" s="435">
        <f t="shared" si="36"/>
        <v>0</v>
      </c>
      <c r="R60" s="435">
        <f t="shared" si="36"/>
        <v>0</v>
      </c>
      <c r="S60" s="435">
        <f t="shared" si="36"/>
        <v>0</v>
      </c>
      <c r="T60" s="435">
        <f t="shared" si="36"/>
        <v>0</v>
      </c>
      <c r="U60" s="435">
        <f t="shared" si="36"/>
        <v>0</v>
      </c>
      <c r="V60" s="312"/>
      <c r="W60" s="312"/>
      <c r="X60" s="312"/>
      <c r="Y60" s="312"/>
      <c r="Z60" s="312"/>
      <c r="AA60" s="312"/>
      <c r="AB60" s="312"/>
      <c r="AC60" s="312"/>
    </row>
    <row r="61" spans="1:29" s="304" customFormat="1" ht="15" customHeight="1" x14ac:dyDescent="0.2">
      <c r="A61" s="330" t="s">
        <v>143</v>
      </c>
      <c r="B61" s="307" t="str">
        <f t="shared" si="34"/>
        <v>Telemetría y/o almacenamiento local de datos</v>
      </c>
      <c r="C61" s="438"/>
      <c r="D61" s="332" t="s">
        <v>207</v>
      </c>
      <c r="E61" s="434">
        <f>IF($D61="NO",0,D410)</f>
        <v>0</v>
      </c>
      <c r="F61" s="434">
        <f>IF($D61="NO",0,D408)</f>
        <v>336036417.93101311</v>
      </c>
      <c r="G61" s="987">
        <f>SUM($K406:$U406)</f>
        <v>0</v>
      </c>
      <c r="H61" s="987">
        <f>SUM($K407:$U407)</f>
        <v>538115391.54161644</v>
      </c>
      <c r="K61" s="435">
        <f>IF($D61="","",IF($D61="No",0,K$409))</f>
        <v>0</v>
      </c>
      <c r="L61" s="435">
        <f t="shared" ref="L61:U61" si="37">IF($D61="","",IF(OR($D61="Nulo",$D61="No"),0,L$409))</f>
        <v>0</v>
      </c>
      <c r="M61" s="435">
        <f t="shared" si="37"/>
        <v>0</v>
      </c>
      <c r="N61" s="435">
        <f t="shared" si="37"/>
        <v>0</v>
      </c>
      <c r="O61" s="435">
        <f t="shared" si="37"/>
        <v>0</v>
      </c>
      <c r="P61" s="435">
        <f t="shared" si="37"/>
        <v>0</v>
      </c>
      <c r="Q61" s="435">
        <f t="shared" si="37"/>
        <v>0</v>
      </c>
      <c r="R61" s="435">
        <f t="shared" si="37"/>
        <v>0</v>
      </c>
      <c r="S61" s="435">
        <f t="shared" si="37"/>
        <v>0</v>
      </c>
      <c r="T61" s="435">
        <f t="shared" si="37"/>
        <v>0</v>
      </c>
      <c r="U61" s="435">
        <f t="shared" si="37"/>
        <v>0</v>
      </c>
      <c r="V61" s="312"/>
      <c r="W61" s="312"/>
      <c r="X61" s="312"/>
      <c r="Y61" s="312"/>
      <c r="Z61" s="312"/>
      <c r="AA61" s="312"/>
      <c r="AB61" s="312"/>
      <c r="AC61" s="312"/>
    </row>
    <row r="62" spans="1:29" s="304" customFormat="1" ht="15" customHeight="1" x14ac:dyDescent="0.2">
      <c r="A62" s="330" t="s">
        <v>144</v>
      </c>
      <c r="B62" s="307" t="str">
        <f t="shared" si="34"/>
        <v>Procesamiento de datos</v>
      </c>
      <c r="C62" s="438"/>
      <c r="D62" s="332" t="s">
        <v>207</v>
      </c>
      <c r="E62" s="434">
        <f>IF($D62="NO",0,D421)</f>
        <v>0</v>
      </c>
      <c r="F62" s="434">
        <f>IF($D62="NO",0,D419)</f>
        <v>303110679.26366442</v>
      </c>
      <c r="G62" s="987">
        <f>SUM($K417:$U417)</f>
        <v>746703094.72793281</v>
      </c>
      <c r="H62" s="987">
        <f>SUM($K418:$U418)</f>
        <v>0</v>
      </c>
      <c r="K62" s="435">
        <f>IF($D62="","",IF($D62="No",0,K$420))</f>
        <v>0</v>
      </c>
      <c r="L62" s="435">
        <f t="shared" ref="L62:U62" si="38">IF($D62="","",IF(OR($D62="Nulo",$D62="No"),0,L$420))</f>
        <v>0</v>
      </c>
      <c r="M62" s="435">
        <f t="shared" si="38"/>
        <v>0</v>
      </c>
      <c r="N62" s="435">
        <f t="shared" si="38"/>
        <v>0</v>
      </c>
      <c r="O62" s="435">
        <f t="shared" si="38"/>
        <v>0</v>
      </c>
      <c r="P62" s="435">
        <f t="shared" si="38"/>
        <v>0</v>
      </c>
      <c r="Q62" s="435">
        <f t="shared" si="38"/>
        <v>0</v>
      </c>
      <c r="R62" s="435">
        <f t="shared" si="38"/>
        <v>0</v>
      </c>
      <c r="S62" s="435">
        <f t="shared" si="38"/>
        <v>0</v>
      </c>
      <c r="T62" s="435">
        <f t="shared" si="38"/>
        <v>0</v>
      </c>
      <c r="U62" s="435">
        <f t="shared" si="38"/>
        <v>0</v>
      </c>
      <c r="V62" s="312"/>
      <c r="W62" s="312"/>
      <c r="X62" s="312"/>
      <c r="Y62" s="312"/>
      <c r="Z62" s="312"/>
      <c r="AA62" s="312"/>
      <c r="AB62" s="312"/>
      <c r="AC62" s="312"/>
    </row>
    <row r="63" spans="1:29" s="304" customFormat="1" ht="15" customHeight="1" x14ac:dyDescent="0.2">
      <c r="A63" s="330" t="s">
        <v>145</v>
      </c>
      <c r="B63" s="307" t="str">
        <f t="shared" si="34"/>
        <v>Análisis de datos</v>
      </c>
      <c r="C63" s="438"/>
      <c r="D63" s="332" t="s">
        <v>207</v>
      </c>
      <c r="E63" s="434">
        <f>IF($D63="NO",0,D432)</f>
        <v>0</v>
      </c>
      <c r="F63" s="434">
        <f>IF($D63="NO",0,D430)</f>
        <v>358974457.70380807</v>
      </c>
      <c r="G63" s="987">
        <f>SUM($K428:$U428)</f>
        <v>884321658.17077899</v>
      </c>
      <c r="H63" s="987">
        <f>SUM($K429:$U429)</f>
        <v>0</v>
      </c>
      <c r="K63" s="435">
        <f t="shared" ref="K63:U63" si="39">IF($D63="","",IF(OR($D63="Nulo",$D63="No"),0,K$431))</f>
        <v>0</v>
      </c>
      <c r="L63" s="435">
        <f t="shared" si="39"/>
        <v>0</v>
      </c>
      <c r="M63" s="435">
        <f t="shared" si="39"/>
        <v>0</v>
      </c>
      <c r="N63" s="435">
        <f t="shared" si="39"/>
        <v>0</v>
      </c>
      <c r="O63" s="435">
        <f t="shared" si="39"/>
        <v>0</v>
      </c>
      <c r="P63" s="435">
        <f t="shared" si="39"/>
        <v>0</v>
      </c>
      <c r="Q63" s="435">
        <f t="shared" si="39"/>
        <v>0</v>
      </c>
      <c r="R63" s="435">
        <f t="shared" si="39"/>
        <v>0</v>
      </c>
      <c r="S63" s="435">
        <f t="shared" si="39"/>
        <v>0</v>
      </c>
      <c r="T63" s="435">
        <f t="shared" si="39"/>
        <v>0</v>
      </c>
      <c r="U63" s="435">
        <f t="shared" si="39"/>
        <v>0</v>
      </c>
      <c r="V63" s="312"/>
      <c r="W63" s="312"/>
      <c r="X63" s="312"/>
      <c r="Y63" s="312"/>
      <c r="Z63" s="312"/>
      <c r="AA63" s="312"/>
      <c r="AB63" s="312"/>
      <c r="AC63" s="312"/>
    </row>
    <row r="64" spans="1:29" s="304" customFormat="1" ht="15" customHeight="1" x14ac:dyDescent="0.2">
      <c r="A64" s="330" t="s">
        <v>146</v>
      </c>
      <c r="B64" s="307" t="str">
        <f t="shared" si="34"/>
        <v>Verificación metrológica</v>
      </c>
      <c r="C64" s="438"/>
      <c r="D64" s="332" t="s">
        <v>207</v>
      </c>
      <c r="E64" s="434">
        <f>IF($D64="NO",0,D443)</f>
        <v>0</v>
      </c>
      <c r="F64" s="434">
        <f>IF($D64="NO",0,D441)</f>
        <v>615441128.91579688</v>
      </c>
      <c r="G64" s="987">
        <f>SUM($K439:$U439)</f>
        <v>1574636976.7962568</v>
      </c>
      <c r="H64" s="987">
        <f>SUM($K440:$U440)</f>
        <v>0</v>
      </c>
      <c r="K64" s="435">
        <f t="shared" ref="K64:U64" si="40">IF($D64="","",IF(OR($D64="Nulo",$D64="No"),0,K$442))</f>
        <v>0</v>
      </c>
      <c r="L64" s="435">
        <f t="shared" si="40"/>
        <v>0</v>
      </c>
      <c r="M64" s="435">
        <f t="shared" si="40"/>
        <v>0</v>
      </c>
      <c r="N64" s="435">
        <f t="shared" si="40"/>
        <v>0</v>
      </c>
      <c r="O64" s="435">
        <f t="shared" si="40"/>
        <v>0</v>
      </c>
      <c r="P64" s="435">
        <f t="shared" si="40"/>
        <v>0</v>
      </c>
      <c r="Q64" s="435">
        <f t="shared" si="40"/>
        <v>0</v>
      </c>
      <c r="R64" s="435">
        <f t="shared" si="40"/>
        <v>0</v>
      </c>
      <c r="S64" s="435">
        <f t="shared" si="40"/>
        <v>0</v>
      </c>
      <c r="T64" s="435">
        <f t="shared" si="40"/>
        <v>0</v>
      </c>
      <c r="U64" s="435">
        <f t="shared" si="40"/>
        <v>0</v>
      </c>
      <c r="V64" s="312"/>
      <c r="W64" s="312"/>
      <c r="X64" s="312"/>
      <c r="Y64" s="312"/>
      <c r="Z64" s="312"/>
      <c r="AA64" s="312"/>
      <c r="AB64" s="312"/>
      <c r="AC64" s="312"/>
    </row>
    <row r="65" spans="1:29" s="304" customFormat="1" ht="15" customHeight="1" x14ac:dyDescent="0.2">
      <c r="A65" s="330" t="s">
        <v>147</v>
      </c>
      <c r="B65" s="307" t="str">
        <f t="shared" si="34"/>
        <v>Reemplazo de macromedidores</v>
      </c>
      <c r="C65" s="438"/>
      <c r="D65" s="332" t="s">
        <v>207</v>
      </c>
      <c r="E65" s="434">
        <f>IF($D65="NO",0,D458)</f>
        <v>0</v>
      </c>
      <c r="F65" s="434">
        <f>IF($D65="NO",0,D456)</f>
        <v>277151225.97227782</v>
      </c>
      <c r="G65" s="987">
        <f>SUM($K454:$U454)</f>
        <v>0</v>
      </c>
      <c r="H65" s="987">
        <f>SUM($K455:$U455)</f>
        <v>420535443.32499111</v>
      </c>
      <c r="K65" s="435">
        <f t="shared" ref="K65:U65" si="41">IF($D65="","",IF(OR($D65="Nulo",$D65="No"),0,K$457))</f>
        <v>0</v>
      </c>
      <c r="L65" s="435">
        <f t="shared" si="41"/>
        <v>0</v>
      </c>
      <c r="M65" s="435">
        <f t="shared" si="41"/>
        <v>0</v>
      </c>
      <c r="N65" s="435">
        <f t="shared" si="41"/>
        <v>0</v>
      </c>
      <c r="O65" s="435">
        <f t="shared" si="41"/>
        <v>0</v>
      </c>
      <c r="P65" s="435">
        <f t="shared" si="41"/>
        <v>0</v>
      </c>
      <c r="Q65" s="435">
        <f t="shared" si="41"/>
        <v>0</v>
      </c>
      <c r="R65" s="435">
        <f t="shared" si="41"/>
        <v>0</v>
      </c>
      <c r="S65" s="435">
        <f t="shared" si="41"/>
        <v>0</v>
      </c>
      <c r="T65" s="435">
        <f t="shared" si="41"/>
        <v>0</v>
      </c>
      <c r="U65" s="435">
        <f t="shared" si="41"/>
        <v>0</v>
      </c>
      <c r="V65" s="312"/>
      <c r="W65" s="312"/>
      <c r="X65" s="312"/>
      <c r="Y65" s="312"/>
      <c r="Z65" s="312"/>
      <c r="AA65" s="312"/>
      <c r="AB65" s="312"/>
      <c r="AC65" s="312"/>
    </row>
    <row r="66" spans="1:29" s="304" customFormat="1" ht="15" customHeight="1" x14ac:dyDescent="0.2">
      <c r="A66" s="341">
        <v>2.2000000000000002</v>
      </c>
      <c r="B66" s="326" t="str">
        <f t="shared" si="34"/>
        <v>Válvulas de cierre permanente</v>
      </c>
      <c r="C66" s="438"/>
      <c r="D66" s="332" t="s">
        <v>207</v>
      </c>
      <c r="E66" s="434">
        <f>IF($D66="NO",0,D473)</f>
        <v>0</v>
      </c>
      <c r="F66" s="434">
        <f>IF($D66="NO",0,D471)</f>
        <v>799641979.10473669</v>
      </c>
      <c r="G66" s="987">
        <f>SUM($K469:$U469)</f>
        <v>0</v>
      </c>
      <c r="H66" s="987">
        <f>SUM($K470:$U470)</f>
        <v>1303097452.7091913</v>
      </c>
      <c r="K66" s="435">
        <f t="shared" ref="K66:U66" si="42">IF($D66="","",IF(OR($D66="Nulo",$D66="No"),0,K$472))</f>
        <v>0</v>
      </c>
      <c r="L66" s="435">
        <f t="shared" si="42"/>
        <v>0</v>
      </c>
      <c r="M66" s="435">
        <f t="shared" si="42"/>
        <v>0</v>
      </c>
      <c r="N66" s="435">
        <f t="shared" si="42"/>
        <v>0</v>
      </c>
      <c r="O66" s="435">
        <f t="shared" si="42"/>
        <v>0</v>
      </c>
      <c r="P66" s="435">
        <f t="shared" si="42"/>
        <v>0</v>
      </c>
      <c r="Q66" s="435">
        <f t="shared" si="42"/>
        <v>0</v>
      </c>
      <c r="R66" s="435">
        <f t="shared" si="42"/>
        <v>0</v>
      </c>
      <c r="S66" s="435">
        <f t="shared" si="42"/>
        <v>0</v>
      </c>
      <c r="T66" s="435">
        <f t="shared" si="42"/>
        <v>0</v>
      </c>
      <c r="U66" s="435">
        <f t="shared" si="42"/>
        <v>0</v>
      </c>
      <c r="V66" s="312"/>
      <c r="W66" s="312"/>
      <c r="X66" s="312"/>
      <c r="Y66" s="312"/>
      <c r="Z66" s="312"/>
      <c r="AA66" s="312"/>
      <c r="AB66" s="312"/>
      <c r="AC66" s="312"/>
    </row>
    <row r="67" spans="1:29" s="304" customFormat="1" ht="15" customHeight="1" x14ac:dyDescent="0.2">
      <c r="A67" s="341">
        <v>2.2999999999999998</v>
      </c>
      <c r="B67" s="326" t="str">
        <f t="shared" si="34"/>
        <v>Verificación de aislamiento</v>
      </c>
      <c r="C67" s="438"/>
      <c r="D67" s="332" t="s">
        <v>207</v>
      </c>
      <c r="E67" s="434">
        <f>IF($D67="NO",0,D489)</f>
        <v>0</v>
      </c>
      <c r="F67" s="434">
        <f>IF($D67="NO",0,D487)</f>
        <v>56878092.284262411</v>
      </c>
      <c r="G67" s="987">
        <f>SUM($K485:$U485)</f>
        <v>105436826.1852185</v>
      </c>
      <c r="H67" s="987">
        <f>SUM($K486:$U486)</f>
        <v>0</v>
      </c>
      <c r="K67" s="435">
        <f t="shared" ref="K67:U67" si="43">IF($D67="","",IF(OR($D67="Nulo",$D67="No"),0,K$488))</f>
        <v>0</v>
      </c>
      <c r="L67" s="435">
        <f t="shared" si="43"/>
        <v>0</v>
      </c>
      <c r="M67" s="435">
        <f t="shared" si="43"/>
        <v>0</v>
      </c>
      <c r="N67" s="435">
        <f t="shared" si="43"/>
        <v>0</v>
      </c>
      <c r="O67" s="435">
        <f t="shared" si="43"/>
        <v>0</v>
      </c>
      <c r="P67" s="435">
        <f t="shared" si="43"/>
        <v>0</v>
      </c>
      <c r="Q67" s="435">
        <f t="shared" si="43"/>
        <v>0</v>
      </c>
      <c r="R67" s="435">
        <f t="shared" si="43"/>
        <v>0</v>
      </c>
      <c r="S67" s="435">
        <f t="shared" si="43"/>
        <v>0</v>
      </c>
      <c r="T67" s="435">
        <f t="shared" si="43"/>
        <v>0</v>
      </c>
      <c r="U67" s="435">
        <f t="shared" si="43"/>
        <v>0</v>
      </c>
      <c r="V67" s="312"/>
      <c r="W67" s="312"/>
      <c r="X67" s="312"/>
      <c r="Y67" s="312"/>
      <c r="Z67" s="312"/>
      <c r="AA67" s="312"/>
      <c r="AB67" s="312"/>
      <c r="AC67" s="312"/>
    </row>
    <row r="68" spans="1:29" s="325" customFormat="1" ht="20.100000000000001" customHeight="1" x14ac:dyDescent="0.25">
      <c r="A68" s="437">
        <f>A57+1</f>
        <v>3</v>
      </c>
      <c r="B68" s="323" t="s">
        <v>33</v>
      </c>
      <c r="C68" s="432"/>
      <c r="D68" s="324"/>
      <c r="E68" s="433">
        <f>IFERROR(SUM(E69:E78),0)</f>
        <v>1097169069.7196789</v>
      </c>
      <c r="F68" s="433">
        <f>IFERROR(SUM(F69:F78),0)</f>
        <v>3394901471.3875165</v>
      </c>
      <c r="G68" s="324"/>
      <c r="H68" s="324"/>
      <c r="I68" s="324"/>
      <c r="J68" s="324"/>
      <c r="K68" s="431">
        <f>SUM(K69:K78)</f>
        <v>0</v>
      </c>
      <c r="L68" s="431">
        <f>SUM(L69:L78)</f>
        <v>519104.80000000005</v>
      </c>
      <c r="M68" s="431">
        <f t="shared" ref="M68:U68" si="44">SUM(M69:M78)</f>
        <v>2704381.3</v>
      </c>
      <c r="N68" s="431">
        <f t="shared" si="44"/>
        <v>1748041.8</v>
      </c>
      <c r="O68" s="431">
        <f t="shared" si="44"/>
        <v>0</v>
      </c>
      <c r="P68" s="431">
        <f t="shared" si="44"/>
        <v>0</v>
      </c>
      <c r="Q68" s="431">
        <f t="shared" si="44"/>
        <v>0</v>
      </c>
      <c r="R68" s="431">
        <f t="shared" si="44"/>
        <v>0</v>
      </c>
      <c r="S68" s="431">
        <f t="shared" si="44"/>
        <v>0</v>
      </c>
      <c r="T68" s="431">
        <f t="shared" si="44"/>
        <v>0</v>
      </c>
      <c r="U68" s="431">
        <f t="shared" si="44"/>
        <v>0</v>
      </c>
    </row>
    <row r="69" spans="1:29" s="304" customFormat="1" ht="15" customHeight="1" x14ac:dyDescent="0.2">
      <c r="A69" s="341">
        <v>3.1</v>
      </c>
      <c r="B69" s="326" t="str">
        <f t="shared" ref="B69:B78" si="45">VLOOKUP(A69,$A$493:$B$633,2,FALSE)</f>
        <v>Instalación y mantenimiento de ERP's</v>
      </c>
      <c r="C69" s="439"/>
      <c r="D69" s="332" t="s">
        <v>207</v>
      </c>
      <c r="E69" s="434">
        <f>IF($D69="NO",0,D510)</f>
        <v>715227116.41786551</v>
      </c>
      <c r="F69" s="434">
        <f>IF($D69="NO",0,D507)</f>
        <v>801280665.91943049</v>
      </c>
      <c r="G69" s="987">
        <f>SUM($K505:$U505)</f>
        <v>0</v>
      </c>
      <c r="H69" s="987">
        <f>SUM($K506:$U506)</f>
        <v>1071501915.9609952</v>
      </c>
      <c r="K69" s="435">
        <f t="shared" ref="K69:U69" si="46">IF($D69="","",IF($D69="No",0,SUM(K$508:K$509)))</f>
        <v>0</v>
      </c>
      <c r="L69" s="435">
        <f>IF($D69="","",IF($D69="No",0,SUM(L$508:L$509)))</f>
        <v>235478.6</v>
      </c>
      <c r="M69" s="435">
        <f t="shared" si="46"/>
        <v>2261446</v>
      </c>
      <c r="N69" s="435">
        <f t="shared" si="46"/>
        <v>709548</v>
      </c>
      <c r="O69" s="435">
        <f t="shared" si="46"/>
        <v>0</v>
      </c>
      <c r="P69" s="435">
        <f t="shared" si="46"/>
        <v>0</v>
      </c>
      <c r="Q69" s="435">
        <f t="shared" si="46"/>
        <v>0</v>
      </c>
      <c r="R69" s="435">
        <f t="shared" si="46"/>
        <v>0</v>
      </c>
      <c r="S69" s="435">
        <f t="shared" si="46"/>
        <v>0</v>
      </c>
      <c r="T69" s="435">
        <f t="shared" si="46"/>
        <v>0</v>
      </c>
      <c r="U69" s="435">
        <f t="shared" si="46"/>
        <v>0</v>
      </c>
      <c r="V69" s="312"/>
      <c r="W69" s="312"/>
      <c r="X69" s="312"/>
      <c r="Y69" s="312"/>
      <c r="Z69" s="312"/>
      <c r="AA69" s="312"/>
      <c r="AB69" s="312"/>
      <c r="AC69" s="312"/>
    </row>
    <row r="70" spans="1:29" s="304" customFormat="1" ht="15" customHeight="1" x14ac:dyDescent="0.2">
      <c r="A70" s="341">
        <v>3.2</v>
      </c>
      <c r="B70" s="326" t="str">
        <f t="shared" si="45"/>
        <v>Infraestructura para la gestión automática de presiones</v>
      </c>
      <c r="C70" s="438"/>
      <c r="D70" s="332" t="s">
        <v>207</v>
      </c>
      <c r="E70" s="434">
        <f>IF($D70="NO",0,D523)</f>
        <v>381941953.30181348</v>
      </c>
      <c r="F70" s="434">
        <f>IF($D70="NO",0,D521)</f>
        <v>586141057.17415166</v>
      </c>
      <c r="G70" s="987">
        <f>SUM($K519:$U519)</f>
        <v>0</v>
      </c>
      <c r="H70" s="987">
        <f>SUM($K520:$U520)</f>
        <v>789268396.78533018</v>
      </c>
      <c r="K70" s="435">
        <f t="shared" ref="K70:U70" si="47">IF($D70="","",IF($D70="No",0,K$522))</f>
        <v>0</v>
      </c>
      <c r="L70" s="435">
        <f>IF($D70="","",IF($D70="No",0,L$522))</f>
        <v>283626.2</v>
      </c>
      <c r="M70" s="435">
        <f t="shared" si="47"/>
        <v>442935.3</v>
      </c>
      <c r="N70" s="435">
        <f t="shared" si="47"/>
        <v>1038493.8</v>
      </c>
      <c r="O70" s="435">
        <f t="shared" si="47"/>
        <v>0</v>
      </c>
      <c r="P70" s="435">
        <f t="shared" si="47"/>
        <v>0</v>
      </c>
      <c r="Q70" s="435">
        <f t="shared" si="47"/>
        <v>0</v>
      </c>
      <c r="R70" s="435">
        <f t="shared" si="47"/>
        <v>0</v>
      </c>
      <c r="S70" s="435">
        <f t="shared" si="47"/>
        <v>0</v>
      </c>
      <c r="T70" s="435">
        <f t="shared" si="47"/>
        <v>0</v>
      </c>
      <c r="U70" s="435">
        <f t="shared" si="47"/>
        <v>0</v>
      </c>
      <c r="V70" s="312"/>
      <c r="W70" s="312"/>
      <c r="X70" s="312"/>
      <c r="Y70" s="312"/>
      <c r="Z70" s="312"/>
      <c r="AA70" s="312"/>
      <c r="AB70" s="312"/>
      <c r="AC70" s="312"/>
    </row>
    <row r="71" spans="1:29" s="338" customFormat="1" ht="15" customHeight="1" x14ac:dyDescent="0.25">
      <c r="A71" s="326">
        <v>3.3</v>
      </c>
      <c r="B71" s="326" t="str">
        <f t="shared" si="45"/>
        <v>Puntos de presión al interior del sector</v>
      </c>
      <c r="D71" s="343"/>
      <c r="E71" s="344"/>
      <c r="F71" s="344"/>
      <c r="G71" s="987"/>
      <c r="H71" s="987"/>
      <c r="K71" s="339"/>
      <c r="L71" s="339"/>
      <c r="M71" s="339"/>
      <c r="N71" s="339"/>
      <c r="O71" s="339"/>
      <c r="P71" s="339"/>
      <c r="Q71" s="339"/>
      <c r="R71" s="339"/>
      <c r="S71" s="339"/>
      <c r="T71" s="339"/>
      <c r="U71" s="339"/>
    </row>
    <row r="72" spans="1:29" s="304" customFormat="1" ht="15" customHeight="1" x14ac:dyDescent="0.2">
      <c r="A72" s="345" t="s">
        <v>155</v>
      </c>
      <c r="B72" s="307" t="str">
        <f t="shared" si="45"/>
        <v>Equipos de presión fijos faltantes en sectores hidráulicos</v>
      </c>
      <c r="C72" s="438"/>
      <c r="D72" s="332" t="s">
        <v>207</v>
      </c>
      <c r="E72" s="434">
        <f>IF($D72="NO",0,D541)</f>
        <v>0</v>
      </c>
      <c r="F72" s="434">
        <f>IF($D72="NO",0,D539)</f>
        <v>281549988.57064581</v>
      </c>
      <c r="G72" s="987">
        <f>SUM($K537:$U537)</f>
        <v>0</v>
      </c>
      <c r="H72" s="987">
        <f>SUM($K538:$U538)</f>
        <v>441448691.82178712</v>
      </c>
      <c r="K72" s="435">
        <f t="shared" ref="K72:U72" si="48">IF($D72="","",IF($D72="No",0,K$540))</f>
        <v>0</v>
      </c>
      <c r="L72" s="435">
        <f>IF($D72="","",IF($D72="No",0,L$540))</f>
        <v>0</v>
      </c>
      <c r="M72" s="435">
        <f t="shared" si="48"/>
        <v>0</v>
      </c>
      <c r="N72" s="435">
        <f t="shared" si="48"/>
        <v>0</v>
      </c>
      <c r="O72" s="435">
        <f t="shared" si="48"/>
        <v>0</v>
      </c>
      <c r="P72" s="435">
        <f t="shared" si="48"/>
        <v>0</v>
      </c>
      <c r="Q72" s="435">
        <f t="shared" si="48"/>
        <v>0</v>
      </c>
      <c r="R72" s="435">
        <f t="shared" si="48"/>
        <v>0</v>
      </c>
      <c r="S72" s="435">
        <f t="shared" si="48"/>
        <v>0</v>
      </c>
      <c r="T72" s="435">
        <f t="shared" si="48"/>
        <v>0</v>
      </c>
      <c r="U72" s="435">
        <f t="shared" si="48"/>
        <v>0</v>
      </c>
      <c r="V72" s="312"/>
      <c r="W72" s="312"/>
      <c r="X72" s="312"/>
      <c r="Y72" s="312"/>
      <c r="Z72" s="312"/>
      <c r="AA72" s="312"/>
      <c r="AB72" s="312"/>
      <c r="AC72" s="312"/>
    </row>
    <row r="73" spans="1:29" s="304" customFormat="1" ht="15" customHeight="1" x14ac:dyDescent="0.2">
      <c r="A73" s="345" t="s">
        <v>160</v>
      </c>
      <c r="B73" s="307" t="str">
        <f t="shared" si="45"/>
        <v>Equipos de presión rotativos faltantes en sectores hidráulicos</v>
      </c>
      <c r="C73" s="438"/>
      <c r="D73" s="332" t="s">
        <v>207</v>
      </c>
      <c r="E73" s="434">
        <f>IF($D73="NO",0,D560)</f>
        <v>0</v>
      </c>
      <c r="F73" s="434">
        <f>IF($D73="NO",0,D559)</f>
        <v>62699872.447271302</v>
      </c>
      <c r="G73" s="987">
        <f>SUM($K557:$U557)</f>
        <v>0</v>
      </c>
      <c r="H73" s="987">
        <f>SUM($K558:$U558)</f>
        <v>92247295.494911641</v>
      </c>
      <c r="K73" s="435">
        <f>IF($D73="","",IF($D73="No",0,K$560))</f>
        <v>0</v>
      </c>
      <c r="L73" s="435">
        <f>IF($D73="","",IF($D73="No",0,L$560))</f>
        <v>0</v>
      </c>
      <c r="M73" s="435">
        <f t="shared" ref="M73:U73" si="49">IF($D73="","",IF($D73="No",0,M$560))</f>
        <v>0</v>
      </c>
      <c r="N73" s="435">
        <f t="shared" si="49"/>
        <v>0</v>
      </c>
      <c r="O73" s="435">
        <f t="shared" si="49"/>
        <v>0</v>
      </c>
      <c r="P73" s="435">
        <f t="shared" si="49"/>
        <v>0</v>
      </c>
      <c r="Q73" s="435">
        <f t="shared" si="49"/>
        <v>0</v>
      </c>
      <c r="R73" s="435">
        <f t="shared" si="49"/>
        <v>0</v>
      </c>
      <c r="S73" s="435">
        <f t="shared" si="49"/>
        <v>0</v>
      </c>
      <c r="T73" s="435">
        <f t="shared" si="49"/>
        <v>0</v>
      </c>
      <c r="U73" s="435">
        <f t="shared" si="49"/>
        <v>0</v>
      </c>
      <c r="V73" s="312"/>
      <c r="W73" s="312"/>
      <c r="X73" s="312"/>
      <c r="Y73" s="312"/>
      <c r="Z73" s="312"/>
      <c r="AA73" s="312"/>
      <c r="AB73" s="312"/>
      <c r="AC73" s="312"/>
    </row>
    <row r="74" spans="1:29" s="304" customFormat="1" ht="15" customHeight="1" x14ac:dyDescent="0.2">
      <c r="A74" s="345" t="s">
        <v>163</v>
      </c>
      <c r="B74" s="307" t="str">
        <f t="shared" si="45"/>
        <v>Telemetría y/o almacenamiento local de datos</v>
      </c>
      <c r="C74" s="438"/>
      <c r="D74" s="332" t="s">
        <v>207</v>
      </c>
      <c r="E74" s="434">
        <f>IF($D74="NO",0,D576)</f>
        <v>0</v>
      </c>
      <c r="F74" s="434">
        <f>IF($D74="NO",0,D574)</f>
        <v>116484794.81482255</v>
      </c>
      <c r="G74" s="987">
        <f>SUM($K572:$U572)</f>
        <v>0</v>
      </c>
      <c r="H74" s="987">
        <f>SUM($K573:$U573)</f>
        <v>145339183.0302937</v>
      </c>
      <c r="K74" s="435">
        <f t="shared" ref="K74:U74" si="50">IF($D74="","",IF($D74="No",0,K$575))</f>
        <v>0</v>
      </c>
      <c r="L74" s="435">
        <f t="shared" si="50"/>
        <v>0</v>
      </c>
      <c r="M74" s="435">
        <f t="shared" si="50"/>
        <v>0</v>
      </c>
      <c r="N74" s="435">
        <f t="shared" si="50"/>
        <v>0</v>
      </c>
      <c r="O74" s="435">
        <f t="shared" si="50"/>
        <v>0</v>
      </c>
      <c r="P74" s="435">
        <f t="shared" si="50"/>
        <v>0</v>
      </c>
      <c r="Q74" s="435">
        <f t="shared" si="50"/>
        <v>0</v>
      </c>
      <c r="R74" s="435">
        <f t="shared" si="50"/>
        <v>0</v>
      </c>
      <c r="S74" s="435">
        <f t="shared" si="50"/>
        <v>0</v>
      </c>
      <c r="T74" s="435">
        <f t="shared" si="50"/>
        <v>0</v>
      </c>
      <c r="U74" s="435">
        <f t="shared" si="50"/>
        <v>0</v>
      </c>
      <c r="V74" s="312"/>
      <c r="W74" s="312"/>
      <c r="X74" s="312"/>
      <c r="Y74" s="312"/>
      <c r="Z74" s="312"/>
      <c r="AA74" s="312"/>
      <c r="AB74" s="312"/>
      <c r="AC74" s="312"/>
    </row>
    <row r="75" spans="1:29" s="304" customFormat="1" ht="15" customHeight="1" x14ac:dyDescent="0.2">
      <c r="A75" s="345" t="s">
        <v>164</v>
      </c>
      <c r="B75" s="307" t="str">
        <f t="shared" si="45"/>
        <v>Procesamiento de datos presión</v>
      </c>
      <c r="C75" s="438"/>
      <c r="D75" s="332" t="s">
        <v>207</v>
      </c>
      <c r="E75" s="434">
        <f>IF($D75="NO",0,D587)</f>
        <v>0</v>
      </c>
      <c r="F75" s="434">
        <f>IF($D75="NO",0,D585)</f>
        <v>293199163.56796956</v>
      </c>
      <c r="G75" s="987">
        <f>SUM($K583:$U583)</f>
        <v>431746205.05931133</v>
      </c>
      <c r="H75" s="987">
        <f>SUM($K584:$U584)</f>
        <v>0</v>
      </c>
      <c r="K75" s="435">
        <f t="shared" ref="K75:U75" si="51">IF($D75="","",IF($D75="No",0,K$586))</f>
        <v>0</v>
      </c>
      <c r="L75" s="435">
        <f t="shared" si="51"/>
        <v>0</v>
      </c>
      <c r="M75" s="435">
        <f t="shared" si="51"/>
        <v>0</v>
      </c>
      <c r="N75" s="435">
        <f t="shared" si="51"/>
        <v>0</v>
      </c>
      <c r="O75" s="435">
        <f t="shared" si="51"/>
        <v>0</v>
      </c>
      <c r="P75" s="435">
        <f t="shared" si="51"/>
        <v>0</v>
      </c>
      <c r="Q75" s="435">
        <f t="shared" si="51"/>
        <v>0</v>
      </c>
      <c r="R75" s="435">
        <f t="shared" si="51"/>
        <v>0</v>
      </c>
      <c r="S75" s="435">
        <f t="shared" si="51"/>
        <v>0</v>
      </c>
      <c r="T75" s="435">
        <f t="shared" si="51"/>
        <v>0</v>
      </c>
      <c r="U75" s="435">
        <f t="shared" si="51"/>
        <v>0</v>
      </c>
      <c r="V75" s="312"/>
      <c r="W75" s="312"/>
      <c r="X75" s="312"/>
      <c r="Y75" s="312"/>
      <c r="Z75" s="312"/>
      <c r="AA75" s="312"/>
      <c r="AB75" s="312"/>
      <c r="AC75" s="312"/>
    </row>
    <row r="76" spans="1:29" s="304" customFormat="1" ht="15" customHeight="1" x14ac:dyDescent="0.2">
      <c r="A76" s="345" t="s">
        <v>165</v>
      </c>
      <c r="B76" s="307" t="str">
        <f t="shared" si="45"/>
        <v>Análisis de datos de presión</v>
      </c>
      <c r="C76" s="438"/>
      <c r="D76" s="332" t="s">
        <v>207</v>
      </c>
      <c r="E76" s="434">
        <f>IF($D76="NO",0,D598)</f>
        <v>0</v>
      </c>
      <c r="F76" s="434">
        <f>IF($D76="NO",0,D596)</f>
        <v>347236233.9614836</v>
      </c>
      <c r="G76" s="987">
        <f>SUM($K594:$U594)</f>
        <v>511317714.7151159</v>
      </c>
      <c r="H76" s="987">
        <f>SUM($K595:$U595)</f>
        <v>0</v>
      </c>
      <c r="K76" s="435">
        <f t="shared" ref="K76:U76" si="52">IF($D76="","",IF($D76="No",0,K$597))</f>
        <v>0</v>
      </c>
      <c r="L76" s="435">
        <f t="shared" si="52"/>
        <v>0</v>
      </c>
      <c r="M76" s="435">
        <f t="shared" si="52"/>
        <v>0</v>
      </c>
      <c r="N76" s="435">
        <f t="shared" si="52"/>
        <v>0</v>
      </c>
      <c r="O76" s="435">
        <f t="shared" si="52"/>
        <v>0</v>
      </c>
      <c r="P76" s="435">
        <f t="shared" si="52"/>
        <v>0</v>
      </c>
      <c r="Q76" s="435">
        <f t="shared" si="52"/>
        <v>0</v>
      </c>
      <c r="R76" s="435">
        <f t="shared" si="52"/>
        <v>0</v>
      </c>
      <c r="S76" s="435">
        <f t="shared" si="52"/>
        <v>0</v>
      </c>
      <c r="T76" s="435">
        <f t="shared" si="52"/>
        <v>0</v>
      </c>
      <c r="U76" s="435">
        <f t="shared" si="52"/>
        <v>0</v>
      </c>
      <c r="V76" s="312"/>
      <c r="W76" s="312"/>
      <c r="X76" s="312"/>
      <c r="Y76" s="312"/>
      <c r="Z76" s="312"/>
      <c r="AA76" s="312"/>
      <c r="AB76" s="312"/>
      <c r="AC76" s="312"/>
    </row>
    <row r="77" spans="1:29" s="304" customFormat="1" ht="15" customHeight="1" x14ac:dyDescent="0.2">
      <c r="A77" s="345" t="s">
        <v>307</v>
      </c>
      <c r="B77" s="307" t="str">
        <f t="shared" si="45"/>
        <v>Reemplazo de equipos fijos y rotativos</v>
      </c>
      <c r="C77" s="438"/>
      <c r="D77" s="332" t="s">
        <v>207</v>
      </c>
      <c r="E77" s="434">
        <f>IF($D77="NO",0,D615)</f>
        <v>0</v>
      </c>
      <c r="F77" s="434">
        <f>IF($D77="NO",0,D613)</f>
        <v>227193248.70451695</v>
      </c>
      <c r="G77" s="987">
        <f>SUM($K611:$U611)</f>
        <v>0</v>
      </c>
      <c r="H77" s="987">
        <f>SUM($K612:$U612)</f>
        <v>284428437.28185749</v>
      </c>
      <c r="K77" s="435">
        <f t="shared" ref="K77:U77" si="53">IF($D77="","",IF($D77="No",0,K$614))</f>
        <v>0</v>
      </c>
      <c r="L77" s="435">
        <f t="shared" si="53"/>
        <v>0</v>
      </c>
      <c r="M77" s="435">
        <f t="shared" si="53"/>
        <v>0</v>
      </c>
      <c r="N77" s="435">
        <f t="shared" si="53"/>
        <v>0</v>
      </c>
      <c r="O77" s="435">
        <f t="shared" si="53"/>
        <v>0</v>
      </c>
      <c r="P77" s="435">
        <f t="shared" si="53"/>
        <v>0</v>
      </c>
      <c r="Q77" s="435">
        <f t="shared" si="53"/>
        <v>0</v>
      </c>
      <c r="R77" s="435">
        <f t="shared" si="53"/>
        <v>0</v>
      </c>
      <c r="S77" s="435">
        <f t="shared" si="53"/>
        <v>0</v>
      </c>
      <c r="T77" s="435">
        <f t="shared" si="53"/>
        <v>0</v>
      </c>
      <c r="U77" s="435">
        <f t="shared" si="53"/>
        <v>0</v>
      </c>
      <c r="V77" s="312"/>
      <c r="W77" s="312"/>
      <c r="X77" s="312"/>
      <c r="Y77" s="312"/>
      <c r="Z77" s="312"/>
      <c r="AA77" s="312"/>
      <c r="AB77" s="312"/>
      <c r="AC77" s="312"/>
    </row>
    <row r="78" spans="1:29" s="346" customFormat="1" ht="20.100000000000001" customHeight="1" x14ac:dyDescent="0.2">
      <c r="A78" s="341">
        <v>3.4</v>
      </c>
      <c r="B78" s="326" t="str">
        <f t="shared" si="45"/>
        <v>Modelo hidráulico</v>
      </c>
      <c r="C78" s="438"/>
      <c r="D78" s="332" t="s">
        <v>207</v>
      </c>
      <c r="E78" s="434">
        <f>IF($D78="NO",0,D631)</f>
        <v>0</v>
      </c>
      <c r="F78" s="434">
        <f>IF($D78="NO",0,D629)</f>
        <v>679116446.22722447</v>
      </c>
      <c r="G78" s="987">
        <f>SUM($K627:$U627)</f>
        <v>1509846452.2860672</v>
      </c>
      <c r="H78" s="987">
        <f>SUM($K628:$U628)</f>
        <v>0</v>
      </c>
      <c r="I78" s="304"/>
      <c r="J78" s="304"/>
      <c r="K78" s="435">
        <f t="shared" ref="K78:U78" si="54">IF($D78="","",IF($D78="No",0,K$630))</f>
        <v>0</v>
      </c>
      <c r="L78" s="435">
        <f t="shared" si="54"/>
        <v>0</v>
      </c>
      <c r="M78" s="435">
        <f t="shared" si="54"/>
        <v>0</v>
      </c>
      <c r="N78" s="435">
        <f t="shared" si="54"/>
        <v>0</v>
      </c>
      <c r="O78" s="435">
        <f t="shared" si="54"/>
        <v>0</v>
      </c>
      <c r="P78" s="435">
        <f t="shared" si="54"/>
        <v>0</v>
      </c>
      <c r="Q78" s="435">
        <f t="shared" si="54"/>
        <v>0</v>
      </c>
      <c r="R78" s="435">
        <f t="shared" si="54"/>
        <v>0</v>
      </c>
      <c r="S78" s="435">
        <f t="shared" si="54"/>
        <v>0</v>
      </c>
      <c r="T78" s="435">
        <f t="shared" si="54"/>
        <v>0</v>
      </c>
      <c r="U78" s="435">
        <f t="shared" si="54"/>
        <v>0</v>
      </c>
    </row>
    <row r="79" spans="1:29" s="348" customFormat="1" ht="15" customHeight="1" x14ac:dyDescent="0.25">
      <c r="A79" s="437">
        <f>A68+1</f>
        <v>4</v>
      </c>
      <c r="B79" s="323" t="s">
        <v>34</v>
      </c>
      <c r="C79" s="432"/>
      <c r="D79" s="324"/>
      <c r="E79" s="433">
        <f>IFERROR(SUM(E80),0)</f>
        <v>3657979.9948924226</v>
      </c>
      <c r="F79" s="433">
        <f>IFERROR(SUM(F80),0)</f>
        <v>125317226.95549992</v>
      </c>
      <c r="G79" s="324"/>
      <c r="H79" s="324"/>
      <c r="I79" s="324"/>
      <c r="J79" s="324"/>
      <c r="K79" s="440">
        <f>K80</f>
        <v>0</v>
      </c>
      <c r="L79" s="440">
        <f t="shared" ref="L79:U79" si="55">L80</f>
        <v>0</v>
      </c>
      <c r="M79" s="440">
        <f t="shared" si="55"/>
        <v>3844.62</v>
      </c>
      <c r="N79" s="440">
        <f t="shared" si="55"/>
        <v>2283.2999999999997</v>
      </c>
      <c r="O79" s="440">
        <f t="shared" si="55"/>
        <v>4158.8999999999996</v>
      </c>
      <c r="P79" s="440">
        <f t="shared" si="55"/>
        <v>2170</v>
      </c>
      <c r="Q79" s="440">
        <f t="shared" si="55"/>
        <v>2607</v>
      </c>
      <c r="R79" s="440">
        <f t="shared" si="55"/>
        <v>2000</v>
      </c>
      <c r="S79" s="440">
        <f t="shared" si="55"/>
        <v>2000</v>
      </c>
      <c r="T79" s="440">
        <f t="shared" si="55"/>
        <v>2000</v>
      </c>
      <c r="U79" s="440">
        <f t="shared" si="55"/>
        <v>2000</v>
      </c>
      <c r="V79" s="347"/>
      <c r="W79" s="347"/>
      <c r="X79" s="347"/>
      <c r="Y79" s="347"/>
      <c r="Z79" s="347"/>
      <c r="AA79" s="347"/>
      <c r="AB79" s="347"/>
      <c r="AC79" s="347"/>
    </row>
    <row r="80" spans="1:29" s="346" customFormat="1" ht="20.100000000000001" customHeight="1" x14ac:dyDescent="0.2">
      <c r="A80" s="341">
        <v>4.0999999999999996</v>
      </c>
      <c r="B80" s="340" t="str">
        <f>$B$635</f>
        <v>Pruebas de estanqueidad e impermeabilización de tanques</v>
      </c>
      <c r="C80" s="439"/>
      <c r="D80" s="332" t="s">
        <v>207</v>
      </c>
      <c r="E80" s="434">
        <f>IF($D80="NO",0,D649)</f>
        <v>3657979.9948924226</v>
      </c>
      <c r="F80" s="434">
        <f>IF($D80="NO",0,D647)</f>
        <v>125317226.95549992</v>
      </c>
      <c r="G80" s="373">
        <f>SUM($K645:$U645)</f>
        <v>0</v>
      </c>
      <c r="H80" s="373">
        <f>SUM($K646:$U646)</f>
        <v>233497699.00386968</v>
      </c>
      <c r="I80" s="304"/>
      <c r="J80" s="304"/>
      <c r="K80" s="435">
        <f t="shared" ref="K80:U80" si="56">IF($D80="","",IF($D80="No",0,K$648))</f>
        <v>0</v>
      </c>
      <c r="L80" s="435">
        <f t="shared" si="56"/>
        <v>0</v>
      </c>
      <c r="M80" s="435">
        <f t="shared" si="56"/>
        <v>3844.62</v>
      </c>
      <c r="N80" s="435">
        <f t="shared" si="56"/>
        <v>2283.2999999999997</v>
      </c>
      <c r="O80" s="435">
        <f t="shared" si="56"/>
        <v>4158.8999999999996</v>
      </c>
      <c r="P80" s="435">
        <f t="shared" si="56"/>
        <v>2170</v>
      </c>
      <c r="Q80" s="435">
        <f t="shared" si="56"/>
        <v>2607</v>
      </c>
      <c r="R80" s="435">
        <f t="shared" si="56"/>
        <v>2000</v>
      </c>
      <c r="S80" s="435">
        <f t="shared" si="56"/>
        <v>2000</v>
      </c>
      <c r="T80" s="435">
        <f t="shared" si="56"/>
        <v>2000</v>
      </c>
      <c r="U80" s="435">
        <f t="shared" si="56"/>
        <v>2000</v>
      </c>
    </row>
    <row r="81" spans="1:29" s="348" customFormat="1" ht="15" customHeight="1" x14ac:dyDescent="0.25">
      <c r="A81" s="437">
        <f>A79+1</f>
        <v>5</v>
      </c>
      <c r="B81" s="323" t="s">
        <v>94</v>
      </c>
      <c r="C81" s="432"/>
      <c r="D81" s="324"/>
      <c r="E81" s="433">
        <f>IFERROR(SUM(E82),0)</f>
        <v>177893984.54710335</v>
      </c>
      <c r="F81" s="433">
        <f>IFERROR(SUM(F82),0)</f>
        <v>1233505101.0616004</v>
      </c>
      <c r="G81" s="324"/>
      <c r="H81" s="324"/>
      <c r="I81" s="324"/>
      <c r="J81" s="324"/>
      <c r="K81" s="440">
        <f>K82</f>
        <v>0</v>
      </c>
      <c r="L81" s="440">
        <f t="shared" ref="L81:U81" si="57">L82</f>
        <v>328034.92604797322</v>
      </c>
      <c r="M81" s="440">
        <f t="shared" si="57"/>
        <v>190974.54283528461</v>
      </c>
      <c r="N81" s="440">
        <f t="shared" si="57"/>
        <v>253892.48362568399</v>
      </c>
      <c r="O81" s="440">
        <f t="shared" si="57"/>
        <v>0</v>
      </c>
      <c r="P81" s="440">
        <f t="shared" si="57"/>
        <v>0</v>
      </c>
      <c r="Q81" s="440">
        <f t="shared" si="57"/>
        <v>0</v>
      </c>
      <c r="R81" s="440">
        <f t="shared" si="57"/>
        <v>0</v>
      </c>
      <c r="S81" s="440">
        <f t="shared" si="57"/>
        <v>0</v>
      </c>
      <c r="T81" s="440">
        <f t="shared" si="57"/>
        <v>0</v>
      </c>
      <c r="U81" s="440">
        <f t="shared" si="57"/>
        <v>0</v>
      </c>
      <c r="V81" s="347"/>
      <c r="W81" s="347"/>
      <c r="X81" s="347"/>
      <c r="Y81" s="347"/>
      <c r="Z81" s="347"/>
      <c r="AA81" s="347"/>
      <c r="AB81" s="347"/>
      <c r="AC81" s="347"/>
    </row>
    <row r="82" spans="1:29" s="346" customFormat="1" ht="20.100000000000001" customHeight="1" x14ac:dyDescent="0.2">
      <c r="A82" s="341">
        <v>5.0999999999999996</v>
      </c>
      <c r="B82" s="340" t="str">
        <f>$B$653</f>
        <v>Mejoramiento en la velocidad y calidad de las reparaciones</v>
      </c>
      <c r="C82" s="439"/>
      <c r="D82" s="332" t="s">
        <v>207</v>
      </c>
      <c r="E82" s="434">
        <f>IF($D82="NO",0,D668)</f>
        <v>177893984.54710335</v>
      </c>
      <c r="F82" s="434">
        <f>IF($D82="NO",0,D665)</f>
        <v>1233505101.0616004</v>
      </c>
      <c r="G82" s="373">
        <f>SUM($K663:$U663)</f>
        <v>0</v>
      </c>
      <c r="H82" s="373">
        <f>SUM($K664:$U664)</f>
        <v>1915758626.468329</v>
      </c>
      <c r="I82" s="304"/>
      <c r="J82" s="304"/>
      <c r="K82" s="435">
        <f t="shared" ref="K82:U82" si="58">IF($D82="","",IF($D82="No",0,SUM(K$666,K$667)))</f>
        <v>0</v>
      </c>
      <c r="L82" s="435">
        <f t="shared" si="58"/>
        <v>328034.92604797322</v>
      </c>
      <c r="M82" s="435">
        <f t="shared" si="58"/>
        <v>190974.54283528461</v>
      </c>
      <c r="N82" s="435">
        <f t="shared" si="58"/>
        <v>253892.48362568399</v>
      </c>
      <c r="O82" s="435">
        <f t="shared" si="58"/>
        <v>0</v>
      </c>
      <c r="P82" s="435">
        <f t="shared" si="58"/>
        <v>0</v>
      </c>
      <c r="Q82" s="435">
        <f t="shared" si="58"/>
        <v>0</v>
      </c>
      <c r="R82" s="435">
        <f t="shared" si="58"/>
        <v>0</v>
      </c>
      <c r="S82" s="435">
        <f t="shared" si="58"/>
        <v>0</v>
      </c>
      <c r="T82" s="435">
        <f t="shared" si="58"/>
        <v>0</v>
      </c>
      <c r="U82" s="435">
        <f t="shared" si="58"/>
        <v>0</v>
      </c>
    </row>
    <row r="83" spans="1:29" s="348" customFormat="1" ht="15" customHeight="1" x14ac:dyDescent="0.25">
      <c r="A83" s="437">
        <f>A81+1</f>
        <v>6</v>
      </c>
      <c r="B83" s="323" t="s">
        <v>96</v>
      </c>
      <c r="C83" s="432"/>
      <c r="D83" s="324"/>
      <c r="E83" s="433">
        <f>IFERROR(SUM(E84:E94),0)</f>
        <v>496370253.12101901</v>
      </c>
      <c r="F83" s="433">
        <f>IFERROR(SUM(F84:F94),0)</f>
        <v>6129902208.7912111</v>
      </c>
      <c r="G83" s="324"/>
      <c r="H83" s="324"/>
      <c r="I83" s="324"/>
      <c r="J83" s="324"/>
      <c r="K83" s="440">
        <f t="shared" ref="K83:U83" si="59">SUM(K84:K94)</f>
        <v>0</v>
      </c>
      <c r="L83" s="440">
        <f t="shared" si="59"/>
        <v>0</v>
      </c>
      <c r="M83" s="440">
        <f t="shared" si="59"/>
        <v>188842.53575319157</v>
      </c>
      <c r="N83" s="440">
        <f t="shared" si="59"/>
        <v>214680.01070341308</v>
      </c>
      <c r="O83" s="440">
        <f t="shared" si="59"/>
        <v>269504.84749802196</v>
      </c>
      <c r="P83" s="440">
        <f t="shared" si="59"/>
        <v>461738.29448519635</v>
      </c>
      <c r="Q83" s="440">
        <f t="shared" si="59"/>
        <v>499866.28566320776</v>
      </c>
      <c r="R83" s="440">
        <f t="shared" si="59"/>
        <v>367713.27115430206</v>
      </c>
      <c r="S83" s="440">
        <f t="shared" si="59"/>
        <v>706248.10308125056</v>
      </c>
      <c r="T83" s="440">
        <f t="shared" si="59"/>
        <v>422628.87534097966</v>
      </c>
      <c r="U83" s="440">
        <f t="shared" si="59"/>
        <v>531863.21803743194</v>
      </c>
      <c r="V83" s="347"/>
      <c r="W83" s="347"/>
      <c r="X83" s="347"/>
      <c r="Y83" s="347"/>
      <c r="Z83" s="347"/>
      <c r="AA83" s="347"/>
      <c r="AB83" s="347"/>
      <c r="AC83" s="347"/>
    </row>
    <row r="84" spans="1:29" ht="15" customHeight="1" x14ac:dyDescent="0.2">
      <c r="A84" s="341">
        <v>6.1</v>
      </c>
      <c r="B84" s="326" t="str">
        <f t="shared" ref="B84:B94" si="60">VLOOKUP(A84,$A$672:$B$789,2,FALSE)</f>
        <v>Detección de fugas</v>
      </c>
      <c r="C84" s="439"/>
      <c r="D84" s="332" t="s">
        <v>207</v>
      </c>
      <c r="E84" s="434">
        <f>IF($D84="NO",0,D684)</f>
        <v>0</v>
      </c>
      <c r="F84" s="434">
        <f>IF($D84="NO",0,D682)</f>
        <v>337507779.1996035</v>
      </c>
      <c r="G84" s="373">
        <f>SUM($K680:$U680)</f>
        <v>845747233.89014149</v>
      </c>
      <c r="H84" s="373">
        <f>SUM($K681:$U681)</f>
        <v>0</v>
      </c>
      <c r="I84" s="304"/>
      <c r="J84" s="304"/>
      <c r="K84" s="435">
        <f t="shared" ref="K84:U84" si="61">IF($D84="","",IF($D84="No",0,K$683))</f>
        <v>0</v>
      </c>
      <c r="L84" s="435">
        <f t="shared" si="61"/>
        <v>0</v>
      </c>
      <c r="M84" s="435">
        <f t="shared" si="61"/>
        <v>0</v>
      </c>
      <c r="N84" s="435">
        <f t="shared" si="61"/>
        <v>0</v>
      </c>
      <c r="O84" s="435">
        <f t="shared" si="61"/>
        <v>0</v>
      </c>
      <c r="P84" s="435">
        <f t="shared" si="61"/>
        <v>0</v>
      </c>
      <c r="Q84" s="435">
        <f t="shared" si="61"/>
        <v>0</v>
      </c>
      <c r="R84" s="435">
        <f t="shared" si="61"/>
        <v>0</v>
      </c>
      <c r="S84" s="435">
        <f t="shared" si="61"/>
        <v>0</v>
      </c>
      <c r="T84" s="435">
        <f t="shared" si="61"/>
        <v>0</v>
      </c>
      <c r="U84" s="435">
        <f t="shared" si="61"/>
        <v>0</v>
      </c>
    </row>
    <row r="85" spans="1:29" s="304" customFormat="1" ht="15" customHeight="1" x14ac:dyDescent="0.2">
      <c r="A85" s="326">
        <v>6.2</v>
      </c>
      <c r="B85" s="326" t="str">
        <f t="shared" si="60"/>
        <v>Reparación de fugas</v>
      </c>
      <c r="C85" s="441"/>
      <c r="D85" s="328"/>
      <c r="E85" s="334"/>
      <c r="F85" s="334"/>
      <c r="G85" s="297"/>
      <c r="H85" s="297"/>
      <c r="I85" s="297"/>
      <c r="J85" s="297"/>
      <c r="K85" s="349"/>
      <c r="L85" s="349"/>
      <c r="M85" s="349"/>
      <c r="N85" s="349"/>
      <c r="O85" s="349"/>
      <c r="P85" s="349"/>
      <c r="Q85" s="349"/>
      <c r="R85" s="349"/>
      <c r="S85" s="349"/>
      <c r="T85" s="349"/>
      <c r="U85" s="349"/>
      <c r="V85" s="312"/>
      <c r="W85" s="312"/>
      <c r="X85" s="312"/>
      <c r="Y85" s="312"/>
      <c r="Z85" s="312"/>
      <c r="AA85" s="312"/>
      <c r="AB85" s="312"/>
      <c r="AC85" s="312"/>
    </row>
    <row r="86" spans="1:29" s="304" customFormat="1" ht="15" customHeight="1" x14ac:dyDescent="0.2">
      <c r="A86" s="330" t="s">
        <v>188</v>
      </c>
      <c r="B86" s="307" t="str">
        <f t="shared" si="60"/>
        <v>Reparación de fugas en redes menores</v>
      </c>
      <c r="C86" s="439"/>
      <c r="D86" s="332" t="s">
        <v>207</v>
      </c>
      <c r="E86" s="434">
        <f>IF($D86="NO",0,D698)</f>
        <v>459999013.67804587</v>
      </c>
      <c r="F86" s="434">
        <f>IF($D86="NO",0,D696)</f>
        <v>4426063895.5793438</v>
      </c>
      <c r="G86" s="373">
        <f>SUM($K694:$U694)</f>
        <v>0</v>
      </c>
      <c r="H86" s="373">
        <f>SUM($K695:$U695)</f>
        <v>11775757750.603498</v>
      </c>
      <c r="K86" s="435">
        <f t="shared" ref="K86:U86" si="62">IF($D86="","",IF(OR($D86="Nulo",$D86="No"),0,K$697))</f>
        <v>0</v>
      </c>
      <c r="L86" s="435">
        <f t="shared" si="62"/>
        <v>0</v>
      </c>
      <c r="M86" s="435">
        <f t="shared" si="62"/>
        <v>181314.49318701428</v>
      </c>
      <c r="N86" s="435">
        <f t="shared" si="62"/>
        <v>205252.08168792748</v>
      </c>
      <c r="O86" s="435">
        <f t="shared" si="62"/>
        <v>251585.44646605419</v>
      </c>
      <c r="P86" s="435">
        <f t="shared" si="62"/>
        <v>411227.22612381249</v>
      </c>
      <c r="Q86" s="435">
        <f t="shared" si="62"/>
        <v>459971.00719794974</v>
      </c>
      <c r="R86" s="435">
        <f t="shared" si="62"/>
        <v>356778.17039526039</v>
      </c>
      <c r="S86" s="435">
        <f t="shared" si="62"/>
        <v>591778.80705871712</v>
      </c>
      <c r="T86" s="435">
        <f t="shared" si="62"/>
        <v>416151.66268065368</v>
      </c>
      <c r="U86" s="435">
        <f t="shared" si="62"/>
        <v>522977.14168841625</v>
      </c>
      <c r="V86" s="312"/>
      <c r="W86" s="312"/>
      <c r="X86" s="312"/>
      <c r="Y86" s="312"/>
      <c r="Z86" s="312"/>
      <c r="AA86" s="312"/>
      <c r="AB86" s="312"/>
      <c r="AC86" s="312"/>
    </row>
    <row r="87" spans="1:29" s="304" customFormat="1" ht="15" customHeight="1" x14ac:dyDescent="0.2">
      <c r="A87" s="330" t="s">
        <v>190</v>
      </c>
      <c r="B87" s="307" t="str">
        <f t="shared" si="60"/>
        <v>Reparación de fugas en redes matrices</v>
      </c>
      <c r="C87" s="439"/>
      <c r="D87" s="332" t="s">
        <v>207</v>
      </c>
      <c r="E87" s="434">
        <f>IF($D87="NO",0,D711)</f>
        <v>34204703.48194053</v>
      </c>
      <c r="F87" s="434">
        <f>IF($D87="NO",0,D709)</f>
        <v>448932985.95898652</v>
      </c>
      <c r="G87" s="373">
        <f>SUM($K707:$U707)</f>
        <v>0</v>
      </c>
      <c r="H87" s="373">
        <f>SUM($K708:$U708)</f>
        <v>1284542075.0959785</v>
      </c>
      <c r="K87" s="435">
        <f t="shared" ref="K87:U87" si="63">IF($D87="","",IF($D87="No",0,K$710))</f>
        <v>0</v>
      </c>
      <c r="L87" s="435">
        <f t="shared" si="63"/>
        <v>0</v>
      </c>
      <c r="M87" s="435">
        <f t="shared" si="63"/>
        <v>5822.7594875922596</v>
      </c>
      <c r="N87" s="435">
        <f t="shared" si="63"/>
        <v>6728.1809999267271</v>
      </c>
      <c r="O87" s="435">
        <f t="shared" si="63"/>
        <v>14554.398165604576</v>
      </c>
      <c r="P87" s="435">
        <f t="shared" si="63"/>
        <v>49128.135021517679</v>
      </c>
      <c r="Q87" s="435">
        <f t="shared" si="63"/>
        <v>38924.921430647089</v>
      </c>
      <c r="R87" s="435">
        <f t="shared" si="63"/>
        <v>10450.388526447907</v>
      </c>
      <c r="S87" s="435">
        <f t="shared" si="63"/>
        <v>113537.35192044322</v>
      </c>
      <c r="T87" s="435">
        <f t="shared" si="63"/>
        <v>5925.4905826535805</v>
      </c>
      <c r="U87" s="435">
        <f t="shared" si="63"/>
        <v>8338.1494630833586</v>
      </c>
      <c r="V87" s="312"/>
      <c r="W87" s="312"/>
      <c r="X87" s="312"/>
      <c r="Y87" s="312"/>
      <c r="Z87" s="312"/>
      <c r="AA87" s="312"/>
      <c r="AB87" s="312"/>
      <c r="AC87" s="312"/>
    </row>
    <row r="88" spans="1:29" ht="15" customHeight="1" x14ac:dyDescent="0.2">
      <c r="A88" s="330" t="s">
        <v>191</v>
      </c>
      <c r="B88" s="307" t="str">
        <f t="shared" si="60"/>
        <v>Reparación de fugas en acometidas</v>
      </c>
      <c r="C88" s="439"/>
      <c r="D88" s="332" t="s">
        <v>207</v>
      </c>
      <c r="E88" s="434">
        <f>IF($D88="NO",0,D724)</f>
        <v>1117055.2338701335</v>
      </c>
      <c r="F88" s="434">
        <f>IF($D88="NO",0,D722)</f>
        <v>153709581.05715492</v>
      </c>
      <c r="G88" s="373">
        <f>SUM($K720:$U720)</f>
        <v>0</v>
      </c>
      <c r="H88" s="373">
        <f>SUM($K721:$U721)</f>
        <v>333236298.83453274</v>
      </c>
      <c r="I88" s="304"/>
      <c r="J88" s="304"/>
      <c r="K88" s="435">
        <f t="shared" ref="K88:U88" si="64">IF($D88="","",IF($D88="No",0,K$723))</f>
        <v>0</v>
      </c>
      <c r="L88" s="435">
        <f t="shared" si="64"/>
        <v>0</v>
      </c>
      <c r="M88" s="435">
        <f t="shared" si="64"/>
        <v>623.28307858501194</v>
      </c>
      <c r="N88" s="435">
        <f t="shared" si="64"/>
        <v>1091.7480155588601</v>
      </c>
      <c r="O88" s="435">
        <f t="shared" si="64"/>
        <v>1769.0028663631861</v>
      </c>
      <c r="P88" s="435">
        <f t="shared" si="64"/>
        <v>439.43333986617847</v>
      </c>
      <c r="Q88" s="435">
        <f t="shared" si="64"/>
        <v>673.35703461091418</v>
      </c>
      <c r="R88" s="435">
        <f t="shared" si="64"/>
        <v>484.71223259372488</v>
      </c>
      <c r="S88" s="435">
        <f t="shared" si="64"/>
        <v>931.94410209024568</v>
      </c>
      <c r="T88" s="435">
        <f t="shared" si="64"/>
        <v>551.72207767241082</v>
      </c>
      <c r="U88" s="435">
        <f t="shared" si="64"/>
        <v>547.92688593227854</v>
      </c>
    </row>
    <row r="89" spans="1:29" s="304" customFormat="1" ht="15" customHeight="1" x14ac:dyDescent="0.2">
      <c r="A89" s="350">
        <v>6.3</v>
      </c>
      <c r="B89" s="326" t="str">
        <f t="shared" si="60"/>
        <v>Reboses en tanques</v>
      </c>
      <c r="C89" s="441"/>
      <c r="D89" s="328"/>
      <c r="E89" s="351"/>
      <c r="F89" s="351"/>
      <c r="G89" s="297"/>
      <c r="H89" s="297"/>
      <c r="I89" s="297"/>
      <c r="J89" s="297"/>
      <c r="K89" s="349"/>
      <c r="L89" s="349"/>
      <c r="M89" s="349"/>
      <c r="N89" s="349"/>
      <c r="O89" s="349"/>
      <c r="P89" s="349"/>
      <c r="Q89" s="349"/>
      <c r="R89" s="349"/>
      <c r="S89" s="349"/>
      <c r="T89" s="349"/>
      <c r="U89" s="349"/>
      <c r="V89" s="312"/>
      <c r="W89" s="312"/>
      <c r="X89" s="312"/>
      <c r="Y89" s="312"/>
      <c r="Z89" s="312"/>
      <c r="AA89" s="312"/>
      <c r="AB89" s="312"/>
      <c r="AC89" s="312"/>
    </row>
    <row r="90" spans="1:29" s="304" customFormat="1" ht="15" customHeight="1" x14ac:dyDescent="0.2">
      <c r="A90" s="330" t="s">
        <v>192</v>
      </c>
      <c r="B90" s="307" t="str">
        <f t="shared" si="60"/>
        <v>Instrumentación y control de nivel en tanques</v>
      </c>
      <c r="C90" s="439"/>
      <c r="D90" s="332" t="s">
        <v>207</v>
      </c>
      <c r="E90" s="434">
        <f>IF($D90="NO",0,D740)</f>
        <v>1049480.7271624892</v>
      </c>
      <c r="F90" s="434">
        <f>IF($D90="NO",0,D738)</f>
        <v>259786656.60239705</v>
      </c>
      <c r="G90" s="373">
        <f>SUM($K736:$U736)</f>
        <v>0</v>
      </c>
      <c r="H90" s="373">
        <f>SUM($K737:$U737)</f>
        <v>455823616.26514649</v>
      </c>
      <c r="K90" s="435">
        <f t="shared" ref="K90:U90" si="65">IF($D90="","",IF($D90="No",0,K$739))</f>
        <v>0</v>
      </c>
      <c r="L90" s="435">
        <f t="shared" si="65"/>
        <v>0</v>
      </c>
      <c r="M90" s="435">
        <f t="shared" si="65"/>
        <v>1082</v>
      </c>
      <c r="N90" s="435">
        <f t="shared" si="65"/>
        <v>1608</v>
      </c>
      <c r="O90" s="435">
        <f t="shared" si="65"/>
        <v>1596</v>
      </c>
      <c r="P90" s="435">
        <f t="shared" si="65"/>
        <v>943.5</v>
      </c>
      <c r="Q90" s="435">
        <f t="shared" si="65"/>
        <v>297</v>
      </c>
      <c r="R90" s="435">
        <f t="shared" si="65"/>
        <v>0</v>
      </c>
      <c r="S90" s="435">
        <f t="shared" si="65"/>
        <v>0</v>
      </c>
      <c r="T90" s="435">
        <f t="shared" si="65"/>
        <v>0</v>
      </c>
      <c r="U90" s="435">
        <f t="shared" si="65"/>
        <v>0</v>
      </c>
      <c r="V90" s="312"/>
      <c r="W90" s="312"/>
      <c r="X90" s="312"/>
      <c r="Y90" s="312"/>
      <c r="Z90" s="312"/>
      <c r="AA90" s="312"/>
      <c r="AB90" s="312"/>
      <c r="AC90" s="312"/>
    </row>
    <row r="91" spans="1:29" s="304" customFormat="1" ht="15" customHeight="1" x14ac:dyDescent="0.2">
      <c r="A91" s="330" t="s">
        <v>193</v>
      </c>
      <c r="B91" s="307" t="str">
        <f t="shared" si="60"/>
        <v xml:space="preserve">Telemetría y/o almacenamiento local de datos de nivel </v>
      </c>
      <c r="C91" s="439"/>
      <c r="D91" s="332" t="s">
        <v>207</v>
      </c>
      <c r="E91" s="434">
        <f>IF($D91="NO",0,D752)</f>
        <v>0</v>
      </c>
      <c r="F91" s="434">
        <f>IF($D91="NO",0,D750)</f>
        <v>62332915.435455441</v>
      </c>
      <c r="G91" s="373">
        <f>SUM($K748:$U748)</f>
        <v>0</v>
      </c>
      <c r="H91" s="373">
        <f>SUM($K749:$U749)</f>
        <v>109369800.9656617</v>
      </c>
      <c r="K91" s="435">
        <f t="shared" ref="K91:U91" si="66">IF($D91="","",IF($D91="No",0,K$751))</f>
        <v>0</v>
      </c>
      <c r="L91" s="435">
        <f t="shared" si="66"/>
        <v>0</v>
      </c>
      <c r="M91" s="435">
        <f t="shared" si="66"/>
        <v>0</v>
      </c>
      <c r="N91" s="435">
        <f t="shared" si="66"/>
        <v>0</v>
      </c>
      <c r="O91" s="435">
        <f t="shared" si="66"/>
        <v>0</v>
      </c>
      <c r="P91" s="435">
        <f t="shared" si="66"/>
        <v>0</v>
      </c>
      <c r="Q91" s="435">
        <f t="shared" si="66"/>
        <v>0</v>
      </c>
      <c r="R91" s="435">
        <f t="shared" si="66"/>
        <v>0</v>
      </c>
      <c r="S91" s="435">
        <f t="shared" si="66"/>
        <v>0</v>
      </c>
      <c r="T91" s="435">
        <f t="shared" si="66"/>
        <v>0</v>
      </c>
      <c r="U91" s="435">
        <f t="shared" si="66"/>
        <v>0</v>
      </c>
      <c r="V91" s="312"/>
      <c r="W91" s="312"/>
      <c r="X91" s="312"/>
      <c r="Y91" s="312"/>
      <c r="Z91" s="312"/>
      <c r="AA91" s="312"/>
      <c r="AB91" s="312"/>
      <c r="AC91" s="312"/>
    </row>
    <row r="92" spans="1:29" s="304" customFormat="1" ht="15" customHeight="1" x14ac:dyDescent="0.2">
      <c r="A92" s="330" t="s">
        <v>200</v>
      </c>
      <c r="B92" s="307" t="str">
        <f t="shared" si="60"/>
        <v>Procesamiento de datos</v>
      </c>
      <c r="C92" s="439"/>
      <c r="D92" s="332" t="s">
        <v>207</v>
      </c>
      <c r="E92" s="434">
        <f>IF($D92="NO",0,D763)</f>
        <v>0</v>
      </c>
      <c r="F92" s="434">
        <f>IF($D92="NO",0,D761)</f>
        <v>157665031.2629151</v>
      </c>
      <c r="G92" s="373">
        <f>SUM($K759:$U759)</f>
        <v>366876868.86469722</v>
      </c>
      <c r="H92" s="373">
        <f>SUM($K760:$U760)</f>
        <v>0</v>
      </c>
      <c r="K92" s="435">
        <f t="shared" ref="K92:U92" si="67">IF($D92="","",IF($D92="No",0,K$762))</f>
        <v>0</v>
      </c>
      <c r="L92" s="435">
        <f t="shared" si="67"/>
        <v>0</v>
      </c>
      <c r="M92" s="435">
        <f t="shared" si="67"/>
        <v>0</v>
      </c>
      <c r="N92" s="435">
        <f t="shared" si="67"/>
        <v>0</v>
      </c>
      <c r="O92" s="435">
        <f t="shared" si="67"/>
        <v>0</v>
      </c>
      <c r="P92" s="435">
        <f t="shared" si="67"/>
        <v>0</v>
      </c>
      <c r="Q92" s="435">
        <f t="shared" si="67"/>
        <v>0</v>
      </c>
      <c r="R92" s="435">
        <f t="shared" si="67"/>
        <v>0</v>
      </c>
      <c r="S92" s="435">
        <f t="shared" si="67"/>
        <v>0</v>
      </c>
      <c r="T92" s="435">
        <f t="shared" si="67"/>
        <v>0</v>
      </c>
      <c r="U92" s="435">
        <f t="shared" si="67"/>
        <v>0</v>
      </c>
      <c r="V92" s="312"/>
      <c r="W92" s="312"/>
      <c r="X92" s="312"/>
      <c r="Y92" s="312"/>
      <c r="Z92" s="312"/>
      <c r="AA92" s="312"/>
      <c r="AB92" s="312"/>
      <c r="AC92" s="312"/>
    </row>
    <row r="93" spans="1:29" s="304" customFormat="1" ht="14.25" customHeight="1" x14ac:dyDescent="0.2">
      <c r="A93" s="330" t="s">
        <v>194</v>
      </c>
      <c r="B93" s="307" t="str">
        <f t="shared" si="60"/>
        <v>Análisis de datos</v>
      </c>
      <c r="C93" s="439"/>
      <c r="D93" s="332" t="s">
        <v>207</v>
      </c>
      <c r="E93" s="434">
        <f>IF($D93="NO",0,D774)</f>
        <v>0</v>
      </c>
      <c r="F93" s="434">
        <f>IF($D93="NO",0,D772)</f>
        <v>186722946.33085722</v>
      </c>
      <c r="G93" s="373">
        <f>SUM($K770:$U770)</f>
        <v>434492857.08015406</v>
      </c>
      <c r="H93" s="373">
        <f>SUM($K771:$U771)</f>
        <v>0</v>
      </c>
      <c r="K93" s="435">
        <f t="shared" ref="K93:U93" si="68">IF($D93="","",IF($D93="No",0,K$773))</f>
        <v>0</v>
      </c>
      <c r="L93" s="435">
        <f t="shared" si="68"/>
        <v>0</v>
      </c>
      <c r="M93" s="435">
        <f t="shared" si="68"/>
        <v>0</v>
      </c>
      <c r="N93" s="435">
        <f t="shared" si="68"/>
        <v>0</v>
      </c>
      <c r="O93" s="435">
        <f t="shared" si="68"/>
        <v>0</v>
      </c>
      <c r="P93" s="435">
        <f t="shared" si="68"/>
        <v>0</v>
      </c>
      <c r="Q93" s="435">
        <f t="shared" si="68"/>
        <v>0</v>
      </c>
      <c r="R93" s="435">
        <f t="shared" si="68"/>
        <v>0</v>
      </c>
      <c r="S93" s="435">
        <f t="shared" si="68"/>
        <v>0</v>
      </c>
      <c r="T93" s="435">
        <f t="shared" si="68"/>
        <v>0</v>
      </c>
      <c r="U93" s="435">
        <f t="shared" si="68"/>
        <v>0</v>
      </c>
      <c r="V93" s="312"/>
      <c r="W93" s="312"/>
      <c r="X93" s="312"/>
      <c r="Y93" s="312"/>
      <c r="Z93" s="312"/>
      <c r="AA93" s="312"/>
      <c r="AB93" s="312"/>
      <c r="AC93" s="312"/>
    </row>
    <row r="94" spans="1:29" s="346" customFormat="1" ht="14.25" customHeight="1" x14ac:dyDescent="0.2">
      <c r="A94" s="330" t="s">
        <v>195</v>
      </c>
      <c r="B94" s="307" t="str">
        <f t="shared" si="60"/>
        <v>Reemplazo de sensor de nivel</v>
      </c>
      <c r="C94" s="439"/>
      <c r="D94" s="332" t="s">
        <v>207</v>
      </c>
      <c r="E94" s="434">
        <f>IF($D94="NO",0,D787)</f>
        <v>0</v>
      </c>
      <c r="F94" s="434">
        <f>IF($D94="NO",0,D785)</f>
        <v>97180417.364498675</v>
      </c>
      <c r="G94" s="373">
        <f>SUM($K783:$U783)</f>
        <v>0</v>
      </c>
      <c r="H94" s="373">
        <f>SUM($K784:$U784)</f>
        <v>165625926.16850179</v>
      </c>
      <c r="I94" s="304"/>
      <c r="J94" s="304"/>
      <c r="K94" s="435">
        <f t="shared" ref="K94:U94" si="69">IF($D94="","",IF($D94="No",0,K$786))</f>
        <v>0</v>
      </c>
      <c r="L94" s="435">
        <f t="shared" si="69"/>
        <v>0</v>
      </c>
      <c r="M94" s="435">
        <f t="shared" si="69"/>
        <v>0</v>
      </c>
      <c r="N94" s="435">
        <f t="shared" si="69"/>
        <v>0</v>
      </c>
      <c r="O94" s="435">
        <f t="shared" si="69"/>
        <v>0</v>
      </c>
      <c r="P94" s="435">
        <f t="shared" si="69"/>
        <v>0</v>
      </c>
      <c r="Q94" s="435">
        <f t="shared" si="69"/>
        <v>0</v>
      </c>
      <c r="R94" s="435">
        <f t="shared" si="69"/>
        <v>0</v>
      </c>
      <c r="S94" s="435">
        <f t="shared" si="69"/>
        <v>0</v>
      </c>
      <c r="T94" s="435">
        <f t="shared" si="69"/>
        <v>0</v>
      </c>
      <c r="U94" s="435">
        <f t="shared" si="69"/>
        <v>0</v>
      </c>
    </row>
    <row r="95" spans="1:29" s="348" customFormat="1" ht="15" customHeight="1" x14ac:dyDescent="0.25">
      <c r="A95" s="437">
        <f>A83+1</f>
        <v>7</v>
      </c>
      <c r="B95" s="323" t="s">
        <v>100</v>
      </c>
      <c r="C95" s="432"/>
      <c r="D95" s="324"/>
      <c r="E95" s="433">
        <f>IFERROR(SUM(E96),0)</f>
        <v>996489391.78153753</v>
      </c>
      <c r="F95" s="433">
        <f>IFERROR(SUM(F96),0)</f>
        <v>20298825237.242985</v>
      </c>
      <c r="G95" s="324"/>
      <c r="H95" s="324"/>
      <c r="I95" s="324"/>
      <c r="J95" s="324"/>
      <c r="K95" s="440">
        <f>SUM(K96:K97)</f>
        <v>0</v>
      </c>
      <c r="L95" s="440">
        <f>SUM(L96:L97)</f>
        <v>0</v>
      </c>
      <c r="M95" s="440">
        <f t="shared" ref="M95:U95" si="70">SUM(M96:M97)</f>
        <v>1087957.2234578964</v>
      </c>
      <c r="N95" s="440">
        <f t="shared" si="70"/>
        <v>1796801.4891995436</v>
      </c>
      <c r="O95" s="440">
        <f t="shared" si="70"/>
        <v>1304062.8314069901</v>
      </c>
      <c r="P95" s="440">
        <f t="shared" si="70"/>
        <v>990462.0576240411</v>
      </c>
      <c r="Q95" s="440">
        <f t="shared" si="70"/>
        <v>822276.54882169084</v>
      </c>
      <c r="R95" s="440">
        <f t="shared" si="70"/>
        <v>0</v>
      </c>
      <c r="S95" s="440">
        <f t="shared" si="70"/>
        <v>0</v>
      </c>
      <c r="T95" s="440">
        <f t="shared" si="70"/>
        <v>0</v>
      </c>
      <c r="U95" s="440">
        <f t="shared" si="70"/>
        <v>0</v>
      </c>
      <c r="V95" s="347"/>
      <c r="W95" s="347"/>
      <c r="X95" s="347"/>
      <c r="Y95" s="347"/>
      <c r="Z95" s="347"/>
      <c r="AA95" s="347"/>
      <c r="AB95" s="347"/>
      <c r="AC95" s="347"/>
    </row>
    <row r="96" spans="1:29" s="346" customFormat="1" ht="15" x14ac:dyDescent="0.2">
      <c r="A96" s="823">
        <v>7.1</v>
      </c>
      <c r="B96" s="825" t="str">
        <f>$B$791</f>
        <v>Reposición de redes</v>
      </c>
      <c r="C96" s="439"/>
      <c r="D96" s="332" t="s">
        <v>207</v>
      </c>
      <c r="E96" s="434">
        <f>IF($D96="NO",0,D810)</f>
        <v>996489391.78153753</v>
      </c>
      <c r="F96" s="434">
        <f>IF($D96="NO",0,D806)</f>
        <v>20298825237.242985</v>
      </c>
      <c r="G96" s="373">
        <f>SUM($K804:$U804)</f>
        <v>0</v>
      </c>
      <c r="H96" s="373">
        <f>SUM($K805:$U805)</f>
        <v>37175564596.633247</v>
      </c>
      <c r="I96" s="304"/>
      <c r="J96" s="304"/>
      <c r="K96" s="435">
        <f t="shared" ref="K96:U96" si="71">IF($D96="","",IF($D96="No",0,SUM(K$807:K$809)))</f>
        <v>0</v>
      </c>
      <c r="L96" s="435">
        <f t="shared" si="71"/>
        <v>0</v>
      </c>
      <c r="M96" s="435">
        <f t="shared" si="71"/>
        <v>1060519.1372231229</v>
      </c>
      <c r="N96" s="435">
        <f t="shared" si="71"/>
        <v>1472328.9869290141</v>
      </c>
      <c r="O96" s="435">
        <f t="shared" si="71"/>
        <v>1141446.5201008026</v>
      </c>
      <c r="P96" s="435">
        <f t="shared" si="71"/>
        <v>878549.22371959698</v>
      </c>
      <c r="Q96" s="435">
        <f t="shared" si="71"/>
        <v>797316.53623628803</v>
      </c>
      <c r="R96" s="435">
        <f t="shared" si="71"/>
        <v>0</v>
      </c>
      <c r="S96" s="435">
        <f t="shared" si="71"/>
        <v>0</v>
      </c>
      <c r="T96" s="435">
        <f t="shared" si="71"/>
        <v>0</v>
      </c>
      <c r="U96" s="435">
        <f t="shared" si="71"/>
        <v>0</v>
      </c>
    </row>
    <row r="97" spans="1:29" s="346" customFormat="1" ht="15" x14ac:dyDescent="0.2">
      <c r="A97" s="823">
        <v>7.2</v>
      </c>
      <c r="B97" s="825" t="str">
        <f>$B$813</f>
        <v>Reposición de acometidas</v>
      </c>
      <c r="C97" s="439"/>
      <c r="D97" s="332" t="s">
        <v>207</v>
      </c>
      <c r="E97" s="434"/>
      <c r="F97" s="434">
        <f>IF($D97="NO",0,D821)</f>
        <v>77814337.899173826</v>
      </c>
      <c r="G97" s="373">
        <f>SUM($K819:$U819)</f>
        <v>0</v>
      </c>
      <c r="H97" s="373">
        <f>SUM($K820:$U820)</f>
        <v>144490565.35622439</v>
      </c>
      <c r="I97" s="304"/>
      <c r="J97" s="304"/>
      <c r="K97" s="435">
        <f>IF($D97="","",IF($D97="No",0,SUM(K$822)))</f>
        <v>0</v>
      </c>
      <c r="L97" s="435">
        <f>IF($D97="","",IF($D97="No",0,SUM(L$822)))</f>
        <v>0</v>
      </c>
      <c r="M97" s="435">
        <f t="shared" ref="M97:U97" si="72">IF($D97="","",IF($D97="No",0,SUM(M$822)))</f>
        <v>27438.086234773506</v>
      </c>
      <c r="N97" s="435">
        <f t="shared" si="72"/>
        <v>324472.50227052951</v>
      </c>
      <c r="O97" s="435">
        <f t="shared" si="72"/>
        <v>162616.3113061875</v>
      </c>
      <c r="P97" s="435">
        <f t="shared" si="72"/>
        <v>111912.83390444418</v>
      </c>
      <c r="Q97" s="435">
        <f t="shared" si="72"/>
        <v>24960.012585402772</v>
      </c>
      <c r="R97" s="435">
        <f t="shared" si="72"/>
        <v>0</v>
      </c>
      <c r="S97" s="435">
        <f t="shared" si="72"/>
        <v>0</v>
      </c>
      <c r="T97" s="435">
        <f t="shared" si="72"/>
        <v>0</v>
      </c>
      <c r="U97" s="435">
        <f t="shared" si="72"/>
        <v>0</v>
      </c>
    </row>
    <row r="98" spans="1:29" s="348" customFormat="1" ht="15" customHeight="1" x14ac:dyDescent="0.25">
      <c r="A98" s="437">
        <f>A95+1</f>
        <v>8</v>
      </c>
      <c r="B98" s="323" t="s">
        <v>1277</v>
      </c>
      <c r="C98" s="432"/>
      <c r="D98" s="324"/>
      <c r="E98" s="433">
        <f>IFERROR(SUM(E99),0)</f>
        <v>0</v>
      </c>
      <c r="F98" s="433">
        <f>IFERROR(SUM(F99),0)</f>
        <v>0</v>
      </c>
      <c r="G98" s="324"/>
      <c r="H98" s="324"/>
      <c r="I98" s="324"/>
      <c r="J98" s="324"/>
      <c r="K98" s="440">
        <f t="shared" ref="K98:U98" si="73">SUM(K99)</f>
        <v>0</v>
      </c>
      <c r="L98" s="440">
        <f t="shared" si="73"/>
        <v>0</v>
      </c>
      <c r="M98" s="440">
        <f t="shared" si="73"/>
        <v>0</v>
      </c>
      <c r="N98" s="440">
        <f t="shared" si="73"/>
        <v>0</v>
      </c>
      <c r="O98" s="440">
        <f t="shared" si="73"/>
        <v>0</v>
      </c>
      <c r="P98" s="440">
        <f t="shared" si="73"/>
        <v>0</v>
      </c>
      <c r="Q98" s="440">
        <f t="shared" si="73"/>
        <v>0</v>
      </c>
      <c r="R98" s="440">
        <f t="shared" si="73"/>
        <v>0</v>
      </c>
      <c r="S98" s="440">
        <f t="shared" si="73"/>
        <v>0</v>
      </c>
      <c r="T98" s="440">
        <f t="shared" si="73"/>
        <v>0</v>
      </c>
      <c r="U98" s="440">
        <f t="shared" si="73"/>
        <v>0</v>
      </c>
      <c r="V98" s="347"/>
      <c r="W98" s="347"/>
      <c r="X98" s="347"/>
      <c r="Y98" s="347"/>
      <c r="Z98" s="347"/>
      <c r="AA98" s="347"/>
      <c r="AB98" s="347"/>
      <c r="AC98" s="347"/>
    </row>
    <row r="99" spans="1:29" s="346" customFormat="1" ht="15" x14ac:dyDescent="0.2">
      <c r="A99" s="823">
        <v>8.1</v>
      </c>
      <c r="B99" s="825" t="str">
        <f>$B$827</f>
        <v>Redes provisionales</v>
      </c>
      <c r="C99" s="439"/>
      <c r="D99" s="332" t="s">
        <v>8</v>
      </c>
      <c r="E99" s="434">
        <f>IF($D99="NO",0,D838)</f>
        <v>0</v>
      </c>
      <c r="F99" s="434" t="b">
        <f>IF($D99="SI",D836)</f>
        <v>0</v>
      </c>
      <c r="G99" s="373">
        <f>SUM($K834:$U834)</f>
        <v>0</v>
      </c>
      <c r="H99" s="373">
        <f>SUM($K835:$U835)</f>
        <v>0</v>
      </c>
      <c r="I99" s="304"/>
      <c r="J99" s="304"/>
      <c r="K99" s="435">
        <f t="shared" ref="K99:U99" si="74">IF($D99="","",IF($D99="No",0,K$837))</f>
        <v>0</v>
      </c>
      <c r="L99" s="435">
        <f t="shared" si="74"/>
        <v>0</v>
      </c>
      <c r="M99" s="435">
        <f t="shared" si="74"/>
        <v>0</v>
      </c>
      <c r="N99" s="435">
        <f t="shared" si="74"/>
        <v>0</v>
      </c>
      <c r="O99" s="435">
        <f t="shared" si="74"/>
        <v>0</v>
      </c>
      <c r="P99" s="435">
        <f t="shared" si="74"/>
        <v>0</v>
      </c>
      <c r="Q99" s="435">
        <f t="shared" si="74"/>
        <v>0</v>
      </c>
      <c r="R99" s="435">
        <f t="shared" si="74"/>
        <v>0</v>
      </c>
      <c r="S99" s="435">
        <f t="shared" si="74"/>
        <v>0</v>
      </c>
      <c r="T99" s="435">
        <f t="shared" si="74"/>
        <v>0</v>
      </c>
      <c r="U99" s="435">
        <f t="shared" si="74"/>
        <v>0</v>
      </c>
    </row>
    <row r="100" spans="1:29" s="310" customFormat="1" ht="12" customHeight="1" x14ac:dyDescent="0.2">
      <c r="A100" s="308"/>
      <c r="B100" s="352"/>
      <c r="C100" s="353"/>
      <c r="D100" s="354"/>
      <c r="E100" s="304"/>
      <c r="F100" s="304"/>
      <c r="G100" s="304"/>
      <c r="H100" s="304"/>
      <c r="I100" s="311"/>
      <c r="J100" s="311"/>
      <c r="K100" s="312"/>
      <c r="L100" s="312"/>
      <c r="M100" s="312"/>
      <c r="N100" s="312"/>
      <c r="O100" s="312"/>
      <c r="P100" s="312"/>
      <c r="Q100" s="312"/>
      <c r="R100" s="312"/>
      <c r="S100" s="312"/>
      <c r="T100" s="312"/>
      <c r="U100" s="312"/>
      <c r="V100" s="312"/>
      <c r="W100" s="312"/>
      <c r="X100" s="312"/>
      <c r="Y100" s="312"/>
      <c r="Z100" s="312"/>
      <c r="AA100" s="312"/>
      <c r="AB100" s="312"/>
      <c r="AC100" s="312"/>
    </row>
    <row r="101" spans="1:29" s="310" customFormat="1" ht="12" customHeight="1" x14ac:dyDescent="0.2">
      <c r="A101" s="308"/>
      <c r="B101" s="352"/>
      <c r="C101" s="353"/>
      <c r="D101" s="354"/>
      <c r="E101" s="304"/>
      <c r="F101" s="304"/>
      <c r="G101" s="304"/>
      <c r="H101" s="304"/>
      <c r="I101" s="311"/>
      <c r="J101" s="311"/>
      <c r="K101" s="312"/>
      <c r="L101" s="312"/>
      <c r="M101" s="312"/>
      <c r="N101" s="312"/>
      <c r="O101" s="312"/>
      <c r="P101" s="312"/>
      <c r="Q101" s="312"/>
      <c r="R101" s="312"/>
      <c r="S101" s="312"/>
      <c r="T101" s="312"/>
      <c r="U101" s="312"/>
      <c r="V101" s="312"/>
      <c r="W101" s="312"/>
      <c r="X101" s="312"/>
      <c r="Y101" s="312"/>
      <c r="Z101" s="312"/>
      <c r="AA101" s="312"/>
      <c r="AB101" s="312"/>
      <c r="AC101" s="312"/>
    </row>
    <row r="102" spans="1:29" ht="12" customHeight="1" x14ac:dyDescent="0.2"/>
    <row r="103" spans="1:29" ht="30" customHeight="1" x14ac:dyDescent="0.2">
      <c r="B103" s="323" t="s">
        <v>203</v>
      </c>
    </row>
    <row r="104" spans="1:29" ht="12" customHeight="1" x14ac:dyDescent="0.2"/>
    <row r="105" spans="1:29" s="355" customFormat="1" ht="20.100000000000001" customHeight="1" thickBot="1" x14ac:dyDescent="0.3">
      <c r="A105" s="323">
        <v>1</v>
      </c>
      <c r="B105" s="1730" t="s">
        <v>84</v>
      </c>
      <c r="C105" s="1730"/>
      <c r="D105" s="1730"/>
      <c r="E105" s="1730"/>
      <c r="F105" s="1730"/>
      <c r="G105" s="1730"/>
      <c r="H105" s="1730"/>
      <c r="I105" s="1730"/>
      <c r="J105" s="1730"/>
      <c r="K105" s="1730"/>
      <c r="L105" s="1730"/>
      <c r="M105" s="1730"/>
      <c r="N105" s="1730"/>
      <c r="O105" s="1730"/>
      <c r="P105" s="1730"/>
      <c r="Q105" s="1730"/>
      <c r="R105" s="1730"/>
      <c r="S105" s="1730"/>
      <c r="T105" s="1730"/>
      <c r="U105" s="1730"/>
    </row>
    <row r="106" spans="1:29" s="357" customFormat="1" ht="15.75" x14ac:dyDescent="0.25">
      <c r="A106" s="356">
        <v>1.1000000000000001</v>
      </c>
      <c r="B106" s="317" t="s">
        <v>21</v>
      </c>
      <c r="C106" s="317"/>
      <c r="D106" s="317"/>
      <c r="E106" s="317"/>
      <c r="F106" s="317"/>
      <c r="G106" s="317"/>
      <c r="H106" s="317"/>
      <c r="I106" s="317"/>
      <c r="J106" s="317"/>
      <c r="K106" s="317"/>
      <c r="L106" s="317"/>
      <c r="M106" s="317"/>
      <c r="N106" s="317"/>
      <c r="O106" s="317"/>
      <c r="P106" s="317"/>
      <c r="Q106" s="317"/>
      <c r="R106" s="317"/>
      <c r="S106" s="317"/>
      <c r="T106" s="317"/>
      <c r="U106" s="317"/>
    </row>
    <row r="107" spans="1:29" s="307" customFormat="1" ht="12" hidden="1" customHeight="1" outlineLevel="1" x14ac:dyDescent="0.25">
      <c r="A107" s="304" t="s">
        <v>125</v>
      </c>
      <c r="B107" s="358" t="s">
        <v>82</v>
      </c>
      <c r="C107" s="359"/>
      <c r="D107" s="359"/>
      <c r="E107" s="359"/>
      <c r="F107" s="359"/>
      <c r="G107" s="359"/>
      <c r="H107" s="359"/>
      <c r="I107" s="359"/>
      <c r="J107" s="359"/>
      <c r="K107" s="359"/>
      <c r="L107" s="359"/>
      <c r="M107" s="359"/>
      <c r="N107" s="359"/>
      <c r="O107" s="359"/>
      <c r="P107" s="359"/>
      <c r="Q107" s="359"/>
      <c r="R107" s="359"/>
      <c r="S107" s="359"/>
      <c r="T107" s="359"/>
      <c r="U107" s="359"/>
    </row>
    <row r="108" spans="1:29" s="326" customFormat="1" ht="12" hidden="1" customHeight="1" outlineLevel="1" x14ac:dyDescent="0.25">
      <c r="B108" s="307" t="s">
        <v>308</v>
      </c>
      <c r="D108" s="360">
        <v>7</v>
      </c>
      <c r="J108" s="442"/>
      <c r="K108" s="442">
        <f>$D108</f>
        <v>7</v>
      </c>
      <c r="L108" s="442">
        <f t="shared" ref="L108:U108" si="75">IF(L116="N/A",0,IF(L109="",0,$D108))</f>
        <v>7</v>
      </c>
      <c r="M108" s="442">
        <f t="shared" si="75"/>
        <v>7</v>
      </c>
      <c r="N108" s="442">
        <f t="shared" si="75"/>
        <v>0</v>
      </c>
      <c r="O108" s="442">
        <f t="shared" si="75"/>
        <v>0</v>
      </c>
      <c r="P108" s="442">
        <f t="shared" si="75"/>
        <v>0</v>
      </c>
      <c r="Q108" s="442">
        <f t="shared" si="75"/>
        <v>0</v>
      </c>
      <c r="R108" s="442">
        <f t="shared" si="75"/>
        <v>0</v>
      </c>
      <c r="S108" s="442">
        <f t="shared" si="75"/>
        <v>0</v>
      </c>
      <c r="T108" s="442">
        <f t="shared" si="75"/>
        <v>0</v>
      </c>
      <c r="U108" s="442">
        <f t="shared" si="75"/>
        <v>0</v>
      </c>
      <c r="V108" s="361"/>
    </row>
    <row r="109" spans="1:29" s="307" customFormat="1" ht="12" hidden="1" customHeight="1" outlineLevel="1" x14ac:dyDescent="0.25">
      <c r="A109" s="316"/>
      <c r="B109" s="307" t="s">
        <v>1</v>
      </c>
      <c r="D109" s="362">
        <v>5</v>
      </c>
      <c r="J109" s="439"/>
      <c r="K109" s="439">
        <f>IFERROR(D109+K112,0)</f>
        <v>5</v>
      </c>
      <c r="L109" s="439">
        <f t="shared" ref="L109:U109" si="76">IF(L116="N/A",0,IF(IFERROR(K109+SUM(L112),0)&gt;$D$108,0,IFERROR(K109+SUM(L112),0)))</f>
        <v>5</v>
      </c>
      <c r="M109" s="439">
        <f t="shared" si="76"/>
        <v>7</v>
      </c>
      <c r="N109" s="439">
        <f t="shared" si="76"/>
        <v>0</v>
      </c>
      <c r="O109" s="439">
        <f t="shared" si="76"/>
        <v>0</v>
      </c>
      <c r="P109" s="439">
        <f t="shared" si="76"/>
        <v>0</v>
      </c>
      <c r="Q109" s="439">
        <f t="shared" si="76"/>
        <v>0</v>
      </c>
      <c r="R109" s="439">
        <f t="shared" si="76"/>
        <v>0</v>
      </c>
      <c r="S109" s="439">
        <f t="shared" si="76"/>
        <v>0</v>
      </c>
      <c r="T109" s="439">
        <f t="shared" si="76"/>
        <v>0</v>
      </c>
      <c r="U109" s="439">
        <f t="shared" si="76"/>
        <v>0</v>
      </c>
    </row>
    <row r="110" spans="1:29" s="307" customFormat="1" ht="12" hidden="1" customHeight="1" outlineLevel="1" x14ac:dyDescent="0.25">
      <c r="A110" s="316"/>
      <c r="B110" s="307" t="s">
        <v>2</v>
      </c>
      <c r="D110" s="439">
        <f>D108-D109</f>
        <v>2</v>
      </c>
      <c r="J110" s="439"/>
      <c r="K110" s="439">
        <f>IFERROR(K108-K109,0)</f>
        <v>2</v>
      </c>
      <c r="L110" s="439">
        <f>IFERROR(L108-L109,0)</f>
        <v>2</v>
      </c>
      <c r="M110" s="439">
        <f t="shared" ref="M110:U110" si="77">IFERROR(M108-M109,0)</f>
        <v>0</v>
      </c>
      <c r="N110" s="439">
        <f t="shared" si="77"/>
        <v>0</v>
      </c>
      <c r="O110" s="439">
        <f t="shared" si="77"/>
        <v>0</v>
      </c>
      <c r="P110" s="439">
        <f t="shared" si="77"/>
        <v>0</v>
      </c>
      <c r="Q110" s="439">
        <f t="shared" si="77"/>
        <v>0</v>
      </c>
      <c r="R110" s="439">
        <f t="shared" si="77"/>
        <v>0</v>
      </c>
      <c r="S110" s="439">
        <f t="shared" si="77"/>
        <v>0</v>
      </c>
      <c r="T110" s="439">
        <f t="shared" si="77"/>
        <v>0</v>
      </c>
      <c r="U110" s="439">
        <f t="shared" si="77"/>
        <v>0</v>
      </c>
    </row>
    <row r="111" spans="1:29" s="326" customFormat="1" ht="15" hidden="1" customHeight="1" outlineLevel="1" x14ac:dyDescent="0.25">
      <c r="A111" s="316"/>
      <c r="B111" s="326" t="s">
        <v>24</v>
      </c>
      <c r="C111" s="316" t="s">
        <v>11</v>
      </c>
      <c r="D111" s="444">
        <f>COUNT(L111:U111)</f>
        <v>2</v>
      </c>
      <c r="E111" s="364"/>
      <c r="F111" s="364"/>
      <c r="G111" s="364"/>
      <c r="H111" s="364"/>
      <c r="I111" s="364"/>
      <c r="J111" s="364"/>
      <c r="K111" s="365">
        <v>0</v>
      </c>
      <c r="L111" s="443">
        <f>IF(L116="N/A","",K111+1)</f>
        <v>1</v>
      </c>
      <c r="M111" s="443">
        <f t="shared" ref="M111:U111" si="78">IF(M116="N/A","",L111+1)</f>
        <v>2</v>
      </c>
      <c r="N111" s="443" t="str">
        <f t="shared" si="78"/>
        <v/>
      </c>
      <c r="O111" s="443" t="str">
        <f t="shared" si="78"/>
        <v/>
      </c>
      <c r="P111" s="443" t="str">
        <f t="shared" si="78"/>
        <v/>
      </c>
      <c r="Q111" s="443" t="str">
        <f t="shared" si="78"/>
        <v/>
      </c>
      <c r="R111" s="443" t="str">
        <f t="shared" si="78"/>
        <v/>
      </c>
      <c r="S111" s="443" t="str">
        <f t="shared" si="78"/>
        <v/>
      </c>
      <c r="T111" s="443" t="str">
        <f t="shared" si="78"/>
        <v/>
      </c>
      <c r="U111" s="443" t="str">
        <f t="shared" si="78"/>
        <v/>
      </c>
    </row>
    <row r="112" spans="1:29" s="326" customFormat="1" ht="12" hidden="1" customHeight="1" outlineLevel="1" x14ac:dyDescent="0.25">
      <c r="A112" s="316"/>
      <c r="B112" s="307" t="s">
        <v>25</v>
      </c>
      <c r="C112" s="304" t="s">
        <v>20</v>
      </c>
      <c r="D112" s="445" t="str">
        <f>IF(K110&lt;&gt;SUM(K112:U112),"NO","SI")</f>
        <v>SI</v>
      </c>
      <c r="K112" s="442">
        <f>SUM(K113:K115)</f>
        <v>0</v>
      </c>
      <c r="L112" s="442">
        <f>IF(L116="N/A",0,IFERROR(ROUND(SUM(L113:L115),0),0))</f>
        <v>0</v>
      </c>
      <c r="M112" s="442">
        <f t="shared" ref="M112:U112" si="79">IF(M116="N/A",0,IFERROR(ROUND(SUM(M113:M115),0),0))</f>
        <v>2</v>
      </c>
      <c r="N112" s="442">
        <f t="shared" si="79"/>
        <v>0</v>
      </c>
      <c r="O112" s="442">
        <f t="shared" si="79"/>
        <v>0</v>
      </c>
      <c r="P112" s="442">
        <f t="shared" si="79"/>
        <v>0</v>
      </c>
      <c r="Q112" s="442">
        <f t="shared" si="79"/>
        <v>0</v>
      </c>
      <c r="R112" s="442">
        <f t="shared" si="79"/>
        <v>0</v>
      </c>
      <c r="S112" s="442">
        <f t="shared" si="79"/>
        <v>0</v>
      </c>
      <c r="T112" s="442">
        <f t="shared" si="79"/>
        <v>0</v>
      </c>
      <c r="U112" s="442">
        <f t="shared" si="79"/>
        <v>0</v>
      </c>
    </row>
    <row r="113" spans="1:22" s="307" customFormat="1" ht="35.1" hidden="1" customHeight="1" outlineLevel="1" x14ac:dyDescent="0.25">
      <c r="A113" s="446" t="str">
        <f>VLOOKUP(B113,'C UNIT PROG TÉCNICOS'!$B$8:$H$108,7,FALSE)</f>
        <v>CAPEX</v>
      </c>
      <c r="B113" s="367" t="s">
        <v>73</v>
      </c>
      <c r="C113" s="304" t="s">
        <v>20</v>
      </c>
      <c r="D113" s="304" t="s">
        <v>19</v>
      </c>
      <c r="I113" s="368"/>
      <c r="J113" s="368"/>
      <c r="K113" s="362">
        <v>0</v>
      </c>
      <c r="L113" s="362">
        <v>0</v>
      </c>
      <c r="M113" s="362">
        <v>0</v>
      </c>
      <c r="N113" s="362"/>
      <c r="O113" s="362"/>
      <c r="P113" s="362"/>
      <c r="Q113" s="362"/>
      <c r="R113" s="362"/>
      <c r="S113" s="362"/>
      <c r="T113" s="362"/>
      <c r="U113" s="362"/>
    </row>
    <row r="114" spans="1:22" s="307" customFormat="1" ht="35.1" hidden="1" customHeight="1" outlineLevel="1" x14ac:dyDescent="0.25">
      <c r="A114" s="446" t="str">
        <f>VLOOKUP(B114,'C UNIT PROG TÉCNICOS'!$B$8:$H$108,7,FALSE)</f>
        <v>CAPEX</v>
      </c>
      <c r="B114" s="367" t="s">
        <v>74</v>
      </c>
      <c r="C114" s="304" t="s">
        <v>20</v>
      </c>
      <c r="D114" s="304" t="s">
        <v>19</v>
      </c>
      <c r="I114" s="369"/>
      <c r="J114" s="369"/>
      <c r="K114" s="362">
        <v>0</v>
      </c>
      <c r="L114" s="362">
        <v>0</v>
      </c>
      <c r="M114" s="362">
        <v>0</v>
      </c>
      <c r="N114" s="362"/>
      <c r="O114" s="362"/>
      <c r="P114" s="362"/>
      <c r="Q114" s="362"/>
      <c r="R114" s="362"/>
      <c r="S114" s="362"/>
      <c r="T114" s="362"/>
      <c r="U114" s="362"/>
    </row>
    <row r="115" spans="1:22" s="307" customFormat="1" ht="35.1" hidden="1" customHeight="1" outlineLevel="1" x14ac:dyDescent="0.25">
      <c r="A115" s="446" t="str">
        <f>VLOOKUP(B115,'C UNIT PROG TÉCNICOS'!$B$8:$H$108,7,FALSE)</f>
        <v>CAPEX</v>
      </c>
      <c r="B115" s="367" t="s">
        <v>36</v>
      </c>
      <c r="C115" s="304" t="s">
        <v>20</v>
      </c>
      <c r="D115" s="304" t="s">
        <v>19</v>
      </c>
      <c r="I115" s="369"/>
      <c r="J115" s="369"/>
      <c r="K115" s="362">
        <v>0</v>
      </c>
      <c r="L115" s="362">
        <v>0</v>
      </c>
      <c r="M115" s="362">
        <v>2</v>
      </c>
      <c r="N115" s="362"/>
      <c r="O115" s="362"/>
      <c r="P115" s="362"/>
      <c r="Q115" s="362"/>
      <c r="R115" s="362"/>
      <c r="S115" s="362"/>
      <c r="T115" s="362"/>
      <c r="U115" s="362"/>
    </row>
    <row r="116" spans="1:22" s="307" customFormat="1" ht="12" hidden="1" customHeight="1" outlineLevel="1" x14ac:dyDescent="0.25">
      <c r="A116" s="316"/>
      <c r="B116" s="813" t="s">
        <v>742</v>
      </c>
      <c r="D116" s="447" t="str">
        <f>IF(AND(A113="CAPEX",A114="CAPEX",A115="CAPEX"),"Inversión",IF(AND(A113="OPEX",A114="OPEX",A115="OPEX"),"Operación","I/O"))</f>
        <v>Inversión</v>
      </c>
      <c r="I116" s="370"/>
      <c r="J116" s="370"/>
      <c r="K116" s="371" t="s">
        <v>8</v>
      </c>
      <c r="L116" s="371" t="s">
        <v>8</v>
      </c>
      <c r="M116" s="371" t="s">
        <v>8</v>
      </c>
      <c r="N116" s="371" t="s">
        <v>149</v>
      </c>
      <c r="O116" s="371" t="s">
        <v>149</v>
      </c>
      <c r="P116" s="371" t="s">
        <v>149</v>
      </c>
      <c r="Q116" s="371" t="s">
        <v>149</v>
      </c>
      <c r="R116" s="371" t="s">
        <v>149</v>
      </c>
      <c r="S116" s="371" t="s">
        <v>149</v>
      </c>
      <c r="T116" s="371" t="s">
        <v>149</v>
      </c>
      <c r="U116" s="371" t="s">
        <v>149</v>
      </c>
    </row>
    <row r="117" spans="1:22" s="307" customFormat="1" ht="12" hidden="1" customHeight="1" outlineLevel="1" x14ac:dyDescent="0.25">
      <c r="A117" s="316"/>
      <c r="B117" s="307" t="s">
        <v>762</v>
      </c>
      <c r="C117" s="304"/>
      <c r="D117" s="304"/>
      <c r="K117" s="448">
        <f>IF(K116="N/A",0,IF(K116="SI",0,IF(OR($D116="I/O",$D116="Inversión"),0,SUM(VLOOKUP($B113,'C UNIT PROG TÉCNICOS'!$B$8:$G$160,6,FALSE)*'EV PROG TÉCNICOS'!K113,VLOOKUP($B114,'C UNIT PROG TÉCNICOS'!$B$8:$G$160,6,FALSE)*'EV PROG TÉCNICOS'!K114,VLOOKUP($B115,'C UNIT PROG TÉCNICOS'!$B$8:$G$160,6,FALSE)*'EV PROG TÉCNICOS'!K115))))</f>
        <v>0</v>
      </c>
      <c r="L117" s="448">
        <f>IF(L116="N/A",0,IF(L116="SI",0,IF(OR($D116="I/O",$D116="Inversión"),0,SUM(VLOOKUP($B113,'C UNIT PROG TÉCNICOS'!$B$8:$G$160,6,FALSE)*'EV PROG TÉCNICOS'!L113,VLOOKUP($B114,'C UNIT PROG TÉCNICOS'!$B$8:$G$160,6,FALSE)*'EV PROG TÉCNICOS'!L114,VLOOKUP($B115,'C UNIT PROG TÉCNICOS'!$B$8:$G$160,6,FALSE)*'EV PROG TÉCNICOS'!L115))))</f>
        <v>0</v>
      </c>
      <c r="M117" s="449">
        <f>IF(M116="N/A",0,IF(M116="SI",0,IF(OR($D116="I/O",$D116="Inversión"),0,SUM(VLOOKUP($B113,'C UNIT PROG TÉCNICOS'!$B$8:$G$160,6,FALSE)*'EV PROG TÉCNICOS'!M113,VLOOKUP($B114,'C UNIT PROG TÉCNICOS'!$B$8:$G$160,6,FALSE)*'EV PROG TÉCNICOS'!M114,VLOOKUP($B115,'C UNIT PROG TÉCNICOS'!$B$8:$G$160,6,FALSE)*'EV PROG TÉCNICOS'!M115))))</f>
        <v>0</v>
      </c>
      <c r="N117" s="448">
        <f>IF(N116="N/A",0,IF(N116="SI",0,IF(OR($D116="I/O",$D116="Inversión"),0,SUM(VLOOKUP($B113,'C UNIT PROG TÉCNICOS'!$B$8:$G$160,6,FALSE)*'EV PROG TÉCNICOS'!N113,VLOOKUP($B114,'C UNIT PROG TÉCNICOS'!$B$8:$G$160,6,FALSE)*'EV PROG TÉCNICOS'!N114,VLOOKUP($B115,'C UNIT PROG TÉCNICOS'!$B$8:$G$160,6,FALSE)*'EV PROG TÉCNICOS'!N115))))</f>
        <v>0</v>
      </c>
      <c r="O117" s="448">
        <f>IF(O116="N/A",0,IF(O116="SI",0,IF(OR($D116="I/O",$D116="Inversión"),0,SUM(VLOOKUP($B113,'C UNIT PROG TÉCNICOS'!$B$8:$G$160,6,FALSE)*'EV PROG TÉCNICOS'!O113,VLOOKUP($B114,'C UNIT PROG TÉCNICOS'!$B$8:$G$160,6,FALSE)*'EV PROG TÉCNICOS'!O114,VLOOKUP($B115,'C UNIT PROG TÉCNICOS'!$B$8:$G$160,6,FALSE)*'EV PROG TÉCNICOS'!O115))))</f>
        <v>0</v>
      </c>
      <c r="P117" s="448">
        <f>IF(P116="N/A",0,IF(P116="SI",0,IF(OR($D116="I/O",$D116="Inversión"),0,SUM(VLOOKUP($B113,'C UNIT PROG TÉCNICOS'!$B$8:$G$160,6,FALSE)*'EV PROG TÉCNICOS'!P113,VLOOKUP($B114,'C UNIT PROG TÉCNICOS'!$B$8:$G$160,6,FALSE)*'EV PROG TÉCNICOS'!P114,VLOOKUP($B115,'C UNIT PROG TÉCNICOS'!$B$8:$G$160,6,FALSE)*'EV PROG TÉCNICOS'!P115))))</f>
        <v>0</v>
      </c>
      <c r="Q117" s="448">
        <f>IF(Q116="N/A",0,IF(Q116="SI",0,IF(OR($D116="I/O",$D116="Inversión"),0,SUM(VLOOKUP($B113,'C UNIT PROG TÉCNICOS'!$B$8:$G$160,6,FALSE)*'EV PROG TÉCNICOS'!Q113,VLOOKUP($B114,'C UNIT PROG TÉCNICOS'!$B$8:$G$160,6,FALSE)*'EV PROG TÉCNICOS'!Q114,VLOOKUP($B115,'C UNIT PROG TÉCNICOS'!$B$8:$G$160,6,FALSE)*'EV PROG TÉCNICOS'!Q115))))</f>
        <v>0</v>
      </c>
      <c r="R117" s="448">
        <f>IF(R116="N/A",0,IF(R116="SI",0,IF(OR($D116="I/O",$D116="Inversión"),0,SUM(VLOOKUP($B113,'C UNIT PROG TÉCNICOS'!$B$8:$G$160,6,FALSE)*'EV PROG TÉCNICOS'!R113,VLOOKUP($B114,'C UNIT PROG TÉCNICOS'!$B$8:$G$160,6,FALSE)*'EV PROG TÉCNICOS'!R114,VLOOKUP($B115,'C UNIT PROG TÉCNICOS'!$B$8:$G$160,6,FALSE)*'EV PROG TÉCNICOS'!R115))))</f>
        <v>0</v>
      </c>
      <c r="S117" s="448">
        <f>IF(S116="N/A",0,IF(S116="SI",0,IF(OR($D116="I/O",$D116="Inversión"),0,SUM(VLOOKUP($B113,'C UNIT PROG TÉCNICOS'!$B$8:$G$160,6,FALSE)*'EV PROG TÉCNICOS'!S113,VLOOKUP($B114,'C UNIT PROG TÉCNICOS'!$B$8:$G$160,6,FALSE)*'EV PROG TÉCNICOS'!S114,VLOOKUP($B115,'C UNIT PROG TÉCNICOS'!$B$8:$G$160,6,FALSE)*'EV PROG TÉCNICOS'!S115))))</f>
        <v>0</v>
      </c>
      <c r="T117" s="448">
        <f>IF(T116="N/A",0,IF(T116="SI",0,IF(OR($D116="I/O",$D116="Inversión"),0,SUM(VLOOKUP($B113,'C UNIT PROG TÉCNICOS'!$B$8:$G$160,6,FALSE)*'EV PROG TÉCNICOS'!T113,VLOOKUP($B114,'C UNIT PROG TÉCNICOS'!$B$8:$G$160,6,FALSE)*'EV PROG TÉCNICOS'!T114,VLOOKUP($B115,'C UNIT PROG TÉCNICOS'!$B$8:$G$160,6,FALSE)*'EV PROG TÉCNICOS'!T115))))</f>
        <v>0</v>
      </c>
      <c r="U117" s="448">
        <f>IF(U116="N/A",0,IF(U116="SI",0,IF(OR($D116="I/O",$D116="Inversión"),0,SUM(VLOOKUP($B113,'C UNIT PROG TÉCNICOS'!$B$8:$G$160,6,FALSE)*'EV PROG TÉCNICOS'!U113,VLOOKUP($B114,'C UNIT PROG TÉCNICOS'!$B$8:$G$160,6,FALSE)*'EV PROG TÉCNICOS'!U114,VLOOKUP($B115,'C UNIT PROG TÉCNICOS'!$B$8:$G$160,6,FALSE)*'EV PROG TÉCNICOS'!U115))))</f>
        <v>0</v>
      </c>
    </row>
    <row r="118" spans="1:22" s="307" customFormat="1" ht="12" hidden="1" customHeight="1" outlineLevel="1" x14ac:dyDescent="0.25">
      <c r="A118" s="316"/>
      <c r="B118" s="307" t="s">
        <v>763</v>
      </c>
      <c r="C118" s="304" t="s">
        <v>6</v>
      </c>
      <c r="D118" s="304"/>
      <c r="K118" s="450">
        <f>IF(K116="N/A",0,IF(K116="SI",0,K$21*K117))</f>
        <v>0</v>
      </c>
      <c r="L118" s="450">
        <f>IF(L116="N/A",0,IF(L116="SI",0,L$21*L117))</f>
        <v>0</v>
      </c>
      <c r="M118" s="451">
        <f t="shared" ref="M118:U118" si="80">IF(M116="N/A",0,IF(M116="SI",0,M$21*M117))</f>
        <v>0</v>
      </c>
      <c r="N118" s="450">
        <f t="shared" si="80"/>
        <v>0</v>
      </c>
      <c r="O118" s="450">
        <f t="shared" si="80"/>
        <v>0</v>
      </c>
      <c r="P118" s="450">
        <f t="shared" si="80"/>
        <v>0</v>
      </c>
      <c r="Q118" s="450">
        <f t="shared" si="80"/>
        <v>0</v>
      </c>
      <c r="R118" s="450">
        <f t="shared" si="80"/>
        <v>0</v>
      </c>
      <c r="S118" s="450">
        <f t="shared" si="80"/>
        <v>0</v>
      </c>
      <c r="T118" s="450">
        <f t="shared" si="80"/>
        <v>0</v>
      </c>
      <c r="U118" s="450">
        <f t="shared" si="80"/>
        <v>0</v>
      </c>
    </row>
    <row r="119" spans="1:22" s="307" customFormat="1" ht="12" hidden="1" customHeight="1" outlineLevel="1" x14ac:dyDescent="0.25">
      <c r="A119" s="316"/>
      <c r="B119" s="307" t="s">
        <v>764</v>
      </c>
      <c r="C119" s="304" t="s">
        <v>6</v>
      </c>
      <c r="D119" s="304"/>
      <c r="K119" s="450">
        <f>IF(K116="N/A",0,IF(K116="SI",0,IF(OR($D116="Inversión",$D116="I/O"),SUM(VLOOKUP($B113,'C UNIT PROG TÉCNICOS'!$B$8:$G$160,5,FALSE)*'EV PROG TÉCNICOS'!K113,VLOOKUP($B114,'C UNIT PROG TÉCNICOS'!$B$8:$G$160,5,FALSE)*'EV PROG TÉCNICOS'!K114,VLOOKUP($B115,'C UNIT PROG TÉCNICOS'!$B$8:$G$160,5,FALSE)*'EV PROG TÉCNICOS'!K115),0)))</f>
        <v>0</v>
      </c>
      <c r="L119" s="450">
        <f>IF(L116="N/A",0,IF(L116="SI",0,IF(OR($D116="Inversión",$D116="I/O"),SUM(VLOOKUP($B113,'C UNIT PROG TÉCNICOS'!$B$8:$G$160,5,FALSE)*'EV PROG TÉCNICOS'!L113,VLOOKUP($B114,'C UNIT PROG TÉCNICOS'!$B$8:$G$160,5,FALSE)*'EV PROG TÉCNICOS'!L114,VLOOKUP($B115,'C UNIT PROG TÉCNICOS'!$B$8:$G$160,5,FALSE)*'EV PROG TÉCNICOS'!L115),0))*((1+$D$24)^(L$3-$K$3)))</f>
        <v>0</v>
      </c>
      <c r="M119" s="450">
        <f>IF(M116="N/A",0,IF(M116="SI",0,IF(OR($D116="Inversión",$D116="I/O"),SUM(VLOOKUP($B113,'C UNIT PROG TÉCNICOS'!$B$8:$G$160,5,FALSE)*'EV PROG TÉCNICOS'!M113,VLOOKUP($B114,'C UNIT PROG TÉCNICOS'!$B$8:$G$160,5,FALSE)*'EV PROG TÉCNICOS'!M114,VLOOKUP($B115,'C UNIT PROG TÉCNICOS'!$B$8:$G$160,5,FALSE)*'EV PROG TÉCNICOS'!M115),0))*((1+$D$24)^(M$3-$K$3)))</f>
        <v>116910199.71627259</v>
      </c>
      <c r="N119" s="450">
        <f>IF(N116="N/A",0,IF(N116="SI",0,IF(OR($D116="Inversión",$D116="I/O"),SUM(VLOOKUP($B113,'C UNIT PROG TÉCNICOS'!$B$8:$G$160,5,FALSE)*'EV PROG TÉCNICOS'!N113,VLOOKUP($B114,'C UNIT PROG TÉCNICOS'!$B$8:$G$160,5,FALSE)*'EV PROG TÉCNICOS'!N114,VLOOKUP($B115,'C UNIT PROG TÉCNICOS'!$B$8:$G$160,5,FALSE)*'EV PROG TÉCNICOS'!N115),0))*((1+$D$24)^(N$3-$K$3)))</f>
        <v>0</v>
      </c>
      <c r="O119" s="450">
        <f>IF(O116="N/A",0,IF(O116="SI",0,IF(OR($D116="Inversión",$D116="I/O"),SUM(VLOOKUP($B113,'C UNIT PROG TÉCNICOS'!$B$8:$G$160,5,FALSE)*'EV PROG TÉCNICOS'!O113,VLOOKUP($B114,'C UNIT PROG TÉCNICOS'!$B$8:$G$160,5,FALSE)*'EV PROG TÉCNICOS'!O114,VLOOKUP($B115,'C UNIT PROG TÉCNICOS'!$B$8:$G$160,5,FALSE)*'EV PROG TÉCNICOS'!O115),0))*((1+$D$24)^(O$3-$K$3)))</f>
        <v>0</v>
      </c>
      <c r="P119" s="450">
        <f>IF(P116="N/A",0,IF(P116="SI",0,IF(OR($D116="Inversión",$D116="I/O"),SUM(VLOOKUP($B113,'C UNIT PROG TÉCNICOS'!$B$8:$G$160,5,FALSE)*'EV PROG TÉCNICOS'!P113,VLOOKUP($B114,'C UNIT PROG TÉCNICOS'!$B$8:$G$160,5,FALSE)*'EV PROG TÉCNICOS'!P114,VLOOKUP($B115,'C UNIT PROG TÉCNICOS'!$B$8:$G$160,5,FALSE)*'EV PROG TÉCNICOS'!P115),0))*((1+$D$24)^(P$3-$K$3)))</f>
        <v>0</v>
      </c>
      <c r="Q119" s="450">
        <f>IF(Q116="N/A",0,IF(Q116="SI",0,IF(OR($D116="Inversión",$D116="I/O"),SUM(VLOOKUP($B113,'C UNIT PROG TÉCNICOS'!$B$8:$G$160,5,FALSE)*'EV PROG TÉCNICOS'!Q113,VLOOKUP($B114,'C UNIT PROG TÉCNICOS'!$B$8:$G$160,5,FALSE)*'EV PROG TÉCNICOS'!Q114,VLOOKUP($B115,'C UNIT PROG TÉCNICOS'!$B$8:$G$160,5,FALSE)*'EV PROG TÉCNICOS'!Q115),0))*((1+$D$24)^(Q$3-$K$3)))</f>
        <v>0</v>
      </c>
      <c r="R119" s="450">
        <f>IF(R116="N/A",0,IF(R116="SI",0,IF(OR($D116="Inversión",$D116="I/O"),SUM(VLOOKUP($B113,'C UNIT PROG TÉCNICOS'!$B$8:$G$160,5,FALSE)*'EV PROG TÉCNICOS'!R113,VLOOKUP($B114,'C UNIT PROG TÉCNICOS'!$B$8:$G$160,5,FALSE)*'EV PROG TÉCNICOS'!R114,VLOOKUP($B115,'C UNIT PROG TÉCNICOS'!$B$8:$G$160,5,FALSE)*'EV PROG TÉCNICOS'!R115),0))*((1+$D$24)^(R$3-$K$3)))</f>
        <v>0</v>
      </c>
      <c r="S119" s="450">
        <f>IF(S116="N/A",0,IF(S116="SI",0,IF(OR($D116="Inversión",$D116="I/O"),SUM(VLOOKUP($B113,'C UNIT PROG TÉCNICOS'!$B$8:$G$160,5,FALSE)*'EV PROG TÉCNICOS'!S113,VLOOKUP($B114,'C UNIT PROG TÉCNICOS'!$B$8:$G$160,5,FALSE)*'EV PROG TÉCNICOS'!S114,VLOOKUP($B115,'C UNIT PROG TÉCNICOS'!$B$8:$G$160,5,FALSE)*'EV PROG TÉCNICOS'!S115),0))*((1+$D$24)^(S$3-$K$3)))</f>
        <v>0</v>
      </c>
      <c r="T119" s="450">
        <f>IF(T116="N/A",0,IF(T116="SI",0,IF(OR($D116="Inversión",$D116="I/O"),SUM(VLOOKUP($B113,'C UNIT PROG TÉCNICOS'!$B$8:$G$160,5,FALSE)*'EV PROG TÉCNICOS'!T113,VLOOKUP($B114,'C UNIT PROG TÉCNICOS'!$B$8:$G$160,5,FALSE)*'EV PROG TÉCNICOS'!T114,VLOOKUP($B115,'C UNIT PROG TÉCNICOS'!$B$8:$G$160,5,FALSE)*'EV PROG TÉCNICOS'!T115),0))*((1+$D$24)^(T$3-$K$3)))</f>
        <v>0</v>
      </c>
      <c r="U119" s="450">
        <f>IF(U116="N/A",0,IF(U116="SI",0,IF(OR($D116="Inversión",$D116="I/O"),SUM(VLOOKUP($B113,'C UNIT PROG TÉCNICOS'!$B$8:$G$160,5,FALSE)*'EV PROG TÉCNICOS'!U113,VLOOKUP($B114,'C UNIT PROG TÉCNICOS'!$B$8:$G$160,5,FALSE)*'EV PROG TÉCNICOS'!U114,VLOOKUP($B115,'C UNIT PROG TÉCNICOS'!$B$8:$G$160,5,FALSE)*'EV PROG TÉCNICOS'!U115),0))*((1+$D$24)^(U$3-$K$3)))</f>
        <v>0</v>
      </c>
    </row>
    <row r="120" spans="1:22" s="376" customFormat="1" ht="15" hidden="1" customHeight="1" outlineLevel="1" x14ac:dyDescent="0.25">
      <c r="A120" s="374"/>
      <c r="B120" s="454" t="str">
        <f>CONCATENATE("VNA ",B107)</f>
        <v>VNA Medidores faltantes</v>
      </c>
      <c r="C120" s="374" t="s">
        <v>6</v>
      </c>
      <c r="D120" s="818">
        <f>NPV($D$31,L120:U120)+K120</f>
        <v>86470303.502883017</v>
      </c>
      <c r="K120" s="819">
        <f>IF(K116="N/A",0,IF($D116="Operación",K118,K119))</f>
        <v>0</v>
      </c>
      <c r="L120" s="819">
        <f>IF(L116="N/A",0,IF($D116="Operación",L118,L119))</f>
        <v>0</v>
      </c>
      <c r="M120" s="452">
        <f t="shared" ref="M120:U120" si="81">IF(M116="N/A",0,IF($D116="Operación",M118,M119))</f>
        <v>116910199.71627259</v>
      </c>
      <c r="N120" s="452">
        <f t="shared" si="81"/>
        <v>0</v>
      </c>
      <c r="O120" s="452">
        <f t="shared" si="81"/>
        <v>0</v>
      </c>
      <c r="P120" s="452">
        <f t="shared" si="81"/>
        <v>0</v>
      </c>
      <c r="Q120" s="452">
        <f t="shared" si="81"/>
        <v>0</v>
      </c>
      <c r="R120" s="452">
        <f t="shared" si="81"/>
        <v>0</v>
      </c>
      <c r="S120" s="452">
        <f t="shared" si="81"/>
        <v>0</v>
      </c>
      <c r="T120" s="452">
        <f t="shared" si="81"/>
        <v>0</v>
      </c>
      <c r="U120" s="452">
        <f t="shared" si="81"/>
        <v>0</v>
      </c>
    </row>
    <row r="121" spans="1:22" s="376" customFormat="1" ht="0.95" hidden="1" customHeight="1" outlineLevel="1" x14ac:dyDescent="0.25">
      <c r="A121" s="374"/>
      <c r="B121" s="454"/>
      <c r="C121" s="374"/>
      <c r="D121" s="374"/>
      <c r="K121" s="378"/>
      <c r="L121" s="378"/>
      <c r="M121" s="378"/>
      <c r="N121" s="378"/>
      <c r="O121" s="378"/>
      <c r="P121" s="378"/>
      <c r="Q121" s="378"/>
      <c r="R121" s="378"/>
      <c r="S121" s="378"/>
      <c r="T121" s="378"/>
      <c r="U121" s="378"/>
    </row>
    <row r="122" spans="1:22" s="376" customFormat="1" ht="0.95" hidden="1" customHeight="1" outlineLevel="1" x14ac:dyDescent="0.25">
      <c r="A122" s="374"/>
      <c r="C122" s="374"/>
      <c r="D122" s="453"/>
      <c r="K122" s="452"/>
      <c r="L122" s="452"/>
      <c r="M122" s="452"/>
      <c r="N122" s="452"/>
      <c r="O122" s="452"/>
      <c r="P122" s="452"/>
      <c r="Q122" s="452"/>
      <c r="R122" s="452"/>
      <c r="S122" s="452"/>
      <c r="T122" s="452"/>
      <c r="U122" s="452"/>
    </row>
    <row r="123" spans="1:22" s="376" customFormat="1" ht="0.95" hidden="1" customHeight="1" outlineLevel="1" x14ac:dyDescent="0.25">
      <c r="A123" s="374"/>
      <c r="C123" s="374"/>
      <c r="D123" s="468"/>
      <c r="K123" s="455"/>
      <c r="L123" s="455"/>
      <c r="M123" s="455"/>
      <c r="N123" s="455"/>
      <c r="O123" s="455"/>
      <c r="P123" s="455"/>
      <c r="Q123" s="455"/>
      <c r="R123" s="455"/>
      <c r="S123" s="455"/>
      <c r="T123" s="455"/>
      <c r="U123" s="455"/>
    </row>
    <row r="124" spans="1:22" s="326" customFormat="1" ht="12" hidden="1" customHeight="1" outlineLevel="1" x14ac:dyDescent="0.25">
      <c r="A124" s="316"/>
      <c r="C124" s="316"/>
      <c r="D124" s="316"/>
      <c r="K124" s="379"/>
      <c r="L124" s="379"/>
      <c r="M124" s="379"/>
      <c r="N124" s="379"/>
      <c r="O124" s="379"/>
      <c r="P124" s="379"/>
      <c r="Q124" s="379"/>
      <c r="R124" s="379"/>
      <c r="S124" s="379"/>
      <c r="T124" s="379"/>
      <c r="U124" s="379"/>
    </row>
    <row r="125" spans="1:22" s="326" customFormat="1" ht="12" hidden="1" customHeight="1" outlineLevel="1" x14ac:dyDescent="0.25">
      <c r="A125" s="380" t="s">
        <v>126</v>
      </c>
      <c r="B125" s="358" t="s">
        <v>83</v>
      </c>
      <c r="C125" s="316"/>
      <c r="D125" s="316"/>
      <c r="K125" s="442">
        <f>IF(SUM(K127:K129)=0,0,SUM(K127:K129))</f>
        <v>0</v>
      </c>
      <c r="L125" s="442">
        <f t="shared" ref="L125:V125" si="82">IF(SUM(L127:L129)=0,0,SUM(L127:L129))</f>
        <v>0</v>
      </c>
      <c r="M125" s="442">
        <f t="shared" si="82"/>
        <v>2</v>
      </c>
      <c r="N125" s="442">
        <f t="shared" si="82"/>
        <v>0</v>
      </c>
      <c r="O125" s="442">
        <f t="shared" si="82"/>
        <v>0</v>
      </c>
      <c r="P125" s="442">
        <f t="shared" si="82"/>
        <v>0</v>
      </c>
      <c r="Q125" s="442">
        <f t="shared" si="82"/>
        <v>0</v>
      </c>
      <c r="R125" s="442">
        <f t="shared" si="82"/>
        <v>0</v>
      </c>
      <c r="S125" s="442">
        <f t="shared" si="82"/>
        <v>0</v>
      </c>
      <c r="T125" s="442">
        <f t="shared" si="82"/>
        <v>0</v>
      </c>
      <c r="U125" s="442">
        <f t="shared" si="82"/>
        <v>0</v>
      </c>
      <c r="V125" s="442">
        <f t="shared" si="82"/>
        <v>0</v>
      </c>
    </row>
    <row r="126" spans="1:22" s="326" customFormat="1" ht="15" hidden="1" customHeight="1" outlineLevel="1" x14ac:dyDescent="0.25">
      <c r="A126" s="316"/>
      <c r="B126" s="326" t="s">
        <v>24</v>
      </c>
      <c r="C126" s="316" t="s">
        <v>11</v>
      </c>
      <c r="D126" s="444">
        <f>COUNT(L126:U126)</f>
        <v>2</v>
      </c>
      <c r="E126" s="364"/>
      <c r="F126" s="364"/>
      <c r="G126" s="364"/>
      <c r="H126" s="364"/>
      <c r="I126" s="364"/>
      <c r="J126" s="364"/>
      <c r="K126" s="365">
        <v>0</v>
      </c>
      <c r="L126" s="443">
        <f>IF(L130="N/A","",K126+1)</f>
        <v>1</v>
      </c>
      <c r="M126" s="443">
        <f t="shared" ref="M126:U126" si="83">IF(M130="N/A","",L126+1)</f>
        <v>2</v>
      </c>
      <c r="N126" s="443" t="str">
        <f t="shared" si="83"/>
        <v/>
      </c>
      <c r="O126" s="443" t="str">
        <f t="shared" si="83"/>
        <v/>
      </c>
      <c r="P126" s="443" t="str">
        <f t="shared" si="83"/>
        <v/>
      </c>
      <c r="Q126" s="443" t="str">
        <f t="shared" si="83"/>
        <v/>
      </c>
      <c r="R126" s="443" t="str">
        <f t="shared" si="83"/>
        <v/>
      </c>
      <c r="S126" s="443" t="str">
        <f t="shared" si="83"/>
        <v/>
      </c>
      <c r="T126" s="443" t="str">
        <f t="shared" si="83"/>
        <v/>
      </c>
      <c r="U126" s="443" t="str">
        <f t="shared" si="83"/>
        <v/>
      </c>
    </row>
    <row r="127" spans="1:22" s="307" customFormat="1" ht="24.95" hidden="1" customHeight="1" outlineLevel="1" x14ac:dyDescent="0.25">
      <c r="A127" s="446" t="str">
        <f>VLOOKUP(B127,'C UNIT PROG TÉCNICOS'!$B$8:$H$108,7,FALSE)</f>
        <v>CAPEX</v>
      </c>
      <c r="B127" s="367" t="s">
        <v>58</v>
      </c>
      <c r="C127" s="304" t="s">
        <v>20</v>
      </c>
      <c r="D127" s="304" t="s">
        <v>19</v>
      </c>
      <c r="I127" s="369"/>
      <c r="J127" s="369"/>
      <c r="K127" s="362">
        <v>0</v>
      </c>
      <c r="L127" s="381">
        <v>0</v>
      </c>
      <c r="M127" s="456">
        <v>0</v>
      </c>
      <c r="N127" s="456"/>
      <c r="O127" s="382"/>
      <c r="P127" s="382"/>
      <c r="Q127" s="382"/>
      <c r="R127" s="382"/>
      <c r="S127" s="382"/>
      <c r="T127" s="382"/>
      <c r="U127" s="382"/>
    </row>
    <row r="128" spans="1:22" s="307" customFormat="1" ht="24.95" hidden="1" customHeight="1" outlineLevel="1" x14ac:dyDescent="0.25">
      <c r="A128" s="446" t="str">
        <f>VLOOKUP(B128,'C UNIT PROG TÉCNICOS'!$B$8:$H$108,7,FALSE)</f>
        <v>CAPEX</v>
      </c>
      <c r="B128" s="367" t="s">
        <v>59</v>
      </c>
      <c r="C128" s="304" t="s">
        <v>20</v>
      </c>
      <c r="D128" s="304" t="s">
        <v>19</v>
      </c>
      <c r="I128" s="369"/>
      <c r="J128" s="369"/>
      <c r="K128" s="362">
        <v>0</v>
      </c>
      <c r="L128" s="456">
        <f>L115</f>
        <v>0</v>
      </c>
      <c r="M128" s="456">
        <f>M115</f>
        <v>2</v>
      </c>
      <c r="N128" s="456"/>
      <c r="O128" s="382"/>
      <c r="P128" s="382"/>
      <c r="Q128" s="382"/>
      <c r="R128" s="382"/>
      <c r="S128" s="382"/>
      <c r="T128" s="382"/>
      <c r="U128" s="382"/>
    </row>
    <row r="129" spans="1:21" s="307" customFormat="1" ht="24.95" hidden="1" customHeight="1" outlineLevel="1" x14ac:dyDescent="0.25">
      <c r="A129" s="446" t="str">
        <f>VLOOKUP(B129,'C UNIT PROG TÉCNICOS'!$B$8:$H$108,7,FALSE)</f>
        <v>OPEX</v>
      </c>
      <c r="B129" s="367" t="s">
        <v>22</v>
      </c>
      <c r="C129" s="304" t="s">
        <v>20</v>
      </c>
      <c r="D129" s="304" t="s">
        <v>19</v>
      </c>
      <c r="I129" s="369"/>
      <c r="J129" s="369"/>
      <c r="K129" s="362">
        <v>0</v>
      </c>
      <c r="L129" s="362">
        <v>0</v>
      </c>
      <c r="M129" s="383">
        <v>0</v>
      </c>
      <c r="N129" s="383"/>
      <c r="O129" s="383"/>
      <c r="P129" s="383"/>
      <c r="Q129" s="383"/>
      <c r="R129" s="383"/>
      <c r="S129" s="383"/>
      <c r="T129" s="383"/>
      <c r="U129" s="383"/>
    </row>
    <row r="130" spans="1:21" s="307" customFormat="1" ht="12" hidden="1" customHeight="1" outlineLevel="1" x14ac:dyDescent="0.25">
      <c r="A130" s="316"/>
      <c r="B130" s="813" t="s">
        <v>742</v>
      </c>
      <c r="D130" s="447" t="str">
        <f>IF(AND(A127="CAPEX",A128="CAPEX",A129="CAPEX"),"Inversión",IF(AND(A127="OPEX",A128="OPEX",A129="OPEX"),"Operación","I/O"))</f>
        <v>I/O</v>
      </c>
      <c r="I130" s="370"/>
      <c r="J130" s="370"/>
      <c r="K130" s="371" t="s">
        <v>8</v>
      </c>
      <c r="L130" s="371" t="s">
        <v>8</v>
      </c>
      <c r="M130" s="371" t="s">
        <v>8</v>
      </c>
      <c r="N130" s="371" t="s">
        <v>149</v>
      </c>
      <c r="O130" s="371" t="s">
        <v>149</v>
      </c>
      <c r="P130" s="371" t="s">
        <v>149</v>
      </c>
      <c r="Q130" s="371" t="s">
        <v>149</v>
      </c>
      <c r="R130" s="371" t="s">
        <v>149</v>
      </c>
      <c r="S130" s="371" t="s">
        <v>149</v>
      </c>
      <c r="T130" s="371" t="s">
        <v>149</v>
      </c>
      <c r="U130" s="371" t="s">
        <v>149</v>
      </c>
    </row>
    <row r="131" spans="1:21" s="307" customFormat="1" ht="12" hidden="1" customHeight="1" outlineLevel="1" x14ac:dyDescent="0.25">
      <c r="A131" s="316"/>
      <c r="B131" s="307" t="s">
        <v>762</v>
      </c>
      <c r="C131" s="304"/>
      <c r="D131" s="304"/>
      <c r="K131" s="448">
        <f>IF(K130="N/A",0,IF(K130="SI",0,IF(OR($D130="I/O",$D130="Inversión"),0,SUM(VLOOKUP($B127,'C UNIT PROG TÉCNICOS'!$B$8:$G$160,6,FALSE)*'EV PROG TÉCNICOS'!K127,VLOOKUP($B128,'C UNIT PROG TÉCNICOS'!$B$8:$G$160,6,FALSE)*'EV PROG TÉCNICOS'!K128,VLOOKUP($B129,'C UNIT PROG TÉCNICOS'!$B$8:$G$160,6,FALSE)*'EV PROG TÉCNICOS'!K129))))</f>
        <v>0</v>
      </c>
      <c r="L131" s="448">
        <f>IF(L130="N/A",0,IF(L130="SI",0,IF(OR($D130="I/O",$D130="Inversión"),0,SUM(VLOOKUP($B127,'C UNIT PROG TÉCNICOS'!$B$8:$G$160,6,FALSE)*'EV PROG TÉCNICOS'!L127,VLOOKUP($B128,'C UNIT PROG TÉCNICOS'!$B$8:$G$160,6,FALSE)*'EV PROG TÉCNICOS'!L128,VLOOKUP($B129,'C UNIT PROG TÉCNICOS'!$B$8:$G$160,6,FALSE)*'EV PROG TÉCNICOS'!L129))))</f>
        <v>0</v>
      </c>
      <c r="M131" s="448">
        <f>IF(M130="N/A",0,IF(M130="SI",0,IF(OR($D130="I/O",$D130="Inversión"),0,SUM(VLOOKUP($B127,'C UNIT PROG TÉCNICOS'!$B$8:$G$160,6,FALSE)*'EV PROG TÉCNICOS'!M127,VLOOKUP($B128,'C UNIT PROG TÉCNICOS'!$B$8:$G$160,6,FALSE)*'EV PROG TÉCNICOS'!M128,VLOOKUP($B129,'C UNIT PROG TÉCNICOS'!$B$8:$G$160,6,FALSE)*'EV PROG TÉCNICOS'!M129))))</f>
        <v>0</v>
      </c>
      <c r="N131" s="448">
        <f>IF(N130="N/A",0,IF(N130="SI",0,IF(OR($D130="I/O",$D130="Inversión"),0,SUM(VLOOKUP($B127,'C UNIT PROG TÉCNICOS'!$B$8:$G$160,6,FALSE)*'EV PROG TÉCNICOS'!N127,VLOOKUP($B128,'C UNIT PROG TÉCNICOS'!$B$8:$G$160,6,FALSE)*'EV PROG TÉCNICOS'!N128,VLOOKUP($B129,'C UNIT PROG TÉCNICOS'!$B$8:$G$160,6,FALSE)*'EV PROG TÉCNICOS'!N129))))</f>
        <v>0</v>
      </c>
      <c r="O131" s="448">
        <f>IF(O130="N/A",0,IF(O130="SI",0,IF(OR($D130="I/O",$D130="Inversión"),0,SUM(VLOOKUP($B127,'C UNIT PROG TÉCNICOS'!$B$8:$G$160,6,FALSE)*'EV PROG TÉCNICOS'!O127,VLOOKUP($B128,'C UNIT PROG TÉCNICOS'!$B$8:$G$160,6,FALSE)*'EV PROG TÉCNICOS'!O128,VLOOKUP($B129,'C UNIT PROG TÉCNICOS'!$B$8:$G$160,6,FALSE)*'EV PROG TÉCNICOS'!O129))))</f>
        <v>0</v>
      </c>
      <c r="P131" s="448">
        <f>IF(P130="N/A",0,IF(P130="SI",0,IF(OR($D130="I/O",$D130="Inversión"),0,SUM(VLOOKUP($B127,'C UNIT PROG TÉCNICOS'!$B$8:$G$160,6,FALSE)*'EV PROG TÉCNICOS'!P127,VLOOKUP($B128,'C UNIT PROG TÉCNICOS'!$B$8:$G$160,6,FALSE)*'EV PROG TÉCNICOS'!P128,VLOOKUP($B129,'C UNIT PROG TÉCNICOS'!$B$8:$G$160,6,FALSE)*'EV PROG TÉCNICOS'!P129))))</f>
        <v>0</v>
      </c>
      <c r="Q131" s="448">
        <f>IF(Q130="N/A",0,IF(Q130="SI",0,IF(OR($D130="I/O",$D130="Inversión"),0,SUM(VLOOKUP($B127,'C UNIT PROG TÉCNICOS'!$B$8:$G$160,6,FALSE)*'EV PROG TÉCNICOS'!Q127,VLOOKUP($B128,'C UNIT PROG TÉCNICOS'!$B$8:$G$160,6,FALSE)*'EV PROG TÉCNICOS'!Q128,VLOOKUP($B129,'C UNIT PROG TÉCNICOS'!$B$8:$G$160,6,FALSE)*'EV PROG TÉCNICOS'!Q129))))</f>
        <v>0</v>
      </c>
      <c r="R131" s="448">
        <f>IF(R130="N/A",0,IF(R130="SI",0,IF(OR($D130="I/O",$D130="Inversión"),0,SUM(VLOOKUP($B127,'C UNIT PROG TÉCNICOS'!$B$8:$G$160,6,FALSE)*'EV PROG TÉCNICOS'!R127,VLOOKUP($B128,'C UNIT PROG TÉCNICOS'!$B$8:$G$160,6,FALSE)*'EV PROG TÉCNICOS'!R128,VLOOKUP($B129,'C UNIT PROG TÉCNICOS'!$B$8:$G$160,6,FALSE)*'EV PROG TÉCNICOS'!R129))))</f>
        <v>0</v>
      </c>
      <c r="S131" s="448">
        <f>IF(S130="N/A",0,IF(S130="SI",0,IF(OR($D130="I/O",$D130="Inversión"),0,SUM(VLOOKUP($B127,'C UNIT PROG TÉCNICOS'!$B$8:$G$160,6,FALSE)*'EV PROG TÉCNICOS'!S127,VLOOKUP($B128,'C UNIT PROG TÉCNICOS'!$B$8:$G$160,6,FALSE)*'EV PROG TÉCNICOS'!S128,VLOOKUP($B129,'C UNIT PROG TÉCNICOS'!$B$8:$G$160,6,FALSE)*'EV PROG TÉCNICOS'!S129))))</f>
        <v>0</v>
      </c>
      <c r="T131" s="448">
        <f>IF(T130="N/A",0,IF(T130="SI",0,IF(OR($D130="I/O",$D130="Inversión"),0,SUM(VLOOKUP($B127,'C UNIT PROG TÉCNICOS'!$B$8:$G$160,6,FALSE)*'EV PROG TÉCNICOS'!T127,VLOOKUP($B128,'C UNIT PROG TÉCNICOS'!$B$8:$G$160,6,FALSE)*'EV PROG TÉCNICOS'!T128,VLOOKUP($B129,'C UNIT PROG TÉCNICOS'!$B$8:$G$160,6,FALSE)*'EV PROG TÉCNICOS'!T129))))</f>
        <v>0</v>
      </c>
      <c r="U131" s="448">
        <f>IF(U130="N/A",0,IF(U130="SI",0,IF(OR($D130="I/O",$D130="Inversión"),0,SUM(VLOOKUP($B127,'C UNIT PROG TÉCNICOS'!$B$8:$G$160,6,FALSE)*'EV PROG TÉCNICOS'!U127,VLOOKUP($B128,'C UNIT PROG TÉCNICOS'!$B$8:$G$160,6,FALSE)*'EV PROG TÉCNICOS'!U128,VLOOKUP($B129,'C UNIT PROG TÉCNICOS'!$B$8:$G$160,6,FALSE)*'EV PROG TÉCNICOS'!U129))))</f>
        <v>0</v>
      </c>
    </row>
    <row r="132" spans="1:21" s="307" customFormat="1" ht="12" hidden="1" customHeight="1" outlineLevel="1" x14ac:dyDescent="0.25">
      <c r="A132" s="316"/>
      <c r="B132" s="307" t="s">
        <v>763</v>
      </c>
      <c r="C132" s="304" t="s">
        <v>6</v>
      </c>
      <c r="D132" s="304"/>
      <c r="K132" s="450">
        <f>IF(K130="N/A",0,IF(K130="SI",0,K$21*K131))</f>
        <v>0</v>
      </c>
      <c r="L132" s="450">
        <f>IF(L130="N/A",0,IF(L130="SI",0,L$21*L131))</f>
        <v>0</v>
      </c>
      <c r="M132" s="450">
        <f>IF(M130="N/A",0,IF(M130="SI",0,M$21*M131))</f>
        <v>0</v>
      </c>
      <c r="N132" s="450">
        <f t="shared" ref="N132:U132" si="84">IF(N130="N/A",0,IF(N130="SI",0,N$21*N131))</f>
        <v>0</v>
      </c>
      <c r="O132" s="450">
        <f t="shared" si="84"/>
        <v>0</v>
      </c>
      <c r="P132" s="450">
        <f t="shared" si="84"/>
        <v>0</v>
      </c>
      <c r="Q132" s="450">
        <f t="shared" si="84"/>
        <v>0</v>
      </c>
      <c r="R132" s="450">
        <f t="shared" si="84"/>
        <v>0</v>
      </c>
      <c r="S132" s="450">
        <f t="shared" si="84"/>
        <v>0</v>
      </c>
      <c r="T132" s="450">
        <f t="shared" si="84"/>
        <v>0</v>
      </c>
      <c r="U132" s="450">
        <f t="shared" si="84"/>
        <v>0</v>
      </c>
    </row>
    <row r="133" spans="1:21" s="307" customFormat="1" ht="12" hidden="1" customHeight="1" outlineLevel="1" x14ac:dyDescent="0.25">
      <c r="A133" s="316"/>
      <c r="B133" s="307" t="s">
        <v>764</v>
      </c>
      <c r="C133" s="304" t="s">
        <v>6</v>
      </c>
      <c r="D133" s="304"/>
      <c r="K133" s="450">
        <f>IF(K130="N/A",0,IF(K130="SI",0,IF(OR($D130="Inversión",$D130="I/O"),SUM(VLOOKUP($B127,'C UNIT PROG TÉCNICOS'!$B$8:$G$160,5,FALSE)*'EV PROG TÉCNICOS'!K127,VLOOKUP($B128,'C UNIT PROG TÉCNICOS'!$B$8:$G$160,5,FALSE)*'EV PROG TÉCNICOS'!K128,VLOOKUP($B129,'C UNIT PROG TÉCNICOS'!$B$8:$G$160,5,FALSE)*'EV PROG TÉCNICOS'!K129),0)))</f>
        <v>0</v>
      </c>
      <c r="L133" s="450">
        <f>IF(L130="N/A",0,IF(L130="SI",0,IF(OR($D130="Inversión",$D130="I/O"),SUM(VLOOKUP($B127,'C UNIT PROG TÉCNICOS'!$B$8:$G$160,5,FALSE)*'EV PROG TÉCNICOS'!L127,VLOOKUP($B128,'C UNIT PROG TÉCNICOS'!$B$8:$G$160,5,FALSE)*'EV PROG TÉCNICOS'!L128,VLOOKUP($B129,'C UNIT PROG TÉCNICOS'!$B$8:$G$160,5,FALSE)*'EV PROG TÉCNICOS'!L129),0))*((1+$D$24)^(L$3-$K$3)))</f>
        <v>0</v>
      </c>
      <c r="M133" s="450">
        <f>IF(M130="N/A",0,IF(M130="SI",0,IF(OR($D130="Inversión",$D130="I/O"),SUM(VLOOKUP($B127,'C UNIT PROG TÉCNICOS'!$B$8:$G$160,5,FALSE)*'EV PROG TÉCNICOS'!M127,VLOOKUP($B128,'C UNIT PROG TÉCNICOS'!$B$8:$G$160,5,FALSE)*'EV PROG TÉCNICOS'!M128,VLOOKUP($B129,'C UNIT PROG TÉCNICOS'!$B$8:$G$160,5,FALSE)*'EV PROG TÉCNICOS'!M129),0))*((1+$D$24)^(M$3-$K$3)))</f>
        <v>20575986.355107382</v>
      </c>
      <c r="N133" s="450">
        <f>IF(N130="N/A",0,IF(N130="SI",0,IF(OR($D130="Inversión",$D130="I/O"),SUM(VLOOKUP($B127,'C UNIT PROG TÉCNICOS'!$B$8:$G$160,5,FALSE)*'EV PROG TÉCNICOS'!N127,VLOOKUP($B128,'C UNIT PROG TÉCNICOS'!$B$8:$G$160,5,FALSE)*'EV PROG TÉCNICOS'!N128,VLOOKUP($B129,'C UNIT PROG TÉCNICOS'!$B$8:$G$160,5,FALSE)*'EV PROG TÉCNICOS'!N129),0))*((1+$D$24)^(N$3-$K$3)))</f>
        <v>0</v>
      </c>
      <c r="O133" s="450">
        <f>IF(O130="N/A",0,IF(O130="SI",0,IF(OR($D130="Inversión",$D130="I/O"),SUM(VLOOKUP($B127,'C UNIT PROG TÉCNICOS'!$B$8:$G$160,5,FALSE)*'EV PROG TÉCNICOS'!O127,VLOOKUP($B128,'C UNIT PROG TÉCNICOS'!$B$8:$G$160,5,FALSE)*'EV PROG TÉCNICOS'!O128,VLOOKUP($B129,'C UNIT PROG TÉCNICOS'!$B$8:$G$160,5,FALSE)*'EV PROG TÉCNICOS'!O129),0))*((1+$D$24)^(O$3-$K$3)))</f>
        <v>0</v>
      </c>
      <c r="P133" s="450">
        <f>IF(P130="N/A",0,IF(P130="SI",0,IF(OR($D130="Inversión",$D130="I/O"),SUM(VLOOKUP($B127,'C UNIT PROG TÉCNICOS'!$B$8:$G$160,5,FALSE)*'EV PROG TÉCNICOS'!P127,VLOOKUP($B128,'C UNIT PROG TÉCNICOS'!$B$8:$G$160,5,FALSE)*'EV PROG TÉCNICOS'!P128,VLOOKUP($B129,'C UNIT PROG TÉCNICOS'!$B$8:$G$160,5,FALSE)*'EV PROG TÉCNICOS'!P129),0))*((1+$D$24)^(P$3-$K$3)))</f>
        <v>0</v>
      </c>
      <c r="Q133" s="450">
        <f>IF(Q130="N/A",0,IF(Q130="SI",0,IF(OR($D130="Inversión",$D130="I/O"),SUM(VLOOKUP($B127,'C UNIT PROG TÉCNICOS'!$B$8:$G$160,5,FALSE)*'EV PROG TÉCNICOS'!Q127,VLOOKUP($B128,'C UNIT PROG TÉCNICOS'!$B$8:$G$160,5,FALSE)*'EV PROG TÉCNICOS'!Q128,VLOOKUP($B129,'C UNIT PROG TÉCNICOS'!$B$8:$G$160,5,FALSE)*'EV PROG TÉCNICOS'!Q129),0))*((1+$D$24)^(Q$3-$K$3)))</f>
        <v>0</v>
      </c>
      <c r="R133" s="450">
        <f>IF(R130="N/A",0,IF(R130="SI",0,IF(OR($D130="Inversión",$D130="I/O"),SUM(VLOOKUP($B127,'C UNIT PROG TÉCNICOS'!$B$8:$G$160,5,FALSE)*'EV PROG TÉCNICOS'!R127,VLOOKUP($B128,'C UNIT PROG TÉCNICOS'!$B$8:$G$160,5,FALSE)*'EV PROG TÉCNICOS'!R128,VLOOKUP($B129,'C UNIT PROG TÉCNICOS'!$B$8:$G$160,5,FALSE)*'EV PROG TÉCNICOS'!R129),0))*((1+$D$24)^(R$3-$K$3)))</f>
        <v>0</v>
      </c>
      <c r="S133" s="450">
        <f>IF(S130="N/A",0,IF(S130="SI",0,IF(OR($D130="Inversión",$D130="I/O"),SUM(VLOOKUP($B127,'C UNIT PROG TÉCNICOS'!$B$8:$G$160,5,FALSE)*'EV PROG TÉCNICOS'!S127,VLOOKUP($B128,'C UNIT PROG TÉCNICOS'!$B$8:$G$160,5,FALSE)*'EV PROG TÉCNICOS'!S128,VLOOKUP($B129,'C UNIT PROG TÉCNICOS'!$B$8:$G$160,5,FALSE)*'EV PROG TÉCNICOS'!S129),0))*((1+$D$24)^(S$3-$K$3)))</f>
        <v>0</v>
      </c>
      <c r="T133" s="450">
        <f>IF(T130="N/A",0,IF(T130="SI",0,IF(OR($D130="Inversión",$D130="I/O"),SUM(VLOOKUP($B127,'C UNIT PROG TÉCNICOS'!$B$8:$G$160,5,FALSE)*'EV PROG TÉCNICOS'!T127,VLOOKUP($B128,'C UNIT PROG TÉCNICOS'!$B$8:$G$160,5,FALSE)*'EV PROG TÉCNICOS'!T128,VLOOKUP($B129,'C UNIT PROG TÉCNICOS'!$B$8:$G$160,5,FALSE)*'EV PROG TÉCNICOS'!T129),0))*((1+$D$24)^(T$3-$K$3)))</f>
        <v>0</v>
      </c>
      <c r="U133" s="450">
        <f>IF(U130="N/A",0,IF(U130="SI",0,IF(OR($D130="Inversión",$D130="I/O"),SUM(VLOOKUP($B127,'C UNIT PROG TÉCNICOS'!$B$8:$G$160,5,FALSE)*'EV PROG TÉCNICOS'!U127,VLOOKUP($B128,'C UNIT PROG TÉCNICOS'!$B$8:$G$160,5,FALSE)*'EV PROG TÉCNICOS'!U128,VLOOKUP($B129,'C UNIT PROG TÉCNICOS'!$B$8:$G$160,5,FALSE)*'EV PROG TÉCNICOS'!U129),0))*((1+$D$24)^(U$3-$K$3)))</f>
        <v>0</v>
      </c>
    </row>
    <row r="134" spans="1:21" s="376" customFormat="1" ht="24.95" hidden="1" customHeight="1" outlineLevel="1" x14ac:dyDescent="0.25">
      <c r="A134" s="374"/>
      <c r="B134" s="454" t="str">
        <f>CONCATENATE("VNA ",B125)</f>
        <v>VNA Telemetría y/o almacenamiento local de datos</v>
      </c>
      <c r="C134" s="374" t="s">
        <v>6</v>
      </c>
      <c r="D134" s="453">
        <f>NPV($D$31,L134:U134)+K134</f>
        <v>15218618.985471366</v>
      </c>
      <c r="K134" s="452">
        <f>IF(OR(K130="N/A",K131=0),0,IF($D130="Operación",K132,K133))</f>
        <v>0</v>
      </c>
      <c r="L134" s="452">
        <f t="shared" ref="L134:U134" si="85">IF(L130="N/A",0,IF($D130="Operación",L132,L133))</f>
        <v>0</v>
      </c>
      <c r="M134" s="452">
        <f t="shared" si="85"/>
        <v>20575986.355107382</v>
      </c>
      <c r="N134" s="452">
        <f t="shared" si="85"/>
        <v>0</v>
      </c>
      <c r="O134" s="452">
        <f t="shared" si="85"/>
        <v>0</v>
      </c>
      <c r="P134" s="452">
        <f t="shared" si="85"/>
        <v>0</v>
      </c>
      <c r="Q134" s="452">
        <f t="shared" si="85"/>
        <v>0</v>
      </c>
      <c r="R134" s="452">
        <f t="shared" si="85"/>
        <v>0</v>
      </c>
      <c r="S134" s="452">
        <f t="shared" si="85"/>
        <v>0</v>
      </c>
      <c r="T134" s="452">
        <f t="shared" si="85"/>
        <v>0</v>
      </c>
      <c r="U134" s="452">
        <f t="shared" si="85"/>
        <v>0</v>
      </c>
    </row>
    <row r="135" spans="1:21" customFormat="1" ht="0.95" hidden="1" customHeight="1" outlineLevel="1" x14ac:dyDescent="0.25"/>
    <row r="136" spans="1:21" customFormat="1" ht="0.95" hidden="1" customHeight="1" outlineLevel="1" x14ac:dyDescent="0.25"/>
    <row r="137" spans="1:21" customFormat="1" ht="0.95" hidden="1" customHeight="1" outlineLevel="1" x14ac:dyDescent="0.25"/>
    <row r="138" spans="1:21" s="307" customFormat="1" ht="12" hidden="1" customHeight="1" outlineLevel="1" x14ac:dyDescent="0.25">
      <c r="A138" s="304"/>
    </row>
    <row r="139" spans="1:21" s="307" customFormat="1" ht="12" hidden="1" customHeight="1" outlineLevel="1" x14ac:dyDescent="0.25">
      <c r="A139" s="380" t="s">
        <v>127</v>
      </c>
      <c r="B139" s="358" t="s">
        <v>23</v>
      </c>
    </row>
    <row r="140" spans="1:21" s="326" customFormat="1" ht="15" hidden="1" customHeight="1" outlineLevel="1" x14ac:dyDescent="0.25">
      <c r="A140" s="316"/>
      <c r="B140" s="326" t="s">
        <v>24</v>
      </c>
      <c r="C140" s="316" t="s">
        <v>11</v>
      </c>
      <c r="D140" s="444">
        <f>COUNT(L140:U140)</f>
        <v>10</v>
      </c>
      <c r="E140" s="364"/>
      <c r="F140" s="364"/>
      <c r="G140" s="364"/>
      <c r="H140" s="364"/>
      <c r="I140" s="364"/>
      <c r="J140" s="364"/>
      <c r="K140" s="365">
        <v>0</v>
      </c>
      <c r="L140" s="443">
        <f>IF(L142="N/A","",K140+1)</f>
        <v>1</v>
      </c>
      <c r="M140" s="443">
        <f t="shared" ref="M140:U140" si="86">IF(M142="N/A","",L140+1)</f>
        <v>2</v>
      </c>
      <c r="N140" s="443">
        <f t="shared" si="86"/>
        <v>3</v>
      </c>
      <c r="O140" s="443">
        <f t="shared" si="86"/>
        <v>4</v>
      </c>
      <c r="P140" s="443">
        <f t="shared" si="86"/>
        <v>5</v>
      </c>
      <c r="Q140" s="443">
        <f t="shared" si="86"/>
        <v>6</v>
      </c>
      <c r="R140" s="443">
        <f t="shared" si="86"/>
        <v>7</v>
      </c>
      <c r="S140" s="443">
        <f t="shared" si="86"/>
        <v>8</v>
      </c>
      <c r="T140" s="443">
        <f t="shared" si="86"/>
        <v>9</v>
      </c>
      <c r="U140" s="443">
        <f t="shared" si="86"/>
        <v>10</v>
      </c>
    </row>
    <row r="141" spans="1:21" s="307" customFormat="1" ht="24.95" hidden="1" customHeight="1" outlineLevel="1" x14ac:dyDescent="0.25">
      <c r="A141" s="446" t="str">
        <f>VLOOKUP(B141,'C UNIT PROG TÉCNICOS'!$B$8:$H$108,7,FALSE)</f>
        <v>OPEX</v>
      </c>
      <c r="B141" s="367" t="s">
        <v>62</v>
      </c>
      <c r="C141" s="304" t="s">
        <v>20</v>
      </c>
      <c r="D141" s="304" t="s">
        <v>19</v>
      </c>
      <c r="I141" s="369"/>
      <c r="J141" s="369"/>
      <c r="K141" s="442">
        <v>0</v>
      </c>
      <c r="L141" s="442">
        <f t="shared" ref="L141:U141" si="87">IF(OR(L109=$D$108,L109=0),$D$108,L109)</f>
        <v>5</v>
      </c>
      <c r="M141" s="442">
        <f t="shared" si="87"/>
        <v>7</v>
      </c>
      <c r="N141" s="442">
        <f t="shared" si="87"/>
        <v>7</v>
      </c>
      <c r="O141" s="442">
        <f t="shared" si="87"/>
        <v>7</v>
      </c>
      <c r="P141" s="442">
        <f t="shared" si="87"/>
        <v>7</v>
      </c>
      <c r="Q141" s="442">
        <f t="shared" si="87"/>
        <v>7</v>
      </c>
      <c r="R141" s="442">
        <f t="shared" si="87"/>
        <v>7</v>
      </c>
      <c r="S141" s="442">
        <f t="shared" si="87"/>
        <v>7</v>
      </c>
      <c r="T141" s="442">
        <f t="shared" si="87"/>
        <v>7</v>
      </c>
      <c r="U141" s="442">
        <f t="shared" si="87"/>
        <v>7</v>
      </c>
    </row>
    <row r="142" spans="1:21" s="307" customFormat="1" ht="12" hidden="1" customHeight="1" outlineLevel="1" x14ac:dyDescent="0.25">
      <c r="A142" s="316"/>
      <c r="B142" s="813" t="s">
        <v>742</v>
      </c>
      <c r="D142" s="447" t="str">
        <f>IF(A141="CAPEX","Inversión",IF(A141="OPEX","Operación","I/O"))</f>
        <v>Operación</v>
      </c>
      <c r="I142" s="370"/>
      <c r="J142" s="370"/>
      <c r="K142" s="371" t="s">
        <v>8</v>
      </c>
      <c r="L142" s="371" t="s">
        <v>8</v>
      </c>
      <c r="M142" s="371" t="s">
        <v>8</v>
      </c>
      <c r="N142" s="371" t="s">
        <v>8</v>
      </c>
      <c r="O142" s="371" t="s">
        <v>8</v>
      </c>
      <c r="P142" s="371" t="s">
        <v>8</v>
      </c>
      <c r="Q142" s="371" t="s">
        <v>8</v>
      </c>
      <c r="R142" s="371" t="s">
        <v>8</v>
      </c>
      <c r="S142" s="371" t="s">
        <v>8</v>
      </c>
      <c r="T142" s="371" t="s">
        <v>8</v>
      </c>
      <c r="U142" s="371" t="s">
        <v>8</v>
      </c>
    </row>
    <row r="143" spans="1:21" s="307" customFormat="1" ht="12" hidden="1" customHeight="1" outlineLevel="1" x14ac:dyDescent="0.25">
      <c r="A143" s="316"/>
      <c r="B143" s="307" t="s">
        <v>762</v>
      </c>
      <c r="C143" s="304"/>
      <c r="D143" s="304"/>
      <c r="K143" s="448">
        <f>IF(K142="N/A",0,IF(K142="SI",0,SUM(IF($D142="Inversión",0,VLOOKUP($B141,'C UNIT PROG TÉCNICOS'!$B$8:$G$160,6,FALSE)*'EV PROG TÉCNICOS'!K141))))</f>
        <v>0</v>
      </c>
      <c r="L143" s="448">
        <f>IF(L142="N/A",0,IF(L142="SI",0,SUM(IF($D142="Inversión",0,VLOOKUP($B141,'C UNIT PROG TÉCNICOS'!$B$8:$G$160,6,FALSE)*'EV PROG TÉCNICOS'!L141))))</f>
        <v>1.9600577986812535</v>
      </c>
      <c r="M143" s="448">
        <f>IF(M142="N/A",0,IF(M142="SI",0,SUM(IF($D142="Inversión",0,VLOOKUP($B141,'C UNIT PROG TÉCNICOS'!$B$8:$G$160,6,FALSE)*'EV PROG TÉCNICOS'!M141))))</f>
        <v>2.7440809181537547</v>
      </c>
      <c r="N143" s="448">
        <f>IF(N142="N/A",0,IF(N142="SI",0,SUM(IF($D142="Inversión",0,VLOOKUP($B141,'C UNIT PROG TÉCNICOS'!$B$8:$G$160,6,FALSE)*'EV PROG TÉCNICOS'!N141))))</f>
        <v>2.7440809181537547</v>
      </c>
      <c r="O143" s="448">
        <f>IF(O142="N/A",0,IF(O142="SI",0,SUM(IF($D142="Inversión",0,VLOOKUP($B141,'C UNIT PROG TÉCNICOS'!$B$8:$G$160,6,FALSE)*'EV PROG TÉCNICOS'!O141))))</f>
        <v>2.7440809181537547</v>
      </c>
      <c r="P143" s="448">
        <f>IF(P142="N/A",0,IF(P142="SI",0,SUM(IF($D142="Inversión",0,VLOOKUP($B141,'C UNIT PROG TÉCNICOS'!$B$8:$G$160,6,FALSE)*'EV PROG TÉCNICOS'!P141))))</f>
        <v>2.7440809181537547</v>
      </c>
      <c r="Q143" s="448">
        <f>IF(Q142="N/A",0,IF(Q142="SI",0,SUM(IF($D142="Inversión",0,VLOOKUP($B141,'C UNIT PROG TÉCNICOS'!$B$8:$G$160,6,FALSE)*'EV PROG TÉCNICOS'!Q141))))</f>
        <v>2.7440809181537547</v>
      </c>
      <c r="R143" s="448">
        <f>IF(R142="N/A",0,IF(R142="SI",0,SUM(IF($D142="Inversión",0,VLOOKUP($B141,'C UNIT PROG TÉCNICOS'!$B$8:$G$160,6,FALSE)*'EV PROG TÉCNICOS'!R141))))</f>
        <v>2.7440809181537547</v>
      </c>
      <c r="S143" s="448">
        <f>IF(S142="N/A",0,IF(S142="SI",0,SUM(IF($D142="Inversión",0,VLOOKUP($B141,'C UNIT PROG TÉCNICOS'!$B$8:$G$160,6,FALSE)*'EV PROG TÉCNICOS'!S141))))</f>
        <v>2.7440809181537547</v>
      </c>
      <c r="T143" s="448">
        <f>IF(T142="N/A",0,IF(T142="SI",0,SUM(IF($D142="Inversión",0,VLOOKUP($B141,'C UNIT PROG TÉCNICOS'!$B$8:$G$160,6,FALSE)*'EV PROG TÉCNICOS'!T141))))</f>
        <v>2.7440809181537547</v>
      </c>
      <c r="U143" s="448">
        <f>IF(U142="N/A",0,IF(U142="SI",0,SUM(IF($D142="Inversión",0,VLOOKUP($B141,'C UNIT PROG TÉCNICOS'!$B$8:$G$160,6,FALSE)*'EV PROG TÉCNICOS'!U141))))</f>
        <v>2.7440809181537547</v>
      </c>
    </row>
    <row r="144" spans="1:21" s="307" customFormat="1" ht="12" hidden="1" customHeight="1" outlineLevel="1" x14ac:dyDescent="0.25">
      <c r="A144" s="316"/>
      <c r="B144" s="307" t="s">
        <v>763</v>
      </c>
      <c r="C144" s="304" t="s">
        <v>6</v>
      </c>
      <c r="D144" s="304"/>
      <c r="K144" s="450">
        <f>IF(K142="N/A",0,IF(K142="SI",0,K$21*K143))</f>
        <v>0</v>
      </c>
      <c r="L144" s="450">
        <f>IF(L142="N/A",0,IF(L142="SI",0,L$21*L143))</f>
        <v>3431875</v>
      </c>
      <c r="M144" s="450">
        <f t="shared" ref="M144:U144" si="88">IF(M142="N/A",0,IF(M142="SI",0,M$21*M143))</f>
        <v>5077526.7390749995</v>
      </c>
      <c r="N144" s="450">
        <f t="shared" si="88"/>
        <v>5365929.2423491124</v>
      </c>
      <c r="O144" s="450">
        <f t="shared" si="88"/>
        <v>5670712.9501286931</v>
      </c>
      <c r="P144" s="450">
        <f t="shared" si="88"/>
        <v>5992808.311553413</v>
      </c>
      <c r="Q144" s="450">
        <f t="shared" si="88"/>
        <v>6333198.6250879848</v>
      </c>
      <c r="R144" s="450">
        <f t="shared" si="88"/>
        <v>6692923.0403532572</v>
      </c>
      <c r="S144" s="450">
        <f t="shared" si="88"/>
        <v>7073079.7304607145</v>
      </c>
      <c r="T144" s="450">
        <f t="shared" si="88"/>
        <v>7474829.2445349377</v>
      </c>
      <c r="U144" s="450">
        <f t="shared" si="88"/>
        <v>7899398.050658674</v>
      </c>
    </row>
    <row r="145" spans="1:21" s="307" customFormat="1" ht="12" hidden="1" customHeight="1" outlineLevel="1" x14ac:dyDescent="0.25">
      <c r="A145" s="316"/>
      <c r="B145" s="307" t="s">
        <v>764</v>
      </c>
      <c r="C145" s="304" t="s">
        <v>6</v>
      </c>
      <c r="D145" s="304"/>
      <c r="K145" s="450">
        <f>IF(K142="N/A",0,IF(K142="SI",0,IF(OR($D142="Inversión",$D142="I/O"),SUM(VLOOKUP($B141,'C UNIT PROG TÉCNICOS'!$B$8:$G$160,5,FALSE)*'EV PROG TÉCNICOS'!K141),0)))</f>
        <v>0</v>
      </c>
      <c r="L145" s="450">
        <f>IF(L142="N/A",0,IF(L142="SI",0,IF(OR($D142="Inversión",$D142="I/O"),SUM(VLOOKUP($B141,'C UNIT PROG TÉCNICOS'!$B$8:$G$160,5,FALSE)*'EV PROG TÉCNICOS'!L141),0))*((1+$D$24)^(L$3-$K$3)))</f>
        <v>0</v>
      </c>
      <c r="M145" s="450">
        <f>IF(M142="N/A",0,IF(M142="SI",0,IF(OR($D142="Inversión",$D142="I/O"),SUM(VLOOKUP($B141,'C UNIT PROG TÉCNICOS'!$B$8:$G$160,5,FALSE)*'EV PROG TÉCNICOS'!M141),0))*((1+$D$24)^(M$3-$K$3)))</f>
        <v>0</v>
      </c>
      <c r="N145" s="450">
        <f>IF(N142="N/A",0,IF(N142="SI",0,IF(OR($D142="Inversión",$D142="I/O"),SUM(VLOOKUP($B141,'C UNIT PROG TÉCNICOS'!$B$8:$G$160,5,FALSE)*'EV PROG TÉCNICOS'!N141),0))*((1+$D$24)^(N$3-$K$3)))</f>
        <v>0</v>
      </c>
      <c r="O145" s="450">
        <f>IF(O142="N/A",0,IF(O142="SI",0,IF(OR($D142="Inversión",$D142="I/O"),SUM(VLOOKUP($B141,'C UNIT PROG TÉCNICOS'!$B$8:$G$160,5,FALSE)*'EV PROG TÉCNICOS'!O141),0))*((1+$D$24)^(O$3-$K$3)))</f>
        <v>0</v>
      </c>
      <c r="P145" s="450">
        <f>IF(P142="N/A",0,IF(P142="SI",0,IF(OR($D142="Inversión",$D142="I/O"),SUM(VLOOKUP($B141,'C UNIT PROG TÉCNICOS'!$B$8:$G$160,5,FALSE)*'EV PROG TÉCNICOS'!P141),0))*((1+$D$24)^(P$3-$K$3)))</f>
        <v>0</v>
      </c>
      <c r="Q145" s="450">
        <f>IF(Q142="N/A",0,IF(Q142="SI",0,IF(OR($D142="Inversión",$D142="I/O"),SUM(VLOOKUP($B141,'C UNIT PROG TÉCNICOS'!$B$8:$G$160,5,FALSE)*'EV PROG TÉCNICOS'!Q141),0))*((1+$D$24)^(Q$3-$K$3)))</f>
        <v>0</v>
      </c>
      <c r="R145" s="450">
        <f>IF(R142="N/A",0,IF(R142="SI",0,IF(OR($D142="Inversión",$D142="I/O"),SUM(VLOOKUP($B141,'C UNIT PROG TÉCNICOS'!$B$8:$G$160,5,FALSE)*'EV PROG TÉCNICOS'!R141),0))*((1+$D$24)^(R$3-$K$3)))</f>
        <v>0</v>
      </c>
      <c r="S145" s="450">
        <f>IF(S142="N/A",0,IF(S142="SI",0,IF(OR($D142="Inversión",$D142="I/O"),SUM(VLOOKUP($B141,'C UNIT PROG TÉCNICOS'!$B$8:$G$160,5,FALSE)*'EV PROG TÉCNICOS'!S141),0))*((1+$D$24)^(S$3-$K$3)))</f>
        <v>0</v>
      </c>
      <c r="T145" s="450">
        <f>IF(T142="N/A",0,IF(T142="SI",0,IF(OR($D142="Inversión",$D142="I/O"),SUM(VLOOKUP($B141,'C UNIT PROG TÉCNICOS'!$B$8:$G$160,5,FALSE)*'EV PROG TÉCNICOS'!T141),0))*((1+$D$24)^(T$3-$K$3)))</f>
        <v>0</v>
      </c>
      <c r="U145" s="450">
        <f>IF(U142="N/A",0,IF(U142="SI",0,IF(OR($D142="Inversión",$D142="I/O"),SUM(VLOOKUP($B141,'C UNIT PROG TÉCNICOS'!$B$8:$G$160,5,FALSE)*'EV PROG TÉCNICOS'!U141),0))*((1+$D$24)^(U$3-$K$3)))</f>
        <v>0</v>
      </c>
    </row>
    <row r="146" spans="1:21" s="376" customFormat="1" ht="24.95" hidden="1" customHeight="1" outlineLevel="1" x14ac:dyDescent="0.25">
      <c r="A146" s="374"/>
      <c r="B146" s="454" t="str">
        <f>CONCATENATE("VNA ",B139)</f>
        <v>VNA Procesamiento de datos</v>
      </c>
      <c r="C146" s="374" t="s">
        <v>6</v>
      </c>
      <c r="D146" s="453">
        <f>NPV($D$31,L146:U146)+K146</f>
        <v>26722425.110290654</v>
      </c>
      <c r="K146" s="452">
        <f>IF(K143="N/A",0,IF($D142="Operación",K144,K145))</f>
        <v>0</v>
      </c>
      <c r="L146" s="452">
        <f>IF(L142="N/A",0,IF($D142="Operación",L144,L145))</f>
        <v>3431875</v>
      </c>
      <c r="M146" s="452">
        <f t="shared" ref="M146:U146" si="89">IF(M142="N/A",0,IF($D142="Operación",M144,M145))</f>
        <v>5077526.7390749995</v>
      </c>
      <c r="N146" s="452">
        <f t="shared" si="89"/>
        <v>5365929.2423491124</v>
      </c>
      <c r="O146" s="452">
        <f t="shared" si="89"/>
        <v>5670712.9501286931</v>
      </c>
      <c r="P146" s="452">
        <f t="shared" si="89"/>
        <v>5992808.311553413</v>
      </c>
      <c r="Q146" s="452">
        <f t="shared" si="89"/>
        <v>6333198.6250879848</v>
      </c>
      <c r="R146" s="452">
        <f t="shared" si="89"/>
        <v>6692923.0403532572</v>
      </c>
      <c r="S146" s="452">
        <f t="shared" si="89"/>
        <v>7073079.7304607145</v>
      </c>
      <c r="T146" s="452">
        <f t="shared" si="89"/>
        <v>7474829.2445349377</v>
      </c>
      <c r="U146" s="452">
        <f t="shared" si="89"/>
        <v>7899398.050658674</v>
      </c>
    </row>
    <row r="147" spans="1:21" s="376" customFormat="1" ht="0.95" hidden="1" customHeight="1" outlineLevel="1" x14ac:dyDescent="0.25">
      <c r="A147" s="374"/>
      <c r="B147" s="454"/>
      <c r="C147" s="374"/>
      <c r="D147" s="374"/>
      <c r="K147" s="378"/>
      <c r="L147" s="378"/>
      <c r="M147" s="378"/>
      <c r="N147" s="378"/>
      <c r="O147" s="378"/>
      <c r="P147" s="378"/>
      <c r="Q147" s="378"/>
      <c r="R147" s="378"/>
      <c r="S147" s="378"/>
      <c r="T147" s="378"/>
      <c r="U147" s="378"/>
    </row>
    <row r="148" spans="1:21" s="376" customFormat="1" ht="0.95" hidden="1" customHeight="1" outlineLevel="1" x14ac:dyDescent="0.25">
      <c r="A148" s="374"/>
      <c r="C148" s="374"/>
      <c r="D148" s="453"/>
      <c r="K148" s="452"/>
      <c r="L148" s="452"/>
      <c r="M148" s="452"/>
      <c r="N148" s="452"/>
      <c r="O148" s="452"/>
      <c r="P148" s="452"/>
      <c r="Q148" s="452"/>
      <c r="R148" s="452"/>
      <c r="S148" s="452"/>
      <c r="T148" s="452"/>
      <c r="U148" s="452"/>
    </row>
    <row r="149" spans="1:21" s="376" customFormat="1" ht="0.95" hidden="1" customHeight="1" outlineLevel="1" x14ac:dyDescent="0.25">
      <c r="A149" s="374"/>
      <c r="C149" s="374"/>
      <c r="D149"/>
      <c r="K149" s="455"/>
      <c r="L149" s="455"/>
      <c r="M149" s="455"/>
      <c r="N149" s="455"/>
      <c r="O149" s="455"/>
      <c r="P149" s="455"/>
      <c r="Q149" s="455"/>
      <c r="R149" s="455"/>
      <c r="S149" s="455"/>
      <c r="T149" s="455"/>
      <c r="U149" s="455"/>
    </row>
    <row r="150" spans="1:21" s="307" customFormat="1" ht="12" hidden="1" customHeight="1" outlineLevel="1" x14ac:dyDescent="0.25">
      <c r="A150" s="304"/>
    </row>
    <row r="151" spans="1:21" s="307" customFormat="1" ht="12" hidden="1" customHeight="1" outlineLevel="1" x14ac:dyDescent="0.25">
      <c r="A151" s="380" t="s">
        <v>128</v>
      </c>
      <c r="B151" s="817" t="s">
        <v>63</v>
      </c>
    </row>
    <row r="152" spans="1:21" s="326" customFormat="1" ht="15" hidden="1" customHeight="1" outlineLevel="1" x14ac:dyDescent="0.25">
      <c r="A152" s="316"/>
      <c r="B152" s="326" t="s">
        <v>24</v>
      </c>
      <c r="C152" s="316" t="s">
        <v>11</v>
      </c>
      <c r="D152" s="444">
        <f>COUNT(L152:U152)</f>
        <v>10</v>
      </c>
      <c r="E152" s="364"/>
      <c r="F152" s="364"/>
      <c r="G152" s="364"/>
      <c r="H152" s="364"/>
      <c r="I152" s="364"/>
      <c r="J152" s="364"/>
      <c r="K152" s="365">
        <v>0</v>
      </c>
      <c r="L152" s="443">
        <f>IF(L154="N/A","",K152+1)</f>
        <v>1</v>
      </c>
      <c r="M152" s="443">
        <f t="shared" ref="M152:U152" si="90">IF(M154="N/A","",L152+1)</f>
        <v>2</v>
      </c>
      <c r="N152" s="443">
        <f t="shared" si="90"/>
        <v>3</v>
      </c>
      <c r="O152" s="443">
        <f t="shared" si="90"/>
        <v>4</v>
      </c>
      <c r="P152" s="443">
        <f t="shared" si="90"/>
        <v>5</v>
      </c>
      <c r="Q152" s="443">
        <f t="shared" si="90"/>
        <v>6</v>
      </c>
      <c r="R152" s="443">
        <f t="shared" si="90"/>
        <v>7</v>
      </c>
      <c r="S152" s="443">
        <f t="shared" si="90"/>
        <v>8</v>
      </c>
      <c r="T152" s="443">
        <f t="shared" si="90"/>
        <v>9</v>
      </c>
      <c r="U152" s="443">
        <f t="shared" si="90"/>
        <v>10</v>
      </c>
    </row>
    <row r="153" spans="1:21" s="307" customFormat="1" ht="24.95" hidden="1" customHeight="1" outlineLevel="1" x14ac:dyDescent="0.25">
      <c r="A153" s="446" t="str">
        <f>VLOOKUP(B153,'C UNIT PROG TÉCNICOS'!$B$8:$H$108,7,FALSE)</f>
        <v>OPEX</v>
      </c>
      <c r="B153" s="367" t="s">
        <v>63</v>
      </c>
      <c r="C153" s="304" t="s">
        <v>20</v>
      </c>
      <c r="D153" s="304" t="s">
        <v>19</v>
      </c>
      <c r="I153" s="369"/>
      <c r="J153" s="369"/>
      <c r="K153" s="442">
        <v>0</v>
      </c>
      <c r="L153" s="442">
        <f t="shared" ref="L153:U153" si="91">IF(OR(L109=$D$108,L109=0),$D$108,L109)</f>
        <v>5</v>
      </c>
      <c r="M153" s="442">
        <f t="shared" si="91"/>
        <v>7</v>
      </c>
      <c r="N153" s="442">
        <f t="shared" si="91"/>
        <v>7</v>
      </c>
      <c r="O153" s="442">
        <f t="shared" si="91"/>
        <v>7</v>
      </c>
      <c r="P153" s="442">
        <f t="shared" si="91"/>
        <v>7</v>
      </c>
      <c r="Q153" s="442">
        <f t="shared" si="91"/>
        <v>7</v>
      </c>
      <c r="R153" s="442">
        <f t="shared" si="91"/>
        <v>7</v>
      </c>
      <c r="S153" s="442">
        <f t="shared" si="91"/>
        <v>7</v>
      </c>
      <c r="T153" s="442">
        <f t="shared" si="91"/>
        <v>7</v>
      </c>
      <c r="U153" s="442">
        <f t="shared" si="91"/>
        <v>7</v>
      </c>
    </row>
    <row r="154" spans="1:21" s="307" customFormat="1" ht="12" hidden="1" customHeight="1" outlineLevel="1" x14ac:dyDescent="0.25">
      <c r="A154" s="316"/>
      <c r="B154" s="813" t="s">
        <v>742</v>
      </c>
      <c r="D154" s="447" t="str">
        <f>IF(A153="CAPEX","Inversión",IF(A153="OPEX","Operación","I/O"))</f>
        <v>Operación</v>
      </c>
      <c r="I154" s="370"/>
      <c r="J154" s="370"/>
      <c r="K154" s="371" t="s">
        <v>8</v>
      </c>
      <c r="L154" s="371" t="s">
        <v>8</v>
      </c>
      <c r="M154" s="371" t="s">
        <v>8</v>
      </c>
      <c r="N154" s="371" t="s">
        <v>8</v>
      </c>
      <c r="O154" s="371" t="s">
        <v>8</v>
      </c>
      <c r="P154" s="371" t="s">
        <v>8</v>
      </c>
      <c r="Q154" s="371" t="s">
        <v>8</v>
      </c>
      <c r="R154" s="371" t="s">
        <v>8</v>
      </c>
      <c r="S154" s="371" t="s">
        <v>8</v>
      </c>
      <c r="T154" s="371" t="s">
        <v>8</v>
      </c>
      <c r="U154" s="371" t="s">
        <v>8</v>
      </c>
    </row>
    <row r="155" spans="1:21" s="307" customFormat="1" ht="12" hidden="1" customHeight="1" outlineLevel="1" x14ac:dyDescent="0.25">
      <c r="A155" s="316"/>
      <c r="B155" s="307" t="s">
        <v>762</v>
      </c>
      <c r="C155" s="304"/>
      <c r="D155" s="304"/>
      <c r="K155" s="448">
        <f>IF(K154="N/A",0,IF(K154="SI",0,SUM(IF($D154="Inversión",0,VLOOKUP($B153,'C UNIT PROG TÉCNICOS'!$B$8:$G$160,6,FALSE)*'EV PROG TÉCNICOS'!K153))))</f>
        <v>0</v>
      </c>
      <c r="L155" s="448">
        <f>IF(L154="N/A",0,IF(L154="SI",0,SUM(IF($D154="Inversión",0,VLOOKUP($B153,'C UNIT PROG TÉCNICOS'!$B$8:$G$160,6,FALSE)*'EV PROG TÉCNICOS'!L153))))</f>
        <v>2.3212995565150591</v>
      </c>
      <c r="M155" s="448">
        <f>IF(M154="N/A",0,IF(M154="SI",0,SUM(IF($D154="Inversión",0,VLOOKUP($B153,'C UNIT PROG TÉCNICOS'!$B$8:$G$160,6,FALSE)*'EV PROG TÉCNICOS'!M153))))</f>
        <v>3.249819379121083</v>
      </c>
      <c r="N155" s="448">
        <f>IF(N154="N/A",0,IF(N154="SI",0,SUM(IF($D154="Inversión",0,VLOOKUP($B153,'C UNIT PROG TÉCNICOS'!$B$8:$G$160,6,FALSE)*'EV PROG TÉCNICOS'!N153))))</f>
        <v>3.249819379121083</v>
      </c>
      <c r="O155" s="448">
        <f>IF(O154="N/A",0,IF(O154="SI",0,SUM(IF($D154="Inversión",0,VLOOKUP($B153,'C UNIT PROG TÉCNICOS'!$B$8:$G$160,6,FALSE)*'EV PROG TÉCNICOS'!O153))))</f>
        <v>3.249819379121083</v>
      </c>
      <c r="P155" s="448">
        <f>IF(P154="N/A",0,IF(P154="SI",0,SUM(IF($D154="Inversión",0,VLOOKUP($B153,'C UNIT PROG TÉCNICOS'!$B$8:$G$160,6,FALSE)*'EV PROG TÉCNICOS'!P153))))</f>
        <v>3.249819379121083</v>
      </c>
      <c r="Q155" s="448">
        <f>IF(Q154="N/A",0,IF(Q154="SI",0,SUM(IF($D154="Inversión",0,VLOOKUP($B153,'C UNIT PROG TÉCNICOS'!$B$8:$G$160,6,FALSE)*'EV PROG TÉCNICOS'!Q153))))</f>
        <v>3.249819379121083</v>
      </c>
      <c r="R155" s="448">
        <f>IF(R154="N/A",0,IF(R154="SI",0,SUM(IF($D154="Inversión",0,VLOOKUP($B153,'C UNIT PROG TÉCNICOS'!$B$8:$G$160,6,FALSE)*'EV PROG TÉCNICOS'!R153))))</f>
        <v>3.249819379121083</v>
      </c>
      <c r="S155" s="448">
        <f>IF(S154="N/A",0,IF(S154="SI",0,SUM(IF($D154="Inversión",0,VLOOKUP($B153,'C UNIT PROG TÉCNICOS'!$B$8:$G$160,6,FALSE)*'EV PROG TÉCNICOS'!S153))))</f>
        <v>3.249819379121083</v>
      </c>
      <c r="T155" s="448">
        <f>IF(T154="N/A",0,IF(T154="SI",0,SUM(IF($D154="Inversión",0,VLOOKUP($B153,'C UNIT PROG TÉCNICOS'!$B$8:$G$160,6,FALSE)*'EV PROG TÉCNICOS'!T153))))</f>
        <v>3.249819379121083</v>
      </c>
      <c r="U155" s="448">
        <f>IF(U154="N/A",0,IF(U154="SI",0,SUM(IF($D154="Inversión",0,VLOOKUP($B153,'C UNIT PROG TÉCNICOS'!$B$8:$G$160,6,FALSE)*'EV PROG TÉCNICOS'!U153))))</f>
        <v>3.249819379121083</v>
      </c>
    </row>
    <row r="156" spans="1:21" s="307" customFormat="1" ht="12" hidden="1" customHeight="1" outlineLevel="1" x14ac:dyDescent="0.25">
      <c r="A156" s="316"/>
      <c r="B156" s="307" t="s">
        <v>763</v>
      </c>
      <c r="C156" s="304" t="s">
        <v>6</v>
      </c>
      <c r="D156" s="304"/>
      <c r="K156" s="450">
        <f>IF(K154="N/A",0,IF(K154="SI",0,K$21*K155))</f>
        <v>0</v>
      </c>
      <c r="L156" s="450">
        <f>IF(L154="N/A",0,IF(L154="SI",0,L$21*L155))</f>
        <v>4064374.9999999995</v>
      </c>
      <c r="M156" s="450">
        <f t="shared" ref="M156:U156" si="92">IF(M154="N/A",0,IF(M154="SI",0,M$21*M155))</f>
        <v>6013322.9619749999</v>
      </c>
      <c r="N156" s="450">
        <f t="shared" si="92"/>
        <v>6354878.5035505882</v>
      </c>
      <c r="O156" s="450">
        <f t="shared" si="92"/>
        <v>6715834.3315765606</v>
      </c>
      <c r="P156" s="450">
        <f t="shared" si="92"/>
        <v>7097292.378443243</v>
      </c>
      <c r="Q156" s="450">
        <f t="shared" si="92"/>
        <v>7500417.1660803435</v>
      </c>
      <c r="R156" s="450">
        <f t="shared" si="92"/>
        <v>7926439.3610302741</v>
      </c>
      <c r="S156" s="450">
        <f t="shared" si="92"/>
        <v>8376659.5314489212</v>
      </c>
      <c r="T156" s="450">
        <f t="shared" si="92"/>
        <v>8852452.1175033133</v>
      </c>
      <c r="U156" s="450">
        <f t="shared" si="92"/>
        <v>9355269.6272870805</v>
      </c>
    </row>
    <row r="157" spans="1:21" s="307" customFormat="1" ht="12" hidden="1" customHeight="1" outlineLevel="1" x14ac:dyDescent="0.25">
      <c r="A157" s="316"/>
      <c r="B157" s="307" t="s">
        <v>764</v>
      </c>
      <c r="C157" s="304" t="s">
        <v>6</v>
      </c>
      <c r="K157" s="450">
        <f>IF(K154="N/A",0,IF(K154="SI",0,IF(OR($D154="Inversión",$D154="I/O"),SUM(VLOOKUP($B153,'C UNIT PROG TÉCNICOS'!$B$8:$G$160,5,FALSE)*'EV PROG TÉCNICOS'!K153),0)))</f>
        <v>0</v>
      </c>
      <c r="L157" s="450">
        <f>IF(L154="N/A",0,IF(L154="SI",0,IF(OR($D154="Inversión",$D154="I/O"),SUM(VLOOKUP($B153,'C UNIT PROG TÉCNICOS'!$B$8:$G$160,5,FALSE)*'EV PROG TÉCNICOS'!L153),0))*((1+$D$24)^(L$3-$K$3)))</f>
        <v>0</v>
      </c>
      <c r="M157" s="450">
        <f>IF(M154="N/A",0,IF(M154="SI",0,IF(OR($D154="Inversión",$D154="I/O"),SUM(VLOOKUP($B153,'C UNIT PROG TÉCNICOS'!$B$8:$G$160,5,FALSE)*'EV PROG TÉCNICOS'!M153),0))*((1+$D$24)^(M$3-$K$3)))</f>
        <v>0</v>
      </c>
      <c r="N157" s="450">
        <f>IF(N154="N/A",0,IF(N154="SI",0,IF(OR($D154="Inversión",$D154="I/O"),SUM(VLOOKUP($B153,'C UNIT PROG TÉCNICOS'!$B$8:$G$160,5,FALSE)*'EV PROG TÉCNICOS'!N153),0))*((1+$D$24)^(N$3-$K$3)))</f>
        <v>0</v>
      </c>
      <c r="O157" s="450">
        <f>IF(O154="N/A",0,IF(O154="SI",0,IF(OR($D154="Inversión",$D154="I/O"),SUM(VLOOKUP($B153,'C UNIT PROG TÉCNICOS'!$B$8:$G$160,5,FALSE)*'EV PROG TÉCNICOS'!O153),0))*((1+$D$24)^(O$3-$K$3)))</f>
        <v>0</v>
      </c>
      <c r="P157" s="450">
        <f>IF(P154="N/A",0,IF(P154="SI",0,IF(OR($D154="Inversión",$D154="I/O"),SUM(VLOOKUP($B153,'C UNIT PROG TÉCNICOS'!$B$8:$G$160,5,FALSE)*'EV PROG TÉCNICOS'!P153),0))*((1+$D$24)^(P$3-$K$3)))</f>
        <v>0</v>
      </c>
      <c r="Q157" s="450">
        <f>IF(Q154="N/A",0,IF(Q154="SI",0,IF(OR($D154="Inversión",$D154="I/O"),SUM(VLOOKUP($B153,'C UNIT PROG TÉCNICOS'!$B$8:$G$160,5,FALSE)*'EV PROG TÉCNICOS'!Q153),0))*((1+$D$24)^(Q$3-$K$3)))</f>
        <v>0</v>
      </c>
      <c r="R157" s="450">
        <f>IF(R154="N/A",0,IF(R154="SI",0,IF(OR($D154="Inversión",$D154="I/O"),SUM(VLOOKUP($B153,'C UNIT PROG TÉCNICOS'!$B$8:$G$160,5,FALSE)*'EV PROG TÉCNICOS'!R153),0))*((1+$D$24)^(R$3-$K$3)))</f>
        <v>0</v>
      </c>
      <c r="S157" s="450">
        <f>IF(S154="N/A",0,IF(S154="SI",0,IF(OR($D154="Inversión",$D154="I/O"),SUM(VLOOKUP($B153,'C UNIT PROG TÉCNICOS'!$B$8:$G$160,5,FALSE)*'EV PROG TÉCNICOS'!S153),0))*((1+$D$24)^(S$3-$K$3)))</f>
        <v>0</v>
      </c>
      <c r="T157" s="450">
        <f>IF(T154="N/A",0,IF(T154="SI",0,IF(OR($D154="Inversión",$D154="I/O"),SUM(VLOOKUP($B153,'C UNIT PROG TÉCNICOS'!$B$8:$G$160,5,FALSE)*'EV PROG TÉCNICOS'!T153),0))*((1+$D$24)^(T$3-$K$3)))</f>
        <v>0</v>
      </c>
      <c r="U157" s="450">
        <f>IF(U154="N/A",0,IF(U154="SI",0,IF(OR($D154="Inversión",$D154="I/O"),SUM(VLOOKUP($B153,'C UNIT PROG TÉCNICOS'!$B$8:$G$160,5,FALSE)*'EV PROG TÉCNICOS'!U153),0))*((1+$D$24)^(U$3-$K$3)))</f>
        <v>0</v>
      </c>
    </row>
    <row r="158" spans="1:21" s="376" customFormat="1" ht="24.95" hidden="1" customHeight="1" outlineLevel="1" x14ac:dyDescent="0.25">
      <c r="A158" s="374"/>
      <c r="B158" s="454" t="str">
        <f>CONCATENATE("VNA ",B151)</f>
        <v>VNA Análisis de datos</v>
      </c>
      <c r="C158" s="374" t="s">
        <v>6</v>
      </c>
      <c r="D158" s="453">
        <f>NPV($D$31,L158:U158)+K158</f>
        <v>31647410.397417612</v>
      </c>
      <c r="K158" s="452">
        <f>IF(K155=0,0,IF($D154="Operación",K156,K157))</f>
        <v>0</v>
      </c>
      <c r="L158" s="452">
        <f>IF(L154="N/A",0,IF($D154="Operación",L156,L157))</f>
        <v>4064374.9999999995</v>
      </c>
      <c r="M158" s="452">
        <f t="shared" ref="M158:U158" si="93">IF(M154="N/A",0,IF($D154="Operación",M156,M157))</f>
        <v>6013322.9619749999</v>
      </c>
      <c r="N158" s="452">
        <f t="shared" si="93"/>
        <v>6354878.5035505882</v>
      </c>
      <c r="O158" s="452">
        <f t="shared" si="93"/>
        <v>6715834.3315765606</v>
      </c>
      <c r="P158" s="452">
        <f t="shared" si="93"/>
        <v>7097292.378443243</v>
      </c>
      <c r="Q158" s="452">
        <f t="shared" si="93"/>
        <v>7500417.1660803435</v>
      </c>
      <c r="R158" s="452">
        <f t="shared" si="93"/>
        <v>7926439.3610302741</v>
      </c>
      <c r="S158" s="452">
        <f t="shared" si="93"/>
        <v>8376659.5314489212</v>
      </c>
      <c r="T158" s="452">
        <f t="shared" si="93"/>
        <v>8852452.1175033133</v>
      </c>
      <c r="U158" s="452">
        <f t="shared" si="93"/>
        <v>9355269.6272870805</v>
      </c>
    </row>
    <row r="159" spans="1:21" s="376" customFormat="1" ht="0.95" hidden="1" customHeight="1" outlineLevel="1" x14ac:dyDescent="0.25">
      <c r="A159" s="374"/>
      <c r="B159" s="454"/>
      <c r="C159" s="374"/>
      <c r="D159" s="374"/>
      <c r="K159" s="377"/>
      <c r="L159" s="377"/>
      <c r="M159" s="377"/>
      <c r="N159" s="377"/>
      <c r="O159" s="377"/>
      <c r="P159" s="377"/>
      <c r="Q159" s="377"/>
      <c r="R159" s="377"/>
      <c r="S159" s="377"/>
      <c r="T159" s="377"/>
      <c r="U159" s="377"/>
    </row>
    <row r="160" spans="1:21" s="376" customFormat="1" ht="0.95" hidden="1" customHeight="1" outlineLevel="1" x14ac:dyDescent="0.25">
      <c r="A160" s="374"/>
      <c r="C160" s="374"/>
      <c r="D160" s="453"/>
      <c r="K160" s="452"/>
      <c r="L160" s="452"/>
      <c r="M160" s="452"/>
      <c r="N160" s="452"/>
      <c r="O160" s="452"/>
      <c r="P160" s="452"/>
      <c r="Q160" s="452"/>
      <c r="R160" s="452"/>
      <c r="S160" s="452"/>
      <c r="T160" s="452"/>
      <c r="U160" s="452"/>
    </row>
    <row r="161" spans="1:21" s="376" customFormat="1" ht="0.95" hidden="1" customHeight="1" outlineLevel="1" x14ac:dyDescent="0.25">
      <c r="A161" s="374"/>
      <c r="C161" s="374"/>
      <c r="D161"/>
      <c r="K161" s="455"/>
      <c r="L161" s="455"/>
      <c r="M161" s="455"/>
      <c r="N161" s="455"/>
      <c r="O161" s="455"/>
      <c r="P161" s="455"/>
      <c r="Q161" s="455"/>
      <c r="R161" s="455"/>
      <c r="S161" s="455"/>
      <c r="T161" s="455"/>
      <c r="U161" s="455"/>
    </row>
    <row r="162" spans="1:21" s="326" customFormat="1" ht="15" hidden="1" customHeight="1" outlineLevel="1" x14ac:dyDescent="0.2">
      <c r="A162" s="316"/>
      <c r="C162" s="316"/>
      <c r="D162" s="297"/>
      <c r="K162" s="297"/>
      <c r="L162" s="297"/>
      <c r="M162" s="297"/>
      <c r="N162" s="297"/>
      <c r="O162" s="297"/>
      <c r="P162" s="297"/>
      <c r="Q162" s="297"/>
      <c r="R162" s="297"/>
      <c r="S162" s="297"/>
      <c r="T162" s="297"/>
      <c r="U162" s="297"/>
    </row>
    <row r="163" spans="1:21" s="307" customFormat="1" ht="12" hidden="1" customHeight="1" outlineLevel="1" x14ac:dyDescent="0.25">
      <c r="A163" s="380" t="s">
        <v>129</v>
      </c>
      <c r="B163" s="358" t="s">
        <v>26</v>
      </c>
      <c r="D163" s="304" t="s">
        <v>19</v>
      </c>
    </row>
    <row r="164" spans="1:21" s="326" customFormat="1" ht="15" hidden="1" customHeight="1" outlineLevel="1" x14ac:dyDescent="0.25">
      <c r="A164" s="316"/>
      <c r="B164" s="326" t="s">
        <v>24</v>
      </c>
      <c r="C164" s="316" t="s">
        <v>11</v>
      </c>
      <c r="D164" s="444">
        <f>COUNT(L164:U164)</f>
        <v>10</v>
      </c>
      <c r="E164" s="364"/>
      <c r="F164" s="364"/>
      <c r="G164" s="364"/>
      <c r="H164" s="364"/>
      <c r="I164" s="364"/>
      <c r="J164" s="364"/>
      <c r="K164" s="365">
        <v>0</v>
      </c>
      <c r="L164" s="443">
        <f>IF(L166="N/A","",K164+1)</f>
        <v>1</v>
      </c>
      <c r="M164" s="443">
        <f t="shared" ref="M164:U164" si="94">IF(M166="N/A","",L164+1)</f>
        <v>2</v>
      </c>
      <c r="N164" s="443">
        <f t="shared" si="94"/>
        <v>3</v>
      </c>
      <c r="O164" s="443">
        <f t="shared" si="94"/>
        <v>4</v>
      </c>
      <c r="P164" s="443">
        <f t="shared" si="94"/>
        <v>5</v>
      </c>
      <c r="Q164" s="443">
        <f t="shared" si="94"/>
        <v>6</v>
      </c>
      <c r="R164" s="443">
        <f t="shared" si="94"/>
        <v>7</v>
      </c>
      <c r="S164" s="443">
        <f t="shared" si="94"/>
        <v>8</v>
      </c>
      <c r="T164" s="443">
        <f t="shared" si="94"/>
        <v>9</v>
      </c>
      <c r="U164" s="443">
        <f t="shared" si="94"/>
        <v>10</v>
      </c>
    </row>
    <row r="165" spans="1:21" s="307" customFormat="1" ht="24.95" hidden="1" customHeight="1" outlineLevel="1" x14ac:dyDescent="0.25">
      <c r="A165" s="446" t="str">
        <f>VLOOKUP(B165,'C UNIT PROG TÉCNICOS'!$B$8:$H$108,7,FALSE)</f>
        <v>OPEX</v>
      </c>
      <c r="B165" s="367" t="s">
        <v>27</v>
      </c>
      <c r="C165" s="304" t="s">
        <v>20</v>
      </c>
      <c r="D165" s="304"/>
      <c r="I165" s="369"/>
      <c r="J165" s="369"/>
      <c r="K165" s="442">
        <v>0</v>
      </c>
      <c r="L165" s="442">
        <f t="shared" ref="L165:U165" si="95">IF(OR(K109=$D$108,K116="N/A"),$D$108,K109)</f>
        <v>5</v>
      </c>
      <c r="M165" s="442">
        <f t="shared" si="95"/>
        <v>5</v>
      </c>
      <c r="N165" s="442">
        <f t="shared" si="95"/>
        <v>7</v>
      </c>
      <c r="O165" s="442">
        <f t="shared" si="95"/>
        <v>7</v>
      </c>
      <c r="P165" s="442">
        <f t="shared" si="95"/>
        <v>7</v>
      </c>
      <c r="Q165" s="442">
        <f t="shared" si="95"/>
        <v>7</v>
      </c>
      <c r="R165" s="442">
        <f t="shared" si="95"/>
        <v>7</v>
      </c>
      <c r="S165" s="442">
        <f t="shared" si="95"/>
        <v>7</v>
      </c>
      <c r="T165" s="442">
        <f t="shared" si="95"/>
        <v>7</v>
      </c>
      <c r="U165" s="442">
        <f t="shared" si="95"/>
        <v>7</v>
      </c>
    </row>
    <row r="166" spans="1:21" s="307" customFormat="1" ht="12" hidden="1" customHeight="1" outlineLevel="1" x14ac:dyDescent="0.25">
      <c r="A166" s="366"/>
      <c r="B166" s="813" t="s">
        <v>742</v>
      </c>
      <c r="D166" s="447" t="str">
        <f>IF(A165="CAPEX","Inversión",IF(A165="OPEX","Operación","I/O"))</f>
        <v>Operación</v>
      </c>
      <c r="I166" s="370"/>
      <c r="J166" s="370"/>
      <c r="K166" s="371" t="s">
        <v>8</v>
      </c>
      <c r="L166" s="371" t="s">
        <v>8</v>
      </c>
      <c r="M166" s="371" t="s">
        <v>8</v>
      </c>
      <c r="N166" s="371" t="s">
        <v>8</v>
      </c>
      <c r="O166" s="371" t="s">
        <v>8</v>
      </c>
      <c r="P166" s="371" t="s">
        <v>8</v>
      </c>
      <c r="Q166" s="371" t="s">
        <v>8</v>
      </c>
      <c r="R166" s="371" t="s">
        <v>8</v>
      </c>
      <c r="S166" s="371" t="s">
        <v>8</v>
      </c>
      <c r="T166" s="371" t="s">
        <v>8</v>
      </c>
      <c r="U166" s="371" t="s">
        <v>8</v>
      </c>
    </row>
    <row r="167" spans="1:21" s="307" customFormat="1" ht="12" hidden="1" customHeight="1" outlineLevel="1" x14ac:dyDescent="0.25">
      <c r="A167" s="316"/>
      <c r="B167" s="307" t="s">
        <v>762</v>
      </c>
      <c r="C167" s="304"/>
      <c r="D167" s="304"/>
      <c r="K167" s="448">
        <f>IF(K166="N/A",0,IF(K166="SI",0,SUM(IF($D166="Inversión",0,VLOOKUP($B165,'C UNIT PROG TÉCNICOS'!$B$8:$G$160,6,FALSE)*'EV PROG TÉCNICOS'!K165))))</f>
        <v>0</v>
      </c>
      <c r="L167" s="448">
        <f>IF(L166="N/A",0,IF(L166="SI",0,SUM(IF($D166="Inversión",0,VLOOKUP($B165,'C UNIT PROG TÉCNICOS'!$B$8:$G$160,6,FALSE)*'EV PROG TÉCNICOS'!L165))))</f>
        <v>4.4350566018716036</v>
      </c>
      <c r="M167" s="448">
        <f>IF(M166="N/A",0,IF(M166="SI",0,SUM(IF($D166="Inversión",0,VLOOKUP($B165,'C UNIT PROG TÉCNICOS'!$B$8:$G$160,6,FALSE)*'EV PROG TÉCNICOS'!M165))))</f>
        <v>4.4350566018716036</v>
      </c>
      <c r="N167" s="448">
        <f>IF(N166="N/A",0,IF(N166="SI",0,SUM(IF($D166="Inversión",0,VLOOKUP($B165,'C UNIT PROG TÉCNICOS'!$B$8:$G$160,6,FALSE)*'EV PROG TÉCNICOS'!N165))))</f>
        <v>6.2090792426202448</v>
      </c>
      <c r="O167" s="448">
        <f>IF(O166="N/A",0,IF(O166="SI",0,SUM(IF($D166="Inversión",0,VLOOKUP($B165,'C UNIT PROG TÉCNICOS'!$B$8:$G$160,6,FALSE)*'EV PROG TÉCNICOS'!O165))))</f>
        <v>6.2090792426202448</v>
      </c>
      <c r="P167" s="448">
        <f>IF(P166="N/A",0,IF(P166="SI",0,SUM(IF($D166="Inversión",0,VLOOKUP($B165,'C UNIT PROG TÉCNICOS'!$B$8:$G$160,6,FALSE)*'EV PROG TÉCNICOS'!P165))))</f>
        <v>6.2090792426202448</v>
      </c>
      <c r="Q167" s="448">
        <f>IF(Q166="N/A",0,IF(Q166="SI",0,SUM(IF($D166="Inversión",0,VLOOKUP($B165,'C UNIT PROG TÉCNICOS'!$B$8:$G$160,6,FALSE)*'EV PROG TÉCNICOS'!Q165))))</f>
        <v>6.2090792426202448</v>
      </c>
      <c r="R167" s="448">
        <f>IF(R166="N/A",0,IF(R166="SI",0,SUM(IF($D166="Inversión",0,VLOOKUP($B165,'C UNIT PROG TÉCNICOS'!$B$8:$G$160,6,FALSE)*'EV PROG TÉCNICOS'!R165))))</f>
        <v>6.2090792426202448</v>
      </c>
      <c r="S167" s="448">
        <f>IF(S166="N/A",0,IF(S166="SI",0,SUM(IF($D166="Inversión",0,VLOOKUP($B165,'C UNIT PROG TÉCNICOS'!$B$8:$G$160,6,FALSE)*'EV PROG TÉCNICOS'!S165))))</f>
        <v>6.2090792426202448</v>
      </c>
      <c r="T167" s="448">
        <f>IF(T166="N/A",0,IF(T166="SI",0,SUM(IF($D166="Inversión",0,VLOOKUP($B165,'C UNIT PROG TÉCNICOS'!$B$8:$G$160,6,FALSE)*'EV PROG TÉCNICOS'!T165))))</f>
        <v>6.2090792426202448</v>
      </c>
      <c r="U167" s="448">
        <f>IF(U166="N/A",0,IF(U166="SI",0,SUM(IF($D166="Inversión",0,VLOOKUP($B165,'C UNIT PROG TÉCNICOS'!$B$8:$G$160,6,FALSE)*'EV PROG TÉCNICOS'!U165))))</f>
        <v>6.2090792426202448</v>
      </c>
    </row>
    <row r="168" spans="1:21" s="307" customFormat="1" ht="12" hidden="1" customHeight="1" outlineLevel="1" x14ac:dyDescent="0.25">
      <c r="A168" s="316"/>
      <c r="B168" s="307" t="s">
        <v>763</v>
      </c>
      <c r="C168" s="304" t="s">
        <v>6</v>
      </c>
      <c r="D168" s="304"/>
      <c r="K168" s="450">
        <f>IF(K166="N/A",0,IF(K166="SI",0,K$21*K167))</f>
        <v>0</v>
      </c>
      <c r="L168" s="450">
        <f>IF(L166="N/A",0,IF(L166="SI",0,L$21*L167))</f>
        <v>7765362.7795000002</v>
      </c>
      <c r="M168" s="450">
        <f t="shared" ref="M168:U168" si="96">IF(M166="N/A",0,IF(M166="SI",0,M$21*M167))</f>
        <v>8206433.8323030444</v>
      </c>
      <c r="N168" s="450">
        <f t="shared" si="96"/>
        <v>12141580.685767528</v>
      </c>
      <c r="O168" s="450">
        <f t="shared" si="96"/>
        <v>12831220.040402986</v>
      </c>
      <c r="P168" s="450">
        <f t="shared" si="96"/>
        <v>13560030.772453869</v>
      </c>
      <c r="Q168" s="450">
        <f t="shared" si="96"/>
        <v>14330237.808323093</v>
      </c>
      <c r="R168" s="450">
        <f t="shared" si="96"/>
        <v>15144192.449788284</v>
      </c>
      <c r="S168" s="450">
        <f t="shared" si="96"/>
        <v>16004379.552097768</v>
      </c>
      <c r="T168" s="450">
        <f t="shared" si="96"/>
        <v>16913425.109781012</v>
      </c>
      <c r="U168" s="450">
        <f t="shared" si="96"/>
        <v>17874104.273331553</v>
      </c>
    </row>
    <row r="169" spans="1:21" s="307" customFormat="1" ht="12" hidden="1" customHeight="1" outlineLevel="1" x14ac:dyDescent="0.25">
      <c r="A169" s="316"/>
      <c r="B169" s="307" t="s">
        <v>764</v>
      </c>
      <c r="C169" s="304" t="s">
        <v>6</v>
      </c>
      <c r="K169" s="450">
        <f>IF(K166="N/A",0,IF(K166="SI",0,IF(OR($D166="Inversión",$D166="I/O"),SUM(VLOOKUP($B165,'C UNIT PROG TÉCNICOS'!$B$8:$G$160,5,FALSE)*'EV PROG TÉCNICOS'!K165),0)))</f>
        <v>0</v>
      </c>
      <c r="L169" s="450">
        <f>IF(L166="N/A",0,IF(L166="SI",0,IF(OR($D166="Inversión",$D166="I/O"),SUM(VLOOKUP($B165,'C UNIT PROG TÉCNICOS'!$B$8:$G$160,5,FALSE)*'EV PROG TÉCNICOS'!L165),0))*((1+$D$24)^(L$3-$K$3)))</f>
        <v>0</v>
      </c>
      <c r="M169" s="450">
        <f>IF(M166="N/A",0,IF(M166="SI",0,IF(OR($D166="Inversión",$D166="I/O"),SUM(VLOOKUP($B165,'C UNIT PROG TÉCNICOS'!$B$8:$G$160,5,FALSE)*'EV PROG TÉCNICOS'!M165),0))*((1+$D$24)^(M$3-$K$3)))</f>
        <v>0</v>
      </c>
      <c r="N169" s="450">
        <f>IF(N166="N/A",0,IF(N166="SI",0,IF(OR($D166="Inversión",$D166="I/O"),SUM(VLOOKUP($B165,'C UNIT PROG TÉCNICOS'!$B$8:$G$160,5,FALSE)*'EV PROG TÉCNICOS'!N165),0))*((1+$D$24)^(N$3-$K$3)))</f>
        <v>0</v>
      </c>
      <c r="O169" s="450">
        <f>IF(O166="N/A",0,IF(O166="SI",0,IF(OR($D166="Inversión",$D166="I/O"),SUM(VLOOKUP($B165,'C UNIT PROG TÉCNICOS'!$B$8:$G$160,5,FALSE)*'EV PROG TÉCNICOS'!O165),0))*((1+$D$24)^(O$3-$K$3)))</f>
        <v>0</v>
      </c>
      <c r="P169" s="450">
        <f>IF(P166="N/A",0,IF(P166="SI",0,IF(OR($D166="Inversión",$D166="I/O"),SUM(VLOOKUP($B165,'C UNIT PROG TÉCNICOS'!$B$8:$G$160,5,FALSE)*'EV PROG TÉCNICOS'!P165),0))*((1+$D$24)^(P$3-$K$3)))</f>
        <v>0</v>
      </c>
      <c r="Q169" s="450">
        <f>IF(Q166="N/A",0,IF(Q166="SI",0,IF(OR($D166="Inversión",$D166="I/O"),SUM(VLOOKUP($B165,'C UNIT PROG TÉCNICOS'!$B$8:$G$160,5,FALSE)*'EV PROG TÉCNICOS'!Q165),0))*((1+$D$24)^(Q$3-$K$3)))</f>
        <v>0</v>
      </c>
      <c r="R169" s="450">
        <f>IF(R166="N/A",0,IF(R166="SI",0,IF(OR($D166="Inversión",$D166="I/O"),SUM(VLOOKUP($B165,'C UNIT PROG TÉCNICOS'!$B$8:$G$160,5,FALSE)*'EV PROG TÉCNICOS'!R165),0))*((1+$D$24)^(R$3-$K$3)))</f>
        <v>0</v>
      </c>
      <c r="S169" s="450">
        <f>IF(S166="N/A",0,IF(S166="SI",0,IF(OR($D166="Inversión",$D166="I/O"),SUM(VLOOKUP($B165,'C UNIT PROG TÉCNICOS'!$B$8:$G$160,5,FALSE)*'EV PROG TÉCNICOS'!S165),0))*((1+$D$24)^(S$3-$K$3)))</f>
        <v>0</v>
      </c>
      <c r="T169" s="450">
        <f>IF(T166="N/A",0,IF(T166="SI",0,IF(OR($D166="Inversión",$D166="I/O"),SUM(VLOOKUP($B165,'C UNIT PROG TÉCNICOS'!$B$8:$G$160,5,FALSE)*'EV PROG TÉCNICOS'!T165),0))*((1+$D$24)^(T$3-$K$3)))</f>
        <v>0</v>
      </c>
      <c r="U169" s="450">
        <f>IF(U166="N/A",0,IF(U166="SI",0,IF(OR($D166="Inversión",$D166="I/O"),SUM(VLOOKUP($B165,'C UNIT PROG TÉCNICOS'!$B$8:$G$160,5,FALSE)*'EV PROG TÉCNICOS'!U165),0))*((1+$D$24)^(U$3-$K$3)))</f>
        <v>0</v>
      </c>
    </row>
    <row r="170" spans="1:21" s="376" customFormat="1" ht="24.95" hidden="1" customHeight="1" outlineLevel="1" x14ac:dyDescent="0.25">
      <c r="A170" s="374"/>
      <c r="B170" s="454" t="str">
        <f>CONCATENATE("VNA ",B163)</f>
        <v>VNA Verificación metrológica</v>
      </c>
      <c r="C170" s="374" t="s">
        <v>6</v>
      </c>
      <c r="D170" s="453">
        <f>NPV($D$31,L170:U170)+K170</f>
        <v>58037402.179721832</v>
      </c>
      <c r="K170" s="452">
        <f>IF(K166="N/A",0,IF($D166="Operación",K168,K169))</f>
        <v>0</v>
      </c>
      <c r="L170" s="452">
        <f>IF(L166="N/A",0,IF($D166="Operación",L168,L169))</f>
        <v>7765362.7795000002</v>
      </c>
      <c r="M170" s="452">
        <f t="shared" ref="M170:U170" si="97">IF(M166="N/A",0,IF($D166="Operación",M168,M169))</f>
        <v>8206433.8323030444</v>
      </c>
      <c r="N170" s="452">
        <f t="shared" si="97"/>
        <v>12141580.685767528</v>
      </c>
      <c r="O170" s="452">
        <f t="shared" si="97"/>
        <v>12831220.040402986</v>
      </c>
      <c r="P170" s="452">
        <f t="shared" si="97"/>
        <v>13560030.772453869</v>
      </c>
      <c r="Q170" s="452">
        <f t="shared" si="97"/>
        <v>14330237.808323093</v>
      </c>
      <c r="R170" s="452">
        <f t="shared" si="97"/>
        <v>15144192.449788284</v>
      </c>
      <c r="S170" s="452">
        <f t="shared" si="97"/>
        <v>16004379.552097768</v>
      </c>
      <c r="T170" s="452">
        <f t="shared" si="97"/>
        <v>16913425.109781012</v>
      </c>
      <c r="U170" s="452">
        <f t="shared" si="97"/>
        <v>17874104.273331553</v>
      </c>
    </row>
    <row r="171" spans="1:21" s="376" customFormat="1" ht="0.95" hidden="1" customHeight="1" outlineLevel="1" x14ac:dyDescent="0.25">
      <c r="A171" s="374"/>
      <c r="B171" s="454"/>
      <c r="C171" s="374"/>
      <c r="D171" s="374"/>
      <c r="K171" s="378"/>
      <c r="L171" s="378"/>
      <c r="M171" s="378"/>
      <c r="N171" s="378"/>
      <c r="O171" s="378"/>
      <c r="P171" s="378"/>
      <c r="Q171" s="378"/>
      <c r="R171" s="378"/>
      <c r="S171" s="378"/>
      <c r="T171" s="378"/>
      <c r="U171" s="378"/>
    </row>
    <row r="172" spans="1:21" s="376" customFormat="1" ht="0.95" hidden="1" customHeight="1" outlineLevel="1" x14ac:dyDescent="0.25">
      <c r="A172" s="374"/>
      <c r="C172" s="374"/>
      <c r="D172" s="453"/>
      <c r="K172" s="452"/>
      <c r="L172" s="452"/>
      <c r="M172" s="452"/>
      <c r="N172" s="452"/>
      <c r="O172" s="452"/>
      <c r="P172" s="452"/>
      <c r="Q172" s="452"/>
      <c r="R172" s="452"/>
      <c r="S172" s="452"/>
      <c r="T172" s="452"/>
      <c r="U172" s="452"/>
    </row>
    <row r="173" spans="1:21" s="376" customFormat="1" ht="0.75" hidden="1" customHeight="1" outlineLevel="1" x14ac:dyDescent="0.25">
      <c r="A173" s="374"/>
      <c r="C173" s="374"/>
      <c r="D173"/>
      <c r="K173" s="455"/>
      <c r="L173" s="455"/>
      <c r="M173" s="455"/>
      <c r="N173" s="455"/>
      <c r="O173" s="455"/>
      <c r="P173" s="455"/>
      <c r="Q173" s="455"/>
      <c r="R173" s="455"/>
      <c r="S173" s="455"/>
      <c r="T173" s="455"/>
      <c r="U173" s="455"/>
    </row>
    <row r="174" spans="1:21" s="307" customFormat="1" ht="12" hidden="1" customHeight="1" outlineLevel="1" x14ac:dyDescent="0.2">
      <c r="A174" s="316"/>
      <c r="B174" s="308"/>
      <c r="C174" s="304"/>
      <c r="D174" s="304"/>
      <c r="K174" s="373"/>
      <c r="L174" s="373"/>
      <c r="M174" s="373"/>
      <c r="N174" s="373"/>
      <c r="O174" s="373"/>
      <c r="P174" s="373"/>
      <c r="Q174" s="373"/>
      <c r="R174" s="373"/>
      <c r="S174" s="373"/>
      <c r="T174" s="373"/>
      <c r="U174" s="373"/>
    </row>
    <row r="175" spans="1:21" s="307" customFormat="1" ht="12" hidden="1" customHeight="1" outlineLevel="1" x14ac:dyDescent="0.25">
      <c r="A175" s="380" t="s">
        <v>130</v>
      </c>
      <c r="B175" s="358" t="s">
        <v>226</v>
      </c>
      <c r="C175" s="304"/>
      <c r="D175" s="304"/>
      <c r="K175" s="373"/>
      <c r="L175" s="373"/>
      <c r="M175" s="373"/>
      <c r="N175" s="373"/>
      <c r="O175" s="373"/>
      <c r="P175" s="373"/>
      <c r="Q175" s="373"/>
      <c r="R175" s="373"/>
      <c r="S175" s="373"/>
      <c r="T175" s="373"/>
      <c r="U175" s="373"/>
    </row>
    <row r="176" spans="1:21" s="326" customFormat="1" ht="15" hidden="1" customHeight="1" outlineLevel="1" x14ac:dyDescent="0.25">
      <c r="A176" s="316"/>
      <c r="B176" s="326" t="s">
        <v>224</v>
      </c>
      <c r="C176" s="316" t="s">
        <v>11</v>
      </c>
      <c r="D176" s="444">
        <f>COUNT(L176:U176)</f>
        <v>4</v>
      </c>
      <c r="K176" s="373"/>
      <c r="L176" s="443">
        <f>IF(L182="N/A","",K176+1)</f>
        <v>1</v>
      </c>
      <c r="M176" s="443">
        <f>IF(M182="N/A","",L176+1)</f>
        <v>2</v>
      </c>
      <c r="N176" s="443">
        <f>IF(N182="N/A","",M176+1)</f>
        <v>3</v>
      </c>
      <c r="O176" s="443">
        <f>IF(O182="N/A","",N176+1)</f>
        <v>4</v>
      </c>
      <c r="P176" s="443" t="str">
        <f>IF(P182="N/A","",O176+1)</f>
        <v/>
      </c>
      <c r="Q176" s="338"/>
      <c r="R176" s="338"/>
      <c r="S176" s="338"/>
      <c r="T176" s="338"/>
      <c r="U176" s="338"/>
    </row>
    <row r="177" spans="1:21" s="326" customFormat="1" ht="12" hidden="1" customHeight="1" outlineLevel="1" x14ac:dyDescent="0.25">
      <c r="A177" s="316"/>
      <c r="B177" s="307" t="s">
        <v>18</v>
      </c>
      <c r="C177" s="304" t="s">
        <v>20</v>
      </c>
      <c r="D177" s="439">
        <f>IF(K177="",ROUNDDOWN(MACAP*0.5,0),K177)</f>
        <v>7</v>
      </c>
      <c r="E177" s="445" t="str">
        <f>IF(D177&lt;&gt;SUM(L177:P177),"NO","SI")</f>
        <v>SI</v>
      </c>
      <c r="K177" s="903">
        <v>7</v>
      </c>
      <c r="L177" s="442">
        <f>IF(L176="",0,IF($D177&lt;=$D$177,SUM(L178:L181)))</f>
        <v>0</v>
      </c>
      <c r="M177" s="442">
        <f>IF(M176="",0,IF($D177&lt;=$D$177,SUM(M178:M181)))</f>
        <v>3</v>
      </c>
      <c r="N177" s="442">
        <f>IF(N176="",0,IF($D177&lt;=$D$177,SUM(N178:N181)))</f>
        <v>0</v>
      </c>
      <c r="O177" s="442">
        <f>IF(O176="",0,IF($D177&lt;=$D$177,SUM(O178:O181)))</f>
        <v>4</v>
      </c>
      <c r="P177" s="442"/>
      <c r="Q177" s="361"/>
      <c r="R177" s="361"/>
      <c r="S177" s="361"/>
      <c r="T177" s="361"/>
      <c r="U177" s="361"/>
    </row>
    <row r="178" spans="1:21" s="307" customFormat="1" ht="25.35" hidden="1" customHeight="1" outlineLevel="1" x14ac:dyDescent="0.25">
      <c r="A178" s="446" t="str">
        <f>VLOOKUP(B178,'C UNIT PROG TÉCNICOS'!$B$8:$H$108,7,FALSE)</f>
        <v>CAPEX</v>
      </c>
      <c r="B178" s="367" t="s">
        <v>75</v>
      </c>
      <c r="C178" s="304" t="s">
        <v>20</v>
      </c>
      <c r="D178" s="304" t="s">
        <v>19</v>
      </c>
      <c r="I178" s="314"/>
      <c r="J178" s="314"/>
      <c r="K178" s="338"/>
      <c r="L178" s="369">
        <v>0</v>
      </c>
      <c r="M178" s="369">
        <v>0</v>
      </c>
      <c r="N178" s="369">
        <v>0</v>
      </c>
      <c r="O178" s="369">
        <v>0</v>
      </c>
      <c r="P178" s="369"/>
      <c r="Q178" s="369"/>
      <c r="R178" s="369"/>
      <c r="S178" s="369"/>
      <c r="T178" s="369"/>
      <c r="U178" s="369"/>
    </row>
    <row r="179" spans="1:21" s="307" customFormat="1" ht="25.35" hidden="1" customHeight="1" outlineLevel="1" x14ac:dyDescent="0.25">
      <c r="A179" s="446" t="str">
        <f>VLOOKUP(B179,'C UNIT PROG TÉCNICOS'!$B$8:$H$108,7,FALSE)</f>
        <v>CAPEX</v>
      </c>
      <c r="B179" s="367" t="s">
        <v>76</v>
      </c>
      <c r="C179" s="304" t="s">
        <v>20</v>
      </c>
      <c r="D179" s="304" t="s">
        <v>19</v>
      </c>
      <c r="I179" s="314"/>
      <c r="J179" s="314"/>
      <c r="K179" s="338"/>
      <c r="L179" s="369">
        <v>0</v>
      </c>
      <c r="M179" s="369">
        <v>0</v>
      </c>
      <c r="N179" s="369">
        <v>0</v>
      </c>
      <c r="O179" s="369">
        <v>0</v>
      </c>
      <c r="P179" s="369"/>
      <c r="Q179" s="369"/>
      <c r="R179" s="369"/>
      <c r="S179" s="369"/>
      <c r="T179" s="369"/>
      <c r="U179" s="369"/>
    </row>
    <row r="180" spans="1:21" s="307" customFormat="1" ht="25.35" hidden="1" customHeight="1" outlineLevel="1" x14ac:dyDescent="0.25">
      <c r="A180" s="446" t="str">
        <f>VLOOKUP(B180,'C UNIT PROG TÉCNICOS'!$B$8:$H$108,7,FALSE)</f>
        <v>CAPEX</v>
      </c>
      <c r="B180" s="367" t="s">
        <v>37</v>
      </c>
      <c r="C180" s="304" t="s">
        <v>20</v>
      </c>
      <c r="D180" s="304" t="s">
        <v>19</v>
      </c>
      <c r="I180" s="314"/>
      <c r="J180" s="314"/>
      <c r="K180" s="338"/>
      <c r="L180" s="369">
        <v>0</v>
      </c>
      <c r="M180" s="369">
        <v>3</v>
      </c>
      <c r="N180" s="369">
        <v>0</v>
      </c>
      <c r="O180" s="369">
        <v>0</v>
      </c>
      <c r="P180" s="369"/>
      <c r="Q180" s="369"/>
      <c r="R180" s="369"/>
      <c r="S180" s="369"/>
      <c r="T180" s="369"/>
      <c r="U180" s="369"/>
    </row>
    <row r="181" spans="1:21" s="307" customFormat="1" ht="25.35" hidden="1" customHeight="1" outlineLevel="1" x14ac:dyDescent="0.25">
      <c r="A181" s="446" t="str">
        <f>VLOOKUP(B181,'C UNIT PROG TÉCNICOS'!$B$8:$H$108,7,FALSE)</f>
        <v>CAPEX</v>
      </c>
      <c r="B181" s="367" t="s">
        <v>49</v>
      </c>
      <c r="C181" s="304" t="s">
        <v>20</v>
      </c>
      <c r="D181" s="304" t="s">
        <v>19</v>
      </c>
      <c r="I181" s="314"/>
      <c r="J181" s="314"/>
      <c r="K181" s="338"/>
      <c r="L181" s="369">
        <v>0</v>
      </c>
      <c r="M181" s="369">
        <v>0</v>
      </c>
      <c r="N181" s="369">
        <v>0</v>
      </c>
      <c r="O181" s="369">
        <v>4</v>
      </c>
      <c r="P181" s="369"/>
      <c r="Q181" s="369"/>
      <c r="R181" s="369"/>
      <c r="S181" s="369"/>
      <c r="T181" s="369"/>
      <c r="U181" s="369"/>
    </row>
    <row r="182" spans="1:21" s="307" customFormat="1" ht="12" hidden="1" customHeight="1" outlineLevel="1" x14ac:dyDescent="0.25">
      <c r="A182" s="316"/>
      <c r="B182" s="813" t="s">
        <v>742</v>
      </c>
      <c r="D182" s="447" t="str">
        <f>IF(AND(A179="CAPEX",A180="CAPEX",A181="CAPEX",A178="CAPEX"),"Inversión",IF(AND(A179="OPEX",A180="OPEX",A181="OPEX",A178="OPEX"),"Operación","I/O"))</f>
        <v>Inversión</v>
      </c>
      <c r="I182" s="370"/>
      <c r="J182" s="370"/>
      <c r="K182" s="371" t="s">
        <v>149</v>
      </c>
      <c r="L182" s="371" t="s">
        <v>8</v>
      </c>
      <c r="M182" s="371" t="s">
        <v>8</v>
      </c>
      <c r="N182" s="371" t="s">
        <v>8</v>
      </c>
      <c r="O182" s="371" t="s">
        <v>8</v>
      </c>
      <c r="P182" s="371" t="s">
        <v>149</v>
      </c>
      <c r="Q182" s="338"/>
      <c r="R182" s="338"/>
      <c r="S182" s="338"/>
      <c r="T182" s="338"/>
      <c r="U182" s="338"/>
    </row>
    <row r="183" spans="1:21" s="307" customFormat="1" ht="12" hidden="1" customHeight="1" outlineLevel="1" x14ac:dyDescent="0.25">
      <c r="A183" s="316"/>
      <c r="B183" s="307" t="s">
        <v>762</v>
      </c>
      <c r="C183" s="304"/>
      <c r="D183" s="304"/>
      <c r="K183" s="448">
        <f>IF(K182="N/A",0,IF(K182="SI",0,IF(OR($D182="I/O",$D182="Inversión"),0,SUM(VLOOKUP($B178,'C UNIT PROG TÉCNICOS'!$B$8:$G$160,6,FALSE)*'EV PROG TÉCNICOS'!K178,VLOOKUP($B179,'C UNIT PROG TÉCNICOS'!$B$8:$G$160,6,FALSE)*'EV PROG TÉCNICOS'!K179,VLOOKUP($B180,'C UNIT PROG TÉCNICOS'!$B$8:$G$160,6,FALSE)*'EV PROG TÉCNICOS'!K180,VLOOKUP($B181,'C UNIT PROG TÉCNICOS'!$B$8:$G$160,6,FALSE)*'EV PROG TÉCNICOS'!K181))))</f>
        <v>0</v>
      </c>
      <c r="L183" s="448">
        <f>IF(L182="N/A",0,IF(L182="SI",0,IF(OR($D182="I/O",$D182="Inversión"),0,SUM(VLOOKUP($B178,'C UNIT PROG TÉCNICOS'!$B$8:$G$160,6,FALSE)*'EV PROG TÉCNICOS'!L178,VLOOKUP($B179,'C UNIT PROG TÉCNICOS'!$B$8:$G$160,6,FALSE)*'EV PROG TÉCNICOS'!L179,VLOOKUP($B180,'C UNIT PROG TÉCNICOS'!$B$8:$G$160,6,FALSE)*'EV PROG TÉCNICOS'!L180,VLOOKUP($B181,'C UNIT PROG TÉCNICOS'!$B$8:$G$160,6,FALSE)*'EV PROG TÉCNICOS'!L181))))</f>
        <v>0</v>
      </c>
      <c r="M183" s="448">
        <f>IF(M182="N/A",0,IF(M182="SI",0,IF(OR($D182="I/O",$D182="Inversión"),0,SUM(VLOOKUP($B178,'C UNIT PROG TÉCNICOS'!$B$8:$G$160,6,FALSE)*'EV PROG TÉCNICOS'!M178,VLOOKUP($B179,'C UNIT PROG TÉCNICOS'!$B$8:$G$160,6,FALSE)*'EV PROG TÉCNICOS'!M179,VLOOKUP($B180,'C UNIT PROG TÉCNICOS'!$B$8:$G$160,6,FALSE)*'EV PROG TÉCNICOS'!M180,VLOOKUP($B181,'C UNIT PROG TÉCNICOS'!$B$8:$G$160,6,FALSE)*'EV PROG TÉCNICOS'!M181))))</f>
        <v>0</v>
      </c>
      <c r="N183" s="448">
        <f>IF(N182="N/A",0,IF(N182="SI",0,IF(OR($D182="I/O",$D182="Inversión"),0,SUM(VLOOKUP($B178,'C UNIT PROG TÉCNICOS'!$B$8:$G$160,6,FALSE)*'EV PROG TÉCNICOS'!N178,VLOOKUP($B179,'C UNIT PROG TÉCNICOS'!$B$8:$G$160,6,FALSE)*'EV PROG TÉCNICOS'!N179,VLOOKUP($B180,'C UNIT PROG TÉCNICOS'!$B$8:$G$160,6,FALSE)*'EV PROG TÉCNICOS'!N180,VLOOKUP($B181,'C UNIT PROG TÉCNICOS'!$B$8:$G$160,6,FALSE)*'EV PROG TÉCNICOS'!N181))))</f>
        <v>0</v>
      </c>
      <c r="O183" s="448">
        <f>IF(O182="N/A",0,IF(O182="SI",0,IF(OR($D182="I/O",$D182="Inversión"),0,SUM(VLOOKUP($B178,'C UNIT PROG TÉCNICOS'!$B$8:$G$160,6,FALSE)*'EV PROG TÉCNICOS'!O178,VLOOKUP($B179,'C UNIT PROG TÉCNICOS'!$B$8:$G$160,6,FALSE)*'EV PROG TÉCNICOS'!O179,VLOOKUP($B180,'C UNIT PROG TÉCNICOS'!$B$8:$G$160,6,FALSE)*'EV PROG TÉCNICOS'!O180,VLOOKUP($B181,'C UNIT PROG TÉCNICOS'!$B$8:$G$160,6,FALSE)*'EV PROG TÉCNICOS'!O181))))</f>
        <v>0</v>
      </c>
      <c r="P183" s="448">
        <f>IF(P182="N/A",0,IF(P182="SI",0,IF(OR($D182="I/O",$D182="Inversión"),0,SUM(VLOOKUP($B178,'C UNIT PROG TÉCNICOS'!$B$8:$G$160,6,FALSE)*'EV PROG TÉCNICOS'!P178,VLOOKUP($B179,'C UNIT PROG TÉCNICOS'!$B$8:$G$160,6,FALSE)*'EV PROG TÉCNICOS'!P179,VLOOKUP($B180,'C UNIT PROG TÉCNICOS'!$B$8:$G$160,6,FALSE)*'EV PROG TÉCNICOS'!P180,VLOOKUP($B181,'C UNIT PROG TÉCNICOS'!$B$8:$G$160,6,FALSE)*'EV PROG TÉCNICOS'!P181))))</f>
        <v>0</v>
      </c>
      <c r="Q183" s="338"/>
      <c r="R183" s="338"/>
      <c r="S183" s="338"/>
      <c r="T183" s="338"/>
      <c r="U183" s="338"/>
    </row>
    <row r="184" spans="1:21" s="307" customFormat="1" ht="12" hidden="1" customHeight="1" outlineLevel="1" x14ac:dyDescent="0.25">
      <c r="A184" s="316"/>
      <c r="B184" s="307" t="s">
        <v>763</v>
      </c>
      <c r="C184" s="304" t="s">
        <v>6</v>
      </c>
      <c r="D184" s="304"/>
      <c r="K184" s="450">
        <f t="shared" ref="K184:P184" si="98">IF(K182="N/A",0,IF(K182="SI",0,K$21*K183))</f>
        <v>0</v>
      </c>
      <c r="L184" s="450">
        <f t="shared" si="98"/>
        <v>0</v>
      </c>
      <c r="M184" s="450">
        <f t="shared" si="98"/>
        <v>0</v>
      </c>
      <c r="N184" s="450">
        <f t="shared" si="98"/>
        <v>0</v>
      </c>
      <c r="O184" s="450">
        <f t="shared" si="98"/>
        <v>0</v>
      </c>
      <c r="P184" s="450">
        <f t="shared" si="98"/>
        <v>0</v>
      </c>
      <c r="Q184" s="338"/>
      <c r="R184" s="338"/>
      <c r="S184" s="338"/>
      <c r="T184" s="338"/>
      <c r="U184" s="338"/>
    </row>
    <row r="185" spans="1:21" s="307" customFormat="1" ht="12" hidden="1" customHeight="1" outlineLevel="1" x14ac:dyDescent="0.25">
      <c r="A185" s="316"/>
      <c r="B185" s="307" t="s">
        <v>764</v>
      </c>
      <c r="C185" s="304" t="s">
        <v>6</v>
      </c>
      <c r="D185" s="304"/>
      <c r="K185" s="450">
        <f>IF(K182="N/A",0,IF(K182="SI",0,IF(OR($D182="Inversión",$D182="I/O"),SUM(VLOOKUP($B178,'C UNIT PROG TÉCNICOS'!$B$8:$G$160,5,FALSE)*'EV PROG TÉCNICOS'!K178,VLOOKUP($B179,'C UNIT PROG TÉCNICOS'!$B$8:$G$160,5,FALSE)*'EV PROG TÉCNICOS'!K179,VLOOKUP($B180,'C UNIT PROG TÉCNICOS'!$B$8:$G$160,5,FALSE)*'EV PROG TÉCNICOS'!K180,VLOOKUP($B181,'C UNIT PROG TÉCNICOS'!$B$8:$G$160,5,FALSE)*'EV PROG TÉCNICOS'!K181),0)))</f>
        <v>0</v>
      </c>
      <c r="L185" s="450">
        <f>IF(L182="N/A",0,IF(L182="SI",0,IF(OR($D182="Inversión",$D182="I/O"),SUM(VLOOKUP($B178,'C UNIT PROG TÉCNICOS'!$B$8:$G$160,5,FALSE)*'EV PROG TÉCNICOS'!L178,VLOOKUP($B179,'C UNIT PROG TÉCNICOS'!$B$8:$G$160,5,FALSE)*'EV PROG TÉCNICOS'!L179,VLOOKUP($B180,'C UNIT PROG TÉCNICOS'!$B$8:$G$160,5,FALSE)*'EV PROG TÉCNICOS'!L180,VLOOKUP($B181,'C UNIT PROG TÉCNICOS'!$B$8:$G$160,5,FALSE)*'EV PROG TÉCNICOS'!L181),0))*((1+$D$24)^(L$3-$K$3)))</f>
        <v>0</v>
      </c>
      <c r="M185" s="450">
        <f>IF(M182="N/A",0,IF(M182="SI",0,IF(OR($D182="Inversión",$D182="I/O"),SUM(VLOOKUP($B178,'C UNIT PROG TÉCNICOS'!$B$8:$G$160,5,FALSE)*'EV PROG TÉCNICOS'!M178,VLOOKUP($B179,'C UNIT PROG TÉCNICOS'!$B$8:$G$160,5,FALSE)*'EV PROG TÉCNICOS'!M179,VLOOKUP($B180,'C UNIT PROG TÉCNICOS'!$B$8:$G$160,5,FALSE)*'EV PROG TÉCNICOS'!M180,VLOOKUP($B181,'C UNIT PROG TÉCNICOS'!$B$8:$G$160,5,FALSE)*'EV PROG TÉCNICOS'!M181),0))*((1+$D$24)^(M$3-$K$3)))</f>
        <v>119450242.93810607</v>
      </c>
      <c r="N185" s="450">
        <f>IF(N182="N/A",0,IF(N182="SI",0,IF(OR($D182="Inversión",$D182="I/O"),SUM(VLOOKUP($B178,'C UNIT PROG TÉCNICOS'!$B$8:$G$160,5,FALSE)*'EV PROG TÉCNICOS'!N178,VLOOKUP($B179,'C UNIT PROG TÉCNICOS'!$B$8:$G$160,5,FALSE)*'EV PROG TÉCNICOS'!N179,VLOOKUP($B180,'C UNIT PROG TÉCNICOS'!$B$8:$G$160,5,FALSE)*'EV PROG TÉCNICOS'!N180,VLOOKUP($B181,'C UNIT PROG TÉCNICOS'!$B$8:$G$160,5,FALSE)*'EV PROG TÉCNICOS'!N181),0))*((1+$D$24)^(N$3-$K$3)))</f>
        <v>0</v>
      </c>
      <c r="O185" s="450">
        <f>IF(O182="N/A",0,IF(O182="SI",0,IF(OR($D182="Inversión",$D182="I/O"),SUM(VLOOKUP($B178,'C UNIT PROG TÉCNICOS'!$B$8:$G$160,5,FALSE)*'EV PROG TÉCNICOS'!O178,VLOOKUP($B179,'C UNIT PROG TÉCNICOS'!$B$8:$G$160,5,FALSE)*'EV PROG TÉCNICOS'!O179,VLOOKUP($B180,'C UNIT PROG TÉCNICOS'!$B$8:$G$160,5,FALSE)*'EV PROG TÉCNICOS'!O180,VLOOKUP($B181,'C UNIT PROG TÉCNICOS'!$B$8:$G$160,5,FALSE)*'EV PROG TÉCNICOS'!O181),0))*((1+$D$24)^(O$3-$K$3)))</f>
        <v>39504731.256209046</v>
      </c>
      <c r="P185" s="450">
        <f>IF(P182="N/A",0,IF(P182="SI",0,IF(OR($D182="Inversión",$D182="I/O"),SUM(VLOOKUP($B178,'C UNIT PROG TÉCNICOS'!$B$8:$G$160,5,FALSE)*'EV PROG TÉCNICOS'!P178,VLOOKUP($B179,'C UNIT PROG TÉCNICOS'!$B$8:$G$160,5,FALSE)*'EV PROG TÉCNICOS'!P179,VLOOKUP($B180,'C UNIT PROG TÉCNICOS'!$B$8:$G$160,5,FALSE)*'EV PROG TÉCNICOS'!P180,VLOOKUP($B181,'C UNIT PROG TÉCNICOS'!$B$8:$G$160,5,FALSE)*'EV PROG TÉCNICOS'!P181),0))*((1+$D$24)^(P$3-$K$3)))</f>
        <v>0</v>
      </c>
      <c r="Q185" s="338"/>
      <c r="R185" s="338"/>
      <c r="S185" s="338"/>
      <c r="T185" s="338"/>
      <c r="U185" s="338"/>
    </row>
    <row r="186" spans="1:21" s="376" customFormat="1" ht="15" hidden="1" customHeight="1" outlineLevel="1" x14ac:dyDescent="0.25">
      <c r="A186" s="374"/>
      <c r="B186" s="454" t="str">
        <f>CONCATENATE("VNA ",B175)</f>
        <v>VNA Reemplazo de macromedidores</v>
      </c>
      <c r="C186" s="374" t="s">
        <v>6</v>
      </c>
      <c r="D186" s="453">
        <f>NPV($D$31,L186:U186)+K186</f>
        <v>109960165.63711956</v>
      </c>
      <c r="K186" s="452">
        <f t="shared" ref="K186:P186" si="99">IF(K182="N/A",0,IF($D182="Operación",K184,K185))</f>
        <v>0</v>
      </c>
      <c r="L186" s="452">
        <f t="shared" si="99"/>
        <v>0</v>
      </c>
      <c r="M186" s="452">
        <f t="shared" si="99"/>
        <v>119450242.93810607</v>
      </c>
      <c r="N186" s="452">
        <f t="shared" si="99"/>
        <v>0</v>
      </c>
      <c r="O186" s="452">
        <f t="shared" si="99"/>
        <v>39504731.256209046</v>
      </c>
      <c r="P186" s="452">
        <f t="shared" si="99"/>
        <v>0</v>
      </c>
      <c r="Q186" s="338"/>
      <c r="R186" s="338"/>
      <c r="S186" s="338"/>
      <c r="T186" s="338"/>
      <c r="U186" s="338"/>
    </row>
    <row r="187" spans="1:21" s="376" customFormat="1" ht="2.1" hidden="1" customHeight="1" outlineLevel="1" x14ac:dyDescent="0.2">
      <c r="A187" s="374"/>
      <c r="B187" s="454"/>
      <c r="C187" s="374"/>
      <c r="D187" s="374"/>
      <c r="K187" s="384"/>
      <c r="L187" s="384"/>
      <c r="M187" s="384"/>
      <c r="N187" s="384"/>
      <c r="O187" s="384"/>
      <c r="P187" s="384"/>
      <c r="Q187" s="385"/>
      <c r="R187" s="385"/>
      <c r="S187" s="385"/>
      <c r="T187" s="385"/>
      <c r="U187" s="385"/>
    </row>
    <row r="188" spans="1:21" s="376" customFormat="1" ht="2.1" hidden="1" customHeight="1" outlineLevel="1" x14ac:dyDescent="0.25">
      <c r="A188" s="374"/>
      <c r="C188" s="374"/>
      <c r="D188" s="453"/>
      <c r="K188" s="452"/>
      <c r="L188" s="452"/>
      <c r="M188" s="452"/>
      <c r="N188" s="452"/>
      <c r="O188" s="452"/>
      <c r="P188" s="452"/>
      <c r="Q188" s="452"/>
      <c r="R188" s="452"/>
      <c r="S188" s="452"/>
      <c r="T188" s="452"/>
      <c r="U188" s="452"/>
    </row>
    <row r="189" spans="1:21" s="376" customFormat="1" ht="2.1" hidden="1" customHeight="1" outlineLevel="1" x14ac:dyDescent="0.25">
      <c r="A189" s="374"/>
      <c r="C189" s="374"/>
      <c r="D189"/>
      <c r="K189" s="455"/>
      <c r="L189" s="455"/>
      <c r="M189" s="455"/>
      <c r="N189" s="455"/>
      <c r="O189" s="455"/>
      <c r="P189" s="455"/>
      <c r="Q189" s="455"/>
      <c r="R189" s="455"/>
      <c r="S189" s="455"/>
      <c r="T189" s="455"/>
      <c r="U189" s="455"/>
    </row>
    <row r="190" spans="1:21" s="307" customFormat="1" ht="12" collapsed="1" x14ac:dyDescent="0.25">
      <c r="A190" s="316"/>
      <c r="E190" s="304"/>
      <c r="I190" s="314"/>
      <c r="J190" s="314"/>
      <c r="K190" s="314"/>
      <c r="L190" s="369"/>
      <c r="M190" s="369"/>
      <c r="N190" s="369"/>
      <c r="O190" s="369"/>
      <c r="P190" s="369"/>
      <c r="Q190" s="314"/>
      <c r="R190" s="314"/>
      <c r="S190" s="314"/>
      <c r="T190" s="314"/>
      <c r="U190" s="314"/>
    </row>
    <row r="191" spans="1:21" s="357" customFormat="1" ht="15.75" x14ac:dyDescent="0.25">
      <c r="A191" s="356">
        <v>1.2</v>
      </c>
      <c r="B191" s="317" t="s">
        <v>110</v>
      </c>
      <c r="C191" s="317"/>
      <c r="D191" s="317"/>
      <c r="E191" s="317"/>
      <c r="F191" s="317"/>
      <c r="G191" s="317"/>
      <c r="H191" s="317"/>
      <c r="I191" s="317"/>
      <c r="J191" s="317"/>
      <c r="K191" s="317"/>
      <c r="L191" s="317"/>
      <c r="M191" s="317"/>
      <c r="N191" s="317"/>
      <c r="O191" s="317"/>
      <c r="P191" s="317"/>
      <c r="Q191" s="317"/>
      <c r="R191" s="317"/>
      <c r="S191" s="317"/>
      <c r="T191" s="317"/>
      <c r="U191" s="317"/>
    </row>
    <row r="192" spans="1:21" s="307" customFormat="1" ht="12" hidden="1" customHeight="1" outlineLevel="1" x14ac:dyDescent="0.25">
      <c r="A192" s="380" t="s">
        <v>131</v>
      </c>
      <c r="B192" s="358" t="s">
        <v>82</v>
      </c>
      <c r="C192" s="359"/>
      <c r="D192" s="359"/>
      <c r="E192" s="359"/>
      <c r="F192" s="359"/>
      <c r="G192" s="359"/>
      <c r="H192" s="359"/>
      <c r="I192" s="359"/>
      <c r="J192" s="359"/>
      <c r="K192" s="359"/>
      <c r="L192" s="359"/>
      <c r="M192" s="359"/>
      <c r="N192" s="359"/>
      <c r="O192" s="359"/>
      <c r="P192" s="359"/>
      <c r="Q192" s="359"/>
      <c r="R192" s="359"/>
      <c r="S192" s="359"/>
      <c r="T192" s="359"/>
      <c r="U192" s="359"/>
    </row>
    <row r="193" spans="1:21" s="326" customFormat="1" ht="12" hidden="1" customHeight="1" outlineLevel="1" x14ac:dyDescent="0.25">
      <c r="B193" s="307" t="s">
        <v>309</v>
      </c>
      <c r="D193" s="360">
        <v>8</v>
      </c>
      <c r="J193" s="361"/>
      <c r="K193" s="442">
        <f>IF(K194="",0,$D193)</f>
        <v>8</v>
      </c>
      <c r="L193" s="442">
        <f>IF(L201="N/A",0,IF(L194=0,0,$D193))</f>
        <v>8</v>
      </c>
      <c r="M193" s="442">
        <f t="shared" ref="M193:U193" si="100">IF(M201="N/A",0,IF(M194=0,0,$D193))</f>
        <v>0</v>
      </c>
      <c r="N193" s="442">
        <f t="shared" si="100"/>
        <v>0</v>
      </c>
      <c r="O193" s="442">
        <f t="shared" si="100"/>
        <v>0</v>
      </c>
      <c r="P193" s="442">
        <f t="shared" si="100"/>
        <v>0</v>
      </c>
      <c r="Q193" s="442">
        <f t="shared" si="100"/>
        <v>0</v>
      </c>
      <c r="R193" s="442">
        <f t="shared" si="100"/>
        <v>0</v>
      </c>
      <c r="S193" s="442">
        <f t="shared" si="100"/>
        <v>0</v>
      </c>
      <c r="T193" s="442">
        <f t="shared" si="100"/>
        <v>0</v>
      </c>
      <c r="U193" s="442">
        <f t="shared" si="100"/>
        <v>0</v>
      </c>
    </row>
    <row r="194" spans="1:21" s="307" customFormat="1" ht="12" hidden="1" customHeight="1" outlineLevel="1" x14ac:dyDescent="0.25">
      <c r="A194" s="316"/>
      <c r="B194" s="307" t="s">
        <v>112</v>
      </c>
      <c r="D194" s="362">
        <v>8</v>
      </c>
      <c r="J194" s="342"/>
      <c r="K194" s="439">
        <f>$D194</f>
        <v>8</v>
      </c>
      <c r="L194" s="439">
        <f>IF(L201="N/A",0,IF(IFERROR(K194+L197,0)&gt;$D$193,0,IFERROR(K194+L197,0)))</f>
        <v>8</v>
      </c>
      <c r="M194" s="439">
        <f t="shared" ref="M194:U194" si="101">IF(M201="N/A",0,IF(IFERROR(L194+M197,0)&gt;$D$193,0,IFERROR(L194+M197,0)))</f>
        <v>0</v>
      </c>
      <c r="N194" s="439">
        <f t="shared" si="101"/>
        <v>0</v>
      </c>
      <c r="O194" s="439">
        <f t="shared" si="101"/>
        <v>0</v>
      </c>
      <c r="P194" s="439">
        <f t="shared" si="101"/>
        <v>0</v>
      </c>
      <c r="Q194" s="439">
        <f t="shared" si="101"/>
        <v>0</v>
      </c>
      <c r="R194" s="439">
        <f t="shared" si="101"/>
        <v>0</v>
      </c>
      <c r="S194" s="439">
        <f t="shared" si="101"/>
        <v>0</v>
      </c>
      <c r="T194" s="439">
        <f t="shared" si="101"/>
        <v>0</v>
      </c>
      <c r="U194" s="439">
        <f t="shared" si="101"/>
        <v>0</v>
      </c>
    </row>
    <row r="195" spans="1:21" s="307" customFormat="1" ht="12" hidden="1" customHeight="1" outlineLevel="1" x14ac:dyDescent="0.25">
      <c r="A195" s="316"/>
      <c r="B195" s="307" t="s">
        <v>113</v>
      </c>
      <c r="D195" s="439">
        <f>D193-D194</f>
        <v>0</v>
      </c>
      <c r="J195" s="342"/>
      <c r="K195" s="439">
        <f>IFERROR(K193-K194,0)</f>
        <v>0</v>
      </c>
      <c r="L195" s="439">
        <f>IFERROR(L193-L194,0)</f>
        <v>0</v>
      </c>
      <c r="M195" s="439">
        <f>IFERROR(M193-M194,0)</f>
        <v>0</v>
      </c>
      <c r="N195" s="439">
        <f t="shared" ref="N195:U195" si="102">IFERROR(N193-N194,0)</f>
        <v>0</v>
      </c>
      <c r="O195" s="439">
        <f t="shared" si="102"/>
        <v>0</v>
      </c>
      <c r="P195" s="439">
        <f t="shared" si="102"/>
        <v>0</v>
      </c>
      <c r="Q195" s="439">
        <f t="shared" si="102"/>
        <v>0</v>
      </c>
      <c r="R195" s="439">
        <f t="shared" si="102"/>
        <v>0</v>
      </c>
      <c r="S195" s="439">
        <f t="shared" si="102"/>
        <v>0</v>
      </c>
      <c r="T195" s="439">
        <f t="shared" si="102"/>
        <v>0</v>
      </c>
      <c r="U195" s="439">
        <f t="shared" si="102"/>
        <v>0</v>
      </c>
    </row>
    <row r="196" spans="1:21" s="326" customFormat="1" ht="15" hidden="1" customHeight="1" outlineLevel="1" x14ac:dyDescent="0.25">
      <c r="A196" s="316"/>
      <c r="B196" s="326" t="s">
        <v>24</v>
      </c>
      <c r="C196" s="316" t="s">
        <v>11</v>
      </c>
      <c r="D196" s="444">
        <f>COUNT(L196:U196)</f>
        <v>1</v>
      </c>
      <c r="E196" s="364"/>
      <c r="F196" s="364"/>
      <c r="G196" s="364"/>
      <c r="H196" s="364"/>
      <c r="I196" s="364"/>
      <c r="J196" s="364"/>
      <c r="K196" s="365">
        <v>0</v>
      </c>
      <c r="L196" s="443">
        <f>IF(L201="N/A","",K196+1)</f>
        <v>1</v>
      </c>
      <c r="M196" s="443" t="str">
        <f t="shared" ref="M196:U196" si="103">IF(M201="N/A","",L196+1)</f>
        <v/>
      </c>
      <c r="N196" s="443" t="str">
        <f>IF(N201="N/A","",M196+1)</f>
        <v/>
      </c>
      <c r="O196" s="443" t="str">
        <f>IF(O201="N/A","",N196+1)</f>
        <v/>
      </c>
      <c r="P196" s="443" t="str">
        <f t="shared" si="103"/>
        <v/>
      </c>
      <c r="Q196" s="443" t="str">
        <f t="shared" si="103"/>
        <v/>
      </c>
      <c r="R196" s="443" t="str">
        <f t="shared" si="103"/>
        <v/>
      </c>
      <c r="S196" s="443" t="str">
        <f t="shared" si="103"/>
        <v/>
      </c>
      <c r="T196" s="443" t="str">
        <f t="shared" si="103"/>
        <v/>
      </c>
      <c r="U196" s="443" t="str">
        <f t="shared" si="103"/>
        <v/>
      </c>
    </row>
    <row r="197" spans="1:21" s="326" customFormat="1" ht="12" hidden="1" customHeight="1" outlineLevel="1" x14ac:dyDescent="0.25">
      <c r="A197" s="316"/>
      <c r="B197" s="307" t="s">
        <v>25</v>
      </c>
      <c r="C197" s="304" t="s">
        <v>20</v>
      </c>
      <c r="D197" s="445" t="str">
        <f>IF(K195&lt;&gt;SUM(K197:P197),"NO","SI")</f>
        <v>SI</v>
      </c>
      <c r="K197" s="442">
        <f>SUM(K198:K200)</f>
        <v>0</v>
      </c>
      <c r="L197" s="442">
        <f>IF(L201="N/A",0,IFERROR(ROUND(SUM(L198:L200),0),0))</f>
        <v>0</v>
      </c>
      <c r="M197" s="442">
        <f t="shared" ref="M197:U197" si="104">IF(M201="N/A",0,IFERROR(ROUND(SUM(M198:M200),0),0))</f>
        <v>0</v>
      </c>
      <c r="N197" s="442">
        <f t="shared" si="104"/>
        <v>0</v>
      </c>
      <c r="O197" s="442">
        <f t="shared" si="104"/>
        <v>0</v>
      </c>
      <c r="P197" s="442">
        <f t="shared" si="104"/>
        <v>0</v>
      </c>
      <c r="Q197" s="442">
        <f t="shared" si="104"/>
        <v>0</v>
      </c>
      <c r="R197" s="442">
        <f t="shared" si="104"/>
        <v>0</v>
      </c>
      <c r="S197" s="442">
        <f t="shared" si="104"/>
        <v>0</v>
      </c>
      <c r="T197" s="442">
        <f t="shared" si="104"/>
        <v>0</v>
      </c>
      <c r="U197" s="442">
        <f t="shared" si="104"/>
        <v>0</v>
      </c>
    </row>
    <row r="198" spans="1:21" s="307" customFormat="1" ht="35.1" hidden="1" customHeight="1" outlineLevel="1" x14ac:dyDescent="0.25">
      <c r="A198" s="446" t="str">
        <f>VLOOKUP(B198,'C UNIT PROG TÉCNICOS'!$B$8:$H$108,7,FALSE)</f>
        <v>CAPEX</v>
      </c>
      <c r="B198" s="367" t="s">
        <v>73</v>
      </c>
      <c r="C198" s="304" t="s">
        <v>20</v>
      </c>
      <c r="D198" s="304" t="s">
        <v>19</v>
      </c>
      <c r="I198" s="368"/>
      <c r="J198" s="368"/>
      <c r="K198" s="362">
        <v>0</v>
      </c>
      <c r="L198" s="383">
        <v>0</v>
      </c>
      <c r="M198" s="383"/>
      <c r="N198" s="383"/>
      <c r="O198" s="383"/>
      <c r="P198" s="383"/>
      <c r="Q198" s="383"/>
      <c r="R198" s="383"/>
      <c r="S198" s="383"/>
      <c r="T198" s="383"/>
      <c r="U198" s="383"/>
    </row>
    <row r="199" spans="1:21" s="307" customFormat="1" ht="35.1" hidden="1" customHeight="1" outlineLevel="1" x14ac:dyDescent="0.25">
      <c r="A199" s="446" t="str">
        <f>VLOOKUP(B199,'C UNIT PROG TÉCNICOS'!$B$8:$H$108,7,FALSE)</f>
        <v>CAPEX</v>
      </c>
      <c r="B199" s="367" t="s">
        <v>74</v>
      </c>
      <c r="C199" s="304" t="s">
        <v>20</v>
      </c>
      <c r="D199" s="304" t="s">
        <v>19</v>
      </c>
      <c r="I199" s="369"/>
      <c r="J199" s="369"/>
      <c r="K199" s="362">
        <v>0</v>
      </c>
      <c r="L199" s="383">
        <v>0</v>
      </c>
      <c r="M199" s="383"/>
      <c r="N199" s="383"/>
      <c r="O199" s="383"/>
      <c r="P199" s="383"/>
      <c r="Q199" s="383"/>
      <c r="R199" s="383"/>
      <c r="S199" s="383"/>
      <c r="T199" s="383"/>
      <c r="U199" s="383"/>
    </row>
    <row r="200" spans="1:21" s="307" customFormat="1" ht="35.1" hidden="1" customHeight="1" outlineLevel="1" x14ac:dyDescent="0.25">
      <c r="A200" s="446" t="str">
        <f>VLOOKUP(B200,'C UNIT PROG TÉCNICOS'!$B$8:$H$108,7,FALSE)</f>
        <v>CAPEX</v>
      </c>
      <c r="B200" s="367" t="s">
        <v>36</v>
      </c>
      <c r="C200" s="304" t="s">
        <v>20</v>
      </c>
      <c r="D200" s="304" t="s">
        <v>19</v>
      </c>
      <c r="I200" s="369"/>
      <c r="J200" s="369"/>
      <c r="K200" s="362">
        <v>0</v>
      </c>
      <c r="L200" s="383">
        <v>0</v>
      </c>
      <c r="M200" s="383"/>
      <c r="N200" s="383"/>
      <c r="O200" s="383"/>
      <c r="P200" s="383"/>
      <c r="Q200" s="383"/>
      <c r="R200" s="383"/>
      <c r="S200" s="383"/>
      <c r="T200" s="383"/>
      <c r="U200" s="383"/>
    </row>
    <row r="201" spans="1:21" s="307" customFormat="1" ht="12" hidden="1" customHeight="1" outlineLevel="1" x14ac:dyDescent="0.25">
      <c r="A201" s="316"/>
      <c r="B201" s="304" t="s">
        <v>742</v>
      </c>
      <c r="D201" s="447" t="str">
        <f>IF(AND(A198="CAPEX",A199="CAPEX",A200="CAPEX"),"Inversión",IF(AND(A198="OPEX",A199="OPEX",A200="OPEX"),"Operación","I/O"))</f>
        <v>Inversión</v>
      </c>
      <c r="I201" s="370"/>
      <c r="J201" s="370"/>
      <c r="K201" s="371" t="s">
        <v>8</v>
      </c>
      <c r="L201" s="371" t="s">
        <v>8</v>
      </c>
      <c r="M201" s="371" t="s">
        <v>149</v>
      </c>
      <c r="N201" s="371" t="s">
        <v>149</v>
      </c>
      <c r="O201" s="371" t="s">
        <v>149</v>
      </c>
      <c r="P201" s="371" t="s">
        <v>149</v>
      </c>
      <c r="Q201" s="371" t="s">
        <v>149</v>
      </c>
      <c r="R201" s="371" t="s">
        <v>149</v>
      </c>
      <c r="S201" s="371" t="s">
        <v>149</v>
      </c>
      <c r="T201" s="371" t="s">
        <v>149</v>
      </c>
      <c r="U201" s="371" t="s">
        <v>149</v>
      </c>
    </row>
    <row r="202" spans="1:21" s="307" customFormat="1" ht="12" hidden="1" customHeight="1" outlineLevel="1" x14ac:dyDescent="0.25">
      <c r="A202" s="316"/>
      <c r="B202" s="307" t="s">
        <v>762</v>
      </c>
      <c r="C202" s="304"/>
      <c r="D202" s="304"/>
      <c r="K202" s="448">
        <f>IF(K201="N/A",0,IF(K201="SI",0,IF(OR($D201="I/O",$D201="Inversión"),0,SUM(VLOOKUP($B198,'C UNIT PROG TÉCNICOS'!$B$8:$G$160,6,FALSE)*'EV PROG TÉCNICOS'!K198,VLOOKUP($B199,'C UNIT PROG TÉCNICOS'!$B$8:$G$160,6,FALSE)*'EV PROG TÉCNICOS'!K199,VLOOKUP($B200,'C UNIT PROG TÉCNICOS'!$B$8:$G$160,6,FALSE)*'EV PROG TÉCNICOS'!K200))))</f>
        <v>0</v>
      </c>
      <c r="L202" s="448">
        <f>IF(L201="N/A",0,IF(L201="SI",0,IF(OR($D201="I/O",$D201="Inversión"),0,SUM(VLOOKUP($B198,'C UNIT PROG TÉCNICOS'!$B$8:$G$160,6,FALSE)*'EV PROG TÉCNICOS'!L198,VLOOKUP($B199,'C UNIT PROG TÉCNICOS'!$B$8:$G$160,6,FALSE)*'EV PROG TÉCNICOS'!L199,VLOOKUP($B200,'C UNIT PROG TÉCNICOS'!$B$8:$G$160,6,FALSE)*'EV PROG TÉCNICOS'!L200))))</f>
        <v>0</v>
      </c>
      <c r="M202" s="448">
        <f>IF(M201="N/A",0,IF(M201="SI",0,IF(OR($D201="I/O",$D201="Inversión"),0,SUM(VLOOKUP($B198,'C UNIT PROG TÉCNICOS'!$B$8:$G$160,6,FALSE)*'EV PROG TÉCNICOS'!M198,VLOOKUP($B199,'C UNIT PROG TÉCNICOS'!$B$8:$G$160,6,FALSE)*'EV PROG TÉCNICOS'!M199,VLOOKUP($B200,'C UNIT PROG TÉCNICOS'!$B$8:$G$160,6,FALSE)*'EV PROG TÉCNICOS'!M200))))</f>
        <v>0</v>
      </c>
      <c r="N202" s="448">
        <f>IF(N201="N/A",0,IF(N201="SI",0,IF(OR($D201="I/O",$D201="Inversión"),0,SUM(VLOOKUP($B198,'C UNIT PROG TÉCNICOS'!$B$8:$G$160,6,FALSE)*'EV PROG TÉCNICOS'!N198,VLOOKUP($B199,'C UNIT PROG TÉCNICOS'!$B$8:$G$160,6,FALSE)*'EV PROG TÉCNICOS'!N199,VLOOKUP($B200,'C UNIT PROG TÉCNICOS'!$B$8:$G$160,6,FALSE)*'EV PROG TÉCNICOS'!N200))))</f>
        <v>0</v>
      </c>
      <c r="O202" s="448">
        <f>IF(O201="N/A",0,IF(O201="SI",0,IF(OR($D201="I/O",$D201="Inversión"),0,SUM(VLOOKUP($B198,'C UNIT PROG TÉCNICOS'!$B$8:$G$160,6,FALSE)*'EV PROG TÉCNICOS'!O198,VLOOKUP($B199,'C UNIT PROG TÉCNICOS'!$B$8:$G$160,6,FALSE)*'EV PROG TÉCNICOS'!O199,VLOOKUP($B200,'C UNIT PROG TÉCNICOS'!$B$8:$G$160,6,FALSE)*'EV PROG TÉCNICOS'!O200))))</f>
        <v>0</v>
      </c>
      <c r="P202" s="448">
        <f>IF(P201="N/A",0,IF(P201="SI",0,IF(OR($D201="I/O",$D201="Inversión"),0,SUM(VLOOKUP($B198,'C UNIT PROG TÉCNICOS'!$B$8:$G$160,6,FALSE)*'EV PROG TÉCNICOS'!P198,VLOOKUP($B199,'C UNIT PROG TÉCNICOS'!$B$8:$G$160,6,FALSE)*'EV PROG TÉCNICOS'!P199,VLOOKUP($B200,'C UNIT PROG TÉCNICOS'!$B$8:$G$160,6,FALSE)*'EV PROG TÉCNICOS'!P200))))</f>
        <v>0</v>
      </c>
      <c r="Q202" s="448">
        <f>IF(Q201="N/A",0,IF(Q201="SI",0,IF(OR($D201="I/O",$D201="Inversión"),0,SUM(VLOOKUP($B198,'C UNIT PROG TÉCNICOS'!$B$8:$G$160,6,FALSE)*'EV PROG TÉCNICOS'!Q198,VLOOKUP($B199,'C UNIT PROG TÉCNICOS'!$B$8:$G$160,6,FALSE)*'EV PROG TÉCNICOS'!Q199,VLOOKUP($B200,'C UNIT PROG TÉCNICOS'!$B$8:$G$160,6,FALSE)*'EV PROG TÉCNICOS'!Q200))))</f>
        <v>0</v>
      </c>
      <c r="R202" s="448">
        <f>IF(R201="N/A",0,IF(R201="SI",0,IF(OR($D201="I/O",$D201="Inversión"),0,SUM(VLOOKUP($B198,'C UNIT PROG TÉCNICOS'!$B$8:$G$160,6,FALSE)*'EV PROG TÉCNICOS'!R198,VLOOKUP($B199,'C UNIT PROG TÉCNICOS'!$B$8:$G$160,6,FALSE)*'EV PROG TÉCNICOS'!R199,VLOOKUP($B200,'C UNIT PROG TÉCNICOS'!$B$8:$G$160,6,FALSE)*'EV PROG TÉCNICOS'!R200))))</f>
        <v>0</v>
      </c>
      <c r="S202" s="448">
        <f>IF(S201="N/A",0,IF(S201="SI",0,IF(OR($D201="I/O",$D201="Inversión"),0,SUM(VLOOKUP($B198,'C UNIT PROG TÉCNICOS'!$B$8:$G$160,6,FALSE)*'EV PROG TÉCNICOS'!S198,VLOOKUP($B199,'C UNIT PROG TÉCNICOS'!$B$8:$G$160,6,FALSE)*'EV PROG TÉCNICOS'!S199,VLOOKUP($B200,'C UNIT PROG TÉCNICOS'!$B$8:$G$160,6,FALSE)*'EV PROG TÉCNICOS'!S200))))</f>
        <v>0</v>
      </c>
      <c r="T202" s="448">
        <f>IF(T201="N/A",0,IF(T201="SI",0,IF(OR($D201="I/O",$D201="Inversión"),0,SUM(VLOOKUP($B198,'C UNIT PROG TÉCNICOS'!$B$8:$G$160,6,FALSE)*'EV PROG TÉCNICOS'!T198,VLOOKUP($B199,'C UNIT PROG TÉCNICOS'!$B$8:$G$160,6,FALSE)*'EV PROG TÉCNICOS'!T199,VLOOKUP($B200,'C UNIT PROG TÉCNICOS'!$B$8:$G$160,6,FALSE)*'EV PROG TÉCNICOS'!T200))))</f>
        <v>0</v>
      </c>
      <c r="U202" s="448">
        <f>IF(U201="N/A",0,IF(U201="SI",0,IF(OR($D201="I/O",$D201="Inversión"),0,SUM(VLOOKUP($B198,'C UNIT PROG TÉCNICOS'!$B$8:$G$160,6,FALSE)*'EV PROG TÉCNICOS'!U198,VLOOKUP($B199,'C UNIT PROG TÉCNICOS'!$B$8:$G$160,6,FALSE)*'EV PROG TÉCNICOS'!U199,VLOOKUP($B200,'C UNIT PROG TÉCNICOS'!$B$8:$G$160,6,FALSE)*'EV PROG TÉCNICOS'!U200))))</f>
        <v>0</v>
      </c>
    </row>
    <row r="203" spans="1:21" s="307" customFormat="1" ht="12" hidden="1" customHeight="1" outlineLevel="1" x14ac:dyDescent="0.25">
      <c r="A203" s="316"/>
      <c r="B203" s="307" t="s">
        <v>763</v>
      </c>
      <c r="C203" s="304" t="s">
        <v>6</v>
      </c>
      <c r="D203" s="304"/>
      <c r="K203" s="450">
        <f>IF(K201="N/A",0,IF(K201="SI",0,K$21*K202))</f>
        <v>0</v>
      </c>
      <c r="L203" s="450">
        <f>IF(L201="N/A",0,IF(L201="SI",0,L$21*L202))</f>
        <v>0</v>
      </c>
      <c r="M203" s="450">
        <f t="shared" ref="M203:U203" si="105">IF(M201="N/A",0,IF(M201="SI",0,M$21*M202))</f>
        <v>0</v>
      </c>
      <c r="N203" s="450">
        <f t="shared" si="105"/>
        <v>0</v>
      </c>
      <c r="O203" s="450">
        <f t="shared" si="105"/>
        <v>0</v>
      </c>
      <c r="P203" s="450">
        <f t="shared" si="105"/>
        <v>0</v>
      </c>
      <c r="Q203" s="450">
        <f t="shared" si="105"/>
        <v>0</v>
      </c>
      <c r="R203" s="450">
        <f t="shared" si="105"/>
        <v>0</v>
      </c>
      <c r="S203" s="450">
        <f t="shared" si="105"/>
        <v>0</v>
      </c>
      <c r="T203" s="450">
        <f t="shared" si="105"/>
        <v>0</v>
      </c>
      <c r="U203" s="450">
        <f t="shared" si="105"/>
        <v>0</v>
      </c>
    </row>
    <row r="204" spans="1:21" s="307" customFormat="1" ht="12" hidden="1" customHeight="1" outlineLevel="1" x14ac:dyDescent="0.25">
      <c r="A204" s="316"/>
      <c r="B204" s="307" t="s">
        <v>764</v>
      </c>
      <c r="C204" s="304" t="s">
        <v>6</v>
      </c>
      <c r="D204" s="304"/>
      <c r="K204" s="450">
        <f>IF(K201="N/A",0,IF(K201="SI",0,IF(OR($D201="Inversión",$D201="I/O"),SUM(VLOOKUP($B198,'C UNIT PROG TÉCNICOS'!$B$8:$G$160,5,FALSE)*'EV PROG TÉCNICOS'!K198,VLOOKUP($B199,'C UNIT PROG TÉCNICOS'!$B$8:$G$160,5,FALSE)*'EV PROG TÉCNICOS'!K199,VLOOKUP($B200,'C UNIT PROG TÉCNICOS'!$B$8:$G$160,5,FALSE)*'EV PROG TÉCNICOS'!K200),0)))</f>
        <v>0</v>
      </c>
      <c r="L204" s="450">
        <f>IF(L201="N/A",0,IF(L201="SI",0,IF(OR($D201="Inversión",$D201="I/O"),SUM(VLOOKUP($B198,'C UNIT PROG TÉCNICOS'!$B$8:$G$160,5,FALSE)*'EV PROG TÉCNICOS'!L198,VLOOKUP($B199,'C UNIT PROG TÉCNICOS'!$B$8:$G$160,5,FALSE)*'EV PROG TÉCNICOS'!L199,VLOOKUP($B200,'C UNIT PROG TÉCNICOS'!$B$8:$G$160,5,FALSE)*'EV PROG TÉCNICOS'!L200),0))*((1+$D$24)^(L$3-$K$3)))</f>
        <v>0</v>
      </c>
      <c r="M204" s="450">
        <f>IF(M201="N/A",0,IF(M201="SI",0,IF(OR($D201="Inversión",$D201="I/O"),SUM(VLOOKUP($B198,'C UNIT PROG TÉCNICOS'!$B$8:$G$160,5,FALSE)*'EV PROG TÉCNICOS'!M198,VLOOKUP($B199,'C UNIT PROG TÉCNICOS'!$B$8:$G$160,5,FALSE)*'EV PROG TÉCNICOS'!M199,VLOOKUP($B200,'C UNIT PROG TÉCNICOS'!$B$8:$G$160,5,FALSE)*'EV PROG TÉCNICOS'!M200),0))*((1+$D$24)^(M$3-$K$3)))</f>
        <v>0</v>
      </c>
      <c r="N204" s="450">
        <f>IF(N201="N/A",0,IF(N201="SI",0,IF(OR($D201="Inversión",$D201="I/O"),SUM(VLOOKUP($B198,'C UNIT PROG TÉCNICOS'!$B$8:$G$160,5,FALSE)*'EV PROG TÉCNICOS'!N198,VLOOKUP($B199,'C UNIT PROG TÉCNICOS'!$B$8:$G$160,5,FALSE)*'EV PROG TÉCNICOS'!N199,VLOOKUP($B200,'C UNIT PROG TÉCNICOS'!$B$8:$G$160,5,FALSE)*'EV PROG TÉCNICOS'!N200),0))*((1+$D$24)^(N$3-$K$3)))</f>
        <v>0</v>
      </c>
      <c r="O204" s="450">
        <f>IF(O201="N/A",0,IF(O201="SI",0,IF(OR($D201="Inversión",$D201="I/O"),SUM(VLOOKUP($B198,'C UNIT PROG TÉCNICOS'!$B$8:$G$160,5,FALSE)*'EV PROG TÉCNICOS'!O198,VLOOKUP($B199,'C UNIT PROG TÉCNICOS'!$B$8:$G$160,5,FALSE)*'EV PROG TÉCNICOS'!O199,VLOOKUP($B200,'C UNIT PROG TÉCNICOS'!$B$8:$G$160,5,FALSE)*'EV PROG TÉCNICOS'!O200),0))*((1+$D$24)^(O$3-$K$3)))</f>
        <v>0</v>
      </c>
      <c r="P204" s="450">
        <f>IF(P201="N/A",0,IF(P201="SI",0,IF(OR($D201="Inversión",$D201="I/O"),SUM(VLOOKUP($B198,'C UNIT PROG TÉCNICOS'!$B$8:$G$160,5,FALSE)*'EV PROG TÉCNICOS'!P198,VLOOKUP($B199,'C UNIT PROG TÉCNICOS'!$B$8:$G$160,5,FALSE)*'EV PROG TÉCNICOS'!P199,VLOOKUP($B200,'C UNIT PROG TÉCNICOS'!$B$8:$G$160,5,FALSE)*'EV PROG TÉCNICOS'!P200),0))*((1+$D$24)^(P$3-$K$3)))</f>
        <v>0</v>
      </c>
      <c r="Q204" s="450">
        <f>IF(Q201="N/A",0,IF(Q201="SI",0,IF(OR($D201="Inversión",$D201="I/O"),SUM(VLOOKUP($B198,'C UNIT PROG TÉCNICOS'!$B$8:$G$160,5,FALSE)*'EV PROG TÉCNICOS'!Q198,VLOOKUP($B199,'C UNIT PROG TÉCNICOS'!$B$8:$G$160,5,FALSE)*'EV PROG TÉCNICOS'!Q199,VLOOKUP($B200,'C UNIT PROG TÉCNICOS'!$B$8:$G$160,5,FALSE)*'EV PROG TÉCNICOS'!Q200),0))*((1+$D$24)^(Q$3-$K$3)))</f>
        <v>0</v>
      </c>
      <c r="R204" s="450">
        <f>IF(R201="N/A",0,IF(R201="SI",0,IF(OR($D201="Inversión",$D201="I/O"),SUM(VLOOKUP($B198,'C UNIT PROG TÉCNICOS'!$B$8:$G$160,5,FALSE)*'EV PROG TÉCNICOS'!R198,VLOOKUP($B199,'C UNIT PROG TÉCNICOS'!$B$8:$G$160,5,FALSE)*'EV PROG TÉCNICOS'!R199,VLOOKUP($B200,'C UNIT PROG TÉCNICOS'!$B$8:$G$160,5,FALSE)*'EV PROG TÉCNICOS'!R200),0))*((1+$D$24)^(R$3-$K$3)))</f>
        <v>0</v>
      </c>
      <c r="S204" s="450">
        <f>IF(S201="N/A",0,IF(S201="SI",0,IF(OR($D201="Inversión",$D201="I/O"),SUM(VLOOKUP($B198,'C UNIT PROG TÉCNICOS'!$B$8:$G$160,5,FALSE)*'EV PROG TÉCNICOS'!S198,VLOOKUP($B199,'C UNIT PROG TÉCNICOS'!$B$8:$G$160,5,FALSE)*'EV PROG TÉCNICOS'!S199,VLOOKUP($B200,'C UNIT PROG TÉCNICOS'!$B$8:$G$160,5,FALSE)*'EV PROG TÉCNICOS'!S200),0))*((1+$D$24)^(S$3-$K$3)))</f>
        <v>0</v>
      </c>
      <c r="T204" s="450">
        <f>IF(T201="N/A",0,IF(T201="SI",0,IF(OR($D201="Inversión",$D201="I/O"),SUM(VLOOKUP($B198,'C UNIT PROG TÉCNICOS'!$B$8:$G$160,5,FALSE)*'EV PROG TÉCNICOS'!T198,VLOOKUP($B199,'C UNIT PROG TÉCNICOS'!$B$8:$G$160,5,FALSE)*'EV PROG TÉCNICOS'!T199,VLOOKUP($B200,'C UNIT PROG TÉCNICOS'!$B$8:$G$160,5,FALSE)*'EV PROG TÉCNICOS'!T200),0))*((1+$D$24)^(T$3-$K$3)))</f>
        <v>0</v>
      </c>
      <c r="U204" s="450">
        <f>IF(U201="N/A",0,IF(U201="SI",0,IF(OR($D201="Inversión",$D201="I/O"),SUM(VLOOKUP($B198,'C UNIT PROG TÉCNICOS'!$B$8:$G$160,5,FALSE)*'EV PROG TÉCNICOS'!U198,VLOOKUP($B199,'C UNIT PROG TÉCNICOS'!$B$8:$G$160,5,FALSE)*'EV PROG TÉCNICOS'!U199,VLOOKUP($B200,'C UNIT PROG TÉCNICOS'!$B$8:$G$160,5,FALSE)*'EV PROG TÉCNICOS'!U200),0))*((1+$D$24)^(U$3-$K$3)))</f>
        <v>0</v>
      </c>
    </row>
    <row r="205" spans="1:21" s="376" customFormat="1" ht="15" hidden="1" customHeight="1" outlineLevel="1" x14ac:dyDescent="0.25">
      <c r="A205" s="374"/>
      <c r="B205" s="454" t="str">
        <f>CONCATENATE("VNA ",B192)</f>
        <v>VNA Medidores faltantes</v>
      </c>
      <c r="C205" s="374" t="s">
        <v>6</v>
      </c>
      <c r="D205" s="453">
        <f>NPV($D$31,L205:U205)+K205</f>
        <v>0</v>
      </c>
      <c r="K205" s="452">
        <f>IF(K201="N/A",0,IF($D201="Operación",K203,K204))</f>
        <v>0</v>
      </c>
      <c r="L205" s="452">
        <f>IF(L201="N/A",0,IF($D201="Operación",L203,L204))</f>
        <v>0</v>
      </c>
      <c r="M205" s="452">
        <f t="shared" ref="M205:U205" si="106">IF(M201="N/A",0,IF($D201="Operación",M203,M204))</f>
        <v>0</v>
      </c>
      <c r="N205" s="452">
        <f t="shared" si="106"/>
        <v>0</v>
      </c>
      <c r="O205" s="452">
        <f t="shared" si="106"/>
        <v>0</v>
      </c>
      <c r="P205" s="452">
        <f t="shared" si="106"/>
        <v>0</v>
      </c>
      <c r="Q205" s="452">
        <f t="shared" si="106"/>
        <v>0</v>
      </c>
      <c r="R205" s="452">
        <f t="shared" si="106"/>
        <v>0</v>
      </c>
      <c r="S205" s="452">
        <f t="shared" si="106"/>
        <v>0</v>
      </c>
      <c r="T205" s="452">
        <f t="shared" si="106"/>
        <v>0</v>
      </c>
      <c r="U205" s="452">
        <f t="shared" si="106"/>
        <v>0</v>
      </c>
    </row>
    <row r="206" spans="1:21" s="376" customFormat="1" ht="0.95" hidden="1" customHeight="1" outlineLevel="1" x14ac:dyDescent="0.25">
      <c r="A206" s="374"/>
      <c r="B206" s="454"/>
      <c r="C206" s="374"/>
      <c r="D206" s="386"/>
      <c r="K206" s="378"/>
      <c r="L206" s="378"/>
      <c r="M206" s="378"/>
      <c r="N206" s="378"/>
      <c r="O206" s="378"/>
      <c r="P206" s="378"/>
      <c r="Q206" s="378"/>
      <c r="R206" s="378"/>
      <c r="S206" s="378"/>
      <c r="T206" s="378"/>
      <c r="U206" s="378"/>
    </row>
    <row r="207" spans="1:21" s="376" customFormat="1" ht="0.95" hidden="1" customHeight="1" outlineLevel="1" x14ac:dyDescent="0.25">
      <c r="A207" s="374"/>
      <c r="C207" s="374"/>
      <c r="D207" s="453"/>
      <c r="K207" s="452"/>
      <c r="L207" s="452"/>
      <c r="M207" s="452"/>
      <c r="N207" s="452"/>
      <c r="O207" s="452"/>
      <c r="P207" s="452"/>
      <c r="Q207" s="452"/>
      <c r="R207" s="452"/>
      <c r="S207" s="452"/>
      <c r="T207" s="452"/>
      <c r="U207" s="452"/>
    </row>
    <row r="208" spans="1:21" s="376" customFormat="1" ht="0.95" hidden="1" customHeight="1" outlineLevel="1" x14ac:dyDescent="0.25">
      <c r="A208" s="374"/>
      <c r="C208" s="374"/>
      <c r="D208"/>
      <c r="K208" s="455"/>
      <c r="L208" s="455"/>
      <c r="M208" s="455"/>
      <c r="N208" s="455"/>
      <c r="O208" s="455"/>
      <c r="P208" s="455"/>
      <c r="Q208" s="455"/>
      <c r="R208" s="455"/>
      <c r="S208" s="455"/>
      <c r="T208" s="455"/>
      <c r="U208" s="455"/>
    </row>
    <row r="209" spans="1:21" s="326" customFormat="1" ht="12" hidden="1" customHeight="1" outlineLevel="1" x14ac:dyDescent="0.25">
      <c r="A209" s="316"/>
      <c r="C209" s="316"/>
      <c r="D209" s="316"/>
      <c r="K209" s="379"/>
      <c r="L209" s="379"/>
      <c r="M209" s="379"/>
      <c r="N209" s="379"/>
      <c r="O209" s="379"/>
      <c r="P209" s="379"/>
      <c r="Q209" s="379"/>
      <c r="R209" s="379"/>
      <c r="S209" s="379"/>
      <c r="T209" s="379"/>
      <c r="U209" s="379"/>
    </row>
    <row r="210" spans="1:21" s="326" customFormat="1" ht="12" hidden="1" customHeight="1" outlineLevel="1" x14ac:dyDescent="0.25">
      <c r="A210" s="380" t="s">
        <v>132</v>
      </c>
      <c r="B210" s="358" t="s">
        <v>83</v>
      </c>
      <c r="C210" s="316"/>
      <c r="D210" s="316"/>
      <c r="K210" s="442">
        <f>IF(SUM(K212:K214)=0,0,SUM(K212:K214))</f>
        <v>0</v>
      </c>
      <c r="L210" s="442">
        <f>IF(SUM(L212:L214)=0,0,SUM(L212:L214))</f>
        <v>0</v>
      </c>
      <c r="M210" s="442">
        <f>IF(SUM(M212:M214)=0,0,SUM(M212:M214))</f>
        <v>0</v>
      </c>
      <c r="N210" s="442">
        <f t="shared" ref="N210:U210" si="107">IF(SUM(N212:N214)=0,0,SUM(N212:N214))</f>
        <v>0</v>
      </c>
      <c r="O210" s="442">
        <f t="shared" si="107"/>
        <v>0</v>
      </c>
      <c r="P210" s="442">
        <f t="shared" si="107"/>
        <v>0</v>
      </c>
      <c r="Q210" s="442">
        <f t="shared" si="107"/>
        <v>0</v>
      </c>
      <c r="R210" s="442">
        <f t="shared" si="107"/>
        <v>0</v>
      </c>
      <c r="S210" s="442">
        <f t="shared" si="107"/>
        <v>0</v>
      </c>
      <c r="T210" s="442">
        <f t="shared" si="107"/>
        <v>0</v>
      </c>
      <c r="U210" s="442">
        <f t="shared" si="107"/>
        <v>0</v>
      </c>
    </row>
    <row r="211" spans="1:21" s="326" customFormat="1" ht="15" hidden="1" customHeight="1" outlineLevel="1" x14ac:dyDescent="0.25">
      <c r="A211" s="316"/>
      <c r="B211" s="326" t="s">
        <v>24</v>
      </c>
      <c r="C211" s="316" t="s">
        <v>11</v>
      </c>
      <c r="D211" s="444">
        <f>COUNT(L211:U211)</f>
        <v>2</v>
      </c>
      <c r="E211" s="364"/>
      <c r="F211" s="364"/>
      <c r="G211" s="364"/>
      <c r="H211" s="364"/>
      <c r="I211" s="364"/>
      <c r="J211" s="364"/>
      <c r="K211" s="365">
        <v>0</v>
      </c>
      <c r="L211" s="443">
        <f>IF(L215="N/A","",K211+1)</f>
        <v>1</v>
      </c>
      <c r="M211" s="443">
        <f t="shared" ref="M211:U211" si="108">IF(M215="N/A","",L211+1)</f>
        <v>2</v>
      </c>
      <c r="N211" s="443" t="str">
        <f t="shared" si="108"/>
        <v/>
      </c>
      <c r="O211" s="443" t="str">
        <f t="shared" si="108"/>
        <v/>
      </c>
      <c r="P211" s="443" t="str">
        <f t="shared" si="108"/>
        <v/>
      </c>
      <c r="Q211" s="443" t="str">
        <f t="shared" si="108"/>
        <v/>
      </c>
      <c r="R211" s="443" t="str">
        <f t="shared" si="108"/>
        <v/>
      </c>
      <c r="S211" s="443" t="str">
        <f t="shared" si="108"/>
        <v/>
      </c>
      <c r="T211" s="443" t="str">
        <f t="shared" si="108"/>
        <v/>
      </c>
      <c r="U211" s="443" t="str">
        <f t="shared" si="108"/>
        <v/>
      </c>
    </row>
    <row r="212" spans="1:21" s="307" customFormat="1" ht="24.95" hidden="1" customHeight="1" outlineLevel="1" x14ac:dyDescent="0.25">
      <c r="A212" s="446" t="str">
        <f>VLOOKUP(B212,'C UNIT PROG TÉCNICOS'!$B$8:$H$108,7,FALSE)</f>
        <v>CAPEX</v>
      </c>
      <c r="B212" s="367" t="s">
        <v>58</v>
      </c>
      <c r="C212" s="304" t="s">
        <v>20</v>
      </c>
      <c r="D212" s="304" t="s">
        <v>19</v>
      </c>
      <c r="I212" s="369"/>
      <c r="J212" s="369"/>
      <c r="K212" s="456">
        <f>IFERROR(ROUND(K197*0.5,0),0)</f>
        <v>0</v>
      </c>
      <c r="L212" s="456">
        <f>IFERROR(ROUND(L197*0.5,0),0)</f>
        <v>0</v>
      </c>
      <c r="M212" s="456">
        <f>IFERROR(ROUND(M197*0.5,0),0)</f>
        <v>0</v>
      </c>
      <c r="N212" s="382"/>
      <c r="O212" s="382"/>
      <c r="P212" s="382"/>
      <c r="Q212" s="382"/>
      <c r="R212" s="382"/>
      <c r="S212" s="382"/>
      <c r="T212" s="382"/>
      <c r="U212" s="382"/>
    </row>
    <row r="213" spans="1:21" s="307" customFormat="1" ht="24.95" hidden="1" customHeight="1" outlineLevel="1" x14ac:dyDescent="0.25">
      <c r="A213" s="446" t="str">
        <f>VLOOKUP(B213,'C UNIT PROG TÉCNICOS'!$B$8:$H$108,7,FALSE)</f>
        <v>CAPEX</v>
      </c>
      <c r="B213" s="367" t="s">
        <v>59</v>
      </c>
      <c r="C213" s="304" t="s">
        <v>20</v>
      </c>
      <c r="D213" s="304" t="s">
        <v>19</v>
      </c>
      <c r="I213" s="369"/>
      <c r="J213" s="369"/>
      <c r="K213" s="456">
        <f>IFERROR(ROUNDDOWN(K197*0.5,0),0)</f>
        <v>0</v>
      </c>
      <c r="L213" s="456">
        <f>IFERROR(ROUNDDOWN(L197*0.5,0),0)</f>
        <v>0</v>
      </c>
      <c r="M213" s="456">
        <f>IFERROR(ROUNDDOWN(M197*0.5,0),0)</f>
        <v>0</v>
      </c>
      <c r="N213" s="382"/>
      <c r="O213" s="382"/>
      <c r="P213" s="382"/>
      <c r="Q213" s="382"/>
      <c r="R213" s="382"/>
      <c r="S213" s="382"/>
      <c r="T213" s="382"/>
      <c r="U213" s="382"/>
    </row>
    <row r="214" spans="1:21" s="307" customFormat="1" ht="24.95" hidden="1" customHeight="1" outlineLevel="1" x14ac:dyDescent="0.25">
      <c r="A214" s="446" t="str">
        <f>VLOOKUP(B214,'C UNIT PROG TÉCNICOS'!$B$8:$H$108,7,FALSE)</f>
        <v>OPEX</v>
      </c>
      <c r="B214" s="367" t="s">
        <v>22</v>
      </c>
      <c r="C214" s="304" t="s">
        <v>20</v>
      </c>
      <c r="D214" s="304" t="s">
        <v>19</v>
      </c>
      <c r="I214" s="369"/>
      <c r="J214" s="369"/>
      <c r="K214" s="362">
        <v>0</v>
      </c>
      <c r="L214" s="362">
        <v>0</v>
      </c>
      <c r="M214" s="362">
        <v>0</v>
      </c>
      <c r="N214" s="383"/>
      <c r="O214" s="383"/>
      <c r="P214" s="383"/>
      <c r="Q214" s="383"/>
      <c r="R214" s="383"/>
      <c r="S214" s="383"/>
      <c r="T214" s="383"/>
      <c r="U214" s="383"/>
    </row>
    <row r="215" spans="1:21" s="307" customFormat="1" ht="12" hidden="1" customHeight="1" outlineLevel="1" x14ac:dyDescent="0.25">
      <c r="A215" s="316"/>
      <c r="B215" s="304" t="s">
        <v>742</v>
      </c>
      <c r="D215" s="447" t="str">
        <f>IF(AND(A212="CAPEX",A213="CAPEX",A214="CAPEX"),"Inversión",IF(AND(A212="OPEX",A213="OPEX",A214="OPEX"),"Operación","I/O"))</f>
        <v>I/O</v>
      </c>
      <c r="I215" s="370"/>
      <c r="J215" s="370"/>
      <c r="K215" s="371" t="s">
        <v>8</v>
      </c>
      <c r="L215" s="371" t="s">
        <v>8</v>
      </c>
      <c r="M215" s="371" t="s">
        <v>8</v>
      </c>
      <c r="N215" s="371" t="s">
        <v>149</v>
      </c>
      <c r="O215" s="371" t="s">
        <v>149</v>
      </c>
      <c r="P215" s="371" t="s">
        <v>149</v>
      </c>
      <c r="Q215" s="371" t="s">
        <v>149</v>
      </c>
      <c r="R215" s="371" t="s">
        <v>149</v>
      </c>
      <c r="S215" s="371" t="s">
        <v>149</v>
      </c>
      <c r="T215" s="371" t="s">
        <v>149</v>
      </c>
      <c r="U215" s="371" t="s">
        <v>149</v>
      </c>
    </row>
    <row r="216" spans="1:21" s="307" customFormat="1" ht="12" hidden="1" customHeight="1" outlineLevel="1" x14ac:dyDescent="0.25">
      <c r="A216" s="316"/>
      <c r="B216" s="307" t="s">
        <v>762</v>
      </c>
      <c r="C216" s="304"/>
      <c r="D216" s="304"/>
      <c r="K216" s="448">
        <f>IF(K215="N/A",0,IF(K215="SI",0,IF(OR($D215="I/O",$D215="Inversión"),0,SUM(VLOOKUP($B212,'C UNIT PROG TÉCNICOS'!$B$8:$G$160,6,FALSE)*'EV PROG TÉCNICOS'!K212,VLOOKUP($B213,'C UNIT PROG TÉCNICOS'!$B$8:$G$160,6,FALSE)*'EV PROG TÉCNICOS'!K213,VLOOKUP($B214,'C UNIT PROG TÉCNICOS'!$B$8:$G$160,6,FALSE)*'EV PROG TÉCNICOS'!K214))))</f>
        <v>0</v>
      </c>
      <c r="L216" s="448">
        <f>IF(L215="N/A",0,IF(L215="SI",0,IF(OR($D215="I/O",$D215="Inversión"),0,SUM(VLOOKUP($B212,'C UNIT PROG TÉCNICOS'!$B$8:$G$160,6,FALSE)*'EV PROG TÉCNICOS'!L212,VLOOKUP($B213,'C UNIT PROG TÉCNICOS'!$B$8:$G$160,6,FALSE)*'EV PROG TÉCNICOS'!L213,VLOOKUP($B214,'C UNIT PROG TÉCNICOS'!$B$8:$G$160,6,FALSE)*'EV PROG TÉCNICOS'!L214))))</f>
        <v>0</v>
      </c>
      <c r="M216" s="448">
        <f>IF(M215="N/A",0,IF(M215="SI",0,IF(OR($D215="I/O",$D215="Inversión"),0,SUM(VLOOKUP($B212,'C UNIT PROG TÉCNICOS'!$B$8:$G$160,6,FALSE)*'EV PROG TÉCNICOS'!M212,VLOOKUP($B213,'C UNIT PROG TÉCNICOS'!$B$8:$G$160,6,FALSE)*'EV PROG TÉCNICOS'!M213,VLOOKUP($B214,'C UNIT PROG TÉCNICOS'!$B$8:$G$160,6,FALSE)*'EV PROG TÉCNICOS'!M214))))</f>
        <v>0</v>
      </c>
      <c r="N216" s="448">
        <f>IF(N215="N/A",0,IF(N215="SI",0,IF(OR($D215="I/O",$D215="Inversión"),0,SUM(VLOOKUP($B212,'C UNIT PROG TÉCNICOS'!$B$8:$G$160,6,FALSE)*'EV PROG TÉCNICOS'!N212,VLOOKUP($B213,'C UNIT PROG TÉCNICOS'!$B$8:$G$160,6,FALSE)*'EV PROG TÉCNICOS'!N213,VLOOKUP($B214,'C UNIT PROG TÉCNICOS'!$B$8:$G$160,6,FALSE)*'EV PROG TÉCNICOS'!N214))))</f>
        <v>0</v>
      </c>
      <c r="O216" s="448">
        <f>IF(O215="N/A",0,IF(O215="SI",0,IF(OR($D215="I/O",$D215="Inversión"),0,SUM(VLOOKUP($B212,'C UNIT PROG TÉCNICOS'!$B$8:$G$160,6,FALSE)*'EV PROG TÉCNICOS'!O212,VLOOKUP($B213,'C UNIT PROG TÉCNICOS'!$B$8:$G$160,6,FALSE)*'EV PROG TÉCNICOS'!O213,VLOOKUP($B214,'C UNIT PROG TÉCNICOS'!$B$8:$G$160,6,FALSE)*'EV PROG TÉCNICOS'!O214))))</f>
        <v>0</v>
      </c>
      <c r="P216" s="448">
        <f>IF(P215="N/A",0,IF(P215="SI",0,IF(OR($D215="I/O",$D215="Inversión"),0,SUM(VLOOKUP($B212,'C UNIT PROG TÉCNICOS'!$B$8:$G$160,6,FALSE)*'EV PROG TÉCNICOS'!P212,VLOOKUP($B213,'C UNIT PROG TÉCNICOS'!$B$8:$G$160,6,FALSE)*'EV PROG TÉCNICOS'!P213,VLOOKUP($B214,'C UNIT PROG TÉCNICOS'!$B$8:$G$160,6,FALSE)*'EV PROG TÉCNICOS'!P214))))</f>
        <v>0</v>
      </c>
      <c r="Q216" s="448">
        <f>IF(Q215="N/A",0,IF(Q215="SI",0,IF(OR($D215="I/O",$D215="Inversión"),0,SUM(VLOOKUP($B212,'C UNIT PROG TÉCNICOS'!$B$8:$G$160,6,FALSE)*'EV PROG TÉCNICOS'!Q212,VLOOKUP($B213,'C UNIT PROG TÉCNICOS'!$B$8:$G$160,6,FALSE)*'EV PROG TÉCNICOS'!Q213,VLOOKUP($B214,'C UNIT PROG TÉCNICOS'!$B$8:$G$160,6,FALSE)*'EV PROG TÉCNICOS'!Q214))))</f>
        <v>0</v>
      </c>
      <c r="R216" s="448">
        <f>IF(R215="N/A",0,IF(R215="SI",0,IF(OR($D215="I/O",$D215="Inversión"),0,SUM(VLOOKUP($B212,'C UNIT PROG TÉCNICOS'!$B$8:$G$160,6,FALSE)*'EV PROG TÉCNICOS'!R212,VLOOKUP($B213,'C UNIT PROG TÉCNICOS'!$B$8:$G$160,6,FALSE)*'EV PROG TÉCNICOS'!R213,VLOOKUP($B214,'C UNIT PROG TÉCNICOS'!$B$8:$G$160,6,FALSE)*'EV PROG TÉCNICOS'!R214))))</f>
        <v>0</v>
      </c>
      <c r="S216" s="448">
        <f>IF(S215="N/A",0,IF(S215="SI",0,IF(OR($D215="I/O",$D215="Inversión"),0,SUM(VLOOKUP($B212,'C UNIT PROG TÉCNICOS'!$B$8:$G$160,6,FALSE)*'EV PROG TÉCNICOS'!S212,VLOOKUP($B213,'C UNIT PROG TÉCNICOS'!$B$8:$G$160,6,FALSE)*'EV PROG TÉCNICOS'!S213,VLOOKUP($B214,'C UNIT PROG TÉCNICOS'!$B$8:$G$160,6,FALSE)*'EV PROG TÉCNICOS'!S214))))</f>
        <v>0</v>
      </c>
      <c r="T216" s="448">
        <f>IF(T215="N/A",0,IF(T215="SI",0,IF(OR($D215="I/O",$D215="Inversión"),0,SUM(VLOOKUP($B212,'C UNIT PROG TÉCNICOS'!$B$8:$G$160,6,FALSE)*'EV PROG TÉCNICOS'!T212,VLOOKUP($B213,'C UNIT PROG TÉCNICOS'!$B$8:$G$160,6,FALSE)*'EV PROG TÉCNICOS'!T213,VLOOKUP($B214,'C UNIT PROG TÉCNICOS'!$B$8:$G$160,6,FALSE)*'EV PROG TÉCNICOS'!T214))))</f>
        <v>0</v>
      </c>
      <c r="U216" s="448">
        <f>IF(U215="N/A",0,IF(U215="SI",0,IF(OR($D215="I/O",$D215="Inversión"),0,SUM(VLOOKUP($B212,'C UNIT PROG TÉCNICOS'!$B$8:$G$160,6,FALSE)*'EV PROG TÉCNICOS'!U212,VLOOKUP($B213,'C UNIT PROG TÉCNICOS'!$B$8:$G$160,6,FALSE)*'EV PROG TÉCNICOS'!U213,VLOOKUP($B214,'C UNIT PROG TÉCNICOS'!$B$8:$G$160,6,FALSE)*'EV PROG TÉCNICOS'!U214))))</f>
        <v>0</v>
      </c>
    </row>
    <row r="217" spans="1:21" s="307" customFormat="1" ht="12" hidden="1" customHeight="1" outlineLevel="1" x14ac:dyDescent="0.25">
      <c r="A217" s="387"/>
      <c r="B217" s="307" t="s">
        <v>763</v>
      </c>
      <c r="C217" s="304" t="s">
        <v>6</v>
      </c>
      <c r="D217" s="304"/>
      <c r="K217" s="450">
        <f>IF(K215="N/A",0,IF(K215="SI",0,K$21*K216))</f>
        <v>0</v>
      </c>
      <c r="L217" s="450">
        <f>IF(L215="N/A",0,IF(L215="SI",0,L$21*L216))</f>
        <v>0</v>
      </c>
      <c r="M217" s="450">
        <f t="shared" ref="M217:U217" si="109">IF(M215="N/A",0,IF(M215="SI",0,M$21*M216))</f>
        <v>0</v>
      </c>
      <c r="N217" s="450">
        <f t="shared" si="109"/>
        <v>0</v>
      </c>
      <c r="O217" s="450">
        <f t="shared" si="109"/>
        <v>0</v>
      </c>
      <c r="P217" s="450">
        <f t="shared" si="109"/>
        <v>0</v>
      </c>
      <c r="Q217" s="450">
        <f t="shared" si="109"/>
        <v>0</v>
      </c>
      <c r="R217" s="450">
        <f t="shared" si="109"/>
        <v>0</v>
      </c>
      <c r="S217" s="450">
        <f t="shared" si="109"/>
        <v>0</v>
      </c>
      <c r="T217" s="450">
        <f t="shared" si="109"/>
        <v>0</v>
      </c>
      <c r="U217" s="450">
        <f t="shared" si="109"/>
        <v>0</v>
      </c>
    </row>
    <row r="218" spans="1:21" s="307" customFormat="1" ht="12" hidden="1" customHeight="1" outlineLevel="1" x14ac:dyDescent="0.25">
      <c r="A218" s="316"/>
      <c r="B218" s="307" t="s">
        <v>764</v>
      </c>
      <c r="C218" s="304" t="s">
        <v>6</v>
      </c>
      <c r="D218" s="304"/>
      <c r="K218" s="450">
        <f>IF(K215="N/A",0,IF(K215="SI",0,IF(OR($D215="Inversión",$D215="I/O"),SUM(VLOOKUP($B212,'C UNIT PROG TÉCNICOS'!$B$8:$G$160,5,FALSE)*'EV PROG TÉCNICOS'!K212,VLOOKUP($B213,'C UNIT PROG TÉCNICOS'!$B$8:$G$160,5,FALSE)*'EV PROG TÉCNICOS'!K213,VLOOKUP($B214,'C UNIT PROG TÉCNICOS'!$B$8:$G$160,5,FALSE)*'EV PROG TÉCNICOS'!K214),0))*((1+$D$24)^(K$3-$K$3)))</f>
        <v>0</v>
      </c>
      <c r="L218" s="450">
        <f>IF(L215="N/A",0,IF(L215="SI",0,IF(OR($D215="Inversión",$D215="I/O"),SUM(VLOOKUP($B212,'C UNIT PROG TÉCNICOS'!$B$8:$G$160,5,FALSE)*'EV PROG TÉCNICOS'!L212,VLOOKUP($B213,'C UNIT PROG TÉCNICOS'!$B$8:$G$160,5,FALSE)*'EV PROG TÉCNICOS'!L213,VLOOKUP($B214,'C UNIT PROG TÉCNICOS'!$B$8:$G$160,5,FALSE)*'EV PROG TÉCNICOS'!L214),0))*((1+$D$24)^(L$3-$K$3)))</f>
        <v>0</v>
      </c>
      <c r="M218" s="450">
        <f>IF(M215="N/A",0,IF(M215="SI",0,IF(OR($D215="Inversión",$D215="I/O"),SUM(VLOOKUP($B212,'C UNIT PROG TÉCNICOS'!$B$8:$G$160,5,FALSE)*'EV PROG TÉCNICOS'!M212,VLOOKUP($B213,'C UNIT PROG TÉCNICOS'!$B$8:$G$160,5,FALSE)*'EV PROG TÉCNICOS'!M213,VLOOKUP($B214,'C UNIT PROG TÉCNICOS'!$B$8:$G$160,5,FALSE)*'EV PROG TÉCNICOS'!M214),0))*((1+$D$24)^(M$3-$K$3)))</f>
        <v>0</v>
      </c>
      <c r="N218" s="450">
        <f>IF(N215="N/A",0,IF(N215="SI",0,IF(OR($D215="Inversión",$D215="I/O"),SUM(VLOOKUP($B212,'C UNIT PROG TÉCNICOS'!$B$8:$G$160,5,FALSE)*'EV PROG TÉCNICOS'!N212,VLOOKUP($B213,'C UNIT PROG TÉCNICOS'!$B$8:$G$160,5,FALSE)*'EV PROG TÉCNICOS'!N213,VLOOKUP($B214,'C UNIT PROG TÉCNICOS'!$B$8:$G$160,5,FALSE)*'EV PROG TÉCNICOS'!N214),0))*((1+$D$24)^(N$3-$K$3)))</f>
        <v>0</v>
      </c>
      <c r="O218" s="450">
        <f>IF(O215="N/A",0,IF(O215="SI",0,IF(OR($D215="Inversión",$D215="I/O"),SUM(VLOOKUP($B212,'C UNIT PROG TÉCNICOS'!$B$8:$G$160,5,FALSE)*'EV PROG TÉCNICOS'!O212,VLOOKUP($B213,'C UNIT PROG TÉCNICOS'!$B$8:$G$160,5,FALSE)*'EV PROG TÉCNICOS'!O213,VLOOKUP($B214,'C UNIT PROG TÉCNICOS'!$B$8:$G$160,5,FALSE)*'EV PROG TÉCNICOS'!O214),0))*((1+$D$24)^(O$3-$K$3)))</f>
        <v>0</v>
      </c>
      <c r="P218" s="450">
        <f>IF(P215="N/A",0,IF(P215="SI",0,IF(OR($D215="Inversión",$D215="I/O"),SUM(VLOOKUP($B212,'C UNIT PROG TÉCNICOS'!$B$8:$G$160,5,FALSE)*'EV PROG TÉCNICOS'!P212,VLOOKUP($B213,'C UNIT PROG TÉCNICOS'!$B$8:$G$160,5,FALSE)*'EV PROG TÉCNICOS'!P213,VLOOKUP($B214,'C UNIT PROG TÉCNICOS'!$B$8:$G$160,5,FALSE)*'EV PROG TÉCNICOS'!P214),0))*((1+$D$24)^(P$3-$K$3)))</f>
        <v>0</v>
      </c>
      <c r="Q218" s="450">
        <f>IF(Q215="N/A",0,IF(Q215="SI",0,IF(OR($D215="Inversión",$D215="I/O"),SUM(VLOOKUP($B212,'C UNIT PROG TÉCNICOS'!$B$8:$G$160,5,FALSE)*'EV PROG TÉCNICOS'!Q212,VLOOKUP($B213,'C UNIT PROG TÉCNICOS'!$B$8:$G$160,5,FALSE)*'EV PROG TÉCNICOS'!Q213,VLOOKUP($B214,'C UNIT PROG TÉCNICOS'!$B$8:$G$160,5,FALSE)*'EV PROG TÉCNICOS'!Q214),0))*((1+$D$24)^(Q$3-$K$3)))</f>
        <v>0</v>
      </c>
      <c r="R218" s="450">
        <f>IF(R215="N/A",0,IF(R215="SI",0,IF(OR($D215="Inversión",$D215="I/O"),SUM(VLOOKUP($B212,'C UNIT PROG TÉCNICOS'!$B$8:$G$160,5,FALSE)*'EV PROG TÉCNICOS'!R212,VLOOKUP($B213,'C UNIT PROG TÉCNICOS'!$B$8:$G$160,5,FALSE)*'EV PROG TÉCNICOS'!R213,VLOOKUP($B214,'C UNIT PROG TÉCNICOS'!$B$8:$G$160,5,FALSE)*'EV PROG TÉCNICOS'!R214),0))*((1+$D$24)^(R$3-$K$3)))</f>
        <v>0</v>
      </c>
      <c r="S218" s="450">
        <f>IF(S215="N/A",0,IF(S215="SI",0,IF(OR($D215="Inversión",$D215="I/O"),SUM(VLOOKUP($B212,'C UNIT PROG TÉCNICOS'!$B$8:$G$160,5,FALSE)*'EV PROG TÉCNICOS'!S212,VLOOKUP($B213,'C UNIT PROG TÉCNICOS'!$B$8:$G$160,5,FALSE)*'EV PROG TÉCNICOS'!S213,VLOOKUP($B214,'C UNIT PROG TÉCNICOS'!$B$8:$G$160,5,FALSE)*'EV PROG TÉCNICOS'!S214),0))*((1+$D$24)^(S$3-$K$3)))</f>
        <v>0</v>
      </c>
      <c r="T218" s="450">
        <f>IF(T215="N/A",0,IF(T215="SI",0,IF(OR($D215="Inversión",$D215="I/O"),SUM(VLOOKUP($B212,'C UNIT PROG TÉCNICOS'!$B$8:$G$160,5,FALSE)*'EV PROG TÉCNICOS'!T212,VLOOKUP($B213,'C UNIT PROG TÉCNICOS'!$B$8:$G$160,5,FALSE)*'EV PROG TÉCNICOS'!T213,VLOOKUP($B214,'C UNIT PROG TÉCNICOS'!$B$8:$G$160,5,FALSE)*'EV PROG TÉCNICOS'!T214),0))*((1+$D$24)^(T$3-$K$3)))</f>
        <v>0</v>
      </c>
      <c r="U218" s="450">
        <f>IF(U215="N/A",0,IF(U215="SI",0,IF(OR($D215="Inversión",$D215="I/O"),SUM(VLOOKUP($B212,'C UNIT PROG TÉCNICOS'!$B$8:$G$160,5,FALSE)*'EV PROG TÉCNICOS'!U212,VLOOKUP($B213,'C UNIT PROG TÉCNICOS'!$B$8:$G$160,5,FALSE)*'EV PROG TÉCNICOS'!U213,VLOOKUP($B214,'C UNIT PROG TÉCNICOS'!$B$8:$G$160,5,FALSE)*'EV PROG TÉCNICOS'!U214),0))*((1+$D$24)^(U$3-$K$3)))</f>
        <v>0</v>
      </c>
    </row>
    <row r="219" spans="1:21" s="376" customFormat="1" ht="15" hidden="1" outlineLevel="1" x14ac:dyDescent="0.25">
      <c r="A219" s="374"/>
      <c r="B219" s="454" t="str">
        <f>CONCATENATE("VNA ",B210)</f>
        <v>VNA Telemetría y/o almacenamiento local de datos</v>
      </c>
      <c r="C219" s="374" t="s">
        <v>6</v>
      </c>
      <c r="D219" s="453">
        <f>NPV($D$31,L219:U219)+K219</f>
        <v>0</v>
      </c>
      <c r="K219" s="452">
        <f>IF(K216="N/A",0,IF($D215="Operación",K217,K218))</f>
        <v>0</v>
      </c>
      <c r="L219" s="452">
        <f>IF(L215="N/A",0,IF($D215="Operación",L217,L218))</f>
        <v>0</v>
      </c>
      <c r="M219" s="452">
        <f t="shared" ref="M219:U219" si="110">IF(M215="N/A",0,IF($D215="Operación",M217,M218))</f>
        <v>0</v>
      </c>
      <c r="N219" s="452">
        <f t="shared" si="110"/>
        <v>0</v>
      </c>
      <c r="O219" s="452">
        <f t="shared" si="110"/>
        <v>0</v>
      </c>
      <c r="P219" s="452">
        <f t="shared" si="110"/>
        <v>0</v>
      </c>
      <c r="Q219" s="452">
        <f t="shared" si="110"/>
        <v>0</v>
      </c>
      <c r="R219" s="452">
        <f t="shared" si="110"/>
        <v>0</v>
      </c>
      <c r="S219" s="452">
        <f t="shared" si="110"/>
        <v>0</v>
      </c>
      <c r="T219" s="452">
        <f t="shared" si="110"/>
        <v>0</v>
      </c>
      <c r="U219" s="452">
        <f t="shared" si="110"/>
        <v>0</v>
      </c>
    </row>
    <row r="220" spans="1:21" s="376" customFormat="1" ht="0.95" hidden="1" customHeight="1" outlineLevel="1" x14ac:dyDescent="0.25">
      <c r="A220" s="374"/>
      <c r="B220" s="454"/>
      <c r="C220" s="374"/>
      <c r="D220" s="374"/>
      <c r="K220" s="384"/>
      <c r="L220" s="384"/>
      <c r="M220" s="384"/>
      <c r="N220" s="384"/>
      <c r="O220" s="384"/>
      <c r="P220" s="384"/>
      <c r="Q220" s="384"/>
      <c r="R220" s="384"/>
      <c r="S220" s="384"/>
      <c r="T220" s="384"/>
      <c r="U220" s="384"/>
    </row>
    <row r="221" spans="1:21" s="376" customFormat="1" ht="0.95" hidden="1" customHeight="1" outlineLevel="1" x14ac:dyDescent="0.25">
      <c r="A221" s="374"/>
      <c r="C221" s="374"/>
      <c r="D221" s="453"/>
      <c r="K221" s="452"/>
      <c r="L221" s="452"/>
      <c r="M221" s="452"/>
      <c r="N221" s="452"/>
      <c r="O221" s="452"/>
      <c r="P221" s="452"/>
      <c r="Q221" s="452"/>
      <c r="R221" s="452"/>
      <c r="S221" s="452"/>
      <c r="T221" s="452"/>
      <c r="U221" s="452"/>
    </row>
    <row r="222" spans="1:21" s="376" customFormat="1" ht="0.95" hidden="1" customHeight="1" outlineLevel="1" x14ac:dyDescent="0.25">
      <c r="A222" s="374"/>
      <c r="C222" s="374"/>
      <c r="D222"/>
      <c r="K222" s="455"/>
      <c r="L222" s="455"/>
      <c r="M222" s="455"/>
      <c r="N222" s="455"/>
      <c r="O222" s="455"/>
      <c r="P222" s="455"/>
      <c r="Q222" s="455"/>
      <c r="R222" s="455"/>
      <c r="S222" s="455"/>
      <c r="T222" s="455"/>
      <c r="U222" s="455"/>
    </row>
    <row r="223" spans="1:21" s="307" customFormat="1" ht="12" hidden="1" customHeight="1" outlineLevel="1" x14ac:dyDescent="0.25">
      <c r="A223" s="304"/>
    </row>
    <row r="224" spans="1:21" s="307" customFormat="1" ht="12" hidden="1" customHeight="1" outlineLevel="1" x14ac:dyDescent="0.25">
      <c r="A224" s="380" t="s">
        <v>133</v>
      </c>
      <c r="B224" s="358" t="s">
        <v>23</v>
      </c>
    </row>
    <row r="225" spans="1:21" s="326" customFormat="1" ht="15" hidden="1" customHeight="1" outlineLevel="1" x14ac:dyDescent="0.25">
      <c r="A225" s="316"/>
      <c r="B225" s="326" t="s">
        <v>24</v>
      </c>
      <c r="C225" s="316" t="s">
        <v>11</v>
      </c>
      <c r="D225" s="444">
        <f>COUNT(L225:U225)</f>
        <v>10</v>
      </c>
      <c r="E225" s="364"/>
      <c r="F225" s="364"/>
      <c r="G225" s="364"/>
      <c r="H225" s="364"/>
      <c r="I225" s="364"/>
      <c r="J225" s="364"/>
      <c r="K225" s="365">
        <v>0</v>
      </c>
      <c r="L225" s="443">
        <f t="shared" ref="L225:U225" si="111">IF(L227="N/A","",K225+1)</f>
        <v>1</v>
      </c>
      <c r="M225" s="443">
        <f t="shared" si="111"/>
        <v>2</v>
      </c>
      <c r="N225" s="443">
        <f t="shared" si="111"/>
        <v>3</v>
      </c>
      <c r="O225" s="443">
        <f t="shared" si="111"/>
        <v>4</v>
      </c>
      <c r="P225" s="443">
        <f t="shared" si="111"/>
        <v>5</v>
      </c>
      <c r="Q225" s="443">
        <f t="shared" si="111"/>
        <v>6</v>
      </c>
      <c r="R225" s="443">
        <f t="shared" si="111"/>
        <v>7</v>
      </c>
      <c r="S225" s="443">
        <f t="shared" si="111"/>
        <v>8</v>
      </c>
      <c r="T225" s="443">
        <f t="shared" si="111"/>
        <v>9</v>
      </c>
      <c r="U225" s="443">
        <f t="shared" si="111"/>
        <v>10</v>
      </c>
    </row>
    <row r="226" spans="1:21" s="307" customFormat="1" ht="24.95" hidden="1" customHeight="1" outlineLevel="1" x14ac:dyDescent="0.25">
      <c r="A226" s="446" t="str">
        <f>VLOOKUP(B226,'C UNIT PROG TÉCNICOS'!$B$8:$H$108,7,FALSE)</f>
        <v>OPEX</v>
      </c>
      <c r="B226" s="367" t="s">
        <v>62</v>
      </c>
      <c r="C226" s="304" t="s">
        <v>20</v>
      </c>
      <c r="I226" s="369"/>
      <c r="J226" s="369"/>
      <c r="K226" s="442">
        <v>0</v>
      </c>
      <c r="L226" s="442">
        <f t="shared" ref="L226:U226" si="112">IF(OR(L194=$D$193,L194=0),$D$193,L194)</f>
        <v>8</v>
      </c>
      <c r="M226" s="442">
        <f t="shared" si="112"/>
        <v>8</v>
      </c>
      <c r="N226" s="442">
        <f t="shared" si="112"/>
        <v>8</v>
      </c>
      <c r="O226" s="442">
        <f t="shared" si="112"/>
        <v>8</v>
      </c>
      <c r="P226" s="442">
        <f t="shared" si="112"/>
        <v>8</v>
      </c>
      <c r="Q226" s="442">
        <f t="shared" si="112"/>
        <v>8</v>
      </c>
      <c r="R226" s="442">
        <f t="shared" si="112"/>
        <v>8</v>
      </c>
      <c r="S226" s="442">
        <f t="shared" si="112"/>
        <v>8</v>
      </c>
      <c r="T226" s="442">
        <f t="shared" si="112"/>
        <v>8</v>
      </c>
      <c r="U226" s="442">
        <f t="shared" si="112"/>
        <v>8</v>
      </c>
    </row>
    <row r="227" spans="1:21" s="307" customFormat="1" ht="12" hidden="1" customHeight="1" outlineLevel="1" x14ac:dyDescent="0.25">
      <c r="A227" s="316"/>
      <c r="B227" s="307" t="s">
        <v>742</v>
      </c>
      <c r="D227" s="447" t="str">
        <f>IF(A226="CAPEX","Inversión",IF(A226="OPEX","Operación","I/O"))</f>
        <v>Operación</v>
      </c>
      <c r="I227" s="370"/>
      <c r="J227" s="370"/>
      <c r="K227" s="371" t="s">
        <v>8</v>
      </c>
      <c r="L227" s="371" t="s">
        <v>8</v>
      </c>
      <c r="M227" s="371" t="s">
        <v>8</v>
      </c>
      <c r="N227" s="371" t="s">
        <v>8</v>
      </c>
      <c r="O227" s="371" t="s">
        <v>8</v>
      </c>
      <c r="P227" s="371" t="s">
        <v>8</v>
      </c>
      <c r="Q227" s="371" t="s">
        <v>8</v>
      </c>
      <c r="R227" s="371" t="s">
        <v>8</v>
      </c>
      <c r="S227" s="371" t="s">
        <v>8</v>
      </c>
      <c r="T227" s="371" t="s">
        <v>8</v>
      </c>
      <c r="U227" s="371" t="s">
        <v>8</v>
      </c>
    </row>
    <row r="228" spans="1:21" s="307" customFormat="1" ht="12" hidden="1" customHeight="1" outlineLevel="1" x14ac:dyDescent="0.25">
      <c r="A228" s="316"/>
      <c r="B228" s="307" t="s">
        <v>762</v>
      </c>
      <c r="C228" s="304"/>
      <c r="D228" s="304"/>
      <c r="K228" s="448">
        <f>IF(K227="N/A",0,IF(K227="SI",0,SUM(IF($D227="Inversión",0,VLOOKUP($B226,'C UNIT PROG TÉCNICOS'!$B$8:$G$160,6,FALSE)*'EV PROG TÉCNICOS'!K226))))</f>
        <v>0</v>
      </c>
      <c r="L228" s="448">
        <f>IF(L227="N/A",0,IF(L227="SI",0,SUM(IF($D227="Inversión",0,VLOOKUP($B226,'C UNIT PROG TÉCNICOS'!$B$8:$G$160,6,FALSE)*'EV PROG TÉCNICOS'!L226))))</f>
        <v>3.1360924778900054</v>
      </c>
      <c r="M228" s="448">
        <f>IF(M227="N/A",0,IF(M227="SI",0,SUM(IF($D227="Inversión",0,VLOOKUP($B226,'C UNIT PROG TÉCNICOS'!$B$8:$G$160,6,FALSE)*'EV PROG TÉCNICOS'!M226))))</f>
        <v>3.1360924778900054</v>
      </c>
      <c r="N228" s="448">
        <f>IF(N227="N/A",0,IF(N227="SI",0,SUM(IF($D227="Inversión",0,VLOOKUP($B226,'C UNIT PROG TÉCNICOS'!$B$8:$G$160,6,FALSE)*'EV PROG TÉCNICOS'!N226))))</f>
        <v>3.1360924778900054</v>
      </c>
      <c r="O228" s="448">
        <f>IF(O227="N/A",0,IF(O227="SI",0,SUM(IF($D227="Inversión",0,VLOOKUP($B226,'C UNIT PROG TÉCNICOS'!$B$8:$G$160,6,FALSE)*'EV PROG TÉCNICOS'!O226))))</f>
        <v>3.1360924778900054</v>
      </c>
      <c r="P228" s="448">
        <f>IF(P227="N/A",0,IF(P227="SI",0,SUM(IF($D227="Inversión",0,VLOOKUP($B226,'C UNIT PROG TÉCNICOS'!$B$8:$G$160,6,FALSE)*'EV PROG TÉCNICOS'!P226))))</f>
        <v>3.1360924778900054</v>
      </c>
      <c r="Q228" s="448">
        <f>IF(Q227="N/A",0,IF(Q227="SI",0,SUM(IF($D227="Inversión",0,VLOOKUP($B226,'C UNIT PROG TÉCNICOS'!$B$8:$G$160,6,FALSE)*'EV PROG TÉCNICOS'!Q226))))</f>
        <v>3.1360924778900054</v>
      </c>
      <c r="R228" s="448">
        <f>IF(R227="N/A",0,IF(R227="SI",0,SUM(IF($D227="Inversión",0,VLOOKUP($B226,'C UNIT PROG TÉCNICOS'!$B$8:$G$160,6,FALSE)*'EV PROG TÉCNICOS'!R226))))</f>
        <v>3.1360924778900054</v>
      </c>
      <c r="S228" s="448">
        <f>IF(S227="N/A",0,IF(S227="SI",0,SUM(IF($D227="Inversión",0,VLOOKUP($B226,'C UNIT PROG TÉCNICOS'!$B$8:$G$160,6,FALSE)*'EV PROG TÉCNICOS'!S226))))</f>
        <v>3.1360924778900054</v>
      </c>
      <c r="T228" s="448">
        <f>IF(T227="N/A",0,IF(T227="SI",0,SUM(IF($D227="Inversión",0,VLOOKUP($B226,'C UNIT PROG TÉCNICOS'!$B$8:$G$160,6,FALSE)*'EV PROG TÉCNICOS'!T226))))</f>
        <v>3.1360924778900054</v>
      </c>
      <c r="U228" s="448">
        <f>IF(U227="N/A",0,IF(U227="SI",0,SUM(IF($D227="Inversión",0,VLOOKUP($B226,'C UNIT PROG TÉCNICOS'!$B$8:$G$160,6,FALSE)*'EV PROG TÉCNICOS'!U226))))</f>
        <v>3.1360924778900054</v>
      </c>
    </row>
    <row r="229" spans="1:21" s="307" customFormat="1" ht="12" hidden="1" customHeight="1" outlineLevel="1" x14ac:dyDescent="0.25">
      <c r="A229" s="316"/>
      <c r="B229" s="307" t="s">
        <v>763</v>
      </c>
      <c r="C229" s="304" t="s">
        <v>6</v>
      </c>
      <c r="D229" s="304"/>
      <c r="K229" s="450">
        <f t="shared" ref="K229:P229" si="113">IF(K227="N/A",0,IF(K227="SI",0,K$21*K228))</f>
        <v>0</v>
      </c>
      <c r="L229" s="450">
        <f t="shared" si="113"/>
        <v>5491000</v>
      </c>
      <c r="M229" s="450">
        <f t="shared" si="113"/>
        <v>5802887.7017999999</v>
      </c>
      <c r="N229" s="450">
        <f t="shared" si="113"/>
        <v>6132490.5626846999</v>
      </c>
      <c r="O229" s="450">
        <f t="shared" si="113"/>
        <v>6480814.8001470789</v>
      </c>
      <c r="P229" s="450">
        <f t="shared" si="113"/>
        <v>6848923.7846324733</v>
      </c>
      <c r="Q229" s="450">
        <f>IF(Q227="N/A",0,IF(Q227="SI",0,Q$21*Q228))</f>
        <v>7237941.2858148403</v>
      </c>
      <c r="R229" s="450">
        <f>IF(R227="N/A",0,IF(R227="SI",0,R$21*R228))</f>
        <v>7649054.9032608662</v>
      </c>
      <c r="S229" s="450">
        <f>IF(S227="N/A",0,IF(S227="SI",0,S$21*S228))</f>
        <v>8083519.6919551026</v>
      </c>
      <c r="T229" s="450">
        <f>IF(T227="N/A",0,IF(T227="SI",0,T$21*T228))</f>
        <v>8542661.9937542137</v>
      </c>
      <c r="U229" s="450">
        <f>IF(U227="N/A",0,IF(U227="SI",0,U$21*U228))</f>
        <v>9027883.486467056</v>
      </c>
    </row>
    <row r="230" spans="1:21" s="307" customFormat="1" ht="12" hidden="1" customHeight="1" outlineLevel="1" x14ac:dyDescent="0.25">
      <c r="A230" s="316"/>
      <c r="B230" s="307" t="s">
        <v>764</v>
      </c>
      <c r="C230" s="304" t="s">
        <v>6</v>
      </c>
      <c r="D230" s="304"/>
      <c r="K230" s="450">
        <f>IF(K227="N/A",0,IF(K227="SI",0,IF(OR($D227="Inversión",$D227="I/O"),SUM(VLOOKUP($B226,'C UNIT PROG TÉCNICOS'!$B$8:$G$160,5,FALSE)*'EV PROG TÉCNICOS'!K226),0)))</f>
        <v>0</v>
      </c>
      <c r="L230" s="450">
        <f>IF(L227="N/A",0,IF(L227="SI",0,IF(OR($D227="Inversión",$D227="I/O"),SUM(VLOOKUP($B226,'C UNIT PROG TÉCNICOS'!$B$8:$G$160,5,FALSE)*'EV PROG TÉCNICOS'!L226),0))*((1+$D$24)^(L$3-$K$3)))</f>
        <v>0</v>
      </c>
      <c r="M230" s="450">
        <f>IF(M227="N/A",0,IF(M227="SI",0,IF(OR($D227="Inversión",$D227="I/O"),SUM(VLOOKUP($B226,'C UNIT PROG TÉCNICOS'!$B$8:$G$160,5,FALSE)*'EV PROG TÉCNICOS'!M226),0))*((1+$D$24)^(M$3-$K$3)))</f>
        <v>0</v>
      </c>
      <c r="N230" s="450">
        <f>IF(N227="N/A",0,IF(N227="SI",0,IF(OR($D227="Inversión",$D227="I/O"),SUM(VLOOKUP($B226,'C UNIT PROG TÉCNICOS'!$B$8:$G$160,5,FALSE)*'EV PROG TÉCNICOS'!N226),0))*((1+$D$24)^(N$3-$K$3)))</f>
        <v>0</v>
      </c>
      <c r="O230" s="450">
        <f>IF(O227="N/A",0,IF(O227="SI",0,IF(OR($D227="Inversión",$D227="I/O"),SUM(VLOOKUP($B226,'C UNIT PROG TÉCNICOS'!$B$8:$G$160,5,FALSE)*'EV PROG TÉCNICOS'!O226),0))*((1+$D$24)^(O$3-$K$3)))</f>
        <v>0</v>
      </c>
      <c r="P230" s="450">
        <f>IF(P227="N/A",0,IF(P227="SI",0,IF(OR($D227="Inversión",$D227="I/O"),SUM(VLOOKUP($B226,'C UNIT PROG TÉCNICOS'!$B$8:$G$160,5,FALSE)*'EV PROG TÉCNICOS'!P226),0))*((1+$D$24)^(P$3-$K$3)))</f>
        <v>0</v>
      </c>
      <c r="Q230" s="450">
        <f>IF(Q227="N/A",0,IF(Q227="SI",0,IF(OR($D227="Inversión",$D227="I/O"),SUM(VLOOKUP($B226,'C UNIT PROG TÉCNICOS'!$B$8:$G$160,5,FALSE)*'EV PROG TÉCNICOS'!Q226),0))*((1+$D$24)^(Q$3-$K$3)))</f>
        <v>0</v>
      </c>
      <c r="R230" s="450">
        <f>IF(R227="N/A",0,IF(R227="SI",0,IF(OR($D227="Inversión",$D227="I/O"),SUM(VLOOKUP($B226,'C UNIT PROG TÉCNICOS'!$B$8:$G$160,5,FALSE)*'EV PROG TÉCNICOS'!R226),0))*((1+$D$24)^(R$3-$K$3)))</f>
        <v>0</v>
      </c>
      <c r="S230" s="450">
        <f>IF(S227="N/A",0,IF(S227="SI",0,IF(OR($D227="Inversión",$D227="I/O"),SUM(VLOOKUP($B226,'C UNIT PROG TÉCNICOS'!$B$8:$G$160,5,FALSE)*'EV PROG TÉCNICOS'!S226),0))*((1+$D$24)^(S$3-$K$3)))</f>
        <v>0</v>
      </c>
      <c r="T230" s="450">
        <f>IF(T227="N/A",0,IF(T227="SI",0,IF(OR($D227="Inversión",$D227="I/O"),SUM(VLOOKUP($B226,'C UNIT PROG TÉCNICOS'!$B$8:$G$160,5,FALSE)*'EV PROG TÉCNICOS'!T226),0))*((1+$D$24)^(T$3-$K$3)))</f>
        <v>0</v>
      </c>
      <c r="U230" s="450">
        <f>IF(U227="N/A",0,IF(U227="SI",0,IF(OR($D227="Inversión",$D227="I/O"),SUM(VLOOKUP($B226,'C UNIT PROG TÉCNICOS'!$B$8:$G$160,5,FALSE)*'EV PROG TÉCNICOS'!U226),0))*((1+$D$24)^(U$3-$K$3)))</f>
        <v>0</v>
      </c>
    </row>
    <row r="231" spans="1:21" s="376" customFormat="1" ht="15" hidden="1" customHeight="1" outlineLevel="1" x14ac:dyDescent="0.25">
      <c r="A231" s="374"/>
      <c r="B231" s="454" t="str">
        <f>CONCATENATE("VNA ",B224)</f>
        <v>VNA Procesamiento de datos</v>
      </c>
      <c r="C231" s="374" t="s">
        <v>6</v>
      </c>
      <c r="D231" s="453">
        <f>NPV($D$31,L231:U231)+K231</f>
        <v>31889159.015546571</v>
      </c>
      <c r="K231" s="452">
        <f t="shared" ref="K231:P231" si="114">IF(K227="N/A",0,IF($D227="Operación",K229,K230))</f>
        <v>0</v>
      </c>
      <c r="L231" s="452">
        <f t="shared" si="114"/>
        <v>5491000</v>
      </c>
      <c r="M231" s="452">
        <f t="shared" si="114"/>
        <v>5802887.7017999999</v>
      </c>
      <c r="N231" s="452">
        <f t="shared" si="114"/>
        <v>6132490.5626846999</v>
      </c>
      <c r="O231" s="452">
        <f t="shared" si="114"/>
        <v>6480814.8001470789</v>
      </c>
      <c r="P231" s="452">
        <f t="shared" si="114"/>
        <v>6848923.7846324733</v>
      </c>
      <c r="Q231" s="452">
        <f>IF(Q227="N/A",0,IF($D227="Operación",Q229,Q230))</f>
        <v>7237941.2858148403</v>
      </c>
      <c r="R231" s="452">
        <f>IF(R227="N/A",0,IF($D227="Operación",R229,R230))</f>
        <v>7649054.9032608662</v>
      </c>
      <c r="S231" s="452">
        <f>IF(S227="N/A",0,IF($D227="Operación",S229,S230))</f>
        <v>8083519.6919551026</v>
      </c>
      <c r="T231" s="452">
        <f>IF(T227="N/A",0,IF($D227="Operación",T229,T230))</f>
        <v>8542661.9937542137</v>
      </c>
      <c r="U231" s="452">
        <f>IF(U227="N/A",0,IF($D227="Operación",U229,U230))</f>
        <v>9027883.486467056</v>
      </c>
    </row>
    <row r="232" spans="1:21" s="376" customFormat="1" ht="0.95" hidden="1" customHeight="1" outlineLevel="1" x14ac:dyDescent="0.25">
      <c r="A232" s="374"/>
      <c r="B232" s="454"/>
      <c r="C232" s="374"/>
      <c r="D232" s="374"/>
      <c r="K232" s="378"/>
      <c r="L232" s="378"/>
      <c r="M232" s="378"/>
      <c r="N232" s="378"/>
      <c r="O232" s="378"/>
      <c r="P232" s="378"/>
      <c r="Q232" s="378"/>
      <c r="R232" s="378"/>
      <c r="S232" s="378"/>
      <c r="T232" s="378"/>
      <c r="U232" s="378"/>
    </row>
    <row r="233" spans="1:21" s="376" customFormat="1" ht="0.95" hidden="1" customHeight="1" outlineLevel="1" x14ac:dyDescent="0.25">
      <c r="A233" s="374"/>
      <c r="C233" s="374"/>
      <c r="D233" s="453"/>
      <c r="K233" s="452"/>
      <c r="L233" s="452"/>
      <c r="M233" s="452"/>
      <c r="N233" s="452"/>
      <c r="O233" s="452"/>
      <c r="P233" s="452"/>
      <c r="Q233" s="452"/>
      <c r="R233" s="452"/>
      <c r="S233" s="452"/>
      <c r="T233" s="452"/>
      <c r="U233" s="452"/>
    </row>
    <row r="234" spans="1:21" s="376" customFormat="1" ht="0.95" hidden="1" customHeight="1" outlineLevel="1" x14ac:dyDescent="0.25">
      <c r="A234" s="374"/>
      <c r="C234" s="374"/>
      <c r="D234"/>
      <c r="K234" s="455"/>
      <c r="L234" s="455"/>
      <c r="M234" s="455"/>
      <c r="N234" s="455"/>
      <c r="O234" s="455"/>
      <c r="P234" s="455"/>
      <c r="Q234" s="455"/>
      <c r="R234" s="455"/>
      <c r="S234" s="455"/>
      <c r="T234" s="455"/>
      <c r="U234" s="455"/>
    </row>
    <row r="235" spans="1:21" s="307" customFormat="1" ht="12" hidden="1" customHeight="1" outlineLevel="1" x14ac:dyDescent="0.25">
      <c r="A235" s="304"/>
    </row>
    <row r="236" spans="1:21" s="307" customFormat="1" ht="12" hidden="1" customHeight="1" outlineLevel="1" x14ac:dyDescent="0.25">
      <c r="A236" s="380" t="s">
        <v>134</v>
      </c>
      <c r="B236" s="358" t="s">
        <v>63</v>
      </c>
    </row>
    <row r="237" spans="1:21" s="326" customFormat="1" ht="15" hidden="1" customHeight="1" outlineLevel="1" x14ac:dyDescent="0.25">
      <c r="A237" s="316"/>
      <c r="B237" s="326" t="s">
        <v>24</v>
      </c>
      <c r="C237" s="316" t="s">
        <v>11</v>
      </c>
      <c r="D237" s="444">
        <f>COUNT(L237:U237)</f>
        <v>10</v>
      </c>
      <c r="E237" s="364"/>
      <c r="F237" s="364"/>
      <c r="G237" s="364"/>
      <c r="H237" s="364"/>
      <c r="I237" s="364"/>
      <c r="J237" s="364"/>
      <c r="K237" s="365">
        <v>0</v>
      </c>
      <c r="L237" s="443">
        <f t="shared" ref="L237:U237" si="115">IF(L239="N/A","",K237+1)</f>
        <v>1</v>
      </c>
      <c r="M237" s="443">
        <f t="shared" si="115"/>
        <v>2</v>
      </c>
      <c r="N237" s="443">
        <f t="shared" si="115"/>
        <v>3</v>
      </c>
      <c r="O237" s="443">
        <f t="shared" si="115"/>
        <v>4</v>
      </c>
      <c r="P237" s="443">
        <f t="shared" si="115"/>
        <v>5</v>
      </c>
      <c r="Q237" s="443">
        <f t="shared" si="115"/>
        <v>6</v>
      </c>
      <c r="R237" s="443">
        <f t="shared" si="115"/>
        <v>7</v>
      </c>
      <c r="S237" s="443">
        <f t="shared" si="115"/>
        <v>8</v>
      </c>
      <c r="T237" s="443">
        <f t="shared" si="115"/>
        <v>9</v>
      </c>
      <c r="U237" s="443">
        <f t="shared" si="115"/>
        <v>10</v>
      </c>
    </row>
    <row r="238" spans="1:21" s="307" customFormat="1" ht="24.95" hidden="1" customHeight="1" outlineLevel="1" x14ac:dyDescent="0.25">
      <c r="A238" s="446" t="str">
        <f>VLOOKUP(B238,'C UNIT PROG TÉCNICOS'!$B$8:$H$108,7,FALSE)</f>
        <v>OPEX</v>
      </c>
      <c r="B238" s="367" t="s">
        <v>63</v>
      </c>
      <c r="C238" s="304" t="s">
        <v>20</v>
      </c>
      <c r="I238" s="369"/>
      <c r="J238" s="369"/>
      <c r="K238" s="442">
        <v>0</v>
      </c>
      <c r="L238" s="442">
        <f t="shared" ref="L238:U238" si="116">IF(OR(L194=$D$193,L194=0),$D$193,L194)</f>
        <v>8</v>
      </c>
      <c r="M238" s="442">
        <f t="shared" si="116"/>
        <v>8</v>
      </c>
      <c r="N238" s="442">
        <f t="shared" si="116"/>
        <v>8</v>
      </c>
      <c r="O238" s="442">
        <f t="shared" si="116"/>
        <v>8</v>
      </c>
      <c r="P238" s="442">
        <f t="shared" si="116"/>
        <v>8</v>
      </c>
      <c r="Q238" s="442">
        <f t="shared" si="116"/>
        <v>8</v>
      </c>
      <c r="R238" s="442">
        <f t="shared" si="116"/>
        <v>8</v>
      </c>
      <c r="S238" s="442">
        <f t="shared" si="116"/>
        <v>8</v>
      </c>
      <c r="T238" s="442">
        <f t="shared" si="116"/>
        <v>8</v>
      </c>
      <c r="U238" s="442">
        <f t="shared" si="116"/>
        <v>8</v>
      </c>
    </row>
    <row r="239" spans="1:21" s="307" customFormat="1" ht="12" hidden="1" customHeight="1" outlineLevel="1" x14ac:dyDescent="0.25">
      <c r="A239" s="316"/>
      <c r="B239" s="307" t="s">
        <v>742</v>
      </c>
      <c r="D239" s="447" t="str">
        <f>IF(A238="CAPEX","Inversión",IF(A238="OPEX","Operación","I/O"))</f>
        <v>Operación</v>
      </c>
      <c r="I239" s="370"/>
      <c r="J239" s="370"/>
      <c r="K239" s="371" t="s">
        <v>8</v>
      </c>
      <c r="L239" s="371" t="s">
        <v>8</v>
      </c>
      <c r="M239" s="371" t="s">
        <v>8</v>
      </c>
      <c r="N239" s="371" t="s">
        <v>8</v>
      </c>
      <c r="O239" s="371" t="s">
        <v>8</v>
      </c>
      <c r="P239" s="371" t="s">
        <v>8</v>
      </c>
      <c r="Q239" s="371" t="s">
        <v>8</v>
      </c>
      <c r="R239" s="371" t="s">
        <v>8</v>
      </c>
      <c r="S239" s="371" t="s">
        <v>8</v>
      </c>
      <c r="T239" s="371" t="s">
        <v>8</v>
      </c>
      <c r="U239" s="371" t="s">
        <v>8</v>
      </c>
    </row>
    <row r="240" spans="1:21" s="307" customFormat="1" ht="12" hidden="1" customHeight="1" outlineLevel="1" x14ac:dyDescent="0.25">
      <c r="A240" s="316"/>
      <c r="B240" s="307" t="s">
        <v>762</v>
      </c>
      <c r="C240" s="304"/>
      <c r="D240" s="304"/>
      <c r="K240" s="448">
        <f>IF(K239="N/A",0,IF(K239="SI",0,SUM(IF($D239="Inversión",0,VLOOKUP($B238,'C UNIT PROG TÉCNICOS'!$B$8:$G$160,6,FALSE)*'EV PROG TÉCNICOS'!K238))))</f>
        <v>0</v>
      </c>
      <c r="L240" s="448">
        <f>IF(L239="N/A",0,IF(L239="SI",0,SUM(IF($D239="Inversión",0,VLOOKUP($B238,'C UNIT PROG TÉCNICOS'!$B$8:$G$160,6,FALSE)*'EV PROG TÉCNICOS'!L238))))</f>
        <v>3.7140792904240949</v>
      </c>
      <c r="M240" s="448">
        <f>IF(M239="N/A",0,IF(M239="SI",0,SUM(IF($D239="Inversión",0,VLOOKUP($B238,'C UNIT PROG TÉCNICOS'!$B$8:$G$160,6,FALSE)*'EV PROG TÉCNICOS'!M238))))</f>
        <v>3.7140792904240949</v>
      </c>
      <c r="N240" s="448">
        <f>IF(N239="N/A",0,IF(N239="SI",0,SUM(IF($D239="Inversión",0,VLOOKUP($B238,'C UNIT PROG TÉCNICOS'!$B$8:$G$160,6,FALSE)*'EV PROG TÉCNICOS'!N238))))</f>
        <v>3.7140792904240949</v>
      </c>
      <c r="O240" s="448">
        <f>IF(O239="N/A",0,IF(O239="SI",0,SUM(IF($D239="Inversión",0,VLOOKUP($B238,'C UNIT PROG TÉCNICOS'!$B$8:$G$160,6,FALSE)*'EV PROG TÉCNICOS'!O238))))</f>
        <v>3.7140792904240949</v>
      </c>
      <c r="P240" s="448">
        <f>IF(P239="N/A",0,IF(P239="SI",0,SUM(IF($D239="Inversión",0,VLOOKUP($B238,'C UNIT PROG TÉCNICOS'!$B$8:$G$160,6,FALSE)*'EV PROG TÉCNICOS'!P238))))</f>
        <v>3.7140792904240949</v>
      </c>
      <c r="Q240" s="448">
        <f>IF(Q239="N/A",0,IF(Q239="SI",0,SUM(IF($D239="Inversión",0,VLOOKUP($B238,'C UNIT PROG TÉCNICOS'!$B$8:$G$160,6,FALSE)*'EV PROG TÉCNICOS'!Q238))))</f>
        <v>3.7140792904240949</v>
      </c>
      <c r="R240" s="448">
        <f>IF(R239="N/A",0,IF(R239="SI",0,SUM(IF($D239="Inversión",0,VLOOKUP($B238,'C UNIT PROG TÉCNICOS'!$B$8:$G$160,6,FALSE)*'EV PROG TÉCNICOS'!R238))))</f>
        <v>3.7140792904240949</v>
      </c>
      <c r="S240" s="448">
        <f>IF(S239="N/A",0,IF(S239="SI",0,SUM(IF($D239="Inversión",0,VLOOKUP($B238,'C UNIT PROG TÉCNICOS'!$B$8:$G$160,6,FALSE)*'EV PROG TÉCNICOS'!S238))))</f>
        <v>3.7140792904240949</v>
      </c>
      <c r="T240" s="448">
        <f>IF(T239="N/A",0,IF(T239="SI",0,SUM(IF($D239="Inversión",0,VLOOKUP($B238,'C UNIT PROG TÉCNICOS'!$B$8:$G$160,6,FALSE)*'EV PROG TÉCNICOS'!T238))))</f>
        <v>3.7140792904240949</v>
      </c>
      <c r="U240" s="448">
        <f>IF(U239="N/A",0,IF(U239="SI",0,SUM(IF($D239="Inversión",0,VLOOKUP($B238,'C UNIT PROG TÉCNICOS'!$B$8:$G$160,6,FALSE)*'EV PROG TÉCNICOS'!U238))))</f>
        <v>3.7140792904240949</v>
      </c>
    </row>
    <row r="241" spans="1:21" s="307" customFormat="1" ht="12" hidden="1" customHeight="1" outlineLevel="1" x14ac:dyDescent="0.25">
      <c r="A241" s="316"/>
      <c r="B241" s="307" t="s">
        <v>763</v>
      </c>
      <c r="C241" s="304" t="s">
        <v>6</v>
      </c>
      <c r="D241" s="304"/>
      <c r="K241" s="450">
        <f t="shared" ref="K241:P241" si="117">IF(K239="N/A",0,IF(K239="SI",0,K$21*K240))</f>
        <v>0</v>
      </c>
      <c r="L241" s="450">
        <f t="shared" si="117"/>
        <v>6503000</v>
      </c>
      <c r="M241" s="450">
        <f t="shared" si="117"/>
        <v>6872369.0993999997</v>
      </c>
      <c r="N241" s="450">
        <f t="shared" si="117"/>
        <v>7262718.2897721007</v>
      </c>
      <c r="O241" s="450">
        <f t="shared" si="117"/>
        <v>7675239.2360874983</v>
      </c>
      <c r="P241" s="450">
        <f t="shared" si="117"/>
        <v>8111191.2896494213</v>
      </c>
      <c r="Q241" s="450">
        <f>IF(Q239="N/A",0,IF(Q239="SI",0,Q$21*Q240))</f>
        <v>8571905.3326632492</v>
      </c>
      <c r="R241" s="450">
        <f>IF(R239="N/A",0,IF(R239="SI",0,R$21*R240))</f>
        <v>9058787.8411774561</v>
      </c>
      <c r="S241" s="450">
        <f>IF(S239="N/A",0,IF(S239="SI",0,S$21*S240))</f>
        <v>9573325.1787987668</v>
      </c>
      <c r="T241" s="450">
        <f>IF(T239="N/A",0,IF(T239="SI",0,T$21*T240))</f>
        <v>10117088.134289501</v>
      </c>
      <c r="U241" s="450">
        <f>IF(U239="N/A",0,IF(U239="SI",0,U$21*U240))</f>
        <v>10691736.71689952</v>
      </c>
    </row>
    <row r="242" spans="1:21" s="307" customFormat="1" ht="12" hidden="1" customHeight="1" outlineLevel="1" x14ac:dyDescent="0.25">
      <c r="A242" s="316"/>
      <c r="B242" s="307" t="s">
        <v>764</v>
      </c>
      <c r="C242" s="304" t="s">
        <v>6</v>
      </c>
      <c r="K242" s="450">
        <f>IF(K239="N/A",0,IF(K239="SI",0,IF(OR($D239="Inversión",$D239="I/O"),SUM(VLOOKUP($B238,'C UNIT PROG TÉCNICOS'!$B$8:$G$160,5,FALSE)*'EV PROG TÉCNICOS'!K238),0)))</f>
        <v>0</v>
      </c>
      <c r="L242" s="450">
        <f>IF(L239="N/A",0,IF(L239="SI",0,IF(OR($D239="Inversión",$D239="I/O"),SUM(VLOOKUP($B238,'C UNIT PROG TÉCNICOS'!$B$8:$G$160,5,FALSE)*'EV PROG TÉCNICOS'!L238),0))*((1+$D$24)^(L$3-$K$3)))</f>
        <v>0</v>
      </c>
      <c r="M242" s="450">
        <f>IF(M239="N/A",0,IF(M239="SI",0,IF(OR($D239="Inversión",$D239="I/O"),SUM(VLOOKUP($B238,'C UNIT PROG TÉCNICOS'!$B$8:$G$160,5,FALSE)*'EV PROG TÉCNICOS'!M238),0))*((1+$D$24)^(M$3-$K$3)))</f>
        <v>0</v>
      </c>
      <c r="N242" s="450">
        <f>IF(N239="N/A",0,IF(N239="SI",0,IF(OR($D239="Inversión",$D239="I/O"),SUM(VLOOKUP($B238,'C UNIT PROG TÉCNICOS'!$B$8:$G$160,5,FALSE)*'EV PROG TÉCNICOS'!N238),0))*((1+$D$24)^(N$3-$K$3)))</f>
        <v>0</v>
      </c>
      <c r="O242" s="450">
        <f>IF(O239="N/A",0,IF(O239="SI",0,IF(OR($D239="Inversión",$D239="I/O"),SUM(VLOOKUP($B238,'C UNIT PROG TÉCNICOS'!$B$8:$G$160,5,FALSE)*'EV PROG TÉCNICOS'!O238),0))*((1+$D$24)^(O$3-$K$3)))</f>
        <v>0</v>
      </c>
      <c r="P242" s="450">
        <f>IF(P239="N/A",0,IF(P239="SI",0,IF(OR($D239="Inversión",$D239="I/O"),SUM(VLOOKUP($B238,'C UNIT PROG TÉCNICOS'!$B$8:$G$160,5,FALSE)*'EV PROG TÉCNICOS'!P238),0))*((1+$D$24)^(P$3-$K$3)))</f>
        <v>0</v>
      </c>
      <c r="Q242" s="450">
        <f>IF(Q239="N/A",0,IF(Q239="SI",0,IF(OR($D239="Inversión",$D239="I/O"),SUM(VLOOKUP($B238,'C UNIT PROG TÉCNICOS'!$B$8:$G$160,5,FALSE)*'EV PROG TÉCNICOS'!Q238),0))*((1+$D$24)^(Q$3-$K$3)))</f>
        <v>0</v>
      </c>
      <c r="R242" s="450">
        <f>IF(R239="N/A",0,IF(R239="SI",0,IF(OR($D239="Inversión",$D239="I/O"),SUM(VLOOKUP($B238,'C UNIT PROG TÉCNICOS'!$B$8:$G$160,5,FALSE)*'EV PROG TÉCNICOS'!R238),0))*((1+$D$24)^(R$3-$K$3)))</f>
        <v>0</v>
      </c>
      <c r="S242" s="450">
        <f>IF(S239="N/A",0,IF(S239="SI",0,IF(OR($D239="Inversión",$D239="I/O"),SUM(VLOOKUP($B238,'C UNIT PROG TÉCNICOS'!$B$8:$G$160,5,FALSE)*'EV PROG TÉCNICOS'!S238),0))*((1+$D$24)^(S$3-$K$3)))</f>
        <v>0</v>
      </c>
      <c r="T242" s="450">
        <f>IF(T239="N/A",0,IF(T239="SI",0,IF(OR($D239="Inversión",$D239="I/O"),SUM(VLOOKUP($B238,'C UNIT PROG TÉCNICOS'!$B$8:$G$160,5,FALSE)*'EV PROG TÉCNICOS'!T238),0))*((1+$D$24)^(T$3-$K$3)))</f>
        <v>0</v>
      </c>
      <c r="U242" s="450">
        <f>IF(U239="N/A",0,IF(U239="SI",0,IF(OR($D239="Inversión",$D239="I/O"),SUM(VLOOKUP($B238,'C UNIT PROG TÉCNICOS'!$B$8:$G$160,5,FALSE)*'EV PROG TÉCNICOS'!U238),0))*((1+$D$24)^(U$3-$K$3)))</f>
        <v>0</v>
      </c>
    </row>
    <row r="243" spans="1:21" s="376" customFormat="1" ht="15" hidden="1" customHeight="1" outlineLevel="1" x14ac:dyDescent="0.25">
      <c r="A243" s="374"/>
      <c r="B243" s="454" t="str">
        <f>CONCATENATE("VNA  ",B236)</f>
        <v>VNA  Análisis de datos</v>
      </c>
      <c r="C243" s="374" t="s">
        <v>6</v>
      </c>
      <c r="D243" s="453">
        <f>NPV($D$31,L243:U243)+K243</f>
        <v>37766381.547641478</v>
      </c>
      <c r="K243" s="452">
        <f t="shared" ref="K243:P243" si="118">IF(K239="N/A",0,IF($D239="Operación",K241,K242))</f>
        <v>0</v>
      </c>
      <c r="L243" s="452">
        <f t="shared" si="118"/>
        <v>6503000</v>
      </c>
      <c r="M243" s="452">
        <f t="shared" si="118"/>
        <v>6872369.0993999997</v>
      </c>
      <c r="N243" s="452">
        <f t="shared" si="118"/>
        <v>7262718.2897721007</v>
      </c>
      <c r="O243" s="452">
        <f t="shared" si="118"/>
        <v>7675239.2360874983</v>
      </c>
      <c r="P243" s="452">
        <f t="shared" si="118"/>
        <v>8111191.2896494213</v>
      </c>
      <c r="Q243" s="452">
        <f>IF(Q239="N/A",0,IF($D239="Operación",Q241,Q242))</f>
        <v>8571905.3326632492</v>
      </c>
      <c r="R243" s="452">
        <f>IF(R239="N/A",0,IF($D239="Operación",R241,R242))</f>
        <v>9058787.8411774561</v>
      </c>
      <c r="S243" s="452">
        <f>IF(S239="N/A",0,IF($D239="Operación",S241,S242))</f>
        <v>9573325.1787987668</v>
      </c>
      <c r="T243" s="452">
        <f>IF(T239="N/A",0,IF($D239="Operación",T241,T242))</f>
        <v>10117088.134289501</v>
      </c>
      <c r="U243" s="452">
        <f>IF(U239="N/A",0,IF($D239="Operación",U241,U242))</f>
        <v>10691736.71689952</v>
      </c>
    </row>
    <row r="244" spans="1:21" s="376" customFormat="1" ht="0.95" hidden="1" customHeight="1" outlineLevel="1" x14ac:dyDescent="0.25">
      <c r="A244" s="374"/>
      <c r="B244" s="454"/>
      <c r="C244" s="374"/>
      <c r="D244" s="374"/>
      <c r="K244" s="378"/>
      <c r="L244" s="378"/>
      <c r="M244" s="378"/>
      <c r="N244" s="378"/>
      <c r="O244" s="378"/>
      <c r="P244" s="378"/>
      <c r="Q244" s="378"/>
      <c r="R244" s="378"/>
      <c r="S244" s="378"/>
      <c r="T244" s="378"/>
      <c r="U244" s="378"/>
    </row>
    <row r="245" spans="1:21" s="376" customFormat="1" ht="0.95" hidden="1" customHeight="1" outlineLevel="1" x14ac:dyDescent="0.25">
      <c r="A245" s="374"/>
      <c r="C245" s="374"/>
      <c r="D245" s="453"/>
      <c r="K245" s="452"/>
      <c r="L245" s="452"/>
      <c r="M245" s="452"/>
      <c r="N245" s="452"/>
      <c r="O245" s="452"/>
      <c r="P245" s="452"/>
      <c r="Q245" s="452"/>
      <c r="R245" s="452"/>
      <c r="S245" s="452"/>
      <c r="T245" s="452"/>
      <c r="U245" s="452"/>
    </row>
    <row r="246" spans="1:21" s="376" customFormat="1" ht="0.95" hidden="1" customHeight="1" outlineLevel="1" x14ac:dyDescent="0.25">
      <c r="A246" s="374"/>
      <c r="C246" s="374"/>
      <c r="D246"/>
      <c r="K246" s="455"/>
      <c r="L246" s="455"/>
      <c r="M246" s="455"/>
      <c r="N246" s="455"/>
      <c r="O246" s="455"/>
      <c r="P246" s="455"/>
      <c r="Q246" s="455"/>
      <c r="R246" s="455"/>
      <c r="S246" s="455"/>
      <c r="T246" s="455"/>
      <c r="U246" s="455"/>
    </row>
    <row r="247" spans="1:21" s="326" customFormat="1" ht="15" hidden="1" customHeight="1" outlineLevel="1" x14ac:dyDescent="0.2">
      <c r="A247" s="316"/>
      <c r="C247" s="316"/>
      <c r="D247" s="297"/>
      <c r="K247" s="297"/>
      <c r="L247" s="297"/>
      <c r="M247" s="297"/>
      <c r="N247" s="297"/>
      <c r="O247" s="297"/>
      <c r="P247" s="297"/>
      <c r="Q247" s="297"/>
      <c r="R247" s="297"/>
      <c r="S247" s="297"/>
      <c r="T247" s="297"/>
      <c r="U247" s="297"/>
    </row>
    <row r="248" spans="1:21" s="307" customFormat="1" ht="12" hidden="1" customHeight="1" outlineLevel="1" x14ac:dyDescent="0.25">
      <c r="A248" s="380" t="s">
        <v>135</v>
      </c>
      <c r="B248" s="358" t="s">
        <v>26</v>
      </c>
    </row>
    <row r="249" spans="1:21" s="326" customFormat="1" ht="15" hidden="1" customHeight="1" outlineLevel="1" x14ac:dyDescent="0.25">
      <c r="A249" s="316"/>
      <c r="B249" s="326" t="s">
        <v>24</v>
      </c>
      <c r="C249" s="316" t="s">
        <v>11</v>
      </c>
      <c r="D249" s="444">
        <f>COUNT(L249:U249)</f>
        <v>10</v>
      </c>
      <c r="E249" s="364"/>
      <c r="F249" s="364"/>
      <c r="G249" s="364"/>
      <c r="H249" s="364"/>
      <c r="I249" s="364"/>
      <c r="J249" s="364"/>
      <c r="K249" s="365">
        <v>0</v>
      </c>
      <c r="L249" s="443">
        <f t="shared" ref="L249:U249" si="119">IF(L251="N/A","",K249+1)</f>
        <v>1</v>
      </c>
      <c r="M249" s="443">
        <f t="shared" si="119"/>
        <v>2</v>
      </c>
      <c r="N249" s="443">
        <f t="shared" si="119"/>
        <v>3</v>
      </c>
      <c r="O249" s="443">
        <f t="shared" si="119"/>
        <v>4</v>
      </c>
      <c r="P249" s="443">
        <f t="shared" si="119"/>
        <v>5</v>
      </c>
      <c r="Q249" s="443">
        <f t="shared" si="119"/>
        <v>6</v>
      </c>
      <c r="R249" s="443">
        <f t="shared" si="119"/>
        <v>7</v>
      </c>
      <c r="S249" s="443">
        <f t="shared" si="119"/>
        <v>8</v>
      </c>
      <c r="T249" s="443">
        <f t="shared" si="119"/>
        <v>9</v>
      </c>
      <c r="U249" s="443">
        <f t="shared" si="119"/>
        <v>10</v>
      </c>
    </row>
    <row r="250" spans="1:21" s="307" customFormat="1" ht="24.95" hidden="1" customHeight="1" outlineLevel="1" x14ac:dyDescent="0.25">
      <c r="A250" s="446" t="str">
        <f>VLOOKUP(B250,'C UNIT PROG TÉCNICOS'!$B$8:$H$108,7,FALSE)</f>
        <v>OPEX</v>
      </c>
      <c r="B250" s="367" t="s">
        <v>27</v>
      </c>
      <c r="C250" s="304" t="s">
        <v>20</v>
      </c>
      <c r="I250" s="369"/>
      <c r="J250" s="369"/>
      <c r="K250" s="442">
        <v>0</v>
      </c>
      <c r="L250" s="442">
        <f t="shared" ref="L250:U250" si="120">IF(OR(K194=$D$193,K201="N/A"),$D$193,K194)</f>
        <v>8</v>
      </c>
      <c r="M250" s="442">
        <f t="shared" si="120"/>
        <v>8</v>
      </c>
      <c r="N250" s="442">
        <f t="shared" si="120"/>
        <v>8</v>
      </c>
      <c r="O250" s="442">
        <f t="shared" si="120"/>
        <v>8</v>
      </c>
      <c r="P250" s="442">
        <f t="shared" si="120"/>
        <v>8</v>
      </c>
      <c r="Q250" s="442">
        <f t="shared" si="120"/>
        <v>8</v>
      </c>
      <c r="R250" s="442">
        <f t="shared" si="120"/>
        <v>8</v>
      </c>
      <c r="S250" s="442">
        <f t="shared" si="120"/>
        <v>8</v>
      </c>
      <c r="T250" s="442">
        <f t="shared" si="120"/>
        <v>8</v>
      </c>
      <c r="U250" s="442">
        <f t="shared" si="120"/>
        <v>8</v>
      </c>
    </row>
    <row r="251" spans="1:21" s="307" customFormat="1" ht="12" hidden="1" customHeight="1" outlineLevel="1" x14ac:dyDescent="0.25">
      <c r="A251" s="316"/>
      <c r="B251" s="307" t="s">
        <v>742</v>
      </c>
      <c r="D251" s="447" t="str">
        <f>IF(A250="CAPEX","Inversión",IF(A250="OPEX","Operación","I/O"))</f>
        <v>Operación</v>
      </c>
      <c r="I251" s="370"/>
      <c r="J251" s="370"/>
      <c r="K251" s="371" t="s">
        <v>8</v>
      </c>
      <c r="L251" s="371" t="s">
        <v>8</v>
      </c>
      <c r="M251" s="371" t="s">
        <v>8</v>
      </c>
      <c r="N251" s="371" t="s">
        <v>8</v>
      </c>
      <c r="O251" s="371" t="s">
        <v>8</v>
      </c>
      <c r="P251" s="371" t="s">
        <v>8</v>
      </c>
      <c r="Q251" s="371" t="s">
        <v>8</v>
      </c>
      <c r="R251" s="371" t="s">
        <v>8</v>
      </c>
      <c r="S251" s="371" t="s">
        <v>8</v>
      </c>
      <c r="T251" s="371" t="s">
        <v>8</v>
      </c>
      <c r="U251" s="371" t="s">
        <v>8</v>
      </c>
    </row>
    <row r="252" spans="1:21" s="307" customFormat="1" ht="12" hidden="1" customHeight="1" outlineLevel="1" x14ac:dyDescent="0.25">
      <c r="A252" s="316"/>
      <c r="B252" s="307" t="s">
        <v>762</v>
      </c>
      <c r="C252" s="304"/>
      <c r="D252" s="304"/>
      <c r="K252" s="448">
        <f>IF(K251="N/A",0,IF(K251="SI",0,SUM(IF($D251="Inversión",0,VLOOKUP($B250,'C UNIT PROG TÉCNICOS'!$B$8:$G$160,6,FALSE)*'EV PROG TÉCNICOS'!K250))))</f>
        <v>0</v>
      </c>
      <c r="L252" s="448">
        <f>IF(L251="N/A",0,IF(L251="SI",0,SUM(IF($D251="Inversión",0,VLOOKUP($B250,'C UNIT PROG TÉCNICOS'!$B$8:$G$160,6,FALSE)*'EV PROG TÉCNICOS'!L250))))</f>
        <v>7.0960905629945659</v>
      </c>
      <c r="M252" s="448">
        <f>IF(M251="N/A",0,IF(M251="SI",0,SUM(IF($D251="Inversión",0,VLOOKUP($B250,'C UNIT PROG TÉCNICOS'!$B$8:$G$160,6,FALSE)*'EV PROG TÉCNICOS'!M250))))</f>
        <v>7.0960905629945659</v>
      </c>
      <c r="N252" s="448">
        <f>IF(N251="N/A",0,IF(N251="SI",0,SUM(IF($D251="Inversión",0,VLOOKUP($B250,'C UNIT PROG TÉCNICOS'!$B$8:$G$160,6,FALSE)*'EV PROG TÉCNICOS'!N250))))</f>
        <v>7.0960905629945659</v>
      </c>
      <c r="O252" s="448">
        <f>IF(O251="N/A",0,IF(O251="SI",0,SUM(IF($D251="Inversión",0,VLOOKUP($B250,'C UNIT PROG TÉCNICOS'!$B$8:$G$160,6,FALSE)*'EV PROG TÉCNICOS'!O250))))</f>
        <v>7.0960905629945659</v>
      </c>
      <c r="P252" s="448">
        <f>IF(P251="N/A",0,IF(P251="SI",0,SUM(IF($D251="Inversión",0,VLOOKUP($B250,'C UNIT PROG TÉCNICOS'!$B$8:$G$160,6,FALSE)*'EV PROG TÉCNICOS'!P250))))</f>
        <v>7.0960905629945659</v>
      </c>
      <c r="Q252" s="448">
        <f>IF(Q251="N/A",0,IF(Q251="SI",0,SUM(IF($D251="Inversión",0,VLOOKUP($B250,'C UNIT PROG TÉCNICOS'!$B$8:$G$160,6,FALSE)*'EV PROG TÉCNICOS'!Q250))))</f>
        <v>7.0960905629945659</v>
      </c>
      <c r="R252" s="448">
        <f>IF(R251="N/A",0,IF(R251="SI",0,SUM(IF($D251="Inversión",0,VLOOKUP($B250,'C UNIT PROG TÉCNICOS'!$B$8:$G$160,6,FALSE)*'EV PROG TÉCNICOS'!R250))))</f>
        <v>7.0960905629945659</v>
      </c>
      <c r="S252" s="448">
        <f>IF(S251="N/A",0,IF(S251="SI",0,SUM(IF($D251="Inversión",0,VLOOKUP($B250,'C UNIT PROG TÉCNICOS'!$B$8:$G$160,6,FALSE)*'EV PROG TÉCNICOS'!S250))))</f>
        <v>7.0960905629945659</v>
      </c>
      <c r="T252" s="448">
        <f>IF(T251="N/A",0,IF(T251="SI",0,SUM(IF($D251="Inversión",0,VLOOKUP($B250,'C UNIT PROG TÉCNICOS'!$B$8:$G$160,6,FALSE)*'EV PROG TÉCNICOS'!T250))))</f>
        <v>7.0960905629945659</v>
      </c>
      <c r="U252" s="448">
        <f>IF(U251="N/A",0,IF(U251="SI",0,SUM(IF($D251="Inversión",0,VLOOKUP($B250,'C UNIT PROG TÉCNICOS'!$B$8:$G$160,6,FALSE)*'EV PROG TÉCNICOS'!U250))))</f>
        <v>7.0960905629945659</v>
      </c>
    </row>
    <row r="253" spans="1:21" s="307" customFormat="1" ht="12" hidden="1" customHeight="1" outlineLevel="1" x14ac:dyDescent="0.25">
      <c r="A253" s="316"/>
      <c r="B253" s="307" t="s">
        <v>763</v>
      </c>
      <c r="C253" s="304" t="s">
        <v>6</v>
      </c>
      <c r="D253" s="304"/>
      <c r="K253" s="450">
        <f t="shared" ref="K253:P253" si="121">IF(K251="N/A",0,IF(K251="SI",0,K$21*K252))</f>
        <v>0</v>
      </c>
      <c r="L253" s="450">
        <f t="shared" si="121"/>
        <v>12424580.4472</v>
      </c>
      <c r="M253" s="450">
        <f t="shared" si="121"/>
        <v>13130294.131684871</v>
      </c>
      <c r="N253" s="450">
        <f t="shared" si="121"/>
        <v>13876092.212305747</v>
      </c>
      <c r="O253" s="450">
        <f t="shared" si="121"/>
        <v>14664251.47474627</v>
      </c>
      <c r="P253" s="450">
        <f t="shared" si="121"/>
        <v>15497178.025661564</v>
      </c>
      <c r="Q253" s="450">
        <f>IF(Q251="N/A",0,IF(Q251="SI",0,Q$21*Q252))</f>
        <v>16377414.638083536</v>
      </c>
      <c r="R253" s="450">
        <f>IF(R251="N/A",0,IF(R251="SI",0,R$21*R252))</f>
        <v>17307648.514043752</v>
      </c>
      <c r="S253" s="450">
        <f>IF(S251="N/A",0,IF(S251="SI",0,S$21*S252))</f>
        <v>18290719.488111734</v>
      </c>
      <c r="T253" s="450">
        <f>IF(T251="N/A",0,IF(T251="SI",0,T$21*T252))</f>
        <v>19329628.696892586</v>
      </c>
      <c r="U253" s="450">
        <f>IF(U251="N/A",0,IF(U251="SI",0,U$21*U252))</f>
        <v>20427547.740950346</v>
      </c>
    </row>
    <row r="254" spans="1:21" s="307" customFormat="1" ht="12" hidden="1" customHeight="1" outlineLevel="1" x14ac:dyDescent="0.25">
      <c r="A254" s="316"/>
      <c r="B254" s="307" t="s">
        <v>764</v>
      </c>
      <c r="C254" s="304" t="s">
        <v>6</v>
      </c>
      <c r="K254" s="450">
        <f>IF(K251="N/A",0,IF(K251="SI",0,IF(OR($D251="Inversión",$D251="I/O"),SUM(VLOOKUP($B250,'C UNIT PROG TÉCNICOS'!$B$8:$G$160,5,FALSE)*'EV PROG TÉCNICOS'!K250),0)))</f>
        <v>0</v>
      </c>
      <c r="L254" s="450">
        <f>IF(L251="N/A",0,IF(L251="SI",0,IF(OR($D251="Inversión",$D251="I/O"),SUM(VLOOKUP($B250,'C UNIT PROG TÉCNICOS'!$B$8:$G$160,5,FALSE)*'EV PROG TÉCNICOS'!L250),0))*((1+$D$24)^(L$3-$K$3)))</f>
        <v>0</v>
      </c>
      <c r="M254" s="450">
        <f>IF(M251="N/A",0,IF(M251="SI",0,IF(OR($D251="Inversión",$D251="I/O"),SUM(VLOOKUP($B250,'C UNIT PROG TÉCNICOS'!$B$8:$G$160,5,FALSE)*'EV PROG TÉCNICOS'!M250),0))*((1+$D$24)^(M$3-$K$3)))</f>
        <v>0</v>
      </c>
      <c r="N254" s="450">
        <f>IF(N251="N/A",0,IF(N251="SI",0,IF(OR($D251="Inversión",$D251="I/O"),SUM(VLOOKUP($B250,'C UNIT PROG TÉCNICOS'!$B$8:$G$160,5,FALSE)*'EV PROG TÉCNICOS'!N250),0))*((1+$D$24)^(N$3-$K$3)))</f>
        <v>0</v>
      </c>
      <c r="O254" s="450">
        <f>IF(O251="N/A",0,IF(O251="SI",0,IF(OR($D251="Inversión",$D251="I/O"),SUM(VLOOKUP($B250,'C UNIT PROG TÉCNICOS'!$B$8:$G$160,5,FALSE)*'EV PROG TÉCNICOS'!O250),0))*((1+$D$24)^(O$3-$K$3)))</f>
        <v>0</v>
      </c>
      <c r="P254" s="450">
        <f>IF(P251="N/A",0,IF(P251="SI",0,IF(OR($D251="Inversión",$D251="I/O"),SUM(VLOOKUP($B250,'C UNIT PROG TÉCNICOS'!$B$8:$G$160,5,FALSE)*'EV PROG TÉCNICOS'!P250),0))*((1+$D$24)^(P$3-$K$3)))</f>
        <v>0</v>
      </c>
      <c r="Q254" s="450">
        <f>IF(Q251="N/A",0,IF(Q251="SI",0,IF(OR($D251="Inversión",$D251="I/O"),SUM(VLOOKUP($B250,'C UNIT PROG TÉCNICOS'!$B$8:$G$160,5,FALSE)*'EV PROG TÉCNICOS'!Q250),0))*((1+$D$24)^(Q$3-$K$3)))</f>
        <v>0</v>
      </c>
      <c r="R254" s="450">
        <f>IF(R251="N/A",0,IF(R251="SI",0,IF(OR($D251="Inversión",$D251="I/O"),SUM(VLOOKUP($B250,'C UNIT PROG TÉCNICOS'!$B$8:$G$160,5,FALSE)*'EV PROG TÉCNICOS'!R250),0))*((1+$D$24)^(R$3-$K$3)))</f>
        <v>0</v>
      </c>
      <c r="S254" s="450">
        <f>IF(S251="N/A",0,IF(S251="SI",0,IF(OR($D251="Inversión",$D251="I/O"),SUM(VLOOKUP($B250,'C UNIT PROG TÉCNICOS'!$B$8:$G$160,5,FALSE)*'EV PROG TÉCNICOS'!S250),0))*((1+$D$24)^(S$3-$K$3)))</f>
        <v>0</v>
      </c>
      <c r="T254" s="450">
        <f>IF(T251="N/A",0,IF(T251="SI",0,IF(OR($D251="Inversión",$D251="I/O"),SUM(VLOOKUP($B250,'C UNIT PROG TÉCNICOS'!$B$8:$G$160,5,FALSE)*'EV PROG TÉCNICOS'!T250),0))*((1+$D$24)^(T$3-$K$3)))</f>
        <v>0</v>
      </c>
      <c r="U254" s="450">
        <f>IF(U251="N/A",0,IF(U251="SI",0,IF(OR($D251="Inversión",$D251="I/O"),SUM(VLOOKUP($B250,'C UNIT PROG TÉCNICOS'!$B$8:$G$160,5,FALSE)*'EV PROG TÉCNICOS'!U250),0))*((1+$D$24)^(U$3-$K$3)))</f>
        <v>0</v>
      </c>
    </row>
    <row r="255" spans="1:21" s="376" customFormat="1" ht="15" hidden="1" customHeight="1" outlineLevel="1" x14ac:dyDescent="0.25">
      <c r="A255" s="374"/>
      <c r="B255" s="454" t="str">
        <f>CONCATENATE("VNA  ",B248)</f>
        <v>VNA  Verificación metrológica</v>
      </c>
      <c r="C255" s="374" t="s">
        <v>6</v>
      </c>
      <c r="D255" s="453">
        <f>NPV($D$31,L255:U255)+K255</f>
        <v>72156150.351886988</v>
      </c>
      <c r="K255" s="452">
        <f t="shared" ref="K255:P255" si="122">IF(K251="N/A",0,IF($D251="Operación",K253,K254))</f>
        <v>0</v>
      </c>
      <c r="L255" s="452">
        <f t="shared" si="122"/>
        <v>12424580.4472</v>
      </c>
      <c r="M255" s="452">
        <f t="shared" si="122"/>
        <v>13130294.131684871</v>
      </c>
      <c r="N255" s="452">
        <f t="shared" si="122"/>
        <v>13876092.212305747</v>
      </c>
      <c r="O255" s="452">
        <f t="shared" si="122"/>
        <v>14664251.47474627</v>
      </c>
      <c r="P255" s="452">
        <f t="shared" si="122"/>
        <v>15497178.025661564</v>
      </c>
      <c r="Q255" s="452">
        <f>IF(Q251="N/A",0,IF($D251="Operación",Q253,Q254))</f>
        <v>16377414.638083536</v>
      </c>
      <c r="R255" s="452">
        <f>IF(R251="N/A",0,IF($D251="Operación",R253,R254))</f>
        <v>17307648.514043752</v>
      </c>
      <c r="S255" s="452">
        <f>IF(S251="N/A",0,IF($D251="Operación",S253,S254))</f>
        <v>18290719.488111734</v>
      </c>
      <c r="T255" s="452">
        <f>IF(T251="N/A",0,IF($D251="Operación",T253,T254))</f>
        <v>19329628.696892586</v>
      </c>
      <c r="U255" s="452">
        <f>IF(U251="N/A",0,IF($D251="Operación",U253,U254))</f>
        <v>20427547.740950346</v>
      </c>
    </row>
    <row r="256" spans="1:21" s="376" customFormat="1" ht="0.95" hidden="1" customHeight="1" outlineLevel="1" x14ac:dyDescent="0.25">
      <c r="A256" s="374"/>
      <c r="B256" s="454"/>
      <c r="C256" s="374"/>
      <c r="D256" s="457"/>
      <c r="K256" s="378"/>
      <c r="L256" s="378"/>
      <c r="M256" s="378"/>
      <c r="N256" s="378"/>
      <c r="O256" s="378"/>
      <c r="P256" s="378"/>
      <c r="Q256" s="378"/>
      <c r="R256" s="378"/>
      <c r="S256" s="378"/>
      <c r="T256" s="378"/>
      <c r="U256" s="378"/>
    </row>
    <row r="257" spans="1:21" s="376" customFormat="1" ht="0.95" hidden="1" customHeight="1" outlineLevel="1" x14ac:dyDescent="0.25">
      <c r="A257" s="374"/>
      <c r="C257" s="374"/>
      <c r="D257" s="453"/>
      <c r="K257" s="452"/>
      <c r="L257" s="452"/>
      <c r="M257" s="452"/>
      <c r="N257" s="452"/>
      <c r="O257" s="452"/>
      <c r="P257" s="452"/>
      <c r="Q257" s="452"/>
      <c r="R257" s="452"/>
      <c r="S257" s="452"/>
      <c r="T257" s="452"/>
      <c r="U257" s="452"/>
    </row>
    <row r="258" spans="1:21" s="376" customFormat="1" ht="0.95" hidden="1" customHeight="1" outlineLevel="1" x14ac:dyDescent="0.25">
      <c r="A258" s="374"/>
      <c r="C258" s="374"/>
      <c r="D258"/>
      <c r="K258" s="455"/>
      <c r="L258" s="455"/>
      <c r="M258" s="455"/>
      <c r="N258" s="455"/>
      <c r="O258" s="455"/>
      <c r="P258" s="455"/>
      <c r="Q258" s="455"/>
      <c r="R258" s="455"/>
      <c r="S258" s="455"/>
      <c r="T258" s="455"/>
      <c r="U258" s="455"/>
    </row>
    <row r="259" spans="1:21" s="307" customFormat="1" ht="12" hidden="1" customHeight="1" outlineLevel="1" x14ac:dyDescent="0.2">
      <c r="A259" s="316"/>
      <c r="B259" s="308"/>
      <c r="C259" s="304"/>
      <c r="D259" s="304"/>
      <c r="K259" s="373"/>
      <c r="L259" s="373"/>
      <c r="M259" s="373"/>
      <c r="N259" s="373"/>
      <c r="O259" s="373"/>
      <c r="P259" s="373"/>
      <c r="Q259" s="373"/>
      <c r="R259" s="373"/>
      <c r="S259" s="373"/>
      <c r="T259" s="373"/>
      <c r="U259" s="373"/>
    </row>
    <row r="260" spans="1:21" s="307" customFormat="1" ht="12" hidden="1" customHeight="1" outlineLevel="1" x14ac:dyDescent="0.25">
      <c r="A260" s="380" t="s">
        <v>136</v>
      </c>
      <c r="B260" s="358" t="s">
        <v>226</v>
      </c>
      <c r="C260" s="304"/>
      <c r="D260" s="304"/>
      <c r="K260" s="373"/>
      <c r="L260" s="373"/>
      <c r="M260" s="373"/>
      <c r="N260" s="373"/>
      <c r="O260" s="373"/>
      <c r="P260" s="373"/>
      <c r="Q260" s="373"/>
      <c r="R260" s="373"/>
      <c r="S260" s="373"/>
      <c r="T260" s="373"/>
      <c r="U260" s="373"/>
    </row>
    <row r="261" spans="1:21" s="326" customFormat="1" ht="15" hidden="1" customHeight="1" outlineLevel="1" x14ac:dyDescent="0.25">
      <c r="A261" s="316"/>
      <c r="B261" s="326" t="s">
        <v>224</v>
      </c>
      <c r="C261" s="316" t="s">
        <v>11</v>
      </c>
      <c r="D261" s="444">
        <f>COUNT(L261:U261)</f>
        <v>9</v>
      </c>
      <c r="K261" s="443">
        <v>0</v>
      </c>
      <c r="L261" s="443">
        <f t="shared" ref="L261:T261" si="123">IF(L267="N/A","",K261+1)</f>
        <v>1</v>
      </c>
      <c r="M261" s="443">
        <f t="shared" si="123"/>
        <v>2</v>
      </c>
      <c r="N261" s="443">
        <f t="shared" si="123"/>
        <v>3</v>
      </c>
      <c r="O261" s="443">
        <f t="shared" si="123"/>
        <v>4</v>
      </c>
      <c r="P261" s="443">
        <f t="shared" si="123"/>
        <v>5</v>
      </c>
      <c r="Q261" s="443">
        <f t="shared" si="123"/>
        <v>6</v>
      </c>
      <c r="R261" s="443">
        <f t="shared" si="123"/>
        <v>7</v>
      </c>
      <c r="S261" s="443">
        <f t="shared" si="123"/>
        <v>8</v>
      </c>
      <c r="T261" s="443">
        <f t="shared" si="123"/>
        <v>9</v>
      </c>
      <c r="U261" s="338"/>
    </row>
    <row r="262" spans="1:21" s="326" customFormat="1" ht="12" hidden="1" customHeight="1" outlineLevel="1" x14ac:dyDescent="0.25">
      <c r="A262" s="316"/>
      <c r="B262" s="307" t="s">
        <v>18</v>
      </c>
      <c r="C262" s="304" t="s">
        <v>20</v>
      </c>
      <c r="D262" s="439">
        <f>IF($K$262="",ROUNDDOWN(MAEPTAP*0.5,0),$K$262)</f>
        <v>3</v>
      </c>
      <c r="E262" s="445" t="str">
        <f>IF(D262&lt;&gt;SUM(L262:P262),"NO","SI")</f>
        <v>NO</v>
      </c>
      <c r="K262" s="903">
        <v>3</v>
      </c>
      <c r="L262" s="442">
        <f>IF(L261="",0,IF($D262&lt;=3,SUM(L263:L266),ROUNDUP($D262/$D261,0)))</f>
        <v>0</v>
      </c>
      <c r="M262" s="442">
        <f t="shared" ref="M262:T262" si="124">IF(M261="",0,IF($D262&lt;=3,SUM(M263:M266),ROUND($D262/$D261,0)))</f>
        <v>0</v>
      </c>
      <c r="N262" s="442">
        <f t="shared" si="124"/>
        <v>0</v>
      </c>
      <c r="O262" s="442">
        <f t="shared" si="124"/>
        <v>0</v>
      </c>
      <c r="P262" s="442">
        <f t="shared" si="124"/>
        <v>0</v>
      </c>
      <c r="Q262" s="442">
        <f t="shared" si="124"/>
        <v>1</v>
      </c>
      <c r="R262" s="442">
        <f t="shared" si="124"/>
        <v>1</v>
      </c>
      <c r="S262" s="442">
        <f t="shared" si="124"/>
        <v>0</v>
      </c>
      <c r="T262" s="442">
        <f t="shared" si="124"/>
        <v>1</v>
      </c>
      <c r="U262" s="338"/>
    </row>
    <row r="263" spans="1:21" s="307" customFormat="1" ht="25.35" hidden="1" customHeight="1" outlineLevel="1" x14ac:dyDescent="0.25">
      <c r="A263" s="446" t="str">
        <f>VLOOKUP(B263,'C UNIT PROG TÉCNICOS'!$B$8:$H$108,7,FALSE)</f>
        <v>CAPEX</v>
      </c>
      <c r="B263" s="367" t="s">
        <v>75</v>
      </c>
      <c r="C263" s="304" t="s">
        <v>20</v>
      </c>
      <c r="D263" s="304" t="s">
        <v>19</v>
      </c>
      <c r="I263" s="314"/>
      <c r="J263" s="314"/>
      <c r="K263" s="314"/>
      <c r="L263" s="1135">
        <v>0</v>
      </c>
      <c r="M263" s="1135">
        <v>0</v>
      </c>
      <c r="N263" s="1135">
        <v>0</v>
      </c>
      <c r="O263" s="1135">
        <v>0</v>
      </c>
      <c r="P263" s="1135">
        <v>0</v>
      </c>
      <c r="Q263" s="1135">
        <v>0</v>
      </c>
      <c r="R263" s="1135">
        <v>0</v>
      </c>
      <c r="S263" s="1135">
        <v>0</v>
      </c>
      <c r="T263" s="1135">
        <v>0</v>
      </c>
      <c r="U263" s="456" t="str">
        <f>IF(U261="","",IF(OR(U$262=$D$262,U$266&gt;=U$262),0,IFERROR(ROUND(U$262*(1/3),0),"")))</f>
        <v/>
      </c>
    </row>
    <row r="264" spans="1:21" s="307" customFormat="1" ht="25.35" hidden="1" customHeight="1" outlineLevel="1" x14ac:dyDescent="0.25">
      <c r="A264" s="446" t="str">
        <f>VLOOKUP(B264,'C UNIT PROG TÉCNICOS'!$B$8:$H$108,7,FALSE)</f>
        <v>CAPEX</v>
      </c>
      <c r="B264" s="367" t="s">
        <v>76</v>
      </c>
      <c r="C264" s="304" t="s">
        <v>20</v>
      </c>
      <c r="D264" s="304" t="s">
        <v>19</v>
      </c>
      <c r="I264" s="314"/>
      <c r="J264" s="314"/>
      <c r="K264" s="314"/>
      <c r="L264" s="1135">
        <v>0</v>
      </c>
      <c r="M264" s="1135">
        <v>0</v>
      </c>
      <c r="N264" s="1135">
        <v>0</v>
      </c>
      <c r="O264" s="1135">
        <v>0</v>
      </c>
      <c r="P264" s="1135">
        <v>0</v>
      </c>
      <c r="Q264" s="1135">
        <v>0</v>
      </c>
      <c r="R264" s="1135">
        <v>0</v>
      </c>
      <c r="S264" s="1135">
        <v>0</v>
      </c>
      <c r="T264" s="1135">
        <v>0</v>
      </c>
      <c r="U264" s="456" t="str">
        <f>IF(U262="","",IF(OR(U$262=$D$262,U$266&gt;=U$262),0,IFERROR(ROUND(U$262*(1/3),0),"")))</f>
        <v/>
      </c>
    </row>
    <row r="265" spans="1:21" s="307" customFormat="1" ht="25.35" hidden="1" customHeight="1" outlineLevel="1" x14ac:dyDescent="0.25">
      <c r="A265" s="446" t="str">
        <f>VLOOKUP(B265,'C UNIT PROG TÉCNICOS'!$B$8:$H$108,7,FALSE)</f>
        <v>CAPEX</v>
      </c>
      <c r="B265" s="367" t="s">
        <v>37</v>
      </c>
      <c r="C265" s="304" t="s">
        <v>20</v>
      </c>
      <c r="D265" s="304" t="s">
        <v>19</v>
      </c>
      <c r="I265" s="314"/>
      <c r="J265" s="314"/>
      <c r="K265" s="314"/>
      <c r="L265" s="1135">
        <v>0</v>
      </c>
      <c r="M265" s="1135">
        <v>0</v>
      </c>
      <c r="N265" s="1135">
        <v>0</v>
      </c>
      <c r="O265" s="1135">
        <v>0</v>
      </c>
      <c r="P265" s="1135">
        <v>0</v>
      </c>
      <c r="Q265" s="1135">
        <v>0</v>
      </c>
      <c r="R265" s="1135">
        <v>1</v>
      </c>
      <c r="S265" s="1135">
        <v>0</v>
      </c>
      <c r="T265" s="1135">
        <v>0</v>
      </c>
      <c r="U265" s="456" t="str">
        <f>IF(U263="","",IF(OR(U$262=$D$262,U$266&gt;=U$262),0,IFERROR(ROUNDDOWN(U$262*(1/3),0),"")))</f>
        <v/>
      </c>
    </row>
    <row r="266" spans="1:21" s="307" customFormat="1" ht="24.6" hidden="1" customHeight="1" outlineLevel="1" x14ac:dyDescent="0.25">
      <c r="A266" s="446" t="str">
        <f>VLOOKUP(B266,'C UNIT PROG TÉCNICOS'!$B$8:$H$108,7,FALSE)</f>
        <v>CAPEX</v>
      </c>
      <c r="B266" s="367" t="s">
        <v>49</v>
      </c>
      <c r="C266" s="304" t="s">
        <v>20</v>
      </c>
      <c r="D266" s="304" t="s">
        <v>19</v>
      </c>
      <c r="I266" s="314"/>
      <c r="J266" s="314"/>
      <c r="K266" s="314"/>
      <c r="L266" s="362">
        <v>0</v>
      </c>
      <c r="M266" s="362">
        <v>0</v>
      </c>
      <c r="N266" s="362">
        <v>0</v>
      </c>
      <c r="O266" s="362">
        <v>0</v>
      </c>
      <c r="P266" s="362">
        <v>0</v>
      </c>
      <c r="Q266" s="362">
        <v>1</v>
      </c>
      <c r="R266" s="362">
        <v>0</v>
      </c>
      <c r="S266" s="362">
        <v>0</v>
      </c>
      <c r="T266" s="362">
        <v>1</v>
      </c>
      <c r="U266" s="383"/>
    </row>
    <row r="267" spans="1:21" s="307" customFormat="1" ht="12" hidden="1" customHeight="1" outlineLevel="1" x14ac:dyDescent="0.25">
      <c r="A267" s="316"/>
      <c r="B267" s="307" t="s">
        <v>742</v>
      </c>
      <c r="D267" s="447" t="str">
        <f>IF(AND(A264="CAPEX",A265="CAPEX",A266="CAPEX",A263="CAPEX"),"Inversión",IF(AND(A264="OPEX",A265="OPEX",A266="OPEX",A263="OPEX"),"Operación","I/O"))</f>
        <v>Inversión</v>
      </c>
      <c r="I267" s="370"/>
      <c r="J267" s="370"/>
      <c r="K267" s="371" t="s">
        <v>149</v>
      </c>
      <c r="L267" s="371" t="s">
        <v>8</v>
      </c>
      <c r="M267" s="371" t="s">
        <v>8</v>
      </c>
      <c r="N267" s="371" t="s">
        <v>8</v>
      </c>
      <c r="O267" s="371" t="s">
        <v>8</v>
      </c>
      <c r="P267" s="371" t="s">
        <v>8</v>
      </c>
      <c r="Q267" s="371" t="s">
        <v>8</v>
      </c>
      <c r="R267" s="371" t="s">
        <v>8</v>
      </c>
      <c r="S267" s="371" t="s">
        <v>8</v>
      </c>
      <c r="T267" s="371" t="s">
        <v>8</v>
      </c>
      <c r="U267" s="371" t="s">
        <v>149</v>
      </c>
    </row>
    <row r="268" spans="1:21" s="307" customFormat="1" ht="12" hidden="1" customHeight="1" outlineLevel="1" x14ac:dyDescent="0.25">
      <c r="A268" s="316"/>
      <c r="B268" s="307" t="s">
        <v>762</v>
      </c>
      <c r="C268" s="304"/>
      <c r="D268" s="304"/>
      <c r="K268" s="448">
        <f>IF(K267="N/A",0,IF(K267="SI",0,IF(OR($D267="I/O",$D267="Inversión"),0,SUM(VLOOKUP($B263,'C UNIT PROG TÉCNICOS'!$B$8:$G$160,6,FALSE)*'EV PROG TÉCNICOS'!K263,VLOOKUP($B264,'C UNIT PROG TÉCNICOS'!$B$8:$G$160,6,FALSE)*'EV PROG TÉCNICOS'!K264,VLOOKUP($B265,'C UNIT PROG TÉCNICOS'!$B$8:$G$160,6,FALSE)*'EV PROG TÉCNICOS'!K265,VLOOKUP($B266,'C UNIT PROG TÉCNICOS'!$B$8:$G$160,6,FALSE)*'EV PROG TÉCNICOS'!K266))))</f>
        <v>0</v>
      </c>
      <c r="L268" s="448">
        <f>IF(L267="N/A",0,IF(L267="SI",0,IF(OR($D267="I/O",$D267="Inversión"),0,SUM(VLOOKUP($B263,'C UNIT PROG TÉCNICOS'!$B$8:$G$160,6,FALSE)*'EV PROG TÉCNICOS'!L263,VLOOKUP($B264,'C UNIT PROG TÉCNICOS'!$B$8:$G$160,6,FALSE)*'EV PROG TÉCNICOS'!L264,VLOOKUP($B265,'C UNIT PROG TÉCNICOS'!$B$8:$G$160,6,FALSE)*'EV PROG TÉCNICOS'!L265,VLOOKUP($B266,'C UNIT PROG TÉCNICOS'!$B$8:$G$160,6,FALSE)*'EV PROG TÉCNICOS'!L266))))</f>
        <v>0</v>
      </c>
      <c r="M268" s="448">
        <f>IF(M267="N/A",0,IF(M267="SI",0,IF(OR($D267="I/O",$D267="Inversión"),0,SUM(VLOOKUP($B263,'C UNIT PROG TÉCNICOS'!$B$8:$G$160,6,FALSE)*'EV PROG TÉCNICOS'!M263,VLOOKUP($B264,'C UNIT PROG TÉCNICOS'!$B$8:$G$160,6,FALSE)*'EV PROG TÉCNICOS'!M264,VLOOKUP($B265,'C UNIT PROG TÉCNICOS'!$B$8:$G$160,6,FALSE)*'EV PROG TÉCNICOS'!M265,VLOOKUP($B266,'C UNIT PROG TÉCNICOS'!$B$8:$G$160,6,FALSE)*'EV PROG TÉCNICOS'!M266))))</f>
        <v>0</v>
      </c>
      <c r="N268" s="448">
        <f>IF(N267="N/A",0,IF(N267="SI",0,IF(OR($D267="I/O",$D267="Inversión"),0,SUM(VLOOKUP($B263,'C UNIT PROG TÉCNICOS'!$B$8:$G$160,6,FALSE)*'EV PROG TÉCNICOS'!N263,VLOOKUP($B264,'C UNIT PROG TÉCNICOS'!$B$8:$G$160,6,FALSE)*'EV PROG TÉCNICOS'!N264,VLOOKUP($B265,'C UNIT PROG TÉCNICOS'!$B$8:$G$160,6,FALSE)*'EV PROG TÉCNICOS'!N265,VLOOKUP($B266,'C UNIT PROG TÉCNICOS'!$B$8:$G$160,6,FALSE)*'EV PROG TÉCNICOS'!N266))))</f>
        <v>0</v>
      </c>
      <c r="O268" s="448">
        <f>IF(O267="N/A",0,IF(O267="SI",0,IF(OR($D267="I/O",$D267="Inversión"),0,SUM(VLOOKUP($B263,'C UNIT PROG TÉCNICOS'!$B$8:$G$160,6,FALSE)*'EV PROG TÉCNICOS'!O263,VLOOKUP($B264,'C UNIT PROG TÉCNICOS'!$B$8:$G$160,6,FALSE)*'EV PROG TÉCNICOS'!O264,VLOOKUP($B265,'C UNIT PROG TÉCNICOS'!$B$8:$G$160,6,FALSE)*'EV PROG TÉCNICOS'!O265,VLOOKUP($B266,'C UNIT PROG TÉCNICOS'!$B$8:$G$160,6,FALSE)*'EV PROG TÉCNICOS'!O266))))</f>
        <v>0</v>
      </c>
      <c r="P268" s="448">
        <f>IF(P267="N/A",0,IF(P267="SI",0,IF(OR($D267="I/O",$D267="Inversión"),0,SUM(VLOOKUP($B263,'C UNIT PROG TÉCNICOS'!$B$8:$G$160,6,FALSE)*'EV PROG TÉCNICOS'!P263,VLOOKUP($B264,'C UNIT PROG TÉCNICOS'!$B$8:$G$160,6,FALSE)*'EV PROG TÉCNICOS'!P264,VLOOKUP($B265,'C UNIT PROG TÉCNICOS'!$B$8:$G$160,6,FALSE)*'EV PROG TÉCNICOS'!P265,VLOOKUP($B266,'C UNIT PROG TÉCNICOS'!$B$8:$G$160,6,FALSE)*'EV PROG TÉCNICOS'!P266))))</f>
        <v>0</v>
      </c>
      <c r="Q268" s="448">
        <f>IF(Q267="N/A",0,IF(Q267="SI",0,IF(OR($D267="I/O",$D267="Inversión"),0,SUM(VLOOKUP($B263,'C UNIT PROG TÉCNICOS'!$B$8:$G$160,6,FALSE)*'EV PROG TÉCNICOS'!Q263,VLOOKUP($B264,'C UNIT PROG TÉCNICOS'!$B$8:$G$160,6,FALSE)*'EV PROG TÉCNICOS'!Q264,VLOOKUP($B265,'C UNIT PROG TÉCNICOS'!$B$8:$G$160,6,FALSE)*'EV PROG TÉCNICOS'!Q265,VLOOKUP($B266,'C UNIT PROG TÉCNICOS'!$B$8:$G$160,6,FALSE)*'EV PROG TÉCNICOS'!Q266))))</f>
        <v>0</v>
      </c>
      <c r="R268" s="448">
        <f>IF(R267="N/A",0,IF(R267="SI",0,IF(OR($D267="I/O",$D267="Inversión"),0,SUM(VLOOKUP($B263,'C UNIT PROG TÉCNICOS'!$B$8:$G$160,6,FALSE)*'EV PROG TÉCNICOS'!R263,VLOOKUP($B264,'C UNIT PROG TÉCNICOS'!$B$8:$G$160,6,FALSE)*'EV PROG TÉCNICOS'!R264,VLOOKUP($B265,'C UNIT PROG TÉCNICOS'!$B$8:$G$160,6,FALSE)*'EV PROG TÉCNICOS'!R265,VLOOKUP($B266,'C UNIT PROG TÉCNICOS'!$B$8:$G$160,6,FALSE)*'EV PROG TÉCNICOS'!R266))))</f>
        <v>0</v>
      </c>
      <c r="S268" s="448">
        <f>IF(S267="N/A",0,IF(S267="SI",0,IF(OR($D267="I/O",$D267="Inversión"),0,SUM(VLOOKUP($B263,'C UNIT PROG TÉCNICOS'!$B$8:$G$160,6,FALSE)*'EV PROG TÉCNICOS'!S263,VLOOKUP($B264,'C UNIT PROG TÉCNICOS'!$B$8:$G$160,6,FALSE)*'EV PROG TÉCNICOS'!S264,VLOOKUP($B265,'C UNIT PROG TÉCNICOS'!$B$8:$G$160,6,FALSE)*'EV PROG TÉCNICOS'!S265,VLOOKUP($B266,'C UNIT PROG TÉCNICOS'!$B$8:$G$160,6,FALSE)*'EV PROG TÉCNICOS'!S266))))</f>
        <v>0</v>
      </c>
      <c r="T268" s="448">
        <f>IF(T267="N/A",0,IF(T267="SI",0,IF(OR($D267="I/O",$D267="Inversión"),0,SUM(VLOOKUP($B263,'C UNIT PROG TÉCNICOS'!$B$8:$G$160,6,FALSE)*'EV PROG TÉCNICOS'!T263,VLOOKUP($B264,'C UNIT PROG TÉCNICOS'!$B$8:$G$160,6,FALSE)*'EV PROG TÉCNICOS'!T264,VLOOKUP($B265,'C UNIT PROG TÉCNICOS'!$B$8:$G$160,6,FALSE)*'EV PROG TÉCNICOS'!T265,VLOOKUP($B266,'C UNIT PROG TÉCNICOS'!$B$8:$G$160,6,FALSE)*'EV PROG TÉCNICOS'!T266))))</f>
        <v>0</v>
      </c>
      <c r="U268" s="448">
        <f>IF(U267="N/A",0,IF(U267="SI",0,IF(OR($D267="I/O",$D267="Inversión"),0,SUM(VLOOKUP($B263,'C UNIT PROG TÉCNICOS'!$B$8:$G$160,6,FALSE)*'EV PROG TÉCNICOS'!U263,VLOOKUP($B264,'C UNIT PROG TÉCNICOS'!$B$8:$G$160,6,FALSE)*'EV PROG TÉCNICOS'!U264,VLOOKUP($B265,'C UNIT PROG TÉCNICOS'!$B$8:$G$160,6,FALSE)*'EV PROG TÉCNICOS'!U265,VLOOKUP($B266,'C UNIT PROG TÉCNICOS'!$B$8:$G$160,6,FALSE)*'EV PROG TÉCNICOS'!U266))))</f>
        <v>0</v>
      </c>
    </row>
    <row r="269" spans="1:21" s="307" customFormat="1" ht="12" hidden="1" customHeight="1" outlineLevel="1" x14ac:dyDescent="0.25">
      <c r="A269" s="316"/>
      <c r="B269" s="307" t="s">
        <v>763</v>
      </c>
      <c r="C269" s="304" t="s">
        <v>6</v>
      </c>
      <c r="D269" s="304"/>
      <c r="K269" s="450">
        <f>IF(K267="N/A",0,IF(K267="SI",0,K$21*K268))</f>
        <v>0</v>
      </c>
      <c r="L269" s="450">
        <f>IF(L267="N/A",0,IF(L267="SI",0,L$21*L268))</f>
        <v>0</v>
      </c>
      <c r="M269" s="450">
        <f t="shared" ref="M269:U269" si="125">IF(M267="N/A",0,IF(M267="SI",0,M$21*M268))</f>
        <v>0</v>
      </c>
      <c r="N269" s="450">
        <f t="shared" si="125"/>
        <v>0</v>
      </c>
      <c r="O269" s="450">
        <f t="shared" si="125"/>
        <v>0</v>
      </c>
      <c r="P269" s="450">
        <f t="shared" si="125"/>
        <v>0</v>
      </c>
      <c r="Q269" s="450">
        <f t="shared" si="125"/>
        <v>0</v>
      </c>
      <c r="R269" s="450">
        <f t="shared" si="125"/>
        <v>0</v>
      </c>
      <c r="S269" s="450">
        <f t="shared" si="125"/>
        <v>0</v>
      </c>
      <c r="T269" s="450">
        <f t="shared" si="125"/>
        <v>0</v>
      </c>
      <c r="U269" s="450">
        <f t="shared" si="125"/>
        <v>0</v>
      </c>
    </row>
    <row r="270" spans="1:21" s="307" customFormat="1" ht="12" hidden="1" customHeight="1" outlineLevel="1" x14ac:dyDescent="0.25">
      <c r="A270" s="316"/>
      <c r="B270" s="307" t="s">
        <v>764</v>
      </c>
      <c r="C270" s="304" t="s">
        <v>6</v>
      </c>
      <c r="D270" s="304"/>
      <c r="K270" s="450">
        <f>IF(K267="N/A",0,IF(K267="SI",0,IF(OR($D267="Inversión",$D267="I/O"),SUM(VLOOKUP($B263,'C UNIT PROG TÉCNICOS'!$B$8:$G$160,5,FALSE)*'EV PROG TÉCNICOS'!K263,VLOOKUP($B264,'C UNIT PROG TÉCNICOS'!$B$8:$G$160,5,FALSE)*'EV PROG TÉCNICOS'!K264,VLOOKUP($B265,'C UNIT PROG TÉCNICOS'!$B$8:$G$160,5,FALSE)*'EV PROG TÉCNICOS'!K265,VLOOKUP($B266,'C UNIT PROG TÉCNICOS'!$B$8:$G$160,5,FALSE)*'EV PROG TÉCNICOS'!K266),0)))</f>
        <v>0</v>
      </c>
      <c r="L270" s="450">
        <f>IF(L267="N/A",0,IF(L267="SI",0,IF(OR($D267="Inversión",$D267="I/O"),SUM(VLOOKUP($B263,'C UNIT PROG TÉCNICOS'!$B$8:$G$160,5,FALSE)*'EV PROG TÉCNICOS'!L263,VLOOKUP($B264,'C UNIT PROG TÉCNICOS'!$B$8:$G$160,5,FALSE)*'EV PROG TÉCNICOS'!L264,VLOOKUP($B265,'C UNIT PROG TÉCNICOS'!$B$8:$G$160,5,FALSE)*'EV PROG TÉCNICOS'!L265,VLOOKUP($B266,'C UNIT PROG TÉCNICOS'!$B$8:$G$160,5,FALSE)*'EV PROG TÉCNICOS'!L266),0))*((1+$D$24)^(L$3-$K$3)))</f>
        <v>0</v>
      </c>
      <c r="M270" s="450">
        <f>IF(M267="N/A",0,IF(M267="SI",0,IF(OR($D267="Inversión",$D267="I/O"),SUM(VLOOKUP($B263,'C UNIT PROG TÉCNICOS'!$B$8:$G$160,5,FALSE)*'EV PROG TÉCNICOS'!M263,VLOOKUP($B264,'C UNIT PROG TÉCNICOS'!$B$8:$G$160,5,FALSE)*'EV PROG TÉCNICOS'!M264,VLOOKUP($B265,'C UNIT PROG TÉCNICOS'!$B$8:$G$160,5,FALSE)*'EV PROG TÉCNICOS'!M265,VLOOKUP($B266,'C UNIT PROG TÉCNICOS'!$B$8:$G$160,5,FALSE)*'EV PROG TÉCNICOS'!M266),0))*((1+$D$24)^(M$3-$K$3)))</f>
        <v>0</v>
      </c>
      <c r="N270" s="450">
        <f>IF(N267="N/A",0,IF(N267="SI",0,IF(OR($D267="Inversión",$D267="I/O"),SUM(VLOOKUP($B263,'C UNIT PROG TÉCNICOS'!$B$8:$G$160,5,FALSE)*'EV PROG TÉCNICOS'!N263,VLOOKUP($B264,'C UNIT PROG TÉCNICOS'!$B$8:$G$160,5,FALSE)*'EV PROG TÉCNICOS'!N264,VLOOKUP($B265,'C UNIT PROG TÉCNICOS'!$B$8:$G$160,5,FALSE)*'EV PROG TÉCNICOS'!N265,VLOOKUP($B266,'C UNIT PROG TÉCNICOS'!$B$8:$G$160,5,FALSE)*'EV PROG TÉCNICOS'!N266),0))*((1+$D$24)^(N$3-$K$3)))</f>
        <v>0</v>
      </c>
      <c r="O270" s="450">
        <f>IF(O267="N/A",0,IF(O267="SI",0,IF(OR($D267="Inversión",$D267="I/O"),SUM(VLOOKUP($B263,'C UNIT PROG TÉCNICOS'!$B$8:$G$160,5,FALSE)*'EV PROG TÉCNICOS'!O263,VLOOKUP($B264,'C UNIT PROG TÉCNICOS'!$B$8:$G$160,5,FALSE)*'EV PROG TÉCNICOS'!O264,VLOOKUP($B265,'C UNIT PROG TÉCNICOS'!$B$8:$G$160,5,FALSE)*'EV PROG TÉCNICOS'!O265,VLOOKUP($B266,'C UNIT PROG TÉCNICOS'!$B$8:$G$160,5,FALSE)*'EV PROG TÉCNICOS'!O266),0))*((1+$D$24)^(O$3-$K$3)))</f>
        <v>0</v>
      </c>
      <c r="P270" s="450">
        <f>IF(P267="N/A",0,IF(P267="SI",0,IF(OR($D267="Inversión",$D267="I/O"),SUM(VLOOKUP($B263,'C UNIT PROG TÉCNICOS'!$B$8:$G$160,5,FALSE)*'EV PROG TÉCNICOS'!P263,VLOOKUP($B264,'C UNIT PROG TÉCNICOS'!$B$8:$G$160,5,FALSE)*'EV PROG TÉCNICOS'!P264,VLOOKUP($B265,'C UNIT PROG TÉCNICOS'!$B$8:$G$160,5,FALSE)*'EV PROG TÉCNICOS'!P265,VLOOKUP($B266,'C UNIT PROG TÉCNICOS'!$B$8:$G$160,5,FALSE)*'EV PROG TÉCNICOS'!P266),0))*((1+$D$24)^(P$3-$K$3)))</f>
        <v>0</v>
      </c>
      <c r="Q270" s="450">
        <f>IF(Q267="N/A",0,IF(Q267="SI",0,IF(OR($D267="Inversión",$D267="I/O"),SUM(VLOOKUP($B263,'C UNIT PROG TÉCNICOS'!$B$8:$G$160,5,FALSE)*'EV PROG TÉCNICOS'!Q263,VLOOKUP($B264,'C UNIT PROG TÉCNICOS'!$B$8:$G$160,5,FALSE)*'EV PROG TÉCNICOS'!Q264,VLOOKUP($B265,'C UNIT PROG TÉCNICOS'!$B$8:$G$160,5,FALSE)*'EV PROG TÉCNICOS'!Q265,VLOOKUP($B266,'C UNIT PROG TÉCNICOS'!$B$8:$G$160,5,FALSE)*'EV PROG TÉCNICOS'!Q266),0))*((1+$D$24)^(Q$3-$K$3)))</f>
        <v>10591799.023656914</v>
      </c>
      <c r="R270" s="450">
        <f>IF(R267="N/A",0,IF(R267="SI",0,IF(OR($D267="Inversión",$D267="I/O"),SUM(VLOOKUP($B263,'C UNIT PROG TÉCNICOS'!$B$8:$G$160,5,FALSE)*'EV PROG TÉCNICOS'!R263,VLOOKUP($B264,'C UNIT PROG TÉCNICOS'!$B$8:$G$160,5,FALSE)*'EV PROG TÉCNICOS'!R264,VLOOKUP($B265,'C UNIT PROG TÉCNICOS'!$B$8:$G$160,5,FALSE)*'EV PROG TÉCNICOS'!R265,VLOOKUP($B266,'C UNIT PROG TÉCNICOS'!$B$8:$G$160,5,FALSE)*'EV PROG TÉCNICOS'!R266),0))*((1+$D$24)^(R$3-$K$3)))</f>
        <v>47426088.848298267</v>
      </c>
      <c r="S270" s="450">
        <f>IF(S267="N/A",0,IF(S267="SI",0,IF(OR($D267="Inversión",$D267="I/O"),SUM(VLOOKUP($B263,'C UNIT PROG TÉCNICOS'!$B$8:$G$160,5,FALSE)*'EV PROG TÉCNICOS'!S263,VLOOKUP($B264,'C UNIT PROG TÉCNICOS'!$B$8:$G$160,5,FALSE)*'EV PROG TÉCNICOS'!S264,VLOOKUP($B265,'C UNIT PROG TÉCNICOS'!$B$8:$G$160,5,FALSE)*'EV PROG TÉCNICOS'!S265,VLOOKUP($B266,'C UNIT PROG TÉCNICOS'!$B$8:$G$160,5,FALSE)*'EV PROG TÉCNICOS'!S266),0))*((1+$D$24)^(S$3-$K$3)))</f>
        <v>0</v>
      </c>
      <c r="T270" s="450">
        <f>IF(T267="N/A",0,IF(T267="SI",0,IF(OR($D267="Inversión",$D267="I/O"),SUM(VLOOKUP($B263,'C UNIT PROG TÉCNICOS'!$B$8:$G$160,5,FALSE)*'EV PROG TÉCNICOS'!T263,VLOOKUP($B264,'C UNIT PROG TÉCNICOS'!$B$8:$G$160,5,FALSE)*'EV PROG TÉCNICOS'!T264,VLOOKUP($B265,'C UNIT PROG TÉCNICOS'!$B$8:$G$160,5,FALSE)*'EV PROG TÉCNICOS'!T265,VLOOKUP($B266,'C UNIT PROG TÉCNICOS'!$B$8:$G$160,5,FALSE)*'EV PROG TÉCNICOS'!T266),0))*((1+$D$24)^(T$3-$K$3)))</f>
        <v>11763610.824901652</v>
      </c>
      <c r="U270" s="450">
        <f>IF(U267="N/A",0,IF(U267="SI",0,IF(OR($D267="Inversión",$D267="I/O"),SUM(VLOOKUP($B263,'C UNIT PROG TÉCNICOS'!$B$8:$G$160,5,FALSE)*'EV PROG TÉCNICOS'!U263,VLOOKUP($B264,'C UNIT PROG TÉCNICOS'!$B$8:$G$160,5,FALSE)*'EV PROG TÉCNICOS'!U264,VLOOKUP($B265,'C UNIT PROG TÉCNICOS'!$B$8:$G$160,5,FALSE)*'EV PROG TÉCNICOS'!U265,VLOOKUP($B266,'C UNIT PROG TÉCNICOS'!$B$8:$G$160,5,FALSE)*'EV PROG TÉCNICOS'!U266),0))*((1+$D$24)^(U$3-$K$3)))</f>
        <v>0</v>
      </c>
    </row>
    <row r="271" spans="1:21" s="376" customFormat="1" ht="15" hidden="1" customHeight="1" outlineLevel="1" x14ac:dyDescent="0.25">
      <c r="A271" s="374"/>
      <c r="B271" s="454" t="str">
        <f>CONCATENATE("VNA  ",B260)</f>
        <v>VNA  Reemplazo de macromedidores</v>
      </c>
      <c r="C271" s="374" t="s">
        <v>6</v>
      </c>
      <c r="D271" s="453">
        <f>NPV($D$31,L271:U271)+K271</f>
        <v>23816479.177167866</v>
      </c>
      <c r="K271" s="452">
        <f>IF(K268=0,0,IF($D267="Operación",K269,K270))</f>
        <v>0</v>
      </c>
      <c r="L271" s="452">
        <f t="shared" ref="L271:U271" si="126">IF(L268="N/A",0,IF($D267="Operación",L269,L270))</f>
        <v>0</v>
      </c>
      <c r="M271" s="452">
        <f t="shared" si="126"/>
        <v>0</v>
      </c>
      <c r="N271" s="452">
        <f t="shared" si="126"/>
        <v>0</v>
      </c>
      <c r="O271" s="452">
        <f t="shared" si="126"/>
        <v>0</v>
      </c>
      <c r="P271" s="452">
        <f t="shared" si="126"/>
        <v>0</v>
      </c>
      <c r="Q271" s="452">
        <f t="shared" si="126"/>
        <v>10591799.023656914</v>
      </c>
      <c r="R271" s="452">
        <f t="shared" si="126"/>
        <v>47426088.848298267</v>
      </c>
      <c r="S271" s="452">
        <f t="shared" si="126"/>
        <v>0</v>
      </c>
      <c r="T271" s="452">
        <f t="shared" si="126"/>
        <v>11763610.824901652</v>
      </c>
      <c r="U271" s="452">
        <f t="shared" si="126"/>
        <v>0</v>
      </c>
    </row>
    <row r="272" spans="1:21" s="376" customFormat="1" ht="0.95" hidden="1" customHeight="1" outlineLevel="1" x14ac:dyDescent="0.25">
      <c r="A272" s="374"/>
      <c r="B272" s="454"/>
      <c r="C272" s="374"/>
      <c r="D272" s="374"/>
      <c r="K272" s="384"/>
      <c r="L272" s="384"/>
      <c r="M272" s="384"/>
      <c r="N272" s="384"/>
      <c r="O272" s="384"/>
      <c r="P272" s="384"/>
      <c r="Q272" s="384"/>
      <c r="R272" s="384"/>
      <c r="S272" s="384"/>
      <c r="T272" s="384"/>
      <c r="U272" s="384"/>
    </row>
    <row r="273" spans="1:22" s="376" customFormat="1" ht="0.95" hidden="1" customHeight="1" outlineLevel="1" x14ac:dyDescent="0.25">
      <c r="A273" s="374"/>
      <c r="C273" s="374"/>
      <c r="D273" s="453"/>
      <c r="K273" s="452"/>
      <c r="L273" s="452"/>
      <c r="M273" s="452"/>
      <c r="N273" s="452"/>
      <c r="O273" s="452"/>
      <c r="P273" s="452"/>
      <c r="Q273" s="452"/>
      <c r="R273" s="452"/>
      <c r="S273" s="452"/>
      <c r="T273" s="452"/>
      <c r="U273" s="452"/>
    </row>
    <row r="274" spans="1:22" s="376" customFormat="1" ht="0.95" hidden="1" customHeight="1" outlineLevel="1" x14ac:dyDescent="0.25">
      <c r="A274" s="374"/>
      <c r="C274" s="374"/>
      <c r="D274"/>
      <c r="K274" s="455"/>
      <c r="L274" s="455"/>
      <c r="M274" s="455"/>
      <c r="N274" s="455"/>
      <c r="O274" s="455"/>
      <c r="P274" s="455"/>
      <c r="Q274" s="455"/>
      <c r="R274" s="455"/>
      <c r="S274" s="455"/>
      <c r="T274" s="455"/>
      <c r="U274" s="455"/>
    </row>
    <row r="275" spans="1:22" s="307" customFormat="1" ht="12" collapsed="1" x14ac:dyDescent="0.25">
      <c r="A275" s="304"/>
    </row>
    <row r="276" spans="1:22" s="357" customFormat="1" ht="15.75" x14ac:dyDescent="0.25">
      <c r="A276" s="356">
        <v>1.3</v>
      </c>
      <c r="B276" s="317" t="s">
        <v>111</v>
      </c>
      <c r="C276" s="317"/>
      <c r="D276" s="317"/>
      <c r="E276" s="317"/>
      <c r="F276" s="317"/>
      <c r="G276" s="317"/>
      <c r="H276" s="317"/>
      <c r="I276" s="317"/>
      <c r="J276" s="317"/>
      <c r="K276" s="317"/>
      <c r="L276" s="317"/>
      <c r="M276" s="317"/>
      <c r="N276" s="317"/>
      <c r="O276" s="317"/>
      <c r="P276" s="317"/>
      <c r="Q276" s="317"/>
      <c r="R276" s="317"/>
      <c r="S276" s="317"/>
      <c r="T276" s="317"/>
      <c r="U276" s="317"/>
    </row>
    <row r="277" spans="1:22" s="307" customFormat="1" ht="12" hidden="1" customHeight="1" outlineLevel="1" x14ac:dyDescent="0.25">
      <c r="A277" s="380" t="s">
        <v>137</v>
      </c>
      <c r="B277" s="358" t="s">
        <v>82</v>
      </c>
      <c r="C277" s="359"/>
      <c r="D277" s="359"/>
      <c r="E277" s="359"/>
      <c r="F277" s="359"/>
      <c r="G277" s="359"/>
      <c r="H277" s="359"/>
      <c r="I277" s="359"/>
      <c r="J277" s="359"/>
      <c r="K277" s="359"/>
      <c r="L277" s="359"/>
      <c r="M277" s="359"/>
      <c r="N277" s="359"/>
      <c r="O277" s="359"/>
      <c r="P277" s="359"/>
      <c r="Q277" s="359"/>
      <c r="R277" s="359"/>
      <c r="S277" s="359"/>
      <c r="T277" s="359"/>
      <c r="U277" s="359"/>
    </row>
    <row r="278" spans="1:22" s="326" customFormat="1" ht="12" hidden="1" customHeight="1" outlineLevel="1" x14ac:dyDescent="0.25">
      <c r="B278" s="307" t="s">
        <v>310</v>
      </c>
      <c r="D278" s="360">
        <v>12</v>
      </c>
      <c r="J278" s="361"/>
      <c r="K278" s="442">
        <f>$D278</f>
        <v>12</v>
      </c>
      <c r="L278" s="442">
        <f>IF(L286="N/A",0,IF(L279=0,0,$D278))</f>
        <v>12</v>
      </c>
      <c r="M278" s="442">
        <f t="shared" ref="M278:U278" si="127">IF(M286="N/A",0,IF(M279=0,0,$D278))</f>
        <v>12</v>
      </c>
      <c r="N278" s="442">
        <f t="shared" si="127"/>
        <v>0</v>
      </c>
      <c r="O278" s="442">
        <f t="shared" si="127"/>
        <v>0</v>
      </c>
      <c r="P278" s="442">
        <f t="shared" si="127"/>
        <v>0</v>
      </c>
      <c r="Q278" s="442">
        <f t="shared" si="127"/>
        <v>0</v>
      </c>
      <c r="R278" s="442">
        <f t="shared" si="127"/>
        <v>0</v>
      </c>
      <c r="S278" s="442">
        <f t="shared" si="127"/>
        <v>0</v>
      </c>
      <c r="T278" s="442">
        <f t="shared" si="127"/>
        <v>0</v>
      </c>
      <c r="U278" s="442">
        <f t="shared" si="127"/>
        <v>0</v>
      </c>
    </row>
    <row r="279" spans="1:22" s="307" customFormat="1" ht="12" hidden="1" customHeight="1" outlineLevel="1" x14ac:dyDescent="0.25">
      <c r="A279" s="316"/>
      <c r="B279" s="307" t="s">
        <v>114</v>
      </c>
      <c r="D279" s="362">
        <v>11</v>
      </c>
      <c r="J279" s="342"/>
      <c r="K279" s="439">
        <f>$D279</f>
        <v>11</v>
      </c>
      <c r="L279" s="439">
        <f>IF(L286="N/A",0,IF(IFERROR(K279+SUM($K$282:L282),0)&gt;$D$278,0,IFERROR(K279+SUM($K$282:L282),0)))</f>
        <v>11</v>
      </c>
      <c r="M279" s="439">
        <f>IF(M286="N/A",0,IF(IFERROR(L279+SUM($K$282:M282),0)&gt;$D$278,0,IFERROR(L279+SUM($K$282:M282),0)))</f>
        <v>12</v>
      </c>
      <c r="N279" s="439">
        <f>IF(N286="N/A",0,IF(IFERROR(M279+SUM($K$282:N282),0)&gt;$D$278,0,IFERROR(M279+SUM($K$282:N282),0)))</f>
        <v>0</v>
      </c>
      <c r="O279" s="439">
        <f>IF(O286="N/A",0,IF(IFERROR(N279+SUM($K$282:O282),0)&gt;$D$278,0,IFERROR(N279+SUM($K$282:O282),0)))</f>
        <v>0</v>
      </c>
      <c r="P279" s="439">
        <f>IF(P286="N/A",0,IF(IFERROR(O279+SUM($K$282:P282),0)&gt;$D$278,0,IFERROR(O279+SUM($K$282:P282),0)))</f>
        <v>0</v>
      </c>
      <c r="Q279" s="439">
        <f>IF(Q286="N/A",0,IF(IFERROR(P279+SUM($K$282:Q282),0)&gt;$D$278,0,IFERROR(P279+SUM($K$282:Q282),0)))</f>
        <v>0</v>
      </c>
      <c r="R279" s="439">
        <f>IF(R286="N/A",0,IF(IFERROR(Q279+SUM($K$282:R282),0)&gt;$D$278,0,IFERROR(Q279+SUM($K$282:R282),0)))</f>
        <v>0</v>
      </c>
      <c r="S279" s="439">
        <f>IF(S286="N/A",0,IF(IFERROR(R279+SUM($K$282:S282),0)&gt;$D$278,0,IFERROR(R279+SUM($K$282:S282),0)))</f>
        <v>0</v>
      </c>
      <c r="T279" s="439">
        <f>IF(T286="N/A",0,IF(IFERROR(S279+SUM($K$282:T282),0)&gt;$D$278,0,IFERROR(S279+SUM($K$282:T282),0)))</f>
        <v>0</v>
      </c>
      <c r="U279" s="439">
        <f>IF(U286="N/A",0,IF(IFERROR(T279+SUM($K$282:U282),0)&gt;$D$278,0,IFERROR(T279+SUM($K$282:U282),0)))</f>
        <v>0</v>
      </c>
    </row>
    <row r="280" spans="1:22" s="307" customFormat="1" ht="12" hidden="1" customHeight="1" outlineLevel="1" x14ac:dyDescent="0.25">
      <c r="A280" s="316"/>
      <c r="B280" s="307" t="s">
        <v>115</v>
      </c>
      <c r="D280" s="439">
        <f>D278-D279</f>
        <v>1</v>
      </c>
      <c r="J280" s="342"/>
      <c r="K280" s="439">
        <f>K278-K279</f>
        <v>1</v>
      </c>
      <c r="L280" s="439">
        <f>IFERROR(L278-L279,0)</f>
        <v>1</v>
      </c>
      <c r="M280" s="439">
        <f t="shared" ref="M280:U280" si="128">IFERROR(M278-M279,0)</f>
        <v>0</v>
      </c>
      <c r="N280" s="439">
        <f t="shared" si="128"/>
        <v>0</v>
      </c>
      <c r="O280" s="439">
        <f t="shared" si="128"/>
        <v>0</v>
      </c>
      <c r="P280" s="439">
        <f t="shared" si="128"/>
        <v>0</v>
      </c>
      <c r="Q280" s="439">
        <f t="shared" si="128"/>
        <v>0</v>
      </c>
      <c r="R280" s="439">
        <f t="shared" si="128"/>
        <v>0</v>
      </c>
      <c r="S280" s="439">
        <f t="shared" si="128"/>
        <v>0</v>
      </c>
      <c r="T280" s="439">
        <f t="shared" si="128"/>
        <v>0</v>
      </c>
      <c r="U280" s="439">
        <f t="shared" si="128"/>
        <v>0</v>
      </c>
    </row>
    <row r="281" spans="1:22" s="326" customFormat="1" ht="15" hidden="1" customHeight="1" outlineLevel="1" x14ac:dyDescent="0.25">
      <c r="A281" s="316"/>
      <c r="B281" s="326" t="s">
        <v>24</v>
      </c>
      <c r="C281" s="316" t="s">
        <v>11</v>
      </c>
      <c r="D281" s="444">
        <f>COUNT(L281:U281)</f>
        <v>2</v>
      </c>
      <c r="E281" s="364"/>
      <c r="F281" s="364"/>
      <c r="G281" s="364"/>
      <c r="H281" s="364"/>
      <c r="I281" s="364"/>
      <c r="J281" s="364"/>
      <c r="K281" s="365">
        <v>0</v>
      </c>
      <c r="L281" s="443">
        <v>1</v>
      </c>
      <c r="M281" s="443">
        <f t="shared" ref="M281:U281" si="129">IF(SUM(M283:M285)=0,"",L281+1)</f>
        <v>2</v>
      </c>
      <c r="N281" s="443" t="str">
        <f t="shared" si="129"/>
        <v/>
      </c>
      <c r="O281" s="443" t="str">
        <f t="shared" si="129"/>
        <v/>
      </c>
      <c r="P281" s="443" t="str">
        <f t="shared" si="129"/>
        <v/>
      </c>
      <c r="Q281" s="443" t="str">
        <f t="shared" si="129"/>
        <v/>
      </c>
      <c r="R281" s="443" t="str">
        <f t="shared" si="129"/>
        <v/>
      </c>
      <c r="S281" s="443" t="str">
        <f t="shared" si="129"/>
        <v/>
      </c>
      <c r="T281" s="443" t="str">
        <f t="shared" si="129"/>
        <v/>
      </c>
      <c r="U281" s="443" t="str">
        <f t="shared" si="129"/>
        <v/>
      </c>
    </row>
    <row r="282" spans="1:22" s="326" customFormat="1" ht="12" hidden="1" customHeight="1" outlineLevel="1" x14ac:dyDescent="0.25">
      <c r="A282" s="316"/>
      <c r="B282" s="307" t="s">
        <v>25</v>
      </c>
      <c r="C282" s="304" t="s">
        <v>20</v>
      </c>
      <c r="D282" s="445" t="str">
        <f>IF(K280&lt;&gt;SUM(K282:P282),"NO","SI")</f>
        <v>SI</v>
      </c>
      <c r="K282" s="442">
        <f>SUM(K283:K285)</f>
        <v>0</v>
      </c>
      <c r="L282" s="442">
        <f>IF(L286="N/A",0,IFERROR(ROUND(SUM(L283:L285),0),0))</f>
        <v>0</v>
      </c>
      <c r="M282" s="442">
        <f t="shared" ref="M282:U282" si="130">IF(M286="N/A",0,IFERROR(ROUND(SUM(M283:M285),0),0))</f>
        <v>1</v>
      </c>
      <c r="N282" s="442">
        <f t="shared" si="130"/>
        <v>0</v>
      </c>
      <c r="O282" s="442">
        <f>IF(O286="N/A",0,IFERROR(ROUND(SUM(O283:O285),0),0))</f>
        <v>0</v>
      </c>
      <c r="P282" s="442">
        <f t="shared" si="130"/>
        <v>0</v>
      </c>
      <c r="Q282" s="442">
        <f t="shared" si="130"/>
        <v>0</v>
      </c>
      <c r="R282" s="442">
        <f t="shared" si="130"/>
        <v>0</v>
      </c>
      <c r="S282" s="442">
        <f t="shared" si="130"/>
        <v>0</v>
      </c>
      <c r="T282" s="442">
        <f t="shared" si="130"/>
        <v>0</v>
      </c>
      <c r="U282" s="442">
        <f t="shared" si="130"/>
        <v>0</v>
      </c>
    </row>
    <row r="283" spans="1:22" s="307" customFormat="1" ht="35.1" hidden="1" customHeight="1" outlineLevel="1" x14ac:dyDescent="0.25">
      <c r="A283" s="446" t="str">
        <f>VLOOKUP(B283,'C UNIT PROG TÉCNICOS'!$B$8:$H$108,7,FALSE)</f>
        <v>CAPEX</v>
      </c>
      <c r="B283" s="367" t="s">
        <v>73</v>
      </c>
      <c r="C283" s="304" t="s">
        <v>20</v>
      </c>
      <c r="D283" s="304" t="s">
        <v>19</v>
      </c>
      <c r="I283" s="368"/>
      <c r="J283" s="368"/>
      <c r="K283" s="362">
        <v>0</v>
      </c>
      <c r="L283" s="362">
        <v>0</v>
      </c>
      <c r="M283" s="362">
        <v>0</v>
      </c>
      <c r="N283" s="362"/>
      <c r="O283" s="362"/>
      <c r="P283" s="362"/>
      <c r="Q283" s="362"/>
      <c r="R283" s="362"/>
      <c r="S283" s="362"/>
      <c r="T283" s="362"/>
      <c r="U283" s="362"/>
    </row>
    <row r="284" spans="1:22" s="307" customFormat="1" ht="35.1" hidden="1" customHeight="1" outlineLevel="1" x14ac:dyDescent="0.25">
      <c r="A284" s="446" t="str">
        <f>VLOOKUP(B284,'C UNIT PROG TÉCNICOS'!$B$8:$H$108,7,FALSE)</f>
        <v>CAPEX</v>
      </c>
      <c r="B284" s="367" t="s">
        <v>74</v>
      </c>
      <c r="C284" s="304" t="s">
        <v>20</v>
      </c>
      <c r="D284" s="304" t="s">
        <v>19</v>
      </c>
      <c r="I284" s="369"/>
      <c r="J284" s="369"/>
      <c r="K284" s="362">
        <v>0</v>
      </c>
      <c r="L284" s="362">
        <v>0</v>
      </c>
      <c r="M284" s="362">
        <v>0</v>
      </c>
      <c r="N284" s="362"/>
      <c r="O284" s="362"/>
      <c r="P284" s="362"/>
      <c r="Q284" s="362"/>
      <c r="R284" s="362"/>
      <c r="S284" s="362"/>
      <c r="T284" s="362"/>
      <c r="U284" s="362"/>
    </row>
    <row r="285" spans="1:22" s="307" customFormat="1" ht="35.1" hidden="1" customHeight="1" outlineLevel="1" x14ac:dyDescent="0.25">
      <c r="A285" s="446" t="str">
        <f>VLOOKUP(B285,'C UNIT PROG TÉCNICOS'!$B$8:$H$108,7,FALSE)</f>
        <v>CAPEX</v>
      </c>
      <c r="B285" s="367" t="s">
        <v>36</v>
      </c>
      <c r="C285" s="304" t="s">
        <v>20</v>
      </c>
      <c r="D285" s="304" t="s">
        <v>19</v>
      </c>
      <c r="I285" s="369"/>
      <c r="J285" s="369"/>
      <c r="K285" s="362">
        <v>0</v>
      </c>
      <c r="L285" s="362">
        <v>0</v>
      </c>
      <c r="M285" s="362">
        <v>1</v>
      </c>
      <c r="N285" s="362"/>
      <c r="O285" s="362"/>
      <c r="P285" s="362"/>
      <c r="Q285" s="362"/>
      <c r="R285" s="362"/>
      <c r="S285" s="362"/>
      <c r="T285" s="362"/>
      <c r="U285" s="362"/>
    </row>
    <row r="286" spans="1:22" s="307" customFormat="1" ht="12" hidden="1" customHeight="1" outlineLevel="1" x14ac:dyDescent="0.25">
      <c r="A286" s="316"/>
      <c r="B286" s="307" t="s">
        <v>742</v>
      </c>
      <c r="D286" s="447" t="str">
        <f>IF(AND(A283="CAPEX",A284="CAPEX",A285="CAPEX"),"Inversión",IF(AND(A283="OPEX",A284="OPEX",A285="OPEX"),"Operación","I/O"))</f>
        <v>Inversión</v>
      </c>
      <c r="I286" s="370"/>
      <c r="J286" s="370"/>
      <c r="K286" s="371" t="s">
        <v>8</v>
      </c>
      <c r="L286" s="371" t="s">
        <v>8</v>
      </c>
      <c r="M286" s="371" t="s">
        <v>8</v>
      </c>
      <c r="N286" s="371" t="s">
        <v>149</v>
      </c>
      <c r="O286" s="371" t="s">
        <v>149</v>
      </c>
      <c r="P286" s="371" t="s">
        <v>149</v>
      </c>
      <c r="Q286" s="371" t="s">
        <v>149</v>
      </c>
      <c r="R286" s="371" t="s">
        <v>149</v>
      </c>
      <c r="S286" s="371" t="s">
        <v>149</v>
      </c>
      <c r="T286" s="371" t="s">
        <v>149</v>
      </c>
      <c r="U286" s="371" t="s">
        <v>149</v>
      </c>
      <c r="V286" s="371" t="s">
        <v>149</v>
      </c>
    </row>
    <row r="287" spans="1:22" s="307" customFormat="1" ht="12" hidden="1" customHeight="1" outlineLevel="1" x14ac:dyDescent="0.25">
      <c r="A287" s="316"/>
      <c r="B287" s="307" t="s">
        <v>762</v>
      </c>
      <c r="C287" s="304"/>
      <c r="D287" s="304"/>
      <c r="K287" s="448">
        <f>IF(K286="N/A",0,IF(K286="SI",0,IF(OR($D286="I/O",$D286="Inversión"),0,SUM(VLOOKUP($B283,'C UNIT PROG TÉCNICOS'!$B$8:$G$160,6,FALSE)*'EV PROG TÉCNICOS'!K283,VLOOKUP($B284,'C UNIT PROG TÉCNICOS'!$B$8:$G$160,6,FALSE)*'EV PROG TÉCNICOS'!K284,VLOOKUP($B285,'C UNIT PROG TÉCNICOS'!$B$8:$G$160,6,FALSE)*'EV PROG TÉCNICOS'!K285))))</f>
        <v>0</v>
      </c>
      <c r="L287" s="448">
        <f>IF(L286="N/A",0,IF(L286="SI",0,IF(OR($D286="I/O",$D286="Inversión"),0,SUM(VLOOKUP($B283,'C UNIT PROG TÉCNICOS'!$B$8:$G$160,6,FALSE)*'EV PROG TÉCNICOS'!L283,VLOOKUP($B284,'C UNIT PROG TÉCNICOS'!$B$8:$G$160,6,FALSE)*'EV PROG TÉCNICOS'!L284,VLOOKUP($B285,'C UNIT PROG TÉCNICOS'!$B$8:$G$160,6,FALSE)*'EV PROG TÉCNICOS'!L285))))</f>
        <v>0</v>
      </c>
      <c r="M287" s="448">
        <f>IF(M286="N/A",0,IF(M286="SI",0,IF(OR($D286="I/O",$D286="Inversión"),0,SUM(VLOOKUP($B283,'C UNIT PROG TÉCNICOS'!$B$8:$G$160,6,FALSE)*'EV PROG TÉCNICOS'!M283,VLOOKUP($B284,'C UNIT PROG TÉCNICOS'!$B$8:$G$160,6,FALSE)*'EV PROG TÉCNICOS'!M284,VLOOKUP($B285,'C UNIT PROG TÉCNICOS'!$B$8:$G$160,6,FALSE)*'EV PROG TÉCNICOS'!M285))))</f>
        <v>0</v>
      </c>
      <c r="N287" s="448">
        <f>IF(N286="N/A",0,IF(N286="SI",0,IF(OR($D286="I/O",$D286="Inversión"),0,SUM(VLOOKUP($B283,'C UNIT PROG TÉCNICOS'!$B$8:$G$160,6,FALSE)*'EV PROG TÉCNICOS'!N283,VLOOKUP($B284,'C UNIT PROG TÉCNICOS'!$B$8:$G$160,6,FALSE)*'EV PROG TÉCNICOS'!N284,VLOOKUP($B285,'C UNIT PROG TÉCNICOS'!$B$8:$G$160,6,FALSE)*'EV PROG TÉCNICOS'!N285))))</f>
        <v>0</v>
      </c>
      <c r="O287" s="448">
        <f>IF(O286="N/A",0,IF(O286="SI",0,IF(OR($D286="I/O",$D286="Inversión"),0,SUM(VLOOKUP($B283,'C UNIT PROG TÉCNICOS'!$B$8:$G$160,6,FALSE)*'EV PROG TÉCNICOS'!O283,VLOOKUP($B284,'C UNIT PROG TÉCNICOS'!$B$8:$G$160,6,FALSE)*'EV PROG TÉCNICOS'!O284,VLOOKUP($B285,'C UNIT PROG TÉCNICOS'!$B$8:$G$160,6,FALSE)*'EV PROG TÉCNICOS'!O285))))</f>
        <v>0</v>
      </c>
      <c r="P287" s="448">
        <f>IF(P286="N/A",0,IF(P286="SI",0,IF(OR($D286="I/O",$D286="Inversión"),0,SUM(VLOOKUP($B283,'C UNIT PROG TÉCNICOS'!$B$8:$G$160,6,FALSE)*'EV PROG TÉCNICOS'!P283,VLOOKUP($B284,'C UNIT PROG TÉCNICOS'!$B$8:$G$160,6,FALSE)*'EV PROG TÉCNICOS'!P284,VLOOKUP($B285,'C UNIT PROG TÉCNICOS'!$B$8:$G$160,6,FALSE)*'EV PROG TÉCNICOS'!P285))))</f>
        <v>0</v>
      </c>
      <c r="Q287" s="448">
        <f>IF(Q286="N/A",0,IF(Q286="SI",0,IF(OR($D286="I/O",$D286="Inversión"),0,SUM(VLOOKUP($B283,'C UNIT PROG TÉCNICOS'!$B$8:$G$160,6,FALSE)*'EV PROG TÉCNICOS'!Q283,VLOOKUP($B284,'C UNIT PROG TÉCNICOS'!$B$8:$G$160,6,FALSE)*'EV PROG TÉCNICOS'!Q284,VLOOKUP($B285,'C UNIT PROG TÉCNICOS'!$B$8:$G$160,6,FALSE)*'EV PROG TÉCNICOS'!Q285))))</f>
        <v>0</v>
      </c>
      <c r="R287" s="448">
        <f>IF(R286="N/A",0,IF(R286="SI",0,IF(OR($D286="I/O",$D286="Inversión"),0,SUM(VLOOKUP($B283,'C UNIT PROG TÉCNICOS'!$B$8:$G$160,6,FALSE)*'EV PROG TÉCNICOS'!R283,VLOOKUP($B284,'C UNIT PROG TÉCNICOS'!$B$8:$G$160,6,FALSE)*'EV PROG TÉCNICOS'!R284,VLOOKUP($B285,'C UNIT PROG TÉCNICOS'!$B$8:$G$160,6,FALSE)*'EV PROG TÉCNICOS'!R285))))</f>
        <v>0</v>
      </c>
      <c r="S287" s="448">
        <f>IF(S286="N/A",0,IF(S286="SI",0,IF(OR($D286="I/O",$D286="Inversión"),0,SUM(VLOOKUP($B283,'C UNIT PROG TÉCNICOS'!$B$8:$G$160,6,FALSE)*'EV PROG TÉCNICOS'!S283,VLOOKUP($B284,'C UNIT PROG TÉCNICOS'!$B$8:$G$160,6,FALSE)*'EV PROG TÉCNICOS'!S284,VLOOKUP($B285,'C UNIT PROG TÉCNICOS'!$B$8:$G$160,6,FALSE)*'EV PROG TÉCNICOS'!S285))))</f>
        <v>0</v>
      </c>
      <c r="T287" s="448">
        <f>IF(T286="N/A",0,IF(T286="SI",0,IF(OR($D286="I/O",$D286="Inversión"),0,SUM(VLOOKUP($B283,'C UNIT PROG TÉCNICOS'!$B$8:$G$160,6,FALSE)*'EV PROG TÉCNICOS'!T283,VLOOKUP($B284,'C UNIT PROG TÉCNICOS'!$B$8:$G$160,6,FALSE)*'EV PROG TÉCNICOS'!T284,VLOOKUP($B285,'C UNIT PROG TÉCNICOS'!$B$8:$G$160,6,FALSE)*'EV PROG TÉCNICOS'!T285))))</f>
        <v>0</v>
      </c>
      <c r="U287" s="448">
        <f>IF(U286="N/A",0,IF(U286="SI",0,IF(OR($D286="I/O",$D286="Inversión"),0,SUM(VLOOKUP($B283,'C UNIT PROG TÉCNICOS'!$B$8:$G$160,6,FALSE)*'EV PROG TÉCNICOS'!U283,VLOOKUP($B284,'C UNIT PROG TÉCNICOS'!$B$8:$G$160,6,FALSE)*'EV PROG TÉCNICOS'!U284,VLOOKUP($B285,'C UNIT PROG TÉCNICOS'!$B$8:$G$160,6,FALSE)*'EV PROG TÉCNICOS'!U285))))</f>
        <v>0</v>
      </c>
    </row>
    <row r="288" spans="1:22" s="307" customFormat="1" ht="12" hidden="1" customHeight="1" outlineLevel="1" x14ac:dyDescent="0.25">
      <c r="A288" s="316"/>
      <c r="B288" s="307" t="s">
        <v>763</v>
      </c>
      <c r="C288" s="304" t="s">
        <v>6</v>
      </c>
      <c r="D288" s="304"/>
      <c r="K288" s="450">
        <f>IF(K286="N/A",0,IF(K286="SI",0,K$21*K287))</f>
        <v>0</v>
      </c>
      <c r="L288" s="450">
        <f>IF(L286="N/A",0,IF(L286="SI",0,L$21*L287))</f>
        <v>0</v>
      </c>
      <c r="M288" s="450">
        <f t="shared" ref="M288:U288" si="131">IF(M286="N/A",0,IF(M286="SI",0,M$21*M287))</f>
        <v>0</v>
      </c>
      <c r="N288" s="450">
        <f t="shared" si="131"/>
        <v>0</v>
      </c>
      <c r="O288" s="450">
        <f t="shared" si="131"/>
        <v>0</v>
      </c>
      <c r="P288" s="450">
        <f t="shared" si="131"/>
        <v>0</v>
      </c>
      <c r="Q288" s="450">
        <f t="shared" si="131"/>
        <v>0</v>
      </c>
      <c r="R288" s="450">
        <f t="shared" si="131"/>
        <v>0</v>
      </c>
      <c r="S288" s="450">
        <f t="shared" si="131"/>
        <v>0</v>
      </c>
      <c r="T288" s="450">
        <f t="shared" si="131"/>
        <v>0</v>
      </c>
      <c r="U288" s="450">
        <f t="shared" si="131"/>
        <v>0</v>
      </c>
    </row>
    <row r="289" spans="1:22" s="307" customFormat="1" ht="12" hidden="1" customHeight="1" outlineLevel="1" x14ac:dyDescent="0.25">
      <c r="A289" s="316"/>
      <c r="B289" s="307" t="s">
        <v>764</v>
      </c>
      <c r="C289" s="304" t="s">
        <v>6</v>
      </c>
      <c r="D289" s="304"/>
      <c r="K289" s="450">
        <f>IF(K286="N/A",0,IF(K286="SI",0,IF(OR($D286="Inversión",$D286="I/O"),SUM(VLOOKUP($B283,'C UNIT PROG TÉCNICOS'!$B$8:$G$160,5,FALSE)*'EV PROG TÉCNICOS'!K283,VLOOKUP($B284,'C UNIT PROG TÉCNICOS'!$B$8:$G$160,5,FALSE)*'EV PROG TÉCNICOS'!K284,VLOOKUP($B285,'C UNIT PROG TÉCNICOS'!$B$8:$G$160,5,FALSE)*'EV PROG TÉCNICOS'!K285),0)))</f>
        <v>0</v>
      </c>
      <c r="L289" s="450">
        <f>IF(L286="N/A",0,IF(L286="SI",0,IF(OR($D286="Inversión",$D286="I/O"),SUM(VLOOKUP($B283,'C UNIT PROG TÉCNICOS'!$B$8:$G$160,5,FALSE)*'EV PROG TÉCNICOS'!L283,VLOOKUP($B284,'C UNIT PROG TÉCNICOS'!$B$8:$G$160,5,FALSE)*'EV PROG TÉCNICOS'!L284,VLOOKUP($B285,'C UNIT PROG TÉCNICOS'!$B$8:$G$160,5,FALSE)*'EV PROG TÉCNICOS'!L285),0))*((1+$D$24)^(L$3-$K$3)))</f>
        <v>0</v>
      </c>
      <c r="M289" s="450">
        <f>IF(M286="N/A",0,IF(M286="SI",0,IF(OR($D286="Inversión",$D286="I/O"),SUM(VLOOKUP($B283,'C UNIT PROG TÉCNICOS'!$B$8:$G$160,5,FALSE)*'EV PROG TÉCNICOS'!M283,VLOOKUP($B284,'C UNIT PROG TÉCNICOS'!$B$8:$G$160,5,FALSE)*'EV PROG TÉCNICOS'!M284,VLOOKUP($B285,'C UNIT PROG TÉCNICOS'!$B$8:$G$160,5,FALSE)*'EV PROG TÉCNICOS'!M285),0))*((1+$D$24)^(M$3-$K$3)))</f>
        <v>58455099.858136296</v>
      </c>
      <c r="N289" s="450">
        <f>IF(N286="N/A",0,IF(N286="SI",0,IF(OR($D286="Inversión",$D286="I/O"),SUM(VLOOKUP($B283,'C UNIT PROG TÉCNICOS'!$B$8:$G$160,5,FALSE)*'EV PROG TÉCNICOS'!N283,VLOOKUP($B284,'C UNIT PROG TÉCNICOS'!$B$8:$G$160,5,FALSE)*'EV PROG TÉCNICOS'!N284,VLOOKUP($B285,'C UNIT PROG TÉCNICOS'!$B$8:$G$160,5,FALSE)*'EV PROG TÉCNICOS'!N285),0))*((1+$D$24)^(N$3-$K$3)))</f>
        <v>0</v>
      </c>
      <c r="O289" s="450">
        <f>IF(O286="N/A",0,IF(O286="SI",0,IF(OR($D286="Inversión",$D286="I/O"),SUM(VLOOKUP($B283,'C UNIT PROG TÉCNICOS'!$B$8:$G$160,5,FALSE)*'EV PROG TÉCNICOS'!O283,VLOOKUP($B284,'C UNIT PROG TÉCNICOS'!$B$8:$G$160,5,FALSE)*'EV PROG TÉCNICOS'!O284,VLOOKUP($B285,'C UNIT PROG TÉCNICOS'!$B$8:$G$160,5,FALSE)*'EV PROG TÉCNICOS'!O285),0))*((1+$D$24)^(O$3-$K$3)))</f>
        <v>0</v>
      </c>
      <c r="P289" s="450">
        <f>IF(P286="N/A",0,IF(P286="SI",0,IF(OR($D286="Inversión",$D286="I/O"),SUM(VLOOKUP($B283,'C UNIT PROG TÉCNICOS'!$B$8:$G$160,5,FALSE)*'EV PROG TÉCNICOS'!P283,VLOOKUP($B284,'C UNIT PROG TÉCNICOS'!$B$8:$G$160,5,FALSE)*'EV PROG TÉCNICOS'!P284,VLOOKUP($B285,'C UNIT PROG TÉCNICOS'!$B$8:$G$160,5,FALSE)*'EV PROG TÉCNICOS'!P285),0))*((1+$D$24)^(P$3-$K$3)))</f>
        <v>0</v>
      </c>
      <c r="Q289" s="450">
        <f>IF(Q286="N/A",0,IF(Q286="SI",0,IF(OR($D286="Inversión",$D286="I/O"),SUM(VLOOKUP($B283,'C UNIT PROG TÉCNICOS'!$B$8:$G$160,5,FALSE)*'EV PROG TÉCNICOS'!Q283,VLOOKUP($B284,'C UNIT PROG TÉCNICOS'!$B$8:$G$160,5,FALSE)*'EV PROG TÉCNICOS'!Q284,VLOOKUP($B285,'C UNIT PROG TÉCNICOS'!$B$8:$G$160,5,FALSE)*'EV PROG TÉCNICOS'!Q285),0))*((1+$D$24)^(Q$3-$K$3)))</f>
        <v>0</v>
      </c>
      <c r="R289" s="450">
        <f>IF(R286="N/A",0,IF(R286="SI",0,IF(OR($D286="Inversión",$D286="I/O"),SUM(VLOOKUP($B283,'C UNIT PROG TÉCNICOS'!$B$8:$G$160,5,FALSE)*'EV PROG TÉCNICOS'!R283,VLOOKUP($B284,'C UNIT PROG TÉCNICOS'!$B$8:$G$160,5,FALSE)*'EV PROG TÉCNICOS'!R284,VLOOKUP($B285,'C UNIT PROG TÉCNICOS'!$B$8:$G$160,5,FALSE)*'EV PROG TÉCNICOS'!R285),0))*((1+$D$24)^(R$3-$K$3)))</f>
        <v>0</v>
      </c>
      <c r="S289" s="450">
        <f>IF(S286="N/A",0,IF(S286="SI",0,IF(OR($D286="Inversión",$D286="I/O"),SUM(VLOOKUP($B283,'C UNIT PROG TÉCNICOS'!$B$8:$G$160,5,FALSE)*'EV PROG TÉCNICOS'!S283,VLOOKUP($B284,'C UNIT PROG TÉCNICOS'!$B$8:$G$160,5,FALSE)*'EV PROG TÉCNICOS'!S284,VLOOKUP($B285,'C UNIT PROG TÉCNICOS'!$B$8:$G$160,5,FALSE)*'EV PROG TÉCNICOS'!S285),0))*((1+$D$24)^(S$3-$K$3)))</f>
        <v>0</v>
      </c>
      <c r="T289" s="450">
        <f>IF(T286="N/A",0,IF(T286="SI",0,IF(OR($D286="Inversión",$D286="I/O"),SUM(VLOOKUP($B283,'C UNIT PROG TÉCNICOS'!$B$8:$G$160,5,FALSE)*'EV PROG TÉCNICOS'!T283,VLOOKUP($B284,'C UNIT PROG TÉCNICOS'!$B$8:$G$160,5,FALSE)*'EV PROG TÉCNICOS'!T284,VLOOKUP($B285,'C UNIT PROG TÉCNICOS'!$B$8:$G$160,5,FALSE)*'EV PROG TÉCNICOS'!T285),0))*((1+$D$24)^(T$3-$K$3)))</f>
        <v>0</v>
      </c>
      <c r="U289" s="450">
        <f>IF(U286="N/A",0,IF(U286="SI",0,IF(OR($D286="Inversión",$D286="I/O"),SUM(VLOOKUP($B283,'C UNIT PROG TÉCNICOS'!$B$8:$G$160,5,FALSE)*'EV PROG TÉCNICOS'!U283,VLOOKUP($B284,'C UNIT PROG TÉCNICOS'!$B$8:$G$160,5,FALSE)*'EV PROG TÉCNICOS'!U284,VLOOKUP($B285,'C UNIT PROG TÉCNICOS'!$B$8:$G$160,5,FALSE)*'EV PROG TÉCNICOS'!U285),0))*((1+$D$24)^(U$3-$K$3)))</f>
        <v>0</v>
      </c>
    </row>
    <row r="290" spans="1:22" s="376" customFormat="1" ht="15" hidden="1" customHeight="1" outlineLevel="1" x14ac:dyDescent="0.25">
      <c r="A290" s="374"/>
      <c r="B290" s="454" t="str">
        <f>CONCATENATE("VNA  ",B277)</f>
        <v>VNA  Medidores faltantes</v>
      </c>
      <c r="C290" s="374" t="s">
        <v>6</v>
      </c>
      <c r="D290" s="453">
        <f>NPV($D$31,L290:U290)+K290</f>
        <v>43235151.751441509</v>
      </c>
      <c r="K290" s="452">
        <f>IF(K286="N/A",0,IF($D286="Operación",K288,K289))</f>
        <v>0</v>
      </c>
      <c r="L290" s="452">
        <f>IF(L286="N/A",0,IF($D286="Operación",L288,L289))</f>
        <v>0</v>
      </c>
      <c r="M290" s="452">
        <f t="shared" ref="M290:U290" si="132">IF(M286="N/A",0,IF($D286="Operación",M288,M289))</f>
        <v>58455099.858136296</v>
      </c>
      <c r="N290" s="452">
        <f t="shared" si="132"/>
        <v>0</v>
      </c>
      <c r="O290" s="452">
        <f t="shared" si="132"/>
        <v>0</v>
      </c>
      <c r="P290" s="452">
        <f t="shared" si="132"/>
        <v>0</v>
      </c>
      <c r="Q290" s="452">
        <f t="shared" si="132"/>
        <v>0</v>
      </c>
      <c r="R290" s="452">
        <f t="shared" si="132"/>
        <v>0</v>
      </c>
      <c r="S290" s="452">
        <f t="shared" si="132"/>
        <v>0</v>
      </c>
      <c r="T290" s="452">
        <f t="shared" si="132"/>
        <v>0</v>
      </c>
      <c r="U290" s="452">
        <f t="shared" si="132"/>
        <v>0</v>
      </c>
    </row>
    <row r="291" spans="1:22" s="376" customFormat="1" ht="15" hidden="1" customHeight="1" outlineLevel="1" x14ac:dyDescent="0.25">
      <c r="A291" s="374"/>
      <c r="B291" s="454" t="str">
        <f>CONCATENATE("Volumen de agua recuperado ",B277)</f>
        <v>Volumen de agua recuperado Medidores faltantes</v>
      </c>
      <c r="C291" s="374" t="s">
        <v>106</v>
      </c>
      <c r="D291" s="457">
        <f>SUM(K291:U291)</f>
        <v>0</v>
      </c>
      <c r="K291" s="378"/>
      <c r="L291" s="378"/>
      <c r="M291" s="378"/>
      <c r="N291" s="378"/>
      <c r="O291" s="378"/>
      <c r="P291" s="378"/>
      <c r="Q291" s="378"/>
      <c r="R291" s="378"/>
      <c r="S291" s="378"/>
      <c r="T291" s="378"/>
      <c r="U291" s="378"/>
    </row>
    <row r="292" spans="1:22" s="376" customFormat="1" ht="15" hidden="1" customHeight="1" outlineLevel="1" x14ac:dyDescent="0.25">
      <c r="A292" s="374"/>
      <c r="B292" s="376" t="s">
        <v>750</v>
      </c>
      <c r="C292" s="374" t="s">
        <v>6</v>
      </c>
      <c r="D292" s="453">
        <f>NPV($D$31,L292:U292)+K292</f>
        <v>0</v>
      </c>
      <c r="K292" s="452">
        <f>IF(OR(K286="N/A",K291=0),0,K291*K$29)</f>
        <v>0</v>
      </c>
      <c r="L292" s="452">
        <f>IF(OR(L286="N/A",L291=0),0,L291*L$29)</f>
        <v>0</v>
      </c>
      <c r="M292" s="452">
        <f t="shared" ref="M292:U292" si="133">IF(OR(M286="N/A",M291=0),0,M291*M$29)</f>
        <v>0</v>
      </c>
      <c r="N292" s="452">
        <f t="shared" si="133"/>
        <v>0</v>
      </c>
      <c r="O292" s="452">
        <f t="shared" si="133"/>
        <v>0</v>
      </c>
      <c r="P292" s="452">
        <f t="shared" si="133"/>
        <v>0</v>
      </c>
      <c r="Q292" s="452">
        <f t="shared" si="133"/>
        <v>0</v>
      </c>
      <c r="R292" s="452">
        <f t="shared" si="133"/>
        <v>0</v>
      </c>
      <c r="S292" s="452">
        <f t="shared" si="133"/>
        <v>0</v>
      </c>
      <c r="T292" s="452">
        <f t="shared" si="133"/>
        <v>0</v>
      </c>
      <c r="U292" s="452">
        <f t="shared" si="133"/>
        <v>0</v>
      </c>
    </row>
    <row r="293" spans="1:22" s="376" customFormat="1" ht="15" hidden="1" customHeight="1" outlineLevel="1" x14ac:dyDescent="0.2">
      <c r="A293" s="374"/>
      <c r="B293" s="376" t="s">
        <v>751</v>
      </c>
      <c r="C293" s="374"/>
      <c r="D293" s="455">
        <f>IFERROR(ROUND(IF(D292/D290=0,0,D292/D290),2),0)</f>
        <v>0</v>
      </c>
      <c r="K293" s="455">
        <f>IFERROR(ROUND(IF(K292/K290=0,0,K292/K290),2),0)</f>
        <v>0</v>
      </c>
      <c r="L293" s="455">
        <f>IFERROR(ROUND(IF(L292/L290=0,0,L292/L290),2),0)</f>
        <v>0</v>
      </c>
      <c r="M293" s="388"/>
      <c r="N293" s="388"/>
      <c r="O293" s="388"/>
      <c r="P293" s="388"/>
      <c r="Q293" s="297"/>
      <c r="R293" s="297"/>
      <c r="S293" s="297"/>
      <c r="T293" s="297"/>
      <c r="U293" s="297"/>
    </row>
    <row r="294" spans="1:22" s="326" customFormat="1" ht="12" hidden="1" customHeight="1" outlineLevel="1" x14ac:dyDescent="0.25">
      <c r="A294" s="316"/>
      <c r="C294" s="316"/>
      <c r="D294" s="316"/>
      <c r="K294" s="379"/>
      <c r="L294" s="379"/>
      <c r="M294" s="379"/>
      <c r="N294" s="379"/>
      <c r="O294" s="379"/>
      <c r="P294" s="379"/>
      <c r="Q294" s="379"/>
      <c r="R294" s="379"/>
      <c r="S294" s="379"/>
      <c r="T294" s="379"/>
      <c r="U294" s="379"/>
    </row>
    <row r="295" spans="1:22" s="326" customFormat="1" ht="12" hidden="1" customHeight="1" outlineLevel="1" x14ac:dyDescent="0.25">
      <c r="A295" s="380" t="s">
        <v>138</v>
      </c>
      <c r="B295" s="358" t="s">
        <v>83</v>
      </c>
      <c r="C295" s="316"/>
      <c r="D295" s="316"/>
      <c r="K295" s="442">
        <f>IF(SUM(K297:K299)=0,0,SUM(K297:K299))</f>
        <v>0</v>
      </c>
      <c r="L295" s="442">
        <f t="shared" ref="L295:U295" si="134">IF(SUM(L297:L299)=0,0,SUM(L297:L299))</f>
        <v>0</v>
      </c>
      <c r="M295" s="442">
        <f t="shared" si="134"/>
        <v>0</v>
      </c>
      <c r="N295" s="442">
        <f t="shared" si="134"/>
        <v>0</v>
      </c>
      <c r="O295" s="442">
        <f t="shared" si="134"/>
        <v>0</v>
      </c>
      <c r="P295" s="442">
        <f t="shared" si="134"/>
        <v>0</v>
      </c>
      <c r="Q295" s="442">
        <f t="shared" si="134"/>
        <v>0</v>
      </c>
      <c r="R295" s="442">
        <f t="shared" si="134"/>
        <v>0</v>
      </c>
      <c r="S295" s="442">
        <f t="shared" si="134"/>
        <v>0</v>
      </c>
      <c r="T295" s="442">
        <f t="shared" si="134"/>
        <v>0</v>
      </c>
      <c r="U295" s="442">
        <f t="shared" si="134"/>
        <v>0</v>
      </c>
    </row>
    <row r="296" spans="1:22" s="326" customFormat="1" ht="15" hidden="1" customHeight="1" outlineLevel="1" x14ac:dyDescent="0.25">
      <c r="A296" s="316"/>
      <c r="B296" s="326" t="s">
        <v>24</v>
      </c>
      <c r="C296" s="316" t="s">
        <v>11</v>
      </c>
      <c r="D296" s="444">
        <f>COUNT(L296:U296)</f>
        <v>1</v>
      </c>
      <c r="E296" s="364"/>
      <c r="F296" s="364"/>
      <c r="G296" s="364"/>
      <c r="H296" s="364"/>
      <c r="I296" s="364"/>
      <c r="J296" s="364"/>
      <c r="K296" s="365">
        <v>0</v>
      </c>
      <c r="L296" s="443">
        <f>IF(L300="N/A","",K296+1)</f>
        <v>1</v>
      </c>
      <c r="M296" s="443" t="str">
        <f t="shared" ref="M296:U296" si="135">IF(M300="N/A","",L296+1)</f>
        <v/>
      </c>
      <c r="N296" s="443" t="str">
        <f t="shared" si="135"/>
        <v/>
      </c>
      <c r="O296" s="443" t="str">
        <f t="shared" si="135"/>
        <v/>
      </c>
      <c r="P296" s="443" t="str">
        <f t="shared" si="135"/>
        <v/>
      </c>
      <c r="Q296" s="443" t="str">
        <f t="shared" si="135"/>
        <v/>
      </c>
      <c r="R296" s="443" t="str">
        <f t="shared" si="135"/>
        <v/>
      </c>
      <c r="S296" s="443" t="str">
        <f t="shared" si="135"/>
        <v/>
      </c>
      <c r="T296" s="443" t="str">
        <f t="shared" si="135"/>
        <v/>
      </c>
      <c r="U296" s="443" t="str">
        <f t="shared" si="135"/>
        <v/>
      </c>
    </row>
    <row r="297" spans="1:22" s="307" customFormat="1" ht="24.95" hidden="1" customHeight="1" outlineLevel="1" x14ac:dyDescent="0.25">
      <c r="A297" s="446" t="str">
        <f>VLOOKUP(B297,'C UNIT PROG TÉCNICOS'!$B$8:$H$108,7,FALSE)</f>
        <v>CAPEX</v>
      </c>
      <c r="B297" s="367" t="s">
        <v>58</v>
      </c>
      <c r="C297" s="304" t="s">
        <v>20</v>
      </c>
      <c r="D297" s="304" t="s">
        <v>19</v>
      </c>
      <c r="I297" s="369"/>
      <c r="J297" s="369"/>
      <c r="K297" s="460">
        <v>0</v>
      </c>
      <c r="L297" s="460">
        <v>0</v>
      </c>
      <c r="M297" s="460"/>
      <c r="N297" s="382"/>
      <c r="O297" s="382"/>
      <c r="P297" s="382"/>
      <c r="Q297" s="382"/>
      <c r="R297" s="382"/>
      <c r="S297" s="382"/>
      <c r="T297" s="382"/>
      <c r="U297" s="382"/>
    </row>
    <row r="298" spans="1:22" s="307" customFormat="1" ht="24.95" hidden="1" customHeight="1" outlineLevel="1" x14ac:dyDescent="0.25">
      <c r="A298" s="446" t="str">
        <f>VLOOKUP(B298,'C UNIT PROG TÉCNICOS'!$B$8:$H$108,7,FALSE)</f>
        <v>CAPEX</v>
      </c>
      <c r="B298" s="367" t="s">
        <v>59</v>
      </c>
      <c r="C298" s="304" t="s">
        <v>20</v>
      </c>
      <c r="D298" s="304" t="s">
        <v>19</v>
      </c>
      <c r="I298" s="369"/>
      <c r="J298" s="369"/>
      <c r="K298" s="460">
        <f>IFERROR(ROUND(K282*0.5,0),0)</f>
        <v>0</v>
      </c>
      <c r="L298" s="460">
        <f>L285</f>
        <v>0</v>
      </c>
      <c r="M298" s="460"/>
      <c r="N298" s="382"/>
      <c r="O298" s="382"/>
      <c r="P298" s="382"/>
      <c r="Q298" s="382"/>
      <c r="R298" s="382"/>
      <c r="S298" s="382"/>
      <c r="T298" s="382"/>
      <c r="U298" s="382"/>
    </row>
    <row r="299" spans="1:22" s="307" customFormat="1" ht="24.95" hidden="1" customHeight="1" outlineLevel="1" x14ac:dyDescent="0.25">
      <c r="A299" s="446" t="str">
        <f>VLOOKUP(B299,'C UNIT PROG TÉCNICOS'!$B$8:$H$108,7,FALSE)</f>
        <v>OPEX</v>
      </c>
      <c r="B299" s="367" t="s">
        <v>22</v>
      </c>
      <c r="C299" s="304" t="s">
        <v>20</v>
      </c>
      <c r="D299" s="304" t="s">
        <v>19</v>
      </c>
      <c r="I299" s="369"/>
      <c r="J299" s="369"/>
      <c r="K299" s="362">
        <v>0</v>
      </c>
      <c r="L299" s="362">
        <v>0</v>
      </c>
      <c r="M299" s="362"/>
      <c r="N299" s="362"/>
      <c r="O299" s="362"/>
      <c r="P299" s="362"/>
      <c r="Q299" s="369"/>
      <c r="R299" s="369"/>
      <c r="S299" s="369"/>
      <c r="T299" s="369"/>
      <c r="U299" s="369"/>
    </row>
    <row r="300" spans="1:22" s="307" customFormat="1" ht="12" hidden="1" customHeight="1" outlineLevel="1" x14ac:dyDescent="0.25">
      <c r="A300" s="316"/>
      <c r="B300" s="307" t="s">
        <v>742</v>
      </c>
      <c r="D300" s="447" t="str">
        <f>IF(A299="CAPEX","Inversión",IF(A299="OPEX","Operación","I/O"))</f>
        <v>Operación</v>
      </c>
      <c r="I300" s="370"/>
      <c r="J300" s="370"/>
      <c r="K300" s="371" t="s">
        <v>8</v>
      </c>
      <c r="L300" s="371" t="s">
        <v>8</v>
      </c>
      <c r="M300" s="371" t="s">
        <v>149</v>
      </c>
      <c r="N300" s="371" t="s">
        <v>149</v>
      </c>
      <c r="O300" s="371" t="s">
        <v>149</v>
      </c>
      <c r="P300" s="371" t="s">
        <v>149</v>
      </c>
      <c r="Q300" s="371" t="s">
        <v>149</v>
      </c>
      <c r="R300" s="371" t="s">
        <v>149</v>
      </c>
      <c r="S300" s="371" t="s">
        <v>149</v>
      </c>
      <c r="T300" s="371" t="s">
        <v>149</v>
      </c>
      <c r="U300" s="371" t="s">
        <v>149</v>
      </c>
      <c r="V300" s="338"/>
    </row>
    <row r="301" spans="1:22" s="307" customFormat="1" ht="12" hidden="1" customHeight="1" outlineLevel="1" x14ac:dyDescent="0.25">
      <c r="A301" s="316"/>
      <c r="B301" s="307" t="s">
        <v>762</v>
      </c>
      <c r="C301" s="304"/>
      <c r="D301" s="304"/>
      <c r="K301" s="448">
        <f>IF(K300="N/A",0,IF(K300="SI",0,IF(OR($D300="I/O",$D300="Inversión"),0,SUM(VLOOKUP($B297,'C UNIT PROG TÉCNICOS'!$B$8:$G$160,6,FALSE)*'EV PROG TÉCNICOS'!K297,VLOOKUP($B298,'C UNIT PROG TÉCNICOS'!$B$8:$G$160,6,FALSE)*'EV PROG TÉCNICOS'!K298,VLOOKUP($B299,'C UNIT PROG TÉCNICOS'!$B$8:$G$160,6,FALSE)*'EV PROG TÉCNICOS'!K299))))</f>
        <v>0</v>
      </c>
      <c r="L301" s="448">
        <f>IF(L300="N/A",0,IF(L300="SI",0,IF(OR($D300="I/O",$D300="Inversión"),0,SUM(VLOOKUP($B297,'C UNIT PROG TÉCNICOS'!$B$8:$G$160,6,FALSE)*'EV PROG TÉCNICOS'!L297,VLOOKUP($B298,'C UNIT PROG TÉCNICOS'!$B$8:$G$160,6,FALSE)*'EV PROG TÉCNICOS'!L298,VLOOKUP($B299,'C UNIT PROG TÉCNICOS'!$B$8:$G$160,6,FALSE)*'EV PROG TÉCNICOS'!L299))))</f>
        <v>0</v>
      </c>
      <c r="M301" s="448">
        <f>IF(M300="N/A",0,IF(M300="SI",0,IF(OR($D300="I/O",$D300="Inversión"),0,SUM(VLOOKUP($B297,'C UNIT PROG TÉCNICOS'!$B$8:$G$160,6,FALSE)*'EV PROG TÉCNICOS'!M297,VLOOKUP($B298,'C UNIT PROG TÉCNICOS'!$B$8:$G$160,6,FALSE)*'EV PROG TÉCNICOS'!M298,VLOOKUP($B299,'C UNIT PROG TÉCNICOS'!$B$8:$G$160,6,FALSE)*'EV PROG TÉCNICOS'!M299))))</f>
        <v>0</v>
      </c>
      <c r="N301" s="448">
        <f>IF(N300="N/A",0,IF(N300="SI",0,IF(OR($D300="I/O",$D300="Inversión"),0,SUM(VLOOKUP($B297,'C UNIT PROG TÉCNICOS'!$B$8:$G$160,6,FALSE)*'EV PROG TÉCNICOS'!N297,VLOOKUP($B298,'C UNIT PROG TÉCNICOS'!$B$8:$G$160,6,FALSE)*'EV PROG TÉCNICOS'!N298,VLOOKUP($B299,'C UNIT PROG TÉCNICOS'!$B$8:$G$160,6,FALSE)*'EV PROG TÉCNICOS'!N299))))</f>
        <v>0</v>
      </c>
      <c r="O301" s="448">
        <f>IF(O300="N/A",0,IF(O300="SI",0,IF(OR($D300="I/O",$D300="Inversión"),0,SUM(VLOOKUP($B297,'C UNIT PROG TÉCNICOS'!$B$8:$G$160,6,FALSE)*'EV PROG TÉCNICOS'!O297,VLOOKUP($B298,'C UNIT PROG TÉCNICOS'!$B$8:$G$160,6,FALSE)*'EV PROG TÉCNICOS'!O298,VLOOKUP($B299,'C UNIT PROG TÉCNICOS'!$B$8:$G$160,6,FALSE)*'EV PROG TÉCNICOS'!O299))))</f>
        <v>0</v>
      </c>
      <c r="P301" s="448">
        <f>IF(P300="N/A",0,IF(P300="SI",0,IF(OR($D300="I/O",$D300="Inversión"),0,SUM(VLOOKUP($B297,'C UNIT PROG TÉCNICOS'!$B$8:$G$160,6,FALSE)*'EV PROG TÉCNICOS'!P297,VLOOKUP($B298,'C UNIT PROG TÉCNICOS'!$B$8:$G$160,6,FALSE)*'EV PROG TÉCNICOS'!P298,VLOOKUP($B299,'C UNIT PROG TÉCNICOS'!$B$8:$G$160,6,FALSE)*'EV PROG TÉCNICOS'!P299))))</f>
        <v>0</v>
      </c>
      <c r="Q301" s="448">
        <f>IF(Q300="N/A",0,IF(Q300="SI",0,IF(OR($D300="I/O",$D300="Inversión"),0,SUM(VLOOKUP($B297,'C UNIT PROG TÉCNICOS'!$B$8:$G$160,6,FALSE)*'EV PROG TÉCNICOS'!Q297,VLOOKUP($B298,'C UNIT PROG TÉCNICOS'!$B$8:$G$160,6,FALSE)*'EV PROG TÉCNICOS'!Q298,VLOOKUP($B299,'C UNIT PROG TÉCNICOS'!$B$8:$G$160,6,FALSE)*'EV PROG TÉCNICOS'!Q299))))</f>
        <v>0</v>
      </c>
      <c r="R301" s="448">
        <f>IF(R300="N/A",0,IF(R300="SI",0,IF(OR($D300="I/O",$D300="Inversión"),0,SUM(VLOOKUP($B297,'C UNIT PROG TÉCNICOS'!$B$8:$G$160,6,FALSE)*'EV PROG TÉCNICOS'!R297,VLOOKUP($B298,'C UNIT PROG TÉCNICOS'!$B$8:$G$160,6,FALSE)*'EV PROG TÉCNICOS'!R298,VLOOKUP($B299,'C UNIT PROG TÉCNICOS'!$B$8:$G$160,6,FALSE)*'EV PROG TÉCNICOS'!R299))))</f>
        <v>0</v>
      </c>
      <c r="S301" s="448">
        <f>IF(S300="N/A",0,IF(S300="SI",0,IF(OR($D300="I/O",$D300="Inversión"),0,SUM(VLOOKUP($B297,'C UNIT PROG TÉCNICOS'!$B$8:$G$160,6,FALSE)*'EV PROG TÉCNICOS'!S297,VLOOKUP($B298,'C UNIT PROG TÉCNICOS'!$B$8:$G$160,6,FALSE)*'EV PROG TÉCNICOS'!S298,VLOOKUP($B299,'C UNIT PROG TÉCNICOS'!$B$8:$G$160,6,FALSE)*'EV PROG TÉCNICOS'!S299))))</f>
        <v>0</v>
      </c>
      <c r="T301" s="448">
        <f>IF(T300="N/A",0,IF(T300="SI",0,IF(OR($D300="I/O",$D300="Inversión"),0,SUM(VLOOKUP($B297,'C UNIT PROG TÉCNICOS'!$B$8:$G$160,6,FALSE)*'EV PROG TÉCNICOS'!T297,VLOOKUP($B298,'C UNIT PROG TÉCNICOS'!$B$8:$G$160,6,FALSE)*'EV PROG TÉCNICOS'!T298,VLOOKUP($B299,'C UNIT PROG TÉCNICOS'!$B$8:$G$160,6,FALSE)*'EV PROG TÉCNICOS'!T299))))</f>
        <v>0</v>
      </c>
      <c r="U301" s="448">
        <f>IF(U300="N/A",0,IF(U300="SI",0,IF(OR($D300="I/O",$D300="Inversión"),0,SUM(VLOOKUP($B297,'C UNIT PROG TÉCNICOS'!$B$8:$G$160,6,FALSE)*'EV PROG TÉCNICOS'!U297,VLOOKUP($B298,'C UNIT PROG TÉCNICOS'!$B$8:$G$160,6,FALSE)*'EV PROG TÉCNICOS'!U298,VLOOKUP($B299,'C UNIT PROG TÉCNICOS'!$B$8:$G$160,6,FALSE)*'EV PROG TÉCNICOS'!U299))))</f>
        <v>0</v>
      </c>
    </row>
    <row r="302" spans="1:22" s="307" customFormat="1" ht="12" hidden="1" customHeight="1" outlineLevel="1" x14ac:dyDescent="0.25">
      <c r="A302" s="316"/>
      <c r="B302" s="307" t="s">
        <v>763</v>
      </c>
      <c r="C302" s="304" t="s">
        <v>6</v>
      </c>
      <c r="D302" s="304"/>
      <c r="K302" s="450">
        <f>IF(K300="N/A",0,IF(K300="SI",0,K$21*K301))</f>
        <v>0</v>
      </c>
      <c r="L302" s="450">
        <f>IF(L300="N/A",0,IF(L300="SI",0,L$21*L301))</f>
        <v>0</v>
      </c>
      <c r="M302" s="450">
        <f t="shared" ref="M302:U302" si="136">IF(M300="N/A",0,IF(M300="SI",0,M$21*M301))</f>
        <v>0</v>
      </c>
      <c r="N302" s="450">
        <f t="shared" si="136"/>
        <v>0</v>
      </c>
      <c r="O302" s="450">
        <f t="shared" si="136"/>
        <v>0</v>
      </c>
      <c r="P302" s="450">
        <f t="shared" si="136"/>
        <v>0</v>
      </c>
      <c r="Q302" s="450">
        <f t="shared" si="136"/>
        <v>0</v>
      </c>
      <c r="R302" s="450">
        <f t="shared" si="136"/>
        <v>0</v>
      </c>
      <c r="S302" s="450">
        <f t="shared" si="136"/>
        <v>0</v>
      </c>
      <c r="T302" s="450">
        <f t="shared" si="136"/>
        <v>0</v>
      </c>
      <c r="U302" s="450">
        <f t="shared" si="136"/>
        <v>0</v>
      </c>
    </row>
    <row r="303" spans="1:22" s="307" customFormat="1" ht="12" hidden="1" customHeight="1" outlineLevel="1" x14ac:dyDescent="0.25">
      <c r="A303" s="316"/>
      <c r="B303" s="307" t="s">
        <v>764</v>
      </c>
      <c r="C303" s="304" t="s">
        <v>6</v>
      </c>
      <c r="D303" s="304"/>
      <c r="K303" s="450">
        <f>IF(K300="N/A",0,IF(K300="SI",0,IF(OR($D300="Inversión",$D300="I/O"),SUM(VLOOKUP($B297,'C UNIT PROG TÉCNICOS'!$B$8:$G$160,5,FALSE)*'EV PROG TÉCNICOS'!K297,VLOOKUP($B298,'C UNIT PROG TÉCNICOS'!$B$8:$G$160,5,FALSE)*'EV PROG TÉCNICOS'!K298,VLOOKUP($B299,'C UNIT PROG TÉCNICOS'!$B$8:$G$160,5,FALSE)*'EV PROG TÉCNICOS'!K299),0)))</f>
        <v>0</v>
      </c>
      <c r="L303" s="450">
        <f>IF(L300="N/A",0,IF(L300="SI",0,IF(OR($D300="Inversión",$D300="I/O"),SUM(VLOOKUP($B297,'C UNIT PROG TÉCNICOS'!$B$8:$G$160,5,FALSE)*'EV PROG TÉCNICOS'!L297,VLOOKUP($B298,'C UNIT PROG TÉCNICOS'!$B$8:$G$160,5,FALSE)*'EV PROG TÉCNICOS'!L298,VLOOKUP($B299,'C UNIT PROG TÉCNICOS'!$B$8:$G$160,5,FALSE)*'EV PROG TÉCNICOS'!L299),0))*((1+$D$24)^(L$3-$K$3)))</f>
        <v>0</v>
      </c>
      <c r="M303" s="450">
        <f>IF(M300="N/A",0,IF(M300="SI",0,IF(OR($D300="Inversión",$D300="I/O"),SUM(VLOOKUP($B297,'C UNIT PROG TÉCNICOS'!$B$8:$G$160,5,FALSE)*'EV PROG TÉCNICOS'!M297,VLOOKUP($B298,'C UNIT PROG TÉCNICOS'!$B$8:$G$160,5,FALSE)*'EV PROG TÉCNICOS'!M298,VLOOKUP($B299,'C UNIT PROG TÉCNICOS'!$B$8:$G$160,5,FALSE)*'EV PROG TÉCNICOS'!M299),0))*((1+$D$24)^(M$3-$K$3)))</f>
        <v>0</v>
      </c>
      <c r="N303" s="450">
        <f>IF(N300="N/A",0,IF(N300="SI",0,IF(OR($D300="Inversión",$D300="I/O"),SUM(VLOOKUP($B297,'C UNIT PROG TÉCNICOS'!$B$8:$G$160,5,FALSE)*'EV PROG TÉCNICOS'!N297,VLOOKUP($B298,'C UNIT PROG TÉCNICOS'!$B$8:$G$160,5,FALSE)*'EV PROG TÉCNICOS'!N298,VLOOKUP($B299,'C UNIT PROG TÉCNICOS'!$B$8:$G$160,5,FALSE)*'EV PROG TÉCNICOS'!N299),0))*((1+$D$24)^(N$3-$K$3)))</f>
        <v>0</v>
      </c>
      <c r="O303" s="450">
        <f>IF(O300="N/A",0,IF(O300="SI",0,IF(OR($D300="Inversión",$D300="I/O"),SUM(VLOOKUP($B297,'C UNIT PROG TÉCNICOS'!$B$8:$G$160,5,FALSE)*'EV PROG TÉCNICOS'!O297,VLOOKUP($B298,'C UNIT PROG TÉCNICOS'!$B$8:$G$160,5,FALSE)*'EV PROG TÉCNICOS'!O298,VLOOKUP($B299,'C UNIT PROG TÉCNICOS'!$B$8:$G$160,5,FALSE)*'EV PROG TÉCNICOS'!O299),0))*((1+$D$24)^(O$3-$K$3)))</f>
        <v>0</v>
      </c>
      <c r="P303" s="450">
        <f>IF(P300="N/A",0,IF(P300="SI",0,IF(OR($D300="Inversión",$D300="I/O"),SUM(VLOOKUP($B297,'C UNIT PROG TÉCNICOS'!$B$8:$G$160,5,FALSE)*'EV PROG TÉCNICOS'!P297,VLOOKUP($B298,'C UNIT PROG TÉCNICOS'!$B$8:$G$160,5,FALSE)*'EV PROG TÉCNICOS'!P298,VLOOKUP($B299,'C UNIT PROG TÉCNICOS'!$B$8:$G$160,5,FALSE)*'EV PROG TÉCNICOS'!P299),0))*((1+$D$24)^(P$3-$K$3)))</f>
        <v>0</v>
      </c>
      <c r="Q303" s="450">
        <f>IF(Q300="N/A",0,IF(Q300="SI",0,IF(OR($D300="Inversión",$D300="I/O"),SUM(VLOOKUP($B297,'C UNIT PROG TÉCNICOS'!$B$8:$G$160,5,FALSE)*'EV PROG TÉCNICOS'!Q297,VLOOKUP($B298,'C UNIT PROG TÉCNICOS'!$B$8:$G$160,5,FALSE)*'EV PROG TÉCNICOS'!Q298,VLOOKUP($B299,'C UNIT PROG TÉCNICOS'!$B$8:$G$160,5,FALSE)*'EV PROG TÉCNICOS'!Q299),0))*((1+$D$24)^(Q$3-$K$3)))</f>
        <v>0</v>
      </c>
      <c r="R303" s="450">
        <f>IF(R300="N/A",0,IF(R300="SI",0,IF(OR($D300="Inversión",$D300="I/O"),SUM(VLOOKUP($B297,'C UNIT PROG TÉCNICOS'!$B$8:$G$160,5,FALSE)*'EV PROG TÉCNICOS'!R297,VLOOKUP($B298,'C UNIT PROG TÉCNICOS'!$B$8:$G$160,5,FALSE)*'EV PROG TÉCNICOS'!R298,VLOOKUP($B299,'C UNIT PROG TÉCNICOS'!$B$8:$G$160,5,FALSE)*'EV PROG TÉCNICOS'!R299),0))*((1+$D$24)^(R$3-$K$3)))</f>
        <v>0</v>
      </c>
      <c r="S303" s="450">
        <f>IF(S300="N/A",0,IF(S300="SI",0,IF(OR($D300="Inversión",$D300="I/O"),SUM(VLOOKUP($B297,'C UNIT PROG TÉCNICOS'!$B$8:$G$160,5,FALSE)*'EV PROG TÉCNICOS'!S297,VLOOKUP($B298,'C UNIT PROG TÉCNICOS'!$B$8:$G$160,5,FALSE)*'EV PROG TÉCNICOS'!S298,VLOOKUP($B299,'C UNIT PROG TÉCNICOS'!$B$8:$G$160,5,FALSE)*'EV PROG TÉCNICOS'!S299),0))*((1+$D$24)^(S$3-$K$3)))</f>
        <v>0</v>
      </c>
      <c r="T303" s="450">
        <f>IF(T300="N/A",0,IF(T300="SI",0,IF(OR($D300="Inversión",$D300="I/O"),SUM(VLOOKUP($B297,'C UNIT PROG TÉCNICOS'!$B$8:$G$160,5,FALSE)*'EV PROG TÉCNICOS'!T297,VLOOKUP($B298,'C UNIT PROG TÉCNICOS'!$B$8:$G$160,5,FALSE)*'EV PROG TÉCNICOS'!T298,VLOOKUP($B299,'C UNIT PROG TÉCNICOS'!$B$8:$G$160,5,FALSE)*'EV PROG TÉCNICOS'!T299),0))*((1+$D$24)^(T$3-$K$3)))</f>
        <v>0</v>
      </c>
      <c r="U303" s="450">
        <f>IF(U300="N/A",0,IF(U300="SI",0,IF(OR($D300="Inversión",$D300="I/O"),SUM(VLOOKUP($B297,'C UNIT PROG TÉCNICOS'!$B$8:$G$160,5,FALSE)*'EV PROG TÉCNICOS'!U297,VLOOKUP($B298,'C UNIT PROG TÉCNICOS'!$B$8:$G$160,5,FALSE)*'EV PROG TÉCNICOS'!U298,VLOOKUP($B299,'C UNIT PROG TÉCNICOS'!$B$8:$G$160,5,FALSE)*'EV PROG TÉCNICOS'!U299),0))*((1+$D$24)^(U$3-$K$3)))</f>
        <v>0</v>
      </c>
    </row>
    <row r="304" spans="1:22" s="376" customFormat="1" ht="15" hidden="1" customHeight="1" outlineLevel="1" x14ac:dyDescent="0.25">
      <c r="A304" s="374"/>
      <c r="B304" s="454" t="str">
        <f>CONCATENATE("VNA  ",B295)</f>
        <v>VNA  Telemetría y/o almacenamiento local de datos</v>
      </c>
      <c r="C304" s="374" t="s">
        <v>6</v>
      </c>
      <c r="D304" s="453">
        <f>NPV($D$31,L304:U304)+K304</f>
        <v>0</v>
      </c>
      <c r="K304" s="452">
        <f>IF(K300="N/A",0,IF($D300="Operación",K302,K303))</f>
        <v>0</v>
      </c>
      <c r="L304" s="452">
        <f>IF(L300="N/A",0,IF($D300="Operación",L302,L303))</f>
        <v>0</v>
      </c>
      <c r="M304" s="452">
        <f t="shared" ref="M304:U304" si="137">IF(M300="N/A",0,IF($D300="Operación",M302,M303))</f>
        <v>0</v>
      </c>
      <c r="N304" s="452">
        <f t="shared" si="137"/>
        <v>0</v>
      </c>
      <c r="O304" s="452">
        <f t="shared" si="137"/>
        <v>0</v>
      </c>
      <c r="P304" s="452">
        <f t="shared" si="137"/>
        <v>0</v>
      </c>
      <c r="Q304" s="452">
        <f t="shared" si="137"/>
        <v>0</v>
      </c>
      <c r="R304" s="452">
        <f t="shared" si="137"/>
        <v>0</v>
      </c>
      <c r="S304" s="452">
        <f t="shared" si="137"/>
        <v>0</v>
      </c>
      <c r="T304" s="452">
        <f t="shared" si="137"/>
        <v>0</v>
      </c>
      <c r="U304" s="452">
        <f t="shared" si="137"/>
        <v>0</v>
      </c>
    </row>
    <row r="305" spans="1:21" s="376" customFormat="1" ht="23.85" hidden="1" customHeight="1" outlineLevel="1" x14ac:dyDescent="0.25">
      <c r="A305" s="374"/>
      <c r="B305" s="454" t="str">
        <f>CONCATENATE("Volumen de agua recuperado ",B295)</f>
        <v>Volumen de agua recuperado Telemetría y/o almacenamiento local de datos</v>
      </c>
      <c r="C305" s="374" t="s">
        <v>106</v>
      </c>
      <c r="D305" s="374"/>
      <c r="K305" s="384"/>
      <c r="L305" s="384"/>
      <c r="M305" s="384"/>
      <c r="N305" s="384"/>
      <c r="O305" s="384"/>
      <c r="P305" s="384"/>
      <c r="Q305" s="384"/>
      <c r="R305" s="384"/>
      <c r="S305" s="384"/>
      <c r="T305" s="384"/>
      <c r="U305" s="384"/>
    </row>
    <row r="306" spans="1:21" s="376" customFormat="1" ht="15" hidden="1" customHeight="1" outlineLevel="1" x14ac:dyDescent="0.25">
      <c r="A306" s="374"/>
      <c r="B306" s="376" t="s">
        <v>750</v>
      </c>
      <c r="C306" s="374" t="s">
        <v>6</v>
      </c>
      <c r="D306" s="453">
        <f>NPV($D$31,L306:U306)+K306</f>
        <v>0</v>
      </c>
      <c r="K306" s="452">
        <f>IF(OR(K300="N/A",K305=0),0,K305*K$29)</f>
        <v>0</v>
      </c>
      <c r="L306" s="452">
        <f>IF(OR(L300="N/A",L305=0),0,L305*L$29)</f>
        <v>0</v>
      </c>
      <c r="M306" s="452">
        <f t="shared" ref="M306:U306" si="138">IF(OR(M300="N/A",M305=0),0,M305*M$29)</f>
        <v>0</v>
      </c>
      <c r="N306" s="452">
        <f t="shared" si="138"/>
        <v>0</v>
      </c>
      <c r="O306" s="452">
        <f t="shared" si="138"/>
        <v>0</v>
      </c>
      <c r="P306" s="452">
        <f t="shared" si="138"/>
        <v>0</v>
      </c>
      <c r="Q306" s="452">
        <f t="shared" si="138"/>
        <v>0</v>
      </c>
      <c r="R306" s="452">
        <f t="shared" si="138"/>
        <v>0</v>
      </c>
      <c r="S306" s="452">
        <f t="shared" si="138"/>
        <v>0</v>
      </c>
      <c r="T306" s="452">
        <f t="shared" si="138"/>
        <v>0</v>
      </c>
      <c r="U306" s="452">
        <f t="shared" si="138"/>
        <v>0</v>
      </c>
    </row>
    <row r="307" spans="1:21" s="376" customFormat="1" ht="15" hidden="1" customHeight="1" outlineLevel="1" x14ac:dyDescent="0.25">
      <c r="A307" s="374"/>
      <c r="B307" s="376" t="s">
        <v>751</v>
      </c>
      <c r="C307" s="374"/>
      <c r="D307" s="455">
        <f>IFERROR(ROUND(IF(D306/D304=0,0,D306/D304),2),0)</f>
        <v>0</v>
      </c>
      <c r="K307" s="452">
        <f>IF(OR(K301="N/A",K306=0),0,K306*K$29)</f>
        <v>0</v>
      </c>
      <c r="L307" s="452">
        <f t="shared" ref="L307:U307" si="139">IF(OR(L301="N/A",L306=0),0,L306*L$29)</f>
        <v>0</v>
      </c>
      <c r="M307" s="452">
        <f t="shared" si="139"/>
        <v>0</v>
      </c>
      <c r="N307" s="452">
        <f t="shared" si="139"/>
        <v>0</v>
      </c>
      <c r="O307" s="452">
        <f t="shared" si="139"/>
        <v>0</v>
      </c>
      <c r="P307" s="452">
        <f t="shared" si="139"/>
        <v>0</v>
      </c>
      <c r="Q307" s="452">
        <f t="shared" si="139"/>
        <v>0</v>
      </c>
      <c r="R307" s="452">
        <f t="shared" si="139"/>
        <v>0</v>
      </c>
      <c r="S307" s="452">
        <f t="shared" si="139"/>
        <v>0</v>
      </c>
      <c r="T307" s="452">
        <f t="shared" si="139"/>
        <v>0</v>
      </c>
      <c r="U307" s="452">
        <f t="shared" si="139"/>
        <v>0</v>
      </c>
    </row>
    <row r="308" spans="1:21" s="307" customFormat="1" ht="12" hidden="1" customHeight="1" outlineLevel="1" x14ac:dyDescent="0.25">
      <c r="A308" s="304"/>
    </row>
    <row r="309" spans="1:21" s="307" customFormat="1" ht="12" hidden="1" customHeight="1" outlineLevel="1" x14ac:dyDescent="0.25">
      <c r="A309" s="380" t="s">
        <v>139</v>
      </c>
      <c r="B309" s="358" t="s">
        <v>23</v>
      </c>
      <c r="K309" s="365">
        <v>0</v>
      </c>
      <c r="L309" s="443">
        <f>IF(L311="N/A","",K309+1)</f>
        <v>1</v>
      </c>
      <c r="M309" s="443">
        <f t="shared" ref="M309:U309" si="140">IF(M311="N/A","",L309+1)</f>
        <v>2</v>
      </c>
      <c r="N309" s="443">
        <f t="shared" si="140"/>
        <v>3</v>
      </c>
      <c r="O309" s="443">
        <f t="shared" si="140"/>
        <v>4</v>
      </c>
      <c r="P309" s="443">
        <f t="shared" si="140"/>
        <v>5</v>
      </c>
      <c r="Q309" s="443">
        <f t="shared" si="140"/>
        <v>6</v>
      </c>
      <c r="R309" s="443">
        <f t="shared" si="140"/>
        <v>7</v>
      </c>
      <c r="S309" s="443">
        <f t="shared" si="140"/>
        <v>8</v>
      </c>
      <c r="T309" s="443">
        <f t="shared" si="140"/>
        <v>9</v>
      </c>
      <c r="U309" s="443">
        <f t="shared" si="140"/>
        <v>10</v>
      </c>
    </row>
    <row r="310" spans="1:21" s="307" customFormat="1" ht="24.95" hidden="1" customHeight="1" outlineLevel="1" x14ac:dyDescent="0.25">
      <c r="A310" s="446" t="str">
        <f>VLOOKUP(B310,'C UNIT PROG TÉCNICOS'!$B$8:$H$108,7,FALSE)</f>
        <v>OPEX</v>
      </c>
      <c r="B310" s="367" t="s">
        <v>62</v>
      </c>
      <c r="C310" s="304" t="s">
        <v>20</v>
      </c>
      <c r="I310" s="369"/>
      <c r="J310" s="369"/>
      <c r="K310" s="442">
        <v>0</v>
      </c>
      <c r="L310" s="442">
        <f>IF(OR(L279=0,L279=$D$278),$D$278,L279)</f>
        <v>11</v>
      </c>
      <c r="M310" s="442">
        <f>IF(OR(M279=0,M279=$D$278),$D$278,M279)</f>
        <v>12</v>
      </c>
      <c r="N310" s="442">
        <f t="shared" ref="N310:U310" si="141">IF(OR(N279=0,N279=$D$278),$D$278,N279)</f>
        <v>12</v>
      </c>
      <c r="O310" s="442">
        <f t="shared" si="141"/>
        <v>12</v>
      </c>
      <c r="P310" s="442">
        <f t="shared" si="141"/>
        <v>12</v>
      </c>
      <c r="Q310" s="442">
        <f t="shared" si="141"/>
        <v>12</v>
      </c>
      <c r="R310" s="442">
        <f t="shared" si="141"/>
        <v>12</v>
      </c>
      <c r="S310" s="442">
        <f t="shared" si="141"/>
        <v>12</v>
      </c>
      <c r="T310" s="442">
        <f t="shared" si="141"/>
        <v>12</v>
      </c>
      <c r="U310" s="442">
        <f t="shared" si="141"/>
        <v>12</v>
      </c>
    </row>
    <row r="311" spans="1:21" s="307" customFormat="1" ht="12" hidden="1" customHeight="1" outlineLevel="1" x14ac:dyDescent="0.25">
      <c r="A311" s="316"/>
      <c r="B311" s="307" t="s">
        <v>742</v>
      </c>
      <c r="D311" s="447" t="str">
        <f>IF(A310="CAPEX","Inversión",IF(A310="OPEX","Operación","I/O"))</f>
        <v>Operación</v>
      </c>
      <c r="I311" s="370"/>
      <c r="J311" s="370"/>
      <c r="K311" s="371" t="s">
        <v>8</v>
      </c>
      <c r="L311" s="371" t="s">
        <v>8</v>
      </c>
      <c r="M311" s="371" t="s">
        <v>8</v>
      </c>
      <c r="N311" s="371" t="s">
        <v>8</v>
      </c>
      <c r="O311" s="371" t="s">
        <v>8</v>
      </c>
      <c r="P311" s="371" t="s">
        <v>8</v>
      </c>
      <c r="Q311" s="371" t="s">
        <v>8</v>
      </c>
      <c r="R311" s="371" t="s">
        <v>8</v>
      </c>
      <c r="S311" s="371" t="s">
        <v>8</v>
      </c>
      <c r="T311" s="371" t="s">
        <v>8</v>
      </c>
      <c r="U311" s="371" t="s">
        <v>8</v>
      </c>
    </row>
    <row r="312" spans="1:21" s="307" customFormat="1" ht="12" hidden="1" customHeight="1" outlineLevel="1" x14ac:dyDescent="0.25">
      <c r="A312" s="316"/>
      <c r="B312" s="307" t="s">
        <v>762</v>
      </c>
      <c r="C312" s="304"/>
      <c r="D312" s="304"/>
      <c r="K312" s="448">
        <f>IF(K311="N/A",0,IF(K311="SI",0,SUM(IF($D311="Inversión",0,VLOOKUP($B310,'C UNIT PROG TÉCNICOS'!$B$8:$G$160,6,FALSE)*'EV PROG TÉCNICOS'!K310))))</f>
        <v>0</v>
      </c>
      <c r="L312" s="448">
        <f>IF(L311="N/A",0,IF(L311="SI",0,SUM(IF($D311="Inversión",0,VLOOKUP($B310,'C UNIT PROG TÉCNICOS'!$B$8:$G$160,6,FALSE)*'EV PROG TÉCNICOS'!L310))))</f>
        <v>4.3121271570987574</v>
      </c>
      <c r="M312" s="448">
        <f>IF(M311="N/A",0,IF(M311="SI",0,SUM(IF($D311="Inversión",0,VLOOKUP($B310,'C UNIT PROG TÉCNICOS'!$B$8:$G$160,6,FALSE)*'EV PROG TÉCNICOS'!M310))))</f>
        <v>4.7041387168350077</v>
      </c>
      <c r="N312" s="448">
        <f>IF(N311="N/A",0,IF(N311="SI",0,SUM(IF($D311="Inversión",0,VLOOKUP($B310,'C UNIT PROG TÉCNICOS'!$B$8:$G$160,6,FALSE)*'EV PROG TÉCNICOS'!N310))))</f>
        <v>4.7041387168350077</v>
      </c>
      <c r="O312" s="448">
        <f>IF(O311="N/A",0,IF(O311="SI",0,SUM(IF($D311="Inversión",0,VLOOKUP($B310,'C UNIT PROG TÉCNICOS'!$B$8:$G$160,6,FALSE)*'EV PROG TÉCNICOS'!O310))))</f>
        <v>4.7041387168350077</v>
      </c>
      <c r="P312" s="448">
        <f>IF(P311="N/A",0,IF(P311="SI",0,SUM(IF($D311="Inversión",0,VLOOKUP($B310,'C UNIT PROG TÉCNICOS'!$B$8:$G$160,6,FALSE)*'EV PROG TÉCNICOS'!P310))))</f>
        <v>4.7041387168350077</v>
      </c>
      <c r="Q312" s="448">
        <f>IF(Q311="N/A",0,IF(Q311="SI",0,SUM(IF($D311="Inversión",0,VLOOKUP($B310,'C UNIT PROG TÉCNICOS'!$B$8:$G$160,6,FALSE)*'EV PROG TÉCNICOS'!Q310))))</f>
        <v>4.7041387168350077</v>
      </c>
      <c r="R312" s="448">
        <f>IF(R311="N/A",0,IF(R311="SI",0,SUM(IF($D311="Inversión",0,VLOOKUP($B310,'C UNIT PROG TÉCNICOS'!$B$8:$G$160,6,FALSE)*'EV PROG TÉCNICOS'!R310))))</f>
        <v>4.7041387168350077</v>
      </c>
      <c r="S312" s="448">
        <f>IF(S311="N/A",0,IF(S311="SI",0,SUM(IF($D311="Inversión",0,VLOOKUP($B310,'C UNIT PROG TÉCNICOS'!$B$8:$G$160,6,FALSE)*'EV PROG TÉCNICOS'!S310))))</f>
        <v>4.7041387168350077</v>
      </c>
      <c r="T312" s="448">
        <f>IF(T311="N/A",0,IF(T311="SI",0,SUM(IF($D311="Inversión",0,VLOOKUP($B310,'C UNIT PROG TÉCNICOS'!$B$8:$G$160,6,FALSE)*'EV PROG TÉCNICOS'!T310))))</f>
        <v>4.7041387168350077</v>
      </c>
      <c r="U312" s="448">
        <f>IF(U311="N/A",0,IF(U311="SI",0,SUM(IF($D311="Inversión",0,VLOOKUP($B310,'C UNIT PROG TÉCNICOS'!$B$8:$G$160,6,FALSE)*'EV PROG TÉCNICOS'!U310))))</f>
        <v>4.7041387168350077</v>
      </c>
    </row>
    <row r="313" spans="1:21" s="307" customFormat="1" ht="12" hidden="1" customHeight="1" outlineLevel="1" x14ac:dyDescent="0.25">
      <c r="A313" s="316"/>
      <c r="B313" s="307" t="s">
        <v>763</v>
      </c>
      <c r="C313" s="304" t="s">
        <v>6</v>
      </c>
      <c r="D313" s="304"/>
      <c r="K313" s="450">
        <f>IF(K311="N/A",0,IF(K311="SI",0,K$21*K312))</f>
        <v>0</v>
      </c>
      <c r="L313" s="450">
        <f>IF(L311="N/A",0,IF(L311="SI",0,L$21*L312))</f>
        <v>7550125</v>
      </c>
      <c r="M313" s="450">
        <f t="shared" ref="M313:U313" si="142">IF(M311="N/A",0,IF(M311="SI",0,M$21*M312))</f>
        <v>8704331.5526999999</v>
      </c>
      <c r="N313" s="450">
        <f t="shared" si="142"/>
        <v>9198735.8440270498</v>
      </c>
      <c r="O313" s="450">
        <f t="shared" si="142"/>
        <v>9721222.2002206165</v>
      </c>
      <c r="P313" s="450">
        <f t="shared" si="142"/>
        <v>10273385.676948708</v>
      </c>
      <c r="Q313" s="450">
        <f t="shared" si="142"/>
        <v>10856911.928722259</v>
      </c>
      <c r="R313" s="450">
        <f t="shared" si="142"/>
        <v>11473582.354891298</v>
      </c>
      <c r="S313" s="450">
        <f t="shared" si="142"/>
        <v>12125279.537932653</v>
      </c>
      <c r="T313" s="450">
        <f t="shared" si="142"/>
        <v>12813992.99063132</v>
      </c>
      <c r="U313" s="450">
        <f t="shared" si="142"/>
        <v>13541825.229700582</v>
      </c>
    </row>
    <row r="314" spans="1:21" s="307" customFormat="1" ht="12" hidden="1" customHeight="1" outlineLevel="1" x14ac:dyDescent="0.25">
      <c r="A314" s="316"/>
      <c r="B314" s="307" t="s">
        <v>764</v>
      </c>
      <c r="C314" s="304" t="s">
        <v>6</v>
      </c>
      <c r="D314" s="304"/>
      <c r="K314" s="450">
        <f>IF(K311="N/A",0,IF(K311="SI",0,IF(OR($D311="Inversión",$D311="I/O"),SUM(VLOOKUP($B310,'C UNIT PROG TÉCNICOS'!$B$8:$G$160,5,FALSE)*'EV PROG TÉCNICOS'!K310),0)))</f>
        <v>0</v>
      </c>
      <c r="L314" s="450">
        <f>IF(L311="N/A",0,IF(L311="SI",0,IF(OR($D311="Inversión",$D311="I/O"),SUM(VLOOKUP($B310,'C UNIT PROG TÉCNICOS'!$B$8:$G$160,5,FALSE)*'EV PROG TÉCNICOS'!L310),0))*((1+$D$24)^(L$3-$K$3)))</f>
        <v>0</v>
      </c>
      <c r="M314" s="450">
        <f>IF(M311="N/A",0,IF(M311="SI",0,IF(OR($D311="Inversión",$D311="I/O"),SUM(VLOOKUP($B310,'C UNIT PROG TÉCNICOS'!$B$8:$G$160,5,FALSE)*'EV PROG TÉCNICOS'!M310),0))*((1+$D$24)^(M$3-$K$3)))</f>
        <v>0</v>
      </c>
      <c r="N314" s="450">
        <f>IF(N311="N/A",0,IF(N311="SI",0,IF(OR($D311="Inversión",$D311="I/O"),SUM(VLOOKUP($B310,'C UNIT PROG TÉCNICOS'!$B$8:$G$160,5,FALSE)*'EV PROG TÉCNICOS'!N310),0))*((1+$D$24)^(N$3-$K$3)))</f>
        <v>0</v>
      </c>
      <c r="O314" s="450">
        <f>IF(O311="N/A",0,IF(O311="SI",0,IF(OR($D311="Inversión",$D311="I/O"),SUM(VLOOKUP($B310,'C UNIT PROG TÉCNICOS'!$B$8:$G$160,5,FALSE)*'EV PROG TÉCNICOS'!O310),0))*((1+$D$24)^(O$3-$K$3)))</f>
        <v>0</v>
      </c>
      <c r="P314" s="450">
        <f>IF(P311="N/A",0,IF(P311="SI",0,IF(OR($D311="Inversión",$D311="I/O"),SUM(VLOOKUP($B310,'C UNIT PROG TÉCNICOS'!$B$8:$G$160,5,FALSE)*'EV PROG TÉCNICOS'!P310),0))*((1+$D$24)^(P$3-$K$3)))</f>
        <v>0</v>
      </c>
      <c r="Q314" s="450">
        <f>IF(Q311="N/A",0,IF(Q311="SI",0,IF(OR($D311="Inversión",$D311="I/O"),SUM(VLOOKUP($B310,'C UNIT PROG TÉCNICOS'!$B$8:$G$160,5,FALSE)*'EV PROG TÉCNICOS'!Q310),0))*((1+$D$24)^(Q$3-$K$3)))</f>
        <v>0</v>
      </c>
      <c r="R314" s="450">
        <f>IF(R311="N/A",0,IF(R311="SI",0,IF(OR($D311="Inversión",$D311="I/O"),SUM(VLOOKUP($B310,'C UNIT PROG TÉCNICOS'!$B$8:$G$160,5,FALSE)*'EV PROG TÉCNICOS'!R310),0))*((1+$D$24)^(R$3-$K$3)))</f>
        <v>0</v>
      </c>
      <c r="S314" s="450">
        <f>IF(S311="N/A",0,IF(S311="SI",0,IF(OR($D311="Inversión",$D311="I/O"),SUM(VLOOKUP($B310,'C UNIT PROG TÉCNICOS'!$B$8:$G$160,5,FALSE)*'EV PROG TÉCNICOS'!S310),0))*((1+$D$24)^(S$3-$K$3)))</f>
        <v>0</v>
      </c>
      <c r="T314" s="450">
        <f>IF(T311="N/A",0,IF(T311="SI",0,IF(OR($D311="Inversión",$D311="I/O"),SUM(VLOOKUP($B310,'C UNIT PROG TÉCNICOS'!$B$8:$G$160,5,FALSE)*'EV PROG TÉCNICOS'!T310),0))*((1+$D$24)^(T$3-$K$3)))</f>
        <v>0</v>
      </c>
      <c r="U314" s="450">
        <f>IF(U311="N/A",0,IF(U311="SI",0,IF(OR($D311="Inversión",$D311="I/O"),SUM(VLOOKUP($B310,'C UNIT PROG TÉCNICOS'!$B$8:$G$160,5,FALSE)*'EV PROG TÉCNICOS'!U310),0))*((1+$D$24)^(U$3-$K$3)))</f>
        <v>0</v>
      </c>
    </row>
    <row r="315" spans="1:21" s="376" customFormat="1" ht="15" hidden="1" customHeight="1" outlineLevel="1" x14ac:dyDescent="0.25">
      <c r="A315" s="374"/>
      <c r="B315" s="454" t="str">
        <f>CONCATENATE("VNA  ",B309)</f>
        <v>VNA  Procesamiento de datos</v>
      </c>
      <c r="C315" s="374" t="s">
        <v>6</v>
      </c>
      <c r="D315" s="453">
        <f>NPV($D$31,K315:U315)</f>
        <v>40630188.786682576</v>
      </c>
      <c r="K315" s="452">
        <f>IF(K311="N/A",0,IF($D311="Operación",K313,K314))</f>
        <v>0</v>
      </c>
      <c r="L315" s="452">
        <f>IF(L311="N/A",0,IF($D311="Operación",L313,L314))</f>
        <v>7550125</v>
      </c>
      <c r="M315" s="452">
        <f t="shared" ref="M315:U315" si="143">IF(M311="N/A",0,IF($D311="Operación",M313,M314))</f>
        <v>8704331.5526999999</v>
      </c>
      <c r="N315" s="452">
        <f t="shared" si="143"/>
        <v>9198735.8440270498</v>
      </c>
      <c r="O315" s="452">
        <f t="shared" si="143"/>
        <v>9721222.2002206165</v>
      </c>
      <c r="P315" s="452">
        <f t="shared" si="143"/>
        <v>10273385.676948708</v>
      </c>
      <c r="Q315" s="452">
        <f t="shared" si="143"/>
        <v>10856911.928722259</v>
      </c>
      <c r="R315" s="452">
        <f t="shared" si="143"/>
        <v>11473582.354891298</v>
      </c>
      <c r="S315" s="452">
        <f t="shared" si="143"/>
        <v>12125279.537932653</v>
      </c>
      <c r="T315" s="452">
        <f t="shared" si="143"/>
        <v>12813992.99063132</v>
      </c>
      <c r="U315" s="452">
        <f t="shared" si="143"/>
        <v>13541825.229700582</v>
      </c>
    </row>
    <row r="316" spans="1:21" s="376" customFormat="1" ht="15" hidden="1" customHeight="1" outlineLevel="1" x14ac:dyDescent="0.25">
      <c r="A316" s="374"/>
      <c r="B316" s="454" t="str">
        <f>CONCATENATE("Volumen de agua recuperado ",B309)</f>
        <v>Volumen de agua recuperado Procesamiento de datos</v>
      </c>
      <c r="C316" s="374" t="s">
        <v>106</v>
      </c>
      <c r="D316" s="374"/>
      <c r="K316" s="378"/>
      <c r="L316" s="378"/>
      <c r="M316" s="378"/>
      <c r="N316" s="378"/>
      <c r="O316" s="378"/>
      <c r="P316" s="378"/>
      <c r="Q316" s="378"/>
      <c r="R316" s="378"/>
      <c r="S316" s="378"/>
      <c r="T316" s="378"/>
      <c r="U316" s="378"/>
    </row>
    <row r="317" spans="1:21" s="376" customFormat="1" ht="15" hidden="1" customHeight="1" outlineLevel="1" x14ac:dyDescent="0.25">
      <c r="A317" s="374"/>
      <c r="B317" s="376" t="s">
        <v>750</v>
      </c>
      <c r="C317" s="374" t="s">
        <v>6</v>
      </c>
      <c r="D317" s="453">
        <f>NPV($D$31,K317:U317)</f>
        <v>0</v>
      </c>
      <c r="K317" s="452">
        <f>IF(OR(K311="N/A",K316=0),0,K316*K$29)</f>
        <v>0</v>
      </c>
      <c r="L317" s="452">
        <f>IF(OR(L311="N/A",L316=0),0,L316*L$29)</f>
        <v>0</v>
      </c>
      <c r="M317" s="452">
        <f t="shared" ref="M317:U317" si="144">IF(OR(M311="N/A",M316=0),0,M316*M$29)</f>
        <v>0</v>
      </c>
      <c r="N317" s="452">
        <f t="shared" si="144"/>
        <v>0</v>
      </c>
      <c r="O317" s="452">
        <f t="shared" si="144"/>
        <v>0</v>
      </c>
      <c r="P317" s="452">
        <f t="shared" si="144"/>
        <v>0</v>
      </c>
      <c r="Q317" s="452">
        <f t="shared" si="144"/>
        <v>0</v>
      </c>
      <c r="R317" s="452">
        <f t="shared" si="144"/>
        <v>0</v>
      </c>
      <c r="S317" s="452">
        <f t="shared" si="144"/>
        <v>0</v>
      </c>
      <c r="T317" s="452">
        <f t="shared" si="144"/>
        <v>0</v>
      </c>
      <c r="U317" s="452">
        <f t="shared" si="144"/>
        <v>0</v>
      </c>
    </row>
    <row r="318" spans="1:21" s="376" customFormat="1" ht="15" hidden="1" customHeight="1" outlineLevel="1" x14ac:dyDescent="0.25">
      <c r="A318" s="374"/>
      <c r="B318" s="376" t="s">
        <v>751</v>
      </c>
      <c r="C318" s="374"/>
      <c r="D318" s="455">
        <f>IFERROR(ROUND(IF(D317/D315=0,0,D317/D315),2),0)</f>
        <v>0</v>
      </c>
      <c r="K318" s="452">
        <f>IF(OR(K311="N/A",K317=0),0,K317*K$29)</f>
        <v>0</v>
      </c>
      <c r="L318" s="452">
        <f t="shared" ref="L318:U318" si="145">IF(OR(L311="N/A",L317=0),0,L317*L$29)</f>
        <v>0</v>
      </c>
      <c r="M318" s="452">
        <f t="shared" si="145"/>
        <v>0</v>
      </c>
      <c r="N318" s="452">
        <f t="shared" si="145"/>
        <v>0</v>
      </c>
      <c r="O318" s="452">
        <f t="shared" si="145"/>
        <v>0</v>
      </c>
      <c r="P318" s="452">
        <f t="shared" si="145"/>
        <v>0</v>
      </c>
      <c r="Q318" s="452">
        <f t="shared" si="145"/>
        <v>0</v>
      </c>
      <c r="R318" s="452">
        <f t="shared" si="145"/>
        <v>0</v>
      </c>
      <c r="S318" s="452">
        <f t="shared" si="145"/>
        <v>0</v>
      </c>
      <c r="T318" s="452">
        <f t="shared" si="145"/>
        <v>0</v>
      </c>
      <c r="U318" s="452">
        <f t="shared" si="145"/>
        <v>0</v>
      </c>
    </row>
    <row r="319" spans="1:21" s="307" customFormat="1" ht="12" hidden="1" customHeight="1" outlineLevel="1" x14ac:dyDescent="0.25">
      <c r="A319" s="304"/>
      <c r="D319" s="338"/>
      <c r="E319" s="338"/>
      <c r="F319" s="338"/>
      <c r="G319" s="338"/>
      <c r="H319" s="338"/>
      <c r="I319" s="338"/>
      <c r="J319" s="338"/>
      <c r="K319" s="338"/>
      <c r="L319" s="338"/>
      <c r="M319" s="338"/>
      <c r="N319" s="338"/>
      <c r="O319" s="338"/>
      <c r="P319" s="338"/>
      <c r="Q319" s="338"/>
      <c r="R319" s="338"/>
      <c r="S319" s="338"/>
      <c r="T319" s="338"/>
      <c r="U319" s="338"/>
    </row>
    <row r="320" spans="1:21" s="307" customFormat="1" ht="12" hidden="1" customHeight="1" outlineLevel="1" x14ac:dyDescent="0.25">
      <c r="A320" s="380" t="s">
        <v>140</v>
      </c>
      <c r="B320" s="358" t="s">
        <v>63</v>
      </c>
      <c r="K320" s="365">
        <v>0</v>
      </c>
      <c r="L320" s="443">
        <f>IF(L322="N/A","",K320+1)</f>
        <v>1</v>
      </c>
      <c r="M320" s="443">
        <f t="shared" ref="M320:U320" si="146">IF(M322="N/A","",L320+1)</f>
        <v>2</v>
      </c>
      <c r="N320" s="443">
        <f t="shared" si="146"/>
        <v>3</v>
      </c>
      <c r="O320" s="443">
        <f t="shared" si="146"/>
        <v>4</v>
      </c>
      <c r="P320" s="443">
        <f t="shared" si="146"/>
        <v>5</v>
      </c>
      <c r="Q320" s="443">
        <f t="shared" si="146"/>
        <v>6</v>
      </c>
      <c r="R320" s="443">
        <f t="shared" si="146"/>
        <v>7</v>
      </c>
      <c r="S320" s="443">
        <f t="shared" si="146"/>
        <v>8</v>
      </c>
      <c r="T320" s="443">
        <f t="shared" si="146"/>
        <v>9</v>
      </c>
      <c r="U320" s="443">
        <f t="shared" si="146"/>
        <v>10</v>
      </c>
    </row>
    <row r="321" spans="1:21" s="307" customFormat="1" ht="24.95" hidden="1" customHeight="1" outlineLevel="1" x14ac:dyDescent="0.25">
      <c r="A321" s="446" t="str">
        <f>VLOOKUP(B321,'C UNIT PROG TÉCNICOS'!$B$8:$H$108,7,FALSE)</f>
        <v>OPEX</v>
      </c>
      <c r="B321" s="367" t="s">
        <v>63</v>
      </c>
      <c r="C321" s="304" t="s">
        <v>20</v>
      </c>
      <c r="I321" s="369"/>
      <c r="J321" s="369"/>
      <c r="K321" s="442">
        <v>0</v>
      </c>
      <c r="L321" s="442">
        <f>IF(OR(L279=0,L279=$D$278),$D$278,L279)</f>
        <v>11</v>
      </c>
      <c r="M321" s="442">
        <f t="shared" ref="M321:U321" si="147">IF(OR(M279=0,M279=$D$278),$D$278,M279)</f>
        <v>12</v>
      </c>
      <c r="N321" s="442">
        <f t="shared" si="147"/>
        <v>12</v>
      </c>
      <c r="O321" s="442">
        <f t="shared" si="147"/>
        <v>12</v>
      </c>
      <c r="P321" s="442">
        <f t="shared" si="147"/>
        <v>12</v>
      </c>
      <c r="Q321" s="442">
        <f t="shared" si="147"/>
        <v>12</v>
      </c>
      <c r="R321" s="442">
        <f t="shared" si="147"/>
        <v>12</v>
      </c>
      <c r="S321" s="442">
        <f t="shared" si="147"/>
        <v>12</v>
      </c>
      <c r="T321" s="442">
        <f t="shared" si="147"/>
        <v>12</v>
      </c>
      <c r="U321" s="442">
        <f t="shared" si="147"/>
        <v>12</v>
      </c>
    </row>
    <row r="322" spans="1:21" s="307" customFormat="1" ht="12" hidden="1" customHeight="1" outlineLevel="1" x14ac:dyDescent="0.25">
      <c r="A322" s="316"/>
      <c r="B322" s="307" t="s">
        <v>742</v>
      </c>
      <c r="D322" s="447" t="str">
        <f>IF(A321="CAPEX","Inversión",IF(A321="OPEX","Operación","I/O"))</f>
        <v>Operación</v>
      </c>
      <c r="I322" s="370"/>
      <c r="J322" s="370"/>
      <c r="K322" s="371" t="s">
        <v>8</v>
      </c>
      <c r="L322" s="371" t="s">
        <v>8</v>
      </c>
      <c r="M322" s="371" t="s">
        <v>8</v>
      </c>
      <c r="N322" s="371" t="s">
        <v>8</v>
      </c>
      <c r="O322" s="371" t="s">
        <v>8</v>
      </c>
      <c r="P322" s="371" t="s">
        <v>8</v>
      </c>
      <c r="Q322" s="371" t="s">
        <v>8</v>
      </c>
      <c r="R322" s="371" t="s">
        <v>8</v>
      </c>
      <c r="S322" s="371" t="s">
        <v>8</v>
      </c>
      <c r="T322" s="371" t="s">
        <v>8</v>
      </c>
      <c r="U322" s="371" t="s">
        <v>8</v>
      </c>
    </row>
    <row r="323" spans="1:21" s="307" customFormat="1" ht="12" hidden="1" customHeight="1" outlineLevel="1" x14ac:dyDescent="0.25">
      <c r="A323" s="316"/>
      <c r="B323" s="307" t="s">
        <v>762</v>
      </c>
      <c r="C323" s="304"/>
      <c r="D323" s="304"/>
      <c r="K323" s="448">
        <f>IF(K322="N/A",0,IF(K322="SI",0,SUM(IF($D322="Inversión",0,VLOOKUP($B321,'C UNIT PROG TÉCNICOS'!$B$8:$G$160,6,FALSE)*'EV PROG TÉCNICOS'!K321))))</f>
        <v>0</v>
      </c>
      <c r="L323" s="448">
        <f>IF(L322="N/A",0,IF(L322="SI",0,SUM(IF($D322="Inversión",0,VLOOKUP($B321,'C UNIT PROG TÉCNICOS'!$B$8:$G$160,6,FALSE)*'EV PROG TÉCNICOS'!L321))))</f>
        <v>5.1068590243331302</v>
      </c>
      <c r="M323" s="448">
        <f>IF(M322="N/A",0,IF(M322="SI",0,SUM(IF($D322="Inversión",0,VLOOKUP($B321,'C UNIT PROG TÉCNICOS'!$B$8:$G$160,6,FALSE)*'EV PROG TÉCNICOS'!M321))))</f>
        <v>5.5711189356361421</v>
      </c>
      <c r="N323" s="448">
        <f>IF(N322="N/A",0,IF(N322="SI",0,SUM(IF($D322="Inversión",0,VLOOKUP($B321,'C UNIT PROG TÉCNICOS'!$B$8:$G$160,6,FALSE)*'EV PROG TÉCNICOS'!N321))))</f>
        <v>5.5711189356361421</v>
      </c>
      <c r="O323" s="448">
        <f>IF(O322="N/A",0,IF(O322="SI",0,SUM(IF($D322="Inversión",0,VLOOKUP($B321,'C UNIT PROG TÉCNICOS'!$B$8:$G$160,6,FALSE)*'EV PROG TÉCNICOS'!O321))))</f>
        <v>5.5711189356361421</v>
      </c>
      <c r="P323" s="448">
        <f>IF(P322="N/A",0,IF(P322="SI",0,SUM(IF($D322="Inversión",0,VLOOKUP($B321,'C UNIT PROG TÉCNICOS'!$B$8:$G$160,6,FALSE)*'EV PROG TÉCNICOS'!P321))))</f>
        <v>5.5711189356361421</v>
      </c>
      <c r="Q323" s="448">
        <f>IF(Q322="N/A",0,IF(Q322="SI",0,SUM(IF($D322="Inversión",0,VLOOKUP($B321,'C UNIT PROG TÉCNICOS'!$B$8:$G$160,6,FALSE)*'EV PROG TÉCNICOS'!Q321))))</f>
        <v>5.5711189356361421</v>
      </c>
      <c r="R323" s="448">
        <f>IF(R322="N/A",0,IF(R322="SI",0,SUM(IF($D322="Inversión",0,VLOOKUP($B321,'C UNIT PROG TÉCNICOS'!$B$8:$G$160,6,FALSE)*'EV PROG TÉCNICOS'!R321))))</f>
        <v>5.5711189356361421</v>
      </c>
      <c r="S323" s="448">
        <f>IF(S322="N/A",0,IF(S322="SI",0,SUM(IF($D322="Inversión",0,VLOOKUP($B321,'C UNIT PROG TÉCNICOS'!$B$8:$G$160,6,FALSE)*'EV PROG TÉCNICOS'!S321))))</f>
        <v>5.5711189356361421</v>
      </c>
      <c r="T323" s="448">
        <f>IF(T322="N/A",0,IF(T322="SI",0,SUM(IF($D322="Inversión",0,VLOOKUP($B321,'C UNIT PROG TÉCNICOS'!$B$8:$G$160,6,FALSE)*'EV PROG TÉCNICOS'!T321))))</f>
        <v>5.5711189356361421</v>
      </c>
      <c r="U323" s="448">
        <f>IF(U322="N/A",0,IF(U322="SI",0,SUM(IF($D322="Inversión",0,VLOOKUP($B321,'C UNIT PROG TÉCNICOS'!$B$8:$G$160,6,FALSE)*'EV PROG TÉCNICOS'!U321))))</f>
        <v>5.5711189356361421</v>
      </c>
    </row>
    <row r="324" spans="1:21" s="307" customFormat="1" ht="12" hidden="1" customHeight="1" outlineLevel="1" x14ac:dyDescent="0.25">
      <c r="A324" s="316"/>
      <c r="B324" s="307" t="s">
        <v>763</v>
      </c>
      <c r="C324" s="304" t="s">
        <v>6</v>
      </c>
      <c r="D324" s="304"/>
      <c r="K324" s="450">
        <f>IF(K322="N/A",0,IF(K322="SI",0,K$21*K323))</f>
        <v>0</v>
      </c>
      <c r="L324" s="450">
        <f>IF(L322="N/A",0,IF(L322="SI",0,L$21*L323))</f>
        <v>8941625</v>
      </c>
      <c r="M324" s="450">
        <f t="shared" ref="M324:U324" si="148">IF(M322="N/A",0,IF(M322="SI",0,M$21*M323))</f>
        <v>10308553.6491</v>
      </c>
      <c r="N324" s="450">
        <f t="shared" si="148"/>
        <v>10894077.434658151</v>
      </c>
      <c r="O324" s="450">
        <f t="shared" si="148"/>
        <v>11512858.854131246</v>
      </c>
      <c r="P324" s="450">
        <f t="shared" si="148"/>
        <v>12166786.934474131</v>
      </c>
      <c r="Q324" s="450">
        <f t="shared" si="148"/>
        <v>12857857.998994874</v>
      </c>
      <c r="R324" s="450">
        <f t="shared" si="148"/>
        <v>13588181.761766184</v>
      </c>
      <c r="S324" s="450">
        <f t="shared" si="148"/>
        <v>14359987.768198151</v>
      </c>
      <c r="T324" s="450">
        <f t="shared" si="148"/>
        <v>15175632.201434253</v>
      </c>
      <c r="U324" s="450">
        <f t="shared" si="148"/>
        <v>16037605.075349279</v>
      </c>
    </row>
    <row r="325" spans="1:21" s="307" customFormat="1" ht="12" hidden="1" customHeight="1" outlineLevel="1" x14ac:dyDescent="0.25">
      <c r="A325" s="316"/>
      <c r="B325" s="307" t="s">
        <v>764</v>
      </c>
      <c r="C325" s="304" t="s">
        <v>6</v>
      </c>
      <c r="K325" s="450">
        <f>IF(K322="N/A",0,IF(K322="SI",0,IF(OR($D322="Inversión",$D322="I/O"),SUM(VLOOKUP($B321,'C UNIT PROG TÉCNICOS'!$B$8:$G$160,5,FALSE)*'EV PROG TÉCNICOS'!K321),0)))</f>
        <v>0</v>
      </c>
      <c r="L325" s="450">
        <f>IF(L322="N/A",0,IF(L322="SI",0,IF(OR($D322="Inversión",$D322="I/O"),SUM(VLOOKUP($B321,'C UNIT PROG TÉCNICOS'!$B$8:$G$160,5,FALSE)*'EV PROG TÉCNICOS'!L321),0))*((1+$D$24)^(L$3-$K$3)))</f>
        <v>0</v>
      </c>
      <c r="M325" s="450">
        <f>IF(M322="N/A",0,IF(M322="SI",0,IF(OR($D322="Inversión",$D322="I/O"),SUM(VLOOKUP($B321,'C UNIT PROG TÉCNICOS'!$B$8:$G$160,5,FALSE)*'EV PROG TÉCNICOS'!M321),0))*((1+$D$24)^(M$3-$K$3)))</f>
        <v>0</v>
      </c>
      <c r="N325" s="450">
        <f>IF(N322="N/A",0,IF(N322="SI",0,IF(OR($D322="Inversión",$D322="I/O"),SUM(VLOOKUP($B321,'C UNIT PROG TÉCNICOS'!$B$8:$G$160,5,FALSE)*'EV PROG TÉCNICOS'!N321),0))*((1+$D$24)^(N$3-$K$3)))</f>
        <v>0</v>
      </c>
      <c r="O325" s="450">
        <f>IF(O322="N/A",0,IF(O322="SI",0,IF(OR($D322="Inversión",$D322="I/O"),SUM(VLOOKUP($B321,'C UNIT PROG TÉCNICOS'!$B$8:$G$160,5,FALSE)*'EV PROG TÉCNICOS'!O321),0))*((1+$D$24)^(O$3-$K$3)))</f>
        <v>0</v>
      </c>
      <c r="P325" s="450">
        <f>IF(P322="N/A",0,IF(P322="SI",0,IF(OR($D322="Inversión",$D322="I/O"),SUM(VLOOKUP($B321,'C UNIT PROG TÉCNICOS'!$B$8:$G$160,5,FALSE)*'EV PROG TÉCNICOS'!P321),0))*((1+$D$24)^(P$3-$K$3)))</f>
        <v>0</v>
      </c>
      <c r="Q325" s="450">
        <f>IF(Q322="N/A",0,IF(Q322="SI",0,IF(OR($D322="Inversión",$D322="I/O"),SUM(VLOOKUP($B321,'C UNIT PROG TÉCNICOS'!$B$8:$G$160,5,FALSE)*'EV PROG TÉCNICOS'!Q321),0))*((1+$D$24)^(Q$3-$K$3)))</f>
        <v>0</v>
      </c>
      <c r="R325" s="450">
        <f>IF(R322="N/A",0,IF(R322="SI",0,IF(OR($D322="Inversión",$D322="I/O"),SUM(VLOOKUP($B321,'C UNIT PROG TÉCNICOS'!$B$8:$G$160,5,FALSE)*'EV PROG TÉCNICOS'!R321),0))*((1+$D$24)^(R$3-$K$3)))</f>
        <v>0</v>
      </c>
      <c r="S325" s="450">
        <f>IF(S322="N/A",0,IF(S322="SI",0,IF(OR($D322="Inversión",$D322="I/O"),SUM(VLOOKUP($B321,'C UNIT PROG TÉCNICOS'!$B$8:$G$160,5,FALSE)*'EV PROG TÉCNICOS'!S321),0))*((1+$D$24)^(S$3-$K$3)))</f>
        <v>0</v>
      </c>
      <c r="T325" s="450">
        <f>IF(T322="N/A",0,IF(T322="SI",0,IF(OR($D322="Inversión",$D322="I/O"),SUM(VLOOKUP($B321,'C UNIT PROG TÉCNICOS'!$B$8:$G$160,5,FALSE)*'EV PROG TÉCNICOS'!T321),0))*((1+$D$24)^(T$3-$K$3)))</f>
        <v>0</v>
      </c>
      <c r="U325" s="450">
        <f>IF(U322="N/A",0,IF(U322="SI",0,IF(OR($D322="Inversión",$D322="I/O"),SUM(VLOOKUP($B321,'C UNIT PROG TÉCNICOS'!$B$8:$G$160,5,FALSE)*'EV PROG TÉCNICOS'!U321),0))*((1+$D$24)^(U$3-$K$3)))</f>
        <v>0</v>
      </c>
    </row>
    <row r="326" spans="1:21" s="376" customFormat="1" ht="15" hidden="1" customHeight="1" outlineLevel="1" x14ac:dyDescent="0.25">
      <c r="A326" s="374"/>
      <c r="B326" s="454" t="str">
        <f>CONCATENATE("VNA  ",B320)</f>
        <v>VNA  Análisis de datos</v>
      </c>
      <c r="C326" s="374" t="s">
        <v>6</v>
      </c>
      <c r="D326" s="453">
        <f>NPV($D$31,L326:U326)+K326</f>
        <v>55950485.593077868</v>
      </c>
      <c r="K326" s="452">
        <f>IF(K322="N/A",0,IF($D322="Operación",K324,K325))</f>
        <v>0</v>
      </c>
      <c r="L326" s="452">
        <f>IF(L322="N/A",0,IF($D322="Operación",L324,L325))</f>
        <v>8941625</v>
      </c>
      <c r="M326" s="452">
        <f t="shared" ref="M326:U326" si="149">IF(M322="N/A",0,IF($D322="Operación",M324,M325))</f>
        <v>10308553.6491</v>
      </c>
      <c r="N326" s="452">
        <f t="shared" si="149"/>
        <v>10894077.434658151</v>
      </c>
      <c r="O326" s="452">
        <f t="shared" si="149"/>
        <v>11512858.854131246</v>
      </c>
      <c r="P326" s="452">
        <f t="shared" si="149"/>
        <v>12166786.934474131</v>
      </c>
      <c r="Q326" s="452">
        <f t="shared" si="149"/>
        <v>12857857.998994874</v>
      </c>
      <c r="R326" s="452">
        <f t="shared" si="149"/>
        <v>13588181.761766184</v>
      </c>
      <c r="S326" s="452">
        <f t="shared" si="149"/>
        <v>14359987.768198151</v>
      </c>
      <c r="T326" s="452">
        <f t="shared" si="149"/>
        <v>15175632.201434253</v>
      </c>
      <c r="U326" s="452">
        <f t="shared" si="149"/>
        <v>16037605.075349279</v>
      </c>
    </row>
    <row r="327" spans="1:21" s="376" customFormat="1" ht="15" hidden="1" customHeight="1" outlineLevel="1" x14ac:dyDescent="0.25">
      <c r="A327" s="374"/>
      <c r="B327" s="454" t="str">
        <f>CONCATENATE("Volumen de agua recuperado ",B320)</f>
        <v>Volumen de agua recuperado Análisis de datos</v>
      </c>
      <c r="C327" s="374" t="s">
        <v>106</v>
      </c>
      <c r="D327" s="374"/>
      <c r="K327" s="378"/>
      <c r="L327" s="378"/>
      <c r="M327" s="378"/>
      <c r="N327" s="378"/>
      <c r="O327" s="378"/>
      <c r="P327" s="378"/>
      <c r="Q327" s="378"/>
      <c r="R327" s="378"/>
      <c r="S327" s="378"/>
      <c r="T327" s="378"/>
      <c r="U327" s="378"/>
    </row>
    <row r="328" spans="1:21" s="376" customFormat="1" ht="15" hidden="1" customHeight="1" outlineLevel="1" x14ac:dyDescent="0.25">
      <c r="A328" s="374"/>
      <c r="B328" s="376" t="s">
        <v>750</v>
      </c>
      <c r="C328" s="374" t="s">
        <v>6</v>
      </c>
      <c r="D328" s="453">
        <f>NPV($D$31,L328:U328)+K328</f>
        <v>0</v>
      </c>
      <c r="K328" s="452">
        <f>IF(OR(K322="N/A",K327=0),0,K327*K$29)</f>
        <v>0</v>
      </c>
      <c r="L328" s="452">
        <f>IF(OR(L322="N/A",L327=0),0,L327*L$29)</f>
        <v>0</v>
      </c>
      <c r="M328" s="452">
        <f t="shared" ref="M328:U328" si="150">IF(OR(M322="N/A",M327=0),0,M327*M$29)</f>
        <v>0</v>
      </c>
      <c r="N328" s="452">
        <f t="shared" si="150"/>
        <v>0</v>
      </c>
      <c r="O328" s="452">
        <f t="shared" si="150"/>
        <v>0</v>
      </c>
      <c r="P328" s="452">
        <f t="shared" si="150"/>
        <v>0</v>
      </c>
      <c r="Q328" s="452">
        <f t="shared" si="150"/>
        <v>0</v>
      </c>
      <c r="R328" s="452">
        <f t="shared" si="150"/>
        <v>0</v>
      </c>
      <c r="S328" s="452">
        <f t="shared" si="150"/>
        <v>0</v>
      </c>
      <c r="T328" s="452">
        <f t="shared" si="150"/>
        <v>0</v>
      </c>
      <c r="U328" s="452">
        <f t="shared" si="150"/>
        <v>0</v>
      </c>
    </row>
    <row r="329" spans="1:21" s="376" customFormat="1" ht="15" hidden="1" customHeight="1" outlineLevel="1" x14ac:dyDescent="0.25">
      <c r="A329" s="374"/>
      <c r="B329" s="376" t="s">
        <v>751</v>
      </c>
      <c r="C329" s="374"/>
      <c r="D329" s="455">
        <f>IFERROR(ROUND(IF(D328/D326=0,0,D328/D326),2),0)</f>
        <v>0</v>
      </c>
      <c r="K329" s="452">
        <f>IF(OR(K322="N/A",K328=0),0,K328*K$29)</f>
        <v>0</v>
      </c>
      <c r="L329" s="452">
        <f t="shared" ref="L329:U329" si="151">IF(OR(L322="N/A",L328=0),0,L328*L$29)</f>
        <v>0</v>
      </c>
      <c r="M329" s="452">
        <f t="shared" si="151"/>
        <v>0</v>
      </c>
      <c r="N329" s="452">
        <f t="shared" si="151"/>
        <v>0</v>
      </c>
      <c r="O329" s="452">
        <f t="shared" si="151"/>
        <v>0</v>
      </c>
      <c r="P329" s="452">
        <f t="shared" si="151"/>
        <v>0</v>
      </c>
      <c r="Q329" s="452">
        <f t="shared" si="151"/>
        <v>0</v>
      </c>
      <c r="R329" s="452">
        <f t="shared" si="151"/>
        <v>0</v>
      </c>
      <c r="S329" s="452">
        <f t="shared" si="151"/>
        <v>0</v>
      </c>
      <c r="T329" s="452">
        <f t="shared" si="151"/>
        <v>0</v>
      </c>
      <c r="U329" s="452">
        <f t="shared" si="151"/>
        <v>0</v>
      </c>
    </row>
    <row r="330" spans="1:21" s="326" customFormat="1" ht="15" hidden="1" customHeight="1" outlineLevel="1" x14ac:dyDescent="0.25">
      <c r="A330" s="316"/>
      <c r="C330" s="316"/>
      <c r="D330" s="338"/>
      <c r="K330" s="297"/>
      <c r="L330" s="297"/>
      <c r="M330" s="297"/>
      <c r="N330" s="297"/>
      <c r="O330" s="297"/>
      <c r="P330" s="297"/>
      <c r="Q330" s="297"/>
      <c r="R330" s="297"/>
      <c r="S330" s="297"/>
      <c r="T330" s="297"/>
      <c r="U330" s="297"/>
    </row>
    <row r="331" spans="1:21" s="307" customFormat="1" ht="12" hidden="1" customHeight="1" outlineLevel="1" x14ac:dyDescent="0.25">
      <c r="A331" s="380" t="s">
        <v>141</v>
      </c>
      <c r="B331" s="358" t="s">
        <v>26</v>
      </c>
      <c r="K331" s="365">
        <v>0</v>
      </c>
      <c r="L331" s="443">
        <f>IF(L333="N/A","",K331+1)</f>
        <v>1</v>
      </c>
      <c r="M331" s="443">
        <f t="shared" ref="M331:U331" si="152">IF(M333="N/A","",L331+1)</f>
        <v>2</v>
      </c>
      <c r="N331" s="443">
        <f t="shared" si="152"/>
        <v>3</v>
      </c>
      <c r="O331" s="443">
        <f t="shared" si="152"/>
        <v>4</v>
      </c>
      <c r="P331" s="443">
        <f t="shared" si="152"/>
        <v>5</v>
      </c>
      <c r="Q331" s="443">
        <f t="shared" si="152"/>
        <v>6</v>
      </c>
      <c r="R331" s="443">
        <f t="shared" si="152"/>
        <v>7</v>
      </c>
      <c r="S331" s="443">
        <f t="shared" si="152"/>
        <v>8</v>
      </c>
      <c r="T331" s="443">
        <f t="shared" si="152"/>
        <v>9</v>
      </c>
      <c r="U331" s="443">
        <f t="shared" si="152"/>
        <v>10</v>
      </c>
    </row>
    <row r="332" spans="1:21" s="307" customFormat="1" ht="24.95" hidden="1" customHeight="1" outlineLevel="1" x14ac:dyDescent="0.25">
      <c r="A332" s="446" t="str">
        <f>VLOOKUP(B332,'C UNIT PROG TÉCNICOS'!$B$8:$H$108,7,FALSE)</f>
        <v>OPEX</v>
      </c>
      <c r="B332" s="367" t="s">
        <v>27</v>
      </c>
      <c r="C332" s="304" t="s">
        <v>20</v>
      </c>
      <c r="I332" s="369"/>
      <c r="J332" s="369"/>
      <c r="K332" s="442">
        <v>0</v>
      </c>
      <c r="L332" s="442">
        <f>IF(OR(K286="N/A",K279=$D$278,K332=K279),$D$278,K279)</f>
        <v>11</v>
      </c>
      <c r="M332" s="442">
        <f t="shared" ref="M332:U332" si="153">IF(OR(L286="N/A",L279=$D$278,L332=L279),$D$278,L279)</f>
        <v>12</v>
      </c>
      <c r="N332" s="442">
        <f t="shared" si="153"/>
        <v>12</v>
      </c>
      <c r="O332" s="442">
        <f t="shared" si="153"/>
        <v>12</v>
      </c>
      <c r="P332" s="442">
        <f t="shared" si="153"/>
        <v>12</v>
      </c>
      <c r="Q332" s="442">
        <f t="shared" si="153"/>
        <v>12</v>
      </c>
      <c r="R332" s="442">
        <f t="shared" si="153"/>
        <v>12</v>
      </c>
      <c r="S332" s="442">
        <f t="shared" si="153"/>
        <v>12</v>
      </c>
      <c r="T332" s="442">
        <f t="shared" si="153"/>
        <v>12</v>
      </c>
      <c r="U332" s="442">
        <f t="shared" si="153"/>
        <v>12</v>
      </c>
    </row>
    <row r="333" spans="1:21" s="307" customFormat="1" ht="12" hidden="1" customHeight="1" outlineLevel="1" x14ac:dyDescent="0.25">
      <c r="A333" s="316"/>
      <c r="B333" s="307" t="s">
        <v>742</v>
      </c>
      <c r="D333" s="447" t="str">
        <f>IF(A332="CAPEX","Inversión",IF(A332="OPEX","Operación","I/O"))</f>
        <v>Operación</v>
      </c>
      <c r="I333" s="370"/>
      <c r="J333" s="370"/>
      <c r="K333" s="371" t="s">
        <v>8</v>
      </c>
      <c r="L333" s="371" t="s">
        <v>8</v>
      </c>
      <c r="M333" s="371" t="s">
        <v>8</v>
      </c>
      <c r="N333" s="371" t="s">
        <v>8</v>
      </c>
      <c r="O333" s="371" t="s">
        <v>8</v>
      </c>
      <c r="P333" s="371" t="s">
        <v>8</v>
      </c>
      <c r="Q333" s="371" t="s">
        <v>8</v>
      </c>
      <c r="R333" s="371" t="s">
        <v>8</v>
      </c>
      <c r="S333" s="371" t="s">
        <v>8</v>
      </c>
      <c r="T333" s="371" t="s">
        <v>8</v>
      </c>
      <c r="U333" s="371" t="s">
        <v>8</v>
      </c>
    </row>
    <row r="334" spans="1:21" s="307" customFormat="1" ht="12" hidden="1" customHeight="1" outlineLevel="1" x14ac:dyDescent="0.25">
      <c r="A334" s="316"/>
      <c r="B334" s="307" t="s">
        <v>762</v>
      </c>
      <c r="C334" s="304"/>
      <c r="D334" s="304"/>
      <c r="K334" s="448">
        <f>IF(K333="N/A",0,IF(K333="SI",0,SUM(IF($D333="Inversión",0,VLOOKUP($B332,'C UNIT PROG TÉCNICOS'!$B$8:$G$160,6,FALSE)*'EV PROG TÉCNICOS'!K332))))</f>
        <v>0</v>
      </c>
      <c r="L334" s="448">
        <f>IF(L333="N/A",0,IF(L333="SI",0,SUM(IF($D333="Inversión",0,VLOOKUP($B332,'C UNIT PROG TÉCNICOS'!$B$8:$G$160,6,FALSE)*'EV PROG TÉCNICOS'!L332))))</f>
        <v>9.7571245241175273</v>
      </c>
      <c r="M334" s="448">
        <f>IF(M333="N/A",0,IF(M333="SI",0,SUM(IF($D333="Inversión",0,VLOOKUP($B332,'C UNIT PROG TÉCNICOS'!$B$8:$G$160,6,FALSE)*'EV PROG TÉCNICOS'!M332))))</f>
        <v>10.644135844491849</v>
      </c>
      <c r="N334" s="448">
        <f>IF(N333="N/A",0,IF(N333="SI",0,SUM(IF($D333="Inversión",0,VLOOKUP($B332,'C UNIT PROG TÉCNICOS'!$B$8:$G$160,6,FALSE)*'EV PROG TÉCNICOS'!N332))))</f>
        <v>10.644135844491849</v>
      </c>
      <c r="O334" s="448">
        <f>IF(O333="N/A",0,IF(O333="SI",0,SUM(IF($D333="Inversión",0,VLOOKUP($B332,'C UNIT PROG TÉCNICOS'!$B$8:$G$160,6,FALSE)*'EV PROG TÉCNICOS'!O332))))</f>
        <v>10.644135844491849</v>
      </c>
      <c r="P334" s="448">
        <f>IF(P333="N/A",0,IF(P333="SI",0,SUM(IF($D333="Inversión",0,VLOOKUP($B332,'C UNIT PROG TÉCNICOS'!$B$8:$G$160,6,FALSE)*'EV PROG TÉCNICOS'!P332))))</f>
        <v>10.644135844491849</v>
      </c>
      <c r="Q334" s="448">
        <f>IF(Q333="N/A",0,IF(Q333="SI",0,SUM(IF($D333="Inversión",0,VLOOKUP($B332,'C UNIT PROG TÉCNICOS'!$B$8:$G$160,6,FALSE)*'EV PROG TÉCNICOS'!Q332))))</f>
        <v>10.644135844491849</v>
      </c>
      <c r="R334" s="448">
        <f>IF(R333="N/A",0,IF(R333="SI",0,SUM(IF($D333="Inversión",0,VLOOKUP($B332,'C UNIT PROG TÉCNICOS'!$B$8:$G$160,6,FALSE)*'EV PROG TÉCNICOS'!R332))))</f>
        <v>10.644135844491849</v>
      </c>
      <c r="S334" s="448">
        <f>IF(S333="N/A",0,IF(S333="SI",0,SUM(IF($D333="Inversión",0,VLOOKUP($B332,'C UNIT PROG TÉCNICOS'!$B$8:$G$160,6,FALSE)*'EV PROG TÉCNICOS'!S332))))</f>
        <v>10.644135844491849</v>
      </c>
      <c r="T334" s="448">
        <f>IF(T333="N/A",0,IF(T333="SI",0,SUM(IF($D333="Inversión",0,VLOOKUP($B332,'C UNIT PROG TÉCNICOS'!$B$8:$G$160,6,FALSE)*'EV PROG TÉCNICOS'!T332))))</f>
        <v>10.644135844491849</v>
      </c>
      <c r="U334" s="448">
        <f>IF(U333="N/A",0,IF(U333="SI",0,SUM(IF($D333="Inversión",0,VLOOKUP($B332,'C UNIT PROG TÉCNICOS'!$B$8:$G$160,6,FALSE)*'EV PROG TÉCNICOS'!U332))))</f>
        <v>10.644135844491849</v>
      </c>
    </row>
    <row r="335" spans="1:21" s="307" customFormat="1" ht="12" hidden="1" customHeight="1" outlineLevel="1" x14ac:dyDescent="0.25">
      <c r="A335" s="316"/>
      <c r="B335" s="307" t="s">
        <v>763</v>
      </c>
      <c r="C335" s="304" t="s">
        <v>6</v>
      </c>
      <c r="D335" s="304"/>
      <c r="K335" s="450">
        <f>IF(K333="N/A",0,IF(K333="SI",0,K$21*K334))</f>
        <v>0</v>
      </c>
      <c r="L335" s="450">
        <f>IF(L333="N/A",0,IF(L333="SI",0,L$21*L334))</f>
        <v>17083798.1149</v>
      </c>
      <c r="M335" s="450">
        <f t="shared" ref="M335:U335" si="154">IF(M333="N/A",0,IF(M333="SI",0,M$21*M334))</f>
        <v>19695441.197527308</v>
      </c>
      <c r="N335" s="450">
        <f t="shared" si="154"/>
        <v>20814138.31845862</v>
      </c>
      <c r="O335" s="450">
        <f t="shared" si="154"/>
        <v>21996377.212119408</v>
      </c>
      <c r="P335" s="450">
        <f t="shared" si="154"/>
        <v>23245767.038492348</v>
      </c>
      <c r="Q335" s="450">
        <f t="shared" si="154"/>
        <v>24566121.957125302</v>
      </c>
      <c r="R335" s="450">
        <f t="shared" si="154"/>
        <v>25961472.77106563</v>
      </c>
      <c r="S335" s="450">
        <f t="shared" si="154"/>
        <v>27436079.232167605</v>
      </c>
      <c r="T335" s="450">
        <f t="shared" si="154"/>
        <v>28994443.04533888</v>
      </c>
      <c r="U335" s="450">
        <f t="shared" si="154"/>
        <v>30641321.611425523</v>
      </c>
    </row>
    <row r="336" spans="1:21" s="307" customFormat="1" ht="12" hidden="1" customHeight="1" outlineLevel="1" x14ac:dyDescent="0.25">
      <c r="A336" s="316"/>
      <c r="B336" s="307" t="s">
        <v>764</v>
      </c>
      <c r="C336" s="304" t="s">
        <v>6</v>
      </c>
      <c r="K336" s="450">
        <f>IF(K333="N/A",0,IF(K333="SI",0,IF(OR($D333="Inversión",$D333="I/O"),SUM(VLOOKUP($B332,'C UNIT PROG TÉCNICOS'!$B$8:$G$160,5,FALSE)*'EV PROG TÉCNICOS'!K332),0)))</f>
        <v>0</v>
      </c>
      <c r="L336" s="450">
        <f>IF(L333="N/A",0,IF(L333="SI",0,IF(OR($D333="Inversión",$D333="I/O"),SUM(VLOOKUP($B332,'C UNIT PROG TÉCNICOS'!$B$8:$G$160,5,FALSE)*'EV PROG TÉCNICOS'!L332),0))*((1+$D$24)^(L$3-$K$3)))</f>
        <v>0</v>
      </c>
      <c r="M336" s="450">
        <f>IF(M333="N/A",0,IF(M333="SI",0,IF(OR($D333="Inversión",$D333="I/O"),SUM(VLOOKUP($B332,'C UNIT PROG TÉCNICOS'!$B$8:$G$160,5,FALSE)*'EV PROG TÉCNICOS'!M332),0))*((1+$D$24)^(M$3-$K$3)))</f>
        <v>0</v>
      </c>
      <c r="N336" s="450">
        <f>IF(N333="N/A",0,IF(N333="SI",0,IF(OR($D333="Inversión",$D333="I/O"),SUM(VLOOKUP($B332,'C UNIT PROG TÉCNICOS'!$B$8:$G$160,5,FALSE)*'EV PROG TÉCNICOS'!N332),0))*((1+$D$24)^(N$3-$K$3)))</f>
        <v>0</v>
      </c>
      <c r="O336" s="450">
        <f>IF(O333="N/A",0,IF(O333="SI",0,IF(OR($D333="Inversión",$D333="I/O"),SUM(VLOOKUP($B332,'C UNIT PROG TÉCNICOS'!$B$8:$G$160,5,FALSE)*'EV PROG TÉCNICOS'!O332),0))*((1+$D$24)^(O$3-$K$3)))</f>
        <v>0</v>
      </c>
      <c r="P336" s="450">
        <f>IF(P333="N/A",0,IF(P333="SI",0,IF(OR($D333="Inversión",$D333="I/O"),SUM(VLOOKUP($B332,'C UNIT PROG TÉCNICOS'!$B$8:$G$160,5,FALSE)*'EV PROG TÉCNICOS'!P332),0))*((1+$D$24)^(P$3-$K$3)))</f>
        <v>0</v>
      </c>
      <c r="Q336" s="450">
        <f>IF(Q333="N/A",0,IF(Q333="SI",0,IF(OR($D333="Inversión",$D333="I/O"),SUM(VLOOKUP($B332,'C UNIT PROG TÉCNICOS'!$B$8:$G$160,5,FALSE)*'EV PROG TÉCNICOS'!Q332),0))*((1+$D$24)^(Q$3-$K$3)))</f>
        <v>0</v>
      </c>
      <c r="R336" s="450">
        <f>IF(R333="N/A",0,IF(R333="SI",0,IF(OR($D333="Inversión",$D333="I/O"),SUM(VLOOKUP($B332,'C UNIT PROG TÉCNICOS'!$B$8:$G$160,5,FALSE)*'EV PROG TÉCNICOS'!R332),0))*((1+$D$24)^(R$3-$K$3)))</f>
        <v>0</v>
      </c>
      <c r="S336" s="450">
        <f>IF(S333="N/A",0,IF(S333="SI",0,IF(OR($D333="Inversión",$D333="I/O"),SUM(VLOOKUP($B332,'C UNIT PROG TÉCNICOS'!$B$8:$G$160,5,FALSE)*'EV PROG TÉCNICOS'!S332),0))*((1+$D$24)^(S$3-$K$3)))</f>
        <v>0</v>
      </c>
      <c r="T336" s="450">
        <f>IF(T333="N/A",0,IF(T333="SI",0,IF(OR($D333="Inversión",$D333="I/O"),SUM(VLOOKUP($B332,'C UNIT PROG TÉCNICOS'!$B$8:$G$160,5,FALSE)*'EV PROG TÉCNICOS'!T332),0))*((1+$D$24)^(T$3-$K$3)))</f>
        <v>0</v>
      </c>
      <c r="U336" s="450">
        <f>IF(U333="N/A",0,IF(U333="SI",0,IF(OR($D333="Inversión",$D333="I/O"),SUM(VLOOKUP($B332,'C UNIT PROG TÉCNICOS'!$B$8:$G$160,5,FALSE)*'EV PROG TÉCNICOS'!U332),0))*((1+$D$24)^(U$3-$K$3)))</f>
        <v>0</v>
      </c>
    </row>
    <row r="337" spans="1:22" s="376" customFormat="1" ht="15" hidden="1" customHeight="1" outlineLevel="1" x14ac:dyDescent="0.25">
      <c r="A337" s="374"/>
      <c r="B337" s="454" t="str">
        <f>CONCATENATE("VNA  ",B331)</f>
        <v>VNA  Verificación metrológica</v>
      </c>
      <c r="C337" s="374" t="s">
        <v>6</v>
      </c>
      <c r="D337" s="453">
        <f>NPV($D$31,L337:U337)+K337</f>
        <v>106898555.94511773</v>
      </c>
      <c r="K337" s="452">
        <f t="shared" ref="K337:U337" si="155">IF(K333="N/A",0,IF($D333="Operación",K335,K336))</f>
        <v>0</v>
      </c>
      <c r="L337" s="452">
        <f t="shared" si="155"/>
        <v>17083798.1149</v>
      </c>
      <c r="M337" s="452">
        <f t="shared" si="155"/>
        <v>19695441.197527308</v>
      </c>
      <c r="N337" s="452">
        <f t="shared" si="155"/>
        <v>20814138.31845862</v>
      </c>
      <c r="O337" s="452">
        <f t="shared" si="155"/>
        <v>21996377.212119408</v>
      </c>
      <c r="P337" s="452">
        <f t="shared" si="155"/>
        <v>23245767.038492348</v>
      </c>
      <c r="Q337" s="452">
        <f t="shared" si="155"/>
        <v>24566121.957125302</v>
      </c>
      <c r="R337" s="452">
        <f t="shared" si="155"/>
        <v>25961472.77106563</v>
      </c>
      <c r="S337" s="452">
        <f t="shared" si="155"/>
        <v>27436079.232167605</v>
      </c>
      <c r="T337" s="452">
        <f t="shared" si="155"/>
        <v>28994443.04533888</v>
      </c>
      <c r="U337" s="452">
        <f t="shared" si="155"/>
        <v>30641321.611425523</v>
      </c>
    </row>
    <row r="338" spans="1:22" s="390" customFormat="1" ht="15" hidden="1" customHeight="1" outlineLevel="1" x14ac:dyDescent="0.25">
      <c r="A338" s="389"/>
      <c r="B338" s="454" t="str">
        <f>CONCATENATE("Volumen de agua recuperado ",B331)</f>
        <v>Volumen de agua recuperado Verificación metrológica</v>
      </c>
      <c r="C338" s="389" t="s">
        <v>106</v>
      </c>
      <c r="D338" s="389"/>
      <c r="K338" s="378"/>
      <c r="L338" s="378"/>
      <c r="M338" s="378"/>
      <c r="N338" s="378"/>
      <c r="O338" s="378"/>
      <c r="P338" s="378"/>
      <c r="Q338" s="378"/>
      <c r="R338" s="378"/>
      <c r="S338" s="378"/>
      <c r="T338" s="378"/>
      <c r="U338" s="378"/>
    </row>
    <row r="339" spans="1:22" s="376" customFormat="1" ht="15" hidden="1" customHeight="1" outlineLevel="1" x14ac:dyDescent="0.25">
      <c r="A339" s="374"/>
      <c r="B339" s="376" t="s">
        <v>750</v>
      </c>
      <c r="C339" s="374" t="s">
        <v>6</v>
      </c>
      <c r="D339" s="453">
        <f>NPV($D$31,L339:U339)+K339</f>
        <v>0</v>
      </c>
      <c r="K339" s="452">
        <f t="shared" ref="K339:U339" si="156">IF(OR(K333="N/A",K338=0),0,K338*K$29)</f>
        <v>0</v>
      </c>
      <c r="L339" s="452">
        <f t="shared" si="156"/>
        <v>0</v>
      </c>
      <c r="M339" s="452">
        <f t="shared" si="156"/>
        <v>0</v>
      </c>
      <c r="N339" s="452">
        <f t="shared" si="156"/>
        <v>0</v>
      </c>
      <c r="O339" s="452">
        <f t="shared" si="156"/>
        <v>0</v>
      </c>
      <c r="P339" s="452">
        <f t="shared" si="156"/>
        <v>0</v>
      </c>
      <c r="Q339" s="452">
        <f t="shared" si="156"/>
        <v>0</v>
      </c>
      <c r="R339" s="452">
        <f t="shared" si="156"/>
        <v>0</v>
      </c>
      <c r="S339" s="452">
        <f t="shared" si="156"/>
        <v>0</v>
      </c>
      <c r="T339" s="452">
        <f t="shared" si="156"/>
        <v>0</v>
      </c>
      <c r="U339" s="452">
        <f t="shared" si="156"/>
        <v>0</v>
      </c>
    </row>
    <row r="340" spans="1:22" s="376" customFormat="1" ht="15" hidden="1" customHeight="1" outlineLevel="1" x14ac:dyDescent="0.25">
      <c r="A340" s="374"/>
      <c r="B340" s="376" t="s">
        <v>751</v>
      </c>
      <c r="C340" s="374"/>
      <c r="D340" s="455">
        <f>IFERROR(ROUND(IF(D339/D337=0,0,D339/D337),2),0)</f>
        <v>0</v>
      </c>
      <c r="K340" s="452">
        <f>IF(OR(K333="N/A",K339=0),0,K339*K$29)</f>
        <v>0</v>
      </c>
      <c r="L340" s="452">
        <f t="shared" ref="L340:U340" si="157">IF(OR(L333="N/A",L339=0),0,L339*L$29)</f>
        <v>0</v>
      </c>
      <c r="M340" s="452">
        <f t="shared" si="157"/>
        <v>0</v>
      </c>
      <c r="N340" s="452">
        <f t="shared" si="157"/>
        <v>0</v>
      </c>
      <c r="O340" s="452">
        <f t="shared" si="157"/>
        <v>0</v>
      </c>
      <c r="P340" s="452">
        <f t="shared" si="157"/>
        <v>0</v>
      </c>
      <c r="Q340" s="452">
        <f t="shared" si="157"/>
        <v>0</v>
      </c>
      <c r="R340" s="452">
        <f t="shared" si="157"/>
        <v>0</v>
      </c>
      <c r="S340" s="452">
        <f t="shared" si="157"/>
        <v>0</v>
      </c>
      <c r="T340" s="452">
        <f t="shared" si="157"/>
        <v>0</v>
      </c>
      <c r="U340" s="452">
        <f t="shared" si="157"/>
        <v>0</v>
      </c>
    </row>
    <row r="341" spans="1:22" s="307" customFormat="1" ht="12" hidden="1" customHeight="1" outlineLevel="1" x14ac:dyDescent="0.2">
      <c r="A341" s="316"/>
      <c r="B341" s="308"/>
      <c r="C341" s="304"/>
      <c r="D341" s="304"/>
      <c r="K341" s="373"/>
      <c r="L341" s="373"/>
      <c r="M341" s="373"/>
      <c r="N341" s="373"/>
      <c r="O341" s="373"/>
      <c r="P341" s="373"/>
      <c r="Q341" s="373"/>
      <c r="R341" s="373"/>
      <c r="S341" s="373"/>
      <c r="T341" s="373"/>
      <c r="U341" s="373"/>
    </row>
    <row r="342" spans="1:22" s="307" customFormat="1" ht="12" hidden="1" customHeight="1" outlineLevel="1" x14ac:dyDescent="0.25">
      <c r="A342" s="380" t="s">
        <v>142</v>
      </c>
      <c r="B342" s="358" t="s">
        <v>226</v>
      </c>
      <c r="C342" s="304"/>
      <c r="D342" s="304"/>
      <c r="K342" s="373"/>
      <c r="L342" s="373"/>
      <c r="M342" s="373"/>
      <c r="N342" s="373"/>
      <c r="O342" s="373"/>
      <c r="P342" s="373"/>
      <c r="Q342" s="373"/>
      <c r="R342" s="373"/>
      <c r="S342" s="373"/>
      <c r="T342" s="373"/>
      <c r="U342" s="373"/>
    </row>
    <row r="343" spans="1:22" s="326" customFormat="1" ht="15" hidden="1" customHeight="1" outlineLevel="1" x14ac:dyDescent="0.25">
      <c r="A343" s="316"/>
      <c r="B343" s="326" t="s">
        <v>224</v>
      </c>
      <c r="C343" s="316" t="s">
        <v>11</v>
      </c>
      <c r="D343" s="444">
        <f>COUNT(L343:U343)</f>
        <v>6</v>
      </c>
      <c r="K343" s="443">
        <v>0</v>
      </c>
      <c r="L343" s="443">
        <f t="shared" ref="L343:T343" si="158">IF(L349="N/A","",K343+1)</f>
        <v>1</v>
      </c>
      <c r="M343" s="443">
        <f t="shared" si="158"/>
        <v>2</v>
      </c>
      <c r="N343" s="443">
        <f t="shared" si="158"/>
        <v>3</v>
      </c>
      <c r="O343" s="443">
        <f t="shared" si="158"/>
        <v>4</v>
      </c>
      <c r="P343" s="443">
        <f t="shared" si="158"/>
        <v>5</v>
      </c>
      <c r="Q343" s="443">
        <f t="shared" si="158"/>
        <v>6</v>
      </c>
      <c r="R343" s="443" t="str">
        <f t="shared" si="158"/>
        <v/>
      </c>
      <c r="S343" s="443" t="str">
        <f t="shared" si="158"/>
        <v/>
      </c>
      <c r="T343" s="443" t="str">
        <f t="shared" si="158"/>
        <v/>
      </c>
      <c r="U343" s="379"/>
    </row>
    <row r="344" spans="1:22" s="326" customFormat="1" ht="12" hidden="1" customHeight="1" outlineLevel="1" x14ac:dyDescent="0.25">
      <c r="A344" s="316"/>
      <c r="B344" s="307" t="s">
        <v>18</v>
      </c>
      <c r="C344" s="304" t="s">
        <v>20</v>
      </c>
      <c r="D344" s="439">
        <f>IF(K344=0,ROUNDDOWN(MASPTAP*0.5,0),K344)</f>
        <v>5</v>
      </c>
      <c r="E344" s="445" t="str">
        <f>IF(D344&lt;&gt;SUM(L344:P344),"NO","SI")</f>
        <v>NO</v>
      </c>
      <c r="K344" s="903">
        <v>5</v>
      </c>
      <c r="L344" s="442"/>
      <c r="M344" s="442"/>
      <c r="N344" s="442"/>
      <c r="O344" s="442"/>
      <c r="P344" s="442"/>
      <c r="Q344" s="442"/>
      <c r="R344" s="342"/>
      <c r="S344" s="342"/>
      <c r="T344" s="342"/>
      <c r="U344" s="342"/>
    </row>
    <row r="345" spans="1:22" s="307" customFormat="1" ht="25.35" hidden="1" customHeight="1" outlineLevel="1" x14ac:dyDescent="0.25">
      <c r="A345" s="446" t="str">
        <f>VLOOKUP(B345,'C UNIT PROG TÉCNICOS'!$B$8:$H$108,7,FALSE)</f>
        <v>CAPEX</v>
      </c>
      <c r="B345" s="367" t="s">
        <v>75</v>
      </c>
      <c r="C345" s="304" t="s">
        <v>20</v>
      </c>
      <c r="D345" s="304" t="s">
        <v>19</v>
      </c>
      <c r="I345" s="314"/>
      <c r="J345" s="314"/>
      <c r="K345" s="314"/>
      <c r="L345" s="362">
        <v>0</v>
      </c>
      <c r="M345" s="362">
        <v>0</v>
      </c>
      <c r="N345" s="362">
        <v>0</v>
      </c>
      <c r="O345" s="362">
        <v>0</v>
      </c>
      <c r="P345" s="362">
        <v>0</v>
      </c>
      <c r="Q345" s="362">
        <v>0</v>
      </c>
      <c r="R345" s="362"/>
      <c r="S345" s="362"/>
      <c r="T345" s="362"/>
      <c r="U345" s="314"/>
    </row>
    <row r="346" spans="1:22" s="307" customFormat="1" ht="25.35" hidden="1" customHeight="1" outlineLevel="1" x14ac:dyDescent="0.25">
      <c r="A346" s="446" t="str">
        <f>VLOOKUP(B346,'C UNIT PROG TÉCNICOS'!$B$8:$H$108,7,FALSE)</f>
        <v>CAPEX</v>
      </c>
      <c r="B346" s="367" t="s">
        <v>76</v>
      </c>
      <c r="C346" s="304" t="s">
        <v>20</v>
      </c>
      <c r="D346" s="304" t="s">
        <v>19</v>
      </c>
      <c r="I346" s="314"/>
      <c r="J346" s="314"/>
      <c r="K346" s="314"/>
      <c r="L346" s="362">
        <v>0</v>
      </c>
      <c r="M346" s="362">
        <v>0</v>
      </c>
      <c r="N346" s="362">
        <v>0</v>
      </c>
      <c r="O346" s="362">
        <v>0</v>
      </c>
      <c r="P346" s="362">
        <v>0</v>
      </c>
      <c r="Q346" s="362">
        <v>3</v>
      </c>
      <c r="R346" s="362"/>
      <c r="S346" s="362"/>
      <c r="T346" s="362"/>
      <c r="U346" s="314"/>
    </row>
    <row r="347" spans="1:22" s="307" customFormat="1" ht="25.35" hidden="1" customHeight="1" outlineLevel="1" x14ac:dyDescent="0.25">
      <c r="A347" s="446" t="str">
        <f>VLOOKUP(B347,'C UNIT PROG TÉCNICOS'!$B$8:$H$108,7,FALSE)</f>
        <v>CAPEX</v>
      </c>
      <c r="B347" s="367" t="s">
        <v>37</v>
      </c>
      <c r="C347" s="304" t="s">
        <v>20</v>
      </c>
      <c r="D347" s="304" t="s">
        <v>19</v>
      </c>
      <c r="I347" s="314"/>
      <c r="J347" s="314"/>
      <c r="K347" s="314"/>
      <c r="L347" s="362">
        <v>1</v>
      </c>
      <c r="M347" s="362">
        <v>0</v>
      </c>
      <c r="N347" s="362">
        <v>1</v>
      </c>
      <c r="O347" s="362">
        <v>0</v>
      </c>
      <c r="P347" s="362">
        <v>0</v>
      </c>
      <c r="Q347" s="362">
        <v>0</v>
      </c>
      <c r="R347" s="362"/>
      <c r="S347" s="362"/>
      <c r="T347" s="362"/>
      <c r="U347" s="314"/>
    </row>
    <row r="348" spans="1:22" s="307" customFormat="1" ht="25.35" hidden="1" customHeight="1" outlineLevel="1" x14ac:dyDescent="0.25">
      <c r="A348" s="446" t="str">
        <f>VLOOKUP(B348,'C UNIT PROG TÉCNICOS'!$B$8:$H$108,7,FALSE)</f>
        <v>CAPEX</v>
      </c>
      <c r="B348" s="367" t="s">
        <v>49</v>
      </c>
      <c r="C348" s="304" t="s">
        <v>20</v>
      </c>
      <c r="D348" s="304" t="s">
        <v>19</v>
      </c>
      <c r="I348" s="314"/>
      <c r="J348" s="314"/>
      <c r="K348" s="314"/>
      <c r="L348" s="362">
        <v>0</v>
      </c>
      <c r="M348" s="362">
        <v>0</v>
      </c>
      <c r="N348" s="362">
        <v>0</v>
      </c>
      <c r="O348" s="362">
        <v>0</v>
      </c>
      <c r="P348" s="362">
        <v>0</v>
      </c>
      <c r="Q348" s="362">
        <v>0</v>
      </c>
      <c r="R348" s="362"/>
      <c r="S348" s="362"/>
      <c r="T348" s="362"/>
      <c r="U348" s="314"/>
    </row>
    <row r="349" spans="1:22" s="307" customFormat="1" ht="12" hidden="1" customHeight="1" outlineLevel="1" x14ac:dyDescent="0.25">
      <c r="A349" s="316"/>
      <c r="B349" s="307" t="s">
        <v>742</v>
      </c>
      <c r="D349" s="447" t="str">
        <f>IF(AND(A346="CAPEX",A347="CAPEX",A348="CAPEX",A345="CAPEX"),"Inversión",IF(AND(A346="OPEX",A347="OPEX",A348="OPEX",A345="OPEX"),"Operación","I/O"))</f>
        <v>Inversión</v>
      </c>
      <c r="I349" s="370"/>
      <c r="J349" s="370"/>
      <c r="K349" s="371" t="s">
        <v>149</v>
      </c>
      <c r="L349" s="371" t="s">
        <v>8</v>
      </c>
      <c r="M349" s="371" t="s">
        <v>8</v>
      </c>
      <c r="N349" s="371" t="s">
        <v>8</v>
      </c>
      <c r="O349" s="371" t="s">
        <v>8</v>
      </c>
      <c r="P349" s="371" t="s">
        <v>8</v>
      </c>
      <c r="Q349" s="371" t="s">
        <v>8</v>
      </c>
      <c r="R349" s="371" t="s">
        <v>149</v>
      </c>
      <c r="S349" s="371" t="s">
        <v>149</v>
      </c>
      <c r="T349" s="371" t="s">
        <v>149</v>
      </c>
      <c r="U349" s="338"/>
      <c r="V349" s="391" t="s">
        <v>149</v>
      </c>
    </row>
    <row r="350" spans="1:22" s="307" customFormat="1" ht="12" hidden="1" customHeight="1" outlineLevel="1" x14ac:dyDescent="0.25">
      <c r="A350" s="316"/>
      <c r="B350" s="307" t="s">
        <v>762</v>
      </c>
      <c r="C350" s="304"/>
      <c r="D350" s="304"/>
      <c r="K350" s="448">
        <f>IF(K349="N/A",0,IF(K349="SI",0,IF(OR($D349="I/O",$D349="Inversión"),0,SUM(VLOOKUP($B345,'C UNIT PROG TÉCNICOS'!$B$8:$G$160,6,FALSE)*'EV PROG TÉCNICOS'!K345,VLOOKUP($B346,'C UNIT PROG TÉCNICOS'!$B$8:$G$160,6,FALSE)*'EV PROG TÉCNICOS'!K346,VLOOKUP($B347,'C UNIT PROG TÉCNICOS'!$B$8:$G$160,6,FALSE)*'EV PROG TÉCNICOS'!K347,VLOOKUP($B348,'C UNIT PROG TÉCNICOS'!$B$8:$G$160,6,FALSE)*'EV PROG TÉCNICOS'!K348))))</f>
        <v>0</v>
      </c>
      <c r="L350" s="448">
        <f>IF(L349="N/A",0,IF(L349="SI",0,IF(OR($D349="I/O",$D349="Inversión"),0,SUM(VLOOKUP($B345,'C UNIT PROG TÉCNICOS'!$B$8:$G$160,6,FALSE)*'EV PROG TÉCNICOS'!L345,VLOOKUP($B346,'C UNIT PROG TÉCNICOS'!$B$8:$G$160,6,FALSE)*'EV PROG TÉCNICOS'!L346,VLOOKUP($B347,'C UNIT PROG TÉCNICOS'!$B$8:$G$160,6,FALSE)*'EV PROG TÉCNICOS'!L347,VLOOKUP($B348,'C UNIT PROG TÉCNICOS'!$B$8:$G$160,6,FALSE)*'EV PROG TÉCNICOS'!L348))))</f>
        <v>0</v>
      </c>
      <c r="M350" s="448">
        <f>IF(M349="N/A",0,IF(M349="SI",0,IF(OR($D349="I/O",$D349="Inversión"),0,SUM(VLOOKUP($B345,'C UNIT PROG TÉCNICOS'!$B$8:$G$160,6,FALSE)*'EV PROG TÉCNICOS'!M345,VLOOKUP($B346,'C UNIT PROG TÉCNICOS'!$B$8:$G$160,6,FALSE)*'EV PROG TÉCNICOS'!M346,VLOOKUP($B347,'C UNIT PROG TÉCNICOS'!$B$8:$G$160,6,FALSE)*'EV PROG TÉCNICOS'!M347,VLOOKUP($B348,'C UNIT PROG TÉCNICOS'!$B$8:$G$160,6,FALSE)*'EV PROG TÉCNICOS'!M348))))</f>
        <v>0</v>
      </c>
      <c r="N350" s="448">
        <f>IF(N349="N/A",0,IF(N349="SI",0,IF(OR($D349="I/O",$D349="Inversión"),0,SUM(VLOOKUP($B345,'C UNIT PROG TÉCNICOS'!$B$8:$G$160,6,FALSE)*'EV PROG TÉCNICOS'!N345,VLOOKUP($B346,'C UNIT PROG TÉCNICOS'!$B$8:$G$160,6,FALSE)*'EV PROG TÉCNICOS'!N346,VLOOKUP($B347,'C UNIT PROG TÉCNICOS'!$B$8:$G$160,6,FALSE)*'EV PROG TÉCNICOS'!N347,VLOOKUP($B348,'C UNIT PROG TÉCNICOS'!$B$8:$G$160,6,FALSE)*'EV PROG TÉCNICOS'!N348))))</f>
        <v>0</v>
      </c>
      <c r="O350" s="448">
        <f>IF(O349="N/A",0,IF(O349="SI",0,IF(OR($D349="I/O",$D349="Inversión"),0,SUM(VLOOKUP($B345,'C UNIT PROG TÉCNICOS'!$B$8:$G$160,6,FALSE)*'EV PROG TÉCNICOS'!O345,VLOOKUP($B346,'C UNIT PROG TÉCNICOS'!$B$8:$G$160,6,FALSE)*'EV PROG TÉCNICOS'!O346,VLOOKUP($B347,'C UNIT PROG TÉCNICOS'!$B$8:$G$160,6,FALSE)*'EV PROG TÉCNICOS'!O347,VLOOKUP($B348,'C UNIT PROG TÉCNICOS'!$B$8:$G$160,6,FALSE)*'EV PROG TÉCNICOS'!O348))))</f>
        <v>0</v>
      </c>
      <c r="P350" s="448">
        <f>IF(P349="N/A",0,IF(P349="SI",0,IF(OR($D349="I/O",$D349="Inversión"),0,SUM(VLOOKUP($B345,'C UNIT PROG TÉCNICOS'!$B$8:$G$160,6,FALSE)*'EV PROG TÉCNICOS'!P345,VLOOKUP($B346,'C UNIT PROG TÉCNICOS'!$B$8:$G$160,6,FALSE)*'EV PROG TÉCNICOS'!P346,VLOOKUP($B347,'C UNIT PROG TÉCNICOS'!$B$8:$G$160,6,FALSE)*'EV PROG TÉCNICOS'!P347,VLOOKUP($B348,'C UNIT PROG TÉCNICOS'!$B$8:$G$160,6,FALSE)*'EV PROG TÉCNICOS'!P348))))</f>
        <v>0</v>
      </c>
      <c r="Q350" s="338"/>
      <c r="R350" s="338"/>
      <c r="S350" s="338"/>
      <c r="T350" s="338"/>
      <c r="U350" s="338"/>
    </row>
    <row r="351" spans="1:22" s="307" customFormat="1" ht="12" hidden="1" customHeight="1" outlineLevel="1" x14ac:dyDescent="0.25">
      <c r="A351" s="316"/>
      <c r="B351" s="307" t="s">
        <v>763</v>
      </c>
      <c r="C351" s="304" t="s">
        <v>6</v>
      </c>
      <c r="D351" s="304"/>
      <c r="K351" s="450">
        <f t="shared" ref="K351:P351" si="159">IF(K349="N/A",0,IF(K349="SI",0,K$21*K350))</f>
        <v>0</v>
      </c>
      <c r="L351" s="450">
        <f t="shared" si="159"/>
        <v>0</v>
      </c>
      <c r="M351" s="450">
        <f t="shared" si="159"/>
        <v>0</v>
      </c>
      <c r="N351" s="450">
        <f t="shared" si="159"/>
        <v>0</v>
      </c>
      <c r="O351" s="450">
        <f t="shared" si="159"/>
        <v>0</v>
      </c>
      <c r="P351" s="450">
        <f t="shared" si="159"/>
        <v>0</v>
      </c>
      <c r="Q351" s="338"/>
      <c r="R351" s="338"/>
      <c r="S351" s="338"/>
      <c r="T351" s="338"/>
      <c r="U351" s="338"/>
    </row>
    <row r="352" spans="1:22" s="307" customFormat="1" ht="12" hidden="1" customHeight="1" outlineLevel="1" x14ac:dyDescent="0.25">
      <c r="A352" s="316"/>
      <c r="B352" s="307" t="s">
        <v>764</v>
      </c>
      <c r="C352" s="304" t="s">
        <v>6</v>
      </c>
      <c r="D352" s="304"/>
      <c r="K352" s="450">
        <f>IF(K349="N/A",0,IF(K349="SI",0,IF(OR($D349="Inversión",$D349="I/O"),SUM(VLOOKUP($B345,'C UNIT PROG TÉCNICOS'!$B$8:$G$160,5,FALSE)*'EV PROG TÉCNICOS'!K345,VLOOKUP($B346,'C UNIT PROG TÉCNICOS'!$B$8:$G$160,5,FALSE)*'EV PROG TÉCNICOS'!K346,VLOOKUP($B347,'C UNIT PROG TÉCNICOS'!$B$8:$G$160,5,FALSE)*'EV PROG TÉCNICOS'!K347,VLOOKUP($B348,'C UNIT PROG TÉCNICOS'!$B$8:$G$160,5,FALSE)*'EV PROG TÉCNICOS'!K348),0)))</f>
        <v>0</v>
      </c>
      <c r="L352" s="450">
        <f>IF(L349="N/A",0,IF(L349="SI",0,IF(OR($D349="Inversión",$D349="I/O"),SUM(VLOOKUP($B345,'C UNIT PROG TÉCNICOS'!$B$8:$G$160,5,FALSE)*'EV PROG TÉCNICOS'!L345,VLOOKUP($B346,'C UNIT PROG TÉCNICOS'!$B$8:$G$160,5,FALSE)*'EV PROG TÉCNICOS'!L346,VLOOKUP($B347,'C UNIT PROG TÉCNICOS'!$B$8:$G$160,5,FALSE)*'EV PROG TÉCNICOS'!L347,VLOOKUP($B348,'C UNIT PROG TÉCNICOS'!$B$8:$G$160,5,FALSE)*'EV PROG TÉCNICOS'!L348),0))*((1+$D$24)^(L$3-$K$3)))</f>
        <v>38448152.589211166</v>
      </c>
      <c r="M352" s="450">
        <f>IF(M349="N/A",0,IF(M349="SI",0,IF(OR($D349="Inversión",$D349="I/O"),SUM(VLOOKUP($B345,'C UNIT PROG TÉCNICOS'!$B$8:$G$160,5,FALSE)*'EV PROG TÉCNICOS'!M345,VLOOKUP($B346,'C UNIT PROG TÉCNICOS'!$B$8:$G$160,5,FALSE)*'EV PROG TÉCNICOS'!M346,VLOOKUP($B347,'C UNIT PROG TÉCNICOS'!$B$8:$G$160,5,FALSE)*'EV PROG TÉCNICOS'!M347,VLOOKUP($B348,'C UNIT PROG TÉCNICOS'!$B$8:$G$160,5,FALSE)*'EV PROG TÉCNICOS'!M348),0))*((1+$D$24)^(M$3-$K$3)))</f>
        <v>0</v>
      </c>
      <c r="N352" s="450">
        <f>IF(N349="N/A",0,IF(N349="SI",0,IF(OR($D349="Inversión",$D349="I/O"),SUM(VLOOKUP($B345,'C UNIT PROG TÉCNICOS'!$B$8:$G$160,5,FALSE)*'EV PROG TÉCNICOS'!N345,VLOOKUP($B346,'C UNIT PROG TÉCNICOS'!$B$8:$G$160,5,FALSE)*'EV PROG TÉCNICOS'!N346,VLOOKUP($B347,'C UNIT PROG TÉCNICOS'!$B$8:$G$160,5,FALSE)*'EV PROG TÉCNICOS'!N347,VLOOKUP($B348,'C UNIT PROG TÉCNICOS'!$B$8:$G$160,5,FALSE)*'EV PROG TÉCNICOS'!N348),0))*((1+$D$24)^(N$3-$K$3)))</f>
        <v>41234059.020898953</v>
      </c>
      <c r="O352" s="450">
        <f>IF(O349="N/A",0,IF(O349="SI",0,IF(OR($D349="Inversión",$D349="I/O"),SUM(VLOOKUP($B345,'C UNIT PROG TÉCNICOS'!$B$8:$G$160,5,FALSE)*'EV PROG TÉCNICOS'!O345,VLOOKUP($B346,'C UNIT PROG TÉCNICOS'!$B$8:$G$160,5,FALSE)*'EV PROG TÉCNICOS'!O346,VLOOKUP($B347,'C UNIT PROG TÉCNICOS'!$B$8:$G$160,5,FALSE)*'EV PROG TÉCNICOS'!O347,VLOOKUP($B348,'C UNIT PROG TÉCNICOS'!$B$8:$G$160,5,FALSE)*'EV PROG TÉCNICOS'!O348),0))*((1+$D$24)^(O$3-$K$3)))</f>
        <v>0</v>
      </c>
      <c r="P352" s="450">
        <f>IF(P349="N/A",0,IF(P349="SI",0,IF(OR($D349="Inversión",$D349="I/O"),SUM(VLOOKUP($B345,'C UNIT PROG TÉCNICOS'!$B$8:$G$160,5,FALSE)*'EV PROG TÉCNICOS'!P345,VLOOKUP($B346,'C UNIT PROG TÉCNICOS'!$B$8:$G$160,5,FALSE)*'EV PROG TÉCNICOS'!P346,VLOOKUP($B347,'C UNIT PROG TÉCNICOS'!$B$8:$G$160,5,FALSE)*'EV PROG TÉCNICOS'!P347,VLOOKUP($B348,'C UNIT PROG TÉCNICOS'!$B$8:$G$160,5,FALSE)*'EV PROG TÉCNICOS'!P348),0))*((1+$D$24)^(P$3-$K$3)))</f>
        <v>0</v>
      </c>
      <c r="Q352" s="450">
        <f>IF(Q349="N/A",0,IF(Q349="SI",0,IF(OR($D349="Inversión",$D349="I/O"),SUM(VLOOKUP($B345,'C UNIT PROG TÉCNICOS'!$B$8:$G$160,5,FALSE)*'EV PROG TÉCNICOS'!Q345,VLOOKUP($B346,'C UNIT PROG TÉCNICOS'!$B$8:$G$160,5,FALSE)*'EV PROG TÉCNICOS'!Q346,VLOOKUP($B347,'C UNIT PROG TÉCNICOS'!$B$8:$G$160,5,FALSE)*'EV PROG TÉCNICOS'!Q347,VLOOKUP($B348,'C UNIT PROG TÉCNICOS'!$B$8:$G$160,5,FALSE)*'EV PROG TÉCNICOS'!Q348),0))*((1+$D$24)^(Q$3-$K$3)))</f>
        <v>87939140.403784543</v>
      </c>
      <c r="R352" s="450">
        <f>IF(R349="N/A",0,IF(R349="SI",0,IF(OR($D349="Inversión",$D349="I/O"),SUM(VLOOKUP($B345,'C UNIT PROG TÉCNICOS'!$B$8:$G$160,5,FALSE)*'EV PROG TÉCNICOS'!R345,VLOOKUP($B346,'C UNIT PROG TÉCNICOS'!$B$8:$G$160,5,FALSE)*'EV PROG TÉCNICOS'!R346,VLOOKUP($B347,'C UNIT PROG TÉCNICOS'!$B$8:$G$160,5,FALSE)*'EV PROG TÉCNICOS'!R347,VLOOKUP($B348,'C UNIT PROG TÉCNICOS'!$B$8:$G$160,5,FALSE)*'EV PROG TÉCNICOS'!R348),0))*((1+$D$24)^(R$3-$K$3)))</f>
        <v>0</v>
      </c>
      <c r="S352" s="450">
        <f>IF(S349="N/A",0,IF(S349="SI",0,IF(OR($D349="Inversión",$D349="I/O"),SUM(VLOOKUP($B345,'C UNIT PROG TÉCNICOS'!$B$8:$G$160,5,FALSE)*'EV PROG TÉCNICOS'!S345,VLOOKUP($B346,'C UNIT PROG TÉCNICOS'!$B$8:$G$160,5,FALSE)*'EV PROG TÉCNICOS'!S346,VLOOKUP($B347,'C UNIT PROG TÉCNICOS'!$B$8:$G$160,5,FALSE)*'EV PROG TÉCNICOS'!S347,VLOOKUP($B348,'C UNIT PROG TÉCNICOS'!$B$8:$G$160,5,FALSE)*'EV PROG TÉCNICOS'!S348),0))*((1+$D$24)^(S$3-$K$3)))</f>
        <v>0</v>
      </c>
      <c r="T352" s="450">
        <f>IF(T349="N/A",0,IF(T349="SI",0,IF(OR($D349="Inversión",$D349="I/O"),SUM(VLOOKUP($B345,'C UNIT PROG TÉCNICOS'!$B$8:$G$160,5,FALSE)*'EV PROG TÉCNICOS'!T345,VLOOKUP($B346,'C UNIT PROG TÉCNICOS'!$B$8:$G$160,5,FALSE)*'EV PROG TÉCNICOS'!T346,VLOOKUP($B347,'C UNIT PROG TÉCNICOS'!$B$8:$G$160,5,FALSE)*'EV PROG TÉCNICOS'!T347,VLOOKUP($B348,'C UNIT PROG TÉCNICOS'!$B$8:$G$160,5,FALSE)*'EV PROG TÉCNICOS'!T348),0))*((1+$D$24)^(T$3-$K$3)))</f>
        <v>0</v>
      </c>
      <c r="U352" s="338"/>
    </row>
    <row r="353" spans="1:22" s="376" customFormat="1" ht="15" hidden="1" customHeight="1" outlineLevel="1" x14ac:dyDescent="0.25">
      <c r="A353" s="374"/>
      <c r="B353" s="454" t="str">
        <f>CONCATENATE("VNA  ",B342)</f>
        <v>VNA  Reemplazo de macromedidores</v>
      </c>
      <c r="C353" s="374" t="s">
        <v>6</v>
      </c>
      <c r="D353" s="453">
        <f>NPV($D$31,L353:U353)+K353</f>
        <v>94876496.106852502</v>
      </c>
      <c r="K353" s="452">
        <f t="shared" ref="K353:T353" si="160">IF(K350="N/A",0,IF($D349="Operación",K351,K352))</f>
        <v>0</v>
      </c>
      <c r="L353" s="452">
        <f t="shared" si="160"/>
        <v>38448152.589211166</v>
      </c>
      <c r="M353" s="452">
        <f t="shared" si="160"/>
        <v>0</v>
      </c>
      <c r="N353" s="452">
        <f t="shared" si="160"/>
        <v>41234059.020898953</v>
      </c>
      <c r="O353" s="452">
        <f t="shared" si="160"/>
        <v>0</v>
      </c>
      <c r="P353" s="452">
        <f t="shared" si="160"/>
        <v>0</v>
      </c>
      <c r="Q353" s="452">
        <f t="shared" si="160"/>
        <v>87939140.403784543</v>
      </c>
      <c r="R353" s="452">
        <f t="shared" si="160"/>
        <v>0</v>
      </c>
      <c r="S353" s="452">
        <f t="shared" si="160"/>
        <v>0</v>
      </c>
      <c r="T353" s="452">
        <f t="shared" si="160"/>
        <v>0</v>
      </c>
      <c r="U353" s="338"/>
      <c r="V353" s="297"/>
    </row>
    <row r="354" spans="1:22" s="393" customFormat="1" ht="15" hidden="1" customHeight="1" outlineLevel="1" x14ac:dyDescent="0.25">
      <c r="A354" s="374"/>
      <c r="B354" s="454" t="str">
        <f>CONCATENATE("Volumen de agua recuperado ",B342)</f>
        <v>Volumen de agua recuperado Reemplazo de macromedidores</v>
      </c>
      <c r="C354" s="374" t="s">
        <v>106</v>
      </c>
      <c r="D354" s="392"/>
      <c r="K354" s="378"/>
      <c r="L354" s="378"/>
      <c r="M354" s="378"/>
      <c r="N354" s="378"/>
      <c r="O354" s="378"/>
      <c r="P354" s="378"/>
      <c r="Q354" s="338"/>
      <c r="R354" s="338"/>
      <c r="S354" s="338"/>
      <c r="T354" s="338"/>
      <c r="U354" s="338"/>
      <c r="V354" s="385"/>
    </row>
    <row r="355" spans="1:22" s="376" customFormat="1" ht="15" hidden="1" customHeight="1" outlineLevel="1" x14ac:dyDescent="0.25">
      <c r="A355" s="374"/>
      <c r="B355" s="376" t="s">
        <v>750</v>
      </c>
      <c r="C355" s="374" t="s">
        <v>6</v>
      </c>
      <c r="D355" s="453">
        <f>NPV($D$31,L355:U355)+K355</f>
        <v>0</v>
      </c>
      <c r="K355" s="452">
        <f t="shared" ref="K355:P355" si="161">IF(OR(K349="N/A",K354=0),0,K354*K$29)</f>
        <v>0</v>
      </c>
      <c r="L355" s="452">
        <f t="shared" si="161"/>
        <v>0</v>
      </c>
      <c r="M355" s="452">
        <f t="shared" si="161"/>
        <v>0</v>
      </c>
      <c r="N355" s="452">
        <f t="shared" si="161"/>
        <v>0</v>
      </c>
      <c r="O355" s="452">
        <f t="shared" si="161"/>
        <v>0</v>
      </c>
      <c r="P355" s="452">
        <f t="shared" si="161"/>
        <v>0</v>
      </c>
      <c r="Q355" s="338"/>
      <c r="R355" s="338"/>
      <c r="S355" s="338"/>
      <c r="T355" s="338"/>
      <c r="U355" s="338"/>
      <c r="V355" s="297"/>
    </row>
    <row r="356" spans="1:22" s="376" customFormat="1" ht="15" hidden="1" customHeight="1" outlineLevel="1" x14ac:dyDescent="0.25">
      <c r="A356" s="374"/>
      <c r="B356" s="376" t="s">
        <v>751</v>
      </c>
      <c r="C356" s="374"/>
      <c r="D356" s="455">
        <f>IFERROR(ROUND(IF(D355/D353=0,0,D355/D353),2),0)</f>
        <v>0</v>
      </c>
      <c r="K356" s="452">
        <f t="shared" ref="K356:U356" si="162">IF(OR(K349="N/A",K355=0),0,K355*K$29)</f>
        <v>0</v>
      </c>
      <c r="L356" s="452">
        <f t="shared" si="162"/>
        <v>0</v>
      </c>
      <c r="M356" s="452">
        <f t="shared" si="162"/>
        <v>0</v>
      </c>
      <c r="N356" s="452">
        <f t="shared" si="162"/>
        <v>0</v>
      </c>
      <c r="O356" s="452">
        <f t="shared" si="162"/>
        <v>0</v>
      </c>
      <c r="P356" s="452">
        <f t="shared" si="162"/>
        <v>0</v>
      </c>
      <c r="Q356" s="452">
        <f t="shared" si="162"/>
        <v>0</v>
      </c>
      <c r="R356" s="452">
        <f t="shared" si="162"/>
        <v>0</v>
      </c>
      <c r="S356" s="452">
        <f t="shared" si="162"/>
        <v>0</v>
      </c>
      <c r="T356" s="452">
        <f t="shared" si="162"/>
        <v>0</v>
      </c>
      <c r="U356" s="452">
        <f t="shared" si="162"/>
        <v>0</v>
      </c>
    </row>
    <row r="357" spans="1:22" s="307" customFormat="1" ht="12" collapsed="1" x14ac:dyDescent="0.25">
      <c r="A357" s="304"/>
    </row>
    <row r="358" spans="1:22" s="355" customFormat="1" ht="20.100000000000001" customHeight="1" thickBot="1" x14ac:dyDescent="0.3">
      <c r="A358" s="323">
        <v>2</v>
      </c>
      <c r="B358" s="1730" t="s">
        <v>32</v>
      </c>
      <c r="C358" s="1730"/>
      <c r="D358" s="1730"/>
      <c r="E358" s="1730"/>
      <c r="F358" s="1730"/>
      <c r="G358" s="1730"/>
      <c r="H358" s="1730"/>
      <c r="I358" s="1730"/>
      <c r="J358" s="1730"/>
      <c r="K358" s="1730"/>
      <c r="L358" s="1730"/>
      <c r="M358" s="1730"/>
      <c r="N358" s="1730"/>
      <c r="O358" s="1730"/>
      <c r="P358" s="1730"/>
      <c r="Q358" s="1730"/>
      <c r="R358" s="1730"/>
      <c r="S358" s="1730"/>
      <c r="T358" s="1730"/>
      <c r="U358" s="1730"/>
    </row>
    <row r="359" spans="1:22" s="357" customFormat="1" ht="15.75" x14ac:dyDescent="0.25">
      <c r="A359" s="356">
        <v>2.1</v>
      </c>
      <c r="B359" s="317" t="s">
        <v>87</v>
      </c>
      <c r="C359" s="317"/>
      <c r="D359" s="317"/>
      <c r="E359" s="317"/>
      <c r="F359" s="317"/>
      <c r="G359" s="317"/>
      <c r="H359" s="317"/>
      <c r="I359" s="317"/>
      <c r="J359" s="317"/>
      <c r="K359" s="317"/>
      <c r="L359" s="317"/>
      <c r="M359" s="317"/>
      <c r="N359" s="317"/>
      <c r="O359" s="317"/>
      <c r="P359" s="317"/>
      <c r="Q359" s="317"/>
      <c r="R359" s="317"/>
      <c r="S359" s="317"/>
      <c r="T359" s="317"/>
      <c r="U359" s="317"/>
    </row>
    <row r="360" spans="1:22" s="307" customFormat="1" ht="12" customHeight="1" outlineLevel="1" x14ac:dyDescent="0.25">
      <c r="A360" s="380" t="s">
        <v>117</v>
      </c>
      <c r="B360" s="358" t="s">
        <v>910</v>
      </c>
      <c r="C360" s="359"/>
      <c r="D360" s="359"/>
      <c r="E360" s="359"/>
      <c r="F360" s="359"/>
      <c r="G360" s="359"/>
      <c r="H360" s="359"/>
      <c r="I360" s="359"/>
      <c r="J360" s="359"/>
      <c r="K360" s="359"/>
      <c r="L360" s="359"/>
      <c r="M360" s="359"/>
      <c r="N360" s="359"/>
      <c r="O360" s="359"/>
      <c r="P360" s="359"/>
      <c r="Q360" s="359"/>
      <c r="R360" s="359"/>
      <c r="S360" s="359"/>
      <c r="T360" s="359"/>
      <c r="U360" s="359"/>
    </row>
    <row r="361" spans="1:22" s="364" customFormat="1" ht="15" customHeight="1" outlineLevel="1" x14ac:dyDescent="0.25">
      <c r="A361" s="394"/>
      <c r="B361" s="364" t="s">
        <v>124</v>
      </c>
      <c r="C361" s="394" t="s">
        <v>11</v>
      </c>
      <c r="D361" s="444">
        <f>COUNT(L361:U361)</f>
        <v>5</v>
      </c>
      <c r="K361" s="365">
        <v>0</v>
      </c>
      <c r="L361" s="443">
        <f>IF(L369="N/A","",K361+1)</f>
        <v>1</v>
      </c>
      <c r="M361" s="443">
        <f t="shared" ref="M361:U361" si="163">IF(M369="N/A","",L361+1)</f>
        <v>2</v>
      </c>
      <c r="N361" s="443">
        <f t="shared" si="163"/>
        <v>3</v>
      </c>
      <c r="O361" s="443">
        <f t="shared" si="163"/>
        <v>4</v>
      </c>
      <c r="P361" s="443">
        <f t="shared" si="163"/>
        <v>5</v>
      </c>
      <c r="Q361" s="443"/>
      <c r="R361" s="443" t="str">
        <f t="shared" si="163"/>
        <v/>
      </c>
      <c r="S361" s="443" t="str">
        <f t="shared" si="163"/>
        <v/>
      </c>
      <c r="T361" s="443" t="str">
        <f t="shared" si="163"/>
        <v/>
      </c>
      <c r="U361" s="443" t="str">
        <f t="shared" si="163"/>
        <v/>
      </c>
    </row>
    <row r="362" spans="1:22" s="326" customFormat="1" ht="27.2" customHeight="1" outlineLevel="1" x14ac:dyDescent="0.25">
      <c r="B362" s="395" t="s">
        <v>1040</v>
      </c>
      <c r="C362" s="304"/>
      <c r="D362" s="442">
        <f>D363+D364</f>
        <v>71</v>
      </c>
      <c r="J362" s="361"/>
      <c r="K362" s="442"/>
      <c r="L362" s="442"/>
      <c r="M362" s="442"/>
      <c r="N362" s="442"/>
      <c r="O362" s="442"/>
      <c r="P362" s="442"/>
      <c r="Q362" s="442"/>
      <c r="R362" s="442">
        <f>IF(R369="N/A",0,$D362)</f>
        <v>0</v>
      </c>
      <c r="S362" s="442">
        <f>IF(S369="N/A",0,$D362)</f>
        <v>0</v>
      </c>
      <c r="T362" s="442">
        <f>IF(T369="N/A",0,$D362)</f>
        <v>0</v>
      </c>
      <c r="U362" s="442">
        <f>IF(U369="N/A",0,$D362)</f>
        <v>0</v>
      </c>
    </row>
    <row r="363" spans="1:22" s="307" customFormat="1" ht="12" customHeight="1" outlineLevel="1" x14ac:dyDescent="0.25">
      <c r="A363" s="316"/>
      <c r="B363" s="307" t="s">
        <v>1</v>
      </c>
      <c r="C363" s="304" t="s">
        <v>20</v>
      </c>
      <c r="D363" s="360">
        <v>31</v>
      </c>
      <c r="J363" s="342"/>
      <c r="K363" s="439">
        <f>$D363</f>
        <v>31</v>
      </c>
      <c r="L363" s="439">
        <f>IF(IFERROR(K363+L365,0)&gt;$D$362,0,IFERROR(K363+L365,0))</f>
        <v>37</v>
      </c>
      <c r="M363" s="439">
        <f>IF(IFERROR(L363+M365,0)&gt;$D$362,0,IFERROR(L363+M365,0))</f>
        <v>45</v>
      </c>
      <c r="N363" s="439">
        <f>IF(IFERROR(M363+N365,0)&gt;$D$362,0,IFERROR(M363+N365,0))</f>
        <v>54</v>
      </c>
      <c r="O363" s="439">
        <f>IF(IFERROR(N363+O365,0)&gt;$D$362,0,IFERROR(N363+O365,0))</f>
        <v>64</v>
      </c>
      <c r="P363" s="439">
        <f>IF(IFERROR(O363+P365,0)&gt;$D$362,0,IFERROR(O363+P365,0))</f>
        <v>71</v>
      </c>
      <c r="Q363" s="439"/>
      <c r="R363" s="439"/>
      <c r="S363" s="439">
        <f>IF(IFERROR(R363+S365,0)=$D$362,0,IFERROR(R363+S365,0))</f>
        <v>0</v>
      </c>
      <c r="T363" s="439">
        <f>IF(IFERROR(S363+T365,0)=$D$362,0,IFERROR(S363+T365,0))</f>
        <v>0</v>
      </c>
      <c r="U363" s="439">
        <f>IF(IFERROR(T363+U365,0)=$D$362,0,IFERROR(T363+U365,0))</f>
        <v>0</v>
      </c>
    </row>
    <row r="364" spans="1:22" s="307" customFormat="1" ht="23.45" customHeight="1" outlineLevel="1" x14ac:dyDescent="0.25">
      <c r="A364" s="316"/>
      <c r="B364" s="395" t="s">
        <v>1038</v>
      </c>
      <c r="C364" s="304" t="s">
        <v>20</v>
      </c>
      <c r="D364" s="360">
        <v>40</v>
      </c>
      <c r="J364" s="342"/>
      <c r="K364" s="439">
        <f>$D364</f>
        <v>40</v>
      </c>
      <c r="L364" s="439">
        <f>IF(IFERROR(L362-L363,0)&lt;0,0,IFERROR(L362-L363,0))</f>
        <v>0</v>
      </c>
      <c r="M364" s="439">
        <f>IF(IFERROR(M362-M363,0)&lt;0,0,IFERROR(M362-M363,0))</f>
        <v>0</v>
      </c>
      <c r="N364" s="439">
        <f>IF(IFERROR(N362-N363,0)&lt;0,0,IFERROR(N362-N363,0))</f>
        <v>0</v>
      </c>
      <c r="O364" s="439">
        <f>IF(IFERROR(O362-O363,0)&lt;0,0,IFERROR(O362-O363,0))</f>
        <v>0</v>
      </c>
      <c r="P364" s="439">
        <f>IF(IFERROR(P362-P363,0)&lt;0,0,IFERROR(P362-P363,0))</f>
        <v>0</v>
      </c>
      <c r="Q364" s="439"/>
      <c r="R364" s="439">
        <f>IF(IFERROR(R362-R363,0)&lt;0,0,IFERROR(R362-R363,0))</f>
        <v>0</v>
      </c>
      <c r="S364" s="439">
        <f>IF(IFERROR(S362-S363,0)&lt;0,0,IFERROR(S362-S363,0))</f>
        <v>0</v>
      </c>
      <c r="T364" s="439">
        <f>IF(IFERROR(T362-T363,0)&lt;0,0,IFERROR(T362-T363,0))</f>
        <v>0</v>
      </c>
      <c r="U364" s="439">
        <f>IF(IFERROR(U362-U363,0)&lt;0,0,IFERROR(U362-U363,0))</f>
        <v>0</v>
      </c>
    </row>
    <row r="365" spans="1:22" s="326" customFormat="1" ht="12" customHeight="1" outlineLevel="1" x14ac:dyDescent="0.25">
      <c r="A365" s="316"/>
      <c r="B365" s="326" t="s">
        <v>25</v>
      </c>
      <c r="C365" s="316" t="s">
        <v>20</v>
      </c>
      <c r="D365" s="445" t="str">
        <f>IF($K364&lt;&gt;SUM(L365:U365),"NO","SI")</f>
        <v>SI</v>
      </c>
      <c r="K365" s="442">
        <f>SUM(K366:K368)</f>
        <v>0</v>
      </c>
      <c r="L365" s="442">
        <f>IF(SUM(L366:L368)=0,0,SUM(L366:L368))</f>
        <v>6</v>
      </c>
      <c r="M365" s="442">
        <f>IF(SUM(M366:M368)=0,0,SUM(M366:M368))</f>
        <v>8</v>
      </c>
      <c r="N365" s="442">
        <f>IF(SUM(N366:N368)=0,0,SUM(N366:N368))</f>
        <v>9</v>
      </c>
      <c r="O365" s="442">
        <f>IF(SUM(O366:O368)=0,0,SUM(O366:O368))</f>
        <v>10</v>
      </c>
      <c r="P365" s="442">
        <f>IF(SUM(P366:P368)=0,0,SUM(P366:P368))</f>
        <v>7</v>
      </c>
      <c r="Q365" s="442"/>
      <c r="R365" s="442">
        <f>IF(SUM(R366:R368)=0,0,SUM(R366:R368))</f>
        <v>0</v>
      </c>
      <c r="S365" s="442">
        <f>IF(SUM(S366:S368)=0,0,SUM(S366:S368))</f>
        <v>0</v>
      </c>
      <c r="T365" s="442">
        <f>IF(SUM(T366:T368)=0,0,SUM(T366:T368))</f>
        <v>0</v>
      </c>
      <c r="U365" s="442">
        <f>IF(SUM(U366:U368)=0,0,SUM(U366:U368))</f>
        <v>0</v>
      </c>
    </row>
    <row r="366" spans="1:22" s="307" customFormat="1" ht="35.1" customHeight="1" outlineLevel="1" x14ac:dyDescent="0.25">
      <c r="A366" s="446" t="str">
        <f>VLOOKUP(B366,'C UNIT PROG TÉCNICOS'!$B$8:$H$108,7,FALSE)</f>
        <v>CAPEX</v>
      </c>
      <c r="B366" s="367" t="s">
        <v>73</v>
      </c>
      <c r="C366" s="304" t="s">
        <v>20</v>
      </c>
      <c r="D366" s="304" t="s">
        <v>19</v>
      </c>
      <c r="I366" s="368"/>
      <c r="J366" s="368"/>
      <c r="K366" s="360">
        <v>0</v>
      </c>
      <c r="L366" s="360">
        <v>5</v>
      </c>
      <c r="M366" s="360">
        <v>4</v>
      </c>
      <c r="N366" s="360">
        <v>4</v>
      </c>
      <c r="O366" s="360">
        <v>0</v>
      </c>
      <c r="P366" s="360">
        <v>1</v>
      </c>
      <c r="Q366" s="362"/>
      <c r="R366" s="362"/>
      <c r="S366" s="362"/>
      <c r="T366" s="362"/>
      <c r="U366" s="362"/>
    </row>
    <row r="367" spans="1:22" s="307" customFormat="1" ht="35.1" customHeight="1" outlineLevel="1" x14ac:dyDescent="0.25">
      <c r="A367" s="446" t="str">
        <f>VLOOKUP(B367,'C UNIT PROG TÉCNICOS'!$B$8:$H$108,7,FALSE)</f>
        <v>CAPEX</v>
      </c>
      <c r="B367" s="367" t="s">
        <v>74</v>
      </c>
      <c r="C367" s="304" t="s">
        <v>20</v>
      </c>
      <c r="D367" s="304" t="s">
        <v>19</v>
      </c>
      <c r="I367" s="369"/>
      <c r="J367" s="369"/>
      <c r="K367" s="360">
        <v>0</v>
      </c>
      <c r="L367" s="360">
        <v>1</v>
      </c>
      <c r="M367" s="360">
        <v>4</v>
      </c>
      <c r="N367" s="360">
        <v>5</v>
      </c>
      <c r="O367" s="360">
        <v>9</v>
      </c>
      <c r="P367" s="360">
        <v>6</v>
      </c>
      <c r="Q367" s="362"/>
      <c r="R367" s="362"/>
      <c r="S367" s="362"/>
      <c r="T367" s="362"/>
      <c r="U367" s="362"/>
    </row>
    <row r="368" spans="1:22" s="307" customFormat="1" ht="35.1" customHeight="1" outlineLevel="1" x14ac:dyDescent="0.25">
      <c r="A368" s="446" t="str">
        <f>VLOOKUP(B368,'C UNIT PROG TÉCNICOS'!$B$8:$H$108,7,FALSE)</f>
        <v>CAPEX</v>
      </c>
      <c r="B368" s="367" t="s">
        <v>36</v>
      </c>
      <c r="C368" s="304" t="s">
        <v>20</v>
      </c>
      <c r="D368" s="304" t="s">
        <v>19</v>
      </c>
      <c r="I368" s="369"/>
      <c r="J368" s="369"/>
      <c r="K368" s="360">
        <v>0</v>
      </c>
      <c r="L368" s="360">
        <v>0</v>
      </c>
      <c r="M368" s="360">
        <v>0</v>
      </c>
      <c r="N368" s="360">
        <v>0</v>
      </c>
      <c r="O368" s="360">
        <v>1</v>
      </c>
      <c r="P368" s="360">
        <v>0</v>
      </c>
      <c r="Q368" s="362"/>
      <c r="R368" s="362"/>
      <c r="S368" s="362"/>
      <c r="T368" s="362"/>
      <c r="U368" s="362"/>
    </row>
    <row r="369" spans="1:22" s="307" customFormat="1" ht="12" customHeight="1" outlineLevel="1" x14ac:dyDescent="0.25">
      <c r="A369" s="316"/>
      <c r="B369" s="307" t="s">
        <v>742</v>
      </c>
      <c r="D369" s="447" t="str">
        <f>IF(AND(A366="CAPEX",A367="CAPEX",A368="CAPEX"),"Inversión",IF(AND(A366="OPEX",A367="OPEX",A368="OPEX"),"Operación","I/O"))</f>
        <v>Inversión</v>
      </c>
      <c r="I369" s="370"/>
      <c r="J369" s="370"/>
      <c r="K369" s="371" t="s">
        <v>8</v>
      </c>
      <c r="L369" s="371" t="s">
        <v>8</v>
      </c>
      <c r="M369" s="371" t="s">
        <v>8</v>
      </c>
      <c r="N369" s="371" t="s">
        <v>8</v>
      </c>
      <c r="O369" s="371" t="s">
        <v>8</v>
      </c>
      <c r="P369" s="371" t="s">
        <v>8</v>
      </c>
      <c r="Q369" s="371" t="s">
        <v>149</v>
      </c>
      <c r="R369" s="371" t="s">
        <v>149</v>
      </c>
      <c r="S369" s="371" t="s">
        <v>149</v>
      </c>
      <c r="T369" s="371" t="s">
        <v>149</v>
      </c>
      <c r="U369" s="371" t="s">
        <v>149</v>
      </c>
    </row>
    <row r="370" spans="1:22" s="307" customFormat="1" ht="12" customHeight="1" outlineLevel="1" x14ac:dyDescent="0.25">
      <c r="A370" s="316"/>
      <c r="B370" s="307" t="s">
        <v>762</v>
      </c>
      <c r="C370" s="304"/>
      <c r="D370" s="304"/>
      <c r="K370" s="448">
        <f>IF(K369="N/A",0,IF(K369="SI",0,IF(OR($D369="I/O",$D369="Inversión"),0,SUM(VLOOKUP($B366,'C UNIT PROG TÉCNICOS'!$B$8:$G$160,6,FALSE)*'EV PROG TÉCNICOS'!K366,VLOOKUP($B367,'C UNIT PROG TÉCNICOS'!$B$8:$G$160,6,FALSE)*'EV PROG TÉCNICOS'!K367,VLOOKUP($B368,'C UNIT PROG TÉCNICOS'!$B$8:$G$160,6,FALSE)*'EV PROG TÉCNICOS'!K368))))</f>
        <v>0</v>
      </c>
      <c r="L370" s="448">
        <f>IF(L369="N/A",0,IF(L369="SI",0,IF(OR($D369="I/O",$D369="Inversión"),0,SUM(VLOOKUP($B366,'C UNIT PROG TÉCNICOS'!$B$8:$G$160,6,FALSE)*'EV PROG TÉCNICOS'!L366,VLOOKUP($B367,'C UNIT PROG TÉCNICOS'!$B$8:$G$160,6,FALSE)*'EV PROG TÉCNICOS'!L367,VLOOKUP($B368,'C UNIT PROG TÉCNICOS'!$B$8:$G$160,6,FALSE)*'EV PROG TÉCNICOS'!L368))))</f>
        <v>0</v>
      </c>
      <c r="M370" s="448">
        <f>IF(M369="N/A",0,IF(M369="SI",0,IF(OR($D369="I/O",$D369="Inversión"),0,SUM(VLOOKUP($B366,'C UNIT PROG TÉCNICOS'!$B$8:$G$160,6,FALSE)*'EV PROG TÉCNICOS'!M366,VLOOKUP($B367,'C UNIT PROG TÉCNICOS'!$B$8:$G$160,6,FALSE)*'EV PROG TÉCNICOS'!M367,VLOOKUP($B368,'C UNIT PROG TÉCNICOS'!$B$8:$G$160,6,FALSE)*'EV PROG TÉCNICOS'!M368))))</f>
        <v>0</v>
      </c>
      <c r="N370" s="448">
        <f>IF(N369="N/A",0,IF(N369="SI",0,IF(OR($D369="I/O",$D369="Inversión"),0,SUM(VLOOKUP($B366,'C UNIT PROG TÉCNICOS'!$B$8:$G$160,6,FALSE)*'EV PROG TÉCNICOS'!N366,VLOOKUP($B367,'C UNIT PROG TÉCNICOS'!$B$8:$G$160,6,FALSE)*'EV PROG TÉCNICOS'!N367,VLOOKUP($B368,'C UNIT PROG TÉCNICOS'!$B$8:$G$160,6,FALSE)*'EV PROG TÉCNICOS'!N368))))</f>
        <v>0</v>
      </c>
      <c r="O370" s="448">
        <f>IF(O369="N/A",0,IF(O369="SI",0,IF(OR($D369="I/O",$D369="Inversión"),0,SUM(VLOOKUP($B366,'C UNIT PROG TÉCNICOS'!$B$8:$G$160,6,FALSE)*'EV PROG TÉCNICOS'!O366,VLOOKUP($B367,'C UNIT PROG TÉCNICOS'!$B$8:$G$160,6,FALSE)*'EV PROG TÉCNICOS'!O367,VLOOKUP($B368,'C UNIT PROG TÉCNICOS'!$B$8:$G$160,6,FALSE)*'EV PROG TÉCNICOS'!O368))))</f>
        <v>0</v>
      </c>
      <c r="P370" s="448">
        <f>IF(P369="N/A",0,IF(P369="SI",0,IF(OR($D369="I/O",$D369="Inversión"),0,SUM(VLOOKUP($B366,'C UNIT PROG TÉCNICOS'!$B$8:$G$160,6,FALSE)*'EV PROG TÉCNICOS'!P366,VLOOKUP($B367,'C UNIT PROG TÉCNICOS'!$B$8:$G$160,6,FALSE)*'EV PROG TÉCNICOS'!P367,VLOOKUP($B368,'C UNIT PROG TÉCNICOS'!$B$8:$G$160,6,FALSE)*'EV PROG TÉCNICOS'!P368))))</f>
        <v>0</v>
      </c>
      <c r="Q370" s="448">
        <f>IF(Q369="N/A",0,IF(Q369="SI",0,IF(OR($D369="I/O",$D369="Inversión"),0,SUM(VLOOKUP($B366,'C UNIT PROG TÉCNICOS'!$B$8:$G$160,6,FALSE)*'EV PROG TÉCNICOS'!Q366,VLOOKUP($B367,'C UNIT PROG TÉCNICOS'!$B$8:$G$160,6,FALSE)*'EV PROG TÉCNICOS'!Q367,VLOOKUP($B368,'C UNIT PROG TÉCNICOS'!$B$8:$G$160,6,FALSE)*'EV PROG TÉCNICOS'!Q368))))</f>
        <v>0</v>
      </c>
      <c r="R370" s="448">
        <f>IF(R369="N/A",0,IF(R369="SI",0,IF(OR($D369="I/O",$D369="Inversión"),0,SUM(VLOOKUP($B366,'C UNIT PROG TÉCNICOS'!$B$8:$G$160,6,FALSE)*'EV PROG TÉCNICOS'!R366,VLOOKUP($B367,'C UNIT PROG TÉCNICOS'!$B$8:$G$160,6,FALSE)*'EV PROG TÉCNICOS'!R367,VLOOKUP($B368,'C UNIT PROG TÉCNICOS'!$B$8:$G$160,6,FALSE)*'EV PROG TÉCNICOS'!R368))))</f>
        <v>0</v>
      </c>
      <c r="S370" s="448">
        <f>IF(S369="N/A",0,IF(S369="SI",0,IF(OR($D369="I/O",$D369="Inversión"),0,SUM(VLOOKUP($B366,'C UNIT PROG TÉCNICOS'!$B$8:$G$160,6,FALSE)*'EV PROG TÉCNICOS'!S366,VLOOKUP($B367,'C UNIT PROG TÉCNICOS'!$B$8:$G$160,6,FALSE)*'EV PROG TÉCNICOS'!S367,VLOOKUP($B368,'C UNIT PROG TÉCNICOS'!$B$8:$G$160,6,FALSE)*'EV PROG TÉCNICOS'!S368))))</f>
        <v>0</v>
      </c>
      <c r="T370" s="448">
        <f>IF(T369="N/A",0,IF(T369="SI",0,IF(OR($D369="I/O",$D369="Inversión"),0,SUM(VLOOKUP($B366,'C UNIT PROG TÉCNICOS'!$B$8:$G$160,6,FALSE)*'EV PROG TÉCNICOS'!T366,VLOOKUP($B367,'C UNIT PROG TÉCNICOS'!$B$8:$G$160,6,FALSE)*'EV PROG TÉCNICOS'!T367,VLOOKUP($B368,'C UNIT PROG TÉCNICOS'!$B$8:$G$160,6,FALSE)*'EV PROG TÉCNICOS'!T368))))</f>
        <v>0</v>
      </c>
      <c r="U370" s="448">
        <f>IF(U369="N/A",0,IF(U369="SI",0,IF(OR($D369="I/O",$D369="Inversión"),0,SUM(VLOOKUP($B366,'C UNIT PROG TÉCNICOS'!$B$8:$G$160,6,FALSE)*'EV PROG TÉCNICOS'!U366,VLOOKUP($B367,'C UNIT PROG TÉCNICOS'!$B$8:$G$160,6,FALSE)*'EV PROG TÉCNICOS'!U367,VLOOKUP($B368,'C UNIT PROG TÉCNICOS'!$B$8:$G$160,6,FALSE)*'EV PROG TÉCNICOS'!U368))))</f>
        <v>0</v>
      </c>
    </row>
    <row r="371" spans="1:22" s="307" customFormat="1" ht="12" customHeight="1" outlineLevel="1" x14ac:dyDescent="0.25">
      <c r="A371" s="316"/>
      <c r="B371" s="307" t="s">
        <v>763</v>
      </c>
      <c r="C371" s="304" t="s">
        <v>6</v>
      </c>
      <c r="D371" s="304"/>
      <c r="K371" s="450">
        <f>IF(K369="N/A",0,IF(K369="SI",0,K$21*K370))</f>
        <v>0</v>
      </c>
      <c r="L371" s="450">
        <f>IF(L369="N/A",0,IF(L369="SI",0,L$21*L370))</f>
        <v>0</v>
      </c>
      <c r="M371" s="450">
        <f t="shared" ref="M371:U371" si="164">IF(M369="N/A",0,IF(M369="SI",0,M$21*M370))</f>
        <v>0</v>
      </c>
      <c r="N371" s="450">
        <f t="shared" si="164"/>
        <v>0</v>
      </c>
      <c r="O371" s="450">
        <f t="shared" si="164"/>
        <v>0</v>
      </c>
      <c r="P371" s="450">
        <f t="shared" si="164"/>
        <v>0</v>
      </c>
      <c r="Q371" s="450">
        <f t="shared" si="164"/>
        <v>0</v>
      </c>
      <c r="R371" s="450">
        <f t="shared" si="164"/>
        <v>0</v>
      </c>
      <c r="S371" s="450">
        <f t="shared" si="164"/>
        <v>0</v>
      </c>
      <c r="T371" s="450">
        <f t="shared" si="164"/>
        <v>0</v>
      </c>
      <c r="U371" s="450">
        <f t="shared" si="164"/>
        <v>0</v>
      </c>
    </row>
    <row r="372" spans="1:22" s="307" customFormat="1" ht="12" customHeight="1" outlineLevel="1" x14ac:dyDescent="0.25">
      <c r="A372" s="316"/>
      <c r="B372" s="307" t="s">
        <v>764</v>
      </c>
      <c r="C372" s="304" t="s">
        <v>6</v>
      </c>
      <c r="D372" s="304"/>
      <c r="K372" s="450">
        <f>IF(K369="N/A",0,IF(K369="SI",0,IF(OR($D369="Inversión",$D369="I/O"),SUM(VLOOKUP($B366,'C UNIT PROG TÉCNICOS'!$B$8:$G$160,5,FALSE)*'EV PROG TÉCNICOS'!K366,VLOOKUP($B367,'C UNIT PROG TÉCNICOS'!$B$8:$G$160,5,FALSE)*'EV PROG TÉCNICOS'!K367,VLOOKUP($B368,'C UNIT PROG TÉCNICOS'!$B$8:$G$160,5,FALSE)*'EV PROG TÉCNICOS'!K368),0)))</f>
        <v>0</v>
      </c>
      <c r="L372" s="450">
        <f>IF(L369="N/A",0,IF(L369="SI",0,IF(OR($D369="Inversión",$D369="I/O"),SUM(VLOOKUP($B366,'C UNIT PROG TÉCNICOS'!$B$8:$G$160,5,FALSE)*'EV PROG TÉCNICOS'!L366,VLOOKUP($B367,'C UNIT PROG TÉCNICOS'!$B$8:$G$160,5,FALSE)*'EV PROG TÉCNICOS'!L367,VLOOKUP($B368,'C UNIT PROG TÉCNICOS'!$B$8:$G$160,5,FALSE)*'EV PROG TÉCNICOS'!L368),0))*((1+$D$24)^(L$3-$K$3)))</f>
        <v>131751463.21682972</v>
      </c>
      <c r="M372" s="450">
        <f>IF(M369="N/A",0,IF(M369="SI",0,IF(OR($D369="Inversión",$D369="I/O"),SUM(VLOOKUP($B366,'C UNIT PROG TÉCNICOS'!$B$8:$G$160,5,FALSE)*'EV PROG TÉCNICOS'!M366,VLOOKUP($B367,'C UNIT PROG TÉCNICOS'!$B$8:$G$160,5,FALSE)*'EV PROG TÉCNICOS'!M367,VLOOKUP($B368,'C UNIT PROG TÉCNICOS'!$B$8:$G$160,5,FALSE)*'EV PROG TÉCNICOS'!M368),0))*((1+$D$24)^(M$3-$K$3)))</f>
        <v>195943577.73187208</v>
      </c>
      <c r="N372" s="450">
        <f>IF(N369="N/A",0,IF(N369="SI",0,IF(OR($D369="Inversión",$D369="I/O"),SUM(VLOOKUP($B366,'C UNIT PROG TÉCNICOS'!$B$8:$G$160,5,FALSE)*'EV PROG TÉCNICOS'!N366,VLOOKUP($B367,'C UNIT PROG TÉCNICOS'!$B$8:$G$160,5,FALSE)*'EV PROG TÉCNICOS'!N367,VLOOKUP($B368,'C UNIT PROG TÉCNICOS'!$B$8:$G$160,5,FALSE)*'EV PROG TÉCNICOS'!N368),0))*((1+$D$24)^(N$3-$K$3)))</f>
        <v>231005841.18510884</v>
      </c>
      <c r="O372" s="450">
        <f>IF(O369="N/A",0,IF(O369="SI",0,IF(OR($D369="Inversión",$D369="I/O"),SUM(VLOOKUP($B366,'C UNIT PROG TÉCNICOS'!$B$8:$G$160,5,FALSE)*'EV PROG TÉCNICOS'!O366,VLOOKUP($B367,'C UNIT PROG TÉCNICOS'!$B$8:$G$160,5,FALSE)*'EV PROG TÉCNICOS'!O367,VLOOKUP($B368,'C UNIT PROG TÉCNICOS'!$B$8:$G$160,5,FALSE)*'EV PROG TÉCNICOS'!O368),0))*((1+$D$24)^(O$3-$K$3)))</f>
        <v>324476218.12427497</v>
      </c>
      <c r="P372" s="450">
        <f>IF(P369="N/A",0,IF(P369="SI",0,IF(OR($D369="Inversión",$D369="I/O"),SUM(VLOOKUP($B366,'C UNIT PROG TÉCNICOS'!$B$8:$G$160,5,FALSE)*'EV PROG TÉCNICOS'!P366,VLOOKUP($B367,'C UNIT PROG TÉCNICOS'!$B$8:$G$160,5,FALSE)*'EV PROG TÉCNICOS'!P367,VLOOKUP($B368,'C UNIT PROG TÉCNICOS'!$B$8:$G$160,5,FALSE)*'EV PROG TÉCNICOS'!P368),0))*((1+$D$24)^(P$3-$K$3)))</f>
        <v>205018734.96492434</v>
      </c>
      <c r="Q372" s="450">
        <f>IF(Q369="N/A",0,IF(Q369="SI",0,IF(OR($D369="Inversión",$D369="I/O"),SUM(VLOOKUP($B366,'C UNIT PROG TÉCNICOS'!$B$8:$G$160,5,FALSE)*'EV PROG TÉCNICOS'!Q366,VLOOKUP($B367,'C UNIT PROG TÉCNICOS'!$B$8:$G$160,5,FALSE)*'EV PROG TÉCNICOS'!Q367,VLOOKUP($B368,'C UNIT PROG TÉCNICOS'!$B$8:$G$160,5,FALSE)*'EV PROG TÉCNICOS'!Q368),0))*((1+$D$24)^(Q$3-$K$3)))</f>
        <v>0</v>
      </c>
      <c r="R372" s="450">
        <f>IF(R369="N/A",0,IF(R369="SI",0,IF(OR($D369="Inversión",$D369="I/O"),SUM(VLOOKUP($B366,'C UNIT PROG TÉCNICOS'!$B$8:$G$160,5,FALSE)*'EV PROG TÉCNICOS'!R366,VLOOKUP($B367,'C UNIT PROG TÉCNICOS'!$B$8:$G$160,5,FALSE)*'EV PROG TÉCNICOS'!R367,VLOOKUP($B368,'C UNIT PROG TÉCNICOS'!$B$8:$G$160,5,FALSE)*'EV PROG TÉCNICOS'!R368),0))*((1+$D$24)^(R$3-$K$3)))</f>
        <v>0</v>
      </c>
      <c r="S372" s="450">
        <f>IF(S369="N/A",0,IF(S369="SI",0,IF(OR($D369="Inversión",$D369="I/O"),SUM(VLOOKUP($B366,'C UNIT PROG TÉCNICOS'!$B$8:$G$160,5,FALSE)*'EV PROG TÉCNICOS'!S366,VLOOKUP($B367,'C UNIT PROG TÉCNICOS'!$B$8:$G$160,5,FALSE)*'EV PROG TÉCNICOS'!S367,VLOOKUP($B368,'C UNIT PROG TÉCNICOS'!$B$8:$G$160,5,FALSE)*'EV PROG TÉCNICOS'!S368),0))*((1+$D$24)^(S$3-$K$3)))</f>
        <v>0</v>
      </c>
      <c r="T372" s="450">
        <f>IF(T369="N/A",0,IF(T369="SI",0,IF(OR($D369="Inversión",$D369="I/O"),SUM(VLOOKUP($B366,'C UNIT PROG TÉCNICOS'!$B$8:$G$160,5,FALSE)*'EV PROG TÉCNICOS'!T366,VLOOKUP($B367,'C UNIT PROG TÉCNICOS'!$B$8:$G$160,5,FALSE)*'EV PROG TÉCNICOS'!T367,VLOOKUP($B368,'C UNIT PROG TÉCNICOS'!$B$8:$G$160,5,FALSE)*'EV PROG TÉCNICOS'!T368),0))*((1+$D$24)^(T$3-$K$3)))</f>
        <v>0</v>
      </c>
      <c r="U372" s="450">
        <f>IF(U369="N/A",0,IF(U369="SI",0,IF(OR($D369="Inversión",$D369="I/O"),SUM(VLOOKUP($B366,'C UNIT PROG TÉCNICOS'!$B$8:$G$160,5,FALSE)*'EV PROG TÉCNICOS'!U366,VLOOKUP($B367,'C UNIT PROG TÉCNICOS'!$B$8:$G$160,5,FALSE)*'EV PROG TÉCNICOS'!U367,VLOOKUP($B368,'C UNIT PROG TÉCNICOS'!$B$8:$G$160,5,FALSE)*'EV PROG TÉCNICOS'!U368),0))*((1+$D$24)^(U$3-$K$3)))</f>
        <v>0</v>
      </c>
    </row>
    <row r="373" spans="1:22" s="376" customFormat="1" ht="15" customHeight="1" outlineLevel="1" x14ac:dyDescent="0.25">
      <c r="A373" s="374"/>
      <c r="B373" s="454" t="str">
        <f>CONCATENATE("VNA  ",B360)</f>
        <v>VNA  Medidores faltantes en sectores y/o distritos hidráulicos</v>
      </c>
      <c r="C373" s="374" t="s">
        <v>6</v>
      </c>
      <c r="D373" s="453">
        <f>NPV($D$31,L373:U373)+K373</f>
        <v>679137713.97672248</v>
      </c>
      <c r="K373" s="452">
        <f>IF(OR(K369="N/A",K370=0),0,IF($D369="Operación",K371,K372))</f>
        <v>0</v>
      </c>
      <c r="L373" s="452">
        <f>IF(L369="N/A",0,IF($D369="Operación",L371,L372))</f>
        <v>131751463.21682972</v>
      </c>
      <c r="M373" s="452">
        <f t="shared" ref="M373:U373" si="165">IF(M369="N/A",0,IF($D369="Operación",M371,M372))</f>
        <v>195943577.73187208</v>
      </c>
      <c r="N373" s="452">
        <f t="shared" si="165"/>
        <v>231005841.18510884</v>
      </c>
      <c r="O373" s="452">
        <f t="shared" si="165"/>
        <v>324476218.12427497</v>
      </c>
      <c r="P373" s="452">
        <f t="shared" si="165"/>
        <v>205018734.96492434</v>
      </c>
      <c r="Q373" s="452">
        <f t="shared" si="165"/>
        <v>0</v>
      </c>
      <c r="R373" s="452">
        <f t="shared" si="165"/>
        <v>0</v>
      </c>
      <c r="S373" s="452">
        <f t="shared" si="165"/>
        <v>0</v>
      </c>
      <c r="T373" s="452">
        <f t="shared" si="165"/>
        <v>0</v>
      </c>
      <c r="U373" s="452">
        <f t="shared" si="165"/>
        <v>0</v>
      </c>
    </row>
    <row r="374" spans="1:22" s="376" customFormat="1" ht="15" customHeight="1" outlineLevel="1" x14ac:dyDescent="0.25">
      <c r="A374" s="374"/>
      <c r="B374" s="454" t="str">
        <f>CONCATENATE("Volumen de agua recuperado ",B360)</f>
        <v>Volumen de agua recuperado Medidores faltantes en sectores y/o distritos hidráulicos</v>
      </c>
      <c r="C374" s="374" t="s">
        <v>106</v>
      </c>
      <c r="D374" s="374"/>
      <c r="K374" s="396"/>
      <c r="L374" s="396"/>
      <c r="M374" s="396"/>
      <c r="N374" s="396"/>
      <c r="O374" s="396"/>
      <c r="P374" s="396"/>
      <c r="Q374" s="396"/>
      <c r="R374" s="396"/>
      <c r="S374" s="396"/>
      <c r="T374" s="396"/>
      <c r="U374" s="396"/>
    </row>
    <row r="375" spans="1:22" s="376" customFormat="1" ht="15" customHeight="1" outlineLevel="1" x14ac:dyDescent="0.25">
      <c r="A375" s="374"/>
      <c r="B375" s="376" t="s">
        <v>750</v>
      </c>
      <c r="C375" s="374" t="s">
        <v>6</v>
      </c>
      <c r="D375" s="453">
        <f>NPV($D$31,L375:U375)+K375</f>
        <v>0</v>
      </c>
      <c r="K375" s="452">
        <f>IF(OR(K369="N/A",K374=0),0,K374*K$29)</f>
        <v>0</v>
      </c>
      <c r="L375" s="452">
        <f>IF(OR(L369="N/A",L374=0),0,L374*L$29)</f>
        <v>0</v>
      </c>
      <c r="M375" s="452">
        <f t="shared" ref="M375:U375" si="166">IF(OR(M369="N/A",M374=0),0,M374*M$29)</f>
        <v>0</v>
      </c>
      <c r="N375" s="452">
        <f t="shared" si="166"/>
        <v>0</v>
      </c>
      <c r="O375" s="452">
        <f t="shared" si="166"/>
        <v>0</v>
      </c>
      <c r="P375" s="452">
        <f t="shared" si="166"/>
        <v>0</v>
      </c>
      <c r="Q375" s="452">
        <f t="shared" si="166"/>
        <v>0</v>
      </c>
      <c r="R375" s="452">
        <f t="shared" si="166"/>
        <v>0</v>
      </c>
      <c r="S375" s="452">
        <f t="shared" si="166"/>
        <v>0</v>
      </c>
      <c r="T375" s="452">
        <f t="shared" si="166"/>
        <v>0</v>
      </c>
      <c r="U375" s="452">
        <f t="shared" si="166"/>
        <v>0</v>
      </c>
    </row>
    <row r="376" spans="1:22" s="376" customFormat="1" ht="15" customHeight="1" outlineLevel="1" x14ac:dyDescent="0.25">
      <c r="A376" s="374"/>
      <c r="B376" s="376" t="s">
        <v>751</v>
      </c>
      <c r="C376" s="374"/>
      <c r="D376" s="455">
        <f>IFERROR(ROUND(IF(D375/D373=0,0,D375/D373),2),0)</f>
        <v>0</v>
      </c>
      <c r="K376" s="455">
        <f>IFERROR(ROUND(IF(K375/K373=0,0,K375/K373),2),0)</f>
        <v>0</v>
      </c>
      <c r="L376" s="455">
        <f>IFERROR(ROUND(IF(L375/L373=0,0,L375/L373),2),0)</f>
        <v>0</v>
      </c>
      <c r="M376" s="455">
        <f t="shared" ref="M376:U376" si="167">IFERROR(ROUND(IF(M375/M373=0,0,M375/M373),2),0)</f>
        <v>0</v>
      </c>
      <c r="N376" s="455">
        <f t="shared" si="167"/>
        <v>0</v>
      </c>
      <c r="O376" s="455">
        <f t="shared" si="167"/>
        <v>0</v>
      </c>
      <c r="P376" s="455">
        <f t="shared" si="167"/>
        <v>0</v>
      </c>
      <c r="Q376" s="455">
        <f t="shared" si="167"/>
        <v>0</v>
      </c>
      <c r="R376" s="455">
        <f t="shared" si="167"/>
        <v>0</v>
      </c>
      <c r="S376" s="455">
        <f t="shared" si="167"/>
        <v>0</v>
      </c>
      <c r="T376" s="455">
        <f t="shared" si="167"/>
        <v>0</v>
      </c>
      <c r="U376" s="455">
        <f t="shared" si="167"/>
        <v>0</v>
      </c>
    </row>
    <row r="377" spans="1:22" s="326" customFormat="1" ht="12" customHeight="1" outlineLevel="1" x14ac:dyDescent="0.25">
      <c r="A377" s="316"/>
      <c r="C377" s="316"/>
      <c r="D377" s="316"/>
      <c r="K377" s="379"/>
      <c r="L377" s="379"/>
      <c r="M377" s="379"/>
      <c r="N377" s="379"/>
      <c r="O377" s="379"/>
      <c r="P377" s="379"/>
      <c r="Q377" s="379"/>
      <c r="R377" s="379"/>
      <c r="S377" s="379"/>
      <c r="T377" s="379"/>
      <c r="U377" s="379"/>
    </row>
    <row r="378" spans="1:22" s="307" customFormat="1" ht="12" customHeight="1" outlineLevel="1" x14ac:dyDescent="0.25">
      <c r="A378" s="380" t="s">
        <v>118</v>
      </c>
      <c r="B378" s="358" t="s">
        <v>119</v>
      </c>
      <c r="C378" s="359"/>
      <c r="D378" s="359"/>
      <c r="E378" s="359"/>
      <c r="F378" s="359"/>
      <c r="G378" s="359"/>
      <c r="H378" s="359"/>
      <c r="I378" s="359"/>
      <c r="J378" s="359"/>
      <c r="K378" s="359"/>
      <c r="L378" s="359"/>
      <c r="M378" s="359"/>
      <c r="N378" s="359"/>
      <c r="O378" s="359"/>
      <c r="P378" s="359"/>
      <c r="Q378" s="359"/>
      <c r="R378" s="359"/>
      <c r="S378" s="359"/>
      <c r="T378" s="359"/>
      <c r="U378" s="359"/>
    </row>
    <row r="379" spans="1:22" s="364" customFormat="1" ht="15" customHeight="1" outlineLevel="1" x14ac:dyDescent="0.25">
      <c r="A379" s="394"/>
      <c r="B379" s="364" t="s">
        <v>124</v>
      </c>
      <c r="C379" s="394" t="s">
        <v>11</v>
      </c>
      <c r="D379" s="444">
        <f>COUNT(L379:U379)</f>
        <v>4</v>
      </c>
      <c r="K379" s="365">
        <v>0</v>
      </c>
      <c r="L379" s="443">
        <f>IF(L387="N/A","",K379+1)</f>
        <v>1</v>
      </c>
      <c r="M379" s="443">
        <f t="shared" ref="M379:U379" si="168">IF(M387="N/A","",L379+1)</f>
        <v>2</v>
      </c>
      <c r="N379" s="443">
        <f t="shared" si="168"/>
        <v>3</v>
      </c>
      <c r="O379" s="443">
        <f t="shared" si="168"/>
        <v>4</v>
      </c>
      <c r="P379" s="443" t="str">
        <f t="shared" si="168"/>
        <v/>
      </c>
      <c r="Q379" s="443" t="str">
        <f t="shared" si="168"/>
        <v/>
      </c>
      <c r="R379" s="443" t="str">
        <f t="shared" si="168"/>
        <v/>
      </c>
      <c r="S379" s="443" t="str">
        <f>IF(S387="N/A","",R379+1)</f>
        <v/>
      </c>
      <c r="T379" s="443" t="str">
        <f t="shared" si="168"/>
        <v/>
      </c>
      <c r="U379" s="443" t="str">
        <f t="shared" si="168"/>
        <v/>
      </c>
    </row>
    <row r="380" spans="1:22" s="326" customFormat="1" ht="12" customHeight="1" outlineLevel="1" x14ac:dyDescent="0.25">
      <c r="B380" s="307" t="s">
        <v>206</v>
      </c>
      <c r="D380" s="360">
        <v>25</v>
      </c>
      <c r="J380" s="361"/>
      <c r="K380" s="442">
        <f>$D380</f>
        <v>25</v>
      </c>
      <c r="L380" s="442">
        <f t="shared" ref="L380:Q380" si="169">IF(L387="N/A",0,IF(L383=0,0,$D380))</f>
        <v>25</v>
      </c>
      <c r="M380" s="442">
        <f t="shared" si="169"/>
        <v>25</v>
      </c>
      <c r="N380" s="442">
        <f t="shared" si="169"/>
        <v>25</v>
      </c>
      <c r="O380" s="442">
        <f t="shared" si="169"/>
        <v>25</v>
      </c>
      <c r="P380" s="442">
        <f t="shared" si="169"/>
        <v>0</v>
      </c>
      <c r="Q380" s="442">
        <f t="shared" si="169"/>
        <v>0</v>
      </c>
      <c r="R380" s="361"/>
      <c r="S380" s="442">
        <f>IF(S387="N/A",0,IF(S383=0,0,$D380))</f>
        <v>0</v>
      </c>
      <c r="T380" s="442">
        <f>IF(T387="N/A",0,IF(T383=0,0,$D380))</f>
        <v>0</v>
      </c>
      <c r="U380" s="442">
        <f>IF(U387="N/A",0,IF(U383=0,0,$D380))</f>
        <v>0</v>
      </c>
    </row>
    <row r="381" spans="1:22" s="307" customFormat="1" ht="12" customHeight="1" outlineLevel="1" x14ac:dyDescent="0.25">
      <c r="A381" s="316"/>
      <c r="B381" s="307" t="s">
        <v>120</v>
      </c>
      <c r="D381" s="439">
        <v>12</v>
      </c>
      <c r="J381" s="342"/>
      <c r="K381" s="439">
        <v>0</v>
      </c>
      <c r="L381" s="439">
        <f>IF(L387="N/A",0,IF(IFERROR(K381+L383,0)&gt;$D$380,0,IFERROR(K381+L383,0)))</f>
        <v>4</v>
      </c>
      <c r="M381" s="439">
        <f>IF(M387="N/A",0,IF(IFERROR(L381+M383,0)&gt;$D$380,0,IFERROR(L381+M383,0)))</f>
        <v>8</v>
      </c>
      <c r="N381" s="439">
        <f>IF(N387="N/A",0,IF(IFERROR(M381+N383,0)&gt;$D$380,0,IFERROR(M381+N383,0)))</f>
        <v>10</v>
      </c>
      <c r="O381" s="439">
        <f t="shared" ref="O381:T381" si="170">IF(O387="N/A",0,IF(IFERROR(N381+O383,0)&gt;$D$380,0,IFERROR(N381+O383,0)))</f>
        <v>13</v>
      </c>
      <c r="P381" s="439">
        <f t="shared" si="170"/>
        <v>0</v>
      </c>
      <c r="Q381" s="439">
        <f t="shared" si="170"/>
        <v>0</v>
      </c>
      <c r="R381" s="439">
        <f t="shared" si="170"/>
        <v>0</v>
      </c>
      <c r="S381" s="439">
        <f t="shared" si="170"/>
        <v>0</v>
      </c>
      <c r="T381" s="439">
        <f t="shared" si="170"/>
        <v>0</v>
      </c>
      <c r="U381" s="439">
        <f>IF(U387="N/A",0,IF(IFERROR(T381+U383,0)&gt;M380,0,IFERROR(T381+U383,0)))</f>
        <v>0</v>
      </c>
    </row>
    <row r="382" spans="1:22" s="307" customFormat="1" ht="12" customHeight="1" outlineLevel="1" x14ac:dyDescent="0.25">
      <c r="A382" s="316"/>
      <c r="B382" s="307" t="s">
        <v>121</v>
      </c>
      <c r="D382" s="362">
        <f>+D380-D381</f>
        <v>13</v>
      </c>
      <c r="J382" s="342"/>
      <c r="K382" s="439">
        <f>$D382</f>
        <v>13</v>
      </c>
      <c r="L382" s="439">
        <f>IF(IFERROR(L380-L381,0)&lt;0,0,IFERROR(L380-L381,0))</f>
        <v>21</v>
      </c>
      <c r="M382" s="439">
        <f>IF(IFERROR(M380-M381,0)&lt;0,0,IFERROR(M380-M381,0))</f>
        <v>17</v>
      </c>
      <c r="N382" s="439">
        <f>IF(IFERROR(N380-N381,0)&lt;0,0,IFERROR(N380-N381,0))</f>
        <v>15</v>
      </c>
      <c r="O382" s="439">
        <f t="shared" ref="O382:T382" si="171">IF(IFERROR(O380-O381,0)&lt;0,0,IFERROR(O380-O381,0))</f>
        <v>12</v>
      </c>
      <c r="P382" s="439">
        <f t="shared" si="171"/>
        <v>0</v>
      </c>
      <c r="Q382" s="439">
        <f t="shared" si="171"/>
        <v>0</v>
      </c>
      <c r="R382" s="439">
        <f t="shared" si="171"/>
        <v>0</v>
      </c>
      <c r="S382" s="439">
        <f t="shared" si="171"/>
        <v>0</v>
      </c>
      <c r="T382" s="439">
        <f t="shared" si="171"/>
        <v>0</v>
      </c>
      <c r="U382" s="439">
        <f>IF(IFERROR(U380-U381,0)&lt;0,0,IFERROR(U380-U381,0))</f>
        <v>0</v>
      </c>
    </row>
    <row r="383" spans="1:22" s="326" customFormat="1" ht="12" customHeight="1" outlineLevel="1" x14ac:dyDescent="0.25">
      <c r="A383" s="316"/>
      <c r="B383" s="307" t="s">
        <v>25</v>
      </c>
      <c r="C383" s="304" t="s">
        <v>20</v>
      </c>
      <c r="D383" s="445" t="str">
        <f>IF(K382&lt;&gt;SUM(L383:U383),"NO","SI")</f>
        <v>SI</v>
      </c>
      <c r="K383" s="442">
        <f>SUM(K384:K386)</f>
        <v>0</v>
      </c>
      <c r="L383" s="442">
        <f>IF(L387="N/A",0,IF(SUM(L384:L386)=0,0,SUM(L384:L386)))</f>
        <v>4</v>
      </c>
      <c r="M383" s="442">
        <f>IF(M387="N/A",0,IF(SUM(M384:M386)=0,0,SUM(M384:M386)))</f>
        <v>4</v>
      </c>
      <c r="N383" s="442">
        <f>IF(N387="N/A",0,IF(SUM(N384:N386)=0,0,SUM(N384:N386)))</f>
        <v>2</v>
      </c>
      <c r="O383" s="442">
        <f t="shared" ref="O383:T383" si="172">IF(O387="N/A",0,IF(SUM(O384:O386)=0,0,SUM(O384:O386)))</f>
        <v>3</v>
      </c>
      <c r="P383" s="442">
        <f t="shared" si="172"/>
        <v>0</v>
      </c>
      <c r="Q383" s="442">
        <f t="shared" si="172"/>
        <v>0</v>
      </c>
      <c r="R383" s="442">
        <f t="shared" si="172"/>
        <v>0</v>
      </c>
      <c r="S383" s="442">
        <f t="shared" si="172"/>
        <v>0</v>
      </c>
      <c r="T383" s="442">
        <f t="shared" si="172"/>
        <v>0</v>
      </c>
      <c r="U383" s="442">
        <f>IF(U387="N/A",0,IF(SUM(U384:U386)=0,0,SUM(U384:U386)))</f>
        <v>0</v>
      </c>
      <c r="V383" s="361"/>
    </row>
    <row r="384" spans="1:22" s="307" customFormat="1" ht="35.1" customHeight="1" outlineLevel="1" x14ac:dyDescent="0.25">
      <c r="A384" s="446" t="str">
        <f>VLOOKUP(B384,'C UNIT PROG TÉCNICOS'!$B$8:$H$108,7,FALSE)</f>
        <v>CAPEX</v>
      </c>
      <c r="B384" s="367" t="s">
        <v>73</v>
      </c>
      <c r="C384" s="304" t="s">
        <v>20</v>
      </c>
      <c r="D384" s="304" t="s">
        <v>19</v>
      </c>
      <c r="I384" s="368"/>
      <c r="J384" s="368"/>
      <c r="K384" s="360">
        <v>0</v>
      </c>
      <c r="L384" s="360">
        <v>0</v>
      </c>
      <c r="M384" s="360">
        <v>1</v>
      </c>
      <c r="N384" s="360">
        <v>0</v>
      </c>
      <c r="O384" s="360">
        <v>0</v>
      </c>
      <c r="P384" s="360"/>
      <c r="Q384" s="360"/>
      <c r="R384" s="360"/>
      <c r="S384" s="360"/>
      <c r="T384" s="360"/>
      <c r="U384" s="362"/>
    </row>
    <row r="385" spans="1:21" s="307" customFormat="1" ht="35.1" customHeight="1" outlineLevel="1" x14ac:dyDescent="0.25">
      <c r="A385" s="446" t="str">
        <f>VLOOKUP(B385,'C UNIT PROG TÉCNICOS'!$B$8:$H$108,7,FALSE)</f>
        <v>CAPEX</v>
      </c>
      <c r="B385" s="367" t="s">
        <v>74</v>
      </c>
      <c r="C385" s="304" t="s">
        <v>20</v>
      </c>
      <c r="D385" s="304" t="s">
        <v>19</v>
      </c>
      <c r="I385" s="369"/>
      <c r="J385" s="369"/>
      <c r="K385" s="360">
        <v>0</v>
      </c>
      <c r="L385" s="360">
        <v>1</v>
      </c>
      <c r="M385" s="360">
        <v>1</v>
      </c>
      <c r="N385" s="360">
        <v>1</v>
      </c>
      <c r="O385" s="360">
        <v>2</v>
      </c>
      <c r="P385" s="360"/>
      <c r="Q385" s="360"/>
      <c r="R385" s="360"/>
      <c r="S385" s="360"/>
      <c r="T385" s="360"/>
      <c r="U385" s="362"/>
    </row>
    <row r="386" spans="1:21" s="307" customFormat="1" ht="35.1" customHeight="1" outlineLevel="1" x14ac:dyDescent="0.25">
      <c r="A386" s="446" t="str">
        <f>VLOOKUP(B386,'C UNIT PROG TÉCNICOS'!$B$8:$H$108,7,FALSE)</f>
        <v>CAPEX</v>
      </c>
      <c r="B386" s="367" t="s">
        <v>36</v>
      </c>
      <c r="C386" s="304" t="s">
        <v>20</v>
      </c>
      <c r="D386" s="304" t="s">
        <v>19</v>
      </c>
      <c r="I386" s="369"/>
      <c r="J386" s="369"/>
      <c r="K386" s="360">
        <v>0</v>
      </c>
      <c r="L386" s="360">
        <v>3</v>
      </c>
      <c r="M386" s="360">
        <v>2</v>
      </c>
      <c r="N386" s="360">
        <v>1</v>
      </c>
      <c r="O386" s="360">
        <v>1</v>
      </c>
      <c r="P386" s="360"/>
      <c r="Q386" s="360"/>
      <c r="R386" s="360"/>
      <c r="S386" s="360"/>
      <c r="T386" s="360"/>
      <c r="U386" s="362"/>
    </row>
    <row r="387" spans="1:21" s="307" customFormat="1" ht="12" customHeight="1" outlineLevel="1" x14ac:dyDescent="0.25">
      <c r="A387" s="316"/>
      <c r="B387" s="307" t="s">
        <v>742</v>
      </c>
      <c r="D387" s="447" t="str">
        <f>IF(AND(A384="CAPEX",A385="CAPEX",A386="CAPEX"),"Inversión",IF(AND(A384="OPEX",A385="OPEX",A386="OPEX"),"Operación","I/O"))</f>
        <v>Inversión</v>
      </c>
      <c r="I387" s="370"/>
      <c r="J387" s="370"/>
      <c r="K387" s="371" t="s">
        <v>8</v>
      </c>
      <c r="L387" s="371" t="s">
        <v>8</v>
      </c>
      <c r="M387" s="371" t="s">
        <v>8</v>
      </c>
      <c r="N387" s="371" t="s">
        <v>8</v>
      </c>
      <c r="O387" s="371" t="s">
        <v>8</v>
      </c>
      <c r="P387" s="371" t="s">
        <v>149</v>
      </c>
      <c r="Q387" s="371" t="s">
        <v>149</v>
      </c>
      <c r="R387" s="371" t="s">
        <v>149</v>
      </c>
      <c r="S387" s="371" t="s">
        <v>149</v>
      </c>
      <c r="T387" s="371" t="s">
        <v>149</v>
      </c>
      <c r="U387" s="371" t="s">
        <v>149</v>
      </c>
    </row>
    <row r="388" spans="1:21" s="307" customFormat="1" ht="12" customHeight="1" outlineLevel="1" x14ac:dyDescent="0.25">
      <c r="A388" s="316"/>
      <c r="B388" s="307" t="s">
        <v>762</v>
      </c>
      <c r="C388" s="304"/>
      <c r="D388" s="304"/>
      <c r="K388" s="448">
        <f>IF(K387="N/A",0,IF(K387="SI",0,IF(OR($D387="I/O",$D387="Inversión"),0,SUM(VLOOKUP($B384,'C UNIT PROG TÉCNICOS'!$B$8:$G$160,6,FALSE)*'EV PROG TÉCNICOS'!K384,VLOOKUP($B385,'C UNIT PROG TÉCNICOS'!$B$8:$G$160,6,FALSE)*'EV PROG TÉCNICOS'!K385,VLOOKUP($B386,'C UNIT PROG TÉCNICOS'!$B$8:$G$160,6,FALSE)*'EV PROG TÉCNICOS'!K386))))</f>
        <v>0</v>
      </c>
      <c r="L388" s="448">
        <f>IF(L387="N/A",0,IF(L387="SI",0,IF(OR($D387="I/O",$D387="Inversión"),0,SUM(VLOOKUP($B384,'C UNIT PROG TÉCNICOS'!$B$8:$G$160,6,FALSE)*'EV PROG TÉCNICOS'!L384,VLOOKUP($B385,'C UNIT PROG TÉCNICOS'!$B$8:$G$160,6,FALSE)*'EV PROG TÉCNICOS'!L385,VLOOKUP($B386,'C UNIT PROG TÉCNICOS'!$B$8:$G$160,6,FALSE)*'EV PROG TÉCNICOS'!L386))))</f>
        <v>0</v>
      </c>
      <c r="M388" s="448">
        <f>IF(M387="N/A",0,IF(M387="SI",0,IF(OR($D387="I/O",$D387="Inversión"),0,SUM(VLOOKUP($B384,'C UNIT PROG TÉCNICOS'!$B$8:$G$160,6,FALSE)*'EV PROG TÉCNICOS'!M384,VLOOKUP($B385,'C UNIT PROG TÉCNICOS'!$B$8:$G$160,6,FALSE)*'EV PROG TÉCNICOS'!M385,VLOOKUP($B386,'C UNIT PROG TÉCNICOS'!$B$8:$G$160,6,FALSE)*'EV PROG TÉCNICOS'!M386))))</f>
        <v>0</v>
      </c>
      <c r="N388" s="448">
        <f>IF(N387="N/A",0,IF(N387="SI",0,IF(OR($D387="I/O",$D387="Inversión"),0,SUM(VLOOKUP($B384,'C UNIT PROG TÉCNICOS'!$B$8:$G$160,6,FALSE)*'EV PROG TÉCNICOS'!N384,VLOOKUP($B385,'C UNIT PROG TÉCNICOS'!$B$8:$G$160,6,FALSE)*'EV PROG TÉCNICOS'!N385,VLOOKUP($B386,'C UNIT PROG TÉCNICOS'!$B$8:$G$160,6,FALSE)*'EV PROG TÉCNICOS'!N386))))</f>
        <v>0</v>
      </c>
      <c r="O388" s="448">
        <f>IF(O387="N/A",0,IF(O387="SI",0,IF(OR($D387="I/O",$D387="Inversión"),0,SUM(VLOOKUP($B384,'C UNIT PROG TÉCNICOS'!$B$8:$G$160,6,FALSE)*'EV PROG TÉCNICOS'!O384,VLOOKUP($B385,'C UNIT PROG TÉCNICOS'!$B$8:$G$160,6,FALSE)*'EV PROG TÉCNICOS'!O385,VLOOKUP($B386,'C UNIT PROG TÉCNICOS'!$B$8:$G$160,6,FALSE)*'EV PROG TÉCNICOS'!O386))))</f>
        <v>0</v>
      </c>
      <c r="P388" s="448">
        <f>IF(P387="N/A",0,IF(P387="SI",0,IF(OR($D387="I/O",$D387="Inversión"),0,SUM(VLOOKUP($B384,'C UNIT PROG TÉCNICOS'!$B$8:$G$160,6,FALSE)*'EV PROG TÉCNICOS'!P384,VLOOKUP($B385,'C UNIT PROG TÉCNICOS'!$B$8:$G$160,6,FALSE)*'EV PROG TÉCNICOS'!P385,VLOOKUP($B386,'C UNIT PROG TÉCNICOS'!$B$8:$G$160,6,FALSE)*'EV PROG TÉCNICOS'!P386))))</f>
        <v>0</v>
      </c>
      <c r="Q388" s="448">
        <f>IF(Q387="N/A",0,IF(Q387="SI",0,IF(OR($D387="I/O",$D387="Inversión"),0,SUM(VLOOKUP($B384,'C UNIT PROG TÉCNICOS'!$B$8:$G$160,6,FALSE)*'EV PROG TÉCNICOS'!Q384,VLOOKUP($B385,'C UNIT PROG TÉCNICOS'!$B$8:$G$160,6,FALSE)*'EV PROG TÉCNICOS'!Q385,VLOOKUP($B386,'C UNIT PROG TÉCNICOS'!$B$8:$G$160,6,FALSE)*'EV PROG TÉCNICOS'!Q386))))</f>
        <v>0</v>
      </c>
      <c r="R388" s="448">
        <f>IF(R387="N/A",0,IF(R387="SI",0,IF(OR($D387="I/O",$D387="Inversión"),0,SUM(VLOOKUP($B384,'C UNIT PROG TÉCNICOS'!$B$8:$G$160,6,FALSE)*'EV PROG TÉCNICOS'!R384,VLOOKUP($B385,'C UNIT PROG TÉCNICOS'!$B$8:$G$160,6,FALSE)*'EV PROG TÉCNICOS'!R385,VLOOKUP($B386,'C UNIT PROG TÉCNICOS'!$B$8:$G$160,6,FALSE)*'EV PROG TÉCNICOS'!R386))))</f>
        <v>0</v>
      </c>
      <c r="S388" s="448">
        <f>IF(S387="N/A",0,IF(S387="SI",0,IF(OR($D387="I/O",$D387="Inversión"),0,SUM(VLOOKUP($B384,'C UNIT PROG TÉCNICOS'!$B$8:$G$160,6,FALSE)*'EV PROG TÉCNICOS'!S384,VLOOKUP($B385,'C UNIT PROG TÉCNICOS'!$B$8:$G$160,6,FALSE)*'EV PROG TÉCNICOS'!S385,VLOOKUP($B386,'C UNIT PROG TÉCNICOS'!$B$8:$G$160,6,FALSE)*'EV PROG TÉCNICOS'!S386))))</f>
        <v>0</v>
      </c>
      <c r="T388" s="448">
        <f>IF(T387="N/A",0,IF(T387="SI",0,IF(OR($D387="I/O",$D387="Inversión"),0,SUM(VLOOKUP($B384,'C UNIT PROG TÉCNICOS'!$B$8:$G$160,6,FALSE)*'EV PROG TÉCNICOS'!T384,VLOOKUP($B385,'C UNIT PROG TÉCNICOS'!$B$8:$G$160,6,FALSE)*'EV PROG TÉCNICOS'!T385,VLOOKUP($B386,'C UNIT PROG TÉCNICOS'!$B$8:$G$160,6,FALSE)*'EV PROG TÉCNICOS'!T386))))</f>
        <v>0</v>
      </c>
      <c r="U388" s="448">
        <f>IF(U387="N/A",0,IF(U387="SI",0,IF(OR($D387="I/O",$D387="Inversión"),0,SUM(VLOOKUP($B384,'C UNIT PROG TÉCNICOS'!$B$8:$G$160,6,FALSE)*'EV PROG TÉCNICOS'!U384,VLOOKUP($B385,'C UNIT PROG TÉCNICOS'!$B$8:$G$160,6,FALSE)*'EV PROG TÉCNICOS'!U385,VLOOKUP($B386,'C UNIT PROG TÉCNICOS'!$B$8:$G$160,6,FALSE)*'EV PROG TÉCNICOS'!U386))))</f>
        <v>0</v>
      </c>
    </row>
    <row r="389" spans="1:21" s="307" customFormat="1" ht="12" customHeight="1" outlineLevel="1" x14ac:dyDescent="0.25">
      <c r="A389" s="316"/>
      <c r="B389" s="307" t="s">
        <v>763</v>
      </c>
      <c r="C389" s="304" t="s">
        <v>6</v>
      </c>
      <c r="D389" s="304"/>
      <c r="K389" s="450">
        <f>IF(K387="N/A",0,IF(K387="SI",0,K$21*K388))</f>
        <v>0</v>
      </c>
      <c r="L389" s="450">
        <f>IF(L387="N/A",0,IF(L387="SI",0,L$21*L388))</f>
        <v>0</v>
      </c>
      <c r="M389" s="450">
        <f>IF(M387="N/A",0,IF(M387="SI",0,M$21*M388))</f>
        <v>0</v>
      </c>
      <c r="N389" s="450">
        <f>IF(N387="N/A",0,IF(N387="SI",0,N$21*N388))</f>
        <v>0</v>
      </c>
      <c r="O389" s="450">
        <f t="shared" ref="O389:T389" si="173">IF(O387="N/A",0,IF(O387="SI",0,O$21*O388))</f>
        <v>0</v>
      </c>
      <c r="P389" s="450">
        <f t="shared" si="173"/>
        <v>0</v>
      </c>
      <c r="Q389" s="450">
        <f t="shared" si="173"/>
        <v>0</v>
      </c>
      <c r="R389" s="450">
        <f t="shared" si="173"/>
        <v>0</v>
      </c>
      <c r="S389" s="450">
        <f t="shared" si="173"/>
        <v>0</v>
      </c>
      <c r="T389" s="450">
        <f t="shared" si="173"/>
        <v>0</v>
      </c>
      <c r="U389" s="450">
        <f>IF(U387="N/A",0,IF(U387="SI",0,U$21*U388))</f>
        <v>0</v>
      </c>
    </row>
    <row r="390" spans="1:21" s="307" customFormat="1" ht="12" customHeight="1" outlineLevel="1" x14ac:dyDescent="0.25">
      <c r="A390" s="316"/>
      <c r="B390" s="307" t="s">
        <v>764</v>
      </c>
      <c r="C390" s="304" t="s">
        <v>6</v>
      </c>
      <c r="D390" s="304"/>
      <c r="K390" s="450">
        <f>IF(K387="N/A",0,IF(K387="SI",0,IF(OR($D387="Inversión",$D387="I/O"),SUM(VLOOKUP($B384,'C UNIT PROG TÉCNICOS'!$B$8:$G$160,5,FALSE)*'EV PROG TÉCNICOS'!K384,VLOOKUP($B385,'C UNIT PROG TÉCNICOS'!$B$8:$G$160,5,FALSE)*'EV PROG TÉCNICOS'!K385,VLOOKUP($B386,'C UNIT PROG TÉCNICOS'!$B$8:$G$160,5,FALSE)*'EV PROG TÉCNICOS'!K386),0)))</f>
        <v>0</v>
      </c>
      <c r="L390" s="450">
        <f>IF(L387="N/A",0,IF(L387="SI",0,IF(OR($D387="Inversión",$D387="I/O"),SUM(VLOOKUP($B384,'C UNIT PROG TÉCNICOS'!$B$8:$G$160,5,FALSE)*'EV PROG TÉCNICOS'!L384,VLOOKUP($B385,'C UNIT PROG TÉCNICOS'!$B$8:$G$160,5,FALSE)*'EV PROG TÉCNICOS'!L385,VLOOKUP($B386,'C UNIT PROG TÉCNICOS'!$B$8:$G$160,5,FALSE)*'EV PROG TÉCNICOS'!L386),0))*((1+$D$24)^(L$3-$K$3)))</f>
        <v>195527384.73823774</v>
      </c>
      <c r="M390" s="450">
        <f>IF(M387="N/A",0,IF(M387="SI",0,IF(OR($D387="Inversión",$D387="I/O"),SUM(VLOOKUP($B384,'C UNIT PROG TÉCNICOS'!$B$8:$G$160,5,FALSE)*'EV PROG TÉCNICOS'!M384,VLOOKUP($B385,'C UNIT PROG TÉCNICOS'!$B$8:$G$160,5,FALSE)*'EV PROG TÉCNICOS'!M385,VLOOKUP($B386,'C UNIT PROG TÉCNICOS'!$B$8:$G$160,5,FALSE)*'EV PROG TÉCNICOS'!M386),0))*((1+$D$24)^(M$3-$K$3)))</f>
        <v>165896094.14924061</v>
      </c>
      <c r="N390" s="450">
        <f>IF(N387="N/A",0,IF(N387="SI",0,IF(OR($D387="Inversión",$D387="I/O"),SUM(VLOOKUP($B384,'C UNIT PROG TÉCNICOS'!$B$8:$G$160,5,FALSE)*'EV PROG TÉCNICOS'!N384,VLOOKUP($B385,'C UNIT PROG TÉCNICOS'!$B$8:$G$160,5,FALSE)*'EV PROG TÉCNICOS'!N385,VLOOKUP($B386,'C UNIT PROG TÉCNICOS'!$B$8:$G$160,5,FALSE)*'EV PROG TÉCNICOS'!N386),0))*((1+$D$24)^(N$3-$K$3)))</f>
        <v>88623342.701366469</v>
      </c>
      <c r="O390" s="450">
        <f>IF(O387="N/A",0,IF(O387="SI",0,IF(OR($D387="Inversión",$D387="I/O"),SUM(VLOOKUP($B384,'C UNIT PROG TÉCNICOS'!$B$8:$G$160,5,FALSE)*'EV PROG TÉCNICOS'!O384,VLOOKUP($B385,'C UNIT PROG TÉCNICOS'!$B$8:$G$160,5,FALSE)*'EV PROG TÉCNICOS'!O385,VLOOKUP($B386,'C UNIT PROG TÉCNICOS'!$B$8:$G$160,5,FALSE)*'EV PROG TÉCNICOS'!O386),0))*((1+$D$24)^(O$3-$K$3)))</f>
        <v>120865248.21631867</v>
      </c>
      <c r="P390" s="450">
        <f>IF(P387="N/A",0,IF(P387="SI",0,IF(OR($D387="Inversión",$D387="I/O"),SUM(VLOOKUP($B384,'C UNIT PROG TÉCNICOS'!$B$8:$G$160,5,FALSE)*'EV PROG TÉCNICOS'!P384,VLOOKUP($B385,'C UNIT PROG TÉCNICOS'!$B$8:$G$160,5,FALSE)*'EV PROG TÉCNICOS'!P385,VLOOKUP($B386,'C UNIT PROG TÉCNICOS'!$B$8:$G$160,5,FALSE)*'EV PROG TÉCNICOS'!P386),0))*((1+$D$24)^(P$3-$K$3)))</f>
        <v>0</v>
      </c>
      <c r="Q390" s="450">
        <f>IF(Q387="N/A",0,IF(Q387="SI",0,IF(OR($D387="Inversión",$D387="I/O"),SUM(VLOOKUP($B384,'C UNIT PROG TÉCNICOS'!$B$8:$G$160,5,FALSE)*'EV PROG TÉCNICOS'!Q384,VLOOKUP($B385,'C UNIT PROG TÉCNICOS'!$B$8:$G$160,5,FALSE)*'EV PROG TÉCNICOS'!Q385,VLOOKUP($B386,'C UNIT PROG TÉCNICOS'!$B$8:$G$160,5,FALSE)*'EV PROG TÉCNICOS'!Q386),0))*((1+$D$24)^(Q$3-$K$3)))</f>
        <v>0</v>
      </c>
      <c r="R390" s="450">
        <f>IF(R387="N/A",0,IF(R387="SI",0,IF(OR($D387="Inversión",$D387="I/O"),SUM(VLOOKUP($B384,'C UNIT PROG TÉCNICOS'!$B$8:$G$160,5,FALSE)*'EV PROG TÉCNICOS'!R384,VLOOKUP($B385,'C UNIT PROG TÉCNICOS'!$B$8:$G$160,5,FALSE)*'EV PROG TÉCNICOS'!R385,VLOOKUP($B386,'C UNIT PROG TÉCNICOS'!$B$8:$G$160,5,FALSE)*'EV PROG TÉCNICOS'!R386),0))*((1+$D$24)^(R$3-$K$3)))</f>
        <v>0</v>
      </c>
      <c r="S390" s="450">
        <f>IF(S387="N/A",0,IF(S387="SI",0,IF(OR($D387="Inversión",$D387="I/O"),SUM(VLOOKUP($B384,'C UNIT PROG TÉCNICOS'!$B$8:$G$160,5,FALSE)*'EV PROG TÉCNICOS'!S384,VLOOKUP($B385,'C UNIT PROG TÉCNICOS'!$B$8:$G$160,5,FALSE)*'EV PROG TÉCNICOS'!S385,VLOOKUP($B386,'C UNIT PROG TÉCNICOS'!$B$8:$G$160,5,FALSE)*'EV PROG TÉCNICOS'!S386),0))*((1+$D$24)^(S$3-$K$3)))</f>
        <v>0</v>
      </c>
      <c r="T390" s="450">
        <f>IF(T387="N/A",0,IF(T387="SI",0,IF(OR($D387="Inversión",$D387="I/O"),SUM(VLOOKUP($B384,'C UNIT PROG TÉCNICOS'!$B$8:$G$160,5,FALSE)*'EV PROG TÉCNICOS'!T384,VLOOKUP($B385,'C UNIT PROG TÉCNICOS'!$B$8:$G$160,5,FALSE)*'EV PROG TÉCNICOS'!T385,VLOOKUP($B386,'C UNIT PROG TÉCNICOS'!$B$8:$G$160,5,FALSE)*'EV PROG TÉCNICOS'!T386),0))*((1+$D$24)^(T$3-$K$3)))</f>
        <v>0</v>
      </c>
      <c r="U390" s="450">
        <f>IF(U387="N/A",0,IF(U387="SI",0,IF(OR($D387="Inversión",$D387="I/O"),SUM(VLOOKUP($B384,'C UNIT PROG TÉCNICOS'!$B$8:$G$160,5,FALSE)*'EV PROG TÉCNICOS'!U384,VLOOKUP($B385,'C UNIT PROG TÉCNICOS'!$B$8:$G$160,5,FALSE)*'EV PROG TÉCNICOS'!U385,VLOOKUP($B386,'C UNIT PROG TÉCNICOS'!$B$8:$G$160,5,FALSE)*'EV PROG TÉCNICOS'!U386),0))*((1+$D$24)^(U$3-$K$3)))</f>
        <v>0</v>
      </c>
    </row>
    <row r="391" spans="1:21" s="376" customFormat="1" ht="15" outlineLevel="1" x14ac:dyDescent="0.25">
      <c r="A391" s="374"/>
      <c r="B391" s="454" t="str">
        <f>CONCATENATE("VNA  ",B378)</f>
        <v>VNA  Medidores faltantes en tanques asociados a sectores</v>
      </c>
      <c r="C391" s="374" t="s">
        <v>6</v>
      </c>
      <c r="D391" s="453">
        <f>NPV($D$31,L391:U391)+K391</f>
        <v>413351229.76731491</v>
      </c>
      <c r="K391" s="452">
        <f>IF(OR(K387="N/A",K388=0),0,IF($D387="Operación",K389,K390))</f>
        <v>0</v>
      </c>
      <c r="L391" s="452">
        <f>IF(L387="N/A",0,IF($D387="Operación",L389,L390))</f>
        <v>195527384.73823774</v>
      </c>
      <c r="M391" s="452">
        <f>IF(M387="N/A",0,IF($D387="Operación",M389,M390))</f>
        <v>165896094.14924061</v>
      </c>
      <c r="N391" s="452">
        <f>IF(N387="N/A",0,IF($D387="Operación",N389,N390))</f>
        <v>88623342.701366469</v>
      </c>
      <c r="O391" s="452">
        <f t="shared" ref="O391:T391" si="174">IF(O387="N/A",0,IF($D387="Operación",O389,O390))</f>
        <v>120865248.21631867</v>
      </c>
      <c r="P391" s="452">
        <f t="shared" si="174"/>
        <v>0</v>
      </c>
      <c r="Q391" s="452">
        <f t="shared" si="174"/>
        <v>0</v>
      </c>
      <c r="R391" s="452">
        <f t="shared" si="174"/>
        <v>0</v>
      </c>
      <c r="S391" s="452">
        <f t="shared" si="174"/>
        <v>0</v>
      </c>
      <c r="T391" s="452">
        <f t="shared" si="174"/>
        <v>0</v>
      </c>
      <c r="U391" s="452">
        <f>IF(U387="N/A",0,IF($D387="Operación",U389,U390))</f>
        <v>0</v>
      </c>
    </row>
    <row r="392" spans="1:21" s="376" customFormat="1" ht="15" outlineLevel="1" x14ac:dyDescent="0.25">
      <c r="A392" s="374"/>
      <c r="B392" s="454" t="str">
        <f>CONCATENATE("Volumen de agua recuperado ",B378)</f>
        <v>Volumen de agua recuperado Medidores faltantes en tanques asociados a sectores</v>
      </c>
      <c r="C392" s="374" t="s">
        <v>106</v>
      </c>
      <c r="D392" s="374"/>
      <c r="K392" s="396"/>
      <c r="L392" s="396"/>
      <c r="M392" s="396"/>
      <c r="N392" s="396"/>
      <c r="O392" s="396"/>
      <c r="P392" s="396"/>
      <c r="Q392" s="396"/>
      <c r="R392" s="396"/>
      <c r="S392" s="396"/>
      <c r="T392" s="396"/>
      <c r="U392" s="396"/>
    </row>
    <row r="393" spans="1:21" s="376" customFormat="1" ht="15" customHeight="1" outlineLevel="1" x14ac:dyDescent="0.25">
      <c r="A393" s="374"/>
      <c r="B393" s="376" t="s">
        <v>750</v>
      </c>
      <c r="C393" s="374" t="s">
        <v>6</v>
      </c>
      <c r="D393" s="453">
        <f>NPV($D$31,L393:U393)+K393</f>
        <v>0</v>
      </c>
      <c r="K393" s="452">
        <f>IF(OR(K387="N/A",K392=0),0,K392*K$29)</f>
        <v>0</v>
      </c>
      <c r="L393" s="452">
        <f>IF(OR(L387="N/A",L392=0),0,L392*L$29)</f>
        <v>0</v>
      </c>
      <c r="M393" s="452">
        <f t="shared" ref="M393:U393" si="175">IF(OR(M387="N/A",M392=0),0,M392*M$29)</f>
        <v>0</v>
      </c>
      <c r="N393" s="452">
        <f t="shared" si="175"/>
        <v>0</v>
      </c>
      <c r="O393" s="452">
        <f t="shared" si="175"/>
        <v>0</v>
      </c>
      <c r="P393" s="452">
        <f t="shared" si="175"/>
        <v>0</v>
      </c>
      <c r="Q393" s="452">
        <f t="shared" si="175"/>
        <v>0</v>
      </c>
      <c r="R393" s="452">
        <f t="shared" si="175"/>
        <v>0</v>
      </c>
      <c r="S393" s="452">
        <f t="shared" si="175"/>
        <v>0</v>
      </c>
      <c r="T393" s="452">
        <f t="shared" si="175"/>
        <v>0</v>
      </c>
      <c r="U393" s="452">
        <f t="shared" si="175"/>
        <v>0</v>
      </c>
    </row>
    <row r="394" spans="1:21" s="376" customFormat="1" ht="15" customHeight="1" outlineLevel="1" x14ac:dyDescent="0.25">
      <c r="A394" s="374"/>
      <c r="B394" s="376" t="s">
        <v>751</v>
      </c>
      <c r="C394" s="374"/>
      <c r="D394" s="455">
        <f>IFERROR(ROUND(IF(D393/D391=0,0,D393/D391),2),0)</f>
        <v>0</v>
      </c>
      <c r="K394" s="455">
        <f>IFERROR(ROUND(IF(K393/K391=0,0,K393/K391),2),0)</f>
        <v>0</v>
      </c>
      <c r="L394" s="455">
        <f t="shared" ref="L394:U394" si="176">IFERROR(ROUND(IF(L393/L391=0,0,L393/L391),2),0)</f>
        <v>0</v>
      </c>
      <c r="M394" s="455">
        <f t="shared" si="176"/>
        <v>0</v>
      </c>
      <c r="N394" s="455">
        <f t="shared" si="176"/>
        <v>0</v>
      </c>
      <c r="O394" s="455">
        <f t="shared" si="176"/>
        <v>0</v>
      </c>
      <c r="P394" s="455">
        <f t="shared" si="176"/>
        <v>0</v>
      </c>
      <c r="Q394" s="455">
        <f t="shared" si="176"/>
        <v>0</v>
      </c>
      <c r="R394" s="455">
        <f t="shared" si="176"/>
        <v>0</v>
      </c>
      <c r="S394" s="455">
        <f t="shared" si="176"/>
        <v>0</v>
      </c>
      <c r="T394" s="455">
        <f t="shared" si="176"/>
        <v>0</v>
      </c>
      <c r="U394" s="455">
        <f t="shared" si="176"/>
        <v>0</v>
      </c>
    </row>
    <row r="395" spans="1:21" s="326" customFormat="1" ht="12" customHeight="1" outlineLevel="1" x14ac:dyDescent="0.25">
      <c r="A395" s="316"/>
      <c r="C395" s="316"/>
      <c r="D395" s="316"/>
      <c r="K395" s="379"/>
      <c r="L395" s="379"/>
      <c r="M395" s="379"/>
      <c r="N395" s="379"/>
      <c r="O395" s="379"/>
      <c r="P395" s="379"/>
      <c r="Q395" s="379"/>
      <c r="R395" s="379"/>
      <c r="S395" s="379"/>
      <c r="T395" s="379"/>
      <c r="U395" s="379"/>
    </row>
    <row r="396" spans="1:21" s="326" customFormat="1" ht="12" customHeight="1" outlineLevel="1" x14ac:dyDescent="0.25">
      <c r="A396" s="380" t="s">
        <v>143</v>
      </c>
      <c r="B396" s="358" t="s">
        <v>83</v>
      </c>
      <c r="C396" s="316"/>
      <c r="D396" s="316"/>
    </row>
    <row r="397" spans="1:21" s="364" customFormat="1" ht="15" customHeight="1" outlineLevel="1" x14ac:dyDescent="0.25">
      <c r="A397" s="394"/>
      <c r="B397" s="364" t="s">
        <v>124</v>
      </c>
      <c r="C397" s="394" t="s">
        <v>11</v>
      </c>
      <c r="D397" s="444">
        <f>COUNT(L397:U397)</f>
        <v>5</v>
      </c>
      <c r="K397" s="365">
        <v>0</v>
      </c>
      <c r="L397" s="443">
        <f>IF(L404="N/A","",K397+1)</f>
        <v>1</v>
      </c>
      <c r="M397" s="443">
        <f t="shared" ref="M397:U397" si="177">IF(M404="N/A","",L397+1)</f>
        <v>2</v>
      </c>
      <c r="N397" s="443">
        <f t="shared" si="177"/>
        <v>3</v>
      </c>
      <c r="O397" s="443">
        <f>IF(O404="N/A","",N397+1)</f>
        <v>4</v>
      </c>
      <c r="P397" s="443">
        <f>IF(P404="N/A","",O397+1)</f>
        <v>5</v>
      </c>
      <c r="Q397" s="443"/>
      <c r="R397" s="443" t="str">
        <f t="shared" si="177"/>
        <v/>
      </c>
      <c r="S397" s="443" t="str">
        <f t="shared" si="177"/>
        <v/>
      </c>
      <c r="T397" s="443" t="str">
        <f t="shared" si="177"/>
        <v/>
      </c>
      <c r="U397" s="443" t="str">
        <f t="shared" si="177"/>
        <v/>
      </c>
    </row>
    <row r="398" spans="1:21" s="307" customFormat="1" outlineLevel="1" x14ac:dyDescent="0.2">
      <c r="A398" s="304"/>
      <c r="B398" s="307" t="s">
        <v>123</v>
      </c>
      <c r="C398" s="304" t="s">
        <v>20</v>
      </c>
      <c r="D398" s="448">
        <f>D382+D364</f>
        <v>53</v>
      </c>
      <c r="I398" s="297"/>
      <c r="J398" s="297"/>
      <c r="K398" s="360">
        <f>IF(SUM(K365,K383)=0,0,SUM(K365,K383))</f>
        <v>0</v>
      </c>
      <c r="L398" s="360">
        <v>0</v>
      </c>
      <c r="M398" s="360">
        <v>0</v>
      </c>
      <c r="N398" s="360">
        <v>0</v>
      </c>
      <c r="O398" s="360">
        <v>0</v>
      </c>
      <c r="P398" s="360">
        <v>0</v>
      </c>
      <c r="Q398" s="439"/>
      <c r="R398" s="439"/>
      <c r="S398" s="439"/>
      <c r="T398" s="439"/>
      <c r="U398" s="439"/>
    </row>
    <row r="399" spans="1:21" s="307" customFormat="1" outlineLevel="1" x14ac:dyDescent="0.2">
      <c r="A399" s="304"/>
      <c r="B399" s="395" t="s">
        <v>1039</v>
      </c>
      <c r="C399" s="304" t="s">
        <v>20</v>
      </c>
      <c r="D399" s="448">
        <v>0</v>
      </c>
      <c r="I399" s="297"/>
      <c r="J399" s="297"/>
      <c r="K399" s="360">
        <v>0</v>
      </c>
      <c r="L399" s="360">
        <v>7</v>
      </c>
      <c r="M399" s="360">
        <v>11</v>
      </c>
      <c r="N399" s="360">
        <v>10</v>
      </c>
      <c r="O399" s="360">
        <v>15</v>
      </c>
      <c r="P399" s="360">
        <v>10</v>
      </c>
      <c r="Q399" s="360"/>
      <c r="R399" s="362"/>
      <c r="S399" s="362"/>
      <c r="T399" s="362"/>
      <c r="U399" s="362"/>
    </row>
    <row r="400" spans="1:21" s="326" customFormat="1" ht="12" outlineLevel="1" x14ac:dyDescent="0.25">
      <c r="A400" s="316"/>
      <c r="B400" s="364" t="s">
        <v>148</v>
      </c>
      <c r="C400" s="316" t="s">
        <v>20</v>
      </c>
      <c r="D400" s="445"/>
      <c r="K400" s="442">
        <f t="shared" ref="K400:P400" si="178">IF(SUM(K401:K403)=0,0,SUM(K401:K403))</f>
        <v>0</v>
      </c>
      <c r="L400" s="442">
        <f>IF(SUM(L401:L403)=0,0,SUM(L401:L403))</f>
        <v>7</v>
      </c>
      <c r="M400" s="442">
        <f t="shared" si="178"/>
        <v>11</v>
      </c>
      <c r="N400" s="442">
        <f t="shared" si="178"/>
        <v>10</v>
      </c>
      <c r="O400" s="442">
        <f t="shared" si="178"/>
        <v>15</v>
      </c>
      <c r="P400" s="442">
        <f t="shared" si="178"/>
        <v>10</v>
      </c>
      <c r="Q400" s="442"/>
      <c r="R400" s="442"/>
      <c r="S400" s="442"/>
      <c r="T400" s="442"/>
      <c r="U400" s="442"/>
    </row>
    <row r="401" spans="1:21" s="307" customFormat="1" ht="24.95" customHeight="1" outlineLevel="1" x14ac:dyDescent="0.25">
      <c r="A401" s="446" t="str">
        <f>VLOOKUP(B401,'C UNIT PROG TÉCNICOS'!$B$8:$H$108,7,FALSE)</f>
        <v>CAPEX</v>
      </c>
      <c r="B401" s="367" t="s">
        <v>58</v>
      </c>
      <c r="C401" s="304" t="s">
        <v>20</v>
      </c>
      <c r="D401" s="304"/>
      <c r="I401" s="369"/>
      <c r="J401" s="369"/>
      <c r="K401" s="342">
        <v>0</v>
      </c>
      <c r="L401" s="439">
        <v>7</v>
      </c>
      <c r="M401" s="439">
        <f>ROUND(M399*80%,0)</f>
        <v>9</v>
      </c>
      <c r="N401" s="439">
        <f t="shared" ref="N401:P401" si="179">ROUND(N399*80%,0)</f>
        <v>8</v>
      </c>
      <c r="O401" s="439">
        <f t="shared" si="179"/>
        <v>12</v>
      </c>
      <c r="P401" s="439">
        <f t="shared" si="179"/>
        <v>8</v>
      </c>
      <c r="Q401" s="439"/>
      <c r="R401" s="439"/>
      <c r="S401" s="439"/>
      <c r="T401" s="439"/>
      <c r="U401" s="439"/>
    </row>
    <row r="402" spans="1:21" s="307" customFormat="1" ht="24.95" customHeight="1" outlineLevel="1" x14ac:dyDescent="0.25">
      <c r="A402" s="446" t="str">
        <f>VLOOKUP(B402,'C UNIT PROG TÉCNICOS'!$B$8:$H$108,7,FALSE)</f>
        <v>CAPEX</v>
      </c>
      <c r="B402" s="367" t="s">
        <v>59</v>
      </c>
      <c r="C402" s="304" t="s">
        <v>20</v>
      </c>
      <c r="D402" s="304"/>
      <c r="I402" s="369"/>
      <c r="J402" s="369"/>
      <c r="K402" s="342">
        <v>0</v>
      </c>
      <c r="L402" s="439">
        <v>0</v>
      </c>
      <c r="M402" s="439">
        <f>M399-M401</f>
        <v>2</v>
      </c>
      <c r="N402" s="439">
        <f t="shared" ref="N402:P402" si="180">N399-N401</f>
        <v>2</v>
      </c>
      <c r="O402" s="439">
        <f t="shared" si="180"/>
        <v>3</v>
      </c>
      <c r="P402" s="439">
        <f t="shared" si="180"/>
        <v>2</v>
      </c>
      <c r="Q402" s="439"/>
      <c r="R402" s="439"/>
      <c r="S402" s="439"/>
      <c r="T402" s="439"/>
      <c r="U402" s="439"/>
    </row>
    <row r="403" spans="1:21" s="307" customFormat="1" ht="24.95" customHeight="1" outlineLevel="1" x14ac:dyDescent="0.25">
      <c r="A403" s="446" t="str">
        <f>VLOOKUP(B403,'C UNIT PROG TÉCNICOS'!$B$8:$H$108,7,FALSE)</f>
        <v>OPEX</v>
      </c>
      <c r="B403" s="367" t="s">
        <v>22</v>
      </c>
      <c r="C403" s="304" t="s">
        <v>20</v>
      </c>
      <c r="D403" s="304" t="s">
        <v>19</v>
      </c>
      <c r="I403" s="369"/>
      <c r="J403" s="369"/>
      <c r="K403" s="362">
        <v>0</v>
      </c>
      <c r="L403" s="362">
        <v>0</v>
      </c>
      <c r="M403" s="362">
        <v>0</v>
      </c>
      <c r="N403" s="362">
        <v>0</v>
      </c>
      <c r="O403" s="362">
        <v>0</v>
      </c>
      <c r="P403" s="362">
        <v>0</v>
      </c>
      <c r="Q403" s="362"/>
      <c r="R403" s="362"/>
      <c r="S403" s="362"/>
      <c r="T403" s="362"/>
      <c r="U403" s="362"/>
    </row>
    <row r="404" spans="1:21" s="307" customFormat="1" ht="12" customHeight="1" outlineLevel="1" x14ac:dyDescent="0.25">
      <c r="A404" s="316"/>
      <c r="B404" s="307" t="s">
        <v>742</v>
      </c>
      <c r="D404" s="447" t="str">
        <f>IF(AND(A401="CAPEX",A402="CAPEX",A403="CAPEX"),"Inversión",IF(AND(A401="OPEX",A402="OPEX",A403="OPEX"),"Operación","I/O"))</f>
        <v>I/O</v>
      </c>
      <c r="I404" s="370"/>
      <c r="J404" s="370"/>
      <c r="K404" s="371" t="s">
        <v>8</v>
      </c>
      <c r="L404" s="371" t="s">
        <v>8</v>
      </c>
      <c r="M404" s="371" t="s">
        <v>8</v>
      </c>
      <c r="N404" s="371" t="s">
        <v>8</v>
      </c>
      <c r="O404" s="371" t="s">
        <v>8</v>
      </c>
      <c r="P404" s="371" t="s">
        <v>8</v>
      </c>
      <c r="Q404" s="371" t="s">
        <v>149</v>
      </c>
      <c r="R404" s="371" t="s">
        <v>149</v>
      </c>
      <c r="S404" s="371" t="s">
        <v>149</v>
      </c>
      <c r="T404" s="371" t="s">
        <v>149</v>
      </c>
      <c r="U404" s="371" t="s">
        <v>149</v>
      </c>
    </row>
    <row r="405" spans="1:21" s="307" customFormat="1" ht="12" customHeight="1" outlineLevel="1" x14ac:dyDescent="0.25">
      <c r="A405" s="316"/>
      <c r="B405" s="307" t="s">
        <v>762</v>
      </c>
      <c r="C405" s="304"/>
      <c r="D405" s="304"/>
      <c r="K405" s="448">
        <f>IF(K404="N/A",0,IF(K404="SI",0,IF(OR($D404="I/O",$D404="Inversión"),0,SUM(VLOOKUP($B401,'C UNIT PROG TÉCNICOS'!$B$8:$G$160,6,FALSE)*'EV PROG TÉCNICOS'!K401,VLOOKUP($B402,'C UNIT PROG TÉCNICOS'!$B$8:$G$160,6,FALSE)*'EV PROG TÉCNICOS'!K402,VLOOKUP($B403,'C UNIT PROG TÉCNICOS'!$B$8:$G$160,6,FALSE)*'EV PROG TÉCNICOS'!K403))))</f>
        <v>0</v>
      </c>
      <c r="L405" s="448">
        <f>IF(L404="N/A",0,IF(L404="SI",0,IF(OR($D404="I/O",$D404="Inversión"),0,SUM(VLOOKUP($B401,'C UNIT PROG TÉCNICOS'!$B$8:$G$160,6,FALSE)*'EV PROG TÉCNICOS'!L401,VLOOKUP($B402,'C UNIT PROG TÉCNICOS'!$B$8:$G$160,6,FALSE)*'EV PROG TÉCNICOS'!L402,VLOOKUP($B403,'C UNIT PROG TÉCNICOS'!$B$8:$G$160,6,FALSE)*'EV PROG TÉCNICOS'!L403))))</f>
        <v>0</v>
      </c>
      <c r="M405" s="448">
        <f>IF(M404="N/A",0,IF(M404="SI",0,IF(OR($D404="I/O",$D404="Inversión"),0,SUM(VLOOKUP($B401,'C UNIT PROG TÉCNICOS'!$B$8:$G$160,6,FALSE)*'EV PROG TÉCNICOS'!M401,VLOOKUP($B402,'C UNIT PROG TÉCNICOS'!$B$8:$G$160,6,FALSE)*'EV PROG TÉCNICOS'!M402,VLOOKUP($B403,'C UNIT PROG TÉCNICOS'!$B$8:$G$160,6,FALSE)*'EV PROG TÉCNICOS'!M403))))</f>
        <v>0</v>
      </c>
      <c r="N405" s="448">
        <f>IF(N404="N/A",0,IF(N404="SI",0,IF(OR($D404="I/O",$D404="Inversión"),0,SUM(VLOOKUP($B401,'C UNIT PROG TÉCNICOS'!$B$8:$G$160,6,FALSE)*'EV PROG TÉCNICOS'!N401,VLOOKUP($B402,'C UNIT PROG TÉCNICOS'!$B$8:$G$160,6,FALSE)*'EV PROG TÉCNICOS'!N402,VLOOKUP($B403,'C UNIT PROG TÉCNICOS'!$B$8:$G$160,6,FALSE)*'EV PROG TÉCNICOS'!N403))))</f>
        <v>0</v>
      </c>
      <c r="O405" s="448">
        <f>IF(O404="N/A",0,IF(O404="SI",0,IF(OR($D404="I/O",$D404="Inversión"),0,SUM(VLOOKUP($B401,'C UNIT PROG TÉCNICOS'!$B$8:$G$160,6,FALSE)*'EV PROG TÉCNICOS'!O401,VLOOKUP($B402,'C UNIT PROG TÉCNICOS'!$B$8:$G$160,6,FALSE)*'EV PROG TÉCNICOS'!O402,VLOOKUP($B403,'C UNIT PROG TÉCNICOS'!$B$8:$G$160,6,FALSE)*'EV PROG TÉCNICOS'!O403))))</f>
        <v>0</v>
      </c>
      <c r="P405" s="448">
        <f>IF(P404="N/A",0,IF(P404="SI",0,IF(OR($D404="I/O",$D404="Inversión"),0,SUM(VLOOKUP($B401,'C UNIT PROG TÉCNICOS'!$B$8:$G$160,6,FALSE)*'EV PROG TÉCNICOS'!P401,VLOOKUP($B402,'C UNIT PROG TÉCNICOS'!$B$8:$G$160,6,FALSE)*'EV PROG TÉCNICOS'!P402,VLOOKUP($B403,'C UNIT PROG TÉCNICOS'!$B$8:$G$160,6,FALSE)*'EV PROG TÉCNICOS'!P403))))</f>
        <v>0</v>
      </c>
      <c r="Q405" s="448">
        <f>IF(Q404="N/A",0,IF(Q404="SI",0,IF(OR($D404="I/O",$D404="Inversión"),0,SUM(VLOOKUP($B401,'C UNIT PROG TÉCNICOS'!$B$8:$G$160,6,FALSE)*'EV PROG TÉCNICOS'!Q401,VLOOKUP($B402,'C UNIT PROG TÉCNICOS'!$B$8:$G$160,6,FALSE)*'EV PROG TÉCNICOS'!Q402,VLOOKUP($B403,'C UNIT PROG TÉCNICOS'!$B$8:$G$160,6,FALSE)*'EV PROG TÉCNICOS'!Q403))))</f>
        <v>0</v>
      </c>
      <c r="R405" s="448">
        <f>IF(R404="N/A",0,IF(R404="SI",0,IF(OR($D404="I/O",$D404="Inversión"),0,SUM(VLOOKUP($B401,'C UNIT PROG TÉCNICOS'!$B$8:$G$160,6,FALSE)*'EV PROG TÉCNICOS'!R401,VLOOKUP($B402,'C UNIT PROG TÉCNICOS'!$B$8:$G$160,6,FALSE)*'EV PROG TÉCNICOS'!R402,VLOOKUP($B403,'C UNIT PROG TÉCNICOS'!$B$8:$G$160,6,FALSE)*'EV PROG TÉCNICOS'!R403))))</f>
        <v>0</v>
      </c>
      <c r="S405" s="448">
        <f>IF(S404="N/A",0,IF(S404="SI",0,IF(OR($D404="I/O",$D404="Inversión"),0,SUM(VLOOKUP($B401,'C UNIT PROG TÉCNICOS'!$B$8:$G$160,6,FALSE)*'EV PROG TÉCNICOS'!S401,VLOOKUP($B402,'C UNIT PROG TÉCNICOS'!$B$8:$G$160,6,FALSE)*'EV PROG TÉCNICOS'!S402,VLOOKUP($B403,'C UNIT PROG TÉCNICOS'!$B$8:$G$160,6,FALSE)*'EV PROG TÉCNICOS'!S403))))</f>
        <v>0</v>
      </c>
      <c r="T405" s="448">
        <f>IF(T404="N/A",0,IF(T404="SI",0,IF(OR($D404="I/O",$D404="Inversión"),0,SUM(VLOOKUP($B401,'C UNIT PROG TÉCNICOS'!$B$8:$G$160,6,FALSE)*'EV PROG TÉCNICOS'!T401,VLOOKUP($B402,'C UNIT PROG TÉCNICOS'!$B$8:$G$160,6,FALSE)*'EV PROG TÉCNICOS'!T402,VLOOKUP($B403,'C UNIT PROG TÉCNICOS'!$B$8:$G$160,6,FALSE)*'EV PROG TÉCNICOS'!T403))))</f>
        <v>0</v>
      </c>
      <c r="U405" s="448">
        <f>IF(U404="N/A",0,IF(U404="SI",0,IF(OR($D404="I/O",$D404="Inversión"),0,SUM(VLOOKUP($B401,'C UNIT PROG TÉCNICOS'!$B$8:$G$160,6,FALSE)*'EV PROG TÉCNICOS'!U401,VLOOKUP($B402,'C UNIT PROG TÉCNICOS'!$B$8:$G$160,6,FALSE)*'EV PROG TÉCNICOS'!U402,VLOOKUP($B403,'C UNIT PROG TÉCNICOS'!$B$8:$G$160,6,FALSE)*'EV PROG TÉCNICOS'!U403))))</f>
        <v>0</v>
      </c>
    </row>
    <row r="406" spans="1:21" s="307" customFormat="1" ht="12" customHeight="1" outlineLevel="1" x14ac:dyDescent="0.25">
      <c r="A406" s="316"/>
      <c r="B406" s="307" t="s">
        <v>763</v>
      </c>
      <c r="C406" s="304" t="s">
        <v>6</v>
      </c>
      <c r="D406" s="304"/>
      <c r="K406" s="450">
        <f t="shared" ref="K406:U406" si="181">IF(K404="N/A",0,IF(K404="SI",0,K$21*K405))</f>
        <v>0</v>
      </c>
      <c r="L406" s="450">
        <f t="shared" si="181"/>
        <v>0</v>
      </c>
      <c r="M406" s="450">
        <f t="shared" si="181"/>
        <v>0</v>
      </c>
      <c r="N406" s="450">
        <f t="shared" si="181"/>
        <v>0</v>
      </c>
      <c r="O406" s="450">
        <f t="shared" si="181"/>
        <v>0</v>
      </c>
      <c r="P406" s="450">
        <f t="shared" si="181"/>
        <v>0</v>
      </c>
      <c r="Q406" s="450">
        <f t="shared" si="181"/>
        <v>0</v>
      </c>
      <c r="R406" s="450">
        <f t="shared" si="181"/>
        <v>0</v>
      </c>
      <c r="S406" s="450">
        <f t="shared" si="181"/>
        <v>0</v>
      </c>
      <c r="T406" s="450">
        <f t="shared" si="181"/>
        <v>0</v>
      </c>
      <c r="U406" s="450">
        <f t="shared" si="181"/>
        <v>0</v>
      </c>
    </row>
    <row r="407" spans="1:21" s="307" customFormat="1" ht="12" customHeight="1" outlineLevel="1" x14ac:dyDescent="0.25">
      <c r="A407" s="316"/>
      <c r="B407" s="307" t="s">
        <v>764</v>
      </c>
      <c r="C407" s="304" t="s">
        <v>6</v>
      </c>
      <c r="D407" s="304"/>
      <c r="K407" s="450">
        <f>IF(K404="N/A",0,IF(K404="SI",0,IF(OR($D404="Inversión",$D404="I/O"),SUM(VLOOKUP($B401,'C UNIT PROG TÉCNICOS'!$B$8:$G$160,5,FALSE)*'EV PROG TÉCNICOS'!K401,VLOOKUP($B402,'C UNIT PROG TÉCNICOS'!$B$8:$G$160,5,FALSE)*'EV PROG TÉCNICOS'!K402,VLOOKUP($B403,'C UNIT PROG TÉCNICOS'!$B$8:$G$160,5,FALSE)*'EV PROG TÉCNICOS'!K403),0)))</f>
        <v>0</v>
      </c>
      <c r="L407" s="450">
        <f>IF(L404="N/A",0,IF(L404="SI",0,IF(OR($D404="Inversión",$D404="I/O"),SUM(VLOOKUP($B401,'C UNIT PROG TÉCNICOS'!$B$8:$G$160,5,FALSE)*'EV PROG TÉCNICOS'!L401,VLOOKUP($B402,'C UNIT PROG TÉCNICOS'!$B$8:$G$160,5,FALSE)*'EV PROG TÉCNICOS'!L402,VLOOKUP($B403,'C UNIT PROG TÉCNICOS'!$B$8:$G$160,5,FALSE)*'EV PROG TÉCNICOS'!L403),0))*((1+$D$24)^(L$3-$K$3)))</f>
        <v>64980265.367250398</v>
      </c>
      <c r="M407" s="450">
        <f>IF(M404="N/A",0,IF(M404="SI",0,IF(OR($D404="Inversión",$D404="I/O"),SUM(VLOOKUP($B401,'C UNIT PROG TÉCNICOS'!$B$8:$G$160,5,FALSE)*'EV PROG TÉCNICOS'!M401,VLOOKUP($B402,'C UNIT PROG TÉCNICOS'!$B$8:$G$160,5,FALSE)*'EV PROG TÉCNICOS'!M402,VLOOKUP($B403,'C UNIT PROG TÉCNICOS'!$B$8:$G$160,5,FALSE)*'EV PROG TÉCNICOS'!M403),0))*((1+$D$24)^(M$3-$K$3)))</f>
        <v>107095935.52142638</v>
      </c>
      <c r="N407" s="450">
        <f>IF(N404="N/A",0,IF(N404="SI",0,IF(OR($D404="Inversión",$D404="I/O"),SUM(VLOOKUP($B401,'C UNIT PROG TÉCNICOS'!$B$8:$G$160,5,FALSE)*'EV PROG TÉCNICOS'!N401,VLOOKUP($B402,'C UNIT PROG TÉCNICOS'!$B$8:$G$160,5,FALSE)*'EV PROG TÉCNICOS'!N402,VLOOKUP($B403,'C UNIT PROG TÉCNICOS'!$B$8:$G$160,5,FALSE)*'EV PROG TÉCNICOS'!N403),0))*((1+$D$24)^(N$3-$K$3)))</f>
        <v>100952585.09725493</v>
      </c>
      <c r="O407" s="450">
        <f>IF(O404="N/A",0,IF(O404="SI",0,IF(OR($D404="Inversión",$D404="I/O"),SUM(VLOOKUP($B401,'C UNIT PROG TÉCNICOS'!$B$8:$G$160,5,FALSE)*'EV PROG TÉCNICOS'!O401,VLOOKUP($B402,'C UNIT PROG TÉCNICOS'!$B$8:$G$160,5,FALSE)*'EV PROG TÉCNICOS'!O402,VLOOKUP($B403,'C UNIT PROG TÉCNICOS'!$B$8:$G$160,5,FALSE)*'EV PROG TÉCNICOS'!O403),0))*((1+$D$24)^(O$3-$K$3)))</f>
        <v>156819118.77452236</v>
      </c>
      <c r="P407" s="450">
        <f>IF(P404="N/A",0,IF(P404="SI",0,IF(OR($D404="Inversión",$D404="I/O"),SUM(VLOOKUP($B401,'C UNIT PROG TÉCNICOS'!$B$8:$G$160,5,FALSE)*'EV PROG TÉCNICOS'!P401,VLOOKUP($B402,'C UNIT PROG TÉCNICOS'!$B$8:$G$160,5,FALSE)*'EV PROG TÉCNICOS'!P402,VLOOKUP($B403,'C UNIT PROG TÉCNICOS'!$B$8:$G$160,5,FALSE)*'EV PROG TÉCNICOS'!P403),0))*((1+$D$24)^(P$3-$K$3)))</f>
        <v>108267486.78116241</v>
      </c>
      <c r="Q407" s="450">
        <f>IF(Q404="N/A",0,IF(Q404="SI",0,IF(OR($D404="Inversión",$D404="I/O"),SUM(VLOOKUP($B401,'C UNIT PROG TÉCNICOS'!$B$8:$G$160,5,FALSE)*'EV PROG TÉCNICOS'!Q401,VLOOKUP($B402,'C UNIT PROG TÉCNICOS'!$B$8:$G$160,5,FALSE)*'EV PROG TÉCNICOS'!Q402,VLOOKUP($B403,'C UNIT PROG TÉCNICOS'!$B$8:$G$160,5,FALSE)*'EV PROG TÉCNICOS'!Q403),0))*((1+$D$24)^(Q$3-$K$3)))</f>
        <v>0</v>
      </c>
      <c r="R407" s="450">
        <f>IF(R404="N/A",0,IF(R404="SI",0,IF(OR($D404="Inversión",$D404="I/O"),SUM(VLOOKUP($B401,'C UNIT PROG TÉCNICOS'!$B$8:$G$160,5,FALSE)*'EV PROG TÉCNICOS'!R401,VLOOKUP($B402,'C UNIT PROG TÉCNICOS'!$B$8:$G$160,5,FALSE)*'EV PROG TÉCNICOS'!R402,VLOOKUP($B403,'C UNIT PROG TÉCNICOS'!$B$8:$G$160,5,FALSE)*'EV PROG TÉCNICOS'!R403),0))*((1+$D$24)^(R$3-$K$3)))</f>
        <v>0</v>
      </c>
      <c r="S407" s="450">
        <f>IF(S404="N/A",0,IF(S404="SI",0,IF(OR($D404="Inversión",$D404="I/O"),SUM(VLOOKUP($B401,'C UNIT PROG TÉCNICOS'!$B$8:$G$160,5,FALSE)*'EV PROG TÉCNICOS'!S401,VLOOKUP($B402,'C UNIT PROG TÉCNICOS'!$B$8:$G$160,5,FALSE)*'EV PROG TÉCNICOS'!S402,VLOOKUP($B403,'C UNIT PROG TÉCNICOS'!$B$8:$G$160,5,FALSE)*'EV PROG TÉCNICOS'!S403),0))*((1+$D$24)^(S$3-$K$3)))</f>
        <v>0</v>
      </c>
      <c r="T407" s="450">
        <f>IF(T404="N/A",0,IF(T404="SI",0,IF(OR($D404="Inversión",$D404="I/O"),SUM(VLOOKUP($B401,'C UNIT PROG TÉCNICOS'!$B$8:$G$160,5,FALSE)*'EV PROG TÉCNICOS'!T401,VLOOKUP($B402,'C UNIT PROG TÉCNICOS'!$B$8:$G$160,5,FALSE)*'EV PROG TÉCNICOS'!T402,VLOOKUP($B403,'C UNIT PROG TÉCNICOS'!$B$8:$G$160,5,FALSE)*'EV PROG TÉCNICOS'!T403),0))*((1+$D$24)^(T$3-$K$3)))</f>
        <v>0</v>
      </c>
      <c r="U407" s="450">
        <f>IF(U404="N/A",0,IF(U404="SI",0,IF(OR($D404="Inversión",$D404="I/O"),SUM(VLOOKUP($B401,'C UNIT PROG TÉCNICOS'!$B$8:$G$160,5,FALSE)*'EV PROG TÉCNICOS'!U401,VLOOKUP($B402,'C UNIT PROG TÉCNICOS'!$B$8:$G$160,5,FALSE)*'EV PROG TÉCNICOS'!U402,VLOOKUP($B403,'C UNIT PROG TÉCNICOS'!$B$8:$G$160,5,FALSE)*'EV PROG TÉCNICOS'!U403),0))*((1+$D$24)^(U$3-$K$3)))</f>
        <v>0</v>
      </c>
    </row>
    <row r="408" spans="1:21" s="376" customFormat="1" ht="24" customHeight="1" outlineLevel="1" x14ac:dyDescent="0.25">
      <c r="A408" s="374"/>
      <c r="B408" s="454" t="str">
        <f>CONCATENATE("VNA  ",B396)</f>
        <v>VNA  Telemetría y/o almacenamiento local de datos</v>
      </c>
      <c r="C408" s="374" t="s">
        <v>6</v>
      </c>
      <c r="D408" s="453">
        <f>NPV($D$31,L408:U408)+K408</f>
        <v>336036417.93101311</v>
      </c>
      <c r="K408" s="452">
        <f>IF(OR(K404="N/A",K405=0),0,IF($D404="Operación",K406,K407))</f>
        <v>0</v>
      </c>
      <c r="L408" s="452">
        <f t="shared" ref="L408:U408" si="182">IF(L404="N/A",0,IF($D404="Operación",L406,L407))</f>
        <v>64980265.367250398</v>
      </c>
      <c r="M408" s="452">
        <f t="shared" si="182"/>
        <v>107095935.52142638</v>
      </c>
      <c r="N408" s="452">
        <f t="shared" si="182"/>
        <v>100952585.09725493</v>
      </c>
      <c r="O408" s="452">
        <f t="shared" si="182"/>
        <v>156819118.77452236</v>
      </c>
      <c r="P408" s="452">
        <f t="shared" si="182"/>
        <v>108267486.78116241</v>
      </c>
      <c r="Q408" s="452">
        <f t="shared" si="182"/>
        <v>0</v>
      </c>
      <c r="R408" s="452">
        <f t="shared" si="182"/>
        <v>0</v>
      </c>
      <c r="S408" s="452">
        <f t="shared" si="182"/>
        <v>0</v>
      </c>
      <c r="T408" s="452">
        <f t="shared" si="182"/>
        <v>0</v>
      </c>
      <c r="U408" s="452">
        <f t="shared" si="182"/>
        <v>0</v>
      </c>
    </row>
    <row r="409" spans="1:21" s="376" customFormat="1" ht="15" customHeight="1" outlineLevel="1" x14ac:dyDescent="0.25">
      <c r="A409" s="374"/>
      <c r="B409" s="454" t="str">
        <f>CONCATENATE("Volumen de agua recuperado ",B396)</f>
        <v>Volumen de agua recuperado Telemetría y/o almacenamiento local de datos</v>
      </c>
      <c r="C409" s="374" t="s">
        <v>106</v>
      </c>
      <c r="D409" s="374"/>
      <c r="K409" s="396"/>
      <c r="L409" s="396"/>
      <c r="M409" s="396"/>
      <c r="N409" s="396"/>
      <c r="O409" s="396"/>
      <c r="P409" s="396"/>
      <c r="Q409" s="396"/>
      <c r="R409" s="396"/>
      <c r="S409" s="396"/>
      <c r="T409" s="396"/>
      <c r="U409" s="396"/>
    </row>
    <row r="410" spans="1:21" s="376" customFormat="1" ht="15" customHeight="1" outlineLevel="1" x14ac:dyDescent="0.25">
      <c r="A410" s="374"/>
      <c r="B410" s="376" t="s">
        <v>750</v>
      </c>
      <c r="C410" s="374" t="s">
        <v>6</v>
      </c>
      <c r="D410" s="453">
        <f>NPV($D$31,L410:U410)+K410</f>
        <v>0</v>
      </c>
      <c r="K410" s="452">
        <f>IF(OR(K404="N/A",K409=0),0,K409*K$29)</f>
        <v>0</v>
      </c>
      <c r="L410" s="452">
        <f>IF(OR(L404="N/A",L409=0),0,L409*L$29)</f>
        <v>0</v>
      </c>
      <c r="M410" s="452">
        <f t="shared" ref="M410:U410" si="183">IF(OR(M404="N/A",M409=0),0,M409*M$29)</f>
        <v>0</v>
      </c>
      <c r="N410" s="452">
        <f t="shared" si="183"/>
        <v>0</v>
      </c>
      <c r="O410" s="452">
        <f t="shared" si="183"/>
        <v>0</v>
      </c>
      <c r="P410" s="452">
        <f t="shared" si="183"/>
        <v>0</v>
      </c>
      <c r="Q410" s="452">
        <f t="shared" si="183"/>
        <v>0</v>
      </c>
      <c r="R410" s="452">
        <f t="shared" si="183"/>
        <v>0</v>
      </c>
      <c r="S410" s="452">
        <f t="shared" si="183"/>
        <v>0</v>
      </c>
      <c r="T410" s="452">
        <f t="shared" si="183"/>
        <v>0</v>
      </c>
      <c r="U410" s="452">
        <f t="shared" si="183"/>
        <v>0</v>
      </c>
    </row>
    <row r="411" spans="1:21" s="376" customFormat="1" ht="15" customHeight="1" outlineLevel="1" x14ac:dyDescent="0.25">
      <c r="A411" s="374"/>
      <c r="B411" s="376" t="s">
        <v>751</v>
      </c>
      <c r="C411" s="374"/>
      <c r="D411" s="455">
        <f>IFERROR(ROUND(IF(D410/D408=0,0,D410/D408),2),0)</f>
        <v>0</v>
      </c>
      <c r="K411" s="455">
        <f>IFERROR(ROUND(IF(K410/K408=0,0,K410/K408),2),0)</f>
        <v>0</v>
      </c>
      <c r="L411" s="455">
        <f>IFERROR(ROUND(IF(L410/L408=0,0,L410/L408),2),0)</f>
        <v>0</v>
      </c>
      <c r="M411" s="455">
        <f t="shared" ref="M411:U411" si="184">IFERROR(ROUND(IF(M410/M408=0,0,M410/M408),2),0)</f>
        <v>0</v>
      </c>
      <c r="N411" s="455">
        <f t="shared" si="184"/>
        <v>0</v>
      </c>
      <c r="O411" s="455">
        <f t="shared" si="184"/>
        <v>0</v>
      </c>
      <c r="P411" s="455">
        <f t="shared" si="184"/>
        <v>0</v>
      </c>
      <c r="Q411" s="455">
        <f t="shared" si="184"/>
        <v>0</v>
      </c>
      <c r="R411" s="455">
        <f t="shared" si="184"/>
        <v>0</v>
      </c>
      <c r="S411" s="455">
        <f t="shared" si="184"/>
        <v>0</v>
      </c>
      <c r="T411" s="455">
        <f t="shared" si="184"/>
        <v>0</v>
      </c>
      <c r="U411" s="455">
        <f t="shared" si="184"/>
        <v>0</v>
      </c>
    </row>
    <row r="412" spans="1:21" s="307" customFormat="1" ht="12" customHeight="1" outlineLevel="1" x14ac:dyDescent="0.25">
      <c r="A412" s="304"/>
    </row>
    <row r="413" spans="1:21" s="307" customFormat="1" ht="12" customHeight="1" outlineLevel="1" x14ac:dyDescent="0.25">
      <c r="A413" s="380" t="s">
        <v>144</v>
      </c>
      <c r="B413" s="358" t="s">
        <v>23</v>
      </c>
      <c r="K413" s="365">
        <v>0</v>
      </c>
      <c r="L413" s="443">
        <f>IF(L415="N/A","",K413+1)</f>
        <v>1</v>
      </c>
      <c r="M413" s="443">
        <f>IF(M415="N/A","",L413+1)</f>
        <v>2</v>
      </c>
      <c r="N413" s="443">
        <f>IF(N415="N/A","",M413+1)</f>
        <v>3</v>
      </c>
      <c r="O413" s="443">
        <f>IF(O415="N/A","",N413+1)</f>
        <v>4</v>
      </c>
      <c r="P413" s="443">
        <f t="shared" ref="P413:U413" si="185">IF(P415="N/A","",O413+1)</f>
        <v>5</v>
      </c>
      <c r="Q413" s="443">
        <f t="shared" si="185"/>
        <v>6</v>
      </c>
      <c r="R413" s="443">
        <f t="shared" si="185"/>
        <v>7</v>
      </c>
      <c r="S413" s="443">
        <f t="shared" si="185"/>
        <v>8</v>
      </c>
      <c r="T413" s="443">
        <f t="shared" si="185"/>
        <v>9</v>
      </c>
      <c r="U413" s="443">
        <f t="shared" si="185"/>
        <v>10</v>
      </c>
    </row>
    <row r="414" spans="1:21" s="307" customFormat="1" ht="24.95" customHeight="1" outlineLevel="1" x14ac:dyDescent="0.25">
      <c r="A414" s="446" t="str">
        <f>VLOOKUP(B414,'C UNIT PROG TÉCNICOS'!$B$8:$H$108,7,FALSE)</f>
        <v>OPEX</v>
      </c>
      <c r="B414" s="367" t="s">
        <v>62</v>
      </c>
      <c r="C414" s="304" t="s">
        <v>20</v>
      </c>
      <c r="D414" s="304" t="s">
        <v>19</v>
      </c>
      <c r="I414" s="369"/>
      <c r="J414" s="369"/>
      <c r="K414" s="442">
        <v>0</v>
      </c>
      <c r="L414" s="442">
        <f>IF(IF(SUM(L363,L381)=0,0,SUM(L363,L381))&lt;K414,IF(AND(L363=0,L381=0),SUM($D$362,$D$380),IF(L363=0,SUM($D$362,L381),IF(L381=0,SUM(L363,$D$380),SUM(L363,L381)))),SUM(L363,L381))</f>
        <v>41</v>
      </c>
      <c r="M414" s="442">
        <f>IF(IF(SUM(M363,M381)=0,0,SUM(M363,M381))&lt;L414,IF(AND(M363=0,M381=0),SUM($D$362,$D$380),IF(M363=0,SUM($D$362,M381),IF(M381=0,SUM(M363,$D$380),SUM(M363,M381)))),SUM(M363,M381))</f>
        <v>53</v>
      </c>
      <c r="N414" s="442">
        <f>IF(IF(SUM(N363,N381)=0,0,SUM(N363,N381))&lt;M414,IF(AND(N363=0,N381=0),SUM($D$362,$D$380),IF(N363=0,SUM($D$362,N381),IF(N381=0,SUM(N363,$D$380),SUM(N363,N381)))),SUM(N363,N381))</f>
        <v>64</v>
      </c>
      <c r="O414" s="442">
        <f>IF(IF(SUM(O363,O381)=0,0,SUM(O363,O381))&lt;N414,IF(AND(O363=0,O381=0),SUM($D$362,$D$380),IF(O363=0,SUM($D$362,O381),IF(O381=0,SUM(O363,$D$380),SUM(O363,O381)))),SUM(O363,O381))</f>
        <v>77</v>
      </c>
      <c r="P414" s="442">
        <f t="shared" ref="P414:U414" si="186">IF(IF(SUM(P363,P381)=0,0,SUM(P363,P381))&lt;O414,IF(AND(P363=0,P381=0),SUM($D$362,$D$380),IF(P363=0,SUM($D$362,P381),IF(P381=0,SUM(P363,$D$380),SUM(P363,P381)))),SUM(P363,P381))</f>
        <v>96</v>
      </c>
      <c r="Q414" s="442">
        <f t="shared" si="186"/>
        <v>96</v>
      </c>
      <c r="R414" s="442">
        <f t="shared" si="186"/>
        <v>96</v>
      </c>
      <c r="S414" s="442">
        <f t="shared" si="186"/>
        <v>96</v>
      </c>
      <c r="T414" s="442">
        <f t="shared" si="186"/>
        <v>96</v>
      </c>
      <c r="U414" s="442">
        <f t="shared" si="186"/>
        <v>96</v>
      </c>
    </row>
    <row r="415" spans="1:21" s="307" customFormat="1" ht="12" customHeight="1" outlineLevel="1" x14ac:dyDescent="0.25">
      <c r="A415" s="316"/>
      <c r="B415" s="307" t="s">
        <v>742</v>
      </c>
      <c r="D415" s="447" t="str">
        <f>IF(A414="CAPEX","Inversión",IF(A414="OPEX","Operación","I/O"))</f>
        <v>Operación</v>
      </c>
      <c r="I415" s="370"/>
      <c r="J415" s="370"/>
      <c r="K415" s="371" t="s">
        <v>8</v>
      </c>
      <c r="L415" s="371" t="s">
        <v>8</v>
      </c>
      <c r="M415" s="371" t="s">
        <v>8</v>
      </c>
      <c r="N415" s="371" t="s">
        <v>8</v>
      </c>
      <c r="O415" s="371" t="s">
        <v>8</v>
      </c>
      <c r="P415" s="371" t="s">
        <v>8</v>
      </c>
      <c r="Q415" s="371" t="s">
        <v>8</v>
      </c>
      <c r="R415" s="371" t="s">
        <v>8</v>
      </c>
      <c r="S415" s="371" t="s">
        <v>8</v>
      </c>
      <c r="T415" s="371" t="s">
        <v>8</v>
      </c>
      <c r="U415" s="371" t="s">
        <v>8</v>
      </c>
    </row>
    <row r="416" spans="1:21" s="307" customFormat="1" ht="12" customHeight="1" outlineLevel="1" x14ac:dyDescent="0.25">
      <c r="A416" s="316"/>
      <c r="B416" s="307" t="s">
        <v>762</v>
      </c>
      <c r="C416" s="304"/>
      <c r="D416" s="304"/>
      <c r="K416" s="448">
        <f>IF(K415="N/A",0,IF(K415="SI",0,SUM(IF($D415="Inversión",0,VLOOKUP($B414,'C UNIT PROG TÉCNICOS'!$B$8:$G$160,6,FALSE)*'EV PROG TÉCNICOS'!K414))))</f>
        <v>0</v>
      </c>
      <c r="L416" s="448">
        <f>IF(L415="N/A",0,IF(L415="SI",0,SUM(IF($D415="Inversión",0,VLOOKUP($B414,'C UNIT PROG TÉCNICOS'!$B$8:$G$160,6,FALSE)*'EV PROG TÉCNICOS'!L414))))</f>
        <v>16.072473949186278</v>
      </c>
      <c r="M416" s="448">
        <f>IF(M415="N/A",0,IF(M415="SI",0,SUM(IF($D415="Inversión",0,VLOOKUP($B414,'C UNIT PROG TÉCNICOS'!$B$8:$G$160,6,FALSE)*'EV PROG TÉCNICOS'!M414))))</f>
        <v>20.776612666021286</v>
      </c>
      <c r="N416" s="448">
        <f>IF(N415="N/A",0,IF(N415="SI",0,SUM(IF($D415="Inversión",0,VLOOKUP($B414,'C UNIT PROG TÉCNICOS'!$B$8:$G$160,6,FALSE)*'EV PROG TÉCNICOS'!N414))))</f>
        <v>25.088739823120044</v>
      </c>
      <c r="O416" s="448">
        <f>IF(O415="N/A",0,IF(O415="SI",0,SUM(IF($D415="Inversión",0,VLOOKUP($B414,'C UNIT PROG TÉCNICOS'!$B$8:$G$160,6,FALSE)*'EV PROG TÉCNICOS'!O414))))</f>
        <v>30.184890099691302</v>
      </c>
      <c r="P416" s="448">
        <f>IF(P415="N/A",0,IF(P415="SI",0,SUM(IF($D415="Inversión",0,VLOOKUP($B414,'C UNIT PROG TÉCNICOS'!$B$8:$G$160,6,FALSE)*'EV PROG TÉCNICOS'!P414))))</f>
        <v>37.633109734680062</v>
      </c>
      <c r="Q416" s="448">
        <f>IF(Q415="N/A",0,IF(Q415="SI",0,SUM(IF($D415="Inversión",0,VLOOKUP($B414,'C UNIT PROG TÉCNICOS'!$B$8:$G$160,6,FALSE)*'EV PROG TÉCNICOS'!Q414))))</f>
        <v>37.633109734680062</v>
      </c>
      <c r="R416" s="448">
        <f>IF(R415="N/A",0,IF(R415="SI",0,SUM(IF($D415="Inversión",0,VLOOKUP($B414,'C UNIT PROG TÉCNICOS'!$B$8:$G$160,6,FALSE)*'EV PROG TÉCNICOS'!R414))))</f>
        <v>37.633109734680062</v>
      </c>
      <c r="S416" s="448">
        <f>IF(S415="N/A",0,IF(S415="SI",0,SUM(IF($D415="Inversión",0,VLOOKUP($B414,'C UNIT PROG TÉCNICOS'!$B$8:$G$160,6,FALSE)*'EV PROG TÉCNICOS'!S414))))</f>
        <v>37.633109734680062</v>
      </c>
      <c r="T416" s="448">
        <f>IF(T415="N/A",0,IF(T415="SI",0,SUM(IF($D415="Inversión",0,VLOOKUP($B414,'C UNIT PROG TÉCNICOS'!$B$8:$G$160,6,FALSE)*'EV PROG TÉCNICOS'!T414))))</f>
        <v>37.633109734680062</v>
      </c>
      <c r="U416" s="448">
        <f>IF(U415="N/A",0,IF(U415="SI",0,SUM(IF($D415="Inversión",0,VLOOKUP($B414,'C UNIT PROG TÉCNICOS'!$B$8:$G$160,6,FALSE)*'EV PROG TÉCNICOS'!U414))))</f>
        <v>37.633109734680062</v>
      </c>
    </row>
    <row r="417" spans="1:21" s="307" customFormat="1" ht="12" customHeight="1" outlineLevel="1" x14ac:dyDescent="0.25">
      <c r="A417" s="316"/>
      <c r="B417" s="307" t="s">
        <v>763</v>
      </c>
      <c r="C417" s="304" t="s">
        <v>6</v>
      </c>
      <c r="D417" s="304"/>
      <c r="K417" s="450">
        <f>IF(K415="N/A",0,IF(K415="SI",0,K$21*K416))</f>
        <v>0</v>
      </c>
      <c r="L417" s="450">
        <f>IF(L415="N/A",0,IF(L415="SI",0,L$21*L416))</f>
        <v>28141375</v>
      </c>
      <c r="M417" s="450">
        <f>IF(M415="N/A",0,IF(M415="SI",0,M$21*M416))</f>
        <v>38444131.024425</v>
      </c>
      <c r="N417" s="450">
        <f>IF(N415="N/A",0,IF(N415="SI",0,N$21*N416))</f>
        <v>49059924.501477599</v>
      </c>
      <c r="O417" s="450">
        <f>IF(O415="N/A",0,IF(O415="SI",0,O$21*O416))</f>
        <v>62377842.451415628</v>
      </c>
      <c r="P417" s="450">
        <f t="shared" ref="P417:U417" si="187">IF(P415="N/A",0,IF(P415="SI",0,P$21*P416))</f>
        <v>82187085.41558966</v>
      </c>
      <c r="Q417" s="450">
        <f t="shared" si="187"/>
        <v>86855295.429778069</v>
      </c>
      <c r="R417" s="450">
        <f t="shared" si="187"/>
        <v>91788658.839130387</v>
      </c>
      <c r="S417" s="450">
        <f t="shared" si="187"/>
        <v>97002236.303461224</v>
      </c>
      <c r="T417" s="450">
        <f t="shared" si="187"/>
        <v>102511943.92505056</v>
      </c>
      <c r="U417" s="450">
        <f t="shared" si="187"/>
        <v>108334601.83760466</v>
      </c>
    </row>
    <row r="418" spans="1:21" s="307" customFormat="1" ht="12" customHeight="1" outlineLevel="1" x14ac:dyDescent="0.25">
      <c r="A418" s="316"/>
      <c r="B418" s="307" t="s">
        <v>764</v>
      </c>
      <c r="C418" s="304" t="s">
        <v>6</v>
      </c>
      <c r="D418" s="304"/>
      <c r="K418" s="450">
        <f>IF(K415="N/A",0,IF(K415="SI",0,IF(OR($D415="Inversión",$D415="I/O"),SUM(VLOOKUP($B414,'C UNIT PROG TÉCNICOS'!$B$8:$G$160,5,FALSE)*'EV PROG TÉCNICOS'!K414),0)))</f>
        <v>0</v>
      </c>
      <c r="L418" s="450">
        <f>IF(L415="N/A",0,IF(L415="SI",0,IF(OR($D415="Inversión",$D415="I/O"),SUM(VLOOKUP($B414,'C UNIT PROG TÉCNICOS'!$B$8:$G$160,5,FALSE)*'EV PROG TÉCNICOS'!L414),0))*((1+$D$24)^(L$3-$K$3)))</f>
        <v>0</v>
      </c>
      <c r="M418" s="450">
        <f>IF(M415="N/A",0,IF(M415="SI",0,IF(OR($D415="Inversión",$D415="I/O"),SUM(VLOOKUP($B414,'C UNIT PROG TÉCNICOS'!$B$8:$G$160,5,FALSE)*'EV PROG TÉCNICOS'!M414),0))*((1+$D$24)^(M$3-$K$3)))</f>
        <v>0</v>
      </c>
      <c r="N418" s="450">
        <f>IF(N415="N/A",0,IF(N415="SI",0,IF(OR($D415="Inversión",$D415="I/O"),SUM(VLOOKUP($B414,'C UNIT PROG TÉCNICOS'!$B$8:$G$160,5,FALSE)*'EV PROG TÉCNICOS'!N414),0))*((1+$D$24)^(N$3-$K$3)))</f>
        <v>0</v>
      </c>
      <c r="O418" s="450">
        <f>IF(O415="N/A",0,IF(O415="SI",0,IF(OR($D415="Inversión",$D415="I/O"),SUM(VLOOKUP($B414,'C UNIT PROG TÉCNICOS'!$B$8:$G$160,5,FALSE)*'EV PROG TÉCNICOS'!O414),0))*((1+$D$24)^(O$3-$K$3)))</f>
        <v>0</v>
      </c>
      <c r="P418" s="450">
        <f>IF(P415="N/A",0,IF(P415="SI",0,IF(OR($D415="Inversión",$D415="I/O"),SUM(VLOOKUP($B414,'C UNIT PROG TÉCNICOS'!$B$8:$G$160,5,FALSE)*'EV PROG TÉCNICOS'!P414),0))*((1+$D$24)^(P$3-$K$3)))</f>
        <v>0</v>
      </c>
      <c r="Q418" s="450">
        <f>IF(Q415="N/A",0,IF(Q415="SI",0,IF(OR($D415="Inversión",$D415="I/O"),SUM(VLOOKUP($B414,'C UNIT PROG TÉCNICOS'!$B$8:$G$160,5,FALSE)*'EV PROG TÉCNICOS'!Q414),0))*((1+$D$24)^(Q$3-$K$3)))</f>
        <v>0</v>
      </c>
      <c r="R418" s="450">
        <f>IF(R415="N/A",0,IF(R415="SI",0,IF(OR($D415="Inversión",$D415="I/O"),SUM(VLOOKUP($B414,'C UNIT PROG TÉCNICOS'!$B$8:$G$160,5,FALSE)*'EV PROG TÉCNICOS'!R414),0))*((1+$D$24)^(R$3-$K$3)))</f>
        <v>0</v>
      </c>
      <c r="S418" s="450">
        <f>IF(S415="N/A",0,IF(S415="SI",0,IF(OR($D415="Inversión",$D415="I/O"),SUM(VLOOKUP($B414,'C UNIT PROG TÉCNICOS'!$B$8:$G$160,5,FALSE)*'EV PROG TÉCNICOS'!S414),0))*((1+$D$24)^(S$3-$K$3)))</f>
        <v>0</v>
      </c>
      <c r="T418" s="450">
        <f>IF(T415="N/A",0,IF(T415="SI",0,IF(OR($D415="Inversión",$D415="I/O"),SUM(VLOOKUP($B414,'C UNIT PROG TÉCNICOS'!$B$8:$G$160,5,FALSE)*'EV PROG TÉCNICOS'!T414),0))*((1+$D$24)^(T$3-$K$3)))</f>
        <v>0</v>
      </c>
      <c r="U418" s="450">
        <f>IF(U415="N/A",0,IF(U415="SI",0,IF(OR($D415="Inversión",$D415="I/O"),SUM(VLOOKUP($B414,'C UNIT PROG TÉCNICOS'!$B$8:$G$160,5,FALSE)*'EV PROG TÉCNICOS'!U414),0))*((1+$D$24)^(U$3-$K$3)))</f>
        <v>0</v>
      </c>
    </row>
    <row r="419" spans="1:21" s="376" customFormat="1" ht="15" customHeight="1" outlineLevel="1" x14ac:dyDescent="0.25">
      <c r="A419" s="374"/>
      <c r="B419" s="458" t="str">
        <f>CONCATENATE("VNA  ",B413)</f>
        <v>VNA  Procesamiento de datos</v>
      </c>
      <c r="C419" s="374" t="s">
        <v>6</v>
      </c>
      <c r="D419" s="453">
        <f>NPV($D$31,L419:U419)+K419</f>
        <v>303110679.26366442</v>
      </c>
      <c r="K419" s="452">
        <f>IF(K415="N/A",0,IF($D415="Operación",K417,K418))</f>
        <v>0</v>
      </c>
      <c r="L419" s="452">
        <f>IF(L416="N/A",0,IF($D415="Operación",L417,L418))</f>
        <v>28141375</v>
      </c>
      <c r="M419" s="452">
        <f>IF(M416="N/A",0,IF($D415="Operación",M417,M418))</f>
        <v>38444131.024425</v>
      </c>
      <c r="N419" s="452">
        <f>IF(N416="N/A",0,IF($D415="Operación",N417,N418))</f>
        <v>49059924.501477599</v>
      </c>
      <c r="O419" s="452">
        <f>IF(O416="N/A",0,IF($D415="Operación",O417,O418))</f>
        <v>62377842.451415628</v>
      </c>
      <c r="P419" s="452">
        <f t="shared" ref="P419:U419" si="188">IF(P416="N/A",0,IF($D415="Operación",P417,P418))</f>
        <v>82187085.41558966</v>
      </c>
      <c r="Q419" s="452">
        <f t="shared" si="188"/>
        <v>86855295.429778069</v>
      </c>
      <c r="R419" s="452">
        <f t="shared" si="188"/>
        <v>91788658.839130387</v>
      </c>
      <c r="S419" s="452">
        <f t="shared" si="188"/>
        <v>97002236.303461224</v>
      </c>
      <c r="T419" s="452">
        <f t="shared" si="188"/>
        <v>102511943.92505056</v>
      </c>
      <c r="U419" s="452">
        <f t="shared" si="188"/>
        <v>108334601.83760466</v>
      </c>
    </row>
    <row r="420" spans="1:21" s="376" customFormat="1" ht="15" customHeight="1" outlineLevel="1" x14ac:dyDescent="0.25">
      <c r="A420" s="374"/>
      <c r="B420" s="454" t="str">
        <f>CONCATENATE("Volumen de agua recuperado ",B413)</f>
        <v>Volumen de agua recuperado Procesamiento de datos</v>
      </c>
      <c r="C420" s="374" t="s">
        <v>106</v>
      </c>
      <c r="D420" s="374"/>
      <c r="K420" s="396"/>
      <c r="L420" s="396"/>
      <c r="M420" s="396"/>
      <c r="N420" s="396"/>
      <c r="O420" s="396"/>
      <c r="P420" s="396"/>
      <c r="Q420" s="396"/>
      <c r="R420" s="396"/>
      <c r="S420" s="396"/>
      <c r="T420" s="396"/>
      <c r="U420" s="396"/>
    </row>
    <row r="421" spans="1:21" s="376" customFormat="1" ht="15" customHeight="1" outlineLevel="1" x14ac:dyDescent="0.25">
      <c r="A421" s="374"/>
      <c r="B421" s="376" t="s">
        <v>750</v>
      </c>
      <c r="C421" s="374" t="s">
        <v>6</v>
      </c>
      <c r="D421" s="453">
        <f>NPV($D$31,L421:U421)+K421</f>
        <v>0</v>
      </c>
      <c r="K421" s="452">
        <f>IF(OR(K415="N/A",K420=0),0,K420*K$29)</f>
        <v>0</v>
      </c>
      <c r="L421" s="452">
        <f>IF(OR(L415="N/A",L420=0),0,L420*L$29)</f>
        <v>0</v>
      </c>
      <c r="M421" s="452">
        <f>IF(OR(M415="N/A",M420=0),0,M420*M$29)</f>
        <v>0</v>
      </c>
      <c r="N421" s="452">
        <f>IF(OR(N415="N/A",N420=0),0,N420*N$29)</f>
        <v>0</v>
      </c>
      <c r="O421" s="452">
        <f>IF(OR(O415="N/A",O420=0),0,O420*O$29)</f>
        <v>0</v>
      </c>
      <c r="P421" s="452">
        <f t="shared" ref="P421:U421" si="189">IF(OR(P415="N/A",P420=0),0,P420*P$29)</f>
        <v>0</v>
      </c>
      <c r="Q421" s="452">
        <f t="shared" si="189"/>
        <v>0</v>
      </c>
      <c r="R421" s="452">
        <f t="shared" si="189"/>
        <v>0</v>
      </c>
      <c r="S421" s="452">
        <f t="shared" si="189"/>
        <v>0</v>
      </c>
      <c r="T421" s="452">
        <f t="shared" si="189"/>
        <v>0</v>
      </c>
      <c r="U421" s="452">
        <f t="shared" si="189"/>
        <v>0</v>
      </c>
    </row>
    <row r="422" spans="1:21" s="376" customFormat="1" ht="15" customHeight="1" outlineLevel="1" x14ac:dyDescent="0.2">
      <c r="A422" s="374"/>
      <c r="B422" s="376" t="s">
        <v>751</v>
      </c>
      <c r="C422" s="374"/>
      <c r="D422" s="455">
        <f>IFERROR(ROUND(IF(D421/D419=0,0,D421/D419),2),0)</f>
        <v>0</v>
      </c>
      <c r="K422" s="297"/>
      <c r="L422" s="455">
        <f>IFERROR(ROUND(IF(L421/L419=0,0,L421/L419),2),0)</f>
        <v>0</v>
      </c>
      <c r="M422" s="455">
        <f>IFERROR(ROUND(IF(M421/M419=0,0,M421/M419),2),0)</f>
        <v>0</v>
      </c>
      <c r="N422" s="455">
        <f>IFERROR(ROUND(IF(N421/N419=0,0,N421/N419),2),0)</f>
        <v>0</v>
      </c>
      <c r="O422" s="455">
        <f>IFERROR(ROUND(IF(O421/O419=0,0,O421/O419),2),0)</f>
        <v>0</v>
      </c>
      <c r="P422" s="455">
        <f t="shared" ref="P422:U422" si="190">IFERROR(ROUND(IF(P421/P419=0,0,P421/P419),2),0)</f>
        <v>0</v>
      </c>
      <c r="Q422" s="455">
        <f t="shared" si="190"/>
        <v>0</v>
      </c>
      <c r="R422" s="455">
        <f t="shared" si="190"/>
        <v>0</v>
      </c>
      <c r="S422" s="455">
        <f t="shared" si="190"/>
        <v>0</v>
      </c>
      <c r="T422" s="455">
        <f t="shared" si="190"/>
        <v>0</v>
      </c>
      <c r="U422" s="455">
        <f t="shared" si="190"/>
        <v>0</v>
      </c>
    </row>
    <row r="423" spans="1:21" s="307" customFormat="1" ht="12" customHeight="1" outlineLevel="1" x14ac:dyDescent="0.25">
      <c r="A423" s="304"/>
    </row>
    <row r="424" spans="1:21" s="307" customFormat="1" ht="12" customHeight="1" outlineLevel="1" x14ac:dyDescent="0.25">
      <c r="A424" s="380" t="s">
        <v>145</v>
      </c>
      <c r="B424" s="358" t="s">
        <v>63</v>
      </c>
      <c r="K424" s="365">
        <v>0</v>
      </c>
      <c r="L424" s="443">
        <f>IF(L426="N/A","",K424+1)</f>
        <v>1</v>
      </c>
      <c r="M424" s="443">
        <f>IF(M426="N/A","",L424+1)</f>
        <v>2</v>
      </c>
      <c r="N424" s="443">
        <f>IF(N426="N/A","",M424+1)</f>
        <v>3</v>
      </c>
      <c r="O424" s="443">
        <f>IF(O426="N/A","",N424+1)</f>
        <v>4</v>
      </c>
      <c r="P424" s="443">
        <f t="shared" ref="P424:U424" si="191">IF(P426="N/A","",O424+1)</f>
        <v>5</v>
      </c>
      <c r="Q424" s="443">
        <f t="shared" si="191"/>
        <v>6</v>
      </c>
      <c r="R424" s="443">
        <f t="shared" si="191"/>
        <v>7</v>
      </c>
      <c r="S424" s="443">
        <f t="shared" si="191"/>
        <v>8</v>
      </c>
      <c r="T424" s="443">
        <f t="shared" si="191"/>
        <v>9</v>
      </c>
      <c r="U424" s="443">
        <f t="shared" si="191"/>
        <v>10</v>
      </c>
    </row>
    <row r="425" spans="1:21" s="307" customFormat="1" ht="24.95" customHeight="1" outlineLevel="1" x14ac:dyDescent="0.25">
      <c r="A425" s="446" t="str">
        <f>VLOOKUP(B425,'C UNIT PROG TÉCNICOS'!$B$8:$H$108,7,FALSE)</f>
        <v>OPEX</v>
      </c>
      <c r="B425" s="367" t="s">
        <v>63</v>
      </c>
      <c r="C425" s="304" t="s">
        <v>20</v>
      </c>
      <c r="D425" s="304" t="s">
        <v>19</v>
      </c>
      <c r="I425" s="369"/>
      <c r="J425" s="369"/>
      <c r="K425" s="442">
        <v>0</v>
      </c>
      <c r="L425" s="442">
        <f>IF(IF(SUM(L363,L381)=0,0,SUM(L363,L381))&lt;K414,IF(AND(L363=0,L381=0),SUM($D$362,$D$380),IF(L363=0,SUM($D$362,L381),IF(L381=0,SUM(L363,$D$380),SUM(L363,L381)))),SUM(L363,L381))</f>
        <v>41</v>
      </c>
      <c r="M425" s="442">
        <f>IF(IF(SUM(M363,M381)=0,0,SUM(M363,M381))&lt;L414,IF(AND(M363=0,M381=0),SUM($D$362,$D$380),IF(M363=0,SUM($D$362,M381),IF(M381=0,SUM(M363,$D$380),SUM(M363,M381)))),SUM(M363,M381))</f>
        <v>53</v>
      </c>
      <c r="N425" s="442">
        <f>IF(IF(SUM(N363,N381)=0,0,SUM(N363,N381))&lt;M414,IF(AND(N363=0,N381=0),SUM($D$362,$D$380),IF(N363=0,SUM($D$362,N381),IF(N381=0,SUM(N363,$D$380),SUM(N363,N381)))),SUM(N363,N381))</f>
        <v>64</v>
      </c>
      <c r="O425" s="442">
        <f>IF(IF(SUM(O363,O381)=0,0,SUM(O363,O381))&lt;N414,IF(AND(O363=0,O381=0),SUM($D$362,$D$380),IF(O363=0,SUM($D$362,O381),IF(O381=0,SUM(O363,$D$380),SUM(O363,O381)))),SUM(O363,O381))</f>
        <v>77</v>
      </c>
      <c r="P425" s="442">
        <f t="shared" ref="P425:U425" si="192">IF(IF(SUM(P363,P381)=0,0,SUM(P363,P381))&lt;O414,IF(AND(P363=0,P381=0),SUM($D$362,$D$380),IF(P363=0,SUM($D$362,P381),IF(P381=0,SUM(P363,$D$380),SUM(P363,P381)))),SUM(P363,P381))</f>
        <v>96</v>
      </c>
      <c r="Q425" s="442">
        <f t="shared" si="192"/>
        <v>96</v>
      </c>
      <c r="R425" s="442">
        <f t="shared" si="192"/>
        <v>96</v>
      </c>
      <c r="S425" s="442">
        <f t="shared" si="192"/>
        <v>96</v>
      </c>
      <c r="T425" s="442">
        <f t="shared" si="192"/>
        <v>96</v>
      </c>
      <c r="U425" s="442">
        <f t="shared" si="192"/>
        <v>96</v>
      </c>
    </row>
    <row r="426" spans="1:21" s="307" customFormat="1" ht="12" customHeight="1" outlineLevel="1" x14ac:dyDescent="0.25">
      <c r="A426" s="316"/>
      <c r="B426" s="307" t="s">
        <v>742</v>
      </c>
      <c r="D426" s="447" t="str">
        <f>IF(A425="CAPEX","Inversión",IF(A425="OPEX","Operación","I/O"))</f>
        <v>Operación</v>
      </c>
      <c r="I426" s="370"/>
      <c r="J426" s="370"/>
      <c r="K426" s="371" t="s">
        <v>8</v>
      </c>
      <c r="L426" s="371" t="s">
        <v>8</v>
      </c>
      <c r="M426" s="371" t="s">
        <v>8</v>
      </c>
      <c r="N426" s="371" t="s">
        <v>8</v>
      </c>
      <c r="O426" s="371" t="s">
        <v>8</v>
      </c>
      <c r="P426" s="371" t="s">
        <v>8</v>
      </c>
      <c r="Q426" s="371" t="s">
        <v>8</v>
      </c>
      <c r="R426" s="371" t="s">
        <v>8</v>
      </c>
      <c r="S426" s="371" t="s">
        <v>8</v>
      </c>
      <c r="T426" s="371" t="s">
        <v>8</v>
      </c>
      <c r="U426" s="371" t="s">
        <v>8</v>
      </c>
    </row>
    <row r="427" spans="1:21" s="307" customFormat="1" ht="12" customHeight="1" outlineLevel="1" x14ac:dyDescent="0.25">
      <c r="A427" s="316"/>
      <c r="B427" s="307" t="s">
        <v>762</v>
      </c>
      <c r="C427" s="304"/>
      <c r="D427" s="304"/>
      <c r="K427" s="448">
        <f>IF(K426="N/A",0,IF(K426="SI",0,SUM(IF($D426="Inversión",0,VLOOKUP($B425,'C UNIT PROG TÉCNICOS'!$B$8:$G$160,6,FALSE)*'EV PROG TÉCNICOS'!K425))))</f>
        <v>0</v>
      </c>
      <c r="L427" s="448">
        <f>IF(L426="N/A",0,IF(L426="SI",0,SUM(IF($D426="Inversión",0,VLOOKUP($B425,'C UNIT PROG TÉCNICOS'!$B$8:$G$160,6,FALSE)*'EV PROG TÉCNICOS'!L425))))</f>
        <v>19.034656363423487</v>
      </c>
      <c r="M427" s="448">
        <f>IF(M426="N/A",0,IF(M426="SI",0,SUM(IF($D426="Inversión",0,VLOOKUP($B425,'C UNIT PROG TÉCNICOS'!$B$8:$G$160,6,FALSE)*'EV PROG TÉCNICOS'!M425))))</f>
        <v>24.60577529905963</v>
      </c>
      <c r="N427" s="448">
        <f>IF(N426="N/A",0,IF(N426="SI",0,SUM(IF($D426="Inversión",0,VLOOKUP($B425,'C UNIT PROG TÉCNICOS'!$B$8:$G$160,6,FALSE)*'EV PROG TÉCNICOS'!N425))))</f>
        <v>29.712634323392759</v>
      </c>
      <c r="O427" s="448">
        <f>IF(O426="N/A",0,IF(O426="SI",0,SUM(IF($D426="Inversión",0,VLOOKUP($B425,'C UNIT PROG TÉCNICOS'!$B$8:$G$160,6,FALSE)*'EV PROG TÉCNICOS'!O425))))</f>
        <v>35.748013170331916</v>
      </c>
      <c r="P427" s="448">
        <f>IF(P426="N/A",0,IF(P426="SI",0,SUM(IF($D426="Inversión",0,VLOOKUP($B425,'C UNIT PROG TÉCNICOS'!$B$8:$G$160,6,FALSE)*'EV PROG TÉCNICOS'!P425))))</f>
        <v>44.568951485089137</v>
      </c>
      <c r="Q427" s="448">
        <f>IF(Q426="N/A",0,IF(Q426="SI",0,SUM(IF($D426="Inversión",0,VLOOKUP($B425,'C UNIT PROG TÉCNICOS'!$B$8:$G$160,6,FALSE)*'EV PROG TÉCNICOS'!Q425))))</f>
        <v>44.568951485089137</v>
      </c>
      <c r="R427" s="448">
        <f>IF(R426="N/A",0,IF(R426="SI",0,SUM(IF($D426="Inversión",0,VLOOKUP($B425,'C UNIT PROG TÉCNICOS'!$B$8:$G$160,6,FALSE)*'EV PROG TÉCNICOS'!R425))))</f>
        <v>44.568951485089137</v>
      </c>
      <c r="S427" s="448">
        <f>IF(S426="N/A",0,IF(S426="SI",0,SUM(IF($D426="Inversión",0,VLOOKUP($B425,'C UNIT PROG TÉCNICOS'!$B$8:$G$160,6,FALSE)*'EV PROG TÉCNICOS'!S425))))</f>
        <v>44.568951485089137</v>
      </c>
      <c r="T427" s="448">
        <f>IF(T426="N/A",0,IF(T426="SI",0,SUM(IF($D426="Inversión",0,VLOOKUP($B425,'C UNIT PROG TÉCNICOS'!$B$8:$G$160,6,FALSE)*'EV PROG TÉCNICOS'!T425))))</f>
        <v>44.568951485089137</v>
      </c>
      <c r="U427" s="448">
        <f>IF(U426="N/A",0,IF(U426="SI",0,SUM(IF($D426="Inversión",0,VLOOKUP($B425,'C UNIT PROG TÉCNICOS'!$B$8:$G$160,6,FALSE)*'EV PROG TÉCNICOS'!U425))))</f>
        <v>44.568951485089137</v>
      </c>
    </row>
    <row r="428" spans="1:21" s="307" customFormat="1" ht="12" customHeight="1" outlineLevel="1" x14ac:dyDescent="0.25">
      <c r="A428" s="316"/>
      <c r="B428" s="307" t="s">
        <v>763</v>
      </c>
      <c r="C428" s="304" t="s">
        <v>6</v>
      </c>
      <c r="D428" s="304"/>
      <c r="K428" s="450">
        <f>IF(K426="N/A",0,IF(K426="SI",0,K$21*K427))</f>
        <v>0</v>
      </c>
      <c r="L428" s="450">
        <f>IF(L426="N/A",0,IF(L426="SI",0,L$21*L427))</f>
        <v>33327875</v>
      </c>
      <c r="M428" s="450">
        <f>IF(M426="N/A",0,IF(M426="SI",0,M$21*M427))</f>
        <v>45529445.283525005</v>
      </c>
      <c r="N428" s="450">
        <f>IF(N426="N/A",0,IF(N426="SI",0,N$21*N427))</f>
        <v>58101746.318176806</v>
      </c>
      <c r="O428" s="450">
        <f>IF(O426="N/A",0,IF(O426="SI",0,O$21*O427))</f>
        <v>73874177.647342175</v>
      </c>
      <c r="P428" s="450">
        <f t="shared" ref="P428:U428" si="193">IF(P426="N/A",0,IF(P426="SI",0,P$21*P427))</f>
        <v>97334295.475793049</v>
      </c>
      <c r="Q428" s="450">
        <f t="shared" si="193"/>
        <v>102862863.99195899</v>
      </c>
      <c r="R428" s="450">
        <f t="shared" si="193"/>
        <v>108705454.09412947</v>
      </c>
      <c r="S428" s="450">
        <f t="shared" si="193"/>
        <v>114879902.14558521</v>
      </c>
      <c r="T428" s="450">
        <f t="shared" si="193"/>
        <v>121405057.61147402</v>
      </c>
      <c r="U428" s="450">
        <f t="shared" si="193"/>
        <v>128300840.60279423</v>
      </c>
    </row>
    <row r="429" spans="1:21" s="307" customFormat="1" ht="12" customHeight="1" outlineLevel="1" x14ac:dyDescent="0.25">
      <c r="A429" s="316"/>
      <c r="B429" s="307" t="s">
        <v>764</v>
      </c>
      <c r="C429" s="304" t="s">
        <v>6</v>
      </c>
      <c r="K429" s="450">
        <f>IF(K426="N/A",0,IF(K426="SI",0,IF(OR($D426="Inversión",$D426="I/O"),SUM(VLOOKUP($B425,'C UNIT PROG TÉCNICOS'!$B$8:$G$160,5,FALSE)*'EV PROG TÉCNICOS'!K425),0)))</f>
        <v>0</v>
      </c>
      <c r="L429" s="450">
        <f>IF(L426="N/A",0,IF(L426="SI",0,IF(OR($D426="Inversión",$D426="I/O"),SUM(VLOOKUP($B425,'C UNIT PROG TÉCNICOS'!$B$8:$G$160,5,FALSE)*'EV PROG TÉCNICOS'!L425),0))*((1+$D$24)^(L$3-$K$3)))</f>
        <v>0</v>
      </c>
      <c r="M429" s="450">
        <f>IF(M426="N/A",0,IF(M426="SI",0,IF(OR($D426="Inversión",$D426="I/O"),SUM(VLOOKUP($B425,'C UNIT PROG TÉCNICOS'!$B$8:$G$160,5,FALSE)*'EV PROG TÉCNICOS'!M425),0))*((1+$D$24)^(M$3-$K$3)))</f>
        <v>0</v>
      </c>
      <c r="N429" s="450">
        <f>IF(N426="N/A",0,IF(N426="SI",0,IF(OR($D426="Inversión",$D426="I/O"),SUM(VLOOKUP($B425,'C UNIT PROG TÉCNICOS'!$B$8:$G$160,5,FALSE)*'EV PROG TÉCNICOS'!N425),0))*((1+$D$24)^(N$3-$K$3)))</f>
        <v>0</v>
      </c>
      <c r="O429" s="450">
        <f>IF(O426="N/A",0,IF(O426="SI",0,IF(OR($D426="Inversión",$D426="I/O"),SUM(VLOOKUP($B425,'C UNIT PROG TÉCNICOS'!$B$8:$G$160,5,FALSE)*'EV PROG TÉCNICOS'!O425),0))*((1+$D$24)^(O$3-$K$3)))</f>
        <v>0</v>
      </c>
      <c r="P429" s="450">
        <f>IF(P426="N/A",0,IF(P426="SI",0,IF(OR($D426="Inversión",$D426="I/O"),SUM(VLOOKUP($B425,'C UNIT PROG TÉCNICOS'!$B$8:$G$160,5,FALSE)*'EV PROG TÉCNICOS'!P425),0))*((1+$D$24)^(P$3-$K$3)))</f>
        <v>0</v>
      </c>
      <c r="Q429" s="450">
        <f>IF(Q426="N/A",0,IF(Q426="SI",0,IF(OR($D426="Inversión",$D426="I/O"),SUM(VLOOKUP($B425,'C UNIT PROG TÉCNICOS'!$B$8:$G$160,5,FALSE)*'EV PROG TÉCNICOS'!Q425),0))*((1+$D$24)^(Q$3-$K$3)))</f>
        <v>0</v>
      </c>
      <c r="R429" s="450">
        <f>IF(R426="N/A",0,IF(R426="SI",0,IF(OR($D426="Inversión",$D426="I/O"),SUM(VLOOKUP($B425,'C UNIT PROG TÉCNICOS'!$B$8:$G$160,5,FALSE)*'EV PROG TÉCNICOS'!R425),0))*((1+$D$24)^(R$3-$K$3)))</f>
        <v>0</v>
      </c>
      <c r="S429" s="450">
        <f>IF(S426="N/A",0,IF(S426="SI",0,IF(OR($D426="Inversión",$D426="I/O"),SUM(VLOOKUP($B425,'C UNIT PROG TÉCNICOS'!$B$8:$G$160,5,FALSE)*'EV PROG TÉCNICOS'!S425),0))*((1+$D$24)^(S$3-$K$3)))</f>
        <v>0</v>
      </c>
      <c r="T429" s="450">
        <f>IF(T426="N/A",0,IF(T426="SI",0,IF(OR($D426="Inversión",$D426="I/O"),SUM(VLOOKUP($B425,'C UNIT PROG TÉCNICOS'!$B$8:$G$160,5,FALSE)*'EV PROG TÉCNICOS'!T425),0))*((1+$D$24)^(T$3-$K$3)))</f>
        <v>0</v>
      </c>
      <c r="U429" s="450">
        <f>IF(U426="N/A",0,IF(U426="SI",0,IF(OR($D426="Inversión",$D426="I/O"),SUM(VLOOKUP($B425,'C UNIT PROG TÉCNICOS'!$B$8:$G$160,5,FALSE)*'EV PROG TÉCNICOS'!U425),0))*((1+$D$24)^(U$3-$K$3)))</f>
        <v>0</v>
      </c>
    </row>
    <row r="430" spans="1:21" s="376" customFormat="1" ht="15" customHeight="1" outlineLevel="1" x14ac:dyDescent="0.25">
      <c r="A430" s="374"/>
      <c r="B430" s="458" t="str">
        <f>CONCATENATE("VNA  ",B424)</f>
        <v>VNA  Análisis de datos</v>
      </c>
      <c r="C430" s="374" t="s">
        <v>6</v>
      </c>
      <c r="D430" s="453">
        <f>NPV($D$31,L430:U430)+K430</f>
        <v>358974457.70380807</v>
      </c>
      <c r="K430" s="452">
        <f>IF(K426="N/A",0,IF($D426="Operación",K428,K429))</f>
        <v>0</v>
      </c>
      <c r="L430" s="452">
        <f>IF(L427="N/A",0,IF($D426="Operación",L428,L429))</f>
        <v>33327875</v>
      </c>
      <c r="M430" s="452">
        <f>IF(M426="N/A",0,IF($D426="Operación",M428,M429))</f>
        <v>45529445.283525005</v>
      </c>
      <c r="N430" s="452">
        <f>IF(N426="N/A",0,IF($D426="Operación",N428,N429))</f>
        <v>58101746.318176806</v>
      </c>
      <c r="O430" s="452">
        <f>IF(O426="N/A",0,IF($D426="Operación",O428,O429))</f>
        <v>73874177.647342175</v>
      </c>
      <c r="P430" s="452">
        <f t="shared" ref="P430:U430" si="194">IF(P426="N/A",0,IF($D426="Operación",P428,P429))</f>
        <v>97334295.475793049</v>
      </c>
      <c r="Q430" s="452">
        <f t="shared" si="194"/>
        <v>102862863.99195899</v>
      </c>
      <c r="R430" s="452">
        <f t="shared" si="194"/>
        <v>108705454.09412947</v>
      </c>
      <c r="S430" s="452">
        <f t="shared" si="194"/>
        <v>114879902.14558521</v>
      </c>
      <c r="T430" s="452">
        <f t="shared" si="194"/>
        <v>121405057.61147402</v>
      </c>
      <c r="U430" s="452">
        <f t="shared" si="194"/>
        <v>128300840.60279423</v>
      </c>
    </row>
    <row r="431" spans="1:21" s="376" customFormat="1" ht="15" customHeight="1" outlineLevel="1" x14ac:dyDescent="0.25">
      <c r="A431" s="374"/>
      <c r="B431" s="454" t="str">
        <f>CONCATENATE("Volumen de agua recuperado ",B424)</f>
        <v>Volumen de agua recuperado Análisis de datos</v>
      </c>
      <c r="C431" s="374" t="s">
        <v>106</v>
      </c>
      <c r="D431" s="374"/>
      <c r="K431" s="396"/>
      <c r="L431" s="396"/>
      <c r="M431" s="396"/>
      <c r="N431" s="396"/>
      <c r="O431" s="396"/>
      <c r="P431" s="396"/>
      <c r="Q431" s="396"/>
      <c r="R431" s="396"/>
      <c r="S431" s="396"/>
      <c r="T431" s="396"/>
      <c r="U431" s="396"/>
    </row>
    <row r="432" spans="1:21" s="376" customFormat="1" ht="15" customHeight="1" outlineLevel="1" x14ac:dyDescent="0.25">
      <c r="A432" s="374"/>
      <c r="B432" s="376" t="s">
        <v>750</v>
      </c>
      <c r="C432" s="374" t="s">
        <v>6</v>
      </c>
      <c r="D432" s="453">
        <f>NPV($D$31,L432:U432)+K432</f>
        <v>0</v>
      </c>
      <c r="K432" s="452">
        <f>IF(OR(K426="N/A",K431=0),0,K431*K$29)</f>
        <v>0</v>
      </c>
      <c r="L432" s="452">
        <f>IF(OR(L426="N/A",L431=0),0,L431*L$29)</f>
        <v>0</v>
      </c>
      <c r="M432" s="452">
        <f>IF(OR(M426="N/A",M431=0),0,M431*M$29)</f>
        <v>0</v>
      </c>
      <c r="N432" s="452">
        <f>IF(OR(N426="N/A",N431=0),0,N431*N$29)</f>
        <v>0</v>
      </c>
      <c r="O432" s="452">
        <f>IF(OR(O426="N/A",O431=0),0,O431*O$29)</f>
        <v>0</v>
      </c>
      <c r="P432" s="452">
        <f t="shared" ref="P432:U432" si="195">IF(OR(P426="N/A",P431=0),0,P431*P$29)</f>
        <v>0</v>
      </c>
      <c r="Q432" s="452">
        <f t="shared" si="195"/>
        <v>0</v>
      </c>
      <c r="R432" s="452">
        <f t="shared" si="195"/>
        <v>0</v>
      </c>
      <c r="S432" s="452">
        <f t="shared" si="195"/>
        <v>0</v>
      </c>
      <c r="T432" s="452">
        <f t="shared" si="195"/>
        <v>0</v>
      </c>
      <c r="U432" s="452">
        <f t="shared" si="195"/>
        <v>0</v>
      </c>
    </row>
    <row r="433" spans="1:21" s="376" customFormat="1" ht="15" customHeight="1" outlineLevel="1" x14ac:dyDescent="0.25">
      <c r="A433" s="374"/>
      <c r="B433" s="376" t="s">
        <v>751</v>
      </c>
      <c r="C433" s="374"/>
      <c r="D433" s="455">
        <f>IFERROR(ROUND(IF(D432/D430=0,0,D432/D430),2),0)</f>
        <v>0</v>
      </c>
      <c r="K433" s="455">
        <f>IFERROR(ROUND(IF(K432/K430=0,0,K432/K430),2),0)</f>
        <v>0</v>
      </c>
      <c r="L433" s="455">
        <f>IFERROR(ROUND(IF(L432/L430=0,0,L432/L430),2),0)</f>
        <v>0</v>
      </c>
      <c r="M433" s="455">
        <f>IFERROR(ROUND(IF(M432/M430=0,0,M432/M430),2),0)</f>
        <v>0</v>
      </c>
      <c r="N433" s="455">
        <f>IFERROR(ROUND(IF(N432/N430=0,0,N432/N430),2),0)</f>
        <v>0</v>
      </c>
      <c r="O433" s="455">
        <f>IFERROR(ROUND(IF(O432/O430=0,0,O432/O430),2),0)</f>
        <v>0</v>
      </c>
      <c r="P433" s="455">
        <f t="shared" ref="P433:U433" si="196">IFERROR(ROUND(IF(P432/P430=0,0,P432/P430),2),0)</f>
        <v>0</v>
      </c>
      <c r="Q433" s="455">
        <f t="shared" si="196"/>
        <v>0</v>
      </c>
      <c r="R433" s="455">
        <f t="shared" si="196"/>
        <v>0</v>
      </c>
      <c r="S433" s="455">
        <f t="shared" si="196"/>
        <v>0</v>
      </c>
      <c r="T433" s="455">
        <f t="shared" si="196"/>
        <v>0</v>
      </c>
      <c r="U433" s="455">
        <f t="shared" si="196"/>
        <v>0</v>
      </c>
    </row>
    <row r="434" spans="1:21" s="326" customFormat="1" ht="15" customHeight="1" outlineLevel="1" x14ac:dyDescent="0.2">
      <c r="A434" s="316"/>
      <c r="C434" s="316"/>
      <c r="D434" s="297"/>
      <c r="K434" s="297"/>
      <c r="L434" s="297"/>
      <c r="M434" s="297"/>
      <c r="N434" s="297"/>
      <c r="O434" s="297"/>
      <c r="P434" s="297"/>
      <c r="Q434" s="297"/>
      <c r="R434" s="297"/>
      <c r="S434" s="297"/>
      <c r="T434" s="297"/>
      <c r="U434" s="297"/>
    </row>
    <row r="435" spans="1:21" s="307" customFormat="1" ht="12" customHeight="1" outlineLevel="1" x14ac:dyDescent="0.25">
      <c r="A435" s="380" t="s">
        <v>146</v>
      </c>
      <c r="B435" s="358" t="s">
        <v>26</v>
      </c>
      <c r="D435" s="304" t="s">
        <v>19</v>
      </c>
      <c r="K435" s="365">
        <v>0</v>
      </c>
      <c r="L435" s="443">
        <f>IF(L437="N/A","",K435+1)</f>
        <v>1</v>
      </c>
      <c r="M435" s="443">
        <f>IF(M437="N/A","",L435+1)</f>
        <v>2</v>
      </c>
      <c r="N435" s="443">
        <f>IF(N437="N/A","",M435+1)</f>
        <v>3</v>
      </c>
      <c r="O435" s="443">
        <f>IF(O437="N/A","",N435+1)</f>
        <v>4</v>
      </c>
      <c r="P435" s="443">
        <f t="shared" ref="P435:U435" si="197">IF(P437="N/A","",O435+1)</f>
        <v>5</v>
      </c>
      <c r="Q435" s="443">
        <f t="shared" si="197"/>
        <v>6</v>
      </c>
      <c r="R435" s="443">
        <f t="shared" si="197"/>
        <v>7</v>
      </c>
      <c r="S435" s="443">
        <f t="shared" si="197"/>
        <v>8</v>
      </c>
      <c r="T435" s="443">
        <f t="shared" si="197"/>
        <v>9</v>
      </c>
      <c r="U435" s="443">
        <f t="shared" si="197"/>
        <v>10</v>
      </c>
    </row>
    <row r="436" spans="1:21" s="307" customFormat="1" ht="24.95" customHeight="1" outlineLevel="1" x14ac:dyDescent="0.25">
      <c r="A436" s="446" t="str">
        <f>VLOOKUP(B436,'C UNIT PROG TÉCNICOS'!$B$8:$H$108,7,FALSE)</f>
        <v>OPEX</v>
      </c>
      <c r="B436" s="367" t="s">
        <v>27</v>
      </c>
      <c r="C436" s="304" t="s">
        <v>20</v>
      </c>
      <c r="D436" s="304"/>
      <c r="I436" s="369"/>
      <c r="J436" s="369"/>
      <c r="K436" s="442">
        <v>0</v>
      </c>
      <c r="L436" s="442">
        <f>IF(OR(K369="N/A",K363=$D$362),$D$362,K363)+IF(OR(K387="N/A"),$D$380,K381)</f>
        <v>31</v>
      </c>
      <c r="M436" s="442">
        <f>IF(OR(L369="N/A",L363=$D$362),$D$362,L363)+IF(OR(L387="N/A"),$D$380,L381)</f>
        <v>41</v>
      </c>
      <c r="N436" s="442">
        <f>IF(OR(M369="N/A",M363=$D$362),$D$362,M363)+IF(OR(M387="N/A"),$D$380,M381)</f>
        <v>53</v>
      </c>
      <c r="O436" s="442">
        <f>IF(OR(N369="N/A",N363=$D$362),$D$362,N363)+IF(OR(N387="N/A"),$D$380,N381)</f>
        <v>64</v>
      </c>
      <c r="P436" s="442">
        <f t="shared" ref="P436:U436" si="198">IF(OR(O369="N/A",O363=$D$362),$D$362,O363)+IF(OR(O387="N/A"),$D$380,O381)</f>
        <v>77</v>
      </c>
      <c r="Q436" s="442">
        <f t="shared" si="198"/>
        <v>96</v>
      </c>
      <c r="R436" s="442">
        <f t="shared" si="198"/>
        <v>96</v>
      </c>
      <c r="S436" s="442">
        <f t="shared" si="198"/>
        <v>96</v>
      </c>
      <c r="T436" s="442">
        <f t="shared" si="198"/>
        <v>96</v>
      </c>
      <c r="U436" s="442">
        <f t="shared" si="198"/>
        <v>96</v>
      </c>
    </row>
    <row r="437" spans="1:21" s="307" customFormat="1" ht="12" customHeight="1" outlineLevel="1" x14ac:dyDescent="0.25">
      <c r="A437" s="316"/>
      <c r="B437" s="307" t="s">
        <v>742</v>
      </c>
      <c r="D437" s="447" t="str">
        <f>IF(A436="CAPEX","Inversión",IF(A436="OPEX","Operación","I/O"))</f>
        <v>Operación</v>
      </c>
      <c r="I437" s="370"/>
      <c r="J437" s="370"/>
      <c r="K437" s="371" t="s">
        <v>8</v>
      </c>
      <c r="L437" s="371" t="s">
        <v>8</v>
      </c>
      <c r="M437" s="371" t="s">
        <v>8</v>
      </c>
      <c r="N437" s="371" t="s">
        <v>8</v>
      </c>
      <c r="O437" s="371" t="s">
        <v>8</v>
      </c>
      <c r="P437" s="371" t="s">
        <v>8</v>
      </c>
      <c r="Q437" s="371" t="s">
        <v>8</v>
      </c>
      <c r="R437" s="371" t="s">
        <v>8</v>
      </c>
      <c r="S437" s="371" t="s">
        <v>8</v>
      </c>
      <c r="T437" s="371" t="s">
        <v>8</v>
      </c>
      <c r="U437" s="371" t="s">
        <v>8</v>
      </c>
    </row>
    <row r="438" spans="1:21" s="307" customFormat="1" ht="12" customHeight="1" outlineLevel="1" x14ac:dyDescent="0.25">
      <c r="A438" s="316"/>
      <c r="B438" s="307" t="s">
        <v>762</v>
      </c>
      <c r="C438" s="304"/>
      <c r="D438" s="304"/>
      <c r="K438" s="448">
        <f>IF(K437="N/A",0,IF(K437="SI",0,SUM(IF($D437="Inversión",0,VLOOKUP($B436,'C UNIT PROG TÉCNICOS'!$B$8:$G$160,6,FALSE)*'EV PROG TÉCNICOS'!K436))))</f>
        <v>0</v>
      </c>
      <c r="L438" s="448">
        <f>IF(L437="N/A",0,IF(L437="SI",0,SUM(IF($D437="Inversión",0,VLOOKUP($B436,'C UNIT PROG TÉCNICOS'!$B$8:$G$160,6,FALSE)*'EV PROG TÉCNICOS'!L436))))</f>
        <v>27.497350931603943</v>
      </c>
      <c r="M438" s="448">
        <f>IF(M437="N/A",0,IF(M437="SI",0,SUM(IF($D437="Inversión",0,VLOOKUP($B436,'C UNIT PROG TÉCNICOS'!$B$8:$G$160,6,FALSE)*'EV PROG TÉCNICOS'!M436))))</f>
        <v>36.367464135347149</v>
      </c>
      <c r="N438" s="448">
        <f>IF(N437="N/A",0,IF(N437="SI",0,SUM(IF($D437="Inversión",0,VLOOKUP($B436,'C UNIT PROG TÉCNICOS'!$B$8:$G$160,6,FALSE)*'EV PROG TÉCNICOS'!N436))))</f>
        <v>47.011599979838998</v>
      </c>
      <c r="O438" s="448">
        <f>IF(O437="N/A",0,IF(O437="SI",0,SUM(IF($D437="Inversión",0,VLOOKUP($B436,'C UNIT PROG TÉCNICOS'!$B$8:$G$160,6,FALSE)*'EV PROG TÉCNICOS'!O436))))</f>
        <v>56.768724503956527</v>
      </c>
      <c r="P438" s="448">
        <f>IF(P437="N/A",0,IF(P437="SI",0,SUM(IF($D437="Inversión",0,VLOOKUP($B436,'C UNIT PROG TÉCNICOS'!$B$8:$G$160,6,FALSE)*'EV PROG TÉCNICOS'!P436))))</f>
        <v>68.299871668822703</v>
      </c>
      <c r="Q438" s="448">
        <f>IF(Q437="N/A",0,IF(Q437="SI",0,SUM(IF($D437="Inversión",0,VLOOKUP($B436,'C UNIT PROG TÉCNICOS'!$B$8:$G$160,6,FALSE)*'EV PROG TÉCNICOS'!Q436))))</f>
        <v>85.153086755934794</v>
      </c>
      <c r="R438" s="448">
        <f>IF(R437="N/A",0,IF(R437="SI",0,SUM(IF($D437="Inversión",0,VLOOKUP($B436,'C UNIT PROG TÉCNICOS'!$B$8:$G$160,6,FALSE)*'EV PROG TÉCNICOS'!R436))))</f>
        <v>85.153086755934794</v>
      </c>
      <c r="S438" s="448">
        <f>IF(S437="N/A",0,IF(S437="SI",0,SUM(IF($D437="Inversión",0,VLOOKUP($B436,'C UNIT PROG TÉCNICOS'!$B$8:$G$160,6,FALSE)*'EV PROG TÉCNICOS'!S436))))</f>
        <v>85.153086755934794</v>
      </c>
      <c r="T438" s="448">
        <f>IF(T437="N/A",0,IF(T437="SI",0,SUM(IF($D437="Inversión",0,VLOOKUP($B436,'C UNIT PROG TÉCNICOS'!$B$8:$G$160,6,FALSE)*'EV PROG TÉCNICOS'!T436))))</f>
        <v>85.153086755934794</v>
      </c>
      <c r="U438" s="448">
        <f>IF(U437="N/A",0,IF(U437="SI",0,SUM(IF($D437="Inversión",0,VLOOKUP($B436,'C UNIT PROG TÉCNICOS'!$B$8:$G$160,6,FALSE)*'EV PROG TÉCNICOS'!U436))))</f>
        <v>85.153086755934794</v>
      </c>
    </row>
    <row r="439" spans="1:21" s="307" customFormat="1" ht="12" customHeight="1" outlineLevel="1" x14ac:dyDescent="0.25">
      <c r="A439" s="316"/>
      <c r="B439" s="307" t="s">
        <v>763</v>
      </c>
      <c r="C439" s="304" t="s">
        <v>6</v>
      </c>
      <c r="D439" s="304"/>
      <c r="K439" s="450">
        <f>IF(K437="N/A",0,IF(K437="SI",0,K$21*K438))</f>
        <v>0</v>
      </c>
      <c r="L439" s="450">
        <f>IF(L437="N/A",0,IF(L437="SI",0,L$21*L438))</f>
        <v>48145249.232900001</v>
      </c>
      <c r="M439" s="450">
        <f>IF(M437="N/A",0,IF(M437="SI",0,M$21*M438))</f>
        <v>67292757.42488496</v>
      </c>
      <c r="N439" s="450">
        <f>IF(N437="N/A",0,IF(N437="SI",0,N$21*N438))</f>
        <v>91929110.906525567</v>
      </c>
      <c r="O439" s="450">
        <f>IF(O437="N/A",0,IF(O437="SI",0,O$21*O438))</f>
        <v>117314011.79797016</v>
      </c>
      <c r="P439" s="450">
        <f t="shared" ref="P439:U439" si="199">IF(P437="N/A",0,IF(P437="SI",0,P$21*P438))</f>
        <v>149160338.49699256</v>
      </c>
      <c r="Q439" s="450">
        <f t="shared" si="199"/>
        <v>196528975.65700242</v>
      </c>
      <c r="R439" s="450">
        <f t="shared" si="199"/>
        <v>207691782.16852504</v>
      </c>
      <c r="S439" s="450">
        <f t="shared" si="199"/>
        <v>219488633.85734084</v>
      </c>
      <c r="T439" s="450">
        <f t="shared" si="199"/>
        <v>231955544.36271104</v>
      </c>
      <c r="U439" s="450">
        <f t="shared" si="199"/>
        <v>245130572.89140418</v>
      </c>
    </row>
    <row r="440" spans="1:21" s="307" customFormat="1" ht="12" customHeight="1" outlineLevel="1" x14ac:dyDescent="0.25">
      <c r="A440" s="316"/>
      <c r="B440" s="307" t="s">
        <v>764</v>
      </c>
      <c r="C440" s="304" t="s">
        <v>6</v>
      </c>
      <c r="K440" s="450">
        <f>IF(K437="N/A",0,IF(K437="SI",0,IF(OR($D437="Inversión",$D437="I/O"),SUM(VLOOKUP($B436,'C UNIT PROG TÉCNICOS'!$B$8:$G$160,5,FALSE)*'EV PROG TÉCNICOS'!K436),0)))</f>
        <v>0</v>
      </c>
      <c r="L440" s="450">
        <f>IF(L437="N/A",0,IF(L437="SI",0,IF(OR($D437="Inversión",$D437="I/O"),SUM(VLOOKUP($B436,'C UNIT PROG TÉCNICOS'!$B$8:$G$160,5,FALSE)*'EV PROG TÉCNICOS'!L436),0))*((1+$D$24)^(L$3-$K$3)))</f>
        <v>0</v>
      </c>
      <c r="M440" s="450">
        <f>IF(M437="N/A",0,IF(M437="SI",0,IF(OR($D437="Inversión",$D437="I/O"),SUM(VLOOKUP($B436,'C UNIT PROG TÉCNICOS'!$B$8:$G$160,5,FALSE)*'EV PROG TÉCNICOS'!M436),0))*((1+$D$24)^(M$3-$K$3)))</f>
        <v>0</v>
      </c>
      <c r="N440" s="450">
        <f>IF(N437="N/A",0,IF(N437="SI",0,IF(OR($D437="Inversión",$D437="I/O"),SUM(VLOOKUP($B436,'C UNIT PROG TÉCNICOS'!$B$8:$G$160,5,FALSE)*'EV PROG TÉCNICOS'!N436),0))*((1+$D$24)^(N$3-$K$3)))</f>
        <v>0</v>
      </c>
      <c r="O440" s="450">
        <f>IF(O437="N/A",0,IF(O437="SI",0,IF(OR($D437="Inversión",$D437="I/O"),SUM(VLOOKUP($B436,'C UNIT PROG TÉCNICOS'!$B$8:$G$160,5,FALSE)*'EV PROG TÉCNICOS'!O436),0))*((1+$D$24)^(O$3-$K$3)))</f>
        <v>0</v>
      </c>
      <c r="P440" s="450">
        <f>IF(P437="N/A",0,IF(P437="SI",0,IF(OR($D437="Inversión",$D437="I/O"),SUM(VLOOKUP($B436,'C UNIT PROG TÉCNICOS'!$B$8:$G$160,5,FALSE)*'EV PROG TÉCNICOS'!P436),0))*((1+$D$24)^(P$3-$K$3)))</f>
        <v>0</v>
      </c>
      <c r="Q440" s="450">
        <f>IF(Q437="N/A",0,IF(Q437="SI",0,IF(OR($D437="Inversión",$D437="I/O"),SUM(VLOOKUP($B436,'C UNIT PROG TÉCNICOS'!$B$8:$G$160,5,FALSE)*'EV PROG TÉCNICOS'!Q436),0))*((1+$D$24)^(Q$3-$K$3)))</f>
        <v>0</v>
      </c>
      <c r="R440" s="450">
        <f>IF(R437="N/A",0,IF(R437="SI",0,IF(OR($D437="Inversión",$D437="I/O"),SUM(VLOOKUP($B436,'C UNIT PROG TÉCNICOS'!$B$8:$G$160,5,FALSE)*'EV PROG TÉCNICOS'!R436),0))*((1+$D$24)^(R$3-$K$3)))</f>
        <v>0</v>
      </c>
      <c r="S440" s="450">
        <f>IF(S437="N/A",0,IF(S437="SI",0,IF(OR($D437="Inversión",$D437="I/O"),SUM(VLOOKUP($B436,'C UNIT PROG TÉCNICOS'!$B$8:$G$160,5,FALSE)*'EV PROG TÉCNICOS'!S436),0))*((1+$D$24)^(S$3-$K$3)))</f>
        <v>0</v>
      </c>
      <c r="T440" s="450">
        <f>IF(T437="N/A",0,IF(T437="SI",0,IF(OR($D437="Inversión",$D437="I/O"),SUM(VLOOKUP($B436,'C UNIT PROG TÉCNICOS'!$B$8:$G$160,5,FALSE)*'EV PROG TÉCNICOS'!T436),0))*((1+$D$24)^(T$3-$K$3)))</f>
        <v>0</v>
      </c>
      <c r="U440" s="450">
        <f>IF(U437="N/A",0,IF(U437="SI",0,IF(OR($D437="Inversión",$D437="I/O"),SUM(VLOOKUP($B436,'C UNIT PROG TÉCNICOS'!$B$8:$G$160,5,FALSE)*'EV PROG TÉCNICOS'!U436),0))*((1+$D$24)^(U$3-$K$3)))</f>
        <v>0</v>
      </c>
    </row>
    <row r="441" spans="1:21" s="376" customFormat="1" ht="15" customHeight="1" outlineLevel="1" x14ac:dyDescent="0.25">
      <c r="A441" s="374"/>
      <c r="B441" s="458" t="str">
        <f>CONCATENATE("VNA  ",B435)</f>
        <v>VNA  Verificación metrológica</v>
      </c>
      <c r="C441" s="374" t="s">
        <v>6</v>
      </c>
      <c r="D441" s="453">
        <f>NPV($D$31,L441:U441)+K441</f>
        <v>615441128.91579688</v>
      </c>
      <c r="K441" s="452">
        <f>IF(K437="N/A",0,IF($D437="Operación",K439,K440))</f>
        <v>0</v>
      </c>
      <c r="L441" s="452">
        <f>IF(L437="N/A",0,IF($D437="Operación",L439,L440))</f>
        <v>48145249.232900001</v>
      </c>
      <c r="M441" s="452">
        <f>IF(M437="N/A",0,IF($D437="Operación",M439,M440))</f>
        <v>67292757.42488496</v>
      </c>
      <c r="N441" s="452">
        <f>IF(N437="N/A",0,IF($D437="Operación",N439,N440))</f>
        <v>91929110.906525567</v>
      </c>
      <c r="O441" s="452">
        <f>IF(O437="N/A",0,IF($D437="Operación",O439,O440))</f>
        <v>117314011.79797016</v>
      </c>
      <c r="P441" s="452">
        <f t="shared" ref="P441:U441" si="200">IF(P437="N/A",0,IF($D437="Operación",P439,P440))</f>
        <v>149160338.49699256</v>
      </c>
      <c r="Q441" s="452">
        <f t="shared" si="200"/>
        <v>196528975.65700242</v>
      </c>
      <c r="R441" s="452">
        <f t="shared" si="200"/>
        <v>207691782.16852504</v>
      </c>
      <c r="S441" s="452">
        <f t="shared" si="200"/>
        <v>219488633.85734084</v>
      </c>
      <c r="T441" s="452">
        <f t="shared" si="200"/>
        <v>231955544.36271104</v>
      </c>
      <c r="U441" s="452">
        <f t="shared" si="200"/>
        <v>245130572.89140418</v>
      </c>
    </row>
    <row r="442" spans="1:21" s="376" customFormat="1" ht="15" customHeight="1" outlineLevel="1" x14ac:dyDescent="0.25">
      <c r="A442" s="374"/>
      <c r="B442" s="454" t="str">
        <f>CONCATENATE("Volumen de agua recuperado ",B435)</f>
        <v>Volumen de agua recuperado Verificación metrológica</v>
      </c>
      <c r="C442" s="374" t="s">
        <v>106</v>
      </c>
      <c r="D442" s="374"/>
      <c r="K442" s="396"/>
      <c r="L442" s="396"/>
      <c r="M442" s="396"/>
      <c r="N442" s="396"/>
      <c r="O442" s="396"/>
      <c r="P442" s="396"/>
      <c r="Q442" s="396"/>
      <c r="R442" s="396"/>
      <c r="S442" s="396"/>
      <c r="T442" s="396"/>
      <c r="U442" s="396"/>
    </row>
    <row r="443" spans="1:21" s="376" customFormat="1" ht="15" customHeight="1" outlineLevel="1" x14ac:dyDescent="0.25">
      <c r="A443" s="374"/>
      <c r="B443" s="376" t="s">
        <v>750</v>
      </c>
      <c r="C443" s="374" t="s">
        <v>6</v>
      </c>
      <c r="D443" s="453">
        <f>NPV($D$31,L443:U443)+K443</f>
        <v>0</v>
      </c>
      <c r="K443" s="452">
        <f>IF(OR(K437="N/A",K442=0),0,K442*K$29)</f>
        <v>0</v>
      </c>
      <c r="L443" s="452">
        <f>IF(OR(L437="N/A",L442=0),0,L442*L$29)</f>
        <v>0</v>
      </c>
      <c r="M443" s="452">
        <f t="shared" ref="M443:U443" si="201">IF(OR(M437="N/A",M442=0),0,M442*M$29)</f>
        <v>0</v>
      </c>
      <c r="N443" s="452">
        <f t="shared" si="201"/>
        <v>0</v>
      </c>
      <c r="O443" s="452">
        <f t="shared" si="201"/>
        <v>0</v>
      </c>
      <c r="P443" s="452">
        <f t="shared" si="201"/>
        <v>0</v>
      </c>
      <c r="Q443" s="452">
        <f t="shared" si="201"/>
        <v>0</v>
      </c>
      <c r="R443" s="452">
        <f t="shared" si="201"/>
        <v>0</v>
      </c>
      <c r="S443" s="452">
        <f t="shared" si="201"/>
        <v>0</v>
      </c>
      <c r="T443" s="452">
        <f t="shared" si="201"/>
        <v>0</v>
      </c>
      <c r="U443" s="452">
        <f t="shared" si="201"/>
        <v>0</v>
      </c>
    </row>
    <row r="444" spans="1:21" s="376" customFormat="1" ht="15" customHeight="1" outlineLevel="1" x14ac:dyDescent="0.25">
      <c r="A444" s="374"/>
      <c r="B444" s="376" t="s">
        <v>751</v>
      </c>
      <c r="C444" s="374"/>
      <c r="D444" s="455">
        <f>IFERROR(ROUND(IF(D443/D441=0,0,D443/D441),2),0)</f>
        <v>0</v>
      </c>
      <c r="K444" s="452">
        <f>IF(OR(K438="N/A",K443=0),0,K443*K$29)</f>
        <v>0</v>
      </c>
      <c r="L444" s="452">
        <f>IF(OR(L438="N/A",L443=0),0,L443*L$29)</f>
        <v>0</v>
      </c>
      <c r="M444" s="452">
        <f t="shared" ref="M444:U444" si="202">IF(OR(M438="N/A",M443=0),0,M443*M$29)</f>
        <v>0</v>
      </c>
      <c r="N444" s="452">
        <f t="shared" si="202"/>
        <v>0</v>
      </c>
      <c r="O444" s="452">
        <f t="shared" si="202"/>
        <v>0</v>
      </c>
      <c r="P444" s="452">
        <f t="shared" si="202"/>
        <v>0</v>
      </c>
      <c r="Q444" s="452">
        <f t="shared" si="202"/>
        <v>0</v>
      </c>
      <c r="R444" s="452">
        <f t="shared" si="202"/>
        <v>0</v>
      </c>
      <c r="S444" s="452">
        <f t="shared" si="202"/>
        <v>0</v>
      </c>
      <c r="T444" s="452">
        <f t="shared" si="202"/>
        <v>0</v>
      </c>
      <c r="U444" s="452">
        <f t="shared" si="202"/>
        <v>0</v>
      </c>
    </row>
    <row r="445" spans="1:21" s="307" customFormat="1" ht="12" customHeight="1" outlineLevel="1" x14ac:dyDescent="0.2">
      <c r="A445" s="316"/>
      <c r="B445" s="308"/>
      <c r="C445" s="304"/>
      <c r="D445" s="304"/>
      <c r="K445" s="373"/>
      <c r="L445" s="373"/>
      <c r="M445" s="373"/>
      <c r="N445" s="373"/>
      <c r="O445" s="373"/>
      <c r="P445" s="373"/>
      <c r="Q445" s="373"/>
      <c r="R445" s="373"/>
      <c r="S445" s="373"/>
      <c r="T445" s="373"/>
      <c r="U445" s="373"/>
    </row>
    <row r="446" spans="1:21" s="307" customFormat="1" ht="12" customHeight="1" outlineLevel="1" x14ac:dyDescent="0.25">
      <c r="A446" s="380" t="s">
        <v>147</v>
      </c>
      <c r="B446" s="358" t="s">
        <v>226</v>
      </c>
      <c r="C446" s="304"/>
      <c r="D446" s="304"/>
      <c r="K446" s="373"/>
      <c r="L446" s="373"/>
      <c r="M446" s="373"/>
      <c r="N446" s="373"/>
      <c r="O446" s="373"/>
      <c r="P446" s="373"/>
      <c r="Q446" s="373"/>
      <c r="R446" s="373"/>
      <c r="S446" s="373"/>
      <c r="T446" s="373"/>
      <c r="U446" s="373"/>
    </row>
    <row r="447" spans="1:21" s="326" customFormat="1" ht="12" customHeight="1" outlineLevel="1" x14ac:dyDescent="0.25">
      <c r="A447" s="316"/>
      <c r="B447" s="307" t="s">
        <v>224</v>
      </c>
      <c r="C447" s="304" t="s">
        <v>11</v>
      </c>
      <c r="D447" s="397">
        <v>6</v>
      </c>
      <c r="E447" s="364"/>
      <c r="F447" s="364"/>
      <c r="G447" s="364"/>
      <c r="H447" s="364"/>
      <c r="I447" s="364"/>
      <c r="J447" s="364"/>
      <c r="K447" s="365">
        <v>0</v>
      </c>
      <c r="L447" s="443">
        <f>IF(L452="N/A","",MAX($K447:K447)+1)</f>
        <v>1</v>
      </c>
      <c r="M447" s="443">
        <f>IF(M452="N/A","",MAX($K447:L447)+1)</f>
        <v>2</v>
      </c>
      <c r="N447" s="443">
        <f>IF(N452="N/A","",MAX($K447:M447)+1)</f>
        <v>3</v>
      </c>
      <c r="O447" s="443">
        <f>IF(O452="N/A","",MAX($K447:N447)+1)</f>
        <v>4</v>
      </c>
      <c r="P447" s="443">
        <f>IF(P452="N/A","",MAX($K447:O447)+1)</f>
        <v>5</v>
      </c>
      <c r="Q447" s="443">
        <f>IF(Q452="N/A","",MAX($K447:P447)+1)</f>
        <v>6</v>
      </c>
      <c r="R447" s="443" t="str">
        <f>IF(R452="N/A","",MAX($K447:Q447)+1)</f>
        <v/>
      </c>
      <c r="S447" s="443" t="str">
        <f>IF(S452="N/A","",MAX($K447:R447)+1)</f>
        <v/>
      </c>
      <c r="T447" s="443" t="str">
        <f>IF(T452="N/A","",MAX($K447:S447)+1)</f>
        <v/>
      </c>
      <c r="U447" s="443" t="str">
        <f>IF(U452="N/A","",MAX($K447:T447)+1)</f>
        <v/>
      </c>
    </row>
    <row r="448" spans="1:21" s="326" customFormat="1" ht="12" customHeight="1" outlineLevel="1" x14ac:dyDescent="0.25">
      <c r="A448" s="316"/>
      <c r="B448" s="307" t="s">
        <v>18</v>
      </c>
      <c r="C448" s="304" t="s">
        <v>20</v>
      </c>
      <c r="D448" s="439">
        <f>+K448</f>
        <v>12</v>
      </c>
      <c r="E448" s="445" t="str">
        <f>IF(D448&lt;&gt;SUM(L448:Q448),"NO","SI")</f>
        <v>SI</v>
      </c>
      <c r="F448"/>
      <c r="K448" s="903">
        <v>12</v>
      </c>
      <c r="L448" s="442">
        <f>IF(L452="N/A",0,SUM(L449:L451))</f>
        <v>4</v>
      </c>
      <c r="M448" s="442">
        <f t="shared" ref="M448:U448" si="203">IF(M452="N/A",0,SUM(M449:M451))</f>
        <v>3</v>
      </c>
      <c r="N448" s="442">
        <f t="shared" si="203"/>
        <v>1</v>
      </c>
      <c r="O448" s="442">
        <f t="shared" si="203"/>
        <v>0</v>
      </c>
      <c r="P448" s="442">
        <f>IF(P452="N/A",0,SUM(P449:P451))</f>
        <v>0</v>
      </c>
      <c r="Q448" s="442">
        <f>IF(Q452="N/A",0,SUM(Q449:Q451))</f>
        <v>4</v>
      </c>
      <c r="R448" s="442">
        <f t="shared" si="203"/>
        <v>0</v>
      </c>
      <c r="S448" s="442">
        <f t="shared" si="203"/>
        <v>0</v>
      </c>
      <c r="T448" s="442">
        <f t="shared" si="203"/>
        <v>0</v>
      </c>
      <c r="U448" s="442">
        <f t="shared" si="203"/>
        <v>0</v>
      </c>
    </row>
    <row r="449" spans="1:21" s="307" customFormat="1" ht="25.35" customHeight="1" outlineLevel="1" x14ac:dyDescent="0.25">
      <c r="A449" s="446" t="str">
        <f>VLOOKUP(B449,'C UNIT PROG TÉCNICOS'!$B$8:$H$108,7,FALSE)</f>
        <v>CAPEX</v>
      </c>
      <c r="B449" s="367" t="s">
        <v>75</v>
      </c>
      <c r="C449" s="304" t="s">
        <v>20</v>
      </c>
      <c r="D449" s="304" t="s">
        <v>19</v>
      </c>
      <c r="I449" s="314"/>
      <c r="J449" s="314"/>
      <c r="K449" s="314"/>
      <c r="L449" s="362">
        <v>0</v>
      </c>
      <c r="M449" s="362">
        <v>0</v>
      </c>
      <c r="N449" s="362">
        <v>0</v>
      </c>
      <c r="O449" s="362">
        <v>0</v>
      </c>
      <c r="P449" s="362">
        <v>0</v>
      </c>
      <c r="Q449" s="362">
        <v>0</v>
      </c>
      <c r="R449" s="362"/>
      <c r="S449" s="362"/>
      <c r="T449" s="362"/>
      <c r="U449" s="362"/>
    </row>
    <row r="450" spans="1:21" s="307" customFormat="1" ht="25.35" customHeight="1" outlineLevel="1" x14ac:dyDescent="0.25">
      <c r="A450" s="446" t="str">
        <f>VLOOKUP(B450,'C UNIT PROG TÉCNICOS'!$B$8:$H$108,7,FALSE)</f>
        <v>CAPEX</v>
      </c>
      <c r="B450" s="367" t="s">
        <v>76</v>
      </c>
      <c r="C450" s="304" t="s">
        <v>20</v>
      </c>
      <c r="D450" s="304" t="s">
        <v>19</v>
      </c>
      <c r="I450" s="314"/>
      <c r="J450" s="314"/>
      <c r="K450" s="314"/>
      <c r="L450" s="362">
        <v>2</v>
      </c>
      <c r="M450" s="362">
        <v>0</v>
      </c>
      <c r="N450" s="362">
        <v>0</v>
      </c>
      <c r="O450" s="362">
        <v>0</v>
      </c>
      <c r="P450" s="362">
        <v>0</v>
      </c>
      <c r="Q450" s="362">
        <v>3</v>
      </c>
      <c r="R450" s="362"/>
      <c r="S450" s="362"/>
      <c r="T450" s="362"/>
      <c r="U450" s="362"/>
    </row>
    <row r="451" spans="1:21" s="307" customFormat="1" ht="25.35" customHeight="1" outlineLevel="1" x14ac:dyDescent="0.25">
      <c r="A451" s="446" t="str">
        <f>VLOOKUP(B451,'C UNIT PROG TÉCNICOS'!$B$8:$H$108,7,FALSE)</f>
        <v>CAPEX</v>
      </c>
      <c r="B451" s="367" t="s">
        <v>37</v>
      </c>
      <c r="C451" s="304" t="s">
        <v>20</v>
      </c>
      <c r="D451" s="304" t="s">
        <v>19</v>
      </c>
      <c r="I451" s="314"/>
      <c r="J451" s="314"/>
      <c r="K451" s="314"/>
      <c r="L451" s="362">
        <v>2</v>
      </c>
      <c r="M451" s="362">
        <v>3</v>
      </c>
      <c r="N451" s="362">
        <v>1</v>
      </c>
      <c r="O451" s="362">
        <v>0</v>
      </c>
      <c r="P451" s="362">
        <v>0</v>
      </c>
      <c r="Q451" s="362">
        <v>1</v>
      </c>
      <c r="R451" s="362"/>
      <c r="S451" s="362"/>
      <c r="T451" s="362"/>
      <c r="U451" s="362"/>
    </row>
    <row r="452" spans="1:21" s="307" customFormat="1" ht="12" customHeight="1" outlineLevel="1" x14ac:dyDescent="0.25">
      <c r="A452" s="316"/>
      <c r="B452" s="307" t="s">
        <v>742</v>
      </c>
      <c r="D452" s="447" t="str">
        <f>IF(AND(A449="CAPEX",A450="CAPEX",A451="CAPEX"),"Inversión",IF(AND(A449="OPEX",A450="OPEX",A451="OPEX"),"Operación","I/O"))</f>
        <v>Inversión</v>
      </c>
      <c r="I452" s="370"/>
      <c r="J452" s="370"/>
      <c r="K452" s="371" t="s">
        <v>149</v>
      </c>
      <c r="L452" s="371" t="s">
        <v>8</v>
      </c>
      <c r="M452" s="371" t="s">
        <v>8</v>
      </c>
      <c r="N452" s="371" t="s">
        <v>8</v>
      </c>
      <c r="O452" s="371" t="s">
        <v>8</v>
      </c>
      <c r="P452" s="371" t="s">
        <v>8</v>
      </c>
      <c r="Q452" s="371" t="s">
        <v>8</v>
      </c>
      <c r="R452" s="371" t="s">
        <v>149</v>
      </c>
      <c r="S452" s="371" t="s">
        <v>149</v>
      </c>
      <c r="T452" s="371" t="s">
        <v>149</v>
      </c>
      <c r="U452" s="371" t="s">
        <v>149</v>
      </c>
    </row>
    <row r="453" spans="1:21" s="307" customFormat="1" ht="12" customHeight="1" outlineLevel="1" x14ac:dyDescent="0.25">
      <c r="A453" s="316"/>
      <c r="B453" s="307" t="s">
        <v>762</v>
      </c>
      <c r="C453" s="304"/>
      <c r="D453" s="304"/>
      <c r="K453" s="448">
        <f>IF(K452="N/A",0,IF(K452="SI",0,IF(OR($D452="I/O",$D452="Inversión"),0,SUM(VLOOKUP($B449,'C UNIT PROG TÉCNICOS'!$B$8:$G$160,6,FALSE)*'EV PROG TÉCNICOS'!K449,VLOOKUP($B450,'C UNIT PROG TÉCNICOS'!$B$8:$G$160,6,FALSE)*'EV PROG TÉCNICOS'!K450,VLOOKUP($B451,'C UNIT PROG TÉCNICOS'!$B$8:$G$160,6,FALSE)*'EV PROG TÉCNICOS'!K451))))</f>
        <v>0</v>
      </c>
      <c r="L453" s="448">
        <f>IF(L452="N/A",0,IF(L452="SI",0,IF(OR($D452="I/O",$D452="Inversión"),0,SUM(VLOOKUP($B449,'C UNIT PROG TÉCNICOS'!$B$8:$G$160,6,FALSE)*'EV PROG TÉCNICOS'!L449,VLOOKUP($B450,'C UNIT PROG TÉCNICOS'!$B$8:$G$160,6,FALSE)*'EV PROG TÉCNICOS'!L450,VLOOKUP($B451,'C UNIT PROG TÉCNICOS'!$B$8:$G$160,6,FALSE)*'EV PROG TÉCNICOS'!L451))))</f>
        <v>0</v>
      </c>
      <c r="M453" s="448">
        <f>IF(M452="N/A",0,IF(M452="SI",0,IF(OR($D452="I/O",$D452="Inversión"),0,SUM(VLOOKUP($B449,'C UNIT PROG TÉCNICOS'!$B$8:$G$160,6,FALSE)*'EV PROG TÉCNICOS'!M449,VLOOKUP($B450,'C UNIT PROG TÉCNICOS'!$B$8:$G$160,6,FALSE)*'EV PROG TÉCNICOS'!M450,VLOOKUP($B451,'C UNIT PROG TÉCNICOS'!$B$8:$G$160,6,FALSE)*'EV PROG TÉCNICOS'!M451))))</f>
        <v>0</v>
      </c>
      <c r="N453" s="448">
        <f>IF(N452="N/A",0,IF(N452="SI",0,IF(OR($D452="I/O",$D452="Inversión"),0,SUM(VLOOKUP($B449,'C UNIT PROG TÉCNICOS'!$B$8:$G$160,6,FALSE)*'EV PROG TÉCNICOS'!N449,VLOOKUP($B450,'C UNIT PROG TÉCNICOS'!$B$8:$G$160,6,FALSE)*'EV PROG TÉCNICOS'!N450,VLOOKUP($B451,'C UNIT PROG TÉCNICOS'!$B$8:$G$160,6,FALSE)*'EV PROG TÉCNICOS'!N451))))</f>
        <v>0</v>
      </c>
      <c r="O453" s="448">
        <f>IF(O452="N/A",0,IF(O452="SI",0,IF(OR($D452="I/O",$D452="Inversión"),0,SUM(VLOOKUP($B449,'C UNIT PROG TÉCNICOS'!$B$8:$G$160,6,FALSE)*'EV PROG TÉCNICOS'!O449,VLOOKUP($B450,'C UNIT PROG TÉCNICOS'!$B$8:$G$160,6,FALSE)*'EV PROG TÉCNICOS'!O450,VLOOKUP($B451,'C UNIT PROG TÉCNICOS'!$B$8:$G$160,6,FALSE)*'EV PROG TÉCNICOS'!O451))))</f>
        <v>0</v>
      </c>
      <c r="P453" s="448">
        <f>IF(P452="N/A",0,IF(P452="SI",0,IF(OR($D452="I/O",$D452="Inversión"),0,SUM(VLOOKUP($B449,'C UNIT PROG TÉCNICOS'!$B$8:$G$160,6,FALSE)*'EV PROG TÉCNICOS'!P449,VLOOKUP($B450,'C UNIT PROG TÉCNICOS'!$B$8:$G$160,6,FALSE)*'EV PROG TÉCNICOS'!P450,VLOOKUP($B451,'C UNIT PROG TÉCNICOS'!$B$8:$G$160,6,FALSE)*'EV PROG TÉCNICOS'!P451))))</f>
        <v>0</v>
      </c>
      <c r="Q453" s="448">
        <f>IF(Q452="N/A",0,IF(Q452="SI",0,IF(OR($D452="I/O",$D452="Inversión"),0,SUM(VLOOKUP($B449,'C UNIT PROG TÉCNICOS'!$B$8:$G$160,6,FALSE)*'EV PROG TÉCNICOS'!Q449,VLOOKUP($B450,'C UNIT PROG TÉCNICOS'!$B$8:$G$160,6,FALSE)*'EV PROG TÉCNICOS'!Q450,VLOOKUP($B451,'C UNIT PROG TÉCNICOS'!$B$8:$G$160,6,FALSE)*'EV PROG TÉCNICOS'!Q451))))</f>
        <v>0</v>
      </c>
      <c r="R453" s="448">
        <f>IF(R452="N/A",0,IF(R452="SI",0,IF(OR($D452="I/O",$D452="Inversión"),0,SUM(VLOOKUP($B449,'C UNIT PROG TÉCNICOS'!$B$8:$G$160,6,FALSE)*'EV PROG TÉCNICOS'!R449,VLOOKUP($B450,'C UNIT PROG TÉCNICOS'!$B$8:$G$160,6,FALSE)*'EV PROG TÉCNICOS'!R450,VLOOKUP($B451,'C UNIT PROG TÉCNICOS'!$B$8:$G$160,6,FALSE)*'EV PROG TÉCNICOS'!R451))))</f>
        <v>0</v>
      </c>
      <c r="S453" s="448">
        <f>IF(S452="N/A",0,IF(S452="SI",0,IF(OR($D452="I/O",$D452="Inversión"),0,SUM(VLOOKUP($B449,'C UNIT PROG TÉCNICOS'!$B$8:$G$160,6,FALSE)*'EV PROG TÉCNICOS'!S449,VLOOKUP($B450,'C UNIT PROG TÉCNICOS'!$B$8:$G$160,6,FALSE)*'EV PROG TÉCNICOS'!S450,VLOOKUP($B451,'C UNIT PROG TÉCNICOS'!$B$8:$G$160,6,FALSE)*'EV PROG TÉCNICOS'!S451))))</f>
        <v>0</v>
      </c>
      <c r="T453" s="448">
        <f>IF(T452="N/A",0,IF(T452="SI",0,IF(OR($D452="I/O",$D452="Inversión"),0,SUM(VLOOKUP($B449,'C UNIT PROG TÉCNICOS'!$B$8:$G$160,6,FALSE)*'EV PROG TÉCNICOS'!T449,VLOOKUP($B450,'C UNIT PROG TÉCNICOS'!$B$8:$G$160,6,FALSE)*'EV PROG TÉCNICOS'!T450,VLOOKUP($B451,'C UNIT PROG TÉCNICOS'!$B$8:$G$160,6,FALSE)*'EV PROG TÉCNICOS'!T451))))</f>
        <v>0</v>
      </c>
      <c r="U453" s="448">
        <f>IF(U452="N/A",0,IF(U452="SI",0,IF(OR($D452="I/O",$D452="Inversión"),0,SUM(VLOOKUP($B449,'C UNIT PROG TÉCNICOS'!$B$8:$G$160,6,FALSE)*'EV PROG TÉCNICOS'!U449,VLOOKUP($B450,'C UNIT PROG TÉCNICOS'!$B$8:$G$160,6,FALSE)*'EV PROG TÉCNICOS'!U450,VLOOKUP($B451,'C UNIT PROG TÉCNICOS'!$B$8:$G$160,6,FALSE)*'EV PROG TÉCNICOS'!U451))))</f>
        <v>0</v>
      </c>
    </row>
    <row r="454" spans="1:21" s="307" customFormat="1" ht="12" customHeight="1" outlineLevel="1" x14ac:dyDescent="0.25">
      <c r="A454" s="316"/>
      <c r="B454" s="307" t="s">
        <v>763</v>
      </c>
      <c r="C454" s="304" t="s">
        <v>6</v>
      </c>
      <c r="D454" s="304"/>
      <c r="K454" s="450">
        <f>IF(K452="N/A",0,IF(K452="SI",0,K$21*K453))</f>
        <v>0</v>
      </c>
      <c r="L454" s="450">
        <f>IF(L452="N/A",0,IF(L452="SI",0,L$21*L453))</f>
        <v>0</v>
      </c>
      <c r="M454" s="450">
        <f t="shared" ref="M454:U454" si="204">IF(M452="N/A",0,IF(M452="SI",0,M$21*M453))</f>
        <v>0</v>
      </c>
      <c r="N454" s="450">
        <f t="shared" si="204"/>
        <v>0</v>
      </c>
      <c r="O454" s="450">
        <f t="shared" si="204"/>
        <v>0</v>
      </c>
      <c r="P454" s="450">
        <f t="shared" si="204"/>
        <v>0</v>
      </c>
      <c r="Q454" s="450">
        <f t="shared" si="204"/>
        <v>0</v>
      </c>
      <c r="R454" s="450">
        <f t="shared" si="204"/>
        <v>0</v>
      </c>
      <c r="S454" s="450">
        <f t="shared" si="204"/>
        <v>0</v>
      </c>
      <c r="T454" s="450">
        <f t="shared" si="204"/>
        <v>0</v>
      </c>
      <c r="U454" s="450">
        <f t="shared" si="204"/>
        <v>0</v>
      </c>
    </row>
    <row r="455" spans="1:21" s="307" customFormat="1" ht="12" customHeight="1" outlineLevel="1" x14ac:dyDescent="0.25">
      <c r="A455" s="316"/>
      <c r="B455" s="307" t="s">
        <v>764</v>
      </c>
      <c r="C455" s="304" t="s">
        <v>6</v>
      </c>
      <c r="D455" s="304"/>
      <c r="K455" s="450">
        <f>IF(K452="N/A",0,IF(K452="SI",0,IF(OR($D452="Inversión",$D452="I/O"),SUM(VLOOKUP($B449,'C UNIT PROG TÉCNICOS'!$B$8:$G$160,5,FALSE)*'EV PROG TÉCNICOS'!K449,VLOOKUP($B450,'C UNIT PROG TÉCNICOS'!$B$8:$G$160,5,FALSE)*'EV PROG TÉCNICOS'!K450,VLOOKUP($B451,'C UNIT PROG TÉCNICOS'!$B$8:$G$160,5,FALSE)*'EV PROG TÉCNICOS'!K451),0)))</f>
        <v>0</v>
      </c>
      <c r="L455" s="450">
        <f>IF(L452="N/A",0,IF(L452="SI",0,IF(OR($D452="Inversión",$D452="I/O"),SUM(VLOOKUP($B449,'C UNIT PROG TÉCNICOS'!$B$8:$G$160,5,FALSE)*'EV PROG TÉCNICOS'!L449,VLOOKUP($B450,'C UNIT PROG TÉCNICOS'!$B$8:$G$160,5,FALSE)*'EV PROG TÉCNICOS'!L450,VLOOKUP($B451,'C UNIT PROG TÉCNICOS'!$B$8:$G$160,5,FALSE)*'EV PROG TÉCNICOS'!L451),0))*((1+$D$24)^(L$3-$K$3)))</f>
        <v>126116058.08512373</v>
      </c>
      <c r="M455" s="450">
        <f>IF(M452="N/A",0,IF(M452="SI",0,IF(OR($D452="Inversión",$D452="I/O"),SUM(VLOOKUP($B449,'C UNIT PROG TÉCNICOS'!$B$8:$G$160,5,FALSE)*'EV PROG TÉCNICOS'!M449,VLOOKUP($B450,'C UNIT PROG TÉCNICOS'!$B$8:$G$160,5,FALSE)*'EV PROG TÉCNICOS'!M450,VLOOKUP($B451,'C UNIT PROG TÉCNICOS'!$B$8:$G$160,5,FALSE)*'EV PROG TÉCNICOS'!M451),0))*((1+$D$24)^(M$3-$K$3)))</f>
        <v>119450242.93810607</v>
      </c>
      <c r="N455" s="450">
        <f>IF(N452="N/A",0,IF(N452="SI",0,IF(OR($D452="Inversión",$D452="I/O"),SUM(VLOOKUP($B449,'C UNIT PROG TÉCNICOS'!$B$8:$G$160,5,FALSE)*'EV PROG TÉCNICOS'!N449,VLOOKUP($B450,'C UNIT PROG TÉCNICOS'!$B$8:$G$160,5,FALSE)*'EV PROG TÉCNICOS'!N450,VLOOKUP($B451,'C UNIT PROG TÉCNICOS'!$B$8:$G$160,5,FALSE)*'EV PROG TÉCNICOS'!N451),0))*((1+$D$24)^(N$3-$K$3)))</f>
        <v>41234059.020898953</v>
      </c>
      <c r="O455" s="450">
        <f>IF(O452="N/A",0,IF(O452="SI",0,IF(OR($D452="Inversión",$D452="I/O"),SUM(VLOOKUP($B449,'C UNIT PROG TÉCNICOS'!$B$8:$G$160,5,FALSE)*'EV PROG TÉCNICOS'!O449,VLOOKUP($B450,'C UNIT PROG TÉCNICOS'!$B$8:$G$160,5,FALSE)*'EV PROG TÉCNICOS'!O450,VLOOKUP($B451,'C UNIT PROG TÉCNICOS'!$B$8:$G$160,5,FALSE)*'EV PROG TÉCNICOS'!O451),0))*((1+$D$24)^(O$3-$K$3)))</f>
        <v>0</v>
      </c>
      <c r="P455" s="450">
        <f>IF(P452="N/A",0,IF(P452="SI",0,IF(OR($D452="Inversión",$D452="I/O"),SUM(VLOOKUP($B449,'C UNIT PROG TÉCNICOS'!$B$8:$G$160,5,FALSE)*'EV PROG TÉCNICOS'!P449,VLOOKUP($B450,'C UNIT PROG TÉCNICOS'!$B$8:$G$160,5,FALSE)*'EV PROG TÉCNICOS'!P450,VLOOKUP($B451,'C UNIT PROG TÉCNICOS'!$B$8:$G$160,5,FALSE)*'EV PROG TÉCNICOS'!P451),0))*((1+$D$24)^(P$3-$K$3)))</f>
        <v>0</v>
      </c>
      <c r="Q455" s="450">
        <f>IF(Q452="N/A",0,IF(Q452="SI",0,IF(OR($D452="Inversión",$D452="I/O"),SUM(VLOOKUP($B449,'C UNIT PROG TÉCNICOS'!$B$8:$G$160,5,FALSE)*'EV PROG TÉCNICOS'!Q449,VLOOKUP($B450,'C UNIT PROG TÉCNICOS'!$B$8:$G$160,5,FALSE)*'EV PROG TÉCNICOS'!Q450,VLOOKUP($B451,'C UNIT PROG TÉCNICOS'!$B$8:$G$160,5,FALSE)*'EV PROG TÉCNICOS'!Q451),0))*((1+$D$24)^(Q$3-$K$3)))</f>
        <v>133735083.28086235</v>
      </c>
      <c r="R455" s="450">
        <f>IF(R452="N/A",0,IF(R452="SI",0,IF(OR($D452="Inversión",$D452="I/O"),SUM(VLOOKUP($B449,'C UNIT PROG TÉCNICOS'!$B$8:$G$160,5,FALSE)*'EV PROG TÉCNICOS'!R449,VLOOKUP($B450,'C UNIT PROG TÉCNICOS'!$B$8:$G$160,5,FALSE)*'EV PROG TÉCNICOS'!R450,VLOOKUP($B451,'C UNIT PROG TÉCNICOS'!$B$8:$G$160,5,FALSE)*'EV PROG TÉCNICOS'!R451),0))*((1+$D$24)^(R$3-$K$3)))</f>
        <v>0</v>
      </c>
      <c r="S455" s="450">
        <f>IF(S452="N/A",0,IF(S452="SI",0,IF(OR($D452="Inversión",$D452="I/O"),SUM(VLOOKUP($B449,'C UNIT PROG TÉCNICOS'!$B$8:$G$160,5,FALSE)*'EV PROG TÉCNICOS'!S449,VLOOKUP($B450,'C UNIT PROG TÉCNICOS'!$B$8:$G$160,5,FALSE)*'EV PROG TÉCNICOS'!S450,VLOOKUP($B451,'C UNIT PROG TÉCNICOS'!$B$8:$G$160,5,FALSE)*'EV PROG TÉCNICOS'!S451),0))*((1+$D$24)^(S$3-$K$3)))</f>
        <v>0</v>
      </c>
      <c r="T455" s="450">
        <f>IF(T452="N/A",0,IF(T452="SI",0,IF(OR($D452="Inversión",$D452="I/O"),SUM(VLOOKUP($B449,'C UNIT PROG TÉCNICOS'!$B$8:$G$160,5,FALSE)*'EV PROG TÉCNICOS'!T449,VLOOKUP($B450,'C UNIT PROG TÉCNICOS'!$B$8:$G$160,5,FALSE)*'EV PROG TÉCNICOS'!T450,VLOOKUP($B451,'C UNIT PROG TÉCNICOS'!$B$8:$G$160,5,FALSE)*'EV PROG TÉCNICOS'!T451),0))*((1+$D$24)^(T$3-$K$3)))</f>
        <v>0</v>
      </c>
      <c r="U455" s="450">
        <f>IF(U452="N/A",0,IF(U452="SI",0,IF(OR($D452="Inversión",$D452="I/O"),SUM(VLOOKUP($B449,'C UNIT PROG TÉCNICOS'!$B$8:$G$160,5,FALSE)*'EV PROG TÉCNICOS'!U449,VLOOKUP($B450,'C UNIT PROG TÉCNICOS'!$B$8:$G$160,5,FALSE)*'EV PROG TÉCNICOS'!U450,VLOOKUP($B451,'C UNIT PROG TÉCNICOS'!$B$8:$G$160,5,FALSE)*'EV PROG TÉCNICOS'!U451),0))*((1+$D$24)^(U$3-$K$3)))</f>
        <v>0</v>
      </c>
    </row>
    <row r="456" spans="1:21" s="376" customFormat="1" ht="15" customHeight="1" outlineLevel="1" x14ac:dyDescent="0.25">
      <c r="A456" s="374"/>
      <c r="B456" s="458" t="str">
        <f>CONCATENATE("VNA  ",B446)</f>
        <v>VNA  Reemplazo de macromedidores</v>
      </c>
      <c r="C456" s="374" t="s">
        <v>6</v>
      </c>
      <c r="D456" s="453">
        <f>NPV($D$31,L456:U456)+K456</f>
        <v>277151225.97227782</v>
      </c>
      <c r="K456" s="452">
        <f>IF(K452="N/A",0,IF($D452="Operación",K454,K455))</f>
        <v>0</v>
      </c>
      <c r="L456" s="452">
        <f>IF(L452="N/A",0,IF($D452="Operación",L454,L455))</f>
        <v>126116058.08512373</v>
      </c>
      <c r="M456" s="452">
        <f t="shared" ref="M456:U456" si="205">IF(M452="N/A",0,IF($D452="Operación",M454,M455))</f>
        <v>119450242.93810607</v>
      </c>
      <c r="N456" s="452">
        <f t="shared" si="205"/>
        <v>41234059.020898953</v>
      </c>
      <c r="O456" s="452">
        <f t="shared" si="205"/>
        <v>0</v>
      </c>
      <c r="P456" s="452">
        <f t="shared" si="205"/>
        <v>0</v>
      </c>
      <c r="Q456" s="452">
        <f t="shared" si="205"/>
        <v>133735083.28086235</v>
      </c>
      <c r="R456" s="452">
        <f t="shared" si="205"/>
        <v>0</v>
      </c>
      <c r="S456" s="452">
        <f t="shared" si="205"/>
        <v>0</v>
      </c>
      <c r="T456" s="452">
        <f t="shared" si="205"/>
        <v>0</v>
      </c>
      <c r="U456" s="452">
        <f t="shared" si="205"/>
        <v>0</v>
      </c>
    </row>
    <row r="457" spans="1:21" s="393" customFormat="1" ht="15" customHeight="1" outlineLevel="1" x14ac:dyDescent="0.25">
      <c r="A457" s="374"/>
      <c r="B457" s="454" t="str">
        <f>CONCATENATE("Volumen de agua recuperado ",B446)</f>
        <v>Volumen de agua recuperado Reemplazo de macromedidores</v>
      </c>
      <c r="C457" s="374" t="s">
        <v>106</v>
      </c>
      <c r="D457" s="374"/>
      <c r="K457" s="378"/>
      <c r="L457" s="378"/>
      <c r="M457" s="378"/>
      <c r="N457" s="378"/>
      <c r="O457" s="378"/>
      <c r="P457" s="378"/>
      <c r="Q457" s="378"/>
      <c r="R457" s="378"/>
      <c r="S457" s="378"/>
      <c r="T457" s="378"/>
      <c r="U457" s="378"/>
    </row>
    <row r="458" spans="1:21" s="376" customFormat="1" ht="15" customHeight="1" outlineLevel="1" x14ac:dyDescent="0.25">
      <c r="A458" s="374"/>
      <c r="B458" s="376" t="s">
        <v>750</v>
      </c>
      <c r="C458" s="374" t="s">
        <v>6</v>
      </c>
      <c r="D458" s="453">
        <f>NPV($D$31,L458:U458)+K458</f>
        <v>0</v>
      </c>
      <c r="K458" s="452">
        <f>IF(OR(K452="N/A",K457=0),0,K457*K$29)</f>
        <v>0</v>
      </c>
      <c r="L458" s="452">
        <f>IF(OR(L452="N/A",L457=0),0,L457*L$29)</f>
        <v>0</v>
      </c>
      <c r="M458" s="452">
        <f t="shared" ref="M458:U458" si="206">IF(OR(M452="N/A",M457=0),0,M457*M$29)</f>
        <v>0</v>
      </c>
      <c r="N458" s="452">
        <f t="shared" si="206"/>
        <v>0</v>
      </c>
      <c r="O458" s="452">
        <f t="shared" si="206"/>
        <v>0</v>
      </c>
      <c r="P458" s="452">
        <f t="shared" si="206"/>
        <v>0</v>
      </c>
      <c r="Q458" s="452">
        <f t="shared" si="206"/>
        <v>0</v>
      </c>
      <c r="R458" s="452">
        <f t="shared" si="206"/>
        <v>0</v>
      </c>
      <c r="S458" s="452">
        <f t="shared" si="206"/>
        <v>0</v>
      </c>
      <c r="T458" s="452">
        <f t="shared" si="206"/>
        <v>0</v>
      </c>
      <c r="U458" s="452">
        <f t="shared" si="206"/>
        <v>0</v>
      </c>
    </row>
    <row r="459" spans="1:21" s="376" customFormat="1" ht="15" customHeight="1" outlineLevel="1" x14ac:dyDescent="0.2">
      <c r="A459" s="374"/>
      <c r="B459" s="376" t="s">
        <v>751</v>
      </c>
      <c r="C459" s="374"/>
      <c r="D459" s="455">
        <f>IFERROR(ROUND(IF(D458/D456=0,0,D458/D456),2),0)</f>
        <v>0</v>
      </c>
      <c r="K459" s="297"/>
      <c r="L459" s="452">
        <f>IF(OR(L453="N/A",L458=0),0,L458*L$29)</f>
        <v>0</v>
      </c>
      <c r="M459" s="452">
        <f t="shared" ref="M459:U459" si="207">IF(OR(M453="N/A",M458=0),0,M458*M$29)</f>
        <v>0</v>
      </c>
      <c r="N459" s="452">
        <f t="shared" si="207"/>
        <v>0</v>
      </c>
      <c r="O459" s="452">
        <f t="shared" si="207"/>
        <v>0</v>
      </c>
      <c r="P459" s="452">
        <f t="shared" si="207"/>
        <v>0</v>
      </c>
      <c r="Q459" s="452">
        <f t="shared" si="207"/>
        <v>0</v>
      </c>
      <c r="R459" s="452">
        <f t="shared" si="207"/>
        <v>0</v>
      </c>
      <c r="S459" s="452">
        <f t="shared" si="207"/>
        <v>0</v>
      </c>
      <c r="T459" s="452">
        <f t="shared" si="207"/>
        <v>0</v>
      </c>
      <c r="U459" s="452">
        <f t="shared" si="207"/>
        <v>0</v>
      </c>
    </row>
    <row r="460" spans="1:21" s="326" customFormat="1" ht="15" customHeight="1" x14ac:dyDescent="0.2">
      <c r="A460" s="316"/>
      <c r="C460" s="316"/>
      <c r="D460" s="297"/>
      <c r="K460" s="297"/>
      <c r="L460" s="297"/>
      <c r="M460" s="297"/>
      <c r="N460" s="297"/>
      <c r="O460" s="297"/>
      <c r="P460" s="297"/>
      <c r="Q460" s="297"/>
      <c r="R460" s="297"/>
      <c r="S460" s="297"/>
      <c r="T460" s="297"/>
      <c r="U460" s="297"/>
    </row>
    <row r="461" spans="1:21" s="357" customFormat="1" ht="15.75" x14ac:dyDescent="0.25">
      <c r="A461" s="356">
        <v>2.2000000000000002</v>
      </c>
      <c r="B461" s="317" t="s">
        <v>88</v>
      </c>
      <c r="C461" s="317"/>
      <c r="D461" s="317"/>
      <c r="E461" s="317"/>
      <c r="F461" s="317"/>
      <c r="G461" s="317"/>
      <c r="H461" s="317"/>
      <c r="I461" s="317"/>
      <c r="J461" s="317"/>
      <c r="K461" s="317"/>
      <c r="L461" s="317"/>
      <c r="M461" s="317"/>
      <c r="N461" s="317"/>
      <c r="O461" s="317"/>
      <c r="P461" s="317"/>
      <c r="Q461" s="317"/>
      <c r="R461" s="317"/>
      <c r="S461" s="317"/>
      <c r="T461" s="317"/>
      <c r="U461" s="317"/>
    </row>
    <row r="462" spans="1:21" s="364" customFormat="1" ht="15" customHeight="1" outlineLevel="1" x14ac:dyDescent="0.25">
      <c r="A462" s="394"/>
      <c r="B462" s="364" t="s">
        <v>124</v>
      </c>
      <c r="C462" s="394" t="s">
        <v>11</v>
      </c>
      <c r="D462" s="444">
        <f>COUNT(L462:U462)</f>
        <v>5</v>
      </c>
      <c r="K462" s="365">
        <v>0</v>
      </c>
      <c r="L462" s="443">
        <f>IF(L467="N/A","",K462+1)</f>
        <v>1</v>
      </c>
      <c r="M462" s="443">
        <f t="shared" ref="M462:U462" si="208">IF(M467="N/A","",L462+1)</f>
        <v>2</v>
      </c>
      <c r="N462" s="443">
        <f t="shared" si="208"/>
        <v>3</v>
      </c>
      <c r="O462" s="443">
        <f>IF(O467="N/A","",N462+1)</f>
        <v>4</v>
      </c>
      <c r="P462" s="443">
        <f>IF(P467="N/A","",O462+1)</f>
        <v>5</v>
      </c>
      <c r="Q462" s="443"/>
      <c r="R462" s="443" t="str">
        <f t="shared" si="208"/>
        <v/>
      </c>
      <c r="S462" s="443" t="str">
        <f t="shared" si="208"/>
        <v/>
      </c>
      <c r="T462" s="443" t="str">
        <f t="shared" si="208"/>
        <v/>
      </c>
      <c r="U462" s="443" t="str">
        <f t="shared" si="208"/>
        <v/>
      </c>
    </row>
    <row r="463" spans="1:21" s="307" customFormat="1" ht="12" outlineLevel="1" x14ac:dyDescent="0.25">
      <c r="A463" s="316"/>
      <c r="B463" s="395" t="s">
        <v>150</v>
      </c>
      <c r="C463" s="304"/>
      <c r="D463" s="360">
        <v>262</v>
      </c>
      <c r="J463" s="342"/>
      <c r="K463" s="439">
        <f>$D463</f>
        <v>262</v>
      </c>
      <c r="L463" s="439">
        <f>IFERROR(K463-SUM(K464:L464),0)</f>
        <v>252</v>
      </c>
      <c r="M463" s="439">
        <f>IFERROR(L463-M464,0)</f>
        <v>193</v>
      </c>
      <c r="N463" s="439">
        <f>IFERROR(M463-N464,0)</f>
        <v>139</v>
      </c>
      <c r="O463" s="439">
        <f>IFERROR(N463-O464,0)</f>
        <v>2</v>
      </c>
      <c r="P463" s="439">
        <f>IFERROR(O463-P464,0)</f>
        <v>-10</v>
      </c>
      <c r="Q463" s="439"/>
      <c r="R463" s="439"/>
      <c r="S463" s="439"/>
      <c r="T463" s="439"/>
      <c r="U463" s="439"/>
    </row>
    <row r="464" spans="1:21" s="326" customFormat="1" ht="12" customHeight="1" outlineLevel="1" x14ac:dyDescent="0.25">
      <c r="A464" s="316"/>
      <c r="B464" s="326" t="s">
        <v>122</v>
      </c>
      <c r="C464" s="316" t="s">
        <v>20</v>
      </c>
      <c r="D464" s="445" t="str">
        <f>IF($D$463&gt;SUM(K464:U464),"NO","SI")</f>
        <v>SI</v>
      </c>
      <c r="K464" s="442">
        <f>SUM(K465)</f>
        <v>0</v>
      </c>
      <c r="L464" s="442">
        <f t="shared" ref="L464:U464" si="209">SUM(L465)</f>
        <v>10</v>
      </c>
      <c r="M464" s="442">
        <f t="shared" si="209"/>
        <v>59</v>
      </c>
      <c r="N464" s="442">
        <f t="shared" si="209"/>
        <v>54</v>
      </c>
      <c r="O464" s="442">
        <f t="shared" si="209"/>
        <v>137</v>
      </c>
      <c r="P464" s="442">
        <f t="shared" si="209"/>
        <v>12</v>
      </c>
      <c r="Q464" s="442"/>
      <c r="R464" s="442">
        <f t="shared" si="209"/>
        <v>0</v>
      </c>
      <c r="S464" s="442">
        <f t="shared" si="209"/>
        <v>0</v>
      </c>
      <c r="T464" s="442">
        <f t="shared" si="209"/>
        <v>0</v>
      </c>
      <c r="U464" s="442">
        <f t="shared" si="209"/>
        <v>0</v>
      </c>
    </row>
    <row r="465" spans="1:22" s="307" customFormat="1" ht="35.1" customHeight="1" outlineLevel="1" x14ac:dyDescent="0.25">
      <c r="A465" s="446" t="str">
        <f>VLOOKUP(B465,'C UNIT PROG TÉCNICOS'!$B$8:$H$108,7,FALSE)</f>
        <v>CAPEX</v>
      </c>
      <c r="B465" s="367" t="s">
        <v>210</v>
      </c>
      <c r="C465" s="304" t="s">
        <v>20</v>
      </c>
      <c r="D465" s="304" t="s">
        <v>19</v>
      </c>
      <c r="I465" s="368"/>
      <c r="J465" s="368"/>
      <c r="K465" s="369">
        <v>0</v>
      </c>
      <c r="L465" s="369">
        <v>10</v>
      </c>
      <c r="M465" s="369">
        <v>59</v>
      </c>
      <c r="N465" s="369">
        <v>54</v>
      </c>
      <c r="O465" s="369">
        <v>137</v>
      </c>
      <c r="P465" s="369">
        <v>12</v>
      </c>
      <c r="Q465" s="369"/>
      <c r="R465" s="369"/>
      <c r="S465" s="369"/>
      <c r="T465" s="369"/>
      <c r="U465" s="369"/>
    </row>
    <row r="466" spans="1:22" s="307" customFormat="1" ht="35.1" customHeight="1" outlineLevel="1" x14ac:dyDescent="0.25">
      <c r="A466" s="446" t="str">
        <f>VLOOKUP(B466,'C UNIT PROG TÉCNICOS'!$B$8:$H$108,7,FALSE)</f>
        <v>CAPEX</v>
      </c>
      <c r="B466" s="367" t="s">
        <v>64</v>
      </c>
      <c r="C466" s="304" t="s">
        <v>20</v>
      </c>
      <c r="D466" s="304" t="s">
        <v>19</v>
      </c>
      <c r="I466" s="369"/>
      <c r="J466" s="369"/>
      <c r="K466" s="369">
        <v>0</v>
      </c>
      <c r="L466" s="369">
        <f>L465</f>
        <v>10</v>
      </c>
      <c r="M466" s="369">
        <v>0</v>
      </c>
      <c r="N466" s="369">
        <v>0</v>
      </c>
      <c r="O466" s="369">
        <v>0</v>
      </c>
      <c r="P466" s="369">
        <v>0</v>
      </c>
      <c r="Q466" s="369"/>
      <c r="R466" s="369"/>
      <c r="S466" s="369"/>
      <c r="T466" s="369"/>
      <c r="U466" s="369"/>
    </row>
    <row r="467" spans="1:22" s="307" customFormat="1" ht="12" customHeight="1" outlineLevel="1" x14ac:dyDescent="0.25">
      <c r="A467" s="316"/>
      <c r="B467" s="307" t="s">
        <v>742</v>
      </c>
      <c r="D467" s="447" t="str">
        <f>IF(AND(A465="CAPEX",A466="CAPEX"),"Inversión",IF(AND(A465="OPEX",A466="OPEX"),"Operación","I/O"))</f>
        <v>Inversión</v>
      </c>
      <c r="I467" s="370"/>
      <c r="J467" s="370"/>
      <c r="K467" s="371" t="s">
        <v>8</v>
      </c>
      <c r="L467" s="371" t="s">
        <v>8</v>
      </c>
      <c r="M467" s="371" t="s">
        <v>8</v>
      </c>
      <c r="N467" s="371" t="s">
        <v>8</v>
      </c>
      <c r="O467" s="371" t="s">
        <v>8</v>
      </c>
      <c r="P467" s="371" t="s">
        <v>8</v>
      </c>
      <c r="Q467" s="371"/>
      <c r="R467" s="371" t="s">
        <v>149</v>
      </c>
      <c r="S467" s="371" t="s">
        <v>149</v>
      </c>
      <c r="T467" s="371" t="s">
        <v>149</v>
      </c>
      <c r="U467" s="371" t="s">
        <v>149</v>
      </c>
    </row>
    <row r="468" spans="1:22" s="307" customFormat="1" ht="12" customHeight="1" outlineLevel="1" x14ac:dyDescent="0.25">
      <c r="A468" s="316"/>
      <c r="B468" s="307" t="s">
        <v>762</v>
      </c>
      <c r="C468" s="304"/>
      <c r="D468" s="304"/>
      <c r="K468" s="448">
        <f>IF(K467="N/A",0,IF(K467="SI",0,IF(OR($D467="I/O",$D467="Inversión"),0,SUM(VLOOKUP($B465,'C UNIT PROG TÉCNICOS'!$B$8:$G$160,6,FALSE)*'EV PROG TÉCNICOS'!K465,VLOOKUP($B466,'C UNIT PROG TÉCNICOS'!$B$8:$G$160,6,FALSE)*'EV PROG TÉCNICOS'!K466))))</f>
        <v>0</v>
      </c>
      <c r="L468" s="448">
        <f>IF(L467="N/A",0,IF(L467="SI",0,IF(OR($D467="I/O",$D467="Inversión"),0,SUM(VLOOKUP($B465,'C UNIT PROG TÉCNICOS'!$B$8:$G$160,6,FALSE)*'EV PROG TÉCNICOS'!L465,VLOOKUP($B466,'C UNIT PROG TÉCNICOS'!$B$8:$G$160,6,FALSE)*'EV PROG TÉCNICOS'!L466))))</f>
        <v>0</v>
      </c>
      <c r="M468" s="448">
        <f>IF(M467="N/A",0,IF(M467="SI",0,IF(OR($D467="I/O",$D467="Inversión"),0,SUM(VLOOKUP($B465,'C UNIT PROG TÉCNICOS'!$B$8:$G$160,6,FALSE)*'EV PROG TÉCNICOS'!M465,VLOOKUP($B466,'C UNIT PROG TÉCNICOS'!$B$8:$G$160,6,FALSE)*'EV PROG TÉCNICOS'!M466))))</f>
        <v>0</v>
      </c>
      <c r="N468" s="448">
        <f>IF(N467="N/A",0,IF(N467="SI",0,IF(OR($D467="I/O",$D467="Inversión"),0,SUM(VLOOKUP($B465,'C UNIT PROG TÉCNICOS'!$B$8:$G$160,6,FALSE)*'EV PROG TÉCNICOS'!N465,VLOOKUP($B466,'C UNIT PROG TÉCNICOS'!$B$8:$G$160,6,FALSE)*'EV PROG TÉCNICOS'!N466))))</f>
        <v>0</v>
      </c>
      <c r="O468" s="448">
        <f>IF(O467="N/A",0,IF(O467="SI",0,IF(OR($D467="I/O",$D467="Inversión"),0,SUM(VLOOKUP($B465,'C UNIT PROG TÉCNICOS'!$B$8:$G$160,6,FALSE)*'EV PROG TÉCNICOS'!O465,VLOOKUP($B466,'C UNIT PROG TÉCNICOS'!$B$8:$G$160,6,FALSE)*'EV PROG TÉCNICOS'!O466))))</f>
        <v>0</v>
      </c>
      <c r="P468" s="448">
        <f>IF(P467="N/A",0,IF(P467="SI",0,IF(OR($D467="I/O",$D467="Inversión"),0,SUM(VLOOKUP($B465,'C UNIT PROG TÉCNICOS'!$B$8:$G$160,6,FALSE)*'EV PROG TÉCNICOS'!P465,VLOOKUP($B466,'C UNIT PROG TÉCNICOS'!$B$8:$G$160,6,FALSE)*'EV PROG TÉCNICOS'!P466))))</f>
        <v>0</v>
      </c>
      <c r="Q468" s="448">
        <f>IF(Q467="N/A",0,IF(Q467="SI",0,IF(OR($D467="I/O",$D467="Inversión"),0,SUM(VLOOKUP($B465,'C UNIT PROG TÉCNICOS'!$B$8:$G$160,6,FALSE)*'EV PROG TÉCNICOS'!Q465,VLOOKUP($B466,'C UNIT PROG TÉCNICOS'!$B$8:$G$160,6,FALSE)*'EV PROG TÉCNICOS'!Q466))))</f>
        <v>0</v>
      </c>
      <c r="R468" s="448">
        <f>IF(R467="N/A",0,IF(R467="SI",0,IF(OR($D467="I/O",$D467="Inversión"),0,SUM(VLOOKUP($B465,'C UNIT PROG TÉCNICOS'!$B$8:$G$160,6,FALSE)*'EV PROG TÉCNICOS'!R465,VLOOKUP($B466,'C UNIT PROG TÉCNICOS'!$B$8:$G$160,6,FALSE)*'EV PROG TÉCNICOS'!R466))))</f>
        <v>0</v>
      </c>
      <c r="S468" s="448">
        <f>IF(S467="N/A",0,IF(S467="SI",0,IF(OR($D467="I/O",$D467="Inversión"),0,SUM(VLOOKUP($B465,'C UNIT PROG TÉCNICOS'!$B$8:$G$160,6,FALSE)*'EV PROG TÉCNICOS'!S465,VLOOKUP($B466,'C UNIT PROG TÉCNICOS'!$B$8:$G$160,6,FALSE)*'EV PROG TÉCNICOS'!S466))))</f>
        <v>0</v>
      </c>
      <c r="T468" s="448">
        <f>IF(T467="N/A",0,IF(T467="SI",0,IF(OR($D467="I/O",$D467="Inversión"),0,SUM(VLOOKUP($B465,'C UNIT PROG TÉCNICOS'!$B$8:$G$160,6,FALSE)*'EV PROG TÉCNICOS'!T465,VLOOKUP($B466,'C UNIT PROG TÉCNICOS'!$B$8:$G$160,6,FALSE)*'EV PROG TÉCNICOS'!T466))))</f>
        <v>0</v>
      </c>
      <c r="U468" s="448">
        <f>IF(U467="N/A",0,IF(U467="SI",0,IF(OR($D467="I/O",$D467="Inversión"),0,SUM(VLOOKUP($B465,'C UNIT PROG TÉCNICOS'!$B$8:$G$160,6,FALSE)*'EV PROG TÉCNICOS'!U465,VLOOKUP($B466,'C UNIT PROG TÉCNICOS'!$B$8:$G$160,6,FALSE)*'EV PROG TÉCNICOS'!U466))))</f>
        <v>0</v>
      </c>
    </row>
    <row r="469" spans="1:22" s="307" customFormat="1" ht="12" customHeight="1" outlineLevel="1" x14ac:dyDescent="0.25">
      <c r="A469" s="316"/>
      <c r="B469" s="307" t="s">
        <v>763</v>
      </c>
      <c r="C469" s="304" t="s">
        <v>6</v>
      </c>
      <c r="D469" s="304"/>
      <c r="K469" s="450">
        <f t="shared" ref="K469:U469" si="210">IF(K467="N/A",0,IF(K467="SI",0,K$21*K468))</f>
        <v>0</v>
      </c>
      <c r="L469" s="450">
        <f t="shared" si="210"/>
        <v>0</v>
      </c>
      <c r="M469" s="450">
        <f t="shared" si="210"/>
        <v>0</v>
      </c>
      <c r="N469" s="450">
        <f t="shared" si="210"/>
        <v>0</v>
      </c>
      <c r="O469" s="450">
        <f t="shared" si="210"/>
        <v>0</v>
      </c>
      <c r="P469" s="450">
        <f t="shared" si="210"/>
        <v>0</v>
      </c>
      <c r="Q469" s="450">
        <f t="shared" si="210"/>
        <v>0</v>
      </c>
      <c r="R469" s="450">
        <f t="shared" si="210"/>
        <v>0</v>
      </c>
      <c r="S469" s="450">
        <f t="shared" si="210"/>
        <v>0</v>
      </c>
      <c r="T469" s="450">
        <f t="shared" si="210"/>
        <v>0</v>
      </c>
      <c r="U469" s="450">
        <f t="shared" si="210"/>
        <v>0</v>
      </c>
    </row>
    <row r="470" spans="1:22" s="307" customFormat="1" ht="12" customHeight="1" outlineLevel="1" x14ac:dyDescent="0.25">
      <c r="A470" s="316"/>
      <c r="B470" s="307" t="s">
        <v>764</v>
      </c>
      <c r="C470" s="304" t="s">
        <v>6</v>
      </c>
      <c r="D470" s="304"/>
      <c r="K470" s="450"/>
      <c r="L470" s="450">
        <f>IF(L467="N/A",0,IF(L467="SI",0,IF(OR($D467="Inversión",$D467="I/O"),SUM(VLOOKUP($B465,'C UNIT PROG TÉCNICOS'!$B$8:$G$160,5,FALSE)*'EV PROG TÉCNICOS'!L465,VLOOKUP($B466,'C UNIT PROG TÉCNICOS'!$B$8:$G$160,5,FALSE)*'EV PROG TÉCNICOS'!L466),0)))*((1+$D$24)^(L$3-$K$3))</f>
        <v>50252197.518956706</v>
      </c>
      <c r="M470" s="450">
        <f>IF(M467="N/A",0,IF(M467="SI",0,IF(OR($D467="Inversión",$D467="I/O"),SUM(VLOOKUP($B465,'C UNIT PROG TÉCNICOS'!$B$8:$G$160,5,FALSE)*'EV PROG TÉCNICOS'!M465,VLOOKUP($B466,'C UNIT PROG TÉCNICOS'!$B$8:$G$160,5,FALSE)*'EV PROG TÉCNICOS'!M466),0)))*((1+$D$24)^(M$3-$K$3))</f>
        <v>270723476.72192758</v>
      </c>
      <c r="N470" s="450">
        <f>IF(N467="N/A",0,IF(N467="SI",0,IF(OR($D467="Inversión",$D467="I/O"),SUM(VLOOKUP($B465,'C UNIT PROG TÉCNICOS'!$B$8:$G$160,5,FALSE)*'EV PROG TÉCNICOS'!N465,VLOOKUP($B466,'C UNIT PROG TÉCNICOS'!$B$8:$G$160,5,FALSE)*'EV PROG TÉCNICOS'!N466),0)))*((1+$D$24)^(N$3-$K$3))</f>
        <v>256600780.19820115</v>
      </c>
      <c r="O470" s="450">
        <f>IF(O467="N/A",0,IF(O467="SI",0,IF(OR($D467="Inversión",$D467="I/O"),SUM(VLOOKUP($B465,'C UNIT PROG TÉCNICOS'!$B$8:$G$160,5,FALSE)*'EV PROG TÉCNICOS'!O465,VLOOKUP($B466,'C UNIT PROG TÉCNICOS'!$B$8:$G$160,5,FALSE)*'EV PROG TÉCNICOS'!O466),0)))*((1+$D$24)^(O$3-$K$3))</f>
        <v>674178790.25010574</v>
      </c>
      <c r="P470" s="450">
        <f>IF(P467="N/A",0,IF(P467="SI",0,IF(OR($D467="Inversión",$D467="I/O"),SUM(VLOOKUP($B465,'C UNIT PROG TÉCNICOS'!$B$8:$G$160,5,FALSE)*'EV PROG TÉCNICOS'!P465,VLOOKUP($B466,'C UNIT PROG TÉCNICOS'!$B$8:$G$160,5,FALSE)*'EV PROG TÉCNICOS'!P466),0)))</f>
        <v>51342208.019999996</v>
      </c>
      <c r="Q470" s="450">
        <f>IF(Q467="N/A",0,IF(Q467="SI",0,IF(OR($D467="Inversión",$D467="I/O"),SUM(VLOOKUP($B465,'C UNIT PROG TÉCNICOS'!$B$8:$G$160,5,FALSE)*'EV PROG TÉCNICOS'!Q465,VLOOKUP($B466,'C UNIT PROG TÉCNICOS'!$B$8:$G$160,5,FALSE)*'EV PROG TÉCNICOS'!Q466),0)))</f>
        <v>0</v>
      </c>
      <c r="R470" s="450">
        <f>IF(R467="N/A",0,IF(R467="SI",0,IF(OR($D467="Inversión",$D467="I/O"),SUM(VLOOKUP($B465,'C UNIT PROG TÉCNICOS'!$B$8:$G$160,5,FALSE)*'EV PROG TÉCNICOS'!R465,VLOOKUP($B466,'C UNIT PROG TÉCNICOS'!$B$8:$G$160,5,FALSE)*'EV PROG TÉCNICOS'!R466),0)))</f>
        <v>0</v>
      </c>
      <c r="S470" s="450">
        <f>IF(S467="N/A",0,IF(S467="SI",0,IF(OR($D467="Inversión",$D467="I/O"),SUM(VLOOKUP($B465,'C UNIT PROG TÉCNICOS'!$B$8:$G$160,5,FALSE)*'EV PROG TÉCNICOS'!S465,VLOOKUP($B466,'C UNIT PROG TÉCNICOS'!$B$8:$G$160,5,FALSE)*'EV PROG TÉCNICOS'!S466),0)))</f>
        <v>0</v>
      </c>
      <c r="T470" s="450">
        <f>IF(T467="N/A",0,IF(T467="SI",0,IF(OR($D467="Inversión",$D467="I/O"),SUM(VLOOKUP($B465,'C UNIT PROG TÉCNICOS'!$B$8:$G$160,5,FALSE)*'EV PROG TÉCNICOS'!T465,VLOOKUP($B466,'C UNIT PROG TÉCNICOS'!$B$8:$G$160,5,FALSE)*'EV PROG TÉCNICOS'!T466),0)))</f>
        <v>0</v>
      </c>
      <c r="U470" s="450">
        <f>IF(U467="N/A",0,IF(U467="SI",0,IF(OR($D467="Inversión",$D467="I/O"),SUM(VLOOKUP($B465,'C UNIT PROG TÉCNICOS'!$B$8:$G$160,5,FALSE)*'EV PROG TÉCNICOS'!U465,VLOOKUP($B466,'C UNIT PROG TÉCNICOS'!$B$8:$G$160,5,FALSE)*'EV PROG TÉCNICOS'!U466),0)))</f>
        <v>0</v>
      </c>
    </row>
    <row r="471" spans="1:22" s="376" customFormat="1" ht="15" customHeight="1" outlineLevel="1" x14ac:dyDescent="0.25">
      <c r="A471" s="374"/>
      <c r="B471" s="458" t="str">
        <f>CONCATENATE("VNA  ",B461)</f>
        <v>VNA  Válvulas de cierre permanente</v>
      </c>
      <c r="C471" s="374" t="s">
        <v>6</v>
      </c>
      <c r="D471" s="453">
        <f>NPV($D$31,L471:U471)+K471</f>
        <v>799641979.10473669</v>
      </c>
      <c r="K471" s="452">
        <f>IF(OR(K467="N/A",K468=0),0,IF($D467="Operación",K469,K470))</f>
        <v>0</v>
      </c>
      <c r="L471" s="452">
        <f t="shared" ref="L471:U471" si="211">IF(L467="N/A",0,IF($D467="Operación",L469,L470))</f>
        <v>50252197.518956706</v>
      </c>
      <c r="M471" s="452">
        <f t="shared" si="211"/>
        <v>270723476.72192758</v>
      </c>
      <c r="N471" s="452">
        <f t="shared" si="211"/>
        <v>256600780.19820115</v>
      </c>
      <c r="O471" s="452">
        <f t="shared" si="211"/>
        <v>674178790.25010574</v>
      </c>
      <c r="P471" s="452">
        <f t="shared" si="211"/>
        <v>51342208.019999996</v>
      </c>
      <c r="Q471" s="452">
        <f t="shared" si="211"/>
        <v>0</v>
      </c>
      <c r="R471" s="452">
        <f t="shared" si="211"/>
        <v>0</v>
      </c>
      <c r="S471" s="452">
        <f t="shared" si="211"/>
        <v>0</v>
      </c>
      <c r="T471" s="452">
        <f t="shared" si="211"/>
        <v>0</v>
      </c>
      <c r="U471" s="452">
        <f t="shared" si="211"/>
        <v>0</v>
      </c>
    </row>
    <row r="472" spans="1:22" s="393" customFormat="1" ht="15" customHeight="1" outlineLevel="1" x14ac:dyDescent="0.25">
      <c r="A472" s="374"/>
      <c r="B472" s="454" t="str">
        <f>CONCATENATE("Volumen de agua recuperado ",B461)</f>
        <v>Volumen de agua recuperado Válvulas de cierre permanente</v>
      </c>
      <c r="C472" s="374" t="s">
        <v>106</v>
      </c>
      <c r="D472" s="374"/>
      <c r="K472" s="378"/>
      <c r="L472" s="378"/>
      <c r="M472" s="378"/>
      <c r="N472" s="378"/>
      <c r="O472" s="378"/>
      <c r="P472" s="378"/>
      <c r="Q472" s="378"/>
      <c r="R472" s="378"/>
      <c r="S472" s="378"/>
      <c r="T472" s="378"/>
      <c r="U472" s="378"/>
    </row>
    <row r="473" spans="1:22" s="376" customFormat="1" ht="15" customHeight="1" outlineLevel="1" x14ac:dyDescent="0.25">
      <c r="A473" s="374"/>
      <c r="B473" s="376" t="s">
        <v>750</v>
      </c>
      <c r="C473" s="374" t="s">
        <v>6</v>
      </c>
      <c r="D473" s="459">
        <f>NPV($D$31,L473:U473)+K473</f>
        <v>0</v>
      </c>
      <c r="K473" s="452">
        <f>IF(OR(K467="N/A",K472=0),0,K472*K$29)</f>
        <v>0</v>
      </c>
      <c r="L473" s="452">
        <f>IF(OR(L467="N/A",L472=0),0,L472*L$29)</f>
        <v>0</v>
      </c>
      <c r="M473" s="452">
        <f t="shared" ref="M473:U473" si="212">IF(OR(M467="N/A",M472=0),0,M472*M$29)</f>
        <v>0</v>
      </c>
      <c r="N473" s="452">
        <f t="shared" si="212"/>
        <v>0</v>
      </c>
      <c r="O473" s="452">
        <f t="shared" si="212"/>
        <v>0</v>
      </c>
      <c r="P473" s="452">
        <f t="shared" si="212"/>
        <v>0</v>
      </c>
      <c r="Q473" s="452">
        <f t="shared" si="212"/>
        <v>0</v>
      </c>
      <c r="R473" s="452">
        <f t="shared" si="212"/>
        <v>0</v>
      </c>
      <c r="S473" s="452">
        <f t="shared" si="212"/>
        <v>0</v>
      </c>
      <c r="T473" s="452">
        <f t="shared" si="212"/>
        <v>0</v>
      </c>
      <c r="U473" s="452">
        <f t="shared" si="212"/>
        <v>0</v>
      </c>
      <c r="V473" s="338"/>
    </row>
    <row r="474" spans="1:22" s="376" customFormat="1" ht="15" customHeight="1" outlineLevel="1" x14ac:dyDescent="0.25">
      <c r="A474" s="374"/>
      <c r="B474" s="376" t="s">
        <v>751</v>
      </c>
      <c r="C474" s="374"/>
      <c r="D474" s="455">
        <f>IFERROR(ROUND(IF(D473/D471=0,0,D473/D471),2),0)</f>
        <v>0</v>
      </c>
      <c r="K474" s="452">
        <f>IF(OR(K468="N/A",K473=0),0,K473*K$29)</f>
        <v>0</v>
      </c>
      <c r="L474" s="452">
        <f>IF(OR(L468="N/A",L473=0),0,L473*L$29)</f>
        <v>0</v>
      </c>
      <c r="M474" s="452">
        <f t="shared" ref="M474:U474" si="213">IF(OR(M468="N/A",M473=0),0,M473*M$29)</f>
        <v>0</v>
      </c>
      <c r="N474" s="452">
        <f t="shared" si="213"/>
        <v>0</v>
      </c>
      <c r="O474" s="452">
        <f t="shared" si="213"/>
        <v>0</v>
      </c>
      <c r="P474" s="452">
        <f t="shared" si="213"/>
        <v>0</v>
      </c>
      <c r="Q474" s="452">
        <f t="shared" si="213"/>
        <v>0</v>
      </c>
      <c r="R474" s="452">
        <f t="shared" si="213"/>
        <v>0</v>
      </c>
      <c r="S474" s="452">
        <f t="shared" si="213"/>
        <v>0</v>
      </c>
      <c r="T474" s="452">
        <f t="shared" si="213"/>
        <v>0</v>
      </c>
      <c r="U474" s="452">
        <f t="shared" si="213"/>
        <v>0</v>
      </c>
    </row>
    <row r="476" spans="1:22" s="357" customFormat="1" ht="15.75" x14ac:dyDescent="0.25">
      <c r="A476" s="356">
        <v>2.2999999999999998</v>
      </c>
      <c r="B476" s="317" t="s">
        <v>89</v>
      </c>
      <c r="C476" s="317"/>
      <c r="D476" s="317"/>
      <c r="E476" s="317"/>
      <c r="F476" s="317"/>
      <c r="G476" s="317"/>
      <c r="H476" s="317"/>
      <c r="I476" s="317"/>
      <c r="J476" s="317"/>
      <c r="K476" s="317"/>
      <c r="L476" s="317"/>
      <c r="M476" s="317"/>
      <c r="N476" s="317"/>
      <c r="O476" s="317"/>
      <c r="P476" s="317"/>
      <c r="Q476" s="317"/>
      <c r="R476" s="317"/>
      <c r="S476" s="317"/>
      <c r="T476" s="317"/>
      <c r="U476" s="317"/>
    </row>
    <row r="477" spans="1:22" s="326" customFormat="1" ht="12" customHeight="1" outlineLevel="1" x14ac:dyDescent="0.25">
      <c r="A477" s="316"/>
      <c r="B477" s="326" t="s">
        <v>911</v>
      </c>
      <c r="C477" s="316" t="s">
        <v>20</v>
      </c>
      <c r="D477" s="397">
        <v>37</v>
      </c>
      <c r="K477" s="361"/>
      <c r="L477" s="361"/>
      <c r="M477" s="361"/>
      <c r="N477" s="361"/>
      <c r="O477" s="361"/>
      <c r="P477" s="361"/>
      <c r="Q477" s="361"/>
      <c r="R477" s="361"/>
      <c r="S477" s="361"/>
      <c r="T477" s="361"/>
      <c r="U477" s="361"/>
    </row>
    <row r="478" spans="1:22" s="364" customFormat="1" ht="15" customHeight="1" outlineLevel="1" x14ac:dyDescent="0.25">
      <c r="A478" s="394"/>
      <c r="B478" s="364" t="s">
        <v>124</v>
      </c>
      <c r="C478" s="394" t="s">
        <v>11</v>
      </c>
      <c r="D478" s="397">
        <v>6</v>
      </c>
      <c r="K478" s="365">
        <v>0</v>
      </c>
      <c r="L478" s="443">
        <f>IF(L483="N/A","",K478+1)</f>
        <v>1</v>
      </c>
      <c r="M478" s="443">
        <f t="shared" ref="M478:U478" si="214">IF(M483="N/A","",L478+1)</f>
        <v>2</v>
      </c>
      <c r="N478" s="443">
        <f t="shared" si="214"/>
        <v>3</v>
      </c>
      <c r="O478" s="443">
        <f t="shared" si="214"/>
        <v>4</v>
      </c>
      <c r="P478" s="443">
        <f t="shared" si="214"/>
        <v>5</v>
      </c>
      <c r="Q478" s="443">
        <f t="shared" si="214"/>
        <v>6</v>
      </c>
      <c r="R478" s="443" t="str">
        <f t="shared" si="214"/>
        <v/>
      </c>
      <c r="S478" s="443" t="str">
        <f t="shared" si="214"/>
        <v/>
      </c>
      <c r="T478" s="443" t="str">
        <f t="shared" si="214"/>
        <v/>
      </c>
      <c r="U478" s="443" t="str">
        <f t="shared" si="214"/>
        <v/>
      </c>
    </row>
    <row r="479" spans="1:22" s="326" customFormat="1" ht="12" customHeight="1" outlineLevel="1" x14ac:dyDescent="0.25">
      <c r="A479" s="316"/>
      <c r="B479" s="326" t="s">
        <v>151</v>
      </c>
      <c r="C479" s="316" t="s">
        <v>20</v>
      </c>
      <c r="D479" s="445" t="str">
        <f>IF(D477&lt;&gt;SUM(K479:U479),"NO","SI")</f>
        <v>SI</v>
      </c>
      <c r="K479" s="442">
        <f t="shared" ref="K479:Q479" si="215">+SUM(K480:K482)</f>
        <v>0</v>
      </c>
      <c r="L479" s="442">
        <f t="shared" si="215"/>
        <v>5</v>
      </c>
      <c r="M479" s="442">
        <f t="shared" si="215"/>
        <v>8</v>
      </c>
      <c r="N479" s="442">
        <f t="shared" si="215"/>
        <v>10</v>
      </c>
      <c r="O479" s="442">
        <f t="shared" si="215"/>
        <v>6</v>
      </c>
      <c r="P479" s="442">
        <f t="shared" si="215"/>
        <v>5</v>
      </c>
      <c r="Q479" s="442">
        <f t="shared" si="215"/>
        <v>3</v>
      </c>
      <c r="R479" s="442"/>
      <c r="S479" s="442"/>
      <c r="T479" s="442"/>
      <c r="U479" s="442"/>
    </row>
    <row r="480" spans="1:22" s="307" customFormat="1" ht="35.1" customHeight="1" outlineLevel="1" x14ac:dyDescent="0.25">
      <c r="A480" s="446" t="str">
        <f>VLOOKUP(B480,'C UNIT PROG TÉCNICOS'!$B$8:$H$108,7,FALSE)</f>
        <v>OPEX</v>
      </c>
      <c r="B480" s="367" t="s">
        <v>39</v>
      </c>
      <c r="C480" s="304" t="s">
        <v>20</v>
      </c>
      <c r="D480" s="304" t="s">
        <v>19</v>
      </c>
      <c r="I480" s="368"/>
      <c r="J480" s="368"/>
      <c r="K480" s="369">
        <v>0</v>
      </c>
      <c r="L480" s="369">
        <v>2</v>
      </c>
      <c r="M480" s="369">
        <v>2</v>
      </c>
      <c r="N480" s="369">
        <v>3</v>
      </c>
      <c r="O480" s="369">
        <v>2</v>
      </c>
      <c r="P480" s="369">
        <v>3</v>
      </c>
      <c r="Q480" s="369">
        <v>1</v>
      </c>
      <c r="R480" s="369"/>
      <c r="S480" s="369"/>
      <c r="T480" s="369"/>
      <c r="U480" s="369"/>
    </row>
    <row r="481" spans="1:22" s="307" customFormat="1" ht="35.1" customHeight="1" outlineLevel="1" x14ac:dyDescent="0.25">
      <c r="A481" s="446" t="str">
        <f>VLOOKUP(B481,'C UNIT PROG TÉCNICOS'!$B$8:$H$108,7,FALSE)</f>
        <v>OPEX</v>
      </c>
      <c r="B481" s="367" t="s">
        <v>40</v>
      </c>
      <c r="C481" s="304" t="s">
        <v>20</v>
      </c>
      <c r="D481" s="304" t="s">
        <v>19</v>
      </c>
      <c r="I481" s="369"/>
      <c r="J481" s="369"/>
      <c r="K481" s="369">
        <v>0</v>
      </c>
      <c r="L481" s="369">
        <v>2</v>
      </c>
      <c r="M481" s="369">
        <v>2</v>
      </c>
      <c r="N481" s="369">
        <v>3</v>
      </c>
      <c r="O481" s="369">
        <v>2</v>
      </c>
      <c r="P481" s="369">
        <v>1</v>
      </c>
      <c r="Q481" s="369">
        <v>1</v>
      </c>
      <c r="R481" s="369"/>
      <c r="S481" s="369"/>
      <c r="T481" s="369"/>
      <c r="U481" s="369"/>
    </row>
    <row r="482" spans="1:22" s="307" customFormat="1" ht="35.1" customHeight="1" outlineLevel="1" x14ac:dyDescent="0.25">
      <c r="A482" s="446" t="str">
        <f>VLOOKUP(B482,'C UNIT PROG TÉCNICOS'!$B$8:$H$108,7,FALSE)</f>
        <v>OPEX</v>
      </c>
      <c r="B482" s="367" t="s">
        <v>41</v>
      </c>
      <c r="C482" s="304" t="s">
        <v>20</v>
      </c>
      <c r="D482" s="304" t="s">
        <v>19</v>
      </c>
      <c r="I482" s="369"/>
      <c r="J482" s="369"/>
      <c r="K482" s="369">
        <v>0</v>
      </c>
      <c r="L482" s="369">
        <v>1</v>
      </c>
      <c r="M482" s="369">
        <v>4</v>
      </c>
      <c r="N482" s="369">
        <v>4</v>
      </c>
      <c r="O482" s="369">
        <v>2</v>
      </c>
      <c r="P482" s="369">
        <v>1</v>
      </c>
      <c r="Q482" s="369">
        <v>1</v>
      </c>
      <c r="R482" s="369"/>
      <c r="S482" s="369"/>
      <c r="T482" s="369"/>
      <c r="U482" s="369"/>
    </row>
    <row r="483" spans="1:22" s="307" customFormat="1" ht="12" customHeight="1" outlineLevel="1" x14ac:dyDescent="0.25">
      <c r="A483" s="316"/>
      <c r="B483" s="307" t="s">
        <v>742</v>
      </c>
      <c r="D483" s="447" t="str">
        <f>IF(AND(A480="CAPEX",A481="CAPEX",A482="CAPEX"),"Inversión",IF(AND(A480="OPEX",A481="OPEX",A482="OPEX"),"Operación","I/O"))</f>
        <v>Operación</v>
      </c>
      <c r="I483" s="370"/>
      <c r="J483" s="370"/>
      <c r="K483" s="371" t="s">
        <v>8</v>
      </c>
      <c r="L483" s="371" t="s">
        <v>8</v>
      </c>
      <c r="M483" s="371" t="s">
        <v>8</v>
      </c>
      <c r="N483" s="371" t="s">
        <v>8</v>
      </c>
      <c r="O483" s="371" t="s">
        <v>8</v>
      </c>
      <c r="P483" s="371" t="s">
        <v>8</v>
      </c>
      <c r="Q483" s="371"/>
      <c r="R483" s="371" t="s">
        <v>149</v>
      </c>
      <c r="S483" s="371" t="s">
        <v>149</v>
      </c>
      <c r="T483" s="371" t="s">
        <v>149</v>
      </c>
      <c r="U483" s="371" t="s">
        <v>149</v>
      </c>
      <c r="V483"/>
    </row>
    <row r="484" spans="1:22" s="307" customFormat="1" ht="12" customHeight="1" outlineLevel="1" x14ac:dyDescent="0.25">
      <c r="A484" s="316"/>
      <c r="B484" s="307" t="s">
        <v>762</v>
      </c>
      <c r="C484" s="304"/>
      <c r="D484" s="304"/>
      <c r="K484" s="448">
        <f>IF(K483="N/A",0,IF(K483="SI",0,IF(OR($D483="I/O",$D483="Inversión"),0,SUM(VLOOKUP($B480,'C UNIT PROG TÉCNICOS'!$B$8:$G$160,6,FALSE)*'EV PROG TÉCNICOS'!K480,VLOOKUP($B481,'C UNIT PROG TÉCNICOS'!$B$8:$G$160,6,FALSE)*'EV PROG TÉCNICOS'!K481,VLOOKUP($B482,'C UNIT PROG TÉCNICOS'!$B$8:$G$160,6,FALSE)*'EV PROG TÉCNICOS'!K482))))</f>
        <v>0</v>
      </c>
      <c r="L484" s="448">
        <f>IF(L483="N/A",0,IF(L483="SI",0,IF(OR($D483="I/O",$D483="Inversión"),0,SUM(VLOOKUP($B480,'C UNIT PROG TÉCNICOS'!$B$8:$G$160,6,FALSE)*'EV PROG TÉCNICOS'!L480,VLOOKUP($B481,'C UNIT PROG TÉCNICOS'!$B$8:$G$160,6,FALSE)*'EV PROG TÉCNICOS'!L481,VLOOKUP($B482,'C UNIT PROG TÉCNICOS'!$B$8:$G$160,6,FALSE)*'EV PROG TÉCNICOS'!L482))))</f>
        <v>5.8320963896765763</v>
      </c>
      <c r="M484" s="448">
        <f>IF(M483="N/A",0,IF(M483="SI",0,IF(OR($D483="I/O",$D483="Inversión"),0,SUM(VLOOKUP($B480,'C UNIT PROG TÉCNICOS'!$B$8:$G$160,6,FALSE)*'EV PROG TÉCNICOS'!M480,VLOOKUP($B481,'C UNIT PROG TÉCNICOS'!$B$8:$G$160,6,FALSE)*'EV PROG TÉCNICOS'!M481,VLOOKUP($B482,'C UNIT PROG TÉCNICOS'!$B$8:$G$160,6,FALSE)*'EV PROG TÉCNICOS'!M482))))</f>
        <v>13.797701026992707</v>
      </c>
      <c r="N484" s="448">
        <f>IF(N483="N/A",0,IF(N483="SI",0,IF(OR($D483="I/O",$D483="Inversión"),0,SUM(VLOOKUP($B480,'C UNIT PROG TÉCNICOS'!$B$8:$G$160,6,FALSE)*'EV PROG TÉCNICOS'!N480,VLOOKUP($B481,'C UNIT PROG TÉCNICOS'!$B$8:$G$160,6,FALSE)*'EV PROG TÉCNICOS'!N481,VLOOKUP($B482,'C UNIT PROG TÉCNICOS'!$B$8:$G$160,6,FALSE)*'EV PROG TÉCNICOS'!N482))))</f>
        <v>15.386148448944974</v>
      </c>
      <c r="O484" s="448">
        <f>IF(O483="N/A",0,IF(O483="SI",0,IF(OR($D483="I/O",$D483="Inversión"),0,SUM(VLOOKUP($B480,'C UNIT PROG TÉCNICOS'!$B$8:$G$160,6,FALSE)*'EV PROG TÉCNICOS'!O480,VLOOKUP($B481,'C UNIT PROG TÉCNICOS'!$B$8:$G$160,6,FALSE)*'EV PROG TÉCNICOS'!O481,VLOOKUP($B482,'C UNIT PROG TÉCNICOS'!$B$8:$G$160,6,FALSE)*'EV PROG TÉCNICOS'!O482))))</f>
        <v>8.4872979354486198</v>
      </c>
      <c r="P484" s="448">
        <f>IF(P483="N/A",0,IF(P483="SI",0,IF(OR($D483="I/O",$D483="Inversión"),0,SUM(VLOOKUP($B480,'C UNIT PROG TÉCNICOS'!$B$8:$G$160,6,FALSE)*'EV PROG TÉCNICOS'!P480,VLOOKUP($B481,'C UNIT PROG TÉCNICOS'!$B$8:$G$160,6,FALSE)*'EV PROG TÉCNICOS'!P481,VLOOKUP($B482,'C UNIT PROG TÉCNICOS'!$B$8:$G$160,6,FALSE)*'EV PROG TÉCNICOS'!P482))))</f>
        <v>5.6204141739081592</v>
      </c>
      <c r="Q484" s="448">
        <f>IF(Q483="N/A",0,IF(Q483="SI",0,IF(OR($D483="I/O",$D483="Inversión"),0,SUM(VLOOKUP($B480,'C UNIT PROG TÉCNICOS'!$B$8:$G$160,6,FALSE)*'EV PROG TÉCNICOS'!Q480,VLOOKUP($B481,'C UNIT PROG TÉCNICOS'!$B$8:$G$160,6,FALSE)*'EV PROG TÉCNICOS'!Q481,VLOOKUP($B482,'C UNIT PROG TÉCNICOS'!$B$8:$G$160,6,FALSE)*'EV PROG TÉCNICOS'!Q482))))</f>
        <v>4.2436489677243099</v>
      </c>
      <c r="R484" s="448">
        <f>IF(R483="N/A",0,IF(R483="SI",0,IF(OR($D483="I/O",$D483="Inversión"),0,SUM(VLOOKUP($B480,'C UNIT PROG TÉCNICOS'!$B$8:$G$160,6,FALSE)*'EV PROG TÉCNICOS'!R480,VLOOKUP($B481,'C UNIT PROG TÉCNICOS'!$B$8:$G$160,6,FALSE)*'EV PROG TÉCNICOS'!R481,VLOOKUP($B482,'C UNIT PROG TÉCNICOS'!$B$8:$G$160,6,FALSE)*'EV PROG TÉCNICOS'!R482))))</f>
        <v>0</v>
      </c>
      <c r="S484" s="448">
        <f>IF(S483="N/A",0,IF(S483="SI",0,IF(OR($D483="I/O",$D483="Inversión"),0,SUM(VLOOKUP($B480,'C UNIT PROG TÉCNICOS'!$B$8:$G$160,6,FALSE)*'EV PROG TÉCNICOS'!S480,VLOOKUP($B481,'C UNIT PROG TÉCNICOS'!$B$8:$G$160,6,FALSE)*'EV PROG TÉCNICOS'!S481,VLOOKUP($B482,'C UNIT PROG TÉCNICOS'!$B$8:$G$160,6,FALSE)*'EV PROG TÉCNICOS'!S482))))</f>
        <v>0</v>
      </c>
      <c r="T484" s="448">
        <f>IF(T483="N/A",0,IF(T483="SI",0,IF(OR($D483="I/O",$D483="Inversión"),0,SUM(VLOOKUP($B480,'C UNIT PROG TÉCNICOS'!$B$8:$G$160,6,FALSE)*'EV PROG TÉCNICOS'!T480,VLOOKUP($B481,'C UNIT PROG TÉCNICOS'!$B$8:$G$160,6,FALSE)*'EV PROG TÉCNICOS'!T481,VLOOKUP($B482,'C UNIT PROG TÉCNICOS'!$B$8:$G$160,6,FALSE)*'EV PROG TÉCNICOS'!T482))))</f>
        <v>0</v>
      </c>
      <c r="U484" s="448">
        <f>IF(U483="N/A",0,IF(U483="SI",0,IF(OR($D483="I/O",$D483="Inversión"),0,SUM(VLOOKUP($B480,'C UNIT PROG TÉCNICOS'!$B$8:$G$160,6,FALSE)*'EV PROG TÉCNICOS'!U480,VLOOKUP($B481,'C UNIT PROG TÉCNICOS'!$B$8:$G$160,6,FALSE)*'EV PROG TÉCNICOS'!U481,VLOOKUP($B482,'C UNIT PROG TÉCNICOS'!$B$8:$G$160,6,FALSE)*'EV PROG TÉCNICOS'!U482))))</f>
        <v>0</v>
      </c>
    </row>
    <row r="485" spans="1:22" s="307" customFormat="1" ht="12" customHeight="1" outlineLevel="1" x14ac:dyDescent="0.25">
      <c r="A485" s="316"/>
      <c r="B485" s="307" t="s">
        <v>763</v>
      </c>
      <c r="C485" s="304" t="s">
        <v>6</v>
      </c>
      <c r="D485" s="304"/>
      <c r="K485" s="450">
        <f t="shared" ref="K485:P485" si="216">IF(K483="N/A",0,IF(K483="SI",0,K$21*K484))</f>
        <v>0</v>
      </c>
      <c r="L485" s="450">
        <f t="shared" si="216"/>
        <v>10211446.729166666</v>
      </c>
      <c r="M485" s="450">
        <f t="shared" si="216"/>
        <v>25530659.624080587</v>
      </c>
      <c r="N485" s="450">
        <f t="shared" si="216"/>
        <v>30086934.879772473</v>
      </c>
      <c r="O485" s="450">
        <f t="shared" si="216"/>
        <v>17539216.86337541</v>
      </c>
      <c r="P485" s="450">
        <f t="shared" si="216"/>
        <v>12274442.984877815</v>
      </c>
      <c r="Q485" s="450">
        <f>IF(Q483="N/A",0,IF(Q483="SI",0,Q$21*Q484))</f>
        <v>9794125.1039455514</v>
      </c>
      <c r="R485" s="450">
        <f>IF(R483="N/A",0,IF(R483="SI",0,R$21*R484))</f>
        <v>0</v>
      </c>
      <c r="S485" s="450">
        <f>IF(S483="N/A",0,IF(S483="SI",0,S$21*S484))</f>
        <v>0</v>
      </c>
      <c r="T485" s="450">
        <f>IF(T483="N/A",0,IF(T483="SI",0,T$21*T484))</f>
        <v>0</v>
      </c>
      <c r="U485" s="450">
        <f>IF(U483="N/A",0,IF(U483="SI",0,U$21*U484))</f>
        <v>0</v>
      </c>
    </row>
    <row r="486" spans="1:22" s="307" customFormat="1" ht="12" customHeight="1" outlineLevel="1" x14ac:dyDescent="0.25">
      <c r="A486" s="316"/>
      <c r="B486" s="307" t="s">
        <v>764</v>
      </c>
      <c r="C486" s="304" t="s">
        <v>6</v>
      </c>
      <c r="D486" s="304"/>
      <c r="K486" s="450">
        <f>IF(K483="N/A",0,IF(K483="SI",0,IF(OR($D483="Inversión",$D483="I/O"),SUM(VLOOKUP($B480,'C UNIT PROG TÉCNICOS'!$B$8:$G$160,5,FALSE)*'EV PROG TÉCNICOS'!K480,VLOOKUP($B481,'C UNIT PROG TÉCNICOS'!$B$8:$G$160,5,FALSE)*'EV PROG TÉCNICOS'!K481,VLOOKUP($B482,'C UNIT PROG TÉCNICOS'!$B$8:$G$160,5,FALSE)*'EV PROG TÉCNICOS'!K482),0)))</f>
        <v>0</v>
      </c>
      <c r="L486" s="450">
        <f>IF(L483="N/A",0,IF(L483="SI",0,IF(OR($D483="Inversión",$D483="I/O"),SUM(VLOOKUP($B480,'C UNIT PROG TÉCNICOS'!$B$8:$G$160,5,FALSE)*'EV PROG TÉCNICOS'!L480,VLOOKUP($B481,'C UNIT PROG TÉCNICOS'!$B$8:$G$160,5,FALSE)*'EV PROG TÉCNICOS'!L481,VLOOKUP($B482,'C UNIT PROG TÉCNICOS'!$B$8:$G$160,5,FALSE)*'EV PROG TÉCNICOS'!L482),0))*((1+$D$24)^(L$3-$K$3)))</f>
        <v>0</v>
      </c>
      <c r="M486" s="450">
        <f>IF(M483="N/A",0,IF(M483="SI",0,IF(OR($D483="Inversión",$D483="I/O"),SUM(VLOOKUP($B480,'C UNIT PROG TÉCNICOS'!$B$8:$G$160,5,FALSE)*'EV PROG TÉCNICOS'!M480,VLOOKUP($B481,'C UNIT PROG TÉCNICOS'!$B$8:$G$160,5,FALSE)*'EV PROG TÉCNICOS'!M481,VLOOKUP($B482,'C UNIT PROG TÉCNICOS'!$B$8:$G$160,5,FALSE)*'EV PROG TÉCNICOS'!M482),0))*((1+$D$24)^(M$3-$K$3)))</f>
        <v>0</v>
      </c>
      <c r="N486" s="450">
        <f>IF(N483="N/A",0,IF(N483="SI",0,IF(OR($D483="Inversión",$D483="I/O"),SUM(VLOOKUP($B480,'C UNIT PROG TÉCNICOS'!$B$8:$G$160,5,FALSE)*'EV PROG TÉCNICOS'!N480,VLOOKUP($B481,'C UNIT PROG TÉCNICOS'!$B$8:$G$160,5,FALSE)*'EV PROG TÉCNICOS'!N481,VLOOKUP($B482,'C UNIT PROG TÉCNICOS'!$B$8:$G$160,5,FALSE)*'EV PROG TÉCNICOS'!N482),0))*((1+$D$24)^(N$3-$K$3)))</f>
        <v>0</v>
      </c>
      <c r="O486" s="450">
        <f>IF(O483="N/A",0,IF(O483="SI",0,IF(OR($D483="Inversión",$D483="I/O"),SUM(VLOOKUP($B480,'C UNIT PROG TÉCNICOS'!$B$8:$G$160,5,FALSE)*'EV PROG TÉCNICOS'!O480,VLOOKUP($B481,'C UNIT PROG TÉCNICOS'!$B$8:$G$160,5,FALSE)*'EV PROG TÉCNICOS'!O481,VLOOKUP($B482,'C UNIT PROG TÉCNICOS'!$B$8:$G$160,5,FALSE)*'EV PROG TÉCNICOS'!O482),0))*((1+$D$24)^(O$3-$K$3)))</f>
        <v>0</v>
      </c>
      <c r="P486" s="450">
        <f>IF(P483="N/A",0,IF(P483="SI",0,IF(OR($D483="Inversión",$D483="I/O"),SUM(VLOOKUP($B480,'C UNIT PROG TÉCNICOS'!$B$8:$G$160,5,FALSE)*'EV PROG TÉCNICOS'!P480,VLOOKUP($B481,'C UNIT PROG TÉCNICOS'!$B$8:$G$160,5,FALSE)*'EV PROG TÉCNICOS'!P481,VLOOKUP($B482,'C UNIT PROG TÉCNICOS'!$B$8:$G$160,5,FALSE)*'EV PROG TÉCNICOS'!P482),0))*((1+$D$24)^(P$3-$K$3)))</f>
        <v>0</v>
      </c>
      <c r="Q486" s="450">
        <f>IF(Q483="N/A",0,IF(Q483="SI",0,IF(OR($D483="Inversión",$D483="I/O"),SUM(VLOOKUP($B480,'C UNIT PROG TÉCNICOS'!$B$8:$G$160,5,FALSE)*'EV PROG TÉCNICOS'!Q480,VLOOKUP($B481,'C UNIT PROG TÉCNICOS'!$B$8:$G$160,5,FALSE)*'EV PROG TÉCNICOS'!Q481,VLOOKUP($B482,'C UNIT PROG TÉCNICOS'!$B$8:$G$160,5,FALSE)*'EV PROG TÉCNICOS'!Q482),0))*((1+$D$24)^(Q$3-$K$3)))</f>
        <v>0</v>
      </c>
      <c r="R486" s="450">
        <f>IF(R483="N/A",0,IF(R483="SI",0,IF(OR($D483="Inversión",$D483="I/O"),SUM(VLOOKUP($B480,'C UNIT PROG TÉCNICOS'!$B$8:$G$160,5,FALSE)*'EV PROG TÉCNICOS'!R480,VLOOKUP($B481,'C UNIT PROG TÉCNICOS'!$B$8:$G$160,5,FALSE)*'EV PROG TÉCNICOS'!R481,VLOOKUP($B482,'C UNIT PROG TÉCNICOS'!$B$8:$G$160,5,FALSE)*'EV PROG TÉCNICOS'!R482),0))*((1+$D$24)^(R$3-$K$3)))</f>
        <v>0</v>
      </c>
      <c r="S486" s="450">
        <f>IF(S483="N/A",0,IF(S483="SI",0,IF(OR($D483="Inversión",$D483="I/O"),SUM(VLOOKUP($B480,'C UNIT PROG TÉCNICOS'!$B$8:$G$160,5,FALSE)*'EV PROG TÉCNICOS'!S480,VLOOKUP($B481,'C UNIT PROG TÉCNICOS'!$B$8:$G$160,5,FALSE)*'EV PROG TÉCNICOS'!S481,VLOOKUP($B482,'C UNIT PROG TÉCNICOS'!$B$8:$G$160,5,FALSE)*'EV PROG TÉCNICOS'!S482),0))*((1+$D$24)^(S$3-$K$3)))</f>
        <v>0</v>
      </c>
      <c r="T486" s="450">
        <f>IF(T483="N/A",0,IF(T483="SI",0,IF(OR($D483="Inversión",$D483="I/O"),SUM(VLOOKUP($B480,'C UNIT PROG TÉCNICOS'!$B$8:$G$160,5,FALSE)*'EV PROG TÉCNICOS'!T480,VLOOKUP($B481,'C UNIT PROG TÉCNICOS'!$B$8:$G$160,5,FALSE)*'EV PROG TÉCNICOS'!T481,VLOOKUP($B482,'C UNIT PROG TÉCNICOS'!$B$8:$G$160,5,FALSE)*'EV PROG TÉCNICOS'!T482),0))*((1+$D$24)^(T$3-$K$3)))</f>
        <v>0</v>
      </c>
      <c r="U486" s="450">
        <f>IF(U483="N/A",0,IF(U483="SI",0,IF(OR($D483="Inversión",$D483="I/O"),SUM(VLOOKUP($B480,'C UNIT PROG TÉCNICOS'!$B$8:$G$160,5,FALSE)*'EV PROG TÉCNICOS'!U480,VLOOKUP($B481,'C UNIT PROG TÉCNICOS'!$B$8:$G$160,5,FALSE)*'EV PROG TÉCNICOS'!U481,VLOOKUP($B482,'C UNIT PROG TÉCNICOS'!$B$8:$G$160,5,FALSE)*'EV PROG TÉCNICOS'!U482),0))*((1+$D$24)^(U$3-$K$3)))</f>
        <v>0</v>
      </c>
    </row>
    <row r="487" spans="1:22" s="376" customFormat="1" ht="15" outlineLevel="1" x14ac:dyDescent="0.25">
      <c r="A487" s="374"/>
      <c r="B487" s="458" t="str">
        <f>CONCATENATE("VNA  ",B476)</f>
        <v>VNA  Verificación de aislamiento</v>
      </c>
      <c r="C487" s="374" t="s">
        <v>6</v>
      </c>
      <c r="D487" s="453">
        <f>NPV($D$31,K487:U487)</f>
        <v>56878092.284262411</v>
      </c>
      <c r="K487" s="452">
        <f>IF(OR(K483="N/A",K484=0),0,IF($D483="Operación",K485,K486))</f>
        <v>0</v>
      </c>
      <c r="L487" s="452">
        <f t="shared" ref="L487:U487" si="217">IF(L484="N/A",0,IF($D483="Operación",L485,L486))</f>
        <v>10211446.729166666</v>
      </c>
      <c r="M487" s="452">
        <f t="shared" si="217"/>
        <v>25530659.624080587</v>
      </c>
      <c r="N487" s="452">
        <f t="shared" si="217"/>
        <v>30086934.879772473</v>
      </c>
      <c r="O487" s="452">
        <f t="shared" si="217"/>
        <v>17539216.86337541</v>
      </c>
      <c r="P487" s="452">
        <f t="shared" si="217"/>
        <v>12274442.984877815</v>
      </c>
      <c r="Q487" s="452">
        <f t="shared" si="217"/>
        <v>9794125.1039455514</v>
      </c>
      <c r="R487" s="452">
        <f t="shared" si="217"/>
        <v>0</v>
      </c>
      <c r="S487" s="452">
        <f t="shared" si="217"/>
        <v>0</v>
      </c>
      <c r="T487" s="452">
        <f t="shared" si="217"/>
        <v>0</v>
      </c>
      <c r="U487" s="452">
        <f t="shared" si="217"/>
        <v>0</v>
      </c>
    </row>
    <row r="488" spans="1:22" s="393" customFormat="1" ht="15" outlineLevel="1" x14ac:dyDescent="0.25">
      <c r="A488" s="374"/>
      <c r="B488" s="454" t="str">
        <f>CONCATENATE("Volumen de agua recuperado ",B476)</f>
        <v>Volumen de agua recuperado Verificación de aislamiento</v>
      </c>
      <c r="C488" s="374" t="s">
        <v>106</v>
      </c>
      <c r="D488" s="374"/>
      <c r="E488" s="376"/>
      <c r="F488" s="376"/>
      <c r="G488" s="376"/>
      <c r="H488" s="376"/>
      <c r="I488" s="376"/>
      <c r="J488" s="376"/>
      <c r="K488" s="378"/>
      <c r="L488" s="378"/>
      <c r="M488" s="378"/>
      <c r="N488" s="378"/>
      <c r="O488" s="378"/>
      <c r="P488" s="378"/>
      <c r="Q488" s="378"/>
      <c r="R488" s="378"/>
      <c r="S488" s="378"/>
      <c r="T488" s="378"/>
      <c r="U488" s="378"/>
    </row>
    <row r="489" spans="1:22" s="376" customFormat="1" ht="15" outlineLevel="1" x14ac:dyDescent="0.25">
      <c r="A489" s="374"/>
      <c r="B489" s="376" t="s">
        <v>750</v>
      </c>
      <c r="C489" s="374" t="s">
        <v>6</v>
      </c>
      <c r="D489" s="453">
        <f>NPV($D$31,K489:U489)</f>
        <v>0</v>
      </c>
      <c r="K489" s="452">
        <f>IF(OR(K483="N/A",K488=0),0,K488*K$29)</f>
        <v>0</v>
      </c>
      <c r="L489" s="452">
        <f>IF(OR(L483="N/A",L488=0),0,L488*L$29)</f>
        <v>0</v>
      </c>
      <c r="M489" s="452">
        <f t="shared" ref="M489:U489" si="218">IF(OR(M483="N/A",M488=0),0,M488*M$29)</f>
        <v>0</v>
      </c>
      <c r="N489" s="452">
        <f t="shared" si="218"/>
        <v>0</v>
      </c>
      <c r="O489" s="452">
        <f t="shared" si="218"/>
        <v>0</v>
      </c>
      <c r="P489" s="452">
        <f t="shared" si="218"/>
        <v>0</v>
      </c>
      <c r="Q489" s="452">
        <f t="shared" si="218"/>
        <v>0</v>
      </c>
      <c r="R489" s="452">
        <f t="shared" si="218"/>
        <v>0</v>
      </c>
      <c r="S489" s="452">
        <f t="shared" si="218"/>
        <v>0</v>
      </c>
      <c r="T489" s="452">
        <f t="shared" si="218"/>
        <v>0</v>
      </c>
      <c r="U489" s="452">
        <f t="shared" si="218"/>
        <v>0</v>
      </c>
    </row>
    <row r="490" spans="1:22" s="376" customFormat="1" ht="20.85" customHeight="1" outlineLevel="1" x14ac:dyDescent="0.25">
      <c r="A490" s="374"/>
      <c r="B490" s="376" t="s">
        <v>751</v>
      </c>
      <c r="C490" s="374"/>
      <c r="D490" s="455">
        <f>IFERROR(ROUND(IF(D489/D487=0,0,D489/D487),2),0)</f>
        <v>0</v>
      </c>
      <c r="K490" s="452">
        <f>IF(OR(K484="N/A",K489=0),0,K489*K$29)</f>
        <v>0</v>
      </c>
      <c r="L490" s="452">
        <f>IF(OR(L484="N/A",L489=0),0,L489*L$29)</f>
        <v>0</v>
      </c>
      <c r="M490" s="452">
        <f t="shared" ref="M490:U490" si="219">IF(OR(M484="N/A",M489=0),0,M489*M$29)</f>
        <v>0</v>
      </c>
      <c r="N490" s="452">
        <f t="shared" si="219"/>
        <v>0</v>
      </c>
      <c r="O490" s="452">
        <f t="shared" si="219"/>
        <v>0</v>
      </c>
      <c r="P490" s="452">
        <f t="shared" si="219"/>
        <v>0</v>
      </c>
      <c r="Q490" s="452">
        <f t="shared" si="219"/>
        <v>0</v>
      </c>
      <c r="R490" s="452">
        <f t="shared" si="219"/>
        <v>0</v>
      </c>
      <c r="S490" s="452">
        <f t="shared" si="219"/>
        <v>0</v>
      </c>
      <c r="T490" s="452">
        <f t="shared" si="219"/>
        <v>0</v>
      </c>
      <c r="U490" s="452">
        <f t="shared" si="219"/>
        <v>0</v>
      </c>
    </row>
    <row r="492" spans="1:22" s="355" customFormat="1" ht="20.100000000000001" customHeight="1" thickBot="1" x14ac:dyDescent="0.3">
      <c r="A492" s="323">
        <v>3</v>
      </c>
      <c r="B492" s="1730" t="s">
        <v>33</v>
      </c>
      <c r="C492" s="1730"/>
      <c r="D492" s="1730"/>
      <c r="E492" s="1730"/>
      <c r="F492" s="1730"/>
      <c r="G492" s="1730"/>
      <c r="H492" s="1730"/>
      <c r="I492" s="1730"/>
      <c r="J492" s="1730"/>
      <c r="K492" s="1730"/>
      <c r="L492" s="1730"/>
      <c r="M492" s="1730"/>
      <c r="N492" s="1730"/>
      <c r="O492" s="1730"/>
      <c r="P492" s="1730"/>
      <c r="Q492" s="1730"/>
      <c r="R492" s="1730"/>
      <c r="S492" s="1730"/>
      <c r="T492" s="1730"/>
      <c r="U492" s="1730"/>
    </row>
    <row r="493" spans="1:22" s="357" customFormat="1" ht="15.75" x14ac:dyDescent="0.25">
      <c r="A493" s="356">
        <v>3.1</v>
      </c>
      <c r="B493" s="317" t="s">
        <v>754</v>
      </c>
      <c r="C493" s="317"/>
      <c r="D493" s="317"/>
      <c r="E493" s="317"/>
      <c r="F493" s="317"/>
      <c r="G493" s="317"/>
      <c r="H493" s="317"/>
      <c r="I493" s="317"/>
      <c r="J493" s="317"/>
      <c r="K493" s="317"/>
      <c r="L493" s="317"/>
      <c r="M493" s="317"/>
      <c r="N493" s="317"/>
      <c r="O493" s="317"/>
      <c r="P493" s="317"/>
      <c r="Q493" s="317"/>
      <c r="R493" s="317"/>
      <c r="S493" s="317"/>
      <c r="T493" s="317"/>
      <c r="U493" s="317"/>
    </row>
    <row r="494" spans="1:22" s="364" customFormat="1" ht="15" customHeight="1" outlineLevel="1" x14ac:dyDescent="0.25">
      <c r="A494" s="394"/>
      <c r="B494" s="364" t="s">
        <v>124</v>
      </c>
      <c r="C494" s="394" t="s">
        <v>11</v>
      </c>
      <c r="D494" s="444">
        <f>COUNT(L494:U494)</f>
        <v>3</v>
      </c>
      <c r="K494" s="365">
        <v>0</v>
      </c>
      <c r="L494" s="443">
        <f t="shared" ref="L494:U494" si="220">IF(L503="N/A","",K494+1)</f>
        <v>1</v>
      </c>
      <c r="M494" s="443">
        <f>IF(M503="N/A","",L494+1)</f>
        <v>2</v>
      </c>
      <c r="N494" s="443">
        <f>IF(N503="N/A","",M494+1)</f>
        <v>3</v>
      </c>
      <c r="O494" s="443" t="str">
        <f t="shared" si="220"/>
        <v/>
      </c>
      <c r="P494" s="443" t="str">
        <f t="shared" si="220"/>
        <v/>
      </c>
      <c r="Q494" s="443" t="str">
        <f t="shared" si="220"/>
        <v/>
      </c>
      <c r="R494" s="443" t="str">
        <f t="shared" si="220"/>
        <v/>
      </c>
      <c r="S494" s="443" t="str">
        <f t="shared" si="220"/>
        <v/>
      </c>
      <c r="T494" s="443" t="str">
        <f t="shared" si="220"/>
        <v/>
      </c>
      <c r="U494" s="443" t="str">
        <f t="shared" si="220"/>
        <v/>
      </c>
    </row>
    <row r="495" spans="1:22" s="364" customFormat="1" ht="15" customHeight="1" outlineLevel="1" x14ac:dyDescent="0.25">
      <c r="A495" s="394"/>
      <c r="B495" s="307" t="s">
        <v>1043</v>
      </c>
      <c r="C495" s="304" t="s">
        <v>20</v>
      </c>
      <c r="D495" s="1112">
        <f>+D496+D497</f>
        <v>125</v>
      </c>
      <c r="J495" s="338"/>
      <c r="K495" s="442">
        <f t="shared" ref="K495:U495" si="221">IF(K503="N/A",0,IF(K499="",0,$D495))</f>
        <v>125</v>
      </c>
      <c r="L495" s="442">
        <f t="shared" si="221"/>
        <v>125</v>
      </c>
      <c r="M495" s="442">
        <f t="shared" si="221"/>
        <v>125</v>
      </c>
      <c r="N495" s="442">
        <f t="shared" si="221"/>
        <v>125</v>
      </c>
      <c r="O495" s="442">
        <f t="shared" si="221"/>
        <v>0</v>
      </c>
      <c r="P495" s="442">
        <f t="shared" si="221"/>
        <v>0</v>
      </c>
      <c r="Q495" s="442">
        <f t="shared" si="221"/>
        <v>0</v>
      </c>
      <c r="R495" s="442">
        <f t="shared" si="221"/>
        <v>0</v>
      </c>
      <c r="S495" s="442">
        <f t="shared" si="221"/>
        <v>0</v>
      </c>
      <c r="T495" s="442">
        <f t="shared" si="221"/>
        <v>0</v>
      </c>
      <c r="U495" s="442">
        <f t="shared" si="221"/>
        <v>0</v>
      </c>
    </row>
    <row r="496" spans="1:22" s="326" customFormat="1" ht="12" customHeight="1" outlineLevel="1" x14ac:dyDescent="0.25">
      <c r="B496" s="307" t="s">
        <v>311</v>
      </c>
      <c r="C496" s="304" t="s">
        <v>20</v>
      </c>
      <c r="D496" s="442">
        <v>104</v>
      </c>
      <c r="J496" s="338"/>
      <c r="K496" s="439">
        <f>$D496</f>
        <v>104</v>
      </c>
      <c r="L496" s="439">
        <f t="shared" ref="L496:U496" si="222">IF(IFERROR(K496+L498,0)=$D$495,0,IFERROR(K496+L498,0))</f>
        <v>111</v>
      </c>
      <c r="M496" s="439">
        <f t="shared" si="222"/>
        <v>119</v>
      </c>
      <c r="N496" s="439">
        <f t="shared" si="222"/>
        <v>0</v>
      </c>
      <c r="O496" s="439"/>
      <c r="P496" s="439">
        <f t="shared" si="222"/>
        <v>0</v>
      </c>
      <c r="Q496" s="439"/>
      <c r="R496" s="439"/>
      <c r="S496" s="439">
        <f t="shared" si="222"/>
        <v>0</v>
      </c>
      <c r="T496" s="439">
        <f t="shared" si="222"/>
        <v>0</v>
      </c>
      <c r="U496" s="439">
        <f t="shared" si="222"/>
        <v>0</v>
      </c>
    </row>
    <row r="497" spans="1:21" s="326" customFormat="1" ht="12" customHeight="1" outlineLevel="1" x14ac:dyDescent="0.25">
      <c r="B497" s="307" t="s">
        <v>153</v>
      </c>
      <c r="C497" s="304" t="s">
        <v>20</v>
      </c>
      <c r="D497" s="360">
        <v>21</v>
      </c>
      <c r="J497" s="338"/>
      <c r="K497" s="439">
        <f>$D497</f>
        <v>21</v>
      </c>
      <c r="L497" s="439">
        <f>IF(IFERROR(L495-L496,0)&lt;0,0,IFERROR(L495-L496,0))</f>
        <v>14</v>
      </c>
      <c r="M497" s="439">
        <f t="shared" ref="M497:U497" si="223">IF(IFERROR(M495-M496,0)&lt;0,0,IFERROR(M495-M496,0))</f>
        <v>6</v>
      </c>
      <c r="N497" s="439">
        <f t="shared" si="223"/>
        <v>125</v>
      </c>
      <c r="O497" s="439">
        <f t="shared" si="223"/>
        <v>0</v>
      </c>
      <c r="P497" s="439">
        <f t="shared" si="223"/>
        <v>0</v>
      </c>
      <c r="Q497" s="439">
        <f t="shared" si="223"/>
        <v>0</v>
      </c>
      <c r="R497" s="439">
        <f t="shared" si="223"/>
        <v>0</v>
      </c>
      <c r="S497" s="439">
        <f t="shared" si="223"/>
        <v>0</v>
      </c>
      <c r="T497" s="439">
        <f t="shared" si="223"/>
        <v>0</v>
      </c>
      <c r="U497" s="439">
        <f t="shared" si="223"/>
        <v>0</v>
      </c>
    </row>
    <row r="498" spans="1:21" s="326" customFormat="1" ht="12" customHeight="1" outlineLevel="1" x14ac:dyDescent="0.25">
      <c r="A498" s="316"/>
      <c r="B498" s="326" t="s">
        <v>152</v>
      </c>
      <c r="C498" s="316" t="s">
        <v>20</v>
      </c>
      <c r="D498" s="445" t="str">
        <f>IF(D497&gt;SUM(L498:U498),"NO","SI")</f>
        <v>SI</v>
      </c>
      <c r="J498" s="338"/>
      <c r="K498" s="442">
        <f>IF(SUM(K499:K500)=0,0,SUM(K499:K500))</f>
        <v>0</v>
      </c>
      <c r="L498" s="442">
        <f>IF(SUM(L499:L500)=0,0,SUM(L499:L500))</f>
        <v>7</v>
      </c>
      <c r="M498" s="442">
        <f t="shared" ref="M498:U498" si="224">IF(SUM(M499:M500)=0,0,SUM(M499:M500))</f>
        <v>8</v>
      </c>
      <c r="N498" s="442">
        <f>IF(SUM(N499:N500)=0,0,SUM(N499:N500))</f>
        <v>6</v>
      </c>
      <c r="O498" s="442">
        <f>IF(SUM(O499:O500)=0,0,SUM(O499:O500))</f>
        <v>0</v>
      </c>
      <c r="P498" s="442">
        <f>IF(SUM(P499:P500)=0,0,SUM(P499:P500))</f>
        <v>0</v>
      </c>
      <c r="Q498" s="442">
        <f t="shared" si="224"/>
        <v>0</v>
      </c>
      <c r="R498" s="442">
        <f t="shared" si="224"/>
        <v>0</v>
      </c>
      <c r="S498" s="442">
        <f t="shared" si="224"/>
        <v>0</v>
      </c>
      <c r="T498" s="442">
        <f t="shared" si="224"/>
        <v>0</v>
      </c>
      <c r="U498" s="442">
        <f t="shared" si="224"/>
        <v>0</v>
      </c>
    </row>
    <row r="499" spans="1:21" s="307" customFormat="1" ht="35.1" customHeight="1" outlineLevel="1" x14ac:dyDescent="0.25">
      <c r="A499" s="446" t="str">
        <f>VLOOKUP(B499,'C UNIT PROG TÉCNICOS'!$B$8:$H$108,7,FALSE)</f>
        <v>CAPEX</v>
      </c>
      <c r="B499" s="367" t="s">
        <v>1041</v>
      </c>
      <c r="C499" s="304" t="s">
        <v>20</v>
      </c>
      <c r="D499" s="304" t="s">
        <v>19</v>
      </c>
      <c r="I499" s="368"/>
      <c r="J499" s="338"/>
      <c r="K499" s="412">
        <v>0</v>
      </c>
      <c r="L499" s="412">
        <v>7</v>
      </c>
      <c r="M499" s="412">
        <v>8</v>
      </c>
      <c r="N499" s="412">
        <v>6</v>
      </c>
      <c r="O499" s="412"/>
      <c r="P499" s="412"/>
      <c r="Q499" s="369"/>
      <c r="R499" s="369"/>
      <c r="S499" s="369"/>
      <c r="T499" s="369"/>
      <c r="U499" s="369"/>
    </row>
    <row r="500" spans="1:21" s="307" customFormat="1" ht="35.1" customHeight="1" outlineLevel="1" x14ac:dyDescent="0.25">
      <c r="A500" s="446" t="str">
        <f>VLOOKUP(B500,'C UNIT PROG TÉCNICOS'!$B$8:$H$108,7,FALSE)</f>
        <v>CAPEX</v>
      </c>
      <c r="B500" s="367" t="s">
        <v>1042</v>
      </c>
      <c r="C500" s="304" t="s">
        <v>20</v>
      </c>
      <c r="D500" s="304" t="s">
        <v>19</v>
      </c>
      <c r="I500" s="369"/>
      <c r="J500" s="338"/>
      <c r="K500" s="412">
        <v>0</v>
      </c>
      <c r="L500" s="412">
        <v>0</v>
      </c>
      <c r="M500" s="412">
        <v>0</v>
      </c>
      <c r="N500" s="412">
        <v>0</v>
      </c>
      <c r="O500" s="412"/>
      <c r="P500" s="412"/>
      <c r="Q500" s="369"/>
      <c r="R500" s="369"/>
      <c r="S500" s="369"/>
      <c r="T500" s="369"/>
      <c r="U500" s="369"/>
    </row>
    <row r="501" spans="1:21" s="326" customFormat="1" ht="12" customHeight="1" outlineLevel="1" x14ac:dyDescent="0.25">
      <c r="B501" s="307" t="s">
        <v>755</v>
      </c>
      <c r="C501" s="304" t="s">
        <v>20</v>
      </c>
      <c r="D501" s="360">
        <v>15</v>
      </c>
      <c r="J501" s="338"/>
      <c r="K501" s="442">
        <f>$D501</f>
        <v>15</v>
      </c>
      <c r="L501" s="442">
        <f>IF(IFERROR(L502,0)&lt;0,0,IFERROR(L502,0))</f>
        <v>5</v>
      </c>
      <c r="M501" s="442"/>
      <c r="N501" s="442"/>
      <c r="O501" s="442"/>
      <c r="P501" s="442"/>
      <c r="Q501" s="442"/>
      <c r="R501" s="442"/>
      <c r="S501" s="442"/>
      <c r="T501" s="439">
        <f>IF(IFERROR(T499-T500,0)&lt;0,0,IFERROR(T499-T500,0))</f>
        <v>0</v>
      </c>
      <c r="U501" s="439">
        <f>IF(IFERROR(U499-U500,0)&lt;0,0,IFERROR(U499-U500,0))</f>
        <v>0</v>
      </c>
    </row>
    <row r="502" spans="1:21" s="307" customFormat="1" ht="35.1" customHeight="1" outlineLevel="1" x14ac:dyDescent="0.25">
      <c r="A502" s="446" t="str">
        <f>VLOOKUP(B502,'C UNIT PROG TÉCNICOS'!$B$8:$H$108,7,FALSE)</f>
        <v>OPEX</v>
      </c>
      <c r="B502" s="367" t="s">
        <v>753</v>
      </c>
      <c r="C502" s="304" t="s">
        <v>20</v>
      </c>
      <c r="D502" s="304" t="s">
        <v>19</v>
      </c>
      <c r="I502" s="369"/>
      <c r="J502" s="338"/>
      <c r="K502" s="412">
        <v>0</v>
      </c>
      <c r="L502" s="412">
        <v>5</v>
      </c>
      <c r="M502" s="412">
        <v>5</v>
      </c>
      <c r="N502" s="412">
        <v>4</v>
      </c>
      <c r="O502" s="412"/>
      <c r="P502" s="412"/>
      <c r="Q502" s="369"/>
      <c r="R502" s="369"/>
      <c r="S502" s="369"/>
      <c r="T502" s="369"/>
      <c r="U502" s="369"/>
    </row>
    <row r="503" spans="1:21" s="307" customFormat="1" ht="12" customHeight="1" outlineLevel="1" x14ac:dyDescent="0.25">
      <c r="A503" s="316"/>
      <c r="B503" s="307" t="s">
        <v>742</v>
      </c>
      <c r="D503" s="447" t="str">
        <f>IF(AND(A499="CAPEX",A500="CAPEX",A502="CAPEX"),"Inversión",IF(AND(A499="OPEX",A500="OPEX",A502="OPEX"),"Operación","I/O"))</f>
        <v>I/O</v>
      </c>
      <c r="I503" s="370"/>
      <c r="J503" s="338"/>
      <c r="K503" s="371" t="s">
        <v>8</v>
      </c>
      <c r="L503" s="371" t="s">
        <v>8</v>
      </c>
      <c r="M503" s="371" t="s">
        <v>8</v>
      </c>
      <c r="N503" s="371" t="s">
        <v>8</v>
      </c>
      <c r="O503" s="371" t="s">
        <v>149</v>
      </c>
      <c r="P503" s="371" t="s">
        <v>149</v>
      </c>
      <c r="Q503" s="371" t="s">
        <v>149</v>
      </c>
      <c r="R503" s="371" t="s">
        <v>149</v>
      </c>
      <c r="S503" s="371" t="s">
        <v>149</v>
      </c>
      <c r="T503" s="371" t="s">
        <v>149</v>
      </c>
      <c r="U503" s="371" t="s">
        <v>149</v>
      </c>
    </row>
    <row r="504" spans="1:21" s="307" customFormat="1" ht="12" customHeight="1" outlineLevel="1" x14ac:dyDescent="0.25">
      <c r="A504" s="316"/>
      <c r="B504" s="307" t="s">
        <v>762</v>
      </c>
      <c r="C504" s="304"/>
      <c r="D504" s="304"/>
      <c r="J504" s="338"/>
      <c r="K504" s="448">
        <f>IF(K503="N/A",0,IF(K503="SI",0,IF(OR($D503="I/O",$D503="Inversión"),0,SUM(VLOOKUP($B499,'C UNIT PROG TÉCNICOS'!$B$8:$G$160,6,FALSE)*'EV PROG TÉCNICOS'!K499,VLOOKUP($B500,'C UNIT PROG TÉCNICOS'!$B$8:$G$160,6,FALSE)*'EV PROG TÉCNICOS'!K500,VLOOKUP($B502,'C UNIT PROG TÉCNICOS'!$B$8:$G$160,6,FALSE)*'EV PROG TÉCNICOS'!K502))))</f>
        <v>0</v>
      </c>
      <c r="L504" s="448">
        <f>IF(L503="N/A",0,IF(L503="SI",0,IF(OR($D503="I/O",$D503="Inversión"),0,SUM(VLOOKUP($B499,'C UNIT PROG TÉCNICOS'!$B$8:$G$160,6,FALSE)*'EV PROG TÉCNICOS'!L499,VLOOKUP($B500,'C UNIT PROG TÉCNICOS'!$B$8:$G$160,6,FALSE)*'EV PROG TÉCNICOS'!L500,VLOOKUP($B502,'C UNIT PROG TÉCNICOS'!$B$8:$G$160,6,FALSE)*'EV PROG TÉCNICOS'!L502))))</f>
        <v>0</v>
      </c>
      <c r="M504" s="448">
        <f>IF(M503="N/A",0,IF(M503="SI",0,IF(OR($D503="I/O",$D503="Inversión"),0,SUM(VLOOKUP($B499,'C UNIT PROG TÉCNICOS'!$B$8:$G$160,6,FALSE)*'EV PROG TÉCNICOS'!M499,VLOOKUP($B500,'C UNIT PROG TÉCNICOS'!$B$8:$G$160,6,FALSE)*'EV PROG TÉCNICOS'!M500,VLOOKUP($B502,'C UNIT PROG TÉCNICOS'!$B$8:$G$160,6,FALSE)*'EV PROG TÉCNICOS'!M502))))</f>
        <v>0</v>
      </c>
      <c r="N504" s="448">
        <f>IF(N503="N/A",0,IF(N503="SI",0,IF(OR($D503="I/O",$D503="Inversión"),0,SUM(VLOOKUP($B499,'C UNIT PROG TÉCNICOS'!$B$8:$G$160,6,FALSE)*'EV PROG TÉCNICOS'!N499,VLOOKUP($B500,'C UNIT PROG TÉCNICOS'!$B$8:$G$160,6,FALSE)*'EV PROG TÉCNICOS'!N500,VLOOKUP($B502,'C UNIT PROG TÉCNICOS'!$B$8:$G$160,6,FALSE)*'EV PROG TÉCNICOS'!N502))))</f>
        <v>0</v>
      </c>
      <c r="O504" s="448">
        <f>IF(O503="N/A",0,IF(O503="SI",0,IF(OR($D503="I/O",$D503="Inversión"),0,SUM(VLOOKUP($B499,'C UNIT PROG TÉCNICOS'!$B$8:$G$160,6,FALSE)*'EV PROG TÉCNICOS'!O499,VLOOKUP($B500,'C UNIT PROG TÉCNICOS'!$B$8:$G$160,6,FALSE)*'EV PROG TÉCNICOS'!O500,VLOOKUP($B502,'C UNIT PROG TÉCNICOS'!$B$8:$G$160,6,FALSE)*'EV PROG TÉCNICOS'!O502))))</f>
        <v>0</v>
      </c>
      <c r="P504" s="448">
        <f>IF(P503="N/A",0,IF(P503="SI",0,IF(OR($D503="I/O",$D503="Inversión"),0,SUM(VLOOKUP($B499,'C UNIT PROG TÉCNICOS'!$B$8:$G$160,6,FALSE)*'EV PROG TÉCNICOS'!P499,VLOOKUP($B500,'C UNIT PROG TÉCNICOS'!$B$8:$G$160,6,FALSE)*'EV PROG TÉCNICOS'!P500,VLOOKUP($B502,'C UNIT PROG TÉCNICOS'!$B$8:$G$160,6,FALSE)*'EV PROG TÉCNICOS'!P502))))</f>
        <v>0</v>
      </c>
      <c r="Q504" s="448">
        <f>IF(Q503="N/A",0,IF(Q503="SI",0,IF(OR($D503="I/O",$D503="Inversión"),0,SUM(VLOOKUP($B499,'C UNIT PROG TÉCNICOS'!$B$8:$G$160,6,FALSE)*'EV PROG TÉCNICOS'!Q499,VLOOKUP($B500,'C UNIT PROG TÉCNICOS'!$B$8:$G$160,6,FALSE)*'EV PROG TÉCNICOS'!Q500,VLOOKUP($B502,'C UNIT PROG TÉCNICOS'!$B$8:$G$160,6,FALSE)*'EV PROG TÉCNICOS'!Q502))))</f>
        <v>0</v>
      </c>
      <c r="R504" s="448">
        <f>IF(R503="N/A",0,IF(R503="SI",0,IF(OR($D503="I/O",$D503="Inversión"),0,SUM(VLOOKUP($B499,'C UNIT PROG TÉCNICOS'!$B$8:$G$160,6,FALSE)*'EV PROG TÉCNICOS'!R499,VLOOKUP($B500,'C UNIT PROG TÉCNICOS'!$B$8:$G$160,6,FALSE)*'EV PROG TÉCNICOS'!R500,VLOOKUP($B502,'C UNIT PROG TÉCNICOS'!$B$8:$G$160,6,FALSE)*'EV PROG TÉCNICOS'!R502))))</f>
        <v>0</v>
      </c>
      <c r="S504" s="448">
        <f>IF(S503="N/A",0,IF(S503="SI",0,IF(OR($D503="I/O",$D503="Inversión"),0,SUM(VLOOKUP($B499,'C UNIT PROG TÉCNICOS'!$B$8:$G$160,6,FALSE)*'EV PROG TÉCNICOS'!S499,VLOOKUP($B500,'C UNIT PROG TÉCNICOS'!$B$8:$G$160,6,FALSE)*'EV PROG TÉCNICOS'!S500,VLOOKUP($B502,'C UNIT PROG TÉCNICOS'!$B$8:$G$160,6,FALSE)*'EV PROG TÉCNICOS'!S502))))</f>
        <v>0</v>
      </c>
      <c r="T504" s="448">
        <f>IF(T503="N/A",0,IF(T503="SI",0,IF(OR($D503="I/O",$D503="Inversión"),0,SUM(VLOOKUP($B499,'C UNIT PROG TÉCNICOS'!$B$8:$G$160,6,FALSE)*'EV PROG TÉCNICOS'!T499,VLOOKUP($B500,'C UNIT PROG TÉCNICOS'!$B$8:$G$160,6,FALSE)*'EV PROG TÉCNICOS'!T500))))</f>
        <v>0</v>
      </c>
      <c r="U504" s="448">
        <f>IF(U503="N/A",0,IF(U503="SI",0,IF(OR($D503="I/O",$D503="Inversión"),0,SUM(VLOOKUP($B499,'C UNIT PROG TÉCNICOS'!$B$8:$G$160,6,FALSE)*'EV PROG TÉCNICOS'!U499,VLOOKUP($B500,'C UNIT PROG TÉCNICOS'!$B$8:$G$160,6,FALSE)*'EV PROG TÉCNICOS'!U500))))</f>
        <v>0</v>
      </c>
    </row>
    <row r="505" spans="1:21" s="307" customFormat="1" ht="12" customHeight="1" outlineLevel="1" x14ac:dyDescent="0.25">
      <c r="A505" s="316"/>
      <c r="B505" s="307" t="s">
        <v>763</v>
      </c>
      <c r="C505" s="304" t="s">
        <v>6</v>
      </c>
      <c r="D505" s="304"/>
      <c r="J505" s="338"/>
      <c r="K505" s="450">
        <f>IF(K503="N/A",0,IF(K503="SI",0,K$21*K504))</f>
        <v>0</v>
      </c>
      <c r="L505" s="450">
        <f>IF(L503="N/A",0,IF(L503="SI",0,L$21*L504))</f>
        <v>0</v>
      </c>
      <c r="M505" s="450">
        <f t="shared" ref="M505:S505" si="225">IF(M503="N/A",0,IF(M503="SI",0,M$21*M504))</f>
        <v>0</v>
      </c>
      <c r="N505" s="450">
        <f t="shared" si="225"/>
        <v>0</v>
      </c>
      <c r="O505" s="450">
        <f t="shared" si="225"/>
        <v>0</v>
      </c>
      <c r="P505" s="450">
        <f t="shared" si="225"/>
        <v>0</v>
      </c>
      <c r="Q505" s="450">
        <f t="shared" si="225"/>
        <v>0</v>
      </c>
      <c r="R505" s="450">
        <f t="shared" si="225"/>
        <v>0</v>
      </c>
      <c r="S505" s="450">
        <f t="shared" si="225"/>
        <v>0</v>
      </c>
      <c r="T505" s="450">
        <f>IF(T503="N/A",0,IF(T503="SI",0,T$21*T504))</f>
        <v>0</v>
      </c>
      <c r="U505" s="450">
        <f>IF(U503="N/A",0,IF(U503="SI",0,U$21*U504))</f>
        <v>0</v>
      </c>
    </row>
    <row r="506" spans="1:21" s="307" customFormat="1" ht="12" customHeight="1" outlineLevel="1" x14ac:dyDescent="0.25">
      <c r="A506" s="316"/>
      <c r="B506" s="307" t="s">
        <v>764</v>
      </c>
      <c r="C506" s="304" t="s">
        <v>6</v>
      </c>
      <c r="D506" s="304"/>
      <c r="J506" s="338"/>
      <c r="K506" s="450">
        <f>IF(K503="N/A",0,IF(K503="SI",0,IF(OR($D503="Inversión",$D503="I/O"),SUM(VLOOKUP($B499,'C UNIT PROG TÉCNICOS'!$B$8:$G$160,5,FALSE)*'EV PROG TÉCNICOS'!K499,VLOOKUP($B500,'C UNIT PROG TÉCNICOS'!$B$8:$G$160,5,FALSE)*'EV PROG TÉCNICOS'!K500,VLOOKUP($B502,'C UNIT PROG TÉCNICOS'!$B$8:$G$160,5,FALSE)*'EV PROG TÉCNICOS'!K502))))</f>
        <v>0</v>
      </c>
      <c r="L506" s="450">
        <f>IF(L503="N/A",0,IF(L503="SI",0,IF(OR($D503="Inversión",$D503="I/O"),SUM(VLOOKUP($B499,'C UNIT PROG TÉCNICOS'!$B$8:$G$160,5,FALSE)*'EV PROG TÉCNICOS'!L499,VLOOKUP($B500,'C UNIT PROG TÉCNICOS'!$B$8:$G$160,5,FALSE)*'EV PROG TÉCNICOS'!L500,VLOOKUP($B502,'C UNIT PROG TÉCNICOS'!$B$8:$G$160,5,FALSE)*'EV PROG TÉCNICOS'!L502))*((1+$D$24)^(L$3-$K$3))))</f>
        <v>345828035.59308654</v>
      </c>
      <c r="M506" s="450">
        <f>IF(M503="N/A",0,IF(M503="SI",0,IF(OR($D503="Inversión",$D503="I/O"),SUM(VLOOKUP($B499,'C UNIT PROG TÉCNICOS'!$B$8:$G$160,5,FALSE)*'EV PROG TÉCNICOS'!M499,VLOOKUP($B500,'C UNIT PROG TÉCNICOS'!$B$8:$G$160,5,FALSE)*'EV PROG TÉCNICOS'!M500,VLOOKUP($B502,'C UNIT PROG TÉCNICOS'!$B$8:$G$160,5,FALSE)*'EV PROG TÉCNICOS'!M502))*((1+$D$24)^(M$3-$K$3))))</f>
        <v>408219277.06480396</v>
      </c>
      <c r="N506" s="450">
        <f>IF(N503="N/A",0,IF(N503="SI",0,IF(OR($D503="Inversión",$D503="I/O"),SUM(VLOOKUP($B499,'C UNIT PROG TÉCNICOS'!$B$8:$G$160,5,FALSE)*'EV PROG TÉCNICOS'!N499,VLOOKUP($B500,'C UNIT PROG TÉCNICOS'!$B$8:$G$160,5,FALSE)*'EV PROG TÉCNICOS'!N500,VLOOKUP($B502,'C UNIT PROG TÉCNICOS'!$B$8:$G$160,5,FALSE)*'EV PROG TÉCNICOS'!N502))*((1+$D$24)^(N$3-$K$3))))</f>
        <v>317454603.30310458</v>
      </c>
      <c r="O506" s="450">
        <f>IF(O503="N/A",0,IF(O503="SI",0,IF(OR($D503="Inversión",$D503="I/O"),SUM(VLOOKUP($B499,'C UNIT PROG TÉCNICOS'!$B$8:$G$160,5,FALSE)*'EV PROG TÉCNICOS'!O499,VLOOKUP($B500,'C UNIT PROG TÉCNICOS'!$B$8:$G$160,5,FALSE)*'EV PROG TÉCNICOS'!O500,VLOOKUP($B502,'C UNIT PROG TÉCNICOS'!$B$8:$G$160,5,FALSE)*'EV PROG TÉCNICOS'!O502))*((1+$D$24)^(O$3-$K$3))))</f>
        <v>0</v>
      </c>
      <c r="P506" s="450">
        <f>IF(P503="N/A",0,IF(P503="SI",0,IF(OR($D503="Inversión",$D503="I/O"),SUM(VLOOKUP($B499,'C UNIT PROG TÉCNICOS'!$B$8:$G$160,5,FALSE)*'EV PROG TÉCNICOS'!P499,VLOOKUP($B500,'C UNIT PROG TÉCNICOS'!$B$8:$G$160,5,FALSE)*'EV PROG TÉCNICOS'!P500,VLOOKUP($B502,'C UNIT PROG TÉCNICOS'!$B$8:$G$160,5,FALSE)*'EV PROG TÉCNICOS'!P502))*((1+$D$24)^(P$3-$K$3))))</f>
        <v>0</v>
      </c>
      <c r="Q506" s="450">
        <f>IF(Q503="N/A",0,IF(Q503="SI",0,IF(OR($D503="Inversión",$D503="I/O"),SUM(VLOOKUP($B499,'C UNIT PROG TÉCNICOS'!$B$8:$G$160,5,FALSE)*'EV PROG TÉCNICOS'!Q499,VLOOKUP($B500,'C UNIT PROG TÉCNICOS'!$B$8:$G$160,5,FALSE)*'EV PROG TÉCNICOS'!Q500,VLOOKUP($B502,'C UNIT PROG TÉCNICOS'!$B$8:$G$160,5,FALSE)*'EV PROG TÉCNICOS'!Q502))*((1+$D$24)^(Q$3-$K$3))))</f>
        <v>0</v>
      </c>
      <c r="R506" s="450">
        <f>IF(R503="N/A",0,IF(R503="SI",0,IF(OR($D503="Inversión",$D503="I/O"),SUM(VLOOKUP($B499,'C UNIT PROG TÉCNICOS'!$B$8:$G$160,5,FALSE)*'EV PROG TÉCNICOS'!R499,VLOOKUP($B500,'C UNIT PROG TÉCNICOS'!$B$8:$G$160,5,FALSE)*'EV PROG TÉCNICOS'!R500,VLOOKUP($B502,'C UNIT PROG TÉCNICOS'!$B$8:$G$160,5,FALSE)*'EV PROG TÉCNICOS'!R502))*((1+$D$24)^(R$3-$K$3))))</f>
        <v>0</v>
      </c>
      <c r="S506" s="450">
        <f>IF(S503="N/A",0,IF(S503="SI",0,IF(OR($D503="Inversión",$D503="I/O"),SUM(VLOOKUP($B499,'C UNIT PROG TÉCNICOS'!$B$8:$G$160,5,FALSE)*'EV PROG TÉCNICOS'!S499,VLOOKUP($B500,'C UNIT PROG TÉCNICOS'!$B$8:$G$160,5,FALSE)*'EV PROG TÉCNICOS'!S500,VLOOKUP($B502,'C UNIT PROG TÉCNICOS'!$B$8:$G$160,5,FALSE)*'EV PROG TÉCNICOS'!S502))*((1+$D$24)^(S$3-$K$3))))</f>
        <v>0</v>
      </c>
      <c r="T506" s="450">
        <f>IF(T503="N/A",0,IF(T503="SI",0,IF(OR($D503="Inversión",$D503="I/O"),SUM(VLOOKUP($B499,'C UNIT PROG TÉCNICOS'!$B$8:$G$160,5,FALSE)*'EV PROG TÉCNICOS'!T499,VLOOKUP($B500,'C UNIT PROG TÉCNICOS'!$B$8:$G$160,5,FALSE)*'EV PROG TÉCNICOS'!T500))*((1+$D$24)^(T$3-$K$3))))</f>
        <v>0</v>
      </c>
      <c r="U506" s="450">
        <f>IF(U503="N/A",0,IF(U503="SI",0,IF(OR($D503="Inversión",$D503="I/O"),SUM(VLOOKUP($B499,'C UNIT PROG TÉCNICOS'!$B$8:$G$160,5,FALSE)*'EV PROG TÉCNICOS'!U499,VLOOKUP($B500,'C UNIT PROG TÉCNICOS'!$B$8:$G$160,5,FALSE)*'EV PROG TÉCNICOS'!U500))*((1+$D$24)^(U$3-$K$3))))</f>
        <v>0</v>
      </c>
    </row>
    <row r="507" spans="1:21" s="376" customFormat="1" ht="15" customHeight="1" outlineLevel="1" x14ac:dyDescent="0.25">
      <c r="A507" s="374"/>
      <c r="B507" s="454" t="str">
        <f>CONCATENATE("VNA  ",B493)</f>
        <v>VNA  Instalación y mantenimiento de ERP's</v>
      </c>
      <c r="C507" s="374" t="s">
        <v>6</v>
      </c>
      <c r="D507" s="453">
        <f>NPV($D$31,L507:U507)+K507</f>
        <v>801280665.91943049</v>
      </c>
      <c r="J507" s="338"/>
      <c r="K507" s="452">
        <f>IF(K503="N/A",0,IF($D503="Operación",K505,K506))</f>
        <v>0</v>
      </c>
      <c r="L507" s="452">
        <f>IF(L503="N/A",0,IF($D503="Operación",L505,L506))</f>
        <v>345828035.59308654</v>
      </c>
      <c r="M507" s="452">
        <f>IF(M503="N/A",0,IF($D503="Operación",M505,M506))</f>
        <v>408219277.06480396</v>
      </c>
      <c r="N507" s="452">
        <f t="shared" ref="N507:S507" si="226">IF(N503="N/A",0,IF($D503="Operación",N505,N506))</f>
        <v>317454603.30310458</v>
      </c>
      <c r="O507" s="452">
        <f t="shared" si="226"/>
        <v>0</v>
      </c>
      <c r="P507" s="452">
        <f t="shared" si="226"/>
        <v>0</v>
      </c>
      <c r="Q507" s="452">
        <f t="shared" si="226"/>
        <v>0</v>
      </c>
      <c r="R507" s="452">
        <f t="shared" si="226"/>
        <v>0</v>
      </c>
      <c r="S507" s="452">
        <f t="shared" si="226"/>
        <v>0</v>
      </c>
      <c r="T507" s="452">
        <f>IF(T503="N/A",0,IF($D503="Operación",T505,T506))</f>
        <v>0</v>
      </c>
      <c r="U507" s="452">
        <f>IF(U503="N/A",0,IF($D503="Operación",U505,U506))</f>
        <v>0</v>
      </c>
    </row>
    <row r="508" spans="1:21" s="376" customFormat="1" ht="15" customHeight="1" outlineLevel="1" x14ac:dyDescent="0.25">
      <c r="A508" s="374"/>
      <c r="B508" s="454" t="s">
        <v>756</v>
      </c>
      <c r="C508" s="374" t="s">
        <v>106</v>
      </c>
      <c r="D508" s="457">
        <f>SUM(L508:U508)</f>
        <v>556913</v>
      </c>
      <c r="J508" s="338"/>
      <c r="K508" s="398"/>
      <c r="L508" s="398">
        <v>142825</v>
      </c>
      <c r="M508" s="398">
        <v>373844</v>
      </c>
      <c r="N508" s="398">
        <v>40244</v>
      </c>
      <c r="O508" s="398"/>
      <c r="P508" s="398"/>
      <c r="Q508" s="398"/>
      <c r="R508" s="398"/>
      <c r="S508" s="398"/>
      <c r="T508" s="398"/>
      <c r="U508" s="398"/>
    </row>
    <row r="509" spans="1:21" s="376" customFormat="1" ht="15" customHeight="1" outlineLevel="1" x14ac:dyDescent="0.25">
      <c r="A509" s="374"/>
      <c r="B509" s="454" t="s">
        <v>757</v>
      </c>
      <c r="C509" s="374" t="s">
        <v>106</v>
      </c>
      <c r="D509" s="457">
        <f>SUM(L509:U509)</f>
        <v>2649559.6</v>
      </c>
      <c r="J509" s="338"/>
      <c r="K509" s="398"/>
      <c r="L509" s="398">
        <v>92653.6</v>
      </c>
      <c r="M509" s="398">
        <v>1887602</v>
      </c>
      <c r="N509" s="398">
        <v>669304</v>
      </c>
      <c r="O509" s="398"/>
      <c r="P509" s="398"/>
      <c r="Q509" s="398"/>
      <c r="R509" s="398"/>
      <c r="S509" s="398"/>
      <c r="T509" s="398"/>
      <c r="U509" s="398"/>
    </row>
    <row r="510" spans="1:21" s="376" customFormat="1" ht="15" customHeight="1" outlineLevel="1" x14ac:dyDescent="0.25">
      <c r="A510" s="374"/>
      <c r="B510" s="376" t="s">
        <v>750</v>
      </c>
      <c r="C510" s="374" t="s">
        <v>6</v>
      </c>
      <c r="D510" s="453">
        <f>NPV($D$31,L510:U510)+K510</f>
        <v>715227116.41786551</v>
      </c>
      <c r="J510" s="338"/>
      <c r="K510" s="452">
        <f>IF(OR(K503="N/A",K508=0),0,K508*K$29)</f>
        <v>0</v>
      </c>
      <c r="L510" s="452">
        <f>IF(OR(L503="N/A"),0,SUM(L508,L509)*L$29)</f>
        <v>69631822.959555</v>
      </c>
      <c r="M510" s="452">
        <f>IF(OR(M503="N/A"),0,SUM(M508,M509)*M$29)</f>
        <v>692520840.58475912</v>
      </c>
      <c r="N510" s="452">
        <f>IF(OR(N503="N/A"),0,SUM(N508,N509)*N$29)</f>
        <v>225018751.8829309</v>
      </c>
      <c r="O510" s="452">
        <f>IF(OR(O503="N/A"),0,SUM(O508,O509)*O$29)</f>
        <v>0</v>
      </c>
      <c r="P510" s="452">
        <f>IF(OR(P503="N/A"),0,SUM(P508,P509)*P$29)</f>
        <v>0</v>
      </c>
      <c r="Q510" s="452">
        <f>IF(OR(Q503="N/A",Q508=0),0,SUM(Q508,Q509)*Q$29)</f>
        <v>0</v>
      </c>
      <c r="R510" s="452">
        <f>IF(OR(R503="N/A",R508=0),0,SUM(R508,R509)*R$29)</f>
        <v>0</v>
      </c>
      <c r="S510" s="452">
        <f>IF(OR(S503="N/A",S508=0),0,SUM(S508,S509)*S$29)</f>
        <v>0</v>
      </c>
      <c r="T510" s="452">
        <f>IF(OR(T503="N/A",T508=0),0,T508*T$29)</f>
        <v>0</v>
      </c>
      <c r="U510" s="452">
        <f>IF(OR(U503="N/A",U508=0),0,U508*U$29)</f>
        <v>0</v>
      </c>
    </row>
    <row r="511" spans="1:21" s="376" customFormat="1" ht="15" customHeight="1" outlineLevel="1" x14ac:dyDescent="0.25">
      <c r="A511" s="374"/>
      <c r="B511" s="376" t="s">
        <v>751</v>
      </c>
      <c r="C511" s="374"/>
      <c r="D511" s="455">
        <f>IFERROR(ROUND(IF(D510/D507=0,0,D510/D507),2),0)</f>
        <v>0.89</v>
      </c>
      <c r="J511" s="338"/>
      <c r="K511" s="455">
        <f>IFERROR(ROUND(IF(K510/K507=0,0,K510/K507),2),0)</f>
        <v>0</v>
      </c>
      <c r="L511" s="455"/>
      <c r="M511" s="455"/>
      <c r="N511" s="455"/>
      <c r="O511" s="455"/>
      <c r="P511" s="455"/>
      <c r="Q511" s="455">
        <f>IFERROR(ROUND(IF(Q510/Q507=0,0,Q510/Q507),2),0)</f>
        <v>0</v>
      </c>
      <c r="R511" s="455">
        <f>IFERROR(ROUND(IF(R510/R507=0,0,R510/R507),2),0)</f>
        <v>0</v>
      </c>
      <c r="S511" s="455">
        <f>IFERROR(ROUND(IF(S510/S507=0,0,S510/S507),2),0)</f>
        <v>0</v>
      </c>
      <c r="T511" s="455">
        <f>IFERROR(ROUND(IF(T510/T507=0,0,T510/T507),2),0)</f>
        <v>0</v>
      </c>
      <c r="U511" s="455">
        <f>IFERROR(ROUND(IF(U510/U507=0,0,U510/U507),2),0)</f>
        <v>0</v>
      </c>
    </row>
    <row r="512" spans="1:21" s="326" customFormat="1" ht="12" customHeight="1" x14ac:dyDescent="0.25">
      <c r="A512" s="316"/>
      <c r="C512" s="316"/>
      <c r="D512" s="316"/>
      <c r="K512" s="379"/>
      <c r="L512" s="379"/>
      <c r="M512" s="379"/>
      <c r="N512" s="379"/>
      <c r="O512" s="379"/>
      <c r="P512" s="379"/>
      <c r="Q512" s="379"/>
      <c r="R512" s="379"/>
      <c r="S512" s="379"/>
      <c r="T512" s="379"/>
      <c r="U512" s="379"/>
    </row>
    <row r="513" spans="1:21" s="357" customFormat="1" ht="15.75" x14ac:dyDescent="0.25">
      <c r="A513" s="356">
        <v>3.2</v>
      </c>
      <c r="B513" s="317" t="s">
        <v>91</v>
      </c>
      <c r="C513" s="317"/>
      <c r="D513" s="317"/>
      <c r="E513" s="317"/>
      <c r="F513" s="317"/>
      <c r="G513" s="317"/>
      <c r="H513" s="317"/>
      <c r="I513" s="317"/>
      <c r="J513" s="338"/>
      <c r="K513" s="317"/>
      <c r="L513" s="317"/>
      <c r="M513" s="317"/>
      <c r="N513" s="317"/>
      <c r="O513" s="317"/>
      <c r="P513" s="317"/>
      <c r="Q513" s="317"/>
      <c r="R513" s="317"/>
      <c r="S513" s="317"/>
      <c r="T513" s="317"/>
      <c r="U513" s="317"/>
    </row>
    <row r="514" spans="1:21" s="364" customFormat="1" ht="15" customHeight="1" outlineLevel="1" x14ac:dyDescent="0.25">
      <c r="A514" s="394"/>
      <c r="B514" s="364" t="s">
        <v>124</v>
      </c>
      <c r="C514" s="394" t="s">
        <v>11</v>
      </c>
      <c r="D514" s="444">
        <f>COUNT(L514:U514)</f>
        <v>3</v>
      </c>
      <c r="J514" s="338"/>
      <c r="K514" s="365">
        <v>0</v>
      </c>
      <c r="L514" s="443">
        <f>IF(L517="N/A","",K514+1)</f>
        <v>1</v>
      </c>
      <c r="M514" s="443">
        <f t="shared" ref="M514:U514" si="227">IF(M517="N/A","",L514+1)</f>
        <v>2</v>
      </c>
      <c r="N514" s="443">
        <f t="shared" si="227"/>
        <v>3</v>
      </c>
      <c r="O514" s="443" t="str">
        <f t="shared" si="227"/>
        <v/>
      </c>
      <c r="P514" s="443" t="str">
        <f t="shared" si="227"/>
        <v/>
      </c>
      <c r="Q514" s="443" t="str">
        <f t="shared" si="227"/>
        <v/>
      </c>
      <c r="R514" s="443" t="str">
        <f t="shared" si="227"/>
        <v/>
      </c>
      <c r="S514" s="443" t="str">
        <f t="shared" si="227"/>
        <v/>
      </c>
      <c r="T514" s="443" t="str">
        <f t="shared" si="227"/>
        <v/>
      </c>
      <c r="U514" s="443" t="str">
        <f t="shared" si="227"/>
        <v/>
      </c>
    </row>
    <row r="515" spans="1:21" s="326" customFormat="1" ht="12" customHeight="1" outlineLevel="1" x14ac:dyDescent="0.25">
      <c r="A515" s="316"/>
      <c r="B515" s="326" t="s">
        <v>154</v>
      </c>
      <c r="C515" s="316" t="s">
        <v>20</v>
      </c>
      <c r="D515" s="405">
        <v>18</v>
      </c>
      <c r="E515" s="445" t="str">
        <f>IF($D515&gt;SUM(L515:U515),"NO","SI")</f>
        <v>SI</v>
      </c>
      <c r="J515" s="338"/>
      <c r="K515" s="442">
        <f t="shared" ref="K515:U515" si="228">K498</f>
        <v>0</v>
      </c>
      <c r="L515" s="442">
        <f>L516</f>
        <v>6</v>
      </c>
      <c r="M515" s="442">
        <f>M516</f>
        <v>6</v>
      </c>
      <c r="N515" s="442">
        <f>N516</f>
        <v>6</v>
      </c>
      <c r="O515" s="442">
        <f>O516</f>
        <v>0</v>
      </c>
      <c r="P515" s="442">
        <f>P516</f>
        <v>0</v>
      </c>
      <c r="Q515" s="442">
        <f t="shared" si="228"/>
        <v>0</v>
      </c>
      <c r="R515" s="442">
        <f t="shared" si="228"/>
        <v>0</v>
      </c>
      <c r="S515" s="442">
        <f t="shared" si="228"/>
        <v>0</v>
      </c>
      <c r="T515" s="442">
        <f t="shared" si="228"/>
        <v>0</v>
      </c>
      <c r="U515" s="442">
        <f t="shared" si="228"/>
        <v>0</v>
      </c>
    </row>
    <row r="516" spans="1:21" s="307" customFormat="1" ht="20.85" customHeight="1" outlineLevel="1" x14ac:dyDescent="0.25">
      <c r="A516" s="446" t="str">
        <f>VLOOKUP(B516,'C UNIT PROG TÉCNICOS'!$B$8:$H$108,7,FALSE)</f>
        <v>CAPEX</v>
      </c>
      <c r="B516" s="367" t="s">
        <v>43</v>
      </c>
      <c r="C516" s="304" t="s">
        <v>20</v>
      </c>
      <c r="D516" s="304" t="s">
        <v>19</v>
      </c>
      <c r="I516" s="368"/>
      <c r="J516" s="338"/>
      <c r="K516" s="460">
        <f t="shared" ref="K516:U516" si="229">K498</f>
        <v>0</v>
      </c>
      <c r="L516" s="460">
        <v>6</v>
      </c>
      <c r="M516" s="460">
        <v>6</v>
      </c>
      <c r="N516" s="460">
        <v>6</v>
      </c>
      <c r="O516" s="460">
        <v>0</v>
      </c>
      <c r="P516" s="460">
        <v>0</v>
      </c>
      <c r="Q516" s="460">
        <f t="shared" si="229"/>
        <v>0</v>
      </c>
      <c r="R516" s="460">
        <f t="shared" si="229"/>
        <v>0</v>
      </c>
      <c r="S516" s="460">
        <f t="shared" si="229"/>
        <v>0</v>
      </c>
      <c r="T516" s="460">
        <f t="shared" si="229"/>
        <v>0</v>
      </c>
      <c r="U516" s="460">
        <f t="shared" si="229"/>
        <v>0</v>
      </c>
    </row>
    <row r="517" spans="1:21" s="307" customFormat="1" ht="12" customHeight="1" outlineLevel="1" x14ac:dyDescent="0.25">
      <c r="A517" s="316"/>
      <c r="B517" s="307" t="s">
        <v>742</v>
      </c>
      <c r="D517" s="447" t="str">
        <f>IF(A516="CAPEX","Inversión",IF(A516="OPEX","Operación","I/O"))</f>
        <v>Inversión</v>
      </c>
      <c r="I517" s="370"/>
      <c r="J517" s="338"/>
      <c r="K517" s="371" t="s">
        <v>8</v>
      </c>
      <c r="L517" s="371" t="s">
        <v>8</v>
      </c>
      <c r="M517" s="371" t="s">
        <v>8</v>
      </c>
      <c r="N517" s="371" t="s">
        <v>8</v>
      </c>
      <c r="O517" s="371" t="s">
        <v>149</v>
      </c>
      <c r="P517" s="371" t="s">
        <v>149</v>
      </c>
      <c r="Q517" s="371" t="s">
        <v>149</v>
      </c>
      <c r="R517" s="371" t="s">
        <v>149</v>
      </c>
      <c r="S517" s="371" t="s">
        <v>149</v>
      </c>
      <c r="T517" s="371" t="s">
        <v>149</v>
      </c>
      <c r="U517" s="371" t="s">
        <v>149</v>
      </c>
    </row>
    <row r="518" spans="1:21" s="307" customFormat="1" ht="12" customHeight="1" outlineLevel="1" x14ac:dyDescent="0.25">
      <c r="A518" s="316"/>
      <c r="B518" s="307" t="s">
        <v>762</v>
      </c>
      <c r="C518" s="304"/>
      <c r="D518" s="304"/>
      <c r="J518" s="338"/>
      <c r="K518" s="448">
        <f>IF(K517="N/A",0,IF(K517="SI",0,SUM(IF($D517="Inversión",0,VLOOKUP($B516,'C UNIT PROG TÉCNICOS'!$B$8:$G$160,6,FALSE)*'EV PROG TÉCNICOS'!K516))))</f>
        <v>0</v>
      </c>
      <c r="L518" s="448">
        <f>IF(L517="N/A",0,IF(L517="SI",0,SUM(IF($D517="Inversión",0,VLOOKUP($B516,'C UNIT PROG TÉCNICOS'!$B$8:$G$160,6,FALSE)*'EV PROG TÉCNICOS'!L516))))</f>
        <v>0</v>
      </c>
      <c r="M518" s="448">
        <f>IF(M517="N/A",0,IF(M517="SI",0,SUM(IF($D517="Inversión",0,VLOOKUP($B516,'C UNIT PROG TÉCNICOS'!$B$8:$G$160,6,FALSE)*'EV PROG TÉCNICOS'!M516))))</f>
        <v>0</v>
      </c>
      <c r="N518" s="448">
        <f>IF(N517="N/A",0,IF(N517="SI",0,SUM(IF($D517="Inversión",0,VLOOKUP($B516,'C UNIT PROG TÉCNICOS'!$B$8:$G$160,6,FALSE)*'EV PROG TÉCNICOS'!N516))))</f>
        <v>0</v>
      </c>
      <c r="O518" s="448">
        <f>IF(O517="N/A",0,IF(O517="SI",0,SUM(IF($D517="Inversión",0,VLOOKUP($B516,'C UNIT PROG TÉCNICOS'!$B$8:$G$160,6,FALSE)*'EV PROG TÉCNICOS'!O516))))</f>
        <v>0</v>
      </c>
      <c r="P518" s="448">
        <f>IF(P517="N/A",0,IF(P517="SI",0,SUM(IF($D517="Inversión",0,VLOOKUP($B516,'C UNIT PROG TÉCNICOS'!$B$8:$G$160,6,FALSE)*'EV PROG TÉCNICOS'!P516))))</f>
        <v>0</v>
      </c>
      <c r="Q518" s="448">
        <f>IF(Q517="N/A",0,IF(Q517="SI",0,SUM(IF($D517="Inversión",0,VLOOKUP($B516,'C UNIT PROG TÉCNICOS'!$B$8:$G$160,6,FALSE)*'EV PROG TÉCNICOS'!Q516))))</f>
        <v>0</v>
      </c>
      <c r="R518" s="448">
        <f>IF(R517="N/A",0,IF(R517="SI",0,SUM(IF($D517="Inversión",0,VLOOKUP($B516,'C UNIT PROG TÉCNICOS'!$B$8:$G$160,6,FALSE)*'EV PROG TÉCNICOS'!R516))))</f>
        <v>0</v>
      </c>
      <c r="S518" s="448">
        <f>IF(S517="N/A",0,IF(S517="SI",0,SUM(IF($D517="Inversión",0,VLOOKUP($B516,'C UNIT PROG TÉCNICOS'!$B$8:$G$160,6,FALSE)*'EV PROG TÉCNICOS'!S516))))</f>
        <v>0</v>
      </c>
      <c r="T518" s="448">
        <f>IF(T517="N/A",0,IF(T517="SI",0,SUM(IF($D517="Inversión",0,VLOOKUP($B516,'C UNIT PROG TÉCNICOS'!$B$8:$G$160,6,FALSE)*'EV PROG TÉCNICOS'!T516))))</f>
        <v>0</v>
      </c>
      <c r="U518" s="448">
        <f>IF(U517="N/A",0,IF(U517="SI",0,SUM(IF($D517="Inversión",0,VLOOKUP($B516,'C UNIT PROG TÉCNICOS'!$B$8:$G$160,6,FALSE)*'EV PROG TÉCNICOS'!U516))))</f>
        <v>0</v>
      </c>
    </row>
    <row r="519" spans="1:21" s="307" customFormat="1" ht="12" customHeight="1" outlineLevel="1" x14ac:dyDescent="0.25">
      <c r="A519" s="316"/>
      <c r="B519" s="307" t="s">
        <v>763</v>
      </c>
      <c r="C519" s="304" t="s">
        <v>6</v>
      </c>
      <c r="D519" s="304"/>
      <c r="J519" s="338"/>
      <c r="K519" s="450">
        <f>IF(K517="N/A",0,IF(K517="SI",0,K$21*K518))</f>
        <v>0</v>
      </c>
      <c r="L519" s="450">
        <f>IF(L517="N/A",0,IF(L517="SI",0,L$21*L518))</f>
        <v>0</v>
      </c>
      <c r="M519" s="450">
        <f t="shared" ref="M519:U519" si="230">IF(M517="N/A",0,IF(M517="SI",0,M$21*M518))</f>
        <v>0</v>
      </c>
      <c r="N519" s="450">
        <f t="shared" si="230"/>
        <v>0</v>
      </c>
      <c r="O519" s="450">
        <f t="shared" si="230"/>
        <v>0</v>
      </c>
      <c r="P519" s="450">
        <f t="shared" si="230"/>
        <v>0</v>
      </c>
      <c r="Q519" s="450">
        <f t="shared" si="230"/>
        <v>0</v>
      </c>
      <c r="R519" s="450">
        <f t="shared" si="230"/>
        <v>0</v>
      </c>
      <c r="S519" s="450">
        <f t="shared" si="230"/>
        <v>0</v>
      </c>
      <c r="T519" s="450">
        <f t="shared" si="230"/>
        <v>0</v>
      </c>
      <c r="U519" s="450">
        <f t="shared" si="230"/>
        <v>0</v>
      </c>
    </row>
    <row r="520" spans="1:21" s="307" customFormat="1" ht="12" customHeight="1" outlineLevel="1" x14ac:dyDescent="0.25">
      <c r="A520" s="316"/>
      <c r="B520" s="307" t="s">
        <v>764</v>
      </c>
      <c r="C520" s="304" t="s">
        <v>6</v>
      </c>
      <c r="D520" s="304"/>
      <c r="J520" s="338"/>
      <c r="K520" s="450">
        <f>IF(K517="N/A",0,IF(K517="SI",0,IF(OR($D517="Inversión",$D517="I/O"),SUM(VLOOKUP($B516,'C UNIT PROG TÉCNICOS'!$B$8:$G$160,5,FALSE)*'EV PROG TÉCNICOS'!K516),0))*((1+$D$24)^(K$3-$K$3)))</f>
        <v>0</v>
      </c>
      <c r="L520" s="450">
        <f>IF(L517="N/A",0,IF(L517="SI",0,IF(OR($D517="Inversión",$D517="I/O"),SUM(VLOOKUP($B516,'C UNIT PROG TÉCNICOS'!$B$8:$G$160,5,FALSE)*'EV PROG TÉCNICOS'!L516),0))*((1+$D$24)^(L$3-$K$3)))</f>
        <v>253942895.75692549</v>
      </c>
      <c r="M520" s="450">
        <f>IF(M517="N/A",0,IF(M517="SI",0,IF(OR($D517="Inversión",$D517="I/O"),SUM(VLOOKUP($B516,'C UNIT PROG TÉCNICOS'!$B$8:$G$160,5,FALSE)*'EV PROG TÉCNICOS'!M516),0))*((1+$D$24)^(M$3-$K$3)))</f>
        <v>262982211.52228358</v>
      </c>
      <c r="N520" s="450">
        <f>IF(N517="N/A",0,IF(N517="SI",0,IF(OR($D517="Inversión",$D517="I/O"),SUM(VLOOKUP($B516,'C UNIT PROG TÉCNICOS'!$B$8:$G$160,5,FALSE)*'EV PROG TÉCNICOS'!N516),0))*((1+$D$24)^(N$3-$K$3)))</f>
        <v>272343289.5061211</v>
      </c>
      <c r="O520" s="450">
        <f>IF(O517="N/A",0,IF(O517="SI",0,IF(OR($D517="Inversión",$D517="I/O"),SUM(VLOOKUP($B516,'C UNIT PROG TÉCNICOS'!$B$8:$G$160,5,FALSE)*'EV PROG TÉCNICOS'!O516),0))*((1+$D$24)^(O$3-$K$3)))</f>
        <v>0</v>
      </c>
      <c r="P520" s="450">
        <f>IF(P517="N/A",0,IF(P517="SI",0,IF(OR($D517="Inversión",$D517="I/O"),SUM(VLOOKUP($B516,'C UNIT PROG TÉCNICOS'!$B$8:$G$160,5,FALSE)*'EV PROG TÉCNICOS'!P516),0))*((1+$D$24)^(P$3-$K$3)))</f>
        <v>0</v>
      </c>
      <c r="Q520" s="450">
        <f>IF(Q517="N/A",0,IF(Q517="SI",0,IF(OR($D517="Inversión",$D517="I/O"),SUM(VLOOKUP($B516,'C UNIT PROG TÉCNICOS'!$B$8:$G$160,5,FALSE)*'EV PROG TÉCNICOS'!Q516),0))*((1+$D$24)^(Q$3-$K$3)))</f>
        <v>0</v>
      </c>
      <c r="R520" s="450">
        <f>IF(R517="N/A",0,IF(R517="SI",0,IF(OR($D517="Inversión",$D517="I/O"),SUM(VLOOKUP($B516,'C UNIT PROG TÉCNICOS'!$B$8:$G$160,5,FALSE)*'EV PROG TÉCNICOS'!R516),0))*((1+$D$24)^(R$3-$K$3)))</f>
        <v>0</v>
      </c>
      <c r="S520" s="450">
        <f>IF(S517="N/A",0,IF(S517="SI",0,IF(OR($D517="Inversión",$D517="I/O"),SUM(VLOOKUP($B516,'C UNIT PROG TÉCNICOS'!$B$8:$G$160,5,FALSE)*'EV PROG TÉCNICOS'!S516),0))*((1+$D$24)^(S$3-$K$3)))</f>
        <v>0</v>
      </c>
      <c r="T520" s="450">
        <f>IF(T517="N/A",0,IF(T517="SI",0,IF(OR($D517="Inversión",$D517="I/O"),SUM(VLOOKUP($B516,'C UNIT PROG TÉCNICOS'!$B$8:$G$160,5,FALSE)*'EV PROG TÉCNICOS'!T516),0))*((1+$D$24)^(T$3-$K$3)))</f>
        <v>0</v>
      </c>
      <c r="U520" s="450">
        <f>IF(U517="N/A",0,IF(U517="SI",0,IF(OR($D517="Inversión",$D517="I/O"),SUM(VLOOKUP($B516,'C UNIT PROG TÉCNICOS'!$B$8:$G$160,5,FALSE)*'EV PROG TÉCNICOS'!U516),0))*((1+$D$24)^(U$3-$K$3)))</f>
        <v>0</v>
      </c>
    </row>
    <row r="521" spans="1:21" s="376" customFormat="1" ht="15" outlineLevel="1" x14ac:dyDescent="0.25">
      <c r="A521" s="374"/>
      <c r="B521" s="454" t="str">
        <f>CONCATENATE("VNA  ",B513)</f>
        <v>VNA  Infraestructura para la gestión automática de presiones</v>
      </c>
      <c r="C521" s="374" t="s">
        <v>6</v>
      </c>
      <c r="D521" s="453">
        <f>NPV($D$31,L521:U521)+K521</f>
        <v>586141057.17415166</v>
      </c>
      <c r="J521" s="338"/>
      <c r="K521" s="452">
        <f>IF(K517="N/A",0,IF($D517="Operación",K519,K520))</f>
        <v>0</v>
      </c>
      <c r="L521" s="452">
        <f>IF(L517="N/A",,IF($D517="Operación",L519,L520))</f>
        <v>253942895.75692549</v>
      </c>
      <c r="M521" s="452">
        <f t="shared" ref="M521:U521" si="231">IF(M517="N/A",,IF($D517="Operación",M519,M520))</f>
        <v>262982211.52228358</v>
      </c>
      <c r="N521" s="452">
        <f t="shared" si="231"/>
        <v>272343289.5061211</v>
      </c>
      <c r="O521" s="452">
        <f t="shared" si="231"/>
        <v>0</v>
      </c>
      <c r="P521" s="452">
        <f t="shared" si="231"/>
        <v>0</v>
      </c>
      <c r="Q521" s="452">
        <f t="shared" si="231"/>
        <v>0</v>
      </c>
      <c r="R521" s="452">
        <f t="shared" si="231"/>
        <v>0</v>
      </c>
      <c r="S521" s="452">
        <f t="shared" si="231"/>
        <v>0</v>
      </c>
      <c r="T521" s="452">
        <f t="shared" si="231"/>
        <v>0</v>
      </c>
      <c r="U521" s="452">
        <f t="shared" si="231"/>
        <v>0</v>
      </c>
    </row>
    <row r="522" spans="1:21" s="376" customFormat="1" ht="15" outlineLevel="1" x14ac:dyDescent="0.25">
      <c r="A522" s="374"/>
      <c r="B522" s="454" t="str">
        <f>CONCATENATE("Volumen de agua recuperado ",B513)</f>
        <v>Volumen de agua recuperado Infraestructura para la gestión automática de presiones</v>
      </c>
      <c r="C522" s="374" t="s">
        <v>106</v>
      </c>
      <c r="D522" s="457">
        <f>SUM(L522:U522)</f>
        <v>1765055.3</v>
      </c>
      <c r="K522" s="396"/>
      <c r="L522" s="378">
        <v>283626.2</v>
      </c>
      <c r="M522" s="378">
        <v>442935.3</v>
      </c>
      <c r="N522" s="378">
        <v>1038493.8</v>
      </c>
      <c r="O522" s="378"/>
      <c r="P522" s="378"/>
      <c r="Q522" s="378"/>
      <c r="R522" s="378"/>
      <c r="S522" s="378"/>
      <c r="T522" s="378"/>
      <c r="U522" s="378"/>
    </row>
    <row r="523" spans="1:21" s="376" customFormat="1" ht="15" customHeight="1" outlineLevel="1" x14ac:dyDescent="0.25">
      <c r="A523" s="374"/>
      <c r="B523" s="376" t="s">
        <v>750</v>
      </c>
      <c r="C523" s="374" t="s">
        <v>6</v>
      </c>
      <c r="D523" s="453">
        <f>NPV($D$31,L523:U523)+K523</f>
        <v>381941953.30181348</v>
      </c>
      <c r="K523" s="452">
        <f>IF(OR(K517="N/A",K522=0),0,K522*K$29)</f>
        <v>0</v>
      </c>
      <c r="L523" s="452">
        <f>IF(OR(L517="N/A",L522=0),0,L522*L$29)</f>
        <v>83869232.045253098</v>
      </c>
      <c r="M523" s="452">
        <f t="shared" ref="M523:U523" si="232">IF(OR(M517="N/A",M522=0),0,M522*M$29)</f>
        <v>135639730.63281745</v>
      </c>
      <c r="N523" s="452">
        <f>IF(OR(N517="N/A",N522=0),0,N522*N$29)</f>
        <v>329337238.23358262</v>
      </c>
      <c r="O523" s="452">
        <f t="shared" si="232"/>
        <v>0</v>
      </c>
      <c r="P523" s="452">
        <f t="shared" si="232"/>
        <v>0</v>
      </c>
      <c r="Q523" s="452">
        <f t="shared" si="232"/>
        <v>0</v>
      </c>
      <c r="R523" s="452">
        <f t="shared" si="232"/>
        <v>0</v>
      </c>
      <c r="S523" s="452">
        <f t="shared" si="232"/>
        <v>0</v>
      </c>
      <c r="T523" s="452">
        <f t="shared" si="232"/>
        <v>0</v>
      </c>
      <c r="U523" s="452">
        <f t="shared" si="232"/>
        <v>0</v>
      </c>
    </row>
    <row r="524" spans="1:21" s="376" customFormat="1" ht="15" customHeight="1" outlineLevel="1" x14ac:dyDescent="0.25">
      <c r="A524" s="374"/>
      <c r="B524" s="376" t="s">
        <v>751</v>
      </c>
      <c r="C524" s="374"/>
      <c r="D524" s="455">
        <f>IFERROR(ROUND(IF(D523/D521=0,0,D523/D521),2),0)</f>
        <v>0.65</v>
      </c>
      <c r="K524" s="455">
        <f>IFERROR(ROUND(IF(K523/K521=0,0,K523/K521),2),0)</f>
        <v>0</v>
      </c>
      <c r="L524" s="455">
        <f>IFERROR(ROUND(IF(L523/L521=0,0,L523/L521),2),0)</f>
        <v>0.33</v>
      </c>
      <c r="M524" s="455">
        <f t="shared" ref="M524:U524" si="233">IFERROR(ROUND(IF(M523/M521=0,0,M523/M521),2),0)</f>
        <v>0.52</v>
      </c>
      <c r="N524" s="455">
        <f>IFERROR(ROUND(IF(N523/N521=0,0,N523/N521),2),0)</f>
        <v>1.21</v>
      </c>
      <c r="O524" s="455">
        <f t="shared" si="233"/>
        <v>0</v>
      </c>
      <c r="P524" s="455">
        <f t="shared" si="233"/>
        <v>0</v>
      </c>
      <c r="Q524" s="455">
        <f t="shared" si="233"/>
        <v>0</v>
      </c>
      <c r="R524" s="455">
        <f t="shared" si="233"/>
        <v>0</v>
      </c>
      <c r="S524" s="455">
        <f t="shared" si="233"/>
        <v>0</v>
      </c>
      <c r="T524" s="455">
        <f t="shared" si="233"/>
        <v>0</v>
      </c>
      <c r="U524" s="455">
        <f t="shared" si="233"/>
        <v>0</v>
      </c>
    </row>
    <row r="526" spans="1:21" s="357" customFormat="1" ht="15.75" x14ac:dyDescent="0.25">
      <c r="A526" s="356">
        <v>3.3</v>
      </c>
      <c r="B526" s="317" t="s">
        <v>92</v>
      </c>
      <c r="C526" s="317"/>
      <c r="D526" s="317"/>
      <c r="E526" s="317"/>
      <c r="F526" s="317"/>
      <c r="G526" s="317"/>
      <c r="H526" s="317"/>
      <c r="I526" s="317"/>
      <c r="J526" s="317"/>
      <c r="K526" s="317"/>
      <c r="L526" s="317"/>
      <c r="M526" s="317"/>
      <c r="N526" s="317"/>
      <c r="O526" s="317"/>
      <c r="P526" s="317"/>
      <c r="Q526" s="317"/>
      <c r="R526" s="317"/>
      <c r="S526" s="317"/>
      <c r="T526" s="317"/>
      <c r="U526" s="317"/>
    </row>
    <row r="527" spans="1:21" s="364" customFormat="1" ht="15" customHeight="1" outlineLevel="1" x14ac:dyDescent="0.25">
      <c r="A527" s="399" t="s">
        <v>155</v>
      </c>
      <c r="B527" s="400" t="s">
        <v>156</v>
      </c>
      <c r="C527" s="394"/>
      <c r="D527" s="363"/>
      <c r="K527" s="365"/>
      <c r="L527" s="365"/>
      <c r="M527" s="365"/>
      <c r="N527" s="365"/>
      <c r="O527" s="365"/>
      <c r="P527" s="365"/>
      <c r="Q527" s="365"/>
      <c r="R527" s="365"/>
      <c r="S527" s="365"/>
      <c r="T527" s="365"/>
      <c r="U527" s="365"/>
    </row>
    <row r="528" spans="1:21" s="364" customFormat="1" ht="15" customHeight="1" outlineLevel="1" x14ac:dyDescent="0.25">
      <c r="A528" s="394"/>
      <c r="B528" s="364" t="s">
        <v>124</v>
      </c>
      <c r="C528" s="394" t="s">
        <v>11</v>
      </c>
      <c r="D528" s="397">
        <v>5</v>
      </c>
      <c r="J528" s="338"/>
      <c r="K528" s="365">
        <v>0</v>
      </c>
      <c r="L528" s="443">
        <f>IF(L535="N/A","",K528+1)</f>
        <v>1</v>
      </c>
      <c r="M528" s="443">
        <f t="shared" ref="M528:U528" si="234">IF(M535="N/A","",L528+1)</f>
        <v>2</v>
      </c>
      <c r="N528" s="443">
        <f>IF(N535="N/A","",M528+1)</f>
        <v>3</v>
      </c>
      <c r="O528" s="443">
        <f>IF(O535="N/A","",N528+1)</f>
        <v>4</v>
      </c>
      <c r="P528" s="443">
        <f>IF(P535="N/A","",O528+1)</f>
        <v>5</v>
      </c>
      <c r="Q528" s="443" t="str">
        <f t="shared" si="234"/>
        <v/>
      </c>
      <c r="R528" s="443" t="str">
        <f t="shared" si="234"/>
        <v/>
      </c>
      <c r="S528" s="443" t="str">
        <f t="shared" si="234"/>
        <v/>
      </c>
      <c r="T528" s="443" t="str">
        <f t="shared" si="234"/>
        <v/>
      </c>
      <c r="U528" s="443" t="str">
        <f t="shared" si="234"/>
        <v/>
      </c>
    </row>
    <row r="529" spans="1:22" s="364" customFormat="1" ht="12" customHeight="1" outlineLevel="1" x14ac:dyDescent="0.25">
      <c r="A529" s="401"/>
      <c r="B529" s="307" t="s">
        <v>157</v>
      </c>
      <c r="C529" s="304" t="s">
        <v>20</v>
      </c>
      <c r="D529" s="442">
        <f>D530+D531</f>
        <v>153</v>
      </c>
      <c r="J529" s="338"/>
      <c r="K529" s="442">
        <f>$D529</f>
        <v>153</v>
      </c>
      <c r="L529" s="442">
        <f>IF(L535="N/A",0,$D529)</f>
        <v>153</v>
      </c>
      <c r="M529" s="442">
        <f t="shared" ref="M529:U529" si="235">IF(M535="N/A",0,$D529)</f>
        <v>153</v>
      </c>
      <c r="N529" s="442">
        <f>IF(N535="N/A",0,$D529)</f>
        <v>153</v>
      </c>
      <c r="O529" s="442">
        <f>IF(O535="N/A",0,$D529)</f>
        <v>153</v>
      </c>
      <c r="P529" s="442">
        <f>IF(P535="N/A",0,$D529)</f>
        <v>153</v>
      </c>
      <c r="Q529" s="442">
        <f t="shared" si="235"/>
        <v>0</v>
      </c>
      <c r="R529" s="442">
        <f t="shared" si="235"/>
        <v>0</v>
      </c>
      <c r="S529" s="442">
        <f t="shared" si="235"/>
        <v>0</v>
      </c>
      <c r="T529" s="442">
        <f t="shared" si="235"/>
        <v>0</v>
      </c>
      <c r="U529" s="442">
        <f t="shared" si="235"/>
        <v>0</v>
      </c>
    </row>
    <row r="530" spans="1:22" s="364" customFormat="1" ht="15" outlineLevel="1" x14ac:dyDescent="0.25">
      <c r="A530" s="401"/>
      <c r="B530" s="307" t="s">
        <v>167</v>
      </c>
      <c r="C530" s="304" t="s">
        <v>20</v>
      </c>
      <c r="D530" s="362">
        <v>120</v>
      </c>
      <c r="J530" s="338"/>
      <c r="K530" s="439">
        <f>$D530</f>
        <v>120</v>
      </c>
      <c r="L530" s="439">
        <f>IF(IFERROR(K530+L532,0)&gt;$D$529,0,IFERROR(K530+L532,0))</f>
        <v>126</v>
      </c>
      <c r="M530" s="439">
        <f t="shared" ref="M530:U530" si="236">IF(IFERROR(L530+M532,0)&gt;$D$529,0,IFERROR(L530+M532,0))</f>
        <v>132</v>
      </c>
      <c r="N530" s="439">
        <f>IF(IFERROR(M530+N532,0)&gt;$D$529,0,IFERROR(M530+N532,0))</f>
        <v>140</v>
      </c>
      <c r="O530" s="439">
        <f>IF(IFERROR(N530+O532,0)&gt;$D$529,0,IFERROR(N530+O532,0))</f>
        <v>146</v>
      </c>
      <c r="P530" s="439">
        <f>IF(IFERROR(O530+P532,0)&gt;$D$529,0,IFERROR(O530+P532,0))</f>
        <v>153</v>
      </c>
      <c r="Q530" s="439"/>
      <c r="R530" s="439">
        <f t="shared" si="236"/>
        <v>0</v>
      </c>
      <c r="S530" s="439">
        <f t="shared" si="236"/>
        <v>0</v>
      </c>
      <c r="T530" s="439">
        <f t="shared" si="236"/>
        <v>0</v>
      </c>
      <c r="U530" s="439">
        <f t="shared" si="236"/>
        <v>0</v>
      </c>
      <c r="V530" s="342"/>
    </row>
    <row r="531" spans="1:22" s="364" customFormat="1" ht="12" customHeight="1" outlineLevel="1" x14ac:dyDescent="0.25">
      <c r="A531" s="401"/>
      <c r="B531" s="395" t="s">
        <v>227</v>
      </c>
      <c r="C531" s="304" t="s">
        <v>20</v>
      </c>
      <c r="D531" s="362">
        <v>33</v>
      </c>
      <c r="J531" s="338"/>
      <c r="K531" s="439">
        <f>$D531</f>
        <v>33</v>
      </c>
      <c r="L531" s="439">
        <f>IF(IFERROR((L529-L530),0)&lt;0,0,IFERROR(L529-L530,0))</f>
        <v>27</v>
      </c>
      <c r="M531" s="439">
        <f t="shared" ref="M531:U531" si="237">IF(IFERROR((M529-M530),0)&lt;0,0,IFERROR(M529-M530,0))</f>
        <v>21</v>
      </c>
      <c r="N531" s="439">
        <f>IF(IFERROR((N529-N530),0)&lt;0,0,IFERROR(N529-N530,0))</f>
        <v>13</v>
      </c>
      <c r="O531" s="439">
        <f>IF(IFERROR((O529-O530),0)&lt;0,0,IFERROR(O529-O530,0))</f>
        <v>7</v>
      </c>
      <c r="P531" s="439">
        <f>IF(IFERROR((P529-P530),0)&lt;0,0,IFERROR(P529-P530,0))</f>
        <v>0</v>
      </c>
      <c r="Q531" s="439"/>
      <c r="R531" s="439">
        <f t="shared" si="237"/>
        <v>0</v>
      </c>
      <c r="S531" s="439">
        <f t="shared" si="237"/>
        <v>0</v>
      </c>
      <c r="T531" s="439">
        <f t="shared" si="237"/>
        <v>0</v>
      </c>
      <c r="U531" s="439">
        <f t="shared" si="237"/>
        <v>0</v>
      </c>
    </row>
    <row r="532" spans="1:22" s="326" customFormat="1" ht="12" customHeight="1" outlineLevel="1" x14ac:dyDescent="0.25">
      <c r="A532" s="316"/>
      <c r="B532" s="326" t="s">
        <v>158</v>
      </c>
      <c r="C532" s="316" t="s">
        <v>20</v>
      </c>
      <c r="D532" s="445" t="str">
        <f>IF(D531&lt;&gt;SUM(L532:U532),"NO","SI")</f>
        <v>SI</v>
      </c>
      <c r="J532" s="338"/>
      <c r="K532" s="442">
        <f>IF(OR(J531=0,J531=""),0,IF(OR(K533&lt;&gt;"",K534&lt;&gt;""),SUM(K533),IF(J531&lt;ROUNDDOWN($D531/$D528,0),J531,ROUNDDOWN($D531/$D528,0))))</f>
        <v>0</v>
      </c>
      <c r="L532" s="442">
        <f>L534</f>
        <v>6</v>
      </c>
      <c r="M532" s="442">
        <f>M534</f>
        <v>6</v>
      </c>
      <c r="N532" s="442">
        <f>N534</f>
        <v>8</v>
      </c>
      <c r="O532" s="442">
        <f>O534</f>
        <v>6</v>
      </c>
      <c r="P532" s="442">
        <f>P534</f>
        <v>7</v>
      </c>
      <c r="Q532" s="442"/>
      <c r="R532" s="442" t="str">
        <f>IF(OR(Q531=0,Q531=""),"",IF(OR(R533&lt;&gt;"",R534&lt;&gt;""),SUM(R533),IF(Q531&lt;ROUNDDOWN($D531/$D528,0),Q531,ROUNDDOWN($D531/$D528,0))))</f>
        <v/>
      </c>
      <c r="S532" s="442" t="str">
        <f>IF(OR(R531=0,R531=""),"",IF(OR(S533&lt;&gt;"",S534&lt;&gt;""),SUM(S533),IF(R531&lt;ROUNDDOWN($D531/$D528,0),R531,ROUNDDOWN($D531/$D528,0))))</f>
        <v/>
      </c>
      <c r="T532" s="442" t="str">
        <f>IF(OR(S531=0,S531=""),"",IF(OR(T533&lt;&gt;"",T534&lt;&gt;""),SUM(T533),IF(S531&lt;ROUNDDOWN($D531/$D528,0),S531,ROUNDDOWN($D531/$D528,0))))</f>
        <v/>
      </c>
      <c r="U532" s="442" t="str">
        <f>IF(OR(T531=0,T531=""),"",IF(OR(U533&lt;&gt;"",U534&lt;&gt;""),SUM(U533),IF(T531&lt;ROUNDDOWN($D531/$D528,0),T531,ROUNDDOWN($D531/$D528,0))))</f>
        <v/>
      </c>
    </row>
    <row r="533" spans="1:22" s="307" customFormat="1" ht="25.35" customHeight="1" outlineLevel="1" x14ac:dyDescent="0.25">
      <c r="A533" s="446" t="str">
        <f>VLOOKUP(B533,'C UNIT PROG TÉCNICOS'!$B$8:$H$108,7,FALSE)</f>
        <v>CAPEX</v>
      </c>
      <c r="B533" s="367" t="s">
        <v>44</v>
      </c>
      <c r="C533" s="304" t="s">
        <v>20</v>
      </c>
      <c r="D533" s="304" t="s">
        <v>19</v>
      </c>
      <c r="I533" s="368"/>
      <c r="J533" s="338"/>
      <c r="K533" s="369">
        <v>0</v>
      </c>
      <c r="L533" s="369">
        <v>6</v>
      </c>
      <c r="M533" s="369">
        <v>6</v>
      </c>
      <c r="N533" s="369">
        <v>8</v>
      </c>
      <c r="O533" s="369">
        <v>6</v>
      </c>
      <c r="P533" s="369">
        <v>7</v>
      </c>
      <c r="Q533" s="369"/>
      <c r="R533" s="369"/>
      <c r="S533" s="369"/>
      <c r="T533" s="369"/>
      <c r="U533" s="369"/>
    </row>
    <row r="534" spans="1:22" s="307" customFormat="1" ht="25.35" customHeight="1" outlineLevel="1" x14ac:dyDescent="0.25">
      <c r="A534" s="446" t="str">
        <f>VLOOKUP(B534,'C UNIT PROG TÉCNICOS'!$B$8:$H$108,7,FALSE)</f>
        <v>CAPEX</v>
      </c>
      <c r="B534" s="367" t="s">
        <v>45</v>
      </c>
      <c r="C534" s="304" t="s">
        <v>20</v>
      </c>
      <c r="D534" s="304" t="s">
        <v>19</v>
      </c>
      <c r="I534" s="368"/>
      <c r="J534" s="338"/>
      <c r="K534" s="369">
        <v>0</v>
      </c>
      <c r="L534" s="369">
        <v>6</v>
      </c>
      <c r="M534" s="369">
        <v>6</v>
      </c>
      <c r="N534" s="369">
        <v>8</v>
      </c>
      <c r="O534" s="369">
        <v>6</v>
      </c>
      <c r="P534" s="369">
        <v>7</v>
      </c>
      <c r="Q534" s="369"/>
      <c r="R534" s="369"/>
      <c r="S534" s="461"/>
      <c r="T534" s="461"/>
      <c r="U534" s="461"/>
    </row>
    <row r="535" spans="1:22" s="307" customFormat="1" ht="12" customHeight="1" outlineLevel="1" x14ac:dyDescent="0.25">
      <c r="A535" s="316"/>
      <c r="B535" s="307" t="s">
        <v>742</v>
      </c>
      <c r="D535" s="447" t="str">
        <f>IF(AND(A533="CAPEX",A534="CAPEX"),"Inversión",IF(AND(A533="OPEX",A534="OPEX"),"Operación","I/O"))</f>
        <v>Inversión</v>
      </c>
      <c r="I535" s="370"/>
      <c r="J535" s="338"/>
      <c r="K535" s="371" t="s">
        <v>8</v>
      </c>
      <c r="L535" s="371" t="s">
        <v>8</v>
      </c>
      <c r="M535" s="371" t="s">
        <v>8</v>
      </c>
      <c r="N535" s="371" t="s">
        <v>8</v>
      </c>
      <c r="O535" s="371" t="s">
        <v>8</v>
      </c>
      <c r="P535" s="371" t="s">
        <v>8</v>
      </c>
      <c r="Q535" s="371" t="s">
        <v>149</v>
      </c>
      <c r="R535" s="371" t="s">
        <v>149</v>
      </c>
      <c r="S535" s="371" t="s">
        <v>149</v>
      </c>
      <c r="T535" s="371" t="s">
        <v>149</v>
      </c>
      <c r="U535" s="371" t="s">
        <v>149</v>
      </c>
    </row>
    <row r="536" spans="1:22" s="307" customFormat="1" ht="12" customHeight="1" outlineLevel="1" x14ac:dyDescent="0.25">
      <c r="A536" s="316"/>
      <c r="B536" s="307" t="s">
        <v>762</v>
      </c>
      <c r="C536" s="304"/>
      <c r="D536" s="304"/>
      <c r="J536" s="338"/>
      <c r="K536" s="448">
        <f>IF(K535="N/A",0,IF(K535="SI",0,IF(OR($D535="I/O",$D535="Inversión"),0,SUM(VLOOKUP($B533,'C UNIT PROG TÉCNICOS'!$B$8:$G$160,6,FALSE)*'EV PROG TÉCNICOS'!K533,VLOOKUP($B534,'C UNIT PROG TÉCNICOS'!$B$8:$G$160,6,FALSE)*'EV PROG TÉCNICOS'!K534))))</f>
        <v>0</v>
      </c>
      <c r="L536" s="448">
        <f>IF(L535="N/A",0,IF(L535="SI",0,IF(OR($D535="I/O",$D535="Inversión"),0,SUM(VLOOKUP($B533,'C UNIT PROG TÉCNICOS'!$B$8:$G$160,6,FALSE)*'EV PROG TÉCNICOS'!L533,VLOOKUP($B534,'C UNIT PROG TÉCNICOS'!$B$8:$G$160,6,FALSE)*'EV PROG TÉCNICOS'!L534))))</f>
        <v>0</v>
      </c>
      <c r="M536" s="448">
        <f>IF(M535="N/A",0,IF(M535="SI",0,IF(OR($D535="I/O",$D535="Inversión"),0,SUM(VLOOKUP($B533,'C UNIT PROG TÉCNICOS'!$B$8:$G$160,6,FALSE)*'EV PROG TÉCNICOS'!M533,VLOOKUP($B534,'C UNIT PROG TÉCNICOS'!$B$8:$G$160,6,FALSE)*'EV PROG TÉCNICOS'!M534))))</f>
        <v>0</v>
      </c>
      <c r="N536" s="448">
        <f>IF(N535="N/A",0,IF(N535="SI",0,IF(OR($D535="I/O",$D535="Inversión"),0,SUM(VLOOKUP($B533,'C UNIT PROG TÉCNICOS'!$B$8:$G$160,6,FALSE)*'EV PROG TÉCNICOS'!N533,VLOOKUP($B534,'C UNIT PROG TÉCNICOS'!$B$8:$G$160,6,FALSE)*'EV PROG TÉCNICOS'!N534))))</f>
        <v>0</v>
      </c>
      <c r="O536" s="448">
        <f>IF(O535="N/A",0,IF(O535="SI",0,IF(OR($D535="I/O",$D535="Inversión"),0,SUM(VLOOKUP($B533,'C UNIT PROG TÉCNICOS'!$B$8:$G$160,6,FALSE)*'EV PROG TÉCNICOS'!O533,VLOOKUP($B534,'C UNIT PROG TÉCNICOS'!$B$8:$G$160,6,FALSE)*'EV PROG TÉCNICOS'!O534))))</f>
        <v>0</v>
      </c>
      <c r="P536" s="448">
        <f>IF(P535="N/A",0,IF(P535="SI",0,IF(OR($D535="I/O",$D535="Inversión"),0,SUM(VLOOKUP($B533,'C UNIT PROG TÉCNICOS'!$B$8:$G$160,6,FALSE)*'EV PROG TÉCNICOS'!P533,VLOOKUP($B534,'C UNIT PROG TÉCNICOS'!$B$8:$G$160,6,FALSE)*'EV PROG TÉCNICOS'!P534))))</f>
        <v>0</v>
      </c>
      <c r="Q536" s="448">
        <f>IF(Q535="N/A",0,IF(Q535="SI",0,IF(OR($D535="I/O",$D535="Inversión"),0,SUM(VLOOKUP($B533,'C UNIT PROG TÉCNICOS'!$B$8:$G$160,6,FALSE)*'EV PROG TÉCNICOS'!Q533,VLOOKUP($B534,'C UNIT PROG TÉCNICOS'!$B$8:$G$160,6,FALSE)*'EV PROG TÉCNICOS'!Q534))))</f>
        <v>0</v>
      </c>
      <c r="R536" s="448">
        <f>IF(R535="N/A",0,IF(R535="SI",0,IF(OR($D535="I/O",$D535="Inversión"),0,SUM(VLOOKUP($B533,'C UNIT PROG TÉCNICOS'!$B$8:$G$160,6,FALSE)*'EV PROG TÉCNICOS'!R533,VLOOKUP($B534,'C UNIT PROG TÉCNICOS'!$B$8:$G$160,6,FALSE)*'EV PROG TÉCNICOS'!R534))))</f>
        <v>0</v>
      </c>
      <c r="S536" s="448">
        <f>IF(S535="N/A",0,IF(S535="SI",0,IF(OR($D535="I/O",$D535="Inversión"),0,SUM(VLOOKUP($B533,'C UNIT PROG TÉCNICOS'!$B$8:$G$160,6,FALSE)*'EV PROG TÉCNICOS'!S533,VLOOKUP($B534,'C UNIT PROG TÉCNICOS'!$B$8:$G$160,6,FALSE)*'EV PROG TÉCNICOS'!S534))))</f>
        <v>0</v>
      </c>
      <c r="T536" s="448">
        <f>IF(T535="N/A",0,IF(T535="SI",0,IF(OR($D535="I/O",$D535="Inversión"),0,SUM(VLOOKUP($B533,'C UNIT PROG TÉCNICOS'!$B$8:$G$160,6,FALSE)*'EV PROG TÉCNICOS'!T533,VLOOKUP($B534,'C UNIT PROG TÉCNICOS'!$B$8:$G$160,6,FALSE)*'EV PROG TÉCNICOS'!T534))))</f>
        <v>0</v>
      </c>
      <c r="U536" s="448">
        <f>IF(U535="N/A",0,IF(U535="SI",0,IF(OR($D535="I/O",$D535="Inversión"),0,SUM(VLOOKUP($B533,'C UNIT PROG TÉCNICOS'!$B$8:$G$160,6,FALSE)*'EV PROG TÉCNICOS'!U533,VLOOKUP($B534,'C UNIT PROG TÉCNICOS'!$B$8:$G$160,6,FALSE)*'EV PROG TÉCNICOS'!U534))))</f>
        <v>0</v>
      </c>
    </row>
    <row r="537" spans="1:22" s="307" customFormat="1" ht="12" customHeight="1" outlineLevel="1" x14ac:dyDescent="0.25">
      <c r="A537" s="316"/>
      <c r="B537" s="307" t="s">
        <v>763</v>
      </c>
      <c r="C537" s="304" t="s">
        <v>6</v>
      </c>
      <c r="D537" s="304"/>
      <c r="J537" s="338"/>
      <c r="K537" s="450">
        <f>IF(K535="N/A",0,IF(K535="SI",0,K$21*K536))</f>
        <v>0</v>
      </c>
      <c r="L537" s="450">
        <f>IF(L535="N/A",0,IF(L535="SI",0,L$21*L536))</f>
        <v>0</v>
      </c>
      <c r="M537" s="450">
        <f t="shared" ref="M537:U537" si="238">IF(M535="N/A",0,IF(M535="SI",0,M$21*M536))</f>
        <v>0</v>
      </c>
      <c r="N537" s="450">
        <f>IF(N535="N/A",0,IF(N535="SI",0,N$21*N536))</f>
        <v>0</v>
      </c>
      <c r="O537" s="450">
        <f>IF(O535="N/A",0,IF(O535="SI",0,O$21*O536))</f>
        <v>0</v>
      </c>
      <c r="P537" s="450">
        <f t="shared" si="238"/>
        <v>0</v>
      </c>
      <c r="Q537" s="450">
        <f t="shared" si="238"/>
        <v>0</v>
      </c>
      <c r="R537" s="450">
        <f t="shared" si="238"/>
        <v>0</v>
      </c>
      <c r="S537" s="450">
        <f t="shared" si="238"/>
        <v>0</v>
      </c>
      <c r="T537" s="450">
        <f t="shared" si="238"/>
        <v>0</v>
      </c>
      <c r="U537" s="450">
        <f t="shared" si="238"/>
        <v>0</v>
      </c>
    </row>
    <row r="538" spans="1:22" s="307" customFormat="1" ht="12" customHeight="1" outlineLevel="1" x14ac:dyDescent="0.25">
      <c r="A538" s="316"/>
      <c r="B538" s="307" t="s">
        <v>764</v>
      </c>
      <c r="C538" s="304" t="s">
        <v>6</v>
      </c>
      <c r="D538" s="304"/>
      <c r="J538" s="338"/>
      <c r="K538" s="450">
        <f>IF(K535="N/A",0,IF(K535="SI",0,IF(OR($D535="Inversión",$D535="I/O"),SUM(VLOOKUP($B533,'C UNIT PROG TÉCNICOS'!$B$8:$G$160,5,FALSE)*'EV PROG TÉCNICOS'!K533,VLOOKUP($B534,'C UNIT PROG TÉCNICOS'!$B$8:$G$160,5,FALSE)*'EV PROG TÉCNICOS'!K534))))</f>
        <v>0</v>
      </c>
      <c r="L538" s="450">
        <f>IF(L535="N/A",0,IF(L535="SI",0,IF(OR($D535="Inversión",$D535="I/O"),SUM(VLOOKUP($B533,'C UNIT PROG TÉCNICOS'!$B$8:$G$160,5,FALSE)*'EV PROG TÉCNICOS'!L533,VLOOKUP($B534,'C UNIT PROG TÉCNICOS'!$B$8:$G$160,5,FALSE)*'EV PROG TÉCNICOS'!L534))*((1+$D$24)^(L$3-$K$3))))</f>
        <v>74593766.738105506</v>
      </c>
      <c r="M538" s="450">
        <f>IF(M535="N/A",0,IF(M535="SI",0,IF(OR($D535="Inversión",$D535="I/O"),SUM(VLOOKUP($B533,'C UNIT PROG TÉCNICOS'!$B$8:$G$160,5,FALSE)*'EV PROG TÉCNICOS'!M533,VLOOKUP($B534,'C UNIT PROG TÉCNICOS'!$B$8:$G$160,5,FALSE)*'EV PROG TÉCNICOS'!M534))*((1+$D$24)^(M$3-$K$3))))</f>
        <v>77248996.015787765</v>
      </c>
      <c r="N538" s="450">
        <f>IF(N535="N/A",0,IF(N535="SI",0,IF(OR($D535="Inversión",$D535="I/O"),SUM(VLOOKUP($B533,'C UNIT PROG TÉCNICOS'!$B$8:$G$160,5,FALSE)*'EV PROG TÉCNICOS'!N533,VLOOKUP($B534,'C UNIT PROG TÉCNICOS'!$B$8:$G$160,5,FALSE)*'EV PROG TÉCNICOS'!N534))*((1+$D$24)^(N$3-$K$3))))</f>
        <v>106664987.28414172</v>
      </c>
      <c r="O538" s="450">
        <f>IF(O535="N/A",0,IF(O535="SI",0,IF(OR($D535="Inversión",$D535="I/O"),SUM(VLOOKUP($B533,'C UNIT PROG TÉCNICOS'!$B$8:$G$160,5,FALSE)*'EV PROG TÉCNICOS'!O533,VLOOKUP($B534,'C UNIT PROG TÉCNICOS'!$B$8:$G$160,5,FALSE)*'EV PROG TÉCNICOS'!O534))*((1+$D$24)^(O$3-$K$3))))</f>
        <v>82846364.428807348</v>
      </c>
      <c r="P538" s="450">
        <f>IF(P535="N/A",0,IF(P535="SI",0,IF(OR($D535="Inversión",$D535="I/O"),SUM(VLOOKUP($B533,'C UNIT PROG TÉCNICOS'!$B$8:$G$160,5,FALSE)*'EV PROG TÉCNICOS'!P533,VLOOKUP($B534,'C UNIT PROG TÉCNICOS'!$B$8:$G$160,5,FALSE)*'EV PROG TÉCNICOS'!P534))*((1+$D$24)^(P$3-$K$3))))</f>
        <v>100094577.35494485</v>
      </c>
      <c r="Q538" s="450">
        <f>IF(Q535="N/A",0,IF(Q535="SI",0,IF(OR($D535="Inversión",$D535="I/O"),SUM(VLOOKUP($B533,'C UNIT PROG TÉCNICOS'!$B$8:$G$160,5,FALSE)*'EV PROG TÉCNICOS'!Q533,VLOOKUP($B534,'C UNIT PROG TÉCNICOS'!$B$8:$G$160,5,FALSE)*'EV PROG TÉCNICOS'!Q534))*((1+$D$24)^(Q$3-$K$3))))</f>
        <v>0</v>
      </c>
      <c r="R538" s="450">
        <f>IF(R535="N/A",0,IF(R535="SI",0,IF(OR($D535="Inversión",$D535="I/O"),SUM(VLOOKUP($B533,'C UNIT PROG TÉCNICOS'!$B$8:$G$160,5,FALSE)*'EV PROG TÉCNICOS'!R533,VLOOKUP($B534,'C UNIT PROG TÉCNICOS'!$B$8:$G$160,5,FALSE)*'EV PROG TÉCNICOS'!R534))*((1+$D$24)^(R$3-$K$3))))</f>
        <v>0</v>
      </c>
      <c r="S538" s="450">
        <f>IF(S535="N/A",0,IF(S535="SI",0,IF(OR($D535="Inversión",$D535="I/O"),SUM(VLOOKUP($B533,'C UNIT PROG TÉCNICOS'!$B$8:$G$160,5,FALSE)*'EV PROG TÉCNICOS'!S533,VLOOKUP($B534,'C UNIT PROG TÉCNICOS'!$B$8:$G$160,5,FALSE)*'EV PROG TÉCNICOS'!S534))*((1+$D$24)^(S$3-$K$3))))</f>
        <v>0</v>
      </c>
      <c r="T538" s="450">
        <f>IF(T535="N/A",0,IF(T535="SI",0,IF(OR($D535="Inversión",$D535="I/O"),SUM(VLOOKUP($B533,'C UNIT PROG TÉCNICOS'!$B$8:$G$160,5,FALSE)*'EV PROG TÉCNICOS'!T533,VLOOKUP($B534,'C UNIT PROG TÉCNICOS'!$B$8:$G$160,5,FALSE)*'EV PROG TÉCNICOS'!T534))*((1+$D$24)^(T$3-$K$3))))</f>
        <v>0</v>
      </c>
      <c r="U538" s="450">
        <f>IF(U535="N/A",0,IF(U535="SI",0,IF(OR($D535="Inversión",$D535="I/O"),SUM(VLOOKUP($B533,'C UNIT PROG TÉCNICOS'!$B$8:$G$160,5,FALSE)*'EV PROG TÉCNICOS'!U533,VLOOKUP($B534,'C UNIT PROG TÉCNICOS'!$B$8:$G$160,5,FALSE)*'EV PROG TÉCNICOS'!U534))*((1+$D$24)^(U$3-$K$3))))</f>
        <v>0</v>
      </c>
    </row>
    <row r="539" spans="1:22" s="376" customFormat="1" ht="15" outlineLevel="1" x14ac:dyDescent="0.25">
      <c r="A539" s="374"/>
      <c r="B539" s="454" t="str">
        <f>CONCATENATE("VNA  ",B527)</f>
        <v>VNA  Equipos de presión fijos faltantes en sectores hidráulicos</v>
      </c>
      <c r="C539" s="374" t="s">
        <v>6</v>
      </c>
      <c r="D539" s="453">
        <f>NPV($D$31,L539:U539)+K539</f>
        <v>281549988.57064581</v>
      </c>
      <c r="J539" s="338"/>
      <c r="K539" s="452">
        <f>IF(OR(K535="N/A",K536=0),0,IF($D535="Operación",K537,K538))</f>
        <v>0</v>
      </c>
      <c r="L539" s="452">
        <f>IF(L534="N/A",0,IF($D535="Operación",L537,L538))</f>
        <v>74593766.738105506</v>
      </c>
      <c r="M539" s="452">
        <f t="shared" ref="M539:U539" si="239">IF(M534="N/A",0,IF($D535="Operación",M537,M538))</f>
        <v>77248996.015787765</v>
      </c>
      <c r="N539" s="452">
        <f>IF(N534="N/A",0,IF($D535="Operación",N537,N538))</f>
        <v>106664987.28414172</v>
      </c>
      <c r="O539" s="452">
        <f>IF(O534="N/A",0,IF($D535="Operación",O537,O538))</f>
        <v>82846364.428807348</v>
      </c>
      <c r="P539" s="452">
        <f t="shared" si="239"/>
        <v>100094577.35494485</v>
      </c>
      <c r="Q539" s="452">
        <f t="shared" si="239"/>
        <v>0</v>
      </c>
      <c r="R539" s="452">
        <f t="shared" si="239"/>
        <v>0</v>
      </c>
      <c r="S539" s="452">
        <f t="shared" si="239"/>
        <v>0</v>
      </c>
      <c r="T539" s="452">
        <f t="shared" si="239"/>
        <v>0</v>
      </c>
      <c r="U539" s="452">
        <f t="shared" si="239"/>
        <v>0</v>
      </c>
    </row>
    <row r="540" spans="1:22" s="393" customFormat="1" ht="15" outlineLevel="1" x14ac:dyDescent="0.25">
      <c r="A540" s="374"/>
      <c r="B540" s="454" t="str">
        <f>CONCATENATE("Volumen de agua recuperado ",B527)</f>
        <v>Volumen de agua recuperado Equipos de presión fijos faltantes en sectores hidráulicos</v>
      </c>
      <c r="C540" s="374" t="s">
        <v>106</v>
      </c>
      <c r="D540" s="457">
        <f>SUM(L540:U540)</f>
        <v>0</v>
      </c>
      <c r="E540" s="376"/>
      <c r="F540" s="376"/>
      <c r="G540" s="376"/>
      <c r="H540" s="376"/>
      <c r="I540" s="376"/>
      <c r="J540" s="338"/>
      <c r="K540" s="396"/>
      <c r="L540" s="378"/>
      <c r="M540" s="378"/>
      <c r="N540" s="378"/>
      <c r="O540" s="378"/>
      <c r="P540" s="378"/>
      <c r="Q540" s="378"/>
      <c r="R540" s="378"/>
      <c r="S540" s="378"/>
      <c r="T540" s="378"/>
      <c r="U540" s="378"/>
    </row>
    <row r="541" spans="1:22" s="376" customFormat="1" ht="15" customHeight="1" outlineLevel="1" x14ac:dyDescent="0.25">
      <c r="A541" s="374"/>
      <c r="B541" s="376" t="s">
        <v>750</v>
      </c>
      <c r="C541" s="374" t="s">
        <v>6</v>
      </c>
      <c r="D541" s="453">
        <f>NPV($D$31,L541:U541)+K541</f>
        <v>0</v>
      </c>
      <c r="K541" s="452">
        <f>IF(OR(K535="N/A",K540=0),0,K540*K$29)</f>
        <v>0</v>
      </c>
      <c r="L541" s="452">
        <f>IF(OR(L535="N/A",L540=0),0,L540*L$29)</f>
        <v>0</v>
      </c>
      <c r="M541" s="452">
        <f t="shared" ref="M541:U541" si="240">IF(OR(M535="N/A",M540=0),0,M540*M$29)</f>
        <v>0</v>
      </c>
      <c r="N541" s="452">
        <f t="shared" si="240"/>
        <v>0</v>
      </c>
      <c r="O541" s="452">
        <f t="shared" si="240"/>
        <v>0</v>
      </c>
      <c r="P541" s="452">
        <f t="shared" si="240"/>
        <v>0</v>
      </c>
      <c r="Q541" s="452">
        <f t="shared" si="240"/>
        <v>0</v>
      </c>
      <c r="R541" s="452">
        <f t="shared" si="240"/>
        <v>0</v>
      </c>
      <c r="S541" s="452">
        <f t="shared" si="240"/>
        <v>0</v>
      </c>
      <c r="T541" s="452">
        <f t="shared" si="240"/>
        <v>0</v>
      </c>
      <c r="U541" s="452">
        <f t="shared" si="240"/>
        <v>0</v>
      </c>
    </row>
    <row r="542" spans="1:22" s="376" customFormat="1" ht="15" customHeight="1" outlineLevel="1" x14ac:dyDescent="0.25">
      <c r="A542" s="374"/>
      <c r="B542" s="376" t="s">
        <v>751</v>
      </c>
      <c r="C542" s="374"/>
      <c r="D542" s="455">
        <f>IFERROR(ROUND(IF(D541/D539=0,0,D541/D539),2),0)</f>
        <v>0</v>
      </c>
      <c r="K542" s="455">
        <f>IFERROR(ROUND(IF(K541/K539=0,0,K541/K539),2),0)</f>
        <v>0</v>
      </c>
      <c r="L542" s="455">
        <f>IFERROR(ROUND(IF(L541/L539=0,0,L541/L539),2),0)</f>
        <v>0</v>
      </c>
      <c r="M542" s="455">
        <f t="shared" ref="M542:U542" si="241">IFERROR(ROUND(IF(M541/M539=0,0,M541/M539),2),0)</f>
        <v>0</v>
      </c>
      <c r="N542" s="455">
        <f t="shared" si="241"/>
        <v>0</v>
      </c>
      <c r="O542" s="455">
        <f t="shared" si="241"/>
        <v>0</v>
      </c>
      <c r="P542" s="455">
        <f t="shared" si="241"/>
        <v>0</v>
      </c>
      <c r="Q542" s="455">
        <f t="shared" si="241"/>
        <v>0</v>
      </c>
      <c r="R542" s="455">
        <f t="shared" si="241"/>
        <v>0</v>
      </c>
      <c r="S542" s="455">
        <f t="shared" si="241"/>
        <v>0</v>
      </c>
      <c r="T542" s="455">
        <f t="shared" si="241"/>
        <v>0</v>
      </c>
      <c r="U542" s="455">
        <f t="shared" si="241"/>
        <v>0</v>
      </c>
    </row>
    <row r="543" spans="1:22" outlineLevel="1" x14ac:dyDescent="0.2"/>
    <row r="544" spans="1:22" s="829" customFormat="1" ht="15" customHeight="1" outlineLevel="1" x14ac:dyDescent="0.25">
      <c r="A544" s="826" t="s">
        <v>160</v>
      </c>
      <c r="B544" s="827" t="s">
        <v>159</v>
      </c>
      <c r="C544" s="828"/>
      <c r="K544" s="830"/>
      <c r="L544" s="830"/>
      <c r="M544" s="830"/>
      <c r="N544" s="830"/>
      <c r="O544" s="830"/>
      <c r="P544" s="830"/>
      <c r="Q544" s="830"/>
      <c r="R544" s="830"/>
      <c r="S544" s="830"/>
      <c r="T544" s="830"/>
      <c r="U544" s="830"/>
      <c r="V544" s="8"/>
    </row>
    <row r="545" spans="1:22" s="364" customFormat="1" ht="15" customHeight="1" outlineLevel="1" x14ac:dyDescent="0.25">
      <c r="A545" s="394"/>
      <c r="B545" s="364" t="s">
        <v>124</v>
      </c>
      <c r="C545" s="394" t="s">
        <v>11</v>
      </c>
      <c r="D545" s="397">
        <v>5</v>
      </c>
      <c r="J545" s="338"/>
      <c r="K545" s="365">
        <v>0</v>
      </c>
      <c r="L545" s="443">
        <f>IF(L555="N/A","",K545+1)</f>
        <v>1</v>
      </c>
      <c r="M545" s="443">
        <f>IF(M555="N/A","",L545+1)</f>
        <v>2</v>
      </c>
      <c r="N545" s="443">
        <f>IF(N555="N/A","",M545+1)</f>
        <v>3</v>
      </c>
      <c r="O545" s="443">
        <f>IF(O555="N/A","",N545+1)</f>
        <v>4</v>
      </c>
      <c r="P545" s="443">
        <f>IF(P555="N/A","",O545+1)</f>
        <v>5</v>
      </c>
      <c r="Q545" s="443"/>
      <c r="R545" s="443"/>
      <c r="S545" s="443"/>
      <c r="T545" s="443"/>
      <c r="U545" s="443"/>
      <c r="V545"/>
    </row>
    <row r="546" spans="1:22" s="364" customFormat="1" ht="12" customHeight="1" outlineLevel="1" x14ac:dyDescent="0.25">
      <c r="A546" s="401"/>
      <c r="B546" s="307" t="s">
        <v>312</v>
      </c>
      <c r="C546" s="304" t="s">
        <v>20</v>
      </c>
      <c r="D546" s="831">
        <v>69</v>
      </c>
      <c r="J546" s="338"/>
      <c r="K546" s="442">
        <f>$D546</f>
        <v>69</v>
      </c>
      <c r="L546" s="442">
        <f>IF(L550="",0,$D546)</f>
        <v>69</v>
      </c>
      <c r="M546" s="442">
        <f>IF(M550="",0,$D546)</f>
        <v>69</v>
      </c>
      <c r="N546" s="442">
        <f>IF(N550="",0,$D546)</f>
        <v>69</v>
      </c>
      <c r="O546" s="442">
        <f>IF(O550="",0,$D546)</f>
        <v>69</v>
      </c>
      <c r="P546" s="442">
        <f>IF(P550="",0,$D546)</f>
        <v>69</v>
      </c>
      <c r="Q546" s="442"/>
      <c r="R546" s="442"/>
      <c r="S546" s="442"/>
      <c r="T546" s="442"/>
      <c r="U546" s="442"/>
      <c r="V546"/>
    </row>
    <row r="547" spans="1:22" s="364" customFormat="1" ht="15" outlineLevel="1" x14ac:dyDescent="0.25">
      <c r="A547" s="401"/>
      <c r="B547" s="307" t="s">
        <v>313</v>
      </c>
      <c r="C547" s="304" t="s">
        <v>20</v>
      </c>
      <c r="D547" s="362">
        <v>53</v>
      </c>
      <c r="J547" s="338"/>
      <c r="K547" s="439">
        <v>0</v>
      </c>
      <c r="L547" s="439">
        <f>IF(L555="N/A",0,IF(L550="",0,IFERROR(SUM(K547,L550),0)))</f>
        <v>2</v>
      </c>
      <c r="M547" s="439">
        <f>IF(M555="N/A",0,IF(M550="",0,IFERROR(SUM(L547,M550),0)))</f>
        <v>6</v>
      </c>
      <c r="N547" s="439">
        <f>IF(N555="N/A",0,IF(N550="",0,IFERROR(SUM(M547,N550),0)))</f>
        <v>10</v>
      </c>
      <c r="O547" s="439">
        <f>IF(O555="N/A",0,IF(O550="",0,IFERROR(SUM(N547,O550),0)))</f>
        <v>13</v>
      </c>
      <c r="P547" s="439">
        <f>IF(P555="N/A",0,IF(P550="",0,IFERROR(SUM(O547,P550),0)))</f>
        <v>16</v>
      </c>
      <c r="Q547" s="439"/>
      <c r="R547" s="439"/>
      <c r="S547" s="439"/>
      <c r="T547" s="439"/>
      <c r="U547" s="439"/>
      <c r="V547"/>
    </row>
    <row r="548" spans="1:22" s="364" customFormat="1" ht="12" customHeight="1" outlineLevel="1" x14ac:dyDescent="0.25">
      <c r="A548" s="401"/>
      <c r="B548" s="395" t="s">
        <v>208</v>
      </c>
      <c r="C548" s="304" t="s">
        <v>20</v>
      </c>
      <c r="D548" s="342">
        <f>D546-D547</f>
        <v>16</v>
      </c>
      <c r="J548" s="338"/>
      <c r="K548" s="439">
        <f t="shared" ref="K548:P548" si="242">IF(IFERROR((K546-K547),0)&lt;0,0,IFERROR(K546-K547,0))</f>
        <v>69</v>
      </c>
      <c r="L548" s="439">
        <f t="shared" si="242"/>
        <v>67</v>
      </c>
      <c r="M548" s="439">
        <f t="shared" si="242"/>
        <v>63</v>
      </c>
      <c r="N548" s="439">
        <f t="shared" si="242"/>
        <v>59</v>
      </c>
      <c r="O548" s="439">
        <f t="shared" si="242"/>
        <v>56</v>
      </c>
      <c r="P548" s="439">
        <f t="shared" si="242"/>
        <v>53</v>
      </c>
      <c r="Q548" s="439"/>
      <c r="R548" s="439"/>
      <c r="S548" s="439"/>
      <c r="T548" s="439"/>
      <c r="U548" s="439"/>
      <c r="V548"/>
    </row>
    <row r="549" spans="1:22" s="326" customFormat="1" ht="12" customHeight="1" outlineLevel="1" x14ac:dyDescent="0.25">
      <c r="A549" s="316"/>
      <c r="B549" s="326" t="s">
        <v>209</v>
      </c>
      <c r="C549" s="316" t="s">
        <v>20</v>
      </c>
      <c r="D549" s="445" t="str">
        <f>IF(D548&lt;&gt;SUM(K549:U549),"NO","SI")</f>
        <v>SI</v>
      </c>
      <c r="J549" s="338"/>
      <c r="K549" s="442">
        <f>IF(OR(D548=0,D548=""),0,K550)</f>
        <v>0</v>
      </c>
      <c r="L549" s="442">
        <f>IF(OR(K548=0,K548=""),0,L550)</f>
        <v>2</v>
      </c>
      <c r="M549" s="442">
        <f>IF(OR(L548=0,L548=""),0,M550)</f>
        <v>4</v>
      </c>
      <c r="N549" s="442">
        <f>IF(OR(M548=0,M548=""),0,N550)</f>
        <v>4</v>
      </c>
      <c r="O549" s="442">
        <f>IF(OR(N548=0,N548=""),0,O550)</f>
        <v>3</v>
      </c>
      <c r="P549" s="442">
        <f>IF(OR(O548=0,O548=""),0,P550)</f>
        <v>3</v>
      </c>
      <c r="Q549" s="442"/>
      <c r="R549" s="442"/>
      <c r="S549" s="442"/>
      <c r="T549" s="442"/>
      <c r="U549" s="442"/>
      <c r="V549"/>
    </row>
    <row r="550" spans="1:22" s="307" customFormat="1" ht="25.35" customHeight="1" outlineLevel="1" x14ac:dyDescent="0.25">
      <c r="A550" s="446" t="str">
        <f>VLOOKUP(B550,'C UNIT PROG TÉCNICOS'!$B$8:$H$108,7,FALSE)</f>
        <v>CAPEX</v>
      </c>
      <c r="B550" s="367" t="s">
        <v>44</v>
      </c>
      <c r="C550" s="304" t="s">
        <v>20</v>
      </c>
      <c r="D550" s="304" t="s">
        <v>19</v>
      </c>
      <c r="I550" s="368"/>
      <c r="J550" s="338"/>
      <c r="K550" s="362">
        <v>0</v>
      </c>
      <c r="L550" s="362">
        <v>2</v>
      </c>
      <c r="M550" s="362">
        <v>4</v>
      </c>
      <c r="N550" s="362">
        <v>4</v>
      </c>
      <c r="O550" s="362">
        <v>3</v>
      </c>
      <c r="P550" s="362">
        <v>3</v>
      </c>
      <c r="Q550" s="362"/>
      <c r="R550" s="362"/>
      <c r="S550" s="362"/>
      <c r="T550" s="362"/>
      <c r="U550" s="362"/>
      <c r="V550"/>
    </row>
    <row r="551" spans="1:22" s="364" customFormat="1" ht="12" customHeight="1" outlineLevel="1" x14ac:dyDescent="0.25">
      <c r="A551" s="402"/>
      <c r="B551" s="364" t="s">
        <v>780</v>
      </c>
      <c r="C551" s="316" t="s">
        <v>20</v>
      </c>
      <c r="D551" s="397">
        <v>12</v>
      </c>
      <c r="J551" s="338"/>
      <c r="K551" s="442"/>
      <c r="L551" s="442"/>
      <c r="M551" s="442"/>
      <c r="N551" s="442"/>
      <c r="O551" s="442"/>
      <c r="P551" s="442"/>
      <c r="Q551" s="442"/>
      <c r="R551" s="442"/>
      <c r="S551" s="442"/>
      <c r="T551" s="442"/>
      <c r="U551" s="442"/>
      <c r="V551"/>
    </row>
    <row r="552" spans="1:22" s="364" customFormat="1" ht="12" customHeight="1" outlineLevel="1" x14ac:dyDescent="0.25">
      <c r="A552" s="402"/>
      <c r="B552" s="364" t="s">
        <v>781</v>
      </c>
      <c r="C552" s="316" t="s">
        <v>20</v>
      </c>
      <c r="D552" s="442">
        <f>IFERROR(ROUNDUP(($D$548*$D$551)/$D$547,0),0)</f>
        <v>4</v>
      </c>
      <c r="J552" s="338"/>
      <c r="K552" s="442"/>
      <c r="L552" s="442"/>
      <c r="M552" s="442"/>
      <c r="N552" s="442"/>
      <c r="O552" s="442"/>
      <c r="P552" s="442"/>
      <c r="Q552" s="442"/>
      <c r="R552" s="442"/>
      <c r="S552" s="442"/>
      <c r="T552" s="442"/>
      <c r="U552" s="442"/>
      <c r="V552"/>
    </row>
    <row r="553" spans="1:22" s="326" customFormat="1" ht="12" customHeight="1" outlineLevel="1" x14ac:dyDescent="0.25">
      <c r="A553" s="316"/>
      <c r="B553" s="326" t="s">
        <v>782</v>
      </c>
      <c r="C553" s="316" t="s">
        <v>20</v>
      </c>
      <c r="D553" s="442">
        <f>D552+D551</f>
        <v>16</v>
      </c>
      <c r="E553" s="445"/>
      <c r="J553" s="338"/>
      <c r="K553" s="442">
        <f>$D$551</f>
        <v>12</v>
      </c>
      <c r="L553" s="442">
        <f>IF(L555="N/A",0,IF(SUM(K553,L554)&gt;=$D$553,$D$553,SUM(K553,L554)))</f>
        <v>12</v>
      </c>
      <c r="M553" s="442"/>
      <c r="N553" s="442"/>
      <c r="O553" s="442"/>
      <c r="P553" s="442"/>
      <c r="Q553" s="442"/>
      <c r="R553" s="442"/>
      <c r="S553" s="442"/>
      <c r="T553" s="442"/>
      <c r="U553" s="442"/>
      <c r="V553"/>
    </row>
    <row r="554" spans="1:22" s="307" customFormat="1" ht="25.35" customHeight="1" outlineLevel="1" x14ac:dyDescent="0.25">
      <c r="A554" s="446" t="str">
        <f>VLOOKUP(B554,'C UNIT PROG TÉCNICOS'!$B$8:$H$108,7,FALSE)</f>
        <v>CAPEX</v>
      </c>
      <c r="B554" s="367" t="s">
        <v>45</v>
      </c>
      <c r="C554" s="304" t="s">
        <v>20</v>
      </c>
      <c r="D554" s="304" t="s">
        <v>19</v>
      </c>
      <c r="I554" s="368"/>
      <c r="J554" s="338"/>
      <c r="K554" s="362">
        <v>0</v>
      </c>
      <c r="L554" s="362">
        <v>0</v>
      </c>
      <c r="M554" s="362">
        <v>4</v>
      </c>
      <c r="N554" s="362">
        <v>0</v>
      </c>
      <c r="O554" s="362">
        <v>0</v>
      </c>
      <c r="P554" s="362">
        <v>0</v>
      </c>
      <c r="Q554" s="362"/>
      <c r="R554" s="362"/>
      <c r="S554" s="362"/>
      <c r="T554" s="362"/>
      <c r="U554" s="362"/>
      <c r="V554"/>
    </row>
    <row r="555" spans="1:22" s="307" customFormat="1" ht="12" customHeight="1" outlineLevel="1" x14ac:dyDescent="0.25">
      <c r="A555" s="316"/>
      <c r="B555" s="307" t="s">
        <v>742</v>
      </c>
      <c r="D555" s="447" t="str">
        <f>IF(AND(A550="CAPEX",A554="CAPEX"),"Inversión",IF(AND(A550="OPEX",A554="OPEX"),"Operación","I/O"))</f>
        <v>Inversión</v>
      </c>
      <c r="I555" s="370"/>
      <c r="J555" s="338"/>
      <c r="K555" s="371" t="s">
        <v>8</v>
      </c>
      <c r="L555" s="371" t="s">
        <v>8</v>
      </c>
      <c r="M555" s="371" t="s">
        <v>8</v>
      </c>
      <c r="N555" s="371" t="s">
        <v>8</v>
      </c>
      <c r="O555" s="371" t="s">
        <v>8</v>
      </c>
      <c r="P555" s="371" t="s">
        <v>8</v>
      </c>
      <c r="Q555" s="371" t="s">
        <v>149</v>
      </c>
      <c r="R555" s="371" t="s">
        <v>149</v>
      </c>
      <c r="S555" s="371" t="s">
        <v>149</v>
      </c>
      <c r="T555" s="371" t="s">
        <v>149</v>
      </c>
      <c r="U555" s="371" t="s">
        <v>149</v>
      </c>
      <c r="V555"/>
    </row>
    <row r="556" spans="1:22" s="307" customFormat="1" ht="12" customHeight="1" outlineLevel="1" x14ac:dyDescent="0.25">
      <c r="A556" s="316"/>
      <c r="B556" s="307" t="s">
        <v>762</v>
      </c>
      <c r="C556" s="304"/>
      <c r="D556" s="304"/>
      <c r="J556" s="338"/>
      <c r="K556" s="448">
        <f>IF(K555="N/A",0,IF(K555="SI",0,IF(OR($D555="I/O",$D555="Inversión"),0,SUM(VLOOKUP($B554,'C UNIT PROG TÉCNICOS'!$B$8:$G$160,6,FALSE)*K554,VLOOKUP($B550,'C UNIT PROG TÉCNICOS'!$B$8:$G$160,6,FALSE)*'EV PROG TÉCNICOS'!K550))))</f>
        <v>0</v>
      </c>
      <c r="L556" s="448">
        <f>IF(L555="N/A",0,IF(L555="SI",0,IF(OR($D503="I/O",$D503="Inversión"),0,SUM(VLOOKUP($B554,'C UNIT PROG TÉCNICOS'!$B$8:$G$160,6,FALSE)*'EV PROG TÉCNICOS'!L554,VLOOKUP($B550,'C UNIT PROG TÉCNICOS'!$B$8:$G$160,6,FALSE)*'EV PROG TÉCNICOS'!L550))))</f>
        <v>0</v>
      </c>
      <c r="M556" s="448">
        <f>IF(M555="N/A",0,IF(M555="SI",0,IF(OR($D503="I/O",$D503="Inversión"),0,SUM(VLOOKUP($B554,'C UNIT PROG TÉCNICOS'!$B$8:$G$160,6,FALSE)*'EV PROG TÉCNICOS'!M554,VLOOKUP($B550,'C UNIT PROG TÉCNICOS'!$B$8:$G$160,6,FALSE)*'EV PROG TÉCNICOS'!M550))))</f>
        <v>0</v>
      </c>
      <c r="N556" s="448">
        <f>IF(N555="N/A",0,IF(N555="SI",0,IF(OR($D503="I/O",$D503="Inversión"),0,SUM(VLOOKUP($B554,'C UNIT PROG TÉCNICOS'!$B$8:$G$160,6,FALSE)*'EV PROG TÉCNICOS'!N554,VLOOKUP($B550,'C UNIT PROG TÉCNICOS'!$B$8:$G$160,6,FALSE)*'EV PROG TÉCNICOS'!N550))))</f>
        <v>0</v>
      </c>
      <c r="O556" s="448">
        <f>IF(O555="N/A",0,IF(O555="SI",0,IF(OR($D503="I/O",$D503="Inversión"),0,SUM(VLOOKUP($B554,'C UNIT PROG TÉCNICOS'!$B$8:$G$160,6,FALSE)*'EV PROG TÉCNICOS'!O554,VLOOKUP($B550,'C UNIT PROG TÉCNICOS'!$B$8:$G$160,6,FALSE)*'EV PROG TÉCNICOS'!O550))))</f>
        <v>0</v>
      </c>
      <c r="P556" s="448">
        <f>IF(P555="N/A",0,IF(P555="SI",0,IF(OR($D503="I/O",$D503="Inversión"),0,SUM(VLOOKUP($B554,'C UNIT PROG TÉCNICOS'!$B$8:$G$160,6,FALSE)*'EV PROG TÉCNICOS'!P554,VLOOKUP($B550,'C UNIT PROG TÉCNICOS'!$B$8:$G$160,6,FALSE)*'EV PROG TÉCNICOS'!P550))))</f>
        <v>0</v>
      </c>
      <c r="Q556" s="448">
        <f>IF(Q555="N/A",0,IF(Q555="SI",0,IF(OR($D503="I/O",$D503="Inversión"),0,SUM(VLOOKUP($B554,'C UNIT PROG TÉCNICOS'!$B$8:$G$160,6,FALSE)*'EV PROG TÉCNICOS'!Q554,VLOOKUP($B550,'C UNIT PROG TÉCNICOS'!$B$8:$G$160,6,FALSE)*'EV PROG TÉCNICOS'!Q550))))</f>
        <v>0</v>
      </c>
      <c r="R556" s="448">
        <f>IF(R555="N/A",0,IF(R555="SI",0,IF(OR($D503="I/O",$D503="Inversión"),0,SUM(VLOOKUP($B554,'C UNIT PROG TÉCNICOS'!$B$8:$G$160,6,FALSE)*'EV PROG TÉCNICOS'!R554,VLOOKUP($B550,'C UNIT PROG TÉCNICOS'!$B$8:$G$160,6,FALSE)*'EV PROG TÉCNICOS'!R550))))</f>
        <v>0</v>
      </c>
      <c r="S556" s="448">
        <f>IF(S555="N/A",0,IF(S555="SI",0,IF(OR($D503="I/O",$D503="Inversión"),0,SUM(VLOOKUP($B554,'C UNIT PROG TÉCNICOS'!$B$8:$G$160,6,FALSE)*'EV PROG TÉCNICOS'!S554,VLOOKUP($B550,'C UNIT PROG TÉCNICOS'!$B$8:$G$160,6,FALSE)*'EV PROG TÉCNICOS'!S550))))</f>
        <v>0</v>
      </c>
      <c r="T556" s="448">
        <f>IF(T555="N/A",0,IF(T555="SI",0,IF(OR($D503="I/O",$D503="Inversión"),0,SUM(VLOOKUP($B554,'C UNIT PROG TÉCNICOS'!$B$8:$G$160,6,FALSE)*'EV PROG TÉCNICOS'!T554,VLOOKUP($B550,'C UNIT PROG TÉCNICOS'!$B$8:$G$160,6,FALSE)*'EV PROG TÉCNICOS'!T550))))</f>
        <v>0</v>
      </c>
      <c r="U556" s="448">
        <f>IF(U555="N/A",0,IF(U555="SI",0,IF(OR($D503="I/O",$D503="Inversión"),0,SUM(VLOOKUP($B554,'C UNIT PROG TÉCNICOS'!$B$8:$G$160,6,FALSE)*'EV PROG TÉCNICOS'!U554,VLOOKUP($B550,'C UNIT PROG TÉCNICOS'!$B$8:$G$160,6,FALSE)*'EV PROG TÉCNICOS'!U550))))</f>
        <v>0</v>
      </c>
    </row>
    <row r="557" spans="1:22" s="307" customFormat="1" ht="12" customHeight="1" outlineLevel="1" x14ac:dyDescent="0.25">
      <c r="A557" s="316"/>
      <c r="B557" s="307" t="s">
        <v>763</v>
      </c>
      <c r="C557" s="304" t="s">
        <v>6</v>
      </c>
      <c r="D557" s="304"/>
      <c r="J557" s="338"/>
      <c r="K557" s="450">
        <f>IF(K555="N/A",0,IF(K555="SI",0,K$21*K556))</f>
        <v>0</v>
      </c>
      <c r="L557" s="450">
        <f>IF(L555="N/A",0,IF(L555="SI",0,L$21*L556))</f>
        <v>0</v>
      </c>
      <c r="M557" s="450">
        <f t="shared" ref="M557:U557" si="243">IF(M555="N/A",0,IF(M555="SI",0,M$21*M556))</f>
        <v>0</v>
      </c>
      <c r="N557" s="450">
        <f t="shared" si="243"/>
        <v>0</v>
      </c>
      <c r="O557" s="450">
        <f t="shared" si="243"/>
        <v>0</v>
      </c>
      <c r="P557" s="450">
        <f t="shared" si="243"/>
        <v>0</v>
      </c>
      <c r="Q557" s="450">
        <f t="shared" si="243"/>
        <v>0</v>
      </c>
      <c r="R557" s="450">
        <f t="shared" si="243"/>
        <v>0</v>
      </c>
      <c r="S557" s="450">
        <f t="shared" si="243"/>
        <v>0</v>
      </c>
      <c r="T557" s="450">
        <f t="shared" si="243"/>
        <v>0</v>
      </c>
      <c r="U557" s="450">
        <f t="shared" si="243"/>
        <v>0</v>
      </c>
    </row>
    <row r="558" spans="1:22" s="307" customFormat="1" ht="12" customHeight="1" outlineLevel="1" x14ac:dyDescent="0.25">
      <c r="A558" s="316"/>
      <c r="B558" s="307" t="s">
        <v>764</v>
      </c>
      <c r="C558" s="304" t="s">
        <v>6</v>
      </c>
      <c r="D558" s="304"/>
      <c r="J558" s="338"/>
      <c r="K558" s="450">
        <f>IF(K555="N/A",0,IF(K555="SI",0,IF(K503="SI",0,IF(OR($D503="Inversión",$D503="I/O"),SUM(VLOOKUP($B550,'C UNIT PROG TÉCNICOS'!$B$8:$G$160,5,FALSE)*K550,VLOOKUP($B554,'C UNIT PROG TÉCNICOS'!$B$8:$G$160,5,FALSE)*'EV PROG TÉCNICOS'!K554)))))</f>
        <v>0</v>
      </c>
      <c r="L558" s="450">
        <f>IF(L555="N/A",0,IF(L555="SI",0,IF(OR($D503="Inversión",$D503="I/O"),SUM(VLOOKUP($B554,'C UNIT PROG TÉCNICOS'!$B$8:$G$160,5,FALSE)*'EV PROG TÉCNICOS'!L554,VLOOKUP($B550,'C UNIT PROG TÉCNICOS'!$B$8:$G$160,5,FALSE)*'EV PROG TÉCNICOS'!L550)))*((1+$D$24)^(L$3-$K$3)))</f>
        <v>6234274.1322517497</v>
      </c>
      <c r="M558" s="450">
        <f>IF(M555="N/A",0,IF(M555="SI",0,IF(OR($D503="Inversión",$D503="I/O"),SUM(VLOOKUP($B554,'C UNIT PROG TÉCNICOS'!$B$8:$G$160,5,FALSE)*'EV PROG TÉCNICOS'!M554,VLOOKUP($B550,'C UNIT PROG TÉCNICOS'!$B$8:$G$160,5,FALSE)*'EV PROG TÉCNICOS'!M550)))*((1+$D$24)^(M$3-$K$3)))</f>
        <v>51499330.677191839</v>
      </c>
      <c r="N558" s="450">
        <f>IF(N555="N/A",0,IF(N555="SI",0,IF(OR($D503="Inversión",$D503="I/O"),SUM(VLOOKUP($B554,'C UNIT PROG TÉCNICOS'!$B$8:$G$160,5,FALSE)*'EV PROG TÉCNICOS'!N554,VLOOKUP($B550,'C UNIT PROG TÉCNICOS'!$B$8:$G$160,5,FALSE)*'EV PROG TÉCNICOS'!N550)))*((1+$D$24)^(N$3-$K$3)))</f>
        <v>13372004.125569686</v>
      </c>
      <c r="O558" s="450">
        <f>IF(O555="N/A",0,IF(O555="SI",0,IF(OR($D503="Inversión",$D503="I/O"),SUM(VLOOKUP($B554,'C UNIT PROG TÉCNICOS'!$B$8:$G$160,5,FALSE)*'EV PROG TÉCNICOS'!O554,VLOOKUP($B550,'C UNIT PROG TÉCNICOS'!$B$8:$G$160,5,FALSE)*'EV PROG TÉCNICOS'!O550)))*((1+$D$24)^(O$3-$K$3)))</f>
        <v>10385994.084257167</v>
      </c>
      <c r="P558" s="450">
        <f>IF(P555="N/A",0,IF(P555="SI",0,IF(OR($D503="Inversión",$D503="I/O"),SUM(VLOOKUP($B554,'C UNIT PROG TÉCNICOS'!$B$8:$G$160,5,FALSE)*'EV PROG TÉCNICOS'!P554,VLOOKUP($B550,'C UNIT PROG TÉCNICOS'!$B$8:$G$160,5,FALSE)*'EV PROG TÉCNICOS'!P550)))*((1+$D$24)^(P$3-$K$3)))</f>
        <v>10755692.475641211</v>
      </c>
      <c r="Q558" s="450">
        <f>IF(Q555="N/A",0,IF(Q555="SI",0,IF(OR($D503="Inversión",$D503="I/O"),SUM(VLOOKUP($B554,'C UNIT PROG TÉCNICOS'!$B$8:$G$160,5,FALSE)*'EV PROG TÉCNICOS'!Q554,VLOOKUP($B550,'C UNIT PROG TÉCNICOS'!$B$8:$G$160,5,FALSE)*'EV PROG TÉCNICOS'!Q550)))*((1+$D$24)^(Q$3-$K$3)))</f>
        <v>0</v>
      </c>
      <c r="R558" s="450">
        <f>IF(R555="N/A",0,IF(R555="SI",0,IF(OR($D503="Inversión",$D503="I/O"),SUM(VLOOKUP($B554,'C UNIT PROG TÉCNICOS'!$B$8:$G$160,5,FALSE)*'EV PROG TÉCNICOS'!R554,VLOOKUP($B550,'C UNIT PROG TÉCNICOS'!$B$8:$G$160,5,FALSE)*'EV PROG TÉCNICOS'!R550)))*((1+$D$24)^(R$3-$K$3)))</f>
        <v>0</v>
      </c>
      <c r="S558" s="450">
        <f>IF(S555="N/A",0,IF(S555="SI",0,IF(OR($D503="Inversión",$D503="I/O"),SUM(VLOOKUP($B554,'C UNIT PROG TÉCNICOS'!$B$8:$G$160,5,FALSE)*'EV PROG TÉCNICOS'!S554,VLOOKUP($B550,'C UNIT PROG TÉCNICOS'!$B$8:$G$160,5,FALSE)*'EV PROG TÉCNICOS'!S550)))*((1+$D$24)^(S$3-$K$3)))</f>
        <v>0</v>
      </c>
      <c r="T558" s="450">
        <f>IF(T555="N/A",0,IF(T555="SI",0,IF(OR($D503="Inversión",$D503="I/O"),SUM(VLOOKUP($B554,'C UNIT PROG TÉCNICOS'!$B$8:$G$160,5,FALSE)*'EV PROG TÉCNICOS'!T554,VLOOKUP($B550,'C UNIT PROG TÉCNICOS'!$B$8:$G$160,5,FALSE)*'EV PROG TÉCNICOS'!T550)))*((1+$D$24)^(T$3-$K$3)))</f>
        <v>0</v>
      </c>
      <c r="U558" s="450">
        <f>IF(U555="N/A",0,IF(U555="SI",0,IF(OR($D503="Inversión",$D503="I/O"),SUM(VLOOKUP($B554,'C UNIT PROG TÉCNICOS'!$B$8:$G$160,5,FALSE)*'EV PROG TÉCNICOS'!U554,VLOOKUP($B550,'C UNIT PROG TÉCNICOS'!$B$8:$G$160,5,FALSE)*'EV PROG TÉCNICOS'!U550)))*((1+$D$24)^(U$3-$K$3)))</f>
        <v>0</v>
      </c>
    </row>
    <row r="559" spans="1:22" s="376" customFormat="1" ht="26.1" customHeight="1" outlineLevel="1" x14ac:dyDescent="0.25">
      <c r="A559" s="374"/>
      <c r="B559" s="454" t="str">
        <f>CONCATENATE("VNA  ",B544)</f>
        <v>VNA  Equipos de presión rotativos faltantes en sectores hidráulicos</v>
      </c>
      <c r="C559" s="374" t="s">
        <v>6</v>
      </c>
      <c r="D559" s="453">
        <f>NPV($D$31,L559:U559)+K559</f>
        <v>62699872.447271302</v>
      </c>
      <c r="J559" s="338"/>
      <c r="K559" s="452">
        <f>IF(K555="N/A",0,IF($D555="Operación",K557,K558))</f>
        <v>0</v>
      </c>
      <c r="L559" s="452">
        <f>IF(L555="N/A",0,IF($D555="Operación",L557,L558))</f>
        <v>6234274.1322517497</v>
      </c>
      <c r="M559" s="452">
        <f t="shared" ref="M559:U559" si="244">IF(M555="N/A",0,IF($D555="Operación",M557,M558))</f>
        <v>51499330.677191839</v>
      </c>
      <c r="N559" s="452">
        <f t="shared" si="244"/>
        <v>13372004.125569686</v>
      </c>
      <c r="O559" s="452">
        <f t="shared" si="244"/>
        <v>10385994.084257167</v>
      </c>
      <c r="P559" s="452">
        <f t="shared" si="244"/>
        <v>10755692.475641211</v>
      </c>
      <c r="Q559" s="452">
        <f t="shared" si="244"/>
        <v>0</v>
      </c>
      <c r="R559" s="452">
        <f t="shared" si="244"/>
        <v>0</v>
      </c>
      <c r="S559" s="452">
        <f t="shared" si="244"/>
        <v>0</v>
      </c>
      <c r="T559" s="452">
        <f t="shared" si="244"/>
        <v>0</v>
      </c>
      <c r="U559" s="452">
        <f t="shared" si="244"/>
        <v>0</v>
      </c>
    </row>
    <row r="560" spans="1:22" s="393" customFormat="1" ht="29.1" customHeight="1" outlineLevel="1" x14ac:dyDescent="0.25">
      <c r="A560" s="374"/>
      <c r="B560" s="454" t="str">
        <f>CONCATENATE("Volumen de agua recuperado ",B544)</f>
        <v>Volumen de agua recuperado Equipos de presión rotativos faltantes en sectores hidráulicos</v>
      </c>
      <c r="C560" s="374" t="s">
        <v>106</v>
      </c>
      <c r="D560" s="457">
        <f>SUM(L560:U560)</f>
        <v>0</v>
      </c>
      <c r="E560" s="376"/>
      <c r="F560" s="376"/>
      <c r="G560" s="376"/>
      <c r="H560" s="376"/>
      <c r="I560" s="376"/>
      <c r="J560" s="338"/>
      <c r="K560" s="396"/>
      <c r="L560" s="378"/>
      <c r="M560" s="378"/>
      <c r="N560" s="378"/>
      <c r="O560" s="378"/>
      <c r="P560" s="378"/>
      <c r="Q560" s="378"/>
      <c r="R560" s="378"/>
      <c r="S560" s="378"/>
      <c r="T560" s="378"/>
      <c r="U560" s="378"/>
    </row>
    <row r="561" spans="1:21" s="376" customFormat="1" ht="15" customHeight="1" outlineLevel="1" x14ac:dyDescent="0.25">
      <c r="A561" s="374"/>
      <c r="B561" s="376" t="s">
        <v>750</v>
      </c>
      <c r="C561" s="374" t="s">
        <v>6</v>
      </c>
      <c r="D561" s="453">
        <f>NPV($D$31,L561:U561)+K561</f>
        <v>0</v>
      </c>
      <c r="J561" s="338"/>
      <c r="K561" s="452">
        <f>IF(OR(K555="N/A",K560=0),0,K560*K$29)</f>
        <v>0</v>
      </c>
      <c r="L561" s="452">
        <f>IF(OR(L555="N/A",L560=0),0,L560*L$29)</f>
        <v>0</v>
      </c>
      <c r="M561" s="452">
        <f t="shared" ref="M561:U561" si="245">IF(OR(M555="N/A",M560=0),0,M560*M$29)</f>
        <v>0</v>
      </c>
      <c r="N561" s="452">
        <f t="shared" si="245"/>
        <v>0</v>
      </c>
      <c r="O561" s="452">
        <f t="shared" si="245"/>
        <v>0</v>
      </c>
      <c r="P561" s="452">
        <f t="shared" si="245"/>
        <v>0</v>
      </c>
      <c r="Q561" s="452">
        <f t="shared" si="245"/>
        <v>0</v>
      </c>
      <c r="R561" s="452">
        <f t="shared" si="245"/>
        <v>0</v>
      </c>
      <c r="S561" s="452">
        <f t="shared" si="245"/>
        <v>0</v>
      </c>
      <c r="T561" s="452">
        <f t="shared" si="245"/>
        <v>0</v>
      </c>
      <c r="U561" s="452">
        <f t="shared" si="245"/>
        <v>0</v>
      </c>
    </row>
    <row r="562" spans="1:21" s="376" customFormat="1" ht="15" customHeight="1" outlineLevel="1" x14ac:dyDescent="0.25">
      <c r="A562" s="374"/>
      <c r="B562" s="376" t="s">
        <v>751</v>
      </c>
      <c r="C562" s="374"/>
      <c r="D562" s="455">
        <f>IFERROR(ROUND(IF(D561/D559=0,0,D561/D559),2),0)</f>
        <v>0</v>
      </c>
      <c r="J562" s="338"/>
      <c r="K562" s="455">
        <f>IFERROR(ROUND(IF(K561/K559=0,0,K561/K559),2),0)</f>
        <v>0</v>
      </c>
      <c r="L562" s="455">
        <f>IFERROR(ROUND(IF(L561/L559=0,0,L561/L559),2),0)</f>
        <v>0</v>
      </c>
      <c r="M562" s="455">
        <f t="shared" ref="M562:U562" si="246">IFERROR(ROUND(IF(M561/M559=0,0,M561/M559),2),0)</f>
        <v>0</v>
      </c>
      <c r="N562" s="455">
        <f t="shared" si="246"/>
        <v>0</v>
      </c>
      <c r="O562" s="455">
        <f t="shared" si="246"/>
        <v>0</v>
      </c>
      <c r="P562" s="455">
        <f t="shared" si="246"/>
        <v>0</v>
      </c>
      <c r="Q562" s="455">
        <f t="shared" si="246"/>
        <v>0</v>
      </c>
      <c r="R562" s="455">
        <f t="shared" si="246"/>
        <v>0</v>
      </c>
      <c r="S562" s="455">
        <f t="shared" si="246"/>
        <v>0</v>
      </c>
      <c r="T562" s="455">
        <f t="shared" si="246"/>
        <v>0</v>
      </c>
      <c r="U562" s="455">
        <f t="shared" si="246"/>
        <v>0</v>
      </c>
    </row>
    <row r="563" spans="1:21" s="376" customFormat="1" ht="15" customHeight="1" outlineLevel="1" x14ac:dyDescent="0.25">
      <c r="A563" s="374"/>
      <c r="C563" s="374"/>
      <c r="D563" s="404"/>
      <c r="K563" s="388"/>
      <c r="L563" s="388"/>
      <c r="M563" s="388"/>
      <c r="N563" s="388"/>
      <c r="O563" s="388"/>
      <c r="P563" s="388"/>
      <c r="Q563" s="388"/>
      <c r="R563" s="388"/>
      <c r="S563" s="388"/>
      <c r="T563" s="388"/>
      <c r="U563" s="388"/>
    </row>
    <row r="564" spans="1:21" s="326" customFormat="1" ht="12" customHeight="1" outlineLevel="1" x14ac:dyDescent="0.25">
      <c r="A564" s="380" t="s">
        <v>163</v>
      </c>
      <c r="B564" s="358" t="s">
        <v>83</v>
      </c>
      <c r="C564" s="316"/>
      <c r="D564" s="316"/>
    </row>
    <row r="565" spans="1:21" s="364" customFormat="1" ht="15" customHeight="1" outlineLevel="1" x14ac:dyDescent="0.25">
      <c r="A565" s="394"/>
      <c r="B565" s="364" t="s">
        <v>124</v>
      </c>
      <c r="C565" s="394" t="s">
        <v>11</v>
      </c>
      <c r="D565" s="444">
        <f>COUNT(L565:U565)</f>
        <v>2</v>
      </c>
      <c r="J565" s="338"/>
      <c r="K565" s="365">
        <v>0</v>
      </c>
      <c r="L565" s="443">
        <f>IF(L570="N/A","",K565+1)</f>
        <v>1</v>
      </c>
      <c r="M565" s="443">
        <f t="shared" ref="M565:U565" si="247">IF(M570="N/A","",L565+1)</f>
        <v>2</v>
      </c>
      <c r="N565" s="443" t="str">
        <f t="shared" si="247"/>
        <v/>
      </c>
      <c r="O565" s="443" t="str">
        <f t="shared" si="247"/>
        <v/>
      </c>
      <c r="P565" s="443" t="str">
        <f t="shared" si="247"/>
        <v/>
      </c>
      <c r="Q565" s="443" t="str">
        <f t="shared" si="247"/>
        <v/>
      </c>
      <c r="R565" s="443" t="str">
        <f t="shared" si="247"/>
        <v/>
      </c>
      <c r="S565" s="443" t="str">
        <f t="shared" si="247"/>
        <v/>
      </c>
      <c r="T565" s="443" t="str">
        <f t="shared" si="247"/>
        <v/>
      </c>
      <c r="U565" s="443" t="str">
        <f t="shared" si="247"/>
        <v/>
      </c>
    </row>
    <row r="566" spans="1:21" s="307" customFormat="1" ht="15" outlineLevel="1" x14ac:dyDescent="0.25">
      <c r="A566" s="304"/>
      <c r="B566" s="307" t="s">
        <v>306</v>
      </c>
      <c r="C566" s="304" t="s">
        <v>20</v>
      </c>
      <c r="D566" s="462">
        <f>SUM(L567:P567)</f>
        <v>41</v>
      </c>
      <c r="I566" s="297"/>
      <c r="J566" s="338"/>
      <c r="K566" s="361"/>
      <c r="L566" s="361"/>
      <c r="M566" s="361"/>
      <c r="N566" s="361"/>
      <c r="O566" s="361"/>
      <c r="P566" s="361"/>
      <c r="Q566" s="361"/>
      <c r="R566" s="361"/>
      <c r="S566" s="361"/>
      <c r="T566" s="361"/>
      <c r="U566" s="361"/>
    </row>
    <row r="567" spans="1:21" s="326" customFormat="1" ht="15" outlineLevel="1" x14ac:dyDescent="0.25">
      <c r="A567" s="316"/>
      <c r="B567" s="364" t="s">
        <v>148</v>
      </c>
      <c r="C567" s="316" t="s">
        <v>20</v>
      </c>
      <c r="D567" s="316"/>
      <c r="J567" s="338"/>
      <c r="K567" s="442"/>
      <c r="L567" s="442">
        <f>IF(SUM(L568:L569)=0,0,SUM(L568:L569))</f>
        <v>19</v>
      </c>
      <c r="M567" s="442">
        <f>IF(SUM(M568:M569)=0,0,SUM(M568:M569))</f>
        <v>22</v>
      </c>
      <c r="N567" s="442"/>
      <c r="O567" s="442"/>
      <c r="P567" s="442"/>
      <c r="Q567" s="442"/>
      <c r="R567" s="442"/>
      <c r="S567" s="442"/>
      <c r="T567" s="442"/>
      <c r="U567" s="442"/>
    </row>
    <row r="568" spans="1:21" s="307" customFormat="1" ht="24.95" customHeight="1" outlineLevel="1" x14ac:dyDescent="0.25">
      <c r="A568" s="446" t="str">
        <f>VLOOKUP(B568,'C UNIT PROG TÉCNICOS'!$B$8:$H$108,7,FALSE)</f>
        <v>CAPEX</v>
      </c>
      <c r="B568" s="367" t="s">
        <v>771</v>
      </c>
      <c r="C568" s="304" t="s">
        <v>20</v>
      </c>
      <c r="D568" s="304"/>
      <c r="I568" s="369"/>
      <c r="J568" s="338"/>
      <c r="K568" s="342"/>
      <c r="L568" s="1135">
        <v>7</v>
      </c>
      <c r="M568" s="1135">
        <v>6</v>
      </c>
      <c r="N568" s="439"/>
      <c r="O568" s="439"/>
      <c r="P568" s="439"/>
      <c r="Q568" s="439"/>
      <c r="R568" s="439"/>
      <c r="S568" s="439"/>
      <c r="T568" s="439"/>
      <c r="U568" s="439"/>
    </row>
    <row r="569" spans="1:21" s="307" customFormat="1" ht="24.95" customHeight="1" outlineLevel="1" x14ac:dyDescent="0.25">
      <c r="A569" s="446" t="str">
        <f>VLOOKUP(B569,'C UNIT PROG TÉCNICOS'!$B$8:$H$108,7,FALSE)</f>
        <v>OPEX</v>
      </c>
      <c r="B569" s="367" t="s">
        <v>772</v>
      </c>
      <c r="C569" s="304" t="s">
        <v>20</v>
      </c>
      <c r="D569" s="304" t="s">
        <v>19</v>
      </c>
      <c r="I569" s="369"/>
      <c r="J569" s="338"/>
      <c r="K569" s="439"/>
      <c r="L569" s="439">
        <f>IF(L570="N/A",0,SUM($K$554:L554,$D$551-$K$554))</f>
        <v>12</v>
      </c>
      <c r="M569" s="439">
        <f>IF(M570="N/A",0,SUM($K$554:M554,$D$551-$K$554))</f>
        <v>16</v>
      </c>
      <c r="N569" s="439"/>
      <c r="O569" s="439"/>
      <c r="P569" s="439"/>
      <c r="Q569" s="439"/>
      <c r="R569" s="439"/>
      <c r="S569" s="439"/>
      <c r="T569" s="439"/>
      <c r="U569" s="439"/>
    </row>
    <row r="570" spans="1:21" s="307" customFormat="1" ht="12" customHeight="1" outlineLevel="1" x14ac:dyDescent="0.25">
      <c r="A570" s="316"/>
      <c r="B570" s="307" t="s">
        <v>742</v>
      </c>
      <c r="D570" s="447" t="str">
        <f>IF(AND(A568="CAPEX",A569="CAPEX"),"Inversión",IF(AND(A568="OPEX",A569="OPEX"),"Operación","I/O"))</f>
        <v>I/O</v>
      </c>
      <c r="I570" s="370"/>
      <c r="J570" s="338"/>
      <c r="K570" s="371" t="s">
        <v>8</v>
      </c>
      <c r="L570" s="371" t="s">
        <v>8</v>
      </c>
      <c r="M570" s="371" t="s">
        <v>8</v>
      </c>
      <c r="N570" s="371" t="s">
        <v>149</v>
      </c>
      <c r="O570" s="371" t="s">
        <v>149</v>
      </c>
      <c r="P570" s="371" t="s">
        <v>149</v>
      </c>
      <c r="Q570" s="371" t="s">
        <v>149</v>
      </c>
      <c r="R570" s="371" t="s">
        <v>149</v>
      </c>
      <c r="S570" s="371" t="s">
        <v>149</v>
      </c>
      <c r="T570" s="371" t="s">
        <v>149</v>
      </c>
      <c r="U570" s="371" t="s">
        <v>149</v>
      </c>
    </row>
    <row r="571" spans="1:21" s="307" customFormat="1" ht="12" customHeight="1" outlineLevel="1" x14ac:dyDescent="0.25">
      <c r="A571" s="316"/>
      <c r="B571" s="307" t="s">
        <v>762</v>
      </c>
      <c r="C571" s="304"/>
      <c r="D571" s="304"/>
      <c r="J571" s="338"/>
      <c r="K571" s="448">
        <f>IF(K570="N/A",0,IF(K570="SI",0,IF(OR($D570="I/O",$D570="Inversión"),0,SUM(VLOOKUP($B568,'C UNIT PROG TÉCNICOS'!$B$8:$G$160,6,FALSE)*'EV PROG TÉCNICOS'!K568,VLOOKUP($B569,'C UNIT PROG TÉCNICOS'!$B$8:$G$160,6,FALSE)*'EV PROG TÉCNICOS'!K569))))</f>
        <v>0</v>
      </c>
      <c r="L571" s="448">
        <f>IF(L570="N/A",0,IF(L570="SI",0,IF(OR($D570="I/O",$D570="Inversión"),0,SUM(VLOOKUP($B568,'C UNIT PROG TÉCNICOS'!$B$8:$G$160,6,FALSE)*'EV PROG TÉCNICOS'!L568,VLOOKUP($B569,'C UNIT PROG TÉCNICOS'!$B$8:$G$160,6,FALSE)*'EV PROG TÉCNICOS'!L569))))</f>
        <v>0</v>
      </c>
      <c r="M571" s="448">
        <f>IF(M570="N/A",0,IF(M570="SI",0,IF(OR($D570="I/O",$D570="Inversión"),0,SUM(VLOOKUP($B568,'C UNIT PROG TÉCNICOS'!$B$8:$G$160,6,FALSE)*'EV PROG TÉCNICOS'!M568,VLOOKUP($B569,'C UNIT PROG TÉCNICOS'!$B$8:$G$160,6,FALSE)*'EV PROG TÉCNICOS'!M569))))</f>
        <v>0</v>
      </c>
      <c r="N571" s="448">
        <f>IF(N570="N/A",0,IF(N570="SI",0,IF(OR($D570="I/O",$D570="Inversión"),0,SUM(VLOOKUP($B568,'C UNIT PROG TÉCNICOS'!$B$8:$G$160,6,FALSE)*'EV PROG TÉCNICOS'!N568,VLOOKUP($B569,'C UNIT PROG TÉCNICOS'!$B$8:$G$160,6,FALSE)*'EV PROG TÉCNICOS'!N569))))</f>
        <v>0</v>
      </c>
      <c r="O571" s="448">
        <f>IF(O570="N/A",0,IF(O570="SI",0,IF(OR($D570="I/O",$D570="Inversión"),0,SUM(VLOOKUP($B568,'C UNIT PROG TÉCNICOS'!$B$8:$G$160,6,FALSE)*'EV PROG TÉCNICOS'!O568,VLOOKUP($B569,'C UNIT PROG TÉCNICOS'!$B$8:$G$160,6,FALSE)*'EV PROG TÉCNICOS'!O569))))</f>
        <v>0</v>
      </c>
      <c r="P571" s="448">
        <f>IF(P570="N/A",0,IF(P570="SI",0,IF(OR($D570="I/O",$D570="Inversión"),0,SUM(VLOOKUP($B568,'C UNIT PROG TÉCNICOS'!$B$8:$G$160,6,FALSE)*'EV PROG TÉCNICOS'!P568,VLOOKUP($B569,'C UNIT PROG TÉCNICOS'!$B$8:$G$160,6,FALSE)*'EV PROG TÉCNICOS'!P569))))</f>
        <v>0</v>
      </c>
      <c r="Q571" s="448">
        <f>IF(Q570="N/A",0,IF(Q570="SI",0,IF(OR($D570="I/O",$D570="Inversión"),0,SUM(VLOOKUP($B568,'C UNIT PROG TÉCNICOS'!$B$8:$G$160,6,FALSE)*'EV PROG TÉCNICOS'!Q568,VLOOKUP($B569,'C UNIT PROG TÉCNICOS'!$B$8:$G$160,6,FALSE)*'EV PROG TÉCNICOS'!Q569))))</f>
        <v>0</v>
      </c>
      <c r="R571" s="448">
        <f>IF(R570="N/A",0,IF(R570="SI",0,IF(OR($D570="I/O",$D570="Inversión"),0,SUM(VLOOKUP($B568,'C UNIT PROG TÉCNICOS'!$B$8:$G$160,6,FALSE)*'EV PROG TÉCNICOS'!R568,VLOOKUP($B569,'C UNIT PROG TÉCNICOS'!$B$8:$G$160,6,FALSE)*'EV PROG TÉCNICOS'!R569))))</f>
        <v>0</v>
      </c>
      <c r="S571" s="448">
        <f>IF(S570="N/A",0,IF(S570="SI",0,IF(OR($D570="I/O",$D570="Inversión"),0,SUM(VLOOKUP($B568,'C UNIT PROG TÉCNICOS'!$B$8:$G$160,6,FALSE)*'EV PROG TÉCNICOS'!S568,VLOOKUP($B569,'C UNIT PROG TÉCNICOS'!$B$8:$G$160,6,FALSE)*'EV PROG TÉCNICOS'!S569))))</f>
        <v>0</v>
      </c>
      <c r="T571" s="448">
        <f>IF(T570="N/A",0,IF(T570="SI",0,IF(OR($D570="I/O",$D570="Inversión"),0,SUM(VLOOKUP($B568,'C UNIT PROG TÉCNICOS'!$B$8:$G$160,6,FALSE)*'EV PROG TÉCNICOS'!T568,VLOOKUP($B569,'C UNIT PROG TÉCNICOS'!$B$8:$G$160,6,FALSE)*'EV PROG TÉCNICOS'!T569))))</f>
        <v>0</v>
      </c>
      <c r="U571" s="448">
        <f>IF(U570="N/A",0,IF(U570="SI",0,IF(OR($D570="I/O",$D570="Inversión"),0,SUM(VLOOKUP($B568,'C UNIT PROG TÉCNICOS'!$B$8:$G$160,6,FALSE)*'EV PROG TÉCNICOS'!U568,VLOOKUP($B569,'C UNIT PROG TÉCNICOS'!$B$8:$G$160,6,FALSE)*'EV PROG TÉCNICOS'!U569))))</f>
        <v>0</v>
      </c>
    </row>
    <row r="572" spans="1:21" s="307" customFormat="1" ht="12" customHeight="1" outlineLevel="1" x14ac:dyDescent="0.25">
      <c r="A572" s="316"/>
      <c r="B572" s="307" t="s">
        <v>763</v>
      </c>
      <c r="C572" s="304" t="s">
        <v>6</v>
      </c>
      <c r="D572" s="304"/>
      <c r="J572" s="338"/>
      <c r="K572" s="450">
        <f>IF(K570="N/A",0,IF(K570="SI",0,K$21*K571))</f>
        <v>0</v>
      </c>
      <c r="L572" s="450">
        <f>IF(L570="N/A",0,IF(L570="SI",0,L$21*L571))</f>
        <v>0</v>
      </c>
      <c r="M572" s="450">
        <f t="shared" ref="M572:U572" si="248">IF(M570="N/A",0,IF(M570="SI",0,M$21*M571))</f>
        <v>0</v>
      </c>
      <c r="N572" s="450">
        <f t="shared" si="248"/>
        <v>0</v>
      </c>
      <c r="O572" s="450">
        <f t="shared" si="248"/>
        <v>0</v>
      </c>
      <c r="P572" s="450">
        <f t="shared" si="248"/>
        <v>0</v>
      </c>
      <c r="Q572" s="450">
        <f t="shared" si="248"/>
        <v>0</v>
      </c>
      <c r="R572" s="450">
        <f t="shared" si="248"/>
        <v>0</v>
      </c>
      <c r="S572" s="450">
        <f t="shared" si="248"/>
        <v>0</v>
      </c>
      <c r="T572" s="450">
        <f t="shared" si="248"/>
        <v>0</v>
      </c>
      <c r="U572" s="450">
        <f t="shared" si="248"/>
        <v>0</v>
      </c>
    </row>
    <row r="573" spans="1:21" s="307" customFormat="1" ht="12" customHeight="1" outlineLevel="1" x14ac:dyDescent="0.25">
      <c r="A573" s="316"/>
      <c r="B573" s="307" t="s">
        <v>764</v>
      </c>
      <c r="C573" s="304" t="s">
        <v>6</v>
      </c>
      <c r="D573" s="304"/>
      <c r="J573" s="338"/>
      <c r="K573" s="450">
        <f>IF(K570="N/A",0,IF(K570="SI",0,IF(OR($D570="Inversión",$D570="I/O"),SUM(VLOOKUP($B568,'C UNIT PROG TÉCNICOS'!$B$8:$G$160,5,FALSE)*'EV PROG TÉCNICOS'!K568,VLOOKUP($B569,'C UNIT PROG TÉCNICOS'!$B$8:$G$160,5,FALSE)*'EV PROG TÉCNICOS'!K569))))</f>
        <v>0</v>
      </c>
      <c r="L573" s="450">
        <f>IF(L570="N/A",0,IF(L570="SI",0,IF(OR($D570="Inversión",$D570="I/O"),SUM(VLOOKUP($B568,'C UNIT PROG TÉCNICOS'!$B$8:$G$160,5,FALSE)*'EV PROG TÉCNICOS'!L568,VLOOKUP($B569,'C UNIT PROG TÉCNICOS'!$B$8:$G$160,5,FALSE)*'EV PROG TÉCNICOS'!L569))*((1+$D$24)^(L$3-$K$3))))</f>
        <v>74655317.524905056</v>
      </c>
      <c r="M573" s="450">
        <f>IF(M570="N/A",0,IF(M570="SI",0,IF(OR($D570="Inversión",$D570="I/O"),SUM(VLOOKUP($B568,'C UNIT PROG TÉCNICOS'!$B$8:$G$160,5,FALSE)*'EV PROG TÉCNICOS'!M568,VLOOKUP($B569,'C UNIT PROG TÉCNICOS'!$B$8:$G$160,5,FALSE)*'EV PROG TÉCNICOS'!M569))*((1+$D$24)^(M$3-$K$3))))</f>
        <v>70683865.505388647</v>
      </c>
      <c r="N573" s="450">
        <f>IF(N570="N/A",0,IF(N570="SI",0,IF(OR($D570="Inversión",$D570="I/O"),SUM(VLOOKUP($B568,'C UNIT PROG TÉCNICOS'!$B$8:$G$160,5,FALSE)*'EV PROG TÉCNICOS'!N568,VLOOKUP($B569,'C UNIT PROG TÉCNICOS'!$B$8:$G$160,5,FALSE)*'EV PROG TÉCNICOS'!N569))*((1+$D$24)^(N$3-$K$3))))</f>
        <v>0</v>
      </c>
      <c r="O573" s="450">
        <f>IF(O570="N/A",0,IF(O570="SI",0,IF(OR($D570="Inversión",$D570="I/O"),SUM(VLOOKUP($B568,'C UNIT PROG TÉCNICOS'!$B$8:$G$160,5,FALSE)*'EV PROG TÉCNICOS'!O568,VLOOKUP($B569,'C UNIT PROG TÉCNICOS'!$B$8:$G$160,5,FALSE)*'EV PROG TÉCNICOS'!O569))*((1+$D$24)^(O$3-$K$3))))</f>
        <v>0</v>
      </c>
      <c r="P573" s="450">
        <f>IF(P570="N/A",0,IF(P570="SI",0,IF(OR($D570="Inversión",$D570="I/O"),SUM(VLOOKUP($B568,'C UNIT PROG TÉCNICOS'!$B$8:$G$160,5,FALSE)*'EV PROG TÉCNICOS'!P568,VLOOKUP($B569,'C UNIT PROG TÉCNICOS'!$B$8:$G$160,5,FALSE)*'EV PROG TÉCNICOS'!P569))*((1+$D$24)^(P$3-$K$3))))</f>
        <v>0</v>
      </c>
      <c r="Q573" s="450">
        <f>IF(Q570="N/A",0,IF(Q570="SI",0,IF(OR($D570="Inversión",$D570="I/O"),SUM(VLOOKUP($B568,'C UNIT PROG TÉCNICOS'!$B$8:$G$160,5,FALSE)*'EV PROG TÉCNICOS'!Q568,VLOOKUP($B569,'C UNIT PROG TÉCNICOS'!$B$8:$G$160,5,FALSE)*'EV PROG TÉCNICOS'!Q569))*((1+$D$24)^(Q$3-$K$3))))</f>
        <v>0</v>
      </c>
      <c r="R573" s="450">
        <f>IF(R570="N/A",0,IF(R570="SI",0,IF(OR($D570="Inversión",$D570="I/O"),SUM(VLOOKUP($B568,'C UNIT PROG TÉCNICOS'!$B$8:$G$160,5,FALSE)*'EV PROG TÉCNICOS'!R568,VLOOKUP($B569,'C UNIT PROG TÉCNICOS'!$B$8:$G$160,5,FALSE)*'EV PROG TÉCNICOS'!R569))*((1+$D$24)^(R$3-$K$3))))</f>
        <v>0</v>
      </c>
      <c r="S573" s="450">
        <f>IF(S570="N/A",0,IF(S570="SI",0,IF(OR($D570="Inversión",$D570="I/O"),SUM(VLOOKUP($B568,'C UNIT PROG TÉCNICOS'!$B$8:$G$160,5,FALSE)*'EV PROG TÉCNICOS'!S568,VLOOKUP($B569,'C UNIT PROG TÉCNICOS'!$B$8:$G$160,5,FALSE)*'EV PROG TÉCNICOS'!S569))*((1+$D$24)^(S$3-$K$3))))</f>
        <v>0</v>
      </c>
      <c r="T573" s="450">
        <f>IF(T570="N/A",0,IF(T570="SI",0,IF(OR($D570="Inversión",$D570="I/O"),SUM(VLOOKUP($B568,'C UNIT PROG TÉCNICOS'!$B$8:$G$160,5,FALSE)*'EV PROG TÉCNICOS'!T568,VLOOKUP($B569,'C UNIT PROG TÉCNICOS'!$B$8:$G$160,5,FALSE)*'EV PROG TÉCNICOS'!T569))*((1+$D$24)^(T$3-$K$3))))</f>
        <v>0</v>
      </c>
      <c r="U573" s="450">
        <f>IF(U570="N/A",0,IF(U570="SI",0,IF(OR($D570="Inversión",$D570="I/O"),SUM(VLOOKUP($B568,'C UNIT PROG TÉCNICOS'!$B$8:$G$160,5,FALSE)*'EV PROG TÉCNICOS'!U568,VLOOKUP($B569,'C UNIT PROG TÉCNICOS'!$B$8:$G$160,5,FALSE)*'EV PROG TÉCNICOS'!U569))*((1+$D$24)^(U$3-$K$3))))</f>
        <v>0</v>
      </c>
    </row>
    <row r="574" spans="1:21" s="376" customFormat="1" ht="24" customHeight="1" outlineLevel="1" x14ac:dyDescent="0.25">
      <c r="A574" s="374"/>
      <c r="B574" s="454" t="str">
        <f>CONCATENATE("VNA  ",B564)</f>
        <v>VNA  Telemetría y/o almacenamiento local de datos</v>
      </c>
      <c r="C574" s="374" t="s">
        <v>6</v>
      </c>
      <c r="D574" s="453">
        <f>NPV($D$31,L574:U574)+K574</f>
        <v>116484794.81482255</v>
      </c>
      <c r="J574" s="338"/>
      <c r="K574" s="452">
        <f>IF(K570="N/A",0,IF($D570="Operación",K572,K573))</f>
        <v>0</v>
      </c>
      <c r="L574" s="452">
        <f>IF(L570="N/A",0,IF($D570="Operación",L572,L573))</f>
        <v>74655317.524905056</v>
      </c>
      <c r="M574" s="452">
        <f t="shared" ref="M574:U574" si="249">IF(M570="N/A",0,IF($D570="Operación",M572,M573))</f>
        <v>70683865.505388647</v>
      </c>
      <c r="N574" s="452">
        <f t="shared" si="249"/>
        <v>0</v>
      </c>
      <c r="O574" s="452">
        <f t="shared" si="249"/>
        <v>0</v>
      </c>
      <c r="P574" s="452">
        <f t="shared" si="249"/>
        <v>0</v>
      </c>
      <c r="Q574" s="452">
        <f t="shared" si="249"/>
        <v>0</v>
      </c>
      <c r="R574" s="452">
        <f t="shared" si="249"/>
        <v>0</v>
      </c>
      <c r="S574" s="452">
        <f t="shared" si="249"/>
        <v>0</v>
      </c>
      <c r="T574" s="452">
        <f t="shared" si="249"/>
        <v>0</v>
      </c>
      <c r="U574" s="452">
        <f t="shared" si="249"/>
        <v>0</v>
      </c>
    </row>
    <row r="575" spans="1:21" s="376" customFormat="1" ht="15" customHeight="1" outlineLevel="1" x14ac:dyDescent="0.25">
      <c r="A575" s="374"/>
      <c r="B575" s="454" t="str">
        <f>CONCATENATE("Volumen de agua recuperado ",B564)</f>
        <v>Volumen de agua recuperado Telemetría y/o almacenamiento local de datos</v>
      </c>
      <c r="C575" s="374" t="s">
        <v>106</v>
      </c>
      <c r="D575" s="457">
        <f>SUM(L575:U575)</f>
        <v>0</v>
      </c>
      <c r="J575" s="338"/>
      <c r="K575" s="396"/>
      <c r="L575" s="378"/>
      <c r="M575" s="378"/>
      <c r="N575" s="378"/>
      <c r="O575" s="378"/>
      <c r="P575" s="378"/>
      <c r="Q575" s="378"/>
      <c r="R575" s="378"/>
      <c r="S575" s="378"/>
      <c r="T575" s="378"/>
      <c r="U575" s="378"/>
    </row>
    <row r="576" spans="1:21" s="376" customFormat="1" ht="15" customHeight="1" outlineLevel="1" x14ac:dyDescent="0.25">
      <c r="A576" s="374"/>
      <c r="B576" s="376" t="s">
        <v>750</v>
      </c>
      <c r="C576" s="374" t="s">
        <v>6</v>
      </c>
      <c r="D576" s="453">
        <f>NPV($D$31,L576:U576)+K576</f>
        <v>0</v>
      </c>
      <c r="J576" s="338"/>
      <c r="K576" s="452">
        <f>IF(OR(K570="N/A",K575=0),0,K575*K$29)</f>
        <v>0</v>
      </c>
      <c r="L576" s="452">
        <f>IF(OR(L570="N/A",L575=0),0,L575*L$29)</f>
        <v>0</v>
      </c>
      <c r="M576" s="452">
        <f t="shared" ref="M576:U576" si="250">IF(OR(M570="N/A",M575=0),0,M575*M$29)</f>
        <v>0</v>
      </c>
      <c r="N576" s="452">
        <f t="shared" si="250"/>
        <v>0</v>
      </c>
      <c r="O576" s="452">
        <f t="shared" si="250"/>
        <v>0</v>
      </c>
      <c r="P576" s="452">
        <f t="shared" si="250"/>
        <v>0</v>
      </c>
      <c r="Q576" s="452">
        <f t="shared" si="250"/>
        <v>0</v>
      </c>
      <c r="R576" s="452">
        <f t="shared" si="250"/>
        <v>0</v>
      </c>
      <c r="S576" s="452">
        <f t="shared" si="250"/>
        <v>0</v>
      </c>
      <c r="T576" s="452">
        <f t="shared" si="250"/>
        <v>0</v>
      </c>
      <c r="U576" s="452">
        <f t="shared" si="250"/>
        <v>0</v>
      </c>
    </row>
    <row r="577" spans="1:21" s="376" customFormat="1" ht="15" customHeight="1" outlineLevel="1" x14ac:dyDescent="0.25">
      <c r="A577" s="374"/>
      <c r="B577" s="376" t="s">
        <v>751</v>
      </c>
      <c r="C577" s="374"/>
      <c r="D577" s="455">
        <f>IFERROR(ROUND(IF(D576/D574=0,0,D576/D574),2),0)</f>
        <v>0</v>
      </c>
      <c r="J577" s="338"/>
      <c r="K577" s="455">
        <f t="shared" ref="K577:U577" si="251">IFERROR(ROUND(IF(K576/K574=0,0,K576/K574),2),0)</f>
        <v>0</v>
      </c>
      <c r="L577" s="455">
        <f t="shared" si="251"/>
        <v>0</v>
      </c>
      <c r="M577" s="455">
        <f t="shared" si="251"/>
        <v>0</v>
      </c>
      <c r="N577" s="455">
        <f t="shared" si="251"/>
        <v>0</v>
      </c>
      <c r="O577" s="455">
        <f t="shared" si="251"/>
        <v>0</v>
      </c>
      <c r="P577" s="455">
        <f t="shared" si="251"/>
        <v>0</v>
      </c>
      <c r="Q577" s="455">
        <f t="shared" si="251"/>
        <v>0</v>
      </c>
      <c r="R577" s="455">
        <f t="shared" si="251"/>
        <v>0</v>
      </c>
      <c r="S577" s="455">
        <f t="shared" si="251"/>
        <v>0</v>
      </c>
      <c r="T577" s="455">
        <f t="shared" si="251"/>
        <v>0</v>
      </c>
      <c r="U577" s="455">
        <f t="shared" si="251"/>
        <v>0</v>
      </c>
    </row>
    <row r="578" spans="1:21" s="326" customFormat="1" ht="15" customHeight="1" outlineLevel="1" x14ac:dyDescent="0.2">
      <c r="A578" s="316"/>
      <c r="C578" s="316"/>
      <c r="D578" s="297"/>
      <c r="K578" s="406"/>
      <c r="L578" s="406"/>
      <c r="M578" s="406"/>
      <c r="N578" s="406"/>
      <c r="O578" s="406"/>
      <c r="P578" s="406"/>
      <c r="Q578" s="406"/>
      <c r="R578" s="406"/>
      <c r="S578" s="406"/>
      <c r="T578" s="406"/>
      <c r="U578" s="406"/>
    </row>
    <row r="579" spans="1:21" s="307" customFormat="1" ht="12" customHeight="1" outlineLevel="1" x14ac:dyDescent="0.25">
      <c r="A579" s="380" t="s">
        <v>164</v>
      </c>
      <c r="B579" s="358" t="s">
        <v>161</v>
      </c>
      <c r="K579" s="365">
        <v>0</v>
      </c>
      <c r="L579" s="443">
        <f>IF(L581="N/A","",K579+1)</f>
        <v>1</v>
      </c>
      <c r="M579" s="443">
        <f>IF(M581="N/A","",L579+1)</f>
        <v>2</v>
      </c>
      <c r="N579" s="443">
        <f>IF(N581="N/A","",M579+1)</f>
        <v>3</v>
      </c>
      <c r="O579" s="443">
        <f>IF(O581="N/A","",N579+1)</f>
        <v>4</v>
      </c>
      <c r="P579" s="443" t="str">
        <f>IF(P581="N/A","",O579+1)</f>
        <v/>
      </c>
      <c r="Q579" s="443"/>
      <c r="R579" s="443"/>
      <c r="S579" s="443"/>
      <c r="T579" s="443"/>
      <c r="U579" s="443"/>
    </row>
    <row r="580" spans="1:21" s="307" customFormat="1" ht="24.95" customHeight="1" outlineLevel="1" x14ac:dyDescent="0.25">
      <c r="A580" s="446" t="str">
        <f>VLOOKUP(B580,'C UNIT PROG TÉCNICOS'!$B$8:$H$108,7,FALSE)</f>
        <v>OPEX</v>
      </c>
      <c r="B580" s="367" t="s">
        <v>62</v>
      </c>
      <c r="C580" s="304" t="s">
        <v>20</v>
      </c>
      <c r="D580" s="304"/>
      <c r="I580" s="369"/>
      <c r="J580" s="369"/>
      <c r="K580" s="442">
        <v>0</v>
      </c>
      <c r="L580" s="442">
        <f>IF(IF(SUM(L547,L530)=0,0,SUM(L547,L530))&lt;K580,IF(AND(L530=0,L547=0),SUM($D$546,$D$529),IF(L547=0,SUM($D$546,L530),IF(L530=0,SUM(L547,$D$529),SUM(L547,L530)))),SUM(L547,L530))</f>
        <v>128</v>
      </c>
      <c r="M580" s="442">
        <f>IF(IF(SUM(M547,M530)=0,0,SUM(M547,M530))&lt;L580,IF(AND(M530=0,M547=0),SUM($D$546,$D$529),IF(M547=0,SUM($D$546,M530),IF(M530=0,SUM(M547,$D$529),SUM(M547,M530)))),SUM(M547,M530))</f>
        <v>138</v>
      </c>
      <c r="N580" s="442">
        <f>IF(IF(SUM(N547,N530)=0,0,SUM(N547,N530))&lt;M580,IF(AND(N530=0,N547=0),SUM($D$546,$D$529),IF(N547=0,SUM($D$546,N530),IF(N530=0,SUM(N547,$D$529),SUM(N547,N530)))),SUM(N547,N530))</f>
        <v>150</v>
      </c>
      <c r="O580" s="442">
        <f>IF(IF(SUM(O547,O530)=0,0,SUM(O547,O530))&lt;N580,IF(AND(O530=0,O547=0),SUM($D$546,$D$529),IF(O547=0,SUM($D$546,O530),IF(O530=0,SUM(O547,$D$529),SUM(O547,O530)))),SUM(O547,O530))</f>
        <v>159</v>
      </c>
      <c r="P580" s="442"/>
      <c r="Q580" s="442"/>
      <c r="R580" s="442"/>
      <c r="S580" s="442"/>
      <c r="T580" s="442"/>
      <c r="U580" s="442"/>
    </row>
    <row r="581" spans="1:21" s="307" customFormat="1" ht="12" customHeight="1" outlineLevel="1" x14ac:dyDescent="0.25">
      <c r="A581" s="316"/>
      <c r="B581" s="307" t="s">
        <v>742</v>
      </c>
      <c r="D581" s="447" t="str">
        <f>IF(A580="CAPEX","Inversión",IF(A580="OPEX","Operación","I/O"))</f>
        <v>Operación</v>
      </c>
      <c r="I581" s="370"/>
      <c r="J581" s="338"/>
      <c r="K581" s="371" t="s">
        <v>8</v>
      </c>
      <c r="L581" s="371" t="s">
        <v>8</v>
      </c>
      <c r="M581" s="371" t="s">
        <v>8</v>
      </c>
      <c r="N581" s="371" t="s">
        <v>8</v>
      </c>
      <c r="O581" s="371" t="s">
        <v>8</v>
      </c>
      <c r="P581" s="371" t="s">
        <v>149</v>
      </c>
      <c r="Q581" s="371"/>
      <c r="R581" s="371"/>
      <c r="S581" s="371"/>
      <c r="T581" s="371"/>
      <c r="U581" s="371"/>
    </row>
    <row r="582" spans="1:21" s="307" customFormat="1" ht="12" customHeight="1" outlineLevel="1" x14ac:dyDescent="0.25">
      <c r="A582" s="316"/>
      <c r="B582" s="307" t="s">
        <v>762</v>
      </c>
      <c r="C582" s="304"/>
      <c r="D582" s="304"/>
      <c r="J582" s="338"/>
      <c r="K582" s="448">
        <f>IF(K581="N/A",0,IF(K581="SI",0,SUM(IF($D581="Inversión",0,VLOOKUP($B580,'C UNIT PROG TÉCNICOS'!$B$8:$G$160,6,FALSE)*'EV PROG TÉCNICOS'!K580))))</f>
        <v>0</v>
      </c>
      <c r="L582" s="448">
        <f>IF(L581="N/A",0,IF(L581="SI",0,SUM(IF($D581="Inversión",0,VLOOKUP($B580,'C UNIT PROG TÉCNICOS'!$B$8:$G$160,6,FALSE)*'EV PROG TÉCNICOS'!L580))))</f>
        <v>50.177479646240087</v>
      </c>
      <c r="M582" s="448">
        <f>IF(M581="N/A",0,IF(M581="SI",0,SUM(IF($D581="Inversión",0,VLOOKUP($B580,'C UNIT PROG TÉCNICOS'!$B$8:$G$160,6,FALSE)*'EV PROG TÉCNICOS'!M580))))</f>
        <v>54.097595243602591</v>
      </c>
      <c r="N582" s="448">
        <f>IF(N581="N/A",0,IF(N581="SI",0,SUM(IF($D581="Inversión",0,VLOOKUP($B580,'C UNIT PROG TÉCNICOS'!$B$8:$G$160,6,FALSE)*'EV PROG TÉCNICOS'!N580))))</f>
        <v>58.801733960437602</v>
      </c>
      <c r="O582" s="448">
        <f>IF(O581="N/A",0,IF(O581="SI",0,SUM(IF($D581="Inversión",0,VLOOKUP($B580,'C UNIT PROG TÉCNICOS'!$B$8:$G$160,6,FALSE)*'EV PROG TÉCNICOS'!O580))))</f>
        <v>62.329837998063859</v>
      </c>
      <c r="P582" s="448">
        <f>IF(P581="N/A",0,IF(P581="SI",0,SUM(IF($D581="Inversión",0,VLOOKUP($B580,'C UNIT PROG TÉCNICOS'!$B$8:$G$160,6,FALSE)*'EV PROG TÉCNICOS'!P580))))</f>
        <v>0</v>
      </c>
      <c r="Q582" s="448"/>
      <c r="R582" s="448"/>
      <c r="S582" s="448"/>
      <c r="T582" s="448"/>
      <c r="U582" s="448"/>
    </row>
    <row r="583" spans="1:21" s="307" customFormat="1" ht="12" customHeight="1" outlineLevel="1" x14ac:dyDescent="0.25">
      <c r="A583" s="316"/>
      <c r="B583" s="307" t="s">
        <v>763</v>
      </c>
      <c r="C583" s="304" t="s">
        <v>6</v>
      </c>
      <c r="D583" s="304"/>
      <c r="J583" s="338"/>
      <c r="K583" s="450">
        <f t="shared" ref="K583:P583" si="252">IF(K581="N/A",0,IF(K581="SI",0,K$21*K582))</f>
        <v>0</v>
      </c>
      <c r="L583" s="450">
        <f t="shared" si="252"/>
        <v>87856000</v>
      </c>
      <c r="M583" s="450">
        <f t="shared" si="252"/>
        <v>100099812.85605</v>
      </c>
      <c r="N583" s="450">
        <f t="shared" si="252"/>
        <v>114984198.05033812</v>
      </c>
      <c r="O583" s="450">
        <f t="shared" si="252"/>
        <v>128806194.15292318</v>
      </c>
      <c r="P583" s="450">
        <f t="shared" si="252"/>
        <v>0</v>
      </c>
      <c r="Q583" s="450"/>
      <c r="R583" s="450"/>
      <c r="S583" s="450"/>
      <c r="T583" s="450"/>
      <c r="U583" s="450"/>
    </row>
    <row r="584" spans="1:21" s="307" customFormat="1" ht="12" customHeight="1" outlineLevel="1" x14ac:dyDescent="0.25">
      <c r="A584" s="316"/>
      <c r="B584" s="307" t="s">
        <v>764</v>
      </c>
      <c r="C584" s="304" t="s">
        <v>6</v>
      </c>
      <c r="D584" s="304"/>
      <c r="J584" s="338"/>
      <c r="K584" s="450">
        <f>IF(K581="N/A",0,IF(K581="SI",0,IF(OR($D581="Inversión",$D581="I/O"),SUM(VLOOKUP($B580,'C UNIT PROG TÉCNICOS'!$B$8:$G$160,5,FALSE)*'EV PROG TÉCNICOS'!K580),0)))</f>
        <v>0</v>
      </c>
      <c r="L584" s="450">
        <f>IF(L581="N/A",0,IF(L581="SI",0,IF(OR($D581="Inversión",$D581="I/O"),SUM(VLOOKUP($B580,'C UNIT PROG TÉCNICOS'!$B$8:$G$160,5,FALSE)*'EV PROG TÉCNICOS'!L580),0))*((1+$D$24)^(L$3-$K$3)))</f>
        <v>0</v>
      </c>
      <c r="M584" s="450">
        <f>IF(M581="N/A",0,IF(M581="SI",0,IF(OR($D581="Inversión",$D581="I/O"),SUM(VLOOKUP($B580,'C UNIT PROG TÉCNICOS'!$B$8:$G$160,5,FALSE)*'EV PROG TÉCNICOS'!M580),0))*((1+$D$24)^(M$3-$K$3)))</f>
        <v>0</v>
      </c>
      <c r="N584" s="450">
        <f>IF(N581="N/A",0,IF(N581="SI",0,IF(OR($D581="Inversión",$D581="I/O"),SUM(VLOOKUP($B580,'C UNIT PROG TÉCNICOS'!$B$8:$G$160,5,FALSE)*'EV PROG TÉCNICOS'!N580),0))*((1+$D$24)^(N$3-$K$3)))</f>
        <v>0</v>
      </c>
      <c r="O584" s="450">
        <f>IF(O581="N/A",0,IF(O581="SI",0,IF(OR($D581="Inversión",$D581="I/O"),SUM(VLOOKUP($B580,'C UNIT PROG TÉCNICOS'!$B$8:$G$160,5,FALSE)*'EV PROG TÉCNICOS'!O580),0))*((1+$D$24)^(O$3-$K$3)))</f>
        <v>0</v>
      </c>
      <c r="P584" s="450">
        <f>IF(P581="N/A",0,IF(P581="SI",0,IF(OR($D581="Inversión",$D581="I/O"),SUM(VLOOKUP($B580,'C UNIT PROG TÉCNICOS'!$B$8:$G$160,5,FALSE)*'EV PROG TÉCNICOS'!P580),0))*((1+$D$24)^(P$3-$K$3)))</f>
        <v>0</v>
      </c>
      <c r="Q584" s="450"/>
      <c r="R584" s="450"/>
      <c r="S584" s="450"/>
      <c r="T584" s="450"/>
      <c r="U584" s="450"/>
    </row>
    <row r="585" spans="1:21" s="376" customFormat="1" ht="15" customHeight="1" outlineLevel="1" x14ac:dyDescent="0.25">
      <c r="A585" s="374"/>
      <c r="B585" s="454" t="str">
        <f>CONCATENATE("VNA  ",B579)</f>
        <v>VNA  Procesamiento de datos presión</v>
      </c>
      <c r="C585" s="374" t="s">
        <v>6</v>
      </c>
      <c r="D585" s="453">
        <f>NPV($D$31,L585:U585)+K585</f>
        <v>293199163.56796956</v>
      </c>
      <c r="J585" s="338"/>
      <c r="K585" s="452">
        <f t="shared" ref="K585:P585" si="253">IF(K581="N/A",0,IF($D581="Operación",K583,K584))</f>
        <v>0</v>
      </c>
      <c r="L585" s="452">
        <f t="shared" si="253"/>
        <v>87856000</v>
      </c>
      <c r="M585" s="452">
        <f t="shared" si="253"/>
        <v>100099812.85605</v>
      </c>
      <c r="N585" s="452">
        <f t="shared" si="253"/>
        <v>114984198.05033812</v>
      </c>
      <c r="O585" s="452">
        <f t="shared" si="253"/>
        <v>128806194.15292318</v>
      </c>
      <c r="P585" s="452">
        <f t="shared" si="253"/>
        <v>0</v>
      </c>
      <c r="Q585" s="452"/>
      <c r="R585" s="452"/>
      <c r="S585" s="452"/>
      <c r="T585" s="452"/>
      <c r="U585" s="452"/>
    </row>
    <row r="586" spans="1:21" s="376" customFormat="1" ht="15" customHeight="1" outlineLevel="1" x14ac:dyDescent="0.25">
      <c r="A586" s="374"/>
      <c r="B586" s="454" t="str">
        <f>CONCATENATE("Volumen de agua recuperado ",B579)</f>
        <v>Volumen de agua recuperado Procesamiento de datos presión</v>
      </c>
      <c r="C586" s="374" t="s">
        <v>106</v>
      </c>
      <c r="D586" s="457">
        <f>SUM(L586:U586)</f>
        <v>0</v>
      </c>
      <c r="K586" s="396"/>
      <c r="L586" s="378"/>
      <c r="M586" s="378"/>
      <c r="N586" s="378"/>
      <c r="O586" s="378"/>
      <c r="P586" s="378"/>
      <c r="Q586" s="378"/>
      <c r="R586" s="378"/>
      <c r="S586" s="378"/>
      <c r="T586" s="378"/>
      <c r="U586" s="378"/>
    </row>
    <row r="587" spans="1:21" s="376" customFormat="1" ht="15" customHeight="1" outlineLevel="1" x14ac:dyDescent="0.25">
      <c r="A587" s="374"/>
      <c r="B587" s="376" t="s">
        <v>750</v>
      </c>
      <c r="C587" s="374" t="s">
        <v>6</v>
      </c>
      <c r="D587" s="453">
        <f>NPV($D$31,L587:U587)+K587</f>
        <v>0</v>
      </c>
      <c r="K587" s="452">
        <f t="shared" ref="K587:P587" si="254">IF(OR(K581="N/A",K586=0),0,K586*K$29)</f>
        <v>0</v>
      </c>
      <c r="L587" s="452">
        <f t="shared" si="254"/>
        <v>0</v>
      </c>
      <c r="M587" s="452">
        <f t="shared" si="254"/>
        <v>0</v>
      </c>
      <c r="N587" s="452">
        <f t="shared" si="254"/>
        <v>0</v>
      </c>
      <c r="O587" s="452">
        <f t="shared" si="254"/>
        <v>0</v>
      </c>
      <c r="P587" s="452">
        <f t="shared" si="254"/>
        <v>0</v>
      </c>
      <c r="Q587" s="452"/>
      <c r="R587" s="452"/>
      <c r="S587" s="452"/>
      <c r="T587" s="452"/>
      <c r="U587" s="452"/>
    </row>
    <row r="588" spans="1:21" s="376" customFormat="1" ht="15" customHeight="1" outlineLevel="1" x14ac:dyDescent="0.25">
      <c r="A588" s="374"/>
      <c r="B588" s="376" t="s">
        <v>751</v>
      </c>
      <c r="C588" s="374"/>
      <c r="D588" s="455">
        <f>IFERROR(ROUND(IF(D587/D585=0,0,D587/D585),2),0)</f>
        <v>0</v>
      </c>
      <c r="K588" s="455">
        <f t="shared" ref="K588:P588" si="255">IFERROR(ROUND(IF(K587/K585=0,0,K587/K585),2),0)</f>
        <v>0</v>
      </c>
      <c r="L588" s="455">
        <f t="shared" si="255"/>
        <v>0</v>
      </c>
      <c r="M588" s="455">
        <f t="shared" si="255"/>
        <v>0</v>
      </c>
      <c r="N588" s="455">
        <f t="shared" si="255"/>
        <v>0</v>
      </c>
      <c r="O588" s="455">
        <f t="shared" si="255"/>
        <v>0</v>
      </c>
      <c r="P588" s="455">
        <f t="shared" si="255"/>
        <v>0</v>
      </c>
      <c r="Q588" s="455"/>
      <c r="R588" s="455"/>
      <c r="S588" s="455"/>
      <c r="T588" s="455"/>
      <c r="U588" s="455"/>
    </row>
    <row r="589" spans="1:21" s="307" customFormat="1" ht="12" customHeight="1" outlineLevel="1" x14ac:dyDescent="0.25">
      <c r="A589" s="304"/>
    </row>
    <row r="590" spans="1:21" s="307" customFormat="1" ht="12" customHeight="1" outlineLevel="1" x14ac:dyDescent="0.25">
      <c r="A590" s="380" t="s">
        <v>165</v>
      </c>
      <c r="B590" s="358" t="s">
        <v>162</v>
      </c>
      <c r="K590" s="365">
        <v>0</v>
      </c>
      <c r="L590" s="443">
        <f>IF(L592="N/A","",K590+1)</f>
        <v>1</v>
      </c>
      <c r="M590" s="443">
        <f>IF(M592="N/A","",L590+1)</f>
        <v>2</v>
      </c>
      <c r="N590" s="443">
        <f>IF(N592="N/A","",M590+1)</f>
        <v>3</v>
      </c>
      <c r="O590" s="443">
        <f>IF(O592="N/A","",N590+1)</f>
        <v>4</v>
      </c>
      <c r="P590" s="443" t="str">
        <f>IF(P592="N/A","",O590+1)</f>
        <v/>
      </c>
      <c r="Q590" s="443"/>
      <c r="R590" s="443"/>
      <c r="S590" s="443"/>
      <c r="T590" s="443"/>
      <c r="U590" s="443"/>
    </row>
    <row r="591" spans="1:21" s="307" customFormat="1" ht="24.95" customHeight="1" outlineLevel="1" x14ac:dyDescent="0.25">
      <c r="A591" s="446" t="str">
        <f>VLOOKUP(B591,'C UNIT PROG TÉCNICOS'!$B$8:$H$108,7,FALSE)</f>
        <v>OPEX</v>
      </c>
      <c r="B591" s="367" t="s">
        <v>63</v>
      </c>
      <c r="C591" s="304" t="s">
        <v>20</v>
      </c>
      <c r="D591" s="304" t="s">
        <v>19</v>
      </c>
      <c r="I591" s="369"/>
      <c r="J591" s="338"/>
      <c r="K591" s="442">
        <v>0</v>
      </c>
      <c r="L591" s="442">
        <f>IF(IF(SUM(L547,L530)=0,0,SUM(L547,L530))&lt;K591,IF(AND(L530=0,L547=0),SUM($D$546,$D$529),IF(L547=0,SUM($D$546,L530),IF(L530=0,SUM(L547,$D$529),SUM(L547,L530)))),SUM(L547,L530))</f>
        <v>128</v>
      </c>
      <c r="M591" s="442">
        <f>IF(IF(SUM(M547,M530)=0,0,SUM(M547,M530))&lt;L591,IF(AND(M530=0,M547=0),SUM($D$546,$D$529),IF(M547=0,SUM($D$546,M530),IF(M530=0,SUM(M547,$D$529),SUM(M547,M530)))),SUM(M547,M530))</f>
        <v>138</v>
      </c>
      <c r="N591" s="442">
        <f>IF(IF(SUM(N547,N530)=0,0,SUM(N547,N530))&lt;M591,IF(AND(N530=0,N547=0),SUM($D$546,$D$529),IF(N547=0,SUM($D$546,N530),IF(N530=0,SUM(N547,$D$529),SUM(N547,N530)))),SUM(N547,N530))</f>
        <v>150</v>
      </c>
      <c r="O591" s="442">
        <f>IF(IF(SUM(O547,O530)=0,0,SUM(O547,O530))&lt;N591,IF(AND(O530=0,O547=0),SUM($D$546,$D$529),IF(O547=0,SUM($D$546,O530),IF(O530=0,SUM(O547,$D$529),SUM(O547,O530)))),SUM(O547,O530))</f>
        <v>159</v>
      </c>
      <c r="P591" s="442"/>
      <c r="Q591" s="442"/>
      <c r="R591" s="442"/>
      <c r="S591" s="442"/>
      <c r="T591" s="442"/>
      <c r="U591" s="442"/>
    </row>
    <row r="592" spans="1:21" s="307" customFormat="1" ht="12" customHeight="1" outlineLevel="1" x14ac:dyDescent="0.25">
      <c r="A592" s="316"/>
      <c r="B592" s="307" t="s">
        <v>742</v>
      </c>
      <c r="D592" s="447" t="str">
        <f>IF(A591="CAPEX","Inversión",IF(A591="OPEX","Operación","I/O"))</f>
        <v>Operación</v>
      </c>
      <c r="I592" s="370"/>
      <c r="J592" s="338"/>
      <c r="K592" s="371" t="s">
        <v>8</v>
      </c>
      <c r="L592" s="371" t="s">
        <v>8</v>
      </c>
      <c r="M592" s="371" t="s">
        <v>8</v>
      </c>
      <c r="N592" s="371" t="s">
        <v>8</v>
      </c>
      <c r="O592" s="371" t="s">
        <v>8</v>
      </c>
      <c r="P592" s="371" t="s">
        <v>149</v>
      </c>
      <c r="Q592" s="371"/>
      <c r="R592" s="371"/>
      <c r="S592" s="371"/>
      <c r="T592" s="371"/>
      <c r="U592" s="371"/>
    </row>
    <row r="593" spans="1:23" s="307" customFormat="1" ht="12" customHeight="1" outlineLevel="1" x14ac:dyDescent="0.25">
      <c r="A593" s="316"/>
      <c r="B593" s="307" t="s">
        <v>762</v>
      </c>
      <c r="C593" s="304"/>
      <c r="D593" s="304"/>
      <c r="J593" s="338"/>
      <c r="K593" s="448">
        <f>IF(K592="N/A",0,IF(K592="SI",0,SUM(IF($D592="Inversión",0,VLOOKUP($B591,'C UNIT PROG TÉCNICOS'!$B$8:$G$160,6,FALSE)*'EV PROG TÉCNICOS'!K591))))</f>
        <v>0</v>
      </c>
      <c r="L593" s="448">
        <f>IF(L592="N/A",0,IF(L592="SI",0,SUM(IF($D592="Inversión",0,VLOOKUP($B591,'C UNIT PROG TÉCNICOS'!$B$8:$G$160,6,FALSE)*'EV PROG TÉCNICOS'!L591))))</f>
        <v>59.425268646785518</v>
      </c>
      <c r="M593" s="448">
        <f>IF(M592="N/A",0,IF(M592="SI",0,SUM(IF($D592="Inversión",0,VLOOKUP($B591,'C UNIT PROG TÉCNICOS'!$B$8:$G$160,6,FALSE)*'EV PROG TÉCNICOS'!M591))))</f>
        <v>64.067867759815641</v>
      </c>
      <c r="N593" s="448">
        <f>IF(N592="N/A",0,IF(N592="SI",0,SUM(IF($D592="Inversión",0,VLOOKUP($B591,'C UNIT PROG TÉCNICOS'!$B$8:$G$160,6,FALSE)*'EV PROG TÉCNICOS'!N591))))</f>
        <v>69.638986695451777</v>
      </c>
      <c r="O593" s="448">
        <f>IF(O592="N/A",0,IF(O592="SI",0,SUM(IF($D592="Inversión",0,VLOOKUP($B591,'C UNIT PROG TÉCNICOS'!$B$8:$G$160,6,FALSE)*'EV PROG TÉCNICOS'!O591))))</f>
        <v>73.81732589717889</v>
      </c>
      <c r="P593" s="448">
        <f>IF(P592="N/A",0,IF(P592="SI",0,SUM(IF($D592="Inversión",0,VLOOKUP($B591,'C UNIT PROG TÉCNICOS'!$B$8:$G$160,6,FALSE)*'EV PROG TÉCNICOS'!P591))))</f>
        <v>0</v>
      </c>
      <c r="Q593" s="448"/>
      <c r="R593" s="448"/>
      <c r="S593" s="448"/>
      <c r="T593" s="448"/>
      <c r="U593" s="448"/>
    </row>
    <row r="594" spans="1:23" s="307" customFormat="1" ht="12" customHeight="1" outlineLevel="1" x14ac:dyDescent="0.25">
      <c r="A594" s="316"/>
      <c r="B594" s="307" t="s">
        <v>763</v>
      </c>
      <c r="C594" s="304" t="s">
        <v>6</v>
      </c>
      <c r="D594" s="304"/>
      <c r="J594" s="338"/>
      <c r="K594" s="450">
        <f t="shared" ref="K594:P594" si="256">IF(K592="N/A",0,IF(K592="SI",0,K$21*K593))</f>
        <v>0</v>
      </c>
      <c r="L594" s="450">
        <f t="shared" si="256"/>
        <v>104048000</v>
      </c>
      <c r="M594" s="450">
        <f t="shared" si="256"/>
        <v>118548366.96465001</v>
      </c>
      <c r="N594" s="450">
        <f t="shared" si="256"/>
        <v>136175967.93322688</v>
      </c>
      <c r="O594" s="450">
        <f t="shared" si="256"/>
        <v>152545379.81723902</v>
      </c>
      <c r="P594" s="450">
        <f t="shared" si="256"/>
        <v>0</v>
      </c>
      <c r="Q594" s="450"/>
      <c r="R594" s="450"/>
      <c r="S594" s="450"/>
      <c r="T594" s="450"/>
      <c r="U594" s="450"/>
    </row>
    <row r="595" spans="1:23" s="307" customFormat="1" ht="12" customHeight="1" outlineLevel="1" x14ac:dyDescent="0.25">
      <c r="A595" s="316"/>
      <c r="B595" s="307" t="s">
        <v>764</v>
      </c>
      <c r="C595" s="304" t="s">
        <v>6</v>
      </c>
      <c r="J595" s="338"/>
      <c r="K595" s="450">
        <f>IF(K592="N/A",0,IF(K592="SI",0,IF(OR($D592="Inversión",$D592="I/O"),SUM(VLOOKUP($B591,'C UNIT PROG TÉCNICOS'!$B$8:$G$160,5,FALSE)*'EV PROG TÉCNICOS'!K591),0)))</f>
        <v>0</v>
      </c>
      <c r="L595" s="450">
        <f>IF(L592="N/A",0,IF(L592="SI",0,IF(OR($D592="Inversión",$D592="I/O"),SUM(VLOOKUP($B591,'C UNIT PROG TÉCNICOS'!$B$8:$G$160,5,FALSE)*'EV PROG TÉCNICOS'!L591),0))*((1+$D$24)^(L$3-$K$3)))</f>
        <v>0</v>
      </c>
      <c r="M595" s="450">
        <f>IF(M592="N/A",0,IF(M592="SI",0,IF(OR($D592="Inversión",$D592="I/O"),SUM(VLOOKUP($B591,'C UNIT PROG TÉCNICOS'!$B$8:$G$160,5,FALSE)*'EV PROG TÉCNICOS'!M591),0))*((1+$D$24)^(M$3-$K$3)))</f>
        <v>0</v>
      </c>
      <c r="N595" s="450">
        <f>IF(N592="N/A",0,IF(N592="SI",0,IF(OR($D592="Inversión",$D592="I/O"),SUM(VLOOKUP($B591,'C UNIT PROG TÉCNICOS'!$B$8:$G$160,5,FALSE)*'EV PROG TÉCNICOS'!N591),0))*((1+$D$24)^(N$3-$K$3)))</f>
        <v>0</v>
      </c>
      <c r="O595" s="450">
        <f>IF(O592="N/A",0,IF(O592="SI",0,IF(OR($D592="Inversión",$D592="I/O"),SUM(VLOOKUP($B591,'C UNIT PROG TÉCNICOS'!$B$8:$G$160,5,FALSE)*'EV PROG TÉCNICOS'!O591),0))*((1+$D$24)^(O$3-$K$3)))</f>
        <v>0</v>
      </c>
      <c r="P595" s="450">
        <f>IF(P592="N/A",0,IF(P592="SI",0,IF(OR($D592="Inversión",$D592="I/O"),SUM(VLOOKUP($B591,'C UNIT PROG TÉCNICOS'!$B$8:$G$160,5,FALSE)*'EV PROG TÉCNICOS'!P591),0))*((1+$D$24)^(P$3-$K$3)))</f>
        <v>0</v>
      </c>
      <c r="Q595" s="450"/>
      <c r="R595" s="450"/>
      <c r="S595" s="450"/>
      <c r="T595" s="450"/>
      <c r="U595" s="450"/>
    </row>
    <row r="596" spans="1:23" s="376" customFormat="1" ht="15" customHeight="1" outlineLevel="1" x14ac:dyDescent="0.25">
      <c r="A596" s="374"/>
      <c r="B596" s="458" t="str">
        <f>CONCATENATE("VNA  ",B590)</f>
        <v>VNA  Análisis de datos de presión</v>
      </c>
      <c r="C596" s="374" t="s">
        <v>6</v>
      </c>
      <c r="D596" s="453">
        <f>NPV($D$31,L596:U596)+K596</f>
        <v>347236233.9614836</v>
      </c>
      <c r="J596" s="338"/>
      <c r="K596" s="452">
        <f t="shared" ref="K596:P596" si="257">IF(K592="N/A",0,IF($D592="Operación",K594,K595))</f>
        <v>0</v>
      </c>
      <c r="L596" s="452">
        <f t="shared" si="257"/>
        <v>104048000</v>
      </c>
      <c r="M596" s="452">
        <f t="shared" si="257"/>
        <v>118548366.96465001</v>
      </c>
      <c r="N596" s="452">
        <f t="shared" si="257"/>
        <v>136175967.93322688</v>
      </c>
      <c r="O596" s="452">
        <f t="shared" si="257"/>
        <v>152545379.81723902</v>
      </c>
      <c r="P596" s="452">
        <f t="shared" si="257"/>
        <v>0</v>
      </c>
      <c r="Q596" s="452"/>
      <c r="R596" s="452"/>
      <c r="S596" s="452"/>
      <c r="T596" s="452"/>
      <c r="U596" s="452"/>
    </row>
    <row r="597" spans="1:23" s="376" customFormat="1" ht="15" customHeight="1" outlineLevel="1" x14ac:dyDescent="0.25">
      <c r="A597" s="374"/>
      <c r="B597" s="454" t="str">
        <f>CONCATENATE("Volumen de agua recuperado ",B590)</f>
        <v>Volumen de agua recuperado Análisis de datos de presión</v>
      </c>
      <c r="C597" s="374" t="s">
        <v>106</v>
      </c>
      <c r="D597" s="457">
        <f>SUM(L597:U597)</f>
        <v>0</v>
      </c>
      <c r="J597" s="338"/>
      <c r="K597" s="396"/>
      <c r="L597" s="396"/>
      <c r="M597" s="396"/>
      <c r="N597" s="396"/>
      <c r="O597" s="396"/>
      <c r="P597" s="396"/>
      <c r="Q597" s="396"/>
      <c r="R597" s="396"/>
      <c r="S597" s="396"/>
      <c r="T597" s="396"/>
      <c r="U597" s="396"/>
    </row>
    <row r="598" spans="1:23" s="376" customFormat="1" ht="15" customHeight="1" outlineLevel="1" x14ac:dyDescent="0.25">
      <c r="A598" s="374"/>
      <c r="B598" s="376" t="s">
        <v>750</v>
      </c>
      <c r="C598" s="374" t="s">
        <v>6</v>
      </c>
      <c r="D598" s="453">
        <f>NPV($D$31,L598:U598)+K598</f>
        <v>0</v>
      </c>
      <c r="J598" s="338"/>
      <c r="K598" s="452">
        <f>IF(OR(K592="N/A",K597=0),0,K597*K$29)</f>
        <v>0</v>
      </c>
      <c r="L598" s="452">
        <f>IF(OR(L592="N/A",L597=0),0,L597*L$29)</f>
        <v>0</v>
      </c>
      <c r="M598" s="452">
        <f t="shared" ref="M598:U598" si="258">IF(OR(M592="N/A",M597=0),0,M597*M$29)</f>
        <v>0</v>
      </c>
      <c r="N598" s="452">
        <f t="shared" si="258"/>
        <v>0</v>
      </c>
      <c r="O598" s="452">
        <f t="shared" si="258"/>
        <v>0</v>
      </c>
      <c r="P598" s="452">
        <f t="shared" si="258"/>
        <v>0</v>
      </c>
      <c r="Q598" s="452">
        <f t="shared" si="258"/>
        <v>0</v>
      </c>
      <c r="R598" s="452">
        <f t="shared" si="258"/>
        <v>0</v>
      </c>
      <c r="S598" s="452">
        <f t="shared" si="258"/>
        <v>0</v>
      </c>
      <c r="T598" s="452">
        <f t="shared" si="258"/>
        <v>0</v>
      </c>
      <c r="U598" s="452">
        <f t="shared" si="258"/>
        <v>0</v>
      </c>
    </row>
    <row r="599" spans="1:23" s="376" customFormat="1" ht="15" customHeight="1" outlineLevel="1" x14ac:dyDescent="0.25">
      <c r="A599" s="374"/>
      <c r="B599" s="376" t="s">
        <v>751</v>
      </c>
      <c r="C599" s="374"/>
      <c r="D599" s="455">
        <f>IFERROR(ROUND(IF(D598/D596=0,0,D598/D596),2),0)</f>
        <v>0</v>
      </c>
      <c r="J599" s="338"/>
      <c r="K599" s="455">
        <f>IFERROR(ROUND(IF(K598/K596=0,0,K598/K596),2),0)</f>
        <v>0</v>
      </c>
      <c r="L599" s="455">
        <f>IFERROR(ROUND(IF(L598/L596=0,0,L598/L596),2),0)</f>
        <v>0</v>
      </c>
      <c r="M599" s="455">
        <f t="shared" ref="M599:U599" si="259">IFERROR(ROUND(IF(M598/M596=0,0,M598/M596),2),0)</f>
        <v>0</v>
      </c>
      <c r="N599" s="455">
        <f t="shared" si="259"/>
        <v>0</v>
      </c>
      <c r="O599" s="455">
        <f t="shared" si="259"/>
        <v>0</v>
      </c>
      <c r="P599" s="455">
        <f t="shared" si="259"/>
        <v>0</v>
      </c>
      <c r="Q599" s="455">
        <f t="shared" si="259"/>
        <v>0</v>
      </c>
      <c r="R599" s="455">
        <f t="shared" si="259"/>
        <v>0</v>
      </c>
      <c r="S599" s="455">
        <f t="shared" si="259"/>
        <v>0</v>
      </c>
      <c r="T599" s="455">
        <f t="shared" si="259"/>
        <v>0</v>
      </c>
      <c r="U599" s="455">
        <f t="shared" si="259"/>
        <v>0</v>
      </c>
    </row>
    <row r="600" spans="1:23" outlineLevel="1" x14ac:dyDescent="0.2"/>
    <row r="601" spans="1:23" s="307" customFormat="1" ht="12" customHeight="1" outlineLevel="1" x14ac:dyDescent="0.25">
      <c r="A601" s="304" t="s">
        <v>307</v>
      </c>
      <c r="B601" s="358" t="s">
        <v>225</v>
      </c>
      <c r="C601" s="304"/>
      <c r="D601" s="304"/>
      <c r="K601" s="373"/>
      <c r="L601" s="373"/>
      <c r="M601" s="373"/>
      <c r="N601" s="373"/>
      <c r="O601" s="373"/>
      <c r="P601" s="373"/>
      <c r="Q601" s="373"/>
      <c r="R601" s="373"/>
      <c r="S601" s="373"/>
      <c r="T601" s="373"/>
      <c r="U601" s="373"/>
    </row>
    <row r="602" spans="1:23" s="326" customFormat="1" ht="12" customHeight="1" outlineLevel="1" x14ac:dyDescent="0.25">
      <c r="A602" s="316"/>
      <c r="B602" s="307" t="s">
        <v>166</v>
      </c>
      <c r="C602" s="304" t="s">
        <v>11</v>
      </c>
      <c r="D602" s="397">
        <v>5</v>
      </c>
      <c r="E602" s="364"/>
      <c r="F602" s="364"/>
      <c r="G602" s="364"/>
      <c r="H602" s="364"/>
      <c r="I602" s="364"/>
      <c r="J602" s="338"/>
      <c r="K602" s="365">
        <v>0</v>
      </c>
      <c r="L602" s="443">
        <f>K602+1</f>
        <v>1</v>
      </c>
      <c r="M602" s="443">
        <f>L602+1</f>
        <v>2</v>
      </c>
      <c r="N602" s="443"/>
      <c r="O602" s="443"/>
      <c r="P602" s="443"/>
      <c r="Q602" s="443"/>
      <c r="R602" s="443"/>
      <c r="S602" s="443"/>
      <c r="T602" s="443"/>
      <c r="U602" s="443"/>
      <c r="V602" s="365"/>
    </row>
    <row r="603" spans="1:23" s="307" customFormat="1" ht="12" customHeight="1" outlineLevel="1" x14ac:dyDescent="0.25">
      <c r="A603" s="304"/>
      <c r="B603" s="307" t="s">
        <v>169</v>
      </c>
      <c r="C603" s="304" t="s">
        <v>20</v>
      </c>
      <c r="D603" s="464">
        <f>ROUND($D$530*0.2,0)</f>
        <v>24</v>
      </c>
      <c r="E603" s="463" t="str">
        <f>IF(D603&lt;&gt;SUM(L603:O603),"NO","SI")</f>
        <v>SI</v>
      </c>
      <c r="J603" s="338"/>
      <c r="K603" s="372"/>
      <c r="L603" s="463">
        <f>IF($D$603&gt;5,IF(OR(L$602=$L$602,L$602=$L$602+1,L$602=$D$602+1,L$602=$D$602+2,L$602=($D$602+1)*2),$D$603/2,0),IF(OR(L$602=$L$602,L$602=$D$602+1,L$602=($D$602+1)*2),$D$603,0))</f>
        <v>12</v>
      </c>
      <c r="M603" s="463">
        <f>IF($D$603&gt;5,IF(OR(M$602=$L$602,M$602=$L$602+1,M$602=$D$602+1,M$602=$D$602+2,M$602=($D$602+1)*2),$D$603/2,0),IF(OR(M$602=$L$602,M$602=$D$602+1,M$602=($D$602+1)*2),$D$603,0))</f>
        <v>12</v>
      </c>
      <c r="N603" s="463"/>
      <c r="O603" s="463"/>
      <c r="P603" s="463"/>
      <c r="Q603" s="463"/>
      <c r="R603" s="463"/>
      <c r="S603" s="463"/>
      <c r="T603" s="463"/>
      <c r="U603" s="463"/>
      <c r="V603" s="338"/>
      <c r="W603" s="338"/>
    </row>
    <row r="604" spans="1:23" s="326" customFormat="1" ht="12" customHeight="1" outlineLevel="1" x14ac:dyDescent="0.25">
      <c r="A604" s="316"/>
      <c r="B604" s="808" t="s">
        <v>168</v>
      </c>
      <c r="C604" s="304" t="s">
        <v>20</v>
      </c>
      <c r="D604" s="464">
        <f>IF(ROUND($D$551*0.5,0)-D605&lt;0,0,ROUND($D$551*0.5,0)-D605)</f>
        <v>6</v>
      </c>
      <c r="E604" s="316"/>
      <c r="J604" s="338"/>
      <c r="K604" s="372"/>
      <c r="L604" s="463">
        <f>IF($D$604&gt;5,IF(OR(L$602=$L$602,L$602=$L$602+1,L$602=$D$602+1,L$602=$D$602+2,L$602=($D$602+1)*2),$D$604/2,0),IF(OR(L$602=$L$602,L$602=$D$602+1,L$602=($D$602+1)*2),$D$604,0))</f>
        <v>3</v>
      </c>
      <c r="M604" s="463">
        <f>IF($D$604&gt;5,IF(OR(M$602=$L$602,M$602=$L$602+1,M$602=$D$602+1,M$602=$D$602+2,M$602=($D$602+1)*2),$D$604/2,0),IF(OR(M$602=$L$602,M$602=$D$602+1,M$602=($D$602+1)*2),$D$604,0))</f>
        <v>3</v>
      </c>
      <c r="N604" s="463"/>
      <c r="O604" s="463"/>
      <c r="P604" s="463"/>
      <c r="Q604" s="463"/>
      <c r="R604" s="463"/>
      <c r="S604" s="463"/>
      <c r="T604" s="463"/>
      <c r="U604" s="463"/>
      <c r="V604" s="338"/>
      <c r="W604" s="338"/>
    </row>
    <row r="605" spans="1:23" s="326" customFormat="1" ht="12" customHeight="1" outlineLevel="1" x14ac:dyDescent="0.25">
      <c r="A605" s="316"/>
      <c r="B605" s="808" t="s">
        <v>315</v>
      </c>
      <c r="C605" s="304" t="s">
        <v>20</v>
      </c>
      <c r="D605" s="464">
        <f>$K$554</f>
        <v>0</v>
      </c>
      <c r="E605" s="316"/>
      <c r="J605" s="338"/>
      <c r="K605" s="463">
        <f>IF(OR(K602=$D$602,K602=($D$602+1)*2),$D$605,0)</f>
        <v>0</v>
      </c>
      <c r="L605" s="463">
        <f>IF(OR(L602=$D$602,L602=($D$602)*2),$D$605,0)</f>
        <v>0</v>
      </c>
      <c r="M605" s="463">
        <f>IF(OR(M602=$D$602,M602=($D$602)*2),$D$605,0)</f>
        <v>0</v>
      </c>
      <c r="N605" s="463"/>
      <c r="O605" s="463"/>
      <c r="P605" s="463"/>
      <c r="Q605" s="463"/>
      <c r="R605" s="463"/>
      <c r="S605" s="463"/>
      <c r="T605" s="463"/>
      <c r="U605" s="463"/>
      <c r="V605" s="338"/>
      <c r="W605" s="338"/>
    </row>
    <row r="606" spans="1:23" s="326" customFormat="1" ht="12" customHeight="1" outlineLevel="1" x14ac:dyDescent="0.25">
      <c r="A606" s="316"/>
      <c r="B606" s="808" t="s">
        <v>170</v>
      </c>
      <c r="C606" s="304" t="s">
        <v>20</v>
      </c>
      <c r="D606" s="464">
        <f>$D$531</f>
        <v>33</v>
      </c>
      <c r="E606" s="316"/>
      <c r="J606" s="338"/>
      <c r="K606" s="464">
        <f>IF(K532&lt;&gt;0,0,IF(K602&lt;=$D$602,0,IF(K602&gt;$D$602,HLOOKUP(F602,$L$528:$U$532,5,FALSE),0)))</f>
        <v>0</v>
      </c>
      <c r="L606" s="464">
        <f>IF(L602&lt;=$D$602,0,IFERROR(IF(L602&gt;$D$602,HLOOKUP((L602-$D$602),$L$528:$U$532,5,FALSE),0),0))</f>
        <v>0</v>
      </c>
      <c r="M606" s="464">
        <f>IF(M602&lt;=$D$602,0,IFERROR(IF(M602&gt;$D$602,HLOOKUP((M602-$D$602),$L$528:$U$532,5,FALSE),0),0))</f>
        <v>0</v>
      </c>
      <c r="N606" s="464"/>
      <c r="O606" s="464"/>
      <c r="P606" s="464"/>
      <c r="Q606" s="464"/>
      <c r="R606" s="464"/>
      <c r="S606" s="464"/>
      <c r="T606" s="464"/>
      <c r="U606" s="464"/>
      <c r="V606" s="338"/>
      <c r="W606" s="338"/>
    </row>
    <row r="607" spans="1:23" s="326" customFormat="1" ht="12" customHeight="1" outlineLevel="1" x14ac:dyDescent="0.25">
      <c r="A607" s="316"/>
      <c r="B607" s="808" t="s">
        <v>171</v>
      </c>
      <c r="C607" s="304" t="s">
        <v>20</v>
      </c>
      <c r="D607" s="464">
        <f>$D$552</f>
        <v>4</v>
      </c>
      <c r="E607" s="316"/>
      <c r="J607" s="338"/>
      <c r="K607" s="464">
        <f>IF(K554&lt;&gt;0,0,IF(K603&lt;=$D$602,0,IF(K603&gt;$D$602,HLOOKUP(F603,$L$545:$U$554,10,FALSE),0)))</f>
        <v>0</v>
      </c>
      <c r="L607" s="464">
        <f>IFERROR(IF(L554&lt;&gt;0,0,IF(L603&lt;=$D$602,0,IF(L603&gt;$D$602,HLOOKUP(G603,$L$545:$U$554,10,FALSE),0))),0)</f>
        <v>0</v>
      </c>
      <c r="M607" s="464">
        <f>IFERROR(IF(M554&lt;&gt;0,0,IF(M603&lt;=$D$602,0,IF(M603&gt;$D$602,HLOOKUP(H603,$L$545:$U$554,10,FALSE),0))),0)</f>
        <v>0</v>
      </c>
      <c r="N607" s="464"/>
      <c r="O607" s="464"/>
      <c r="P607" s="464"/>
      <c r="Q607" s="464"/>
      <c r="R607" s="464"/>
      <c r="S607" s="464"/>
      <c r="T607" s="464"/>
      <c r="U607" s="464"/>
      <c r="V607" s="338"/>
      <c r="W607" s="338"/>
    </row>
    <row r="608" spans="1:23" s="326" customFormat="1" ht="27.6" customHeight="1" outlineLevel="1" x14ac:dyDescent="0.25">
      <c r="A608" s="446" t="str">
        <f>VLOOKUP(B608,'C UNIT PROG TÉCNICOS'!$B$8:$H$108,7,FALSE)</f>
        <v>CAPEX</v>
      </c>
      <c r="B608" s="898" t="s">
        <v>45</v>
      </c>
      <c r="C608" s="304" t="s">
        <v>20</v>
      </c>
      <c r="D608" s="342"/>
      <c r="E608" s="316"/>
      <c r="J608" s="338"/>
      <c r="K608" s="832">
        <f>IF(SUM(K603:K607)&lt;=0,0,SUM(K603:K607))</f>
        <v>0</v>
      </c>
      <c r="L608" s="832">
        <f>IF(SUM(L603:L607)&lt;=0,0,SUM(L603:L607))</f>
        <v>15</v>
      </c>
      <c r="M608" s="832">
        <f>IF(SUM(M603:M607)&lt;=0,0,SUM(M603:M607))</f>
        <v>15</v>
      </c>
      <c r="N608" s="832"/>
      <c r="O608" s="832"/>
      <c r="P608" s="832"/>
      <c r="Q608" s="832"/>
      <c r="R608" s="832"/>
      <c r="S608" s="832"/>
      <c r="T608" s="832"/>
      <c r="U608" s="832"/>
      <c r="V608" s="338"/>
      <c r="W608" s="338"/>
    </row>
    <row r="609" spans="1:24" s="307" customFormat="1" ht="12" customHeight="1" outlineLevel="1" x14ac:dyDescent="0.25">
      <c r="A609" s="316"/>
      <c r="B609" s="808" t="s">
        <v>742</v>
      </c>
      <c r="D609" s="447" t="str">
        <f>IF(A608="CAPEX","Inversión",IF(A608="OPEX","Operación","I/O"))</f>
        <v>Inversión</v>
      </c>
      <c r="I609" s="370"/>
      <c r="J609" s="338"/>
      <c r="K609" s="371" t="s">
        <v>8</v>
      </c>
      <c r="L609" s="371" t="s">
        <v>8</v>
      </c>
      <c r="M609" s="371" t="s">
        <v>8</v>
      </c>
      <c r="N609" s="371" t="s">
        <v>149</v>
      </c>
      <c r="O609" s="371" t="s">
        <v>149</v>
      </c>
      <c r="P609" s="371" t="s">
        <v>149</v>
      </c>
      <c r="Q609" s="371"/>
      <c r="R609" s="371"/>
      <c r="S609" s="371"/>
      <c r="T609" s="371"/>
      <c r="U609" s="371"/>
    </row>
    <row r="610" spans="1:24" s="307" customFormat="1" ht="12" customHeight="1" outlineLevel="1" x14ac:dyDescent="0.25">
      <c r="A610" s="316"/>
      <c r="B610" s="808" t="s">
        <v>762</v>
      </c>
      <c r="C610" s="304"/>
      <c r="D610" s="304"/>
      <c r="J610" s="338"/>
      <c r="K610" s="448">
        <f>IF(K609="N/A",0,IF(K609="SI",0,SUM(IF($D609="Inversión",0,VLOOKUP($B608,'C UNIT PROG TÉCNICOS'!$B$8:$G$160,6,FALSE)*'EV PROG TÉCNICOS'!K608))))</f>
        <v>0</v>
      </c>
      <c r="L610" s="448">
        <f>IF(L609="N/A",0,IF(L609="SI",0,SUM(IF($D609="Inversión",0,VLOOKUP($B608,'C UNIT PROG TÉCNICOS'!$B$8:$G$160,6,FALSE)*'EV PROG TÉCNICOS'!L608))))</f>
        <v>0</v>
      </c>
      <c r="M610" s="448">
        <f>IF(M609="N/A",0,IF(M609="SI",0,SUM(IF($D609="Inversión",0,VLOOKUP($B608,'C UNIT PROG TÉCNICOS'!$B$8:$G$160,6,FALSE)*'EV PROG TÉCNICOS'!M608))))</f>
        <v>0</v>
      </c>
      <c r="N610" s="448">
        <f>IF(N609="N/A",0,IF(N609="SI",0,SUM(IF($D609="Inversión",0,VLOOKUP($B608,'C UNIT PROG TÉCNICOS'!$B$8:$G$160,6,FALSE)*'EV PROG TÉCNICOS'!N608))))</f>
        <v>0</v>
      </c>
      <c r="O610" s="448">
        <f>IF(O609="N/A",0,IF(O609="SI",0,SUM(IF($D609="Inversión",0,VLOOKUP($B608,'C UNIT PROG TÉCNICOS'!$B$8:$G$160,6,FALSE)*'EV PROG TÉCNICOS'!O608))))</f>
        <v>0</v>
      </c>
      <c r="P610" s="448">
        <f>IF(P609="N/A",0,IF(P609="SI",0,SUM(IF($D609="Inversión",0,VLOOKUP($B608,'C UNIT PROG TÉCNICOS'!$B$8:$G$160,6,FALSE)*'EV PROG TÉCNICOS'!P608))))</f>
        <v>0</v>
      </c>
      <c r="Q610" s="448"/>
      <c r="R610" s="448"/>
      <c r="S610" s="448"/>
      <c r="T610" s="448"/>
      <c r="U610" s="448"/>
      <c r="V610" s="372"/>
      <c r="W610" s="372"/>
      <c r="X610" s="372"/>
    </row>
    <row r="611" spans="1:24" s="307" customFormat="1" ht="12" customHeight="1" outlineLevel="1" x14ac:dyDescent="0.25">
      <c r="A611" s="316"/>
      <c r="B611" s="808" t="s">
        <v>763</v>
      </c>
      <c r="C611" s="304" t="s">
        <v>6</v>
      </c>
      <c r="D611" s="304"/>
      <c r="J611" s="338"/>
      <c r="K611" s="450">
        <f t="shared" ref="K611:P611" si="260">IF(K609="N/A",0,IF(K609="SI",0,K$21*K610))</f>
        <v>0</v>
      </c>
      <c r="L611" s="450">
        <f t="shared" si="260"/>
        <v>0</v>
      </c>
      <c r="M611" s="450">
        <f t="shared" si="260"/>
        <v>0</v>
      </c>
      <c r="N611" s="450">
        <f t="shared" si="260"/>
        <v>0</v>
      </c>
      <c r="O611" s="450">
        <f t="shared" si="260"/>
        <v>0</v>
      </c>
      <c r="P611" s="450">
        <f t="shared" si="260"/>
        <v>0</v>
      </c>
      <c r="Q611" s="450"/>
      <c r="R611" s="450"/>
      <c r="S611" s="450"/>
      <c r="T611" s="450"/>
      <c r="U611" s="450"/>
    </row>
    <row r="612" spans="1:24" s="307" customFormat="1" ht="12" customHeight="1" outlineLevel="1" x14ac:dyDescent="0.25">
      <c r="A612" s="316"/>
      <c r="B612" s="808" t="s">
        <v>764</v>
      </c>
      <c r="C612" s="304" t="s">
        <v>6</v>
      </c>
      <c r="D612" s="304"/>
      <c r="J612" s="338"/>
      <c r="K612" s="450">
        <f>IF(K609="N/A",0,IF(K609="SI",0,IF(OR($D609="Inversión",$D609="I/O"),SUM(VLOOKUP($B608,'C UNIT PROG TÉCNICOS'!$B$8:$G$160,5,FALSE)*'EV PROG TÉCNICOS'!K608),0)))</f>
        <v>0</v>
      </c>
      <c r="L612" s="450">
        <f>IF(L609="N/A",0,IF(L609="SI",0,IF(OR($D609="Inversión",$D609="I/O"),SUM(VLOOKUP($B608,'C UNIT PROG TÉCNICOS'!$B$8:$G$160,5,FALSE)*'EV PROG TÉCNICOS'!L608),0))*((1+$D$24)^(L$3-$K$3)))</f>
        <v>139727360.85337564</v>
      </c>
      <c r="M612" s="450">
        <f>IF(M609="N/A",0,IF(M609="SI",0,IF(OR($D609="Inversión",$D609="I/O"),SUM(VLOOKUP($B608,'C UNIT PROG TÉCNICOS'!$B$8:$G$160,5,FALSE)*'EV PROG TÉCNICOS'!M608),0))*((1+$D$24)^(M$3-$K$3)))</f>
        <v>144701076.42848188</v>
      </c>
      <c r="N612" s="450">
        <f>IF(N609="N/A",0,IF(N609="SI",0,IF(OR($D609="Inversión",$D609="I/O"),SUM(VLOOKUP($B608,'C UNIT PROG TÉCNICOS'!$B$8:$G$160,5,FALSE)*'EV PROG TÉCNICOS'!N608),0))*((1+$D$24)^(N$3-$K$3)))</f>
        <v>0</v>
      </c>
      <c r="O612" s="450">
        <f>IF(O609="N/A",0,IF(O609="SI",0,IF(OR($D609="Inversión",$D609="I/O"),SUM(VLOOKUP($B608,'C UNIT PROG TÉCNICOS'!$B$8:$G$160,5,FALSE)*'EV PROG TÉCNICOS'!O608),0))*((1+$D$24)^(O$3-$K$3)))</f>
        <v>0</v>
      </c>
      <c r="P612" s="450">
        <f>IF(P609="N/A",0,IF(P609="SI",0,IF(OR($D609="Inversión",$D609="I/O"),SUM(VLOOKUP($B608,'C UNIT PROG TÉCNICOS'!$B$8:$G$160,5,FALSE)*'EV PROG TÉCNICOS'!P608),0))*((1+$D$24)^(P$3-$K$3)))</f>
        <v>0</v>
      </c>
      <c r="Q612" s="450"/>
      <c r="R612" s="450"/>
      <c r="S612" s="450"/>
      <c r="T612" s="450"/>
      <c r="U612" s="450"/>
    </row>
    <row r="613" spans="1:24" s="376" customFormat="1" ht="15" customHeight="1" outlineLevel="1" x14ac:dyDescent="0.25">
      <c r="A613" s="374"/>
      <c r="B613" s="899" t="str">
        <f>CONCATENATE("VNA  ",B601)</f>
        <v>VNA  Reemplazo de equipos fijos y rotativos</v>
      </c>
      <c r="C613" s="374" t="s">
        <v>6</v>
      </c>
      <c r="D613" s="453">
        <f>NPV($D$31,L613:U613)+K613</f>
        <v>227193248.70451695</v>
      </c>
      <c r="K613" s="452">
        <f>IF(K609="N/A",0,IF($D609="Operación",K611,K612))</f>
        <v>0</v>
      </c>
      <c r="L613" s="452">
        <f>IF(L610="N/A",0,IF($D609="Operación",L611,L612))</f>
        <v>139727360.85337564</v>
      </c>
      <c r="M613" s="452">
        <f>IF(M610="N/A",0,IF($D609="Operación",M611,M612))</f>
        <v>144701076.42848188</v>
      </c>
      <c r="N613" s="452">
        <f>IF(N610="N/A",0,IF($D609="Operación",N611,N612))</f>
        <v>0</v>
      </c>
      <c r="O613" s="452">
        <f>IF(O610="N/A",0,IF($D609="Operación",O611,O612))</f>
        <v>0</v>
      </c>
      <c r="P613" s="452">
        <f>IF(P610="N/A",0,IF($D609="Operación",P611,P612))</f>
        <v>0</v>
      </c>
      <c r="Q613" s="452"/>
      <c r="R613" s="452"/>
      <c r="S613" s="452"/>
      <c r="T613" s="452"/>
      <c r="U613" s="452"/>
    </row>
    <row r="614" spans="1:24" s="393" customFormat="1" ht="15" customHeight="1" outlineLevel="1" x14ac:dyDescent="0.25">
      <c r="A614" s="374"/>
      <c r="B614" s="900" t="str">
        <f>CONCATENATE("Volumen de agua recuperado ",B601)</f>
        <v>Volumen de agua recuperado Reemplazo de equipos fijos y rotativos</v>
      </c>
      <c r="C614" s="374" t="s">
        <v>106</v>
      </c>
      <c r="D614" s="457">
        <f>SUM(L614:U614)</f>
        <v>0</v>
      </c>
      <c r="K614" s="396"/>
      <c r="L614" s="396"/>
      <c r="M614" s="396"/>
      <c r="N614" s="396"/>
      <c r="O614" s="396"/>
      <c r="P614" s="396"/>
      <c r="Q614" s="396"/>
      <c r="R614" s="396"/>
      <c r="S614" s="396"/>
      <c r="T614" s="396"/>
      <c r="U614" s="396"/>
    </row>
    <row r="615" spans="1:24" s="376" customFormat="1" ht="15" customHeight="1" outlineLevel="1" x14ac:dyDescent="0.25">
      <c r="A615" s="374"/>
      <c r="B615" s="390" t="s">
        <v>750</v>
      </c>
      <c r="C615" s="374" t="s">
        <v>6</v>
      </c>
      <c r="D615" s="453">
        <f>NPV($D$31,L615:U615)+K615</f>
        <v>0</v>
      </c>
      <c r="K615" s="452">
        <f t="shared" ref="K615:U615" si="261">IF(OR(K609="N/A",K614=0),0,K614*K$29)</f>
        <v>0</v>
      </c>
      <c r="L615" s="452">
        <f t="shared" si="261"/>
        <v>0</v>
      </c>
      <c r="M615" s="452">
        <f t="shared" si="261"/>
        <v>0</v>
      </c>
      <c r="N615" s="452">
        <f t="shared" si="261"/>
        <v>0</v>
      </c>
      <c r="O615" s="452">
        <f t="shared" si="261"/>
        <v>0</v>
      </c>
      <c r="P615" s="452">
        <f t="shared" si="261"/>
        <v>0</v>
      </c>
      <c r="Q615" s="452">
        <f t="shared" si="261"/>
        <v>0</v>
      </c>
      <c r="R615" s="452">
        <f t="shared" si="261"/>
        <v>0</v>
      </c>
      <c r="S615" s="452">
        <f t="shared" si="261"/>
        <v>0</v>
      </c>
      <c r="T615" s="452">
        <f t="shared" si="261"/>
        <v>0</v>
      </c>
      <c r="U615" s="452">
        <f t="shared" si="261"/>
        <v>0</v>
      </c>
    </row>
    <row r="616" spans="1:24" s="376" customFormat="1" ht="15" customHeight="1" outlineLevel="1" x14ac:dyDescent="0.25">
      <c r="A616" s="374"/>
      <c r="B616" s="390" t="s">
        <v>751</v>
      </c>
      <c r="C616" s="374"/>
      <c r="D616" s="455">
        <f>IFERROR(ROUND(IF(D615/D613=0,0,D615/D613),2),0)</f>
        <v>0</v>
      </c>
      <c r="K616" s="455">
        <f t="shared" ref="K616:U616" si="262">IFERROR(ROUND(IF(K615/K613=0,0,K615/K613),2),0)</f>
        <v>0</v>
      </c>
      <c r="L616" s="455">
        <f t="shared" si="262"/>
        <v>0</v>
      </c>
      <c r="M616" s="455">
        <f t="shared" si="262"/>
        <v>0</v>
      </c>
      <c r="N616" s="455">
        <f t="shared" si="262"/>
        <v>0</v>
      </c>
      <c r="O616" s="455">
        <f t="shared" si="262"/>
        <v>0</v>
      </c>
      <c r="P616" s="455">
        <f t="shared" si="262"/>
        <v>0</v>
      </c>
      <c r="Q616" s="455">
        <f t="shared" si="262"/>
        <v>0</v>
      </c>
      <c r="R616" s="455">
        <f t="shared" si="262"/>
        <v>0</v>
      </c>
      <c r="S616" s="455">
        <f t="shared" si="262"/>
        <v>0</v>
      </c>
      <c r="T616" s="455">
        <f t="shared" si="262"/>
        <v>0</v>
      </c>
      <c r="U616" s="455">
        <f t="shared" si="262"/>
        <v>0</v>
      </c>
    </row>
    <row r="617" spans="1:24" x14ac:dyDescent="0.2">
      <c r="B617" s="901"/>
    </row>
    <row r="618" spans="1:24" s="357" customFormat="1" ht="15.75" x14ac:dyDescent="0.25">
      <c r="A618" s="356">
        <v>3.4</v>
      </c>
      <c r="B618" s="902" t="s">
        <v>93</v>
      </c>
      <c r="C618" s="317"/>
      <c r="D618" s="317"/>
      <c r="E618" s="317"/>
      <c r="F618" s="317"/>
      <c r="G618" s="317"/>
      <c r="H618" s="317"/>
      <c r="I618" s="317"/>
      <c r="J618" s="317"/>
      <c r="K618" s="317"/>
      <c r="L618" s="317"/>
      <c r="M618" s="317"/>
      <c r="N618" s="317"/>
      <c r="O618" s="317"/>
      <c r="P618" s="317"/>
      <c r="Q618" s="317"/>
      <c r="R618" s="317"/>
      <c r="S618" s="317"/>
      <c r="T618" s="317"/>
      <c r="U618" s="317"/>
    </row>
    <row r="619" spans="1:24" s="326" customFormat="1" ht="12" customHeight="1" outlineLevel="1" x14ac:dyDescent="0.25">
      <c r="A619" s="316"/>
      <c r="B619" s="829" t="s">
        <v>124</v>
      </c>
      <c r="C619" s="394" t="s">
        <v>11</v>
      </c>
      <c r="D619" s="397">
        <v>5</v>
      </c>
      <c r="E619" s="364"/>
      <c r="F619" s="364"/>
      <c r="G619" s="364"/>
      <c r="H619" s="364"/>
      <c r="I619" s="364"/>
      <c r="J619" s="338"/>
      <c r="K619" s="365">
        <v>0</v>
      </c>
      <c r="L619" s="443">
        <f t="shared" ref="L619:U619" si="263">IF(L625="N/A","",K619+1)</f>
        <v>1</v>
      </c>
      <c r="M619" s="443">
        <f t="shared" si="263"/>
        <v>2</v>
      </c>
      <c r="N619" s="443">
        <f t="shared" si="263"/>
        <v>3</v>
      </c>
      <c r="O619" s="443">
        <f t="shared" si="263"/>
        <v>4</v>
      </c>
      <c r="P619" s="443">
        <f t="shared" si="263"/>
        <v>5</v>
      </c>
      <c r="Q619" s="443">
        <f t="shared" si="263"/>
        <v>6</v>
      </c>
      <c r="R619" s="443">
        <f t="shared" si="263"/>
        <v>7</v>
      </c>
      <c r="S619" s="443">
        <f t="shared" si="263"/>
        <v>8</v>
      </c>
      <c r="T619" s="443">
        <f t="shared" si="263"/>
        <v>9</v>
      </c>
      <c r="U619" s="443">
        <f t="shared" si="263"/>
        <v>10</v>
      </c>
      <c r="V619" s="297"/>
      <c r="W619" s="297"/>
      <c r="X619" s="297"/>
    </row>
    <row r="620" spans="1:24" s="326" customFormat="1" ht="12" customHeight="1" outlineLevel="1" x14ac:dyDescent="0.25">
      <c r="A620" s="316"/>
      <c r="B620" s="307" t="s">
        <v>172</v>
      </c>
      <c r="C620" s="304" t="s">
        <v>11</v>
      </c>
      <c r="D620" s="397">
        <v>5</v>
      </c>
      <c r="E620" s="364"/>
      <c r="F620" s="364"/>
      <c r="G620" s="364"/>
      <c r="H620" s="364"/>
      <c r="I620" s="364"/>
      <c r="J620" s="338"/>
      <c r="K620" s="365"/>
      <c r="L620" s="365"/>
      <c r="M620" s="365"/>
      <c r="N620" s="365"/>
      <c r="O620" s="365"/>
      <c r="P620" s="365"/>
      <c r="Q620" s="365"/>
      <c r="R620" s="365"/>
      <c r="S620" s="365"/>
      <c r="T620" s="365"/>
      <c r="U620" s="365"/>
      <c r="V620" s="297"/>
      <c r="W620" s="297"/>
      <c r="X620" s="297"/>
    </row>
    <row r="621" spans="1:24" s="364" customFormat="1" ht="15" customHeight="1" outlineLevel="1" x14ac:dyDescent="0.25">
      <c r="A621" s="394"/>
      <c r="B621" s="307" t="s">
        <v>184</v>
      </c>
      <c r="C621" s="304" t="s">
        <v>173</v>
      </c>
      <c r="D621" s="407">
        <f>+D673</f>
        <v>1532829.061276</v>
      </c>
      <c r="J621" s="338"/>
      <c r="K621" s="361"/>
      <c r="L621" s="361"/>
      <c r="M621" s="361"/>
      <c r="N621" s="361"/>
      <c r="O621" s="361"/>
      <c r="P621" s="361"/>
      <c r="Q621" s="361"/>
      <c r="R621" s="361"/>
      <c r="S621" s="361"/>
      <c r="T621" s="361"/>
      <c r="U621" s="361"/>
      <c r="V621" s="297"/>
      <c r="W621" s="297"/>
      <c r="X621" s="297"/>
    </row>
    <row r="622" spans="1:24" s="307" customFormat="1" ht="24.95" customHeight="1" outlineLevel="1" x14ac:dyDescent="0.25">
      <c r="A622" s="446" t="str">
        <f>VLOOKUP(B622,'C UNIT PROG TÉCNICOS'!$B$8:$H$108,7,FALSE)</f>
        <v>OPEX</v>
      </c>
      <c r="B622" s="367" t="s">
        <v>46</v>
      </c>
      <c r="C622" s="304" t="s">
        <v>173</v>
      </c>
      <c r="D622" s="466"/>
      <c r="E622" s="408">
        <v>0.12</v>
      </c>
      <c r="F622" s="788"/>
      <c r="I622" s="369"/>
      <c r="J622" s="338"/>
      <c r="K622" s="409"/>
      <c r="L622" s="410">
        <v>0</v>
      </c>
      <c r="M622" s="410">
        <v>0</v>
      </c>
      <c r="N622" s="410">
        <v>0</v>
      </c>
      <c r="O622" s="410">
        <v>0</v>
      </c>
      <c r="P622" s="410">
        <v>0</v>
      </c>
      <c r="Q622" s="410"/>
      <c r="R622" s="410"/>
      <c r="S622" s="410"/>
      <c r="T622" s="410"/>
      <c r="U622" s="410"/>
      <c r="V622" s="297"/>
      <c r="W622" s="297"/>
      <c r="X622" s="297"/>
    </row>
    <row r="623" spans="1:24" s="307" customFormat="1" ht="24.95" customHeight="1" outlineLevel="1" x14ac:dyDescent="0.25">
      <c r="A623" s="446" t="str">
        <f>VLOOKUP(B623,'C UNIT PROG TÉCNICOS'!$B$8:$H$108,7,FALSE)</f>
        <v>OPEX</v>
      </c>
      <c r="B623" s="367" t="s">
        <v>47</v>
      </c>
      <c r="C623" s="304" t="s">
        <v>173</v>
      </c>
      <c r="D623" s="466">
        <f>SUM(L623:U623)</f>
        <v>182822.66999999998</v>
      </c>
      <c r="E623" s="408">
        <v>0.2</v>
      </c>
      <c r="F623" s="788"/>
      <c r="I623" s="369"/>
      <c r="J623" s="338"/>
      <c r="K623" s="409">
        <v>0</v>
      </c>
      <c r="L623" s="410">
        <v>30582.84</v>
      </c>
      <c r="M623" s="410">
        <v>32557.67</v>
      </c>
      <c r="N623" s="410">
        <v>46057.51</v>
      </c>
      <c r="O623" s="410">
        <v>36524.14</v>
      </c>
      <c r="P623" s="410">
        <v>37100.51</v>
      </c>
      <c r="Q623" s="410"/>
      <c r="R623" s="410"/>
      <c r="S623" s="410"/>
      <c r="T623" s="410"/>
      <c r="U623" s="410"/>
      <c r="V623" s="297"/>
      <c r="W623" s="297"/>
      <c r="X623" s="297"/>
    </row>
    <row r="624" spans="1:24" s="307" customFormat="1" ht="24.95" customHeight="1" outlineLevel="1" x14ac:dyDescent="0.25">
      <c r="A624" s="446" t="str">
        <f>VLOOKUP(B624,'C UNIT PROG TÉCNICOS'!$B$8:$H$108,7,FALSE)</f>
        <v>OPEX</v>
      </c>
      <c r="B624" s="367" t="s">
        <v>47</v>
      </c>
      <c r="C624" s="304" t="s">
        <v>173</v>
      </c>
      <c r="D624" s="466">
        <f>SUM(L624:U624)</f>
        <v>205938.69</v>
      </c>
      <c r="E624" s="408">
        <v>0.2</v>
      </c>
      <c r="I624" s="369"/>
      <c r="J624" s="338"/>
      <c r="K624" s="409">
        <v>0</v>
      </c>
      <c r="L624" s="410"/>
      <c r="M624" s="410"/>
      <c r="N624" s="410"/>
      <c r="O624" s="410"/>
      <c r="P624" s="410">
        <v>33635.03</v>
      </c>
      <c r="Q624" s="410">
        <v>32010.080000000002</v>
      </c>
      <c r="R624" s="410">
        <v>38025.58</v>
      </c>
      <c r="S624" s="410">
        <v>33457.78</v>
      </c>
      <c r="T624" s="410">
        <v>31990.34</v>
      </c>
      <c r="U624" s="410">
        <v>36819.879999999997</v>
      </c>
      <c r="V624" s="410"/>
      <c r="W624" s="297"/>
      <c r="X624" s="297"/>
    </row>
    <row r="625" spans="1:24" s="307" customFormat="1" ht="12" customHeight="1" outlineLevel="1" x14ac:dyDescent="0.25">
      <c r="A625" s="316"/>
      <c r="B625" s="307" t="s">
        <v>742</v>
      </c>
      <c r="C625" s="304"/>
      <c r="D625" s="447" t="str">
        <f>IF(AND(A622="CAPEX",A623="CAPEX",A624="CAPEX"),"Inversión",IF(AND(A622="OPEX",A623="OPEX",A624="OPEX"),"Operación","I/O"))</f>
        <v>Operación</v>
      </c>
      <c r="I625" s="370"/>
      <c r="J625" s="338"/>
      <c r="K625" s="371" t="s">
        <v>8</v>
      </c>
      <c r="L625" s="371" t="s">
        <v>8</v>
      </c>
      <c r="M625" s="371" t="s">
        <v>8</v>
      </c>
      <c r="N625" s="371" t="s">
        <v>8</v>
      </c>
      <c r="O625" s="371" t="s">
        <v>8</v>
      </c>
      <c r="P625" s="371" t="s">
        <v>8</v>
      </c>
      <c r="Q625" s="371"/>
      <c r="R625" s="371"/>
      <c r="S625" s="371"/>
      <c r="T625" s="371"/>
      <c r="U625" s="371"/>
      <c r="V625" s="297"/>
      <c r="W625" s="297"/>
      <c r="X625" s="297"/>
    </row>
    <row r="626" spans="1:24" s="307" customFormat="1" ht="12" customHeight="1" outlineLevel="1" x14ac:dyDescent="0.25">
      <c r="A626" s="316"/>
      <c r="B626" s="307" t="s">
        <v>762</v>
      </c>
      <c r="C626" s="304"/>
      <c r="D626" s="304"/>
      <c r="J626" s="338"/>
      <c r="K626" s="448">
        <f>IF(K625="N/A",0,IF(K625="SI",0,IF(OR($D625="I/O",$D625="Inversión"),0,SUM(VLOOKUP($B623,'C UNIT PROG TÉCNICOS'!$B$8:$G$160,6,FALSE)*'EV PROG TÉCNICOS'!K623,VLOOKUP($B624,'C UNIT PROG TÉCNICOS'!$B$8:$G$160,6,FALSE)*'EV PROG TÉCNICOS'!K624))))</f>
        <v>0</v>
      </c>
      <c r="L626" s="448">
        <f>IF(L625="N/A",0,IF(L625="SI",0,IF(OR($D625="I/O",$D625="Inversión"),0,SUM(VLOOKUP($B623,'C UNIT PROG TÉCNICOS'!$B$8:$G$160,6,FALSE)*'EV PROG TÉCNICOS'!L623,VLOOKUP($B624,'C UNIT PROG TÉCNICOS'!$B$8:$G$160,6,FALSE)*'EV PROG TÉCNICOS'!L624,VLOOKUP($B622,'C UNIT PROG TÉCNICOS'!$B$8:$G$160,6,FALSE)*'EV PROG TÉCNICOS'!L622))))</f>
        <v>52.483353138736824</v>
      </c>
      <c r="M626" s="448">
        <f>IF(M625="N/A",0,IF(M625="SI",0,IF(OR($D625="I/O",$D625="Inversión"),0,SUM(VLOOKUP($B623,'C UNIT PROG TÉCNICOS'!$B$8:$G$160,6,FALSE)*'EV PROG TÉCNICOS'!M623,VLOOKUP($B624,'C UNIT PROG TÉCNICOS'!$B$8:$G$160,6,FALSE)*'EV PROG TÉCNICOS'!M624,VLOOKUP($B622,'C UNIT PROG TÉCNICOS'!$B$8:$G$160,6,FALSE)*'EV PROG TÉCNICOS'!M622))))</f>
        <v>55.872368033330382</v>
      </c>
      <c r="N626" s="448">
        <f>IF(N625="N/A",0,IF(N625="SI",0,IF(OR($D625="I/O",$D625="Inversión"),0,SUM(VLOOKUP($B623,'C UNIT PROG TÉCNICOS'!$B$8:$G$160,6,FALSE)*'EV PROG TÉCNICOS'!N623,VLOOKUP($B624,'C UNIT PROG TÉCNICOS'!$B$8:$G$160,6,FALSE)*'EV PROG TÉCNICOS'!N624,VLOOKUP($B622,'C UNIT PROG TÉCNICOS'!$B$8:$G$160,6,FALSE)*'EV PROG TÉCNICOS'!N622))))</f>
        <v>79.039505880451344</v>
      </c>
      <c r="O626" s="448">
        <f>IF(O625="N/A",0,IF(O625="SI",0,IF(OR($D625="I/O",$D625="Inversión"),0,SUM(VLOOKUP($B623,'C UNIT PROG TÉCNICOS'!$B$8:$G$160,6,FALSE)*'EV PROG TÉCNICOS'!O623,VLOOKUP($B624,'C UNIT PROG TÉCNICOS'!$B$8:$G$160,6,FALSE)*'EV PROG TÉCNICOS'!O624,VLOOKUP($B622,'C UNIT PROG TÉCNICOS'!$B$8:$G$160,6,FALSE)*'EV PROG TÉCNICOS'!O622))))</f>
        <v>62.679245541246765</v>
      </c>
      <c r="P626" s="448">
        <f>IF(P625="N/A",0,IF(P625="SI",0,IF(OR($D625="I/O",$D625="Inversión"),0,SUM(VLOOKUP($B623,'C UNIT PROG TÉCNICOS'!$B$8:$G$160,6,FALSE)*'EV PROG TÉCNICOS'!P623,VLOOKUP($B624,'C UNIT PROG TÉCNICOS'!$B$8:$G$160,6,FALSE)*'EV PROG TÉCNICOS'!P624,VLOOKUP($B622,'C UNIT PROG TÉCNICOS'!$B$8:$G$160,6,FALSE)*'EV PROG TÉCNICOS'!P622))))</f>
        <v>121.38958727440762</v>
      </c>
      <c r="Q626" s="448">
        <f>IF(Q625="N/A",0,IF(Q625="SI",0,IF(OR($D625="I/O",$D625="Inversión"),0,SUM(VLOOKUP($B623,'C UNIT PROG TÉCNICOS'!$B$8:$G$160,6,FALSE)*'EV PROG TÉCNICOS'!Q623,VLOOKUP($B624,'C UNIT PROG TÉCNICOS'!$B$8:$G$160,6,FALSE)*'EV PROG TÉCNICOS'!Q624,VLOOKUP($B622,'C UNIT PROG TÉCNICOS'!$B$8:$G$160,6,FALSE)*'EV PROG TÉCNICOS'!Q622))))</f>
        <v>54.932646302279871</v>
      </c>
      <c r="R626" s="448">
        <f>IF(R625="N/A",0,IF(R625="SI",0,IF(OR($D625="I/O",$D625="Inversión"),0,SUM(VLOOKUP($B623,'C UNIT PROG TÉCNICOS'!$B$8:$G$160,6,FALSE)*'EV PROG TÉCNICOS'!R623,VLOOKUP($B624,'C UNIT PROG TÉCNICOS'!$B$8:$G$160,6,FALSE)*'EV PROG TÉCNICOS'!R624,VLOOKUP($B622,'C UNIT PROG TÉCNICOS'!$B$8:$G$160,6,FALSE)*'EV PROG TÉCNICOS'!R622))))</f>
        <v>65.255873667889844</v>
      </c>
      <c r="S626" s="448">
        <f>IF(S625="N/A",0,IF(S625="SI",0,IF(OR($D625="I/O",$D625="Inversión"),0,SUM(VLOOKUP($B623,'C UNIT PROG TÉCNICOS'!$B$8:$G$160,6,FALSE)*'EV PROG TÉCNICOS'!S623,VLOOKUP($B624,'C UNIT PROG TÉCNICOS'!$B$8:$G$160,6,FALSE)*'EV PROG TÉCNICOS'!S624,VLOOKUP($B622,'C UNIT PROG TÉCNICOS'!$B$8:$G$160,6,FALSE)*'EV PROG TÉCNICOS'!S622))))</f>
        <v>57.417050966429741</v>
      </c>
      <c r="T626" s="448">
        <f>IF(T625="N/A",0,IF(T625="SI",0,IF(OR($D625="I/O",$D625="Inversión"),0,SUM(VLOOKUP($B623,'C UNIT PROG TÉCNICOS'!$B$8:$G$160,6,FALSE)*'EV PROG TÉCNICOS'!T623,VLOOKUP($B624,'C UNIT PROG TÉCNICOS'!$B$8:$G$160,6,FALSE)*'EV PROG TÉCNICOS'!T624,VLOOKUP($B622,'C UNIT PROG TÉCNICOS'!$B$8:$G$160,6,FALSE)*'EV PROG TÉCNICOS'!T622))))</f>
        <v>54.898770397002309</v>
      </c>
      <c r="U626" s="448">
        <f>IF(U625="N/A",0,IF(U625="SI",0,IF(OR($D625="I/O",$D625="Inversión"),0,SUM(VLOOKUP($B623,'C UNIT PROG TÉCNICOS'!$B$8:$G$160,6,FALSE)*'EV PROG TÉCNICOS'!U623,VLOOKUP($B624,'C UNIT PROG TÉCNICOS'!$B$8:$G$160,6,FALSE)*'EV PROG TÉCNICOS'!U624,VLOOKUP($B622,'C UNIT PROG TÉCNICOS'!$B$8:$G$160,6,FALSE)*'EV PROG TÉCNICOS'!U622))))</f>
        <v>63.18676632274547</v>
      </c>
      <c r="V626" s="297"/>
      <c r="W626" s="297"/>
      <c r="X626" s="297"/>
    </row>
    <row r="627" spans="1:24" s="307" customFormat="1" ht="12" customHeight="1" outlineLevel="1" x14ac:dyDescent="0.25">
      <c r="A627" s="316"/>
      <c r="B627" s="307" t="s">
        <v>763</v>
      </c>
      <c r="C627" s="304" t="s">
        <v>6</v>
      </c>
      <c r="D627" s="304"/>
      <c r="J627" s="338"/>
      <c r="K627" s="450">
        <f>IF(K625="N/A",0,IF(K625="SI",0,K$21*K626))</f>
        <v>0</v>
      </c>
      <c r="L627" s="450">
        <f>IF(L625="N/A",0,IF(L625="SI",0,L$21*L626))</f>
        <v>91893365.427379996</v>
      </c>
      <c r="M627" s="450">
        <f>IF(M625="N/A",0,IF(M625="SI",0,M$21*M626))</f>
        <v>103383774.43167605</v>
      </c>
      <c r="N627" s="450">
        <f>IF(N625="N/A",0,IF(N625="SI",0,N$21*N626))</f>
        <v>154558268.70808569</v>
      </c>
      <c r="O627" s="450">
        <f>IF(O625="N/A",0,IF(O625="SI",0,O$21*O626))</f>
        <v>129528253.72007802</v>
      </c>
      <c r="P627" s="450">
        <f t="shared" ref="P627:U627" si="264">IF(P625="N/A",0,IF(P625="SI",0,P$21*P626))</f>
        <v>265103161.76957124</v>
      </c>
      <c r="Q627" s="450">
        <f t="shared" si="264"/>
        <v>126781742.3795628</v>
      </c>
      <c r="R627" s="450">
        <f t="shared" si="264"/>
        <v>159161684.15472707</v>
      </c>
      <c r="S627" s="450">
        <f t="shared" si="264"/>
        <v>147996867.2522684</v>
      </c>
      <c r="T627" s="450">
        <f t="shared" si="264"/>
        <v>149543306.73623699</v>
      </c>
      <c r="U627" s="450">
        <f t="shared" si="264"/>
        <v>181896027.70648083</v>
      </c>
      <c r="V627" s="297"/>
      <c r="W627" s="297"/>
      <c r="X627" s="297"/>
    </row>
    <row r="628" spans="1:24" s="307" customFormat="1" ht="12" customHeight="1" outlineLevel="1" x14ac:dyDescent="0.25">
      <c r="A628" s="316"/>
      <c r="B628" s="307" t="s">
        <v>764</v>
      </c>
      <c r="C628" s="304" t="s">
        <v>6</v>
      </c>
      <c r="J628" s="338"/>
      <c r="K628" s="450">
        <f>IF(K625="N/A",0,IF(K625="SI",0,IF(OR($D625="Inversión",$D625="I/O"),SUM(VLOOKUP($B623,'C UNIT PROG TÉCNICOS'!$B$8:$G$160,5,FALSE)*'EV PROG TÉCNICOS'!K623,VLOOKUP($B624,'C UNIT PROG TÉCNICOS'!$B$8:$G$160,5,FALSE)*'EV PROG TÉCNICOS'!K624))*((1+$D$24)^(K$3-$K$3))))</f>
        <v>0</v>
      </c>
      <c r="L628" s="450">
        <f>IF(L625="N/A",0,IF(L625="SI",0,IF(OR($D625="Inversión",$D625="I/O"),SUM(VLOOKUP($B623,'C UNIT PROG TÉCNICOS'!$B$8:$G$160,5,FALSE)*'EV PROG TÉCNICOS'!L623,VLOOKUP($B624,'C UNIT PROG TÉCNICOS'!$B$8:$G$160,5,FALSE)*'EV PROG TÉCNICOS'!L624,VLOOKUP($B622,'C UNIT PROG TÉCNICOS'!$B$8:$G$160,5,FALSE)*'EV PROG TÉCNICOS'!L622))*((1+$D$24)^(L$3-$K$3))))</f>
        <v>0</v>
      </c>
      <c r="M628" s="450">
        <f>IF(M625="N/A",0,IF(M625="SI",0,IF(OR($D625="Inversión",$D625="I/O"),SUM(VLOOKUP($B623,'C UNIT PROG TÉCNICOS'!$B$8:$G$160,5,FALSE)*'EV PROG TÉCNICOS'!M623,VLOOKUP($B624,'C UNIT PROG TÉCNICOS'!$B$8:$G$160,5,FALSE)*'EV PROG TÉCNICOS'!M624,VLOOKUP($B622,'C UNIT PROG TÉCNICOS'!$B$8:$G$160,5,FALSE)*'EV PROG TÉCNICOS'!M622))*((1+$D$24)^(M$3-$K$3))))</f>
        <v>0</v>
      </c>
      <c r="N628" s="450">
        <f>IF(N625="N/A",0,IF(N625="SI",0,IF(OR($D625="Inversión",$D625="I/O"),SUM(VLOOKUP($B623,'C UNIT PROG TÉCNICOS'!$B$8:$G$160,5,FALSE)*'EV PROG TÉCNICOS'!N623,VLOOKUP($B624,'C UNIT PROG TÉCNICOS'!$B$8:$G$160,5,FALSE)*'EV PROG TÉCNICOS'!N624,VLOOKUP($B622,'C UNIT PROG TÉCNICOS'!$B$8:$G$160,5,FALSE)*'EV PROG TÉCNICOS'!N622))*((1+$D$24)^(N$3-$K$3))))</f>
        <v>0</v>
      </c>
      <c r="O628" s="450">
        <f>IF(O625="N/A",0,IF(O625="SI",0,IF(OR($D625="Inversión",$D625="I/O"),SUM(VLOOKUP($B623,'C UNIT PROG TÉCNICOS'!$B$8:$G$160,5,FALSE)*'EV PROG TÉCNICOS'!O623,VLOOKUP($B624,'C UNIT PROG TÉCNICOS'!$B$8:$G$160,5,FALSE)*'EV PROG TÉCNICOS'!O624,VLOOKUP($B622,'C UNIT PROG TÉCNICOS'!$B$8:$G$160,5,FALSE)*'EV PROG TÉCNICOS'!O622))*((1+$D$24)^(O$3-$K$3))))</f>
        <v>0</v>
      </c>
      <c r="P628" s="450">
        <f>IF(P625="N/A",0,IF(P625="SI",0,IF(OR($D625="Inversión",$D625="I/O"),SUM(VLOOKUP($B623,'C UNIT PROG TÉCNICOS'!$B$8:$G$160,5,FALSE)*'EV PROG TÉCNICOS'!P623,VLOOKUP($B624,'C UNIT PROG TÉCNICOS'!$B$8:$G$160,5,FALSE)*'EV PROG TÉCNICOS'!P624,VLOOKUP($B622,'C UNIT PROG TÉCNICOS'!$B$8:$G$160,5,FALSE)*'EV PROG TÉCNICOS'!P622))*((1+$D$24)^(P$3-$K$3))))</f>
        <v>0</v>
      </c>
      <c r="Q628" s="450">
        <f>IF(Q625="N/A",0,IF(Q625="SI",0,IF(OR($D625="Inversión",$D625="I/O"),SUM(VLOOKUP($B623,'C UNIT PROG TÉCNICOS'!$B$8:$G$160,5,FALSE)*'EV PROG TÉCNICOS'!Q623,VLOOKUP($B624,'C UNIT PROG TÉCNICOS'!$B$8:$G$160,5,FALSE)*'EV PROG TÉCNICOS'!Q624,VLOOKUP($B622,'C UNIT PROG TÉCNICOS'!$B$8:$G$160,5,FALSE)*'EV PROG TÉCNICOS'!Q622))*((1+$D$24)^(Q$3-$K$3))))</f>
        <v>0</v>
      </c>
      <c r="R628" s="450">
        <f>IF(R625="N/A",0,IF(R625="SI",0,IF(OR($D625="Inversión",$D625="I/O"),SUM(VLOOKUP($B623,'C UNIT PROG TÉCNICOS'!$B$8:$G$160,5,FALSE)*'EV PROG TÉCNICOS'!R623,VLOOKUP($B624,'C UNIT PROG TÉCNICOS'!$B$8:$G$160,5,FALSE)*'EV PROG TÉCNICOS'!R624,VLOOKUP($B622,'C UNIT PROG TÉCNICOS'!$B$8:$G$160,5,FALSE)*'EV PROG TÉCNICOS'!R622))*((1+$D$24)^(R$3-$K$3))))</f>
        <v>0</v>
      </c>
      <c r="S628" s="450">
        <f>IF(S625="N/A",0,IF(S625="SI",0,IF(OR($D625="Inversión",$D625="I/O"),SUM(VLOOKUP($B623,'C UNIT PROG TÉCNICOS'!$B$8:$G$160,5,FALSE)*'EV PROG TÉCNICOS'!S623,VLOOKUP($B624,'C UNIT PROG TÉCNICOS'!$B$8:$G$160,5,FALSE)*'EV PROG TÉCNICOS'!S624,VLOOKUP($B622,'C UNIT PROG TÉCNICOS'!$B$8:$G$160,5,FALSE)*'EV PROG TÉCNICOS'!S622))*((1+$D$24)^(S$3-$K$3))))</f>
        <v>0</v>
      </c>
      <c r="T628" s="450">
        <f>IF(T625="N/A",0,IF(T625="SI",0,IF(OR($D625="Inversión",$D625="I/O"),SUM(VLOOKUP($B623,'C UNIT PROG TÉCNICOS'!$B$8:$G$160,5,FALSE)*'EV PROG TÉCNICOS'!T623,VLOOKUP($B624,'C UNIT PROG TÉCNICOS'!$B$8:$G$160,5,FALSE)*'EV PROG TÉCNICOS'!T624,VLOOKUP($B622,'C UNIT PROG TÉCNICOS'!$B$8:$G$160,5,FALSE)*'EV PROG TÉCNICOS'!T622))*((1+$D$24)^(T$3-$K$3))))</f>
        <v>0</v>
      </c>
      <c r="U628" s="450">
        <f>IF(U625="N/A",0,IF(U625="SI",0,IF(OR($D625="Inversión",$D625="I/O"),SUM(VLOOKUP($B623,'C UNIT PROG TÉCNICOS'!$B$8:$G$160,5,FALSE)*'EV PROG TÉCNICOS'!U623,VLOOKUP($B624,'C UNIT PROG TÉCNICOS'!$B$8:$G$160,5,FALSE)*'EV PROG TÉCNICOS'!U624,VLOOKUP($B622,'C UNIT PROG TÉCNICOS'!$B$8:$G$160,5,FALSE)*'EV PROG TÉCNICOS'!U622))*((1+$D$24)^(U$3-$K$3))))</f>
        <v>0</v>
      </c>
      <c r="V628" s="297"/>
      <c r="W628" s="297"/>
      <c r="X628" s="297"/>
    </row>
    <row r="629" spans="1:24" s="376" customFormat="1" ht="15" customHeight="1" outlineLevel="1" x14ac:dyDescent="0.25">
      <c r="A629" s="374"/>
      <c r="B629" s="458" t="str">
        <f>CONCATENATE("VNA  ",B618)</f>
        <v>VNA  Modelo hidráulico</v>
      </c>
      <c r="C629" s="374" t="s">
        <v>6</v>
      </c>
      <c r="D629" s="453">
        <f>NPV($D$31,L629:U629)+K629</f>
        <v>679116446.22722447</v>
      </c>
      <c r="J629" s="338"/>
      <c r="K629" s="452">
        <f>IF(OR(K625="N/A",K626=0),0,IF($D625="Operación",K627,K628))</f>
        <v>0</v>
      </c>
      <c r="L629" s="452">
        <f t="shared" ref="L629:U629" si="265">IF(L625="N/A",0,IF($D625="Operación",L627,L628))</f>
        <v>91893365.427379996</v>
      </c>
      <c r="M629" s="452">
        <f t="shared" si="265"/>
        <v>103383774.43167605</v>
      </c>
      <c r="N629" s="452">
        <f t="shared" si="265"/>
        <v>154558268.70808569</v>
      </c>
      <c r="O629" s="452">
        <f t="shared" si="265"/>
        <v>129528253.72007802</v>
      </c>
      <c r="P629" s="452">
        <f t="shared" si="265"/>
        <v>265103161.76957124</v>
      </c>
      <c r="Q629" s="452">
        <f t="shared" si="265"/>
        <v>126781742.3795628</v>
      </c>
      <c r="R629" s="452">
        <f t="shared" si="265"/>
        <v>159161684.15472707</v>
      </c>
      <c r="S629" s="452">
        <f t="shared" si="265"/>
        <v>147996867.2522684</v>
      </c>
      <c r="T629" s="452">
        <f t="shared" si="265"/>
        <v>149543306.73623699</v>
      </c>
      <c r="U629" s="452">
        <f t="shared" si="265"/>
        <v>181896027.70648083</v>
      </c>
      <c r="V629" s="297"/>
      <c r="W629" s="297"/>
      <c r="X629" s="297"/>
    </row>
    <row r="630" spans="1:24" s="393" customFormat="1" ht="15" customHeight="1" outlineLevel="1" x14ac:dyDescent="0.25">
      <c r="A630" s="374"/>
      <c r="B630" s="454" t="str">
        <f>CONCATENATE("Volumen de agua recuperado ",B618)</f>
        <v>Volumen de agua recuperado Modelo hidráulico</v>
      </c>
      <c r="C630" s="374" t="s">
        <v>106</v>
      </c>
      <c r="D630" s="457">
        <f>SUM(L630:U630)</f>
        <v>0</v>
      </c>
      <c r="E630" s="376"/>
      <c r="F630" s="376"/>
      <c r="G630" s="376"/>
      <c r="H630" s="376"/>
      <c r="I630" s="376"/>
      <c r="J630" s="338"/>
      <c r="K630" s="396"/>
      <c r="L630" s="378"/>
      <c r="M630" s="378"/>
      <c r="N630" s="378"/>
      <c r="O630" s="378"/>
      <c r="P630" s="378"/>
      <c r="Q630" s="378"/>
      <c r="R630" s="378"/>
      <c r="S630" s="378"/>
      <c r="T630" s="378"/>
      <c r="U630" s="378"/>
      <c r="V630" s="378"/>
      <c r="W630" s="378"/>
      <c r="X630" s="378"/>
    </row>
    <row r="631" spans="1:24" s="376" customFormat="1" ht="15" customHeight="1" outlineLevel="1" x14ac:dyDescent="0.25">
      <c r="A631" s="374"/>
      <c r="B631" s="376" t="s">
        <v>750</v>
      </c>
      <c r="C631" s="374" t="s">
        <v>6</v>
      </c>
      <c r="D631" s="453">
        <f>NPV($D$31,L631:U631)+K631</f>
        <v>0</v>
      </c>
      <c r="J631" s="338"/>
      <c r="K631" s="452">
        <f>IF(OR(K625="N/A",K630=0),0,K630*K$29)</f>
        <v>0</v>
      </c>
      <c r="L631" s="452">
        <f>IF(OR(L625="N/A",L630=0),0,L630*L$29)</f>
        <v>0</v>
      </c>
      <c r="M631" s="452">
        <f t="shared" ref="M631:U631" si="266">IF(OR(M625="N/A",M630=0),0,M630*M$29)</f>
        <v>0</v>
      </c>
      <c r="N631" s="452">
        <f t="shared" si="266"/>
        <v>0</v>
      </c>
      <c r="O631" s="452">
        <f t="shared" si="266"/>
        <v>0</v>
      </c>
      <c r="P631" s="452">
        <f t="shared" si="266"/>
        <v>0</v>
      </c>
      <c r="Q631" s="452">
        <f t="shared" si="266"/>
        <v>0</v>
      </c>
      <c r="R631" s="452">
        <f t="shared" si="266"/>
        <v>0</v>
      </c>
      <c r="S631" s="452">
        <f t="shared" si="266"/>
        <v>0</v>
      </c>
      <c r="T631" s="452">
        <f t="shared" si="266"/>
        <v>0</v>
      </c>
      <c r="U631" s="452">
        <f t="shared" si="266"/>
        <v>0</v>
      </c>
      <c r="V631" s="452" t="str">
        <f>IF(OR(V626=0,V630=0),"",V630*V$29)</f>
        <v/>
      </c>
      <c r="W631" s="452" t="str">
        <f>IF(OR(W626=0,W630=0),"",W630*W$29)</f>
        <v/>
      </c>
      <c r="X631" s="452" t="str">
        <f>IF(OR(X626=0,X630=0),"",X630*X$29)</f>
        <v/>
      </c>
    </row>
    <row r="632" spans="1:24" s="376" customFormat="1" ht="15" customHeight="1" outlineLevel="1" x14ac:dyDescent="0.25">
      <c r="A632" s="374"/>
      <c r="B632" s="376" t="s">
        <v>751</v>
      </c>
      <c r="C632" s="374"/>
      <c r="D632" s="455">
        <f>IFERROR(ROUND(IF(D631/D629=0,0,D631/D629),2),0)</f>
        <v>0</v>
      </c>
      <c r="J632" s="338"/>
      <c r="K632" s="455">
        <f>IFERROR(ROUND(IF(K631/K629=0,0,K631/K629),2),0)</f>
        <v>0</v>
      </c>
      <c r="L632" s="455">
        <f>IFERROR(ROUND(IF(L631/L629=0,0,L631/L629),2),0)</f>
        <v>0</v>
      </c>
      <c r="M632" s="455">
        <f t="shared" ref="M632:U632" si="267">IFERROR(ROUND(IF(M631/M629=0,0,M631/M629),2),0)</f>
        <v>0</v>
      </c>
      <c r="N632" s="455">
        <f t="shared" si="267"/>
        <v>0</v>
      </c>
      <c r="O632" s="455">
        <f t="shared" si="267"/>
        <v>0</v>
      </c>
      <c r="P632" s="455">
        <f t="shared" si="267"/>
        <v>0</v>
      </c>
      <c r="Q632" s="455">
        <f t="shared" si="267"/>
        <v>0</v>
      </c>
      <c r="R632" s="455">
        <f t="shared" si="267"/>
        <v>0</v>
      </c>
      <c r="S632" s="455">
        <f t="shared" si="267"/>
        <v>0</v>
      </c>
      <c r="T632" s="455">
        <f t="shared" si="267"/>
        <v>0</v>
      </c>
      <c r="U632" s="455">
        <f t="shared" si="267"/>
        <v>0</v>
      </c>
    </row>
    <row r="634" spans="1:24" s="355" customFormat="1" ht="20.100000000000001" customHeight="1" thickBot="1" x14ac:dyDescent="0.3">
      <c r="A634" s="323">
        <v>4</v>
      </c>
      <c r="B634" s="1730" t="s">
        <v>34</v>
      </c>
      <c r="C634" s="1730"/>
      <c r="D634" s="1730"/>
      <c r="E634" s="1730"/>
      <c r="F634" s="1730"/>
      <c r="G634" s="1730"/>
      <c r="H634" s="1730"/>
      <c r="I634" s="1730"/>
      <c r="J634" s="1730"/>
      <c r="K634" s="1730"/>
      <c r="L634" s="1730"/>
      <c r="M634" s="1730"/>
      <c r="N634" s="1730"/>
      <c r="O634" s="1730"/>
      <c r="P634" s="1730"/>
      <c r="Q634" s="1730"/>
      <c r="R634" s="1730"/>
      <c r="S634" s="1730"/>
      <c r="T634" s="1730"/>
      <c r="U634" s="1730"/>
    </row>
    <row r="635" spans="1:24" s="357" customFormat="1" ht="15.75" x14ac:dyDescent="0.25">
      <c r="A635" s="356">
        <v>4.0999999999999996</v>
      </c>
      <c r="B635" s="317" t="s">
        <v>179</v>
      </c>
      <c r="C635" s="317"/>
      <c r="D635" s="317"/>
      <c r="E635" s="317"/>
      <c r="F635" s="317"/>
      <c r="G635" s="317"/>
      <c r="H635" s="317"/>
      <c r="I635" s="317"/>
      <c r="J635" s="317"/>
      <c r="K635" s="317"/>
      <c r="L635" s="317"/>
      <c r="M635" s="317"/>
      <c r="N635" s="317"/>
      <c r="O635" s="317"/>
      <c r="P635" s="317"/>
      <c r="Q635" s="317"/>
      <c r="R635" s="317"/>
      <c r="S635" s="317"/>
      <c r="T635" s="317"/>
      <c r="U635" s="317"/>
    </row>
    <row r="636" spans="1:24" s="326" customFormat="1" ht="12" customHeight="1" outlineLevel="1" x14ac:dyDescent="0.2">
      <c r="A636" s="316"/>
      <c r="B636" s="364" t="s">
        <v>124</v>
      </c>
      <c r="C636" s="394" t="s">
        <v>11</v>
      </c>
      <c r="D636" s="444">
        <f>COUNT(L636:U636)</f>
        <v>10</v>
      </c>
      <c r="E636" s="364"/>
      <c r="F636" s="364"/>
      <c r="G636" s="364"/>
      <c r="H636" s="364"/>
      <c r="I636" s="364"/>
      <c r="J636" s="364"/>
      <c r="K636" s="365">
        <v>0</v>
      </c>
      <c r="L636" s="443">
        <f>IF(L643="N/A","",MAX($K636:K636)+1)</f>
        <v>1</v>
      </c>
      <c r="M636" s="443">
        <f>IF(M643="N/A","",MAX($K636:L636)+1)</f>
        <v>2</v>
      </c>
      <c r="N636" s="443">
        <f>IF(N643="N/A","",MAX($K636:M636)+1)</f>
        <v>3</v>
      </c>
      <c r="O636" s="443">
        <f>IF(O643="N/A","",MAX($K636:N636)+1)</f>
        <v>4</v>
      </c>
      <c r="P636" s="443">
        <f>IF(P643="N/A","",MAX($K636:O636)+1)</f>
        <v>5</v>
      </c>
      <c r="Q636" s="443">
        <f>IF(Q643="N/A","",MAX($K636:P636)+1)</f>
        <v>6</v>
      </c>
      <c r="R636" s="443">
        <f>IF(R643="N/A","",MAX($K636:Q636)+1)</f>
        <v>7</v>
      </c>
      <c r="S636" s="443">
        <f>IF(S643="N/A","",MAX($K636:R636)+1)</f>
        <v>8</v>
      </c>
      <c r="T636" s="443">
        <f>IF(T643="N/A","",MAX($K636:S636)+1)</f>
        <v>9</v>
      </c>
      <c r="U636" s="443">
        <f>IF(U643="N/A","",MAX($K636:T636)+1)</f>
        <v>10</v>
      </c>
      <c r="V636" s="297"/>
      <c r="W636" s="297"/>
      <c r="X636" s="297"/>
    </row>
    <row r="637" spans="1:24" s="326" customFormat="1" ht="12" customHeight="1" outlineLevel="1" x14ac:dyDescent="0.2">
      <c r="A637" s="316"/>
      <c r="B637" s="307" t="s">
        <v>174</v>
      </c>
      <c r="C637" s="304" t="s">
        <v>11</v>
      </c>
      <c r="D637" s="403">
        <v>10</v>
      </c>
      <c r="E637" s="364"/>
      <c r="F637" s="364"/>
      <c r="G637" s="364"/>
      <c r="H637" s="364"/>
      <c r="I637" s="364"/>
      <c r="J637" s="364"/>
      <c r="K637" s="365"/>
      <c r="L637" s="365"/>
      <c r="M637" s="365"/>
      <c r="N637" s="365"/>
      <c r="O637" s="816"/>
      <c r="P637" s="816"/>
      <c r="Q637" s="365"/>
      <c r="R637" s="365"/>
      <c r="S637" s="365"/>
      <c r="T637" s="365"/>
      <c r="U637" s="365"/>
      <c r="V637" s="297"/>
      <c r="W637" s="297"/>
      <c r="X637" s="297"/>
    </row>
    <row r="638" spans="1:24" s="364" customFormat="1" ht="15" customHeight="1" outlineLevel="1" x14ac:dyDescent="0.2">
      <c r="A638" s="394"/>
      <c r="B638" s="307" t="s">
        <v>316</v>
      </c>
      <c r="C638" s="304" t="s">
        <v>20</v>
      </c>
      <c r="D638" s="411">
        <v>44</v>
      </c>
      <c r="J638" s="361"/>
      <c r="K638" s="361"/>
      <c r="L638" s="412"/>
      <c r="M638" s="412"/>
      <c r="N638" s="412"/>
      <c r="O638" s="412"/>
      <c r="P638" s="412"/>
      <c r="Q638" s="412"/>
      <c r="R638" s="412"/>
      <c r="S638" s="412"/>
      <c r="T638" s="412"/>
      <c r="U638" s="412"/>
      <c r="V638" s="297"/>
      <c r="W638" s="297"/>
      <c r="X638" s="297"/>
    </row>
    <row r="639" spans="1:24" s="364" customFormat="1" ht="15" customHeight="1" outlineLevel="1" x14ac:dyDescent="0.2">
      <c r="A639" s="394"/>
      <c r="B639" s="307" t="s">
        <v>175</v>
      </c>
      <c r="C639" s="304" t="s">
        <v>177</v>
      </c>
      <c r="D639" s="309">
        <v>2402.4780000000005</v>
      </c>
      <c r="J639" s="361"/>
      <c r="K639" s="466">
        <f>ROUND(IF(K641="",IFERROR(IF(K636&gt;=$D$636,$D$639-SUM($K642:K642),IF(K636&gt;$D$637,SUM(HLOOKUP(K636-$D$637,$J$636:$J$642,4,FALSE)),0)),0),$D$639-SUM($K641:K641)),0)</f>
        <v>2402</v>
      </c>
      <c r="L639" s="466">
        <f>ROUND(IF(L641="",IFERROR(IF(L636&gt;=$D$636,$D$639-SUM($K642:L642),IF(L636&gt;$D$637,SUM(HLOOKUP(L636-$D$637,$K$636:$K$642,4,FALSE)),0)),0),$D$639-SUM($K641:L641)),0)</f>
        <v>2402</v>
      </c>
      <c r="M639" s="466">
        <f>ROUND(IF(M641="",IFERROR(IF(M636&gt;=$D$636,$D$639-SUM($K642:M642),IF(M636&gt;$D$637,SUM(HLOOKUP(M636-$D$637,$K$636:$L$642,4,FALSE)),0)),0),$D$639-SUM($K641:M641)),0)</f>
        <v>1612</v>
      </c>
      <c r="N639" s="466">
        <f>ROUND(IF(N641="",IFERROR(IF(N636&gt;=$D$636,$D$639-SUM($K642:N642),IF(N636&gt;$D$637,SUM(HLOOKUP(N636-$D$637,$K$636:$M$642,4,FALSE)),0)),0),$D$639-SUM($K641:N641)),0)</f>
        <v>970</v>
      </c>
      <c r="O639" s="466">
        <f>ROUND(IF(O641="",IFERROR(IF(O636&gt;=$D$636,$D$639-SUM($K642:O642),IF(O636&gt;$D$637,SUM(HLOOKUP(O636-$D$637,$K$636:$N$642,4,FALSE)),0)),0),$D$639-SUM($K641:O641)),0)</f>
        <v>187</v>
      </c>
      <c r="P639" s="466">
        <f>ROUND(IF(P641="",IFERROR(IF(P636&gt;=$D$636,$D$639-SUM($K642:P642),IF(P636&gt;$D$637,SUM(HLOOKUP(P636-$D$637,$K$636:$O$642,4,FALSE)),0)),0),$D$639-SUM($K641:P641)),0)</f>
        <v>134</v>
      </c>
      <c r="Q639" s="466">
        <f>ROUND(IF(Q641="",IFERROR(IF(Q636&gt;=$D$636,$D$639-SUM($K642:Q642),IF(Q636&gt;$D$637,SUM(HLOOKUP(Q636-$D$637,$K$636:$P$642,4,FALSE)),0)),0),$D$639-SUM($K641:Q641)),0)</f>
        <v>0</v>
      </c>
      <c r="R639" s="466">
        <f>ROUND(IF(R641="",IFERROR(IF(R636&gt;=$D$636,$D$639-SUM($K642:R642),IF(R636&gt;$D$637,SUM(HLOOKUP(R636-$D$637,$K$636:$Q$642,4,FALSE)),0)),0),$D$639-SUM($K641:R641)),0)</f>
        <v>0</v>
      </c>
      <c r="S639" s="466">
        <f>ROUND(IF(S641="",IFERROR(IF(S636&gt;=$D$636,$D$639-SUM($K642:S642),IF(S636&gt;$D$637,SUM(HLOOKUP(S636-$D$637,$K$636:$R$642,4,FALSE)),0)),0),$D$639-SUM($K641:S641)),0)</f>
        <v>0</v>
      </c>
      <c r="T639" s="466">
        <f>ROUND(IF(T641="",IFERROR(IF(T636&gt;=$D$636,$D$639-SUM($K642:T642),IF(T636&gt;$D$637,SUM(HLOOKUP(T636-$D$637,$K$636:$S$642,4,FALSE)),0)),0),$D$639-SUM($K641:T641)),0)</f>
        <v>0</v>
      </c>
      <c r="U639" s="466">
        <f>ROUND(IF(U641="",IFERROR(IF(U636&gt;=$D$636,$D$639-SUM($K642:U642),IF(U636&gt;$D$637,SUM(HLOOKUP(U636-$D$637,$K$636:$T$642,4,FALSE)),0)),0),$D$639-SUM($K641:U641)),0)</f>
        <v>2402</v>
      </c>
      <c r="V639" s="466"/>
      <c r="W639" s="297"/>
      <c r="X639" s="297"/>
    </row>
    <row r="640" spans="1:24" s="307" customFormat="1" ht="24.95" customHeight="1" outlineLevel="1" x14ac:dyDescent="0.2">
      <c r="A640" s="446" t="str">
        <f>VLOOKUP(B640,'C UNIT PROG TÉCNICOS'!$B$8:$H$108,7,FALSE)</f>
        <v>OPEX</v>
      </c>
      <c r="B640" s="367" t="s">
        <v>176</v>
      </c>
      <c r="C640" s="304" t="s">
        <v>20</v>
      </c>
      <c r="D640" s="305"/>
      <c r="I640" s="369"/>
      <c r="J640" s="369"/>
      <c r="K640" s="413">
        <v>0</v>
      </c>
      <c r="L640" s="465">
        <f>IF(OR(L730=TQTOTAL,L730=0),TQTOTAL,L730)</f>
        <v>32</v>
      </c>
      <c r="M640" s="465">
        <f t="shared" ref="M640:U640" si="268">IF(OR(M730=TQTOTAL,M730=0),TQTOTAL,M730)</f>
        <v>36</v>
      </c>
      <c r="N640" s="465">
        <f t="shared" si="268"/>
        <v>38</v>
      </c>
      <c r="O640" s="465">
        <f t="shared" si="268"/>
        <v>39</v>
      </c>
      <c r="P640" s="465">
        <f t="shared" si="268"/>
        <v>41</v>
      </c>
      <c r="Q640" s="465">
        <f t="shared" si="268"/>
        <v>44</v>
      </c>
      <c r="R640" s="465">
        <f t="shared" si="268"/>
        <v>44</v>
      </c>
      <c r="S640" s="465">
        <f t="shared" si="268"/>
        <v>44</v>
      </c>
      <c r="T640" s="465">
        <f t="shared" si="268"/>
        <v>44</v>
      </c>
      <c r="U640" s="465">
        <f t="shared" si="268"/>
        <v>44</v>
      </c>
      <c r="V640" s="297"/>
      <c r="W640" s="297"/>
      <c r="X640" s="297"/>
    </row>
    <row r="641" spans="1:24" s="307" customFormat="1" ht="24.95" customHeight="1" outlineLevel="1" x14ac:dyDescent="0.2">
      <c r="A641" s="446" t="str">
        <f>VLOOKUP(B641,'C UNIT PROG TÉCNICOS'!$B$8:$H$108,7,FALSE)</f>
        <v>CAPEX</v>
      </c>
      <c r="B641" s="367" t="s">
        <v>211</v>
      </c>
      <c r="C641" s="304" t="s">
        <v>177</v>
      </c>
      <c r="D641" s="305" t="s">
        <v>19</v>
      </c>
      <c r="I641" s="369"/>
      <c r="J641" s="369"/>
      <c r="K641" s="410">
        <v>0</v>
      </c>
      <c r="L641" s="410">
        <v>0</v>
      </c>
      <c r="M641" s="410">
        <v>790.44599999999991</v>
      </c>
      <c r="N641" s="410">
        <v>641.82799999999997</v>
      </c>
      <c r="O641" s="410">
        <v>782.84400000000005</v>
      </c>
      <c r="P641" s="410">
        <v>53.761000000000003</v>
      </c>
      <c r="Q641" s="410">
        <v>133.59900000000002</v>
      </c>
      <c r="R641" s="410"/>
      <c r="S641" s="410"/>
      <c r="T641" s="410"/>
      <c r="U641" s="410"/>
      <c r="V641" s="947"/>
      <c r="W641" s="297"/>
      <c r="X641" s="297"/>
    </row>
    <row r="642" spans="1:24" s="307" customFormat="1" ht="24.95" customHeight="1" outlineLevel="1" x14ac:dyDescent="0.2">
      <c r="A642" s="446" t="str">
        <f>VLOOKUP(B642,'C UNIT PROG TÉCNICOS'!$B$8:$H$108,7,FALSE)</f>
        <v>CAPEX</v>
      </c>
      <c r="B642" s="367" t="s">
        <v>211</v>
      </c>
      <c r="C642" s="304" t="s">
        <v>177</v>
      </c>
      <c r="D642" s="306" t="s">
        <v>178</v>
      </c>
      <c r="I642" s="369"/>
      <c r="J642" s="369"/>
      <c r="K642" s="413"/>
      <c r="L642" s="465">
        <f>IFERROR(IF(AND($D$637&gt;0,L636&gt;$D$637),SUM(HLOOKUP(L636-$D$637,$K$636:$K$642,6,FALSE)),0),"")</f>
        <v>0</v>
      </c>
      <c r="M642" s="465">
        <f>IFERROR(IF(AND($D$637&gt;0,M636&gt;$D$637),SUM(HLOOKUP(M636-$D$637,$K$636:$L$642,6,FALSE)),0),"")</f>
        <v>0</v>
      </c>
      <c r="N642" s="465">
        <f>IFERROR(IF(AND($D$637&gt;0,N636&gt;$D$637),SUM(HLOOKUP(N636-$D$637,$K$636:$M$642,6,FALSE)),0),"")</f>
        <v>0</v>
      </c>
      <c r="O642" s="465">
        <f>IFERROR(IF(AND($D$637&gt;0,O636&gt;$D$637),SUM(HLOOKUP(O636-$D$637,$K$636:$N$642,6,FALSE)),0),"")</f>
        <v>0</v>
      </c>
      <c r="P642" s="465">
        <f>IFERROR(IF(AND($D$637&gt;0,P636&gt;$D$637),SUM(HLOOKUP(P636-$D$637,$K$636:$O$642,6,FALSE)),0),"")</f>
        <v>0</v>
      </c>
      <c r="Q642" s="465"/>
      <c r="R642" s="465"/>
      <c r="S642" s="465"/>
      <c r="T642" s="465"/>
      <c r="U642" s="465"/>
      <c r="V642" s="297"/>
      <c r="W642" s="297"/>
      <c r="X642" s="297"/>
    </row>
    <row r="643" spans="1:24" s="307" customFormat="1" ht="12" customHeight="1" outlineLevel="1" x14ac:dyDescent="0.2">
      <c r="A643" s="316"/>
      <c r="B643" s="307" t="s">
        <v>742</v>
      </c>
      <c r="C643" s="304"/>
      <c r="D643" s="447" t="str">
        <f>IF(AND(A640="Inv",A641="Inv",A642="Inv"),"Inversión",IF(AND(A640="Ope",A641="Ope",A642="Ope"),"Operación","I/O"))</f>
        <v>I/O</v>
      </c>
      <c r="I643" s="370"/>
      <c r="J643" s="371" t="s">
        <v>149</v>
      </c>
      <c r="K643" s="371" t="s">
        <v>8</v>
      </c>
      <c r="L643" s="371" t="s">
        <v>8</v>
      </c>
      <c r="M643" s="371" t="s">
        <v>8</v>
      </c>
      <c r="N643" s="371" t="s">
        <v>8</v>
      </c>
      <c r="O643" s="371" t="s">
        <v>8</v>
      </c>
      <c r="P643" s="371" t="s">
        <v>8</v>
      </c>
      <c r="Q643" s="371"/>
      <c r="R643" s="371"/>
      <c r="S643" s="371"/>
      <c r="T643" s="371"/>
      <c r="U643" s="371"/>
      <c r="V643" s="297"/>
      <c r="W643" s="297"/>
      <c r="X643" s="297"/>
    </row>
    <row r="644" spans="1:24" s="307" customFormat="1" ht="12" customHeight="1" outlineLevel="1" x14ac:dyDescent="0.25">
      <c r="A644" s="316"/>
      <c r="B644" s="307" t="s">
        <v>762</v>
      </c>
      <c r="C644" s="304"/>
      <c r="D644" s="304"/>
      <c r="J644" s="338"/>
      <c r="K644" s="448">
        <f>IF(K643="N/A",0,IF(K643="SI",0,IF(OR($D643="I/O",$D643="Inversión"),0,SUM(VLOOKUP($B640,'C UNIT PROG TÉCNICOS'!$B$8:$G$160,6,FALSE)*'EV PROG TÉCNICOS'!K640,VLOOKUP($B641,'C UNIT PROG TÉCNICOS'!$B$8:$G$160,6,FALSE)*'EV PROG TÉCNICOS'!K641,VLOOKUP($B642,'C UNIT PROG TÉCNICOS'!$B$8:$G$160,6,FALSE)*'EV PROG TÉCNICOS'!K642))))</f>
        <v>0</v>
      </c>
      <c r="L644" s="448">
        <f>IF(L643="N/A",0,IF(L643="SI",0,IF(OR($D643="I/O",$D643="Inversión"),0,SUM(VLOOKUP($B640,'C UNIT PROG TÉCNICOS'!$B$8:$G$160,6,FALSE)*'EV PROG TÉCNICOS'!L640,VLOOKUP($B641,'C UNIT PROG TÉCNICOS'!$B$8:$G$160,6,FALSE)*'EV PROG TÉCNICOS'!L641,VLOOKUP($B642,'C UNIT PROG TÉCNICOS'!$B$8:$G$160,6,FALSE)*'EV PROG TÉCNICOS'!L642))))</f>
        <v>0</v>
      </c>
      <c r="M644" s="448">
        <f>IF(M643="N/A",0,IF(M643="SI",0,IF(OR($D643="I/O",$D643="Inversión"),0,SUM(VLOOKUP($B640,'C UNIT PROG TÉCNICOS'!$B$8:$G$160,6,FALSE)*'EV PROG TÉCNICOS'!M640,VLOOKUP($B641,'C UNIT PROG TÉCNICOS'!$B$8:$G$160,6,FALSE)*'EV PROG TÉCNICOS'!M641,VLOOKUP($B642,'C UNIT PROG TÉCNICOS'!$B$8:$G$160,6,FALSE)*'EV PROG TÉCNICOS'!M642))))</f>
        <v>0</v>
      </c>
      <c r="N644" s="448">
        <f>IF(N643="N/A",0,IF(N643="SI",0,IF(OR($D643="I/O",$D643="Inversión"),0,SUM(VLOOKUP($B640,'C UNIT PROG TÉCNICOS'!$B$8:$G$160,6,FALSE)*'EV PROG TÉCNICOS'!N640,VLOOKUP($B641,'C UNIT PROG TÉCNICOS'!$B$8:$G$160,6,FALSE)*'EV PROG TÉCNICOS'!N641,VLOOKUP($B642,'C UNIT PROG TÉCNICOS'!$B$8:$G$160,6,FALSE)*'EV PROG TÉCNICOS'!N642))))</f>
        <v>0</v>
      </c>
      <c r="O644" s="448">
        <f>IF(O643="N/A",0,IF(O643="SI",0,IF(OR($D643="I/O",$D643="Inversión"),0,SUM(VLOOKUP($B640,'C UNIT PROG TÉCNICOS'!$B$8:$G$160,6,FALSE)*'EV PROG TÉCNICOS'!O640,VLOOKUP($B641,'C UNIT PROG TÉCNICOS'!$B$8:$G$160,6,FALSE)*'EV PROG TÉCNICOS'!O641,VLOOKUP($B642,'C UNIT PROG TÉCNICOS'!$B$8:$G$160,6,FALSE)*'EV PROG TÉCNICOS'!O642))))</f>
        <v>0</v>
      </c>
      <c r="P644" s="448">
        <f>IF(P643="N/A",0,IF(P643="SI",0,IF(OR($D643="I/O",$D643="Inversión"),0,SUM(VLOOKUP($B640,'C UNIT PROG TÉCNICOS'!$B$8:$G$160,6,FALSE)*'EV PROG TÉCNICOS'!P640,VLOOKUP($B641,'C UNIT PROG TÉCNICOS'!$B$8:$G$160,6,FALSE)*'EV PROG TÉCNICOS'!P641,VLOOKUP($B642,'C UNIT PROG TÉCNICOS'!$B$8:$G$160,6,FALSE)*'EV PROG TÉCNICOS'!P642))))</f>
        <v>0</v>
      </c>
      <c r="Q644" s="448">
        <f>IF(Q643="N/A",0,IF(Q643="SI",0,IF(OR($D643="I/O",$D643="Inversión"),0,SUM(VLOOKUP($B640,'C UNIT PROG TÉCNICOS'!$B$8:$G$160,6,FALSE)*'EV PROG TÉCNICOS'!Q640,VLOOKUP($B641,'C UNIT PROG TÉCNICOS'!$B$8:$G$160,6,FALSE)*'EV PROG TÉCNICOS'!Q641,VLOOKUP($B642,'C UNIT PROG TÉCNICOS'!$B$8:$G$160,6,FALSE)*'EV PROG TÉCNICOS'!Q642))))</f>
        <v>0</v>
      </c>
      <c r="R644" s="448">
        <f>IF(R643="N/A",0,IF(R643="SI",0,IF(OR($D643="I/O",$D643="Inversión"),0,SUM(VLOOKUP($B640,'C UNIT PROG TÉCNICOS'!$B$8:$G$160,6,FALSE)*'EV PROG TÉCNICOS'!R640,VLOOKUP($B641,'C UNIT PROG TÉCNICOS'!$B$8:$G$160,6,FALSE)*'EV PROG TÉCNICOS'!R641,VLOOKUP($B642,'C UNIT PROG TÉCNICOS'!$B$8:$G$160,6,FALSE)*'EV PROG TÉCNICOS'!R642))))</f>
        <v>0</v>
      </c>
      <c r="S644" s="448">
        <f>IF(S643="N/A",0,IF(S643="SI",0,IF(OR($D643="I/O",$D643="Inversión"),0,SUM(VLOOKUP($B640,'C UNIT PROG TÉCNICOS'!$B$8:$G$160,6,FALSE)*'EV PROG TÉCNICOS'!S640,VLOOKUP($B641,'C UNIT PROG TÉCNICOS'!$B$8:$G$160,6,FALSE)*'EV PROG TÉCNICOS'!S641,VLOOKUP($B642,'C UNIT PROG TÉCNICOS'!$B$8:$G$160,6,FALSE)*'EV PROG TÉCNICOS'!S642))))</f>
        <v>0</v>
      </c>
      <c r="T644" s="448">
        <f>IF(T643="N/A",0,IF(T643="SI",0,IF(OR($D643="I/O",$D643="Inversión"),0,SUM(VLOOKUP($B640,'C UNIT PROG TÉCNICOS'!$B$8:$G$160,6,FALSE)*'EV PROG TÉCNICOS'!T640,VLOOKUP($B641,'C UNIT PROG TÉCNICOS'!$B$8:$G$160,6,FALSE)*'EV PROG TÉCNICOS'!T641,VLOOKUP($B642,'C UNIT PROG TÉCNICOS'!$B$8:$G$160,6,FALSE)*'EV PROG TÉCNICOS'!T642))))</f>
        <v>0</v>
      </c>
      <c r="U644" s="448">
        <f>IF(U643="N/A",0,IF(U643="SI",0,IF(OR($D643="I/O",$D643="Inversión"),0,SUM(VLOOKUP($B640,'C UNIT PROG TÉCNICOS'!$B$8:$G$160,6,FALSE)*'EV PROG TÉCNICOS'!U640,VLOOKUP($B641,'C UNIT PROG TÉCNICOS'!$B$8:$G$160,6,FALSE)*'EV PROG TÉCNICOS'!U641,VLOOKUP($B642,'C UNIT PROG TÉCNICOS'!$B$8:$G$160,6,FALSE)*'EV PROG TÉCNICOS'!U642))))</f>
        <v>0</v>
      </c>
      <c r="V644" s="297"/>
      <c r="W644" s="297"/>
      <c r="X644" s="297"/>
    </row>
    <row r="645" spans="1:24" s="307" customFormat="1" ht="12" customHeight="1" outlineLevel="1" x14ac:dyDescent="0.25">
      <c r="A645" s="316"/>
      <c r="B645" s="307" t="s">
        <v>763</v>
      </c>
      <c r="C645" s="304" t="s">
        <v>6</v>
      </c>
      <c r="D645" s="304"/>
      <c r="J645" s="338"/>
      <c r="K645" s="450">
        <f>IF(K643="N/A",0,IF(K643="SI",0,K$21*K644))</f>
        <v>0</v>
      </c>
      <c r="L645" s="450">
        <f>IF(L643="N/A",0,IF(L643="SI",0,L$21*L644))</f>
        <v>0</v>
      </c>
      <c r="M645" s="450">
        <f t="shared" ref="M645:U645" si="269">IF(M643="N/A",0,IF(M643="SI",0,M$21*M644))</f>
        <v>0</v>
      </c>
      <c r="N645" s="450">
        <f t="shared" si="269"/>
        <v>0</v>
      </c>
      <c r="O645" s="450">
        <f t="shared" si="269"/>
        <v>0</v>
      </c>
      <c r="P645" s="450">
        <f t="shared" si="269"/>
        <v>0</v>
      </c>
      <c r="Q645" s="450">
        <f t="shared" si="269"/>
        <v>0</v>
      </c>
      <c r="R645" s="450">
        <f t="shared" si="269"/>
        <v>0</v>
      </c>
      <c r="S645" s="450">
        <f t="shared" si="269"/>
        <v>0</v>
      </c>
      <c r="T645" s="450">
        <f t="shared" si="269"/>
        <v>0</v>
      </c>
      <c r="U645" s="450">
        <f t="shared" si="269"/>
        <v>0</v>
      </c>
      <c r="V645" s="297"/>
      <c r="W645" s="297"/>
      <c r="X645" s="297"/>
    </row>
    <row r="646" spans="1:24" s="307" customFormat="1" ht="12" customHeight="1" outlineLevel="1" x14ac:dyDescent="0.25">
      <c r="A646" s="316"/>
      <c r="B646" s="307" t="s">
        <v>764</v>
      </c>
      <c r="C646" s="304" t="s">
        <v>6</v>
      </c>
      <c r="J646" s="338" t="s">
        <v>220</v>
      </c>
      <c r="K646" s="450">
        <f>IF(K643="N/A",0,IF(K643="SI",0,IF(OR($D643="Inversión",$D643="I/O"),SUM(VLOOKUP($B640,'C UNIT PROG TÉCNICOS'!$B$8:$G$160,5,FALSE)*'EV PROG TÉCNICOS'!K640,VLOOKUP($B641,'C UNIT PROG TÉCNICOS'!$B$8:$G$160,5,FALSE)*'EV PROG TÉCNICOS'!K641,VLOOKUP($B642,'C UNIT PROG TÉCNICOS'!$B$8:$G$160,5,FALSE)*'EV PROG TÉCNICOS'!K642),0))*((1+$D$24)^(K$3-$K$3)))</f>
        <v>0</v>
      </c>
      <c r="L646" s="450">
        <f>IF(L643="N/A",0,IF(L643="SI",0,IF(OR($D643="Inversión",$D643="I/O"),SUM(VLOOKUP($B640,'C UNIT PROG TÉCNICOS'!$B$8:$G$160,5,FALSE)*'EV PROG TÉCNICOS'!L640,VLOOKUP($B641,'C UNIT PROG TÉCNICOS'!$B$8:$G$160,5,FALSE)*'EV PROG TÉCNICOS'!L641,VLOOKUP($B642,'C UNIT PROG TÉCNICOS'!$B$8:$G$160,5,FALSE)*'EV PROG TÉCNICOS'!L642),0))*((1+$D$24)^(L$3-$K$3)))</f>
        <v>7221555.1303999992</v>
      </c>
      <c r="M646" s="450">
        <f>IF(M643="N/A",0,IF(M643="SI",0,IF(OR($D643="Inversión",$D643="I/O"),SUM(VLOOKUP($B640,'C UNIT PROG TÉCNICOS'!$B$8:$G$160,5,FALSE)*'EV PROG TÉCNICOS'!M640,VLOOKUP($B641,'C UNIT PROG TÉCNICOS'!$B$8:$G$160,5,FALSE)*'EV PROG TÉCNICOS'!M641,VLOOKUP($B642,'C UNIT PROG TÉCNICOS'!$B$8:$G$160,5,FALSE)*'EV PROG TÉCNICOS'!M642),0))*((1+$D$24)^(M$3-$K$3)))</f>
        <v>47729868.432724625</v>
      </c>
      <c r="N646" s="450">
        <f>IF(N643="N/A",0,IF(N643="SI",0,IF(OR($D643="Inversión",$D643="I/O"),SUM(VLOOKUP($B640,'C UNIT PROG TÉCNICOS'!$B$8:$G$160,5,FALSE)*'EV PROG TÉCNICOS'!N640,VLOOKUP($B641,'C UNIT PROG TÉCNICOS'!$B$8:$G$160,5,FALSE)*'EV PROG TÉCNICOS'!N641,VLOOKUP($B642,'C UNIT PROG TÉCNICOS'!$B$8:$G$160,5,FALSE)*'EV PROG TÉCNICOS'!N642),0))*((1+$D$24)^(N$3-$K$3)))</f>
        <v>42257581.343545668</v>
      </c>
      <c r="O646" s="450">
        <f>IF(O643="N/A",0,IF(O643="SI",0,IF(OR($D643="Inversión",$D643="I/O"),SUM(VLOOKUP($B640,'C UNIT PROG TÉCNICOS'!$B$8:$G$160,5,FALSE)*'EV PROG TÉCNICOS'!O640,VLOOKUP($B641,'C UNIT PROG TÉCNICOS'!$B$8:$G$160,5,FALSE)*'EV PROG TÉCNICOS'!O641,VLOOKUP($B642,'C UNIT PROG TÉCNICOS'!$B$8:$G$160,5,FALSE)*'EV PROG TÉCNICOS'!O642),0))*((1+$D$24)^(O$3-$K$3)))</f>
        <v>51534720.760039322</v>
      </c>
      <c r="P646" s="450">
        <f>IF(P643="N/A",0,IF(P643="SI",0,IF(OR($D643="Inversión",$D643="I/O"),SUM(VLOOKUP($B640,'C UNIT PROG TÉCNICOS'!$B$8:$G$160,5,FALSE)*'EV PROG TÉCNICOS'!P640,VLOOKUP($B641,'C UNIT PROG TÉCNICOS'!$B$8:$G$160,5,FALSE)*'EV PROG TÉCNICOS'!P641,VLOOKUP($B642,'C UNIT PROG TÉCNICOS'!$B$8:$G$160,5,FALSE)*'EV PROG TÉCNICOS'!P642),0))*((1+$D$24)^(P$3-$K$3)))</f>
        <v>13611951.464568583</v>
      </c>
      <c r="Q646" s="450">
        <f>IF(Q643="N/A",0,IF(Q643="SI",0,IF(OR($D643="Inversión",$D643="I/O"),SUM(VLOOKUP($B640,'C UNIT PROG TÉCNICOS'!$B$8:$G$160,5,FALSE)*'EV PROG TÉCNICOS'!Q640,VLOOKUP($B641,'C UNIT PROG TÉCNICOS'!$B$8:$G$160,5,FALSE)*'EV PROG TÉCNICOS'!Q641,VLOOKUP($B642,'C UNIT PROG TÉCNICOS'!$B$8:$G$160,5,FALSE)*'EV PROG TÉCNICOS'!Q642),0))*((1+$D$24)^(Q$3-$K$3)))</f>
        <v>19470324.947528441</v>
      </c>
      <c r="R646" s="450">
        <f>IF(R643="N/A",0,IF(R643="SI",0,IF(OR($D643="Inversión",$D643="I/O"),SUM(VLOOKUP($B640,'C UNIT PROG TÉCNICOS'!$B$8:$G$160,5,FALSE)*'EV PROG TÉCNICOS'!R640,VLOOKUP($B641,'C UNIT PROG TÉCNICOS'!$B$8:$G$160,5,FALSE)*'EV PROG TÉCNICOS'!R641,VLOOKUP($B642,'C UNIT PROG TÉCNICOS'!$B$8:$G$160,5,FALSE)*'EV PROG TÉCNICOS'!R642),0))*((1+$D$24)^(R$3-$K$3)))</f>
        <v>12248284.422990512</v>
      </c>
      <c r="S646" s="450">
        <f>IF(S643="N/A",0,IF(S643="SI",0,IF(OR($D643="Inversión",$D643="I/O"),SUM(VLOOKUP($B640,'C UNIT PROG TÉCNICOS'!$B$8:$G$160,5,FALSE)*'EV PROG TÉCNICOS'!S640,VLOOKUP($B641,'C UNIT PROG TÉCNICOS'!$B$8:$G$160,5,FALSE)*'EV PROG TÉCNICOS'!S641,VLOOKUP($B642,'C UNIT PROG TÉCNICOS'!$B$8:$G$160,5,FALSE)*'EV PROG TÉCNICOS'!S642),0))*((1+$D$24)^(S$3-$K$3)))</f>
        <v>12684272.640551461</v>
      </c>
      <c r="T646" s="450">
        <f>IF(T643="N/A",0,IF(T643="SI",0,IF(OR($D643="Inversión",$D643="I/O"),SUM(VLOOKUP($B640,'C UNIT PROG TÉCNICOS'!$B$8:$G$160,5,FALSE)*'EV PROG TÉCNICOS'!T640,VLOOKUP($B641,'C UNIT PROG TÉCNICOS'!$B$8:$G$160,5,FALSE)*'EV PROG TÉCNICOS'!T641,VLOOKUP($B642,'C UNIT PROG TÉCNICOS'!$B$8:$G$160,5,FALSE)*'EV PROG TÉCNICOS'!T642),0))*((1+$D$24)^(T$3-$K$3)))</f>
        <v>13135780.23366636</v>
      </c>
      <c r="U646" s="450">
        <f>IF(U643="N/A",0,IF(U643="SI",0,IF(OR($D643="Inversión",$D643="I/O"),SUM(VLOOKUP($B640,'C UNIT PROG TÉCNICOS'!$B$8:$G$160,5,FALSE)*'EV PROG TÉCNICOS'!U640,VLOOKUP($B641,'C UNIT PROG TÉCNICOS'!$B$8:$G$160,5,FALSE)*'EV PROG TÉCNICOS'!U641,VLOOKUP($B642,'C UNIT PROG TÉCNICOS'!$B$8:$G$160,5,FALSE)*'EV PROG TÉCNICOS'!U642),0))*((1+$D$24)^(U$3-$K$3)))</f>
        <v>13603359.627854714</v>
      </c>
      <c r="V646" s="297"/>
      <c r="W646" s="297"/>
      <c r="X646" s="297"/>
    </row>
    <row r="647" spans="1:24" s="376" customFormat="1" ht="35.1" customHeight="1" outlineLevel="1" x14ac:dyDescent="0.25">
      <c r="A647" s="374"/>
      <c r="B647" s="454" t="str">
        <f>CONCATENATE("VNA  ",B635)</f>
        <v>VNA  Pruebas de estanqueidad e impermeabilización de tanques</v>
      </c>
      <c r="C647" s="374" t="s">
        <v>6</v>
      </c>
      <c r="D647" s="469">
        <f>NPV($D$31,L647:U647)+K647</f>
        <v>125317226.95549992</v>
      </c>
      <c r="J647" s="338"/>
      <c r="K647" s="452">
        <f>IF(K643="N/A",0,IF($D643="Operación",K645,K646))</f>
        <v>0</v>
      </c>
      <c r="L647" s="452">
        <f>IF(L643="N/A",0,IF($D643="Operación",L645,L646))</f>
        <v>7221555.1303999992</v>
      </c>
      <c r="M647" s="452">
        <f t="shared" ref="M647:U647" si="270">IF(M643="N/A",0,IF($D643="Operación",M645,M646))</f>
        <v>47729868.432724625</v>
      </c>
      <c r="N647" s="452">
        <f t="shared" si="270"/>
        <v>42257581.343545668</v>
      </c>
      <c r="O647" s="452">
        <f t="shared" si="270"/>
        <v>51534720.760039322</v>
      </c>
      <c r="P647" s="452">
        <f t="shared" si="270"/>
        <v>13611951.464568583</v>
      </c>
      <c r="Q647" s="452">
        <f t="shared" si="270"/>
        <v>19470324.947528441</v>
      </c>
      <c r="R647" s="452">
        <f t="shared" si="270"/>
        <v>12248284.422990512</v>
      </c>
      <c r="S647" s="452">
        <f t="shared" si="270"/>
        <v>12684272.640551461</v>
      </c>
      <c r="T647" s="452">
        <f t="shared" si="270"/>
        <v>13135780.23366636</v>
      </c>
      <c r="U647" s="452">
        <f t="shared" si="270"/>
        <v>13603359.627854714</v>
      </c>
      <c r="V647" s="297"/>
      <c r="W647" s="297"/>
      <c r="X647" s="297"/>
    </row>
    <row r="648" spans="1:24" s="393" customFormat="1" ht="34.35" customHeight="1" outlineLevel="1" x14ac:dyDescent="0.25">
      <c r="A648" s="374"/>
      <c r="B648" s="454" t="str">
        <f>CONCATENATE("Volumen de agua recuperado ",B635)</f>
        <v>Volumen de agua recuperado Pruebas de estanqueidad e impermeabilización de tanques</v>
      </c>
      <c r="C648" s="374" t="s">
        <v>106</v>
      </c>
      <c r="D648" s="470">
        <f>SUM(L648:U648)</f>
        <v>23063.82</v>
      </c>
      <c r="E648" s="376"/>
      <c r="F648" s="376"/>
      <c r="G648" s="376"/>
      <c r="H648" s="376"/>
      <c r="I648" s="376"/>
      <c r="J648" s="338"/>
      <c r="K648" s="410"/>
      <c r="L648" s="410">
        <v>0</v>
      </c>
      <c r="M648" s="410">
        <v>3844.62</v>
      </c>
      <c r="N648" s="410">
        <v>2283.2999999999997</v>
      </c>
      <c r="O648" s="410">
        <v>4158.8999999999996</v>
      </c>
      <c r="P648" s="410">
        <v>2170</v>
      </c>
      <c r="Q648" s="410">
        <v>2607</v>
      </c>
      <c r="R648" s="410">
        <v>2000</v>
      </c>
      <c r="S648" s="410">
        <v>2000</v>
      </c>
      <c r="T648" s="410">
        <v>2000</v>
      </c>
      <c r="U648" s="410">
        <v>2000</v>
      </c>
      <c r="V648" s="338"/>
      <c r="W648" s="338"/>
      <c r="X648" s="338"/>
    </row>
    <row r="649" spans="1:24" s="376" customFormat="1" ht="15" customHeight="1" outlineLevel="1" x14ac:dyDescent="0.25">
      <c r="A649" s="374"/>
      <c r="B649" s="376" t="s">
        <v>750</v>
      </c>
      <c r="C649" s="374" t="s">
        <v>6</v>
      </c>
      <c r="D649" s="459">
        <f>NPV($D$31,L649:U649)+K649</f>
        <v>3657979.9948924226</v>
      </c>
      <c r="J649" s="338"/>
      <c r="K649" s="467">
        <f>IF(OR(K643="N/A",K648=0),0,K648*K$29)</f>
        <v>0</v>
      </c>
      <c r="L649" s="452">
        <f>IF(OR(L643="N/A",L648=0),0,L648*L$29)</f>
        <v>0</v>
      </c>
      <c r="M649" s="452">
        <f t="shared" ref="M649:U649" si="271">IF(OR(M643="N/A",M648=0),0,M648*M$29)</f>
        <v>1177334.9768815956</v>
      </c>
      <c r="N649" s="452">
        <f t="shared" si="271"/>
        <v>724102.26816832135</v>
      </c>
      <c r="O649" s="452">
        <f t="shared" si="271"/>
        <v>1365858.5158611326</v>
      </c>
      <c r="P649" s="452">
        <f t="shared" si="271"/>
        <v>738035.54086085921</v>
      </c>
      <c r="Q649" s="452">
        <f t="shared" si="271"/>
        <v>918224.5057789362</v>
      </c>
      <c r="R649" s="452">
        <f t="shared" si="271"/>
        <v>729504.79227864393</v>
      </c>
      <c r="S649" s="452">
        <f t="shared" si="271"/>
        <v>755472.14273392351</v>
      </c>
      <c r="T649" s="452">
        <f t="shared" si="271"/>
        <v>782363.82336058025</v>
      </c>
      <c r="U649" s="452">
        <f t="shared" si="271"/>
        <v>810212.73648598813</v>
      </c>
      <c r="V649" s="338"/>
      <c r="W649" s="338"/>
      <c r="X649" s="338"/>
    </row>
    <row r="650" spans="1:24" s="376" customFormat="1" ht="15" customHeight="1" outlineLevel="1" x14ac:dyDescent="0.25">
      <c r="A650" s="374"/>
      <c r="B650" s="376" t="s">
        <v>751</v>
      </c>
      <c r="C650" s="374"/>
      <c r="D650" s="455">
        <f>IFERROR(ROUND(IF(D649/D647=0,0,D649/D647),2),0)</f>
        <v>0.03</v>
      </c>
      <c r="J650" s="338"/>
      <c r="K650" s="468">
        <f>IFERROR(ROUND(IF(K649/K647=0,0,K649/K647),2),0)</f>
        <v>0</v>
      </c>
      <c r="L650" s="455">
        <f>IFERROR(ROUND(IF(L649/L647=0,0,L649/L647),2),0)</f>
        <v>0</v>
      </c>
      <c r="M650" s="455">
        <f t="shared" ref="M650:U650" si="272">IFERROR(ROUND(IF(M649/M647=0,0,M649/M647),2),0)</f>
        <v>0.02</v>
      </c>
      <c r="N650" s="455">
        <f t="shared" si="272"/>
        <v>0.02</v>
      </c>
      <c r="O650" s="455">
        <f t="shared" si="272"/>
        <v>0.03</v>
      </c>
      <c r="P650" s="455">
        <f t="shared" si="272"/>
        <v>0.05</v>
      </c>
      <c r="Q650" s="455">
        <f t="shared" si="272"/>
        <v>0.05</v>
      </c>
      <c r="R650" s="455">
        <f t="shared" si="272"/>
        <v>0.06</v>
      </c>
      <c r="S650" s="455">
        <f t="shared" si="272"/>
        <v>0.06</v>
      </c>
      <c r="T650" s="455">
        <f t="shared" si="272"/>
        <v>0.06</v>
      </c>
      <c r="U650" s="455">
        <f t="shared" si="272"/>
        <v>0.06</v>
      </c>
    </row>
    <row r="652" spans="1:24" s="355" customFormat="1" ht="20.100000000000001" customHeight="1" thickBot="1" x14ac:dyDescent="0.3">
      <c r="A652" s="323">
        <v>5</v>
      </c>
      <c r="B652" s="1730" t="s">
        <v>94</v>
      </c>
      <c r="C652" s="1730"/>
      <c r="D652" s="1730"/>
      <c r="E652" s="1730"/>
      <c r="F652" s="1730"/>
      <c r="G652" s="1730"/>
      <c r="H652" s="1730"/>
      <c r="I652" s="1730"/>
      <c r="J652" s="1730"/>
      <c r="K652" s="1730"/>
      <c r="L652" s="1730"/>
      <c r="M652" s="1730"/>
      <c r="N652" s="1730"/>
      <c r="O652" s="1730"/>
      <c r="P652" s="1730"/>
      <c r="Q652" s="1730"/>
      <c r="R652" s="1730"/>
      <c r="S652" s="1730"/>
      <c r="T652" s="1730"/>
      <c r="U652" s="1730"/>
    </row>
    <row r="653" spans="1:24" s="357" customFormat="1" ht="15.75" x14ac:dyDescent="0.25">
      <c r="A653" s="356">
        <v>5.0999999999999996</v>
      </c>
      <c r="B653" s="317" t="s">
        <v>95</v>
      </c>
      <c r="C653" s="317"/>
      <c r="D653" s="317"/>
      <c r="E653" s="317"/>
      <c r="F653" s="317"/>
      <c r="G653" s="317"/>
      <c r="H653" s="317"/>
      <c r="I653" s="317"/>
      <c r="J653" s="317"/>
      <c r="K653" s="317"/>
      <c r="L653" s="317"/>
      <c r="M653" s="317"/>
      <c r="N653" s="317"/>
      <c r="O653" s="317"/>
      <c r="P653" s="317"/>
      <c r="Q653" s="317"/>
      <c r="R653" s="317"/>
      <c r="S653" s="317"/>
      <c r="T653" s="317"/>
      <c r="U653" s="317"/>
    </row>
    <row r="654" spans="1:24" s="326" customFormat="1" ht="12" hidden="1" customHeight="1" outlineLevel="1" x14ac:dyDescent="0.25">
      <c r="A654" s="316"/>
      <c r="B654" s="364" t="s">
        <v>124</v>
      </c>
      <c r="C654" s="394" t="s">
        <v>11</v>
      </c>
      <c r="D654" s="444">
        <f>COUNT(L654:U654)</f>
        <v>10</v>
      </c>
      <c r="E654" s="364"/>
      <c r="F654" s="364"/>
      <c r="G654" s="364"/>
      <c r="H654" s="364"/>
      <c r="I654" s="364"/>
      <c r="J654" s="338"/>
      <c r="K654" s="365">
        <v>0</v>
      </c>
      <c r="L654" s="443">
        <f>IF(L661="N/A","",K654+1)</f>
        <v>1</v>
      </c>
      <c r="M654" s="443">
        <f t="shared" ref="M654:U654" si="273">IF(M661="N/A","",L654+1)</f>
        <v>2</v>
      </c>
      <c r="N654" s="443">
        <f t="shared" si="273"/>
        <v>3</v>
      </c>
      <c r="O654" s="443">
        <f t="shared" si="273"/>
        <v>4</v>
      </c>
      <c r="P654" s="443">
        <f t="shared" si="273"/>
        <v>5</v>
      </c>
      <c r="Q654" s="443">
        <f t="shared" si="273"/>
        <v>6</v>
      </c>
      <c r="R654" s="443">
        <f t="shared" si="273"/>
        <v>7</v>
      </c>
      <c r="S654" s="443">
        <f t="shared" si="273"/>
        <v>8</v>
      </c>
      <c r="T654" s="443">
        <f t="shared" si="273"/>
        <v>9</v>
      </c>
      <c r="U654" s="443">
        <f t="shared" si="273"/>
        <v>10</v>
      </c>
      <c r="V654" s="297"/>
      <c r="W654" s="297"/>
      <c r="X654" s="297"/>
    </row>
    <row r="655" spans="1:24" s="326" customFormat="1" ht="12" hidden="1" customHeight="1" outlineLevel="1" x14ac:dyDescent="0.25">
      <c r="A655" s="316"/>
      <c r="B655" s="364" t="s">
        <v>758</v>
      </c>
      <c r="C655" s="394" t="s">
        <v>20</v>
      </c>
      <c r="D655" s="410"/>
      <c r="E655" s="364"/>
      <c r="F655" s="364"/>
      <c r="G655" s="364"/>
      <c r="H655" s="364"/>
      <c r="I655" s="364"/>
      <c r="J655" s="338"/>
      <c r="K655" s="816"/>
      <c r="L655" s="821"/>
      <c r="M655" s="821"/>
      <c r="N655" s="821"/>
      <c r="O655" s="821"/>
      <c r="P655" s="821"/>
      <c r="Q655" s="821"/>
      <c r="R655" s="821"/>
      <c r="S655" s="821"/>
      <c r="T655" s="821"/>
      <c r="U655" s="821"/>
      <c r="V655" s="297"/>
      <c r="W655" s="297"/>
      <c r="X655" s="297"/>
    </row>
    <row r="656" spans="1:24" s="326" customFormat="1" ht="12" hidden="1" customHeight="1" outlineLevel="1" x14ac:dyDescent="0.25">
      <c r="A656" s="316"/>
      <c r="B656" s="364" t="s">
        <v>877</v>
      </c>
      <c r="C656" s="394" t="s">
        <v>20</v>
      </c>
      <c r="D656" s="410"/>
      <c r="E656" s="364"/>
      <c r="F656" s="364"/>
      <c r="G656" s="364"/>
      <c r="H656" s="364"/>
      <c r="I656" s="364"/>
      <c r="J656" s="338"/>
      <c r="K656" s="816"/>
      <c r="L656" s="821"/>
      <c r="M656" s="821"/>
      <c r="N656" s="821"/>
      <c r="O656" s="821"/>
      <c r="P656" s="821"/>
      <c r="Q656" s="821"/>
      <c r="R656" s="821"/>
      <c r="S656" s="821"/>
      <c r="T656" s="821"/>
      <c r="U656" s="821"/>
      <c r="V656" s="297"/>
      <c r="W656" s="297"/>
      <c r="X656" s="297"/>
    </row>
    <row r="657" spans="1:24" s="307" customFormat="1" ht="25.35" hidden="1" customHeight="1" outlineLevel="1" x14ac:dyDescent="0.25">
      <c r="A657" s="446" t="str">
        <f>VLOOKUP(B657,'C UNIT PROG TÉCNICOS'!$B$8:$H$108,7,FALSE)</f>
        <v>OPEX</v>
      </c>
      <c r="B657" s="367" t="s">
        <v>918</v>
      </c>
      <c r="C657" s="304" t="s">
        <v>779</v>
      </c>
      <c r="D657" s="305" t="s">
        <v>19</v>
      </c>
      <c r="I657" s="369"/>
      <c r="J657" s="338"/>
      <c r="K657" s="342"/>
      <c r="L657" s="1427">
        <v>3</v>
      </c>
      <c r="M657" s="1427">
        <v>3</v>
      </c>
      <c r="N657" s="1427">
        <v>3</v>
      </c>
      <c r="O657" s="1427">
        <v>3</v>
      </c>
      <c r="P657" s="1427">
        <v>3</v>
      </c>
      <c r="Q657" s="342"/>
      <c r="R657" s="342"/>
      <c r="S657" s="342"/>
      <c r="T657" s="342"/>
      <c r="U657" s="342"/>
      <c r="V657" s="297"/>
      <c r="W657" s="297"/>
      <c r="X657" s="297"/>
    </row>
    <row r="658" spans="1:24" s="307" customFormat="1" ht="25.35" hidden="1" customHeight="1" outlineLevel="1" x14ac:dyDescent="0.25">
      <c r="A658" s="446" t="str">
        <f>VLOOKUP(B658,'C UNIT PROG TÉCNICOS'!$B$8:$H$108,7,FALSE)</f>
        <v>CAPEX</v>
      </c>
      <c r="B658" s="367" t="s">
        <v>761</v>
      </c>
      <c r="C658" s="304" t="s">
        <v>182</v>
      </c>
      <c r="D658" s="305" t="s">
        <v>19</v>
      </c>
      <c r="I658" s="369"/>
      <c r="J658" s="338"/>
      <c r="K658" s="342"/>
      <c r="L658" s="342"/>
      <c r="M658" s="342"/>
      <c r="N658" s="342"/>
      <c r="O658" s="342"/>
      <c r="P658" s="342"/>
      <c r="Q658" s="342"/>
      <c r="R658" s="342"/>
      <c r="S658" s="342"/>
      <c r="T658" s="342"/>
      <c r="U658" s="342"/>
      <c r="V658" s="297"/>
      <c r="W658" s="297"/>
      <c r="X658" s="297"/>
    </row>
    <row r="659" spans="1:24" s="307" customFormat="1" ht="25.35" hidden="1" customHeight="1" outlineLevel="1" x14ac:dyDescent="0.25">
      <c r="A659" s="446" t="str">
        <f>VLOOKUP(B659,'C UNIT PROG TÉCNICOS'!$B$8:$H$108,7,FALSE)</f>
        <v>CAPEX</v>
      </c>
      <c r="B659" s="367" t="s">
        <v>760</v>
      </c>
      <c r="C659" s="304" t="s">
        <v>182</v>
      </c>
      <c r="D659" s="305" t="s">
        <v>19</v>
      </c>
      <c r="I659" s="369"/>
      <c r="J659" s="338"/>
      <c r="K659" s="369"/>
      <c r="L659" s="1427">
        <v>1</v>
      </c>
      <c r="M659" s="1427">
        <v>1</v>
      </c>
      <c r="N659" s="1427">
        <v>1</v>
      </c>
      <c r="O659" s="1427">
        <v>1</v>
      </c>
      <c r="P659" s="1427">
        <v>1</v>
      </c>
      <c r="Q659" s="369"/>
      <c r="R659" s="369"/>
      <c r="S659" s="369"/>
      <c r="T659" s="369"/>
      <c r="U659" s="369"/>
      <c r="V659" s="297"/>
      <c r="W659" s="297"/>
      <c r="X659" s="297"/>
    </row>
    <row r="660" spans="1:24" s="307" customFormat="1" ht="25.35" hidden="1" customHeight="1" outlineLevel="1" x14ac:dyDescent="0.25">
      <c r="A660" s="446" t="str">
        <f>VLOOKUP(B660,'C UNIT PROG TÉCNICOS'!$B$8:$H$108,7,FALSE)</f>
        <v>OPEX</v>
      </c>
      <c r="B660" s="367" t="s">
        <v>51</v>
      </c>
      <c r="C660" s="304" t="s">
        <v>182</v>
      </c>
      <c r="D660" s="820" t="s">
        <v>186</v>
      </c>
      <c r="I660" s="369"/>
      <c r="J660" s="338"/>
      <c r="K660" s="369"/>
      <c r="L660" s="1427">
        <v>1</v>
      </c>
      <c r="M660" s="1427">
        <v>1</v>
      </c>
      <c r="N660" s="1427">
        <v>1</v>
      </c>
      <c r="O660" s="1427">
        <v>1</v>
      </c>
      <c r="P660" s="1427">
        <v>1</v>
      </c>
      <c r="Q660" s="369"/>
      <c r="R660" s="369"/>
      <c r="S660" s="369"/>
      <c r="T660" s="369"/>
      <c r="U660" s="369"/>
      <c r="V660" s="297"/>
      <c r="W660" s="297"/>
      <c r="X660" s="297"/>
    </row>
    <row r="661" spans="1:24" s="307" customFormat="1" ht="12" hidden="1" customHeight="1" outlineLevel="1" x14ac:dyDescent="0.25">
      <c r="A661" s="316"/>
      <c r="B661" s="307" t="s">
        <v>742</v>
      </c>
      <c r="C661" s="304"/>
      <c r="D661" s="447" t="str">
        <f>IF(AND(A658="Inv",A659="Inv",A660="Inv",A657="Ope"),"Inversión",IF(AND(A658="Ope",A659="Ope",A660="Ope",A657="Ope"),"Operación","I/O"))</f>
        <v>I/O</v>
      </c>
      <c r="I661" s="370"/>
      <c r="J661" s="338"/>
      <c r="K661" s="371" t="s">
        <v>8</v>
      </c>
      <c r="L661" s="371" t="s">
        <v>8</v>
      </c>
      <c r="M661" s="371" t="s">
        <v>8</v>
      </c>
      <c r="N661" s="371" t="s">
        <v>8</v>
      </c>
      <c r="O661" s="371" t="s">
        <v>8</v>
      </c>
      <c r="P661" s="371" t="s">
        <v>8</v>
      </c>
      <c r="Q661" s="371"/>
      <c r="R661" s="371"/>
      <c r="S661" s="371"/>
      <c r="T661" s="371"/>
      <c r="U661" s="371"/>
      <c r="V661" s="297"/>
      <c r="W661" s="297"/>
      <c r="X661" s="297"/>
    </row>
    <row r="662" spans="1:24" s="307" customFormat="1" ht="12" hidden="1" customHeight="1" outlineLevel="1" x14ac:dyDescent="0.25">
      <c r="A662" s="316"/>
      <c r="B662" s="307" t="s">
        <v>762</v>
      </c>
      <c r="C662" s="304"/>
      <c r="D662" s="304"/>
      <c r="J662" s="338"/>
      <c r="K662" s="448">
        <f>IF(K661="N/A",0,IF(K661="SI",0,IF(OR($D661="I/O",$D661="Inversión"),0,SUM(VLOOKUP($B657,'C UNIT PROG TÉCNICOS'!$B$8:$G$160,6,FALSE)*'EV PROG TÉCNICOS'!K657,VLOOKUP($B658,'C UNIT PROG TÉCNICOS'!$B$8:$G$160,6,FALSE)*'EV PROG TÉCNICOS'!K658,VLOOKUP($B659,'C UNIT PROG TÉCNICOS'!$B$8:$G$160,6,FALSE)*'EV PROG TÉCNICOS'!K659,VLOOKUP($B660,'C UNIT PROG TÉCNICOS'!$B$8:$G$160,6,FALSE)*'EV PROG TÉCNICOS'!K660))))</f>
        <v>0</v>
      </c>
      <c r="L662" s="448">
        <f>IF(L661="N/A",0,IF(L661="SI",0,IF(OR($D661="I/O",$D661="Inversión"),0,SUM(VLOOKUP($B657,'C UNIT PROG TÉCNICOS'!$B$8:$G$160,6,FALSE)*'EV PROG TÉCNICOS'!L657,VLOOKUP($B658,'C UNIT PROG TÉCNICOS'!$B$8:$G$160,6,FALSE)*'EV PROG TÉCNICOS'!L658,VLOOKUP($B659,'C UNIT PROG TÉCNICOS'!$B$8:$G$160,6,FALSE)*'EV PROG TÉCNICOS'!L659,VLOOKUP($B660,'C UNIT PROG TÉCNICOS'!$B$8:$G$160,6,FALSE)*'EV PROG TÉCNICOS'!L660))))</f>
        <v>0</v>
      </c>
      <c r="M662" s="448">
        <f>IF(M661="N/A",0,IF(M661="SI",0,IF(OR($D661="I/O",$D661="Inversión"),0,SUM(VLOOKUP($B657,'C UNIT PROG TÉCNICOS'!$B$8:$G$160,6,FALSE)*'EV PROG TÉCNICOS'!M657,VLOOKUP($B658,'C UNIT PROG TÉCNICOS'!$B$8:$G$160,6,FALSE)*'EV PROG TÉCNICOS'!M658,VLOOKUP($B659,'C UNIT PROG TÉCNICOS'!$B$8:$G$160,6,FALSE)*'EV PROG TÉCNICOS'!M659,VLOOKUP($B660,'C UNIT PROG TÉCNICOS'!$B$8:$G$160,6,FALSE)*'EV PROG TÉCNICOS'!M660))))</f>
        <v>0</v>
      </c>
      <c r="N662" s="448">
        <f>IF(N661="N/A",0,IF(N661="SI",0,IF(OR($D661="I/O",$D661="Inversión"),0,SUM(VLOOKUP($B657,'C UNIT PROG TÉCNICOS'!$B$8:$G$160,6,FALSE)*'EV PROG TÉCNICOS'!N657,VLOOKUP($B658,'C UNIT PROG TÉCNICOS'!$B$8:$G$160,6,FALSE)*'EV PROG TÉCNICOS'!N658,VLOOKUP($B659,'C UNIT PROG TÉCNICOS'!$B$8:$G$160,6,FALSE)*'EV PROG TÉCNICOS'!N659,VLOOKUP($B660,'C UNIT PROG TÉCNICOS'!$B$8:$G$160,6,FALSE)*'EV PROG TÉCNICOS'!N660))))</f>
        <v>0</v>
      </c>
      <c r="O662" s="448">
        <f>IF(O661="N/A",0,IF(O661="SI",0,IF(OR($D661="I/O",$D661="Inversión"),0,SUM(VLOOKUP($B657,'C UNIT PROG TÉCNICOS'!$B$8:$G$160,6,FALSE)*'EV PROG TÉCNICOS'!O657,VLOOKUP($B658,'C UNIT PROG TÉCNICOS'!$B$8:$G$160,6,FALSE)*'EV PROG TÉCNICOS'!O658,VLOOKUP($B659,'C UNIT PROG TÉCNICOS'!$B$8:$G$160,6,FALSE)*'EV PROG TÉCNICOS'!O659,VLOOKUP($B660,'C UNIT PROG TÉCNICOS'!$B$8:$G$160,6,FALSE)*'EV PROG TÉCNICOS'!O660))))</f>
        <v>0</v>
      </c>
      <c r="P662" s="448">
        <f>IF(P661="N/A",0,IF(P661="SI",0,IF(OR($D661="I/O",$D661="Inversión"),0,SUM(VLOOKUP($B657,'C UNIT PROG TÉCNICOS'!$B$8:$G$160,6,FALSE)*'EV PROG TÉCNICOS'!P657,VLOOKUP($B658,'C UNIT PROG TÉCNICOS'!$B$8:$G$160,6,FALSE)*'EV PROG TÉCNICOS'!P658,VLOOKUP($B659,'C UNIT PROG TÉCNICOS'!$B$8:$G$160,6,FALSE)*'EV PROG TÉCNICOS'!P659,VLOOKUP($B660,'C UNIT PROG TÉCNICOS'!$B$8:$G$160,6,FALSE)*'EV PROG TÉCNICOS'!P660))))</f>
        <v>0</v>
      </c>
      <c r="Q662" s="448"/>
      <c r="R662" s="448"/>
      <c r="S662" s="448"/>
      <c r="T662" s="448"/>
      <c r="U662" s="448"/>
      <c r="V662" s="297"/>
      <c r="W662" s="297"/>
      <c r="X662" s="297"/>
    </row>
    <row r="663" spans="1:24" s="307" customFormat="1" ht="12" hidden="1" customHeight="1" outlineLevel="1" x14ac:dyDescent="0.25">
      <c r="A663" s="316"/>
      <c r="B663" s="307" t="s">
        <v>763</v>
      </c>
      <c r="C663" s="304" t="s">
        <v>6</v>
      </c>
      <c r="D663" s="304"/>
      <c r="J663" s="338"/>
      <c r="K663" s="450">
        <f t="shared" ref="K663:P663" si="274">IF(K661="N/A",0,IF(K661="SI",0,K$21*K662))</f>
        <v>0</v>
      </c>
      <c r="L663" s="450">
        <f t="shared" si="274"/>
        <v>0</v>
      </c>
      <c r="M663" s="450">
        <f t="shared" si="274"/>
        <v>0</v>
      </c>
      <c r="N663" s="450">
        <f t="shared" si="274"/>
        <v>0</v>
      </c>
      <c r="O663" s="450">
        <f t="shared" si="274"/>
        <v>0</v>
      </c>
      <c r="P663" s="450">
        <f t="shared" si="274"/>
        <v>0</v>
      </c>
      <c r="Q663" s="450"/>
      <c r="R663" s="450"/>
      <c r="S663" s="450"/>
      <c r="T663" s="450"/>
      <c r="U663" s="450"/>
      <c r="V663" s="297"/>
      <c r="W663" s="297"/>
      <c r="X663" s="297"/>
    </row>
    <row r="664" spans="1:24" s="307" customFormat="1" ht="12" hidden="1" customHeight="1" outlineLevel="1" x14ac:dyDescent="0.25">
      <c r="A664" s="316"/>
      <c r="B664" s="307" t="s">
        <v>764</v>
      </c>
      <c r="C664" s="304" t="s">
        <v>6</v>
      </c>
      <c r="J664" s="338"/>
      <c r="K664" s="450">
        <f>IF(K661="N/A",0,IF(K661="SI",0,IF(OR($D661="Inversión",$D661="I/O"),SUM(VLOOKUP($B657,'C UNIT PROG TÉCNICOS'!$B$8:$G$160,5,FALSE)*'EV PROG TÉCNICOS'!K657,VLOOKUP($B658,'C UNIT PROG TÉCNICOS'!$B$8:$G$160,5,FALSE)*'EV PROG TÉCNICOS'!K658,VLOOKUP($B659,'C UNIT PROG TÉCNICOS'!$B$8:$G$160,5,FALSE)*'EV PROG TÉCNICOS'!K659,VLOOKUP($B660,'C UNIT PROG TÉCNICOS'!$B$8:$G$160,5,FALSE)*'EV PROG TÉCNICOS'!K660),0)))</f>
        <v>0</v>
      </c>
      <c r="L664" s="450">
        <f>IF(L661="N/A",0,IF(L661="SI",0,IF(OR($D661="Inversión",$D661="I/O"),SUM(VLOOKUP($B657,'C UNIT PROG TÉCNICOS'!$B$8:$G$160,5,FALSE)*'EV PROG TÉCNICOS'!L657,VLOOKUP($B658,'C UNIT PROG TÉCNICOS'!$B$8:$G$160,5,FALSE)*'EV PROG TÉCNICOS'!L658,VLOOKUP($B659,'C UNIT PROG TÉCNICOS'!$B$8:$G$160,5,FALSE)*'EV PROG TÉCNICOS'!L659,VLOOKUP($B660,'C UNIT PROG TÉCNICOS'!$B$8:$G$160,5,FALSE)*'EV PROG TÉCNICOS'!L660),0))*((1+$D$24)^(L$3-$K$3)))</f>
        <v>356828064.42943609</v>
      </c>
      <c r="M664" s="450">
        <f>IF(M661="N/A",0,IF(M661="SI",0,IF(OR($D661="Inversión",$D661="I/O"),SUM(VLOOKUP($B657,'C UNIT PROG TÉCNICOS'!$B$8:$G$160,5,FALSE)*'EV PROG TÉCNICOS'!M657,VLOOKUP($B658,'C UNIT PROG TÉCNICOS'!$B$8:$G$160,5,FALSE)*'EV PROG TÉCNICOS'!M658,VLOOKUP($B659,'C UNIT PROG TÉCNICOS'!$B$8:$G$160,5,FALSE)*'EV PROG TÉCNICOS'!M659,VLOOKUP($B660,'C UNIT PROG TÉCNICOS'!$B$8:$G$160,5,FALSE)*'EV PROG TÉCNICOS'!M660),0))*((1+$D$24)^(M$3-$K$3)))</f>
        <v>369529666.25493723</v>
      </c>
      <c r="N664" s="450">
        <f>IF(N661="N/A",0,IF(N661="SI",0,IF(OR($D661="Inversión",$D661="I/O"),SUM(VLOOKUP($B657,'C UNIT PROG TÉCNICOS'!$B$8:$G$160,5,FALSE)*'EV PROG TÉCNICOS'!N657,VLOOKUP($B658,'C UNIT PROG TÉCNICOS'!$B$8:$G$160,5,FALSE)*'EV PROG TÉCNICOS'!N658,VLOOKUP($B659,'C UNIT PROG TÉCNICOS'!$B$8:$G$160,5,FALSE)*'EV PROG TÉCNICOS'!N659,VLOOKUP($B660,'C UNIT PROG TÉCNICOS'!$B$8:$G$160,5,FALSE)*'EV PROG TÉCNICOS'!N660),0))*((1+$D$24)^(N$3-$K$3)))</f>
        <v>382683392.52079463</v>
      </c>
      <c r="O664" s="450">
        <f>IF(O661="N/A",0,IF(O661="SI",0,IF(OR($D661="Inversión",$D661="I/O"),SUM(VLOOKUP($B657,'C UNIT PROG TÉCNICOS'!$B$8:$G$160,5,FALSE)*'EV PROG TÉCNICOS'!O657,VLOOKUP($B658,'C UNIT PROG TÉCNICOS'!$B$8:$G$160,5,FALSE)*'EV PROG TÉCNICOS'!O658,VLOOKUP($B659,'C UNIT PROG TÉCNICOS'!$B$8:$G$160,5,FALSE)*'EV PROG TÉCNICOS'!O659,VLOOKUP($B660,'C UNIT PROG TÉCNICOS'!$B$8:$G$160,5,FALSE)*'EV PROG TÉCNICOS'!O660),0))*((1+$D$24)^(O$3-$K$3)))</f>
        <v>396305336.98528993</v>
      </c>
      <c r="P664" s="450">
        <f>IF(P661="N/A",0,IF(P661="SI",0,IF(OR($D661="Inversión",$D661="I/O"),SUM(VLOOKUP($B657,'C UNIT PROG TÉCNICOS'!$B$8:$G$160,5,FALSE)*'EV PROG TÉCNICOS'!P657,VLOOKUP($B658,'C UNIT PROG TÉCNICOS'!$B$8:$G$160,5,FALSE)*'EV PROG TÉCNICOS'!P658,VLOOKUP($B659,'C UNIT PROG TÉCNICOS'!$B$8:$G$160,5,FALSE)*'EV PROG TÉCNICOS'!P659,VLOOKUP($B660,'C UNIT PROG TÉCNICOS'!$B$8:$G$160,5,FALSE)*'EV PROG TÉCNICOS'!P660),0))*((1+$D$24)^(P$3-$K$3)))</f>
        <v>410412166.27787113</v>
      </c>
      <c r="Q664" s="450"/>
      <c r="R664" s="450"/>
      <c r="S664" s="450"/>
      <c r="T664" s="450"/>
      <c r="U664" s="450"/>
      <c r="V664" s="297"/>
      <c r="W664" s="297"/>
      <c r="X664" s="297"/>
    </row>
    <row r="665" spans="1:24" s="376" customFormat="1" ht="31.35" hidden="1" customHeight="1" outlineLevel="1" x14ac:dyDescent="0.25">
      <c r="A665" s="374"/>
      <c r="B665" s="454" t="str">
        <f>CONCATENATE("VNA  ",B653)</f>
        <v>VNA  Mejoramiento en la velocidad y calidad de las reparaciones</v>
      </c>
      <c r="C665" s="374" t="s">
        <v>6</v>
      </c>
      <c r="D665" s="453">
        <f>NPV($D$31,L665:U665)+K665</f>
        <v>1233505101.0616004</v>
      </c>
      <c r="J665" s="338"/>
      <c r="K665" s="452">
        <f t="shared" ref="K665:P665" si="275">IF(K661="N/A",0,IF($D661="Operación",K663,K664))</f>
        <v>0</v>
      </c>
      <c r="L665" s="452">
        <f t="shared" si="275"/>
        <v>356828064.42943609</v>
      </c>
      <c r="M665" s="452">
        <f t="shared" si="275"/>
        <v>369529666.25493723</v>
      </c>
      <c r="N665" s="452">
        <f t="shared" si="275"/>
        <v>382683392.52079463</v>
      </c>
      <c r="O665" s="452">
        <f t="shared" si="275"/>
        <v>396305336.98528993</v>
      </c>
      <c r="P665" s="452">
        <f t="shared" si="275"/>
        <v>410412166.27787113</v>
      </c>
      <c r="Q665" s="452"/>
      <c r="R665" s="452"/>
      <c r="S665" s="452"/>
      <c r="T665" s="452"/>
      <c r="U665" s="452"/>
      <c r="V665" s="297"/>
      <c r="W665" s="297"/>
      <c r="X665" s="297"/>
    </row>
    <row r="666" spans="1:24" s="393" customFormat="1" ht="25.35" hidden="1" customHeight="1" outlineLevel="1" x14ac:dyDescent="0.25">
      <c r="A666" s="374"/>
      <c r="B666" s="375" t="s">
        <v>180</v>
      </c>
      <c r="C666" s="374" t="s">
        <v>106</v>
      </c>
      <c r="D666" s="471">
        <f>SUM(L666:U666)</f>
        <v>252358.15565675072</v>
      </c>
      <c r="E666" s="376"/>
      <c r="F666" s="376"/>
      <c r="G666" s="376"/>
      <c r="H666" s="376"/>
      <c r="I666" s="376"/>
      <c r="J666" s="338"/>
      <c r="K666" s="414"/>
      <c r="L666" s="948">
        <v>132091.56520909336</v>
      </c>
      <c r="M666" s="948">
        <v>56419.387703825174</v>
      </c>
      <c r="N666" s="948">
        <v>63847.202743832211</v>
      </c>
      <c r="O666" s="414"/>
      <c r="P666" s="414"/>
      <c r="Q666" s="398"/>
      <c r="R666" s="398"/>
      <c r="S666" s="398"/>
      <c r="T666" s="398"/>
      <c r="U666" s="398"/>
      <c r="V666" s="338"/>
      <c r="W666" s="338"/>
      <c r="X666" s="338"/>
    </row>
    <row r="667" spans="1:24" s="393" customFormat="1" ht="25.35" hidden="1" customHeight="1" outlineLevel="1" x14ac:dyDescent="0.25">
      <c r="A667" s="374"/>
      <c r="B667" s="375" t="s">
        <v>181</v>
      </c>
      <c r="C667" s="374" t="s">
        <v>106</v>
      </c>
      <c r="D667" s="471">
        <f>SUM(L667:U667)</f>
        <v>520543.7968521911</v>
      </c>
      <c r="E667" s="376"/>
      <c r="F667" s="376"/>
      <c r="G667" s="376"/>
      <c r="H667" s="376"/>
      <c r="I667" s="376"/>
      <c r="J667" s="338"/>
      <c r="K667" s="414"/>
      <c r="L667" s="948">
        <v>195943.36083887989</v>
      </c>
      <c r="M667" s="948">
        <v>134555.15513145944</v>
      </c>
      <c r="N667" s="948">
        <v>190045.28088185177</v>
      </c>
      <c r="O667" s="414"/>
      <c r="P667" s="414"/>
      <c r="Q667" s="378"/>
      <c r="R667" s="378"/>
      <c r="S667" s="378"/>
      <c r="T667" s="378"/>
      <c r="U667" s="378"/>
      <c r="V667" s="338"/>
      <c r="W667" s="338"/>
      <c r="X667" s="338"/>
    </row>
    <row r="668" spans="1:24" s="376" customFormat="1" ht="15" hidden="1" customHeight="1" outlineLevel="1" x14ac:dyDescent="0.25">
      <c r="A668" s="374"/>
      <c r="B668" s="376" t="s">
        <v>750</v>
      </c>
      <c r="C668" s="374" t="s">
        <v>6</v>
      </c>
      <c r="D668" s="453">
        <f>NPV($D$31,L668:U668)+K668</f>
        <v>177893984.54710335</v>
      </c>
      <c r="J668" s="338"/>
      <c r="K668" s="452">
        <f>IF(OR(K661="N/A",K666="",K667=""),0,SUM(K666,K667)*K$29)</f>
        <v>0</v>
      </c>
      <c r="L668" s="452">
        <f>IF(OR(L661="N/A",L666="",L667=""),0,SUM(L666,L667)*L$29)</f>
        <v>97001043.386206582</v>
      </c>
      <c r="M668" s="452">
        <f>IF(OR(M661="N/A",M666="",M667=""),0,SUM(M666,M667)*M$29)</f>
        <v>58481984.948825397</v>
      </c>
      <c r="N668" s="452">
        <f t="shared" ref="N668:U668" si="276">IF(OR(N661="N/A",N666="",N667=""),0,SUM(N666,N667)*N$29)</f>
        <v>80516849.850762576</v>
      </c>
      <c r="O668" s="452">
        <f t="shared" si="276"/>
        <v>0</v>
      </c>
      <c r="P668" s="452">
        <f t="shared" si="276"/>
        <v>0</v>
      </c>
      <c r="Q668" s="452">
        <f t="shared" si="276"/>
        <v>0</v>
      </c>
      <c r="R668" s="452">
        <f t="shared" si="276"/>
        <v>0</v>
      </c>
      <c r="S668" s="452">
        <f t="shared" si="276"/>
        <v>0</v>
      </c>
      <c r="T668" s="452">
        <f t="shared" si="276"/>
        <v>0</v>
      </c>
      <c r="U668" s="452">
        <f t="shared" si="276"/>
        <v>0</v>
      </c>
      <c r="V668" s="338"/>
      <c r="W668" s="338"/>
      <c r="X668" s="338"/>
    </row>
    <row r="669" spans="1:24" s="376" customFormat="1" ht="15" hidden="1" customHeight="1" outlineLevel="1" x14ac:dyDescent="0.25">
      <c r="A669" s="374"/>
      <c r="B669" s="376" t="s">
        <v>751</v>
      </c>
      <c r="C669" s="374"/>
      <c r="D669" s="468">
        <f>IFERROR(ROUND(IF(D668/D665=0,0,D668/D665),2),0)</f>
        <v>0.14000000000000001</v>
      </c>
      <c r="J669" s="338"/>
      <c r="K669" s="455">
        <f>IFERROR(ROUND(IF(K668/K665=0,0,K668/K665),2),0)</f>
        <v>0</v>
      </c>
      <c r="L669" s="455"/>
      <c r="M669" s="455"/>
      <c r="N669" s="455"/>
      <c r="O669" s="455"/>
      <c r="P669" s="455"/>
      <c r="Q669" s="455">
        <f>IFERROR(ROUND(IF(Q668/Q665=0,0,Q668/Q665),2),0)</f>
        <v>0</v>
      </c>
      <c r="R669" s="455">
        <f>IFERROR(ROUND(IF(R668/R665=0,0,R668/R665),2),0)</f>
        <v>0</v>
      </c>
      <c r="S669" s="455">
        <f>IFERROR(ROUND(IF(S668/S665=0,0,S668/S665),2),0)</f>
        <v>0</v>
      </c>
      <c r="T669" s="455">
        <f>IFERROR(ROUND(IF(T668/T665=0,0,T668/T665),2),0)</f>
        <v>0</v>
      </c>
      <c r="U669" s="455">
        <f>IFERROR(ROUND(IF(U668/U665=0,0,U668/U665),2),0)</f>
        <v>0</v>
      </c>
    </row>
    <row r="670" spans="1:24" collapsed="1" x14ac:dyDescent="0.2"/>
    <row r="671" spans="1:24" s="355" customFormat="1" ht="20.100000000000001" customHeight="1" thickBot="1" x14ac:dyDescent="0.3">
      <c r="A671" s="323">
        <v>6</v>
      </c>
      <c r="B671" s="1730" t="s">
        <v>96</v>
      </c>
      <c r="C671" s="1730"/>
      <c r="D671" s="1730"/>
      <c r="E671" s="1730"/>
      <c r="F671" s="1730"/>
      <c r="G671" s="1730"/>
      <c r="H671" s="1730"/>
      <c r="I671" s="1730"/>
      <c r="J671" s="1730"/>
      <c r="K671" s="1730"/>
      <c r="L671" s="1730"/>
      <c r="M671" s="1730"/>
      <c r="N671" s="1730"/>
      <c r="O671" s="1730"/>
      <c r="P671" s="1730"/>
      <c r="Q671" s="1730"/>
      <c r="R671" s="1730"/>
      <c r="S671" s="1730"/>
      <c r="T671" s="1730"/>
      <c r="U671" s="1730"/>
    </row>
    <row r="672" spans="1:24" s="357" customFormat="1" ht="15.75" x14ac:dyDescent="0.25">
      <c r="A672" s="356">
        <v>6.1</v>
      </c>
      <c r="B672" s="317" t="s">
        <v>982</v>
      </c>
      <c r="C672" s="317"/>
      <c r="D672" s="317"/>
      <c r="E672" s="317"/>
      <c r="F672" s="317"/>
      <c r="G672" s="317"/>
      <c r="H672" s="317"/>
      <c r="I672" s="317"/>
      <c r="J672" s="317"/>
      <c r="K672" s="317"/>
      <c r="L672" s="317"/>
      <c r="M672" s="317"/>
      <c r="N672" s="317"/>
      <c r="O672" s="317"/>
      <c r="P672" s="317"/>
      <c r="Q672" s="317"/>
      <c r="R672" s="317"/>
      <c r="S672" s="317"/>
      <c r="T672" s="317"/>
      <c r="U672" s="317"/>
    </row>
    <row r="673" spans="1:30" s="326" customFormat="1" ht="12" hidden="1" customHeight="1" outlineLevel="1" x14ac:dyDescent="0.2">
      <c r="A673" s="316"/>
      <c r="B673" s="307" t="s">
        <v>184</v>
      </c>
      <c r="C673" s="304" t="s">
        <v>173</v>
      </c>
      <c r="D673" s="472">
        <v>1532829.061276</v>
      </c>
      <c r="E673" s="364"/>
      <c r="F673" s="364"/>
      <c r="G673" s="364"/>
      <c r="H673" s="364"/>
      <c r="I673" s="364"/>
      <c r="J673" s="364"/>
      <c r="K673" s="365"/>
      <c r="L673" s="365"/>
      <c r="M673" s="365"/>
      <c r="N673" s="365"/>
      <c r="O673" s="365"/>
      <c r="P673" s="365"/>
      <c r="Q673" s="365"/>
      <c r="R673" s="365"/>
      <c r="S673" s="365"/>
      <c r="T673" s="365"/>
      <c r="U673" s="365"/>
      <c r="V673" s="297"/>
      <c r="W673" s="297"/>
      <c r="X673" s="297"/>
    </row>
    <row r="674" spans="1:30" s="326" customFormat="1" ht="12" hidden="1" customHeight="1" outlineLevel="1" x14ac:dyDescent="0.2">
      <c r="A674" s="316"/>
      <c r="B674" s="307" t="s">
        <v>183</v>
      </c>
      <c r="C674" s="304" t="s">
        <v>80</v>
      </c>
      <c r="D674" s="416">
        <f>D675/D673</f>
        <v>0.19773924776136398</v>
      </c>
      <c r="E674" s="364"/>
      <c r="F674" s="364"/>
      <c r="G674" s="364"/>
      <c r="H674" s="364"/>
      <c r="I674" s="364"/>
      <c r="J674" s="364"/>
      <c r="K674" s="365"/>
      <c r="L674" s="365"/>
      <c r="M674" s="365"/>
      <c r="N674" s="365"/>
      <c r="O674" s="365"/>
      <c r="P674" s="365"/>
      <c r="Q674" s="365"/>
      <c r="R674" s="365"/>
      <c r="S674" s="365"/>
      <c r="T674" s="365"/>
      <c r="U674" s="365"/>
      <c r="V674" s="297"/>
      <c r="W674" s="297"/>
      <c r="X674" s="297"/>
    </row>
    <row r="675" spans="1:30" s="326" customFormat="1" ht="12" hidden="1" customHeight="1" outlineLevel="1" x14ac:dyDescent="0.25">
      <c r="A675" s="316"/>
      <c r="B675" s="307" t="s">
        <v>185</v>
      </c>
      <c r="C675" s="304" t="s">
        <v>173</v>
      </c>
      <c r="D675" s="472">
        <f>SUM(L677:U677)</f>
        <v>303100.46552347392</v>
      </c>
      <c r="E675" s="364"/>
      <c r="F675" s="364"/>
      <c r="G675" s="364"/>
      <c r="H675" s="364"/>
      <c r="I675" s="364"/>
      <c r="J675" s="364"/>
      <c r="K675" s="365">
        <v>0</v>
      </c>
      <c r="L675" s="443">
        <f t="shared" ref="L675:Q675" si="277">IF(L678="N/A","",K675+1)</f>
        <v>1</v>
      </c>
      <c r="M675" s="443">
        <f t="shared" si="277"/>
        <v>2</v>
      </c>
      <c r="N675" s="443">
        <f t="shared" si="277"/>
        <v>3</v>
      </c>
      <c r="O675" s="443">
        <f t="shared" si="277"/>
        <v>4</v>
      </c>
      <c r="P675" s="443">
        <f t="shared" si="277"/>
        <v>5</v>
      </c>
      <c r="Q675" s="443">
        <f t="shared" si="277"/>
        <v>6</v>
      </c>
      <c r="R675" s="443">
        <f t="shared" ref="R675" si="278">IF(R678="N/A","",Q675+1)</f>
        <v>7</v>
      </c>
      <c r="S675" s="443">
        <f t="shared" ref="S675" si="279">IF(S678="N/A","",R675+1)</f>
        <v>8</v>
      </c>
      <c r="T675" s="443">
        <f t="shared" ref="T675" si="280">IF(T678="N/A","",S675+1)</f>
        <v>9</v>
      </c>
      <c r="U675" s="443">
        <f t="shared" ref="U675" si="281">IF(U678="N/A","",T675+1)</f>
        <v>10</v>
      </c>
      <c r="V675"/>
      <c r="W675"/>
      <c r="X675"/>
      <c r="Y675"/>
      <c r="Z675"/>
      <c r="AA675"/>
      <c r="AB675"/>
      <c r="AC675"/>
      <c r="AD675"/>
    </row>
    <row r="676" spans="1:30" s="307" customFormat="1" ht="24.95" hidden="1" customHeight="1" outlineLevel="1" x14ac:dyDescent="0.25">
      <c r="A676" s="446" t="str">
        <f>VLOOKUP(B676,'C UNIT PROG TÉCNICOS'!$B$8:$H$108,7,FALSE)</f>
        <v>OPEX</v>
      </c>
      <c r="B676" s="367" t="s">
        <v>983</v>
      </c>
      <c r="C676" s="304"/>
      <c r="D676" s="1081"/>
      <c r="I676" s="369"/>
      <c r="J676" s="338"/>
      <c r="K676" s="411"/>
      <c r="L676" s="411">
        <v>0</v>
      </c>
      <c r="M676" s="1428"/>
      <c r="N676" s="1428"/>
      <c r="O676" s="1428"/>
      <c r="P676" s="1428"/>
      <c r="Q676" s="411"/>
      <c r="R676" s="411"/>
      <c r="S676" s="411"/>
      <c r="T676" s="411"/>
      <c r="U676" s="411"/>
      <c r="V676"/>
      <c r="W676"/>
      <c r="X676"/>
      <c r="Y676"/>
      <c r="Z676"/>
      <c r="AA676"/>
      <c r="AB676"/>
      <c r="AC676"/>
      <c r="AD676"/>
    </row>
    <row r="677" spans="1:30" s="307" customFormat="1" ht="24.95" hidden="1" customHeight="1" outlineLevel="1" x14ac:dyDescent="0.25">
      <c r="A677" s="446" t="str">
        <f>VLOOKUP(B677,'C UNIT PROG TÉCNICOS'!$B$8:$H$108,7,FALSE)</f>
        <v>OPEX</v>
      </c>
      <c r="B677" s="367" t="s">
        <v>1006</v>
      </c>
      <c r="C677" s="304" t="s">
        <v>173</v>
      </c>
      <c r="D677" s="1081">
        <f>+SUM(M677:U677)</f>
        <v>303100.46552347392</v>
      </c>
      <c r="I677" s="369"/>
      <c r="J677" s="338"/>
      <c r="K677" s="411">
        <v>0</v>
      </c>
      <c r="L677" s="411">
        <v>0</v>
      </c>
      <c r="M677" s="411">
        <v>19523.503189589879</v>
      </c>
      <c r="N677" s="411">
        <v>35630.936991294642</v>
      </c>
      <c r="O677" s="411">
        <v>33530.274343701349</v>
      </c>
      <c r="P677" s="411">
        <v>32694.550728530659</v>
      </c>
      <c r="Q677" s="411">
        <v>34439.338711985183</v>
      </c>
      <c r="R677" s="411">
        <v>41855.402432159055</v>
      </c>
      <c r="S677" s="411">
        <v>40408.841333748525</v>
      </c>
      <c r="T677" s="411">
        <v>33910.223817201091</v>
      </c>
      <c r="U677" s="411">
        <v>31107.393975263498</v>
      </c>
      <c r="V677"/>
      <c r="W677"/>
      <c r="X677"/>
      <c r="Y677"/>
      <c r="Z677"/>
      <c r="AA677"/>
      <c r="AB677"/>
      <c r="AC677"/>
      <c r="AD677"/>
    </row>
    <row r="678" spans="1:30" s="307" customFormat="1" ht="12" hidden="1" customHeight="1" outlineLevel="1" x14ac:dyDescent="0.25">
      <c r="A678" s="316"/>
      <c r="B678" s="307" t="s">
        <v>742</v>
      </c>
      <c r="C678" s="304"/>
      <c r="D678" s="447" t="str">
        <f>IF(A677="CAPEX","Inversión",IF(A677="OPEX","Operación","I/O"))</f>
        <v>Operación</v>
      </c>
      <c r="I678" s="370"/>
      <c r="J678" s="338"/>
      <c r="K678" s="371" t="s">
        <v>207</v>
      </c>
      <c r="L678" s="371" t="s">
        <v>207</v>
      </c>
      <c r="M678" s="371" t="s">
        <v>8</v>
      </c>
      <c r="N678" s="371" t="s">
        <v>8</v>
      </c>
      <c r="O678" s="371" t="s">
        <v>8</v>
      </c>
      <c r="P678" s="371" t="s">
        <v>8</v>
      </c>
      <c r="Q678" s="371" t="s">
        <v>8</v>
      </c>
      <c r="R678" s="371" t="s">
        <v>8</v>
      </c>
      <c r="S678" s="371" t="s">
        <v>8</v>
      </c>
      <c r="T678" s="371" t="s">
        <v>8</v>
      </c>
      <c r="U678" s="371" t="s">
        <v>8</v>
      </c>
      <c r="V678"/>
      <c r="W678"/>
      <c r="X678"/>
      <c r="Y678"/>
      <c r="Z678"/>
      <c r="AA678"/>
      <c r="AB678"/>
      <c r="AC678"/>
      <c r="AD678"/>
    </row>
    <row r="679" spans="1:30" s="307" customFormat="1" ht="12" hidden="1" customHeight="1" outlineLevel="1" x14ac:dyDescent="0.25">
      <c r="A679" s="316"/>
      <c r="B679" s="307" t="s">
        <v>762</v>
      </c>
      <c r="C679" s="304"/>
      <c r="D679" s="304"/>
      <c r="J679" s="338"/>
      <c r="K679" s="448">
        <f>IF(K678="N/A",0,IF(K678="SI",0,SUM(IF($D678="Inversión",0,VLOOKUP($B677,'C UNIT PROG TÉCNICOS'!$B$8:$G$160,6,FALSE)*'EV PROG TÉCNICOS'!K677))))</f>
        <v>0</v>
      </c>
      <c r="L679" s="1082">
        <f>SUM(IF(L678="N/A",0,IF(L678="SI",0,SUM(IF($D678="Inversión",0,VLOOKUP($B677,'C UNIT PROG TÉCNICOS'!$B$8:$G$160,6,FALSE)*'EV PROG TÉCNICOS'!L677)))),IF(L678="N/A",0,IF(L678="SI",0,SUM(IF($D678="Inversión",0,VLOOKUP($B676,'C UNIT PROG TÉCNICOS'!$B$8:$G$160,6,FALSE)*'EV PROG TÉCNICOS'!L676)))))</f>
        <v>0</v>
      </c>
      <c r="M679" s="1082">
        <f>SUM(IF(M678="N/A",0,IF(M678="SI",0,SUM(IF($D678="Inversión",0,VLOOKUP($B677,'C UNIT PROG TÉCNICOS'!$B$8:$G$160,6,FALSE)*'EV PROG TÉCNICOS'!M677)))),IF(M678="N/A",0,IF(M678="SI",0,SUM(IF($D678="Inversión",0,VLOOKUP($B676,'C UNIT PROG TÉCNICOS'!$B$8:$G$160,6,FALSE)*'EV PROG TÉCNICOS'!M676)))))</f>
        <v>23.121410643922204</v>
      </c>
      <c r="N679" s="1082">
        <f>SUM(IF(N678="N/A",0,IF(N678="SI",0,SUM(IF($D678="Inversión",0,VLOOKUP($B677,'C UNIT PROG TÉCNICOS'!$B$8:$G$160,6,FALSE)*'EV PROG TÉCNICOS'!N677)))),IF(N678="N/A",0,IF(N678="SI",0,SUM(IF($D678="Inversión",0,VLOOKUP($B676,'C UNIT PROG TÉCNICOS'!$B$8:$G$160,6,FALSE)*'EV PROG TÉCNICOS'!N676)))))</f>
        <v>42.19721828625098</v>
      </c>
      <c r="O679" s="1082">
        <f>SUM(IF(O678="N/A",0,IF(O678="SI",0,SUM(IF($D678="Inversión",0,VLOOKUP($B677,'C UNIT PROG TÉCNICOS'!$B$8:$G$160,6,FALSE)*'EV PROG TÉCNICOS'!O677)))),IF(O678="N/A",0,IF(O678="SI",0,SUM(IF($D678="Inversión",0,VLOOKUP($B676,'C UNIT PROG TÉCNICOS'!$B$8:$G$160,6,FALSE)*'EV PROG TÉCNICOS'!O676)))))</f>
        <v>39.70943301392078</v>
      </c>
      <c r="P679" s="1082">
        <f>SUM(IF(P678="N/A",0,IF(P678="SI",0,SUM(IF($D678="Inversión",0,VLOOKUP($B677,'C UNIT PROG TÉCNICOS'!$B$8:$G$160,6,FALSE)*'EV PROG TÉCNICOS'!P677)))),IF(P678="N/A",0,IF(P678="SI",0,SUM(IF($D678="Inversión",0,VLOOKUP($B676,'C UNIT PROG TÉCNICOS'!$B$8:$G$160,6,FALSE)*'EV PROG TÉCNICOS'!P676)))))</f>
        <v>38.719697273180969</v>
      </c>
      <c r="Q679" s="448">
        <f>IF(Q678="N/A",0,IF(Q678="SI",0,SUM(IF($D678="Inversión",0,VLOOKUP($B677,'C UNIT PROG TÉCNICOS'!$B$8:$G$160,6,FALSE)*'EV PROG TÉCNICOS'!Q677))))</f>
        <v>40.786025178592112</v>
      </c>
      <c r="R679" s="448">
        <f>IF(R678="N/A",0,IF(R678="SI",0,SUM(IF($D678="Inversión",0,VLOOKUP($B677,'C UNIT PROG TÉCNICOS'!$B$8:$G$160,6,FALSE)*'EV PROG TÉCNICOS'!R677))))</f>
        <v>49.568765292930962</v>
      </c>
      <c r="S679" s="448">
        <f>IF(S678="N/A",0,IF(S678="SI",0,SUM(IF($D678="Inversión",0,VLOOKUP($B677,'C UNIT PROG TÉCNICOS'!$B$8:$G$160,6,FALSE)*'EV PROG TÉCNICOS'!S677))))</f>
        <v>47.855623299248855</v>
      </c>
      <c r="T679" s="448">
        <f>IF(T678="N/A",0,IF(T678="SI",0,SUM(IF($D678="Inversión",0,VLOOKUP($B677,'C UNIT PROG TÉCNICOS'!$B$8:$G$160,6,FALSE)*'EV PROG TÉCNICOS'!T677))))</f>
        <v>40.159401839465048</v>
      </c>
      <c r="U679" s="448">
        <f>IF(U678="N/A",0,IF(U678="SI",0,SUM(IF($D678="Inversión",0,VLOOKUP($B677,'C UNIT PROG TÉCNICOS'!$B$8:$G$160,6,FALSE)*'EV PROG TÉCNICOS'!U677))))</f>
        <v>36.840049819944625</v>
      </c>
      <c r="V679"/>
      <c r="W679"/>
      <c r="X679"/>
      <c r="Y679"/>
      <c r="Z679"/>
      <c r="AA679"/>
      <c r="AB679"/>
      <c r="AC679"/>
      <c r="AD679"/>
    </row>
    <row r="680" spans="1:30" s="307" customFormat="1" ht="12" hidden="1" customHeight="1" outlineLevel="1" x14ac:dyDescent="0.25">
      <c r="A680" s="316"/>
      <c r="B680" s="307" t="s">
        <v>763</v>
      </c>
      <c r="C680" s="304" t="s">
        <v>6</v>
      </c>
      <c r="D680" s="304"/>
      <c r="J680" s="338"/>
      <c r="K680" s="450">
        <f>IF(K678="N/A",0,IF(K678="SI",0,K$21*K679))</f>
        <v>0</v>
      </c>
      <c r="L680" s="450">
        <f>IF(L678="N/A",0,IF(L678="SI",0,L$21*L679))</f>
        <v>0</v>
      </c>
      <c r="M680" s="450">
        <f t="shared" ref="M680:U680" si="282">IF(M678="N/A",0,IF(M678="SI",0,M$21*M679))</f>
        <v>42782842.157816514</v>
      </c>
      <c r="N680" s="450">
        <f t="shared" si="282"/>
        <v>82514799.782334909</v>
      </c>
      <c r="O680" s="450">
        <f>IF(O678="N/A",0,IF(O678="SI",0,O$21*O679))</f>
        <v>82060552.421978995</v>
      </c>
      <c r="P680" s="450">
        <f t="shared" si="282"/>
        <v>84560087.898453668</v>
      </c>
      <c r="Q680" s="450">
        <f t="shared" si="282"/>
        <v>94132063.26206094</v>
      </c>
      <c r="R680" s="450">
        <f t="shared" si="282"/>
        <v>120900199.81412646</v>
      </c>
      <c r="S680" s="450">
        <f t="shared" si="282"/>
        <v>123351551.66423365</v>
      </c>
      <c r="T680" s="450">
        <f t="shared" si="282"/>
        <v>109393520.18621622</v>
      </c>
      <c r="U680" s="450">
        <f t="shared" si="282"/>
        <v>106051616.70292008</v>
      </c>
      <c r="V680"/>
      <c r="W680"/>
      <c r="X680"/>
      <c r="Y680"/>
      <c r="Z680"/>
      <c r="AA680"/>
      <c r="AB680"/>
      <c r="AC680"/>
      <c r="AD680"/>
    </row>
    <row r="681" spans="1:30" s="307" customFormat="1" ht="12" hidden="1" customHeight="1" outlineLevel="1" x14ac:dyDescent="0.25">
      <c r="A681" s="316"/>
      <c r="B681" s="307" t="s">
        <v>764</v>
      </c>
      <c r="C681" s="304" t="s">
        <v>6</v>
      </c>
      <c r="J681" s="338"/>
      <c r="K681" s="450">
        <f>IF(K678="N/A",0,IF(K678="SI",0,IF(OR($D678="Inversión",$D678="I/O"),SUM(VLOOKUP($B677,'C UNIT PROG TÉCNICOS'!$B$8:$G$160,5,FALSE)*'EV PROG TÉCNICOS'!K677),0))*((1+$D$24)^(K$3-$K$3)))</f>
        <v>0</v>
      </c>
      <c r="L681" s="450">
        <f>IF(L678="N/A",0,IF(L678="SI",0,IF(OR($D678="Inversión",$D678="I/O"),SUM(VLOOKUP($B677,'C UNIT PROG TÉCNICOS'!$B$8:$G$160,5,FALSE)*'EV PROG TÉCNICOS'!L677),0))*((1+$D$24)^(L$3-$K$3)))</f>
        <v>0</v>
      </c>
      <c r="M681" s="450">
        <f>IF(M678="N/A",0,IF(M678="SI",0,IF(OR($D678="Inversión",$D678="I/O"),SUM(VLOOKUP($B677,'C UNIT PROG TÉCNICOS'!$B$8:$G$160,5,FALSE)*'EV PROG TÉCNICOS'!M677),0))*((1+$D$24)^(M$3-$K$3)))</f>
        <v>0</v>
      </c>
      <c r="N681" s="450">
        <f>IF(N678="N/A",0,IF(N678="SI",0,IF(OR($D678="Inversión",$D678="I/O"),SUM(VLOOKUP($B677,'C UNIT PROG TÉCNICOS'!$B$8:$G$160,5,FALSE)*'EV PROG TÉCNICOS'!N677),0))*((1+$D$24)^(N$3-$K$3)))</f>
        <v>0</v>
      </c>
      <c r="O681" s="450">
        <f>IF(O678="N/A",0,IF(O678="SI",0,IF(OR($D678="Inversión",$D678="I/O"),SUM(VLOOKUP($B677,'C UNIT PROG TÉCNICOS'!$B$8:$G$160,5,FALSE)*'EV PROG TÉCNICOS'!O677),0))*((1+$D$24)^(O$3-$K$3)))</f>
        <v>0</v>
      </c>
      <c r="P681" s="450">
        <f>IF(P678="N/A",0,IF(P678="SI",0,IF(OR($D678="Inversión",$D678="I/O"),SUM(VLOOKUP($B677,'C UNIT PROG TÉCNICOS'!$B$8:$G$160,5,FALSE)*'EV PROG TÉCNICOS'!P677),0))*((1+$D$24)^(P$3-$K$3)))</f>
        <v>0</v>
      </c>
      <c r="Q681" s="450">
        <f>IF(Q678="N/A",0,IF(Q678="SI",0,IF(OR($D678="Inversión",$D678="I/O"),SUM(VLOOKUP($B677,'C UNIT PROG TÉCNICOS'!$B$8:$G$160,5,FALSE)*'EV PROG TÉCNICOS'!Q677),0))*((1+$D$24)^(Q$3-$K$3)))</f>
        <v>0</v>
      </c>
      <c r="R681" s="450">
        <f>IF(R678="N/A",0,IF(R678="SI",0,IF(OR($D678="Inversión",$D678="I/O"),SUM(VLOOKUP($B677,'C UNIT PROG TÉCNICOS'!$B$8:$G$160,5,FALSE)*'EV PROG TÉCNICOS'!R677),0))*((1+$D$24)^(R$3-$K$3)))</f>
        <v>0</v>
      </c>
      <c r="S681" s="450">
        <f>IF(S678="N/A",0,IF(S678="SI",0,IF(OR($D678="Inversión",$D678="I/O"),SUM(VLOOKUP($B677,'C UNIT PROG TÉCNICOS'!$B$8:$G$160,5,FALSE)*'EV PROG TÉCNICOS'!S677),0))*((1+$D$24)^(S$3-$K$3)))</f>
        <v>0</v>
      </c>
      <c r="T681" s="450">
        <f>IF(T678="N/A",0,IF(T678="SI",0,IF(OR($D678="Inversión",$D678="I/O"),SUM(VLOOKUP($B677,'C UNIT PROG TÉCNICOS'!$B$8:$G$160,5,FALSE)*'EV PROG TÉCNICOS'!T677),0))*((1+$D$24)^(T$3-$K$3)))</f>
        <v>0</v>
      </c>
      <c r="U681" s="450">
        <f>IF(U678="N/A",0,IF(U678="SI",0,IF(OR($D678="Inversión",$D678="I/O"),SUM(VLOOKUP($B677,'C UNIT PROG TÉCNICOS'!$B$8:$G$160,5,FALSE)*'EV PROG TÉCNICOS'!U677),0))*((1+$D$24)^(U$3-$K$3)))</f>
        <v>0</v>
      </c>
      <c r="V681"/>
      <c r="W681"/>
      <c r="X681"/>
      <c r="Y681"/>
      <c r="Z681"/>
      <c r="AA681"/>
      <c r="AB681"/>
      <c r="AC681"/>
      <c r="AD681"/>
    </row>
    <row r="682" spans="1:30" s="376" customFormat="1" ht="25.35" hidden="1" customHeight="1" outlineLevel="1" x14ac:dyDescent="0.25">
      <c r="A682" s="374"/>
      <c r="B682" s="454" t="str">
        <f>CONCATENATE("VNA  ",B672)</f>
        <v>VNA  Detección de fugas</v>
      </c>
      <c r="C682" s="374" t="s">
        <v>6</v>
      </c>
      <c r="D682" s="453">
        <f>NPV($D$31,L682:U682)+K682</f>
        <v>337507779.1996035</v>
      </c>
      <c r="I682" s="418"/>
      <c r="J682" s="338"/>
      <c r="K682" s="452">
        <f>IF(K678="N/A",0,IF($D678="Operación",K680,K681))</f>
        <v>0</v>
      </c>
      <c r="L682" s="452">
        <f>IF(L678="N/A",0,IF($D678="Operación",L680,L681))</f>
        <v>0</v>
      </c>
      <c r="M682" s="452">
        <f t="shared" ref="M682:U682" si="283">IF(M678="N/A",0,IF($D678="Operación",M680,M681))</f>
        <v>42782842.157816514</v>
      </c>
      <c r="N682" s="452">
        <f t="shared" si="283"/>
        <v>82514799.782334909</v>
      </c>
      <c r="O682" s="452">
        <f>IF(O678="N/A",0,IF($D678="Operación",O680,O681))</f>
        <v>82060552.421978995</v>
      </c>
      <c r="P682" s="452">
        <f t="shared" si="283"/>
        <v>84560087.898453668</v>
      </c>
      <c r="Q682" s="452">
        <f>IF(Q678="N/A",0,IF($D678="Operación",Q680,Q681))</f>
        <v>94132063.26206094</v>
      </c>
      <c r="R682" s="452">
        <f t="shared" si="283"/>
        <v>120900199.81412646</v>
      </c>
      <c r="S682" s="452">
        <f t="shared" si="283"/>
        <v>123351551.66423365</v>
      </c>
      <c r="T682" s="452">
        <f t="shared" si="283"/>
        <v>109393520.18621622</v>
      </c>
      <c r="U682" s="452">
        <f t="shared" si="283"/>
        <v>106051616.70292008</v>
      </c>
      <c r="V682"/>
      <c r="W682"/>
      <c r="X682"/>
      <c r="Y682"/>
      <c r="Z682"/>
      <c r="AA682"/>
      <c r="AB682"/>
      <c r="AC682"/>
      <c r="AD682"/>
    </row>
    <row r="683" spans="1:30" s="393" customFormat="1" ht="15" hidden="1" customHeight="1" outlineLevel="1" x14ac:dyDescent="0.25">
      <c r="A683" s="374"/>
      <c r="B683" s="454" t="str">
        <f>CONCATENATE("Volumen de agua recuperado ",B672)</f>
        <v>Volumen de agua recuperado Detección de fugas</v>
      </c>
      <c r="C683" s="374" t="s">
        <v>106</v>
      </c>
      <c r="D683" s="374"/>
      <c r="E683" s="376"/>
      <c r="F683" s="376"/>
      <c r="G683" s="376"/>
      <c r="H683" s="376"/>
      <c r="I683" s="418"/>
      <c r="J683" s="338"/>
      <c r="K683" s="378"/>
      <c r="L683" s="378"/>
      <c r="M683" s="378"/>
      <c r="N683" s="378"/>
      <c r="O683" s="378"/>
      <c r="P683" s="378"/>
      <c r="Q683" s="378"/>
      <c r="R683" s="378"/>
      <c r="S683" s="378"/>
      <c r="T683" s="378"/>
      <c r="U683" s="378"/>
      <c r="V683"/>
      <c r="W683"/>
      <c r="X683"/>
      <c r="Y683"/>
      <c r="Z683"/>
      <c r="AA683"/>
      <c r="AB683"/>
      <c r="AC683"/>
      <c r="AD683"/>
    </row>
    <row r="684" spans="1:30" s="376" customFormat="1" ht="15" hidden="1" customHeight="1" outlineLevel="1" x14ac:dyDescent="0.25">
      <c r="A684" s="374"/>
      <c r="B684" s="376" t="s">
        <v>750</v>
      </c>
      <c r="C684" s="374" t="s">
        <v>6</v>
      </c>
      <c r="D684" s="453">
        <f>NPV($D$31,L684:U684)+K684</f>
        <v>0</v>
      </c>
      <c r="J684" s="338"/>
      <c r="K684" s="452">
        <f>IF(OR(K678="N/A",K683=0),0,K683*K$29)</f>
        <v>0</v>
      </c>
      <c r="L684" s="452">
        <f>IF(OR(L678="N/A",L683=0),0,L683*L$29)</f>
        <v>0</v>
      </c>
      <c r="M684" s="452"/>
      <c r="N684" s="452">
        <f t="shared" ref="N684:U684" si="284">IF(OR(N678="N/A",N683=0),0,N683*N$29)</f>
        <v>0</v>
      </c>
      <c r="O684" s="452">
        <f t="shared" si="284"/>
        <v>0</v>
      </c>
      <c r="P684" s="452">
        <f t="shared" si="284"/>
        <v>0</v>
      </c>
      <c r="Q684" s="452">
        <f t="shared" si="284"/>
        <v>0</v>
      </c>
      <c r="R684" s="452">
        <f t="shared" si="284"/>
        <v>0</v>
      </c>
      <c r="S684" s="452">
        <f t="shared" si="284"/>
        <v>0</v>
      </c>
      <c r="T684" s="452">
        <f t="shared" si="284"/>
        <v>0</v>
      </c>
      <c r="U684" s="452">
        <f t="shared" si="284"/>
        <v>0</v>
      </c>
      <c r="V684"/>
      <c r="W684"/>
      <c r="X684"/>
      <c r="Y684"/>
      <c r="Z684"/>
      <c r="AA684"/>
      <c r="AB684"/>
      <c r="AC684"/>
      <c r="AD684"/>
    </row>
    <row r="685" spans="1:30" s="376" customFormat="1" ht="15" hidden="1" customHeight="1" outlineLevel="1" x14ac:dyDescent="0.25">
      <c r="A685" s="374"/>
      <c r="B685" s="376" t="s">
        <v>751</v>
      </c>
      <c r="C685" s="374"/>
      <c r="D685" s="455">
        <f>IFERROR(ROUND(IF(D684/D682=0,0,D684/D682),2),0)</f>
        <v>0</v>
      </c>
      <c r="J685" s="338"/>
      <c r="K685" s="455">
        <f>IFERROR(ROUND(IF(K684/K682=0,0,K684/K682),2),0)</f>
        <v>0</v>
      </c>
      <c r="L685" s="455">
        <f>IFERROR(ROUND(IF(L684/L682=0,0,L684/L682),2),0)</f>
        <v>0</v>
      </c>
      <c r="M685" s="455">
        <f t="shared" ref="M685:U685" si="285">IFERROR(ROUND(IF(M684/M682=0,0,M684/M682),2),0)</f>
        <v>0</v>
      </c>
      <c r="N685" s="455">
        <f t="shared" si="285"/>
        <v>0</v>
      </c>
      <c r="O685" s="455">
        <f t="shared" si="285"/>
        <v>0</v>
      </c>
      <c r="P685" s="455">
        <f t="shared" si="285"/>
        <v>0</v>
      </c>
      <c r="Q685" s="455">
        <f t="shared" si="285"/>
        <v>0</v>
      </c>
      <c r="R685" s="455">
        <f t="shared" si="285"/>
        <v>0</v>
      </c>
      <c r="S685" s="455">
        <f t="shared" si="285"/>
        <v>0</v>
      </c>
      <c r="T685" s="455">
        <f t="shared" si="285"/>
        <v>0</v>
      </c>
      <c r="U685" s="455">
        <f t="shared" si="285"/>
        <v>0</v>
      </c>
      <c r="V685"/>
      <c r="W685"/>
      <c r="X685"/>
      <c r="Y685"/>
      <c r="Z685"/>
      <c r="AA685"/>
      <c r="AB685"/>
      <c r="AC685"/>
      <c r="AD685"/>
    </row>
    <row r="686" spans="1:30" ht="15" collapsed="1" x14ac:dyDescent="0.25">
      <c r="V686"/>
      <c r="W686"/>
      <c r="X686"/>
      <c r="Y686"/>
      <c r="Z686"/>
      <c r="AA686"/>
      <c r="AB686"/>
      <c r="AC686"/>
      <c r="AD686"/>
    </row>
    <row r="687" spans="1:30" s="357" customFormat="1" ht="15.75" x14ac:dyDescent="0.25">
      <c r="A687" s="356">
        <v>6.2</v>
      </c>
      <c r="B687" s="317" t="s">
        <v>187</v>
      </c>
      <c r="C687" s="317"/>
      <c r="D687" s="317"/>
      <c r="E687" s="317"/>
      <c r="F687" s="317"/>
      <c r="G687" s="317"/>
      <c r="H687" s="317"/>
      <c r="I687" s="317"/>
      <c r="J687" s="317"/>
      <c r="K687" s="317"/>
      <c r="L687" s="317"/>
      <c r="M687" s="317"/>
      <c r="N687" s="317"/>
      <c r="O687" s="317"/>
      <c r="P687" s="317"/>
      <c r="Q687" s="317"/>
      <c r="R687" s="317"/>
      <c r="S687" s="317"/>
      <c r="T687" s="317"/>
      <c r="U687" s="317"/>
    </row>
    <row r="688" spans="1:30" s="357" customFormat="1" ht="15.75" hidden="1" outlineLevel="1" x14ac:dyDescent="0.25">
      <c r="A688" s="419" t="s">
        <v>188</v>
      </c>
      <c r="B688" s="420" t="s">
        <v>97</v>
      </c>
      <c r="C688" s="317"/>
      <c r="D688" s="317"/>
      <c r="E688" s="317"/>
      <c r="F688" s="317"/>
      <c r="G688" s="317"/>
      <c r="H688" s="317"/>
      <c r="I688" s="317"/>
      <c r="J688" s="317"/>
      <c r="K688" s="317"/>
      <c r="L688" s="317"/>
      <c r="M688" s="317"/>
      <c r="N688" s="317"/>
      <c r="O688" s="317"/>
      <c r="P688" s="317"/>
      <c r="Q688" s="317"/>
      <c r="R688" s="317"/>
      <c r="S688" s="317"/>
      <c r="T688" s="317"/>
      <c r="U688" s="317"/>
    </row>
    <row r="689" spans="1:24" s="326" customFormat="1" ht="12" hidden="1" customHeight="1" outlineLevel="1" x14ac:dyDescent="0.25">
      <c r="A689" s="316"/>
      <c r="B689" s="364" t="s">
        <v>124</v>
      </c>
      <c r="C689" s="394" t="s">
        <v>11</v>
      </c>
      <c r="D689" s="444">
        <f>COUNT(L689:U689)</f>
        <v>10</v>
      </c>
      <c r="E689" s="364"/>
      <c r="F689" s="364"/>
      <c r="G689" s="364"/>
      <c r="H689" s="364"/>
      <c r="I689" s="364"/>
      <c r="J689" s="338"/>
      <c r="K689" s="365">
        <v>0</v>
      </c>
      <c r="L689" s="443">
        <f>IF(L692="N/A","",K689+1)</f>
        <v>1</v>
      </c>
      <c r="M689" s="443">
        <f>IF(M692="N/A","",L689+1)</f>
        <v>2</v>
      </c>
      <c r="N689" s="443">
        <f>IF(N692="N/A","",M689+1)</f>
        <v>3</v>
      </c>
      <c r="O689" s="443">
        <f>IF(O692="N/A","",N689+1)</f>
        <v>4</v>
      </c>
      <c r="P689" s="443">
        <f>IF(P692="N/A","",O689+1)</f>
        <v>5</v>
      </c>
      <c r="Q689" s="443">
        <f t="shared" ref="Q689:U689" si="286">IF(Q692="N/A","",P689+1)</f>
        <v>6</v>
      </c>
      <c r="R689" s="443">
        <f t="shared" si="286"/>
        <v>7</v>
      </c>
      <c r="S689" s="443">
        <f t="shared" si="286"/>
        <v>8</v>
      </c>
      <c r="T689" s="443">
        <f t="shared" si="286"/>
        <v>9</v>
      </c>
      <c r="U689" s="443">
        <f t="shared" si="286"/>
        <v>10</v>
      </c>
      <c r="V689" s="297"/>
      <c r="W689" s="297"/>
      <c r="X689" s="297"/>
    </row>
    <row r="690" spans="1:24" s="326" customFormat="1" ht="12" hidden="1" customHeight="1" outlineLevel="1" x14ac:dyDescent="0.25">
      <c r="A690" s="316"/>
      <c r="B690" s="307" t="s">
        <v>189</v>
      </c>
      <c r="C690" s="304" t="s">
        <v>20</v>
      </c>
      <c r="D690" s="421">
        <v>5049.5714537849135</v>
      </c>
      <c r="E690" s="364"/>
      <c r="F690" s="364"/>
      <c r="G690" s="364"/>
      <c r="H690" s="364"/>
      <c r="I690" s="364"/>
      <c r="J690" s="338"/>
      <c r="K690" s="473">
        <f>IF(D690-K691="",0,D690-K691)</f>
        <v>5049.5714537849135</v>
      </c>
      <c r="L690" s="473">
        <f>IF(L691="",0,K690-L691)</f>
        <v>5049.5714537849135</v>
      </c>
      <c r="M690" s="473">
        <f>IF(M691="",0,L690-M691)</f>
        <v>4563.741156819734</v>
      </c>
      <c r="N690" s="473">
        <f>IF(N691="",0,M690-N691)</f>
        <v>4401.4944455560017</v>
      </c>
      <c r="O690" s="473">
        <f>IF(O691="",0,N690-O691)</f>
        <v>4058.0000000000009</v>
      </c>
      <c r="P690" s="473">
        <f>IF(P691="",0,O690-P691)</f>
        <v>3812.0000000000009</v>
      </c>
      <c r="Q690" s="473">
        <f t="shared" ref="Q690:U690" si="287">IF(Q691="",0,P690-Q691)</f>
        <v>2848.400000000001</v>
      </c>
      <c r="R690" s="473">
        <f t="shared" si="287"/>
        <v>2262.0000000000009</v>
      </c>
      <c r="S690" s="473">
        <f t="shared" si="287"/>
        <v>1300.8000000000009</v>
      </c>
      <c r="T690" s="473">
        <f t="shared" si="287"/>
        <v>642.0000000000008</v>
      </c>
      <c r="U690" s="473">
        <f t="shared" si="287"/>
        <v>6.8212102632969618E-13</v>
      </c>
      <c r="V690" s="297"/>
      <c r="W690" s="297"/>
      <c r="X690" s="297"/>
    </row>
    <row r="691" spans="1:24" s="307" customFormat="1" ht="25.35" hidden="1" customHeight="1" outlineLevel="1" x14ac:dyDescent="0.25">
      <c r="A691" s="446" t="str">
        <f>VLOOKUP(B691,'C UNIT PROG TÉCNICOS'!$B$8:$H$108,7,FALSE)</f>
        <v>CAPEX</v>
      </c>
      <c r="B691" s="367" t="s">
        <v>56</v>
      </c>
      <c r="C691" s="304" t="s">
        <v>20</v>
      </c>
      <c r="D691" s="304" t="s">
        <v>19</v>
      </c>
      <c r="I691" s="369"/>
      <c r="J691" s="338"/>
      <c r="K691" s="362">
        <v>0</v>
      </c>
      <c r="L691" s="362">
        <v>0</v>
      </c>
      <c r="M691" s="362">
        <v>485.83029696517968</v>
      </c>
      <c r="N691" s="362">
        <v>162.24671126373244</v>
      </c>
      <c r="O691" s="362">
        <v>343.49444555600098</v>
      </c>
      <c r="P691" s="362">
        <v>246</v>
      </c>
      <c r="Q691" s="362">
        <v>963.6</v>
      </c>
      <c r="R691" s="362">
        <v>586.40000000000009</v>
      </c>
      <c r="S691" s="362">
        <v>961.2</v>
      </c>
      <c r="T691" s="362">
        <v>658.80000000000007</v>
      </c>
      <c r="U691" s="362">
        <v>642.00000000000011</v>
      </c>
    </row>
    <row r="692" spans="1:24" s="307" customFormat="1" ht="12" hidden="1" customHeight="1" outlineLevel="1" x14ac:dyDescent="0.25">
      <c r="A692" s="316"/>
      <c r="B692" s="307" t="s">
        <v>742</v>
      </c>
      <c r="C692" s="304"/>
      <c r="D692" s="447" t="str">
        <f>IF(A691="CAPEX","Inversión",IF(A691="OPEX","Operación","I/O"))</f>
        <v>Inversión</v>
      </c>
      <c r="I692" s="370"/>
      <c r="J692" s="338"/>
      <c r="K692" s="371" t="s">
        <v>207</v>
      </c>
      <c r="L692" s="371" t="s">
        <v>207</v>
      </c>
      <c r="M692" s="371" t="s">
        <v>8</v>
      </c>
      <c r="N692" s="371" t="s">
        <v>8</v>
      </c>
      <c r="O692" s="371" t="s">
        <v>8</v>
      </c>
      <c r="P692" s="371" t="s">
        <v>8</v>
      </c>
      <c r="Q692" s="371" t="s">
        <v>8</v>
      </c>
      <c r="R692" s="371" t="s">
        <v>8</v>
      </c>
      <c r="S692" s="371"/>
      <c r="T692" s="371"/>
      <c r="U692" s="371"/>
      <c r="V692" s="297"/>
      <c r="W692" s="297"/>
      <c r="X692" s="297"/>
    </row>
    <row r="693" spans="1:24" s="307" customFormat="1" ht="12" hidden="1" customHeight="1" outlineLevel="1" x14ac:dyDescent="0.25">
      <c r="A693" s="316"/>
      <c r="B693" s="307" t="s">
        <v>762</v>
      </c>
      <c r="C693" s="304"/>
      <c r="D693" s="304"/>
      <c r="J693" s="338"/>
      <c r="K693" s="448">
        <f>IF(K692="N/A",0,IF(K692="SI",0,SUM(IF($D692="Inversión",0,VLOOKUP($B691,'C UNIT PROG TÉCNICOS'!$B$8:$G$160,6,FALSE)*'EV PROG TÉCNICOS'!K691))))</f>
        <v>0</v>
      </c>
      <c r="L693" s="448">
        <f>IF(L692="N/A",0,IF(L692="SI",0,SUM(IF($D692="Inversión",0,VLOOKUP($B691,'C UNIT PROG TÉCNICOS'!$B$8:$G$160,6,FALSE)*'EV PROG TÉCNICOS'!L691))))</f>
        <v>0</v>
      </c>
      <c r="M693" s="448">
        <f>IF(M692="N/A",0,IF(M692="SI",0,SUM(IF($D692="Inversión",0,VLOOKUP($B691,'C UNIT PROG TÉCNICOS'!$B$8:$G$160,6,FALSE)*'EV PROG TÉCNICOS'!M691))))</f>
        <v>0</v>
      </c>
      <c r="N693" s="448">
        <f>IF(N692="N/A",0,IF(N692="SI",0,SUM(IF($D692="Inversión",0,VLOOKUP($B691,'C UNIT PROG TÉCNICOS'!$B$8:$G$160,6,FALSE)*'EV PROG TÉCNICOS'!N691))))</f>
        <v>0</v>
      </c>
      <c r="O693" s="448">
        <f>IF(O692="N/A",0,IF(O692="SI",0,SUM(IF($D692="Inversión",0,VLOOKUP($B691,'C UNIT PROG TÉCNICOS'!$B$8:$G$160,6,FALSE)*'EV PROG TÉCNICOS'!O691))))</f>
        <v>0</v>
      </c>
      <c r="P693" s="439">
        <f>IF(P692="N/A",0,IF(P692="SI",0,SUM(IF($D692="Inversión",0,VLOOKUP($B691,'C UNIT PROG TÉCNICOS'!$B$8:$G$160,6,FALSE)*'EV PROG TÉCNICOS'!P691))))</f>
        <v>0</v>
      </c>
      <c r="Q693" s="439"/>
      <c r="R693" s="439"/>
      <c r="S693" s="439"/>
      <c r="T693" s="439"/>
      <c r="U693" s="439"/>
      <c r="V693" s="338"/>
      <c r="W693" s="338"/>
      <c r="X693" s="338"/>
    </row>
    <row r="694" spans="1:24" s="307" customFormat="1" ht="12" hidden="1" customHeight="1" outlineLevel="1" x14ac:dyDescent="0.25">
      <c r="A694" s="316"/>
      <c r="B694" s="307" t="s">
        <v>763</v>
      </c>
      <c r="C694" s="304" t="s">
        <v>6</v>
      </c>
      <c r="D694" s="304"/>
      <c r="J694" s="338"/>
      <c r="K694" s="450">
        <f t="shared" ref="K694:P694" si="288">IF(K692="N/A",0,IF(K692="SI",0,K$21*K693))</f>
        <v>0</v>
      </c>
      <c r="L694" s="450">
        <f t="shared" si="288"/>
        <v>0</v>
      </c>
      <c r="M694" s="450">
        <f t="shared" si="288"/>
        <v>0</v>
      </c>
      <c r="N694" s="450">
        <f t="shared" si="288"/>
        <v>0</v>
      </c>
      <c r="O694" s="450">
        <f t="shared" si="288"/>
        <v>0</v>
      </c>
      <c r="P694" s="450">
        <f t="shared" si="288"/>
        <v>0</v>
      </c>
      <c r="Q694" s="450"/>
      <c r="R694" s="450"/>
      <c r="S694" s="450"/>
      <c r="T694" s="450"/>
      <c r="U694" s="450"/>
      <c r="V694" s="338"/>
      <c r="W694" s="338"/>
      <c r="X694" s="338"/>
    </row>
    <row r="695" spans="1:24" s="307" customFormat="1" ht="12" hidden="1" customHeight="1" outlineLevel="1" x14ac:dyDescent="0.25">
      <c r="A695" s="316"/>
      <c r="B695" s="307" t="s">
        <v>764</v>
      </c>
      <c r="C695" s="304" t="s">
        <v>6</v>
      </c>
      <c r="J695" s="338"/>
      <c r="K695" s="450">
        <f>IF(K692="N/A",0,IF(K692="SI",0,IF(OR($D692="Inversión",$D692="I/O"),SUM(VLOOKUP($B691,'C UNIT PROG TÉCNICOS'!$B$8:$G$160,5,FALSE)*'EV PROG TÉCNICOS'!K691),0)))</f>
        <v>0</v>
      </c>
      <c r="L695" s="450">
        <f>IF(L692="N/A",0,IF(L692="SI",0,IF(OR($D692="Inversión",$D692="I/O"),SUM(VLOOKUP($B691,'C UNIT PROG TÉCNICOS'!$B$8:$G$160,5,FALSE)*'EV PROG TÉCNICOS'!L691),0))*((1+$D$24)^(L$3-$K$3)))</f>
        <v>0</v>
      </c>
      <c r="M695" s="450">
        <f>IF(M692="N/A",0,IF(M692="SI",0,IF(OR($D692="Inversión",$D692="I/O"),SUM(VLOOKUP($B691,'C UNIT PROG TÉCNICOS'!$B$8:$G$160,5,FALSE)*'EV PROG TÉCNICOS'!M691),0))*((1+$D$24)^(M$3-$K$3)))</f>
        <v>956896852.70965075</v>
      </c>
      <c r="N695" s="450">
        <f>IF(N692="N/A",0,IF(N692="SI",0,IF(OR($D692="Inversión",$D692="I/O"),SUM(VLOOKUP($B691,'C UNIT PROG TÉCNICOS'!$B$8:$G$160,5,FALSE)*'EV PROG TÉCNICOS'!N691),0))*((1+$D$24)^(N$3-$K$3)))</f>
        <v>330938077.56443477</v>
      </c>
      <c r="O695" s="450">
        <f>IF(O692="N/A",0,IF(O692="SI",0,IF(OR($D692="Inversión",$D692="I/O"),SUM(VLOOKUP($B691,'C UNIT PROG TÉCNICOS'!$B$8:$G$160,5,FALSE)*'EV PROG TÉCNICOS'!O691),0))*((1+$D$24)^(O$3-$K$3)))</f>
        <v>725572579.37320685</v>
      </c>
      <c r="P695" s="450">
        <f>IF(P692="N/A",0,IF(P692="SI",0,IF(OR($D692="Inversión",$D692="I/O"),SUM(VLOOKUP($B691,'C UNIT PROG TÉCNICOS'!$B$8:$G$160,5,FALSE)*'EV PROG TÉCNICOS'!P691),0))*((1+$D$24)^(P$3-$K$3)))</f>
        <v>538129196.51608789</v>
      </c>
      <c r="Q695" s="450">
        <f>IF(Q692="N/A",0,IF(Q692="SI",0,IF(OR($D692="Inversión",$D692="I/O"),SUM(VLOOKUP($B691,'C UNIT PROG TÉCNICOS'!$B$8:$G$160,5,FALSE)*'EV PROG TÉCNICOS'!Q691),0))*((1+$D$24)^(Q$3-$K$3)))</f>
        <v>2182923646.5849814</v>
      </c>
      <c r="R695" s="450">
        <f>IF(R692="N/A",0,IF(R692="SI",0,IF(OR($D692="Inversión",$D692="I/O"),SUM(VLOOKUP($B691,'C UNIT PROG TÉCNICOS'!$B$8:$G$160,5,FALSE)*'EV PROG TÉCNICOS'!R691),0))*((1+$D$24)^(R$3-$K$3)))</f>
        <v>1375707235.0153098</v>
      </c>
      <c r="S695" s="450">
        <f>IF(S692="N/A",0,IF(S692="SI",0,IF(OR($D692="Inversión",$D692="I/O"),SUM(VLOOKUP($B691,'C UNIT PROG TÉCNICOS'!$B$8:$G$160,5,FALSE)*'EV PROG TÉCNICOS'!S691),0))*((1+$D$24)^(S$3-$K$3)))</f>
        <v>2335264768.9773707</v>
      </c>
      <c r="T695" s="450">
        <f>IF(T692="N/A",0,IF(T692="SI",0,IF(OR($D692="Inversión",$D692="I/O"),SUM(VLOOKUP($B691,'C UNIT PROG TÉCNICOS'!$B$8:$G$160,5,FALSE)*'EV PROG TÉCNICOS'!T691),0))*((1+$D$24)^(T$3-$K$3)))</f>
        <v>1657548563.2827654</v>
      </c>
      <c r="U695" s="450">
        <f>IF(U692="N/A",0,IF(U692="SI",0,IF(OR($D692="Inversión",$D692="I/O"),SUM(VLOOKUP($B691,'C UNIT PROG TÉCNICOS'!$B$8:$G$160,5,FALSE)*'EV PROG TÉCNICOS'!U691),0))*((1+$D$24)^(U$3-$K$3)))</f>
        <v>1672776830.5796905</v>
      </c>
      <c r="V695" s="338"/>
      <c r="W695" s="338"/>
      <c r="X695" s="338"/>
    </row>
    <row r="696" spans="1:24" s="376" customFormat="1" ht="25.35" hidden="1" customHeight="1" outlineLevel="1" x14ac:dyDescent="0.25">
      <c r="A696" s="374"/>
      <c r="B696" s="454" t="str">
        <f>CONCATENATE("VNA  ",B688)</f>
        <v>VNA  Reparación de fugas en redes menores</v>
      </c>
      <c r="C696" s="374" t="s">
        <v>6</v>
      </c>
      <c r="D696" s="453">
        <f>NPV($D$31,L696:U696)+K696</f>
        <v>4426063895.5793438</v>
      </c>
      <c r="J696" s="338"/>
      <c r="K696" s="452">
        <f>IF(OR(K692="N/A",K693=0),0,IF($D692="Operación",K694,K695))</f>
        <v>0</v>
      </c>
      <c r="L696" s="452">
        <f t="shared" ref="L696:Q696" si="289">IF(L693="N/A",0,IF($D692="Operación",L694,L695))</f>
        <v>0</v>
      </c>
      <c r="M696" s="452">
        <f t="shared" si="289"/>
        <v>956896852.70965075</v>
      </c>
      <c r="N696" s="452">
        <f t="shared" si="289"/>
        <v>330938077.56443477</v>
      </c>
      <c r="O696" s="452">
        <f t="shared" si="289"/>
        <v>725572579.37320685</v>
      </c>
      <c r="P696" s="452">
        <f t="shared" si="289"/>
        <v>538129196.51608789</v>
      </c>
      <c r="Q696" s="452">
        <f t="shared" si="289"/>
        <v>2182923646.5849814</v>
      </c>
      <c r="R696" s="452">
        <f t="shared" ref="R696:U696" si="290">IF(R693="N/A",0,IF($D692="Operación",R694,R695))</f>
        <v>1375707235.0153098</v>
      </c>
      <c r="S696" s="452">
        <f t="shared" si="290"/>
        <v>2335264768.9773707</v>
      </c>
      <c r="T696" s="452">
        <f t="shared" si="290"/>
        <v>1657548563.2827654</v>
      </c>
      <c r="U696" s="452">
        <f t="shared" si="290"/>
        <v>1672776830.5796905</v>
      </c>
      <c r="V696" s="338"/>
      <c r="W696" s="338"/>
      <c r="X696" s="338"/>
    </row>
    <row r="697" spans="1:24" s="393" customFormat="1" ht="25.35" hidden="1" customHeight="1" outlineLevel="1" x14ac:dyDescent="0.25">
      <c r="A697" s="374"/>
      <c r="B697" s="454" t="str">
        <f>CONCATENATE("Volumen de agua recuperado por ",B688)</f>
        <v>Volumen de agua recuperado por Reparación de fugas en redes menores</v>
      </c>
      <c r="C697" s="374" t="s">
        <v>106</v>
      </c>
      <c r="D697" s="457">
        <f>SUM(L697:U697)</f>
        <v>3397036.0364858056</v>
      </c>
      <c r="E697" s="376"/>
      <c r="F697" s="376"/>
      <c r="G697" s="376"/>
      <c r="H697" s="376"/>
      <c r="I697" s="376"/>
      <c r="J697" s="338"/>
      <c r="K697" s="398"/>
      <c r="L697" s="398">
        <v>0</v>
      </c>
      <c r="M697" s="398">
        <v>181314.49318701428</v>
      </c>
      <c r="N697" s="398">
        <v>205252.08168792748</v>
      </c>
      <c r="O697" s="398">
        <v>251585.44646605419</v>
      </c>
      <c r="P697" s="398">
        <v>411227.22612381249</v>
      </c>
      <c r="Q697" s="398">
        <v>459971.00719794974</v>
      </c>
      <c r="R697" s="398">
        <v>356778.17039526039</v>
      </c>
      <c r="S697" s="398">
        <v>591778.80705871712</v>
      </c>
      <c r="T697" s="398">
        <v>416151.66268065368</v>
      </c>
      <c r="U697" s="398">
        <v>522977.14168841625</v>
      </c>
      <c r="V697" s="751"/>
      <c r="W697" s="338"/>
      <c r="X697" s="338"/>
    </row>
    <row r="698" spans="1:24" s="376" customFormat="1" ht="15" hidden="1" customHeight="1" outlineLevel="1" x14ac:dyDescent="0.25">
      <c r="A698" s="374"/>
      <c r="B698" s="376" t="s">
        <v>750</v>
      </c>
      <c r="C698" s="374" t="s">
        <v>6</v>
      </c>
      <c r="D698" s="453">
        <f>NPV($D$31,L698:U698)+K698</f>
        <v>459999013.67804587</v>
      </c>
      <c r="J698" s="338"/>
      <c r="K698" s="452">
        <f>IF(OR(K693=0,K697=0),0,K697*K$29)</f>
        <v>0</v>
      </c>
      <c r="L698" s="452">
        <f t="shared" ref="L698:P698" si="291">IF(OR(L693="N/A",L697=0),0,L697*L$29)</f>
        <v>0</v>
      </c>
      <c r="M698" s="452">
        <f t="shared" si="291"/>
        <v>55523795.497248538</v>
      </c>
      <c r="N698" s="452">
        <f t="shared" si="291"/>
        <v>65091533.261725523</v>
      </c>
      <c r="O698" s="452">
        <f t="shared" si="291"/>
        <v>82625243.338956267</v>
      </c>
      <c r="P698" s="452">
        <f t="shared" si="291"/>
        <v>139861893.20230359</v>
      </c>
      <c r="Q698" s="452">
        <f t="shared" ref="Q698:U698" si="292">IF(OR(Q693="N/A",Q697=0),0,Q697*Q$29)</f>
        <v>162008688.43765897</v>
      </c>
      <c r="R698" s="452">
        <f t="shared" si="292"/>
        <v>130135692.54187453</v>
      </c>
      <c r="S698" s="452">
        <f t="shared" si="292"/>
        <v>223536201.69658706</v>
      </c>
      <c r="T698" s="452">
        <f t="shared" si="292"/>
        <v>162791002.95634934</v>
      </c>
      <c r="U698" s="452">
        <f t="shared" si="292"/>
        <v>211861370.54349604</v>
      </c>
      <c r="V698" s="338"/>
      <c r="W698" s="338"/>
      <c r="X698" s="338"/>
    </row>
    <row r="699" spans="1:24" s="376" customFormat="1" ht="15" hidden="1" customHeight="1" outlineLevel="1" x14ac:dyDescent="0.25">
      <c r="A699" s="374"/>
      <c r="B699" s="376" t="s">
        <v>751</v>
      </c>
      <c r="C699" s="374"/>
      <c r="D699" s="455">
        <f>IFERROR(ROUND(IF(D698/D696=0,0,D698/D696),2),0)</f>
        <v>0.1</v>
      </c>
      <c r="J699" s="338"/>
      <c r="K699" s="455">
        <f>IFERROR(ROUND(IF(K698/K696=0,0,K698/K696),2),0)</f>
        <v>0</v>
      </c>
      <c r="L699" s="455"/>
      <c r="M699" s="455"/>
      <c r="N699" s="455"/>
      <c r="O699" s="455"/>
      <c r="P699" s="455"/>
      <c r="Q699" s="455"/>
      <c r="R699" s="455"/>
      <c r="S699" s="455"/>
      <c r="T699" s="455"/>
      <c r="U699" s="455"/>
      <c r="V699" s="338"/>
      <c r="W699" s="338"/>
      <c r="X699" s="338"/>
    </row>
    <row r="700" spans="1:24" ht="15" hidden="1" outlineLevel="1" x14ac:dyDescent="0.25">
      <c r="D700" s="328"/>
      <c r="J700" s="338"/>
      <c r="V700" s="338"/>
      <c r="W700" s="338"/>
      <c r="X700" s="338"/>
    </row>
    <row r="701" spans="1:24" s="357" customFormat="1" ht="15.75" hidden="1" outlineLevel="1" x14ac:dyDescent="0.25">
      <c r="A701" s="419" t="s">
        <v>190</v>
      </c>
      <c r="B701" s="420" t="s">
        <v>98</v>
      </c>
      <c r="C701" s="317"/>
      <c r="D701" s="317"/>
      <c r="E701" s="317"/>
      <c r="F701" s="317"/>
      <c r="G701" s="317"/>
      <c r="H701" s="317"/>
      <c r="I701" s="317"/>
      <c r="J701" s="338"/>
      <c r="K701" s="317"/>
      <c r="L701" s="317"/>
      <c r="M701" s="317"/>
      <c r="N701" s="317"/>
      <c r="O701" s="317"/>
      <c r="P701" s="317"/>
      <c r="Q701" s="317"/>
      <c r="R701" s="317"/>
      <c r="S701" s="317"/>
      <c r="T701" s="317"/>
      <c r="U701" s="317"/>
    </row>
    <row r="702" spans="1:24" s="326" customFormat="1" ht="12" hidden="1" customHeight="1" outlineLevel="1" x14ac:dyDescent="0.25">
      <c r="A702" s="316"/>
      <c r="B702" s="364" t="s">
        <v>124</v>
      </c>
      <c r="C702" s="394" t="s">
        <v>11</v>
      </c>
      <c r="D702" s="444">
        <f>COUNT(L702:U702)</f>
        <v>10</v>
      </c>
      <c r="E702" s="364"/>
      <c r="F702" s="364"/>
      <c r="G702" s="364"/>
      <c r="H702" s="364"/>
      <c r="I702" s="364"/>
      <c r="J702" s="338"/>
      <c r="K702" s="365">
        <v>0</v>
      </c>
      <c r="L702" s="443">
        <f>IF(L705="N/A","",K702+1)</f>
        <v>1</v>
      </c>
      <c r="M702" s="443">
        <f t="shared" ref="M702:U702" si="293">IF(M705="N/A","",L702+1)</f>
        <v>2</v>
      </c>
      <c r="N702" s="443">
        <f t="shared" si="293"/>
        <v>3</v>
      </c>
      <c r="O702" s="443">
        <f>IF(O705="N/A","",N702+1)</f>
        <v>4</v>
      </c>
      <c r="P702" s="443">
        <f t="shared" si="293"/>
        <v>5</v>
      </c>
      <c r="Q702" s="443">
        <f t="shared" si="293"/>
        <v>6</v>
      </c>
      <c r="R702" s="443">
        <f t="shared" si="293"/>
        <v>7</v>
      </c>
      <c r="S702" s="443">
        <f t="shared" si="293"/>
        <v>8</v>
      </c>
      <c r="T702" s="443">
        <f t="shared" si="293"/>
        <v>9</v>
      </c>
      <c r="U702" s="443">
        <f t="shared" si="293"/>
        <v>10</v>
      </c>
      <c r="V702" s="338"/>
      <c r="W702" s="338"/>
      <c r="X702" s="338"/>
    </row>
    <row r="703" spans="1:24" s="326" customFormat="1" ht="12" hidden="1" customHeight="1" outlineLevel="1" x14ac:dyDescent="0.25">
      <c r="A703" s="316"/>
      <c r="B703" s="307" t="s">
        <v>189</v>
      </c>
      <c r="C703" s="304" t="s">
        <v>20</v>
      </c>
      <c r="D703" s="421">
        <v>163.15</v>
      </c>
      <c r="E703" s="364"/>
      <c r="F703" s="364"/>
      <c r="G703" s="364"/>
      <c r="H703" s="364"/>
      <c r="I703" s="364"/>
      <c r="J703" s="338"/>
      <c r="K703" s="473">
        <f>IF(D703-K704="",0,D703-K704)</f>
        <v>163.15</v>
      </c>
      <c r="L703" s="473">
        <f>IF(L704="",0,K703-L704)</f>
        <v>163.15</v>
      </c>
      <c r="M703" s="473">
        <f t="shared" ref="M703:U703" si="294">IF(M704="",0,L703-M704)</f>
        <v>157.75</v>
      </c>
      <c r="N703" s="473">
        <f t="shared" si="294"/>
        <v>153.9</v>
      </c>
      <c r="O703" s="473">
        <f t="shared" si="294"/>
        <v>147.20000000000002</v>
      </c>
      <c r="P703" s="473">
        <f t="shared" si="294"/>
        <v>134.80000000000001</v>
      </c>
      <c r="Q703" s="473">
        <f t="shared" si="294"/>
        <v>116.4</v>
      </c>
      <c r="R703" s="473">
        <f t="shared" si="294"/>
        <v>92.800000000000011</v>
      </c>
      <c r="S703" s="473">
        <f t="shared" si="294"/>
        <v>24</v>
      </c>
      <c r="T703" s="473">
        <f t="shared" si="294"/>
        <v>7.1999999999999957</v>
      </c>
      <c r="U703" s="473">
        <f t="shared" si="294"/>
        <v>-5.3290705182007514E-15</v>
      </c>
      <c r="V703" s="338"/>
      <c r="W703" s="338"/>
      <c r="X703" s="338"/>
    </row>
    <row r="704" spans="1:24" s="307" customFormat="1" ht="25.35" hidden="1" customHeight="1" outlineLevel="1" x14ac:dyDescent="0.25">
      <c r="A704" s="446" t="str">
        <f>VLOOKUP(B704,'C UNIT PROG TÉCNICOS'!$B$8:$H$108,7,FALSE)</f>
        <v>CAPEX</v>
      </c>
      <c r="B704" s="367" t="s">
        <v>57</v>
      </c>
      <c r="C704" s="304" t="s">
        <v>20</v>
      </c>
      <c r="D704" s="304" t="s">
        <v>19</v>
      </c>
      <c r="I704" s="369"/>
      <c r="J704" s="338"/>
      <c r="K704" s="362">
        <v>0</v>
      </c>
      <c r="L704" s="362">
        <v>0</v>
      </c>
      <c r="M704" s="362">
        <v>5.4</v>
      </c>
      <c r="N704" s="362">
        <v>3.8499999999999996</v>
      </c>
      <c r="O704" s="362">
        <v>6.7</v>
      </c>
      <c r="P704" s="362">
        <v>12.4</v>
      </c>
      <c r="Q704" s="362">
        <v>18.399999999999999</v>
      </c>
      <c r="R704" s="362">
        <v>23.6</v>
      </c>
      <c r="S704" s="362">
        <v>68.800000000000011</v>
      </c>
      <c r="T704" s="362">
        <v>16.800000000000004</v>
      </c>
      <c r="U704" s="362">
        <v>7.2000000000000011</v>
      </c>
      <c r="V704" s="338"/>
      <c r="W704" s="338"/>
      <c r="X704" s="338"/>
    </row>
    <row r="705" spans="1:27" s="307" customFormat="1" ht="12" hidden="1" customHeight="1" outlineLevel="1" x14ac:dyDescent="0.25">
      <c r="A705" s="316"/>
      <c r="B705" s="326" t="s">
        <v>742</v>
      </c>
      <c r="C705" s="304"/>
      <c r="D705" s="447" t="str">
        <f>IF(A704="CAPEX","Inversión",IF(A704="OPEX","Operación","I/O"))</f>
        <v>Inversión</v>
      </c>
      <c r="I705" s="370"/>
      <c r="J705" s="338"/>
      <c r="K705" s="371" t="s">
        <v>207</v>
      </c>
      <c r="L705" s="371" t="s">
        <v>207</v>
      </c>
      <c r="M705" s="371" t="s">
        <v>8</v>
      </c>
      <c r="N705" s="371" t="s">
        <v>8</v>
      </c>
      <c r="O705" s="371" t="s">
        <v>8</v>
      </c>
      <c r="P705" s="371" t="s">
        <v>8</v>
      </c>
      <c r="Q705" s="371" t="s">
        <v>8</v>
      </c>
      <c r="R705" s="371" t="s">
        <v>8</v>
      </c>
      <c r="S705" s="371" t="s">
        <v>8</v>
      </c>
      <c r="T705" s="371" t="s">
        <v>8</v>
      </c>
      <c r="U705" s="371" t="s">
        <v>8</v>
      </c>
      <c r="V705" s="338"/>
      <c r="W705" s="338"/>
      <c r="X705" s="338"/>
    </row>
    <row r="706" spans="1:27" s="307" customFormat="1" ht="12" hidden="1" customHeight="1" outlineLevel="1" x14ac:dyDescent="0.25">
      <c r="A706" s="316"/>
      <c r="B706" s="307" t="s">
        <v>762</v>
      </c>
      <c r="C706" s="304"/>
      <c r="D706" s="304"/>
      <c r="J706" s="338"/>
      <c r="K706" s="448">
        <f>IF(K705="N/A",0,IF(K705="SI",0,SUM(VLOOKUP($B704,'C UNIT PROG TÉCNICOS'!$B$8:$G$160,6,FALSE)*K704)))</f>
        <v>0</v>
      </c>
      <c r="L706" s="448">
        <f>IF(L705="N/A",0,IF(L705="SI",0,SUM(IF($D705="Inversión",0,VLOOKUP($B704,'C UNIT PROG TÉCNICOS'!$B$8:$G$160,6,FALSE)*'EV PROG TÉCNICOS'!L704))))</f>
        <v>0</v>
      </c>
      <c r="M706" s="448">
        <f>IF(M705="N/A",0,IF(M705="SI",0,SUM(IF($D705="Inversión",0,VLOOKUP($B704,'C UNIT PROG TÉCNICOS'!$B$8:$G$160,6,FALSE)*'EV PROG TÉCNICOS'!M704))))</f>
        <v>0</v>
      </c>
      <c r="N706" s="448">
        <f>IF(N705="N/A",0,IF(N705="SI",0,SUM(IF($D705="Inversión",0,VLOOKUP($B704,'C UNIT PROG TÉCNICOS'!$B$8:$G$160,6,FALSE)*'EV PROG TÉCNICOS'!N704))))</f>
        <v>0</v>
      </c>
      <c r="O706" s="448">
        <f>IF(O705="N/A",0,IF(O705="SI",0,SUM(IF($D705="Inversión",0,VLOOKUP($B704,'C UNIT PROG TÉCNICOS'!$B$8:$G$160,6,FALSE)*'EV PROG TÉCNICOS'!O704))))</f>
        <v>0</v>
      </c>
      <c r="P706" s="448">
        <f>IF(P705="N/A",0,IF(P705="SI",0,SUM(IF($D705="Inversión",0,VLOOKUP($B704,'C UNIT PROG TÉCNICOS'!$B$8:$G$160,6,FALSE)*'EV PROG TÉCNICOS'!P704))))</f>
        <v>0</v>
      </c>
      <c r="Q706" s="448">
        <f>IF(Q705="N/A",0,IF(Q705="SI",0,SUM(IF($D705="Inversión",0,VLOOKUP($B704,'C UNIT PROG TÉCNICOS'!$B$8:$G$160,6,FALSE)*'EV PROG TÉCNICOS'!Q704))))</f>
        <v>0</v>
      </c>
      <c r="R706" s="448">
        <f>IF(R705="N/A",0,IF(R705="SI",0,SUM(IF($D705="Inversión",0,VLOOKUP($B704,'C UNIT PROG TÉCNICOS'!$B$8:$G$160,6,FALSE)*'EV PROG TÉCNICOS'!R704))))</f>
        <v>0</v>
      </c>
      <c r="S706" s="448">
        <f>IF(S705="N/A",0,IF(S705="SI",0,SUM(IF($D705="Inversión",0,VLOOKUP($B704,'C UNIT PROG TÉCNICOS'!$B$8:$G$160,6,FALSE)*'EV PROG TÉCNICOS'!S704))))</f>
        <v>0</v>
      </c>
      <c r="T706" s="448">
        <f>IF(T705="N/A",0,IF(T705="SI",0,SUM(IF($D705="Inversión",0,VLOOKUP($B704,'C UNIT PROG TÉCNICOS'!$B$8:$G$160,6,FALSE)*'EV PROG TÉCNICOS'!T704))))</f>
        <v>0</v>
      </c>
      <c r="U706" s="448">
        <f>IF(U705="N/A",0,IF(U705="SI",0,SUM(IF($D705="Inversión",0,VLOOKUP($B704,'C UNIT PROG TÉCNICOS'!$B$8:$G$160,6,FALSE)*'EV PROG TÉCNICOS'!U704))))</f>
        <v>0</v>
      </c>
      <c r="V706" s="338"/>
      <c r="W706" s="338"/>
      <c r="X706" s="338"/>
    </row>
    <row r="707" spans="1:27" s="307" customFormat="1" ht="12" hidden="1" customHeight="1" outlineLevel="1" x14ac:dyDescent="0.25">
      <c r="A707" s="316"/>
      <c r="B707" s="307" t="s">
        <v>763</v>
      </c>
      <c r="C707" s="304" t="s">
        <v>6</v>
      </c>
      <c r="D707" s="304"/>
      <c r="J707" s="338"/>
      <c r="K707" s="450">
        <f>IF(K705="N/A",0,IF(K705="SI",0,K$21*K706))</f>
        <v>0</v>
      </c>
      <c r="L707" s="450">
        <f>IF(L705="N/A",0,IF(L705="SI",0,L$21*L706))</f>
        <v>0</v>
      </c>
      <c r="M707" s="450">
        <f t="shared" ref="M707:U707" si="295">IF(M705="N/A",0,IF(M705="SI",0,M$21*M706))</f>
        <v>0</v>
      </c>
      <c r="N707" s="450">
        <f t="shared" si="295"/>
        <v>0</v>
      </c>
      <c r="O707" s="450">
        <f t="shared" si="295"/>
        <v>0</v>
      </c>
      <c r="P707" s="450">
        <f t="shared" si="295"/>
        <v>0</v>
      </c>
      <c r="Q707" s="450">
        <f t="shared" si="295"/>
        <v>0</v>
      </c>
      <c r="R707" s="450">
        <f t="shared" si="295"/>
        <v>0</v>
      </c>
      <c r="S707" s="450">
        <f t="shared" si="295"/>
        <v>0</v>
      </c>
      <c r="T707" s="450">
        <f t="shared" si="295"/>
        <v>0</v>
      </c>
      <c r="U707" s="450">
        <f t="shared" si="295"/>
        <v>0</v>
      </c>
      <c r="V707" s="338"/>
      <c r="W707" s="338"/>
      <c r="X707" s="338"/>
    </row>
    <row r="708" spans="1:27" s="307" customFormat="1" ht="12" hidden="1" customHeight="1" outlineLevel="1" x14ac:dyDescent="0.25">
      <c r="A708" s="316"/>
      <c r="B708" s="307" t="s">
        <v>764</v>
      </c>
      <c r="C708" s="304" t="s">
        <v>6</v>
      </c>
      <c r="J708" s="338"/>
      <c r="K708" s="450">
        <f>IF(K705="N/A",0,IF(K705="SI",0,SUM(VLOOKUP($B704,'C UNIT PROG TÉCNICOS'!$B$8:$G$160,5,FALSE)*K704)))</f>
        <v>0</v>
      </c>
      <c r="L708" s="450">
        <f>IF(L705="N/A",0,IF(L705="SI",0,IF(OR($D705="Inversión",$D705="I/O"),SUM(VLOOKUP($B704,'C UNIT PROG TÉCNICOS'!$B$8:$G$160,5,FALSE)*'EV PROG TÉCNICOS'!L704),0))*((1+$D$24)^(L$3-$K$3)))</f>
        <v>0</v>
      </c>
      <c r="M708" s="450">
        <f>IF(M705="N/A",0,IF(M705="SI",0,IF(OR($D705="Inversión",$D705="I/O"),SUM(VLOOKUP($B704,'C UNIT PROG TÉCNICOS'!$B$8:$G$160,5,FALSE)*'EV PROG TÉCNICOS'!M704),0))*((1+$D$24)^(M$3-$K$3)))</f>
        <v>35486707.715439416</v>
      </c>
      <c r="N708" s="450">
        <f>IF(N705="N/A",0,IF(N705="SI",0,IF(OR($D705="Inversión",$D705="I/O"),SUM(VLOOKUP($B704,'C UNIT PROG TÉCNICOS'!$B$8:$G$160,5,FALSE)*'EV PROG TÉCNICOS'!N704),0))*((1+$D$24)^(N$3-$K$3)))</f>
        <v>26201308.748386215</v>
      </c>
      <c r="O708" s="450">
        <f>IF(O705="N/A",0,IF(O705="SI",0,IF(OR($D705="Inversión",$D705="I/O"),SUM(VLOOKUP($B704,'C UNIT PROG TÉCNICOS'!$B$8:$G$160,5,FALSE)*'EV PROG TÉCNICOS'!O704),0))*((1+$D$24)^(O$3-$K$3)))</f>
        <v>47220150.131156027</v>
      </c>
      <c r="P708" s="450">
        <f>IF(P705="N/A",0,IF(P705="SI",0,IF(OR($D705="Inversión",$D705="I/O"),SUM(VLOOKUP($B704,'C UNIT PROG TÉCNICOS'!$B$8:$G$160,5,FALSE)*'EV PROG TÉCNICOS'!P704),0))*((1+$D$24)^(P$3-$K$3)))</f>
        <v>90503328.448747024</v>
      </c>
      <c r="Q708" s="450">
        <f>IF(Q705="N/A",0,IF(Q705="SI",0,IF(OR($D705="Inversión",$D705="I/O"),SUM(VLOOKUP($B704,'C UNIT PROG TÉCNICOS'!$B$8:$G$160,5,FALSE)*'EV PROG TÉCNICOS'!Q704),0))*((1+$D$24)^(Q$3-$K$3)))</f>
        <v>139075616.89858583</v>
      </c>
      <c r="R708" s="450">
        <f>IF(R705="N/A",0,IF(R705="SI",0,IF(OR($D705="Inversión",$D705="I/O"),SUM(VLOOKUP($B704,'C UNIT PROG TÉCNICOS'!$B$8:$G$160,5,FALSE)*'EV PROG TÉCNICOS'!R704),0))*((1+$D$24)^(R$3-$K$3)))</f>
        <v>184729170.69869936</v>
      </c>
      <c r="S708" s="450">
        <f>IF(S705="N/A",0,IF(S705="SI",0,IF(OR($D705="Inversión",$D705="I/O"),SUM(VLOOKUP($B704,'C UNIT PROG TÉCNICOS'!$B$8:$G$160,5,FALSE)*'EV PROG TÉCNICOS'!S704),0))*((1+$D$24)^(S$3-$K$3)))</f>
        <v>557702025.02119815</v>
      </c>
      <c r="T708" s="450">
        <f>IF(T705="N/A",0,IF(T705="SI",0,IF(OR($D705="Inversión",$D705="I/O"),SUM(VLOOKUP($B704,'C UNIT PROG TÉCNICOS'!$B$8:$G$160,5,FALSE)*'EV PROG TÉCNICOS'!T704),0))*((1+$D$24)^(T$3-$K$3)))</f>
        <v>141030605.49694133</v>
      </c>
      <c r="U708" s="450">
        <f>IF(U705="N/A",0,IF(U705="SI",0,IF(OR($D705="Inversión",$D705="I/O"),SUM(VLOOKUP($B704,'C UNIT PROG TÉCNICOS'!$B$8:$G$160,5,FALSE)*'EV PROG TÉCNICOS'!U704),0))*((1+$D$24)^(U$3-$K$3)))</f>
        <v>62593161.936825275</v>
      </c>
      <c r="V708" s="338"/>
      <c r="W708" s="338"/>
      <c r="X708" s="338"/>
    </row>
    <row r="709" spans="1:27" s="376" customFormat="1" ht="25.35" hidden="1" customHeight="1" outlineLevel="1" x14ac:dyDescent="0.25">
      <c r="A709" s="374"/>
      <c r="B709" s="454" t="str">
        <f>CONCATENATE("VNA  ",B701)</f>
        <v>VNA  Reparación de fugas en redes matrices</v>
      </c>
      <c r="C709" s="374" t="s">
        <v>6</v>
      </c>
      <c r="D709" s="453">
        <f>NPV($D$31,L709:U709)+K709</f>
        <v>448932985.95898652</v>
      </c>
      <c r="J709" s="338"/>
      <c r="K709" s="452">
        <f>IF(OR(K705="N/A",K706=0),0,IF($D705="Operación",K707,K708))</f>
        <v>0</v>
      </c>
      <c r="L709" s="452">
        <f>IF(L705="N/A",0,IF($D705="Operación",L707,L708))</f>
        <v>0</v>
      </c>
      <c r="M709" s="452">
        <f t="shared" ref="M709:U709" si="296">IF(M705="N/A",0,IF($D705="Operación",M707,M708))</f>
        <v>35486707.715439416</v>
      </c>
      <c r="N709" s="452">
        <f t="shared" si="296"/>
        <v>26201308.748386215</v>
      </c>
      <c r="O709" s="452">
        <f t="shared" si="296"/>
        <v>47220150.131156027</v>
      </c>
      <c r="P709" s="452">
        <f t="shared" si="296"/>
        <v>90503328.448747024</v>
      </c>
      <c r="Q709" s="452">
        <f t="shared" si="296"/>
        <v>139075616.89858583</v>
      </c>
      <c r="R709" s="452">
        <f t="shared" si="296"/>
        <v>184729170.69869936</v>
      </c>
      <c r="S709" s="452">
        <f t="shared" si="296"/>
        <v>557702025.02119815</v>
      </c>
      <c r="T709" s="452">
        <f t="shared" si="296"/>
        <v>141030605.49694133</v>
      </c>
      <c r="U709" s="452">
        <f t="shared" si="296"/>
        <v>62593161.936825275</v>
      </c>
      <c r="V709" s="338"/>
      <c r="W709" s="338"/>
      <c r="X709" s="338"/>
    </row>
    <row r="710" spans="1:27" s="393" customFormat="1" ht="25.35" hidden="1" customHeight="1" outlineLevel="1" x14ac:dyDescent="0.25">
      <c r="A710" s="374"/>
      <c r="B710" s="454" t="str">
        <f>CONCATENATE("Volumen de agua recuperado por ",B701)</f>
        <v>Volumen de agua recuperado por Reparación de fugas en redes matrices</v>
      </c>
      <c r="C710" s="374" t="s">
        <v>106</v>
      </c>
      <c r="D710" s="457">
        <f>SUM(L710:U710)</f>
        <v>253409.77559791642</v>
      </c>
      <c r="E710" s="376"/>
      <c r="F710" s="376"/>
      <c r="G710" s="376"/>
      <c r="H710" s="376"/>
      <c r="I710" s="376"/>
      <c r="J710" s="338"/>
      <c r="K710" s="378"/>
      <c r="L710" s="398">
        <v>0</v>
      </c>
      <c r="M710" s="398">
        <v>5822.7594875922596</v>
      </c>
      <c r="N710" s="398">
        <v>6728.1809999267271</v>
      </c>
      <c r="O710" s="398">
        <v>14554.398165604576</v>
      </c>
      <c r="P710" s="398">
        <v>49128.135021517679</v>
      </c>
      <c r="Q710" s="398">
        <v>38924.921430647089</v>
      </c>
      <c r="R710" s="398">
        <v>10450.388526447907</v>
      </c>
      <c r="S710" s="398">
        <v>113537.35192044322</v>
      </c>
      <c r="T710" s="398">
        <v>5925.4905826535805</v>
      </c>
      <c r="U710" s="398">
        <v>8338.1494630833586</v>
      </c>
      <c r="V710" s="338"/>
      <c r="W710" s="338"/>
      <c r="X710" s="338"/>
    </row>
    <row r="711" spans="1:27" s="376" customFormat="1" ht="15" hidden="1" customHeight="1" outlineLevel="1" x14ac:dyDescent="0.25">
      <c r="A711" s="374"/>
      <c r="B711" s="376" t="s">
        <v>750</v>
      </c>
      <c r="C711" s="374" t="s">
        <v>6</v>
      </c>
      <c r="D711" s="453">
        <f>NPV($D$31,L711:U711)+K711</f>
        <v>34204703.48194053</v>
      </c>
      <c r="J711" s="338"/>
      <c r="K711" s="452">
        <f>IF(OR(K706=0,K710=0),0,K710*K$29)</f>
        <v>0</v>
      </c>
      <c r="L711" s="452">
        <f>IF(OR(L706="N/A",L710=0),0,L710*L$29)</f>
        <v>0</v>
      </c>
      <c r="M711" s="452">
        <f t="shared" ref="M711:U711" si="297">IF(OR(M706="N/A",M710=0),0,M710*M$29)</f>
        <v>1783099.0856603577</v>
      </c>
      <c r="N711" s="452">
        <f t="shared" si="297"/>
        <v>2133706.0932395863</v>
      </c>
      <c r="O711" s="452">
        <f t="shared" si="297"/>
        <v>4779929.4711882127</v>
      </c>
      <c r="P711" s="452">
        <f t="shared" si="297"/>
        <v>16708898.480226323</v>
      </c>
      <c r="Q711" s="452">
        <f t="shared" si="297"/>
        <v>13709941.213325603</v>
      </c>
      <c r="R711" s="452">
        <f t="shared" si="297"/>
        <v>3811804.2556087519</v>
      </c>
      <c r="S711" s="452">
        <f t="shared" si="297"/>
        <v>42887153.267836392</v>
      </c>
      <c r="T711" s="452">
        <f t="shared" si="297"/>
        <v>2317944.733765984</v>
      </c>
      <c r="U711" s="452">
        <f t="shared" si="297"/>
        <v>3377837.44685697</v>
      </c>
      <c r="V711" s="338"/>
      <c r="W711" s="338"/>
      <c r="X711" s="338"/>
    </row>
    <row r="712" spans="1:27" s="376" customFormat="1" ht="15" hidden="1" customHeight="1" outlineLevel="1" x14ac:dyDescent="0.25">
      <c r="A712" s="374"/>
      <c r="B712" s="376" t="s">
        <v>751</v>
      </c>
      <c r="C712" s="374"/>
      <c r="D712" s="455">
        <f>IFERROR(ROUND(IF(D711/D709=0,0,D711/D709),2),0)</f>
        <v>0.08</v>
      </c>
      <c r="J712" s="338"/>
      <c r="K712" s="455">
        <f>IFERROR(ROUND(IF(K711/K709=0,0,K711/K709),2),0)</f>
        <v>0</v>
      </c>
      <c r="L712" s="455"/>
      <c r="M712" s="455"/>
      <c r="N712" s="455"/>
      <c r="O712" s="455"/>
      <c r="P712" s="455"/>
      <c r="Q712" s="455">
        <f>IFERROR(ROUND(IF(Q711/Q709=0,0,Q711/Q709),2),0)</f>
        <v>0.1</v>
      </c>
      <c r="R712" s="455">
        <f>IFERROR(ROUND(IF(R711/R709=0,0,R711/R709),2),0)</f>
        <v>0.02</v>
      </c>
      <c r="S712" s="455">
        <f>IFERROR(ROUND(IF(S711/S709=0,0,S711/S709),2),0)</f>
        <v>0.08</v>
      </c>
      <c r="T712" s="455">
        <f>IFERROR(ROUND(IF(T711/T709=0,0,T711/T709),2),0)</f>
        <v>0.02</v>
      </c>
      <c r="U712" s="455">
        <f>IFERROR(ROUND(IF(U711/U709=0,0,U711/U709),2),0)</f>
        <v>0.05</v>
      </c>
      <c r="V712" s="338"/>
      <c r="W712" s="338"/>
      <c r="X712" s="338"/>
    </row>
    <row r="713" spans="1:27" ht="15" hidden="1" outlineLevel="1" x14ac:dyDescent="0.25">
      <c r="D713" s="328"/>
      <c r="J713" s="338"/>
      <c r="V713" s="338"/>
      <c r="W713" s="338"/>
      <c r="X713" s="338"/>
    </row>
    <row r="714" spans="1:27" s="357" customFormat="1" ht="15.75" hidden="1" outlineLevel="1" x14ac:dyDescent="0.25">
      <c r="A714" s="419" t="s">
        <v>191</v>
      </c>
      <c r="B714" s="420" t="s">
        <v>99</v>
      </c>
      <c r="C714" s="317"/>
      <c r="D714" s="317"/>
      <c r="E714" s="317"/>
      <c r="F714" s="317"/>
      <c r="G714" s="317"/>
      <c r="H714" s="317"/>
      <c r="I714" s="317"/>
      <c r="J714" s="338"/>
      <c r="K714" s="317"/>
      <c r="L714" s="317"/>
      <c r="M714" s="317"/>
      <c r="N714" s="317"/>
      <c r="O714" s="317"/>
      <c r="P714" s="317"/>
      <c r="Q714" s="317"/>
      <c r="R714" s="317"/>
      <c r="S714" s="317"/>
      <c r="T714" s="317"/>
      <c r="U714" s="317"/>
      <c r="V714" s="338"/>
      <c r="W714" s="338"/>
      <c r="X714" s="338"/>
    </row>
    <row r="715" spans="1:27" s="326" customFormat="1" ht="12" hidden="1" customHeight="1" outlineLevel="1" x14ac:dyDescent="0.25">
      <c r="A715" s="316"/>
      <c r="B715" s="364" t="s">
        <v>124</v>
      </c>
      <c r="C715" s="394" t="s">
        <v>11</v>
      </c>
      <c r="D715" s="444">
        <v>5</v>
      </c>
      <c r="E715" s="364"/>
      <c r="F715" s="364"/>
      <c r="G715" s="364"/>
      <c r="H715" s="364"/>
      <c r="I715" s="364"/>
      <c r="J715" s="338"/>
      <c r="K715" s="365">
        <v>0</v>
      </c>
      <c r="L715" s="443">
        <f>IF(L718="N/A","",K715+1)</f>
        <v>1</v>
      </c>
      <c r="M715" s="443">
        <f t="shared" ref="M715:U715" si="298">IF(M718="N/A","",L715+1)</f>
        <v>2</v>
      </c>
      <c r="N715" s="443">
        <f t="shared" si="298"/>
        <v>3</v>
      </c>
      <c r="O715" s="443">
        <f t="shared" si="298"/>
        <v>4</v>
      </c>
      <c r="P715" s="443">
        <f t="shared" si="298"/>
        <v>5</v>
      </c>
      <c r="Q715" s="443">
        <f t="shared" si="298"/>
        <v>6</v>
      </c>
      <c r="R715" s="443">
        <f t="shared" si="298"/>
        <v>7</v>
      </c>
      <c r="S715" s="443">
        <f t="shared" si="298"/>
        <v>8</v>
      </c>
      <c r="T715" s="443">
        <f t="shared" si="298"/>
        <v>9</v>
      </c>
      <c r="U715" s="443">
        <f t="shared" si="298"/>
        <v>10</v>
      </c>
      <c r="V715" s="297"/>
      <c r="W715" s="297"/>
      <c r="X715" s="297"/>
    </row>
    <row r="716" spans="1:27" s="326" customFormat="1" ht="12" hidden="1" customHeight="1" outlineLevel="1" x14ac:dyDescent="0.25">
      <c r="A716" s="316"/>
      <c r="B716" s="307" t="s">
        <v>189</v>
      </c>
      <c r="C716" s="304" t="s">
        <v>20</v>
      </c>
      <c r="D716" s="421">
        <v>238</v>
      </c>
      <c r="E716" s="364"/>
      <c r="F716" s="364"/>
      <c r="G716" s="364"/>
      <c r="H716" s="364"/>
      <c r="I716" s="364"/>
      <c r="J716" s="338"/>
      <c r="K716" s="474">
        <f>IF(D716-K717="",0,D716-K717)</f>
        <v>238</v>
      </c>
      <c r="L716" s="474">
        <f>IF(L717="",0,K716-L717)</f>
        <v>238</v>
      </c>
      <c r="M716" s="474">
        <f t="shared" ref="M716:U716" si="299">IF(M717="",0,L716-M717)</f>
        <v>212</v>
      </c>
      <c r="N716" s="474">
        <f t="shared" si="299"/>
        <v>171</v>
      </c>
      <c r="O716" s="474">
        <f t="shared" si="299"/>
        <v>121</v>
      </c>
      <c r="P716" s="474">
        <f t="shared" si="299"/>
        <v>100</v>
      </c>
      <c r="Q716" s="474">
        <f t="shared" si="299"/>
        <v>78</v>
      </c>
      <c r="R716" s="474">
        <f t="shared" si="299"/>
        <v>60</v>
      </c>
      <c r="S716" s="474">
        <f t="shared" si="299"/>
        <v>41</v>
      </c>
      <c r="T716" s="474">
        <f t="shared" si="299"/>
        <v>20</v>
      </c>
      <c r="U716" s="474">
        <f t="shared" si="299"/>
        <v>0</v>
      </c>
      <c r="V716" s="297"/>
      <c r="W716" s="297"/>
      <c r="X716" s="297"/>
    </row>
    <row r="717" spans="1:27" s="307" customFormat="1" ht="25.35" hidden="1" customHeight="1" outlineLevel="1" x14ac:dyDescent="0.25">
      <c r="A717" s="446" t="str">
        <f>VLOOKUP(B717,'C UNIT PROG TÉCNICOS'!$B$8:$H$108,7,FALSE)</f>
        <v>CAPEX</v>
      </c>
      <c r="B717" s="367" t="s">
        <v>55</v>
      </c>
      <c r="C717" s="304" t="s">
        <v>20</v>
      </c>
      <c r="D717" s="304" t="s">
        <v>19</v>
      </c>
      <c r="I717" s="369"/>
      <c r="J717" s="338"/>
      <c r="K717" s="362">
        <f>J717</f>
        <v>0</v>
      </c>
      <c r="L717" s="983">
        <v>0</v>
      </c>
      <c r="M717" s="983">
        <v>26</v>
      </c>
      <c r="N717" s="983">
        <v>41</v>
      </c>
      <c r="O717" s="983">
        <v>50</v>
      </c>
      <c r="P717" s="983">
        <v>21</v>
      </c>
      <c r="Q717" s="362">
        <v>22</v>
      </c>
      <c r="R717" s="362">
        <v>18</v>
      </c>
      <c r="S717" s="362">
        <v>19</v>
      </c>
      <c r="T717" s="362">
        <v>21</v>
      </c>
      <c r="U717" s="362">
        <v>20</v>
      </c>
    </row>
    <row r="718" spans="1:27" s="307" customFormat="1" ht="12" hidden="1" customHeight="1" outlineLevel="1" x14ac:dyDescent="0.25">
      <c r="A718" s="316"/>
      <c r="B718" s="307" t="s">
        <v>742</v>
      </c>
      <c r="C718" s="304"/>
      <c r="D718" s="447" t="str">
        <f>IF(A717="CAPEX","Inversión",IF(A717="OPEX","Operación","I/O"))</f>
        <v>Inversión</v>
      </c>
      <c r="I718" s="370"/>
      <c r="J718" s="338"/>
      <c r="K718" s="371" t="s">
        <v>207</v>
      </c>
      <c r="L718" s="371" t="s">
        <v>207</v>
      </c>
      <c r="M718" s="371" t="s">
        <v>8</v>
      </c>
      <c r="N718" s="371" t="s">
        <v>8</v>
      </c>
      <c r="O718" s="371" t="s">
        <v>8</v>
      </c>
      <c r="P718" s="371" t="s">
        <v>8</v>
      </c>
      <c r="Q718" s="371" t="s">
        <v>8</v>
      </c>
      <c r="R718" s="371" t="s">
        <v>8</v>
      </c>
      <c r="S718" s="371" t="s">
        <v>8</v>
      </c>
      <c r="T718" s="371" t="s">
        <v>8</v>
      </c>
      <c r="U718" s="371" t="s">
        <v>8</v>
      </c>
      <c r="V718"/>
      <c r="W718"/>
      <c r="X718"/>
      <c r="Y718"/>
      <c r="Z718"/>
      <c r="AA718"/>
    </row>
    <row r="719" spans="1:27" s="307" customFormat="1" ht="12" hidden="1" customHeight="1" outlineLevel="1" x14ac:dyDescent="0.25">
      <c r="A719" s="316"/>
      <c r="B719" s="307" t="s">
        <v>762</v>
      </c>
      <c r="C719" s="304"/>
      <c r="D719" s="304"/>
      <c r="J719" s="338"/>
      <c r="K719" s="448">
        <f>IF(K718="N/A",0,IF(K718="SI",0,SUM(IF($D718="Inversión",0,VLOOKUP($B717,'C UNIT PROG TÉCNICOS'!$B$8:$G$160,6,FALSE)*'EV PROG TÉCNICOS'!K717))))</f>
        <v>0</v>
      </c>
      <c r="L719" s="448">
        <f>IF(L718="N/A",0,IF(L718="SI",0,SUM(IF($D718="Inversión",0,VLOOKUP($B717,'C UNIT PROG TÉCNICOS'!$B$8:$G$160,6,FALSE)*'EV PROG TÉCNICOS'!L717))))</f>
        <v>0</v>
      </c>
      <c r="M719" s="448">
        <f>IF(M718="N/A",0,IF(M718="SI",0,SUM(IF($D718="Inversión",0,VLOOKUP($B717,'C UNIT PROG TÉCNICOS'!$B$8:$G$160,6,FALSE)*'EV PROG TÉCNICOS'!M717))))</f>
        <v>0</v>
      </c>
      <c r="N719" s="448">
        <f>IF(N718="N/A",0,IF(N718="SI",0,SUM(IF($D718="Inversión",0,VLOOKUP($B717,'C UNIT PROG TÉCNICOS'!$B$8:$G$160,6,FALSE)*'EV PROG TÉCNICOS'!N717))))</f>
        <v>0</v>
      </c>
      <c r="O719" s="448">
        <f>IF(O718="N/A",0,IF(O718="SI",0,SUM(IF($D718="Inversión",0,VLOOKUP($B717,'C UNIT PROG TÉCNICOS'!$B$8:$G$160,6,FALSE)*'EV PROG TÉCNICOS'!O717))))</f>
        <v>0</v>
      </c>
      <c r="P719" s="448">
        <f>IF(P718="N/A",0,IF(P718="SI",0,SUM(IF($D718="Inversión",0,VLOOKUP($B717,'C UNIT PROG TÉCNICOS'!$B$8:$G$160,6,FALSE)*'EV PROG TÉCNICOS'!P717))))</f>
        <v>0</v>
      </c>
      <c r="Q719" s="448">
        <f>IF(Q718="N/A",0,IF(Q718="SI",0,SUM(IF($D718="Inversión",0,VLOOKUP($B717,'C UNIT PROG TÉCNICOS'!$B$8:$G$160,6,FALSE)*'EV PROG TÉCNICOS'!Q717))))</f>
        <v>0</v>
      </c>
      <c r="R719" s="448">
        <f>IF(R718="N/A",0,IF(R718="SI",0,SUM(IF($D718="Inversión",0,VLOOKUP($B717,'C UNIT PROG TÉCNICOS'!$B$8:$G$160,6,FALSE)*'EV PROG TÉCNICOS'!R717))))</f>
        <v>0</v>
      </c>
      <c r="S719" s="448">
        <f>IF(S718="N/A",0,IF(S718="SI",0,SUM(IF($D718="Inversión",0,VLOOKUP($B717,'C UNIT PROG TÉCNICOS'!$B$8:$G$160,6,FALSE)*'EV PROG TÉCNICOS'!S717))))</f>
        <v>0</v>
      </c>
      <c r="T719" s="448">
        <f>IF(T718="N/A",0,IF(T718="SI",0,SUM(IF($D718="Inversión",0,VLOOKUP($B717,'C UNIT PROG TÉCNICOS'!$B$8:$G$160,6,FALSE)*'EV PROG TÉCNICOS'!T717))))</f>
        <v>0</v>
      </c>
      <c r="U719" s="448">
        <f>IF(U718="N/A",0,IF(U718="SI",0,SUM(IF($D718="Inversión",0,VLOOKUP($B717,'C UNIT PROG TÉCNICOS'!$B$8:$G$160,6,FALSE)*'EV PROG TÉCNICOS'!U717))))</f>
        <v>0</v>
      </c>
      <c r="V719"/>
      <c r="W719"/>
      <c r="X719"/>
      <c r="Y719"/>
      <c r="Z719"/>
      <c r="AA719"/>
    </row>
    <row r="720" spans="1:27" s="307" customFormat="1" ht="12" hidden="1" customHeight="1" outlineLevel="1" x14ac:dyDescent="0.25">
      <c r="A720" s="316"/>
      <c r="B720" s="307" t="s">
        <v>763</v>
      </c>
      <c r="C720" s="304" t="s">
        <v>6</v>
      </c>
      <c r="D720" s="304"/>
      <c r="J720" s="338"/>
      <c r="K720" s="450">
        <f>IF(K718="N/A",0,IF(K718="SI",0,K$21*K719))</f>
        <v>0</v>
      </c>
      <c r="L720" s="450">
        <f>IF(L718="N/A",0,IF(L718="SI",0,L$21*L719))</f>
        <v>0</v>
      </c>
      <c r="M720" s="450">
        <f t="shared" ref="M720:U720" si="300">IF(M718="N/A",0,IF(M718="SI",0,M$21*M719))</f>
        <v>0</v>
      </c>
      <c r="N720" s="450">
        <f t="shared" si="300"/>
        <v>0</v>
      </c>
      <c r="O720" s="450">
        <f t="shared" si="300"/>
        <v>0</v>
      </c>
      <c r="P720" s="450">
        <f t="shared" si="300"/>
        <v>0</v>
      </c>
      <c r="Q720" s="450">
        <f t="shared" si="300"/>
        <v>0</v>
      </c>
      <c r="R720" s="450">
        <f t="shared" si="300"/>
        <v>0</v>
      </c>
      <c r="S720" s="450">
        <f t="shared" si="300"/>
        <v>0</v>
      </c>
      <c r="T720" s="450">
        <f t="shared" si="300"/>
        <v>0</v>
      </c>
      <c r="U720" s="450">
        <f t="shared" si="300"/>
        <v>0</v>
      </c>
      <c r="V720"/>
      <c r="W720"/>
      <c r="X720"/>
      <c r="Y720"/>
      <c r="Z720"/>
      <c r="AA720"/>
    </row>
    <row r="721" spans="1:27" s="307" customFormat="1" ht="12" hidden="1" customHeight="1" outlineLevel="1" x14ac:dyDescent="0.25">
      <c r="A721" s="316"/>
      <c r="B721" s="307" t="s">
        <v>764</v>
      </c>
      <c r="C721" s="304" t="s">
        <v>6</v>
      </c>
      <c r="J721" s="338"/>
      <c r="K721" s="450">
        <f>IF(K718="N/A",0,IF(K718="SI",0,IF(OR($D718="Inversión",$D718="I/O"),SUM(VLOOKUP($B717,'C UNIT PROG TÉCNICOS'!$B$8:$G$160,5,FALSE)*'EV PROG TÉCNICOS'!K717),0)))</f>
        <v>0</v>
      </c>
      <c r="L721" s="450">
        <f>IF(L718="N/A",0,IF(L718="SI",0,IF(OR($D718="Inversión",$D718="I/O"),SUM(VLOOKUP($B717,'C UNIT PROG TÉCNICOS'!$B$8:$G$160,5,FALSE)*'EV PROG TÉCNICOS'!L717),0))*((1+$D$24)^(L$3-$K$3)))</f>
        <v>0</v>
      </c>
      <c r="M721" s="450">
        <f>IF(M718="N/A",0,IF(M718="SI",0,IF(OR($D718="Inversión",$D718="I/O"),SUM(VLOOKUP($B717,'C UNIT PROG TÉCNICOS'!$B$8:$G$160,5,FALSE)*'EV PROG TÉCNICOS'!M717),0))*((1+$D$24)^(M$3-$K$3)))</f>
        <v>32224354.813545898</v>
      </c>
      <c r="N721" s="450">
        <f>IF(N718="N/A",0,IF(N718="SI",0,IF(OR($D718="Inversión",$D718="I/O"),SUM(VLOOKUP($B717,'C UNIT PROG TÉCNICOS'!$B$8:$G$160,5,FALSE)*'EV PROG TÉCNICOS'!N717),0))*((1+$D$24)^(N$3-$K$3)))</f>
        <v>52624144.072278731</v>
      </c>
      <c r="O721" s="450">
        <f>IF(O718="N/A",0,IF(O718="SI",0,IF(OR($D718="Inversión",$D718="I/O"),SUM(VLOOKUP($B717,'C UNIT PROG TÉCNICOS'!$B$8:$G$160,5,FALSE)*'EV PROG TÉCNICOS'!O717),0))*((1+$D$24)^(O$3-$K$3)))</f>
        <v>66460177.72840903</v>
      </c>
      <c r="P721" s="450">
        <f>IF(P718="N/A",0,IF(P718="SI",0,IF(OR($D718="Inversión",$D718="I/O"),SUM(VLOOKUP($B717,'C UNIT PROG TÉCNICOS'!$B$8:$G$160,5,FALSE)*'EV PROG TÉCNICOS'!P717),0))*((1+$D$24)^(P$3-$K$3)))</f>
        <v>28906871.662369929</v>
      </c>
      <c r="Q721" s="450">
        <f>IF(Q718="N/A",0,IF(Q718="SI",0,IF(OR($D718="Inversión",$D718="I/O"),SUM(VLOOKUP($B717,'C UNIT PROG TÉCNICOS'!$B$8:$G$160,5,FALSE)*'EV PROG TÉCNICOS'!Q717),0))*((1+$D$24)^(Q$3-$K$3)))</f>
        <v>31361352.648582637</v>
      </c>
      <c r="R721" s="450">
        <f>IF(R718="N/A",0,IF(R718="SI",0,IF(OR($D718="Inversión",$D718="I/O"),SUM(VLOOKUP($B717,'C UNIT PROG TÉCNICOS'!$B$8:$G$160,5,FALSE)*'EV PROG TÉCNICOS'!R717),0))*((1+$D$24)^(R$3-$K$3)))</f>
        <v>26572652.972895447</v>
      </c>
      <c r="S721" s="450">
        <f>IF(S718="N/A",0,IF(S718="SI",0,IF(OR($D718="Inversión",$D718="I/O"),SUM(VLOOKUP($B717,'C UNIT PROG TÉCNICOS'!$B$8:$G$160,5,FALSE)*'EV PROG TÉCNICOS'!S717),0))*((1+$D$24)^(S$3-$K$3)))</f>
        <v>29047336.597277615</v>
      </c>
      <c r="T721" s="450">
        <f>IF(T718="N/A",0,IF(T718="SI",0,IF(OR($D718="Inversión",$D718="I/O"),SUM(VLOOKUP($B717,'C UNIT PROG TÉCNICOS'!$B$8:$G$160,5,FALSE)*'EV PROG TÉCNICOS'!T717),0))*((1+$D$24)^(T$3-$K$3)))</f>
        <v>33247754.316184785</v>
      </c>
      <c r="U721" s="450">
        <f>IF(U718="N/A",0,IF(U718="SI",0,IF(OR($D718="Inversión",$D718="I/O"),SUM(VLOOKUP($B717,'C UNIT PROG TÉCNICOS'!$B$8:$G$160,5,FALSE)*'EV PROG TÉCNICOS'!U717),0))*((1+$D$24)^(U$3-$K$3)))</f>
        <v>32791654.022988651</v>
      </c>
      <c r="V721"/>
      <c r="W721"/>
      <c r="X721"/>
      <c r="Y721"/>
      <c r="Z721"/>
      <c r="AA721"/>
    </row>
    <row r="722" spans="1:27" s="376" customFormat="1" ht="25.35" hidden="1" customHeight="1" outlineLevel="1" x14ac:dyDescent="0.25">
      <c r="A722" s="374"/>
      <c r="B722" s="454" t="str">
        <f>CONCATENATE("VNA  ",B714)</f>
        <v>VNA  Reparación de fugas en acometidas</v>
      </c>
      <c r="C722" s="374" t="s">
        <v>6</v>
      </c>
      <c r="D722" s="453">
        <f>NPV($D$31,L722:U722)+K722</f>
        <v>153709581.05715492</v>
      </c>
      <c r="J722" s="338"/>
      <c r="K722" s="452">
        <f>IF(OR(K718="N/A",K719=0),0,IF($D718="Operación",K720,K721))</f>
        <v>0</v>
      </c>
      <c r="L722" s="452">
        <f>IF(L718="N/A",0,IF($D718="Operación",L720,L721))</f>
        <v>0</v>
      </c>
      <c r="M722" s="452">
        <f t="shared" ref="M722:U722" si="301">IF(M718="N/A",0,IF($D718="Operación",M720,M721))</f>
        <v>32224354.813545898</v>
      </c>
      <c r="N722" s="452">
        <f t="shared" si="301"/>
        <v>52624144.072278731</v>
      </c>
      <c r="O722" s="452">
        <f t="shared" si="301"/>
        <v>66460177.72840903</v>
      </c>
      <c r="P722" s="452">
        <f t="shared" si="301"/>
        <v>28906871.662369929</v>
      </c>
      <c r="Q722" s="452">
        <f t="shared" si="301"/>
        <v>31361352.648582637</v>
      </c>
      <c r="R722" s="452">
        <f t="shared" si="301"/>
        <v>26572652.972895447</v>
      </c>
      <c r="S722" s="452">
        <f t="shared" si="301"/>
        <v>29047336.597277615</v>
      </c>
      <c r="T722" s="452">
        <f t="shared" si="301"/>
        <v>33247754.316184785</v>
      </c>
      <c r="U722" s="452">
        <f t="shared" si="301"/>
        <v>32791654.022988651</v>
      </c>
      <c r="V722"/>
      <c r="W722"/>
      <c r="X722"/>
      <c r="Y722"/>
      <c r="Z722"/>
      <c r="AA722"/>
    </row>
    <row r="723" spans="1:27" s="393" customFormat="1" ht="25.35" hidden="1" customHeight="1" outlineLevel="1" x14ac:dyDescent="0.25">
      <c r="A723" s="374"/>
      <c r="B723" s="454" t="str">
        <f>CONCATENATE("Volumen de agua recuperado por ",B714)</f>
        <v>Volumen de agua recuperado por Reparación de fugas en acometidas</v>
      </c>
      <c r="C723" s="374" t="s">
        <v>106</v>
      </c>
      <c r="D723" s="457">
        <f>SUM(L723:U723)</f>
        <v>7113.1296332728107</v>
      </c>
      <c r="E723" s="376"/>
      <c r="F723" s="376"/>
      <c r="G723" s="376"/>
      <c r="H723" s="376"/>
      <c r="I723" s="376"/>
      <c r="J723" s="338"/>
      <c r="K723" s="378"/>
      <c r="L723" s="398"/>
      <c r="M723" s="398">
        <v>623.28307858501194</v>
      </c>
      <c r="N723" s="398">
        <v>1091.7480155588601</v>
      </c>
      <c r="O723" s="398">
        <v>1769.0028663631861</v>
      </c>
      <c r="P723" s="398">
        <v>439.43333986617847</v>
      </c>
      <c r="Q723" s="905">
        <v>673.35703461091418</v>
      </c>
      <c r="R723" s="905">
        <v>484.71223259372488</v>
      </c>
      <c r="S723" s="905">
        <v>931.94410209024568</v>
      </c>
      <c r="T723" s="905">
        <v>551.72207767241082</v>
      </c>
      <c r="U723" s="905">
        <v>547.92688593227854</v>
      </c>
      <c r="V723"/>
      <c r="W723"/>
      <c r="X723"/>
      <c r="Y723"/>
      <c r="Z723"/>
      <c r="AA723"/>
    </row>
    <row r="724" spans="1:27" s="376" customFormat="1" ht="15" hidden="1" customHeight="1" outlineLevel="1" x14ac:dyDescent="0.25">
      <c r="A724" s="374"/>
      <c r="B724" s="376" t="s">
        <v>750</v>
      </c>
      <c r="C724" s="374" t="s">
        <v>6</v>
      </c>
      <c r="D724" s="453">
        <f>NPV($D$31,L724:U724)+K724</f>
        <v>1117055.2338701335</v>
      </c>
      <c r="J724" s="338"/>
      <c r="K724" s="452">
        <f>IF(OR(K718="N/A",K723=0),0,K723*K$29)</f>
        <v>0</v>
      </c>
      <c r="L724" s="452">
        <f t="shared" ref="L724:U724" si="302">IF(OR(L718="N/A",L723=0),0,L723*L$29)</f>
        <v>0</v>
      </c>
      <c r="M724" s="452">
        <f t="shared" si="302"/>
        <v>190867.48987327088</v>
      </c>
      <c r="N724" s="452">
        <f t="shared" si="302"/>
        <v>346225.7322009523</v>
      </c>
      <c r="O724" s="452">
        <f t="shared" si="302"/>
        <v>580972.76433790452</v>
      </c>
      <c r="P724" s="452">
        <f t="shared" si="302"/>
        <v>149455.03348406855</v>
      </c>
      <c r="Q724" s="452">
        <f t="shared" si="302"/>
        <v>237166.44814667309</v>
      </c>
      <c r="R724" s="452">
        <f t="shared" si="302"/>
        <v>176799.9482766015</v>
      </c>
      <c r="S724" s="452">
        <f t="shared" si="302"/>
        <v>352028.90385718015</v>
      </c>
      <c r="T724" s="452">
        <f t="shared" si="302"/>
        <v>215823.69706011517</v>
      </c>
      <c r="U724" s="452">
        <f t="shared" si="302"/>
        <v>221968.67082271862</v>
      </c>
      <c r="V724"/>
      <c r="W724"/>
      <c r="X724"/>
      <c r="Y724"/>
      <c r="Z724"/>
      <c r="AA724"/>
    </row>
    <row r="725" spans="1:27" s="376" customFormat="1" ht="15" hidden="1" customHeight="1" outlineLevel="1" x14ac:dyDescent="0.25">
      <c r="A725" s="374"/>
      <c r="B725" s="376" t="s">
        <v>751</v>
      </c>
      <c r="C725" s="374"/>
      <c r="D725" s="455">
        <f>IFERROR(ROUND(IF(D724/D722=0,0,D724/D722),2),0)</f>
        <v>0.01</v>
      </c>
      <c r="J725" s="338"/>
      <c r="K725" s="455">
        <f>IFERROR(ROUND(IF(K724/K722=0,0,K724/K722),2),0)</f>
        <v>0</v>
      </c>
      <c r="L725" s="455"/>
      <c r="M725" s="455"/>
      <c r="N725" s="455"/>
      <c r="O725" s="455"/>
      <c r="P725" s="455"/>
      <c r="Q725" s="455">
        <f>IFERROR(ROUND(IF(Q724/Q722=0,0,Q724/Q722),2),0)</f>
        <v>0.01</v>
      </c>
      <c r="R725" s="455">
        <f>IFERROR(ROUND(IF(R724/R722=0,0,R724/R722),2),0)</f>
        <v>0.01</v>
      </c>
      <c r="S725" s="455">
        <f>IFERROR(ROUND(IF(S724/S722=0,0,S724/S722),2),0)</f>
        <v>0.01</v>
      </c>
      <c r="T725" s="455">
        <f>IFERROR(ROUND(IF(T724/T722=0,0,T724/T722),2),0)</f>
        <v>0.01</v>
      </c>
      <c r="U725" s="455">
        <f>IFERROR(ROUND(IF(U724/U722=0,0,U724/U722),2),0)</f>
        <v>0.01</v>
      </c>
      <c r="V725"/>
      <c r="W725"/>
      <c r="X725"/>
      <c r="Y725"/>
      <c r="Z725"/>
      <c r="AA725"/>
    </row>
    <row r="726" spans="1:27" ht="15" collapsed="1" x14ac:dyDescent="0.25">
      <c r="D726" s="328"/>
      <c r="J726" s="338"/>
      <c r="V726"/>
      <c r="W726"/>
      <c r="X726"/>
      <c r="Y726"/>
      <c r="Z726"/>
      <c r="AA726"/>
    </row>
    <row r="727" spans="1:27" s="357" customFormat="1" ht="15.75" x14ac:dyDescent="0.25">
      <c r="A727" s="356">
        <v>6.3</v>
      </c>
      <c r="B727" s="422" t="s">
        <v>769</v>
      </c>
      <c r="C727" s="317"/>
      <c r="D727" s="317"/>
      <c r="E727" s="317"/>
      <c r="F727" s="317"/>
      <c r="G727" s="317"/>
      <c r="H727" s="317"/>
      <c r="I727" s="317"/>
      <c r="J727" s="338"/>
      <c r="K727" s="317"/>
      <c r="L727" s="317"/>
      <c r="M727" s="317"/>
      <c r="N727" s="317"/>
      <c r="O727" s="317"/>
      <c r="P727" s="317"/>
      <c r="Q727" s="317"/>
      <c r="R727" s="317"/>
      <c r="S727" s="317"/>
      <c r="T727" s="317"/>
      <c r="U727" s="317"/>
      <c r="V727"/>
      <c r="W727"/>
      <c r="X727"/>
      <c r="Y727"/>
      <c r="Z727"/>
      <c r="AA727"/>
    </row>
    <row r="728" spans="1:27" s="307" customFormat="1" ht="12" hidden="1" customHeight="1" outlineLevel="1" x14ac:dyDescent="0.25">
      <c r="A728" s="419" t="s">
        <v>192</v>
      </c>
      <c r="B728" s="358" t="s">
        <v>228</v>
      </c>
      <c r="C728" s="359"/>
      <c r="D728" s="359"/>
      <c r="E728" s="359"/>
      <c r="F728" s="359"/>
      <c r="G728" s="359"/>
      <c r="H728" s="359"/>
      <c r="I728" s="359"/>
      <c r="J728" s="338"/>
      <c r="K728" s="359"/>
      <c r="L728" s="359"/>
      <c r="M728" s="359"/>
      <c r="N728" s="359"/>
      <c r="O728" s="359"/>
      <c r="P728" s="359"/>
      <c r="Q728" s="359"/>
      <c r="R728" s="359"/>
      <c r="S728" s="359"/>
      <c r="T728" s="359"/>
      <c r="U728" s="359"/>
    </row>
    <row r="729" spans="1:27" s="326" customFormat="1" ht="12" hidden="1" customHeight="1" outlineLevel="1" x14ac:dyDescent="0.25">
      <c r="B729" s="307" t="s">
        <v>197</v>
      </c>
      <c r="D729" s="442">
        <f>TQTOTAL</f>
        <v>44</v>
      </c>
      <c r="J729" s="338"/>
      <c r="K729" s="442">
        <f>$D729</f>
        <v>44</v>
      </c>
      <c r="L729" s="442">
        <f>IF(L734="N/A",0,$D729)</f>
        <v>44</v>
      </c>
      <c r="M729" s="442">
        <f t="shared" ref="M729:U729" si="303">IF(M734="N/A",0,$D729)</f>
        <v>44</v>
      </c>
      <c r="N729" s="442">
        <f t="shared" si="303"/>
        <v>44</v>
      </c>
      <c r="O729" s="442">
        <f t="shared" si="303"/>
        <v>44</v>
      </c>
      <c r="P729" s="442">
        <f t="shared" si="303"/>
        <v>44</v>
      </c>
      <c r="Q729" s="442">
        <f t="shared" si="303"/>
        <v>44</v>
      </c>
      <c r="R729" s="442">
        <f t="shared" si="303"/>
        <v>0</v>
      </c>
      <c r="S729" s="442">
        <f t="shared" si="303"/>
        <v>0</v>
      </c>
      <c r="T729" s="442">
        <f t="shared" si="303"/>
        <v>0</v>
      </c>
      <c r="U729" s="442">
        <f t="shared" si="303"/>
        <v>0</v>
      </c>
      <c r="V729" s="361"/>
    </row>
    <row r="730" spans="1:27" s="307" customFormat="1" ht="12" hidden="1" customHeight="1" outlineLevel="1" x14ac:dyDescent="0.25">
      <c r="A730" s="316"/>
      <c r="B730" s="307" t="s">
        <v>198</v>
      </c>
      <c r="D730" s="439">
        <f>D729-D731</f>
        <v>32</v>
      </c>
      <c r="J730" s="338"/>
      <c r="K730" s="439">
        <f>$D730</f>
        <v>32</v>
      </c>
      <c r="L730" s="439">
        <f>IF(L734="N/A",0,IF(IFERROR(K730+L733,0)=$D$731,0,IFERROR(K730+L733,0)))</f>
        <v>32</v>
      </c>
      <c r="M730" s="439">
        <f t="shared" ref="M730:U730" si="304">IF(M734="n/a",0,IF(IFERROR(L730+M733,0)=$D$731,0,IFERROR(L730+M733,0)))</f>
        <v>36</v>
      </c>
      <c r="N730" s="439">
        <f t="shared" si="304"/>
        <v>38</v>
      </c>
      <c r="O730" s="439">
        <f t="shared" si="304"/>
        <v>39</v>
      </c>
      <c r="P730" s="439">
        <f>IF(P734="n/a",0,IF(IFERROR(O730+P733,0)=$D$731,0,IFERROR(O730+P733,0)))</f>
        <v>41</v>
      </c>
      <c r="Q730" s="439">
        <f t="shared" si="304"/>
        <v>44</v>
      </c>
      <c r="R730" s="439">
        <f t="shared" si="304"/>
        <v>0</v>
      </c>
      <c r="S730" s="439">
        <f t="shared" si="304"/>
        <v>0</v>
      </c>
      <c r="T730" s="439">
        <f t="shared" si="304"/>
        <v>0</v>
      </c>
      <c r="U730" s="439">
        <f t="shared" si="304"/>
        <v>0</v>
      </c>
      <c r="V730" s="342"/>
    </row>
    <row r="731" spans="1:27" s="307" customFormat="1" ht="12" hidden="1" customHeight="1" outlineLevel="1" x14ac:dyDescent="0.25">
      <c r="A731" s="316"/>
      <c r="B731" s="307" t="s">
        <v>2</v>
      </c>
      <c r="D731" s="362">
        <v>12</v>
      </c>
      <c r="J731" s="338"/>
      <c r="K731" s="439">
        <f>K729-K730</f>
        <v>12</v>
      </c>
      <c r="L731" s="439">
        <f>IF(IFERROR(L729-L730,0)=$D$731,0,IFERROR(L729-L730,0))</f>
        <v>0</v>
      </c>
      <c r="M731" s="439">
        <f t="shared" ref="M731:U731" si="305">IF(IFERROR(M729-M730,0)=$D$731,0,IFERROR(M729-M730,0))</f>
        <v>8</v>
      </c>
      <c r="N731" s="439">
        <f t="shared" si="305"/>
        <v>6</v>
      </c>
      <c r="O731" s="439">
        <f t="shared" si="305"/>
        <v>5</v>
      </c>
      <c r="P731" s="439">
        <f>IF(IFERROR(P729-P730,0)=$D$731,0,IFERROR(P729-P730,0))</f>
        <v>3</v>
      </c>
      <c r="Q731" s="439">
        <f t="shared" si="305"/>
        <v>0</v>
      </c>
      <c r="R731" s="439">
        <f t="shared" si="305"/>
        <v>0</v>
      </c>
      <c r="S731" s="439">
        <f t="shared" si="305"/>
        <v>0</v>
      </c>
      <c r="T731" s="439">
        <f t="shared" si="305"/>
        <v>0</v>
      </c>
      <c r="U731" s="439">
        <f t="shared" si="305"/>
        <v>0</v>
      </c>
      <c r="V731" s="342"/>
    </row>
    <row r="732" spans="1:27" s="326" customFormat="1" ht="15" hidden="1" customHeight="1" outlineLevel="1" x14ac:dyDescent="0.25">
      <c r="A732" s="316"/>
      <c r="B732" s="326" t="s">
        <v>24</v>
      </c>
      <c r="C732" s="316" t="s">
        <v>11</v>
      </c>
      <c r="D732" s="397">
        <v>5</v>
      </c>
      <c r="E732" s="364"/>
      <c r="F732" s="364"/>
      <c r="G732" s="364"/>
      <c r="H732" s="364"/>
      <c r="I732" s="364"/>
      <c r="J732" s="338"/>
      <c r="K732" s="365">
        <v>0</v>
      </c>
      <c r="L732" s="443">
        <f>IF(L734="N/A","",K732+1)</f>
        <v>1</v>
      </c>
      <c r="M732" s="443">
        <f t="shared" ref="M732:U732" si="306">IF(M734="N/A","",L732+1)</f>
        <v>2</v>
      </c>
      <c r="N732" s="443">
        <f t="shared" si="306"/>
        <v>3</v>
      </c>
      <c r="O732" s="443">
        <f t="shared" si="306"/>
        <v>4</v>
      </c>
      <c r="P732" s="443">
        <f t="shared" si="306"/>
        <v>5</v>
      </c>
      <c r="Q732" s="443">
        <f t="shared" si="306"/>
        <v>6</v>
      </c>
      <c r="R732" s="443" t="str">
        <f t="shared" si="306"/>
        <v/>
      </c>
      <c r="S732" s="443" t="str">
        <f t="shared" si="306"/>
        <v/>
      </c>
      <c r="T732" s="443" t="str">
        <f t="shared" si="306"/>
        <v/>
      </c>
      <c r="U732" s="443" t="str">
        <f t="shared" si="306"/>
        <v/>
      </c>
      <c r="V732" s="443" t="str">
        <f>IF(V733="","",U732+1)</f>
        <v/>
      </c>
    </row>
    <row r="733" spans="1:27" s="307" customFormat="1" ht="24.95" hidden="1" customHeight="1" outlineLevel="1" x14ac:dyDescent="0.25">
      <c r="A733" s="446" t="str">
        <f>VLOOKUP(B733,'C UNIT PROG TÉCNICOS'!$B$8:$H$108,7,FALSE)</f>
        <v>CAPEX</v>
      </c>
      <c r="B733" s="367" t="s">
        <v>54</v>
      </c>
      <c r="C733" s="304" t="s">
        <v>20</v>
      </c>
      <c r="D733" s="445" t="str">
        <f>IF(D731&lt;&gt;SUM(L733:Q733),"NO","SI")</f>
        <v>SI</v>
      </c>
      <c r="I733" s="368"/>
      <c r="J733" s="338"/>
      <c r="K733" s="360">
        <v>0</v>
      </c>
      <c r="L733" s="360">
        <v>0</v>
      </c>
      <c r="M733" s="360">
        <v>4</v>
      </c>
      <c r="N733" s="360">
        <v>2</v>
      </c>
      <c r="O733" s="360">
        <v>1</v>
      </c>
      <c r="P733" s="360">
        <v>2</v>
      </c>
      <c r="Q733" s="360">
        <v>3</v>
      </c>
      <c r="R733" s="360"/>
      <c r="S733" s="361"/>
      <c r="T733" s="361"/>
      <c r="U733" s="361"/>
    </row>
    <row r="734" spans="1:27" s="307" customFormat="1" ht="12" hidden="1" customHeight="1" outlineLevel="1" x14ac:dyDescent="0.25">
      <c r="A734" s="316"/>
      <c r="B734" s="307" t="s">
        <v>742</v>
      </c>
      <c r="D734" s="447" t="str">
        <f>IF(A733="CAPEX","Inversión",IF(A733="OPEX","Operación","I/O"))</f>
        <v>Inversión</v>
      </c>
      <c r="I734" s="370"/>
      <c r="J734" s="338"/>
      <c r="K734" s="371" t="s">
        <v>8</v>
      </c>
      <c r="L734" s="371" t="s">
        <v>8</v>
      </c>
      <c r="M734" s="371" t="s">
        <v>8</v>
      </c>
      <c r="N734" s="371" t="s">
        <v>8</v>
      </c>
      <c r="O734" s="371" t="s">
        <v>8</v>
      </c>
      <c r="P734" s="371" t="s">
        <v>8</v>
      </c>
      <c r="Q734" s="371" t="s">
        <v>8</v>
      </c>
      <c r="R734" s="371" t="s">
        <v>149</v>
      </c>
      <c r="S734" s="371" t="s">
        <v>149</v>
      </c>
      <c r="T734" s="371" t="s">
        <v>149</v>
      </c>
      <c r="U734" s="371" t="s">
        <v>149</v>
      </c>
    </row>
    <row r="735" spans="1:27" s="307" customFormat="1" ht="12" hidden="1" customHeight="1" outlineLevel="1" x14ac:dyDescent="0.25">
      <c r="A735" s="316"/>
      <c r="B735" s="307" t="s">
        <v>762</v>
      </c>
      <c r="C735" s="304"/>
      <c r="D735" s="304"/>
      <c r="J735" s="338"/>
      <c r="K735" s="448">
        <f>IF(K734="N/A",0,IF(K734="SI",0,SUM(IF($D734="Inversión",0,VLOOKUP($B733,'C UNIT PROG TÉCNICOS'!$B$8:$G$160,6,FALSE)*'EV PROG TÉCNICOS'!K733))))</f>
        <v>0</v>
      </c>
      <c r="L735" s="448">
        <f>IF(L734="N/A",0,IF(L734="SI",0,SUM(IF($D734="Inversión",0,VLOOKUP($B733,'C UNIT PROG TÉCNICOS'!$B$8:$G$160,6,FALSE)*'EV PROG TÉCNICOS'!L733))))</f>
        <v>0</v>
      </c>
      <c r="M735" s="448">
        <f>IF(M734="N/A",0,IF(M734="SI",0,SUM(IF($D734="Inversión",0,VLOOKUP($B733,'C UNIT PROG TÉCNICOS'!$B$8:$G$160,6,FALSE)*'EV PROG TÉCNICOS'!M733))))</f>
        <v>0</v>
      </c>
      <c r="N735" s="448">
        <f>IF(N734="N/A",0,IF(N734="SI",0,SUM(IF($D734="Inversión",0,VLOOKUP($B733,'C UNIT PROG TÉCNICOS'!$B$8:$G$160,6,FALSE)*'EV PROG TÉCNICOS'!N733))))</f>
        <v>0</v>
      </c>
      <c r="O735" s="448">
        <f>IF(O734="N/A",0,IF(O734="SI",0,SUM(IF($D734="Inversión",0,VLOOKUP($B733,'C UNIT PROG TÉCNICOS'!$B$8:$G$160,6,FALSE)*'EV PROG TÉCNICOS'!O733))))</f>
        <v>0</v>
      </c>
      <c r="P735" s="448">
        <f>IF(P734="N/A",0,IF(P734="SI",0,SUM(IF($D734="Inversión",0,VLOOKUP($B733,'C UNIT PROG TÉCNICOS'!$B$8:$G$160,6,FALSE)*'EV PROG TÉCNICOS'!P733))))</f>
        <v>0</v>
      </c>
      <c r="Q735" s="448">
        <f>IF(Q734="N/A",0,IF(Q734="SI",0,SUM(IF($D734="Inversión",0,VLOOKUP($B733,'C UNIT PROG TÉCNICOS'!$B$8:$G$160,6,FALSE)*'EV PROG TÉCNICOS'!Q733))))</f>
        <v>0</v>
      </c>
      <c r="R735" s="448">
        <f>IF(R734="N/A",0,IF(R734="SI",0,SUM(IF($D734="Inversión",0,VLOOKUP($B733,'C UNIT PROG TÉCNICOS'!$B$8:$G$160,6,FALSE)*'EV PROG TÉCNICOS'!R733))))</f>
        <v>0</v>
      </c>
      <c r="S735" s="448">
        <f>IF(S734="N/A",0,IF(S734="SI",0,SUM(IF($D734="Inversión",0,VLOOKUP($B733,'C UNIT PROG TÉCNICOS'!$B$8:$G$160,6,FALSE)*'EV PROG TÉCNICOS'!S733))))</f>
        <v>0</v>
      </c>
      <c r="T735" s="448">
        <f>IF(T734="N/A",0,IF(T734="SI",0,SUM(IF($D734="Inversión",0,VLOOKUP($B733,'C UNIT PROG TÉCNICOS'!$B$8:$G$160,6,FALSE)*'EV PROG TÉCNICOS'!T733))))</f>
        <v>0</v>
      </c>
      <c r="U735" s="448">
        <f>IF(U734="N/A",0,IF(U734="SI",0,SUM(IF($D734="Inversión",0,VLOOKUP($B733,'C UNIT PROG TÉCNICOS'!$B$8:$G$160,6,FALSE)*'EV PROG TÉCNICOS'!U733))))</f>
        <v>0</v>
      </c>
    </row>
    <row r="736" spans="1:27" s="307" customFormat="1" ht="12" hidden="1" customHeight="1" outlineLevel="1" x14ac:dyDescent="0.25">
      <c r="A736" s="316"/>
      <c r="B736" s="307" t="s">
        <v>763</v>
      </c>
      <c r="C736" s="304" t="s">
        <v>6</v>
      </c>
      <c r="D736" s="304"/>
      <c r="J736" s="338"/>
      <c r="K736" s="450">
        <f>IF(K734="N/A",0,IF(K734="SI",0,K$21*K735))</f>
        <v>0</v>
      </c>
      <c r="L736" s="450">
        <f>IF(L734="N/A",0,IF(L734="SI",0,L$21*L735))</f>
        <v>0</v>
      </c>
      <c r="M736" s="450">
        <f t="shared" ref="M736:U736" si="307">IF(M734="N/A",0,IF(M734="SI",0,M$21*M735))</f>
        <v>0</v>
      </c>
      <c r="N736" s="450">
        <f t="shared" si="307"/>
        <v>0</v>
      </c>
      <c r="O736" s="450">
        <f t="shared" si="307"/>
        <v>0</v>
      </c>
      <c r="P736" s="450">
        <f t="shared" si="307"/>
        <v>0</v>
      </c>
      <c r="Q736" s="450">
        <f t="shared" si="307"/>
        <v>0</v>
      </c>
      <c r="R736" s="450">
        <f t="shared" si="307"/>
        <v>0</v>
      </c>
      <c r="S736" s="450">
        <f t="shared" si="307"/>
        <v>0</v>
      </c>
      <c r="T736" s="450">
        <f t="shared" si="307"/>
        <v>0</v>
      </c>
      <c r="U736" s="450">
        <f t="shared" si="307"/>
        <v>0</v>
      </c>
    </row>
    <row r="737" spans="1:21" s="307" customFormat="1" ht="12" hidden="1" customHeight="1" outlineLevel="1" x14ac:dyDescent="0.25">
      <c r="A737" s="316"/>
      <c r="B737" s="307" t="s">
        <v>764</v>
      </c>
      <c r="C737" s="304" t="s">
        <v>6</v>
      </c>
      <c r="D737" s="304"/>
      <c r="J737" s="338"/>
      <c r="K737" s="450">
        <f>IF(K734="N/A",0,IF(K734="SI",0,IF(OR($D734="Inversión",$D734="I/O"),SUM(VLOOKUP($B733,'C UNIT PROG TÉCNICOS'!$B$8:$G$160,5,FALSE)*'EV PROG TÉCNICOS'!K733),0)))</f>
        <v>0</v>
      </c>
      <c r="L737" s="450">
        <f>IF(L734="N/A",0,IF(L734="SI",0,IF(OR($D734="Inversión",$D734="I/O"),SUM(VLOOKUP($B733,'C UNIT PROG TÉCNICOS'!$B$8:$G$160,5,FALSE)*'EV PROG TÉCNICOS'!L733),0))*((1+$D$24)^(L$3-$K$3)))</f>
        <v>0</v>
      </c>
      <c r="M737" s="450">
        <f>IF(M734="N/A",0,IF(M734="SI",0,IF(OR($D734="Inversión",$D734="I/O"),SUM(VLOOKUP($B733,'C UNIT PROG TÉCNICOS'!$B$8:$G$160,5,FALSE)*'EV PROG TÉCNICOS'!M733),0))*((1+$D$24)^(M$3-$K$3)))</f>
        <v>142273465.01662722</v>
      </c>
      <c r="N737" s="450">
        <f>IF(N734="N/A",0,IF(N734="SI",0,IF(OR($D734="Inversión",$D734="I/O"),SUM(VLOOKUP($B733,'C UNIT PROG TÉCNICOS'!$B$8:$G$160,5,FALSE)*'EV PROG TÉCNICOS'!N733),0))*((1+$D$24)^(N$3-$K$3)))</f>
        <v>73668905.679536983</v>
      </c>
      <c r="O737" s="450">
        <f>IF(O734="N/A",0,IF(O734="SI",0,IF(OR($D734="Inversión",$D734="I/O"),SUM(VLOOKUP($B733,'C UNIT PROG TÉCNICOS'!$B$8:$G$160,5,FALSE)*'EV PROG TÉCNICOS'!O733),0))*((1+$D$24)^(O$3-$K$3)))</f>
        <v>38145606.866229497</v>
      </c>
      <c r="P737" s="450">
        <f>IF(P734="N/A",0,IF(P734="SI",0,IF(OR($D734="Inversión",$D734="I/O"),SUM(VLOOKUP($B733,'C UNIT PROG TÉCNICOS'!$B$8:$G$160,5,FALSE)*'EV PROG TÉCNICOS'!P733),0))*((1+$D$24)^(P$3-$K$3)))</f>
        <v>79006865.095709682</v>
      </c>
      <c r="Q737" s="450">
        <f>IF(Q734="N/A",0,IF(Q734="SI",0,IF(OR($D734="Inversión",$D734="I/O"),SUM(VLOOKUP($B733,'C UNIT PROG TÉCNICOS'!$B$8:$G$160,5,FALSE)*'EV PROG TÉCNICOS'!Q733),0))*((1+$D$24)^(Q$3-$K$3)))</f>
        <v>122728773.60704315</v>
      </c>
      <c r="R737" s="450">
        <f>IF(R734="N/A",0,IF(R734="SI",0,IF(OR($D734="Inversión",$D734="I/O"),SUM(VLOOKUP($B733,'C UNIT PROG TÉCNICOS'!$B$8:$G$160,5,FALSE)*'EV PROG TÉCNICOS'!R733),0))*((1+$D$24)^(R$3-$K$3)))</f>
        <v>0</v>
      </c>
      <c r="S737" s="450">
        <f>IF(S734="N/A",0,IF(S734="SI",0,IF(OR($D734="Inversión",$D734="I/O"),SUM(VLOOKUP($B733,'C UNIT PROG TÉCNICOS'!$B$8:$G$160,5,FALSE)*'EV PROG TÉCNICOS'!S733),0))*((1+$D$24)^(S$3-$K$3)))</f>
        <v>0</v>
      </c>
      <c r="T737" s="450">
        <f>IF(T734="N/A",0,IF(T734="SI",0,IF(OR($D734="Inversión",$D734="I/O"),SUM(VLOOKUP($B733,'C UNIT PROG TÉCNICOS'!$B$8:$G$160,5,FALSE)*'EV PROG TÉCNICOS'!T733),0))*((1+$D$24)^(T$3-$K$3)))</f>
        <v>0</v>
      </c>
      <c r="U737" s="450">
        <f>IF(U734="N/A",0,IF(U734="SI",0,IF(OR($D734="Inversión",$D734="I/O"),SUM(VLOOKUP($B733,'C UNIT PROG TÉCNICOS'!$B$8:$G$160,5,FALSE)*'EV PROG TÉCNICOS'!U733),0))*((1+$D$24)^(U$3-$K$3)))</f>
        <v>0</v>
      </c>
    </row>
    <row r="738" spans="1:21" s="376" customFormat="1" ht="25.35" hidden="1" customHeight="1" outlineLevel="1" x14ac:dyDescent="0.25">
      <c r="A738" s="374"/>
      <c r="B738" s="454" t="str">
        <f>CONCATENATE("VNA  ",B728)</f>
        <v>VNA  Instrumentación y control de nivel en tanques</v>
      </c>
      <c r="C738" s="374" t="s">
        <v>6</v>
      </c>
      <c r="D738" s="469">
        <f>NPV($D$31,L738:U738)+K738</f>
        <v>259786656.60239705</v>
      </c>
      <c r="J738" s="338"/>
      <c r="K738" s="452">
        <f>IF(OR(K734="N/A",K735=0),0,IF($D734="Operación",K736,K737))</f>
        <v>0</v>
      </c>
      <c r="L738" s="452">
        <f>IF(L734="N/A",0,IF($D734="Operación",L736,L737))</f>
        <v>0</v>
      </c>
      <c r="M738" s="452">
        <f t="shared" ref="M738:U738" si="308">IF(M734="N/A",0,IF($D734="Operación",M736,M737))</f>
        <v>142273465.01662722</v>
      </c>
      <c r="N738" s="452">
        <f t="shared" si="308"/>
        <v>73668905.679536983</v>
      </c>
      <c r="O738" s="452">
        <f t="shared" si="308"/>
        <v>38145606.866229497</v>
      </c>
      <c r="P738" s="452">
        <f t="shared" si="308"/>
        <v>79006865.095709682</v>
      </c>
      <c r="Q738" s="452">
        <f t="shared" si="308"/>
        <v>122728773.60704315</v>
      </c>
      <c r="R738" s="452">
        <f t="shared" si="308"/>
        <v>0</v>
      </c>
      <c r="S738" s="452">
        <f t="shared" si="308"/>
        <v>0</v>
      </c>
      <c r="T738" s="452">
        <f t="shared" si="308"/>
        <v>0</v>
      </c>
      <c r="U738" s="452">
        <f t="shared" si="308"/>
        <v>0</v>
      </c>
    </row>
    <row r="739" spans="1:21" s="376" customFormat="1" ht="25.35" hidden="1" customHeight="1" outlineLevel="1" x14ac:dyDescent="0.25">
      <c r="A739" s="374"/>
      <c r="B739" s="454" t="str">
        <f>CONCATENATE("Volumen de agua recuperado por ",B728)</f>
        <v>Volumen de agua recuperado por Instrumentación y control de nivel en tanques</v>
      </c>
      <c r="C739" s="374" t="s">
        <v>106</v>
      </c>
      <c r="D739" s="470">
        <f>SUM(L739:U739)</f>
        <v>5526.5</v>
      </c>
      <c r="J739" s="338"/>
      <c r="K739" s="378"/>
      <c r="L739" s="414">
        <v>0</v>
      </c>
      <c r="M739" s="414">
        <v>1082</v>
      </c>
      <c r="N739" s="414">
        <v>1608</v>
      </c>
      <c r="O739" s="414">
        <v>1596</v>
      </c>
      <c r="P739" s="414">
        <v>943.5</v>
      </c>
      <c r="Q739" s="414">
        <v>297</v>
      </c>
      <c r="R739" s="414"/>
      <c r="S739" s="414"/>
      <c r="T739" s="414"/>
      <c r="U739" s="414"/>
    </row>
    <row r="740" spans="1:21" s="376" customFormat="1" ht="15" hidden="1" customHeight="1" outlineLevel="1" x14ac:dyDescent="0.25">
      <c r="A740" s="374"/>
      <c r="B740" s="376" t="s">
        <v>750</v>
      </c>
      <c r="C740" s="374" t="s">
        <v>6</v>
      </c>
      <c r="D740" s="459">
        <f>NPV($D$31,L740:U740)+K740</f>
        <v>1049480.7271624892</v>
      </c>
      <c r="J740" s="338"/>
      <c r="K740" s="452">
        <f>IF(OR(K734="N/A",K739=0),0,K739*K$29)</f>
        <v>0</v>
      </c>
      <c r="L740" s="452">
        <f>IF(OR(L734="N/A",L739=0),0,L739*L$29)</f>
        <v>0</v>
      </c>
      <c r="M740" s="452">
        <f t="shared" ref="M740:U740" si="309">IF(OR(M734="N/A",M739=0),0,M739*M$29)</f>
        <v>331340.01409395115</v>
      </c>
      <c r="N740" s="452">
        <f t="shared" si="309"/>
        <v>509944.57461334945</v>
      </c>
      <c r="O740" s="452">
        <f t="shared" si="309"/>
        <v>524155.47171472455</v>
      </c>
      <c r="P740" s="452">
        <f t="shared" si="309"/>
        <v>320892.41142959479</v>
      </c>
      <c r="Q740" s="452">
        <f t="shared" si="309"/>
        <v>104607.85508873957</v>
      </c>
      <c r="R740" s="452">
        <f t="shared" si="309"/>
        <v>0</v>
      </c>
      <c r="S740" s="452">
        <f t="shared" si="309"/>
        <v>0</v>
      </c>
      <c r="T740" s="452">
        <f t="shared" si="309"/>
        <v>0</v>
      </c>
      <c r="U740" s="452">
        <f t="shared" si="309"/>
        <v>0</v>
      </c>
    </row>
    <row r="741" spans="1:21" s="376" customFormat="1" ht="15" hidden="1" customHeight="1" outlineLevel="1" x14ac:dyDescent="0.25">
      <c r="A741" s="374"/>
      <c r="B741" s="376" t="s">
        <v>751</v>
      </c>
      <c r="C741" s="374"/>
      <c r="D741" s="455">
        <f>IFERROR(ROUND(IF(D740/D738=0,0,D740/D738),2),0)</f>
        <v>0</v>
      </c>
      <c r="J741" s="338"/>
      <c r="K741" s="468">
        <f>IFERROR(ROUND(IF(K740/K738=0,0,K740/K738),2),0)</f>
        <v>0</v>
      </c>
      <c r="L741" s="468">
        <f>IFERROR(ROUND(IF(L740/L738=0,0,L740/L738),2),0)</f>
        <v>0</v>
      </c>
      <c r="M741" s="468">
        <f t="shared" ref="M741:U741" si="310">IFERROR(ROUND(IF(M740/M738=0,0,M740/M738),2),0)</f>
        <v>0</v>
      </c>
      <c r="N741" s="468">
        <f t="shared" si="310"/>
        <v>0.01</v>
      </c>
      <c r="O741" s="468">
        <f t="shared" si="310"/>
        <v>0.01</v>
      </c>
      <c r="P741" s="468">
        <f t="shared" si="310"/>
        <v>0</v>
      </c>
      <c r="Q741" s="468">
        <f t="shared" si="310"/>
        <v>0</v>
      </c>
      <c r="R741" s="468">
        <f t="shared" si="310"/>
        <v>0</v>
      </c>
      <c r="S741" s="468">
        <f t="shared" si="310"/>
        <v>0</v>
      </c>
      <c r="T741" s="468">
        <f t="shared" si="310"/>
        <v>0</v>
      </c>
      <c r="U741" s="468">
        <f t="shared" si="310"/>
        <v>0</v>
      </c>
    </row>
    <row r="742" spans="1:21" s="326" customFormat="1" ht="12" hidden="1" customHeight="1" outlineLevel="1" x14ac:dyDescent="0.25">
      <c r="A742" s="316"/>
      <c r="C742" s="316"/>
      <c r="D742" s="316"/>
      <c r="J742" s="338"/>
      <c r="K742" s="379"/>
      <c r="L742" s="379"/>
      <c r="M742" s="379"/>
      <c r="N742" s="379"/>
      <c r="O742" s="405"/>
      <c r="P742" s="379"/>
      <c r="Q742" s="379"/>
      <c r="R742" s="379"/>
      <c r="S742" s="379"/>
      <c r="T742" s="379"/>
      <c r="U742" s="379"/>
    </row>
    <row r="743" spans="1:21" s="326" customFormat="1" ht="12" hidden="1" customHeight="1" outlineLevel="1" x14ac:dyDescent="0.25">
      <c r="A743" s="380" t="s">
        <v>193</v>
      </c>
      <c r="B743" s="358" t="s">
        <v>196</v>
      </c>
      <c r="C743" s="316"/>
      <c r="D743" s="316"/>
      <c r="J743" s="338"/>
      <c r="K743" s="442">
        <f>IF(SUM(K744:K745)=0,0,SUM(K744:K745))</f>
        <v>0</v>
      </c>
      <c r="L743" s="442">
        <f>IF(SUM(L744:L745)=0,0,SUM(L744:L745))</f>
        <v>0</v>
      </c>
      <c r="M743" s="442">
        <f t="shared" ref="M743:U743" si="311">IF(SUM(M744:M745)=0,0,SUM(M744:M745))</f>
        <v>4</v>
      </c>
      <c r="N743" s="442">
        <f t="shared" si="311"/>
        <v>2</v>
      </c>
      <c r="O743" s="442">
        <f t="shared" si="311"/>
        <v>1</v>
      </c>
      <c r="P743" s="442">
        <f t="shared" si="311"/>
        <v>2</v>
      </c>
      <c r="Q743" s="442">
        <f>IF(SUM(Q744:Q745)=0,0,SUM(Q744:Q745))</f>
        <v>3</v>
      </c>
      <c r="R743" s="442">
        <f t="shared" si="311"/>
        <v>0</v>
      </c>
      <c r="S743" s="442">
        <f t="shared" si="311"/>
        <v>0</v>
      </c>
      <c r="T743" s="442">
        <f t="shared" si="311"/>
        <v>0</v>
      </c>
      <c r="U743" s="442">
        <f t="shared" si="311"/>
        <v>0</v>
      </c>
    </row>
    <row r="744" spans="1:21" s="307" customFormat="1" ht="24.95" hidden="1" customHeight="1" outlineLevel="1" x14ac:dyDescent="0.25">
      <c r="A744" s="446" t="str">
        <f>VLOOKUP(B744,'C UNIT PROG TÉCNICOS'!$B$8:$H$108,7,FALSE)</f>
        <v>CAPEX</v>
      </c>
      <c r="B744" s="367" t="s">
        <v>61</v>
      </c>
      <c r="C744" s="304" t="s">
        <v>20</v>
      </c>
      <c r="D744" s="304" t="s">
        <v>19</v>
      </c>
      <c r="I744" s="369"/>
      <c r="J744" s="338"/>
      <c r="K744" s="456">
        <v>0</v>
      </c>
      <c r="L744" s="456">
        <f>IFERROR(ROUND(L733*1,0),0)</f>
        <v>0</v>
      </c>
      <c r="M744" s="456">
        <f t="shared" ref="M744:U744" si="312">IFERROR(ROUND(M733*1,0),0)</f>
        <v>4</v>
      </c>
      <c r="N744" s="456">
        <f t="shared" si="312"/>
        <v>2</v>
      </c>
      <c r="O744" s="456">
        <f t="shared" si="312"/>
        <v>1</v>
      </c>
      <c r="P744" s="456">
        <f t="shared" si="312"/>
        <v>2</v>
      </c>
      <c r="Q744" s="456">
        <f t="shared" si="312"/>
        <v>3</v>
      </c>
      <c r="R744" s="456">
        <f t="shared" si="312"/>
        <v>0</v>
      </c>
      <c r="S744" s="456">
        <f t="shared" si="312"/>
        <v>0</v>
      </c>
      <c r="T744" s="456">
        <f t="shared" si="312"/>
        <v>0</v>
      </c>
      <c r="U744" s="456">
        <f t="shared" si="312"/>
        <v>0</v>
      </c>
    </row>
    <row r="745" spans="1:21" s="307" customFormat="1" ht="24.95" hidden="1" customHeight="1" outlineLevel="1" x14ac:dyDescent="0.25">
      <c r="A745" s="446" t="str">
        <f>VLOOKUP(B745,'C UNIT PROG TÉCNICOS'!$B$8:$H$108,7,FALSE)</f>
        <v>OPEX</v>
      </c>
      <c r="B745" s="367" t="s">
        <v>60</v>
      </c>
      <c r="C745" s="304" t="s">
        <v>20</v>
      </c>
      <c r="D745" s="304" t="s">
        <v>19</v>
      </c>
      <c r="I745" s="369"/>
      <c r="J745" s="338"/>
      <c r="K745" s="456">
        <f>IFERROR(ROUND(K733*0.5,0),0)</f>
        <v>0</v>
      </c>
      <c r="L745" s="456">
        <f>IFERROR(ROUNDDOWN(L733*0,0),0)</f>
        <v>0</v>
      </c>
      <c r="M745" s="456">
        <f t="shared" ref="M745:U745" si="313">IFERROR(ROUNDDOWN(M733*0,0),0)</f>
        <v>0</v>
      </c>
      <c r="N745" s="456">
        <f t="shared" si="313"/>
        <v>0</v>
      </c>
      <c r="O745" s="456">
        <f t="shared" si="313"/>
        <v>0</v>
      </c>
      <c r="P745" s="456">
        <f t="shared" si="313"/>
        <v>0</v>
      </c>
      <c r="Q745" s="456">
        <f t="shared" si="313"/>
        <v>0</v>
      </c>
      <c r="R745" s="456">
        <f t="shared" si="313"/>
        <v>0</v>
      </c>
      <c r="S745" s="456">
        <f t="shared" si="313"/>
        <v>0</v>
      </c>
      <c r="T745" s="456">
        <f t="shared" si="313"/>
        <v>0</v>
      </c>
      <c r="U745" s="456">
        <f t="shared" si="313"/>
        <v>0</v>
      </c>
    </row>
    <row r="746" spans="1:21" s="307" customFormat="1" ht="12" hidden="1" customHeight="1" outlineLevel="1" x14ac:dyDescent="0.25">
      <c r="A746" s="316"/>
      <c r="B746" s="307" t="s">
        <v>742</v>
      </c>
      <c r="D746" s="447" t="str">
        <f>IF(AND(A744="CAPEX",A745="CAPEX"),"Inversión",IF(AND(A744="OPEX",A745="OPEX"),"Operación","I/O"))</f>
        <v>I/O</v>
      </c>
      <c r="I746" s="370"/>
      <c r="J746" s="338"/>
      <c r="K746" s="371" t="s">
        <v>149</v>
      </c>
      <c r="L746" s="371" t="s">
        <v>8</v>
      </c>
      <c r="M746" s="371" t="s">
        <v>8</v>
      </c>
      <c r="N746" s="371" t="s">
        <v>8</v>
      </c>
      <c r="O746" s="371" t="s">
        <v>8</v>
      </c>
      <c r="P746" s="371" t="s">
        <v>8</v>
      </c>
      <c r="Q746" s="371" t="s">
        <v>8</v>
      </c>
      <c r="R746" s="371" t="s">
        <v>149</v>
      </c>
      <c r="S746" s="371" t="s">
        <v>149</v>
      </c>
      <c r="T746" s="371" t="s">
        <v>149</v>
      </c>
      <c r="U746" s="371" t="s">
        <v>149</v>
      </c>
    </row>
    <row r="747" spans="1:21" s="307" customFormat="1" ht="12" hidden="1" customHeight="1" outlineLevel="1" x14ac:dyDescent="0.25">
      <c r="A747" s="316"/>
      <c r="B747" s="307" t="s">
        <v>762</v>
      </c>
      <c r="C747" s="304"/>
      <c r="D747" s="304"/>
      <c r="J747" s="338"/>
      <c r="K747" s="448">
        <f>IF(K746="N/A",0,IF(K746="SI",0,IF(OR($D746="I/O",$D746="Inversión"),0,SUM(VLOOKUP($B744,'C UNIT PROG TÉCNICOS'!$B$8:$G$160,6,FALSE)*'EV PROG TÉCNICOS'!K744,VLOOKUP($B745,'C UNIT PROG TÉCNICOS'!$B$8:$G$160,6,FALSE)*'EV PROG TÉCNICOS'!K745))))</f>
        <v>0</v>
      </c>
      <c r="L747" s="448">
        <f>IF(L746="N/A",0,IF(L746="SI",0,IF(OR($D746="I/O",$D746="Inversión"),0,SUM(VLOOKUP($B744,'C UNIT PROG TÉCNICOS'!$B$8:$G$160,6,FALSE)*'EV PROG TÉCNICOS'!L744,VLOOKUP($B745,'C UNIT PROG TÉCNICOS'!$B$8:$G$160,6,FALSE)*'EV PROG TÉCNICOS'!L745))))</f>
        <v>0</v>
      </c>
      <c r="M747" s="448">
        <f>IF(M746="N/A",0,IF(M746="SI",0,IF(OR($D746="I/O",$D746="Inversión"),0,SUM(VLOOKUP($B744,'C UNIT PROG TÉCNICOS'!$B$8:$G$160,6,FALSE)*'EV PROG TÉCNICOS'!M744,VLOOKUP($B745,'C UNIT PROG TÉCNICOS'!$B$8:$G$160,6,FALSE)*'EV PROG TÉCNICOS'!M745))))</f>
        <v>0</v>
      </c>
      <c r="N747" s="448">
        <f>IF(N746="N/A",0,IF(N746="SI",0,IF(OR($D746="I/O",$D746="Inversión"),0,SUM(VLOOKUP($B744,'C UNIT PROG TÉCNICOS'!$B$8:$G$160,6,FALSE)*'EV PROG TÉCNICOS'!N744,VLOOKUP($B745,'C UNIT PROG TÉCNICOS'!$B$8:$G$160,6,FALSE)*'EV PROG TÉCNICOS'!N745))))</f>
        <v>0</v>
      </c>
      <c r="O747" s="448">
        <f>IF(O746="N/A",0,IF(O746="SI",0,IF(OR($D746="I/O",$D746="Inversión"),0,SUM(VLOOKUP($B744,'C UNIT PROG TÉCNICOS'!$B$8:$G$160,6,FALSE)*'EV PROG TÉCNICOS'!O744,VLOOKUP($B745,'C UNIT PROG TÉCNICOS'!$B$8:$G$160,6,FALSE)*'EV PROG TÉCNICOS'!O745))))</f>
        <v>0</v>
      </c>
      <c r="P747" s="448">
        <f>IF(P746="N/A",0,IF(P746="SI",0,IF(OR($D746="I/O",$D746="Inversión"),0,SUM(VLOOKUP($B744,'C UNIT PROG TÉCNICOS'!$B$8:$G$160,6,FALSE)*'EV PROG TÉCNICOS'!P744,VLOOKUP($B745,'C UNIT PROG TÉCNICOS'!$B$8:$G$160,6,FALSE)*'EV PROG TÉCNICOS'!P745))))</f>
        <v>0</v>
      </c>
      <c r="Q747" s="448">
        <f>IF(Q746="N/A",0,IF(Q746="SI",0,IF(OR($D746="I/O",$D746="Inversión"),0,SUM(VLOOKUP($B744,'C UNIT PROG TÉCNICOS'!$B$8:$G$160,6,FALSE)*'EV PROG TÉCNICOS'!Q744,VLOOKUP($B745,'C UNIT PROG TÉCNICOS'!$B$8:$G$160,6,FALSE)*'EV PROG TÉCNICOS'!Q745))))</f>
        <v>0</v>
      </c>
      <c r="R747" s="448">
        <f>IF(R746="N/A",0,IF(R746="SI",0,IF(OR($D746="I/O",$D746="Inversión"),0,SUM(VLOOKUP($B744,'C UNIT PROG TÉCNICOS'!$B$8:$G$160,6,FALSE)*'EV PROG TÉCNICOS'!R744,VLOOKUP($B745,'C UNIT PROG TÉCNICOS'!$B$8:$G$160,6,FALSE)*'EV PROG TÉCNICOS'!R745))))</f>
        <v>0</v>
      </c>
      <c r="S747" s="448">
        <f>IF(S746="N/A",0,IF(S746="SI",0,IF(OR($D746="I/O",$D746="Inversión"),0,SUM(VLOOKUP($B744,'C UNIT PROG TÉCNICOS'!$B$8:$G$160,6,FALSE)*'EV PROG TÉCNICOS'!S744,VLOOKUP($B745,'C UNIT PROG TÉCNICOS'!$B$8:$G$160,6,FALSE)*'EV PROG TÉCNICOS'!S745))))</f>
        <v>0</v>
      </c>
      <c r="T747" s="448">
        <f>IF(T746="N/A",0,IF(T746="SI",0,IF(OR($D746="I/O",$D746="Inversión"),0,SUM(VLOOKUP($B744,'C UNIT PROG TÉCNICOS'!$B$8:$G$160,6,FALSE)*'EV PROG TÉCNICOS'!T744,VLOOKUP($B745,'C UNIT PROG TÉCNICOS'!$B$8:$G$160,6,FALSE)*'EV PROG TÉCNICOS'!T745))))</f>
        <v>0</v>
      </c>
      <c r="U747" s="448">
        <f>IF(U746="N/A",0,IF(U746="SI",0,IF(OR($D746="I/O",$D746="Inversión"),0,SUM(VLOOKUP($B744,'C UNIT PROG TÉCNICOS'!$B$8:$G$160,6,FALSE)*'EV PROG TÉCNICOS'!U744,VLOOKUP($B745,'C UNIT PROG TÉCNICOS'!$B$8:$G$160,6,FALSE)*'EV PROG TÉCNICOS'!U745))))</f>
        <v>0</v>
      </c>
    </row>
    <row r="748" spans="1:21" s="307" customFormat="1" ht="12" hidden="1" customHeight="1" outlineLevel="1" x14ac:dyDescent="0.25">
      <c r="A748" s="316"/>
      <c r="B748" s="307" t="s">
        <v>763</v>
      </c>
      <c r="C748" s="304" t="s">
        <v>6</v>
      </c>
      <c r="D748" s="304"/>
      <c r="J748" s="338"/>
      <c r="K748" s="450">
        <f>IF(K746="N/A",0,IF(K746="SI",0,K$21*K747))</f>
        <v>0</v>
      </c>
      <c r="L748" s="450">
        <f>IF(L746="N/A",0,IF(L746="SI",0,L$21*L747))</f>
        <v>0</v>
      </c>
      <c r="M748" s="450">
        <f t="shared" ref="M748:U748" si="314">IF(M746="N/A",0,IF(M746="SI",0,M$21*M747))</f>
        <v>0</v>
      </c>
      <c r="N748" s="450">
        <f t="shared" si="314"/>
        <v>0</v>
      </c>
      <c r="O748" s="450">
        <f t="shared" si="314"/>
        <v>0</v>
      </c>
      <c r="P748" s="450">
        <f t="shared" si="314"/>
        <v>0</v>
      </c>
      <c r="Q748" s="450">
        <f t="shared" si="314"/>
        <v>0</v>
      </c>
      <c r="R748" s="450">
        <f t="shared" si="314"/>
        <v>0</v>
      </c>
      <c r="S748" s="450">
        <f t="shared" si="314"/>
        <v>0</v>
      </c>
      <c r="T748" s="450">
        <f t="shared" si="314"/>
        <v>0</v>
      </c>
      <c r="U748" s="450">
        <f t="shared" si="314"/>
        <v>0</v>
      </c>
    </row>
    <row r="749" spans="1:21" s="307" customFormat="1" ht="12" hidden="1" customHeight="1" outlineLevel="1" x14ac:dyDescent="0.25">
      <c r="A749" s="316"/>
      <c r="B749" s="307" t="s">
        <v>764</v>
      </c>
      <c r="C749" s="304" t="s">
        <v>6</v>
      </c>
      <c r="D749" s="304"/>
      <c r="J749" s="338"/>
      <c r="K749" s="450">
        <f>IF(K746="N/A",0,IF(K746="SI",0,IF(OR($D746="Inversión",$D746="I/O"),SUM(VLOOKUP($B744,'C UNIT PROG TÉCNICOS'!$B$8:$G$160,5,FALSE)*'EV PROG TÉCNICOS'!K744,VLOOKUP($B745,'C UNIT PROG TÉCNICOS'!$B$8:$G$160,5,FALSE)*'EV PROG TÉCNICOS'!K745))*((1+$D$24)^(K$3-$K$3))))</f>
        <v>0</v>
      </c>
      <c r="L749" s="450">
        <f>IF(L746="N/A",0,IF(L746="SI",0,IF(OR($D746="Inversión",$D746="I/O"),SUM(VLOOKUP($B744,'C UNIT PROG TÉCNICOS'!$B$8:$G$160,5,FALSE)*'EV PROG TÉCNICOS'!L744,VLOOKUP($B745,'C UNIT PROG TÉCNICOS'!$B$8:$G$160,5,FALSE)*'EV PROG TÉCNICOS'!L745))*((1+$D$24)^(L$3-$K$3))))</f>
        <v>0</v>
      </c>
      <c r="M749" s="450">
        <f>IF(M746="N/A",0,IF(M746="SI",0,IF(OR($D746="Inversión",$D746="I/O"),SUM(VLOOKUP($B744,'C UNIT PROG TÉCNICOS'!$B$8:$G$160,5,FALSE)*'EV PROG TÉCNICOS'!M744,VLOOKUP($B745,'C UNIT PROG TÉCNICOS'!$B$8:$G$160,5,FALSE)*'EV PROG TÉCNICOS'!M745))*((1+$D$24)^(M$3-$K$3))))</f>
        <v>34136933.665394522</v>
      </c>
      <c r="N749" s="450">
        <f>IF(N746="N/A",0,IF(N746="SI",0,IF(OR($D746="Inversión",$D746="I/O"),SUM(VLOOKUP($B744,'C UNIT PROG TÉCNICOS'!$B$8:$G$160,5,FALSE)*'EV PROG TÉCNICOS'!N744,VLOOKUP($B745,'C UNIT PROG TÉCNICOS'!$B$8:$G$160,5,FALSE)*'EV PROG TÉCNICOS'!N745))*((1+$D$24)^(N$3-$K$3))))</f>
        <v>17676033.588488594</v>
      </c>
      <c r="O749" s="450">
        <f>IF(O746="N/A",0,IF(O746="SI",0,IF(OR($D746="Inversión",$D746="I/O"),SUM(VLOOKUP($B744,'C UNIT PROG TÉCNICOS'!$B$8:$G$160,5,FALSE)*'EV PROG TÉCNICOS'!O744,VLOOKUP($B745,'C UNIT PROG TÉCNICOS'!$B$8:$G$160,5,FALSE)*'EV PROG TÉCNICOS'!O745))*((1+$D$24)^(O$3-$K$3))))</f>
        <v>9152613.6027298644</v>
      </c>
      <c r="P749" s="450">
        <f>IF(P746="N/A",0,IF(P746="SI",0,IF(OR($D746="Inversión",$D746="I/O"),SUM(VLOOKUP($B744,'C UNIT PROG TÉCNICOS'!$B$8:$G$160,5,FALSE)*'EV PROG TÉCNICOS'!P744,VLOOKUP($B745,'C UNIT PROG TÉCNICOS'!$B$8:$G$160,5,FALSE)*'EV PROG TÉCNICOS'!P745))*((1+$D$24)^(P$3-$K$3))))</f>
        <v>18956817.510333467</v>
      </c>
      <c r="Q749" s="450">
        <f>IF(Q746="N/A",0,IF(Q746="SI",0,IF(OR($D746="Inversión",$D746="I/O"),SUM(VLOOKUP($B744,'C UNIT PROG TÉCNICOS'!$B$8:$G$160,5,FALSE)*'EV PROG TÉCNICOS'!Q744,VLOOKUP($B745,'C UNIT PROG TÉCNICOS'!$B$8:$G$160,5,FALSE)*'EV PROG TÉCNICOS'!Q745))*((1+$D$24)^(Q$3-$K$3))))</f>
        <v>29447402.598715261</v>
      </c>
      <c r="R749" s="450">
        <f>IF(R746="N/A",0,IF(R746="SI",0,IF(OR($D746="Inversión",$D746="I/O"),SUM(VLOOKUP($B744,'C UNIT PROG TÉCNICOS'!$B$8:$G$160,5,FALSE)*'EV PROG TÉCNICOS'!R744,VLOOKUP($B745,'C UNIT PROG TÉCNICOS'!$B$8:$G$160,5,FALSE)*'EV PROG TÉCNICOS'!R745))*((1+$D$24)^(R$3-$K$3))))</f>
        <v>0</v>
      </c>
      <c r="S749" s="450">
        <f>IF(S746="N/A",0,IF(S746="SI",0,IF(OR($D746="Inversión",$D746="I/O"),SUM(VLOOKUP($B744,'C UNIT PROG TÉCNICOS'!$B$8:$G$160,5,FALSE)*'EV PROG TÉCNICOS'!S744,VLOOKUP($B745,'C UNIT PROG TÉCNICOS'!$B$8:$G$160,5,FALSE)*'EV PROG TÉCNICOS'!S745))*((1+$D$24)^(S$3-$K$3))))</f>
        <v>0</v>
      </c>
      <c r="T749" s="450">
        <f>IF(T746="N/A",0,IF(T746="SI",0,IF(OR($D746="Inversión",$D746="I/O"),SUM(VLOOKUP($B744,'C UNIT PROG TÉCNICOS'!$B$8:$G$160,5,FALSE)*'EV PROG TÉCNICOS'!T744,VLOOKUP($B745,'C UNIT PROG TÉCNICOS'!$B$8:$G$160,5,FALSE)*'EV PROG TÉCNICOS'!T745))*((1+$D$24)^(T$3-$K$3))))</f>
        <v>0</v>
      </c>
      <c r="U749" s="450">
        <f>IF(U746="N/A",0,IF(U746="SI",0,IF(OR($D746="Inversión",$D746="I/O"),SUM(VLOOKUP($B744,'C UNIT PROG TÉCNICOS'!$B$8:$G$160,5,FALSE)*'EV PROG TÉCNICOS'!U744,VLOOKUP($B745,'C UNIT PROG TÉCNICOS'!$B$8:$G$160,5,FALSE)*'EV PROG TÉCNICOS'!U745))*((1+$D$24)^(U$3-$K$3))))</f>
        <v>0</v>
      </c>
    </row>
    <row r="750" spans="1:21" s="376" customFormat="1" ht="22.35" hidden="1" customHeight="1" outlineLevel="1" x14ac:dyDescent="0.25">
      <c r="A750" s="374"/>
      <c r="B750" s="454" t="str">
        <f>CONCATENATE("VNA  ",B743)</f>
        <v xml:space="preserve">VNA  Telemetría y/o almacenamiento local de datos de nivel </v>
      </c>
      <c r="C750" s="374" t="s">
        <v>6</v>
      </c>
      <c r="D750" s="453">
        <f>NPV($D$31,L750:U750)+K750</f>
        <v>62332915.435455441</v>
      </c>
      <c r="J750" s="338"/>
      <c r="K750" s="452">
        <f>IF(OR(K746="N/A",K747=0),0,IF($D746="Operación",K748,K749))</f>
        <v>0</v>
      </c>
      <c r="L750" s="452">
        <f>IF(L746="N/A",0,IF($D746="Operación",L748,L749))</f>
        <v>0</v>
      </c>
      <c r="M750" s="452">
        <f t="shared" ref="M750:U750" si="315">IF(M746="N/A",0,IF($D746="Operación",M748,M749))</f>
        <v>34136933.665394522</v>
      </c>
      <c r="N750" s="452">
        <f t="shared" si="315"/>
        <v>17676033.588488594</v>
      </c>
      <c r="O750" s="452">
        <f t="shared" si="315"/>
        <v>9152613.6027298644</v>
      </c>
      <c r="P750" s="452">
        <f t="shared" si="315"/>
        <v>18956817.510333467</v>
      </c>
      <c r="Q750" s="452">
        <f t="shared" si="315"/>
        <v>29447402.598715261</v>
      </c>
      <c r="R750" s="452">
        <f t="shared" si="315"/>
        <v>0</v>
      </c>
      <c r="S750" s="452">
        <f t="shared" si="315"/>
        <v>0</v>
      </c>
      <c r="T750" s="452">
        <f t="shared" si="315"/>
        <v>0</v>
      </c>
      <c r="U750" s="452">
        <f t="shared" si="315"/>
        <v>0</v>
      </c>
    </row>
    <row r="751" spans="1:21" s="376" customFormat="1" ht="26.45" hidden="1" customHeight="1" outlineLevel="1" x14ac:dyDescent="0.25">
      <c r="A751" s="374"/>
      <c r="B751" s="454" t="str">
        <f>CONCATENATE("Volumen de agua recuperado por ",B743)</f>
        <v xml:space="preserve">Volumen de agua recuperado por Telemetría y/o almacenamiento local de datos de nivel </v>
      </c>
      <c r="C751" s="374" t="s">
        <v>106</v>
      </c>
      <c r="D751" s="470">
        <f>SUM(L751:U751)</f>
        <v>0</v>
      </c>
      <c r="J751" s="338"/>
      <c r="K751" s="378"/>
      <c r="L751" s="378"/>
      <c r="M751" s="378"/>
      <c r="N751" s="378"/>
      <c r="O751" s="378"/>
      <c r="P751" s="378"/>
      <c r="Q751" s="378"/>
      <c r="R751" s="378"/>
      <c r="S751" s="378"/>
      <c r="T751" s="378"/>
      <c r="U751" s="378"/>
    </row>
    <row r="752" spans="1:21" s="376" customFormat="1" ht="15" hidden="1" customHeight="1" outlineLevel="1" x14ac:dyDescent="0.25">
      <c r="A752" s="374"/>
      <c r="B752" s="376" t="s">
        <v>750</v>
      </c>
      <c r="C752" s="374" t="s">
        <v>6</v>
      </c>
      <c r="D752" s="453">
        <f>NPV($D$31,L752:U752)+K752</f>
        <v>0</v>
      </c>
      <c r="J752" s="338"/>
      <c r="K752" s="452">
        <f>IF(OR(K746="N/A",K751=0),0,K751*K$29)</f>
        <v>0</v>
      </c>
      <c r="L752" s="452">
        <f>IF(OR(L746="N/A",L751=0),0,L751*L$29)</f>
        <v>0</v>
      </c>
      <c r="M752" s="452">
        <f t="shared" ref="M752:U752" si="316">IF(OR(M746="N/A",M751=0),0,M751*M$29)</f>
        <v>0</v>
      </c>
      <c r="N752" s="452">
        <f t="shared" si="316"/>
        <v>0</v>
      </c>
      <c r="O752" s="452">
        <f t="shared" si="316"/>
        <v>0</v>
      </c>
      <c r="P752" s="452">
        <f t="shared" si="316"/>
        <v>0</v>
      </c>
      <c r="Q752" s="452">
        <f t="shared" si="316"/>
        <v>0</v>
      </c>
      <c r="R752" s="452">
        <f t="shared" si="316"/>
        <v>0</v>
      </c>
      <c r="S752" s="452">
        <f t="shared" si="316"/>
        <v>0</v>
      </c>
      <c r="T752" s="452">
        <f t="shared" si="316"/>
        <v>0</v>
      </c>
      <c r="U752" s="452">
        <f t="shared" si="316"/>
        <v>0</v>
      </c>
    </row>
    <row r="753" spans="1:21" s="376" customFormat="1" ht="15" hidden="1" customHeight="1" outlineLevel="1" x14ac:dyDescent="0.25">
      <c r="A753" s="374"/>
      <c r="B753" s="376" t="s">
        <v>751</v>
      </c>
      <c r="C753" s="374"/>
      <c r="D753" s="455">
        <f>IFERROR(ROUND(IF(D752/D750=0,0,D752/D750),2),0)</f>
        <v>0</v>
      </c>
      <c r="J753" s="338"/>
      <c r="K753" s="455">
        <f>IFERROR(ROUND(IF(K752/K750=0,0,K752/K750),2),0)</f>
        <v>0</v>
      </c>
      <c r="L753" s="455">
        <f>IFERROR(ROUND(IF(L752/L750=0,0,L752/L750),2),0)</f>
        <v>0</v>
      </c>
      <c r="M753" s="455">
        <f t="shared" ref="M753:U753" si="317">IFERROR(ROUND(IF(M752/M750=0,0,M752/M750),2),0)</f>
        <v>0</v>
      </c>
      <c r="N753" s="455">
        <f t="shared" si="317"/>
        <v>0</v>
      </c>
      <c r="O753" s="455">
        <f t="shared" si="317"/>
        <v>0</v>
      </c>
      <c r="P753" s="455">
        <f t="shared" si="317"/>
        <v>0</v>
      </c>
      <c r="Q753" s="455">
        <f t="shared" si="317"/>
        <v>0</v>
      </c>
      <c r="R753" s="455">
        <f t="shared" si="317"/>
        <v>0</v>
      </c>
      <c r="S753" s="455">
        <f t="shared" si="317"/>
        <v>0</v>
      </c>
      <c r="T753" s="455">
        <f t="shared" si="317"/>
        <v>0</v>
      </c>
      <c r="U753" s="455">
        <f t="shared" si="317"/>
        <v>0</v>
      </c>
    </row>
    <row r="754" spans="1:21" s="307" customFormat="1" ht="12" hidden="1" customHeight="1" outlineLevel="1" x14ac:dyDescent="0.25">
      <c r="A754" s="304"/>
      <c r="J754" s="338"/>
    </row>
    <row r="755" spans="1:21" s="307" customFormat="1" ht="12" hidden="1" customHeight="1" outlineLevel="1" x14ac:dyDescent="0.25">
      <c r="A755" s="380" t="s">
        <v>200</v>
      </c>
      <c r="B755" s="358" t="s">
        <v>23</v>
      </c>
      <c r="J755" s="338"/>
      <c r="K755" s="365">
        <v>0</v>
      </c>
      <c r="L755" s="443">
        <f>IF(L757="N/A","",K755+1)</f>
        <v>1</v>
      </c>
      <c r="M755" s="443">
        <f>IF(M757="N/A","",L755+1)</f>
        <v>2</v>
      </c>
      <c r="N755" s="443">
        <f>IF(N757="N/A","",M755+1)</f>
        <v>3</v>
      </c>
      <c r="O755" s="443">
        <f>IF(O757="N/A","",N755+1)</f>
        <v>4</v>
      </c>
      <c r="P755" s="443">
        <f>IF(P757="N/A","",O755+1)</f>
        <v>5</v>
      </c>
      <c r="Q755" s="443">
        <f t="shared" ref="Q755:U755" si="318">IF(Q757="N/A","",P755+1)</f>
        <v>6</v>
      </c>
      <c r="R755" s="443">
        <f t="shared" si="318"/>
        <v>7</v>
      </c>
      <c r="S755" s="443">
        <f t="shared" si="318"/>
        <v>8</v>
      </c>
      <c r="T755" s="443">
        <f t="shared" si="318"/>
        <v>9</v>
      </c>
      <c r="U755" s="443">
        <f t="shared" si="318"/>
        <v>10</v>
      </c>
    </row>
    <row r="756" spans="1:21" s="307" customFormat="1" ht="24.95" hidden="1" customHeight="1" outlineLevel="1" x14ac:dyDescent="0.25">
      <c r="A756" s="446" t="str">
        <f>VLOOKUP(B756,'C UNIT PROG TÉCNICOS'!$B$8:$H$108,7,FALSE)</f>
        <v>OPEX</v>
      </c>
      <c r="B756" s="367" t="s">
        <v>62</v>
      </c>
      <c r="C756" s="304" t="s">
        <v>20</v>
      </c>
      <c r="D756" s="304" t="s">
        <v>19</v>
      </c>
      <c r="I756" s="369"/>
      <c r="J756" s="338"/>
      <c r="K756" s="442"/>
      <c r="L756" s="442">
        <f t="shared" ref="L756:U756" si="319">IF(OR(L730=TQTOTAL,L730=0),TQTOTAL,L730)</f>
        <v>32</v>
      </c>
      <c r="M756" s="442">
        <f t="shared" si="319"/>
        <v>36</v>
      </c>
      <c r="N756" s="442">
        <f t="shared" si="319"/>
        <v>38</v>
      </c>
      <c r="O756" s="442">
        <f t="shared" si="319"/>
        <v>39</v>
      </c>
      <c r="P756" s="442">
        <f t="shared" si="319"/>
        <v>41</v>
      </c>
      <c r="Q756" s="442">
        <f t="shared" si="319"/>
        <v>44</v>
      </c>
      <c r="R756" s="442">
        <f t="shared" si="319"/>
        <v>44</v>
      </c>
      <c r="S756" s="442">
        <f t="shared" si="319"/>
        <v>44</v>
      </c>
      <c r="T756" s="442">
        <f t="shared" si="319"/>
        <v>44</v>
      </c>
      <c r="U756" s="442">
        <f t="shared" si="319"/>
        <v>44</v>
      </c>
    </row>
    <row r="757" spans="1:21" s="307" customFormat="1" ht="12" hidden="1" customHeight="1" outlineLevel="1" x14ac:dyDescent="0.25">
      <c r="A757" s="316"/>
      <c r="B757" s="307" t="s">
        <v>742</v>
      </c>
      <c r="D757" s="447" t="str">
        <f>IF(A756="CAPEX","Inversión",IF(A756="OPEX","Operación","I/O"))</f>
        <v>Operación</v>
      </c>
      <c r="I757" s="370"/>
      <c r="J757" s="338"/>
      <c r="K757" s="371" t="s">
        <v>8</v>
      </c>
      <c r="L757" s="371" t="s">
        <v>8</v>
      </c>
      <c r="M757" s="371" t="s">
        <v>8</v>
      </c>
      <c r="N757" s="371" t="s">
        <v>8</v>
      </c>
      <c r="O757" s="371" t="s">
        <v>8</v>
      </c>
      <c r="P757" s="371" t="s">
        <v>8</v>
      </c>
      <c r="Q757" s="371" t="s">
        <v>8</v>
      </c>
      <c r="R757" s="371" t="s">
        <v>8</v>
      </c>
      <c r="S757" s="371" t="s">
        <v>8</v>
      </c>
      <c r="T757" s="371" t="s">
        <v>8</v>
      </c>
      <c r="U757" s="371" t="s">
        <v>8</v>
      </c>
    </row>
    <row r="758" spans="1:21" s="307" customFormat="1" ht="12" hidden="1" customHeight="1" outlineLevel="1" x14ac:dyDescent="0.25">
      <c r="A758" s="316"/>
      <c r="B758" s="307" t="s">
        <v>762</v>
      </c>
      <c r="C758" s="304"/>
      <c r="D758" s="304"/>
      <c r="J758" s="338"/>
      <c r="K758" s="448">
        <f>IF(K757="N/A",0,IF(K757="SI",0,SUM(IF($D757="Inversión",0,VLOOKUP($B756,'C UNIT PROG TÉCNICOS'!$B$8:$G$160,6,FALSE)*'EV PROG TÉCNICOS'!K756))))</f>
        <v>0</v>
      </c>
      <c r="L758" s="448">
        <f>IF(L757="N/A",0,IF(L757="SI",0,SUM(IF($D757="Inversión",0,VLOOKUP($B756,'C UNIT PROG TÉCNICOS'!$B$8:$G$160,6,FALSE)*'EV PROG TÉCNICOS'!L756))))</f>
        <v>12.544369911560022</v>
      </c>
      <c r="M758" s="448">
        <f>IF(M757="N/A",0,IF(M757="SI",0,SUM(IF($D757="Inversión",0,VLOOKUP($B756,'C UNIT PROG TÉCNICOS'!$B$8:$G$160,6,FALSE)*'EV PROG TÉCNICOS'!M756))))</f>
        <v>14.112416150505025</v>
      </c>
      <c r="N758" s="448">
        <f>IF(N757="N/A",0,IF(N757="SI",0,SUM(IF($D757="Inversión",0,VLOOKUP($B756,'C UNIT PROG TÉCNICOS'!$B$8:$G$160,6,FALSE)*'EV PROG TÉCNICOS'!N756))))</f>
        <v>14.896439269977526</v>
      </c>
      <c r="O758" s="448">
        <f>IF(O757="N/A",0,IF(O757="SI",0,SUM(IF($D757="Inversión",0,VLOOKUP($B756,'C UNIT PROG TÉCNICOS'!$B$8:$G$160,6,FALSE)*'EV PROG TÉCNICOS'!O756))))</f>
        <v>15.288450829713776</v>
      </c>
      <c r="P758" s="448">
        <f>IF(P757="N/A",0,IF(P757="SI",0,SUM(IF($D757="Inversión",0,VLOOKUP($B756,'C UNIT PROG TÉCNICOS'!$B$8:$G$160,6,FALSE)*'EV PROG TÉCNICOS'!P756))))</f>
        <v>16.072473949186278</v>
      </c>
      <c r="Q758" s="448">
        <f>IF(Q757="N/A",0,IF(Q757="SI",0,SUM(IF($D757="Inversión",0,VLOOKUP($B756,'C UNIT PROG TÉCNICOS'!$B$8:$G$160,6,FALSE)*'EV PROG TÉCNICOS'!Q756))))</f>
        <v>17.24850862839503</v>
      </c>
      <c r="R758" s="448">
        <f>IF(R757="N/A",0,IF(R757="SI",0,SUM(IF($D757="Inversión",0,VLOOKUP($B756,'C UNIT PROG TÉCNICOS'!$B$8:$G$160,6,FALSE)*'EV PROG TÉCNICOS'!R756))))</f>
        <v>17.24850862839503</v>
      </c>
      <c r="S758" s="448">
        <f>IF(S757="N/A",0,IF(S757="SI",0,SUM(IF($D757="Inversión",0,VLOOKUP($B756,'C UNIT PROG TÉCNICOS'!$B$8:$G$160,6,FALSE)*'EV PROG TÉCNICOS'!S756))))</f>
        <v>17.24850862839503</v>
      </c>
      <c r="T758" s="448">
        <f>IF(T757="N/A",0,IF(T757="SI",0,SUM(IF($D757="Inversión",0,VLOOKUP($B756,'C UNIT PROG TÉCNICOS'!$B$8:$G$160,6,FALSE)*'EV PROG TÉCNICOS'!T756))))</f>
        <v>17.24850862839503</v>
      </c>
      <c r="U758" s="448">
        <f>IF(U757="N/A",0,IF(U757="SI",0,SUM(IF($D757="Inversión",0,VLOOKUP($B756,'C UNIT PROG TÉCNICOS'!$B$8:$G$160,6,FALSE)*'EV PROG TÉCNICOS'!U756))))</f>
        <v>17.24850862839503</v>
      </c>
    </row>
    <row r="759" spans="1:21" s="307" customFormat="1" ht="12" hidden="1" customHeight="1" outlineLevel="1" x14ac:dyDescent="0.25">
      <c r="A759" s="316"/>
      <c r="B759" s="307" t="s">
        <v>763</v>
      </c>
      <c r="C759" s="304" t="s">
        <v>6</v>
      </c>
      <c r="D759" s="304"/>
      <c r="J759" s="338"/>
      <c r="K759" s="450">
        <f t="shared" ref="K759:P759" si="320">IF(K757="N/A",0,IF(K757="SI",0,K$21*K758))</f>
        <v>0</v>
      </c>
      <c r="L759" s="450">
        <f t="shared" si="320"/>
        <v>21964000</v>
      </c>
      <c r="M759" s="450">
        <f t="shared" si="320"/>
        <v>26112994.658100002</v>
      </c>
      <c r="N759" s="450">
        <f t="shared" si="320"/>
        <v>29129330.172752324</v>
      </c>
      <c r="O759" s="450">
        <f t="shared" si="320"/>
        <v>31593972.150717009</v>
      </c>
      <c r="P759" s="450">
        <f t="shared" si="320"/>
        <v>35100734.396241426</v>
      </c>
      <c r="Q759" s="450">
        <f t="shared" ref="Q759:U759" si="321">IF(Q757="N/A",0,IF(Q757="SI",0,Q$21*Q758))</f>
        <v>39808677.071981616</v>
      </c>
      <c r="R759" s="450">
        <f t="shared" si="321"/>
        <v>42069801.967934765</v>
      </c>
      <c r="S759" s="450">
        <f t="shared" si="321"/>
        <v>44459358.305753067</v>
      </c>
      <c r="T759" s="450">
        <f t="shared" si="321"/>
        <v>46984640.965648174</v>
      </c>
      <c r="U759" s="450">
        <f t="shared" si="321"/>
        <v>49653359.175568804</v>
      </c>
    </row>
    <row r="760" spans="1:21" s="307" customFormat="1" ht="12" hidden="1" customHeight="1" outlineLevel="1" x14ac:dyDescent="0.25">
      <c r="A760" s="316"/>
      <c r="B760" s="307" t="s">
        <v>764</v>
      </c>
      <c r="C760" s="304" t="s">
        <v>6</v>
      </c>
      <c r="D760" s="304"/>
      <c r="J760" s="338"/>
      <c r="K760" s="450">
        <f>IF(K757="N/A",0,IF(K757="SI",0,IF(OR($D757="Inversión",$D757="I/O"),SUM(VLOOKUP($B756,'C UNIT PROG TÉCNICOS'!$B$8:$G$160,5,FALSE)*'EV PROG TÉCNICOS'!K756),0)))</f>
        <v>0</v>
      </c>
      <c r="L760" s="450">
        <f>IF(L757="N/A",0,IF(L757="SI",0,IF(OR($D757="Inversión",$D757="I/O"),SUM(VLOOKUP($B756,'C UNIT PROG TÉCNICOS'!$B$8:$G$160,5,FALSE)*'EV PROG TÉCNICOS'!L756),0))*((1+$D$24)^(L$3-$K$3)))</f>
        <v>0</v>
      </c>
      <c r="M760" s="450">
        <f>IF(M757="N/A",0,IF(M757="SI",0,IF(OR($D757="Inversión",$D757="I/O"),SUM(VLOOKUP($B756,'C UNIT PROG TÉCNICOS'!$B$8:$G$160,5,FALSE)*'EV PROG TÉCNICOS'!M756),0))*((1+$D$24)^(M$3-$K$3)))</f>
        <v>0</v>
      </c>
      <c r="N760" s="450">
        <f>IF(N757="N/A",0,IF(N757="SI",0,IF(OR($D757="Inversión",$D757="I/O"),SUM(VLOOKUP($B756,'C UNIT PROG TÉCNICOS'!$B$8:$G$160,5,FALSE)*'EV PROG TÉCNICOS'!N756),0))*((1+$D$24)^(N$3-$K$3)))</f>
        <v>0</v>
      </c>
      <c r="O760" s="450">
        <f>IF(O757="N/A",0,IF(O757="SI",0,IF(OR($D757="Inversión",$D757="I/O"),SUM(VLOOKUP($B756,'C UNIT PROG TÉCNICOS'!$B$8:$G$160,5,FALSE)*'EV PROG TÉCNICOS'!O756),0))*((1+$D$24)^(O$3-$K$3)))</f>
        <v>0</v>
      </c>
      <c r="P760" s="450">
        <f>IF(P757="N/A",0,IF(P757="SI",0,IF(OR($D757="Inversión",$D757="I/O"),SUM(VLOOKUP($B756,'C UNIT PROG TÉCNICOS'!$B$8:$G$160,5,FALSE)*'EV PROG TÉCNICOS'!P756),0))*((1+$D$24)^(P$3-$K$3)))</f>
        <v>0</v>
      </c>
      <c r="Q760" s="450">
        <f>IF(Q757="N/A",0,IF(Q757="SI",0,IF(OR($D757="Inversión",$D757="I/O"),SUM(VLOOKUP($B756,'C UNIT PROG TÉCNICOS'!$B$8:$G$160,5,FALSE)*'EV PROG TÉCNICOS'!Q756),0))*((1+$D$24)^(Q$3-$K$3)))</f>
        <v>0</v>
      </c>
      <c r="R760" s="450">
        <f>IF(R757="N/A",0,IF(R757="SI",0,IF(OR($D757="Inversión",$D757="I/O"),SUM(VLOOKUP($B756,'C UNIT PROG TÉCNICOS'!$B$8:$G$160,5,FALSE)*'EV PROG TÉCNICOS'!R756),0))*((1+$D$24)^(R$3-$K$3)))</f>
        <v>0</v>
      </c>
      <c r="S760" s="450">
        <f>IF(S757="N/A",0,IF(S757="SI",0,IF(OR($D757="Inversión",$D757="I/O"),SUM(VLOOKUP($B756,'C UNIT PROG TÉCNICOS'!$B$8:$G$160,5,FALSE)*'EV PROG TÉCNICOS'!S756),0))*((1+$D$24)^(S$3-$K$3)))</f>
        <v>0</v>
      </c>
      <c r="T760" s="450">
        <f>IF(T757="N/A",0,IF(T757="SI",0,IF(OR($D757="Inversión",$D757="I/O"),SUM(VLOOKUP($B756,'C UNIT PROG TÉCNICOS'!$B$8:$G$160,5,FALSE)*'EV PROG TÉCNICOS'!T756),0))*((1+$D$24)^(T$3-$K$3)))</f>
        <v>0</v>
      </c>
      <c r="U760" s="450">
        <f>IF(U757="N/A",0,IF(U757="SI",0,IF(OR($D757="Inversión",$D757="I/O"),SUM(VLOOKUP($B756,'C UNIT PROG TÉCNICOS'!$B$8:$G$160,5,FALSE)*'EV PROG TÉCNICOS'!U756),0))*((1+$D$24)^(U$3-$K$3)))</f>
        <v>0</v>
      </c>
    </row>
    <row r="761" spans="1:21" s="376" customFormat="1" ht="25.35" hidden="1" customHeight="1" outlineLevel="1" x14ac:dyDescent="0.25">
      <c r="A761" s="374"/>
      <c r="B761" s="454" t="str">
        <f>CONCATENATE("VNA  ",B755)</f>
        <v>VNA  Procesamiento de datos</v>
      </c>
      <c r="C761" s="374" t="s">
        <v>6</v>
      </c>
      <c r="D761" s="453">
        <f>NPV($D$31,L761:U761)+K761</f>
        <v>157665031.2629151</v>
      </c>
      <c r="J761" s="338"/>
      <c r="K761" s="452">
        <f t="shared" ref="K761:P761" si="322">IF(K757="N/A",0,IF($D757="Operación",K759,K760))</f>
        <v>0</v>
      </c>
      <c r="L761" s="452">
        <f t="shared" si="322"/>
        <v>21964000</v>
      </c>
      <c r="M761" s="452">
        <f t="shared" si="322"/>
        <v>26112994.658100002</v>
      </c>
      <c r="N761" s="452">
        <f t="shared" si="322"/>
        <v>29129330.172752324</v>
      </c>
      <c r="O761" s="452">
        <f t="shared" si="322"/>
        <v>31593972.150717009</v>
      </c>
      <c r="P761" s="452">
        <f t="shared" si="322"/>
        <v>35100734.396241426</v>
      </c>
      <c r="Q761" s="452">
        <f t="shared" ref="Q761:U761" si="323">IF(Q757="N/A",0,IF($D757="Operación",Q759,Q760))</f>
        <v>39808677.071981616</v>
      </c>
      <c r="R761" s="452">
        <f t="shared" si="323"/>
        <v>42069801.967934765</v>
      </c>
      <c r="S761" s="452">
        <f t="shared" si="323"/>
        <v>44459358.305753067</v>
      </c>
      <c r="T761" s="452">
        <f t="shared" si="323"/>
        <v>46984640.965648174</v>
      </c>
      <c r="U761" s="452">
        <f t="shared" si="323"/>
        <v>49653359.175568804</v>
      </c>
    </row>
    <row r="762" spans="1:21" s="376" customFormat="1" ht="25.35" hidden="1" customHeight="1" outlineLevel="1" x14ac:dyDescent="0.25">
      <c r="A762" s="374"/>
      <c r="B762" s="454" t="str">
        <f>CONCATENATE("Volumen de agua recuperado por ",B755)</f>
        <v>Volumen de agua recuperado por Procesamiento de datos</v>
      </c>
      <c r="C762" s="374" t="s">
        <v>106</v>
      </c>
      <c r="D762" s="470">
        <f>SUM(L762:U762)</f>
        <v>0</v>
      </c>
      <c r="J762" s="338"/>
      <c r="K762" s="378"/>
      <c r="L762" s="378"/>
      <c r="M762" s="378"/>
      <c r="N762" s="378"/>
      <c r="O762" s="378"/>
      <c r="P762" s="378"/>
      <c r="Q762" s="378"/>
      <c r="R762" s="378"/>
      <c r="S762" s="378"/>
      <c r="T762" s="378"/>
      <c r="U762" s="378"/>
    </row>
    <row r="763" spans="1:21" s="376" customFormat="1" ht="15" hidden="1" customHeight="1" outlineLevel="1" x14ac:dyDescent="0.25">
      <c r="A763" s="374"/>
      <c r="B763" s="376" t="s">
        <v>750</v>
      </c>
      <c r="C763" s="374" t="s">
        <v>6</v>
      </c>
      <c r="D763" s="453">
        <f>NPV($D$31,L763:U763)+K763</f>
        <v>0</v>
      </c>
      <c r="J763" s="338"/>
      <c r="K763" s="452">
        <f t="shared" ref="K763:P763" si="324">IF(OR(K757="N/A",K762=0),0,K762*K$29)</f>
        <v>0</v>
      </c>
      <c r="L763" s="452">
        <f t="shared" si="324"/>
        <v>0</v>
      </c>
      <c r="M763" s="452">
        <f t="shared" si="324"/>
        <v>0</v>
      </c>
      <c r="N763" s="452">
        <f t="shared" si="324"/>
        <v>0</v>
      </c>
      <c r="O763" s="452">
        <f t="shared" si="324"/>
        <v>0</v>
      </c>
      <c r="P763" s="452">
        <f t="shared" si="324"/>
        <v>0</v>
      </c>
      <c r="Q763" s="452"/>
      <c r="R763" s="452"/>
      <c r="S763" s="452"/>
      <c r="T763" s="452"/>
      <c r="U763" s="452"/>
    </row>
    <row r="764" spans="1:21" s="376" customFormat="1" ht="15" hidden="1" customHeight="1" outlineLevel="1" x14ac:dyDescent="0.25">
      <c r="A764" s="374"/>
      <c r="B764" s="376" t="s">
        <v>751</v>
      </c>
      <c r="C764" s="374"/>
      <c r="D764" s="455">
        <f>IFERROR(ROUND(IF(D763/D761=0,0,D763/D761),2),0)</f>
        <v>0</v>
      </c>
      <c r="J764" s="338"/>
      <c r="K764" s="455">
        <f t="shared" ref="K764:P764" si="325">IFERROR(ROUND(IF(K763/K761=0,0,K763/K761),2),0)</f>
        <v>0</v>
      </c>
      <c r="L764" s="455">
        <f t="shared" si="325"/>
        <v>0</v>
      </c>
      <c r="M764" s="455">
        <f t="shared" si="325"/>
        <v>0</v>
      </c>
      <c r="N764" s="455">
        <f t="shared" si="325"/>
        <v>0</v>
      </c>
      <c r="O764" s="455">
        <f t="shared" si="325"/>
        <v>0</v>
      </c>
      <c r="P764" s="455">
        <f t="shared" si="325"/>
        <v>0</v>
      </c>
      <c r="Q764" s="455"/>
      <c r="R764" s="455"/>
      <c r="S764" s="455"/>
      <c r="T764" s="455"/>
      <c r="U764" s="455"/>
    </row>
    <row r="765" spans="1:21" s="307" customFormat="1" ht="12" hidden="1" customHeight="1" outlineLevel="1" x14ac:dyDescent="0.25">
      <c r="A765" s="304"/>
      <c r="J765" s="338"/>
    </row>
    <row r="766" spans="1:21" s="307" customFormat="1" ht="12" hidden="1" customHeight="1" outlineLevel="1" x14ac:dyDescent="0.25">
      <c r="A766" s="380" t="s">
        <v>194</v>
      </c>
      <c r="B766" s="358" t="s">
        <v>63</v>
      </c>
      <c r="J766" s="338"/>
      <c r="K766" s="365">
        <v>0</v>
      </c>
      <c r="L766" s="443">
        <f>IF(L768="N/A","",K766+1)</f>
        <v>1</v>
      </c>
      <c r="M766" s="443">
        <f>IF(M768="N/A","",L766+1)</f>
        <v>2</v>
      </c>
      <c r="N766" s="443">
        <f>IF(N768="N/A","",M766+1)</f>
        <v>3</v>
      </c>
      <c r="O766" s="443">
        <f>IF(O768="N/A","",N766+1)</f>
        <v>4</v>
      </c>
      <c r="P766" s="443">
        <f>IF(P768="N/A","",O766+1)</f>
        <v>5</v>
      </c>
      <c r="Q766" s="443">
        <f t="shared" ref="Q766:U766" si="326">IF(Q768="N/A","",P766+1)</f>
        <v>6</v>
      </c>
      <c r="R766" s="443">
        <f t="shared" si="326"/>
        <v>7</v>
      </c>
      <c r="S766" s="443">
        <f t="shared" si="326"/>
        <v>8</v>
      </c>
      <c r="T766" s="443">
        <f t="shared" si="326"/>
        <v>9</v>
      </c>
      <c r="U766" s="443">
        <f t="shared" si="326"/>
        <v>10</v>
      </c>
    </row>
    <row r="767" spans="1:21" s="307" customFormat="1" ht="24.95" hidden="1" customHeight="1" outlineLevel="1" x14ac:dyDescent="0.25">
      <c r="A767" s="446" t="str">
        <f>VLOOKUP(B767,'C UNIT PROG TÉCNICOS'!$B$8:$H$108,7,FALSE)</f>
        <v>OPEX</v>
      </c>
      <c r="B767" s="367" t="s">
        <v>63</v>
      </c>
      <c r="C767" s="304" t="s">
        <v>20</v>
      </c>
      <c r="D767" s="304"/>
      <c r="I767" s="369"/>
      <c r="J767" s="338"/>
      <c r="K767" s="442"/>
      <c r="L767" s="442">
        <f t="shared" ref="L767:U767" si="327">IF(OR(L730=TQTOTAL,L730=0),TQTOTAL,L730)</f>
        <v>32</v>
      </c>
      <c r="M767" s="442">
        <f t="shared" si="327"/>
        <v>36</v>
      </c>
      <c r="N767" s="442">
        <f t="shared" si="327"/>
        <v>38</v>
      </c>
      <c r="O767" s="442">
        <f t="shared" si="327"/>
        <v>39</v>
      </c>
      <c r="P767" s="442">
        <f t="shared" si="327"/>
        <v>41</v>
      </c>
      <c r="Q767" s="442">
        <f t="shared" si="327"/>
        <v>44</v>
      </c>
      <c r="R767" s="442">
        <f t="shared" si="327"/>
        <v>44</v>
      </c>
      <c r="S767" s="442">
        <f t="shared" si="327"/>
        <v>44</v>
      </c>
      <c r="T767" s="442">
        <f t="shared" si="327"/>
        <v>44</v>
      </c>
      <c r="U767" s="442">
        <f t="shared" si="327"/>
        <v>44</v>
      </c>
    </row>
    <row r="768" spans="1:21" s="307" customFormat="1" ht="12" hidden="1" customHeight="1" outlineLevel="1" x14ac:dyDescent="0.25">
      <c r="A768" s="316"/>
      <c r="B768" s="307" t="s">
        <v>742</v>
      </c>
      <c r="D768" s="447" t="str">
        <f>IF(A767="CAPEX","Inversión",IF(A767="OPEX","Operación","I/O"))</f>
        <v>Operación</v>
      </c>
      <c r="I768" s="370"/>
      <c r="J768" s="338"/>
      <c r="K768" s="371" t="s">
        <v>8</v>
      </c>
      <c r="L768" s="371" t="s">
        <v>8</v>
      </c>
      <c r="M768" s="371" t="s">
        <v>8</v>
      </c>
      <c r="N768" s="371" t="s">
        <v>8</v>
      </c>
      <c r="O768" s="371" t="s">
        <v>8</v>
      </c>
      <c r="P768" s="371" t="s">
        <v>8</v>
      </c>
      <c r="Q768" s="371" t="s">
        <v>8</v>
      </c>
      <c r="R768" s="371" t="s">
        <v>8</v>
      </c>
      <c r="S768" s="371" t="s">
        <v>8</v>
      </c>
      <c r="T768" s="371" t="s">
        <v>8</v>
      </c>
      <c r="U768" s="371" t="s">
        <v>8</v>
      </c>
    </row>
    <row r="769" spans="1:21" s="307" customFormat="1" ht="12" hidden="1" customHeight="1" outlineLevel="1" x14ac:dyDescent="0.25">
      <c r="A769" s="316"/>
      <c r="B769" s="307" t="s">
        <v>762</v>
      </c>
      <c r="C769" s="304"/>
      <c r="D769" s="304"/>
      <c r="J769" s="338"/>
      <c r="K769" s="448">
        <f>IF(K768="N/A",0,IF(K768="SI",0,SUM(IF($D768="Inversión",0,VLOOKUP($B767,'C UNIT PROG TÉCNICOS'!$B$8:$G$160,6,FALSE)*'EV PROG TÉCNICOS'!K767))))</f>
        <v>0</v>
      </c>
      <c r="L769" s="448">
        <f>IF(L768="N/A",0,IF(L768="SI",0,SUM(IF($D768="Inversión",0,VLOOKUP($B767,'C UNIT PROG TÉCNICOS'!$B$8:$G$160,6,FALSE)*'EV PROG TÉCNICOS'!L767))))</f>
        <v>14.85631716169638</v>
      </c>
      <c r="M769" s="448">
        <f>IF(M768="N/A",0,IF(M768="SI",0,SUM(IF($D768="Inversión",0,VLOOKUP($B767,'C UNIT PROG TÉCNICOS'!$B$8:$G$160,6,FALSE)*'EV PROG TÉCNICOS'!M767))))</f>
        <v>16.713356806908426</v>
      </c>
      <c r="N769" s="448">
        <f>IF(N768="N/A",0,IF(N768="SI",0,SUM(IF($D768="Inversión",0,VLOOKUP($B767,'C UNIT PROG TÉCNICOS'!$B$8:$G$160,6,FALSE)*'EV PROG TÉCNICOS'!N767))))</f>
        <v>17.641876629514449</v>
      </c>
      <c r="O769" s="448">
        <f>IF(O768="N/A",0,IF(O768="SI",0,SUM(IF($D768="Inversión",0,VLOOKUP($B767,'C UNIT PROG TÉCNICOS'!$B$8:$G$160,6,FALSE)*'EV PROG TÉCNICOS'!O767))))</f>
        <v>18.106136540817463</v>
      </c>
      <c r="P769" s="448">
        <f>IF(P768="N/A",0,IF(P768="SI",0,SUM(IF($D768="Inversión",0,VLOOKUP($B767,'C UNIT PROG TÉCNICOS'!$B$8:$G$160,6,FALSE)*'EV PROG TÉCNICOS'!P767))))</f>
        <v>19.034656363423487</v>
      </c>
      <c r="Q769" s="448">
        <f>IF(Q768="N/A",0,IF(Q768="SI",0,SUM(IF($D768="Inversión",0,VLOOKUP($B767,'C UNIT PROG TÉCNICOS'!$B$8:$G$160,6,FALSE)*'EV PROG TÉCNICOS'!Q767))))</f>
        <v>20.427436097332521</v>
      </c>
      <c r="R769" s="448">
        <f>IF(R768="N/A",0,IF(R768="SI",0,SUM(IF($D768="Inversión",0,VLOOKUP($B767,'C UNIT PROG TÉCNICOS'!$B$8:$G$160,6,FALSE)*'EV PROG TÉCNICOS'!R767))))</f>
        <v>20.427436097332521</v>
      </c>
      <c r="S769" s="448">
        <f>IF(S768="N/A",0,IF(S768="SI",0,SUM(IF($D768="Inversión",0,VLOOKUP($B767,'C UNIT PROG TÉCNICOS'!$B$8:$G$160,6,FALSE)*'EV PROG TÉCNICOS'!S767))))</f>
        <v>20.427436097332521</v>
      </c>
      <c r="T769" s="448">
        <f>IF(T768="N/A",0,IF(T768="SI",0,SUM(IF($D768="Inversión",0,VLOOKUP($B767,'C UNIT PROG TÉCNICOS'!$B$8:$G$160,6,FALSE)*'EV PROG TÉCNICOS'!T767))))</f>
        <v>20.427436097332521</v>
      </c>
      <c r="U769" s="448">
        <f>IF(U768="N/A",0,IF(U768="SI",0,SUM(IF($D768="Inversión",0,VLOOKUP($B767,'C UNIT PROG TÉCNICOS'!$B$8:$G$160,6,FALSE)*'EV PROG TÉCNICOS'!U767))))</f>
        <v>20.427436097332521</v>
      </c>
    </row>
    <row r="770" spans="1:21" s="307" customFormat="1" ht="12" hidden="1" customHeight="1" outlineLevel="1" x14ac:dyDescent="0.25">
      <c r="A770" s="316"/>
      <c r="B770" s="307" t="s">
        <v>763</v>
      </c>
      <c r="C770" s="304" t="s">
        <v>6</v>
      </c>
      <c r="D770" s="304"/>
      <c r="J770" s="338"/>
      <c r="K770" s="450">
        <f>IF(K768="N/A",0,IF(K768="SI",0,K$21*K769))</f>
        <v>0</v>
      </c>
      <c r="L770" s="450">
        <f>IF(L768="N/A",0,IF(L768="SI",0,L$21*L769))</f>
        <v>26012000</v>
      </c>
      <c r="M770" s="450">
        <f t="shared" ref="M770:P770" si="328">IF(M768="N/A",0,IF(M768="SI",0,M$21*M769))</f>
        <v>30925660.947299998</v>
      </c>
      <c r="N770" s="450">
        <f t="shared" si="328"/>
        <v>34497911.876417473</v>
      </c>
      <c r="O770" s="450">
        <f t="shared" si="328"/>
        <v>37416791.275926553</v>
      </c>
      <c r="P770" s="450">
        <f t="shared" si="328"/>
        <v>41569855.359453283</v>
      </c>
      <c r="Q770" s="450">
        <f t="shared" ref="Q770:U770" si="329">IF(Q768="N/A",0,IF(Q768="SI",0,Q$21*Q769))</f>
        <v>47145479.329647869</v>
      </c>
      <c r="R770" s="450">
        <f t="shared" si="329"/>
        <v>49823333.126476005</v>
      </c>
      <c r="S770" s="450">
        <f t="shared" si="329"/>
        <v>52653288.483393215</v>
      </c>
      <c r="T770" s="450">
        <f t="shared" si="329"/>
        <v>55643984.73859226</v>
      </c>
      <c r="U770" s="450">
        <f t="shared" si="329"/>
        <v>58804551.942947358</v>
      </c>
    </row>
    <row r="771" spans="1:21" s="307" customFormat="1" ht="12" hidden="1" customHeight="1" outlineLevel="1" x14ac:dyDescent="0.25">
      <c r="A771" s="316"/>
      <c r="B771" s="307" t="s">
        <v>764</v>
      </c>
      <c r="C771" s="304" t="s">
        <v>6</v>
      </c>
      <c r="D771" s="304"/>
      <c r="J771" s="338"/>
      <c r="K771" s="450">
        <f>IF(K768="N/A",0,IF(K768="SI",0,IF(OR($D768="Inversión",$D768="I/O"),SUM(VLOOKUP($B767,'C UNIT PROG TÉCNICOS'!$B$8:$G$160,5,FALSE)*'EV PROG TÉCNICOS'!K767),0)))</f>
        <v>0</v>
      </c>
      <c r="L771" s="450">
        <f>IF(L768="N/A",0,IF(L768="SI",0,IF(OR($D768="Inversión",$D768="I/O"),SUM(VLOOKUP($B767,'C UNIT PROG TÉCNICOS'!$B$8:$G$160,5,FALSE)*'EV PROG TÉCNICOS'!L767),0))*((1+$D$24)^(L$3-$K$3)))</f>
        <v>0</v>
      </c>
      <c r="M771" s="450">
        <f>IF(M768="N/A",0,IF(M768="SI",0,IF(OR($D768="Inversión",$D768="I/O"),SUM(VLOOKUP($B767,'C UNIT PROG TÉCNICOS'!$B$8:$G$160,5,FALSE)*'EV PROG TÉCNICOS'!M767),0))*((1+$D$24)^(M$3-$K$3)))</f>
        <v>0</v>
      </c>
      <c r="N771" s="450">
        <f>IF(N768="N/A",0,IF(N768="SI",0,IF(OR($D768="Inversión",$D768="I/O"),SUM(VLOOKUP($B767,'C UNIT PROG TÉCNICOS'!$B$8:$G$160,5,FALSE)*'EV PROG TÉCNICOS'!N767),0))*((1+$D$24)^(N$3-$K$3)))</f>
        <v>0</v>
      </c>
      <c r="O771" s="450">
        <f>IF(O768="N/A",0,IF(O768="SI",0,IF(OR($D768="Inversión",$D768="I/O"),SUM(VLOOKUP($B767,'C UNIT PROG TÉCNICOS'!$B$8:$G$160,5,FALSE)*'EV PROG TÉCNICOS'!O767),0))*((1+$D$24)^(O$3-$K$3)))</f>
        <v>0</v>
      </c>
      <c r="P771" s="450">
        <f>IF(P768="N/A",0,IF(P768="SI",0,IF(OR($D768="Inversión",$D768="I/O"),SUM(VLOOKUP($B767,'C UNIT PROG TÉCNICOS'!$B$8:$G$160,5,FALSE)*'EV PROG TÉCNICOS'!P767),0))*((1+$D$24)^(P$3-$K$3)))</f>
        <v>0</v>
      </c>
      <c r="Q771" s="450">
        <f>IF(Q768="N/A",0,IF(Q768="SI",0,IF(OR($D768="Inversión",$D768="I/O"),SUM(VLOOKUP($B767,'C UNIT PROG TÉCNICOS'!$B$8:$G$160,5,FALSE)*'EV PROG TÉCNICOS'!Q767),0))*((1+$D$24)^(Q$3-$K$3)))</f>
        <v>0</v>
      </c>
      <c r="R771" s="450">
        <f>IF(R768="N/A",0,IF(R768="SI",0,IF(OR($D768="Inversión",$D768="I/O"),SUM(VLOOKUP($B767,'C UNIT PROG TÉCNICOS'!$B$8:$G$160,5,FALSE)*'EV PROG TÉCNICOS'!R767),0))*((1+$D$24)^(R$3-$K$3)))</f>
        <v>0</v>
      </c>
      <c r="S771" s="450">
        <f>IF(S768="N/A",0,IF(S768="SI",0,IF(OR($D768="Inversión",$D768="I/O"),SUM(VLOOKUP($B767,'C UNIT PROG TÉCNICOS'!$B$8:$G$160,5,FALSE)*'EV PROG TÉCNICOS'!S767),0))*((1+$D$24)^(S$3-$K$3)))</f>
        <v>0</v>
      </c>
      <c r="T771" s="450">
        <f>IF(T768="N/A",0,IF(T768="SI",0,IF(OR($D768="Inversión",$D768="I/O"),SUM(VLOOKUP($B767,'C UNIT PROG TÉCNICOS'!$B$8:$G$160,5,FALSE)*'EV PROG TÉCNICOS'!T767),0))*((1+$D$24)^(T$3-$K$3)))</f>
        <v>0</v>
      </c>
      <c r="U771" s="450">
        <f>IF(U768="N/A",0,IF(U768="SI",0,IF(OR($D768="Inversión",$D768="I/O"),SUM(VLOOKUP($B767,'C UNIT PROG TÉCNICOS'!$B$8:$G$160,5,FALSE)*'EV PROG TÉCNICOS'!U767),0))*((1+$D$24)^(U$3-$K$3)))</f>
        <v>0</v>
      </c>
    </row>
    <row r="772" spans="1:21" s="376" customFormat="1" ht="15" hidden="1" customHeight="1" outlineLevel="1" x14ac:dyDescent="0.25">
      <c r="A772" s="374"/>
      <c r="B772" s="454" t="str">
        <f>CONCATENATE("VNA  ",B766)</f>
        <v>VNA  Análisis de datos</v>
      </c>
      <c r="C772" s="374" t="s">
        <v>6</v>
      </c>
      <c r="D772" s="453">
        <f>NPV($D$31,L772:U772)+K772</f>
        <v>186722946.33085722</v>
      </c>
      <c r="J772" s="338"/>
      <c r="K772" s="452">
        <f>IF(K768="N/A",0,IF($D768="Operación",K770,K771))</f>
        <v>0</v>
      </c>
      <c r="L772" s="452">
        <f>IF(L768="N/A",0,IF($D768="Operación",L770,L771))</f>
        <v>26012000</v>
      </c>
      <c r="M772" s="452">
        <f t="shared" ref="M772:P772" si="330">IF(M768="N/A",0,IF($D768="Operación",M770,M771))</f>
        <v>30925660.947299998</v>
      </c>
      <c r="N772" s="452">
        <f t="shared" si="330"/>
        <v>34497911.876417473</v>
      </c>
      <c r="O772" s="452">
        <f t="shared" si="330"/>
        <v>37416791.275926553</v>
      </c>
      <c r="P772" s="452">
        <f t="shared" si="330"/>
        <v>41569855.359453283</v>
      </c>
      <c r="Q772" s="452">
        <f t="shared" ref="Q772:U772" si="331">IF(Q768="N/A",0,IF($D768="Operación",Q770,Q771))</f>
        <v>47145479.329647869</v>
      </c>
      <c r="R772" s="452">
        <f t="shared" si="331"/>
        <v>49823333.126476005</v>
      </c>
      <c r="S772" s="452">
        <f t="shared" si="331"/>
        <v>52653288.483393215</v>
      </c>
      <c r="T772" s="452">
        <f t="shared" si="331"/>
        <v>55643984.73859226</v>
      </c>
      <c r="U772" s="452">
        <f t="shared" si="331"/>
        <v>58804551.942947358</v>
      </c>
    </row>
    <row r="773" spans="1:21" s="376" customFormat="1" ht="15" hidden="1" customHeight="1" outlineLevel="1" x14ac:dyDescent="0.25">
      <c r="A773" s="374"/>
      <c r="B773" s="454" t="str">
        <f>CONCATENATE("Volumen de agua recuperado por ",B766)</f>
        <v>Volumen de agua recuperado por Análisis de datos</v>
      </c>
      <c r="C773" s="374" t="s">
        <v>106</v>
      </c>
      <c r="D773" s="470">
        <f>SUM(L773:U773)</f>
        <v>0</v>
      </c>
      <c r="J773" s="338"/>
      <c r="K773" s="378"/>
      <c r="L773" s="378"/>
      <c r="M773" s="378"/>
      <c r="N773" s="378"/>
      <c r="O773" s="378"/>
      <c r="P773" s="378"/>
      <c r="Q773" s="378"/>
      <c r="R773" s="378"/>
      <c r="S773" s="378"/>
      <c r="T773" s="378"/>
      <c r="U773" s="378"/>
    </row>
    <row r="774" spans="1:21" s="376" customFormat="1" ht="15" hidden="1" customHeight="1" outlineLevel="1" x14ac:dyDescent="0.25">
      <c r="A774" s="374"/>
      <c r="B774" s="376" t="s">
        <v>750</v>
      </c>
      <c r="C774" s="374" t="s">
        <v>6</v>
      </c>
      <c r="D774" s="453">
        <f>NPV($D$31,L774:U774)+K774</f>
        <v>0</v>
      </c>
      <c r="J774" s="338"/>
      <c r="K774" s="452">
        <f>IF(OR(K768="N/A",K773=0),0,K773*K$29)</f>
        <v>0</v>
      </c>
      <c r="L774" s="452">
        <f>IF(OR(L768="N/A",L773=0),0,L773*L$29)</f>
        <v>0</v>
      </c>
      <c r="M774" s="452">
        <f t="shared" ref="M774:U774" si="332">IF(OR(M768="N/A",M773=0),0,M773*M$29)</f>
        <v>0</v>
      </c>
      <c r="N774" s="452">
        <f t="shared" si="332"/>
        <v>0</v>
      </c>
      <c r="O774" s="452">
        <f t="shared" si="332"/>
        <v>0</v>
      </c>
      <c r="P774" s="452">
        <f t="shared" si="332"/>
        <v>0</v>
      </c>
      <c r="Q774" s="452">
        <f t="shared" si="332"/>
        <v>0</v>
      </c>
      <c r="R774" s="452">
        <f t="shared" si="332"/>
        <v>0</v>
      </c>
      <c r="S774" s="452">
        <f t="shared" si="332"/>
        <v>0</v>
      </c>
      <c r="T774" s="452">
        <f t="shared" si="332"/>
        <v>0</v>
      </c>
      <c r="U774" s="452">
        <f t="shared" si="332"/>
        <v>0</v>
      </c>
    </row>
    <row r="775" spans="1:21" s="376" customFormat="1" ht="15" hidden="1" customHeight="1" outlineLevel="1" x14ac:dyDescent="0.25">
      <c r="A775" s="374"/>
      <c r="B775" s="376" t="s">
        <v>751</v>
      </c>
      <c r="C775" s="374"/>
      <c r="D775" s="455">
        <f>IFERROR(ROUND(IF(D774/D772=0,0,D774/D772),2),0)</f>
        <v>0</v>
      </c>
      <c r="J775" s="338"/>
      <c r="K775" s="455">
        <f>IFERROR(ROUND(IF(K774/K772=0,0,K774/K772),2),0)</f>
        <v>0</v>
      </c>
      <c r="L775" s="455">
        <f>IFERROR(ROUND(IF(L774/L772=0,0,L774/L772),2),0)</f>
        <v>0</v>
      </c>
      <c r="M775" s="455">
        <f t="shared" ref="M775:U775" si="333">IFERROR(ROUND(IF(M774/M772=0,0,M774/M772),2),0)</f>
        <v>0</v>
      </c>
      <c r="N775" s="455">
        <f t="shared" si="333"/>
        <v>0</v>
      </c>
      <c r="O775" s="455">
        <f t="shared" si="333"/>
        <v>0</v>
      </c>
      <c r="P775" s="455">
        <f t="shared" si="333"/>
        <v>0</v>
      </c>
      <c r="Q775" s="455">
        <f t="shared" si="333"/>
        <v>0</v>
      </c>
      <c r="R775" s="455">
        <f t="shared" si="333"/>
        <v>0</v>
      </c>
      <c r="S775" s="455">
        <f t="shared" si="333"/>
        <v>0</v>
      </c>
      <c r="T775" s="455">
        <f t="shared" si="333"/>
        <v>0</v>
      </c>
      <c r="U775" s="455">
        <f t="shared" si="333"/>
        <v>0</v>
      </c>
    </row>
    <row r="776" spans="1:21" s="326" customFormat="1" ht="15" hidden="1" customHeight="1" outlineLevel="1" x14ac:dyDescent="0.25">
      <c r="A776" s="316"/>
      <c r="C776" s="316"/>
      <c r="D776" s="328"/>
      <c r="J776" s="338"/>
      <c r="K776" s="297"/>
      <c r="L776" s="297"/>
      <c r="M776" s="297"/>
      <c r="N776" s="297"/>
      <c r="O776" s="297"/>
      <c r="P776" s="297"/>
      <c r="Q776" s="297"/>
      <c r="R776" s="297"/>
      <c r="S776" s="297"/>
      <c r="T776" s="297"/>
      <c r="U776" s="297"/>
    </row>
    <row r="777" spans="1:21" s="307" customFormat="1" ht="12" hidden="1" customHeight="1" outlineLevel="1" x14ac:dyDescent="0.25">
      <c r="A777" s="380" t="s">
        <v>195</v>
      </c>
      <c r="B777" s="358" t="s">
        <v>49</v>
      </c>
      <c r="C777" s="304"/>
      <c r="D777" s="304"/>
      <c r="J777" s="338"/>
      <c r="K777" s="373"/>
      <c r="L777" s="373"/>
      <c r="M777" s="373"/>
      <c r="N777" s="373"/>
      <c r="O777" s="373"/>
      <c r="P777" s="373"/>
      <c r="Q777" s="373"/>
      <c r="R777" s="373"/>
      <c r="S777" s="373"/>
      <c r="T777" s="373"/>
      <c r="U777" s="373"/>
    </row>
    <row r="778" spans="1:21" s="326" customFormat="1" ht="15" hidden="1" customHeight="1" outlineLevel="1" x14ac:dyDescent="0.25">
      <c r="A778" s="316"/>
      <c r="B778" s="326" t="s">
        <v>224</v>
      </c>
      <c r="C778" s="316" t="s">
        <v>11</v>
      </c>
      <c r="D778" s="360">
        <v>4</v>
      </c>
      <c r="J778" s="338"/>
      <c r="K778" s="365"/>
      <c r="L778" s="443">
        <f>IF(L781="N/A","",K778+1)</f>
        <v>1</v>
      </c>
      <c r="M778" s="443">
        <f>IF(M781="N/A","",L778+1)</f>
        <v>2</v>
      </c>
      <c r="N778" s="443">
        <f>IF(N781="N/A","",M778+1)</f>
        <v>3</v>
      </c>
      <c r="O778" s="443">
        <f>IF(O781="N/A","",N778+1)</f>
        <v>4</v>
      </c>
      <c r="P778" s="443">
        <f>IF(P781="N/A","",O778+1)</f>
        <v>5</v>
      </c>
      <c r="Q778" s="379"/>
      <c r="R778" s="379"/>
      <c r="S778" s="379"/>
      <c r="T778" s="379"/>
      <c r="U778" s="379"/>
    </row>
    <row r="779" spans="1:21" s="326" customFormat="1" ht="12" hidden="1" customHeight="1" outlineLevel="1" x14ac:dyDescent="0.25">
      <c r="A779" s="316"/>
      <c r="B779" s="307" t="s">
        <v>199</v>
      </c>
      <c r="C779" s="304" t="s">
        <v>20</v>
      </c>
      <c r="D779" s="439">
        <v>17</v>
      </c>
      <c r="E779" s="445" t="str">
        <f>IF(D779&lt;&gt;SUM(L780:P780),"NO","SI")</f>
        <v>SI</v>
      </c>
      <c r="J779" s="338"/>
      <c r="K779" s="372"/>
      <c r="Q779" s="342"/>
      <c r="R779" s="342"/>
      <c r="S779" s="342"/>
      <c r="T779" s="342"/>
      <c r="U779" s="342"/>
    </row>
    <row r="780" spans="1:21" s="307" customFormat="1" ht="25.35" hidden="1" customHeight="1" outlineLevel="1" x14ac:dyDescent="0.25">
      <c r="A780" s="446" t="str">
        <f>VLOOKUP(B780,'C UNIT PROG TÉCNICOS'!$B$8:$H$108,7,FALSE)</f>
        <v>CAPEX</v>
      </c>
      <c r="B780" s="367" t="s">
        <v>49</v>
      </c>
      <c r="C780" s="304" t="s">
        <v>20</v>
      </c>
      <c r="D780" s="304" t="s">
        <v>19</v>
      </c>
      <c r="I780" s="314"/>
      <c r="J780" s="338"/>
      <c r="K780" s="314"/>
      <c r="L780" s="442">
        <v>0</v>
      </c>
      <c r="M780" s="442">
        <v>4</v>
      </c>
      <c r="N780" s="442">
        <v>4</v>
      </c>
      <c r="O780" s="442">
        <v>4</v>
      </c>
      <c r="P780" s="442">
        <v>5</v>
      </c>
      <c r="Q780"/>
      <c r="R780"/>
      <c r="S780"/>
      <c r="T780"/>
      <c r="U780"/>
    </row>
    <row r="781" spans="1:21" s="307" customFormat="1" ht="12" hidden="1" customHeight="1" outlineLevel="1" x14ac:dyDescent="0.25">
      <c r="A781" s="316"/>
      <c r="B781" s="307" t="s">
        <v>742</v>
      </c>
      <c r="D781" s="447" t="str">
        <f>IF(A780="CAPEX","Inversión",IF(A780="OPEX","Operación","I/O"))</f>
        <v>Inversión</v>
      </c>
      <c r="I781" s="370"/>
      <c r="J781" s="338"/>
      <c r="K781" s="371" t="s">
        <v>149</v>
      </c>
      <c r="L781" s="371" t="s">
        <v>8</v>
      </c>
      <c r="M781" s="371" t="s">
        <v>8</v>
      </c>
      <c r="N781" s="371" t="s">
        <v>8</v>
      </c>
      <c r="O781" s="371" t="s">
        <v>8</v>
      </c>
      <c r="P781" s="371" t="s">
        <v>8</v>
      </c>
      <c r="Q781" s="371" t="s">
        <v>149</v>
      </c>
      <c r="R781" s="371" t="s">
        <v>149</v>
      </c>
      <c r="S781" s="371" t="s">
        <v>149</v>
      </c>
      <c r="T781" s="371" t="s">
        <v>149</v>
      </c>
      <c r="U781" s="371" t="s">
        <v>149</v>
      </c>
    </row>
    <row r="782" spans="1:21" s="307" customFormat="1" ht="12" hidden="1" customHeight="1" outlineLevel="1" x14ac:dyDescent="0.25">
      <c r="A782" s="316"/>
      <c r="B782" s="307" t="s">
        <v>762</v>
      </c>
      <c r="C782" s="304"/>
      <c r="D782" s="304"/>
      <c r="J782" s="338"/>
      <c r="K782" s="448">
        <f>IF(K781="N/A",0,IF(K781="SI",0,SUM(IF($D781="Inversión",0,VLOOKUP($B780,'C UNIT PROG TÉCNICOS'!$B$8:$G$160,6,FALSE)*'EV PROG TÉCNICOS'!K780))))</f>
        <v>0</v>
      </c>
      <c r="L782" s="448">
        <f>IF(L781="N/A",0,IF(L781="SI",0,SUM(IF($D781="Inversión",0,VLOOKUP($B780,'C UNIT PROG TÉCNICOS'!$B$8:$G$160,6,FALSE)*'EV PROG TÉCNICOS'!L780))))</f>
        <v>0</v>
      </c>
      <c r="M782" s="448">
        <f>IF(M781="N/A",0,IF(M781="SI",0,SUM(IF($D781="Inversión",0,VLOOKUP($B780,'C UNIT PROG TÉCNICOS'!$B$8:$G$160,6,FALSE)*'EV PROG TÉCNICOS'!M780))))</f>
        <v>0</v>
      </c>
      <c r="N782" s="448">
        <f>IF(N781="N/A",0,IF(N781="SI",0,SUM(IF($D781="Inversión",0,VLOOKUP($B780,'C UNIT PROG TÉCNICOS'!$B$8:$G$160,6,FALSE)*'EV PROG TÉCNICOS'!N780))))</f>
        <v>0</v>
      </c>
      <c r="O782" s="448">
        <f>IF(O781="N/A",0,IF(O781="SI",0,SUM(IF($D781="Inversión",0,VLOOKUP($B780,'C UNIT PROG TÉCNICOS'!$B$8:$G$160,6,FALSE)*'EV PROG TÉCNICOS'!O780))))</f>
        <v>0</v>
      </c>
      <c r="P782" s="448">
        <f>IF(P781="N/A",0,IF(P781="SI",0,SUM(IF($D781="Inversión",0,VLOOKUP($B780,'C UNIT PROG TÉCNICOS'!$B$8:$G$160,6,FALSE)*'EV PROG TÉCNICOS'!P780))))</f>
        <v>0</v>
      </c>
      <c r="Q782" s="448">
        <f>IF(Q781="N/A",0,IF(Q781="SI",0,SUM(IF($D781="Inversión",0,VLOOKUP($B780,'C UNIT PROG TÉCNICOS'!$B$8:$G$160,6,FALSE)*'EV PROG TÉCNICOS'!Q780))))</f>
        <v>0</v>
      </c>
      <c r="R782" s="448">
        <f>IF(R781="N/A",0,IF(R781="SI",0,SUM(IF($D781="Inversión",0,VLOOKUP($B780,'C UNIT PROG TÉCNICOS'!$B$8:$G$160,6,FALSE)*'EV PROG TÉCNICOS'!R780))))</f>
        <v>0</v>
      </c>
      <c r="S782" s="448">
        <f>IF(S781="N/A",0,IF(S781="SI",0,SUM(IF($D781="Inversión",0,VLOOKUP($B780,'C UNIT PROG TÉCNICOS'!$B$8:$G$160,6,FALSE)*'EV PROG TÉCNICOS'!S780))))</f>
        <v>0</v>
      </c>
      <c r="T782" s="448">
        <f>IF(T781="N/A",0,IF(T781="SI",0,SUM(IF($D781="Inversión",0,VLOOKUP($B780,'C UNIT PROG TÉCNICOS'!$B$8:$G$160,6,FALSE)*'EV PROG TÉCNICOS'!T780))))</f>
        <v>0</v>
      </c>
      <c r="U782" s="448">
        <f>IF(U781="N/A",0,IF(U781="SI",0,SUM(IF($D781="Inversión",0,VLOOKUP($B780,'C UNIT PROG TÉCNICOS'!$B$8:$G$160,6,FALSE)*'EV PROG TÉCNICOS'!U780))))</f>
        <v>0</v>
      </c>
    </row>
    <row r="783" spans="1:21" s="307" customFormat="1" ht="12" hidden="1" customHeight="1" outlineLevel="1" x14ac:dyDescent="0.25">
      <c r="A783" s="316"/>
      <c r="B783" s="307" t="s">
        <v>763</v>
      </c>
      <c r="C783" s="304" t="s">
        <v>6</v>
      </c>
      <c r="D783" s="304"/>
      <c r="J783" s="338"/>
      <c r="K783" s="450">
        <f>IF(K781="N/A",0,IF(K781="SI",0,K$21*K782))</f>
        <v>0</v>
      </c>
      <c r="L783" s="450">
        <f>IF(L781="N/A",0,IF(L781="SI",0,L$21*L782))</f>
        <v>0</v>
      </c>
      <c r="M783" s="450">
        <f t="shared" ref="M783:U783" si="334">IF(M781="N/A",0,IF(M781="SI",0,M$21*M782))</f>
        <v>0</v>
      </c>
      <c r="N783" s="450">
        <f t="shared" si="334"/>
        <v>0</v>
      </c>
      <c r="O783" s="450">
        <f t="shared" si="334"/>
        <v>0</v>
      </c>
      <c r="P783" s="450">
        <f t="shared" si="334"/>
        <v>0</v>
      </c>
      <c r="Q783" s="450">
        <f t="shared" si="334"/>
        <v>0</v>
      </c>
      <c r="R783" s="450">
        <f t="shared" si="334"/>
        <v>0</v>
      </c>
      <c r="S783" s="450">
        <f t="shared" si="334"/>
        <v>0</v>
      </c>
      <c r="T783" s="450">
        <f t="shared" si="334"/>
        <v>0</v>
      </c>
      <c r="U783" s="450">
        <f t="shared" si="334"/>
        <v>0</v>
      </c>
    </row>
    <row r="784" spans="1:21" s="307" customFormat="1" ht="12" hidden="1" customHeight="1" outlineLevel="1" x14ac:dyDescent="0.25">
      <c r="A784" s="316"/>
      <c r="B784" s="307" t="s">
        <v>764</v>
      </c>
      <c r="C784" s="304" t="s">
        <v>6</v>
      </c>
      <c r="D784" s="304"/>
      <c r="J784" s="338"/>
      <c r="K784" s="450">
        <f>IF(K781="N/A",0,IF(K781="SI",0,IF(OR($D781="Inversión",$D781="I/O"),SUM(VLOOKUP($B780,'C UNIT PROG TÉCNICOS'!$B$8:$G$160,5,FALSE)*'EV PROG TÉCNICOS'!K780),0)))</f>
        <v>0</v>
      </c>
      <c r="L784" s="450">
        <f>IF(L781="N/A",0,IF(L781="SI",0,IF(OR($D781="Inversión",$D781="I/O"),SUM(VLOOKUP($B780,'C UNIT PROG TÉCNICOS'!$B$8:$G$160,5,FALSE)*'EV PROG TÉCNICOS'!L780),0))*((1+$D$24)^(L$3-$K$3)))</f>
        <v>0</v>
      </c>
      <c r="M784" s="450">
        <f>IF(M781="N/A",0,IF(M781="SI",0,IF(OR($D781="Inversión",$D781="I/O"),SUM(VLOOKUP($B780,'C UNIT PROG TÉCNICOS'!$B$8:$G$160,5,FALSE)*'EV PROG TÉCNICOS'!M780),0))*((1+$D$24)^(M$3-$K$3)))</f>
        <v>36835663.803184591</v>
      </c>
      <c r="N784" s="450">
        <f>IF(N781="N/A",0,IF(N781="SI",0,IF(OR($D781="Inversión",$D781="I/O"),SUM(VLOOKUP($B780,'C UNIT PROG TÉCNICOS'!$B$8:$G$160,5,FALSE)*'EV PROG TÉCNICOS'!N780),0))*((1+$D$24)^(N$3-$K$3)))</f>
        <v>38146860.93492981</v>
      </c>
      <c r="O784" s="450">
        <f>IF(O781="N/A",0,IF(O781="SI",0,IF(OR($D781="Inversión",$D781="I/O"),SUM(VLOOKUP($B780,'C UNIT PROG TÉCNICOS'!$B$8:$G$160,5,FALSE)*'EV PROG TÉCNICOS'!O780),0))*((1+$D$24)^(O$3-$K$3)))</f>
        <v>39504731.256209046</v>
      </c>
      <c r="P784" s="450">
        <f>IF(P781="N/A",0,IF(P781="SI",0,IF(OR($D781="Inversión",$D781="I/O"),SUM(VLOOKUP($B780,'C UNIT PROG TÉCNICOS'!$B$8:$G$160,5,FALSE)*'EV PROG TÉCNICOS'!P780),0))*((1+$D$24)^(P$3-$K$3)))</f>
        <v>51138670.174178362</v>
      </c>
      <c r="Q784" s="450">
        <f>IF(Q781="N/A",0,IF(Q781="SI",0,IF(OR($D781="Inversión",$D781="I/O"),SUM(VLOOKUP($B780,'C UNIT PROG TÉCNICOS'!$B$8:$G$160,5,FALSE)*'EV PROG TÉCNICOS'!Q780),0))*((1+$D$24)^(Q$3-$K$3)))</f>
        <v>0</v>
      </c>
      <c r="R784" s="450">
        <f>IF(R781="N/A",0,IF(R781="SI",0,IF(OR($D781="Inversión",$D781="I/O"),SUM(VLOOKUP($B780,'C UNIT PROG TÉCNICOS'!$B$8:$G$160,5,FALSE)*'EV PROG TÉCNICOS'!R780),0))*((1+$D$24)^(R$3-$K$3)))</f>
        <v>0</v>
      </c>
      <c r="S784" s="450">
        <f>IF(S781="N/A",0,IF(S781="SI",0,IF(OR($D781="Inversión",$D781="I/O"),SUM(VLOOKUP($B780,'C UNIT PROG TÉCNICOS'!$B$8:$G$160,5,FALSE)*'EV PROG TÉCNICOS'!S780),0))*((1+$D$24)^(S$3-$K$3)))</f>
        <v>0</v>
      </c>
      <c r="T784" s="450">
        <f>IF(T781="N/A",0,IF(T781="SI",0,IF(OR($D781="Inversión",$D781="I/O"),SUM(VLOOKUP($B780,'C UNIT PROG TÉCNICOS'!$B$8:$G$160,5,FALSE)*'EV PROG TÉCNICOS'!T780),0))*((1+$D$24)^(T$3-$K$3)))</f>
        <v>0</v>
      </c>
      <c r="U784" s="450">
        <f>IF(U781="N/A",0,IF(U781="SI",0,IF(OR($D781="Inversión",$D781="I/O"),SUM(VLOOKUP($B780,'C UNIT PROG TÉCNICOS'!$B$8:$G$160,5,FALSE)*'EV PROG TÉCNICOS'!U780),0))*((1+$D$24)^(U$3-$K$3)))</f>
        <v>0</v>
      </c>
    </row>
    <row r="785" spans="1:24" s="376" customFormat="1" ht="15" hidden="1" customHeight="1" outlineLevel="1" x14ac:dyDescent="0.25">
      <c r="A785" s="374"/>
      <c r="B785" s="454" t="str">
        <f>CONCATENATE("VNA  ",B777)</f>
        <v>VNA  Reemplazo de sensor de nivel</v>
      </c>
      <c r="C785" s="374" t="s">
        <v>6</v>
      </c>
      <c r="D785" s="453">
        <f>NPV($D$31,L785:U785)+K785</f>
        <v>97180417.364498675</v>
      </c>
      <c r="J785" s="338"/>
      <c r="K785" s="452">
        <f>IF(K781="N/A",0,IF($D781="Operación",K783,K784))</f>
        <v>0</v>
      </c>
      <c r="L785" s="452">
        <f>IF(L781="N/A",0,IF($D781="Operación",L783,L784))</f>
        <v>0</v>
      </c>
      <c r="M785" s="452">
        <f t="shared" ref="M785:U785" si="335">IF(M781="N/A",0,IF($D781="Operación",M783,M784))</f>
        <v>36835663.803184591</v>
      </c>
      <c r="N785" s="452">
        <f t="shared" si="335"/>
        <v>38146860.93492981</v>
      </c>
      <c r="O785" s="452">
        <f t="shared" si="335"/>
        <v>39504731.256209046</v>
      </c>
      <c r="P785" s="452">
        <f t="shared" si="335"/>
        <v>51138670.174178362</v>
      </c>
      <c r="Q785" s="452">
        <f t="shared" si="335"/>
        <v>0</v>
      </c>
      <c r="R785" s="452">
        <f t="shared" si="335"/>
        <v>0</v>
      </c>
      <c r="S785" s="452">
        <f t="shared" si="335"/>
        <v>0</v>
      </c>
      <c r="T785" s="452">
        <f t="shared" si="335"/>
        <v>0</v>
      </c>
      <c r="U785" s="452">
        <f t="shared" si="335"/>
        <v>0</v>
      </c>
    </row>
    <row r="786" spans="1:24" s="376" customFormat="1" ht="15" hidden="1" customHeight="1" outlineLevel="1" x14ac:dyDescent="0.25">
      <c r="A786" s="374"/>
      <c r="B786" s="454" t="str">
        <f>CONCATENATE("Volumen de agua recuperado por ",B777)</f>
        <v>Volumen de agua recuperado por Reemplazo de sensor de nivel</v>
      </c>
      <c r="C786" s="374" t="s">
        <v>106</v>
      </c>
      <c r="D786" s="470">
        <f>SUM(L786:U786)</f>
        <v>0</v>
      </c>
      <c r="J786" s="338"/>
      <c r="K786" s="378"/>
      <c r="L786" s="378"/>
      <c r="M786" s="378"/>
      <c r="N786" s="378"/>
      <c r="O786" s="378"/>
      <c r="P786" s="378"/>
      <c r="Q786" s="378"/>
      <c r="R786" s="378"/>
      <c r="S786" s="378"/>
      <c r="T786" s="378"/>
      <c r="U786" s="378"/>
    </row>
    <row r="787" spans="1:24" s="376" customFormat="1" ht="15" hidden="1" customHeight="1" outlineLevel="1" x14ac:dyDescent="0.25">
      <c r="A787" s="374"/>
      <c r="B787" s="376" t="s">
        <v>750</v>
      </c>
      <c r="C787" s="374" t="s">
        <v>6</v>
      </c>
      <c r="D787" s="453">
        <f>NPV($D$31,L787:U787)+K787</f>
        <v>0</v>
      </c>
      <c r="J787" s="338"/>
      <c r="K787" s="452">
        <f>IF(OR(K781="N/A",K786=0),0,K786*K$29)</f>
        <v>0</v>
      </c>
      <c r="L787" s="452">
        <f>IF(OR(L781="N/A",L786=0),0,L786*L$29)</f>
        <v>0</v>
      </c>
      <c r="M787" s="452">
        <f t="shared" ref="M787:U787" si="336">IF(OR(M781="N/A",M786=0),0,M786*M$29)</f>
        <v>0</v>
      </c>
      <c r="N787" s="452">
        <f t="shared" si="336"/>
        <v>0</v>
      </c>
      <c r="O787" s="452">
        <f t="shared" si="336"/>
        <v>0</v>
      </c>
      <c r="P787" s="452">
        <f t="shared" si="336"/>
        <v>0</v>
      </c>
      <c r="Q787" s="452">
        <f t="shared" si="336"/>
        <v>0</v>
      </c>
      <c r="R787" s="452">
        <f t="shared" si="336"/>
        <v>0</v>
      </c>
      <c r="S787" s="452">
        <f t="shared" si="336"/>
        <v>0</v>
      </c>
      <c r="T787" s="452">
        <f t="shared" si="336"/>
        <v>0</v>
      </c>
      <c r="U787" s="452">
        <f t="shared" si="336"/>
        <v>0</v>
      </c>
    </row>
    <row r="788" spans="1:24" s="376" customFormat="1" ht="15" hidden="1" customHeight="1" outlineLevel="1" x14ac:dyDescent="0.25">
      <c r="A788" s="374"/>
      <c r="B788" s="376" t="s">
        <v>751</v>
      </c>
      <c r="C788" s="374"/>
      <c r="D788" s="455">
        <f>IFERROR(ROUND(IF(D787/D785=0,0,D787/D785),2),0)</f>
        <v>0</v>
      </c>
      <c r="J788" s="338"/>
      <c r="K788" s="455">
        <f>IFERROR(ROUND(IF(K787/K785=0,0,K787/K785),2),0)</f>
        <v>0</v>
      </c>
      <c r="L788" s="455">
        <f>IFERROR(ROUND(IF(L787/L785=0,0,L787/L785),2),0)</f>
        <v>0</v>
      </c>
      <c r="M788" s="455">
        <f t="shared" ref="M788:U788" si="337">IFERROR(ROUND(IF(M787/M785=0,0,M787/M785),2),0)</f>
        <v>0</v>
      </c>
      <c r="N788" s="455">
        <f t="shared" si="337"/>
        <v>0</v>
      </c>
      <c r="O788" s="455">
        <f t="shared" si="337"/>
        <v>0</v>
      </c>
      <c r="P788" s="455">
        <f t="shared" si="337"/>
        <v>0</v>
      </c>
      <c r="Q788" s="455">
        <f t="shared" si="337"/>
        <v>0</v>
      </c>
      <c r="R788" s="455">
        <f t="shared" si="337"/>
        <v>0</v>
      </c>
      <c r="S788" s="455">
        <f t="shared" si="337"/>
        <v>0</v>
      </c>
      <c r="T788" s="455">
        <f t="shared" si="337"/>
        <v>0</v>
      </c>
      <c r="U788" s="455">
        <f t="shared" si="337"/>
        <v>0</v>
      </c>
    </row>
    <row r="789" spans="1:24" collapsed="1" x14ac:dyDescent="0.2">
      <c r="D789" s="328"/>
    </row>
    <row r="790" spans="1:24" s="355" customFormat="1" ht="20.100000000000001" customHeight="1" thickBot="1" x14ac:dyDescent="0.3">
      <c r="A790" s="323">
        <v>7</v>
      </c>
      <c r="B790" s="1730" t="s">
        <v>776</v>
      </c>
      <c r="C790" s="1730"/>
      <c r="D790" s="1730"/>
      <c r="E790" s="1730"/>
      <c r="F790" s="1730"/>
      <c r="G790" s="1730"/>
      <c r="H790" s="1730"/>
      <c r="I790" s="1730"/>
      <c r="J790" s="1730"/>
      <c r="K790" s="1730"/>
      <c r="L790" s="1730"/>
      <c r="M790" s="1730"/>
      <c r="N790" s="1730"/>
      <c r="O790" s="1730"/>
      <c r="P790" s="1730"/>
      <c r="Q790" s="1730"/>
      <c r="R790" s="1730"/>
      <c r="S790" s="1730"/>
      <c r="T790" s="1730"/>
      <c r="U790" s="1730"/>
    </row>
    <row r="791" spans="1:24" s="357" customFormat="1" ht="15.75" x14ac:dyDescent="0.25">
      <c r="A791" s="356">
        <v>7.1</v>
      </c>
      <c r="B791" s="317" t="s">
        <v>65</v>
      </c>
      <c r="C791" s="317"/>
      <c r="D791" s="317"/>
      <c r="E791" s="317"/>
      <c r="F791" s="317"/>
      <c r="G791" s="317"/>
      <c r="H791" s="317"/>
      <c r="I791" s="317"/>
      <c r="J791" s="317"/>
      <c r="K791" s="317"/>
      <c r="L791" s="317"/>
      <c r="M791" s="317"/>
      <c r="N791" s="317"/>
      <c r="O791" s="317"/>
      <c r="P791" s="317"/>
      <c r="Q791" s="317"/>
      <c r="R791" s="317"/>
      <c r="S791" s="317"/>
      <c r="T791" s="317"/>
      <c r="U791" s="317"/>
    </row>
    <row r="792" spans="1:24" s="326" customFormat="1" ht="12" hidden="1" customHeight="1" outlineLevel="1" x14ac:dyDescent="0.2">
      <c r="A792" s="316"/>
      <c r="B792" s="307" t="s">
        <v>184</v>
      </c>
      <c r="C792" s="304" t="s">
        <v>173</v>
      </c>
      <c r="D792" s="472">
        <f>$D$673</f>
        <v>1532829.061276</v>
      </c>
      <c r="E792" s="364"/>
      <c r="F792" s="364"/>
      <c r="G792" s="364"/>
      <c r="H792" s="364"/>
      <c r="I792" s="364"/>
      <c r="J792" s="364"/>
      <c r="K792" s="365"/>
      <c r="L792" s="365"/>
      <c r="M792" s="365"/>
      <c r="N792" s="365"/>
      <c r="O792" s="365"/>
      <c r="P792" s="365"/>
      <c r="Q792" s="365"/>
      <c r="R792" s="365"/>
      <c r="S792" s="365"/>
      <c r="T792" s="365"/>
      <c r="U792" s="365"/>
      <c r="V792" s="297"/>
      <c r="W792" s="297"/>
      <c r="X792" s="297"/>
    </row>
    <row r="793" spans="1:24" s="326" customFormat="1" ht="12" hidden="1" customHeight="1" outlineLevel="1" x14ac:dyDescent="0.2">
      <c r="A793" s="316"/>
      <c r="B793" s="307" t="s">
        <v>201</v>
      </c>
      <c r="C793" s="304" t="s">
        <v>80</v>
      </c>
      <c r="D793" s="1435">
        <f>IFERROR((D794/D792),0)</f>
        <v>1.4404737330344947E-2</v>
      </c>
      <c r="E793" s="364"/>
      <c r="F793" s="364"/>
      <c r="G793" s="364"/>
      <c r="H793" s="364"/>
      <c r="I793" s="364"/>
      <c r="J793" s="364"/>
      <c r="K793" s="365"/>
      <c r="L793" s="365"/>
      <c r="M793" s="365"/>
      <c r="N793" s="365"/>
      <c r="O793" s="365"/>
      <c r="P793" s="365"/>
      <c r="Q793" s="365"/>
      <c r="R793" s="365"/>
      <c r="S793" s="365"/>
      <c r="T793" s="365"/>
      <c r="U793" s="365"/>
      <c r="V793" s="297"/>
      <c r="W793" s="297"/>
      <c r="X793" s="297"/>
    </row>
    <row r="794" spans="1:24" s="326" customFormat="1" ht="12" hidden="1" customHeight="1" outlineLevel="1" x14ac:dyDescent="0.2">
      <c r="A794" s="316"/>
      <c r="B794" s="307" t="s">
        <v>202</v>
      </c>
      <c r="C794" s="304" t="s">
        <v>173</v>
      </c>
      <c r="D794" s="80">
        <f>22.08*1000</f>
        <v>22080</v>
      </c>
      <c r="E794" s="364"/>
      <c r="F794" s="364"/>
      <c r="G794" s="364"/>
      <c r="H794" s="364"/>
      <c r="I794" s="364"/>
      <c r="J794" s="364"/>
      <c r="K794" s="365"/>
      <c r="L794" s="365"/>
      <c r="M794" s="365"/>
      <c r="N794" s="365"/>
      <c r="O794" s="365"/>
      <c r="P794" s="365"/>
      <c r="Q794" s="365"/>
      <c r="R794" s="365"/>
      <c r="S794" s="365"/>
      <c r="T794" s="365"/>
      <c r="U794" s="365"/>
      <c r="V794" s="297"/>
      <c r="W794" s="297"/>
      <c r="X794" s="297"/>
    </row>
    <row r="795" spans="1:24" s="326" customFormat="1" ht="12" hidden="1" customHeight="1" outlineLevel="1" x14ac:dyDescent="0.2">
      <c r="A795" s="316"/>
      <c r="B795" s="307" t="s">
        <v>767</v>
      </c>
      <c r="C795" s="304" t="s">
        <v>173</v>
      </c>
      <c r="D795" s="1111">
        <v>98</v>
      </c>
      <c r="E795" s="364"/>
      <c r="F795" s="364"/>
      <c r="G795" s="364"/>
      <c r="H795" s="364"/>
      <c r="I795" s="364"/>
      <c r="J795" s="364"/>
      <c r="K795" s="365"/>
      <c r="L795" s="365"/>
      <c r="M795" s="365"/>
      <c r="N795" s="365"/>
      <c r="O795" s="365"/>
      <c r="P795" s="365"/>
      <c r="Q795" s="365"/>
      <c r="R795" s="365"/>
      <c r="S795" s="365"/>
      <c r="T795" s="365"/>
      <c r="U795" s="365"/>
      <c r="V795" s="297"/>
      <c r="W795" s="297"/>
      <c r="X795" s="297"/>
    </row>
    <row r="796" spans="1:24" s="326" customFormat="1" ht="12" hidden="1" customHeight="1" outlineLevel="1" x14ac:dyDescent="0.2">
      <c r="A796" s="316"/>
      <c r="B796" s="364" t="s">
        <v>124</v>
      </c>
      <c r="C796" s="394" t="s">
        <v>11</v>
      </c>
      <c r="D796" s="444">
        <f>COUNT(L796:U796)</f>
        <v>6</v>
      </c>
      <c r="E796" s="364"/>
      <c r="F796" s="364"/>
      <c r="G796" s="364"/>
      <c r="H796" s="364"/>
      <c r="I796" s="364"/>
      <c r="J796" s="364"/>
      <c r="K796" s="365">
        <v>0</v>
      </c>
      <c r="L796" s="443">
        <f t="shared" ref="L796:U796" si="338">IF(L802="N/A","",K796+1)</f>
        <v>1</v>
      </c>
      <c r="M796" s="443">
        <f t="shared" si="338"/>
        <v>2</v>
      </c>
      <c r="N796" s="443">
        <f t="shared" si="338"/>
        <v>3</v>
      </c>
      <c r="O796" s="443">
        <f t="shared" si="338"/>
        <v>4</v>
      </c>
      <c r="P796" s="443">
        <f t="shared" si="338"/>
        <v>5</v>
      </c>
      <c r="Q796" s="443">
        <f t="shared" si="338"/>
        <v>6</v>
      </c>
      <c r="R796" s="443" t="str">
        <f t="shared" si="338"/>
        <v/>
      </c>
      <c r="S796" s="443" t="str">
        <f t="shared" si="338"/>
        <v/>
      </c>
      <c r="T796" s="443" t="str">
        <f t="shared" si="338"/>
        <v/>
      </c>
      <c r="U796" s="443" t="str">
        <f t="shared" si="338"/>
        <v/>
      </c>
      <c r="V796" s="297"/>
      <c r="W796" s="297"/>
      <c r="X796" s="297"/>
    </row>
    <row r="797" spans="1:24" s="326" customFormat="1" hidden="1" outlineLevel="1" x14ac:dyDescent="0.2">
      <c r="A797" s="446"/>
      <c r="B797" s="367"/>
      <c r="C797" s="304"/>
      <c r="D797" s="423"/>
      <c r="E797" s="307"/>
      <c r="F797" s="307"/>
      <c r="G797" s="307"/>
      <c r="H797" s="307"/>
      <c r="I797" s="369"/>
      <c r="J797" s="369"/>
      <c r="K797" s="412"/>
      <c r="L797" s="412"/>
      <c r="M797" s="412"/>
      <c r="N797" s="412"/>
      <c r="O797" s="412"/>
      <c r="P797" s="412"/>
      <c r="Q797" s="412"/>
      <c r="R797" s="412"/>
      <c r="S797" s="412"/>
      <c r="T797" s="412"/>
      <c r="U797" s="412"/>
      <c r="V797" s="297"/>
      <c r="W797" s="297"/>
      <c r="X797" s="297"/>
    </row>
    <row r="798" spans="1:24" s="307" customFormat="1" ht="24.95" hidden="1" customHeight="1" outlineLevel="1" x14ac:dyDescent="0.2">
      <c r="A798" s="446" t="str">
        <f>VLOOKUP(B798,'C UNIT PROG TÉCNICOS'!$B$8:$H$108,7,FALSE)</f>
        <v>CAPEX</v>
      </c>
      <c r="B798" s="367" t="s">
        <v>69</v>
      </c>
      <c r="C798" s="304" t="s">
        <v>173</v>
      </c>
      <c r="D798" s="423" t="s">
        <v>19</v>
      </c>
      <c r="I798" s="369"/>
      <c r="J798" s="369"/>
      <c r="K798" s="412">
        <v>0</v>
      </c>
      <c r="L798" s="982">
        <v>0</v>
      </c>
      <c r="M798" s="982">
        <v>3909.0370000000007</v>
      </c>
      <c r="N798" s="982">
        <v>2720.5719999999997</v>
      </c>
      <c r="O798" s="982">
        <v>3890.2130000000002</v>
      </c>
      <c r="P798" s="982">
        <v>3895.079999999999</v>
      </c>
      <c r="Q798" s="982">
        <v>4106.3310000000001</v>
      </c>
      <c r="R798" s="982"/>
      <c r="S798" s="982"/>
      <c r="T798" s="982"/>
      <c r="U798" s="982"/>
      <c r="V798" s="297"/>
      <c r="W798" s="297"/>
      <c r="X798" s="297"/>
    </row>
    <row r="799" spans="1:24" s="307" customFormat="1" ht="25.35" hidden="1" customHeight="1" outlineLevel="1" x14ac:dyDescent="0.2">
      <c r="A799" s="446" t="str">
        <f>VLOOKUP(B799,'C UNIT PROG TÉCNICOS'!$B$8:$H$108,7,FALSE)</f>
        <v>CAPEX</v>
      </c>
      <c r="B799" s="367" t="s">
        <v>70</v>
      </c>
      <c r="C799" s="304" t="s">
        <v>173</v>
      </c>
      <c r="D799" s="423" t="s">
        <v>19</v>
      </c>
      <c r="I799" s="369"/>
      <c r="J799" s="369"/>
      <c r="K799" s="412">
        <v>0</v>
      </c>
      <c r="L799" s="982">
        <v>0</v>
      </c>
      <c r="M799" s="982">
        <v>355.78</v>
      </c>
      <c r="N799" s="982">
        <v>550.63200000000006</v>
      </c>
      <c r="O799" s="982">
        <v>706.28499999999997</v>
      </c>
      <c r="P799" s="982">
        <v>185.47499999999999</v>
      </c>
      <c r="Q799" s="982">
        <v>738.36599999999999</v>
      </c>
      <c r="R799" s="982"/>
      <c r="S799" s="982"/>
      <c r="T799" s="982"/>
      <c r="U799" s="982"/>
      <c r="V799" s="297"/>
      <c r="W799" s="297"/>
      <c r="X799" s="297"/>
    </row>
    <row r="800" spans="1:24" s="307" customFormat="1" ht="25.35" hidden="1" customHeight="1" outlineLevel="1" x14ac:dyDescent="0.2">
      <c r="A800" s="446" t="str">
        <f>VLOOKUP(B800,'C UNIT PROG TÉCNICOS'!$B$8:$H$108,7,FALSE)</f>
        <v>CAPEX</v>
      </c>
      <c r="B800" s="367" t="s">
        <v>71</v>
      </c>
      <c r="C800" s="304" t="s">
        <v>173</v>
      </c>
      <c r="D800" s="423" t="s">
        <v>19</v>
      </c>
      <c r="I800" s="369"/>
      <c r="J800" s="369"/>
      <c r="K800" s="412">
        <v>0</v>
      </c>
      <c r="L800" s="982">
        <v>0</v>
      </c>
      <c r="M800" s="982">
        <v>0</v>
      </c>
      <c r="N800" s="982">
        <v>0.76619400000000004</v>
      </c>
      <c r="O800" s="982">
        <v>0</v>
      </c>
      <c r="P800" s="982">
        <v>0</v>
      </c>
      <c r="Q800" s="982">
        <v>0.260384</v>
      </c>
      <c r="R800" s="982"/>
      <c r="S800" s="982"/>
      <c r="T800" s="982"/>
      <c r="U800" s="982"/>
      <c r="V800" s="297"/>
      <c r="W800" s="297"/>
      <c r="X800" s="297"/>
    </row>
    <row r="801" spans="1:24" s="307" customFormat="1" hidden="1" outlineLevel="1" x14ac:dyDescent="0.2">
      <c r="A801" s="366"/>
      <c r="B801" s="367"/>
      <c r="C801" s="304"/>
      <c r="D801" s="423"/>
      <c r="I801" s="369"/>
      <c r="J801" s="369"/>
      <c r="K801" s="412"/>
      <c r="L801" s="412"/>
      <c r="M801" s="412"/>
      <c r="N801" s="412"/>
      <c r="O801" s="412"/>
      <c r="P801" s="412"/>
      <c r="Q801" s="412"/>
      <c r="R801" s="412"/>
      <c r="S801" s="412"/>
      <c r="T801" s="412"/>
      <c r="U801" s="412"/>
      <c r="V801" s="297"/>
      <c r="W801" s="297"/>
      <c r="X801" s="297"/>
    </row>
    <row r="802" spans="1:24" s="307" customFormat="1" ht="12" hidden="1" customHeight="1" outlineLevel="1" x14ac:dyDescent="0.25">
      <c r="A802" s="316"/>
      <c r="B802" s="307" t="s">
        <v>742</v>
      </c>
      <c r="D802" s="447" t="str">
        <f>IF(AND(A798="CAPEX",A799="CAPEX",A800="CAPEX"),"Inversión",IF(AND(A798="OPEX",A799="OPEX",A800="OPEX"),"Operación","I/O"))</f>
        <v>Inversión</v>
      </c>
      <c r="I802" s="370"/>
      <c r="J802" s="338"/>
      <c r="K802" s="371" t="s">
        <v>8</v>
      </c>
      <c r="L802" s="371" t="s">
        <v>8</v>
      </c>
      <c r="M802" s="371" t="s">
        <v>8</v>
      </c>
      <c r="N802" s="371" t="s">
        <v>8</v>
      </c>
      <c r="O802" s="371" t="s">
        <v>8</v>
      </c>
      <c r="P802" s="371" t="s">
        <v>8</v>
      </c>
      <c r="Q802" s="371" t="s">
        <v>8</v>
      </c>
      <c r="R802" s="371" t="s">
        <v>149</v>
      </c>
      <c r="S802" s="371" t="s">
        <v>149</v>
      </c>
      <c r="T802" s="371" t="s">
        <v>149</v>
      </c>
      <c r="U802" s="371" t="s">
        <v>149</v>
      </c>
      <c r="V802" s="297"/>
      <c r="W802" s="297"/>
      <c r="X802" s="297"/>
    </row>
    <row r="803" spans="1:24" s="307" customFormat="1" ht="12" hidden="1" customHeight="1" outlineLevel="1" x14ac:dyDescent="0.25">
      <c r="A803" s="316"/>
      <c r="B803" s="307" t="s">
        <v>762</v>
      </c>
      <c r="C803" s="304"/>
      <c r="D803" s="304"/>
      <c r="J803" s="338"/>
      <c r="K803" s="448">
        <f>IF(K802="N/A",0,IF(K802="SI",0,IF(OR($D802="I/O",$D802="Inversión"),0,SUM(VLOOKUP($B798,'C UNIT PROG TÉCNICOS'!$B$8:$G$160,6,FALSE)*'EV PROG TÉCNICOS'!K798,VLOOKUP($B799,'C UNIT PROG TÉCNICOS'!$B$8:$G$160,6,FALSE)*'EV PROG TÉCNICOS'!K799,VLOOKUP($B800,'C UNIT PROG TÉCNICOS'!$B$8:$G$160,6,FALSE)*'EV PROG TÉCNICOS'!K800))))</f>
        <v>0</v>
      </c>
      <c r="L803" s="448">
        <f>IF(L802="N/A",0,IF(L802="SI",0,IF(OR($D802="I/O",$D802="Inversión"),0,SUM(VLOOKUP($B798,'C UNIT PROG TÉCNICOS'!$B$8:$G$160,6,FALSE)*'EV PROG TÉCNICOS'!L798,VLOOKUP($B799,'C UNIT PROG TÉCNICOS'!$B$8:$G$160,6,FALSE)*'EV PROG TÉCNICOS'!L799,VLOOKUP($B800,'C UNIT PROG TÉCNICOS'!$B$8:$G$160,6,FALSE)*'EV PROG TÉCNICOS'!L800))))</f>
        <v>0</v>
      </c>
      <c r="M803" s="448">
        <f>IF(M802="N/A",0,IF(M802="SI",0,IF(OR($D802="I/O",$D802="Inversión"),0,SUM(VLOOKUP($B798,'C UNIT PROG TÉCNICOS'!$B$8:$G$160,6,FALSE)*'EV PROG TÉCNICOS'!M798,VLOOKUP($B799,'C UNIT PROG TÉCNICOS'!$B$8:$G$160,6,FALSE)*'EV PROG TÉCNICOS'!M799,VLOOKUP($B800,'C UNIT PROG TÉCNICOS'!$B$8:$G$160,6,FALSE)*'EV PROG TÉCNICOS'!M800))))</f>
        <v>0</v>
      </c>
      <c r="N803" s="448">
        <f>IF(N802="N/A",0,IF(N802="SI",0,IF(OR($D802="I/O",$D802="Inversión"),0,SUM(VLOOKUP($B798,'C UNIT PROG TÉCNICOS'!$B$8:$G$160,6,FALSE)*'EV PROG TÉCNICOS'!N798,VLOOKUP($B799,'C UNIT PROG TÉCNICOS'!$B$8:$G$160,6,FALSE)*'EV PROG TÉCNICOS'!N799,VLOOKUP($B800,'C UNIT PROG TÉCNICOS'!$B$8:$G$160,6,FALSE)*'EV PROG TÉCNICOS'!N800))))</f>
        <v>0</v>
      </c>
      <c r="O803" s="448">
        <f>IF(O802="N/A",0,IF(O802="SI",0,IF(OR($D802="I/O",$D802="Inversión"),0,SUM(VLOOKUP($B798,'C UNIT PROG TÉCNICOS'!$B$8:$G$160,6,FALSE)*'EV PROG TÉCNICOS'!O798,VLOOKUP($B799,'C UNIT PROG TÉCNICOS'!$B$8:$G$160,6,FALSE)*'EV PROG TÉCNICOS'!O799,VLOOKUP($B800,'C UNIT PROG TÉCNICOS'!$B$8:$G$160,6,FALSE)*'EV PROG TÉCNICOS'!O800))))</f>
        <v>0</v>
      </c>
      <c r="P803" s="448">
        <f>IF(P802="N/A",0,IF(P802="SI",0,IF(OR($D802="I/O",$D802="Inversión"),0,SUM(VLOOKUP($B798,'C UNIT PROG TÉCNICOS'!$B$8:$G$160,6,FALSE)*'EV PROG TÉCNICOS'!P798,VLOOKUP($B799,'C UNIT PROG TÉCNICOS'!$B$8:$G$160,6,FALSE)*'EV PROG TÉCNICOS'!P799,VLOOKUP($B800,'C UNIT PROG TÉCNICOS'!$B$8:$G$160,6,FALSE)*'EV PROG TÉCNICOS'!P800))))</f>
        <v>0</v>
      </c>
      <c r="Q803" s="448">
        <f>IF(Q802="N/A",0,IF(Q802="SI",0,IF(OR($D802="I/O",$D802="Inversión"),0,SUM(VLOOKUP($B798,'C UNIT PROG TÉCNICOS'!$B$8:$G$160,6,FALSE)*'EV PROG TÉCNICOS'!Q798,VLOOKUP($B799,'C UNIT PROG TÉCNICOS'!$B$8:$G$160,6,FALSE)*'EV PROG TÉCNICOS'!Q799,VLOOKUP($B800,'C UNIT PROG TÉCNICOS'!$B$8:$G$160,6,FALSE)*'EV PROG TÉCNICOS'!Q800))))</f>
        <v>0</v>
      </c>
      <c r="R803" s="448">
        <f>IF(R802="N/A",0,IF(R802="SI",0,IF(OR($D802="I/O",$D802="Inversión"),0,SUM(VLOOKUP($B798,'C UNIT PROG TÉCNICOS'!$B$8:$G$160,6,FALSE)*'EV PROG TÉCNICOS'!R798,VLOOKUP($B799,'C UNIT PROG TÉCNICOS'!$B$8:$G$160,6,FALSE)*'EV PROG TÉCNICOS'!R799,VLOOKUP($B800,'C UNIT PROG TÉCNICOS'!$B$8:$G$160,6,FALSE)*'EV PROG TÉCNICOS'!R800))))</f>
        <v>0</v>
      </c>
      <c r="S803" s="448">
        <f>IF(S802="N/A",0,IF(S802="SI",0,IF(OR($D802="I/O",$D802="Inversión"),0,SUM(VLOOKUP($B798,'C UNIT PROG TÉCNICOS'!$B$8:$G$160,6,FALSE)*'EV PROG TÉCNICOS'!S798,VLOOKUP($B799,'C UNIT PROG TÉCNICOS'!$B$8:$G$160,6,FALSE)*'EV PROG TÉCNICOS'!S799,VLOOKUP($B800,'C UNIT PROG TÉCNICOS'!$B$8:$G$160,6,FALSE)*'EV PROG TÉCNICOS'!S800))))</f>
        <v>0</v>
      </c>
      <c r="T803" s="448">
        <f>IF(T802="N/A",0,IF(T802="SI",0,IF(OR($D802="I/O",$D802="Inversión"),0,SUM(VLOOKUP($B798,'C UNIT PROG TÉCNICOS'!$B$8:$G$160,6,FALSE)*'EV PROG TÉCNICOS'!T798,VLOOKUP($B799,'C UNIT PROG TÉCNICOS'!$B$8:$G$160,6,FALSE)*'EV PROG TÉCNICOS'!T799,VLOOKUP($B800,'C UNIT PROG TÉCNICOS'!$B$8:$G$160,6,FALSE)*'EV PROG TÉCNICOS'!T800))))</f>
        <v>0</v>
      </c>
      <c r="U803" s="448">
        <f>IF(U802="N/A",0,IF(U802="SI",0,IF(OR($D802="I/O",$D802="Inversión"),0,SUM(VLOOKUP($B798,'C UNIT PROG TÉCNICOS'!$B$8:$G$160,6,FALSE)*'EV PROG TÉCNICOS'!U798,VLOOKUP($B799,'C UNIT PROG TÉCNICOS'!$B$8:$G$160,6,FALSE)*'EV PROG TÉCNICOS'!U799,VLOOKUP($B800,'C UNIT PROG TÉCNICOS'!$B$8:$G$160,6,FALSE)*'EV PROG TÉCNICOS'!U800))))</f>
        <v>0</v>
      </c>
      <c r="V803" s="297"/>
      <c r="W803" s="297"/>
      <c r="X803" s="297"/>
    </row>
    <row r="804" spans="1:24" s="307" customFormat="1" ht="12" hidden="1" customHeight="1" outlineLevel="1" x14ac:dyDescent="0.25">
      <c r="A804" s="316"/>
      <c r="B804" s="307" t="s">
        <v>763</v>
      </c>
      <c r="C804" s="304" t="s">
        <v>6</v>
      </c>
      <c r="D804" s="304"/>
      <c r="J804" s="338"/>
      <c r="K804" s="450">
        <f>IF(K802="N/A",0,IF(K802="SI",0,K$21*K803))</f>
        <v>0</v>
      </c>
      <c r="L804" s="450">
        <f>IF(L802="N/A",0,IF(L802="SI",0,L$21*L803))</f>
        <v>0</v>
      </c>
      <c r="M804" s="450">
        <f>IF(M802="N/A",0,IF(M802="SI",0,M$21*M803))</f>
        <v>0</v>
      </c>
      <c r="N804" s="450">
        <f>IF(N802="N/A",0,IF(N802="SI",0,N$21*N803))</f>
        <v>0</v>
      </c>
      <c r="O804" s="450">
        <f t="shared" ref="O804:T804" si="339">IF(O802="N/A",0,IF(O802="SI",0,O$21*O803))</f>
        <v>0</v>
      </c>
      <c r="P804" s="450">
        <f t="shared" si="339"/>
        <v>0</v>
      </c>
      <c r="Q804" s="450">
        <f t="shared" ref="Q804" si="340">IF(Q802="N/A",0,IF(Q802="SI",0,Q$21*Q803))</f>
        <v>0</v>
      </c>
      <c r="R804" s="450">
        <f t="shared" si="339"/>
        <v>0</v>
      </c>
      <c r="S804" s="450">
        <f t="shared" si="339"/>
        <v>0</v>
      </c>
      <c r="T804" s="450">
        <f t="shared" si="339"/>
        <v>0</v>
      </c>
      <c r="U804" s="450">
        <f>IF(U802="N/A",0,IF(U802="SI",0,U$21*U803))</f>
        <v>0</v>
      </c>
      <c r="V804" s="297"/>
      <c r="W804" s="297"/>
      <c r="X804" s="297"/>
    </row>
    <row r="805" spans="1:24" s="307" customFormat="1" ht="12" hidden="1" customHeight="1" outlineLevel="1" x14ac:dyDescent="0.25">
      <c r="A805" s="316"/>
      <c r="B805" s="307" t="s">
        <v>764</v>
      </c>
      <c r="C805" s="304" t="s">
        <v>6</v>
      </c>
      <c r="D805" s="304"/>
      <c r="J805" s="338"/>
      <c r="K805" s="450">
        <f>IF(K802="N/A",0,IF(K802="SI",0,IF(OR($D802="Inversión",$D802="I/O"),SUM(VLOOKUP($B798,'C UNIT PROG TÉCNICOS'!$B$8:$G$160,5,FALSE)*'EV PROG TÉCNICOS'!K798,VLOOKUP($B799,'C UNIT PROG TÉCNICOS'!$B$8:$G$160,5,FALSE)*'EV PROG TÉCNICOS'!K799,VLOOKUP($B800,'C UNIT PROG TÉCNICOS'!$B$8:$G$160,5,FALSE)*'EV PROG TÉCNICOS'!K800),0)))</f>
        <v>0</v>
      </c>
      <c r="L805" s="450">
        <f>IF(L802="N/A",0,IF(L802="SI",0,IF(OR($D802="Inversión",$D802="I/O"),SUM(VLOOKUP($B798,'C UNIT PROG TÉCNICOS'!$B$8:$G$160,5,FALSE)*'EV PROG TÉCNICOS'!L798,VLOOKUP($B799,'C UNIT PROG TÉCNICOS'!$B$8:$G$160,5,FALSE)*'EV PROG TÉCNICOS'!L799,VLOOKUP($B800,'C UNIT PROG TÉCNICOS'!$B$8:$G$160,5,FALSE)*'EV PROG TÉCNICOS'!L800),0))*((1+$D$24)^(L$3-$K$3)))</f>
        <v>0</v>
      </c>
      <c r="M805" s="450">
        <f>IF(M802="N/A",0,IF(M802="SI",0,IF(OR($D802="Inversión",$D802="I/O"),SUM(VLOOKUP($B798,'C UNIT PROG TÉCNICOS'!$B$8:$G$160,5,FALSE)*'EV PROG TÉCNICOS'!M798,VLOOKUP($B799,'C UNIT PROG TÉCNICOS'!$B$8:$G$160,5,FALSE)*'EV PROG TÉCNICOS'!M799,VLOOKUP($B800,'C UNIT PROG TÉCNICOS'!$B$8:$G$160,5,FALSE)*'EV PROG TÉCNICOS'!M800),0))*((1+$D$24)^(M$3-$K$3)))</f>
        <v>6893096171.9772005</v>
      </c>
      <c r="N805" s="450">
        <f>IF(N802="N/A",0,IF(N802="SI",0,IF(OR($D802="Inversión",$D802="I/O"),SUM(VLOOKUP($B798,'C UNIT PROG TÉCNICOS'!$B$8:$G$160,5,FALSE)*'EV PROG TÉCNICOS'!N798,VLOOKUP($B799,'C UNIT PROG TÉCNICOS'!$B$8:$G$160,5,FALSE)*'EV PROG TÉCNICOS'!N799,VLOOKUP($B800,'C UNIT PROG TÉCNICOS'!$B$8:$G$160,5,FALSE)*'EV PROG TÉCNICOS'!N800),0))*((1+$D$24)^(N$3-$K$3)))</f>
        <v>5649665580.439724</v>
      </c>
      <c r="O805" s="450">
        <f>IF(O802="N/A",0,IF(O802="SI",0,IF(OR($D802="Inversión",$D802="I/O"),SUM(VLOOKUP($B798,'C UNIT PROG TÉCNICOS'!$B$8:$G$160,5,FALSE)*'EV PROG TÉCNICOS'!O798,VLOOKUP($B799,'C UNIT PROG TÉCNICOS'!$B$8:$G$160,5,FALSE)*'EV PROG TÉCNICOS'!O799,VLOOKUP($B800,'C UNIT PROG TÉCNICOS'!$B$8:$G$160,5,FALSE)*'EV PROG TÉCNICOS'!O800),0))*((1+$D$24)^(O$3-$K$3)))</f>
        <v>8173981164.8635607</v>
      </c>
      <c r="P805" s="450">
        <f>IF(P802="N/A",0,IF(P802="SI",0,IF(OR($D802="Inversión",$D802="I/O"),SUM(VLOOKUP($B798,'C UNIT PROG TÉCNICOS'!$B$8:$G$160,5,FALSE)*'EV PROG TÉCNICOS'!P798,VLOOKUP($B799,'C UNIT PROG TÉCNICOS'!$B$8:$G$160,5,FALSE)*'EV PROG TÉCNICOS'!P799,VLOOKUP($B800,'C UNIT PROG TÉCNICOS'!$B$8:$G$160,5,FALSE)*'EV PROG TÉCNICOS'!P800),0))*((1+$D$24)^(P$3-$K$3)))</f>
        <v>7222315566.9854937</v>
      </c>
      <c r="Q805" s="450">
        <f>IF(Q802="N/A",0,IF(Q802="SI",0,IF(OR($D802="Inversión",$D802="I/O"),SUM(VLOOKUP($B798,'C UNIT PROG TÉCNICOS'!$B$8:$G$160,5,FALSE)*'EV PROG TÉCNICOS'!Q798,VLOOKUP($B799,'C UNIT PROG TÉCNICOS'!$B$8:$G$160,5,FALSE)*'EV PROG TÉCNICOS'!Q799,VLOOKUP($B800,'C UNIT PROG TÉCNICOS'!$B$8:$G$160,5,FALSE)*'EV PROG TÉCNICOS'!Q800),0))*((1+$D$24)^(Q$3-$K$3)))</f>
        <v>9236506112.3672714</v>
      </c>
      <c r="R805" s="450">
        <f>IF(R802="N/A",0,IF(R802="SI",0,IF(OR($D802="Inversión",$D802="I/O"),SUM(VLOOKUP($B798,'C UNIT PROG TÉCNICOS'!$B$8:$G$160,5,FALSE)*'EV PROG TÉCNICOS'!R798,VLOOKUP($B799,'C UNIT PROG TÉCNICOS'!$B$8:$G$160,5,FALSE)*'EV PROG TÉCNICOS'!R799,VLOOKUP($B800,'C UNIT PROG TÉCNICOS'!$B$8:$G$160,5,FALSE)*'EV PROG TÉCNICOS'!R800),0))*((1+$D$24)^(R$3-$K$3)))</f>
        <v>0</v>
      </c>
      <c r="S805" s="450">
        <f>IF(S802="N/A",0,IF(S802="SI",0,IF(OR($D802="Inversión",$D802="I/O"),SUM(VLOOKUP($B798,'C UNIT PROG TÉCNICOS'!$B$8:$G$160,5,FALSE)*'EV PROG TÉCNICOS'!S798,VLOOKUP($B799,'C UNIT PROG TÉCNICOS'!$B$8:$G$160,5,FALSE)*'EV PROG TÉCNICOS'!S799,VLOOKUP($B800,'C UNIT PROG TÉCNICOS'!$B$8:$G$160,5,FALSE)*'EV PROG TÉCNICOS'!S800),0))*((1+$D$24)^(S$3-$K$3)))</f>
        <v>0</v>
      </c>
      <c r="T805" s="450">
        <f>IF(T802="N/A",0,IF(T802="SI",0,IF(OR($D802="Inversión",$D802="I/O"),SUM(VLOOKUP($B798,'C UNIT PROG TÉCNICOS'!$B$8:$G$160,5,FALSE)*'EV PROG TÉCNICOS'!T798,VLOOKUP($B799,'C UNIT PROG TÉCNICOS'!$B$8:$G$160,5,FALSE)*'EV PROG TÉCNICOS'!T799,VLOOKUP($B800,'C UNIT PROG TÉCNICOS'!$B$8:$G$160,5,FALSE)*'EV PROG TÉCNICOS'!T800),0))*((1+$D$24)^(T$3-$K$3)))</f>
        <v>0</v>
      </c>
      <c r="U805" s="450">
        <f>IF(U802="N/A",0,IF(U802="SI",0,IF(OR($D802="Inversión",$D802="I/O"),SUM(VLOOKUP($B798,'C UNIT PROG TÉCNICOS'!$B$8:$G$160,5,FALSE)*'EV PROG TÉCNICOS'!U798,VLOOKUP($B799,'C UNIT PROG TÉCNICOS'!$B$8:$G$160,5,FALSE)*'EV PROG TÉCNICOS'!U799,VLOOKUP($B800,'C UNIT PROG TÉCNICOS'!$B$8:$G$160,5,FALSE)*'EV PROG TÉCNICOS'!U800),0))*((1+$D$24)^(U$3-$K$3)))</f>
        <v>0</v>
      </c>
      <c r="V805" s="297"/>
      <c r="W805" s="297"/>
      <c r="X805" s="297"/>
    </row>
    <row r="806" spans="1:24" s="376" customFormat="1" ht="25.35" hidden="1" customHeight="1" outlineLevel="1" x14ac:dyDescent="0.25">
      <c r="A806" s="374"/>
      <c r="B806" s="454" t="str">
        <f>CONCATENATE("VNA  ",B791)</f>
        <v>VNA  Reposición de redes</v>
      </c>
      <c r="C806" s="374" t="s">
        <v>6</v>
      </c>
      <c r="D806" s="453">
        <f>NPV($D$31,L806:U806)+K806</f>
        <v>20298825237.242985</v>
      </c>
      <c r="J806" s="338"/>
      <c r="K806" s="452">
        <f>IF(OR(K802="N/A",K803=0),0,IF($D802="Operación",K804,K805))</f>
        <v>0</v>
      </c>
      <c r="L806" s="452">
        <f>IF(L802="N/A",0,IF($D802="Operación",L804,L805))</f>
        <v>0</v>
      </c>
      <c r="M806" s="452">
        <f>IF(M802="N/A",0,IF($D802="Operación",M804,M805))</f>
        <v>6893096171.9772005</v>
      </c>
      <c r="N806" s="452">
        <f>IF(N802="N/A",0,IF($D802="Operación",N804,N805))</f>
        <v>5649665580.439724</v>
      </c>
      <c r="O806" s="452">
        <f t="shared" ref="O806:T806" si="341">IF(O802="N/A",0,IF($D802="Operación",O804,O805))</f>
        <v>8173981164.8635607</v>
      </c>
      <c r="P806" s="452">
        <f t="shared" si="341"/>
        <v>7222315566.9854937</v>
      </c>
      <c r="Q806" s="452">
        <f>IF(Q802="N/A",0,IF($D802="Operación",Q804,Q805))</f>
        <v>9236506112.3672714</v>
      </c>
      <c r="R806" s="452">
        <f t="shared" si="341"/>
        <v>0</v>
      </c>
      <c r="S806" s="452">
        <f t="shared" si="341"/>
        <v>0</v>
      </c>
      <c r="T806" s="452">
        <f t="shared" si="341"/>
        <v>0</v>
      </c>
      <c r="U806" s="452">
        <f>IF(U802="N/A",0,IF($D802="Operación",U804,U805))</f>
        <v>0</v>
      </c>
      <c r="V806" s="297"/>
      <c r="W806" s="297"/>
      <c r="X806" s="297"/>
    </row>
    <row r="807" spans="1:24" s="393" customFormat="1" ht="15" hidden="1" customHeight="1" outlineLevel="1" x14ac:dyDescent="0.25">
      <c r="A807" s="374"/>
      <c r="B807" s="376" t="s">
        <v>221</v>
      </c>
      <c r="C807" s="374" t="s">
        <v>106</v>
      </c>
      <c r="D807" s="475">
        <f>SUM(L807:U807)</f>
        <v>4887857.4994423836</v>
      </c>
      <c r="E807" s="376"/>
      <c r="F807" s="376"/>
      <c r="G807" s="376"/>
      <c r="H807" s="376"/>
      <c r="I807" s="376"/>
      <c r="J807" s="376"/>
      <c r="K807" s="398"/>
      <c r="L807" s="398"/>
      <c r="M807" s="398">
        <v>1020487.7181647008</v>
      </c>
      <c r="N807" s="398">
        <v>1386960.291794755</v>
      </c>
      <c r="O807" s="398">
        <v>964229.48191811785</v>
      </c>
      <c r="P807" s="398">
        <v>848210.07557620876</v>
      </c>
      <c r="Q807" s="398">
        <v>667969.93198860192</v>
      </c>
      <c r="R807" s="398"/>
      <c r="S807" s="398"/>
      <c r="T807" s="398"/>
      <c r="U807" s="398"/>
      <c r="V807" s="338"/>
      <c r="W807" s="338"/>
      <c r="X807" s="338"/>
    </row>
    <row r="808" spans="1:24" s="393" customFormat="1" ht="15" hidden="1" customHeight="1" outlineLevel="1" x14ac:dyDescent="0.25">
      <c r="A808" s="374"/>
      <c r="B808" s="376" t="s">
        <v>222</v>
      </c>
      <c r="C808" s="374" t="s">
        <v>106</v>
      </c>
      <c r="D808" s="475">
        <f>SUM(L808:U808)</f>
        <v>378931.13331326481</v>
      </c>
      <c r="E808" s="376"/>
      <c r="F808" s="376"/>
      <c r="G808" s="376"/>
      <c r="H808" s="376"/>
      <c r="I808" s="376"/>
      <c r="J808" s="376"/>
      <c r="K808" s="398"/>
      <c r="L808" s="398"/>
      <c r="M808" s="398">
        <v>40031.419058421998</v>
      </c>
      <c r="N808" s="398">
        <v>17970.438340211629</v>
      </c>
      <c r="O808" s="398">
        <v>177217.03818268492</v>
      </c>
      <c r="P808" s="398">
        <v>30339.148143388265</v>
      </c>
      <c r="Q808" s="398">
        <v>113373.08958855804</v>
      </c>
      <c r="R808" s="398"/>
      <c r="S808" s="398"/>
      <c r="T808" s="398"/>
      <c r="U808" s="398"/>
      <c r="V808" s="338"/>
      <c r="W808" s="338"/>
      <c r="X808" s="338"/>
    </row>
    <row r="809" spans="1:24" s="393" customFormat="1" ht="15" hidden="1" customHeight="1" outlineLevel="1" x14ac:dyDescent="0.25">
      <c r="A809" s="374"/>
      <c r="B809" s="376" t="s">
        <v>223</v>
      </c>
      <c r="C809" s="374" t="s">
        <v>106</v>
      </c>
      <c r="D809" s="475">
        <f>SUM(L809:U809)</f>
        <v>83371.77145317565</v>
      </c>
      <c r="E809" s="376"/>
      <c r="F809" s="376"/>
      <c r="G809" s="376"/>
      <c r="H809" s="376"/>
      <c r="I809" s="376"/>
      <c r="J809" s="376"/>
      <c r="K809" s="398"/>
      <c r="L809" s="398"/>
      <c r="M809" s="398">
        <v>0</v>
      </c>
      <c r="N809" s="398">
        <v>67398.256794047586</v>
      </c>
      <c r="O809" s="398">
        <v>0</v>
      </c>
      <c r="P809" s="398">
        <v>0</v>
      </c>
      <c r="Q809" s="398">
        <v>15973.514659128059</v>
      </c>
      <c r="R809" s="398"/>
      <c r="S809" s="398"/>
      <c r="T809" s="398"/>
      <c r="U809" s="398"/>
      <c r="V809" s="338"/>
      <c r="W809" s="338"/>
      <c r="X809" s="338"/>
    </row>
    <row r="810" spans="1:24" s="376" customFormat="1" ht="15" hidden="1" customHeight="1" outlineLevel="1" x14ac:dyDescent="0.25">
      <c r="A810" s="374"/>
      <c r="B810" s="376" t="s">
        <v>750</v>
      </c>
      <c r="C810" s="374" t="s">
        <v>6</v>
      </c>
      <c r="D810" s="453">
        <f>NPV($D$31,L810:U810)+K810</f>
        <v>996489391.78153753</v>
      </c>
      <c r="K810" s="452">
        <f>IF(OR(K806=0,K807="",K808="",K809=""),0,SUM(K$807:K$809)*K$29)</f>
        <v>0</v>
      </c>
      <c r="L810" s="452">
        <f t="shared" ref="L810:U810" si="342">IF(OR(L806=0,L807="",L808="",L809=""),0,SUM(L$807:L$809)*L$29)</f>
        <v>0</v>
      </c>
      <c r="M810" s="452">
        <f t="shared" si="342"/>
        <v>324761946.27949578</v>
      </c>
      <c r="N810" s="452">
        <f t="shared" si="342"/>
        <v>466919265.50399244</v>
      </c>
      <c r="O810" s="452">
        <f t="shared" si="342"/>
        <v>374871829.06050563</v>
      </c>
      <c r="P810" s="452">
        <f t="shared" si="342"/>
        <v>298802097.4657976</v>
      </c>
      <c r="Q810" s="452">
        <f>IF(OR(Q806=0,Q807="",Q808="",Q809=""),0,SUM(Q$807:Q$809)*Q$29)</f>
        <v>280826844.04869157</v>
      </c>
      <c r="R810" s="452">
        <f t="shared" si="342"/>
        <v>0</v>
      </c>
      <c r="S810" s="452">
        <f t="shared" si="342"/>
        <v>0</v>
      </c>
      <c r="T810" s="452">
        <f t="shared" si="342"/>
        <v>0</v>
      </c>
      <c r="U810" s="452">
        <f t="shared" si="342"/>
        <v>0</v>
      </c>
      <c r="V810" s="338"/>
      <c r="W810" s="338"/>
      <c r="X810" s="338"/>
    </row>
    <row r="811" spans="1:24" s="376" customFormat="1" ht="15" hidden="1" customHeight="1" outlineLevel="1" x14ac:dyDescent="0.25">
      <c r="A811" s="374"/>
      <c r="B811" s="376" t="s">
        <v>751</v>
      </c>
      <c r="C811" s="374"/>
      <c r="D811" s="455">
        <f>IFERROR(ROUND(IF(D810/D806=0,0,D810/D806),2),0)</f>
        <v>0.05</v>
      </c>
      <c r="K811" s="455">
        <f>IFERROR(ROUND(IF(K810/K806=0,0,K810/K806),2),0)</f>
        <v>0</v>
      </c>
      <c r="L811" s="455">
        <f t="shared" ref="L811:U811" si="343">IFERROR(ROUND(IF(L810/L806=0,0,L810/L806),2),0)</f>
        <v>0</v>
      </c>
      <c r="M811" s="455">
        <f t="shared" si="343"/>
        <v>0.05</v>
      </c>
      <c r="N811" s="455">
        <f t="shared" si="343"/>
        <v>0.08</v>
      </c>
      <c r="O811" s="455">
        <f t="shared" si="343"/>
        <v>0.05</v>
      </c>
      <c r="P811" s="455">
        <f t="shared" si="343"/>
        <v>0.04</v>
      </c>
      <c r="Q811" s="455">
        <f>IFERROR(ROUND(IF(Q810/Q806=0,0,Q810/Q806),2),0)</f>
        <v>0.03</v>
      </c>
      <c r="R811" s="455">
        <f t="shared" si="343"/>
        <v>0</v>
      </c>
      <c r="S811" s="455">
        <f t="shared" si="343"/>
        <v>0</v>
      </c>
      <c r="T811" s="455">
        <f t="shared" si="343"/>
        <v>0</v>
      </c>
      <c r="U811" s="455">
        <f t="shared" si="343"/>
        <v>0</v>
      </c>
    </row>
    <row r="812" spans="1:24" s="376" customFormat="1" ht="15" hidden="1" customHeight="1" outlineLevel="1" x14ac:dyDescent="0.25">
      <c r="A812" s="374"/>
      <c r="C812" s="374"/>
      <c r="D812"/>
      <c r="K812" s="452"/>
      <c r="L812" s="455"/>
      <c r="M812" s="455"/>
      <c r="N812" s="455"/>
      <c r="O812" s="455"/>
      <c r="P812" s="455"/>
      <c r="Q812" s="455"/>
      <c r="R812" s="455"/>
      <c r="S812" s="455"/>
      <c r="T812" s="455"/>
      <c r="U812" s="455"/>
    </row>
    <row r="813" spans="1:24" s="357" customFormat="1" ht="15.75" collapsed="1" x14ac:dyDescent="0.25">
      <c r="A813" s="356">
        <v>7.2</v>
      </c>
      <c r="B813" s="317" t="s">
        <v>778</v>
      </c>
      <c r="C813" s="317"/>
      <c r="D813"/>
      <c r="E813" s="317"/>
      <c r="F813" s="317"/>
      <c r="G813" s="317"/>
      <c r="H813" s="317"/>
      <c r="I813" s="317"/>
      <c r="J813" s="317"/>
      <c r="K813" s="317"/>
      <c r="L813" s="317"/>
      <c r="M813" s="317"/>
      <c r="N813" s="317"/>
      <c r="O813" s="317"/>
      <c r="P813" s="317"/>
      <c r="Q813" s="317"/>
      <c r="R813" s="317"/>
      <c r="S813" s="317"/>
      <c r="T813" s="317"/>
      <c r="U813" s="317"/>
    </row>
    <row r="814" spans="1:24" s="326" customFormat="1" ht="12" hidden="1" customHeight="1" outlineLevel="1" x14ac:dyDescent="0.2">
      <c r="A814" s="316"/>
      <c r="B814" s="307" t="s">
        <v>767</v>
      </c>
      <c r="C814" s="304" t="s">
        <v>20</v>
      </c>
      <c r="D814" s="984">
        <f>+D795</f>
        <v>98</v>
      </c>
      <c r="E814" s="364"/>
      <c r="F814" s="364"/>
      <c r="G814" s="364"/>
      <c r="H814" s="364"/>
      <c r="I814" s="364"/>
      <c r="J814" s="364"/>
      <c r="K814" s="365"/>
      <c r="L814" s="365"/>
      <c r="M814" s="365"/>
      <c r="N814" s="365"/>
      <c r="O814" s="365"/>
      <c r="P814" s="365"/>
      <c r="Q814" s="365"/>
      <c r="R814" s="365"/>
      <c r="S814" s="365"/>
      <c r="T814" s="365"/>
      <c r="U814" s="365"/>
      <c r="V814" s="297"/>
      <c r="W814" s="297"/>
      <c r="X814" s="297"/>
    </row>
    <row r="815" spans="1:24" s="326" customFormat="1" ht="12" hidden="1" customHeight="1" outlineLevel="1" x14ac:dyDescent="0.2">
      <c r="A815" s="316"/>
      <c r="B815" s="364" t="s">
        <v>124</v>
      </c>
      <c r="C815" s="394" t="s">
        <v>11</v>
      </c>
      <c r="D815" s="444">
        <f>COUNT(L815:U815)</f>
        <v>6</v>
      </c>
      <c r="E815" s="364"/>
      <c r="F815" s="364"/>
      <c r="G815" s="364"/>
      <c r="H815" s="364"/>
      <c r="I815" s="364"/>
      <c r="J815" s="364"/>
      <c r="K815" s="365">
        <v>0</v>
      </c>
      <c r="L815" s="443">
        <f>IF(L817="N/A","",K815+1)</f>
        <v>1</v>
      </c>
      <c r="M815" s="443">
        <f t="shared" ref="M815:U815" si="344">IF(M817="N/A","",L815+1)</f>
        <v>2</v>
      </c>
      <c r="N815" s="443">
        <f t="shared" si="344"/>
        <v>3</v>
      </c>
      <c r="O815" s="443">
        <f t="shared" si="344"/>
        <v>4</v>
      </c>
      <c r="P815" s="443">
        <f t="shared" si="344"/>
        <v>5</v>
      </c>
      <c r="Q815" s="443">
        <f t="shared" si="344"/>
        <v>6</v>
      </c>
      <c r="R815" s="443" t="str">
        <f t="shared" si="344"/>
        <v/>
      </c>
      <c r="S815" s="443" t="str">
        <f t="shared" si="344"/>
        <v/>
      </c>
      <c r="T815" s="443" t="str">
        <f t="shared" si="344"/>
        <v/>
      </c>
      <c r="U815" s="443" t="str">
        <f t="shared" si="344"/>
        <v/>
      </c>
      <c r="V815" s="297"/>
      <c r="W815" s="297"/>
      <c r="X815" s="297"/>
    </row>
    <row r="816" spans="1:24" s="326" customFormat="1" ht="24.95" hidden="1" customHeight="1" outlineLevel="1" x14ac:dyDescent="0.2">
      <c r="A816" s="446" t="str">
        <f>VLOOKUP(B816,'C UNIT PROG TÉCNICOS'!$B$8:$H$108,7,FALSE)</f>
        <v>CAPEX</v>
      </c>
      <c r="B816" s="367" t="s">
        <v>766</v>
      </c>
      <c r="C816" s="304" t="s">
        <v>20</v>
      </c>
      <c r="D816" s="423" t="s">
        <v>19</v>
      </c>
      <c r="E816" s="307"/>
      <c r="F816" s="307"/>
      <c r="G816" s="307"/>
      <c r="H816" s="307"/>
      <c r="I816" s="369"/>
      <c r="J816" s="369"/>
      <c r="K816" s="412">
        <v>0</v>
      </c>
      <c r="L816" s="982">
        <v>0</v>
      </c>
      <c r="M816" s="982">
        <v>7</v>
      </c>
      <c r="N816" s="982">
        <v>20</v>
      </c>
      <c r="O816" s="982">
        <v>34</v>
      </c>
      <c r="P816" s="982">
        <v>25</v>
      </c>
      <c r="Q816" s="982">
        <v>12</v>
      </c>
      <c r="R816" s="412"/>
      <c r="S816" s="412"/>
      <c r="T816" s="412"/>
      <c r="U816" s="412"/>
      <c r="V816" s="297"/>
      <c r="W816" s="297"/>
      <c r="X816" s="297"/>
    </row>
    <row r="817" spans="1:24" s="307" customFormat="1" ht="12" hidden="1" customHeight="1" outlineLevel="1" x14ac:dyDescent="0.25">
      <c r="A817" s="316"/>
      <c r="B817" s="307" t="s">
        <v>742</v>
      </c>
      <c r="D817" s="447" t="str">
        <f>IF(A816="CAPEX","Inversión",IF(A816="OPEX","Operación","I/O"))</f>
        <v>Inversión</v>
      </c>
      <c r="I817" s="370"/>
      <c r="J817" s="338"/>
      <c r="K817" s="371" t="s">
        <v>8</v>
      </c>
      <c r="L817" s="371" t="s">
        <v>8</v>
      </c>
      <c r="M817" s="371" t="s">
        <v>8</v>
      </c>
      <c r="N817" s="371" t="s">
        <v>8</v>
      </c>
      <c r="O817" s="371" t="s">
        <v>8</v>
      </c>
      <c r="P817" s="371" t="s">
        <v>8</v>
      </c>
      <c r="Q817" s="371" t="s">
        <v>8</v>
      </c>
      <c r="R817" s="371" t="s">
        <v>149</v>
      </c>
      <c r="S817" s="371" t="s">
        <v>149</v>
      </c>
      <c r="T817" s="371" t="s">
        <v>149</v>
      </c>
      <c r="U817" s="371" t="s">
        <v>149</v>
      </c>
      <c r="V817" s="297"/>
      <c r="W817" s="297"/>
      <c r="X817" s="297"/>
    </row>
    <row r="818" spans="1:24" s="307" customFormat="1" ht="12" hidden="1" customHeight="1" outlineLevel="1" x14ac:dyDescent="0.25">
      <c r="A818" s="316"/>
      <c r="B818" s="307" t="s">
        <v>762</v>
      </c>
      <c r="C818" s="304"/>
      <c r="D818"/>
      <c r="J818" s="338"/>
      <c r="K818" s="448">
        <f>IF(K817="N/A",0,IF(K817="SI",0,IF(OR($D817="I/O",$D817="Inversión"),0,SUM(VLOOKUP($B816,'C UNIT PROG TÉCNICOS'!$B$8:$G$160,6,FALSE)*'EV PROG TÉCNICOS'!K816))))</f>
        <v>0</v>
      </c>
      <c r="L818" s="448">
        <f>IF(L817="N/A",0,IF(L817="SI",0,IF(OR($D817="I/O",$D817="Inversión"),0,SUM(VLOOKUP($B816,'C UNIT PROG TÉCNICOS'!$B$8:$G$160,6,FALSE)*'EV PROG TÉCNICOS'!L816))))</f>
        <v>0</v>
      </c>
      <c r="M818" s="448">
        <f>IF(M817="N/A",0,IF(M817="SI",0,IF(OR($D817="I/O",$D817="Inversión"),0,SUM(VLOOKUP($B816,'C UNIT PROG TÉCNICOS'!$B$8:$G$160,6,FALSE)*'EV PROG TÉCNICOS'!M816))))</f>
        <v>0</v>
      </c>
      <c r="N818" s="448">
        <f>IF(N817="N/A",0,IF(N817="SI",0,IF(OR($D817="I/O",$D817="Inversión"),0,SUM(VLOOKUP($B816,'C UNIT PROG TÉCNICOS'!$B$8:$G$160,6,FALSE)*'EV PROG TÉCNICOS'!N816))))</f>
        <v>0</v>
      </c>
      <c r="O818" s="448">
        <f>IF(O817="N/A",0,IF(O817="SI",0,IF(OR($D817="I/O",$D817="Inversión"),0,SUM(VLOOKUP($B816,'C UNIT PROG TÉCNICOS'!$B$8:$G$160,6,FALSE)*'EV PROG TÉCNICOS'!O816))))</f>
        <v>0</v>
      </c>
      <c r="P818" s="448">
        <f>IF(P817="N/A",0,IF(P817="SI",0,IF(OR($D817="I/O",$D817="Inversión"),0,SUM(VLOOKUP($B816,'C UNIT PROG TÉCNICOS'!$B$8:$G$160,6,FALSE)*'EV PROG TÉCNICOS'!P816))))</f>
        <v>0</v>
      </c>
      <c r="Q818" s="448">
        <f>IF(Q817="N/A",0,IF(Q817="SI",0,IF(OR($D817="I/O",$D817="Inversión"),0,SUM(VLOOKUP($B816,'C UNIT PROG TÉCNICOS'!$B$8:$G$160,6,FALSE)*'EV PROG TÉCNICOS'!Q816))))</f>
        <v>0</v>
      </c>
      <c r="R818" s="448">
        <f>IF(R817="N/A",0,IF(R817="SI",0,IF(OR($D817="I/O",$D817="Inversión"),0,SUM(VLOOKUP($B816,'C UNIT PROG TÉCNICOS'!$B$8:$G$160,6,FALSE)*'EV PROG TÉCNICOS'!R816))))</f>
        <v>0</v>
      </c>
      <c r="S818" s="448">
        <f>IF(S817="N/A",0,IF(S817="SI",0,IF(OR($D817="I/O",$D817="Inversión"),0,SUM(VLOOKUP($B816,'C UNIT PROG TÉCNICOS'!$B$8:$G$160,6,FALSE)*'EV PROG TÉCNICOS'!S816))))</f>
        <v>0</v>
      </c>
      <c r="T818" s="448">
        <f>IF(T817="N/A",0,IF(T817="SI",0,IF(OR($D817="I/O",$D817="Inversión"),0,SUM(VLOOKUP($B816,'C UNIT PROG TÉCNICOS'!$B$8:$G$160,6,FALSE)*'EV PROG TÉCNICOS'!T816))))</f>
        <v>0</v>
      </c>
      <c r="U818" s="448">
        <f>IF(U817="N/A",0,IF(U817="SI",0,IF(OR($D817="I/O",$D817="Inversión"),0,SUM(VLOOKUP($B816,'C UNIT PROG TÉCNICOS'!$B$8:$G$160,6,FALSE)*'EV PROG TÉCNICOS'!U816))))</f>
        <v>0</v>
      </c>
      <c r="V818" s="297"/>
      <c r="W818" s="297"/>
      <c r="X818" s="297"/>
    </row>
    <row r="819" spans="1:24" s="307" customFormat="1" ht="12" hidden="1" customHeight="1" outlineLevel="1" x14ac:dyDescent="0.25">
      <c r="A819" s="316"/>
      <c r="B819" s="307" t="s">
        <v>763</v>
      </c>
      <c r="C819" s="304" t="s">
        <v>6</v>
      </c>
      <c r="D819"/>
      <c r="J819" s="338"/>
      <c r="K819" s="450">
        <f>IF(K817="N/A",0,IF(K817="SI",0,K$21*K818))</f>
        <v>0</v>
      </c>
      <c r="L819" s="450">
        <f>IF(L817="N/A",0,IF(L817="SI",0,L$21*L818))</f>
        <v>0</v>
      </c>
      <c r="M819" s="450">
        <f>IF(M817="N/A",0,IF(M817="SI",0,M$21*M818))</f>
        <v>0</v>
      </c>
      <c r="N819" s="450">
        <f>IF(N817="N/A",0,IF(N817="SI",0,N$21*N818))</f>
        <v>0</v>
      </c>
      <c r="O819" s="450">
        <f t="shared" ref="O819:U819" si="345">IF(O817="N/A",0,IF(O817="SI",0,O$21*O818))</f>
        <v>0</v>
      </c>
      <c r="P819" s="450">
        <f t="shared" si="345"/>
        <v>0</v>
      </c>
      <c r="Q819" s="450">
        <f t="shared" si="345"/>
        <v>0</v>
      </c>
      <c r="R819" s="450">
        <f t="shared" si="345"/>
        <v>0</v>
      </c>
      <c r="S819" s="450">
        <f t="shared" si="345"/>
        <v>0</v>
      </c>
      <c r="T819" s="450">
        <f t="shared" si="345"/>
        <v>0</v>
      </c>
      <c r="U819" s="450">
        <f t="shared" si="345"/>
        <v>0</v>
      </c>
      <c r="V819" s="297"/>
      <c r="W819" s="297"/>
      <c r="X819" s="297"/>
    </row>
    <row r="820" spans="1:24" s="307" customFormat="1" ht="12" hidden="1" customHeight="1" outlineLevel="1" x14ac:dyDescent="0.25">
      <c r="A820" s="316"/>
      <c r="B820" s="307" t="s">
        <v>764</v>
      </c>
      <c r="C820" s="304" t="s">
        <v>6</v>
      </c>
      <c r="D820"/>
      <c r="J820" s="338"/>
      <c r="K820" s="450">
        <f>IF(K817="N/A",0,IF(K817="SI",0,IF(OR($D817="Inversión",$D817="I/O"),SUM(VLOOKUP($B816,'C UNIT PROG TÉCNICOS'!$B$8:$G$160,5,FALSE)*'EV PROG TÉCNICOS'!K816),0)))</f>
        <v>0</v>
      </c>
      <c r="L820" s="450">
        <f>IF(L817="N/A",0,IF(L817="SI",0,IF(OR($D817="Inversión",$D817="I/O"),SUM(VLOOKUP($B816,'C UNIT PROG TÉCNICOS'!$B$8:$G$160,5,FALSE)*'EV PROG TÉCNICOS'!L816),0))*((1+$D$24)^(L$3-$K$3)))</f>
        <v>0</v>
      </c>
      <c r="M820" s="450">
        <f>IF(M817="N/A",0,IF(M817="SI",0,IF(OR($D817="Inversión",$D817="I/O"),SUM(VLOOKUP($B816,'C UNIT PROG TÉCNICOS'!$B$8:$G$160,5,FALSE)*'EV PROG TÉCNICOS'!M816),0))*((1+$D$24)^(M$3-$K$3)))</f>
        <v>9564986.3487574514</v>
      </c>
      <c r="N820" s="450">
        <f>IF(N817="N/A",0,IF(N817="SI",0,IF(OR($D817="Inversión",$D817="I/O"),SUM(VLOOKUP($B816,'C UNIT PROG TÉCNICOS'!$B$8:$G$160,5,FALSE)*'EV PROG TÉCNICOS'!N816),0))*((1+$D$24)^(N$3-$K$3)))</f>
        <v>28301315.039227799</v>
      </c>
      <c r="O820" s="450">
        <f>IF(O817="N/A",0,IF(O817="SI",0,IF(OR($D817="Inversión",$D817="I/O"),SUM(VLOOKUP($B816,'C UNIT PROG TÉCNICOS'!$B$8:$G$160,5,FALSE)*'EV PROG TÉCNICOS'!O816),0))*((1+$D$24)^(O$3-$K$3)))</f>
        <v>49824831.968206085</v>
      </c>
      <c r="P820" s="450">
        <f>IF(P817="N/A",0,IF(P817="SI",0,IF(OR($D817="Inversión",$D817="I/O"),SUM(VLOOKUP($B816,'C UNIT PROG TÉCNICOS'!$B$8:$G$160,5,FALSE)*'EV PROG TÉCNICOS'!P816),0))*((1+$D$24)^(P$3-$K$3)))</f>
        <v>37939992.434904315</v>
      </c>
      <c r="Q820" s="450">
        <f>IF(Q817="N/A",0,IF(Q817="SI",0,IF(OR($D817="Inversión",$D817="I/O"),SUM(VLOOKUP($B816,'C UNIT PROG TÉCNICOS'!$B$8:$G$160,5,FALSE)*'EV PROG TÉCNICOS'!Q816),0))*((1+$D$24)^(Q$3-$K$3)))</f>
        <v>18859439.565128747</v>
      </c>
      <c r="R820" s="450">
        <f>IF(R817="N/A",0,IF(R817="SI",0,IF(OR($D817="Inversión",$D817="I/O"),SUM(VLOOKUP($B816,'C UNIT PROG TÉCNICOS'!$B$8:$G$160,5,FALSE)*'EV PROG TÉCNICOS'!R816),0))*((1+$D$24)^(R$3-$K$3)))</f>
        <v>0</v>
      </c>
      <c r="S820" s="450">
        <f>IF(S817="N/A",0,IF(S817="SI",0,IF(OR($D817="Inversión",$D817="I/O"),SUM(VLOOKUP($B816,'C UNIT PROG TÉCNICOS'!$B$8:$G$160,5,FALSE)*'EV PROG TÉCNICOS'!S816),0))*((1+$D$24)^(S$3-$K$3)))</f>
        <v>0</v>
      </c>
      <c r="T820" s="450">
        <f>IF(T817="N/A",0,IF(T817="SI",0,IF(OR($D817="Inversión",$D817="I/O"),SUM(VLOOKUP($B816,'C UNIT PROG TÉCNICOS'!$B$8:$G$160,5,FALSE)*'EV PROG TÉCNICOS'!T816),0))*((1+$D$24)^(T$3-$K$3)))</f>
        <v>0</v>
      </c>
      <c r="U820" s="450">
        <f>IF(U817="N/A",0,IF(U817="SI",0,IF(OR($D817="Inversión",$D817="I/O"),SUM(VLOOKUP($B816,'C UNIT PROG TÉCNICOS'!$B$8:$G$160,5,FALSE)*'EV PROG TÉCNICOS'!U816),0))*((1+$D$24)^(U$3-$K$3)))</f>
        <v>0</v>
      </c>
      <c r="V820" s="297"/>
      <c r="W820" s="297"/>
      <c r="X820" s="297"/>
    </row>
    <row r="821" spans="1:24" s="376" customFormat="1" ht="25.35" hidden="1" customHeight="1" outlineLevel="1" x14ac:dyDescent="0.25">
      <c r="A821" s="374"/>
      <c r="B821" s="454" t="str">
        <f>CONCATENATE("VNA  ",B813)</f>
        <v>VNA  Reposición de acometidas</v>
      </c>
      <c r="C821" s="374" t="s">
        <v>6</v>
      </c>
      <c r="D821" s="453">
        <f>NPV($D$31,L821:U821)+K821</f>
        <v>77814337.899173826</v>
      </c>
      <c r="J821" s="338"/>
      <c r="K821" s="452">
        <f>IF(OR(K817="N/A",K818=0),0,IF($D817="Operación",K819,K820))</f>
        <v>0</v>
      </c>
      <c r="L821" s="452">
        <f>IF(L817="N/A",0,IF($D817="Operación",L819,L820))</f>
        <v>0</v>
      </c>
      <c r="M821" s="452">
        <f>IF(M817="N/A",0,IF($D817="Operación",M819,M820))</f>
        <v>9564986.3487574514</v>
      </c>
      <c r="N821" s="452">
        <f>IF(N817="N/A",0,IF($D817="Operación",N819,N820))</f>
        <v>28301315.039227799</v>
      </c>
      <c r="O821" s="452">
        <f t="shared" ref="O821:U821" si="346">IF(O817="N/A",0,IF($D817="Operación",O819,O820))</f>
        <v>49824831.968206085</v>
      </c>
      <c r="P821" s="452">
        <f t="shared" si="346"/>
        <v>37939992.434904315</v>
      </c>
      <c r="Q821" s="452">
        <f>IF(Q817="N/A",0,IF($D817="Operación",Q819,Q820))</f>
        <v>18859439.565128747</v>
      </c>
      <c r="R821" s="452">
        <f t="shared" si="346"/>
        <v>0</v>
      </c>
      <c r="S821" s="452">
        <f t="shared" si="346"/>
        <v>0</v>
      </c>
      <c r="T821" s="452">
        <f t="shared" si="346"/>
        <v>0</v>
      </c>
      <c r="U821" s="452">
        <f t="shared" si="346"/>
        <v>0</v>
      </c>
      <c r="V821" s="297"/>
      <c r="W821" s="297"/>
      <c r="X821" s="297"/>
    </row>
    <row r="822" spans="1:24" s="393" customFormat="1" ht="15" hidden="1" customHeight="1" outlineLevel="1" x14ac:dyDescent="0.25">
      <c r="A822" s="374"/>
      <c r="B822" s="376" t="s">
        <v>765</v>
      </c>
      <c r="C822" s="374" t="s">
        <v>106</v>
      </c>
      <c r="D822" s="475">
        <f>SUM(L822:U822)</f>
        <v>651399.74630133749</v>
      </c>
      <c r="E822" s="376"/>
      <c r="F822" s="376"/>
      <c r="G822" s="376"/>
      <c r="H822" s="376"/>
      <c r="I822" s="376"/>
      <c r="J822" s="376"/>
      <c r="K822" s="398"/>
      <c r="L822" s="398"/>
      <c r="M822" s="398">
        <v>27438.086234773506</v>
      </c>
      <c r="N822" s="398">
        <v>324472.50227052951</v>
      </c>
      <c r="O822" s="398">
        <v>162616.3113061875</v>
      </c>
      <c r="P822" s="398">
        <v>111912.83390444418</v>
      </c>
      <c r="Q822" s="398">
        <v>24960.012585402772</v>
      </c>
      <c r="R822" s="398"/>
      <c r="S822" s="398"/>
      <c r="T822" s="398"/>
      <c r="U822" s="398"/>
      <c r="V822" s="338"/>
      <c r="W822" s="338"/>
      <c r="X822" s="338"/>
    </row>
    <row r="823" spans="1:24" s="376" customFormat="1" ht="15" hidden="1" customHeight="1" outlineLevel="1" x14ac:dyDescent="0.25">
      <c r="A823" s="374"/>
      <c r="B823" s="376" t="s">
        <v>750</v>
      </c>
      <c r="C823" s="374" t="s">
        <v>6</v>
      </c>
      <c r="D823" s="453">
        <f>NPV($D$31,L823:U823)+K823</f>
        <v>122349244.4459177</v>
      </c>
      <c r="K823" s="452">
        <f>IF(OR(K817="N/A",K822=0),0,K822*K$29)</f>
        <v>0</v>
      </c>
      <c r="L823" s="452">
        <f>IF(OR(L817="N/A",L822=0),0,L822*L$29)</f>
        <v>0</v>
      </c>
      <c r="M823" s="452">
        <f t="shared" ref="M823:U823" si="347">IF(OR(M817="N/A",M822=0),0,M822*M$29)</f>
        <v>8402343.6966182068</v>
      </c>
      <c r="N823" s="452">
        <f t="shared" si="347"/>
        <v>102899870.73636457</v>
      </c>
      <c r="O823" s="452">
        <f t="shared" si="347"/>
        <v>53406158.747621052</v>
      </c>
      <c r="P823" s="452">
        <f t="shared" si="347"/>
        <v>38062511.0137963</v>
      </c>
      <c r="Q823" s="452">
        <f>IF(OR(Q817="N/A",Q822=0),0,Q822*Q$29)</f>
        <v>8791290.8402253501</v>
      </c>
      <c r="R823" s="452">
        <f t="shared" si="347"/>
        <v>0</v>
      </c>
      <c r="S823" s="452">
        <f t="shared" si="347"/>
        <v>0</v>
      </c>
      <c r="T823" s="452">
        <f t="shared" si="347"/>
        <v>0</v>
      </c>
      <c r="U823" s="452">
        <f t="shared" si="347"/>
        <v>0</v>
      </c>
      <c r="V823" s="338"/>
      <c r="W823" s="338"/>
      <c r="X823" s="338"/>
    </row>
    <row r="824" spans="1:24" s="376" customFormat="1" ht="15" hidden="1" customHeight="1" outlineLevel="1" x14ac:dyDescent="0.25">
      <c r="A824" s="374"/>
      <c r="B824" s="376" t="s">
        <v>751</v>
      </c>
      <c r="C824" s="374"/>
      <c r="D824" s="455">
        <f>IFERROR(ROUND(IF(D823/D821=0,0,D823/D821),2),0)</f>
        <v>1.57</v>
      </c>
      <c r="K824" s="455">
        <f t="shared" ref="K824:U824" si="348">IFERROR(ROUND(IF(K823/K821=0,0,K823/K821),2),0)</f>
        <v>0</v>
      </c>
      <c r="L824" s="455">
        <f t="shared" si="348"/>
        <v>0</v>
      </c>
      <c r="M824" s="455">
        <f t="shared" si="348"/>
        <v>0.88</v>
      </c>
      <c r="N824" s="455">
        <f t="shared" si="348"/>
        <v>3.64</v>
      </c>
      <c r="O824" s="455">
        <f t="shared" si="348"/>
        <v>1.07</v>
      </c>
      <c r="P824" s="455">
        <f t="shared" si="348"/>
        <v>1</v>
      </c>
      <c r="Q824" s="455">
        <f>IFERROR(ROUND(IF(Q823/Q821=0,0,Q823/Q821),2),0)</f>
        <v>0.47</v>
      </c>
      <c r="R824" s="455">
        <f t="shared" si="348"/>
        <v>0</v>
      </c>
      <c r="S824" s="455">
        <f t="shared" si="348"/>
        <v>0</v>
      </c>
      <c r="T824" s="455">
        <f t="shared" si="348"/>
        <v>0</v>
      </c>
      <c r="U824" s="455">
        <f t="shared" si="348"/>
        <v>0</v>
      </c>
    </row>
    <row r="825" spans="1:24" s="376" customFormat="1" ht="15" hidden="1" customHeight="1" outlineLevel="1" x14ac:dyDescent="0.25">
      <c r="A825" s="374"/>
      <c r="C825" s="374"/>
      <c r="D825"/>
      <c r="K825" s="452"/>
      <c r="L825" s="455"/>
      <c r="M825" s="455"/>
      <c r="N825" s="455"/>
      <c r="O825" s="455"/>
      <c r="P825" s="455"/>
      <c r="Q825" s="455"/>
      <c r="R825" s="455"/>
      <c r="S825" s="455"/>
      <c r="T825" s="455"/>
      <c r="U825" s="455"/>
    </row>
    <row r="826" spans="1:24" s="355" customFormat="1" ht="20.100000000000001" customHeight="1" collapsed="1" thickBot="1" x14ac:dyDescent="0.3">
      <c r="A826" s="323">
        <v>8</v>
      </c>
      <c r="B826" s="1730" t="s">
        <v>1277</v>
      </c>
      <c r="C826" s="1730"/>
      <c r="D826" s="1730"/>
      <c r="E826" s="1730"/>
      <c r="F826" s="1730"/>
      <c r="G826" s="1730"/>
      <c r="H826" s="1730"/>
      <c r="I826" s="1730"/>
      <c r="J826" s="1730"/>
      <c r="K826" s="1730"/>
      <c r="L826" s="1730"/>
      <c r="M826" s="1730"/>
      <c r="N826" s="1730"/>
      <c r="O826" s="1730"/>
      <c r="P826" s="1730"/>
      <c r="Q826" s="1730"/>
      <c r="R826" s="1730"/>
      <c r="S826" s="1730"/>
      <c r="T826" s="1730"/>
      <c r="U826" s="1730"/>
    </row>
    <row r="827" spans="1:24" s="357" customFormat="1" ht="15.75" x14ac:dyDescent="0.25">
      <c r="A827" s="356">
        <v>8.1</v>
      </c>
      <c r="B827" s="317" t="s">
        <v>213</v>
      </c>
      <c r="C827" s="317"/>
      <c r="D827" s="317"/>
      <c r="E827" s="317"/>
      <c r="F827" s="317"/>
      <c r="G827" s="317"/>
      <c r="H827" s="317"/>
      <c r="I827" s="317"/>
      <c r="J827" s="317"/>
      <c r="K827" s="317"/>
      <c r="L827" s="317"/>
      <c r="M827" s="317"/>
      <c r="N827" s="317"/>
      <c r="O827" s="317"/>
      <c r="P827" s="317"/>
      <c r="Q827" s="317"/>
      <c r="R827" s="317"/>
      <c r="S827" s="317"/>
      <c r="T827" s="317"/>
      <c r="U827" s="317"/>
    </row>
    <row r="828" spans="1:24" s="357" customFormat="1" ht="15.75" hidden="1" outlineLevel="1" x14ac:dyDescent="0.25">
      <c r="A828" s="356"/>
      <c r="B828" s="317" t="s">
        <v>219</v>
      </c>
      <c r="C828" s="394" t="s">
        <v>80</v>
      </c>
      <c r="D828" s="958">
        <f>1-'EV PROG CCIALES'!C433%</f>
        <v>0.99370000000000003</v>
      </c>
      <c r="E828" s="317"/>
      <c r="F828" s="317"/>
      <c r="G828" s="317"/>
      <c r="H828" s="317"/>
      <c r="I828" s="317"/>
      <c r="J828" s="317"/>
      <c r="K828" s="317"/>
      <c r="L828" s="317"/>
      <c r="M828" s="317"/>
      <c r="N828" s="317"/>
      <c r="O828" s="317"/>
      <c r="P828" s="317"/>
      <c r="Q828" s="317"/>
      <c r="R828" s="317"/>
      <c r="S828" s="317"/>
      <c r="T828" s="317"/>
      <c r="U828" s="317"/>
    </row>
    <row r="829" spans="1:24" s="326" customFormat="1" ht="12" hidden="1" customHeight="1" outlineLevel="1" x14ac:dyDescent="0.2">
      <c r="A829" s="316"/>
      <c r="B829" s="307" t="s">
        <v>215</v>
      </c>
      <c r="C829" s="304" t="s">
        <v>214</v>
      </c>
      <c r="D829" s="476">
        <f>'EV PROG CCIALES'!C435</f>
        <v>0</v>
      </c>
      <c r="E829" s="364"/>
      <c r="F829" s="364"/>
      <c r="G829" s="364"/>
      <c r="H829" s="364"/>
      <c r="I829" s="364"/>
      <c r="J829" s="364"/>
      <c r="K829" s="474">
        <f>D829</f>
        <v>0</v>
      </c>
      <c r="L829" s="474">
        <f>K829-L831</f>
        <v>0</v>
      </c>
      <c r="M829" s="474">
        <f>L829-M831</f>
        <v>0</v>
      </c>
      <c r="N829" s="474">
        <f>M829-N831</f>
        <v>0</v>
      </c>
      <c r="O829" s="474">
        <f>N829-O831</f>
        <v>0</v>
      </c>
      <c r="P829" s="474"/>
      <c r="Q829" s="474"/>
      <c r="R829" s="474"/>
      <c r="S829" s="474"/>
      <c r="T829" s="474"/>
      <c r="U829" s="474"/>
      <c r="V829" s="297"/>
      <c r="W829" s="297"/>
      <c r="X829" s="297"/>
    </row>
    <row r="830" spans="1:24" s="326" customFormat="1" ht="12" hidden="1" customHeight="1" outlineLevel="1" x14ac:dyDescent="0.25">
      <c r="A830" s="316"/>
      <c r="B830" s="364" t="s">
        <v>124</v>
      </c>
      <c r="C830" s="394" t="s">
        <v>11</v>
      </c>
      <c r="D830" s="397">
        <v>5</v>
      </c>
      <c r="E830" s="364"/>
      <c r="F830" s="364"/>
      <c r="G830" s="364"/>
      <c r="H830" s="364"/>
      <c r="I830" s="364"/>
      <c r="J830" s="338"/>
      <c r="K830" s="365">
        <v>0</v>
      </c>
      <c r="L830" s="443">
        <f>IF(L831="","",K830+1)</f>
        <v>1</v>
      </c>
      <c r="M830" s="443">
        <f>IF(M831="","",L830+1)</f>
        <v>2</v>
      </c>
      <c r="N830" s="443">
        <f>IF(N831="","",M830+1)</f>
        <v>3</v>
      </c>
      <c r="O830" s="443">
        <f>IF(O831="","",N830+1)</f>
        <v>4</v>
      </c>
      <c r="P830" s="443" t="str">
        <f>IF(P831="","",O830+1)</f>
        <v/>
      </c>
      <c r="Q830" s="443"/>
      <c r="R830" s="443"/>
      <c r="S830" s="443"/>
      <c r="T830" s="443"/>
      <c r="U830" s="443"/>
      <c r="V830" s="297"/>
      <c r="W830" s="297"/>
      <c r="X830" s="297"/>
    </row>
    <row r="831" spans="1:24" s="307" customFormat="1" ht="25.35" hidden="1" customHeight="1" outlineLevel="1" x14ac:dyDescent="0.25">
      <c r="A831" s="446" t="str">
        <f>VLOOKUP(B831,'C UNIT PROG TÉCNICOS'!$B$8:$H$108,7,FALSE)</f>
        <v>CAPEX</v>
      </c>
      <c r="B831" s="367" t="s">
        <v>217</v>
      </c>
      <c r="C831" s="304" t="s">
        <v>218</v>
      </c>
      <c r="D831" s="423" t="s">
        <v>19</v>
      </c>
      <c r="I831" s="369"/>
      <c r="J831" s="338"/>
      <c r="K831" s="1719">
        <f>'EV PROG CCIALES'!J435</f>
        <v>0</v>
      </c>
      <c r="L831" s="1719">
        <f>'EV PROG CCIALES'!K435</f>
        <v>0</v>
      </c>
      <c r="M831" s="1719">
        <f>'EV PROG CCIALES'!L435</f>
        <v>0</v>
      </c>
      <c r="N831" s="1719">
        <f>'EV PROG CCIALES'!M435</f>
        <v>0</v>
      </c>
      <c r="O831" s="1719">
        <f>'EV PROG CCIALES'!N435</f>
        <v>0</v>
      </c>
      <c r="P831" s="1720"/>
      <c r="Q831" s="1720"/>
      <c r="R831" s="1720"/>
      <c r="S831" s="1720"/>
      <c r="T831" s="1720"/>
      <c r="U831" s="1720"/>
      <c r="V831" s="297"/>
      <c r="W831" s="297"/>
      <c r="X831" s="297"/>
    </row>
    <row r="832" spans="1:24" s="307" customFormat="1" ht="12" hidden="1" customHeight="1" outlineLevel="1" x14ac:dyDescent="0.25">
      <c r="A832" s="316"/>
      <c r="B832" s="307" t="s">
        <v>742</v>
      </c>
      <c r="D832" s="447" t="str">
        <f>IF(A831="CAPEX","Inversión",IF(A831="OPEX","Operación","I/O"))</f>
        <v>Inversión</v>
      </c>
      <c r="I832" s="370"/>
      <c r="J832" s="338"/>
      <c r="K832" s="371" t="s">
        <v>207</v>
      </c>
      <c r="L832" s="371" t="s">
        <v>8</v>
      </c>
      <c r="M832" s="371" t="s">
        <v>8</v>
      </c>
      <c r="N832" s="371" t="s">
        <v>8</v>
      </c>
      <c r="O832" s="371" t="s">
        <v>8</v>
      </c>
      <c r="P832" s="371" t="s">
        <v>149</v>
      </c>
      <c r="Q832" s="371" t="s">
        <v>149</v>
      </c>
      <c r="R832" s="371" t="s">
        <v>149</v>
      </c>
      <c r="S832" s="371" t="s">
        <v>149</v>
      </c>
      <c r="T832" s="371" t="s">
        <v>149</v>
      </c>
      <c r="U832" s="371" t="s">
        <v>149</v>
      </c>
      <c r="V832" s="297"/>
      <c r="W832" s="297"/>
      <c r="X832" s="297"/>
    </row>
    <row r="833" spans="1:24" s="307" customFormat="1" ht="12" hidden="1" customHeight="1" outlineLevel="1" x14ac:dyDescent="0.25">
      <c r="A833" s="316"/>
      <c r="B833" s="307" t="s">
        <v>762</v>
      </c>
      <c r="C833" s="304"/>
      <c r="D833" s="304"/>
      <c r="J833" s="338"/>
      <c r="K833" s="448">
        <f>IFERROR(IF(K832="N/A",0,IF(K832="SI",0,IF($D166="Inversión",0,SUM(VLOOKUP($B831,'C UNIT PROG TÉCNICOS'!$B$8:$G$160,6,FALSE)*'EV PROG TÉCNICOS'!K831)))),0)*porc</f>
        <v>0</v>
      </c>
      <c r="L833" s="448">
        <f>IFERROR(IF(L832="N/A",0,IF(L832="SI",0,IF($D832="Inversión",0,SUM(VLOOKUP($B831,'C UNIT PROG TÉCNICOS'!$B$8:$G$160,6,FALSE)*'EV PROG TÉCNICOS'!L831)))),0)*porc</f>
        <v>0</v>
      </c>
      <c r="M833" s="448">
        <f>IFERROR(IF(M832="N/A",0,IF(M832="SI",0,IF($D832="Inversión",0,SUM(VLOOKUP($B831,'C UNIT PROG TÉCNICOS'!$B$8:$G$160,6,FALSE)*'EV PROG TÉCNICOS'!M831)))),0)*porc</f>
        <v>0</v>
      </c>
      <c r="N833" s="448">
        <f>IFERROR(IF(N832="N/A",0,IF(N832="SI",0,IF($D832="Inversión",0,SUM(VLOOKUP($B831,'C UNIT PROG TÉCNICOS'!$B$8:$G$160,6,FALSE)*'EV PROG TÉCNICOS'!N831)))),0)*porc</f>
        <v>0</v>
      </c>
      <c r="O833" s="448">
        <f>IFERROR(IF(O832="N/A",0,IF(O832="SI",0,IF($D832="Inversión",0,SUM(VLOOKUP($B831,'C UNIT PROG TÉCNICOS'!$B$8:$G$160,6,FALSE)*'EV PROG TÉCNICOS'!O831)))),0)*porc</f>
        <v>0</v>
      </c>
      <c r="P833" s="448">
        <f>IFERROR(IF(P832="N/A",0,IF(P832="SI",0,IF($D832="Inversión",0,SUM(VLOOKUP($B831,'C UNIT PROG TÉCNICOS'!$B$8:$G$160,6,FALSE)*'EV PROG TÉCNICOS'!P831)))),0)*porc</f>
        <v>0</v>
      </c>
      <c r="Q833" s="448"/>
      <c r="R833" s="448"/>
      <c r="S833" s="448"/>
      <c r="T833" s="448"/>
      <c r="U833" s="448"/>
      <c r="V833" s="338"/>
      <c r="W833" s="338"/>
      <c r="X833" s="338"/>
    </row>
    <row r="834" spans="1:24" s="307" customFormat="1" ht="12" hidden="1" customHeight="1" outlineLevel="1" x14ac:dyDescent="0.25">
      <c r="A834" s="316"/>
      <c r="B834" s="307" t="s">
        <v>763</v>
      </c>
      <c r="C834" s="304" t="s">
        <v>6</v>
      </c>
      <c r="D834" s="304"/>
      <c r="J834" s="338"/>
      <c r="K834" s="450">
        <f t="shared" ref="K834:P834" si="349">IF(K832="N/A",0,IF(K832="SI",0,K$21*K833))</f>
        <v>0</v>
      </c>
      <c r="L834" s="450">
        <f t="shared" si="349"/>
        <v>0</v>
      </c>
      <c r="M834" s="450">
        <f t="shared" si="349"/>
        <v>0</v>
      </c>
      <c r="N834" s="450">
        <f t="shared" si="349"/>
        <v>0</v>
      </c>
      <c r="O834" s="450">
        <f t="shared" si="349"/>
        <v>0</v>
      </c>
      <c r="P834" s="450">
        <f t="shared" si="349"/>
        <v>0</v>
      </c>
      <c r="Q834" s="450"/>
      <c r="R834" s="450"/>
      <c r="S834" s="450"/>
      <c r="T834" s="450"/>
      <c r="U834" s="450"/>
      <c r="V834" s="338"/>
      <c r="W834" s="338"/>
      <c r="X834" s="338"/>
    </row>
    <row r="835" spans="1:24" s="307" customFormat="1" ht="12" hidden="1" customHeight="1" outlineLevel="1" x14ac:dyDescent="0.25">
      <c r="A835" s="316"/>
      <c r="B835" s="307" t="s">
        <v>764</v>
      </c>
      <c r="C835" s="304" t="s">
        <v>6</v>
      </c>
      <c r="D835" s="304"/>
      <c r="J835" s="338"/>
      <c r="K835" s="450">
        <f>IF(K832="N/A",0,IF(K832="SI",0,SUM(,VLOOKUP($B831,'C UNIT PROG TÉCNICOS'!$B$8:$G$160,5,FALSE)*'EV PROG TÉCNICOS'!K831))*((1+$D$24)^(K$3-$K$3)))*porc</f>
        <v>0</v>
      </c>
      <c r="L835" s="450">
        <f>IF(L832="N/A",0,IF(L832="SI",0,IF(OR($D832="Inversión",$D832="I/O"),SUM(VLOOKUP($B831,'C UNIT PROG TÉCNICOS'!$B$8:$G$160,5,FALSE)*'EV PROG TÉCNICOS'!L831),0))*((1+$D$24)^(L$3-$K$3)))*porc</f>
        <v>0</v>
      </c>
      <c r="M835" s="450">
        <f>IF(M832="N/A",0,IF(M832="SI",0,IF(OR($D832="Inversión",$D832="I/O"),SUM(VLOOKUP($B831,'C UNIT PROG TÉCNICOS'!$B$8:$G$160,5,FALSE)*'EV PROG TÉCNICOS'!M831),0))*((1+$D$24)^(M$3-$K$3)))*porc</f>
        <v>0</v>
      </c>
      <c r="N835" s="450">
        <f>IF(N832="N/A",0,IF(N832="SI",0,IF(OR($D832="Inversión",$D832="I/O"),SUM(VLOOKUP($B831,'C UNIT PROG TÉCNICOS'!$B$8:$G$160,5,FALSE)*'EV PROG TÉCNICOS'!N831),0))*((1+$D$24)^(N$3-$K$3)))*porc</f>
        <v>0</v>
      </c>
      <c r="O835" s="450">
        <f>IF(O832="N/A",0,IF(O832="SI",0,IF(OR($D832="Inversión",$D832="I/O"),SUM(VLOOKUP($B831,'C UNIT PROG TÉCNICOS'!$B$8:$G$160,5,FALSE)*'EV PROG TÉCNICOS'!O831),0))*((1+$D$24)^(O$3-$K$3)))*porc</f>
        <v>0</v>
      </c>
      <c r="P835" s="450">
        <f>IF(P832="N/A",0,IF(P832="SI",0,IF(OR($D832="Inversión",$D832="I/O"),SUM(VLOOKUP($B831,'C UNIT PROG TÉCNICOS'!$B$8:$G$160,5,FALSE)*'EV PROG TÉCNICOS'!P831),0))*((1+$D$24)^(P$3-$K$3)))*porc</f>
        <v>0</v>
      </c>
      <c r="Q835" s="450"/>
      <c r="R835" s="450"/>
      <c r="S835" s="450"/>
      <c r="T835" s="450"/>
      <c r="U835" s="450"/>
      <c r="V835" s="338"/>
      <c r="W835" s="338"/>
      <c r="X835" s="338"/>
    </row>
    <row r="836" spans="1:24" s="376" customFormat="1" ht="25.35" hidden="1" customHeight="1" outlineLevel="1" x14ac:dyDescent="0.25">
      <c r="A836" s="374"/>
      <c r="B836" s="454" t="str">
        <f>CONCATENATE("VNA  ",B827)</f>
        <v>VNA  Redes provisionales</v>
      </c>
      <c r="C836" s="374" t="s">
        <v>6</v>
      </c>
      <c r="D836" s="477">
        <f>NPV($D$31,L836:U836)+K836</f>
        <v>0</v>
      </c>
      <c r="J836" s="338"/>
      <c r="K836" s="452">
        <f t="shared" ref="K836:P836" si="350">IF(K832="N/A",0,IF($D832="Operación",K834,K835))</f>
        <v>0</v>
      </c>
      <c r="L836" s="452">
        <f t="shared" si="350"/>
        <v>0</v>
      </c>
      <c r="M836" s="452">
        <f t="shared" si="350"/>
        <v>0</v>
      </c>
      <c r="N836" s="452">
        <f t="shared" si="350"/>
        <v>0</v>
      </c>
      <c r="O836" s="452">
        <f t="shared" si="350"/>
        <v>0</v>
      </c>
      <c r="P836" s="452">
        <f t="shared" si="350"/>
        <v>0</v>
      </c>
      <c r="Q836" s="452"/>
      <c r="R836" s="452"/>
      <c r="S836" s="452"/>
      <c r="T836" s="452"/>
      <c r="U836" s="452"/>
      <c r="V836" s="338"/>
      <c r="W836" s="338"/>
      <c r="X836" s="338"/>
    </row>
    <row r="837" spans="1:24" s="393" customFormat="1" ht="15" hidden="1" customHeight="1" outlineLevel="1" x14ac:dyDescent="0.25">
      <c r="A837" s="374"/>
      <c r="B837" s="454" t="str">
        <f>CONCATENATE("Volumen de agua recuperado por ",B827)</f>
        <v>Volumen de agua recuperado por Redes provisionales</v>
      </c>
      <c r="C837" s="374" t="s">
        <v>106</v>
      </c>
      <c r="D837" s="457">
        <f>SUM(L837:U837)</f>
        <v>0</v>
      </c>
      <c r="E837" s="376"/>
      <c r="F837" s="376"/>
      <c r="G837" s="376"/>
      <c r="H837" s="376"/>
      <c r="I837" s="376"/>
      <c r="J837" s="338"/>
      <c r="K837" s="414"/>
      <c r="L837" s="398">
        <v>0</v>
      </c>
      <c r="M837" s="398">
        <v>0</v>
      </c>
      <c r="N837" s="398">
        <v>0</v>
      </c>
      <c r="O837" s="398">
        <v>0</v>
      </c>
      <c r="P837" s="398"/>
      <c r="Q837" s="398"/>
      <c r="R837" s="398"/>
      <c r="S837" s="398"/>
      <c r="T837" s="398"/>
      <c r="U837" s="398"/>
      <c r="V837" s="338"/>
      <c r="W837" s="338"/>
      <c r="X837" s="338"/>
    </row>
    <row r="838" spans="1:24" s="376" customFormat="1" ht="15" hidden="1" customHeight="1" outlineLevel="1" x14ac:dyDescent="0.25">
      <c r="A838" s="374"/>
      <c r="B838" s="376" t="s">
        <v>750</v>
      </c>
      <c r="C838" s="374" t="s">
        <v>6</v>
      </c>
      <c r="D838" s="477">
        <f>NPV($D$31,L838:U838)+K838</f>
        <v>0</v>
      </c>
      <c r="J838" s="338"/>
      <c r="K838" s="452">
        <f t="shared" ref="K838:P838" si="351">IF(OR(K832="N/A",K837=0),0,K837*K$29)</f>
        <v>0</v>
      </c>
      <c r="L838" s="452">
        <f t="shared" si="351"/>
        <v>0</v>
      </c>
      <c r="M838" s="452">
        <f t="shared" si="351"/>
        <v>0</v>
      </c>
      <c r="N838" s="452">
        <f t="shared" si="351"/>
        <v>0</v>
      </c>
      <c r="O838" s="452">
        <f t="shared" si="351"/>
        <v>0</v>
      </c>
      <c r="P838" s="452">
        <f t="shared" si="351"/>
        <v>0</v>
      </c>
      <c r="Q838" s="452"/>
      <c r="R838" s="452"/>
      <c r="S838" s="452"/>
      <c r="T838" s="452"/>
      <c r="U838" s="452"/>
      <c r="V838" s="338"/>
      <c r="W838" s="338"/>
      <c r="X838" s="338"/>
    </row>
    <row r="839" spans="1:24" s="376" customFormat="1" ht="15" hidden="1" customHeight="1" outlineLevel="1" x14ac:dyDescent="0.25">
      <c r="A839" s="374"/>
      <c r="B839" s="376" t="s">
        <v>751</v>
      </c>
      <c r="C839" s="374"/>
      <c r="D839" s="455">
        <f>IFERROR(ROUND(IF(D838/D836=0,0,D838/D836),2),0)</f>
        <v>0</v>
      </c>
      <c r="J839" s="338"/>
      <c r="K839" s="455">
        <f>IFERROR(ROUND(IF(K838/K836=0,0,K838/K836),2),0)</f>
        <v>0</v>
      </c>
      <c r="L839" s="455">
        <f>IFERROR(ROUND(IF(L838/L836=0,0,L838/L836),2),0)</f>
        <v>0</v>
      </c>
      <c r="M839" s="455">
        <f t="shared" ref="M839:U839" si="352">IFERROR(ROUND(IF(M838/M836=0,0,M838/M836),2),0)</f>
        <v>0</v>
      </c>
      <c r="N839" s="455">
        <f t="shared" si="352"/>
        <v>0</v>
      </c>
      <c r="O839" s="455">
        <f t="shared" si="352"/>
        <v>0</v>
      </c>
      <c r="P839" s="455">
        <f t="shared" si="352"/>
        <v>0</v>
      </c>
      <c r="Q839" s="455">
        <f t="shared" si="352"/>
        <v>0</v>
      </c>
      <c r="R839" s="455">
        <f t="shared" si="352"/>
        <v>0</v>
      </c>
      <c r="S839" s="455">
        <f t="shared" si="352"/>
        <v>0</v>
      </c>
      <c r="T839" s="455">
        <f t="shared" si="352"/>
        <v>0</v>
      </c>
      <c r="U839" s="455">
        <f t="shared" si="352"/>
        <v>0</v>
      </c>
      <c r="V839" s="338"/>
      <c r="W839" s="338"/>
      <c r="X839" s="338"/>
    </row>
    <row r="840" spans="1:24" collapsed="1" x14ac:dyDescent="0.2">
      <c r="L840" s="1118"/>
    </row>
    <row r="842" spans="1:24" ht="18.75" thickBot="1" x14ac:dyDescent="0.25">
      <c r="K842" s="302">
        <v>2025</v>
      </c>
      <c r="L842" s="302">
        <f>K842+1</f>
        <v>2026</v>
      </c>
      <c r="M842" s="302">
        <f>L842+1</f>
        <v>2027</v>
      </c>
      <c r="N842" s="302">
        <f>M842+1</f>
        <v>2028</v>
      </c>
      <c r="O842" s="302">
        <f>N842+1</f>
        <v>2029</v>
      </c>
      <c r="P842" s="302">
        <f>O842+1</f>
        <v>2030</v>
      </c>
      <c r="Q842" s="302">
        <v>2027</v>
      </c>
      <c r="R842" s="302">
        <v>2028</v>
      </c>
      <c r="S842" s="302">
        <v>2029</v>
      </c>
      <c r="T842" s="302">
        <v>2030</v>
      </c>
      <c r="U842" s="302">
        <v>2031</v>
      </c>
    </row>
    <row r="843" spans="1:24" ht="26.25" customHeight="1" thickBot="1" x14ac:dyDescent="0.25">
      <c r="C843" s="425" t="s">
        <v>366</v>
      </c>
      <c r="D843" s="425" t="s">
        <v>362</v>
      </c>
      <c r="K843" s="365">
        <v>0</v>
      </c>
      <c r="L843" s="443">
        <f t="shared" ref="L843:U843" si="353">IF(L844="","",K843+1)</f>
        <v>1</v>
      </c>
      <c r="M843" s="443">
        <f t="shared" si="353"/>
        <v>2</v>
      </c>
      <c r="N843" s="443">
        <f t="shared" si="353"/>
        <v>3</v>
      </c>
      <c r="O843" s="443">
        <f t="shared" si="353"/>
        <v>4</v>
      </c>
      <c r="P843" s="443">
        <f t="shared" si="353"/>
        <v>5</v>
      </c>
      <c r="Q843" s="443">
        <f t="shared" si="353"/>
        <v>6</v>
      </c>
      <c r="R843" s="443">
        <f t="shared" si="353"/>
        <v>7</v>
      </c>
      <c r="S843" s="443">
        <f t="shared" si="353"/>
        <v>8</v>
      </c>
      <c r="T843" s="443">
        <f t="shared" si="353"/>
        <v>9</v>
      </c>
      <c r="U843" s="443">
        <f t="shared" si="353"/>
        <v>10</v>
      </c>
    </row>
    <row r="844" spans="1:24" ht="15.75" thickBot="1" x14ac:dyDescent="0.25">
      <c r="C844" s="1728" t="str">
        <f>$B$35</f>
        <v>MACROMEDICIÓN</v>
      </c>
      <c r="D844" s="426" t="s">
        <v>364</v>
      </c>
      <c r="E844" s="478">
        <f t="shared" ref="E844:U844" si="354">+E118+E132+E144+E156+E168+E184+E203+E217+E229+E241+E253+E269+E288+E302+E313+E324+E335+E351</f>
        <v>0</v>
      </c>
      <c r="F844" s="479">
        <f t="shared" si="354"/>
        <v>0</v>
      </c>
      <c r="G844" s="479">
        <f t="shared" si="354"/>
        <v>0</v>
      </c>
      <c r="H844" s="479">
        <f t="shared" si="354"/>
        <v>0</v>
      </c>
      <c r="I844" s="479">
        <f t="shared" si="354"/>
        <v>0</v>
      </c>
      <c r="J844" s="479">
        <f t="shared" si="354"/>
        <v>0</v>
      </c>
      <c r="K844" s="822">
        <f>+K118+K132+K144+K156+K168+K184+K203+K217+K229+K241+K253+K269+K288+K302+K313+K324+K335+K351</f>
        <v>0</v>
      </c>
      <c r="L844" s="822">
        <f>+L118+L132+L144+L156+L168+L184+L203+L217+L229+L241+L253+L269+L288+L302+L313+L324+L335+L351</f>
        <v>73255741.341600001</v>
      </c>
      <c r="M844" s="479">
        <f t="shared" si="354"/>
        <v>83811160.865565211</v>
      </c>
      <c r="N844" s="479">
        <f t="shared" si="354"/>
        <v>92040641.0935736</v>
      </c>
      <c r="O844" s="479">
        <f t="shared" si="354"/>
        <v>97268531.09956035</v>
      </c>
      <c r="P844" s="479">
        <f t="shared" si="354"/>
        <v>102793364.21230917</v>
      </c>
      <c r="Q844" s="479">
        <f t="shared" si="354"/>
        <v>108632006.74089548</v>
      </c>
      <c r="R844" s="479">
        <f t="shared" si="354"/>
        <v>114802282.99737701</v>
      </c>
      <c r="S844" s="479">
        <f t="shared" si="354"/>
        <v>121323029.7111714</v>
      </c>
      <c r="T844" s="479">
        <f t="shared" si="354"/>
        <v>128214153.53416003</v>
      </c>
      <c r="U844" s="480">
        <f t="shared" si="354"/>
        <v>135496691.81206962</v>
      </c>
    </row>
    <row r="845" spans="1:24" ht="15.75" thickBot="1" x14ac:dyDescent="0.25">
      <c r="C845" s="1729"/>
      <c r="D845" s="427" t="s">
        <v>363</v>
      </c>
      <c r="E845" s="481">
        <f t="shared" ref="E845:U845" si="355">+E119+E133+E145+E157+E169+E185+E204+E218+E230+E242+E254+E270+E289+E303+E314+E325+E336+E352</f>
        <v>0</v>
      </c>
      <c r="F845" s="482">
        <f t="shared" si="355"/>
        <v>0</v>
      </c>
      <c r="G845" s="482">
        <f t="shared" si="355"/>
        <v>0</v>
      </c>
      <c r="H845" s="482">
        <f t="shared" si="355"/>
        <v>0</v>
      </c>
      <c r="I845" s="482">
        <f t="shared" si="355"/>
        <v>0</v>
      </c>
      <c r="J845" s="482">
        <f t="shared" si="355"/>
        <v>0</v>
      </c>
      <c r="K845" s="482">
        <f>+K119+K133+K145+K157+K169+K185+K204+K218+K230+K242+K254+K270+K289+K303+K314+K325+K336+K352</f>
        <v>0</v>
      </c>
      <c r="L845" s="482">
        <f t="shared" si="355"/>
        <v>38448152.589211166</v>
      </c>
      <c r="M845" s="482">
        <f t="shared" si="355"/>
        <v>315391528.86762232</v>
      </c>
      <c r="N845" s="482">
        <f t="shared" si="355"/>
        <v>41234059.020898953</v>
      </c>
      <c r="O845" s="482">
        <f t="shared" si="355"/>
        <v>39504731.256209046</v>
      </c>
      <c r="P845" s="482">
        <f t="shared" si="355"/>
        <v>0</v>
      </c>
      <c r="Q845" s="482">
        <f t="shared" si="355"/>
        <v>98530939.427441463</v>
      </c>
      <c r="R845" s="482">
        <f t="shared" si="355"/>
        <v>47426088.848298267</v>
      </c>
      <c r="S845" s="482">
        <f t="shared" si="355"/>
        <v>0</v>
      </c>
      <c r="T845" s="482">
        <f t="shared" si="355"/>
        <v>11763610.824901652</v>
      </c>
      <c r="U845" s="483">
        <f t="shared" si="355"/>
        <v>0</v>
      </c>
    </row>
    <row r="846" spans="1:24" ht="15" x14ac:dyDescent="0.2">
      <c r="C846" s="1728" t="str">
        <f>$B$57</f>
        <v>SECTORIZACIÓN</v>
      </c>
      <c r="D846" s="426" t="s">
        <v>364</v>
      </c>
      <c r="E846" s="478">
        <f t="shared" ref="E846:U846" si="356">+E371+E389+E406+E417+E428+E439+E454+E469+E485</f>
        <v>0</v>
      </c>
      <c r="F846" s="479">
        <f t="shared" si="356"/>
        <v>0</v>
      </c>
      <c r="G846" s="479">
        <f t="shared" si="356"/>
        <v>0</v>
      </c>
      <c r="H846" s="479">
        <f t="shared" si="356"/>
        <v>0</v>
      </c>
      <c r="I846" s="479">
        <f t="shared" si="356"/>
        <v>0</v>
      </c>
      <c r="J846" s="479">
        <f t="shared" si="356"/>
        <v>0</v>
      </c>
      <c r="K846" s="479">
        <f t="shared" si="356"/>
        <v>0</v>
      </c>
      <c r="L846" s="479">
        <f>+L371+L389+L406+L417+L428+L439+L454+L469+L485</f>
        <v>119825945.96206667</v>
      </c>
      <c r="M846" s="479">
        <f t="shared" si="356"/>
        <v>176796993.35691556</v>
      </c>
      <c r="N846" s="479">
        <f>+N371+N389+N406+N417+N428+N439+N454+N469+N485</f>
        <v>229177716.60595244</v>
      </c>
      <c r="O846" s="479">
        <f t="shared" si="356"/>
        <v>271105248.7601034</v>
      </c>
      <c r="P846" s="479">
        <f t="shared" si="356"/>
        <v>340956162.37325311</v>
      </c>
      <c r="Q846" s="479">
        <f t="shared" si="356"/>
        <v>396041260.18268508</v>
      </c>
      <c r="R846" s="479">
        <f t="shared" si="356"/>
        <v>408185895.10178488</v>
      </c>
      <c r="S846" s="479">
        <f t="shared" si="356"/>
        <v>431370772.30638731</v>
      </c>
      <c r="T846" s="479">
        <f t="shared" si="356"/>
        <v>455872545.89923561</v>
      </c>
      <c r="U846" s="480">
        <f t="shared" si="356"/>
        <v>481766015.33180308</v>
      </c>
    </row>
    <row r="847" spans="1:24" ht="15.75" thickBot="1" x14ac:dyDescent="0.25">
      <c r="C847" s="1729"/>
      <c r="D847" s="427" t="s">
        <v>363</v>
      </c>
      <c r="E847" s="484">
        <f t="shared" ref="E847:U847" si="357">+E372+E390+E407+E418+E429+E440+E455+E470+E486</f>
        <v>0</v>
      </c>
      <c r="F847" s="485">
        <f t="shared" si="357"/>
        <v>0</v>
      </c>
      <c r="G847" s="485">
        <f t="shared" si="357"/>
        <v>0</v>
      </c>
      <c r="H847" s="485">
        <f t="shared" si="357"/>
        <v>0</v>
      </c>
      <c r="I847" s="485">
        <f t="shared" si="357"/>
        <v>0</v>
      </c>
      <c r="J847" s="485">
        <f t="shared" si="357"/>
        <v>0</v>
      </c>
      <c r="K847" s="485">
        <f t="shared" si="357"/>
        <v>0</v>
      </c>
      <c r="L847" s="485">
        <f t="shared" si="357"/>
        <v>568627368.92639828</v>
      </c>
      <c r="M847" s="485">
        <f t="shared" si="357"/>
        <v>859109327.06257272</v>
      </c>
      <c r="N847" s="485">
        <f t="shared" si="357"/>
        <v>718416608.20283031</v>
      </c>
      <c r="O847" s="485">
        <f t="shared" si="357"/>
        <v>1276339375.3652217</v>
      </c>
      <c r="P847" s="485">
        <f t="shared" si="357"/>
        <v>364628429.7660867</v>
      </c>
      <c r="Q847" s="485">
        <f t="shared" si="357"/>
        <v>133735083.28086235</v>
      </c>
      <c r="R847" s="485">
        <f t="shared" si="357"/>
        <v>0</v>
      </c>
      <c r="S847" s="485">
        <f t="shared" si="357"/>
        <v>0</v>
      </c>
      <c r="T847" s="485">
        <f t="shared" si="357"/>
        <v>0</v>
      </c>
      <c r="U847" s="486">
        <f t="shared" si="357"/>
        <v>0</v>
      </c>
    </row>
    <row r="848" spans="1:24" ht="15" x14ac:dyDescent="0.2">
      <c r="C848" s="1728" t="str">
        <f>$B$68</f>
        <v>GESTIÓN DEL PLANO DE PRESIONES</v>
      </c>
      <c r="D848" s="426" t="s">
        <v>364</v>
      </c>
      <c r="E848" s="478">
        <f t="shared" ref="E848:H849" si="358">+E505+E519+E537+E556+E572+E583+E594+E611+E627</f>
        <v>0</v>
      </c>
      <c r="F848" s="479">
        <f t="shared" si="358"/>
        <v>0</v>
      </c>
      <c r="G848" s="479">
        <f t="shared" si="358"/>
        <v>0</v>
      </c>
      <c r="H848" s="479">
        <f t="shared" si="358"/>
        <v>0</v>
      </c>
      <c r="I848" s="479">
        <f t="shared" ref="I848:K849" si="359">+I505+I519+I537+I557+I572+I583+I594+I611+I627</f>
        <v>0</v>
      </c>
      <c r="J848" s="479">
        <f t="shared" si="359"/>
        <v>0</v>
      </c>
      <c r="K848" s="479">
        <f t="shared" si="359"/>
        <v>0</v>
      </c>
      <c r="L848" s="479">
        <f t="shared" ref="L848:U848" si="360">+L505+L519+L537+L557+L572+L583+L594+L611+L627</f>
        <v>283797365.42737997</v>
      </c>
      <c r="M848" s="479">
        <f t="shared" si="360"/>
        <v>322031954.25237602</v>
      </c>
      <c r="N848" s="479">
        <f t="shared" si="360"/>
        <v>405718434.69165069</v>
      </c>
      <c r="O848" s="479">
        <f t="shared" si="360"/>
        <v>410879827.69024026</v>
      </c>
      <c r="P848" s="479">
        <f t="shared" si="360"/>
        <v>265103161.76957124</v>
      </c>
      <c r="Q848" s="479">
        <f t="shared" si="360"/>
        <v>126781742.3795628</v>
      </c>
      <c r="R848" s="479">
        <f t="shared" si="360"/>
        <v>159161684.15472707</v>
      </c>
      <c r="S848" s="479">
        <f t="shared" si="360"/>
        <v>147996867.2522684</v>
      </c>
      <c r="T848" s="479">
        <f t="shared" si="360"/>
        <v>149543306.73623699</v>
      </c>
      <c r="U848" s="480">
        <f t="shared" si="360"/>
        <v>181896027.70648083</v>
      </c>
    </row>
    <row r="849" spans="3:21" ht="15.75" thickBot="1" x14ac:dyDescent="0.25">
      <c r="C849" s="1729"/>
      <c r="D849" s="427" t="s">
        <v>363</v>
      </c>
      <c r="E849" s="481">
        <f t="shared" si="358"/>
        <v>0</v>
      </c>
      <c r="F849" s="482">
        <f t="shared" si="358"/>
        <v>0</v>
      </c>
      <c r="G849" s="482">
        <f t="shared" si="358"/>
        <v>0</v>
      </c>
      <c r="H849" s="482">
        <f t="shared" si="358"/>
        <v>0</v>
      </c>
      <c r="I849" s="482">
        <f t="shared" si="359"/>
        <v>0</v>
      </c>
      <c r="J849" s="482">
        <f t="shared" si="359"/>
        <v>0</v>
      </c>
      <c r="K849" s="482">
        <f t="shared" si="359"/>
        <v>0</v>
      </c>
      <c r="L849" s="482">
        <f t="shared" ref="L849:U849" si="361">+L506+L520+L538+L558+L573+L584+L595+L612+L628</f>
        <v>894981650.5986501</v>
      </c>
      <c r="M849" s="482">
        <f t="shared" si="361"/>
        <v>1015334757.2139375</v>
      </c>
      <c r="N849" s="482">
        <f t="shared" si="361"/>
        <v>709834884.21893704</v>
      </c>
      <c r="O849" s="482">
        <f t="shared" si="361"/>
        <v>93232358.513064519</v>
      </c>
      <c r="P849" s="482">
        <f t="shared" si="361"/>
        <v>110850269.83058606</v>
      </c>
      <c r="Q849" s="482">
        <f t="shared" si="361"/>
        <v>0</v>
      </c>
      <c r="R849" s="482">
        <f t="shared" si="361"/>
        <v>0</v>
      </c>
      <c r="S849" s="482">
        <f t="shared" si="361"/>
        <v>0</v>
      </c>
      <c r="T849" s="482">
        <f t="shared" si="361"/>
        <v>0</v>
      </c>
      <c r="U849" s="483">
        <f t="shared" si="361"/>
        <v>0</v>
      </c>
    </row>
    <row r="850" spans="3:21" ht="15" x14ac:dyDescent="0.2">
      <c r="C850" s="1728" t="str">
        <f>$B$79</f>
        <v>IMPERMEABILIZACIÓN DE TANQUES</v>
      </c>
      <c r="D850" s="426" t="s">
        <v>364</v>
      </c>
      <c r="E850" s="478">
        <f t="shared" ref="E850:U850" si="362">+E645</f>
        <v>0</v>
      </c>
      <c r="F850" s="479">
        <f t="shared" si="362"/>
        <v>0</v>
      </c>
      <c r="G850" s="479">
        <f t="shared" si="362"/>
        <v>0</v>
      </c>
      <c r="H850" s="479">
        <f t="shared" si="362"/>
        <v>0</v>
      </c>
      <c r="I850" s="479">
        <f t="shared" si="362"/>
        <v>0</v>
      </c>
      <c r="J850" s="479">
        <f t="shared" si="362"/>
        <v>0</v>
      </c>
      <c r="K850" s="479">
        <f t="shared" si="362"/>
        <v>0</v>
      </c>
      <c r="L850" s="479">
        <f t="shared" si="362"/>
        <v>0</v>
      </c>
      <c r="M850" s="479">
        <f t="shared" si="362"/>
        <v>0</v>
      </c>
      <c r="N850" s="479">
        <f t="shared" si="362"/>
        <v>0</v>
      </c>
      <c r="O850" s="479">
        <f t="shared" si="362"/>
        <v>0</v>
      </c>
      <c r="P850" s="479">
        <f t="shared" si="362"/>
        <v>0</v>
      </c>
      <c r="Q850" s="479">
        <f t="shared" si="362"/>
        <v>0</v>
      </c>
      <c r="R850" s="479">
        <f t="shared" si="362"/>
        <v>0</v>
      </c>
      <c r="S850" s="479">
        <f t="shared" si="362"/>
        <v>0</v>
      </c>
      <c r="T850" s="479">
        <f t="shared" si="362"/>
        <v>0</v>
      </c>
      <c r="U850" s="480">
        <f t="shared" si="362"/>
        <v>0</v>
      </c>
    </row>
    <row r="851" spans="3:21" ht="15.75" thickBot="1" x14ac:dyDescent="0.25">
      <c r="C851" s="1729"/>
      <c r="D851" s="427" t="s">
        <v>363</v>
      </c>
      <c r="E851" s="481">
        <f t="shared" ref="E851:U851" si="363">+E646</f>
        <v>0</v>
      </c>
      <c r="F851" s="482">
        <f t="shared" si="363"/>
        <v>0</v>
      </c>
      <c r="G851" s="482">
        <f t="shared" si="363"/>
        <v>0</v>
      </c>
      <c r="H851" s="482">
        <f t="shared" si="363"/>
        <v>0</v>
      </c>
      <c r="I851" s="482">
        <f t="shared" si="363"/>
        <v>0</v>
      </c>
      <c r="J851" s="482" t="str">
        <f t="shared" si="363"/>
        <v xml:space="preserve"> </v>
      </c>
      <c r="K851" s="482">
        <f t="shared" si="363"/>
        <v>0</v>
      </c>
      <c r="L851" s="482">
        <f t="shared" si="363"/>
        <v>7221555.1303999992</v>
      </c>
      <c r="M851" s="482">
        <f t="shared" si="363"/>
        <v>47729868.432724625</v>
      </c>
      <c r="N851" s="482">
        <f t="shared" si="363"/>
        <v>42257581.343545668</v>
      </c>
      <c r="O851" s="482">
        <f t="shared" si="363"/>
        <v>51534720.760039322</v>
      </c>
      <c r="P851" s="482">
        <f t="shared" si="363"/>
        <v>13611951.464568583</v>
      </c>
      <c r="Q851" s="482">
        <f t="shared" si="363"/>
        <v>19470324.947528441</v>
      </c>
      <c r="R851" s="482">
        <f t="shared" si="363"/>
        <v>12248284.422990512</v>
      </c>
      <c r="S851" s="482">
        <f t="shared" si="363"/>
        <v>12684272.640551461</v>
      </c>
      <c r="T851" s="482">
        <f t="shared" si="363"/>
        <v>13135780.23366636</v>
      </c>
      <c r="U851" s="483">
        <f t="shared" si="363"/>
        <v>13603359.627854714</v>
      </c>
    </row>
    <row r="852" spans="3:21" ht="15" x14ac:dyDescent="0.2">
      <c r="C852" s="1728" t="str">
        <f>$B$81</f>
        <v>ATENCIÓN DE DAÑOS</v>
      </c>
      <c r="D852" s="426" t="s">
        <v>364</v>
      </c>
      <c r="E852" s="478">
        <f t="shared" ref="E852:U852" si="364">+E663</f>
        <v>0</v>
      </c>
      <c r="F852" s="479">
        <f t="shared" si="364"/>
        <v>0</v>
      </c>
      <c r="G852" s="479">
        <f t="shared" si="364"/>
        <v>0</v>
      </c>
      <c r="H852" s="479">
        <f t="shared" si="364"/>
        <v>0</v>
      </c>
      <c r="I852" s="479">
        <f t="shared" si="364"/>
        <v>0</v>
      </c>
      <c r="J852" s="479">
        <f t="shared" si="364"/>
        <v>0</v>
      </c>
      <c r="K852" s="479">
        <f t="shared" si="364"/>
        <v>0</v>
      </c>
      <c r="L852" s="479">
        <f t="shared" si="364"/>
        <v>0</v>
      </c>
      <c r="M852" s="479">
        <f t="shared" si="364"/>
        <v>0</v>
      </c>
      <c r="N852" s="479">
        <f t="shared" si="364"/>
        <v>0</v>
      </c>
      <c r="O852" s="479">
        <f t="shared" si="364"/>
        <v>0</v>
      </c>
      <c r="P852" s="479">
        <f t="shared" si="364"/>
        <v>0</v>
      </c>
      <c r="Q852" s="479">
        <f t="shared" si="364"/>
        <v>0</v>
      </c>
      <c r="R852" s="479">
        <f t="shared" si="364"/>
        <v>0</v>
      </c>
      <c r="S852" s="479">
        <f t="shared" si="364"/>
        <v>0</v>
      </c>
      <c r="T852" s="479">
        <f t="shared" si="364"/>
        <v>0</v>
      </c>
      <c r="U852" s="480">
        <f t="shared" si="364"/>
        <v>0</v>
      </c>
    </row>
    <row r="853" spans="3:21" ht="15.75" thickBot="1" x14ac:dyDescent="0.25">
      <c r="C853" s="1729"/>
      <c r="D853" s="427" t="s">
        <v>363</v>
      </c>
      <c r="E853" s="481">
        <f t="shared" ref="E853:U853" si="365">+E664</f>
        <v>0</v>
      </c>
      <c r="F853" s="482">
        <f t="shared" si="365"/>
        <v>0</v>
      </c>
      <c r="G853" s="482">
        <f t="shared" si="365"/>
        <v>0</v>
      </c>
      <c r="H853" s="482">
        <f t="shared" si="365"/>
        <v>0</v>
      </c>
      <c r="I853" s="482">
        <f t="shared" si="365"/>
        <v>0</v>
      </c>
      <c r="J853" s="482">
        <f t="shared" si="365"/>
        <v>0</v>
      </c>
      <c r="K853" s="482">
        <f t="shared" si="365"/>
        <v>0</v>
      </c>
      <c r="L853" s="482">
        <f t="shared" si="365"/>
        <v>356828064.42943609</v>
      </c>
      <c r="M853" s="482">
        <f t="shared" si="365"/>
        <v>369529666.25493723</v>
      </c>
      <c r="N853" s="482">
        <f t="shared" si="365"/>
        <v>382683392.52079463</v>
      </c>
      <c r="O853" s="482">
        <f t="shared" si="365"/>
        <v>396305336.98528993</v>
      </c>
      <c r="P853" s="482">
        <f t="shared" si="365"/>
        <v>410412166.27787113</v>
      </c>
      <c r="Q853" s="482">
        <f t="shared" si="365"/>
        <v>0</v>
      </c>
      <c r="R853" s="482">
        <f t="shared" si="365"/>
        <v>0</v>
      </c>
      <c r="S853" s="482">
        <f t="shared" si="365"/>
        <v>0</v>
      </c>
      <c r="T853" s="482">
        <f t="shared" si="365"/>
        <v>0</v>
      </c>
      <c r="U853" s="483">
        <f t="shared" si="365"/>
        <v>0</v>
      </c>
    </row>
    <row r="854" spans="3:21" ht="15" x14ac:dyDescent="0.2">
      <c r="C854" s="1728" t="str">
        <f>$B$83</f>
        <v>BÚSQUEDA SISTEMÁTICA DE FUGAS</v>
      </c>
      <c r="D854" s="426" t="s">
        <v>364</v>
      </c>
      <c r="E854" s="478">
        <f t="shared" ref="E854:U854" si="366">+E680+E694+E707+E720+E736+E748+E759+E770+E783</f>
        <v>0</v>
      </c>
      <c r="F854" s="479">
        <f t="shared" si="366"/>
        <v>0</v>
      </c>
      <c r="G854" s="479">
        <f t="shared" si="366"/>
        <v>0</v>
      </c>
      <c r="H854" s="479">
        <f t="shared" si="366"/>
        <v>0</v>
      </c>
      <c r="I854" s="479">
        <f t="shared" si="366"/>
        <v>0</v>
      </c>
      <c r="J854" s="479">
        <f t="shared" si="366"/>
        <v>0</v>
      </c>
      <c r="K854" s="479">
        <f t="shared" si="366"/>
        <v>0</v>
      </c>
      <c r="L854" s="479">
        <f t="shared" si="366"/>
        <v>47976000</v>
      </c>
      <c r="M854" s="479">
        <f t="shared" si="366"/>
        <v>99821497.76321651</v>
      </c>
      <c r="N854" s="479">
        <f t="shared" si="366"/>
        <v>146142041.8315047</v>
      </c>
      <c r="O854" s="479">
        <f t="shared" si="366"/>
        <v>151071315.84862256</v>
      </c>
      <c r="P854" s="479">
        <f t="shared" si="366"/>
        <v>161230677.65414837</v>
      </c>
      <c r="Q854" s="479">
        <f t="shared" si="366"/>
        <v>181086219.66369042</v>
      </c>
      <c r="R854" s="479">
        <f t="shared" si="366"/>
        <v>212793334.90853721</v>
      </c>
      <c r="S854" s="479">
        <f t="shared" si="366"/>
        <v>220464198.45337996</v>
      </c>
      <c r="T854" s="479">
        <f t="shared" si="366"/>
        <v>212022145.89045668</v>
      </c>
      <c r="U854" s="480">
        <f t="shared" si="366"/>
        <v>214509527.82143626</v>
      </c>
    </row>
    <row r="855" spans="3:21" ht="15.75" thickBot="1" x14ac:dyDescent="0.25">
      <c r="C855" s="1729"/>
      <c r="D855" s="427" t="s">
        <v>363</v>
      </c>
      <c r="E855" s="481">
        <f t="shared" ref="E855:U855" si="367">+E681+E695+E708+E721+E737+E749+E760+E771+E784</f>
        <v>0</v>
      </c>
      <c r="F855" s="482">
        <f t="shared" si="367"/>
        <v>0</v>
      </c>
      <c r="G855" s="482">
        <f t="shared" si="367"/>
        <v>0</v>
      </c>
      <c r="H855" s="482">
        <f t="shared" si="367"/>
        <v>0</v>
      </c>
      <c r="I855" s="482">
        <f t="shared" si="367"/>
        <v>0</v>
      </c>
      <c r="J855" s="482">
        <f t="shared" si="367"/>
        <v>0</v>
      </c>
      <c r="K855" s="482">
        <f t="shared" si="367"/>
        <v>0</v>
      </c>
      <c r="L855" s="482">
        <f t="shared" si="367"/>
        <v>0</v>
      </c>
      <c r="M855" s="482">
        <f t="shared" si="367"/>
        <v>1237853977.7238424</v>
      </c>
      <c r="N855" s="482">
        <f t="shared" si="367"/>
        <v>539255330.58805513</v>
      </c>
      <c r="O855" s="482">
        <f t="shared" si="367"/>
        <v>926055858.95794034</v>
      </c>
      <c r="P855" s="482">
        <f t="shared" si="367"/>
        <v>806641749.40742636</v>
      </c>
      <c r="Q855" s="482">
        <f t="shared" si="367"/>
        <v>2505536792.3379083</v>
      </c>
      <c r="R855" s="482">
        <f t="shared" si="367"/>
        <v>1587009058.6869047</v>
      </c>
      <c r="S855" s="482">
        <f t="shared" si="367"/>
        <v>2922014130.5958467</v>
      </c>
      <c r="T855" s="482">
        <f t="shared" si="367"/>
        <v>1831826923.0958915</v>
      </c>
      <c r="U855" s="483">
        <f t="shared" si="367"/>
        <v>1768161646.5395043</v>
      </c>
    </row>
    <row r="856" spans="3:21" ht="15" x14ac:dyDescent="0.2">
      <c r="C856" s="1728" t="str">
        <f>$B$95</f>
        <v xml:space="preserve">REPOSICIÓN DE REDES </v>
      </c>
      <c r="D856" s="426" t="s">
        <v>364</v>
      </c>
      <c r="E856" s="478">
        <f t="shared" ref="E856:H857" si="368">+E804</f>
        <v>0</v>
      </c>
      <c r="F856" s="479">
        <f t="shared" si="368"/>
        <v>0</v>
      </c>
      <c r="G856" s="479">
        <f t="shared" si="368"/>
        <v>0</v>
      </c>
      <c r="H856" s="479">
        <f t="shared" si="368"/>
        <v>0</v>
      </c>
      <c r="I856" s="479">
        <f>+I804+I819</f>
        <v>0</v>
      </c>
      <c r="J856" s="479">
        <f>+J804+J819</f>
        <v>0</v>
      </c>
      <c r="K856" s="479">
        <f t="shared" ref="K856:U856" si="369">+K804+K819</f>
        <v>0</v>
      </c>
      <c r="L856" s="479">
        <f t="shared" si="369"/>
        <v>0</v>
      </c>
      <c r="M856" s="479">
        <f t="shared" si="369"/>
        <v>0</v>
      </c>
      <c r="N856" s="479">
        <f t="shared" si="369"/>
        <v>0</v>
      </c>
      <c r="O856" s="479">
        <f t="shared" si="369"/>
        <v>0</v>
      </c>
      <c r="P856" s="479">
        <f t="shared" si="369"/>
        <v>0</v>
      </c>
      <c r="Q856" s="479">
        <f t="shared" si="369"/>
        <v>0</v>
      </c>
      <c r="R856" s="479">
        <f t="shared" si="369"/>
        <v>0</v>
      </c>
      <c r="S856" s="479">
        <f t="shared" si="369"/>
        <v>0</v>
      </c>
      <c r="T856" s="479">
        <f t="shared" si="369"/>
        <v>0</v>
      </c>
      <c r="U856" s="480">
        <f t="shared" si="369"/>
        <v>0</v>
      </c>
    </row>
    <row r="857" spans="3:21" ht="15.75" thickBot="1" x14ac:dyDescent="0.25">
      <c r="C857" s="1729"/>
      <c r="D857" s="427" t="s">
        <v>363</v>
      </c>
      <c r="E857" s="481">
        <f t="shared" si="368"/>
        <v>0</v>
      </c>
      <c r="F857" s="482">
        <f t="shared" si="368"/>
        <v>0</v>
      </c>
      <c r="G857" s="482">
        <f t="shared" si="368"/>
        <v>0</v>
      </c>
      <c r="H857" s="482">
        <f t="shared" si="368"/>
        <v>0</v>
      </c>
      <c r="I857" s="482">
        <f>+I805+I820</f>
        <v>0</v>
      </c>
      <c r="J857" s="482">
        <f>+J805+J820</f>
        <v>0</v>
      </c>
      <c r="K857" s="482">
        <f t="shared" ref="K857:U857" si="370">+K805+K820</f>
        <v>0</v>
      </c>
      <c r="L857" s="482">
        <f t="shared" si="370"/>
        <v>0</v>
      </c>
      <c r="M857" s="482">
        <f t="shared" si="370"/>
        <v>6902661158.3259583</v>
      </c>
      <c r="N857" s="482">
        <f t="shared" si="370"/>
        <v>5677966895.4789515</v>
      </c>
      <c r="O857" s="482">
        <f t="shared" si="370"/>
        <v>8223805996.8317671</v>
      </c>
      <c r="P857" s="482">
        <f t="shared" si="370"/>
        <v>7260255559.4203978</v>
      </c>
      <c r="Q857" s="482">
        <f t="shared" si="370"/>
        <v>9255365551.9323997</v>
      </c>
      <c r="R857" s="482">
        <f t="shared" si="370"/>
        <v>0</v>
      </c>
      <c r="S857" s="482">
        <f t="shared" si="370"/>
        <v>0</v>
      </c>
      <c r="T857" s="482">
        <f t="shared" si="370"/>
        <v>0</v>
      </c>
      <c r="U857" s="483">
        <f t="shared" si="370"/>
        <v>0</v>
      </c>
    </row>
    <row r="858" spans="3:21" ht="15" x14ac:dyDescent="0.2">
      <c r="C858" s="1728" t="str">
        <f>$B$98</f>
        <v>VINCULACIÓN INDIVUAL (TÉCNICO - COMERCIAL)</v>
      </c>
      <c r="D858" s="426" t="s">
        <v>364</v>
      </c>
      <c r="E858" s="478">
        <f t="shared" ref="E858:J858" si="371">+E834</f>
        <v>0</v>
      </c>
      <c r="F858" s="479">
        <f t="shared" si="371"/>
        <v>0</v>
      </c>
      <c r="G858" s="479">
        <f t="shared" si="371"/>
        <v>0</v>
      </c>
      <c r="H858" s="479">
        <f t="shared" si="371"/>
        <v>0</v>
      </c>
      <c r="I858" s="479">
        <f t="shared" si="371"/>
        <v>0</v>
      </c>
      <c r="J858" s="479">
        <f t="shared" si="371"/>
        <v>0</v>
      </c>
      <c r="K858" s="479">
        <f>+K834</f>
        <v>0</v>
      </c>
      <c r="L858" s="479">
        <f t="shared" ref="L858:U858" si="372">+L834</f>
        <v>0</v>
      </c>
      <c r="M858" s="479">
        <f t="shared" si="372"/>
        <v>0</v>
      </c>
      <c r="N858" s="479">
        <f t="shared" si="372"/>
        <v>0</v>
      </c>
      <c r="O858" s="479">
        <f t="shared" si="372"/>
        <v>0</v>
      </c>
      <c r="P858" s="479">
        <f t="shared" si="372"/>
        <v>0</v>
      </c>
      <c r="Q858" s="479">
        <f t="shared" si="372"/>
        <v>0</v>
      </c>
      <c r="R858" s="479">
        <f t="shared" si="372"/>
        <v>0</v>
      </c>
      <c r="S858" s="479">
        <f t="shared" si="372"/>
        <v>0</v>
      </c>
      <c r="T858" s="479">
        <f t="shared" si="372"/>
        <v>0</v>
      </c>
      <c r="U858" s="480">
        <f t="shared" si="372"/>
        <v>0</v>
      </c>
    </row>
    <row r="859" spans="3:21" ht="15.75" thickBot="1" x14ac:dyDescent="0.25">
      <c r="C859" s="1729"/>
      <c r="D859" s="427" t="s">
        <v>363</v>
      </c>
      <c r="E859" s="481">
        <f t="shared" ref="E859:J859" si="373">+E835</f>
        <v>0</v>
      </c>
      <c r="F859" s="482">
        <f t="shared" si="373"/>
        <v>0</v>
      </c>
      <c r="G859" s="482">
        <f t="shared" si="373"/>
        <v>0</v>
      </c>
      <c r="H859" s="482">
        <f t="shared" si="373"/>
        <v>0</v>
      </c>
      <c r="I859" s="482">
        <f t="shared" si="373"/>
        <v>0</v>
      </c>
      <c r="J859" s="482">
        <f t="shared" si="373"/>
        <v>0</v>
      </c>
      <c r="K859" s="482">
        <f>+K835</f>
        <v>0</v>
      </c>
      <c r="L859" s="482">
        <f t="shared" ref="L859:U859" si="374">+L835</f>
        <v>0</v>
      </c>
      <c r="M859" s="482">
        <f t="shared" si="374"/>
        <v>0</v>
      </c>
      <c r="N859" s="482">
        <f t="shared" si="374"/>
        <v>0</v>
      </c>
      <c r="O859" s="482">
        <f t="shared" si="374"/>
        <v>0</v>
      </c>
      <c r="P859" s="482">
        <f t="shared" si="374"/>
        <v>0</v>
      </c>
      <c r="Q859" s="482">
        <f t="shared" si="374"/>
        <v>0</v>
      </c>
      <c r="R859" s="482">
        <f t="shared" si="374"/>
        <v>0</v>
      </c>
      <c r="S859" s="482">
        <f t="shared" si="374"/>
        <v>0</v>
      </c>
      <c r="T859" s="482">
        <f t="shared" si="374"/>
        <v>0</v>
      </c>
      <c r="U859" s="483">
        <f t="shared" si="374"/>
        <v>0</v>
      </c>
    </row>
  </sheetData>
  <dataConsolidate link="1"/>
  <mergeCells count="16">
    <mergeCell ref="B671:U671"/>
    <mergeCell ref="B105:U105"/>
    <mergeCell ref="B358:U358"/>
    <mergeCell ref="B492:U492"/>
    <mergeCell ref="B634:U634"/>
    <mergeCell ref="B652:U652"/>
    <mergeCell ref="C844:C845"/>
    <mergeCell ref="C846:C847"/>
    <mergeCell ref="C848:C849"/>
    <mergeCell ref="B826:U826"/>
    <mergeCell ref="B790:U790"/>
    <mergeCell ref="C856:C857"/>
    <mergeCell ref="C858:C859"/>
    <mergeCell ref="C850:C851"/>
    <mergeCell ref="C852:C853"/>
    <mergeCell ref="C854:C855"/>
  </mergeCells>
  <phoneticPr fontId="9" type="noConversion"/>
  <conditionalFormatting sqref="D112">
    <cfRule type="cellIs" dxfId="2420" priority="2050" operator="equal">
      <formula>"NO"</formula>
    </cfRule>
  </conditionalFormatting>
  <conditionalFormatting sqref="K112">
    <cfRule type="expression" dxfId="2419" priority="2049">
      <formula>K112&lt;&gt;SUM(K113:K115)</formula>
    </cfRule>
  </conditionalFormatting>
  <conditionalFormatting sqref="K112 K814:U814 L815:U815 K675:U675">
    <cfRule type="containsBlanks" dxfId="2418" priority="2045">
      <formula>LEN(TRIM(K112))=0</formula>
    </cfRule>
  </conditionalFormatting>
  <conditionalFormatting sqref="L111:U111">
    <cfRule type="containsBlanks" dxfId="2417" priority="2047">
      <formula>LEN(TRIM(L111))=0</formula>
    </cfRule>
  </conditionalFormatting>
  <conditionalFormatting sqref="K116:U116">
    <cfRule type="cellIs" dxfId="2416" priority="2043" operator="equal">
      <formula>"NO"</formula>
    </cfRule>
    <cfRule type="cellIs" dxfId="2415" priority="2044" operator="equal">
      <formula>"SI"</formula>
    </cfRule>
  </conditionalFormatting>
  <conditionalFormatting sqref="K116:U116">
    <cfRule type="cellIs" dxfId="2414" priority="2042" operator="equal">
      <formula>"N/A"</formula>
    </cfRule>
  </conditionalFormatting>
  <conditionalFormatting sqref="K121:U121">
    <cfRule type="containsBlanks" dxfId="2413" priority="2041">
      <formula>LEN(TRIM(K121))=0</formula>
    </cfRule>
  </conditionalFormatting>
  <conditionalFormatting sqref="N113:N114 K113:M115">
    <cfRule type="containsBlanks" dxfId="2412" priority="2040">
      <formula>LEN(TRIM(K113))=0</formula>
    </cfRule>
  </conditionalFormatting>
  <conditionalFormatting sqref="D116">
    <cfRule type="cellIs" dxfId="2411" priority="2037" operator="equal">
      <formula>"I/O"</formula>
    </cfRule>
    <cfRule type="cellIs" dxfId="2410" priority="2038" operator="equal">
      <formula>"Operación"</formula>
    </cfRule>
    <cfRule type="cellIs" dxfId="2409" priority="2039" operator="equal">
      <formula>"Inversión"</formula>
    </cfRule>
  </conditionalFormatting>
  <conditionalFormatting sqref="L117:U119 K117 K119 L818:U818 K810:U814 K817:U817 L815:U815 K823:U825">
    <cfRule type="cellIs" dxfId="2408" priority="2036" operator="equal">
      <formula>0</formula>
    </cfRule>
  </conditionalFormatting>
  <conditionalFormatting sqref="K122:U123">
    <cfRule type="cellIs" dxfId="2407" priority="2030" operator="equal">
      <formula>0</formula>
    </cfRule>
  </conditionalFormatting>
  <conditionalFormatting sqref="D123">
    <cfRule type="expression" dxfId="2406" priority="2031">
      <formula>$D$123&lt;&gt;0</formula>
    </cfRule>
  </conditionalFormatting>
  <conditionalFormatting sqref="K123:U123">
    <cfRule type="expression" dxfId="2405" priority="2032">
      <formula>$D$123&lt;&gt;0</formula>
    </cfRule>
  </conditionalFormatting>
  <conditionalFormatting sqref="K125:V125">
    <cfRule type="expression" dxfId="2404" priority="2029">
      <formula>K125&lt;&gt;SUM(K127:K129)</formula>
    </cfRule>
  </conditionalFormatting>
  <conditionalFormatting sqref="K125:V125">
    <cfRule type="cellIs" dxfId="2403" priority="2027" operator="equal">
      <formula>0</formula>
    </cfRule>
  </conditionalFormatting>
  <conditionalFormatting sqref="K130:U130">
    <cfRule type="cellIs" dxfId="2402" priority="2025" operator="equal">
      <formula>"NO"</formula>
    </cfRule>
    <cfRule type="cellIs" dxfId="2401" priority="2026" operator="equal">
      <formula>"SI"</formula>
    </cfRule>
  </conditionalFormatting>
  <conditionalFormatting sqref="K130:U130">
    <cfRule type="cellIs" dxfId="2400" priority="2024" operator="equal">
      <formula>"N/A"</formula>
    </cfRule>
  </conditionalFormatting>
  <conditionalFormatting sqref="K127:U129">
    <cfRule type="containsBlanks" dxfId="2399" priority="2023">
      <formula>LEN(TRIM(K127))=0</formula>
    </cfRule>
    <cfRule type="cellIs" dxfId="2398" priority="2051" operator="notEqual">
      <formula>""""""</formula>
    </cfRule>
  </conditionalFormatting>
  <conditionalFormatting sqref="K126">
    <cfRule type="containsBlanks" dxfId="2397" priority="2021">
      <formula>LEN(TRIM(K126))=0</formula>
    </cfRule>
  </conditionalFormatting>
  <conditionalFormatting sqref="L126:U126">
    <cfRule type="containsBlanks" dxfId="2396" priority="2020">
      <formula>LEN(TRIM(L126))=0</formula>
    </cfRule>
  </conditionalFormatting>
  <conditionalFormatting sqref="L134:U134">
    <cfRule type="containsBlanks" dxfId="2395" priority="2015">
      <formula>LEN(TRIM(L134))=0</formula>
    </cfRule>
  </conditionalFormatting>
  <conditionalFormatting sqref="D130">
    <cfRule type="cellIs" dxfId="2394" priority="2012" operator="equal">
      <formula>"I/O"</formula>
    </cfRule>
    <cfRule type="cellIs" dxfId="2393" priority="2013" operator="equal">
      <formula>"Operación"</formula>
    </cfRule>
    <cfRule type="cellIs" dxfId="2392" priority="2014" operator="equal">
      <formula>"Inversión"</formula>
    </cfRule>
  </conditionalFormatting>
  <conditionalFormatting sqref="K134">
    <cfRule type="containsBlanks" dxfId="2391" priority="2011">
      <formula>LEN(TRIM(K134))=0</formula>
    </cfRule>
  </conditionalFormatting>
  <conditionalFormatting sqref="K142:U142">
    <cfRule type="cellIs" dxfId="2390" priority="2008" operator="equal">
      <formula>"NO"</formula>
    </cfRule>
    <cfRule type="cellIs" dxfId="2389" priority="2009" operator="equal">
      <formula>"SI"</formula>
    </cfRule>
  </conditionalFormatting>
  <conditionalFormatting sqref="K142:U142">
    <cfRule type="cellIs" dxfId="2388" priority="2007" operator="equal">
      <formula>"N/A"</formula>
    </cfRule>
  </conditionalFormatting>
  <conditionalFormatting sqref="L140:U140">
    <cfRule type="containsBlanks" dxfId="2387" priority="2004">
      <formula>LEN(TRIM(L140))=0</formula>
    </cfRule>
  </conditionalFormatting>
  <conditionalFormatting sqref="K140">
    <cfRule type="containsBlanks" dxfId="2386" priority="2005">
      <formula>LEN(TRIM(K140))=0</formula>
    </cfRule>
  </conditionalFormatting>
  <conditionalFormatting sqref="K149:U149">
    <cfRule type="expression" dxfId="2385" priority="2000">
      <formula>$D$123&lt;&gt;""</formula>
    </cfRule>
  </conditionalFormatting>
  <conditionalFormatting sqref="D142">
    <cfRule type="cellIs" dxfId="2384" priority="1997" operator="equal">
      <formula>"I/O"</formula>
    </cfRule>
    <cfRule type="cellIs" dxfId="2383" priority="1998" operator="equal">
      <formula>"Operación"</formula>
    </cfRule>
    <cfRule type="cellIs" dxfId="2382" priority="1999" operator="equal">
      <formula>"Inversión"</formula>
    </cfRule>
  </conditionalFormatting>
  <conditionalFormatting sqref="K146:U146">
    <cfRule type="containsBlanks" dxfId="2381" priority="1996">
      <formula>LEN(TRIM(K146))=0</formula>
    </cfRule>
  </conditionalFormatting>
  <conditionalFormatting sqref="K147:U149">
    <cfRule type="cellIs" dxfId="2380" priority="1995" operator="equal">
      <formula>0</formula>
    </cfRule>
  </conditionalFormatting>
  <conditionalFormatting sqref="K154:U154">
    <cfRule type="cellIs" dxfId="2379" priority="1993" operator="equal">
      <formula>"NO"</formula>
    </cfRule>
    <cfRule type="cellIs" dxfId="2378" priority="1994" operator="equal">
      <formula>"SI"</formula>
    </cfRule>
  </conditionalFormatting>
  <conditionalFormatting sqref="K154:U154">
    <cfRule type="cellIs" dxfId="2377" priority="1992" operator="equal">
      <formula>"N/A"</formula>
    </cfRule>
  </conditionalFormatting>
  <conditionalFormatting sqref="L152:U152">
    <cfRule type="containsBlanks" dxfId="2376" priority="1989">
      <formula>LEN(TRIM(L152))=0</formula>
    </cfRule>
  </conditionalFormatting>
  <conditionalFormatting sqref="K152">
    <cfRule type="containsBlanks" dxfId="2375" priority="1990">
      <formula>LEN(TRIM(K152))=0</formula>
    </cfRule>
  </conditionalFormatting>
  <conditionalFormatting sqref="K161:U161">
    <cfRule type="expression" dxfId="2374" priority="1985">
      <formula>$D$123&lt;&gt;""</formula>
    </cfRule>
  </conditionalFormatting>
  <conditionalFormatting sqref="D154">
    <cfRule type="cellIs" dxfId="2373" priority="1982" operator="equal">
      <formula>"I/O"</formula>
    </cfRule>
    <cfRule type="cellIs" dxfId="2372" priority="1983" operator="equal">
      <formula>"Operación"</formula>
    </cfRule>
    <cfRule type="cellIs" dxfId="2371" priority="1984" operator="equal">
      <formula>"Inversión"</formula>
    </cfRule>
  </conditionalFormatting>
  <conditionalFormatting sqref="K158:U158">
    <cfRule type="containsBlanks" dxfId="2370" priority="1981">
      <formula>LEN(TRIM(K158))=0</formula>
    </cfRule>
  </conditionalFormatting>
  <conditionalFormatting sqref="K160:U161">
    <cfRule type="cellIs" dxfId="2369" priority="1980" operator="equal">
      <formula>0</formula>
    </cfRule>
  </conditionalFormatting>
  <conditionalFormatting sqref="K166:U166">
    <cfRule type="cellIs" dxfId="2368" priority="1978" operator="equal">
      <formula>"NO"</formula>
    </cfRule>
    <cfRule type="cellIs" dxfId="2367" priority="1979" operator="equal">
      <formula>"SI"</formula>
    </cfRule>
  </conditionalFormatting>
  <conditionalFormatting sqref="K166:U166">
    <cfRule type="cellIs" dxfId="2366" priority="1977" operator="equal">
      <formula>"N/A"</formula>
    </cfRule>
  </conditionalFormatting>
  <conditionalFormatting sqref="K164">
    <cfRule type="containsBlanks" dxfId="2365" priority="1975">
      <formula>LEN(TRIM(K164))=0</formula>
    </cfRule>
  </conditionalFormatting>
  <conditionalFormatting sqref="L164:U164">
    <cfRule type="containsBlanks" dxfId="2364" priority="1974">
      <formula>LEN(TRIM(L164))=0</formula>
    </cfRule>
  </conditionalFormatting>
  <conditionalFormatting sqref="K173:U173">
    <cfRule type="expression" dxfId="2363" priority="1970">
      <formula>$D$123&lt;&gt;0</formula>
    </cfRule>
  </conditionalFormatting>
  <conditionalFormatting sqref="D166">
    <cfRule type="cellIs" dxfId="2362" priority="1967" operator="equal">
      <formula>"I/O"</formula>
    </cfRule>
    <cfRule type="cellIs" dxfId="2361" priority="1968" operator="equal">
      <formula>"Operación"</formula>
    </cfRule>
    <cfRule type="cellIs" dxfId="2360" priority="1969" operator="equal">
      <formula>"Inversión"</formula>
    </cfRule>
  </conditionalFormatting>
  <conditionalFormatting sqref="K171:U173">
    <cfRule type="cellIs" dxfId="2359" priority="1965" operator="equal">
      <formula>0</formula>
    </cfRule>
  </conditionalFormatting>
  <conditionalFormatting sqref="E177">
    <cfRule type="cellIs" dxfId="2358" priority="1964" operator="equal">
      <formula>"NO"</formula>
    </cfRule>
  </conditionalFormatting>
  <conditionalFormatting sqref="K182:P182">
    <cfRule type="cellIs" dxfId="2357" priority="1962" operator="equal">
      <formula>"NO"</formula>
    </cfRule>
    <cfRule type="cellIs" dxfId="2356" priority="1963" operator="equal">
      <formula>"SI"</formula>
    </cfRule>
  </conditionalFormatting>
  <conditionalFormatting sqref="K182:P182">
    <cfRule type="cellIs" dxfId="2355" priority="1961" operator="equal">
      <formula>"N/A"</formula>
    </cfRule>
  </conditionalFormatting>
  <conditionalFormatting sqref="K187:U187">
    <cfRule type="containsBlanks" dxfId="2354" priority="1960">
      <formula>LEN(TRIM(K187))=0</formula>
    </cfRule>
  </conditionalFormatting>
  <conditionalFormatting sqref="L176:P176">
    <cfRule type="containsBlanks" dxfId="2353" priority="1959">
      <formula>LEN(TRIM(L176))=0</formula>
    </cfRule>
  </conditionalFormatting>
  <conditionalFormatting sqref="L177:U177">
    <cfRule type="containsBlanks" dxfId="2352" priority="1955">
      <formula>LEN(TRIM(L177))=0</formula>
    </cfRule>
    <cfRule type="expression" dxfId="2351" priority="1956">
      <formula>L177&lt;&gt;SUM(L178:L181)</formula>
    </cfRule>
  </conditionalFormatting>
  <conditionalFormatting sqref="Q178:U181 K807:U809">
    <cfRule type="containsBlanks" dxfId="2350" priority="1236">
      <formula>LEN(TRIM(K178))=0</formula>
    </cfRule>
    <cfRule type="cellIs" dxfId="2349" priority="2052" operator="notEqual">
      <formula>""""""</formula>
    </cfRule>
  </conditionalFormatting>
  <conditionalFormatting sqref="K189:U189">
    <cfRule type="expression" dxfId="2348" priority="1953">
      <formula>$D$123&lt;&gt;0</formula>
    </cfRule>
  </conditionalFormatting>
  <conditionalFormatting sqref="D182">
    <cfRule type="cellIs" dxfId="2347" priority="1947" operator="equal">
      <formula>"I/O"</formula>
    </cfRule>
    <cfRule type="cellIs" dxfId="2346" priority="1948" operator="equal">
      <formula>"Operación"</formula>
    </cfRule>
    <cfRule type="cellIs" dxfId="2345" priority="1949" operator="equal">
      <formula>"Inversión"</formula>
    </cfRule>
  </conditionalFormatting>
  <conditionalFormatting sqref="K186:P186">
    <cfRule type="containsBlanks" dxfId="2344" priority="1946">
      <formula>LEN(TRIM(K186))=0</formula>
    </cfRule>
  </conditionalFormatting>
  <conditionalFormatting sqref="D197">
    <cfRule type="cellIs" dxfId="2343" priority="1944" operator="equal">
      <formula>"NO"</formula>
    </cfRule>
  </conditionalFormatting>
  <conditionalFormatting sqref="K197">
    <cfRule type="expression" dxfId="2342" priority="1943">
      <formula>K197&lt;&gt;SUM(K198:K200)</formula>
    </cfRule>
  </conditionalFormatting>
  <conditionalFormatting sqref="K197">
    <cfRule type="cellIs" dxfId="2341" priority="1942" operator="equal">
      <formula>0</formula>
    </cfRule>
  </conditionalFormatting>
  <conditionalFormatting sqref="K201:U201">
    <cfRule type="cellIs" dxfId="2340" priority="1940" operator="equal">
      <formula>"NO"</formula>
    </cfRule>
    <cfRule type="cellIs" dxfId="2339" priority="1941" operator="equal">
      <formula>"SI"</formula>
    </cfRule>
  </conditionalFormatting>
  <conditionalFormatting sqref="K201:U201">
    <cfRule type="cellIs" dxfId="2338" priority="1939" operator="equal">
      <formula>"N/A"</formula>
    </cfRule>
  </conditionalFormatting>
  <conditionalFormatting sqref="K196">
    <cfRule type="containsBlanks" dxfId="2337" priority="1938">
      <formula>LEN(TRIM(K196))=0</formula>
    </cfRule>
  </conditionalFormatting>
  <conditionalFormatting sqref="K198:U200">
    <cfRule type="containsBlanks" dxfId="2336" priority="1235">
      <formula>LEN(TRIM(K198))=0</formula>
    </cfRule>
    <cfRule type="cellIs" dxfId="2335" priority="2053" operator="notEqual">
      <formula>""""""</formula>
    </cfRule>
  </conditionalFormatting>
  <conditionalFormatting sqref="L196:U196">
    <cfRule type="containsBlanks" dxfId="2334" priority="1935">
      <formula>LEN(TRIM(L196))=0</formula>
    </cfRule>
  </conditionalFormatting>
  <conditionalFormatting sqref="K202:U208">
    <cfRule type="cellIs" dxfId="2333" priority="1934" operator="equal">
      <formula>0</formula>
    </cfRule>
  </conditionalFormatting>
  <conditionalFormatting sqref="D201">
    <cfRule type="cellIs" dxfId="2332" priority="1928" operator="equal">
      <formula>"I/O"</formula>
    </cfRule>
    <cfRule type="cellIs" dxfId="2331" priority="1929" operator="equal">
      <formula>"Operación"</formula>
    </cfRule>
    <cfRule type="cellIs" dxfId="2330" priority="1930" operator="equal">
      <formula>"Inversión"</formula>
    </cfRule>
  </conditionalFormatting>
  <conditionalFormatting sqref="K210">
    <cfRule type="containsBlanks" dxfId="2329" priority="1925">
      <formula>LEN(TRIM(K210))=0</formula>
    </cfRule>
  </conditionalFormatting>
  <conditionalFormatting sqref="K210">
    <cfRule type="expression" dxfId="2328" priority="1926">
      <formula>K210&lt;&gt;SUM(K212:K214)</formula>
    </cfRule>
  </conditionalFormatting>
  <conditionalFormatting sqref="K210">
    <cfRule type="containsBlanks" priority="1924">
      <formula>LEN(TRIM(K210))=0</formula>
    </cfRule>
  </conditionalFormatting>
  <conditionalFormatting sqref="L210:U210">
    <cfRule type="expression" dxfId="2327" priority="1923">
      <formula>L210&lt;&gt;SUM(L212:L214)</formula>
    </cfRule>
  </conditionalFormatting>
  <conditionalFormatting sqref="L210:U210">
    <cfRule type="cellIs" dxfId="2326" priority="1922" operator="equal">
      <formula>0</formula>
    </cfRule>
  </conditionalFormatting>
  <conditionalFormatting sqref="K220:U220">
    <cfRule type="containsBlanks" dxfId="2325" priority="1917">
      <formula>LEN(TRIM(K220))=0</formula>
    </cfRule>
  </conditionalFormatting>
  <conditionalFormatting sqref="K212:U214">
    <cfRule type="containsBlanks" dxfId="2324" priority="1234">
      <formula>LEN(TRIM(K212))=0</formula>
    </cfRule>
    <cfRule type="cellIs" dxfId="2323" priority="2054" operator="notEqual">
      <formula>""""""</formula>
    </cfRule>
  </conditionalFormatting>
  <conditionalFormatting sqref="L211:U211">
    <cfRule type="containsBlanks" dxfId="2322" priority="1914">
      <formula>LEN(TRIM(L211))=0</formula>
    </cfRule>
  </conditionalFormatting>
  <conditionalFormatting sqref="K211">
    <cfRule type="containsBlanks" dxfId="2321" priority="1915">
      <formula>LEN(TRIM(K211))=0</formula>
    </cfRule>
  </conditionalFormatting>
  <conditionalFormatting sqref="K222:U222">
    <cfRule type="expression" dxfId="2320" priority="1910">
      <formula>$D$123&lt;&gt;""</formula>
    </cfRule>
  </conditionalFormatting>
  <conditionalFormatting sqref="D215">
    <cfRule type="cellIs" dxfId="2319" priority="1907" operator="equal">
      <formula>"I/O"</formula>
    </cfRule>
    <cfRule type="cellIs" dxfId="2318" priority="1908" operator="equal">
      <formula>"Operación"</formula>
    </cfRule>
    <cfRule type="cellIs" dxfId="2317" priority="1909" operator="equal">
      <formula>"Inversión"</formula>
    </cfRule>
  </conditionalFormatting>
  <conditionalFormatting sqref="K216:U219">
    <cfRule type="cellIs" dxfId="2316" priority="1906" operator="equal">
      <formula>0</formula>
    </cfRule>
  </conditionalFormatting>
  <conditionalFormatting sqref="K221:U222">
    <cfRule type="cellIs" dxfId="2315" priority="1905" operator="equal">
      <formula>0</formula>
    </cfRule>
  </conditionalFormatting>
  <conditionalFormatting sqref="K227:U227">
    <cfRule type="cellIs" dxfId="2314" priority="1903" operator="equal">
      <formula>"NO"</formula>
    </cfRule>
    <cfRule type="cellIs" dxfId="2313" priority="1904" operator="equal">
      <formula>"SI"</formula>
    </cfRule>
  </conditionalFormatting>
  <conditionalFormatting sqref="K227:U227">
    <cfRule type="cellIs" dxfId="2312" priority="1902" operator="equal">
      <formula>"N/A"</formula>
    </cfRule>
  </conditionalFormatting>
  <conditionalFormatting sqref="L225:U225">
    <cfRule type="containsBlanks" dxfId="2311" priority="1899">
      <formula>LEN(TRIM(L225))=0</formula>
    </cfRule>
  </conditionalFormatting>
  <conditionalFormatting sqref="K225">
    <cfRule type="containsBlanks" dxfId="2310" priority="1900">
      <formula>LEN(TRIM(K225))=0</formula>
    </cfRule>
  </conditionalFormatting>
  <conditionalFormatting sqref="K234:U234">
    <cfRule type="expression" dxfId="2309" priority="1895">
      <formula>$D$123&lt;&gt;""</formula>
    </cfRule>
  </conditionalFormatting>
  <conditionalFormatting sqref="D227">
    <cfRule type="cellIs" dxfId="2308" priority="1892" operator="equal">
      <formula>"I/O"</formula>
    </cfRule>
    <cfRule type="cellIs" dxfId="2307" priority="1893" operator="equal">
      <formula>"Operación"</formula>
    </cfRule>
    <cfRule type="cellIs" dxfId="2306" priority="1894" operator="equal">
      <formula>"Inversión"</formula>
    </cfRule>
  </conditionalFormatting>
  <conditionalFormatting sqref="K231:U231">
    <cfRule type="containsBlanks" dxfId="2305" priority="1891">
      <formula>LEN(TRIM(K231))=0</formula>
    </cfRule>
  </conditionalFormatting>
  <conditionalFormatting sqref="K232:U234">
    <cfRule type="cellIs" dxfId="2304" priority="1890" operator="equal">
      <formula>0</formula>
    </cfRule>
  </conditionalFormatting>
  <conditionalFormatting sqref="K239:U239">
    <cfRule type="cellIs" dxfId="2303" priority="1888" operator="equal">
      <formula>"NO"</formula>
    </cfRule>
    <cfRule type="cellIs" dxfId="2302" priority="1889" operator="equal">
      <formula>"SI"</formula>
    </cfRule>
  </conditionalFormatting>
  <conditionalFormatting sqref="K239:U239">
    <cfRule type="cellIs" dxfId="2301" priority="1887" operator="equal">
      <formula>"N/A"</formula>
    </cfRule>
  </conditionalFormatting>
  <conditionalFormatting sqref="K244:U244">
    <cfRule type="containsBlanks" dxfId="2300" priority="1886">
      <formula>LEN(TRIM(K244))=0</formula>
    </cfRule>
  </conditionalFormatting>
  <conditionalFormatting sqref="K237">
    <cfRule type="containsBlanks" dxfId="2299" priority="1885">
      <formula>LEN(TRIM(K237))=0</formula>
    </cfRule>
  </conditionalFormatting>
  <conditionalFormatting sqref="L237:U237">
    <cfRule type="containsBlanks" dxfId="2298" priority="1884">
      <formula>LEN(TRIM(L237))=0</formula>
    </cfRule>
  </conditionalFormatting>
  <conditionalFormatting sqref="K246:U246">
    <cfRule type="expression" dxfId="2297" priority="1880">
      <formula>$D$123&lt;&gt;0</formula>
    </cfRule>
  </conditionalFormatting>
  <conditionalFormatting sqref="D239">
    <cfRule type="cellIs" dxfId="2296" priority="1877" operator="equal">
      <formula>"I/O"</formula>
    </cfRule>
    <cfRule type="cellIs" dxfId="2295" priority="1878" operator="equal">
      <formula>"Operación"</formula>
    </cfRule>
    <cfRule type="cellIs" dxfId="2294" priority="1879" operator="equal">
      <formula>"Inversión"</formula>
    </cfRule>
  </conditionalFormatting>
  <conditionalFormatting sqref="K243:U243">
    <cfRule type="containsBlanks" dxfId="2293" priority="1876">
      <formula>LEN(TRIM(K243))=0</formula>
    </cfRule>
  </conditionalFormatting>
  <conditionalFormatting sqref="K251:U251">
    <cfRule type="cellIs" dxfId="2292" priority="1873" operator="equal">
      <formula>"NO"</formula>
    </cfRule>
    <cfRule type="cellIs" dxfId="2291" priority="1874" operator="equal">
      <formula>"SI"</formula>
    </cfRule>
  </conditionalFormatting>
  <conditionalFormatting sqref="K251:U251">
    <cfRule type="cellIs" dxfId="2290" priority="1872" operator="equal">
      <formula>"N/A"</formula>
    </cfRule>
  </conditionalFormatting>
  <conditionalFormatting sqref="K256:U256">
    <cfRule type="containsBlanks" dxfId="2289" priority="1871">
      <formula>LEN(TRIM(K256))=0</formula>
    </cfRule>
  </conditionalFormatting>
  <conditionalFormatting sqref="L249:U249">
    <cfRule type="containsBlanks" dxfId="2288" priority="1869">
      <formula>LEN(TRIM(L249))=0</formula>
    </cfRule>
  </conditionalFormatting>
  <conditionalFormatting sqref="K249">
    <cfRule type="containsBlanks" dxfId="2287" priority="1870">
      <formula>LEN(TRIM(K249))=0</formula>
    </cfRule>
  </conditionalFormatting>
  <conditionalFormatting sqref="D251">
    <cfRule type="cellIs" dxfId="2286" priority="1866" operator="equal">
      <formula>"I/O"</formula>
    </cfRule>
    <cfRule type="cellIs" dxfId="2285" priority="1867" operator="equal">
      <formula>"Operación"</formula>
    </cfRule>
    <cfRule type="cellIs" dxfId="2284" priority="1868" operator="equal">
      <formula>"Inversión"</formula>
    </cfRule>
  </conditionalFormatting>
  <conditionalFormatting sqref="K255:U255">
    <cfRule type="containsBlanks" dxfId="2283" priority="1865">
      <formula>LEN(TRIM(K255))=0</formula>
    </cfRule>
  </conditionalFormatting>
  <conditionalFormatting sqref="K257:U257">
    <cfRule type="cellIs" dxfId="2282" priority="1864" operator="equal">
      <formula>0</formula>
    </cfRule>
  </conditionalFormatting>
  <conditionalFormatting sqref="E262">
    <cfRule type="cellIs" dxfId="2281" priority="1862" operator="equal">
      <formula>"NO"</formula>
    </cfRule>
  </conditionalFormatting>
  <conditionalFormatting sqref="K267:U267">
    <cfRule type="cellIs" dxfId="2280" priority="1859" operator="equal">
      <formula>"NO"</formula>
    </cfRule>
    <cfRule type="cellIs" dxfId="2279" priority="1860" operator="equal">
      <formula>"SI"</formula>
    </cfRule>
  </conditionalFormatting>
  <conditionalFormatting sqref="K267:U267">
    <cfRule type="cellIs" dxfId="2278" priority="1858" operator="equal">
      <formula>"N/A"</formula>
    </cfRule>
  </conditionalFormatting>
  <conditionalFormatting sqref="L263:U266">
    <cfRule type="containsBlanks" dxfId="2277" priority="1863">
      <formula>LEN(TRIM(L263))=0</formula>
    </cfRule>
  </conditionalFormatting>
  <conditionalFormatting sqref="L261:T261">
    <cfRule type="containsBlanks" dxfId="2276" priority="1857">
      <formula>LEN(TRIM(L261))=0</formula>
    </cfRule>
  </conditionalFormatting>
  <conditionalFormatting sqref="D267">
    <cfRule type="cellIs" dxfId="2275" priority="1851" operator="equal">
      <formula>"I/O"</formula>
    </cfRule>
    <cfRule type="cellIs" dxfId="2274" priority="1852" operator="equal">
      <formula>"Operación"</formula>
    </cfRule>
    <cfRule type="cellIs" dxfId="2273" priority="1853" operator="equal">
      <formula>"Inversión"</formula>
    </cfRule>
  </conditionalFormatting>
  <conditionalFormatting sqref="K268:U273">
    <cfRule type="cellIs" dxfId="2272" priority="1849" operator="equal">
      <formula>0</formula>
    </cfRule>
  </conditionalFormatting>
  <conditionalFormatting sqref="D282">
    <cfRule type="cellIs" dxfId="2271" priority="1848" operator="equal">
      <formula>"NO"</formula>
    </cfRule>
  </conditionalFormatting>
  <conditionalFormatting sqref="K282">
    <cfRule type="expression" dxfId="2270" priority="1847">
      <formula>K282&lt;&gt;SUM(K283:K285)</formula>
    </cfRule>
  </conditionalFormatting>
  <conditionalFormatting sqref="L281:U281">
    <cfRule type="containsBlanks" dxfId="2269" priority="1845">
      <formula>LEN(TRIM(L281))=0</formula>
    </cfRule>
  </conditionalFormatting>
  <conditionalFormatting sqref="K282">
    <cfRule type="containsBlanks" dxfId="2268" priority="1844">
      <formula>LEN(TRIM(K282))=0</formula>
    </cfRule>
  </conditionalFormatting>
  <conditionalFormatting sqref="K286:V286">
    <cfRule type="cellIs" dxfId="2267" priority="1842" operator="equal">
      <formula>"NO"</formula>
    </cfRule>
    <cfRule type="cellIs" dxfId="2266" priority="1843" operator="equal">
      <formula>"SI"</formula>
    </cfRule>
  </conditionalFormatting>
  <conditionalFormatting sqref="K286:V286">
    <cfRule type="cellIs" dxfId="2265" priority="1841" operator="equal">
      <formula>"N/A"</formula>
    </cfRule>
  </conditionalFormatting>
  <conditionalFormatting sqref="K283:U285">
    <cfRule type="containsBlanks" dxfId="2264" priority="1206">
      <formula>LEN(TRIM(K283))=0</formula>
    </cfRule>
    <cfRule type="cellIs" dxfId="2263" priority="1840" operator="greaterThanOrEqual">
      <formula>0</formula>
    </cfRule>
  </conditionalFormatting>
  <conditionalFormatting sqref="K287:U292">
    <cfRule type="cellIs" dxfId="2262" priority="1839" operator="equal">
      <formula>0</formula>
    </cfRule>
  </conditionalFormatting>
  <conditionalFormatting sqref="D286">
    <cfRule type="cellIs" dxfId="2261" priority="1834" operator="equal">
      <formula>"I/O"</formula>
    </cfRule>
    <cfRule type="cellIs" dxfId="2260" priority="1835" operator="equal">
      <formula>"Operación"</formula>
    </cfRule>
    <cfRule type="cellIs" dxfId="2259" priority="1836" operator="equal">
      <formula>"Inversión"</formula>
    </cfRule>
  </conditionalFormatting>
  <conditionalFormatting sqref="K295:U295">
    <cfRule type="expression" dxfId="2258" priority="1830">
      <formula>K295&lt;&gt;SUM(K297:K299)</formula>
    </cfRule>
  </conditionalFormatting>
  <conditionalFormatting sqref="L295:U295">
    <cfRule type="cellIs" dxfId="2257" priority="1829" operator="equal">
      <formula>0</formula>
    </cfRule>
  </conditionalFormatting>
  <conditionalFormatting sqref="K300:U300">
    <cfRule type="cellIs" dxfId="2256" priority="1826" operator="equal">
      <formula>"NO"</formula>
    </cfRule>
    <cfRule type="cellIs" dxfId="2255" priority="1827" operator="equal">
      <formula>"SI"</formula>
    </cfRule>
  </conditionalFormatting>
  <conditionalFormatting sqref="K300:U300">
    <cfRule type="cellIs" dxfId="2254" priority="1825" operator="equal">
      <formula>"N/A"</formula>
    </cfRule>
  </conditionalFormatting>
  <conditionalFormatting sqref="K297:U299">
    <cfRule type="containsBlanks" dxfId="2253" priority="1824">
      <formula>LEN(TRIM(K297))=0</formula>
    </cfRule>
    <cfRule type="cellIs" dxfId="2252" priority="2055" operator="notEqual">
      <formula>""""""</formula>
    </cfRule>
  </conditionalFormatting>
  <conditionalFormatting sqref="L296:U296">
    <cfRule type="containsBlanks" dxfId="2251" priority="1821">
      <formula>LEN(TRIM(L296))=0</formula>
    </cfRule>
  </conditionalFormatting>
  <conditionalFormatting sqref="D300">
    <cfRule type="cellIs" dxfId="2250" priority="1818" operator="equal">
      <formula>"I/O"</formula>
    </cfRule>
    <cfRule type="cellIs" dxfId="2249" priority="1819" operator="equal">
      <formula>"Operación"</formula>
    </cfRule>
    <cfRule type="cellIs" dxfId="2248" priority="1820" operator="equal">
      <formula>"Inversión"</formula>
    </cfRule>
  </conditionalFormatting>
  <conditionalFormatting sqref="K301:U306">
    <cfRule type="cellIs" dxfId="2247" priority="1815" operator="equal">
      <formula>0</formula>
    </cfRule>
  </conditionalFormatting>
  <conditionalFormatting sqref="K311:U311">
    <cfRule type="cellIs" dxfId="2246" priority="1813" operator="equal">
      <formula>"NO"</formula>
    </cfRule>
    <cfRule type="cellIs" dxfId="2245" priority="1814" operator="equal">
      <formula>"SI"</formula>
    </cfRule>
  </conditionalFormatting>
  <conditionalFormatting sqref="K311:U311">
    <cfRule type="cellIs" dxfId="2244" priority="1812" operator="equal">
      <formula>"N/A"</formula>
    </cfRule>
  </conditionalFormatting>
  <conditionalFormatting sqref="D311">
    <cfRule type="cellIs" dxfId="2243" priority="1808" operator="equal">
      <formula>"I/O"</formula>
    </cfRule>
    <cfRule type="cellIs" dxfId="2242" priority="1809" operator="equal">
      <formula>"Operación"</formula>
    </cfRule>
    <cfRule type="cellIs" dxfId="2241" priority="1810" operator="equal">
      <formula>"Inversión"</formula>
    </cfRule>
  </conditionalFormatting>
  <conditionalFormatting sqref="K312:U317">
    <cfRule type="cellIs" dxfId="2240" priority="1806" operator="equal">
      <formula>0</formula>
    </cfRule>
  </conditionalFormatting>
  <conditionalFormatting sqref="K322:U322">
    <cfRule type="cellIs" dxfId="2239" priority="1804" operator="equal">
      <formula>"NO"</formula>
    </cfRule>
    <cfRule type="cellIs" dxfId="2238" priority="1805" operator="equal">
      <formula>"SI"</formula>
    </cfRule>
  </conditionalFormatting>
  <conditionalFormatting sqref="K322:U322">
    <cfRule type="cellIs" dxfId="2237" priority="1803" operator="equal">
      <formula>"N/A"</formula>
    </cfRule>
  </conditionalFormatting>
  <conditionalFormatting sqref="D322">
    <cfRule type="cellIs" dxfId="2236" priority="1799" operator="equal">
      <formula>"I/O"</formula>
    </cfRule>
    <cfRule type="cellIs" dxfId="2235" priority="1800" operator="equal">
      <formula>"Operación"</formula>
    </cfRule>
    <cfRule type="cellIs" dxfId="2234" priority="1801" operator="equal">
      <formula>"Inversión"</formula>
    </cfRule>
  </conditionalFormatting>
  <conditionalFormatting sqref="K323:U328">
    <cfRule type="cellIs" dxfId="2233" priority="1797" operator="equal">
      <formula>0</formula>
    </cfRule>
  </conditionalFormatting>
  <conditionalFormatting sqref="K333:U333">
    <cfRule type="cellIs" dxfId="2232" priority="1795" operator="equal">
      <formula>"NO"</formula>
    </cfRule>
    <cfRule type="cellIs" dxfId="2231" priority="1796" operator="equal">
      <formula>"SI"</formula>
    </cfRule>
  </conditionalFormatting>
  <conditionalFormatting sqref="K333:U333">
    <cfRule type="cellIs" dxfId="2230" priority="1794" operator="equal">
      <formula>"N/A"</formula>
    </cfRule>
  </conditionalFormatting>
  <conditionalFormatting sqref="D333">
    <cfRule type="cellIs" dxfId="2229" priority="1790" operator="equal">
      <formula>"I/O"</formula>
    </cfRule>
    <cfRule type="cellIs" dxfId="2228" priority="1791" operator="equal">
      <formula>"Operación"</formula>
    </cfRule>
    <cfRule type="cellIs" dxfId="2227" priority="1792" operator="equal">
      <formula>"Inversión"</formula>
    </cfRule>
  </conditionalFormatting>
  <conditionalFormatting sqref="K334:U339">
    <cfRule type="cellIs" dxfId="2226" priority="1788" operator="equal">
      <formula>0</formula>
    </cfRule>
  </conditionalFormatting>
  <conditionalFormatting sqref="E344">
    <cfRule type="cellIs" dxfId="2225" priority="1787" operator="equal">
      <formula>"NO"</formula>
    </cfRule>
  </conditionalFormatting>
  <conditionalFormatting sqref="V349 K349:T349">
    <cfRule type="cellIs" dxfId="2224" priority="1785" operator="equal">
      <formula>"NO"</formula>
    </cfRule>
    <cfRule type="cellIs" dxfId="2223" priority="1786" operator="equal">
      <formula>"SI"</formula>
    </cfRule>
  </conditionalFormatting>
  <conditionalFormatting sqref="V349 K349:T349">
    <cfRule type="cellIs" dxfId="2222" priority="1784" operator="equal">
      <formula>"N/A"</formula>
    </cfRule>
  </conditionalFormatting>
  <conditionalFormatting sqref="L343:T343">
    <cfRule type="containsBlanks" dxfId="2221" priority="1783">
      <formula>LEN(TRIM(L343))=0</formula>
    </cfRule>
  </conditionalFormatting>
  <conditionalFormatting sqref="L345:Q348">
    <cfRule type="containsBlanks" dxfId="2220" priority="1172">
      <formula>LEN(TRIM(L345))=0</formula>
    </cfRule>
    <cfRule type="cellIs" dxfId="2219" priority="1780" operator="notEqual">
      <formula>""""""</formula>
    </cfRule>
  </conditionalFormatting>
  <conditionalFormatting sqref="D349">
    <cfRule type="cellIs" dxfId="2218" priority="1776" operator="equal">
      <formula>"I/O"</formula>
    </cfRule>
    <cfRule type="cellIs" dxfId="2217" priority="1777" operator="equal">
      <formula>"Operación"</formula>
    </cfRule>
    <cfRule type="cellIs" dxfId="2216" priority="1778" operator="equal">
      <formula>"Inversión"</formula>
    </cfRule>
  </conditionalFormatting>
  <conditionalFormatting sqref="K350:P351 K354:P355 K352:T353">
    <cfRule type="cellIs" dxfId="2215" priority="1774" operator="equal">
      <formula>0</formula>
    </cfRule>
  </conditionalFormatting>
  <conditionalFormatting sqref="D365">
    <cfRule type="cellIs" dxfId="2214" priority="1770" operator="equal">
      <formula>"NO"</formula>
    </cfRule>
  </conditionalFormatting>
  <conditionalFormatting sqref="K361">
    <cfRule type="containsBlanks" dxfId="2213" priority="1772">
      <formula>LEN(TRIM(K361))=0</formula>
    </cfRule>
  </conditionalFormatting>
  <conditionalFormatting sqref="L361:U361">
    <cfRule type="containsBlanks" dxfId="2212" priority="1769">
      <formula>LEN(TRIM(L361))=0</formula>
    </cfRule>
  </conditionalFormatting>
  <conditionalFormatting sqref="L362:U365">
    <cfRule type="cellIs" dxfId="2211" priority="1768" operator="equal">
      <formula>0</formula>
    </cfRule>
  </conditionalFormatting>
  <conditionalFormatting sqref="K364">
    <cfRule type="cellIs" dxfId="2210" priority="1767" operator="lessThan">
      <formula>0</formula>
    </cfRule>
  </conditionalFormatting>
  <conditionalFormatting sqref="L364:U364">
    <cfRule type="cellIs" dxfId="2209" priority="1766" operator="lessThan">
      <formula>0</formula>
    </cfRule>
  </conditionalFormatting>
  <conditionalFormatting sqref="K369:U369">
    <cfRule type="cellIs" dxfId="2208" priority="1764" operator="equal">
      <formula>"NO"</formula>
    </cfRule>
    <cfRule type="cellIs" dxfId="2207" priority="1765" operator="equal">
      <formula>"SI"</formula>
    </cfRule>
  </conditionalFormatting>
  <conditionalFormatting sqref="K369:U369">
    <cfRule type="cellIs" dxfId="2206" priority="1763" operator="equal">
      <formula>"N/A"</formula>
    </cfRule>
  </conditionalFormatting>
  <conditionalFormatting sqref="K366:U368">
    <cfRule type="containsBlanks" dxfId="2205" priority="1761">
      <formula>LEN(TRIM(K366))=0</formula>
    </cfRule>
  </conditionalFormatting>
  <conditionalFormatting sqref="D369">
    <cfRule type="cellIs" dxfId="2204" priority="1758" operator="equal">
      <formula>"I/O"</formula>
    </cfRule>
    <cfRule type="cellIs" dxfId="2203" priority="1759" operator="equal">
      <formula>"Operación"</formula>
    </cfRule>
    <cfRule type="cellIs" dxfId="2202" priority="1760" operator="equal">
      <formula>"Inversión"</formula>
    </cfRule>
  </conditionalFormatting>
  <conditionalFormatting sqref="K370:U376">
    <cfRule type="cellIs" dxfId="2201" priority="1755" operator="equal">
      <formula>0</formula>
    </cfRule>
  </conditionalFormatting>
  <conditionalFormatting sqref="D383">
    <cfRule type="cellIs" dxfId="2200" priority="1754" operator="equal">
      <formula>"NO"</formula>
    </cfRule>
  </conditionalFormatting>
  <conditionalFormatting sqref="L382:U382">
    <cfRule type="cellIs" dxfId="2199" priority="1751" operator="lessThan">
      <formula>0</formula>
    </cfRule>
  </conditionalFormatting>
  <conditionalFormatting sqref="K382">
    <cfRule type="cellIs" dxfId="2198" priority="1752" operator="lessThanOrEqual">
      <formula>0</formula>
    </cfRule>
  </conditionalFormatting>
  <conditionalFormatting sqref="K387:U387">
    <cfRule type="cellIs" dxfId="2197" priority="1749" operator="equal">
      <formula>"NO"</formula>
    </cfRule>
    <cfRule type="cellIs" dxfId="2196" priority="1750" operator="equal">
      <formula>"SI"</formula>
    </cfRule>
  </conditionalFormatting>
  <conditionalFormatting sqref="K387:U387">
    <cfRule type="cellIs" dxfId="2195" priority="1748" operator="equal">
      <formula>"N/A"</formula>
    </cfRule>
  </conditionalFormatting>
  <conditionalFormatting sqref="L380:V383">
    <cfRule type="cellIs" dxfId="2194" priority="1742" operator="equal">
      <formula>0</formula>
    </cfRule>
  </conditionalFormatting>
  <conditionalFormatting sqref="L379:U379">
    <cfRule type="containsBlanks" dxfId="2193" priority="1743">
      <formula>LEN(TRIM(L379))=0</formula>
    </cfRule>
  </conditionalFormatting>
  <conditionalFormatting sqref="K379">
    <cfRule type="containsBlanks" dxfId="2192" priority="1744">
      <formula>LEN(TRIM(K379))=0</formula>
    </cfRule>
  </conditionalFormatting>
  <conditionalFormatting sqref="D380">
    <cfRule type="expression" dxfId="2191" priority="1745">
      <formula>D380&lt;&gt;SUM(D381:D382)</formula>
    </cfRule>
  </conditionalFormatting>
  <conditionalFormatting sqref="D387">
    <cfRule type="cellIs" dxfId="2190" priority="1737" operator="equal">
      <formula>"I/O"</formula>
    </cfRule>
    <cfRule type="cellIs" dxfId="2189" priority="1738" operator="equal">
      <formula>"Operación"</formula>
    </cfRule>
    <cfRule type="cellIs" dxfId="2188" priority="1739" operator="equal">
      <formula>"Inversión"</formula>
    </cfRule>
  </conditionalFormatting>
  <conditionalFormatting sqref="K388:U393">
    <cfRule type="cellIs" dxfId="2187" priority="1736" operator="equal">
      <formula>0</formula>
    </cfRule>
  </conditionalFormatting>
  <conditionalFormatting sqref="L400:U400">
    <cfRule type="expression" dxfId="2186" priority="1735">
      <formula>L400&lt;&gt;SUM(L398:L399)</formula>
    </cfRule>
  </conditionalFormatting>
  <conditionalFormatting sqref="D400">
    <cfRule type="cellIs" dxfId="2185" priority="1734" operator="equal">
      <formula>"NO"</formula>
    </cfRule>
  </conditionalFormatting>
  <conditionalFormatting sqref="K404:U404">
    <cfRule type="cellIs" dxfId="2184" priority="1732" operator="equal">
      <formula>"NO"</formula>
    </cfRule>
    <cfRule type="cellIs" dxfId="2183" priority="1733" operator="equal">
      <formula>"SI"</formula>
    </cfRule>
  </conditionalFormatting>
  <conditionalFormatting sqref="K404:U404">
    <cfRule type="cellIs" dxfId="2182" priority="1731" operator="equal">
      <formula>"N/A"</formula>
    </cfRule>
  </conditionalFormatting>
  <conditionalFormatting sqref="K400:U400">
    <cfRule type="containsBlanks" dxfId="2181" priority="1730">
      <formula>LEN(TRIM(K400))=0</formula>
    </cfRule>
  </conditionalFormatting>
  <conditionalFormatting sqref="K405:U410">
    <cfRule type="cellIs" dxfId="2180" priority="1729" operator="equal">
      <formula>0</formula>
    </cfRule>
  </conditionalFormatting>
  <conditionalFormatting sqref="K397">
    <cfRule type="containsBlanks" dxfId="2179" priority="1728">
      <formula>LEN(TRIM(K397))=0</formula>
    </cfRule>
  </conditionalFormatting>
  <conditionalFormatting sqref="L397:U397">
    <cfRule type="containsBlanks" dxfId="2178" priority="1727">
      <formula>LEN(TRIM(L397))=0</formula>
    </cfRule>
  </conditionalFormatting>
  <conditionalFormatting sqref="K403:U403">
    <cfRule type="containsBlanks" dxfId="2177" priority="1726">
      <formula>LEN(TRIM(K403))=0</formula>
    </cfRule>
  </conditionalFormatting>
  <conditionalFormatting sqref="K401:U402">
    <cfRule type="containsBlanks" dxfId="2176" priority="1725">
      <formula>LEN(TRIM(K401))=0</formula>
    </cfRule>
  </conditionalFormatting>
  <conditionalFormatting sqref="D404">
    <cfRule type="cellIs" dxfId="2175" priority="1721" operator="equal">
      <formula>"I/O"</formula>
    </cfRule>
    <cfRule type="cellIs" dxfId="2174" priority="1722" operator="equal">
      <formula>"Operación"</formula>
    </cfRule>
    <cfRule type="cellIs" dxfId="2173" priority="1723" operator="equal">
      <formula>"Inversión"</formula>
    </cfRule>
  </conditionalFormatting>
  <conditionalFormatting sqref="K415:U415">
    <cfRule type="cellIs" dxfId="2172" priority="1717" operator="equal">
      <formula>"NO"</formula>
    </cfRule>
    <cfRule type="cellIs" dxfId="2171" priority="1718" operator="equal">
      <formula>"SI"</formula>
    </cfRule>
  </conditionalFormatting>
  <conditionalFormatting sqref="K415:U415">
    <cfRule type="cellIs" dxfId="2170" priority="1716" operator="equal">
      <formula>"N/A"</formula>
    </cfRule>
  </conditionalFormatting>
  <conditionalFormatting sqref="K416:U421">
    <cfRule type="cellIs" dxfId="2169" priority="1715" operator="equal">
      <formula>0</formula>
    </cfRule>
  </conditionalFormatting>
  <conditionalFormatting sqref="D415">
    <cfRule type="cellIs" dxfId="2168" priority="1712" operator="equal">
      <formula>"I/O"</formula>
    </cfRule>
    <cfRule type="cellIs" dxfId="2167" priority="1713" operator="equal">
      <formula>"Operación"</formula>
    </cfRule>
    <cfRule type="cellIs" dxfId="2166" priority="1714" operator="equal">
      <formula>"Inversión"</formula>
    </cfRule>
  </conditionalFormatting>
  <conditionalFormatting sqref="K426:U426">
    <cfRule type="cellIs" dxfId="2165" priority="1708" operator="equal">
      <formula>"NO"</formula>
    </cfRule>
    <cfRule type="cellIs" dxfId="2164" priority="1709" operator="equal">
      <formula>"SI"</formula>
    </cfRule>
  </conditionalFormatting>
  <conditionalFormatting sqref="K426:U426">
    <cfRule type="cellIs" dxfId="2163" priority="1707" operator="equal">
      <formula>"N/A"</formula>
    </cfRule>
  </conditionalFormatting>
  <conditionalFormatting sqref="K427:U432">
    <cfRule type="cellIs" dxfId="2162" priority="1706" operator="equal">
      <formula>0</formula>
    </cfRule>
  </conditionalFormatting>
  <conditionalFormatting sqref="D426">
    <cfRule type="cellIs" dxfId="2161" priority="1703" operator="equal">
      <formula>"I/O"</formula>
    </cfRule>
    <cfRule type="cellIs" dxfId="2160" priority="1704" operator="equal">
      <formula>"Operación"</formula>
    </cfRule>
    <cfRule type="cellIs" dxfId="2159" priority="1705" operator="equal">
      <formula>"Inversión"</formula>
    </cfRule>
  </conditionalFormatting>
  <conditionalFormatting sqref="K437:U437">
    <cfRule type="cellIs" dxfId="2158" priority="1699" operator="equal">
      <formula>"NO"</formula>
    </cfRule>
    <cfRule type="cellIs" dxfId="2157" priority="1700" operator="equal">
      <formula>"SI"</formula>
    </cfRule>
  </conditionalFormatting>
  <conditionalFormatting sqref="K437:U437">
    <cfRule type="cellIs" dxfId="2156" priority="1698" operator="equal">
      <formula>"N/A"</formula>
    </cfRule>
  </conditionalFormatting>
  <conditionalFormatting sqref="K438:U443">
    <cfRule type="cellIs" dxfId="2155" priority="1697" operator="equal">
      <formula>0</formula>
    </cfRule>
  </conditionalFormatting>
  <conditionalFormatting sqref="D437">
    <cfRule type="cellIs" dxfId="2154" priority="1693" operator="equal">
      <formula>"I/O"</formula>
    </cfRule>
    <cfRule type="cellIs" dxfId="2153" priority="1694" operator="equal">
      <formula>"Operación"</formula>
    </cfRule>
    <cfRule type="cellIs" dxfId="2152" priority="1695" operator="equal">
      <formula>"Inversión"</formula>
    </cfRule>
  </conditionalFormatting>
  <conditionalFormatting sqref="E448">
    <cfRule type="cellIs" dxfId="2151" priority="1690" operator="equal">
      <formula>"NO"</formula>
    </cfRule>
  </conditionalFormatting>
  <conditionalFormatting sqref="K447">
    <cfRule type="containsBlanks" dxfId="2150" priority="1689">
      <formula>LEN(TRIM(K447))=0</formula>
    </cfRule>
  </conditionalFormatting>
  <conditionalFormatting sqref="K452:U452">
    <cfRule type="cellIs" dxfId="2149" priority="1687" operator="equal">
      <formula>"NO"</formula>
    </cfRule>
    <cfRule type="cellIs" dxfId="2148" priority="1688" operator="equal">
      <formula>"SI"</formula>
    </cfRule>
  </conditionalFormatting>
  <conditionalFormatting sqref="K452:U452">
    <cfRule type="cellIs" dxfId="2147" priority="1686" operator="equal">
      <formula>"N/A"</formula>
    </cfRule>
  </conditionalFormatting>
  <conditionalFormatting sqref="K453:U458">
    <cfRule type="cellIs" dxfId="2146" priority="1691" operator="equal">
      <formula>0</formula>
    </cfRule>
  </conditionalFormatting>
  <conditionalFormatting sqref="D448">
    <cfRule type="expression" dxfId="2145" priority="1685">
      <formula>$D$448&lt;&gt;SUM($L$448:$U$448)</formula>
    </cfRule>
  </conditionalFormatting>
  <conditionalFormatting sqref="L448:U448">
    <cfRule type="cellIs" dxfId="2144" priority="1683" operator="equal">
      <formula>0</formula>
    </cfRule>
    <cfRule type="expression" dxfId="2143" priority="1684">
      <formula>L448&lt;&gt;SUM(L449:L452)</formula>
    </cfRule>
  </conditionalFormatting>
  <conditionalFormatting sqref="L449:U451">
    <cfRule type="containsBlanks" dxfId="2142" priority="1682">
      <formula>LEN(TRIM(L449))=0</formula>
    </cfRule>
  </conditionalFormatting>
  <conditionalFormatting sqref="L447">
    <cfRule type="containsBlanks" dxfId="2141" priority="1681">
      <formula>LEN(TRIM(L447))=0</formula>
    </cfRule>
  </conditionalFormatting>
  <conditionalFormatting sqref="M447:U447">
    <cfRule type="containsBlanks" dxfId="2140" priority="1680">
      <formula>LEN(TRIM(M447))=0</formula>
    </cfRule>
  </conditionalFormatting>
  <conditionalFormatting sqref="D452">
    <cfRule type="cellIs" dxfId="2139" priority="1676" operator="equal">
      <formula>"I/O"</formula>
    </cfRule>
    <cfRule type="cellIs" dxfId="2138" priority="1677" operator="equal">
      <formula>"Operación"</formula>
    </cfRule>
    <cfRule type="cellIs" dxfId="2137" priority="1678" operator="equal">
      <formula>"Inversión"</formula>
    </cfRule>
  </conditionalFormatting>
  <conditionalFormatting sqref="D463:D464">
    <cfRule type="cellIs" dxfId="2136" priority="1674" operator="equal">
      <formula>"NO"</formula>
    </cfRule>
  </conditionalFormatting>
  <conditionalFormatting sqref="K463">
    <cfRule type="cellIs" dxfId="2135" priority="1673" operator="lessThan">
      <formula>0</formula>
    </cfRule>
  </conditionalFormatting>
  <conditionalFormatting sqref="L463:U463">
    <cfRule type="cellIs" dxfId="2134" priority="1672" operator="lessThan">
      <formula>0</formula>
    </cfRule>
  </conditionalFormatting>
  <conditionalFormatting sqref="K464:U464">
    <cfRule type="containsBlanks" dxfId="2133" priority="1671">
      <formula>LEN(TRIM(K464))=0</formula>
    </cfRule>
  </conditionalFormatting>
  <conditionalFormatting sqref="K462">
    <cfRule type="containsBlanks" dxfId="2132" priority="1670">
      <formula>LEN(TRIM(K462))=0</formula>
    </cfRule>
  </conditionalFormatting>
  <conditionalFormatting sqref="L462:U462">
    <cfRule type="containsBlanks" dxfId="2131" priority="1669">
      <formula>LEN(TRIM(L462))=0</formula>
    </cfRule>
  </conditionalFormatting>
  <conditionalFormatting sqref="K467:U467">
    <cfRule type="cellIs" dxfId="2130" priority="1666" operator="equal">
      <formula>"NO"</formula>
    </cfRule>
    <cfRule type="cellIs" dxfId="2129" priority="1667" operator="equal">
      <formula>"SI"</formula>
    </cfRule>
  </conditionalFormatting>
  <conditionalFormatting sqref="K467:U467">
    <cfRule type="cellIs" dxfId="2128" priority="1665" operator="equal">
      <formula>"N/A"</formula>
    </cfRule>
  </conditionalFormatting>
  <conditionalFormatting sqref="L463:U464">
    <cfRule type="cellIs" dxfId="2127" priority="1664" operator="equal">
      <formula>0</formula>
    </cfRule>
  </conditionalFormatting>
  <conditionalFormatting sqref="K465:U466">
    <cfRule type="containsBlanks" dxfId="2126" priority="1019">
      <formula>LEN(TRIM(K465))=0</formula>
    </cfRule>
    <cfRule type="cellIs" dxfId="2125" priority="2063" operator="notEqual">
      <formula>""""""</formula>
    </cfRule>
  </conditionalFormatting>
  <conditionalFormatting sqref="D467">
    <cfRule type="cellIs" dxfId="2124" priority="1656" operator="equal">
      <formula>"I/O"</formula>
    </cfRule>
    <cfRule type="cellIs" dxfId="2123" priority="1657" operator="equal">
      <formula>"Operación"</formula>
    </cfRule>
    <cfRule type="cellIs" dxfId="2122" priority="1658" operator="equal">
      <formula>"Inversión"</formula>
    </cfRule>
  </conditionalFormatting>
  <conditionalFormatting sqref="D479">
    <cfRule type="cellIs" dxfId="2121" priority="1652" operator="equal">
      <formula>"NO"</formula>
    </cfRule>
  </conditionalFormatting>
  <conditionalFormatting sqref="K478">
    <cfRule type="containsBlanks" dxfId="2120" priority="1653">
      <formula>LEN(TRIM(K478))=0</formula>
    </cfRule>
  </conditionalFormatting>
  <conditionalFormatting sqref="L478:U478">
    <cfRule type="containsBlanks" dxfId="2119" priority="1651">
      <formula>LEN(TRIM(L478))=0</formula>
    </cfRule>
  </conditionalFormatting>
  <conditionalFormatting sqref="K483:U483">
    <cfRule type="cellIs" dxfId="2118" priority="1649" operator="equal">
      <formula>"NO"</formula>
    </cfRule>
    <cfRule type="cellIs" dxfId="2117" priority="1650" operator="equal">
      <formula>"SI"</formula>
    </cfRule>
  </conditionalFormatting>
  <conditionalFormatting sqref="K483:U483">
    <cfRule type="cellIs" dxfId="2116" priority="1648" operator="equal">
      <formula>"N/A"</formula>
    </cfRule>
  </conditionalFormatting>
  <conditionalFormatting sqref="K477">
    <cfRule type="containsBlanks" dxfId="2115" priority="1644">
      <formula>LEN(TRIM(K477))=0</formula>
    </cfRule>
  </conditionalFormatting>
  <conditionalFormatting sqref="L477:U477">
    <cfRule type="containsBlanks" dxfId="2114" priority="1643">
      <formula>LEN(TRIM(L477))=0</formula>
    </cfRule>
  </conditionalFormatting>
  <conditionalFormatting sqref="D483">
    <cfRule type="cellIs" dxfId="2113" priority="1637" operator="equal">
      <formula>"I/O"</formula>
    </cfRule>
    <cfRule type="cellIs" dxfId="2112" priority="1638" operator="equal">
      <formula>"Operación"</formula>
    </cfRule>
    <cfRule type="cellIs" dxfId="2111" priority="1639" operator="equal">
      <formula>"Inversión"</formula>
    </cfRule>
  </conditionalFormatting>
  <conditionalFormatting sqref="K484:U489">
    <cfRule type="cellIs" dxfId="2110" priority="1634" operator="equal">
      <formula>0</formula>
    </cfRule>
  </conditionalFormatting>
  <conditionalFormatting sqref="K508:U509">
    <cfRule type="cellIs" dxfId="2109" priority="2059" operator="notEqual">
      <formula>""""""</formula>
    </cfRule>
  </conditionalFormatting>
  <conditionalFormatting sqref="D498">
    <cfRule type="cellIs" dxfId="2108" priority="1629" operator="equal">
      <formula>"NO"</formula>
    </cfRule>
  </conditionalFormatting>
  <conditionalFormatting sqref="K495:U498">
    <cfRule type="cellIs" dxfId="2107" priority="1631" operator="equal">
      <formula>0</formula>
    </cfRule>
  </conditionalFormatting>
  <conditionalFormatting sqref="K494">
    <cfRule type="containsBlanks" dxfId="2106" priority="1630">
      <formula>LEN(TRIM(K494))=0</formula>
    </cfRule>
  </conditionalFormatting>
  <conditionalFormatting sqref="L494:U494">
    <cfRule type="containsBlanks" dxfId="2105" priority="1628">
      <formula>LEN(TRIM(L494))=0</formula>
    </cfRule>
  </conditionalFormatting>
  <conditionalFormatting sqref="L503:U503">
    <cfRule type="cellIs" dxfId="2104" priority="1625" operator="equal">
      <formula>"NO"</formula>
    </cfRule>
    <cfRule type="cellIs" dxfId="2103" priority="1626" operator="equal">
      <formula>"SI"</formula>
    </cfRule>
  </conditionalFormatting>
  <conditionalFormatting sqref="L503:U503">
    <cfRule type="cellIs" dxfId="2102" priority="1624" operator="equal">
      <formula>"N/A"</formula>
    </cfRule>
  </conditionalFormatting>
  <conditionalFormatting sqref="D495:D497">
    <cfRule type="expression" dxfId="2101" priority="1633">
      <formula>D495&lt;&gt;SUM(#REF!)</formula>
    </cfRule>
  </conditionalFormatting>
  <conditionalFormatting sqref="T501:U501 K499:U500 K502:U502">
    <cfRule type="containsBlanks" dxfId="2100" priority="1090">
      <formula>LEN(TRIM(K499))=0</formula>
    </cfRule>
    <cfRule type="cellIs" dxfId="2099" priority="2058" operator="notEqual">
      <formula>""""""</formula>
    </cfRule>
  </conditionalFormatting>
  <conditionalFormatting sqref="L497:U497">
    <cfRule type="cellIs" dxfId="2098" priority="1622" operator="lessThan">
      <formula>0</formula>
    </cfRule>
  </conditionalFormatting>
  <conditionalFormatting sqref="D503">
    <cfRule type="cellIs" dxfId="2097" priority="1619" operator="equal">
      <formula>"I/O"</formula>
    </cfRule>
    <cfRule type="cellIs" dxfId="2096" priority="1620" operator="equal">
      <formula>"Operación"</formula>
    </cfRule>
    <cfRule type="cellIs" dxfId="2095" priority="1621" operator="equal">
      <formula>"Inversión"</formula>
    </cfRule>
  </conditionalFormatting>
  <conditionalFormatting sqref="K504:U507">
    <cfRule type="cellIs" dxfId="2094" priority="1617" operator="equal">
      <formula>0</formula>
    </cfRule>
  </conditionalFormatting>
  <conditionalFormatting sqref="K510:U510">
    <cfRule type="containsBlanks" dxfId="2093" priority="1616">
      <formula>LEN(TRIM(K510))=0</formula>
    </cfRule>
  </conditionalFormatting>
  <conditionalFormatting sqref="K510:U511">
    <cfRule type="cellIs" dxfId="2092" priority="1615" operator="equal">
      <formula>0</formula>
    </cfRule>
  </conditionalFormatting>
  <conditionalFormatting sqref="K518:U524">
    <cfRule type="cellIs" dxfId="2091" priority="1614" operator="equal">
      <formula>0</formula>
    </cfRule>
  </conditionalFormatting>
  <conditionalFormatting sqref="E515">
    <cfRule type="cellIs" dxfId="2090" priority="1611" operator="equal">
      <formula>"NO"</formula>
    </cfRule>
  </conditionalFormatting>
  <conditionalFormatting sqref="K514">
    <cfRule type="containsBlanks" dxfId="2089" priority="1612">
      <formula>LEN(TRIM(K514))=0</formula>
    </cfRule>
  </conditionalFormatting>
  <conditionalFormatting sqref="L514:U514">
    <cfRule type="containsBlanks" dxfId="2088" priority="1610">
      <formula>LEN(TRIM(L514))=0</formula>
    </cfRule>
  </conditionalFormatting>
  <conditionalFormatting sqref="K517:U517">
    <cfRule type="cellIs" dxfId="2087" priority="1608" operator="equal">
      <formula>"NO"</formula>
    </cfRule>
    <cfRule type="cellIs" dxfId="2086" priority="1609" operator="equal">
      <formula>"SI"</formula>
    </cfRule>
  </conditionalFormatting>
  <conditionalFormatting sqref="K517:U517">
    <cfRule type="cellIs" dxfId="2085" priority="1607" operator="equal">
      <formula>"N/A"</formula>
    </cfRule>
  </conditionalFormatting>
  <conditionalFormatting sqref="L515:U516">
    <cfRule type="cellIs" dxfId="2084" priority="1606" operator="equal">
      <formula>0</formula>
    </cfRule>
  </conditionalFormatting>
  <conditionalFormatting sqref="D517">
    <cfRule type="cellIs" dxfId="2083" priority="1603" operator="equal">
      <formula>"I/O"</formula>
    </cfRule>
    <cfRule type="cellIs" dxfId="2082" priority="1604" operator="equal">
      <formula>"Operación"</formula>
    </cfRule>
    <cfRule type="cellIs" dxfId="2081" priority="1605" operator="equal">
      <formula>"Inversión"</formula>
    </cfRule>
  </conditionalFormatting>
  <conditionalFormatting sqref="K527:U528">
    <cfRule type="containsBlanks" dxfId="2080" priority="1599">
      <formula>LEN(TRIM(K527))=0</formula>
    </cfRule>
  </conditionalFormatting>
  <conditionalFormatting sqref="D532">
    <cfRule type="cellIs" dxfId="2079" priority="1598" operator="equal">
      <formula>"NO"</formula>
    </cfRule>
  </conditionalFormatting>
  <conditionalFormatting sqref="K535:U535">
    <cfRule type="cellIs" dxfId="2078" priority="1596" operator="equal">
      <formula>"NO"</formula>
    </cfRule>
    <cfRule type="cellIs" dxfId="2077" priority="1597" operator="equal">
      <formula>"SI"</formula>
    </cfRule>
  </conditionalFormatting>
  <conditionalFormatting sqref="K535:U535">
    <cfRule type="cellIs" dxfId="2076" priority="1595" operator="equal">
      <formula>"N/A"</formula>
    </cfRule>
  </conditionalFormatting>
  <conditionalFormatting sqref="Q533:U534">
    <cfRule type="containsBlanks" dxfId="2075" priority="1078">
      <formula>LEN(TRIM(Q533))=0</formula>
    </cfRule>
    <cfRule type="cellIs" dxfId="2074" priority="1594" operator="notEqual">
      <formula>""""""</formula>
    </cfRule>
  </conditionalFormatting>
  <conditionalFormatting sqref="D529">
    <cfRule type="expression" dxfId="2073" priority="1593">
      <formula>D529&lt;&gt;SUM(D530:D531)</formula>
    </cfRule>
  </conditionalFormatting>
  <conditionalFormatting sqref="L531:U531">
    <cfRule type="cellIs" dxfId="2072" priority="1592" operator="lessThan">
      <formula>0</formula>
    </cfRule>
  </conditionalFormatting>
  <conditionalFormatting sqref="D531">
    <cfRule type="expression" dxfId="2071" priority="1591">
      <formula>$D$531&lt;&gt;SUM($K$532:$U$532)</formula>
    </cfRule>
  </conditionalFormatting>
  <conditionalFormatting sqref="D535">
    <cfRule type="cellIs" dxfId="2070" priority="1588" operator="equal">
      <formula>"I/O"</formula>
    </cfRule>
    <cfRule type="cellIs" dxfId="2069" priority="1589" operator="equal">
      <formula>"Operación"</formula>
    </cfRule>
    <cfRule type="cellIs" dxfId="2068" priority="1590" operator="equal">
      <formula>"Inversión"</formula>
    </cfRule>
  </conditionalFormatting>
  <conditionalFormatting sqref="K536:U541">
    <cfRule type="cellIs" dxfId="2067" priority="1587" operator="equal">
      <formula>0</formula>
    </cfRule>
  </conditionalFormatting>
  <conditionalFormatting sqref="K568:U568">
    <cfRule type="containsBlanks" dxfId="2066" priority="1549">
      <formula>LEN(TRIM(K568))=0</formula>
    </cfRule>
  </conditionalFormatting>
  <conditionalFormatting sqref="D567">
    <cfRule type="cellIs" dxfId="2065" priority="1557" operator="equal">
      <formula>"NO"</formula>
    </cfRule>
  </conditionalFormatting>
  <conditionalFormatting sqref="K570:U570">
    <cfRule type="cellIs" dxfId="2064" priority="1555" operator="equal">
      <formula>"NO"</formula>
    </cfRule>
    <cfRule type="cellIs" dxfId="2063" priority="1556" operator="equal">
      <formula>"SI"</formula>
    </cfRule>
  </conditionalFormatting>
  <conditionalFormatting sqref="K570:U570">
    <cfRule type="cellIs" dxfId="2062" priority="1554" operator="equal">
      <formula>"N/A"</formula>
    </cfRule>
  </conditionalFormatting>
  <conditionalFormatting sqref="K567:U567">
    <cfRule type="containsBlanks" dxfId="2061" priority="1553">
      <formula>LEN(TRIM(K567))=0</formula>
    </cfRule>
  </conditionalFormatting>
  <conditionalFormatting sqref="K565">
    <cfRule type="containsBlanks" dxfId="2060" priority="1552">
      <formula>LEN(TRIM(K565))=0</formula>
    </cfRule>
  </conditionalFormatting>
  <conditionalFormatting sqref="L565:U565">
    <cfRule type="containsBlanks" dxfId="2059" priority="1551">
      <formula>LEN(TRIM(L565))=0</formula>
    </cfRule>
  </conditionalFormatting>
  <conditionalFormatting sqref="K569:U569">
    <cfRule type="containsBlanks" dxfId="2058" priority="1550">
      <formula>LEN(TRIM(K569))=0</formula>
    </cfRule>
  </conditionalFormatting>
  <conditionalFormatting sqref="D570">
    <cfRule type="cellIs" dxfId="2057" priority="1543" operator="equal">
      <formula>"I/O"</formula>
    </cfRule>
    <cfRule type="cellIs" dxfId="2056" priority="1544" operator="equal">
      <formula>"Operación"</formula>
    </cfRule>
    <cfRule type="cellIs" dxfId="2055" priority="1545" operator="equal">
      <formula>"Inversión"</formula>
    </cfRule>
  </conditionalFormatting>
  <conditionalFormatting sqref="K571:U576">
    <cfRule type="cellIs" dxfId="2054" priority="1542" operator="equal">
      <formula>0</formula>
    </cfRule>
  </conditionalFormatting>
  <conditionalFormatting sqref="K581:U581">
    <cfRule type="cellIs" dxfId="2053" priority="1536" operator="equal">
      <formula>"NO"</formula>
    </cfRule>
    <cfRule type="cellIs" dxfId="2052" priority="1537" operator="equal">
      <formula>"SI"</formula>
    </cfRule>
  </conditionalFormatting>
  <conditionalFormatting sqref="K581:U581">
    <cfRule type="cellIs" dxfId="2051" priority="1535" operator="equal">
      <formula>"N/A"</formula>
    </cfRule>
  </conditionalFormatting>
  <conditionalFormatting sqref="D581">
    <cfRule type="cellIs" dxfId="2050" priority="1532" operator="equal">
      <formula>"I/O"</formula>
    </cfRule>
    <cfRule type="cellIs" dxfId="2049" priority="1533" operator="equal">
      <formula>"Operación"</formula>
    </cfRule>
    <cfRule type="cellIs" dxfId="2048" priority="1534" operator="equal">
      <formula>"Inversión"</formula>
    </cfRule>
  </conditionalFormatting>
  <conditionalFormatting sqref="K582:U587">
    <cfRule type="cellIs" dxfId="2047" priority="1531" operator="equal">
      <formula>0</formula>
    </cfRule>
  </conditionalFormatting>
  <conditionalFormatting sqref="K592:U592">
    <cfRule type="cellIs" dxfId="2046" priority="1526" operator="equal">
      <formula>"NO"</formula>
    </cfRule>
    <cfRule type="cellIs" dxfId="2045" priority="1527" operator="equal">
      <formula>"SI"</formula>
    </cfRule>
  </conditionalFormatting>
  <conditionalFormatting sqref="K592:U592">
    <cfRule type="cellIs" dxfId="2044" priority="1525" operator="equal">
      <formula>"N/A"</formula>
    </cfRule>
  </conditionalFormatting>
  <conditionalFormatting sqref="K593:U599">
    <cfRule type="cellIs" dxfId="2043" priority="1524" operator="equal">
      <formula>0</formula>
    </cfRule>
  </conditionalFormatting>
  <conditionalFormatting sqref="D592">
    <cfRule type="cellIs" dxfId="2042" priority="1518" operator="equal">
      <formula>"I/O"</formula>
    </cfRule>
    <cfRule type="cellIs" dxfId="2041" priority="1519" operator="equal">
      <formula>"Operación"</formula>
    </cfRule>
    <cfRule type="cellIs" dxfId="2040" priority="1520" operator="equal">
      <formula>"Inversión"</formula>
    </cfRule>
  </conditionalFormatting>
  <conditionalFormatting sqref="E603:E608">
    <cfRule type="cellIs" dxfId="2039" priority="1517" operator="equal">
      <formula>"NO"</formula>
    </cfRule>
  </conditionalFormatting>
  <conditionalFormatting sqref="K602">
    <cfRule type="containsBlanks" dxfId="2038" priority="1516">
      <formula>LEN(TRIM(K602))=0</formula>
    </cfRule>
  </conditionalFormatting>
  <conditionalFormatting sqref="L602:V602">
    <cfRule type="containsBlanks" dxfId="2037" priority="1515">
      <formula>LEN(TRIM(L602))=0</formula>
    </cfRule>
  </conditionalFormatting>
  <conditionalFormatting sqref="K609:U609">
    <cfRule type="cellIs" dxfId="2036" priority="1513" operator="equal">
      <formula>"NO"</formula>
    </cfRule>
    <cfRule type="cellIs" dxfId="2035" priority="1514" operator="equal">
      <formula>"SI"</formula>
    </cfRule>
  </conditionalFormatting>
  <conditionalFormatting sqref="K609:U609">
    <cfRule type="cellIs" dxfId="2034" priority="1512" operator="equal">
      <formula>"N/A"</formula>
    </cfRule>
  </conditionalFormatting>
  <conditionalFormatting sqref="K605:U605 L603:U604 L606:U607">
    <cfRule type="cellIs" dxfId="2033" priority="1511" operator="equal">
      <formula>0</formula>
    </cfRule>
  </conditionalFormatting>
  <conditionalFormatting sqref="D609">
    <cfRule type="cellIs" dxfId="2032" priority="1508" operator="equal">
      <formula>"I/O"</formula>
    </cfRule>
    <cfRule type="cellIs" dxfId="2031" priority="1509" operator="equal">
      <formula>"Operación"</formula>
    </cfRule>
    <cfRule type="cellIs" dxfId="2030" priority="1510" operator="equal">
      <formula>"Inversión"</formula>
    </cfRule>
  </conditionalFormatting>
  <conditionalFormatting sqref="K610:U616">
    <cfRule type="cellIs" dxfId="2029" priority="1504" operator="equal">
      <formula>0</formula>
    </cfRule>
  </conditionalFormatting>
  <conditionalFormatting sqref="K625:U625">
    <cfRule type="cellIs" dxfId="2028" priority="1502" operator="equal">
      <formula>"NO"</formula>
    </cfRule>
    <cfRule type="cellIs" dxfId="2027" priority="1503" operator="equal">
      <formula>"SI"</formula>
    </cfRule>
  </conditionalFormatting>
  <conditionalFormatting sqref="K625:U625">
    <cfRule type="cellIs" dxfId="2026" priority="1501" operator="equal">
      <formula>"N/A"</formula>
    </cfRule>
  </conditionalFormatting>
  <conditionalFormatting sqref="V630:X631">
    <cfRule type="containsBlanks" dxfId="2025" priority="1500">
      <formula>LEN(TRIM(V630))=0</formula>
    </cfRule>
  </conditionalFormatting>
  <conditionalFormatting sqref="K619:K620">
    <cfRule type="containsBlanks" dxfId="2024" priority="1498">
      <formula>LEN(TRIM(K619))=0</formula>
    </cfRule>
  </conditionalFormatting>
  <conditionalFormatting sqref="L619:U620">
    <cfRule type="containsBlanks" dxfId="2023" priority="1497">
      <formula>LEN(TRIM(L619))=0</formula>
    </cfRule>
  </conditionalFormatting>
  <conditionalFormatting sqref="Q623:U623 K624:P624">
    <cfRule type="cellIs" dxfId="2022" priority="1496" operator="equal">
      <formula>0</formula>
    </cfRule>
  </conditionalFormatting>
  <conditionalFormatting sqref="D625">
    <cfRule type="cellIs" dxfId="2021" priority="1491" operator="equal">
      <formula>"I/O"</formula>
    </cfRule>
    <cfRule type="cellIs" dxfId="2020" priority="1492" operator="equal">
      <formula>"Operación"</formula>
    </cfRule>
    <cfRule type="cellIs" dxfId="2019" priority="1493" operator="equal">
      <formula>"Inversión"</formula>
    </cfRule>
  </conditionalFormatting>
  <conditionalFormatting sqref="K626:U631">
    <cfRule type="cellIs" dxfId="2018" priority="1487" operator="equal">
      <formula>0</formula>
    </cfRule>
  </conditionalFormatting>
  <conditionalFormatting sqref="K623">
    <cfRule type="cellIs" dxfId="2017" priority="1485" operator="equal">
      <formula>0</formula>
    </cfRule>
  </conditionalFormatting>
  <conditionalFormatting sqref="J643:U643">
    <cfRule type="cellIs" dxfId="2016" priority="1481" operator="equal">
      <formula>"NO"</formula>
    </cfRule>
    <cfRule type="cellIs" dxfId="2015" priority="1482" operator="equal">
      <formula>"SI"</formula>
    </cfRule>
  </conditionalFormatting>
  <conditionalFormatting sqref="J643:U643">
    <cfRule type="cellIs" dxfId="2014" priority="1480" operator="equal">
      <formula>"N/A"</formula>
    </cfRule>
  </conditionalFormatting>
  <conditionalFormatting sqref="K636:K637">
    <cfRule type="containsBlanks" dxfId="2013" priority="1484">
      <formula>LEN(TRIM(K636))=0</formula>
    </cfRule>
  </conditionalFormatting>
  <conditionalFormatting sqref="L636:U637">
    <cfRule type="containsBlanks" dxfId="2012" priority="1483">
      <formula>LEN(TRIM(L636))=0</formula>
    </cfRule>
  </conditionalFormatting>
  <conditionalFormatting sqref="L642:U642">
    <cfRule type="cellIs" dxfId="2011" priority="1476" operator="equal">
      <formula>0</formula>
    </cfRule>
  </conditionalFormatting>
  <conditionalFormatting sqref="D640 D642">
    <cfRule type="expression" dxfId="2010" priority="1478">
      <formula>D640&lt;&gt;SUM(#REF!)</formula>
    </cfRule>
  </conditionalFormatting>
  <conditionalFormatting sqref="L640:U640">
    <cfRule type="cellIs" dxfId="2009" priority="1477" operator="equal">
      <formula>0</formula>
    </cfRule>
  </conditionalFormatting>
  <conditionalFormatting sqref="D641">
    <cfRule type="expression" dxfId="2008" priority="1475">
      <formula>D641&lt;&gt;SUM(#REF!)</formula>
    </cfRule>
  </conditionalFormatting>
  <conditionalFormatting sqref="D643">
    <cfRule type="cellIs" dxfId="2007" priority="1471" operator="equal">
      <formula>"I/O"</formula>
    </cfRule>
    <cfRule type="cellIs" dxfId="2006" priority="1472" operator="equal">
      <formula>"Operación"</formula>
    </cfRule>
    <cfRule type="cellIs" dxfId="2005" priority="1473" operator="equal">
      <formula>"Inversión"</formula>
    </cfRule>
  </conditionalFormatting>
  <conditionalFormatting sqref="K644:U647">
    <cfRule type="cellIs" dxfId="2004" priority="1463" operator="equal">
      <formula>0</formula>
    </cfRule>
  </conditionalFormatting>
  <conditionalFormatting sqref="K661:U661">
    <cfRule type="cellIs" dxfId="2003" priority="1460" operator="equal">
      <formula>"NO"</formula>
    </cfRule>
    <cfRule type="cellIs" dxfId="2002" priority="1461" operator="equal">
      <formula>"SI"</formula>
    </cfRule>
  </conditionalFormatting>
  <conditionalFormatting sqref="K661:U661">
    <cfRule type="cellIs" dxfId="2001" priority="1459" operator="equal">
      <formula>"N/A"</formula>
    </cfRule>
  </conditionalFormatting>
  <conditionalFormatting sqref="D660">
    <cfRule type="expression" dxfId="2000" priority="1455">
      <formula>D660&lt;&gt;SUM(#REF!)</formula>
    </cfRule>
  </conditionalFormatting>
  <conditionalFormatting sqref="K668:U669">
    <cfRule type="cellIs" dxfId="1999" priority="1454" operator="equal">
      <formula>0</formula>
    </cfRule>
  </conditionalFormatting>
  <conditionalFormatting sqref="D661">
    <cfRule type="cellIs" dxfId="1998" priority="1451" operator="equal">
      <formula>"I/O"</formula>
    </cfRule>
    <cfRule type="cellIs" dxfId="1997" priority="1452" operator="equal">
      <formula>"Operación"</formula>
    </cfRule>
    <cfRule type="cellIs" dxfId="1996" priority="1453" operator="equal">
      <formula>"Inversión"</formula>
    </cfRule>
  </conditionalFormatting>
  <conditionalFormatting sqref="K662:U665">
    <cfRule type="cellIs" dxfId="1995" priority="1449" operator="equal">
      <formula>0</formula>
    </cfRule>
  </conditionalFormatting>
  <conditionalFormatting sqref="K673:U674 K675">
    <cfRule type="containsBlanks" dxfId="1994" priority="1448">
      <formula>LEN(TRIM(K673))=0</formula>
    </cfRule>
  </conditionalFormatting>
  <conditionalFormatting sqref="K678:U678">
    <cfRule type="cellIs" dxfId="1993" priority="1446" operator="equal">
      <formula>"NO"</formula>
    </cfRule>
    <cfRule type="cellIs" dxfId="1992" priority="1447" operator="equal">
      <formula>"SI"</formula>
    </cfRule>
  </conditionalFormatting>
  <conditionalFormatting sqref="K678:U678">
    <cfRule type="cellIs" dxfId="1991" priority="1445" operator="equal">
      <formula>"N/A"</formula>
    </cfRule>
  </conditionalFormatting>
  <conditionalFormatting sqref="D678">
    <cfRule type="cellIs" dxfId="1990" priority="1438" operator="equal">
      <formula>"I/O"</formula>
    </cfRule>
    <cfRule type="cellIs" dxfId="1989" priority="1439" operator="equal">
      <formula>"Operación"</formula>
    </cfRule>
    <cfRule type="cellIs" dxfId="1988" priority="1440" operator="equal">
      <formula>"Inversión"</formula>
    </cfRule>
  </conditionalFormatting>
  <conditionalFormatting sqref="K685:U685">
    <cfRule type="expression" dxfId="1987" priority="1435">
      <formula>$D$123&lt;&gt;""</formula>
    </cfRule>
  </conditionalFormatting>
  <conditionalFormatting sqref="K679:U685">
    <cfRule type="cellIs" dxfId="1986" priority="1432" operator="equal">
      <formula>0</formula>
    </cfRule>
  </conditionalFormatting>
  <conditionalFormatting sqref="K792:U793 K796:K797 L797:U797">
    <cfRule type="containsBlanks" dxfId="1985" priority="1378">
      <formula>LEN(TRIM(K792))=0</formula>
    </cfRule>
  </conditionalFormatting>
  <conditionalFormatting sqref="K794:U797">
    <cfRule type="containsBlanks" dxfId="1984" priority="1373">
      <formula>LEN(TRIM(K794))=0</formula>
    </cfRule>
  </conditionalFormatting>
  <conditionalFormatting sqref="K691">
    <cfRule type="containsBlanks" dxfId="1983" priority="2061">
      <formula>LEN(TRIM(K691))=0</formula>
    </cfRule>
  </conditionalFormatting>
  <conditionalFormatting sqref="K692:U692">
    <cfRule type="cellIs" dxfId="1982" priority="1424" operator="equal">
      <formula>"NO"</formula>
    </cfRule>
    <cfRule type="cellIs" dxfId="1981" priority="1425" operator="equal">
      <formula>"SI"</formula>
    </cfRule>
  </conditionalFormatting>
  <conditionalFormatting sqref="K692:U692">
    <cfRule type="cellIs" dxfId="1980" priority="1423" operator="equal">
      <formula>"N/A"</formula>
    </cfRule>
  </conditionalFormatting>
  <conditionalFormatting sqref="L689:U689">
    <cfRule type="containsBlanks" dxfId="1979" priority="1422">
      <formula>LEN(TRIM(L689))=0</formula>
    </cfRule>
  </conditionalFormatting>
  <conditionalFormatting sqref="K710:U710">
    <cfRule type="containsBlanks" dxfId="1978" priority="1027">
      <formula>LEN(TRIM(K710))=0</formula>
    </cfRule>
  </conditionalFormatting>
  <conditionalFormatting sqref="K705:U705">
    <cfRule type="cellIs" dxfId="1977" priority="1415" operator="equal">
      <formula>"NO"</formula>
    </cfRule>
    <cfRule type="cellIs" dxfId="1976" priority="1416" operator="equal">
      <formula>"SI"</formula>
    </cfRule>
  </conditionalFormatting>
  <conditionalFormatting sqref="K705:U705">
    <cfRule type="cellIs" dxfId="1975" priority="1414" operator="equal">
      <formula>"N/A"</formula>
    </cfRule>
  </conditionalFormatting>
  <conditionalFormatting sqref="L702:U702">
    <cfRule type="containsBlanks" dxfId="1974" priority="1413">
      <formula>LEN(TRIM(L702))=0</formula>
    </cfRule>
  </conditionalFormatting>
  <conditionalFormatting sqref="K723 Q723:U723">
    <cfRule type="containsBlanks" dxfId="1973" priority="1411">
      <formula>LEN(TRIM(K723))=0</formula>
    </cfRule>
  </conditionalFormatting>
  <conditionalFormatting sqref="K717:U717">
    <cfRule type="containsBlanks" dxfId="1972" priority="1021">
      <formula>LEN(TRIM(K717))=0</formula>
    </cfRule>
    <cfRule type="cellIs" dxfId="1971" priority="2064" operator="notEqual">
      <formula>""""""</formula>
    </cfRule>
  </conditionalFormatting>
  <conditionalFormatting sqref="K718:U718">
    <cfRule type="cellIs" dxfId="1970" priority="1408" operator="equal">
      <formula>"NO"</formula>
    </cfRule>
    <cfRule type="cellIs" dxfId="1969" priority="1409" operator="equal">
      <formula>"SI"</formula>
    </cfRule>
  </conditionalFormatting>
  <conditionalFormatting sqref="K718:U718">
    <cfRule type="cellIs" dxfId="1968" priority="1407" operator="equal">
      <formula>"N/A"</formula>
    </cfRule>
  </conditionalFormatting>
  <conditionalFormatting sqref="L715:U715">
    <cfRule type="containsBlanks" dxfId="1967" priority="1406">
      <formula>LEN(TRIM(L715))=0</formula>
    </cfRule>
  </conditionalFormatting>
  <conditionalFormatting sqref="E779">
    <cfRule type="cellIs" dxfId="1966" priority="1404" operator="equal">
      <formula>"NO"</formula>
    </cfRule>
  </conditionalFormatting>
  <conditionalFormatting sqref="D733">
    <cfRule type="cellIs" dxfId="1965" priority="1403" operator="equal">
      <formula>"NO"</formula>
    </cfRule>
  </conditionalFormatting>
  <conditionalFormatting sqref="K732">
    <cfRule type="containsBlanks" dxfId="1964" priority="1402">
      <formula>LEN(TRIM(K732))=0</formula>
    </cfRule>
  </conditionalFormatting>
  <conditionalFormatting sqref="V732">
    <cfRule type="containsBlanks" dxfId="1963" priority="1401">
      <formula>LEN(TRIM(V732))=0</formula>
    </cfRule>
  </conditionalFormatting>
  <conditionalFormatting sqref="K734:U734">
    <cfRule type="cellIs" dxfId="1962" priority="1399" operator="equal">
      <formula>"NO"</formula>
    </cfRule>
    <cfRule type="cellIs" dxfId="1961" priority="1400" operator="equal">
      <formula>"SI"</formula>
    </cfRule>
  </conditionalFormatting>
  <conditionalFormatting sqref="K734:U734">
    <cfRule type="cellIs" dxfId="1960" priority="1398" operator="equal">
      <formula>"N/A"</formula>
    </cfRule>
  </conditionalFormatting>
  <conditionalFormatting sqref="K743">
    <cfRule type="containsBlanks" priority="1396">
      <formula>LEN(TRIM(K743))=0</formula>
    </cfRule>
  </conditionalFormatting>
  <conditionalFormatting sqref="K757:U757">
    <cfRule type="cellIs" dxfId="1959" priority="1394" operator="equal">
      <formula>"NO"</formula>
    </cfRule>
    <cfRule type="cellIs" dxfId="1958" priority="1395" operator="equal">
      <formula>"SI"</formula>
    </cfRule>
  </conditionalFormatting>
  <conditionalFormatting sqref="K757:U757">
    <cfRule type="cellIs" dxfId="1957" priority="1393" operator="equal">
      <formula>"N/A"</formula>
    </cfRule>
  </conditionalFormatting>
  <conditionalFormatting sqref="K768:U768">
    <cfRule type="cellIs" dxfId="1956" priority="1391" operator="equal">
      <formula>"NO"</formula>
    </cfRule>
    <cfRule type="cellIs" dxfId="1955" priority="1392" operator="equal">
      <formula>"SI"</formula>
    </cfRule>
  </conditionalFormatting>
  <conditionalFormatting sqref="K768:U768">
    <cfRule type="cellIs" dxfId="1954" priority="1390" operator="equal">
      <formula>"N/A"</formula>
    </cfRule>
  </conditionalFormatting>
  <conditionalFormatting sqref="K781:U781">
    <cfRule type="cellIs" dxfId="1953" priority="1388" operator="equal">
      <formula>"NO"</formula>
    </cfRule>
    <cfRule type="cellIs" dxfId="1952" priority="1389" operator="equal">
      <formula>"SI"</formula>
    </cfRule>
  </conditionalFormatting>
  <conditionalFormatting sqref="K781:U781">
    <cfRule type="cellIs" dxfId="1951" priority="1387" operator="equal">
      <formula>"N/A"</formula>
    </cfRule>
  </conditionalFormatting>
  <conditionalFormatting sqref="K746:U746">
    <cfRule type="cellIs" dxfId="1950" priority="1385" operator="equal">
      <formula>"NO"</formula>
    </cfRule>
    <cfRule type="cellIs" dxfId="1949" priority="1386" operator="equal">
      <formula>"SI"</formula>
    </cfRule>
  </conditionalFormatting>
  <conditionalFormatting sqref="K746:U746">
    <cfRule type="cellIs" dxfId="1948" priority="1384" operator="equal">
      <formula>"N/A"</formula>
    </cfRule>
  </conditionalFormatting>
  <conditionalFormatting sqref="K743:U745">
    <cfRule type="cellIs" dxfId="1947" priority="1383" operator="equal">
      <formula>0</formula>
    </cfRule>
  </conditionalFormatting>
  <conditionalFormatting sqref="S733:U733">
    <cfRule type="containsBlanks" dxfId="1946" priority="1115">
      <formula>LEN(TRIM(S733))=0</formula>
    </cfRule>
    <cfRule type="cellIs" dxfId="1945" priority="2056" operator="notEqual">
      <formula>""""""</formula>
    </cfRule>
  </conditionalFormatting>
  <conditionalFormatting sqref="K743:U743">
    <cfRule type="expression" dxfId="1944" priority="1430">
      <formula>K743&lt;&gt;SUM(K744:K745)</formula>
    </cfRule>
  </conditionalFormatting>
  <conditionalFormatting sqref="K802:U802">
    <cfRule type="cellIs" dxfId="1943" priority="1376" operator="equal">
      <formula>"NO"</formula>
    </cfRule>
    <cfRule type="cellIs" dxfId="1942" priority="1377" operator="equal">
      <formula>"SI"</formula>
    </cfRule>
  </conditionalFormatting>
  <conditionalFormatting sqref="K802:U802">
    <cfRule type="cellIs" dxfId="1941" priority="1375" operator="equal">
      <formula>"N/A"</formula>
    </cfRule>
  </conditionalFormatting>
  <conditionalFormatting sqref="D797:D800">
    <cfRule type="expression" dxfId="1940" priority="1374">
      <formula>D797&lt;&gt;SUM(#REF!)</formula>
    </cfRule>
  </conditionalFormatting>
  <conditionalFormatting sqref="L796:U797">
    <cfRule type="containsBlanks" dxfId="1939" priority="1372">
      <formula>LEN(TRIM(L796))=0</formula>
    </cfRule>
  </conditionalFormatting>
  <conditionalFormatting sqref="K830 K829:U829">
    <cfRule type="containsBlanks" dxfId="1938" priority="1370">
      <formula>LEN(TRIM(K829))=0</formula>
    </cfRule>
  </conditionalFormatting>
  <conditionalFormatting sqref="K832:U832">
    <cfRule type="cellIs" dxfId="1937" priority="1368" operator="equal">
      <formula>"NO"</formula>
    </cfRule>
    <cfRule type="cellIs" dxfId="1936" priority="1369" operator="equal">
      <formula>"SI"</formula>
    </cfRule>
  </conditionalFormatting>
  <conditionalFormatting sqref="K832:U832">
    <cfRule type="cellIs" dxfId="1935" priority="1367" operator="equal">
      <formula>"N/A"</formula>
    </cfRule>
  </conditionalFormatting>
  <conditionalFormatting sqref="L830:U830">
    <cfRule type="containsBlanks" dxfId="1934" priority="1365">
      <formula>LEN(TRIM(L830))=0</formula>
    </cfRule>
  </conditionalFormatting>
  <conditionalFormatting sqref="D831">
    <cfRule type="expression" dxfId="1933" priority="1366">
      <formula>D831&lt;&gt;SUM(#REF!)</formula>
    </cfRule>
  </conditionalFormatting>
  <conditionalFormatting sqref="D829">
    <cfRule type="expression" dxfId="1932" priority="1363">
      <formula>$D$829&lt;&gt;SUM($K$831:$U$831)</formula>
    </cfRule>
  </conditionalFormatting>
  <conditionalFormatting sqref="K838:U839">
    <cfRule type="cellIs" dxfId="1931" priority="1279" operator="equal">
      <formula>0</formula>
    </cfRule>
  </conditionalFormatting>
  <conditionalFormatting sqref="K758:U763">
    <cfRule type="cellIs" dxfId="1930" priority="1312" operator="equal">
      <formula>0</formula>
    </cfRule>
  </conditionalFormatting>
  <conditionalFormatting sqref="D718">
    <cfRule type="cellIs" dxfId="1929" priority="1360" operator="equal">
      <formula>"I/O"</formula>
    </cfRule>
    <cfRule type="cellIs" dxfId="1928" priority="1361" operator="equal">
      <formula>"Operación"</formula>
    </cfRule>
    <cfRule type="cellIs" dxfId="1927" priority="1362" operator="equal">
      <formula>"Inversión"</formula>
    </cfRule>
  </conditionalFormatting>
  <conditionalFormatting sqref="K719:U722">
    <cfRule type="cellIs" dxfId="1926" priority="1350" operator="equal">
      <formula>0</formula>
    </cfRule>
  </conditionalFormatting>
  <conditionalFormatting sqref="D781">
    <cfRule type="cellIs" dxfId="1925" priority="1347" operator="equal">
      <formula>"I/O"</formula>
    </cfRule>
    <cfRule type="cellIs" dxfId="1924" priority="1348" operator="equal">
      <formula>"Operación"</formula>
    </cfRule>
    <cfRule type="cellIs" dxfId="1923" priority="1349" operator="equal">
      <formula>"Inversión"</formula>
    </cfRule>
  </conditionalFormatting>
  <conditionalFormatting sqref="D734">
    <cfRule type="cellIs" dxfId="1922" priority="1344" operator="equal">
      <formula>"I/O"</formula>
    </cfRule>
    <cfRule type="cellIs" dxfId="1921" priority="1345" operator="equal">
      <formula>"Operación"</formula>
    </cfRule>
    <cfRule type="cellIs" dxfId="1920" priority="1346" operator="equal">
      <formula>"Inversión"</formula>
    </cfRule>
  </conditionalFormatting>
  <conditionalFormatting sqref="K741:U741">
    <cfRule type="expression" dxfId="1919" priority="1336">
      <formula>$D$123&gt;=0</formula>
    </cfRule>
  </conditionalFormatting>
  <conditionalFormatting sqref="K735:U738 K740:U741 K739 Q739:U739">
    <cfRule type="cellIs" dxfId="1918" priority="1335" operator="equal">
      <formula>0</formula>
    </cfRule>
  </conditionalFormatting>
  <conditionalFormatting sqref="D746">
    <cfRule type="cellIs" dxfId="1917" priority="1332" operator="equal">
      <formula>"I/O"</formula>
    </cfRule>
    <cfRule type="cellIs" dxfId="1916" priority="1333" operator="equal">
      <formula>"Operación"</formula>
    </cfRule>
    <cfRule type="cellIs" dxfId="1915" priority="1334" operator="equal">
      <formula>"Inversión"</formula>
    </cfRule>
  </conditionalFormatting>
  <conditionalFormatting sqref="K693 K694:U696">
    <cfRule type="cellIs" dxfId="1914" priority="1331" operator="equal">
      <formula>0</formula>
    </cfRule>
  </conditionalFormatting>
  <conditionalFormatting sqref="D692">
    <cfRule type="cellIs" dxfId="1913" priority="1327" operator="equal">
      <formula>"I/O"</formula>
    </cfRule>
    <cfRule type="cellIs" dxfId="1912" priority="1328" operator="equal">
      <formula>"Operación"</formula>
    </cfRule>
    <cfRule type="cellIs" dxfId="1911" priority="1329" operator="equal">
      <formula>"Inversión"</formula>
    </cfRule>
  </conditionalFormatting>
  <conditionalFormatting sqref="L699:U699">
    <cfRule type="expression" dxfId="1910" priority="1325">
      <formula>$D$123&lt;&gt;""</formula>
    </cfRule>
  </conditionalFormatting>
  <conditionalFormatting sqref="K753:U753">
    <cfRule type="expression" dxfId="1909" priority="1320">
      <formula>$D$123&lt;&gt;""</formula>
    </cfRule>
  </conditionalFormatting>
  <conditionalFormatting sqref="K747:U753">
    <cfRule type="cellIs" dxfId="1908" priority="1319" operator="equal">
      <formula>0</formula>
    </cfRule>
  </conditionalFormatting>
  <conditionalFormatting sqref="D757">
    <cfRule type="cellIs" dxfId="1907" priority="1316" operator="equal">
      <formula>"I/O"</formula>
    </cfRule>
    <cfRule type="cellIs" dxfId="1906" priority="1317" operator="equal">
      <formula>"Operación"</formula>
    </cfRule>
    <cfRule type="cellIs" dxfId="1905" priority="1318" operator="equal">
      <formula>"Inversión"</formula>
    </cfRule>
  </conditionalFormatting>
  <conditionalFormatting sqref="K755">
    <cfRule type="containsBlanks" dxfId="1904" priority="1311">
      <formula>LEN(TRIM(K755))=0</formula>
    </cfRule>
  </conditionalFormatting>
  <conditionalFormatting sqref="L755:U755">
    <cfRule type="containsBlanks" dxfId="1903" priority="1310">
      <formula>LEN(TRIM(L755))=0</formula>
    </cfRule>
  </conditionalFormatting>
  <conditionalFormatting sqref="K766">
    <cfRule type="containsBlanks" dxfId="1902" priority="1309">
      <formula>LEN(TRIM(K766))=0</formula>
    </cfRule>
  </conditionalFormatting>
  <conditionalFormatting sqref="L766:U766">
    <cfRule type="containsBlanks" dxfId="1901" priority="1308">
      <formula>LEN(TRIM(L766))=0</formula>
    </cfRule>
  </conditionalFormatting>
  <conditionalFormatting sqref="D768">
    <cfRule type="cellIs" dxfId="1900" priority="1305" operator="equal">
      <formula>"I/O"</formula>
    </cfRule>
    <cfRule type="cellIs" dxfId="1899" priority="1306" operator="equal">
      <formula>"Operación"</formula>
    </cfRule>
    <cfRule type="cellIs" dxfId="1898" priority="1307" operator="equal">
      <formula>"Inversión"</formula>
    </cfRule>
  </conditionalFormatting>
  <conditionalFormatting sqref="K769:U774">
    <cfRule type="cellIs" dxfId="1897" priority="1304" operator="equal">
      <formula>0</formula>
    </cfRule>
  </conditionalFormatting>
  <conditionalFormatting sqref="K778">
    <cfRule type="containsBlanks" dxfId="1896" priority="1299">
      <formula>LEN(TRIM(K778))=0</formula>
    </cfRule>
  </conditionalFormatting>
  <conditionalFormatting sqref="K782:U787">
    <cfRule type="cellIs" dxfId="1895" priority="1298" operator="equal">
      <formula>0</formula>
    </cfRule>
  </conditionalFormatting>
  <conditionalFormatting sqref="D802">
    <cfRule type="cellIs" dxfId="1894" priority="1286" operator="equal">
      <formula>"I/O"</formula>
    </cfRule>
    <cfRule type="cellIs" dxfId="1893" priority="1287" operator="equal">
      <formula>"Operación"</formula>
    </cfRule>
    <cfRule type="cellIs" dxfId="1892" priority="1288" operator="equal">
      <formula>"Inversión"</formula>
    </cfRule>
  </conditionalFormatting>
  <conditionalFormatting sqref="D832">
    <cfRule type="cellIs" dxfId="1891" priority="1282" operator="equal">
      <formula>"I/O"</formula>
    </cfRule>
    <cfRule type="cellIs" dxfId="1890" priority="1283" operator="equal">
      <formula>"Operación"</formula>
    </cfRule>
    <cfRule type="cellIs" dxfId="1889" priority="1284" operator="equal">
      <formula>"Inversión"</formula>
    </cfRule>
  </conditionalFormatting>
  <conditionalFormatting sqref="K215:U215">
    <cfRule type="cellIs" dxfId="1888" priority="1268" operator="equal">
      <formula>"NO"</formula>
    </cfRule>
    <cfRule type="cellIs" dxfId="1887" priority="1269" operator="equal">
      <formula>"SI"</formula>
    </cfRule>
  </conditionalFormatting>
  <conditionalFormatting sqref="K215:U215">
    <cfRule type="cellIs" dxfId="1886" priority="1267" operator="equal">
      <formula>"N/A"</formula>
    </cfRule>
  </conditionalFormatting>
  <conditionalFormatting sqref="K843:U843">
    <cfRule type="containsBlanks" dxfId="1885" priority="1266">
      <formula>LEN(TRIM(K843))=0</formula>
    </cfRule>
  </conditionalFormatting>
  <conditionalFormatting sqref="K843">
    <cfRule type="containsBlanks" dxfId="1884" priority="1265">
      <formula>LEN(TRIM(K843))=0</formula>
    </cfRule>
  </conditionalFormatting>
  <conditionalFormatting sqref="L843:U843">
    <cfRule type="containsBlanks" dxfId="1883" priority="1264">
      <formula>LEN(TRIM(L843))=0</formula>
    </cfRule>
  </conditionalFormatting>
  <conditionalFormatting sqref="L112:U112">
    <cfRule type="expression" dxfId="1882" priority="1263">
      <formula>L112&lt;&gt;SUM(L113:L115)</formula>
    </cfRule>
  </conditionalFormatting>
  <conditionalFormatting sqref="L112:U112">
    <cfRule type="cellIs" dxfId="1881" priority="1262" operator="equal">
      <formula>0</formula>
    </cfRule>
  </conditionalFormatting>
  <conditionalFormatting sqref="N115:U115 O113:U114">
    <cfRule type="containsBlanks" dxfId="1880" priority="1258">
      <formula>LEN(TRIM(N113))=0</formula>
    </cfRule>
  </conditionalFormatting>
  <conditionalFormatting sqref="K111">
    <cfRule type="containsBlanks" dxfId="1879" priority="1257">
      <formula>LEN(TRIM(K111))=0</formula>
    </cfRule>
  </conditionalFormatting>
  <conditionalFormatting sqref="K296">
    <cfRule type="containsBlanks" dxfId="1878" priority="1256">
      <formula>LEN(TRIM(K296))=0</formula>
    </cfRule>
  </conditionalFormatting>
  <conditionalFormatting sqref="K281">
    <cfRule type="containsBlanks" dxfId="1877" priority="1255">
      <formula>LEN(TRIM(K281))=0</formula>
    </cfRule>
  </conditionalFormatting>
  <conditionalFormatting sqref="D705">
    <cfRule type="cellIs" dxfId="1876" priority="1252" operator="equal">
      <formula>"I/O"</formula>
    </cfRule>
    <cfRule type="cellIs" dxfId="1875" priority="1253" operator="equal">
      <formula>"Operación"</formula>
    </cfRule>
    <cfRule type="cellIs" dxfId="1874" priority="1254" operator="equal">
      <formula>"Inversión"</formula>
    </cfRule>
  </conditionalFormatting>
  <conditionalFormatting sqref="K706:U709">
    <cfRule type="cellIs" dxfId="1873" priority="1251" operator="equal">
      <formula>0</formula>
    </cfRule>
  </conditionalFormatting>
  <conditionalFormatting sqref="L712:U712">
    <cfRule type="expression" dxfId="1872" priority="1249">
      <formula>$D$123&lt;&gt;""</formula>
    </cfRule>
  </conditionalFormatting>
  <conditionalFormatting sqref="L131:U134">
    <cfRule type="cellIs" dxfId="1871" priority="1247" operator="equal">
      <formula>0</formula>
    </cfRule>
  </conditionalFormatting>
  <conditionalFormatting sqref="L108:U110">
    <cfRule type="cellIs" dxfId="1870" priority="1239" operator="equal">
      <formula>0</formula>
    </cfRule>
  </conditionalFormatting>
  <conditionalFormatting sqref="K159">
    <cfRule type="cellIs" dxfId="1869" priority="1238" operator="equal">
      <formula>0</formula>
    </cfRule>
  </conditionalFormatting>
  <conditionalFormatting sqref="L159:U159">
    <cfRule type="cellIs" dxfId="1868" priority="1237" operator="equal">
      <formula>0</formula>
    </cfRule>
  </conditionalFormatting>
  <conditionalFormatting sqref="K183:U189">
    <cfRule type="cellIs" dxfId="1867" priority="1950" operator="equal">
      <formula>0</formula>
    </cfRule>
  </conditionalFormatting>
  <conditionalFormatting sqref="K207:U208">
    <cfRule type="cellIs" dxfId="1866" priority="1931" operator="notEqual">
      <formula>0</formula>
    </cfRule>
  </conditionalFormatting>
  <conditionalFormatting sqref="K245:U246">
    <cfRule type="cellIs" dxfId="1865" priority="1883" operator="equal">
      <formula>0</formula>
    </cfRule>
  </conditionalFormatting>
  <conditionalFormatting sqref="K258:U258">
    <cfRule type="expression" dxfId="1864" priority="1211">
      <formula>$D$123&lt;&gt;0</formula>
    </cfRule>
  </conditionalFormatting>
  <conditionalFormatting sqref="K258:U258">
    <cfRule type="cellIs" dxfId="1863" priority="1212" operator="equal">
      <formula>0</formula>
    </cfRule>
  </conditionalFormatting>
  <conditionalFormatting sqref="K274:U274">
    <cfRule type="expression" dxfId="1862" priority="1209">
      <formula>$D$123&lt;&gt;0</formula>
    </cfRule>
  </conditionalFormatting>
  <conditionalFormatting sqref="K274:U274">
    <cfRule type="cellIs" dxfId="1861" priority="1210" operator="equal">
      <formula>0</formula>
    </cfRule>
  </conditionalFormatting>
  <conditionalFormatting sqref="L262:T262">
    <cfRule type="cellIs" dxfId="1860" priority="1207" operator="equal">
      <formula>0</formula>
    </cfRule>
    <cfRule type="expression" dxfId="1859" priority="1208">
      <formula>L262&lt;&gt;SUM(L263:L266)</formula>
    </cfRule>
  </conditionalFormatting>
  <conditionalFormatting sqref="K293:L293">
    <cfRule type="expression" dxfId="1858" priority="1204">
      <formula>$D$123&lt;&gt;0</formula>
    </cfRule>
  </conditionalFormatting>
  <conditionalFormatting sqref="K293:L293">
    <cfRule type="cellIs" dxfId="1857" priority="1205" operator="equal">
      <formula>0</formula>
    </cfRule>
  </conditionalFormatting>
  <conditionalFormatting sqref="L278:U280">
    <cfRule type="cellIs" dxfId="1856" priority="1202" operator="equal">
      <formula>0</formula>
    </cfRule>
  </conditionalFormatting>
  <conditionalFormatting sqref="L197:U197">
    <cfRule type="expression" dxfId="1855" priority="1201">
      <formula>L197&lt;&gt;SUM(L198:L200)</formula>
    </cfRule>
  </conditionalFormatting>
  <conditionalFormatting sqref="L197:U197">
    <cfRule type="cellIs" dxfId="1854" priority="1200" operator="equal">
      <formula>0</formula>
    </cfRule>
  </conditionalFormatting>
  <conditionalFormatting sqref="L282:U282">
    <cfRule type="expression" dxfId="1853" priority="1199">
      <formula>L282&lt;&gt;SUM(L283:L285)</formula>
    </cfRule>
  </conditionalFormatting>
  <conditionalFormatting sqref="L282:U282">
    <cfRule type="cellIs" dxfId="1852" priority="1198" operator="equal">
      <formula>0</formula>
    </cfRule>
  </conditionalFormatting>
  <conditionalFormatting sqref="K307:U307">
    <cfRule type="cellIs" dxfId="1851" priority="1196" operator="equal">
      <formula>0</formula>
    </cfRule>
  </conditionalFormatting>
  <conditionalFormatting sqref="D293 D811 D815:D817">
    <cfRule type="expression" dxfId="1850" priority="1192">
      <formula>$D$123&lt;&gt;0</formula>
    </cfRule>
    <cfRule type="cellIs" dxfId="1849" priority="1193" operator="equal">
      <formula>0</formula>
    </cfRule>
  </conditionalFormatting>
  <conditionalFormatting sqref="D307">
    <cfRule type="expression" dxfId="1848" priority="1190">
      <formula>$D$123&lt;&gt;0</formula>
    </cfRule>
    <cfRule type="cellIs" dxfId="1847" priority="1191" operator="equal">
      <formula>0</formula>
    </cfRule>
  </conditionalFormatting>
  <conditionalFormatting sqref="K318:U318">
    <cfRule type="cellIs" dxfId="1846" priority="1184" operator="equal">
      <formula>0</formula>
    </cfRule>
  </conditionalFormatting>
  <conditionalFormatting sqref="D318">
    <cfRule type="expression" dxfId="1845" priority="1182">
      <formula>$D$123&lt;&gt;0</formula>
    </cfRule>
    <cfRule type="cellIs" dxfId="1844" priority="1183" operator="equal">
      <formula>0</formula>
    </cfRule>
  </conditionalFormatting>
  <conditionalFormatting sqref="D329">
    <cfRule type="expression" dxfId="1843" priority="1180">
      <formula>$D$123&lt;&gt;0</formula>
    </cfRule>
    <cfRule type="cellIs" dxfId="1842" priority="1181" operator="equal">
      <formula>0</formula>
    </cfRule>
  </conditionalFormatting>
  <conditionalFormatting sqref="K329:U329">
    <cfRule type="cellIs" dxfId="1841" priority="1179" operator="equal">
      <formula>0</formula>
    </cfRule>
  </conditionalFormatting>
  <conditionalFormatting sqref="K340:U340">
    <cfRule type="cellIs" dxfId="1840" priority="1178" operator="equal">
      <formula>0</formula>
    </cfRule>
  </conditionalFormatting>
  <conditionalFormatting sqref="D340">
    <cfRule type="expression" dxfId="1839" priority="1176">
      <formula>$D$123&lt;&gt;0</formula>
    </cfRule>
    <cfRule type="cellIs" dxfId="1838" priority="1177" operator="equal">
      <formula>0</formula>
    </cfRule>
  </conditionalFormatting>
  <conditionalFormatting sqref="K356:U356">
    <cfRule type="cellIs" dxfId="1837" priority="1175" operator="equal">
      <formula>0</formula>
    </cfRule>
  </conditionalFormatting>
  <conditionalFormatting sqref="D356">
    <cfRule type="expression" dxfId="1836" priority="1173">
      <formula>$D$123&lt;&gt;0</formula>
    </cfRule>
    <cfRule type="cellIs" dxfId="1835" priority="1174" operator="equal">
      <formula>0</formula>
    </cfRule>
  </conditionalFormatting>
  <conditionalFormatting sqref="L344:Q344">
    <cfRule type="cellIs" dxfId="1834" priority="1170" operator="equal">
      <formula>0</formula>
    </cfRule>
    <cfRule type="expression" dxfId="1833" priority="1171">
      <formula>L344&lt;&gt;SUM(L345:L348)</formula>
    </cfRule>
  </conditionalFormatting>
  <conditionalFormatting sqref="K384:U386">
    <cfRule type="containsBlanks" dxfId="1832" priority="1167">
      <formula>LEN(TRIM(K384))=0</formula>
    </cfRule>
  </conditionalFormatting>
  <conditionalFormatting sqref="D376">
    <cfRule type="expression" dxfId="1831" priority="1165">
      <formula>$D$123&lt;&gt;0</formula>
    </cfRule>
    <cfRule type="cellIs" dxfId="1830" priority="1166" operator="equal">
      <formula>0</formula>
    </cfRule>
  </conditionalFormatting>
  <conditionalFormatting sqref="D394">
    <cfRule type="expression" dxfId="1829" priority="1163">
      <formula>$D$123&lt;&gt;0</formula>
    </cfRule>
    <cfRule type="cellIs" dxfId="1828" priority="1164" operator="equal">
      <formula>0</formula>
    </cfRule>
  </conditionalFormatting>
  <conditionalFormatting sqref="K394:U394">
    <cfRule type="cellIs" dxfId="1827" priority="1162" operator="equal">
      <formula>0</formula>
    </cfRule>
  </conditionalFormatting>
  <conditionalFormatting sqref="K411:U411">
    <cfRule type="cellIs" dxfId="1826" priority="1161" operator="equal">
      <formula>0</formula>
    </cfRule>
  </conditionalFormatting>
  <conditionalFormatting sqref="D411">
    <cfRule type="expression" dxfId="1825" priority="1159">
      <formula>$D$123&lt;&gt;0</formula>
    </cfRule>
    <cfRule type="cellIs" dxfId="1824" priority="1160" operator="equal">
      <formula>0</formula>
    </cfRule>
  </conditionalFormatting>
  <conditionalFormatting sqref="L422:U422">
    <cfRule type="cellIs" dxfId="1823" priority="1158" operator="equal">
      <formula>0</formula>
    </cfRule>
  </conditionalFormatting>
  <conditionalFormatting sqref="D422">
    <cfRule type="expression" dxfId="1822" priority="1156">
      <formula>$D$123&lt;&gt;0</formula>
    </cfRule>
    <cfRule type="cellIs" dxfId="1821" priority="1157" operator="equal">
      <formula>0</formula>
    </cfRule>
  </conditionalFormatting>
  <conditionalFormatting sqref="K433:U433">
    <cfRule type="cellIs" dxfId="1820" priority="1155" operator="equal">
      <formula>0</formula>
    </cfRule>
  </conditionalFormatting>
  <conditionalFormatting sqref="D433">
    <cfRule type="expression" dxfId="1819" priority="1153">
      <formula>$D$123&lt;&gt;0</formula>
    </cfRule>
    <cfRule type="cellIs" dxfId="1818" priority="1154" operator="equal">
      <formula>0</formula>
    </cfRule>
  </conditionalFormatting>
  <conditionalFormatting sqref="K413">
    <cfRule type="containsBlanks" dxfId="1817" priority="1152">
      <formula>LEN(TRIM(K413))=0</formula>
    </cfRule>
  </conditionalFormatting>
  <conditionalFormatting sqref="L413:U413">
    <cfRule type="containsBlanks" dxfId="1816" priority="1151">
      <formula>LEN(TRIM(L413))=0</formula>
    </cfRule>
  </conditionalFormatting>
  <conditionalFormatting sqref="K424">
    <cfRule type="containsBlanks" dxfId="1815" priority="1150">
      <formula>LEN(TRIM(K424))=0</formula>
    </cfRule>
  </conditionalFormatting>
  <conditionalFormatting sqref="L424:U424">
    <cfRule type="containsBlanks" dxfId="1814" priority="1149">
      <formula>LEN(TRIM(L424))=0</formula>
    </cfRule>
  </conditionalFormatting>
  <conditionalFormatting sqref="K435">
    <cfRule type="containsBlanks" dxfId="1813" priority="1148">
      <formula>LEN(TRIM(K435))=0</formula>
    </cfRule>
  </conditionalFormatting>
  <conditionalFormatting sqref="L435:U435">
    <cfRule type="containsBlanks" dxfId="1812" priority="1147">
      <formula>LEN(TRIM(L435))=0</formula>
    </cfRule>
  </conditionalFormatting>
  <conditionalFormatting sqref="L331:U331">
    <cfRule type="containsBlanks" dxfId="1811" priority="1145">
      <formula>LEN(TRIM(L331))=0</formula>
    </cfRule>
  </conditionalFormatting>
  <conditionalFormatting sqref="K331">
    <cfRule type="containsBlanks" dxfId="1810" priority="1146">
      <formula>LEN(TRIM(K331))=0</formula>
    </cfRule>
  </conditionalFormatting>
  <conditionalFormatting sqref="L320:U320">
    <cfRule type="containsBlanks" dxfId="1809" priority="1144">
      <formula>LEN(TRIM(L320))=0</formula>
    </cfRule>
  </conditionalFormatting>
  <conditionalFormatting sqref="K320">
    <cfRule type="containsBlanks" dxfId="1808" priority="1143">
      <formula>LEN(TRIM(K320))=0</formula>
    </cfRule>
  </conditionalFormatting>
  <conditionalFormatting sqref="L309:U309">
    <cfRule type="containsBlanks" dxfId="1807" priority="1142">
      <formula>LEN(TRIM(L309))=0</formula>
    </cfRule>
  </conditionalFormatting>
  <conditionalFormatting sqref="K309">
    <cfRule type="containsBlanks" dxfId="1806" priority="1141">
      <formula>LEN(TRIM(K309))=0</formula>
    </cfRule>
  </conditionalFormatting>
  <conditionalFormatting sqref="K193:U195">
    <cfRule type="cellIs" dxfId="1805" priority="1140" operator="equal">
      <formula>0</formula>
    </cfRule>
  </conditionalFormatting>
  <conditionalFormatting sqref="K444:U444">
    <cfRule type="cellIs" dxfId="1804" priority="1139" operator="equal">
      <formula>0</formula>
    </cfRule>
  </conditionalFormatting>
  <conditionalFormatting sqref="L459:U459">
    <cfRule type="cellIs" dxfId="1803" priority="1138" operator="equal">
      <formula>0</formula>
    </cfRule>
  </conditionalFormatting>
  <conditionalFormatting sqref="D444">
    <cfRule type="expression" dxfId="1802" priority="1136">
      <formula>$D$123&lt;&gt;0</formula>
    </cfRule>
    <cfRule type="cellIs" dxfId="1801" priority="1137" operator="equal">
      <formula>0</formula>
    </cfRule>
  </conditionalFormatting>
  <conditionalFormatting sqref="D459">
    <cfRule type="expression" dxfId="1800" priority="1134">
      <formula>$D$123&lt;&gt;0</formula>
    </cfRule>
    <cfRule type="cellIs" dxfId="1799" priority="1135" operator="equal">
      <formula>0</formula>
    </cfRule>
  </conditionalFormatting>
  <conditionalFormatting sqref="D474">
    <cfRule type="expression" dxfId="1798" priority="1132">
      <formula>$D$123&lt;&gt;0</formula>
    </cfRule>
    <cfRule type="cellIs" dxfId="1797" priority="1133" operator="equal">
      <formula>0</formula>
    </cfRule>
  </conditionalFormatting>
  <conditionalFormatting sqref="K472:U474 K468:U470">
    <cfRule type="cellIs" dxfId="1796" priority="1131" operator="equal">
      <formula>0</formula>
    </cfRule>
  </conditionalFormatting>
  <conditionalFormatting sqref="K490:U490">
    <cfRule type="cellIs" dxfId="1795" priority="1130" operator="equal">
      <formula>0</formula>
    </cfRule>
  </conditionalFormatting>
  <conditionalFormatting sqref="K648">
    <cfRule type="containsBlanks" dxfId="1794" priority="2065">
      <formula>LEN(TRIM(K648))=0</formula>
    </cfRule>
  </conditionalFormatting>
  <conditionalFormatting sqref="K649:U650">
    <cfRule type="cellIs" dxfId="1793" priority="1128" operator="equal">
      <formula>0</formula>
    </cfRule>
    <cfRule type="expression" dxfId="1792" priority="1464">
      <formula>$D$123&lt;&gt;""</formula>
    </cfRule>
  </conditionalFormatting>
  <conditionalFormatting sqref="K649:K650">
    <cfRule type="cellIs" dxfId="1791" priority="1126" operator="equal">
      <formula>0</formula>
    </cfRule>
  </conditionalFormatting>
  <conditionalFormatting sqref="D490">
    <cfRule type="expression" dxfId="1790" priority="1122">
      <formula>$D$123&lt;&gt;0</formula>
    </cfRule>
    <cfRule type="cellIs" dxfId="1789" priority="1123" operator="equal">
      <formula>0</formula>
    </cfRule>
  </conditionalFormatting>
  <conditionalFormatting sqref="L732:U732">
    <cfRule type="containsBlanks" dxfId="1788" priority="1119">
      <formula>LEN(TRIM(L732))=0</formula>
    </cfRule>
  </conditionalFormatting>
  <conditionalFormatting sqref="L729:U731">
    <cfRule type="cellIs" dxfId="1787" priority="1116" operator="equal">
      <formula>0</formula>
    </cfRule>
  </conditionalFormatting>
  <conditionalFormatting sqref="D753">
    <cfRule type="expression" dxfId="1786" priority="1113">
      <formula>$D$123&lt;&gt;0</formula>
    </cfRule>
    <cfRule type="cellIs" dxfId="1785" priority="1114" operator="equal">
      <formula>0</formula>
    </cfRule>
  </conditionalFormatting>
  <conditionalFormatting sqref="K764">
    <cfRule type="expression" dxfId="1784" priority="1112">
      <formula>$D$123&lt;&gt;""</formula>
    </cfRule>
  </conditionalFormatting>
  <conditionalFormatting sqref="K764">
    <cfRule type="cellIs" dxfId="1783" priority="1111" operator="equal">
      <formula>0</formula>
    </cfRule>
  </conditionalFormatting>
  <conditionalFormatting sqref="L764:U764">
    <cfRule type="expression" dxfId="1782" priority="1110">
      <formula>$D$123&lt;&gt;""</formula>
    </cfRule>
  </conditionalFormatting>
  <conditionalFormatting sqref="L764:U764">
    <cfRule type="cellIs" dxfId="1781" priority="1109" operator="equal">
      <formula>0</formula>
    </cfRule>
  </conditionalFormatting>
  <conditionalFormatting sqref="D764">
    <cfRule type="expression" dxfId="1780" priority="1107">
      <formula>$D$123&lt;&gt;0</formula>
    </cfRule>
    <cfRule type="cellIs" dxfId="1779" priority="1108" operator="equal">
      <formula>0</formula>
    </cfRule>
  </conditionalFormatting>
  <conditionalFormatting sqref="K775:U775">
    <cfRule type="expression" dxfId="1778" priority="1106">
      <formula>$D$123&lt;&gt;""</formula>
    </cfRule>
  </conditionalFormatting>
  <conditionalFormatting sqref="K775:U775">
    <cfRule type="cellIs" dxfId="1777" priority="1105" operator="equal">
      <formula>0</formula>
    </cfRule>
  </conditionalFormatting>
  <conditionalFormatting sqref="D775">
    <cfRule type="expression" dxfId="1776" priority="1103">
      <formula>$D$123&lt;&gt;0</formula>
    </cfRule>
    <cfRule type="cellIs" dxfId="1775" priority="1104" operator="equal">
      <formula>0</formula>
    </cfRule>
  </conditionalFormatting>
  <conditionalFormatting sqref="L778:P778">
    <cfRule type="containsBlanks" dxfId="1774" priority="1102">
      <formula>LEN(TRIM(L778))=0</formula>
    </cfRule>
  </conditionalFormatting>
  <conditionalFormatting sqref="K780">
    <cfRule type="containsBlanks" dxfId="1773" priority="2067">
      <formula>LEN(TRIM(K780))=0</formula>
    </cfRule>
  </conditionalFormatting>
  <conditionalFormatting sqref="K788:U788">
    <cfRule type="expression" dxfId="1772" priority="1100">
      <formula>$D$123&lt;&gt;""</formula>
    </cfRule>
  </conditionalFormatting>
  <conditionalFormatting sqref="K788:U788">
    <cfRule type="cellIs" dxfId="1771" priority="1099" operator="equal">
      <formula>0</formula>
    </cfRule>
  </conditionalFormatting>
  <conditionalFormatting sqref="D788">
    <cfRule type="expression" dxfId="1770" priority="1097">
      <formula>$D$123&lt;&gt;0</formula>
    </cfRule>
    <cfRule type="cellIs" dxfId="1769" priority="1098" operator="equal">
      <formula>0</formula>
    </cfRule>
  </conditionalFormatting>
  <conditionalFormatting sqref="D801">
    <cfRule type="expression" dxfId="1768" priority="1095">
      <formula>D801&lt;&gt;SUM(#REF!)</formula>
    </cfRule>
  </conditionalFormatting>
  <conditionalFormatting sqref="K508:U509">
    <cfRule type="containsBlanks" dxfId="1767" priority="1089">
      <formula>LEN(TRIM(K508))=0</formula>
    </cfRule>
  </conditionalFormatting>
  <conditionalFormatting sqref="K508:K509">
    <cfRule type="cellIs" dxfId="1766" priority="1088" operator="notEqual">
      <formula>""""""</formula>
    </cfRule>
  </conditionalFormatting>
  <conditionalFormatting sqref="K503">
    <cfRule type="cellIs" dxfId="1765" priority="1086" operator="equal">
      <formula>"NO"</formula>
    </cfRule>
    <cfRule type="cellIs" dxfId="1764" priority="1087" operator="equal">
      <formula>"SI"</formula>
    </cfRule>
  </conditionalFormatting>
  <conditionalFormatting sqref="K503">
    <cfRule type="cellIs" dxfId="1763" priority="1085" operator="equal">
      <formula>"N/A"</formula>
    </cfRule>
  </conditionalFormatting>
  <conditionalFormatting sqref="K504:K507">
    <cfRule type="cellIs" dxfId="1762" priority="1084" operator="equal">
      <formula>0</formula>
    </cfRule>
  </conditionalFormatting>
  <conditionalFormatting sqref="K510">
    <cfRule type="containsBlanks" dxfId="1761" priority="1083">
      <formula>LEN(TRIM(K510))=0</formula>
    </cfRule>
  </conditionalFormatting>
  <conditionalFormatting sqref="K510:K511">
    <cfRule type="cellIs" dxfId="1760" priority="1082" operator="equal">
      <formula>0</formula>
    </cfRule>
  </conditionalFormatting>
  <conditionalFormatting sqref="K508:K509">
    <cfRule type="containsBlanks" dxfId="1759" priority="1081">
      <formula>LEN(TRIM(K508))=0</formula>
    </cfRule>
  </conditionalFormatting>
  <conditionalFormatting sqref="K542">
    <cfRule type="cellIs" dxfId="1758" priority="1077" operator="equal">
      <formula>0</formula>
    </cfRule>
  </conditionalFormatting>
  <conditionalFormatting sqref="D511">
    <cfRule type="expression" dxfId="1757" priority="1075">
      <formula>$D$123&lt;&gt;0</formula>
    </cfRule>
    <cfRule type="cellIs" dxfId="1756" priority="1076" operator="equal">
      <formula>0</formula>
    </cfRule>
  </conditionalFormatting>
  <conditionalFormatting sqref="D524">
    <cfRule type="expression" dxfId="1755" priority="1073">
      <formula>$D$123&lt;&gt;0</formula>
    </cfRule>
    <cfRule type="cellIs" dxfId="1754" priority="1074" operator="equal">
      <formula>0</formula>
    </cfRule>
  </conditionalFormatting>
  <conditionalFormatting sqref="D542">
    <cfRule type="expression" dxfId="1753" priority="1071">
      <formula>$D$123&lt;&gt;0</formula>
    </cfRule>
    <cfRule type="cellIs" dxfId="1752" priority="1072" operator="equal">
      <formula>0</formula>
    </cfRule>
  </conditionalFormatting>
  <conditionalFormatting sqref="L542:U542">
    <cfRule type="cellIs" dxfId="1751" priority="1070" operator="equal">
      <formula>0</formula>
    </cfRule>
  </conditionalFormatting>
  <conditionalFormatting sqref="K577:U577">
    <cfRule type="cellIs" dxfId="1750" priority="1057" operator="equal">
      <formula>0</formula>
    </cfRule>
  </conditionalFormatting>
  <conditionalFormatting sqref="D577">
    <cfRule type="expression" dxfId="1749" priority="1055">
      <formula>$D$123&lt;&gt;0</formula>
    </cfRule>
    <cfRule type="cellIs" dxfId="1748" priority="1056" operator="equal">
      <formula>0</formula>
    </cfRule>
  </conditionalFormatting>
  <conditionalFormatting sqref="K588:U588">
    <cfRule type="cellIs" dxfId="1747" priority="1054" operator="equal">
      <formula>0</formula>
    </cfRule>
  </conditionalFormatting>
  <conditionalFormatting sqref="K579">
    <cfRule type="containsBlanks" dxfId="1746" priority="1053">
      <formula>LEN(TRIM(K579))=0</formula>
    </cfRule>
  </conditionalFormatting>
  <conditionalFormatting sqref="L579:U579">
    <cfRule type="containsBlanks" dxfId="1745" priority="1052">
      <formula>LEN(TRIM(L579))=0</formula>
    </cfRule>
  </conditionalFormatting>
  <conditionalFormatting sqref="D588">
    <cfRule type="expression" dxfId="1744" priority="1050">
      <formula>$D$123&lt;&gt;0</formula>
    </cfRule>
    <cfRule type="cellIs" dxfId="1743" priority="1051" operator="equal">
      <formula>0</formula>
    </cfRule>
  </conditionalFormatting>
  <conditionalFormatting sqref="K590">
    <cfRule type="containsBlanks" dxfId="1742" priority="1049">
      <formula>LEN(TRIM(K590))=0</formula>
    </cfRule>
  </conditionalFormatting>
  <conditionalFormatting sqref="L590:U590">
    <cfRule type="containsBlanks" dxfId="1741" priority="1048">
      <formula>LEN(TRIM(L590))=0</formula>
    </cfRule>
  </conditionalFormatting>
  <conditionalFormatting sqref="D599">
    <cfRule type="expression" dxfId="1740" priority="1046">
      <formula>$D$123&lt;&gt;0</formula>
    </cfRule>
    <cfRule type="cellIs" dxfId="1739" priority="1047" operator="equal">
      <formula>0</formula>
    </cfRule>
  </conditionalFormatting>
  <conditionalFormatting sqref="D616">
    <cfRule type="expression" dxfId="1738" priority="1044">
      <formula>$D$123&lt;&gt;0</formula>
    </cfRule>
    <cfRule type="cellIs" dxfId="1737" priority="1045" operator="equal">
      <formula>0</formula>
    </cfRule>
  </conditionalFormatting>
  <conditionalFormatting sqref="D741">
    <cfRule type="expression" dxfId="1736" priority="1042">
      <formula>$D$123&lt;&gt;0</formula>
    </cfRule>
    <cfRule type="cellIs" dxfId="1735" priority="1043" operator="equal">
      <formula>0</formula>
    </cfRule>
  </conditionalFormatting>
  <conditionalFormatting sqref="K632:U632">
    <cfRule type="cellIs" dxfId="1734" priority="1040" operator="equal">
      <formula>0</formula>
    </cfRule>
  </conditionalFormatting>
  <conditionalFormatting sqref="D632">
    <cfRule type="expression" dxfId="1733" priority="1038">
      <formula>$D$123&lt;&gt;0</formula>
    </cfRule>
    <cfRule type="cellIs" dxfId="1732" priority="1039" operator="equal">
      <formula>0</formula>
    </cfRule>
  </conditionalFormatting>
  <conditionalFormatting sqref="K666:U667">
    <cfRule type="containsBlanks" dxfId="1731" priority="1037">
      <formula>LEN(TRIM(K666))=0</formula>
    </cfRule>
    <cfRule type="cellIs" dxfId="1730" priority="2060" operator="notEqual">
      <formula>""""""</formula>
    </cfRule>
  </conditionalFormatting>
  <conditionalFormatting sqref="D650">
    <cfRule type="expression" dxfId="1729" priority="1035">
      <formula>$D$123&lt;&gt;0</formula>
    </cfRule>
    <cfRule type="cellIs" dxfId="1728" priority="1036" operator="equal">
      <formula>0</formula>
    </cfRule>
  </conditionalFormatting>
  <conditionalFormatting sqref="D669">
    <cfRule type="expression" dxfId="1727" priority="1033">
      <formula>$D$123&lt;&gt;0</formula>
    </cfRule>
    <cfRule type="cellIs" dxfId="1726" priority="1034" operator="equal">
      <formula>0</formula>
    </cfRule>
  </conditionalFormatting>
  <conditionalFormatting sqref="D685">
    <cfRule type="expression" dxfId="1725" priority="1031">
      <formula>$D$123&lt;&gt;0</formula>
    </cfRule>
    <cfRule type="cellIs" dxfId="1724" priority="1032" operator="equal">
      <formula>0</formula>
    </cfRule>
  </conditionalFormatting>
  <conditionalFormatting sqref="K698:U699">
    <cfRule type="cellIs" dxfId="1723" priority="1324" operator="equal">
      <formula>0</formula>
    </cfRule>
  </conditionalFormatting>
  <conditionalFormatting sqref="D699">
    <cfRule type="expression" dxfId="1722" priority="1029">
      <formula>$D$123&lt;&gt;0</formula>
    </cfRule>
    <cfRule type="cellIs" dxfId="1721" priority="1030" operator="equal">
      <formula>0</formula>
    </cfRule>
  </conditionalFormatting>
  <conditionalFormatting sqref="K704 Q704:U704">
    <cfRule type="containsBlanks" dxfId="1720" priority="1028">
      <formula>LEN(TRIM(K704))=0</formula>
    </cfRule>
  </conditionalFormatting>
  <conditionalFormatting sqref="L710:U710">
    <cfRule type="cellIs" dxfId="1719" priority="2062" operator="notEqual">
      <formula>""""""</formula>
    </cfRule>
  </conditionalFormatting>
  <conditionalFormatting sqref="K711:U712">
    <cfRule type="cellIs" dxfId="1718" priority="1248" operator="equal">
      <formula>0</formula>
    </cfRule>
  </conditionalFormatting>
  <conditionalFormatting sqref="K703:U703">
    <cfRule type="cellIs" dxfId="1717" priority="1026" operator="equal">
      <formula>0</formula>
    </cfRule>
  </conditionalFormatting>
  <conditionalFormatting sqref="D712">
    <cfRule type="expression" dxfId="1716" priority="1024">
      <formula>$D$123&lt;&gt;0</formula>
    </cfRule>
    <cfRule type="cellIs" dxfId="1715" priority="1025" operator="equal">
      <formula>0</formula>
    </cfRule>
  </conditionalFormatting>
  <conditionalFormatting sqref="D725">
    <cfRule type="expression" dxfId="1714" priority="1022">
      <formula>$D$123&lt;&gt;0</formula>
    </cfRule>
    <cfRule type="cellIs" dxfId="1713" priority="1023" operator="equal">
      <formula>0</formula>
    </cfRule>
  </conditionalFormatting>
  <conditionalFormatting sqref="K716:U716">
    <cfRule type="cellIs" dxfId="1712" priority="1020" operator="equal">
      <formula>0</formula>
    </cfRule>
  </conditionalFormatting>
  <conditionalFormatting sqref="K677:U677">
    <cfRule type="cellIs" dxfId="1711" priority="1012" operator="equal">
      <formula>0</formula>
    </cfRule>
    <cfRule type="cellIs" dxfId="1710" priority="1014" operator="notEqual">
      <formula>""""""</formula>
    </cfRule>
  </conditionalFormatting>
  <conditionalFormatting sqref="K797:U800">
    <cfRule type="containsBlanks" dxfId="1709" priority="1010">
      <formula>LEN(TRIM(K797))=0</formula>
    </cfRule>
    <cfRule type="cellIs" dxfId="1708" priority="1011" operator="notEqual">
      <formula>""""""</formula>
    </cfRule>
  </conditionalFormatting>
  <conditionalFormatting sqref="D839">
    <cfRule type="expression" dxfId="1707" priority="1008">
      <formula>$D$123&lt;&gt;0</formula>
    </cfRule>
    <cfRule type="cellIs" dxfId="1706" priority="1009" operator="equal">
      <formula>0</formula>
    </cfRule>
  </conditionalFormatting>
  <conditionalFormatting sqref="K833:U835">
    <cfRule type="cellIs" dxfId="1705" priority="1007" operator="equal">
      <formula>0</formula>
    </cfRule>
  </conditionalFormatting>
  <conditionalFormatting sqref="K836:U836">
    <cfRule type="cellIs" dxfId="1704" priority="1006" operator="equal">
      <formula>0</formula>
    </cfRule>
  </conditionalFormatting>
  <conditionalFormatting sqref="K837">
    <cfRule type="containsBlanks" dxfId="1703" priority="1005">
      <formula>LEN(TRIM(K837))=0</formula>
    </cfRule>
  </conditionalFormatting>
  <conditionalFormatting sqref="K648">
    <cfRule type="cellIs" dxfId="1702" priority="1003" operator="notEqual">
      <formula>""""""</formula>
    </cfRule>
  </conditionalFormatting>
  <conditionalFormatting sqref="K471">
    <cfRule type="cellIs" dxfId="1701" priority="1000" operator="equal">
      <formula>0</formula>
    </cfRule>
  </conditionalFormatting>
  <conditionalFormatting sqref="L471:U471">
    <cfRule type="cellIs" dxfId="1700" priority="999" operator="equal">
      <formula>0</formula>
    </cfRule>
  </conditionalFormatting>
  <conditionalFormatting sqref="K170">
    <cfRule type="containsBlanks" dxfId="1699" priority="998">
      <formula>LEN(TRIM(K170))=0</formula>
    </cfRule>
  </conditionalFormatting>
  <conditionalFormatting sqref="L170:U170">
    <cfRule type="containsBlanks" dxfId="1698" priority="997">
      <formula>LEN(TRIM(L170))=0</formula>
    </cfRule>
  </conditionalFormatting>
  <conditionalFormatting sqref="K120">
    <cfRule type="containsBlanks" dxfId="1697" priority="996">
      <formula>LEN(TRIM(K120))=0</formula>
    </cfRule>
  </conditionalFormatting>
  <conditionalFormatting sqref="L120">
    <cfRule type="containsBlanks" dxfId="1696" priority="994">
      <formula>LEN(TRIM(L120))=0</formula>
    </cfRule>
  </conditionalFormatting>
  <conditionalFormatting sqref="L120">
    <cfRule type="cellIs" dxfId="1695" priority="993" operator="equal">
      <formula>0</formula>
    </cfRule>
  </conditionalFormatting>
  <conditionalFormatting sqref="M120:U120">
    <cfRule type="containsBlanks" dxfId="1694" priority="992">
      <formula>LEN(TRIM(M120))=0</formula>
    </cfRule>
  </conditionalFormatting>
  <conditionalFormatting sqref="M120:U120">
    <cfRule type="cellIs" dxfId="1693" priority="991" operator="equal">
      <formula>0</formula>
    </cfRule>
  </conditionalFormatting>
  <conditionalFormatting sqref="K343">
    <cfRule type="containsBlanks" dxfId="1692" priority="990">
      <formula>LEN(TRIM(K343))=0</formula>
    </cfRule>
  </conditionalFormatting>
  <conditionalFormatting sqref="L529:U531">
    <cfRule type="cellIs" dxfId="1691" priority="989" operator="equal">
      <formula>0</formula>
    </cfRule>
  </conditionalFormatting>
  <conditionalFormatting sqref="B116">
    <cfRule type="cellIs" dxfId="1690" priority="987" operator="equal">
      <formula>"NO"</formula>
    </cfRule>
    <cfRule type="cellIs" dxfId="1689" priority="988" operator="equal">
      <formula>"SI"</formula>
    </cfRule>
  </conditionalFormatting>
  <conditionalFormatting sqref="B116">
    <cfRule type="cellIs" dxfId="1688" priority="986" operator="equal">
      <formula>"N/A"</formula>
    </cfRule>
  </conditionalFormatting>
  <conditionalFormatting sqref="B130">
    <cfRule type="cellIs" dxfId="1687" priority="967" operator="equal">
      <formula>$B$130</formula>
    </cfRule>
    <cfRule type="cellIs" dxfId="1686" priority="981" operator="equal">
      <formula>"NO"</formula>
    </cfRule>
    <cfRule type="cellIs" dxfId="1685" priority="982" operator="equal">
      <formula>"SI"</formula>
    </cfRule>
  </conditionalFormatting>
  <conditionalFormatting sqref="B130">
    <cfRule type="cellIs" dxfId="1684" priority="980" operator="equal">
      <formula>"N/A"</formula>
    </cfRule>
  </conditionalFormatting>
  <conditionalFormatting sqref="B142">
    <cfRule type="cellIs" dxfId="1683" priority="978" operator="equal">
      <formula>"NO"</formula>
    </cfRule>
    <cfRule type="cellIs" dxfId="1682" priority="979" operator="equal">
      <formula>"SI"</formula>
    </cfRule>
  </conditionalFormatting>
  <conditionalFormatting sqref="B142">
    <cfRule type="cellIs" dxfId="1681" priority="977" operator="equal">
      <formula>"N/A"</formula>
    </cfRule>
  </conditionalFormatting>
  <conditionalFormatting sqref="B154">
    <cfRule type="cellIs" dxfId="1680" priority="975" operator="equal">
      <formula>"NO"</formula>
    </cfRule>
    <cfRule type="cellIs" dxfId="1679" priority="976" operator="equal">
      <formula>"SI"</formula>
    </cfRule>
  </conditionalFormatting>
  <conditionalFormatting sqref="B154">
    <cfRule type="cellIs" dxfId="1678" priority="974" operator="equal">
      <formula>"N/A"</formula>
    </cfRule>
  </conditionalFormatting>
  <conditionalFormatting sqref="B166">
    <cfRule type="cellIs" dxfId="1677" priority="969" operator="equal">
      <formula>"NO"</formula>
    </cfRule>
    <cfRule type="cellIs" dxfId="1676" priority="970" operator="equal">
      <formula>"SI"</formula>
    </cfRule>
  </conditionalFormatting>
  <conditionalFormatting sqref="B166">
    <cfRule type="cellIs" dxfId="1675" priority="968" operator="equal">
      <formula>"N/A"</formula>
    </cfRule>
  </conditionalFormatting>
  <conditionalFormatting sqref="K803:U805">
    <cfRule type="cellIs" dxfId="1674" priority="2066" operator="equal">
      <formula>0</formula>
    </cfRule>
  </conditionalFormatting>
  <conditionalFormatting sqref="T501:U501">
    <cfRule type="cellIs" dxfId="1673" priority="964" operator="equal">
      <formula>0</formula>
    </cfRule>
  </conditionalFormatting>
  <conditionalFormatting sqref="D501">
    <cfRule type="expression" dxfId="1672" priority="965">
      <formula>D501&lt;&gt;SUM(#REF!)</formula>
    </cfRule>
  </conditionalFormatting>
  <conditionalFormatting sqref="T501:U501">
    <cfRule type="cellIs" dxfId="1671" priority="963" operator="lessThan">
      <formula>0</formula>
    </cfRule>
  </conditionalFormatting>
  <conditionalFormatting sqref="T501:U501">
    <cfRule type="cellIs" dxfId="1670" priority="961" operator="equal">
      <formula>0</formula>
    </cfRule>
  </conditionalFormatting>
  <conditionalFormatting sqref="D501">
    <cfRule type="expression" dxfId="1669" priority="962">
      <formula>D501&lt;&gt;SUM(#REF!)</formula>
    </cfRule>
  </conditionalFormatting>
  <conditionalFormatting sqref="T501:U501">
    <cfRule type="cellIs" dxfId="1668" priority="960" operator="lessThan">
      <formula>0</formula>
    </cfRule>
  </conditionalFormatting>
  <conditionalFormatting sqref="D657:D659">
    <cfRule type="expression" dxfId="1667" priority="956">
      <formula>D657&lt;&gt;SUM(#REF!)</formula>
    </cfRule>
  </conditionalFormatting>
  <conditionalFormatting sqref="D657:D659">
    <cfRule type="expression" dxfId="1666" priority="955">
      <formula>D657&lt;&gt;SUM(#REF!)</formula>
    </cfRule>
  </conditionalFormatting>
  <conditionalFormatting sqref="D661">
    <cfRule type="cellIs" dxfId="1665" priority="949" operator="equal">
      <formula>"I/O"</formula>
    </cfRule>
    <cfRule type="cellIs" dxfId="1664" priority="950" operator="equal">
      <formula>"Operación"</formula>
    </cfRule>
    <cfRule type="cellIs" dxfId="1663" priority="951" operator="equal">
      <formula>"Inversión"</formula>
    </cfRule>
  </conditionalFormatting>
  <conditionalFormatting sqref="D130">
    <cfRule type="cellIs" dxfId="1662" priority="946" operator="equal">
      <formula>"I/O"</formula>
    </cfRule>
    <cfRule type="cellIs" dxfId="1661" priority="947" operator="equal">
      <formula>"Operación"</formula>
    </cfRule>
    <cfRule type="cellIs" dxfId="1660" priority="948" operator="equal">
      <formula>"Inversión"</formula>
    </cfRule>
  </conditionalFormatting>
  <conditionalFormatting sqref="D154">
    <cfRule type="cellIs" dxfId="1659" priority="943" operator="equal">
      <formula>"I/O"</formula>
    </cfRule>
    <cfRule type="cellIs" dxfId="1658" priority="944" operator="equal">
      <formula>"Operación"</formula>
    </cfRule>
    <cfRule type="cellIs" dxfId="1657" priority="945" operator="equal">
      <formula>"Inversión"</formula>
    </cfRule>
  </conditionalFormatting>
  <conditionalFormatting sqref="D166">
    <cfRule type="cellIs" dxfId="1656" priority="940" operator="equal">
      <formula>"I/O"</formula>
    </cfRule>
    <cfRule type="cellIs" dxfId="1655" priority="941" operator="equal">
      <formula>"Operación"</formula>
    </cfRule>
    <cfRule type="cellIs" dxfId="1654" priority="942" operator="equal">
      <formula>"Inversión"</formula>
    </cfRule>
  </conditionalFormatting>
  <conditionalFormatting sqref="D201">
    <cfRule type="cellIs" dxfId="1653" priority="937" operator="equal">
      <formula>"I/O"</formula>
    </cfRule>
    <cfRule type="cellIs" dxfId="1652" priority="938" operator="equal">
      <formula>"Operación"</formula>
    </cfRule>
    <cfRule type="cellIs" dxfId="1651" priority="939" operator="equal">
      <formula>"Inversión"</formula>
    </cfRule>
  </conditionalFormatting>
  <conditionalFormatting sqref="D215">
    <cfRule type="cellIs" dxfId="1650" priority="934" operator="equal">
      <formula>"I/O"</formula>
    </cfRule>
    <cfRule type="cellIs" dxfId="1649" priority="935" operator="equal">
      <formula>"Operación"</formula>
    </cfRule>
    <cfRule type="cellIs" dxfId="1648" priority="936" operator="equal">
      <formula>"Inversión"</formula>
    </cfRule>
  </conditionalFormatting>
  <conditionalFormatting sqref="D215">
    <cfRule type="cellIs" dxfId="1647" priority="931" operator="equal">
      <formula>"I/O"</formula>
    </cfRule>
    <cfRule type="cellIs" dxfId="1646" priority="932" operator="equal">
      <formula>"Operación"</formula>
    </cfRule>
    <cfRule type="cellIs" dxfId="1645" priority="933" operator="equal">
      <formula>"Inversión"</formula>
    </cfRule>
  </conditionalFormatting>
  <conditionalFormatting sqref="D227">
    <cfRule type="cellIs" dxfId="1644" priority="928" operator="equal">
      <formula>"I/O"</formula>
    </cfRule>
    <cfRule type="cellIs" dxfId="1643" priority="929" operator="equal">
      <formula>"Operación"</formula>
    </cfRule>
    <cfRule type="cellIs" dxfId="1642" priority="930" operator="equal">
      <formula>"Inversión"</formula>
    </cfRule>
  </conditionalFormatting>
  <conditionalFormatting sqref="D239">
    <cfRule type="cellIs" dxfId="1641" priority="925" operator="equal">
      <formula>"I/O"</formula>
    </cfRule>
    <cfRule type="cellIs" dxfId="1640" priority="926" operator="equal">
      <formula>"Operación"</formula>
    </cfRule>
    <cfRule type="cellIs" dxfId="1639" priority="927" operator="equal">
      <formula>"Inversión"</formula>
    </cfRule>
  </conditionalFormatting>
  <conditionalFormatting sqref="D239">
    <cfRule type="cellIs" dxfId="1638" priority="922" operator="equal">
      <formula>"I/O"</formula>
    </cfRule>
    <cfRule type="cellIs" dxfId="1637" priority="923" operator="equal">
      <formula>"Operación"</formula>
    </cfRule>
    <cfRule type="cellIs" dxfId="1636" priority="924" operator="equal">
      <formula>"Inversión"</formula>
    </cfRule>
  </conditionalFormatting>
  <conditionalFormatting sqref="D251">
    <cfRule type="cellIs" dxfId="1635" priority="919" operator="equal">
      <formula>"I/O"</formula>
    </cfRule>
    <cfRule type="cellIs" dxfId="1634" priority="920" operator="equal">
      <formula>"Operación"</formula>
    </cfRule>
    <cfRule type="cellIs" dxfId="1633" priority="921" operator="equal">
      <formula>"Inversión"</formula>
    </cfRule>
  </conditionalFormatting>
  <conditionalFormatting sqref="D251">
    <cfRule type="cellIs" dxfId="1632" priority="916" operator="equal">
      <formula>"I/O"</formula>
    </cfRule>
    <cfRule type="cellIs" dxfId="1631" priority="917" operator="equal">
      <formula>"Operación"</formula>
    </cfRule>
    <cfRule type="cellIs" dxfId="1630" priority="918" operator="equal">
      <formula>"Inversión"</formula>
    </cfRule>
  </conditionalFormatting>
  <conditionalFormatting sqref="D267">
    <cfRule type="cellIs" dxfId="1629" priority="913" operator="equal">
      <formula>"I/O"</formula>
    </cfRule>
    <cfRule type="cellIs" dxfId="1628" priority="914" operator="equal">
      <formula>"Operación"</formula>
    </cfRule>
    <cfRule type="cellIs" dxfId="1627" priority="915" operator="equal">
      <formula>"Inversión"</formula>
    </cfRule>
  </conditionalFormatting>
  <conditionalFormatting sqref="D215">
    <cfRule type="cellIs" dxfId="1626" priority="910" operator="equal">
      <formula>"I/O"</formula>
    </cfRule>
    <cfRule type="cellIs" dxfId="1625" priority="911" operator="equal">
      <formula>"Operación"</formula>
    </cfRule>
    <cfRule type="cellIs" dxfId="1624" priority="912" operator="equal">
      <formula>"Inversión"</formula>
    </cfRule>
  </conditionalFormatting>
  <conditionalFormatting sqref="D215">
    <cfRule type="cellIs" dxfId="1623" priority="907" operator="equal">
      <formula>"I/O"</formula>
    </cfRule>
    <cfRule type="cellIs" dxfId="1622" priority="908" operator="equal">
      <formula>"Operación"</formula>
    </cfRule>
    <cfRule type="cellIs" dxfId="1621" priority="909" operator="equal">
      <formula>"Inversión"</formula>
    </cfRule>
  </conditionalFormatting>
  <conditionalFormatting sqref="D300">
    <cfRule type="cellIs" dxfId="1620" priority="904" operator="equal">
      <formula>"I/O"</formula>
    </cfRule>
    <cfRule type="cellIs" dxfId="1619" priority="905" operator="equal">
      <formula>"Operación"</formula>
    </cfRule>
    <cfRule type="cellIs" dxfId="1618" priority="906" operator="equal">
      <formula>"Inversión"</formula>
    </cfRule>
  </conditionalFormatting>
  <conditionalFormatting sqref="D300">
    <cfRule type="cellIs" dxfId="1617" priority="901" operator="equal">
      <formula>"I/O"</formula>
    </cfRule>
    <cfRule type="cellIs" dxfId="1616" priority="902" operator="equal">
      <formula>"Operación"</formula>
    </cfRule>
    <cfRule type="cellIs" dxfId="1615" priority="903" operator="equal">
      <formula>"Inversión"</formula>
    </cfRule>
  </conditionalFormatting>
  <conditionalFormatting sqref="D300">
    <cfRule type="cellIs" dxfId="1614" priority="898" operator="equal">
      <formula>"I/O"</formula>
    </cfRule>
    <cfRule type="cellIs" dxfId="1613" priority="899" operator="equal">
      <formula>"Operación"</formula>
    </cfRule>
    <cfRule type="cellIs" dxfId="1612" priority="900" operator="equal">
      <formula>"Inversión"</formula>
    </cfRule>
  </conditionalFormatting>
  <conditionalFormatting sqref="D300">
    <cfRule type="cellIs" dxfId="1611" priority="895" operator="equal">
      <formula>"I/O"</formula>
    </cfRule>
    <cfRule type="cellIs" dxfId="1610" priority="896" operator="equal">
      <formula>"Operación"</formula>
    </cfRule>
    <cfRule type="cellIs" dxfId="1609" priority="897" operator="equal">
      <formula>"Inversión"</formula>
    </cfRule>
  </conditionalFormatting>
  <conditionalFormatting sqref="D300">
    <cfRule type="cellIs" dxfId="1608" priority="892" operator="equal">
      <formula>"I/O"</formula>
    </cfRule>
    <cfRule type="cellIs" dxfId="1607" priority="893" operator="equal">
      <formula>"Operación"</formula>
    </cfRule>
    <cfRule type="cellIs" dxfId="1606" priority="894" operator="equal">
      <formula>"Inversión"</formula>
    </cfRule>
  </conditionalFormatting>
  <conditionalFormatting sqref="D311">
    <cfRule type="cellIs" dxfId="1605" priority="889" operator="equal">
      <formula>"I/O"</formula>
    </cfRule>
    <cfRule type="cellIs" dxfId="1604" priority="890" operator="equal">
      <formula>"Operación"</formula>
    </cfRule>
    <cfRule type="cellIs" dxfId="1603" priority="891" operator="equal">
      <formula>"Inversión"</formula>
    </cfRule>
  </conditionalFormatting>
  <conditionalFormatting sqref="D311">
    <cfRule type="cellIs" dxfId="1602" priority="886" operator="equal">
      <formula>"I/O"</formula>
    </cfRule>
    <cfRule type="cellIs" dxfId="1601" priority="887" operator="equal">
      <formula>"Operación"</formula>
    </cfRule>
    <cfRule type="cellIs" dxfId="1600" priority="888" operator="equal">
      <formula>"Inversión"</formula>
    </cfRule>
  </conditionalFormatting>
  <conditionalFormatting sqref="D322">
    <cfRule type="cellIs" dxfId="1599" priority="883" operator="equal">
      <formula>"I/O"</formula>
    </cfRule>
    <cfRule type="cellIs" dxfId="1598" priority="884" operator="equal">
      <formula>"Operación"</formula>
    </cfRule>
    <cfRule type="cellIs" dxfId="1597" priority="885" operator="equal">
      <formula>"Inversión"</formula>
    </cfRule>
  </conditionalFormatting>
  <conditionalFormatting sqref="D322">
    <cfRule type="cellIs" dxfId="1596" priority="880" operator="equal">
      <formula>"I/O"</formula>
    </cfRule>
    <cfRule type="cellIs" dxfId="1595" priority="881" operator="equal">
      <formula>"Operación"</formula>
    </cfRule>
    <cfRule type="cellIs" dxfId="1594" priority="882" operator="equal">
      <formula>"Inversión"</formula>
    </cfRule>
  </conditionalFormatting>
  <conditionalFormatting sqref="D322">
    <cfRule type="cellIs" dxfId="1593" priority="877" operator="equal">
      <formula>"I/O"</formula>
    </cfRule>
    <cfRule type="cellIs" dxfId="1592" priority="878" operator="equal">
      <formula>"Operación"</formula>
    </cfRule>
    <cfRule type="cellIs" dxfId="1591" priority="879" operator="equal">
      <formula>"Inversión"</formula>
    </cfRule>
  </conditionalFormatting>
  <conditionalFormatting sqref="D333">
    <cfRule type="cellIs" dxfId="1590" priority="874" operator="equal">
      <formula>"I/O"</formula>
    </cfRule>
    <cfRule type="cellIs" dxfId="1589" priority="875" operator="equal">
      <formula>"Operación"</formula>
    </cfRule>
    <cfRule type="cellIs" dxfId="1588" priority="876" operator="equal">
      <formula>"Inversión"</formula>
    </cfRule>
  </conditionalFormatting>
  <conditionalFormatting sqref="D333">
    <cfRule type="cellIs" dxfId="1587" priority="871" operator="equal">
      <formula>"I/O"</formula>
    </cfRule>
    <cfRule type="cellIs" dxfId="1586" priority="872" operator="equal">
      <formula>"Operación"</formula>
    </cfRule>
    <cfRule type="cellIs" dxfId="1585" priority="873" operator="equal">
      <formula>"Inversión"</formula>
    </cfRule>
  </conditionalFormatting>
  <conditionalFormatting sqref="D333">
    <cfRule type="cellIs" dxfId="1584" priority="868" operator="equal">
      <formula>"I/O"</formula>
    </cfRule>
    <cfRule type="cellIs" dxfId="1583" priority="869" operator="equal">
      <formula>"Operación"</formula>
    </cfRule>
    <cfRule type="cellIs" dxfId="1582" priority="870" operator="equal">
      <formula>"Inversión"</formula>
    </cfRule>
  </conditionalFormatting>
  <conditionalFormatting sqref="D333">
    <cfRule type="cellIs" dxfId="1581" priority="865" operator="equal">
      <formula>"I/O"</formula>
    </cfRule>
    <cfRule type="cellIs" dxfId="1580" priority="866" operator="equal">
      <formula>"Operación"</formula>
    </cfRule>
    <cfRule type="cellIs" dxfId="1579" priority="867" operator="equal">
      <formula>"Inversión"</formula>
    </cfRule>
  </conditionalFormatting>
  <conditionalFormatting sqref="D349">
    <cfRule type="cellIs" dxfId="1578" priority="862" operator="equal">
      <formula>"I/O"</formula>
    </cfRule>
    <cfRule type="cellIs" dxfId="1577" priority="863" operator="equal">
      <formula>"Operación"</formula>
    </cfRule>
    <cfRule type="cellIs" dxfId="1576" priority="864" operator="equal">
      <formula>"Inversión"</formula>
    </cfRule>
  </conditionalFormatting>
  <conditionalFormatting sqref="D349">
    <cfRule type="cellIs" dxfId="1575" priority="859" operator="equal">
      <formula>"I/O"</formula>
    </cfRule>
    <cfRule type="cellIs" dxfId="1574" priority="860" operator="equal">
      <formula>"Operación"</formula>
    </cfRule>
    <cfRule type="cellIs" dxfId="1573" priority="861" operator="equal">
      <formula>"Inversión"</formula>
    </cfRule>
  </conditionalFormatting>
  <conditionalFormatting sqref="D286">
    <cfRule type="cellIs" dxfId="1572" priority="856" operator="equal">
      <formula>"I/O"</formula>
    </cfRule>
    <cfRule type="cellIs" dxfId="1571" priority="857" operator="equal">
      <formula>"Operación"</formula>
    </cfRule>
    <cfRule type="cellIs" dxfId="1570" priority="858" operator="equal">
      <formula>"Inversión"</formula>
    </cfRule>
  </conditionalFormatting>
  <conditionalFormatting sqref="D286">
    <cfRule type="cellIs" dxfId="1569" priority="853" operator="equal">
      <formula>"I/O"</formula>
    </cfRule>
    <cfRule type="cellIs" dxfId="1568" priority="854" operator="equal">
      <formula>"Operación"</formula>
    </cfRule>
    <cfRule type="cellIs" dxfId="1567" priority="855" operator="equal">
      <formula>"Inversión"</formula>
    </cfRule>
  </conditionalFormatting>
  <conditionalFormatting sqref="D300">
    <cfRule type="cellIs" dxfId="1566" priority="850" operator="equal">
      <formula>"I/O"</formula>
    </cfRule>
    <cfRule type="cellIs" dxfId="1565" priority="851" operator="equal">
      <formula>"Operación"</formula>
    </cfRule>
    <cfRule type="cellIs" dxfId="1564" priority="852" operator="equal">
      <formula>"Inversión"</formula>
    </cfRule>
  </conditionalFormatting>
  <conditionalFormatting sqref="D300">
    <cfRule type="cellIs" dxfId="1563" priority="847" operator="equal">
      <formula>"I/O"</formula>
    </cfRule>
    <cfRule type="cellIs" dxfId="1562" priority="848" operator="equal">
      <formula>"Operación"</formula>
    </cfRule>
    <cfRule type="cellIs" dxfId="1561" priority="849" operator="equal">
      <formula>"Inversión"</formula>
    </cfRule>
  </conditionalFormatting>
  <conditionalFormatting sqref="D300">
    <cfRule type="cellIs" dxfId="1560" priority="844" operator="equal">
      <formula>"I/O"</formula>
    </cfRule>
    <cfRule type="cellIs" dxfId="1559" priority="845" operator="equal">
      <formula>"Operación"</formula>
    </cfRule>
    <cfRule type="cellIs" dxfId="1558" priority="846" operator="equal">
      <formula>"Inversión"</formula>
    </cfRule>
  </conditionalFormatting>
  <conditionalFormatting sqref="D300">
    <cfRule type="cellIs" dxfId="1557" priority="841" operator="equal">
      <formula>"I/O"</formula>
    </cfRule>
    <cfRule type="cellIs" dxfId="1556" priority="842" operator="equal">
      <formula>"Operación"</formula>
    </cfRule>
    <cfRule type="cellIs" dxfId="1555" priority="843" operator="equal">
      <formula>"Inversión"</formula>
    </cfRule>
  </conditionalFormatting>
  <conditionalFormatting sqref="D300">
    <cfRule type="cellIs" dxfId="1554" priority="838" operator="equal">
      <formula>"I/O"</formula>
    </cfRule>
    <cfRule type="cellIs" dxfId="1553" priority="839" operator="equal">
      <formula>"Operación"</formula>
    </cfRule>
    <cfRule type="cellIs" dxfId="1552" priority="840" operator="equal">
      <formula>"Inversión"</formula>
    </cfRule>
  </conditionalFormatting>
  <conditionalFormatting sqref="D300">
    <cfRule type="cellIs" dxfId="1551" priority="835" operator="equal">
      <formula>"I/O"</formula>
    </cfRule>
    <cfRule type="cellIs" dxfId="1550" priority="836" operator="equal">
      <formula>"Operación"</formula>
    </cfRule>
    <cfRule type="cellIs" dxfId="1549" priority="837" operator="equal">
      <formula>"Inversión"</formula>
    </cfRule>
  </conditionalFormatting>
  <conditionalFormatting sqref="D300">
    <cfRule type="cellIs" dxfId="1548" priority="832" operator="equal">
      <formula>"I/O"</formula>
    </cfRule>
    <cfRule type="cellIs" dxfId="1547" priority="833" operator="equal">
      <formula>"Operación"</formula>
    </cfRule>
    <cfRule type="cellIs" dxfId="1546" priority="834" operator="equal">
      <formula>"Inversión"</formula>
    </cfRule>
  </conditionalFormatting>
  <conditionalFormatting sqref="D311">
    <cfRule type="cellIs" dxfId="1545" priority="829" operator="equal">
      <formula>"I/O"</formula>
    </cfRule>
    <cfRule type="cellIs" dxfId="1544" priority="830" operator="equal">
      <formula>"Operación"</formula>
    </cfRule>
    <cfRule type="cellIs" dxfId="1543" priority="831" operator="equal">
      <formula>"Inversión"</formula>
    </cfRule>
  </conditionalFormatting>
  <conditionalFormatting sqref="D311">
    <cfRule type="cellIs" dxfId="1542" priority="826" operator="equal">
      <formula>"I/O"</formula>
    </cfRule>
    <cfRule type="cellIs" dxfId="1541" priority="827" operator="equal">
      <formula>"Operación"</formula>
    </cfRule>
    <cfRule type="cellIs" dxfId="1540" priority="828" operator="equal">
      <formula>"Inversión"</formula>
    </cfRule>
  </conditionalFormatting>
  <conditionalFormatting sqref="D311">
    <cfRule type="cellIs" dxfId="1539" priority="823" operator="equal">
      <formula>"I/O"</formula>
    </cfRule>
    <cfRule type="cellIs" dxfId="1538" priority="824" operator="equal">
      <formula>"Operación"</formula>
    </cfRule>
    <cfRule type="cellIs" dxfId="1537" priority="825" operator="equal">
      <formula>"Inversión"</formula>
    </cfRule>
  </conditionalFormatting>
  <conditionalFormatting sqref="D311">
    <cfRule type="cellIs" dxfId="1536" priority="820" operator="equal">
      <formula>"I/O"</formula>
    </cfRule>
    <cfRule type="cellIs" dxfId="1535" priority="821" operator="equal">
      <formula>"Operación"</formula>
    </cfRule>
    <cfRule type="cellIs" dxfId="1534" priority="822" operator="equal">
      <formula>"Inversión"</formula>
    </cfRule>
  </conditionalFormatting>
  <conditionalFormatting sqref="D311">
    <cfRule type="cellIs" dxfId="1533" priority="817" operator="equal">
      <formula>"I/O"</formula>
    </cfRule>
    <cfRule type="cellIs" dxfId="1532" priority="818" operator="equal">
      <formula>"Operación"</formula>
    </cfRule>
    <cfRule type="cellIs" dxfId="1531" priority="819" operator="equal">
      <formula>"Inversión"</formula>
    </cfRule>
  </conditionalFormatting>
  <conditionalFormatting sqref="D311">
    <cfRule type="cellIs" dxfId="1530" priority="814" operator="equal">
      <formula>"I/O"</formula>
    </cfRule>
    <cfRule type="cellIs" dxfId="1529" priority="815" operator="equal">
      <formula>"Operación"</formula>
    </cfRule>
    <cfRule type="cellIs" dxfId="1528" priority="816" operator="equal">
      <formula>"Inversión"</formula>
    </cfRule>
  </conditionalFormatting>
  <conditionalFormatting sqref="D311">
    <cfRule type="cellIs" dxfId="1527" priority="811" operator="equal">
      <formula>"I/O"</formula>
    </cfRule>
    <cfRule type="cellIs" dxfId="1526" priority="812" operator="equal">
      <formula>"Operación"</formula>
    </cfRule>
    <cfRule type="cellIs" dxfId="1525" priority="813" operator="equal">
      <formula>"Inversión"</formula>
    </cfRule>
  </conditionalFormatting>
  <conditionalFormatting sqref="D311">
    <cfRule type="cellIs" dxfId="1524" priority="808" operator="equal">
      <formula>"I/O"</formula>
    </cfRule>
    <cfRule type="cellIs" dxfId="1523" priority="809" operator="equal">
      <formula>"Operación"</formula>
    </cfRule>
    <cfRule type="cellIs" dxfId="1522" priority="810" operator="equal">
      <formula>"Inversión"</formula>
    </cfRule>
  </conditionalFormatting>
  <conditionalFormatting sqref="D311">
    <cfRule type="cellIs" dxfId="1521" priority="805" operator="equal">
      <formula>"I/O"</formula>
    </cfRule>
    <cfRule type="cellIs" dxfId="1520" priority="806" operator="equal">
      <formula>"Operación"</formula>
    </cfRule>
    <cfRule type="cellIs" dxfId="1519" priority="807" operator="equal">
      <formula>"Inversión"</formula>
    </cfRule>
  </conditionalFormatting>
  <conditionalFormatting sqref="D311">
    <cfRule type="cellIs" dxfId="1518" priority="802" operator="equal">
      <formula>"I/O"</formula>
    </cfRule>
    <cfRule type="cellIs" dxfId="1517" priority="803" operator="equal">
      <formula>"Operación"</formula>
    </cfRule>
    <cfRule type="cellIs" dxfId="1516" priority="804" operator="equal">
      <formula>"Inversión"</formula>
    </cfRule>
  </conditionalFormatting>
  <conditionalFormatting sqref="D311">
    <cfRule type="cellIs" dxfId="1515" priority="799" operator="equal">
      <formula>"I/O"</formula>
    </cfRule>
    <cfRule type="cellIs" dxfId="1514" priority="800" operator="equal">
      <formula>"Operación"</formula>
    </cfRule>
    <cfRule type="cellIs" dxfId="1513" priority="801" operator="equal">
      <formula>"Inversión"</formula>
    </cfRule>
  </conditionalFormatting>
  <conditionalFormatting sqref="D311">
    <cfRule type="cellIs" dxfId="1512" priority="796" operator="equal">
      <formula>"I/O"</formula>
    </cfRule>
    <cfRule type="cellIs" dxfId="1511" priority="797" operator="equal">
      <formula>"Operación"</formula>
    </cfRule>
    <cfRule type="cellIs" dxfId="1510" priority="798" operator="equal">
      <formula>"Inversión"</formula>
    </cfRule>
  </conditionalFormatting>
  <conditionalFormatting sqref="D311">
    <cfRule type="cellIs" dxfId="1509" priority="793" operator="equal">
      <formula>"I/O"</formula>
    </cfRule>
    <cfRule type="cellIs" dxfId="1508" priority="794" operator="equal">
      <formula>"Operación"</formula>
    </cfRule>
    <cfRule type="cellIs" dxfId="1507" priority="795" operator="equal">
      <formula>"Inversión"</formula>
    </cfRule>
  </conditionalFormatting>
  <conditionalFormatting sqref="D322">
    <cfRule type="cellIs" dxfId="1506" priority="790" operator="equal">
      <formula>"I/O"</formula>
    </cfRule>
    <cfRule type="cellIs" dxfId="1505" priority="791" operator="equal">
      <formula>"Operación"</formula>
    </cfRule>
    <cfRule type="cellIs" dxfId="1504" priority="792" operator="equal">
      <formula>"Inversión"</formula>
    </cfRule>
  </conditionalFormatting>
  <conditionalFormatting sqref="D322">
    <cfRule type="cellIs" dxfId="1503" priority="787" operator="equal">
      <formula>"I/O"</formula>
    </cfRule>
    <cfRule type="cellIs" dxfId="1502" priority="788" operator="equal">
      <formula>"Operación"</formula>
    </cfRule>
    <cfRule type="cellIs" dxfId="1501" priority="789" operator="equal">
      <formula>"Inversión"</formula>
    </cfRule>
  </conditionalFormatting>
  <conditionalFormatting sqref="D322">
    <cfRule type="cellIs" dxfId="1500" priority="784" operator="equal">
      <formula>"I/O"</formula>
    </cfRule>
    <cfRule type="cellIs" dxfId="1499" priority="785" operator="equal">
      <formula>"Operación"</formula>
    </cfRule>
    <cfRule type="cellIs" dxfId="1498" priority="786" operator="equal">
      <formula>"Inversión"</formula>
    </cfRule>
  </conditionalFormatting>
  <conditionalFormatting sqref="D322">
    <cfRule type="cellIs" dxfId="1497" priority="781" operator="equal">
      <formula>"I/O"</formula>
    </cfRule>
    <cfRule type="cellIs" dxfId="1496" priority="782" operator="equal">
      <formula>"Operación"</formula>
    </cfRule>
    <cfRule type="cellIs" dxfId="1495" priority="783" operator="equal">
      <formula>"Inversión"</formula>
    </cfRule>
  </conditionalFormatting>
  <conditionalFormatting sqref="D322">
    <cfRule type="cellIs" dxfId="1494" priority="778" operator="equal">
      <formula>"I/O"</formula>
    </cfRule>
    <cfRule type="cellIs" dxfId="1493" priority="779" operator="equal">
      <formula>"Operación"</formula>
    </cfRule>
    <cfRule type="cellIs" dxfId="1492" priority="780" operator="equal">
      <formula>"Inversión"</formula>
    </cfRule>
  </conditionalFormatting>
  <conditionalFormatting sqref="D322">
    <cfRule type="cellIs" dxfId="1491" priority="775" operator="equal">
      <formula>"I/O"</formula>
    </cfRule>
    <cfRule type="cellIs" dxfId="1490" priority="776" operator="equal">
      <formula>"Operación"</formula>
    </cfRule>
    <cfRule type="cellIs" dxfId="1489" priority="777" operator="equal">
      <formula>"Inversión"</formula>
    </cfRule>
  </conditionalFormatting>
  <conditionalFormatting sqref="D322">
    <cfRule type="cellIs" dxfId="1488" priority="772" operator="equal">
      <formula>"I/O"</formula>
    </cfRule>
    <cfRule type="cellIs" dxfId="1487" priority="773" operator="equal">
      <formula>"Operación"</formula>
    </cfRule>
    <cfRule type="cellIs" dxfId="1486" priority="774" operator="equal">
      <formula>"Inversión"</formula>
    </cfRule>
  </conditionalFormatting>
  <conditionalFormatting sqref="D322">
    <cfRule type="cellIs" dxfId="1485" priority="769" operator="equal">
      <formula>"I/O"</formula>
    </cfRule>
    <cfRule type="cellIs" dxfId="1484" priority="770" operator="equal">
      <formula>"Operación"</formula>
    </cfRule>
    <cfRule type="cellIs" dxfId="1483" priority="771" operator="equal">
      <formula>"Inversión"</formula>
    </cfRule>
  </conditionalFormatting>
  <conditionalFormatting sqref="D322">
    <cfRule type="cellIs" dxfId="1482" priority="766" operator="equal">
      <formula>"I/O"</formula>
    </cfRule>
    <cfRule type="cellIs" dxfId="1481" priority="767" operator="equal">
      <formula>"Operación"</formula>
    </cfRule>
    <cfRule type="cellIs" dxfId="1480" priority="768" operator="equal">
      <formula>"Inversión"</formula>
    </cfRule>
  </conditionalFormatting>
  <conditionalFormatting sqref="D322">
    <cfRule type="cellIs" dxfId="1479" priority="763" operator="equal">
      <formula>"I/O"</formula>
    </cfRule>
    <cfRule type="cellIs" dxfId="1478" priority="764" operator="equal">
      <formula>"Operación"</formula>
    </cfRule>
    <cfRule type="cellIs" dxfId="1477" priority="765" operator="equal">
      <formula>"Inversión"</formula>
    </cfRule>
  </conditionalFormatting>
  <conditionalFormatting sqref="D322">
    <cfRule type="cellIs" dxfId="1476" priority="760" operator="equal">
      <formula>"I/O"</formula>
    </cfRule>
    <cfRule type="cellIs" dxfId="1475" priority="761" operator="equal">
      <formula>"Operación"</formula>
    </cfRule>
    <cfRule type="cellIs" dxfId="1474" priority="762" operator="equal">
      <formula>"Inversión"</formula>
    </cfRule>
  </conditionalFormatting>
  <conditionalFormatting sqref="D322">
    <cfRule type="cellIs" dxfId="1473" priority="757" operator="equal">
      <formula>"I/O"</formula>
    </cfRule>
    <cfRule type="cellIs" dxfId="1472" priority="758" operator="equal">
      <formula>"Operación"</formula>
    </cfRule>
    <cfRule type="cellIs" dxfId="1471" priority="759" operator="equal">
      <formula>"Inversión"</formula>
    </cfRule>
  </conditionalFormatting>
  <conditionalFormatting sqref="D322">
    <cfRule type="cellIs" dxfId="1470" priority="754" operator="equal">
      <formula>"I/O"</formula>
    </cfRule>
    <cfRule type="cellIs" dxfId="1469" priority="755" operator="equal">
      <formula>"Operación"</formula>
    </cfRule>
    <cfRule type="cellIs" dxfId="1468" priority="756" operator="equal">
      <formula>"Inversión"</formula>
    </cfRule>
  </conditionalFormatting>
  <conditionalFormatting sqref="D369">
    <cfRule type="cellIs" dxfId="1467" priority="751" operator="equal">
      <formula>"I/O"</formula>
    </cfRule>
    <cfRule type="cellIs" dxfId="1466" priority="752" operator="equal">
      <formula>"Operación"</formula>
    </cfRule>
    <cfRule type="cellIs" dxfId="1465" priority="753" operator="equal">
      <formula>"Inversión"</formula>
    </cfRule>
  </conditionalFormatting>
  <conditionalFormatting sqref="D387">
    <cfRule type="cellIs" dxfId="1464" priority="748" operator="equal">
      <formula>"I/O"</formula>
    </cfRule>
    <cfRule type="cellIs" dxfId="1463" priority="749" operator="equal">
      <formula>"Operación"</formula>
    </cfRule>
    <cfRule type="cellIs" dxfId="1462" priority="750" operator="equal">
      <formula>"Inversión"</formula>
    </cfRule>
  </conditionalFormatting>
  <conditionalFormatting sqref="D404">
    <cfRule type="cellIs" dxfId="1461" priority="745" operator="equal">
      <formula>"I/O"</formula>
    </cfRule>
    <cfRule type="cellIs" dxfId="1460" priority="746" operator="equal">
      <formula>"Operación"</formula>
    </cfRule>
    <cfRule type="cellIs" dxfId="1459" priority="747" operator="equal">
      <formula>"Inversión"</formula>
    </cfRule>
  </conditionalFormatting>
  <conditionalFormatting sqref="D404">
    <cfRule type="cellIs" dxfId="1458" priority="742" operator="equal">
      <formula>"I/O"</formula>
    </cfRule>
    <cfRule type="cellIs" dxfId="1457" priority="743" operator="equal">
      <formula>"Operación"</formula>
    </cfRule>
    <cfRule type="cellIs" dxfId="1456" priority="744" operator="equal">
      <formula>"Inversión"</formula>
    </cfRule>
  </conditionalFormatting>
  <conditionalFormatting sqref="D415">
    <cfRule type="cellIs" dxfId="1455" priority="739" operator="equal">
      <formula>"I/O"</formula>
    </cfRule>
    <cfRule type="cellIs" dxfId="1454" priority="740" operator="equal">
      <formula>"Operación"</formula>
    </cfRule>
    <cfRule type="cellIs" dxfId="1453" priority="741" operator="equal">
      <formula>"Inversión"</formula>
    </cfRule>
  </conditionalFormatting>
  <conditionalFormatting sqref="D426">
    <cfRule type="cellIs" dxfId="1452" priority="736" operator="equal">
      <formula>"I/O"</formula>
    </cfRule>
    <cfRule type="cellIs" dxfId="1451" priority="737" operator="equal">
      <formula>"Operación"</formula>
    </cfRule>
    <cfRule type="cellIs" dxfId="1450" priority="738" operator="equal">
      <formula>"Inversión"</formula>
    </cfRule>
  </conditionalFormatting>
  <conditionalFormatting sqref="D426">
    <cfRule type="cellIs" dxfId="1449" priority="733" operator="equal">
      <formula>"I/O"</formula>
    </cfRule>
    <cfRule type="cellIs" dxfId="1448" priority="734" operator="equal">
      <formula>"Operación"</formula>
    </cfRule>
    <cfRule type="cellIs" dxfId="1447" priority="735" operator="equal">
      <formula>"Inversión"</formula>
    </cfRule>
  </conditionalFormatting>
  <conditionalFormatting sqref="D437">
    <cfRule type="cellIs" dxfId="1446" priority="730" operator="equal">
      <formula>"I/O"</formula>
    </cfRule>
    <cfRule type="cellIs" dxfId="1445" priority="731" operator="equal">
      <formula>"Operación"</formula>
    </cfRule>
    <cfRule type="cellIs" dxfId="1444" priority="732" operator="equal">
      <formula>"Inversión"</formula>
    </cfRule>
  </conditionalFormatting>
  <conditionalFormatting sqref="D437">
    <cfRule type="cellIs" dxfId="1443" priority="727" operator="equal">
      <formula>"I/O"</formula>
    </cfRule>
    <cfRule type="cellIs" dxfId="1442" priority="728" operator="equal">
      <formula>"Operación"</formula>
    </cfRule>
    <cfRule type="cellIs" dxfId="1441" priority="729" operator="equal">
      <formula>"Inversión"</formula>
    </cfRule>
  </conditionalFormatting>
  <conditionalFormatting sqref="D437">
    <cfRule type="cellIs" dxfId="1440" priority="724" operator="equal">
      <formula>"I/O"</formula>
    </cfRule>
    <cfRule type="cellIs" dxfId="1439" priority="725" operator="equal">
      <formula>"Operación"</formula>
    </cfRule>
    <cfRule type="cellIs" dxfId="1438" priority="726" operator="equal">
      <formula>"Inversión"</formula>
    </cfRule>
  </conditionalFormatting>
  <conditionalFormatting sqref="D467">
    <cfRule type="cellIs" dxfId="1437" priority="721" operator="equal">
      <formula>"I/O"</formula>
    </cfRule>
    <cfRule type="cellIs" dxfId="1436" priority="722" operator="equal">
      <formula>"Operación"</formula>
    </cfRule>
    <cfRule type="cellIs" dxfId="1435" priority="723" operator="equal">
      <formula>"Inversión"</formula>
    </cfRule>
  </conditionalFormatting>
  <conditionalFormatting sqref="D483">
    <cfRule type="cellIs" dxfId="1434" priority="717" operator="equal">
      <formula>"I/O"</formula>
    </cfRule>
    <cfRule type="cellIs" dxfId="1433" priority="718" operator="equal">
      <formula>"Operación"</formula>
    </cfRule>
    <cfRule type="cellIs" dxfId="1432" priority="719" operator="equal">
      <formula>"Inversión"</formula>
    </cfRule>
  </conditionalFormatting>
  <conditionalFormatting sqref="D503">
    <cfRule type="cellIs" dxfId="1431" priority="714" operator="equal">
      <formula>"I/O"</formula>
    </cfRule>
    <cfRule type="cellIs" dxfId="1430" priority="715" operator="equal">
      <formula>"Operación"</formula>
    </cfRule>
    <cfRule type="cellIs" dxfId="1429" priority="716" operator="equal">
      <formula>"Inversión"</formula>
    </cfRule>
  </conditionalFormatting>
  <conditionalFormatting sqref="D503">
    <cfRule type="cellIs" dxfId="1428" priority="711" operator="equal">
      <formula>"I/O"</formula>
    </cfRule>
    <cfRule type="cellIs" dxfId="1427" priority="712" operator="equal">
      <formula>"Operación"</formula>
    </cfRule>
    <cfRule type="cellIs" dxfId="1426" priority="713" operator="equal">
      <formula>"Inversión"</formula>
    </cfRule>
  </conditionalFormatting>
  <conditionalFormatting sqref="D517">
    <cfRule type="cellIs" dxfId="1425" priority="708" operator="equal">
      <formula>"I/O"</formula>
    </cfRule>
    <cfRule type="cellIs" dxfId="1424" priority="709" operator="equal">
      <formula>"Operación"</formula>
    </cfRule>
    <cfRule type="cellIs" dxfId="1423" priority="710" operator="equal">
      <formula>"Inversión"</formula>
    </cfRule>
  </conditionalFormatting>
  <conditionalFormatting sqref="D517">
    <cfRule type="cellIs" dxfId="1422" priority="705" operator="equal">
      <formula>"I/O"</formula>
    </cfRule>
    <cfRule type="cellIs" dxfId="1421" priority="706" operator="equal">
      <formula>"Operación"</formula>
    </cfRule>
    <cfRule type="cellIs" dxfId="1420" priority="707" operator="equal">
      <formula>"Inversión"</formula>
    </cfRule>
  </conditionalFormatting>
  <conditionalFormatting sqref="D517">
    <cfRule type="cellIs" dxfId="1419" priority="702" operator="equal">
      <formula>"I/O"</formula>
    </cfRule>
    <cfRule type="cellIs" dxfId="1418" priority="703" operator="equal">
      <formula>"Operación"</formula>
    </cfRule>
    <cfRule type="cellIs" dxfId="1417" priority="704" operator="equal">
      <formula>"Inversión"</formula>
    </cfRule>
  </conditionalFormatting>
  <conditionalFormatting sqref="D535">
    <cfRule type="cellIs" dxfId="1416" priority="699" operator="equal">
      <formula>"I/O"</formula>
    </cfRule>
    <cfRule type="cellIs" dxfId="1415" priority="700" operator="equal">
      <formula>"Operación"</formula>
    </cfRule>
    <cfRule type="cellIs" dxfId="1414" priority="701" operator="equal">
      <formula>"Inversión"</formula>
    </cfRule>
  </conditionalFormatting>
  <conditionalFormatting sqref="D535">
    <cfRule type="cellIs" dxfId="1413" priority="696" operator="equal">
      <formula>"I/O"</formula>
    </cfRule>
    <cfRule type="cellIs" dxfId="1412" priority="697" operator="equal">
      <formula>"Operación"</formula>
    </cfRule>
    <cfRule type="cellIs" dxfId="1411" priority="698" operator="equal">
      <formula>"Inversión"</formula>
    </cfRule>
  </conditionalFormatting>
  <conditionalFormatting sqref="D535">
    <cfRule type="cellIs" dxfId="1410" priority="693" operator="equal">
      <formula>"I/O"</formula>
    </cfRule>
    <cfRule type="cellIs" dxfId="1409" priority="694" operator="equal">
      <formula>"Operación"</formula>
    </cfRule>
    <cfRule type="cellIs" dxfId="1408" priority="695" operator="equal">
      <formula>"Inversión"</formula>
    </cfRule>
  </conditionalFormatting>
  <conditionalFormatting sqref="D535">
    <cfRule type="cellIs" dxfId="1407" priority="690" operator="equal">
      <formula>"I/O"</formula>
    </cfRule>
    <cfRule type="cellIs" dxfId="1406" priority="691" operator="equal">
      <formula>"Operación"</formula>
    </cfRule>
    <cfRule type="cellIs" dxfId="1405" priority="692" operator="equal">
      <formula>"Inversión"</formula>
    </cfRule>
  </conditionalFormatting>
  <conditionalFormatting sqref="D535">
    <cfRule type="cellIs" dxfId="1404" priority="687" operator="equal">
      <formula>"I/O"</formula>
    </cfRule>
    <cfRule type="cellIs" dxfId="1403" priority="688" operator="equal">
      <formula>"Operación"</formula>
    </cfRule>
    <cfRule type="cellIs" dxfId="1402" priority="689" operator="equal">
      <formula>"Inversión"</formula>
    </cfRule>
  </conditionalFormatting>
  <conditionalFormatting sqref="D535">
    <cfRule type="cellIs" dxfId="1401" priority="684" operator="equal">
      <formula>"I/O"</formula>
    </cfRule>
    <cfRule type="cellIs" dxfId="1400" priority="685" operator="equal">
      <formula>"Operación"</formula>
    </cfRule>
    <cfRule type="cellIs" dxfId="1399" priority="686" operator="equal">
      <formula>"Inversión"</formula>
    </cfRule>
  </conditionalFormatting>
  <conditionalFormatting sqref="D570">
    <cfRule type="cellIs" dxfId="1398" priority="660" operator="equal">
      <formula>"I/O"</formula>
    </cfRule>
    <cfRule type="cellIs" dxfId="1397" priority="661" operator="equal">
      <formula>"Operación"</formula>
    </cfRule>
    <cfRule type="cellIs" dxfId="1396" priority="662" operator="equal">
      <formula>"Inversión"</formula>
    </cfRule>
  </conditionalFormatting>
  <conditionalFormatting sqref="D570">
    <cfRule type="cellIs" dxfId="1395" priority="657" operator="equal">
      <formula>"I/O"</formula>
    </cfRule>
    <cfRule type="cellIs" dxfId="1394" priority="658" operator="equal">
      <formula>"Operación"</formula>
    </cfRule>
    <cfRule type="cellIs" dxfId="1393" priority="659" operator="equal">
      <formula>"Inversión"</formula>
    </cfRule>
  </conditionalFormatting>
  <conditionalFormatting sqref="D570">
    <cfRule type="cellIs" dxfId="1392" priority="654" operator="equal">
      <formula>"I/O"</formula>
    </cfRule>
    <cfRule type="cellIs" dxfId="1391" priority="655" operator="equal">
      <formula>"Operación"</formula>
    </cfRule>
    <cfRule type="cellIs" dxfId="1390" priority="656" operator="equal">
      <formula>"Inversión"</formula>
    </cfRule>
  </conditionalFormatting>
  <conditionalFormatting sqref="D570">
    <cfRule type="cellIs" dxfId="1389" priority="651" operator="equal">
      <formula>"I/O"</formula>
    </cfRule>
    <cfRule type="cellIs" dxfId="1388" priority="652" operator="equal">
      <formula>"Operación"</formula>
    </cfRule>
    <cfRule type="cellIs" dxfId="1387" priority="653" operator="equal">
      <formula>"Inversión"</formula>
    </cfRule>
  </conditionalFormatting>
  <conditionalFormatting sqref="D570">
    <cfRule type="cellIs" dxfId="1386" priority="648" operator="equal">
      <formula>"I/O"</formula>
    </cfRule>
    <cfRule type="cellIs" dxfId="1385" priority="649" operator="equal">
      <formula>"Operación"</formula>
    </cfRule>
    <cfRule type="cellIs" dxfId="1384" priority="650" operator="equal">
      <formula>"Inversión"</formula>
    </cfRule>
  </conditionalFormatting>
  <conditionalFormatting sqref="D570">
    <cfRule type="cellIs" dxfId="1383" priority="645" operator="equal">
      <formula>"I/O"</formula>
    </cfRule>
    <cfRule type="cellIs" dxfId="1382" priority="646" operator="equal">
      <formula>"Operación"</formula>
    </cfRule>
    <cfRule type="cellIs" dxfId="1381" priority="647" operator="equal">
      <formula>"Inversión"</formula>
    </cfRule>
  </conditionalFormatting>
  <conditionalFormatting sqref="D570">
    <cfRule type="cellIs" dxfId="1380" priority="642" operator="equal">
      <formula>"I/O"</formula>
    </cfRule>
    <cfRule type="cellIs" dxfId="1379" priority="643" operator="equal">
      <formula>"Operación"</formula>
    </cfRule>
    <cfRule type="cellIs" dxfId="1378" priority="644" operator="equal">
      <formula>"Inversión"</formula>
    </cfRule>
  </conditionalFormatting>
  <conditionalFormatting sqref="D570">
    <cfRule type="cellIs" dxfId="1377" priority="639" operator="equal">
      <formula>"I/O"</formula>
    </cfRule>
    <cfRule type="cellIs" dxfId="1376" priority="640" operator="equal">
      <formula>"Operación"</formula>
    </cfRule>
    <cfRule type="cellIs" dxfId="1375" priority="641" operator="equal">
      <formula>"Inversión"</formula>
    </cfRule>
  </conditionalFormatting>
  <conditionalFormatting sqref="D581">
    <cfRule type="cellIs" dxfId="1374" priority="636" operator="equal">
      <formula>"I/O"</formula>
    </cfRule>
    <cfRule type="cellIs" dxfId="1373" priority="637" operator="equal">
      <formula>"Operación"</formula>
    </cfRule>
    <cfRule type="cellIs" dxfId="1372" priority="638" operator="equal">
      <formula>"Inversión"</formula>
    </cfRule>
  </conditionalFormatting>
  <conditionalFormatting sqref="D581">
    <cfRule type="cellIs" dxfId="1371" priority="633" operator="equal">
      <formula>"I/O"</formula>
    </cfRule>
    <cfRule type="cellIs" dxfId="1370" priority="634" operator="equal">
      <formula>"Operación"</formula>
    </cfRule>
    <cfRule type="cellIs" dxfId="1369" priority="635" operator="equal">
      <formula>"Inversión"</formula>
    </cfRule>
  </conditionalFormatting>
  <conditionalFormatting sqref="D581">
    <cfRule type="cellIs" dxfId="1368" priority="630" operator="equal">
      <formula>"I/O"</formula>
    </cfRule>
    <cfRule type="cellIs" dxfId="1367" priority="631" operator="equal">
      <formula>"Operación"</formula>
    </cfRule>
    <cfRule type="cellIs" dxfId="1366" priority="632" operator="equal">
      <formula>"Inversión"</formula>
    </cfRule>
  </conditionalFormatting>
  <conditionalFormatting sqref="D581">
    <cfRule type="cellIs" dxfId="1365" priority="627" operator="equal">
      <formula>"I/O"</formula>
    </cfRule>
    <cfRule type="cellIs" dxfId="1364" priority="628" operator="equal">
      <formula>"Operación"</formula>
    </cfRule>
    <cfRule type="cellIs" dxfId="1363" priority="629" operator="equal">
      <formula>"Inversión"</formula>
    </cfRule>
  </conditionalFormatting>
  <conditionalFormatting sqref="D581">
    <cfRule type="cellIs" dxfId="1362" priority="624" operator="equal">
      <formula>"I/O"</formula>
    </cfRule>
    <cfRule type="cellIs" dxfId="1361" priority="625" operator="equal">
      <formula>"Operación"</formula>
    </cfRule>
    <cfRule type="cellIs" dxfId="1360" priority="626" operator="equal">
      <formula>"Inversión"</formula>
    </cfRule>
  </conditionalFormatting>
  <conditionalFormatting sqref="D581">
    <cfRule type="cellIs" dxfId="1359" priority="621" operator="equal">
      <formula>"I/O"</formula>
    </cfRule>
    <cfRule type="cellIs" dxfId="1358" priority="622" operator="equal">
      <formula>"Operación"</formula>
    </cfRule>
    <cfRule type="cellIs" dxfId="1357" priority="623" operator="equal">
      <formula>"Inversión"</formula>
    </cfRule>
  </conditionalFormatting>
  <conditionalFormatting sqref="D581">
    <cfRule type="cellIs" dxfId="1356" priority="618" operator="equal">
      <formula>"I/O"</formula>
    </cfRule>
    <cfRule type="cellIs" dxfId="1355" priority="619" operator="equal">
      <formula>"Operación"</formula>
    </cfRule>
    <cfRule type="cellIs" dxfId="1354" priority="620" operator="equal">
      <formula>"Inversión"</formula>
    </cfRule>
  </conditionalFormatting>
  <conditionalFormatting sqref="D581">
    <cfRule type="cellIs" dxfId="1353" priority="615" operator="equal">
      <formula>"I/O"</formula>
    </cfRule>
    <cfRule type="cellIs" dxfId="1352" priority="616" operator="equal">
      <formula>"Operación"</formula>
    </cfRule>
    <cfRule type="cellIs" dxfId="1351" priority="617" operator="equal">
      <formula>"Inversión"</formula>
    </cfRule>
  </conditionalFormatting>
  <conditionalFormatting sqref="D581">
    <cfRule type="cellIs" dxfId="1350" priority="612" operator="equal">
      <formula>"I/O"</formula>
    </cfRule>
    <cfRule type="cellIs" dxfId="1349" priority="613" operator="equal">
      <formula>"Operación"</formula>
    </cfRule>
    <cfRule type="cellIs" dxfId="1348" priority="614" operator="equal">
      <formula>"Inversión"</formula>
    </cfRule>
  </conditionalFormatting>
  <conditionalFormatting sqref="D581">
    <cfRule type="cellIs" dxfId="1347" priority="609" operator="equal">
      <formula>"I/O"</formula>
    </cfRule>
    <cfRule type="cellIs" dxfId="1346" priority="610" operator="equal">
      <formula>"Operación"</formula>
    </cfRule>
    <cfRule type="cellIs" dxfId="1345" priority="611" operator="equal">
      <formula>"Inversión"</formula>
    </cfRule>
  </conditionalFormatting>
  <conditionalFormatting sqref="D581">
    <cfRule type="cellIs" dxfId="1344" priority="606" operator="equal">
      <formula>"I/O"</formula>
    </cfRule>
    <cfRule type="cellIs" dxfId="1343" priority="607" operator="equal">
      <formula>"Operación"</formula>
    </cfRule>
    <cfRule type="cellIs" dxfId="1342" priority="608" operator="equal">
      <formula>"Inversión"</formula>
    </cfRule>
  </conditionalFormatting>
  <conditionalFormatting sqref="D581">
    <cfRule type="cellIs" dxfId="1341" priority="603" operator="equal">
      <formula>"I/O"</formula>
    </cfRule>
    <cfRule type="cellIs" dxfId="1340" priority="604" operator="equal">
      <formula>"Operación"</formula>
    </cfRule>
    <cfRule type="cellIs" dxfId="1339" priority="605" operator="equal">
      <formula>"Inversión"</formula>
    </cfRule>
  </conditionalFormatting>
  <conditionalFormatting sqref="D592">
    <cfRule type="cellIs" dxfId="1338" priority="600" operator="equal">
      <formula>"I/O"</formula>
    </cfRule>
    <cfRule type="cellIs" dxfId="1337" priority="601" operator="equal">
      <formula>"Operación"</formula>
    </cfRule>
    <cfRule type="cellIs" dxfId="1336" priority="602" operator="equal">
      <formula>"Inversión"</formula>
    </cfRule>
  </conditionalFormatting>
  <conditionalFormatting sqref="D592">
    <cfRule type="cellIs" dxfId="1335" priority="597" operator="equal">
      <formula>"I/O"</formula>
    </cfRule>
    <cfRule type="cellIs" dxfId="1334" priority="598" operator="equal">
      <formula>"Operación"</formula>
    </cfRule>
    <cfRule type="cellIs" dxfId="1333" priority="599" operator="equal">
      <formula>"Inversión"</formula>
    </cfRule>
  </conditionalFormatting>
  <conditionalFormatting sqref="D592">
    <cfRule type="cellIs" dxfId="1332" priority="594" operator="equal">
      <formula>"I/O"</formula>
    </cfRule>
    <cfRule type="cellIs" dxfId="1331" priority="595" operator="equal">
      <formula>"Operación"</formula>
    </cfRule>
    <cfRule type="cellIs" dxfId="1330" priority="596" operator="equal">
      <formula>"Inversión"</formula>
    </cfRule>
  </conditionalFormatting>
  <conditionalFormatting sqref="D609">
    <cfRule type="cellIs" dxfId="1329" priority="591" operator="equal">
      <formula>"I/O"</formula>
    </cfRule>
    <cfRule type="cellIs" dxfId="1328" priority="592" operator="equal">
      <formula>"Operación"</formula>
    </cfRule>
    <cfRule type="cellIs" dxfId="1327" priority="593" operator="equal">
      <formula>"Inversión"</formula>
    </cfRule>
  </conditionalFormatting>
  <conditionalFormatting sqref="D609">
    <cfRule type="cellIs" dxfId="1326" priority="588" operator="equal">
      <formula>"I/O"</formula>
    </cfRule>
    <cfRule type="cellIs" dxfId="1325" priority="589" operator="equal">
      <formula>"Operación"</formula>
    </cfRule>
    <cfRule type="cellIs" dxfId="1324" priority="590" operator="equal">
      <formula>"Inversión"</formula>
    </cfRule>
  </conditionalFormatting>
  <conditionalFormatting sqref="D609">
    <cfRule type="cellIs" dxfId="1323" priority="585" operator="equal">
      <formula>"I/O"</formula>
    </cfRule>
    <cfRule type="cellIs" dxfId="1322" priority="586" operator="equal">
      <formula>"Operación"</formula>
    </cfRule>
    <cfRule type="cellIs" dxfId="1321" priority="587" operator="equal">
      <formula>"Inversión"</formula>
    </cfRule>
  </conditionalFormatting>
  <conditionalFormatting sqref="D609">
    <cfRule type="cellIs" dxfId="1320" priority="582" operator="equal">
      <formula>"I/O"</formula>
    </cfRule>
    <cfRule type="cellIs" dxfId="1319" priority="583" operator="equal">
      <formula>"Operación"</formula>
    </cfRule>
    <cfRule type="cellIs" dxfId="1318" priority="584" operator="equal">
      <formula>"Inversión"</formula>
    </cfRule>
  </conditionalFormatting>
  <conditionalFormatting sqref="D609">
    <cfRule type="cellIs" dxfId="1317" priority="579" operator="equal">
      <formula>"I/O"</formula>
    </cfRule>
    <cfRule type="cellIs" dxfId="1316" priority="580" operator="equal">
      <formula>"Operación"</formula>
    </cfRule>
    <cfRule type="cellIs" dxfId="1315" priority="581" operator="equal">
      <formula>"Inversión"</formula>
    </cfRule>
  </conditionalFormatting>
  <conditionalFormatting sqref="D609">
    <cfRule type="cellIs" dxfId="1314" priority="576" operator="equal">
      <formula>"I/O"</formula>
    </cfRule>
    <cfRule type="cellIs" dxfId="1313" priority="577" operator="equal">
      <formula>"Operación"</formula>
    </cfRule>
    <cfRule type="cellIs" dxfId="1312" priority="578" operator="equal">
      <formula>"Inversión"</formula>
    </cfRule>
  </conditionalFormatting>
  <conditionalFormatting sqref="D609">
    <cfRule type="cellIs" dxfId="1311" priority="573" operator="equal">
      <formula>"I/O"</formula>
    </cfRule>
    <cfRule type="cellIs" dxfId="1310" priority="574" operator="equal">
      <formula>"Operación"</formula>
    </cfRule>
    <cfRule type="cellIs" dxfId="1309" priority="575" operator="equal">
      <formula>"Inversión"</formula>
    </cfRule>
  </conditionalFormatting>
  <conditionalFormatting sqref="L619:U619">
    <cfRule type="containsBlanks" dxfId="1308" priority="572">
      <formula>LEN(TRIM(L619))=0</formula>
    </cfRule>
  </conditionalFormatting>
  <conditionalFormatting sqref="D625">
    <cfRule type="cellIs" dxfId="1307" priority="569" operator="equal">
      <formula>"I/O"</formula>
    </cfRule>
    <cfRule type="cellIs" dxfId="1306" priority="570" operator="equal">
      <formula>"Operación"</formula>
    </cfRule>
    <cfRule type="cellIs" dxfId="1305" priority="571" operator="equal">
      <formula>"Inversión"</formula>
    </cfRule>
  </conditionalFormatting>
  <conditionalFormatting sqref="D625">
    <cfRule type="cellIs" dxfId="1304" priority="566" operator="equal">
      <formula>"I/O"</formula>
    </cfRule>
    <cfRule type="cellIs" dxfId="1303" priority="567" operator="equal">
      <formula>"Operación"</formula>
    </cfRule>
    <cfRule type="cellIs" dxfId="1302" priority="568" operator="equal">
      <formula>"Inversión"</formula>
    </cfRule>
  </conditionalFormatting>
  <conditionalFormatting sqref="K657:U660">
    <cfRule type="containsBlanks" dxfId="1301" priority="563">
      <formula>LEN(TRIM(K657))=0</formula>
    </cfRule>
  </conditionalFormatting>
  <conditionalFormatting sqref="K657:U660">
    <cfRule type="containsBlanks" dxfId="1300" priority="560">
      <formula>LEN(TRIM(K657))=0</formula>
    </cfRule>
  </conditionalFormatting>
  <conditionalFormatting sqref="L654:U654">
    <cfRule type="containsBlanks" dxfId="1299" priority="559">
      <formula>LEN(TRIM(L654))=0</formula>
    </cfRule>
  </conditionalFormatting>
  <conditionalFormatting sqref="D678">
    <cfRule type="cellIs" dxfId="1298" priority="556" operator="equal">
      <formula>"I/O"</formula>
    </cfRule>
    <cfRule type="cellIs" dxfId="1297" priority="557" operator="equal">
      <formula>"Operación"</formula>
    </cfRule>
    <cfRule type="cellIs" dxfId="1296" priority="558" operator="equal">
      <formula>"Inversión"</formula>
    </cfRule>
  </conditionalFormatting>
  <conditionalFormatting sqref="D678">
    <cfRule type="cellIs" dxfId="1295" priority="553" operator="equal">
      <formula>"I/O"</formula>
    </cfRule>
    <cfRule type="cellIs" dxfId="1294" priority="554" operator="equal">
      <formula>"Operación"</formula>
    </cfRule>
    <cfRule type="cellIs" dxfId="1293" priority="555" operator="equal">
      <formula>"Inversión"</formula>
    </cfRule>
  </conditionalFormatting>
  <conditionalFormatting sqref="D678">
    <cfRule type="cellIs" dxfId="1292" priority="550" operator="equal">
      <formula>"I/O"</formula>
    </cfRule>
    <cfRule type="cellIs" dxfId="1291" priority="551" operator="equal">
      <formula>"Operación"</formula>
    </cfRule>
    <cfRule type="cellIs" dxfId="1290" priority="552" operator="equal">
      <formula>"Inversión"</formula>
    </cfRule>
  </conditionalFormatting>
  <conditionalFormatting sqref="D692">
    <cfRule type="cellIs" dxfId="1289" priority="547" operator="equal">
      <formula>"I/O"</formula>
    </cfRule>
    <cfRule type="cellIs" dxfId="1288" priority="548" operator="equal">
      <formula>"Operación"</formula>
    </cfRule>
    <cfRule type="cellIs" dxfId="1287" priority="549" operator="equal">
      <formula>"Inversión"</formula>
    </cfRule>
  </conditionalFormatting>
  <conditionalFormatting sqref="D692">
    <cfRule type="cellIs" dxfId="1286" priority="544" operator="equal">
      <formula>"I/O"</formula>
    </cfRule>
    <cfRule type="cellIs" dxfId="1285" priority="545" operator="equal">
      <formula>"Operación"</formula>
    </cfRule>
    <cfRule type="cellIs" dxfId="1284" priority="546" operator="equal">
      <formula>"Inversión"</formula>
    </cfRule>
  </conditionalFormatting>
  <conditionalFormatting sqref="D692">
    <cfRule type="cellIs" dxfId="1283" priority="541" operator="equal">
      <formula>"I/O"</formula>
    </cfRule>
    <cfRule type="cellIs" dxfId="1282" priority="542" operator="equal">
      <formula>"Operación"</formula>
    </cfRule>
    <cfRule type="cellIs" dxfId="1281" priority="543" operator="equal">
      <formula>"Inversión"</formula>
    </cfRule>
  </conditionalFormatting>
  <conditionalFormatting sqref="D692">
    <cfRule type="cellIs" dxfId="1280" priority="538" operator="equal">
      <formula>"I/O"</formula>
    </cfRule>
    <cfRule type="cellIs" dxfId="1279" priority="539" operator="equal">
      <formula>"Operación"</formula>
    </cfRule>
    <cfRule type="cellIs" dxfId="1278" priority="540" operator="equal">
      <formula>"Inversión"</formula>
    </cfRule>
  </conditionalFormatting>
  <conditionalFormatting sqref="D705">
    <cfRule type="cellIs" dxfId="1277" priority="535" operator="equal">
      <formula>"I/O"</formula>
    </cfRule>
    <cfRule type="cellIs" dxfId="1276" priority="536" operator="equal">
      <formula>"Operación"</formula>
    </cfRule>
    <cfRule type="cellIs" dxfId="1275" priority="537" operator="equal">
      <formula>"Inversión"</formula>
    </cfRule>
  </conditionalFormatting>
  <conditionalFormatting sqref="D705">
    <cfRule type="cellIs" dxfId="1274" priority="532" operator="equal">
      <formula>"I/O"</formula>
    </cfRule>
    <cfRule type="cellIs" dxfId="1273" priority="533" operator="equal">
      <formula>"Operación"</formula>
    </cfRule>
    <cfRule type="cellIs" dxfId="1272" priority="534" operator="equal">
      <formula>"Inversión"</formula>
    </cfRule>
  </conditionalFormatting>
  <conditionalFormatting sqref="D705">
    <cfRule type="cellIs" dxfId="1271" priority="529" operator="equal">
      <formula>"I/O"</formula>
    </cfRule>
    <cfRule type="cellIs" dxfId="1270" priority="530" operator="equal">
      <formula>"Operación"</formula>
    </cfRule>
    <cfRule type="cellIs" dxfId="1269" priority="531" operator="equal">
      <formula>"Inversión"</formula>
    </cfRule>
  </conditionalFormatting>
  <conditionalFormatting sqref="D705">
    <cfRule type="cellIs" dxfId="1268" priority="526" operator="equal">
      <formula>"I/O"</formula>
    </cfRule>
    <cfRule type="cellIs" dxfId="1267" priority="527" operator="equal">
      <formula>"Operación"</formula>
    </cfRule>
    <cfRule type="cellIs" dxfId="1266" priority="528" operator="equal">
      <formula>"Inversión"</formula>
    </cfRule>
  </conditionalFormatting>
  <conditionalFormatting sqref="D705">
    <cfRule type="cellIs" dxfId="1265" priority="523" operator="equal">
      <formula>"I/O"</formula>
    </cfRule>
    <cfRule type="cellIs" dxfId="1264" priority="524" operator="equal">
      <formula>"Operación"</formula>
    </cfRule>
    <cfRule type="cellIs" dxfId="1263" priority="525" operator="equal">
      <formula>"Inversión"</formula>
    </cfRule>
  </conditionalFormatting>
  <conditionalFormatting sqref="D718">
    <cfRule type="cellIs" dxfId="1262" priority="520" operator="equal">
      <formula>"I/O"</formula>
    </cfRule>
    <cfRule type="cellIs" dxfId="1261" priority="521" operator="equal">
      <formula>"Operación"</formula>
    </cfRule>
    <cfRule type="cellIs" dxfId="1260" priority="522" operator="equal">
      <formula>"Inversión"</formula>
    </cfRule>
  </conditionalFormatting>
  <conditionalFormatting sqref="D718">
    <cfRule type="cellIs" dxfId="1259" priority="517" operator="equal">
      <formula>"I/O"</formula>
    </cfRule>
    <cfRule type="cellIs" dxfId="1258" priority="518" operator="equal">
      <formula>"Operación"</formula>
    </cfRule>
    <cfRule type="cellIs" dxfId="1257" priority="519" operator="equal">
      <formula>"Inversión"</formula>
    </cfRule>
  </conditionalFormatting>
  <conditionalFormatting sqref="D718">
    <cfRule type="cellIs" dxfId="1256" priority="514" operator="equal">
      <formula>"I/O"</formula>
    </cfRule>
    <cfRule type="cellIs" dxfId="1255" priority="515" operator="equal">
      <formula>"Operación"</formula>
    </cfRule>
    <cfRule type="cellIs" dxfId="1254" priority="516" operator="equal">
      <formula>"Inversión"</formula>
    </cfRule>
  </conditionalFormatting>
  <conditionalFormatting sqref="D718">
    <cfRule type="cellIs" dxfId="1253" priority="511" operator="equal">
      <formula>"I/O"</formula>
    </cfRule>
    <cfRule type="cellIs" dxfId="1252" priority="512" operator="equal">
      <formula>"Operación"</formula>
    </cfRule>
    <cfRule type="cellIs" dxfId="1251" priority="513" operator="equal">
      <formula>"Inversión"</formula>
    </cfRule>
  </conditionalFormatting>
  <conditionalFormatting sqref="D718">
    <cfRule type="cellIs" dxfId="1250" priority="508" operator="equal">
      <formula>"I/O"</formula>
    </cfRule>
    <cfRule type="cellIs" dxfId="1249" priority="509" operator="equal">
      <formula>"Operación"</formula>
    </cfRule>
    <cfRule type="cellIs" dxfId="1248" priority="510" operator="equal">
      <formula>"Inversión"</formula>
    </cfRule>
  </conditionalFormatting>
  <conditionalFormatting sqref="D718">
    <cfRule type="cellIs" dxfId="1247" priority="505" operator="equal">
      <formula>"I/O"</formula>
    </cfRule>
    <cfRule type="cellIs" dxfId="1246" priority="506" operator="equal">
      <formula>"Operación"</formula>
    </cfRule>
    <cfRule type="cellIs" dxfId="1245" priority="507" operator="equal">
      <formula>"Inversión"</formula>
    </cfRule>
  </conditionalFormatting>
  <conditionalFormatting sqref="D718">
    <cfRule type="cellIs" dxfId="1244" priority="502" operator="equal">
      <formula>"I/O"</formula>
    </cfRule>
    <cfRule type="cellIs" dxfId="1243" priority="503" operator="equal">
      <formula>"Operación"</formula>
    </cfRule>
    <cfRule type="cellIs" dxfId="1242" priority="504" operator="equal">
      <formula>"Inversión"</formula>
    </cfRule>
  </conditionalFormatting>
  <conditionalFormatting sqref="D718">
    <cfRule type="cellIs" dxfId="1241" priority="499" operator="equal">
      <formula>"I/O"</formula>
    </cfRule>
    <cfRule type="cellIs" dxfId="1240" priority="500" operator="equal">
      <formula>"Operación"</formula>
    </cfRule>
    <cfRule type="cellIs" dxfId="1239" priority="501" operator="equal">
      <formula>"Inversión"</formula>
    </cfRule>
  </conditionalFormatting>
  <conditionalFormatting sqref="D718">
    <cfRule type="cellIs" dxfId="1238" priority="496" operator="equal">
      <formula>"I/O"</formula>
    </cfRule>
    <cfRule type="cellIs" dxfId="1237" priority="497" operator="equal">
      <formula>"Operación"</formula>
    </cfRule>
    <cfRule type="cellIs" dxfId="1236" priority="498" operator="equal">
      <formula>"Inversión"</formula>
    </cfRule>
  </conditionalFormatting>
  <conditionalFormatting sqref="D718">
    <cfRule type="cellIs" dxfId="1235" priority="493" operator="equal">
      <formula>"I/O"</formula>
    </cfRule>
    <cfRule type="cellIs" dxfId="1234" priority="494" operator="equal">
      <formula>"Operación"</formula>
    </cfRule>
    <cfRule type="cellIs" dxfId="1233" priority="495" operator="equal">
      <formula>"Inversión"</formula>
    </cfRule>
  </conditionalFormatting>
  <conditionalFormatting sqref="D718">
    <cfRule type="cellIs" dxfId="1232" priority="490" operator="equal">
      <formula>"I/O"</formula>
    </cfRule>
    <cfRule type="cellIs" dxfId="1231" priority="491" operator="equal">
      <formula>"Operación"</formula>
    </cfRule>
    <cfRule type="cellIs" dxfId="1230" priority="492" operator="equal">
      <formula>"Inversión"</formula>
    </cfRule>
  </conditionalFormatting>
  <conditionalFormatting sqref="D718">
    <cfRule type="cellIs" dxfId="1229" priority="487" operator="equal">
      <formula>"I/O"</formula>
    </cfRule>
    <cfRule type="cellIs" dxfId="1228" priority="488" operator="equal">
      <formula>"Operación"</formula>
    </cfRule>
    <cfRule type="cellIs" dxfId="1227" priority="489" operator="equal">
      <formula>"Inversión"</formula>
    </cfRule>
  </conditionalFormatting>
  <conditionalFormatting sqref="D734">
    <cfRule type="cellIs" dxfId="1226" priority="484" operator="equal">
      <formula>"I/O"</formula>
    </cfRule>
    <cfRule type="cellIs" dxfId="1225" priority="485" operator="equal">
      <formula>"Operación"</formula>
    </cfRule>
    <cfRule type="cellIs" dxfId="1224" priority="486" operator="equal">
      <formula>"Inversión"</formula>
    </cfRule>
  </conditionalFormatting>
  <conditionalFormatting sqref="D734">
    <cfRule type="cellIs" dxfId="1223" priority="481" operator="equal">
      <formula>"I/O"</formula>
    </cfRule>
    <cfRule type="cellIs" dxfId="1222" priority="482" operator="equal">
      <formula>"Operación"</formula>
    </cfRule>
    <cfRule type="cellIs" dxfId="1221" priority="483" operator="equal">
      <formula>"Inversión"</formula>
    </cfRule>
  </conditionalFormatting>
  <conditionalFormatting sqref="D734">
    <cfRule type="cellIs" dxfId="1220" priority="478" operator="equal">
      <formula>"I/O"</formula>
    </cfRule>
    <cfRule type="cellIs" dxfId="1219" priority="479" operator="equal">
      <formula>"Operación"</formula>
    </cfRule>
    <cfRule type="cellIs" dxfId="1218" priority="480" operator="equal">
      <formula>"Inversión"</formula>
    </cfRule>
  </conditionalFormatting>
  <conditionalFormatting sqref="D734">
    <cfRule type="cellIs" dxfId="1217" priority="475" operator="equal">
      <formula>"I/O"</formula>
    </cfRule>
    <cfRule type="cellIs" dxfId="1216" priority="476" operator="equal">
      <formula>"Operación"</formula>
    </cfRule>
    <cfRule type="cellIs" dxfId="1215" priority="477" operator="equal">
      <formula>"Inversión"</formula>
    </cfRule>
  </conditionalFormatting>
  <conditionalFormatting sqref="D734">
    <cfRule type="cellIs" dxfId="1214" priority="472" operator="equal">
      <formula>"I/O"</formula>
    </cfRule>
    <cfRule type="cellIs" dxfId="1213" priority="473" operator="equal">
      <formula>"Operación"</formula>
    </cfRule>
    <cfRule type="cellIs" dxfId="1212" priority="474" operator="equal">
      <formula>"Inversión"</formula>
    </cfRule>
  </conditionalFormatting>
  <conditionalFormatting sqref="D734">
    <cfRule type="cellIs" dxfId="1211" priority="469" operator="equal">
      <formula>"I/O"</formula>
    </cfRule>
    <cfRule type="cellIs" dxfId="1210" priority="470" operator="equal">
      <formula>"Operación"</formula>
    </cfRule>
    <cfRule type="cellIs" dxfId="1209" priority="471" operator="equal">
      <formula>"Inversión"</formula>
    </cfRule>
  </conditionalFormatting>
  <conditionalFormatting sqref="D734">
    <cfRule type="cellIs" dxfId="1208" priority="466" operator="equal">
      <formula>"I/O"</formula>
    </cfRule>
    <cfRule type="cellIs" dxfId="1207" priority="467" operator="equal">
      <formula>"Operación"</formula>
    </cfRule>
    <cfRule type="cellIs" dxfId="1206" priority="468" operator="equal">
      <formula>"Inversión"</formula>
    </cfRule>
  </conditionalFormatting>
  <conditionalFormatting sqref="D734">
    <cfRule type="cellIs" dxfId="1205" priority="463" operator="equal">
      <formula>"I/O"</formula>
    </cfRule>
    <cfRule type="cellIs" dxfId="1204" priority="464" operator="equal">
      <formula>"Operación"</formula>
    </cfRule>
    <cfRule type="cellIs" dxfId="1203" priority="465" operator="equal">
      <formula>"Inversión"</formula>
    </cfRule>
  </conditionalFormatting>
  <conditionalFormatting sqref="D734">
    <cfRule type="cellIs" dxfId="1202" priority="460" operator="equal">
      <formula>"I/O"</formula>
    </cfRule>
    <cfRule type="cellIs" dxfId="1201" priority="461" operator="equal">
      <formula>"Operación"</formula>
    </cfRule>
    <cfRule type="cellIs" dxfId="1200" priority="462" operator="equal">
      <formula>"Inversión"</formula>
    </cfRule>
  </conditionalFormatting>
  <conditionalFormatting sqref="D734">
    <cfRule type="cellIs" dxfId="1199" priority="457" operator="equal">
      <formula>"I/O"</formula>
    </cfRule>
    <cfRule type="cellIs" dxfId="1198" priority="458" operator="equal">
      <formula>"Operación"</formula>
    </cfRule>
    <cfRule type="cellIs" dxfId="1197" priority="459" operator="equal">
      <formula>"Inversión"</formula>
    </cfRule>
  </conditionalFormatting>
  <conditionalFormatting sqref="D734">
    <cfRule type="cellIs" dxfId="1196" priority="454" operator="equal">
      <formula>"I/O"</formula>
    </cfRule>
    <cfRule type="cellIs" dxfId="1195" priority="455" operator="equal">
      <formula>"Operación"</formula>
    </cfRule>
    <cfRule type="cellIs" dxfId="1194" priority="456" operator="equal">
      <formula>"Inversión"</formula>
    </cfRule>
  </conditionalFormatting>
  <conditionalFormatting sqref="D734">
    <cfRule type="cellIs" dxfId="1193" priority="451" operator="equal">
      <formula>"I/O"</formula>
    </cfRule>
    <cfRule type="cellIs" dxfId="1192" priority="452" operator="equal">
      <formula>"Operación"</formula>
    </cfRule>
    <cfRule type="cellIs" dxfId="1191" priority="453" operator="equal">
      <formula>"Inversión"</formula>
    </cfRule>
  </conditionalFormatting>
  <conditionalFormatting sqref="D734">
    <cfRule type="cellIs" dxfId="1190" priority="448" operator="equal">
      <formula>"I/O"</formula>
    </cfRule>
    <cfRule type="cellIs" dxfId="1189" priority="449" operator="equal">
      <formula>"Operación"</formula>
    </cfRule>
    <cfRule type="cellIs" dxfId="1188" priority="450" operator="equal">
      <formula>"Inversión"</formula>
    </cfRule>
  </conditionalFormatting>
  <conditionalFormatting sqref="D746">
    <cfRule type="cellIs" dxfId="1187" priority="445" operator="equal">
      <formula>"I/O"</formula>
    </cfRule>
    <cfRule type="cellIs" dxfId="1186" priority="446" operator="equal">
      <formula>"Operación"</formula>
    </cfRule>
    <cfRule type="cellIs" dxfId="1185" priority="447" operator="equal">
      <formula>"Inversión"</formula>
    </cfRule>
  </conditionalFormatting>
  <conditionalFormatting sqref="D746">
    <cfRule type="cellIs" dxfId="1184" priority="442" operator="equal">
      <formula>"I/O"</formula>
    </cfRule>
    <cfRule type="cellIs" dxfId="1183" priority="443" operator="equal">
      <formula>"Operación"</formula>
    </cfRule>
    <cfRule type="cellIs" dxfId="1182" priority="444" operator="equal">
      <formula>"Inversión"</formula>
    </cfRule>
  </conditionalFormatting>
  <conditionalFormatting sqref="D757">
    <cfRule type="cellIs" dxfId="1181" priority="439" operator="equal">
      <formula>"I/O"</formula>
    </cfRule>
    <cfRule type="cellIs" dxfId="1180" priority="440" operator="equal">
      <formula>"Operación"</formula>
    </cfRule>
    <cfRule type="cellIs" dxfId="1179" priority="441" operator="equal">
      <formula>"Inversión"</formula>
    </cfRule>
  </conditionalFormatting>
  <conditionalFormatting sqref="D757">
    <cfRule type="cellIs" dxfId="1178" priority="436" operator="equal">
      <formula>"I/O"</formula>
    </cfRule>
    <cfRule type="cellIs" dxfId="1177" priority="437" operator="equal">
      <formula>"Operación"</formula>
    </cfRule>
    <cfRule type="cellIs" dxfId="1176" priority="438" operator="equal">
      <formula>"Inversión"</formula>
    </cfRule>
  </conditionalFormatting>
  <conditionalFormatting sqref="D757">
    <cfRule type="cellIs" dxfId="1175" priority="433" operator="equal">
      <formula>"I/O"</formula>
    </cfRule>
    <cfRule type="cellIs" dxfId="1174" priority="434" operator="equal">
      <formula>"Operación"</formula>
    </cfRule>
    <cfRule type="cellIs" dxfId="1173" priority="435" operator="equal">
      <formula>"Inversión"</formula>
    </cfRule>
  </conditionalFormatting>
  <conditionalFormatting sqref="D757">
    <cfRule type="cellIs" dxfId="1172" priority="430" operator="equal">
      <formula>"I/O"</formula>
    </cfRule>
    <cfRule type="cellIs" dxfId="1171" priority="431" operator="equal">
      <formula>"Operación"</formula>
    </cfRule>
    <cfRule type="cellIs" dxfId="1170" priority="432" operator="equal">
      <formula>"Inversión"</formula>
    </cfRule>
  </conditionalFormatting>
  <conditionalFormatting sqref="D757">
    <cfRule type="cellIs" dxfId="1169" priority="427" operator="equal">
      <formula>"I/O"</formula>
    </cfRule>
    <cfRule type="cellIs" dxfId="1168" priority="428" operator="equal">
      <formula>"Operación"</formula>
    </cfRule>
    <cfRule type="cellIs" dxfId="1167" priority="429" operator="equal">
      <formula>"Inversión"</formula>
    </cfRule>
  </conditionalFormatting>
  <conditionalFormatting sqref="D757">
    <cfRule type="cellIs" dxfId="1166" priority="424" operator="equal">
      <formula>"I/O"</formula>
    </cfRule>
    <cfRule type="cellIs" dxfId="1165" priority="425" operator="equal">
      <formula>"Operación"</formula>
    </cfRule>
    <cfRule type="cellIs" dxfId="1164" priority="426" operator="equal">
      <formula>"Inversión"</formula>
    </cfRule>
  </conditionalFormatting>
  <conditionalFormatting sqref="D757">
    <cfRule type="cellIs" dxfId="1163" priority="421" operator="equal">
      <formula>"I/O"</formula>
    </cfRule>
    <cfRule type="cellIs" dxfId="1162" priority="422" operator="equal">
      <formula>"Operación"</formula>
    </cfRule>
    <cfRule type="cellIs" dxfId="1161" priority="423" operator="equal">
      <formula>"Inversión"</formula>
    </cfRule>
  </conditionalFormatting>
  <conditionalFormatting sqref="D757">
    <cfRule type="cellIs" dxfId="1160" priority="418" operator="equal">
      <formula>"I/O"</formula>
    </cfRule>
    <cfRule type="cellIs" dxfId="1159" priority="419" operator="equal">
      <formula>"Operación"</formula>
    </cfRule>
    <cfRule type="cellIs" dxfId="1158" priority="420" operator="equal">
      <formula>"Inversión"</formula>
    </cfRule>
  </conditionalFormatting>
  <conditionalFormatting sqref="D757">
    <cfRule type="cellIs" dxfId="1157" priority="415" operator="equal">
      <formula>"I/O"</formula>
    </cfRule>
    <cfRule type="cellIs" dxfId="1156" priority="416" operator="equal">
      <formula>"Operación"</formula>
    </cfRule>
    <cfRule type="cellIs" dxfId="1155" priority="417" operator="equal">
      <formula>"Inversión"</formula>
    </cfRule>
  </conditionalFormatting>
  <conditionalFormatting sqref="D757">
    <cfRule type="cellIs" dxfId="1154" priority="412" operator="equal">
      <formula>"I/O"</formula>
    </cfRule>
    <cfRule type="cellIs" dxfId="1153" priority="413" operator="equal">
      <formula>"Operación"</formula>
    </cfRule>
    <cfRule type="cellIs" dxfId="1152" priority="414" operator="equal">
      <formula>"Inversión"</formula>
    </cfRule>
  </conditionalFormatting>
  <conditionalFormatting sqref="D757">
    <cfRule type="cellIs" dxfId="1151" priority="409" operator="equal">
      <formula>"I/O"</formula>
    </cfRule>
    <cfRule type="cellIs" dxfId="1150" priority="410" operator="equal">
      <formula>"Operación"</formula>
    </cfRule>
    <cfRule type="cellIs" dxfId="1149" priority="411" operator="equal">
      <formula>"Inversión"</formula>
    </cfRule>
  </conditionalFormatting>
  <conditionalFormatting sqref="D757">
    <cfRule type="cellIs" dxfId="1148" priority="406" operator="equal">
      <formula>"I/O"</formula>
    </cfRule>
    <cfRule type="cellIs" dxfId="1147" priority="407" operator="equal">
      <formula>"Operación"</formula>
    </cfRule>
    <cfRule type="cellIs" dxfId="1146" priority="408" operator="equal">
      <formula>"Inversión"</formula>
    </cfRule>
  </conditionalFormatting>
  <conditionalFormatting sqref="D757">
    <cfRule type="cellIs" dxfId="1145" priority="403" operator="equal">
      <formula>"I/O"</formula>
    </cfRule>
    <cfRule type="cellIs" dxfId="1144" priority="404" operator="equal">
      <formula>"Operación"</formula>
    </cfRule>
    <cfRule type="cellIs" dxfId="1143" priority="405" operator="equal">
      <formula>"Inversión"</formula>
    </cfRule>
  </conditionalFormatting>
  <conditionalFormatting sqref="D757">
    <cfRule type="cellIs" dxfId="1142" priority="400" operator="equal">
      <formula>"I/O"</formula>
    </cfRule>
    <cfRule type="cellIs" dxfId="1141" priority="401" operator="equal">
      <formula>"Operación"</formula>
    </cfRule>
    <cfRule type="cellIs" dxfId="1140" priority="402" operator="equal">
      <formula>"Inversión"</formula>
    </cfRule>
  </conditionalFormatting>
  <conditionalFormatting sqref="D768">
    <cfRule type="cellIs" dxfId="1139" priority="397" operator="equal">
      <formula>"I/O"</formula>
    </cfRule>
    <cfRule type="cellIs" dxfId="1138" priority="398" operator="equal">
      <formula>"Operación"</formula>
    </cfRule>
    <cfRule type="cellIs" dxfId="1137" priority="399" operator="equal">
      <formula>"Inversión"</formula>
    </cfRule>
  </conditionalFormatting>
  <conditionalFormatting sqref="D768">
    <cfRule type="cellIs" dxfId="1136" priority="394" operator="equal">
      <formula>"I/O"</formula>
    </cfRule>
    <cfRule type="cellIs" dxfId="1135" priority="395" operator="equal">
      <formula>"Operación"</formula>
    </cfRule>
    <cfRule type="cellIs" dxfId="1134" priority="396" operator="equal">
      <formula>"Inversión"</formula>
    </cfRule>
  </conditionalFormatting>
  <conditionalFormatting sqref="D768">
    <cfRule type="cellIs" dxfId="1133" priority="391" operator="equal">
      <formula>"I/O"</formula>
    </cfRule>
    <cfRule type="cellIs" dxfId="1132" priority="392" operator="equal">
      <formula>"Operación"</formula>
    </cfRule>
    <cfRule type="cellIs" dxfId="1131" priority="393" operator="equal">
      <formula>"Inversión"</formula>
    </cfRule>
  </conditionalFormatting>
  <conditionalFormatting sqref="D768">
    <cfRule type="cellIs" dxfId="1130" priority="388" operator="equal">
      <formula>"I/O"</formula>
    </cfRule>
    <cfRule type="cellIs" dxfId="1129" priority="389" operator="equal">
      <formula>"Operación"</formula>
    </cfRule>
    <cfRule type="cellIs" dxfId="1128" priority="390" operator="equal">
      <formula>"Inversión"</formula>
    </cfRule>
  </conditionalFormatting>
  <conditionalFormatting sqref="D768">
    <cfRule type="cellIs" dxfId="1127" priority="385" operator="equal">
      <formula>"I/O"</formula>
    </cfRule>
    <cfRule type="cellIs" dxfId="1126" priority="386" operator="equal">
      <formula>"Operación"</formula>
    </cfRule>
    <cfRule type="cellIs" dxfId="1125" priority="387" operator="equal">
      <formula>"Inversión"</formula>
    </cfRule>
  </conditionalFormatting>
  <conditionalFormatting sqref="D768">
    <cfRule type="cellIs" dxfId="1124" priority="382" operator="equal">
      <formula>"I/O"</formula>
    </cfRule>
    <cfRule type="cellIs" dxfId="1123" priority="383" operator="equal">
      <formula>"Operación"</formula>
    </cfRule>
    <cfRule type="cellIs" dxfId="1122" priority="384" operator="equal">
      <formula>"Inversión"</formula>
    </cfRule>
  </conditionalFormatting>
  <conditionalFormatting sqref="D768">
    <cfRule type="cellIs" dxfId="1121" priority="379" operator="equal">
      <formula>"I/O"</formula>
    </cfRule>
    <cfRule type="cellIs" dxfId="1120" priority="380" operator="equal">
      <formula>"Operación"</formula>
    </cfRule>
    <cfRule type="cellIs" dxfId="1119" priority="381" operator="equal">
      <formula>"Inversión"</formula>
    </cfRule>
  </conditionalFormatting>
  <conditionalFormatting sqref="D768">
    <cfRule type="cellIs" dxfId="1118" priority="376" operator="equal">
      <formula>"I/O"</formula>
    </cfRule>
    <cfRule type="cellIs" dxfId="1117" priority="377" operator="equal">
      <formula>"Operación"</formula>
    </cfRule>
    <cfRule type="cellIs" dxfId="1116" priority="378" operator="equal">
      <formula>"Inversión"</formula>
    </cfRule>
  </conditionalFormatting>
  <conditionalFormatting sqref="D768">
    <cfRule type="cellIs" dxfId="1115" priority="373" operator="equal">
      <formula>"I/O"</formula>
    </cfRule>
    <cfRule type="cellIs" dxfId="1114" priority="374" operator="equal">
      <formula>"Operación"</formula>
    </cfRule>
    <cfRule type="cellIs" dxfId="1113" priority="375" operator="equal">
      <formula>"Inversión"</formula>
    </cfRule>
  </conditionalFormatting>
  <conditionalFormatting sqref="D768">
    <cfRule type="cellIs" dxfId="1112" priority="370" operator="equal">
      <formula>"I/O"</formula>
    </cfRule>
    <cfRule type="cellIs" dxfId="1111" priority="371" operator="equal">
      <formula>"Operación"</formula>
    </cfRule>
    <cfRule type="cellIs" dxfId="1110" priority="372" operator="equal">
      <formula>"Inversión"</formula>
    </cfRule>
  </conditionalFormatting>
  <conditionalFormatting sqref="D768">
    <cfRule type="cellIs" dxfId="1109" priority="367" operator="equal">
      <formula>"I/O"</formula>
    </cfRule>
    <cfRule type="cellIs" dxfId="1108" priority="368" operator="equal">
      <formula>"Operación"</formula>
    </cfRule>
    <cfRule type="cellIs" dxfId="1107" priority="369" operator="equal">
      <formula>"Inversión"</formula>
    </cfRule>
  </conditionalFormatting>
  <conditionalFormatting sqref="D768">
    <cfRule type="cellIs" dxfId="1106" priority="364" operator="equal">
      <formula>"I/O"</formula>
    </cfRule>
    <cfRule type="cellIs" dxfId="1105" priority="365" operator="equal">
      <formula>"Operación"</formula>
    </cfRule>
    <cfRule type="cellIs" dxfId="1104" priority="366" operator="equal">
      <formula>"Inversión"</formula>
    </cfRule>
  </conditionalFormatting>
  <conditionalFormatting sqref="D768">
    <cfRule type="cellIs" dxfId="1103" priority="361" operator="equal">
      <formula>"I/O"</formula>
    </cfRule>
    <cfRule type="cellIs" dxfId="1102" priority="362" operator="equal">
      <formula>"Operación"</formula>
    </cfRule>
    <cfRule type="cellIs" dxfId="1101" priority="363" operator="equal">
      <formula>"Inversión"</formula>
    </cfRule>
  </conditionalFormatting>
  <conditionalFormatting sqref="D768">
    <cfRule type="cellIs" dxfId="1100" priority="358" operator="equal">
      <formula>"I/O"</formula>
    </cfRule>
    <cfRule type="cellIs" dxfId="1099" priority="359" operator="equal">
      <formula>"Operación"</formula>
    </cfRule>
    <cfRule type="cellIs" dxfId="1098" priority="360" operator="equal">
      <formula>"Inversión"</formula>
    </cfRule>
  </conditionalFormatting>
  <conditionalFormatting sqref="D768">
    <cfRule type="cellIs" dxfId="1097" priority="355" operator="equal">
      <formula>"I/O"</formula>
    </cfRule>
    <cfRule type="cellIs" dxfId="1096" priority="356" operator="equal">
      <formula>"Operación"</formula>
    </cfRule>
    <cfRule type="cellIs" dxfId="1095" priority="357" operator="equal">
      <formula>"Inversión"</formula>
    </cfRule>
  </conditionalFormatting>
  <conditionalFormatting sqref="D781">
    <cfRule type="cellIs" dxfId="1094" priority="352" operator="equal">
      <formula>"I/O"</formula>
    </cfRule>
    <cfRule type="cellIs" dxfId="1093" priority="353" operator="equal">
      <formula>"Operación"</formula>
    </cfRule>
    <cfRule type="cellIs" dxfId="1092" priority="354" operator="equal">
      <formula>"Inversión"</formula>
    </cfRule>
  </conditionalFormatting>
  <conditionalFormatting sqref="D781">
    <cfRule type="cellIs" dxfId="1091" priority="349" operator="equal">
      <formula>"I/O"</formula>
    </cfRule>
    <cfRule type="cellIs" dxfId="1090" priority="350" operator="equal">
      <formula>"Operación"</formula>
    </cfRule>
    <cfRule type="cellIs" dxfId="1089" priority="351" operator="equal">
      <formula>"Inversión"</formula>
    </cfRule>
  </conditionalFormatting>
  <conditionalFormatting sqref="D781">
    <cfRule type="cellIs" dxfId="1088" priority="346" operator="equal">
      <formula>"I/O"</formula>
    </cfRule>
    <cfRule type="cellIs" dxfId="1087" priority="347" operator="equal">
      <formula>"Operación"</formula>
    </cfRule>
    <cfRule type="cellIs" dxfId="1086" priority="348" operator="equal">
      <formula>"Inversión"</formula>
    </cfRule>
  </conditionalFormatting>
  <conditionalFormatting sqref="D781">
    <cfRule type="cellIs" dxfId="1085" priority="343" operator="equal">
      <formula>"I/O"</formula>
    </cfRule>
    <cfRule type="cellIs" dxfId="1084" priority="344" operator="equal">
      <formula>"Operación"</formula>
    </cfRule>
    <cfRule type="cellIs" dxfId="1083" priority="345" operator="equal">
      <formula>"Inversión"</formula>
    </cfRule>
  </conditionalFormatting>
  <conditionalFormatting sqref="D781">
    <cfRule type="cellIs" dxfId="1082" priority="340" operator="equal">
      <formula>"I/O"</formula>
    </cfRule>
    <cfRule type="cellIs" dxfId="1081" priority="341" operator="equal">
      <formula>"Operación"</formula>
    </cfRule>
    <cfRule type="cellIs" dxfId="1080" priority="342" operator="equal">
      <formula>"Inversión"</formula>
    </cfRule>
  </conditionalFormatting>
  <conditionalFormatting sqref="D781">
    <cfRule type="cellIs" dxfId="1079" priority="337" operator="equal">
      <formula>"I/O"</formula>
    </cfRule>
    <cfRule type="cellIs" dxfId="1078" priority="338" operator="equal">
      <formula>"Operación"</formula>
    </cfRule>
    <cfRule type="cellIs" dxfId="1077" priority="339" operator="equal">
      <formula>"Inversión"</formula>
    </cfRule>
  </conditionalFormatting>
  <conditionalFormatting sqref="D781">
    <cfRule type="cellIs" dxfId="1076" priority="334" operator="equal">
      <formula>"I/O"</formula>
    </cfRule>
    <cfRule type="cellIs" dxfId="1075" priority="335" operator="equal">
      <formula>"Operación"</formula>
    </cfRule>
    <cfRule type="cellIs" dxfId="1074" priority="336" operator="equal">
      <formula>"Inversión"</formula>
    </cfRule>
  </conditionalFormatting>
  <conditionalFormatting sqref="D781">
    <cfRule type="cellIs" dxfId="1073" priority="331" operator="equal">
      <formula>"I/O"</formula>
    </cfRule>
    <cfRule type="cellIs" dxfId="1072" priority="332" operator="equal">
      <formula>"Operación"</formula>
    </cfRule>
    <cfRule type="cellIs" dxfId="1071" priority="333" operator="equal">
      <formula>"Inversión"</formula>
    </cfRule>
  </conditionalFormatting>
  <conditionalFormatting sqref="D781">
    <cfRule type="cellIs" dxfId="1070" priority="328" operator="equal">
      <formula>"I/O"</formula>
    </cfRule>
    <cfRule type="cellIs" dxfId="1069" priority="329" operator="equal">
      <formula>"Operación"</formula>
    </cfRule>
    <cfRule type="cellIs" dxfId="1068" priority="330" operator="equal">
      <formula>"Inversión"</formula>
    </cfRule>
  </conditionalFormatting>
  <conditionalFormatting sqref="D781">
    <cfRule type="cellIs" dxfId="1067" priority="325" operator="equal">
      <formula>"I/O"</formula>
    </cfRule>
    <cfRule type="cellIs" dxfId="1066" priority="326" operator="equal">
      <formula>"Operación"</formula>
    </cfRule>
    <cfRule type="cellIs" dxfId="1065" priority="327" operator="equal">
      <formula>"Inversión"</formula>
    </cfRule>
  </conditionalFormatting>
  <conditionalFormatting sqref="D781">
    <cfRule type="cellIs" dxfId="1064" priority="322" operator="equal">
      <formula>"I/O"</formula>
    </cfRule>
    <cfRule type="cellIs" dxfId="1063" priority="323" operator="equal">
      <formula>"Operación"</formula>
    </cfRule>
    <cfRule type="cellIs" dxfId="1062" priority="324" operator="equal">
      <formula>"Inversión"</formula>
    </cfRule>
  </conditionalFormatting>
  <conditionalFormatting sqref="D781">
    <cfRule type="cellIs" dxfId="1061" priority="319" operator="equal">
      <formula>"I/O"</formula>
    </cfRule>
    <cfRule type="cellIs" dxfId="1060" priority="320" operator="equal">
      <formula>"Operación"</formula>
    </cfRule>
    <cfRule type="cellIs" dxfId="1059" priority="321" operator="equal">
      <formula>"Inversión"</formula>
    </cfRule>
  </conditionalFormatting>
  <conditionalFormatting sqref="D781">
    <cfRule type="cellIs" dxfId="1058" priority="316" operator="equal">
      <formula>"I/O"</formula>
    </cfRule>
    <cfRule type="cellIs" dxfId="1057" priority="317" operator="equal">
      <formula>"Operación"</formula>
    </cfRule>
    <cfRule type="cellIs" dxfId="1056" priority="318" operator="equal">
      <formula>"Inversión"</formula>
    </cfRule>
  </conditionalFormatting>
  <conditionalFormatting sqref="D781">
    <cfRule type="cellIs" dxfId="1055" priority="313" operator="equal">
      <formula>"I/O"</formula>
    </cfRule>
    <cfRule type="cellIs" dxfId="1054" priority="314" operator="equal">
      <formula>"Operación"</formula>
    </cfRule>
    <cfRule type="cellIs" dxfId="1053" priority="315" operator="equal">
      <formula>"Inversión"</formula>
    </cfRule>
  </conditionalFormatting>
  <conditionalFormatting sqref="D781">
    <cfRule type="cellIs" dxfId="1052" priority="310" operator="equal">
      <formula>"I/O"</formula>
    </cfRule>
    <cfRule type="cellIs" dxfId="1051" priority="311" operator="equal">
      <formula>"Operación"</formula>
    </cfRule>
    <cfRule type="cellIs" dxfId="1050" priority="312" operator="equal">
      <formula>"Inversión"</formula>
    </cfRule>
  </conditionalFormatting>
  <conditionalFormatting sqref="D781">
    <cfRule type="cellIs" dxfId="1049" priority="307" operator="equal">
      <formula>"I/O"</formula>
    </cfRule>
    <cfRule type="cellIs" dxfId="1048" priority="308" operator="equal">
      <formula>"Operación"</formula>
    </cfRule>
    <cfRule type="cellIs" dxfId="1047" priority="309" operator="equal">
      <formula>"Inversión"</formula>
    </cfRule>
  </conditionalFormatting>
  <conditionalFormatting sqref="D802">
    <cfRule type="cellIs" dxfId="1046" priority="303" operator="equal">
      <formula>"I/O"</formula>
    </cfRule>
    <cfRule type="cellIs" dxfId="1045" priority="304" operator="equal">
      <formula>"Operación"</formula>
    </cfRule>
    <cfRule type="cellIs" dxfId="1044" priority="305" operator="equal">
      <formula>"Inversión"</formula>
    </cfRule>
  </conditionalFormatting>
  <conditionalFormatting sqref="D832">
    <cfRule type="cellIs" dxfId="1043" priority="299" operator="equal">
      <formula>"I/O"</formula>
    </cfRule>
    <cfRule type="cellIs" dxfId="1042" priority="300" operator="equal">
      <formula>"Operación"</formula>
    </cfRule>
    <cfRule type="cellIs" dxfId="1041" priority="301" operator="equal">
      <formula>"Inversión"</formula>
    </cfRule>
  </conditionalFormatting>
  <conditionalFormatting sqref="D832">
    <cfRule type="cellIs" dxfId="1040" priority="296" operator="equal">
      <formula>"I/O"</formula>
    </cfRule>
    <cfRule type="cellIs" dxfId="1039" priority="297" operator="equal">
      <formula>"Operación"</formula>
    </cfRule>
    <cfRule type="cellIs" dxfId="1038" priority="298" operator="equal">
      <formula>"Inversión"</formula>
    </cfRule>
  </conditionalFormatting>
  <conditionalFormatting sqref="D832">
    <cfRule type="cellIs" dxfId="1037" priority="293" operator="equal">
      <formula>"I/O"</formula>
    </cfRule>
    <cfRule type="cellIs" dxfId="1036" priority="294" operator="equal">
      <formula>"Operación"</formula>
    </cfRule>
    <cfRule type="cellIs" dxfId="1035" priority="295" operator="equal">
      <formula>"Inversión"</formula>
    </cfRule>
  </conditionalFormatting>
  <conditionalFormatting sqref="D832">
    <cfRule type="cellIs" dxfId="1034" priority="290" operator="equal">
      <formula>"I/O"</formula>
    </cfRule>
    <cfRule type="cellIs" dxfId="1033" priority="291" operator="equal">
      <formula>"Operación"</formula>
    </cfRule>
    <cfRule type="cellIs" dxfId="1032" priority="292" operator="equal">
      <formula>"Inversión"</formula>
    </cfRule>
  </conditionalFormatting>
  <conditionalFormatting sqref="L622:U622 Q622:U623">
    <cfRule type="cellIs" dxfId="1031" priority="289" operator="equal">
      <formula>0</formula>
    </cfRule>
  </conditionalFormatting>
  <conditionalFormatting sqref="D622:D624">
    <cfRule type="expression" dxfId="1030" priority="288">
      <formula>$D$622&lt;&gt;SUM($K$622:$U$622)</formula>
    </cfRule>
  </conditionalFormatting>
  <conditionalFormatting sqref="K622">
    <cfRule type="cellIs" dxfId="1029" priority="287" operator="equal">
      <formula>0</formula>
    </cfRule>
  </conditionalFormatting>
  <conditionalFormatting sqref="K817:U817">
    <cfRule type="cellIs" dxfId="1028" priority="284" operator="equal">
      <formula>"NO"</formula>
    </cfRule>
    <cfRule type="cellIs" dxfId="1027" priority="285" operator="equal">
      <formula>"SI"</formula>
    </cfRule>
  </conditionalFormatting>
  <conditionalFormatting sqref="K817:U817">
    <cfRule type="cellIs" dxfId="1026" priority="283" operator="equal">
      <formula>"N/A"</formula>
    </cfRule>
  </conditionalFormatting>
  <conditionalFormatting sqref="D816">
    <cfRule type="expression" dxfId="1025" priority="282">
      <formula>D816&lt;&gt;SUM(#REF!)</formula>
    </cfRule>
  </conditionalFormatting>
  <conditionalFormatting sqref="L815:U815">
    <cfRule type="containsBlanks" dxfId="1024" priority="280">
      <formula>LEN(TRIM(L815))=0</formula>
    </cfRule>
  </conditionalFormatting>
  <conditionalFormatting sqref="D817">
    <cfRule type="cellIs" dxfId="1023" priority="277" operator="equal">
      <formula>"I/O"</formula>
    </cfRule>
    <cfRule type="cellIs" dxfId="1022" priority="278" operator="equal">
      <formula>"Operación"</formula>
    </cfRule>
    <cfRule type="cellIs" dxfId="1021" priority="279" operator="equal">
      <formula>"Inversión"</formula>
    </cfRule>
  </conditionalFormatting>
  <conditionalFormatting sqref="D824">
    <cfRule type="expression" dxfId="1020" priority="274">
      <formula>$D$123&lt;&gt;0</formula>
    </cfRule>
    <cfRule type="cellIs" dxfId="1019" priority="275" operator="equal">
      <formula>0</formula>
    </cfRule>
  </conditionalFormatting>
  <conditionalFormatting sqref="D817">
    <cfRule type="cellIs" dxfId="1018" priority="267" operator="equal">
      <formula>"I/O"</formula>
    </cfRule>
    <cfRule type="cellIs" dxfId="1017" priority="268" operator="equal">
      <formula>"Operación"</formula>
    </cfRule>
    <cfRule type="cellIs" dxfId="1016" priority="269" operator="equal">
      <formula>"Inversión"</formula>
    </cfRule>
  </conditionalFormatting>
  <conditionalFormatting sqref="D822">
    <cfRule type="cellIs" dxfId="1015" priority="266" operator="equal">
      <formula>"¿Dentro de los proyectos de la empresa ya se encuentra contemplado este subprograma?"</formula>
    </cfRule>
  </conditionalFormatting>
  <conditionalFormatting sqref="K815">
    <cfRule type="containsBlanks" dxfId="1014" priority="262">
      <formula>LEN(TRIM(K815))=0</formula>
    </cfRule>
  </conditionalFormatting>
  <conditionalFormatting sqref="K815">
    <cfRule type="containsBlanks" dxfId="1013" priority="261">
      <formula>LEN(TRIM(K815))=0</formula>
    </cfRule>
  </conditionalFormatting>
  <conditionalFormatting sqref="K815">
    <cfRule type="cellIs" dxfId="1012" priority="263" operator="equal">
      <formula>"¿Dentro de los proyectos de la empresa ya se encuentra contemplado este subprograma?"</formula>
    </cfRule>
  </conditionalFormatting>
  <conditionalFormatting sqref="L815:U815">
    <cfRule type="containsBlanks" dxfId="1011" priority="260">
      <formula>LEN(TRIM(L815))=0</formula>
    </cfRule>
  </conditionalFormatting>
  <conditionalFormatting sqref="L815:U815">
    <cfRule type="containsBlanks" dxfId="1010" priority="259">
      <formula>LEN(TRIM(L815))=0</formula>
    </cfRule>
  </conditionalFormatting>
  <conditionalFormatting sqref="L815:U815">
    <cfRule type="containsBlanks" dxfId="1009" priority="258">
      <formula>LEN(TRIM(L815))=0</formula>
    </cfRule>
  </conditionalFormatting>
  <conditionalFormatting sqref="L815:U815">
    <cfRule type="containsBlanks" dxfId="1008" priority="257">
      <formula>LEN(TRIM(L815))=0</formula>
    </cfRule>
  </conditionalFormatting>
  <conditionalFormatting sqref="K816:U816">
    <cfRule type="containsBlanks" dxfId="1007" priority="252">
      <formula>LEN(TRIM(K816))=0</formula>
    </cfRule>
    <cfRule type="cellIs" dxfId="1006" priority="253" operator="notEqual">
      <formula>""""""</formula>
    </cfRule>
  </conditionalFormatting>
  <conditionalFormatting sqref="K816:U816">
    <cfRule type="cellIs" dxfId="1005" priority="254" operator="equal">
      <formula>"¿Dentro de los proyectos de la empresa ya se encuentra contemplado este subprograma?"</formula>
    </cfRule>
  </conditionalFormatting>
  <conditionalFormatting sqref="K818:K821">
    <cfRule type="cellIs" dxfId="1004" priority="251" operator="equal">
      <formula>"¿Dentro de los proyectos de la empresa ya se encuentra contemplado este subprograma?"</formula>
    </cfRule>
  </conditionalFormatting>
  <conditionalFormatting sqref="K822">
    <cfRule type="containsBlanks" dxfId="1003" priority="248">
      <formula>LEN(TRIM(K822))=0</formula>
    </cfRule>
    <cfRule type="cellIs" dxfId="1002" priority="249" operator="notEqual">
      <formula>""""""</formula>
    </cfRule>
  </conditionalFormatting>
  <conditionalFormatting sqref="K822">
    <cfRule type="cellIs" dxfId="1001" priority="250" operator="equal">
      <formula>"¿Dentro de los proyectos de la empresa ya se encuentra contemplado este subprograma?"</formula>
    </cfRule>
  </conditionalFormatting>
  <conditionalFormatting sqref="K810:U811">
    <cfRule type="cellIs" dxfId="1000" priority="247" operator="equal">
      <formula>0</formula>
    </cfRule>
  </conditionalFormatting>
  <conditionalFormatting sqref="K823">
    <cfRule type="cellIs" dxfId="999" priority="246" operator="equal">
      <formula>0</formula>
    </cfRule>
  </conditionalFormatting>
  <conditionalFormatting sqref="K824:U824">
    <cfRule type="cellIs" dxfId="998" priority="245" operator="equal">
      <formula>0</formula>
    </cfRule>
  </conditionalFormatting>
  <conditionalFormatting sqref="L819:U819">
    <cfRule type="cellIs" dxfId="997" priority="244" operator="equal">
      <formula>"¿Dentro de los proyectos de la empresa ya se encuentra contemplado este subprograma?"</formula>
    </cfRule>
  </conditionalFormatting>
  <conditionalFormatting sqref="L820:U820">
    <cfRule type="cellIs" dxfId="996" priority="243" operator="equal">
      <formula>"¿Dentro de los proyectos de la empresa ya se encuentra contemplado este subprograma?"</formula>
    </cfRule>
  </conditionalFormatting>
  <conditionalFormatting sqref="D821">
    <cfRule type="cellIs" dxfId="995" priority="238" operator="equal">
      <formula>"¿Dentro de los proyectos de la empresa ya se encuentra contemplado este subprograma?"</formula>
    </cfRule>
  </conditionalFormatting>
  <conditionalFormatting sqref="D823">
    <cfRule type="cellIs" dxfId="994" priority="237" operator="equal">
      <formula>"¿Dentro de los proyectos de la empresa ya se encuentra contemplado este subprograma?"</formula>
    </cfRule>
  </conditionalFormatting>
  <conditionalFormatting sqref="L821:U821">
    <cfRule type="cellIs" dxfId="993" priority="239" operator="equal">
      <formula>"¿Dentro de los proyectos de la empresa ya se encuentra contemplado este subprograma?"</formula>
    </cfRule>
  </conditionalFormatting>
  <conditionalFormatting sqref="K479">
    <cfRule type="containsBlanks" dxfId="992" priority="233">
      <formula>LEN(TRIM(K479))=0</formula>
    </cfRule>
  </conditionalFormatting>
  <conditionalFormatting sqref="K479">
    <cfRule type="cellIs" dxfId="991" priority="234" operator="equal">
      <formula>"¿Dentro de los proyectos de la empresa ya se encuentra contemplado este subprograma?"</formula>
    </cfRule>
  </conditionalFormatting>
  <conditionalFormatting sqref="L479:U479">
    <cfRule type="containsBlanks" dxfId="990" priority="231">
      <formula>LEN(TRIM(L479))=0</formula>
    </cfRule>
  </conditionalFormatting>
  <conditionalFormatting sqref="L479:U479">
    <cfRule type="cellIs" dxfId="989" priority="232" operator="equal">
      <formula>"¿Dentro de los proyectos de la empresa ya se encuentra contemplado este subprograma?"</formula>
    </cfRule>
  </conditionalFormatting>
  <conditionalFormatting sqref="K480:U482">
    <cfRule type="containsBlanks" dxfId="988" priority="226">
      <formula>LEN(TRIM(K480))=0</formula>
    </cfRule>
    <cfRule type="cellIs" dxfId="987" priority="227" operator="notEqual">
      <formula>""""""</formula>
    </cfRule>
  </conditionalFormatting>
  <conditionalFormatting sqref="K480:U482">
    <cfRule type="cellIs" dxfId="986" priority="228" operator="equal">
      <formula>"¿Dentro de los proyectos de la empresa ya se encuentra contemplado este subprograma?"</formula>
    </cfRule>
  </conditionalFormatting>
  <conditionalFormatting sqref="K648">
    <cfRule type="containsBlanks" dxfId="985" priority="225">
      <formula>LEN(TRIM(K648))=0</formula>
    </cfRule>
  </conditionalFormatting>
  <conditionalFormatting sqref="L710:U710">
    <cfRule type="containsBlanks" dxfId="984" priority="222">
      <formula>LEN(TRIM(L710))=0</formula>
    </cfRule>
  </conditionalFormatting>
  <conditionalFormatting sqref="L710:U710">
    <cfRule type="containsBlanks" dxfId="983" priority="220">
      <formula>LEN(TRIM(L710))=0</formula>
    </cfRule>
  </conditionalFormatting>
  <conditionalFormatting sqref="L710:U710">
    <cfRule type="cellIs" dxfId="982" priority="221" operator="notEqual">
      <formula>""""""</formula>
    </cfRule>
  </conditionalFormatting>
  <conditionalFormatting sqref="K717:U717">
    <cfRule type="containsBlanks" dxfId="981" priority="219">
      <formula>LEN(TRIM(K717))=0</formula>
    </cfRule>
  </conditionalFormatting>
  <conditionalFormatting sqref="Q723:U723">
    <cfRule type="containsBlanks" dxfId="980" priority="217">
      <formula>LEN(TRIM(Q723))=0</formula>
    </cfRule>
    <cfRule type="cellIs" dxfId="979" priority="218" operator="notEqual">
      <formula>""""""</formula>
    </cfRule>
  </conditionalFormatting>
  <conditionalFormatting sqref="Q723:U723">
    <cfRule type="containsBlanks" dxfId="978" priority="216">
      <formula>LEN(TRIM(Q723))=0</formula>
    </cfRule>
  </conditionalFormatting>
  <conditionalFormatting sqref="L822:U822">
    <cfRule type="containsBlanks" dxfId="977" priority="213">
      <formula>LEN(TRIM(L822))=0</formula>
    </cfRule>
    <cfRule type="cellIs" dxfId="976" priority="214" operator="notEqual">
      <formula>""""""</formula>
    </cfRule>
  </conditionalFormatting>
  <conditionalFormatting sqref="L822:U822">
    <cfRule type="cellIs" dxfId="975" priority="215" operator="equal">
      <formula>"¿Dentro de los proyectos de la empresa ya se encuentra contemplado este subprograma?"</formula>
    </cfRule>
  </conditionalFormatting>
  <conditionalFormatting sqref="P837:U837">
    <cfRule type="containsBlanks" dxfId="974" priority="210">
      <formula>LEN(TRIM(P837))=0</formula>
    </cfRule>
    <cfRule type="cellIs" dxfId="973" priority="211" operator="notEqual">
      <formula>""""""</formula>
    </cfRule>
  </conditionalFormatting>
  <conditionalFormatting sqref="P837:U837">
    <cfRule type="cellIs" dxfId="972" priority="212" operator="equal">
      <formula>"¿Dentro de los proyectos de la empresa ya se encuentra contemplado este subprograma?"</formula>
    </cfRule>
  </conditionalFormatting>
  <conditionalFormatting sqref="L622:P622">
    <cfRule type="cellIs" dxfId="971" priority="209" operator="equal">
      <formula>0</formula>
    </cfRule>
  </conditionalFormatting>
  <conditionalFormatting sqref="Q622:U623">
    <cfRule type="cellIs" dxfId="970" priority="208" operator="equal">
      <formula>0</formula>
    </cfRule>
  </conditionalFormatting>
  <conditionalFormatting sqref="Q623:U623">
    <cfRule type="cellIs" dxfId="969" priority="207" operator="equal">
      <formula>0</formula>
    </cfRule>
  </conditionalFormatting>
  <conditionalFormatting sqref="Q623:U623">
    <cfRule type="cellIs" dxfId="968" priority="206" operator="equal">
      <formula>0</formula>
    </cfRule>
  </conditionalFormatting>
  <conditionalFormatting sqref="L677:U677">
    <cfRule type="containsBlanks" dxfId="967" priority="205">
      <formula>LEN(TRIM(L677))=0</formula>
    </cfRule>
  </conditionalFormatting>
  <conditionalFormatting sqref="S677:U677">
    <cfRule type="containsBlanks" dxfId="966" priority="204">
      <formula>LEN(TRIM(S677))=0</formula>
    </cfRule>
  </conditionalFormatting>
  <conditionalFormatting sqref="L109:L110">
    <cfRule type="cellIs" dxfId="965" priority="203" operator="equal">
      <formula>0</formula>
    </cfRule>
  </conditionalFormatting>
  <conditionalFormatting sqref="K553:U553 Q554:U554 K548:U549">
    <cfRule type="cellIs" dxfId="964" priority="199" operator="lessThan">
      <formula>0</formula>
    </cfRule>
  </conditionalFormatting>
  <conditionalFormatting sqref="Q550:U550">
    <cfRule type="cellIs" dxfId="963" priority="198" operator="lessThan">
      <formula>0</formula>
    </cfRule>
  </conditionalFormatting>
  <conditionalFormatting sqref="K544:U545">
    <cfRule type="containsBlanks" dxfId="962" priority="197">
      <formula>LEN(TRIM(K544))=0</formula>
    </cfRule>
  </conditionalFormatting>
  <conditionalFormatting sqref="E553">
    <cfRule type="cellIs" dxfId="961" priority="196" operator="equal">
      <formula>"NO"</formula>
    </cfRule>
  </conditionalFormatting>
  <conditionalFormatting sqref="K555:U555">
    <cfRule type="cellIs" dxfId="960" priority="194" operator="equal">
      <formula>"NO"</formula>
    </cfRule>
    <cfRule type="cellIs" dxfId="959" priority="195" operator="equal">
      <formula>"SI"</formula>
    </cfRule>
  </conditionalFormatting>
  <conditionalFormatting sqref="K555:U555">
    <cfRule type="cellIs" dxfId="958" priority="193" operator="equal">
      <formula>"N/A"</formula>
    </cfRule>
  </conditionalFormatting>
  <conditionalFormatting sqref="Q554:U554">
    <cfRule type="containsBlanks" dxfId="957" priority="192">
      <formula>LEN(TRIM(Q554))=0</formula>
    </cfRule>
  </conditionalFormatting>
  <conditionalFormatting sqref="D549">
    <cfRule type="cellIs" dxfId="956" priority="190" operator="equal">
      <formula>"NO"</formula>
    </cfRule>
  </conditionalFormatting>
  <conditionalFormatting sqref="K549">
    <cfRule type="containsBlanks" dxfId="955" priority="189">
      <formula>LEN(TRIM(K549))=0</formula>
    </cfRule>
  </conditionalFormatting>
  <conditionalFormatting sqref="K551:K552">
    <cfRule type="cellIs" dxfId="954" priority="187" operator="lessThan">
      <formula>0</formula>
    </cfRule>
  </conditionalFormatting>
  <conditionalFormatting sqref="K551:K552">
    <cfRule type="containsBlanks" dxfId="953" priority="186">
      <formula>LEN(TRIM(K551))=0</formula>
    </cfRule>
  </conditionalFormatting>
  <conditionalFormatting sqref="K553:U553">
    <cfRule type="cellIs" dxfId="952" priority="141" operator="equal">
      <formula>0</formula>
    </cfRule>
    <cfRule type="cellIs" dxfId="951" priority="185" operator="lessThan">
      <formula>0</formula>
    </cfRule>
  </conditionalFormatting>
  <conditionalFormatting sqref="D555">
    <cfRule type="cellIs" dxfId="950" priority="182" operator="equal">
      <formula>"I/O"</formula>
    </cfRule>
    <cfRule type="cellIs" dxfId="949" priority="183" operator="equal">
      <formula>"Operación"</formula>
    </cfRule>
    <cfRule type="cellIs" dxfId="948" priority="184" operator="equal">
      <formula>"Inversión"</formula>
    </cfRule>
  </conditionalFormatting>
  <conditionalFormatting sqref="K556:U561">
    <cfRule type="cellIs" dxfId="947" priority="181" operator="equal">
      <formula>0</formula>
    </cfRule>
  </conditionalFormatting>
  <conditionalFormatting sqref="L551:U552 Q550:U550">
    <cfRule type="cellIs" dxfId="946" priority="176" operator="lessThan">
      <formula>0</formula>
    </cfRule>
  </conditionalFormatting>
  <conditionalFormatting sqref="K551:U553 Q550:U550">
    <cfRule type="containsBlanks" dxfId="945" priority="2068">
      <formula>LEN(TRIM(K550))=0</formula>
    </cfRule>
  </conditionalFormatting>
  <conditionalFormatting sqref="K549">
    <cfRule type="cellIs" dxfId="944" priority="174" operator="equal">
      <formula>0</formula>
    </cfRule>
  </conditionalFormatting>
  <conditionalFormatting sqref="K562">
    <cfRule type="cellIs" dxfId="943" priority="173" operator="equal">
      <formula>0</formula>
    </cfRule>
  </conditionalFormatting>
  <conditionalFormatting sqref="L562:U562">
    <cfRule type="cellIs" dxfId="942" priority="172" operator="equal">
      <formula>0</formula>
    </cfRule>
  </conditionalFormatting>
  <conditionalFormatting sqref="D562">
    <cfRule type="expression" dxfId="941" priority="170">
      <formula>$D$123&lt;&gt;0</formula>
    </cfRule>
    <cfRule type="cellIs" dxfId="940" priority="171" operator="equal">
      <formula>0</formula>
    </cfRule>
  </conditionalFormatting>
  <conditionalFormatting sqref="A551:C553 A544:XFD544 A545:C547 E551:XFD553 A550:J550 A554:J554 Q554:XFD554 Q546:XFD550 A548:P549 E546:P547 E545:XFD545 A555:XFD562">
    <cfRule type="cellIs" dxfId="939" priority="202" operator="equal">
      <formula>"¿Dentro de los proyectos de la empresa ya se encuentra contemplado este subprograma?"</formula>
    </cfRule>
  </conditionalFormatting>
  <conditionalFormatting sqref="D555">
    <cfRule type="cellIs" dxfId="938" priority="167" operator="equal">
      <formula>"I/O"</formula>
    </cfRule>
    <cfRule type="cellIs" dxfId="937" priority="168" operator="equal">
      <formula>"Operación"</formula>
    </cfRule>
    <cfRule type="cellIs" dxfId="936" priority="169" operator="equal">
      <formula>"Inversión"</formula>
    </cfRule>
  </conditionalFormatting>
  <conditionalFormatting sqref="D555">
    <cfRule type="cellIs" dxfId="935" priority="164" operator="equal">
      <formula>"I/O"</formula>
    </cfRule>
    <cfRule type="cellIs" dxfId="934" priority="165" operator="equal">
      <formula>"Operación"</formula>
    </cfRule>
    <cfRule type="cellIs" dxfId="933" priority="166" operator="equal">
      <formula>"Inversión"</formula>
    </cfRule>
  </conditionalFormatting>
  <conditionalFormatting sqref="D555">
    <cfRule type="cellIs" dxfId="932" priority="161" operator="equal">
      <formula>"I/O"</formula>
    </cfRule>
    <cfRule type="cellIs" dxfId="931" priority="162" operator="equal">
      <formula>"Operación"</formula>
    </cfRule>
    <cfRule type="cellIs" dxfId="930" priority="163" operator="equal">
      <formula>"Inversión"</formula>
    </cfRule>
  </conditionalFormatting>
  <conditionalFormatting sqref="D555">
    <cfRule type="cellIs" dxfId="929" priority="158" operator="equal">
      <formula>"I/O"</formula>
    </cfRule>
    <cfRule type="cellIs" dxfId="928" priority="159" operator="equal">
      <formula>"Operación"</formula>
    </cfRule>
    <cfRule type="cellIs" dxfId="927" priority="160" operator="equal">
      <formula>"Inversión"</formula>
    </cfRule>
  </conditionalFormatting>
  <conditionalFormatting sqref="D555">
    <cfRule type="cellIs" dxfId="926" priority="155" operator="equal">
      <formula>"I/O"</formula>
    </cfRule>
    <cfRule type="cellIs" dxfId="925" priority="156" operator="equal">
      <formula>"Operación"</formula>
    </cfRule>
    <cfRule type="cellIs" dxfId="924" priority="157" operator="equal">
      <formula>"Inversión"</formula>
    </cfRule>
  </conditionalFormatting>
  <conditionalFormatting sqref="D555">
    <cfRule type="cellIs" dxfId="923" priority="152" operator="equal">
      <formula>"I/O"</formula>
    </cfRule>
    <cfRule type="cellIs" dxfId="922" priority="153" operator="equal">
      <formula>"Operación"</formula>
    </cfRule>
    <cfRule type="cellIs" dxfId="921" priority="154" operator="equal">
      <formula>"Inversión"</formula>
    </cfRule>
  </conditionalFormatting>
  <conditionalFormatting sqref="D555">
    <cfRule type="cellIs" dxfId="920" priority="149" operator="equal">
      <formula>"I/O"</formula>
    </cfRule>
    <cfRule type="cellIs" dxfId="919" priority="150" operator="equal">
      <formula>"Operación"</formula>
    </cfRule>
    <cfRule type="cellIs" dxfId="918" priority="151" operator="equal">
      <formula>"Inversión"</formula>
    </cfRule>
  </conditionalFormatting>
  <conditionalFormatting sqref="L551:U552">
    <cfRule type="cellIs" dxfId="917" priority="148" operator="equal">
      <formula>0</formula>
    </cfRule>
  </conditionalFormatting>
  <conditionalFormatting sqref="K551:U552">
    <cfRule type="cellIs" dxfId="916" priority="147" operator="lessThan">
      <formula>0</formula>
    </cfRule>
  </conditionalFormatting>
  <conditionalFormatting sqref="K551:K552">
    <cfRule type="containsBlanks" dxfId="915" priority="146">
      <formula>LEN(TRIM(K551))=0</formula>
    </cfRule>
  </conditionalFormatting>
  <conditionalFormatting sqref="K551:U552">
    <cfRule type="cellIs" dxfId="914" priority="145" operator="equal">
      <formula>0</formula>
    </cfRule>
  </conditionalFormatting>
  <conditionalFormatting sqref="D552:D553">
    <cfRule type="cellIs" dxfId="913" priority="144" operator="equal">
      <formula>"¿Dentro de los proyectos de la empresa ya se encuentra contemplado este subprograma?"</formula>
    </cfRule>
  </conditionalFormatting>
  <conditionalFormatting sqref="Q554:U554">
    <cfRule type="cellIs" dxfId="912" priority="143" operator="lessThan">
      <formula>0</formula>
    </cfRule>
  </conditionalFormatting>
  <conditionalFormatting sqref="Q554:U554">
    <cfRule type="containsBlanks" dxfId="911" priority="142">
      <formula>LEN(TRIM(Q554))=0</formula>
    </cfRule>
  </conditionalFormatting>
  <conditionalFormatting sqref="K662:U662">
    <cfRule type="cellIs" dxfId="910" priority="140" operator="equal">
      <formula>0</formula>
    </cfRule>
  </conditionalFormatting>
  <conditionalFormatting sqref="K664:U664">
    <cfRule type="cellIs" dxfId="909" priority="139" operator="equal">
      <formula>0</formula>
    </cfRule>
  </conditionalFormatting>
  <conditionalFormatting sqref="K668:L669">
    <cfRule type="cellIs" dxfId="908" priority="137" operator="equal">
      <formula>0</formula>
    </cfRule>
    <cfRule type="expression" dxfId="907" priority="138">
      <formula>$D$123&lt;&gt;""</formula>
    </cfRule>
  </conditionalFormatting>
  <conditionalFormatting sqref="K177">
    <cfRule type="containsBlanks" dxfId="906" priority="135">
      <formula>LEN(TRIM(K177))=0</formula>
    </cfRule>
    <cfRule type="expression" dxfId="905" priority="136">
      <formula>K177&lt;&gt;SUM(K178:K181)</formula>
    </cfRule>
  </conditionalFormatting>
  <conditionalFormatting sqref="K177">
    <cfRule type="containsBlanks" dxfId="904" priority="133">
      <formula>LEN(TRIM(K177))=0</formula>
    </cfRule>
    <cfRule type="cellIs" dxfId="903" priority="134" operator="notEqual">
      <formula>""""""</formula>
    </cfRule>
  </conditionalFormatting>
  <conditionalFormatting sqref="K677:P677">
    <cfRule type="containsBlanks" dxfId="902" priority="132">
      <formula>LEN(TRIM(K677))=0</formula>
    </cfRule>
  </conditionalFormatting>
  <conditionalFormatting sqref="K262">
    <cfRule type="containsBlanks" dxfId="901" priority="130">
      <formula>LEN(TRIM(K262))=0</formula>
    </cfRule>
    <cfRule type="expression" dxfId="900" priority="131">
      <formula>K262&lt;&gt;SUM(K263:K266)</formula>
    </cfRule>
  </conditionalFormatting>
  <conditionalFormatting sqref="K262">
    <cfRule type="containsBlanks" dxfId="899" priority="128">
      <formula>LEN(TRIM(K262))=0</formula>
    </cfRule>
    <cfRule type="cellIs" dxfId="898" priority="129" operator="notEqual">
      <formula>""""""</formula>
    </cfRule>
  </conditionalFormatting>
  <conditionalFormatting sqref="K344">
    <cfRule type="containsBlanks" dxfId="897" priority="126">
      <formula>LEN(TRIM(K344))=0</formula>
    </cfRule>
    <cfRule type="expression" dxfId="896" priority="127">
      <formula>K344&lt;&gt;SUM(K345:K348)</formula>
    </cfRule>
  </conditionalFormatting>
  <conditionalFormatting sqref="K344">
    <cfRule type="containsBlanks" dxfId="895" priority="124">
      <formula>LEN(TRIM(K344))=0</formula>
    </cfRule>
    <cfRule type="cellIs" dxfId="894" priority="125" operator="notEqual">
      <formula>""""""</formula>
    </cfRule>
  </conditionalFormatting>
  <conditionalFormatting sqref="K261">
    <cfRule type="containsBlanks" dxfId="893" priority="123">
      <formula>LEN(TRIM(K261))=0</formula>
    </cfRule>
  </conditionalFormatting>
  <conditionalFormatting sqref="K658:U660">
    <cfRule type="cellIs" dxfId="892" priority="966" operator="notEqual">
      <formula>""""""</formula>
    </cfRule>
  </conditionalFormatting>
  <conditionalFormatting sqref="K723">
    <cfRule type="containsBlanks" dxfId="891" priority="120">
      <formula>LEN(TRIM(K723))=0</formula>
    </cfRule>
  </conditionalFormatting>
  <conditionalFormatting sqref="K722">
    <cfRule type="cellIs" dxfId="890" priority="122" operator="equal">
      <formula>0</formula>
    </cfRule>
  </conditionalFormatting>
  <conditionalFormatting sqref="P649:P650">
    <cfRule type="cellIs" dxfId="889" priority="119" operator="equal">
      <formula>0</formula>
    </cfRule>
  </conditionalFormatting>
  <conditionalFormatting sqref="Q649:U650">
    <cfRule type="cellIs" dxfId="888" priority="118" operator="equal">
      <formula>0</formula>
    </cfRule>
  </conditionalFormatting>
  <conditionalFormatting sqref="L649:O650">
    <cfRule type="cellIs" dxfId="887" priority="117" operator="equal">
      <formula>0</formula>
    </cfRule>
  </conditionalFormatting>
  <conditionalFormatting sqref="K606">
    <cfRule type="cellIs" dxfId="886" priority="116" operator="equal">
      <formula>0</formula>
    </cfRule>
  </conditionalFormatting>
  <conditionalFormatting sqref="K607:U607">
    <cfRule type="cellIs" dxfId="885" priority="115" operator="equal">
      <formula>0</formula>
    </cfRule>
  </conditionalFormatting>
  <conditionalFormatting sqref="L178:P181">
    <cfRule type="containsBlanks" dxfId="884" priority="113">
      <formula>LEN(TRIM(L178))=0</formula>
    </cfRule>
    <cfRule type="cellIs" dxfId="883" priority="114" operator="notEqual">
      <formula>""""""</formula>
    </cfRule>
  </conditionalFormatting>
  <conditionalFormatting sqref="K448">
    <cfRule type="containsBlanks" dxfId="882" priority="111">
      <formula>LEN(TRIM(K448))=0</formula>
    </cfRule>
    <cfRule type="expression" dxfId="881" priority="112">
      <formula>K448&lt;&gt;SUM(K449:K452)</formula>
    </cfRule>
  </conditionalFormatting>
  <conditionalFormatting sqref="K448">
    <cfRule type="containsBlanks" dxfId="880" priority="109">
      <formula>LEN(TRIM(K448))=0</formula>
    </cfRule>
    <cfRule type="cellIs" dxfId="879" priority="110" operator="notEqual">
      <formula>""""""</formula>
    </cfRule>
  </conditionalFormatting>
  <conditionalFormatting sqref="K677:P677">
    <cfRule type="containsBlanks" dxfId="878" priority="105">
      <formula>LEN(TRIM(K677))=0</formula>
    </cfRule>
  </conditionalFormatting>
  <conditionalFormatting sqref="L725 N725 P725 R725 T725">
    <cfRule type="expression" dxfId="877" priority="103">
      <formula>$D$123&lt;&gt;""</formula>
    </cfRule>
  </conditionalFormatting>
  <conditionalFormatting sqref="K724:U725">
    <cfRule type="cellIs" dxfId="876" priority="102" operator="equal">
      <formula>0</formula>
    </cfRule>
  </conditionalFormatting>
  <conditionalFormatting sqref="Q399:U399">
    <cfRule type="containsBlanks" dxfId="875" priority="101">
      <formula>LEN(TRIM(Q399))=0</formula>
    </cfRule>
  </conditionalFormatting>
  <conditionalFormatting sqref="R806:U806">
    <cfRule type="cellIs" dxfId="874" priority="98" operator="equal">
      <formula>"¿Dentro de los proyectos de la empresa ya se encuentra contemplado este subprograma?"</formula>
    </cfRule>
  </conditionalFormatting>
  <conditionalFormatting sqref="L806:U806">
    <cfRule type="cellIs" dxfId="873" priority="97" operator="equal">
      <formula>0</formula>
    </cfRule>
  </conditionalFormatting>
  <conditionalFormatting sqref="L818:U821">
    <cfRule type="cellIs" dxfId="872" priority="96" operator="equal">
      <formula>0</formula>
    </cfRule>
  </conditionalFormatting>
  <conditionalFormatting sqref="B182">
    <cfRule type="cellIs" dxfId="871" priority="94" operator="equal">
      <formula>"NO"</formula>
    </cfRule>
    <cfRule type="cellIs" dxfId="870" priority="95" operator="equal">
      <formula>"SI"</formula>
    </cfRule>
  </conditionalFormatting>
  <conditionalFormatting sqref="B182">
    <cfRule type="cellIs" dxfId="869" priority="93" operator="equal">
      <formula>"N/A"</formula>
    </cfRule>
  </conditionalFormatting>
  <conditionalFormatting sqref="K3:U3">
    <cfRule type="cellIs" dxfId="868" priority="92" operator="equal">
      <formula>"¿Dentro de los proyectos de la empresa ya se encuentra contemplado este subprograma?"</formula>
    </cfRule>
  </conditionalFormatting>
  <conditionalFormatting sqref="K2:U2">
    <cfRule type="cellIs" dxfId="867" priority="91" operator="equal">
      <formula>"¿Dentro de los proyectos de la empresa ya se encuentra contemplado este subprograma?"</formula>
    </cfRule>
  </conditionalFormatting>
  <conditionalFormatting sqref="E3:J3">
    <cfRule type="cellIs" dxfId="866" priority="90" operator="equal">
      <formula>"¿Dentro de los proyectos de la empresa ya se encuentra contemplado este subprograma?"</formula>
    </cfRule>
  </conditionalFormatting>
  <conditionalFormatting sqref="L657:P657">
    <cfRule type="cellIs" dxfId="865" priority="89" operator="notEqual">
      <formula>""""""</formula>
    </cfRule>
  </conditionalFormatting>
  <conditionalFormatting sqref="L624:P624">
    <cfRule type="cellIs" dxfId="864" priority="83" operator="equal">
      <formula>0</formula>
    </cfRule>
  </conditionalFormatting>
  <conditionalFormatting sqref="L624:P624">
    <cfRule type="cellIs" dxfId="863" priority="82" operator="equal">
      <formula>0</formula>
    </cfRule>
  </conditionalFormatting>
  <conditionalFormatting sqref="L624:P624">
    <cfRule type="cellIs" dxfId="862" priority="81" operator="equal">
      <formula>0</formula>
    </cfRule>
  </conditionalFormatting>
  <conditionalFormatting sqref="L624:P624">
    <cfRule type="cellIs" dxfId="861" priority="80" operator="equal">
      <formula>0</formula>
    </cfRule>
  </conditionalFormatting>
  <conditionalFormatting sqref="L624:P624">
    <cfRule type="cellIs" dxfId="860" priority="79" operator="equal">
      <formula>0</formula>
    </cfRule>
  </conditionalFormatting>
  <conditionalFormatting sqref="L624:P624">
    <cfRule type="cellIs" dxfId="859" priority="78" operator="equal">
      <formula>0</formula>
    </cfRule>
  </conditionalFormatting>
  <conditionalFormatting sqref="O723">
    <cfRule type="containsBlanks" dxfId="858" priority="77">
      <formula>LEN(TRIM(O723))=0</formula>
    </cfRule>
  </conditionalFormatting>
  <conditionalFormatting sqref="P723">
    <cfRule type="containsBlanks" dxfId="857" priority="76">
      <formula>LEN(TRIM(P723))=0</formula>
    </cfRule>
  </conditionalFormatting>
  <conditionalFormatting sqref="L723:P723">
    <cfRule type="containsBlanks" dxfId="856" priority="75">
      <formula>LEN(TRIM(L723))=0</formula>
    </cfRule>
  </conditionalFormatting>
  <conditionalFormatting sqref="L723:P723">
    <cfRule type="containsBlanks" dxfId="855" priority="73">
      <formula>LEN(TRIM(L723))=0</formula>
    </cfRule>
  </conditionalFormatting>
  <conditionalFormatting sqref="L723:P723">
    <cfRule type="cellIs" dxfId="854" priority="74" operator="notEqual">
      <formula>""""""</formula>
    </cfRule>
  </conditionalFormatting>
  <conditionalFormatting sqref="L837:O837">
    <cfRule type="containsBlanks" dxfId="853" priority="70">
      <formula>LEN(TRIM(L837))=0</formula>
    </cfRule>
    <cfRule type="cellIs" dxfId="852" priority="71" operator="notEqual">
      <formula>""""""</formula>
    </cfRule>
  </conditionalFormatting>
  <conditionalFormatting sqref="L837:O837">
    <cfRule type="cellIs" dxfId="851" priority="72" operator="equal">
      <formula>"¿Dentro de los proyectos de la empresa ya se encuentra contemplado este subprograma?"</formula>
    </cfRule>
  </conditionalFormatting>
  <conditionalFormatting sqref="K533:P534">
    <cfRule type="containsBlanks" dxfId="850" priority="67">
      <formula>LEN(TRIM(K533))=0</formula>
    </cfRule>
    <cfRule type="cellIs" dxfId="849" priority="68" operator="notEqual">
      <formula>""""""</formula>
    </cfRule>
  </conditionalFormatting>
  <conditionalFormatting sqref="K533:P534">
    <cfRule type="cellIs" dxfId="848" priority="69" operator="equal">
      <formula>"¿Dentro de los proyectos de la empresa ya se encuentra contemplado este subprograma?"</formula>
    </cfRule>
  </conditionalFormatting>
  <conditionalFormatting sqref="D546">
    <cfRule type="expression" dxfId="847" priority="65">
      <formula>D546&lt;&gt;SUM(D547:D548)</formula>
    </cfRule>
  </conditionalFormatting>
  <conditionalFormatting sqref="D545:D547">
    <cfRule type="cellIs" dxfId="846" priority="66" operator="equal">
      <formula>"¿Dentro de los proyectos de la empresa ya se encuentra contemplado este subprograma?"</formula>
    </cfRule>
  </conditionalFormatting>
  <conditionalFormatting sqref="D551">
    <cfRule type="cellIs" dxfId="845" priority="64" operator="equal">
      <formula>"¿Dentro de los proyectos de la empresa ya se encuentra contemplado este subprograma?"</formula>
    </cfRule>
  </conditionalFormatting>
  <conditionalFormatting sqref="M550:P550">
    <cfRule type="cellIs" dxfId="844" priority="61" operator="lessThan">
      <formula>0</formula>
    </cfRule>
  </conditionalFormatting>
  <conditionalFormatting sqref="K550">
    <cfRule type="cellIs" dxfId="843" priority="60" operator="lessThan">
      <formula>0</formula>
    </cfRule>
  </conditionalFormatting>
  <conditionalFormatting sqref="K550">
    <cfRule type="containsBlanks" dxfId="842" priority="59">
      <formula>LEN(TRIM(K550))=0</formula>
    </cfRule>
  </conditionalFormatting>
  <conditionalFormatting sqref="L550:P550">
    <cfRule type="cellIs" dxfId="841" priority="58" operator="lessThan">
      <formula>0</formula>
    </cfRule>
  </conditionalFormatting>
  <conditionalFormatting sqref="K550:P550">
    <cfRule type="containsBlanks" dxfId="840" priority="63">
      <formula>LEN(TRIM(K550))=0</formula>
    </cfRule>
  </conditionalFormatting>
  <conditionalFormatting sqref="K550:P550">
    <cfRule type="cellIs" dxfId="839" priority="62" operator="equal">
      <formula>"¿Dentro de los proyectos de la empresa ya se encuentra contemplado este subprograma?"</formula>
    </cfRule>
  </conditionalFormatting>
  <conditionalFormatting sqref="K554:P554">
    <cfRule type="cellIs" dxfId="838" priority="56" operator="lessThan">
      <formula>0</formula>
    </cfRule>
  </conditionalFormatting>
  <conditionalFormatting sqref="M554:P554">
    <cfRule type="containsBlanks" dxfId="837" priority="55">
      <formula>LEN(TRIM(M554))=0</formula>
    </cfRule>
  </conditionalFormatting>
  <conditionalFormatting sqref="L554">
    <cfRule type="cellIs" dxfId="836" priority="54" operator="lessThan">
      <formula>0</formula>
    </cfRule>
  </conditionalFormatting>
  <conditionalFormatting sqref="L554">
    <cfRule type="containsBlanks" dxfId="835" priority="53">
      <formula>LEN(TRIM(L554))=0</formula>
    </cfRule>
  </conditionalFormatting>
  <conditionalFormatting sqref="K554">
    <cfRule type="cellIs" dxfId="834" priority="52" operator="lessThan">
      <formula>0</formula>
    </cfRule>
  </conditionalFormatting>
  <conditionalFormatting sqref="K554">
    <cfRule type="containsBlanks" dxfId="833" priority="51">
      <formula>LEN(TRIM(K554))=0</formula>
    </cfRule>
  </conditionalFormatting>
  <conditionalFormatting sqref="K554:P554">
    <cfRule type="cellIs" dxfId="832" priority="57" operator="equal">
      <formula>"¿Dentro de los proyectos de la empresa ya se encuentra contemplado este subprograma?"</formula>
    </cfRule>
  </conditionalFormatting>
  <conditionalFormatting sqref="M554:P554">
    <cfRule type="cellIs" dxfId="831" priority="50" operator="lessThan">
      <formula>0</formula>
    </cfRule>
  </conditionalFormatting>
  <conditionalFormatting sqref="M554:P554">
    <cfRule type="containsBlanks" dxfId="830" priority="49">
      <formula>LEN(TRIM(M554))=0</formula>
    </cfRule>
  </conditionalFormatting>
  <conditionalFormatting sqref="D639">
    <cfRule type="expression" dxfId="829" priority="47">
      <formula>$D$639&lt;&gt;SUM($K$641:$U$641)</formula>
    </cfRule>
  </conditionalFormatting>
  <conditionalFormatting sqref="D637:D639">
    <cfRule type="cellIs" dxfId="828" priority="48" operator="equal">
      <formula>"¿Dentro de los proyectos de la empresa ya se encuentra contemplado este subprograma?"</formula>
    </cfRule>
  </conditionalFormatting>
  <conditionalFormatting sqref="L641:U641">
    <cfRule type="containsBlanks" dxfId="827" priority="45">
      <formula>LEN(TRIM(L641))=0</formula>
    </cfRule>
  </conditionalFormatting>
  <conditionalFormatting sqref="K641:U641">
    <cfRule type="cellIs" dxfId="826" priority="46" operator="equal">
      <formula>"¿Dentro de los proyectos de la empresa ya se encuentra contemplado este subprograma?"</formula>
    </cfRule>
  </conditionalFormatting>
  <conditionalFormatting sqref="L648:U648">
    <cfRule type="containsBlanks" dxfId="825" priority="43">
      <formula>LEN(TRIM(L648))=0</formula>
    </cfRule>
  </conditionalFormatting>
  <conditionalFormatting sqref="L648:U648">
    <cfRule type="cellIs" dxfId="824" priority="42" operator="notEqual">
      <formula>""""""</formula>
    </cfRule>
  </conditionalFormatting>
  <conditionalFormatting sqref="O648">
    <cfRule type="containsBlanks" dxfId="823" priority="41">
      <formula>LEN(TRIM(O648))=0</formula>
    </cfRule>
  </conditionalFormatting>
  <conditionalFormatting sqref="M648:U648">
    <cfRule type="containsBlanks" dxfId="822" priority="40">
      <formula>LEN(TRIM(M648))=0</formula>
    </cfRule>
  </conditionalFormatting>
  <conditionalFormatting sqref="L648:U648">
    <cfRule type="cellIs" dxfId="821" priority="44" operator="equal">
      <formula>"¿Dentro de los proyectos de la empresa ya se encuentra contemplado este subprograma?"</formula>
    </cfRule>
  </conditionalFormatting>
  <conditionalFormatting sqref="L648:U648">
    <cfRule type="containsBlanks" dxfId="820" priority="39">
      <formula>LEN(TRIM(L648))=0</formula>
    </cfRule>
  </conditionalFormatting>
  <conditionalFormatting sqref="D690">
    <cfRule type="expression" dxfId="819" priority="37">
      <formula>D690&lt;&gt;SUM(K691:U691)</formula>
    </cfRule>
  </conditionalFormatting>
  <conditionalFormatting sqref="D690">
    <cfRule type="cellIs" dxfId="818" priority="38" operator="equal">
      <formula>"¿Dentro de los proyectos de la empresa ya se encuentra contemplado este subprograma?"</formula>
    </cfRule>
  </conditionalFormatting>
  <conditionalFormatting sqref="D703">
    <cfRule type="expression" dxfId="817" priority="35">
      <formula>D703&lt;&gt;SUM(K704:U704)</formula>
    </cfRule>
  </conditionalFormatting>
  <conditionalFormatting sqref="D703">
    <cfRule type="cellIs" dxfId="816" priority="36" operator="equal">
      <formula>"¿Dentro de los proyectos de la empresa ya se encuentra contemplado este subprograma?"</formula>
    </cfRule>
  </conditionalFormatting>
  <conditionalFormatting sqref="D716">
    <cfRule type="expression" dxfId="815" priority="33">
      <formula>D716&lt;&gt;SUM(K717:U717)</formula>
    </cfRule>
  </conditionalFormatting>
  <conditionalFormatting sqref="D716">
    <cfRule type="cellIs" dxfId="814" priority="34" operator="equal">
      <formula>"¿Dentro de los proyectos de la empresa ya se encuentra contemplado este subprograma?"</formula>
    </cfRule>
  </conditionalFormatting>
  <conditionalFormatting sqref="L691:U691">
    <cfRule type="containsBlanks" dxfId="813" priority="31">
      <formula>LEN(TRIM(L691))=0</formula>
    </cfRule>
  </conditionalFormatting>
  <conditionalFormatting sqref="L691:U691">
    <cfRule type="cellIs" dxfId="812" priority="32" operator="equal">
      <formula>"¿Dentro de los proyectos de la empresa ya se encuentra contemplado este subprograma?"</formula>
    </cfRule>
  </conditionalFormatting>
  <conditionalFormatting sqref="O697">
    <cfRule type="containsBlanks" dxfId="811" priority="29">
      <formula>LEN(TRIM(O697))=0</formula>
    </cfRule>
  </conditionalFormatting>
  <conditionalFormatting sqref="P697:U697">
    <cfRule type="containsBlanks" dxfId="810" priority="28">
      <formula>LEN(TRIM(P697))=0</formula>
    </cfRule>
  </conditionalFormatting>
  <conditionalFormatting sqref="L697:U697">
    <cfRule type="containsBlanks" dxfId="809" priority="27">
      <formula>LEN(TRIM(L697))=0</formula>
    </cfRule>
  </conditionalFormatting>
  <conditionalFormatting sqref="L697:U697">
    <cfRule type="cellIs" dxfId="808" priority="30" operator="equal">
      <formula>"¿Dentro de los proyectos de la empresa ya se encuentra contemplado este subprograma?"</formula>
    </cfRule>
  </conditionalFormatting>
  <conditionalFormatting sqref="L697:U697">
    <cfRule type="containsBlanks" dxfId="807" priority="25">
      <formula>LEN(TRIM(L697))=0</formula>
    </cfRule>
  </conditionalFormatting>
  <conditionalFormatting sqref="L697:U697">
    <cfRule type="cellIs" dxfId="806" priority="26" operator="notEqual">
      <formula>""""""</formula>
    </cfRule>
  </conditionalFormatting>
  <conditionalFormatting sqref="L704:P704">
    <cfRule type="containsBlanks" dxfId="805" priority="23">
      <formula>LEN(TRIM(L704))=0</formula>
    </cfRule>
  </conditionalFormatting>
  <conditionalFormatting sqref="L704:P704">
    <cfRule type="cellIs" dxfId="804" priority="24" operator="equal">
      <formula>"¿Dentro de los proyectos de la empresa ya se encuentra contemplado este subprograma?"</formula>
    </cfRule>
  </conditionalFormatting>
  <conditionalFormatting sqref="D731:D732">
    <cfRule type="cellIs" dxfId="803" priority="22" operator="equal">
      <formula>"¿Dentro de los proyectos de la empresa ya se encuentra contemplado este subprograma?"</formula>
    </cfRule>
  </conditionalFormatting>
  <conditionalFormatting sqref="K733:R733">
    <cfRule type="containsBlanks" dxfId="802" priority="19">
      <formula>LEN(TRIM(K733))=0</formula>
    </cfRule>
    <cfRule type="cellIs" dxfId="801" priority="20" operator="notEqual">
      <formula>""""""</formula>
    </cfRule>
  </conditionalFormatting>
  <conditionalFormatting sqref="K733:R733">
    <cfRule type="cellIs" dxfId="800" priority="21" operator="equal">
      <formula>"¿Dentro de los proyectos de la empresa ya se encuentra contemplado este subprograma?"</formula>
    </cfRule>
  </conditionalFormatting>
  <conditionalFormatting sqref="L739:P739">
    <cfRule type="cellIs" dxfId="799" priority="17" operator="equal">
      <formula>0</formula>
    </cfRule>
  </conditionalFormatting>
  <conditionalFormatting sqref="L739:P739">
    <cfRule type="cellIs" dxfId="798" priority="18" operator="equal">
      <formula>"¿Dentro de los proyectos de la empresa ya se encuentra contemplado este subprograma?"</formula>
    </cfRule>
  </conditionalFormatting>
  <conditionalFormatting sqref="L780:P780">
    <cfRule type="containsBlanks" dxfId="797" priority="16">
      <formula>LEN(TRIM(L780))=0</formula>
    </cfRule>
  </conditionalFormatting>
  <conditionalFormatting sqref="L780:P780">
    <cfRule type="cellIs" dxfId="796" priority="15" operator="equal">
      <formula>"¿Dentro de los proyectos de la empresa ya se encuentra contemplado este subprograma?"</formula>
    </cfRule>
  </conditionalFormatting>
  <conditionalFormatting sqref="L780:P780">
    <cfRule type="cellIs" dxfId="795" priority="14" operator="notEqual">
      <formula>""""""</formula>
    </cfRule>
  </conditionalFormatting>
  <conditionalFormatting sqref="R345:T348">
    <cfRule type="containsBlanks" dxfId="794" priority="12">
      <formula>LEN(TRIM(R345))=0</formula>
    </cfRule>
    <cfRule type="cellIs" dxfId="793" priority="13" operator="notEqual">
      <formula>""""""</formula>
    </cfRule>
  </conditionalFormatting>
  <conditionalFormatting sqref="Q624:V624">
    <cfRule type="cellIs" dxfId="792" priority="11" operator="equal">
      <formula>0</formula>
    </cfRule>
  </conditionalFormatting>
  <conditionalFormatting sqref="Q624:V624">
    <cfRule type="cellIs" dxfId="791" priority="10" operator="equal">
      <formula>0</formula>
    </cfRule>
  </conditionalFormatting>
  <conditionalFormatting sqref="L623:P623">
    <cfRule type="cellIs" dxfId="790" priority="9" operator="equal">
      <formula>0</formula>
    </cfRule>
  </conditionalFormatting>
  <conditionalFormatting sqref="L623:P623">
    <cfRule type="cellIs" dxfId="789" priority="8" operator="equal">
      <formula>0</formula>
    </cfRule>
  </conditionalFormatting>
  <conditionalFormatting sqref="L657:P657">
    <cfRule type="cellIs" dxfId="788" priority="7" operator="notEqual">
      <formula>""""""</formula>
    </cfRule>
  </conditionalFormatting>
  <conditionalFormatting sqref="K676:U676">
    <cfRule type="cellIs" dxfId="787" priority="5" operator="equal">
      <formula>0</formula>
    </cfRule>
    <cfRule type="cellIs" dxfId="786" priority="6" operator="notEqual">
      <formula>""""""</formula>
    </cfRule>
  </conditionalFormatting>
  <conditionalFormatting sqref="L676:U676">
    <cfRule type="containsBlanks" dxfId="785" priority="4">
      <formula>LEN(TRIM(L676))=0</formula>
    </cfRule>
  </conditionalFormatting>
  <conditionalFormatting sqref="S676:U676">
    <cfRule type="containsBlanks" dxfId="784" priority="3">
      <formula>LEN(TRIM(S676))=0</formula>
    </cfRule>
  </conditionalFormatting>
  <conditionalFormatting sqref="K676:P676">
    <cfRule type="containsBlanks" dxfId="783" priority="2">
      <formula>LEN(TRIM(K676))=0</formula>
    </cfRule>
  </conditionalFormatting>
  <conditionalFormatting sqref="K676:P676">
    <cfRule type="containsBlanks" dxfId="782" priority="1">
      <formula>LEN(TRIM(K676))=0</formula>
    </cfRule>
  </conditionalFormatting>
  <dataValidations count="6">
    <dataValidation type="list" allowBlank="1" showInputMessage="1" showErrorMessage="1" sqref="D26 D28:D29" xr:uid="{00000000-0002-0000-0200-000001000000}">
      <formula1>"SMMLV Histórico,IPC Histórico"</formula1>
    </dataValidation>
    <dataValidation type="list" allowBlank="1" showInputMessage="1" showErrorMessage="1" sqref="D100:D101" xr:uid="{00000000-0002-0000-0200-000003000000}">
      <formula1>"Sí,No,Nulo"</formula1>
    </dataValidation>
    <dataValidation type="list" allowBlank="1" showInputMessage="1" showErrorMessage="1" sqref="C31:C32" xr:uid="{00000000-0002-0000-0200-000004000000}">
      <formula1>"Res 825 de 2017,Res 688 de 2014"</formula1>
    </dataValidation>
    <dataValidation type="list" allowBlank="1" showInputMessage="1" showErrorMessage="1" sqref="K311:U311 K322:U322 K483:U483 K251:U251 K570:U570 K467:U467 K426:U426 K832:U832 K201:U201 K239:U239 K404:U404 K437:U437 K415:U415 K535:U535 K267:U267 K142:U142 K154:U154 K182:P182 K116:U116 K130:U130 K166:U166 K300:U300 K705:U705 K387:U387 K817:U817 K286:V286 K678:U678 K215:U215 K802:U802 K781:U781 K227:U227 K333:U333 K661:U661 K581:U581 J643:U643 K555:U555 K692:U692 K503:U503 K517:U517 K369:U369 K592:U592 K349:T349 K746:U746 K452:U452 K734:U734 K757:U757 K609:U609 K718:U718 V349 K625:U625 K768:U768" xr:uid="{00000000-0002-0000-0200-000005000000}">
      <formula1>"NO,SI,N/A"</formula1>
    </dataValidation>
    <dataValidation type="list" allowBlank="1" showInputMessage="1" showErrorMessage="1" sqref="D71" xr:uid="{00000000-0002-0000-0200-000006000000}">
      <formula1>"SI,NO,Nulo"</formula1>
    </dataValidation>
    <dataValidation type="list" allowBlank="1" showInputMessage="1" showErrorMessage="1" sqref="D96:D97 D86:D88 D37:D42 D59:D67 D69:D70 D72:D78 D80 D82 D84 D99 D90:D94 D44:D56" xr:uid="{90918627-9379-4AA1-8020-89AE17FBEBC0}">
      <formula1>"SI,NO"</formula1>
    </dataValidation>
  </dataValidations>
  <hyperlinks>
    <hyperlink ref="A37" location="'EV PROG TÉCNICOS'!A107" display="1.1.1" xr:uid="{00000000-0004-0000-0200-000000000000}"/>
    <hyperlink ref="A38" location="'EV PROG TÉCNICOS'!A125" display="1.1.2" xr:uid="{00000000-0004-0000-0200-000001000000}"/>
    <hyperlink ref="A39" location="'EV PROG TÉCNICOS'!A139" display="1.1.3" xr:uid="{00000000-0004-0000-0200-000002000000}"/>
    <hyperlink ref="A40" location="'EV PROG TÉCNICOS'!A151" display="1.1.4" xr:uid="{00000000-0004-0000-0200-000003000000}"/>
    <hyperlink ref="A41" location="'EV PROG TÉCNICOS'!A163" display="1.1.5" xr:uid="{00000000-0004-0000-0200-000004000000}"/>
    <hyperlink ref="A42" location="'EV PROG TÉCNICOS'!A175" display="1.1.6" xr:uid="{00000000-0004-0000-0200-000005000000}"/>
    <hyperlink ref="A44" location="'EV PROG TÉCNICOS'!A192" display="1.2.1" xr:uid="{00000000-0004-0000-0200-000006000000}"/>
    <hyperlink ref="A45" location="'EV PROG TÉCNICOS'!A210" display="1.2.2" xr:uid="{00000000-0004-0000-0200-000007000000}"/>
    <hyperlink ref="A46" location="'EV PROG TÉCNICOS'!A224" display="1.2.3" xr:uid="{00000000-0004-0000-0200-000008000000}"/>
    <hyperlink ref="A47" location="'EV PROG TÉCNICOS'!A236" display="1.2.4" xr:uid="{00000000-0004-0000-0200-000009000000}"/>
    <hyperlink ref="A48" location="'EV PROG TÉCNICOS'!A248" display="1.2.5" xr:uid="{00000000-0004-0000-0200-00000A000000}"/>
    <hyperlink ref="A49" location="'EV PROG TÉCNICOS'!A260" display="1.2.6" xr:uid="{00000000-0004-0000-0200-00000B000000}"/>
    <hyperlink ref="A51" location="'EV PROG TÉCNICOS'!A277" display="1.3.1" xr:uid="{00000000-0004-0000-0200-00000C000000}"/>
    <hyperlink ref="A52" location="'EV PROG TÉCNICOS'!A295" display="1.3.2" xr:uid="{00000000-0004-0000-0200-00000D000000}"/>
    <hyperlink ref="A53" location="'EV PROG TÉCNICOS'!A309" display="1.3.3" xr:uid="{00000000-0004-0000-0200-00000E000000}"/>
    <hyperlink ref="A54" location="'EV PROG TÉCNICOS'!A320" display="1.3.4" xr:uid="{00000000-0004-0000-0200-00000F000000}"/>
    <hyperlink ref="A55" location="'EV PROG TÉCNICOS'!A331" display="1.3.5" xr:uid="{00000000-0004-0000-0200-000010000000}"/>
    <hyperlink ref="A56" location="'EV PROG TÉCNICOS'!A342" display="1.3.6" xr:uid="{00000000-0004-0000-0200-000011000000}"/>
    <hyperlink ref="A59" location="'EV PROG TÉCNICOS'!A360" display="2.1.1" xr:uid="{00000000-0004-0000-0200-000012000000}"/>
    <hyperlink ref="A60" location="'EV PROG TÉCNICOS'!A378" display="2.1.2" xr:uid="{00000000-0004-0000-0200-000013000000}"/>
    <hyperlink ref="A61" location="'EV PROG TÉCNICOS'!A396" display="2.1.3" xr:uid="{00000000-0004-0000-0200-000014000000}"/>
    <hyperlink ref="A62" location="'EV PROG TÉCNICOS'!A413" display="2.1.4" xr:uid="{00000000-0004-0000-0200-000015000000}"/>
    <hyperlink ref="A63" location="'EV PROG TÉCNICOS'!A424" display="2.1.5" xr:uid="{00000000-0004-0000-0200-000016000000}"/>
    <hyperlink ref="A64" location="'EV PROG TÉCNICOS'!A435" display="2.1.6" xr:uid="{00000000-0004-0000-0200-000017000000}"/>
    <hyperlink ref="A65" location="'EV PROG TÉCNICOS'!A446" display="2.1.7" xr:uid="{00000000-0004-0000-0200-000018000000}"/>
    <hyperlink ref="A66" location="'EV PROG TÉCNICOS'!A461" display="'EV PROG TÉCNICOS'!A461" xr:uid="{00000000-0004-0000-0200-000019000000}"/>
    <hyperlink ref="A67" location="'EV PROG TÉCNICOS'!A476" display="'EV PROG TÉCNICOS'!A476" xr:uid="{00000000-0004-0000-0200-00001A000000}"/>
    <hyperlink ref="A69" location="'EV PROG TÉCNICOS'!A493" display="'EV PROG TÉCNICOS'!A493" xr:uid="{00000000-0004-0000-0200-00001B000000}"/>
    <hyperlink ref="A70" location="'EV PROG TÉCNICOS'!A513" display="'EV PROG TÉCNICOS'!A513" xr:uid="{00000000-0004-0000-0200-00001C000000}"/>
    <hyperlink ref="A72" location="'EV PROG TÉCNICOS'!A527" display="3.3.1" xr:uid="{00000000-0004-0000-0200-00001D000000}"/>
    <hyperlink ref="A73" location="'EV PROG TÉCNICOS'!A544" display="3.3.2" xr:uid="{00000000-0004-0000-0200-00001E000000}"/>
    <hyperlink ref="A74" location="'EV PROG TÉCNICOS'!A564" display="3.3.3" xr:uid="{00000000-0004-0000-0200-00001F000000}"/>
    <hyperlink ref="A78" location="'EV PROG TÉCNICOS'!A618" display="'EV PROG TÉCNICOS'!A618" xr:uid="{00000000-0004-0000-0200-000020000000}"/>
    <hyperlink ref="A80" location="'EV PROG TÉCNICOS'!A635" display="'EV PROG TÉCNICOS'!A635" xr:uid="{00000000-0004-0000-0200-000021000000}"/>
    <hyperlink ref="A82" location="'EV PROG TÉCNICOS'!A653" display="'EV PROG TÉCNICOS'!A653" xr:uid="{00000000-0004-0000-0200-000022000000}"/>
    <hyperlink ref="A84" location="'EV PROG TÉCNICOS'!A672" display="'EV PROG TÉCNICOS'!A672" xr:uid="{00000000-0004-0000-0200-000023000000}"/>
    <hyperlink ref="A86" location="'EV PROG TÉCNICOS'!A688" display="6.2.1" xr:uid="{00000000-0004-0000-0200-000024000000}"/>
    <hyperlink ref="A87" location="'EV PROG TÉCNICOS'!A701" display="6.2.2" xr:uid="{00000000-0004-0000-0200-000025000000}"/>
    <hyperlink ref="A88" location="'EV PROG TÉCNICOS'!A714" display="6.2.3" xr:uid="{00000000-0004-0000-0200-000026000000}"/>
    <hyperlink ref="A90" location="'EV PROG TÉCNICOS'!A728" display="6.3.1" xr:uid="{00000000-0004-0000-0200-000027000000}"/>
    <hyperlink ref="A91" location="'EV PROG TÉCNICOS'!A743" display="6.3.2" xr:uid="{00000000-0004-0000-0200-000028000000}"/>
    <hyperlink ref="A92" location="'EV PROG TÉCNICOS'!A755" display="6.3.3" xr:uid="{00000000-0004-0000-0200-000029000000}"/>
    <hyperlink ref="A93" location="'EV PROG TÉCNICOS'!A766" display="6.3.4" xr:uid="{00000000-0004-0000-0200-00002A000000}"/>
    <hyperlink ref="A94" location="'EV PROG TÉCNICOS'!A777" display="6.3.5" xr:uid="{00000000-0004-0000-0200-00002B000000}"/>
    <hyperlink ref="A96" location="'EV PROG TÉCNICOS'!A791" display="'EV PROG TÉCNICOS'!A791" xr:uid="{00000000-0004-0000-0200-00002C000000}"/>
    <hyperlink ref="A99" location="'EV PROG TÉCNICOS'!A827" display="'EV PROG TÉCNICOS'!A827" xr:uid="{00000000-0004-0000-0200-00002D000000}"/>
    <hyperlink ref="A75:A77" location="'EV PROGRAMAS TÉCNICOS'!A580" display="3.3.3" xr:uid="{00000000-0004-0000-0200-00002E000000}"/>
    <hyperlink ref="A75" location="'EV PROG TÉCNICOS'!A579" display="3.3.4" xr:uid="{00000000-0004-0000-0200-00002F000000}"/>
    <hyperlink ref="A76" location="'EV PROG TÉCNICOS'!A590" display="3.3.5" xr:uid="{00000000-0004-0000-0200-000030000000}"/>
    <hyperlink ref="A77" location="'EV PROG TÉCNICOS'!A601" display="3.3.6" xr:uid="{00000000-0004-0000-0200-000031000000}"/>
    <hyperlink ref="A97" location="'EV PROG TÉCNICOS'!A813" display="'EV PROG TÉCNICOS'!A813" xr:uid="{58738C40-4394-4696-8FD2-BB0AB8FD6447}"/>
  </hyperlinks>
  <pageMargins left="0.7" right="0.7" top="0.75" bottom="0.75" header="0.3" footer="0.3"/>
  <pageSetup paperSize="9" scale="18" orientation="portrait" r:id="rId1"/>
  <ignoredErrors>
    <ignoredError sqref="B99 K398" unlocked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4"/>
  </sheetPr>
  <dimension ref="A1:A9"/>
  <sheetViews>
    <sheetView zoomScale="160" zoomScaleNormal="160" workbookViewId="0">
      <selection activeCell="A15" sqref="A15"/>
    </sheetView>
  </sheetViews>
  <sheetFormatPr baseColWidth="10" defaultColWidth="11.375" defaultRowHeight="12" x14ac:dyDescent="0.2"/>
  <cols>
    <col min="1" max="1" width="65.875" style="6" customWidth="1"/>
    <col min="2" max="2" width="52" style="5" customWidth="1"/>
    <col min="3" max="3" width="11.375" style="5"/>
    <col min="4" max="4" width="65.625" style="5" customWidth="1"/>
    <col min="5" max="16384" width="11.375" style="5"/>
  </cols>
  <sheetData>
    <row r="1" spans="1:1" s="4" customFormat="1" x14ac:dyDescent="0.2">
      <c r="A1" s="251" t="s">
        <v>29</v>
      </c>
    </row>
    <row r="2" spans="1:1" x14ac:dyDescent="0.2">
      <c r="A2" s="252" t="s">
        <v>35</v>
      </c>
    </row>
    <row r="3" spans="1:1" x14ac:dyDescent="0.2">
      <c r="A3" s="252" t="s">
        <v>32</v>
      </c>
    </row>
    <row r="4" spans="1:1" x14ac:dyDescent="0.2">
      <c r="A4" s="252" t="s">
        <v>33</v>
      </c>
    </row>
    <row r="5" spans="1:1" x14ac:dyDescent="0.2">
      <c r="A5" s="252" t="s">
        <v>34</v>
      </c>
    </row>
    <row r="6" spans="1:1" ht="23.85" customHeight="1" x14ac:dyDescent="0.2">
      <c r="A6" s="252" t="s">
        <v>68</v>
      </c>
    </row>
    <row r="7" spans="1:1" x14ac:dyDescent="0.2">
      <c r="A7" s="252" t="s">
        <v>66</v>
      </c>
    </row>
    <row r="8" spans="1:1" x14ac:dyDescent="0.2">
      <c r="A8" s="252" t="s">
        <v>67</v>
      </c>
    </row>
    <row r="9" spans="1:1" x14ac:dyDescent="0.2">
      <c r="A9" s="253" t="s">
        <v>31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9">
    <tabColor rgb="FF00B0F0"/>
  </sheetPr>
  <dimension ref="A2:O131"/>
  <sheetViews>
    <sheetView showGridLines="0" view="pageBreakPreview" topLeftCell="A90" zoomScale="85" zoomScaleNormal="100" zoomScaleSheetLayoutView="85" workbookViewId="0">
      <selection activeCell="N106" sqref="N106"/>
    </sheetView>
  </sheetViews>
  <sheetFormatPr baseColWidth="10" defaultColWidth="10.125" defaultRowHeight="15" x14ac:dyDescent="0.25"/>
  <cols>
    <col min="1" max="1" width="52.25" style="770" customWidth="1"/>
    <col min="2" max="2" width="10.125" style="770"/>
    <col min="3" max="7" width="10.125" style="779"/>
    <col min="8" max="13" width="10.125" style="779" customWidth="1"/>
    <col min="14" max="14" width="13.625" style="780" customWidth="1"/>
    <col min="15" max="15" width="11.25" style="770" bestFit="1" customWidth="1"/>
    <col min="16" max="16384" width="10.125" style="770"/>
  </cols>
  <sheetData>
    <row r="2" spans="1:14" ht="15.75" x14ac:dyDescent="0.25">
      <c r="A2" s="1734" t="s">
        <v>670</v>
      </c>
      <c r="B2" s="1734"/>
      <c r="C2" s="1734"/>
      <c r="D2" s="1734"/>
      <c r="E2" s="1734"/>
      <c r="F2" s="1734"/>
      <c r="G2" s="1734"/>
      <c r="H2" s="1734"/>
      <c r="I2" s="1734"/>
      <c r="J2" s="1734"/>
      <c r="K2" s="1734"/>
      <c r="L2" s="1734"/>
      <c r="M2" s="1734"/>
      <c r="N2" s="1734"/>
    </row>
    <row r="3" spans="1:14" ht="15.75" x14ac:dyDescent="0.25">
      <c r="A3" s="771"/>
      <c r="B3" s="771"/>
      <c r="C3" s="772"/>
      <c r="D3" s="772"/>
      <c r="E3" s="772"/>
      <c r="F3" s="772"/>
      <c r="G3" s="772"/>
      <c r="H3" s="772"/>
      <c r="I3" s="772"/>
      <c r="J3" s="772"/>
      <c r="K3" s="772"/>
      <c r="L3" s="772"/>
      <c r="M3" s="772"/>
      <c r="N3" s="772"/>
    </row>
    <row r="4" spans="1:14" x14ac:dyDescent="0.25">
      <c r="A4" s="1737" t="s">
        <v>671</v>
      </c>
      <c r="B4" s="1738"/>
      <c r="C4" s="1738"/>
      <c r="D4" s="1738"/>
      <c r="E4" s="1738"/>
      <c r="F4" s="1738"/>
      <c r="G4" s="1738"/>
      <c r="H4" s="1738"/>
      <c r="I4" s="1738"/>
      <c r="J4" s="1738"/>
      <c r="K4" s="1738"/>
      <c r="L4" s="1738"/>
      <c r="M4" s="1738"/>
      <c r="N4" s="1739"/>
    </row>
    <row r="5" spans="1:14" x14ac:dyDescent="0.25">
      <c r="A5" s="1731" t="s">
        <v>672</v>
      </c>
      <c r="B5" s="1731" t="s">
        <v>458</v>
      </c>
      <c r="C5" s="1733" t="s">
        <v>395</v>
      </c>
      <c r="D5" s="1733"/>
      <c r="E5" s="1733"/>
      <c r="F5" s="1733"/>
      <c r="G5" s="1733"/>
      <c r="H5" s="1733"/>
      <c r="I5" s="1733"/>
      <c r="J5" s="1733"/>
      <c r="K5" s="1733"/>
      <c r="L5" s="1733"/>
      <c r="M5" s="1733"/>
      <c r="N5" s="1735" t="s">
        <v>673</v>
      </c>
    </row>
    <row r="6" spans="1:14" x14ac:dyDescent="0.25">
      <c r="A6" s="1732"/>
      <c r="B6" s="1732"/>
      <c r="C6" s="773">
        <v>0</v>
      </c>
      <c r="D6" s="773">
        <v>1</v>
      </c>
      <c r="E6" s="773">
        <v>2</v>
      </c>
      <c r="F6" s="773">
        <v>3</v>
      </c>
      <c r="G6" s="773">
        <v>4</v>
      </c>
      <c r="H6" s="773">
        <v>5</v>
      </c>
      <c r="I6" s="773">
        <v>6</v>
      </c>
      <c r="J6" s="773">
        <v>7</v>
      </c>
      <c r="K6" s="773">
        <v>8</v>
      </c>
      <c r="L6" s="773">
        <v>9</v>
      </c>
      <c r="M6" s="773">
        <v>10</v>
      </c>
      <c r="N6" s="1736"/>
    </row>
    <row r="7" spans="1:14" x14ac:dyDescent="0.25">
      <c r="A7" s="774" t="s">
        <v>674</v>
      </c>
      <c r="B7" s="774" t="s">
        <v>28</v>
      </c>
      <c r="C7" s="781">
        <f>ROUND('EV PROG TÉCNICOS'!K$113,0)</f>
        <v>0</v>
      </c>
      <c r="D7" s="781">
        <f>ROUND('EV PROG TÉCNICOS'!L$113,0)</f>
        <v>0</v>
      </c>
      <c r="E7" s="781">
        <f>ROUND('EV PROG TÉCNICOS'!M$113,0)</f>
        <v>0</v>
      </c>
      <c r="F7" s="781">
        <f>ROUND('EV PROG TÉCNICOS'!N$113,0)</f>
        <v>0</v>
      </c>
      <c r="G7" s="781">
        <f>ROUND('EV PROG TÉCNICOS'!O$113,0)</f>
        <v>0</v>
      </c>
      <c r="H7" s="781">
        <f>ROUND('EV PROG TÉCNICOS'!P$113,0)</f>
        <v>0</v>
      </c>
      <c r="I7" s="781">
        <f>ROUND('EV PROG TÉCNICOS'!Q$113,0)</f>
        <v>0</v>
      </c>
      <c r="J7" s="781">
        <f>ROUND('EV PROG TÉCNICOS'!R$113,0)</f>
        <v>0</v>
      </c>
      <c r="K7" s="781">
        <f>ROUND('EV PROG TÉCNICOS'!S$113,0)</f>
        <v>0</v>
      </c>
      <c r="L7" s="781">
        <f>ROUND('EV PROG TÉCNICOS'!T$113,0)</f>
        <v>0</v>
      </c>
      <c r="M7" s="781">
        <f>ROUND('EV PROG TÉCNICOS'!U$113,0)</f>
        <v>0</v>
      </c>
      <c r="N7" s="782">
        <f>SUM(D7:M7)</f>
        <v>0</v>
      </c>
    </row>
    <row r="8" spans="1:14" x14ac:dyDescent="0.25">
      <c r="A8" s="774" t="s">
        <v>675</v>
      </c>
      <c r="B8" s="774" t="s">
        <v>28</v>
      </c>
      <c r="C8" s="781">
        <f>ROUND('EV PROG TÉCNICOS'!K$114,0)</f>
        <v>0</v>
      </c>
      <c r="D8" s="781">
        <f>ROUND('EV PROG TÉCNICOS'!L$114,0)</f>
        <v>0</v>
      </c>
      <c r="E8" s="781">
        <f>ROUND('EV PROG TÉCNICOS'!M$114,0)</f>
        <v>0</v>
      </c>
      <c r="F8" s="781">
        <f>ROUND('EV PROG TÉCNICOS'!N$114,0)</f>
        <v>0</v>
      </c>
      <c r="G8" s="781">
        <f>ROUND('EV PROG TÉCNICOS'!O$114,0)</f>
        <v>0</v>
      </c>
      <c r="H8" s="781">
        <f>ROUND('EV PROG TÉCNICOS'!P$114,0)</f>
        <v>0</v>
      </c>
      <c r="I8" s="781">
        <f>ROUND('EV PROG TÉCNICOS'!Q$114,0)</f>
        <v>0</v>
      </c>
      <c r="J8" s="781">
        <f>ROUND('EV PROG TÉCNICOS'!R$114,0)</f>
        <v>0</v>
      </c>
      <c r="K8" s="781">
        <f>ROUND('EV PROG TÉCNICOS'!S$114,0)</f>
        <v>0</v>
      </c>
      <c r="L8" s="781">
        <f>ROUND('EV PROG TÉCNICOS'!T$114,0)</f>
        <v>0</v>
      </c>
      <c r="M8" s="781">
        <f>ROUND('EV PROG TÉCNICOS'!U$114,0)</f>
        <v>0</v>
      </c>
      <c r="N8" s="782">
        <f t="shared" ref="N8:N15" si="0">SUM(D8:M8)</f>
        <v>0</v>
      </c>
    </row>
    <row r="9" spans="1:14" ht="24" x14ac:dyDescent="0.25">
      <c r="A9" s="774" t="s">
        <v>676</v>
      </c>
      <c r="B9" s="774" t="s">
        <v>28</v>
      </c>
      <c r="C9" s="781">
        <f>ROUND('EV PROG TÉCNICOS'!K$115,0)</f>
        <v>0</v>
      </c>
      <c r="D9" s="781">
        <f>ROUND('EV PROG TÉCNICOS'!L$115,0)</f>
        <v>0</v>
      </c>
      <c r="E9" s="781">
        <f>ROUND('EV PROG TÉCNICOS'!M$115,0)</f>
        <v>2</v>
      </c>
      <c r="F9" s="781">
        <f>ROUND('EV PROG TÉCNICOS'!N$115,0)</f>
        <v>0</v>
      </c>
      <c r="G9" s="781">
        <f>ROUND('EV PROG TÉCNICOS'!O$115,0)</f>
        <v>0</v>
      </c>
      <c r="H9" s="781">
        <f>ROUND('EV PROG TÉCNICOS'!P$115,0)</f>
        <v>0</v>
      </c>
      <c r="I9" s="781">
        <f>ROUND('EV PROG TÉCNICOS'!Q$115,0)</f>
        <v>0</v>
      </c>
      <c r="J9" s="781">
        <f>ROUND('EV PROG TÉCNICOS'!R$115,0)</f>
        <v>0</v>
      </c>
      <c r="K9" s="781">
        <f>ROUND('EV PROG TÉCNICOS'!S$115,0)</f>
        <v>0</v>
      </c>
      <c r="L9" s="781">
        <f>ROUND('EV PROG TÉCNICOS'!T$115,0)</f>
        <v>0</v>
      </c>
      <c r="M9" s="781">
        <f>ROUND('EV PROG TÉCNICOS'!U$115,0)</f>
        <v>0</v>
      </c>
      <c r="N9" s="782">
        <f t="shared" si="0"/>
        <v>2</v>
      </c>
    </row>
    <row r="10" spans="1:14" x14ac:dyDescent="0.25">
      <c r="A10" s="774" t="s">
        <v>677</v>
      </c>
      <c r="B10" s="774" t="s">
        <v>28</v>
      </c>
      <c r="C10" s="781">
        <f>ROUND(SUM('EV PROG TÉCNICOS'!K$127:K$128),0)</f>
        <v>0</v>
      </c>
      <c r="D10" s="781">
        <f>ROUND(SUM('EV PROG TÉCNICOS'!L$127:L$128),0)</f>
        <v>0</v>
      </c>
      <c r="E10" s="781">
        <f>ROUND(SUM('EV PROG TÉCNICOS'!M$127:M$128),0)</f>
        <v>2</v>
      </c>
      <c r="F10" s="781">
        <f>ROUND(SUM('EV PROG TÉCNICOS'!N$127:N$128),0)</f>
        <v>0</v>
      </c>
      <c r="G10" s="781">
        <f>ROUND(SUM('EV PROG TÉCNICOS'!O$127:O$128),0)</f>
        <v>0</v>
      </c>
      <c r="H10" s="781">
        <f>ROUND(SUM('EV PROG TÉCNICOS'!P$127:P$128),0)</f>
        <v>0</v>
      </c>
      <c r="I10" s="781">
        <f>ROUND(SUM('EV PROG TÉCNICOS'!Q$127:Q$128),0)</f>
        <v>0</v>
      </c>
      <c r="J10" s="781">
        <f>ROUND(SUM('EV PROG TÉCNICOS'!R$127:R$128),0)</f>
        <v>0</v>
      </c>
      <c r="K10" s="781">
        <f>ROUND(SUM('EV PROG TÉCNICOS'!S$127:S$128),0)</f>
        <v>0</v>
      </c>
      <c r="L10" s="781">
        <f>ROUND(SUM('EV PROG TÉCNICOS'!T$127:T$128),0)</f>
        <v>0</v>
      </c>
      <c r="M10" s="781">
        <f>ROUND(SUM('EV PROG TÉCNICOS'!U$127:U$128),0)</f>
        <v>0</v>
      </c>
      <c r="N10" s="782">
        <f t="shared" si="0"/>
        <v>2</v>
      </c>
    </row>
    <row r="11" spans="1:14" x14ac:dyDescent="0.25">
      <c r="A11" s="774" t="s">
        <v>678</v>
      </c>
      <c r="B11" s="774" t="s">
        <v>28</v>
      </c>
      <c r="C11" s="781">
        <f>ROUND('EV PROG TÉCNICOS'!K$129,0)</f>
        <v>0</v>
      </c>
      <c r="D11" s="781">
        <f>ROUND('EV PROG TÉCNICOS'!L$129,0)</f>
        <v>0</v>
      </c>
      <c r="E11" s="781">
        <f>ROUND('EV PROG TÉCNICOS'!M$129,0)</f>
        <v>0</v>
      </c>
      <c r="F11" s="781">
        <f>ROUND('EV PROG TÉCNICOS'!N$129,0)</f>
        <v>0</v>
      </c>
      <c r="G11" s="781">
        <f>ROUND('EV PROG TÉCNICOS'!O$129,0)</f>
        <v>0</v>
      </c>
      <c r="H11" s="781">
        <f>ROUND('EV PROG TÉCNICOS'!P$129,0)</f>
        <v>0</v>
      </c>
      <c r="I11" s="781">
        <f>ROUND('EV PROG TÉCNICOS'!Q$129,0)</f>
        <v>0</v>
      </c>
      <c r="J11" s="781">
        <f>ROUND('EV PROG TÉCNICOS'!R$129,0)</f>
        <v>0</v>
      </c>
      <c r="K11" s="781">
        <f>ROUND('EV PROG TÉCNICOS'!S$129,0)</f>
        <v>0</v>
      </c>
      <c r="L11" s="781">
        <f>ROUND('EV PROG TÉCNICOS'!T$129,0)</f>
        <v>0</v>
      </c>
      <c r="M11" s="781">
        <f>ROUND('EV PROG TÉCNICOS'!U$129,0)</f>
        <v>0</v>
      </c>
      <c r="N11" s="782">
        <f t="shared" si="0"/>
        <v>0</v>
      </c>
    </row>
    <row r="12" spans="1:14" x14ac:dyDescent="0.25">
      <c r="A12" s="774" t="s">
        <v>23</v>
      </c>
      <c r="B12" s="774" t="s">
        <v>28</v>
      </c>
      <c r="C12" s="781">
        <f>ROUND('EV PROG TÉCNICOS'!K$141,0)</f>
        <v>0</v>
      </c>
      <c r="D12" s="781">
        <f>ROUND('EV PROG TÉCNICOS'!L$141,0)</f>
        <v>5</v>
      </c>
      <c r="E12" s="781">
        <f>ROUND('EV PROG TÉCNICOS'!M$141,0)</f>
        <v>7</v>
      </c>
      <c r="F12" s="781">
        <f>ROUND('EV PROG TÉCNICOS'!N$141,0)</f>
        <v>7</v>
      </c>
      <c r="G12" s="781">
        <f>ROUND('EV PROG TÉCNICOS'!O$141,0)</f>
        <v>7</v>
      </c>
      <c r="H12" s="781">
        <f>ROUND('EV PROG TÉCNICOS'!P$141,0)</f>
        <v>7</v>
      </c>
      <c r="I12" s="781">
        <f>ROUND('EV PROG TÉCNICOS'!Q$141,0)</f>
        <v>7</v>
      </c>
      <c r="J12" s="781">
        <f>ROUND('EV PROG TÉCNICOS'!R$141,0)</f>
        <v>7</v>
      </c>
      <c r="K12" s="781">
        <f>ROUND('EV PROG TÉCNICOS'!S$141,0)</f>
        <v>7</v>
      </c>
      <c r="L12" s="781">
        <f>ROUND('EV PROG TÉCNICOS'!T$141,0)</f>
        <v>7</v>
      </c>
      <c r="M12" s="781">
        <f>ROUND('EV PROG TÉCNICOS'!U$141,0)</f>
        <v>7</v>
      </c>
      <c r="N12" s="782"/>
    </row>
    <row r="13" spans="1:14" x14ac:dyDescent="0.25">
      <c r="A13" s="774" t="s">
        <v>63</v>
      </c>
      <c r="B13" s="774" t="s">
        <v>28</v>
      </c>
      <c r="C13" s="781">
        <f>ROUND('EV PROG TÉCNICOS'!K$153,0)</f>
        <v>0</v>
      </c>
      <c r="D13" s="781">
        <f>ROUND('EV PROG TÉCNICOS'!L$153,0)</f>
        <v>5</v>
      </c>
      <c r="E13" s="781">
        <f>ROUND('EV PROG TÉCNICOS'!M$153,0)</f>
        <v>7</v>
      </c>
      <c r="F13" s="781">
        <f>ROUND('EV PROG TÉCNICOS'!N$153,0)</f>
        <v>7</v>
      </c>
      <c r="G13" s="781">
        <f>ROUND('EV PROG TÉCNICOS'!O$153,0)</f>
        <v>7</v>
      </c>
      <c r="H13" s="781">
        <f>ROUND('EV PROG TÉCNICOS'!P$153,0)</f>
        <v>7</v>
      </c>
      <c r="I13" s="781">
        <f>ROUND('EV PROG TÉCNICOS'!Q$153,0)</f>
        <v>7</v>
      </c>
      <c r="J13" s="781">
        <f>ROUND('EV PROG TÉCNICOS'!R$153,0)</f>
        <v>7</v>
      </c>
      <c r="K13" s="781">
        <f>ROUND('EV PROG TÉCNICOS'!S$153,0)</f>
        <v>7</v>
      </c>
      <c r="L13" s="781">
        <f>ROUND('EV PROG TÉCNICOS'!T$153,0)</f>
        <v>7</v>
      </c>
      <c r="M13" s="781">
        <f>ROUND('EV PROG TÉCNICOS'!U$153,0)</f>
        <v>7</v>
      </c>
      <c r="N13" s="782"/>
    </row>
    <row r="14" spans="1:14" x14ac:dyDescent="0.25">
      <c r="A14" s="824" t="s">
        <v>27</v>
      </c>
      <c r="B14" s="774" t="s">
        <v>28</v>
      </c>
      <c r="C14" s="781">
        <f>ROUND('EV PROG TÉCNICOS'!K$165,0)</f>
        <v>0</v>
      </c>
      <c r="D14" s="781">
        <f>ROUND('EV PROG TÉCNICOS'!L$165,0)</f>
        <v>5</v>
      </c>
      <c r="E14" s="781">
        <f>ROUND('EV PROG TÉCNICOS'!M$165,0)</f>
        <v>5</v>
      </c>
      <c r="F14" s="781">
        <f>ROUND('EV PROG TÉCNICOS'!N$165,0)</f>
        <v>7</v>
      </c>
      <c r="G14" s="781">
        <f>ROUND('EV PROG TÉCNICOS'!O$165,0)</f>
        <v>7</v>
      </c>
      <c r="H14" s="781">
        <f>ROUND('EV PROG TÉCNICOS'!P$165,0)</f>
        <v>7</v>
      </c>
      <c r="I14" s="781">
        <f>ROUND('EV PROG TÉCNICOS'!Q$165,0)</f>
        <v>7</v>
      </c>
      <c r="J14" s="781">
        <f>ROUND('EV PROG TÉCNICOS'!R$165,0)</f>
        <v>7</v>
      </c>
      <c r="K14" s="781">
        <f>ROUND('EV PROG TÉCNICOS'!S$165,0)</f>
        <v>7</v>
      </c>
      <c r="L14" s="781">
        <f>ROUND('EV PROG TÉCNICOS'!T$165,0)</f>
        <v>7</v>
      </c>
      <c r="M14" s="781">
        <f>ROUND('EV PROG TÉCNICOS'!U$165,0)</f>
        <v>7</v>
      </c>
      <c r="N14" s="782"/>
    </row>
    <row r="15" spans="1:14" x14ac:dyDescent="0.25">
      <c r="A15" s="774" t="s">
        <v>679</v>
      </c>
      <c r="B15" s="774" t="s">
        <v>28</v>
      </c>
      <c r="C15" s="781"/>
      <c r="D15" s="781">
        <f>ROUND(SUM('EV PROG TÉCNICOS'!L$178:L$181),0)</f>
        <v>0</v>
      </c>
      <c r="E15" s="781">
        <f>ROUND(SUM('EV PROG TÉCNICOS'!M$178:M$181),0)</f>
        <v>3</v>
      </c>
      <c r="F15" s="781">
        <f>ROUND(SUM('EV PROG TÉCNICOS'!N$178:N$181),0)</f>
        <v>0</v>
      </c>
      <c r="G15" s="781">
        <f>ROUND(SUM('EV PROG TÉCNICOS'!O$178:O$181),0)</f>
        <v>4</v>
      </c>
      <c r="H15" s="781">
        <f>ROUND(SUM('EV PROG TÉCNICOS'!P$178:P$181),0)</f>
        <v>0</v>
      </c>
      <c r="I15" s="781">
        <f>ROUND(SUM('EV PROG TÉCNICOS'!Q$178:Q$181),0)</f>
        <v>0</v>
      </c>
      <c r="J15" s="781">
        <f>ROUND(SUM('EV PROG TÉCNICOS'!R$178:R$181),0)</f>
        <v>0</v>
      </c>
      <c r="K15" s="781">
        <f>ROUND(SUM('EV PROG TÉCNICOS'!S$178:S$181),0)</f>
        <v>0</v>
      </c>
      <c r="L15" s="781">
        <f>ROUND(SUM('EV PROG TÉCNICOS'!T$178:T$181),0)</f>
        <v>0</v>
      </c>
      <c r="M15" s="781">
        <f>ROUND(SUM('EV PROG TÉCNICOS'!U$178:U$181),0)</f>
        <v>0</v>
      </c>
      <c r="N15" s="782">
        <f t="shared" si="0"/>
        <v>7</v>
      </c>
    </row>
    <row r="17" spans="1:14" x14ac:dyDescent="0.25">
      <c r="A17" s="1737" t="s">
        <v>680</v>
      </c>
      <c r="B17" s="1738"/>
      <c r="C17" s="1738"/>
      <c r="D17" s="1738"/>
      <c r="E17" s="1738"/>
      <c r="F17" s="1738"/>
      <c r="G17" s="1738"/>
      <c r="H17" s="1738"/>
      <c r="I17" s="1738"/>
      <c r="J17" s="1738"/>
      <c r="K17" s="1738"/>
      <c r="L17" s="1738"/>
      <c r="M17" s="1738"/>
      <c r="N17" s="1739"/>
    </row>
    <row r="18" spans="1:14" x14ac:dyDescent="0.25">
      <c r="A18" s="1731" t="s">
        <v>672</v>
      </c>
      <c r="B18" s="1731" t="s">
        <v>458</v>
      </c>
      <c r="C18" s="1733" t="s">
        <v>395</v>
      </c>
      <c r="D18" s="1733"/>
      <c r="E18" s="1733"/>
      <c r="F18" s="1733"/>
      <c r="G18" s="1733"/>
      <c r="H18" s="1733"/>
      <c r="I18" s="1733"/>
      <c r="J18" s="1733"/>
      <c r="K18" s="1733"/>
      <c r="L18" s="1733"/>
      <c r="M18" s="1733"/>
      <c r="N18" s="1735" t="s">
        <v>673</v>
      </c>
    </row>
    <row r="19" spans="1:14" x14ac:dyDescent="0.25">
      <c r="A19" s="1732"/>
      <c r="B19" s="1732"/>
      <c r="C19" s="773">
        <v>0</v>
      </c>
      <c r="D19" s="773">
        <v>1</v>
      </c>
      <c r="E19" s="773">
        <v>2</v>
      </c>
      <c r="F19" s="773">
        <v>3</v>
      </c>
      <c r="G19" s="773">
        <v>4</v>
      </c>
      <c r="H19" s="773">
        <v>5</v>
      </c>
      <c r="I19" s="773">
        <v>6</v>
      </c>
      <c r="J19" s="773">
        <v>7</v>
      </c>
      <c r="K19" s="773">
        <v>8</v>
      </c>
      <c r="L19" s="773">
        <v>9</v>
      </c>
      <c r="M19" s="773">
        <v>10</v>
      </c>
      <c r="N19" s="1736"/>
    </row>
    <row r="20" spans="1:14" x14ac:dyDescent="0.25">
      <c r="A20" s="774" t="s">
        <v>674</v>
      </c>
      <c r="B20" s="774" t="s">
        <v>28</v>
      </c>
      <c r="C20" s="781">
        <f>ROUND('EV PROG TÉCNICOS'!K$198,0)</f>
        <v>0</v>
      </c>
      <c r="D20" s="781">
        <f>ROUND('EV PROG TÉCNICOS'!L$198,0)</f>
        <v>0</v>
      </c>
      <c r="E20" s="781">
        <f>ROUND('EV PROG TÉCNICOS'!M$198,0)</f>
        <v>0</v>
      </c>
      <c r="F20" s="781">
        <f>ROUND('EV PROG TÉCNICOS'!N$198,0)</f>
        <v>0</v>
      </c>
      <c r="G20" s="781">
        <f>ROUND('EV PROG TÉCNICOS'!O$198,0)</f>
        <v>0</v>
      </c>
      <c r="H20" s="781">
        <f>ROUND('EV PROG TÉCNICOS'!P$198,0)</f>
        <v>0</v>
      </c>
      <c r="I20" s="781">
        <f>ROUND('EV PROG TÉCNICOS'!Q$198,0)</f>
        <v>0</v>
      </c>
      <c r="J20" s="781">
        <f>ROUND('EV PROG TÉCNICOS'!R$198,0)</f>
        <v>0</v>
      </c>
      <c r="K20" s="781">
        <f>ROUND('EV PROG TÉCNICOS'!S$198,0)</f>
        <v>0</v>
      </c>
      <c r="L20" s="781">
        <f>ROUND('EV PROG TÉCNICOS'!T$198,0)</f>
        <v>0</v>
      </c>
      <c r="M20" s="781">
        <f>ROUND('EV PROG TÉCNICOS'!U$198,0)</f>
        <v>0</v>
      </c>
      <c r="N20" s="782">
        <f>SUM(D20:M20)</f>
        <v>0</v>
      </c>
    </row>
    <row r="21" spans="1:14" x14ac:dyDescent="0.25">
      <c r="A21" s="774" t="s">
        <v>675</v>
      </c>
      <c r="B21" s="774" t="s">
        <v>28</v>
      </c>
      <c r="C21" s="781">
        <f>ROUND('EV PROG TÉCNICOS'!K$199,0)</f>
        <v>0</v>
      </c>
      <c r="D21" s="781">
        <f>ROUND('EV PROG TÉCNICOS'!L$199,0)</f>
        <v>0</v>
      </c>
      <c r="E21" s="781">
        <f>ROUND('EV PROG TÉCNICOS'!M$199,0)</f>
        <v>0</v>
      </c>
      <c r="F21" s="781">
        <f>ROUND('EV PROG TÉCNICOS'!N$199,0)</f>
        <v>0</v>
      </c>
      <c r="G21" s="781">
        <f>ROUND('EV PROG TÉCNICOS'!O$199,0)</f>
        <v>0</v>
      </c>
      <c r="H21" s="781">
        <f>ROUND('EV PROG TÉCNICOS'!P$199,0)</f>
        <v>0</v>
      </c>
      <c r="I21" s="781">
        <f>ROUND('EV PROG TÉCNICOS'!Q$199,0)</f>
        <v>0</v>
      </c>
      <c r="J21" s="781">
        <f>ROUND('EV PROG TÉCNICOS'!R$199,0)</f>
        <v>0</v>
      </c>
      <c r="K21" s="781">
        <f>ROUND('EV PROG TÉCNICOS'!S$199,0)</f>
        <v>0</v>
      </c>
      <c r="L21" s="781">
        <f>ROUND('EV PROG TÉCNICOS'!T$199,0)</f>
        <v>0</v>
      </c>
      <c r="M21" s="781">
        <f>ROUND('EV PROG TÉCNICOS'!U$199,0)</f>
        <v>0</v>
      </c>
      <c r="N21" s="782">
        <f t="shared" ref="N21:N31" si="1">SUM(D21:M21)</f>
        <v>0</v>
      </c>
    </row>
    <row r="22" spans="1:14" ht="24" x14ac:dyDescent="0.25">
      <c r="A22" s="774" t="s">
        <v>676</v>
      </c>
      <c r="B22" s="774" t="s">
        <v>28</v>
      </c>
      <c r="C22" s="781">
        <f>ROUND('EV PROG TÉCNICOS'!K$200,0)</f>
        <v>0</v>
      </c>
      <c r="D22" s="781">
        <f>ROUND('EV PROG TÉCNICOS'!L$200,0)</f>
        <v>0</v>
      </c>
      <c r="E22" s="781">
        <f>ROUND('EV PROG TÉCNICOS'!M$200,0)</f>
        <v>0</v>
      </c>
      <c r="F22" s="781">
        <f>ROUND('EV PROG TÉCNICOS'!N$200,0)</f>
        <v>0</v>
      </c>
      <c r="G22" s="781">
        <f>ROUND('EV PROG TÉCNICOS'!O$200,0)</f>
        <v>0</v>
      </c>
      <c r="H22" s="781">
        <f>ROUND('EV PROG TÉCNICOS'!P$200,0)</f>
        <v>0</v>
      </c>
      <c r="I22" s="781">
        <f>ROUND('EV PROG TÉCNICOS'!Q$200,0)</f>
        <v>0</v>
      </c>
      <c r="J22" s="781">
        <f>ROUND('EV PROG TÉCNICOS'!R$200,0)</f>
        <v>0</v>
      </c>
      <c r="K22" s="781">
        <f>ROUND('EV PROG TÉCNICOS'!S$200,0)</f>
        <v>0</v>
      </c>
      <c r="L22" s="781">
        <f>ROUND('EV PROG TÉCNICOS'!T$200,0)</f>
        <v>0</v>
      </c>
      <c r="M22" s="781">
        <f>ROUND('EV PROG TÉCNICOS'!U$200,0)</f>
        <v>0</v>
      </c>
      <c r="N22" s="782">
        <f t="shared" si="1"/>
        <v>0</v>
      </c>
    </row>
    <row r="23" spans="1:14" x14ac:dyDescent="0.25">
      <c r="A23" s="774" t="s">
        <v>677</v>
      </c>
      <c r="B23" s="774" t="s">
        <v>28</v>
      </c>
      <c r="C23" s="781">
        <f>ROUND(SUM('EV PROG TÉCNICOS'!K$212:K$213),0)</f>
        <v>0</v>
      </c>
      <c r="D23" s="781">
        <f>ROUND(SUM('EV PROG TÉCNICOS'!L$212:L$213),0)</f>
        <v>0</v>
      </c>
      <c r="E23" s="781">
        <f>ROUND(SUM('EV PROG TÉCNICOS'!M$212:M$213),0)</f>
        <v>0</v>
      </c>
      <c r="F23" s="781">
        <f>ROUND(SUM('EV PROG TÉCNICOS'!N$212:N$213),0)</f>
        <v>0</v>
      </c>
      <c r="G23" s="781">
        <f>ROUND(SUM('EV PROG TÉCNICOS'!O$212:O$213),0)</f>
        <v>0</v>
      </c>
      <c r="H23" s="781">
        <f>ROUND(SUM('EV PROG TÉCNICOS'!P$212:P$213),0)</f>
        <v>0</v>
      </c>
      <c r="I23" s="781">
        <f>ROUND(SUM('EV PROG TÉCNICOS'!Q$212:Q$213),0)</f>
        <v>0</v>
      </c>
      <c r="J23" s="781">
        <f>ROUND(SUM('EV PROG TÉCNICOS'!R$212:R$213),0)</f>
        <v>0</v>
      </c>
      <c r="K23" s="781">
        <f>ROUND(SUM('EV PROG TÉCNICOS'!S$212:S$213),0)</f>
        <v>0</v>
      </c>
      <c r="L23" s="781">
        <f>ROUND(SUM('EV PROG TÉCNICOS'!T$212:T$213),0)</f>
        <v>0</v>
      </c>
      <c r="M23" s="781">
        <f>ROUND(SUM('EV PROG TÉCNICOS'!U$212:U$213),0)</f>
        <v>0</v>
      </c>
      <c r="N23" s="782">
        <f t="shared" si="1"/>
        <v>0</v>
      </c>
    </row>
    <row r="24" spans="1:14" x14ac:dyDescent="0.25">
      <c r="A24" s="774" t="s">
        <v>678</v>
      </c>
      <c r="B24" s="774" t="s">
        <v>28</v>
      </c>
      <c r="C24" s="781">
        <f>ROUND('EV PROG TÉCNICOS'!K$214,0)</f>
        <v>0</v>
      </c>
      <c r="D24" s="781">
        <f>ROUND('EV PROG TÉCNICOS'!L$214,0)</f>
        <v>0</v>
      </c>
      <c r="E24" s="781">
        <f>ROUND('EV PROG TÉCNICOS'!M$214,0)</f>
        <v>0</v>
      </c>
      <c r="F24" s="781">
        <f>ROUND('EV PROG TÉCNICOS'!N$214,0)</f>
        <v>0</v>
      </c>
      <c r="G24" s="781">
        <f>ROUND('EV PROG TÉCNICOS'!O$214,0)</f>
        <v>0</v>
      </c>
      <c r="H24" s="781">
        <f>ROUND('EV PROG TÉCNICOS'!P$214,0)</f>
        <v>0</v>
      </c>
      <c r="I24" s="781">
        <f>ROUND('EV PROG TÉCNICOS'!Q$214,0)</f>
        <v>0</v>
      </c>
      <c r="J24" s="781">
        <f>ROUND('EV PROG TÉCNICOS'!R$214,0)</f>
        <v>0</v>
      </c>
      <c r="K24" s="781">
        <f>ROUND('EV PROG TÉCNICOS'!S$214,0)</f>
        <v>0</v>
      </c>
      <c r="L24" s="781">
        <f>ROUND('EV PROG TÉCNICOS'!T$214,0)</f>
        <v>0</v>
      </c>
      <c r="M24" s="781">
        <f>ROUND('EV PROG TÉCNICOS'!U$214,0)</f>
        <v>0</v>
      </c>
      <c r="N24" s="782">
        <f t="shared" si="1"/>
        <v>0</v>
      </c>
    </row>
    <row r="25" spans="1:14" x14ac:dyDescent="0.25">
      <c r="A25" s="774" t="s">
        <v>23</v>
      </c>
      <c r="B25" s="774" t="s">
        <v>28</v>
      </c>
      <c r="C25" s="781">
        <f>ROUND('EV PROG TÉCNICOS'!K$226,0)</f>
        <v>0</v>
      </c>
      <c r="D25" s="781">
        <f>ROUND('EV PROG TÉCNICOS'!L$226,0)</f>
        <v>8</v>
      </c>
      <c r="E25" s="781">
        <f>ROUND('EV PROG TÉCNICOS'!M$226,0)</f>
        <v>8</v>
      </c>
      <c r="F25" s="781">
        <f>ROUND('EV PROG TÉCNICOS'!N$226,0)</f>
        <v>8</v>
      </c>
      <c r="G25" s="781">
        <f>ROUND('EV PROG TÉCNICOS'!O$226,0)</f>
        <v>8</v>
      </c>
      <c r="H25" s="781">
        <f>ROUND('EV PROG TÉCNICOS'!P$226,0)</f>
        <v>8</v>
      </c>
      <c r="I25" s="781">
        <f>ROUND('EV PROG TÉCNICOS'!Q$226,0)</f>
        <v>8</v>
      </c>
      <c r="J25" s="781">
        <f>ROUND('EV PROG TÉCNICOS'!R$226,0)</f>
        <v>8</v>
      </c>
      <c r="K25" s="781">
        <f>ROUND('EV PROG TÉCNICOS'!S$226,0)</f>
        <v>8</v>
      </c>
      <c r="L25" s="781">
        <f>ROUND('EV PROG TÉCNICOS'!T$226,0)</f>
        <v>8</v>
      </c>
      <c r="M25" s="781">
        <f>ROUND('EV PROG TÉCNICOS'!U$226,0)</f>
        <v>8</v>
      </c>
      <c r="N25" s="782"/>
    </row>
    <row r="26" spans="1:14" x14ac:dyDescent="0.25">
      <c r="A26" s="774" t="s">
        <v>63</v>
      </c>
      <c r="B26" s="774" t="s">
        <v>28</v>
      </c>
      <c r="C26" s="781">
        <f>ROUND('EV PROG TÉCNICOS'!K$238,0)</f>
        <v>0</v>
      </c>
      <c r="D26" s="781">
        <f>ROUND('EV PROG TÉCNICOS'!L$238,0)</f>
        <v>8</v>
      </c>
      <c r="E26" s="781">
        <f>ROUND('EV PROG TÉCNICOS'!M$238,0)</f>
        <v>8</v>
      </c>
      <c r="F26" s="781">
        <f>ROUND('EV PROG TÉCNICOS'!N$238,0)</f>
        <v>8</v>
      </c>
      <c r="G26" s="781">
        <f>ROUND('EV PROG TÉCNICOS'!O$238,0)</f>
        <v>8</v>
      </c>
      <c r="H26" s="781">
        <f>ROUND('EV PROG TÉCNICOS'!P$238,0)</f>
        <v>8</v>
      </c>
      <c r="I26" s="781">
        <f>ROUND('EV PROG TÉCNICOS'!Q$238,0)</f>
        <v>8</v>
      </c>
      <c r="J26" s="781">
        <f>ROUND('EV PROG TÉCNICOS'!R$238,0)</f>
        <v>8</v>
      </c>
      <c r="K26" s="781">
        <f>ROUND('EV PROG TÉCNICOS'!S$238,0)</f>
        <v>8</v>
      </c>
      <c r="L26" s="781">
        <f>ROUND('EV PROG TÉCNICOS'!T$238,0)</f>
        <v>8</v>
      </c>
      <c r="M26" s="781">
        <f>ROUND('EV PROG TÉCNICOS'!U$238,0)</f>
        <v>8</v>
      </c>
      <c r="N26" s="782"/>
    </row>
    <row r="27" spans="1:14" ht="15" customHeight="1" x14ac:dyDescent="0.25">
      <c r="A27" s="774" t="s">
        <v>27</v>
      </c>
      <c r="B27" s="774" t="s">
        <v>28</v>
      </c>
      <c r="C27" s="781">
        <f>ROUND('EV PROG TÉCNICOS'!K$250,0)</f>
        <v>0</v>
      </c>
      <c r="D27" s="781">
        <f>ROUND('EV PROG TÉCNICOS'!L$250,0)</f>
        <v>8</v>
      </c>
      <c r="E27" s="781">
        <f>ROUND('EV PROG TÉCNICOS'!M$250,0)</f>
        <v>8</v>
      </c>
      <c r="F27" s="781">
        <f>ROUND('EV PROG TÉCNICOS'!N$250,0)</f>
        <v>8</v>
      </c>
      <c r="G27" s="781">
        <f>ROUND('EV PROG TÉCNICOS'!O$250,0)</f>
        <v>8</v>
      </c>
      <c r="H27" s="781">
        <f>ROUND('EV PROG TÉCNICOS'!P$250,0)</f>
        <v>8</v>
      </c>
      <c r="I27" s="781">
        <f>ROUND('EV PROG TÉCNICOS'!Q$250,0)</f>
        <v>8</v>
      </c>
      <c r="J27" s="781">
        <f>ROUND('EV PROG TÉCNICOS'!R$250,0)</f>
        <v>8</v>
      </c>
      <c r="K27" s="781">
        <f>ROUND('EV PROG TÉCNICOS'!S$250,0)</f>
        <v>8</v>
      </c>
      <c r="L27" s="781">
        <f>ROUND('EV PROG TÉCNICOS'!T$250,0)</f>
        <v>8</v>
      </c>
      <c r="M27" s="781">
        <f>ROUND('EV PROG TÉCNICOS'!U$250,0)</f>
        <v>8</v>
      </c>
      <c r="N27" s="782"/>
    </row>
    <row r="28" spans="1:14" x14ac:dyDescent="0.25">
      <c r="A28" s="774" t="s">
        <v>681</v>
      </c>
      <c r="B28" s="774" t="s">
        <v>28</v>
      </c>
      <c r="C28" s="781"/>
      <c r="D28" s="781">
        <f>ROUND(SUM('EV PROG TÉCNICOS'!L$263),0)</f>
        <v>0</v>
      </c>
      <c r="E28" s="781">
        <f>ROUND(SUM('EV PROG TÉCNICOS'!M$263),0)</f>
        <v>0</v>
      </c>
      <c r="F28" s="781">
        <f>ROUND(SUM('EV PROG TÉCNICOS'!N$263),0)</f>
        <v>0</v>
      </c>
      <c r="G28" s="781">
        <f>ROUND(SUM('EV PROG TÉCNICOS'!O$263),0)</f>
        <v>0</v>
      </c>
      <c r="H28" s="781">
        <f>ROUND(SUM('EV PROG TÉCNICOS'!P$263),0)</f>
        <v>0</v>
      </c>
      <c r="I28" s="781">
        <f>ROUND(SUM('EV PROG TÉCNICOS'!Q$263),0)</f>
        <v>0</v>
      </c>
      <c r="J28" s="781">
        <f>ROUND(SUM('EV PROG TÉCNICOS'!R$263),0)</f>
        <v>0</v>
      </c>
      <c r="K28" s="781">
        <f>ROUND(SUM('EV PROG TÉCNICOS'!S$263),0)</f>
        <v>0</v>
      </c>
      <c r="L28" s="781">
        <f>ROUND(SUM('EV PROG TÉCNICOS'!T$263),0)</f>
        <v>0</v>
      </c>
      <c r="M28" s="781">
        <f>ROUND(SUM('EV PROG TÉCNICOS'!U$263),0)</f>
        <v>0</v>
      </c>
      <c r="N28" s="782">
        <f t="shared" si="1"/>
        <v>0</v>
      </c>
    </row>
    <row r="29" spans="1:14" x14ac:dyDescent="0.25">
      <c r="A29" s="774" t="s">
        <v>682</v>
      </c>
      <c r="B29" s="774" t="s">
        <v>28</v>
      </c>
      <c r="C29" s="781"/>
      <c r="D29" s="781">
        <f>ROUND(SUM('EV PROG TÉCNICOS'!L$264),0)</f>
        <v>0</v>
      </c>
      <c r="E29" s="781">
        <f>ROUND(SUM('EV PROG TÉCNICOS'!M$264),0)</f>
        <v>0</v>
      </c>
      <c r="F29" s="781">
        <f>ROUND(SUM('EV PROG TÉCNICOS'!N$264),0)</f>
        <v>0</v>
      </c>
      <c r="G29" s="781">
        <f>ROUND(SUM('EV PROG TÉCNICOS'!O$264),0)</f>
        <v>0</v>
      </c>
      <c r="H29" s="781">
        <f>ROUND(SUM('EV PROG TÉCNICOS'!P$264),0)</f>
        <v>0</v>
      </c>
      <c r="I29" s="781">
        <f>ROUND(SUM('EV PROG TÉCNICOS'!Q$264),0)</f>
        <v>0</v>
      </c>
      <c r="J29" s="781">
        <f>ROUND(SUM('EV PROG TÉCNICOS'!R$264),0)</f>
        <v>0</v>
      </c>
      <c r="K29" s="781">
        <f>ROUND(SUM('EV PROG TÉCNICOS'!S$264),0)</f>
        <v>0</v>
      </c>
      <c r="L29" s="781">
        <f>ROUND(SUM('EV PROG TÉCNICOS'!T$264),0)</f>
        <v>0</v>
      </c>
      <c r="M29" s="781">
        <f>ROUND(SUM('EV PROG TÉCNICOS'!U$264),0)</f>
        <v>0</v>
      </c>
      <c r="N29" s="782">
        <f t="shared" si="1"/>
        <v>0</v>
      </c>
    </row>
    <row r="30" spans="1:14" x14ac:dyDescent="0.25">
      <c r="A30" s="774" t="s">
        <v>683</v>
      </c>
      <c r="B30" s="774" t="s">
        <v>28</v>
      </c>
      <c r="C30" s="781"/>
      <c r="D30" s="781">
        <f>ROUND(SUM('EV PROG TÉCNICOS'!L$265),0)</f>
        <v>0</v>
      </c>
      <c r="E30" s="781">
        <f>ROUND(SUM('EV PROG TÉCNICOS'!M$265),0)</f>
        <v>0</v>
      </c>
      <c r="F30" s="781">
        <f>ROUND(SUM('EV PROG TÉCNICOS'!N$265),0)</f>
        <v>0</v>
      </c>
      <c r="G30" s="781">
        <f>ROUND(SUM('EV PROG TÉCNICOS'!O$265),0)</f>
        <v>0</v>
      </c>
      <c r="H30" s="781">
        <f>ROUND(SUM('EV PROG TÉCNICOS'!P$265),0)</f>
        <v>0</v>
      </c>
      <c r="I30" s="781">
        <f>ROUND(SUM('EV PROG TÉCNICOS'!Q$265),0)</f>
        <v>0</v>
      </c>
      <c r="J30" s="781">
        <f>ROUND(SUM('EV PROG TÉCNICOS'!R$265),0)</f>
        <v>1</v>
      </c>
      <c r="K30" s="781">
        <f>ROUND(SUM('EV PROG TÉCNICOS'!S$265),0)</f>
        <v>0</v>
      </c>
      <c r="L30" s="781">
        <f>ROUND(SUM('EV PROG TÉCNICOS'!T$265),0)</f>
        <v>0</v>
      </c>
      <c r="M30" s="781">
        <f>ROUND(SUM('EV PROG TÉCNICOS'!U$265),0)</f>
        <v>0</v>
      </c>
      <c r="N30" s="782">
        <f t="shared" si="1"/>
        <v>1</v>
      </c>
    </row>
    <row r="31" spans="1:14" x14ac:dyDescent="0.25">
      <c r="A31" s="774" t="s">
        <v>49</v>
      </c>
      <c r="B31" s="774" t="s">
        <v>28</v>
      </c>
      <c r="C31" s="781"/>
      <c r="D31" s="781">
        <f>ROUND(SUM('EV PROG TÉCNICOS'!L$266),0)</f>
        <v>0</v>
      </c>
      <c r="E31" s="781">
        <f>ROUND(SUM('EV PROG TÉCNICOS'!M$266),0)</f>
        <v>0</v>
      </c>
      <c r="F31" s="781">
        <f>ROUND(SUM('EV PROG TÉCNICOS'!N$266),0)</f>
        <v>0</v>
      </c>
      <c r="G31" s="781">
        <f>ROUND(SUM('EV PROG TÉCNICOS'!O$266),0)</f>
        <v>0</v>
      </c>
      <c r="H31" s="781">
        <f>ROUND(SUM('EV PROG TÉCNICOS'!P$266),0)</f>
        <v>0</v>
      </c>
      <c r="I31" s="781">
        <f>ROUND(SUM('EV PROG TÉCNICOS'!Q$266),0)</f>
        <v>1</v>
      </c>
      <c r="J31" s="781">
        <f>ROUND(SUM('EV PROG TÉCNICOS'!R$266),0)</f>
        <v>0</v>
      </c>
      <c r="K31" s="781">
        <f>ROUND(SUM('EV PROG TÉCNICOS'!S$266),0)</f>
        <v>0</v>
      </c>
      <c r="L31" s="781">
        <f>ROUND(SUM('EV PROG TÉCNICOS'!T$266),0)</f>
        <v>1</v>
      </c>
      <c r="M31" s="781">
        <f>ROUND(SUM('EV PROG TÉCNICOS'!U$266),0)</f>
        <v>0</v>
      </c>
      <c r="N31" s="782">
        <f t="shared" si="1"/>
        <v>2</v>
      </c>
    </row>
    <row r="33" spans="1:14" x14ac:dyDescent="0.25">
      <c r="A33" s="1737" t="s">
        <v>909</v>
      </c>
      <c r="B33" s="1738"/>
      <c r="C33" s="1738"/>
      <c r="D33" s="1738"/>
      <c r="E33" s="1738"/>
      <c r="F33" s="1738"/>
      <c r="G33" s="1738"/>
      <c r="H33" s="1738"/>
      <c r="I33" s="1738"/>
      <c r="J33" s="1738"/>
      <c r="K33" s="1738"/>
      <c r="L33" s="1738"/>
      <c r="M33" s="1738"/>
      <c r="N33" s="1739"/>
    </row>
    <row r="34" spans="1:14" x14ac:dyDescent="0.25">
      <c r="A34" s="1731" t="s">
        <v>672</v>
      </c>
      <c r="B34" s="1731" t="s">
        <v>458</v>
      </c>
      <c r="C34" s="1733" t="s">
        <v>395</v>
      </c>
      <c r="D34" s="1733"/>
      <c r="E34" s="1733"/>
      <c r="F34" s="1733"/>
      <c r="G34" s="1733"/>
      <c r="H34" s="1733"/>
      <c r="I34" s="1733"/>
      <c r="J34" s="1733"/>
      <c r="K34" s="1733"/>
      <c r="L34" s="1733"/>
      <c r="M34" s="1733"/>
      <c r="N34" s="1735" t="s">
        <v>673</v>
      </c>
    </row>
    <row r="35" spans="1:14" x14ac:dyDescent="0.25">
      <c r="A35" s="1732"/>
      <c r="B35" s="1732"/>
      <c r="C35" s="773">
        <v>0</v>
      </c>
      <c r="D35" s="773">
        <v>1</v>
      </c>
      <c r="E35" s="773">
        <v>2</v>
      </c>
      <c r="F35" s="773">
        <v>3</v>
      </c>
      <c r="G35" s="773">
        <v>4</v>
      </c>
      <c r="H35" s="773">
        <v>5</v>
      </c>
      <c r="I35" s="773">
        <v>6</v>
      </c>
      <c r="J35" s="773">
        <v>7</v>
      </c>
      <c r="K35" s="773">
        <v>8</v>
      </c>
      <c r="L35" s="773">
        <v>9</v>
      </c>
      <c r="M35" s="773">
        <v>10</v>
      </c>
      <c r="N35" s="1736"/>
    </row>
    <row r="36" spans="1:14" x14ac:dyDescent="0.25">
      <c r="A36" s="774" t="s">
        <v>674</v>
      </c>
      <c r="B36" s="774" t="s">
        <v>28</v>
      </c>
      <c r="C36" s="781">
        <f>ROUND('EV PROG TÉCNICOS'!K$283,0)</f>
        <v>0</v>
      </c>
      <c r="D36" s="781">
        <f>ROUND('EV PROG TÉCNICOS'!L$283,0)</f>
        <v>0</v>
      </c>
      <c r="E36" s="781">
        <f>ROUND('EV PROG TÉCNICOS'!M$283,0)</f>
        <v>0</v>
      </c>
      <c r="F36" s="781">
        <f>ROUND('EV PROG TÉCNICOS'!N$283,0)</f>
        <v>0</v>
      </c>
      <c r="G36" s="781">
        <f>ROUND('EV PROG TÉCNICOS'!O$283,0)</f>
        <v>0</v>
      </c>
      <c r="H36" s="781">
        <f>ROUND('EV PROG TÉCNICOS'!P$283,0)</f>
        <v>0</v>
      </c>
      <c r="I36" s="781">
        <f>ROUND('EV PROG TÉCNICOS'!Q$283,0)</f>
        <v>0</v>
      </c>
      <c r="J36" s="781">
        <f>ROUND('EV PROG TÉCNICOS'!R$283,0)</f>
        <v>0</v>
      </c>
      <c r="K36" s="781">
        <f>ROUND('EV PROG TÉCNICOS'!S$283,0)</f>
        <v>0</v>
      </c>
      <c r="L36" s="781">
        <f>ROUND('EV PROG TÉCNICOS'!T$283,0)</f>
        <v>0</v>
      </c>
      <c r="M36" s="781">
        <f>ROUND('EV PROG TÉCNICOS'!U$283,0)</f>
        <v>0</v>
      </c>
      <c r="N36" s="782">
        <f>SUM(D36:M36)</f>
        <v>0</v>
      </c>
    </row>
    <row r="37" spans="1:14" x14ac:dyDescent="0.25">
      <c r="A37" s="774" t="s">
        <v>675</v>
      </c>
      <c r="B37" s="774" t="s">
        <v>28</v>
      </c>
      <c r="C37" s="781">
        <f>ROUND('EV PROG TÉCNICOS'!K$284,0)</f>
        <v>0</v>
      </c>
      <c r="D37" s="781">
        <f>ROUND('EV PROG TÉCNICOS'!L$284,0)</f>
        <v>0</v>
      </c>
      <c r="E37" s="781">
        <f>ROUND('EV PROG TÉCNICOS'!M$284,0)</f>
        <v>0</v>
      </c>
      <c r="F37" s="781">
        <f>ROUND('EV PROG TÉCNICOS'!N$284,0)</f>
        <v>0</v>
      </c>
      <c r="G37" s="781">
        <f>ROUND('EV PROG TÉCNICOS'!O$284,0)</f>
        <v>0</v>
      </c>
      <c r="H37" s="781">
        <f>ROUND('EV PROG TÉCNICOS'!P$284,0)</f>
        <v>0</v>
      </c>
      <c r="I37" s="781">
        <f>ROUND('EV PROG TÉCNICOS'!Q$284,0)</f>
        <v>0</v>
      </c>
      <c r="J37" s="781">
        <f>ROUND('EV PROG TÉCNICOS'!R$284,0)</f>
        <v>0</v>
      </c>
      <c r="K37" s="781">
        <f>ROUND('EV PROG TÉCNICOS'!S$284,0)</f>
        <v>0</v>
      </c>
      <c r="L37" s="781">
        <f>ROUND('EV PROG TÉCNICOS'!T$284,0)</f>
        <v>0</v>
      </c>
      <c r="M37" s="781">
        <f>ROUND('EV PROG TÉCNICOS'!U$284,0)</f>
        <v>0</v>
      </c>
      <c r="N37" s="782">
        <f t="shared" ref="N37:N47" si="2">SUM(D37:M37)</f>
        <v>0</v>
      </c>
    </row>
    <row r="38" spans="1:14" ht="24" x14ac:dyDescent="0.25">
      <c r="A38" s="774" t="s">
        <v>676</v>
      </c>
      <c r="B38" s="774" t="s">
        <v>28</v>
      </c>
      <c r="C38" s="781">
        <f>ROUND('EV PROG TÉCNICOS'!K$285,0)</f>
        <v>0</v>
      </c>
      <c r="D38" s="781">
        <f>ROUND('EV PROG TÉCNICOS'!L$285,0)</f>
        <v>0</v>
      </c>
      <c r="E38" s="781">
        <f>ROUND('EV PROG TÉCNICOS'!M$285,0)</f>
        <v>1</v>
      </c>
      <c r="F38" s="781">
        <f>ROUND('EV PROG TÉCNICOS'!N$285,0)</f>
        <v>0</v>
      </c>
      <c r="G38" s="781">
        <f>ROUND('EV PROG TÉCNICOS'!O$285,0)</f>
        <v>0</v>
      </c>
      <c r="H38" s="781">
        <f>ROUND('EV PROG TÉCNICOS'!P$285,0)</f>
        <v>0</v>
      </c>
      <c r="I38" s="781">
        <f>ROUND('EV PROG TÉCNICOS'!Q$285,0)</f>
        <v>0</v>
      </c>
      <c r="J38" s="781">
        <f>ROUND('EV PROG TÉCNICOS'!R$285,0)</f>
        <v>0</v>
      </c>
      <c r="K38" s="781">
        <f>ROUND('EV PROG TÉCNICOS'!S$285,0)</f>
        <v>0</v>
      </c>
      <c r="L38" s="781">
        <f>ROUND('EV PROG TÉCNICOS'!T$285,0)</f>
        <v>0</v>
      </c>
      <c r="M38" s="781">
        <f>ROUND('EV PROG TÉCNICOS'!U$285,0)</f>
        <v>0</v>
      </c>
      <c r="N38" s="782">
        <f>SUM(C38:M38)</f>
        <v>1</v>
      </c>
    </row>
    <row r="39" spans="1:14" x14ac:dyDescent="0.25">
      <c r="A39" s="774" t="s">
        <v>677</v>
      </c>
      <c r="B39" s="774" t="s">
        <v>28</v>
      </c>
      <c r="C39" s="781">
        <f>ROUND(SUM('EV PROG TÉCNICOS'!K$297:K$298),0)</f>
        <v>0</v>
      </c>
      <c r="D39" s="781">
        <f>ROUND(SUM('EV PROG TÉCNICOS'!L$297:L$298),0)</f>
        <v>0</v>
      </c>
      <c r="E39" s="781">
        <f>ROUND(SUM('EV PROG TÉCNICOS'!M$297:M$298),0)</f>
        <v>0</v>
      </c>
      <c r="F39" s="781">
        <f>ROUND(SUM('EV PROG TÉCNICOS'!N$297:N$298),0)</f>
        <v>0</v>
      </c>
      <c r="G39" s="781">
        <f>ROUND(SUM('EV PROG TÉCNICOS'!O$297:O$298),0)</f>
        <v>0</v>
      </c>
      <c r="H39" s="781">
        <f>ROUND(SUM('EV PROG TÉCNICOS'!P$297:P$298),0)</f>
        <v>0</v>
      </c>
      <c r="I39" s="781">
        <f>ROUND(SUM('EV PROG TÉCNICOS'!Q$297:Q$298),0)</f>
        <v>0</v>
      </c>
      <c r="J39" s="781">
        <f>ROUND(SUM('EV PROG TÉCNICOS'!R$297:R$298),0)</f>
        <v>0</v>
      </c>
      <c r="K39" s="781">
        <f>ROUND(SUM('EV PROG TÉCNICOS'!S$297:S$298),0)</f>
        <v>0</v>
      </c>
      <c r="L39" s="781">
        <f>ROUND(SUM('EV PROG TÉCNICOS'!T$297:T$298),0)</f>
        <v>0</v>
      </c>
      <c r="M39" s="781">
        <f>ROUND(SUM('EV PROG TÉCNICOS'!U$297:U$298),0)</f>
        <v>0</v>
      </c>
      <c r="N39" s="782">
        <f>SUM(C39:M39)</f>
        <v>0</v>
      </c>
    </row>
    <row r="40" spans="1:14" x14ac:dyDescent="0.25">
      <c r="A40" s="774" t="s">
        <v>678</v>
      </c>
      <c r="B40" s="774" t="s">
        <v>28</v>
      </c>
      <c r="C40" s="781">
        <f>ROUND('EV PROG TÉCNICOS'!K$299,0)</f>
        <v>0</v>
      </c>
      <c r="D40" s="781">
        <f>ROUND('EV PROG TÉCNICOS'!L$299,0)</f>
        <v>0</v>
      </c>
      <c r="E40" s="781">
        <f>ROUND('EV PROG TÉCNICOS'!M$299,0)</f>
        <v>0</v>
      </c>
      <c r="F40" s="781">
        <f>ROUND('EV PROG TÉCNICOS'!N$299,0)</f>
        <v>0</v>
      </c>
      <c r="G40" s="781">
        <f>ROUND('EV PROG TÉCNICOS'!O$299,0)</f>
        <v>0</v>
      </c>
      <c r="H40" s="781">
        <f>ROUND('EV PROG TÉCNICOS'!P$299,0)</f>
        <v>0</v>
      </c>
      <c r="I40" s="781">
        <f>ROUND('EV PROG TÉCNICOS'!Q$299,0)</f>
        <v>0</v>
      </c>
      <c r="J40" s="781">
        <f>ROUND('EV PROG TÉCNICOS'!R$299,0)</f>
        <v>0</v>
      </c>
      <c r="K40" s="781">
        <f>ROUND('EV PROG TÉCNICOS'!S$299,0)</f>
        <v>0</v>
      </c>
      <c r="L40" s="781">
        <f>ROUND('EV PROG TÉCNICOS'!T$299,0)</f>
        <v>0</v>
      </c>
      <c r="M40" s="781">
        <f>ROUND('EV PROG TÉCNICOS'!U$299,0)</f>
        <v>0</v>
      </c>
      <c r="N40" s="782">
        <f>SUM(D40:M40)</f>
        <v>0</v>
      </c>
    </row>
    <row r="41" spans="1:14" x14ac:dyDescent="0.25">
      <c r="A41" s="774" t="s">
        <v>23</v>
      </c>
      <c r="B41" s="774" t="s">
        <v>28</v>
      </c>
      <c r="C41" s="781">
        <f>ROUND('EV PROG TÉCNICOS'!K$310,0)</f>
        <v>0</v>
      </c>
      <c r="D41" s="781">
        <f>ROUND('EV PROG TÉCNICOS'!L$310,0)</f>
        <v>11</v>
      </c>
      <c r="E41" s="781">
        <f>ROUND('EV PROG TÉCNICOS'!M$310,0)</f>
        <v>12</v>
      </c>
      <c r="F41" s="781">
        <f>ROUND('EV PROG TÉCNICOS'!N$310,0)</f>
        <v>12</v>
      </c>
      <c r="G41" s="781">
        <f>ROUND('EV PROG TÉCNICOS'!O$310,0)</f>
        <v>12</v>
      </c>
      <c r="H41" s="781">
        <f>ROUND('EV PROG TÉCNICOS'!P$310,0)</f>
        <v>12</v>
      </c>
      <c r="I41" s="781">
        <f>ROUND('EV PROG TÉCNICOS'!Q$310,0)</f>
        <v>12</v>
      </c>
      <c r="J41" s="781">
        <f>ROUND('EV PROG TÉCNICOS'!R$310,0)</f>
        <v>12</v>
      </c>
      <c r="K41" s="781">
        <f>ROUND('EV PROG TÉCNICOS'!S$310,0)</f>
        <v>12</v>
      </c>
      <c r="L41" s="781">
        <f>ROUND('EV PROG TÉCNICOS'!T$310,0)</f>
        <v>12</v>
      </c>
      <c r="M41" s="781">
        <f>ROUND('EV PROG TÉCNICOS'!U$310,0)</f>
        <v>12</v>
      </c>
      <c r="N41" s="782"/>
    </row>
    <row r="42" spans="1:14" x14ac:dyDescent="0.25">
      <c r="A42" s="774" t="s">
        <v>63</v>
      </c>
      <c r="B42" s="774" t="s">
        <v>28</v>
      </c>
      <c r="C42" s="781">
        <f>ROUND('EV PROG TÉCNICOS'!K$321,0)</f>
        <v>0</v>
      </c>
      <c r="D42" s="781">
        <f>ROUND('EV PROG TÉCNICOS'!L$321,0)</f>
        <v>11</v>
      </c>
      <c r="E42" s="781">
        <f>ROUND('EV PROG TÉCNICOS'!M$321,0)</f>
        <v>12</v>
      </c>
      <c r="F42" s="781">
        <f>ROUND('EV PROG TÉCNICOS'!N$321,0)</f>
        <v>12</v>
      </c>
      <c r="G42" s="781">
        <f>ROUND('EV PROG TÉCNICOS'!O$321,0)</f>
        <v>12</v>
      </c>
      <c r="H42" s="781">
        <f>ROUND('EV PROG TÉCNICOS'!P$321,0)</f>
        <v>12</v>
      </c>
      <c r="I42" s="781">
        <f>ROUND('EV PROG TÉCNICOS'!Q$321,0)</f>
        <v>12</v>
      </c>
      <c r="J42" s="781">
        <f>ROUND('EV PROG TÉCNICOS'!R$321,0)</f>
        <v>12</v>
      </c>
      <c r="K42" s="781">
        <f>ROUND('EV PROG TÉCNICOS'!S$321,0)</f>
        <v>12</v>
      </c>
      <c r="L42" s="781">
        <f>ROUND('EV PROG TÉCNICOS'!T$321,0)</f>
        <v>12</v>
      </c>
      <c r="M42" s="781">
        <f>ROUND('EV PROG TÉCNICOS'!U$321,0)</f>
        <v>12</v>
      </c>
      <c r="N42" s="782"/>
    </row>
    <row r="43" spans="1:14" ht="15" customHeight="1" x14ac:dyDescent="0.25">
      <c r="A43" s="774" t="s">
        <v>27</v>
      </c>
      <c r="B43" s="774" t="s">
        <v>28</v>
      </c>
      <c r="C43" s="781">
        <f>ROUND('EV PROG TÉCNICOS'!K$332,0)</f>
        <v>0</v>
      </c>
      <c r="D43" s="781">
        <f>ROUND('EV PROG TÉCNICOS'!L$332,0)</f>
        <v>11</v>
      </c>
      <c r="E43" s="781">
        <f>ROUND('EV PROG TÉCNICOS'!M$332,0)</f>
        <v>12</v>
      </c>
      <c r="F43" s="781">
        <f>ROUND('EV PROG TÉCNICOS'!N$332,0)</f>
        <v>12</v>
      </c>
      <c r="G43" s="781">
        <f>ROUND('EV PROG TÉCNICOS'!O$332,0)</f>
        <v>12</v>
      </c>
      <c r="H43" s="781">
        <f>ROUND('EV PROG TÉCNICOS'!P$332,0)</f>
        <v>12</v>
      </c>
      <c r="I43" s="781">
        <f>ROUND('EV PROG TÉCNICOS'!Q$332,0)</f>
        <v>12</v>
      </c>
      <c r="J43" s="781">
        <f>ROUND('EV PROG TÉCNICOS'!R$332,0)</f>
        <v>12</v>
      </c>
      <c r="K43" s="781">
        <f>ROUND('EV PROG TÉCNICOS'!S$332,0)</f>
        <v>12</v>
      </c>
      <c r="L43" s="781">
        <f>ROUND('EV PROG TÉCNICOS'!T$332,0)</f>
        <v>12</v>
      </c>
      <c r="M43" s="781">
        <f>ROUND('EV PROG TÉCNICOS'!U$332,0)</f>
        <v>12</v>
      </c>
      <c r="N43" s="782"/>
    </row>
    <row r="44" spans="1:14" x14ac:dyDescent="0.25">
      <c r="A44" s="774" t="s">
        <v>681</v>
      </c>
      <c r="B44" s="774" t="s">
        <v>28</v>
      </c>
      <c r="C44" s="781">
        <f>ROUND('EV PROG TÉCNICOS'!K$345,0)</f>
        <v>0</v>
      </c>
      <c r="D44" s="781">
        <f>ROUND('EV PROG TÉCNICOS'!L$345,0)</f>
        <v>0</v>
      </c>
      <c r="E44" s="781">
        <f>ROUND('EV PROG TÉCNICOS'!M$345,0)</f>
        <v>0</v>
      </c>
      <c r="F44" s="781">
        <f>ROUND('EV PROG TÉCNICOS'!N$345,0)</f>
        <v>0</v>
      </c>
      <c r="G44" s="781">
        <f>ROUND('EV PROG TÉCNICOS'!O$345,0)</f>
        <v>0</v>
      </c>
      <c r="H44" s="781">
        <f>ROUND('EV PROG TÉCNICOS'!P$345,0)</f>
        <v>0</v>
      </c>
      <c r="I44" s="781">
        <f>ROUND('EV PROG TÉCNICOS'!Q$345,0)</f>
        <v>0</v>
      </c>
      <c r="J44" s="781">
        <f>ROUND('EV PROG TÉCNICOS'!R$345,0)</f>
        <v>0</v>
      </c>
      <c r="K44" s="781">
        <f>ROUND('EV PROG TÉCNICOS'!S$345,0)</f>
        <v>0</v>
      </c>
      <c r="L44" s="781">
        <f>ROUND('EV PROG TÉCNICOS'!T$345,0)</f>
        <v>0</v>
      </c>
      <c r="M44" s="781">
        <f>ROUND('EV PROG TÉCNICOS'!U$345,0)</f>
        <v>0</v>
      </c>
      <c r="N44" s="782">
        <f t="shared" si="2"/>
        <v>0</v>
      </c>
    </row>
    <row r="45" spans="1:14" x14ac:dyDescent="0.25">
      <c r="A45" s="774" t="s">
        <v>682</v>
      </c>
      <c r="B45" s="774" t="s">
        <v>28</v>
      </c>
      <c r="C45" s="781">
        <f>ROUND('EV PROG TÉCNICOS'!K$346,0)</f>
        <v>0</v>
      </c>
      <c r="D45" s="781">
        <f>ROUND('EV PROG TÉCNICOS'!L$346,0)</f>
        <v>0</v>
      </c>
      <c r="E45" s="781">
        <f>ROUND('EV PROG TÉCNICOS'!M$346,0)</f>
        <v>0</v>
      </c>
      <c r="F45" s="781">
        <f>ROUND('EV PROG TÉCNICOS'!N$346,0)</f>
        <v>0</v>
      </c>
      <c r="G45" s="781">
        <f>ROUND('EV PROG TÉCNICOS'!O$346,0)</f>
        <v>0</v>
      </c>
      <c r="H45" s="781">
        <f>ROUND('EV PROG TÉCNICOS'!P$346,0)</f>
        <v>0</v>
      </c>
      <c r="I45" s="781">
        <f>ROUND('EV PROG TÉCNICOS'!Q$346,0)</f>
        <v>3</v>
      </c>
      <c r="J45" s="781">
        <f>ROUND('EV PROG TÉCNICOS'!R$346,0)</f>
        <v>0</v>
      </c>
      <c r="K45" s="781">
        <f>ROUND('EV PROG TÉCNICOS'!S$346,0)</f>
        <v>0</v>
      </c>
      <c r="L45" s="781">
        <f>ROUND('EV PROG TÉCNICOS'!T$346,0)</f>
        <v>0</v>
      </c>
      <c r="M45" s="781">
        <f>ROUND('EV PROG TÉCNICOS'!U$346,0)</f>
        <v>0</v>
      </c>
      <c r="N45" s="782">
        <f t="shared" si="2"/>
        <v>3</v>
      </c>
    </row>
    <row r="46" spans="1:14" x14ac:dyDescent="0.25">
      <c r="A46" s="774" t="s">
        <v>683</v>
      </c>
      <c r="B46" s="774" t="s">
        <v>28</v>
      </c>
      <c r="C46" s="781">
        <f>ROUND('EV PROG TÉCNICOS'!K$347,0)</f>
        <v>0</v>
      </c>
      <c r="D46" s="781">
        <f>ROUND('EV PROG TÉCNICOS'!L$347,0)</f>
        <v>1</v>
      </c>
      <c r="E46" s="781">
        <f>ROUND('EV PROG TÉCNICOS'!M$347,0)</f>
        <v>0</v>
      </c>
      <c r="F46" s="781">
        <f>ROUND('EV PROG TÉCNICOS'!N$347,0)</f>
        <v>1</v>
      </c>
      <c r="G46" s="781">
        <f>ROUND('EV PROG TÉCNICOS'!O$347,0)</f>
        <v>0</v>
      </c>
      <c r="H46" s="781">
        <f>ROUND('EV PROG TÉCNICOS'!P$347,0)</f>
        <v>0</v>
      </c>
      <c r="I46" s="781">
        <f>ROUND('EV PROG TÉCNICOS'!Q$347,0)</f>
        <v>0</v>
      </c>
      <c r="J46" s="781">
        <f>ROUND('EV PROG TÉCNICOS'!R$347,0)</f>
        <v>0</v>
      </c>
      <c r="K46" s="781">
        <f>ROUND('EV PROG TÉCNICOS'!S$347,0)</f>
        <v>0</v>
      </c>
      <c r="L46" s="781">
        <f>ROUND('EV PROG TÉCNICOS'!T$347,0)</f>
        <v>0</v>
      </c>
      <c r="M46" s="781">
        <f>ROUND('EV PROG TÉCNICOS'!U$347,0)</f>
        <v>0</v>
      </c>
      <c r="N46" s="782">
        <f t="shared" si="2"/>
        <v>2</v>
      </c>
    </row>
    <row r="47" spans="1:14" x14ac:dyDescent="0.25">
      <c r="A47" s="774" t="s">
        <v>49</v>
      </c>
      <c r="B47" s="774" t="s">
        <v>28</v>
      </c>
      <c r="C47" s="781">
        <f>ROUND('EV PROG TÉCNICOS'!K$348,0)</f>
        <v>0</v>
      </c>
      <c r="D47" s="781">
        <f>ROUND('EV PROG TÉCNICOS'!L$348,0)</f>
        <v>0</v>
      </c>
      <c r="E47" s="781">
        <f>ROUND('EV PROG TÉCNICOS'!M$348,0)</f>
        <v>0</v>
      </c>
      <c r="F47" s="781">
        <f>ROUND('EV PROG TÉCNICOS'!N$348,0)</f>
        <v>0</v>
      </c>
      <c r="G47" s="781">
        <f>ROUND('EV PROG TÉCNICOS'!O$348,0)</f>
        <v>0</v>
      </c>
      <c r="H47" s="781">
        <f>ROUND('EV PROG TÉCNICOS'!P$348,0)</f>
        <v>0</v>
      </c>
      <c r="I47" s="781">
        <f>ROUND('EV PROG TÉCNICOS'!Q$348,0)</f>
        <v>0</v>
      </c>
      <c r="J47" s="781">
        <f>ROUND('EV PROG TÉCNICOS'!R$348,0)</f>
        <v>0</v>
      </c>
      <c r="K47" s="781">
        <f>ROUND('EV PROG TÉCNICOS'!S$348,0)</f>
        <v>0</v>
      </c>
      <c r="L47" s="781">
        <f>ROUND('EV PROG TÉCNICOS'!T$348,0)</f>
        <v>0</v>
      </c>
      <c r="M47" s="781">
        <f>ROUND('EV PROG TÉCNICOS'!U$348,0)</f>
        <v>0</v>
      </c>
      <c r="N47" s="782">
        <f t="shared" si="2"/>
        <v>0</v>
      </c>
    </row>
    <row r="49" spans="1:14" ht="15.75" x14ac:dyDescent="0.25">
      <c r="A49" s="1734" t="s">
        <v>684</v>
      </c>
      <c r="B49" s="1734"/>
      <c r="C49" s="1734"/>
      <c r="D49" s="1734"/>
      <c r="E49" s="1734"/>
      <c r="F49" s="1734"/>
      <c r="G49" s="1734"/>
      <c r="H49" s="1734"/>
      <c r="I49" s="1734"/>
      <c r="J49" s="1734"/>
      <c r="K49" s="1734"/>
      <c r="L49" s="1734"/>
      <c r="M49" s="1734"/>
      <c r="N49" s="1734"/>
    </row>
    <row r="51" spans="1:14" x14ac:dyDescent="0.25">
      <c r="A51" s="1731" t="s">
        <v>672</v>
      </c>
      <c r="B51" s="1731" t="s">
        <v>458</v>
      </c>
      <c r="C51" s="1733" t="s">
        <v>395</v>
      </c>
      <c r="D51" s="1733"/>
      <c r="E51" s="1733"/>
      <c r="F51" s="1733"/>
      <c r="G51" s="1733"/>
      <c r="H51" s="1733"/>
      <c r="I51" s="1733"/>
      <c r="J51" s="1733"/>
      <c r="K51" s="1733"/>
      <c r="L51" s="1733"/>
      <c r="M51" s="1733"/>
      <c r="N51" s="777"/>
    </row>
    <row r="52" spans="1:14" x14ac:dyDescent="0.25">
      <c r="A52" s="1732"/>
      <c r="B52" s="1732"/>
      <c r="C52" s="773">
        <v>0</v>
      </c>
      <c r="D52" s="773">
        <v>1</v>
      </c>
      <c r="E52" s="773">
        <v>2</v>
      </c>
      <c r="F52" s="773">
        <v>3</v>
      </c>
      <c r="G52" s="773">
        <v>4</v>
      </c>
      <c r="H52" s="773">
        <v>5</v>
      </c>
      <c r="I52" s="773">
        <v>6</v>
      </c>
      <c r="J52" s="773">
        <v>7</v>
      </c>
      <c r="K52" s="773">
        <v>8</v>
      </c>
      <c r="L52" s="773">
        <v>9</v>
      </c>
      <c r="M52" s="773">
        <v>10</v>
      </c>
      <c r="N52" s="773" t="s">
        <v>673</v>
      </c>
    </row>
    <row r="53" spans="1:14" x14ac:dyDescent="0.25">
      <c r="A53" s="774" t="s">
        <v>674</v>
      </c>
      <c r="B53" s="774" t="s">
        <v>685</v>
      </c>
      <c r="C53" s="781">
        <f>ROUND(SUM('EV PROG TÉCNICOS'!K$366,'EV PROG TÉCNICOS'!K$384),0)</f>
        <v>0</v>
      </c>
      <c r="D53" s="781">
        <f>ROUND(SUM('EV PROG TÉCNICOS'!L$366,'EV PROG TÉCNICOS'!L$384),0)</f>
        <v>5</v>
      </c>
      <c r="E53" s="781">
        <f>ROUND(SUM('EV PROG TÉCNICOS'!M$366,'EV PROG TÉCNICOS'!M$384),0)</f>
        <v>5</v>
      </c>
      <c r="F53" s="781">
        <f>ROUND(SUM('EV PROG TÉCNICOS'!N$366,'EV PROG TÉCNICOS'!N$384),0)</f>
        <v>4</v>
      </c>
      <c r="G53" s="781">
        <f>ROUND(SUM('EV PROG TÉCNICOS'!O$366,'EV PROG TÉCNICOS'!O$384),0)</f>
        <v>0</v>
      </c>
      <c r="H53" s="781">
        <f>ROUND(SUM('EV PROG TÉCNICOS'!P$366,'EV PROG TÉCNICOS'!P$384),0)</f>
        <v>1</v>
      </c>
      <c r="I53" s="781">
        <f>ROUND(SUM('EV PROG TÉCNICOS'!Q$366,'EV PROG TÉCNICOS'!Q$384),0)</f>
        <v>0</v>
      </c>
      <c r="J53" s="781">
        <f>ROUND(SUM('EV PROG TÉCNICOS'!R$366,'EV PROG TÉCNICOS'!R$384),0)</f>
        <v>0</v>
      </c>
      <c r="K53" s="781">
        <f>ROUND(SUM('EV PROG TÉCNICOS'!S$366,'EV PROG TÉCNICOS'!S$384),0)</f>
        <v>0</v>
      </c>
      <c r="L53" s="781">
        <f>ROUND(SUM('EV PROG TÉCNICOS'!T$366,'EV PROG TÉCNICOS'!T$384),0)</f>
        <v>0</v>
      </c>
      <c r="M53" s="781">
        <f>ROUND(SUM('EV PROG TÉCNICOS'!U$366,'EV PROG TÉCNICOS'!U$384),0)</f>
        <v>0</v>
      </c>
      <c r="N53" s="782">
        <f>SUM(D53:M53)</f>
        <v>15</v>
      </c>
    </row>
    <row r="54" spans="1:14" x14ac:dyDescent="0.25">
      <c r="A54" s="774" t="s">
        <v>675</v>
      </c>
      <c r="B54" s="774" t="s">
        <v>685</v>
      </c>
      <c r="C54" s="781">
        <f>ROUND(SUM('EV PROG TÉCNICOS'!K$367,'EV PROG TÉCNICOS'!K$385),0)</f>
        <v>0</v>
      </c>
      <c r="D54" s="781">
        <f>ROUND(SUM('EV PROG TÉCNICOS'!L$367,'EV PROG TÉCNICOS'!L$385),0)</f>
        <v>2</v>
      </c>
      <c r="E54" s="781">
        <f>ROUND(SUM('EV PROG TÉCNICOS'!M$367,'EV PROG TÉCNICOS'!M$385),0)</f>
        <v>5</v>
      </c>
      <c r="F54" s="781">
        <f>ROUND(SUM('EV PROG TÉCNICOS'!N$367,'EV PROG TÉCNICOS'!N$385),0)</f>
        <v>6</v>
      </c>
      <c r="G54" s="781">
        <f>ROUND(SUM('EV PROG TÉCNICOS'!O$367,'EV PROG TÉCNICOS'!O$385),0)</f>
        <v>11</v>
      </c>
      <c r="H54" s="781">
        <f>ROUND(SUM('EV PROG TÉCNICOS'!P$367,'EV PROG TÉCNICOS'!P$385),0)</f>
        <v>6</v>
      </c>
      <c r="I54" s="781">
        <f>ROUND(SUM('EV PROG TÉCNICOS'!Q$367,'EV PROG TÉCNICOS'!Q$385),0)</f>
        <v>0</v>
      </c>
      <c r="J54" s="781">
        <f>ROUND(SUM('EV PROG TÉCNICOS'!R$367,'EV PROG TÉCNICOS'!R$385),0)</f>
        <v>0</v>
      </c>
      <c r="K54" s="781">
        <f>ROUND(SUM('EV PROG TÉCNICOS'!S$367,'EV PROG TÉCNICOS'!S$385),0)</f>
        <v>0</v>
      </c>
      <c r="L54" s="781">
        <f>ROUND(SUM('EV PROG TÉCNICOS'!T$367,'EV PROG TÉCNICOS'!T$385),0)</f>
        <v>0</v>
      </c>
      <c r="M54" s="781">
        <f>ROUND(SUM('EV PROG TÉCNICOS'!U$367,'EV PROG TÉCNICOS'!U$385),0)</f>
        <v>0</v>
      </c>
      <c r="N54" s="782">
        <f t="shared" ref="N54:N64" si="3">SUM(D54:M54)</f>
        <v>30</v>
      </c>
    </row>
    <row r="55" spans="1:14" ht="24" x14ac:dyDescent="0.25">
      <c r="A55" s="774" t="s">
        <v>676</v>
      </c>
      <c r="B55" s="774" t="s">
        <v>685</v>
      </c>
      <c r="C55" s="781">
        <f>ROUND(SUM('EV PROG TÉCNICOS'!K$368,'EV PROG TÉCNICOS'!K$386),0)</f>
        <v>0</v>
      </c>
      <c r="D55" s="781">
        <f>ROUND(SUM('EV PROG TÉCNICOS'!L$368,'EV PROG TÉCNICOS'!L$386),0)</f>
        <v>3</v>
      </c>
      <c r="E55" s="781">
        <f>ROUND(SUM('EV PROG TÉCNICOS'!M$368,'EV PROG TÉCNICOS'!M$386),0)</f>
        <v>2</v>
      </c>
      <c r="F55" s="781">
        <f>ROUND(SUM('EV PROG TÉCNICOS'!N$368,'EV PROG TÉCNICOS'!N$386),0)</f>
        <v>1</v>
      </c>
      <c r="G55" s="781">
        <f>ROUND(SUM('EV PROG TÉCNICOS'!O$368,'EV PROG TÉCNICOS'!O$386),0)</f>
        <v>2</v>
      </c>
      <c r="H55" s="781">
        <f>ROUND(SUM('EV PROG TÉCNICOS'!P$368,'EV PROG TÉCNICOS'!P$386),0)</f>
        <v>0</v>
      </c>
      <c r="I55" s="781">
        <f>ROUND(SUM('EV PROG TÉCNICOS'!Q$368,'EV PROG TÉCNICOS'!Q$386),0)</f>
        <v>0</v>
      </c>
      <c r="J55" s="781">
        <f>ROUND(SUM('EV PROG TÉCNICOS'!R$368,'EV PROG TÉCNICOS'!R$386),0)</f>
        <v>0</v>
      </c>
      <c r="K55" s="781">
        <f>ROUND(SUM('EV PROG TÉCNICOS'!S$368,'EV PROG TÉCNICOS'!S$386),0)</f>
        <v>0</v>
      </c>
      <c r="L55" s="781">
        <f>ROUND(SUM('EV PROG TÉCNICOS'!T$368,'EV PROG TÉCNICOS'!T$386),0)</f>
        <v>0</v>
      </c>
      <c r="M55" s="781">
        <f>ROUND(SUM('EV PROG TÉCNICOS'!U$368,'EV PROG TÉCNICOS'!U$386),0)</f>
        <v>0</v>
      </c>
      <c r="N55" s="782">
        <f t="shared" si="3"/>
        <v>8</v>
      </c>
    </row>
    <row r="56" spans="1:14" x14ac:dyDescent="0.25">
      <c r="A56" s="774" t="s">
        <v>677</v>
      </c>
      <c r="B56" s="774" t="s">
        <v>685</v>
      </c>
      <c r="C56" s="781">
        <f>ROUND(SUM('EV PROG TÉCNICOS'!K$401:K$402),0)</f>
        <v>0</v>
      </c>
      <c r="D56" s="781">
        <f>ROUND(SUM('EV PROG TÉCNICOS'!L$401:L$402),0)</f>
        <v>7</v>
      </c>
      <c r="E56" s="781">
        <f>ROUND(SUM('EV PROG TÉCNICOS'!M$401:M$402),0)</f>
        <v>11</v>
      </c>
      <c r="F56" s="781">
        <f>ROUND(SUM('EV PROG TÉCNICOS'!N$401:N$402),0)</f>
        <v>10</v>
      </c>
      <c r="G56" s="781">
        <f>ROUND(SUM('EV PROG TÉCNICOS'!O$401:O$402),0)</f>
        <v>15</v>
      </c>
      <c r="H56" s="781">
        <f>ROUND(SUM('EV PROG TÉCNICOS'!P$401:P$402),0)</f>
        <v>10</v>
      </c>
      <c r="I56" s="781">
        <f>ROUND(SUM('EV PROG TÉCNICOS'!Q$401:Q$402),0)</f>
        <v>0</v>
      </c>
      <c r="J56" s="781">
        <f>ROUND(SUM('EV PROG TÉCNICOS'!R$401:R$402),0)</f>
        <v>0</v>
      </c>
      <c r="K56" s="781">
        <f>ROUND(SUM('EV PROG TÉCNICOS'!S$401:S$402),0)</f>
        <v>0</v>
      </c>
      <c r="L56" s="781">
        <f>ROUND(SUM('EV PROG TÉCNICOS'!T$401:T$402),0)</f>
        <v>0</v>
      </c>
      <c r="M56" s="781">
        <f>ROUND(SUM('EV PROG TÉCNICOS'!U$401:U$402),0)</f>
        <v>0</v>
      </c>
      <c r="N56" s="782">
        <f t="shared" si="3"/>
        <v>53</v>
      </c>
    </row>
    <row r="57" spans="1:14" x14ac:dyDescent="0.25">
      <c r="A57" s="774" t="s">
        <v>678</v>
      </c>
      <c r="B57" s="774" t="s">
        <v>685</v>
      </c>
      <c r="C57" s="781">
        <f>ROUND('EV PROG TÉCNICOS'!K$403,0)</f>
        <v>0</v>
      </c>
      <c r="D57" s="781">
        <f>ROUND('EV PROG TÉCNICOS'!L$403,0)</f>
        <v>0</v>
      </c>
      <c r="E57" s="781">
        <f>ROUND('EV PROG TÉCNICOS'!M$403,0)</f>
        <v>0</v>
      </c>
      <c r="F57" s="781">
        <f>ROUND('EV PROG TÉCNICOS'!N$403,0)</f>
        <v>0</v>
      </c>
      <c r="G57" s="781">
        <f>ROUND('EV PROG TÉCNICOS'!O$403,0)</f>
        <v>0</v>
      </c>
      <c r="H57" s="781">
        <f>ROUND('EV PROG TÉCNICOS'!P$403,0)</f>
        <v>0</v>
      </c>
      <c r="I57" s="781">
        <f>ROUND('EV PROG TÉCNICOS'!Q$403,0)</f>
        <v>0</v>
      </c>
      <c r="J57" s="781">
        <f>ROUND('EV PROG TÉCNICOS'!R$403,0)</f>
        <v>0</v>
      </c>
      <c r="K57" s="781">
        <f>ROUND('EV PROG TÉCNICOS'!S$403,0)</f>
        <v>0</v>
      </c>
      <c r="L57" s="781">
        <f>ROUND('EV PROG TÉCNICOS'!T$403,0)</f>
        <v>0</v>
      </c>
      <c r="M57" s="781">
        <f>ROUND('EV PROG TÉCNICOS'!U$403,0)</f>
        <v>0</v>
      </c>
      <c r="N57" s="782">
        <f t="shared" si="3"/>
        <v>0</v>
      </c>
    </row>
    <row r="58" spans="1:14" x14ac:dyDescent="0.25">
      <c r="A58" s="774" t="s">
        <v>23</v>
      </c>
      <c r="B58" s="774" t="s">
        <v>685</v>
      </c>
      <c r="C58" s="781">
        <f>ROUND('EV PROG TÉCNICOS'!K$414,0)</f>
        <v>0</v>
      </c>
      <c r="D58" s="781">
        <f>ROUND('EV PROG TÉCNICOS'!L$414,0)</f>
        <v>41</v>
      </c>
      <c r="E58" s="781">
        <f>ROUND('EV PROG TÉCNICOS'!M$414,0)</f>
        <v>53</v>
      </c>
      <c r="F58" s="781">
        <f>ROUND('EV PROG TÉCNICOS'!N$414,0)</f>
        <v>64</v>
      </c>
      <c r="G58" s="781">
        <f>ROUND('EV PROG TÉCNICOS'!O$414,0)</f>
        <v>77</v>
      </c>
      <c r="H58" s="781">
        <f>ROUND('EV PROG TÉCNICOS'!P$414,0)</f>
        <v>96</v>
      </c>
      <c r="I58" s="781">
        <f>ROUND('EV PROG TÉCNICOS'!Q$414,0)</f>
        <v>96</v>
      </c>
      <c r="J58" s="781">
        <f>ROUND('EV PROG TÉCNICOS'!R$414,0)</f>
        <v>96</v>
      </c>
      <c r="K58" s="781">
        <f>ROUND('EV PROG TÉCNICOS'!S$414,0)</f>
        <v>96</v>
      </c>
      <c r="L58" s="781">
        <f>ROUND('EV PROG TÉCNICOS'!T$414,0)</f>
        <v>96</v>
      </c>
      <c r="M58" s="781">
        <f>ROUND('EV PROG TÉCNICOS'!U$414,0)</f>
        <v>96</v>
      </c>
      <c r="N58" s="782"/>
    </row>
    <row r="59" spans="1:14" x14ac:dyDescent="0.25">
      <c r="A59" s="774" t="s">
        <v>63</v>
      </c>
      <c r="B59" s="774" t="s">
        <v>685</v>
      </c>
      <c r="C59" s="781">
        <f>ROUND('EV PROG TÉCNICOS'!K$425,0)</f>
        <v>0</v>
      </c>
      <c r="D59" s="781">
        <f>ROUND('EV PROG TÉCNICOS'!L$425,0)</f>
        <v>41</v>
      </c>
      <c r="E59" s="781">
        <f>ROUND('EV PROG TÉCNICOS'!M$425,0)</f>
        <v>53</v>
      </c>
      <c r="F59" s="781">
        <f>ROUND('EV PROG TÉCNICOS'!N$425,0)</f>
        <v>64</v>
      </c>
      <c r="G59" s="781">
        <f>ROUND('EV PROG TÉCNICOS'!O$425,0)</f>
        <v>77</v>
      </c>
      <c r="H59" s="781">
        <f>ROUND('EV PROG TÉCNICOS'!P$425,0)</f>
        <v>96</v>
      </c>
      <c r="I59" s="781">
        <f>ROUND('EV PROG TÉCNICOS'!Q$425,0)</f>
        <v>96</v>
      </c>
      <c r="J59" s="781">
        <f>ROUND('EV PROG TÉCNICOS'!R$425,0)</f>
        <v>96</v>
      </c>
      <c r="K59" s="781">
        <f>ROUND('EV PROG TÉCNICOS'!S$425,0)</f>
        <v>96</v>
      </c>
      <c r="L59" s="781">
        <f>ROUND('EV PROG TÉCNICOS'!T$425,0)</f>
        <v>96</v>
      </c>
      <c r="M59" s="781">
        <f>ROUND('EV PROG TÉCNICOS'!U$425,0)</f>
        <v>96</v>
      </c>
      <c r="N59" s="782"/>
    </row>
    <row r="60" spans="1:14" ht="15" customHeight="1" x14ac:dyDescent="0.25">
      <c r="A60" s="774" t="s">
        <v>27</v>
      </c>
      <c r="B60" s="774" t="s">
        <v>685</v>
      </c>
      <c r="C60" s="781">
        <f>ROUND('EV PROG TÉCNICOS'!K$436,0)</f>
        <v>0</v>
      </c>
      <c r="D60" s="781">
        <f>ROUND('EV PROG TÉCNICOS'!L$436,0)</f>
        <v>31</v>
      </c>
      <c r="E60" s="781">
        <f>ROUND('EV PROG TÉCNICOS'!M$436,0)</f>
        <v>41</v>
      </c>
      <c r="F60" s="781">
        <f>ROUND('EV PROG TÉCNICOS'!N$436,0)</f>
        <v>53</v>
      </c>
      <c r="G60" s="781">
        <f>ROUND('EV PROG TÉCNICOS'!O$436,0)</f>
        <v>64</v>
      </c>
      <c r="H60" s="781">
        <f>ROUND('EV PROG TÉCNICOS'!P$436,0)</f>
        <v>77</v>
      </c>
      <c r="I60" s="781">
        <f>ROUND('EV PROG TÉCNICOS'!Q$436,0)</f>
        <v>96</v>
      </c>
      <c r="J60" s="781">
        <f>ROUND('EV PROG TÉCNICOS'!R$436,0)</f>
        <v>96</v>
      </c>
      <c r="K60" s="781">
        <f>ROUND('EV PROG TÉCNICOS'!S$436,0)</f>
        <v>96</v>
      </c>
      <c r="L60" s="781">
        <f>ROUND('EV PROG TÉCNICOS'!T$436,0)</f>
        <v>96</v>
      </c>
      <c r="M60" s="781">
        <f>ROUND('EV PROG TÉCNICOS'!U$436,0)</f>
        <v>96</v>
      </c>
      <c r="N60" s="782"/>
    </row>
    <row r="61" spans="1:14" x14ac:dyDescent="0.25">
      <c r="A61" s="774" t="s">
        <v>681</v>
      </c>
      <c r="B61" s="774" t="s">
        <v>685</v>
      </c>
      <c r="C61" s="781">
        <f>ROUND('EV PROG TÉCNICOS'!K$449,0)</f>
        <v>0</v>
      </c>
      <c r="D61" s="781">
        <f>ROUND('EV PROG TÉCNICOS'!L$449,0)</f>
        <v>0</v>
      </c>
      <c r="E61" s="781">
        <f>ROUND('EV PROG TÉCNICOS'!M$449,0)</f>
        <v>0</v>
      </c>
      <c r="F61" s="781">
        <f>ROUND('EV PROG TÉCNICOS'!N$449,0)</f>
        <v>0</v>
      </c>
      <c r="G61" s="781">
        <f>ROUND('EV PROG TÉCNICOS'!O$449,0)</f>
        <v>0</v>
      </c>
      <c r="H61" s="781">
        <f>ROUND('EV PROG TÉCNICOS'!P$449,0)</f>
        <v>0</v>
      </c>
      <c r="I61" s="781">
        <f>ROUND('EV PROG TÉCNICOS'!Q$449,0)</f>
        <v>0</v>
      </c>
      <c r="J61" s="781">
        <f>ROUND('EV PROG TÉCNICOS'!R$449,0)</f>
        <v>0</v>
      </c>
      <c r="K61" s="781">
        <f>ROUND('EV PROG TÉCNICOS'!S$449,0)</f>
        <v>0</v>
      </c>
      <c r="L61" s="781">
        <f>ROUND('EV PROG TÉCNICOS'!T$449,0)</f>
        <v>0</v>
      </c>
      <c r="M61" s="781">
        <f>ROUND('EV PROG TÉCNICOS'!U$449,0)</f>
        <v>0</v>
      </c>
      <c r="N61" s="782">
        <f t="shared" si="3"/>
        <v>0</v>
      </c>
    </row>
    <row r="62" spans="1:14" x14ac:dyDescent="0.25">
      <c r="A62" s="774" t="s">
        <v>682</v>
      </c>
      <c r="B62" s="774" t="s">
        <v>685</v>
      </c>
      <c r="C62" s="781">
        <f>ROUND('EV PROG TÉCNICOS'!K$450,0)</f>
        <v>0</v>
      </c>
      <c r="D62" s="781">
        <f>ROUND('EV PROG TÉCNICOS'!L$450,0)</f>
        <v>2</v>
      </c>
      <c r="E62" s="781">
        <f>ROUND('EV PROG TÉCNICOS'!M$450,0)</f>
        <v>0</v>
      </c>
      <c r="F62" s="781">
        <f>ROUND('EV PROG TÉCNICOS'!N$450,0)</f>
        <v>0</v>
      </c>
      <c r="G62" s="781">
        <f>ROUND('EV PROG TÉCNICOS'!O$450,0)</f>
        <v>0</v>
      </c>
      <c r="H62" s="781">
        <f>ROUND('EV PROG TÉCNICOS'!P$450,0)</f>
        <v>0</v>
      </c>
      <c r="I62" s="781">
        <f>ROUND('EV PROG TÉCNICOS'!Q$450,0)</f>
        <v>3</v>
      </c>
      <c r="J62" s="781">
        <f>ROUND('EV PROG TÉCNICOS'!R$450,0)</f>
        <v>0</v>
      </c>
      <c r="K62" s="781">
        <f>ROUND('EV PROG TÉCNICOS'!S$450,0)</f>
        <v>0</v>
      </c>
      <c r="L62" s="781">
        <f>ROUND('EV PROG TÉCNICOS'!T$450,0)</f>
        <v>0</v>
      </c>
      <c r="M62" s="781">
        <f>ROUND('EV PROG TÉCNICOS'!U$450,0)</f>
        <v>0</v>
      </c>
      <c r="N62" s="782">
        <f>SUM(D62:M62)</f>
        <v>5</v>
      </c>
    </row>
    <row r="63" spans="1:14" x14ac:dyDescent="0.25">
      <c r="A63" s="774" t="s">
        <v>683</v>
      </c>
      <c r="B63" s="774" t="s">
        <v>685</v>
      </c>
      <c r="C63" s="781">
        <f>ROUND('EV PROG TÉCNICOS'!K$451,0)</f>
        <v>0</v>
      </c>
      <c r="D63" s="781">
        <f>ROUND('EV PROG TÉCNICOS'!L$451,0)</f>
        <v>2</v>
      </c>
      <c r="E63" s="781">
        <f>ROUND('EV PROG TÉCNICOS'!M$451,0)</f>
        <v>3</v>
      </c>
      <c r="F63" s="781">
        <f>ROUND('EV PROG TÉCNICOS'!N$451,0)</f>
        <v>1</v>
      </c>
      <c r="G63" s="781">
        <f>ROUND('EV PROG TÉCNICOS'!O$451,0)</f>
        <v>0</v>
      </c>
      <c r="H63" s="781">
        <f>ROUND('EV PROG TÉCNICOS'!P$451,0)</f>
        <v>0</v>
      </c>
      <c r="I63" s="781">
        <f>ROUND('EV PROG TÉCNICOS'!Q$451,0)</f>
        <v>1</v>
      </c>
      <c r="J63" s="781">
        <f>ROUND('EV PROG TÉCNICOS'!R$451,0)</f>
        <v>0</v>
      </c>
      <c r="K63" s="781">
        <f>ROUND('EV PROG TÉCNICOS'!S$451,0)</f>
        <v>0</v>
      </c>
      <c r="L63" s="781">
        <f>ROUND('EV PROG TÉCNICOS'!T$451,0)</f>
        <v>0</v>
      </c>
      <c r="M63" s="781">
        <f>ROUND('EV PROG TÉCNICOS'!U$451,0)</f>
        <v>0</v>
      </c>
      <c r="N63" s="782">
        <f t="shared" si="3"/>
        <v>7</v>
      </c>
    </row>
    <row r="64" spans="1:14" x14ac:dyDescent="0.25">
      <c r="A64" s="774" t="s">
        <v>686</v>
      </c>
      <c r="B64" s="774" t="s">
        <v>685</v>
      </c>
      <c r="C64" s="781">
        <f>ROUND('EV PROG TÉCNICOS'!K$464,0)</f>
        <v>0</v>
      </c>
      <c r="D64" s="781">
        <f>ROUND('EV PROG TÉCNICOS'!L$464,0)</f>
        <v>10</v>
      </c>
      <c r="E64" s="781">
        <f>ROUND('EV PROG TÉCNICOS'!M$464,0)</f>
        <v>59</v>
      </c>
      <c r="F64" s="781">
        <f>ROUND('EV PROG TÉCNICOS'!N$464,0)</f>
        <v>54</v>
      </c>
      <c r="G64" s="781">
        <f>ROUND('EV PROG TÉCNICOS'!O$464,0)</f>
        <v>137</v>
      </c>
      <c r="H64" s="781">
        <f>ROUND('EV PROG TÉCNICOS'!P$464,0)</f>
        <v>12</v>
      </c>
      <c r="I64" s="781">
        <f>ROUND('EV PROG TÉCNICOS'!Q$464,0)</f>
        <v>0</v>
      </c>
      <c r="J64" s="781">
        <f>ROUND('EV PROG TÉCNICOS'!R$464,0)</f>
        <v>0</v>
      </c>
      <c r="K64" s="781">
        <f>ROUND('EV PROG TÉCNICOS'!S$464,0)</f>
        <v>0</v>
      </c>
      <c r="L64" s="781">
        <f>ROUND('EV PROG TÉCNICOS'!T$464,0)</f>
        <v>0</v>
      </c>
      <c r="M64" s="781">
        <f>ROUND('EV PROG TÉCNICOS'!U$464,0)</f>
        <v>0</v>
      </c>
      <c r="N64" s="782">
        <f t="shared" si="3"/>
        <v>272</v>
      </c>
    </row>
    <row r="65" spans="1:14" x14ac:dyDescent="0.25">
      <c r="A65" s="774" t="s">
        <v>89</v>
      </c>
      <c r="B65" s="774" t="s">
        <v>685</v>
      </c>
      <c r="C65" s="781">
        <f>ROUND('EV PROG TÉCNICOS'!K$479,0)</f>
        <v>0</v>
      </c>
      <c r="D65" s="781">
        <f>ROUND('EV PROG TÉCNICOS'!L$479,0)</f>
        <v>5</v>
      </c>
      <c r="E65" s="781">
        <f>ROUND('EV PROG TÉCNICOS'!M$479,0)</f>
        <v>8</v>
      </c>
      <c r="F65" s="781">
        <f>ROUND('EV PROG TÉCNICOS'!N$479,0)</f>
        <v>10</v>
      </c>
      <c r="G65" s="781">
        <f>ROUND('EV PROG TÉCNICOS'!O$479,0)</f>
        <v>6</v>
      </c>
      <c r="H65" s="781">
        <f>ROUND('EV PROG TÉCNICOS'!P$479,0)</f>
        <v>5</v>
      </c>
      <c r="I65" s="781">
        <f>ROUND('EV PROG TÉCNICOS'!Q$479,0)</f>
        <v>3</v>
      </c>
      <c r="J65" s="781">
        <f>ROUND('EV PROG TÉCNICOS'!R$479,0)</f>
        <v>0</v>
      </c>
      <c r="K65" s="781">
        <f>ROUND('EV PROG TÉCNICOS'!S$479,0)</f>
        <v>0</v>
      </c>
      <c r="L65" s="781">
        <f>ROUND('EV PROG TÉCNICOS'!T$479,0)</f>
        <v>0</v>
      </c>
      <c r="M65" s="781">
        <f>ROUND('EV PROG TÉCNICOS'!U$479,0)</f>
        <v>0</v>
      </c>
      <c r="N65" s="782">
        <f>SUM(D65:M65)</f>
        <v>37</v>
      </c>
    </row>
    <row r="67" spans="1:14" ht="15.75" x14ac:dyDescent="0.25">
      <c r="A67" s="1734" t="s">
        <v>687</v>
      </c>
      <c r="B67" s="1734"/>
      <c r="C67" s="1734"/>
      <c r="D67" s="1734"/>
      <c r="E67" s="1734"/>
      <c r="F67" s="1734"/>
      <c r="G67" s="1734"/>
      <c r="H67" s="1734"/>
      <c r="I67" s="1734"/>
      <c r="J67" s="1734"/>
      <c r="K67" s="1734"/>
      <c r="L67" s="1734"/>
      <c r="M67" s="1734"/>
      <c r="N67" s="1734"/>
    </row>
    <row r="69" spans="1:14" x14ac:dyDescent="0.25">
      <c r="A69" s="1731" t="s">
        <v>672</v>
      </c>
      <c r="B69" s="1731" t="s">
        <v>458</v>
      </c>
      <c r="C69" s="1733" t="s">
        <v>395</v>
      </c>
      <c r="D69" s="1733"/>
      <c r="E69" s="1733"/>
      <c r="F69" s="1733"/>
      <c r="G69" s="1733"/>
      <c r="H69" s="1733"/>
      <c r="I69" s="1733"/>
      <c r="J69" s="1733"/>
      <c r="K69" s="1733"/>
      <c r="L69" s="1733"/>
      <c r="M69" s="1733"/>
      <c r="N69" s="777"/>
    </row>
    <row r="70" spans="1:14" x14ac:dyDescent="0.25">
      <c r="A70" s="1732"/>
      <c r="B70" s="1732"/>
      <c r="C70" s="773">
        <v>0</v>
      </c>
      <c r="D70" s="773">
        <v>1</v>
      </c>
      <c r="E70" s="773">
        <v>2</v>
      </c>
      <c r="F70" s="773">
        <v>3</v>
      </c>
      <c r="G70" s="773">
        <v>4</v>
      </c>
      <c r="H70" s="773">
        <v>5</v>
      </c>
      <c r="I70" s="773">
        <v>6</v>
      </c>
      <c r="J70" s="773">
        <v>7</v>
      </c>
      <c r="K70" s="773">
        <v>8</v>
      </c>
      <c r="L70" s="773">
        <v>9</v>
      </c>
      <c r="M70" s="773">
        <v>10</v>
      </c>
      <c r="N70" s="773" t="s">
        <v>673</v>
      </c>
    </row>
    <row r="71" spans="1:14" x14ac:dyDescent="0.25">
      <c r="A71" s="774" t="s">
        <v>90</v>
      </c>
      <c r="B71" s="774" t="s">
        <v>685</v>
      </c>
      <c r="C71" s="781">
        <f>ROUND('EV PROG TÉCNICOS'!K498,0)</f>
        <v>0</v>
      </c>
      <c r="D71" s="781">
        <f>ROUND('EV PROG TÉCNICOS'!L498,0)</f>
        <v>7</v>
      </c>
      <c r="E71" s="781">
        <f>ROUND('EV PROG TÉCNICOS'!M498,0)</f>
        <v>8</v>
      </c>
      <c r="F71" s="781">
        <f>ROUND('EV PROG TÉCNICOS'!N498,0)</f>
        <v>6</v>
      </c>
      <c r="G71" s="781">
        <f>ROUND('EV PROG TÉCNICOS'!O498,0)</f>
        <v>0</v>
      </c>
      <c r="H71" s="781">
        <f>ROUND('EV PROG TÉCNICOS'!P498,0)</f>
        <v>0</v>
      </c>
      <c r="I71" s="781">
        <f>ROUND('EV PROG TÉCNICOS'!Q498,0)</f>
        <v>0</v>
      </c>
      <c r="J71" s="781">
        <f>ROUND('EV PROG TÉCNICOS'!R498,0)</f>
        <v>0</v>
      </c>
      <c r="K71" s="781">
        <f>ROUND('EV PROG TÉCNICOS'!S498,0)</f>
        <v>0</v>
      </c>
      <c r="L71" s="781">
        <f>ROUND('EV PROG TÉCNICOS'!T498,0)</f>
        <v>0</v>
      </c>
      <c r="M71" s="781">
        <f>ROUND('EV PROG TÉCNICOS'!U498,0)</f>
        <v>0</v>
      </c>
      <c r="N71" s="782">
        <f t="shared" ref="N71:N78" si="4">SUM(D71:M71)</f>
        <v>21</v>
      </c>
    </row>
    <row r="72" spans="1:14" x14ac:dyDescent="0.25">
      <c r="A72" s="774" t="s">
        <v>770</v>
      </c>
      <c r="B72" s="774" t="s">
        <v>685</v>
      </c>
      <c r="C72" s="781">
        <f>ROUND('EV PROG TÉCNICOS'!K$502,0)</f>
        <v>0</v>
      </c>
      <c r="D72" s="781">
        <f>ROUND('EV PROG TÉCNICOS'!L$502,0)</f>
        <v>5</v>
      </c>
      <c r="E72" s="781">
        <f>ROUND('EV PROG TÉCNICOS'!M$502,0)</f>
        <v>5</v>
      </c>
      <c r="F72" s="781">
        <f>ROUND('EV PROG TÉCNICOS'!N$502,0)</f>
        <v>4</v>
      </c>
      <c r="G72" s="781">
        <f>ROUND('EV PROG TÉCNICOS'!O$502,0)</f>
        <v>0</v>
      </c>
      <c r="H72" s="781">
        <f>ROUND('EV PROG TÉCNICOS'!P$502,0)</f>
        <v>0</v>
      </c>
      <c r="I72" s="781">
        <f>ROUND('EV PROG TÉCNICOS'!Q$502,0)</f>
        <v>0</v>
      </c>
      <c r="J72" s="781">
        <f>ROUND('EV PROG TÉCNICOS'!R$502,0)</f>
        <v>0</v>
      </c>
      <c r="K72" s="781">
        <f>ROUND('EV PROG TÉCNICOS'!S$502,0)</f>
        <v>0</v>
      </c>
      <c r="L72" s="781">
        <f>ROUND('EV PROG TÉCNICOS'!T$502,0)</f>
        <v>0</v>
      </c>
      <c r="M72" s="781">
        <f>ROUND('EV PROG TÉCNICOS'!U$502,0)</f>
        <v>0</v>
      </c>
      <c r="N72" s="782">
        <f>SUM(D72:M72)</f>
        <v>14</v>
      </c>
    </row>
    <row r="73" spans="1:14" x14ac:dyDescent="0.25">
      <c r="A73" s="774" t="s">
        <v>91</v>
      </c>
      <c r="B73" s="774" t="s">
        <v>685</v>
      </c>
      <c r="C73" s="781">
        <f>ROUND('EV PROG TÉCNICOS'!K516,0)</f>
        <v>0</v>
      </c>
      <c r="D73" s="781">
        <f>ROUND('EV PROG TÉCNICOS'!L516,0)</f>
        <v>6</v>
      </c>
      <c r="E73" s="781">
        <f>ROUND('EV PROG TÉCNICOS'!M516,0)</f>
        <v>6</v>
      </c>
      <c r="F73" s="781">
        <f>ROUND('EV PROG TÉCNICOS'!N516,0)</f>
        <v>6</v>
      </c>
      <c r="G73" s="781">
        <f>ROUND('EV PROG TÉCNICOS'!O516,0)</f>
        <v>0</v>
      </c>
      <c r="H73" s="781">
        <f>ROUND('EV PROG TÉCNICOS'!P516,0)</f>
        <v>0</v>
      </c>
      <c r="I73" s="781">
        <f>ROUND('EV PROG TÉCNICOS'!Q516,0)</f>
        <v>0</v>
      </c>
      <c r="J73" s="781">
        <f>ROUND('EV PROG TÉCNICOS'!R516,0)</f>
        <v>0</v>
      </c>
      <c r="K73" s="781">
        <f>ROUND('EV PROG TÉCNICOS'!S516,0)</f>
        <v>0</v>
      </c>
      <c r="L73" s="781">
        <f>ROUND('EV PROG TÉCNICOS'!T516,0)</f>
        <v>0</v>
      </c>
      <c r="M73" s="781">
        <f>ROUND('EV PROG TÉCNICOS'!U516,0)</f>
        <v>0</v>
      </c>
      <c r="N73" s="782">
        <f>SUM(D73:M73)</f>
        <v>18</v>
      </c>
    </row>
    <row r="74" spans="1:14" ht="15" customHeight="1" x14ac:dyDescent="0.25">
      <c r="A74" s="774" t="s">
        <v>156</v>
      </c>
      <c r="B74" s="774" t="s">
        <v>685</v>
      </c>
      <c r="C74" s="781">
        <f>'EV PROG TÉCNICOS'!K534</f>
        <v>0</v>
      </c>
      <c r="D74" s="781">
        <f>ROUND('EV PROG TÉCNICOS'!L$534,0)</f>
        <v>6</v>
      </c>
      <c r="E74" s="781">
        <f>ROUND('EV PROG TÉCNICOS'!M$534,0)</f>
        <v>6</v>
      </c>
      <c r="F74" s="781">
        <f>ROUND('EV PROG TÉCNICOS'!N$534,0)</f>
        <v>8</v>
      </c>
      <c r="G74" s="781">
        <f>ROUND('EV PROG TÉCNICOS'!O$534,0)</f>
        <v>6</v>
      </c>
      <c r="H74" s="781">
        <f>ROUND('EV PROG TÉCNICOS'!P$534,0)</f>
        <v>7</v>
      </c>
      <c r="I74" s="781">
        <f>ROUND('EV PROG TÉCNICOS'!Q$533,0)</f>
        <v>0</v>
      </c>
      <c r="J74" s="781">
        <f>ROUND('EV PROG TÉCNICOS'!R$533,0)</f>
        <v>0</v>
      </c>
      <c r="K74" s="781">
        <f>ROUND('EV PROG TÉCNICOS'!S$533,0)</f>
        <v>0</v>
      </c>
      <c r="L74" s="781">
        <f>ROUND('EV PROG TÉCNICOS'!T$533,0)</f>
        <v>0</v>
      </c>
      <c r="M74" s="781">
        <f>ROUND('EV PROG TÉCNICOS'!U$533,0)</f>
        <v>0</v>
      </c>
      <c r="N74" s="782">
        <f t="shared" si="4"/>
        <v>33</v>
      </c>
    </row>
    <row r="75" spans="1:14" ht="15" customHeight="1" x14ac:dyDescent="0.25">
      <c r="A75" s="774" t="s">
        <v>688</v>
      </c>
      <c r="B75" s="774" t="s">
        <v>685</v>
      </c>
      <c r="C75" s="781">
        <f>'EV PROG TÉCNICOS'!K533</f>
        <v>0</v>
      </c>
      <c r="D75" s="781">
        <f>'EV PROG TÉCNICOS'!L533</f>
        <v>6</v>
      </c>
      <c r="E75" s="781">
        <f>'EV PROG TÉCNICOS'!M533</f>
        <v>6</v>
      </c>
      <c r="F75" s="781">
        <f>'EV PROG TÉCNICOS'!N533</f>
        <v>8</v>
      </c>
      <c r="G75" s="781">
        <f>'EV PROG TÉCNICOS'!O533</f>
        <v>6</v>
      </c>
      <c r="H75" s="781">
        <f>'EV PROG TÉCNICOS'!P533</f>
        <v>7</v>
      </c>
      <c r="I75" s="781">
        <f>'EV PROG TÉCNICOS'!Q533</f>
        <v>0</v>
      </c>
      <c r="J75" s="781">
        <f>'EV PROG TÉCNICOS'!R533</f>
        <v>0</v>
      </c>
      <c r="K75" s="781">
        <f>'EV PROG TÉCNICOS'!S533</f>
        <v>0</v>
      </c>
      <c r="L75" s="781">
        <f>'EV PROG TÉCNICOS'!T533</f>
        <v>0</v>
      </c>
      <c r="M75" s="781">
        <f>'EV PROG TÉCNICOS'!U533</f>
        <v>0</v>
      </c>
      <c r="N75" s="782">
        <f>SUM(D75:M75)</f>
        <v>33</v>
      </c>
    </row>
    <row r="76" spans="1:14" ht="15" customHeight="1" x14ac:dyDescent="0.25">
      <c r="A76" s="774" t="s">
        <v>314</v>
      </c>
      <c r="B76" s="774" t="s">
        <v>685</v>
      </c>
      <c r="C76" s="781">
        <f>'EV PROG TÉCNICOS'!K554</f>
        <v>0</v>
      </c>
      <c r="D76" s="781">
        <f>'EV PROG TÉCNICOS'!L554</f>
        <v>0</v>
      </c>
      <c r="E76" s="781">
        <f>'EV PROG TÉCNICOS'!M554</f>
        <v>4</v>
      </c>
      <c r="F76" s="781">
        <f>'EV PROG TÉCNICOS'!N554</f>
        <v>0</v>
      </c>
      <c r="G76" s="781">
        <f>'EV PROG TÉCNICOS'!O554</f>
        <v>0</v>
      </c>
      <c r="H76" s="781">
        <f>'EV PROG TÉCNICOS'!P554</f>
        <v>0</v>
      </c>
      <c r="I76" s="781">
        <f>'EV PROG TÉCNICOS'!Q554</f>
        <v>0</v>
      </c>
      <c r="J76" s="781">
        <f>'EV PROG TÉCNICOS'!R554</f>
        <v>0</v>
      </c>
      <c r="K76" s="781">
        <f>'EV PROG TÉCNICOS'!S554</f>
        <v>0</v>
      </c>
      <c r="L76" s="781">
        <f>'EV PROG TÉCNICOS'!T554</f>
        <v>0</v>
      </c>
      <c r="M76" s="781">
        <f>'EV PROG TÉCNICOS'!U554</f>
        <v>0</v>
      </c>
      <c r="N76" s="782">
        <f>SUM(D76:M76)</f>
        <v>4</v>
      </c>
    </row>
    <row r="77" spans="1:14" ht="23.45" customHeight="1" x14ac:dyDescent="0.25">
      <c r="A77" s="774" t="s">
        <v>689</v>
      </c>
      <c r="B77" s="774" t="s">
        <v>685</v>
      </c>
      <c r="C77" s="781">
        <f>'EV PROG TÉCNICOS'!K550</f>
        <v>0</v>
      </c>
      <c r="D77" s="781">
        <f>'EV PROG TÉCNICOS'!L550</f>
        <v>2</v>
      </c>
      <c r="E77" s="781">
        <f>'EV PROG TÉCNICOS'!M550</f>
        <v>4</v>
      </c>
      <c r="F77" s="781">
        <f>'EV PROG TÉCNICOS'!N550</f>
        <v>4</v>
      </c>
      <c r="G77" s="781">
        <f>'EV PROG TÉCNICOS'!O550</f>
        <v>3</v>
      </c>
      <c r="H77" s="781">
        <f>'EV PROG TÉCNICOS'!P550</f>
        <v>3</v>
      </c>
      <c r="I77" s="781">
        <f>'EV PROG TÉCNICOS'!Q550</f>
        <v>0</v>
      </c>
      <c r="J77" s="781">
        <f>'EV PROG TÉCNICOS'!R550</f>
        <v>0</v>
      </c>
      <c r="K77" s="781">
        <f>'EV PROG TÉCNICOS'!S550</f>
        <v>0</v>
      </c>
      <c r="L77" s="781">
        <f>'EV PROG TÉCNICOS'!T550</f>
        <v>0</v>
      </c>
      <c r="M77" s="781">
        <f>'EV PROG TÉCNICOS'!U550</f>
        <v>0</v>
      </c>
      <c r="N77" s="782">
        <f t="shared" si="4"/>
        <v>16</v>
      </c>
    </row>
    <row r="78" spans="1:14" x14ac:dyDescent="0.25">
      <c r="A78" s="774" t="s">
        <v>83</v>
      </c>
      <c r="B78" s="774" t="s">
        <v>685</v>
      </c>
      <c r="C78" s="781">
        <f>ROUND('EV PROG TÉCNICOS'!K$568,0)</f>
        <v>0</v>
      </c>
      <c r="D78" s="781">
        <f>ROUND('EV PROG TÉCNICOS'!L$568,0)</f>
        <v>7</v>
      </c>
      <c r="E78" s="781">
        <f>ROUND('EV PROG TÉCNICOS'!M$568,0)</f>
        <v>6</v>
      </c>
      <c r="F78" s="781">
        <f>ROUND('EV PROG TÉCNICOS'!N$568,0)</f>
        <v>0</v>
      </c>
      <c r="G78" s="781">
        <f>ROUND('EV PROG TÉCNICOS'!O$568,0)</f>
        <v>0</v>
      </c>
      <c r="H78" s="781">
        <f>ROUND('EV PROG TÉCNICOS'!P$568,0)</f>
        <v>0</v>
      </c>
      <c r="I78" s="781">
        <f>ROUND('EV PROG TÉCNICOS'!Q$568,0)</f>
        <v>0</v>
      </c>
      <c r="J78" s="781">
        <f>ROUND('EV PROG TÉCNICOS'!R$568,0)</f>
        <v>0</v>
      </c>
      <c r="K78" s="781">
        <f>ROUND('EV PROG TÉCNICOS'!S$568,0)</f>
        <v>0</v>
      </c>
      <c r="L78" s="781">
        <f>ROUND('EV PROG TÉCNICOS'!T$568,0)</f>
        <v>0</v>
      </c>
      <c r="M78" s="781">
        <f>ROUND('EV PROG TÉCNICOS'!U$568,0)</f>
        <v>0</v>
      </c>
      <c r="N78" s="782">
        <f t="shared" si="4"/>
        <v>13</v>
      </c>
    </row>
    <row r="79" spans="1:14" x14ac:dyDescent="0.25">
      <c r="A79" s="774" t="s">
        <v>772</v>
      </c>
      <c r="B79" s="774" t="s">
        <v>685</v>
      </c>
      <c r="C79" s="781">
        <f>ROUND('EV PROG TÉCNICOS'!K$569,0)</f>
        <v>0</v>
      </c>
      <c r="D79" s="781">
        <f>ROUND('EV PROG TÉCNICOS'!L$569,0)</f>
        <v>12</v>
      </c>
      <c r="E79" s="781">
        <f>ROUND('EV PROG TÉCNICOS'!M$569,0)</f>
        <v>16</v>
      </c>
      <c r="F79" s="781">
        <f>ROUND('EV PROG TÉCNICOS'!N$569,0)</f>
        <v>0</v>
      </c>
      <c r="G79" s="781">
        <f>ROUND('EV PROG TÉCNICOS'!O$569,0)</f>
        <v>0</v>
      </c>
      <c r="H79" s="781">
        <f>ROUND('EV PROG TÉCNICOS'!P$569,0)</f>
        <v>0</v>
      </c>
      <c r="I79" s="781">
        <f>ROUND('EV PROG TÉCNICOS'!Q$569,0)</f>
        <v>0</v>
      </c>
      <c r="J79" s="781">
        <f>ROUND('EV PROG TÉCNICOS'!R$569,0)</f>
        <v>0</v>
      </c>
      <c r="K79" s="781">
        <f>ROUND('EV PROG TÉCNICOS'!S$569,0)</f>
        <v>0</v>
      </c>
      <c r="L79" s="781">
        <f>ROUND('EV PROG TÉCNICOS'!T$569,0)</f>
        <v>0</v>
      </c>
      <c r="M79" s="781">
        <f>ROUND('EV PROG TÉCNICOS'!U$569,0)</f>
        <v>0</v>
      </c>
      <c r="N79" s="782">
        <f>SUM(D79:M79)</f>
        <v>28</v>
      </c>
    </row>
    <row r="80" spans="1:14" x14ac:dyDescent="0.25">
      <c r="A80" s="774" t="s">
        <v>161</v>
      </c>
      <c r="B80" s="774" t="s">
        <v>685</v>
      </c>
      <c r="C80" s="781">
        <f>ROUND('EV PROG TÉCNICOS'!K$580,0)</f>
        <v>0</v>
      </c>
      <c r="D80" s="781">
        <f>ROUND('EV PROG TÉCNICOS'!L$580,0)</f>
        <v>128</v>
      </c>
      <c r="E80" s="781">
        <f>ROUND('EV PROG TÉCNICOS'!M$580,0)</f>
        <v>138</v>
      </c>
      <c r="F80" s="781">
        <f>ROUND('EV PROG TÉCNICOS'!N$580,0)</f>
        <v>150</v>
      </c>
      <c r="G80" s="781">
        <f>ROUND('EV PROG TÉCNICOS'!O$580,0)</f>
        <v>159</v>
      </c>
      <c r="H80" s="781">
        <f>ROUND('EV PROG TÉCNICOS'!P$580,0)</f>
        <v>0</v>
      </c>
      <c r="I80" s="781">
        <f>ROUND('EV PROG TÉCNICOS'!Q$580,0)</f>
        <v>0</v>
      </c>
      <c r="J80" s="781">
        <f>ROUND('EV PROG TÉCNICOS'!R$580,0)</f>
        <v>0</v>
      </c>
      <c r="K80" s="781">
        <f>ROUND('EV PROG TÉCNICOS'!S$580,0)</f>
        <v>0</v>
      </c>
      <c r="L80" s="781">
        <f>ROUND('EV PROG TÉCNICOS'!T$580,0)</f>
        <v>0</v>
      </c>
      <c r="M80" s="781">
        <f>ROUND('EV PROG TÉCNICOS'!U$580,0)</f>
        <v>0</v>
      </c>
      <c r="N80" s="782"/>
    </row>
    <row r="81" spans="1:14" x14ac:dyDescent="0.25">
      <c r="A81" s="774" t="s">
        <v>162</v>
      </c>
      <c r="B81" s="774" t="s">
        <v>685</v>
      </c>
      <c r="C81" s="781">
        <f>ROUND('EV PROG TÉCNICOS'!K$591,0)</f>
        <v>0</v>
      </c>
      <c r="D81" s="781">
        <f>ROUND('EV PROG TÉCNICOS'!L$591,0)</f>
        <v>128</v>
      </c>
      <c r="E81" s="781">
        <f>ROUND('EV PROG TÉCNICOS'!M$591,0)</f>
        <v>138</v>
      </c>
      <c r="F81" s="781">
        <f>ROUND('EV PROG TÉCNICOS'!N$591,0)</f>
        <v>150</v>
      </c>
      <c r="G81" s="781">
        <f>ROUND('EV PROG TÉCNICOS'!O$591,0)</f>
        <v>159</v>
      </c>
      <c r="H81" s="781">
        <f>ROUND('EV PROG TÉCNICOS'!P$591,0)</f>
        <v>0</v>
      </c>
      <c r="I81" s="781">
        <f>ROUND('EV PROG TÉCNICOS'!Q$591,0)</f>
        <v>0</v>
      </c>
      <c r="J81" s="781">
        <f>ROUND('EV PROG TÉCNICOS'!R$591,0)</f>
        <v>0</v>
      </c>
      <c r="K81" s="781">
        <f>ROUND('EV PROG TÉCNICOS'!S$591,0)</f>
        <v>0</v>
      </c>
      <c r="L81" s="781">
        <f>ROUND('EV PROG TÉCNICOS'!T$591,0)</f>
        <v>0</v>
      </c>
      <c r="M81" s="781">
        <f>ROUND('EV PROG TÉCNICOS'!U$591,0)</f>
        <v>0</v>
      </c>
      <c r="N81" s="782"/>
    </row>
    <row r="82" spans="1:14" x14ac:dyDescent="0.25">
      <c r="A82" s="774" t="s">
        <v>225</v>
      </c>
      <c r="B82" s="774" t="s">
        <v>685</v>
      </c>
      <c r="C82" s="781">
        <f>ROUND(SUM('EV PROG TÉCNICOS'!K$603:K$607),0)</f>
        <v>0</v>
      </c>
      <c r="D82" s="781">
        <f>ROUND(SUM('EV PROG TÉCNICOS'!L$603:L$607),0)</f>
        <v>15</v>
      </c>
      <c r="E82" s="781">
        <f>ROUND(SUM('EV PROG TÉCNICOS'!M$603:M$607),0)</f>
        <v>15</v>
      </c>
      <c r="F82" s="781">
        <f>ROUND(SUM('EV PROG TÉCNICOS'!N$603:N$607),0)</f>
        <v>0</v>
      </c>
      <c r="G82" s="781">
        <f>ROUND(SUM('EV PROG TÉCNICOS'!O$603:O$607),0)</f>
        <v>0</v>
      </c>
      <c r="H82" s="781">
        <f>ROUND(SUM('EV PROG TÉCNICOS'!P$603:P$607),0)</f>
        <v>0</v>
      </c>
      <c r="I82" s="781">
        <f>ROUND(SUM('EV PROG TÉCNICOS'!Q$603:Q$607),0)</f>
        <v>0</v>
      </c>
      <c r="J82" s="781">
        <f>ROUND(SUM('EV PROG TÉCNICOS'!R$603:R$607),0)</f>
        <v>0</v>
      </c>
      <c r="K82" s="781">
        <f>ROUND(SUM('EV PROG TÉCNICOS'!S$603:S$607),0)</f>
        <v>0</v>
      </c>
      <c r="L82" s="781">
        <f>ROUND(SUM('EV PROG TÉCNICOS'!T$603:T$607),0)</f>
        <v>0</v>
      </c>
      <c r="M82" s="781">
        <f>ROUND(SUM('EV PROG TÉCNICOS'!U$603:U$607),0)</f>
        <v>0</v>
      </c>
      <c r="N82" s="782"/>
    </row>
    <row r="83" spans="1:14" x14ac:dyDescent="0.25">
      <c r="A83" s="774" t="s">
        <v>773</v>
      </c>
      <c r="B83" s="774" t="s">
        <v>72</v>
      </c>
      <c r="C83" s="781">
        <f>ROUND('EV PROG TÉCNICOS'!K$622,0)</f>
        <v>0</v>
      </c>
      <c r="D83" s="781">
        <f>ROUND('EV PROG TÉCNICOS'!L$622,0)</f>
        <v>0</v>
      </c>
      <c r="E83" s="781">
        <f>ROUND('EV PROG TÉCNICOS'!M$622,0)</f>
        <v>0</v>
      </c>
      <c r="F83" s="781">
        <f>ROUND('EV PROG TÉCNICOS'!N$622,0)</f>
        <v>0</v>
      </c>
      <c r="G83" s="781">
        <f>ROUND('EV PROG TÉCNICOS'!O$622,0)</f>
        <v>0</v>
      </c>
      <c r="H83" s="781">
        <f>ROUND('EV PROG TÉCNICOS'!P$622,0)</f>
        <v>0</v>
      </c>
      <c r="I83" s="781">
        <f>ROUND('EV PROG TÉCNICOS'!Q$622,0)</f>
        <v>0</v>
      </c>
      <c r="J83" s="781">
        <f>ROUND('EV PROG TÉCNICOS'!R$622,0)</f>
        <v>0</v>
      </c>
      <c r="K83" s="781">
        <f>ROUND('EV PROG TÉCNICOS'!S$622,0)</f>
        <v>0</v>
      </c>
      <c r="L83" s="781">
        <f>ROUND('EV PROG TÉCNICOS'!T$622,0)</f>
        <v>0</v>
      </c>
      <c r="M83" s="781">
        <f>ROUND('EV PROG TÉCNICOS'!U$622,0)</f>
        <v>0</v>
      </c>
      <c r="N83" s="782">
        <f>SUM(D83:M83)</f>
        <v>0</v>
      </c>
    </row>
    <row r="84" spans="1:14" x14ac:dyDescent="0.25">
      <c r="A84" s="774" t="s">
        <v>774</v>
      </c>
      <c r="B84" s="774" t="s">
        <v>72</v>
      </c>
      <c r="C84" s="781">
        <f>ROUND(SUM('EV PROG TÉCNICOS'!K$623:K$624),0)</f>
        <v>0</v>
      </c>
      <c r="D84" s="781">
        <f>ROUND(SUM('EV PROG TÉCNICOS'!L$623:L$624),0)</f>
        <v>30583</v>
      </c>
      <c r="E84" s="781">
        <f>ROUND(SUM('EV PROG TÉCNICOS'!M$623:M$624),0)</f>
        <v>32558</v>
      </c>
      <c r="F84" s="781">
        <f>ROUND(SUM('EV PROG TÉCNICOS'!N$623:N$624),0)</f>
        <v>46058</v>
      </c>
      <c r="G84" s="781">
        <f>ROUND(SUM('EV PROG TÉCNICOS'!O$623:O$624),0)</f>
        <v>36524</v>
      </c>
      <c r="H84" s="781">
        <f>ROUND(SUM('EV PROG TÉCNICOS'!P$623:P$624),0)</f>
        <v>70736</v>
      </c>
      <c r="I84" s="781">
        <f>ROUND(SUM('EV PROG TÉCNICOS'!Q$623:Q$624),0)</f>
        <v>32010</v>
      </c>
      <c r="J84" s="781">
        <f>ROUND(SUM('EV PROG TÉCNICOS'!R$623:R$624),0)</f>
        <v>38026</v>
      </c>
      <c r="K84" s="781">
        <f>ROUND(SUM('EV PROG TÉCNICOS'!S$623:S$624),0)</f>
        <v>33458</v>
      </c>
      <c r="L84" s="781">
        <f>ROUND(SUM('EV PROG TÉCNICOS'!T$623:T$624),0)</f>
        <v>31990</v>
      </c>
      <c r="M84" s="781">
        <f>ROUND(SUM('EV PROG TÉCNICOS'!U$623:U$624),0)</f>
        <v>36820</v>
      </c>
      <c r="N84" s="782">
        <f>SUM(D84:M84)</f>
        <v>388763</v>
      </c>
    </row>
    <row r="86" spans="1:14" ht="15.75" x14ac:dyDescent="0.25">
      <c r="A86" s="1734" t="s">
        <v>690</v>
      </c>
      <c r="B86" s="1734"/>
      <c r="C86" s="1734"/>
      <c r="D86" s="1734"/>
      <c r="E86" s="1734"/>
      <c r="F86" s="1734"/>
      <c r="G86" s="1734"/>
      <c r="H86" s="1734"/>
      <c r="I86" s="1734"/>
      <c r="J86" s="1734"/>
      <c r="K86" s="1734"/>
      <c r="L86" s="1734"/>
      <c r="M86" s="1734"/>
      <c r="N86" s="1734"/>
    </row>
    <row r="88" spans="1:14" x14ac:dyDescent="0.25">
      <c r="A88" s="1731" t="s">
        <v>672</v>
      </c>
      <c r="B88" s="1731" t="s">
        <v>458</v>
      </c>
      <c r="C88" s="1733" t="s">
        <v>395</v>
      </c>
      <c r="D88" s="1733"/>
      <c r="E88" s="1733"/>
      <c r="F88" s="1733"/>
      <c r="G88" s="1733"/>
      <c r="H88" s="1733"/>
      <c r="I88" s="1733"/>
      <c r="J88" s="1733"/>
      <c r="K88" s="1733"/>
      <c r="L88" s="1733"/>
      <c r="M88" s="1733"/>
      <c r="N88" s="777"/>
    </row>
    <row r="89" spans="1:14" x14ac:dyDescent="0.25">
      <c r="A89" s="1732"/>
      <c r="B89" s="1732"/>
      <c r="C89" s="773">
        <v>0</v>
      </c>
      <c r="D89" s="773">
        <v>1</v>
      </c>
      <c r="E89" s="773">
        <v>2</v>
      </c>
      <c r="F89" s="773">
        <v>3</v>
      </c>
      <c r="G89" s="773">
        <v>4</v>
      </c>
      <c r="H89" s="773">
        <v>5</v>
      </c>
      <c r="I89" s="773">
        <v>6</v>
      </c>
      <c r="J89" s="773">
        <v>7</v>
      </c>
      <c r="K89" s="773">
        <v>8</v>
      </c>
      <c r="L89" s="773">
        <v>9</v>
      </c>
      <c r="M89" s="773">
        <v>10</v>
      </c>
      <c r="N89" s="773" t="s">
        <v>673</v>
      </c>
    </row>
    <row r="90" spans="1:14" x14ac:dyDescent="0.25">
      <c r="A90" s="774" t="s">
        <v>176</v>
      </c>
      <c r="B90" s="774" t="s">
        <v>685</v>
      </c>
      <c r="C90" s="781">
        <f>ROUND('EV PROG TÉCNICOS'!K$640,0)</f>
        <v>0</v>
      </c>
      <c r="D90" s="781">
        <f>ROUND('EV PROG TÉCNICOS'!L$640,0)</f>
        <v>32</v>
      </c>
      <c r="E90" s="781">
        <f>ROUND('EV PROG TÉCNICOS'!M$640,0)</f>
        <v>36</v>
      </c>
      <c r="F90" s="781">
        <f>ROUND('EV PROG TÉCNICOS'!N$640,0)</f>
        <v>38</v>
      </c>
      <c r="G90" s="781">
        <f>ROUND('EV PROG TÉCNICOS'!O$640,0)</f>
        <v>39</v>
      </c>
      <c r="H90" s="781">
        <f>ROUND('EV PROG TÉCNICOS'!P$640,0)</f>
        <v>41</v>
      </c>
      <c r="I90" s="781">
        <f>ROUND('EV PROG TÉCNICOS'!Q$640,0)</f>
        <v>44</v>
      </c>
      <c r="J90" s="781">
        <f>ROUND('EV PROG TÉCNICOS'!R$640,0)</f>
        <v>44</v>
      </c>
      <c r="K90" s="781">
        <f>ROUND('EV PROG TÉCNICOS'!S$640,0)</f>
        <v>44</v>
      </c>
      <c r="L90" s="781">
        <f>ROUND('EV PROG TÉCNICOS'!T$640,0)</f>
        <v>44</v>
      </c>
      <c r="M90" s="781">
        <f>ROUND('EV PROG TÉCNICOS'!U$640,0)</f>
        <v>44</v>
      </c>
      <c r="N90" s="782">
        <f>SUM(D90:M90)</f>
        <v>406</v>
      </c>
    </row>
    <row r="91" spans="1:14" ht="24" x14ac:dyDescent="0.25">
      <c r="A91" s="774" t="s">
        <v>211</v>
      </c>
      <c r="B91" s="774" t="s">
        <v>691</v>
      </c>
      <c r="C91" s="781">
        <f>SUM('EV PROG TÉCNICOS'!K$641:K$642)</f>
        <v>0</v>
      </c>
      <c r="D91" s="781">
        <f>SUM('EV PROG TÉCNICOS'!L$641:L$642)</f>
        <v>0</v>
      </c>
      <c r="E91" s="781">
        <f>SUM('EV PROG TÉCNICOS'!M$641:M$642)</f>
        <v>790.44599999999991</v>
      </c>
      <c r="F91" s="781">
        <f>SUM('EV PROG TÉCNICOS'!N$641:N$642)</f>
        <v>641.82799999999997</v>
      </c>
      <c r="G91" s="781">
        <f>SUM('EV PROG TÉCNICOS'!O$641:O$642)</f>
        <v>782.84400000000005</v>
      </c>
      <c r="H91" s="781">
        <f>SUM('EV PROG TÉCNICOS'!P$641:P$642)</f>
        <v>53.761000000000003</v>
      </c>
      <c r="I91" s="781">
        <f>SUM('EV PROG TÉCNICOS'!Q$641:Q$642)</f>
        <v>133.59900000000002</v>
      </c>
      <c r="J91" s="781">
        <f>SUM('EV PROG TÉCNICOS'!R$641:R$642)</f>
        <v>0</v>
      </c>
      <c r="K91" s="781">
        <f>SUM('EV PROG TÉCNICOS'!S$641:S$642)</f>
        <v>0</v>
      </c>
      <c r="L91" s="781">
        <f>SUM('EV PROG TÉCNICOS'!T$641:T$642)</f>
        <v>0</v>
      </c>
      <c r="M91" s="781">
        <f>SUM('EV PROG TÉCNICOS'!U$641:U$642)</f>
        <v>0</v>
      </c>
      <c r="N91" s="782">
        <f>SUM(D91:M91)</f>
        <v>2402.4780000000001</v>
      </c>
    </row>
    <row r="93" spans="1:14" ht="15.75" x14ac:dyDescent="0.25">
      <c r="A93" s="1734" t="s">
        <v>692</v>
      </c>
      <c r="B93" s="1734"/>
      <c r="C93" s="1734"/>
      <c r="D93" s="1734"/>
      <c r="E93" s="1734"/>
      <c r="F93" s="1734"/>
      <c r="G93" s="1734"/>
      <c r="H93" s="1734"/>
      <c r="I93" s="1734"/>
      <c r="J93" s="1734"/>
      <c r="K93" s="1734"/>
      <c r="L93" s="1734"/>
      <c r="M93" s="1734"/>
      <c r="N93" s="1734"/>
    </row>
    <row r="95" spans="1:14" x14ac:dyDescent="0.25">
      <c r="A95" s="1731" t="s">
        <v>672</v>
      </c>
      <c r="B95" s="1731" t="s">
        <v>458</v>
      </c>
      <c r="C95" s="1733" t="s">
        <v>395</v>
      </c>
      <c r="D95" s="1733"/>
      <c r="E95" s="1733"/>
      <c r="F95" s="1733"/>
      <c r="G95" s="1733"/>
      <c r="H95" s="1733"/>
      <c r="I95" s="1733"/>
      <c r="J95" s="1733"/>
      <c r="K95" s="1733"/>
      <c r="L95" s="1733"/>
      <c r="M95" s="1733"/>
      <c r="N95" s="777"/>
    </row>
    <row r="96" spans="1:14" x14ac:dyDescent="0.25">
      <c r="A96" s="1732"/>
      <c r="B96" s="1732"/>
      <c r="C96" s="773">
        <v>0</v>
      </c>
      <c r="D96" s="773">
        <v>1</v>
      </c>
      <c r="E96" s="773">
        <v>2</v>
      </c>
      <c r="F96" s="773">
        <v>3</v>
      </c>
      <c r="G96" s="773">
        <v>4</v>
      </c>
      <c r="H96" s="773">
        <v>5</v>
      </c>
      <c r="I96" s="773">
        <v>6</v>
      </c>
      <c r="J96" s="773">
        <v>7</v>
      </c>
      <c r="K96" s="773">
        <v>8</v>
      </c>
      <c r="L96" s="773">
        <v>9</v>
      </c>
      <c r="M96" s="773">
        <v>10</v>
      </c>
      <c r="N96" s="773" t="s">
        <v>673</v>
      </c>
    </row>
    <row r="97" spans="1:15" ht="24" x14ac:dyDescent="0.25">
      <c r="A97" s="774" t="s">
        <v>759</v>
      </c>
      <c r="B97" s="774" t="s">
        <v>685</v>
      </c>
      <c r="C97" s="781">
        <f>'EV PROG TÉCNICOS'!K$657</f>
        <v>0</v>
      </c>
      <c r="D97" s="781">
        <f>'EV PROG TÉCNICOS'!L$657</f>
        <v>3</v>
      </c>
      <c r="E97" s="781">
        <f>'EV PROG TÉCNICOS'!M$657</f>
        <v>3</v>
      </c>
      <c r="F97" s="781">
        <f>'EV PROG TÉCNICOS'!N$657</f>
        <v>3</v>
      </c>
      <c r="G97" s="781">
        <f>'EV PROG TÉCNICOS'!O$657</f>
        <v>3</v>
      </c>
      <c r="H97" s="781">
        <f>'EV PROG TÉCNICOS'!P$657</f>
        <v>3</v>
      </c>
      <c r="I97" s="781">
        <f>'EV PROG TÉCNICOS'!Q$657</f>
        <v>0</v>
      </c>
      <c r="J97" s="781">
        <f>'EV PROG TÉCNICOS'!R$657</f>
        <v>0</v>
      </c>
      <c r="K97" s="781">
        <f>'EV PROG TÉCNICOS'!S$657</f>
        <v>0</v>
      </c>
      <c r="L97" s="781">
        <f>'EV PROG TÉCNICOS'!T$657</f>
        <v>0</v>
      </c>
      <c r="M97" s="781">
        <f>'EV PROG TÉCNICOS'!U$657</f>
        <v>0</v>
      </c>
      <c r="N97" s="782"/>
    </row>
    <row r="98" spans="1:15" x14ac:dyDescent="0.25">
      <c r="A98" s="774" t="s">
        <v>761</v>
      </c>
      <c r="B98" s="774" t="s">
        <v>52</v>
      </c>
      <c r="C98" s="781">
        <f>'EV PROG TÉCNICOS'!K$658</f>
        <v>0</v>
      </c>
      <c r="D98" s="781">
        <f>'EV PROG TÉCNICOS'!L$658</f>
        <v>0</v>
      </c>
      <c r="E98" s="781">
        <f>'EV PROG TÉCNICOS'!M$658</f>
        <v>0</v>
      </c>
      <c r="F98" s="781">
        <f>'EV PROG TÉCNICOS'!N$658</f>
        <v>0</v>
      </c>
      <c r="G98" s="781">
        <f>'EV PROG TÉCNICOS'!O$658</f>
        <v>0</v>
      </c>
      <c r="H98" s="781">
        <f>'EV PROG TÉCNICOS'!P$658</f>
        <v>0</v>
      </c>
      <c r="I98" s="781">
        <f>'EV PROG TÉCNICOS'!Q$658</f>
        <v>0</v>
      </c>
      <c r="J98" s="781">
        <f>'EV PROG TÉCNICOS'!R$658</f>
        <v>0</v>
      </c>
      <c r="K98" s="781">
        <f>'EV PROG TÉCNICOS'!S$658</f>
        <v>0</v>
      </c>
      <c r="L98" s="781">
        <f>'EV PROG TÉCNICOS'!T$658</f>
        <v>0</v>
      </c>
      <c r="M98" s="781">
        <f>'EV PROG TÉCNICOS'!U$658</f>
        <v>0</v>
      </c>
      <c r="N98" s="782"/>
    </row>
    <row r="99" spans="1:15" x14ac:dyDescent="0.25">
      <c r="A99" s="774" t="s">
        <v>760</v>
      </c>
      <c r="B99" s="774" t="s">
        <v>52</v>
      </c>
      <c r="C99" s="781">
        <f>'EV PROG TÉCNICOS'!K$659</f>
        <v>0</v>
      </c>
      <c r="D99" s="781">
        <f>'EV PROG TÉCNICOS'!L$659</f>
        <v>1</v>
      </c>
      <c r="E99" s="781">
        <f>'EV PROG TÉCNICOS'!M$659</f>
        <v>1</v>
      </c>
      <c r="F99" s="781">
        <f>'EV PROG TÉCNICOS'!N$659</f>
        <v>1</v>
      </c>
      <c r="G99" s="781">
        <f>'EV PROG TÉCNICOS'!O$659</f>
        <v>1</v>
      </c>
      <c r="H99" s="781">
        <f>'EV PROG TÉCNICOS'!P$659</f>
        <v>1</v>
      </c>
      <c r="I99" s="781">
        <f>'EV PROG TÉCNICOS'!Q$659</f>
        <v>0</v>
      </c>
      <c r="J99" s="781">
        <f>'EV PROG TÉCNICOS'!R$659</f>
        <v>0</v>
      </c>
      <c r="K99" s="781">
        <f>'EV PROG TÉCNICOS'!S$659</f>
        <v>0</v>
      </c>
      <c r="L99" s="781">
        <f>'EV PROG TÉCNICOS'!T$659</f>
        <v>0</v>
      </c>
      <c r="M99" s="781">
        <f>'EV PROG TÉCNICOS'!U$659</f>
        <v>0</v>
      </c>
      <c r="N99" s="782"/>
    </row>
    <row r="100" spans="1:15" ht="27.75" customHeight="1" x14ac:dyDescent="0.25">
      <c r="A100" s="774" t="s">
        <v>51</v>
      </c>
      <c r="B100" s="774" t="s">
        <v>52</v>
      </c>
      <c r="C100" s="781">
        <f>'EV PROG TÉCNICOS'!K$660</f>
        <v>0</v>
      </c>
      <c r="D100" s="781">
        <f>'EV PROG TÉCNICOS'!L$660</f>
        <v>1</v>
      </c>
      <c r="E100" s="781">
        <f>'EV PROG TÉCNICOS'!M$660</f>
        <v>1</v>
      </c>
      <c r="F100" s="781">
        <f>'EV PROG TÉCNICOS'!N$660</f>
        <v>1</v>
      </c>
      <c r="G100" s="781">
        <f>'EV PROG TÉCNICOS'!O$660</f>
        <v>1</v>
      </c>
      <c r="H100" s="781">
        <f>'EV PROG TÉCNICOS'!P$660</f>
        <v>1</v>
      </c>
      <c r="I100" s="781">
        <f>'EV PROG TÉCNICOS'!Q$660</f>
        <v>0</v>
      </c>
      <c r="J100" s="781">
        <f>'EV PROG TÉCNICOS'!R$660</f>
        <v>0</v>
      </c>
      <c r="K100" s="781">
        <f>'EV PROG TÉCNICOS'!S$660</f>
        <v>0</v>
      </c>
      <c r="L100" s="781">
        <f>'EV PROG TÉCNICOS'!T$660</f>
        <v>0</v>
      </c>
      <c r="M100" s="781">
        <f>'EV PROG TÉCNICOS'!U$660</f>
        <v>0</v>
      </c>
      <c r="N100" s="782"/>
    </row>
    <row r="102" spans="1:15" ht="15.75" x14ac:dyDescent="0.25">
      <c r="A102" s="1734" t="s">
        <v>693</v>
      </c>
      <c r="B102" s="1734"/>
      <c r="C102" s="1734"/>
      <c r="D102" s="1734"/>
      <c r="E102" s="1734"/>
      <c r="F102" s="1734"/>
      <c r="G102" s="1734"/>
      <c r="H102" s="1734"/>
      <c r="I102" s="1734"/>
      <c r="J102" s="1734"/>
      <c r="K102" s="1734"/>
      <c r="L102" s="1734"/>
      <c r="M102" s="1734"/>
      <c r="N102" s="1734"/>
    </row>
    <row r="104" spans="1:15" x14ac:dyDescent="0.25">
      <c r="A104" s="1731" t="s">
        <v>672</v>
      </c>
      <c r="B104" s="1731" t="s">
        <v>458</v>
      </c>
      <c r="C104" s="1733" t="s">
        <v>395</v>
      </c>
      <c r="D104" s="1733"/>
      <c r="E104" s="1733"/>
      <c r="F104" s="1733"/>
      <c r="G104" s="1733"/>
      <c r="H104" s="1733"/>
      <c r="I104" s="1733"/>
      <c r="J104" s="1733"/>
      <c r="K104" s="1733"/>
      <c r="L104" s="1733"/>
      <c r="M104" s="1733"/>
      <c r="N104" s="777"/>
    </row>
    <row r="105" spans="1:15" x14ac:dyDescent="0.25">
      <c r="A105" s="1732"/>
      <c r="B105" s="1732"/>
      <c r="C105" s="773">
        <v>0</v>
      </c>
      <c r="D105" s="773">
        <v>1</v>
      </c>
      <c r="E105" s="773">
        <v>2</v>
      </c>
      <c r="F105" s="773">
        <v>3</v>
      </c>
      <c r="G105" s="773">
        <v>4</v>
      </c>
      <c r="H105" s="773">
        <v>5</v>
      </c>
      <c r="I105" s="773">
        <v>6</v>
      </c>
      <c r="J105" s="773">
        <v>7</v>
      </c>
      <c r="K105" s="773">
        <v>8</v>
      </c>
      <c r="L105" s="773">
        <v>9</v>
      </c>
      <c r="M105" s="773">
        <v>10</v>
      </c>
      <c r="N105" s="773" t="s">
        <v>673</v>
      </c>
    </row>
    <row r="106" spans="1:15" x14ac:dyDescent="0.25">
      <c r="A106" s="774" t="s">
        <v>694</v>
      </c>
      <c r="B106" s="774" t="s">
        <v>72</v>
      </c>
      <c r="C106" s="781">
        <f>'EV PROG TÉCNICOS'!K$677</f>
        <v>0</v>
      </c>
      <c r="D106" s="781">
        <f>'EV PROG TÉCNICOS'!L$677</f>
        <v>0</v>
      </c>
      <c r="E106" s="781">
        <f>'EV PROG TÉCNICOS'!M$677</f>
        <v>19523.503189589879</v>
      </c>
      <c r="F106" s="781">
        <f>'EV PROG TÉCNICOS'!N$677</f>
        <v>35630.936991294642</v>
      </c>
      <c r="G106" s="781">
        <f>'EV PROG TÉCNICOS'!O$677</f>
        <v>33530.274343701349</v>
      </c>
      <c r="H106" s="781">
        <f>'EV PROG TÉCNICOS'!P$677</f>
        <v>32694.550728530659</v>
      </c>
      <c r="I106" s="781">
        <f>'EV PROG TÉCNICOS'!Q$677</f>
        <v>34439.338711985183</v>
      </c>
      <c r="J106" s="781">
        <f>'EV PROG TÉCNICOS'!R$677</f>
        <v>41855.402432159055</v>
      </c>
      <c r="K106" s="781">
        <f>'EV PROG TÉCNICOS'!S$677</f>
        <v>40408.841333748525</v>
      </c>
      <c r="L106" s="781">
        <f>'EV PROG TÉCNICOS'!T$677</f>
        <v>33910.223817201091</v>
      </c>
      <c r="M106" s="781">
        <f>'EV PROG TÉCNICOS'!U$677</f>
        <v>31107.393975263498</v>
      </c>
      <c r="N106" s="782">
        <f>SUM(D106:M106)</f>
        <v>303100.46552347392</v>
      </c>
      <c r="O106" s="779">
        <f>N106/1000</f>
        <v>303.10046552347393</v>
      </c>
    </row>
    <row r="107" spans="1:15" x14ac:dyDescent="0.25">
      <c r="A107" s="774" t="s">
        <v>97</v>
      </c>
      <c r="B107" s="774" t="s">
        <v>685</v>
      </c>
      <c r="C107" s="781">
        <f>'EV PROG TÉCNICOS'!K$691</f>
        <v>0</v>
      </c>
      <c r="D107" s="781">
        <f>'EV PROG TÉCNICOS'!L$691</f>
        <v>0</v>
      </c>
      <c r="E107" s="781">
        <f>'EV PROG TÉCNICOS'!M$691</f>
        <v>485.83029696517968</v>
      </c>
      <c r="F107" s="781">
        <f>'EV PROG TÉCNICOS'!N$691</f>
        <v>162.24671126373244</v>
      </c>
      <c r="G107" s="781">
        <f>'EV PROG TÉCNICOS'!O$691</f>
        <v>343.49444555600098</v>
      </c>
      <c r="H107" s="781">
        <f>'EV PROG TÉCNICOS'!P$691</f>
        <v>246</v>
      </c>
      <c r="I107" s="781">
        <f>'EV PROG TÉCNICOS'!Q$691</f>
        <v>963.6</v>
      </c>
      <c r="J107" s="781">
        <f>'EV PROG TÉCNICOS'!R$691</f>
        <v>586.40000000000009</v>
      </c>
      <c r="K107" s="781">
        <f>'EV PROG TÉCNICOS'!S$691</f>
        <v>961.2</v>
      </c>
      <c r="L107" s="781">
        <f>'EV PROG TÉCNICOS'!T$691</f>
        <v>658.80000000000007</v>
      </c>
      <c r="M107" s="781">
        <f>'EV PROG TÉCNICOS'!U$691</f>
        <v>642.00000000000011</v>
      </c>
      <c r="N107" s="782">
        <f>SUM(D107:M107)</f>
        <v>5049.5714537849135</v>
      </c>
    </row>
    <row r="108" spans="1:15" x14ac:dyDescent="0.25">
      <c r="A108" s="774" t="s">
        <v>98</v>
      </c>
      <c r="B108" s="774" t="s">
        <v>685</v>
      </c>
      <c r="C108" s="781">
        <f>'EV PROG TÉCNICOS'!K$704</f>
        <v>0</v>
      </c>
      <c r="D108" s="781">
        <f>'EV PROG TÉCNICOS'!L$704</f>
        <v>0</v>
      </c>
      <c r="E108" s="781">
        <f>'EV PROG TÉCNICOS'!M$704</f>
        <v>5.4</v>
      </c>
      <c r="F108" s="781">
        <f>'EV PROG TÉCNICOS'!N$704</f>
        <v>3.8499999999999996</v>
      </c>
      <c r="G108" s="781">
        <f>'EV PROG TÉCNICOS'!O$704</f>
        <v>6.7</v>
      </c>
      <c r="H108" s="781">
        <f>'EV PROG TÉCNICOS'!P$704</f>
        <v>12.4</v>
      </c>
      <c r="I108" s="781">
        <f>'EV PROG TÉCNICOS'!Q$704</f>
        <v>18.399999999999999</v>
      </c>
      <c r="J108" s="781">
        <f>'EV PROG TÉCNICOS'!R$704</f>
        <v>23.6</v>
      </c>
      <c r="K108" s="781">
        <f>'EV PROG TÉCNICOS'!S$704</f>
        <v>68.800000000000011</v>
      </c>
      <c r="L108" s="781">
        <f>'EV PROG TÉCNICOS'!T$704</f>
        <v>16.800000000000004</v>
      </c>
      <c r="M108" s="781">
        <f>'EV PROG TÉCNICOS'!U$704</f>
        <v>7.2000000000000011</v>
      </c>
      <c r="N108" s="782">
        <f t="shared" ref="N108:N115" si="5">SUM(D108:M108)</f>
        <v>163.15</v>
      </c>
    </row>
    <row r="109" spans="1:15" x14ac:dyDescent="0.25">
      <c r="A109" s="774" t="s">
        <v>99</v>
      </c>
      <c r="B109" s="774" t="s">
        <v>685</v>
      </c>
      <c r="C109" s="781">
        <f>'EV PROG TÉCNICOS'!K$717</f>
        <v>0</v>
      </c>
      <c r="D109" s="781">
        <f>'EV PROG TÉCNICOS'!L$717</f>
        <v>0</v>
      </c>
      <c r="E109" s="781">
        <f>'EV PROG TÉCNICOS'!M$717</f>
        <v>26</v>
      </c>
      <c r="F109" s="781">
        <f>'EV PROG TÉCNICOS'!N$717</f>
        <v>41</v>
      </c>
      <c r="G109" s="781">
        <f>'EV PROG TÉCNICOS'!O$717</f>
        <v>50</v>
      </c>
      <c r="H109" s="781">
        <f>'EV PROG TÉCNICOS'!P$717</f>
        <v>21</v>
      </c>
      <c r="I109" s="781">
        <f>'EV PROG TÉCNICOS'!Q$717</f>
        <v>22</v>
      </c>
      <c r="J109" s="781">
        <f>'EV PROG TÉCNICOS'!R$717</f>
        <v>18</v>
      </c>
      <c r="K109" s="781">
        <f>'EV PROG TÉCNICOS'!S$717</f>
        <v>19</v>
      </c>
      <c r="L109" s="781">
        <f>'EV PROG TÉCNICOS'!T$717</f>
        <v>21</v>
      </c>
      <c r="M109" s="781">
        <f>'EV PROG TÉCNICOS'!U$717</f>
        <v>20</v>
      </c>
      <c r="N109" s="782">
        <f t="shared" si="5"/>
        <v>238</v>
      </c>
    </row>
    <row r="110" spans="1:15" ht="24" customHeight="1" x14ac:dyDescent="0.25">
      <c r="A110" s="774" t="s">
        <v>54</v>
      </c>
      <c r="B110" s="774" t="s">
        <v>685</v>
      </c>
      <c r="C110" s="781">
        <f>'EV PROG TÉCNICOS'!K$733</f>
        <v>0</v>
      </c>
      <c r="D110" s="781">
        <f>'EV PROG TÉCNICOS'!L$733</f>
        <v>0</v>
      </c>
      <c r="E110" s="781">
        <f>'EV PROG TÉCNICOS'!M$733</f>
        <v>4</v>
      </c>
      <c r="F110" s="781">
        <f>'EV PROG TÉCNICOS'!N$733</f>
        <v>2</v>
      </c>
      <c r="G110" s="781">
        <f>'EV PROG TÉCNICOS'!O$733</f>
        <v>1</v>
      </c>
      <c r="H110" s="781">
        <f>'EV PROG TÉCNICOS'!P$733</f>
        <v>2</v>
      </c>
      <c r="I110" s="781">
        <f>'EV PROG TÉCNICOS'!Q$733</f>
        <v>3</v>
      </c>
      <c r="J110" s="781">
        <f>'EV PROG TÉCNICOS'!R$733</f>
        <v>0</v>
      </c>
      <c r="K110" s="781">
        <f>'EV PROG TÉCNICOS'!S$733</f>
        <v>0</v>
      </c>
      <c r="L110" s="781">
        <f>'EV PROG TÉCNICOS'!T$733</f>
        <v>0</v>
      </c>
      <c r="M110" s="781">
        <f>'EV PROG TÉCNICOS'!U$733</f>
        <v>0</v>
      </c>
      <c r="N110" s="782">
        <f t="shared" si="5"/>
        <v>12</v>
      </c>
    </row>
    <row r="111" spans="1:15" x14ac:dyDescent="0.25">
      <c r="A111" s="774" t="s">
        <v>61</v>
      </c>
      <c r="B111" s="774" t="s">
        <v>685</v>
      </c>
      <c r="C111" s="781">
        <f>'EV PROG TÉCNICOS'!K$744</f>
        <v>0</v>
      </c>
      <c r="D111" s="781">
        <f>'EV PROG TÉCNICOS'!L$744</f>
        <v>0</v>
      </c>
      <c r="E111" s="781">
        <f>'EV PROG TÉCNICOS'!M$744</f>
        <v>4</v>
      </c>
      <c r="F111" s="781">
        <f>'EV PROG TÉCNICOS'!N$744</f>
        <v>2</v>
      </c>
      <c r="G111" s="781">
        <f>'EV PROG TÉCNICOS'!O$744</f>
        <v>1</v>
      </c>
      <c r="H111" s="781">
        <f>'EV PROG TÉCNICOS'!P$744</f>
        <v>2</v>
      </c>
      <c r="I111" s="781">
        <f>'EV PROG TÉCNICOS'!Q$744</f>
        <v>3</v>
      </c>
      <c r="J111" s="781">
        <f>'EV PROG TÉCNICOS'!R$744</f>
        <v>0</v>
      </c>
      <c r="K111" s="781">
        <f>'EV PROG TÉCNICOS'!S$744</f>
        <v>0</v>
      </c>
      <c r="L111" s="781">
        <f>'EV PROG TÉCNICOS'!T$744</f>
        <v>0</v>
      </c>
      <c r="M111" s="781">
        <f>'EV PROG TÉCNICOS'!U$744</f>
        <v>0</v>
      </c>
      <c r="N111" s="782">
        <f>SUM(D111:M111)</f>
        <v>12</v>
      </c>
    </row>
    <row r="112" spans="1:15" x14ac:dyDescent="0.25">
      <c r="A112" s="774" t="s">
        <v>60</v>
      </c>
      <c r="B112" s="774" t="s">
        <v>685</v>
      </c>
      <c r="C112" s="781">
        <f>'EV PROG TÉCNICOS'!K$745</f>
        <v>0</v>
      </c>
      <c r="D112" s="781">
        <f>'EV PROG TÉCNICOS'!L$745</f>
        <v>0</v>
      </c>
      <c r="E112" s="781">
        <f>'EV PROG TÉCNICOS'!M$745</f>
        <v>0</v>
      </c>
      <c r="F112" s="781">
        <f>'EV PROG TÉCNICOS'!N$745</f>
        <v>0</v>
      </c>
      <c r="G112" s="781">
        <f>'EV PROG TÉCNICOS'!O$745</f>
        <v>0</v>
      </c>
      <c r="H112" s="781">
        <f>'EV PROG TÉCNICOS'!P$745</f>
        <v>0</v>
      </c>
      <c r="I112" s="781">
        <f>'EV PROG TÉCNICOS'!Q$745</f>
        <v>0</v>
      </c>
      <c r="J112" s="781">
        <f>'EV PROG TÉCNICOS'!R$745</f>
        <v>0</v>
      </c>
      <c r="K112" s="781">
        <f>'EV PROG TÉCNICOS'!S$745</f>
        <v>0</v>
      </c>
      <c r="L112" s="781">
        <f>'EV PROG TÉCNICOS'!T$745</f>
        <v>0</v>
      </c>
      <c r="M112" s="781">
        <f>'EV PROG TÉCNICOS'!U$745</f>
        <v>0</v>
      </c>
      <c r="N112" s="782">
        <f>SUM(D112:M112)</f>
        <v>0</v>
      </c>
    </row>
    <row r="113" spans="1:14" x14ac:dyDescent="0.25">
      <c r="A113" s="774" t="s">
        <v>161</v>
      </c>
      <c r="B113" s="774" t="s">
        <v>685</v>
      </c>
      <c r="C113" s="781">
        <f>'EV PROG TÉCNICOS'!K$756</f>
        <v>0</v>
      </c>
      <c r="D113" s="781">
        <f>'EV PROG TÉCNICOS'!L$756</f>
        <v>32</v>
      </c>
      <c r="E113" s="781">
        <f>'EV PROG TÉCNICOS'!M$756</f>
        <v>36</v>
      </c>
      <c r="F113" s="781">
        <f>'EV PROG TÉCNICOS'!N$756</f>
        <v>38</v>
      </c>
      <c r="G113" s="781">
        <f>'EV PROG TÉCNICOS'!O$756</f>
        <v>39</v>
      </c>
      <c r="H113" s="781">
        <f>'EV PROG TÉCNICOS'!P$756</f>
        <v>41</v>
      </c>
      <c r="I113" s="781">
        <f>'EV PROG TÉCNICOS'!Q$756</f>
        <v>44</v>
      </c>
      <c r="J113" s="781">
        <f>'EV PROG TÉCNICOS'!R$756</f>
        <v>44</v>
      </c>
      <c r="K113" s="781">
        <f>'EV PROG TÉCNICOS'!S$756</f>
        <v>44</v>
      </c>
      <c r="L113" s="781">
        <f>'EV PROG TÉCNICOS'!T$756</f>
        <v>44</v>
      </c>
      <c r="M113" s="781">
        <f>'EV PROG TÉCNICOS'!U$756</f>
        <v>44</v>
      </c>
      <c r="N113" s="782"/>
    </row>
    <row r="114" spans="1:14" x14ac:dyDescent="0.25">
      <c r="A114" s="774" t="s">
        <v>162</v>
      </c>
      <c r="B114" s="774" t="s">
        <v>685</v>
      </c>
      <c r="C114" s="781">
        <f>'EV PROG TÉCNICOS'!K$767</f>
        <v>0</v>
      </c>
      <c r="D114" s="781">
        <f>'EV PROG TÉCNICOS'!L$767</f>
        <v>32</v>
      </c>
      <c r="E114" s="781">
        <f>'EV PROG TÉCNICOS'!M$767</f>
        <v>36</v>
      </c>
      <c r="F114" s="781">
        <f>'EV PROG TÉCNICOS'!N$767</f>
        <v>38</v>
      </c>
      <c r="G114" s="781">
        <f>'EV PROG TÉCNICOS'!O$767</f>
        <v>39</v>
      </c>
      <c r="H114" s="781">
        <f>'EV PROG TÉCNICOS'!P$767</f>
        <v>41</v>
      </c>
      <c r="I114" s="781">
        <f>'EV PROG TÉCNICOS'!Q$767</f>
        <v>44</v>
      </c>
      <c r="J114" s="781">
        <f>'EV PROG TÉCNICOS'!R$767</f>
        <v>44</v>
      </c>
      <c r="K114" s="781">
        <f>'EV PROG TÉCNICOS'!S$767</f>
        <v>44</v>
      </c>
      <c r="L114" s="781">
        <f>'EV PROG TÉCNICOS'!T$767</f>
        <v>44</v>
      </c>
      <c r="M114" s="781">
        <f>'EV PROG TÉCNICOS'!U$767</f>
        <v>44</v>
      </c>
      <c r="N114" s="782"/>
    </row>
    <row r="115" spans="1:14" x14ac:dyDescent="0.25">
      <c r="A115" s="774" t="s">
        <v>49</v>
      </c>
      <c r="B115" s="774" t="s">
        <v>685</v>
      </c>
      <c r="C115" s="781">
        <f>'EV PROG TÉCNICOS'!K$780</f>
        <v>0</v>
      </c>
      <c r="D115" s="781">
        <f>'EV PROG TÉCNICOS'!L$780</f>
        <v>0</v>
      </c>
      <c r="E115" s="781">
        <f>'EV PROG TÉCNICOS'!M$780</f>
        <v>4</v>
      </c>
      <c r="F115" s="781">
        <f>'EV PROG TÉCNICOS'!N$780</f>
        <v>4</v>
      </c>
      <c r="G115" s="781">
        <f>'EV PROG TÉCNICOS'!O$780</f>
        <v>4</v>
      </c>
      <c r="H115" s="781">
        <f>'EV PROG TÉCNICOS'!P$780</f>
        <v>5</v>
      </c>
      <c r="I115" s="781">
        <f>'EV PROG TÉCNICOS'!Q$780</f>
        <v>0</v>
      </c>
      <c r="J115" s="781">
        <f>'EV PROG TÉCNICOS'!R$780</f>
        <v>0</v>
      </c>
      <c r="K115" s="781">
        <f>'EV PROG TÉCNICOS'!S$780</f>
        <v>0</v>
      </c>
      <c r="L115" s="781">
        <f>'EV PROG TÉCNICOS'!T$780</f>
        <v>0</v>
      </c>
      <c r="M115" s="781">
        <f>'EV PROG TÉCNICOS'!U$780</f>
        <v>0</v>
      </c>
      <c r="N115" s="782">
        <f t="shared" si="5"/>
        <v>17</v>
      </c>
    </row>
    <row r="117" spans="1:14" ht="15.75" x14ac:dyDescent="0.25">
      <c r="A117" s="1734" t="s">
        <v>695</v>
      </c>
      <c r="B117" s="1734"/>
      <c r="C117" s="1734"/>
      <c r="D117" s="1734"/>
      <c r="E117" s="1734"/>
      <c r="F117" s="1734"/>
      <c r="G117" s="1734"/>
      <c r="H117" s="1734"/>
      <c r="I117" s="1734"/>
      <c r="J117" s="1734"/>
      <c r="K117" s="1734"/>
      <c r="L117" s="1734"/>
      <c r="M117" s="1734"/>
      <c r="N117" s="1734"/>
    </row>
    <row r="119" spans="1:14" x14ac:dyDescent="0.25">
      <c r="A119" s="1731" t="s">
        <v>672</v>
      </c>
      <c r="B119" s="1731" t="s">
        <v>458</v>
      </c>
      <c r="C119" s="1733" t="s">
        <v>395</v>
      </c>
      <c r="D119" s="1733"/>
      <c r="E119" s="1733"/>
      <c r="F119" s="1733"/>
      <c r="G119" s="1733"/>
      <c r="H119" s="1733"/>
      <c r="I119" s="1733"/>
      <c r="J119" s="1733"/>
      <c r="K119" s="1733"/>
      <c r="L119" s="1733"/>
      <c r="M119" s="1733"/>
      <c r="N119" s="777"/>
    </row>
    <row r="120" spans="1:14" x14ac:dyDescent="0.25">
      <c r="A120" s="1732"/>
      <c r="B120" s="1732"/>
      <c r="C120" s="773">
        <v>0</v>
      </c>
      <c r="D120" s="773">
        <v>1</v>
      </c>
      <c r="E120" s="773">
        <v>2</v>
      </c>
      <c r="F120" s="773">
        <v>3</v>
      </c>
      <c r="G120" s="773">
        <v>4</v>
      </c>
      <c r="H120" s="773">
        <v>5</v>
      </c>
      <c r="I120" s="773">
        <v>6</v>
      </c>
      <c r="J120" s="773">
        <v>7</v>
      </c>
      <c r="K120" s="773">
        <v>8</v>
      </c>
      <c r="L120" s="773">
        <v>9</v>
      </c>
      <c r="M120" s="773">
        <v>10</v>
      </c>
      <c r="N120" s="773" t="s">
        <v>673</v>
      </c>
    </row>
    <row r="121" spans="1:14" x14ac:dyDescent="0.25">
      <c r="A121" s="774" t="s">
        <v>696</v>
      </c>
      <c r="B121" s="774" t="s">
        <v>72</v>
      </c>
      <c r="C121" s="781">
        <f>'EV PROG TÉCNICOS'!K$798</f>
        <v>0</v>
      </c>
      <c r="D121" s="781">
        <f>'EV PROG TÉCNICOS'!L$798</f>
        <v>0</v>
      </c>
      <c r="E121" s="781">
        <f>'EV PROG TÉCNICOS'!M$798</f>
        <v>3909.0370000000007</v>
      </c>
      <c r="F121" s="781">
        <f>'EV PROG TÉCNICOS'!N$798</f>
        <v>2720.5719999999997</v>
      </c>
      <c r="G121" s="781">
        <f>'EV PROG TÉCNICOS'!O$798</f>
        <v>3890.2130000000002</v>
      </c>
      <c r="H121" s="781">
        <f>'EV PROG TÉCNICOS'!P$798</f>
        <v>3895.079999999999</v>
      </c>
      <c r="I121" s="781">
        <f>'EV PROG TÉCNICOS'!Q$798</f>
        <v>4106.3310000000001</v>
      </c>
      <c r="J121" s="781">
        <f>'EV PROG TÉCNICOS'!R$798</f>
        <v>0</v>
      </c>
      <c r="K121" s="781">
        <f>'EV PROG TÉCNICOS'!S$798</f>
        <v>0</v>
      </c>
      <c r="L121" s="781">
        <f>'EV PROG TÉCNICOS'!T$798</f>
        <v>0</v>
      </c>
      <c r="M121" s="781">
        <f>'EV PROG TÉCNICOS'!U$798</f>
        <v>0</v>
      </c>
      <c r="N121" s="782">
        <f>SUM(D121:M121)</f>
        <v>18521.233</v>
      </c>
    </row>
    <row r="122" spans="1:14" x14ac:dyDescent="0.25">
      <c r="A122" s="774" t="s">
        <v>697</v>
      </c>
      <c r="B122" s="774" t="s">
        <v>72</v>
      </c>
      <c r="C122" s="781">
        <f>'EV PROG TÉCNICOS'!K$799</f>
        <v>0</v>
      </c>
      <c r="D122" s="781">
        <f>'EV PROG TÉCNICOS'!L$799</f>
        <v>0</v>
      </c>
      <c r="E122" s="781">
        <f>'EV PROG TÉCNICOS'!M$799</f>
        <v>355.78</v>
      </c>
      <c r="F122" s="781">
        <f>'EV PROG TÉCNICOS'!N$799</f>
        <v>550.63200000000006</v>
      </c>
      <c r="G122" s="781">
        <f>'EV PROG TÉCNICOS'!O$799</f>
        <v>706.28499999999997</v>
      </c>
      <c r="H122" s="781">
        <f>'EV PROG TÉCNICOS'!P$799</f>
        <v>185.47499999999999</v>
      </c>
      <c r="I122" s="781">
        <f>'EV PROG TÉCNICOS'!Q$799</f>
        <v>738.36599999999999</v>
      </c>
      <c r="J122" s="781">
        <f>'EV PROG TÉCNICOS'!R$799</f>
        <v>0</v>
      </c>
      <c r="K122" s="781">
        <f>'EV PROG TÉCNICOS'!S$799</f>
        <v>0</v>
      </c>
      <c r="L122" s="781">
        <f>'EV PROG TÉCNICOS'!T$799</f>
        <v>0</v>
      </c>
      <c r="M122" s="781">
        <f>'EV PROG TÉCNICOS'!U$799</f>
        <v>0</v>
      </c>
      <c r="N122" s="782">
        <f>SUM(D122:M122)</f>
        <v>2536.538</v>
      </c>
    </row>
    <row r="123" spans="1:14" x14ac:dyDescent="0.25">
      <c r="A123" s="774" t="s">
        <v>698</v>
      </c>
      <c r="B123" s="774" t="s">
        <v>72</v>
      </c>
      <c r="C123" s="781">
        <f>'EV PROG TÉCNICOS'!K$800</f>
        <v>0</v>
      </c>
      <c r="D123" s="781">
        <f>'EV PROG TÉCNICOS'!L$800</f>
        <v>0</v>
      </c>
      <c r="E123" s="781">
        <f>'EV PROG TÉCNICOS'!M$800</f>
        <v>0</v>
      </c>
      <c r="F123" s="781">
        <f>'EV PROG TÉCNICOS'!N$800</f>
        <v>0.76619400000000004</v>
      </c>
      <c r="G123" s="781">
        <f>'EV PROG TÉCNICOS'!O$800</f>
        <v>0</v>
      </c>
      <c r="H123" s="781">
        <f>'EV PROG TÉCNICOS'!P$800</f>
        <v>0</v>
      </c>
      <c r="I123" s="781">
        <f>'EV PROG TÉCNICOS'!Q$800</f>
        <v>0.260384</v>
      </c>
      <c r="J123" s="781">
        <f>'EV PROG TÉCNICOS'!R$800</f>
        <v>0</v>
      </c>
      <c r="K123" s="781">
        <f>'EV PROG TÉCNICOS'!S$800</f>
        <v>0</v>
      </c>
      <c r="L123" s="781">
        <f>'EV PROG TÉCNICOS'!T$800</f>
        <v>0</v>
      </c>
      <c r="M123" s="781">
        <f>'EV PROG TÉCNICOS'!U$800</f>
        <v>0</v>
      </c>
      <c r="N123" s="782">
        <f>SUM(D123:M123)</f>
        <v>1.026578</v>
      </c>
    </row>
    <row r="124" spans="1:14" x14ac:dyDescent="0.25">
      <c r="A124" s="778" t="s">
        <v>777</v>
      </c>
      <c r="B124" s="778" t="s">
        <v>72</v>
      </c>
      <c r="C124" s="782">
        <f t="shared" ref="C124:N124" si="6">SUM(C121:C123)</f>
        <v>0</v>
      </c>
      <c r="D124" s="782">
        <f t="shared" si="6"/>
        <v>0</v>
      </c>
      <c r="E124" s="782">
        <f t="shared" si="6"/>
        <v>4264.8170000000009</v>
      </c>
      <c r="F124" s="782">
        <f t="shared" si="6"/>
        <v>3271.9701939999995</v>
      </c>
      <c r="G124" s="782">
        <f t="shared" si="6"/>
        <v>4596.4980000000005</v>
      </c>
      <c r="H124" s="782">
        <f t="shared" si="6"/>
        <v>4080.5549999999989</v>
      </c>
      <c r="I124" s="782">
        <f t="shared" si="6"/>
        <v>4844.9573840000003</v>
      </c>
      <c r="J124" s="782">
        <f t="shared" si="6"/>
        <v>0</v>
      </c>
      <c r="K124" s="782">
        <f t="shared" si="6"/>
        <v>0</v>
      </c>
      <c r="L124" s="782">
        <f t="shared" si="6"/>
        <v>0</v>
      </c>
      <c r="M124" s="782">
        <f t="shared" si="6"/>
        <v>0</v>
      </c>
      <c r="N124" s="782">
        <f t="shared" si="6"/>
        <v>21058.797578000002</v>
      </c>
    </row>
    <row r="125" spans="1:14" x14ac:dyDescent="0.25">
      <c r="A125" s="774" t="s">
        <v>775</v>
      </c>
      <c r="B125" s="774" t="s">
        <v>685</v>
      </c>
      <c r="C125" s="781">
        <f>'EV PROG TÉCNICOS'!K$816</f>
        <v>0</v>
      </c>
      <c r="D125" s="781">
        <f>'EV PROG TÉCNICOS'!L$816</f>
        <v>0</v>
      </c>
      <c r="E125" s="781">
        <f>'EV PROG TÉCNICOS'!M$816</f>
        <v>7</v>
      </c>
      <c r="F125" s="781">
        <f>'EV PROG TÉCNICOS'!N$816</f>
        <v>20</v>
      </c>
      <c r="G125" s="781">
        <f>'EV PROG TÉCNICOS'!O$816</f>
        <v>34</v>
      </c>
      <c r="H125" s="781">
        <f>'EV PROG TÉCNICOS'!P$816</f>
        <v>25</v>
      </c>
      <c r="I125" s="781">
        <f>'EV PROG TÉCNICOS'!Q$816</f>
        <v>12</v>
      </c>
      <c r="J125" s="781">
        <f>'EV PROG TÉCNICOS'!R$816</f>
        <v>0</v>
      </c>
      <c r="K125" s="781">
        <f>'EV PROG TÉCNICOS'!S$816</f>
        <v>0</v>
      </c>
      <c r="L125" s="781">
        <f>'EV PROG TÉCNICOS'!T$816</f>
        <v>0</v>
      </c>
      <c r="M125" s="781">
        <f>'EV PROG TÉCNICOS'!U$816</f>
        <v>0</v>
      </c>
      <c r="N125" s="782">
        <f>SUM(D125:M125)</f>
        <v>98</v>
      </c>
    </row>
    <row r="127" spans="1:14" ht="15.75" x14ac:dyDescent="0.25">
      <c r="A127" s="1734" t="s">
        <v>1048</v>
      </c>
      <c r="B127" s="1734"/>
      <c r="C127" s="1734"/>
      <c r="D127" s="1734"/>
      <c r="E127" s="1734"/>
      <c r="F127" s="1734"/>
      <c r="G127" s="1734"/>
      <c r="H127" s="1734"/>
      <c r="I127" s="1734"/>
      <c r="J127" s="1734"/>
      <c r="K127" s="1734"/>
      <c r="L127" s="1734"/>
      <c r="M127" s="1734"/>
      <c r="N127" s="1734"/>
    </row>
    <row r="129" spans="1:14" x14ac:dyDescent="0.25">
      <c r="A129" s="1731" t="s">
        <v>672</v>
      </c>
      <c r="B129" s="1731" t="s">
        <v>458</v>
      </c>
      <c r="C129" s="1733" t="s">
        <v>395</v>
      </c>
      <c r="D129" s="1733"/>
      <c r="E129" s="1733"/>
      <c r="F129" s="1733"/>
      <c r="G129" s="1733"/>
      <c r="H129" s="1733"/>
      <c r="I129" s="1733"/>
      <c r="J129" s="1733"/>
      <c r="K129" s="1733"/>
      <c r="L129" s="1733"/>
      <c r="M129" s="1733"/>
      <c r="N129" s="777"/>
    </row>
    <row r="130" spans="1:14" x14ac:dyDescent="0.25">
      <c r="A130" s="1732"/>
      <c r="B130" s="1732"/>
      <c r="C130" s="773">
        <v>0</v>
      </c>
      <c r="D130" s="773">
        <v>1</v>
      </c>
      <c r="E130" s="773">
        <v>2</v>
      </c>
      <c r="F130" s="773">
        <v>3</v>
      </c>
      <c r="G130" s="773">
        <v>4</v>
      </c>
      <c r="H130" s="773">
        <v>5</v>
      </c>
      <c r="I130" s="773">
        <v>6</v>
      </c>
      <c r="J130" s="773">
        <v>7</v>
      </c>
      <c r="K130" s="773">
        <v>8</v>
      </c>
      <c r="L130" s="773">
        <v>9</v>
      </c>
      <c r="M130" s="773">
        <v>10</v>
      </c>
      <c r="N130" s="773" t="s">
        <v>673</v>
      </c>
    </row>
    <row r="131" spans="1:14" ht="24" x14ac:dyDescent="0.25">
      <c r="A131" s="774" t="s">
        <v>217</v>
      </c>
      <c r="B131" s="774" t="s">
        <v>786</v>
      </c>
      <c r="C131" s="781">
        <f>'EV PROG TÉCNICOS'!K$831</f>
        <v>0</v>
      </c>
      <c r="D131" s="781">
        <f>'EV PROG TÉCNICOS'!L$831</f>
        <v>0</v>
      </c>
      <c r="E131" s="781">
        <f>'EV PROG TÉCNICOS'!M$831</f>
        <v>0</v>
      </c>
      <c r="F131" s="781">
        <f>'EV PROG TÉCNICOS'!N$831</f>
        <v>0</v>
      </c>
      <c r="G131" s="781">
        <f>'EV PROG TÉCNICOS'!O$831</f>
        <v>0</v>
      </c>
      <c r="H131" s="781">
        <f>'EV PROG TÉCNICOS'!P$831</f>
        <v>0</v>
      </c>
      <c r="I131" s="781">
        <f>'EV PROG TÉCNICOS'!Q$831</f>
        <v>0</v>
      </c>
      <c r="J131" s="781">
        <f>'EV PROG TÉCNICOS'!R$831</f>
        <v>0</v>
      </c>
      <c r="K131" s="781">
        <f>'EV PROG TÉCNICOS'!S$831</f>
        <v>0</v>
      </c>
      <c r="L131" s="781">
        <f>'EV PROG TÉCNICOS'!T$831</f>
        <v>0</v>
      </c>
      <c r="M131" s="781">
        <f>'EV PROG TÉCNICOS'!U$831</f>
        <v>0</v>
      </c>
      <c r="N131" s="782">
        <f>SUM(D131:M131)</f>
        <v>0</v>
      </c>
    </row>
  </sheetData>
  <mergeCells count="44">
    <mergeCell ref="A33:N33"/>
    <mergeCell ref="A2:N2"/>
    <mergeCell ref="A4:N4"/>
    <mergeCell ref="A5:A6"/>
    <mergeCell ref="B5:B6"/>
    <mergeCell ref="C5:M5"/>
    <mergeCell ref="N5:N6"/>
    <mergeCell ref="A17:N17"/>
    <mergeCell ref="A18:A19"/>
    <mergeCell ref="B18:B19"/>
    <mergeCell ref="C18:M18"/>
    <mergeCell ref="N18:N19"/>
    <mergeCell ref="A88:A89"/>
    <mergeCell ref="B88:B89"/>
    <mergeCell ref="C88:M88"/>
    <mergeCell ref="A34:A35"/>
    <mergeCell ref="B34:B35"/>
    <mergeCell ref="C34:M34"/>
    <mergeCell ref="A67:N67"/>
    <mergeCell ref="A69:A70"/>
    <mergeCell ref="B69:B70"/>
    <mergeCell ref="C69:M69"/>
    <mergeCell ref="A86:N86"/>
    <mergeCell ref="N34:N35"/>
    <mergeCell ref="A49:N49"/>
    <mergeCell ref="A51:A52"/>
    <mergeCell ref="B51:B52"/>
    <mergeCell ref="C51:M51"/>
    <mergeCell ref="A129:A130"/>
    <mergeCell ref="B129:B130"/>
    <mergeCell ref="C129:M129"/>
    <mergeCell ref="A93:N93"/>
    <mergeCell ref="A95:A96"/>
    <mergeCell ref="B95:B96"/>
    <mergeCell ref="C95:M95"/>
    <mergeCell ref="A102:N102"/>
    <mergeCell ref="A104:A105"/>
    <mergeCell ref="B104:B105"/>
    <mergeCell ref="C104:M104"/>
    <mergeCell ref="A117:N117"/>
    <mergeCell ref="A119:A120"/>
    <mergeCell ref="B119:B120"/>
    <mergeCell ref="C119:M119"/>
    <mergeCell ref="A127:N127"/>
  </mergeCells>
  <conditionalFormatting sqref="C7:M7 C37:M43 N106 C121:N125 C71:N84">
    <cfRule type="cellIs" dxfId="775" priority="23" operator="equal">
      <formula>0</formula>
    </cfRule>
  </conditionalFormatting>
  <conditionalFormatting sqref="C8:M15">
    <cfRule type="cellIs" dxfId="774" priority="22" operator="equal">
      <formula>0</formula>
    </cfRule>
  </conditionalFormatting>
  <conditionalFormatting sqref="N7:N15">
    <cfRule type="cellIs" dxfId="773" priority="21" operator="equal">
      <formula>0</formula>
    </cfRule>
  </conditionalFormatting>
  <conditionalFormatting sqref="C20:M20">
    <cfRule type="cellIs" dxfId="772" priority="20" operator="equal">
      <formula>0</formula>
    </cfRule>
  </conditionalFormatting>
  <conditionalFormatting sqref="C21:M31">
    <cfRule type="cellIs" dxfId="771" priority="19" operator="equal">
      <formula>0</formula>
    </cfRule>
  </conditionalFormatting>
  <conditionalFormatting sqref="N20:N31">
    <cfRule type="cellIs" dxfId="770" priority="18" operator="equal">
      <formula>0</formula>
    </cfRule>
  </conditionalFormatting>
  <conditionalFormatting sqref="C36:M36">
    <cfRule type="cellIs" dxfId="769" priority="17" operator="equal">
      <formula>0</formula>
    </cfRule>
  </conditionalFormatting>
  <conditionalFormatting sqref="N36:N47">
    <cfRule type="cellIs" dxfId="768" priority="16" operator="equal">
      <formula>0</formula>
    </cfRule>
  </conditionalFormatting>
  <conditionalFormatting sqref="C44:M47">
    <cfRule type="cellIs" dxfId="767" priority="15" operator="equal">
      <formula>0</formula>
    </cfRule>
  </conditionalFormatting>
  <conditionalFormatting sqref="N53:N65">
    <cfRule type="cellIs" dxfId="766" priority="14" operator="equal">
      <formula>0</formula>
    </cfRule>
  </conditionalFormatting>
  <conditionalFormatting sqref="C53:M65">
    <cfRule type="cellIs" dxfId="765" priority="13" operator="equal">
      <formula>0</formula>
    </cfRule>
  </conditionalFormatting>
  <conditionalFormatting sqref="C90:N91">
    <cfRule type="cellIs" dxfId="764" priority="12" operator="equal">
      <formula>0</formula>
    </cfRule>
  </conditionalFormatting>
  <conditionalFormatting sqref="C97:N100">
    <cfRule type="cellIs" dxfId="763" priority="11" operator="equal">
      <formula>0</formula>
    </cfRule>
  </conditionalFormatting>
  <conditionalFormatting sqref="C107:M107 N107:N115">
    <cfRule type="cellIs" dxfId="762" priority="10" operator="equal">
      <formula>0</formula>
    </cfRule>
  </conditionalFormatting>
  <conditionalFormatting sqref="C108:M109">
    <cfRule type="cellIs" dxfId="761" priority="9" operator="equal">
      <formula>0</formula>
    </cfRule>
  </conditionalFormatting>
  <conditionalFormatting sqref="C110:M115">
    <cfRule type="cellIs" dxfId="760" priority="8" operator="equal">
      <formula>0</formula>
    </cfRule>
  </conditionalFormatting>
  <conditionalFormatting sqref="N131">
    <cfRule type="cellIs" dxfId="759" priority="6" operator="equal">
      <formula>0</formula>
    </cfRule>
  </conditionalFormatting>
  <conditionalFormatting sqref="C106:M106">
    <cfRule type="cellIs" dxfId="758" priority="7" operator="equal">
      <formula>0</formula>
    </cfRule>
  </conditionalFormatting>
  <conditionalFormatting sqref="C131:M131">
    <cfRule type="cellIs" dxfId="757" priority="5" operator="equal">
      <formula>0</formula>
    </cfRule>
  </conditionalFormatting>
  <conditionalFormatting sqref="C124:N124">
    <cfRule type="cellIs" dxfId="756" priority="2" operator="equal">
      <formula>0</formula>
    </cfRule>
  </conditionalFormatting>
  <pageMargins left="0.7" right="0.7" top="0.75" bottom="0.75" header="0.3" footer="0.3"/>
  <pageSetup paperSize="9" scale="35" orientation="portrait" r:id="rId1"/>
  <ignoredErrors>
    <ignoredError sqref="N12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0">
    <tabColor rgb="FF00B0F0"/>
  </sheetPr>
  <dimension ref="A2:N89"/>
  <sheetViews>
    <sheetView showGridLines="0" view="pageBreakPreview" topLeftCell="C47" zoomScaleNormal="100" zoomScaleSheetLayoutView="100" workbookViewId="0">
      <selection activeCell="H48" sqref="H48"/>
    </sheetView>
  </sheetViews>
  <sheetFormatPr baseColWidth="10" defaultColWidth="10.125" defaultRowHeight="15" x14ac:dyDescent="0.25"/>
  <cols>
    <col min="1" max="1" width="40.125" style="770" customWidth="1"/>
    <col min="2" max="2" width="10.125" style="770"/>
    <col min="3" max="13" width="10.125" style="779"/>
    <col min="14" max="14" width="13.625" style="780" customWidth="1"/>
    <col min="15" max="16384" width="10.125" style="770"/>
  </cols>
  <sheetData>
    <row r="2" spans="1:14" ht="15.75" x14ac:dyDescent="0.25">
      <c r="A2" s="1734" t="s">
        <v>670</v>
      </c>
      <c r="B2" s="1734"/>
      <c r="C2" s="1734"/>
      <c r="D2" s="1734"/>
      <c r="E2" s="1734"/>
      <c r="F2" s="1734"/>
      <c r="G2" s="1734"/>
      <c r="H2" s="1734"/>
      <c r="I2" s="1734"/>
      <c r="J2" s="1734"/>
      <c r="K2" s="1734"/>
      <c r="L2" s="1734"/>
      <c r="M2" s="1734"/>
      <c r="N2" s="1734"/>
    </row>
    <row r="3" spans="1:14" ht="15.75" x14ac:dyDescent="0.25">
      <c r="A3" s="771"/>
      <c r="B3" s="771"/>
      <c r="C3" s="772"/>
      <c r="D3" s="772"/>
      <c r="E3" s="772"/>
      <c r="F3" s="772"/>
      <c r="G3" s="772"/>
      <c r="H3" s="772"/>
      <c r="I3" s="772"/>
      <c r="J3" s="772"/>
      <c r="K3" s="772"/>
      <c r="L3" s="772"/>
      <c r="M3" s="772"/>
      <c r="N3" s="772"/>
    </row>
    <row r="4" spans="1:14" x14ac:dyDescent="0.25">
      <c r="A4" s="1737" t="s">
        <v>111</v>
      </c>
      <c r="B4" s="1738"/>
      <c r="C4" s="1738"/>
      <c r="D4" s="1738"/>
      <c r="E4" s="1738"/>
      <c r="F4" s="1738"/>
      <c r="G4" s="1738"/>
      <c r="H4" s="1738"/>
      <c r="I4" s="1738"/>
      <c r="J4" s="1738"/>
      <c r="K4" s="1738"/>
      <c r="L4" s="1738"/>
      <c r="M4" s="1738"/>
      <c r="N4" s="1739"/>
    </row>
    <row r="5" spans="1:14" x14ac:dyDescent="0.25">
      <c r="A5" s="1731" t="s">
        <v>672</v>
      </c>
      <c r="B5" s="1731" t="s">
        <v>458</v>
      </c>
      <c r="C5" s="1733" t="s">
        <v>395</v>
      </c>
      <c r="D5" s="1733"/>
      <c r="E5" s="1733"/>
      <c r="F5" s="1733"/>
      <c r="G5" s="1733"/>
      <c r="H5" s="1733"/>
      <c r="I5" s="1733"/>
      <c r="J5" s="1733"/>
      <c r="K5" s="1733"/>
      <c r="L5" s="1733"/>
      <c r="M5" s="1733"/>
      <c r="N5" s="1735" t="s">
        <v>673</v>
      </c>
    </row>
    <row r="6" spans="1:14" x14ac:dyDescent="0.25">
      <c r="A6" s="1732"/>
      <c r="B6" s="1732"/>
      <c r="C6" s="773">
        <v>0</v>
      </c>
      <c r="D6" s="773">
        <v>1</v>
      </c>
      <c r="E6" s="773">
        <v>2</v>
      </c>
      <c r="F6" s="773">
        <v>3</v>
      </c>
      <c r="G6" s="773">
        <v>4</v>
      </c>
      <c r="H6" s="773">
        <v>5</v>
      </c>
      <c r="I6" s="773">
        <v>6</v>
      </c>
      <c r="J6" s="773">
        <v>7</v>
      </c>
      <c r="K6" s="773">
        <v>8</v>
      </c>
      <c r="L6" s="773">
        <v>9</v>
      </c>
      <c r="M6" s="773">
        <v>10</v>
      </c>
      <c r="N6" s="1736"/>
    </row>
    <row r="7" spans="1:14" x14ac:dyDescent="0.25">
      <c r="A7" s="774" t="s">
        <v>82</v>
      </c>
      <c r="B7" s="774" t="s">
        <v>700</v>
      </c>
      <c r="C7" s="781">
        <f>ROUND('EV PROG TÉCNICOS'!K$51,0)</f>
        <v>0</v>
      </c>
      <c r="D7" s="781">
        <f>ROUND('EV PROG TÉCNICOS'!L$51,0)</f>
        <v>0</v>
      </c>
      <c r="E7" s="781">
        <f>ROUND('EV PROG TÉCNICOS'!M$51,0)</f>
        <v>0</v>
      </c>
      <c r="F7" s="781">
        <f>ROUND('EV PROG TÉCNICOS'!N$51,0)</f>
        <v>0</v>
      </c>
      <c r="G7" s="781">
        <f>ROUND('EV PROG TÉCNICOS'!O$51,0)</f>
        <v>0</v>
      </c>
      <c r="H7" s="781">
        <f>ROUND('EV PROG TÉCNICOS'!P$51,0)</f>
        <v>0</v>
      </c>
      <c r="I7" s="781">
        <f>ROUND('EV PROG TÉCNICOS'!Q$51,0)</f>
        <v>0</v>
      </c>
      <c r="J7" s="781">
        <f>ROUND('EV PROG TÉCNICOS'!R$51,0)</f>
        <v>0</v>
      </c>
      <c r="K7" s="781">
        <f>ROUND('EV PROG TÉCNICOS'!S$51,0)</f>
        <v>0</v>
      </c>
      <c r="L7" s="781">
        <f>ROUND('EV PROG TÉCNICOS'!T$51,0)</f>
        <v>0</v>
      </c>
      <c r="M7" s="781">
        <f>ROUND('EV PROG TÉCNICOS'!U$51,0)</f>
        <v>0</v>
      </c>
      <c r="N7" s="782">
        <f t="shared" ref="N7:N12" si="0">SUM(D7:M7)</f>
        <v>0</v>
      </c>
    </row>
    <row r="8" spans="1:14" x14ac:dyDescent="0.25">
      <c r="A8" s="774" t="s">
        <v>701</v>
      </c>
      <c r="B8" s="774" t="s">
        <v>700</v>
      </c>
      <c r="C8" s="781">
        <f>ROUND('EV PROG TÉCNICOS'!K$52,0)</f>
        <v>0</v>
      </c>
      <c r="D8" s="781">
        <f>ROUND('EV PROG TÉCNICOS'!L$52,0)</f>
        <v>0</v>
      </c>
      <c r="E8" s="781">
        <f>ROUND('EV PROG TÉCNICOS'!M$52,0)</f>
        <v>0</v>
      </c>
      <c r="F8" s="781">
        <f>ROUND('EV PROG TÉCNICOS'!N$52,0)</f>
        <v>0</v>
      </c>
      <c r="G8" s="781">
        <f>ROUND('EV PROG TÉCNICOS'!O$52,0)</f>
        <v>0</v>
      </c>
      <c r="H8" s="781">
        <f>ROUND('EV PROG TÉCNICOS'!P$52,0)</f>
        <v>0</v>
      </c>
      <c r="I8" s="781">
        <f>ROUND('EV PROG TÉCNICOS'!Q$52,0)</f>
        <v>0</v>
      </c>
      <c r="J8" s="781">
        <f>ROUND('EV PROG TÉCNICOS'!R$52,0)</f>
        <v>0</v>
      </c>
      <c r="K8" s="781">
        <f>ROUND('EV PROG TÉCNICOS'!S$52,0)</f>
        <v>0</v>
      </c>
      <c r="L8" s="781">
        <f>ROUND('EV PROG TÉCNICOS'!T$52,0)</f>
        <v>0</v>
      </c>
      <c r="M8" s="781">
        <f>ROUND('EV PROG TÉCNICOS'!U$52,0)</f>
        <v>0</v>
      </c>
      <c r="N8" s="782">
        <f t="shared" si="0"/>
        <v>0</v>
      </c>
    </row>
    <row r="9" spans="1:14" x14ac:dyDescent="0.25">
      <c r="A9" s="774" t="s">
        <v>23</v>
      </c>
      <c r="B9" s="774" t="s">
        <v>700</v>
      </c>
      <c r="C9" s="781">
        <f>ROUND('EV PROG TÉCNICOS'!K$53,0)</f>
        <v>0</v>
      </c>
      <c r="D9" s="781">
        <f>ROUND('EV PROG TÉCNICOS'!L$53,0)</f>
        <v>0</v>
      </c>
      <c r="E9" s="781">
        <f>ROUND('EV PROG TÉCNICOS'!M$53,0)</f>
        <v>0</v>
      </c>
      <c r="F9" s="781">
        <f>ROUND('EV PROG TÉCNICOS'!N$53,0)</f>
        <v>0</v>
      </c>
      <c r="G9" s="781">
        <f>ROUND('EV PROG TÉCNICOS'!O$53,0)</f>
        <v>0</v>
      </c>
      <c r="H9" s="781">
        <f>ROUND('EV PROG TÉCNICOS'!P$53,0)</f>
        <v>0</v>
      </c>
      <c r="I9" s="781">
        <f>ROUND('EV PROG TÉCNICOS'!Q$53,0)</f>
        <v>0</v>
      </c>
      <c r="J9" s="781">
        <f>ROUND('EV PROG TÉCNICOS'!R$53,0)</f>
        <v>0</v>
      </c>
      <c r="K9" s="781">
        <f>ROUND('EV PROG TÉCNICOS'!S$53,0)</f>
        <v>0</v>
      </c>
      <c r="L9" s="781">
        <f>ROUND('EV PROG TÉCNICOS'!T$53,0)</f>
        <v>0</v>
      </c>
      <c r="M9" s="781">
        <f>ROUND('EV PROG TÉCNICOS'!U$53,0)</f>
        <v>0</v>
      </c>
      <c r="N9" s="782">
        <f t="shared" si="0"/>
        <v>0</v>
      </c>
    </row>
    <row r="10" spans="1:14" x14ac:dyDescent="0.25">
      <c r="A10" s="774" t="s">
        <v>63</v>
      </c>
      <c r="B10" s="774" t="s">
        <v>700</v>
      </c>
      <c r="C10" s="781">
        <f>ROUND('EV PROG TÉCNICOS'!K$54,0)</f>
        <v>0</v>
      </c>
      <c r="D10" s="781">
        <f>ROUND('EV PROG TÉCNICOS'!L$54,0)</f>
        <v>0</v>
      </c>
      <c r="E10" s="781">
        <f>ROUND('EV PROG TÉCNICOS'!M$54,0)</f>
        <v>0</v>
      </c>
      <c r="F10" s="781">
        <f>ROUND('EV PROG TÉCNICOS'!N$54,0)</f>
        <v>0</v>
      </c>
      <c r="G10" s="781">
        <f>ROUND('EV PROG TÉCNICOS'!O$54,0)</f>
        <v>0</v>
      </c>
      <c r="H10" s="781">
        <f>ROUND('EV PROG TÉCNICOS'!P$54,0)</f>
        <v>0</v>
      </c>
      <c r="I10" s="781">
        <f>ROUND('EV PROG TÉCNICOS'!Q$54,0)</f>
        <v>0</v>
      </c>
      <c r="J10" s="781">
        <f>ROUND('EV PROG TÉCNICOS'!R$54,0)</f>
        <v>0</v>
      </c>
      <c r="K10" s="781">
        <f>ROUND('EV PROG TÉCNICOS'!S$54,0)</f>
        <v>0</v>
      </c>
      <c r="L10" s="781">
        <f>ROUND('EV PROG TÉCNICOS'!T$54,0)</f>
        <v>0</v>
      </c>
      <c r="M10" s="781">
        <f>ROUND('EV PROG TÉCNICOS'!U$54,0)</f>
        <v>0</v>
      </c>
      <c r="N10" s="782">
        <f t="shared" si="0"/>
        <v>0</v>
      </c>
    </row>
    <row r="11" spans="1:14" x14ac:dyDescent="0.25">
      <c r="A11" s="774" t="s">
        <v>26</v>
      </c>
      <c r="B11" s="774" t="s">
        <v>700</v>
      </c>
      <c r="C11" s="781">
        <f>ROUND('EV PROG TÉCNICOS'!K$55,0)</f>
        <v>0</v>
      </c>
      <c r="D11" s="781">
        <f>ROUND('EV PROG TÉCNICOS'!L$55,0)</f>
        <v>0</v>
      </c>
      <c r="E11" s="781">
        <f>ROUND('EV PROG TÉCNICOS'!M$55,0)</f>
        <v>0</v>
      </c>
      <c r="F11" s="781">
        <f>ROUND('EV PROG TÉCNICOS'!N$55,0)</f>
        <v>0</v>
      </c>
      <c r="G11" s="781">
        <f>ROUND('EV PROG TÉCNICOS'!O$55,0)</f>
        <v>0</v>
      </c>
      <c r="H11" s="781">
        <f>ROUND('EV PROG TÉCNICOS'!P$55,0)</f>
        <v>0</v>
      </c>
      <c r="I11" s="781">
        <f>ROUND('EV PROG TÉCNICOS'!Q$55,0)</f>
        <v>0</v>
      </c>
      <c r="J11" s="781">
        <f>ROUND('EV PROG TÉCNICOS'!R$55,0)</f>
        <v>0</v>
      </c>
      <c r="K11" s="781">
        <f>ROUND('EV PROG TÉCNICOS'!S$55,0)</f>
        <v>0</v>
      </c>
      <c r="L11" s="781">
        <f>ROUND('EV PROG TÉCNICOS'!T$55,0)</f>
        <v>0</v>
      </c>
      <c r="M11" s="781">
        <f>ROUND('EV PROG TÉCNICOS'!U$55,0)</f>
        <v>0</v>
      </c>
      <c r="N11" s="782">
        <f t="shared" si="0"/>
        <v>0</v>
      </c>
    </row>
    <row r="12" spans="1:14" x14ac:dyDescent="0.25">
      <c r="A12" s="774" t="s">
        <v>702</v>
      </c>
      <c r="B12" s="774" t="s">
        <v>700</v>
      </c>
      <c r="C12" s="781">
        <f>ROUND('EV PROG TÉCNICOS'!K$56,0)</f>
        <v>0</v>
      </c>
      <c r="D12" s="781">
        <f>ROUND('EV PROG TÉCNICOS'!L$56,0)</f>
        <v>0</v>
      </c>
      <c r="E12" s="781">
        <f>ROUND('EV PROG TÉCNICOS'!M$56,0)</f>
        <v>0</v>
      </c>
      <c r="F12" s="781">
        <f>ROUND('EV PROG TÉCNICOS'!N$56,0)</f>
        <v>0</v>
      </c>
      <c r="G12" s="781">
        <f>ROUND('EV PROG TÉCNICOS'!O$56,0)</f>
        <v>0</v>
      </c>
      <c r="H12" s="781">
        <f>ROUND('EV PROG TÉCNICOS'!P$56,0)</f>
        <v>0</v>
      </c>
      <c r="I12" s="781">
        <f>ROUND('EV PROG TÉCNICOS'!Q$56,0)</f>
        <v>0</v>
      </c>
      <c r="J12" s="781">
        <f>ROUND('EV PROG TÉCNICOS'!R$56,0)</f>
        <v>0</v>
      </c>
      <c r="K12" s="781">
        <f>ROUND('EV PROG TÉCNICOS'!S$56,0)</f>
        <v>0</v>
      </c>
      <c r="L12" s="781">
        <f>ROUND('EV PROG TÉCNICOS'!T$56,0)</f>
        <v>0</v>
      </c>
      <c r="M12" s="781">
        <f>ROUND('EV PROG TÉCNICOS'!U$56,0)</f>
        <v>0</v>
      </c>
      <c r="N12" s="782">
        <f t="shared" si="0"/>
        <v>0</v>
      </c>
    </row>
    <row r="14" spans="1:14" ht="15.75" x14ac:dyDescent="0.25">
      <c r="A14" s="1734" t="s">
        <v>684</v>
      </c>
      <c r="B14" s="1734"/>
      <c r="C14" s="1734"/>
      <c r="D14" s="1734"/>
      <c r="E14" s="1734"/>
      <c r="F14" s="1734"/>
      <c r="G14" s="1734"/>
      <c r="H14" s="1734"/>
      <c r="I14" s="1734"/>
      <c r="J14" s="1734"/>
      <c r="K14" s="1734"/>
      <c r="L14" s="1734"/>
      <c r="M14" s="1734"/>
      <c r="N14" s="1734"/>
    </row>
    <row r="16" spans="1:14" x14ac:dyDescent="0.25">
      <c r="A16" s="1731" t="s">
        <v>672</v>
      </c>
      <c r="B16" s="1731" t="s">
        <v>458</v>
      </c>
      <c r="C16" s="1733" t="s">
        <v>395</v>
      </c>
      <c r="D16" s="1733"/>
      <c r="E16" s="1733"/>
      <c r="F16" s="1733"/>
      <c r="G16" s="1733"/>
      <c r="H16" s="1733"/>
      <c r="I16" s="1733"/>
      <c r="J16" s="1733"/>
      <c r="K16" s="1733"/>
      <c r="L16" s="1733"/>
      <c r="M16" s="1733"/>
      <c r="N16" s="777"/>
    </row>
    <row r="17" spans="1:14" x14ac:dyDescent="0.25">
      <c r="A17" s="1732"/>
      <c r="B17" s="1732"/>
      <c r="C17" s="773">
        <v>0</v>
      </c>
      <c r="D17" s="773">
        <v>1</v>
      </c>
      <c r="E17" s="773">
        <v>2</v>
      </c>
      <c r="F17" s="773">
        <v>3</v>
      </c>
      <c r="G17" s="773">
        <v>4</v>
      </c>
      <c r="H17" s="773">
        <v>5</v>
      </c>
      <c r="I17" s="773">
        <v>6</v>
      </c>
      <c r="J17" s="773">
        <v>7</v>
      </c>
      <c r="K17" s="773">
        <v>8</v>
      </c>
      <c r="L17" s="773">
        <v>9</v>
      </c>
      <c r="M17" s="773">
        <v>10</v>
      </c>
      <c r="N17" s="773" t="s">
        <v>673</v>
      </c>
    </row>
    <row r="18" spans="1:14" x14ac:dyDescent="0.25">
      <c r="A18" s="774" t="s">
        <v>116</v>
      </c>
      <c r="B18" s="774" t="s">
        <v>700</v>
      </c>
      <c r="C18" s="781">
        <f>ROUND('EV PROG TÉCNICOS'!K$59,0)</f>
        <v>0</v>
      </c>
      <c r="D18" s="781">
        <f>ROUND('EV PROG TÉCNICOS'!L$59,0)</f>
        <v>0</v>
      </c>
      <c r="E18" s="781">
        <f>ROUND('EV PROG TÉCNICOS'!M$59,0)</f>
        <v>0</v>
      </c>
      <c r="F18" s="781">
        <f>ROUND('EV PROG TÉCNICOS'!N$59,0)</f>
        <v>0</v>
      </c>
      <c r="G18" s="781">
        <f>ROUND('EV PROG TÉCNICOS'!O$59,0)</f>
        <v>0</v>
      </c>
      <c r="H18" s="781">
        <f>ROUND('EV PROG TÉCNICOS'!P$59,0)</f>
        <v>0</v>
      </c>
      <c r="I18" s="781">
        <f>ROUND('EV PROG TÉCNICOS'!Q$59,0)</f>
        <v>0</v>
      </c>
      <c r="J18" s="781">
        <f>ROUND('EV PROG TÉCNICOS'!R$59,0)</f>
        <v>0</v>
      </c>
      <c r="K18" s="781">
        <f>ROUND('EV PROG TÉCNICOS'!S$59,0)</f>
        <v>0</v>
      </c>
      <c r="L18" s="781">
        <f>ROUND('EV PROG TÉCNICOS'!T$59,0)</f>
        <v>0</v>
      </c>
      <c r="M18" s="781">
        <f>ROUND('EV PROG TÉCNICOS'!U$59,0)</f>
        <v>0</v>
      </c>
      <c r="N18" s="782">
        <f>SUM(D18:M18)</f>
        <v>0</v>
      </c>
    </row>
    <row r="19" spans="1:14" x14ac:dyDescent="0.25">
      <c r="A19" s="774" t="s">
        <v>119</v>
      </c>
      <c r="B19" s="774" t="s">
        <v>700</v>
      </c>
      <c r="C19" s="781">
        <f>ROUND('EV PROG TÉCNICOS'!K$60,0)</f>
        <v>0</v>
      </c>
      <c r="D19" s="781">
        <f>ROUND('EV PROG TÉCNICOS'!L$60,0)</f>
        <v>0</v>
      </c>
      <c r="E19" s="781">
        <f>ROUND('EV PROG TÉCNICOS'!M$60,0)</f>
        <v>0</v>
      </c>
      <c r="F19" s="781">
        <f>ROUND('EV PROG TÉCNICOS'!N$60,0)</f>
        <v>0</v>
      </c>
      <c r="G19" s="781">
        <f>ROUND('EV PROG TÉCNICOS'!O$60,0)</f>
        <v>0</v>
      </c>
      <c r="H19" s="781">
        <f>ROUND('EV PROG TÉCNICOS'!P$60,0)</f>
        <v>0</v>
      </c>
      <c r="I19" s="781">
        <f>ROUND('EV PROG TÉCNICOS'!Q$60,0)</f>
        <v>0</v>
      </c>
      <c r="J19" s="781">
        <f>ROUND('EV PROG TÉCNICOS'!R$60,0)</f>
        <v>0</v>
      </c>
      <c r="K19" s="781">
        <f>ROUND('EV PROG TÉCNICOS'!S$60,0)</f>
        <v>0</v>
      </c>
      <c r="L19" s="781">
        <f>ROUND('EV PROG TÉCNICOS'!T$60,0)</f>
        <v>0</v>
      </c>
      <c r="M19" s="781">
        <f>ROUND('EV PROG TÉCNICOS'!U$60,0)</f>
        <v>0</v>
      </c>
      <c r="N19" s="776"/>
    </row>
    <row r="20" spans="1:14" x14ac:dyDescent="0.25">
      <c r="A20" s="774" t="s">
        <v>701</v>
      </c>
      <c r="B20" s="774" t="s">
        <v>700</v>
      </c>
      <c r="C20" s="781">
        <f>ROUND('EV PROG TÉCNICOS'!K$61,0)</f>
        <v>0</v>
      </c>
      <c r="D20" s="781">
        <f>ROUND('EV PROG TÉCNICOS'!L$61,0)</f>
        <v>0</v>
      </c>
      <c r="E20" s="781">
        <f>ROUND('EV PROG TÉCNICOS'!M$61,0)</f>
        <v>0</v>
      </c>
      <c r="F20" s="781">
        <f>ROUND('EV PROG TÉCNICOS'!N$61,0)</f>
        <v>0</v>
      </c>
      <c r="G20" s="781">
        <f>ROUND('EV PROG TÉCNICOS'!O$61,0)</f>
        <v>0</v>
      </c>
      <c r="H20" s="781">
        <f>ROUND('EV PROG TÉCNICOS'!P$61,0)</f>
        <v>0</v>
      </c>
      <c r="I20" s="781">
        <f>ROUND('EV PROG TÉCNICOS'!Q$61,0)</f>
        <v>0</v>
      </c>
      <c r="J20" s="781">
        <f>ROUND('EV PROG TÉCNICOS'!R$61,0)</f>
        <v>0</v>
      </c>
      <c r="K20" s="781">
        <f>ROUND('EV PROG TÉCNICOS'!S$61,0)</f>
        <v>0</v>
      </c>
      <c r="L20" s="781">
        <f>ROUND('EV PROG TÉCNICOS'!T$61,0)</f>
        <v>0</v>
      </c>
      <c r="M20" s="781">
        <f>ROUND('EV PROG TÉCNICOS'!U$61,0)</f>
        <v>0</v>
      </c>
      <c r="N20" s="782">
        <f t="shared" ref="N20:N25" si="1">SUM(D20:M20)</f>
        <v>0</v>
      </c>
    </row>
    <row r="21" spans="1:14" x14ac:dyDescent="0.25">
      <c r="A21" s="774" t="s">
        <v>23</v>
      </c>
      <c r="B21" s="774" t="s">
        <v>700</v>
      </c>
      <c r="C21" s="781">
        <f>ROUND('EV PROG TÉCNICOS'!K$62,0)</f>
        <v>0</v>
      </c>
      <c r="D21" s="781">
        <f>ROUND('EV PROG TÉCNICOS'!L$62,0)</f>
        <v>0</v>
      </c>
      <c r="E21" s="781">
        <f>ROUND('EV PROG TÉCNICOS'!M$62,0)</f>
        <v>0</v>
      </c>
      <c r="F21" s="781">
        <f>ROUND('EV PROG TÉCNICOS'!N$62,0)</f>
        <v>0</v>
      </c>
      <c r="G21" s="781">
        <f>ROUND('EV PROG TÉCNICOS'!O$62,0)</f>
        <v>0</v>
      </c>
      <c r="H21" s="781">
        <f>ROUND('EV PROG TÉCNICOS'!P$62,0)</f>
        <v>0</v>
      </c>
      <c r="I21" s="781">
        <f>ROUND('EV PROG TÉCNICOS'!Q$62,0)</f>
        <v>0</v>
      </c>
      <c r="J21" s="781">
        <f>ROUND('EV PROG TÉCNICOS'!R$62,0)</f>
        <v>0</v>
      </c>
      <c r="K21" s="781">
        <f>ROUND('EV PROG TÉCNICOS'!S$62,0)</f>
        <v>0</v>
      </c>
      <c r="L21" s="781">
        <f>ROUND('EV PROG TÉCNICOS'!T$62,0)</f>
        <v>0</v>
      </c>
      <c r="M21" s="781">
        <f>ROUND('EV PROG TÉCNICOS'!U$62,0)</f>
        <v>0</v>
      </c>
      <c r="N21" s="782">
        <f>SUM(D21:M21)</f>
        <v>0</v>
      </c>
    </row>
    <row r="22" spans="1:14" x14ac:dyDescent="0.25">
      <c r="A22" s="774" t="s">
        <v>63</v>
      </c>
      <c r="B22" s="774" t="s">
        <v>700</v>
      </c>
      <c r="C22" s="781">
        <f>ROUND('EV PROG TÉCNICOS'!K$63,0)</f>
        <v>0</v>
      </c>
      <c r="D22" s="781">
        <f>ROUND('EV PROG TÉCNICOS'!L$63,0)</f>
        <v>0</v>
      </c>
      <c r="E22" s="781">
        <f>ROUND('EV PROG TÉCNICOS'!M$63,0)</f>
        <v>0</v>
      </c>
      <c r="F22" s="781">
        <f>ROUND('EV PROG TÉCNICOS'!N$63,0)</f>
        <v>0</v>
      </c>
      <c r="G22" s="781">
        <f>ROUND('EV PROG TÉCNICOS'!O$63,0)</f>
        <v>0</v>
      </c>
      <c r="H22" s="781">
        <f>ROUND('EV PROG TÉCNICOS'!P$63,0)</f>
        <v>0</v>
      </c>
      <c r="I22" s="781">
        <f>ROUND('EV PROG TÉCNICOS'!Q$63,0)</f>
        <v>0</v>
      </c>
      <c r="J22" s="781">
        <f>ROUND('EV PROG TÉCNICOS'!R$63,0)</f>
        <v>0</v>
      </c>
      <c r="K22" s="781">
        <f>ROUND('EV PROG TÉCNICOS'!S$63,0)</f>
        <v>0</v>
      </c>
      <c r="L22" s="781">
        <f>ROUND('EV PROG TÉCNICOS'!T$63,0)</f>
        <v>0</v>
      </c>
      <c r="M22" s="781">
        <f>ROUND('EV PROG TÉCNICOS'!U$63,0)</f>
        <v>0</v>
      </c>
      <c r="N22" s="782">
        <f>SUM(D22:M22)</f>
        <v>0</v>
      </c>
    </row>
    <row r="23" spans="1:14" x14ac:dyDescent="0.25">
      <c r="A23" s="774" t="s">
        <v>26</v>
      </c>
      <c r="B23" s="774" t="s">
        <v>700</v>
      </c>
      <c r="C23" s="781">
        <f>ROUND('EV PROG TÉCNICOS'!K$64,0)</f>
        <v>0</v>
      </c>
      <c r="D23" s="781">
        <f>ROUND('EV PROG TÉCNICOS'!L$64,0)</f>
        <v>0</v>
      </c>
      <c r="E23" s="781">
        <f>ROUND('EV PROG TÉCNICOS'!M$64,0)</f>
        <v>0</v>
      </c>
      <c r="F23" s="781">
        <f>ROUND('EV PROG TÉCNICOS'!N$64,0)</f>
        <v>0</v>
      </c>
      <c r="G23" s="781">
        <f>ROUND('EV PROG TÉCNICOS'!O$64,0)</f>
        <v>0</v>
      </c>
      <c r="H23" s="781">
        <f>ROUND('EV PROG TÉCNICOS'!P$64,0)</f>
        <v>0</v>
      </c>
      <c r="I23" s="781">
        <f>ROUND('EV PROG TÉCNICOS'!Q$64,0)</f>
        <v>0</v>
      </c>
      <c r="J23" s="781">
        <f>ROUND('EV PROG TÉCNICOS'!R$64,0)</f>
        <v>0</v>
      </c>
      <c r="K23" s="781">
        <f>ROUND('EV PROG TÉCNICOS'!S$64,0)</f>
        <v>0</v>
      </c>
      <c r="L23" s="781">
        <f>ROUND('EV PROG TÉCNICOS'!T$64,0)</f>
        <v>0</v>
      </c>
      <c r="M23" s="781">
        <f>ROUND('EV PROG TÉCNICOS'!U$64,0)</f>
        <v>0</v>
      </c>
      <c r="N23" s="782">
        <f t="shared" si="1"/>
        <v>0</v>
      </c>
    </row>
    <row r="24" spans="1:14" x14ac:dyDescent="0.25">
      <c r="A24" s="774" t="s">
        <v>702</v>
      </c>
      <c r="B24" s="774" t="s">
        <v>700</v>
      </c>
      <c r="C24" s="781">
        <f>ROUND('EV PROG TÉCNICOS'!K$65,0)</f>
        <v>0</v>
      </c>
      <c r="D24" s="781">
        <f>ROUND('EV PROG TÉCNICOS'!L$65,0)</f>
        <v>0</v>
      </c>
      <c r="E24" s="781">
        <f>ROUND('EV PROG TÉCNICOS'!M$65,0)</f>
        <v>0</v>
      </c>
      <c r="F24" s="781">
        <f>ROUND('EV PROG TÉCNICOS'!N$65,0)</f>
        <v>0</v>
      </c>
      <c r="G24" s="781">
        <f>ROUND('EV PROG TÉCNICOS'!O$65,0)</f>
        <v>0</v>
      </c>
      <c r="H24" s="781">
        <f>ROUND('EV PROG TÉCNICOS'!P$65,0)</f>
        <v>0</v>
      </c>
      <c r="I24" s="781">
        <f>ROUND('EV PROG TÉCNICOS'!Q$65,0)</f>
        <v>0</v>
      </c>
      <c r="J24" s="781">
        <f>ROUND('EV PROG TÉCNICOS'!R$65,0)</f>
        <v>0</v>
      </c>
      <c r="K24" s="781">
        <f>ROUND('EV PROG TÉCNICOS'!S$65,0)</f>
        <v>0</v>
      </c>
      <c r="L24" s="781">
        <f>ROUND('EV PROG TÉCNICOS'!T$65,0)</f>
        <v>0</v>
      </c>
      <c r="M24" s="781">
        <f>ROUND('EV PROG TÉCNICOS'!U$65,0)</f>
        <v>0</v>
      </c>
      <c r="N24" s="782">
        <f t="shared" si="1"/>
        <v>0</v>
      </c>
    </row>
    <row r="25" spans="1:14" x14ac:dyDescent="0.25">
      <c r="A25" s="774" t="s">
        <v>686</v>
      </c>
      <c r="B25" s="774" t="s">
        <v>700</v>
      </c>
      <c r="C25" s="781">
        <f>ROUND('EV PROG TÉCNICOS'!K$66,0)</f>
        <v>0</v>
      </c>
      <c r="D25" s="781">
        <f>ROUND('EV PROG TÉCNICOS'!L$66,0)</f>
        <v>0</v>
      </c>
      <c r="E25" s="781">
        <f>ROUND('EV PROG TÉCNICOS'!M$66,0)</f>
        <v>0</v>
      </c>
      <c r="F25" s="781">
        <f>ROUND('EV PROG TÉCNICOS'!N$66,0)</f>
        <v>0</v>
      </c>
      <c r="G25" s="781">
        <f>ROUND('EV PROG TÉCNICOS'!O$66,0)</f>
        <v>0</v>
      </c>
      <c r="H25" s="781">
        <f>ROUND('EV PROG TÉCNICOS'!P$66,0)</f>
        <v>0</v>
      </c>
      <c r="I25" s="781">
        <f>ROUND('EV PROG TÉCNICOS'!Q$66,0)</f>
        <v>0</v>
      </c>
      <c r="J25" s="781">
        <f>ROUND('EV PROG TÉCNICOS'!R$66,0)</f>
        <v>0</v>
      </c>
      <c r="K25" s="781">
        <f>ROUND('EV PROG TÉCNICOS'!S$66,0)</f>
        <v>0</v>
      </c>
      <c r="L25" s="781">
        <f>ROUND('EV PROG TÉCNICOS'!T$66,0)</f>
        <v>0</v>
      </c>
      <c r="M25" s="781">
        <f>ROUND('EV PROG TÉCNICOS'!U$66,0)</f>
        <v>0</v>
      </c>
      <c r="N25" s="782">
        <f t="shared" si="1"/>
        <v>0</v>
      </c>
    </row>
    <row r="26" spans="1:14" x14ac:dyDescent="0.25">
      <c r="A26" s="774" t="s">
        <v>89</v>
      </c>
      <c r="B26" s="774" t="s">
        <v>700</v>
      </c>
      <c r="C26" s="781">
        <f>ROUND('EV PROG TÉCNICOS'!K$67,0)</f>
        <v>0</v>
      </c>
      <c r="D26" s="781">
        <f>ROUND('EV PROG TÉCNICOS'!L$67,0)</f>
        <v>0</v>
      </c>
      <c r="E26" s="781">
        <f>ROUND('EV PROG TÉCNICOS'!M$67,0)</f>
        <v>0</v>
      </c>
      <c r="F26" s="781">
        <f>ROUND('EV PROG TÉCNICOS'!N$67,0)</f>
        <v>0</v>
      </c>
      <c r="G26" s="781">
        <f>ROUND('EV PROG TÉCNICOS'!O$67,0)</f>
        <v>0</v>
      </c>
      <c r="H26" s="781">
        <f>ROUND('EV PROG TÉCNICOS'!P$67,0)</f>
        <v>0</v>
      </c>
      <c r="I26" s="781">
        <f>ROUND('EV PROG TÉCNICOS'!Q$67,0)</f>
        <v>0</v>
      </c>
      <c r="J26" s="781">
        <f>ROUND('EV PROG TÉCNICOS'!R$67,0)</f>
        <v>0</v>
      </c>
      <c r="K26" s="781">
        <f>ROUND('EV PROG TÉCNICOS'!S$67,0)</f>
        <v>0</v>
      </c>
      <c r="L26" s="781">
        <f>ROUND('EV PROG TÉCNICOS'!T$67,0)</f>
        <v>0</v>
      </c>
      <c r="M26" s="781">
        <f>ROUND('EV PROG TÉCNICOS'!U$67,0)</f>
        <v>0</v>
      </c>
      <c r="N26" s="782">
        <f>SUM(D26:M26)</f>
        <v>0</v>
      </c>
    </row>
    <row r="28" spans="1:14" ht="15.75" x14ac:dyDescent="0.25">
      <c r="A28" s="1734" t="s">
        <v>687</v>
      </c>
      <c r="B28" s="1734"/>
      <c r="C28" s="1734"/>
      <c r="D28" s="1734"/>
      <c r="E28" s="1734"/>
      <c r="F28" s="1734"/>
      <c r="G28" s="1734"/>
      <c r="H28" s="1734"/>
      <c r="I28" s="1734"/>
      <c r="J28" s="1734"/>
      <c r="K28" s="1734"/>
      <c r="L28" s="1734"/>
      <c r="M28" s="1734"/>
      <c r="N28" s="1734"/>
    </row>
    <row r="30" spans="1:14" x14ac:dyDescent="0.25">
      <c r="A30" s="1731" t="s">
        <v>672</v>
      </c>
      <c r="B30" s="1731" t="s">
        <v>458</v>
      </c>
      <c r="C30" s="1733" t="s">
        <v>395</v>
      </c>
      <c r="D30" s="1733"/>
      <c r="E30" s="1733"/>
      <c r="F30" s="1733"/>
      <c r="G30" s="1733"/>
      <c r="H30" s="1733"/>
      <c r="I30" s="1733"/>
      <c r="J30" s="1733"/>
      <c r="K30" s="1733"/>
      <c r="L30" s="1733"/>
      <c r="M30" s="1733"/>
      <c r="N30" s="777"/>
    </row>
    <row r="31" spans="1:14" x14ac:dyDescent="0.25">
      <c r="A31" s="1732"/>
      <c r="B31" s="1732"/>
      <c r="C31" s="773">
        <v>0</v>
      </c>
      <c r="D31" s="773">
        <v>1</v>
      </c>
      <c r="E31" s="773">
        <v>2</v>
      </c>
      <c r="F31" s="773">
        <v>3</v>
      </c>
      <c r="G31" s="773">
        <v>4</v>
      </c>
      <c r="H31" s="773">
        <v>5</v>
      </c>
      <c r="I31" s="773">
        <v>6</v>
      </c>
      <c r="J31" s="773">
        <v>7</v>
      </c>
      <c r="K31" s="773">
        <v>8</v>
      </c>
      <c r="L31" s="773">
        <v>9</v>
      </c>
      <c r="M31" s="773">
        <v>10</v>
      </c>
      <c r="N31" s="773" t="s">
        <v>673</v>
      </c>
    </row>
    <row r="32" spans="1:14" x14ac:dyDescent="0.25">
      <c r="A32" s="774" t="s">
        <v>90</v>
      </c>
      <c r="B32" s="774" t="s">
        <v>700</v>
      </c>
      <c r="C32" s="781">
        <f>ROUND('EV PROG TÉCNICOS'!K$69,0)</f>
        <v>0</v>
      </c>
      <c r="D32" s="781">
        <f>ROUND('EV PROG TÉCNICOS'!L$69,0)</f>
        <v>235479</v>
      </c>
      <c r="E32" s="781">
        <f>ROUND('EV PROG TÉCNICOS'!M$69,0)</f>
        <v>2261446</v>
      </c>
      <c r="F32" s="781">
        <f>ROUND('EV PROG TÉCNICOS'!N$69,0)</f>
        <v>709548</v>
      </c>
      <c r="G32" s="781">
        <f>ROUND('EV PROG TÉCNICOS'!O$69,0)</f>
        <v>0</v>
      </c>
      <c r="H32" s="781">
        <f>ROUND('EV PROG TÉCNICOS'!P$69,0)</f>
        <v>0</v>
      </c>
      <c r="I32" s="781">
        <f>ROUND('EV PROG TÉCNICOS'!Q$69,0)</f>
        <v>0</v>
      </c>
      <c r="J32" s="781">
        <f>ROUND('EV PROG TÉCNICOS'!R$69,0)</f>
        <v>0</v>
      </c>
      <c r="K32" s="781">
        <f>ROUND('EV PROG TÉCNICOS'!S$69,0)</f>
        <v>0</v>
      </c>
      <c r="L32" s="781">
        <f>ROUND('EV PROG TÉCNICOS'!T$69,0)</f>
        <v>0</v>
      </c>
      <c r="M32" s="781">
        <f>ROUND('EV PROG TÉCNICOS'!U$69,0)</f>
        <v>0</v>
      </c>
      <c r="N32" s="782">
        <f t="shared" ref="N32:N41" si="2">SUM(D32:M32)</f>
        <v>3206473</v>
      </c>
    </row>
    <row r="33" spans="1:14" x14ac:dyDescent="0.25">
      <c r="A33" s="774" t="s">
        <v>91</v>
      </c>
      <c r="B33" s="774" t="s">
        <v>700</v>
      </c>
      <c r="C33" s="781">
        <f>ROUND('EV PROG TÉCNICOS'!K$70,0)</f>
        <v>0</v>
      </c>
      <c r="D33" s="781">
        <f>ROUND('EV PROG TÉCNICOS'!L$70,0)</f>
        <v>283626</v>
      </c>
      <c r="E33" s="781">
        <f>ROUND('EV PROG TÉCNICOS'!M$70,0)</f>
        <v>442935</v>
      </c>
      <c r="F33" s="781">
        <f>ROUND('EV PROG TÉCNICOS'!N$70,0)</f>
        <v>1038494</v>
      </c>
      <c r="G33" s="781">
        <f>ROUND('EV PROG TÉCNICOS'!O$70,0)</f>
        <v>0</v>
      </c>
      <c r="H33" s="781">
        <f>ROUND('EV PROG TÉCNICOS'!P$70,0)</f>
        <v>0</v>
      </c>
      <c r="I33" s="781">
        <f>ROUND('EV PROG TÉCNICOS'!Q$70,0)</f>
        <v>0</v>
      </c>
      <c r="J33" s="781">
        <f>ROUND('EV PROG TÉCNICOS'!R$70,0)</f>
        <v>0</v>
      </c>
      <c r="K33" s="781">
        <f>ROUND('EV PROG TÉCNICOS'!S$70,0)</f>
        <v>0</v>
      </c>
      <c r="L33" s="781">
        <f>ROUND('EV PROG TÉCNICOS'!T$70,0)</f>
        <v>0</v>
      </c>
      <c r="M33" s="781">
        <f>ROUND('EV PROG TÉCNICOS'!U$70,0)</f>
        <v>0</v>
      </c>
      <c r="N33" s="782">
        <f t="shared" si="2"/>
        <v>1765055</v>
      </c>
    </row>
    <row r="34" spans="1:14" ht="23.45" customHeight="1" x14ac:dyDescent="0.25">
      <c r="A34" s="774" t="s">
        <v>156</v>
      </c>
      <c r="B34" s="774" t="s">
        <v>700</v>
      </c>
      <c r="C34" s="781">
        <f>ROUND('EV PROG TÉCNICOS'!K$71,0)</f>
        <v>0</v>
      </c>
      <c r="D34" s="781">
        <f>ROUND('EV PROG TÉCNICOS'!L$71,0)</f>
        <v>0</v>
      </c>
      <c r="E34" s="781">
        <f>ROUND('EV PROG TÉCNICOS'!M$71,0)</f>
        <v>0</v>
      </c>
      <c r="F34" s="781">
        <f>ROUND('EV PROG TÉCNICOS'!N$71,0)</f>
        <v>0</v>
      </c>
      <c r="G34" s="781">
        <f>ROUND('EV PROG TÉCNICOS'!O$71,0)</f>
        <v>0</v>
      </c>
      <c r="H34" s="781">
        <f>ROUND('EV PROG TÉCNICOS'!P$71,0)</f>
        <v>0</v>
      </c>
      <c r="I34" s="781">
        <f>ROUND('EV PROG TÉCNICOS'!Q$71,0)</f>
        <v>0</v>
      </c>
      <c r="J34" s="781">
        <f>ROUND('EV PROG TÉCNICOS'!R$71,0)</f>
        <v>0</v>
      </c>
      <c r="K34" s="781">
        <f>ROUND('EV PROG TÉCNICOS'!S$71,0)</f>
        <v>0</v>
      </c>
      <c r="L34" s="781">
        <f>ROUND('EV PROG TÉCNICOS'!T$71,0)</f>
        <v>0</v>
      </c>
      <c r="M34" s="781">
        <f>ROUND('EV PROG TÉCNICOS'!U$71,0)</f>
        <v>0</v>
      </c>
      <c r="N34" s="782">
        <f t="shared" si="2"/>
        <v>0</v>
      </c>
    </row>
    <row r="35" spans="1:14" ht="29.45" customHeight="1" x14ac:dyDescent="0.25">
      <c r="A35" s="774" t="s">
        <v>209</v>
      </c>
      <c r="B35" s="774" t="s">
        <v>700</v>
      </c>
      <c r="C35" s="781">
        <f>ROUND('EV PROG TÉCNICOS'!K$72,0)</f>
        <v>0</v>
      </c>
      <c r="D35" s="781">
        <f>ROUND('EV PROG TÉCNICOS'!L$72,0)</f>
        <v>0</v>
      </c>
      <c r="E35" s="781">
        <f>ROUND('EV PROG TÉCNICOS'!M$72,0)</f>
        <v>0</v>
      </c>
      <c r="F35" s="781">
        <f>ROUND('EV PROG TÉCNICOS'!N$72,0)</f>
        <v>0</v>
      </c>
      <c r="G35" s="781">
        <f>ROUND('EV PROG TÉCNICOS'!O$72,0)</f>
        <v>0</v>
      </c>
      <c r="H35" s="781">
        <f>ROUND('EV PROG TÉCNICOS'!P$72,0)</f>
        <v>0</v>
      </c>
      <c r="I35" s="781">
        <f>ROUND('EV PROG TÉCNICOS'!Q$72,0)</f>
        <v>0</v>
      </c>
      <c r="J35" s="781">
        <f>ROUND('EV PROG TÉCNICOS'!R$72,0)</f>
        <v>0</v>
      </c>
      <c r="K35" s="781">
        <f>ROUND('EV PROG TÉCNICOS'!S$72,0)</f>
        <v>0</v>
      </c>
      <c r="L35" s="781">
        <f>ROUND('EV PROG TÉCNICOS'!T$72,0)</f>
        <v>0</v>
      </c>
      <c r="M35" s="781">
        <f>ROUND('EV PROG TÉCNICOS'!U$72,0)</f>
        <v>0</v>
      </c>
      <c r="N35" s="782">
        <f t="shared" si="2"/>
        <v>0</v>
      </c>
    </row>
    <row r="36" spans="1:14" ht="29.45" customHeight="1" x14ac:dyDescent="0.25">
      <c r="A36" s="774" t="s">
        <v>314</v>
      </c>
      <c r="B36" s="774" t="s">
        <v>700</v>
      </c>
      <c r="C36" s="781">
        <f>ROUND('EV PROG TÉCNICOS'!K$73,0)</f>
        <v>0</v>
      </c>
      <c r="D36" s="781">
        <f>ROUND('EV PROG TÉCNICOS'!L$73,0)</f>
        <v>0</v>
      </c>
      <c r="E36" s="781">
        <f>ROUND('EV PROG TÉCNICOS'!M$73,0)</f>
        <v>0</v>
      </c>
      <c r="F36" s="781">
        <f>ROUND('EV PROG TÉCNICOS'!N$73,0)</f>
        <v>0</v>
      </c>
      <c r="G36" s="781">
        <f>ROUND('EV PROG TÉCNICOS'!O$73,0)</f>
        <v>0</v>
      </c>
      <c r="H36" s="781">
        <f>ROUND('EV PROG TÉCNICOS'!P$73,0)</f>
        <v>0</v>
      </c>
      <c r="I36" s="781">
        <f>ROUND('EV PROG TÉCNICOS'!Q$73,0)</f>
        <v>0</v>
      </c>
      <c r="J36" s="781">
        <f>ROUND('EV PROG TÉCNICOS'!R$73,0)</f>
        <v>0</v>
      </c>
      <c r="K36" s="781">
        <f>ROUND('EV PROG TÉCNICOS'!S$73,0)</f>
        <v>0</v>
      </c>
      <c r="L36" s="781">
        <f>ROUND('EV PROG TÉCNICOS'!T$73,0)</f>
        <v>0</v>
      </c>
      <c r="M36" s="781">
        <f>ROUND('EV PROG TÉCNICOS'!U$73,0)</f>
        <v>0</v>
      </c>
      <c r="N36" s="782">
        <f t="shared" si="2"/>
        <v>0</v>
      </c>
    </row>
    <row r="37" spans="1:14" x14ac:dyDescent="0.25">
      <c r="A37" s="774" t="s">
        <v>83</v>
      </c>
      <c r="B37" s="774" t="s">
        <v>700</v>
      </c>
      <c r="C37" s="781">
        <f>ROUND('EV PROG TÉCNICOS'!K$74,0)</f>
        <v>0</v>
      </c>
      <c r="D37" s="781">
        <f>ROUND('EV PROG TÉCNICOS'!L$74,0)</f>
        <v>0</v>
      </c>
      <c r="E37" s="781">
        <f>ROUND('EV PROG TÉCNICOS'!M$74,0)</f>
        <v>0</v>
      </c>
      <c r="F37" s="781">
        <f>ROUND('EV PROG TÉCNICOS'!N$74,0)</f>
        <v>0</v>
      </c>
      <c r="G37" s="781">
        <f>ROUND('EV PROG TÉCNICOS'!O$74,0)</f>
        <v>0</v>
      </c>
      <c r="H37" s="781">
        <f>ROUND('EV PROG TÉCNICOS'!P$74,0)</f>
        <v>0</v>
      </c>
      <c r="I37" s="781">
        <f>ROUND('EV PROG TÉCNICOS'!Q$74,0)</f>
        <v>0</v>
      </c>
      <c r="J37" s="781">
        <f>ROUND('EV PROG TÉCNICOS'!R$74,0)</f>
        <v>0</v>
      </c>
      <c r="K37" s="781">
        <f>ROUND('EV PROG TÉCNICOS'!S$74,0)</f>
        <v>0</v>
      </c>
      <c r="L37" s="781">
        <f>ROUND('EV PROG TÉCNICOS'!T$74,0)</f>
        <v>0</v>
      </c>
      <c r="M37" s="781">
        <f>ROUND('EV PROG TÉCNICOS'!U$74,0)</f>
        <v>0</v>
      </c>
      <c r="N37" s="782">
        <f t="shared" si="2"/>
        <v>0</v>
      </c>
    </row>
    <row r="38" spans="1:14" x14ac:dyDescent="0.25">
      <c r="A38" s="774" t="s">
        <v>161</v>
      </c>
      <c r="B38" s="774" t="s">
        <v>700</v>
      </c>
      <c r="C38" s="781">
        <f>ROUND('EV PROG TÉCNICOS'!K$75,0)</f>
        <v>0</v>
      </c>
      <c r="D38" s="781">
        <f>ROUND('EV PROG TÉCNICOS'!L$75,0)</f>
        <v>0</v>
      </c>
      <c r="E38" s="781">
        <f>ROUND('EV PROG TÉCNICOS'!M$75,0)</f>
        <v>0</v>
      </c>
      <c r="F38" s="781">
        <f>ROUND('EV PROG TÉCNICOS'!N$75,0)</f>
        <v>0</v>
      </c>
      <c r="G38" s="781">
        <f>ROUND('EV PROG TÉCNICOS'!O$75,0)</f>
        <v>0</v>
      </c>
      <c r="H38" s="781">
        <f>ROUND('EV PROG TÉCNICOS'!P$75,0)</f>
        <v>0</v>
      </c>
      <c r="I38" s="781">
        <f>ROUND('EV PROG TÉCNICOS'!Q$75,0)</f>
        <v>0</v>
      </c>
      <c r="J38" s="781">
        <f>ROUND('EV PROG TÉCNICOS'!R$75,0)</f>
        <v>0</v>
      </c>
      <c r="K38" s="781">
        <f>ROUND('EV PROG TÉCNICOS'!S$75,0)</f>
        <v>0</v>
      </c>
      <c r="L38" s="781">
        <f>ROUND('EV PROG TÉCNICOS'!T$75,0)</f>
        <v>0</v>
      </c>
      <c r="M38" s="781">
        <f>ROUND('EV PROG TÉCNICOS'!U$75,0)</f>
        <v>0</v>
      </c>
      <c r="N38" s="782">
        <f t="shared" si="2"/>
        <v>0</v>
      </c>
    </row>
    <row r="39" spans="1:14" x14ac:dyDescent="0.25">
      <c r="A39" s="774" t="s">
        <v>162</v>
      </c>
      <c r="B39" s="774" t="s">
        <v>700</v>
      </c>
      <c r="C39" s="781">
        <f>ROUND('EV PROG TÉCNICOS'!K$76,0)</f>
        <v>0</v>
      </c>
      <c r="D39" s="781">
        <f>ROUND('EV PROG TÉCNICOS'!L$76,0)</f>
        <v>0</v>
      </c>
      <c r="E39" s="781">
        <f>ROUND('EV PROG TÉCNICOS'!M$76,0)</f>
        <v>0</v>
      </c>
      <c r="F39" s="781">
        <f>ROUND('EV PROG TÉCNICOS'!N$76,0)</f>
        <v>0</v>
      </c>
      <c r="G39" s="781">
        <f>ROUND('EV PROG TÉCNICOS'!O$76,0)</f>
        <v>0</v>
      </c>
      <c r="H39" s="781">
        <f>ROUND('EV PROG TÉCNICOS'!P$76,0)</f>
        <v>0</v>
      </c>
      <c r="I39" s="781">
        <f>ROUND('EV PROG TÉCNICOS'!Q$76,0)</f>
        <v>0</v>
      </c>
      <c r="J39" s="781">
        <f>ROUND('EV PROG TÉCNICOS'!R$76,0)</f>
        <v>0</v>
      </c>
      <c r="K39" s="781">
        <f>ROUND('EV PROG TÉCNICOS'!S$76,0)</f>
        <v>0</v>
      </c>
      <c r="L39" s="781">
        <f>ROUND('EV PROG TÉCNICOS'!T$76,0)</f>
        <v>0</v>
      </c>
      <c r="M39" s="781">
        <f>ROUND('EV PROG TÉCNICOS'!U$76,0)</f>
        <v>0</v>
      </c>
      <c r="N39" s="782">
        <f t="shared" si="2"/>
        <v>0</v>
      </c>
    </row>
    <row r="40" spans="1:14" x14ac:dyDescent="0.25">
      <c r="A40" s="774" t="s">
        <v>225</v>
      </c>
      <c r="B40" s="774" t="s">
        <v>700</v>
      </c>
      <c r="C40" s="781">
        <f>ROUND('EV PROG TÉCNICOS'!K$77,0)</f>
        <v>0</v>
      </c>
      <c r="D40" s="781">
        <f>ROUND('EV PROG TÉCNICOS'!L$77,0)</f>
        <v>0</v>
      </c>
      <c r="E40" s="781">
        <f>ROUND('EV PROG TÉCNICOS'!M$77,0)</f>
        <v>0</v>
      </c>
      <c r="F40" s="781">
        <f>ROUND('EV PROG TÉCNICOS'!N$77,0)</f>
        <v>0</v>
      </c>
      <c r="G40" s="781">
        <f>ROUND('EV PROG TÉCNICOS'!O$77,0)</f>
        <v>0</v>
      </c>
      <c r="H40" s="781">
        <f>ROUND('EV PROG TÉCNICOS'!P$77,0)</f>
        <v>0</v>
      </c>
      <c r="I40" s="781">
        <f>ROUND('EV PROG TÉCNICOS'!Q$77,0)</f>
        <v>0</v>
      </c>
      <c r="J40" s="781">
        <f>ROUND('EV PROG TÉCNICOS'!R$77,0)</f>
        <v>0</v>
      </c>
      <c r="K40" s="781">
        <f>ROUND('EV PROG TÉCNICOS'!S$77,0)</f>
        <v>0</v>
      </c>
      <c r="L40" s="781">
        <f>ROUND('EV PROG TÉCNICOS'!T$77,0)</f>
        <v>0</v>
      </c>
      <c r="M40" s="781">
        <f>ROUND('EV PROG TÉCNICOS'!U$77,0)</f>
        <v>0</v>
      </c>
      <c r="N40" s="782">
        <f t="shared" si="2"/>
        <v>0</v>
      </c>
    </row>
    <row r="41" spans="1:14" x14ac:dyDescent="0.25">
      <c r="A41" s="774" t="s">
        <v>93</v>
      </c>
      <c r="B41" s="774" t="s">
        <v>700</v>
      </c>
      <c r="C41" s="781">
        <f>ROUND('EV PROG TÉCNICOS'!K$78,0)</f>
        <v>0</v>
      </c>
      <c r="D41" s="781">
        <f>ROUND('EV PROG TÉCNICOS'!L$78,0)</f>
        <v>0</v>
      </c>
      <c r="E41" s="781">
        <f>ROUND('EV PROG TÉCNICOS'!M$78,0)</f>
        <v>0</v>
      </c>
      <c r="F41" s="781">
        <f>ROUND('EV PROG TÉCNICOS'!N$78,0)</f>
        <v>0</v>
      </c>
      <c r="G41" s="781">
        <f>ROUND('EV PROG TÉCNICOS'!O$78,0)</f>
        <v>0</v>
      </c>
      <c r="H41" s="781">
        <f>ROUND('EV PROG TÉCNICOS'!P$78,0)</f>
        <v>0</v>
      </c>
      <c r="I41" s="781">
        <f>ROUND('EV PROG TÉCNICOS'!Q$78,0)</f>
        <v>0</v>
      </c>
      <c r="J41" s="781">
        <f>ROUND('EV PROG TÉCNICOS'!R$78,0)</f>
        <v>0</v>
      </c>
      <c r="K41" s="781">
        <f>ROUND('EV PROG TÉCNICOS'!S$78,0)</f>
        <v>0</v>
      </c>
      <c r="L41" s="781">
        <f>ROUND('EV PROG TÉCNICOS'!T$78,0)</f>
        <v>0</v>
      </c>
      <c r="M41" s="781">
        <f>ROUND('EV PROG TÉCNICOS'!U$78,0)</f>
        <v>0</v>
      </c>
      <c r="N41" s="782">
        <f t="shared" si="2"/>
        <v>0</v>
      </c>
    </row>
    <row r="42" spans="1:14" x14ac:dyDescent="0.25">
      <c r="A42" s="783"/>
      <c r="B42" s="783"/>
      <c r="C42" s="415"/>
      <c r="D42" s="415"/>
      <c r="E42" s="415"/>
      <c r="F42" s="415"/>
      <c r="G42" s="415"/>
      <c r="H42" s="415"/>
      <c r="I42" s="415"/>
      <c r="J42" s="415"/>
      <c r="K42" s="415"/>
      <c r="L42" s="415"/>
      <c r="M42" s="415"/>
      <c r="N42" s="417"/>
    </row>
    <row r="44" spans="1:14" ht="15.75" x14ac:dyDescent="0.25">
      <c r="A44" s="1734" t="s">
        <v>690</v>
      </c>
      <c r="B44" s="1734"/>
      <c r="C44" s="1734"/>
      <c r="D44" s="1734"/>
      <c r="E44" s="1734"/>
      <c r="F44" s="1734"/>
      <c r="G44" s="1734"/>
      <c r="H44" s="1734"/>
      <c r="I44" s="1734"/>
      <c r="J44" s="1734"/>
      <c r="K44" s="1734"/>
      <c r="L44" s="1734"/>
      <c r="M44" s="1734"/>
      <c r="N44" s="1734"/>
    </row>
    <row r="46" spans="1:14" x14ac:dyDescent="0.25">
      <c r="A46" s="1731" t="s">
        <v>672</v>
      </c>
      <c r="B46" s="1731" t="s">
        <v>458</v>
      </c>
      <c r="C46" s="1733" t="s">
        <v>395</v>
      </c>
      <c r="D46" s="1733"/>
      <c r="E46" s="1733"/>
      <c r="F46" s="1733"/>
      <c r="G46" s="1733"/>
      <c r="H46" s="1733"/>
      <c r="I46" s="1733"/>
      <c r="J46" s="1733"/>
      <c r="K46" s="1733"/>
      <c r="L46" s="1733"/>
      <c r="M46" s="1733"/>
      <c r="N46" s="777"/>
    </row>
    <row r="47" spans="1:14" x14ac:dyDescent="0.25">
      <c r="A47" s="1732"/>
      <c r="B47" s="1732"/>
      <c r="C47" s="773">
        <v>0</v>
      </c>
      <c r="D47" s="773">
        <v>1</v>
      </c>
      <c r="E47" s="773">
        <v>2</v>
      </c>
      <c r="F47" s="773">
        <v>3</v>
      </c>
      <c r="G47" s="773">
        <v>4</v>
      </c>
      <c r="H47" s="773">
        <v>5</v>
      </c>
      <c r="I47" s="773">
        <v>6</v>
      </c>
      <c r="J47" s="773">
        <v>7</v>
      </c>
      <c r="K47" s="773">
        <v>8</v>
      </c>
      <c r="L47" s="773">
        <v>9</v>
      </c>
      <c r="M47" s="773">
        <v>10</v>
      </c>
      <c r="N47" s="773" t="s">
        <v>673</v>
      </c>
    </row>
    <row r="48" spans="1:14" ht="27.2" customHeight="1" x14ac:dyDescent="0.25">
      <c r="A48" s="774" t="s">
        <v>179</v>
      </c>
      <c r="B48" s="774" t="s">
        <v>700</v>
      </c>
      <c r="C48" s="781">
        <f>ROUND('EV PROG TÉCNICOS'!K$80,0)</f>
        <v>0</v>
      </c>
      <c r="D48" s="781">
        <f>ROUND('EV PROG TÉCNICOS'!L$80,0)</f>
        <v>0</v>
      </c>
      <c r="E48" s="781">
        <f>ROUND('EV PROG TÉCNICOS'!M$80,0)</f>
        <v>3845</v>
      </c>
      <c r="F48" s="781">
        <f>ROUND('EV PROG TÉCNICOS'!N$80,0)</f>
        <v>2283</v>
      </c>
      <c r="G48" s="781">
        <f>ROUND('EV PROG TÉCNICOS'!O$80,0)</f>
        <v>4159</v>
      </c>
      <c r="H48" s="781">
        <f>ROUND('EV PROG TÉCNICOS'!P$80,0)</f>
        <v>2170</v>
      </c>
      <c r="I48" s="781">
        <f>ROUND('EV PROG TÉCNICOS'!Q$80,0)</f>
        <v>2607</v>
      </c>
      <c r="J48" s="781">
        <f>ROUND('EV PROG TÉCNICOS'!R$80,0)</f>
        <v>2000</v>
      </c>
      <c r="K48" s="781">
        <f>ROUND('EV PROG TÉCNICOS'!S$80,0)</f>
        <v>2000</v>
      </c>
      <c r="L48" s="781">
        <f>ROUND('EV PROG TÉCNICOS'!T$80,0)</f>
        <v>2000</v>
      </c>
      <c r="M48" s="781">
        <f>ROUND('EV PROG TÉCNICOS'!U$80,0)</f>
        <v>2000</v>
      </c>
      <c r="N48" s="782">
        <f>SUM(D48:M48)</f>
        <v>23064</v>
      </c>
    </row>
    <row r="50" spans="1:14" ht="15.75" x14ac:dyDescent="0.25">
      <c r="A50" s="1734" t="s">
        <v>692</v>
      </c>
      <c r="B50" s="1734"/>
      <c r="C50" s="1734"/>
      <c r="D50" s="1734"/>
      <c r="E50" s="1734"/>
      <c r="F50" s="1734"/>
      <c r="G50" s="1734"/>
      <c r="H50" s="1734"/>
      <c r="I50" s="1734"/>
      <c r="J50" s="1734"/>
      <c r="K50" s="1734"/>
      <c r="L50" s="1734"/>
      <c r="M50" s="1734"/>
      <c r="N50" s="1734"/>
    </row>
    <row r="52" spans="1:14" x14ac:dyDescent="0.25">
      <c r="A52" s="1731" t="s">
        <v>672</v>
      </c>
      <c r="B52" s="1731" t="s">
        <v>458</v>
      </c>
      <c r="C52" s="1733" t="s">
        <v>395</v>
      </c>
      <c r="D52" s="1733"/>
      <c r="E52" s="1733"/>
      <c r="F52" s="1733"/>
      <c r="G52" s="1733"/>
      <c r="H52" s="1733"/>
      <c r="I52" s="1733"/>
      <c r="J52" s="1733"/>
      <c r="K52" s="1733"/>
      <c r="L52" s="1733"/>
      <c r="M52" s="1733"/>
      <c r="N52" s="777"/>
    </row>
    <row r="53" spans="1:14" x14ac:dyDescent="0.25">
      <c r="A53" s="1732"/>
      <c r="B53" s="1732"/>
      <c r="C53" s="773">
        <v>0</v>
      </c>
      <c r="D53" s="773">
        <v>1</v>
      </c>
      <c r="E53" s="773">
        <v>2</v>
      </c>
      <c r="F53" s="773">
        <v>3</v>
      </c>
      <c r="G53" s="773">
        <v>4</v>
      </c>
      <c r="H53" s="773">
        <v>5</v>
      </c>
      <c r="I53" s="773">
        <v>6</v>
      </c>
      <c r="J53" s="773">
        <v>7</v>
      </c>
      <c r="K53" s="773">
        <v>8</v>
      </c>
      <c r="L53" s="773">
        <v>9</v>
      </c>
      <c r="M53" s="773">
        <v>10</v>
      </c>
      <c r="N53" s="773" t="s">
        <v>673</v>
      </c>
    </row>
    <row r="54" spans="1:14" ht="36.6" customHeight="1" x14ac:dyDescent="0.25">
      <c r="A54" s="774" t="s">
        <v>95</v>
      </c>
      <c r="B54" s="774" t="s">
        <v>700</v>
      </c>
      <c r="C54" s="781">
        <f>ROUND('EV PROG TÉCNICOS'!K$82,0)</f>
        <v>0</v>
      </c>
      <c r="D54" s="781">
        <f>ROUND('EV PROG TÉCNICOS'!L$82,0)</f>
        <v>328035</v>
      </c>
      <c r="E54" s="781">
        <f>ROUND('EV PROG TÉCNICOS'!M$82,0)</f>
        <v>190975</v>
      </c>
      <c r="F54" s="781">
        <f>ROUND('EV PROG TÉCNICOS'!N$82,0)</f>
        <v>253892</v>
      </c>
      <c r="G54" s="781">
        <f>ROUND('EV PROG TÉCNICOS'!O$82,0)</f>
        <v>0</v>
      </c>
      <c r="H54" s="781">
        <f>ROUND('EV PROG TÉCNICOS'!P$82,0)</f>
        <v>0</v>
      </c>
      <c r="I54" s="781">
        <f>ROUND('EV PROG TÉCNICOS'!Q$82,0)</f>
        <v>0</v>
      </c>
      <c r="J54" s="781">
        <f>ROUND('EV PROG TÉCNICOS'!R$82,0)</f>
        <v>0</v>
      </c>
      <c r="K54" s="781">
        <f>ROUND('EV PROG TÉCNICOS'!S$82,0)</f>
        <v>0</v>
      </c>
      <c r="L54" s="781">
        <f>ROUND('EV PROG TÉCNICOS'!T$82,0)</f>
        <v>0</v>
      </c>
      <c r="M54" s="781">
        <f>ROUND('EV PROG TÉCNICOS'!U$82,0)</f>
        <v>0</v>
      </c>
      <c r="N54" s="782">
        <f>SUM(D54:M54)</f>
        <v>772902</v>
      </c>
    </row>
    <row r="56" spans="1:14" ht="15.75" x14ac:dyDescent="0.25">
      <c r="A56" s="1734" t="s">
        <v>693</v>
      </c>
      <c r="B56" s="1734"/>
      <c r="C56" s="1734"/>
      <c r="D56" s="1734"/>
      <c r="E56" s="1734"/>
      <c r="F56" s="1734"/>
      <c r="G56" s="1734"/>
      <c r="H56" s="1734"/>
      <c r="I56" s="1734"/>
      <c r="J56" s="1734"/>
      <c r="K56" s="1734"/>
      <c r="L56" s="1734"/>
      <c r="M56" s="1734"/>
      <c r="N56" s="1734"/>
    </row>
    <row r="58" spans="1:14" x14ac:dyDescent="0.25">
      <c r="A58" s="1731" t="s">
        <v>672</v>
      </c>
      <c r="B58" s="1731" t="s">
        <v>458</v>
      </c>
      <c r="C58" s="1733" t="s">
        <v>395</v>
      </c>
      <c r="D58" s="1733"/>
      <c r="E58" s="1733"/>
      <c r="F58" s="1733"/>
      <c r="G58" s="1733"/>
      <c r="H58" s="1733"/>
      <c r="I58" s="1733"/>
      <c r="J58" s="1733"/>
      <c r="K58" s="1733"/>
      <c r="L58" s="1733"/>
      <c r="M58" s="1733"/>
      <c r="N58" s="777"/>
    </row>
    <row r="59" spans="1:14" x14ac:dyDescent="0.25">
      <c r="A59" s="1732"/>
      <c r="B59" s="1732"/>
      <c r="C59" s="773">
        <v>0</v>
      </c>
      <c r="D59" s="773">
        <v>1</v>
      </c>
      <c r="E59" s="773">
        <v>2</v>
      </c>
      <c r="F59" s="773">
        <v>3</v>
      </c>
      <c r="G59" s="773">
        <v>4</v>
      </c>
      <c r="H59" s="773">
        <v>5</v>
      </c>
      <c r="I59" s="773">
        <v>6</v>
      </c>
      <c r="J59" s="773">
        <v>7</v>
      </c>
      <c r="K59" s="773">
        <v>8</v>
      </c>
      <c r="L59" s="773">
        <v>9</v>
      </c>
      <c r="M59" s="773">
        <v>10</v>
      </c>
      <c r="N59" s="773" t="s">
        <v>673</v>
      </c>
    </row>
    <row r="60" spans="1:14" x14ac:dyDescent="0.25">
      <c r="A60" s="774" t="s">
        <v>694</v>
      </c>
      <c r="B60" s="774" t="s">
        <v>700</v>
      </c>
      <c r="C60" s="781">
        <f>ROUND('EV PROG TÉCNICOS'!K$84,0)</f>
        <v>0</v>
      </c>
      <c r="D60" s="781">
        <f>ROUND('EV PROG TÉCNICOS'!L$84,0)</f>
        <v>0</v>
      </c>
      <c r="E60" s="781">
        <f>ROUND('EV PROG TÉCNICOS'!M$84,0)</f>
        <v>0</v>
      </c>
      <c r="F60" s="781">
        <f>ROUND('EV PROG TÉCNICOS'!N$84,0)</f>
        <v>0</v>
      </c>
      <c r="G60" s="781">
        <f>ROUND('EV PROG TÉCNICOS'!O$84,0)</f>
        <v>0</v>
      </c>
      <c r="H60" s="781">
        <f>ROUND('EV PROG TÉCNICOS'!P$84,0)</f>
        <v>0</v>
      </c>
      <c r="I60" s="781">
        <f>ROUND('EV PROG TÉCNICOS'!Q$84,0)</f>
        <v>0</v>
      </c>
      <c r="J60" s="781">
        <f>ROUND('EV PROG TÉCNICOS'!R$84,0)</f>
        <v>0</v>
      </c>
      <c r="K60" s="781">
        <f>ROUND('EV PROG TÉCNICOS'!S$84,0)</f>
        <v>0</v>
      </c>
      <c r="L60" s="781">
        <f>ROUND('EV PROG TÉCNICOS'!T$84,0)</f>
        <v>0</v>
      </c>
      <c r="M60" s="781">
        <f>ROUND('EV PROG TÉCNICOS'!U$84,0)</f>
        <v>0</v>
      </c>
      <c r="N60" s="782">
        <f>SUM(D60:M60)</f>
        <v>0</v>
      </c>
    </row>
    <row r="61" spans="1:14" x14ac:dyDescent="0.25">
      <c r="A61" s="774" t="s">
        <v>97</v>
      </c>
      <c r="B61" s="774" t="s">
        <v>700</v>
      </c>
      <c r="C61" s="781">
        <f>ROUND('EV PROG TÉCNICOS'!K$86,0)</f>
        <v>0</v>
      </c>
      <c r="D61" s="781">
        <f>ROUND('EV PROG TÉCNICOS'!L$86,0)</f>
        <v>0</v>
      </c>
      <c r="E61" s="781">
        <f>ROUND('EV PROG TÉCNICOS'!M$86,0)</f>
        <v>181314</v>
      </c>
      <c r="F61" s="781">
        <f>ROUND('EV PROG TÉCNICOS'!N$86,0)</f>
        <v>205252</v>
      </c>
      <c r="G61" s="781">
        <f>ROUND('EV PROG TÉCNICOS'!O$86,0)</f>
        <v>251585</v>
      </c>
      <c r="H61" s="781">
        <f>ROUND('EV PROG TÉCNICOS'!P$86,0)</f>
        <v>411227</v>
      </c>
      <c r="I61" s="781">
        <f>ROUND('EV PROG TÉCNICOS'!Q$86,0)</f>
        <v>459971</v>
      </c>
      <c r="J61" s="781">
        <f>ROUND('EV PROG TÉCNICOS'!R$86,0)</f>
        <v>356778</v>
      </c>
      <c r="K61" s="781">
        <f>ROUND('EV PROG TÉCNICOS'!S$86,0)</f>
        <v>591779</v>
      </c>
      <c r="L61" s="781">
        <f>ROUND('EV PROG TÉCNICOS'!T$86,0)</f>
        <v>416152</v>
      </c>
      <c r="M61" s="781">
        <f>ROUND('EV PROG TÉCNICOS'!U$86,0)</f>
        <v>522977</v>
      </c>
      <c r="N61" s="782">
        <f>SUM(D61:M61)</f>
        <v>3397035</v>
      </c>
    </row>
    <row r="62" spans="1:14" x14ac:dyDescent="0.25">
      <c r="A62" s="774" t="s">
        <v>98</v>
      </c>
      <c r="B62" s="774" t="s">
        <v>700</v>
      </c>
      <c r="C62" s="781">
        <f>ROUND('EV PROG TÉCNICOS'!K$87,0)</f>
        <v>0</v>
      </c>
      <c r="D62" s="781">
        <f>ROUND('EV PROG TÉCNICOS'!L$87,0)</f>
        <v>0</v>
      </c>
      <c r="E62" s="781">
        <f>ROUND('EV PROG TÉCNICOS'!M$87,0)</f>
        <v>5823</v>
      </c>
      <c r="F62" s="781">
        <f>ROUND('EV PROG TÉCNICOS'!N$87,0)</f>
        <v>6728</v>
      </c>
      <c r="G62" s="781">
        <f>ROUND('EV PROG TÉCNICOS'!O$87,0)</f>
        <v>14554</v>
      </c>
      <c r="H62" s="781">
        <f>ROUND('EV PROG TÉCNICOS'!P$87,0)</f>
        <v>49128</v>
      </c>
      <c r="I62" s="781">
        <f>ROUND('EV PROG TÉCNICOS'!Q$87,0)</f>
        <v>38925</v>
      </c>
      <c r="J62" s="781">
        <f>ROUND('EV PROG TÉCNICOS'!R$87,0)</f>
        <v>10450</v>
      </c>
      <c r="K62" s="781">
        <f>ROUND('EV PROG TÉCNICOS'!S$87,0)</f>
        <v>113537</v>
      </c>
      <c r="L62" s="781">
        <f>ROUND('EV PROG TÉCNICOS'!T$87,0)</f>
        <v>5925</v>
      </c>
      <c r="M62" s="781">
        <f>ROUND('EV PROG TÉCNICOS'!U$87,0)</f>
        <v>8338</v>
      </c>
      <c r="N62" s="782">
        <f t="shared" ref="N62:N68" si="3">SUM(D62:M62)</f>
        <v>253408</v>
      </c>
    </row>
    <row r="63" spans="1:14" x14ac:dyDescent="0.25">
      <c r="A63" s="774" t="s">
        <v>99</v>
      </c>
      <c r="B63" s="774" t="s">
        <v>700</v>
      </c>
      <c r="C63" s="781">
        <f>ROUND('EV PROG TÉCNICOS'!K$88,0)</f>
        <v>0</v>
      </c>
      <c r="D63" s="781">
        <f>ROUND('EV PROG TÉCNICOS'!L$88,0)</f>
        <v>0</v>
      </c>
      <c r="E63" s="781">
        <f>ROUND('EV PROG TÉCNICOS'!M$88,0)</f>
        <v>623</v>
      </c>
      <c r="F63" s="781">
        <f>ROUND('EV PROG TÉCNICOS'!N$88,0)</f>
        <v>1092</v>
      </c>
      <c r="G63" s="781">
        <f>ROUND('EV PROG TÉCNICOS'!O$88,0)</f>
        <v>1769</v>
      </c>
      <c r="H63" s="781">
        <f>ROUND('EV PROG TÉCNICOS'!P$88,0)</f>
        <v>439</v>
      </c>
      <c r="I63" s="781">
        <f>ROUND('EV PROG TÉCNICOS'!Q$88,0)</f>
        <v>673</v>
      </c>
      <c r="J63" s="781">
        <f>ROUND('EV PROG TÉCNICOS'!R$88,0)</f>
        <v>485</v>
      </c>
      <c r="K63" s="781">
        <f>ROUND('EV PROG TÉCNICOS'!S$88,0)</f>
        <v>932</v>
      </c>
      <c r="L63" s="781">
        <f>ROUND('EV PROG TÉCNICOS'!T$88,0)</f>
        <v>552</v>
      </c>
      <c r="M63" s="781">
        <f>ROUND('EV PROG TÉCNICOS'!U$88,0)</f>
        <v>548</v>
      </c>
      <c r="N63" s="782">
        <f t="shared" si="3"/>
        <v>7113</v>
      </c>
    </row>
    <row r="64" spans="1:14" ht="24" customHeight="1" x14ac:dyDescent="0.25">
      <c r="A64" s="774" t="s">
        <v>54</v>
      </c>
      <c r="B64" s="774" t="s">
        <v>700</v>
      </c>
      <c r="C64" s="781">
        <f>ROUND('EV PROG TÉCNICOS'!K$90,0)</f>
        <v>0</v>
      </c>
      <c r="D64" s="781">
        <f>ROUND('EV PROG TÉCNICOS'!L$90,0)</f>
        <v>0</v>
      </c>
      <c r="E64" s="781">
        <f>ROUND('EV PROG TÉCNICOS'!M$90,0)</f>
        <v>1082</v>
      </c>
      <c r="F64" s="781">
        <f>ROUND('EV PROG TÉCNICOS'!N$90,0)</f>
        <v>1608</v>
      </c>
      <c r="G64" s="781">
        <f>ROUND('EV PROG TÉCNICOS'!O$90,0)</f>
        <v>1596</v>
      </c>
      <c r="H64" s="781">
        <f>ROUND('EV PROG TÉCNICOS'!P$90,0)</f>
        <v>944</v>
      </c>
      <c r="I64" s="781">
        <f>ROUND('EV PROG TÉCNICOS'!Q$90,0)</f>
        <v>297</v>
      </c>
      <c r="J64" s="781">
        <f>ROUND('EV PROG TÉCNICOS'!R$90,0)</f>
        <v>0</v>
      </c>
      <c r="K64" s="781">
        <f>ROUND('EV PROG TÉCNICOS'!S$90,0)</f>
        <v>0</v>
      </c>
      <c r="L64" s="781">
        <f>ROUND('EV PROG TÉCNICOS'!T$90,0)</f>
        <v>0</v>
      </c>
      <c r="M64" s="781">
        <f>ROUND('EV PROG TÉCNICOS'!U$90,0)</f>
        <v>0</v>
      </c>
      <c r="N64" s="782">
        <f t="shared" si="3"/>
        <v>5527</v>
      </c>
    </row>
    <row r="65" spans="1:14" x14ac:dyDescent="0.25">
      <c r="A65" s="774" t="s">
        <v>83</v>
      </c>
      <c r="B65" s="774" t="s">
        <v>700</v>
      </c>
      <c r="C65" s="781">
        <f>ROUND('EV PROG TÉCNICOS'!K$91,0)</f>
        <v>0</v>
      </c>
      <c r="D65" s="781">
        <f>ROUND('EV PROG TÉCNICOS'!L$91,0)</f>
        <v>0</v>
      </c>
      <c r="E65" s="781">
        <f>ROUND('EV PROG TÉCNICOS'!M$91,0)</f>
        <v>0</v>
      </c>
      <c r="F65" s="781">
        <f>ROUND('EV PROG TÉCNICOS'!N$91,0)</f>
        <v>0</v>
      </c>
      <c r="G65" s="781">
        <f>ROUND('EV PROG TÉCNICOS'!O$91,0)</f>
        <v>0</v>
      </c>
      <c r="H65" s="781">
        <f>ROUND('EV PROG TÉCNICOS'!P$91,0)</f>
        <v>0</v>
      </c>
      <c r="I65" s="781">
        <f>ROUND('EV PROG TÉCNICOS'!Q$91,0)</f>
        <v>0</v>
      </c>
      <c r="J65" s="781">
        <f>ROUND('EV PROG TÉCNICOS'!R$91,0)</f>
        <v>0</v>
      </c>
      <c r="K65" s="781">
        <f>ROUND('EV PROG TÉCNICOS'!S$91,0)</f>
        <v>0</v>
      </c>
      <c r="L65" s="781">
        <f>ROUND('EV PROG TÉCNICOS'!T$91,0)</f>
        <v>0</v>
      </c>
      <c r="M65" s="781">
        <f>ROUND('EV PROG TÉCNICOS'!U$91,0)</f>
        <v>0</v>
      </c>
      <c r="N65" s="782">
        <f t="shared" si="3"/>
        <v>0</v>
      </c>
    </row>
    <row r="66" spans="1:14" x14ac:dyDescent="0.25">
      <c r="A66" s="774" t="s">
        <v>161</v>
      </c>
      <c r="B66" s="774" t="s">
        <v>700</v>
      </c>
      <c r="C66" s="781">
        <f>ROUND('EV PROG TÉCNICOS'!K$92,0)</f>
        <v>0</v>
      </c>
      <c r="D66" s="781">
        <f>ROUND('EV PROG TÉCNICOS'!L$92,0)</f>
        <v>0</v>
      </c>
      <c r="E66" s="781">
        <f>ROUND('EV PROG TÉCNICOS'!M$92,0)</f>
        <v>0</v>
      </c>
      <c r="F66" s="781">
        <f>ROUND('EV PROG TÉCNICOS'!N$92,0)</f>
        <v>0</v>
      </c>
      <c r="G66" s="781">
        <f>ROUND('EV PROG TÉCNICOS'!O$92,0)</f>
        <v>0</v>
      </c>
      <c r="H66" s="781">
        <f>ROUND('EV PROG TÉCNICOS'!P$92,0)</f>
        <v>0</v>
      </c>
      <c r="I66" s="781">
        <f>ROUND('EV PROG TÉCNICOS'!Q$92,0)</f>
        <v>0</v>
      </c>
      <c r="J66" s="781">
        <f>ROUND('EV PROG TÉCNICOS'!R$92,0)</f>
        <v>0</v>
      </c>
      <c r="K66" s="781">
        <f>ROUND('EV PROG TÉCNICOS'!S$92,0)</f>
        <v>0</v>
      </c>
      <c r="L66" s="781">
        <f>ROUND('EV PROG TÉCNICOS'!T$92,0)</f>
        <v>0</v>
      </c>
      <c r="M66" s="781">
        <f>ROUND('EV PROG TÉCNICOS'!U$92,0)</f>
        <v>0</v>
      </c>
      <c r="N66" s="782">
        <f>SUM(D66:M66)</f>
        <v>0</v>
      </c>
    </row>
    <row r="67" spans="1:14" x14ac:dyDescent="0.25">
      <c r="A67" s="774" t="s">
        <v>162</v>
      </c>
      <c r="B67" s="774" t="s">
        <v>700</v>
      </c>
      <c r="C67" s="781">
        <f>ROUND('EV PROG TÉCNICOS'!K$93,0)</f>
        <v>0</v>
      </c>
      <c r="D67" s="781">
        <f>ROUND('EV PROG TÉCNICOS'!L$93,0)</f>
        <v>0</v>
      </c>
      <c r="E67" s="781">
        <f>ROUND('EV PROG TÉCNICOS'!M$93,0)</f>
        <v>0</v>
      </c>
      <c r="F67" s="781">
        <f>ROUND('EV PROG TÉCNICOS'!N$93,0)</f>
        <v>0</v>
      </c>
      <c r="G67" s="781">
        <f>ROUND('EV PROG TÉCNICOS'!O$93,0)</f>
        <v>0</v>
      </c>
      <c r="H67" s="781">
        <f>ROUND('EV PROG TÉCNICOS'!P$93,0)</f>
        <v>0</v>
      </c>
      <c r="I67" s="781">
        <f>ROUND('EV PROG TÉCNICOS'!Q$93,0)</f>
        <v>0</v>
      </c>
      <c r="J67" s="781">
        <f>ROUND('EV PROG TÉCNICOS'!R$93,0)</f>
        <v>0</v>
      </c>
      <c r="K67" s="781">
        <f>ROUND('EV PROG TÉCNICOS'!S$93,0)</f>
        <v>0</v>
      </c>
      <c r="L67" s="781">
        <f>ROUND('EV PROG TÉCNICOS'!T$93,0)</f>
        <v>0</v>
      </c>
      <c r="M67" s="781">
        <f>ROUND('EV PROG TÉCNICOS'!U$93,0)</f>
        <v>0</v>
      </c>
      <c r="N67" s="782">
        <f t="shared" si="3"/>
        <v>0</v>
      </c>
    </row>
    <row r="68" spans="1:14" x14ac:dyDescent="0.25">
      <c r="A68" s="774" t="s">
        <v>49</v>
      </c>
      <c r="B68" s="774" t="s">
        <v>700</v>
      </c>
      <c r="C68" s="781">
        <f>ROUND('EV PROG TÉCNICOS'!K$94,0)</f>
        <v>0</v>
      </c>
      <c r="D68" s="781">
        <f>ROUND('EV PROG TÉCNICOS'!L$94,0)</f>
        <v>0</v>
      </c>
      <c r="E68" s="781">
        <f>ROUND('EV PROG TÉCNICOS'!M$94,0)</f>
        <v>0</v>
      </c>
      <c r="F68" s="781">
        <f>ROUND('EV PROG TÉCNICOS'!N$94,0)</f>
        <v>0</v>
      </c>
      <c r="G68" s="781">
        <f>ROUND('EV PROG TÉCNICOS'!O$94,0)</f>
        <v>0</v>
      </c>
      <c r="H68" s="781">
        <f>ROUND('EV PROG TÉCNICOS'!P$94,0)</f>
        <v>0</v>
      </c>
      <c r="I68" s="781">
        <f>ROUND('EV PROG TÉCNICOS'!Q$94,0)</f>
        <v>0</v>
      </c>
      <c r="J68" s="781">
        <f>ROUND('EV PROG TÉCNICOS'!R$94,0)</f>
        <v>0</v>
      </c>
      <c r="K68" s="781">
        <f>ROUND('EV PROG TÉCNICOS'!S$94,0)</f>
        <v>0</v>
      </c>
      <c r="L68" s="781">
        <f>ROUND('EV PROG TÉCNICOS'!T$94,0)</f>
        <v>0</v>
      </c>
      <c r="M68" s="781">
        <f>ROUND('EV PROG TÉCNICOS'!U$94,0)</f>
        <v>0</v>
      </c>
      <c r="N68" s="782">
        <f t="shared" si="3"/>
        <v>0</v>
      </c>
    </row>
    <row r="69" spans="1:14" x14ac:dyDescent="0.25">
      <c r="A69" s="778" t="s">
        <v>410</v>
      </c>
      <c r="B69" s="778" t="s">
        <v>790</v>
      </c>
      <c r="C69" s="782">
        <f>SUM(C75:C75)</f>
        <v>0</v>
      </c>
      <c r="D69" s="782">
        <f>SUM(D60:D68)</f>
        <v>0</v>
      </c>
      <c r="E69" s="782">
        <f t="shared" ref="E69:N69" si="4">SUM(E60:E68)</f>
        <v>188842</v>
      </c>
      <c r="F69" s="782">
        <f t="shared" si="4"/>
        <v>214680</v>
      </c>
      <c r="G69" s="782">
        <f t="shared" si="4"/>
        <v>269504</v>
      </c>
      <c r="H69" s="782">
        <f t="shared" si="4"/>
        <v>461738</v>
      </c>
      <c r="I69" s="782">
        <f t="shared" si="4"/>
        <v>499866</v>
      </c>
      <c r="J69" s="782">
        <f t="shared" si="4"/>
        <v>367713</v>
      </c>
      <c r="K69" s="782">
        <f t="shared" si="4"/>
        <v>706248</v>
      </c>
      <c r="L69" s="782">
        <f t="shared" si="4"/>
        <v>422629</v>
      </c>
      <c r="M69" s="782">
        <f t="shared" si="4"/>
        <v>531863</v>
      </c>
      <c r="N69" s="782">
        <f t="shared" si="4"/>
        <v>3663083</v>
      </c>
    </row>
    <row r="71" spans="1:14" ht="15.75" x14ac:dyDescent="0.25">
      <c r="A71" s="1734" t="s">
        <v>695</v>
      </c>
      <c r="B71" s="1734"/>
      <c r="C71" s="1734"/>
      <c r="D71" s="1734"/>
      <c r="E71" s="1734"/>
      <c r="F71" s="1734"/>
      <c r="G71" s="1734"/>
      <c r="H71" s="1734"/>
      <c r="I71" s="1734"/>
      <c r="J71" s="1734"/>
      <c r="K71" s="1734"/>
      <c r="L71" s="1734"/>
      <c r="M71" s="1734"/>
      <c r="N71" s="1734"/>
    </row>
    <row r="73" spans="1:14" x14ac:dyDescent="0.25">
      <c r="A73" s="1731" t="s">
        <v>672</v>
      </c>
      <c r="B73" s="1731" t="s">
        <v>458</v>
      </c>
      <c r="C73" s="1733" t="s">
        <v>395</v>
      </c>
      <c r="D73" s="1733"/>
      <c r="E73" s="1733"/>
      <c r="F73" s="1733"/>
      <c r="G73" s="1733"/>
      <c r="H73" s="1733"/>
      <c r="I73" s="1733"/>
      <c r="J73" s="1733"/>
      <c r="K73" s="1733"/>
      <c r="L73" s="1733"/>
      <c r="M73" s="1733"/>
      <c r="N73" s="777"/>
    </row>
    <row r="74" spans="1:14" x14ac:dyDescent="0.25">
      <c r="A74" s="1732"/>
      <c r="B74" s="1732"/>
      <c r="C74" s="773">
        <v>0</v>
      </c>
      <c r="D74" s="773">
        <v>1</v>
      </c>
      <c r="E74" s="773">
        <v>2</v>
      </c>
      <c r="F74" s="773">
        <v>3</v>
      </c>
      <c r="G74" s="773">
        <v>4</v>
      </c>
      <c r="H74" s="773">
        <v>5</v>
      </c>
      <c r="I74" s="773">
        <v>6</v>
      </c>
      <c r="J74" s="773">
        <v>7</v>
      </c>
      <c r="K74" s="773">
        <v>8</v>
      </c>
      <c r="L74" s="773">
        <v>9</v>
      </c>
      <c r="M74" s="773">
        <v>10</v>
      </c>
      <c r="N74" s="773" t="s">
        <v>673</v>
      </c>
    </row>
    <row r="75" spans="1:14" x14ac:dyDescent="0.25">
      <c r="A75" s="774" t="s">
        <v>696</v>
      </c>
      <c r="B75" s="774" t="s">
        <v>700</v>
      </c>
      <c r="C75" s="781">
        <f>ROUND('EV PROG TÉCNICOS'!K807,0)</f>
        <v>0</v>
      </c>
      <c r="D75" s="781">
        <f>ROUND('EV PROG TÉCNICOS'!L807,0)</f>
        <v>0</v>
      </c>
      <c r="E75" s="781">
        <f>ROUND('EV PROG TÉCNICOS'!M807,0)</f>
        <v>1020488</v>
      </c>
      <c r="F75" s="781">
        <f>ROUND('EV PROG TÉCNICOS'!N807,0)</f>
        <v>1386960</v>
      </c>
      <c r="G75" s="781">
        <f>ROUND('EV PROG TÉCNICOS'!O807,0)</f>
        <v>964229</v>
      </c>
      <c r="H75" s="781">
        <f>ROUND('EV PROG TÉCNICOS'!P807,0)</f>
        <v>848210</v>
      </c>
      <c r="I75" s="781">
        <f>ROUND('EV PROG TÉCNICOS'!Q807,0)</f>
        <v>667970</v>
      </c>
      <c r="J75" s="781">
        <f>ROUND('EV PROG TÉCNICOS'!R807,0)</f>
        <v>0</v>
      </c>
      <c r="K75" s="781">
        <f>ROUND('EV PROG TÉCNICOS'!S807,0)</f>
        <v>0</v>
      </c>
      <c r="L75" s="781">
        <f>ROUND('EV PROG TÉCNICOS'!T807,0)</f>
        <v>0</v>
      </c>
      <c r="M75" s="781">
        <f>ROUND('EV PROG TÉCNICOS'!U807,0)</f>
        <v>0</v>
      </c>
      <c r="N75" s="782">
        <f>SUM(D75:M75)</f>
        <v>4887857</v>
      </c>
    </row>
    <row r="76" spans="1:14" x14ac:dyDescent="0.25">
      <c r="A76" s="774" t="s">
        <v>697</v>
      </c>
      <c r="B76" s="774" t="s">
        <v>700</v>
      </c>
      <c r="C76" s="781">
        <f>ROUND('EV PROG TÉCNICOS'!K808,0)</f>
        <v>0</v>
      </c>
      <c r="D76" s="781">
        <f>ROUND('EV PROG TÉCNICOS'!L808,0)</f>
        <v>0</v>
      </c>
      <c r="E76" s="781">
        <f>ROUND('EV PROG TÉCNICOS'!M808,0)</f>
        <v>40031</v>
      </c>
      <c r="F76" s="781">
        <f>ROUND('EV PROG TÉCNICOS'!N808,0)</f>
        <v>17970</v>
      </c>
      <c r="G76" s="781">
        <f>ROUND('EV PROG TÉCNICOS'!O808,0)</f>
        <v>177217</v>
      </c>
      <c r="H76" s="781">
        <f>ROUND('EV PROG TÉCNICOS'!P808,0)</f>
        <v>30339</v>
      </c>
      <c r="I76" s="781">
        <f>ROUND('EV PROG TÉCNICOS'!Q808,0)</f>
        <v>113373</v>
      </c>
      <c r="J76" s="781">
        <f>ROUND('EV PROG TÉCNICOS'!R808,0)</f>
        <v>0</v>
      </c>
      <c r="K76" s="781">
        <f>ROUND('EV PROG TÉCNICOS'!S808,0)</f>
        <v>0</v>
      </c>
      <c r="L76" s="781">
        <f>ROUND('EV PROG TÉCNICOS'!T808,0)</f>
        <v>0</v>
      </c>
      <c r="M76" s="781">
        <f>ROUND('EV PROG TÉCNICOS'!U808,0)</f>
        <v>0</v>
      </c>
      <c r="N76" s="782">
        <f>SUM(D76:M76)</f>
        <v>378930</v>
      </c>
    </row>
    <row r="77" spans="1:14" x14ac:dyDescent="0.25">
      <c r="A77" s="774" t="s">
        <v>698</v>
      </c>
      <c r="B77" s="774" t="s">
        <v>700</v>
      </c>
      <c r="C77" s="781">
        <f>ROUND('EV PROG TÉCNICOS'!K809,0)</f>
        <v>0</v>
      </c>
      <c r="D77" s="781">
        <f>ROUND('EV PROG TÉCNICOS'!L809,0)</f>
        <v>0</v>
      </c>
      <c r="E77" s="781">
        <f>ROUND('EV PROG TÉCNICOS'!M809,0)</f>
        <v>0</v>
      </c>
      <c r="F77" s="781">
        <f>ROUND('EV PROG TÉCNICOS'!N809,0)</f>
        <v>67398</v>
      </c>
      <c r="G77" s="781">
        <f>ROUND('EV PROG TÉCNICOS'!O809,0)</f>
        <v>0</v>
      </c>
      <c r="H77" s="781">
        <f>ROUND('EV PROG TÉCNICOS'!P809,0)</f>
        <v>0</v>
      </c>
      <c r="I77" s="781">
        <f>ROUND('EV PROG TÉCNICOS'!Q809,0)</f>
        <v>15974</v>
      </c>
      <c r="J77" s="781">
        <f>ROUND('EV PROG TÉCNICOS'!R809,0)</f>
        <v>0</v>
      </c>
      <c r="K77" s="781">
        <f>ROUND('EV PROG TÉCNICOS'!S809,0)</f>
        <v>0</v>
      </c>
      <c r="L77" s="781">
        <f>ROUND('EV PROG TÉCNICOS'!T809,0)</f>
        <v>0</v>
      </c>
      <c r="M77" s="781">
        <f>ROUND('EV PROG TÉCNICOS'!U809,0)</f>
        <v>0</v>
      </c>
      <c r="N77" s="782">
        <f>SUM(D77:M77)</f>
        <v>83372</v>
      </c>
    </row>
    <row r="78" spans="1:14" x14ac:dyDescent="0.25">
      <c r="A78" s="774" t="s">
        <v>775</v>
      </c>
      <c r="B78" s="774" t="s">
        <v>700</v>
      </c>
      <c r="C78" s="775">
        <f>'EV PROG TÉCNICOS'!K$97</f>
        <v>0</v>
      </c>
      <c r="D78" s="775">
        <f>'EV PROG TÉCNICOS'!L$97</f>
        <v>0</v>
      </c>
      <c r="E78" s="775">
        <f>'EV PROG TÉCNICOS'!M$97</f>
        <v>27438.086234773506</v>
      </c>
      <c r="F78" s="775">
        <f>'EV PROG TÉCNICOS'!N$97</f>
        <v>324472.50227052951</v>
      </c>
      <c r="G78" s="775">
        <f>'EV PROG TÉCNICOS'!O$97</f>
        <v>162616.3113061875</v>
      </c>
      <c r="H78" s="775">
        <f>'EV PROG TÉCNICOS'!P$97</f>
        <v>111912.83390444418</v>
      </c>
      <c r="I78" s="775">
        <f>'EV PROG TÉCNICOS'!Q$97</f>
        <v>24960.012585402772</v>
      </c>
      <c r="J78" s="775">
        <f>'EV PROG TÉCNICOS'!R$97</f>
        <v>0</v>
      </c>
      <c r="K78" s="775">
        <f>'EV PROG TÉCNICOS'!S$97</f>
        <v>0</v>
      </c>
      <c r="L78" s="775">
        <f>'EV PROG TÉCNICOS'!T$97</f>
        <v>0</v>
      </c>
      <c r="M78" s="775">
        <f>'EV PROG TÉCNICOS'!U$97</f>
        <v>0</v>
      </c>
      <c r="N78" s="782">
        <f>SUM(D78:M78)</f>
        <v>651399.74630133749</v>
      </c>
    </row>
    <row r="80" spans="1:14" ht="15.75" x14ac:dyDescent="0.25">
      <c r="A80" s="1734" t="s">
        <v>699</v>
      </c>
      <c r="B80" s="1734"/>
      <c r="C80" s="1734"/>
      <c r="D80" s="1734"/>
      <c r="E80" s="1734"/>
      <c r="F80" s="1734"/>
      <c r="G80" s="1734"/>
      <c r="H80" s="1734"/>
      <c r="I80" s="1734"/>
      <c r="J80" s="1734"/>
      <c r="K80" s="1734"/>
      <c r="L80" s="1734"/>
      <c r="M80" s="1734"/>
      <c r="N80" s="1734"/>
    </row>
    <row r="82" spans="1:14" x14ac:dyDescent="0.25">
      <c r="A82" s="1731" t="s">
        <v>672</v>
      </c>
      <c r="B82" s="1731" t="s">
        <v>458</v>
      </c>
      <c r="C82" s="1733" t="s">
        <v>395</v>
      </c>
      <c r="D82" s="1733"/>
      <c r="E82" s="1733"/>
      <c r="F82" s="1733"/>
      <c r="G82" s="1733"/>
      <c r="H82" s="1733"/>
      <c r="I82" s="1733"/>
      <c r="J82" s="1733"/>
      <c r="K82" s="1733"/>
      <c r="L82" s="1733"/>
      <c r="M82" s="1733"/>
      <c r="N82" s="777"/>
    </row>
    <row r="83" spans="1:14" x14ac:dyDescent="0.25">
      <c r="A83" s="1732"/>
      <c r="B83" s="1732"/>
      <c r="C83" s="773">
        <v>0</v>
      </c>
      <c r="D83" s="773">
        <v>1</v>
      </c>
      <c r="E83" s="773">
        <v>2</v>
      </c>
      <c r="F83" s="773">
        <v>3</v>
      </c>
      <c r="G83" s="773">
        <v>4</v>
      </c>
      <c r="H83" s="773">
        <v>5</v>
      </c>
      <c r="I83" s="773">
        <v>6</v>
      </c>
      <c r="J83" s="773">
        <v>7</v>
      </c>
      <c r="K83" s="773">
        <v>8</v>
      </c>
      <c r="L83" s="773">
        <v>9</v>
      </c>
      <c r="M83" s="773">
        <v>10</v>
      </c>
      <c r="N83" s="773" t="s">
        <v>673</v>
      </c>
    </row>
    <row r="84" spans="1:14" x14ac:dyDescent="0.25">
      <c r="A84" s="774" t="s">
        <v>213</v>
      </c>
      <c r="B84" s="774" t="s">
        <v>700</v>
      </c>
      <c r="C84" s="781">
        <f>ROUND('EV PROG TÉCNICOS'!K$99,0)</f>
        <v>0</v>
      </c>
      <c r="D84" s="781">
        <f>ROUND('EV PROG TÉCNICOS'!L$99,0)</f>
        <v>0</v>
      </c>
      <c r="E84" s="781">
        <f>ROUND('EV PROG TÉCNICOS'!M$99,0)</f>
        <v>0</v>
      </c>
      <c r="F84" s="781">
        <f>ROUND('EV PROG TÉCNICOS'!N$99,0)</f>
        <v>0</v>
      </c>
      <c r="G84" s="781">
        <f>ROUND('EV PROG TÉCNICOS'!O$99,0)</f>
        <v>0</v>
      </c>
      <c r="H84" s="781">
        <f>ROUND('EV PROG TÉCNICOS'!P$99,0)</f>
        <v>0</v>
      </c>
      <c r="I84" s="781">
        <f>ROUND('EV PROG TÉCNICOS'!Q$99,0)</f>
        <v>0</v>
      </c>
      <c r="J84" s="781">
        <f>ROUND('EV PROG TÉCNICOS'!R$99,0)</f>
        <v>0</v>
      </c>
      <c r="K84" s="781">
        <f>ROUND('EV PROG TÉCNICOS'!S$99,0)</f>
        <v>0</v>
      </c>
      <c r="L84" s="781">
        <f>ROUND('EV PROG TÉCNICOS'!T$99,0)</f>
        <v>0</v>
      </c>
      <c r="M84" s="781">
        <f>ROUND('EV PROG TÉCNICOS'!U$99,0)</f>
        <v>0</v>
      </c>
      <c r="N84" s="782">
        <f>SUM(D84:M84)</f>
        <v>0</v>
      </c>
    </row>
    <row r="87" spans="1:14" x14ac:dyDescent="0.25">
      <c r="D87" s="785">
        <f t="shared" ref="D87:M87" si="5">SUM(D7:D12,D18:D26,D32:D41,D48,D54,D60:D68,D75,D84)</f>
        <v>847140</v>
      </c>
      <c r="E87" s="785">
        <f t="shared" si="5"/>
        <v>4108531</v>
      </c>
      <c r="F87" s="785">
        <f t="shared" si="5"/>
        <v>3605857</v>
      </c>
      <c r="G87" s="785">
        <f t="shared" si="5"/>
        <v>1237892</v>
      </c>
      <c r="H87" s="785">
        <f t="shared" si="5"/>
        <v>1312118</v>
      </c>
      <c r="I87" s="785">
        <f t="shared" si="5"/>
        <v>1170443</v>
      </c>
      <c r="J87" s="785">
        <f t="shared" si="5"/>
        <v>369713</v>
      </c>
      <c r="K87" s="785">
        <f t="shared" si="5"/>
        <v>708248</v>
      </c>
      <c r="L87" s="785">
        <f t="shared" si="5"/>
        <v>424629</v>
      </c>
      <c r="M87" s="785">
        <f t="shared" si="5"/>
        <v>533863</v>
      </c>
    </row>
    <row r="88" spans="1:14" x14ac:dyDescent="0.25">
      <c r="D88" s="784"/>
      <c r="E88" s="784"/>
      <c r="F88" s="784"/>
      <c r="G88" s="784"/>
      <c r="H88" s="784"/>
      <c r="I88" s="784"/>
      <c r="J88" s="784"/>
      <c r="K88" s="784"/>
      <c r="L88" s="784"/>
      <c r="M88" s="784"/>
    </row>
    <row r="89" spans="1:14" x14ac:dyDescent="0.25">
      <c r="D89" s="786" t="str">
        <f>IF(D87='EV PROG TÉCNICOS'!L34,"OK","NO")</f>
        <v>NO</v>
      </c>
      <c r="E89" s="786" t="str">
        <f>IF(E87='EV PROG TÉCNICOS'!M34,"OK","NO")</f>
        <v>NO</v>
      </c>
      <c r="F89" s="786" t="str">
        <f>IF(F87='EV PROG TÉCNICOS'!N34,"OK","NO")</f>
        <v>NO</v>
      </c>
      <c r="G89" s="786" t="str">
        <f>IF(G87='EV PROG TÉCNICOS'!O34,"OK","NO")</f>
        <v>NO</v>
      </c>
      <c r="H89" s="786" t="str">
        <f>IF(H87='EV PROG TÉCNICOS'!P34,"OK","NO")</f>
        <v>NO</v>
      </c>
      <c r="I89" s="786" t="str">
        <f>IF(I87='EV PROG TÉCNICOS'!Q34,"OK","NO")</f>
        <v>NO</v>
      </c>
      <c r="J89" s="786" t="str">
        <f>IF(J87='EV PROG TÉCNICOS'!R34,"OK","NO")</f>
        <v>NO</v>
      </c>
      <c r="K89" s="786" t="str">
        <f>IF(K87='EV PROG TÉCNICOS'!S34,"OK","NO")</f>
        <v>NO</v>
      </c>
      <c r="L89" s="786" t="str">
        <f>IF(L87='EV PROG TÉCNICOS'!T34,"OK","NO")</f>
        <v>NO</v>
      </c>
      <c r="M89" s="786" t="str">
        <f>IF(M87='EV PROG TÉCNICOS'!U34,"OK","NO")</f>
        <v>NO</v>
      </c>
    </row>
  </sheetData>
  <mergeCells count="34">
    <mergeCell ref="A4:N4"/>
    <mergeCell ref="C73:M73"/>
    <mergeCell ref="A2:N2"/>
    <mergeCell ref="A46:A47"/>
    <mergeCell ref="B46:B47"/>
    <mergeCell ref="C46:M46"/>
    <mergeCell ref="A5:A6"/>
    <mergeCell ref="B5:B6"/>
    <mergeCell ref="C5:M5"/>
    <mergeCell ref="A28:N28"/>
    <mergeCell ref="A30:A31"/>
    <mergeCell ref="B30:B31"/>
    <mergeCell ref="C30:M30"/>
    <mergeCell ref="A44:N44"/>
    <mergeCell ref="N5:N6"/>
    <mergeCell ref="A14:N14"/>
    <mergeCell ref="A16:A17"/>
    <mergeCell ref="A80:N80"/>
    <mergeCell ref="B16:B17"/>
    <mergeCell ref="C16:M16"/>
    <mergeCell ref="B73:B74"/>
    <mergeCell ref="A82:A83"/>
    <mergeCell ref="B82:B83"/>
    <mergeCell ref="C82:M82"/>
    <mergeCell ref="A50:N50"/>
    <mergeCell ref="A52:A53"/>
    <mergeCell ref="B52:B53"/>
    <mergeCell ref="C52:M52"/>
    <mergeCell ref="A56:N56"/>
    <mergeCell ref="A58:A59"/>
    <mergeCell ref="B58:B59"/>
    <mergeCell ref="C58:M58"/>
    <mergeCell ref="A71:N71"/>
    <mergeCell ref="A73:A74"/>
  </mergeCells>
  <phoneticPr fontId="9" type="noConversion"/>
  <conditionalFormatting sqref="N60 N7:N12 N20:N26 C32:N42">
    <cfRule type="cellIs" dxfId="755" priority="14" operator="equal">
      <formula>0</formula>
    </cfRule>
  </conditionalFormatting>
  <conditionalFormatting sqref="C7:M12">
    <cfRule type="cellIs" dxfId="754" priority="12" operator="equal">
      <formula>0</formula>
    </cfRule>
  </conditionalFormatting>
  <conditionalFormatting sqref="C48:N48">
    <cfRule type="cellIs" dxfId="753" priority="11" operator="equal">
      <formula>0</formula>
    </cfRule>
  </conditionalFormatting>
  <conditionalFormatting sqref="C54:N54">
    <cfRule type="cellIs" dxfId="752" priority="10" operator="equal">
      <formula>0</formula>
    </cfRule>
  </conditionalFormatting>
  <conditionalFormatting sqref="N61:N69">
    <cfRule type="cellIs" dxfId="751" priority="9" operator="equal">
      <formula>0</formula>
    </cfRule>
  </conditionalFormatting>
  <conditionalFormatting sqref="N84">
    <cfRule type="cellIs" dxfId="750" priority="8" operator="equal">
      <formula>0</formula>
    </cfRule>
  </conditionalFormatting>
  <conditionalFormatting sqref="N18:N19 C18:M26">
    <cfRule type="cellIs" dxfId="749" priority="6" operator="equal">
      <formula>0</formula>
    </cfRule>
  </conditionalFormatting>
  <conditionalFormatting sqref="C60:M69 N69">
    <cfRule type="cellIs" dxfId="748" priority="5" operator="equal">
      <formula>0</formula>
    </cfRule>
  </conditionalFormatting>
  <conditionalFormatting sqref="C69:N69">
    <cfRule type="cellIs" dxfId="747" priority="7" operator="equal">
      <formula>0</formula>
    </cfRule>
  </conditionalFormatting>
  <conditionalFormatting sqref="C84:M84">
    <cfRule type="cellIs" dxfId="746" priority="2" operator="equal">
      <formula>0</formula>
    </cfRule>
  </conditionalFormatting>
  <conditionalFormatting sqref="N75:N78">
    <cfRule type="cellIs" dxfId="745" priority="4" operator="equal">
      <formula>0</formula>
    </cfRule>
  </conditionalFormatting>
  <conditionalFormatting sqref="C75:M78">
    <cfRule type="cellIs" dxfId="744" priority="3" operator="equal">
      <formula>0</formula>
    </cfRule>
  </conditionalFormatting>
  <pageMargins left="0.7" right="0.7" top="0.75" bottom="0.75" header="0.3" footer="0.3"/>
  <pageSetup paperSize="9" scale="35" orientation="portrait" r:id="rId1"/>
  <ignoredErrors>
    <ignoredError sqref="C78:M78" unlocked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tabColor theme="4"/>
  </sheetPr>
  <dimension ref="A1:L65"/>
  <sheetViews>
    <sheetView showGridLines="0" zoomScale="90" zoomScaleNormal="90" workbookViewId="0">
      <selection activeCell="C12" sqref="C12"/>
    </sheetView>
  </sheetViews>
  <sheetFormatPr baseColWidth="10" defaultColWidth="11.375" defaultRowHeight="15" x14ac:dyDescent="0.25"/>
  <cols>
    <col min="1" max="1" width="10.625" customWidth="1"/>
    <col min="2" max="2" width="65.625" style="8" customWidth="1"/>
    <col min="3" max="3" width="18.375" customWidth="1"/>
    <col min="4" max="4" width="22.375" style="84" customWidth="1"/>
    <col min="5" max="5" width="18" customWidth="1"/>
    <col min="6" max="6" width="22.25" style="81" customWidth="1"/>
    <col min="7" max="7" width="17.875" customWidth="1"/>
    <col min="8" max="8" width="24.5" customWidth="1"/>
    <col min="9" max="9" width="18.625" style="18" customWidth="1"/>
    <col min="10" max="10" width="22.375" style="18" customWidth="1"/>
    <col min="11" max="11" width="15" style="18" customWidth="1"/>
    <col min="12" max="12" width="13.625" style="18" bestFit="1" customWidth="1"/>
  </cols>
  <sheetData>
    <row r="1" spans="1:12" x14ac:dyDescent="0.25">
      <c r="A1" s="1742" t="s">
        <v>3</v>
      </c>
      <c r="B1" s="1742"/>
      <c r="C1" s="1742"/>
      <c r="D1" s="1742"/>
      <c r="E1" s="1742"/>
      <c r="F1" s="1742"/>
      <c r="G1" s="1742"/>
      <c r="H1" s="18"/>
    </row>
    <row r="2" spans="1:12" x14ac:dyDescent="0.25">
      <c r="B2" s="7" t="s">
        <v>276</v>
      </c>
      <c r="C2" s="807">
        <v>2026</v>
      </c>
      <c r="D2" s="2"/>
      <c r="E2" s="1"/>
      <c r="F2" s="85"/>
      <c r="G2" s="246" t="s">
        <v>363</v>
      </c>
      <c r="H2" s="19" t="s">
        <v>230</v>
      </c>
    </row>
    <row r="3" spans="1:12" x14ac:dyDescent="0.25">
      <c r="B3" s="7" t="str">
        <f>CONCATENATE("SMMLV ",$C$2)</f>
        <v>SMMLV 2026</v>
      </c>
      <c r="C3" s="815">
        <f>VLOOKUP(C2,INDICES!$K$35:$M$42,3,FALSE)</f>
        <v>1750905</v>
      </c>
      <c r="G3" s="246" t="s">
        <v>768</v>
      </c>
      <c r="H3" s="19" t="s">
        <v>229</v>
      </c>
    </row>
    <row r="4" spans="1:12" x14ac:dyDescent="0.25">
      <c r="B4" s="7" t="s">
        <v>15</v>
      </c>
      <c r="C4" s="814">
        <v>0.35</v>
      </c>
      <c r="G4" s="1"/>
      <c r="H4" s="1"/>
    </row>
    <row r="6" spans="1:12" ht="30" x14ac:dyDescent="0.25">
      <c r="A6" s="10" t="s">
        <v>4</v>
      </c>
      <c r="B6" s="11" t="s">
        <v>10</v>
      </c>
      <c r="C6" s="10" t="s">
        <v>9</v>
      </c>
      <c r="D6" s="12" t="s">
        <v>16</v>
      </c>
      <c r="E6" s="13" t="s">
        <v>15</v>
      </c>
      <c r="F6" s="14" t="s">
        <v>17</v>
      </c>
      <c r="G6" s="15" t="s">
        <v>5</v>
      </c>
      <c r="H6" s="15" t="s">
        <v>752</v>
      </c>
      <c r="J6" s="25"/>
    </row>
    <row r="7" spans="1:12" x14ac:dyDescent="0.25">
      <c r="A7" s="9"/>
      <c r="B7" s="1740" t="s">
        <v>0</v>
      </c>
      <c r="C7" s="1741"/>
      <c r="D7" s="1741"/>
      <c r="E7" s="1741"/>
      <c r="F7" s="1741"/>
      <c r="G7" s="1741"/>
      <c r="H7" s="1741"/>
    </row>
    <row r="8" spans="1:12" s="8" customFormat="1" ht="30" x14ac:dyDescent="0.25">
      <c r="A8" s="19">
        <v>1</v>
      </c>
      <c r="B8" s="83" t="s">
        <v>73</v>
      </c>
      <c r="C8" s="19" t="s">
        <v>28</v>
      </c>
      <c r="D8" s="17">
        <v>15101223.57704</v>
      </c>
      <c r="E8" s="82">
        <f t="shared" ref="E8:E20" si="0">IF(H8="CAPEX",$C$4,0)</f>
        <v>0.35</v>
      </c>
      <c r="F8" s="17">
        <f>D8*(1+E8)</f>
        <v>20386651.829004001</v>
      </c>
      <c r="G8" s="20">
        <f t="shared" ref="G8:G20" si="1">F8/$C$3</f>
        <v>11.64349398111491</v>
      </c>
      <c r="H8" s="20" t="s">
        <v>363</v>
      </c>
      <c r="J8" s="21"/>
      <c r="K8" s="23"/>
      <c r="L8" s="26"/>
    </row>
    <row r="9" spans="1:12" s="8" customFormat="1" ht="30" x14ac:dyDescent="0.25">
      <c r="A9" s="19">
        <v>2</v>
      </c>
      <c r="B9" s="83" t="s">
        <v>74</v>
      </c>
      <c r="C9" s="19" t="s">
        <v>28</v>
      </c>
      <c r="D9" s="17">
        <v>18733034.883246668</v>
      </c>
      <c r="E9" s="82">
        <f t="shared" si="0"/>
        <v>0.35</v>
      </c>
      <c r="F9" s="17">
        <f t="shared" ref="F9:F20" si="2">D9*(1+E9)</f>
        <v>25289597.092383005</v>
      </c>
      <c r="G9" s="20">
        <f t="shared" si="1"/>
        <v>14.443728867290346</v>
      </c>
      <c r="H9" s="20" t="s">
        <v>363</v>
      </c>
      <c r="I9" s="21"/>
      <c r="J9" s="21"/>
      <c r="K9" s="23"/>
      <c r="L9" s="26"/>
    </row>
    <row r="10" spans="1:12" s="8" customFormat="1" ht="45" x14ac:dyDescent="0.25">
      <c r="A10" s="19">
        <v>3</v>
      </c>
      <c r="B10" s="83" t="s">
        <v>36</v>
      </c>
      <c r="C10" s="19" t="s">
        <v>28</v>
      </c>
      <c r="D10" s="17">
        <v>40374580.883246668</v>
      </c>
      <c r="E10" s="82">
        <f t="shared" si="0"/>
        <v>0.35</v>
      </c>
      <c r="F10" s="17">
        <f t="shared" si="2"/>
        <v>54505684.192383006</v>
      </c>
      <c r="G10" s="20">
        <f t="shared" si="1"/>
        <v>31.130006592238303</v>
      </c>
      <c r="H10" s="20" t="s">
        <v>363</v>
      </c>
      <c r="I10" s="21"/>
      <c r="J10" s="21"/>
      <c r="K10" s="23"/>
      <c r="L10" s="26"/>
    </row>
    <row r="11" spans="1:12" s="8" customFormat="1" x14ac:dyDescent="0.25">
      <c r="A11" s="19">
        <v>4</v>
      </c>
      <c r="B11" s="83" t="s">
        <v>75</v>
      </c>
      <c r="C11" s="19" t="s">
        <v>28</v>
      </c>
      <c r="D11" s="17">
        <v>12706172.208333332</v>
      </c>
      <c r="E11" s="82">
        <f t="shared" si="0"/>
        <v>0.35</v>
      </c>
      <c r="F11" s="17">
        <f t="shared" si="2"/>
        <v>17153332.481249999</v>
      </c>
      <c r="G11" s="20">
        <f t="shared" si="1"/>
        <v>9.7968379102521261</v>
      </c>
      <c r="H11" s="20" t="s">
        <v>363</v>
      </c>
      <c r="I11" s="21"/>
      <c r="J11" s="21"/>
      <c r="K11" s="21"/>
      <c r="L11" s="21"/>
    </row>
    <row r="12" spans="1:12" s="8" customFormat="1" x14ac:dyDescent="0.25">
      <c r="A12" s="19">
        <v>5</v>
      </c>
      <c r="B12" s="83" t="s">
        <v>76</v>
      </c>
      <c r="C12" s="19" t="s">
        <v>28</v>
      </c>
      <c r="D12" s="17">
        <v>17602946.108333334</v>
      </c>
      <c r="E12" s="82">
        <f t="shared" si="0"/>
        <v>0.35</v>
      </c>
      <c r="F12" s="17">
        <f t="shared" si="2"/>
        <v>23763977.246250004</v>
      </c>
      <c r="G12" s="20">
        <f t="shared" si="1"/>
        <v>13.572396701277341</v>
      </c>
      <c r="H12" s="20" t="s">
        <v>363</v>
      </c>
      <c r="I12" s="21"/>
      <c r="J12" s="21"/>
      <c r="K12" s="24"/>
      <c r="L12" s="26"/>
    </row>
    <row r="13" spans="1:12" s="8" customFormat="1" x14ac:dyDescent="0.25">
      <c r="A13" s="19">
        <v>6</v>
      </c>
      <c r="B13" s="83" t="s">
        <v>37</v>
      </c>
      <c r="C13" s="19" t="s">
        <v>28</v>
      </c>
      <c r="D13" s="17">
        <v>27501184.708333336</v>
      </c>
      <c r="E13" s="82">
        <f t="shared" si="0"/>
        <v>0.35</v>
      </c>
      <c r="F13" s="17">
        <f t="shared" si="2"/>
        <v>37126599.356250003</v>
      </c>
      <c r="G13" s="20">
        <f t="shared" si="1"/>
        <v>21.204234013981342</v>
      </c>
      <c r="H13" s="20" t="s">
        <v>363</v>
      </c>
      <c r="I13" s="21"/>
      <c r="J13" s="21"/>
      <c r="K13" s="21"/>
      <c r="L13" s="21"/>
    </row>
    <row r="14" spans="1:12" s="8" customFormat="1" x14ac:dyDescent="0.25">
      <c r="A14" s="19">
        <v>7</v>
      </c>
      <c r="B14" s="83" t="s">
        <v>49</v>
      </c>
      <c r="C14" s="19" t="s">
        <v>28</v>
      </c>
      <c r="D14" s="17">
        <v>6360542.0708333328</v>
      </c>
      <c r="E14" s="82">
        <f t="shared" si="0"/>
        <v>0.35</v>
      </c>
      <c r="F14" s="17">
        <f t="shared" si="2"/>
        <v>8586731.7956249993</v>
      </c>
      <c r="G14" s="20">
        <f t="shared" si="1"/>
        <v>4.9041677279035696</v>
      </c>
      <c r="H14" s="20" t="s">
        <v>363</v>
      </c>
      <c r="I14" s="21"/>
      <c r="J14" s="21"/>
      <c r="K14" s="21"/>
      <c r="L14" s="21"/>
    </row>
    <row r="15" spans="1:12" s="8" customFormat="1" x14ac:dyDescent="0.25">
      <c r="A15" s="19">
        <v>8</v>
      </c>
      <c r="B15" s="83" t="s">
        <v>58</v>
      </c>
      <c r="C15" s="19" t="s">
        <v>28</v>
      </c>
      <c r="D15" s="17">
        <v>6639866.7887500003</v>
      </c>
      <c r="E15" s="82">
        <f t="shared" si="0"/>
        <v>0.35</v>
      </c>
      <c r="F15" s="17">
        <f t="shared" si="2"/>
        <v>8963820.1648125015</v>
      </c>
      <c r="G15" s="20">
        <f t="shared" si="1"/>
        <v>5.1195354201470105</v>
      </c>
      <c r="H15" s="20" t="s">
        <v>363</v>
      </c>
      <c r="I15" s="21"/>
      <c r="J15" s="21"/>
      <c r="K15" s="24"/>
      <c r="L15" s="21"/>
    </row>
    <row r="16" spans="1:12" s="8" customFormat="1" x14ac:dyDescent="0.25">
      <c r="A16" s="19">
        <v>9</v>
      </c>
      <c r="B16" s="83" t="s">
        <v>59</v>
      </c>
      <c r="C16" s="19" t="s">
        <v>28</v>
      </c>
      <c r="D16" s="17">
        <v>7105854.1287500001</v>
      </c>
      <c r="E16" s="82">
        <f t="shared" si="0"/>
        <v>0.35</v>
      </c>
      <c r="F16" s="17">
        <f>D16*(1+E16)</f>
        <v>9592903.0738125015</v>
      </c>
      <c r="G16" s="20">
        <f t="shared" si="1"/>
        <v>5.4788255638155707</v>
      </c>
      <c r="H16" s="20" t="s">
        <v>363</v>
      </c>
      <c r="I16" s="21"/>
      <c r="J16" s="21"/>
      <c r="K16" s="21"/>
      <c r="L16" s="21"/>
    </row>
    <row r="17" spans="1:12" s="8" customFormat="1" x14ac:dyDescent="0.25">
      <c r="A17" s="19">
        <v>10</v>
      </c>
      <c r="B17" s="83" t="s">
        <v>22</v>
      </c>
      <c r="C17" s="19" t="s">
        <v>28</v>
      </c>
      <c r="D17" s="17">
        <v>926988.96354166674</v>
      </c>
      <c r="E17" s="82">
        <f t="shared" si="0"/>
        <v>0</v>
      </c>
      <c r="F17" s="17">
        <f t="shared" si="2"/>
        <v>926988.96354166674</v>
      </c>
      <c r="G17" s="20">
        <f t="shared" si="1"/>
        <v>0.52943418605901904</v>
      </c>
      <c r="H17" s="20" t="s">
        <v>364</v>
      </c>
      <c r="I17" s="21"/>
      <c r="J17" s="21"/>
      <c r="K17" s="21"/>
      <c r="L17" s="21"/>
    </row>
    <row r="18" spans="1:12" s="8" customFormat="1" x14ac:dyDescent="0.25">
      <c r="A18" s="19">
        <v>11</v>
      </c>
      <c r="B18" s="83" t="s">
        <v>62</v>
      </c>
      <c r="C18" s="19" t="s">
        <v>28</v>
      </c>
      <c r="D18" s="17">
        <v>686375</v>
      </c>
      <c r="E18" s="82">
        <f t="shared" si="0"/>
        <v>0</v>
      </c>
      <c r="F18" s="17">
        <f t="shared" si="2"/>
        <v>686375</v>
      </c>
      <c r="G18" s="20">
        <f t="shared" si="1"/>
        <v>0.39201155973625068</v>
      </c>
      <c r="H18" s="20" t="s">
        <v>364</v>
      </c>
      <c r="I18" s="21"/>
      <c r="J18" s="21"/>
      <c r="K18" s="21"/>
      <c r="L18" s="21"/>
    </row>
    <row r="19" spans="1:12" s="8" customFormat="1" x14ac:dyDescent="0.25">
      <c r="A19" s="19">
        <v>12</v>
      </c>
      <c r="B19" s="83" t="s">
        <v>27</v>
      </c>
      <c r="C19" s="19" t="s">
        <v>28</v>
      </c>
      <c r="D19" s="17">
        <v>1553072.5559</v>
      </c>
      <c r="E19" s="82">
        <f t="shared" si="0"/>
        <v>0</v>
      </c>
      <c r="F19" s="17">
        <f t="shared" si="2"/>
        <v>1553072.5559</v>
      </c>
      <c r="G19" s="20">
        <f t="shared" si="1"/>
        <v>0.88701132037432073</v>
      </c>
      <c r="H19" s="20" t="s">
        <v>364</v>
      </c>
      <c r="I19" s="21"/>
      <c r="J19" s="21"/>
      <c r="K19" s="21"/>
      <c r="L19" s="21"/>
    </row>
    <row r="20" spans="1:12" s="8" customFormat="1" x14ac:dyDescent="0.25">
      <c r="A20" s="19">
        <v>13</v>
      </c>
      <c r="B20" s="83" t="s">
        <v>63</v>
      </c>
      <c r="C20" s="19" t="s">
        <v>28</v>
      </c>
      <c r="D20" s="17">
        <v>812875</v>
      </c>
      <c r="E20" s="82">
        <f t="shared" si="0"/>
        <v>0</v>
      </c>
      <c r="F20" s="17">
        <f t="shared" si="2"/>
        <v>812875</v>
      </c>
      <c r="G20" s="20">
        <f t="shared" si="1"/>
        <v>0.46425991130301186</v>
      </c>
      <c r="H20" s="20" t="s">
        <v>364</v>
      </c>
      <c r="I20" s="21"/>
      <c r="J20" s="21"/>
      <c r="K20" s="21"/>
      <c r="L20" s="21"/>
    </row>
    <row r="21" spans="1:12" s="8" customFormat="1" x14ac:dyDescent="0.25">
      <c r="A21" s="22"/>
      <c r="B21" s="1740" t="s">
        <v>38</v>
      </c>
      <c r="C21" s="1741"/>
      <c r="D21" s="1741"/>
      <c r="E21" s="1741"/>
      <c r="F21" s="1741"/>
      <c r="G21" s="1741"/>
      <c r="H21" s="1741"/>
      <c r="I21" s="21"/>
      <c r="J21" s="21"/>
      <c r="K21" s="21"/>
      <c r="L21" s="21"/>
    </row>
    <row r="22" spans="1:12" s="8" customFormat="1" ht="30" x14ac:dyDescent="0.25">
      <c r="A22" s="19">
        <v>14</v>
      </c>
      <c r="B22" s="83" t="s">
        <v>210</v>
      </c>
      <c r="C22" s="19" t="s">
        <v>28</v>
      </c>
      <c r="D22" s="17">
        <v>3169272.1</v>
      </c>
      <c r="E22" s="82">
        <f>IF(H22="CAPEX",$C$4,0)</f>
        <v>0.35</v>
      </c>
      <c r="F22" s="17">
        <f>D22*(1+E22)</f>
        <v>4278517.335</v>
      </c>
      <c r="G22" s="20">
        <f>F22/$C$3</f>
        <v>2.4436033565498985</v>
      </c>
      <c r="H22" s="20" t="s">
        <v>363</v>
      </c>
      <c r="I22" s="21"/>
      <c r="J22" s="21"/>
      <c r="K22" s="21"/>
      <c r="L22" s="21"/>
    </row>
    <row r="23" spans="1:12" s="8" customFormat="1" x14ac:dyDescent="0.25">
      <c r="A23" s="19">
        <v>15</v>
      </c>
      <c r="B23" s="83" t="s">
        <v>64</v>
      </c>
      <c r="C23" s="19" t="s">
        <v>28</v>
      </c>
      <c r="D23" s="17">
        <v>425165.79337299999</v>
      </c>
      <c r="E23" s="82">
        <f>IF(H23="CAPEX",$C$4,0)</f>
        <v>0.35</v>
      </c>
      <c r="F23" s="17">
        <f>D23*(1+E23)</f>
        <v>573973.82105355</v>
      </c>
      <c r="G23" s="20">
        <f>F23/$C$3</f>
        <v>0.32781551315094193</v>
      </c>
      <c r="H23" s="20" t="s">
        <v>363</v>
      </c>
      <c r="I23" s="21"/>
      <c r="J23" s="21"/>
      <c r="K23" s="21"/>
      <c r="L23" s="21"/>
    </row>
    <row r="24" spans="1:12" s="8" customFormat="1" x14ac:dyDescent="0.25">
      <c r="A24" s="19">
        <v>16</v>
      </c>
      <c r="B24" s="83" t="s">
        <v>39</v>
      </c>
      <c r="C24" s="19" t="s">
        <v>28</v>
      </c>
      <c r="D24" s="17">
        <v>1205292.5416666665</v>
      </c>
      <c r="E24" s="82">
        <f>IF(H24="CAPEX",$C$4,0)</f>
        <v>0</v>
      </c>
      <c r="F24" s="17">
        <f>D24*(1+E24)</f>
        <v>1205292.5416666665</v>
      </c>
      <c r="G24" s="20">
        <f>F24/$C$3</f>
        <v>0.68838260309192478</v>
      </c>
      <c r="H24" s="20" t="s">
        <v>364</v>
      </c>
      <c r="I24" s="21"/>
      <c r="J24" s="21"/>
      <c r="K24" s="21"/>
      <c r="L24" s="21"/>
    </row>
    <row r="25" spans="1:12" s="8" customFormat="1" x14ac:dyDescent="0.25">
      <c r="A25" s="19">
        <v>17</v>
      </c>
      <c r="B25" s="83" t="s">
        <v>40</v>
      </c>
      <c r="C25" s="19" t="s">
        <v>28</v>
      </c>
      <c r="D25" s="17">
        <v>1575927.9916666667</v>
      </c>
      <c r="E25" s="82">
        <f>IF(H25="CAPEX",$C$4,0)</f>
        <v>0</v>
      </c>
      <c r="F25" s="17">
        <f>D25*(1+E25)</f>
        <v>1575927.9916666667</v>
      </c>
      <c r="G25" s="20">
        <f>F25/$C$3</f>
        <v>0.90006481886034173</v>
      </c>
      <c r="H25" s="20" t="s">
        <v>364</v>
      </c>
      <c r="I25" s="21"/>
      <c r="J25" s="21"/>
      <c r="K25" s="21"/>
      <c r="L25" s="21"/>
    </row>
    <row r="26" spans="1:12" s="8" customFormat="1" x14ac:dyDescent="0.25">
      <c r="A26" s="19">
        <v>18</v>
      </c>
      <c r="B26" s="83" t="s">
        <v>41</v>
      </c>
      <c r="C26" s="19" t="s">
        <v>28</v>
      </c>
      <c r="D26" s="17">
        <v>4649005.6624999996</v>
      </c>
      <c r="E26" s="82">
        <f>IF(H26="CAPEX",$C$4,0)</f>
        <v>0</v>
      </c>
      <c r="F26" s="17">
        <f>D26*(1+E26)</f>
        <v>4649005.6624999996</v>
      </c>
      <c r="G26" s="20">
        <f>F26/$C$3</f>
        <v>2.6552015457720435</v>
      </c>
      <c r="H26" s="20" t="s">
        <v>364</v>
      </c>
      <c r="I26" s="21"/>
      <c r="J26" s="21"/>
      <c r="K26" s="21"/>
      <c r="L26" s="21"/>
    </row>
    <row r="27" spans="1:12" s="8" customFormat="1" x14ac:dyDescent="0.25">
      <c r="A27" s="22"/>
      <c r="B27" s="1740" t="s">
        <v>42</v>
      </c>
      <c r="C27" s="1741"/>
      <c r="D27" s="1741"/>
      <c r="E27" s="1741"/>
      <c r="F27" s="1741"/>
      <c r="G27" s="1741"/>
      <c r="H27" s="1741"/>
      <c r="I27" s="21"/>
      <c r="J27" s="21"/>
      <c r="K27" s="21"/>
      <c r="L27" s="21"/>
    </row>
    <row r="28" spans="1:12" s="8" customFormat="1" ht="30" x14ac:dyDescent="0.25">
      <c r="A28" s="19">
        <v>19</v>
      </c>
      <c r="B28" s="83" t="s">
        <v>1041</v>
      </c>
      <c r="C28" s="19" t="s">
        <v>28</v>
      </c>
      <c r="D28" s="17">
        <v>34590775.972000003</v>
      </c>
      <c r="E28" s="82">
        <f t="shared" ref="E28:E37" si="3">IF(H28="CAPEX",$C$4,0)</f>
        <v>0.35</v>
      </c>
      <c r="F28" s="17">
        <f t="shared" ref="F28:F34" si="4">D28*(1+E28)</f>
        <v>46697547.56220001</v>
      </c>
      <c r="G28" s="20">
        <f t="shared" ref="G28:G34" si="5">F28/$C$3</f>
        <v>26.670520423552396</v>
      </c>
      <c r="H28" s="20" t="s">
        <v>363</v>
      </c>
      <c r="I28" s="21"/>
      <c r="J28" s="21"/>
      <c r="K28" s="21"/>
      <c r="L28" s="21"/>
    </row>
    <row r="29" spans="1:12" s="8" customFormat="1" ht="30" x14ac:dyDescent="0.25">
      <c r="A29" s="19">
        <v>20</v>
      </c>
      <c r="B29" s="83" t="s">
        <v>1042</v>
      </c>
      <c r="C29" s="19" t="s">
        <v>28</v>
      </c>
      <c r="D29" s="17">
        <v>95022647.067866668</v>
      </c>
      <c r="E29" s="82">
        <f t="shared" si="3"/>
        <v>0.35</v>
      </c>
      <c r="F29" s="17">
        <f t="shared" si="4"/>
        <v>128280573.54162002</v>
      </c>
      <c r="G29" s="20">
        <f t="shared" si="5"/>
        <v>73.265296256290327</v>
      </c>
      <c r="H29" s="20" t="s">
        <v>363</v>
      </c>
      <c r="I29" s="21"/>
      <c r="J29" s="21"/>
      <c r="K29" s="21"/>
      <c r="L29" s="21"/>
    </row>
    <row r="30" spans="1:12" s="8" customFormat="1" ht="30" x14ac:dyDescent="0.25">
      <c r="A30" s="19">
        <v>21</v>
      </c>
      <c r="B30" s="83" t="s">
        <v>753</v>
      </c>
      <c r="C30" s="19" t="s">
        <v>28</v>
      </c>
      <c r="D30" s="17">
        <v>1411656.3</v>
      </c>
      <c r="E30" s="82">
        <f t="shared" si="3"/>
        <v>0</v>
      </c>
      <c r="F30" s="17">
        <f t="shared" si="4"/>
        <v>1411656.3</v>
      </c>
      <c r="G30" s="20">
        <f t="shared" si="5"/>
        <v>0.80624379963504589</v>
      </c>
      <c r="H30" s="20" t="s">
        <v>364</v>
      </c>
      <c r="I30" s="21"/>
      <c r="J30" s="21"/>
      <c r="K30" s="21"/>
      <c r="L30" s="21"/>
    </row>
    <row r="31" spans="1:12" s="8" customFormat="1" x14ac:dyDescent="0.25">
      <c r="A31" s="19">
        <v>22</v>
      </c>
      <c r="B31" s="83" t="s">
        <v>43</v>
      </c>
      <c r="C31" s="19" t="s">
        <v>28</v>
      </c>
      <c r="D31" s="17">
        <v>30273368.208333332</v>
      </c>
      <c r="E31" s="82">
        <f t="shared" si="3"/>
        <v>0.35</v>
      </c>
      <c r="F31" s="17">
        <f t="shared" si="4"/>
        <v>40869047.081250004</v>
      </c>
      <c r="G31" s="20">
        <f t="shared" si="5"/>
        <v>23.34167021126218</v>
      </c>
      <c r="H31" s="20" t="s">
        <v>363</v>
      </c>
      <c r="I31" s="21"/>
      <c r="J31" s="21"/>
      <c r="K31" s="21"/>
      <c r="L31" s="21"/>
    </row>
    <row r="32" spans="1:12" s="8" customFormat="1" ht="30" x14ac:dyDescent="0.25">
      <c r="A32" s="19">
        <v>23</v>
      </c>
      <c r="B32" s="83" t="s">
        <v>44</v>
      </c>
      <c r="C32" s="19" t="s">
        <v>28</v>
      </c>
      <c r="D32" s="17">
        <v>2229625</v>
      </c>
      <c r="E32" s="82">
        <f t="shared" si="3"/>
        <v>0.35</v>
      </c>
      <c r="F32" s="17">
        <f t="shared" si="4"/>
        <v>3009993.75</v>
      </c>
      <c r="G32" s="20">
        <f t="shared" si="5"/>
        <v>1.7191074044565524</v>
      </c>
      <c r="H32" s="20" t="s">
        <v>363</v>
      </c>
      <c r="I32" s="21"/>
      <c r="J32" s="21"/>
      <c r="K32" s="21"/>
      <c r="L32" s="21"/>
    </row>
    <row r="33" spans="1:12" s="8" customFormat="1" ht="30" x14ac:dyDescent="0.25">
      <c r="A33" s="19">
        <v>24</v>
      </c>
      <c r="B33" s="83" t="s">
        <v>45</v>
      </c>
      <c r="C33" s="19" t="s">
        <v>28</v>
      </c>
      <c r="D33" s="17">
        <v>6662943.385416666</v>
      </c>
      <c r="E33" s="82">
        <f t="shared" si="3"/>
        <v>0.35</v>
      </c>
      <c r="F33" s="17">
        <f t="shared" si="4"/>
        <v>8994973.5703125</v>
      </c>
      <c r="G33" s="20">
        <f t="shared" si="5"/>
        <v>5.1373281647562257</v>
      </c>
      <c r="H33" s="20" t="s">
        <v>363</v>
      </c>
      <c r="I33" s="21"/>
      <c r="J33" s="21"/>
      <c r="K33" s="21"/>
      <c r="L33" s="21"/>
    </row>
    <row r="34" spans="1:12" s="8" customFormat="1" x14ac:dyDescent="0.25">
      <c r="A34" s="19">
        <v>25</v>
      </c>
      <c r="B34" s="83" t="s">
        <v>771</v>
      </c>
      <c r="C34" s="19" t="s">
        <v>28</v>
      </c>
      <c r="D34" s="17">
        <v>6713500.1220833333</v>
      </c>
      <c r="E34" s="82">
        <f t="shared" si="3"/>
        <v>0.35</v>
      </c>
      <c r="F34" s="17">
        <f t="shared" si="4"/>
        <v>9063225.1648124997</v>
      </c>
      <c r="G34" s="20">
        <f t="shared" si="5"/>
        <v>5.1763089172813483</v>
      </c>
      <c r="H34" s="20" t="s">
        <v>363</v>
      </c>
      <c r="I34" s="21"/>
      <c r="J34" s="21"/>
      <c r="K34" s="21"/>
      <c r="L34" s="21"/>
    </row>
    <row r="35" spans="1:12" s="8" customFormat="1" x14ac:dyDescent="0.25">
      <c r="A35" s="19">
        <v>26</v>
      </c>
      <c r="B35" s="83" t="s">
        <v>772</v>
      </c>
      <c r="C35" s="19" t="s">
        <v>28</v>
      </c>
      <c r="D35" s="17">
        <v>926988.96354166674</v>
      </c>
      <c r="E35" s="82">
        <v>0</v>
      </c>
      <c r="F35" s="17">
        <v>720555.24249999993</v>
      </c>
      <c r="G35" s="20">
        <v>0.79310360132786506</v>
      </c>
      <c r="H35" s="20" t="s">
        <v>364</v>
      </c>
      <c r="I35" s="21"/>
      <c r="J35" s="21"/>
      <c r="K35" s="21"/>
      <c r="L35" s="21"/>
    </row>
    <row r="36" spans="1:12" s="8" customFormat="1" x14ac:dyDescent="0.25">
      <c r="A36" s="19">
        <v>27</v>
      </c>
      <c r="B36" s="83" t="s">
        <v>46</v>
      </c>
      <c r="C36" s="19" t="s">
        <v>72</v>
      </c>
      <c r="D36" s="17">
        <v>5304.1999549055636</v>
      </c>
      <c r="E36" s="82">
        <f t="shared" si="3"/>
        <v>0</v>
      </c>
      <c r="F36" s="17">
        <f>D36*(1+E36)</f>
        <v>5304.1999549055636</v>
      </c>
      <c r="G36" s="20">
        <f>F36/$C$3</f>
        <v>3.0294047677661344E-3</v>
      </c>
      <c r="H36" s="20" t="s">
        <v>364</v>
      </c>
      <c r="I36" s="21"/>
      <c r="J36" s="21"/>
      <c r="K36" s="21"/>
      <c r="L36" s="21"/>
    </row>
    <row r="37" spans="1:12" s="8" customFormat="1" x14ac:dyDescent="0.25">
      <c r="A37" s="19">
        <v>30</v>
      </c>
      <c r="B37" s="83" t="s">
        <v>47</v>
      </c>
      <c r="C37" s="19" t="s">
        <v>72</v>
      </c>
      <c r="D37" s="17">
        <v>3004.7361666666666</v>
      </c>
      <c r="E37" s="82">
        <f t="shared" si="3"/>
        <v>0</v>
      </c>
      <c r="F37" s="17">
        <f>D37*(1+E37)</f>
        <v>3004.7361666666666</v>
      </c>
      <c r="G37" s="20">
        <f>F37/$C$3</f>
        <v>1.7161046239896891E-3</v>
      </c>
      <c r="H37" s="20" t="s">
        <v>364</v>
      </c>
      <c r="I37" s="21"/>
      <c r="J37" s="21"/>
      <c r="K37" s="21"/>
      <c r="L37" s="21"/>
    </row>
    <row r="38" spans="1:12" s="8" customFormat="1" x14ac:dyDescent="0.25">
      <c r="A38" s="22"/>
      <c r="B38" s="1740" t="s">
        <v>48</v>
      </c>
      <c r="C38" s="1741"/>
      <c r="D38" s="1741"/>
      <c r="E38" s="1741"/>
      <c r="F38" s="1741"/>
      <c r="G38" s="1741"/>
      <c r="H38" s="1741"/>
      <c r="I38" s="21"/>
      <c r="J38" s="21"/>
      <c r="K38" s="21"/>
      <c r="L38" s="21"/>
    </row>
    <row r="39" spans="1:12" s="8" customFormat="1" ht="25.5" customHeight="1" x14ac:dyDescent="0.25">
      <c r="A39" s="19">
        <v>31</v>
      </c>
      <c r="B39" s="83" t="s">
        <v>211</v>
      </c>
      <c r="C39" s="19" t="s">
        <v>726</v>
      </c>
      <c r="D39" s="17">
        <v>34354.804569620253</v>
      </c>
      <c r="E39" s="82">
        <f>IF(H39="CAPEX",$C$4,0)</f>
        <v>0.35</v>
      </c>
      <c r="F39" s="17">
        <f>D39*(1+E39)</f>
        <v>46378.986168987343</v>
      </c>
      <c r="G39" s="20">
        <f>F39/$C$3</f>
        <v>2.6488579431201205E-2</v>
      </c>
      <c r="H39" s="20" t="s">
        <v>363</v>
      </c>
      <c r="I39" s="1707"/>
      <c r="J39" s="23"/>
      <c r="K39" s="21"/>
      <c r="L39" s="21"/>
    </row>
    <row r="40" spans="1:12" s="8" customFormat="1" x14ac:dyDescent="0.25">
      <c r="A40" s="19">
        <v>32</v>
      </c>
      <c r="B40" s="83" t="s">
        <v>176</v>
      </c>
      <c r="C40" s="19" t="s">
        <v>28</v>
      </c>
      <c r="D40" s="17">
        <v>217916.66666666666</v>
      </c>
      <c r="E40" s="82">
        <f>IF(H40="CAPEX",$C$4,0)</f>
        <v>0</v>
      </c>
      <c r="F40" s="17">
        <f>D40*(1+E40)</f>
        <v>217916.66666666666</v>
      </c>
      <c r="G40" s="20">
        <f>F40/$C$3</f>
        <v>0.12445944621019796</v>
      </c>
      <c r="H40" s="20" t="s">
        <v>364</v>
      </c>
      <c r="I40" s="23"/>
      <c r="J40" s="23"/>
      <c r="K40" s="21"/>
      <c r="L40" s="21"/>
    </row>
    <row r="41" spans="1:12" s="8" customFormat="1" x14ac:dyDescent="0.25">
      <c r="A41" s="22"/>
      <c r="B41" s="1740" t="s">
        <v>50</v>
      </c>
      <c r="C41" s="1741"/>
      <c r="D41" s="1741"/>
      <c r="E41" s="1741"/>
      <c r="F41" s="1741"/>
      <c r="G41" s="1741"/>
      <c r="H41" s="1741"/>
      <c r="I41" s="21"/>
      <c r="J41" s="23"/>
      <c r="K41" s="21"/>
      <c r="L41" s="21"/>
    </row>
    <row r="42" spans="1:12" s="8" customFormat="1" x14ac:dyDescent="0.25">
      <c r="A42" s="19">
        <v>33</v>
      </c>
      <c r="B42" s="83" t="s">
        <v>918</v>
      </c>
      <c r="C42" s="19" t="s">
        <v>28</v>
      </c>
      <c r="D42" s="1708">
        <v>106048293</v>
      </c>
      <c r="E42" s="82">
        <f>IF(H42="CAPEX",$C$4,0)</f>
        <v>0</v>
      </c>
      <c r="F42" s="17">
        <f>D42*(1+E42)</f>
        <v>106048293</v>
      </c>
      <c r="G42" s="20">
        <f>F42/$C$3</f>
        <v>60.567702416750194</v>
      </c>
      <c r="H42" s="20" t="s">
        <v>364</v>
      </c>
      <c r="I42" s="21"/>
      <c r="J42" s="21"/>
      <c r="K42" s="21"/>
      <c r="L42" s="21"/>
    </row>
    <row r="43" spans="1:12" s="8" customFormat="1" x14ac:dyDescent="0.25">
      <c r="A43" s="19">
        <v>34</v>
      </c>
      <c r="B43" s="83" t="s">
        <v>761</v>
      </c>
      <c r="C43" s="19" t="s">
        <v>52</v>
      </c>
      <c r="D43" s="1708">
        <v>7532235.8999999994</v>
      </c>
      <c r="E43" s="82">
        <f>IF(H43="CAPEX",$C$4,0)</f>
        <v>0.35</v>
      </c>
      <c r="F43" s="17">
        <f>D43*(1+E43)</f>
        <v>10168518.465</v>
      </c>
      <c r="G43" s="20">
        <f>F43/$C$3</f>
        <v>5.8075786321930654</v>
      </c>
      <c r="H43" s="20" t="s">
        <v>363</v>
      </c>
      <c r="I43" s="21"/>
      <c r="J43" s="21"/>
      <c r="K43" s="21"/>
      <c r="L43" s="21"/>
    </row>
    <row r="44" spans="1:12" s="8" customFormat="1" x14ac:dyDescent="0.25">
      <c r="A44" s="19">
        <v>35</v>
      </c>
      <c r="B44" s="83" t="s">
        <v>760</v>
      </c>
      <c r="C44" s="19" t="s">
        <v>52</v>
      </c>
      <c r="D44" s="1708">
        <v>1883058.9749999999</v>
      </c>
      <c r="E44" s="82">
        <f>IF(H44="CAPEX",$C$4,0)</f>
        <v>0.35</v>
      </c>
      <c r="F44" s="17">
        <f>D44*(1+E44)</f>
        <v>2542129.61625</v>
      </c>
      <c r="G44" s="20">
        <f>F44/$C$3</f>
        <v>1.4518946580482663</v>
      </c>
      <c r="H44" s="20" t="s">
        <v>363</v>
      </c>
      <c r="I44" s="21"/>
      <c r="J44" s="21"/>
      <c r="K44" s="21"/>
      <c r="L44" s="21"/>
    </row>
    <row r="45" spans="1:12" s="8" customFormat="1" ht="30" x14ac:dyDescent="0.25">
      <c r="A45" s="19">
        <v>36</v>
      </c>
      <c r="B45" s="83" t="s">
        <v>51</v>
      </c>
      <c r="C45" s="19" t="s">
        <v>52</v>
      </c>
      <c r="D45" s="1708">
        <v>23876037.850000001</v>
      </c>
      <c r="E45" s="82">
        <f>IF(H45="CAPEX",$C$4,0)</f>
        <v>0</v>
      </c>
      <c r="F45" s="17">
        <f>D45*(1+E45)</f>
        <v>23876037.850000001</v>
      </c>
      <c r="G45" s="20">
        <f>F45/$C$3</f>
        <v>13.636398234056104</v>
      </c>
      <c r="H45" s="20" t="s">
        <v>364</v>
      </c>
      <c r="I45" s="21"/>
      <c r="J45" s="21"/>
      <c r="K45" s="21"/>
      <c r="L45" s="21"/>
    </row>
    <row r="46" spans="1:12" s="8" customFormat="1" x14ac:dyDescent="0.25">
      <c r="A46" s="22"/>
      <c r="B46" s="1740" t="s">
        <v>53</v>
      </c>
      <c r="C46" s="1741"/>
      <c r="D46" s="1741"/>
      <c r="E46" s="1741"/>
      <c r="F46" s="1741"/>
      <c r="G46" s="1741"/>
      <c r="H46" s="1741"/>
      <c r="I46" s="21"/>
      <c r="J46" s="21"/>
      <c r="K46" s="21"/>
      <c r="L46" s="21"/>
    </row>
    <row r="47" spans="1:12" s="8" customFormat="1" ht="14.85" customHeight="1" x14ac:dyDescent="0.25">
      <c r="A47" s="19">
        <v>37</v>
      </c>
      <c r="B47" s="83" t="s">
        <v>1006</v>
      </c>
      <c r="C47" s="19" t="s">
        <v>72</v>
      </c>
      <c r="D47" s="1424">
        <v>2073.5722022</v>
      </c>
      <c r="E47" s="82">
        <f t="shared" ref="E47:E54" si="6">IF(H47="CAPEX",$C$4,0)</f>
        <v>0</v>
      </c>
      <c r="F47" s="17">
        <f>D47*(1+E47)</f>
        <v>2073.5722022</v>
      </c>
      <c r="G47" s="20">
        <f t="shared" ref="G47:G54" si="7">F47/$C$3</f>
        <v>1.1842859562340617E-3</v>
      </c>
      <c r="H47" s="20" t="s">
        <v>364</v>
      </c>
      <c r="I47" s="23"/>
      <c r="J47" s="23"/>
      <c r="K47" s="957"/>
      <c r="L47" s="21"/>
    </row>
    <row r="48" spans="1:12" s="1422" customFormat="1" ht="14.85" hidden="1" customHeight="1" x14ac:dyDescent="0.25">
      <c r="A48" s="1416"/>
      <c r="B48" s="1417" t="s">
        <v>983</v>
      </c>
      <c r="C48" s="1416" t="s">
        <v>28</v>
      </c>
      <c r="D48" s="1418"/>
      <c r="E48" s="1419">
        <f>IF(H48="CAPEX",$C$4,0)</f>
        <v>0</v>
      </c>
      <c r="F48" s="1418">
        <f>D48*(1+E48)</f>
        <v>0</v>
      </c>
      <c r="G48" s="1420">
        <f t="shared" si="7"/>
        <v>0</v>
      </c>
      <c r="H48" s="1420" t="s">
        <v>364</v>
      </c>
      <c r="I48" s="1423"/>
      <c r="J48" s="1423"/>
      <c r="K48" s="1425"/>
      <c r="L48" s="1421"/>
    </row>
    <row r="49" spans="1:12" s="8" customFormat="1" ht="30" x14ac:dyDescent="0.25">
      <c r="A49" s="19" t="s">
        <v>1278</v>
      </c>
      <c r="B49" s="83" t="s">
        <v>56</v>
      </c>
      <c r="C49" s="19" t="s">
        <v>28</v>
      </c>
      <c r="D49" s="17">
        <v>1360398.5239642223</v>
      </c>
      <c r="E49" s="82">
        <f t="shared" si="6"/>
        <v>0.35</v>
      </c>
      <c r="F49" s="17">
        <f t="shared" ref="F49:F54" si="8">D49*(1+E49)</f>
        <v>1836538.0073517002</v>
      </c>
      <c r="G49" s="20">
        <f t="shared" si="7"/>
        <v>1.0489078547103927</v>
      </c>
      <c r="H49" s="20" t="s">
        <v>363</v>
      </c>
      <c r="I49" s="21"/>
      <c r="J49" s="21"/>
      <c r="K49" s="21"/>
      <c r="L49" s="21"/>
    </row>
    <row r="50" spans="1:12" s="8" customFormat="1" ht="30" x14ac:dyDescent="0.25">
      <c r="A50" s="19" t="s">
        <v>1279</v>
      </c>
      <c r="B50" s="83" t="s">
        <v>57</v>
      </c>
      <c r="C50" s="19" t="s">
        <v>28</v>
      </c>
      <c r="D50" s="17">
        <v>4538972.6930466667</v>
      </c>
      <c r="E50" s="82">
        <f t="shared" si="6"/>
        <v>0.35</v>
      </c>
      <c r="F50" s="17">
        <f t="shared" si="8"/>
        <v>6127613.135613</v>
      </c>
      <c r="G50" s="20">
        <f t="shared" si="7"/>
        <v>3.499683384085944</v>
      </c>
      <c r="H50" s="20" t="s">
        <v>363</v>
      </c>
      <c r="I50" s="21"/>
      <c r="J50" s="21"/>
      <c r="K50" s="21"/>
      <c r="L50" s="21"/>
    </row>
    <row r="51" spans="1:12" s="8" customFormat="1" ht="30" x14ac:dyDescent="0.25">
      <c r="A51" s="19">
        <v>44</v>
      </c>
      <c r="B51" s="83" t="s">
        <v>55</v>
      </c>
      <c r="C51" s="19" t="s">
        <v>28</v>
      </c>
      <c r="D51" s="17">
        <v>856044.81900666677</v>
      </c>
      <c r="E51" s="82">
        <f t="shared" si="6"/>
        <v>0.35</v>
      </c>
      <c r="F51" s="17">
        <f t="shared" si="8"/>
        <v>1155660.5056590002</v>
      </c>
      <c r="G51" s="20">
        <f t="shared" si="7"/>
        <v>0.66003609885116565</v>
      </c>
      <c r="H51" s="20" t="s">
        <v>363</v>
      </c>
      <c r="I51" s="21"/>
      <c r="J51" s="21"/>
      <c r="K51" s="21"/>
      <c r="L51" s="21"/>
    </row>
    <row r="52" spans="1:12" s="8" customFormat="1" ht="30" x14ac:dyDescent="0.25">
      <c r="A52" s="19">
        <v>45</v>
      </c>
      <c r="B52" s="83" t="s">
        <v>54</v>
      </c>
      <c r="C52" s="19" t="s">
        <v>28</v>
      </c>
      <c r="D52" s="17">
        <v>24566853.597009331</v>
      </c>
      <c r="E52" s="82">
        <f t="shared" si="6"/>
        <v>0.35</v>
      </c>
      <c r="F52" s="17">
        <f t="shared" si="8"/>
        <v>33165252.355962601</v>
      </c>
      <c r="G52" s="20">
        <f t="shared" si="7"/>
        <v>18.941777170070679</v>
      </c>
      <c r="H52" s="20" t="s">
        <v>363</v>
      </c>
      <c r="I52" s="21"/>
      <c r="J52" s="21"/>
      <c r="K52" s="21"/>
      <c r="L52" s="21"/>
    </row>
    <row r="53" spans="1:12" s="8" customFormat="1" x14ac:dyDescent="0.25">
      <c r="A53" s="19">
        <v>46</v>
      </c>
      <c r="B53" s="83" t="s">
        <v>61</v>
      </c>
      <c r="C53" s="19" t="s">
        <v>28</v>
      </c>
      <c r="D53" s="17">
        <v>5894542.96</v>
      </c>
      <c r="E53" s="82">
        <f t="shared" si="6"/>
        <v>0.35</v>
      </c>
      <c r="F53" s="17">
        <f t="shared" si="8"/>
        <v>7957632.9960000003</v>
      </c>
      <c r="G53" s="20">
        <f t="shared" si="7"/>
        <v>4.5448685085712821</v>
      </c>
      <c r="H53" s="20" t="s">
        <v>363</v>
      </c>
      <c r="I53" s="21"/>
      <c r="J53" s="21"/>
      <c r="K53" s="21"/>
      <c r="L53" s="21"/>
    </row>
    <row r="54" spans="1:12" s="8" customFormat="1" ht="18.600000000000001" customHeight="1" x14ac:dyDescent="0.25">
      <c r="A54" s="19">
        <v>47</v>
      </c>
      <c r="B54" s="83" t="s">
        <v>60</v>
      </c>
      <c r="C54" s="19" t="s">
        <v>28</v>
      </c>
      <c r="D54" s="17">
        <v>142066.91666666666</v>
      </c>
      <c r="E54" s="82">
        <f t="shared" si="6"/>
        <v>0</v>
      </c>
      <c r="F54" s="17">
        <f t="shared" si="8"/>
        <v>142066.91666666666</v>
      </c>
      <c r="G54" s="20">
        <f t="shared" si="7"/>
        <v>8.1139134714143066E-2</v>
      </c>
      <c r="H54" s="20" t="s">
        <v>364</v>
      </c>
      <c r="I54" s="21"/>
      <c r="J54" s="21"/>
      <c r="K54" s="21"/>
      <c r="L54" s="21"/>
    </row>
    <row r="55" spans="1:12" x14ac:dyDescent="0.25">
      <c r="A55" s="9"/>
      <c r="B55" s="1740" t="s">
        <v>65</v>
      </c>
      <c r="C55" s="1741"/>
      <c r="D55" s="1741"/>
      <c r="E55" s="1741"/>
      <c r="F55" s="1741"/>
      <c r="G55" s="1741"/>
      <c r="H55" s="1741"/>
    </row>
    <row r="56" spans="1:12" s="8" customFormat="1" ht="30" x14ac:dyDescent="0.25">
      <c r="A56" s="19">
        <v>48</v>
      </c>
      <c r="B56" s="83" t="s">
        <v>766</v>
      </c>
      <c r="C56" s="19" t="s">
        <v>28</v>
      </c>
      <c r="D56" s="17">
        <v>943782.53179980954</v>
      </c>
      <c r="E56" s="82">
        <f>IF(H56="CAPEX",$C$4,0)</f>
        <v>0.35</v>
      </c>
      <c r="F56" s="17">
        <f>D56*(1+E56)</f>
        <v>1274106.417929743</v>
      </c>
      <c r="G56" s="20">
        <f>F56/$C$3</f>
        <v>0.72768449340754804</v>
      </c>
      <c r="H56" s="20" t="s">
        <v>363</v>
      </c>
      <c r="I56" s="21"/>
      <c r="J56" s="21"/>
      <c r="K56" s="21"/>
      <c r="L56" s="21"/>
    </row>
    <row r="57" spans="1:12" s="8" customFormat="1" ht="48" customHeight="1" x14ac:dyDescent="0.25">
      <c r="A57" s="19" t="s">
        <v>1280</v>
      </c>
      <c r="B57" s="83" t="s">
        <v>69</v>
      </c>
      <c r="C57" s="19" t="s">
        <v>72</v>
      </c>
      <c r="D57" s="17">
        <v>1081983.9794111112</v>
      </c>
      <c r="E57" s="82">
        <f>IF(H57="CAPEX",$C$4,0)</f>
        <v>0.35</v>
      </c>
      <c r="F57" s="17">
        <f>D57*(1+E57)</f>
        <v>1460678.3722050001</v>
      </c>
      <c r="G57" s="20">
        <f>F57/$C$3</f>
        <v>0.83424193328878504</v>
      </c>
      <c r="H57" s="20" t="s">
        <v>363</v>
      </c>
      <c r="I57" s="80"/>
      <c r="J57" s="23"/>
      <c r="K57" s="21"/>
      <c r="L57" s="21"/>
    </row>
    <row r="58" spans="1:12" s="8" customFormat="1" ht="48" customHeight="1" x14ac:dyDescent="0.25">
      <c r="A58" s="19" t="s">
        <v>1281</v>
      </c>
      <c r="B58" s="83" t="s">
        <v>70</v>
      </c>
      <c r="C58" s="19" t="s">
        <v>72</v>
      </c>
      <c r="D58" s="17">
        <v>1493912.1583000002</v>
      </c>
      <c r="E58" s="82">
        <f>IF(H58="CAPEX",$C$4,0)</f>
        <v>0.35</v>
      </c>
      <c r="F58" s="17">
        <f>D58*(1+E58)</f>
        <v>2016781.4137050004</v>
      </c>
      <c r="G58" s="20">
        <f>F58/$C$3</f>
        <v>1.1518508506772214</v>
      </c>
      <c r="H58" s="20" t="s">
        <v>363</v>
      </c>
      <c r="I58" s="21"/>
      <c r="J58" s="21"/>
      <c r="K58" s="21"/>
      <c r="L58" s="21"/>
    </row>
    <row r="59" spans="1:12" s="8" customFormat="1" ht="30" x14ac:dyDescent="0.25">
      <c r="A59" s="19">
        <v>54</v>
      </c>
      <c r="B59" s="83" t="s">
        <v>71</v>
      </c>
      <c r="C59" s="19" t="s">
        <v>72</v>
      </c>
      <c r="D59" s="17">
        <v>2415813.0214666668</v>
      </c>
      <c r="E59" s="82">
        <f>IF(H59="CAPEX",$C$4,0)</f>
        <v>0.35</v>
      </c>
      <c r="F59" s="17">
        <f>D59*(1+E59)</f>
        <v>3261347.5789800002</v>
      </c>
      <c r="G59" s="20">
        <f>F59/$C$3</f>
        <v>1.8626639246446839</v>
      </c>
      <c r="H59" s="20" t="s">
        <v>363</v>
      </c>
      <c r="I59" s="21"/>
      <c r="J59" s="21"/>
      <c r="K59" s="21"/>
      <c r="L59" s="21"/>
    </row>
    <row r="60" spans="1:12" s="8" customFormat="1" x14ac:dyDescent="0.25">
      <c r="A60" s="22"/>
      <c r="B60" s="1740" t="s">
        <v>216</v>
      </c>
      <c r="C60" s="1741"/>
      <c r="D60" s="1741"/>
      <c r="E60" s="1741"/>
      <c r="F60" s="1741"/>
      <c r="G60" s="1741"/>
      <c r="H60" s="1741"/>
      <c r="I60" s="21"/>
      <c r="J60" s="21"/>
      <c r="K60" s="21"/>
      <c r="L60" s="21"/>
    </row>
    <row r="61" spans="1:12" s="8" customFormat="1" ht="36.75" customHeight="1" x14ac:dyDescent="0.25">
      <c r="A61" s="19">
        <v>55</v>
      </c>
      <c r="B61" s="83" t="s">
        <v>217</v>
      </c>
      <c r="C61" s="19" t="s">
        <v>786</v>
      </c>
      <c r="D61" s="17">
        <v>1578292.5035947715</v>
      </c>
      <c r="E61" s="82">
        <f>IF(H61="CAPEX",$C$4,0)</f>
        <v>0.35</v>
      </c>
      <c r="F61" s="17">
        <f>D61*(1+E61)</f>
        <v>2130694.8798529417</v>
      </c>
      <c r="G61" s="20">
        <f>F61/$C$3</f>
        <v>1.2169106147123583</v>
      </c>
      <c r="H61" s="20" t="s">
        <v>363</v>
      </c>
      <c r="I61" s="21"/>
      <c r="J61" s="21"/>
      <c r="K61" s="957"/>
      <c r="L61" s="957"/>
    </row>
    <row r="62" spans="1:12" s="8" customFormat="1" ht="15.75" customHeight="1" x14ac:dyDescent="0.25">
      <c r="A62" s="22"/>
      <c r="B62" s="1740" t="s">
        <v>787</v>
      </c>
      <c r="C62" s="1741"/>
      <c r="D62" s="1741"/>
      <c r="E62" s="1741"/>
      <c r="F62" s="1741"/>
      <c r="G62" s="1741"/>
      <c r="H62" s="1741"/>
      <c r="I62" s="21"/>
      <c r="J62" s="21"/>
      <c r="K62" s="21"/>
      <c r="L62" s="21"/>
    </row>
    <row r="63" spans="1:12" s="1422" customFormat="1" ht="18" customHeight="1" x14ac:dyDescent="0.25">
      <c r="A63" s="1416"/>
      <c r="B63" s="1417" t="s">
        <v>787</v>
      </c>
      <c r="C63" s="1416" t="s">
        <v>785</v>
      </c>
      <c r="D63" s="1418"/>
      <c r="E63" s="1419">
        <f>IF(H63="CAPEX",$C$4,0)</f>
        <v>0</v>
      </c>
      <c r="F63" s="1418">
        <f>D63*(1+E63)</f>
        <v>0</v>
      </c>
      <c r="G63" s="1420">
        <f>F63/$C$3</f>
        <v>0</v>
      </c>
      <c r="H63" s="1420" t="s">
        <v>364</v>
      </c>
      <c r="I63" s="1421"/>
      <c r="J63" s="1421"/>
      <c r="K63" s="1421"/>
      <c r="L63" s="1421"/>
    </row>
    <row r="64" spans="1:12" x14ac:dyDescent="0.25">
      <c r="C64" s="16"/>
      <c r="D64" s="81"/>
    </row>
    <row r="65" spans="4:7" x14ac:dyDescent="0.25">
      <c r="D65" s="84">
        <f>SUM(D7:D64)</f>
        <v>529435829.39358234</v>
      </c>
      <c r="G65" s="158"/>
    </row>
  </sheetData>
  <mergeCells count="10">
    <mergeCell ref="B62:H62"/>
    <mergeCell ref="B60:H60"/>
    <mergeCell ref="A1:G1"/>
    <mergeCell ref="B7:H7"/>
    <mergeCell ref="B21:H21"/>
    <mergeCell ref="B27:H27"/>
    <mergeCell ref="B38:H38"/>
    <mergeCell ref="B41:H41"/>
    <mergeCell ref="B46:H46"/>
    <mergeCell ref="B55:H55"/>
  </mergeCells>
  <phoneticPr fontId="9" type="noConversion"/>
  <conditionalFormatting sqref="I39">
    <cfRule type="expression" dxfId="743" priority="2">
      <formula>$D$663&lt;&gt;SUM($K$665:$U$665)</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tabColor rgb="FF92D050"/>
  </sheetPr>
  <dimension ref="A1:Y458"/>
  <sheetViews>
    <sheetView showGridLines="0" zoomScale="80" zoomScaleNormal="80" workbookViewId="0">
      <selection activeCell="B364" sqref="B364"/>
    </sheetView>
  </sheetViews>
  <sheetFormatPr baseColWidth="10" defaultColWidth="11.375" defaultRowHeight="12" outlineLevelRow="1" outlineLevelCol="1" x14ac:dyDescent="0.2"/>
  <cols>
    <col min="1" max="1" width="4.125" style="487" customWidth="1"/>
    <col min="2" max="2" width="81.375" style="487" customWidth="1"/>
    <col min="3" max="3" width="43.125" style="487" customWidth="1"/>
    <col min="4" max="9" width="25.625" style="492" hidden="1" customWidth="1" outlineLevel="1"/>
    <col min="10" max="10" width="25.625" style="492" customWidth="1" collapsed="1"/>
    <col min="11" max="11" width="28.375" style="492" customWidth="1"/>
    <col min="12" max="20" width="25.625" style="492" customWidth="1"/>
    <col min="21" max="21" width="23.875" style="487" customWidth="1"/>
    <col min="22" max="23" width="17.375" style="487" customWidth="1"/>
    <col min="24" max="24" width="16.875" style="487" customWidth="1"/>
    <col min="25" max="25" width="19" style="487" customWidth="1"/>
    <col min="26" max="16384" width="11.375" style="487"/>
  </cols>
  <sheetData>
    <row r="1" spans="1:25" ht="10.5" customHeight="1" x14ac:dyDescent="0.2"/>
    <row r="2" spans="1:25" x14ac:dyDescent="0.2">
      <c r="B2" s="488" t="s">
        <v>391</v>
      </c>
      <c r="C2" s="1393"/>
      <c r="E2" s="895" t="s">
        <v>204</v>
      </c>
      <c r="F2" s="1392" t="s">
        <v>1100</v>
      </c>
    </row>
    <row r="3" spans="1:25" x14ac:dyDescent="0.2">
      <c r="B3" s="488" t="s">
        <v>392</v>
      </c>
      <c r="C3" s="1393"/>
      <c r="E3" s="895" t="s">
        <v>205</v>
      </c>
      <c r="F3" s="1392"/>
    </row>
    <row r="4" spans="1:25" x14ac:dyDescent="0.2">
      <c r="B4" s="488" t="s">
        <v>393</v>
      </c>
      <c r="C4" s="1393" t="s">
        <v>1100</v>
      </c>
    </row>
    <row r="5" spans="1:25" x14ac:dyDescent="0.2">
      <c r="B5" s="488" t="s">
        <v>394</v>
      </c>
      <c r="C5" s="1394"/>
    </row>
    <row r="6" spans="1:25" ht="9.1999999999999993" customHeight="1" x14ac:dyDescent="0.2">
      <c r="B6" s="488"/>
      <c r="C6" s="1394"/>
    </row>
    <row r="7" spans="1:25" x14ac:dyDescent="0.2">
      <c r="B7" s="488" t="s">
        <v>722</v>
      </c>
      <c r="C7" s="1395"/>
    </row>
    <row r="8" spans="1:25" x14ac:dyDescent="0.2">
      <c r="B8" s="489" t="s">
        <v>259</v>
      </c>
      <c r="C8" s="1396" t="s">
        <v>1099</v>
      </c>
    </row>
    <row r="9" spans="1:25" x14ac:dyDescent="0.2">
      <c r="B9" s="490" t="s">
        <v>395</v>
      </c>
      <c r="C9" s="1396">
        <v>2026</v>
      </c>
      <c r="J9" s="800"/>
      <c r="K9" s="800"/>
      <c r="L9" s="800"/>
      <c r="M9" s="800"/>
      <c r="N9" s="800"/>
      <c r="O9" s="800"/>
      <c r="P9" s="800"/>
      <c r="Q9" s="800"/>
      <c r="R9" s="800"/>
      <c r="S9" s="800"/>
      <c r="T9" s="800"/>
    </row>
    <row r="10" spans="1:25" ht="12.75" thickBot="1" x14ac:dyDescent="0.25">
      <c r="J10" s="1462">
        <v>0</v>
      </c>
      <c r="K10" s="1462">
        <f t="shared" ref="K10:T10" si="0">J10+1</f>
        <v>1</v>
      </c>
      <c r="L10" s="1462">
        <f t="shared" si="0"/>
        <v>2</v>
      </c>
      <c r="M10" s="1462">
        <f t="shared" si="0"/>
        <v>3</v>
      </c>
      <c r="N10" s="1462">
        <f t="shared" si="0"/>
        <v>4</v>
      </c>
      <c r="O10" s="1462">
        <f t="shared" si="0"/>
        <v>5</v>
      </c>
      <c r="P10" s="1462">
        <f t="shared" si="0"/>
        <v>6</v>
      </c>
      <c r="Q10" s="1462">
        <f t="shared" si="0"/>
        <v>7</v>
      </c>
      <c r="R10" s="1462">
        <f t="shared" si="0"/>
        <v>8</v>
      </c>
      <c r="S10" s="1462">
        <f t="shared" si="0"/>
        <v>9</v>
      </c>
      <c r="T10" s="1462">
        <f t="shared" si="0"/>
        <v>10</v>
      </c>
    </row>
    <row r="11" spans="1:25" s="307" customFormat="1" ht="12.75" thickBot="1" x14ac:dyDescent="0.3">
      <c r="A11" s="304"/>
      <c r="B11" s="304"/>
      <c r="C11" s="304"/>
      <c r="D11" s="1463">
        <v>2019</v>
      </c>
      <c r="E11" s="1463">
        <f>+D11+1</f>
        <v>2020</v>
      </c>
      <c r="F11" s="1463">
        <f>+E11+1</f>
        <v>2021</v>
      </c>
      <c r="G11" s="1463">
        <f>+F11+1</f>
        <v>2022</v>
      </c>
      <c r="H11" s="1463">
        <f>+G11+1</f>
        <v>2023</v>
      </c>
      <c r="I11" s="1463">
        <f>+H11+1</f>
        <v>2024</v>
      </c>
      <c r="J11" s="1463">
        <f t="shared" ref="J11:T11" si="1">+I11+1</f>
        <v>2025</v>
      </c>
      <c r="K11" s="1463">
        <f t="shared" si="1"/>
        <v>2026</v>
      </c>
      <c r="L11" s="1463">
        <f t="shared" si="1"/>
        <v>2027</v>
      </c>
      <c r="M11" s="1463">
        <f t="shared" si="1"/>
        <v>2028</v>
      </c>
      <c r="N11" s="1463">
        <f t="shared" si="1"/>
        <v>2029</v>
      </c>
      <c r="O11" s="1463">
        <f t="shared" si="1"/>
        <v>2030</v>
      </c>
      <c r="P11" s="1463">
        <f t="shared" si="1"/>
        <v>2031</v>
      </c>
      <c r="Q11" s="1463">
        <f t="shared" si="1"/>
        <v>2032</v>
      </c>
      <c r="R11" s="1463">
        <f t="shared" si="1"/>
        <v>2033</v>
      </c>
      <c r="S11" s="1463">
        <f t="shared" si="1"/>
        <v>2034</v>
      </c>
      <c r="T11" s="1463">
        <f t="shared" si="1"/>
        <v>2035</v>
      </c>
    </row>
    <row r="12" spans="1:25" s="808" customFormat="1" ht="30.75" customHeight="1" x14ac:dyDescent="0.25">
      <c r="A12" s="315"/>
      <c r="B12" s="1464" t="s">
        <v>103</v>
      </c>
      <c r="C12" s="810"/>
      <c r="D12" s="811"/>
      <c r="E12" s="811"/>
      <c r="F12" s="811"/>
      <c r="G12" s="811"/>
      <c r="H12" s="811"/>
      <c r="I12" s="811"/>
      <c r="J12" s="811"/>
      <c r="K12" s="811"/>
      <c r="L12" s="811"/>
      <c r="M12" s="811"/>
      <c r="N12" s="811"/>
      <c r="O12" s="811"/>
      <c r="P12" s="811"/>
      <c r="Q12" s="811"/>
      <c r="R12" s="811"/>
      <c r="S12" s="811"/>
      <c r="T12" s="811"/>
    </row>
    <row r="13" spans="1:25" ht="20.100000000000001" customHeight="1" x14ac:dyDescent="0.2">
      <c r="A13" s="308"/>
      <c r="B13" s="308"/>
      <c r="C13" s="308"/>
      <c r="D13" s="304"/>
      <c r="E13" s="304"/>
      <c r="F13" s="304"/>
      <c r="G13" s="304"/>
      <c r="H13" s="304"/>
      <c r="I13" s="304"/>
      <c r="J13" s="1465"/>
      <c r="K13" s="1465"/>
      <c r="L13" s="1465"/>
      <c r="M13" s="1465"/>
      <c r="N13" s="1465"/>
      <c r="O13" s="1465"/>
      <c r="P13" s="1465"/>
      <c r="Q13" s="1465"/>
      <c r="R13" s="1465"/>
      <c r="S13" s="1465"/>
      <c r="T13" s="1465"/>
      <c r="U13" s="308"/>
      <c r="V13" s="308"/>
      <c r="W13" s="308"/>
      <c r="X13" s="308"/>
      <c r="Y13" s="308"/>
    </row>
    <row r="14" spans="1:25" s="491" customFormat="1" ht="20.100000000000001" customHeight="1" x14ac:dyDescent="0.2">
      <c r="B14" s="1466" t="s">
        <v>235</v>
      </c>
      <c r="C14" s="1467" t="s">
        <v>396</v>
      </c>
      <c r="D14" s="1468"/>
      <c r="E14" s="1469">
        <f>'EV PROG TÉCNICOS'!F22</f>
        <v>6.0000048302411679E-2</v>
      </c>
      <c r="F14" s="1469">
        <f>'EV PROG TÉCNICOS'!G22</f>
        <v>3.4999880383183912E-2</v>
      </c>
      <c r="G14" s="1469">
        <f>'EV PROG TÉCNICOS'!H22</f>
        <v>0.10068396501586085</v>
      </c>
      <c r="H14" s="1469">
        <f>'EV PROG TÉCNICOS'!I22</f>
        <v>0.15999999999999992</v>
      </c>
      <c r="I14" s="1469">
        <f>'EV PROG TÉCNICOS'!J22</f>
        <v>0.1206896551724137</v>
      </c>
      <c r="J14" s="1469">
        <f>'EV PROG TÉCNICOS'!K22</f>
        <v>9.4999999999999973E-2</v>
      </c>
      <c r="K14" s="1470">
        <f>+PARÁMETROS!$C$11</f>
        <v>5.6799799999999998E-2</v>
      </c>
      <c r="L14" s="1470">
        <f>+PARÁMETROS!$C$11</f>
        <v>5.6799799999999998E-2</v>
      </c>
      <c r="M14" s="1470">
        <f>+PARÁMETROS!$C$11</f>
        <v>5.6799799999999998E-2</v>
      </c>
      <c r="N14" s="1470">
        <f>+PARÁMETROS!$C$11</f>
        <v>5.6799799999999998E-2</v>
      </c>
      <c r="O14" s="1470">
        <f>+PARÁMETROS!$C$11</f>
        <v>5.6799799999999998E-2</v>
      </c>
      <c r="P14" s="1470">
        <f>+PARÁMETROS!$C$11</f>
        <v>5.6799799999999998E-2</v>
      </c>
      <c r="Q14" s="1470">
        <f>+PARÁMETROS!$C$11</f>
        <v>5.6799799999999998E-2</v>
      </c>
      <c r="R14" s="1470">
        <f>+PARÁMETROS!$C$11</f>
        <v>5.6799799999999998E-2</v>
      </c>
      <c r="S14" s="1470">
        <f>+PARÁMETROS!$C$11</f>
        <v>5.6799799999999998E-2</v>
      </c>
      <c r="T14" s="1470">
        <f>+PARÁMETROS!$C$11</f>
        <v>5.6799799999999998E-2</v>
      </c>
      <c r="U14" s="310"/>
      <c r="V14" s="310"/>
      <c r="W14" s="310"/>
      <c r="X14" s="310"/>
      <c r="Y14" s="310"/>
    </row>
    <row r="15" spans="1:25" s="491" customFormat="1" ht="20.100000000000001" customHeight="1" x14ac:dyDescent="0.2">
      <c r="B15" s="1471"/>
      <c r="C15" s="1467"/>
      <c r="D15" s="1468"/>
      <c r="E15" s="1469"/>
      <c r="F15" s="1469"/>
      <c r="G15" s="1469"/>
      <c r="H15" s="1469"/>
      <c r="I15" s="1469"/>
      <c r="J15" s="1455"/>
      <c r="K15" s="1455"/>
      <c r="L15" s="1455"/>
      <c r="M15" s="1455"/>
      <c r="N15" s="1455"/>
      <c r="O15" s="1455"/>
      <c r="P15" s="1455"/>
      <c r="Q15" s="1455"/>
      <c r="R15" s="1455"/>
      <c r="S15" s="1455"/>
      <c r="T15" s="1455"/>
      <c r="U15" s="310"/>
      <c r="V15" s="310"/>
      <c r="W15" s="310"/>
      <c r="X15" s="310"/>
      <c r="Y15" s="310"/>
    </row>
    <row r="16" spans="1:25" s="491" customFormat="1" ht="20.100000000000001" customHeight="1" x14ac:dyDescent="0.2">
      <c r="B16" s="1472" t="s">
        <v>7</v>
      </c>
      <c r="C16" s="1467"/>
      <c r="D16" s="1473">
        <f>'EV PROG TÉCNICOS'!E21</f>
        <v>828116</v>
      </c>
      <c r="E16" s="1473">
        <f>'EV PROG TÉCNICOS'!F21</f>
        <v>877803</v>
      </c>
      <c r="F16" s="1473">
        <f>'EV PROG TÉCNICOS'!G21</f>
        <v>908526</v>
      </c>
      <c r="G16" s="1473">
        <f>'EV PROG TÉCNICOS'!H21</f>
        <v>1000000</v>
      </c>
      <c r="H16" s="1473">
        <f>'EV PROG TÉCNICOS'!I21</f>
        <v>1160000</v>
      </c>
      <c r="I16" s="1473">
        <f>'EV PROG TÉCNICOS'!J21</f>
        <v>1300000</v>
      </c>
      <c r="J16" s="1473">
        <f>'EV PROG TÉCNICOS'!K21</f>
        <v>1423500</v>
      </c>
      <c r="K16" s="1473">
        <f>'EV PROG TÉCNICOS'!L21</f>
        <v>1750905</v>
      </c>
      <c r="L16" s="1473">
        <f>'EV PROG TÉCNICOS'!M21</f>
        <v>1850356.053819</v>
      </c>
      <c r="M16" s="1473">
        <f>'EV PROG TÉCNICOS'!N21</f>
        <v>1955455.9076047086</v>
      </c>
      <c r="N16" s="1473">
        <f>'EV PROG TÉCNICOS'!O21</f>
        <v>2066525.4120654745</v>
      </c>
      <c r="O16" s="1473">
        <f>'EV PROG TÉCNICOS'!P21</f>
        <v>2183903.6421657111</v>
      </c>
      <c r="P16" s="1473">
        <f>'EV PROG TÉCNICOS'!Q21</f>
        <v>2307948.932259995</v>
      </c>
      <c r="Q16" s="1473">
        <f>'EV PROG TÉCNICOS'!R21</f>
        <v>2439039.9700225764</v>
      </c>
      <c r="R16" s="1473">
        <f>'EV PROG TÉCNICOS'!S21</f>
        <v>2577576.9525118647</v>
      </c>
      <c r="S16" s="1473">
        <f>'EV PROG TÉCNICOS'!T21</f>
        <v>2723982.8078991482</v>
      </c>
      <c r="T16" s="1473">
        <f>'EV PROG TÉCNICOS'!U21</f>
        <v>2878704.4865912586</v>
      </c>
      <c r="U16" s="310"/>
      <c r="V16" s="310"/>
      <c r="W16" s="310"/>
      <c r="X16" s="310"/>
      <c r="Y16" s="310"/>
    </row>
    <row r="17" spans="1:25" s="491" customFormat="1" ht="20.100000000000001" customHeight="1" x14ac:dyDescent="0.2">
      <c r="B17" s="1474"/>
      <c r="C17" s="1467"/>
      <c r="D17" s="304"/>
      <c r="E17" s="1475">
        <f t="shared" ref="E17:J17" si="2">+(E16-D16)/D16</f>
        <v>6.0000048302411742E-2</v>
      </c>
      <c r="F17" s="1475">
        <f t="shared" si="2"/>
        <v>3.4999880383183926E-2</v>
      </c>
      <c r="G17" s="1475">
        <f t="shared" si="2"/>
        <v>0.10068396501586085</v>
      </c>
      <c r="H17" s="1475">
        <f t="shared" si="2"/>
        <v>0.16</v>
      </c>
      <c r="I17" s="1475">
        <f t="shared" si="2"/>
        <v>0.1206896551724138</v>
      </c>
      <c r="J17" s="1475">
        <f t="shared" si="2"/>
        <v>9.5000000000000001E-2</v>
      </c>
      <c r="K17" s="1465"/>
      <c r="L17" s="1465"/>
      <c r="M17" s="1465"/>
      <c r="N17" s="1465"/>
      <c r="O17" s="1465"/>
      <c r="P17" s="1465"/>
      <c r="Q17" s="1465"/>
      <c r="R17" s="1465"/>
      <c r="S17" s="1465"/>
      <c r="T17" s="1465"/>
      <c r="U17" s="310"/>
      <c r="V17" s="310"/>
      <c r="W17" s="310"/>
      <c r="X17" s="310"/>
      <c r="Y17" s="310"/>
    </row>
    <row r="18" spans="1:25" s="491" customFormat="1" ht="20.100000000000001" customHeight="1" x14ac:dyDescent="0.2">
      <c r="B18" s="1476" t="s">
        <v>791</v>
      </c>
      <c r="E18" s="1477"/>
      <c r="F18" s="1477"/>
      <c r="G18" s="1477"/>
      <c r="H18" s="1477"/>
      <c r="I18" s="1465"/>
      <c r="J18" s="1465"/>
      <c r="K18" s="1465"/>
      <c r="L18" s="1465"/>
      <c r="M18" s="1465"/>
      <c r="N18" s="1465"/>
      <c r="O18" s="1465"/>
      <c r="P18" s="1465"/>
      <c r="Q18" s="1465"/>
      <c r="R18" s="1465"/>
      <c r="S18" s="1465"/>
      <c r="T18" s="1465"/>
      <c r="U18" s="310"/>
      <c r="V18" s="310"/>
      <c r="W18" s="310"/>
      <c r="X18" s="310"/>
      <c r="Y18" s="310"/>
    </row>
    <row r="19" spans="1:25" s="491" customFormat="1" ht="20.100000000000001" customHeight="1" x14ac:dyDescent="0.2">
      <c r="B19" s="875" t="s">
        <v>109</v>
      </c>
      <c r="C19" s="1470">
        <f>+PARÁMETROS!$C$8</f>
        <v>0.16276703160799988</v>
      </c>
      <c r="E19" s="1477"/>
      <c r="F19" s="1477"/>
      <c r="G19" s="1477"/>
      <c r="H19" s="1477"/>
      <c r="I19" s="1465"/>
      <c r="J19" s="1465"/>
      <c r="K19" s="1465"/>
      <c r="L19" s="1465"/>
      <c r="M19" s="1465"/>
      <c r="N19" s="1465"/>
      <c r="O19" s="1465"/>
      <c r="P19" s="1465"/>
      <c r="Q19" s="1465"/>
      <c r="R19" s="1465"/>
      <c r="S19" s="1465"/>
      <c r="T19" s="1465"/>
      <c r="U19" s="310"/>
      <c r="V19" s="310"/>
      <c r="W19" s="310"/>
      <c r="X19" s="310"/>
      <c r="Y19" s="310"/>
    </row>
    <row r="20" spans="1:25" ht="20.100000000000001" customHeight="1" x14ac:dyDescent="0.2">
      <c r="C20" s="1478"/>
      <c r="D20" s="1479"/>
      <c r="E20" s="1479"/>
      <c r="F20" s="1479"/>
      <c r="G20" s="1479"/>
      <c r="H20" s="1479"/>
      <c r="I20" s="1480"/>
      <c r="J20" s="1480"/>
      <c r="K20" s="1480"/>
      <c r="L20" s="1480"/>
      <c r="M20" s="1480"/>
      <c r="N20" s="1480"/>
      <c r="O20" s="1480"/>
      <c r="P20" s="1480"/>
      <c r="Q20" s="1480"/>
      <c r="R20" s="1480"/>
      <c r="S20" s="1480"/>
      <c r="T20" s="1480"/>
      <c r="U20" s="308"/>
      <c r="V20" s="308"/>
      <c r="W20" s="308"/>
      <c r="X20" s="308"/>
      <c r="Y20" s="308"/>
    </row>
    <row r="21" spans="1:25" s="808" customFormat="1" ht="30.75" customHeight="1" x14ac:dyDescent="0.25">
      <c r="A21" s="315"/>
      <c r="B21" s="1464" t="s">
        <v>792</v>
      </c>
      <c r="C21" s="810"/>
      <c r="D21" s="811"/>
      <c r="E21" s="811"/>
      <c r="F21" s="811"/>
      <c r="G21" s="811"/>
      <c r="H21" s="811"/>
      <c r="I21" s="811"/>
      <c r="J21" s="811"/>
      <c r="K21" s="811"/>
      <c r="L21" s="811"/>
      <c r="M21" s="811"/>
      <c r="N21" s="811"/>
      <c r="O21" s="811"/>
      <c r="P21" s="811"/>
      <c r="Q21" s="811"/>
      <c r="R21" s="811"/>
      <c r="S21" s="811"/>
      <c r="T21" s="811"/>
    </row>
    <row r="22" spans="1:25" s="491" customFormat="1" x14ac:dyDescent="0.2">
      <c r="A22" s="487"/>
      <c r="B22" s="1481"/>
      <c r="C22" s="492"/>
      <c r="D22" s="492"/>
      <c r="E22" s="492"/>
      <c r="F22" s="492"/>
      <c r="G22" s="492"/>
      <c r="H22" s="874"/>
      <c r="I22" s="874"/>
      <c r="J22" s="525"/>
      <c r="K22" s="525"/>
      <c r="L22" s="525"/>
      <c r="M22" s="525"/>
      <c r="N22" s="525"/>
      <c r="O22" s="525"/>
      <c r="P22" s="525"/>
      <c r="Q22" s="525"/>
      <c r="R22" s="525"/>
      <c r="S22" s="525"/>
      <c r="T22" s="525"/>
      <c r="U22" s="308"/>
      <c r="V22" s="308"/>
      <c r="W22" s="308"/>
      <c r="X22" s="308"/>
      <c r="Y22" s="308"/>
    </row>
    <row r="23" spans="1:25" s="1488" customFormat="1" ht="20.100000000000001" customHeight="1" x14ac:dyDescent="0.2">
      <c r="A23" s="1482"/>
      <c r="B23" s="1483" t="str">
        <f>IF($F$2="",CONCATENATE("Usuarios Sistema N.A"),CONCATENATE("Usuarios Sistema ",$F$2))</f>
        <v>Usuarios Sistema amb S.A E.S.P</v>
      </c>
      <c r="C23" s="1484"/>
      <c r="D23" s="1485">
        <v>288799</v>
      </c>
      <c r="E23" s="1485">
        <v>294763</v>
      </c>
      <c r="F23" s="1485">
        <v>303301</v>
      </c>
      <c r="G23" s="1485">
        <v>309477</v>
      </c>
      <c r="H23" s="1485">
        <v>318442</v>
      </c>
      <c r="I23" s="1485">
        <v>325502</v>
      </c>
      <c r="J23" s="1485">
        <v>333412</v>
      </c>
      <c r="K23" s="1485">
        <v>341939.19999999995</v>
      </c>
      <c r="L23" s="1485">
        <v>349461</v>
      </c>
      <c r="M23" s="1485">
        <v>356972</v>
      </c>
      <c r="N23" s="1485">
        <v>364648</v>
      </c>
      <c r="O23" s="1485">
        <v>372488</v>
      </c>
      <c r="P23" s="1486">
        <f>+O23*(1+P30)</f>
        <v>380496.56146201264</v>
      </c>
      <c r="Q23" s="1486">
        <f>+P23*(1+Q30)</f>
        <v>388677.30848890479</v>
      </c>
      <c r="R23" s="1486">
        <f>+Q23*(1+R30)</f>
        <v>397033.94310243073</v>
      </c>
      <c r="S23" s="1486">
        <f>+R23*(1+S30)</f>
        <v>405570.24691850279</v>
      </c>
      <c r="T23" s="1486">
        <f>+S23*(1+T30)</f>
        <v>414290.08285848069</v>
      </c>
      <c r="U23" s="1487"/>
      <c r="V23" s="1487"/>
      <c r="W23" s="1487"/>
      <c r="X23" s="1487"/>
      <c r="Y23" s="1487"/>
    </row>
    <row r="24" spans="1:25" s="1490" customFormat="1" ht="20.100000000000001" customHeight="1" x14ac:dyDescent="0.2">
      <c r="A24" s="1054"/>
      <c r="B24" s="1481" t="s">
        <v>1160</v>
      </c>
      <c r="C24" s="509"/>
      <c r="D24" s="1489"/>
      <c r="E24" s="1489"/>
      <c r="F24" s="1489"/>
      <c r="G24" s="1489"/>
      <c r="H24" s="1489">
        <v>187870</v>
      </c>
      <c r="I24" s="1489">
        <v>190789</v>
      </c>
      <c r="J24" s="1489">
        <v>194078</v>
      </c>
      <c r="K24" s="1489"/>
      <c r="L24" s="1489"/>
      <c r="M24" s="1489"/>
      <c r="N24" s="1489"/>
      <c r="O24" s="1489"/>
      <c r="P24" s="525"/>
      <c r="Q24" s="525"/>
      <c r="R24" s="525"/>
      <c r="S24" s="525"/>
      <c r="T24" s="525"/>
      <c r="U24" s="1451"/>
      <c r="V24" s="1451"/>
      <c r="W24" s="1451"/>
      <c r="X24" s="1451"/>
      <c r="Y24" s="1451"/>
    </row>
    <row r="25" spans="1:25" s="1490" customFormat="1" ht="20.100000000000001" customHeight="1" x14ac:dyDescent="0.2">
      <c r="A25" s="1054"/>
      <c r="B25" s="1481" t="s">
        <v>1161</v>
      </c>
      <c r="C25" s="509"/>
      <c r="D25" s="1489"/>
      <c r="E25" s="1489"/>
      <c r="F25" s="1489"/>
      <c r="G25" s="1489"/>
      <c r="H25" s="1489">
        <v>88216</v>
      </c>
      <c r="I25" s="1489">
        <v>90005</v>
      </c>
      <c r="J25" s="1489">
        <v>92047</v>
      </c>
      <c r="K25" s="1489"/>
      <c r="L25" s="1489"/>
      <c r="M25" s="1489"/>
      <c r="N25" s="1489"/>
      <c r="O25" s="1489"/>
      <c r="P25" s="525"/>
      <c r="Q25" s="525"/>
      <c r="R25" s="525"/>
      <c r="S25" s="525"/>
      <c r="T25" s="525"/>
      <c r="U25" s="1451"/>
      <c r="V25" s="1451"/>
      <c r="W25" s="1451"/>
      <c r="X25" s="1451"/>
      <c r="Y25" s="1451"/>
    </row>
    <row r="26" spans="1:25" s="1054" customFormat="1" ht="20.100000000000001" customHeight="1" x14ac:dyDescent="0.2">
      <c r="B26" s="1481" t="s">
        <v>1162</v>
      </c>
      <c r="D26" s="1491"/>
      <c r="E26" s="1491"/>
      <c r="F26" s="1491"/>
      <c r="G26" s="1491"/>
      <c r="H26" s="1491">
        <v>42356</v>
      </c>
      <c r="I26" s="1491">
        <v>44708</v>
      </c>
      <c r="J26" s="1491">
        <v>47287</v>
      </c>
      <c r="K26" s="1492"/>
      <c r="L26" s="1492"/>
      <c r="M26" s="1492"/>
      <c r="N26" s="1492"/>
      <c r="O26" s="1492"/>
      <c r="P26" s="798"/>
      <c r="Q26" s="798"/>
      <c r="R26" s="798"/>
      <c r="S26" s="798"/>
      <c r="T26" s="798"/>
      <c r="U26" s="1451"/>
      <c r="V26" s="1451"/>
      <c r="W26" s="1451"/>
      <c r="X26" s="1451"/>
      <c r="Y26" s="1451"/>
    </row>
    <row r="27" spans="1:25" s="1054" customFormat="1" ht="20.100000000000001" customHeight="1" x14ac:dyDescent="0.2">
      <c r="B27" s="1493" t="s">
        <v>398</v>
      </c>
      <c r="C27" s="509" t="s">
        <v>793</v>
      </c>
      <c r="D27" s="497"/>
      <c r="E27" s="509"/>
      <c r="F27" s="509"/>
      <c r="G27" s="509"/>
      <c r="H27" s="509"/>
      <c r="I27" s="509"/>
      <c r="J27" s="1494"/>
      <c r="K27" s="1494"/>
      <c r="L27" s="1494"/>
      <c r="M27" s="1494"/>
      <c r="N27" s="1494"/>
      <c r="O27" s="1494"/>
      <c r="P27" s="1494"/>
      <c r="Q27" s="1494"/>
      <c r="R27" s="1494"/>
      <c r="S27" s="1494"/>
      <c r="T27" s="1494"/>
      <c r="U27" s="1451"/>
      <c r="V27" s="1451"/>
      <c r="W27" s="1451"/>
      <c r="X27" s="1451"/>
      <c r="Y27" s="1451"/>
    </row>
    <row r="28" spans="1:25" s="1054" customFormat="1" ht="20.100000000000001" customHeight="1" x14ac:dyDescent="0.2">
      <c r="B28" s="1493"/>
      <c r="C28" s="509"/>
      <c r="D28" s="509"/>
      <c r="E28" s="509"/>
      <c r="F28" s="509"/>
      <c r="G28" s="509"/>
      <c r="H28" s="509"/>
      <c r="I28" s="494"/>
      <c r="J28" s="1494"/>
      <c r="K28" s="1494"/>
      <c r="L28" s="1494"/>
      <c r="M28" s="1494"/>
      <c r="N28" s="1494"/>
      <c r="O28" s="1494"/>
      <c r="P28" s="1494"/>
      <c r="Q28" s="1494"/>
      <c r="R28" s="1494"/>
      <c r="S28" s="1494"/>
      <c r="T28" s="1494"/>
      <c r="U28" s="1451"/>
      <c r="V28" s="1451"/>
      <c r="W28" s="1451"/>
      <c r="X28" s="1451"/>
      <c r="Y28" s="1451"/>
    </row>
    <row r="29" spans="1:25" s="1054" customFormat="1" ht="20.100000000000001" customHeight="1" x14ac:dyDescent="0.2">
      <c r="D29" s="509"/>
      <c r="E29" s="509"/>
      <c r="F29" s="509"/>
      <c r="G29" s="509"/>
      <c r="H29" s="509"/>
      <c r="I29" s="509"/>
      <c r="J29" s="509"/>
      <c r="K29" s="1495"/>
      <c r="L29" s="1495"/>
      <c r="M29" s="1495"/>
      <c r="N29" s="1495"/>
      <c r="O29" s="1495"/>
      <c r="P29" s="1495"/>
      <c r="Q29" s="1495"/>
      <c r="R29" s="1495"/>
      <c r="S29" s="1495"/>
      <c r="T29" s="1495"/>
      <c r="U29" s="1451"/>
      <c r="V29" s="1451"/>
      <c r="W29" s="1451"/>
      <c r="X29" s="1451"/>
      <c r="Y29" s="1451"/>
    </row>
    <row r="30" spans="1:25" s="1054" customFormat="1" ht="20.100000000000001" customHeight="1" x14ac:dyDescent="0.2">
      <c r="B30" s="895" t="s">
        <v>399</v>
      </c>
      <c r="C30" s="509" t="s">
        <v>794</v>
      </c>
      <c r="D30" s="1455"/>
      <c r="E30" s="1455">
        <f>+E23/D23-1</f>
        <v>2.065104103546056E-2</v>
      </c>
      <c r="F30" s="1455">
        <f>+F23/E23-1</f>
        <v>2.8965643584846212E-2</v>
      </c>
      <c r="G30" s="1455">
        <f t="shared" ref="G30:O30" si="3">+G23/F23-1</f>
        <v>2.0362610080415067E-2</v>
      </c>
      <c r="H30" s="1455">
        <f t="shared" si="3"/>
        <v>2.896822704110491E-2</v>
      </c>
      <c r="I30" s="1455">
        <f t="shared" si="3"/>
        <v>2.21704423411484E-2</v>
      </c>
      <c r="J30" s="1455">
        <f t="shared" si="3"/>
        <v>2.4300925954372055E-2</v>
      </c>
      <c r="K30" s="1455">
        <f t="shared" si="3"/>
        <v>2.5575564166856468E-2</v>
      </c>
      <c r="L30" s="1455">
        <f t="shared" si="3"/>
        <v>2.1997477914202479E-2</v>
      </c>
      <c r="M30" s="1455">
        <f t="shared" si="3"/>
        <v>2.1493099373034452E-2</v>
      </c>
      <c r="N30" s="1455">
        <f t="shared" si="3"/>
        <v>2.1503087076857552E-2</v>
      </c>
      <c r="O30" s="1455">
        <f t="shared" si="3"/>
        <v>2.1500186481209216E-2</v>
      </c>
      <c r="P30" s="1455">
        <f>O30</f>
        <v>2.1500186481209216E-2</v>
      </c>
      <c r="Q30" s="1455">
        <f>P30</f>
        <v>2.1500186481209216E-2</v>
      </c>
      <c r="R30" s="1455">
        <f>Q30</f>
        <v>2.1500186481209216E-2</v>
      </c>
      <c r="S30" s="1455">
        <f>R30</f>
        <v>2.1500186481209216E-2</v>
      </c>
      <c r="T30" s="1455">
        <f>S30</f>
        <v>2.1500186481209216E-2</v>
      </c>
      <c r="U30" s="1451"/>
      <c r="V30" s="1451"/>
      <c r="W30" s="1451"/>
      <c r="X30" s="1451"/>
      <c r="Y30" s="1451"/>
    </row>
    <row r="31" spans="1:25" s="1054" customFormat="1" ht="20.100000000000001" customHeight="1" x14ac:dyDescent="0.2">
      <c r="B31" s="1493"/>
      <c r="C31" s="509"/>
      <c r="D31" s="509"/>
      <c r="E31" s="497"/>
      <c r="F31" s="497"/>
      <c r="G31" s="497"/>
      <c r="H31" s="497"/>
      <c r="I31" s="497"/>
      <c r="J31" s="798"/>
      <c r="K31" s="798"/>
      <c r="L31" s="798"/>
      <c r="M31" s="798"/>
      <c r="N31" s="798"/>
      <c r="O31" s="798"/>
      <c r="P31" s="798"/>
      <c r="Q31" s="798"/>
      <c r="R31" s="798"/>
      <c r="S31" s="798"/>
      <c r="T31" s="798"/>
      <c r="U31" s="1451"/>
      <c r="V31" s="1451"/>
      <c r="W31" s="1451"/>
      <c r="X31" s="1451"/>
      <c r="Y31" s="1451"/>
    </row>
    <row r="32" spans="1:25" s="1054" customFormat="1" ht="20.100000000000001" customHeight="1" x14ac:dyDescent="0.2">
      <c r="B32" s="1493" t="s">
        <v>399</v>
      </c>
      <c r="C32" s="509" t="s">
        <v>400</v>
      </c>
      <c r="D32" s="509"/>
      <c r="E32" s="1496"/>
      <c r="F32" s="1496"/>
      <c r="G32" s="1496"/>
      <c r="H32" s="1496"/>
      <c r="I32" s="1497"/>
      <c r="J32" s="1498"/>
      <c r="K32" s="1498"/>
      <c r="L32" s="1498"/>
      <c r="M32" s="1498"/>
      <c r="N32" s="1498"/>
      <c r="O32" s="1498"/>
      <c r="P32" s="1498"/>
      <c r="Q32" s="1498"/>
      <c r="R32" s="1498"/>
      <c r="S32" s="1498"/>
      <c r="T32" s="1498"/>
      <c r="U32" s="1451"/>
      <c r="V32" s="1451"/>
      <c r="W32" s="1451"/>
      <c r="X32" s="1451"/>
      <c r="Y32" s="1451"/>
    </row>
    <row r="33" spans="1:25" s="1054" customFormat="1" ht="20.100000000000001" customHeight="1" x14ac:dyDescent="0.2">
      <c r="D33" s="509"/>
      <c r="E33" s="509"/>
      <c r="F33" s="509"/>
      <c r="G33" s="509"/>
      <c r="H33" s="509"/>
      <c r="I33" s="509"/>
      <c r="J33" s="509"/>
      <c r="K33" s="509"/>
      <c r="L33" s="509"/>
      <c r="M33" s="509"/>
      <c r="N33" s="509"/>
      <c r="O33" s="509"/>
      <c r="P33" s="509"/>
      <c r="Q33" s="509"/>
      <c r="R33" s="509"/>
      <c r="S33" s="509"/>
      <c r="T33" s="509"/>
      <c r="U33" s="1451"/>
      <c r="V33" s="1451"/>
      <c r="W33" s="1451"/>
      <c r="X33" s="1451"/>
      <c r="Y33" s="1451"/>
    </row>
    <row r="34" spans="1:25" s="1488" customFormat="1" ht="20.100000000000001" customHeight="1" x14ac:dyDescent="0.2">
      <c r="A34" s="1482"/>
      <c r="B34" s="1499" t="s">
        <v>795</v>
      </c>
      <c r="C34" s="1470" t="s">
        <v>794</v>
      </c>
      <c r="D34" s="1484"/>
      <c r="E34" s="1484"/>
      <c r="F34" s="1484"/>
      <c r="G34" s="1484"/>
      <c r="H34" s="1470">
        <f t="shared" ref="H34:T34" si="4">IF($C34="DANE 2018",H27,IF($C34="ESP",H30,H32))</f>
        <v>2.896822704110491E-2</v>
      </c>
      <c r="I34" s="1470">
        <f t="shared" si="4"/>
        <v>2.21704423411484E-2</v>
      </c>
      <c r="J34" s="1470">
        <f t="shared" si="4"/>
        <v>2.4300925954372055E-2</v>
      </c>
      <c r="K34" s="1470">
        <f t="shared" si="4"/>
        <v>2.5575564166856468E-2</v>
      </c>
      <c r="L34" s="1470">
        <f t="shared" si="4"/>
        <v>2.1997477914202479E-2</v>
      </c>
      <c r="M34" s="1470">
        <f t="shared" si="4"/>
        <v>2.1493099373034452E-2</v>
      </c>
      <c r="N34" s="1470">
        <f t="shared" si="4"/>
        <v>2.1503087076857552E-2</v>
      </c>
      <c r="O34" s="1470">
        <f t="shared" si="4"/>
        <v>2.1500186481209216E-2</v>
      </c>
      <c r="P34" s="1470">
        <f t="shared" si="4"/>
        <v>2.1500186481209216E-2</v>
      </c>
      <c r="Q34" s="1470">
        <f t="shared" si="4"/>
        <v>2.1500186481209216E-2</v>
      </c>
      <c r="R34" s="1470">
        <f t="shared" si="4"/>
        <v>2.1500186481209216E-2</v>
      </c>
      <c r="S34" s="1470">
        <f t="shared" si="4"/>
        <v>2.1500186481209216E-2</v>
      </c>
      <c r="T34" s="1470">
        <f t="shared" si="4"/>
        <v>2.1500186481209216E-2</v>
      </c>
      <c r="U34" s="1487"/>
      <c r="V34" s="1487"/>
      <c r="W34" s="1487"/>
      <c r="X34" s="1487"/>
      <c r="Y34" s="1487"/>
    </row>
    <row r="35" spans="1:25" s="1054" customFormat="1" ht="20.100000000000001" customHeight="1" x14ac:dyDescent="0.2">
      <c r="D35" s="509"/>
      <c r="E35" s="509"/>
      <c r="F35" s="509"/>
      <c r="G35" s="509"/>
      <c r="H35" s="509"/>
      <c r="I35" s="509"/>
      <c r="J35" s="509"/>
      <c r="K35" s="509"/>
      <c r="L35" s="509"/>
      <c r="M35" s="509"/>
      <c r="N35" s="509"/>
      <c r="O35" s="509"/>
      <c r="P35" s="509"/>
      <c r="Q35" s="509"/>
      <c r="R35" s="509"/>
      <c r="S35" s="509"/>
      <c r="T35" s="509"/>
      <c r="U35" s="1451"/>
      <c r="V35" s="1451"/>
      <c r="W35" s="1451"/>
      <c r="X35" s="1451"/>
      <c r="Y35" s="1451"/>
    </row>
    <row r="36" spans="1:25" s="808" customFormat="1" ht="30.75" customHeight="1" x14ac:dyDescent="0.25">
      <c r="A36" s="315"/>
      <c r="B36" s="1464" t="s">
        <v>796</v>
      </c>
      <c r="C36" s="810"/>
      <c r="D36" s="811"/>
      <c r="E36" s="811"/>
      <c r="F36" s="811"/>
      <c r="G36" s="811"/>
      <c r="H36" s="811"/>
      <c r="I36" s="811"/>
      <c r="J36" s="811"/>
      <c r="K36" s="811"/>
      <c r="L36" s="811"/>
      <c r="M36" s="811"/>
      <c r="N36" s="811"/>
      <c r="O36" s="811"/>
      <c r="P36" s="811"/>
      <c r="Q36" s="811"/>
      <c r="R36" s="811"/>
      <c r="S36" s="811"/>
      <c r="T36" s="811"/>
    </row>
    <row r="37" spans="1:25" s="491" customFormat="1" x14ac:dyDescent="0.2">
      <c r="A37" s="487"/>
      <c r="B37" s="1481"/>
      <c r="C37" s="492"/>
      <c r="D37" s="492"/>
      <c r="E37" s="492"/>
      <c r="F37" s="492"/>
      <c r="G37" s="492"/>
      <c r="H37" s="874"/>
      <c r="I37" s="874"/>
      <c r="J37" s="525"/>
      <c r="K37" s="525"/>
      <c r="L37" s="525"/>
      <c r="M37" s="525"/>
      <c r="N37" s="525"/>
      <c r="O37" s="525"/>
      <c r="P37" s="525"/>
      <c r="Q37" s="525"/>
      <c r="R37" s="525"/>
      <c r="S37" s="525"/>
      <c r="T37" s="525"/>
      <c r="U37" s="308"/>
      <c r="V37" s="308"/>
      <c r="W37" s="308"/>
      <c r="X37" s="308"/>
      <c r="Y37" s="308"/>
    </row>
    <row r="38" spans="1:25" ht="20.100000000000001" customHeight="1" x14ac:dyDescent="0.2">
      <c r="B38" s="498" t="s">
        <v>1204</v>
      </c>
      <c r="J38" s="1500">
        <v>-1.0999999999999999E-2</v>
      </c>
      <c r="K38" s="1501">
        <f>J38</f>
        <v>-1.0999999999999999E-2</v>
      </c>
      <c r="L38" s="1501">
        <f t="shared" ref="L38:T38" si="5">K38</f>
        <v>-1.0999999999999999E-2</v>
      </c>
      <c r="M38" s="1501">
        <f t="shared" si="5"/>
        <v>-1.0999999999999999E-2</v>
      </c>
      <c r="N38" s="1501">
        <f t="shared" si="5"/>
        <v>-1.0999999999999999E-2</v>
      </c>
      <c r="O38" s="1501">
        <f t="shared" si="5"/>
        <v>-1.0999999999999999E-2</v>
      </c>
      <c r="P38" s="1501">
        <f t="shared" si="5"/>
        <v>-1.0999999999999999E-2</v>
      </c>
      <c r="Q38" s="1501">
        <f t="shared" si="5"/>
        <v>-1.0999999999999999E-2</v>
      </c>
      <c r="R38" s="1501">
        <f t="shared" si="5"/>
        <v>-1.0999999999999999E-2</v>
      </c>
      <c r="S38" s="1501">
        <f t="shared" si="5"/>
        <v>-1.0999999999999999E-2</v>
      </c>
      <c r="T38" s="1501">
        <f t="shared" si="5"/>
        <v>-1.0999999999999999E-2</v>
      </c>
      <c r="U38" s="308"/>
      <c r="V38" s="308"/>
      <c r="W38" s="308"/>
      <c r="X38" s="308"/>
      <c r="Y38" s="308"/>
    </row>
    <row r="39" spans="1:25" ht="20.100000000000001" customHeight="1" x14ac:dyDescent="0.2">
      <c r="B39" s="498"/>
      <c r="J39" s="1494"/>
      <c r="K39" s="1494"/>
      <c r="L39" s="1494"/>
      <c r="M39" s="1494"/>
      <c r="N39" s="1494"/>
      <c r="O39" s="1494"/>
      <c r="P39" s="1494"/>
      <c r="Q39" s="1494"/>
      <c r="R39" s="1494"/>
      <c r="S39" s="1494"/>
      <c r="T39" s="1494"/>
      <c r="U39" s="308"/>
      <c r="V39" s="308"/>
      <c r="W39" s="308"/>
      <c r="X39" s="308"/>
      <c r="Y39" s="308"/>
    </row>
    <row r="40" spans="1:25" s="808" customFormat="1" ht="30.75" customHeight="1" x14ac:dyDescent="0.25">
      <c r="A40" s="315"/>
      <c r="B40" s="1464" t="str">
        <f>CONCATENATE("CLASIFICACIÓN DE USUARIOS ",$C$4)</f>
        <v>CLASIFICACIÓN DE USUARIOS amb S.A E.S.P</v>
      </c>
      <c r="C40" s="810"/>
      <c r="D40" s="811"/>
      <c r="E40" s="811"/>
      <c r="F40" s="811"/>
      <c r="G40" s="811"/>
      <c r="H40" s="811"/>
      <c r="I40" s="811"/>
      <c r="J40" s="811"/>
      <c r="K40" s="811"/>
      <c r="L40" s="811"/>
      <c r="M40" s="811"/>
      <c r="N40" s="811"/>
      <c r="O40" s="811"/>
      <c r="P40" s="811"/>
      <c r="Q40" s="811"/>
      <c r="R40" s="811"/>
      <c r="S40" s="811"/>
      <c r="T40" s="811"/>
    </row>
    <row r="41" spans="1:25" ht="20.100000000000001" customHeight="1" x14ac:dyDescent="0.2">
      <c r="B41" s="498"/>
      <c r="J41" s="1494"/>
      <c r="K41" s="1494"/>
      <c r="L41" s="1494"/>
      <c r="M41" s="1494"/>
      <c r="N41" s="1494"/>
      <c r="O41" s="1494"/>
      <c r="P41" s="1494"/>
      <c r="Q41" s="1494"/>
      <c r="R41" s="1494"/>
      <c r="S41" s="1494"/>
      <c r="T41" s="1494"/>
      <c r="U41" s="308"/>
      <c r="V41" s="308"/>
      <c r="W41" s="308"/>
      <c r="X41" s="308"/>
      <c r="Y41" s="308"/>
    </row>
    <row r="42" spans="1:25" x14ac:dyDescent="0.2">
      <c r="C42" s="1502" t="s">
        <v>397</v>
      </c>
      <c r="D42" s="1503"/>
      <c r="E42" s="1479"/>
      <c r="F42" s="1479"/>
      <c r="G42" s="1479"/>
      <c r="H42" s="1479"/>
      <c r="I42" s="1480"/>
      <c r="J42" s="1480"/>
      <c r="K42" s="1480"/>
      <c r="L42" s="1480"/>
      <c r="M42" s="1480"/>
      <c r="N42" s="1480"/>
      <c r="O42" s="1480"/>
      <c r="P42" s="1480"/>
      <c r="Q42" s="1480"/>
      <c r="R42" s="1480"/>
      <c r="S42" s="1480"/>
      <c r="T42" s="1480"/>
      <c r="U42" s="308"/>
      <c r="V42" s="308"/>
      <c r="W42" s="308"/>
      <c r="X42" s="308"/>
      <c r="Y42" s="308"/>
    </row>
    <row r="43" spans="1:25" x14ac:dyDescent="0.2">
      <c r="B43" s="1504"/>
      <c r="C43" s="1505">
        <v>2025</v>
      </c>
      <c r="D43" s="499"/>
      <c r="E43" s="1502" t="s">
        <v>1203</v>
      </c>
      <c r="U43" s="308"/>
      <c r="V43" s="308"/>
      <c r="W43" s="308"/>
      <c r="X43" s="308"/>
      <c r="Y43" s="308"/>
    </row>
    <row r="44" spans="1:25" x14ac:dyDescent="0.2">
      <c r="B44" s="493" t="s">
        <v>401</v>
      </c>
      <c r="C44" s="1506">
        <v>302847</v>
      </c>
      <c r="E44" s="1507">
        <f t="shared" ref="E44:E51" si="6">C44/SUM($C$44:$C$52)</f>
        <v>0.90832935925929259</v>
      </c>
      <c r="F44" s="1508"/>
      <c r="G44" s="1509"/>
      <c r="H44" s="1510">
        <v>289318</v>
      </c>
      <c r="I44" s="1510">
        <v>295667</v>
      </c>
      <c r="J44" s="1509">
        <f>C44</f>
        <v>302847</v>
      </c>
      <c r="K44" s="1509">
        <f t="shared" ref="K44:T51" si="7">INT(K$23*$E44)</f>
        <v>310593</v>
      </c>
      <c r="L44" s="1509">
        <f t="shared" si="7"/>
        <v>317425</v>
      </c>
      <c r="M44" s="1509">
        <f t="shared" si="7"/>
        <v>324248</v>
      </c>
      <c r="N44" s="1509">
        <f t="shared" si="7"/>
        <v>331220</v>
      </c>
      <c r="O44" s="1509">
        <f t="shared" si="7"/>
        <v>338341</v>
      </c>
      <c r="P44" s="1509">
        <f t="shared" si="7"/>
        <v>345616</v>
      </c>
      <c r="Q44" s="1509">
        <f t="shared" si="7"/>
        <v>353047</v>
      </c>
      <c r="R44" s="1509">
        <f t="shared" si="7"/>
        <v>360637</v>
      </c>
      <c r="S44" s="1509">
        <f t="shared" si="7"/>
        <v>368391</v>
      </c>
      <c r="T44" s="1509">
        <f t="shared" si="7"/>
        <v>376311</v>
      </c>
      <c r="U44" s="308"/>
      <c r="V44" s="308"/>
      <c r="W44" s="308"/>
      <c r="X44" s="308"/>
      <c r="Y44" s="308"/>
    </row>
    <row r="45" spans="1:25" x14ac:dyDescent="0.2">
      <c r="B45" s="493" t="s">
        <v>302</v>
      </c>
      <c r="C45" s="1506">
        <v>119</v>
      </c>
      <c r="E45" s="1507">
        <f t="shared" si="6"/>
        <v>3.5691683837665823E-4</v>
      </c>
      <c r="F45" s="1508"/>
      <c r="G45" s="1509"/>
      <c r="H45" s="1510">
        <v>119</v>
      </c>
      <c r="I45" s="1510">
        <v>118</v>
      </c>
      <c r="J45" s="1509">
        <f t="shared" ref="J45:J51" si="8">C45</f>
        <v>119</v>
      </c>
      <c r="K45" s="1509">
        <f t="shared" si="7"/>
        <v>122</v>
      </c>
      <c r="L45" s="1509">
        <f t="shared" si="7"/>
        <v>124</v>
      </c>
      <c r="M45" s="1509">
        <f t="shared" si="7"/>
        <v>127</v>
      </c>
      <c r="N45" s="1509">
        <f t="shared" si="7"/>
        <v>130</v>
      </c>
      <c r="O45" s="1509">
        <f t="shared" si="7"/>
        <v>132</v>
      </c>
      <c r="P45" s="1509">
        <f t="shared" si="7"/>
        <v>135</v>
      </c>
      <c r="Q45" s="1509">
        <f t="shared" si="7"/>
        <v>138</v>
      </c>
      <c r="R45" s="1509">
        <f t="shared" si="7"/>
        <v>141</v>
      </c>
      <c r="S45" s="1509">
        <f t="shared" si="7"/>
        <v>144</v>
      </c>
      <c r="T45" s="1509">
        <f t="shared" si="7"/>
        <v>147</v>
      </c>
      <c r="U45" s="308"/>
      <c r="V45" s="308"/>
      <c r="W45" s="308"/>
      <c r="X45" s="308"/>
      <c r="Y45" s="308"/>
    </row>
    <row r="46" spans="1:25" x14ac:dyDescent="0.2">
      <c r="B46" s="493" t="s">
        <v>1202</v>
      </c>
      <c r="C46" s="1506">
        <v>28638</v>
      </c>
      <c r="E46" s="1507">
        <f t="shared" si="6"/>
        <v>8.5893986701098643E-2</v>
      </c>
      <c r="F46" s="1508"/>
      <c r="G46" s="1509"/>
      <c r="H46" s="1510">
        <v>27306</v>
      </c>
      <c r="I46" s="1510">
        <v>27981</v>
      </c>
      <c r="J46" s="1509">
        <f t="shared" si="8"/>
        <v>28638</v>
      </c>
      <c r="K46" s="1509">
        <f t="shared" si="7"/>
        <v>29370</v>
      </c>
      <c r="L46" s="1509">
        <f t="shared" si="7"/>
        <v>30016</v>
      </c>
      <c r="M46" s="1509">
        <f t="shared" si="7"/>
        <v>30661</v>
      </c>
      <c r="N46" s="1509">
        <f t="shared" si="7"/>
        <v>31321</v>
      </c>
      <c r="O46" s="1509">
        <f t="shared" si="7"/>
        <v>31994</v>
      </c>
      <c r="P46" s="1509">
        <f t="shared" si="7"/>
        <v>32682</v>
      </c>
      <c r="Q46" s="1509">
        <f t="shared" si="7"/>
        <v>33385</v>
      </c>
      <c r="R46" s="1509">
        <f t="shared" si="7"/>
        <v>34102</v>
      </c>
      <c r="S46" s="1509">
        <f t="shared" si="7"/>
        <v>34836</v>
      </c>
      <c r="T46" s="1509">
        <f t="shared" si="7"/>
        <v>35585</v>
      </c>
      <c r="U46" s="308"/>
      <c r="V46" s="308"/>
      <c r="W46" s="308"/>
      <c r="X46" s="308"/>
      <c r="Y46" s="308"/>
    </row>
    <row r="47" spans="1:25" x14ac:dyDescent="0.2">
      <c r="B47" s="493" t="s">
        <v>303</v>
      </c>
      <c r="C47" s="1506">
        <v>862</v>
      </c>
      <c r="E47" s="1507">
        <f>C47/SUM($C$44:$C$52)</f>
        <v>2.5853976023586505E-3</v>
      </c>
      <c r="F47" s="1508"/>
      <c r="G47" s="1509"/>
      <c r="H47" s="1510">
        <v>846</v>
      </c>
      <c r="I47" s="1510">
        <v>848</v>
      </c>
      <c r="J47" s="1509">
        <f t="shared" si="8"/>
        <v>862</v>
      </c>
      <c r="K47" s="1509">
        <f t="shared" si="7"/>
        <v>884</v>
      </c>
      <c r="L47" s="1509">
        <f t="shared" si="7"/>
        <v>903</v>
      </c>
      <c r="M47" s="1509">
        <f t="shared" si="7"/>
        <v>922</v>
      </c>
      <c r="N47" s="1509">
        <f t="shared" si="7"/>
        <v>942</v>
      </c>
      <c r="O47" s="1509">
        <f t="shared" si="7"/>
        <v>963</v>
      </c>
      <c r="P47" s="1509">
        <f t="shared" si="7"/>
        <v>983</v>
      </c>
      <c r="Q47" s="1509">
        <f t="shared" si="7"/>
        <v>1004</v>
      </c>
      <c r="R47" s="1509">
        <f t="shared" si="7"/>
        <v>1026</v>
      </c>
      <c r="S47" s="1509">
        <f t="shared" si="7"/>
        <v>1048</v>
      </c>
      <c r="T47" s="1509">
        <f t="shared" si="7"/>
        <v>1071</v>
      </c>
      <c r="U47" s="308"/>
      <c r="V47" s="308"/>
      <c r="W47" s="308"/>
      <c r="X47" s="308"/>
      <c r="Y47" s="308"/>
    </row>
    <row r="48" spans="1:25" x14ac:dyDescent="0.2">
      <c r="B48" s="493" t="s">
        <v>304</v>
      </c>
      <c r="C48" s="1506">
        <v>215</v>
      </c>
      <c r="E48" s="1507">
        <f>C48/SUM($C$44:$C$52)</f>
        <v>6.4484975000824807E-4</v>
      </c>
      <c r="F48" s="1508"/>
      <c r="G48" s="1509"/>
      <c r="H48" s="1510">
        <v>241</v>
      </c>
      <c r="I48" s="1510">
        <v>237</v>
      </c>
      <c r="J48" s="1509">
        <f t="shared" si="8"/>
        <v>215</v>
      </c>
      <c r="K48" s="1509">
        <f t="shared" si="7"/>
        <v>220</v>
      </c>
      <c r="L48" s="1509">
        <f t="shared" si="7"/>
        <v>225</v>
      </c>
      <c r="M48" s="1509">
        <f t="shared" si="7"/>
        <v>230</v>
      </c>
      <c r="N48" s="1509">
        <f t="shared" si="7"/>
        <v>235</v>
      </c>
      <c r="O48" s="1509">
        <f t="shared" si="7"/>
        <v>240</v>
      </c>
      <c r="P48" s="1509">
        <f t="shared" si="7"/>
        <v>245</v>
      </c>
      <c r="Q48" s="1509">
        <f t="shared" si="7"/>
        <v>250</v>
      </c>
      <c r="R48" s="1509">
        <f t="shared" si="7"/>
        <v>256</v>
      </c>
      <c r="S48" s="1509">
        <f t="shared" si="7"/>
        <v>261</v>
      </c>
      <c r="T48" s="1509">
        <f t="shared" si="7"/>
        <v>267</v>
      </c>
      <c r="U48" s="308"/>
      <c r="V48" s="308"/>
      <c r="W48" s="308"/>
      <c r="X48" s="308"/>
      <c r="Y48" s="308"/>
    </row>
    <row r="49" spans="1:25" x14ac:dyDescent="0.2">
      <c r="B49" s="1511" t="s">
        <v>1163</v>
      </c>
      <c r="C49" s="1506">
        <v>268</v>
      </c>
      <c r="D49" s="487"/>
      <c r="E49" s="1507">
        <f t="shared" si="6"/>
        <v>8.0381271163818826E-4</v>
      </c>
      <c r="F49" s="487"/>
      <c r="G49" s="1509"/>
      <c r="H49" s="1510">
        <v>232</v>
      </c>
      <c r="I49" s="1510">
        <v>240</v>
      </c>
      <c r="J49" s="1509">
        <f t="shared" si="8"/>
        <v>268</v>
      </c>
      <c r="K49" s="1509">
        <f t="shared" si="7"/>
        <v>274</v>
      </c>
      <c r="L49" s="1509">
        <f t="shared" si="7"/>
        <v>280</v>
      </c>
      <c r="M49" s="1509">
        <f t="shared" si="7"/>
        <v>286</v>
      </c>
      <c r="N49" s="1509">
        <f t="shared" si="7"/>
        <v>293</v>
      </c>
      <c r="O49" s="1509">
        <f t="shared" si="7"/>
        <v>299</v>
      </c>
      <c r="P49" s="1509">
        <f t="shared" si="7"/>
        <v>305</v>
      </c>
      <c r="Q49" s="1509">
        <f t="shared" si="7"/>
        <v>312</v>
      </c>
      <c r="R49" s="1509">
        <f t="shared" si="7"/>
        <v>319</v>
      </c>
      <c r="S49" s="1509">
        <f t="shared" si="7"/>
        <v>326</v>
      </c>
      <c r="T49" s="1509">
        <f t="shared" si="7"/>
        <v>333</v>
      </c>
      <c r="U49" s="308"/>
      <c r="V49" s="308"/>
      <c r="W49" s="308"/>
      <c r="X49" s="308"/>
      <c r="Y49" s="308"/>
    </row>
    <row r="50" spans="1:25" x14ac:dyDescent="0.2">
      <c r="B50" s="1511" t="s">
        <v>797</v>
      </c>
      <c r="C50" s="1506">
        <v>462</v>
      </c>
      <c r="D50" s="487"/>
      <c r="E50" s="1507">
        <f t="shared" si="6"/>
        <v>1.3856771372270261E-3</v>
      </c>
      <c r="F50" s="487"/>
      <c r="G50" s="1512"/>
      <c r="H50" s="1510">
        <v>379</v>
      </c>
      <c r="I50" s="1510">
        <v>410</v>
      </c>
      <c r="J50" s="1509">
        <f t="shared" si="8"/>
        <v>462</v>
      </c>
      <c r="K50" s="1509">
        <f t="shared" si="7"/>
        <v>473</v>
      </c>
      <c r="L50" s="1509">
        <f t="shared" si="7"/>
        <v>484</v>
      </c>
      <c r="M50" s="1509">
        <f t="shared" si="7"/>
        <v>494</v>
      </c>
      <c r="N50" s="1509">
        <f t="shared" si="7"/>
        <v>505</v>
      </c>
      <c r="O50" s="1509">
        <f t="shared" si="7"/>
        <v>516</v>
      </c>
      <c r="P50" s="1509">
        <f t="shared" si="7"/>
        <v>527</v>
      </c>
      <c r="Q50" s="1509">
        <f t="shared" si="7"/>
        <v>538</v>
      </c>
      <c r="R50" s="1509">
        <f t="shared" si="7"/>
        <v>550</v>
      </c>
      <c r="S50" s="1509">
        <f t="shared" si="7"/>
        <v>561</v>
      </c>
      <c r="T50" s="1509">
        <f t="shared" si="7"/>
        <v>574</v>
      </c>
      <c r="U50" s="308"/>
      <c r="V50" s="308"/>
      <c r="W50" s="308"/>
      <c r="X50" s="308"/>
      <c r="Y50" s="308"/>
    </row>
    <row r="51" spans="1:25" x14ac:dyDescent="0.2">
      <c r="B51" s="895" t="s">
        <v>736</v>
      </c>
      <c r="C51" s="1506">
        <v>0</v>
      </c>
      <c r="E51" s="1507">
        <f t="shared" si="6"/>
        <v>0</v>
      </c>
      <c r="F51" s="1508"/>
      <c r="G51" s="1512"/>
      <c r="H51" s="1510">
        <v>1</v>
      </c>
      <c r="I51" s="1510">
        <v>1</v>
      </c>
      <c r="J51" s="1509">
        <f t="shared" si="8"/>
        <v>0</v>
      </c>
      <c r="K51" s="1509">
        <f t="shared" si="7"/>
        <v>0</v>
      </c>
      <c r="L51" s="1509">
        <f t="shared" si="7"/>
        <v>0</v>
      </c>
      <c r="M51" s="1509">
        <f t="shared" si="7"/>
        <v>0</v>
      </c>
      <c r="N51" s="1509">
        <f t="shared" si="7"/>
        <v>0</v>
      </c>
      <c r="O51" s="1509">
        <f t="shared" si="7"/>
        <v>0</v>
      </c>
      <c r="P51" s="1509">
        <f t="shared" si="7"/>
        <v>0</v>
      </c>
      <c r="Q51" s="1509">
        <f t="shared" si="7"/>
        <v>0</v>
      </c>
      <c r="R51" s="1509">
        <f t="shared" si="7"/>
        <v>0</v>
      </c>
      <c r="S51" s="1509">
        <f t="shared" si="7"/>
        <v>0</v>
      </c>
      <c r="T51" s="1509">
        <f t="shared" si="7"/>
        <v>0</v>
      </c>
      <c r="U51" s="308"/>
      <c r="V51" s="308"/>
      <c r="W51" s="308"/>
      <c r="X51" s="308"/>
      <c r="Y51" s="308"/>
    </row>
    <row r="52" spans="1:25" x14ac:dyDescent="0.2">
      <c r="B52" s="493"/>
      <c r="E52" s="1513"/>
      <c r="F52" s="1508"/>
      <c r="G52" s="1508"/>
      <c r="H52" s="800"/>
      <c r="I52" s="1514"/>
      <c r="J52" s="1515"/>
      <c r="K52" s="1515"/>
      <c r="L52" s="1515"/>
      <c r="M52" s="1515"/>
      <c r="N52" s="1515"/>
      <c r="O52" s="1515"/>
      <c r="P52" s="1515"/>
      <c r="Q52" s="1515"/>
      <c r="R52" s="1515"/>
      <c r="S52" s="1515"/>
      <c r="T52" s="1515"/>
      <c r="U52" s="308"/>
      <c r="V52" s="308"/>
      <c r="W52" s="308"/>
      <c r="X52" s="308"/>
      <c r="Y52" s="308"/>
    </row>
    <row r="53" spans="1:25" x14ac:dyDescent="0.2">
      <c r="B53" s="1499" t="s">
        <v>798</v>
      </c>
      <c r="C53" s="1516">
        <f>SUM(C44:C51)</f>
        <v>333411</v>
      </c>
      <c r="E53" s="518"/>
      <c r="U53" s="308"/>
      <c r="V53" s="308"/>
      <c r="W53" s="308"/>
      <c r="X53" s="308"/>
      <c r="Y53" s="308"/>
    </row>
    <row r="54" spans="1:25" ht="0.95" customHeight="1" x14ac:dyDescent="0.2">
      <c r="B54" s="501"/>
      <c r="C54" s="496"/>
      <c r="E54" s="518"/>
      <c r="U54" s="308"/>
      <c r="V54" s="308"/>
      <c r="W54" s="308"/>
      <c r="X54" s="308"/>
      <c r="Y54" s="308"/>
    </row>
    <row r="55" spans="1:25" ht="0.95" customHeight="1" x14ac:dyDescent="0.2">
      <c r="B55" s="493"/>
      <c r="C55" s="496"/>
      <c r="E55" s="1517"/>
      <c r="F55" s="1508"/>
      <c r="G55" s="1508"/>
      <c r="H55" s="1508"/>
      <c r="U55" s="308"/>
      <c r="V55" s="308"/>
      <c r="W55" s="308"/>
      <c r="X55" s="308"/>
      <c r="Y55" s="308"/>
    </row>
    <row r="56" spans="1:25" ht="0.95" customHeight="1" x14ac:dyDescent="0.2">
      <c r="B56" s="493"/>
      <c r="C56" s="496"/>
      <c r="E56" s="1517"/>
      <c r="F56" s="1508"/>
      <c r="G56" s="1508"/>
      <c r="H56" s="1508"/>
      <c r="U56" s="308"/>
      <c r="V56" s="308"/>
      <c r="W56" s="308"/>
      <c r="X56" s="308"/>
      <c r="Y56" s="308"/>
    </row>
    <row r="57" spans="1:25" ht="0.95" customHeight="1" x14ac:dyDescent="0.2">
      <c r="B57" s="493"/>
      <c r="C57" s="496"/>
      <c r="E57" s="1517"/>
      <c r="F57" s="1508"/>
      <c r="G57" s="1508"/>
      <c r="H57" s="1508"/>
      <c r="U57" s="308"/>
      <c r="V57" s="308"/>
      <c r="W57" s="308"/>
      <c r="X57" s="308"/>
      <c r="Y57" s="308"/>
    </row>
    <row r="58" spans="1:25" ht="0.95" customHeight="1" x14ac:dyDescent="0.2">
      <c r="B58" s="493"/>
      <c r="C58" s="496"/>
      <c r="E58" s="1517"/>
      <c r="F58" s="1508"/>
      <c r="G58" s="1508"/>
      <c r="H58" s="1508"/>
      <c r="U58" s="308"/>
      <c r="V58" s="308"/>
      <c r="W58" s="308"/>
      <c r="X58" s="308"/>
      <c r="Y58" s="308"/>
    </row>
    <row r="59" spans="1:25" ht="0.95" customHeight="1" x14ac:dyDescent="0.2">
      <c r="B59" s="493"/>
      <c r="C59" s="496"/>
      <c r="E59" s="1517"/>
      <c r="F59" s="1508"/>
      <c r="G59" s="1508"/>
      <c r="H59" s="1508"/>
      <c r="U59" s="308"/>
      <c r="V59" s="308"/>
      <c r="W59" s="308"/>
      <c r="X59" s="308"/>
      <c r="Y59" s="308"/>
    </row>
    <row r="60" spans="1:25" ht="20.25" customHeight="1" x14ac:dyDescent="0.2">
      <c r="B60" s="493"/>
      <c r="C60" s="496"/>
      <c r="E60" s="1517"/>
      <c r="F60" s="1508"/>
      <c r="G60" s="1508"/>
      <c r="H60" s="1508"/>
      <c r="U60" s="308"/>
      <c r="V60" s="308"/>
      <c r="W60" s="308"/>
      <c r="X60" s="308"/>
      <c r="Y60" s="308"/>
    </row>
    <row r="61" spans="1:25" s="808" customFormat="1" ht="30.75" customHeight="1" x14ac:dyDescent="0.25">
      <c r="A61" s="315"/>
      <c r="B61" s="1464" t="str">
        <f>CONCATENATE("CARACTERÍSTICAS USUARIOS ",$C$4)</f>
        <v>CARACTERÍSTICAS USUARIOS amb S.A E.S.P</v>
      </c>
      <c r="C61" s="810"/>
      <c r="D61" s="811"/>
      <c r="E61" s="811"/>
      <c r="F61" s="811"/>
      <c r="G61" s="811"/>
      <c r="H61" s="811"/>
      <c r="I61" s="811"/>
      <c r="J61" s="811"/>
      <c r="K61" s="811"/>
      <c r="L61" s="811"/>
      <c r="M61" s="811"/>
      <c r="N61" s="811"/>
      <c r="O61" s="811"/>
      <c r="P61" s="811"/>
      <c r="Q61" s="811"/>
      <c r="R61" s="811"/>
      <c r="S61" s="811"/>
      <c r="T61" s="811"/>
    </row>
    <row r="62" spans="1:25" ht="0.95" customHeight="1" x14ac:dyDescent="0.2">
      <c r="C62" s="496"/>
      <c r="U62" s="308"/>
      <c r="V62" s="308"/>
      <c r="W62" s="308"/>
      <c r="X62" s="308"/>
      <c r="Y62" s="308"/>
    </row>
    <row r="64" spans="1:25" s="875" customFormat="1" x14ac:dyDescent="0.25">
      <c r="B64" s="1518" t="s">
        <v>798</v>
      </c>
      <c r="C64" s="876"/>
      <c r="D64" s="877"/>
      <c r="E64" s="877"/>
      <c r="F64" s="877"/>
      <c r="G64" s="877"/>
      <c r="H64" s="877"/>
      <c r="I64" s="1519">
        <f t="shared" ref="I64:T64" si="9">+I66+I67</f>
        <v>325502</v>
      </c>
      <c r="J64" s="1519">
        <f t="shared" si="9"/>
        <v>333412</v>
      </c>
      <c r="K64" s="1519">
        <f t="shared" si="9"/>
        <v>341939.19999999995</v>
      </c>
      <c r="L64" s="1519">
        <f t="shared" si="9"/>
        <v>349461</v>
      </c>
      <c r="M64" s="1519">
        <f t="shared" si="9"/>
        <v>356972</v>
      </c>
      <c r="N64" s="1519">
        <f t="shared" si="9"/>
        <v>364648</v>
      </c>
      <c r="O64" s="1519">
        <f t="shared" si="9"/>
        <v>372488</v>
      </c>
      <c r="P64" s="1519">
        <f t="shared" si="9"/>
        <v>380496.56146201264</v>
      </c>
      <c r="Q64" s="1519">
        <f t="shared" si="9"/>
        <v>388677.30848890479</v>
      </c>
      <c r="R64" s="1519">
        <f t="shared" si="9"/>
        <v>397033.94310243073</v>
      </c>
      <c r="S64" s="1519">
        <f t="shared" si="9"/>
        <v>405570.24691850279</v>
      </c>
      <c r="T64" s="1519">
        <f t="shared" si="9"/>
        <v>414290.08285848069</v>
      </c>
      <c r="U64" s="331"/>
      <c r="V64" s="331"/>
      <c r="W64" s="331"/>
      <c r="X64" s="331"/>
      <c r="Y64" s="331"/>
    </row>
    <row r="65" spans="1:25" x14ac:dyDescent="0.2">
      <c r="B65" s="498"/>
    </row>
    <row r="66" spans="1:25" ht="20.100000000000001" customHeight="1" x14ac:dyDescent="0.2">
      <c r="B66" s="487" t="s">
        <v>1205</v>
      </c>
      <c r="C66" s="496"/>
      <c r="D66" s="1486">
        <f>+D23-D67</f>
        <v>288799</v>
      </c>
      <c r="E66" s="1486">
        <f t="shared" ref="E66:T66" si="10">+E23-E67</f>
        <v>283007</v>
      </c>
      <c r="F66" s="1486">
        <f t="shared" si="10"/>
        <v>300116.3395</v>
      </c>
      <c r="G66" s="1486">
        <f t="shared" si="10"/>
        <v>309477</v>
      </c>
      <c r="H66" s="1486">
        <f t="shared" si="10"/>
        <v>318442</v>
      </c>
      <c r="I66" s="1486">
        <f t="shared" si="10"/>
        <v>323877</v>
      </c>
      <c r="J66" s="1486">
        <f t="shared" si="10"/>
        <v>332271</v>
      </c>
      <c r="K66" s="1486">
        <f t="shared" si="10"/>
        <v>340769.01828128559</v>
      </c>
      <c r="L66" s="1486">
        <f t="shared" si="10"/>
        <v>348265.07723477262</v>
      </c>
      <c r="M66" s="1486">
        <f t="shared" si="10"/>
        <v>355750.37314793706</v>
      </c>
      <c r="N66" s="1486">
        <f t="shared" si="10"/>
        <v>363400.10439936176</v>
      </c>
      <c r="O66" s="1486">
        <f t="shared" si="10"/>
        <v>371213.27441123896</v>
      </c>
      <c r="P66" s="1486">
        <f t="shared" si="10"/>
        <v>379194.42903538083</v>
      </c>
      <c r="Q66" s="1486">
        <f t="shared" si="10"/>
        <v>387347.1799722772</v>
      </c>
      <c r="R66" s="1486">
        <f t="shared" si="10"/>
        <v>395675.21657465165</v>
      </c>
      <c r="S66" s="1486">
        <f t="shared" si="10"/>
        <v>404182.30751699948</v>
      </c>
      <c r="T66" s="1486">
        <f t="shared" si="10"/>
        <v>412872.30250102049</v>
      </c>
      <c r="U66" s="308"/>
      <c r="V66" s="308"/>
      <c r="W66" s="308"/>
      <c r="X66" s="308"/>
      <c r="Y66" s="308"/>
    </row>
    <row r="67" spans="1:25" ht="20.100000000000001" customHeight="1" x14ac:dyDescent="0.2">
      <c r="A67" s="308"/>
      <c r="B67" s="487" t="s">
        <v>934</v>
      </c>
      <c r="C67" s="1520"/>
      <c r="D67" s="1506"/>
      <c r="E67" s="1506">
        <v>11756</v>
      </c>
      <c r="F67" s="1506">
        <f>+F23-(F23*0.9895)</f>
        <v>3184.6604999999981</v>
      </c>
      <c r="G67" s="1506"/>
      <c r="H67" s="1506"/>
      <c r="I67" s="1506">
        <v>1625</v>
      </c>
      <c r="J67" s="1454">
        <v>1141</v>
      </c>
      <c r="K67" s="1453">
        <f t="shared" ref="K67:T67" si="11">+J68*K23</f>
        <v>1170.1817187143831</v>
      </c>
      <c r="L67" s="1453">
        <f t="shared" si="11"/>
        <v>1195.9227652274062</v>
      </c>
      <c r="M67" s="1453">
        <f t="shared" si="11"/>
        <v>1221.626852062913</v>
      </c>
      <c r="N67" s="1453">
        <f t="shared" si="11"/>
        <v>1247.8956006382493</v>
      </c>
      <c r="O67" s="1453">
        <f t="shared" si="11"/>
        <v>1274.7255887610522</v>
      </c>
      <c r="P67" s="1453">
        <f t="shared" si="11"/>
        <v>1302.132426631784</v>
      </c>
      <c r="Q67" s="1453">
        <f t="shared" si="11"/>
        <v>1330.1285166275968</v>
      </c>
      <c r="R67" s="1453">
        <f t="shared" si="11"/>
        <v>1358.7265277790643</v>
      </c>
      <c r="S67" s="1453">
        <f t="shared" si="11"/>
        <v>1387.9394015032801</v>
      </c>
      <c r="T67" s="1453">
        <f t="shared" si="11"/>
        <v>1417.7803574602187</v>
      </c>
      <c r="U67" s="308"/>
      <c r="V67" s="308"/>
      <c r="W67" s="308"/>
      <c r="X67" s="308"/>
      <c r="Y67" s="308"/>
    </row>
    <row r="68" spans="1:25" s="488" customFormat="1" ht="20.100000000000001" customHeight="1" x14ac:dyDescent="0.2">
      <c r="B68" s="488" t="s">
        <v>799</v>
      </c>
      <c r="C68" s="1521"/>
      <c r="D68" s="1470">
        <f t="shared" ref="D68:I68" si="12">IFERROR(D67/D66,0)</f>
        <v>0</v>
      </c>
      <c r="E68" s="1470">
        <f t="shared" si="12"/>
        <v>4.1539608560918991E-2</v>
      </c>
      <c r="F68" s="1470">
        <f t="shared" si="12"/>
        <v>1.0611419909044966E-2</v>
      </c>
      <c r="G68" s="1470">
        <f t="shared" si="12"/>
        <v>0</v>
      </c>
      <c r="H68" s="1470">
        <f t="shared" si="12"/>
        <v>0</v>
      </c>
      <c r="I68" s="1470">
        <f t="shared" si="12"/>
        <v>5.0173368284873576E-3</v>
      </c>
      <c r="J68" s="1522">
        <f>IFERROR(J67/J64,0)</f>
        <v>3.4221923626024256E-3</v>
      </c>
      <c r="K68" s="1522">
        <f t="shared" ref="K68:T68" si="13">IFERROR(K67/K64,0)</f>
        <v>3.4221923626024256E-3</v>
      </c>
      <c r="L68" s="1522">
        <f t="shared" si="13"/>
        <v>3.4221923626024256E-3</v>
      </c>
      <c r="M68" s="1522">
        <f t="shared" si="13"/>
        <v>3.4221923626024256E-3</v>
      </c>
      <c r="N68" s="1522">
        <f t="shared" si="13"/>
        <v>3.4221923626024256E-3</v>
      </c>
      <c r="O68" s="1522">
        <f t="shared" si="13"/>
        <v>3.4221923626024252E-3</v>
      </c>
      <c r="P68" s="1522">
        <f t="shared" si="13"/>
        <v>3.4221923626024256E-3</v>
      </c>
      <c r="Q68" s="1522">
        <f t="shared" si="13"/>
        <v>3.4221923626024252E-3</v>
      </c>
      <c r="R68" s="1522">
        <f t="shared" si="13"/>
        <v>3.4221923626024252E-3</v>
      </c>
      <c r="S68" s="1522">
        <f t="shared" si="13"/>
        <v>3.4221923626024256E-3</v>
      </c>
      <c r="T68" s="1522">
        <f t="shared" si="13"/>
        <v>3.4221923626024256E-3</v>
      </c>
      <c r="U68" s="1523"/>
      <c r="V68" s="1523"/>
      <c r="W68" s="1523"/>
      <c r="X68" s="1523"/>
      <c r="Y68" s="1523"/>
    </row>
    <row r="69" spans="1:25" ht="20.100000000000001" customHeight="1" x14ac:dyDescent="0.2">
      <c r="C69" s="496"/>
      <c r="D69" s="1455"/>
      <c r="E69" s="1455"/>
      <c r="F69" s="1455"/>
      <c r="G69" s="1455"/>
      <c r="H69" s="1455"/>
      <c r="I69" s="1496"/>
      <c r="J69" s="499"/>
      <c r="K69" s="499"/>
      <c r="L69" s="499"/>
      <c r="M69" s="499"/>
      <c r="N69" s="499"/>
      <c r="O69" s="499"/>
      <c r="P69" s="499"/>
      <c r="Q69" s="499"/>
      <c r="R69" s="499"/>
      <c r="S69" s="499"/>
      <c r="T69" s="499"/>
      <c r="U69" s="308"/>
      <c r="V69" s="308"/>
      <c r="W69" s="308"/>
      <c r="X69" s="308"/>
      <c r="Y69" s="308"/>
    </row>
    <row r="70" spans="1:25" ht="20.100000000000001" customHeight="1" x14ac:dyDescent="0.2">
      <c r="B70" s="308" t="s">
        <v>1217</v>
      </c>
      <c r="C70" s="496"/>
      <c r="D70" s="1524"/>
      <c r="E70" s="1524"/>
      <c r="F70" s="1524"/>
      <c r="G70" s="1524"/>
      <c r="H70" s="1506"/>
      <c r="I70" s="1524"/>
      <c r="J70" s="1524">
        <v>9876</v>
      </c>
      <c r="K70" s="1525">
        <f>J70</f>
        <v>9876</v>
      </c>
      <c r="L70" s="1525">
        <f t="shared" ref="L70:T70" si="14">K70</f>
        <v>9876</v>
      </c>
      <c r="M70" s="1525">
        <f t="shared" si="14"/>
        <v>9876</v>
      </c>
      <c r="N70" s="1525">
        <f t="shared" si="14"/>
        <v>9876</v>
      </c>
      <c r="O70" s="1525">
        <f t="shared" si="14"/>
        <v>9876</v>
      </c>
      <c r="P70" s="1525">
        <f t="shared" si="14"/>
        <v>9876</v>
      </c>
      <c r="Q70" s="1525">
        <f t="shared" si="14"/>
        <v>9876</v>
      </c>
      <c r="R70" s="1525">
        <f t="shared" si="14"/>
        <v>9876</v>
      </c>
      <c r="S70" s="1525">
        <f t="shared" si="14"/>
        <v>9876</v>
      </c>
      <c r="T70" s="1525">
        <f t="shared" si="14"/>
        <v>9876</v>
      </c>
      <c r="U70" s="1453"/>
      <c r="V70" s="308"/>
      <c r="W70" s="308"/>
      <c r="X70" s="308"/>
      <c r="Y70" s="308"/>
    </row>
    <row r="71" spans="1:25" ht="20.100000000000001" customHeight="1" x14ac:dyDescent="0.2">
      <c r="B71" s="308" t="s">
        <v>1206</v>
      </c>
      <c r="C71" s="1526">
        <v>0</v>
      </c>
      <c r="D71" s="1454"/>
      <c r="E71" s="1454"/>
      <c r="F71" s="1454"/>
      <c r="G71" s="1454"/>
      <c r="H71" s="1454"/>
      <c r="I71" s="1454"/>
      <c r="J71" s="1454">
        <v>0</v>
      </c>
      <c r="K71" s="1453">
        <f t="shared" ref="K71:T71" si="15">+K64*C71</f>
        <v>0</v>
      </c>
      <c r="L71" s="1453">
        <f t="shared" si="15"/>
        <v>0</v>
      </c>
      <c r="M71" s="1453">
        <f t="shared" si="15"/>
        <v>0</v>
      </c>
      <c r="N71" s="1453">
        <f t="shared" si="15"/>
        <v>0</v>
      </c>
      <c r="O71" s="1453">
        <f t="shared" si="15"/>
        <v>0</v>
      </c>
      <c r="P71" s="1453">
        <f t="shared" si="15"/>
        <v>0</v>
      </c>
      <c r="Q71" s="1453">
        <f t="shared" si="15"/>
        <v>0</v>
      </c>
      <c r="R71" s="1453">
        <f t="shared" si="15"/>
        <v>0</v>
      </c>
      <c r="S71" s="1453">
        <f t="shared" si="15"/>
        <v>0</v>
      </c>
      <c r="T71" s="1453">
        <f t="shared" si="15"/>
        <v>0</v>
      </c>
      <c r="U71" s="1453"/>
      <c r="V71" s="308"/>
      <c r="W71" s="308"/>
      <c r="X71" s="308"/>
      <c r="Y71" s="308"/>
    </row>
    <row r="72" spans="1:25" ht="20.100000000000001" customHeight="1" x14ac:dyDescent="0.2">
      <c r="B72" s="308" t="s">
        <v>1218</v>
      </c>
      <c r="C72" s="496"/>
      <c r="D72" s="1454"/>
      <c r="E72" s="1454"/>
      <c r="F72" s="1454"/>
      <c r="G72" s="1454"/>
      <c r="H72" s="1454"/>
      <c r="I72" s="1454"/>
      <c r="J72" s="1454">
        <v>43185</v>
      </c>
      <c r="K72" s="1453">
        <f t="shared" ref="K72:T73" si="16">J72</f>
        <v>43185</v>
      </c>
      <c r="L72" s="1453">
        <f t="shared" si="16"/>
        <v>43185</v>
      </c>
      <c r="M72" s="1453">
        <f t="shared" si="16"/>
        <v>43185</v>
      </c>
      <c r="N72" s="1453">
        <f t="shared" si="16"/>
        <v>43185</v>
      </c>
      <c r="O72" s="1453">
        <f t="shared" si="16"/>
        <v>43185</v>
      </c>
      <c r="P72" s="1453">
        <f t="shared" si="16"/>
        <v>43185</v>
      </c>
      <c r="Q72" s="1453">
        <f t="shared" si="16"/>
        <v>43185</v>
      </c>
      <c r="R72" s="1453">
        <f t="shared" si="16"/>
        <v>43185</v>
      </c>
      <c r="S72" s="1453">
        <f t="shared" si="16"/>
        <v>43185</v>
      </c>
      <c r="T72" s="1453">
        <f t="shared" si="16"/>
        <v>43185</v>
      </c>
      <c r="U72" s="1453"/>
      <c r="V72" s="308"/>
      <c r="W72" s="308"/>
      <c r="X72" s="308"/>
      <c r="Y72" s="308"/>
    </row>
    <row r="73" spans="1:25" ht="20.100000000000001" hidden="1" customHeight="1" x14ac:dyDescent="0.2">
      <c r="B73" s="308" t="s">
        <v>746</v>
      </c>
      <c r="C73" s="496"/>
      <c r="D73" s="1454"/>
      <c r="E73" s="1454"/>
      <c r="F73" s="1454"/>
      <c r="G73" s="1454"/>
      <c r="H73" s="1454"/>
      <c r="I73" s="1454"/>
      <c r="J73" s="1454"/>
      <c r="K73" s="1453">
        <f t="shared" si="16"/>
        <v>0</v>
      </c>
      <c r="L73" s="1453">
        <f t="shared" si="16"/>
        <v>0</v>
      </c>
      <c r="M73" s="1453">
        <f t="shared" si="16"/>
        <v>0</v>
      </c>
      <c r="N73" s="1453">
        <f t="shared" si="16"/>
        <v>0</v>
      </c>
      <c r="O73" s="1453">
        <f t="shared" si="16"/>
        <v>0</v>
      </c>
      <c r="P73" s="1453">
        <f t="shared" si="16"/>
        <v>0</v>
      </c>
      <c r="Q73" s="1453">
        <f t="shared" si="16"/>
        <v>0</v>
      </c>
      <c r="R73" s="1453">
        <f t="shared" si="16"/>
        <v>0</v>
      </c>
      <c r="S73" s="1453">
        <f t="shared" si="16"/>
        <v>0</v>
      </c>
      <c r="T73" s="1453">
        <f t="shared" si="16"/>
        <v>0</v>
      </c>
      <c r="U73" s="1453"/>
      <c r="V73" s="308"/>
      <c r="W73" s="308"/>
      <c r="X73" s="308"/>
      <c r="Y73" s="308"/>
    </row>
    <row r="74" spans="1:25" ht="20.100000000000001" customHeight="1" x14ac:dyDescent="0.2">
      <c r="B74" s="308" t="s">
        <v>1219</v>
      </c>
      <c r="C74" s="1527">
        <v>1.3100000000000001E-2</v>
      </c>
      <c r="D74" s="1528"/>
      <c r="E74" s="1528"/>
      <c r="F74" s="1528"/>
      <c r="G74" s="1528"/>
      <c r="H74" s="1528"/>
      <c r="I74" s="1528"/>
      <c r="J74" s="1528">
        <v>288</v>
      </c>
      <c r="K74" s="313">
        <f>+J74*(1+$C$74)</f>
        <v>291.77280000000002</v>
      </c>
      <c r="L74" s="313">
        <f t="shared" ref="L74:T74" si="17">+K74*(1+$C$74)</f>
        <v>295.59502368000005</v>
      </c>
      <c r="M74" s="313">
        <f t="shared" si="17"/>
        <v>299.46731849020807</v>
      </c>
      <c r="N74" s="313">
        <f t="shared" si="17"/>
        <v>303.39034036242981</v>
      </c>
      <c r="O74" s="313">
        <f t="shared" si="17"/>
        <v>307.36475382117766</v>
      </c>
      <c r="P74" s="313">
        <f t="shared" si="17"/>
        <v>311.39123209623511</v>
      </c>
      <c r="Q74" s="313">
        <f t="shared" si="17"/>
        <v>315.47045723669584</v>
      </c>
      <c r="R74" s="313">
        <f t="shared" si="17"/>
        <v>319.60312022649657</v>
      </c>
      <c r="S74" s="313">
        <f t="shared" si="17"/>
        <v>323.78992110146373</v>
      </c>
      <c r="T74" s="313">
        <f t="shared" si="17"/>
        <v>328.03156906789292</v>
      </c>
      <c r="U74" s="313"/>
      <c r="V74" s="308"/>
      <c r="W74" s="308"/>
      <c r="X74" s="308"/>
      <c r="Y74" s="308"/>
    </row>
    <row r="75" spans="1:25" ht="20.100000000000001" customHeight="1" x14ac:dyDescent="0.2">
      <c r="B75" s="488" t="s">
        <v>800</v>
      </c>
      <c r="C75" s="1529"/>
      <c r="D75" s="1470">
        <f t="shared" ref="D75:J75" si="18">IFERROR(D74/D66,0)</f>
        <v>0</v>
      </c>
      <c r="E75" s="1470">
        <f t="shared" si="18"/>
        <v>0</v>
      </c>
      <c r="F75" s="1470">
        <f t="shared" si="18"/>
        <v>0</v>
      </c>
      <c r="G75" s="1470">
        <f t="shared" si="18"/>
        <v>0</v>
      </c>
      <c r="H75" s="1470">
        <f t="shared" si="18"/>
        <v>0</v>
      </c>
      <c r="I75" s="1470">
        <f t="shared" si="18"/>
        <v>0</v>
      </c>
      <c r="J75" s="1470">
        <f t="shared" si="18"/>
        <v>8.6676237167853949E-4</v>
      </c>
      <c r="K75" s="1470">
        <f t="shared" ref="K75:T75" si="19">IFERROR(K74/K66,0)</f>
        <v>8.5621868288260307E-4</v>
      </c>
      <c r="L75" s="1470">
        <f t="shared" si="19"/>
        <v>8.4876446994636037E-4</v>
      </c>
      <c r="M75" s="1470">
        <f t="shared" si="19"/>
        <v>8.4179059558055908E-4</v>
      </c>
      <c r="N75" s="1470">
        <f t="shared" si="19"/>
        <v>8.348658591165849E-4</v>
      </c>
      <c r="O75" s="1470">
        <f t="shared" si="19"/>
        <v>8.2800043804648977E-4</v>
      </c>
      <c r="P75" s="1470">
        <f t="shared" si="19"/>
        <v>8.2119147395802244E-4</v>
      </c>
      <c r="Q75" s="1470">
        <f t="shared" si="19"/>
        <v>8.1443850258384315E-4</v>
      </c>
      <c r="R75" s="1470">
        <f t="shared" si="19"/>
        <v>8.0774106347446045E-4</v>
      </c>
      <c r="S75" s="1470">
        <f t="shared" si="19"/>
        <v>8.010986999668348E-4</v>
      </c>
      <c r="T75" s="1470">
        <f t="shared" si="19"/>
        <v>7.9451095915324121E-4</v>
      </c>
      <c r="U75" s="308"/>
      <c r="V75" s="308"/>
      <c r="W75" s="308"/>
      <c r="X75" s="308"/>
      <c r="Y75" s="308"/>
    </row>
    <row r="76" spans="1:25" ht="20.100000000000001" customHeight="1" x14ac:dyDescent="0.2">
      <c r="C76" s="1529"/>
      <c r="D76" s="496"/>
      <c r="E76" s="496"/>
      <c r="F76" s="496"/>
      <c r="G76" s="496"/>
      <c r="H76" s="496"/>
      <c r="I76" s="1496"/>
      <c r="J76" s="499"/>
      <c r="K76" s="499"/>
      <c r="L76" s="499"/>
      <c r="M76" s="499"/>
      <c r="N76" s="499"/>
      <c r="O76" s="499"/>
      <c r="P76" s="499"/>
      <c r="Q76" s="499"/>
      <c r="R76" s="499"/>
      <c r="S76" s="499"/>
      <c r="T76" s="499"/>
      <c r="U76" s="308"/>
      <c r="V76" s="308"/>
      <c r="W76" s="308"/>
      <c r="X76" s="308"/>
      <c r="Y76" s="308"/>
    </row>
    <row r="77" spans="1:25" ht="20.100000000000001" customHeight="1" x14ac:dyDescent="0.2">
      <c r="B77" s="487" t="s">
        <v>1220</v>
      </c>
      <c r="C77" s="1529"/>
      <c r="D77" s="1530"/>
      <c r="E77" s="1530"/>
      <c r="F77" s="1530"/>
      <c r="G77" s="1530"/>
      <c r="H77" s="1530"/>
      <c r="I77" s="1530"/>
      <c r="J77" s="1530">
        <v>2147</v>
      </c>
      <c r="K77" s="1531">
        <f>+J77*(1+K38)</f>
        <v>2123.3829999999998</v>
      </c>
      <c r="L77" s="1531">
        <f t="shared" ref="L77:T77" si="20">+K77*(1+L38)</f>
        <v>2100.0257869999996</v>
      </c>
      <c r="M77" s="1531">
        <f t="shared" si="20"/>
        <v>2076.9255033429995</v>
      </c>
      <c r="N77" s="1531">
        <f t="shared" si="20"/>
        <v>2054.0793228062266</v>
      </c>
      <c r="O77" s="1531">
        <f t="shared" si="20"/>
        <v>2031.4844502553581</v>
      </c>
      <c r="P77" s="1531">
        <f t="shared" si="20"/>
        <v>2009.1381213025491</v>
      </c>
      <c r="Q77" s="1531">
        <f t="shared" si="20"/>
        <v>1987.037601968221</v>
      </c>
      <c r="R77" s="1531">
        <f t="shared" si="20"/>
        <v>1965.1801883465705</v>
      </c>
      <c r="S77" s="1531">
        <f t="shared" si="20"/>
        <v>1943.5632062747582</v>
      </c>
      <c r="T77" s="1531">
        <f t="shared" si="20"/>
        <v>1922.1840110057358</v>
      </c>
      <c r="U77" s="308"/>
      <c r="V77" s="308"/>
      <c r="W77" s="308"/>
      <c r="X77" s="308"/>
      <c r="Y77" s="308"/>
    </row>
    <row r="78" spans="1:25" ht="20.100000000000001" customHeight="1" x14ac:dyDescent="0.2">
      <c r="B78" s="308" t="s">
        <v>1263</v>
      </c>
      <c r="C78" s="1529"/>
      <c r="D78" s="1532"/>
      <c r="E78" s="1532"/>
      <c r="F78" s="1532"/>
      <c r="G78" s="1532"/>
      <c r="H78" s="1532"/>
      <c r="I78" s="1532"/>
      <c r="J78" s="1532">
        <v>6</v>
      </c>
      <c r="K78" s="1532">
        <v>6</v>
      </c>
      <c r="L78" s="1532">
        <v>6</v>
      </c>
      <c r="M78" s="1532">
        <v>6</v>
      </c>
      <c r="N78" s="1532">
        <v>8</v>
      </c>
      <c r="O78" s="1532">
        <v>8</v>
      </c>
      <c r="P78" s="1082"/>
      <c r="Q78" s="1082"/>
      <c r="R78" s="1082"/>
      <c r="S78" s="1082"/>
      <c r="T78" s="1082"/>
      <c r="U78" s="308"/>
      <c r="V78" s="308"/>
      <c r="W78" s="308"/>
      <c r="X78" s="308"/>
      <c r="Y78" s="308"/>
    </row>
    <row r="79" spans="1:25" ht="20.100000000000001" customHeight="1" x14ac:dyDescent="0.2">
      <c r="B79" s="308" t="s">
        <v>1221</v>
      </c>
      <c r="C79" s="1529"/>
      <c r="D79" s="1532"/>
      <c r="E79" s="1532"/>
      <c r="F79" s="1532"/>
      <c r="G79" s="1532"/>
      <c r="H79" s="1532"/>
      <c r="I79" s="1532"/>
      <c r="J79" s="1532">
        <v>9.2899999999999991</v>
      </c>
      <c r="K79" s="1082">
        <f>+J79*(1+K38)</f>
        <v>9.1878099999999989</v>
      </c>
      <c r="L79" s="1082">
        <f>+K79*(1+L38)</f>
        <v>9.0867440899999981</v>
      </c>
      <c r="M79" s="1082">
        <f>+L79*(1+M38)</f>
        <v>8.9867899050099975</v>
      </c>
      <c r="N79" s="1082">
        <f>+M79*(1+N38)</f>
        <v>8.8879352160548883</v>
      </c>
      <c r="O79" s="1082">
        <f>+N79*(1+O38)</f>
        <v>8.7901679286782848</v>
      </c>
      <c r="P79" s="1082"/>
      <c r="Q79" s="1082"/>
      <c r="R79" s="1082"/>
      <c r="S79" s="1082"/>
      <c r="T79" s="1082"/>
      <c r="U79" s="308"/>
      <c r="V79" s="308"/>
      <c r="W79" s="308"/>
      <c r="X79" s="308"/>
      <c r="Y79" s="308"/>
    </row>
    <row r="80" spans="1:25" ht="20.100000000000001" customHeight="1" x14ac:dyDescent="0.2">
      <c r="B80" s="308" t="s">
        <v>1207</v>
      </c>
      <c r="C80" s="1529"/>
      <c r="D80" s="1532"/>
      <c r="E80" s="1532"/>
      <c r="F80" s="1532"/>
      <c r="G80" s="1532"/>
      <c r="H80" s="1532"/>
      <c r="I80" s="1532"/>
      <c r="J80" s="1454">
        <v>97</v>
      </c>
      <c r="K80" s="1454">
        <v>293</v>
      </c>
      <c r="L80" s="1453">
        <f>+K80</f>
        <v>293</v>
      </c>
      <c r="M80" s="1453">
        <f>+L80</f>
        <v>293</v>
      </c>
      <c r="N80" s="1453">
        <f>+M80</f>
        <v>293</v>
      </c>
      <c r="O80" s="1453">
        <f>+N80</f>
        <v>293</v>
      </c>
      <c r="P80" s="1453"/>
      <c r="Q80" s="1453"/>
      <c r="R80" s="1453"/>
      <c r="S80" s="1453"/>
      <c r="T80" s="1453"/>
      <c r="U80" s="308"/>
      <c r="V80" s="308"/>
      <c r="W80" s="308"/>
      <c r="X80" s="308"/>
      <c r="Y80" s="308"/>
    </row>
    <row r="81" spans="1:25" ht="20.100000000000001" customHeight="1" x14ac:dyDescent="0.2">
      <c r="B81" s="488" t="s">
        <v>1208</v>
      </c>
      <c r="C81" s="1533">
        <v>35</v>
      </c>
      <c r="D81" s="874"/>
      <c r="E81" s="874"/>
      <c r="F81" s="874"/>
      <c r="G81" s="874"/>
      <c r="H81" s="874"/>
      <c r="I81" s="874"/>
      <c r="J81" s="801"/>
      <c r="K81" s="801"/>
      <c r="L81" s="801"/>
      <c r="M81" s="801"/>
      <c r="N81" s="801"/>
      <c r="O81" s="801"/>
      <c r="P81" s="801"/>
      <c r="Q81" s="801"/>
      <c r="R81" s="801"/>
      <c r="S81" s="801"/>
      <c r="T81" s="801"/>
      <c r="U81" s="308"/>
      <c r="V81" s="308"/>
      <c r="W81" s="308"/>
      <c r="X81" s="308"/>
      <c r="Y81" s="308"/>
    </row>
    <row r="82" spans="1:25" ht="20.100000000000001" customHeight="1" x14ac:dyDescent="0.2">
      <c r="B82" s="488"/>
      <c r="C82" s="1534"/>
      <c r="D82" s="874"/>
      <c r="E82" s="874"/>
      <c r="F82" s="874"/>
      <c r="G82" s="874"/>
      <c r="H82" s="874"/>
      <c r="I82" s="874"/>
      <c r="J82" s="801"/>
      <c r="K82" s="801"/>
      <c r="L82" s="801"/>
      <c r="M82" s="801"/>
      <c r="N82" s="801"/>
      <c r="O82" s="801"/>
      <c r="P82" s="801"/>
      <c r="Q82" s="801"/>
      <c r="R82" s="801"/>
      <c r="S82" s="801"/>
      <c r="T82" s="801"/>
      <c r="U82" s="308"/>
      <c r="V82" s="308"/>
      <c r="W82" s="308"/>
      <c r="X82" s="308"/>
      <c r="Y82" s="308"/>
    </row>
    <row r="83" spans="1:25" ht="20.100000000000001" hidden="1" customHeight="1" x14ac:dyDescent="0.2">
      <c r="B83" s="1451" t="s">
        <v>721</v>
      </c>
      <c r="C83" s="496"/>
      <c r="D83" s="1535"/>
      <c r="E83" s="1535"/>
      <c r="F83" s="1535"/>
      <c r="G83" s="1536">
        <v>0</v>
      </c>
      <c r="H83" s="1536">
        <v>0</v>
      </c>
      <c r="I83" s="1536">
        <v>0</v>
      </c>
      <c r="J83" s="801">
        <f t="shared" ref="J83:O83" si="21">INT($I$83*J64/$I$64)</f>
        <v>0</v>
      </c>
      <c r="K83" s="801">
        <f t="shared" si="21"/>
        <v>0</v>
      </c>
      <c r="L83" s="801">
        <f t="shared" si="21"/>
        <v>0</v>
      </c>
      <c r="M83" s="801">
        <f t="shared" si="21"/>
        <v>0</v>
      </c>
      <c r="N83" s="801">
        <f t="shared" si="21"/>
        <v>0</v>
      </c>
      <c r="O83" s="801">
        <f t="shared" si="21"/>
        <v>0</v>
      </c>
      <c r="P83" s="801"/>
      <c r="Q83" s="801"/>
      <c r="R83" s="801"/>
      <c r="S83" s="801"/>
      <c r="T83" s="801"/>
      <c r="U83" s="308"/>
      <c r="V83" s="308"/>
      <c r="W83" s="308"/>
      <c r="X83" s="308"/>
      <c r="Y83" s="308"/>
    </row>
    <row r="84" spans="1:25" ht="20.100000000000001" hidden="1" customHeight="1" x14ac:dyDescent="0.2">
      <c r="B84" s="1451" t="s">
        <v>747</v>
      </c>
      <c r="C84" s="496"/>
      <c r="D84" s="1535"/>
      <c r="E84" s="1535"/>
      <c r="F84" s="1535"/>
      <c r="G84" s="1536"/>
      <c r="H84" s="1536"/>
      <c r="I84" s="1536">
        <v>0</v>
      </c>
      <c r="J84" s="1453" t="str">
        <f t="shared" ref="J84:O84" si="22">IFERROR(INT(J83*$I84/$I83),"")</f>
        <v/>
      </c>
      <c r="K84" s="1453" t="str">
        <f t="shared" si="22"/>
        <v/>
      </c>
      <c r="L84" s="1453" t="str">
        <f t="shared" si="22"/>
        <v/>
      </c>
      <c r="M84" s="1453" t="str">
        <f t="shared" si="22"/>
        <v/>
      </c>
      <c r="N84" s="1453" t="str">
        <f t="shared" si="22"/>
        <v/>
      </c>
      <c r="O84" s="1453" t="str">
        <f t="shared" si="22"/>
        <v/>
      </c>
      <c r="P84" s="1453"/>
      <c r="Q84" s="1453"/>
      <c r="R84" s="1453"/>
      <c r="S84" s="1453"/>
      <c r="T84" s="1453"/>
      <c r="U84" s="308"/>
      <c r="V84" s="308"/>
      <c r="W84" s="308"/>
      <c r="X84" s="308"/>
      <c r="Y84" s="308"/>
    </row>
    <row r="85" spans="1:25" s="308" customFormat="1" ht="20.100000000000001" customHeight="1" x14ac:dyDescent="0.2">
      <c r="B85" s="1451"/>
      <c r="C85" s="1529"/>
      <c r="D85" s="1537"/>
      <c r="E85" s="1537"/>
      <c r="F85" s="1537"/>
      <c r="G85" s="1537"/>
      <c r="H85" s="1537"/>
      <c r="I85" s="1534"/>
      <c r="J85" s="1538"/>
      <c r="K85" s="1538"/>
      <c r="L85" s="1538"/>
      <c r="M85" s="1538"/>
      <c r="N85" s="1538"/>
      <c r="O85" s="1538"/>
      <c r="P85" s="1538"/>
      <c r="Q85" s="1538"/>
      <c r="R85" s="1538"/>
      <c r="S85" s="1538"/>
      <c r="T85" s="1538"/>
    </row>
    <row r="86" spans="1:25" s="808" customFormat="1" ht="30.75" customHeight="1" x14ac:dyDescent="0.25">
      <c r="A86" s="315"/>
      <c r="B86" s="1539" t="str">
        <f>CONCATENATE("CONSUMOS ",$C$4)</f>
        <v>CONSUMOS amb S.A E.S.P</v>
      </c>
      <c r="C86" s="810"/>
      <c r="D86" s="811"/>
      <c r="E86" s="811"/>
      <c r="F86" s="811"/>
      <c r="G86" s="811"/>
      <c r="H86" s="811"/>
      <c r="I86" s="811"/>
      <c r="J86" s="811"/>
      <c r="K86" s="811"/>
      <c r="L86" s="811"/>
      <c r="M86" s="811"/>
      <c r="N86" s="811"/>
      <c r="O86" s="811"/>
      <c r="P86" s="811"/>
      <c r="Q86" s="811"/>
      <c r="R86" s="811"/>
      <c r="S86" s="811"/>
      <c r="T86" s="811"/>
    </row>
    <row r="87" spans="1:25" ht="20.100000000000001" customHeight="1" x14ac:dyDescent="0.2">
      <c r="U87" s="308"/>
      <c r="V87" s="308"/>
      <c r="W87" s="308"/>
      <c r="X87" s="308"/>
      <c r="Y87" s="308"/>
    </row>
    <row r="88" spans="1:25" ht="20.100000000000001" customHeight="1" x14ac:dyDescent="0.2">
      <c r="B88" s="1540"/>
      <c r="C88" s="1484" t="s">
        <v>1050</v>
      </c>
      <c r="U88" s="308"/>
      <c r="V88" s="308"/>
      <c r="W88" s="308"/>
      <c r="X88" s="308"/>
      <c r="Y88" s="308"/>
    </row>
    <row r="89" spans="1:25" ht="20.100000000000001" customHeight="1" x14ac:dyDescent="0.2">
      <c r="B89" s="1511" t="s">
        <v>401</v>
      </c>
      <c r="C89" s="1541">
        <f>C157</f>
        <v>11.832297331655917</v>
      </c>
      <c r="G89" s="502"/>
      <c r="H89" s="1542">
        <f>+C89</f>
        <v>11.832297331655917</v>
      </c>
      <c r="I89" s="1543">
        <f t="shared" ref="I89:I97" si="23">+C89</f>
        <v>11.832297331655917</v>
      </c>
      <c r="J89" s="1543">
        <f t="shared" ref="J89:T97" si="24">I89*(1+J$38)</f>
        <v>11.702142061007702</v>
      </c>
      <c r="K89" s="448">
        <f t="shared" si="24"/>
        <v>11.573418498336617</v>
      </c>
      <c r="L89" s="448">
        <f t="shared" si="24"/>
        <v>11.446110894854913</v>
      </c>
      <c r="M89" s="448">
        <f t="shared" si="24"/>
        <v>11.320203675011509</v>
      </c>
      <c r="N89" s="448">
        <f t="shared" si="24"/>
        <v>11.195681434586383</v>
      </c>
      <c r="O89" s="448">
        <f t="shared" si="24"/>
        <v>11.072528938805933</v>
      </c>
      <c r="P89" s="448">
        <f t="shared" si="24"/>
        <v>10.950731120479068</v>
      </c>
      <c r="Q89" s="448">
        <f t="shared" si="24"/>
        <v>10.830273078153798</v>
      </c>
      <c r="R89" s="448">
        <f t="shared" si="24"/>
        <v>10.711140074294105</v>
      </c>
      <c r="S89" s="448">
        <f t="shared" si="24"/>
        <v>10.593317533476871</v>
      </c>
      <c r="T89" s="448">
        <f t="shared" si="24"/>
        <v>10.476791040608624</v>
      </c>
      <c r="U89" s="308"/>
      <c r="V89" s="308"/>
      <c r="W89" s="308"/>
      <c r="X89" s="308"/>
      <c r="Y89" s="308"/>
    </row>
    <row r="90" spans="1:25" ht="20.100000000000001" customHeight="1" x14ac:dyDescent="0.2">
      <c r="B90" s="1511" t="s">
        <v>302</v>
      </c>
      <c r="C90" s="1544">
        <v>19.511572619130757</v>
      </c>
      <c r="G90" s="502"/>
      <c r="H90" s="1542">
        <f t="shared" ref="H90:H97" si="25">+C90</f>
        <v>19.511572619130757</v>
      </c>
      <c r="I90" s="1543">
        <f t="shared" si="23"/>
        <v>19.511572619130757</v>
      </c>
      <c r="J90" s="1543">
        <f t="shared" si="24"/>
        <v>19.296945320320319</v>
      </c>
      <c r="K90" s="448">
        <f t="shared" si="24"/>
        <v>19.084678921796794</v>
      </c>
      <c r="L90" s="448">
        <f t="shared" si="24"/>
        <v>18.874747453657029</v>
      </c>
      <c r="M90" s="448">
        <f t="shared" si="24"/>
        <v>18.667125231666802</v>
      </c>
      <c r="N90" s="448">
        <f t="shared" si="24"/>
        <v>18.461786854118468</v>
      </c>
      <c r="O90" s="448">
        <f t="shared" si="24"/>
        <v>18.258707198723165</v>
      </c>
      <c r="P90" s="448">
        <f t="shared" si="24"/>
        <v>18.057861419537211</v>
      </c>
      <c r="Q90" s="448">
        <f t="shared" si="24"/>
        <v>17.859224943922303</v>
      </c>
      <c r="R90" s="448">
        <f t="shared" si="24"/>
        <v>17.662773469539157</v>
      </c>
      <c r="S90" s="448">
        <f t="shared" si="24"/>
        <v>17.468482961374228</v>
      </c>
      <c r="T90" s="448">
        <f t="shared" si="24"/>
        <v>17.276329648799113</v>
      </c>
      <c r="U90" s="308"/>
      <c r="V90" s="308"/>
      <c r="W90" s="308"/>
      <c r="X90" s="308"/>
      <c r="Y90" s="308"/>
    </row>
    <row r="91" spans="1:25" ht="20.100000000000001" customHeight="1" x14ac:dyDescent="0.2">
      <c r="B91" s="1511" t="s">
        <v>402</v>
      </c>
      <c r="C91" s="1544">
        <v>894.74859943977583</v>
      </c>
      <c r="G91" s="502"/>
      <c r="H91" s="1542">
        <f>+C91</f>
        <v>894.74859943977583</v>
      </c>
      <c r="I91" s="1543">
        <f>+C91</f>
        <v>894.74859943977583</v>
      </c>
      <c r="J91" s="1543">
        <f t="shared" si="24"/>
        <v>884.90636484593824</v>
      </c>
      <c r="K91" s="448">
        <f t="shared" si="24"/>
        <v>875.1723948326329</v>
      </c>
      <c r="L91" s="448">
        <f t="shared" si="24"/>
        <v>865.54549848947397</v>
      </c>
      <c r="M91" s="448">
        <f t="shared" si="24"/>
        <v>856.02449800608974</v>
      </c>
      <c r="N91" s="448">
        <f t="shared" si="24"/>
        <v>846.60822852802278</v>
      </c>
      <c r="O91" s="448">
        <f t="shared" si="24"/>
        <v>837.29553801421457</v>
      </c>
      <c r="P91" s="448">
        <f t="shared" si="24"/>
        <v>828.08528709605821</v>
      </c>
      <c r="Q91" s="448">
        <f t="shared" si="24"/>
        <v>818.97634893800159</v>
      </c>
      <c r="R91" s="448">
        <f t="shared" si="24"/>
        <v>809.96760909968361</v>
      </c>
      <c r="S91" s="448">
        <f t="shared" si="24"/>
        <v>801.05796539958703</v>
      </c>
      <c r="T91" s="448">
        <f t="shared" si="24"/>
        <v>792.24632778019156</v>
      </c>
      <c r="U91" s="308"/>
      <c r="V91" s="308"/>
      <c r="W91" s="308"/>
      <c r="X91" s="308"/>
      <c r="Y91" s="308"/>
    </row>
    <row r="92" spans="1:25" ht="20.100000000000001" customHeight="1" x14ac:dyDescent="0.2">
      <c r="B92" s="1511" t="s">
        <v>303</v>
      </c>
      <c r="C92" s="1544">
        <v>191.29282675947411</v>
      </c>
      <c r="G92" s="502"/>
      <c r="H92" s="1542">
        <f t="shared" si="25"/>
        <v>191.29282675947411</v>
      </c>
      <c r="I92" s="1543">
        <f t="shared" si="23"/>
        <v>191.29282675947411</v>
      </c>
      <c r="J92" s="1543">
        <f t="shared" si="24"/>
        <v>189.18860566511989</v>
      </c>
      <c r="K92" s="448">
        <f t="shared" si="24"/>
        <v>187.10753100280357</v>
      </c>
      <c r="L92" s="448">
        <f t="shared" si="24"/>
        <v>185.04934816177274</v>
      </c>
      <c r="M92" s="448">
        <f t="shared" si="24"/>
        <v>183.01380533199324</v>
      </c>
      <c r="N92" s="448">
        <f t="shared" si="24"/>
        <v>181.00065347334132</v>
      </c>
      <c r="O92" s="448">
        <f t="shared" si="24"/>
        <v>179.00964628513455</v>
      </c>
      <c r="P92" s="448">
        <f t="shared" si="24"/>
        <v>177.04054017599807</v>
      </c>
      <c r="Q92" s="448">
        <f t="shared" si="24"/>
        <v>175.09309423406211</v>
      </c>
      <c r="R92" s="448">
        <f t="shared" si="24"/>
        <v>173.16707019748742</v>
      </c>
      <c r="S92" s="448">
        <f t="shared" si="24"/>
        <v>171.26223242531506</v>
      </c>
      <c r="T92" s="448">
        <f t="shared" si="24"/>
        <v>169.37834786863658</v>
      </c>
      <c r="U92" s="308"/>
      <c r="V92" s="308"/>
      <c r="W92" s="308"/>
      <c r="X92" s="308"/>
      <c r="Y92" s="308"/>
    </row>
    <row r="93" spans="1:25" ht="20.100000000000001" customHeight="1" x14ac:dyDescent="0.2">
      <c r="B93" s="1511" t="s">
        <v>304</v>
      </c>
      <c r="C93" s="1544">
        <v>210.21627906976744</v>
      </c>
      <c r="G93" s="502"/>
      <c r="H93" s="1542">
        <f t="shared" si="25"/>
        <v>210.21627906976744</v>
      </c>
      <c r="I93" s="1543">
        <f>+C93</f>
        <v>210.21627906976744</v>
      </c>
      <c r="J93" s="1543">
        <f>I93*(1+J$38)</f>
        <v>207.90389999999999</v>
      </c>
      <c r="K93" s="448">
        <f t="shared" si="24"/>
        <v>205.61695709999998</v>
      </c>
      <c r="L93" s="448">
        <f t="shared" si="24"/>
        <v>203.35517057189998</v>
      </c>
      <c r="M93" s="448">
        <f t="shared" si="24"/>
        <v>201.11826369560907</v>
      </c>
      <c r="N93" s="448">
        <f t="shared" si="24"/>
        <v>198.90596279495736</v>
      </c>
      <c r="O93" s="448">
        <f t="shared" si="24"/>
        <v>196.71799720421282</v>
      </c>
      <c r="P93" s="448">
        <f t="shared" si="24"/>
        <v>194.55409923496649</v>
      </c>
      <c r="Q93" s="448">
        <f t="shared" si="24"/>
        <v>192.41400414338185</v>
      </c>
      <c r="R93" s="448">
        <f t="shared" si="24"/>
        <v>190.29745009780464</v>
      </c>
      <c r="S93" s="448">
        <f t="shared" si="24"/>
        <v>188.20417814672879</v>
      </c>
      <c r="T93" s="448">
        <f t="shared" si="24"/>
        <v>186.13393218711477</v>
      </c>
      <c r="U93" s="308"/>
      <c r="V93" s="308"/>
      <c r="W93" s="308"/>
      <c r="X93" s="308"/>
      <c r="Y93" s="308"/>
    </row>
    <row r="94" spans="1:25" ht="20.100000000000001" customHeight="1" x14ac:dyDescent="0.2">
      <c r="B94" s="1545" t="s">
        <v>1163</v>
      </c>
      <c r="C94" s="1544">
        <v>9.2899999999999991</v>
      </c>
      <c r="D94" s="487"/>
      <c r="E94" s="487"/>
      <c r="F94" s="487"/>
      <c r="G94" s="502"/>
      <c r="H94" s="1542">
        <f t="shared" si="25"/>
        <v>9.2899999999999991</v>
      </c>
      <c r="I94" s="1543">
        <f>+C94</f>
        <v>9.2899999999999991</v>
      </c>
      <c r="J94" s="1543">
        <f>I94*(1+J$38)</f>
        <v>9.1878099999999989</v>
      </c>
      <c r="K94" s="448">
        <f t="shared" si="24"/>
        <v>9.0867440899999981</v>
      </c>
      <c r="L94" s="448">
        <f t="shared" si="24"/>
        <v>8.9867899050099975</v>
      </c>
      <c r="M94" s="448">
        <f t="shared" si="24"/>
        <v>8.8879352160548883</v>
      </c>
      <c r="N94" s="448">
        <f t="shared" si="24"/>
        <v>8.7901679286782848</v>
      </c>
      <c r="O94" s="448">
        <f t="shared" si="24"/>
        <v>8.6934760814628227</v>
      </c>
      <c r="P94" s="448">
        <f t="shared" si="24"/>
        <v>8.597847844566731</v>
      </c>
      <c r="Q94" s="448">
        <f t="shared" si="24"/>
        <v>8.5032715182764971</v>
      </c>
      <c r="R94" s="448">
        <f t="shared" si="24"/>
        <v>8.4097355315754552</v>
      </c>
      <c r="S94" s="448">
        <f t="shared" si="24"/>
        <v>8.3172284407281243</v>
      </c>
      <c r="T94" s="448">
        <f t="shared" si="24"/>
        <v>8.2257389278801156</v>
      </c>
      <c r="U94" s="308"/>
      <c r="V94" s="308"/>
      <c r="W94" s="308"/>
      <c r="X94" s="308"/>
      <c r="Y94" s="308"/>
    </row>
    <row r="95" spans="1:25" ht="20.100000000000001" customHeight="1" x14ac:dyDescent="0.2">
      <c r="B95" s="1511" t="s">
        <v>797</v>
      </c>
      <c r="C95" s="1544">
        <v>42.331890331890328</v>
      </c>
      <c r="D95" s="487"/>
      <c r="E95" s="487"/>
      <c r="F95" s="487"/>
      <c r="G95" s="502"/>
      <c r="H95" s="1542">
        <f t="shared" si="25"/>
        <v>42.331890331890328</v>
      </c>
      <c r="I95" s="1543">
        <f>+C95</f>
        <v>42.331890331890328</v>
      </c>
      <c r="J95" s="1543">
        <f>I95*(1+J$38)</f>
        <v>41.866239538239533</v>
      </c>
      <c r="K95" s="448">
        <f t="shared" si="24"/>
        <v>41.405710903318898</v>
      </c>
      <c r="L95" s="448">
        <f t="shared" si="24"/>
        <v>40.950248083382391</v>
      </c>
      <c r="M95" s="448">
        <f t="shared" si="24"/>
        <v>40.499795354465185</v>
      </c>
      <c r="N95" s="448">
        <f t="shared" si="24"/>
        <v>40.05429760556607</v>
      </c>
      <c r="O95" s="448">
        <f t="shared" si="24"/>
        <v>39.613700331904845</v>
      </c>
      <c r="P95" s="448">
        <f t="shared" si="24"/>
        <v>39.177949628253891</v>
      </c>
      <c r="Q95" s="448">
        <f t="shared" si="24"/>
        <v>38.746992182343099</v>
      </c>
      <c r="R95" s="448">
        <f t="shared" si="24"/>
        <v>38.320775268337322</v>
      </c>
      <c r="S95" s="448">
        <f t="shared" si="24"/>
        <v>37.899246740385614</v>
      </c>
      <c r="T95" s="448">
        <f t="shared" si="24"/>
        <v>37.482355026241372</v>
      </c>
      <c r="U95" s="308"/>
      <c r="V95" s="308"/>
      <c r="W95" s="308"/>
      <c r="X95" s="308"/>
      <c r="Y95" s="308"/>
    </row>
    <row r="96" spans="1:25" ht="18" customHeight="1" x14ac:dyDescent="0.2">
      <c r="B96" s="1511" t="s">
        <v>1164</v>
      </c>
      <c r="C96" s="1544">
        <v>0</v>
      </c>
      <c r="G96" s="502"/>
      <c r="H96" s="1542">
        <f t="shared" si="25"/>
        <v>0</v>
      </c>
      <c r="I96" s="1543">
        <f t="shared" si="23"/>
        <v>0</v>
      </c>
      <c r="J96" s="1543">
        <f t="shared" si="24"/>
        <v>0</v>
      </c>
      <c r="K96" s="448">
        <f t="shared" si="24"/>
        <v>0</v>
      </c>
      <c r="L96" s="448">
        <f t="shared" si="24"/>
        <v>0</v>
      </c>
      <c r="M96" s="448">
        <f t="shared" si="24"/>
        <v>0</v>
      </c>
      <c r="N96" s="448">
        <f t="shared" si="24"/>
        <v>0</v>
      </c>
      <c r="O96" s="448">
        <f t="shared" si="24"/>
        <v>0</v>
      </c>
      <c r="P96" s="448">
        <f t="shared" si="24"/>
        <v>0</v>
      </c>
      <c r="Q96" s="448">
        <f t="shared" si="24"/>
        <v>0</v>
      </c>
      <c r="R96" s="448">
        <f t="shared" si="24"/>
        <v>0</v>
      </c>
      <c r="S96" s="448">
        <f t="shared" si="24"/>
        <v>0</v>
      </c>
      <c r="T96" s="448">
        <f t="shared" si="24"/>
        <v>0</v>
      </c>
      <c r="U96" s="308"/>
      <c r="V96" s="308"/>
      <c r="W96" s="308"/>
      <c r="X96" s="308"/>
      <c r="Y96" s="308"/>
    </row>
    <row r="97" spans="1:25" ht="18" customHeight="1" x14ac:dyDescent="0.2">
      <c r="B97" s="1545" t="s">
        <v>1163</v>
      </c>
      <c r="C97" s="1544">
        <v>1042.69</v>
      </c>
      <c r="G97" s="502"/>
      <c r="H97" s="1542">
        <f t="shared" si="25"/>
        <v>1042.69</v>
      </c>
      <c r="I97" s="1543">
        <f t="shared" si="23"/>
        <v>1042.69</v>
      </c>
      <c r="J97" s="1543">
        <f t="shared" si="24"/>
        <v>1031.2204100000001</v>
      </c>
      <c r="K97" s="448">
        <f t="shared" si="24"/>
        <v>1019.8769854900002</v>
      </c>
      <c r="L97" s="448">
        <f t="shared" si="24"/>
        <v>1008.6583386496102</v>
      </c>
      <c r="M97" s="448">
        <f t="shared" si="24"/>
        <v>997.5630969244645</v>
      </c>
      <c r="N97" s="448">
        <f t="shared" si="24"/>
        <v>986.58990285829543</v>
      </c>
      <c r="O97" s="448">
        <f t="shared" si="24"/>
        <v>975.73741392685417</v>
      </c>
      <c r="P97" s="448">
        <f t="shared" si="24"/>
        <v>965.00430237365879</v>
      </c>
      <c r="Q97" s="448">
        <f t="shared" si="24"/>
        <v>954.38925504754855</v>
      </c>
      <c r="R97" s="448">
        <f t="shared" si="24"/>
        <v>943.89097324202555</v>
      </c>
      <c r="S97" s="448">
        <f t="shared" si="24"/>
        <v>933.5081725363633</v>
      </c>
      <c r="T97" s="448">
        <f t="shared" si="24"/>
        <v>923.23958263846328</v>
      </c>
      <c r="U97" s="308"/>
      <c r="V97" s="308"/>
      <c r="W97" s="308"/>
      <c r="X97" s="308"/>
      <c r="Y97" s="308"/>
    </row>
    <row r="98" spans="1:25" ht="18" customHeight="1" x14ac:dyDescent="0.2">
      <c r="I98" s="502"/>
      <c r="J98" s="502"/>
      <c r="K98" s="502"/>
      <c r="L98" s="502"/>
      <c r="M98" s="502"/>
      <c r="N98" s="502"/>
      <c r="O98" s="502"/>
      <c r="P98" s="502"/>
      <c r="Q98" s="502"/>
      <c r="R98" s="502"/>
      <c r="S98" s="502"/>
      <c r="T98" s="502"/>
      <c r="U98" s="308"/>
      <c r="V98" s="308"/>
      <c r="W98" s="308"/>
      <c r="X98" s="308"/>
      <c r="Y98" s="308"/>
    </row>
    <row r="99" spans="1:25" ht="18" customHeight="1" x14ac:dyDescent="0.2">
      <c r="B99" s="501"/>
      <c r="I99" s="502"/>
      <c r="J99" s="502"/>
      <c r="K99" s="502"/>
      <c r="L99" s="502"/>
      <c r="M99" s="502"/>
      <c r="N99" s="502"/>
      <c r="O99" s="502"/>
      <c r="P99" s="502"/>
      <c r="Q99" s="502"/>
      <c r="R99" s="502"/>
      <c r="S99" s="502"/>
      <c r="T99" s="502"/>
      <c r="U99" s="308"/>
      <c r="V99" s="308"/>
      <c r="W99" s="308"/>
      <c r="X99" s="308"/>
      <c r="Y99" s="308"/>
    </row>
    <row r="100" spans="1:25" ht="18" hidden="1" customHeight="1" x14ac:dyDescent="0.2">
      <c r="B100" s="493"/>
      <c r="C100" s="503"/>
      <c r="I100" s="502"/>
      <c r="J100" s="502"/>
      <c r="K100" s="502"/>
      <c r="L100" s="502"/>
      <c r="M100" s="502"/>
      <c r="N100" s="502"/>
      <c r="O100" s="502"/>
      <c r="P100" s="502"/>
      <c r="Q100" s="502"/>
      <c r="R100" s="502"/>
      <c r="S100" s="502"/>
      <c r="T100" s="502"/>
      <c r="U100" s="308"/>
      <c r="V100" s="308"/>
      <c r="W100" s="308"/>
      <c r="X100" s="308"/>
      <c r="Y100" s="308"/>
    </row>
    <row r="101" spans="1:25" ht="18" hidden="1" customHeight="1" x14ac:dyDescent="0.2">
      <c r="B101" s="493"/>
      <c r="C101" s="504"/>
      <c r="I101" s="502"/>
      <c r="J101" s="502"/>
      <c r="K101" s="502"/>
      <c r="L101" s="502"/>
      <c r="M101" s="502"/>
      <c r="N101" s="502"/>
      <c r="O101" s="502"/>
      <c r="P101" s="502"/>
      <c r="Q101" s="502"/>
      <c r="R101" s="502"/>
      <c r="S101" s="502"/>
      <c r="T101" s="502"/>
      <c r="U101" s="308"/>
      <c r="V101" s="308"/>
      <c r="W101" s="308"/>
      <c r="X101" s="308"/>
      <c r="Y101" s="308"/>
    </row>
    <row r="102" spans="1:25" ht="18" hidden="1" customHeight="1" x14ac:dyDescent="0.2">
      <c r="B102" s="493"/>
      <c r="I102" s="502"/>
      <c r="J102" s="502"/>
      <c r="K102" s="502"/>
      <c r="L102" s="502"/>
      <c r="M102" s="502"/>
      <c r="N102" s="502"/>
      <c r="O102" s="502"/>
      <c r="P102" s="502"/>
      <c r="Q102" s="502"/>
      <c r="R102" s="502"/>
      <c r="S102" s="502"/>
      <c r="T102" s="502"/>
      <c r="U102" s="308"/>
      <c r="V102" s="308"/>
      <c r="W102" s="308"/>
      <c r="X102" s="308"/>
      <c r="Y102" s="308"/>
    </row>
    <row r="103" spans="1:25" ht="18" hidden="1" customHeight="1" x14ac:dyDescent="0.2">
      <c r="B103" s="493"/>
      <c r="C103" s="503"/>
      <c r="I103" s="502"/>
      <c r="J103" s="502"/>
      <c r="K103" s="502"/>
      <c r="L103" s="502"/>
      <c r="M103" s="502"/>
      <c r="N103" s="502"/>
      <c r="O103" s="502"/>
      <c r="P103" s="502"/>
      <c r="Q103" s="502"/>
      <c r="R103" s="502"/>
      <c r="S103" s="502"/>
      <c r="T103" s="502"/>
      <c r="U103" s="308"/>
      <c r="V103" s="308"/>
      <c r="W103" s="308"/>
      <c r="X103" s="308"/>
      <c r="Y103" s="308"/>
    </row>
    <row r="104" spans="1:25" ht="18" hidden="1" customHeight="1" x14ac:dyDescent="0.2">
      <c r="B104" s="493"/>
      <c r="C104" s="503"/>
      <c r="I104" s="502"/>
      <c r="J104" s="502"/>
      <c r="K104" s="502"/>
      <c r="L104" s="502"/>
      <c r="M104" s="502"/>
      <c r="N104" s="502"/>
      <c r="O104" s="502"/>
      <c r="P104" s="502"/>
      <c r="Q104" s="502"/>
      <c r="R104" s="502"/>
      <c r="S104" s="502"/>
      <c r="T104" s="502"/>
      <c r="U104" s="308"/>
      <c r="V104" s="308"/>
      <c r="W104" s="308"/>
      <c r="X104" s="308"/>
      <c r="Y104" s="308"/>
    </row>
    <row r="105" spans="1:25" ht="18" hidden="1" customHeight="1" x14ac:dyDescent="0.2">
      <c r="B105" s="493"/>
      <c r="C105" s="504"/>
      <c r="I105" s="502"/>
      <c r="J105" s="502"/>
      <c r="K105" s="502"/>
      <c r="L105" s="502"/>
      <c r="M105" s="502"/>
      <c r="N105" s="502"/>
      <c r="O105" s="502"/>
      <c r="P105" s="502"/>
      <c r="Q105" s="502"/>
      <c r="R105" s="502"/>
      <c r="S105" s="502"/>
      <c r="T105" s="502"/>
      <c r="U105" s="308"/>
      <c r="V105" s="308"/>
      <c r="W105" s="308"/>
      <c r="X105" s="308"/>
      <c r="Y105" s="308"/>
    </row>
    <row r="106" spans="1:25" ht="18" hidden="1" customHeight="1" x14ac:dyDescent="0.2">
      <c r="B106" s="493"/>
      <c r="C106" s="503"/>
      <c r="I106" s="502"/>
      <c r="U106" s="308"/>
      <c r="V106" s="308"/>
      <c r="W106" s="308"/>
      <c r="X106" s="308"/>
      <c r="Y106" s="308"/>
    </row>
    <row r="107" spans="1:25" ht="18" hidden="1" customHeight="1" x14ac:dyDescent="0.2">
      <c r="U107" s="308"/>
      <c r="V107" s="308"/>
      <c r="W107" s="308"/>
      <c r="X107" s="308"/>
      <c r="Y107" s="308"/>
    </row>
    <row r="108" spans="1:25" ht="18" customHeight="1" x14ac:dyDescent="0.2">
      <c r="U108" s="308"/>
      <c r="V108" s="308"/>
      <c r="W108" s="308"/>
      <c r="X108" s="308"/>
      <c r="Y108" s="308"/>
    </row>
    <row r="109" spans="1:25" s="808" customFormat="1" ht="30.75" customHeight="1" x14ac:dyDescent="0.25">
      <c r="A109" s="315"/>
      <c r="B109" s="1464" t="s">
        <v>801</v>
      </c>
      <c r="C109" s="810"/>
      <c r="D109" s="811"/>
      <c r="E109" s="811"/>
      <c r="F109" s="811"/>
      <c r="G109" s="811"/>
      <c r="H109" s="811"/>
      <c r="I109" s="811"/>
      <c r="J109" s="811"/>
      <c r="K109" s="811"/>
      <c r="L109" s="811"/>
      <c r="M109" s="811"/>
      <c r="N109" s="811"/>
      <c r="O109" s="811"/>
      <c r="P109" s="811"/>
      <c r="Q109" s="811"/>
      <c r="R109" s="811"/>
      <c r="S109" s="811"/>
      <c r="T109" s="811"/>
    </row>
    <row r="110" spans="1:25" s="491" customFormat="1" ht="20.100000000000001" customHeight="1" x14ac:dyDescent="0.2">
      <c r="A110" s="487"/>
      <c r="D110" s="492"/>
      <c r="E110" s="492"/>
      <c r="F110" s="492"/>
      <c r="G110" s="492"/>
      <c r="H110" s="492"/>
      <c r="I110" s="492"/>
      <c r="J110" s="492"/>
      <c r="K110" s="492"/>
      <c r="L110" s="492"/>
      <c r="M110" s="492"/>
      <c r="N110" s="492"/>
      <c r="O110" s="492"/>
      <c r="P110" s="492"/>
      <c r="Q110" s="492"/>
      <c r="R110" s="492"/>
      <c r="S110" s="492"/>
      <c r="T110" s="492"/>
      <c r="U110" s="308"/>
      <c r="V110" s="308"/>
      <c r="W110" s="308"/>
      <c r="X110" s="308"/>
      <c r="Y110" s="308"/>
    </row>
    <row r="111" spans="1:25" s="491" customFormat="1" ht="20.100000000000001" customHeight="1" x14ac:dyDescent="0.2">
      <c r="A111" s="487"/>
      <c r="B111" s="501" t="s">
        <v>403</v>
      </c>
      <c r="C111" s="491" t="s">
        <v>78</v>
      </c>
      <c r="D111" s="494">
        <f>D112</f>
        <v>55602888</v>
      </c>
      <c r="E111" s="494">
        <f>E112</f>
        <v>54785506</v>
      </c>
      <c r="F111" s="494">
        <f>F112</f>
        <v>54199732</v>
      </c>
      <c r="G111" s="494">
        <f>G112</f>
        <v>55513698</v>
      </c>
      <c r="H111" s="494">
        <f>H112</f>
        <v>55779290</v>
      </c>
      <c r="I111" s="525">
        <f t="shared" ref="I111:T111" si="26">SUM(I112:I114)</f>
        <v>56646487</v>
      </c>
      <c r="J111" s="525">
        <f t="shared" si="26"/>
        <v>57114170</v>
      </c>
      <c r="K111" s="525">
        <f t="shared" si="26"/>
        <v>58309143.871878952</v>
      </c>
      <c r="L111" s="525">
        <f t="shared" si="26"/>
        <v>60779366.021178074</v>
      </c>
      <c r="M111" s="525">
        <f t="shared" si="26"/>
        <v>61238634.855745122</v>
      </c>
      <c r="N111" s="525">
        <f t="shared" si="26"/>
        <v>61820067.059277326</v>
      </c>
      <c r="O111" s="525">
        <f t="shared" si="26"/>
        <v>62421579.913765579</v>
      </c>
      <c r="P111" s="525">
        <f t="shared" si="26"/>
        <v>62002290.850212142</v>
      </c>
      <c r="Q111" s="525">
        <f t="shared" si="26"/>
        <v>62621296.03445749</v>
      </c>
      <c r="R111" s="525">
        <f t="shared" si="26"/>
        <v>63214774.218702838</v>
      </c>
      <c r="S111" s="525">
        <f t="shared" si="26"/>
        <v>63783043.402948424</v>
      </c>
      <c r="T111" s="525">
        <f t="shared" si="26"/>
        <v>64326417.587194011</v>
      </c>
      <c r="U111" s="308"/>
      <c r="V111" s="308"/>
      <c r="W111" s="308"/>
      <c r="X111" s="308"/>
      <c r="Y111" s="308"/>
    </row>
    <row r="112" spans="1:25" s="310" customFormat="1" ht="20.100000000000001" customHeight="1" x14ac:dyDescent="0.2">
      <c r="A112" s="308"/>
      <c r="B112" s="1546" t="s">
        <v>802</v>
      </c>
      <c r="C112" s="310" t="s">
        <v>78</v>
      </c>
      <c r="D112" s="1506">
        <v>55602888</v>
      </c>
      <c r="E112" s="1506">
        <v>54785506</v>
      </c>
      <c r="F112" s="1506">
        <v>54199732</v>
      </c>
      <c r="G112" s="1506">
        <v>55513698</v>
      </c>
      <c r="H112" s="1506">
        <v>55779290</v>
      </c>
      <c r="I112" s="1506">
        <v>56646487</v>
      </c>
      <c r="J112" s="1489">
        <v>57114170</v>
      </c>
      <c r="K112" s="1489">
        <v>57381362.231400006</v>
      </c>
      <c r="L112" s="1489">
        <v>59731641</v>
      </c>
      <c r="M112" s="1489">
        <v>60100673</v>
      </c>
      <c r="N112" s="1489">
        <v>60553470</v>
      </c>
      <c r="O112" s="1489">
        <v>61116311</v>
      </c>
      <c r="P112" s="1454">
        <v>61473228.050212145</v>
      </c>
      <c r="Q112" s="1454">
        <v>62103401.234457493</v>
      </c>
      <c r="R112" s="1454">
        <v>62733574.418702841</v>
      </c>
      <c r="S112" s="1454">
        <v>63363747.602948427</v>
      </c>
      <c r="T112" s="1454">
        <v>63993920.787194014</v>
      </c>
      <c r="U112" s="308"/>
      <c r="V112" s="308"/>
      <c r="W112" s="308"/>
      <c r="X112" s="308"/>
      <c r="Y112" s="308"/>
    </row>
    <row r="113" spans="1:25" s="491" customFormat="1" ht="0.95" customHeight="1" x14ac:dyDescent="0.2">
      <c r="A113" s="487"/>
      <c r="B113" s="493"/>
      <c r="D113" s="492"/>
      <c r="E113" s="492"/>
      <c r="F113" s="492"/>
      <c r="G113" s="499"/>
      <c r="H113" s="499"/>
      <c r="I113" s="494"/>
      <c r="J113" s="494"/>
      <c r="K113" s="494"/>
      <c r="L113" s="494"/>
      <c r="M113" s="494"/>
      <c r="N113" s="494"/>
      <c r="O113" s="494"/>
      <c r="P113" s="494"/>
      <c r="Q113" s="494"/>
      <c r="R113" s="494"/>
      <c r="S113" s="494"/>
      <c r="T113" s="494"/>
      <c r="U113" s="308"/>
      <c r="V113" s="308"/>
      <c r="W113" s="308"/>
      <c r="X113" s="308"/>
      <c r="Y113" s="308"/>
    </row>
    <row r="114" spans="1:25" s="491" customFormat="1" ht="20.100000000000001" customHeight="1" x14ac:dyDescent="0.2">
      <c r="A114" s="487"/>
      <c r="B114" s="493" t="s">
        <v>404</v>
      </c>
      <c r="C114" s="491" t="s">
        <v>78</v>
      </c>
      <c r="D114" s="492"/>
      <c r="E114" s="492"/>
      <c r="F114" s="492"/>
      <c r="G114" s="492"/>
      <c r="H114" s="492"/>
      <c r="I114" s="525">
        <f t="shared" ref="I114:S114" si="27">+I118</f>
        <v>0</v>
      </c>
      <c r="J114" s="525">
        <f t="shared" si="27"/>
        <v>0</v>
      </c>
      <c r="K114" s="525">
        <f t="shared" si="27"/>
        <v>927781.64047894638</v>
      </c>
      <c r="L114" s="525">
        <f t="shared" si="27"/>
        <v>1047725.0211780778</v>
      </c>
      <c r="M114" s="525">
        <f t="shared" si="27"/>
        <v>1137961.855745119</v>
      </c>
      <c r="N114" s="525">
        <f t="shared" si="27"/>
        <v>1266597.0592773249</v>
      </c>
      <c r="O114" s="525">
        <f t="shared" si="27"/>
        <v>1305268.9137655806</v>
      </c>
      <c r="P114" s="525">
        <f t="shared" si="27"/>
        <v>529062.80000000005</v>
      </c>
      <c r="Q114" s="525">
        <f t="shared" si="27"/>
        <v>517894.8</v>
      </c>
      <c r="R114" s="525">
        <f t="shared" si="27"/>
        <v>481199.8</v>
      </c>
      <c r="S114" s="525">
        <f t="shared" si="27"/>
        <v>419295.8</v>
      </c>
      <c r="T114" s="525">
        <f>+T118</f>
        <v>332496.8</v>
      </c>
      <c r="U114" s="308"/>
      <c r="V114" s="308"/>
      <c r="W114" s="308"/>
      <c r="X114" s="308"/>
      <c r="Y114" s="308"/>
    </row>
    <row r="115" spans="1:25" ht="20.100000000000001" customHeight="1" x14ac:dyDescent="0.2"/>
    <row r="116" spans="1:25" s="491" customFormat="1" ht="20.100000000000001" customHeight="1" x14ac:dyDescent="0.2">
      <c r="A116" s="487"/>
      <c r="B116" s="1547" t="s">
        <v>803</v>
      </c>
      <c r="D116" s="492"/>
      <c r="E116" s="492"/>
      <c r="F116" s="492"/>
      <c r="G116" s="492"/>
      <c r="H116" s="492"/>
      <c r="I116" s="492"/>
      <c r="J116" s="492"/>
      <c r="K116" s="494"/>
      <c r="L116" s="494"/>
      <c r="M116" s="494"/>
      <c r="N116" s="494"/>
      <c r="O116" s="494"/>
      <c r="P116" s="494"/>
      <c r="Q116" s="494"/>
      <c r="R116" s="494"/>
      <c r="S116" s="494"/>
      <c r="T116" s="494"/>
      <c r="U116" s="308"/>
      <c r="V116" s="308"/>
      <c r="W116" s="308"/>
      <c r="X116" s="308"/>
      <c r="Y116" s="308"/>
    </row>
    <row r="117" spans="1:25" s="491" customFormat="1" ht="20.100000000000001" customHeight="1" x14ac:dyDescent="0.2">
      <c r="A117" s="487"/>
      <c r="B117" s="493"/>
      <c r="D117" s="492"/>
      <c r="E117" s="492"/>
      <c r="F117" s="492"/>
      <c r="G117" s="492"/>
      <c r="H117" s="492"/>
      <c r="I117" s="492"/>
      <c r="J117" s="492"/>
      <c r="K117" s="494"/>
      <c r="L117" s="494"/>
      <c r="M117" s="494"/>
      <c r="N117" s="494"/>
      <c r="O117" s="494"/>
      <c r="P117" s="494"/>
      <c r="Q117" s="494"/>
      <c r="R117" s="494"/>
      <c r="S117" s="494"/>
      <c r="T117" s="494"/>
      <c r="U117" s="308"/>
      <c r="V117" s="308"/>
      <c r="W117" s="308"/>
      <c r="X117" s="308"/>
      <c r="Y117" s="308"/>
    </row>
    <row r="118" spans="1:25" s="491" customFormat="1" ht="69.95" customHeight="1" x14ac:dyDescent="0.2">
      <c r="A118" s="487"/>
      <c r="B118" s="1516"/>
      <c r="C118" s="1519" t="s">
        <v>804</v>
      </c>
      <c r="D118" s="394" t="s">
        <v>81</v>
      </c>
      <c r="E118" s="394" t="s">
        <v>805</v>
      </c>
      <c r="F118" s="1548" t="s">
        <v>806</v>
      </c>
      <c r="G118" s="492"/>
      <c r="H118" s="492"/>
      <c r="I118" s="492"/>
      <c r="J118" s="429">
        <f t="shared" ref="J118:O118" si="28">SUM(J120:J130)</f>
        <v>0</v>
      </c>
      <c r="K118" s="429">
        <f t="shared" si="28"/>
        <v>927781.64047894638</v>
      </c>
      <c r="L118" s="429">
        <f t="shared" si="28"/>
        <v>1047725.0211780778</v>
      </c>
      <c r="M118" s="429">
        <f t="shared" si="28"/>
        <v>1137961.855745119</v>
      </c>
      <c r="N118" s="429">
        <f t="shared" si="28"/>
        <v>1266597.0592773249</v>
      </c>
      <c r="O118" s="429">
        <f t="shared" si="28"/>
        <v>1305268.9137655806</v>
      </c>
      <c r="P118" s="429">
        <f>SUM(P120:P130)</f>
        <v>529062.80000000005</v>
      </c>
      <c r="Q118" s="429">
        <f>SUM(Q120:Q130)</f>
        <v>517894.8</v>
      </c>
      <c r="R118" s="429">
        <f>SUM(R120:R130)</f>
        <v>481199.8</v>
      </c>
      <c r="S118" s="429">
        <f>SUM(S120:S130)</f>
        <v>419295.8</v>
      </c>
      <c r="T118" s="429">
        <f>SUM(T120:T130)</f>
        <v>332496.8</v>
      </c>
      <c r="U118" s="308"/>
      <c r="V118" s="308"/>
      <c r="W118" s="308"/>
      <c r="X118" s="308"/>
      <c r="Y118" s="308"/>
    </row>
    <row r="119" spans="1:25" s="491" customFormat="1" x14ac:dyDescent="0.2">
      <c r="A119" s="487"/>
      <c r="B119" s="501"/>
      <c r="D119" s="492"/>
      <c r="E119" s="492"/>
      <c r="F119" s="492"/>
      <c r="G119" s="492"/>
      <c r="H119" s="492"/>
      <c r="I119" s="492"/>
      <c r="J119" s="492"/>
      <c r="K119" s="492"/>
      <c r="L119" s="492"/>
      <c r="M119" s="492"/>
      <c r="N119" s="492"/>
      <c r="O119" s="492"/>
      <c r="P119" s="492"/>
      <c r="Q119" s="492"/>
      <c r="R119" s="492"/>
      <c r="S119" s="492"/>
      <c r="T119" s="492"/>
      <c r="U119" s="308"/>
      <c r="V119" s="308"/>
      <c r="W119" s="308"/>
      <c r="X119" s="308"/>
      <c r="Y119" s="308"/>
    </row>
    <row r="120" spans="1:25" s="491" customFormat="1" ht="20.100000000000001" customHeight="1" x14ac:dyDescent="0.2">
      <c r="A120" s="487"/>
      <c r="B120" s="1549" t="str">
        <f>$B$190</f>
        <v>9. RENOVACIÓN/REPOSICIÓN DE MEDIDORES (CAMBIO MASIVO)</v>
      </c>
      <c r="C120" s="1543">
        <f>+C272</f>
        <v>1.0168019152643841</v>
      </c>
      <c r="D120" s="1550" t="s">
        <v>405</v>
      </c>
      <c r="E120" s="1551">
        <f>IF($D120="No",0,$C$271)</f>
        <v>7129082502.8760948</v>
      </c>
      <c r="F120" s="1551">
        <f>IF($D120="No",0,$C$269)</f>
        <v>7011279577.519702</v>
      </c>
      <c r="G120" s="492"/>
      <c r="H120" s="492"/>
      <c r="I120" s="492"/>
      <c r="J120" s="1552">
        <f t="shared" ref="J120:O120" si="29">IF($D120="Sí",J265,IF($D120="Nulo",0,-(J168)))</f>
        <v>0</v>
      </c>
      <c r="K120" s="1552">
        <f t="shared" si="29"/>
        <v>148997</v>
      </c>
      <c r="L120" s="1552">
        <f t="shared" si="29"/>
        <v>270439</v>
      </c>
      <c r="M120" s="1552">
        <f t="shared" si="29"/>
        <v>364678</v>
      </c>
      <c r="N120" s="1552">
        <f t="shared" si="29"/>
        <v>432060</v>
      </c>
      <c r="O120" s="1552">
        <f t="shared" si="29"/>
        <v>472926</v>
      </c>
      <c r="P120" s="1552">
        <f>IF($D120="Sí",P265,IF($D120="Nulo",0,-(P168)))</f>
        <v>487610</v>
      </c>
      <c r="Q120" s="1552">
        <f>IF($D120="Sí",Q265,IF($D120="Nulo",0,-(Q168)))</f>
        <v>476442</v>
      </c>
      <c r="R120" s="1552">
        <f>IF($D120="Sí",R265,IF($D120="Nulo",0,-(R168)))</f>
        <v>439747</v>
      </c>
      <c r="S120" s="1552">
        <f>IF($D120="Sí",S265,IF($D120="Nulo",0,-(S168)))</f>
        <v>377843</v>
      </c>
      <c r="T120" s="1552">
        <f>IF($D120="Sí",T265,IF($D120="Nulo",0,-(T168)))</f>
        <v>291044</v>
      </c>
      <c r="U120" s="308"/>
      <c r="V120" s="308"/>
      <c r="W120" s="308"/>
      <c r="X120" s="308"/>
      <c r="Y120" s="308"/>
    </row>
    <row r="121" spans="1:25" s="491" customFormat="1" ht="20.100000000000001" customHeight="1" x14ac:dyDescent="0.2">
      <c r="A121" s="487"/>
      <c r="B121" s="1549" t="str">
        <f>$B$275</f>
        <v>10. GESTIÓN DE FRAUDES Y CONEXIONES CLANDESTINAS</v>
      </c>
      <c r="C121" s="1543">
        <f>+C291</f>
        <v>1.1307103274557662</v>
      </c>
      <c r="D121" s="1550" t="s">
        <v>405</v>
      </c>
      <c r="E121" s="1551">
        <f>IF($D121="No",0,$C$290)</f>
        <v>4635315027.8751087</v>
      </c>
      <c r="F121" s="1551">
        <f>IF($D121="No",0,$C$288)</f>
        <v>4099471734.9978786</v>
      </c>
      <c r="G121" s="492"/>
      <c r="H121" s="492"/>
      <c r="I121" s="492"/>
      <c r="J121" s="1552">
        <f t="shared" ref="J121" si="30">IF($D121="Sí",J281,0)</f>
        <v>0</v>
      </c>
      <c r="K121" s="1552">
        <f>IF($D121="Sí",K282,0)</f>
        <v>362448</v>
      </c>
      <c r="L121" s="1552">
        <f t="shared" ref="L121:T121" si="31">IF($D121="Sí",L282,0)</f>
        <v>362448</v>
      </c>
      <c r="M121" s="1552">
        <f t="shared" si="31"/>
        <v>362448</v>
      </c>
      <c r="N121" s="1552">
        <f t="shared" si="31"/>
        <v>362448</v>
      </c>
      <c r="O121" s="1552">
        <f t="shared" si="31"/>
        <v>362448</v>
      </c>
      <c r="P121" s="1552">
        <f t="shared" si="31"/>
        <v>0</v>
      </c>
      <c r="Q121" s="1552">
        <f t="shared" si="31"/>
        <v>0</v>
      </c>
      <c r="R121" s="1552">
        <f t="shared" si="31"/>
        <v>0</v>
      </c>
      <c r="S121" s="1552">
        <f t="shared" si="31"/>
        <v>0</v>
      </c>
      <c r="T121" s="1552">
        <f t="shared" si="31"/>
        <v>0</v>
      </c>
      <c r="U121" s="308"/>
      <c r="V121" s="308"/>
      <c r="W121" s="308"/>
      <c r="X121" s="308"/>
      <c r="Y121" s="308"/>
    </row>
    <row r="122" spans="1:25" s="491" customFormat="1" ht="35.25" customHeight="1" x14ac:dyDescent="0.2">
      <c r="A122" s="487"/>
      <c r="B122" s="1553" t="str">
        <f>$B$293</f>
        <v>11. COBRO DE CONSUMOS POR EJECUCIÓN DE OBRAS DE INFRAESTRUCTURA (COBRO DE TERCEROS)</v>
      </c>
      <c r="C122" s="1543">
        <f>+C308</f>
        <v>0</v>
      </c>
      <c r="D122" s="1550" t="s">
        <v>981</v>
      </c>
      <c r="E122" s="1551">
        <f>IF($D122="No",0,$C$307)</f>
        <v>0</v>
      </c>
      <c r="F122" s="1551">
        <f>IF($D122="No",0,$C$305)</f>
        <v>0</v>
      </c>
      <c r="G122" s="492"/>
      <c r="H122" s="492"/>
      <c r="I122" s="492"/>
      <c r="J122" s="1552">
        <f t="shared" ref="J122:O122" si="32">IF($D122="Sí",J299,0)</f>
        <v>0</v>
      </c>
      <c r="K122" s="1552">
        <f t="shared" si="32"/>
        <v>0</v>
      </c>
      <c r="L122" s="1552">
        <f t="shared" si="32"/>
        <v>0</v>
      </c>
      <c r="M122" s="1552">
        <f t="shared" si="32"/>
        <v>0</v>
      </c>
      <c r="N122" s="1552">
        <f t="shared" si="32"/>
        <v>0</v>
      </c>
      <c r="O122" s="1552">
        <f t="shared" si="32"/>
        <v>0</v>
      </c>
      <c r="P122" s="1552">
        <f>IF($D122="Sí",P299,0)</f>
        <v>0</v>
      </c>
      <c r="Q122" s="1552">
        <f>IF($D122="Sí",Q299,0)</f>
        <v>0</v>
      </c>
      <c r="R122" s="1552">
        <f>IF($D122="Sí",R299,0)</f>
        <v>0</v>
      </c>
      <c r="S122" s="1552">
        <f>IF($D122="Sí",S299,0)</f>
        <v>0</v>
      </c>
      <c r="T122" s="1552">
        <f>IF($D122="Sí",T299,0)</f>
        <v>0</v>
      </c>
      <c r="U122" s="308"/>
      <c r="V122" s="308"/>
      <c r="W122" s="308"/>
      <c r="X122" s="308"/>
      <c r="Y122" s="308"/>
    </row>
    <row r="123" spans="1:25" s="491" customFormat="1" ht="30" customHeight="1" x14ac:dyDescent="0.2">
      <c r="A123" s="487"/>
      <c r="B123" s="1553" t="str">
        <f>$B$310</f>
        <v>12. SEGUIMIENTO USUARIOS CON CONSUMO 0 E INACTIVOS</v>
      </c>
      <c r="C123" s="1543">
        <f>+C326</f>
        <v>1.1321635867895297</v>
      </c>
      <c r="D123" s="1550" t="s">
        <v>405</v>
      </c>
      <c r="E123" s="1551">
        <f>IF($D123="No",0,$C$325)</f>
        <v>764796700.79905891</v>
      </c>
      <c r="F123" s="1551">
        <f>IF($D123="Sí",$C$323,0)</f>
        <v>675517840.109828</v>
      </c>
      <c r="G123" s="492"/>
      <c r="H123" s="492"/>
      <c r="I123" s="492"/>
      <c r="J123" s="1552">
        <f t="shared" ref="J123:O123" si="33">IF($D123="Sí",J317,0)</f>
        <v>0</v>
      </c>
      <c r="K123" s="1552">
        <f t="shared" si="33"/>
        <v>22189.508158946323</v>
      </c>
      <c r="L123" s="1552">
        <f t="shared" si="33"/>
        <v>21945.423569197908</v>
      </c>
      <c r="M123" s="1552">
        <f t="shared" si="33"/>
        <v>21704.023909936728</v>
      </c>
      <c r="N123" s="1552">
        <f t="shared" si="33"/>
        <v>21465.279646927425</v>
      </c>
      <c r="O123" s="1552">
        <f t="shared" si="33"/>
        <v>21229.161570811226</v>
      </c>
      <c r="P123" s="1552">
        <f>IF($D123="Sí",P317,0)</f>
        <v>0</v>
      </c>
      <c r="Q123" s="1552">
        <f>IF($D123="Sí",Q317,0)</f>
        <v>0</v>
      </c>
      <c r="R123" s="1552">
        <f>IF($D123="Sí",R317,0)</f>
        <v>0</v>
      </c>
      <c r="S123" s="1552">
        <f>IF($D123="Sí",S317,0)</f>
        <v>0</v>
      </c>
      <c r="T123" s="1552">
        <f>IF($D123="Sí",T317,0)</f>
        <v>0</v>
      </c>
      <c r="U123" s="308"/>
      <c r="V123" s="308"/>
      <c r="W123" s="308"/>
      <c r="X123" s="308"/>
      <c r="Y123" s="308"/>
    </row>
    <row r="124" spans="1:25" s="491" customFormat="1" ht="20.100000000000001" customHeight="1" x14ac:dyDescent="0.2">
      <c r="A124" s="487"/>
      <c r="B124" s="1549" t="str">
        <f>$B$328</f>
        <v>13. SEGUIMIENTO ANOMALIAS</v>
      </c>
      <c r="C124" s="1543">
        <f>+C344</f>
        <v>1.5337258562661582</v>
      </c>
      <c r="D124" s="1550" t="s">
        <v>405</v>
      </c>
      <c r="E124" s="1551">
        <f>IF($D124="No",0,$C$343)</f>
        <v>3669548379.2044573</v>
      </c>
      <c r="F124" s="1551">
        <f>IF($D124="No",0,$C$341)</f>
        <v>2392571243.5584412</v>
      </c>
      <c r="G124" s="492"/>
      <c r="H124" s="492"/>
      <c r="I124" s="492"/>
      <c r="J124" s="1552">
        <f t="shared" ref="J124:O124" si="34">IF($D124="Sí",J335,0)</f>
        <v>0</v>
      </c>
      <c r="K124" s="1552">
        <f t="shared" si="34"/>
        <v>41452.800000000003</v>
      </c>
      <c r="L124" s="1552">
        <f t="shared" si="34"/>
        <v>41452.800000000003</v>
      </c>
      <c r="M124" s="1552">
        <f t="shared" si="34"/>
        <v>41452.800000000003</v>
      </c>
      <c r="N124" s="1552">
        <f t="shared" si="34"/>
        <v>41452.800000000003</v>
      </c>
      <c r="O124" s="1552">
        <f t="shared" si="34"/>
        <v>41452.800000000003</v>
      </c>
      <c r="P124" s="1552">
        <f>IF($D124="Sí",P335,0)</f>
        <v>41452.800000000003</v>
      </c>
      <c r="Q124" s="1552">
        <f>IF($D124="Sí",Q335,0)</f>
        <v>41452.800000000003</v>
      </c>
      <c r="R124" s="1552">
        <f>IF($D124="Sí",R335,0)</f>
        <v>41452.800000000003</v>
      </c>
      <c r="S124" s="1552">
        <f>IF($D124="Sí",S335,0)</f>
        <v>41452.800000000003</v>
      </c>
      <c r="T124" s="1552">
        <f>IF($D124="Sí",T335,0)</f>
        <v>41452.800000000003</v>
      </c>
      <c r="U124" s="308"/>
      <c r="V124" s="308"/>
      <c r="W124" s="308"/>
      <c r="X124" s="308"/>
      <c r="Y124" s="308"/>
    </row>
    <row r="125" spans="1:25" s="491" customFormat="1" x14ac:dyDescent="0.2">
      <c r="A125" s="487"/>
      <c r="B125" s="1553" t="str">
        <f>$B$346</f>
        <v xml:space="preserve">14. SEGUIMIENTO Y CONTROL MEDIDORES GRANDES CONSUMIDORES </v>
      </c>
      <c r="C125" s="1543">
        <f>+C362</f>
        <v>1.7016572181802765</v>
      </c>
      <c r="D125" s="1550" t="s">
        <v>405</v>
      </c>
      <c r="E125" s="1551">
        <f>IF($D125="No",0,$C$361)</f>
        <v>54223862.645839565</v>
      </c>
      <c r="F125" s="1551">
        <f>IF($D125="No",0,$C$359)</f>
        <v>31865326.38096505</v>
      </c>
      <c r="G125" s="492"/>
      <c r="H125" s="492"/>
      <c r="I125" s="492"/>
      <c r="J125" s="1552">
        <f t="shared" ref="J125:O125" si="35">IF($D125="Sí",J353,0)</f>
        <v>0</v>
      </c>
      <c r="K125" s="1552">
        <f t="shared" si="35"/>
        <v>1528.8357599999999</v>
      </c>
      <c r="L125" s="1552">
        <f t="shared" si="35"/>
        <v>1512.0185666399996</v>
      </c>
      <c r="M125" s="1552">
        <f t="shared" si="35"/>
        <v>1495.3863624069595</v>
      </c>
      <c r="N125" s="1552">
        <f t="shared" si="35"/>
        <v>1725.4266311572305</v>
      </c>
      <c r="O125" s="1552">
        <f t="shared" si="35"/>
        <v>1706.4469382145007</v>
      </c>
      <c r="P125" s="1552">
        <f>IF($D125="Sí",P353,0)</f>
        <v>0</v>
      </c>
      <c r="Q125" s="1552">
        <f>IF($D125="Sí",Q353,0)</f>
        <v>0</v>
      </c>
      <c r="R125" s="1552">
        <f>IF($D125="Sí",R353,0)</f>
        <v>0</v>
      </c>
      <c r="S125" s="1552">
        <f>IF($D125="Sí",S353,0)</f>
        <v>0</v>
      </c>
      <c r="T125" s="1552">
        <f>IF($D125="Sí",T353,0)</f>
        <v>0</v>
      </c>
      <c r="U125" s="308"/>
      <c r="V125" s="308"/>
      <c r="W125" s="308"/>
      <c r="X125" s="308"/>
      <c r="Y125" s="308"/>
    </row>
    <row r="126" spans="1:25" s="491" customFormat="1" ht="33" customHeight="1" x14ac:dyDescent="0.2">
      <c r="A126" s="487"/>
      <c r="B126" s="1553" t="str">
        <f>$B$364</f>
        <v>15. ACTUALIZACIÓN CATASTRO DE USUARIOS Y GEOREFERENCIACIÓN</v>
      </c>
      <c r="C126" s="1543">
        <f>+C380</f>
        <v>1.029862557009561</v>
      </c>
      <c r="D126" s="1550" t="s">
        <v>405</v>
      </c>
      <c r="E126" s="1551">
        <f>IF($D126="No",0,$C$379)</f>
        <v>122159672.96346797</v>
      </c>
      <c r="F126" s="1551">
        <f>IF($D126="No",0,$C$377)</f>
        <v>118617452.52510804</v>
      </c>
      <c r="G126" s="492"/>
      <c r="H126" s="492"/>
      <c r="I126" s="492"/>
      <c r="J126" s="1552">
        <f t="shared" ref="J126" si="36">IF($D126="Sí",J390,0)</f>
        <v>0</v>
      </c>
      <c r="K126" s="1552">
        <f t="shared" ref="K126:T126" si="37">IF($D126="Sí",K371,0)</f>
        <v>9552</v>
      </c>
      <c r="L126" s="1552">
        <f t="shared" si="37"/>
        <v>9552</v>
      </c>
      <c r="M126" s="1552">
        <f t="shared" si="37"/>
        <v>9552</v>
      </c>
      <c r="N126" s="1552">
        <f t="shared" si="37"/>
        <v>9552</v>
      </c>
      <c r="O126" s="1552">
        <f t="shared" si="37"/>
        <v>9552</v>
      </c>
      <c r="P126" s="1552">
        <f t="shared" si="37"/>
        <v>0</v>
      </c>
      <c r="Q126" s="1552">
        <f t="shared" si="37"/>
        <v>0</v>
      </c>
      <c r="R126" s="1552">
        <f t="shared" si="37"/>
        <v>0</v>
      </c>
      <c r="S126" s="1552">
        <f t="shared" si="37"/>
        <v>0</v>
      </c>
      <c r="T126" s="1552">
        <f t="shared" si="37"/>
        <v>0</v>
      </c>
      <c r="U126" s="308"/>
      <c r="V126" s="308"/>
      <c r="W126" s="308"/>
      <c r="X126" s="308"/>
      <c r="Y126" s="308"/>
    </row>
    <row r="127" spans="1:25" s="491" customFormat="1" ht="20.100000000000001" customHeight="1" x14ac:dyDescent="0.2">
      <c r="A127" s="487"/>
      <c r="B127" s="1549" t="str">
        <f>$B$382</f>
        <v>16.VINCULACIÓN DE COMUNIDADES ILEGALES</v>
      </c>
      <c r="C127" s="1543">
        <f>+C399</f>
        <v>2.8362156308596735</v>
      </c>
      <c r="D127" s="1550" t="s">
        <v>405</v>
      </c>
      <c r="E127" s="1551">
        <f>IF($D127="No",0,$C$398)</f>
        <v>6825536132.4480724</v>
      </c>
      <c r="F127" s="1551">
        <f>IF($D127="No",0,$C$396)</f>
        <v>2406564599.0319901</v>
      </c>
      <c r="G127" s="492"/>
      <c r="H127" s="492"/>
      <c r="I127" s="492"/>
      <c r="J127" s="1552">
        <f t="shared" ref="J127:O127" si="38">IF($D127="Sí",J390,0)</f>
        <v>0</v>
      </c>
      <c r="K127" s="1552">
        <f t="shared" si="38"/>
        <v>193826.03975999999</v>
      </c>
      <c r="L127" s="1552">
        <f t="shared" si="38"/>
        <v>191693.95332263995</v>
      </c>
      <c r="M127" s="1552">
        <f t="shared" si="38"/>
        <v>189585.3198360909</v>
      </c>
      <c r="N127" s="1552">
        <f t="shared" si="38"/>
        <v>249999.84175719193</v>
      </c>
      <c r="O127" s="1552">
        <f t="shared" si="38"/>
        <v>247249.84349786278</v>
      </c>
      <c r="P127" s="1552">
        <f>IF($D127="Sí",P390,0)</f>
        <v>0</v>
      </c>
      <c r="Q127" s="1552">
        <f>IF($D127="Sí",Q390,0)</f>
        <v>0</v>
      </c>
      <c r="R127" s="1552">
        <f>IF($D127="Sí",R390,0)</f>
        <v>0</v>
      </c>
      <c r="S127" s="1552">
        <f>IF($D127="Sí",S390,0)</f>
        <v>0</v>
      </c>
      <c r="T127" s="1552">
        <f>IF($D127="Sí",T390,0)</f>
        <v>0</v>
      </c>
      <c r="U127" s="308"/>
      <c r="V127" s="308"/>
      <c r="W127" s="308"/>
      <c r="X127" s="308"/>
      <c r="Y127" s="308"/>
    </row>
    <row r="128" spans="1:25" s="491" customFormat="1" ht="20.100000000000001" customHeight="1" x14ac:dyDescent="0.2">
      <c r="A128" s="487"/>
      <c r="B128" s="1549" t="str">
        <f>$B$401</f>
        <v>17. TELEMETRÍA GRANDES CONSUMIDORES</v>
      </c>
      <c r="C128" s="1543">
        <f>+C415</f>
        <v>1.995348708648444</v>
      </c>
      <c r="D128" s="1550" t="s">
        <v>405</v>
      </c>
      <c r="E128" s="1551">
        <f>IF($D128="No",0,$C$414)</f>
        <v>1892779498.5211046</v>
      </c>
      <c r="F128" s="1551">
        <f>IF($D128="No",0,$C$412)</f>
        <v>948595847.09039903</v>
      </c>
      <c r="G128" s="492"/>
      <c r="H128" s="492"/>
      <c r="I128" s="492"/>
      <c r="J128" s="1552">
        <f t="shared" ref="J128:O128" si="39">IF($D128="Sí",J407,0)</f>
        <v>0</v>
      </c>
      <c r="K128" s="1552">
        <f t="shared" si="39"/>
        <v>147787.45680000001</v>
      </c>
      <c r="L128" s="1552">
        <f t="shared" si="39"/>
        <v>148681.82571959996</v>
      </c>
      <c r="M128" s="1552">
        <f t="shared" si="39"/>
        <v>147046.32563668437</v>
      </c>
      <c r="N128" s="1552">
        <f t="shared" si="39"/>
        <v>147893.71124204833</v>
      </c>
      <c r="O128" s="1552">
        <f t="shared" si="39"/>
        <v>148704.66175869221</v>
      </c>
      <c r="P128" s="1552">
        <f>IF($D128="Sí",P407,0)</f>
        <v>0</v>
      </c>
      <c r="Q128" s="1552">
        <f>IF($D128="Sí",Q407,0)</f>
        <v>0</v>
      </c>
      <c r="R128" s="1552">
        <f>IF($D128="Sí",R407,0)</f>
        <v>0</v>
      </c>
      <c r="S128" s="1552">
        <f>IF($D128="Sí",S407,0)</f>
        <v>0</v>
      </c>
      <c r="T128" s="1552">
        <f>IF($D128="Sí",T407,0)</f>
        <v>0</v>
      </c>
      <c r="U128" s="308"/>
      <c r="V128" s="308"/>
      <c r="W128" s="308"/>
      <c r="X128" s="308"/>
      <c r="Y128" s="308"/>
    </row>
    <row r="129" spans="1:25" s="491" customFormat="1" ht="20.100000000000001" customHeight="1" x14ac:dyDescent="0.2">
      <c r="A129" s="487"/>
      <c r="B129" s="1709" t="str">
        <f>$B$417</f>
        <v>18. SOFTWARE DE INTELIGENCIA PARA ALERTAS</v>
      </c>
      <c r="C129" s="1543">
        <f>+C428</f>
        <v>0</v>
      </c>
      <c r="D129" s="1550" t="s">
        <v>981</v>
      </c>
      <c r="E129" s="1551">
        <f>IF($D129="No",0,$C$427)</f>
        <v>0</v>
      </c>
      <c r="F129" s="1551">
        <f>IF($D129="No",0,$C$425)</f>
        <v>0</v>
      </c>
      <c r="G129" s="492"/>
      <c r="H129" s="492"/>
      <c r="I129" s="492"/>
      <c r="J129" s="1509">
        <f t="shared" ref="J129:O129" si="40">IF($D129="Sí",J422,0)</f>
        <v>0</v>
      </c>
      <c r="K129" s="1509">
        <f t="shared" si="40"/>
        <v>0</v>
      </c>
      <c r="L129" s="1509">
        <f t="shared" si="40"/>
        <v>0</v>
      </c>
      <c r="M129" s="1509">
        <f t="shared" si="40"/>
        <v>0</v>
      </c>
      <c r="N129" s="1509">
        <f t="shared" si="40"/>
        <v>0</v>
      </c>
      <c r="O129" s="1509">
        <f t="shared" si="40"/>
        <v>0</v>
      </c>
      <c r="P129" s="1509">
        <f>IF($D129="Sí",P422,0)</f>
        <v>0</v>
      </c>
      <c r="Q129" s="1509">
        <f>IF($D129="Sí",Q422,0)</f>
        <v>0</v>
      </c>
      <c r="R129" s="1509">
        <f>IF($D129="Sí",R422,0)</f>
        <v>0</v>
      </c>
      <c r="S129" s="1509">
        <f>IF($D129="Sí",S422,0)</f>
        <v>0</v>
      </c>
      <c r="T129" s="1509">
        <f>IF($D129="Sí",T422,0)</f>
        <v>0</v>
      </c>
      <c r="U129" s="308"/>
      <c r="V129" s="308"/>
      <c r="W129" s="308"/>
      <c r="X129" s="308"/>
      <c r="Y129" s="308"/>
    </row>
    <row r="130" spans="1:25" s="491" customFormat="1" ht="20.100000000000001" customHeight="1" x14ac:dyDescent="0.2">
      <c r="A130" s="487"/>
      <c r="B130" s="1709" t="str">
        <f>+B430</f>
        <v>19 VINCULACIÓN INDIVUAL (TÉCNICO - COMERCIAL)</v>
      </c>
      <c r="C130" s="1543" t="str">
        <f>+C443</f>
        <v/>
      </c>
      <c r="D130" s="1550" t="s">
        <v>405</v>
      </c>
      <c r="E130" s="1551">
        <f>IF($D130="No",0,$C$442)</f>
        <v>0</v>
      </c>
      <c r="F130" s="1551">
        <f>IF($D130="NO",0,$C$440)</f>
        <v>0</v>
      </c>
      <c r="G130" s="492"/>
      <c r="H130" s="492"/>
      <c r="I130" s="492"/>
      <c r="J130" s="1509">
        <f t="shared" ref="J130" si="41">IF($D130="Sí",K436,0)</f>
        <v>0</v>
      </c>
      <c r="K130" s="1509">
        <f t="shared" ref="K130:T130" si="42">IF($D130="Sí",K436,0)</f>
        <v>0</v>
      </c>
      <c r="L130" s="1509">
        <f t="shared" si="42"/>
        <v>0</v>
      </c>
      <c r="M130" s="1509">
        <f t="shared" si="42"/>
        <v>0</v>
      </c>
      <c r="N130" s="1509">
        <f t="shared" si="42"/>
        <v>0</v>
      </c>
      <c r="O130" s="1509">
        <f t="shared" si="42"/>
        <v>0</v>
      </c>
      <c r="P130" s="1509">
        <f t="shared" si="42"/>
        <v>0</v>
      </c>
      <c r="Q130" s="1509">
        <f t="shared" si="42"/>
        <v>0</v>
      </c>
      <c r="R130" s="1509">
        <f t="shared" si="42"/>
        <v>0</v>
      </c>
      <c r="S130" s="1509">
        <f t="shared" si="42"/>
        <v>0</v>
      </c>
      <c r="T130" s="1509">
        <f t="shared" si="42"/>
        <v>0</v>
      </c>
      <c r="U130" s="308"/>
      <c r="V130" s="308"/>
      <c r="W130" s="308"/>
      <c r="X130" s="308"/>
      <c r="Y130" s="308"/>
    </row>
    <row r="131" spans="1:25" s="491" customFormat="1" x14ac:dyDescent="0.2">
      <c r="A131" s="487"/>
      <c r="B131" s="493"/>
      <c r="D131" s="492"/>
      <c r="E131" s="492"/>
      <c r="F131" s="492"/>
      <c r="G131" s="492"/>
      <c r="H131" s="492"/>
      <c r="I131" s="492"/>
      <c r="J131" s="492"/>
      <c r="K131" s="494"/>
      <c r="L131" s="494"/>
      <c r="M131" s="494"/>
      <c r="N131" s="494"/>
      <c r="O131" s="494"/>
      <c r="P131" s="494"/>
      <c r="Q131" s="494"/>
      <c r="R131" s="494"/>
      <c r="S131" s="494"/>
      <c r="T131" s="494"/>
      <c r="U131" s="308"/>
      <c r="V131" s="308"/>
      <c r="W131" s="308"/>
      <c r="X131" s="308"/>
      <c r="Y131" s="308"/>
    </row>
    <row r="132" spans="1:25" s="491" customFormat="1" x14ac:dyDescent="0.2">
      <c r="A132" s="487"/>
      <c r="B132" s="493"/>
      <c r="D132" s="492"/>
      <c r="E132" s="492"/>
      <c r="F132" s="492"/>
      <c r="G132" s="492"/>
      <c r="H132" s="492"/>
      <c r="I132" s="492"/>
      <c r="J132" s="492"/>
      <c r="K132" s="494"/>
      <c r="L132" s="494"/>
      <c r="M132" s="494"/>
      <c r="N132" s="494"/>
      <c r="O132" s="494"/>
      <c r="P132" s="494"/>
      <c r="Q132" s="494"/>
      <c r="R132" s="494"/>
      <c r="S132" s="494"/>
      <c r="T132" s="494"/>
      <c r="U132" s="308"/>
      <c r="V132" s="308"/>
      <c r="W132" s="308"/>
      <c r="X132" s="308"/>
      <c r="Y132" s="308"/>
    </row>
    <row r="133" spans="1:25" s="491" customFormat="1" x14ac:dyDescent="0.2">
      <c r="A133" s="487"/>
      <c r="B133" s="493"/>
      <c r="C133" s="492"/>
      <c r="D133" s="496"/>
      <c r="E133" s="496"/>
      <c r="F133" s="496"/>
      <c r="G133" s="496"/>
      <c r="H133" s="496"/>
      <c r="I133" s="496"/>
      <c r="J133" s="494"/>
      <c r="K133" s="494"/>
      <c r="L133" s="494"/>
      <c r="M133" s="494"/>
      <c r="N133" s="494"/>
      <c r="O133" s="494"/>
      <c r="P133" s="494"/>
      <c r="Q133" s="494"/>
      <c r="R133" s="494"/>
      <c r="S133" s="494"/>
      <c r="T133" s="494"/>
      <c r="U133" s="308"/>
      <c r="V133" s="308"/>
      <c r="W133" s="308"/>
      <c r="X133" s="308"/>
      <c r="Y133" s="308"/>
    </row>
    <row r="134" spans="1:25" s="808" customFormat="1" ht="30.75" customHeight="1" x14ac:dyDescent="0.25">
      <c r="A134" s="315"/>
      <c r="B134" s="1464" t="s">
        <v>738</v>
      </c>
      <c r="C134" s="810"/>
      <c r="D134" s="811"/>
      <c r="E134" s="811"/>
      <c r="F134" s="811"/>
      <c r="G134" s="811"/>
      <c r="H134" s="811"/>
      <c r="I134" s="811"/>
      <c r="J134" s="811"/>
      <c r="K134" s="811"/>
      <c r="L134" s="811"/>
      <c r="M134" s="811"/>
      <c r="N134" s="811"/>
      <c r="O134" s="811"/>
      <c r="P134" s="811"/>
      <c r="Q134" s="811"/>
      <c r="R134" s="811"/>
      <c r="S134" s="811"/>
      <c r="T134" s="811"/>
    </row>
    <row r="135" spans="1:25" x14ac:dyDescent="0.2">
      <c r="U135" s="308"/>
      <c r="V135" s="308"/>
      <c r="W135" s="308"/>
      <c r="X135" s="308"/>
      <c r="Y135" s="308"/>
    </row>
    <row r="136" spans="1:25" x14ac:dyDescent="0.2">
      <c r="B136" s="1554"/>
      <c r="U136" s="308"/>
      <c r="V136" s="308"/>
      <c r="W136" s="308"/>
      <c r="X136" s="308"/>
      <c r="Y136" s="308"/>
    </row>
    <row r="137" spans="1:25" ht="20.100000000000001" customHeight="1" x14ac:dyDescent="0.2">
      <c r="B137" s="1054" t="s">
        <v>904</v>
      </c>
      <c r="C137" s="1555"/>
      <c r="J137" s="1556">
        <f>'BC TOTAL COMERCIAL'!C7</f>
        <v>12027.92</v>
      </c>
      <c r="K137" s="1556">
        <f>'BC TOTAL COMERCIAL'!D7</f>
        <v>12456.064156411199</v>
      </c>
      <c r="L137" s="1556">
        <f>'BC TOTAL COMERCIAL'!E7</f>
        <v>12899.448472273829</v>
      </c>
      <c r="M137" s="1556">
        <f>'BC TOTAL COMERCIAL'!F7</f>
        <v>13358.6154341701</v>
      </c>
      <c r="N137" s="1556">
        <f>'BC TOTAL COMERCIAL'!G7</f>
        <v>13834.126838958657</v>
      </c>
      <c r="O137" s="1556">
        <f>'BC TOTAL COMERCIAL'!H7</f>
        <v>14326.564481140471</v>
      </c>
      <c r="P137" s="1556">
        <f>'BC TOTAL COMERCIAL'!I7</f>
        <v>14836.530864692118</v>
      </c>
      <c r="Q137" s="1556">
        <f>'BC TOTAL COMERCIAL'!J7</f>
        <v>15364.649940237377</v>
      </c>
      <c r="R137" s="1556">
        <f>'BC TOTAL COMERCIAL'!K7</f>
        <v>15911.567868459075</v>
      </c>
      <c r="S137" s="1556">
        <f>'BC TOTAL COMERCIAL'!L7</f>
        <v>16477.953810685241</v>
      </c>
      <c r="T137" s="1556">
        <f>'BC TOTAL COMERCIAL'!M7</f>
        <v>17064.500747616858</v>
      </c>
      <c r="U137" s="308"/>
      <c r="V137" s="308"/>
      <c r="W137" s="308"/>
      <c r="X137" s="308"/>
      <c r="Y137" s="308"/>
    </row>
    <row r="138" spans="1:25" ht="20.100000000000001" customHeight="1" x14ac:dyDescent="0.2">
      <c r="B138" s="1054" t="s">
        <v>905</v>
      </c>
      <c r="C138" s="1555"/>
      <c r="J138" s="1556">
        <f>'BC TOTAL COMERCIAL'!C8</f>
        <v>3572.41</v>
      </c>
      <c r="K138" s="1556">
        <f>'BC TOTAL COMERCIAL'!D8</f>
        <v>3699.5730062225994</v>
      </c>
      <c r="L138" s="1556">
        <f>'BC TOTAL COMERCIAL'!E8</f>
        <v>3831.2624890118777</v>
      </c>
      <c r="M138" s="1556">
        <f>'BC TOTAL COMERCIAL'!F8</f>
        <v>3967.6395721939957</v>
      </c>
      <c r="N138" s="1556">
        <f>'BC TOTAL COMERCIAL'!G8</f>
        <v>4108.8711149362725</v>
      </c>
      <c r="O138" s="1556">
        <f>'BC TOTAL COMERCIAL'!H8</f>
        <v>4255.129915901588</v>
      </c>
      <c r="P138" s="1556">
        <f>'BC TOTAL COMERCIAL'!I8</f>
        <v>4406.5949246698319</v>
      </c>
      <c r="Q138" s="1556">
        <f>'BC TOTAL COMERCIAL'!J8</f>
        <v>4563.4514606850898</v>
      </c>
      <c r="R138" s="1556">
        <f>'BC TOTAL COMERCIAL'!K8</f>
        <v>4725.8914399964315</v>
      </c>
      <c r="S138" s="1556">
        <f>'BC TOTAL COMERCIAL'!L8</f>
        <v>4894.1136100697422</v>
      </c>
      <c r="T138" s="1556">
        <f>'BC TOTAL COMERCIAL'!M8</f>
        <v>5068.323792957879</v>
      </c>
      <c r="U138" s="308"/>
      <c r="V138" s="308"/>
      <c r="W138" s="308"/>
      <c r="X138" s="308"/>
      <c r="Y138" s="308"/>
    </row>
    <row r="139" spans="1:25" ht="20.100000000000001" customHeight="1" x14ac:dyDescent="0.2">
      <c r="B139" s="1054" t="s">
        <v>906</v>
      </c>
      <c r="C139" s="1557"/>
      <c r="J139" s="1556">
        <f>'BC TOTAL COMERCIAL'!C9</f>
        <v>0</v>
      </c>
      <c r="K139" s="1556">
        <f>'BC TOTAL COMERCIAL'!D9</f>
        <v>0</v>
      </c>
      <c r="L139" s="1556">
        <f>'BC TOTAL COMERCIAL'!E9</f>
        <v>0</v>
      </c>
      <c r="M139" s="1556">
        <f>'BC TOTAL COMERCIAL'!F9</f>
        <v>0</v>
      </c>
      <c r="N139" s="1556">
        <f>'BC TOTAL COMERCIAL'!G9</f>
        <v>0</v>
      </c>
      <c r="O139" s="1556">
        <f>'BC TOTAL COMERCIAL'!H9</f>
        <v>0</v>
      </c>
      <c r="P139" s="1556">
        <f>'BC TOTAL COMERCIAL'!I9</f>
        <v>0</v>
      </c>
      <c r="Q139" s="1556">
        <f>'BC TOTAL COMERCIAL'!J9</f>
        <v>0</v>
      </c>
      <c r="R139" s="1556">
        <f>'BC TOTAL COMERCIAL'!K9</f>
        <v>0</v>
      </c>
      <c r="S139" s="1556">
        <f>'BC TOTAL COMERCIAL'!L9</f>
        <v>0</v>
      </c>
      <c r="T139" s="1556">
        <f>'BC TOTAL COMERCIAL'!M9</f>
        <v>0</v>
      </c>
      <c r="U139" s="308"/>
      <c r="V139" s="308"/>
      <c r="W139" s="308"/>
      <c r="X139" s="308"/>
      <c r="Y139" s="308"/>
    </row>
    <row r="140" spans="1:25" ht="20.100000000000001" customHeight="1" x14ac:dyDescent="0.2">
      <c r="B140" s="1054" t="s">
        <v>907</v>
      </c>
      <c r="C140" s="1557"/>
      <c r="J140" s="1556">
        <f>'BC TOTAL COMERCIAL'!C10</f>
        <v>0</v>
      </c>
      <c r="K140" s="1556">
        <f>'BC TOTAL COMERCIAL'!D10</f>
        <v>0</v>
      </c>
      <c r="L140" s="1556">
        <f>'BC TOTAL COMERCIAL'!E10</f>
        <v>0</v>
      </c>
      <c r="M140" s="1556">
        <f>'BC TOTAL COMERCIAL'!F10</f>
        <v>0</v>
      </c>
      <c r="N140" s="1556">
        <f>'BC TOTAL COMERCIAL'!G10</f>
        <v>0</v>
      </c>
      <c r="O140" s="1556">
        <f>'BC TOTAL COMERCIAL'!H10</f>
        <v>0</v>
      </c>
      <c r="P140" s="1556">
        <f>'BC TOTAL COMERCIAL'!I10</f>
        <v>0</v>
      </c>
      <c r="Q140" s="1556">
        <f>'BC TOTAL COMERCIAL'!J10</f>
        <v>0</v>
      </c>
      <c r="R140" s="1556">
        <f>'BC TOTAL COMERCIAL'!K10</f>
        <v>0</v>
      </c>
      <c r="S140" s="1556">
        <f>'BC TOTAL COMERCIAL'!L10</f>
        <v>0</v>
      </c>
      <c r="T140" s="1556">
        <f>'BC TOTAL COMERCIAL'!M10</f>
        <v>0</v>
      </c>
      <c r="U140" s="308"/>
      <c r="V140" s="308"/>
      <c r="W140" s="308"/>
      <c r="X140" s="308"/>
      <c r="Y140" s="308"/>
    </row>
    <row r="141" spans="1:25" s="308" customFormat="1" x14ac:dyDescent="0.2">
      <c r="B141" s="1451" t="s">
        <v>1209</v>
      </c>
      <c r="D141" s="304"/>
      <c r="E141" s="304"/>
      <c r="F141" s="304"/>
      <c r="G141" s="304"/>
      <c r="H141" s="304"/>
      <c r="I141" s="304"/>
      <c r="J141" s="1558">
        <f>J138*25%</f>
        <v>893.10249999999996</v>
      </c>
      <c r="K141" s="1558">
        <f t="shared" ref="K141:T141" si="43">K138*25%</f>
        <v>924.89325155564984</v>
      </c>
      <c r="L141" s="1558">
        <f t="shared" si="43"/>
        <v>957.81562225296943</v>
      </c>
      <c r="M141" s="1558">
        <f t="shared" si="43"/>
        <v>991.90989304849893</v>
      </c>
      <c r="N141" s="1558">
        <f t="shared" si="43"/>
        <v>1027.2177787340681</v>
      </c>
      <c r="O141" s="1558">
        <f t="shared" si="43"/>
        <v>1063.782478975397</v>
      </c>
      <c r="P141" s="1558">
        <f t="shared" si="43"/>
        <v>1101.648731167458</v>
      </c>
      <c r="Q141" s="1558">
        <f t="shared" si="43"/>
        <v>1140.8628651712725</v>
      </c>
      <c r="R141" s="1558">
        <f t="shared" si="43"/>
        <v>1181.4728599991079</v>
      </c>
      <c r="S141" s="1558">
        <f t="shared" si="43"/>
        <v>1223.5284025174356</v>
      </c>
      <c r="T141" s="1558">
        <f t="shared" si="43"/>
        <v>1267.0809482394698</v>
      </c>
    </row>
    <row r="142" spans="1:25" x14ac:dyDescent="0.2">
      <c r="U142" s="308"/>
      <c r="V142" s="308"/>
      <c r="W142" s="308"/>
      <c r="X142" s="308"/>
      <c r="Y142" s="308"/>
    </row>
    <row r="143" spans="1:25" s="808" customFormat="1" ht="30.75" customHeight="1" x14ac:dyDescent="0.25">
      <c r="A143" s="315"/>
      <c r="B143" s="1464" t="s">
        <v>807</v>
      </c>
      <c r="C143" s="810"/>
      <c r="D143" s="811"/>
      <c r="E143" s="811"/>
      <c r="F143" s="811"/>
      <c r="G143" s="811"/>
      <c r="H143" s="811"/>
      <c r="I143" s="811"/>
      <c r="J143" s="811"/>
      <c r="K143" s="811"/>
      <c r="L143" s="811"/>
      <c r="M143" s="811"/>
      <c r="N143" s="811"/>
      <c r="O143" s="811"/>
      <c r="P143" s="811"/>
      <c r="Q143" s="811"/>
      <c r="R143" s="811"/>
      <c r="S143" s="811"/>
      <c r="T143" s="811"/>
    </row>
    <row r="144" spans="1:25" x14ac:dyDescent="0.2">
      <c r="U144" s="308"/>
      <c r="V144" s="308"/>
      <c r="W144" s="308"/>
      <c r="X144" s="308"/>
      <c r="Y144" s="308"/>
    </row>
    <row r="145" spans="2:25" ht="28.5" customHeight="1" x14ac:dyDescent="0.2">
      <c r="B145" s="1559" t="s">
        <v>406</v>
      </c>
      <c r="C145" s="1559" t="s">
        <v>1222</v>
      </c>
      <c r="D145" s="1559" t="s">
        <v>397</v>
      </c>
      <c r="E145" s="1560"/>
      <c r="F145" s="1560"/>
      <c r="G145" s="1560"/>
      <c r="H145" s="1560"/>
      <c r="U145" s="308"/>
      <c r="V145" s="308"/>
      <c r="W145" s="308"/>
      <c r="X145" s="308"/>
      <c r="Y145" s="308"/>
    </row>
    <row r="146" spans="2:25" ht="20.100000000000001" customHeight="1" x14ac:dyDescent="0.2">
      <c r="B146" s="1561">
        <v>1</v>
      </c>
      <c r="C146" s="1562">
        <v>12.022308849678566</v>
      </c>
      <c r="D146" s="1563">
        <v>36555</v>
      </c>
      <c r="E146" s="502"/>
      <c r="F146" s="502"/>
      <c r="G146" s="502"/>
      <c r="H146" s="502"/>
      <c r="U146" s="308"/>
      <c r="V146" s="308"/>
      <c r="W146" s="308"/>
      <c r="X146" s="308"/>
      <c r="Y146" s="308"/>
    </row>
    <row r="147" spans="2:25" ht="20.100000000000001" customHeight="1" x14ac:dyDescent="0.2">
      <c r="B147" s="1561">
        <v>2</v>
      </c>
      <c r="C147" s="1562">
        <v>12.168173147017335</v>
      </c>
      <c r="D147" s="1563">
        <v>70418</v>
      </c>
      <c r="E147" s="502"/>
      <c r="F147" s="502"/>
      <c r="G147" s="502"/>
      <c r="H147" s="502"/>
      <c r="U147" s="308"/>
      <c r="V147" s="308"/>
      <c r="W147" s="308"/>
      <c r="X147" s="308"/>
      <c r="Y147" s="308"/>
    </row>
    <row r="148" spans="2:25" ht="20.100000000000001" customHeight="1" x14ac:dyDescent="0.2">
      <c r="B148" s="1561">
        <v>3</v>
      </c>
      <c r="C148" s="1562">
        <v>11.300370868235312</v>
      </c>
      <c r="D148" s="1563">
        <v>90014</v>
      </c>
      <c r="E148" s="502"/>
      <c r="F148" s="502"/>
      <c r="G148" s="502"/>
      <c r="H148" s="502"/>
      <c r="U148" s="308"/>
      <c r="V148" s="308"/>
      <c r="W148" s="308"/>
      <c r="X148" s="308"/>
      <c r="Y148" s="308"/>
    </row>
    <row r="149" spans="2:25" ht="20.100000000000001" customHeight="1" x14ac:dyDescent="0.2">
      <c r="B149" s="1561">
        <v>4</v>
      </c>
      <c r="C149" s="1562">
        <v>11.736015361952861</v>
      </c>
      <c r="D149" s="1563">
        <v>79200</v>
      </c>
      <c r="E149" s="502" t="s">
        <v>220</v>
      </c>
      <c r="F149" s="502"/>
      <c r="G149" s="502"/>
      <c r="H149" s="502"/>
      <c r="U149" s="308"/>
      <c r="V149" s="308"/>
      <c r="W149" s="308"/>
      <c r="X149" s="308"/>
      <c r="Y149" s="308"/>
    </row>
    <row r="150" spans="2:25" ht="20.100000000000001" customHeight="1" x14ac:dyDescent="0.2">
      <c r="B150" s="1561">
        <v>5</v>
      </c>
      <c r="C150" s="1562">
        <v>12.034520110751801</v>
      </c>
      <c r="D150" s="1563">
        <v>15771</v>
      </c>
      <c r="E150" s="502"/>
      <c r="F150" s="502"/>
      <c r="G150" s="502"/>
      <c r="H150" s="502"/>
      <c r="U150" s="308"/>
      <c r="V150" s="308"/>
      <c r="W150" s="308"/>
      <c r="X150" s="308"/>
      <c r="Y150" s="308"/>
    </row>
    <row r="151" spans="2:25" ht="20.100000000000001" customHeight="1" x14ac:dyDescent="0.2">
      <c r="B151" s="1561">
        <v>6</v>
      </c>
      <c r="C151" s="1562">
        <v>13.826927786451158</v>
      </c>
      <c r="D151" s="1563">
        <v>10889</v>
      </c>
      <c r="E151" s="502"/>
      <c r="F151" s="502"/>
      <c r="G151" s="502"/>
      <c r="H151" s="502"/>
      <c r="U151" s="308"/>
      <c r="V151" s="308"/>
      <c r="W151" s="308"/>
      <c r="X151" s="308"/>
      <c r="Y151" s="308"/>
    </row>
    <row r="152" spans="2:25" ht="20.100000000000001" customHeight="1" x14ac:dyDescent="0.2">
      <c r="B152" s="1561"/>
      <c r="C152" s="1564"/>
      <c r="D152" s="1565"/>
      <c r="E152" s="502"/>
      <c r="F152" s="502"/>
      <c r="G152" s="502"/>
      <c r="H152" s="502"/>
      <c r="U152" s="308"/>
      <c r="V152" s="308"/>
      <c r="W152" s="308"/>
      <c r="X152" s="308"/>
      <c r="Y152" s="308"/>
    </row>
    <row r="153" spans="2:25" x14ac:dyDescent="0.2">
      <c r="U153" s="308"/>
      <c r="V153" s="308"/>
      <c r="W153" s="308"/>
      <c r="X153" s="308"/>
      <c r="Y153" s="308"/>
    </row>
    <row r="154" spans="2:25" ht="40.5" customHeight="1" x14ac:dyDescent="0.2">
      <c r="B154" s="1559" t="s">
        <v>808</v>
      </c>
      <c r="C154" s="1559" t="s">
        <v>1223</v>
      </c>
      <c r="D154" s="1560"/>
      <c r="E154" s="1560"/>
      <c r="F154" s="1560"/>
      <c r="G154" s="1560"/>
      <c r="H154" s="1560"/>
      <c r="U154" s="308"/>
      <c r="V154" s="308"/>
      <c r="W154" s="308"/>
      <c r="X154" s="308"/>
      <c r="Y154" s="308"/>
    </row>
    <row r="155" spans="2:25" x14ac:dyDescent="0.2">
      <c r="B155" s="1566" t="s">
        <v>407</v>
      </c>
      <c r="C155" s="1567">
        <f>C151</f>
        <v>13.826927786451158</v>
      </c>
      <c r="D155" s="1568"/>
      <c r="E155" s="1568"/>
      <c r="F155" s="1568"/>
      <c r="G155" s="1568"/>
      <c r="H155" s="1568"/>
      <c r="U155" s="308"/>
      <c r="V155" s="308"/>
      <c r="W155" s="308"/>
      <c r="X155" s="308"/>
      <c r="Y155" s="308"/>
    </row>
    <row r="156" spans="2:25" x14ac:dyDescent="0.2">
      <c r="B156" s="1566" t="s">
        <v>408</v>
      </c>
      <c r="C156" s="1567">
        <f>C146*1.2</f>
        <v>14.426770619614279</v>
      </c>
      <c r="D156" s="1568"/>
      <c r="E156" s="1568"/>
      <c r="F156" s="1568"/>
      <c r="G156" s="1568"/>
      <c r="H156" s="1568"/>
      <c r="U156" s="308"/>
      <c r="V156" s="308"/>
      <c r="W156" s="308"/>
      <c r="X156" s="308"/>
      <c r="Y156" s="308"/>
    </row>
    <row r="157" spans="2:25" x14ac:dyDescent="0.2">
      <c r="B157" s="1566" t="s">
        <v>737</v>
      </c>
      <c r="C157" s="1569">
        <f>SUMPRODUCT(C146:C151,D146:D151)/SUM(D146:D151)</f>
        <v>11.832297331655917</v>
      </c>
      <c r="U157" s="308"/>
      <c r="V157" s="308"/>
      <c r="W157" s="308"/>
      <c r="X157" s="308"/>
      <c r="Y157" s="308"/>
    </row>
    <row r="158" spans="2:25" x14ac:dyDescent="0.2">
      <c r="B158" s="1566" t="s">
        <v>748</v>
      </c>
      <c r="C158" s="1567">
        <f>AVERAGE(C146:C151)</f>
        <v>12.181386020681172</v>
      </c>
      <c r="U158" s="308"/>
      <c r="V158" s="308"/>
      <c r="W158" s="308"/>
      <c r="X158" s="308"/>
      <c r="Y158" s="308"/>
    </row>
    <row r="159" spans="2:25" x14ac:dyDescent="0.2">
      <c r="U159" s="308"/>
      <c r="V159" s="308"/>
      <c r="W159" s="308"/>
      <c r="X159" s="308"/>
      <c r="Y159" s="308"/>
    </row>
    <row r="160" spans="2:25" x14ac:dyDescent="0.2">
      <c r="U160" s="308"/>
      <c r="V160" s="308"/>
      <c r="W160" s="308"/>
      <c r="X160" s="308"/>
      <c r="Y160" s="308"/>
    </row>
    <row r="161" spans="1:25" ht="34.5" customHeight="1" x14ac:dyDescent="0.2">
      <c r="B161" s="1570" t="s">
        <v>1223</v>
      </c>
      <c r="C161" s="1571" t="s">
        <v>737</v>
      </c>
      <c r="I161" s="1572"/>
      <c r="J161" s="1572">
        <f>VLOOKUP(C161,B155:C158,2,FALSE)</f>
        <v>11.832297331655917</v>
      </c>
      <c r="K161" s="1543">
        <f t="shared" ref="K161:T161" si="44">J161*(1+K$38)</f>
        <v>11.702142061007702</v>
      </c>
      <c r="L161" s="1543">
        <f t="shared" si="44"/>
        <v>11.573418498336617</v>
      </c>
      <c r="M161" s="1543">
        <f t="shared" si="44"/>
        <v>11.446110894854913</v>
      </c>
      <c r="N161" s="1543">
        <f t="shared" si="44"/>
        <v>11.320203675011509</v>
      </c>
      <c r="O161" s="1543">
        <f t="shared" si="44"/>
        <v>11.195681434586383</v>
      </c>
      <c r="P161" s="448">
        <f t="shared" si="44"/>
        <v>11.072528938805933</v>
      </c>
      <c r="Q161" s="448">
        <f t="shared" si="44"/>
        <v>10.950731120479068</v>
      </c>
      <c r="R161" s="448">
        <f t="shared" si="44"/>
        <v>10.830273078153798</v>
      </c>
      <c r="S161" s="448">
        <f t="shared" si="44"/>
        <v>10.711140074294105</v>
      </c>
      <c r="T161" s="448">
        <f t="shared" si="44"/>
        <v>10.593317533476871</v>
      </c>
      <c r="U161" s="308"/>
      <c r="V161" s="308"/>
      <c r="W161" s="308"/>
      <c r="X161" s="308"/>
      <c r="Y161" s="308"/>
    </row>
    <row r="162" spans="1:25" x14ac:dyDescent="0.2">
      <c r="I162" s="509"/>
      <c r="U162" s="308"/>
      <c r="V162" s="308"/>
      <c r="W162" s="308"/>
      <c r="X162" s="308"/>
      <c r="Y162" s="308"/>
    </row>
    <row r="163" spans="1:25" x14ac:dyDescent="0.2">
      <c r="B163" s="1570" t="s">
        <v>1034</v>
      </c>
      <c r="C163" s="1573">
        <v>8.0799999999999997E-2</v>
      </c>
      <c r="I163" s="1496"/>
      <c r="J163" s="1455">
        <f>+C163</f>
        <v>8.0799999999999997E-2</v>
      </c>
      <c r="K163" s="1574">
        <f>+J163*(1+$C$180)</f>
        <v>8.1634864450127881E-2</v>
      </c>
      <c r="L163" s="1574">
        <f t="shared" ref="L163:T163" si="45">+K163*(1+$C$180)</f>
        <v>8.2478355121172686E-2</v>
      </c>
      <c r="M163" s="1574">
        <f t="shared" si="45"/>
        <v>8.333056114339657E-2</v>
      </c>
      <c r="N163" s="1574">
        <f t="shared" si="45"/>
        <v>8.4191572567998418E-2</v>
      </c>
      <c r="O163" s="1574">
        <f t="shared" si="45"/>
        <v>8.5061480376629403E-2</v>
      </c>
      <c r="P163" s="1574">
        <f t="shared" si="45"/>
        <v>8.5940376491006859E-2</v>
      </c>
      <c r="Q163" s="1574">
        <f t="shared" si="45"/>
        <v>8.6828353782627501E-2</v>
      </c>
      <c r="R163" s="1574">
        <f t="shared" si="45"/>
        <v>8.7725506082581006E-2</v>
      </c>
      <c r="S163" s="1574">
        <f t="shared" si="45"/>
        <v>8.8631928191464968E-2</v>
      </c>
      <c r="T163" s="1574">
        <f t="shared" si="45"/>
        <v>8.9547715889402357E-2</v>
      </c>
      <c r="U163" s="308"/>
      <c r="V163" s="308"/>
      <c r="W163" s="308"/>
      <c r="X163" s="308"/>
      <c r="Y163" s="308"/>
    </row>
    <row r="164" spans="1:25" x14ac:dyDescent="0.2">
      <c r="C164" s="495"/>
      <c r="I164" s="497"/>
      <c r="J164" s="508"/>
      <c r="K164" s="508"/>
      <c r="L164" s="508"/>
      <c r="M164" s="508"/>
      <c r="N164" s="508"/>
      <c r="O164" s="508"/>
      <c r="P164" s="508"/>
      <c r="Q164" s="508"/>
      <c r="R164" s="508"/>
      <c r="S164" s="508"/>
      <c r="T164" s="508"/>
      <c r="U164" s="308"/>
      <c r="V164" s="308"/>
      <c r="W164" s="308"/>
      <c r="X164" s="308"/>
      <c r="Y164" s="308"/>
    </row>
    <row r="165" spans="1:25" ht="13.5" x14ac:dyDescent="0.2">
      <c r="B165" s="487" t="s">
        <v>1224</v>
      </c>
      <c r="C165" s="495"/>
      <c r="E165" s="1480"/>
      <c r="F165" s="1480"/>
      <c r="G165" s="1480"/>
      <c r="H165" s="1480"/>
      <c r="I165" s="439"/>
      <c r="J165" s="439">
        <f>(J161*J180)</f>
        <v>1.2688065966545683</v>
      </c>
      <c r="K165" s="439">
        <f t="shared" ref="K165:T165" si="46">(K161*K180)</f>
        <v>1.1339375657116464</v>
      </c>
      <c r="L165" s="439">
        <f t="shared" si="46"/>
        <v>1.0397752069213921</v>
      </c>
      <c r="M165" s="439">
        <f t="shared" si="46"/>
        <v>0.94754721357907257</v>
      </c>
      <c r="N165" s="439">
        <f t="shared" si="46"/>
        <v>0.85722242329024656</v>
      </c>
      <c r="O165" s="439">
        <f t="shared" si="46"/>
        <v>0.76877012517493171</v>
      </c>
      <c r="P165" s="439">
        <f t="shared" si="46"/>
        <v>0.68216005370493549</v>
      </c>
      <c r="Q165" s="439">
        <f t="shared" si="46"/>
        <v>0.59736238262213315</v>
      </c>
      <c r="R165" s="439">
        <f t="shared" si="46"/>
        <v>0.5143477189366541</v>
      </c>
      <c r="S165" s="439">
        <f t="shared" si="46"/>
        <v>0.43308709700395837</v>
      </c>
      <c r="T165" s="439">
        <f t="shared" si="46"/>
        <v>0.35355197267979055</v>
      </c>
      <c r="U165" s="308"/>
      <c r="V165" s="308"/>
      <c r="W165" s="308"/>
      <c r="X165" s="308"/>
      <c r="Y165" s="308"/>
    </row>
    <row r="166" spans="1:25" ht="15" x14ac:dyDescent="0.25">
      <c r="C166"/>
      <c r="D166" s="495"/>
      <c r="E166" s="495"/>
    </row>
    <row r="167" spans="1:25" x14ac:dyDescent="0.2">
      <c r="B167" s="1570" t="s">
        <v>809</v>
      </c>
      <c r="C167" s="1575">
        <f>+J23</f>
        <v>333412</v>
      </c>
      <c r="I167" s="502"/>
      <c r="J167" s="502"/>
      <c r="K167" s="502"/>
      <c r="L167" s="502"/>
      <c r="M167" s="502"/>
      <c r="N167" s="502"/>
      <c r="O167" s="502"/>
      <c r="P167" s="502"/>
      <c r="Q167" s="502"/>
      <c r="R167" s="502"/>
      <c r="S167" s="502"/>
      <c r="T167" s="502"/>
      <c r="U167" s="308"/>
      <c r="V167" s="308"/>
      <c r="W167" s="308"/>
      <c r="X167" s="308"/>
      <c r="Y167" s="308"/>
    </row>
    <row r="168" spans="1:25" ht="13.5" x14ac:dyDescent="0.2">
      <c r="B168" s="487" t="s">
        <v>1225</v>
      </c>
      <c r="C168" s="1744" t="s">
        <v>1187</v>
      </c>
      <c r="D168" s="1744"/>
      <c r="E168" s="1744"/>
      <c r="F168" s="1744"/>
      <c r="G168" s="1480"/>
      <c r="I168" s="1576"/>
      <c r="J168" s="1576">
        <f t="shared" ref="J168:T168" si="47">(J64*0.78*J165*12)+(J64*0.22*J171*12)</f>
        <v>4167908.4089028426</v>
      </c>
      <c r="K168" s="1576">
        <f t="shared" si="47"/>
        <v>3913259.4598218184</v>
      </c>
      <c r="L168" s="1576">
        <f t="shared" si="47"/>
        <v>3744253.9859796604</v>
      </c>
      <c r="M168" s="1576">
        <f t="shared" si="47"/>
        <v>3570622.893515327</v>
      </c>
      <c r="N168" s="1576">
        <f t="shared" si="47"/>
        <v>3394327.3466117121</v>
      </c>
      <c r="O168" s="1576">
        <f t="shared" si="47"/>
        <v>3215318.3176598726</v>
      </c>
      <c r="P168" s="1576">
        <f t="shared" si="47"/>
        <v>3033603.7727265367</v>
      </c>
      <c r="Q168" s="1576">
        <f t="shared" si="47"/>
        <v>2849182.6760584461</v>
      </c>
      <c r="R168" s="1576">
        <f t="shared" si="47"/>
        <v>2662055.1751044821</v>
      </c>
      <c r="S168" s="1576">
        <f t="shared" si="47"/>
        <v>2472222.6479730234</v>
      </c>
      <c r="T168" s="1576">
        <f t="shared" si="47"/>
        <v>2279687.7523054061</v>
      </c>
      <c r="U168" s="308"/>
      <c r="V168" s="308"/>
      <c r="W168" s="308"/>
      <c r="X168" s="308"/>
      <c r="Y168" s="308"/>
    </row>
    <row r="169" spans="1:25" x14ac:dyDescent="0.2">
      <c r="C169" s="491" t="s">
        <v>1165</v>
      </c>
      <c r="D169" s="492" t="s">
        <v>1166</v>
      </c>
      <c r="E169" s="492" t="s">
        <v>1167</v>
      </c>
      <c r="F169" s="492" t="s">
        <v>1168</v>
      </c>
      <c r="U169" s="308"/>
      <c r="V169" s="308"/>
      <c r="W169" s="308"/>
      <c r="X169" s="308"/>
      <c r="Y169" s="308"/>
    </row>
    <row r="170" spans="1:25" x14ac:dyDescent="0.2">
      <c r="B170" s="488" t="s">
        <v>810</v>
      </c>
      <c r="C170" s="1659">
        <v>0.02</v>
      </c>
      <c r="D170" s="1577">
        <v>2.7E-2</v>
      </c>
      <c r="E170" s="1577">
        <v>0.04</v>
      </c>
      <c r="F170" s="1577">
        <v>5.5E-2</v>
      </c>
      <c r="U170" s="308"/>
      <c r="V170" s="308"/>
      <c r="W170" s="308"/>
      <c r="X170" s="308"/>
      <c r="Y170" s="308"/>
    </row>
    <row r="171" spans="1:25" x14ac:dyDescent="0.2">
      <c r="B171" s="487" t="s">
        <v>1210</v>
      </c>
      <c r="C171" s="1578">
        <f>+(C170-1.5%)/2</f>
        <v>2.5000000000000005E-3</v>
      </c>
      <c r="D171" s="1578">
        <f>+(D170-C170)/2</f>
        <v>3.4999999999999996E-3</v>
      </c>
      <c r="E171" s="1578">
        <f>+(E170-D170)/3</f>
        <v>4.333333333333334E-3</v>
      </c>
      <c r="F171" s="1578">
        <f>+(F170-E170)/2</f>
        <v>7.4999999999999997E-3</v>
      </c>
      <c r="G171" s="488"/>
      <c r="I171" s="439"/>
      <c r="J171" s="439">
        <f>+J161*J177</f>
        <v>0.23664594663311836</v>
      </c>
      <c r="K171" s="439">
        <f>+$J$172*K177</f>
        <v>0.31464320146852565</v>
      </c>
      <c r="L171" s="439">
        <f>+$J$172*L177</f>
        <v>0.37199724330350392</v>
      </c>
      <c r="M171" s="439">
        <f t="shared" ref="M171:T171" si="48">+$J$172*M177</f>
        <v>0.4293512851384822</v>
      </c>
      <c r="N171" s="439">
        <f t="shared" si="48"/>
        <v>0.48670532697346047</v>
      </c>
      <c r="O171" s="439">
        <f t="shared" si="48"/>
        <v>0.54405936880843875</v>
      </c>
      <c r="P171" s="439">
        <f t="shared" si="48"/>
        <v>0.60141341064341702</v>
      </c>
      <c r="Q171" s="439">
        <f t="shared" si="48"/>
        <v>0.65876745247839541</v>
      </c>
      <c r="R171" s="439">
        <f t="shared" si="48"/>
        <v>0.71612149431337369</v>
      </c>
      <c r="S171" s="439">
        <f t="shared" si="48"/>
        <v>0.77347553614835196</v>
      </c>
      <c r="T171" s="439">
        <f t="shared" si="48"/>
        <v>0.83082957798333013</v>
      </c>
      <c r="U171" s="308"/>
      <c r="V171" s="308"/>
      <c r="W171" s="308"/>
      <c r="X171" s="308"/>
      <c r="Y171" s="308"/>
    </row>
    <row r="172" spans="1:25" ht="13.5" x14ac:dyDescent="0.2">
      <c r="B172" s="487" t="s">
        <v>1226</v>
      </c>
      <c r="C172" s="1660">
        <f t="shared" ref="C172:E173" si="49">D170</f>
        <v>2.7E-2</v>
      </c>
      <c r="D172" s="1660">
        <f t="shared" si="49"/>
        <v>0.04</v>
      </c>
      <c r="E172" s="1660">
        <f t="shared" si="49"/>
        <v>5.5E-2</v>
      </c>
      <c r="F172" s="1661">
        <f>C163</f>
        <v>8.0799999999999997E-2</v>
      </c>
      <c r="G172" s="1579"/>
      <c r="H172" s="1480"/>
      <c r="I172" s="448"/>
      <c r="J172" s="448">
        <f>+J161+J165-J171</f>
        <v>12.864457981677369</v>
      </c>
      <c r="K172" s="448">
        <f t="shared" ref="K172:T172" si="50">+K161+K165-K171</f>
        <v>12.521436425250823</v>
      </c>
      <c r="L172" s="448">
        <f t="shared" si="50"/>
        <v>12.241196461954505</v>
      </c>
      <c r="M172" s="448">
        <f t="shared" si="50"/>
        <v>11.964306823295503</v>
      </c>
      <c r="N172" s="448">
        <f t="shared" si="50"/>
        <v>11.690720771328294</v>
      </c>
      <c r="O172" s="448">
        <f t="shared" si="50"/>
        <v>11.420392190952876</v>
      </c>
      <c r="P172" s="448">
        <f t="shared" si="50"/>
        <v>11.153275581867451</v>
      </c>
      <c r="Q172" s="448">
        <f t="shared" si="50"/>
        <v>10.889326050622806</v>
      </c>
      <c r="R172" s="448">
        <f t="shared" si="50"/>
        <v>10.62849930277708</v>
      </c>
      <c r="S172" s="448">
        <f t="shared" si="50"/>
        <v>10.370751635149713</v>
      </c>
      <c r="T172" s="448">
        <f t="shared" si="50"/>
        <v>10.116039928173331</v>
      </c>
      <c r="U172" s="308"/>
      <c r="V172" s="308"/>
      <c r="W172" s="308"/>
      <c r="X172" s="308"/>
      <c r="Y172" s="308"/>
    </row>
    <row r="173" spans="1:25" x14ac:dyDescent="0.2">
      <c r="C173" s="1578">
        <f t="shared" si="49"/>
        <v>3.4999999999999996E-3</v>
      </c>
      <c r="D173" s="1578">
        <f t="shared" si="49"/>
        <v>4.333333333333334E-3</v>
      </c>
      <c r="E173" s="1578">
        <f t="shared" si="49"/>
        <v>7.4999999999999997E-3</v>
      </c>
      <c r="F173" s="1465">
        <f>+(F172-E172)/2</f>
        <v>1.2899999999999998E-2</v>
      </c>
      <c r="G173" s="1580" t="s">
        <v>1186</v>
      </c>
      <c r="I173" s="502"/>
      <c r="J173" s="502"/>
      <c r="K173" s="502"/>
      <c r="L173" s="502"/>
      <c r="M173" s="502"/>
      <c r="N173" s="502"/>
      <c r="O173" s="502"/>
      <c r="P173" s="502"/>
      <c r="Q173" s="502"/>
      <c r="R173" s="502"/>
      <c r="S173" s="502"/>
      <c r="T173" s="502"/>
      <c r="U173" s="308"/>
      <c r="V173" s="308"/>
      <c r="W173" s="308"/>
      <c r="X173" s="308"/>
      <c r="Y173" s="308"/>
    </row>
    <row r="174" spans="1:25" x14ac:dyDescent="0.2">
      <c r="I174" s="502"/>
      <c r="U174" s="308"/>
      <c r="V174" s="308"/>
      <c r="W174" s="308"/>
      <c r="X174" s="308"/>
      <c r="Y174" s="308"/>
    </row>
    <row r="175" spans="1:25" s="808" customFormat="1" ht="30.75" customHeight="1" x14ac:dyDescent="0.25">
      <c r="A175" s="315"/>
      <c r="B175" s="1464" t="s">
        <v>749</v>
      </c>
      <c r="C175" s="810"/>
      <c r="D175" s="811"/>
      <c r="E175" s="811"/>
      <c r="F175" s="811"/>
      <c r="G175" s="811"/>
      <c r="H175" s="811"/>
      <c r="I175" s="811"/>
      <c r="J175" s="1581">
        <v>0</v>
      </c>
      <c r="K175" s="1581">
        <v>1</v>
      </c>
      <c r="L175" s="1581">
        <v>2</v>
      </c>
      <c r="M175" s="1581">
        <v>3</v>
      </c>
      <c r="N175" s="1581">
        <v>4</v>
      </c>
      <c r="O175" s="1581">
        <v>5</v>
      </c>
      <c r="P175" s="1581">
        <v>6</v>
      </c>
      <c r="Q175" s="1581">
        <v>7</v>
      </c>
      <c r="R175" s="1581">
        <v>8</v>
      </c>
      <c r="S175" s="1581">
        <v>9</v>
      </c>
      <c r="T175" s="1581">
        <v>10</v>
      </c>
    </row>
    <row r="176" spans="1:25" s="1534" customFormat="1" ht="30.75" customHeight="1" x14ac:dyDescent="0.2"/>
    <row r="177" spans="1:25" ht="20.100000000000001" customHeight="1" x14ac:dyDescent="0.2">
      <c r="B177" s="487" t="s">
        <v>1211</v>
      </c>
      <c r="I177" s="1582"/>
      <c r="J177" s="1583">
        <f>$C$170</f>
        <v>0.02</v>
      </c>
      <c r="K177" s="1507">
        <f>+J177+$C$178</f>
        <v>2.4458333333333332E-2</v>
      </c>
      <c r="L177" s="1507">
        <f>+K177+$C$178</f>
        <v>2.8916666666666667E-2</v>
      </c>
      <c r="M177" s="1507">
        <f>+L177+$C$178</f>
        <v>3.3375000000000002E-2</v>
      </c>
      <c r="N177" s="1507">
        <f t="shared" ref="N177:T177" si="51">+M177+$C$178</f>
        <v>3.7833333333333337E-2</v>
      </c>
      <c r="O177" s="1507">
        <f t="shared" si="51"/>
        <v>4.2291666666666672E-2</v>
      </c>
      <c r="P177" s="1507">
        <f t="shared" si="51"/>
        <v>4.6750000000000007E-2</v>
      </c>
      <c r="Q177" s="1507">
        <f t="shared" si="51"/>
        <v>5.1208333333333342E-2</v>
      </c>
      <c r="R177" s="1507">
        <f t="shared" si="51"/>
        <v>5.5666666666666677E-2</v>
      </c>
      <c r="S177" s="1507">
        <f t="shared" si="51"/>
        <v>6.0125000000000012E-2</v>
      </c>
      <c r="T177" s="1507">
        <f t="shared" si="51"/>
        <v>6.458333333333334E-2</v>
      </c>
      <c r="U177" s="308"/>
      <c r="V177" s="308"/>
      <c r="W177" s="308"/>
      <c r="X177" s="308"/>
      <c r="Y177" s="308"/>
    </row>
    <row r="178" spans="1:25" s="498" customFormat="1" ht="36.75" customHeight="1" x14ac:dyDescent="0.25">
      <c r="B178" s="498" t="s">
        <v>1212</v>
      </c>
      <c r="C178" s="1584">
        <f>AVERAGE(C171:F171)</f>
        <v>4.4583333333333332E-3</v>
      </c>
      <c r="D178" s="1585"/>
      <c r="E178" s="492"/>
      <c r="F178" s="492"/>
      <c r="G178" s="1480"/>
      <c r="J178" s="307"/>
      <c r="K178" s="307"/>
      <c r="L178" s="307"/>
      <c r="M178" s="307"/>
      <c r="N178" s="307"/>
      <c r="O178" s="307"/>
      <c r="P178" s="307"/>
      <c r="Q178" s="307"/>
      <c r="R178" s="307"/>
      <c r="S178" s="307"/>
      <c r="T178" s="307"/>
      <c r="U178" s="307"/>
      <c r="V178" s="307"/>
      <c r="W178" s="307"/>
      <c r="X178" s="307"/>
      <c r="Y178" s="307"/>
    </row>
    <row r="179" spans="1:25" s="498" customFormat="1" ht="36.75" customHeight="1" x14ac:dyDescent="0.25">
      <c r="B179" s="498" t="s">
        <v>409</v>
      </c>
      <c r="C179" s="1584">
        <f>AVERAGE(C173:F173)</f>
        <v>7.0583333333333331E-3</v>
      </c>
      <c r="D179" s="492"/>
      <c r="E179" s="492"/>
      <c r="F179" s="492"/>
      <c r="G179" s="492"/>
      <c r="H179" s="492"/>
      <c r="I179" s="502"/>
      <c r="J179" s="1582">
        <f>+M177</f>
        <v>3.3375000000000002E-2</v>
      </c>
      <c r="K179" s="1582">
        <f>+J179+$C$180</f>
        <v>4.3707480818414322E-2</v>
      </c>
      <c r="L179" s="1582">
        <f>+K179+$C$179</f>
        <v>5.0765814151747655E-2</v>
      </c>
      <c r="M179" s="1582">
        <f t="shared" ref="M179:T179" si="52">+L179+$C$179</f>
        <v>5.7824147485080989E-2</v>
      </c>
      <c r="N179" s="1582">
        <f t="shared" si="52"/>
        <v>6.4882480818414329E-2</v>
      </c>
      <c r="O179" s="1582">
        <f t="shared" si="52"/>
        <v>7.1940814151747662E-2</v>
      </c>
      <c r="P179" s="1582">
        <f t="shared" si="52"/>
        <v>7.8999147485080995E-2</v>
      </c>
      <c r="Q179" s="1582">
        <f t="shared" si="52"/>
        <v>8.6057480818414328E-2</v>
      </c>
      <c r="R179" s="1582">
        <f t="shared" si="52"/>
        <v>9.3115814151747661E-2</v>
      </c>
      <c r="S179" s="1582">
        <f t="shared" si="52"/>
        <v>0.10017414748508099</v>
      </c>
      <c r="T179" s="1582">
        <f t="shared" si="52"/>
        <v>0.10723248081841433</v>
      </c>
      <c r="U179" s="307"/>
      <c r="V179" s="307"/>
      <c r="W179" s="307"/>
      <c r="X179" s="307"/>
      <c r="Y179" s="307"/>
    </row>
    <row r="180" spans="1:25" ht="20.100000000000001" customHeight="1" x14ac:dyDescent="0.2">
      <c r="B180" s="1586" t="s">
        <v>1213</v>
      </c>
      <c r="C180" s="1584">
        <f>+C163/C181</f>
        <v>1.0332480818414322E-2</v>
      </c>
      <c r="I180" s="1582"/>
      <c r="J180" s="1582">
        <f>+T179</f>
        <v>0.10723248081841433</v>
      </c>
      <c r="K180" s="1582">
        <f>+J180-$C$180</f>
        <v>9.69E-2</v>
      </c>
      <c r="L180" s="1582">
        <f>+K180-$C$179</f>
        <v>8.9841666666666667E-2</v>
      </c>
      <c r="M180" s="1582">
        <f t="shared" ref="M180:T180" si="53">+L180-$C$179</f>
        <v>8.2783333333333334E-2</v>
      </c>
      <c r="N180" s="1582">
        <f t="shared" si="53"/>
        <v>7.5725000000000001E-2</v>
      </c>
      <c r="O180" s="1582">
        <f t="shared" si="53"/>
        <v>6.8666666666666668E-2</v>
      </c>
      <c r="P180" s="1582">
        <f t="shared" si="53"/>
        <v>6.1608333333333334E-2</v>
      </c>
      <c r="Q180" s="1582">
        <f t="shared" si="53"/>
        <v>5.4550000000000001E-2</v>
      </c>
      <c r="R180" s="1582">
        <f t="shared" si="53"/>
        <v>4.7491666666666668E-2</v>
      </c>
      <c r="S180" s="1582">
        <f t="shared" si="53"/>
        <v>4.0433333333333335E-2</v>
      </c>
      <c r="T180" s="1582">
        <f t="shared" si="53"/>
        <v>3.3375000000000002E-2</v>
      </c>
      <c r="U180" s="308"/>
      <c r="V180" s="308"/>
      <c r="W180" s="308"/>
      <c r="X180" s="308"/>
      <c r="Y180" s="308"/>
    </row>
    <row r="181" spans="1:25" ht="20.100000000000001" customHeight="1" x14ac:dyDescent="0.2">
      <c r="B181" s="1586" t="s">
        <v>1185</v>
      </c>
      <c r="C181" s="1587">
        <v>7.82</v>
      </c>
      <c r="I181" s="502"/>
      <c r="J181" s="372"/>
      <c r="K181" s="372"/>
      <c r="L181" s="372"/>
      <c r="M181" s="372"/>
      <c r="N181" s="372"/>
      <c r="O181" s="372"/>
      <c r="P181" s="372"/>
      <c r="Q181" s="372"/>
      <c r="R181" s="372"/>
      <c r="S181" s="372"/>
      <c r="T181" s="372"/>
      <c r="U181" s="308"/>
      <c r="V181" s="308"/>
      <c r="W181" s="308"/>
      <c r="X181" s="308"/>
      <c r="Y181" s="308"/>
    </row>
    <row r="182" spans="1:25" s="1474" customFormat="1" ht="20.100000000000001" customHeight="1" x14ac:dyDescent="0.2">
      <c r="B182" s="1586" t="s">
        <v>1227</v>
      </c>
      <c r="C182" s="1588"/>
      <c r="D182" s="875"/>
      <c r="E182" s="875"/>
      <c r="F182" s="875"/>
      <c r="G182" s="875"/>
      <c r="H182" s="875"/>
      <c r="I182" s="448"/>
      <c r="J182" s="448">
        <f>(($J$161+$J$165)*(1-J177))-$J$172</f>
        <v>-2.5376131933091628E-2</v>
      </c>
      <c r="K182" s="448">
        <f>K172-J172</f>
        <v>-0.34302155642654597</v>
      </c>
      <c r="L182" s="448">
        <f t="shared" ref="L182:T182" si="54">L172-K172</f>
        <v>-0.28023996329631728</v>
      </c>
      <c r="M182" s="448">
        <f t="shared" si="54"/>
        <v>-0.27688963865900185</v>
      </c>
      <c r="N182" s="448">
        <f t="shared" si="54"/>
        <v>-0.27358605196720909</v>
      </c>
      <c r="O182" s="448">
        <f t="shared" si="54"/>
        <v>-0.27032858037541807</v>
      </c>
      <c r="P182" s="448">
        <f t="shared" si="54"/>
        <v>-0.26711660908542534</v>
      </c>
      <c r="Q182" s="448">
        <f t="shared" si="54"/>
        <v>-0.26394953124464493</v>
      </c>
      <c r="R182" s="448">
        <f t="shared" si="54"/>
        <v>-0.26082674784572646</v>
      </c>
      <c r="S182" s="448">
        <f t="shared" si="54"/>
        <v>-0.25774766762736689</v>
      </c>
      <c r="T182" s="448">
        <f t="shared" si="54"/>
        <v>-0.25471170697638179</v>
      </c>
      <c r="U182" s="1471"/>
      <c r="V182" s="1471"/>
      <c r="W182" s="1471"/>
      <c r="X182" s="1471"/>
      <c r="Y182" s="1471"/>
    </row>
    <row r="183" spans="1:25" s="1474" customFormat="1" ht="20.100000000000001" customHeight="1" x14ac:dyDescent="0.2">
      <c r="B183" s="875" t="s">
        <v>1228</v>
      </c>
      <c r="C183" s="1588"/>
      <c r="E183" s="875"/>
      <c r="F183" s="875"/>
      <c r="G183" s="1589"/>
      <c r="H183" s="875"/>
      <c r="I183" s="448"/>
      <c r="J183" s="448">
        <f>+J172-J161</f>
        <v>1.0321606500214511</v>
      </c>
      <c r="K183" s="448">
        <f t="shared" ref="K183:T183" si="55">+K172-K161</f>
        <v>0.8192943642431203</v>
      </c>
      <c r="L183" s="448">
        <f t="shared" si="55"/>
        <v>0.66777796361788866</v>
      </c>
      <c r="M183" s="448">
        <f t="shared" si="55"/>
        <v>0.51819592844059059</v>
      </c>
      <c r="N183" s="448">
        <f t="shared" si="55"/>
        <v>0.3705170963167852</v>
      </c>
      <c r="O183" s="448">
        <f t="shared" si="55"/>
        <v>0.22471075636649296</v>
      </c>
      <c r="P183" s="448">
        <f t="shared" si="55"/>
        <v>8.0746643061518242E-2</v>
      </c>
      <c r="Q183" s="448">
        <f t="shared" si="55"/>
        <v>-6.1405069856261818E-2</v>
      </c>
      <c r="R183" s="448">
        <f t="shared" si="55"/>
        <v>-0.20177377537671859</v>
      </c>
      <c r="S183" s="448">
        <f t="shared" si="55"/>
        <v>-0.34038843914439276</v>
      </c>
      <c r="T183" s="448">
        <f t="shared" si="55"/>
        <v>-0.47727760530353969</v>
      </c>
      <c r="U183" s="1471"/>
      <c r="V183" s="1471"/>
      <c r="W183" s="1471"/>
      <c r="X183" s="1471"/>
      <c r="Y183" s="1471"/>
    </row>
    <row r="184" spans="1:25" ht="20.100000000000001" customHeight="1" x14ac:dyDescent="0.2">
      <c r="C184" s="495"/>
      <c r="I184" s="372"/>
      <c r="J184" s="372"/>
      <c r="K184" s="372"/>
      <c r="L184" s="372"/>
      <c r="M184" s="372"/>
      <c r="N184" s="372"/>
      <c r="O184" s="372"/>
      <c r="P184" s="372"/>
      <c r="Q184" s="372"/>
      <c r="R184" s="372"/>
      <c r="S184" s="372"/>
      <c r="T184" s="372"/>
      <c r="U184" s="308"/>
      <c r="V184" s="308"/>
      <c r="W184" s="308"/>
      <c r="X184" s="308"/>
      <c r="Y184" s="308"/>
    </row>
    <row r="185" spans="1:25" ht="20.100000000000001" customHeight="1" x14ac:dyDescent="0.2">
      <c r="I185" s="802"/>
      <c r="J185" s="802"/>
      <c r="K185" s="802"/>
      <c r="L185" s="802"/>
      <c r="M185" s="802"/>
      <c r="N185" s="802"/>
      <c r="O185" s="802"/>
      <c r="P185" s="802"/>
      <c r="Q185" s="802"/>
      <c r="U185" s="308"/>
      <c r="V185" s="308"/>
      <c r="W185" s="308"/>
      <c r="X185" s="308"/>
      <c r="Y185" s="308"/>
    </row>
    <row r="186" spans="1:25" ht="20.100000000000001" customHeight="1" x14ac:dyDescent="0.2">
      <c r="I186" s="802"/>
      <c r="J186" s="802"/>
      <c r="K186" s="802"/>
      <c r="L186" s="802"/>
      <c r="M186" s="802"/>
      <c r="N186" s="802"/>
      <c r="O186" s="802"/>
      <c r="P186" s="802"/>
      <c r="Q186" s="802"/>
      <c r="U186" s="308"/>
      <c r="V186" s="308"/>
      <c r="W186" s="308"/>
      <c r="X186" s="308"/>
      <c r="Y186" s="308"/>
    </row>
    <row r="187" spans="1:25" ht="20.100000000000001" customHeight="1" x14ac:dyDescent="0.2">
      <c r="U187" s="308"/>
      <c r="V187" s="308"/>
      <c r="W187" s="308"/>
      <c r="X187" s="308"/>
      <c r="Y187" s="308"/>
    </row>
    <row r="188" spans="1:25" ht="30" customHeight="1" x14ac:dyDescent="0.2">
      <c r="B188" s="1743" t="s">
        <v>723</v>
      </c>
      <c r="C188" s="1743"/>
      <c r="U188" s="308"/>
      <c r="V188" s="308"/>
      <c r="W188" s="308"/>
      <c r="X188" s="308"/>
      <c r="Y188" s="308"/>
    </row>
    <row r="189" spans="1:25" x14ac:dyDescent="0.2">
      <c r="U189" s="308"/>
      <c r="V189" s="308"/>
      <c r="W189" s="308"/>
      <c r="X189" s="308"/>
      <c r="Y189" s="308"/>
    </row>
    <row r="190" spans="1:25" s="1595" customFormat="1" ht="23.85" customHeight="1" thickBot="1" x14ac:dyDescent="0.25">
      <c r="A190" s="1590"/>
      <c r="B190" s="1591" t="s">
        <v>1176</v>
      </c>
      <c r="C190" s="1592"/>
      <c r="D190" s="1593">
        <f>$D$11</f>
        <v>2019</v>
      </c>
      <c r="E190" s="1593">
        <f>D190+1</f>
        <v>2020</v>
      </c>
      <c r="F190" s="1594">
        <f>+E190+1</f>
        <v>2021</v>
      </c>
      <c r="G190" s="1594">
        <f>+F190+1</f>
        <v>2022</v>
      </c>
      <c r="H190" s="1594">
        <f>+G190+1</f>
        <v>2023</v>
      </c>
      <c r="I190" s="1594">
        <f>+H190+1</f>
        <v>2024</v>
      </c>
      <c r="J190" s="1594">
        <v>0</v>
      </c>
      <c r="K190" s="1594">
        <f t="shared" ref="K190:T190" si="56">+J190+1</f>
        <v>1</v>
      </c>
      <c r="L190" s="1594">
        <f t="shared" si="56"/>
        <v>2</v>
      </c>
      <c r="M190" s="1594">
        <f t="shared" si="56"/>
        <v>3</v>
      </c>
      <c r="N190" s="1594">
        <f t="shared" si="56"/>
        <v>4</v>
      </c>
      <c r="O190" s="1594">
        <f t="shared" si="56"/>
        <v>5</v>
      </c>
      <c r="P190" s="1594">
        <f t="shared" si="56"/>
        <v>6</v>
      </c>
      <c r="Q190" s="1594">
        <f t="shared" si="56"/>
        <v>7</v>
      </c>
      <c r="R190" s="1594">
        <f t="shared" si="56"/>
        <v>8</v>
      </c>
      <c r="S190" s="1594">
        <f t="shared" si="56"/>
        <v>9</v>
      </c>
      <c r="T190" s="1594">
        <f t="shared" si="56"/>
        <v>10</v>
      </c>
      <c r="U190" s="308"/>
      <c r="V190" s="308"/>
      <c r="W190" s="308"/>
      <c r="X190" s="308"/>
      <c r="Y190" s="308"/>
    </row>
    <row r="191" spans="1:25" ht="36" customHeight="1" outlineLevel="1" x14ac:dyDescent="0.2">
      <c r="B191" s="879" t="s">
        <v>1175</v>
      </c>
      <c r="U191" s="308"/>
      <c r="V191" s="308"/>
      <c r="W191" s="308"/>
      <c r="X191" s="308"/>
      <c r="Y191" s="308"/>
    </row>
    <row r="192" spans="1:25" ht="12" customHeight="1" outlineLevel="1" x14ac:dyDescent="0.2">
      <c r="U192" s="308"/>
      <c r="V192" s="308"/>
      <c r="W192" s="308"/>
      <c r="X192" s="308"/>
      <c r="Y192" s="308"/>
    </row>
    <row r="193" spans="2:25" ht="12" customHeight="1" outlineLevel="1" x14ac:dyDescent="0.2">
      <c r="B193" s="308" t="s">
        <v>397</v>
      </c>
      <c r="D193" s="526">
        <f>+D24</f>
        <v>0</v>
      </c>
      <c r="E193" s="526">
        <f>+E24</f>
        <v>0</v>
      </c>
      <c r="F193" s="528">
        <f>F23</f>
        <v>303301</v>
      </c>
      <c r="G193" s="528">
        <f t="shared" ref="G193:T193" si="57">G23</f>
        <v>309477</v>
      </c>
      <c r="H193" s="528">
        <f t="shared" si="57"/>
        <v>318442</v>
      </c>
      <c r="I193" s="528">
        <f t="shared" si="57"/>
        <v>325502</v>
      </c>
      <c r="J193" s="528">
        <f t="shared" si="57"/>
        <v>333412</v>
      </c>
      <c r="K193" s="528">
        <f t="shared" si="57"/>
        <v>341939.19999999995</v>
      </c>
      <c r="L193" s="528">
        <f t="shared" si="57"/>
        <v>349461</v>
      </c>
      <c r="M193" s="528">
        <f t="shared" si="57"/>
        <v>356972</v>
      </c>
      <c r="N193" s="528">
        <f t="shared" si="57"/>
        <v>364648</v>
      </c>
      <c r="O193" s="528">
        <f t="shared" si="57"/>
        <v>372488</v>
      </c>
      <c r="P193" s="528">
        <f t="shared" si="57"/>
        <v>380496.56146201264</v>
      </c>
      <c r="Q193" s="528">
        <f t="shared" si="57"/>
        <v>388677.30848890479</v>
      </c>
      <c r="R193" s="528">
        <f t="shared" si="57"/>
        <v>397033.94310243073</v>
      </c>
      <c r="S193" s="528">
        <f t="shared" si="57"/>
        <v>405570.24691850279</v>
      </c>
      <c r="T193" s="528">
        <f t="shared" si="57"/>
        <v>414290.08285848069</v>
      </c>
      <c r="U193" s="308"/>
      <c r="V193" s="308"/>
      <c r="W193" s="308"/>
      <c r="X193" s="308"/>
      <c r="Y193" s="308"/>
    </row>
    <row r="194" spans="2:25" ht="12" customHeight="1" outlineLevel="1" x14ac:dyDescent="0.2">
      <c r="B194" s="1451" t="s">
        <v>1188</v>
      </c>
      <c r="D194" s="526">
        <f>SUM(D195:D196)</f>
        <v>0</v>
      </c>
      <c r="E194" s="526">
        <f>SUM(E195:E196)</f>
        <v>0</v>
      </c>
      <c r="F194" s="528">
        <f>SUM(F197:F198)</f>
        <v>30393</v>
      </c>
      <c r="G194" s="528">
        <f t="shared" ref="G194:T194" si="58">SUM(G197:G198)</f>
        <v>29946</v>
      </c>
      <c r="H194" s="528">
        <f t="shared" si="58"/>
        <v>20754</v>
      </c>
      <c r="I194" s="528">
        <f t="shared" si="58"/>
        <v>33127</v>
      </c>
      <c r="J194" s="528">
        <f t="shared" si="58"/>
        <v>39595</v>
      </c>
      <c r="K194" s="528">
        <f t="shared" si="58"/>
        <v>38837.381818181777</v>
      </c>
      <c r="L194" s="528">
        <f t="shared" si="58"/>
        <v>37831.98181818187</v>
      </c>
      <c r="M194" s="528">
        <f t="shared" si="58"/>
        <v>37821.181818181823</v>
      </c>
      <c r="N194" s="528">
        <f t="shared" si="58"/>
        <v>37986.181818181823</v>
      </c>
      <c r="O194" s="528">
        <f t="shared" si="58"/>
        <v>38150.181818181823</v>
      </c>
      <c r="P194" s="528">
        <f t="shared" si="58"/>
        <v>38318.743280194467</v>
      </c>
      <c r="Q194" s="528">
        <f t="shared" si="58"/>
        <v>38490.92884507397</v>
      </c>
      <c r="R194" s="528">
        <f t="shared" si="58"/>
        <v>38666.816431707761</v>
      </c>
      <c r="S194" s="528">
        <f t="shared" si="58"/>
        <v>38846.485634253884</v>
      </c>
      <c r="T194" s="528">
        <f t="shared" si="58"/>
        <v>39030.017758159724</v>
      </c>
      <c r="U194" s="308"/>
      <c r="V194" s="308"/>
      <c r="W194" s="308"/>
      <c r="X194" s="308"/>
      <c r="Y194" s="308"/>
    </row>
    <row r="195" spans="2:25" ht="12" customHeight="1" outlineLevel="1" x14ac:dyDescent="0.2">
      <c r="B195" s="1451"/>
      <c r="C195" s="1452"/>
      <c r="D195" s="1401"/>
      <c r="E195" s="1401"/>
      <c r="F195" s="1401"/>
      <c r="G195" s="1401"/>
      <c r="H195" s="1401"/>
      <c r="I195" s="1401"/>
      <c r="J195" s="1401"/>
      <c r="K195" s="950">
        <f t="shared" ref="K195:T195" si="59">INT(K199*$J193)+VLOOKUP($C$200-1,$C$210:$T$221,K209+8)</f>
        <v>30310</v>
      </c>
      <c r="L195" s="950">
        <f t="shared" si="59"/>
        <v>30310</v>
      </c>
      <c r="M195" s="950">
        <f t="shared" si="59"/>
        <v>30310</v>
      </c>
      <c r="N195" s="950">
        <f t="shared" si="59"/>
        <v>30310</v>
      </c>
      <c r="O195" s="950">
        <f t="shared" si="59"/>
        <v>30310</v>
      </c>
      <c r="P195" s="950">
        <f t="shared" si="59"/>
        <v>30310</v>
      </c>
      <c r="Q195" s="950">
        <f t="shared" si="59"/>
        <v>30310</v>
      </c>
      <c r="R195" s="950">
        <f t="shared" si="59"/>
        <v>30310</v>
      </c>
      <c r="S195" s="950">
        <f t="shared" si="59"/>
        <v>30310</v>
      </c>
      <c r="T195" s="950">
        <f t="shared" si="59"/>
        <v>30310</v>
      </c>
      <c r="U195" s="308"/>
      <c r="V195" s="308"/>
      <c r="W195" s="308"/>
      <c r="X195" s="308"/>
      <c r="Y195" s="308"/>
    </row>
    <row r="196" spans="2:25" ht="12" customHeight="1" outlineLevel="1" x14ac:dyDescent="0.2">
      <c r="D196" s="507"/>
      <c r="E196" s="507"/>
      <c r="F196" s="507"/>
      <c r="G196" s="507"/>
      <c r="H196" s="507"/>
      <c r="I196" s="507"/>
      <c r="J196" s="507"/>
      <c r="K196" s="506"/>
      <c r="L196" s="506"/>
      <c r="M196" s="506"/>
      <c r="N196" s="506"/>
      <c r="O196" s="506"/>
      <c r="P196" s="506"/>
      <c r="Q196" s="506"/>
      <c r="R196" s="506"/>
      <c r="S196" s="506"/>
      <c r="T196" s="506"/>
      <c r="U196" s="308"/>
      <c r="V196" s="308"/>
      <c r="W196" s="308"/>
      <c r="X196" s="308"/>
      <c r="Y196" s="308"/>
    </row>
    <row r="197" spans="2:25" s="492" customFormat="1" ht="12" customHeight="1" outlineLevel="1" x14ac:dyDescent="0.2">
      <c r="B197" s="308" t="s">
        <v>1169</v>
      </c>
      <c r="E197" s="499"/>
      <c r="F197" s="1454">
        <v>21377</v>
      </c>
      <c r="G197" s="1454">
        <v>22576</v>
      </c>
      <c r="H197" s="1454">
        <v>15784</v>
      </c>
      <c r="I197" s="1454">
        <v>25736</v>
      </c>
      <c r="J197" s="1454">
        <v>31539</v>
      </c>
      <c r="K197" s="1453">
        <f>+$J$193*$K$199</f>
        <v>30310.18181818182</v>
      </c>
      <c r="L197" s="1453">
        <f>+$J$193*$K$199</f>
        <v>30310.18181818182</v>
      </c>
      <c r="M197" s="1453">
        <f t="shared" ref="M197:T197" si="60">+$J$193*$K$199</f>
        <v>30310.18181818182</v>
      </c>
      <c r="N197" s="1453">
        <f t="shared" si="60"/>
        <v>30310.18181818182</v>
      </c>
      <c r="O197" s="1453">
        <f t="shared" si="60"/>
        <v>30310.18181818182</v>
      </c>
      <c r="P197" s="1453">
        <f t="shared" si="60"/>
        <v>30310.18181818182</v>
      </c>
      <c r="Q197" s="1453">
        <f t="shared" si="60"/>
        <v>30310.18181818182</v>
      </c>
      <c r="R197" s="1453">
        <f t="shared" si="60"/>
        <v>30310.18181818182</v>
      </c>
      <c r="S197" s="1453">
        <f t="shared" si="60"/>
        <v>30310.18181818182</v>
      </c>
      <c r="T197" s="1453">
        <f t="shared" si="60"/>
        <v>30310.18181818182</v>
      </c>
      <c r="U197" s="308"/>
      <c r="V197" s="308"/>
      <c r="W197" s="308"/>
      <c r="X197" s="308"/>
      <c r="Y197" s="308"/>
    </row>
    <row r="198" spans="2:25" s="492" customFormat="1" ht="12" customHeight="1" outlineLevel="1" x14ac:dyDescent="0.2">
      <c r="B198" s="487" t="s">
        <v>411</v>
      </c>
      <c r="E198" s="499"/>
      <c r="F198" s="1454">
        <v>9016</v>
      </c>
      <c r="G198" s="1454">
        <v>7370</v>
      </c>
      <c r="H198" s="1454">
        <v>4970</v>
      </c>
      <c r="I198" s="1454">
        <v>7391</v>
      </c>
      <c r="J198" s="1454">
        <v>8056</v>
      </c>
      <c r="K198" s="1453">
        <f t="shared" ref="K198:T198" si="61">K193-J193</f>
        <v>8527.1999999999534</v>
      </c>
      <c r="L198" s="1453">
        <f t="shared" si="61"/>
        <v>7521.8000000000466</v>
      </c>
      <c r="M198" s="1453">
        <f t="shared" si="61"/>
        <v>7511</v>
      </c>
      <c r="N198" s="1453">
        <f t="shared" si="61"/>
        <v>7676</v>
      </c>
      <c r="O198" s="1453">
        <f t="shared" si="61"/>
        <v>7840</v>
      </c>
      <c r="P198" s="1453">
        <f t="shared" si="61"/>
        <v>8008.5614620126435</v>
      </c>
      <c r="Q198" s="1453">
        <f t="shared" si="61"/>
        <v>8180.7470268921461</v>
      </c>
      <c r="R198" s="1453">
        <f t="shared" si="61"/>
        <v>8356.6346135259373</v>
      </c>
      <c r="S198" s="1453">
        <f t="shared" si="61"/>
        <v>8536.3038160720607</v>
      </c>
      <c r="T198" s="1453">
        <f t="shared" si="61"/>
        <v>8719.8359399779001</v>
      </c>
      <c r="U198" s="308"/>
      <c r="V198" s="308"/>
      <c r="W198" s="308"/>
      <c r="X198" s="308"/>
      <c r="Y198" s="308"/>
    </row>
    <row r="199" spans="2:25" s="492" customFormat="1" ht="12" customHeight="1" outlineLevel="1" x14ac:dyDescent="0.2">
      <c r="B199" s="1451" t="s">
        <v>1189</v>
      </c>
      <c r="C199" s="1456">
        <f>1/C200</f>
        <v>9.0909090909090912E-2</v>
      </c>
      <c r="E199" s="508"/>
      <c r="F199" s="527">
        <f>+F197/F23</f>
        <v>7.0481139198354109E-2</v>
      </c>
      <c r="G199" s="527">
        <f>+G197/G23</f>
        <v>7.2948878268821266E-2</v>
      </c>
      <c r="H199" s="527">
        <f>+H197/H23</f>
        <v>4.9566326049955721E-2</v>
      </c>
      <c r="I199" s="527">
        <f>+I197/I23</f>
        <v>7.9065566417410652E-2</v>
      </c>
      <c r="J199" s="527">
        <f>+J197/J23</f>
        <v>9.4594675656545057E-2</v>
      </c>
      <c r="K199" s="1455">
        <f>C199</f>
        <v>9.0909090909090912E-2</v>
      </c>
      <c r="L199" s="1455">
        <f>+K199</f>
        <v>9.0909090909090912E-2</v>
      </c>
      <c r="M199" s="1455">
        <f>+L199</f>
        <v>9.0909090909090912E-2</v>
      </c>
      <c r="N199" s="1455">
        <f>+M199</f>
        <v>9.0909090909090912E-2</v>
      </c>
      <c r="O199" s="1455">
        <f t="shared" ref="O199:T199" si="62">+N199</f>
        <v>9.0909090909090912E-2</v>
      </c>
      <c r="P199" s="1455">
        <f t="shared" si="62"/>
        <v>9.0909090909090912E-2</v>
      </c>
      <c r="Q199" s="1455">
        <f t="shared" si="62"/>
        <v>9.0909090909090912E-2</v>
      </c>
      <c r="R199" s="1455">
        <f t="shared" si="62"/>
        <v>9.0909090909090912E-2</v>
      </c>
      <c r="S199" s="1455">
        <f t="shared" si="62"/>
        <v>9.0909090909090912E-2</v>
      </c>
      <c r="T199" s="1455">
        <f t="shared" si="62"/>
        <v>9.0909090909090912E-2</v>
      </c>
      <c r="U199" s="308"/>
      <c r="V199" s="308"/>
      <c r="W199" s="308"/>
      <c r="X199" s="308"/>
      <c r="Y199" s="308"/>
    </row>
    <row r="200" spans="2:25" s="492" customFormat="1" ht="12" customHeight="1" outlineLevel="1" x14ac:dyDescent="0.2">
      <c r="B200" s="1451" t="s">
        <v>1214</v>
      </c>
      <c r="C200" s="1457">
        <v>11</v>
      </c>
      <c r="E200" s="508"/>
      <c r="F200" s="508"/>
      <c r="G200" s="508"/>
      <c r="H200" s="508"/>
      <c r="I200" s="880"/>
      <c r="J200" s="880"/>
      <c r="K200" s="951"/>
      <c r="L200" s="951"/>
      <c r="M200" s="951"/>
      <c r="N200" s="951"/>
      <c r="O200" s="951"/>
      <c r="P200" s="951"/>
      <c r="Q200" s="951"/>
      <c r="R200" s="951"/>
      <c r="S200" s="951"/>
      <c r="T200" s="951"/>
      <c r="U200" s="308"/>
      <c r="V200" s="308"/>
      <c r="W200" s="308"/>
      <c r="X200" s="308"/>
      <c r="Y200" s="308"/>
    </row>
    <row r="201" spans="2:25" ht="12" customHeight="1" outlineLevel="1" x14ac:dyDescent="0.2">
      <c r="B201" s="487" t="s">
        <v>412</v>
      </c>
      <c r="K201" s="499"/>
      <c r="L201" s="499"/>
      <c r="M201" s="499"/>
      <c r="N201" s="499"/>
      <c r="O201" s="499"/>
      <c r="P201" s="499"/>
      <c r="Q201" s="499"/>
      <c r="R201" s="499"/>
      <c r="S201" s="499"/>
      <c r="T201" s="499"/>
      <c r="U201" s="308"/>
      <c r="V201" s="308"/>
      <c r="W201" s="308"/>
      <c r="X201" s="308"/>
      <c r="Y201" s="308"/>
    </row>
    <row r="202" spans="2:25" ht="12" customHeight="1" outlineLevel="1" x14ac:dyDescent="0.2">
      <c r="B202" s="1717"/>
      <c r="C202" s="1458" t="s">
        <v>1170</v>
      </c>
      <c r="D202" s="1459">
        <f>+J202/$J$206</f>
        <v>0.14990963568914678</v>
      </c>
      <c r="E202" s="1398"/>
      <c r="F202" s="528">
        <f t="shared" ref="F202:H205" si="63">+F$197*$D202</f>
        <v>3204.6182821268908</v>
      </c>
      <c r="G202" s="528">
        <f t="shared" si="63"/>
        <v>3384.3599353181776</v>
      </c>
      <c r="H202" s="528">
        <f t="shared" si="63"/>
        <v>2366.1736897174928</v>
      </c>
      <c r="I202" s="528">
        <f>+I$197*$D202</f>
        <v>3858.0743840958817</v>
      </c>
      <c r="J202" s="1461">
        <v>4728</v>
      </c>
      <c r="K202" s="528">
        <f>+K$197*$D202</f>
        <v>4543.788314035437</v>
      </c>
      <c r="L202" s="528">
        <f>+L$197*$D202</f>
        <v>4543.788314035437</v>
      </c>
      <c r="M202" s="528">
        <f t="shared" ref="M202:T202" si="64">+M$197*$D202</f>
        <v>4543.788314035437</v>
      </c>
      <c r="N202" s="528">
        <f t="shared" si="64"/>
        <v>4543.788314035437</v>
      </c>
      <c r="O202" s="528">
        <f t="shared" si="64"/>
        <v>4543.788314035437</v>
      </c>
      <c r="P202" s="528">
        <f t="shared" si="64"/>
        <v>4543.788314035437</v>
      </c>
      <c r="Q202" s="528">
        <f t="shared" si="64"/>
        <v>4543.788314035437</v>
      </c>
      <c r="R202" s="528">
        <f t="shared" si="64"/>
        <v>4543.788314035437</v>
      </c>
      <c r="S202" s="528">
        <f t="shared" si="64"/>
        <v>4543.788314035437</v>
      </c>
      <c r="T202" s="528">
        <f t="shared" si="64"/>
        <v>4543.788314035437</v>
      </c>
      <c r="U202" s="308"/>
      <c r="V202" s="308"/>
      <c r="W202" s="308"/>
      <c r="X202" s="308"/>
      <c r="Y202" s="308"/>
    </row>
    <row r="203" spans="2:25" ht="12" customHeight="1" outlineLevel="1" x14ac:dyDescent="0.2">
      <c r="B203" s="1717"/>
      <c r="C203" s="1458" t="s">
        <v>1171</v>
      </c>
      <c r="D203" s="1459">
        <f>+J203/$J$206</f>
        <v>2.0704524556897808E-2</v>
      </c>
      <c r="E203" s="1398"/>
      <c r="F203" s="528">
        <f t="shared" si="63"/>
        <v>442.60062145280443</v>
      </c>
      <c r="G203" s="528">
        <f t="shared" si="63"/>
        <v>467.4253463965249</v>
      </c>
      <c r="H203" s="528">
        <f t="shared" si="63"/>
        <v>326.80021560607497</v>
      </c>
      <c r="I203" s="528">
        <f>+I$197*$D203</f>
        <v>532.85164399632197</v>
      </c>
      <c r="J203" s="1461">
        <v>653</v>
      </c>
      <c r="K203" s="528">
        <f t="shared" ref="K203:T205" si="65">+K$197*$D203</f>
        <v>627.55790377858295</v>
      </c>
      <c r="L203" s="528">
        <f t="shared" si="65"/>
        <v>627.55790377858295</v>
      </c>
      <c r="M203" s="528">
        <f t="shared" si="65"/>
        <v>627.55790377858295</v>
      </c>
      <c r="N203" s="528">
        <f t="shared" si="65"/>
        <v>627.55790377858295</v>
      </c>
      <c r="O203" s="528">
        <f t="shared" si="65"/>
        <v>627.55790377858295</v>
      </c>
      <c r="P203" s="528">
        <f t="shared" si="65"/>
        <v>627.55790377858295</v>
      </c>
      <c r="Q203" s="528">
        <f t="shared" si="65"/>
        <v>627.55790377858295</v>
      </c>
      <c r="R203" s="528">
        <f t="shared" si="65"/>
        <v>627.55790377858295</v>
      </c>
      <c r="S203" s="528">
        <f t="shared" si="65"/>
        <v>627.55790377858295</v>
      </c>
      <c r="T203" s="528">
        <f t="shared" si="65"/>
        <v>627.55790377858295</v>
      </c>
      <c r="U203" s="308"/>
      <c r="V203" s="308"/>
      <c r="W203" s="308"/>
      <c r="X203" s="308"/>
      <c r="Y203" s="308"/>
    </row>
    <row r="204" spans="2:25" ht="12" customHeight="1" outlineLevel="1" x14ac:dyDescent="0.2">
      <c r="B204" s="1717"/>
      <c r="C204" s="1458" t="s">
        <v>1172</v>
      </c>
      <c r="D204" s="1459">
        <f>+J204/$J$206</f>
        <v>0.81115444370461964</v>
      </c>
      <c r="E204" s="1398"/>
      <c r="F204" s="528">
        <f t="shared" si="63"/>
        <v>17340.048543073655</v>
      </c>
      <c r="G204" s="528">
        <f t="shared" si="63"/>
        <v>18312.622721075491</v>
      </c>
      <c r="H204" s="528">
        <f t="shared" si="63"/>
        <v>12803.261739433716</v>
      </c>
      <c r="I204" s="528">
        <f>+I$197*$D204</f>
        <v>20875.870763182091</v>
      </c>
      <c r="J204" s="1461">
        <v>25583</v>
      </c>
      <c r="K204" s="528">
        <f t="shared" si="65"/>
        <v>24586.238671313149</v>
      </c>
      <c r="L204" s="528">
        <f t="shared" si="65"/>
        <v>24586.238671313149</v>
      </c>
      <c r="M204" s="528">
        <f t="shared" si="65"/>
        <v>24586.238671313149</v>
      </c>
      <c r="N204" s="528">
        <f t="shared" si="65"/>
        <v>24586.238671313149</v>
      </c>
      <c r="O204" s="528">
        <f t="shared" si="65"/>
        <v>24586.238671313149</v>
      </c>
      <c r="P204" s="528">
        <f t="shared" si="65"/>
        <v>24586.238671313149</v>
      </c>
      <c r="Q204" s="528">
        <f t="shared" si="65"/>
        <v>24586.238671313149</v>
      </c>
      <c r="R204" s="528">
        <f t="shared" si="65"/>
        <v>24586.238671313149</v>
      </c>
      <c r="S204" s="528">
        <f t="shared" si="65"/>
        <v>24586.238671313149</v>
      </c>
      <c r="T204" s="528">
        <f t="shared" si="65"/>
        <v>24586.238671313149</v>
      </c>
      <c r="U204" s="308"/>
      <c r="V204" s="308"/>
      <c r="W204" s="308"/>
      <c r="X204" s="308"/>
      <c r="Y204" s="308"/>
    </row>
    <row r="205" spans="2:25" ht="12" customHeight="1" outlineLevel="1" x14ac:dyDescent="0.2">
      <c r="B205" s="1717"/>
      <c r="C205" s="1458" t="s">
        <v>1173</v>
      </c>
      <c r="D205" s="1459">
        <f>+J205/$J$206</f>
        <v>1.8231396049335744E-2</v>
      </c>
      <c r="E205" s="1398"/>
      <c r="F205" s="528">
        <f t="shared" si="63"/>
        <v>389.73255334665021</v>
      </c>
      <c r="G205" s="528">
        <f t="shared" si="63"/>
        <v>411.59199720980376</v>
      </c>
      <c r="H205" s="528">
        <f t="shared" si="63"/>
        <v>287.7643552427154</v>
      </c>
      <c r="I205" s="528">
        <f>+I$197*$D205</f>
        <v>469.20320872570471</v>
      </c>
      <c r="J205" s="1461">
        <v>575</v>
      </c>
      <c r="K205" s="528">
        <f t="shared" si="65"/>
        <v>552.59692905464817</v>
      </c>
      <c r="L205" s="528">
        <f t="shared" si="65"/>
        <v>552.59692905464817</v>
      </c>
      <c r="M205" s="528">
        <f t="shared" si="65"/>
        <v>552.59692905464817</v>
      </c>
      <c r="N205" s="528">
        <f t="shared" si="65"/>
        <v>552.59692905464817</v>
      </c>
      <c r="O205" s="528">
        <f t="shared" si="65"/>
        <v>552.59692905464817</v>
      </c>
      <c r="P205" s="528">
        <f t="shared" si="65"/>
        <v>552.59692905464817</v>
      </c>
      <c r="Q205" s="528">
        <f t="shared" si="65"/>
        <v>552.59692905464817</v>
      </c>
      <c r="R205" s="528">
        <f t="shared" si="65"/>
        <v>552.59692905464817</v>
      </c>
      <c r="S205" s="528">
        <f t="shared" si="65"/>
        <v>552.59692905464817</v>
      </c>
      <c r="T205" s="528">
        <f t="shared" si="65"/>
        <v>552.59692905464817</v>
      </c>
      <c r="U205" s="308"/>
      <c r="V205" s="308"/>
      <c r="W205" s="308"/>
      <c r="X205" s="308"/>
      <c r="Y205" s="308"/>
    </row>
    <row r="206" spans="2:25" s="488" customFormat="1" ht="12" customHeight="1" outlineLevel="1" x14ac:dyDescent="0.2">
      <c r="C206" s="488" t="s">
        <v>1215</v>
      </c>
      <c r="E206" s="948"/>
      <c r="F206" s="948">
        <f t="shared" ref="F206:T206" si="66">SUM(F202:F205)</f>
        <v>21377</v>
      </c>
      <c r="G206" s="948">
        <f t="shared" si="66"/>
        <v>22576</v>
      </c>
      <c r="H206" s="948">
        <f t="shared" si="66"/>
        <v>15784</v>
      </c>
      <c r="I206" s="948">
        <f t="shared" si="66"/>
        <v>25735.999999999996</v>
      </c>
      <c r="J206" s="948">
        <f t="shared" si="66"/>
        <v>31539</v>
      </c>
      <c r="K206" s="948">
        <f t="shared" si="66"/>
        <v>30310.181818181816</v>
      </c>
      <c r="L206" s="948">
        <f t="shared" si="66"/>
        <v>30310.181818181816</v>
      </c>
      <c r="M206" s="948">
        <f t="shared" si="66"/>
        <v>30310.181818181816</v>
      </c>
      <c r="N206" s="948">
        <f t="shared" si="66"/>
        <v>30310.181818181816</v>
      </c>
      <c r="O206" s="948">
        <f t="shared" si="66"/>
        <v>30310.181818181816</v>
      </c>
      <c r="P206" s="948">
        <f t="shared" si="66"/>
        <v>30310.181818181816</v>
      </c>
      <c r="Q206" s="948">
        <f t="shared" si="66"/>
        <v>30310.181818181816</v>
      </c>
      <c r="R206" s="948">
        <f t="shared" si="66"/>
        <v>30310.181818181816</v>
      </c>
      <c r="S206" s="948">
        <f t="shared" si="66"/>
        <v>30310.181818181816</v>
      </c>
      <c r="T206" s="948">
        <f t="shared" si="66"/>
        <v>30310.181818181816</v>
      </c>
      <c r="U206" s="1523"/>
      <c r="V206" s="1523"/>
      <c r="W206" s="1523"/>
      <c r="X206" s="1523"/>
      <c r="Y206" s="1523"/>
    </row>
    <row r="207" spans="2:25" s="488" customFormat="1" ht="12" customHeight="1" outlineLevel="1" x14ac:dyDescent="0.2">
      <c r="C207" s="488" t="s">
        <v>1216</v>
      </c>
      <c r="D207" s="949"/>
      <c r="E207" s="949"/>
      <c r="F207" s="949">
        <f t="shared" ref="F207:O207" si="67">IFERROR(F206/F193,0)</f>
        <v>7.0481139198354109E-2</v>
      </c>
      <c r="G207" s="949">
        <f t="shared" si="67"/>
        <v>7.2948878268821266E-2</v>
      </c>
      <c r="H207" s="949">
        <f t="shared" si="67"/>
        <v>4.9566326049955721E-2</v>
      </c>
      <c r="I207" s="949">
        <f t="shared" si="67"/>
        <v>7.9065566417410638E-2</v>
      </c>
      <c r="J207" s="949">
        <f t="shared" si="67"/>
        <v>9.4594675656545057E-2</v>
      </c>
      <c r="K207" s="949">
        <f t="shared" si="67"/>
        <v>8.8642021207810687E-2</v>
      </c>
      <c r="L207" s="949">
        <f t="shared" si="67"/>
        <v>8.673408997908727E-2</v>
      </c>
      <c r="M207" s="949">
        <f t="shared" si="67"/>
        <v>8.4909129618518583E-2</v>
      </c>
      <c r="N207" s="949">
        <f t="shared" si="67"/>
        <v>8.3121755276819878E-2</v>
      </c>
      <c r="O207" s="949">
        <f t="shared" si="67"/>
        <v>8.1372237006780937E-2</v>
      </c>
      <c r="P207" s="949">
        <f>IFERROR(P206/P193,0)</f>
        <v>7.9659541998799044E-2</v>
      </c>
      <c r="Q207" s="949">
        <f>IFERROR(Q206/Q193,0)</f>
        <v>7.7982895209451245E-2</v>
      </c>
      <c r="R207" s="949">
        <f>IFERROR(R206/R193,0)</f>
        <v>7.634153790816342E-2</v>
      </c>
      <c r="S207" s="949">
        <f>IFERROR(S206/S193,0)</f>
        <v>7.4734727333863049E-2</v>
      </c>
      <c r="T207" s="949">
        <f>IFERROR(T206/T193,0)</f>
        <v>7.3161736358858517E-2</v>
      </c>
      <c r="U207" s="1523"/>
      <c r="V207" s="1523"/>
      <c r="W207" s="1523"/>
      <c r="X207" s="1523"/>
      <c r="Y207" s="1523"/>
    </row>
    <row r="208" spans="2:25" ht="12" customHeight="1" outlineLevel="1" x14ac:dyDescent="0.2">
      <c r="D208" s="499"/>
      <c r="E208" s="499"/>
      <c r="F208" s="499"/>
      <c r="G208" s="499"/>
      <c r="H208" s="499"/>
      <c r="I208" s="499"/>
      <c r="J208" s="499"/>
      <c r="K208" s="790"/>
      <c r="L208" s="790"/>
      <c r="M208" s="790"/>
      <c r="N208" s="790"/>
      <c r="O208" s="790"/>
      <c r="P208" s="790"/>
      <c r="Q208" s="790"/>
      <c r="R208" s="790"/>
      <c r="S208" s="790"/>
      <c r="T208" s="790"/>
      <c r="U208" s="308"/>
      <c r="V208" s="308"/>
      <c r="W208" s="308"/>
      <c r="X208" s="308"/>
      <c r="Y208" s="308"/>
    </row>
    <row r="209" spans="2:25" ht="12.75" outlineLevel="1" thickBot="1" x14ac:dyDescent="0.25">
      <c r="B209" s="1594"/>
      <c r="C209" s="1594"/>
      <c r="D209" s="1594"/>
      <c r="E209" s="1594"/>
      <c r="F209" s="1594"/>
      <c r="G209" s="1594"/>
      <c r="H209" s="1594"/>
      <c r="I209" s="1594"/>
      <c r="J209" s="1594">
        <v>0</v>
      </c>
      <c r="K209" s="1594">
        <v>1</v>
      </c>
      <c r="L209" s="1594">
        <v>2</v>
      </c>
      <c r="M209" s="1594">
        <v>3</v>
      </c>
      <c r="N209" s="1594">
        <v>4</v>
      </c>
      <c r="O209" s="1594">
        <v>5</v>
      </c>
      <c r="P209" s="1594">
        <v>6</v>
      </c>
      <c r="Q209" s="1594">
        <v>7</v>
      </c>
      <c r="R209" s="1594">
        <v>8</v>
      </c>
      <c r="S209" s="1594">
        <v>9</v>
      </c>
      <c r="T209" s="1594">
        <v>10</v>
      </c>
      <c r="U209" s="308"/>
      <c r="V209" s="308"/>
      <c r="W209" s="308"/>
      <c r="X209" s="308"/>
      <c r="Y209" s="308"/>
    </row>
    <row r="210" spans="2:25" ht="12" customHeight="1" outlineLevel="1" x14ac:dyDescent="0.2">
      <c r="B210" s="487" t="s">
        <v>413</v>
      </c>
      <c r="C210" s="791">
        <v>0</v>
      </c>
      <c r="D210" s="527">
        <v>0.02</v>
      </c>
      <c r="E210" s="495"/>
      <c r="F210" s="495"/>
      <c r="G210" s="495"/>
      <c r="H210" s="495"/>
      <c r="I210" s="495"/>
      <c r="J210" s="1454"/>
      <c r="K210" s="1454"/>
      <c r="L210" s="1454"/>
      <c r="M210" s="1454"/>
      <c r="N210" s="1454"/>
      <c r="O210" s="1454"/>
      <c r="P210" s="1454"/>
      <c r="Q210" s="1454"/>
      <c r="R210" s="1454"/>
      <c r="S210" s="1454"/>
      <c r="T210" s="1454"/>
      <c r="U210" s="308"/>
      <c r="V210" s="308"/>
      <c r="W210" s="308"/>
      <c r="X210" s="308"/>
      <c r="Y210" s="308"/>
    </row>
    <row r="211" spans="2:25" ht="12" customHeight="1" outlineLevel="1" x14ac:dyDescent="0.2">
      <c r="B211" s="487" t="s">
        <v>414</v>
      </c>
      <c r="C211" s="791">
        <v>1</v>
      </c>
      <c r="D211" s="527">
        <v>2.2499999999999999E-2</v>
      </c>
      <c r="E211" s="495"/>
      <c r="F211" s="495"/>
      <c r="G211" s="495"/>
      <c r="H211" s="495"/>
      <c r="I211" s="495"/>
      <c r="K211" s="499">
        <f t="shared" ref="K211:T220" si="68">IF($C211&gt;=$C$200,0,J210)</f>
        <v>0</v>
      </c>
      <c r="L211" s="790">
        <f t="shared" si="68"/>
        <v>0</v>
      </c>
      <c r="M211" s="790">
        <f t="shared" si="68"/>
        <v>0</v>
      </c>
      <c r="N211" s="790">
        <f t="shared" si="68"/>
        <v>0</v>
      </c>
      <c r="O211" s="790">
        <f t="shared" si="68"/>
        <v>0</v>
      </c>
      <c r="P211" s="790">
        <f t="shared" si="68"/>
        <v>0</v>
      </c>
      <c r="Q211" s="790">
        <f t="shared" si="68"/>
        <v>0</v>
      </c>
      <c r="R211" s="790">
        <f t="shared" si="68"/>
        <v>0</v>
      </c>
      <c r="S211" s="790">
        <f t="shared" si="68"/>
        <v>0</v>
      </c>
      <c r="T211" s="790">
        <f t="shared" si="68"/>
        <v>0</v>
      </c>
      <c r="U211" s="308"/>
      <c r="V211" s="308"/>
      <c r="W211" s="308"/>
      <c r="X211" s="308"/>
      <c r="Y211" s="308"/>
    </row>
    <row r="212" spans="2:25" ht="12" customHeight="1" outlineLevel="1" x14ac:dyDescent="0.2">
      <c r="B212" s="487" t="s">
        <v>415</v>
      </c>
      <c r="C212" s="791">
        <v>2</v>
      </c>
      <c r="D212" s="527">
        <v>2.4999999999999998E-2</v>
      </c>
      <c r="E212" s="495"/>
      <c r="F212" s="495"/>
      <c r="G212" s="495"/>
      <c r="H212" s="495"/>
      <c r="I212" s="495"/>
      <c r="K212" s="499">
        <f t="shared" si="68"/>
        <v>0</v>
      </c>
      <c r="L212" s="499">
        <f t="shared" si="68"/>
        <v>0</v>
      </c>
      <c r="M212" s="790">
        <f t="shared" si="68"/>
        <v>0</v>
      </c>
      <c r="N212" s="790">
        <f t="shared" si="68"/>
        <v>0</v>
      </c>
      <c r="O212" s="790">
        <f t="shared" si="68"/>
        <v>0</v>
      </c>
      <c r="P212" s="790">
        <f t="shared" si="68"/>
        <v>0</v>
      </c>
      <c r="Q212" s="790">
        <f t="shared" si="68"/>
        <v>0</v>
      </c>
      <c r="R212" s="790">
        <f t="shared" si="68"/>
        <v>0</v>
      </c>
      <c r="S212" s="790">
        <f t="shared" si="68"/>
        <v>0</v>
      </c>
      <c r="T212" s="790">
        <f t="shared" si="68"/>
        <v>0</v>
      </c>
      <c r="U212" s="308"/>
      <c r="V212" s="308"/>
      <c r="W212" s="308"/>
      <c r="X212" s="308"/>
      <c r="Y212" s="308"/>
    </row>
    <row r="213" spans="2:25" ht="12" customHeight="1" outlineLevel="1" x14ac:dyDescent="0.2">
      <c r="B213" s="487" t="s">
        <v>416</v>
      </c>
      <c r="C213" s="791">
        <v>3</v>
      </c>
      <c r="D213" s="527">
        <v>2.7499999999999997E-2</v>
      </c>
      <c r="E213" s="495"/>
      <c r="F213" s="495"/>
      <c r="G213" s="495"/>
      <c r="H213" s="495"/>
      <c r="I213" s="495"/>
      <c r="K213" s="499">
        <f t="shared" si="68"/>
        <v>0</v>
      </c>
      <c r="L213" s="499">
        <f t="shared" si="68"/>
        <v>0</v>
      </c>
      <c r="M213" s="499">
        <f t="shared" si="68"/>
        <v>0</v>
      </c>
      <c r="N213" s="790">
        <f t="shared" si="68"/>
        <v>0</v>
      </c>
      <c r="O213" s="790">
        <f t="shared" si="68"/>
        <v>0</v>
      </c>
      <c r="P213" s="790">
        <f t="shared" si="68"/>
        <v>0</v>
      </c>
      <c r="Q213" s="790">
        <f t="shared" si="68"/>
        <v>0</v>
      </c>
      <c r="R213" s="790">
        <f t="shared" si="68"/>
        <v>0</v>
      </c>
      <c r="S213" s="790">
        <f t="shared" si="68"/>
        <v>0</v>
      </c>
      <c r="T213" s="790">
        <f t="shared" si="68"/>
        <v>0</v>
      </c>
      <c r="U213" s="308"/>
      <c r="V213" s="308"/>
      <c r="W213" s="308"/>
      <c r="X213" s="308"/>
      <c r="Y213" s="308"/>
    </row>
    <row r="214" spans="2:25" ht="12" customHeight="1" outlineLevel="1" x14ac:dyDescent="0.2">
      <c r="B214" s="487" t="s">
        <v>417</v>
      </c>
      <c r="C214" s="791">
        <v>4</v>
      </c>
      <c r="D214" s="527">
        <v>3.2611111111111105E-2</v>
      </c>
      <c r="E214" s="495"/>
      <c r="F214" s="495"/>
      <c r="G214" s="495"/>
      <c r="H214" s="495"/>
      <c r="I214" s="495"/>
      <c r="K214" s="499">
        <f t="shared" si="68"/>
        <v>0</v>
      </c>
      <c r="L214" s="499">
        <f t="shared" si="68"/>
        <v>0</v>
      </c>
      <c r="M214" s="499">
        <f t="shared" si="68"/>
        <v>0</v>
      </c>
      <c r="N214" s="499">
        <f t="shared" si="68"/>
        <v>0</v>
      </c>
      <c r="O214" s="790">
        <f t="shared" si="68"/>
        <v>0</v>
      </c>
      <c r="P214" s="790">
        <f t="shared" si="68"/>
        <v>0</v>
      </c>
      <c r="Q214" s="790">
        <f t="shared" si="68"/>
        <v>0</v>
      </c>
      <c r="R214" s="790">
        <f t="shared" si="68"/>
        <v>0</v>
      </c>
      <c r="S214" s="790">
        <f t="shared" si="68"/>
        <v>0</v>
      </c>
      <c r="T214" s="790">
        <f t="shared" si="68"/>
        <v>0</v>
      </c>
      <c r="U214" s="308"/>
      <c r="V214" s="308"/>
      <c r="W214" s="308"/>
      <c r="X214" s="308"/>
      <c r="Y214" s="308"/>
    </row>
    <row r="215" spans="2:25" ht="12" customHeight="1" outlineLevel="1" x14ac:dyDescent="0.2">
      <c r="B215" s="487" t="s">
        <v>418</v>
      </c>
      <c r="C215" s="791">
        <v>5</v>
      </c>
      <c r="D215" s="527">
        <v>3.7722222222222213E-2</v>
      </c>
      <c r="E215" s="495"/>
      <c r="F215" s="495"/>
      <c r="G215" s="495"/>
      <c r="H215" s="495"/>
      <c r="I215" s="495"/>
      <c r="K215" s="499">
        <f t="shared" si="68"/>
        <v>0</v>
      </c>
      <c r="L215" s="499">
        <f t="shared" si="68"/>
        <v>0</v>
      </c>
      <c r="M215" s="499">
        <f t="shared" si="68"/>
        <v>0</v>
      </c>
      <c r="N215" s="499">
        <f t="shared" si="68"/>
        <v>0</v>
      </c>
      <c r="O215" s="499">
        <f t="shared" si="68"/>
        <v>0</v>
      </c>
      <c r="P215" s="790">
        <f t="shared" si="68"/>
        <v>0</v>
      </c>
      <c r="Q215" s="790">
        <f t="shared" si="68"/>
        <v>0</v>
      </c>
      <c r="R215" s="790">
        <f t="shared" si="68"/>
        <v>0</v>
      </c>
      <c r="S215" s="790">
        <f t="shared" si="68"/>
        <v>0</v>
      </c>
      <c r="T215" s="790">
        <f t="shared" si="68"/>
        <v>0</v>
      </c>
      <c r="U215" s="308"/>
      <c r="V215" s="308"/>
      <c r="W215" s="308"/>
      <c r="X215" s="308"/>
      <c r="Y215" s="308"/>
    </row>
    <row r="216" spans="2:25" ht="12" customHeight="1" outlineLevel="1" x14ac:dyDescent="0.2">
      <c r="B216" s="487" t="s">
        <v>419</v>
      </c>
      <c r="C216" s="791">
        <v>6</v>
      </c>
      <c r="D216" s="527">
        <v>4.283333333333332E-2</v>
      </c>
      <c r="E216" s="495"/>
      <c r="F216" s="495"/>
      <c r="G216" s="495"/>
      <c r="H216" s="495"/>
      <c r="I216" s="495"/>
      <c r="K216" s="499">
        <f t="shared" si="68"/>
        <v>0</v>
      </c>
      <c r="L216" s="499">
        <f t="shared" si="68"/>
        <v>0</v>
      </c>
      <c r="M216" s="499">
        <f t="shared" si="68"/>
        <v>0</v>
      </c>
      <c r="N216" s="499">
        <f t="shared" si="68"/>
        <v>0</v>
      </c>
      <c r="O216" s="499">
        <f t="shared" si="68"/>
        <v>0</v>
      </c>
      <c r="P216" s="499">
        <f t="shared" si="68"/>
        <v>0</v>
      </c>
      <c r="Q216" s="790">
        <f t="shared" si="68"/>
        <v>0</v>
      </c>
      <c r="R216" s="790">
        <f t="shared" si="68"/>
        <v>0</v>
      </c>
      <c r="S216" s="790">
        <f t="shared" si="68"/>
        <v>0</v>
      </c>
      <c r="T216" s="790">
        <f t="shared" si="68"/>
        <v>0</v>
      </c>
      <c r="U216" s="308"/>
      <c r="V216" s="308"/>
      <c r="W216" s="308"/>
      <c r="X216" s="308"/>
      <c r="Y216" s="308"/>
    </row>
    <row r="217" spans="2:25" ht="12" customHeight="1" outlineLevel="1" x14ac:dyDescent="0.2">
      <c r="B217" s="487" t="s">
        <v>420</v>
      </c>
      <c r="C217" s="791">
        <v>7</v>
      </c>
      <c r="D217" s="527">
        <v>4.7944444444444428E-2</v>
      </c>
      <c r="E217" s="495"/>
      <c r="F217" s="495"/>
      <c r="G217" s="495"/>
      <c r="H217" s="495"/>
      <c r="I217" s="495"/>
      <c r="K217" s="499">
        <f t="shared" si="68"/>
        <v>0</v>
      </c>
      <c r="L217" s="499">
        <f t="shared" si="68"/>
        <v>0</v>
      </c>
      <c r="M217" s="499">
        <f t="shared" si="68"/>
        <v>0</v>
      </c>
      <c r="N217" s="499">
        <f t="shared" si="68"/>
        <v>0</v>
      </c>
      <c r="O217" s="499">
        <f t="shared" si="68"/>
        <v>0</v>
      </c>
      <c r="P217" s="499">
        <f t="shared" si="68"/>
        <v>0</v>
      </c>
      <c r="Q217" s="499">
        <f t="shared" si="68"/>
        <v>0</v>
      </c>
      <c r="R217" s="790">
        <f t="shared" si="68"/>
        <v>0</v>
      </c>
      <c r="S217" s="790">
        <f t="shared" si="68"/>
        <v>0</v>
      </c>
      <c r="T217" s="790">
        <f t="shared" si="68"/>
        <v>0</v>
      </c>
      <c r="U217" s="308"/>
      <c r="V217" s="308"/>
      <c r="W217" s="308"/>
      <c r="X217" s="308"/>
      <c r="Y217" s="308"/>
    </row>
    <row r="218" spans="2:25" ht="12" customHeight="1" outlineLevel="1" x14ac:dyDescent="0.2">
      <c r="B218" s="487" t="s">
        <v>421</v>
      </c>
      <c r="C218" s="791">
        <v>8</v>
      </c>
      <c r="D218" s="527">
        <v>5.3055555555555536E-2</v>
      </c>
      <c r="E218" s="495"/>
      <c r="F218" s="495"/>
      <c r="G218" s="495"/>
      <c r="H218" s="495"/>
      <c r="I218" s="495"/>
      <c r="K218" s="499">
        <f t="shared" si="68"/>
        <v>0</v>
      </c>
      <c r="L218" s="492">
        <f t="shared" si="68"/>
        <v>0</v>
      </c>
      <c r="M218" s="492">
        <f t="shared" si="68"/>
        <v>0</v>
      </c>
      <c r="N218" s="492">
        <f t="shared" si="68"/>
        <v>0</v>
      </c>
      <c r="O218" s="492">
        <f t="shared" si="68"/>
        <v>0</v>
      </c>
      <c r="P218" s="492">
        <f t="shared" si="68"/>
        <v>0</v>
      </c>
      <c r="Q218" s="492">
        <f t="shared" si="68"/>
        <v>0</v>
      </c>
      <c r="R218" s="499">
        <f t="shared" si="68"/>
        <v>0</v>
      </c>
      <c r="S218" s="790">
        <f t="shared" si="68"/>
        <v>0</v>
      </c>
      <c r="T218" s="790">
        <f t="shared" si="68"/>
        <v>0</v>
      </c>
      <c r="U218" s="308"/>
      <c r="V218" s="308"/>
      <c r="W218" s="308"/>
      <c r="X218" s="308"/>
      <c r="Y218" s="308"/>
    </row>
    <row r="219" spans="2:25" ht="12" customHeight="1" outlineLevel="1" x14ac:dyDescent="0.2">
      <c r="B219" s="487" t="s">
        <v>422</v>
      </c>
      <c r="C219" s="791">
        <v>9</v>
      </c>
      <c r="D219" s="527">
        <v>5.8166666666666644E-2</v>
      </c>
      <c r="E219" s="495"/>
      <c r="F219" s="495"/>
      <c r="G219" s="495"/>
      <c r="H219" s="495"/>
      <c r="I219" s="495"/>
      <c r="K219" s="499">
        <f t="shared" si="68"/>
        <v>0</v>
      </c>
      <c r="L219" s="492">
        <f t="shared" si="68"/>
        <v>0</v>
      </c>
      <c r="M219" s="492">
        <f t="shared" si="68"/>
        <v>0</v>
      </c>
      <c r="N219" s="492">
        <f t="shared" si="68"/>
        <v>0</v>
      </c>
      <c r="O219" s="492">
        <f t="shared" si="68"/>
        <v>0</v>
      </c>
      <c r="P219" s="492">
        <f t="shared" si="68"/>
        <v>0</v>
      </c>
      <c r="Q219" s="492">
        <f t="shared" si="68"/>
        <v>0</v>
      </c>
      <c r="R219" s="499">
        <f t="shared" si="68"/>
        <v>0</v>
      </c>
      <c r="S219" s="790">
        <f t="shared" si="68"/>
        <v>0</v>
      </c>
      <c r="T219" s="790">
        <f t="shared" si="68"/>
        <v>0</v>
      </c>
      <c r="U219" s="308"/>
      <c r="V219" s="308"/>
      <c r="W219" s="308"/>
      <c r="X219" s="308"/>
      <c r="Y219" s="308"/>
    </row>
    <row r="220" spans="2:25" ht="12" customHeight="1" outlineLevel="1" x14ac:dyDescent="0.2">
      <c r="B220" s="487" t="s">
        <v>423</v>
      </c>
      <c r="C220" s="791">
        <v>10</v>
      </c>
      <c r="D220" s="527">
        <v>6.3277777777777752E-2</v>
      </c>
      <c r="E220" s="495"/>
      <c r="F220" s="495"/>
      <c r="G220" s="495"/>
      <c r="H220" s="495"/>
      <c r="I220" s="495"/>
      <c r="K220" s="499">
        <f t="shared" si="68"/>
        <v>0</v>
      </c>
      <c r="L220" s="492">
        <f t="shared" si="68"/>
        <v>0</v>
      </c>
      <c r="M220" s="492">
        <f t="shared" si="68"/>
        <v>0</v>
      </c>
      <c r="N220" s="492">
        <f t="shared" si="68"/>
        <v>0</v>
      </c>
      <c r="O220" s="492">
        <f t="shared" si="68"/>
        <v>0</v>
      </c>
      <c r="P220" s="492">
        <f t="shared" si="68"/>
        <v>0</v>
      </c>
      <c r="Q220" s="492">
        <f t="shared" si="68"/>
        <v>0</v>
      </c>
      <c r="R220" s="499">
        <f t="shared" si="68"/>
        <v>0</v>
      </c>
      <c r="S220" s="790">
        <f t="shared" si="68"/>
        <v>0</v>
      </c>
      <c r="T220" s="790">
        <f t="shared" si="68"/>
        <v>0</v>
      </c>
      <c r="U220" s="308"/>
      <c r="V220" s="308"/>
      <c r="W220" s="308"/>
      <c r="X220" s="308"/>
      <c r="Y220" s="308"/>
    </row>
    <row r="221" spans="2:25" ht="12" customHeight="1" outlineLevel="1" x14ac:dyDescent="0.2">
      <c r="C221" s="791"/>
      <c r="D221" s="527"/>
      <c r="E221" s="495"/>
      <c r="F221" s="495"/>
      <c r="G221" s="495"/>
      <c r="H221" s="495"/>
      <c r="I221" s="495"/>
      <c r="K221" s="499"/>
      <c r="R221" s="499"/>
      <c r="S221" s="790"/>
      <c r="T221" s="790"/>
      <c r="U221" s="308"/>
      <c r="V221" s="308"/>
      <c r="W221" s="308"/>
      <c r="X221" s="308"/>
      <c r="Y221" s="308"/>
    </row>
    <row r="222" spans="2:25" ht="12" customHeight="1" outlineLevel="1" x14ac:dyDescent="0.2">
      <c r="C222" s="791"/>
      <c r="D222" s="508"/>
      <c r="E222" s="495"/>
      <c r="F222" s="495"/>
      <c r="G222" s="495"/>
      <c r="H222" s="495"/>
      <c r="I222" s="495"/>
      <c r="K222" s="499"/>
      <c r="R222" s="499"/>
      <c r="S222" s="499"/>
      <c r="T222" s="499"/>
      <c r="U222" s="308"/>
      <c r="V222" s="308"/>
      <c r="W222" s="308"/>
      <c r="X222" s="308"/>
      <c r="Y222" s="308"/>
    </row>
    <row r="223" spans="2:25" ht="12" customHeight="1" outlineLevel="1" x14ac:dyDescent="0.2">
      <c r="C223" s="791"/>
      <c r="D223" s="508"/>
      <c r="E223" s="495"/>
      <c r="F223" s="495"/>
      <c r="G223" s="495"/>
      <c r="H223" s="495"/>
      <c r="I223" s="495"/>
      <c r="K223" s="499"/>
      <c r="R223" s="499"/>
      <c r="S223" s="499"/>
      <c r="T223" s="499"/>
      <c r="U223" s="308"/>
      <c r="V223" s="308"/>
      <c r="W223" s="308"/>
      <c r="X223" s="308"/>
      <c r="Y223" s="308"/>
    </row>
    <row r="224" spans="2:25" ht="12" customHeight="1" outlineLevel="1" x14ac:dyDescent="0.2">
      <c r="C224" s="791"/>
      <c r="D224" s="508"/>
      <c r="E224" s="495"/>
      <c r="F224" s="495"/>
      <c r="G224" s="495"/>
      <c r="H224" s="495"/>
      <c r="I224" s="495"/>
      <c r="K224" s="499"/>
      <c r="R224" s="499"/>
      <c r="S224" s="499"/>
      <c r="T224" s="499"/>
      <c r="U224" s="308"/>
      <c r="V224" s="308"/>
      <c r="W224" s="308"/>
      <c r="X224" s="308"/>
      <c r="Y224" s="308"/>
    </row>
    <row r="225" spans="2:25" ht="12" customHeight="1" outlineLevel="1" x14ac:dyDescent="0.2">
      <c r="C225" s="791"/>
      <c r="D225" s="508"/>
      <c r="E225" s="495"/>
      <c r="F225" s="495"/>
      <c r="G225" s="495"/>
      <c r="H225" s="495"/>
      <c r="I225" s="495"/>
      <c r="K225" s="499"/>
      <c r="L225" s="499"/>
      <c r="M225" s="499"/>
      <c r="N225" s="499"/>
      <c r="O225" s="499"/>
      <c r="P225" s="499"/>
      <c r="Q225" s="499"/>
      <c r="R225" s="499"/>
      <c r="S225" s="499"/>
      <c r="T225" s="499"/>
      <c r="U225" s="308"/>
      <c r="V225" s="308"/>
      <c r="W225" s="308"/>
      <c r="X225" s="308"/>
      <c r="Y225" s="308"/>
    </row>
    <row r="226" spans="2:25" ht="12" customHeight="1" outlineLevel="1" x14ac:dyDescent="0.2">
      <c r="C226" s="791"/>
      <c r="D226" s="508"/>
      <c r="E226" s="495"/>
      <c r="F226" s="495"/>
      <c r="G226" s="495"/>
      <c r="H226" s="495"/>
      <c r="I226" s="495"/>
      <c r="K226" s="499"/>
      <c r="R226" s="499"/>
      <c r="S226" s="499"/>
      <c r="T226" s="499"/>
      <c r="U226" s="308"/>
      <c r="V226" s="308"/>
      <c r="W226" s="308"/>
      <c r="X226" s="308"/>
      <c r="Y226" s="308"/>
    </row>
    <row r="227" spans="2:25" ht="12" customHeight="1" outlineLevel="1" x14ac:dyDescent="0.2">
      <c r="B227" s="487" t="s">
        <v>424</v>
      </c>
      <c r="C227" s="791">
        <v>0</v>
      </c>
      <c r="D227" s="1574">
        <f>HLOOKUP(C227,$J$175:$W$180,5,FALSE)</f>
        <v>3.3375000000000002E-2</v>
      </c>
      <c r="I227" s="495"/>
      <c r="K227" s="790">
        <f t="shared" ref="K227:T227" si="69">+K206</f>
        <v>30310.181818181816</v>
      </c>
      <c r="L227" s="790">
        <f t="shared" si="69"/>
        <v>30310.181818181816</v>
      </c>
      <c r="M227" s="790">
        <f t="shared" si="69"/>
        <v>30310.181818181816</v>
      </c>
      <c r="N227" s="790">
        <f t="shared" si="69"/>
        <v>30310.181818181816</v>
      </c>
      <c r="O227" s="790">
        <f t="shared" si="69"/>
        <v>30310.181818181816</v>
      </c>
      <c r="P227" s="1453">
        <f t="shared" si="69"/>
        <v>30310.181818181816</v>
      </c>
      <c r="Q227" s="1453">
        <f t="shared" si="69"/>
        <v>30310.181818181816</v>
      </c>
      <c r="R227" s="1453">
        <f t="shared" si="69"/>
        <v>30310.181818181816</v>
      </c>
      <c r="S227" s="1453">
        <f t="shared" si="69"/>
        <v>30310.181818181816</v>
      </c>
      <c r="T227" s="1453">
        <f t="shared" si="69"/>
        <v>30310.181818181816</v>
      </c>
      <c r="U227" s="308"/>
      <c r="V227" s="308"/>
      <c r="W227" s="308"/>
      <c r="X227" s="308"/>
      <c r="Y227" s="308"/>
    </row>
    <row r="228" spans="2:25" ht="12" customHeight="1" outlineLevel="1" x14ac:dyDescent="0.2">
      <c r="B228" s="487" t="s">
        <v>425</v>
      </c>
      <c r="C228" s="791">
        <v>1</v>
      </c>
      <c r="D228" s="1574">
        <f t="shared" ref="D228:D237" si="70">HLOOKUP(C228,$J$175:$W$180,5,FALSE)</f>
        <v>4.3707480818414322E-2</v>
      </c>
      <c r="I228" s="495"/>
      <c r="K228" s="499">
        <f t="shared" ref="K228:T237" si="71">IF($C228&gt;=$C$200,0,J227)</f>
        <v>0</v>
      </c>
      <c r="L228" s="790">
        <f t="shared" si="71"/>
        <v>30310.181818181816</v>
      </c>
      <c r="M228" s="790">
        <f t="shared" si="71"/>
        <v>30310.181818181816</v>
      </c>
      <c r="N228" s="790">
        <f t="shared" si="71"/>
        <v>30310.181818181816</v>
      </c>
      <c r="O228" s="790">
        <f t="shared" si="71"/>
        <v>30310.181818181816</v>
      </c>
      <c r="P228" s="790">
        <f t="shared" si="71"/>
        <v>30310.181818181816</v>
      </c>
      <c r="Q228" s="790">
        <f t="shared" si="71"/>
        <v>30310.181818181816</v>
      </c>
      <c r="R228" s="790">
        <f t="shared" si="71"/>
        <v>30310.181818181816</v>
      </c>
      <c r="S228" s="790">
        <f t="shared" si="71"/>
        <v>30310.181818181816</v>
      </c>
      <c r="T228" s="790">
        <f t="shared" si="71"/>
        <v>30310.181818181816</v>
      </c>
      <c r="U228" s="308"/>
      <c r="V228" s="308"/>
      <c r="W228" s="308"/>
      <c r="X228" s="308"/>
      <c r="Y228" s="308"/>
    </row>
    <row r="229" spans="2:25" ht="12" customHeight="1" outlineLevel="1" x14ac:dyDescent="0.2">
      <c r="B229" s="487" t="s">
        <v>426</v>
      </c>
      <c r="C229" s="791">
        <v>2</v>
      </c>
      <c r="D229" s="1574">
        <f t="shared" si="70"/>
        <v>5.0765814151747655E-2</v>
      </c>
      <c r="I229" s="495"/>
      <c r="K229" s="499">
        <f t="shared" si="71"/>
        <v>0</v>
      </c>
      <c r="L229" s="499">
        <f t="shared" si="71"/>
        <v>0</v>
      </c>
      <c r="M229" s="790">
        <f t="shared" si="71"/>
        <v>30310.181818181816</v>
      </c>
      <c r="N229" s="790">
        <f t="shared" si="71"/>
        <v>30310.181818181816</v>
      </c>
      <c r="O229" s="790">
        <f t="shared" si="71"/>
        <v>30310.181818181816</v>
      </c>
      <c r="P229" s="790">
        <f t="shared" si="71"/>
        <v>30310.181818181816</v>
      </c>
      <c r="Q229" s="790">
        <f t="shared" si="71"/>
        <v>30310.181818181816</v>
      </c>
      <c r="R229" s="790">
        <f t="shared" si="71"/>
        <v>30310.181818181816</v>
      </c>
      <c r="S229" s="790">
        <f t="shared" si="71"/>
        <v>30310.181818181816</v>
      </c>
      <c r="T229" s="790">
        <f t="shared" si="71"/>
        <v>30310.181818181816</v>
      </c>
      <c r="U229" s="308"/>
      <c r="V229" s="308"/>
      <c r="W229" s="308"/>
      <c r="X229" s="308"/>
      <c r="Y229" s="308"/>
    </row>
    <row r="230" spans="2:25" ht="12" customHeight="1" outlineLevel="1" x14ac:dyDescent="0.2">
      <c r="B230" s="487" t="s">
        <v>427</v>
      </c>
      <c r="C230" s="791">
        <v>3</v>
      </c>
      <c r="D230" s="1574">
        <f t="shared" si="70"/>
        <v>5.7824147485080989E-2</v>
      </c>
      <c r="I230" s="495"/>
      <c r="K230" s="499">
        <f t="shared" si="71"/>
        <v>0</v>
      </c>
      <c r="L230" s="499">
        <f t="shared" si="71"/>
        <v>0</v>
      </c>
      <c r="M230" s="499">
        <f t="shared" si="71"/>
        <v>0</v>
      </c>
      <c r="N230" s="790">
        <f t="shared" si="71"/>
        <v>30310.181818181816</v>
      </c>
      <c r="O230" s="790">
        <f t="shared" si="71"/>
        <v>30310.181818181816</v>
      </c>
      <c r="P230" s="790">
        <f t="shared" si="71"/>
        <v>30310.181818181816</v>
      </c>
      <c r="Q230" s="790">
        <f t="shared" si="71"/>
        <v>30310.181818181816</v>
      </c>
      <c r="R230" s="790">
        <f t="shared" si="71"/>
        <v>30310.181818181816</v>
      </c>
      <c r="S230" s="790">
        <f t="shared" si="71"/>
        <v>30310.181818181816</v>
      </c>
      <c r="T230" s="790">
        <f t="shared" si="71"/>
        <v>30310.181818181816</v>
      </c>
      <c r="U230" s="308"/>
      <c r="V230" s="308"/>
      <c r="W230" s="308"/>
      <c r="X230" s="308"/>
      <c r="Y230" s="308"/>
    </row>
    <row r="231" spans="2:25" ht="12" customHeight="1" outlineLevel="1" x14ac:dyDescent="0.2">
      <c r="B231" s="487" t="s">
        <v>428</v>
      </c>
      <c r="C231" s="791">
        <v>4</v>
      </c>
      <c r="D231" s="1574">
        <f t="shared" si="70"/>
        <v>6.4882480818414329E-2</v>
      </c>
      <c r="I231" s="495"/>
      <c r="K231" s="499">
        <f t="shared" si="71"/>
        <v>0</v>
      </c>
      <c r="L231" s="499">
        <f t="shared" si="71"/>
        <v>0</v>
      </c>
      <c r="M231" s="499">
        <f t="shared" si="71"/>
        <v>0</v>
      </c>
      <c r="N231" s="499">
        <f t="shared" si="71"/>
        <v>0</v>
      </c>
      <c r="O231" s="790">
        <f t="shared" si="71"/>
        <v>30310.181818181816</v>
      </c>
      <c r="P231" s="790">
        <f t="shared" si="71"/>
        <v>30310.181818181816</v>
      </c>
      <c r="Q231" s="790">
        <f t="shared" si="71"/>
        <v>30310.181818181816</v>
      </c>
      <c r="R231" s="790">
        <f t="shared" si="71"/>
        <v>30310.181818181816</v>
      </c>
      <c r="S231" s="790">
        <f t="shared" si="71"/>
        <v>30310.181818181816</v>
      </c>
      <c r="T231" s="790">
        <f t="shared" si="71"/>
        <v>30310.181818181816</v>
      </c>
      <c r="U231" s="308"/>
      <c r="V231" s="308"/>
      <c r="W231" s="308"/>
      <c r="X231" s="308"/>
      <c r="Y231" s="308"/>
    </row>
    <row r="232" spans="2:25" ht="12" customHeight="1" outlineLevel="1" x14ac:dyDescent="0.2">
      <c r="B232" s="487" t="s">
        <v>429</v>
      </c>
      <c r="C232" s="791">
        <v>5</v>
      </c>
      <c r="D232" s="1574">
        <f t="shared" si="70"/>
        <v>7.1940814151747662E-2</v>
      </c>
      <c r="I232" s="495"/>
      <c r="K232" s="499">
        <f t="shared" si="71"/>
        <v>0</v>
      </c>
      <c r="L232" s="499">
        <f t="shared" si="71"/>
        <v>0</v>
      </c>
      <c r="M232" s="499">
        <f t="shared" si="71"/>
        <v>0</v>
      </c>
      <c r="N232" s="499">
        <f t="shared" si="71"/>
        <v>0</v>
      </c>
      <c r="O232" s="499">
        <f t="shared" si="71"/>
        <v>0</v>
      </c>
      <c r="P232" s="790">
        <f t="shared" si="71"/>
        <v>30310.181818181816</v>
      </c>
      <c r="Q232" s="790">
        <f t="shared" si="71"/>
        <v>30310.181818181816</v>
      </c>
      <c r="R232" s="790">
        <f t="shared" si="71"/>
        <v>30310.181818181816</v>
      </c>
      <c r="S232" s="790">
        <f t="shared" si="71"/>
        <v>30310.181818181816</v>
      </c>
      <c r="T232" s="790">
        <f t="shared" si="71"/>
        <v>30310.181818181816</v>
      </c>
      <c r="U232" s="308"/>
      <c r="V232" s="308"/>
      <c r="W232" s="308"/>
      <c r="X232" s="308"/>
      <c r="Y232" s="308"/>
    </row>
    <row r="233" spans="2:25" ht="12" customHeight="1" outlineLevel="1" x14ac:dyDescent="0.2">
      <c r="B233" s="487" t="s">
        <v>430</v>
      </c>
      <c r="C233" s="791">
        <v>6</v>
      </c>
      <c r="D233" s="1574">
        <f t="shared" si="70"/>
        <v>7.8999147485080995E-2</v>
      </c>
      <c r="I233" s="495"/>
      <c r="K233" s="499">
        <f t="shared" si="71"/>
        <v>0</v>
      </c>
      <c r="L233" s="499">
        <f t="shared" si="71"/>
        <v>0</v>
      </c>
      <c r="M233" s="499">
        <f t="shared" si="71"/>
        <v>0</v>
      </c>
      <c r="N233" s="499">
        <f t="shared" si="71"/>
        <v>0</v>
      </c>
      <c r="O233" s="499">
        <f t="shared" si="71"/>
        <v>0</v>
      </c>
      <c r="P233" s="499">
        <f t="shared" si="71"/>
        <v>0</v>
      </c>
      <c r="Q233" s="790">
        <f t="shared" si="71"/>
        <v>30310.181818181816</v>
      </c>
      <c r="R233" s="790">
        <f t="shared" si="71"/>
        <v>30310.181818181816</v>
      </c>
      <c r="S233" s="790">
        <f t="shared" si="71"/>
        <v>30310.181818181816</v>
      </c>
      <c r="T233" s="790">
        <f t="shared" si="71"/>
        <v>30310.181818181816</v>
      </c>
      <c r="U233" s="308"/>
      <c r="V233" s="308"/>
      <c r="W233" s="308"/>
      <c r="X233" s="308"/>
      <c r="Y233" s="308"/>
    </row>
    <row r="234" spans="2:25" ht="12" customHeight="1" outlineLevel="1" x14ac:dyDescent="0.2">
      <c r="B234" s="487" t="s">
        <v>431</v>
      </c>
      <c r="C234" s="791">
        <v>7</v>
      </c>
      <c r="D234" s="1574">
        <f t="shared" si="70"/>
        <v>8.6057480818414328E-2</v>
      </c>
      <c r="I234" s="495"/>
      <c r="K234" s="499">
        <f t="shared" si="71"/>
        <v>0</v>
      </c>
      <c r="L234" s="499">
        <f t="shared" si="71"/>
        <v>0</v>
      </c>
      <c r="M234" s="499">
        <f t="shared" si="71"/>
        <v>0</v>
      </c>
      <c r="N234" s="499">
        <f t="shared" si="71"/>
        <v>0</v>
      </c>
      <c r="O234" s="499">
        <f t="shared" si="71"/>
        <v>0</v>
      </c>
      <c r="P234" s="499">
        <f t="shared" si="71"/>
        <v>0</v>
      </c>
      <c r="Q234" s="499">
        <f t="shared" si="71"/>
        <v>0</v>
      </c>
      <c r="R234" s="790">
        <f t="shared" si="71"/>
        <v>30310.181818181816</v>
      </c>
      <c r="S234" s="790">
        <f t="shared" si="71"/>
        <v>30310.181818181816</v>
      </c>
      <c r="T234" s="790">
        <f t="shared" si="71"/>
        <v>30310.181818181816</v>
      </c>
      <c r="U234" s="308"/>
      <c r="V234" s="308"/>
      <c r="W234" s="308"/>
      <c r="X234" s="308"/>
      <c r="Y234" s="308"/>
    </row>
    <row r="235" spans="2:25" ht="12" customHeight="1" outlineLevel="1" x14ac:dyDescent="0.2">
      <c r="B235" s="487" t="s">
        <v>432</v>
      </c>
      <c r="C235" s="791">
        <v>8</v>
      </c>
      <c r="D235" s="1574">
        <f t="shared" si="70"/>
        <v>9.3115814151747661E-2</v>
      </c>
      <c r="I235" s="495"/>
      <c r="K235" s="499">
        <f t="shared" si="71"/>
        <v>0</v>
      </c>
      <c r="L235" s="492">
        <f t="shared" si="71"/>
        <v>0</v>
      </c>
      <c r="M235" s="492">
        <f t="shared" si="71"/>
        <v>0</v>
      </c>
      <c r="N235" s="492">
        <f t="shared" si="71"/>
        <v>0</v>
      </c>
      <c r="O235" s="492">
        <f t="shared" si="71"/>
        <v>0</v>
      </c>
      <c r="P235" s="492">
        <f t="shared" si="71"/>
        <v>0</v>
      </c>
      <c r="Q235" s="492">
        <f t="shared" si="71"/>
        <v>0</v>
      </c>
      <c r="R235" s="499">
        <f t="shared" si="71"/>
        <v>0</v>
      </c>
      <c r="S235" s="790">
        <f t="shared" si="71"/>
        <v>30310.181818181816</v>
      </c>
      <c r="T235" s="790">
        <f t="shared" si="71"/>
        <v>30310.181818181816</v>
      </c>
      <c r="U235" s="308"/>
      <c r="V235" s="308"/>
      <c r="W235" s="308"/>
      <c r="X235" s="308"/>
      <c r="Y235" s="308"/>
    </row>
    <row r="236" spans="2:25" ht="12" customHeight="1" outlineLevel="1" x14ac:dyDescent="0.2">
      <c r="B236" s="487" t="s">
        <v>433</v>
      </c>
      <c r="C236" s="791">
        <v>9</v>
      </c>
      <c r="D236" s="1574">
        <f t="shared" si="70"/>
        <v>0.10017414748508099</v>
      </c>
      <c r="I236" s="495"/>
      <c r="K236" s="499">
        <f t="shared" si="71"/>
        <v>0</v>
      </c>
      <c r="L236" s="492">
        <f t="shared" si="71"/>
        <v>0</v>
      </c>
      <c r="M236" s="492">
        <f t="shared" si="71"/>
        <v>0</v>
      </c>
      <c r="N236" s="492">
        <f t="shared" si="71"/>
        <v>0</v>
      </c>
      <c r="O236" s="492">
        <f t="shared" si="71"/>
        <v>0</v>
      </c>
      <c r="P236" s="492">
        <f t="shared" si="71"/>
        <v>0</v>
      </c>
      <c r="Q236" s="492">
        <f t="shared" si="71"/>
        <v>0</v>
      </c>
      <c r="R236" s="499">
        <f t="shared" si="71"/>
        <v>0</v>
      </c>
      <c r="S236" s="790">
        <f t="shared" si="71"/>
        <v>0</v>
      </c>
      <c r="T236" s="790">
        <f t="shared" si="71"/>
        <v>30310.181818181816</v>
      </c>
      <c r="U236" s="308"/>
      <c r="V236" s="308"/>
      <c r="W236" s="308"/>
      <c r="X236" s="308"/>
      <c r="Y236" s="308"/>
    </row>
    <row r="237" spans="2:25" ht="12" customHeight="1" outlineLevel="1" x14ac:dyDescent="0.2">
      <c r="B237" s="487" t="s">
        <v>434</v>
      </c>
      <c r="C237" s="791">
        <v>10</v>
      </c>
      <c r="D237" s="1574">
        <f t="shared" si="70"/>
        <v>0.10723248081841433</v>
      </c>
      <c r="I237" s="495"/>
      <c r="K237" s="499">
        <f t="shared" si="71"/>
        <v>0</v>
      </c>
      <c r="L237" s="492">
        <f t="shared" si="71"/>
        <v>0</v>
      </c>
      <c r="M237" s="492">
        <f t="shared" si="71"/>
        <v>0</v>
      </c>
      <c r="N237" s="492">
        <f t="shared" si="71"/>
        <v>0</v>
      </c>
      <c r="O237" s="492">
        <f t="shared" si="71"/>
        <v>0</v>
      </c>
      <c r="P237" s="492">
        <f t="shared" si="71"/>
        <v>0</v>
      </c>
      <c r="Q237" s="492">
        <f t="shared" si="71"/>
        <v>0</v>
      </c>
      <c r="R237" s="499">
        <f t="shared" si="71"/>
        <v>0</v>
      </c>
      <c r="S237" s="790">
        <f t="shared" si="71"/>
        <v>0</v>
      </c>
      <c r="T237" s="790">
        <f t="shared" si="71"/>
        <v>0</v>
      </c>
      <c r="U237" s="308"/>
      <c r="V237" s="308"/>
      <c r="W237" s="308"/>
      <c r="X237" s="308"/>
      <c r="Y237" s="308"/>
    </row>
    <row r="238" spans="2:25" ht="12" customHeight="1" outlineLevel="1" x14ac:dyDescent="0.2">
      <c r="C238" s="791"/>
      <c r="D238" s="527"/>
      <c r="I238" s="495"/>
      <c r="K238" s="499"/>
      <c r="R238" s="499"/>
      <c r="S238" s="790"/>
      <c r="T238" s="790"/>
      <c r="U238" s="308"/>
      <c r="V238" s="308"/>
      <c r="W238" s="308"/>
      <c r="X238" s="308"/>
      <c r="Y238" s="308"/>
    </row>
    <row r="239" spans="2:25" ht="12" customHeight="1" outlineLevel="1" x14ac:dyDescent="0.2">
      <c r="C239" s="791"/>
      <c r="D239" s="508"/>
      <c r="I239" s="495"/>
      <c r="K239" s="499"/>
      <c r="R239" s="499"/>
      <c r="S239" s="499"/>
      <c r="T239" s="499"/>
      <c r="U239" s="308"/>
      <c r="V239" s="308"/>
      <c r="W239" s="308"/>
      <c r="X239" s="308"/>
      <c r="Y239" s="308"/>
    </row>
    <row r="240" spans="2:25" ht="12" customHeight="1" outlineLevel="1" x14ac:dyDescent="0.2">
      <c r="C240" s="791"/>
      <c r="D240" s="508"/>
      <c r="I240" s="495"/>
      <c r="K240" s="499"/>
      <c r="R240" s="499"/>
      <c r="S240" s="499"/>
      <c r="T240" s="499"/>
      <c r="U240" s="308"/>
      <c r="V240" s="308"/>
      <c r="W240" s="308"/>
      <c r="X240" s="308"/>
      <c r="Y240" s="308"/>
    </row>
    <row r="241" spans="2:25" ht="12" customHeight="1" outlineLevel="1" x14ac:dyDescent="0.2">
      <c r="C241" s="791"/>
      <c r="D241" s="508"/>
      <c r="I241" s="495"/>
      <c r="K241" s="499"/>
      <c r="R241" s="499"/>
      <c r="S241" s="499"/>
      <c r="T241" s="499"/>
      <c r="U241" s="308"/>
      <c r="V241" s="308"/>
      <c r="W241" s="308"/>
      <c r="X241" s="308"/>
      <c r="Y241" s="308"/>
    </row>
    <row r="242" spans="2:25" ht="12" customHeight="1" outlineLevel="1" x14ac:dyDescent="0.2">
      <c r="C242" s="791"/>
      <c r="D242" s="508"/>
      <c r="I242" s="495"/>
      <c r="K242" s="499"/>
      <c r="R242" s="499"/>
      <c r="S242" s="499"/>
      <c r="T242" s="499"/>
      <c r="U242" s="308"/>
      <c r="V242" s="308"/>
      <c r="W242" s="308"/>
      <c r="X242" s="308"/>
      <c r="Y242" s="308"/>
    </row>
    <row r="243" spans="2:25" ht="12" customHeight="1" outlineLevel="1" x14ac:dyDescent="0.2">
      <c r="C243" s="791"/>
      <c r="D243" s="508"/>
      <c r="I243" s="495"/>
      <c r="U243" s="308"/>
      <c r="V243" s="308"/>
      <c r="W243" s="308"/>
      <c r="X243" s="308"/>
      <c r="Y243" s="308"/>
    </row>
    <row r="244" spans="2:25" ht="12" customHeight="1" outlineLevel="1" x14ac:dyDescent="0.2">
      <c r="C244" s="791"/>
      <c r="D244" s="508"/>
      <c r="I244" s="495"/>
      <c r="U244" s="308"/>
      <c r="V244" s="308"/>
      <c r="W244" s="308"/>
      <c r="X244" s="308"/>
      <c r="Y244" s="308"/>
    </row>
    <row r="245" spans="2:25" ht="12" customHeight="1" outlineLevel="1" x14ac:dyDescent="0.2">
      <c r="C245" s="791"/>
      <c r="U245" s="308"/>
      <c r="V245" s="308"/>
      <c r="W245" s="308"/>
      <c r="X245" s="308"/>
      <c r="Y245" s="308"/>
    </row>
    <row r="246" spans="2:25" ht="12" customHeight="1" outlineLevel="1" x14ac:dyDescent="0.2">
      <c r="B246" s="487" t="s">
        <v>1231</v>
      </c>
      <c r="C246" s="1505">
        <v>6</v>
      </c>
      <c r="I246" s="495"/>
      <c r="U246" s="308"/>
      <c r="V246" s="308"/>
      <c r="W246" s="308"/>
      <c r="X246" s="308"/>
      <c r="Y246" s="308"/>
    </row>
    <row r="247" spans="2:25" ht="12" customHeight="1" outlineLevel="1" x14ac:dyDescent="0.2">
      <c r="B247" s="487" t="s">
        <v>812</v>
      </c>
      <c r="C247" s="791"/>
      <c r="I247" s="495"/>
      <c r="U247" s="308"/>
      <c r="V247" s="308"/>
      <c r="W247" s="308"/>
      <c r="X247" s="308"/>
      <c r="Y247" s="308"/>
    </row>
    <row r="248" spans="2:25" ht="12" customHeight="1" outlineLevel="1" x14ac:dyDescent="0.2">
      <c r="B248" s="510" t="s">
        <v>813</v>
      </c>
      <c r="C248" s="791">
        <v>0</v>
      </c>
      <c r="K248" s="1453">
        <f t="shared" ref="K248:T248" si="72">INT(K227*HLOOKUP($C249,$I$175:$W$184,9,FALSE)*$C$246)</f>
        <v>148997</v>
      </c>
      <c r="L248" s="1453">
        <f t="shared" si="72"/>
        <v>148997</v>
      </c>
      <c r="M248" s="1453">
        <f t="shared" si="72"/>
        <v>148997</v>
      </c>
      <c r="N248" s="1453">
        <f t="shared" si="72"/>
        <v>148997</v>
      </c>
      <c r="O248" s="1453">
        <f t="shared" si="72"/>
        <v>148997</v>
      </c>
      <c r="P248" s="1453">
        <f t="shared" si="72"/>
        <v>148997</v>
      </c>
      <c r="Q248" s="1453">
        <f t="shared" si="72"/>
        <v>148997</v>
      </c>
      <c r="R248" s="1453">
        <f t="shared" si="72"/>
        <v>148997</v>
      </c>
      <c r="S248" s="1453">
        <f t="shared" si="72"/>
        <v>148997</v>
      </c>
      <c r="T248" s="1453">
        <f t="shared" si="72"/>
        <v>148997</v>
      </c>
      <c r="U248" s="308"/>
      <c r="V248" s="308"/>
      <c r="W248" s="308"/>
      <c r="X248" s="308"/>
      <c r="Y248" s="308"/>
    </row>
    <row r="249" spans="2:25" ht="12" customHeight="1" outlineLevel="1" x14ac:dyDescent="0.2">
      <c r="B249" s="510" t="s">
        <v>814</v>
      </c>
      <c r="C249" s="791">
        <v>1</v>
      </c>
      <c r="K249" s="1453">
        <f t="shared" ref="K249:K258" si="73">INT(K228*HLOOKUP($C250,$I$175:$W$184,9,FALSE)*$C$246)</f>
        <v>0</v>
      </c>
      <c r="L249" s="1453">
        <f t="shared" ref="L249:L258" si="74">INT(L228*HLOOKUP($C250,$I$175:$W$184,9,FALSE)*$C$246)</f>
        <v>121442</v>
      </c>
      <c r="M249" s="1453">
        <f t="shared" ref="M249:M258" si="75">INT(M228*HLOOKUP($C250,$I$175:$W$184,9,FALSE)*$C$246)</f>
        <v>121442</v>
      </c>
      <c r="N249" s="1453">
        <f t="shared" ref="N249:N258" si="76">INT(N228*HLOOKUP($C250,$I$175:$W$184,9,FALSE)*$C$246)</f>
        <v>121442</v>
      </c>
      <c r="O249" s="1453">
        <f t="shared" ref="O249:O258" si="77">INT(O228*HLOOKUP($C250,$I$175:$W$184,9,FALSE)*$C$246)</f>
        <v>121442</v>
      </c>
      <c r="P249" s="1453">
        <f t="shared" ref="P249:P258" si="78">INT(P228*HLOOKUP($C250,$I$175:$W$184,9,FALSE)*$C$246)</f>
        <v>121442</v>
      </c>
      <c r="Q249" s="1453">
        <f t="shared" ref="Q249:Q258" si="79">INT(Q228*HLOOKUP($C250,$I$175:$W$184,9,FALSE)*$C$246)</f>
        <v>121442</v>
      </c>
      <c r="R249" s="1453">
        <f t="shared" ref="R249:R258" si="80">INT(R228*HLOOKUP($C250,$I$175:$W$184,9,FALSE)*$C$246)</f>
        <v>121442</v>
      </c>
      <c r="S249" s="1453">
        <f t="shared" ref="S249:S258" si="81">INT(S228*HLOOKUP($C250,$I$175:$W$184,9,FALSE)*$C$246)</f>
        <v>121442</v>
      </c>
      <c r="T249" s="1453">
        <f t="shared" ref="T249:T258" si="82">INT(T228*HLOOKUP($C250,$I$175:$W$184,9,FALSE)*$C$246)</f>
        <v>121442</v>
      </c>
      <c r="U249" s="308"/>
      <c r="V249" s="308"/>
      <c r="W249" s="308"/>
      <c r="X249" s="308"/>
      <c r="Y249" s="308"/>
    </row>
    <row r="250" spans="2:25" ht="12" customHeight="1" outlineLevel="1" x14ac:dyDescent="0.2">
      <c r="B250" s="510" t="s">
        <v>815</v>
      </c>
      <c r="C250" s="791">
        <v>2</v>
      </c>
      <c r="K250" s="1453">
        <f t="shared" si="73"/>
        <v>0</v>
      </c>
      <c r="L250" s="1453">
        <f t="shared" si="74"/>
        <v>0</v>
      </c>
      <c r="M250" s="1453">
        <f t="shared" si="75"/>
        <v>94239</v>
      </c>
      <c r="N250" s="1453">
        <f t="shared" si="76"/>
        <v>94239</v>
      </c>
      <c r="O250" s="1453">
        <f t="shared" si="77"/>
        <v>94239</v>
      </c>
      <c r="P250" s="1453">
        <f t="shared" si="78"/>
        <v>94239</v>
      </c>
      <c r="Q250" s="1453">
        <f t="shared" si="79"/>
        <v>94239</v>
      </c>
      <c r="R250" s="1453">
        <f t="shared" si="80"/>
        <v>94239</v>
      </c>
      <c r="S250" s="1453">
        <f t="shared" si="81"/>
        <v>94239</v>
      </c>
      <c r="T250" s="1453">
        <f t="shared" si="82"/>
        <v>94239</v>
      </c>
      <c r="U250" s="308"/>
      <c r="V250" s="308"/>
      <c r="W250" s="308"/>
      <c r="X250" s="308"/>
      <c r="Y250" s="308"/>
    </row>
    <row r="251" spans="2:25" ht="12" customHeight="1" outlineLevel="1" x14ac:dyDescent="0.2">
      <c r="B251" s="510" t="s">
        <v>816</v>
      </c>
      <c r="C251" s="791">
        <v>3</v>
      </c>
      <c r="K251" s="1453">
        <f t="shared" si="73"/>
        <v>0</v>
      </c>
      <c r="L251" s="1453">
        <f t="shared" si="74"/>
        <v>0</v>
      </c>
      <c r="M251" s="1453">
        <f t="shared" si="75"/>
        <v>0</v>
      </c>
      <c r="N251" s="1453">
        <f t="shared" si="76"/>
        <v>67382</v>
      </c>
      <c r="O251" s="1453">
        <f t="shared" si="77"/>
        <v>67382</v>
      </c>
      <c r="P251" s="1453">
        <f t="shared" si="78"/>
        <v>67382</v>
      </c>
      <c r="Q251" s="1453">
        <f t="shared" si="79"/>
        <v>67382</v>
      </c>
      <c r="R251" s="1453">
        <f t="shared" si="80"/>
        <v>67382</v>
      </c>
      <c r="S251" s="1453">
        <f t="shared" si="81"/>
        <v>67382</v>
      </c>
      <c r="T251" s="1453">
        <f t="shared" si="82"/>
        <v>67382</v>
      </c>
      <c r="U251" s="308"/>
      <c r="V251" s="308"/>
      <c r="W251" s="308"/>
      <c r="X251" s="308"/>
      <c r="Y251" s="308"/>
    </row>
    <row r="252" spans="2:25" ht="12" customHeight="1" outlineLevel="1" x14ac:dyDescent="0.2">
      <c r="B252" s="510" t="s">
        <v>817</v>
      </c>
      <c r="C252" s="791">
        <v>4</v>
      </c>
      <c r="K252" s="1453">
        <f t="shared" si="73"/>
        <v>0</v>
      </c>
      <c r="L252" s="1453">
        <f t="shared" si="74"/>
        <v>0</v>
      </c>
      <c r="M252" s="1453">
        <f t="shared" si="75"/>
        <v>0</v>
      </c>
      <c r="N252" s="1453">
        <f t="shared" si="76"/>
        <v>0</v>
      </c>
      <c r="O252" s="1453">
        <f t="shared" si="77"/>
        <v>40866</v>
      </c>
      <c r="P252" s="1453">
        <f t="shared" si="78"/>
        <v>40866</v>
      </c>
      <c r="Q252" s="1453">
        <f t="shared" si="79"/>
        <v>40866</v>
      </c>
      <c r="R252" s="1453">
        <f t="shared" si="80"/>
        <v>40866</v>
      </c>
      <c r="S252" s="1453">
        <f t="shared" si="81"/>
        <v>40866</v>
      </c>
      <c r="T252" s="1453">
        <f t="shared" si="82"/>
        <v>40866</v>
      </c>
      <c r="U252" s="308"/>
      <c r="V252" s="308"/>
      <c r="W252" s="308"/>
      <c r="X252" s="308"/>
      <c r="Y252" s="308"/>
    </row>
    <row r="253" spans="2:25" ht="12" customHeight="1" outlineLevel="1" x14ac:dyDescent="0.2">
      <c r="B253" s="510" t="s">
        <v>818</v>
      </c>
      <c r="C253" s="791">
        <v>5</v>
      </c>
      <c r="K253" s="1453">
        <f t="shared" si="73"/>
        <v>0</v>
      </c>
      <c r="L253" s="1453">
        <f t="shared" si="74"/>
        <v>0</v>
      </c>
      <c r="M253" s="1453">
        <f t="shared" si="75"/>
        <v>0</v>
      </c>
      <c r="N253" s="1453">
        <f t="shared" si="76"/>
        <v>0</v>
      </c>
      <c r="O253" s="1453">
        <f t="shared" si="77"/>
        <v>0</v>
      </c>
      <c r="P253" s="1453">
        <f t="shared" si="78"/>
        <v>14684</v>
      </c>
      <c r="Q253" s="1453">
        <f t="shared" si="79"/>
        <v>14684</v>
      </c>
      <c r="R253" s="1453">
        <f t="shared" si="80"/>
        <v>14684</v>
      </c>
      <c r="S253" s="1453">
        <f t="shared" si="81"/>
        <v>14684</v>
      </c>
      <c r="T253" s="1453">
        <f t="shared" si="82"/>
        <v>14684</v>
      </c>
      <c r="U253" s="308"/>
      <c r="V253" s="308"/>
      <c r="W253" s="308"/>
      <c r="X253" s="308"/>
      <c r="Y253" s="308"/>
    </row>
    <row r="254" spans="2:25" ht="12" customHeight="1" outlineLevel="1" x14ac:dyDescent="0.2">
      <c r="B254" s="510" t="s">
        <v>819</v>
      </c>
      <c r="C254" s="791">
        <v>6</v>
      </c>
      <c r="K254" s="1453">
        <f t="shared" si="73"/>
        <v>0</v>
      </c>
      <c r="L254" s="1453">
        <f t="shared" si="74"/>
        <v>0</v>
      </c>
      <c r="M254" s="1453">
        <f t="shared" si="75"/>
        <v>0</v>
      </c>
      <c r="N254" s="1453">
        <f t="shared" si="76"/>
        <v>0</v>
      </c>
      <c r="O254" s="1453">
        <f t="shared" si="77"/>
        <v>0</v>
      </c>
      <c r="P254" s="1453">
        <f t="shared" si="78"/>
        <v>0</v>
      </c>
      <c r="Q254" s="1453">
        <f t="shared" si="79"/>
        <v>-11168</v>
      </c>
      <c r="R254" s="1453">
        <f t="shared" si="80"/>
        <v>-11168</v>
      </c>
      <c r="S254" s="1453">
        <f t="shared" si="81"/>
        <v>-11168</v>
      </c>
      <c r="T254" s="1453">
        <f t="shared" si="82"/>
        <v>-11168</v>
      </c>
      <c r="U254" s="308"/>
      <c r="V254" s="308"/>
      <c r="W254" s="308"/>
      <c r="X254" s="308"/>
      <c r="Y254" s="308"/>
    </row>
    <row r="255" spans="2:25" ht="12" customHeight="1" outlineLevel="1" x14ac:dyDescent="0.2">
      <c r="B255" s="510" t="s">
        <v>820</v>
      </c>
      <c r="C255" s="791">
        <v>7</v>
      </c>
      <c r="K255" s="1453">
        <f t="shared" si="73"/>
        <v>0</v>
      </c>
      <c r="L255" s="1453">
        <f t="shared" si="74"/>
        <v>0</v>
      </c>
      <c r="M255" s="1453">
        <f t="shared" si="75"/>
        <v>0</v>
      </c>
      <c r="N255" s="1453">
        <f t="shared" si="76"/>
        <v>0</v>
      </c>
      <c r="O255" s="1453">
        <f t="shared" si="77"/>
        <v>0</v>
      </c>
      <c r="P255" s="1453">
        <f t="shared" si="78"/>
        <v>0</v>
      </c>
      <c r="Q255" s="1453">
        <f t="shared" si="79"/>
        <v>0</v>
      </c>
      <c r="R255" s="1453">
        <f t="shared" si="80"/>
        <v>-36695</v>
      </c>
      <c r="S255" s="1453">
        <f t="shared" si="81"/>
        <v>-36695</v>
      </c>
      <c r="T255" s="1453">
        <f t="shared" si="82"/>
        <v>-36695</v>
      </c>
      <c r="U255" s="308"/>
      <c r="V255" s="308"/>
      <c r="W255" s="308"/>
      <c r="X255" s="308"/>
      <c r="Y255" s="308"/>
    </row>
    <row r="256" spans="2:25" ht="12" customHeight="1" outlineLevel="1" x14ac:dyDescent="0.2">
      <c r="B256" s="510" t="s">
        <v>821</v>
      </c>
      <c r="C256" s="791">
        <v>8</v>
      </c>
      <c r="K256" s="1453">
        <f t="shared" si="73"/>
        <v>0</v>
      </c>
      <c r="L256" s="1453">
        <f t="shared" si="74"/>
        <v>0</v>
      </c>
      <c r="M256" s="1453">
        <f t="shared" si="75"/>
        <v>0</v>
      </c>
      <c r="N256" s="1453">
        <f t="shared" si="76"/>
        <v>0</v>
      </c>
      <c r="O256" s="1453">
        <f t="shared" si="77"/>
        <v>0</v>
      </c>
      <c r="P256" s="1453">
        <f t="shared" si="78"/>
        <v>0</v>
      </c>
      <c r="Q256" s="1453">
        <f t="shared" si="79"/>
        <v>0</v>
      </c>
      <c r="R256" s="1453">
        <f t="shared" si="80"/>
        <v>0</v>
      </c>
      <c r="S256" s="1453">
        <f t="shared" si="81"/>
        <v>-61904</v>
      </c>
      <c r="T256" s="1453">
        <f t="shared" si="82"/>
        <v>-61904</v>
      </c>
      <c r="U256" s="308"/>
      <c r="V256" s="308"/>
      <c r="W256" s="308"/>
      <c r="X256" s="308"/>
      <c r="Y256" s="308"/>
    </row>
    <row r="257" spans="2:25" ht="12" customHeight="1" outlineLevel="1" x14ac:dyDescent="0.2">
      <c r="B257" s="510" t="s">
        <v>822</v>
      </c>
      <c r="C257" s="791">
        <v>9</v>
      </c>
      <c r="K257" s="1453">
        <f t="shared" si="73"/>
        <v>0</v>
      </c>
      <c r="L257" s="1453">
        <f t="shared" si="74"/>
        <v>0</v>
      </c>
      <c r="M257" s="1453">
        <f t="shared" si="75"/>
        <v>0</v>
      </c>
      <c r="N257" s="1453">
        <f t="shared" si="76"/>
        <v>0</v>
      </c>
      <c r="O257" s="1453">
        <f t="shared" si="77"/>
        <v>0</v>
      </c>
      <c r="P257" s="1453">
        <f t="shared" si="78"/>
        <v>0</v>
      </c>
      <c r="Q257" s="1453">
        <f t="shared" si="79"/>
        <v>0</v>
      </c>
      <c r="R257" s="1453">
        <f t="shared" si="80"/>
        <v>0</v>
      </c>
      <c r="S257" s="1453">
        <f t="shared" si="81"/>
        <v>0</v>
      </c>
      <c r="T257" s="1453">
        <f t="shared" si="82"/>
        <v>-86799</v>
      </c>
      <c r="U257" s="308"/>
      <c r="V257" s="308"/>
      <c r="W257" s="308"/>
      <c r="X257" s="308"/>
      <c r="Y257" s="308"/>
    </row>
    <row r="258" spans="2:25" ht="12" customHeight="1" outlineLevel="1" x14ac:dyDescent="0.2">
      <c r="B258" s="510" t="s">
        <v>823</v>
      </c>
      <c r="C258" s="791">
        <v>10</v>
      </c>
      <c r="K258" s="1453">
        <f t="shared" si="73"/>
        <v>0</v>
      </c>
      <c r="L258" s="1453">
        <f t="shared" si="74"/>
        <v>0</v>
      </c>
      <c r="M258" s="1453">
        <f t="shared" si="75"/>
        <v>0</v>
      </c>
      <c r="N258" s="1453">
        <f t="shared" si="76"/>
        <v>0</v>
      </c>
      <c r="O258" s="1453">
        <f t="shared" si="77"/>
        <v>0</v>
      </c>
      <c r="P258" s="1453">
        <f t="shared" si="78"/>
        <v>0</v>
      </c>
      <c r="Q258" s="1453">
        <f t="shared" si="79"/>
        <v>0</v>
      </c>
      <c r="R258" s="1453">
        <f t="shared" si="80"/>
        <v>0</v>
      </c>
      <c r="S258" s="1453">
        <f t="shared" si="81"/>
        <v>0</v>
      </c>
      <c r="T258" s="1453">
        <f t="shared" si="82"/>
        <v>0</v>
      </c>
      <c r="U258" s="308"/>
      <c r="V258" s="308"/>
      <c r="W258" s="308"/>
      <c r="X258" s="308"/>
      <c r="Y258" s="308"/>
    </row>
    <row r="259" spans="2:25" ht="12" customHeight="1" outlineLevel="1" x14ac:dyDescent="0.2">
      <c r="B259" s="510"/>
      <c r="C259" s="791"/>
      <c r="K259" s="789"/>
      <c r="L259" s="789"/>
      <c r="M259" s="789"/>
      <c r="N259" s="789"/>
      <c r="O259" s="789"/>
      <c r="P259" s="789"/>
      <c r="Q259" s="789"/>
      <c r="R259" s="789"/>
      <c r="S259" s="789"/>
      <c r="T259" s="789"/>
      <c r="U259" s="308"/>
      <c r="V259" s="308"/>
      <c r="W259" s="308"/>
      <c r="X259" s="308"/>
      <c r="Y259" s="308"/>
    </row>
    <row r="260" spans="2:25" ht="12" customHeight="1" outlineLevel="1" x14ac:dyDescent="0.2">
      <c r="B260" s="510"/>
      <c r="C260" s="792"/>
      <c r="K260" s="505"/>
      <c r="L260" s="505"/>
      <c r="M260" s="505"/>
      <c r="N260" s="505"/>
      <c r="O260" s="505"/>
      <c r="P260" s="505"/>
      <c r="Q260" s="505"/>
      <c r="R260" s="505"/>
      <c r="S260" s="505"/>
      <c r="T260" s="505"/>
      <c r="U260" s="308"/>
      <c r="V260" s="308"/>
      <c r="W260" s="308"/>
      <c r="X260" s="308"/>
      <c r="Y260" s="308"/>
    </row>
    <row r="261" spans="2:25" ht="12" customHeight="1" outlineLevel="1" x14ac:dyDescent="0.2">
      <c r="B261" s="510"/>
      <c r="C261" s="792"/>
      <c r="K261" s="505"/>
      <c r="L261" s="505"/>
      <c r="M261" s="505"/>
      <c r="N261" s="505"/>
      <c r="O261" s="505"/>
      <c r="P261" s="505"/>
      <c r="Q261" s="505"/>
      <c r="R261" s="505"/>
      <c r="S261" s="505"/>
      <c r="T261" s="505"/>
      <c r="U261" s="308"/>
      <c r="V261" s="308"/>
      <c r="W261" s="308"/>
      <c r="X261" s="308"/>
      <c r="Y261" s="308"/>
    </row>
    <row r="262" spans="2:25" ht="12" customHeight="1" outlineLevel="1" x14ac:dyDescent="0.2">
      <c r="B262" s="510"/>
      <c r="C262" s="792"/>
      <c r="K262" s="505"/>
      <c r="L262" s="505"/>
      <c r="M262" s="505"/>
      <c r="N262" s="505"/>
      <c r="O262" s="505"/>
      <c r="P262" s="505"/>
      <c r="Q262" s="505"/>
      <c r="R262" s="505"/>
      <c r="S262" s="505"/>
      <c r="T262" s="505"/>
      <c r="U262" s="308"/>
      <c r="V262" s="308"/>
      <c r="W262" s="308"/>
      <c r="X262" s="308"/>
      <c r="Y262" s="308"/>
    </row>
    <row r="263" spans="2:25" ht="12" customHeight="1" outlineLevel="1" x14ac:dyDescent="0.2">
      <c r="B263" s="510"/>
      <c r="C263" s="792"/>
      <c r="K263" s="505"/>
      <c r="L263" s="505"/>
      <c r="M263" s="505"/>
      <c r="N263" s="505"/>
      <c r="O263" s="505"/>
      <c r="P263" s="505"/>
      <c r="Q263" s="505"/>
      <c r="R263" s="505"/>
      <c r="S263" s="505"/>
      <c r="T263" s="505"/>
      <c r="U263" s="308"/>
      <c r="V263" s="308"/>
      <c r="W263" s="308"/>
      <c r="X263" s="308"/>
      <c r="Y263" s="308"/>
    </row>
    <row r="264" spans="2:25" ht="17.25" customHeight="1" outlineLevel="1" x14ac:dyDescent="0.2">
      <c r="B264" s="326" t="s">
        <v>1229</v>
      </c>
      <c r="C264" s="310"/>
      <c r="H264" s="508"/>
      <c r="I264" s="508"/>
      <c r="K264" s="1656">
        <f>+(K248/K227)/12</f>
        <v>0.40964507376259207</v>
      </c>
      <c r="L264" s="1656">
        <f>+(L249/L228)/12</f>
        <v>0.3338867027381538</v>
      </c>
      <c r="M264" s="1656">
        <f>+(M250/M229)/12</f>
        <v>0.25909610331961658</v>
      </c>
      <c r="N264" s="1656">
        <f>+(N251/N230)/12</f>
        <v>0.18525677940006161</v>
      </c>
      <c r="O264" s="1656">
        <f>+(O252/O231)/12</f>
        <v>0.11235498422372321</v>
      </c>
      <c r="P264" s="1656">
        <f>+(P253/P232)/12</f>
        <v>4.037147233252953E-2</v>
      </c>
      <c r="Q264" s="1656">
        <f>+(Q254/Q233)/12</f>
        <v>-3.0704753678131965E-2</v>
      </c>
      <c r="R264" s="1656">
        <f>+(R255/R234)/12</f>
        <v>-0.10088744056402689</v>
      </c>
      <c r="S264" s="1656">
        <f>+(S256/S235)/12</f>
        <v>-0.1701958337832272</v>
      </c>
      <c r="T264" s="1656">
        <f>+(T257/T236)/12</f>
        <v>-0.23864093074034529</v>
      </c>
      <c r="U264" s="308"/>
      <c r="V264" s="308"/>
      <c r="W264" s="308"/>
      <c r="X264" s="308"/>
      <c r="Y264" s="308"/>
    </row>
    <row r="265" spans="2:25" s="1596" customFormat="1" ht="24.95" customHeight="1" outlineLevel="1" x14ac:dyDescent="0.25">
      <c r="B265" s="326" t="s">
        <v>1230</v>
      </c>
      <c r="D265" s="1597"/>
      <c r="E265" s="1597"/>
      <c r="F265" s="1597"/>
      <c r="G265" s="1597"/>
      <c r="H265" s="1597"/>
      <c r="I265" s="1597"/>
      <c r="K265" s="1598">
        <f>SUM(K248:K263)</f>
        <v>148997</v>
      </c>
      <c r="L265" s="1598">
        <f>SUM(L248:L263)</f>
        <v>270439</v>
      </c>
      <c r="M265" s="1598">
        <f>SUM(M248:M263)</f>
        <v>364678</v>
      </c>
      <c r="N265" s="1598">
        <f>SUM(N248:N263)</f>
        <v>432060</v>
      </c>
      <c r="O265" s="1598">
        <f t="shared" ref="O265:T265" si="83">SUM(O248:O263)</f>
        <v>472926</v>
      </c>
      <c r="P265" s="1598">
        <f t="shared" si="83"/>
        <v>487610</v>
      </c>
      <c r="Q265" s="1598">
        <f t="shared" si="83"/>
        <v>476442</v>
      </c>
      <c r="R265" s="1598">
        <f t="shared" si="83"/>
        <v>439747</v>
      </c>
      <c r="S265" s="1598">
        <f t="shared" si="83"/>
        <v>377843</v>
      </c>
      <c r="T265" s="1598">
        <f t="shared" si="83"/>
        <v>291044</v>
      </c>
      <c r="U265" s="307"/>
      <c r="V265" s="307"/>
      <c r="W265" s="307"/>
      <c r="X265" s="307"/>
      <c r="Y265" s="307"/>
    </row>
    <row r="266" spans="2:25" s="1599" customFormat="1" ht="24.95" customHeight="1" outlineLevel="1" x14ac:dyDescent="0.25">
      <c r="B266" s="1599" t="s">
        <v>824</v>
      </c>
      <c r="C266" s="1658">
        <f>C163</f>
        <v>8.0799999999999997E-2</v>
      </c>
      <c r="D266" s="1600"/>
      <c r="E266" s="1600"/>
      <c r="F266" s="1600"/>
      <c r="G266" s="1600"/>
      <c r="H266" s="1600"/>
      <c r="K266" s="1601">
        <f>((SUMPRODUCT(K210:K234,$D210:$D234)/SUM(K210:K234))*(SUM(K210:K234)/J193))+(J163*(J193-SUM(K210:K234))/J193)</f>
        <v>7.6488636363636356E-2</v>
      </c>
      <c r="L266" s="1602">
        <f>((SUMPRODUCT(L210:L234,$D210:$D234)/SUM(L210:L234))*(SUM(L210:L234)/K193))+(K163*(K193-SUM(L210:L234))/K193)</f>
        <v>7.3995052577814441E-2</v>
      </c>
      <c r="M266" s="1602">
        <f>((SUMPRODUCT(M210:M234,$D210:$D234)/SUM(M210:M234))*(SUM(M210:M234)/L193))+(L163*(L193-SUM(M210:M234))/L193)</f>
        <v>7.2106105417566888E-2</v>
      </c>
      <c r="N266" s="1602">
        <f>((SUMPRODUCT(N210:N234,$D210:$D234)/SUM(N210:N234))*(SUM(N210:N234)/M193))+(M163*(M193-SUM(N210:N234))/M193)</f>
        <v>7.0793744957181534E-2</v>
      </c>
      <c r="O266" s="1602">
        <f t="shared" ref="O266:T266" si="84">((SUMPRODUCT(O210:O234,$D210:$D234)/SUM(O210:O234))*(SUM(O210:O234)/N193))+(N163*(N193-SUM(O210:O234))/N193)</f>
        <v>7.0027381126914798E-2</v>
      </c>
      <c r="P266" s="1602">
        <f t="shared" si="84"/>
        <v>6.9773822307957645E-2</v>
      </c>
      <c r="Q266" s="1602">
        <f t="shared" si="84"/>
        <v>7.0001477924490962E-2</v>
      </c>
      <c r="R266" s="1602">
        <f t="shared" si="84"/>
        <v>7.0680087514465972E-2</v>
      </c>
      <c r="S266" s="1602">
        <f t="shared" si="84"/>
        <v>7.1369203108159168E-2</v>
      </c>
      <c r="T266" s="1602">
        <f t="shared" si="84"/>
        <v>7.2077957413484883E-2</v>
      </c>
      <c r="U266" s="307"/>
      <c r="V266" s="307"/>
      <c r="W266" s="307"/>
      <c r="X266" s="307"/>
      <c r="Y266" s="307"/>
    </row>
    <row r="267" spans="2:25" s="1599" customFormat="1" ht="24.95" customHeight="1" outlineLevel="1" x14ac:dyDescent="0.25">
      <c r="B267" s="1599" t="s">
        <v>435</v>
      </c>
      <c r="D267" s="1600"/>
      <c r="E267" s="1600"/>
      <c r="F267" s="1600"/>
      <c r="G267" s="1600"/>
      <c r="H267" s="1600"/>
      <c r="I267" s="1600"/>
      <c r="J267" s="1657">
        <f>+'C UNIT PROG CCIALES'!E3</f>
        <v>36375</v>
      </c>
      <c r="K267" s="1603">
        <f>+J267*(1+J$14)</f>
        <v>39830.625</v>
      </c>
      <c r="L267" s="1603">
        <f>+K267*(1+K$14)</f>
        <v>42092.996533875004</v>
      </c>
      <c r="M267" s="1603">
        <f>+L267*(1+L$14)</f>
        <v>44483.8703183998</v>
      </c>
      <c r="N267" s="1603">
        <f>+M267*(1+M$14)</f>
        <v>47010.545255710851</v>
      </c>
      <c r="O267" s="1603">
        <f t="shared" ref="O267:T267" si="85">+N267*(1+N$14)</f>
        <v>49680.734824126179</v>
      </c>
      <c r="P267" s="1603">
        <f t="shared" si="85"/>
        <v>52502.590625989586</v>
      </c>
      <c r="Q267" s="1603">
        <f t="shared" si="85"/>
        <v>55484.727273027675</v>
      </c>
      <c r="R267" s="1603">
        <f t="shared" si="85"/>
        <v>58636.248685190192</v>
      </c>
      <c r="S267" s="1603">
        <f t="shared" si="85"/>
        <v>61966.775883259259</v>
      </c>
      <c r="T267" s="1603">
        <f t="shared" si="85"/>
        <v>65486.476360073211</v>
      </c>
      <c r="U267" s="307"/>
      <c r="V267" s="307"/>
      <c r="W267" s="307"/>
      <c r="X267" s="307"/>
      <c r="Y267" s="307"/>
    </row>
    <row r="268" spans="2:25" s="1599" customFormat="1" ht="24.95" customHeight="1" outlineLevel="1" x14ac:dyDescent="0.25">
      <c r="B268" s="1599" t="s">
        <v>825</v>
      </c>
      <c r="D268" s="1600"/>
      <c r="E268" s="1600"/>
      <c r="F268" s="1600"/>
      <c r="G268" s="1600"/>
      <c r="H268" s="1600"/>
      <c r="I268" s="1600"/>
      <c r="K268" s="1603">
        <f>+K267*K227</f>
        <v>1207273485.681818</v>
      </c>
      <c r="L268" s="1603">
        <f>+L267*L227</f>
        <v>1275846378.2138484</v>
      </c>
      <c r="M268" s="1603">
        <f>+M267*M227</f>
        <v>1348314197.3271194</v>
      </c>
      <c r="N268" s="1603">
        <f>+N267*N227</f>
        <v>1424898174.0724604</v>
      </c>
      <c r="O268" s="1603">
        <f t="shared" ref="O268:T268" si="86">+O267*O227</f>
        <v>1505832105.3801415</v>
      </c>
      <c r="P268" s="1603">
        <f t="shared" si="86"/>
        <v>1591363067.7993126</v>
      </c>
      <c r="Q268" s="1603">
        <f t="shared" si="86"/>
        <v>1681752171.7777002</v>
      </c>
      <c r="R268" s="1603">
        <f t="shared" si="86"/>
        <v>1777275358.7842393</v>
      </c>
      <c r="S268" s="1603">
        <f t="shared" si="86"/>
        <v>1878224243.7081122</v>
      </c>
      <c r="T268" s="1603">
        <f t="shared" si="86"/>
        <v>1984907005.1058843</v>
      </c>
      <c r="U268" s="1604"/>
      <c r="V268" s="307"/>
      <c r="W268" s="307"/>
      <c r="X268" s="307"/>
      <c r="Y268" s="307"/>
    </row>
    <row r="269" spans="2:25" s="1599" customFormat="1" ht="24.95" customHeight="1" outlineLevel="1" x14ac:dyDescent="0.25">
      <c r="B269" s="1599" t="s">
        <v>826</v>
      </c>
      <c r="C269" s="1605">
        <f>NPV($C$19,K268:T268)+J268</f>
        <v>7011279577.519702</v>
      </c>
      <c r="D269" s="1600"/>
      <c r="E269" s="1600"/>
      <c r="F269" s="1600"/>
      <c r="G269" s="1600"/>
      <c r="H269" s="1600"/>
      <c r="I269" s="1600"/>
      <c r="K269" s="1606"/>
      <c r="L269" s="1606"/>
      <c r="M269" s="1606"/>
      <c r="N269" s="1606"/>
      <c r="O269" s="1606"/>
      <c r="P269" s="1606"/>
      <c r="Q269" s="1606"/>
      <c r="R269" s="1606"/>
      <c r="S269" s="1606"/>
      <c r="T269" s="1606"/>
      <c r="U269" s="1604"/>
      <c r="V269" s="307"/>
      <c r="W269" s="307"/>
      <c r="X269" s="307"/>
      <c r="Y269" s="307"/>
    </row>
    <row r="270" spans="2:25" s="1599" customFormat="1" ht="24.95" customHeight="1" outlineLevel="1" x14ac:dyDescent="0.25">
      <c r="B270" s="1599" t="s">
        <v>827</v>
      </c>
      <c r="D270" s="1600"/>
      <c r="E270" s="1600"/>
      <c r="F270" s="1600"/>
      <c r="G270" s="1600"/>
      <c r="H270" s="1600"/>
      <c r="I270" s="1600"/>
      <c r="J270" s="1603"/>
      <c r="K270" s="1603">
        <f t="shared" ref="K270:S270" si="87">(K265*K$138)</f>
        <v>551225279.2081486</v>
      </c>
      <c r="L270" s="1603">
        <f t="shared" si="87"/>
        <v>1036122796.2658832</v>
      </c>
      <c r="M270" s="1603">
        <f t="shared" si="87"/>
        <v>1446910863.9085619</v>
      </c>
      <c r="N270" s="1603">
        <f t="shared" si="87"/>
        <v>1775278853.9193659</v>
      </c>
      <c r="O270" s="1603">
        <f t="shared" si="87"/>
        <v>2012361570.6076744</v>
      </c>
      <c r="P270" s="1603">
        <f t="shared" si="87"/>
        <v>2148699751.218257</v>
      </c>
      <c r="Q270" s="1603">
        <f t="shared" si="87"/>
        <v>2174219940.8317256</v>
      </c>
      <c r="R270" s="1603">
        <f t="shared" si="87"/>
        <v>2078196583.0641108</v>
      </c>
      <c r="S270" s="1603">
        <f t="shared" si="87"/>
        <v>1849206568.7695816</v>
      </c>
      <c r="T270" s="1603">
        <f>(T265*T$138)</f>
        <v>1475105229.997633</v>
      </c>
      <c r="U270" s="1604"/>
      <c r="V270" s="307"/>
      <c r="W270" s="307"/>
      <c r="X270" s="307"/>
      <c r="Y270" s="307"/>
    </row>
    <row r="271" spans="2:25" s="1599" customFormat="1" ht="24.95" customHeight="1" outlineLevel="1" x14ac:dyDescent="0.25">
      <c r="B271" s="1599" t="s">
        <v>828</v>
      </c>
      <c r="C271" s="1605">
        <f>NPV($C$19,K270:T270)+J270</f>
        <v>7129082502.8760948</v>
      </c>
      <c r="D271" s="1600"/>
      <c r="E271" s="1600"/>
      <c r="F271" s="1600"/>
      <c r="G271" s="1600"/>
      <c r="H271" s="1600"/>
      <c r="I271" s="1600"/>
      <c r="J271" s="1606"/>
      <c r="K271" s="1606"/>
      <c r="L271" s="1606"/>
      <c r="M271" s="1606"/>
      <c r="N271" s="1606"/>
      <c r="O271" s="1606"/>
      <c r="P271" s="1606"/>
      <c r="Q271" s="1606"/>
      <c r="R271" s="1606"/>
      <c r="S271" s="1606"/>
      <c r="T271" s="1606"/>
      <c r="U271" s="307"/>
      <c r="V271" s="307"/>
      <c r="W271" s="307"/>
      <c r="X271" s="307"/>
      <c r="Y271" s="307"/>
    </row>
    <row r="272" spans="2:25" s="1599" customFormat="1" ht="24.95" customHeight="1" outlineLevel="1" x14ac:dyDescent="0.25">
      <c r="B272" s="1599" t="s">
        <v>829</v>
      </c>
      <c r="C272" s="1607">
        <f>C271/C269</f>
        <v>1.0168019152643841</v>
      </c>
      <c r="D272" s="1600"/>
      <c r="E272" s="1600"/>
      <c r="F272" s="1600"/>
      <c r="G272" s="1600"/>
      <c r="H272" s="1600"/>
      <c r="I272" s="1600"/>
      <c r="J272" s="1606"/>
      <c r="K272" s="1606"/>
      <c r="L272" s="1606"/>
      <c r="M272" s="1606"/>
      <c r="N272" s="1606"/>
      <c r="O272" s="1606"/>
      <c r="P272" s="1606"/>
      <c r="Q272" s="1606"/>
      <c r="R272" s="1606"/>
      <c r="S272" s="1606"/>
      <c r="T272" s="1606"/>
      <c r="U272" s="307"/>
      <c r="V272" s="307"/>
      <c r="W272" s="307"/>
      <c r="X272" s="307"/>
      <c r="Y272" s="307"/>
    </row>
    <row r="273" spans="2:25" s="488" customFormat="1" ht="15" customHeight="1" outlineLevel="1" x14ac:dyDescent="0.2">
      <c r="C273" s="1608"/>
      <c r="D273" s="1600"/>
      <c r="E273" s="1600"/>
      <c r="F273" s="1600"/>
      <c r="G273" s="1600"/>
      <c r="H273" s="1600"/>
      <c r="I273" s="1600"/>
      <c r="J273" s="1598"/>
      <c r="K273" s="1606"/>
      <c r="L273" s="1606"/>
      <c r="M273" s="1606"/>
      <c r="N273" s="1606"/>
      <c r="O273" s="1606"/>
      <c r="P273" s="1606"/>
      <c r="Q273" s="1606"/>
      <c r="R273" s="1606"/>
      <c r="S273" s="1606"/>
      <c r="T273" s="1606"/>
      <c r="U273" s="308"/>
      <c r="V273" s="308"/>
      <c r="W273" s="308"/>
      <c r="X273" s="308"/>
      <c r="Y273" s="308"/>
    </row>
    <row r="274" spans="2:25" ht="12" customHeight="1" x14ac:dyDescent="0.2">
      <c r="U274" s="308"/>
      <c r="V274" s="308"/>
      <c r="W274" s="308"/>
      <c r="X274" s="308"/>
      <c r="Y274" s="308"/>
    </row>
    <row r="275" spans="2:25" s="1590" customFormat="1" ht="23.85" customHeight="1" thickBot="1" x14ac:dyDescent="0.25">
      <c r="B275" s="1592" t="s">
        <v>1177</v>
      </c>
      <c r="C275" s="1592"/>
      <c r="D275" s="1593">
        <f>$D$11</f>
        <v>2019</v>
      </c>
      <c r="E275" s="1593">
        <v>2020</v>
      </c>
      <c r="F275" s="1594">
        <f>+E275+1</f>
        <v>2021</v>
      </c>
      <c r="G275" s="1594">
        <f>+F275+1</f>
        <v>2022</v>
      </c>
      <c r="H275" s="1594">
        <f>+G275+1</f>
        <v>2023</v>
      </c>
      <c r="I275" s="1594">
        <f>+H275+1</f>
        <v>2024</v>
      </c>
      <c r="J275" s="1594">
        <f>J190</f>
        <v>0</v>
      </c>
      <c r="K275" s="1594">
        <f t="shared" ref="K275:T275" si="88">+J275+1</f>
        <v>1</v>
      </c>
      <c r="L275" s="1594">
        <f t="shared" si="88"/>
        <v>2</v>
      </c>
      <c r="M275" s="1594">
        <f t="shared" si="88"/>
        <v>3</v>
      </c>
      <c r="N275" s="1594">
        <f t="shared" si="88"/>
        <v>4</v>
      </c>
      <c r="O275" s="1594">
        <f t="shared" si="88"/>
        <v>5</v>
      </c>
      <c r="P275" s="1594">
        <f t="shared" si="88"/>
        <v>6</v>
      </c>
      <c r="Q275" s="1594">
        <f t="shared" si="88"/>
        <v>7</v>
      </c>
      <c r="R275" s="1594">
        <f t="shared" si="88"/>
        <v>8</v>
      </c>
      <c r="S275" s="1594">
        <f t="shared" si="88"/>
        <v>9</v>
      </c>
      <c r="T275" s="1594">
        <f t="shared" si="88"/>
        <v>10</v>
      </c>
      <c r="U275" s="1609"/>
      <c r="V275" s="1609"/>
      <c r="W275" s="1609"/>
      <c r="X275" s="1609"/>
      <c r="Y275" s="1609"/>
    </row>
    <row r="276" spans="2:25" ht="75.75" hidden="1" customHeight="1" outlineLevel="1" x14ac:dyDescent="0.2">
      <c r="B276" s="879" t="s">
        <v>1178</v>
      </c>
      <c r="U276" s="308"/>
      <c r="V276" s="308"/>
      <c r="W276" s="308"/>
      <c r="X276" s="308"/>
      <c r="Y276" s="308"/>
    </row>
    <row r="277" spans="2:25" hidden="1" outlineLevel="1" x14ac:dyDescent="0.2">
      <c r="B277" s="512"/>
      <c r="C277" s="512"/>
      <c r="D277" s="797"/>
      <c r="E277" s="797"/>
      <c r="F277" s="797"/>
      <c r="G277" s="797"/>
      <c r="H277" s="797"/>
      <c r="I277" s="797"/>
      <c r="J277" s="797"/>
      <c r="K277" s="797"/>
      <c r="L277" s="797"/>
      <c r="M277" s="797"/>
      <c r="N277" s="797"/>
      <c r="O277" s="797"/>
      <c r="P277" s="797"/>
      <c r="Q277" s="797"/>
      <c r="R277" s="797"/>
      <c r="S277" s="797"/>
      <c r="T277" s="797"/>
      <c r="U277" s="308"/>
      <c r="V277" s="308"/>
      <c r="W277" s="308"/>
      <c r="X277" s="308"/>
      <c r="Y277" s="308"/>
    </row>
    <row r="278" spans="2:25" hidden="1" outlineLevel="1" x14ac:dyDescent="0.2">
      <c r="B278" s="1041"/>
      <c r="C278" s="1402"/>
      <c r="D278" s="881"/>
      <c r="E278" s="507"/>
      <c r="F278" s="507"/>
      <c r="G278" s="507"/>
      <c r="H278" s="507"/>
      <c r="I278" s="507"/>
      <c r="K278" s="1398"/>
      <c r="L278" s="1398"/>
      <c r="M278" s="1398"/>
      <c r="N278" s="1398"/>
      <c r="O278" s="1398"/>
      <c r="P278" s="1398"/>
      <c r="Q278" s="1398"/>
      <c r="R278" s="1398"/>
      <c r="S278" s="1398"/>
      <c r="T278" s="1398"/>
      <c r="U278" s="308"/>
      <c r="V278" s="308"/>
      <c r="W278" s="308"/>
      <c r="X278" s="308"/>
      <c r="Y278" s="308"/>
    </row>
    <row r="279" spans="2:25" hidden="1" outlineLevel="1" x14ac:dyDescent="0.2">
      <c r="B279" s="1041"/>
      <c r="C279" s="1402"/>
      <c r="D279" s="881"/>
      <c r="E279" s="507"/>
      <c r="F279" s="507"/>
      <c r="G279" s="507"/>
      <c r="H279" s="507"/>
      <c r="I279" s="507"/>
      <c r="K279" s="1398"/>
      <c r="L279" s="1398"/>
      <c r="M279" s="1398"/>
      <c r="N279" s="1398"/>
      <c r="O279" s="1398"/>
      <c r="P279" s="1398"/>
      <c r="Q279" s="1398"/>
      <c r="R279" s="1398"/>
      <c r="S279" s="1398"/>
      <c r="T279" s="1398"/>
      <c r="U279" s="308"/>
      <c r="V279" s="308"/>
      <c r="W279" s="308"/>
      <c r="X279" s="308"/>
      <c r="Y279" s="308"/>
    </row>
    <row r="280" spans="2:25" hidden="1" outlineLevel="1" x14ac:dyDescent="0.2">
      <c r="B280" s="487" t="s">
        <v>1198</v>
      </c>
      <c r="C280" s="1703">
        <f>+SUM(K280:O280)</f>
        <v>25170</v>
      </c>
      <c r="D280" s="882"/>
      <c r="E280" s="526"/>
      <c r="F280" s="526"/>
      <c r="G280" s="526"/>
      <c r="H280" s="526"/>
      <c r="I280" s="1401"/>
      <c r="J280" s="1401"/>
      <c r="K280" s="514">
        <v>5034</v>
      </c>
      <c r="L280" s="514">
        <f>K280</f>
        <v>5034</v>
      </c>
      <c r="M280" s="514">
        <f>L280</f>
        <v>5034</v>
      </c>
      <c r="N280" s="514">
        <f>M280</f>
        <v>5034</v>
      </c>
      <c r="O280" s="514">
        <f>N280</f>
        <v>5034</v>
      </c>
      <c r="P280" s="1401"/>
      <c r="Q280" s="1401"/>
      <c r="R280" s="1401"/>
      <c r="S280" s="1401"/>
      <c r="T280" s="1401"/>
      <c r="U280" s="308"/>
      <c r="V280" s="308"/>
      <c r="W280" s="308"/>
      <c r="X280" s="308"/>
      <c r="Y280" s="308"/>
    </row>
    <row r="281" spans="2:25" ht="13.5" hidden="1" outlineLevel="1" x14ac:dyDescent="0.2">
      <c r="B281" s="487" t="s">
        <v>985</v>
      </c>
      <c r="C281" s="1718">
        <v>0.3</v>
      </c>
      <c r="D281" s="883"/>
      <c r="E281" s="506"/>
      <c r="F281" s="506"/>
      <c r="G281" s="506"/>
      <c r="H281" s="506"/>
      <c r="I281" s="506"/>
      <c r="K281" s="528">
        <f>+K280*$C$281</f>
        <v>1510.2</v>
      </c>
      <c r="L281" s="528">
        <f>+L280*$C$281</f>
        <v>1510.2</v>
      </c>
      <c r="M281" s="528">
        <f>+M280*$C$281</f>
        <v>1510.2</v>
      </c>
      <c r="N281" s="528">
        <f>+N280*$C$281</f>
        <v>1510.2</v>
      </c>
      <c r="O281" s="528">
        <f>+O280*$C$281</f>
        <v>1510.2</v>
      </c>
      <c r="P281" s="528"/>
      <c r="Q281" s="528"/>
      <c r="R281" s="528"/>
      <c r="S281" s="528"/>
      <c r="T281" s="528"/>
      <c r="U281" s="308"/>
      <c r="V281" s="308"/>
      <c r="W281" s="308"/>
      <c r="X281" s="308"/>
      <c r="Y281" s="308"/>
    </row>
    <row r="282" spans="2:25" ht="13.5" hidden="1" outlineLevel="1" x14ac:dyDescent="0.2">
      <c r="B282" s="1054" t="s">
        <v>1235</v>
      </c>
      <c r="C282" s="1666">
        <v>20</v>
      </c>
      <c r="D282" s="884" t="s">
        <v>725</v>
      </c>
      <c r="E282" s="529"/>
      <c r="F282" s="529"/>
      <c r="G282" s="529"/>
      <c r="H282" s="529"/>
      <c r="I282" s="529"/>
      <c r="K282" s="528">
        <f>+K281*$C$282*12</f>
        <v>362448</v>
      </c>
      <c r="L282" s="528">
        <f>+L281*$C$282*12</f>
        <v>362448</v>
      </c>
      <c r="M282" s="528">
        <f>+M281*$C$282*12</f>
        <v>362448</v>
      </c>
      <c r="N282" s="528">
        <f>+N281*$C$282*12</f>
        <v>362448</v>
      </c>
      <c r="O282" s="528">
        <f>+O281*$C$282*12</f>
        <v>362448</v>
      </c>
      <c r="P282" s="528"/>
      <c r="Q282" s="528"/>
      <c r="R282" s="528"/>
      <c r="S282" s="528"/>
      <c r="T282" s="528"/>
      <c r="U282" s="308"/>
      <c r="V282" s="308"/>
      <c r="W282" s="308"/>
      <c r="X282" s="308"/>
      <c r="Y282" s="308"/>
    </row>
    <row r="283" spans="2:25" hidden="1" outlineLevel="1" x14ac:dyDescent="0.2">
      <c r="D283" s="508"/>
      <c r="E283" s="508"/>
      <c r="F283" s="508"/>
      <c r="G283" s="508"/>
      <c r="H283" s="508"/>
      <c r="I283" s="508"/>
      <c r="K283" s="495"/>
      <c r="L283" s="495"/>
      <c r="M283" s="495"/>
      <c r="N283" s="495"/>
      <c r="O283" s="495"/>
      <c r="P283" s="495"/>
      <c r="Q283" s="495"/>
      <c r="R283" s="495"/>
      <c r="S283" s="495"/>
      <c r="T283" s="495"/>
      <c r="U283" s="308"/>
      <c r="V283" s="308"/>
      <c r="W283" s="308"/>
      <c r="X283" s="308"/>
      <c r="Y283" s="308"/>
    </row>
    <row r="284" spans="2:25" hidden="1" outlineLevel="1" x14ac:dyDescent="0.2">
      <c r="U284" s="308"/>
      <c r="V284" s="308"/>
      <c r="W284" s="308"/>
      <c r="X284" s="308"/>
      <c r="Y284" s="308"/>
    </row>
    <row r="285" spans="2:25" s="1599" customFormat="1" ht="24.95" hidden="1" customHeight="1" outlineLevel="1" x14ac:dyDescent="0.25">
      <c r="B285" s="1599" t="s">
        <v>1232</v>
      </c>
      <c r="D285" s="1600"/>
      <c r="E285" s="1600"/>
      <c r="F285" s="1600"/>
      <c r="G285" s="1600"/>
      <c r="H285" s="1600"/>
      <c r="I285" s="1600"/>
      <c r="J285" s="1662">
        <f>'C UNIT PROG CCIALES'!E5</f>
        <v>87131.762499999997</v>
      </c>
      <c r="K285" s="1633">
        <f>J285*(1+J$14)</f>
        <v>95409.279937499989</v>
      </c>
      <c r="L285" s="1633">
        <f>K285*(1+K$14)</f>
        <v>100828.50795609401</v>
      </c>
      <c r="M285" s="1633">
        <f>L285*(1+L$14)</f>
        <v>106555.54704229857</v>
      </c>
      <c r="N285" s="1633">
        <f>M285*(1+M$14)</f>
        <v>112607.88080319173</v>
      </c>
      <c r="O285" s="1633">
        <f>N285*(1+N$14)</f>
        <v>119003.98591123687</v>
      </c>
      <c r="P285" s="1633"/>
      <c r="Q285" s="1633"/>
      <c r="R285" s="1633"/>
      <c r="S285" s="1633"/>
      <c r="T285" s="1633"/>
      <c r="U285" s="307"/>
      <c r="V285" s="307"/>
      <c r="W285" s="307"/>
      <c r="X285" s="307"/>
      <c r="Y285" s="307"/>
    </row>
    <row r="286" spans="2:25" s="1599" customFormat="1" ht="24.95" hidden="1" customHeight="1" outlineLevel="1" x14ac:dyDescent="0.25">
      <c r="B286" s="326" t="s">
        <v>987</v>
      </c>
      <c r="D286" s="1600"/>
      <c r="E286" s="1600"/>
      <c r="F286" s="1600"/>
      <c r="G286" s="1600"/>
      <c r="H286" s="1600"/>
      <c r="I286" s="1600"/>
      <c r="J286" s="1662">
        <f>'C UNIT PROG CCIALES'!E4</f>
        <v>427506.68333333335</v>
      </c>
      <c r="K286" s="1603">
        <f>+J286*(1+J$14)</f>
        <v>468119.81825000001</v>
      </c>
      <c r="L286" s="1603">
        <f>+K286*(1+K$14)</f>
        <v>494708.93030263641</v>
      </c>
      <c r="M286" s="1603">
        <f>+L286*(1+L$14)</f>
        <v>522808.2986020401</v>
      </c>
      <c r="N286" s="1603">
        <f>+M286*(1+M$14)</f>
        <v>552503.70540097624</v>
      </c>
      <c r="O286" s="1603">
        <f>+N286*(1+N$14)</f>
        <v>583885.80536701065</v>
      </c>
      <c r="P286" s="1603"/>
      <c r="Q286" s="1603"/>
      <c r="R286" s="1603"/>
      <c r="S286" s="1603"/>
      <c r="T286" s="1603"/>
      <c r="U286" s="307"/>
      <c r="V286" s="307"/>
      <c r="W286" s="307"/>
      <c r="X286" s="307"/>
      <c r="Y286" s="307"/>
    </row>
    <row r="287" spans="2:25" s="1599" customFormat="1" ht="24.95" hidden="1" customHeight="1" outlineLevel="1" x14ac:dyDescent="0.25">
      <c r="B287" s="326" t="s">
        <v>987</v>
      </c>
      <c r="D287" s="1600"/>
      <c r="E287" s="1600"/>
      <c r="F287" s="1600"/>
      <c r="G287" s="1600"/>
      <c r="H287" s="1600"/>
      <c r="I287" s="1600"/>
      <c r="J287" s="1611"/>
      <c r="K287" s="1663">
        <f>+(K280*K$285)+(K281*J$286)</f>
        <v>1125910908.375375</v>
      </c>
      <c r="L287" s="1663">
        <f>+(L280*L$285)+(L281*K$286)</f>
        <v>1214525258.5721273</v>
      </c>
      <c r="M287" s="1663">
        <f>+(M280*M$285)+(M281*L$286)</f>
        <v>1283510050.3539724</v>
      </c>
      <c r="N287" s="1663">
        <f>+(N280*N$285)+(N281*M$286)</f>
        <v>1356413164.5120683</v>
      </c>
      <c r="O287" s="1663">
        <f>+(O280*O$285)+(O281*N$286)</f>
        <v>1433457160.9737208</v>
      </c>
      <c r="P287" s="1663"/>
      <c r="Q287" s="1663"/>
      <c r="R287" s="1663"/>
      <c r="S287" s="1663"/>
      <c r="T287" s="1663"/>
      <c r="U287" s="307"/>
      <c r="V287" s="307"/>
      <c r="W287" s="307"/>
      <c r="X287" s="307"/>
      <c r="Y287" s="307"/>
    </row>
    <row r="288" spans="2:25" s="1599" customFormat="1" ht="24.95" hidden="1" customHeight="1" outlineLevel="1" x14ac:dyDescent="0.25">
      <c r="B288" s="1599" t="s">
        <v>988</v>
      </c>
      <c r="C288" s="1605">
        <f>NPV($C$19,K287:T287)+J287</f>
        <v>4099471734.9978786</v>
      </c>
      <c r="D288" s="1600"/>
      <c r="E288" s="1600"/>
      <c r="F288" s="1600"/>
      <c r="G288" s="1600"/>
      <c r="H288" s="1600"/>
      <c r="I288" s="1600"/>
      <c r="K288" s="379"/>
      <c r="L288" s="379"/>
      <c r="M288" s="379"/>
      <c r="N288" s="379"/>
      <c r="O288" s="379"/>
      <c r="P288" s="379"/>
      <c r="Q288" s="379"/>
      <c r="R288" s="379"/>
      <c r="S288" s="379"/>
      <c r="T288" s="379"/>
      <c r="U288" s="307"/>
      <c r="V288" s="307"/>
      <c r="W288" s="307"/>
      <c r="X288" s="307"/>
      <c r="Y288" s="307"/>
    </row>
    <row r="289" spans="2:25" s="1599" customFormat="1" ht="24.95" hidden="1" customHeight="1" outlineLevel="1" x14ac:dyDescent="0.25">
      <c r="B289" s="326" t="s">
        <v>1190</v>
      </c>
      <c r="C289" s="1613"/>
      <c r="D289" s="1600"/>
      <c r="E289" s="1600"/>
      <c r="F289" s="1600"/>
      <c r="G289" s="1600"/>
      <c r="H289" s="1600"/>
      <c r="I289" s="1600"/>
      <c r="K289" s="1639">
        <f>K282*(K$138)</f>
        <v>1340902836.9593687</v>
      </c>
      <c r="L289" s="1639">
        <f t="shared" ref="L289:T289" si="89">L282*(L$138)</f>
        <v>1388633426.617377</v>
      </c>
      <c r="M289" s="1639">
        <f t="shared" si="89"/>
        <v>1438063027.6625693</v>
      </c>
      <c r="N289" s="1639">
        <f t="shared" si="89"/>
        <v>1489252117.8664222</v>
      </c>
      <c r="O289" s="1639">
        <f t="shared" si="89"/>
        <v>1542263327.7586987</v>
      </c>
      <c r="P289" s="1639">
        <f t="shared" si="89"/>
        <v>0</v>
      </c>
      <c r="Q289" s="1639">
        <f t="shared" si="89"/>
        <v>0</v>
      </c>
      <c r="R289" s="1639">
        <f t="shared" si="89"/>
        <v>0</v>
      </c>
      <c r="S289" s="1639">
        <f t="shared" si="89"/>
        <v>0</v>
      </c>
      <c r="T289" s="1639">
        <f t="shared" si="89"/>
        <v>0</v>
      </c>
      <c r="U289" s="307"/>
      <c r="V289" s="307"/>
      <c r="W289" s="307"/>
      <c r="X289" s="307"/>
      <c r="Y289" s="307"/>
    </row>
    <row r="290" spans="2:25" s="1599" customFormat="1" ht="24.95" hidden="1" customHeight="1" outlineLevel="1" x14ac:dyDescent="0.25">
      <c r="B290" s="1599" t="s">
        <v>828</v>
      </c>
      <c r="C290" s="1605">
        <f>NPV($C$19,K289:T289)+J289</f>
        <v>4635315027.8751087</v>
      </c>
      <c r="D290" s="1600"/>
      <c r="E290" s="1600"/>
      <c r="F290" s="1600"/>
      <c r="G290" s="1600"/>
      <c r="H290" s="1600"/>
      <c r="I290" s="1600"/>
      <c r="J290" s="1606"/>
      <c r="K290" s="1612"/>
      <c r="L290" s="1612"/>
      <c r="M290" s="1612"/>
      <c r="N290" s="1612"/>
      <c r="O290" s="1612"/>
      <c r="P290" s="1612"/>
      <c r="Q290" s="1612"/>
      <c r="R290" s="1612"/>
      <c r="S290" s="1612"/>
      <c r="T290" s="1612"/>
      <c r="U290" s="307"/>
      <c r="V290" s="307"/>
      <c r="W290" s="307"/>
      <c r="X290" s="307"/>
      <c r="Y290" s="307"/>
    </row>
    <row r="291" spans="2:25" s="1599" customFormat="1" ht="24.95" hidden="1" customHeight="1" outlineLevel="1" x14ac:dyDescent="0.25">
      <c r="B291" s="1599" t="s">
        <v>829</v>
      </c>
      <c r="C291" s="1607">
        <f>C290/C288</f>
        <v>1.1307103274557662</v>
      </c>
      <c r="D291" s="1600"/>
      <c r="E291" s="1600"/>
      <c r="F291" s="1600"/>
      <c r="G291" s="1600"/>
      <c r="H291" s="1600"/>
      <c r="I291" s="1600"/>
      <c r="J291" s="1606"/>
      <c r="K291" s="1606"/>
      <c r="L291" s="1606"/>
      <c r="M291" s="1606"/>
      <c r="N291" s="1606"/>
      <c r="O291" s="1606"/>
      <c r="P291" s="1606"/>
      <c r="Q291" s="1606"/>
      <c r="R291" s="1606"/>
      <c r="S291" s="1606"/>
      <c r="T291" s="1606"/>
      <c r="U291" s="307"/>
      <c r="V291" s="307"/>
      <c r="W291" s="307"/>
      <c r="X291" s="307"/>
      <c r="Y291" s="307"/>
    </row>
    <row r="292" spans="2:25" collapsed="1" x14ac:dyDescent="0.2">
      <c r="C292" s="1613"/>
      <c r="U292" s="308"/>
      <c r="V292" s="308"/>
      <c r="W292" s="308"/>
      <c r="X292" s="308"/>
      <c r="Y292" s="308"/>
    </row>
    <row r="293" spans="2:25" s="1619" customFormat="1" ht="34.5" customHeight="1" thickBot="1" x14ac:dyDescent="0.25">
      <c r="B293" s="1614" t="s">
        <v>830</v>
      </c>
      <c r="C293" s="1615"/>
      <c r="D293" s="1616">
        <f>$D$11</f>
        <v>2019</v>
      </c>
      <c r="E293" s="1617">
        <f>+D293+1</f>
        <v>2020</v>
      </c>
      <c r="F293" s="1617">
        <f>+E293+1</f>
        <v>2021</v>
      </c>
      <c r="G293" s="1617">
        <f>+F293+1</f>
        <v>2022</v>
      </c>
      <c r="H293" s="1617">
        <f>+G293+1</f>
        <v>2023</v>
      </c>
      <c r="I293" s="1617">
        <f>+H293+1</f>
        <v>2024</v>
      </c>
      <c r="J293" s="1617">
        <f>J190</f>
        <v>0</v>
      </c>
      <c r="K293" s="1617">
        <f t="shared" ref="K293:T293" si="90">+J293+1</f>
        <v>1</v>
      </c>
      <c r="L293" s="1617">
        <f t="shared" si="90"/>
        <v>2</v>
      </c>
      <c r="M293" s="1617">
        <f t="shared" si="90"/>
        <v>3</v>
      </c>
      <c r="N293" s="1617">
        <f t="shared" si="90"/>
        <v>4</v>
      </c>
      <c r="O293" s="1617">
        <f t="shared" si="90"/>
        <v>5</v>
      </c>
      <c r="P293" s="1617">
        <f t="shared" si="90"/>
        <v>6</v>
      </c>
      <c r="Q293" s="1617">
        <f t="shared" si="90"/>
        <v>7</v>
      </c>
      <c r="R293" s="1617">
        <f t="shared" si="90"/>
        <v>8</v>
      </c>
      <c r="S293" s="1617">
        <f t="shared" si="90"/>
        <v>9</v>
      </c>
      <c r="T293" s="1617">
        <f t="shared" si="90"/>
        <v>10</v>
      </c>
      <c r="U293" s="1618"/>
      <c r="V293" s="1618"/>
      <c r="W293" s="1618"/>
      <c r="X293" s="1618"/>
      <c r="Y293" s="1618"/>
    </row>
    <row r="294" spans="2:25" ht="24" hidden="1" outlineLevel="1" x14ac:dyDescent="0.2">
      <c r="B294" s="879" t="s">
        <v>831</v>
      </c>
      <c r="U294" s="308"/>
      <c r="V294" s="308"/>
      <c r="W294" s="308"/>
      <c r="X294" s="308"/>
      <c r="Y294" s="308"/>
    </row>
    <row r="295" spans="2:25" hidden="1" outlineLevel="1" x14ac:dyDescent="0.2">
      <c r="B295" s="512"/>
      <c r="C295" s="512"/>
      <c r="D295" s="797"/>
      <c r="E295" s="797"/>
      <c r="F295" s="797"/>
      <c r="G295" s="797"/>
      <c r="H295" s="797"/>
      <c r="I295" s="797"/>
      <c r="J295" s="797"/>
      <c r="K295" s="797"/>
      <c r="L295" s="797"/>
      <c r="M295" s="797"/>
      <c r="N295" s="797"/>
      <c r="O295" s="797"/>
      <c r="P295" s="797"/>
      <c r="Q295" s="797"/>
      <c r="R295" s="797"/>
      <c r="S295" s="797"/>
      <c r="T295" s="797"/>
      <c r="U295" s="308"/>
      <c r="V295" s="308"/>
      <c r="W295" s="308"/>
      <c r="X295" s="308"/>
      <c r="Y295" s="308"/>
    </row>
    <row r="296" spans="2:25" hidden="1" outlineLevel="1" x14ac:dyDescent="0.2">
      <c r="B296" s="308" t="s">
        <v>439</v>
      </c>
      <c r="C296" s="885"/>
      <c r="D296" s="881" t="s">
        <v>832</v>
      </c>
      <c r="E296" s="530"/>
      <c r="F296" s="530"/>
      <c r="G296" s="530"/>
      <c r="H296" s="530"/>
      <c r="I296" s="530"/>
      <c r="K296" s="526">
        <f>C296</f>
        <v>0</v>
      </c>
      <c r="L296" s="526">
        <f>INT(K296*(1+J34))</f>
        <v>0</v>
      </c>
      <c r="M296" s="526">
        <f>INT(L296*(1+K34))</f>
        <v>0</v>
      </c>
      <c r="N296" s="526">
        <f>INT(M296*(1+L34))</f>
        <v>0</v>
      </c>
      <c r="O296" s="526">
        <f>INT(N296*(1+M34))</f>
        <v>0</v>
      </c>
      <c r="P296" s="526"/>
      <c r="Q296" s="526"/>
      <c r="R296" s="526"/>
      <c r="S296" s="526"/>
      <c r="T296" s="526"/>
      <c r="U296" s="308"/>
      <c r="V296" s="308"/>
      <c r="W296" s="308"/>
      <c r="X296" s="308"/>
      <c r="Y296" s="308"/>
    </row>
    <row r="297" spans="2:25" hidden="1" outlineLevel="1" x14ac:dyDescent="0.2">
      <c r="B297" s="308" t="s">
        <v>440</v>
      </c>
      <c r="C297" s="886"/>
      <c r="D297" s="884" t="s">
        <v>833</v>
      </c>
      <c r="E297" s="887"/>
      <c r="F297" s="507"/>
      <c r="G297" s="507"/>
      <c r="H297" s="507"/>
      <c r="I297" s="507"/>
      <c r="K297" s="528">
        <f>INT(K296*$C297)</f>
        <v>0</v>
      </c>
      <c r="L297" s="528">
        <f>INT(L296*$C297)</f>
        <v>0</v>
      </c>
      <c r="M297" s="528">
        <f>INT(M296*$C297)</f>
        <v>0</v>
      </c>
      <c r="N297" s="528">
        <f>INT(N296*$C297)</f>
        <v>0</v>
      </c>
      <c r="O297" s="528">
        <f>INT(O296*$C297)</f>
        <v>0</v>
      </c>
      <c r="P297" s="528"/>
      <c r="Q297" s="528"/>
      <c r="R297" s="528"/>
      <c r="S297" s="528"/>
      <c r="T297" s="528"/>
      <c r="U297" s="308"/>
      <c r="V297" s="308"/>
      <c r="W297" s="308"/>
      <c r="X297" s="308"/>
      <c r="Y297" s="308"/>
    </row>
    <row r="298" spans="2:25" ht="13.5" hidden="1" outlineLevel="1" x14ac:dyDescent="0.2">
      <c r="B298" s="308" t="s">
        <v>834</v>
      </c>
      <c r="C298" s="885"/>
      <c r="D298" s="884" t="s">
        <v>724</v>
      </c>
      <c r="E298" s="531"/>
      <c r="F298" s="531"/>
      <c r="G298" s="531"/>
      <c r="H298" s="531"/>
      <c r="I298" s="531"/>
      <c r="K298" s="526">
        <f>+$C298</f>
        <v>0</v>
      </c>
      <c r="L298" s="526">
        <f>+$C298</f>
        <v>0</v>
      </c>
      <c r="M298" s="526">
        <f>+$C298</f>
        <v>0</v>
      </c>
      <c r="N298" s="526">
        <f>+$C298</f>
        <v>0</v>
      </c>
      <c r="O298" s="526">
        <f>+$C298</f>
        <v>0</v>
      </c>
      <c r="P298" s="526"/>
      <c r="Q298" s="526"/>
      <c r="R298" s="526"/>
      <c r="S298" s="526"/>
      <c r="T298" s="526"/>
      <c r="U298" s="308"/>
      <c r="V298" s="308"/>
      <c r="W298" s="308"/>
      <c r="X298" s="308"/>
      <c r="Y298" s="308"/>
    </row>
    <row r="299" spans="2:25" hidden="1" outlineLevel="1" x14ac:dyDescent="0.2">
      <c r="B299" s="487" t="s">
        <v>441</v>
      </c>
      <c r="D299" s="513"/>
      <c r="E299" s="526"/>
      <c r="F299" s="526"/>
      <c r="G299" s="526"/>
      <c r="H299" s="526"/>
      <c r="I299" s="526"/>
      <c r="K299" s="526">
        <f>+K297*K298</f>
        <v>0</v>
      </c>
      <c r="L299" s="526">
        <f>+L297*L298</f>
        <v>0</v>
      </c>
      <c r="M299" s="526">
        <f>+M297*M298</f>
        <v>0</v>
      </c>
      <c r="N299" s="526">
        <f>+N297*N298</f>
        <v>0</v>
      </c>
      <c r="O299" s="526">
        <f>+O297*O298</f>
        <v>0</v>
      </c>
      <c r="P299" s="526"/>
      <c r="Q299" s="526"/>
      <c r="R299" s="526"/>
      <c r="S299" s="526"/>
      <c r="T299" s="526"/>
      <c r="U299" s="308"/>
      <c r="V299" s="308"/>
      <c r="W299" s="308"/>
      <c r="X299" s="308"/>
      <c r="Y299" s="308"/>
    </row>
    <row r="300" spans="2:25" hidden="1" outlineLevel="1" x14ac:dyDescent="0.2">
      <c r="B300" s="487" t="s">
        <v>835</v>
      </c>
      <c r="D300" s="506"/>
      <c r="E300" s="526"/>
      <c r="F300" s="526"/>
      <c r="G300" s="526"/>
      <c r="H300" s="526"/>
      <c r="I300" s="526"/>
      <c r="K300" s="526">
        <f>IFERROR(K299/K296,0)</f>
        <v>0</v>
      </c>
      <c r="L300" s="526">
        <f>IFERROR(L299/L296,0)</f>
        <v>0</v>
      </c>
      <c r="M300" s="526">
        <f>IFERROR(M299/M296,0)</f>
        <v>0</v>
      </c>
      <c r="N300" s="526">
        <f>IFERROR(N299/N296,0)</f>
        <v>0</v>
      </c>
      <c r="O300" s="526">
        <f>IFERROR(O299/O296,0)</f>
        <v>0</v>
      </c>
      <c r="P300" s="526"/>
      <c r="Q300" s="526"/>
      <c r="R300" s="526"/>
      <c r="S300" s="526"/>
      <c r="T300" s="526"/>
      <c r="U300" s="308"/>
      <c r="V300" s="308"/>
      <c r="W300" s="308"/>
      <c r="X300" s="308"/>
      <c r="Y300" s="308"/>
    </row>
    <row r="301" spans="2:25" hidden="1" outlineLevel="1" x14ac:dyDescent="0.2">
      <c r="D301" s="508"/>
      <c r="E301" s="527"/>
      <c r="F301" s="527"/>
      <c r="G301" s="527"/>
      <c r="H301" s="527"/>
      <c r="I301" s="527"/>
      <c r="K301" s="527"/>
      <c r="L301" s="527"/>
      <c r="M301" s="527"/>
      <c r="N301" s="527"/>
      <c r="O301" s="527"/>
      <c r="P301" s="527"/>
      <c r="Q301" s="527"/>
      <c r="R301" s="527"/>
      <c r="S301" s="527"/>
      <c r="T301" s="527"/>
      <c r="U301" s="308"/>
      <c r="V301" s="308"/>
      <c r="W301" s="308"/>
      <c r="X301" s="308"/>
      <c r="Y301" s="308"/>
    </row>
    <row r="302" spans="2:25" hidden="1" outlineLevel="1" x14ac:dyDescent="0.2">
      <c r="U302" s="308"/>
      <c r="V302" s="308"/>
      <c r="W302" s="308"/>
      <c r="X302" s="308"/>
      <c r="Y302" s="308"/>
    </row>
    <row r="303" spans="2:25" s="1599" customFormat="1" ht="24.95" hidden="1" customHeight="1" outlineLevel="1" x14ac:dyDescent="0.25">
      <c r="B303" s="1599" t="s">
        <v>442</v>
      </c>
      <c r="D303" s="1600"/>
      <c r="E303" s="1600"/>
      <c r="F303" s="1600"/>
      <c r="G303" s="1600"/>
      <c r="H303" s="1600"/>
      <c r="I303" s="1600"/>
      <c r="J303" s="1610">
        <v>0</v>
      </c>
      <c r="K303" s="1603">
        <f>+J303*(1+J$14)</f>
        <v>0</v>
      </c>
      <c r="L303" s="1603">
        <f>+K303*(1+K$14)</f>
        <v>0</v>
      </c>
      <c r="M303" s="1603">
        <f>+L303*(1+L$14)</f>
        <v>0</v>
      </c>
      <c r="N303" s="1603">
        <f>+M303*(1+M$14)</f>
        <v>0</v>
      </c>
      <c r="O303" s="1603">
        <f>+N303*(1+N$14)</f>
        <v>0</v>
      </c>
      <c r="P303" s="1603"/>
      <c r="Q303" s="1603"/>
      <c r="R303" s="1603"/>
      <c r="S303" s="1603"/>
      <c r="T303" s="1603"/>
      <c r="U303" s="307"/>
      <c r="V303" s="307"/>
      <c r="W303" s="307"/>
      <c r="X303" s="307"/>
      <c r="Y303" s="307"/>
    </row>
    <row r="304" spans="2:25" s="1599" customFormat="1" ht="24.95" hidden="1" customHeight="1" outlineLevel="1" x14ac:dyDescent="0.25">
      <c r="B304" s="1599" t="s">
        <v>836</v>
      </c>
      <c r="D304" s="1600"/>
      <c r="E304" s="1600"/>
      <c r="F304" s="1600"/>
      <c r="G304" s="1600"/>
      <c r="H304" s="1600"/>
      <c r="I304" s="1600"/>
      <c r="K304" s="1620">
        <f>K303*K296</f>
        <v>0</v>
      </c>
      <c r="L304" s="1620">
        <f>L303*L296</f>
        <v>0</v>
      </c>
      <c r="M304" s="1620">
        <f>M303*M296</f>
        <v>0</v>
      </c>
      <c r="N304" s="1620">
        <f>N303*N296</f>
        <v>0</v>
      </c>
      <c r="O304" s="1620">
        <f>O303*O296</f>
        <v>0</v>
      </c>
      <c r="P304" s="1620"/>
      <c r="Q304" s="1620"/>
      <c r="R304" s="1620"/>
      <c r="S304" s="1620"/>
      <c r="T304" s="1620"/>
      <c r="V304" s="307"/>
      <c r="W304" s="307"/>
      <c r="X304" s="307"/>
      <c r="Y304" s="307"/>
    </row>
    <row r="305" spans="2:25" s="1599" customFormat="1" ht="24.95" hidden="1" customHeight="1" outlineLevel="1" x14ac:dyDescent="0.25">
      <c r="B305" s="1599" t="s">
        <v>837</v>
      </c>
      <c r="C305" s="1605">
        <f>NPV($C$19,K304:T304)+J304</f>
        <v>0</v>
      </c>
      <c r="D305" s="1600"/>
      <c r="E305" s="1600"/>
      <c r="F305" s="1600"/>
      <c r="G305" s="1600"/>
      <c r="H305" s="1600"/>
      <c r="I305" s="1600"/>
      <c r="K305" s="1621"/>
      <c r="L305" s="1621"/>
      <c r="M305" s="1621"/>
      <c r="N305" s="1621"/>
      <c r="O305" s="1621"/>
      <c r="P305" s="1621"/>
      <c r="Q305" s="1621"/>
      <c r="R305" s="1621"/>
      <c r="S305" s="1621"/>
      <c r="T305" s="1621"/>
      <c r="U305" s="1622"/>
      <c r="V305" s="307"/>
      <c r="W305" s="307"/>
      <c r="X305" s="307"/>
      <c r="Y305" s="307"/>
    </row>
    <row r="306" spans="2:25" s="1599" customFormat="1" ht="24.95" hidden="1" customHeight="1" outlineLevel="1" x14ac:dyDescent="0.25">
      <c r="B306" s="1599" t="s">
        <v>838</v>
      </c>
      <c r="C306" s="1623"/>
      <c r="D306" s="1600"/>
      <c r="E306" s="1600"/>
      <c r="F306" s="1600"/>
      <c r="G306" s="1600"/>
      <c r="H306" s="1600"/>
      <c r="I306" s="1600"/>
      <c r="K306" s="1603">
        <f>K299*(K$138)</f>
        <v>0</v>
      </c>
      <c r="L306" s="1603">
        <f>L299*(L$138)</f>
        <v>0</v>
      </c>
      <c r="M306" s="1603">
        <f>M299*(M$138)</f>
        <v>0</v>
      </c>
      <c r="N306" s="1603">
        <f>N299*(N$138)</f>
        <v>0</v>
      </c>
      <c r="O306" s="1603">
        <f>O299*(O$138)</f>
        <v>0</v>
      </c>
      <c r="P306" s="1603"/>
      <c r="Q306" s="1603"/>
      <c r="R306" s="1603"/>
      <c r="S306" s="1603"/>
      <c r="T306" s="1603"/>
      <c r="U306" s="307"/>
      <c r="V306" s="307"/>
      <c r="W306" s="307"/>
      <c r="X306" s="307"/>
      <c r="Y306" s="307"/>
    </row>
    <row r="307" spans="2:25" s="1599" customFormat="1" ht="24.95" hidden="1" customHeight="1" outlineLevel="1" x14ac:dyDescent="0.25">
      <c r="B307" s="1599" t="s">
        <v>828</v>
      </c>
      <c r="C307" s="1605">
        <f>NPV($C$19,K306:T306)+J306</f>
        <v>0</v>
      </c>
      <c r="D307" s="1600"/>
      <c r="E307" s="1600"/>
      <c r="F307" s="1600"/>
      <c r="G307" s="1600"/>
      <c r="H307" s="1600"/>
      <c r="I307" s="1600"/>
      <c r="J307" s="1606"/>
      <c r="K307" s="1624"/>
      <c r="L307" s="1624"/>
      <c r="M307" s="1624"/>
      <c r="N307" s="1624"/>
      <c r="O307" s="1624"/>
      <c r="P307" s="1624"/>
      <c r="Q307" s="1624"/>
      <c r="R307" s="1624"/>
      <c r="S307" s="1624"/>
      <c r="T307" s="1624"/>
      <c r="U307" s="1622"/>
      <c r="V307" s="307"/>
      <c r="W307" s="307"/>
      <c r="X307" s="307"/>
      <c r="Y307" s="307"/>
    </row>
    <row r="308" spans="2:25" s="1599" customFormat="1" ht="24.95" hidden="1" customHeight="1" outlineLevel="1" x14ac:dyDescent="0.25">
      <c r="B308" s="1599" t="s">
        <v>829</v>
      </c>
      <c r="C308" s="1607">
        <f>IFERROR(C307/C305,0)</f>
        <v>0</v>
      </c>
      <c r="D308" s="1600"/>
      <c r="E308" s="1600"/>
      <c r="F308" s="1600"/>
      <c r="G308" s="1600"/>
      <c r="H308" s="1600"/>
      <c r="I308" s="1600"/>
      <c r="J308" s="1606"/>
      <c r="K308" s="1606"/>
      <c r="L308" s="1606"/>
      <c r="M308" s="1606"/>
      <c r="N308" s="1606"/>
      <c r="O308" s="1606"/>
      <c r="P308" s="1606"/>
      <c r="Q308" s="1606"/>
      <c r="R308" s="1606"/>
      <c r="S308" s="1606"/>
      <c r="T308" s="1606"/>
      <c r="U308" s="307"/>
      <c r="V308" s="307"/>
      <c r="W308" s="307"/>
      <c r="X308" s="307"/>
      <c r="Y308" s="307"/>
    </row>
    <row r="309" spans="2:25" collapsed="1" x14ac:dyDescent="0.2">
      <c r="C309" s="517"/>
      <c r="U309" s="308"/>
      <c r="V309" s="308"/>
      <c r="W309" s="308"/>
      <c r="X309" s="308"/>
      <c r="Y309" s="308"/>
    </row>
    <row r="310" spans="2:25" s="1590" customFormat="1" ht="23.85" customHeight="1" thickBot="1" x14ac:dyDescent="0.25">
      <c r="B310" s="1592" t="s">
        <v>976</v>
      </c>
      <c r="C310" s="1592"/>
      <c r="D310" s="1593">
        <f>$D$11</f>
        <v>2019</v>
      </c>
      <c r="E310" s="1593">
        <f>D310+1</f>
        <v>2020</v>
      </c>
      <c r="F310" s="1594">
        <f>+E310+1</f>
        <v>2021</v>
      </c>
      <c r="G310" s="1594">
        <f>+F310+1</f>
        <v>2022</v>
      </c>
      <c r="H310" s="1594">
        <f>+G310+1</f>
        <v>2023</v>
      </c>
      <c r="I310" s="1594">
        <f>+H310+1</f>
        <v>2024</v>
      </c>
      <c r="J310" s="1594">
        <f>J190</f>
        <v>0</v>
      </c>
      <c r="K310" s="1594">
        <f t="shared" ref="K310:T310" si="91">+J310+1</f>
        <v>1</v>
      </c>
      <c r="L310" s="1594">
        <f t="shared" si="91"/>
        <v>2</v>
      </c>
      <c r="M310" s="1594">
        <f t="shared" si="91"/>
        <v>3</v>
      </c>
      <c r="N310" s="1594">
        <f t="shared" si="91"/>
        <v>4</v>
      </c>
      <c r="O310" s="1594">
        <f t="shared" si="91"/>
        <v>5</v>
      </c>
      <c r="P310" s="1594">
        <f t="shared" si="91"/>
        <v>6</v>
      </c>
      <c r="Q310" s="1594">
        <f t="shared" si="91"/>
        <v>7</v>
      </c>
      <c r="R310" s="1594">
        <f t="shared" si="91"/>
        <v>8</v>
      </c>
      <c r="S310" s="1594">
        <f t="shared" si="91"/>
        <v>9</v>
      </c>
      <c r="T310" s="1594">
        <f t="shared" si="91"/>
        <v>10</v>
      </c>
      <c r="U310" s="1609"/>
      <c r="V310" s="1609"/>
      <c r="W310" s="1609"/>
      <c r="X310" s="1609"/>
      <c r="Y310" s="1609"/>
    </row>
    <row r="311" spans="2:25" ht="71.25" hidden="1" customHeight="1" outlineLevel="1" x14ac:dyDescent="0.2">
      <c r="B311" s="889" t="s">
        <v>1179</v>
      </c>
      <c r="U311" s="308"/>
      <c r="V311" s="308"/>
      <c r="W311" s="308"/>
      <c r="X311" s="308"/>
      <c r="Y311" s="308"/>
    </row>
    <row r="312" spans="2:25" hidden="1" outlineLevel="1" x14ac:dyDescent="0.2">
      <c r="B312" s="512"/>
      <c r="C312" s="512"/>
      <c r="D312" s="797"/>
      <c r="E312" s="797"/>
      <c r="F312" s="797"/>
      <c r="G312" s="797"/>
      <c r="H312" s="797"/>
      <c r="I312" s="797"/>
      <c r="J312" s="1039">
        <f>IFERROR(J314/J313,0)</f>
        <v>0</v>
      </c>
      <c r="K312" s="1039">
        <f>K314/K313</f>
        <v>0.2</v>
      </c>
      <c r="L312" s="1039">
        <f>L314/L313</f>
        <v>0.2</v>
      </c>
      <c r="M312" s="1039">
        <f>M314/M313</f>
        <v>0.2</v>
      </c>
      <c r="N312" s="797"/>
      <c r="O312" s="797"/>
      <c r="P312" s="797"/>
      <c r="Q312" s="797"/>
      <c r="R312" s="797"/>
      <c r="S312" s="797"/>
      <c r="T312" s="797"/>
      <c r="U312" s="308"/>
      <c r="V312" s="308"/>
      <c r="W312" s="308"/>
      <c r="X312" s="308"/>
      <c r="Y312" s="308"/>
    </row>
    <row r="313" spans="2:25" hidden="1" outlineLevel="1" x14ac:dyDescent="0.2">
      <c r="B313" s="487" t="s">
        <v>443</v>
      </c>
      <c r="C313" s="1665">
        <v>1</v>
      </c>
      <c r="D313" s="506"/>
      <c r="E313" s="506"/>
      <c r="F313" s="506"/>
      <c r="G313" s="506"/>
      <c r="H313" s="506"/>
      <c r="I313" s="506"/>
      <c r="J313" s="514"/>
      <c r="K313" s="506">
        <f>ROUND(K70*$C$313,0)</f>
        <v>9876</v>
      </c>
      <c r="L313" s="506">
        <f>ROUND(L70*$C$313,0)</f>
        <v>9876</v>
      </c>
      <c r="M313" s="506">
        <f>ROUND(M70*$C$313,0)</f>
        <v>9876</v>
      </c>
      <c r="N313" s="506">
        <f>ROUND(N70*$C$313,0)</f>
        <v>9876</v>
      </c>
      <c r="O313" s="506">
        <f>ROUND(O70*$C$313,0)</f>
        <v>9876</v>
      </c>
      <c r="P313" s="506"/>
      <c r="Q313" s="506"/>
      <c r="R313" s="506"/>
      <c r="S313" s="506"/>
      <c r="T313" s="506"/>
      <c r="U313" s="308"/>
      <c r="V313" s="308"/>
      <c r="W313" s="308"/>
      <c r="X313" s="308"/>
      <c r="Y313" s="308"/>
    </row>
    <row r="314" spans="2:25" hidden="1" outlineLevel="1" x14ac:dyDescent="0.2">
      <c r="B314" s="1113" t="s">
        <v>973</v>
      </c>
      <c r="C314" s="1664">
        <v>0.2</v>
      </c>
      <c r="D314" s="1038"/>
      <c r="E314" s="1038"/>
      <c r="F314" s="1038"/>
      <c r="G314" s="1038"/>
      <c r="H314" s="1038"/>
      <c r="I314" s="1038"/>
      <c r="J314" s="1038"/>
      <c r="K314" s="1038">
        <f>K313*$C$314</f>
        <v>1975.2</v>
      </c>
      <c r="L314" s="1038">
        <f>L313*$C$314</f>
        <v>1975.2</v>
      </c>
      <c r="M314" s="1038">
        <f>M313*$C$314</f>
        <v>1975.2</v>
      </c>
      <c r="N314" s="1038">
        <f>N313*$C$314</f>
        <v>1975.2</v>
      </c>
      <c r="O314" s="1038">
        <f>O313*$C$314</f>
        <v>1975.2</v>
      </c>
      <c r="P314" s="1038"/>
      <c r="Q314" s="1038"/>
      <c r="R314" s="1038"/>
      <c r="S314" s="1038"/>
      <c r="T314" s="1038"/>
      <c r="U314" s="308"/>
      <c r="V314" s="308"/>
      <c r="W314" s="308"/>
      <c r="X314" s="308"/>
      <c r="Y314" s="308"/>
    </row>
    <row r="315" spans="2:25" hidden="1" outlineLevel="1" x14ac:dyDescent="0.2">
      <c r="B315" s="487" t="s">
        <v>974</v>
      </c>
      <c r="C315" s="1664">
        <v>0.08</v>
      </c>
      <c r="D315" s="513"/>
      <c r="E315" s="513"/>
      <c r="F315" s="513"/>
      <c r="G315" s="513"/>
      <c r="H315" s="526"/>
      <c r="I315" s="526"/>
      <c r="J315" s="526"/>
      <c r="K315" s="526">
        <f>K314*$C$315</f>
        <v>158.01600000000002</v>
      </c>
      <c r="L315" s="526">
        <f>L314*$C$315</f>
        <v>158.01600000000002</v>
      </c>
      <c r="M315" s="526">
        <f>M314*$C$315</f>
        <v>158.01600000000002</v>
      </c>
      <c r="N315" s="526">
        <f>N314*$C$315</f>
        <v>158.01600000000002</v>
      </c>
      <c r="O315" s="526">
        <f>O314*$C$315</f>
        <v>158.01600000000002</v>
      </c>
      <c r="P315" s="526"/>
      <c r="Q315" s="526"/>
      <c r="R315" s="526"/>
      <c r="S315" s="526"/>
      <c r="T315" s="526"/>
      <c r="U315" s="308"/>
      <c r="V315" s="308"/>
      <c r="W315" s="308"/>
      <c r="X315" s="308"/>
      <c r="Y315" s="308"/>
    </row>
    <row r="316" spans="2:25" hidden="1" outlineLevel="1" x14ac:dyDescent="0.2">
      <c r="C316" s="511"/>
      <c r="D316" s="513"/>
      <c r="E316" s="513"/>
      <c r="F316" s="513"/>
      <c r="G316" s="515"/>
      <c r="H316" s="526"/>
      <c r="I316" s="526"/>
      <c r="J316" s="526"/>
      <c r="K316" s="526"/>
      <c r="L316" s="526"/>
      <c r="M316" s="526"/>
      <c r="N316" s="526"/>
      <c r="O316" s="526"/>
      <c r="P316" s="526"/>
      <c r="Q316" s="526"/>
      <c r="R316" s="526"/>
      <c r="S316" s="526"/>
      <c r="T316" s="526"/>
      <c r="U316" s="308"/>
      <c r="V316" s="308"/>
      <c r="W316" s="308"/>
      <c r="X316" s="308"/>
      <c r="Y316" s="308"/>
    </row>
    <row r="317" spans="2:25" s="500" customFormat="1" ht="13.5" hidden="1" outlineLevel="1" x14ac:dyDescent="0.2">
      <c r="B317" s="487" t="s">
        <v>1233</v>
      </c>
      <c r="D317" s="881"/>
      <c r="E317" s="516"/>
      <c r="F317" s="516"/>
      <c r="G317" s="516"/>
      <c r="H317" s="526"/>
      <c r="I317" s="526"/>
      <c r="J317" s="526"/>
      <c r="K317" s="526">
        <f>K161*K315*12</f>
        <v>22189.508158946323</v>
      </c>
      <c r="L317" s="526">
        <f>L161*L315*12</f>
        <v>21945.423569197908</v>
      </c>
      <c r="M317" s="526">
        <f>M161*M315*12</f>
        <v>21704.023909936728</v>
      </c>
      <c r="N317" s="526">
        <f>N161*N315*12</f>
        <v>21465.279646927425</v>
      </c>
      <c r="O317" s="526">
        <f>O161*O315*12</f>
        <v>21229.161570811226</v>
      </c>
      <c r="P317" s="526"/>
      <c r="Q317" s="526"/>
      <c r="R317" s="526"/>
      <c r="S317" s="526"/>
      <c r="T317" s="526"/>
      <c r="U317" s="308"/>
      <c r="V317" s="308"/>
      <c r="W317" s="308"/>
      <c r="X317" s="308"/>
      <c r="Y317" s="308"/>
    </row>
    <row r="318" spans="2:25" ht="13.5" hidden="1" outlineLevel="1" x14ac:dyDescent="0.2">
      <c r="B318" s="487" t="s">
        <v>1234</v>
      </c>
      <c r="D318" s="506"/>
      <c r="E318" s="506"/>
      <c r="F318" s="506"/>
      <c r="G318" s="506"/>
      <c r="H318" s="526"/>
      <c r="I318" s="526"/>
      <c r="J318" s="526"/>
      <c r="K318" s="526">
        <f>K317</f>
        <v>22189.508158946323</v>
      </c>
      <c r="L318" s="528">
        <f>L317+(K318*(1+L38))</f>
        <v>43890.847138395824</v>
      </c>
      <c r="M318" s="528">
        <f>M317+(L318*(1+M38))</f>
        <v>65112.071729810195</v>
      </c>
      <c r="N318" s="528">
        <f>N317+(M318*(1+N38))</f>
        <v>85861.118587709701</v>
      </c>
      <c r="O318" s="528">
        <f>O317+(N318*(1+O38))</f>
        <v>106145.80785405611</v>
      </c>
      <c r="P318" s="528"/>
      <c r="Q318" s="528"/>
      <c r="R318" s="528"/>
      <c r="S318" s="528"/>
      <c r="T318" s="528"/>
      <c r="U318" s="308"/>
      <c r="V318" s="308"/>
      <c r="W318" s="308"/>
      <c r="X318" s="308"/>
      <c r="Y318" s="308"/>
    </row>
    <row r="319" spans="2:25" hidden="1" outlineLevel="1" x14ac:dyDescent="0.2">
      <c r="D319" s="508"/>
      <c r="E319" s="508"/>
      <c r="F319" s="508"/>
      <c r="G319" s="508"/>
      <c r="H319" s="508"/>
      <c r="I319" s="508"/>
      <c r="J319" s="495"/>
      <c r="K319" s="497"/>
      <c r="L319" s="497"/>
      <c r="M319" s="497"/>
      <c r="N319" s="497"/>
      <c r="O319" s="497"/>
      <c r="P319" s="497"/>
      <c r="Q319" s="497"/>
      <c r="R319" s="497"/>
      <c r="S319" s="497"/>
      <c r="T319" s="497"/>
      <c r="U319" s="308"/>
      <c r="V319" s="308"/>
      <c r="W319" s="308"/>
      <c r="X319" s="308"/>
      <c r="Y319" s="308"/>
    </row>
    <row r="320" spans="2:25" hidden="1" outlineLevel="1" x14ac:dyDescent="0.2">
      <c r="U320" s="308"/>
      <c r="V320" s="308"/>
      <c r="W320" s="308"/>
      <c r="X320" s="308"/>
      <c r="Y320" s="308"/>
    </row>
    <row r="321" spans="1:25" s="1611" customFormat="1" ht="32.25" hidden="1" customHeight="1" outlineLevel="1" x14ac:dyDescent="0.25">
      <c r="B321" s="829" t="s">
        <v>1258</v>
      </c>
      <c r="D321" s="1484"/>
      <c r="E321" s="1484"/>
      <c r="F321" s="1484"/>
      <c r="G321" s="1484"/>
      <c r="H321" s="1484"/>
      <c r="I321" s="1484"/>
      <c r="J321" s="1662">
        <f>+'C UNIT PROG CCIALES'!E5</f>
        <v>87131.762499999997</v>
      </c>
      <c r="K321" s="1625">
        <f>+J321*(1+J$14)</f>
        <v>95409.279937499989</v>
      </c>
      <c r="L321" s="1625">
        <f>+K321*(1+K$14)</f>
        <v>100828.50795609401</v>
      </c>
      <c r="M321" s="1625">
        <f>+L321*(1+L$14)</f>
        <v>106555.54704229857</v>
      </c>
      <c r="N321" s="1625">
        <f>+M321*(1+M$14)</f>
        <v>112607.88080319173</v>
      </c>
      <c r="O321" s="1625">
        <f>+N321*(1+N$14)</f>
        <v>119003.98591123687</v>
      </c>
      <c r="P321" s="1625"/>
      <c r="Q321" s="1625"/>
      <c r="R321" s="1625"/>
      <c r="S321" s="1625"/>
      <c r="T321" s="1625"/>
      <c r="U321" s="307"/>
      <c r="V321" s="307"/>
      <c r="W321" s="307"/>
      <c r="X321" s="307"/>
      <c r="Y321" s="307"/>
    </row>
    <row r="322" spans="1:25" s="1611" customFormat="1" ht="32.25" hidden="1" customHeight="1" outlineLevel="1" x14ac:dyDescent="0.25">
      <c r="B322" s="1626" t="s">
        <v>841</v>
      </c>
      <c r="D322" s="1484"/>
      <c r="E322" s="1484"/>
      <c r="F322" s="1484"/>
      <c r="G322" s="1484"/>
      <c r="H322" s="1484"/>
      <c r="I322" s="1484"/>
      <c r="K322" s="1627">
        <f>K321*K314</f>
        <v>188452409.73255</v>
      </c>
      <c r="L322" s="1627">
        <f>L321*L314</f>
        <v>199156468.91487688</v>
      </c>
      <c r="M322" s="1627">
        <f>M321*M314</f>
        <v>210468516.51794812</v>
      </c>
      <c r="N322" s="1627">
        <f>N321*N314</f>
        <v>222423086.16246432</v>
      </c>
      <c r="O322" s="1627">
        <f>O321*O314</f>
        <v>235056672.97187507</v>
      </c>
      <c r="P322" s="1627"/>
      <c r="Q322" s="1627"/>
      <c r="R322" s="1627"/>
      <c r="S322" s="1627"/>
      <c r="T322" s="1627"/>
      <c r="U322" s="307"/>
      <c r="V322" s="307"/>
      <c r="W322" s="307"/>
      <c r="X322" s="307"/>
      <c r="Y322" s="307"/>
    </row>
    <row r="323" spans="1:25" s="1611" customFormat="1" ht="32.25" hidden="1" customHeight="1" outlineLevel="1" x14ac:dyDescent="0.25">
      <c r="B323" s="1628" t="s">
        <v>842</v>
      </c>
      <c r="C323" s="1629">
        <f>NPV($C$19,K322:T322)+J322</f>
        <v>675517840.109828</v>
      </c>
      <c r="D323" s="1484"/>
      <c r="E323" s="1484"/>
      <c r="F323" s="1484"/>
      <c r="G323" s="1484"/>
      <c r="H323" s="1484"/>
      <c r="I323" s="1484"/>
      <c r="K323" s="1630"/>
      <c r="L323" s="1630"/>
      <c r="M323" s="1630"/>
      <c r="N323" s="1630"/>
      <c r="O323" s="1630"/>
      <c r="P323" s="1630"/>
      <c r="Q323" s="1630"/>
      <c r="R323" s="1630"/>
      <c r="S323" s="1630"/>
      <c r="T323" s="1630"/>
      <c r="U323" s="307"/>
      <c r="V323" s="307"/>
      <c r="W323" s="307"/>
      <c r="X323" s="307"/>
      <c r="Y323" s="307"/>
    </row>
    <row r="324" spans="1:25" s="1611" customFormat="1" ht="32.25" hidden="1" customHeight="1" outlineLevel="1" x14ac:dyDescent="0.25">
      <c r="B324" s="1626" t="s">
        <v>843</v>
      </c>
      <c r="C324" s="1631"/>
      <c r="D324" s="1484"/>
      <c r="E324" s="1484"/>
      <c r="F324" s="1484"/>
      <c r="G324" s="1484"/>
      <c r="H324" s="1484"/>
      <c r="I324" s="1484"/>
      <c r="K324" s="1625">
        <f>K318*(K$138)</f>
        <v>82091705.406193942</v>
      </c>
      <c r="L324" s="1625">
        <f>L318*(L$138)</f>
        <v>168157356.25229025</v>
      </c>
      <c r="M324" s="1625">
        <f>M318*(M$138)</f>
        <v>258341232.4227289</v>
      </c>
      <c r="N324" s="1625">
        <f>N318*(N$138)</f>
        <v>352792270.0611583</v>
      </c>
      <c r="O324" s="1625">
        <f>O318*(O$138)</f>
        <v>451664202.4473359</v>
      </c>
      <c r="P324" s="1625"/>
      <c r="Q324" s="1625"/>
      <c r="R324" s="1625"/>
      <c r="S324" s="1625"/>
      <c r="T324" s="1625"/>
      <c r="U324" s="307"/>
      <c r="V324" s="307"/>
      <c r="W324" s="307"/>
      <c r="X324" s="307"/>
      <c r="Y324" s="307"/>
    </row>
    <row r="325" spans="1:25" s="1611" customFormat="1" ht="24.95" hidden="1" customHeight="1" outlineLevel="1" x14ac:dyDescent="0.25">
      <c r="B325" s="1599" t="s">
        <v>828</v>
      </c>
      <c r="C325" s="1629">
        <f>NPV($C$19,K324:T324)+J324</f>
        <v>764796700.79905891</v>
      </c>
      <c r="D325" s="1484"/>
      <c r="E325" s="1484"/>
      <c r="F325" s="1484"/>
      <c r="G325" s="1484"/>
      <c r="H325" s="1484"/>
      <c r="I325" s="1484"/>
      <c r="J325" s="1484"/>
      <c r="K325" s="1630"/>
      <c r="L325" s="1630"/>
      <c r="M325" s="1630"/>
      <c r="N325" s="1630"/>
      <c r="O325" s="1630"/>
      <c r="P325" s="1630"/>
      <c r="Q325" s="1630"/>
      <c r="R325" s="1630"/>
      <c r="S325" s="1630"/>
      <c r="T325" s="1630"/>
      <c r="U325" s="307"/>
      <c r="V325" s="307"/>
      <c r="W325" s="307"/>
      <c r="X325" s="307"/>
      <c r="Y325" s="307"/>
    </row>
    <row r="326" spans="1:25" s="1611" customFormat="1" ht="24.95" hidden="1" customHeight="1" outlineLevel="1" x14ac:dyDescent="0.25">
      <c r="B326" s="1599" t="s">
        <v>829</v>
      </c>
      <c r="C326" s="1632">
        <f>C325/C323</f>
        <v>1.1321635867895297</v>
      </c>
      <c r="D326" s="1484"/>
      <c r="E326" s="1484"/>
      <c r="F326" s="1484"/>
      <c r="G326" s="1484"/>
      <c r="H326" s="1484"/>
      <c r="I326" s="1484"/>
      <c r="J326" s="1484"/>
      <c r="K326" s="1484"/>
      <c r="L326" s="1484"/>
      <c r="M326" s="1484"/>
      <c r="N326" s="1484"/>
      <c r="O326" s="1484"/>
      <c r="P326" s="1484"/>
      <c r="Q326" s="1484"/>
      <c r="R326" s="1484"/>
      <c r="S326" s="1484"/>
      <c r="T326" s="1484"/>
      <c r="U326" s="307"/>
      <c r="V326" s="307"/>
      <c r="W326" s="307"/>
      <c r="X326" s="307"/>
      <c r="Y326" s="307"/>
    </row>
    <row r="327" spans="1:25" collapsed="1" x14ac:dyDescent="0.2">
      <c r="C327" s="1631"/>
      <c r="U327" s="308"/>
      <c r="V327" s="308"/>
      <c r="W327" s="308"/>
      <c r="X327" s="308"/>
      <c r="Y327" s="308"/>
    </row>
    <row r="328" spans="1:25" s="1595" customFormat="1" ht="23.85" customHeight="1" thickBot="1" x14ac:dyDescent="0.25">
      <c r="A328" s="1590"/>
      <c r="B328" s="1592" t="s">
        <v>994</v>
      </c>
      <c r="C328" s="1592"/>
      <c r="D328" s="1593">
        <f>$D$11</f>
        <v>2019</v>
      </c>
      <c r="E328" s="1593">
        <f>D328+1</f>
        <v>2020</v>
      </c>
      <c r="F328" s="1594">
        <f>+E328+1</f>
        <v>2021</v>
      </c>
      <c r="G328" s="1594">
        <f>+F328+1</f>
        <v>2022</v>
      </c>
      <c r="H328" s="1594">
        <f>+G328+1</f>
        <v>2023</v>
      </c>
      <c r="I328" s="1594">
        <f>+H328+1</f>
        <v>2024</v>
      </c>
      <c r="J328" s="1594">
        <f>J208</f>
        <v>0</v>
      </c>
      <c r="K328" s="1594">
        <f t="shared" ref="K328:T328" si="92">+J328+1</f>
        <v>1</v>
      </c>
      <c r="L328" s="1594">
        <f t="shared" si="92"/>
        <v>2</v>
      </c>
      <c r="M328" s="1594">
        <f t="shared" si="92"/>
        <v>3</v>
      </c>
      <c r="N328" s="1594">
        <f t="shared" si="92"/>
        <v>4</v>
      </c>
      <c r="O328" s="1594">
        <f t="shared" si="92"/>
        <v>5</v>
      </c>
      <c r="P328" s="1594">
        <f t="shared" si="92"/>
        <v>6</v>
      </c>
      <c r="Q328" s="1594">
        <f t="shared" si="92"/>
        <v>7</v>
      </c>
      <c r="R328" s="1594">
        <f t="shared" si="92"/>
        <v>8</v>
      </c>
      <c r="S328" s="1594">
        <f t="shared" si="92"/>
        <v>9</v>
      </c>
      <c r="T328" s="1594">
        <f t="shared" si="92"/>
        <v>10</v>
      </c>
      <c r="U328" s="308"/>
      <c r="V328" s="308"/>
      <c r="W328" s="308"/>
      <c r="X328" s="308"/>
      <c r="Y328" s="308"/>
    </row>
    <row r="329" spans="1:25" ht="42.75" customHeight="1" outlineLevel="1" x14ac:dyDescent="0.2">
      <c r="B329" s="889" t="s">
        <v>1180</v>
      </c>
      <c r="U329" s="308"/>
      <c r="V329" s="308"/>
      <c r="W329" s="308"/>
      <c r="X329" s="308"/>
      <c r="Y329" s="308"/>
    </row>
    <row r="330" spans="1:25" outlineLevel="1" x14ac:dyDescent="0.2">
      <c r="B330" s="512"/>
      <c r="C330" s="512"/>
      <c r="D330" s="797"/>
      <c r="E330" s="797"/>
      <c r="F330" s="797"/>
      <c r="G330" s="797"/>
      <c r="H330" s="797"/>
      <c r="I330" s="797"/>
      <c r="J330" s="797"/>
      <c r="K330" s="797"/>
      <c r="L330" s="797"/>
      <c r="M330" s="797"/>
      <c r="N330" s="797"/>
      <c r="O330" s="797"/>
      <c r="P330" s="797"/>
      <c r="Q330" s="797"/>
      <c r="R330" s="797"/>
      <c r="S330" s="797"/>
      <c r="T330" s="797"/>
      <c r="U330" s="308"/>
      <c r="V330" s="308"/>
      <c r="W330" s="308"/>
      <c r="X330" s="308"/>
      <c r="Y330" s="308"/>
    </row>
    <row r="331" spans="1:25" ht="13.5" outlineLevel="1" x14ac:dyDescent="0.2">
      <c r="B331" s="308" t="s">
        <v>1236</v>
      </c>
      <c r="C331" s="1704">
        <f>J331</f>
        <v>43185</v>
      </c>
      <c r="D331" s="530"/>
      <c r="E331" s="530"/>
      <c r="F331" s="530"/>
      <c r="G331" s="530"/>
      <c r="H331" s="530"/>
      <c r="I331" s="530"/>
      <c r="J331" s="514">
        <f>J72</f>
        <v>43185</v>
      </c>
      <c r="K331" s="514">
        <f>K72</f>
        <v>43185</v>
      </c>
      <c r="L331" s="514">
        <f>+K331-K332</f>
        <v>38867</v>
      </c>
      <c r="M331" s="514">
        <f t="shared" ref="M331:T331" si="93">+L331-L332</f>
        <v>34549</v>
      </c>
      <c r="N331" s="514">
        <f t="shared" si="93"/>
        <v>30231</v>
      </c>
      <c r="O331" s="514">
        <f t="shared" si="93"/>
        <v>25913</v>
      </c>
      <c r="P331" s="514">
        <f t="shared" si="93"/>
        <v>21595</v>
      </c>
      <c r="Q331" s="514">
        <f t="shared" si="93"/>
        <v>17277</v>
      </c>
      <c r="R331" s="514">
        <f t="shared" si="93"/>
        <v>12959</v>
      </c>
      <c r="S331" s="514">
        <f t="shared" si="93"/>
        <v>8641</v>
      </c>
      <c r="T331" s="514">
        <f t="shared" si="93"/>
        <v>4323</v>
      </c>
      <c r="U331" s="308"/>
      <c r="V331" s="308"/>
      <c r="W331" s="308"/>
      <c r="X331" s="308"/>
      <c r="Y331" s="308"/>
    </row>
    <row r="332" spans="1:25" outlineLevel="1" x14ac:dyDescent="0.2">
      <c r="B332" s="308" t="s">
        <v>1239</v>
      </c>
      <c r="C332" s="1669">
        <v>0.1</v>
      </c>
      <c r="D332" s="881" t="s">
        <v>844</v>
      </c>
      <c r="E332" s="513"/>
      <c r="F332" s="513"/>
      <c r="G332" s="513"/>
      <c r="H332" s="526"/>
      <c r="I332" s="526"/>
      <c r="J332" s="528">
        <f>INT(J331*$C332)</f>
        <v>4318</v>
      </c>
      <c r="K332" s="528">
        <f>INT(K331*$C332)</f>
        <v>4318</v>
      </c>
      <c r="L332" s="528">
        <f>K332</f>
        <v>4318</v>
      </c>
      <c r="M332" s="528">
        <f t="shared" ref="M332:T332" si="94">L332</f>
        <v>4318</v>
      </c>
      <c r="N332" s="528">
        <f t="shared" si="94"/>
        <v>4318</v>
      </c>
      <c r="O332" s="528">
        <f t="shared" si="94"/>
        <v>4318</v>
      </c>
      <c r="P332" s="528">
        <f t="shared" si="94"/>
        <v>4318</v>
      </c>
      <c r="Q332" s="528">
        <f t="shared" si="94"/>
        <v>4318</v>
      </c>
      <c r="R332" s="528">
        <f t="shared" si="94"/>
        <v>4318</v>
      </c>
      <c r="S332" s="528">
        <f t="shared" si="94"/>
        <v>4318</v>
      </c>
      <c r="T332" s="528">
        <f t="shared" si="94"/>
        <v>4318</v>
      </c>
      <c r="U332" s="308"/>
      <c r="V332" s="308"/>
      <c r="W332" s="308"/>
      <c r="X332" s="308"/>
      <c r="Y332" s="308"/>
    </row>
    <row r="333" spans="1:25" outlineLevel="1" x14ac:dyDescent="0.2">
      <c r="B333" s="308" t="s">
        <v>1243</v>
      </c>
      <c r="C333" s="1664">
        <v>0.2</v>
      </c>
      <c r="D333" s="881" t="s">
        <v>1244</v>
      </c>
      <c r="E333" s="513"/>
      <c r="F333" s="513"/>
      <c r="G333" s="513"/>
      <c r="H333" s="526"/>
      <c r="I333" s="526"/>
      <c r="J333" s="526">
        <f t="shared" ref="J333:T333" si="95">J332*$C$333</f>
        <v>863.6</v>
      </c>
      <c r="K333" s="526">
        <f t="shared" si="95"/>
        <v>863.6</v>
      </c>
      <c r="L333" s="526">
        <f t="shared" si="95"/>
        <v>863.6</v>
      </c>
      <c r="M333" s="526">
        <f t="shared" si="95"/>
        <v>863.6</v>
      </c>
      <c r="N333" s="526">
        <f t="shared" si="95"/>
        <v>863.6</v>
      </c>
      <c r="O333" s="526">
        <f t="shared" si="95"/>
        <v>863.6</v>
      </c>
      <c r="P333" s="526">
        <f t="shared" si="95"/>
        <v>863.6</v>
      </c>
      <c r="Q333" s="526">
        <f t="shared" si="95"/>
        <v>863.6</v>
      </c>
      <c r="R333" s="526">
        <f t="shared" si="95"/>
        <v>863.6</v>
      </c>
      <c r="S333" s="526">
        <f t="shared" si="95"/>
        <v>863.6</v>
      </c>
      <c r="T333" s="526">
        <f t="shared" si="95"/>
        <v>863.6</v>
      </c>
      <c r="U333" s="308"/>
      <c r="V333" s="308"/>
      <c r="W333" s="308"/>
      <c r="X333" s="308"/>
      <c r="Y333" s="308"/>
    </row>
    <row r="334" spans="1:25" ht="13.5" outlineLevel="1" x14ac:dyDescent="0.2">
      <c r="B334" s="308" t="s">
        <v>1237</v>
      </c>
      <c r="C334" s="1667">
        <v>4</v>
      </c>
      <c r="D334" s="1668"/>
      <c r="E334" s="513"/>
      <c r="F334" s="513"/>
      <c r="G334" s="513"/>
      <c r="H334" s="526"/>
      <c r="I334" s="526"/>
      <c r="J334" s="526"/>
      <c r="K334" s="526"/>
      <c r="L334" s="526"/>
      <c r="M334" s="526"/>
      <c r="N334" s="526"/>
      <c r="O334" s="526"/>
      <c r="P334" s="526"/>
      <c r="Q334" s="526"/>
      <c r="R334" s="526"/>
      <c r="S334" s="526"/>
      <c r="T334" s="526"/>
      <c r="U334" s="308"/>
      <c r="V334" s="308"/>
      <c r="W334" s="308"/>
      <c r="X334" s="308"/>
      <c r="Y334" s="308"/>
    </row>
    <row r="335" spans="1:25" ht="13.5" outlineLevel="1" x14ac:dyDescent="0.2">
      <c r="B335" s="308" t="s">
        <v>1240</v>
      </c>
      <c r="D335" s="881"/>
      <c r="E335" s="513"/>
      <c r="F335" s="513"/>
      <c r="G335" s="515"/>
      <c r="H335" s="526"/>
      <c r="I335" s="526"/>
      <c r="J335" s="526"/>
      <c r="K335" s="526">
        <f>K333*$C$334*12</f>
        <v>41452.800000000003</v>
      </c>
      <c r="L335" s="526">
        <f t="shared" ref="L335:T335" si="96">L333*$C$334*12</f>
        <v>41452.800000000003</v>
      </c>
      <c r="M335" s="526">
        <f t="shared" si="96"/>
        <v>41452.800000000003</v>
      </c>
      <c r="N335" s="526">
        <f t="shared" si="96"/>
        <v>41452.800000000003</v>
      </c>
      <c r="O335" s="526">
        <f t="shared" si="96"/>
        <v>41452.800000000003</v>
      </c>
      <c r="P335" s="526">
        <f t="shared" si="96"/>
        <v>41452.800000000003</v>
      </c>
      <c r="Q335" s="526">
        <f t="shared" si="96"/>
        <v>41452.800000000003</v>
      </c>
      <c r="R335" s="526">
        <f t="shared" si="96"/>
        <v>41452.800000000003</v>
      </c>
      <c r="S335" s="526">
        <f t="shared" si="96"/>
        <v>41452.800000000003</v>
      </c>
      <c r="T335" s="526">
        <f t="shared" si="96"/>
        <v>41452.800000000003</v>
      </c>
      <c r="U335" s="308"/>
      <c r="V335" s="308"/>
      <c r="W335" s="308"/>
      <c r="X335" s="308"/>
      <c r="Y335" s="308"/>
    </row>
    <row r="336" spans="1:25" ht="13.5" outlineLevel="1" x14ac:dyDescent="0.2">
      <c r="B336" s="308" t="s">
        <v>1238</v>
      </c>
      <c r="D336" s="506"/>
      <c r="E336" s="506"/>
      <c r="F336" s="506"/>
      <c r="G336" s="506"/>
      <c r="H336" s="526"/>
      <c r="I336" s="526"/>
      <c r="J336" s="529"/>
      <c r="K336" s="1670">
        <f>+K335/K333</f>
        <v>48</v>
      </c>
      <c r="L336" s="1670">
        <f t="shared" ref="L336:T336" si="97">+L335/L333</f>
        <v>48</v>
      </c>
      <c r="M336" s="1670">
        <f t="shared" si="97"/>
        <v>48</v>
      </c>
      <c r="N336" s="1670">
        <f t="shared" si="97"/>
        <v>48</v>
      </c>
      <c r="O336" s="1670">
        <f t="shared" si="97"/>
        <v>48</v>
      </c>
      <c r="P336" s="1670">
        <f t="shared" si="97"/>
        <v>48</v>
      </c>
      <c r="Q336" s="1670">
        <f t="shared" si="97"/>
        <v>48</v>
      </c>
      <c r="R336" s="1670">
        <f t="shared" si="97"/>
        <v>48</v>
      </c>
      <c r="S336" s="1670">
        <f t="shared" si="97"/>
        <v>48</v>
      </c>
      <c r="T336" s="1670">
        <f t="shared" si="97"/>
        <v>48</v>
      </c>
      <c r="U336" s="308"/>
      <c r="V336" s="308"/>
      <c r="W336" s="308"/>
      <c r="X336" s="308"/>
      <c r="Y336" s="308"/>
    </row>
    <row r="337" spans="1:25" ht="13.5" outlineLevel="1" x14ac:dyDescent="0.2">
      <c r="B337" s="308" t="s">
        <v>1241</v>
      </c>
      <c r="D337" s="508"/>
      <c r="E337" s="508"/>
      <c r="F337" s="508"/>
      <c r="G337" s="508"/>
      <c r="H337" s="798"/>
      <c r="I337" s="798"/>
      <c r="J337" s="497"/>
      <c r="K337" s="528">
        <f>K335</f>
        <v>41452.800000000003</v>
      </c>
      <c r="L337" s="528">
        <f>(K337*(1+L38))+L335</f>
        <v>82449.619200000016</v>
      </c>
      <c r="M337" s="528">
        <f>(L337*(1+M38))+M335</f>
        <v>122995.47338880002</v>
      </c>
      <c r="N337" s="528">
        <f t="shared" ref="N337:T337" si="98">(M337*(1+N38))+N335</f>
        <v>163095.32318152321</v>
      </c>
      <c r="O337" s="528">
        <f t="shared" si="98"/>
        <v>202754.07462652645</v>
      </c>
      <c r="P337" s="528">
        <f t="shared" si="98"/>
        <v>241976.57980563468</v>
      </c>
      <c r="Q337" s="528">
        <f t="shared" si="98"/>
        <v>280767.63742777269</v>
      </c>
      <c r="R337" s="528">
        <f t="shared" si="98"/>
        <v>319131.99341606715</v>
      </c>
      <c r="S337" s="528">
        <f t="shared" si="98"/>
        <v>357074.34148849041</v>
      </c>
      <c r="T337" s="528">
        <f t="shared" si="98"/>
        <v>394599.32373211702</v>
      </c>
      <c r="U337" s="308"/>
      <c r="V337" s="308"/>
      <c r="W337" s="308"/>
      <c r="X337" s="308"/>
      <c r="Y337" s="308"/>
    </row>
    <row r="338" spans="1:25" outlineLevel="1" x14ac:dyDescent="0.2">
      <c r="H338" s="509"/>
      <c r="I338" s="509"/>
      <c r="J338" s="509"/>
      <c r="U338" s="308"/>
      <c r="V338" s="308"/>
      <c r="W338" s="308"/>
      <c r="X338" s="308"/>
      <c r="Y338" s="308"/>
    </row>
    <row r="339" spans="1:25" s="1599" customFormat="1" ht="24.95" customHeight="1" outlineLevel="1" x14ac:dyDescent="0.25">
      <c r="B339" s="1599" t="s">
        <v>1242</v>
      </c>
      <c r="D339" s="1600"/>
      <c r="E339" s="1600"/>
      <c r="F339" s="1600"/>
      <c r="G339" s="1600"/>
      <c r="H339" s="1600"/>
      <c r="I339" s="1600"/>
      <c r="J339" s="1662">
        <f>+'C UNIT PROG CCIALES'!E5</f>
        <v>87131.762499999997</v>
      </c>
      <c r="K339" s="1603">
        <f>+J339*(1+J$14)</f>
        <v>95409.279937499989</v>
      </c>
      <c r="L339" s="1603">
        <f>+K339*(1+K$14)</f>
        <v>100828.50795609401</v>
      </c>
      <c r="M339" s="1603">
        <f>+L339*(1+L$14)</f>
        <v>106555.54704229857</v>
      </c>
      <c r="N339" s="1603">
        <f>+M339*(1+M$14)</f>
        <v>112607.88080319173</v>
      </c>
      <c r="O339" s="1603">
        <f t="shared" ref="O339:T339" si="99">+N339*(1+N$14)</f>
        <v>119003.98591123687</v>
      </c>
      <c r="P339" s="1603">
        <f t="shared" si="99"/>
        <v>125763.38851019795</v>
      </c>
      <c r="Q339" s="1603">
        <f t="shared" si="99"/>
        <v>132906.7238248995</v>
      </c>
      <c r="R339" s="1603">
        <f t="shared" si="99"/>
        <v>140455.79915680902</v>
      </c>
      <c r="S339" s="1603">
        <f t="shared" si="99"/>
        <v>148433.66045775596</v>
      </c>
      <c r="T339" s="1603">
        <f t="shared" si="99"/>
        <v>156864.66268502441</v>
      </c>
      <c r="U339" s="307"/>
      <c r="V339" s="307"/>
      <c r="W339" s="307"/>
      <c r="X339" s="307"/>
      <c r="Y339" s="307"/>
    </row>
    <row r="340" spans="1:25" s="1599" customFormat="1" ht="24.95" customHeight="1" outlineLevel="1" x14ac:dyDescent="0.25">
      <c r="B340" s="1599" t="s">
        <v>845</v>
      </c>
      <c r="D340" s="1600"/>
      <c r="E340" s="1600"/>
      <c r="F340" s="1600"/>
      <c r="G340" s="1600"/>
      <c r="H340" s="1600"/>
      <c r="I340" s="1600"/>
      <c r="K340" s="1620">
        <f>K339*K332</f>
        <v>411977270.77012497</v>
      </c>
      <c r="L340" s="1620">
        <f>L339*L332</f>
        <v>435377497.35441393</v>
      </c>
      <c r="M340" s="1620">
        <f>M339*M332</f>
        <v>460106852.12864524</v>
      </c>
      <c r="N340" s="1620">
        <f>N339*N332</f>
        <v>486240829.30818188</v>
      </c>
      <c r="O340" s="1620">
        <f t="shared" ref="O340:T340" si="100">O339*O332</f>
        <v>513859211.16472083</v>
      </c>
      <c r="P340" s="1620">
        <f t="shared" si="100"/>
        <v>543046311.58703482</v>
      </c>
      <c r="Q340" s="1620">
        <f t="shared" si="100"/>
        <v>573891233.47591603</v>
      </c>
      <c r="R340" s="1620">
        <f t="shared" si="100"/>
        <v>606488140.75910139</v>
      </c>
      <c r="S340" s="1620">
        <f t="shared" si="100"/>
        <v>640936545.85659027</v>
      </c>
      <c r="T340" s="1620">
        <f t="shared" si="100"/>
        <v>677341613.47393537</v>
      </c>
      <c r="U340" s="307"/>
      <c r="V340" s="307"/>
      <c r="W340" s="307"/>
      <c r="X340" s="307"/>
      <c r="Y340" s="307"/>
    </row>
    <row r="341" spans="1:25" s="1599" customFormat="1" ht="24.95" customHeight="1" outlineLevel="1" x14ac:dyDescent="0.25">
      <c r="B341" s="1599" t="s">
        <v>846</v>
      </c>
      <c r="C341" s="1605">
        <f>NPV($C$19,K340:T340)+J340</f>
        <v>2392571243.5584412</v>
      </c>
      <c r="D341" s="1600"/>
      <c r="E341" s="1600"/>
      <c r="F341" s="1600"/>
      <c r="G341" s="1600"/>
      <c r="H341" s="1600"/>
      <c r="I341" s="1600"/>
      <c r="K341" s="1612"/>
      <c r="L341" s="1612"/>
      <c r="M341" s="1612"/>
      <c r="N341" s="1612"/>
      <c r="O341" s="1612"/>
      <c r="P341" s="1612"/>
      <c r="Q341" s="1612"/>
      <c r="R341" s="1612"/>
      <c r="S341" s="1612"/>
      <c r="T341" s="1612"/>
      <c r="U341" s="307"/>
      <c r="V341" s="307"/>
      <c r="W341" s="307"/>
      <c r="X341" s="307"/>
      <c r="Y341" s="307"/>
    </row>
    <row r="342" spans="1:25" s="1599" customFormat="1" ht="24.95" customHeight="1" outlineLevel="1" x14ac:dyDescent="0.25">
      <c r="B342" s="1599" t="s">
        <v>847</v>
      </c>
      <c r="D342" s="1600"/>
      <c r="E342" s="1600"/>
      <c r="F342" s="1600"/>
      <c r="G342" s="1600"/>
      <c r="H342" s="1600"/>
      <c r="I342" s="1600"/>
      <c r="K342" s="1633">
        <f>K337*(K$138+K$140)</f>
        <v>153357659.91234419</v>
      </c>
      <c r="L342" s="1603">
        <f t="shared" ref="L342:T342" si="101">L337*(L$138+L$140)</f>
        <v>315886133.27427357</v>
      </c>
      <c r="M342" s="1603">
        <f t="shared" si="101"/>
        <v>488001707.41813648</v>
      </c>
      <c r="N342" s="1603">
        <f t="shared" si="101"/>
        <v>670137662.401757</v>
      </c>
      <c r="O342" s="1603">
        <f t="shared" si="101"/>
        <v>862744928.51427579</v>
      </c>
      <c r="P342" s="1603">
        <f t="shared" si="101"/>
        <v>1066292768.4604744</v>
      </c>
      <c r="Q342" s="1603">
        <f t="shared" si="101"/>
        <v>1281269485.1328709</v>
      </c>
      <c r="R342" s="1603">
        <f t="shared" si="101"/>
        <v>1508183155.9139893</v>
      </c>
      <c r="S342" s="1603">
        <f t="shared" si="101"/>
        <v>1747562394.4855118</v>
      </c>
      <c r="T342" s="1603">
        <f t="shared" si="101"/>
        <v>1999957141.1565773</v>
      </c>
      <c r="U342" s="307"/>
      <c r="V342" s="307"/>
      <c r="W342" s="307"/>
      <c r="X342" s="307"/>
      <c r="Y342" s="307"/>
    </row>
    <row r="343" spans="1:25" s="1599" customFormat="1" ht="24.95" customHeight="1" outlineLevel="1" x14ac:dyDescent="0.25">
      <c r="B343" s="1599" t="s">
        <v>828</v>
      </c>
      <c r="C343" s="1605">
        <f>NPV($C$19,K342:T342)+J342</f>
        <v>3669548379.2044573</v>
      </c>
      <c r="D343" s="1600"/>
      <c r="E343" s="1600"/>
      <c r="F343" s="1600"/>
      <c r="G343" s="1600"/>
      <c r="H343" s="1600"/>
      <c r="I343" s="1600"/>
      <c r="J343" s="1600"/>
      <c r="K343" s="1612"/>
      <c r="L343" s="1612"/>
      <c r="M343" s="1612"/>
      <c r="N343" s="1612"/>
      <c r="O343" s="1612"/>
      <c r="P343" s="1612"/>
      <c r="Q343" s="1612"/>
      <c r="R343" s="1612"/>
      <c r="S343" s="1612"/>
      <c r="T343" s="1612"/>
      <c r="U343" s="307"/>
      <c r="V343" s="307"/>
      <c r="W343" s="307"/>
      <c r="X343" s="307"/>
      <c r="Y343" s="307"/>
    </row>
    <row r="344" spans="1:25" s="1599" customFormat="1" ht="24.95" customHeight="1" outlineLevel="1" x14ac:dyDescent="0.25">
      <c r="B344" s="1599" t="s">
        <v>829</v>
      </c>
      <c r="C344" s="1607">
        <f>C343/C341</f>
        <v>1.5337258562661582</v>
      </c>
      <c r="D344" s="1600"/>
      <c r="E344" s="1600"/>
      <c r="F344" s="1600"/>
      <c r="G344" s="1600"/>
      <c r="H344" s="1600"/>
      <c r="I344" s="1600"/>
      <c r="J344" s="1600"/>
      <c r="K344" s="1600"/>
      <c r="L344" s="1600"/>
      <c r="M344" s="1600"/>
      <c r="N344" s="1600"/>
      <c r="O344" s="1600"/>
      <c r="P344" s="1600"/>
      <c r="Q344" s="1600"/>
      <c r="R344" s="1600"/>
      <c r="S344" s="1600"/>
      <c r="T344" s="1600"/>
      <c r="U344" s="307"/>
      <c r="V344" s="307"/>
      <c r="W344" s="307"/>
      <c r="X344" s="307"/>
      <c r="Y344" s="307"/>
    </row>
    <row r="345" spans="1:25" x14ac:dyDescent="0.2">
      <c r="U345" s="308"/>
      <c r="V345" s="308"/>
      <c r="W345" s="308"/>
      <c r="X345" s="308"/>
      <c r="Y345" s="308"/>
    </row>
    <row r="346" spans="1:25" s="1595" customFormat="1" ht="23.85" customHeight="1" thickBot="1" x14ac:dyDescent="0.25">
      <c r="A346" s="1590"/>
      <c r="B346" s="1592" t="s">
        <v>1245</v>
      </c>
      <c r="C346" s="1592"/>
      <c r="D346" s="1593">
        <f>$D$11</f>
        <v>2019</v>
      </c>
      <c r="E346" s="1593">
        <f>+D346+1</f>
        <v>2020</v>
      </c>
      <c r="F346" s="1594">
        <f>+E346+1</f>
        <v>2021</v>
      </c>
      <c r="G346" s="1594">
        <f>+F346+1</f>
        <v>2022</v>
      </c>
      <c r="H346" s="1594">
        <f>+G346+1</f>
        <v>2023</v>
      </c>
      <c r="I346" s="1594">
        <f>+H346+1</f>
        <v>2024</v>
      </c>
      <c r="J346" s="1594">
        <f>J226</f>
        <v>0</v>
      </c>
      <c r="K346" s="1594">
        <f t="shared" ref="K346:T346" si="102">+J346+1</f>
        <v>1</v>
      </c>
      <c r="L346" s="1594">
        <f t="shared" si="102"/>
        <v>2</v>
      </c>
      <c r="M346" s="1594">
        <f t="shared" si="102"/>
        <v>3</v>
      </c>
      <c r="N346" s="1594">
        <f t="shared" si="102"/>
        <v>4</v>
      </c>
      <c r="O346" s="1594">
        <f t="shared" si="102"/>
        <v>5</v>
      </c>
      <c r="P346" s="1594">
        <f t="shared" si="102"/>
        <v>6</v>
      </c>
      <c r="Q346" s="1594">
        <f t="shared" si="102"/>
        <v>7</v>
      </c>
      <c r="R346" s="1594">
        <f t="shared" si="102"/>
        <v>8</v>
      </c>
      <c r="S346" s="1594">
        <f t="shared" si="102"/>
        <v>9</v>
      </c>
      <c r="T346" s="1594">
        <f t="shared" si="102"/>
        <v>10</v>
      </c>
      <c r="U346" s="308"/>
      <c r="V346" s="308"/>
      <c r="W346" s="308"/>
      <c r="X346" s="308"/>
      <c r="Y346" s="308"/>
    </row>
    <row r="347" spans="1:25" ht="53.25" hidden="1" customHeight="1" outlineLevel="1" x14ac:dyDescent="0.2">
      <c r="B347" s="889" t="s">
        <v>1246</v>
      </c>
      <c r="U347" s="308"/>
      <c r="V347" s="308"/>
      <c r="W347" s="308"/>
      <c r="X347" s="308"/>
      <c r="Y347" s="308"/>
    </row>
    <row r="348" spans="1:25" hidden="1" outlineLevel="1" x14ac:dyDescent="0.2">
      <c r="B348" s="512"/>
      <c r="C348" s="512"/>
      <c r="D348" s="797"/>
      <c r="E348" s="797"/>
      <c r="F348" s="797"/>
      <c r="G348" s="797"/>
      <c r="H348" s="797"/>
      <c r="I348" s="797"/>
      <c r="J348" s="797"/>
      <c r="K348" s="797"/>
      <c r="L348" s="797"/>
      <c r="M348" s="797"/>
      <c r="N348" s="797"/>
      <c r="O348" s="797"/>
      <c r="P348" s="797"/>
      <c r="Q348" s="797"/>
      <c r="R348" s="797"/>
      <c r="S348" s="797"/>
      <c r="T348" s="797"/>
      <c r="U348" s="308"/>
      <c r="V348" s="308"/>
      <c r="W348" s="308"/>
      <c r="X348" s="308"/>
      <c r="Y348" s="308"/>
    </row>
    <row r="349" spans="1:25" s="498" customFormat="1" hidden="1" outlineLevel="1" x14ac:dyDescent="0.2">
      <c r="B349" s="498" t="s">
        <v>1247</v>
      </c>
      <c r="C349" s="1671">
        <v>50</v>
      </c>
      <c r="D349" s="884" t="s">
        <v>1248</v>
      </c>
      <c r="E349" s="518"/>
      <c r="F349" s="492"/>
      <c r="G349" s="492"/>
      <c r="H349" s="530"/>
      <c r="I349" s="526"/>
      <c r="J349" s="1399">
        <f t="shared" ref="J349:O349" si="103">+J74+$C$349</f>
        <v>338</v>
      </c>
      <c r="K349" s="1399">
        <f t="shared" si="103"/>
        <v>341.77280000000002</v>
      </c>
      <c r="L349" s="1399">
        <f t="shared" si="103"/>
        <v>345.59502368000005</v>
      </c>
      <c r="M349" s="1399">
        <f t="shared" si="103"/>
        <v>349.46731849020807</v>
      </c>
      <c r="N349" s="1399">
        <f t="shared" si="103"/>
        <v>353.39034036242981</v>
      </c>
      <c r="O349" s="1399">
        <f t="shared" si="103"/>
        <v>357.36475382117766</v>
      </c>
      <c r="P349" s="1401"/>
      <c r="Q349" s="1401"/>
      <c r="R349" s="1401"/>
      <c r="S349" s="1401"/>
      <c r="T349" s="1401"/>
      <c r="U349" s="308"/>
      <c r="V349" s="308"/>
      <c r="W349" s="308"/>
      <c r="X349" s="308"/>
      <c r="Y349" s="308"/>
    </row>
    <row r="350" spans="1:25" s="498" customFormat="1" hidden="1" outlineLevel="1" x14ac:dyDescent="0.2">
      <c r="B350" s="498" t="s">
        <v>439</v>
      </c>
      <c r="C350" s="1672">
        <v>0.2</v>
      </c>
      <c r="D350" s="881" t="s">
        <v>1181</v>
      </c>
      <c r="E350" s="492"/>
      <c r="F350" s="492"/>
      <c r="G350" s="492"/>
      <c r="H350" s="793"/>
      <c r="I350" s="801"/>
      <c r="J350" s="1399">
        <f t="shared" ref="J350:O350" si="104">+J349*$C$350</f>
        <v>67.600000000000009</v>
      </c>
      <c r="K350" s="1399">
        <f t="shared" si="104"/>
        <v>68.354560000000006</v>
      </c>
      <c r="L350" s="1399">
        <f t="shared" si="104"/>
        <v>69.119004736000008</v>
      </c>
      <c r="M350" s="1399">
        <f t="shared" si="104"/>
        <v>69.893463698041614</v>
      </c>
      <c r="N350" s="1399">
        <f t="shared" si="104"/>
        <v>70.678068072485971</v>
      </c>
      <c r="O350" s="1399">
        <f t="shared" si="104"/>
        <v>71.472950764235534</v>
      </c>
      <c r="P350" s="1399"/>
      <c r="Q350" s="1399"/>
      <c r="R350" s="1399"/>
      <c r="S350" s="1399"/>
      <c r="T350" s="1399"/>
      <c r="U350" s="308"/>
      <c r="V350" s="308"/>
      <c r="W350" s="308"/>
      <c r="X350" s="308"/>
      <c r="Y350" s="308"/>
    </row>
    <row r="351" spans="1:25" s="498" customFormat="1" hidden="1" outlineLevel="1" x14ac:dyDescent="0.2">
      <c r="B351" s="498" t="s">
        <v>1249</v>
      </c>
      <c r="C351" s="1672">
        <v>0.1</v>
      </c>
      <c r="D351" s="884" t="s">
        <v>1250</v>
      </c>
      <c r="E351" s="492"/>
      <c r="F351" s="492"/>
      <c r="G351" s="492"/>
      <c r="H351" s="793"/>
      <c r="I351" s="801"/>
      <c r="J351" s="801">
        <f t="shared" ref="J351:O351" si="105">+INT(J350*$C351)</f>
        <v>6</v>
      </c>
      <c r="K351" s="801">
        <f t="shared" si="105"/>
        <v>6</v>
      </c>
      <c r="L351" s="801">
        <f t="shared" si="105"/>
        <v>6</v>
      </c>
      <c r="M351" s="801">
        <f t="shared" si="105"/>
        <v>6</v>
      </c>
      <c r="N351" s="801">
        <f t="shared" si="105"/>
        <v>7</v>
      </c>
      <c r="O351" s="801">
        <f t="shared" si="105"/>
        <v>7</v>
      </c>
      <c r="P351" s="801"/>
      <c r="Q351" s="801"/>
      <c r="R351" s="801"/>
      <c r="S351" s="801"/>
      <c r="T351" s="801"/>
      <c r="U351" s="308"/>
      <c r="V351" s="308"/>
      <c r="W351" s="308"/>
      <c r="X351" s="308"/>
      <c r="Y351" s="308"/>
    </row>
    <row r="352" spans="1:25" s="498" customFormat="1" ht="13.5" hidden="1" outlineLevel="1" x14ac:dyDescent="0.2">
      <c r="B352" s="307" t="s">
        <v>1253</v>
      </c>
      <c r="C352" s="1673">
        <v>0.01</v>
      </c>
      <c r="D352" s="884" t="s">
        <v>1255</v>
      </c>
      <c r="E352" s="513"/>
      <c r="F352" s="513"/>
      <c r="G352" s="513"/>
      <c r="H352" s="532"/>
      <c r="I352" s="532"/>
      <c r="J352" s="529"/>
      <c r="K352" s="529"/>
      <c r="L352" s="529"/>
      <c r="M352" s="529"/>
      <c r="N352" s="529"/>
      <c r="O352" s="529"/>
      <c r="P352" s="532"/>
      <c r="Q352" s="532"/>
      <c r="R352" s="532"/>
      <c r="S352" s="532"/>
      <c r="T352" s="532"/>
      <c r="U352" s="308"/>
      <c r="V352" s="308"/>
      <c r="W352" s="308"/>
      <c r="X352" s="308"/>
      <c r="Y352" s="308"/>
    </row>
    <row r="353" spans="1:25" s="498" customFormat="1" hidden="1" outlineLevel="1" x14ac:dyDescent="0.2">
      <c r="B353" s="498" t="s">
        <v>1252</v>
      </c>
      <c r="C353" s="519"/>
      <c r="D353" s="513"/>
      <c r="E353" s="513"/>
      <c r="F353" s="513"/>
      <c r="G353" s="513"/>
      <c r="H353" s="526"/>
      <c r="I353" s="526"/>
      <c r="J353" s="526"/>
      <c r="K353" s="528">
        <f>+$C$352*K77*K351*12</f>
        <v>1528.8357599999999</v>
      </c>
      <c r="L353" s="528">
        <f>+$C$352*L77*L351*12</f>
        <v>1512.0185666399996</v>
      </c>
      <c r="M353" s="528">
        <f>+$C$352*M77*M351*12</f>
        <v>1495.3863624069595</v>
      </c>
      <c r="N353" s="528">
        <f>+$C$352*N77*N351*12</f>
        <v>1725.4266311572305</v>
      </c>
      <c r="O353" s="528">
        <f>+$C$352*O77*O351*12</f>
        <v>1706.4469382145007</v>
      </c>
      <c r="P353" s="528"/>
      <c r="Q353" s="528"/>
      <c r="R353" s="528"/>
      <c r="S353" s="528"/>
      <c r="T353" s="528"/>
      <c r="U353" s="308"/>
      <c r="V353" s="308"/>
      <c r="W353" s="308"/>
      <c r="X353" s="308"/>
      <c r="Y353" s="308"/>
    </row>
    <row r="354" spans="1:25" s="498" customFormat="1" ht="13.5" hidden="1" outlineLevel="1" x14ac:dyDescent="0.2">
      <c r="B354" s="307" t="s">
        <v>1254</v>
      </c>
      <c r="D354" s="506"/>
      <c r="E354" s="506"/>
      <c r="F354" s="506"/>
      <c r="G354" s="506"/>
      <c r="H354" s="526"/>
      <c r="I354" s="526"/>
      <c r="J354" s="529"/>
      <c r="K354" s="529">
        <f>K353/K351</f>
        <v>254.80596</v>
      </c>
      <c r="L354" s="529">
        <f>L353/L351</f>
        <v>252.00309443999993</v>
      </c>
      <c r="M354" s="529">
        <f>M353/M351</f>
        <v>249.23106040115991</v>
      </c>
      <c r="N354" s="529">
        <f>N353/N351</f>
        <v>246.48951873674721</v>
      </c>
      <c r="O354" s="529">
        <f>O353/O351</f>
        <v>243.77813403064297</v>
      </c>
      <c r="P354" s="529"/>
      <c r="Q354" s="529"/>
      <c r="R354" s="529"/>
      <c r="S354" s="529"/>
      <c r="T354" s="529"/>
      <c r="U354" s="308"/>
      <c r="V354" s="308"/>
      <c r="W354" s="308"/>
      <c r="X354" s="308"/>
      <c r="Y354" s="308"/>
    </row>
    <row r="355" spans="1:25" s="498" customFormat="1" ht="13.5" hidden="1" outlineLevel="1" x14ac:dyDescent="0.2">
      <c r="B355" s="498" t="s">
        <v>1251</v>
      </c>
      <c r="D355" s="508"/>
      <c r="E355" s="508"/>
      <c r="F355" s="508"/>
      <c r="G355" s="508"/>
      <c r="H355" s="508"/>
      <c r="I355" s="508"/>
      <c r="J355" s="497"/>
      <c r="K355" s="528">
        <f>K353</f>
        <v>1528.8357599999999</v>
      </c>
      <c r="L355" s="528">
        <f>(K355*(1+L38))+L353</f>
        <v>3024.0371332799996</v>
      </c>
      <c r="M355" s="528">
        <f>(L355*(1+M38))+M353</f>
        <v>4486.159087220879</v>
      </c>
      <c r="N355" s="528">
        <f>(M355*(1+N38))+N353</f>
        <v>6162.2379684186799</v>
      </c>
      <c r="O355" s="528">
        <f>(N355*(1+O38))+O353</f>
        <v>7800.9002889805752</v>
      </c>
      <c r="P355" s="528"/>
      <c r="Q355" s="528"/>
      <c r="R355" s="528"/>
      <c r="S355" s="528"/>
      <c r="T355" s="528"/>
      <c r="U355" s="308"/>
      <c r="V355" s="308"/>
      <c r="W355" s="308"/>
      <c r="X355" s="308"/>
      <c r="Y355" s="308"/>
    </row>
    <row r="356" spans="1:25" s="498" customFormat="1" hidden="1" outlineLevel="1" x14ac:dyDescent="0.2">
      <c r="D356" s="492"/>
      <c r="E356" s="492"/>
      <c r="F356" s="492"/>
      <c r="G356" s="492"/>
      <c r="H356" s="492"/>
      <c r="I356" s="492"/>
      <c r="J356" s="492"/>
      <c r="K356" s="492"/>
      <c r="L356" s="492"/>
      <c r="M356" s="492"/>
      <c r="N356" s="492"/>
      <c r="O356" s="492"/>
      <c r="P356" s="492"/>
      <c r="Q356" s="492"/>
      <c r="R356" s="492"/>
      <c r="S356" s="492"/>
      <c r="T356" s="492"/>
      <c r="U356" s="308"/>
      <c r="V356" s="308"/>
      <c r="W356" s="308"/>
      <c r="X356" s="308"/>
      <c r="Y356" s="308"/>
    </row>
    <row r="357" spans="1:25" s="1599" customFormat="1" ht="24.95" hidden="1" customHeight="1" outlineLevel="1" x14ac:dyDescent="0.2">
      <c r="B357" s="1599" t="s">
        <v>1256</v>
      </c>
      <c r="D357" s="1600"/>
      <c r="E357" s="1600"/>
      <c r="F357" s="1600"/>
      <c r="G357" s="1600"/>
      <c r="H357" s="1600"/>
      <c r="I357" s="1600"/>
      <c r="J357" s="1662">
        <f>+'C UNIT PROG CCIALES'!E6</f>
        <v>116383.68333333333</v>
      </c>
      <c r="K357" s="1603">
        <f>+J357*(1+J$14)</f>
        <v>127440.13325</v>
      </c>
      <c r="L357" s="1603">
        <f>+K357*(1+K$14)</f>
        <v>134678.70733057335</v>
      </c>
      <c r="M357" s="1603">
        <f>+L357*(1+L$14)</f>
        <v>142328.43097120847</v>
      </c>
      <c r="N357" s="1603">
        <f>+M357*(1+M$14)</f>
        <v>150412.65738468693</v>
      </c>
      <c r="O357" s="1603">
        <f>+N357*(1+N$14)</f>
        <v>158956.06624160567</v>
      </c>
      <c r="P357" s="1603"/>
      <c r="Q357" s="1603"/>
      <c r="R357" s="1603"/>
      <c r="S357" s="1603"/>
      <c r="T357" s="1603"/>
      <c r="U357" s="308"/>
      <c r="V357" s="308"/>
      <c r="W357" s="308"/>
      <c r="X357" s="308"/>
      <c r="Y357" s="308"/>
    </row>
    <row r="358" spans="1:25" s="1599" customFormat="1" ht="24.95" hidden="1" customHeight="1" outlineLevel="1" x14ac:dyDescent="0.2">
      <c r="B358" s="1599" t="s">
        <v>849</v>
      </c>
      <c r="D358" s="1600"/>
      <c r="E358" s="1600"/>
      <c r="F358" s="1600"/>
      <c r="G358" s="1600"/>
      <c r="H358" s="1600"/>
      <c r="I358" s="1600"/>
      <c r="K358" s="1620">
        <f>K357*K350</f>
        <v>8711114.2346451208</v>
      </c>
      <c r="L358" s="1620">
        <f>L357*L350</f>
        <v>9308858.2098202575</v>
      </c>
      <c r="M358" s="1620">
        <f>M357*M350</f>
        <v>9947827.0232853815</v>
      </c>
      <c r="N358" s="1620">
        <f>N357*N350</f>
        <v>10630876.037598412</v>
      </c>
      <c r="O358" s="1620">
        <f>O357*O350</f>
        <v>11361059.096162844</v>
      </c>
      <c r="P358" s="1634"/>
      <c r="Q358" s="1634"/>
      <c r="R358" s="1634"/>
      <c r="S358" s="1634"/>
      <c r="T358" s="1634"/>
      <c r="U358" s="1635"/>
      <c r="V358" s="308"/>
      <c r="W358" s="308"/>
      <c r="X358" s="308"/>
      <c r="Y358" s="308"/>
    </row>
    <row r="359" spans="1:25" s="1599" customFormat="1" ht="24.95" hidden="1" customHeight="1" outlineLevel="1" x14ac:dyDescent="0.2">
      <c r="B359" s="1599" t="s">
        <v>850</v>
      </c>
      <c r="C359" s="1605">
        <f>NPV($C$19,K358:T358)+J358</f>
        <v>31865326.38096505</v>
      </c>
      <c r="D359" s="1600"/>
      <c r="E359" s="1600"/>
      <c r="F359" s="1600"/>
      <c r="G359" s="1600"/>
      <c r="H359" s="1600"/>
      <c r="I359" s="1600"/>
      <c r="K359" s="1612"/>
      <c r="L359" s="1612"/>
      <c r="M359" s="1612"/>
      <c r="N359" s="1612"/>
      <c r="O359" s="1612"/>
      <c r="P359" s="1612"/>
      <c r="Q359" s="1612"/>
      <c r="R359" s="1612"/>
      <c r="S359" s="1612"/>
      <c r="T359" s="1612"/>
      <c r="U359" s="308"/>
      <c r="V359" s="308"/>
      <c r="W359" s="308"/>
      <c r="X359" s="308"/>
      <c r="Y359" s="308"/>
    </row>
    <row r="360" spans="1:25" s="1599" customFormat="1" ht="24.95" hidden="1" customHeight="1" outlineLevel="1" x14ac:dyDescent="0.2">
      <c r="B360" s="1599" t="s">
        <v>851</v>
      </c>
      <c r="C360" s="1613"/>
      <c r="D360" s="1600"/>
      <c r="E360" s="1600"/>
      <c r="F360" s="1600"/>
      <c r="G360" s="1600"/>
      <c r="H360" s="1600"/>
      <c r="I360" s="1600"/>
      <c r="K360" s="1603">
        <f>K355*(K$138+K$140)</f>
        <v>5656039.5086438125</v>
      </c>
      <c r="L360" s="1603">
        <f>L355*(L$138+L$140)</f>
        <v>11585880.034114674</v>
      </c>
      <c r="M360" s="1603">
        <f>M355*(M$138+M$140)</f>
        <v>17799462.321615256</v>
      </c>
      <c r="N360" s="1603">
        <f>N355*(N$138+N$140)</f>
        <v>25319841.591799092</v>
      </c>
      <c r="O360" s="1603">
        <f>O355*(O$138+O$140)</f>
        <v>33193844.190606587</v>
      </c>
      <c r="P360" s="1603"/>
      <c r="Q360" s="1603"/>
      <c r="R360" s="1603"/>
      <c r="S360" s="1603"/>
      <c r="T360" s="1603"/>
      <c r="U360" s="1635"/>
      <c r="V360" s="308"/>
      <c r="W360" s="308"/>
      <c r="X360" s="308"/>
      <c r="Y360" s="308"/>
    </row>
    <row r="361" spans="1:25" s="1599" customFormat="1" ht="24.95" hidden="1" customHeight="1" outlineLevel="1" x14ac:dyDescent="0.2">
      <c r="B361" s="1599" t="s">
        <v>828</v>
      </c>
      <c r="C361" s="1605">
        <f>NPV($C$19,K360:T360)+J360</f>
        <v>54223862.645839565</v>
      </c>
      <c r="D361" s="1600"/>
      <c r="E361" s="1600"/>
      <c r="F361" s="1600"/>
      <c r="G361" s="1600"/>
      <c r="H361" s="1600"/>
      <c r="I361" s="1600"/>
      <c r="J361" s="1600"/>
      <c r="K361" s="1612"/>
      <c r="L361" s="1612"/>
      <c r="M361" s="1612"/>
      <c r="N361" s="1612"/>
      <c r="O361" s="1612"/>
      <c r="P361" s="1612"/>
      <c r="Q361" s="1612"/>
      <c r="R361" s="1612"/>
      <c r="S361" s="1612"/>
      <c r="T361" s="1612"/>
      <c r="U361" s="308"/>
      <c r="V361" s="308"/>
      <c r="W361" s="308"/>
      <c r="X361" s="308"/>
      <c r="Y361" s="308"/>
    </row>
    <row r="362" spans="1:25" s="1599" customFormat="1" ht="24.95" hidden="1" customHeight="1" outlineLevel="1" x14ac:dyDescent="0.2">
      <c r="B362" s="1599" t="s">
        <v>829</v>
      </c>
      <c r="C362" s="1607">
        <f>C361/C359</f>
        <v>1.7016572181802765</v>
      </c>
      <c r="D362" s="1600"/>
      <c r="E362" s="1600"/>
      <c r="F362" s="1600"/>
      <c r="G362" s="1600"/>
      <c r="H362" s="1600"/>
      <c r="I362" s="1600"/>
      <c r="J362" s="1600"/>
      <c r="K362" s="1600"/>
      <c r="L362" s="1600"/>
      <c r="M362" s="1600"/>
      <c r="N362" s="1600"/>
      <c r="O362" s="1600"/>
      <c r="P362" s="1600"/>
      <c r="Q362" s="1600"/>
      <c r="R362" s="1600"/>
      <c r="S362" s="1600"/>
      <c r="T362" s="1600"/>
      <c r="U362" s="308"/>
      <c r="V362" s="308"/>
      <c r="W362" s="308"/>
      <c r="X362" s="308"/>
      <c r="Y362" s="308"/>
    </row>
    <row r="363" spans="1:25" collapsed="1" x14ac:dyDescent="0.2">
      <c r="C363" s="517"/>
      <c r="U363" s="308"/>
      <c r="V363" s="308"/>
      <c r="W363" s="308"/>
      <c r="X363" s="308"/>
      <c r="Y363" s="308"/>
    </row>
    <row r="364" spans="1:25" s="1595" customFormat="1" ht="23.85" customHeight="1" thickBot="1" x14ac:dyDescent="0.25">
      <c r="A364" s="1590"/>
      <c r="B364" s="1592" t="s">
        <v>852</v>
      </c>
      <c r="C364" s="1592"/>
      <c r="D364" s="1593">
        <f>$D$11</f>
        <v>2019</v>
      </c>
      <c r="E364" s="1594">
        <f t="shared" ref="E364:T364" si="106">+D364+1</f>
        <v>2020</v>
      </c>
      <c r="F364" s="1594">
        <f t="shared" si="106"/>
        <v>2021</v>
      </c>
      <c r="G364" s="1594">
        <f t="shared" si="106"/>
        <v>2022</v>
      </c>
      <c r="H364" s="1594">
        <f t="shared" si="106"/>
        <v>2023</v>
      </c>
      <c r="I364" s="1594">
        <f t="shared" si="106"/>
        <v>2024</v>
      </c>
      <c r="J364" s="1594">
        <f>J244</f>
        <v>0</v>
      </c>
      <c r="K364" s="1594">
        <f t="shared" si="106"/>
        <v>1</v>
      </c>
      <c r="L364" s="1594">
        <f t="shared" si="106"/>
        <v>2</v>
      </c>
      <c r="M364" s="1594">
        <f t="shared" si="106"/>
        <v>3</v>
      </c>
      <c r="N364" s="1594">
        <f t="shared" si="106"/>
        <v>4</v>
      </c>
      <c r="O364" s="1594">
        <f t="shared" si="106"/>
        <v>5</v>
      </c>
      <c r="P364" s="1594">
        <f t="shared" si="106"/>
        <v>6</v>
      </c>
      <c r="Q364" s="1594">
        <f t="shared" si="106"/>
        <v>7</v>
      </c>
      <c r="R364" s="1594">
        <f t="shared" si="106"/>
        <v>8</v>
      </c>
      <c r="S364" s="1594">
        <f t="shared" si="106"/>
        <v>9</v>
      </c>
      <c r="T364" s="1594">
        <f t="shared" si="106"/>
        <v>10</v>
      </c>
      <c r="U364" s="308"/>
      <c r="V364" s="308"/>
      <c r="W364" s="308"/>
      <c r="X364" s="308"/>
      <c r="Y364" s="308"/>
    </row>
    <row r="365" spans="1:25" ht="84" customHeight="1" outlineLevel="1" x14ac:dyDescent="0.2">
      <c r="B365" s="1055" t="s">
        <v>1182</v>
      </c>
      <c r="U365" s="308"/>
      <c r="V365" s="308"/>
      <c r="W365" s="308"/>
      <c r="X365" s="308"/>
      <c r="Y365" s="308"/>
    </row>
    <row r="366" spans="1:25" outlineLevel="1" x14ac:dyDescent="0.2">
      <c r="B366" s="512"/>
      <c r="C366" s="512"/>
      <c r="D366" s="797"/>
      <c r="E366" s="797"/>
      <c r="F366" s="797"/>
      <c r="G366" s="797"/>
      <c r="H366" s="797"/>
      <c r="I366" s="797"/>
      <c r="J366" s="797"/>
      <c r="K366" s="797"/>
      <c r="L366" s="797"/>
      <c r="M366" s="797"/>
      <c r="N366" s="797"/>
      <c r="O366" s="797"/>
      <c r="P366" s="797"/>
      <c r="Q366" s="797"/>
      <c r="R366" s="797"/>
      <c r="S366" s="797"/>
      <c r="T366" s="797"/>
      <c r="U366" s="308"/>
      <c r="V366" s="308"/>
      <c r="W366" s="308"/>
      <c r="X366" s="308"/>
      <c r="Y366" s="308"/>
    </row>
    <row r="367" spans="1:25" outlineLevel="1" x14ac:dyDescent="0.2">
      <c r="B367" s="487" t="s">
        <v>1257</v>
      </c>
      <c r="C367" s="1674">
        <v>0.05</v>
      </c>
      <c r="D367" s="884" t="s">
        <v>1259</v>
      </c>
      <c r="E367" s="530"/>
      <c r="F367" s="530"/>
      <c r="G367" s="530"/>
      <c r="H367" s="530"/>
      <c r="I367" s="526"/>
      <c r="J367" s="526"/>
      <c r="K367" s="528">
        <f>($C$367*$J$23)/5</f>
        <v>3334.1200000000003</v>
      </c>
      <c r="L367" s="528">
        <f>+$K$367</f>
        <v>3334.1200000000003</v>
      </c>
      <c r="M367" s="528">
        <f>+$K$367</f>
        <v>3334.1200000000003</v>
      </c>
      <c r="N367" s="528">
        <f>+$K$367</f>
        <v>3334.1200000000003</v>
      </c>
      <c r="O367" s="528">
        <f>+$K$367</f>
        <v>3334.1200000000003</v>
      </c>
      <c r="P367" s="526"/>
      <c r="Q367" s="526"/>
      <c r="R367" s="526"/>
      <c r="S367" s="526"/>
      <c r="T367" s="526"/>
      <c r="U367" s="308"/>
      <c r="V367" s="308"/>
      <c r="W367" s="308"/>
      <c r="X367" s="308"/>
      <c r="Y367" s="308"/>
    </row>
    <row r="368" spans="1:25" outlineLevel="1" x14ac:dyDescent="0.2">
      <c r="B368" s="487" t="s">
        <v>1260</v>
      </c>
      <c r="C368" s="1669">
        <v>0.2</v>
      </c>
      <c r="D368" s="881" t="s">
        <v>1261</v>
      </c>
      <c r="E368" s="526"/>
      <c r="F368" s="526"/>
      <c r="G368" s="526"/>
      <c r="H368" s="526"/>
      <c r="I368" s="526"/>
      <c r="J368" s="526"/>
      <c r="K368" s="526">
        <f>+INT(K367*$C$368)</f>
        <v>666</v>
      </c>
      <c r="L368" s="526">
        <f>+INT(L367*$C$368)</f>
        <v>666</v>
      </c>
      <c r="M368" s="526">
        <f>+INT(M367*$C$368)</f>
        <v>666</v>
      </c>
      <c r="N368" s="526">
        <f>+INT(N367*$C$368)</f>
        <v>666</v>
      </c>
      <c r="O368" s="526">
        <f>+INT(O367*$C$368)</f>
        <v>666</v>
      </c>
      <c r="P368" s="526"/>
      <c r="Q368" s="526"/>
      <c r="R368" s="526"/>
      <c r="S368" s="526"/>
      <c r="T368" s="526"/>
      <c r="U368" s="308"/>
      <c r="V368" s="308"/>
      <c r="W368" s="308"/>
      <c r="X368" s="308"/>
      <c r="Y368" s="308"/>
    </row>
    <row r="369" spans="1:25" outlineLevel="1" x14ac:dyDescent="0.2">
      <c r="B369" s="308" t="s">
        <v>1262</v>
      </c>
      <c r="C369" s="1675">
        <v>0.3</v>
      </c>
      <c r="D369" s="884" t="s">
        <v>848</v>
      </c>
      <c r="E369" s="526"/>
      <c r="F369" s="526"/>
      <c r="G369" s="526"/>
      <c r="H369" s="526"/>
      <c r="I369" s="526"/>
      <c r="J369" s="526"/>
      <c r="K369" s="526">
        <f>+INT(K368*$C$369)</f>
        <v>199</v>
      </c>
      <c r="L369" s="526">
        <f>+INT(L368*$C$369)</f>
        <v>199</v>
      </c>
      <c r="M369" s="526">
        <f>+INT(M368*$C$369)</f>
        <v>199</v>
      </c>
      <c r="N369" s="526">
        <f>+INT(N368*$C$369)</f>
        <v>199</v>
      </c>
      <c r="O369" s="526">
        <f>+INT(O368*$C$369)</f>
        <v>199</v>
      </c>
      <c r="P369" s="526"/>
      <c r="Q369" s="526"/>
      <c r="R369" s="526"/>
      <c r="S369" s="526"/>
      <c r="T369" s="526"/>
      <c r="U369" s="308"/>
      <c r="V369" s="308"/>
      <c r="W369" s="308"/>
      <c r="X369" s="308"/>
      <c r="Y369" s="308"/>
    </row>
    <row r="370" spans="1:25" outlineLevel="1" x14ac:dyDescent="0.2">
      <c r="B370" s="308" t="s">
        <v>1191</v>
      </c>
      <c r="D370" s="513"/>
      <c r="E370" s="526"/>
      <c r="F370" s="526"/>
      <c r="G370" s="526"/>
      <c r="H370" s="526"/>
      <c r="I370" s="526"/>
      <c r="J370" s="526"/>
      <c r="K370" s="528">
        <f>K371/K369</f>
        <v>48</v>
      </c>
      <c r="L370" s="528">
        <f>L371/L369</f>
        <v>48</v>
      </c>
      <c r="M370" s="528">
        <f>M371/M369</f>
        <v>48</v>
      </c>
      <c r="N370" s="528">
        <f>N371/N369</f>
        <v>48</v>
      </c>
      <c r="O370" s="528">
        <f>O371/O369</f>
        <v>48</v>
      </c>
      <c r="P370" s="528"/>
      <c r="Q370" s="528"/>
      <c r="R370" s="528"/>
      <c r="S370" s="528"/>
      <c r="T370" s="528"/>
      <c r="U370" s="308"/>
      <c r="V370" s="308"/>
      <c r="W370" s="308"/>
      <c r="X370" s="308"/>
      <c r="Y370" s="308"/>
    </row>
    <row r="371" spans="1:25" outlineLevel="1" x14ac:dyDescent="0.2">
      <c r="B371" s="487" t="s">
        <v>446</v>
      </c>
      <c r="C371" s="1676">
        <v>4</v>
      </c>
      <c r="D371" s="506" t="s">
        <v>438</v>
      </c>
      <c r="E371" s="526"/>
      <c r="F371" s="526"/>
      <c r="G371" s="526"/>
      <c r="H371" s="526"/>
      <c r="I371" s="526"/>
      <c r="J371" s="526"/>
      <c r="K371" s="526">
        <f>K369*$C371*12</f>
        <v>9552</v>
      </c>
      <c r="L371" s="526">
        <f>L369*$C371*12</f>
        <v>9552</v>
      </c>
      <c r="M371" s="526">
        <f>M369*$C371*12</f>
        <v>9552</v>
      </c>
      <c r="N371" s="526">
        <f>N369*$C371*12</f>
        <v>9552</v>
      </c>
      <c r="O371" s="526">
        <f>O369*$C371*12</f>
        <v>9552</v>
      </c>
      <c r="P371" s="526"/>
      <c r="Q371" s="526"/>
      <c r="R371" s="526"/>
      <c r="S371" s="526"/>
      <c r="T371" s="526"/>
      <c r="U371" s="308"/>
      <c r="V371" s="308"/>
      <c r="W371" s="308"/>
      <c r="X371" s="308"/>
      <c r="Y371" s="308"/>
    </row>
    <row r="372" spans="1:25" outlineLevel="1" x14ac:dyDescent="0.2">
      <c r="D372" s="506"/>
      <c r="E372" s="526"/>
      <c r="F372" s="526"/>
      <c r="G372" s="526"/>
      <c r="H372" s="526"/>
      <c r="I372" s="526"/>
      <c r="J372" s="526"/>
      <c r="K372" s="526"/>
      <c r="L372" s="526"/>
      <c r="M372" s="526"/>
      <c r="N372" s="526"/>
      <c r="O372" s="526"/>
      <c r="P372" s="526"/>
      <c r="Q372" s="526"/>
      <c r="R372" s="526"/>
      <c r="S372" s="526"/>
      <c r="T372" s="526"/>
      <c r="U372" s="308"/>
      <c r="V372" s="308"/>
      <c r="W372" s="308"/>
      <c r="X372" s="308"/>
      <c r="Y372" s="308"/>
    </row>
    <row r="373" spans="1:25" outlineLevel="1" x14ac:dyDescent="0.2">
      <c r="D373" s="508"/>
      <c r="E373" s="508"/>
      <c r="F373" s="508"/>
      <c r="G373" s="508"/>
      <c r="H373" s="508"/>
      <c r="I373" s="798"/>
      <c r="J373" s="798"/>
      <c r="K373" s="798"/>
      <c r="L373" s="508"/>
      <c r="M373" s="508"/>
      <c r="N373" s="508"/>
      <c r="O373" s="508"/>
      <c r="P373" s="508"/>
      <c r="Q373" s="508"/>
      <c r="R373" s="508"/>
      <c r="S373" s="508"/>
      <c r="T373" s="508"/>
      <c r="U373" s="308"/>
      <c r="V373" s="308"/>
      <c r="W373" s="308"/>
      <c r="X373" s="308"/>
      <c r="Y373" s="308"/>
    </row>
    <row r="374" spans="1:25" outlineLevel="1" x14ac:dyDescent="0.2">
      <c r="I374" s="509"/>
      <c r="J374" s="509"/>
      <c r="K374" s="509"/>
      <c r="U374" s="308"/>
      <c r="V374" s="308"/>
      <c r="W374" s="308"/>
      <c r="X374" s="308"/>
      <c r="Y374" s="308"/>
    </row>
    <row r="375" spans="1:25" s="1599" customFormat="1" ht="24.95" customHeight="1" outlineLevel="1" x14ac:dyDescent="0.25">
      <c r="B375" s="1599" t="s">
        <v>447</v>
      </c>
      <c r="D375" s="1600"/>
      <c r="E375" s="1600"/>
      <c r="F375" s="1600"/>
      <c r="G375" s="1600"/>
      <c r="H375" s="1600"/>
      <c r="I375" s="1484"/>
      <c r="J375" s="1662">
        <f>+'C UNIT PROG CCIALES'!E7</f>
        <v>45375.885833333334</v>
      </c>
      <c r="K375" s="1625">
        <f>+J375*(1+J$14)</f>
        <v>49686.594987500001</v>
      </c>
      <c r="L375" s="1603">
        <f>+K375*(1+K$14)</f>
        <v>52508.783645471005</v>
      </c>
      <c r="M375" s="1603">
        <f>+L375*(1+L$14)</f>
        <v>55491.27205477703</v>
      </c>
      <c r="N375" s="1603">
        <f>+M375*(1+M$14)</f>
        <v>58643.165209233957</v>
      </c>
      <c r="O375" s="1603">
        <f>+N375*(1+N$14)</f>
        <v>61974.085264485409</v>
      </c>
      <c r="P375" s="1603"/>
      <c r="Q375" s="1603"/>
      <c r="R375" s="1603"/>
      <c r="S375" s="1603"/>
      <c r="T375" s="1603"/>
      <c r="U375" s="307"/>
      <c r="V375" s="307"/>
      <c r="W375" s="307"/>
      <c r="X375" s="307"/>
      <c r="Y375" s="307"/>
    </row>
    <row r="376" spans="1:25" s="1599" customFormat="1" ht="24.95" customHeight="1" outlineLevel="1" x14ac:dyDescent="0.25">
      <c r="B376" s="1599" t="s">
        <v>853</v>
      </c>
      <c r="D376" s="1600"/>
      <c r="E376" s="1600"/>
      <c r="F376" s="1600"/>
      <c r="G376" s="1600"/>
      <c r="H376" s="1600"/>
      <c r="I376" s="1600"/>
      <c r="K376" s="1620">
        <f>K375*K368</f>
        <v>33091272.261675</v>
      </c>
      <c r="L376" s="1620">
        <f>L375*L368</f>
        <v>34970849.907883689</v>
      </c>
      <c r="M376" s="1620">
        <f>M375*M368</f>
        <v>36957187.188481502</v>
      </c>
      <c r="N376" s="1620">
        <f>N375*N368</f>
        <v>39056348.029349819</v>
      </c>
      <c r="O376" s="1620">
        <f>O375*O368</f>
        <v>41274740.786147282</v>
      </c>
      <c r="P376" s="1620"/>
      <c r="Q376" s="1620"/>
      <c r="R376" s="1620"/>
      <c r="S376" s="1620"/>
      <c r="T376" s="1620"/>
      <c r="U376" s="307"/>
      <c r="V376" s="307"/>
      <c r="W376" s="307"/>
      <c r="X376" s="307"/>
      <c r="Y376" s="307"/>
    </row>
    <row r="377" spans="1:25" s="1599" customFormat="1" ht="24.95" customHeight="1" outlineLevel="1" x14ac:dyDescent="0.25">
      <c r="B377" s="1599" t="s">
        <v>854</v>
      </c>
      <c r="C377" s="1605">
        <f>NPV($C$19,K376:T376)+J376</f>
        <v>118617452.52510804</v>
      </c>
      <c r="D377" s="1600"/>
      <c r="E377" s="1600"/>
      <c r="F377" s="1600"/>
      <c r="G377" s="1600"/>
      <c r="H377" s="1600"/>
      <c r="I377" s="1600"/>
      <c r="K377" s="1612"/>
      <c r="L377" s="1612"/>
      <c r="M377" s="1612"/>
      <c r="N377" s="1612"/>
      <c r="O377" s="1612"/>
      <c r="P377" s="1612"/>
      <c r="Q377" s="1612"/>
      <c r="R377" s="1612"/>
      <c r="S377" s="1612"/>
      <c r="T377" s="1612"/>
      <c r="U377" s="307"/>
      <c r="V377" s="307"/>
      <c r="W377" s="307"/>
      <c r="X377" s="307"/>
      <c r="Y377" s="307"/>
    </row>
    <row r="378" spans="1:25" s="326" customFormat="1" ht="24.95" customHeight="1" outlineLevel="1" x14ac:dyDescent="0.2">
      <c r="B378" s="326" t="s">
        <v>855</v>
      </c>
      <c r="C378" s="1677"/>
      <c r="D378" s="316"/>
      <c r="E378" s="316"/>
      <c r="F378" s="316"/>
      <c r="G378" s="316"/>
      <c r="H378" s="316"/>
      <c r="I378" s="316"/>
      <c r="K378" s="1633">
        <f>K371*K$138</f>
        <v>35338321.35543827</v>
      </c>
      <c r="L378" s="1633">
        <f>L371*L$138</f>
        <v>36596219.295041457</v>
      </c>
      <c r="M378" s="1633">
        <f>M371*M$138</f>
        <v>37898893.193597049</v>
      </c>
      <c r="N378" s="1633">
        <f>N371*N$138</f>
        <v>39247936.889871277</v>
      </c>
      <c r="O378" s="1633">
        <f>O371*O$138</f>
        <v>40645000.956691965</v>
      </c>
      <c r="P378" s="1633"/>
      <c r="Q378" s="1633"/>
      <c r="R378" s="1633"/>
      <c r="S378" s="1633"/>
      <c r="T378" s="1633"/>
      <c r="U378" s="307"/>
      <c r="V378" s="307"/>
      <c r="W378" s="307"/>
      <c r="X378" s="307"/>
      <c r="Y378" s="307"/>
    </row>
    <row r="379" spans="1:25" s="1599" customFormat="1" ht="24.95" customHeight="1" outlineLevel="1" x14ac:dyDescent="0.25">
      <c r="B379" s="1599" t="s">
        <v>828</v>
      </c>
      <c r="C379" s="1605">
        <f>NPV($C$19,K378:T378)+J378</f>
        <v>122159672.96346797</v>
      </c>
      <c r="D379" s="1600"/>
      <c r="E379" s="1600"/>
      <c r="F379" s="1600"/>
      <c r="G379" s="1600"/>
      <c r="H379" s="1600"/>
      <c r="I379" s="1600"/>
      <c r="J379" s="1600"/>
      <c r="K379" s="1612"/>
      <c r="L379" s="1612"/>
      <c r="M379" s="1612"/>
      <c r="N379" s="1612"/>
      <c r="O379" s="1612"/>
      <c r="P379" s="1612"/>
      <c r="Q379" s="1612"/>
      <c r="R379" s="1612"/>
      <c r="S379" s="1612"/>
      <c r="T379" s="1612"/>
      <c r="U379" s="307"/>
      <c r="V379" s="307"/>
      <c r="W379" s="307"/>
      <c r="X379" s="307"/>
      <c r="Y379" s="307"/>
    </row>
    <row r="380" spans="1:25" s="1599" customFormat="1" ht="24.95" customHeight="1" outlineLevel="1" x14ac:dyDescent="0.25">
      <c r="B380" s="1599" t="s">
        <v>829</v>
      </c>
      <c r="C380" s="1607">
        <f>C379/C377</f>
        <v>1.029862557009561</v>
      </c>
      <c r="D380" s="1600"/>
      <c r="E380" s="1600"/>
      <c r="F380" s="1600"/>
      <c r="G380" s="1600"/>
      <c r="H380" s="1600"/>
      <c r="I380" s="1600"/>
      <c r="J380" s="1600"/>
      <c r="K380" s="1600"/>
      <c r="L380" s="1636"/>
      <c r="M380" s="1600"/>
      <c r="N380" s="1600"/>
      <c r="O380" s="1600"/>
      <c r="P380" s="1600"/>
      <c r="Q380" s="1600"/>
      <c r="R380" s="1600"/>
      <c r="S380" s="1600"/>
      <c r="T380" s="1600"/>
      <c r="U380" s="307"/>
      <c r="V380" s="307"/>
      <c r="W380" s="307"/>
      <c r="X380" s="307"/>
      <c r="Y380" s="307"/>
    </row>
    <row r="381" spans="1:25" x14ac:dyDescent="0.2">
      <c r="C381" s="517"/>
      <c r="U381" s="308"/>
      <c r="V381" s="308"/>
      <c r="W381" s="308"/>
      <c r="X381" s="308"/>
      <c r="Y381" s="308"/>
    </row>
    <row r="382" spans="1:25" s="1595" customFormat="1" ht="23.85" customHeight="1" thickBot="1" x14ac:dyDescent="0.25">
      <c r="A382" s="1590"/>
      <c r="B382" s="1592" t="s">
        <v>1194</v>
      </c>
      <c r="C382" s="1592"/>
      <c r="D382" s="1593">
        <f>$D$11</f>
        <v>2019</v>
      </c>
      <c r="E382" s="1594">
        <f t="shared" ref="E382:T382" si="107">+D382+1</f>
        <v>2020</v>
      </c>
      <c r="F382" s="1594">
        <f t="shared" si="107"/>
        <v>2021</v>
      </c>
      <c r="G382" s="1594">
        <f t="shared" si="107"/>
        <v>2022</v>
      </c>
      <c r="H382" s="1594">
        <f t="shared" si="107"/>
        <v>2023</v>
      </c>
      <c r="I382" s="1594">
        <f t="shared" si="107"/>
        <v>2024</v>
      </c>
      <c r="J382" s="1594">
        <f>J262</f>
        <v>0</v>
      </c>
      <c r="K382" s="1594">
        <f t="shared" si="107"/>
        <v>1</v>
      </c>
      <c r="L382" s="1594">
        <f t="shared" si="107"/>
        <v>2</v>
      </c>
      <c r="M382" s="1594">
        <f t="shared" si="107"/>
        <v>3</v>
      </c>
      <c r="N382" s="1594">
        <f t="shared" si="107"/>
        <v>4</v>
      </c>
      <c r="O382" s="1594">
        <f t="shared" si="107"/>
        <v>5</v>
      </c>
      <c r="P382" s="1594">
        <f t="shared" si="107"/>
        <v>6</v>
      </c>
      <c r="Q382" s="1594">
        <f t="shared" si="107"/>
        <v>7</v>
      </c>
      <c r="R382" s="1594">
        <f t="shared" si="107"/>
        <v>8</v>
      </c>
      <c r="S382" s="1594">
        <f t="shared" si="107"/>
        <v>9</v>
      </c>
      <c r="T382" s="1594">
        <f t="shared" si="107"/>
        <v>10</v>
      </c>
      <c r="U382" s="308"/>
      <c r="V382" s="308"/>
      <c r="W382" s="308"/>
      <c r="X382" s="308"/>
      <c r="Y382" s="308"/>
    </row>
    <row r="383" spans="1:25" ht="45.75" customHeight="1" outlineLevel="1" x14ac:dyDescent="0.2">
      <c r="B383" s="889" t="s">
        <v>1270</v>
      </c>
      <c r="U383" s="308"/>
      <c r="V383" s="308"/>
      <c r="W383" s="308"/>
      <c r="X383" s="308"/>
      <c r="Y383" s="308"/>
    </row>
    <row r="384" spans="1:25" outlineLevel="1" x14ac:dyDescent="0.2">
      <c r="B384" s="512"/>
      <c r="C384" s="512"/>
      <c r="D384" s="797"/>
      <c r="E384" s="797"/>
      <c r="F384" s="797"/>
      <c r="G384" s="797"/>
      <c r="H384" s="797"/>
      <c r="I384" s="797"/>
      <c r="J384" s="797"/>
      <c r="K384" s="797"/>
      <c r="L384" s="797"/>
      <c r="M384" s="797"/>
      <c r="N384" s="797"/>
      <c r="O384" s="797"/>
      <c r="P384" s="797"/>
      <c r="Q384" s="797"/>
      <c r="R384" s="797"/>
      <c r="S384" s="797"/>
      <c r="T384" s="797"/>
      <c r="U384" s="308"/>
      <c r="V384" s="308"/>
      <c r="W384" s="308"/>
      <c r="X384" s="308"/>
      <c r="Y384" s="308"/>
    </row>
    <row r="385" spans="2:25" outlineLevel="1" x14ac:dyDescent="0.2">
      <c r="B385" s="308"/>
      <c r="C385" s="308"/>
      <c r="D385" s="513"/>
      <c r="E385" s="513"/>
      <c r="F385" s="513"/>
      <c r="G385" s="513"/>
      <c r="H385" s="530"/>
      <c r="I385" s="526"/>
      <c r="J385" s="509"/>
      <c r="K385" s="509"/>
      <c r="U385" s="308"/>
      <c r="V385" s="308"/>
      <c r="W385" s="308"/>
      <c r="X385" s="308"/>
      <c r="Y385" s="308"/>
    </row>
    <row r="386" spans="2:25" outlineLevel="1" x14ac:dyDescent="0.2">
      <c r="B386" s="308"/>
      <c r="C386" s="308"/>
      <c r="D386" s="513"/>
      <c r="E386" s="513"/>
      <c r="F386" s="513"/>
      <c r="G386" s="513"/>
      <c r="H386" s="530"/>
      <c r="I386" s="526"/>
      <c r="J386" s="509"/>
      <c r="K386" s="509"/>
      <c r="U386" s="308"/>
      <c r="V386" s="308"/>
      <c r="W386" s="308"/>
      <c r="X386" s="308"/>
      <c r="Y386" s="308"/>
    </row>
    <row r="387" spans="2:25" outlineLevel="1" x14ac:dyDescent="0.2">
      <c r="B387" s="308"/>
      <c r="C387" s="1679"/>
      <c r="D387" s="513"/>
      <c r="E387" s="513"/>
      <c r="F387" s="513"/>
      <c r="G387" s="513"/>
      <c r="H387" s="530"/>
      <c r="I387" s="526"/>
      <c r="J387" s="506"/>
      <c r="K387" s="526"/>
      <c r="L387" s="526"/>
      <c r="M387" s="526"/>
      <c r="N387" s="526"/>
      <c r="O387" s="526"/>
      <c r="P387" s="526"/>
      <c r="Q387" s="526"/>
      <c r="R387" s="526"/>
      <c r="S387" s="526"/>
      <c r="T387" s="526"/>
      <c r="U387" s="308"/>
      <c r="V387" s="308"/>
      <c r="W387" s="308"/>
      <c r="X387" s="308"/>
      <c r="Y387" s="308"/>
    </row>
    <row r="388" spans="2:25" outlineLevel="1" x14ac:dyDescent="0.2">
      <c r="B388" s="1451" t="s">
        <v>1265</v>
      </c>
      <c r="C388" s="1680">
        <v>1</v>
      </c>
      <c r="D388" s="875" t="s">
        <v>1264</v>
      </c>
      <c r="I388" s="509"/>
      <c r="J388" s="506"/>
      <c r="K388" s="526">
        <f>+K80*K78</f>
        <v>1758</v>
      </c>
      <c r="L388" s="526">
        <f>+L80*L78</f>
        <v>1758</v>
      </c>
      <c r="M388" s="526">
        <f>+M80*M78</f>
        <v>1758</v>
      </c>
      <c r="N388" s="526">
        <f>+N80*N78</f>
        <v>2344</v>
      </c>
      <c r="O388" s="526">
        <f>+O80*O78</f>
        <v>2344</v>
      </c>
      <c r="P388" s="526"/>
      <c r="Q388" s="526"/>
      <c r="R388" s="526"/>
      <c r="S388" s="526"/>
      <c r="T388" s="526"/>
      <c r="U388" s="308"/>
      <c r="V388" s="308"/>
      <c r="W388" s="308"/>
      <c r="X388" s="308"/>
      <c r="Y388" s="308"/>
    </row>
    <row r="389" spans="2:25" outlineLevel="1" x14ac:dyDescent="0.2">
      <c r="B389" s="1451" t="s">
        <v>1192</v>
      </c>
      <c r="C389" s="1679">
        <f>SUM(K388:O388)</f>
        <v>9962</v>
      </c>
      <c r="D389" s="875" t="s">
        <v>1266</v>
      </c>
      <c r="I389" s="514"/>
      <c r="J389" s="514"/>
      <c r="K389" s="528">
        <f>+K388*$C$388</f>
        <v>1758</v>
      </c>
      <c r="L389" s="528">
        <f>+L388*$C$388</f>
        <v>1758</v>
      </c>
      <c r="M389" s="528">
        <f>+M388*$C$388</f>
        <v>1758</v>
      </c>
      <c r="N389" s="528">
        <f>+N388*$C$388</f>
        <v>2344</v>
      </c>
      <c r="O389" s="528">
        <f>+O388*$C$388</f>
        <v>2344</v>
      </c>
      <c r="P389" s="528"/>
      <c r="Q389" s="528"/>
      <c r="R389" s="528"/>
      <c r="S389" s="528"/>
      <c r="T389" s="528"/>
      <c r="U389" s="308"/>
      <c r="V389" s="308"/>
      <c r="W389" s="308"/>
      <c r="X389" s="308"/>
      <c r="Y389" s="308"/>
    </row>
    <row r="390" spans="2:25" ht="13.5" outlineLevel="1" x14ac:dyDescent="0.2">
      <c r="B390" s="1451" t="s">
        <v>1267</v>
      </c>
      <c r="C390" s="1678">
        <f>J79</f>
        <v>9.2899999999999991</v>
      </c>
      <c r="D390" s="1400" t="s">
        <v>438</v>
      </c>
      <c r="I390" s="509"/>
      <c r="J390" s="526"/>
      <c r="K390" s="526">
        <f>+K79*K389*12</f>
        <v>193826.03975999999</v>
      </c>
      <c r="L390" s="526">
        <f>+L79*L389*12</f>
        <v>191693.95332263995</v>
      </c>
      <c r="M390" s="526">
        <f>+M79*M389*12</f>
        <v>189585.3198360909</v>
      </c>
      <c r="N390" s="526">
        <f>+N79*N389*12</f>
        <v>249999.84175719193</v>
      </c>
      <c r="O390" s="526">
        <f>+O79*O389*12</f>
        <v>247249.84349786278</v>
      </c>
      <c r="P390" s="526"/>
      <c r="Q390" s="526"/>
      <c r="R390" s="526"/>
      <c r="S390" s="526"/>
      <c r="T390" s="526"/>
      <c r="U390" s="308"/>
      <c r="V390" s="308"/>
      <c r="W390" s="308"/>
      <c r="X390" s="308"/>
      <c r="Y390" s="308"/>
    </row>
    <row r="391" spans="2:25" outlineLevel="1" x14ac:dyDescent="0.2">
      <c r="B391" s="308" t="s">
        <v>1268</v>
      </c>
      <c r="C391" s="1681"/>
      <c r="D391" s="1682"/>
      <c r="I391" s="509"/>
      <c r="J391" s="1683"/>
      <c r="K391" s="526">
        <f>K390</f>
        <v>193826.03975999999</v>
      </c>
      <c r="L391" s="526">
        <f>+L390+(K391*(1+L38))</f>
        <v>383387.90664527996</v>
      </c>
      <c r="M391" s="526">
        <f>+M390+(L391*(1+M38))</f>
        <v>568755.95950827282</v>
      </c>
      <c r="N391" s="526">
        <f>+N390+(M391*(1+N38))</f>
        <v>812499.48571087373</v>
      </c>
      <c r="O391" s="526">
        <f>+O390+(N391*(1+O38))</f>
        <v>1050811.8348659168</v>
      </c>
      <c r="P391" s="526"/>
      <c r="Q391" s="526"/>
      <c r="R391" s="526"/>
      <c r="S391" s="526"/>
      <c r="T391" s="526"/>
      <c r="U391" s="308"/>
      <c r="V391" s="308"/>
      <c r="W391" s="308"/>
      <c r="X391" s="308"/>
      <c r="Y391" s="308"/>
    </row>
    <row r="392" spans="2:25" s="1599" customFormat="1" ht="24.95" customHeight="1" outlineLevel="1" x14ac:dyDescent="0.25">
      <c r="B392" s="326" t="s">
        <v>990</v>
      </c>
      <c r="D392" s="1600"/>
      <c r="E392" s="1600"/>
      <c r="F392" s="1600"/>
      <c r="G392" s="1600"/>
      <c r="H392" s="1600"/>
      <c r="I392" s="1630"/>
      <c r="J392" s="1662">
        <f>'C UNIT PROG CCIALES'!E17</f>
        <v>104265.7625</v>
      </c>
      <c r="K392" s="1625">
        <f t="shared" ref="K392:N393" si="108">+J392*(1+J$14)</f>
        <v>114171.0099375</v>
      </c>
      <c r="L392" s="1625">
        <f t="shared" si="108"/>
        <v>120655.90046774803</v>
      </c>
      <c r="M392" s="1625">
        <f t="shared" si="108"/>
        <v>127509.13148313602</v>
      </c>
      <c r="N392" s="1625">
        <f t="shared" si="108"/>
        <v>134751.62464955187</v>
      </c>
      <c r="O392" s="1625">
        <f>+N392*(1+N$14)</f>
        <v>142405.48997932149</v>
      </c>
      <c r="P392" s="1625"/>
      <c r="Q392" s="1625"/>
      <c r="R392" s="1625"/>
      <c r="S392" s="1625"/>
      <c r="T392" s="1625"/>
      <c r="U392" s="307"/>
      <c r="V392" s="307"/>
      <c r="W392" s="307"/>
      <c r="X392" s="307"/>
      <c r="Y392" s="307"/>
    </row>
    <row r="393" spans="2:25" s="1599" customFormat="1" ht="35.25" customHeight="1" outlineLevel="1" x14ac:dyDescent="0.25">
      <c r="B393" s="364" t="s">
        <v>993</v>
      </c>
      <c r="D393" s="1637"/>
      <c r="E393" s="1600"/>
      <c r="F393" s="1600"/>
      <c r="G393" s="1600"/>
      <c r="H393" s="1600"/>
      <c r="I393" s="1484"/>
      <c r="J393" s="1684">
        <f>'C UNIT PROG CCIALES'!E8</f>
        <v>1129937.46875</v>
      </c>
      <c r="K393" s="1625">
        <f t="shared" si="108"/>
        <v>1237281.52828125</v>
      </c>
      <c r="L393" s="1625">
        <f t="shared" ref="L393:N394" si="109">+K393*(1+K$14)</f>
        <v>1307558.8716313194</v>
      </c>
      <c r="M393" s="1625">
        <f t="shared" si="109"/>
        <v>1381827.9540282041</v>
      </c>
      <c r="N393" s="1625">
        <f t="shared" si="109"/>
        <v>1460315.5054514154</v>
      </c>
      <c r="O393" s="1625">
        <f>+N393*(1+N$14)</f>
        <v>1543261.1340979547</v>
      </c>
      <c r="P393" s="1625"/>
      <c r="Q393" s="1625"/>
      <c r="R393" s="1625"/>
      <c r="S393" s="1625"/>
      <c r="T393" s="1625"/>
      <c r="U393" s="307"/>
      <c r="V393" s="307"/>
      <c r="W393" s="307"/>
      <c r="X393" s="307"/>
      <c r="Y393" s="307"/>
    </row>
    <row r="394" spans="2:25" s="1599" customFormat="1" ht="24.95" customHeight="1" outlineLevel="1" x14ac:dyDescent="0.25">
      <c r="B394" s="326" t="s">
        <v>856</v>
      </c>
      <c r="D394" s="1600"/>
      <c r="E394" s="1600"/>
      <c r="F394" s="1600"/>
      <c r="G394" s="1600"/>
      <c r="H394" s="1600"/>
      <c r="I394" s="1610"/>
      <c r="J394" s="1685">
        <f>'C UNIT PROG CCIALES'!E19*12</f>
        <v>60000000</v>
      </c>
      <c r="K394" s="1625">
        <f>+J394*(1+J$14)</f>
        <v>65700000</v>
      </c>
      <c r="L394" s="1603">
        <f t="shared" si="109"/>
        <v>69431746.859999999</v>
      </c>
      <c r="M394" s="1603">
        <f t="shared" si="109"/>
        <v>73375456.195298627</v>
      </c>
      <c r="N394" s="1603">
        <f t="shared" si="109"/>
        <v>77543167.432100356</v>
      </c>
      <c r="O394" s="1603">
        <f>+N394*(1+N$14)</f>
        <v>81947603.833610177</v>
      </c>
      <c r="P394" s="1603"/>
      <c r="Q394" s="1603"/>
      <c r="R394" s="1603"/>
      <c r="S394" s="1603"/>
      <c r="T394" s="1603"/>
      <c r="U394" s="307"/>
      <c r="V394" s="307"/>
      <c r="W394" s="307"/>
      <c r="X394" s="307"/>
      <c r="Y394" s="307"/>
    </row>
    <row r="395" spans="2:25" s="1599" customFormat="1" ht="24.95" customHeight="1" outlineLevel="1" x14ac:dyDescent="0.25">
      <c r="B395" s="1599" t="s">
        <v>1056</v>
      </c>
      <c r="D395" s="1600"/>
      <c r="E395" s="1600"/>
      <c r="F395" s="1600"/>
      <c r="G395" s="1600"/>
      <c r="H395" s="1600"/>
      <c r="I395" s="1600"/>
      <c r="K395" s="1686">
        <f>(K392*K389)+(K393*K78)+(K394*K78)</f>
        <v>602336324.63981247</v>
      </c>
      <c r="L395" s="1686">
        <f>(L392*L389)+(L393*L78)+(L394*L78)</f>
        <v>636548907.41208887</v>
      </c>
      <c r="M395" s="1686">
        <f>(M392*M389)+(M393*M78)+(M394*M78)</f>
        <v>672704758.0433141</v>
      </c>
      <c r="N395" s="1686">
        <f>(N392*N389)+(N393*N78)+(N394*N78)</f>
        <v>947885671.67896378</v>
      </c>
      <c r="O395" s="1686">
        <f>(O392*O389)+(O393*O78)+(O394*O78)</f>
        <v>1001725388.2531946</v>
      </c>
      <c r="P395" s="1634"/>
      <c r="Q395" s="1634"/>
      <c r="R395" s="1634"/>
      <c r="S395" s="1634"/>
      <c r="T395" s="1634"/>
      <c r="U395" s="307"/>
      <c r="V395" s="307"/>
      <c r="W395" s="307"/>
      <c r="X395" s="307"/>
      <c r="Y395" s="307"/>
    </row>
    <row r="396" spans="2:25" s="1599" customFormat="1" ht="24.95" customHeight="1" outlineLevel="1" x14ac:dyDescent="0.25">
      <c r="B396" s="364" t="s">
        <v>1269</v>
      </c>
      <c r="C396" s="1605">
        <f>NPV($C$19,K395:T395)+J395</f>
        <v>2406564599.0319901</v>
      </c>
      <c r="D396" s="1600"/>
      <c r="E396" s="1600"/>
      <c r="F396" s="1600"/>
      <c r="G396" s="1600"/>
      <c r="H396" s="1600"/>
      <c r="I396" s="1600"/>
      <c r="K396" s="1612"/>
      <c r="L396" s="1612"/>
      <c r="M396" s="1612"/>
      <c r="N396" s="1612"/>
      <c r="O396" s="1612"/>
      <c r="P396" s="1612"/>
      <c r="Q396" s="1612"/>
      <c r="R396" s="1612"/>
      <c r="S396" s="1612"/>
      <c r="T396" s="1612"/>
      <c r="U396" s="307"/>
      <c r="V396" s="307"/>
      <c r="W396" s="307"/>
      <c r="X396" s="307"/>
      <c r="Y396" s="307"/>
    </row>
    <row r="397" spans="2:25" s="1599" customFormat="1" ht="24.95" customHeight="1" outlineLevel="1" x14ac:dyDescent="0.25">
      <c r="B397" s="326" t="s">
        <v>1193</v>
      </c>
      <c r="C397" s="1613"/>
      <c r="D397" s="1600"/>
      <c r="E397" s="1600"/>
      <c r="F397" s="1600"/>
      <c r="G397" s="1600"/>
      <c r="H397" s="1600"/>
      <c r="I397" s="1600"/>
      <c r="K397" s="1686">
        <f>(K391*J138)</f>
        <v>692426082.69902158</v>
      </c>
      <c r="L397" s="1686">
        <f>(L391*K138)</f>
        <v>1418371550.3370676</v>
      </c>
      <c r="M397" s="1686">
        <f>(M391*L138)</f>
        <v>2179053373.0660043</v>
      </c>
      <c r="N397" s="1686">
        <f>(N391*M138)</f>
        <v>3223705111.8937325</v>
      </c>
      <c r="O397" s="1686">
        <f>(O391*N138)</f>
        <v>4317650395.5137501</v>
      </c>
      <c r="P397" s="1634"/>
      <c r="Q397" s="1634"/>
      <c r="R397" s="1634"/>
      <c r="S397" s="1634"/>
      <c r="T397" s="1634"/>
      <c r="U397" s="307"/>
      <c r="V397" s="307"/>
      <c r="W397" s="307"/>
      <c r="X397" s="307"/>
      <c r="Y397" s="307"/>
    </row>
    <row r="398" spans="2:25" s="1599" customFormat="1" ht="24.95" customHeight="1" outlineLevel="1" x14ac:dyDescent="0.25">
      <c r="B398" s="1599" t="s">
        <v>828</v>
      </c>
      <c r="C398" s="1605">
        <f>NPV($C$19,K397:T397)+J397</f>
        <v>6825536132.4480724</v>
      </c>
      <c r="D398" s="1600"/>
      <c r="E398" s="1600"/>
      <c r="F398" s="1600"/>
      <c r="G398" s="1600"/>
      <c r="H398" s="1600"/>
      <c r="I398" s="1600"/>
      <c r="J398" s="1600"/>
      <c r="K398" s="1612"/>
      <c r="L398" s="1612"/>
      <c r="M398" s="1612"/>
      <c r="N398" s="1612"/>
      <c r="O398" s="1612"/>
      <c r="P398" s="1612"/>
      <c r="Q398" s="1612"/>
      <c r="R398" s="1612"/>
      <c r="S398" s="1612"/>
      <c r="T398" s="1612"/>
      <c r="U398" s="307"/>
      <c r="V398" s="307"/>
      <c r="W398" s="307"/>
      <c r="X398" s="307"/>
      <c r="Y398" s="307"/>
    </row>
    <row r="399" spans="2:25" s="1599" customFormat="1" ht="24.95" customHeight="1" outlineLevel="1" x14ac:dyDescent="0.25">
      <c r="B399" s="1599" t="s">
        <v>829</v>
      </c>
      <c r="C399" s="1607">
        <f>IFERROR(C398/C396,0)</f>
        <v>2.8362156308596735</v>
      </c>
      <c r="D399" s="1600"/>
      <c r="E399" s="1600"/>
      <c r="F399" s="1600"/>
      <c r="G399" s="1600"/>
      <c r="H399" s="1600"/>
      <c r="I399" s="1600"/>
      <c r="J399" s="1600"/>
      <c r="K399" s="1600"/>
      <c r="L399" s="1600"/>
      <c r="M399" s="1600"/>
      <c r="N399" s="1612"/>
      <c r="O399" s="1600"/>
      <c r="P399" s="1600"/>
      <c r="Q399" s="1600"/>
      <c r="R399" s="1600"/>
      <c r="S399" s="1600"/>
      <c r="T399" s="1600"/>
      <c r="U399" s="307"/>
      <c r="V399" s="307"/>
      <c r="W399" s="307"/>
      <c r="X399" s="307"/>
      <c r="Y399" s="307"/>
    </row>
    <row r="400" spans="2:25" x14ac:dyDescent="0.2">
      <c r="C400" s="1613"/>
      <c r="N400" s="802"/>
      <c r="U400" s="308"/>
      <c r="V400" s="308"/>
      <c r="W400" s="308"/>
      <c r="X400" s="308"/>
      <c r="Y400" s="308"/>
    </row>
    <row r="401" spans="1:25" s="1595" customFormat="1" ht="23.85" customHeight="1" thickBot="1" x14ac:dyDescent="0.25">
      <c r="A401" s="1590"/>
      <c r="B401" s="1592" t="s">
        <v>1184</v>
      </c>
      <c r="C401" s="1592"/>
      <c r="D401" s="1593">
        <f>$D$11</f>
        <v>2019</v>
      </c>
      <c r="E401" s="1594">
        <f t="shared" ref="E401:T401" si="110">+D401+1</f>
        <v>2020</v>
      </c>
      <c r="F401" s="1594">
        <f t="shared" si="110"/>
        <v>2021</v>
      </c>
      <c r="G401" s="1594">
        <f t="shared" si="110"/>
        <v>2022</v>
      </c>
      <c r="H401" s="1594">
        <f t="shared" si="110"/>
        <v>2023</v>
      </c>
      <c r="I401" s="1594">
        <f t="shared" si="110"/>
        <v>2024</v>
      </c>
      <c r="J401" s="1594">
        <f>J281</f>
        <v>0</v>
      </c>
      <c r="K401" s="1594">
        <f t="shared" si="110"/>
        <v>1</v>
      </c>
      <c r="L401" s="1594">
        <f t="shared" si="110"/>
        <v>2</v>
      </c>
      <c r="M401" s="1594">
        <f t="shared" si="110"/>
        <v>3</v>
      </c>
      <c r="N401" s="1594">
        <f t="shared" si="110"/>
        <v>4</v>
      </c>
      <c r="O401" s="1594">
        <f t="shared" si="110"/>
        <v>5</v>
      </c>
      <c r="P401" s="1594">
        <f t="shared" si="110"/>
        <v>6</v>
      </c>
      <c r="Q401" s="1594">
        <f t="shared" si="110"/>
        <v>7</v>
      </c>
      <c r="R401" s="1594">
        <f t="shared" si="110"/>
        <v>8</v>
      </c>
      <c r="S401" s="1594">
        <f t="shared" si="110"/>
        <v>9</v>
      </c>
      <c r="T401" s="1594">
        <f t="shared" si="110"/>
        <v>10</v>
      </c>
      <c r="U401" s="308"/>
      <c r="V401" s="308"/>
      <c r="W401" s="308"/>
      <c r="X401" s="308"/>
      <c r="Y401" s="308"/>
    </row>
    <row r="402" spans="1:25" ht="66" hidden="1" customHeight="1" outlineLevel="1" x14ac:dyDescent="0.2">
      <c r="B402" s="889" t="s">
        <v>1183</v>
      </c>
      <c r="D402" s="797"/>
      <c r="E402" s="797"/>
      <c r="F402" s="797"/>
      <c r="G402" s="797"/>
      <c r="H402" s="797"/>
      <c r="I402" s="797"/>
      <c r="J402" s="797"/>
      <c r="K402" s="797"/>
      <c r="L402" s="797"/>
      <c r="M402" s="797"/>
      <c r="N402" s="797"/>
      <c r="O402" s="1534"/>
      <c r="P402" s="308"/>
      <c r="Q402" s="308"/>
      <c r="R402" s="308"/>
      <c r="S402" s="308"/>
      <c r="T402" s="308"/>
      <c r="U402" s="308"/>
      <c r="V402" s="308"/>
    </row>
    <row r="403" spans="1:25" hidden="1" outlineLevel="1" x14ac:dyDescent="0.2">
      <c r="B403" s="512"/>
      <c r="C403" s="512"/>
      <c r="D403" s="797"/>
      <c r="E403" s="797"/>
      <c r="F403" s="797"/>
      <c r="G403" s="797"/>
      <c r="H403" s="797"/>
      <c r="I403" s="797"/>
      <c r="J403" s="797"/>
      <c r="K403" s="797"/>
      <c r="L403" s="797"/>
      <c r="M403" s="797"/>
      <c r="N403" s="797"/>
      <c r="O403" s="797"/>
      <c r="P403" s="797"/>
      <c r="Q403" s="797"/>
      <c r="R403" s="797"/>
      <c r="S403" s="797"/>
      <c r="T403" s="797"/>
      <c r="U403" s="308"/>
      <c r="V403" s="308"/>
      <c r="W403" s="308"/>
      <c r="X403" s="308"/>
      <c r="Y403" s="308"/>
    </row>
    <row r="404" spans="1:25" hidden="1" outlineLevel="1" x14ac:dyDescent="0.2">
      <c r="B404" s="308" t="s">
        <v>1199</v>
      </c>
      <c r="C404" s="512"/>
      <c r="D404" s="797"/>
      <c r="E404" s="797"/>
      <c r="F404" s="797"/>
      <c r="G404" s="797"/>
      <c r="H404" s="528"/>
      <c r="I404" s="1401"/>
      <c r="J404" s="514">
        <f t="shared" ref="J404:O404" si="111">J74</f>
        <v>288</v>
      </c>
      <c r="K404" s="514">
        <f t="shared" si="111"/>
        <v>291.77280000000002</v>
      </c>
      <c r="L404" s="514">
        <f t="shared" si="111"/>
        <v>295.59502368000005</v>
      </c>
      <c r="M404" s="514">
        <f t="shared" si="111"/>
        <v>299.46731849020807</v>
      </c>
      <c r="N404" s="514">
        <f t="shared" si="111"/>
        <v>303.39034036242981</v>
      </c>
      <c r="O404" s="514">
        <f t="shared" si="111"/>
        <v>307.36475382117766</v>
      </c>
      <c r="P404" s="1401"/>
      <c r="Q404" s="1401"/>
      <c r="R404" s="1401"/>
      <c r="S404" s="1401"/>
      <c r="T404" s="1398"/>
      <c r="U404" s="308"/>
      <c r="V404" s="308"/>
      <c r="W404" s="308"/>
      <c r="X404" s="308"/>
      <c r="Y404" s="308"/>
    </row>
    <row r="405" spans="1:25" hidden="1" outlineLevel="1" x14ac:dyDescent="0.2">
      <c r="B405" s="487" t="s">
        <v>1272</v>
      </c>
      <c r="C405" s="1687">
        <v>0.2</v>
      </c>
      <c r="D405" s="884"/>
      <c r="E405" s="506"/>
      <c r="F405" s="506"/>
      <c r="G405" s="506"/>
      <c r="H405" s="304"/>
      <c r="I405" s="304"/>
      <c r="K405" s="492">
        <f>INT(K404*$C$405)</f>
        <v>58</v>
      </c>
      <c r="L405" s="492">
        <f>INT(L404*$C$405)</f>
        <v>59</v>
      </c>
      <c r="M405" s="492">
        <f>INT(M404*$C$405)</f>
        <v>59</v>
      </c>
      <c r="N405" s="492">
        <f>INT(N404*$C$405)</f>
        <v>60</v>
      </c>
      <c r="O405" s="492">
        <f>INT(O404*$C$405)</f>
        <v>61</v>
      </c>
      <c r="T405" s="793"/>
      <c r="U405" s="308"/>
      <c r="V405" s="308"/>
      <c r="W405" s="308"/>
      <c r="X405" s="308"/>
      <c r="Y405" s="308"/>
    </row>
    <row r="406" spans="1:25" hidden="1" outlineLevel="1" x14ac:dyDescent="0.2">
      <c r="B406" s="487" t="s">
        <v>858</v>
      </c>
      <c r="D406" s="513"/>
      <c r="E406" s="513"/>
      <c r="F406" s="513"/>
      <c r="G406" s="513"/>
      <c r="H406" s="528"/>
      <c r="I406" s="528"/>
      <c r="J406" s="526">
        <f t="shared" ref="J406:O406" si="112">+J$77</f>
        <v>2147</v>
      </c>
      <c r="K406" s="526">
        <f t="shared" si="112"/>
        <v>2123.3829999999998</v>
      </c>
      <c r="L406" s="526">
        <f t="shared" si="112"/>
        <v>2100.0257869999996</v>
      </c>
      <c r="M406" s="526">
        <f t="shared" si="112"/>
        <v>2076.9255033429995</v>
      </c>
      <c r="N406" s="526">
        <f t="shared" si="112"/>
        <v>2054.0793228062266</v>
      </c>
      <c r="O406" s="526">
        <f t="shared" si="112"/>
        <v>2031.4844502553581</v>
      </c>
      <c r="P406" s="526"/>
      <c r="Q406" s="526"/>
      <c r="R406" s="526"/>
      <c r="S406" s="526"/>
      <c r="T406" s="526"/>
      <c r="U406" s="308"/>
      <c r="V406" s="308"/>
      <c r="W406" s="308"/>
      <c r="X406" s="308"/>
      <c r="Y406" s="308"/>
    </row>
    <row r="407" spans="1:25" ht="13.5" hidden="1" outlineLevel="1" x14ac:dyDescent="0.2">
      <c r="B407" s="487" t="s">
        <v>1035</v>
      </c>
      <c r="C407" s="1688">
        <v>0.1</v>
      </c>
      <c r="D407" s="881" t="s">
        <v>1271</v>
      </c>
      <c r="H407" s="304"/>
      <c r="I407" s="528"/>
      <c r="J407" s="526"/>
      <c r="K407" s="526">
        <f>(K406*K405*12)*$C$407</f>
        <v>147787.45680000001</v>
      </c>
      <c r="L407" s="526">
        <f>(L406*L405*12)*$C$407</f>
        <v>148681.82571959996</v>
      </c>
      <c r="M407" s="526">
        <f>(M406*M405*12)*$C$407</f>
        <v>147046.32563668437</v>
      </c>
      <c r="N407" s="526">
        <f>(N406*N405*12)*$C$407</f>
        <v>147893.71124204833</v>
      </c>
      <c r="O407" s="526">
        <f>(O406*O405*12)*$C$407</f>
        <v>148704.66175869221</v>
      </c>
      <c r="P407" s="526"/>
      <c r="Q407" s="526"/>
      <c r="R407" s="526"/>
      <c r="S407" s="526"/>
      <c r="T407" s="526"/>
      <c r="U407" s="308"/>
      <c r="V407" s="308"/>
      <c r="W407" s="308"/>
      <c r="X407" s="308"/>
      <c r="Y407" s="308"/>
    </row>
    <row r="408" spans="1:25" s="1599" customFormat="1" ht="20.100000000000001" hidden="1" customHeight="1" outlineLevel="1" x14ac:dyDescent="0.25">
      <c r="B408" s="326" t="s">
        <v>1273</v>
      </c>
      <c r="C408" s="891"/>
      <c r="D408" s="892"/>
      <c r="E408" s="1600"/>
      <c r="F408" s="1600"/>
      <c r="G408" s="1600"/>
      <c r="H408" s="1638"/>
      <c r="I408" s="1639"/>
      <c r="J408" s="1689">
        <f>'C UNIT PROG CCIALES'!E8</f>
        <v>1129937.46875</v>
      </c>
      <c r="K408" s="1625">
        <f>+J408*(1+J$14)</f>
        <v>1237281.52828125</v>
      </c>
      <c r="L408" s="1603">
        <f t="shared" ref="L408:O409" si="113">+K408*(1+K$14)</f>
        <v>1307558.8716313194</v>
      </c>
      <c r="M408" s="1603">
        <f t="shared" si="113"/>
        <v>1381827.9540282041</v>
      </c>
      <c r="N408" s="1603">
        <f t="shared" si="113"/>
        <v>1460315.5054514154</v>
      </c>
      <c r="O408" s="1603">
        <f t="shared" si="113"/>
        <v>1543261.1340979547</v>
      </c>
      <c r="P408" s="1603"/>
      <c r="Q408" s="1603"/>
      <c r="R408" s="1603"/>
      <c r="S408" s="1603"/>
      <c r="T408" s="1603"/>
      <c r="U408" s="307"/>
      <c r="V408" s="307"/>
      <c r="W408" s="307"/>
      <c r="X408" s="307"/>
      <c r="Y408" s="307"/>
    </row>
    <row r="409" spans="1:25" s="1599" customFormat="1" ht="20.100000000000001" hidden="1" customHeight="1" outlineLevel="1" x14ac:dyDescent="0.25">
      <c r="B409" s="1599" t="s">
        <v>448</v>
      </c>
      <c r="D409" s="1600"/>
      <c r="E409" s="1600"/>
      <c r="F409" s="1600"/>
      <c r="G409" s="1600"/>
      <c r="H409" s="316"/>
      <c r="I409" s="316"/>
      <c r="J409" s="1662">
        <f>'C UNIT PROG CCIALES'!E15</f>
        <v>330866</v>
      </c>
      <c r="K409" s="1625">
        <f>+J409*(1+J$14)</f>
        <v>362298.27</v>
      </c>
      <c r="L409" s="1603">
        <f>+K409*(1+K$14)</f>
        <v>382876.73927634605</v>
      </c>
      <c r="M409" s="1603">
        <f>+L409*(1+L$14)</f>
        <v>404624.06149189465</v>
      </c>
      <c r="N409" s="1603">
        <f>+M409*(1+M$14)</f>
        <v>427606.62725982198</v>
      </c>
      <c r="O409" s="1603">
        <f t="shared" si="113"/>
        <v>451894.59816685447</v>
      </c>
      <c r="P409" s="1603"/>
      <c r="Q409" s="1603"/>
      <c r="R409" s="1603"/>
      <c r="S409" s="1603"/>
      <c r="T409" s="1603"/>
      <c r="U409" s="307"/>
      <c r="V409" s="307"/>
      <c r="W409" s="307"/>
      <c r="X409" s="307"/>
      <c r="Y409" s="307"/>
    </row>
    <row r="410" spans="1:25" s="1599" customFormat="1" ht="20.100000000000001" hidden="1" customHeight="1" outlineLevel="1" x14ac:dyDescent="0.25">
      <c r="D410" s="1600"/>
      <c r="E410" s="1600"/>
      <c r="F410" s="1600"/>
      <c r="G410" s="1600"/>
      <c r="H410" s="1600"/>
      <c r="I410" s="1600"/>
      <c r="J410" s="1610"/>
      <c r="K410" s="1625"/>
      <c r="L410" s="1603"/>
      <c r="M410" s="1603"/>
      <c r="N410" s="1603"/>
      <c r="O410" s="1603"/>
      <c r="P410" s="1603"/>
      <c r="Q410" s="1603"/>
      <c r="R410" s="1603"/>
      <c r="S410" s="1603"/>
      <c r="T410" s="1603"/>
      <c r="U410" s="307"/>
      <c r="V410" s="307"/>
      <c r="W410" s="307"/>
      <c r="X410" s="307"/>
      <c r="Y410" s="307"/>
    </row>
    <row r="411" spans="1:25" s="326" customFormat="1" ht="20.100000000000001" hidden="1" customHeight="1" outlineLevel="1" x14ac:dyDescent="0.25">
      <c r="B411" s="326" t="s">
        <v>449</v>
      </c>
      <c r="D411" s="316"/>
      <c r="E411" s="316"/>
      <c r="F411" s="316"/>
      <c r="G411" s="316"/>
      <c r="H411" s="316"/>
      <c r="I411" s="316"/>
      <c r="J411" s="1690"/>
      <c r="K411" s="1691">
        <f>+SUM(K408:K409)*K405</f>
        <v>92775628.300312504</v>
      </c>
      <c r="L411" s="1691">
        <f>+SUM(L408:L409)*SUM($K$405:L405)</f>
        <v>197780966.47619686</v>
      </c>
      <c r="M411" s="1691">
        <f>+SUM(M408:M409)*SUM($K$405:M405)</f>
        <v>314415554.73153734</v>
      </c>
      <c r="N411" s="1691">
        <f>+SUM(N408:N409)*SUM($K$405:N405)</f>
        <v>445549623.31985199</v>
      </c>
      <c r="O411" s="1691">
        <f>+SUM(O408:O409)*SUM($K$405:O405)</f>
        <v>592561252.48264837</v>
      </c>
      <c r="P411" s="1691"/>
      <c r="Q411" s="1691"/>
      <c r="R411" s="1691"/>
      <c r="S411" s="1691"/>
      <c r="T411" s="1691"/>
      <c r="U411" s="307"/>
      <c r="V411" s="307"/>
      <c r="W411" s="307"/>
      <c r="X411" s="307"/>
      <c r="Y411" s="307"/>
    </row>
    <row r="412" spans="1:25" s="326" customFormat="1" ht="20.100000000000001" hidden="1" customHeight="1" outlineLevel="1" x14ac:dyDescent="0.25">
      <c r="B412" s="326" t="s">
        <v>859</v>
      </c>
      <c r="C412" s="1605">
        <f>NPV($C$19,K411:T411)+J411</f>
        <v>948595847.09039903</v>
      </c>
      <c r="D412" s="316"/>
      <c r="E412" s="316"/>
      <c r="F412" s="316"/>
      <c r="G412" s="316"/>
      <c r="H412" s="316"/>
      <c r="I412" s="316"/>
      <c r="J412" s="1643"/>
      <c r="K412" s="1643"/>
      <c r="L412" s="1643"/>
      <c r="M412" s="1643"/>
      <c r="N412" s="1643"/>
      <c r="O412" s="1643"/>
      <c r="P412" s="1643"/>
      <c r="Q412" s="1643"/>
      <c r="R412" s="1643"/>
      <c r="S412" s="1643"/>
      <c r="T412" s="1643"/>
      <c r="U412" s="307"/>
      <c r="V412" s="307"/>
      <c r="W412" s="307"/>
      <c r="X412" s="307"/>
      <c r="Y412" s="307"/>
    </row>
    <row r="413" spans="1:25" s="326" customFormat="1" ht="20.100000000000001" hidden="1" customHeight="1" outlineLevel="1" x14ac:dyDescent="0.25">
      <c r="B413" s="326" t="s">
        <v>450</v>
      </c>
      <c r="C413" s="1692"/>
      <c r="D413" s="316"/>
      <c r="E413" s="316"/>
      <c r="F413" s="316"/>
      <c r="G413" s="316"/>
      <c r="H413" s="316"/>
      <c r="I413" s="316"/>
      <c r="K413" s="1639">
        <f>K407*K$138</f>
        <v>546750485.83556855</v>
      </c>
      <c r="L413" s="1633">
        <f>L407*L$138</f>
        <v>569639101.67730474</v>
      </c>
      <c r="M413" s="1633">
        <f>M407*M$138</f>
        <v>583426820.5418334</v>
      </c>
      <c r="N413" s="1633">
        <f>N407*N$138</f>
        <v>607676198.20317829</v>
      </c>
      <c r="O413" s="1633">
        <f>O407*O$138</f>
        <v>632757654.88343811</v>
      </c>
      <c r="P413" s="1633"/>
      <c r="Q413" s="1633"/>
      <c r="R413" s="1633"/>
      <c r="S413" s="1633"/>
      <c r="T413" s="1633"/>
      <c r="U413" s="307"/>
      <c r="V413" s="307"/>
      <c r="W413" s="307"/>
      <c r="X413" s="307"/>
      <c r="Y413" s="307"/>
    </row>
    <row r="414" spans="1:25" s="1599" customFormat="1" ht="20.100000000000001" hidden="1" customHeight="1" outlineLevel="1" x14ac:dyDescent="0.25">
      <c r="B414" s="1599" t="s">
        <v>828</v>
      </c>
      <c r="C414" s="1605">
        <f>NPV($C$19,K413:T413)+J413</f>
        <v>1892779498.5211046</v>
      </c>
      <c r="D414" s="1600"/>
      <c r="E414" s="1600"/>
      <c r="F414" s="1600"/>
      <c r="G414" s="1600"/>
      <c r="H414" s="1600"/>
      <c r="I414" s="1600"/>
      <c r="J414" s="1625"/>
      <c r="K414" s="1640"/>
      <c r="L414" s="1640"/>
      <c r="M414" s="1640"/>
      <c r="N414" s="1640"/>
      <c r="O414" s="1640"/>
      <c r="P414" s="1640"/>
      <c r="Q414" s="1640"/>
      <c r="R414" s="1640"/>
      <c r="S414" s="1640"/>
      <c r="T414" s="1640"/>
      <c r="U414" s="307"/>
      <c r="V414" s="307"/>
      <c r="W414" s="307"/>
      <c r="X414" s="307"/>
      <c r="Y414" s="307"/>
    </row>
    <row r="415" spans="1:25" s="1599" customFormat="1" ht="20.100000000000001" hidden="1" customHeight="1" outlineLevel="1" x14ac:dyDescent="0.25">
      <c r="B415" s="1599" t="s">
        <v>829</v>
      </c>
      <c r="C415" s="1607">
        <f>IFERROR(C414/C412,0)</f>
        <v>1.995348708648444</v>
      </c>
      <c r="D415" s="1600"/>
      <c r="E415" s="1600"/>
      <c r="F415" s="1600"/>
      <c r="G415" s="1600"/>
      <c r="H415" s="1600"/>
      <c r="I415" s="1600"/>
      <c r="J415" s="1606"/>
      <c r="K415" s="1606"/>
      <c r="L415" s="1597"/>
      <c r="M415" s="1606"/>
      <c r="N415" s="1606"/>
      <c r="O415" s="1606"/>
      <c r="P415" s="1606"/>
      <c r="Q415" s="1606"/>
      <c r="R415" s="1606"/>
      <c r="S415" s="1606"/>
      <c r="T415" s="1606"/>
      <c r="U415" s="307"/>
      <c r="V415" s="307"/>
      <c r="W415" s="307"/>
      <c r="X415" s="307"/>
      <c r="Y415" s="307"/>
    </row>
    <row r="416" spans="1:25" collapsed="1" x14ac:dyDescent="0.2">
      <c r="C416" s="1641"/>
      <c r="U416" s="308"/>
      <c r="V416" s="308"/>
      <c r="W416" s="308"/>
      <c r="X416" s="308"/>
      <c r="Y416" s="308"/>
    </row>
    <row r="417" spans="1:25" s="1619" customFormat="1" ht="23.85" customHeight="1" thickBot="1" x14ac:dyDescent="0.25">
      <c r="B417" s="1615" t="s">
        <v>860</v>
      </c>
      <c r="C417" s="1615"/>
      <c r="D417" s="1616">
        <f>$D$11</f>
        <v>2019</v>
      </c>
      <c r="E417" s="1617">
        <f t="shared" ref="E417:T417" si="114">+D417+1</f>
        <v>2020</v>
      </c>
      <c r="F417" s="1617">
        <f t="shared" si="114"/>
        <v>2021</v>
      </c>
      <c r="G417" s="1617">
        <f t="shared" si="114"/>
        <v>2022</v>
      </c>
      <c r="H417" s="1617">
        <f t="shared" si="114"/>
        <v>2023</v>
      </c>
      <c r="I417" s="1617">
        <f t="shared" si="114"/>
        <v>2024</v>
      </c>
      <c r="J417" s="1617">
        <f>J297</f>
        <v>0</v>
      </c>
      <c r="K417" s="1617">
        <f t="shared" si="114"/>
        <v>1</v>
      </c>
      <c r="L417" s="1617">
        <f t="shared" si="114"/>
        <v>2</v>
      </c>
      <c r="M417" s="1617">
        <f t="shared" si="114"/>
        <v>3</v>
      </c>
      <c r="N417" s="1617">
        <f t="shared" si="114"/>
        <v>4</v>
      </c>
      <c r="O417" s="1617">
        <f t="shared" si="114"/>
        <v>5</v>
      </c>
      <c r="P417" s="1617">
        <f t="shared" si="114"/>
        <v>6</v>
      </c>
      <c r="Q417" s="1617">
        <f t="shared" si="114"/>
        <v>7</v>
      </c>
      <c r="R417" s="1617">
        <f t="shared" si="114"/>
        <v>8</v>
      </c>
      <c r="S417" s="1617">
        <f t="shared" si="114"/>
        <v>9</v>
      </c>
      <c r="T417" s="1617">
        <f t="shared" si="114"/>
        <v>10</v>
      </c>
      <c r="U417" s="1618"/>
      <c r="V417" s="1618"/>
      <c r="W417" s="1618"/>
      <c r="X417" s="1618"/>
      <c r="Y417" s="1618"/>
    </row>
    <row r="418" spans="1:25" ht="48" hidden="1" outlineLevel="1" x14ac:dyDescent="0.2">
      <c r="B418" s="889" t="s">
        <v>861</v>
      </c>
      <c r="U418" s="308"/>
      <c r="V418" s="308"/>
      <c r="W418" s="308"/>
      <c r="X418" s="308"/>
      <c r="Y418" s="308"/>
    </row>
    <row r="419" spans="1:25" hidden="1" outlineLevel="1" x14ac:dyDescent="0.2">
      <c r="B419" s="512"/>
      <c r="C419" s="512"/>
      <c r="D419" s="797"/>
      <c r="E419" s="797"/>
      <c r="F419" s="797"/>
      <c r="G419" s="797"/>
      <c r="H419" s="797"/>
      <c r="I419" s="893"/>
      <c r="J419" s="893"/>
      <c r="K419" s="797"/>
      <c r="L419" s="797"/>
      <c r="M419" s="797"/>
      <c r="N419" s="797"/>
      <c r="O419" s="797"/>
      <c r="P419" s="797"/>
      <c r="Q419" s="797"/>
      <c r="R419" s="797"/>
      <c r="S419" s="797"/>
      <c r="T419" s="797"/>
      <c r="U419" s="308"/>
      <c r="V419" s="308"/>
      <c r="W419" s="308"/>
      <c r="X419" s="308"/>
      <c r="Y419" s="308"/>
    </row>
    <row r="420" spans="1:25" hidden="1" outlineLevel="1" x14ac:dyDescent="0.2">
      <c r="B420" s="487" t="s">
        <v>862</v>
      </c>
      <c r="D420" s="506"/>
      <c r="E420" s="506"/>
      <c r="F420" s="506"/>
      <c r="G420" s="506"/>
      <c r="H420" s="787"/>
      <c r="I420" s="888">
        <v>0</v>
      </c>
      <c r="J420" s="526">
        <v>0</v>
      </c>
      <c r="K420" s="526">
        <v>0</v>
      </c>
      <c r="L420" s="526">
        <v>0</v>
      </c>
      <c r="M420" s="526">
        <v>0</v>
      </c>
      <c r="N420" s="526">
        <v>0</v>
      </c>
      <c r="O420" s="526">
        <v>0</v>
      </c>
      <c r="P420" s="526"/>
      <c r="Q420" s="526"/>
      <c r="R420" s="526"/>
      <c r="S420" s="526"/>
      <c r="T420" s="526"/>
      <c r="U420" s="308"/>
      <c r="V420" s="308"/>
      <c r="W420" s="308"/>
      <c r="X420" s="308"/>
      <c r="Y420" s="308"/>
    </row>
    <row r="421" spans="1:25" hidden="1" outlineLevel="1" x14ac:dyDescent="0.2">
      <c r="B421" s="487" t="s">
        <v>863</v>
      </c>
      <c r="C421" s="500"/>
      <c r="D421" s="513"/>
      <c r="E421" s="513"/>
      <c r="F421" s="513"/>
      <c r="G421" s="513"/>
      <c r="H421" s="787"/>
      <c r="I421" s="888">
        <f t="shared" ref="I421:O421" si="115">+SUMPRODUCT(I45:I48,I90:I93)-(I406*I404)</f>
        <v>25250300.501724996</v>
      </c>
      <c r="J421" s="526">
        <f t="shared" si="115"/>
        <v>24933688.729534432</v>
      </c>
      <c r="K421" s="526">
        <f t="shared" si="115"/>
        <v>25297234.951648969</v>
      </c>
      <c r="L421" s="526">
        <f t="shared" si="115"/>
        <v>25574651.453876186</v>
      </c>
      <c r="M421" s="526">
        <f t="shared" si="115"/>
        <v>25841962.476245176</v>
      </c>
      <c r="N421" s="526">
        <f t="shared" si="115"/>
        <v>26113074.049968325</v>
      </c>
      <c r="O421" s="526">
        <f t="shared" si="115"/>
        <v>26386035.483334322</v>
      </c>
      <c r="P421" s="526"/>
      <c r="Q421" s="526"/>
      <c r="R421" s="526"/>
      <c r="S421" s="526"/>
      <c r="T421" s="526"/>
      <c r="U421" s="308"/>
      <c r="V421" s="308"/>
      <c r="W421" s="308"/>
      <c r="X421" s="308"/>
      <c r="Y421" s="308"/>
    </row>
    <row r="422" spans="1:25" hidden="1" outlineLevel="1" x14ac:dyDescent="0.2">
      <c r="B422" s="487" t="s">
        <v>451</v>
      </c>
      <c r="C422" s="890">
        <v>0</v>
      </c>
      <c r="D422" s="881" t="s">
        <v>840</v>
      </c>
      <c r="I422" s="509"/>
      <c r="J422" s="506"/>
      <c r="K422" s="526">
        <f>+K421*$C422*12</f>
        <v>0</v>
      </c>
      <c r="L422" s="526">
        <f>+L421*$C422*12</f>
        <v>0</v>
      </c>
      <c r="M422" s="526">
        <f>+M421*$C422*12</f>
        <v>0</v>
      </c>
      <c r="N422" s="526">
        <f>+N421*$C422*12</f>
        <v>0</v>
      </c>
      <c r="O422" s="526">
        <f>+O421*$C422*12</f>
        <v>0</v>
      </c>
      <c r="P422" s="526"/>
      <c r="Q422" s="526"/>
      <c r="R422" s="526"/>
      <c r="S422" s="526"/>
      <c r="T422" s="526"/>
      <c r="U422" s="308"/>
      <c r="V422" s="308"/>
      <c r="W422" s="308"/>
      <c r="X422" s="308"/>
      <c r="Y422" s="308"/>
    </row>
    <row r="423" spans="1:25" s="1599" customFormat="1" ht="20.100000000000001" hidden="1" customHeight="1" outlineLevel="1" x14ac:dyDescent="0.25">
      <c r="B423" s="1599" t="s">
        <v>864</v>
      </c>
      <c r="C423" s="1642"/>
      <c r="D423" s="892"/>
      <c r="E423" s="1600"/>
      <c r="F423" s="1600"/>
      <c r="G423" s="1600"/>
      <c r="H423" s="1600"/>
      <c r="I423" s="1484"/>
      <c r="J423" s="1610">
        <f>+'C UNIT PROG CCIALES'!E20</f>
        <v>0</v>
      </c>
      <c r="K423" s="1603">
        <f>+J423*(1+J$14)</f>
        <v>0</v>
      </c>
      <c r="L423" s="1603">
        <f>+K423*(1+K$14)</f>
        <v>0</v>
      </c>
      <c r="M423" s="1603">
        <f>+L423*(1+L$14)</f>
        <v>0</v>
      </c>
      <c r="N423" s="1603">
        <f>+M423*(1+M$14)</f>
        <v>0</v>
      </c>
      <c r="O423" s="1603">
        <f>+N423*(1+N$14)</f>
        <v>0</v>
      </c>
      <c r="P423" s="1603"/>
      <c r="Q423" s="1603"/>
      <c r="R423" s="1603"/>
      <c r="S423" s="1603"/>
      <c r="T423" s="1603"/>
      <c r="U423" s="307"/>
      <c r="V423" s="307"/>
      <c r="W423" s="307"/>
      <c r="X423" s="307"/>
      <c r="Y423" s="307"/>
    </row>
    <row r="424" spans="1:25" s="1599" customFormat="1" ht="20.100000000000001" hidden="1" customHeight="1" outlineLevel="1" x14ac:dyDescent="0.25">
      <c r="B424" s="1599" t="s">
        <v>452</v>
      </c>
      <c r="D424" s="1600"/>
      <c r="E424" s="1600"/>
      <c r="F424" s="1600"/>
      <c r="G424" s="1600"/>
      <c r="H424" s="1600"/>
      <c r="I424" s="1484"/>
      <c r="J424" s="1643"/>
      <c r="K424" s="1644">
        <f>K423*K420</f>
        <v>0</v>
      </c>
      <c r="L424" s="1644">
        <f>L423*L420</f>
        <v>0</v>
      </c>
      <c r="M424" s="1644">
        <f>M423*M420</f>
        <v>0</v>
      </c>
      <c r="N424" s="1644">
        <f>N423*N420</f>
        <v>0</v>
      </c>
      <c r="O424" s="1644">
        <f>O423*O420</f>
        <v>0</v>
      </c>
      <c r="P424" s="1644"/>
      <c r="Q424" s="1644"/>
      <c r="R424" s="1644"/>
      <c r="S424" s="1644"/>
      <c r="T424" s="1644"/>
      <c r="U424" s="307"/>
      <c r="V424" s="307"/>
      <c r="W424" s="307"/>
      <c r="X424" s="307"/>
      <c r="Y424" s="307"/>
    </row>
    <row r="425" spans="1:25" s="1599" customFormat="1" ht="20.100000000000001" hidden="1" customHeight="1" outlineLevel="1" x14ac:dyDescent="0.25">
      <c r="B425" s="1599" t="s">
        <v>865</v>
      </c>
      <c r="C425" s="1645">
        <f>NPV($C$19,K424:T424)+J424</f>
        <v>0</v>
      </c>
      <c r="D425" s="1600"/>
      <c r="E425" s="1600"/>
      <c r="F425" s="1600"/>
      <c r="G425" s="1600"/>
      <c r="H425" s="1600"/>
      <c r="I425" s="1484"/>
      <c r="J425" s="1640"/>
      <c r="K425" s="1624"/>
      <c r="L425" s="1624"/>
      <c r="M425" s="1624"/>
      <c r="N425" s="1624"/>
      <c r="O425" s="1624"/>
      <c r="P425" s="1624"/>
      <c r="Q425" s="1624"/>
      <c r="R425" s="1624"/>
      <c r="S425" s="1624"/>
      <c r="T425" s="1624"/>
      <c r="U425" s="307"/>
      <c r="V425" s="307"/>
      <c r="W425" s="307"/>
      <c r="X425" s="307"/>
      <c r="Y425" s="307"/>
    </row>
    <row r="426" spans="1:25" s="1599" customFormat="1" ht="20.100000000000001" hidden="1" customHeight="1" outlineLevel="1" x14ac:dyDescent="0.25">
      <c r="B426" s="1599" t="s">
        <v>453</v>
      </c>
      <c r="C426" s="1646"/>
      <c r="D426" s="1600"/>
      <c r="E426" s="1600"/>
      <c r="F426" s="1600"/>
      <c r="G426" s="1600"/>
      <c r="H426" s="1600"/>
      <c r="I426" s="1484"/>
      <c r="J426" s="1625"/>
      <c r="K426" s="1603">
        <f>K422*(K$138+K$140)</f>
        <v>0</v>
      </c>
      <c r="L426" s="1603">
        <f>L422*(L$138+L$140)</f>
        <v>0</v>
      </c>
      <c r="M426" s="1603">
        <f>M422*(M$138+M$140)</f>
        <v>0</v>
      </c>
      <c r="N426" s="1603">
        <f>N422*(N$138+N$140)</f>
        <v>0</v>
      </c>
      <c r="O426" s="1603">
        <f>O422*(O$138+O$140)</f>
        <v>0</v>
      </c>
      <c r="P426" s="1603"/>
      <c r="Q426" s="1603"/>
      <c r="R426" s="1603"/>
      <c r="S426" s="1603"/>
      <c r="T426" s="1603"/>
      <c r="U426" s="307"/>
      <c r="V426" s="307"/>
      <c r="W426" s="307"/>
      <c r="X426" s="307"/>
      <c r="Y426" s="307"/>
    </row>
    <row r="427" spans="1:25" s="1599" customFormat="1" ht="20.100000000000001" hidden="1" customHeight="1" outlineLevel="1" x14ac:dyDescent="0.25">
      <c r="B427" s="1599" t="s">
        <v>828</v>
      </c>
      <c r="C427" s="1647">
        <f>NPV($C$19,K426:T426)+J426</f>
        <v>0</v>
      </c>
      <c r="D427" s="1600"/>
      <c r="E427" s="1600"/>
      <c r="F427" s="1600"/>
      <c r="G427" s="1600"/>
      <c r="H427" s="1600"/>
      <c r="I427" s="1600"/>
      <c r="J427" s="1606"/>
      <c r="K427" s="1606"/>
      <c r="L427" s="1606"/>
      <c r="M427" s="1606"/>
      <c r="N427" s="1606"/>
      <c r="O427" s="1606"/>
      <c r="P427" s="1606"/>
      <c r="Q427" s="1606"/>
      <c r="R427" s="1606"/>
      <c r="S427" s="1606"/>
      <c r="T427" s="1606"/>
      <c r="U427" s="307"/>
      <c r="V427" s="307"/>
      <c r="W427" s="307"/>
      <c r="X427" s="307"/>
      <c r="Y427" s="307"/>
    </row>
    <row r="428" spans="1:25" s="1599" customFormat="1" ht="20.100000000000001" hidden="1" customHeight="1" outlineLevel="1" x14ac:dyDescent="0.25">
      <c r="B428" s="1599" t="s">
        <v>829</v>
      </c>
      <c r="C428" s="1607">
        <f>IFERROR(C427/C425,0)</f>
        <v>0</v>
      </c>
      <c r="D428" s="1600"/>
      <c r="E428" s="1600"/>
      <c r="F428" s="1600"/>
      <c r="G428" s="1600"/>
      <c r="H428" s="1600"/>
      <c r="I428" s="1600"/>
      <c r="J428" s="1606"/>
      <c r="K428" s="1606"/>
      <c r="L428" s="1606"/>
      <c r="M428" s="1606"/>
      <c r="N428" s="1606"/>
      <c r="O428" s="1606"/>
      <c r="P428" s="1606"/>
      <c r="Q428" s="1606"/>
      <c r="R428" s="1606"/>
      <c r="S428" s="1606"/>
      <c r="T428" s="1606"/>
      <c r="U428" s="307"/>
      <c r="V428" s="307"/>
      <c r="W428" s="307"/>
      <c r="X428" s="307"/>
      <c r="Y428" s="307"/>
    </row>
    <row r="429" spans="1:25" collapsed="1" x14ac:dyDescent="0.2">
      <c r="C429" s="517"/>
      <c r="U429" s="308"/>
      <c r="V429" s="308"/>
      <c r="W429" s="308"/>
      <c r="X429" s="308"/>
      <c r="Y429" s="308"/>
    </row>
    <row r="430" spans="1:25" s="1619" customFormat="1" ht="23.85" customHeight="1" thickBot="1" x14ac:dyDescent="0.25">
      <c r="B430" s="1615" t="s">
        <v>1276</v>
      </c>
      <c r="C430" s="1615"/>
      <c r="D430" s="1616">
        <f>$D$11</f>
        <v>2019</v>
      </c>
      <c r="E430" s="1617">
        <f t="shared" ref="E430:T430" si="116">+D430+1</f>
        <v>2020</v>
      </c>
      <c r="F430" s="1617">
        <f t="shared" si="116"/>
        <v>2021</v>
      </c>
      <c r="G430" s="1617">
        <f t="shared" si="116"/>
        <v>2022</v>
      </c>
      <c r="H430" s="1617">
        <f t="shared" si="116"/>
        <v>2023</v>
      </c>
      <c r="I430" s="1617">
        <f t="shared" si="116"/>
        <v>2024</v>
      </c>
      <c r="J430" s="1617">
        <f>J310</f>
        <v>0</v>
      </c>
      <c r="K430" s="1617">
        <f t="shared" si="116"/>
        <v>1</v>
      </c>
      <c r="L430" s="1617">
        <f t="shared" si="116"/>
        <v>2</v>
      </c>
      <c r="M430" s="1617">
        <f t="shared" si="116"/>
        <v>3</v>
      </c>
      <c r="N430" s="1617">
        <f t="shared" si="116"/>
        <v>4</v>
      </c>
      <c r="O430" s="1617">
        <f t="shared" si="116"/>
        <v>5</v>
      </c>
      <c r="P430" s="1617">
        <f t="shared" si="116"/>
        <v>6</v>
      </c>
      <c r="Q430" s="1617">
        <f t="shared" si="116"/>
        <v>7</v>
      </c>
      <c r="R430" s="1617">
        <f t="shared" si="116"/>
        <v>8</v>
      </c>
      <c r="S430" s="1617">
        <f t="shared" si="116"/>
        <v>9</v>
      </c>
      <c r="T430" s="1617">
        <f t="shared" si="116"/>
        <v>10</v>
      </c>
      <c r="U430" s="1618"/>
      <c r="V430" s="1618"/>
      <c r="W430" s="1618"/>
      <c r="X430" s="1618"/>
      <c r="Y430" s="1618"/>
    </row>
    <row r="431" spans="1:25" ht="83.25" customHeight="1" outlineLevel="1" x14ac:dyDescent="0.2">
      <c r="B431" s="1705" t="s">
        <v>866</v>
      </c>
      <c r="U431" s="308"/>
      <c r="V431" s="308"/>
      <c r="W431" s="308"/>
      <c r="X431" s="308"/>
      <c r="Y431" s="308"/>
    </row>
    <row r="432" spans="1:25" outlineLevel="1" x14ac:dyDescent="0.2">
      <c r="A432" s="308"/>
      <c r="B432" s="520"/>
      <c r="C432" s="520"/>
      <c r="D432" s="799"/>
      <c r="E432" s="799"/>
      <c r="F432" s="799"/>
      <c r="G432" s="799"/>
      <c r="H432" s="799"/>
      <c r="I432" s="799"/>
      <c r="J432" s="799"/>
      <c r="K432" s="799"/>
      <c r="L432" s="799"/>
      <c r="M432" s="799"/>
      <c r="N432" s="799"/>
      <c r="O432" s="799"/>
      <c r="P432" s="799"/>
      <c r="Q432" s="799"/>
      <c r="R432" s="799"/>
      <c r="S432" s="799"/>
      <c r="T432" s="799"/>
      <c r="U432" s="308"/>
      <c r="V432" s="308"/>
      <c r="W432" s="308"/>
      <c r="X432" s="308"/>
      <c r="Y432" s="308"/>
    </row>
    <row r="433" spans="1:25" s="498" customFormat="1" outlineLevel="1" x14ac:dyDescent="0.2">
      <c r="A433" s="316"/>
      <c r="B433" s="359" t="s">
        <v>454</v>
      </c>
      <c r="C433" s="424">
        <v>0.63</v>
      </c>
      <c r="D433" s="304"/>
      <c r="E433" s="316"/>
      <c r="F433" s="316"/>
      <c r="G433" s="316"/>
      <c r="H433" s="316"/>
      <c r="I433" s="316"/>
      <c r="J433" s="316"/>
      <c r="K433" s="316"/>
      <c r="L433" s="316"/>
      <c r="M433" s="316"/>
      <c r="N433" s="316"/>
      <c r="O433" s="316"/>
      <c r="P433" s="316"/>
      <c r="Q433" s="316"/>
      <c r="R433" s="316"/>
      <c r="S433" s="316"/>
      <c r="T433" s="316"/>
      <c r="U433" s="308"/>
      <c r="V433" s="308"/>
      <c r="W433" s="308"/>
      <c r="X433" s="308"/>
      <c r="Y433" s="308"/>
    </row>
    <row r="434" spans="1:25" outlineLevel="1" x14ac:dyDescent="0.2">
      <c r="A434" s="308"/>
      <c r="B434" s="308" t="s">
        <v>978</v>
      </c>
      <c r="D434" s="304"/>
      <c r="E434" s="514"/>
      <c r="F434" s="514"/>
      <c r="G434" s="514"/>
      <c r="H434" s="521"/>
      <c r="I434" s="1034"/>
      <c r="J434" s="1034">
        <v>0</v>
      </c>
      <c r="K434" s="1034">
        <v>0</v>
      </c>
      <c r="L434" s="1034">
        <v>0</v>
      </c>
      <c r="M434" s="1034">
        <v>0</v>
      </c>
      <c r="N434" s="1034">
        <v>0</v>
      </c>
      <c r="O434" s="1034">
        <v>0</v>
      </c>
      <c r="P434" s="1034">
        <v>0</v>
      </c>
      <c r="Q434" s="1034">
        <v>0</v>
      </c>
      <c r="R434" s="1034">
        <v>0</v>
      </c>
      <c r="S434" s="1034">
        <v>0</v>
      </c>
      <c r="T434" s="1034">
        <v>0</v>
      </c>
      <c r="U434" s="308"/>
      <c r="V434" s="308"/>
      <c r="W434" s="308"/>
      <c r="X434" s="308"/>
      <c r="Y434" s="308"/>
    </row>
    <row r="435" spans="1:25" s="492" customFormat="1" ht="32.1" customHeight="1" outlineLevel="1" x14ac:dyDescent="0.25">
      <c r="A435" s="304"/>
      <c r="B435" s="1110" t="s">
        <v>455</v>
      </c>
      <c r="C435" s="1042">
        <f>SUM(I435:O435)</f>
        <v>0</v>
      </c>
      <c r="D435" s="304"/>
      <c r="E435" s="304"/>
      <c r="F435" s="304"/>
      <c r="G435" s="304"/>
      <c r="H435" s="304"/>
      <c r="I435" s="1034"/>
      <c r="J435" s="1034">
        <v>0</v>
      </c>
      <c r="K435" s="1034">
        <v>0</v>
      </c>
      <c r="L435" s="1034">
        <v>0</v>
      </c>
      <c r="M435" s="1034">
        <v>0</v>
      </c>
      <c r="N435" s="1034">
        <v>0</v>
      </c>
      <c r="O435" s="1034">
        <v>0</v>
      </c>
      <c r="P435" s="1034"/>
      <c r="Q435" s="1034"/>
      <c r="R435" s="1034"/>
      <c r="S435" s="1034"/>
      <c r="T435" s="1034"/>
      <c r="U435" s="304"/>
      <c r="V435" s="304"/>
      <c r="W435" s="304"/>
      <c r="X435" s="304"/>
      <c r="Y435" s="304"/>
    </row>
    <row r="436" spans="1:25" s="1599" customFormat="1" ht="15" customHeight="1" outlineLevel="1" x14ac:dyDescent="0.2">
      <c r="A436" s="326"/>
      <c r="B436" s="307" t="s">
        <v>869</v>
      </c>
      <c r="C436" s="896"/>
      <c r="D436" s="884" t="s">
        <v>867</v>
      </c>
      <c r="E436" s="316"/>
      <c r="F436" s="316"/>
      <c r="G436" s="316"/>
      <c r="H436" s="316"/>
      <c r="I436" s="316"/>
      <c r="J436" s="1648">
        <f>+J435*J172*12</f>
        <v>0</v>
      </c>
      <c r="K436" s="1648">
        <f t="shared" ref="K436:T436" si="117">+K435*K172*12</f>
        <v>0</v>
      </c>
      <c r="L436" s="1648">
        <f t="shared" si="117"/>
        <v>0</v>
      </c>
      <c r="M436" s="1648">
        <f t="shared" si="117"/>
        <v>0</v>
      </c>
      <c r="N436" s="1648">
        <f t="shared" si="117"/>
        <v>0</v>
      </c>
      <c r="O436" s="1648">
        <f t="shared" si="117"/>
        <v>0</v>
      </c>
      <c r="P436" s="1648">
        <f t="shared" si="117"/>
        <v>0</v>
      </c>
      <c r="Q436" s="1648">
        <f t="shared" si="117"/>
        <v>0</v>
      </c>
      <c r="R436" s="1648">
        <f t="shared" si="117"/>
        <v>0</v>
      </c>
      <c r="S436" s="1648">
        <f t="shared" si="117"/>
        <v>0</v>
      </c>
      <c r="T436" s="1648">
        <f t="shared" si="117"/>
        <v>0</v>
      </c>
      <c r="U436" s="308"/>
      <c r="V436" s="308"/>
      <c r="W436" s="308"/>
      <c r="X436" s="308"/>
      <c r="Y436" s="308"/>
    </row>
    <row r="437" spans="1:25" ht="24" outlineLevel="1" x14ac:dyDescent="0.2">
      <c r="A437" s="308"/>
      <c r="B437" s="1628" t="s">
        <v>993</v>
      </c>
      <c r="C437" s="522"/>
      <c r="D437" s="304"/>
      <c r="E437" s="304"/>
      <c r="F437" s="304"/>
      <c r="G437" s="304"/>
      <c r="H437" s="304"/>
      <c r="I437" s="304"/>
      <c r="J437" s="1706">
        <f>('C UNIT PROG CCIALES'!E17+'C UNIT PROG CCIALES'!E18+AVERAGE('C UNIT PROG CCIALES'!E10:E14))</f>
        <v>3116925.7625000002</v>
      </c>
      <c r="K437" s="1649">
        <f t="shared" ref="K437:N438" si="118">+J437*(1+J$14)</f>
        <v>3413033.7099375003</v>
      </c>
      <c r="L437" s="1649">
        <f t="shared" si="118"/>
        <v>3606893.3420552085</v>
      </c>
      <c r="M437" s="1649">
        <f t="shared" si="118"/>
        <v>3811764.162505276</v>
      </c>
      <c r="N437" s="1649">
        <f t="shared" si="118"/>
        <v>4028271.6045827433</v>
      </c>
      <c r="O437" s="1649">
        <f t="shared" ref="O437:T438" si="119">+N437*(1+N$14)</f>
        <v>4257076.6260687225</v>
      </c>
      <c r="P437" s="1649">
        <f t="shared" si="119"/>
        <v>4498877.7270141011</v>
      </c>
      <c r="Q437" s="1649">
        <f t="shared" si="119"/>
        <v>4754413.0821329569</v>
      </c>
      <c r="R437" s="1649">
        <f t="shared" si="119"/>
        <v>5024462.7943154927</v>
      </c>
      <c r="S437" s="1649">
        <f t="shared" si="119"/>
        <v>5309851.2761400538</v>
      </c>
      <c r="T437" s="1649">
        <f t="shared" si="119"/>
        <v>5611449.7666545538</v>
      </c>
      <c r="U437" s="308"/>
      <c r="V437" s="308"/>
      <c r="W437" s="308"/>
      <c r="X437" s="308"/>
      <c r="Y437" s="308"/>
    </row>
    <row r="438" spans="1:25" s="1599" customFormat="1" outlineLevel="1" x14ac:dyDescent="0.2">
      <c r="A438" s="326"/>
      <c r="B438" s="326" t="s">
        <v>1036</v>
      </c>
      <c r="C438" s="1650"/>
      <c r="D438" s="316"/>
      <c r="E438" s="316"/>
      <c r="F438" s="316"/>
      <c r="G438" s="316"/>
      <c r="H438" s="316"/>
      <c r="I438" s="316"/>
      <c r="J438" s="1706">
        <f>'C UNIT PROG TÉCNICOS'!F61</f>
        <v>2130694.8798529417</v>
      </c>
      <c r="K438" s="1649">
        <f t="shared" si="118"/>
        <v>2333110.8934389711</v>
      </c>
      <c r="L438" s="1649">
        <f t="shared" si="118"/>
        <v>2465631.1255641263</v>
      </c>
      <c r="M438" s="1649">
        <f t="shared" si="118"/>
        <v>2605678.4803699437</v>
      </c>
      <c r="N438" s="1649">
        <f t="shared" si="118"/>
        <v>2753680.4969192604</v>
      </c>
      <c r="O438" s="1649">
        <f t="shared" si="119"/>
        <v>2910088.9984081751</v>
      </c>
      <c r="P438" s="1649">
        <f t="shared" si="119"/>
        <v>3075381.4714999599</v>
      </c>
      <c r="Q438" s="1649">
        <f t="shared" si="119"/>
        <v>3250062.5240048636</v>
      </c>
      <c r="R438" s="1649">
        <f t="shared" si="119"/>
        <v>3434665.4253558354</v>
      </c>
      <c r="S438" s="1649">
        <f t="shared" si="119"/>
        <v>3629753.734582962</v>
      </c>
      <c r="T438" s="1649">
        <f t="shared" si="119"/>
        <v>3835923.0207565278</v>
      </c>
      <c r="U438" s="308"/>
      <c r="V438" s="308"/>
      <c r="W438" s="308"/>
      <c r="X438" s="308"/>
      <c r="Y438" s="308"/>
    </row>
    <row r="439" spans="1:25" s="1599" customFormat="1" outlineLevel="1" x14ac:dyDescent="0.2">
      <c r="A439" s="326"/>
      <c r="B439" s="326" t="s">
        <v>1037</v>
      </c>
      <c r="D439" s="316"/>
      <c r="E439" s="316"/>
      <c r="F439" s="316"/>
      <c r="G439" s="316"/>
      <c r="H439" s="316"/>
      <c r="I439" s="316"/>
      <c r="J439" s="1651"/>
      <c r="K439" s="1651">
        <f>((K435*K438)+(K437*K434))*$C$433</f>
        <v>0</v>
      </c>
      <c r="L439" s="1651">
        <f>((L435*L438)+(L437*L434))*$C$433</f>
        <v>0</v>
      </c>
      <c r="M439" s="1651">
        <f>((M435*M438)+(M437*M434))*$C$433</f>
        <v>0</v>
      </c>
      <c r="N439" s="1651">
        <f>((N435*N438)+(N437*N434))*$C$433</f>
        <v>0</v>
      </c>
      <c r="O439" s="1651">
        <f t="shared" ref="O439:T439" si="120">((O435*O438)+(O437*O434))*$C$433</f>
        <v>0</v>
      </c>
      <c r="P439" s="1651">
        <f t="shared" si="120"/>
        <v>0</v>
      </c>
      <c r="Q439" s="1651">
        <f t="shared" si="120"/>
        <v>0</v>
      </c>
      <c r="R439" s="1651">
        <f t="shared" si="120"/>
        <v>0</v>
      </c>
      <c r="S439" s="1651">
        <f t="shared" si="120"/>
        <v>0</v>
      </c>
      <c r="T439" s="1651">
        <f t="shared" si="120"/>
        <v>0</v>
      </c>
      <c r="U439" s="308"/>
      <c r="V439" s="308"/>
      <c r="W439" s="308"/>
      <c r="X439" s="308"/>
      <c r="Y439" s="308"/>
    </row>
    <row r="440" spans="1:25" s="1599" customFormat="1" outlineLevel="1" x14ac:dyDescent="0.2">
      <c r="A440" s="326"/>
      <c r="B440" s="1628" t="s">
        <v>868</v>
      </c>
      <c r="C440" s="1652">
        <f>NPV($C$19,K439:T439)+J439</f>
        <v>0</v>
      </c>
      <c r="D440" s="316"/>
      <c r="E440" s="316"/>
      <c r="F440" s="316"/>
      <c r="G440" s="316"/>
      <c r="H440" s="316"/>
      <c r="I440" s="316"/>
      <c r="J440" s="1633"/>
      <c r="K440" s="1633"/>
      <c r="L440" s="1633"/>
      <c r="M440" s="1633"/>
      <c r="N440" s="1633"/>
      <c r="O440" s="1633"/>
      <c r="P440" s="1633"/>
      <c r="Q440" s="1633"/>
      <c r="R440" s="1633"/>
      <c r="S440" s="1633"/>
      <c r="T440" s="1633"/>
      <c r="U440" s="308"/>
      <c r="V440" s="308"/>
      <c r="W440" s="308"/>
      <c r="X440" s="308"/>
      <c r="Y440" s="308"/>
    </row>
    <row r="441" spans="1:25" s="488" customFormat="1" outlineLevel="1" x14ac:dyDescent="0.2">
      <c r="A441" s="1523"/>
      <c r="B441" s="1653" t="s">
        <v>456</v>
      </c>
      <c r="D441" s="316"/>
      <c r="E441" s="316"/>
      <c r="F441" s="316"/>
      <c r="G441" s="316"/>
      <c r="H441" s="316"/>
      <c r="I441" s="316"/>
      <c r="J441" s="1633"/>
      <c r="K441" s="1633">
        <f>(K436*K$138)+(K435*K$137*12)</f>
        <v>0</v>
      </c>
      <c r="L441" s="1633">
        <f>(SUM($K436:L436)*L$138)+(SUM($K435:L435)*L$137*12)</f>
        <v>0</v>
      </c>
      <c r="M441" s="1633">
        <f>(SUM($K436:M436)*M$138)+(SUM($K435:M435)*M$137*12)</f>
        <v>0</v>
      </c>
      <c r="N441" s="1633">
        <f>(SUM($K436:N436)*N$138)+(SUM($K435:N435)*N$137*12)</f>
        <v>0</v>
      </c>
      <c r="O441" s="1633">
        <f>(SUM($K436:O436)*O$138)+(SUM($K435:O435)*O$137*12)</f>
        <v>0</v>
      </c>
      <c r="P441" s="1633">
        <f>(SUM($K436:P436)*P$138)+(SUM($K435:P435)*P$137*12)</f>
        <v>0</v>
      </c>
      <c r="Q441" s="1633">
        <f>(SUM($K436:Q436)*Q$138)+(SUM($K435:Q435)*Q$137*12)</f>
        <v>0</v>
      </c>
      <c r="R441" s="1633">
        <f>(SUM($K436:R436)*R$138)+(SUM($K435:R435)*R$137*12)</f>
        <v>0</v>
      </c>
      <c r="S441" s="1633">
        <f>(SUM($K436:S436)*S$138)+(SUM($K435:S435)*S$137*12)</f>
        <v>0</v>
      </c>
      <c r="T441" s="1633">
        <f>(SUM($K436:T436)*T$138)+(SUM($K435:T435)*T$137*12)</f>
        <v>0</v>
      </c>
      <c r="U441" s="308"/>
      <c r="V441" s="308"/>
      <c r="W441" s="308"/>
      <c r="X441" s="308"/>
      <c r="Y441" s="308"/>
    </row>
    <row r="442" spans="1:25" s="488" customFormat="1" ht="20.100000000000001" customHeight="1" outlineLevel="1" x14ac:dyDescent="0.2">
      <c r="A442" s="1523"/>
      <c r="B442" s="1599" t="s">
        <v>828</v>
      </c>
      <c r="C442" s="1652">
        <f>NPV($C$19,K441:T441)+J441</f>
        <v>0</v>
      </c>
      <c r="D442" s="316"/>
      <c r="E442" s="316"/>
      <c r="F442" s="316"/>
      <c r="G442" s="316"/>
      <c r="H442" s="316"/>
      <c r="I442" s="316"/>
      <c r="J442" s="379"/>
      <c r="K442" s="1633"/>
      <c r="L442" s="1633"/>
      <c r="M442" s="1633"/>
      <c r="N442" s="1633"/>
      <c r="O442" s="1633"/>
      <c r="P442" s="1633"/>
      <c r="Q442" s="1633"/>
      <c r="R442" s="1633"/>
      <c r="S442" s="1633"/>
      <c r="T442" s="1633"/>
      <c r="U442" s="308"/>
      <c r="V442" s="308"/>
      <c r="W442" s="308"/>
      <c r="X442" s="308"/>
      <c r="Y442" s="308"/>
    </row>
    <row r="443" spans="1:25" s="488" customFormat="1" ht="20.100000000000001" customHeight="1" outlineLevel="1" x14ac:dyDescent="0.2">
      <c r="A443" s="1523"/>
      <c r="B443" s="1599" t="s">
        <v>829</v>
      </c>
      <c r="C443" s="1607" t="str">
        <f>IFERROR(C442/C440,"")</f>
        <v/>
      </c>
      <c r="D443" s="1460" t="str">
        <f>IFERROR(ROUND(IF(C442/C440=0,"",C442/C440),2),"")</f>
        <v/>
      </c>
      <c r="E443" s="1654"/>
      <c r="F443" s="1654"/>
      <c r="G443" s="1654"/>
      <c r="H443" s="1655"/>
      <c r="I443" s="1655"/>
      <c r="J443" s="1654"/>
      <c r="K443" s="1654" t="str">
        <f t="shared" ref="K443:T443" si="121">IFERROR(ROUND(IF(K441/K439=0,"",K441/K439),2),"")</f>
        <v/>
      </c>
      <c r="L443" s="1460" t="str">
        <f t="shared" si="121"/>
        <v/>
      </c>
      <c r="M443" s="1460" t="str">
        <f t="shared" si="121"/>
        <v/>
      </c>
      <c r="N443" s="1460" t="str">
        <f t="shared" si="121"/>
        <v/>
      </c>
      <c r="O443" s="1460" t="str">
        <f t="shared" si="121"/>
        <v/>
      </c>
      <c r="P443" s="1460" t="str">
        <f t="shared" si="121"/>
        <v/>
      </c>
      <c r="Q443" s="1460" t="str">
        <f t="shared" si="121"/>
        <v/>
      </c>
      <c r="R443" s="1460" t="str">
        <f t="shared" si="121"/>
        <v/>
      </c>
      <c r="S443" s="1460" t="str">
        <f t="shared" si="121"/>
        <v/>
      </c>
      <c r="T443" s="1460" t="str">
        <f t="shared" si="121"/>
        <v/>
      </c>
      <c r="U443" s="308"/>
      <c r="V443" s="308"/>
      <c r="W443" s="308"/>
      <c r="X443" s="308"/>
      <c r="Y443" s="308"/>
    </row>
    <row r="444" spans="1:25" x14ac:dyDescent="0.2">
      <c r="C444" s="517"/>
      <c r="K444" s="803"/>
      <c r="L444" s="803"/>
      <c r="M444" s="803"/>
      <c r="N444" s="803"/>
      <c r="O444" s="803"/>
      <c r="P444" s="803"/>
      <c r="Q444" s="803"/>
      <c r="R444" s="803"/>
      <c r="S444" s="803"/>
      <c r="T444" s="803"/>
      <c r="U444" s="308"/>
      <c r="V444" s="308"/>
      <c r="W444" s="308"/>
      <c r="X444" s="308"/>
      <c r="Y444" s="308"/>
    </row>
    <row r="445" spans="1:25" x14ac:dyDescent="0.2">
      <c r="J445" s="804"/>
      <c r="K445" s="804"/>
      <c r="L445" s="804"/>
      <c r="M445" s="804"/>
      <c r="N445" s="804"/>
      <c r="O445" s="804"/>
      <c r="P445" s="804"/>
      <c r="Q445" s="804"/>
      <c r="R445" s="804"/>
      <c r="S445" s="804"/>
      <c r="T445" s="804"/>
      <c r="U445" s="308"/>
      <c r="V445" s="308"/>
      <c r="W445" s="308"/>
      <c r="X445" s="308"/>
      <c r="Y445" s="308"/>
    </row>
    <row r="446" spans="1:25" x14ac:dyDescent="0.2">
      <c r="B446" s="487" t="s">
        <v>520</v>
      </c>
      <c r="C446" s="517"/>
      <c r="U446" s="308"/>
      <c r="V446" s="308"/>
      <c r="W446" s="308"/>
      <c r="X446" s="308"/>
      <c r="Y446" s="308"/>
    </row>
    <row r="447" spans="1:25" x14ac:dyDescent="0.2">
      <c r="B447" s="1040" t="str">
        <f>+B190</f>
        <v>9. RENOVACIÓN/REPOSICIÓN DE MEDIDORES (CAMBIO MASIVO)</v>
      </c>
      <c r="C447" s="523"/>
      <c r="D447" s="805"/>
      <c r="E447" s="805"/>
      <c r="F447" s="805"/>
      <c r="G447" s="805"/>
      <c r="H447" s="805"/>
      <c r="I447" s="805"/>
      <c r="J447" s="806"/>
      <c r="K447" s="806">
        <f>+K265</f>
        <v>148997</v>
      </c>
      <c r="L447" s="806">
        <f t="shared" ref="L447:T447" si="122">+L265</f>
        <v>270439</v>
      </c>
      <c r="M447" s="806">
        <f t="shared" si="122"/>
        <v>364678</v>
      </c>
      <c r="N447" s="806">
        <f t="shared" si="122"/>
        <v>432060</v>
      </c>
      <c r="O447" s="806">
        <f t="shared" si="122"/>
        <v>472926</v>
      </c>
      <c r="P447" s="806">
        <f t="shared" si="122"/>
        <v>487610</v>
      </c>
      <c r="Q447" s="806">
        <f t="shared" si="122"/>
        <v>476442</v>
      </c>
      <c r="R447" s="806">
        <f t="shared" si="122"/>
        <v>439747</v>
      </c>
      <c r="S447" s="806">
        <f t="shared" si="122"/>
        <v>377843</v>
      </c>
      <c r="T447" s="806">
        <f t="shared" si="122"/>
        <v>291044</v>
      </c>
      <c r="U447" s="308"/>
      <c r="V447" s="308"/>
      <c r="W447" s="308"/>
      <c r="X447" s="308"/>
      <c r="Y447" s="308"/>
    </row>
    <row r="448" spans="1:25" x14ac:dyDescent="0.2">
      <c r="B448" s="794" t="str">
        <f>+B275</f>
        <v>10. GESTIÓN DE FRAUDES Y CONEXIONES CLANDESTINAS</v>
      </c>
      <c r="C448" s="524"/>
      <c r="D448" s="805"/>
      <c r="E448" s="805"/>
      <c r="F448" s="805"/>
      <c r="G448" s="805"/>
      <c r="H448" s="805"/>
      <c r="I448" s="805"/>
      <c r="J448" s="806"/>
      <c r="K448" s="806">
        <f>+K282</f>
        <v>362448</v>
      </c>
      <c r="L448" s="806">
        <f t="shared" ref="L448:T448" si="123">+L282</f>
        <v>362448</v>
      </c>
      <c r="M448" s="806">
        <f t="shared" si="123"/>
        <v>362448</v>
      </c>
      <c r="N448" s="806">
        <f t="shared" si="123"/>
        <v>362448</v>
      </c>
      <c r="O448" s="806">
        <f t="shared" si="123"/>
        <v>362448</v>
      </c>
      <c r="P448" s="806">
        <f t="shared" si="123"/>
        <v>0</v>
      </c>
      <c r="Q448" s="806">
        <f t="shared" si="123"/>
        <v>0</v>
      </c>
      <c r="R448" s="806">
        <f t="shared" si="123"/>
        <v>0</v>
      </c>
      <c r="S448" s="806">
        <f t="shared" si="123"/>
        <v>0</v>
      </c>
      <c r="T448" s="806">
        <f t="shared" si="123"/>
        <v>0</v>
      </c>
      <c r="U448" s="308"/>
      <c r="V448" s="308"/>
      <c r="W448" s="308"/>
      <c r="X448" s="308"/>
      <c r="Y448" s="308"/>
    </row>
    <row r="449" spans="2:25" x14ac:dyDescent="0.2">
      <c r="B449" s="794" t="str">
        <f>+B293</f>
        <v>11. COBRO DE CONSUMOS POR EJECUCIÓN DE OBRAS DE INFRAESTRUCTURA (COBRO DE TERCEROS)</v>
      </c>
      <c r="C449" s="524"/>
      <c r="D449" s="805"/>
      <c r="E449" s="805"/>
      <c r="F449" s="805"/>
      <c r="G449" s="805"/>
      <c r="H449" s="805"/>
      <c r="I449" s="805"/>
      <c r="J449" s="806"/>
      <c r="K449" s="806">
        <f t="shared" ref="K449:T449" si="124">+K299</f>
        <v>0</v>
      </c>
      <c r="L449" s="806">
        <f t="shared" si="124"/>
        <v>0</v>
      </c>
      <c r="M449" s="806">
        <f t="shared" si="124"/>
        <v>0</v>
      </c>
      <c r="N449" s="806">
        <f t="shared" si="124"/>
        <v>0</v>
      </c>
      <c r="O449" s="806">
        <f t="shared" si="124"/>
        <v>0</v>
      </c>
      <c r="P449" s="806">
        <f t="shared" si="124"/>
        <v>0</v>
      </c>
      <c r="Q449" s="806">
        <f t="shared" si="124"/>
        <v>0</v>
      </c>
      <c r="R449" s="806">
        <f t="shared" si="124"/>
        <v>0</v>
      </c>
      <c r="S449" s="806">
        <f t="shared" si="124"/>
        <v>0</v>
      </c>
      <c r="T449" s="806">
        <f t="shared" si="124"/>
        <v>0</v>
      </c>
      <c r="U449" s="308"/>
      <c r="V449" s="308"/>
      <c r="W449" s="308"/>
      <c r="X449" s="308"/>
      <c r="Y449" s="308"/>
    </row>
    <row r="450" spans="2:25" x14ac:dyDescent="0.2">
      <c r="B450" s="794" t="str">
        <f>+B310</f>
        <v>12. SEGUIMIENTO USUARIOS CON CONSUMO 0 E INACTIVOS</v>
      </c>
      <c r="C450" s="524"/>
      <c r="D450" s="805"/>
      <c r="E450" s="805"/>
      <c r="F450" s="805"/>
      <c r="G450" s="805"/>
      <c r="H450" s="805"/>
      <c r="I450" s="805"/>
      <c r="J450" s="806"/>
      <c r="K450" s="806">
        <f t="shared" ref="K450:T450" si="125">+K317</f>
        <v>22189.508158946323</v>
      </c>
      <c r="L450" s="806">
        <f t="shared" si="125"/>
        <v>21945.423569197908</v>
      </c>
      <c r="M450" s="806">
        <f t="shared" si="125"/>
        <v>21704.023909936728</v>
      </c>
      <c r="N450" s="806">
        <f t="shared" si="125"/>
        <v>21465.279646927425</v>
      </c>
      <c r="O450" s="806">
        <f t="shared" si="125"/>
        <v>21229.161570811226</v>
      </c>
      <c r="P450" s="806">
        <f t="shared" si="125"/>
        <v>0</v>
      </c>
      <c r="Q450" s="806">
        <f t="shared" si="125"/>
        <v>0</v>
      </c>
      <c r="R450" s="806">
        <f t="shared" si="125"/>
        <v>0</v>
      </c>
      <c r="S450" s="806">
        <f t="shared" si="125"/>
        <v>0</v>
      </c>
      <c r="T450" s="806">
        <f t="shared" si="125"/>
        <v>0</v>
      </c>
      <c r="U450" s="308"/>
      <c r="V450" s="308"/>
      <c r="W450" s="308"/>
      <c r="X450" s="308"/>
      <c r="Y450" s="308"/>
    </row>
    <row r="451" spans="2:25" x14ac:dyDescent="0.2">
      <c r="B451" s="794" t="str">
        <f>+B328</f>
        <v>13. SEGUIMIENTO ANOMALIAS</v>
      </c>
      <c r="C451" s="524"/>
      <c r="D451" s="805"/>
      <c r="E451" s="805"/>
      <c r="F451" s="805"/>
      <c r="G451" s="805"/>
      <c r="H451" s="805"/>
      <c r="I451" s="805"/>
      <c r="J451" s="806"/>
      <c r="K451" s="806">
        <f t="shared" ref="K451:T451" si="126">+K335</f>
        <v>41452.800000000003</v>
      </c>
      <c r="L451" s="806">
        <f t="shared" si="126"/>
        <v>41452.800000000003</v>
      </c>
      <c r="M451" s="806">
        <f t="shared" si="126"/>
        <v>41452.800000000003</v>
      </c>
      <c r="N451" s="806">
        <f t="shared" si="126"/>
        <v>41452.800000000003</v>
      </c>
      <c r="O451" s="806">
        <f t="shared" si="126"/>
        <v>41452.800000000003</v>
      </c>
      <c r="P451" s="806">
        <f t="shared" si="126"/>
        <v>41452.800000000003</v>
      </c>
      <c r="Q451" s="806">
        <f t="shared" si="126"/>
        <v>41452.800000000003</v>
      </c>
      <c r="R451" s="806">
        <f t="shared" si="126"/>
        <v>41452.800000000003</v>
      </c>
      <c r="S451" s="806">
        <f t="shared" si="126"/>
        <v>41452.800000000003</v>
      </c>
      <c r="T451" s="806">
        <f t="shared" si="126"/>
        <v>41452.800000000003</v>
      </c>
      <c r="U451" s="308"/>
      <c r="V451" s="308"/>
      <c r="W451" s="308"/>
      <c r="X451" s="308"/>
      <c r="Y451" s="308"/>
    </row>
    <row r="452" spans="2:25" x14ac:dyDescent="0.2">
      <c r="B452" s="794" t="str">
        <f>+B346</f>
        <v xml:space="preserve">14. SEGUIMIENTO Y CONTROL MEDIDORES GRANDES CONSUMIDORES </v>
      </c>
      <c r="C452" s="524"/>
      <c r="D452" s="805"/>
      <c r="E452" s="805"/>
      <c r="F452" s="805"/>
      <c r="G452" s="805"/>
      <c r="H452" s="805"/>
      <c r="I452" s="805"/>
      <c r="J452" s="806"/>
      <c r="K452" s="806">
        <f t="shared" ref="K452:T452" si="127">+K353</f>
        <v>1528.8357599999999</v>
      </c>
      <c r="L452" s="806">
        <f t="shared" si="127"/>
        <v>1512.0185666399996</v>
      </c>
      <c r="M452" s="806">
        <f t="shared" si="127"/>
        <v>1495.3863624069595</v>
      </c>
      <c r="N452" s="806">
        <f t="shared" si="127"/>
        <v>1725.4266311572305</v>
      </c>
      <c r="O452" s="806">
        <f t="shared" si="127"/>
        <v>1706.4469382145007</v>
      </c>
      <c r="P452" s="806">
        <f t="shared" si="127"/>
        <v>0</v>
      </c>
      <c r="Q452" s="806">
        <f t="shared" si="127"/>
        <v>0</v>
      </c>
      <c r="R452" s="806">
        <f t="shared" si="127"/>
        <v>0</v>
      </c>
      <c r="S452" s="806">
        <f t="shared" si="127"/>
        <v>0</v>
      </c>
      <c r="T452" s="806">
        <f t="shared" si="127"/>
        <v>0</v>
      </c>
      <c r="U452" s="308"/>
      <c r="V452" s="308"/>
      <c r="W452" s="308"/>
      <c r="X452" s="308"/>
      <c r="Y452" s="308"/>
    </row>
    <row r="453" spans="2:25" x14ac:dyDescent="0.2">
      <c r="B453" s="794" t="str">
        <f>+B364</f>
        <v>15. ACTUALIZACIÓN CATASTRO DE USUARIOS Y GEOREFERENCIACIÓN</v>
      </c>
      <c r="C453" s="524"/>
      <c r="D453" s="805"/>
      <c r="E453" s="805"/>
      <c r="F453" s="805"/>
      <c r="G453" s="805"/>
      <c r="H453" s="805"/>
      <c r="I453" s="805"/>
      <c r="J453" s="806"/>
      <c r="K453" s="806">
        <f t="shared" ref="K453:T453" si="128">+K371</f>
        <v>9552</v>
      </c>
      <c r="L453" s="806">
        <f t="shared" si="128"/>
        <v>9552</v>
      </c>
      <c r="M453" s="806">
        <f t="shared" si="128"/>
        <v>9552</v>
      </c>
      <c r="N453" s="806">
        <f t="shared" si="128"/>
        <v>9552</v>
      </c>
      <c r="O453" s="806">
        <f t="shared" si="128"/>
        <v>9552</v>
      </c>
      <c r="P453" s="806">
        <f t="shared" si="128"/>
        <v>0</v>
      </c>
      <c r="Q453" s="806">
        <f t="shared" si="128"/>
        <v>0</v>
      </c>
      <c r="R453" s="806">
        <f t="shared" si="128"/>
        <v>0</v>
      </c>
      <c r="S453" s="806">
        <f t="shared" si="128"/>
        <v>0</v>
      </c>
      <c r="T453" s="806">
        <f t="shared" si="128"/>
        <v>0</v>
      </c>
      <c r="U453" s="308"/>
      <c r="V453" s="308"/>
      <c r="W453" s="308"/>
      <c r="X453" s="308"/>
      <c r="Y453" s="308"/>
    </row>
    <row r="454" spans="2:25" x14ac:dyDescent="0.2">
      <c r="B454" s="794" t="str">
        <f>+B382</f>
        <v>16.VINCULACIÓN DE COMUNIDADES ILEGALES</v>
      </c>
      <c r="C454" s="524"/>
      <c r="D454" s="805"/>
      <c r="E454" s="805"/>
      <c r="F454" s="805"/>
      <c r="G454" s="805"/>
      <c r="H454" s="805"/>
      <c r="I454" s="805"/>
      <c r="J454" s="806"/>
      <c r="K454" s="806">
        <f>+K390</f>
        <v>193826.03975999999</v>
      </c>
      <c r="L454" s="806">
        <f t="shared" ref="L454:T454" si="129">+L390</f>
        <v>191693.95332263995</v>
      </c>
      <c r="M454" s="806">
        <f t="shared" si="129"/>
        <v>189585.3198360909</v>
      </c>
      <c r="N454" s="806">
        <f t="shared" si="129"/>
        <v>249999.84175719193</v>
      </c>
      <c r="O454" s="806">
        <f t="shared" si="129"/>
        <v>247249.84349786278</v>
      </c>
      <c r="P454" s="806">
        <f t="shared" si="129"/>
        <v>0</v>
      </c>
      <c r="Q454" s="806">
        <f t="shared" si="129"/>
        <v>0</v>
      </c>
      <c r="R454" s="806">
        <f t="shared" si="129"/>
        <v>0</v>
      </c>
      <c r="S454" s="806">
        <f t="shared" si="129"/>
        <v>0</v>
      </c>
      <c r="T454" s="806">
        <f t="shared" si="129"/>
        <v>0</v>
      </c>
      <c r="U454" s="308"/>
      <c r="V454" s="308"/>
      <c r="W454" s="308"/>
      <c r="X454" s="308"/>
      <c r="Y454" s="308"/>
    </row>
    <row r="455" spans="2:25" x14ac:dyDescent="0.2">
      <c r="B455" s="794" t="str">
        <f>+B401</f>
        <v>17. TELEMETRÍA GRANDES CONSUMIDORES</v>
      </c>
      <c r="C455" s="524"/>
      <c r="D455" s="805"/>
      <c r="E455" s="805"/>
      <c r="F455" s="805"/>
      <c r="G455" s="805"/>
      <c r="H455" s="805"/>
      <c r="I455" s="805"/>
      <c r="J455" s="806"/>
      <c r="K455" s="806">
        <f t="shared" ref="K455:T455" si="130">+K407</f>
        <v>147787.45680000001</v>
      </c>
      <c r="L455" s="806">
        <f t="shared" si="130"/>
        <v>148681.82571959996</v>
      </c>
      <c r="M455" s="806">
        <f t="shared" si="130"/>
        <v>147046.32563668437</v>
      </c>
      <c r="N455" s="806">
        <f t="shared" si="130"/>
        <v>147893.71124204833</v>
      </c>
      <c r="O455" s="806">
        <f t="shared" si="130"/>
        <v>148704.66175869221</v>
      </c>
      <c r="P455" s="806">
        <f t="shared" si="130"/>
        <v>0</v>
      </c>
      <c r="Q455" s="806">
        <f t="shared" si="130"/>
        <v>0</v>
      </c>
      <c r="R455" s="806">
        <f t="shared" si="130"/>
        <v>0</v>
      </c>
      <c r="S455" s="806">
        <f t="shared" si="130"/>
        <v>0</v>
      </c>
      <c r="T455" s="806">
        <f t="shared" si="130"/>
        <v>0</v>
      </c>
      <c r="U455" s="308"/>
      <c r="V455" s="308"/>
      <c r="W455" s="308"/>
      <c r="X455" s="308"/>
      <c r="Y455" s="308"/>
    </row>
    <row r="456" spans="2:25" x14ac:dyDescent="0.2">
      <c r="B456" s="794" t="str">
        <f>+B417</f>
        <v>18. SOFTWARE DE INTELIGENCIA PARA ALERTAS</v>
      </c>
      <c r="C456" s="524"/>
      <c r="D456" s="805"/>
      <c r="E456" s="805"/>
      <c r="F456" s="805"/>
      <c r="G456" s="805"/>
      <c r="H456" s="805"/>
      <c r="I456" s="805"/>
      <c r="J456" s="806"/>
      <c r="K456" s="806">
        <f t="shared" ref="K456:T456" si="131">+K422</f>
        <v>0</v>
      </c>
      <c r="L456" s="806">
        <f t="shared" si="131"/>
        <v>0</v>
      </c>
      <c r="M456" s="806">
        <f t="shared" si="131"/>
        <v>0</v>
      </c>
      <c r="N456" s="806">
        <f t="shared" si="131"/>
        <v>0</v>
      </c>
      <c r="O456" s="806">
        <f t="shared" si="131"/>
        <v>0</v>
      </c>
      <c r="P456" s="806">
        <f t="shared" si="131"/>
        <v>0</v>
      </c>
      <c r="Q456" s="806">
        <f t="shared" si="131"/>
        <v>0</v>
      </c>
      <c r="R456" s="806">
        <f t="shared" si="131"/>
        <v>0</v>
      </c>
      <c r="S456" s="806">
        <f t="shared" si="131"/>
        <v>0</v>
      </c>
      <c r="T456" s="806">
        <f t="shared" si="131"/>
        <v>0</v>
      </c>
      <c r="U456" s="308"/>
      <c r="V456" s="308"/>
      <c r="W456" s="308"/>
      <c r="X456" s="308"/>
      <c r="Y456" s="308"/>
    </row>
    <row r="457" spans="2:25" x14ac:dyDescent="0.2">
      <c r="B457" s="794" t="str">
        <f>+B430</f>
        <v>19 VINCULACIÓN INDIVUAL (TÉCNICO - COMERCIAL)</v>
      </c>
      <c r="C457" s="524"/>
      <c r="D457" s="805"/>
      <c r="E457" s="805"/>
      <c r="F457" s="805"/>
      <c r="G457" s="805"/>
      <c r="H457" s="805"/>
      <c r="I457" s="805"/>
      <c r="J457" s="806"/>
      <c r="K457" s="806">
        <f t="shared" ref="K457:T457" si="132">+K436</f>
        <v>0</v>
      </c>
      <c r="L457" s="806">
        <f t="shared" si="132"/>
        <v>0</v>
      </c>
      <c r="M457" s="806">
        <f t="shared" si="132"/>
        <v>0</v>
      </c>
      <c r="N457" s="806">
        <f t="shared" si="132"/>
        <v>0</v>
      </c>
      <c r="O457" s="806">
        <f t="shared" si="132"/>
        <v>0</v>
      </c>
      <c r="P457" s="806">
        <f t="shared" si="132"/>
        <v>0</v>
      </c>
      <c r="Q457" s="806">
        <f t="shared" si="132"/>
        <v>0</v>
      </c>
      <c r="R457" s="806">
        <f t="shared" si="132"/>
        <v>0</v>
      </c>
      <c r="S457" s="806">
        <f t="shared" si="132"/>
        <v>0</v>
      </c>
      <c r="T457" s="806">
        <f t="shared" si="132"/>
        <v>0</v>
      </c>
      <c r="U457" s="308"/>
      <c r="V457" s="308"/>
      <c r="W457" s="308"/>
      <c r="X457" s="308"/>
      <c r="Y457" s="308"/>
    </row>
    <row r="458" spans="2:25" x14ac:dyDescent="0.2">
      <c r="B458" s="524" t="s">
        <v>305</v>
      </c>
      <c r="C458" s="524"/>
      <c r="D458" s="805"/>
      <c r="E458" s="805"/>
      <c r="F458" s="805"/>
      <c r="G458" s="805"/>
      <c r="H458" s="805"/>
      <c r="I458" s="805"/>
      <c r="J458" s="894"/>
      <c r="K458" s="894">
        <f t="shared" ref="K458:T458" si="133">SUM(K447:K457)</f>
        <v>927781.64047894638</v>
      </c>
      <c r="L458" s="894">
        <f t="shared" si="133"/>
        <v>1047725.0211780778</v>
      </c>
      <c r="M458" s="894">
        <f t="shared" si="133"/>
        <v>1137961.855745119</v>
      </c>
      <c r="N458" s="894">
        <f t="shared" si="133"/>
        <v>1266597.0592773249</v>
      </c>
      <c r="O458" s="894">
        <f t="shared" si="133"/>
        <v>1305268.9137655806</v>
      </c>
      <c r="P458" s="894">
        <f t="shared" si="133"/>
        <v>529062.80000000005</v>
      </c>
      <c r="Q458" s="894">
        <f t="shared" si="133"/>
        <v>517894.8</v>
      </c>
      <c r="R458" s="894">
        <f t="shared" si="133"/>
        <v>481199.8</v>
      </c>
      <c r="S458" s="894">
        <f t="shared" si="133"/>
        <v>419295.8</v>
      </c>
      <c r="T458" s="894">
        <f t="shared" si="133"/>
        <v>332496.8</v>
      </c>
      <c r="U458" s="308"/>
      <c r="V458" s="308"/>
      <c r="W458" s="308"/>
      <c r="X458" s="308"/>
      <c r="Y458" s="308"/>
    </row>
  </sheetData>
  <dataConsolidate link="1"/>
  <mergeCells count="2">
    <mergeCell ref="B188:C188"/>
    <mergeCell ref="C168:F168"/>
  </mergeCells>
  <phoneticPr fontId="9" type="noConversion"/>
  <conditionalFormatting sqref="C120:C130">
    <cfRule type="colorScale" priority="87">
      <colorScale>
        <cfvo type="min"/>
        <cfvo type="percentile" val="50"/>
        <cfvo type="max"/>
        <color rgb="FFF8696B"/>
        <color rgb="FFFFEB84"/>
        <color rgb="FF63BE7B"/>
      </colorScale>
    </cfRule>
  </conditionalFormatting>
  <conditionalFormatting sqref="C19 C12:XFD12 A21:XFD21 A36:XFD36 A40:XFD40 A61:XFD61 A86:XFD86 C109:XFD109 C134:XFD134 C143:XFD143 C175:XFD175 A11:XFD11 D16:T16">
    <cfRule type="cellIs" dxfId="742" priority="86" operator="equal">
      <formula>"¿Dentro de los proyectos de la empresa ya se encuentra contemplado este subprograma?"</formula>
    </cfRule>
  </conditionalFormatting>
  <conditionalFormatting sqref="A12">
    <cfRule type="cellIs" dxfId="741" priority="84" operator="equal">
      <formula>"¿Dentro de los proyectos de la empresa ya se encuentra contemplado este subprograma?"</formula>
    </cfRule>
  </conditionalFormatting>
  <conditionalFormatting sqref="E14:I15 J14">
    <cfRule type="cellIs" dxfId="740" priority="83" operator="equal">
      <formula>"¿Dentro de los proyectos de la empresa ya se encuentra contemplado este subprograma?"</formula>
    </cfRule>
  </conditionalFormatting>
  <conditionalFormatting sqref="E2:E3">
    <cfRule type="cellIs" dxfId="739" priority="79" operator="equal">
      <formula>"¿Dentro de los proyectos de la empresa ya se encuentra contemplado este subprograma?"</formula>
    </cfRule>
  </conditionalFormatting>
  <conditionalFormatting sqref="B23:B26">
    <cfRule type="cellIs" dxfId="738" priority="81" operator="equal">
      <formula>"¿Dentro de los proyectos de la empresa ya se encuentra contemplado este subprograma?"</formula>
    </cfRule>
  </conditionalFormatting>
  <conditionalFormatting sqref="C34">
    <cfRule type="cellIs" dxfId="737" priority="80" operator="equal">
      <formula>"¿Dentro de los proyectos de la empresa ya se encuentra contemplado este subprograma?"</formula>
    </cfRule>
  </conditionalFormatting>
  <conditionalFormatting sqref="B22">
    <cfRule type="cellIs" dxfId="736" priority="77" operator="equal">
      <formula>"¿Dentro de los proyectos de la empresa ya se encuentra contemplado este subprograma?"</formula>
    </cfRule>
  </conditionalFormatting>
  <conditionalFormatting sqref="B37">
    <cfRule type="cellIs" dxfId="735" priority="73" operator="equal">
      <formula>"¿Dentro de los proyectos de la empresa ya se encuentra contemplado este subprograma?"</formula>
    </cfRule>
  </conditionalFormatting>
  <conditionalFormatting sqref="I64:T64">
    <cfRule type="cellIs" dxfId="734" priority="69" operator="equal">
      <formula>"¿Dentro de los proyectos de la empresa ya se encuentra contemplado este subprograma?"</formula>
    </cfRule>
  </conditionalFormatting>
  <conditionalFormatting sqref="B109">
    <cfRule type="cellIs" dxfId="733" priority="64" operator="equal">
      <formula>"¿Dentro de los proyectos de la empresa ya se encuentra contemplado este subprograma?"</formula>
    </cfRule>
  </conditionalFormatting>
  <conditionalFormatting sqref="A109">
    <cfRule type="cellIs" dxfId="732" priority="65" operator="equal">
      <formula>"¿Dentro de los proyectos de la empresa ya se encuentra contemplado este subprograma?"</formula>
    </cfRule>
  </conditionalFormatting>
  <conditionalFormatting sqref="B112">
    <cfRule type="cellIs" dxfId="731" priority="63" operator="equal">
      <formula>"¿Dentro de los proyectos de la empresa ya se encuentra contemplado este subprograma?"</formula>
    </cfRule>
  </conditionalFormatting>
  <conditionalFormatting sqref="B116">
    <cfRule type="cellIs" dxfId="730" priority="62" operator="equal">
      <formula>"¿Dentro de los proyectos de la empresa ya se encuentra contemplado este subprograma?"</formula>
    </cfRule>
  </conditionalFormatting>
  <conditionalFormatting sqref="C118">
    <cfRule type="cellIs" dxfId="729" priority="61" operator="equal">
      <formula>"¿Dentro de los proyectos de la empresa ya se encuentra contemplado este subprograma?"</formula>
    </cfRule>
  </conditionalFormatting>
  <conditionalFormatting sqref="B118">
    <cfRule type="cellIs" dxfId="728" priority="60" operator="equal">
      <formula>"¿Dentro de los proyectos de la empresa ya se encuentra contemplado este subprograma?"</formula>
    </cfRule>
  </conditionalFormatting>
  <conditionalFormatting sqref="D118">
    <cfRule type="cellIs" dxfId="727" priority="59" operator="equal">
      <formula>"¿Dentro de los proyectos de la empresa ya se encuentra contemplado este subprograma?"</formula>
    </cfRule>
  </conditionalFormatting>
  <conditionalFormatting sqref="E118:F118">
    <cfRule type="cellIs" dxfId="726" priority="58" operator="equal">
      <formula>"¿Dentro de los proyectos de la empresa ya se encuentra contemplado este subprograma?"</formula>
    </cfRule>
  </conditionalFormatting>
  <conditionalFormatting sqref="J118:T118">
    <cfRule type="cellIs" dxfId="725" priority="57" operator="equal">
      <formula>"¿Dentro de los proyectos de la empresa ya se encuentra contemplado este subprograma?"</formula>
    </cfRule>
  </conditionalFormatting>
  <conditionalFormatting sqref="B134">
    <cfRule type="cellIs" dxfId="724" priority="55" operator="equal">
      <formula>"¿Dentro de los proyectos de la empresa ya se encuentra contemplado este subprograma?"</formula>
    </cfRule>
  </conditionalFormatting>
  <conditionalFormatting sqref="A134">
    <cfRule type="cellIs" dxfId="723" priority="56" operator="equal">
      <formula>"¿Dentro de los proyectos de la empresa ya se encuentra contemplado este subprograma?"</formula>
    </cfRule>
  </conditionalFormatting>
  <conditionalFormatting sqref="B143">
    <cfRule type="cellIs" dxfId="722" priority="53" operator="equal">
      <formula>"¿Dentro de los proyectos de la empresa ya se encuentra contemplado este subprograma?"</formula>
    </cfRule>
  </conditionalFormatting>
  <conditionalFormatting sqref="A143">
    <cfRule type="cellIs" dxfId="721" priority="54" operator="equal">
      <formula>"¿Dentro de los proyectos de la empresa ya se encuentra contemplado este subprograma?"</formula>
    </cfRule>
  </conditionalFormatting>
  <conditionalFormatting sqref="C161">
    <cfRule type="cellIs" dxfId="720" priority="52" operator="equal">
      <formula>"¿Dentro de los proyectos de la empresa ya se encuentra contemplado este subprograma?"</formula>
    </cfRule>
  </conditionalFormatting>
  <conditionalFormatting sqref="B175">
    <cfRule type="cellIs" dxfId="719" priority="49" operator="equal">
      <formula>"¿Dentro de los proyectos de la empresa ya se encuentra contemplado este subprograma?"</formula>
    </cfRule>
  </conditionalFormatting>
  <conditionalFormatting sqref="A175">
    <cfRule type="cellIs" dxfId="718" priority="50" operator="equal">
      <formula>"¿Dentro de los proyectos de la empresa ya se encuentra contemplado este subprograma?"</formula>
    </cfRule>
  </conditionalFormatting>
  <conditionalFormatting sqref="B188">
    <cfRule type="cellIs" dxfId="717" priority="48" operator="equal">
      <formula>"¿Dentro de los proyectos de la empresa ya se encuentra contemplado este subprograma?"</formula>
    </cfRule>
  </conditionalFormatting>
  <conditionalFormatting sqref="C272">
    <cfRule type="expression" dxfId="716" priority="45">
      <formula>$D$123&lt;&gt;0</formula>
    </cfRule>
    <cfRule type="cellIs" dxfId="715" priority="46" operator="equal">
      <formula>0</formula>
    </cfRule>
  </conditionalFormatting>
  <conditionalFormatting sqref="C272">
    <cfRule type="cellIs" dxfId="714" priority="47" operator="equal">
      <formula>"¿Dentro de los proyectos de la empresa ya se encuentra contemplado este subprograma?"</formula>
    </cfRule>
  </conditionalFormatting>
  <conditionalFormatting sqref="C291">
    <cfRule type="expression" dxfId="713" priority="42">
      <formula>$D$123&lt;&gt;0</formula>
    </cfRule>
    <cfRule type="cellIs" dxfId="712" priority="43" operator="equal">
      <formula>0</formula>
    </cfRule>
  </conditionalFormatting>
  <conditionalFormatting sqref="C291">
    <cfRule type="cellIs" dxfId="711" priority="44" operator="equal">
      <formula>"¿Dentro de los proyectos de la empresa ya se encuentra contemplado este subprograma?"</formula>
    </cfRule>
  </conditionalFormatting>
  <conditionalFormatting sqref="C308">
    <cfRule type="expression" dxfId="710" priority="39">
      <formula>$D$123&lt;&gt;0</formula>
    </cfRule>
    <cfRule type="cellIs" dxfId="709" priority="40" operator="equal">
      <formula>0</formula>
    </cfRule>
  </conditionalFormatting>
  <conditionalFormatting sqref="C308">
    <cfRule type="cellIs" dxfId="708" priority="41" operator="equal">
      <formula>"¿Dentro de los proyectos de la empresa ya se encuentra contemplado este subprograma?"</formula>
    </cfRule>
  </conditionalFormatting>
  <conditionalFormatting sqref="C326">
    <cfRule type="expression" dxfId="707" priority="36">
      <formula>$D$123&lt;&gt;0</formula>
    </cfRule>
    <cfRule type="cellIs" dxfId="706" priority="37" operator="equal">
      <formula>0</formula>
    </cfRule>
  </conditionalFormatting>
  <conditionalFormatting sqref="C326">
    <cfRule type="cellIs" dxfId="705" priority="38" operator="equal">
      <formula>"¿Dentro de los proyectos de la empresa ya se encuentra contemplado este subprograma?"</formula>
    </cfRule>
  </conditionalFormatting>
  <conditionalFormatting sqref="C344">
    <cfRule type="expression" dxfId="704" priority="33">
      <formula>$D$123&lt;&gt;0</formula>
    </cfRule>
    <cfRule type="cellIs" dxfId="703" priority="34" operator="equal">
      <formula>0</formula>
    </cfRule>
  </conditionalFormatting>
  <conditionalFormatting sqref="C344">
    <cfRule type="cellIs" dxfId="702" priority="35" operator="equal">
      <formula>"¿Dentro de los proyectos de la empresa ya se encuentra contemplado este subprograma?"</formula>
    </cfRule>
  </conditionalFormatting>
  <conditionalFormatting sqref="C362">
    <cfRule type="expression" dxfId="701" priority="30">
      <formula>$D$123&lt;&gt;0</formula>
    </cfRule>
    <cfRule type="cellIs" dxfId="700" priority="31" operator="equal">
      <formula>0</formula>
    </cfRule>
  </conditionalFormatting>
  <conditionalFormatting sqref="C362">
    <cfRule type="cellIs" dxfId="699" priority="32" operator="equal">
      <formula>"¿Dentro de los proyectos de la empresa ya se encuentra contemplado este subprograma?"</formula>
    </cfRule>
  </conditionalFormatting>
  <conditionalFormatting sqref="C380">
    <cfRule type="expression" dxfId="698" priority="27">
      <formula>$D$123&lt;&gt;0</formula>
    </cfRule>
    <cfRule type="cellIs" dxfId="697" priority="28" operator="equal">
      <formula>0</formula>
    </cfRule>
  </conditionalFormatting>
  <conditionalFormatting sqref="C380">
    <cfRule type="cellIs" dxfId="696" priority="29" operator="equal">
      <formula>"¿Dentro de los proyectos de la empresa ya se encuentra contemplado este subprograma?"</formula>
    </cfRule>
  </conditionalFormatting>
  <conditionalFormatting sqref="C399">
    <cfRule type="expression" dxfId="695" priority="24">
      <formula>$D$123&lt;&gt;0</formula>
    </cfRule>
    <cfRule type="cellIs" dxfId="694" priority="25" operator="equal">
      <formula>0</formula>
    </cfRule>
  </conditionalFormatting>
  <conditionalFormatting sqref="C399">
    <cfRule type="cellIs" dxfId="693" priority="26" operator="equal">
      <formula>"¿Dentro de los proyectos de la empresa ya se encuentra contemplado este subprograma?"</formula>
    </cfRule>
  </conditionalFormatting>
  <conditionalFormatting sqref="C415">
    <cfRule type="expression" dxfId="692" priority="21">
      <formula>$D$123&lt;&gt;0</formula>
    </cfRule>
    <cfRule type="cellIs" dxfId="691" priority="22" operator="equal">
      <formula>0</formula>
    </cfRule>
  </conditionalFormatting>
  <conditionalFormatting sqref="C415">
    <cfRule type="cellIs" dxfId="690" priority="23" operator="equal">
      <formula>"¿Dentro de los proyectos de la empresa ya se encuentra contemplado este subprograma?"</formula>
    </cfRule>
  </conditionalFormatting>
  <conditionalFormatting sqref="C443">
    <cfRule type="expression" dxfId="689" priority="15">
      <formula>$D$123&lt;&gt;0</formula>
    </cfRule>
    <cfRule type="cellIs" dxfId="688" priority="16" operator="equal">
      <formula>0</formula>
    </cfRule>
  </conditionalFormatting>
  <conditionalFormatting sqref="C443">
    <cfRule type="cellIs" dxfId="687" priority="17" operator="equal">
      <formula>"¿Dentro de los proyectos de la empresa ya se encuentra contemplado este subprograma?"</formula>
    </cfRule>
  </conditionalFormatting>
  <conditionalFormatting sqref="H34:T34">
    <cfRule type="cellIs" dxfId="686" priority="14" operator="equal">
      <formula>"¿Dentro de los proyectos de la empresa ya se encuentra contemplado este subprograma?"</formula>
    </cfRule>
  </conditionalFormatting>
  <conditionalFormatting sqref="J10:T10">
    <cfRule type="cellIs" dxfId="685" priority="12" operator="equal">
      <formula>"¿Dentro de los proyectos de la empresa ya se encuentra contemplado este subprograma?"</formula>
    </cfRule>
  </conditionalFormatting>
  <conditionalFormatting sqref="B12">
    <cfRule type="cellIs" dxfId="684" priority="11" operator="equal">
      <formula>"¿Dentro de los proyectos de la empresa ya se encuentra contemplado este subprograma?"</formula>
    </cfRule>
  </conditionalFormatting>
  <conditionalFormatting sqref="C428">
    <cfRule type="expression" dxfId="683" priority="8">
      <formula>$D$123&lt;&gt;0</formula>
    </cfRule>
    <cfRule type="cellIs" dxfId="682" priority="9" operator="equal">
      <formula>0</formula>
    </cfRule>
  </conditionalFormatting>
  <conditionalFormatting sqref="C428">
    <cfRule type="cellIs" dxfId="681" priority="10" operator="equal">
      <formula>"¿Dentro de los proyectos de la empresa ya se encuentra contemplado este subprograma?"</formula>
    </cfRule>
  </conditionalFormatting>
  <conditionalFormatting sqref="C53">
    <cfRule type="cellIs" dxfId="680" priority="7" operator="equal">
      <formula>"¿Dentro de los proyectos de la empresa ya se encuentra contemplado este subprograma?"</formula>
    </cfRule>
  </conditionalFormatting>
  <conditionalFormatting sqref="D75:T75">
    <cfRule type="cellIs" dxfId="679" priority="5" operator="equal">
      <formula>"¿Dentro de los proyectos de la empresa ya se encuentra contemplado este subprograma?"</formula>
    </cfRule>
  </conditionalFormatting>
  <conditionalFormatting sqref="C89">
    <cfRule type="cellIs" dxfId="678" priority="4" operator="equal">
      <formula>"¿Dentro de los proyectos de la empresa ya se encuentra contemplado este subprograma?"</formula>
    </cfRule>
  </conditionalFormatting>
  <conditionalFormatting sqref="D68:T68">
    <cfRule type="cellIs" dxfId="677" priority="3" operator="equal">
      <formula>"¿Dentro de los proyectos de la empresa ya se encuentra contemplado este subprograma?"</formula>
    </cfRule>
  </conditionalFormatting>
  <conditionalFormatting sqref="C167">
    <cfRule type="cellIs" dxfId="676" priority="2" operator="equal">
      <formula>"¿Dentro de los proyectos de la empresa ya se encuentra contemplado este subprograma?"</formula>
    </cfRule>
  </conditionalFormatting>
  <conditionalFormatting sqref="K14:T14">
    <cfRule type="cellIs" dxfId="675" priority="1" operator="equal">
      <formula>"¿Dentro de los proyectos de la empresa ya se encuentra contemplado este subprograma?"</formula>
    </cfRule>
  </conditionalFormatting>
  <dataValidations disablePrompts="1" count="5">
    <dataValidation type="list" allowBlank="1" showInputMessage="1" showErrorMessage="1" sqref="C35" xr:uid="{FB2D3756-52E2-4E02-8D29-F3BDC4A9A573}">
      <formula1>"DANE,OTRA"</formula1>
    </dataValidation>
    <dataValidation type="list" allowBlank="1" showInputMessage="1" showErrorMessage="1" sqref="D120:D130" xr:uid="{930AF7BC-A620-4B83-BBA5-4ADF59F48606}">
      <formula1>"Sí,No,Nulo"</formula1>
    </dataValidation>
    <dataValidation type="list" allowBlank="1" showInputMessage="1" showErrorMessage="1" sqref="B19" xr:uid="{C6F3DE8C-0444-42FC-BF7D-7A5FEE47BAB0}">
      <formula1>"Res 825 de 2017,Res 688 de 2014"</formula1>
    </dataValidation>
    <dataValidation type="list" allowBlank="1" showInputMessage="1" showErrorMessage="1" sqref="C34" xr:uid="{AE660724-61CD-48C4-9904-D5D261BED395}">
      <formula1>"DANE 2018,ESP,OTRA"</formula1>
    </dataValidation>
    <dataValidation type="list" allowBlank="1" showInputMessage="1" showErrorMessage="1" sqref="C161" xr:uid="{501898C1-CA71-4FA0-A1CA-E31761EC46C0}">
      <formula1>$B$155:$B$158</formula1>
    </dataValidation>
  </dataValidations>
  <pageMargins left="0.7" right="0.7" top="0.75" bottom="0.75" header="0.3" footer="0.3"/>
  <pageSetup orientation="portrait" r:id="rId1"/>
  <ignoredErrors>
    <ignoredError sqref="E11:F11 D364 M405 L405 K405 N405 E122 E120:E121 E123:E130 F120:F130 K312:M312 C171:C173 D171:D173 D293 J393:J394 K264:T264 R38 K38:Q38 S38:T38 D66:T66 F67 K74:T74 C199 D202:D205 F171 F173 E172:E173 J179:T180 C178:C180 L280:O280 K313:O313 K314:O314 C331 J331:T332 J349:O349 C390 J404:O404 J408 B40 J437:J438" unlockedFormula="1"/>
    <ignoredError sqref="C53" formulaRange="1"/>
    <ignoredError sqref="E171 F172" formula="1" unlockedFormula="1"/>
    <ignoredError sqref="N79:O79"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tabColor rgb="FF92D050"/>
  </sheetPr>
  <dimension ref="A1:C18"/>
  <sheetViews>
    <sheetView zoomScale="150" zoomScaleNormal="150" workbookViewId="0">
      <selection activeCell="A3" sqref="A3"/>
    </sheetView>
  </sheetViews>
  <sheetFormatPr baseColWidth="10" defaultColWidth="11.375" defaultRowHeight="12" x14ac:dyDescent="0.2"/>
  <cols>
    <col min="1" max="1" width="65.875" style="6" customWidth="1"/>
    <col min="2" max="2" width="57.625" style="5" customWidth="1"/>
    <col min="3" max="3" width="59.375" style="5" customWidth="1"/>
    <col min="4" max="4" width="52" style="5" customWidth="1"/>
    <col min="5" max="5" width="11.375" style="5"/>
    <col min="6" max="6" width="65.625" style="5" customWidth="1"/>
    <col min="7" max="16384" width="11.375" style="5"/>
  </cols>
  <sheetData>
    <row r="1" spans="1:3" s="4" customFormat="1" x14ac:dyDescent="0.2">
      <c r="A1" s="254" t="s">
        <v>29</v>
      </c>
      <c r="B1" s="255" t="s">
        <v>30</v>
      </c>
      <c r="C1" s="3"/>
    </row>
    <row r="2" spans="1:3" x14ac:dyDescent="0.2">
      <c r="A2" s="256" t="s">
        <v>482</v>
      </c>
      <c r="B2" s="257"/>
    </row>
    <row r="3" spans="1:3" x14ac:dyDescent="0.2">
      <c r="A3" s="256" t="s">
        <v>483</v>
      </c>
      <c r="B3" s="258" t="s">
        <v>484</v>
      </c>
    </row>
    <row r="4" spans="1:3" ht="24" x14ac:dyDescent="0.2">
      <c r="A4" s="256" t="s">
        <v>485</v>
      </c>
      <c r="B4" s="257"/>
    </row>
    <row r="5" spans="1:3" x14ac:dyDescent="0.2">
      <c r="A5" s="256" t="s">
        <v>486</v>
      </c>
      <c r="B5" s="258" t="s">
        <v>487</v>
      </c>
    </row>
    <row r="6" spans="1:3" x14ac:dyDescent="0.2">
      <c r="A6" s="256" t="s">
        <v>488</v>
      </c>
      <c r="B6" s="257" t="s">
        <v>489</v>
      </c>
    </row>
    <row r="7" spans="1:3" ht="12" customHeight="1" x14ac:dyDescent="0.2">
      <c r="A7" s="259" t="s">
        <v>490</v>
      </c>
      <c r="B7" s="258" t="s">
        <v>491</v>
      </c>
    </row>
    <row r="8" spans="1:3" x14ac:dyDescent="0.2">
      <c r="A8" s="260"/>
      <c r="B8" s="258" t="s">
        <v>492</v>
      </c>
    </row>
    <row r="9" spans="1:3" x14ac:dyDescent="0.2">
      <c r="A9" s="261"/>
      <c r="B9" s="257" t="s">
        <v>493</v>
      </c>
    </row>
    <row r="10" spans="1:3" x14ac:dyDescent="0.2">
      <c r="A10" s="256" t="s">
        <v>494</v>
      </c>
      <c r="B10" s="257"/>
    </row>
    <row r="11" spans="1:3" x14ac:dyDescent="0.2">
      <c r="A11" s="259" t="s">
        <v>495</v>
      </c>
      <c r="B11" s="258" t="s">
        <v>496</v>
      </c>
    </row>
    <row r="12" spans="1:3" x14ac:dyDescent="0.2">
      <c r="A12" s="261"/>
      <c r="B12" s="258" t="s">
        <v>497</v>
      </c>
    </row>
    <row r="13" spans="1:3" x14ac:dyDescent="0.2">
      <c r="A13" s="256" t="s">
        <v>498</v>
      </c>
      <c r="B13" s="257" t="s">
        <v>499</v>
      </c>
    </row>
    <row r="14" spans="1:3" x14ac:dyDescent="0.2">
      <c r="A14" s="256" t="s">
        <v>212</v>
      </c>
      <c r="B14" s="257"/>
    </row>
    <row r="15" spans="1:3" x14ac:dyDescent="0.2">
      <c r="A15" s="256" t="s">
        <v>500</v>
      </c>
      <c r="B15" s="257"/>
    </row>
    <row r="16" spans="1:3" x14ac:dyDescent="0.2">
      <c r="A16" s="256" t="s">
        <v>501</v>
      </c>
      <c r="B16" s="258" t="s">
        <v>502</v>
      </c>
    </row>
    <row r="17" spans="1:2" x14ac:dyDescent="0.2">
      <c r="A17" s="256" t="s">
        <v>503</v>
      </c>
      <c r="B17" s="257"/>
    </row>
    <row r="18" spans="1:2" x14ac:dyDescent="0.2">
      <c r="A18" s="259" t="s">
        <v>31</v>
      </c>
      <c r="B18" s="26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7">
    <tabColor rgb="FF92D050"/>
  </sheetPr>
  <dimension ref="A2:H21"/>
  <sheetViews>
    <sheetView showGridLines="0" view="pageBreakPreview" zoomScale="90" zoomScaleNormal="100" zoomScaleSheetLayoutView="90" workbookViewId="0">
      <selection activeCell="F5" sqref="F5"/>
    </sheetView>
  </sheetViews>
  <sheetFormatPr baseColWidth="10" defaultColWidth="11.375" defaultRowHeight="12.75" x14ac:dyDescent="0.2"/>
  <cols>
    <col min="1" max="1" width="11.375" style="1132"/>
    <col min="2" max="2" width="62.625" style="1133" customWidth="1"/>
    <col min="3" max="3" width="17.625" style="610" customWidth="1"/>
    <col min="4" max="4" width="21.5" style="610" customWidth="1"/>
    <col min="5" max="5" width="16.875" style="1134" customWidth="1"/>
    <col min="6" max="6" width="52" style="610" customWidth="1"/>
    <col min="7" max="7" width="8" style="610" customWidth="1"/>
    <col min="8" max="8" width="12.625" style="610" customWidth="1"/>
    <col min="9" max="16384" width="11.375" style="86"/>
  </cols>
  <sheetData>
    <row r="2" spans="1:8" ht="25.5" x14ac:dyDescent="0.2">
      <c r="A2" s="1043" t="s">
        <v>984</v>
      </c>
      <c r="B2" s="1043" t="s">
        <v>457</v>
      </c>
      <c r="C2" s="1044" t="s">
        <v>458</v>
      </c>
      <c r="D2" s="1044" t="s">
        <v>244</v>
      </c>
      <c r="E2" s="1045" t="s">
        <v>459</v>
      </c>
      <c r="F2" s="1044" t="s">
        <v>460</v>
      </c>
      <c r="G2" s="1044" t="s">
        <v>461</v>
      </c>
      <c r="H2" s="1043" t="s">
        <v>462</v>
      </c>
    </row>
    <row r="3" spans="1:8" s="1702" customFormat="1" ht="27.6" customHeight="1" x14ac:dyDescent="0.2">
      <c r="A3" s="1694">
        <v>2</v>
      </c>
      <c r="B3" s="1695" t="s">
        <v>1057</v>
      </c>
      <c r="C3" s="1696" t="s">
        <v>463</v>
      </c>
      <c r="D3" s="1697"/>
      <c r="E3" s="1698">
        <v>36375</v>
      </c>
      <c r="F3" s="1699"/>
      <c r="G3" s="1700"/>
      <c r="H3" s="1701"/>
    </row>
    <row r="4" spans="1:8" x14ac:dyDescent="0.2">
      <c r="A4" s="1403">
        <v>5</v>
      </c>
      <c r="B4" s="1404" t="s">
        <v>1051</v>
      </c>
      <c r="C4" s="1405" t="s">
        <v>9</v>
      </c>
      <c r="D4" s="1406"/>
      <c r="E4" s="1047">
        <v>427506.68333333335</v>
      </c>
      <c r="F4" s="1407" t="s">
        <v>465</v>
      </c>
      <c r="G4" s="1408"/>
      <c r="H4" s="1409"/>
    </row>
    <row r="5" spans="1:8" ht="25.5" x14ac:dyDescent="0.2">
      <c r="A5" s="1403">
        <v>3</v>
      </c>
      <c r="B5" s="1404" t="s">
        <v>1052</v>
      </c>
      <c r="C5" s="1405" t="s">
        <v>9</v>
      </c>
      <c r="D5" s="1406"/>
      <c r="E5" s="1047">
        <v>87131.762499999997</v>
      </c>
      <c r="F5" s="1407" t="s">
        <v>465</v>
      </c>
      <c r="G5" s="1408"/>
      <c r="H5" s="1409"/>
    </row>
    <row r="6" spans="1:8" x14ac:dyDescent="0.2">
      <c r="A6" s="1403">
        <v>4</v>
      </c>
      <c r="B6" s="1404" t="s">
        <v>1053</v>
      </c>
      <c r="C6" s="1405" t="s">
        <v>481</v>
      </c>
      <c r="D6" s="1406"/>
      <c r="E6" s="1047">
        <v>116383.68333333333</v>
      </c>
      <c r="F6" s="1407" t="s">
        <v>465</v>
      </c>
      <c r="G6" s="1408"/>
      <c r="H6" s="1409"/>
    </row>
    <row r="7" spans="1:8" s="1131" customFormat="1" x14ac:dyDescent="0.2">
      <c r="A7" s="1403">
        <v>1</v>
      </c>
      <c r="B7" s="1404" t="s">
        <v>989</v>
      </c>
      <c r="C7" s="1405" t="s">
        <v>9</v>
      </c>
      <c r="D7" s="1406"/>
      <c r="E7" s="1047">
        <v>45375.885833333334</v>
      </c>
      <c r="F7" s="1407"/>
      <c r="G7" s="1408"/>
      <c r="H7" s="1409"/>
    </row>
    <row r="8" spans="1:8" x14ac:dyDescent="0.2">
      <c r="A8" s="1403">
        <v>7</v>
      </c>
      <c r="B8" s="1404" t="s">
        <v>1055</v>
      </c>
      <c r="C8" s="1405"/>
      <c r="D8" s="1406"/>
      <c r="E8" s="1047">
        <v>1129937.46875</v>
      </c>
      <c r="F8" s="1407"/>
      <c r="G8" s="1408"/>
      <c r="H8" s="1409"/>
    </row>
    <row r="9" spans="1:8" ht="13.15" customHeight="1" x14ac:dyDescent="0.2">
      <c r="A9" s="1403"/>
      <c r="B9" s="1410" t="s">
        <v>467</v>
      </c>
      <c r="C9" s="1748" t="s">
        <v>1201</v>
      </c>
      <c r="D9" s="1745" t="s">
        <v>1200</v>
      </c>
      <c r="E9" s="1047"/>
      <c r="F9" s="1411"/>
      <c r="G9" s="1408"/>
      <c r="H9" s="1409"/>
    </row>
    <row r="10" spans="1:8" x14ac:dyDescent="0.2">
      <c r="A10" s="1403"/>
      <c r="B10" s="1412" t="s">
        <v>466</v>
      </c>
      <c r="C10" s="1749"/>
      <c r="D10" s="1746"/>
      <c r="E10" s="1047">
        <v>398990</v>
      </c>
      <c r="F10" s="1411" t="s">
        <v>992</v>
      </c>
      <c r="G10" s="1408"/>
      <c r="H10" s="1409"/>
    </row>
    <row r="11" spans="1:8" x14ac:dyDescent="0.2">
      <c r="A11" s="1403"/>
      <c r="B11" s="1412" t="s">
        <v>468</v>
      </c>
      <c r="C11" s="1749"/>
      <c r="D11" s="1746"/>
      <c r="E11" s="1047">
        <v>478220</v>
      </c>
      <c r="F11" s="1411" t="s">
        <v>992</v>
      </c>
      <c r="G11" s="1408"/>
      <c r="H11" s="1409"/>
    </row>
    <row r="12" spans="1:8" x14ac:dyDescent="0.2">
      <c r="A12" s="1403"/>
      <c r="B12" s="1412" t="s">
        <v>469</v>
      </c>
      <c r="C12" s="1749"/>
      <c r="D12" s="1746"/>
      <c r="E12" s="1047">
        <v>1992700</v>
      </c>
      <c r="F12" s="1411" t="s">
        <v>992</v>
      </c>
      <c r="G12" s="1408"/>
      <c r="H12" s="1409"/>
    </row>
    <row r="13" spans="1:8" x14ac:dyDescent="0.2">
      <c r="A13" s="1403"/>
      <c r="B13" s="1412" t="s">
        <v>470</v>
      </c>
      <c r="C13" s="1749"/>
      <c r="D13" s="1746"/>
      <c r="E13" s="1047">
        <v>2919340</v>
      </c>
      <c r="F13" s="1411" t="s">
        <v>992</v>
      </c>
      <c r="G13" s="1408"/>
      <c r="H13" s="1409"/>
    </row>
    <row r="14" spans="1:8" x14ac:dyDescent="0.2">
      <c r="A14" s="1403"/>
      <c r="B14" s="1412" t="s">
        <v>991</v>
      </c>
      <c r="C14" s="1750"/>
      <c r="D14" s="1747"/>
      <c r="E14" s="1047">
        <v>6138720</v>
      </c>
      <c r="F14" s="1411" t="s">
        <v>992</v>
      </c>
      <c r="G14" s="1408"/>
      <c r="H14" s="1409"/>
    </row>
    <row r="15" spans="1:8" ht="27.6" customHeight="1" x14ac:dyDescent="0.2">
      <c r="A15" s="1403"/>
      <c r="B15" s="1410" t="s">
        <v>471</v>
      </c>
      <c r="C15" s="1053" t="s">
        <v>463</v>
      </c>
      <c r="D15" s="1411" t="s">
        <v>472</v>
      </c>
      <c r="E15" s="1047">
        <v>330866</v>
      </c>
      <c r="F15" s="1053" t="s">
        <v>473</v>
      </c>
      <c r="G15" s="1408"/>
      <c r="H15" s="1409"/>
    </row>
    <row r="16" spans="1:8" ht="61.5" customHeight="1" x14ac:dyDescent="0.2">
      <c r="A16" s="1403"/>
      <c r="B16" s="1410" t="s">
        <v>474</v>
      </c>
      <c r="C16" s="1053" t="s">
        <v>475</v>
      </c>
      <c r="D16" s="1411" t="s">
        <v>476</v>
      </c>
      <c r="E16" s="1047">
        <v>1000000000</v>
      </c>
      <c r="F16" s="1411" t="s">
        <v>477</v>
      </c>
      <c r="G16" s="1408"/>
      <c r="H16" s="1409"/>
    </row>
    <row r="17" spans="1:8" ht="38.25" x14ac:dyDescent="0.2">
      <c r="A17" s="1403">
        <v>6</v>
      </c>
      <c r="B17" s="1404" t="s">
        <v>1054</v>
      </c>
      <c r="C17" s="1405" t="s">
        <v>1174</v>
      </c>
      <c r="D17" s="1406" t="s">
        <v>479</v>
      </c>
      <c r="E17" s="1047">
        <v>104265.7625</v>
      </c>
      <c r="F17" s="1407" t="s">
        <v>464</v>
      </c>
      <c r="G17" s="1408"/>
      <c r="H17" s="1409"/>
    </row>
    <row r="18" spans="1:8" ht="38.25" x14ac:dyDescent="0.2">
      <c r="A18" s="1403">
        <v>47</v>
      </c>
      <c r="B18" s="1410" t="s">
        <v>480</v>
      </c>
      <c r="C18" s="1053" t="s">
        <v>478</v>
      </c>
      <c r="D18" s="1411" t="s">
        <v>554</v>
      </c>
      <c r="E18" s="1047">
        <v>627066</v>
      </c>
      <c r="F18" s="1053" t="s">
        <v>465</v>
      </c>
      <c r="G18" s="1408"/>
      <c r="H18" s="1409"/>
    </row>
    <row r="19" spans="1:8" s="1415" customFormat="1" x14ac:dyDescent="0.2">
      <c r="A19" s="1126"/>
      <c r="B19" s="1128" t="s">
        <v>740</v>
      </c>
      <c r="C19" s="1129" t="s">
        <v>741</v>
      </c>
      <c r="D19" s="1130"/>
      <c r="E19" s="1413">
        <v>5000000</v>
      </c>
      <c r="F19" s="1129" t="s">
        <v>465</v>
      </c>
      <c r="G19" s="1414"/>
      <c r="H19" s="1127"/>
    </row>
    <row r="20" spans="1:8" x14ac:dyDescent="0.2">
      <c r="A20" s="1046"/>
      <c r="B20" s="1049"/>
      <c r="C20" s="1053"/>
      <c r="D20" s="1050"/>
      <c r="E20" s="1047"/>
      <c r="F20" s="1051"/>
      <c r="G20" s="1408"/>
      <c r="H20" s="1048"/>
    </row>
    <row r="21" spans="1:8" x14ac:dyDescent="0.2">
      <c r="A21" s="1046"/>
      <c r="B21" s="1049"/>
      <c r="C21" s="1052"/>
      <c r="D21" s="1050"/>
      <c r="E21" s="1047"/>
      <c r="F21" s="1051"/>
      <c r="G21" s="1408"/>
      <c r="H21" s="1048"/>
    </row>
  </sheetData>
  <mergeCells count="2">
    <mergeCell ref="D9:D14"/>
    <mergeCell ref="C9:C14"/>
  </mergeCells>
  <phoneticPr fontId="9" type="noConversion"/>
  <pageMargins left="1.2649999999999999" right="0.7" top="0.75" bottom="0.75" header="0.3" footer="0.3"/>
  <pageSetup paperSize="9" scale="61"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7BB32-89B2-40D2-B063-4ACA85B3DCAD}">
  <sheetPr codeName="Hoja51">
    <tabColor rgb="FF00B0F0"/>
  </sheetPr>
  <dimension ref="A2:N79"/>
  <sheetViews>
    <sheetView showGridLines="0" view="pageBreakPreview" zoomScale="70" zoomScaleNormal="100" zoomScaleSheetLayoutView="70" workbookViewId="0">
      <selection activeCell="W48" sqref="W48"/>
    </sheetView>
  </sheetViews>
  <sheetFormatPr baseColWidth="10" defaultColWidth="10.125" defaultRowHeight="15" x14ac:dyDescent="0.25"/>
  <cols>
    <col min="1" max="1" width="52.25" style="770" customWidth="1"/>
    <col min="2" max="2" width="10.125" style="770"/>
    <col min="3" max="3" width="10.125" style="779" customWidth="1"/>
    <col min="4" max="8" width="10.125" style="779"/>
    <col min="9" max="13" width="10.125" style="779" customWidth="1"/>
    <col min="14" max="14" width="13.625" style="780" customWidth="1"/>
    <col min="15" max="16384" width="10.125" style="770"/>
  </cols>
  <sheetData>
    <row r="2" spans="1:14" ht="15.75" x14ac:dyDescent="0.25">
      <c r="A2" s="1734" t="s">
        <v>811</v>
      </c>
      <c r="B2" s="1734"/>
      <c r="C2" s="1734"/>
      <c r="D2" s="1734"/>
      <c r="E2" s="1734"/>
      <c r="F2" s="1734"/>
      <c r="G2" s="1734"/>
      <c r="H2" s="1734"/>
      <c r="I2" s="1734"/>
      <c r="J2" s="1734"/>
      <c r="K2" s="1734"/>
      <c r="L2" s="1734"/>
      <c r="M2" s="1734"/>
      <c r="N2" s="1734"/>
    </row>
    <row r="3" spans="1:14" ht="15.75" x14ac:dyDescent="0.25">
      <c r="A3" s="771"/>
      <c r="B3" s="771"/>
      <c r="C3" s="772"/>
      <c r="D3" s="772"/>
      <c r="E3" s="772"/>
      <c r="F3" s="772"/>
      <c r="G3" s="772"/>
      <c r="H3" s="772"/>
      <c r="I3" s="772"/>
      <c r="J3" s="772"/>
      <c r="K3" s="772"/>
      <c r="L3" s="772"/>
      <c r="M3" s="772"/>
      <c r="N3" s="772"/>
    </row>
    <row r="4" spans="1:14" x14ac:dyDescent="0.25">
      <c r="A4" s="1731" t="s">
        <v>672</v>
      </c>
      <c r="B4" s="1731" t="s">
        <v>458</v>
      </c>
      <c r="C4" s="1733" t="s">
        <v>395</v>
      </c>
      <c r="D4" s="1733"/>
      <c r="E4" s="1733"/>
      <c r="F4" s="1733"/>
      <c r="G4" s="1733"/>
      <c r="H4" s="1733"/>
      <c r="I4" s="1733"/>
      <c r="J4" s="1733"/>
      <c r="K4" s="1733"/>
      <c r="L4" s="1733"/>
      <c r="M4" s="1733"/>
      <c r="N4" s="1735" t="s">
        <v>673</v>
      </c>
    </row>
    <row r="5" spans="1:14" x14ac:dyDescent="0.25">
      <c r="A5" s="1732"/>
      <c r="B5" s="1732"/>
      <c r="C5" s="773">
        <v>0</v>
      </c>
      <c r="D5" s="773">
        <v>1</v>
      </c>
      <c r="E5" s="773">
        <v>2</v>
      </c>
      <c r="F5" s="773">
        <v>3</v>
      </c>
      <c r="G5" s="773">
        <v>4</v>
      </c>
      <c r="H5" s="773">
        <v>5</v>
      </c>
      <c r="I5" s="773">
        <v>6</v>
      </c>
      <c r="J5" s="773">
        <v>7</v>
      </c>
      <c r="K5" s="773">
        <v>8</v>
      </c>
      <c r="L5" s="773">
        <v>9</v>
      </c>
      <c r="M5" s="773">
        <v>10</v>
      </c>
      <c r="N5" s="1736"/>
    </row>
    <row r="6" spans="1:14" x14ac:dyDescent="0.25">
      <c r="A6" s="774" t="s">
        <v>924</v>
      </c>
      <c r="B6" s="774" t="s">
        <v>397</v>
      </c>
      <c r="C6" s="781">
        <f>'EV PROG CCIALES'!J206</f>
        <v>31539</v>
      </c>
      <c r="D6" s="781">
        <f>'EV PROG CCIALES'!K206</f>
        <v>30310.181818181816</v>
      </c>
      <c r="E6" s="781">
        <f>'EV PROG CCIALES'!L206</f>
        <v>30310.181818181816</v>
      </c>
      <c r="F6" s="781">
        <f>'EV PROG CCIALES'!M206</f>
        <v>30310.181818181816</v>
      </c>
      <c r="G6" s="781">
        <f>'EV PROG CCIALES'!N206</f>
        <v>30310.181818181816</v>
      </c>
      <c r="H6" s="781">
        <f>'EV PROG CCIALES'!O206</f>
        <v>30310.181818181816</v>
      </c>
      <c r="I6" s="781">
        <f>'EV PROG CCIALES'!P$227</f>
        <v>30310.181818181816</v>
      </c>
      <c r="J6" s="781">
        <f>'EV PROG CCIALES'!Q$227</f>
        <v>30310.181818181816</v>
      </c>
      <c r="K6" s="781">
        <f>'EV PROG CCIALES'!R$227</f>
        <v>30310.181818181816</v>
      </c>
      <c r="L6" s="781">
        <f>'EV PROG CCIALES'!S$227</f>
        <v>30310.181818181816</v>
      </c>
      <c r="M6" s="781">
        <f>'EV PROG CCIALES'!T$227</f>
        <v>30310.181818181816</v>
      </c>
      <c r="N6" s="782">
        <f>SUM(D6:M6)</f>
        <v>303101.81818181818</v>
      </c>
    </row>
    <row r="8" spans="1:14" ht="15.75" x14ac:dyDescent="0.25">
      <c r="A8" s="1734" t="s">
        <v>1044</v>
      </c>
      <c r="B8" s="1734"/>
      <c r="C8" s="1734"/>
      <c r="D8" s="1734"/>
      <c r="E8" s="1734"/>
      <c r="F8" s="1734"/>
      <c r="G8" s="1734"/>
      <c r="H8" s="1734"/>
      <c r="I8" s="1734"/>
      <c r="J8" s="1734"/>
      <c r="K8" s="1734"/>
      <c r="L8" s="1734"/>
      <c r="M8" s="1734"/>
      <c r="N8" s="1734"/>
    </row>
    <row r="10" spans="1:14" x14ac:dyDescent="0.25">
      <c r="A10" s="1731" t="s">
        <v>672</v>
      </c>
      <c r="B10" s="1731" t="s">
        <v>458</v>
      </c>
      <c r="C10" s="1733" t="s">
        <v>395</v>
      </c>
      <c r="D10" s="1733"/>
      <c r="E10" s="1733"/>
      <c r="F10" s="1733"/>
      <c r="G10" s="1733"/>
      <c r="H10" s="1733"/>
      <c r="I10" s="1733"/>
      <c r="J10" s="1733"/>
      <c r="K10" s="1733"/>
      <c r="L10" s="1733"/>
      <c r="M10" s="1733"/>
      <c r="N10" s="777"/>
    </row>
    <row r="11" spans="1:14" x14ac:dyDescent="0.25">
      <c r="A11" s="1732"/>
      <c r="B11" s="1732"/>
      <c r="C11" s="773">
        <v>0</v>
      </c>
      <c r="D11" s="773">
        <v>1</v>
      </c>
      <c r="E11" s="773">
        <v>2</v>
      </c>
      <c r="F11" s="773">
        <v>3</v>
      </c>
      <c r="G11" s="773">
        <v>4</v>
      </c>
      <c r="H11" s="773">
        <v>5</v>
      </c>
      <c r="I11" s="773">
        <v>6</v>
      </c>
      <c r="J11" s="773">
        <v>7</v>
      </c>
      <c r="K11" s="773">
        <v>8</v>
      </c>
      <c r="L11" s="773">
        <v>9</v>
      </c>
      <c r="M11" s="773">
        <v>10</v>
      </c>
      <c r="N11" s="773" t="s">
        <v>673</v>
      </c>
    </row>
    <row r="12" spans="1:14" hidden="1" x14ac:dyDescent="0.25">
      <c r="A12" s="774" t="s">
        <v>436</v>
      </c>
      <c r="B12" s="774" t="s">
        <v>397</v>
      </c>
      <c r="C12" s="781">
        <f>'EV PROG CCIALES'!J$278</f>
        <v>0</v>
      </c>
      <c r="D12" s="781">
        <f>'EV PROG CCIALES'!K$278</f>
        <v>0</v>
      </c>
      <c r="E12" s="781">
        <f>'EV PROG CCIALES'!L$278</f>
        <v>0</v>
      </c>
      <c r="F12" s="781">
        <f>'EV PROG CCIALES'!M$278</f>
        <v>0</v>
      </c>
      <c r="G12" s="781">
        <f>'EV PROG CCIALES'!N$278</f>
        <v>0</v>
      </c>
      <c r="H12" s="781">
        <f>'EV PROG CCIALES'!O$278</f>
        <v>0</v>
      </c>
      <c r="I12" s="781">
        <f>'EV PROG CCIALES'!P$278</f>
        <v>0</v>
      </c>
      <c r="J12" s="781">
        <f>'EV PROG CCIALES'!Q$278</f>
        <v>0</v>
      </c>
      <c r="K12" s="781">
        <f>'EV PROG CCIALES'!R$278</f>
        <v>0</v>
      </c>
      <c r="L12" s="781">
        <f>'EV PROG CCIALES'!S$278</f>
        <v>0</v>
      </c>
      <c r="M12" s="781">
        <f>'EV PROG CCIALES'!T$278</f>
        <v>0</v>
      </c>
      <c r="N12" s="782">
        <f>SUM(D12:M12)</f>
        <v>0</v>
      </c>
    </row>
    <row r="13" spans="1:14" hidden="1" x14ac:dyDescent="0.25">
      <c r="A13" s="774" t="s">
        <v>437</v>
      </c>
      <c r="B13" s="774" t="s">
        <v>397</v>
      </c>
      <c r="C13" s="781">
        <f>'EV PROG CCIALES'!J$279</f>
        <v>0</v>
      </c>
      <c r="D13" s="781">
        <f>'EV PROG CCIALES'!K$279</f>
        <v>0</v>
      </c>
      <c r="E13" s="781">
        <f>'EV PROG CCIALES'!L$279</f>
        <v>0</v>
      </c>
      <c r="F13" s="781">
        <f>'EV PROG CCIALES'!M$279</f>
        <v>0</v>
      </c>
      <c r="G13" s="781">
        <f>'EV PROG CCIALES'!N$279</f>
        <v>0</v>
      </c>
      <c r="H13" s="781">
        <f>'EV PROG CCIALES'!O$279</f>
        <v>0</v>
      </c>
      <c r="I13" s="781">
        <f>'EV PROG CCIALES'!P$279</f>
        <v>0</v>
      </c>
      <c r="J13" s="781">
        <f>'EV PROG CCIALES'!Q$279</f>
        <v>0</v>
      </c>
      <c r="K13" s="781">
        <f>'EV PROG CCIALES'!R$279</f>
        <v>0</v>
      </c>
      <c r="L13" s="781">
        <f>'EV PROG CCIALES'!S$279</f>
        <v>0</v>
      </c>
      <c r="M13" s="781">
        <f>'EV PROG CCIALES'!T$279</f>
        <v>0</v>
      </c>
      <c r="N13" s="782">
        <f>SUM(D13:M13)</f>
        <v>0</v>
      </c>
    </row>
    <row r="14" spans="1:14" x14ac:dyDescent="0.25">
      <c r="A14" s="774" t="s">
        <v>986</v>
      </c>
      <c r="B14" s="774" t="s">
        <v>397</v>
      </c>
      <c r="C14" s="781">
        <f>'EV PROG CCIALES'!J$280</f>
        <v>0</v>
      </c>
      <c r="D14" s="781">
        <f>'EV PROG CCIALES'!K$280</f>
        <v>5034</v>
      </c>
      <c r="E14" s="781">
        <f>'EV PROG CCIALES'!L$280</f>
        <v>5034</v>
      </c>
      <c r="F14" s="781">
        <f>'EV PROG CCIALES'!M$280</f>
        <v>5034</v>
      </c>
      <c r="G14" s="781">
        <f>'EV PROG CCIALES'!N$280</f>
        <v>5034</v>
      </c>
      <c r="H14" s="781">
        <f>'EV PROG CCIALES'!O$280</f>
        <v>5034</v>
      </c>
      <c r="I14" s="781">
        <f>'EV PROG CCIALES'!P$280</f>
        <v>0</v>
      </c>
      <c r="J14" s="781">
        <f>'EV PROG CCIALES'!Q$280</f>
        <v>0</v>
      </c>
      <c r="K14" s="781">
        <f>'EV PROG CCIALES'!R$280</f>
        <v>0</v>
      </c>
      <c r="L14" s="781">
        <f>'EV PROG CCIALES'!S$280</f>
        <v>0</v>
      </c>
      <c r="M14" s="781">
        <f>'EV PROG CCIALES'!T$280</f>
        <v>0</v>
      </c>
      <c r="N14" s="782">
        <f>SUM(D14:M14)</f>
        <v>25170</v>
      </c>
    </row>
    <row r="16" spans="1:14" ht="15.75" x14ac:dyDescent="0.25">
      <c r="A16" s="1734" t="s">
        <v>830</v>
      </c>
      <c r="B16" s="1734"/>
      <c r="C16" s="1734"/>
      <c r="D16" s="1734"/>
      <c r="E16" s="1734"/>
      <c r="F16" s="1734"/>
      <c r="G16" s="1734"/>
      <c r="H16" s="1734"/>
      <c r="I16" s="1734"/>
      <c r="J16" s="1734"/>
      <c r="K16" s="1734"/>
      <c r="L16" s="1734"/>
      <c r="M16" s="1734"/>
      <c r="N16" s="1734"/>
    </row>
    <row r="18" spans="1:14" x14ac:dyDescent="0.25">
      <c r="A18" s="1731" t="s">
        <v>672</v>
      </c>
      <c r="B18" s="1731" t="s">
        <v>458</v>
      </c>
      <c r="C18" s="1733" t="s">
        <v>395</v>
      </c>
      <c r="D18" s="1733"/>
      <c r="E18" s="1733"/>
      <c r="F18" s="1733"/>
      <c r="G18" s="1733"/>
      <c r="H18" s="1733"/>
      <c r="I18" s="1733"/>
      <c r="J18" s="1733"/>
      <c r="K18" s="1733"/>
      <c r="L18" s="1733"/>
      <c r="M18" s="1733"/>
      <c r="N18" s="777"/>
    </row>
    <row r="19" spans="1:14" x14ac:dyDescent="0.25">
      <c r="A19" s="1732"/>
      <c r="B19" s="1732"/>
      <c r="C19" s="773">
        <v>0</v>
      </c>
      <c r="D19" s="773">
        <v>1</v>
      </c>
      <c r="E19" s="773">
        <v>2</v>
      </c>
      <c r="F19" s="773">
        <v>3</v>
      </c>
      <c r="G19" s="773">
        <v>4</v>
      </c>
      <c r="H19" s="773">
        <v>5</v>
      </c>
      <c r="I19" s="773">
        <v>6</v>
      </c>
      <c r="J19" s="773">
        <v>7</v>
      </c>
      <c r="K19" s="773">
        <v>8</v>
      </c>
      <c r="L19" s="773">
        <v>9</v>
      </c>
      <c r="M19" s="773">
        <v>10</v>
      </c>
      <c r="N19" s="773" t="s">
        <v>673</v>
      </c>
    </row>
    <row r="20" spans="1:14" x14ac:dyDescent="0.25">
      <c r="A20" s="774" t="s">
        <v>439</v>
      </c>
      <c r="B20" s="774" t="s">
        <v>397</v>
      </c>
      <c r="C20" s="781">
        <f>'EV PROG CCIALES'!J$296</f>
        <v>0</v>
      </c>
      <c r="D20" s="781">
        <f>'EV PROG CCIALES'!K$296</f>
        <v>0</v>
      </c>
      <c r="E20" s="781">
        <f>'EV PROG CCIALES'!L$296</f>
        <v>0</v>
      </c>
      <c r="F20" s="781">
        <f>'EV PROG CCIALES'!M$296</f>
        <v>0</v>
      </c>
      <c r="G20" s="781">
        <f>'EV PROG CCIALES'!N$296</f>
        <v>0</v>
      </c>
      <c r="H20" s="781">
        <f>'EV PROG CCIALES'!O$296</f>
        <v>0</v>
      </c>
      <c r="I20" s="781">
        <f>'EV PROG CCIALES'!P$296</f>
        <v>0</v>
      </c>
      <c r="J20" s="781">
        <f>'EV PROG CCIALES'!Q$296</f>
        <v>0</v>
      </c>
      <c r="K20" s="781">
        <f>'EV PROG CCIALES'!R$296</f>
        <v>0</v>
      </c>
      <c r="L20" s="781">
        <f>'EV PROG CCIALES'!S$296</f>
        <v>0</v>
      </c>
      <c r="M20" s="781">
        <f>'EV PROG CCIALES'!T$296</f>
        <v>0</v>
      </c>
      <c r="N20" s="782">
        <f>SUM(D20:M20)</f>
        <v>0</v>
      </c>
    </row>
    <row r="21" spans="1:14" x14ac:dyDescent="0.25">
      <c r="A21" s="774" t="s">
        <v>440</v>
      </c>
      <c r="B21" s="774" t="s">
        <v>397</v>
      </c>
      <c r="C21" s="781">
        <f>'EV PROG CCIALES'!J$297</f>
        <v>0</v>
      </c>
      <c r="D21" s="781">
        <f>'EV PROG CCIALES'!K$297</f>
        <v>0</v>
      </c>
      <c r="E21" s="781">
        <f>'EV PROG CCIALES'!L$297</f>
        <v>0</v>
      </c>
      <c r="F21" s="781">
        <f>'EV PROG CCIALES'!M$297</f>
        <v>0</v>
      </c>
      <c r="G21" s="781">
        <f>'EV PROG CCIALES'!N$297</f>
        <v>0</v>
      </c>
      <c r="H21" s="781">
        <f>'EV PROG CCIALES'!O$297</f>
        <v>0</v>
      </c>
      <c r="I21" s="781">
        <f>'EV PROG CCIALES'!P$297</f>
        <v>0</v>
      </c>
      <c r="J21" s="781">
        <f>'EV PROG CCIALES'!Q$297</f>
        <v>0</v>
      </c>
      <c r="K21" s="781">
        <f>'EV PROG CCIALES'!R$297</f>
        <v>0</v>
      </c>
      <c r="L21" s="781">
        <f>'EV PROG CCIALES'!S$297</f>
        <v>0</v>
      </c>
      <c r="M21" s="781">
        <f>'EV PROG CCIALES'!T$297</f>
        <v>0</v>
      </c>
      <c r="N21" s="782">
        <f>SUM(D21:M21)</f>
        <v>0</v>
      </c>
    </row>
    <row r="23" spans="1:14" ht="15.75" x14ac:dyDescent="0.25">
      <c r="A23" s="1734" t="s">
        <v>976</v>
      </c>
      <c r="B23" s="1734"/>
      <c r="C23" s="1734"/>
      <c r="D23" s="1734"/>
      <c r="E23" s="1734"/>
      <c r="F23" s="1734"/>
      <c r="G23" s="1734"/>
      <c r="H23" s="1734"/>
      <c r="I23" s="1734"/>
      <c r="J23" s="1734"/>
      <c r="K23" s="1734"/>
      <c r="L23" s="1734"/>
      <c r="M23" s="1734"/>
      <c r="N23" s="1734"/>
    </row>
    <row r="25" spans="1:14" x14ac:dyDescent="0.25">
      <c r="A25" s="1731" t="s">
        <v>672</v>
      </c>
      <c r="B25" s="1731" t="s">
        <v>458</v>
      </c>
      <c r="C25" s="1733" t="s">
        <v>395</v>
      </c>
      <c r="D25" s="1733"/>
      <c r="E25" s="1733"/>
      <c r="F25" s="1733"/>
      <c r="G25" s="1733"/>
      <c r="H25" s="1733"/>
      <c r="I25" s="1733"/>
      <c r="J25" s="1733"/>
      <c r="K25" s="1733"/>
      <c r="L25" s="1733"/>
      <c r="M25" s="1733"/>
      <c r="N25" s="777"/>
    </row>
    <row r="26" spans="1:14" x14ac:dyDescent="0.25">
      <c r="A26" s="1732"/>
      <c r="B26" s="1732"/>
      <c r="C26" s="773">
        <v>0</v>
      </c>
      <c r="D26" s="773">
        <v>1</v>
      </c>
      <c r="E26" s="773">
        <v>2</v>
      </c>
      <c r="F26" s="773">
        <v>3</v>
      </c>
      <c r="G26" s="773">
        <v>4</v>
      </c>
      <c r="H26" s="773">
        <v>5</v>
      </c>
      <c r="I26" s="773">
        <v>6</v>
      </c>
      <c r="J26" s="773">
        <v>7</v>
      </c>
      <c r="K26" s="773">
        <v>8</v>
      </c>
      <c r="L26" s="773">
        <v>9</v>
      </c>
      <c r="M26" s="773">
        <v>10</v>
      </c>
      <c r="N26" s="773" t="s">
        <v>673</v>
      </c>
    </row>
    <row r="27" spans="1:14" x14ac:dyDescent="0.25">
      <c r="A27" s="774" t="s">
        <v>443</v>
      </c>
      <c r="B27" s="774" t="s">
        <v>397</v>
      </c>
      <c r="C27" s="781">
        <f>'EV PROG CCIALES'!J313</f>
        <v>0</v>
      </c>
      <c r="D27" s="781">
        <f>'EV PROG CCIALES'!K313</f>
        <v>9876</v>
      </c>
      <c r="E27" s="781">
        <f>'EV PROG CCIALES'!L313</f>
        <v>9876</v>
      </c>
      <c r="F27" s="781">
        <f>'EV PROG CCIALES'!M313</f>
        <v>9876</v>
      </c>
      <c r="G27" s="781">
        <f>'EV PROG CCIALES'!N313</f>
        <v>9876</v>
      </c>
      <c r="H27" s="781">
        <f>'EV PROG CCIALES'!O313</f>
        <v>9876</v>
      </c>
      <c r="I27" s="781">
        <f>'EV PROG CCIALES'!P313</f>
        <v>0</v>
      </c>
      <c r="J27" s="781">
        <f>'EV PROG CCIALES'!Q313</f>
        <v>0</v>
      </c>
      <c r="K27" s="781">
        <f>'EV PROG CCIALES'!R313</f>
        <v>0</v>
      </c>
      <c r="L27" s="781">
        <f>'EV PROG CCIALES'!S313</f>
        <v>0</v>
      </c>
      <c r="M27" s="781">
        <f>'EV PROG CCIALES'!T313</f>
        <v>0</v>
      </c>
      <c r="N27" s="782">
        <f>SUM(D27:M27)</f>
        <v>49380</v>
      </c>
    </row>
    <row r="28" spans="1:14" ht="24" x14ac:dyDescent="0.25">
      <c r="A28" s="774" t="s">
        <v>973</v>
      </c>
      <c r="B28" s="774" t="s">
        <v>397</v>
      </c>
      <c r="C28" s="781">
        <f>'EV PROG CCIALES'!J314</f>
        <v>0</v>
      </c>
      <c r="D28" s="781">
        <f>'EV PROG CCIALES'!K314</f>
        <v>1975.2</v>
      </c>
      <c r="E28" s="781">
        <f>'EV PROG CCIALES'!L314</f>
        <v>1975.2</v>
      </c>
      <c r="F28" s="781">
        <f>'EV PROG CCIALES'!M314</f>
        <v>1975.2</v>
      </c>
      <c r="G28" s="781">
        <f>'EV PROG CCIALES'!N314</f>
        <v>1975.2</v>
      </c>
      <c r="H28" s="781">
        <f>'EV PROG CCIALES'!O314</f>
        <v>1975.2</v>
      </c>
      <c r="I28" s="781">
        <f>'EV PROG CCIALES'!P314</f>
        <v>0</v>
      </c>
      <c r="J28" s="781">
        <f>'EV PROG CCIALES'!Q314</f>
        <v>0</v>
      </c>
      <c r="K28" s="781">
        <f>'EV PROG CCIALES'!R314</f>
        <v>0</v>
      </c>
      <c r="L28" s="781">
        <f>'EV PROG CCIALES'!S314</f>
        <v>0</v>
      </c>
      <c r="M28" s="781">
        <f>'EV PROG CCIALES'!T314</f>
        <v>0</v>
      </c>
      <c r="N28" s="782">
        <f>SUM(D28:M28)</f>
        <v>9876</v>
      </c>
    </row>
    <row r="29" spans="1:14" x14ac:dyDescent="0.25">
      <c r="A29" s="774" t="s">
        <v>974</v>
      </c>
      <c r="B29" s="774" t="s">
        <v>397</v>
      </c>
      <c r="C29" s="781">
        <f>'EV PROG CCIALES'!J315</f>
        <v>0</v>
      </c>
      <c r="D29" s="781">
        <f>'EV PROG CCIALES'!K315</f>
        <v>158.01600000000002</v>
      </c>
      <c r="E29" s="781">
        <f>'EV PROG CCIALES'!L315</f>
        <v>158.01600000000002</v>
      </c>
      <c r="F29" s="781">
        <f>'EV PROG CCIALES'!M315</f>
        <v>158.01600000000002</v>
      </c>
      <c r="G29" s="781">
        <f>'EV PROG CCIALES'!N315</f>
        <v>158.01600000000002</v>
      </c>
      <c r="H29" s="781">
        <f>'EV PROG CCIALES'!O315</f>
        <v>158.01600000000002</v>
      </c>
      <c r="I29" s="781">
        <f>'EV PROG CCIALES'!P315</f>
        <v>0</v>
      </c>
      <c r="J29" s="781">
        <f>'EV PROG CCIALES'!Q315</f>
        <v>0</v>
      </c>
      <c r="K29" s="781">
        <f>'EV PROG CCIALES'!R315</f>
        <v>0</v>
      </c>
      <c r="L29" s="781">
        <f>'EV PROG CCIALES'!S315</f>
        <v>0</v>
      </c>
      <c r="M29" s="781">
        <f>'EV PROG CCIALES'!T315</f>
        <v>0</v>
      </c>
      <c r="N29" s="782">
        <f>SUM(D29:M29)</f>
        <v>790.08000000000015</v>
      </c>
    </row>
    <row r="31" spans="1:14" ht="15.75" x14ac:dyDescent="0.25">
      <c r="A31" s="1734" t="s">
        <v>994</v>
      </c>
      <c r="B31" s="1734"/>
      <c r="C31" s="1734"/>
      <c r="D31" s="1734"/>
      <c r="E31" s="1734"/>
      <c r="F31" s="1734"/>
      <c r="G31" s="1734"/>
      <c r="H31" s="1734"/>
      <c r="I31" s="1734"/>
      <c r="J31" s="1734"/>
      <c r="K31" s="1734"/>
      <c r="L31" s="1734"/>
      <c r="M31" s="1734"/>
      <c r="N31" s="1734"/>
    </row>
    <row r="33" spans="1:14" x14ac:dyDescent="0.25">
      <c r="A33" s="1731" t="s">
        <v>672</v>
      </c>
      <c r="B33" s="1731" t="s">
        <v>458</v>
      </c>
      <c r="C33" s="1733" t="s">
        <v>395</v>
      </c>
      <c r="D33" s="1733"/>
      <c r="E33" s="1733"/>
      <c r="F33" s="1733"/>
      <c r="G33" s="1733"/>
      <c r="H33" s="1733"/>
      <c r="I33" s="1733"/>
      <c r="J33" s="1733"/>
      <c r="K33" s="1733"/>
      <c r="L33" s="1733"/>
      <c r="M33" s="1733"/>
      <c r="N33" s="777"/>
    </row>
    <row r="34" spans="1:14" x14ac:dyDescent="0.25">
      <c r="A34" s="1732"/>
      <c r="B34" s="1732"/>
      <c r="C34" s="773">
        <v>0</v>
      </c>
      <c r="D34" s="773">
        <v>1</v>
      </c>
      <c r="E34" s="773">
        <v>2</v>
      </c>
      <c r="F34" s="773">
        <v>3</v>
      </c>
      <c r="G34" s="773">
        <v>4</v>
      </c>
      <c r="H34" s="773">
        <v>5</v>
      </c>
      <c r="I34" s="773">
        <v>6</v>
      </c>
      <c r="J34" s="773">
        <v>7</v>
      </c>
      <c r="K34" s="773">
        <v>8</v>
      </c>
      <c r="L34" s="773">
        <v>9</v>
      </c>
      <c r="M34" s="773">
        <v>10</v>
      </c>
      <c r="N34" s="773" t="s">
        <v>673</v>
      </c>
    </row>
    <row r="35" spans="1:14" x14ac:dyDescent="0.25">
      <c r="A35" s="774" t="s">
        <v>739</v>
      </c>
      <c r="B35" s="774" t="s">
        <v>397</v>
      </c>
      <c r="C35" s="781">
        <f>'EV PROG CCIALES'!J331</f>
        <v>43185</v>
      </c>
      <c r="D35" s="781">
        <f>'EV PROG CCIALES'!K331</f>
        <v>43185</v>
      </c>
      <c r="E35" s="781">
        <f>'EV PROG CCIALES'!L331</f>
        <v>38867</v>
      </c>
      <c r="F35" s="781">
        <f>'EV PROG CCIALES'!M331</f>
        <v>34549</v>
      </c>
      <c r="G35" s="781">
        <f>'EV PROG CCIALES'!N331</f>
        <v>30231</v>
      </c>
      <c r="H35" s="781">
        <f>'EV PROG CCIALES'!O331</f>
        <v>25913</v>
      </c>
      <c r="I35" s="781">
        <f>'EV PROG CCIALES'!O$331</f>
        <v>25913</v>
      </c>
      <c r="J35" s="781">
        <f>'EV PROG CCIALES'!P$331</f>
        <v>21595</v>
      </c>
      <c r="K35" s="781">
        <f>'EV PROG CCIALES'!Q$331</f>
        <v>17277</v>
      </c>
      <c r="L35" s="781">
        <f>'EV PROG CCIALES'!R$331</f>
        <v>12959</v>
      </c>
      <c r="M35" s="781">
        <f>'EV PROG CCIALES'!S$331</f>
        <v>8641</v>
      </c>
      <c r="N35" s="782">
        <f>SUM(D35:M35)</f>
        <v>259130</v>
      </c>
    </row>
    <row r="36" spans="1:14" x14ac:dyDescent="0.25">
      <c r="A36" s="774" t="s">
        <v>439</v>
      </c>
      <c r="B36" s="774" t="s">
        <v>397</v>
      </c>
      <c r="C36" s="781">
        <f>'EV PROG CCIALES'!J332</f>
        <v>4318</v>
      </c>
      <c r="D36" s="781">
        <f>'EV PROG CCIALES'!K332</f>
        <v>4318</v>
      </c>
      <c r="E36" s="781">
        <f>'EV PROG CCIALES'!L332</f>
        <v>4318</v>
      </c>
      <c r="F36" s="781">
        <f>'EV PROG CCIALES'!M332</f>
        <v>4318</v>
      </c>
      <c r="G36" s="781">
        <f>'EV PROG CCIALES'!N332</f>
        <v>4318</v>
      </c>
      <c r="H36" s="781">
        <f>'EV PROG CCIALES'!O332</f>
        <v>4318</v>
      </c>
      <c r="I36" s="781">
        <f>'EV PROG CCIALES'!O$332</f>
        <v>4318</v>
      </c>
      <c r="J36" s="781">
        <f>'EV PROG CCIALES'!P$332</f>
        <v>4318</v>
      </c>
      <c r="K36" s="781">
        <f>'EV PROG CCIALES'!Q$332</f>
        <v>4318</v>
      </c>
      <c r="L36" s="781">
        <f>'EV PROG CCIALES'!R$332</f>
        <v>4318</v>
      </c>
      <c r="M36" s="781">
        <f>'EV PROG CCIALES'!S$332</f>
        <v>4318</v>
      </c>
      <c r="N36" s="782">
        <f>SUM(D36:M36)</f>
        <v>43180</v>
      </c>
    </row>
    <row r="37" spans="1:14" x14ac:dyDescent="0.25">
      <c r="A37" s="774" t="s">
        <v>839</v>
      </c>
      <c r="B37" s="774" t="s">
        <v>397</v>
      </c>
      <c r="C37" s="781">
        <f>'EV PROG CCIALES'!J333</f>
        <v>863.6</v>
      </c>
      <c r="D37" s="781">
        <f>'EV PROG CCIALES'!K333</f>
        <v>863.6</v>
      </c>
      <c r="E37" s="781">
        <f>'EV PROG CCIALES'!L333</f>
        <v>863.6</v>
      </c>
      <c r="F37" s="781">
        <f>'EV PROG CCIALES'!M333</f>
        <v>863.6</v>
      </c>
      <c r="G37" s="781">
        <f>'EV PROG CCIALES'!N333</f>
        <v>863.6</v>
      </c>
      <c r="H37" s="781">
        <f>'EV PROG CCIALES'!O333</f>
        <v>863.6</v>
      </c>
      <c r="I37" s="781">
        <f>'EV PROG CCIALES'!O$333</f>
        <v>863.6</v>
      </c>
      <c r="J37" s="781">
        <f>'EV PROG CCIALES'!P$333</f>
        <v>863.6</v>
      </c>
      <c r="K37" s="781">
        <f>'EV PROG CCIALES'!Q$333</f>
        <v>863.6</v>
      </c>
      <c r="L37" s="781">
        <f>'EV PROG CCIALES'!R$333</f>
        <v>863.6</v>
      </c>
      <c r="M37" s="781">
        <f>'EV PROG CCIALES'!S$333</f>
        <v>863.6</v>
      </c>
      <c r="N37" s="782">
        <f>SUM(D37:M37)</f>
        <v>8636.0000000000018</v>
      </c>
    </row>
    <row r="39" spans="1:14" ht="15.75" x14ac:dyDescent="0.25">
      <c r="A39" s="1734" t="s">
        <v>1045</v>
      </c>
      <c r="B39" s="1734"/>
      <c r="C39" s="1734"/>
      <c r="D39" s="1734"/>
      <c r="E39" s="1734"/>
      <c r="F39" s="1734"/>
      <c r="G39" s="1734"/>
      <c r="H39" s="1734"/>
      <c r="I39" s="1734"/>
      <c r="J39" s="1734"/>
      <c r="K39" s="1734"/>
      <c r="L39" s="1734"/>
      <c r="M39" s="1734"/>
      <c r="N39" s="1734"/>
    </row>
    <row r="41" spans="1:14" x14ac:dyDescent="0.25">
      <c r="A41" s="1731" t="s">
        <v>672</v>
      </c>
      <c r="B41" s="1731" t="s">
        <v>458</v>
      </c>
      <c r="C41" s="1733" t="s">
        <v>395</v>
      </c>
      <c r="D41" s="1733"/>
      <c r="E41" s="1733"/>
      <c r="F41" s="1733"/>
      <c r="G41" s="1733"/>
      <c r="H41" s="1733"/>
      <c r="I41" s="1733"/>
      <c r="J41" s="1733"/>
      <c r="K41" s="1733"/>
      <c r="L41" s="1733"/>
      <c r="M41" s="1733"/>
      <c r="N41" s="777"/>
    </row>
    <row r="42" spans="1:14" x14ac:dyDescent="0.25">
      <c r="A42" s="1732"/>
      <c r="B42" s="1732"/>
      <c r="C42" s="773">
        <v>0</v>
      </c>
      <c r="D42" s="773">
        <v>1</v>
      </c>
      <c r="E42" s="773">
        <v>2</v>
      </c>
      <c r="F42" s="773">
        <v>3</v>
      </c>
      <c r="G42" s="773">
        <v>4</v>
      </c>
      <c r="H42" s="773">
        <v>5</v>
      </c>
      <c r="I42" s="773">
        <v>6</v>
      </c>
      <c r="J42" s="773">
        <v>7</v>
      </c>
      <c r="K42" s="773">
        <v>8</v>
      </c>
      <c r="L42" s="773">
        <v>9</v>
      </c>
      <c r="M42" s="773">
        <v>10</v>
      </c>
      <c r="N42" s="773" t="s">
        <v>673</v>
      </c>
    </row>
    <row r="43" spans="1:14" x14ac:dyDescent="0.25">
      <c r="A43" s="774" t="s">
        <v>975</v>
      </c>
      <c r="B43" s="774" t="s">
        <v>397</v>
      </c>
      <c r="C43" s="781">
        <f>'EV PROG CCIALES'!J349</f>
        <v>338</v>
      </c>
      <c r="D43" s="781">
        <f>'EV PROG CCIALES'!K349</f>
        <v>341.77280000000002</v>
      </c>
      <c r="E43" s="781">
        <f>'EV PROG CCIALES'!L349</f>
        <v>345.59502368000005</v>
      </c>
      <c r="F43" s="781">
        <f>'EV PROG CCIALES'!M349</f>
        <v>349.46731849020807</v>
      </c>
      <c r="G43" s="781">
        <f>'EV PROG CCIALES'!N349</f>
        <v>353.39034036242981</v>
      </c>
      <c r="H43" s="781">
        <f>'EV PROG CCIALES'!O349</f>
        <v>357.36475382117766</v>
      </c>
      <c r="I43" s="781">
        <f>'EV PROG CCIALES'!O349</f>
        <v>357.36475382117766</v>
      </c>
      <c r="J43" s="781">
        <f>'EV PROG CCIALES'!P349</f>
        <v>0</v>
      </c>
      <c r="K43" s="781">
        <f>'EV PROG CCIALES'!Q349</f>
        <v>0</v>
      </c>
      <c r="L43" s="781">
        <f>'EV PROG CCIALES'!R349</f>
        <v>0</v>
      </c>
      <c r="M43" s="781">
        <f>'EV PROG CCIALES'!S349</f>
        <v>0</v>
      </c>
      <c r="N43" s="782">
        <f>SUM(D43:M43)</f>
        <v>2104.9549901749933</v>
      </c>
    </row>
    <row r="44" spans="1:14" x14ac:dyDescent="0.25">
      <c r="A44" s="774" t="s">
        <v>439</v>
      </c>
      <c r="B44" s="774" t="s">
        <v>397</v>
      </c>
      <c r="C44" s="781">
        <f>'EV PROG CCIALES'!J350</f>
        <v>67.600000000000009</v>
      </c>
      <c r="D44" s="781">
        <f>'EV PROG CCIALES'!K350</f>
        <v>68.354560000000006</v>
      </c>
      <c r="E44" s="781">
        <f>'EV PROG CCIALES'!L350</f>
        <v>69.119004736000008</v>
      </c>
      <c r="F44" s="781">
        <f>'EV PROG CCIALES'!M350</f>
        <v>69.893463698041614</v>
      </c>
      <c r="G44" s="781">
        <f>'EV PROG CCIALES'!N350</f>
        <v>70.678068072485971</v>
      </c>
      <c r="H44" s="781">
        <f>'EV PROG CCIALES'!O350</f>
        <v>71.472950764235534</v>
      </c>
      <c r="I44" s="781">
        <f>'EV PROG CCIALES'!O350</f>
        <v>71.472950764235534</v>
      </c>
      <c r="J44" s="781">
        <f>'EV PROG CCIALES'!P350</f>
        <v>0</v>
      </c>
      <c r="K44" s="781">
        <f>'EV PROG CCIALES'!Q350</f>
        <v>0</v>
      </c>
      <c r="L44" s="781">
        <f>'EV PROG CCIALES'!R350</f>
        <v>0</v>
      </c>
      <c r="M44" s="781">
        <f>'EV PROG CCIALES'!S350</f>
        <v>0</v>
      </c>
      <c r="N44" s="782">
        <f>SUM(D44:M44)</f>
        <v>420.99099803499865</v>
      </c>
    </row>
    <row r="45" spans="1:14" x14ac:dyDescent="0.25">
      <c r="A45" s="774" t="s">
        <v>839</v>
      </c>
      <c r="B45" s="774" t="s">
        <v>397</v>
      </c>
      <c r="C45" s="781">
        <f>'EV PROG CCIALES'!J351</f>
        <v>6</v>
      </c>
      <c r="D45" s="781">
        <f>'EV PROG CCIALES'!K351</f>
        <v>6</v>
      </c>
      <c r="E45" s="781">
        <f>'EV PROG CCIALES'!L351</f>
        <v>6</v>
      </c>
      <c r="F45" s="781">
        <f>'EV PROG CCIALES'!M351</f>
        <v>6</v>
      </c>
      <c r="G45" s="781">
        <f>'EV PROG CCIALES'!N351</f>
        <v>7</v>
      </c>
      <c r="H45" s="781">
        <f>'EV PROG CCIALES'!O351</f>
        <v>7</v>
      </c>
      <c r="I45" s="781">
        <f>'EV PROG CCIALES'!O351</f>
        <v>7</v>
      </c>
      <c r="J45" s="781">
        <f>'EV PROG CCIALES'!P351</f>
        <v>0</v>
      </c>
      <c r="K45" s="781">
        <f>'EV PROG CCIALES'!Q351</f>
        <v>0</v>
      </c>
      <c r="L45" s="781">
        <f>'EV PROG CCIALES'!R351</f>
        <v>0</v>
      </c>
      <c r="M45" s="781">
        <f>'EV PROG CCIALES'!S351</f>
        <v>0</v>
      </c>
      <c r="N45" s="782">
        <f>SUM(D45:M45)</f>
        <v>39</v>
      </c>
    </row>
    <row r="47" spans="1:14" ht="15.75" x14ac:dyDescent="0.25">
      <c r="A47" s="1734" t="s">
        <v>852</v>
      </c>
      <c r="B47" s="1734"/>
      <c r="C47" s="1734"/>
      <c r="D47" s="1734"/>
      <c r="E47" s="1734"/>
      <c r="F47" s="1734"/>
      <c r="G47" s="1734"/>
      <c r="H47" s="1734"/>
      <c r="I47" s="1734"/>
      <c r="J47" s="1734"/>
      <c r="K47" s="1734"/>
      <c r="L47" s="1734"/>
      <c r="M47" s="1734"/>
      <c r="N47" s="1734"/>
    </row>
    <row r="49" spans="1:14" x14ac:dyDescent="0.25">
      <c r="A49" s="1731" t="s">
        <v>672</v>
      </c>
      <c r="B49" s="1731" t="s">
        <v>458</v>
      </c>
      <c r="C49" s="1733" t="s">
        <v>395</v>
      </c>
      <c r="D49" s="1733"/>
      <c r="E49" s="1733"/>
      <c r="F49" s="1733"/>
      <c r="G49" s="1733"/>
      <c r="H49" s="1733"/>
      <c r="I49" s="1733"/>
      <c r="J49" s="1733"/>
      <c r="K49" s="1733"/>
      <c r="L49" s="1733"/>
      <c r="M49" s="1733"/>
      <c r="N49" s="777"/>
    </row>
    <row r="50" spans="1:14" x14ac:dyDescent="0.25">
      <c r="A50" s="1732"/>
      <c r="B50" s="1732"/>
      <c r="C50" s="773">
        <v>0</v>
      </c>
      <c r="D50" s="773">
        <v>1</v>
      </c>
      <c r="E50" s="773">
        <v>2</v>
      </c>
      <c r="F50" s="773">
        <v>3</v>
      </c>
      <c r="G50" s="773">
        <v>4</v>
      </c>
      <c r="H50" s="773">
        <v>5</v>
      </c>
      <c r="I50" s="773">
        <v>6</v>
      </c>
      <c r="J50" s="773">
        <v>7</v>
      </c>
      <c r="K50" s="773">
        <v>8</v>
      </c>
      <c r="L50" s="773">
        <v>9</v>
      </c>
      <c r="M50" s="773">
        <v>10</v>
      </c>
      <c r="N50" s="773" t="s">
        <v>673</v>
      </c>
    </row>
    <row r="51" spans="1:14" x14ac:dyDescent="0.25">
      <c r="A51" s="774" t="s">
        <v>444</v>
      </c>
      <c r="B51" s="774" t="s">
        <v>397</v>
      </c>
      <c r="C51" s="781">
        <f>'EV PROG CCIALES'!J367</f>
        <v>0</v>
      </c>
      <c r="D51" s="781">
        <f>'EV PROG CCIALES'!K367</f>
        <v>3334.1200000000003</v>
      </c>
      <c r="E51" s="781">
        <f>'EV PROG CCIALES'!L367</f>
        <v>3334.1200000000003</v>
      </c>
      <c r="F51" s="781">
        <f>'EV PROG CCIALES'!M367</f>
        <v>3334.1200000000003</v>
      </c>
      <c r="G51" s="781">
        <f>'EV PROG CCIALES'!N367</f>
        <v>3334.1200000000003</v>
      </c>
      <c r="H51" s="781">
        <f>'EV PROG CCIALES'!O367</f>
        <v>3334.1200000000003</v>
      </c>
      <c r="I51" s="781">
        <f>'EV PROG CCIALES'!$K$367</f>
        <v>3334.1200000000003</v>
      </c>
      <c r="J51" s="781">
        <f>'EV PROG CCIALES'!$K$367</f>
        <v>3334.1200000000003</v>
      </c>
      <c r="K51" s="781">
        <f>'EV PROG CCIALES'!$K$367</f>
        <v>3334.1200000000003</v>
      </c>
      <c r="L51" s="781">
        <f>'EV PROG CCIALES'!$K$367</f>
        <v>3334.1200000000003</v>
      </c>
      <c r="M51" s="781">
        <f>'EV PROG CCIALES'!$K$367</f>
        <v>3334.1200000000003</v>
      </c>
      <c r="N51" s="782">
        <f>SUM(D51:M51)</f>
        <v>33341.199999999997</v>
      </c>
    </row>
    <row r="52" spans="1:14" x14ac:dyDescent="0.25">
      <c r="A52" s="774" t="s">
        <v>445</v>
      </c>
      <c r="B52" s="774" t="s">
        <v>397</v>
      </c>
      <c r="C52" s="781">
        <f>'EV PROG CCIALES'!J368</f>
        <v>0</v>
      </c>
      <c r="D52" s="781">
        <f>'EV PROG CCIALES'!K368</f>
        <v>666</v>
      </c>
      <c r="E52" s="781">
        <f>'EV PROG CCIALES'!L368</f>
        <v>666</v>
      </c>
      <c r="F52" s="781">
        <f>'EV PROG CCIALES'!M368</f>
        <v>666</v>
      </c>
      <c r="G52" s="781">
        <f>'EV PROG CCIALES'!N368</f>
        <v>666</v>
      </c>
      <c r="H52" s="781">
        <f>'EV PROG CCIALES'!O368</f>
        <v>666</v>
      </c>
      <c r="I52" s="781">
        <f>'EV PROG CCIALES'!$K$368</f>
        <v>666</v>
      </c>
      <c r="J52" s="781">
        <f>'EV PROG CCIALES'!$K$368</f>
        <v>666</v>
      </c>
      <c r="K52" s="781">
        <f>'EV PROG CCIALES'!$K$368</f>
        <v>666</v>
      </c>
      <c r="L52" s="781">
        <f>'EV PROG CCIALES'!$K$368</f>
        <v>666</v>
      </c>
      <c r="M52" s="781">
        <f>'EV PROG CCIALES'!$K$368</f>
        <v>666</v>
      </c>
      <c r="N52" s="782">
        <f>SUM(D52:M52)</f>
        <v>6660</v>
      </c>
    </row>
    <row r="53" spans="1:14" x14ac:dyDescent="0.25">
      <c r="A53" s="774" t="s">
        <v>839</v>
      </c>
      <c r="B53" s="774" t="s">
        <v>397</v>
      </c>
      <c r="C53" s="781">
        <f>'EV PROG CCIALES'!J369</f>
        <v>0</v>
      </c>
      <c r="D53" s="781">
        <f>'EV PROG CCIALES'!K369</f>
        <v>199</v>
      </c>
      <c r="E53" s="781">
        <f>'EV PROG CCIALES'!L369</f>
        <v>199</v>
      </c>
      <c r="F53" s="781">
        <f>'EV PROG CCIALES'!M369</f>
        <v>199</v>
      </c>
      <c r="G53" s="781">
        <f>'EV PROG CCIALES'!N369</f>
        <v>199</v>
      </c>
      <c r="H53" s="781">
        <f>'EV PROG CCIALES'!O369</f>
        <v>199</v>
      </c>
      <c r="I53" s="781">
        <f>'EV PROG CCIALES'!$K$369</f>
        <v>199</v>
      </c>
      <c r="J53" s="781">
        <f>'EV PROG CCIALES'!$K$369</f>
        <v>199</v>
      </c>
      <c r="K53" s="781">
        <f>'EV PROG CCIALES'!$K$369</f>
        <v>199</v>
      </c>
      <c r="L53" s="781">
        <f>'EV PROG CCIALES'!$K$369</f>
        <v>199</v>
      </c>
      <c r="M53" s="781">
        <f>'EV PROG CCIALES'!$K$369</f>
        <v>199</v>
      </c>
      <c r="N53" s="782">
        <f>SUM(D53:M53)</f>
        <v>1990</v>
      </c>
    </row>
    <row r="55" spans="1:14" ht="15.75" x14ac:dyDescent="0.25">
      <c r="A55" s="1734" t="s">
        <v>1046</v>
      </c>
      <c r="B55" s="1734"/>
      <c r="C55" s="1734"/>
      <c r="D55" s="1734"/>
      <c r="E55" s="1734"/>
      <c r="F55" s="1734"/>
      <c r="G55" s="1734"/>
      <c r="H55" s="1734"/>
      <c r="I55" s="1734"/>
      <c r="J55" s="1734"/>
      <c r="K55" s="1734"/>
      <c r="L55" s="1734"/>
      <c r="M55" s="1734"/>
      <c r="N55" s="1734"/>
    </row>
    <row r="57" spans="1:14" x14ac:dyDescent="0.25">
      <c r="A57" s="1731" t="s">
        <v>672</v>
      </c>
      <c r="B57" s="1731" t="s">
        <v>458</v>
      </c>
      <c r="C57" s="1733" t="s">
        <v>395</v>
      </c>
      <c r="D57" s="1733"/>
      <c r="E57" s="1733"/>
      <c r="F57" s="1733"/>
      <c r="G57" s="1733"/>
      <c r="H57" s="1733"/>
      <c r="I57" s="1733"/>
      <c r="J57" s="1733"/>
      <c r="K57" s="1733"/>
      <c r="L57" s="1733"/>
      <c r="M57" s="1733"/>
      <c r="N57" s="777"/>
    </row>
    <row r="58" spans="1:14" x14ac:dyDescent="0.25">
      <c r="A58" s="1732"/>
      <c r="B58" s="1732"/>
      <c r="C58" s="773">
        <v>0</v>
      </c>
      <c r="D58" s="773">
        <v>1</v>
      </c>
      <c r="E58" s="773">
        <v>2</v>
      </c>
      <c r="F58" s="773">
        <v>3</v>
      </c>
      <c r="G58" s="773">
        <v>4</v>
      </c>
      <c r="H58" s="773">
        <v>5</v>
      </c>
      <c r="I58" s="773">
        <v>6</v>
      </c>
      <c r="J58" s="773">
        <v>7</v>
      </c>
      <c r="K58" s="773">
        <v>8</v>
      </c>
      <c r="L58" s="773">
        <v>9</v>
      </c>
      <c r="M58" s="773">
        <v>10</v>
      </c>
      <c r="N58" s="773" t="s">
        <v>673</v>
      </c>
    </row>
    <row r="59" spans="1:14" x14ac:dyDescent="0.25">
      <c r="A59" s="774" t="s">
        <v>977</v>
      </c>
      <c r="B59" s="774" t="s">
        <v>397</v>
      </c>
      <c r="C59" s="781">
        <f>'EV PROG CCIALES'!J$389</f>
        <v>0</v>
      </c>
      <c r="D59" s="781">
        <f>'EV PROG CCIALES'!K$389</f>
        <v>1758</v>
      </c>
      <c r="E59" s="781">
        <f>'EV PROG CCIALES'!L$389</f>
        <v>1758</v>
      </c>
      <c r="F59" s="781">
        <f>'EV PROG CCIALES'!M$389</f>
        <v>1758</v>
      </c>
      <c r="G59" s="781">
        <f>'EV PROG CCIALES'!N$389</f>
        <v>2344</v>
      </c>
      <c r="H59" s="781">
        <f>'EV PROG CCIALES'!O$389</f>
        <v>2344</v>
      </c>
      <c r="I59" s="781">
        <f>'EV PROG CCIALES'!P$389</f>
        <v>0</v>
      </c>
      <c r="J59" s="781">
        <f>'EV PROG CCIALES'!Q$389</f>
        <v>0</v>
      </c>
      <c r="K59" s="781">
        <f>'EV PROG CCIALES'!R$389</f>
        <v>0</v>
      </c>
      <c r="L59" s="781">
        <f>'EV PROG CCIALES'!S$389</f>
        <v>0</v>
      </c>
      <c r="M59" s="781">
        <f>'EV PROG CCIALES'!T$389</f>
        <v>0</v>
      </c>
      <c r="N59" s="782">
        <f>SUM(D59:M59)</f>
        <v>9962</v>
      </c>
    </row>
    <row r="61" spans="1:14" ht="15.75" x14ac:dyDescent="0.25">
      <c r="A61" s="1734" t="s">
        <v>979</v>
      </c>
      <c r="B61" s="1734"/>
      <c r="C61" s="1734"/>
      <c r="D61" s="1734"/>
      <c r="E61" s="1734"/>
      <c r="F61" s="1734"/>
      <c r="G61" s="1734"/>
      <c r="H61" s="1734"/>
      <c r="I61" s="1734"/>
      <c r="J61" s="1734"/>
      <c r="K61" s="1734"/>
      <c r="L61" s="1734"/>
      <c r="M61" s="1734"/>
      <c r="N61" s="1734"/>
    </row>
    <row r="63" spans="1:14" x14ac:dyDescent="0.25">
      <c r="A63" s="1731" t="s">
        <v>672</v>
      </c>
      <c r="B63" s="1731" t="s">
        <v>458</v>
      </c>
      <c r="C63" s="1733" t="s">
        <v>395</v>
      </c>
      <c r="D63" s="1733"/>
      <c r="E63" s="1733"/>
      <c r="F63" s="1733"/>
      <c r="G63" s="1733"/>
      <c r="H63" s="1733"/>
      <c r="I63" s="1733"/>
      <c r="J63" s="1733"/>
      <c r="K63" s="1733"/>
      <c r="L63" s="1733"/>
      <c r="M63" s="1733"/>
      <c r="N63" s="777"/>
    </row>
    <row r="64" spans="1:14" x14ac:dyDescent="0.25">
      <c r="A64" s="1732"/>
      <c r="B64" s="1732"/>
      <c r="C64" s="773">
        <v>0</v>
      </c>
      <c r="D64" s="773">
        <v>1</v>
      </c>
      <c r="E64" s="773">
        <v>2</v>
      </c>
      <c r="F64" s="773">
        <v>3</v>
      </c>
      <c r="G64" s="773">
        <v>4</v>
      </c>
      <c r="H64" s="773">
        <v>5</v>
      </c>
      <c r="I64" s="773">
        <v>6</v>
      </c>
      <c r="J64" s="773">
        <v>7</v>
      </c>
      <c r="K64" s="773">
        <v>8</v>
      </c>
      <c r="L64" s="773">
        <v>9</v>
      </c>
      <c r="M64" s="773">
        <v>10</v>
      </c>
      <c r="N64" s="773" t="s">
        <v>673</v>
      </c>
    </row>
    <row r="65" spans="1:14" x14ac:dyDescent="0.25">
      <c r="A65" s="774" t="s">
        <v>980</v>
      </c>
      <c r="B65" s="774" t="s">
        <v>397</v>
      </c>
      <c r="C65" s="781">
        <f>'EV PROG CCIALES'!J$404</f>
        <v>288</v>
      </c>
      <c r="D65" s="781">
        <f>'EV PROG CCIALES'!K$404</f>
        <v>291.77280000000002</v>
      </c>
      <c r="E65" s="781">
        <f>'EV PROG CCIALES'!L$404</f>
        <v>295.59502368000005</v>
      </c>
      <c r="F65" s="781">
        <f>'EV PROG CCIALES'!M$404</f>
        <v>299.46731849020807</v>
      </c>
      <c r="G65" s="781">
        <f>'EV PROG CCIALES'!N$404</f>
        <v>303.39034036242981</v>
      </c>
      <c r="H65" s="781">
        <f>'EV PROG CCIALES'!O$404</f>
        <v>307.36475382117766</v>
      </c>
      <c r="I65" s="781">
        <f>'EV PROG CCIALES'!P$404</f>
        <v>0</v>
      </c>
      <c r="J65" s="781">
        <f>'EV PROG CCIALES'!Q$404</f>
        <v>0</v>
      </c>
      <c r="K65" s="781">
        <f>'EV PROG CCIALES'!R$404</f>
        <v>0</v>
      </c>
      <c r="L65" s="781">
        <f>'EV PROG CCIALES'!S$404</f>
        <v>0</v>
      </c>
      <c r="M65" s="781">
        <f>'EV PROG CCIALES'!T$404</f>
        <v>0</v>
      </c>
      <c r="N65" s="782">
        <f>SUM(D65:M65)</f>
        <v>1497.5902363538157</v>
      </c>
    </row>
    <row r="66" spans="1:14" x14ac:dyDescent="0.25">
      <c r="A66" s="774" t="s">
        <v>857</v>
      </c>
      <c r="B66" s="774" t="s">
        <v>397</v>
      </c>
      <c r="C66" s="781">
        <f>'EV PROG CCIALES'!J$405</f>
        <v>0</v>
      </c>
      <c r="D66" s="781">
        <f>'EV PROG CCIALES'!K$405</f>
        <v>58</v>
      </c>
      <c r="E66" s="781">
        <f>'EV PROG CCIALES'!L$405</f>
        <v>59</v>
      </c>
      <c r="F66" s="781">
        <f>'EV PROG CCIALES'!M$405</f>
        <v>59</v>
      </c>
      <c r="G66" s="781">
        <f>'EV PROG CCIALES'!N$405</f>
        <v>60</v>
      </c>
      <c r="H66" s="781">
        <f>'EV PROG CCIALES'!O$405</f>
        <v>61</v>
      </c>
      <c r="I66" s="781">
        <f>'EV PROG CCIALES'!P$405</f>
        <v>0</v>
      </c>
      <c r="J66" s="781">
        <f>'EV PROG CCIALES'!Q$405</f>
        <v>0</v>
      </c>
      <c r="K66" s="781">
        <f>'EV PROG CCIALES'!R$405</f>
        <v>0</v>
      </c>
      <c r="L66" s="781">
        <f>'EV PROG CCIALES'!S$405</f>
        <v>0</v>
      </c>
      <c r="M66" s="781">
        <f>'EV PROG CCIALES'!T$405</f>
        <v>0</v>
      </c>
      <c r="N66" s="782">
        <f>SUM(D66:M66)</f>
        <v>297</v>
      </c>
    </row>
    <row r="68" spans="1:14" ht="15.75" x14ac:dyDescent="0.25">
      <c r="A68" s="1734" t="s">
        <v>860</v>
      </c>
      <c r="B68" s="1734"/>
      <c r="C68" s="1734"/>
      <c r="D68" s="1734"/>
      <c r="E68" s="1734"/>
      <c r="F68" s="1734"/>
      <c r="G68" s="1734"/>
      <c r="H68" s="1734"/>
      <c r="I68" s="1734"/>
      <c r="J68" s="1734"/>
      <c r="K68" s="1734"/>
      <c r="L68" s="1734"/>
      <c r="M68" s="1734"/>
      <c r="N68" s="1734"/>
    </row>
    <row r="70" spans="1:14" x14ac:dyDescent="0.25">
      <c r="A70" s="1731" t="s">
        <v>672</v>
      </c>
      <c r="B70" s="1731" t="s">
        <v>458</v>
      </c>
      <c r="C70" s="1733" t="s">
        <v>395</v>
      </c>
      <c r="D70" s="1733"/>
      <c r="E70" s="1733"/>
      <c r="F70" s="1733"/>
      <c r="G70" s="1733"/>
      <c r="H70" s="1733"/>
      <c r="I70" s="1733"/>
      <c r="J70" s="1733"/>
      <c r="K70" s="1733"/>
      <c r="L70" s="1733"/>
      <c r="M70" s="1733"/>
      <c r="N70" s="777"/>
    </row>
    <row r="71" spans="1:14" x14ac:dyDescent="0.25">
      <c r="A71" s="1732"/>
      <c r="B71" s="1732"/>
      <c r="C71" s="773">
        <v>0</v>
      </c>
      <c r="D71" s="773">
        <v>1</v>
      </c>
      <c r="E71" s="773">
        <v>2</v>
      </c>
      <c r="F71" s="773">
        <v>3</v>
      </c>
      <c r="G71" s="773">
        <v>4</v>
      </c>
      <c r="H71" s="773">
        <v>5</v>
      </c>
      <c r="I71" s="773">
        <v>6</v>
      </c>
      <c r="J71" s="773">
        <v>7</v>
      </c>
      <c r="K71" s="773">
        <v>8</v>
      </c>
      <c r="L71" s="773">
        <v>9</v>
      </c>
      <c r="M71" s="773">
        <v>10</v>
      </c>
      <c r="N71" s="773" t="s">
        <v>673</v>
      </c>
    </row>
    <row r="72" spans="1:14" x14ac:dyDescent="0.25">
      <c r="A72" s="774" t="s">
        <v>862</v>
      </c>
      <c r="B72" s="774" t="s">
        <v>397</v>
      </c>
      <c r="C72" s="781"/>
      <c r="D72" s="781">
        <f>'EV PROG CCIALES'!K420</f>
        <v>0</v>
      </c>
      <c r="E72" s="781">
        <f>'EV PROG CCIALES'!L420</f>
        <v>0</v>
      </c>
      <c r="F72" s="781">
        <f>'EV PROG CCIALES'!M420</f>
        <v>0</v>
      </c>
      <c r="G72" s="781">
        <f>'EV PROG CCIALES'!N420</f>
        <v>0</v>
      </c>
      <c r="H72" s="781">
        <f>'EV PROG CCIALES'!O420</f>
        <v>0</v>
      </c>
      <c r="I72" s="781">
        <f>'EV PROG CCIALES'!P420</f>
        <v>0</v>
      </c>
      <c r="J72" s="781">
        <f>'EV PROG CCIALES'!Q420</f>
        <v>0</v>
      </c>
      <c r="K72" s="781">
        <f>'EV PROG CCIALES'!R420</f>
        <v>0</v>
      </c>
      <c r="L72" s="781">
        <f>'EV PROG CCIALES'!S420</f>
        <v>0</v>
      </c>
      <c r="M72" s="781">
        <f>'EV PROG CCIALES'!T420</f>
        <v>0</v>
      </c>
      <c r="N72" s="782">
        <f>SUM(D72:M72)</f>
        <v>0</v>
      </c>
    </row>
    <row r="74" spans="1:14" ht="15.75" x14ac:dyDescent="0.25">
      <c r="A74" s="1734" t="s">
        <v>1047</v>
      </c>
      <c r="B74" s="1734"/>
      <c r="C74" s="1734"/>
      <c r="D74" s="1734"/>
      <c r="E74" s="1734"/>
      <c r="F74" s="1734"/>
      <c r="G74" s="1734"/>
      <c r="H74" s="1734"/>
      <c r="I74" s="1734"/>
      <c r="J74" s="1734"/>
      <c r="K74" s="1734"/>
      <c r="L74" s="1734"/>
      <c r="M74" s="1734"/>
      <c r="N74" s="1734"/>
    </row>
    <row r="76" spans="1:14" x14ac:dyDescent="0.25">
      <c r="A76" s="1731" t="s">
        <v>672</v>
      </c>
      <c r="B76" s="1731" t="s">
        <v>458</v>
      </c>
      <c r="C76" s="1733" t="s">
        <v>395</v>
      </c>
      <c r="D76" s="1733"/>
      <c r="E76" s="1733"/>
      <c r="F76" s="1733"/>
      <c r="G76" s="1733"/>
      <c r="H76" s="1733"/>
      <c r="I76" s="1733"/>
      <c r="J76" s="1733"/>
      <c r="K76" s="1733"/>
      <c r="L76" s="1733"/>
      <c r="M76" s="1733"/>
      <c r="N76" s="777"/>
    </row>
    <row r="77" spans="1:14" x14ac:dyDescent="0.25">
      <c r="A77" s="1732"/>
      <c r="B77" s="1732"/>
      <c r="C77" s="773">
        <v>0</v>
      </c>
      <c r="D77" s="773">
        <v>1</v>
      </c>
      <c r="E77" s="773">
        <v>2</v>
      </c>
      <c r="F77" s="773">
        <v>3</v>
      </c>
      <c r="G77" s="773">
        <v>4</v>
      </c>
      <c r="H77" s="773">
        <v>5</v>
      </c>
      <c r="I77" s="773">
        <v>6</v>
      </c>
      <c r="J77" s="773">
        <v>7</v>
      </c>
      <c r="K77" s="773">
        <v>8</v>
      </c>
      <c r="L77" s="773">
        <v>9</v>
      </c>
      <c r="M77" s="773">
        <v>10</v>
      </c>
      <c r="N77" s="773" t="s">
        <v>673</v>
      </c>
    </row>
    <row r="78" spans="1:14" x14ac:dyDescent="0.25">
      <c r="A78" s="774" t="s">
        <v>978</v>
      </c>
      <c r="B78" s="774" t="s">
        <v>397</v>
      </c>
      <c r="C78" s="781">
        <f>'EV PROG CCIALES'!J434</f>
        <v>0</v>
      </c>
      <c r="D78" s="781">
        <f>'EV PROG CCIALES'!K434</f>
        <v>0</v>
      </c>
      <c r="E78" s="781">
        <f>'EV PROG CCIALES'!L434</f>
        <v>0</v>
      </c>
      <c r="F78" s="781">
        <f>'EV PROG CCIALES'!M434</f>
        <v>0</v>
      </c>
      <c r="G78" s="781">
        <f>'EV PROG CCIALES'!N434</f>
        <v>0</v>
      </c>
      <c r="H78" s="781">
        <f>'EV PROG CCIALES'!O434</f>
        <v>0</v>
      </c>
      <c r="I78" s="781">
        <f>'EV PROG CCIALES'!P434</f>
        <v>0</v>
      </c>
      <c r="J78" s="781">
        <f>'EV PROG CCIALES'!Q434</f>
        <v>0</v>
      </c>
      <c r="K78" s="781">
        <f>'EV PROG CCIALES'!R434</f>
        <v>0</v>
      </c>
      <c r="L78" s="781">
        <f>'EV PROG CCIALES'!S434</f>
        <v>0</v>
      </c>
      <c r="M78" s="781">
        <f>'EV PROG CCIALES'!T434</f>
        <v>0</v>
      </c>
      <c r="N78" s="782">
        <f>SUM(D78:M78)</f>
        <v>0</v>
      </c>
    </row>
    <row r="79" spans="1:14" ht="29.25" customHeight="1" x14ac:dyDescent="0.25">
      <c r="A79" s="774" t="s">
        <v>455</v>
      </c>
      <c r="B79" s="774" t="s">
        <v>397</v>
      </c>
      <c r="C79" s="781">
        <f>'EV PROG CCIALES'!J435</f>
        <v>0</v>
      </c>
      <c r="D79" s="781">
        <f>'EV PROG CCIALES'!K435</f>
        <v>0</v>
      </c>
      <c r="E79" s="781">
        <f>'EV PROG CCIALES'!L435</f>
        <v>0</v>
      </c>
      <c r="F79" s="781">
        <f>'EV PROG CCIALES'!M435</f>
        <v>0</v>
      </c>
      <c r="G79" s="781">
        <f>'EV PROG CCIALES'!N435</f>
        <v>0</v>
      </c>
      <c r="H79" s="781">
        <f>'EV PROG CCIALES'!O435</f>
        <v>0</v>
      </c>
      <c r="I79" s="781">
        <f>'EV PROG CCIALES'!P435</f>
        <v>0</v>
      </c>
      <c r="J79" s="781">
        <f>'EV PROG CCIALES'!Q435</f>
        <v>0</v>
      </c>
      <c r="K79" s="781">
        <f>'EV PROG CCIALES'!R435</f>
        <v>0</v>
      </c>
      <c r="L79" s="781">
        <f>'EV PROG CCIALES'!S435</f>
        <v>0</v>
      </c>
      <c r="M79" s="781">
        <f>'EV PROG CCIALES'!T435</f>
        <v>0</v>
      </c>
      <c r="N79" s="782">
        <f>SUM(D79:M79)</f>
        <v>0</v>
      </c>
    </row>
  </sheetData>
  <mergeCells count="45">
    <mergeCell ref="A70:A71"/>
    <mergeCell ref="B70:B71"/>
    <mergeCell ref="C70:M70"/>
    <mergeCell ref="A74:N74"/>
    <mergeCell ref="A76:A77"/>
    <mergeCell ref="B76:B77"/>
    <mergeCell ref="C76:M76"/>
    <mergeCell ref="A61:N61"/>
    <mergeCell ref="A63:A64"/>
    <mergeCell ref="B63:B64"/>
    <mergeCell ref="C63:M63"/>
    <mergeCell ref="A68:N68"/>
    <mergeCell ref="A2:N2"/>
    <mergeCell ref="A4:A5"/>
    <mergeCell ref="B4:B5"/>
    <mergeCell ref="C4:M4"/>
    <mergeCell ref="N4:N5"/>
    <mergeCell ref="A8:N8"/>
    <mergeCell ref="A10:A11"/>
    <mergeCell ref="B10:B11"/>
    <mergeCell ref="C10:M10"/>
    <mergeCell ref="A25:A26"/>
    <mergeCell ref="B25:B26"/>
    <mergeCell ref="C25:M25"/>
    <mergeCell ref="A16:N16"/>
    <mergeCell ref="A18:A19"/>
    <mergeCell ref="B18:B19"/>
    <mergeCell ref="C18:M18"/>
    <mergeCell ref="A23:N23"/>
    <mergeCell ref="A57:A58"/>
    <mergeCell ref="B57:B58"/>
    <mergeCell ref="C57:M57"/>
    <mergeCell ref="A31:N31"/>
    <mergeCell ref="A33:A34"/>
    <mergeCell ref="B33:B34"/>
    <mergeCell ref="C33:M33"/>
    <mergeCell ref="A39:N39"/>
    <mergeCell ref="A41:A42"/>
    <mergeCell ref="B41:B42"/>
    <mergeCell ref="C41:M41"/>
    <mergeCell ref="A47:N47"/>
    <mergeCell ref="A49:A50"/>
    <mergeCell ref="B49:B50"/>
    <mergeCell ref="C49:M49"/>
    <mergeCell ref="A55:N55"/>
  </mergeCells>
  <conditionalFormatting sqref="N43 C20:N21 C6:M6 C27:N29 C51:N53">
    <cfRule type="cellIs" dxfId="668" priority="31" operator="equal">
      <formula>0</formula>
    </cfRule>
  </conditionalFormatting>
  <conditionalFormatting sqref="N6">
    <cfRule type="cellIs" dxfId="667" priority="29" operator="equal">
      <formula>0</formula>
    </cfRule>
  </conditionalFormatting>
  <conditionalFormatting sqref="N12:N14">
    <cfRule type="cellIs" dxfId="666" priority="22" operator="equal">
      <formula>0</formula>
    </cfRule>
  </conditionalFormatting>
  <conditionalFormatting sqref="C12:M14">
    <cfRule type="cellIs" dxfId="665" priority="21" operator="equal">
      <formula>0</formula>
    </cfRule>
  </conditionalFormatting>
  <conditionalFormatting sqref="C35:N37">
    <cfRule type="cellIs" dxfId="664" priority="19" operator="equal">
      <formula>0</formula>
    </cfRule>
  </conditionalFormatting>
  <conditionalFormatting sqref="N44:N45">
    <cfRule type="cellIs" dxfId="663" priority="18" operator="equal">
      <formula>0</formula>
    </cfRule>
  </conditionalFormatting>
  <conditionalFormatting sqref="N59">
    <cfRule type="cellIs" dxfId="662" priority="14" operator="equal">
      <formula>0</formula>
    </cfRule>
  </conditionalFormatting>
  <conditionalFormatting sqref="C43:M45">
    <cfRule type="cellIs" dxfId="661" priority="15" operator="equal">
      <formula>0</formula>
    </cfRule>
  </conditionalFormatting>
  <conditionalFormatting sqref="C59:M59">
    <cfRule type="cellIs" dxfId="660" priority="13" operator="equal">
      <formula>0</formula>
    </cfRule>
  </conditionalFormatting>
  <conditionalFormatting sqref="N65:N66">
    <cfRule type="cellIs" dxfId="659" priority="11" operator="equal">
      <formula>0</formula>
    </cfRule>
  </conditionalFormatting>
  <conditionalFormatting sqref="C65:M66">
    <cfRule type="cellIs" dxfId="658" priority="10" operator="equal">
      <formula>0</formula>
    </cfRule>
  </conditionalFormatting>
  <conditionalFormatting sqref="C72:M72">
    <cfRule type="cellIs" dxfId="657" priority="6" operator="equal">
      <formula>0</formula>
    </cfRule>
  </conditionalFormatting>
  <conditionalFormatting sqref="N72">
    <cfRule type="cellIs" dxfId="656" priority="7" operator="equal">
      <formula>0</formula>
    </cfRule>
  </conditionalFormatting>
  <conditionalFormatting sqref="C78:M79">
    <cfRule type="cellIs" dxfId="655" priority="1" operator="equal">
      <formula>0</formula>
    </cfRule>
  </conditionalFormatting>
  <conditionalFormatting sqref="N78:N79">
    <cfRule type="cellIs" dxfId="654" priority="2" operator="equal">
      <formula>0</formula>
    </cfRule>
  </conditionalFormatting>
  <pageMargins left="0.7" right="0.7" top="0.75" bottom="0.75" header="0.3" footer="0.3"/>
  <pageSetup paperSize="9" scale="35"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
    <tabColor rgb="FFFFC000"/>
  </sheetPr>
  <dimension ref="B1:T223"/>
  <sheetViews>
    <sheetView showGridLines="0" topLeftCell="N76" zoomScaleNormal="100" workbookViewId="0">
      <selection activeCell="S71" sqref="S71"/>
    </sheetView>
  </sheetViews>
  <sheetFormatPr baseColWidth="10" defaultColWidth="10.625" defaultRowHeight="12.75" x14ac:dyDescent="0.2"/>
  <cols>
    <col min="1" max="1" width="2.875" style="533" customWidth="1"/>
    <col min="2" max="2" width="3.875" style="533" customWidth="1"/>
    <col min="3" max="3" width="12.625" style="533" customWidth="1"/>
    <col min="4" max="4" width="22.875" style="533" customWidth="1"/>
    <col min="5" max="5" width="9.375" style="533" customWidth="1"/>
    <col min="6" max="7" width="25.125" style="533" customWidth="1"/>
    <col min="8" max="9" width="20.375" style="533" customWidth="1"/>
    <col min="10" max="10" width="21.625" style="533" customWidth="1"/>
    <col min="11" max="11" width="20.375" style="533" customWidth="1"/>
    <col min="12" max="13" width="21.875" style="533" bestFit="1" customWidth="1"/>
    <col min="14" max="18" width="21.625" style="533" customWidth="1"/>
    <col min="19" max="19" width="28.25" style="533" customWidth="1"/>
    <col min="20" max="20" width="22.625" style="533" customWidth="1"/>
    <col min="21" max="16384" width="10.625" style="533"/>
  </cols>
  <sheetData>
    <row r="1" spans="2:20" ht="18.75" thickBot="1" x14ac:dyDescent="0.3">
      <c r="C1" s="534" t="s">
        <v>664</v>
      </c>
      <c r="S1" s="1385" t="s">
        <v>1158</v>
      </c>
    </row>
    <row r="2" spans="2:20" x14ac:dyDescent="0.2">
      <c r="B2" s="1759" t="s">
        <v>365</v>
      </c>
      <c r="C2" s="1759" t="s">
        <v>504</v>
      </c>
      <c r="D2" s="1759" t="s">
        <v>505</v>
      </c>
      <c r="E2" s="1759" t="s">
        <v>362</v>
      </c>
      <c r="F2" s="1759" t="s">
        <v>363</v>
      </c>
      <c r="G2" s="1762" t="s">
        <v>368</v>
      </c>
      <c r="H2" s="535">
        <v>2025</v>
      </c>
      <c r="I2" s="535">
        <f>H2+1</f>
        <v>2026</v>
      </c>
      <c r="J2" s="535">
        <f t="shared" ref="J2:R2" si="0">I2+1</f>
        <v>2027</v>
      </c>
      <c r="K2" s="535">
        <f t="shared" si="0"/>
        <v>2028</v>
      </c>
      <c r="L2" s="535">
        <f t="shared" si="0"/>
        <v>2029</v>
      </c>
      <c r="M2" s="535">
        <f t="shared" si="0"/>
        <v>2030</v>
      </c>
      <c r="N2" s="535">
        <f t="shared" si="0"/>
        <v>2031</v>
      </c>
      <c r="O2" s="535">
        <f t="shared" si="0"/>
        <v>2032</v>
      </c>
      <c r="P2" s="535">
        <f t="shared" si="0"/>
        <v>2033</v>
      </c>
      <c r="Q2" s="535">
        <f t="shared" si="0"/>
        <v>2034</v>
      </c>
      <c r="R2" s="535">
        <f t="shared" si="0"/>
        <v>2035</v>
      </c>
      <c r="S2" s="1751" t="s">
        <v>703</v>
      </c>
      <c r="T2" s="1751" t="s">
        <v>998</v>
      </c>
    </row>
    <row r="3" spans="2:20" ht="13.5" thickBot="1" x14ac:dyDescent="0.25">
      <c r="B3" s="1760"/>
      <c r="C3" s="1760"/>
      <c r="D3" s="1760"/>
      <c r="E3" s="1760"/>
      <c r="F3" s="1761"/>
      <c r="G3" s="1763"/>
      <c r="H3" s="536">
        <v>0</v>
      </c>
      <c r="I3" s="536">
        <v>1</v>
      </c>
      <c r="J3" s="536">
        <v>2</v>
      </c>
      <c r="K3" s="536">
        <v>3</v>
      </c>
      <c r="L3" s="536">
        <v>4</v>
      </c>
      <c r="M3" s="536">
        <v>5</v>
      </c>
      <c r="N3" s="536">
        <v>6</v>
      </c>
      <c r="O3" s="536">
        <v>7</v>
      </c>
      <c r="P3" s="536">
        <v>8</v>
      </c>
      <c r="Q3" s="536">
        <v>9</v>
      </c>
      <c r="R3" s="536">
        <v>10</v>
      </c>
      <c r="S3" s="1752"/>
      <c r="T3" s="1752"/>
    </row>
    <row r="4" spans="2:20" ht="16.350000000000001" customHeight="1" x14ac:dyDescent="0.2">
      <c r="B4" s="1767">
        <v>1</v>
      </c>
      <c r="C4" s="1771" t="s">
        <v>521</v>
      </c>
      <c r="D4" s="1769" t="str">
        <f>+'EV PROG TÉCNICOS'!$B$35</f>
        <v>MACROMEDICIÓN</v>
      </c>
      <c r="E4" s="537" t="s">
        <v>364</v>
      </c>
      <c r="F4" s="538"/>
      <c r="G4" s="539"/>
      <c r="H4" s="575">
        <f>+'EV PROG TÉCNICOS'!K844</f>
        <v>0</v>
      </c>
      <c r="I4" s="575">
        <f>+'EV PROG TÉCNICOS'!L844</f>
        <v>73255741.341600001</v>
      </c>
      <c r="J4" s="575">
        <f>+'EV PROG TÉCNICOS'!M844</f>
        <v>83811160.865565211</v>
      </c>
      <c r="K4" s="575">
        <f>+'EV PROG TÉCNICOS'!N844</f>
        <v>92040641.0935736</v>
      </c>
      <c r="L4" s="575">
        <f>+'EV PROG TÉCNICOS'!O844</f>
        <v>97268531.09956035</v>
      </c>
      <c r="M4" s="575">
        <f>+'EV PROG TÉCNICOS'!P844</f>
        <v>102793364.21230917</v>
      </c>
      <c r="N4" s="575">
        <f>+'EV PROG TÉCNICOS'!Q844</f>
        <v>108632006.74089548</v>
      </c>
      <c r="O4" s="575">
        <f>+'EV PROG TÉCNICOS'!R844</f>
        <v>114802282.99737701</v>
      </c>
      <c r="P4" s="575">
        <f>+'EV PROG TÉCNICOS'!S844</f>
        <v>121323029.7111714</v>
      </c>
      <c r="Q4" s="575">
        <f>+'EV PROG TÉCNICOS'!T844</f>
        <v>128214153.53416003</v>
      </c>
      <c r="R4" s="575">
        <f>+'EV PROG TÉCNICOS'!U844</f>
        <v>135496691.81206962</v>
      </c>
      <c r="S4" s="1784" t="str">
        <f>+Alternativas!I49</f>
        <v>SI</v>
      </c>
      <c r="T4" s="552"/>
    </row>
    <row r="5" spans="2:20" ht="13.5" thickBot="1" x14ac:dyDescent="0.25">
      <c r="B5" s="1768"/>
      <c r="C5" s="1772"/>
      <c r="D5" s="1770"/>
      <c r="E5" s="540" t="s">
        <v>363</v>
      </c>
      <c r="F5" s="541" t="s">
        <v>367</v>
      </c>
      <c r="G5" s="542">
        <v>23</v>
      </c>
      <c r="H5" s="577">
        <f>+'EV PROG TÉCNICOS'!K845</f>
        <v>0</v>
      </c>
      <c r="I5" s="577">
        <f>+'EV PROG TÉCNICOS'!L845</f>
        <v>38448152.589211166</v>
      </c>
      <c r="J5" s="577">
        <f>+'EV PROG TÉCNICOS'!M845</f>
        <v>315391528.86762232</v>
      </c>
      <c r="K5" s="577">
        <f>+'EV PROG TÉCNICOS'!N845</f>
        <v>41234059.020898953</v>
      </c>
      <c r="L5" s="577">
        <f>+'EV PROG TÉCNICOS'!O845</f>
        <v>39504731.256209046</v>
      </c>
      <c r="M5" s="577">
        <f>+'EV PROG TÉCNICOS'!P845</f>
        <v>0</v>
      </c>
      <c r="N5" s="577">
        <f>+'EV PROG TÉCNICOS'!Q845</f>
        <v>98530939.427441463</v>
      </c>
      <c r="O5" s="577">
        <f>+'EV PROG TÉCNICOS'!R845</f>
        <v>47426088.848298267</v>
      </c>
      <c r="P5" s="577">
        <f>+'EV PROG TÉCNICOS'!S845</f>
        <v>0</v>
      </c>
      <c r="Q5" s="577">
        <f>+'EV PROG TÉCNICOS'!T845</f>
        <v>11763610.824901652</v>
      </c>
      <c r="R5" s="577">
        <f>+'EV PROG TÉCNICOS'!U845</f>
        <v>0</v>
      </c>
      <c r="S5" s="1785"/>
      <c r="T5" s="552">
        <f>SUM(H5:R5)-SUM(H95:R95)</f>
        <v>592299110.83458292</v>
      </c>
    </row>
    <row r="6" spans="2:20" x14ac:dyDescent="0.2">
      <c r="B6" s="1767">
        <v>2</v>
      </c>
      <c r="C6" s="1771" t="s">
        <v>521</v>
      </c>
      <c r="D6" s="1769" t="str">
        <f>+'EV PROG TÉCNICOS'!$B$57</f>
        <v>SECTORIZACIÓN</v>
      </c>
      <c r="E6" s="537" t="s">
        <v>364</v>
      </c>
      <c r="F6" s="538"/>
      <c r="G6" s="539"/>
      <c r="H6" s="576">
        <f>+'EV PROG TÉCNICOS'!K846</f>
        <v>0</v>
      </c>
      <c r="I6" s="576">
        <f>+'EV PROG TÉCNICOS'!L846</f>
        <v>119825945.96206667</v>
      </c>
      <c r="J6" s="576">
        <f>+'EV PROG TÉCNICOS'!M846</f>
        <v>176796993.35691556</v>
      </c>
      <c r="K6" s="576">
        <f>+'EV PROG TÉCNICOS'!N846</f>
        <v>229177716.60595244</v>
      </c>
      <c r="L6" s="576">
        <f>+'EV PROG TÉCNICOS'!O846</f>
        <v>271105248.7601034</v>
      </c>
      <c r="M6" s="576">
        <f>+'EV PROG TÉCNICOS'!P846</f>
        <v>340956162.37325311</v>
      </c>
      <c r="N6" s="576">
        <f>+'EV PROG TÉCNICOS'!Q846</f>
        <v>396041260.18268508</v>
      </c>
      <c r="O6" s="576">
        <f>+'EV PROG TÉCNICOS'!R846</f>
        <v>408185895.10178488</v>
      </c>
      <c r="P6" s="576">
        <f>+'EV PROG TÉCNICOS'!S846</f>
        <v>431370772.30638731</v>
      </c>
      <c r="Q6" s="576">
        <f>+'EV PROG TÉCNICOS'!T846</f>
        <v>455872545.89923561</v>
      </c>
      <c r="R6" s="576">
        <f>+'EV PROG TÉCNICOS'!U846</f>
        <v>481766015.33180308</v>
      </c>
      <c r="S6" s="1784" t="str">
        <f>+Alternativas!J49</f>
        <v>SI</v>
      </c>
      <c r="T6" s="552"/>
    </row>
    <row r="7" spans="2:20" ht="13.5" thickBot="1" x14ac:dyDescent="0.25">
      <c r="B7" s="1768"/>
      <c r="C7" s="1772"/>
      <c r="D7" s="1770"/>
      <c r="E7" s="540" t="s">
        <v>363</v>
      </c>
      <c r="F7" s="541" t="s">
        <v>367</v>
      </c>
      <c r="G7" s="542">
        <v>23</v>
      </c>
      <c r="H7" s="577">
        <f>+'EV PROG TÉCNICOS'!K847</f>
        <v>0</v>
      </c>
      <c r="I7" s="577">
        <f>+'EV PROG TÉCNICOS'!L847</f>
        <v>568627368.92639828</v>
      </c>
      <c r="J7" s="577">
        <f>+'EV PROG TÉCNICOS'!M847</f>
        <v>859109327.06257272</v>
      </c>
      <c r="K7" s="577">
        <f>+'EV PROG TÉCNICOS'!N847</f>
        <v>718416608.20283031</v>
      </c>
      <c r="L7" s="577">
        <f>+'EV PROG TÉCNICOS'!O847</f>
        <v>1276339375.3652217</v>
      </c>
      <c r="M7" s="577">
        <f>+'EV PROG TÉCNICOS'!P847</f>
        <v>364628429.7660867</v>
      </c>
      <c r="N7" s="577">
        <f>+'EV PROG TÉCNICOS'!Q847</f>
        <v>133735083.28086235</v>
      </c>
      <c r="O7" s="577">
        <f>+'EV PROG TÉCNICOS'!R847</f>
        <v>0</v>
      </c>
      <c r="P7" s="577">
        <f>+'EV PROG TÉCNICOS'!S847</f>
        <v>0</v>
      </c>
      <c r="Q7" s="577">
        <f>+'EV PROG TÉCNICOS'!T847</f>
        <v>0</v>
      </c>
      <c r="R7" s="577">
        <f>+'EV PROG TÉCNICOS'!U847</f>
        <v>0</v>
      </c>
      <c r="S7" s="1785"/>
      <c r="T7" s="552">
        <f>SUM(H7:R7)-SUM(H97:R97)</f>
        <v>2574925230.8210516</v>
      </c>
    </row>
    <row r="8" spans="2:20" ht="16.350000000000001" customHeight="1" x14ac:dyDescent="0.2">
      <c r="B8" s="1767">
        <v>3</v>
      </c>
      <c r="C8" s="1771" t="s">
        <v>521</v>
      </c>
      <c r="D8" s="1769" t="str">
        <f>+'EV PROG TÉCNICOS'!$B$68</f>
        <v>GESTIÓN DEL PLANO DE PRESIONES</v>
      </c>
      <c r="E8" s="537" t="s">
        <v>364</v>
      </c>
      <c r="F8" s="538"/>
      <c r="G8" s="539"/>
      <c r="H8" s="576">
        <f>+'EV PROG TÉCNICOS'!K848</f>
        <v>0</v>
      </c>
      <c r="I8" s="576">
        <f>+'EV PROG TÉCNICOS'!L848</f>
        <v>283797365.42737997</v>
      </c>
      <c r="J8" s="576">
        <f>+'EV PROG TÉCNICOS'!M848</f>
        <v>322031954.25237602</v>
      </c>
      <c r="K8" s="576">
        <f>+'EV PROG TÉCNICOS'!N848</f>
        <v>405718434.69165069</v>
      </c>
      <c r="L8" s="576">
        <f>+'EV PROG TÉCNICOS'!O848</f>
        <v>410879827.69024026</v>
      </c>
      <c r="M8" s="576">
        <f>+'EV PROG TÉCNICOS'!P848</f>
        <v>265103161.76957124</v>
      </c>
      <c r="N8" s="576">
        <f>+'EV PROG TÉCNICOS'!Q848</f>
        <v>126781742.3795628</v>
      </c>
      <c r="O8" s="576">
        <f>+'EV PROG TÉCNICOS'!R848</f>
        <v>159161684.15472707</v>
      </c>
      <c r="P8" s="576">
        <f>+'EV PROG TÉCNICOS'!S848</f>
        <v>147996867.2522684</v>
      </c>
      <c r="Q8" s="576">
        <f>+'EV PROG TÉCNICOS'!T848</f>
        <v>149543306.73623699</v>
      </c>
      <c r="R8" s="576">
        <f>+'EV PROG TÉCNICOS'!U848</f>
        <v>181896027.70648083</v>
      </c>
      <c r="S8" s="1784" t="str">
        <f>+Alternativas!K49</f>
        <v>SI</v>
      </c>
      <c r="T8" s="552"/>
    </row>
    <row r="9" spans="2:20" ht="26.25" thickBot="1" x14ac:dyDescent="0.25">
      <c r="B9" s="1768"/>
      <c r="C9" s="1772"/>
      <c r="D9" s="1770"/>
      <c r="E9" s="540" t="s">
        <v>363</v>
      </c>
      <c r="F9" s="541" t="s">
        <v>369</v>
      </c>
      <c r="G9" s="542">
        <v>35</v>
      </c>
      <c r="H9" s="577">
        <f>+'EV PROG TÉCNICOS'!K849</f>
        <v>0</v>
      </c>
      <c r="I9" s="577">
        <f>+'EV PROG TÉCNICOS'!L849</f>
        <v>894981650.5986501</v>
      </c>
      <c r="J9" s="577">
        <f>+'EV PROG TÉCNICOS'!M849</f>
        <v>1015334757.2139375</v>
      </c>
      <c r="K9" s="577">
        <f>+'EV PROG TÉCNICOS'!N849</f>
        <v>709834884.21893704</v>
      </c>
      <c r="L9" s="577">
        <f>+'EV PROG TÉCNICOS'!O849</f>
        <v>93232358.513064519</v>
      </c>
      <c r="M9" s="577">
        <f>+'EV PROG TÉCNICOS'!P849</f>
        <v>110850269.83058606</v>
      </c>
      <c r="N9" s="577">
        <f>+'EV PROG TÉCNICOS'!Q849</f>
        <v>0</v>
      </c>
      <c r="O9" s="577">
        <f>+'EV PROG TÉCNICOS'!R849</f>
        <v>0</v>
      </c>
      <c r="P9" s="577">
        <f>+'EV PROG TÉCNICOS'!S849</f>
        <v>0</v>
      </c>
      <c r="Q9" s="577">
        <f>+'EV PROG TÉCNICOS'!T849</f>
        <v>0</v>
      </c>
      <c r="R9" s="577">
        <f>+'EV PROG TÉCNICOS'!U849</f>
        <v>0</v>
      </c>
      <c r="S9" s="1785"/>
      <c r="T9" s="552">
        <f>SUM(H9:R9)-SUM(H98:R98)</f>
        <v>2107541448.282649</v>
      </c>
    </row>
    <row r="10" spans="2:20" ht="16.350000000000001" customHeight="1" x14ac:dyDescent="0.2">
      <c r="B10" s="1767">
        <v>4</v>
      </c>
      <c r="C10" s="1771" t="s">
        <v>521</v>
      </c>
      <c r="D10" s="1769" t="str">
        <f>+'EV PROG TÉCNICOS'!$B$79</f>
        <v>IMPERMEABILIZACIÓN DE TANQUES</v>
      </c>
      <c r="E10" s="537" t="s">
        <v>364</v>
      </c>
      <c r="F10" s="538"/>
      <c r="G10" s="539"/>
      <c r="H10" s="576">
        <f>+'EV PROG TÉCNICOS'!K850</f>
        <v>0</v>
      </c>
      <c r="I10" s="576">
        <f>+'EV PROG TÉCNICOS'!L850</f>
        <v>0</v>
      </c>
      <c r="J10" s="576">
        <f>+'EV PROG TÉCNICOS'!M850</f>
        <v>0</v>
      </c>
      <c r="K10" s="576">
        <f>+'EV PROG TÉCNICOS'!N850</f>
        <v>0</v>
      </c>
      <c r="L10" s="576">
        <f>+'EV PROG TÉCNICOS'!O850</f>
        <v>0</v>
      </c>
      <c r="M10" s="576">
        <f>+'EV PROG TÉCNICOS'!P850</f>
        <v>0</v>
      </c>
      <c r="N10" s="576">
        <f>+'EV PROG TÉCNICOS'!Q850</f>
        <v>0</v>
      </c>
      <c r="O10" s="576">
        <f>+'EV PROG TÉCNICOS'!R850</f>
        <v>0</v>
      </c>
      <c r="P10" s="576">
        <f>+'EV PROG TÉCNICOS'!S850</f>
        <v>0</v>
      </c>
      <c r="Q10" s="576">
        <f>+'EV PROG TÉCNICOS'!T850</f>
        <v>0</v>
      </c>
      <c r="R10" s="576">
        <f>+'EV PROG TÉCNICOS'!U850</f>
        <v>0</v>
      </c>
      <c r="S10" s="1784" t="str">
        <f>+Alternativas!L49</f>
        <v>SI</v>
      </c>
      <c r="T10" s="552"/>
    </row>
    <row r="11" spans="2:20" ht="13.5" thickBot="1" x14ac:dyDescent="0.25">
      <c r="B11" s="1768"/>
      <c r="C11" s="1772"/>
      <c r="D11" s="1770"/>
      <c r="E11" s="540" t="s">
        <v>363</v>
      </c>
      <c r="F11" s="541" t="s">
        <v>373</v>
      </c>
      <c r="G11" s="542">
        <v>45</v>
      </c>
      <c r="H11" s="577">
        <f>+'EV PROG TÉCNICOS'!K851</f>
        <v>0</v>
      </c>
      <c r="I11" s="577">
        <f>+'EV PROG TÉCNICOS'!L851</f>
        <v>7221555.1303999992</v>
      </c>
      <c r="J11" s="577">
        <f>+'EV PROG TÉCNICOS'!M851</f>
        <v>47729868.432724625</v>
      </c>
      <c r="K11" s="577">
        <f>+'EV PROG TÉCNICOS'!N851</f>
        <v>42257581.343545668</v>
      </c>
      <c r="L11" s="577">
        <f>+'EV PROG TÉCNICOS'!O851</f>
        <v>51534720.760039322</v>
      </c>
      <c r="M11" s="577">
        <f>+'EV PROG TÉCNICOS'!P851</f>
        <v>13611951.464568583</v>
      </c>
      <c r="N11" s="577">
        <f>+'EV PROG TÉCNICOS'!Q851</f>
        <v>19470324.947528441</v>
      </c>
      <c r="O11" s="577">
        <f>+'EV PROG TÉCNICOS'!R851</f>
        <v>12248284.422990512</v>
      </c>
      <c r="P11" s="577">
        <f>+'EV PROG TÉCNICOS'!S851</f>
        <v>12684272.640551461</v>
      </c>
      <c r="Q11" s="577">
        <f>+'EV PROG TÉCNICOS'!T851</f>
        <v>13135780.23366636</v>
      </c>
      <c r="R11" s="577">
        <f>+'EV PROG TÉCNICOS'!U851</f>
        <v>13603359.627854714</v>
      </c>
      <c r="S11" s="1785"/>
      <c r="T11" s="552">
        <f>SUM(H11:R11)-SUM(H99:R99)</f>
        <v>200019204.05940259</v>
      </c>
    </row>
    <row r="12" spans="2:20" x14ac:dyDescent="0.2">
      <c r="B12" s="1767">
        <v>5</v>
      </c>
      <c r="C12" s="1771" t="s">
        <v>521</v>
      </c>
      <c r="D12" s="1769" t="str">
        <f>+'EV PROG TÉCNICOS'!$B$81</f>
        <v>ATENCIÓN DE DAÑOS</v>
      </c>
      <c r="E12" s="537" t="s">
        <v>364</v>
      </c>
      <c r="F12" s="538"/>
      <c r="G12" s="539"/>
      <c r="H12" s="576">
        <f>+'EV PROG TÉCNICOS'!K852</f>
        <v>0</v>
      </c>
      <c r="I12" s="576">
        <f>+'EV PROG TÉCNICOS'!L852</f>
        <v>0</v>
      </c>
      <c r="J12" s="576">
        <f>+'EV PROG TÉCNICOS'!M852</f>
        <v>0</v>
      </c>
      <c r="K12" s="576">
        <f>+'EV PROG TÉCNICOS'!N852</f>
        <v>0</v>
      </c>
      <c r="L12" s="576">
        <f>+'EV PROG TÉCNICOS'!O852</f>
        <v>0</v>
      </c>
      <c r="M12" s="576">
        <f>+'EV PROG TÉCNICOS'!P852</f>
        <v>0</v>
      </c>
      <c r="N12" s="576">
        <f>+'EV PROG TÉCNICOS'!Q852</f>
        <v>0</v>
      </c>
      <c r="O12" s="576">
        <f>+'EV PROG TÉCNICOS'!R852</f>
        <v>0</v>
      </c>
      <c r="P12" s="576">
        <f>+'EV PROG TÉCNICOS'!S852</f>
        <v>0</v>
      </c>
      <c r="Q12" s="576">
        <f>+'EV PROG TÉCNICOS'!T852</f>
        <v>0</v>
      </c>
      <c r="R12" s="576">
        <f>+'EV PROG TÉCNICOS'!U852</f>
        <v>0</v>
      </c>
      <c r="S12" s="1784" t="str">
        <f>+Alternativas!M49</f>
        <v>SI</v>
      </c>
      <c r="T12" s="552"/>
    </row>
    <row r="13" spans="2:20" ht="13.5" thickBot="1" x14ac:dyDescent="0.25">
      <c r="B13" s="1768"/>
      <c r="C13" s="1772"/>
      <c r="D13" s="1770"/>
      <c r="E13" s="540" t="s">
        <v>363</v>
      </c>
      <c r="F13" s="541" t="s">
        <v>370</v>
      </c>
      <c r="G13" s="542">
        <v>0</v>
      </c>
      <c r="H13" s="577">
        <f>+'EV PROG TÉCNICOS'!K853</f>
        <v>0</v>
      </c>
      <c r="I13" s="577">
        <f>+'EV PROG TÉCNICOS'!L853</f>
        <v>356828064.42943609</v>
      </c>
      <c r="J13" s="577">
        <f>+'EV PROG TÉCNICOS'!M853</f>
        <v>369529666.25493723</v>
      </c>
      <c r="K13" s="577">
        <f>+'EV PROG TÉCNICOS'!N853</f>
        <v>382683392.52079463</v>
      </c>
      <c r="L13" s="577">
        <f>+'EV PROG TÉCNICOS'!O853</f>
        <v>396305336.98528993</v>
      </c>
      <c r="M13" s="577">
        <f>+'EV PROG TÉCNICOS'!P853</f>
        <v>410412166.27787113</v>
      </c>
      <c r="N13" s="577">
        <f>+'EV PROG TÉCNICOS'!Q853</f>
        <v>0</v>
      </c>
      <c r="O13" s="577">
        <f>+'EV PROG TÉCNICOS'!R853</f>
        <v>0</v>
      </c>
      <c r="P13" s="577">
        <f>+'EV PROG TÉCNICOS'!S853</f>
        <v>0</v>
      </c>
      <c r="Q13" s="577">
        <f>+'EV PROG TÉCNICOS'!T853</f>
        <v>0</v>
      </c>
      <c r="R13" s="577">
        <f>+'EV PROG TÉCNICOS'!U853</f>
        <v>0</v>
      </c>
      <c r="S13" s="1785"/>
      <c r="T13" s="552">
        <f>SUM(H13:R13)-SUM(H100:R100)</f>
        <v>1915758626.468329</v>
      </c>
    </row>
    <row r="14" spans="2:20" x14ac:dyDescent="0.2">
      <c r="B14" s="1767">
        <v>6</v>
      </c>
      <c r="C14" s="1771" t="s">
        <v>521</v>
      </c>
      <c r="D14" s="1769" t="str">
        <f>+'EV PROG TÉCNICOS'!$B$83</f>
        <v>BÚSQUEDA SISTEMÁTICA DE FUGAS</v>
      </c>
      <c r="E14" s="537" t="s">
        <v>364</v>
      </c>
      <c r="F14" s="538"/>
      <c r="G14" s="539"/>
      <c r="H14" s="576">
        <f>+'EV PROG TÉCNICOS'!K854</f>
        <v>0</v>
      </c>
      <c r="I14" s="576">
        <f>+'EV PROG TÉCNICOS'!L854</f>
        <v>47976000</v>
      </c>
      <c r="J14" s="576">
        <f>+'EV PROG TÉCNICOS'!M854</f>
        <v>99821497.76321651</v>
      </c>
      <c r="K14" s="576">
        <f>+'EV PROG TÉCNICOS'!N854</f>
        <v>146142041.8315047</v>
      </c>
      <c r="L14" s="576">
        <f>+'EV PROG TÉCNICOS'!O854</f>
        <v>151071315.84862256</v>
      </c>
      <c r="M14" s="576">
        <f>+'EV PROG TÉCNICOS'!P854</f>
        <v>161230677.65414837</v>
      </c>
      <c r="N14" s="576">
        <f>+'EV PROG TÉCNICOS'!Q854</f>
        <v>181086219.66369042</v>
      </c>
      <c r="O14" s="576">
        <f>+'EV PROG TÉCNICOS'!R854</f>
        <v>212793334.90853721</v>
      </c>
      <c r="P14" s="576">
        <f>+'EV PROG TÉCNICOS'!S854</f>
        <v>220464198.45337996</v>
      </c>
      <c r="Q14" s="576">
        <f>+'EV PROG TÉCNICOS'!T854</f>
        <v>212022145.89045668</v>
      </c>
      <c r="R14" s="576">
        <f>+'EV PROG TÉCNICOS'!U854</f>
        <v>214509527.82143626</v>
      </c>
      <c r="S14" s="1784" t="str">
        <f>+Alternativas!N49</f>
        <v>SI</v>
      </c>
      <c r="T14" s="552"/>
    </row>
    <row r="15" spans="2:20" ht="13.5" thickBot="1" x14ac:dyDescent="0.25">
      <c r="B15" s="1768"/>
      <c r="C15" s="1772"/>
      <c r="D15" s="1770"/>
      <c r="E15" s="540" t="s">
        <v>363</v>
      </c>
      <c r="F15" s="541" t="s">
        <v>372</v>
      </c>
      <c r="G15" s="542">
        <v>45</v>
      </c>
      <c r="H15" s="577">
        <f>+'EV PROG TÉCNICOS'!K855</f>
        <v>0</v>
      </c>
      <c r="I15" s="577">
        <f>+'EV PROG TÉCNICOS'!L855</f>
        <v>0</v>
      </c>
      <c r="J15" s="577">
        <f>+'EV PROG TÉCNICOS'!M855</f>
        <v>1237853977.7238424</v>
      </c>
      <c r="K15" s="577">
        <f>+'EV PROG TÉCNICOS'!N855</f>
        <v>539255330.58805513</v>
      </c>
      <c r="L15" s="577">
        <f>+'EV PROG TÉCNICOS'!O855</f>
        <v>926055858.95794034</v>
      </c>
      <c r="M15" s="577">
        <f>+'EV PROG TÉCNICOS'!P855</f>
        <v>806641749.40742636</v>
      </c>
      <c r="N15" s="577">
        <f>+'EV PROG TÉCNICOS'!Q855</f>
        <v>2505536792.3379083</v>
      </c>
      <c r="O15" s="577">
        <f>+'EV PROG TÉCNICOS'!R855</f>
        <v>1587009058.6869047</v>
      </c>
      <c r="P15" s="577">
        <f>+'EV PROG TÉCNICOS'!S855</f>
        <v>2922014130.5958467</v>
      </c>
      <c r="Q15" s="577">
        <f>+'EV PROG TÉCNICOS'!T855</f>
        <v>1831826923.0958915</v>
      </c>
      <c r="R15" s="577">
        <f>+'EV PROG TÉCNICOS'!U855</f>
        <v>1768161646.5395043</v>
      </c>
      <c r="S15" s="1785"/>
      <c r="T15" s="552">
        <f>SUM(H15:R15)-SUM(H101:R101)</f>
        <v>12794343289.392761</v>
      </c>
    </row>
    <row r="16" spans="2:20" x14ac:dyDescent="0.2">
      <c r="B16" s="1767">
        <v>7</v>
      </c>
      <c r="C16" s="1771" t="s">
        <v>521</v>
      </c>
      <c r="D16" s="1769" t="str">
        <f>+'EV PROG TÉCNICOS'!$B$95</f>
        <v xml:space="preserve">REPOSICIÓN DE REDES </v>
      </c>
      <c r="E16" s="537" t="s">
        <v>364</v>
      </c>
      <c r="F16" s="538"/>
      <c r="G16" s="539"/>
      <c r="H16" s="576">
        <f>+'EV PROG TÉCNICOS'!K856</f>
        <v>0</v>
      </c>
      <c r="I16" s="576">
        <f>+'EV PROG TÉCNICOS'!L856</f>
        <v>0</v>
      </c>
      <c r="J16" s="576">
        <f>+'EV PROG TÉCNICOS'!M856</f>
        <v>0</v>
      </c>
      <c r="K16" s="576">
        <f>+'EV PROG TÉCNICOS'!N856</f>
        <v>0</v>
      </c>
      <c r="L16" s="576">
        <f>+'EV PROG TÉCNICOS'!O856</f>
        <v>0</v>
      </c>
      <c r="M16" s="576">
        <f>+'EV PROG TÉCNICOS'!P856</f>
        <v>0</v>
      </c>
      <c r="N16" s="576">
        <f>+'EV PROG TÉCNICOS'!Q856</f>
        <v>0</v>
      </c>
      <c r="O16" s="576">
        <f>+'EV PROG TÉCNICOS'!R856</f>
        <v>0</v>
      </c>
      <c r="P16" s="576">
        <f>+'EV PROG TÉCNICOS'!S856</f>
        <v>0</v>
      </c>
      <c r="Q16" s="576">
        <f>+'EV PROG TÉCNICOS'!T856</f>
        <v>0</v>
      </c>
      <c r="R16" s="576">
        <f>+'EV PROG TÉCNICOS'!U856</f>
        <v>0</v>
      </c>
      <c r="S16" s="1784" t="str">
        <f>+Alternativas!O49</f>
        <v>SI</v>
      </c>
      <c r="T16" s="552"/>
    </row>
    <row r="17" spans="2:20" ht="13.5" thickBot="1" x14ac:dyDescent="0.25">
      <c r="B17" s="1768"/>
      <c r="C17" s="1772"/>
      <c r="D17" s="1770"/>
      <c r="E17" s="540" t="s">
        <v>363</v>
      </c>
      <c r="F17" s="541" t="s">
        <v>371</v>
      </c>
      <c r="G17" s="542">
        <v>45</v>
      </c>
      <c r="H17" s="577">
        <f>+'EV PROG TÉCNICOS'!K857</f>
        <v>0</v>
      </c>
      <c r="I17" s="577">
        <f>+'EV PROG TÉCNICOS'!L857</f>
        <v>0</v>
      </c>
      <c r="J17" s="577">
        <f>+'EV PROG TÉCNICOS'!M857</f>
        <v>6902661158.3259583</v>
      </c>
      <c r="K17" s="577">
        <f>+'EV PROG TÉCNICOS'!N857</f>
        <v>5677966895.4789515</v>
      </c>
      <c r="L17" s="577">
        <f>+'EV PROG TÉCNICOS'!O857</f>
        <v>8223805996.8317671</v>
      </c>
      <c r="M17" s="577">
        <f>+'EV PROG TÉCNICOS'!P857</f>
        <v>7260255559.4203978</v>
      </c>
      <c r="N17" s="577">
        <f>+'EV PROG TÉCNICOS'!Q857</f>
        <v>9255365551.9323997</v>
      </c>
      <c r="O17" s="577">
        <f>+'EV PROG TÉCNICOS'!R857</f>
        <v>0</v>
      </c>
      <c r="P17" s="577">
        <f>+'EV PROG TÉCNICOS'!S857</f>
        <v>0</v>
      </c>
      <c r="Q17" s="577">
        <f>+'EV PROG TÉCNICOS'!T857</f>
        <v>0</v>
      </c>
      <c r="R17" s="577">
        <f>+'EV PROG TÉCNICOS'!U857</f>
        <v>0</v>
      </c>
      <c r="S17" s="1785"/>
      <c r="T17" s="552">
        <f>SUM(H17:R17)-SUM(H102:R102)</f>
        <v>31654439857.927872</v>
      </c>
    </row>
    <row r="18" spans="2:20" x14ac:dyDescent="0.2">
      <c r="B18" s="1767">
        <v>8</v>
      </c>
      <c r="C18" s="1771" t="s">
        <v>521</v>
      </c>
      <c r="D18" s="1769" t="str">
        <f>+'EV PROG TÉCNICOS'!$B$98</f>
        <v>VINCULACIÓN INDIVUAL (TÉCNICO - COMERCIAL)</v>
      </c>
      <c r="E18" s="537" t="s">
        <v>364</v>
      </c>
      <c r="F18" s="538"/>
      <c r="G18" s="539"/>
      <c r="H18" s="576">
        <f>+'EV PROG TÉCNICOS'!K858</f>
        <v>0</v>
      </c>
      <c r="I18" s="576">
        <f>+'EV PROG TÉCNICOS'!L858</f>
        <v>0</v>
      </c>
      <c r="J18" s="576">
        <f>+'EV PROG TÉCNICOS'!M858</f>
        <v>0</v>
      </c>
      <c r="K18" s="576">
        <f>+'EV PROG TÉCNICOS'!N858</f>
        <v>0</v>
      </c>
      <c r="L18" s="576">
        <f>+'EV PROG TÉCNICOS'!O858</f>
        <v>0</v>
      </c>
      <c r="M18" s="576">
        <f>+'EV PROG TÉCNICOS'!P858</f>
        <v>0</v>
      </c>
      <c r="N18" s="576">
        <f>+'EV PROG TÉCNICOS'!Q858</f>
        <v>0</v>
      </c>
      <c r="O18" s="576">
        <f>+'EV PROG TÉCNICOS'!R858</f>
        <v>0</v>
      </c>
      <c r="P18" s="576">
        <f>+'EV PROG TÉCNICOS'!S858</f>
        <v>0</v>
      </c>
      <c r="Q18" s="576">
        <f>+'EV PROG TÉCNICOS'!T858</f>
        <v>0</v>
      </c>
      <c r="R18" s="576">
        <f>+'EV PROG TÉCNICOS'!U858</f>
        <v>0</v>
      </c>
      <c r="S18" s="1784">
        <f>IF(AP.19="SI","SI",0)</f>
        <v>0</v>
      </c>
      <c r="T18" s="552"/>
    </row>
    <row r="19" spans="2:20" ht="13.5" thickBot="1" x14ac:dyDescent="0.25">
      <c r="B19" s="1768"/>
      <c r="C19" s="1772"/>
      <c r="D19" s="1780"/>
      <c r="E19" s="543" t="s">
        <v>363</v>
      </c>
      <c r="F19" s="541" t="s">
        <v>371</v>
      </c>
      <c r="G19" s="542">
        <v>45</v>
      </c>
      <c r="H19" s="577">
        <f>+'EV PROG TÉCNICOS'!K859</f>
        <v>0</v>
      </c>
      <c r="I19" s="577">
        <f>+'EV PROG TÉCNICOS'!L859</f>
        <v>0</v>
      </c>
      <c r="J19" s="577">
        <f>+'EV PROG TÉCNICOS'!M859</f>
        <v>0</v>
      </c>
      <c r="K19" s="577">
        <f>+'EV PROG TÉCNICOS'!N859</f>
        <v>0</v>
      </c>
      <c r="L19" s="577">
        <f>+'EV PROG TÉCNICOS'!O859</f>
        <v>0</v>
      </c>
      <c r="M19" s="577">
        <f>+'EV PROG TÉCNICOS'!P859</f>
        <v>0</v>
      </c>
      <c r="N19" s="577">
        <f>+'EV PROG TÉCNICOS'!Q859</f>
        <v>0</v>
      </c>
      <c r="O19" s="577">
        <f>+'EV PROG TÉCNICOS'!R859</f>
        <v>0</v>
      </c>
      <c r="P19" s="577">
        <f>+'EV PROG TÉCNICOS'!S859</f>
        <v>0</v>
      </c>
      <c r="Q19" s="577">
        <f>+'EV PROG TÉCNICOS'!T859</f>
        <v>0</v>
      </c>
      <c r="R19" s="577">
        <f>+'EV PROG TÉCNICOS'!U859</f>
        <v>0</v>
      </c>
      <c r="S19" s="1785"/>
      <c r="T19" s="552">
        <f>SUM(H19:R19)-SUM(H103:R103)</f>
        <v>0</v>
      </c>
    </row>
    <row r="20" spans="2:20" ht="37.700000000000003" customHeight="1" thickBot="1" x14ac:dyDescent="0.25">
      <c r="B20" s="544">
        <v>9</v>
      </c>
      <c r="C20" s="545" t="s">
        <v>522</v>
      </c>
      <c r="D20" s="897" t="str">
        <f>'EV PROG CCIALES'!B190</f>
        <v>9. RENOVACIÓN/REPOSICIÓN DE MEDIDORES (CAMBIO MASIVO)</v>
      </c>
      <c r="E20" s="546" t="s">
        <v>364</v>
      </c>
      <c r="F20" s="547"/>
      <c r="G20" s="539"/>
      <c r="H20" s="578">
        <f>+'EV PROG CCIALES'!J268</f>
        <v>0</v>
      </c>
      <c r="I20" s="578">
        <f>+'EV PROG CCIALES'!K268</f>
        <v>1207273485.681818</v>
      </c>
      <c r="J20" s="578">
        <f>+'EV PROG CCIALES'!L268</f>
        <v>1275846378.2138484</v>
      </c>
      <c r="K20" s="578">
        <f>+'EV PROG CCIALES'!M268</f>
        <v>1348314197.3271194</v>
      </c>
      <c r="L20" s="578">
        <f>+'EV PROG CCIALES'!N268</f>
        <v>1424898174.0724604</v>
      </c>
      <c r="M20" s="578">
        <f>+'EV PROG CCIALES'!O268</f>
        <v>1505832105.3801415</v>
      </c>
      <c r="N20" s="578">
        <f>+'EV PROG CCIALES'!P268</f>
        <v>1591363067.7993126</v>
      </c>
      <c r="O20" s="578">
        <f>+'EV PROG CCIALES'!Q268</f>
        <v>1681752171.7777002</v>
      </c>
      <c r="P20" s="578">
        <f>+'EV PROG CCIALES'!R268</f>
        <v>1777275358.7842393</v>
      </c>
      <c r="Q20" s="578">
        <f>+'EV PROG CCIALES'!S268</f>
        <v>1878224243.7081122</v>
      </c>
      <c r="R20" s="578">
        <f>+'EV PROG CCIALES'!T268</f>
        <v>1984907005.1058843</v>
      </c>
      <c r="S20" s="579" t="str">
        <f>+Alternativas!Q49</f>
        <v>SI</v>
      </c>
    </row>
    <row r="21" spans="2:20" ht="39" thickBot="1" x14ac:dyDescent="0.25">
      <c r="B21" s="544">
        <v>10</v>
      </c>
      <c r="C21" s="545" t="s">
        <v>522</v>
      </c>
      <c r="D21" s="897" t="str">
        <f>'EV PROG CCIALES'!B275</f>
        <v>10. GESTIÓN DE FRAUDES Y CONEXIONES CLANDESTINAS</v>
      </c>
      <c r="E21" s="546" t="s">
        <v>364</v>
      </c>
      <c r="F21" s="547"/>
      <c r="G21" s="539"/>
      <c r="H21" s="578">
        <f>+'EV PROG CCIALES'!J287</f>
        <v>0</v>
      </c>
      <c r="I21" s="578">
        <f>+'EV PROG CCIALES'!K287</f>
        <v>1125910908.375375</v>
      </c>
      <c r="J21" s="578">
        <f>+'EV PROG CCIALES'!L287</f>
        <v>1214525258.5721273</v>
      </c>
      <c r="K21" s="578">
        <f>+'EV PROG CCIALES'!M287</f>
        <v>1283510050.3539724</v>
      </c>
      <c r="L21" s="578">
        <f>+'EV PROG CCIALES'!N287</f>
        <v>1356413164.5120683</v>
      </c>
      <c r="M21" s="578">
        <f>+'EV PROG CCIALES'!O287</f>
        <v>1433457160.9737208</v>
      </c>
      <c r="N21" s="578">
        <f>+'EV PROG CCIALES'!P287</f>
        <v>0</v>
      </c>
      <c r="O21" s="578">
        <f>+'EV PROG CCIALES'!Q287</f>
        <v>0</v>
      </c>
      <c r="P21" s="578">
        <f>+'EV PROG CCIALES'!R287</f>
        <v>0</v>
      </c>
      <c r="Q21" s="578">
        <f>+'EV PROG CCIALES'!S287</f>
        <v>0</v>
      </c>
      <c r="R21" s="578">
        <f>+'EV PROG CCIALES'!T287</f>
        <v>0</v>
      </c>
      <c r="S21" s="579" t="str">
        <f>+Alternativas!R49</f>
        <v>SI</v>
      </c>
    </row>
    <row r="22" spans="2:20" ht="64.5" thickBot="1" x14ac:dyDescent="0.25">
      <c r="B22" s="544">
        <v>11</v>
      </c>
      <c r="C22" s="545" t="s">
        <v>522</v>
      </c>
      <c r="D22" s="897" t="str">
        <f>'EV PROG CCIALES'!B293</f>
        <v>11. COBRO DE CONSUMOS POR EJECUCIÓN DE OBRAS DE INFRAESTRUCTURA (COBRO DE TERCEROS)</v>
      </c>
      <c r="E22" s="546" t="s">
        <v>364</v>
      </c>
      <c r="F22" s="547"/>
      <c r="G22" s="539"/>
      <c r="H22" s="578">
        <f>+'EV PROG CCIALES'!J304</f>
        <v>0</v>
      </c>
      <c r="I22" s="578">
        <f>+'EV PROG CCIALES'!K304</f>
        <v>0</v>
      </c>
      <c r="J22" s="578">
        <f>+'EV PROG CCIALES'!L304</f>
        <v>0</v>
      </c>
      <c r="K22" s="578">
        <f>+'EV PROG CCIALES'!M304</f>
        <v>0</v>
      </c>
      <c r="L22" s="578">
        <f>+'EV PROG CCIALES'!N304</f>
        <v>0</v>
      </c>
      <c r="M22" s="578">
        <f>+'EV PROG CCIALES'!O304</f>
        <v>0</v>
      </c>
      <c r="N22" s="578">
        <f>+'EV PROG CCIALES'!P304</f>
        <v>0</v>
      </c>
      <c r="O22" s="578">
        <f>+'EV PROG CCIALES'!Q304</f>
        <v>0</v>
      </c>
      <c r="P22" s="578">
        <f>+'EV PROG CCIALES'!R304</f>
        <v>0</v>
      </c>
      <c r="Q22" s="578">
        <f>+'EV PROG CCIALES'!S304</f>
        <v>0</v>
      </c>
      <c r="R22" s="578">
        <f>+'EV PROG CCIALES'!T304</f>
        <v>0</v>
      </c>
      <c r="S22" s="579">
        <f>+Alternativas!S49</f>
        <v>0</v>
      </c>
    </row>
    <row r="23" spans="2:20" ht="39" thickBot="1" x14ac:dyDescent="0.25">
      <c r="B23" s="544">
        <v>12</v>
      </c>
      <c r="C23" s="545" t="s">
        <v>522</v>
      </c>
      <c r="D23" s="897" t="str">
        <f>'EV PROG CCIALES'!B310</f>
        <v>12. SEGUIMIENTO USUARIOS CON CONSUMO 0 E INACTIVOS</v>
      </c>
      <c r="E23" s="546" t="s">
        <v>364</v>
      </c>
      <c r="F23" s="547"/>
      <c r="G23" s="539"/>
      <c r="H23" s="578">
        <f>+'EV PROG CCIALES'!J322</f>
        <v>0</v>
      </c>
      <c r="I23" s="578">
        <f>+'EV PROG CCIALES'!K322</f>
        <v>188452409.73255</v>
      </c>
      <c r="J23" s="578">
        <f>+'EV PROG CCIALES'!L322</f>
        <v>199156468.91487688</v>
      </c>
      <c r="K23" s="578">
        <f>+'EV PROG CCIALES'!M322</f>
        <v>210468516.51794812</v>
      </c>
      <c r="L23" s="578">
        <f>+'EV PROG CCIALES'!N322</f>
        <v>222423086.16246432</v>
      </c>
      <c r="M23" s="578">
        <f>+'EV PROG CCIALES'!O322</f>
        <v>235056672.97187507</v>
      </c>
      <c r="N23" s="578">
        <f>+'EV PROG CCIALES'!P322</f>
        <v>0</v>
      </c>
      <c r="O23" s="578">
        <f>+'EV PROG CCIALES'!Q322</f>
        <v>0</v>
      </c>
      <c r="P23" s="578">
        <f>+'EV PROG CCIALES'!R322</f>
        <v>0</v>
      </c>
      <c r="Q23" s="578">
        <f>+'EV PROG CCIALES'!S322</f>
        <v>0</v>
      </c>
      <c r="R23" s="578">
        <f>+'EV PROG CCIALES'!T322</f>
        <v>0</v>
      </c>
      <c r="S23" s="579" t="str">
        <f>+Alternativas!T49</f>
        <v>SI</v>
      </c>
    </row>
    <row r="24" spans="2:20" ht="26.25" thickBot="1" x14ac:dyDescent="0.25">
      <c r="B24" s="544">
        <v>13</v>
      </c>
      <c r="C24" s="545" t="s">
        <v>522</v>
      </c>
      <c r="D24" s="897" t="str">
        <f>'EV PROG CCIALES'!B328</f>
        <v>13. SEGUIMIENTO ANOMALIAS</v>
      </c>
      <c r="E24" s="546" t="s">
        <v>364</v>
      </c>
      <c r="F24" s="547"/>
      <c r="G24" s="539"/>
      <c r="H24" s="578">
        <f>+'EV PROG CCIALES'!J340</f>
        <v>0</v>
      </c>
      <c r="I24" s="578">
        <f>+'EV PROG CCIALES'!K340</f>
        <v>411977270.77012497</v>
      </c>
      <c r="J24" s="578">
        <f>+'EV PROG CCIALES'!L340</f>
        <v>435377497.35441393</v>
      </c>
      <c r="K24" s="578">
        <f>+'EV PROG CCIALES'!M340</f>
        <v>460106852.12864524</v>
      </c>
      <c r="L24" s="578">
        <f>+'EV PROG CCIALES'!N340</f>
        <v>486240829.30818188</v>
      </c>
      <c r="M24" s="578">
        <f>+'EV PROG CCIALES'!O340</f>
        <v>513859211.16472083</v>
      </c>
      <c r="N24" s="578">
        <f>+'EV PROG CCIALES'!P340</f>
        <v>543046311.58703482</v>
      </c>
      <c r="O24" s="578">
        <f>+'EV PROG CCIALES'!Q340</f>
        <v>573891233.47591603</v>
      </c>
      <c r="P24" s="578">
        <f>+'EV PROG CCIALES'!R340</f>
        <v>606488140.75910139</v>
      </c>
      <c r="Q24" s="578">
        <f>+'EV PROG CCIALES'!S340</f>
        <v>640936545.85659027</v>
      </c>
      <c r="R24" s="578">
        <f>+'EV PROG CCIALES'!T340</f>
        <v>677341613.47393537</v>
      </c>
      <c r="S24" s="579" t="str">
        <f>+Alternativas!U49</f>
        <v>SI</v>
      </c>
    </row>
    <row r="25" spans="2:20" ht="39" thickBot="1" x14ac:dyDescent="0.25">
      <c r="B25" s="544">
        <v>14</v>
      </c>
      <c r="C25" s="545" t="s">
        <v>522</v>
      </c>
      <c r="D25" s="897" t="str">
        <f>'EV PROG CCIALES'!B346</f>
        <v xml:space="preserve">14. SEGUIMIENTO Y CONTROL MEDIDORES GRANDES CONSUMIDORES </v>
      </c>
      <c r="E25" s="546" t="s">
        <v>364</v>
      </c>
      <c r="F25" s="547"/>
      <c r="G25" s="539"/>
      <c r="H25" s="578">
        <f>+'EV PROG CCIALES'!J358</f>
        <v>0</v>
      </c>
      <c r="I25" s="578">
        <f>+'EV PROG CCIALES'!K358</f>
        <v>8711114.2346451208</v>
      </c>
      <c r="J25" s="578">
        <f>+'EV PROG CCIALES'!L358</f>
        <v>9308858.2098202575</v>
      </c>
      <c r="K25" s="578">
        <f>+'EV PROG CCIALES'!M358</f>
        <v>9947827.0232853815</v>
      </c>
      <c r="L25" s="578">
        <f>+'EV PROG CCIALES'!N358</f>
        <v>10630876.037598412</v>
      </c>
      <c r="M25" s="578">
        <f>+'EV PROG CCIALES'!O358</f>
        <v>11361059.096162844</v>
      </c>
      <c r="N25" s="578">
        <f>+'EV PROG CCIALES'!P358</f>
        <v>0</v>
      </c>
      <c r="O25" s="578">
        <f>+'EV PROG CCIALES'!Q358</f>
        <v>0</v>
      </c>
      <c r="P25" s="578">
        <f>+'EV PROG CCIALES'!R358</f>
        <v>0</v>
      </c>
      <c r="Q25" s="578">
        <f>+'EV PROG CCIALES'!S358</f>
        <v>0</v>
      </c>
      <c r="R25" s="578">
        <f>+'EV PROG CCIALES'!T358</f>
        <v>0</v>
      </c>
      <c r="S25" s="579" t="str">
        <f>+Alternativas!V49</f>
        <v>SI</v>
      </c>
    </row>
    <row r="26" spans="2:20" ht="39" thickBot="1" x14ac:dyDescent="0.25">
      <c r="B26" s="544">
        <v>15</v>
      </c>
      <c r="C26" s="545" t="s">
        <v>522</v>
      </c>
      <c r="D26" s="897" t="str">
        <f>'EV PROG CCIALES'!B364</f>
        <v>15. ACTUALIZACIÓN CATASTRO DE USUARIOS Y GEOREFERENCIACIÓN</v>
      </c>
      <c r="E26" s="546" t="s">
        <v>364</v>
      </c>
      <c r="F26" s="547"/>
      <c r="G26" s="539"/>
      <c r="H26" s="578">
        <f>+'EV PROG CCIALES'!J376</f>
        <v>0</v>
      </c>
      <c r="I26" s="578">
        <f>+'EV PROG CCIALES'!K376</f>
        <v>33091272.261675</v>
      </c>
      <c r="J26" s="578">
        <f>+'EV PROG CCIALES'!L376</f>
        <v>34970849.907883689</v>
      </c>
      <c r="K26" s="578">
        <f>+'EV PROG CCIALES'!M376</f>
        <v>36957187.188481502</v>
      </c>
      <c r="L26" s="578">
        <f>+'EV PROG CCIALES'!N376</f>
        <v>39056348.029349819</v>
      </c>
      <c r="M26" s="578">
        <f>+'EV PROG CCIALES'!O376</f>
        <v>41274740.786147282</v>
      </c>
      <c r="N26" s="578">
        <f>+'EV PROG CCIALES'!P376</f>
        <v>0</v>
      </c>
      <c r="O26" s="578">
        <f>+'EV PROG CCIALES'!Q376</f>
        <v>0</v>
      </c>
      <c r="P26" s="578">
        <f>+'EV PROG CCIALES'!R376</f>
        <v>0</v>
      </c>
      <c r="Q26" s="578">
        <f>+'EV PROG CCIALES'!S376</f>
        <v>0</v>
      </c>
      <c r="R26" s="578">
        <f>+'EV PROG CCIALES'!T376</f>
        <v>0</v>
      </c>
      <c r="S26" s="579" t="str">
        <f>+Alternativas!W49</f>
        <v>SI</v>
      </c>
    </row>
    <row r="27" spans="2:20" ht="26.25" thickBot="1" x14ac:dyDescent="0.25">
      <c r="B27" s="544">
        <v>16</v>
      </c>
      <c r="C27" s="545" t="s">
        <v>522</v>
      </c>
      <c r="D27" s="897" t="str">
        <f>'EV PROG CCIALES'!B382</f>
        <v>16.VINCULACIÓN DE COMUNIDADES ILEGALES</v>
      </c>
      <c r="E27" s="546" t="s">
        <v>364</v>
      </c>
      <c r="F27" s="547"/>
      <c r="G27" s="539"/>
      <c r="H27" s="578">
        <f>+'EV PROG CCIALES'!J395</f>
        <v>0</v>
      </c>
      <c r="I27" s="578">
        <f>+'EV PROG CCIALES'!K395</f>
        <v>602336324.63981247</v>
      </c>
      <c r="J27" s="578">
        <f>+'EV PROG CCIALES'!L395</f>
        <v>636548907.41208887</v>
      </c>
      <c r="K27" s="578">
        <f>+'EV PROG CCIALES'!M395</f>
        <v>672704758.0433141</v>
      </c>
      <c r="L27" s="578">
        <f>+'EV PROG CCIALES'!N395</f>
        <v>947885671.67896378</v>
      </c>
      <c r="M27" s="578">
        <f>+'EV PROG CCIALES'!O395</f>
        <v>1001725388.2531946</v>
      </c>
      <c r="N27" s="578">
        <f>+'EV PROG CCIALES'!P395</f>
        <v>0</v>
      </c>
      <c r="O27" s="578">
        <f>+'EV PROG CCIALES'!Q395</f>
        <v>0</v>
      </c>
      <c r="P27" s="578">
        <f>+'EV PROG CCIALES'!R395</f>
        <v>0</v>
      </c>
      <c r="Q27" s="578">
        <f>+'EV PROG CCIALES'!S395</f>
        <v>0</v>
      </c>
      <c r="R27" s="578">
        <f>+'EV PROG CCIALES'!T395</f>
        <v>0</v>
      </c>
      <c r="S27" s="579" t="str">
        <f>+Alternativas!X49</f>
        <v>SI</v>
      </c>
    </row>
    <row r="28" spans="2:20" ht="26.25" thickBot="1" x14ac:dyDescent="0.25">
      <c r="B28" s="544">
        <v>17</v>
      </c>
      <c r="C28" s="545" t="s">
        <v>522</v>
      </c>
      <c r="D28" s="897" t="str">
        <f>'EV PROG CCIALES'!B401</f>
        <v>17. TELEMETRÍA GRANDES CONSUMIDORES</v>
      </c>
      <c r="E28" s="546" t="s">
        <v>364</v>
      </c>
      <c r="F28" s="547"/>
      <c r="G28" s="539"/>
      <c r="H28" s="578">
        <f>+'EV PROG CCIALES'!J411</f>
        <v>0</v>
      </c>
      <c r="I28" s="578">
        <f>+'EV PROG CCIALES'!K411</f>
        <v>92775628.300312504</v>
      </c>
      <c r="J28" s="578">
        <f>+'EV PROG CCIALES'!L411</f>
        <v>197780966.47619686</v>
      </c>
      <c r="K28" s="578">
        <f>+'EV PROG CCIALES'!M411</f>
        <v>314415554.73153734</v>
      </c>
      <c r="L28" s="578">
        <f>+'EV PROG CCIALES'!N411</f>
        <v>445549623.31985199</v>
      </c>
      <c r="M28" s="578">
        <f>+'EV PROG CCIALES'!O411</f>
        <v>592561252.48264837</v>
      </c>
      <c r="N28" s="578">
        <f>+'EV PROG CCIALES'!P411</f>
        <v>0</v>
      </c>
      <c r="O28" s="578">
        <f>+'EV PROG CCIALES'!Q411</f>
        <v>0</v>
      </c>
      <c r="P28" s="578">
        <f>+'EV PROG CCIALES'!R411</f>
        <v>0</v>
      </c>
      <c r="Q28" s="578">
        <f>+'EV PROG CCIALES'!S411</f>
        <v>0</v>
      </c>
      <c r="R28" s="578">
        <f>+'EV PROG CCIALES'!T411</f>
        <v>0</v>
      </c>
      <c r="S28" s="579" t="str">
        <f>+Alternativas!Y49</f>
        <v>SI</v>
      </c>
    </row>
    <row r="29" spans="2:20" ht="39" thickBot="1" x14ac:dyDescent="0.25">
      <c r="B29" s="544">
        <v>18</v>
      </c>
      <c r="C29" s="545" t="s">
        <v>522</v>
      </c>
      <c r="D29" s="897" t="str">
        <f>'EV PROG CCIALES'!B417</f>
        <v>18. SOFTWARE DE INTELIGENCIA PARA ALERTAS</v>
      </c>
      <c r="E29" s="546" t="s">
        <v>364</v>
      </c>
      <c r="F29" s="547"/>
      <c r="G29" s="539"/>
      <c r="H29" s="578">
        <f>+'EV PROG CCIALES'!J424</f>
        <v>0</v>
      </c>
      <c r="I29" s="578">
        <f>+'EV PROG CCIALES'!K424</f>
        <v>0</v>
      </c>
      <c r="J29" s="578">
        <f>+'EV PROG CCIALES'!L424</f>
        <v>0</v>
      </c>
      <c r="K29" s="578">
        <f>+'EV PROG CCIALES'!M424</f>
        <v>0</v>
      </c>
      <c r="L29" s="578">
        <f>+'EV PROG CCIALES'!N424</f>
        <v>0</v>
      </c>
      <c r="M29" s="578">
        <f>+'EV PROG CCIALES'!O424</f>
        <v>0</v>
      </c>
      <c r="N29" s="578">
        <f>+'EV PROG CCIALES'!P424</f>
        <v>0</v>
      </c>
      <c r="O29" s="578">
        <f>+'EV PROG CCIALES'!Q424</f>
        <v>0</v>
      </c>
      <c r="P29" s="578">
        <f>+'EV PROG CCIALES'!R424</f>
        <v>0</v>
      </c>
      <c r="Q29" s="578">
        <f>+'EV PROG CCIALES'!S424</f>
        <v>0</v>
      </c>
      <c r="R29" s="578">
        <f>+'EV PROG CCIALES'!T424</f>
        <v>0</v>
      </c>
      <c r="S29" s="579">
        <f>+Alternativas!Z49</f>
        <v>0</v>
      </c>
    </row>
    <row r="30" spans="2:20" ht="26.25" thickBot="1" x14ac:dyDescent="0.25">
      <c r="B30" s="544">
        <v>19</v>
      </c>
      <c r="C30" s="545" t="s">
        <v>522</v>
      </c>
      <c r="D30" s="897" t="str">
        <f>'EV PROG CCIALES'!B430</f>
        <v>19 VINCULACIÓN INDIVUAL (TÉCNICO - COMERCIAL)</v>
      </c>
      <c r="E30" s="546" t="s">
        <v>364</v>
      </c>
      <c r="F30" s="547"/>
      <c r="G30" s="539"/>
      <c r="H30" s="578">
        <f>+'EV PROG CCIALES'!J439</f>
        <v>0</v>
      </c>
      <c r="I30" s="578">
        <f>+'EV PROG CCIALES'!K439</f>
        <v>0</v>
      </c>
      <c r="J30" s="578">
        <f>+'EV PROG CCIALES'!L439</f>
        <v>0</v>
      </c>
      <c r="K30" s="578">
        <f>+'EV PROG CCIALES'!M439</f>
        <v>0</v>
      </c>
      <c r="L30" s="578">
        <f>+'EV PROG CCIALES'!N439</f>
        <v>0</v>
      </c>
      <c r="M30" s="578">
        <f>+'EV PROG CCIALES'!O439</f>
        <v>0</v>
      </c>
      <c r="N30" s="578">
        <f>+'EV PROG CCIALES'!P439</f>
        <v>0</v>
      </c>
      <c r="O30" s="578">
        <f>+'EV PROG CCIALES'!Q439</f>
        <v>0</v>
      </c>
      <c r="P30" s="578">
        <f>+'EV PROG CCIALES'!R439</f>
        <v>0</v>
      </c>
      <c r="Q30" s="578">
        <f>+'EV PROG CCIALES'!S439</f>
        <v>0</v>
      </c>
      <c r="R30" s="578">
        <f>+'EV PROG CCIALES'!T439</f>
        <v>0</v>
      </c>
      <c r="S30" s="579">
        <f>+Alternativas!AA49</f>
        <v>0</v>
      </c>
    </row>
    <row r="31" spans="2:20" ht="13.5" thickBot="1" x14ac:dyDescent="0.25">
      <c r="B31" s="1764" t="s">
        <v>508</v>
      </c>
      <c r="C31" s="1765"/>
      <c r="D31" s="1765"/>
      <c r="E31" s="1765"/>
      <c r="F31" s="1765"/>
      <c r="G31" s="1766"/>
      <c r="H31" s="576">
        <f>SUM(H4,H6,H8,H10,H12,H14,H16,H18)</f>
        <v>0</v>
      </c>
      <c r="I31" s="576">
        <f>SUM(I4,I6,I8,I10,I12,I14,I16,I18)</f>
        <v>524855052.73104662</v>
      </c>
      <c r="J31" s="576">
        <f t="shared" ref="J31:R31" si="1">SUM(J4,J6,J8,J10,J12,J14,J16,J18)</f>
        <v>682461606.23807335</v>
      </c>
      <c r="K31" s="576">
        <f t="shared" si="1"/>
        <v>873078834.2226814</v>
      </c>
      <c r="L31" s="576">
        <f t="shared" si="1"/>
        <v>930324923.39852655</v>
      </c>
      <c r="M31" s="576">
        <f t="shared" si="1"/>
        <v>870083366.00928187</v>
      </c>
      <c r="N31" s="576">
        <f t="shared" si="1"/>
        <v>812541228.96683371</v>
      </c>
      <c r="O31" s="576">
        <f t="shared" si="1"/>
        <v>894943197.16242623</v>
      </c>
      <c r="P31" s="576">
        <f t="shared" si="1"/>
        <v>921154867.72320712</v>
      </c>
      <c r="Q31" s="576">
        <f t="shared" si="1"/>
        <v>945652152.06008935</v>
      </c>
      <c r="R31" s="576">
        <f t="shared" si="1"/>
        <v>1013668262.6717899</v>
      </c>
      <c r="T31" s="576">
        <f>SUM(T4,T6,T8,T10,T12,T14,T16,T18)</f>
        <v>0</v>
      </c>
    </row>
    <row r="32" spans="2:20" ht="13.5" thickBot="1" x14ac:dyDescent="0.25">
      <c r="B32" s="1764" t="s">
        <v>509</v>
      </c>
      <c r="C32" s="1765"/>
      <c r="D32" s="1765"/>
      <c r="E32" s="1765"/>
      <c r="F32" s="1765"/>
      <c r="G32" s="1766"/>
      <c r="H32" s="577">
        <f>SUM(H5,H7,H9,H11,H13,H15,H17,H19)</f>
        <v>0</v>
      </c>
      <c r="I32" s="577">
        <f t="shared" ref="I32:R32" si="2">SUM(I5,I7,I9,I11,I13,I15,I17,I19)</f>
        <v>1866106791.6740956</v>
      </c>
      <c r="J32" s="577">
        <f t="shared" si="2"/>
        <v>10747610283.881596</v>
      </c>
      <c r="K32" s="577">
        <f t="shared" si="2"/>
        <v>8111648751.3740129</v>
      </c>
      <c r="L32" s="577">
        <f t="shared" si="2"/>
        <v>11006778378.669533</v>
      </c>
      <c r="M32" s="577">
        <f t="shared" si="2"/>
        <v>8966400126.1669369</v>
      </c>
      <c r="N32" s="577">
        <f t="shared" si="2"/>
        <v>12012638691.92614</v>
      </c>
      <c r="O32" s="577">
        <f t="shared" si="2"/>
        <v>1646683431.9581935</v>
      </c>
      <c r="P32" s="577">
        <f t="shared" si="2"/>
        <v>2934698403.2363982</v>
      </c>
      <c r="Q32" s="577">
        <f t="shared" si="2"/>
        <v>1856726314.1544595</v>
      </c>
      <c r="R32" s="577">
        <f t="shared" si="2"/>
        <v>1781765006.1673591</v>
      </c>
      <c r="T32" s="577">
        <f>SUM(T5,T7,T9,T11,T13,T15,T17,T19)</f>
        <v>51839326767.786652</v>
      </c>
    </row>
    <row r="33" spans="2:19" ht="16.350000000000001" customHeight="1" thickBot="1" x14ac:dyDescent="0.25">
      <c r="B33" s="1764" t="s">
        <v>510</v>
      </c>
      <c r="C33" s="1765"/>
      <c r="D33" s="1765"/>
      <c r="E33" s="1765"/>
      <c r="F33" s="1765"/>
      <c r="G33" s="1766"/>
      <c r="H33" s="577">
        <f>(H31/(1+PARÁMETROS!$C$11)^H3)*PARÁMETROS!$C$4</f>
        <v>0</v>
      </c>
      <c r="I33" s="577">
        <f>(I31/(1+PARÁMETROS!$C$11)^I3)*PARÁMETROS!$C$4</f>
        <v>263143937.23648316</v>
      </c>
      <c r="J33" s="577">
        <f>(J31/(1+PARÁMETROS!$C$11)^J3)*PARÁMETROS!$C$4</f>
        <v>323772148.75331682</v>
      </c>
      <c r="K33" s="577">
        <f>(K31/(1+PARÁMETROS!$C$11)^K3)*PARÁMETROS!$C$4</f>
        <v>391942177.43954897</v>
      </c>
      <c r="L33" s="577">
        <f>(L31/(1+PARÁMETROS!$C$11)^L3)*PARÁMETROS!$C$4</f>
        <v>395194120.35023427</v>
      </c>
      <c r="M33" s="577">
        <f>(M31/(1+PARÁMETROS!$C$11)^M3)*PARÁMETROS!$C$4</f>
        <v>349738918.17757398</v>
      </c>
      <c r="N33" s="577">
        <f>(N31/(1+PARÁMETROS!$C$11)^N3)*PARÁMETROS!$C$4</f>
        <v>309055004.54410642</v>
      </c>
      <c r="O33" s="577">
        <f>(O31/(1+PARÁMETROS!$C$11)^O3)*PARÁMETROS!$C$4</f>
        <v>322101778.35759842</v>
      </c>
      <c r="P33" s="577">
        <f>(P31/(1+PARÁMETROS!$C$11)^P3)*PARÁMETROS!$C$4</f>
        <v>313716658.44851577</v>
      </c>
      <c r="Q33" s="577">
        <f>(Q31/(1+PARÁMETROS!$C$11)^Q3)*PARÁMETROS!$C$4</f>
        <v>304749935.15544683</v>
      </c>
      <c r="R33" s="577">
        <f>(R31/(1+PARÁMETROS!$C$11)^R3)*PARÁMETROS!$C$4</f>
        <v>309111621.60100067</v>
      </c>
    </row>
    <row r="34" spans="2:19" ht="16.350000000000001" customHeight="1" thickBot="1" x14ac:dyDescent="0.25">
      <c r="B34" s="1764" t="s">
        <v>511</v>
      </c>
      <c r="C34" s="1765"/>
      <c r="D34" s="1765"/>
      <c r="E34" s="1765"/>
      <c r="F34" s="1765"/>
      <c r="G34" s="1766"/>
      <c r="H34" s="577">
        <f>(H32/(1+PARÁMETROS!$C$10)^H3)*PARÁMETROS!$C$4</f>
        <v>0</v>
      </c>
      <c r="I34" s="577">
        <f>(I32/(1+PARÁMETROS!$C$10)^I3)*PARÁMETROS!$C$4</f>
        <v>954757099.17093015</v>
      </c>
      <c r="J34" s="577">
        <f>(J32/(1+PARÁMETROS!$C$10)^J3)*PARÁMETROS!$C$4</f>
        <v>5309798095.8993635</v>
      </c>
      <c r="K34" s="577">
        <f>(K32/(1+PARÁMETROS!$C$10)^K3)*PARÁMETROS!$C$4</f>
        <v>3869767993.709516</v>
      </c>
      <c r="L34" s="577">
        <f>(L32/(1+PARÁMETROS!$C$10)^L3)*PARÁMETROS!$C$4</f>
        <v>5070440702.1191425</v>
      </c>
      <c r="M34" s="577">
        <f>(M32/(1+PARÁMETROS!$C$10)^M3)*PARÁMETROS!$C$4</f>
        <v>3988533975.3058963</v>
      </c>
      <c r="N34" s="577">
        <f>(N32/(1+PARÁMETROS!$C$10)^N3)*PARÁMETROS!$C$4</f>
        <v>5159923818.4419374</v>
      </c>
      <c r="O34" s="577">
        <f>(O32/(1+PARÁMETROS!$C$10)^O3)*PARÁMETROS!$C$4</f>
        <v>683006261.56144285</v>
      </c>
      <c r="P34" s="577">
        <f>(P32/(1+PARÁMETROS!$C$10)^P3)*PARÁMETROS!$C$4</f>
        <v>1175405556.545378</v>
      </c>
      <c r="Q34" s="577">
        <f>(Q32/(1+PARÁMETROS!$C$10)^Q3)*PARÁMETROS!$C$4</f>
        <v>718094913.55431449</v>
      </c>
      <c r="R34" s="577">
        <f>(R32/(1+PARÁMETROS!$C$10)^R3)*PARÁMETROS!$C$4</f>
        <v>665417284.48660755</v>
      </c>
    </row>
    <row r="35" spans="2:19" ht="13.5" thickBot="1" x14ac:dyDescent="0.25">
      <c r="B35" s="1764" t="s">
        <v>512</v>
      </c>
      <c r="C35" s="1765"/>
      <c r="D35" s="1765"/>
      <c r="E35" s="1765"/>
      <c r="F35" s="1765"/>
      <c r="G35" s="1766"/>
      <c r="H35" s="577">
        <f>SUM(H20:H30)</f>
        <v>0</v>
      </c>
      <c r="I35" s="577">
        <f t="shared" ref="I35:R35" si="3">SUM(I20:I30)</f>
        <v>3670528413.9963126</v>
      </c>
      <c r="J35" s="577">
        <f t="shared" si="3"/>
        <v>4003515185.0612559</v>
      </c>
      <c r="K35" s="577">
        <f t="shared" si="3"/>
        <v>4336424943.3143034</v>
      </c>
      <c r="L35" s="577">
        <f t="shared" si="3"/>
        <v>4933097773.1209393</v>
      </c>
      <c r="M35" s="577">
        <f t="shared" si="3"/>
        <v>5335127591.1086121</v>
      </c>
      <c r="N35" s="577">
        <f t="shared" si="3"/>
        <v>2134409379.3863473</v>
      </c>
      <c r="O35" s="577">
        <f t="shared" si="3"/>
        <v>2255643405.2536163</v>
      </c>
      <c r="P35" s="577">
        <f>SUM(P20:P30)</f>
        <v>2383763499.5433407</v>
      </c>
      <c r="Q35" s="577">
        <f t="shared" si="3"/>
        <v>2519160789.5647025</v>
      </c>
      <c r="R35" s="577">
        <f t="shared" si="3"/>
        <v>2662248618.5798197</v>
      </c>
    </row>
    <row r="36" spans="2:19" ht="13.5" thickBot="1" x14ac:dyDescent="0.25">
      <c r="B36" s="1764" t="s">
        <v>513</v>
      </c>
      <c r="C36" s="1765"/>
      <c r="D36" s="1765"/>
      <c r="E36" s="1765"/>
      <c r="F36" s="1765"/>
      <c r="G36" s="1766"/>
      <c r="H36" s="577">
        <f>(H35/(1+PARÁMETROS!$C$11)^H$3)*PARÁMETROS!$C$4</f>
        <v>0</v>
      </c>
      <c r="I36" s="577">
        <f>(I35/(1+PARÁMETROS!$C$11)^I$3)*PARÁMETROS!$C$4</f>
        <v>1840274364.4583371</v>
      </c>
      <c r="J36" s="577">
        <f>(J35/(1+PARÁMETROS!$C$11)^J$3)*PARÁMETROS!$C$4</f>
        <v>1899340127.2475884</v>
      </c>
      <c r="K36" s="577">
        <f>(K35/(1+PARÁMETROS!$C$11)^K$3)*PARÁMETROS!$C$4</f>
        <v>1946706033.8245306</v>
      </c>
      <c r="L36" s="577">
        <f>(L35/(1+PARÁMETROS!$C$11)^L$3)*PARÁMETROS!$C$4</f>
        <v>2095538006.1500313</v>
      </c>
      <c r="M36" s="577">
        <f>(M35/(1+PARÁMETROS!$C$11)^M$3)*PARÁMETROS!$C$4</f>
        <v>2144509164.2330599</v>
      </c>
      <c r="N36" s="577">
        <f>(N35/(1+PARÁMETROS!$C$11)^N$3)*PARÁMETROS!$C$4</f>
        <v>811835605.29475188</v>
      </c>
      <c r="O36" s="577">
        <f>(O35/(1+PARÁMETROS!$C$11)^O$3)*PARÁMETROS!$C$4</f>
        <v>811835605.294752</v>
      </c>
      <c r="P36" s="577">
        <f>(P35/(1+PARÁMETROS!$C$11)^P$3)*PARÁMETROS!$C$4</f>
        <v>811835605.29475176</v>
      </c>
      <c r="Q36" s="577">
        <f>(Q35/(1+PARÁMETROS!$C$11)^Q$3)*PARÁMETROS!$C$4</f>
        <v>811835605.29475176</v>
      </c>
      <c r="R36" s="577">
        <f>(R35/(1+PARÁMETROS!$C$11)^R$3)*PARÁMETROS!$C$4</f>
        <v>811835605.29475176</v>
      </c>
    </row>
    <row r="37" spans="2:19" ht="13.5" thickBot="1" x14ac:dyDescent="0.25">
      <c r="B37" s="1764" t="s">
        <v>514</v>
      </c>
      <c r="C37" s="1765"/>
      <c r="D37" s="1765"/>
      <c r="E37" s="1765"/>
      <c r="F37" s="1765"/>
      <c r="G37" s="1766"/>
      <c r="H37" s="577">
        <f>+H31+H35</f>
        <v>0</v>
      </c>
      <c r="I37" s="577">
        <f>+I31+I35</f>
        <v>4195383466.7273593</v>
      </c>
      <c r="J37" s="577">
        <f t="shared" ref="J37:R37" si="4">+J31+J35</f>
        <v>4685976791.2993298</v>
      </c>
      <c r="K37" s="577">
        <f t="shared" si="4"/>
        <v>5209503777.5369844</v>
      </c>
      <c r="L37" s="577">
        <f t="shared" si="4"/>
        <v>5863422696.5194654</v>
      </c>
      <c r="M37" s="577">
        <f t="shared" si="4"/>
        <v>6205210957.1178942</v>
      </c>
      <c r="N37" s="577">
        <f t="shared" si="4"/>
        <v>2946950608.3531809</v>
      </c>
      <c r="O37" s="577">
        <f t="shared" si="4"/>
        <v>3150586602.4160423</v>
      </c>
      <c r="P37" s="577">
        <f t="shared" si="4"/>
        <v>3304918367.2665477</v>
      </c>
      <c r="Q37" s="577">
        <f t="shared" si="4"/>
        <v>3464812941.6247921</v>
      </c>
      <c r="R37" s="577">
        <f t="shared" si="4"/>
        <v>3675916881.2516098</v>
      </c>
    </row>
    <row r="38" spans="2:19" ht="13.5" thickBot="1" x14ac:dyDescent="0.25">
      <c r="B38" s="1764" t="s">
        <v>515</v>
      </c>
      <c r="C38" s="1765"/>
      <c r="D38" s="1765"/>
      <c r="E38" s="1765"/>
      <c r="F38" s="1765"/>
      <c r="G38" s="1766"/>
      <c r="H38" s="577">
        <f>+H32</f>
        <v>0</v>
      </c>
      <c r="I38" s="577">
        <f t="shared" ref="I38:R38" si="5">+I32</f>
        <v>1866106791.6740956</v>
      </c>
      <c r="J38" s="577">
        <f t="shared" si="5"/>
        <v>10747610283.881596</v>
      </c>
      <c r="K38" s="577">
        <f t="shared" si="5"/>
        <v>8111648751.3740129</v>
      </c>
      <c r="L38" s="577">
        <f t="shared" si="5"/>
        <v>11006778378.669533</v>
      </c>
      <c r="M38" s="577">
        <f t="shared" si="5"/>
        <v>8966400126.1669369</v>
      </c>
      <c r="N38" s="577">
        <f t="shared" si="5"/>
        <v>12012638691.92614</v>
      </c>
      <c r="O38" s="577">
        <f t="shared" si="5"/>
        <v>1646683431.9581935</v>
      </c>
      <c r="P38" s="577">
        <f t="shared" si="5"/>
        <v>2934698403.2363982</v>
      </c>
      <c r="Q38" s="577">
        <f t="shared" si="5"/>
        <v>1856726314.1544595</v>
      </c>
      <c r="R38" s="577">
        <f t="shared" si="5"/>
        <v>1781765006.1673591</v>
      </c>
    </row>
    <row r="39" spans="2:19" ht="13.5" thickBot="1" x14ac:dyDescent="0.25">
      <c r="B39" s="1764" t="s">
        <v>516</v>
      </c>
      <c r="C39" s="1765"/>
      <c r="D39" s="1765"/>
      <c r="E39" s="1765"/>
      <c r="F39" s="1765"/>
      <c r="G39" s="1766"/>
      <c r="H39" s="577">
        <f>+H33+H36</f>
        <v>0</v>
      </c>
      <c r="I39" s="577">
        <f>+I33+I36</f>
        <v>2103418301.6948202</v>
      </c>
      <c r="J39" s="577">
        <f t="shared" ref="J39:R39" si="6">+J33+J36</f>
        <v>2223112276.000905</v>
      </c>
      <c r="K39" s="577">
        <f t="shared" si="6"/>
        <v>2338648211.2640796</v>
      </c>
      <c r="L39" s="577">
        <f t="shared" si="6"/>
        <v>2490732126.5002656</v>
      </c>
      <c r="M39" s="577">
        <f t="shared" si="6"/>
        <v>2494248082.410634</v>
      </c>
      <c r="N39" s="577">
        <f t="shared" si="6"/>
        <v>1120890609.8388584</v>
      </c>
      <c r="O39" s="577">
        <f t="shared" si="6"/>
        <v>1133937383.6523504</v>
      </c>
      <c r="P39" s="577">
        <f t="shared" si="6"/>
        <v>1125552263.7432675</v>
      </c>
      <c r="Q39" s="577">
        <f t="shared" si="6"/>
        <v>1116585540.4501987</v>
      </c>
      <c r="R39" s="577">
        <f t="shared" si="6"/>
        <v>1120947226.8957524</v>
      </c>
    </row>
    <row r="40" spans="2:19" ht="13.5" thickBot="1" x14ac:dyDescent="0.25">
      <c r="B40" s="1764" t="s">
        <v>517</v>
      </c>
      <c r="C40" s="1765"/>
      <c r="D40" s="1765"/>
      <c r="E40" s="1765"/>
      <c r="F40" s="1765"/>
      <c r="G40" s="1766"/>
      <c r="H40" s="578">
        <f>+H34</f>
        <v>0</v>
      </c>
      <c r="I40" s="578">
        <f>+I34</f>
        <v>954757099.17093015</v>
      </c>
      <c r="J40" s="578">
        <f t="shared" ref="J40:R40" si="7">+J34</f>
        <v>5309798095.8993635</v>
      </c>
      <c r="K40" s="578">
        <f t="shared" si="7"/>
        <v>3869767993.709516</v>
      </c>
      <c r="L40" s="578">
        <f t="shared" si="7"/>
        <v>5070440702.1191425</v>
      </c>
      <c r="M40" s="578">
        <f t="shared" si="7"/>
        <v>3988533975.3058963</v>
      </c>
      <c r="N40" s="578">
        <f t="shared" si="7"/>
        <v>5159923818.4419374</v>
      </c>
      <c r="O40" s="578">
        <f t="shared" si="7"/>
        <v>683006261.56144285</v>
      </c>
      <c r="P40" s="578">
        <f t="shared" si="7"/>
        <v>1175405556.545378</v>
      </c>
      <c r="Q40" s="578">
        <f t="shared" si="7"/>
        <v>718094913.55431449</v>
      </c>
      <c r="R40" s="578">
        <f t="shared" si="7"/>
        <v>665417284.48660755</v>
      </c>
    </row>
    <row r="41" spans="2:19" ht="13.5" thickBot="1" x14ac:dyDescent="0.25">
      <c r="H41" s="548"/>
      <c r="I41" s="548"/>
      <c r="J41" s="548"/>
      <c r="K41" s="548"/>
      <c r="L41" s="548"/>
      <c r="M41" s="548"/>
      <c r="N41" s="548"/>
      <c r="O41" s="548"/>
      <c r="P41" s="548"/>
      <c r="Q41" s="548"/>
      <c r="R41" s="548"/>
    </row>
    <row r="42" spans="2:19" ht="15.75" x14ac:dyDescent="0.2">
      <c r="B42" s="1773" t="str">
        <f>+CONCATENATE("ALTERNATIVA SELECCIONADA (DATOS PARA LOS PROGRAMAS ",Alternativas!I46, " ")</f>
        <v xml:space="preserve">ALTERNATIVA SELECCIONADA (DATOS PARA LOS PROGRAMAS 1, 2, 3, 4, 5, 6, 7, 9, 10, 12, 13, 14, 15, 16, 17,  </v>
      </c>
      <c r="C42" s="1774"/>
      <c r="D42" s="1774"/>
      <c r="E42" s="1774"/>
      <c r="F42" s="1774"/>
      <c r="G42" s="1775"/>
      <c r="H42" s="548"/>
      <c r="I42" s="548"/>
      <c r="J42" s="548"/>
      <c r="K42" s="548"/>
      <c r="L42" s="548"/>
      <c r="M42" s="548"/>
      <c r="N42" s="548"/>
      <c r="O42" s="548"/>
      <c r="P42" s="548"/>
      <c r="Q42" s="548"/>
      <c r="R42" s="548"/>
    </row>
    <row r="43" spans="2:19" ht="13.5" customHeight="1" x14ac:dyDescent="0.2">
      <c r="B43" s="1776" t="s">
        <v>704</v>
      </c>
      <c r="C43" s="1776"/>
      <c r="D43" s="1776"/>
      <c r="E43" s="1776"/>
      <c r="F43" s="1776"/>
      <c r="G43" s="1776"/>
      <c r="H43" s="580">
        <f>+SUM(IF(AP.1="SI",H4,0),IF(AP.2="SI",H6,0),IF(AP.3="SI",H8,0),IF(AP.4="SI",H10,0),IF(AP.5="SI",H12,0),IF(AP.6="SI",H14,0),IF(AP.7="SI",H16,0),IF(AP.8="SI",H18,0))</f>
        <v>0</v>
      </c>
      <c r="I43" s="580">
        <f>+SUM(IF(AP.1="SI",I4,0),IF(AP.2="SI",I6,0),IF(AP.3="SI",I8,0),IF(AP.4="SI",I10,0),IF(AP.5="SI",I12,0),IF(AP.6="SI",I14,0),IF(AP.7="SI",I16,0),IF(AP.8="SI",I18,0))</f>
        <v>524855052.73104662</v>
      </c>
      <c r="J43" s="580">
        <f t="shared" ref="J43:R43" si="8">+SUM(IF(AP.1="SI",J4,0),IF(AP.2="SI",J6,0),IF(AP.3="SI",J8,0),IF(AP.4="SI",J10,0),IF(AP.5="SI",J12,0),IF(AP.6="SI",J14,0),IF(AP.7="SI",J16,0),IF(AP.8="SI",J18,0))</f>
        <v>682461606.23807335</v>
      </c>
      <c r="K43" s="580">
        <f t="shared" si="8"/>
        <v>873078834.2226814</v>
      </c>
      <c r="L43" s="580">
        <f t="shared" si="8"/>
        <v>930324923.39852655</v>
      </c>
      <c r="M43" s="580">
        <f t="shared" si="8"/>
        <v>870083366.00928187</v>
      </c>
      <c r="N43" s="580">
        <f t="shared" si="8"/>
        <v>812541228.96683371</v>
      </c>
      <c r="O43" s="580">
        <f t="shared" si="8"/>
        <v>894943197.16242623</v>
      </c>
      <c r="P43" s="580">
        <f t="shared" si="8"/>
        <v>921154867.72320712</v>
      </c>
      <c r="Q43" s="580">
        <f t="shared" si="8"/>
        <v>945652152.06008935</v>
      </c>
      <c r="R43" s="580">
        <f t="shared" si="8"/>
        <v>1013668262.6717899</v>
      </c>
      <c r="S43" s="752"/>
    </row>
    <row r="44" spans="2:19" ht="13.5" customHeight="1" x14ac:dyDescent="0.2">
      <c r="B44" s="1776" t="s">
        <v>705</v>
      </c>
      <c r="C44" s="1776"/>
      <c r="D44" s="1776"/>
      <c r="E44" s="1776"/>
      <c r="F44" s="1776"/>
      <c r="G44" s="1776"/>
      <c r="H44" s="580">
        <f>+SUM(IF(AP.1="SI",H5,0),IF(AP.2="SI",H7,0),IF(AP.3="SI",H9,0),IF(AP.4="SI",H11,0),IF(AP.5="SI",H13,0),IF(AP.6="SI",H15,0),IF(AP.7="SI",H17,0),IF(AP.8="SI",H19,0))</f>
        <v>0</v>
      </c>
      <c r="I44" s="580">
        <f>+SUM(IF(AP.1="SI",I5,0),IF(AP.2="SI",I7,0),IF(AP.3="SI",I9,0),IF(AP.4="SI",I11,0),IF(AP.5="SI",I13,0),IF(AP.6="SI",I15,0),IF(AP.7="SI",I17,0),IF(AP.8="SI",I19,0))</f>
        <v>1866106791.6740956</v>
      </c>
      <c r="J44" s="580">
        <f t="shared" ref="J44:R44" si="9">+SUM(IF(AP.1="SI",J5,0),IF(AP.2="SI",J7,0),IF(AP.3="SI",J9,0),IF(AP.4="SI",J11,0),IF(AP.5="SI",J13,0),IF(AP.6="SI",J15,0),IF(AP.7="SI",J17,0),IF(AP.8="SI",J19,0))</f>
        <v>10747610283.881596</v>
      </c>
      <c r="K44" s="580">
        <f t="shared" si="9"/>
        <v>8111648751.3740129</v>
      </c>
      <c r="L44" s="580">
        <f t="shared" si="9"/>
        <v>11006778378.669533</v>
      </c>
      <c r="M44" s="580">
        <f t="shared" si="9"/>
        <v>8966400126.1669369</v>
      </c>
      <c r="N44" s="580">
        <f t="shared" si="9"/>
        <v>12012638691.92614</v>
      </c>
      <c r="O44" s="580">
        <f t="shared" si="9"/>
        <v>1646683431.9581935</v>
      </c>
      <c r="P44" s="580">
        <f t="shared" si="9"/>
        <v>2934698403.2363982</v>
      </c>
      <c r="Q44" s="580">
        <f t="shared" si="9"/>
        <v>1856726314.1544595</v>
      </c>
      <c r="R44" s="580">
        <f t="shared" si="9"/>
        <v>1781765006.1673591</v>
      </c>
      <c r="S44" s="752"/>
    </row>
    <row r="45" spans="2:19" ht="13.5" customHeight="1" x14ac:dyDescent="0.2">
      <c r="B45" s="1776" t="s">
        <v>706</v>
      </c>
      <c r="C45" s="1776"/>
      <c r="D45" s="1776"/>
      <c r="E45" s="1776"/>
      <c r="F45" s="1776"/>
      <c r="G45" s="1776"/>
      <c r="H45" s="580" t="s">
        <v>291</v>
      </c>
      <c r="I45" s="580">
        <f>IF(I43=0,"",(I43/(1+PARÁMETROS!$C$11)^I3)*PARÁMETROS!$C$4)</f>
        <v>263143937.23648316</v>
      </c>
      <c r="J45" s="580">
        <f>IF(J43=0,"",(J43/(1+PARÁMETROS!$C$11)^J3)*PARÁMETROS!$C$4)</f>
        <v>323772148.75331682</v>
      </c>
      <c r="K45" s="580">
        <f>IF(K43=0,"",(K43/(1+PARÁMETROS!$C$11)^K3)*PARÁMETROS!$C$4)</f>
        <v>391942177.43954897</v>
      </c>
      <c r="L45" s="580">
        <f>IF(L43=0,"",(L43/(1+PARÁMETROS!$C$11)^L3)*PARÁMETROS!$C$4)</f>
        <v>395194120.35023427</v>
      </c>
      <c r="M45" s="580">
        <f>IF(M43=0,"",(M43/(1+PARÁMETROS!$C$11)^M3)*PARÁMETROS!$C$4)</f>
        <v>349738918.17757398</v>
      </c>
      <c r="N45" s="580">
        <f>IF(N43=0,"",(N43/(1+PARÁMETROS!$C$11)^N3)*PARÁMETROS!$C$4)</f>
        <v>309055004.54410642</v>
      </c>
      <c r="O45" s="580">
        <f>IF(O43=0,"",(O43/(1+PARÁMETROS!$C$11)^O3)*PARÁMETROS!$C$4)</f>
        <v>322101778.35759842</v>
      </c>
      <c r="P45" s="580">
        <f>IF(P43=0,"",(P43/(1+PARÁMETROS!$C$11)^P3)*PARÁMETROS!$C$4)</f>
        <v>313716658.44851577</v>
      </c>
      <c r="Q45" s="580">
        <f>IF(Q43=0,"",(Q43/(1+PARÁMETROS!$C$11)^Q3)*PARÁMETROS!$C$4)</f>
        <v>304749935.15544683</v>
      </c>
      <c r="R45" s="580">
        <f>IF(R43=0,"",(R43/(1+PARÁMETROS!$C$11)^R3)*PARÁMETROS!$C$4)</f>
        <v>309111621.60100067</v>
      </c>
      <c r="S45" s="752"/>
    </row>
    <row r="46" spans="2:19" ht="13.5" customHeight="1" x14ac:dyDescent="0.2">
      <c r="B46" s="1776" t="s">
        <v>707</v>
      </c>
      <c r="C46" s="1776"/>
      <c r="D46" s="1776"/>
      <c r="E46" s="1776"/>
      <c r="F46" s="1776"/>
      <c r="G46" s="1776"/>
      <c r="H46" s="580">
        <f>+SUMIF($S$20:$S$30,"SI",H20:H30)</f>
        <v>0</v>
      </c>
      <c r="I46" s="580">
        <f>+SUMIF($S$20:$S$30,"SI",I20:I30)</f>
        <v>3670528413.9963126</v>
      </c>
      <c r="J46" s="580">
        <f t="shared" ref="J46:R46" si="10">+SUMIF($S$20:$S$30,"SI",J20:J30)</f>
        <v>4003515185.0612559</v>
      </c>
      <c r="K46" s="580">
        <f t="shared" si="10"/>
        <v>4336424943.3143034</v>
      </c>
      <c r="L46" s="580">
        <f t="shared" si="10"/>
        <v>4933097773.1209393</v>
      </c>
      <c r="M46" s="580">
        <f t="shared" si="10"/>
        <v>5335127591.1086121</v>
      </c>
      <c r="N46" s="580">
        <f t="shared" si="10"/>
        <v>2134409379.3863473</v>
      </c>
      <c r="O46" s="580">
        <f t="shared" si="10"/>
        <v>2255643405.2536163</v>
      </c>
      <c r="P46" s="580">
        <f t="shared" si="10"/>
        <v>2383763499.5433407</v>
      </c>
      <c r="Q46" s="580">
        <f t="shared" si="10"/>
        <v>2519160789.5647025</v>
      </c>
      <c r="R46" s="580">
        <f t="shared" si="10"/>
        <v>2662248618.5798197</v>
      </c>
      <c r="S46" s="752"/>
    </row>
    <row r="47" spans="2:19" x14ac:dyDescent="0.2">
      <c r="B47" s="1776" t="s">
        <v>709</v>
      </c>
      <c r="C47" s="1776"/>
      <c r="D47" s="1776"/>
      <c r="E47" s="1776"/>
      <c r="F47" s="1776"/>
      <c r="G47" s="1776"/>
      <c r="H47" s="580" t="str">
        <f>IF(H46=0,"",(H46/(1+PARÁMETROS!$C$11)^H$3)*PARÁMETROS!$C$4)</f>
        <v/>
      </c>
      <c r="I47" s="580">
        <f>IF(I46=0,"",(I46/(1+PARÁMETROS!$C$11)^I$3)*PARÁMETROS!$C$4)</f>
        <v>1840274364.4583371</v>
      </c>
      <c r="J47" s="580">
        <f>IF(J46=0,"",(J46/(1+PARÁMETROS!$C$11)^J$3)*PARÁMETROS!$C$4)</f>
        <v>1899340127.2475884</v>
      </c>
      <c r="K47" s="580">
        <f>IF(K46=0,"",(K46/(1+PARÁMETROS!$C$11)^K$3)*PARÁMETROS!$C$4)</f>
        <v>1946706033.8245306</v>
      </c>
      <c r="L47" s="580">
        <f>IF(L46=0,"",(L46/(1+PARÁMETROS!$C$11)^L$3)*PARÁMETROS!$C$4)</f>
        <v>2095538006.1500313</v>
      </c>
      <c r="M47" s="580">
        <f>IF(M46=0,"",(M46/(1+PARÁMETROS!$C$11)^M$3)*PARÁMETROS!$C$4)</f>
        <v>2144509164.2330599</v>
      </c>
      <c r="N47" s="580">
        <f>IF(N46=0,"",(N46/(1+PARÁMETROS!$C$11)^N$3)*PARÁMETROS!$C$4)</f>
        <v>811835605.29475188</v>
      </c>
      <c r="O47" s="580">
        <f>IF(O46=0,"",(O46/(1+PARÁMETROS!$C$11)^O$3)*PARÁMETROS!$C$4)</f>
        <v>811835605.294752</v>
      </c>
      <c r="P47" s="580">
        <f>IF(P46=0,"",(P46/(1+PARÁMETROS!$C$11)^P$3)*PARÁMETROS!$C$4)</f>
        <v>811835605.29475176</v>
      </c>
      <c r="Q47" s="580">
        <f>IF(Q46=0,"",(Q46/(1+PARÁMETROS!$C$11)^Q$3)*PARÁMETROS!$C$4)</f>
        <v>811835605.29475176</v>
      </c>
      <c r="R47" s="580">
        <f>IF(R46=0,"",(R46/(1+PARÁMETROS!$C$11)^R$3)*PARÁMETROS!$C$4)</f>
        <v>811835605.29475176</v>
      </c>
      <c r="S47" s="752"/>
    </row>
    <row r="48" spans="2:19" x14ac:dyDescent="0.2">
      <c r="B48" s="1776" t="s">
        <v>710</v>
      </c>
      <c r="C48" s="1776"/>
      <c r="D48" s="1776"/>
      <c r="E48" s="1776"/>
      <c r="F48" s="1776"/>
      <c r="G48" s="1776"/>
      <c r="H48" s="580">
        <f>+H43+H46</f>
        <v>0</v>
      </c>
      <c r="I48" s="580">
        <f>+I43+I46</f>
        <v>4195383466.7273593</v>
      </c>
      <c r="J48" s="580">
        <f t="shared" ref="J48:R48" si="11">+J43+J46</f>
        <v>4685976791.2993298</v>
      </c>
      <c r="K48" s="580">
        <f t="shared" si="11"/>
        <v>5209503777.5369844</v>
      </c>
      <c r="L48" s="580">
        <f t="shared" si="11"/>
        <v>5863422696.5194654</v>
      </c>
      <c r="M48" s="580">
        <f t="shared" si="11"/>
        <v>6205210957.1178942</v>
      </c>
      <c r="N48" s="580">
        <f t="shared" si="11"/>
        <v>2946950608.3531809</v>
      </c>
      <c r="O48" s="580">
        <f t="shared" si="11"/>
        <v>3150586602.4160423</v>
      </c>
      <c r="P48" s="580">
        <f t="shared" si="11"/>
        <v>3304918367.2665477</v>
      </c>
      <c r="Q48" s="580">
        <f t="shared" si="11"/>
        <v>3464812941.6247921</v>
      </c>
      <c r="R48" s="580">
        <f t="shared" si="11"/>
        <v>3675916881.2516098</v>
      </c>
      <c r="S48" s="752"/>
    </row>
    <row r="49" spans="2:19" x14ac:dyDescent="0.2">
      <c r="B49" s="1776" t="s">
        <v>711</v>
      </c>
      <c r="C49" s="1776"/>
      <c r="D49" s="1776"/>
      <c r="E49" s="1776"/>
      <c r="F49" s="1776"/>
      <c r="G49" s="1776"/>
      <c r="H49" s="580">
        <f>+H44</f>
        <v>0</v>
      </c>
      <c r="I49" s="580">
        <f>+I44</f>
        <v>1866106791.6740956</v>
      </c>
      <c r="J49" s="580">
        <f t="shared" ref="J49:R49" si="12">+J44</f>
        <v>10747610283.881596</v>
      </c>
      <c r="K49" s="580">
        <f t="shared" si="12"/>
        <v>8111648751.3740129</v>
      </c>
      <c r="L49" s="580">
        <f t="shared" si="12"/>
        <v>11006778378.669533</v>
      </c>
      <c r="M49" s="580">
        <f t="shared" si="12"/>
        <v>8966400126.1669369</v>
      </c>
      <c r="N49" s="580">
        <f t="shared" si="12"/>
        <v>12012638691.92614</v>
      </c>
      <c r="O49" s="580">
        <f t="shared" si="12"/>
        <v>1646683431.9581935</v>
      </c>
      <c r="P49" s="580">
        <f t="shared" si="12"/>
        <v>2934698403.2363982</v>
      </c>
      <c r="Q49" s="580">
        <f t="shared" si="12"/>
        <v>1856726314.1544595</v>
      </c>
      <c r="R49" s="580">
        <f t="shared" si="12"/>
        <v>1781765006.1673591</v>
      </c>
      <c r="S49" s="752"/>
    </row>
    <row r="50" spans="2:19" x14ac:dyDescent="0.2">
      <c r="H50" s="548"/>
      <c r="I50" s="548"/>
      <c r="J50" s="548"/>
      <c r="K50" s="548"/>
      <c r="L50" s="548"/>
      <c r="M50" s="548"/>
      <c r="N50" s="548"/>
      <c r="O50" s="548"/>
      <c r="P50" s="548"/>
      <c r="Q50" s="548"/>
      <c r="R50" s="548"/>
      <c r="S50" s="752"/>
    </row>
    <row r="51" spans="2:19" ht="38.25" x14ac:dyDescent="0.2">
      <c r="G51" s="549" t="s">
        <v>518</v>
      </c>
      <c r="H51" s="581" t="str">
        <f>+$F$5</f>
        <v>MACROMEDIDORES</v>
      </c>
      <c r="I51" s="581" t="str">
        <f>+$F$7</f>
        <v>MACROMEDIDORES</v>
      </c>
      <c r="J51" s="581" t="str">
        <f>+$F$9</f>
        <v>ESTACIONES REDUCTORAS DE PRESIÓN</v>
      </c>
      <c r="K51" s="581" t="str">
        <f>+$F$11</f>
        <v>REHABILITACIÓN TANQUES</v>
      </c>
      <c r="L51" s="581" t="str">
        <f>+$F$13</f>
        <v>NO SE REQUIERE</v>
      </c>
      <c r="M51" s="581" t="str">
        <f>+$F$15</f>
        <v>REHABILITACIÓN REDES</v>
      </c>
      <c r="N51" s="581" t="str">
        <f>+$F$17</f>
        <v>REDES</v>
      </c>
      <c r="O51" s="581" t="str">
        <f>+$F$19</f>
        <v>REDES</v>
      </c>
      <c r="P51" s="550"/>
      <c r="Q51" s="548"/>
      <c r="R51" s="548"/>
    </row>
    <row r="52" spans="2:19" x14ac:dyDescent="0.2">
      <c r="G52" s="550"/>
      <c r="H52" s="582">
        <f>+$G$5</f>
        <v>23</v>
      </c>
      <c r="I52" s="582">
        <f>+$G$7</f>
        <v>23</v>
      </c>
      <c r="J52" s="582">
        <f>+$G$9</f>
        <v>35</v>
      </c>
      <c r="K52" s="582">
        <f>+$G$11</f>
        <v>45</v>
      </c>
      <c r="L52" s="582">
        <f>+$G$13</f>
        <v>0</v>
      </c>
      <c r="M52" s="582">
        <f>+$G$15</f>
        <v>45</v>
      </c>
      <c r="N52" s="582">
        <f>+$G$17</f>
        <v>45</v>
      </c>
      <c r="O52" s="582">
        <f>+$G$19</f>
        <v>45</v>
      </c>
      <c r="P52" s="551"/>
      <c r="Q52" s="548"/>
      <c r="R52" s="548"/>
    </row>
    <row r="53" spans="2:19" x14ac:dyDescent="0.2">
      <c r="F53" s="552"/>
      <c r="G53" s="583">
        <f>+H$2</f>
        <v>2025</v>
      </c>
      <c r="H53" s="584">
        <f>+H$5</f>
        <v>0</v>
      </c>
      <c r="I53" s="584">
        <f>+H$7</f>
        <v>0</v>
      </c>
      <c r="J53" s="584">
        <f>+H$9</f>
        <v>0</v>
      </c>
      <c r="K53" s="584">
        <f>+H$11</f>
        <v>0</v>
      </c>
      <c r="L53" s="584">
        <f>+H$13</f>
        <v>0</v>
      </c>
      <c r="M53" s="584">
        <f>+H$15</f>
        <v>0</v>
      </c>
      <c r="N53" s="584">
        <f>+H$17</f>
        <v>0</v>
      </c>
      <c r="O53" s="584">
        <f>+H$19</f>
        <v>0</v>
      </c>
      <c r="P53" s="585">
        <f>+$H$3</f>
        <v>0</v>
      </c>
      <c r="Q53" s="548"/>
      <c r="R53" s="548"/>
    </row>
    <row r="54" spans="2:19" x14ac:dyDescent="0.2">
      <c r="D54" s="548"/>
      <c r="F54" s="552"/>
      <c r="G54" s="583">
        <f>+I$2</f>
        <v>2026</v>
      </c>
      <c r="H54" s="584">
        <f>+I$5</f>
        <v>38448152.589211166</v>
      </c>
      <c r="I54" s="584">
        <f>I$7</f>
        <v>568627368.92639828</v>
      </c>
      <c r="J54" s="584">
        <f>IF(AP.3="SI",I9,0)</f>
        <v>894981650.5986501</v>
      </c>
      <c r="K54" s="584">
        <f>IF(AP.4="SI",I11,0)</f>
        <v>7221555.1303999992</v>
      </c>
      <c r="L54" s="584">
        <f>+I$13</f>
        <v>356828064.42943609</v>
      </c>
      <c r="M54" s="584">
        <f>IF(AP.6="SI",I15,0)</f>
        <v>0</v>
      </c>
      <c r="N54" s="584">
        <f>IF(AP.7="SI",I17,0)</f>
        <v>0</v>
      </c>
      <c r="O54" s="584">
        <f>IF(AP.8="SI",I19,0)</f>
        <v>0</v>
      </c>
      <c r="P54" s="585">
        <f>+$I$3</f>
        <v>1</v>
      </c>
      <c r="Q54" s="548"/>
      <c r="R54" s="548"/>
    </row>
    <row r="55" spans="2:19" x14ac:dyDescent="0.2">
      <c r="F55" s="552"/>
      <c r="G55" s="583">
        <f>+J$2</f>
        <v>2027</v>
      </c>
      <c r="H55" s="584">
        <f>+J$5</f>
        <v>315391528.86762232</v>
      </c>
      <c r="I55" s="584">
        <f>J$7</f>
        <v>859109327.06257272</v>
      </c>
      <c r="J55" s="584">
        <f>IF(AP.3="SI",J9,0)</f>
        <v>1015334757.2139375</v>
      </c>
      <c r="K55" s="584">
        <f>IF(AP.4="SI",J11,0)</f>
        <v>47729868.432724625</v>
      </c>
      <c r="L55" s="584">
        <f>+J$13</f>
        <v>369529666.25493723</v>
      </c>
      <c r="M55" s="584">
        <f>IF(AP.6="SI",J15,0)</f>
        <v>1237853977.7238424</v>
      </c>
      <c r="N55" s="584">
        <f>IF(AP.7="SI",J17,0)</f>
        <v>6902661158.3259583</v>
      </c>
      <c r="O55" s="584">
        <f>IF(AP.8="SI",J19,0)</f>
        <v>0</v>
      </c>
      <c r="P55" s="585">
        <f>+$J$3</f>
        <v>2</v>
      </c>
      <c r="Q55" s="548"/>
      <c r="R55" s="548"/>
    </row>
    <row r="56" spans="2:19" x14ac:dyDescent="0.2">
      <c r="F56" s="552"/>
      <c r="G56" s="583">
        <f>+K$2</f>
        <v>2028</v>
      </c>
      <c r="H56" s="584">
        <f>+K$5</f>
        <v>41234059.020898953</v>
      </c>
      <c r="I56" s="584">
        <f>+K$7</f>
        <v>718416608.20283031</v>
      </c>
      <c r="J56" s="584">
        <f>IF(AP.3="SI",K9,0)</f>
        <v>709834884.21893704</v>
      </c>
      <c r="K56" s="584">
        <f>IF(AP.4="SI",K11,0)</f>
        <v>42257581.343545668</v>
      </c>
      <c r="L56" s="584">
        <f>+K$13</f>
        <v>382683392.52079463</v>
      </c>
      <c r="M56" s="584">
        <f>IF(AP.6="SI",K15,0)</f>
        <v>539255330.58805513</v>
      </c>
      <c r="N56" s="584">
        <f>IF(AP.7="SI",K17,0)</f>
        <v>5677966895.4789515</v>
      </c>
      <c r="O56" s="584">
        <f>IF(AP.8="SI",K19,0)</f>
        <v>0</v>
      </c>
      <c r="P56" s="585">
        <f>+$K$3</f>
        <v>3</v>
      </c>
      <c r="Q56" s="548"/>
      <c r="R56" s="548"/>
    </row>
    <row r="57" spans="2:19" x14ac:dyDescent="0.2">
      <c r="F57" s="552"/>
      <c r="G57" s="583">
        <f>+L$2</f>
        <v>2029</v>
      </c>
      <c r="H57" s="584">
        <f>+L$5</f>
        <v>39504731.256209046</v>
      </c>
      <c r="I57" s="584">
        <f>+L$7</f>
        <v>1276339375.3652217</v>
      </c>
      <c r="J57" s="584">
        <f>IF(AP.3="SI",L9,0)</f>
        <v>93232358.513064519</v>
      </c>
      <c r="K57" s="584">
        <f>IF(AP.4="SI",L11,0)</f>
        <v>51534720.760039322</v>
      </c>
      <c r="L57" s="584">
        <f>+L$13</f>
        <v>396305336.98528993</v>
      </c>
      <c r="M57" s="584">
        <f>IF(AP.6="SI",L15,0)</f>
        <v>926055858.95794034</v>
      </c>
      <c r="N57" s="584">
        <f>IF(AP.7="SI",L17,0)</f>
        <v>8223805996.8317671</v>
      </c>
      <c r="O57" s="584">
        <f>IF(AP.8="SI",L19,0)</f>
        <v>0</v>
      </c>
      <c r="P57" s="585">
        <f>+$L$3</f>
        <v>4</v>
      </c>
      <c r="Q57" s="548"/>
      <c r="R57" s="548"/>
    </row>
    <row r="58" spans="2:19" x14ac:dyDescent="0.2">
      <c r="F58" s="552"/>
      <c r="G58" s="583">
        <f>+M$2</f>
        <v>2030</v>
      </c>
      <c r="H58" s="584">
        <f>+M$5</f>
        <v>0</v>
      </c>
      <c r="I58" s="584">
        <f>+M$7</f>
        <v>364628429.7660867</v>
      </c>
      <c r="J58" s="584">
        <f>+M$9</f>
        <v>110850269.83058606</v>
      </c>
      <c r="K58" s="584">
        <f>+M$11</f>
        <v>13611951.464568583</v>
      </c>
      <c r="L58" s="584">
        <f>+M$13</f>
        <v>410412166.27787113</v>
      </c>
      <c r="M58" s="584">
        <f>+M$15</f>
        <v>806641749.40742636</v>
      </c>
      <c r="N58" s="584">
        <f>+M$17</f>
        <v>7260255559.4203978</v>
      </c>
      <c r="O58" s="584">
        <f>+M$19</f>
        <v>0</v>
      </c>
      <c r="P58" s="585">
        <f>+$M$3</f>
        <v>5</v>
      </c>
      <c r="Q58" s="548"/>
      <c r="R58" s="548"/>
    </row>
    <row r="59" spans="2:19" x14ac:dyDescent="0.2">
      <c r="F59" s="552"/>
      <c r="G59" s="583">
        <f>+N$2</f>
        <v>2031</v>
      </c>
      <c r="H59" s="584">
        <f>+N$5</f>
        <v>98530939.427441463</v>
      </c>
      <c r="I59" s="584">
        <f>+N$7</f>
        <v>133735083.28086235</v>
      </c>
      <c r="J59" s="584">
        <f>+N$9</f>
        <v>0</v>
      </c>
      <c r="K59" s="584">
        <f>+N$11</f>
        <v>19470324.947528441</v>
      </c>
      <c r="L59" s="584">
        <f>+N$13</f>
        <v>0</v>
      </c>
      <c r="M59" s="584">
        <f>+N$15</f>
        <v>2505536792.3379083</v>
      </c>
      <c r="N59" s="584">
        <f>+N$17</f>
        <v>9255365551.9323997</v>
      </c>
      <c r="O59" s="584">
        <f>+N$19</f>
        <v>0</v>
      </c>
      <c r="P59" s="585">
        <f>+$N$3</f>
        <v>6</v>
      </c>
      <c r="Q59" s="548"/>
      <c r="R59" s="548"/>
    </row>
    <row r="60" spans="2:19" x14ac:dyDescent="0.2">
      <c r="F60" s="552"/>
      <c r="G60" s="583">
        <f>+O$2</f>
        <v>2032</v>
      </c>
      <c r="H60" s="584">
        <f>+O$5</f>
        <v>47426088.848298267</v>
      </c>
      <c r="I60" s="584">
        <f>+O$7</f>
        <v>0</v>
      </c>
      <c r="J60" s="584">
        <f>+O$9</f>
        <v>0</v>
      </c>
      <c r="K60" s="584">
        <f>+O$11</f>
        <v>12248284.422990512</v>
      </c>
      <c r="L60" s="584">
        <f>+O$13</f>
        <v>0</v>
      </c>
      <c r="M60" s="584">
        <f>+O$15</f>
        <v>1587009058.6869047</v>
      </c>
      <c r="N60" s="584">
        <f>+O$17</f>
        <v>0</v>
      </c>
      <c r="O60" s="584">
        <f>+O$19</f>
        <v>0</v>
      </c>
      <c r="P60" s="585">
        <f>+$O$3</f>
        <v>7</v>
      </c>
      <c r="Q60" s="548"/>
      <c r="R60" s="548"/>
    </row>
    <row r="61" spans="2:19" x14ac:dyDescent="0.2">
      <c r="F61" s="552"/>
      <c r="G61" s="583">
        <f>+P$2</f>
        <v>2033</v>
      </c>
      <c r="H61" s="584">
        <f>+P$5</f>
        <v>0</v>
      </c>
      <c r="I61" s="584">
        <f>+P$7</f>
        <v>0</v>
      </c>
      <c r="J61" s="584">
        <f>+P$9</f>
        <v>0</v>
      </c>
      <c r="K61" s="584">
        <f>+P$11</f>
        <v>12684272.640551461</v>
      </c>
      <c r="L61" s="584">
        <f>+P$13</f>
        <v>0</v>
      </c>
      <c r="M61" s="584">
        <f>+P$15</f>
        <v>2922014130.5958467</v>
      </c>
      <c r="N61" s="584">
        <f>+P$17</f>
        <v>0</v>
      </c>
      <c r="O61" s="584">
        <f>+P$19</f>
        <v>0</v>
      </c>
      <c r="P61" s="585">
        <f>+$P$3</f>
        <v>8</v>
      </c>
      <c r="Q61" s="548"/>
      <c r="R61" s="548"/>
    </row>
    <row r="62" spans="2:19" x14ac:dyDescent="0.2">
      <c r="F62" s="552"/>
      <c r="G62" s="583">
        <f>+Q$2</f>
        <v>2034</v>
      </c>
      <c r="H62" s="584">
        <f>+Q$5</f>
        <v>11763610.824901652</v>
      </c>
      <c r="I62" s="584">
        <f>+Q$7</f>
        <v>0</v>
      </c>
      <c r="J62" s="584">
        <f>+Q$9</f>
        <v>0</v>
      </c>
      <c r="K62" s="584">
        <f>+Q$11</f>
        <v>13135780.23366636</v>
      </c>
      <c r="L62" s="584">
        <f>+Q$13</f>
        <v>0</v>
      </c>
      <c r="M62" s="584">
        <f>+Q$15</f>
        <v>1831826923.0958915</v>
      </c>
      <c r="N62" s="584">
        <f>+Q$17</f>
        <v>0</v>
      </c>
      <c r="O62" s="584">
        <f>+Q$19</f>
        <v>0</v>
      </c>
      <c r="P62" s="585">
        <f>+$Q$3</f>
        <v>9</v>
      </c>
      <c r="Q62" s="548"/>
      <c r="R62" s="548"/>
    </row>
    <row r="63" spans="2:19" x14ac:dyDescent="0.2">
      <c r="F63" s="552"/>
      <c r="G63" s="583">
        <f>+R$2</f>
        <v>2035</v>
      </c>
      <c r="H63" s="584">
        <f>+R$5</f>
        <v>0</v>
      </c>
      <c r="I63" s="584">
        <f>+R$7</f>
        <v>0</v>
      </c>
      <c r="J63" s="584">
        <f>+R$9</f>
        <v>0</v>
      </c>
      <c r="K63" s="584">
        <f>+R$11</f>
        <v>13603359.627854714</v>
      </c>
      <c r="L63" s="584">
        <f>+R$13</f>
        <v>0</v>
      </c>
      <c r="M63" s="584">
        <f>+R$15</f>
        <v>1768161646.5395043</v>
      </c>
      <c r="N63" s="584">
        <f>+R$17</f>
        <v>0</v>
      </c>
      <c r="O63" s="584">
        <f>+R$19</f>
        <v>0</v>
      </c>
      <c r="P63" s="585">
        <f>+$R$3</f>
        <v>10</v>
      </c>
      <c r="Q63" s="548"/>
      <c r="R63" s="548"/>
    </row>
    <row r="64" spans="2:19" x14ac:dyDescent="0.2">
      <c r="Q64" s="548"/>
      <c r="R64" s="548"/>
    </row>
    <row r="65" spans="5:18" ht="38.25" x14ac:dyDescent="0.2">
      <c r="G65" s="549" t="s">
        <v>519</v>
      </c>
      <c r="H65" s="581" t="str">
        <f>+$F$5</f>
        <v>MACROMEDIDORES</v>
      </c>
      <c r="I65" s="581" t="str">
        <f>+$F$7</f>
        <v>MACROMEDIDORES</v>
      </c>
      <c r="J65" s="581" t="str">
        <f>+$F$9</f>
        <v>ESTACIONES REDUCTORAS DE PRESIÓN</v>
      </c>
      <c r="K65" s="581" t="str">
        <f>+$F$11</f>
        <v>REHABILITACIÓN TANQUES</v>
      </c>
      <c r="L65" s="581" t="str">
        <f>+$F$13</f>
        <v>NO SE REQUIERE</v>
      </c>
      <c r="M65" s="581" t="str">
        <f>+$F$15</f>
        <v>REHABILITACIÓN REDES</v>
      </c>
      <c r="N65" s="581" t="str">
        <f>+$F$17</f>
        <v>REDES</v>
      </c>
      <c r="O65" s="581" t="str">
        <f>+$F$19</f>
        <v>REDES</v>
      </c>
      <c r="P65" s="550"/>
      <c r="Q65" s="552"/>
      <c r="R65" s="552"/>
    </row>
    <row r="66" spans="5:18" x14ac:dyDescent="0.2">
      <c r="G66" s="550"/>
      <c r="H66" s="582">
        <f>+$G$5</f>
        <v>23</v>
      </c>
      <c r="I66" s="582">
        <f>+$G$7</f>
        <v>23</v>
      </c>
      <c r="J66" s="582">
        <f>+$G$9</f>
        <v>35</v>
      </c>
      <c r="K66" s="582">
        <f>+$G$11</f>
        <v>45</v>
      </c>
      <c r="L66" s="582">
        <f>+$G$13</f>
        <v>0</v>
      </c>
      <c r="M66" s="582">
        <f>+$G$15</f>
        <v>45</v>
      </c>
      <c r="N66" s="582">
        <f>+$G$17</f>
        <v>45</v>
      </c>
      <c r="O66" s="582">
        <f>+$G$19</f>
        <v>45</v>
      </c>
      <c r="P66" s="551"/>
    </row>
    <row r="67" spans="5:18" x14ac:dyDescent="0.2">
      <c r="G67" s="583">
        <f>+H$2</f>
        <v>2025</v>
      </c>
      <c r="H67" s="584">
        <f>(H53/(1+PARÁMETROS!$C$10)^$P67)*PARÁMETROS!$C$4</f>
        <v>0</v>
      </c>
      <c r="I67" s="584">
        <f>(I53/(1+PARÁMETROS!$C$10)^$P67)*PARÁMETROS!$C$4</f>
        <v>0</v>
      </c>
      <c r="J67" s="584">
        <f>(J53/(1+PARÁMETROS!$C$10)^$P67)*PARÁMETROS!$C$4</f>
        <v>0</v>
      </c>
      <c r="K67" s="584">
        <f>(K53/(1+PARÁMETROS!$C$10)^$P67)*PARÁMETROS!$C$4</f>
        <v>0</v>
      </c>
      <c r="L67" s="584">
        <f>(L53/(1+PARÁMETROS!$C$10)^$P67)*PARÁMETROS!$C$4</f>
        <v>0</v>
      </c>
      <c r="M67" s="584">
        <f>(M53/(1+PARÁMETROS!$C$10)^$P67)*PARÁMETROS!$C$4</f>
        <v>0</v>
      </c>
      <c r="N67" s="584">
        <f>(N53/(1+PARÁMETROS!$C$10)^$P67)*PARÁMETROS!$C$4</f>
        <v>0</v>
      </c>
      <c r="O67" s="584">
        <f>(O53/(1+PARÁMETROS!$C$10)^$P67)*PARÁMETROS!$C$4</f>
        <v>0</v>
      </c>
      <c r="P67" s="585">
        <f>+$H$3</f>
        <v>0</v>
      </c>
    </row>
    <row r="68" spans="5:18" x14ac:dyDescent="0.2">
      <c r="F68" s="1391">
        <f>+N68*((1+PARÁMETROS!C10)/PARÁMETROS!C4)</f>
        <v>0</v>
      </c>
      <c r="G68" s="583">
        <f>+I$2</f>
        <v>2026</v>
      </c>
      <c r="H68" s="584">
        <f>(H54/(1+PARÁMETROS!$C$10)^$P68)*PARÁMETROS!$C$4</f>
        <v>19671246.467960708</v>
      </c>
      <c r="I68" s="584">
        <f>(I54/(1+PARÁMETROS!$C$10)^$P68)*PARÁMETROS!$C$4</f>
        <v>290927089.32178879</v>
      </c>
      <c r="J68" s="584">
        <f>(J54/(1+PARÁMETROS!$C$10)^$P68)*PARÁMETROS!$C$4</f>
        <v>457899884.58817512</v>
      </c>
      <c r="K68" s="584">
        <f>(K54/(1+PARÁMETROS!$C$10)^$P68)*PARÁMETROS!$C$4</f>
        <v>3694767.6620469596</v>
      </c>
      <c r="L68" s="584">
        <f>(L54/(1+PARÁMETROS!$C$10)^$P68)*PARÁMETROS!$C$4</f>
        <v>182564111.13095859</v>
      </c>
      <c r="M68" s="584">
        <f>(M54/(1+PARÁMETROS!$C$10)^$P68)*PARÁMETROS!$C$4</f>
        <v>0</v>
      </c>
      <c r="N68" s="584">
        <f>(N54/(1+PARÁMETROS!$C$10)^$P68)*PARÁMETROS!$C$4</f>
        <v>0</v>
      </c>
      <c r="O68" s="584">
        <f>(O54/(1+PARÁMETROS!$C$10)^$P68)*PARÁMETROS!$C$4</f>
        <v>0</v>
      </c>
      <c r="P68" s="585">
        <f>+$I$3</f>
        <v>1</v>
      </c>
    </row>
    <row r="69" spans="5:18" x14ac:dyDescent="0.2">
      <c r="F69" s="1391">
        <f>+N68*(1+PARÁMETROS!C10)/PARÁMETROS!C4</f>
        <v>0</v>
      </c>
      <c r="G69" s="583">
        <f>+J$2</f>
        <v>2027</v>
      </c>
      <c r="H69" s="584">
        <f>(H55/(1+PARÁMETROS!$C$10)^$P69)*PARÁMETROS!$C$4</f>
        <v>155817460.36657271</v>
      </c>
      <c r="I69" s="584">
        <f>(I55/(1+PARÁMETROS!$C$10)^$P69)*PARÁMETROS!$C$4</f>
        <v>424438265.6717186</v>
      </c>
      <c r="J69" s="584">
        <f>(J55/(1+PARÁMETROS!$C$10)^$P69)*PARÁMETROS!$C$4</f>
        <v>501620585.24212873</v>
      </c>
      <c r="K69" s="584">
        <f>(K55/(1+PARÁMETROS!$C$10)^$P69)*PARÁMETROS!$C$4</f>
        <v>23580680.525948294</v>
      </c>
      <c r="L69" s="584">
        <f>(L55/(1+PARÁMETROS!$C$10)^$P69)*PARÁMETROS!$C$4</f>
        <v>182564111.13095859</v>
      </c>
      <c r="M69" s="584">
        <f>(M55/(1+PARÁMETROS!$C$10)^$P69)*PARÁMETROS!$C$4</f>
        <v>611554989.46373248</v>
      </c>
      <c r="N69" s="584">
        <f>(N55/(1+PARÁMETROS!$C$10)^$P69)*PARÁMETROS!$C$4</f>
        <v>3410222003.4983039</v>
      </c>
      <c r="O69" s="584">
        <f>(O55/(1+PARÁMETROS!$C$10)^$P69)*PARÁMETROS!$C$4</f>
        <v>0</v>
      </c>
      <c r="P69" s="585">
        <f>+$J$3</f>
        <v>2</v>
      </c>
    </row>
    <row r="70" spans="5:18" x14ac:dyDescent="0.2">
      <c r="G70" s="583">
        <f>+K$2</f>
        <v>2028</v>
      </c>
      <c r="H70" s="584">
        <f>(H56/(1+PARÁMETROS!$C$10)^$P70)*PARÁMETROS!$C$4</f>
        <v>19671246.467960708</v>
      </c>
      <c r="I70" s="584">
        <f>(I56/(1+PARÁMETROS!$C$10)^$P70)*PARÁMETROS!$C$4</f>
        <v>342730027.12324625</v>
      </c>
      <c r="J70" s="584">
        <f>(J56/(1+PARÁMETROS!$C$10)^$P70)*PARÁMETROS!$C$4</f>
        <v>338636003.59959525</v>
      </c>
      <c r="K70" s="584">
        <f>(K56/(1+PARÁMETROS!$C$10)^$P70)*PARÁMETROS!$C$4</f>
        <v>20159531.161544681</v>
      </c>
      <c r="L70" s="584">
        <f>(L56/(1+PARÁMETROS!$C$10)^$P70)*PARÁMETROS!$C$4</f>
        <v>182564111.13095859</v>
      </c>
      <c r="M70" s="584">
        <f>(M56/(1+PARÁMETROS!$C$10)^$P70)*PARÁMETROS!$C$4</f>
        <v>257258799.37705919</v>
      </c>
      <c r="N70" s="584">
        <f>(N56/(1+PARÁMETROS!$C$10)^$P70)*PARÁMETROS!$C$4</f>
        <v>2708748274.8491516</v>
      </c>
      <c r="O70" s="584">
        <f>(O56/(1+PARÁMETROS!$C$10)^$P70)*PARÁMETROS!$C$4</f>
        <v>0</v>
      </c>
      <c r="P70" s="585">
        <f>+$K$3</f>
        <v>3</v>
      </c>
    </row>
    <row r="71" spans="5:18" x14ac:dyDescent="0.2">
      <c r="G71" s="583">
        <f>+L$2</f>
        <v>2029</v>
      </c>
      <c r="H71" s="584">
        <f>(H57/(1+PARÁMETROS!$C$10)^$P71)*PARÁMETROS!$C$4</f>
        <v>18198458.295112241</v>
      </c>
      <c r="I71" s="584">
        <f>(I57/(1+PARÁMETROS!$C$10)^$P71)*PARÁMETROS!$C$4</f>
        <v>587965242.50099516</v>
      </c>
      <c r="J71" s="584">
        <f>(J57/(1+PARÁMETROS!$C$10)^$P71)*PARÁMETROS!$C$4</f>
        <v>42948911.034252018</v>
      </c>
      <c r="K71" s="584">
        <f>(K57/(1+PARÁMETROS!$C$10)^$P71)*PARÁMETROS!$C$4</f>
        <v>23740256.842132706</v>
      </c>
      <c r="L71" s="584">
        <f>(L57/(1+PARÁMETROS!$C$10)^$P71)*PARÁMETROS!$C$4</f>
        <v>182564111.13095859</v>
      </c>
      <c r="M71" s="584">
        <f>(M57/(1+PARÁMETROS!$C$10)^$P71)*PARÁMETROS!$C$4</f>
        <v>426601786.47694588</v>
      </c>
      <c r="N71" s="584">
        <f>(N57/(1+PARÁMETROS!$C$10)^$P71)*PARÁMETROS!$C$4</f>
        <v>3788421935.8387451</v>
      </c>
      <c r="O71" s="584">
        <f>(O57/(1+PARÁMETROS!$C$10)^$P71)*PARÁMETROS!$C$4</f>
        <v>0</v>
      </c>
      <c r="P71" s="585">
        <f>+$L$3</f>
        <v>4</v>
      </c>
    </row>
    <row r="72" spans="5:18" x14ac:dyDescent="0.2">
      <c r="G72" s="583">
        <f>+M$2</f>
        <v>2030</v>
      </c>
      <c r="H72" s="584">
        <f>(H58/(1+PARÁMETROS!$C$10)^$P72)*PARÁMETROS!$C$4</f>
        <v>0</v>
      </c>
      <c r="I72" s="584">
        <f>(I58/(1+PARÁMETROS!$C$10)^$P72)*PARÁMETROS!$C$4</f>
        <v>162198079.49906781</v>
      </c>
      <c r="J72" s="584">
        <f>(J58/(1+PARÁMETROS!$C$10)^$P72)*PARÁMETROS!$C$4</f>
        <v>49309651.718624085</v>
      </c>
      <c r="K72" s="584">
        <f>(K58/(1+PARÁMETROS!$C$10)^$P72)*PARÁMETROS!$C$4</f>
        <v>6055019.8655763008</v>
      </c>
      <c r="L72" s="584">
        <f>(L58/(1+PARÁMETROS!$C$10)^$P72)*PARÁMETROS!$C$4</f>
        <v>182564111.13095859</v>
      </c>
      <c r="M72" s="584">
        <f>(M58/(1+PARÁMETROS!$C$10)^$P72)*PARÁMETROS!$C$4</f>
        <v>358819367.65486312</v>
      </c>
      <c r="N72" s="584">
        <f>(N58/(1+PARÁMETROS!$C$10)^$P72)*PARÁMETROS!$C$4</f>
        <v>3229587745.4368062</v>
      </c>
      <c r="O72" s="584">
        <f>(O58/(1+PARÁMETROS!$C$10)^$P72)*PARÁMETROS!$C$4</f>
        <v>0</v>
      </c>
      <c r="P72" s="585">
        <f>+$M$3</f>
        <v>5</v>
      </c>
    </row>
    <row r="73" spans="5:18" x14ac:dyDescent="0.2">
      <c r="G73" s="583">
        <f>+N$2</f>
        <v>2031</v>
      </c>
      <c r="H73" s="584">
        <f>(H59/(1+PARÁMETROS!$C$10)^$P73)*PARÁMETROS!$C$4</f>
        <v>42323102.712381244</v>
      </c>
      <c r="I73" s="584">
        <f>(I59/(1+PARÁMETROS!$C$10)^$P73)*PARÁMETROS!$C$4</f>
        <v>57444734.606563888</v>
      </c>
      <c r="J73" s="584">
        <f>(J59/(1+PARÁMETROS!$C$10)^$P73)*PARÁMETROS!$C$4</f>
        <v>0</v>
      </c>
      <c r="K73" s="584">
        <f>(K59/(1+PARÁMETROS!$C$10)^$P73)*PARÁMETROS!$C$4</f>
        <v>8363307.6816903232</v>
      </c>
      <c r="L73" s="584">
        <f>(L59/(1+PARÁMETROS!$C$10)^$P73)*PARÁMETROS!$C$4</f>
        <v>0</v>
      </c>
      <c r="M73" s="584">
        <f>(M59/(1+PARÁMETROS!$C$10)^$P73)*PARÁMETROS!$C$4</f>
        <v>1076231401.3037224</v>
      </c>
      <c r="N73" s="584">
        <f>(N59/(1+PARÁMETROS!$C$10)^$P73)*PARÁMETROS!$C$4</f>
        <v>3975561272.1375804</v>
      </c>
      <c r="O73" s="584">
        <f>(O59/(1+PARÁMETROS!$C$10)^$P73)*PARÁMETROS!$C$4</f>
        <v>0</v>
      </c>
      <c r="P73" s="585">
        <f>+$N$3</f>
        <v>6</v>
      </c>
    </row>
    <row r="74" spans="5:18" x14ac:dyDescent="0.2">
      <c r="G74" s="583">
        <f>+O$2</f>
        <v>2032</v>
      </c>
      <c r="H74" s="584">
        <f>(H60/(1+PARÁMETROS!$C$10)^$P74)*PARÁMETROS!$C$4</f>
        <v>19671246.467960708</v>
      </c>
      <c r="I74" s="584">
        <f>(I60/(1+PARÁMETROS!$C$10)^$P74)*PARÁMETROS!$C$4</f>
        <v>0</v>
      </c>
      <c r="J74" s="584">
        <f>(J60/(1+PARÁMETROS!$C$10)^$P74)*PARÁMETROS!$C$4</f>
        <v>0</v>
      </c>
      <c r="K74" s="584">
        <f>(K60/(1+PARÁMETROS!$C$10)^$P74)*PARÁMETROS!$C$4</f>
        <v>5080305.5353145692</v>
      </c>
      <c r="L74" s="584">
        <f>(L60/(1+PARÁMETROS!$C$10)^$P74)*PARÁMETROS!$C$4</f>
        <v>0</v>
      </c>
      <c r="M74" s="584">
        <f>(M60/(1+PARÁMETROS!$C$10)^$P74)*PARÁMETROS!$C$4</f>
        <v>658254709.55816746</v>
      </c>
      <c r="N74" s="584">
        <f>(N60/(1+PARÁMETROS!$C$10)^$P74)*PARÁMETROS!$C$4</f>
        <v>0</v>
      </c>
      <c r="O74" s="584">
        <f>(O60/(1+PARÁMETROS!$C$10)^$P74)*PARÁMETROS!$C$4</f>
        <v>0</v>
      </c>
      <c r="P74" s="585">
        <f>+$O$3</f>
        <v>7</v>
      </c>
    </row>
    <row r="75" spans="5:18" x14ac:dyDescent="0.2">
      <c r="G75" s="583">
        <f>+P$2</f>
        <v>2033</v>
      </c>
      <c r="H75" s="584">
        <f>(H61/(1+PARÁMETROS!$C$10)^$P75)*PARÁMETROS!$C$4</f>
        <v>0</v>
      </c>
      <c r="I75" s="584">
        <f>(I61/(1+PARÁMETROS!$C$10)^$P75)*PARÁMETROS!$C$4</f>
        <v>0</v>
      </c>
      <c r="J75" s="584">
        <f>(J61/(1+PARÁMETROS!$C$10)^$P75)*PARÁMETROS!$C$4</f>
        <v>0</v>
      </c>
      <c r="K75" s="584">
        <f>(K61/(1+PARÁMETROS!$C$10)^$P75)*PARÁMETROS!$C$4</f>
        <v>5080305.5353145692</v>
      </c>
      <c r="L75" s="584">
        <f>(L61/(1+PARÁMETROS!$C$10)^$P75)*PARÁMETROS!$C$4</f>
        <v>0</v>
      </c>
      <c r="M75" s="584">
        <f>(M61/(1+PARÁMETROS!$C$10)^$P75)*PARÁMETROS!$C$4</f>
        <v>1170325251.0100634</v>
      </c>
      <c r="N75" s="584">
        <f>(N61/(1+PARÁMETROS!$C$10)^$P75)*PARÁMETROS!$C$4</f>
        <v>0</v>
      </c>
      <c r="O75" s="584">
        <f>(O61/(1+PARÁMETROS!$C$10)^$P75)*PARÁMETROS!$C$4</f>
        <v>0</v>
      </c>
      <c r="P75" s="585">
        <f>+$P$3</f>
        <v>8</v>
      </c>
    </row>
    <row r="76" spans="5:18" x14ac:dyDescent="0.2">
      <c r="G76" s="583">
        <f>+Q$2</f>
        <v>2034</v>
      </c>
      <c r="H76" s="584">
        <f>(H62/(1+PARÁMETROS!$C$10)^$P76)*PARÁMETROS!$C$4</f>
        <v>4549614.5737780603</v>
      </c>
      <c r="I76" s="584">
        <f>(I62/(1+PARÁMETROS!$C$10)^$P76)*PARÁMETROS!$C$4</f>
        <v>0</v>
      </c>
      <c r="J76" s="584">
        <f>(J62/(1+PARÁMETROS!$C$10)^$P76)*PARÁMETROS!$C$4</f>
        <v>0</v>
      </c>
      <c r="K76" s="584">
        <f>(K62/(1+PARÁMETROS!$C$10)^$P76)*PARÁMETROS!$C$4</f>
        <v>5080305.5353145692</v>
      </c>
      <c r="L76" s="584">
        <f>(L62/(1+PARÁMETROS!$C$10)^$P76)*PARÁMETROS!$C$4</f>
        <v>0</v>
      </c>
      <c r="M76" s="584">
        <f>(M62/(1+PARÁMETROS!$C$10)^$P76)*PARÁMETROS!$C$4</f>
        <v>708464993.44522178</v>
      </c>
      <c r="N76" s="584">
        <f>(N62/(1+PARÁMETROS!$C$10)^$P76)*PARÁMETROS!$C$4</f>
        <v>0</v>
      </c>
      <c r="O76" s="584">
        <f>(O62/(1+PARÁMETROS!$C$10)^$P76)*PARÁMETROS!$C$4</f>
        <v>0</v>
      </c>
      <c r="P76" s="585">
        <f>+$Q$3</f>
        <v>9</v>
      </c>
    </row>
    <row r="77" spans="5:18" x14ac:dyDescent="0.2">
      <c r="G77" s="583">
        <f>+R$2</f>
        <v>2035</v>
      </c>
      <c r="H77" s="584">
        <f>(H63/(1+PARÁMETROS!$C$10)^$P77)*PARÁMETROS!$C$4</f>
        <v>0</v>
      </c>
      <c r="I77" s="584">
        <f>(I63/(1+PARÁMETROS!$C$10)^$P77)*PARÁMETROS!$C$4</f>
        <v>0</v>
      </c>
      <c r="J77" s="584">
        <f>(J63/(1+PARÁMETROS!$C$10)^$P77)*PARÁMETROS!$C$4</f>
        <v>0</v>
      </c>
      <c r="K77" s="584">
        <f>(K63/(1+PARÁMETROS!$C$10)^$P77)*PARÁMETROS!$C$4</f>
        <v>5080305.5353145692</v>
      </c>
      <c r="L77" s="584">
        <f>(L63/(1+PARÁMETROS!$C$10)^$P77)*PARÁMETROS!$C$4</f>
        <v>0</v>
      </c>
      <c r="M77" s="584">
        <f>(M63/(1+PARÁMETROS!$C$10)^$P77)*PARÁMETROS!$C$4</f>
        <v>660336978.95129299</v>
      </c>
      <c r="N77" s="584">
        <f>(N63/(1+PARÁMETROS!$C$10)^$P77)*PARÁMETROS!$C$4</f>
        <v>0</v>
      </c>
      <c r="O77" s="584">
        <f>(O63/(1+PARÁMETROS!$C$10)^$P77)*PARÁMETROS!$C$4</f>
        <v>0</v>
      </c>
      <c r="P77" s="585">
        <f>+$R$3</f>
        <v>10</v>
      </c>
      <c r="Q77" s="552"/>
      <c r="R77" s="552"/>
    </row>
    <row r="78" spans="5:18" x14ac:dyDescent="0.2">
      <c r="H78" s="552"/>
      <c r="I78" s="552"/>
      <c r="J78" s="552"/>
      <c r="K78" s="552"/>
      <c r="L78" s="552"/>
      <c r="M78" s="552"/>
      <c r="N78" s="552"/>
      <c r="O78" s="552"/>
      <c r="P78" s="552"/>
      <c r="Q78" s="552"/>
      <c r="R78" s="552"/>
    </row>
    <row r="79" spans="5:18" ht="13.5" thickBot="1" x14ac:dyDescent="0.25">
      <c r="E79" s="533" t="s">
        <v>552</v>
      </c>
      <c r="H79" s="552"/>
      <c r="I79" s="552"/>
      <c r="J79" s="552"/>
      <c r="K79" s="552"/>
      <c r="L79" s="552"/>
      <c r="M79" s="552"/>
      <c r="N79" s="552"/>
      <c r="O79" s="552"/>
      <c r="P79" s="552"/>
      <c r="Q79" s="552"/>
      <c r="R79" s="552"/>
    </row>
    <row r="80" spans="5:18" ht="15" customHeight="1" x14ac:dyDescent="0.2">
      <c r="E80" s="1777" t="s">
        <v>365</v>
      </c>
      <c r="F80" s="1777" t="s">
        <v>390</v>
      </c>
      <c r="G80" s="1777" t="s">
        <v>378</v>
      </c>
      <c r="H80" s="586">
        <f>+I2</f>
        <v>2026</v>
      </c>
      <c r="I80" s="587">
        <f t="shared" ref="I80:Q80" si="13">+J2</f>
        <v>2027</v>
      </c>
      <c r="J80" s="587">
        <f t="shared" si="13"/>
        <v>2028</v>
      </c>
      <c r="K80" s="587">
        <f t="shared" si="13"/>
        <v>2029</v>
      </c>
      <c r="L80" s="587">
        <f t="shared" si="13"/>
        <v>2030</v>
      </c>
      <c r="M80" s="587">
        <f t="shared" si="13"/>
        <v>2031</v>
      </c>
      <c r="N80" s="587">
        <f t="shared" si="13"/>
        <v>2032</v>
      </c>
      <c r="O80" s="587">
        <f t="shared" si="13"/>
        <v>2033</v>
      </c>
      <c r="P80" s="587">
        <f t="shared" si="13"/>
        <v>2034</v>
      </c>
      <c r="Q80" s="587">
        <f t="shared" si="13"/>
        <v>2035</v>
      </c>
      <c r="R80" s="553">
        <v>2032</v>
      </c>
    </row>
    <row r="81" spans="5:19" ht="13.5" thickBot="1" x14ac:dyDescent="0.25">
      <c r="E81" s="1778"/>
      <c r="F81" s="1778"/>
      <c r="G81" s="1778"/>
      <c r="H81" s="588">
        <f>+I3</f>
        <v>1</v>
      </c>
      <c r="I81" s="589">
        <f t="shared" ref="I81:Q81" si="14">+J3</f>
        <v>2</v>
      </c>
      <c r="J81" s="589">
        <f t="shared" si="14"/>
        <v>3</v>
      </c>
      <c r="K81" s="589">
        <f t="shared" si="14"/>
        <v>4</v>
      </c>
      <c r="L81" s="589">
        <f t="shared" si="14"/>
        <v>5</v>
      </c>
      <c r="M81" s="589">
        <f t="shared" si="14"/>
        <v>6</v>
      </c>
      <c r="N81" s="589">
        <f t="shared" si="14"/>
        <v>7</v>
      </c>
      <c r="O81" s="589">
        <f t="shared" si="14"/>
        <v>8</v>
      </c>
      <c r="P81" s="589">
        <f t="shared" si="14"/>
        <v>9</v>
      </c>
      <c r="Q81" s="589">
        <f t="shared" si="14"/>
        <v>10</v>
      </c>
      <c r="R81" s="554">
        <v>11</v>
      </c>
    </row>
    <row r="82" spans="5:19" ht="13.5" thickBot="1" x14ac:dyDescent="0.25">
      <c r="E82" s="1779"/>
      <c r="F82" s="1779"/>
      <c r="G82" s="1779"/>
      <c r="H82" s="555" t="s">
        <v>379</v>
      </c>
      <c r="I82" s="555" t="s">
        <v>380</v>
      </c>
      <c r="J82" s="555" t="s">
        <v>381</v>
      </c>
      <c r="K82" s="555" t="s">
        <v>382</v>
      </c>
      <c r="L82" s="555" t="s">
        <v>383</v>
      </c>
      <c r="M82" s="555" t="s">
        <v>384</v>
      </c>
      <c r="N82" s="555" t="s">
        <v>385</v>
      </c>
      <c r="O82" s="555" t="s">
        <v>386</v>
      </c>
      <c r="P82" s="555" t="s">
        <v>387</v>
      </c>
      <c r="Q82" s="555" t="s">
        <v>388</v>
      </c>
      <c r="R82" s="556" t="s">
        <v>389</v>
      </c>
    </row>
    <row r="83" spans="5:19" x14ac:dyDescent="0.2">
      <c r="E83" s="557">
        <v>1</v>
      </c>
      <c r="F83" s="590" t="str">
        <f>+$F$5</f>
        <v>MACROMEDIDORES</v>
      </c>
      <c r="G83" s="591">
        <f>+$G$5</f>
        <v>23</v>
      </c>
      <c r="H83" s="592">
        <f t="shared" ref="H83:R83" si="15">IF($G83=0,0,H5/$G83)</f>
        <v>0</v>
      </c>
      <c r="I83" s="593">
        <f t="shared" si="15"/>
        <v>1671658.8082265723</v>
      </c>
      <c r="J83" s="593">
        <f>IF($G83=0,0,J5/$G83)</f>
        <v>13712675.168157492</v>
      </c>
      <c r="K83" s="593">
        <f t="shared" si="15"/>
        <v>1792785.1748216937</v>
      </c>
      <c r="L83" s="593">
        <f t="shared" si="15"/>
        <v>1717597.0111395237</v>
      </c>
      <c r="M83" s="593">
        <f t="shared" si="15"/>
        <v>0</v>
      </c>
      <c r="N83" s="593">
        <f t="shared" si="15"/>
        <v>4283953.8881496284</v>
      </c>
      <c r="O83" s="593">
        <f t="shared" si="15"/>
        <v>2062003.8629694898</v>
      </c>
      <c r="P83" s="593">
        <f t="shared" si="15"/>
        <v>0</v>
      </c>
      <c r="Q83" s="593">
        <f t="shared" si="15"/>
        <v>511461.34021311527</v>
      </c>
      <c r="R83" s="594">
        <f t="shared" si="15"/>
        <v>0</v>
      </c>
    </row>
    <row r="84" spans="5:19" x14ac:dyDescent="0.2">
      <c r="E84" s="558">
        <v>2</v>
      </c>
      <c r="F84" s="595" t="str">
        <f>+$F$7</f>
        <v>MACROMEDIDORES</v>
      </c>
      <c r="G84" s="596">
        <f>+$G$7</f>
        <v>23</v>
      </c>
      <c r="H84" s="597">
        <f t="shared" ref="H84:R84" si="16">IF($G84=0,0,H7/$G84)</f>
        <v>0</v>
      </c>
      <c r="I84" s="584">
        <f>IF($G84=0,0,I54/$G84)</f>
        <v>24722929.083756447</v>
      </c>
      <c r="J84" s="584">
        <f>IF($G84=0,0,I55/$G84)</f>
        <v>37352579.437503159</v>
      </c>
      <c r="K84" s="584">
        <f>IF($G84=0,0,I56/$G84)</f>
        <v>31235504.704470884</v>
      </c>
      <c r="L84" s="584">
        <f>IF($G84=0,0,I57/$G84)</f>
        <v>55493016.320227034</v>
      </c>
      <c r="M84" s="584">
        <f t="shared" si="16"/>
        <v>15853409.989829857</v>
      </c>
      <c r="N84" s="584">
        <f t="shared" si="16"/>
        <v>5814568.8382983627</v>
      </c>
      <c r="O84" s="584">
        <f t="shared" si="16"/>
        <v>0</v>
      </c>
      <c r="P84" s="584">
        <f t="shared" si="16"/>
        <v>0</v>
      </c>
      <c r="Q84" s="584">
        <f t="shared" si="16"/>
        <v>0</v>
      </c>
      <c r="R84" s="598">
        <f t="shared" si="16"/>
        <v>0</v>
      </c>
    </row>
    <row r="85" spans="5:19" ht="25.5" x14ac:dyDescent="0.2">
      <c r="E85" s="558">
        <v>3</v>
      </c>
      <c r="F85" s="595" t="str">
        <f>+$F$9</f>
        <v>ESTACIONES REDUCTORAS DE PRESIÓN</v>
      </c>
      <c r="G85" s="596">
        <f>+$G$9</f>
        <v>35</v>
      </c>
      <c r="H85" s="597">
        <f t="shared" ref="H85:R85" si="17">IF($G85=0,0,H9/$G85)</f>
        <v>0</v>
      </c>
      <c r="I85" s="584">
        <f>IF($G85=0,0,J54/$G85)</f>
        <v>25570904.302818574</v>
      </c>
      <c r="J85" s="584">
        <f>IF($G85=0,0,J55/$G85)</f>
        <v>29009564.491826788</v>
      </c>
      <c r="K85" s="584">
        <f t="shared" si="17"/>
        <v>20280996.691969629</v>
      </c>
      <c r="L85" s="584">
        <f t="shared" si="17"/>
        <v>2663781.6718018432</v>
      </c>
      <c r="M85" s="584">
        <f t="shared" si="17"/>
        <v>3167150.5665881732</v>
      </c>
      <c r="N85" s="584">
        <f t="shared" si="17"/>
        <v>0</v>
      </c>
      <c r="O85" s="584">
        <f t="shared" si="17"/>
        <v>0</v>
      </c>
      <c r="P85" s="584">
        <f t="shared" si="17"/>
        <v>0</v>
      </c>
      <c r="Q85" s="584">
        <f t="shared" si="17"/>
        <v>0</v>
      </c>
      <c r="R85" s="598">
        <f t="shared" si="17"/>
        <v>0</v>
      </c>
    </row>
    <row r="86" spans="5:19" x14ac:dyDescent="0.2">
      <c r="E86" s="558">
        <v>4</v>
      </c>
      <c r="F86" s="595" t="str">
        <f>+$F$11</f>
        <v>REHABILITACIÓN TANQUES</v>
      </c>
      <c r="G86" s="596">
        <f>+$G$11</f>
        <v>45</v>
      </c>
      <c r="H86" s="597">
        <f t="shared" ref="H86:R86" si="18">IF($G86=0,0,H11/$G86)</f>
        <v>0</v>
      </c>
      <c r="I86" s="584">
        <f t="shared" si="18"/>
        <v>160479.00289777777</v>
      </c>
      <c r="J86" s="584">
        <f t="shared" si="18"/>
        <v>1060663.7429494362</v>
      </c>
      <c r="K86" s="584">
        <f t="shared" si="18"/>
        <v>939057.36318990379</v>
      </c>
      <c r="L86" s="584">
        <f t="shared" si="18"/>
        <v>1145216.0168897626</v>
      </c>
      <c r="M86" s="584">
        <f t="shared" si="18"/>
        <v>302487.81032374629</v>
      </c>
      <c r="N86" s="584">
        <f t="shared" si="18"/>
        <v>432673.88772285421</v>
      </c>
      <c r="O86" s="584">
        <f t="shared" si="18"/>
        <v>272184.09828867804</v>
      </c>
      <c r="P86" s="584">
        <f t="shared" si="18"/>
        <v>281872.725345588</v>
      </c>
      <c r="Q86" s="584">
        <f t="shared" si="18"/>
        <v>291906.227414808</v>
      </c>
      <c r="R86" s="598">
        <f t="shared" si="18"/>
        <v>302296.88061899366</v>
      </c>
    </row>
    <row r="87" spans="5:19" x14ac:dyDescent="0.2">
      <c r="E87" s="558">
        <v>5</v>
      </c>
      <c r="F87" s="595" t="str">
        <f>+$F$13</f>
        <v>NO SE REQUIERE</v>
      </c>
      <c r="G87" s="596">
        <f>+$G$13</f>
        <v>0</v>
      </c>
      <c r="H87" s="597">
        <f t="shared" ref="H87:R87" si="19">IF($G87=0,0,H13/$G87)</f>
        <v>0</v>
      </c>
      <c r="I87" s="584">
        <f t="shared" si="19"/>
        <v>0</v>
      </c>
      <c r="J87" s="584">
        <f t="shared" si="19"/>
        <v>0</v>
      </c>
      <c r="K87" s="584">
        <f t="shared" si="19"/>
        <v>0</v>
      </c>
      <c r="L87" s="584">
        <f t="shared" si="19"/>
        <v>0</v>
      </c>
      <c r="M87" s="584">
        <f t="shared" si="19"/>
        <v>0</v>
      </c>
      <c r="N87" s="584">
        <f t="shared" si="19"/>
        <v>0</v>
      </c>
      <c r="O87" s="584">
        <f t="shared" si="19"/>
        <v>0</v>
      </c>
      <c r="P87" s="584">
        <f t="shared" si="19"/>
        <v>0</v>
      </c>
      <c r="Q87" s="584">
        <f t="shared" si="19"/>
        <v>0</v>
      </c>
      <c r="R87" s="598">
        <f t="shared" si="19"/>
        <v>0</v>
      </c>
    </row>
    <row r="88" spans="5:19" x14ac:dyDescent="0.2">
      <c r="E88" s="558">
        <v>6</v>
      </c>
      <c r="F88" s="595" t="str">
        <f>+$F$15</f>
        <v>REHABILITACIÓN REDES</v>
      </c>
      <c r="G88" s="596">
        <f>+$G$15</f>
        <v>45</v>
      </c>
      <c r="H88" s="597">
        <f t="shared" ref="H88:R88" si="20">IF($G88=0,0,H15/$G88)</f>
        <v>0</v>
      </c>
      <c r="I88" s="584">
        <f>IF($G88=0,0,M54/$G88)</f>
        <v>0</v>
      </c>
      <c r="J88" s="584">
        <f>IF($G88=0,0,M55/$G88)</f>
        <v>27507866.17164094</v>
      </c>
      <c r="K88" s="584">
        <f>IF($G88=0,0,M56/$G88)</f>
        <v>11983451.79084567</v>
      </c>
      <c r="L88" s="584">
        <f>IF($G88=0,0,M57/$G88)</f>
        <v>20579019.087954231</v>
      </c>
      <c r="M88" s="584">
        <f t="shared" si="20"/>
        <v>17925372.209053919</v>
      </c>
      <c r="N88" s="584">
        <f t="shared" si="20"/>
        <v>55678595.385286853</v>
      </c>
      <c r="O88" s="584">
        <f t="shared" si="20"/>
        <v>35266867.970820107</v>
      </c>
      <c r="P88" s="584">
        <f t="shared" si="20"/>
        <v>64933647.346574374</v>
      </c>
      <c r="Q88" s="584">
        <f t="shared" si="20"/>
        <v>40707264.957686476</v>
      </c>
      <c r="R88" s="598">
        <f t="shared" si="20"/>
        <v>39292481.034211203</v>
      </c>
    </row>
    <row r="89" spans="5:19" x14ac:dyDescent="0.2">
      <c r="E89" s="558">
        <v>7</v>
      </c>
      <c r="F89" s="595" t="str">
        <f>+$F$17</f>
        <v>REDES</v>
      </c>
      <c r="G89" s="596">
        <f>+$G$17</f>
        <v>45</v>
      </c>
      <c r="H89" s="597">
        <f t="shared" ref="H89:R89" si="21">IF($G89=0,0,H17/$G89)</f>
        <v>0</v>
      </c>
      <c r="I89" s="584">
        <f>IF($G89=0,0,N54/$G89)</f>
        <v>0</v>
      </c>
      <c r="J89" s="584">
        <f>IF($G89=0,0,N55/$G89)</f>
        <v>153392470.18502128</v>
      </c>
      <c r="K89" s="584">
        <f>IF($G89=0,0,N56/$G89)</f>
        <v>126177042.12175448</v>
      </c>
      <c r="L89" s="584">
        <f>IF($G89=0,0,N57/$G89)</f>
        <v>182751244.37403926</v>
      </c>
      <c r="M89" s="584">
        <f t="shared" si="21"/>
        <v>161339012.43156439</v>
      </c>
      <c r="N89" s="584">
        <f t="shared" si="21"/>
        <v>205674790.04294223</v>
      </c>
      <c r="O89" s="584">
        <f t="shared" si="21"/>
        <v>0</v>
      </c>
      <c r="P89" s="584">
        <f t="shared" si="21"/>
        <v>0</v>
      </c>
      <c r="Q89" s="584">
        <f t="shared" si="21"/>
        <v>0</v>
      </c>
      <c r="R89" s="598">
        <f t="shared" si="21"/>
        <v>0</v>
      </c>
    </row>
    <row r="90" spans="5:19" ht="13.5" thickBot="1" x14ac:dyDescent="0.25">
      <c r="E90" s="559">
        <v>8</v>
      </c>
      <c r="F90" s="599" t="str">
        <f>+$F$19</f>
        <v>REDES</v>
      </c>
      <c r="G90" s="600">
        <f>+$G$19</f>
        <v>45</v>
      </c>
      <c r="H90" s="601">
        <f t="shared" ref="H90:R90" si="22">IF($G90=0,0,H19/$G90)</f>
        <v>0</v>
      </c>
      <c r="I90" s="602">
        <f>IF($G90=0,0,O54/$G90)</f>
        <v>0</v>
      </c>
      <c r="J90" s="602">
        <f>IF($G90=0,0,O55/$G90)</f>
        <v>0</v>
      </c>
      <c r="K90" s="602">
        <f>IF($G90=0,0,O56/$G90)</f>
        <v>0</v>
      </c>
      <c r="L90" s="602">
        <f>IF($G90=0,0,O57/$G90)</f>
        <v>0</v>
      </c>
      <c r="M90" s="602">
        <f t="shared" si="22"/>
        <v>0</v>
      </c>
      <c r="N90" s="602">
        <f t="shared" si="22"/>
        <v>0</v>
      </c>
      <c r="O90" s="602">
        <f t="shared" si="22"/>
        <v>0</v>
      </c>
      <c r="P90" s="602">
        <f t="shared" si="22"/>
        <v>0</v>
      </c>
      <c r="Q90" s="602">
        <f t="shared" si="22"/>
        <v>0</v>
      </c>
      <c r="R90" s="603">
        <f t="shared" si="22"/>
        <v>0</v>
      </c>
    </row>
    <row r="91" spans="5:19" x14ac:dyDescent="0.2">
      <c r="I91" s="552"/>
    </row>
    <row r="92" spans="5:19" ht="13.5" thickBot="1" x14ac:dyDescent="0.25">
      <c r="E92" s="533" t="s">
        <v>553</v>
      </c>
      <c r="I92" s="552"/>
    </row>
    <row r="93" spans="5:19" ht="15" customHeight="1" x14ac:dyDescent="0.2">
      <c r="E93" s="1777" t="s">
        <v>365</v>
      </c>
      <c r="F93" s="1777" t="s">
        <v>390</v>
      </c>
      <c r="G93" s="1777" t="s">
        <v>378</v>
      </c>
      <c r="H93" s="586">
        <f>+H80</f>
        <v>2026</v>
      </c>
      <c r="I93" s="587">
        <f t="shared" ref="I93:R93" si="23">+I80</f>
        <v>2027</v>
      </c>
      <c r="J93" s="587">
        <f t="shared" si="23"/>
        <v>2028</v>
      </c>
      <c r="K93" s="587">
        <f t="shared" si="23"/>
        <v>2029</v>
      </c>
      <c r="L93" s="587">
        <f t="shared" si="23"/>
        <v>2030</v>
      </c>
      <c r="M93" s="587">
        <f t="shared" si="23"/>
        <v>2031</v>
      </c>
      <c r="N93" s="587">
        <f t="shared" si="23"/>
        <v>2032</v>
      </c>
      <c r="O93" s="587">
        <f t="shared" si="23"/>
        <v>2033</v>
      </c>
      <c r="P93" s="587">
        <f t="shared" si="23"/>
        <v>2034</v>
      </c>
      <c r="Q93" s="587">
        <f t="shared" si="23"/>
        <v>2035</v>
      </c>
      <c r="R93" s="604">
        <f t="shared" si="23"/>
        <v>2032</v>
      </c>
    </row>
    <row r="94" spans="5:19" ht="13.5" thickBot="1" x14ac:dyDescent="0.25">
      <c r="E94" s="1778"/>
      <c r="F94" s="1778"/>
      <c r="G94" s="1778"/>
      <c r="H94" s="588">
        <f>+H81</f>
        <v>1</v>
      </c>
      <c r="I94" s="589">
        <f t="shared" ref="I94:R94" si="24">+I81</f>
        <v>2</v>
      </c>
      <c r="J94" s="589">
        <f t="shared" si="24"/>
        <v>3</v>
      </c>
      <c r="K94" s="589">
        <f t="shared" si="24"/>
        <v>4</v>
      </c>
      <c r="L94" s="589">
        <f t="shared" si="24"/>
        <v>5</v>
      </c>
      <c r="M94" s="589">
        <f t="shared" si="24"/>
        <v>6</v>
      </c>
      <c r="N94" s="589">
        <f t="shared" si="24"/>
        <v>7</v>
      </c>
      <c r="O94" s="589">
        <f t="shared" si="24"/>
        <v>8</v>
      </c>
      <c r="P94" s="589">
        <f t="shared" si="24"/>
        <v>9</v>
      </c>
      <c r="Q94" s="589">
        <f t="shared" si="24"/>
        <v>10</v>
      </c>
      <c r="R94" s="605">
        <f t="shared" si="24"/>
        <v>11</v>
      </c>
    </row>
    <row r="95" spans="5:19" ht="15" customHeight="1" thickBot="1" x14ac:dyDescent="0.25">
      <c r="E95" s="1779"/>
      <c r="F95" s="1779"/>
      <c r="G95" s="1779"/>
      <c r="H95" s="560" t="s">
        <v>379</v>
      </c>
      <c r="I95" s="560" t="s">
        <v>380</v>
      </c>
      <c r="J95" s="560" t="s">
        <v>381</v>
      </c>
      <c r="K95" s="560" t="s">
        <v>382</v>
      </c>
      <c r="L95" s="560" t="s">
        <v>383</v>
      </c>
      <c r="M95" s="560" t="s">
        <v>384</v>
      </c>
      <c r="N95" s="560" t="s">
        <v>385</v>
      </c>
      <c r="O95" s="560" t="s">
        <v>386</v>
      </c>
      <c r="P95" s="560" t="s">
        <v>387</v>
      </c>
      <c r="Q95" s="560" t="s">
        <v>388</v>
      </c>
      <c r="R95" s="561" t="s">
        <v>389</v>
      </c>
    </row>
    <row r="96" spans="5:19" x14ac:dyDescent="0.2">
      <c r="E96" s="590">
        <f t="shared" ref="E96:G103" si="25">+E83</f>
        <v>1</v>
      </c>
      <c r="F96" s="590" t="str">
        <f t="shared" si="25"/>
        <v>MACROMEDIDORES</v>
      </c>
      <c r="G96" s="606">
        <f t="shared" si="25"/>
        <v>23</v>
      </c>
      <c r="H96" s="607">
        <f>SUM($H83:H83)</f>
        <v>0</v>
      </c>
      <c r="I96" s="608">
        <f>SUM($H83:I83)</f>
        <v>1671658.8082265723</v>
      </c>
      <c r="J96" s="608">
        <f>SUM($H83:J83)</f>
        <v>15384333.976384064</v>
      </c>
      <c r="K96" s="608">
        <f>SUM($H83:K83)</f>
        <v>17177119.151205759</v>
      </c>
      <c r="L96" s="608">
        <f>SUM($H83:L83)</f>
        <v>18894716.162345283</v>
      </c>
      <c r="M96" s="608">
        <f>SUM($H83:M83)</f>
        <v>18894716.162345283</v>
      </c>
      <c r="N96" s="608">
        <f>SUM($H83:N83)</f>
        <v>23178670.050494909</v>
      </c>
      <c r="O96" s="608">
        <f>SUM($H83:O83)</f>
        <v>25240673.913464397</v>
      </c>
      <c r="P96" s="608">
        <f>SUM($H83:P83)</f>
        <v>25240673.913464397</v>
      </c>
      <c r="Q96" s="608">
        <f>SUM($H83:Q83)</f>
        <v>25752135.253677513</v>
      </c>
      <c r="R96" s="609">
        <f>SUM($H83:R83)</f>
        <v>25752135.253677513</v>
      </c>
      <c r="S96" s="610" t="str">
        <f>+AP.1</f>
        <v>SI</v>
      </c>
    </row>
    <row r="97" spans="5:19" x14ac:dyDescent="0.2">
      <c r="E97" s="595">
        <f t="shared" si="25"/>
        <v>2</v>
      </c>
      <c r="F97" s="595" t="str">
        <f t="shared" si="25"/>
        <v>MACROMEDIDORES</v>
      </c>
      <c r="G97" s="611">
        <f t="shared" si="25"/>
        <v>23</v>
      </c>
      <c r="H97" s="612">
        <f>SUM($H84:H84)</f>
        <v>0</v>
      </c>
      <c r="I97" s="613">
        <f>SUM($H84:I84)</f>
        <v>24722929.083756447</v>
      </c>
      <c r="J97" s="613">
        <f>SUM($H84:J84)</f>
        <v>62075508.521259606</v>
      </c>
      <c r="K97" s="613">
        <f>SUM($H84:K84)</f>
        <v>93311013.225730494</v>
      </c>
      <c r="L97" s="613">
        <f>SUM($H84:L84)</f>
        <v>148804029.54595754</v>
      </c>
      <c r="M97" s="613">
        <f>SUM($H84:M84)</f>
        <v>164657439.5357874</v>
      </c>
      <c r="N97" s="613">
        <f>SUM($H84:N84)</f>
        <v>170472008.37408575</v>
      </c>
      <c r="O97" s="613">
        <f>SUM($H84:O84)</f>
        <v>170472008.37408575</v>
      </c>
      <c r="P97" s="613">
        <f>SUM($H84:P84)</f>
        <v>170472008.37408575</v>
      </c>
      <c r="Q97" s="613">
        <f>SUM($H84:Q84)</f>
        <v>170472008.37408575</v>
      </c>
      <c r="R97" s="614">
        <f>SUM($H84:R84)</f>
        <v>170472008.37408575</v>
      </c>
      <c r="S97" s="610" t="str">
        <f>+AP.2</f>
        <v>SI</v>
      </c>
    </row>
    <row r="98" spans="5:19" ht="25.5" x14ac:dyDescent="0.2">
      <c r="E98" s="595">
        <f t="shared" si="25"/>
        <v>3</v>
      </c>
      <c r="F98" s="595" t="str">
        <f t="shared" si="25"/>
        <v>ESTACIONES REDUCTORAS DE PRESIÓN</v>
      </c>
      <c r="G98" s="611">
        <f t="shared" si="25"/>
        <v>35</v>
      </c>
      <c r="H98" s="612">
        <f>SUM($H85:H85)</f>
        <v>0</v>
      </c>
      <c r="I98" s="613">
        <f>SUM($H85:I85)</f>
        <v>25570904.302818574</v>
      </c>
      <c r="J98" s="613">
        <f>SUM($H85:J85)</f>
        <v>54580468.794645362</v>
      </c>
      <c r="K98" s="613">
        <f>SUM($H85:K85)</f>
        <v>74861465.486614987</v>
      </c>
      <c r="L98" s="613">
        <f>SUM($H85:L85)</f>
        <v>77525247.158416837</v>
      </c>
      <c r="M98" s="613">
        <f>SUM($H85:M85)</f>
        <v>80692397.725005016</v>
      </c>
      <c r="N98" s="613">
        <f>SUM($H85:N85)</f>
        <v>80692397.725005016</v>
      </c>
      <c r="O98" s="613">
        <f>SUM($H85:O85)</f>
        <v>80692397.725005016</v>
      </c>
      <c r="P98" s="613">
        <f>SUM($H85:P85)</f>
        <v>80692397.725005016</v>
      </c>
      <c r="Q98" s="613">
        <f>SUM($H85:Q85)</f>
        <v>80692397.725005016</v>
      </c>
      <c r="R98" s="614">
        <f>SUM($H85:R85)</f>
        <v>80692397.725005016</v>
      </c>
      <c r="S98" s="610" t="str">
        <f>+AP.3</f>
        <v>SI</v>
      </c>
    </row>
    <row r="99" spans="5:19" x14ac:dyDescent="0.2">
      <c r="E99" s="595">
        <f t="shared" si="25"/>
        <v>4</v>
      </c>
      <c r="F99" s="595" t="str">
        <f t="shared" si="25"/>
        <v>REHABILITACIÓN TANQUES</v>
      </c>
      <c r="G99" s="611">
        <f t="shared" si="25"/>
        <v>45</v>
      </c>
      <c r="H99" s="612">
        <f>SUM($H86:H86)</f>
        <v>0</v>
      </c>
      <c r="I99" s="613">
        <f>SUM($H86:I86)</f>
        <v>160479.00289777777</v>
      </c>
      <c r="J99" s="613">
        <f>SUM($H86:J86)</f>
        <v>1221142.745847214</v>
      </c>
      <c r="K99" s="613">
        <f>SUM($H86:K86)</f>
        <v>2160200.109037118</v>
      </c>
      <c r="L99" s="613">
        <f>SUM($H86:L86)</f>
        <v>3305416.1259268806</v>
      </c>
      <c r="M99" s="613">
        <f>SUM($H86:M86)</f>
        <v>3607903.936250627</v>
      </c>
      <c r="N99" s="613">
        <f>SUM($H86:N86)</f>
        <v>4040577.8239734811</v>
      </c>
      <c r="O99" s="613">
        <f>SUM($H86:O86)</f>
        <v>4312761.9222621592</v>
      </c>
      <c r="P99" s="613">
        <f>SUM($H86:P86)</f>
        <v>4594634.6476077475</v>
      </c>
      <c r="Q99" s="613">
        <f>SUM($H86:Q86)</f>
        <v>4886540.8750225557</v>
      </c>
      <c r="R99" s="614">
        <f>SUM($H86:R86)</f>
        <v>5188837.7556415498</v>
      </c>
      <c r="S99" s="610" t="str">
        <f>+AP.4</f>
        <v>SI</v>
      </c>
    </row>
    <row r="100" spans="5:19" x14ac:dyDescent="0.2">
      <c r="E100" s="595">
        <f t="shared" si="25"/>
        <v>5</v>
      </c>
      <c r="F100" s="595" t="str">
        <f t="shared" si="25"/>
        <v>NO SE REQUIERE</v>
      </c>
      <c r="G100" s="611">
        <f t="shared" si="25"/>
        <v>0</v>
      </c>
      <c r="H100" s="612">
        <f>SUM($H87:H87)</f>
        <v>0</v>
      </c>
      <c r="I100" s="613">
        <f>SUM($H87:I87)</f>
        <v>0</v>
      </c>
      <c r="J100" s="613">
        <f>SUM($H87:J87)</f>
        <v>0</v>
      </c>
      <c r="K100" s="613">
        <f>SUM($H87:K87)</f>
        <v>0</v>
      </c>
      <c r="L100" s="613">
        <f>SUM($H87:L87)</f>
        <v>0</v>
      </c>
      <c r="M100" s="613">
        <f>SUM($H87:M87)</f>
        <v>0</v>
      </c>
      <c r="N100" s="613">
        <f>SUM($H87:N87)</f>
        <v>0</v>
      </c>
      <c r="O100" s="613">
        <f>SUM($H87:O87)</f>
        <v>0</v>
      </c>
      <c r="P100" s="613">
        <f>SUM($H87:P87)</f>
        <v>0</v>
      </c>
      <c r="Q100" s="613">
        <f>SUM($H87:Q87)</f>
        <v>0</v>
      </c>
      <c r="R100" s="614">
        <f>SUM($H87:R87)</f>
        <v>0</v>
      </c>
      <c r="S100" s="610" t="str">
        <f>+AP.5</f>
        <v>SI</v>
      </c>
    </row>
    <row r="101" spans="5:19" x14ac:dyDescent="0.2">
      <c r="E101" s="595">
        <f t="shared" si="25"/>
        <v>6</v>
      </c>
      <c r="F101" s="595" t="str">
        <f t="shared" si="25"/>
        <v>REHABILITACIÓN REDES</v>
      </c>
      <c r="G101" s="611">
        <f t="shared" si="25"/>
        <v>45</v>
      </c>
      <c r="H101" s="612">
        <f>SUM($H88:H88)</f>
        <v>0</v>
      </c>
      <c r="I101" s="613">
        <f>SUM($H88:I88)</f>
        <v>0</v>
      </c>
      <c r="J101" s="613">
        <f>SUM($H88:J88)</f>
        <v>27507866.17164094</v>
      </c>
      <c r="K101" s="613">
        <f>SUM($H88:K88)</f>
        <v>39491317.96248661</v>
      </c>
      <c r="L101" s="613">
        <f>SUM($H88:L88)</f>
        <v>60070337.05044084</v>
      </c>
      <c r="M101" s="613">
        <f>SUM($H88:M88)</f>
        <v>77995709.259494752</v>
      </c>
      <c r="N101" s="613">
        <f>SUM($H88:N88)</f>
        <v>133674304.6447816</v>
      </c>
      <c r="O101" s="613">
        <f>SUM($H88:O88)</f>
        <v>168941172.61560172</v>
      </c>
      <c r="P101" s="613">
        <f>SUM($H88:P88)</f>
        <v>233874819.96217608</v>
      </c>
      <c r="Q101" s="613">
        <f>SUM($H88:Q88)</f>
        <v>274582084.91986257</v>
      </c>
      <c r="R101" s="614">
        <f>SUM($H88:R88)</f>
        <v>313874565.95407379</v>
      </c>
      <c r="S101" s="610" t="str">
        <f>+AP.6</f>
        <v>SI</v>
      </c>
    </row>
    <row r="102" spans="5:19" x14ac:dyDescent="0.2">
      <c r="E102" s="595">
        <f t="shared" si="25"/>
        <v>7</v>
      </c>
      <c r="F102" s="595" t="str">
        <f t="shared" si="25"/>
        <v>REDES</v>
      </c>
      <c r="G102" s="611">
        <f t="shared" si="25"/>
        <v>45</v>
      </c>
      <c r="H102" s="612">
        <f>SUM($H89:H89)</f>
        <v>0</v>
      </c>
      <c r="I102" s="613">
        <f>SUM($H89:I89)</f>
        <v>0</v>
      </c>
      <c r="J102" s="613">
        <f>SUM($H89:J89)</f>
        <v>153392470.18502128</v>
      </c>
      <c r="K102" s="613">
        <f>SUM($H89:K89)</f>
        <v>279569512.30677575</v>
      </c>
      <c r="L102" s="613">
        <f>SUM($H89:L89)</f>
        <v>462320756.68081498</v>
      </c>
      <c r="M102" s="613">
        <f>SUM($H89:M89)</f>
        <v>623659769.11237931</v>
      </c>
      <c r="N102" s="613">
        <f>SUM($H89:N89)</f>
        <v>829334559.1553216</v>
      </c>
      <c r="O102" s="613">
        <f>SUM($H89:O89)</f>
        <v>829334559.1553216</v>
      </c>
      <c r="P102" s="613">
        <f>SUM($H89:P89)</f>
        <v>829334559.1553216</v>
      </c>
      <c r="Q102" s="613">
        <f>SUM($H89:Q89)</f>
        <v>829334559.1553216</v>
      </c>
      <c r="R102" s="614">
        <f>SUM($H89:R89)</f>
        <v>829334559.1553216</v>
      </c>
      <c r="S102" s="610" t="str">
        <f>+AP.7</f>
        <v>SI</v>
      </c>
    </row>
    <row r="103" spans="5:19" ht="13.5" thickBot="1" x14ac:dyDescent="0.25">
      <c r="E103" s="615">
        <f t="shared" si="25"/>
        <v>8</v>
      </c>
      <c r="F103" s="615" t="str">
        <f t="shared" si="25"/>
        <v>REDES</v>
      </c>
      <c r="G103" s="616">
        <f t="shared" si="25"/>
        <v>45</v>
      </c>
      <c r="H103" s="617">
        <f>SUM($H90:H90)</f>
        <v>0</v>
      </c>
      <c r="I103" s="618">
        <f>SUM($H90:I90)</f>
        <v>0</v>
      </c>
      <c r="J103" s="618">
        <f>SUM($H90:J90)</f>
        <v>0</v>
      </c>
      <c r="K103" s="618">
        <f>SUM($H90:K90)</f>
        <v>0</v>
      </c>
      <c r="L103" s="618">
        <f>SUM($H90:L90)</f>
        <v>0</v>
      </c>
      <c r="M103" s="618">
        <f>SUM($H90:M90)</f>
        <v>0</v>
      </c>
      <c r="N103" s="618">
        <f>SUM($H90:N90)</f>
        <v>0</v>
      </c>
      <c r="O103" s="618">
        <f>SUM($H90:O90)</f>
        <v>0</v>
      </c>
      <c r="P103" s="618">
        <f>SUM($H90:P90)</f>
        <v>0</v>
      </c>
      <c r="Q103" s="618">
        <f>SUM($H90:Q90)</f>
        <v>0</v>
      </c>
      <c r="R103" s="619">
        <f>SUM($H90:R90)</f>
        <v>0</v>
      </c>
      <c r="S103" s="610">
        <f>+AP.8</f>
        <v>0</v>
      </c>
    </row>
    <row r="104" spans="5:19" ht="13.5" thickBot="1" x14ac:dyDescent="0.25">
      <c r="E104" s="1781" t="s">
        <v>305</v>
      </c>
      <c r="F104" s="1782"/>
      <c r="G104" s="1783"/>
      <c r="H104" s="620">
        <f>SUM(H96:H103)</f>
        <v>0</v>
      </c>
      <c r="I104" s="620">
        <f t="shared" ref="I104:R104" si="26">SUM(I96:I103)</f>
        <v>52125971.197699368</v>
      </c>
      <c r="J104" s="620">
        <f t="shared" si="26"/>
        <v>314161790.39479846</v>
      </c>
      <c r="K104" s="620">
        <f t="shared" si="26"/>
        <v>506570628.24185073</v>
      </c>
      <c r="L104" s="620">
        <f t="shared" si="26"/>
        <v>770920502.72390234</v>
      </c>
      <c r="M104" s="620">
        <f t="shared" si="26"/>
        <v>969507935.73126245</v>
      </c>
      <c r="N104" s="620">
        <f t="shared" si="26"/>
        <v>1241392517.7736623</v>
      </c>
      <c r="O104" s="620">
        <f t="shared" si="26"/>
        <v>1278993573.7057407</v>
      </c>
      <c r="P104" s="620">
        <f t="shared" si="26"/>
        <v>1344209093.7776606</v>
      </c>
      <c r="Q104" s="620">
        <f t="shared" si="26"/>
        <v>1385719726.3029749</v>
      </c>
      <c r="R104" s="620">
        <f t="shared" si="26"/>
        <v>1425314504.2178054</v>
      </c>
    </row>
    <row r="105" spans="5:19" ht="13.5" thickBot="1" x14ac:dyDescent="0.25">
      <c r="E105" s="1786" t="s">
        <v>720</v>
      </c>
      <c r="F105" s="1787"/>
      <c r="G105" s="1788"/>
      <c r="H105" s="621">
        <f>+SUMIF($S$96:$S$103,"SI",H96:H103)</f>
        <v>0</v>
      </c>
      <c r="I105" s="621">
        <f t="shared" ref="I105:R105" si="27">+SUMIF($S$96:$S$103,"SI",I96:I103)</f>
        <v>52125971.197699368</v>
      </c>
      <c r="J105" s="621">
        <f t="shared" si="27"/>
        <v>314161790.39479846</v>
      </c>
      <c r="K105" s="621">
        <f t="shared" si="27"/>
        <v>506570628.24185073</v>
      </c>
      <c r="L105" s="621">
        <f t="shared" si="27"/>
        <v>770920502.72390234</v>
      </c>
      <c r="M105" s="621">
        <f t="shared" si="27"/>
        <v>969507935.73126245</v>
      </c>
      <c r="N105" s="621">
        <f t="shared" si="27"/>
        <v>1241392517.7736623</v>
      </c>
      <c r="O105" s="621">
        <f t="shared" si="27"/>
        <v>1278993573.7057407</v>
      </c>
      <c r="P105" s="621">
        <f t="shared" si="27"/>
        <v>1344209093.7776606</v>
      </c>
      <c r="Q105" s="621">
        <f t="shared" si="27"/>
        <v>1385719726.3029749</v>
      </c>
      <c r="R105" s="621">
        <f t="shared" si="27"/>
        <v>1425314504.2178054</v>
      </c>
    </row>
    <row r="106" spans="5:19" ht="13.5" thickBot="1" x14ac:dyDescent="0.25">
      <c r="E106" s="562" t="s">
        <v>523</v>
      </c>
    </row>
    <row r="107" spans="5:19" ht="15" customHeight="1" x14ac:dyDescent="0.2">
      <c r="E107" s="1759" t="s">
        <v>365</v>
      </c>
      <c r="F107" s="1759" t="s">
        <v>505</v>
      </c>
      <c r="G107" s="1759" t="s">
        <v>504</v>
      </c>
      <c r="H107" s="535">
        <f>H2</f>
        <v>2025</v>
      </c>
      <c r="I107" s="535">
        <f t="shared" ref="I107:R107" si="28">I2</f>
        <v>2026</v>
      </c>
      <c r="J107" s="535">
        <f t="shared" si="28"/>
        <v>2027</v>
      </c>
      <c r="K107" s="535">
        <f t="shared" si="28"/>
        <v>2028</v>
      </c>
      <c r="L107" s="535">
        <f t="shared" si="28"/>
        <v>2029</v>
      </c>
      <c r="M107" s="535">
        <f t="shared" si="28"/>
        <v>2030</v>
      </c>
      <c r="N107" s="535">
        <f t="shared" si="28"/>
        <v>2031</v>
      </c>
      <c r="O107" s="535">
        <f t="shared" si="28"/>
        <v>2032</v>
      </c>
      <c r="P107" s="535">
        <f t="shared" si="28"/>
        <v>2033</v>
      </c>
      <c r="Q107" s="535">
        <f t="shared" si="28"/>
        <v>2034</v>
      </c>
      <c r="R107" s="535">
        <f t="shared" si="28"/>
        <v>2035</v>
      </c>
    </row>
    <row r="108" spans="5:19" ht="13.5" thickBot="1" x14ac:dyDescent="0.25">
      <c r="E108" s="1760"/>
      <c r="F108" s="1760"/>
      <c r="G108" s="1760"/>
      <c r="H108" s="563">
        <v>0</v>
      </c>
      <c r="I108" s="563">
        <v>1</v>
      </c>
      <c r="J108" s="563">
        <v>2</v>
      </c>
      <c r="K108" s="563">
        <v>3</v>
      </c>
      <c r="L108" s="563">
        <v>4</v>
      </c>
      <c r="M108" s="563">
        <v>5</v>
      </c>
      <c r="N108" s="563">
        <v>6</v>
      </c>
      <c r="O108" s="563">
        <v>7</v>
      </c>
      <c r="P108" s="563">
        <v>8</v>
      </c>
      <c r="Q108" s="563">
        <v>9</v>
      </c>
      <c r="R108" s="563">
        <v>10</v>
      </c>
    </row>
    <row r="109" spans="5:19" x14ac:dyDescent="0.2">
      <c r="E109" s="622">
        <f>+B4</f>
        <v>1</v>
      </c>
      <c r="F109" s="623" t="str">
        <f>+D4</f>
        <v>MACROMEDICIÓN</v>
      </c>
      <c r="G109" s="624" t="str">
        <f>+C4</f>
        <v>TÉCNICO</v>
      </c>
      <c r="H109" s="625">
        <f>'BC TÉCNICO P1'!C18</f>
        <v>0</v>
      </c>
      <c r="I109" s="626">
        <f>'BC TÉCNICO P1'!D18</f>
        <v>0</v>
      </c>
      <c r="J109" s="626">
        <f>'BC TÉCNICO P1'!E18</f>
        <v>0</v>
      </c>
      <c r="K109" s="626">
        <f>'BC TÉCNICO P1'!F18</f>
        <v>0</v>
      </c>
      <c r="L109" s="626">
        <f>'BC TÉCNICO P1'!G18</f>
        <v>0</v>
      </c>
      <c r="M109" s="626">
        <f>'BC TÉCNICO P1'!H18</f>
        <v>0</v>
      </c>
      <c r="N109" s="626">
        <f>'BC TÉCNICO P1'!I18</f>
        <v>0</v>
      </c>
      <c r="O109" s="626">
        <f>'BC TÉCNICO P1'!J18</f>
        <v>0</v>
      </c>
      <c r="P109" s="626">
        <f>'BC TÉCNICO P1'!K18</f>
        <v>0</v>
      </c>
      <c r="Q109" s="626">
        <f>'BC TÉCNICO P1'!L18</f>
        <v>0</v>
      </c>
      <c r="R109" s="627">
        <f>'BC TÉCNICO P1'!M18</f>
        <v>0</v>
      </c>
      <c r="S109" s="610" t="str">
        <f>+AP.1</f>
        <v>SI</v>
      </c>
    </row>
    <row r="110" spans="5:19" x14ac:dyDescent="0.2">
      <c r="E110" s="628">
        <f>+B6</f>
        <v>2</v>
      </c>
      <c r="F110" s="156" t="str">
        <f>+D6</f>
        <v>SECTORIZACIÓN</v>
      </c>
      <c r="G110" s="629" t="str">
        <f>+C6</f>
        <v>TÉCNICO</v>
      </c>
      <c r="H110" s="630">
        <f>+'BC TÉCNICO P2'!C18</f>
        <v>0</v>
      </c>
      <c r="I110" s="631">
        <f>+'BC TÉCNICO P2'!D18</f>
        <v>0</v>
      </c>
      <c r="J110" s="631">
        <f>+'BC TÉCNICO P2'!E18</f>
        <v>0</v>
      </c>
      <c r="K110" s="631">
        <f>+'BC TÉCNICO P2'!F18</f>
        <v>0</v>
      </c>
      <c r="L110" s="631">
        <f>+'BC TÉCNICO P2'!G18</f>
        <v>0</v>
      </c>
      <c r="M110" s="631">
        <f>+'BC TÉCNICO P2'!H18</f>
        <v>0</v>
      </c>
      <c r="N110" s="631">
        <f>+'BC TÉCNICO P2'!I18</f>
        <v>0</v>
      </c>
      <c r="O110" s="631">
        <f>+'BC TÉCNICO P2'!J18</f>
        <v>0</v>
      </c>
      <c r="P110" s="631">
        <f>+'BC TÉCNICO P2'!K18</f>
        <v>0</v>
      </c>
      <c r="Q110" s="631">
        <f>+'BC TÉCNICO P2'!L18</f>
        <v>0</v>
      </c>
      <c r="R110" s="632">
        <f>+'BC TÉCNICO P2'!M18</f>
        <v>0</v>
      </c>
      <c r="S110" s="610" t="str">
        <f>+AP.2</f>
        <v>SI</v>
      </c>
    </row>
    <row r="111" spans="5:19" ht="25.5" x14ac:dyDescent="0.2">
      <c r="E111" s="628">
        <f>+B8</f>
        <v>3</v>
      </c>
      <c r="F111" s="156" t="str">
        <f>+D8</f>
        <v>GESTIÓN DEL PLANO DE PRESIONES</v>
      </c>
      <c r="G111" s="629" t="str">
        <f>+C8</f>
        <v>TÉCNICO</v>
      </c>
      <c r="H111" s="633">
        <f>'BC TÉCNICO P3'!C18</f>
        <v>0</v>
      </c>
      <c r="I111" s="634">
        <f>'BC TÉCNICO P3'!D18</f>
        <v>519104.80000000005</v>
      </c>
      <c r="J111" s="634">
        <f>'BC TÉCNICO P3'!E18</f>
        <v>2704381.3</v>
      </c>
      <c r="K111" s="634">
        <f>'BC TÉCNICO P3'!F18</f>
        <v>1748041.8</v>
      </c>
      <c r="L111" s="634">
        <f>'BC TÉCNICO P3'!G18</f>
        <v>874020.9</v>
      </c>
      <c r="M111" s="634">
        <f>'BC TÉCNICO P3'!H18</f>
        <v>874020.9</v>
      </c>
      <c r="N111" s="634">
        <f>'BC TÉCNICO P3'!I18</f>
        <v>874020.9</v>
      </c>
      <c r="O111" s="634">
        <f>'BC TÉCNICO P3'!J18</f>
        <v>874020.9</v>
      </c>
      <c r="P111" s="634">
        <f>'BC TÉCNICO P3'!K18</f>
        <v>874020.9</v>
      </c>
      <c r="Q111" s="634">
        <f>'BC TÉCNICO P3'!L18</f>
        <v>874020.9</v>
      </c>
      <c r="R111" s="635">
        <f>'BC TÉCNICO P3'!M18</f>
        <v>874020.9</v>
      </c>
      <c r="S111" s="610" t="str">
        <f>+AP.3</f>
        <v>SI</v>
      </c>
    </row>
    <row r="112" spans="5:19" ht="25.5" x14ac:dyDescent="0.2">
      <c r="E112" s="628">
        <f>+B10</f>
        <v>4</v>
      </c>
      <c r="F112" s="156" t="str">
        <f>+D10</f>
        <v>IMPERMEABILIZACIÓN DE TANQUES</v>
      </c>
      <c r="G112" s="629" t="str">
        <f>+C10</f>
        <v>TÉCNICO</v>
      </c>
      <c r="H112" s="633">
        <f>'BC TÉCNICO P4'!C18</f>
        <v>0</v>
      </c>
      <c r="I112" s="634">
        <f>'BC TÉCNICO P4'!D18</f>
        <v>0</v>
      </c>
      <c r="J112" s="634">
        <f>'BC TÉCNICO P4'!E18</f>
        <v>3844.62</v>
      </c>
      <c r="K112" s="634">
        <f>'BC TÉCNICO P4'!F18</f>
        <v>6127.92</v>
      </c>
      <c r="L112" s="634">
        <f>'BC TÉCNICO P4'!G18</f>
        <v>10286.82</v>
      </c>
      <c r="M112" s="634">
        <f>'BC TÉCNICO P4'!H18</f>
        <v>12456.82</v>
      </c>
      <c r="N112" s="634">
        <f>'BC TÉCNICO P4'!I18</f>
        <v>15063.82</v>
      </c>
      <c r="O112" s="634">
        <f>'BC TÉCNICO P4'!J18</f>
        <v>17063.82</v>
      </c>
      <c r="P112" s="634">
        <f>'BC TÉCNICO P4'!K18</f>
        <v>10531.91</v>
      </c>
      <c r="Q112" s="634">
        <f>'BC TÉCNICO P4'!L18</f>
        <v>12531.91</v>
      </c>
      <c r="R112" s="635">
        <f>'BC TÉCNICO P4'!M18</f>
        <v>14531.91</v>
      </c>
      <c r="S112" s="610" t="str">
        <f>+AP.4</f>
        <v>SI</v>
      </c>
    </row>
    <row r="113" spans="5:19" x14ac:dyDescent="0.2">
      <c r="E113" s="628">
        <f>+B12</f>
        <v>5</v>
      </c>
      <c r="F113" s="156" t="str">
        <f>+D12</f>
        <v>ATENCIÓN DE DAÑOS</v>
      </c>
      <c r="G113" s="629" t="str">
        <f>+C12</f>
        <v>TÉCNICO</v>
      </c>
      <c r="H113" s="633">
        <f>'BC TÉCNICO P5'!C18</f>
        <v>0</v>
      </c>
      <c r="I113" s="634">
        <f>'BC TÉCNICO P5'!D18</f>
        <v>328034.92604797322</v>
      </c>
      <c r="J113" s="634">
        <f>'BC TÉCNICO P5'!E18</f>
        <v>519009.46888325782</v>
      </c>
      <c r="K113" s="634">
        <f>'BC TÉCNICO P5'!F18</f>
        <v>772901.95250894176</v>
      </c>
      <c r="L113" s="634">
        <f>'BC TÉCNICO P5'!G18</f>
        <v>386450.97625447088</v>
      </c>
      <c r="M113" s="634">
        <f>'BC TÉCNICO P5'!H18</f>
        <v>386450.97625447088</v>
      </c>
      <c r="N113" s="634">
        <f>'BC TÉCNICO P5'!I18</f>
        <v>386450.97625447088</v>
      </c>
      <c r="O113" s="634">
        <f>'BC TÉCNICO P5'!J18</f>
        <v>386450.97625447088</v>
      </c>
      <c r="P113" s="634">
        <f>'BC TÉCNICO P5'!K18</f>
        <v>386450.97625447088</v>
      </c>
      <c r="Q113" s="634">
        <f>'BC TÉCNICO P5'!L18</f>
        <v>386450.97625447088</v>
      </c>
      <c r="R113" s="635">
        <f>'BC TÉCNICO P5'!M18</f>
        <v>386450.97625447088</v>
      </c>
      <c r="S113" s="610" t="str">
        <f>+AP.5</f>
        <v>SI</v>
      </c>
    </row>
    <row r="114" spans="5:19" ht="25.5" x14ac:dyDescent="0.2">
      <c r="E114" s="628">
        <f>+B14</f>
        <v>6</v>
      </c>
      <c r="F114" s="156" t="str">
        <f>+D14</f>
        <v>BÚSQUEDA SISTEMÁTICA DE FUGAS</v>
      </c>
      <c r="G114" s="629" t="str">
        <f>+C14</f>
        <v>TÉCNICO</v>
      </c>
      <c r="H114" s="633">
        <f>'BC TÉCNICO P6'!C18</f>
        <v>0</v>
      </c>
      <c r="I114" s="634">
        <f>'BC TÉCNICO P6'!D18</f>
        <v>0</v>
      </c>
      <c r="J114" s="634">
        <f>'BC TÉCNICO P6'!E18</f>
        <v>188842.53575319157</v>
      </c>
      <c r="K114" s="634">
        <f>'BC TÉCNICO P6'!F18</f>
        <v>403522.54645660461</v>
      </c>
      <c r="L114" s="634">
        <f>'BC TÉCNICO P6'!G18</f>
        <v>673027.39395462652</v>
      </c>
      <c r="M114" s="634">
        <f>'BC TÉCNICO P6'!H18</f>
        <v>1134765.6884398228</v>
      </c>
      <c r="N114" s="634">
        <f>'BC TÉCNICO P6'!I18</f>
        <v>1634631.9741030305</v>
      </c>
      <c r="O114" s="634">
        <f>'BC TÉCNICO P6'!J18</f>
        <v>2002345.2452573325</v>
      </c>
      <c r="P114" s="634">
        <f>'BC TÉCNICO P6'!K18</f>
        <v>2708593.348338583</v>
      </c>
      <c r="Q114" s="634">
        <f>'BC TÉCNICO P6'!L18</f>
        <v>3131222.2236795626</v>
      </c>
      <c r="R114" s="635">
        <f>'BC TÉCNICO P6'!M18</f>
        <v>3663085.4417169946</v>
      </c>
      <c r="S114" s="610" t="str">
        <f>+AP.6</f>
        <v>SI</v>
      </c>
    </row>
    <row r="115" spans="5:19" x14ac:dyDescent="0.2">
      <c r="E115" s="628">
        <f>+B16</f>
        <v>7</v>
      </c>
      <c r="F115" s="156" t="str">
        <f>+D16</f>
        <v xml:space="preserve">REPOSICIÓN DE REDES </v>
      </c>
      <c r="G115" s="629" t="str">
        <f>+C16</f>
        <v>TÉCNICO</v>
      </c>
      <c r="H115" s="633">
        <f>'BC TÉCNICO P7'!C18</f>
        <v>0</v>
      </c>
      <c r="I115" s="634">
        <f>'BC TÉCNICO P7'!D18</f>
        <v>0</v>
      </c>
      <c r="J115" s="634">
        <f>'BC TÉCNICO P7'!E18</f>
        <v>1087957.2234578964</v>
      </c>
      <c r="K115" s="634">
        <f>'BC TÉCNICO P7'!F18</f>
        <v>2884758.71265744</v>
      </c>
      <c r="L115" s="634">
        <f>'BC TÉCNICO P7'!G18</f>
        <v>4188821.5440644301</v>
      </c>
      <c r="M115" s="634">
        <f>'BC TÉCNICO P7'!H18</f>
        <v>5179283.6016884707</v>
      </c>
      <c r="N115" s="634">
        <f>'BC TÉCNICO P7'!I18</f>
        <v>6001560.1505101612</v>
      </c>
      <c r="O115" s="634">
        <f>'BC TÉCNICO P7'!J18</f>
        <v>3600936.0903060967</v>
      </c>
      <c r="P115" s="634">
        <f>'BC TÉCNICO P7'!K18</f>
        <v>3600936.0903060967</v>
      </c>
      <c r="Q115" s="634">
        <f>'BC TÉCNICO P7'!L18</f>
        <v>3600936.0903060967</v>
      </c>
      <c r="R115" s="635">
        <f>'BC TÉCNICO P7'!M18</f>
        <v>3600936.0903060967</v>
      </c>
      <c r="S115" s="610" t="str">
        <f>+AP.7</f>
        <v>SI</v>
      </c>
    </row>
    <row r="116" spans="5:19" ht="25.5" x14ac:dyDescent="0.2">
      <c r="E116" s="628">
        <f>+B18</f>
        <v>8</v>
      </c>
      <c r="F116" s="156" t="str">
        <f>+D18</f>
        <v>VINCULACIÓN INDIVUAL (TÉCNICO - COMERCIAL)</v>
      </c>
      <c r="G116" s="629" t="str">
        <f>+C18</f>
        <v>TÉCNICO</v>
      </c>
      <c r="H116" s="633">
        <f>'BC TÉCNICO P8'!C18</f>
        <v>0</v>
      </c>
      <c r="I116" s="634">
        <f>'BC TÉCNICO P8'!D18</f>
        <v>0</v>
      </c>
      <c r="J116" s="634">
        <f>'BC TÉCNICO P8'!E18</f>
        <v>0</v>
      </c>
      <c r="K116" s="634">
        <f>'BC TÉCNICO P8'!F18</f>
        <v>0</v>
      </c>
      <c r="L116" s="634">
        <f>'BC TÉCNICO P8'!G18</f>
        <v>0</v>
      </c>
      <c r="M116" s="634">
        <f>'BC TÉCNICO P8'!H18</f>
        <v>0</v>
      </c>
      <c r="N116" s="634">
        <f>'BC TÉCNICO P8'!I18</f>
        <v>0</v>
      </c>
      <c r="O116" s="634">
        <f>'BC TÉCNICO P8'!J18</f>
        <v>0</v>
      </c>
      <c r="P116" s="634">
        <f>'BC TÉCNICO P8'!K18</f>
        <v>0</v>
      </c>
      <c r="Q116" s="634">
        <f>'BC TÉCNICO P8'!L18</f>
        <v>0</v>
      </c>
      <c r="R116" s="635">
        <f>'BC TÉCNICO P8'!M18</f>
        <v>0</v>
      </c>
      <c r="S116" s="610">
        <f>+AP.8</f>
        <v>0</v>
      </c>
    </row>
    <row r="117" spans="5:19" ht="38.25" x14ac:dyDescent="0.2">
      <c r="E117" s="628">
        <f t="shared" ref="E117:E127" si="29">+B20</f>
        <v>9</v>
      </c>
      <c r="F117" s="156" t="str">
        <f t="shared" ref="F117:F127" si="30">+D20</f>
        <v>9. RENOVACIÓN/REPOSICIÓN DE MEDIDORES (CAMBIO MASIVO)</v>
      </c>
      <c r="G117" s="629" t="str">
        <f t="shared" ref="G117:G127" si="31">+C20</f>
        <v>COMERCIAL</v>
      </c>
      <c r="H117" s="633">
        <f>+'BC COMERCIAL P9'!C19</f>
        <v>0</v>
      </c>
      <c r="I117" s="634">
        <f>+'BC COMERCIAL P9'!D19</f>
        <v>148997</v>
      </c>
      <c r="J117" s="634">
        <f>+'BC COMERCIAL P9'!E19</f>
        <v>270439</v>
      </c>
      <c r="K117" s="634">
        <f>+'BC COMERCIAL P9'!F19</f>
        <v>364678</v>
      </c>
      <c r="L117" s="634">
        <f>+'BC COMERCIAL P9'!G19</f>
        <v>432060</v>
      </c>
      <c r="M117" s="634">
        <f>+'BC COMERCIAL P9'!H19</f>
        <v>432060</v>
      </c>
      <c r="N117" s="634">
        <f>+'BC COMERCIAL P9'!I19</f>
        <v>487610</v>
      </c>
      <c r="O117" s="634">
        <f>+'BC COMERCIAL P9'!J19</f>
        <v>476442</v>
      </c>
      <c r="P117" s="634">
        <f>+'BC COMERCIAL P9'!K19</f>
        <v>439747</v>
      </c>
      <c r="Q117" s="634">
        <f>+'BC COMERCIAL P9'!L19</f>
        <v>377843</v>
      </c>
      <c r="R117" s="635">
        <f>+'BC COMERCIAL P9'!M19</f>
        <v>291044</v>
      </c>
      <c r="S117" s="610" t="str">
        <f>+AP.9</f>
        <v>SI</v>
      </c>
    </row>
    <row r="118" spans="5:19" ht="25.5" x14ac:dyDescent="0.2">
      <c r="E118" s="628">
        <f t="shared" si="29"/>
        <v>10</v>
      </c>
      <c r="F118" s="156" t="str">
        <f t="shared" si="30"/>
        <v>10. GESTIÓN DE FRAUDES Y CONEXIONES CLANDESTINAS</v>
      </c>
      <c r="G118" s="629" t="str">
        <f t="shared" si="31"/>
        <v>COMERCIAL</v>
      </c>
      <c r="H118" s="633">
        <f>'BC COMERCIAL P10'!C19</f>
        <v>0</v>
      </c>
      <c r="I118" s="634">
        <f>'BC COMERCIAL P10'!D19</f>
        <v>362448</v>
      </c>
      <c r="J118" s="634">
        <f>'BC COMERCIAL P10'!E19</f>
        <v>362448</v>
      </c>
      <c r="K118" s="634">
        <f>'BC COMERCIAL P10'!F19</f>
        <v>362448</v>
      </c>
      <c r="L118" s="634">
        <f>'BC COMERCIAL P10'!G19</f>
        <v>362448</v>
      </c>
      <c r="M118" s="634">
        <f>'BC COMERCIAL P10'!H19</f>
        <v>362448</v>
      </c>
      <c r="N118" s="634">
        <f>'BC COMERCIAL P10'!I19</f>
        <v>0</v>
      </c>
      <c r="O118" s="634">
        <f>'BC COMERCIAL P10'!J19</f>
        <v>0</v>
      </c>
      <c r="P118" s="634">
        <f>'BC COMERCIAL P10'!K19</f>
        <v>0</v>
      </c>
      <c r="Q118" s="634">
        <f>'BC COMERCIAL P10'!L19</f>
        <v>0</v>
      </c>
      <c r="R118" s="635">
        <f>'BC COMERCIAL P10'!M19</f>
        <v>0</v>
      </c>
      <c r="S118" s="610" t="str">
        <f>+AP.10</f>
        <v>SI</v>
      </c>
    </row>
    <row r="119" spans="5:19" ht="51" x14ac:dyDescent="0.2">
      <c r="E119" s="628">
        <f t="shared" si="29"/>
        <v>11</v>
      </c>
      <c r="F119" s="156" t="str">
        <f t="shared" si="30"/>
        <v>11. COBRO DE CONSUMOS POR EJECUCIÓN DE OBRAS DE INFRAESTRUCTURA (COBRO DE TERCEROS)</v>
      </c>
      <c r="G119" s="629" t="str">
        <f t="shared" si="31"/>
        <v>COMERCIAL</v>
      </c>
      <c r="H119" s="633">
        <f>'BC COMERCIAL P11'!C19</f>
        <v>0</v>
      </c>
      <c r="I119" s="634">
        <f>'BC COMERCIAL P11'!D19</f>
        <v>0</v>
      </c>
      <c r="J119" s="634">
        <f>'BC COMERCIAL P11'!E19</f>
        <v>0</v>
      </c>
      <c r="K119" s="634">
        <f>'BC COMERCIAL P11'!F19</f>
        <v>0</v>
      </c>
      <c r="L119" s="634">
        <f>'BC COMERCIAL P11'!G19</f>
        <v>0</v>
      </c>
      <c r="M119" s="634">
        <f>'BC COMERCIAL P11'!H19</f>
        <v>0</v>
      </c>
      <c r="N119" s="634">
        <f>'BC COMERCIAL P11'!I19</f>
        <v>0</v>
      </c>
      <c r="O119" s="634">
        <f>'BC COMERCIAL P11'!J19</f>
        <v>0</v>
      </c>
      <c r="P119" s="634">
        <f>'BC COMERCIAL P11'!K19</f>
        <v>0</v>
      </c>
      <c r="Q119" s="634">
        <f>'BC COMERCIAL P11'!L19</f>
        <v>0</v>
      </c>
      <c r="R119" s="635">
        <f>'BC COMERCIAL P11'!M19</f>
        <v>0</v>
      </c>
      <c r="S119" s="610">
        <f>+AP.11</f>
        <v>0</v>
      </c>
    </row>
    <row r="120" spans="5:19" ht="38.25" x14ac:dyDescent="0.2">
      <c r="E120" s="628">
        <f t="shared" si="29"/>
        <v>12</v>
      </c>
      <c r="F120" s="156" t="str">
        <f t="shared" si="30"/>
        <v>12. SEGUIMIENTO USUARIOS CON CONSUMO 0 E INACTIVOS</v>
      </c>
      <c r="G120" s="629" t="str">
        <f t="shared" si="31"/>
        <v>COMERCIAL</v>
      </c>
      <c r="H120" s="633">
        <f>'BC COMERCIAL P12'!C19</f>
        <v>0</v>
      </c>
      <c r="I120" s="634">
        <f>'BC COMERCIAL P12'!D19</f>
        <v>22189.508158946323</v>
      </c>
      <c r="J120" s="634">
        <f>'BC COMERCIAL P12'!E19</f>
        <v>43890.847138395824</v>
      </c>
      <c r="K120" s="634">
        <f>'BC COMERCIAL P12'!F19</f>
        <v>65112.071729810195</v>
      </c>
      <c r="L120" s="634">
        <f>'BC COMERCIAL P12'!G19</f>
        <v>85861.118587709701</v>
      </c>
      <c r="M120" s="634">
        <f>'BC COMERCIAL P12'!H19</f>
        <v>106145.80785405611</v>
      </c>
      <c r="N120" s="634">
        <f>'BC COMERCIAL P12'!I19</f>
        <v>0</v>
      </c>
      <c r="O120" s="634">
        <f>'BC COMERCIAL P12'!J19</f>
        <v>0</v>
      </c>
      <c r="P120" s="634">
        <f>'BC COMERCIAL P12'!K19</f>
        <v>0</v>
      </c>
      <c r="Q120" s="634">
        <f>'BC COMERCIAL P12'!L19</f>
        <v>0</v>
      </c>
      <c r="R120" s="635">
        <f>'BC COMERCIAL P12'!M19</f>
        <v>0</v>
      </c>
      <c r="S120" s="610" t="str">
        <f>+AP.12</f>
        <v>SI</v>
      </c>
    </row>
    <row r="121" spans="5:19" x14ac:dyDescent="0.2">
      <c r="E121" s="628">
        <f t="shared" si="29"/>
        <v>13</v>
      </c>
      <c r="F121" s="156" t="str">
        <f t="shared" si="30"/>
        <v>13. SEGUIMIENTO ANOMALIAS</v>
      </c>
      <c r="G121" s="629" t="str">
        <f t="shared" si="31"/>
        <v>COMERCIAL</v>
      </c>
      <c r="H121" s="633">
        <f>'BC COMERCIAL P13'!C19</f>
        <v>0</v>
      </c>
      <c r="I121" s="634">
        <f>'BC COMERCIAL P13'!D19</f>
        <v>41452.800000000003</v>
      </c>
      <c r="J121" s="634">
        <f>'BC COMERCIAL P13'!E19</f>
        <v>82905.600000000006</v>
      </c>
      <c r="K121" s="634">
        <f>'BC COMERCIAL P13'!F19</f>
        <v>124358.40000000001</v>
      </c>
      <c r="L121" s="634">
        <f>'BC COMERCIAL P13'!G19</f>
        <v>165811.20000000001</v>
      </c>
      <c r="M121" s="634">
        <f>'BC COMERCIAL P13'!H19</f>
        <v>207264</v>
      </c>
      <c r="N121" s="634">
        <f>'BC COMERCIAL P13'!I19</f>
        <v>248716.79999999999</v>
      </c>
      <c r="O121" s="634">
        <f>'BC COMERCIAL P13'!J19</f>
        <v>290169.59999999998</v>
      </c>
      <c r="P121" s="634">
        <f>'BC COMERCIAL P13'!K19</f>
        <v>331622.39999999997</v>
      </c>
      <c r="Q121" s="634">
        <f>'BC COMERCIAL P13'!L19</f>
        <v>373075.19999999995</v>
      </c>
      <c r="R121" s="635">
        <f>'BC COMERCIAL P13'!M19</f>
        <v>414527.99999999994</v>
      </c>
      <c r="S121" s="610" t="str">
        <f>+AP.13</f>
        <v>SI</v>
      </c>
    </row>
    <row r="122" spans="5:19" ht="38.25" x14ac:dyDescent="0.2">
      <c r="E122" s="628">
        <f t="shared" si="29"/>
        <v>14</v>
      </c>
      <c r="F122" s="156" t="str">
        <f t="shared" si="30"/>
        <v xml:space="preserve">14. SEGUIMIENTO Y CONTROL MEDIDORES GRANDES CONSUMIDORES </v>
      </c>
      <c r="G122" s="629" t="str">
        <f t="shared" si="31"/>
        <v>COMERCIAL</v>
      </c>
      <c r="H122" s="633">
        <f>'BC COMERCIAL P14'!C19</f>
        <v>0</v>
      </c>
      <c r="I122" s="634">
        <f>'BC COMERCIAL P14'!D19</f>
        <v>1528.8357599999999</v>
      </c>
      <c r="J122" s="634">
        <f>'BC COMERCIAL P14'!E19</f>
        <v>3024.0371332799996</v>
      </c>
      <c r="K122" s="634">
        <f>'BC COMERCIAL P14'!F19</f>
        <v>4486.159087220879</v>
      </c>
      <c r="L122" s="634">
        <f>'BC COMERCIAL P14'!G19</f>
        <v>6162.2379684186799</v>
      </c>
      <c r="M122" s="634">
        <f>'BC COMERCIAL P14'!H19</f>
        <v>7800.9002889805752</v>
      </c>
      <c r="N122" s="634">
        <f>'BC COMERCIAL P14'!I19</f>
        <v>0</v>
      </c>
      <c r="O122" s="634">
        <f>'BC COMERCIAL P14'!J19</f>
        <v>0</v>
      </c>
      <c r="P122" s="634">
        <f>'BC COMERCIAL P14'!K19</f>
        <v>0</v>
      </c>
      <c r="Q122" s="634">
        <f>'BC COMERCIAL P14'!L19</f>
        <v>0</v>
      </c>
      <c r="R122" s="635">
        <f>'BC COMERCIAL P14'!M19</f>
        <v>0</v>
      </c>
      <c r="S122" s="610" t="str">
        <f>+AP.14</f>
        <v>SI</v>
      </c>
    </row>
    <row r="123" spans="5:19" ht="38.25" x14ac:dyDescent="0.2">
      <c r="E123" s="628">
        <f t="shared" si="29"/>
        <v>15</v>
      </c>
      <c r="F123" s="156" t="str">
        <f t="shared" si="30"/>
        <v>15. ACTUALIZACIÓN CATASTRO DE USUARIOS Y GEOREFERENCIACIÓN</v>
      </c>
      <c r="G123" s="629" t="str">
        <f t="shared" si="31"/>
        <v>COMERCIAL</v>
      </c>
      <c r="H123" s="633">
        <f>'BC COMERCIAL P15'!C19</f>
        <v>0</v>
      </c>
      <c r="I123" s="634">
        <f>'BC COMERCIAL P15'!D19</f>
        <v>9552</v>
      </c>
      <c r="J123" s="634">
        <f>'BC COMERCIAL P15'!E19</f>
        <v>19104</v>
      </c>
      <c r="K123" s="634">
        <f>'BC COMERCIAL P15'!F19</f>
        <v>28656</v>
      </c>
      <c r="L123" s="634">
        <f>'BC COMERCIAL P15'!G19</f>
        <v>38208</v>
      </c>
      <c r="M123" s="634">
        <f>'BC COMERCIAL P15'!H19</f>
        <v>47760</v>
      </c>
      <c r="N123" s="634">
        <f>'BC COMERCIAL P15'!I19</f>
        <v>47760</v>
      </c>
      <c r="O123" s="634">
        <f>'BC COMERCIAL P15'!J19</f>
        <v>47760</v>
      </c>
      <c r="P123" s="634">
        <f>'BC COMERCIAL P15'!K19</f>
        <v>47760</v>
      </c>
      <c r="Q123" s="634">
        <f>'BC COMERCIAL P15'!L19</f>
        <v>47760</v>
      </c>
      <c r="R123" s="635">
        <f>'BC COMERCIAL P15'!M19</f>
        <v>47760</v>
      </c>
      <c r="S123" s="610" t="str">
        <f>+AP.15</f>
        <v>SI</v>
      </c>
    </row>
    <row r="124" spans="5:19" ht="25.5" x14ac:dyDescent="0.2">
      <c r="E124" s="628">
        <f t="shared" si="29"/>
        <v>16</v>
      </c>
      <c r="F124" s="156" t="str">
        <f t="shared" si="30"/>
        <v>16.VINCULACIÓN DE COMUNIDADES ILEGALES</v>
      </c>
      <c r="G124" s="629" t="str">
        <f t="shared" si="31"/>
        <v>COMERCIAL</v>
      </c>
      <c r="H124" s="633">
        <f>'BC COMERCIAL P16'!C19</f>
        <v>0</v>
      </c>
      <c r="I124" s="634">
        <f>'BC COMERCIAL P16'!D19</f>
        <v>193826.03975999999</v>
      </c>
      <c r="J124" s="634">
        <f>'BC COMERCIAL P16'!E19</f>
        <v>383387.90664527996</v>
      </c>
      <c r="K124" s="634">
        <f>'BC COMERCIAL P16'!F19</f>
        <v>568755.95950827282</v>
      </c>
      <c r="L124" s="634">
        <f>'BC COMERCIAL P16'!G19</f>
        <v>812499.48571087373</v>
      </c>
      <c r="M124" s="634">
        <f>'BC COMERCIAL P16'!H19</f>
        <v>1050811.8348659168</v>
      </c>
      <c r="N124" s="634">
        <f>'BC COMERCIAL P16'!I19</f>
        <v>0</v>
      </c>
      <c r="O124" s="634">
        <f>'BC COMERCIAL P16'!J19</f>
        <v>0</v>
      </c>
      <c r="P124" s="634">
        <f>'BC COMERCIAL P16'!K19</f>
        <v>0</v>
      </c>
      <c r="Q124" s="634">
        <f>'BC COMERCIAL P16'!L19</f>
        <v>0</v>
      </c>
      <c r="R124" s="635">
        <f>'BC COMERCIAL P16'!M19</f>
        <v>0</v>
      </c>
      <c r="S124" s="610" t="str">
        <f>+AP.16</f>
        <v>SI</v>
      </c>
    </row>
    <row r="125" spans="5:19" ht="25.5" x14ac:dyDescent="0.2">
      <c r="E125" s="628">
        <f t="shared" si="29"/>
        <v>17</v>
      </c>
      <c r="F125" s="156" t="str">
        <f t="shared" si="30"/>
        <v>17. TELEMETRÍA GRANDES CONSUMIDORES</v>
      </c>
      <c r="G125" s="629" t="str">
        <f t="shared" si="31"/>
        <v>COMERCIAL</v>
      </c>
      <c r="H125" s="633">
        <f>'BC COMERCIAL P17'!C19</f>
        <v>0</v>
      </c>
      <c r="I125" s="634">
        <f>'BC COMERCIAL P17'!D19</f>
        <v>147787.45680000001</v>
      </c>
      <c r="J125" s="634">
        <f>'BC COMERCIAL P17'!E19</f>
        <v>148681.82571959996</v>
      </c>
      <c r="K125" s="634">
        <f>'BC COMERCIAL P17'!F19</f>
        <v>147046.32563668437</v>
      </c>
      <c r="L125" s="634">
        <f>'BC COMERCIAL P17'!G19</f>
        <v>147893.71124204833</v>
      </c>
      <c r="M125" s="634">
        <f>'BC COMERCIAL P17'!H19</f>
        <v>148704.66175869221</v>
      </c>
      <c r="N125" s="634">
        <f>'BC COMERCIAL P17'!I19</f>
        <v>0</v>
      </c>
      <c r="O125" s="634">
        <f>'BC COMERCIAL P17'!J19</f>
        <v>0</v>
      </c>
      <c r="P125" s="634">
        <f>'BC COMERCIAL P17'!K19</f>
        <v>0</v>
      </c>
      <c r="Q125" s="634">
        <f>'BC COMERCIAL P17'!L19</f>
        <v>0</v>
      </c>
      <c r="R125" s="635">
        <f>'BC COMERCIAL P17'!M19</f>
        <v>0</v>
      </c>
      <c r="S125" s="610" t="str">
        <f>+AP.17</f>
        <v>SI</v>
      </c>
    </row>
    <row r="126" spans="5:19" ht="25.5" x14ac:dyDescent="0.2">
      <c r="E126" s="628">
        <f t="shared" si="29"/>
        <v>18</v>
      </c>
      <c r="F126" s="156" t="str">
        <f t="shared" si="30"/>
        <v>18. SOFTWARE DE INTELIGENCIA PARA ALERTAS</v>
      </c>
      <c r="G126" s="904" t="str">
        <f t="shared" si="31"/>
        <v>COMERCIAL</v>
      </c>
      <c r="H126" s="633">
        <f>'BC COMERCIAL P18'!C19</f>
        <v>0</v>
      </c>
      <c r="I126" s="634">
        <f>'BC COMERCIAL P18'!D19</f>
        <v>0</v>
      </c>
      <c r="J126" s="634">
        <f>'BC COMERCIAL P18'!E19</f>
        <v>0</v>
      </c>
      <c r="K126" s="634">
        <f>'BC COMERCIAL P18'!F19</f>
        <v>0</v>
      </c>
      <c r="L126" s="634">
        <f>'BC COMERCIAL P18'!G19</f>
        <v>0</v>
      </c>
      <c r="M126" s="634">
        <f>'BC COMERCIAL P18'!H19</f>
        <v>0</v>
      </c>
      <c r="N126" s="634">
        <f>'BC COMERCIAL P18'!I19</f>
        <v>0</v>
      </c>
      <c r="O126" s="634">
        <f>'BC COMERCIAL P18'!J19</f>
        <v>0</v>
      </c>
      <c r="P126" s="634">
        <f>'BC COMERCIAL P18'!K19</f>
        <v>0</v>
      </c>
      <c r="Q126" s="634">
        <f>'BC COMERCIAL P18'!L19</f>
        <v>0</v>
      </c>
      <c r="R126" s="635">
        <f>'BC COMERCIAL P18'!M19</f>
        <v>0</v>
      </c>
      <c r="S126" s="610">
        <f>+AP.18</f>
        <v>0</v>
      </c>
    </row>
    <row r="127" spans="5:19" ht="26.25" thickBot="1" x14ac:dyDescent="0.25">
      <c r="E127" s="636">
        <f t="shared" si="29"/>
        <v>19</v>
      </c>
      <c r="F127" s="157" t="str">
        <f t="shared" si="30"/>
        <v>19 VINCULACIÓN INDIVUAL (TÉCNICO - COMERCIAL)</v>
      </c>
      <c r="G127" s="904" t="str">
        <f t="shared" si="31"/>
        <v>COMERCIAL</v>
      </c>
      <c r="H127" s="1141">
        <f>'BC COMERCIAL P19'!C19</f>
        <v>0</v>
      </c>
      <c r="I127" s="637">
        <f>'BC COMERCIAL P19'!D19</f>
        <v>0</v>
      </c>
      <c r="J127" s="637">
        <f>'BC COMERCIAL P19'!E19</f>
        <v>0</v>
      </c>
      <c r="K127" s="637">
        <f>'BC COMERCIAL P19'!F19</f>
        <v>0</v>
      </c>
      <c r="L127" s="637">
        <f>'BC COMERCIAL P19'!G19</f>
        <v>0</v>
      </c>
      <c r="M127" s="637">
        <f>'BC COMERCIAL P19'!H19</f>
        <v>0</v>
      </c>
      <c r="N127" s="637">
        <f>'BC COMERCIAL P19'!I19</f>
        <v>0</v>
      </c>
      <c r="O127" s="637">
        <f>'BC COMERCIAL P19'!J19</f>
        <v>0</v>
      </c>
      <c r="P127" s="637">
        <f>'BC COMERCIAL P19'!K19</f>
        <v>0</v>
      </c>
      <c r="Q127" s="637">
        <f>'BC COMERCIAL P19'!L19</f>
        <v>0</v>
      </c>
      <c r="R127" s="638">
        <f>'BC COMERCIAL P19'!M19</f>
        <v>0</v>
      </c>
      <c r="S127" s="610">
        <f>+AP.19</f>
        <v>0</v>
      </c>
    </row>
    <row r="128" spans="5:19" ht="13.5" customHeight="1" thickBot="1" x14ac:dyDescent="0.25">
      <c r="E128" s="1753" t="s">
        <v>925</v>
      </c>
      <c r="F128" s="1754"/>
      <c r="G128" s="1755"/>
      <c r="H128" s="1140">
        <f>SUM(H109:H116)</f>
        <v>0</v>
      </c>
      <c r="I128" s="1142">
        <f t="shared" ref="I128:R128" si="32">SUM(I109:I116)</f>
        <v>847139.72604797326</v>
      </c>
      <c r="J128" s="1142">
        <f t="shared" si="32"/>
        <v>4504035.1480943458</v>
      </c>
      <c r="K128" s="1142">
        <f t="shared" si="32"/>
        <v>5815352.9316229867</v>
      </c>
      <c r="L128" s="1142">
        <f t="shared" si="32"/>
        <v>6132607.6342735272</v>
      </c>
      <c r="M128" s="1142">
        <f t="shared" si="32"/>
        <v>7586977.9863827638</v>
      </c>
      <c r="N128" s="1142">
        <f t="shared" si="32"/>
        <v>8911727.8208676614</v>
      </c>
      <c r="O128" s="1142">
        <f t="shared" si="32"/>
        <v>6880817.0318179</v>
      </c>
      <c r="P128" s="1142">
        <f t="shared" si="32"/>
        <v>7580533.2248991504</v>
      </c>
      <c r="Q128" s="1142">
        <f t="shared" si="32"/>
        <v>8005162.10024013</v>
      </c>
      <c r="R128" s="1140">
        <f t="shared" si="32"/>
        <v>8539025.318277562</v>
      </c>
      <c r="S128" s="610"/>
    </row>
    <row r="129" spans="3:19" ht="13.5" customHeight="1" thickBot="1" x14ac:dyDescent="0.25">
      <c r="E129" s="1753" t="s">
        <v>926</v>
      </c>
      <c r="F129" s="1754"/>
      <c r="G129" s="1755"/>
      <c r="H129" s="639">
        <f>SUM(H117:H127)</f>
        <v>0</v>
      </c>
      <c r="I129" s="639">
        <f t="shared" ref="I129:R129" si="33">SUM(I117:I127)</f>
        <v>927781.64047894638</v>
      </c>
      <c r="J129" s="639">
        <f t="shared" si="33"/>
        <v>1313881.2166365557</v>
      </c>
      <c r="K129" s="639">
        <f t="shared" si="33"/>
        <v>1665540.9159619883</v>
      </c>
      <c r="L129" s="639">
        <f t="shared" si="33"/>
        <v>2050943.7535090505</v>
      </c>
      <c r="M129" s="639">
        <f t="shared" si="33"/>
        <v>2362995.2047676453</v>
      </c>
      <c r="N129" s="639">
        <f t="shared" si="33"/>
        <v>784086.8</v>
      </c>
      <c r="O129" s="639">
        <f t="shared" si="33"/>
        <v>814371.6</v>
      </c>
      <c r="P129" s="639">
        <f t="shared" si="33"/>
        <v>819129.39999999991</v>
      </c>
      <c r="Q129" s="639">
        <f t="shared" si="33"/>
        <v>798678.2</v>
      </c>
      <c r="R129" s="640">
        <f t="shared" si="33"/>
        <v>753332</v>
      </c>
      <c r="S129" s="610"/>
    </row>
    <row r="130" spans="3:19" ht="13.5" thickBot="1" x14ac:dyDescent="0.25">
      <c r="E130" s="1753" t="s">
        <v>524</v>
      </c>
      <c r="F130" s="1754"/>
      <c r="G130" s="1755"/>
      <c r="H130" s="639">
        <f>SUM(H109:H127)</f>
        <v>0</v>
      </c>
      <c r="I130" s="639">
        <f>SUM(I109:I127)</f>
        <v>1774921.3665269196</v>
      </c>
      <c r="J130" s="639">
        <f t="shared" ref="J130:R130" si="34">SUM(J109:J127)</f>
        <v>5817916.3647309011</v>
      </c>
      <c r="K130" s="639">
        <f t="shared" si="34"/>
        <v>7480893.847584975</v>
      </c>
      <c r="L130" s="639">
        <f t="shared" si="34"/>
        <v>8183551.3877825774</v>
      </c>
      <c r="M130" s="639">
        <f t="shared" si="34"/>
        <v>9949973.1911504101</v>
      </c>
      <c r="N130" s="639">
        <f t="shared" si="34"/>
        <v>9695814.6208676621</v>
      </c>
      <c r="O130" s="639">
        <f t="shared" si="34"/>
        <v>7695188.6318178996</v>
      </c>
      <c r="P130" s="639">
        <f t="shared" si="34"/>
        <v>8399662.6248991508</v>
      </c>
      <c r="Q130" s="639">
        <f t="shared" si="34"/>
        <v>8803840.3002401292</v>
      </c>
      <c r="R130" s="640">
        <f t="shared" si="34"/>
        <v>9292357.318277562</v>
      </c>
    </row>
    <row r="131" spans="3:19" ht="13.5" thickBot="1" x14ac:dyDescent="0.25">
      <c r="E131" s="1756" t="s">
        <v>927</v>
      </c>
      <c r="F131" s="1757"/>
      <c r="G131" s="1758"/>
      <c r="H131" s="953">
        <f t="shared" ref="H131:R131" si="35">+SUMIF($S$109:$S$116,"SI",H109:H116)</f>
        <v>0</v>
      </c>
      <c r="I131" s="953">
        <f>+SUMIF($S$109:$S$116,"SI",I109:I116)</f>
        <v>847139.72604797326</v>
      </c>
      <c r="J131" s="953">
        <f t="shared" si="35"/>
        <v>4504035.1480943458</v>
      </c>
      <c r="K131" s="953">
        <f t="shared" si="35"/>
        <v>5815352.9316229867</v>
      </c>
      <c r="L131" s="953">
        <f>+SUMIF($S$109:$S$116,"SI",L109:L116)</f>
        <v>6132607.6342735272</v>
      </c>
      <c r="M131" s="953">
        <f t="shared" si="35"/>
        <v>7586977.9863827638</v>
      </c>
      <c r="N131" s="953">
        <f t="shared" si="35"/>
        <v>8911727.8208676614</v>
      </c>
      <c r="O131" s="953">
        <f t="shared" si="35"/>
        <v>6880817.0318179</v>
      </c>
      <c r="P131" s="953">
        <f t="shared" si="35"/>
        <v>7580533.2248991504</v>
      </c>
      <c r="Q131" s="953">
        <f t="shared" si="35"/>
        <v>8005162.10024013</v>
      </c>
      <c r="R131" s="1143">
        <f t="shared" si="35"/>
        <v>8539025.318277562</v>
      </c>
    </row>
    <row r="132" spans="3:19" ht="13.5" customHeight="1" thickBot="1" x14ac:dyDescent="0.25">
      <c r="E132" s="1756" t="s">
        <v>928</v>
      </c>
      <c r="F132" s="1757"/>
      <c r="G132" s="1758"/>
      <c r="H132" s="953">
        <f t="shared" ref="H132:R132" si="36">+SUMIF($S$117:$S$127,"SI",H117:H127)</f>
        <v>0</v>
      </c>
      <c r="I132" s="953">
        <f t="shared" si="36"/>
        <v>927781.64047894638</v>
      </c>
      <c r="J132" s="953">
        <f t="shared" si="36"/>
        <v>1313881.2166365557</v>
      </c>
      <c r="K132" s="953">
        <f t="shared" si="36"/>
        <v>1665540.9159619883</v>
      </c>
      <c r="L132" s="953">
        <f t="shared" si="36"/>
        <v>2050943.7535090505</v>
      </c>
      <c r="M132" s="953">
        <f t="shared" si="36"/>
        <v>2362995.2047676453</v>
      </c>
      <c r="N132" s="953">
        <f t="shared" si="36"/>
        <v>784086.8</v>
      </c>
      <c r="O132" s="953">
        <f t="shared" si="36"/>
        <v>814371.6</v>
      </c>
      <c r="P132" s="953">
        <f t="shared" si="36"/>
        <v>819129.39999999991</v>
      </c>
      <c r="Q132" s="953">
        <f t="shared" si="36"/>
        <v>798678.2</v>
      </c>
      <c r="R132" s="1143">
        <f t="shared" si="36"/>
        <v>753332</v>
      </c>
    </row>
    <row r="133" spans="3:19" ht="13.5" thickBot="1" x14ac:dyDescent="0.25">
      <c r="E133" s="562" t="s">
        <v>547</v>
      </c>
    </row>
    <row r="134" spans="3:19" ht="15" customHeight="1" x14ac:dyDescent="0.2">
      <c r="E134" s="1759" t="s">
        <v>365</v>
      </c>
      <c r="F134" s="1759" t="s">
        <v>505</v>
      </c>
      <c r="G134" s="1759" t="s">
        <v>504</v>
      </c>
      <c r="H134" s="535">
        <v>2025</v>
      </c>
      <c r="I134" s="535">
        <f>H134+1</f>
        <v>2026</v>
      </c>
      <c r="J134" s="535">
        <f t="shared" ref="J134:R134" si="37">I134+1</f>
        <v>2027</v>
      </c>
      <c r="K134" s="535">
        <f t="shared" si="37"/>
        <v>2028</v>
      </c>
      <c r="L134" s="535">
        <f t="shared" si="37"/>
        <v>2029</v>
      </c>
      <c r="M134" s="535">
        <f t="shared" si="37"/>
        <v>2030</v>
      </c>
      <c r="N134" s="535">
        <f t="shared" si="37"/>
        <v>2031</v>
      </c>
      <c r="O134" s="535">
        <f t="shared" si="37"/>
        <v>2032</v>
      </c>
      <c r="P134" s="535">
        <f t="shared" si="37"/>
        <v>2033</v>
      </c>
      <c r="Q134" s="535">
        <f t="shared" si="37"/>
        <v>2034</v>
      </c>
      <c r="R134" s="535">
        <f t="shared" si="37"/>
        <v>2035</v>
      </c>
    </row>
    <row r="135" spans="3:19" ht="13.5" thickBot="1" x14ac:dyDescent="0.25">
      <c r="E135" s="1760"/>
      <c r="F135" s="1760"/>
      <c r="G135" s="1760"/>
      <c r="H135" s="563">
        <v>0</v>
      </c>
      <c r="I135" s="563">
        <v>1</v>
      </c>
      <c r="J135" s="563">
        <v>2</v>
      </c>
      <c r="K135" s="563">
        <v>3</v>
      </c>
      <c r="L135" s="563">
        <v>4</v>
      </c>
      <c r="M135" s="563">
        <v>5</v>
      </c>
      <c r="N135" s="563">
        <v>6</v>
      </c>
      <c r="O135" s="563">
        <v>7</v>
      </c>
      <c r="P135" s="563">
        <v>8</v>
      </c>
      <c r="Q135" s="563">
        <v>9</v>
      </c>
      <c r="R135" s="563">
        <v>10</v>
      </c>
    </row>
    <row r="136" spans="3:19" ht="38.25" x14ac:dyDescent="0.2">
      <c r="E136" s="622">
        <f t="shared" ref="E136:E146" si="38">+B20</f>
        <v>9</v>
      </c>
      <c r="F136" s="155" t="str">
        <f t="shared" ref="F136:F146" si="39">+D20</f>
        <v>9. RENOVACIÓN/REPOSICIÓN DE MEDIDORES (CAMBIO MASIVO)</v>
      </c>
      <c r="G136" s="624" t="str">
        <f t="shared" ref="G136:G146" si="40">+C20</f>
        <v>COMERCIAL</v>
      </c>
      <c r="H136" s="570">
        <f>SUM('EV PROG CCIALES'!$J210:'EV PROG CCIALES'!J210)</f>
        <v>0</v>
      </c>
      <c r="I136" s="571">
        <f>SUM('EV PROG CCIALES'!$J$210:K210)</f>
        <v>0</v>
      </c>
      <c r="J136" s="571">
        <f>SUM('EV PROG CCIALES'!$J$210:L210)</f>
        <v>0</v>
      </c>
      <c r="K136" s="571">
        <f>SUM('EV PROG CCIALES'!$J$210:M210)</f>
        <v>0</v>
      </c>
      <c r="L136" s="571">
        <f>SUM('EV PROG CCIALES'!$J$210:N210)</f>
        <v>0</v>
      </c>
      <c r="M136" s="571">
        <f>SUM('EV PROG CCIALES'!$J$210:O210)</f>
        <v>0</v>
      </c>
      <c r="N136" s="571">
        <f>SUM('EV PROG CCIALES'!$J$210:P210)</f>
        <v>0</v>
      </c>
      <c r="O136" s="571">
        <f>SUM('EV PROG CCIALES'!$J$210:Q210)</f>
        <v>0</v>
      </c>
      <c r="P136" s="571">
        <f>SUM('EV PROG CCIALES'!$J$210:R210)</f>
        <v>0</v>
      </c>
      <c r="Q136" s="571">
        <f>SUM('EV PROG CCIALES'!$J$210:S210)</f>
        <v>0</v>
      </c>
      <c r="R136" s="571">
        <f>SUM('EV PROG CCIALES'!$J$210:T210)</f>
        <v>0</v>
      </c>
      <c r="S136" s="610" t="str">
        <f>+AP.9</f>
        <v>SI</v>
      </c>
    </row>
    <row r="137" spans="3:19" ht="25.5" x14ac:dyDescent="0.2">
      <c r="E137" s="628">
        <f t="shared" si="38"/>
        <v>10</v>
      </c>
      <c r="F137" s="156" t="str">
        <f t="shared" si="39"/>
        <v>10. GESTIÓN DE FRAUDES Y CONEXIONES CLANDESTINAS</v>
      </c>
      <c r="G137" s="629" t="str">
        <f t="shared" si="40"/>
        <v>COMERCIAL</v>
      </c>
      <c r="H137" s="566">
        <v>0</v>
      </c>
      <c r="I137" s="567">
        <v>0</v>
      </c>
      <c r="J137" s="567">
        <v>0</v>
      </c>
      <c r="K137" s="567">
        <v>0</v>
      </c>
      <c r="L137" s="567">
        <v>0</v>
      </c>
      <c r="M137" s="567">
        <v>0</v>
      </c>
      <c r="N137" s="567">
        <v>0</v>
      </c>
      <c r="O137" s="567">
        <v>0</v>
      </c>
      <c r="P137" s="567">
        <v>0</v>
      </c>
      <c r="Q137" s="567">
        <v>0</v>
      </c>
      <c r="R137" s="568">
        <v>0</v>
      </c>
      <c r="S137" s="610" t="str">
        <f>+AP.10</f>
        <v>SI</v>
      </c>
    </row>
    <row r="138" spans="3:19" ht="51" x14ac:dyDescent="0.2">
      <c r="E138" s="628">
        <f t="shared" si="38"/>
        <v>11</v>
      </c>
      <c r="F138" s="156" t="str">
        <f t="shared" si="39"/>
        <v>11. COBRO DE CONSUMOS POR EJECUCIÓN DE OBRAS DE INFRAESTRUCTURA (COBRO DE TERCEROS)</v>
      </c>
      <c r="G138" s="629" t="str">
        <f t="shared" si="40"/>
        <v>COMERCIAL</v>
      </c>
      <c r="H138" s="566">
        <v>0</v>
      </c>
      <c r="I138" s="567">
        <v>0</v>
      </c>
      <c r="J138" s="567">
        <v>0</v>
      </c>
      <c r="K138" s="567">
        <v>0</v>
      </c>
      <c r="L138" s="567">
        <v>0</v>
      </c>
      <c r="M138" s="567">
        <v>0</v>
      </c>
      <c r="N138" s="567">
        <v>0</v>
      </c>
      <c r="O138" s="567">
        <v>0</v>
      </c>
      <c r="P138" s="567">
        <v>0</v>
      </c>
      <c r="Q138" s="567">
        <v>0</v>
      </c>
      <c r="R138" s="568">
        <v>0</v>
      </c>
      <c r="S138" s="610">
        <f>+AP.11</f>
        <v>0</v>
      </c>
    </row>
    <row r="139" spans="3:19" ht="38.25" x14ac:dyDescent="0.2">
      <c r="E139" s="628">
        <f t="shared" si="38"/>
        <v>12</v>
      </c>
      <c r="F139" s="156" t="str">
        <f t="shared" si="39"/>
        <v>12. SEGUIMIENTO USUARIOS CON CONSUMO 0 E INACTIVOS</v>
      </c>
      <c r="G139" s="629" t="str">
        <f t="shared" si="40"/>
        <v>COMERCIAL</v>
      </c>
      <c r="H139" s="566">
        <v>0</v>
      </c>
      <c r="I139" s="567">
        <v>0</v>
      </c>
      <c r="J139" s="567">
        <v>0</v>
      </c>
      <c r="K139" s="567">
        <v>0</v>
      </c>
      <c r="L139" s="567">
        <v>0</v>
      </c>
      <c r="M139" s="567">
        <v>0</v>
      </c>
      <c r="N139" s="567">
        <v>0</v>
      </c>
      <c r="O139" s="567">
        <v>0</v>
      </c>
      <c r="P139" s="567">
        <v>0</v>
      </c>
      <c r="Q139" s="567">
        <v>0</v>
      </c>
      <c r="R139" s="568">
        <v>0</v>
      </c>
      <c r="S139" s="610" t="str">
        <f>+AP.12</f>
        <v>SI</v>
      </c>
    </row>
    <row r="140" spans="3:19" x14ac:dyDescent="0.2">
      <c r="E140" s="628">
        <f t="shared" si="38"/>
        <v>13</v>
      </c>
      <c r="F140" s="156" t="str">
        <f t="shared" si="39"/>
        <v>13. SEGUIMIENTO ANOMALIAS</v>
      </c>
      <c r="G140" s="629" t="str">
        <f t="shared" si="40"/>
        <v>COMERCIAL</v>
      </c>
      <c r="H140" s="566">
        <v>0</v>
      </c>
      <c r="I140" s="567">
        <v>0</v>
      </c>
      <c r="J140" s="567">
        <v>0</v>
      </c>
      <c r="K140" s="567">
        <v>0</v>
      </c>
      <c r="L140" s="567">
        <v>0</v>
      </c>
      <c r="M140" s="567">
        <v>0</v>
      </c>
      <c r="N140" s="567">
        <v>0</v>
      </c>
      <c r="O140" s="567">
        <v>0</v>
      </c>
      <c r="P140" s="567">
        <v>0</v>
      </c>
      <c r="Q140" s="567">
        <v>0</v>
      </c>
      <c r="R140" s="568">
        <v>0</v>
      </c>
      <c r="S140" s="610" t="str">
        <f>+AP.13</f>
        <v>SI</v>
      </c>
    </row>
    <row r="141" spans="3:19" ht="38.25" x14ac:dyDescent="0.2">
      <c r="E141" s="628">
        <f t="shared" si="38"/>
        <v>14</v>
      </c>
      <c r="F141" s="156" t="str">
        <f t="shared" si="39"/>
        <v xml:space="preserve">14. SEGUIMIENTO Y CONTROL MEDIDORES GRANDES CONSUMIDORES </v>
      </c>
      <c r="G141" s="629" t="str">
        <f t="shared" si="40"/>
        <v>COMERCIAL</v>
      </c>
      <c r="H141" s="566">
        <v>0</v>
      </c>
      <c r="I141" s="567">
        <v>0</v>
      </c>
      <c r="J141" s="567">
        <v>0</v>
      </c>
      <c r="K141" s="567">
        <v>0</v>
      </c>
      <c r="L141" s="567">
        <v>0</v>
      </c>
      <c r="M141" s="567">
        <v>0</v>
      </c>
      <c r="N141" s="567">
        <v>0</v>
      </c>
      <c r="O141" s="567">
        <v>0</v>
      </c>
      <c r="P141" s="567">
        <v>0</v>
      </c>
      <c r="Q141" s="567">
        <v>0</v>
      </c>
      <c r="R141" s="568">
        <v>0</v>
      </c>
      <c r="S141" s="610" t="str">
        <f>+AP.14</f>
        <v>SI</v>
      </c>
    </row>
    <row r="142" spans="3:19" ht="38.25" x14ac:dyDescent="0.2">
      <c r="C142" s="572"/>
      <c r="E142" s="628">
        <f t="shared" si="38"/>
        <v>15</v>
      </c>
      <c r="F142" s="156" t="str">
        <f t="shared" si="39"/>
        <v>15. ACTUALIZACIÓN CATASTRO DE USUARIOS Y GEOREFERENCIACIÓN</v>
      </c>
      <c r="G142" s="629" t="str">
        <f t="shared" si="40"/>
        <v>COMERCIAL</v>
      </c>
      <c r="H142" s="1438"/>
      <c r="I142" s="1439"/>
      <c r="J142" s="1439"/>
      <c r="K142" s="1439"/>
      <c r="L142" s="1439"/>
      <c r="M142" s="1439"/>
      <c r="N142" s="1439"/>
      <c r="O142" s="1439"/>
      <c r="P142" s="1439"/>
      <c r="Q142" s="1439"/>
      <c r="R142" s="1440"/>
      <c r="S142" s="610" t="str">
        <f>+AP.15</f>
        <v>SI</v>
      </c>
    </row>
    <row r="143" spans="3:19" ht="25.5" x14ac:dyDescent="0.2">
      <c r="E143" s="628">
        <f t="shared" si="38"/>
        <v>16</v>
      </c>
      <c r="F143" s="156" t="str">
        <f t="shared" si="39"/>
        <v>16.VINCULACIÓN DE COMUNIDADES ILEGALES</v>
      </c>
      <c r="G143" s="629" t="str">
        <f t="shared" si="40"/>
        <v>COMERCIAL</v>
      </c>
      <c r="H143" s="633">
        <f>'EV PROG CCIALES'!J389</f>
        <v>0</v>
      </c>
      <c r="I143" s="634">
        <f>'EV PROG CCIALES'!K389</f>
        <v>1758</v>
      </c>
      <c r="J143" s="634">
        <f>'EV PROG CCIALES'!L389</f>
        <v>1758</v>
      </c>
      <c r="K143" s="634">
        <f>'EV PROG CCIALES'!M389</f>
        <v>1758</v>
      </c>
      <c r="L143" s="634">
        <f>'EV PROG CCIALES'!N389</f>
        <v>2344</v>
      </c>
      <c r="M143" s="634">
        <f>'EV PROG CCIALES'!O389</f>
        <v>2344</v>
      </c>
      <c r="N143" s="634">
        <f>'EV PROG CCIALES'!P389</f>
        <v>0</v>
      </c>
      <c r="O143" s="634">
        <f>'EV PROG CCIALES'!Q389</f>
        <v>0</v>
      </c>
      <c r="P143" s="634">
        <f>'EV PROG CCIALES'!R389</f>
        <v>0</v>
      </c>
      <c r="Q143" s="634">
        <f>'EV PROG CCIALES'!S389</f>
        <v>0</v>
      </c>
      <c r="R143" s="635">
        <f>'EV PROG CCIALES'!T389</f>
        <v>0</v>
      </c>
      <c r="S143" s="610" t="str">
        <f>+AP.16</f>
        <v>SI</v>
      </c>
    </row>
    <row r="144" spans="3:19" ht="25.5" x14ac:dyDescent="0.2">
      <c r="E144" s="628">
        <f t="shared" si="38"/>
        <v>17</v>
      </c>
      <c r="F144" s="156" t="str">
        <f t="shared" si="39"/>
        <v>17. TELEMETRÍA GRANDES CONSUMIDORES</v>
      </c>
      <c r="G144" s="629" t="str">
        <f t="shared" si="40"/>
        <v>COMERCIAL</v>
      </c>
      <c r="H144" s="566">
        <v>0</v>
      </c>
      <c r="I144" s="567">
        <v>0</v>
      </c>
      <c r="J144" s="567">
        <v>0</v>
      </c>
      <c r="K144" s="567">
        <v>0</v>
      </c>
      <c r="L144" s="567">
        <v>0</v>
      </c>
      <c r="M144" s="567">
        <v>0</v>
      </c>
      <c r="N144" s="567">
        <v>0</v>
      </c>
      <c r="O144" s="567">
        <v>0</v>
      </c>
      <c r="P144" s="567">
        <v>0</v>
      </c>
      <c r="Q144" s="567">
        <v>0</v>
      </c>
      <c r="R144" s="568">
        <v>0</v>
      </c>
      <c r="S144" s="610" t="str">
        <f>+AP.17</f>
        <v>SI</v>
      </c>
    </row>
    <row r="145" spans="5:19" ht="25.5" x14ac:dyDescent="0.2">
      <c r="E145" s="628">
        <f t="shared" si="38"/>
        <v>18</v>
      </c>
      <c r="F145" s="156" t="str">
        <f t="shared" si="39"/>
        <v>18. SOFTWARE DE INTELIGENCIA PARA ALERTAS</v>
      </c>
      <c r="G145" s="629" t="str">
        <f t="shared" si="40"/>
        <v>COMERCIAL</v>
      </c>
      <c r="H145" s="566">
        <v>0</v>
      </c>
      <c r="I145" s="567">
        <v>0</v>
      </c>
      <c r="J145" s="567">
        <v>0</v>
      </c>
      <c r="K145" s="567">
        <v>0</v>
      </c>
      <c r="L145" s="567">
        <v>0</v>
      </c>
      <c r="M145" s="567">
        <v>0</v>
      </c>
      <c r="N145" s="567">
        <v>0</v>
      </c>
      <c r="O145" s="567">
        <v>0</v>
      </c>
      <c r="P145" s="567">
        <v>0</v>
      </c>
      <c r="Q145" s="567">
        <v>0</v>
      </c>
      <c r="R145" s="568">
        <v>0</v>
      </c>
      <c r="S145" s="610">
        <f>+AP.18</f>
        <v>0</v>
      </c>
    </row>
    <row r="146" spans="5:19" ht="26.25" thickBot="1" x14ac:dyDescent="0.25">
      <c r="E146" s="628">
        <f t="shared" si="38"/>
        <v>19</v>
      </c>
      <c r="F146" s="156" t="str">
        <f t="shared" si="39"/>
        <v>19 VINCULACIÓN INDIVUAL (TÉCNICO - COMERCIAL)</v>
      </c>
      <c r="G146" s="629" t="str">
        <f t="shared" si="40"/>
        <v>COMERCIAL</v>
      </c>
      <c r="H146" s="566">
        <f>'EV PROG CCIALES'!J435</f>
        <v>0</v>
      </c>
      <c r="I146" s="567">
        <f>'EV PROG CCIALES'!K435</f>
        <v>0</v>
      </c>
      <c r="J146" s="567">
        <f>'EV PROG CCIALES'!L435</f>
        <v>0</v>
      </c>
      <c r="K146" s="567">
        <f>'EV PROG CCIALES'!M435</f>
        <v>0</v>
      </c>
      <c r="L146" s="567">
        <f>'EV PROG CCIALES'!N435</f>
        <v>0</v>
      </c>
      <c r="M146" s="567">
        <f>'EV PROG CCIALES'!O435</f>
        <v>0</v>
      </c>
      <c r="N146" s="567">
        <f>'EV PROG CCIALES'!P435</f>
        <v>0</v>
      </c>
      <c r="O146" s="567">
        <f>'EV PROG CCIALES'!Q435</f>
        <v>0</v>
      </c>
      <c r="P146" s="567">
        <f>'EV PROG CCIALES'!R435</f>
        <v>0</v>
      </c>
      <c r="Q146" s="567">
        <f>'EV PROG CCIALES'!S435</f>
        <v>0</v>
      </c>
      <c r="R146" s="568">
        <f>'EV PROG CCIALES'!T435</f>
        <v>0</v>
      </c>
      <c r="S146" s="610">
        <f>+AP.19</f>
        <v>0</v>
      </c>
    </row>
    <row r="147" spans="5:19" ht="13.5" thickBot="1" x14ac:dyDescent="0.25">
      <c r="E147" s="1753" t="s">
        <v>548</v>
      </c>
      <c r="F147" s="1754"/>
      <c r="G147" s="1755"/>
      <c r="H147" s="641">
        <f t="shared" ref="H147:R147" si="41">SUM(H136:H146)</f>
        <v>0</v>
      </c>
      <c r="I147" s="641">
        <f t="shared" si="41"/>
        <v>1758</v>
      </c>
      <c r="J147" s="641">
        <f t="shared" si="41"/>
        <v>1758</v>
      </c>
      <c r="K147" s="641">
        <f t="shared" si="41"/>
        <v>1758</v>
      </c>
      <c r="L147" s="641">
        <f t="shared" si="41"/>
        <v>2344</v>
      </c>
      <c r="M147" s="641">
        <f t="shared" si="41"/>
        <v>2344</v>
      </c>
      <c r="N147" s="641">
        <f t="shared" si="41"/>
        <v>0</v>
      </c>
      <c r="O147" s="641">
        <f t="shared" si="41"/>
        <v>0</v>
      </c>
      <c r="P147" s="641">
        <f t="shared" si="41"/>
        <v>0</v>
      </c>
      <c r="Q147" s="641">
        <f t="shared" si="41"/>
        <v>0</v>
      </c>
      <c r="R147" s="642">
        <f t="shared" si="41"/>
        <v>0</v>
      </c>
    </row>
    <row r="148" spans="5:19" ht="24.75" customHeight="1" thickBot="1" x14ac:dyDescent="0.25">
      <c r="E148" s="1756" t="s">
        <v>708</v>
      </c>
      <c r="F148" s="1757"/>
      <c r="G148" s="1757"/>
      <c r="H148" s="643">
        <f>+SUMIF($S$136:$S$146,"SI",H136:H146)</f>
        <v>0</v>
      </c>
      <c r="I148" s="643">
        <f t="shared" ref="I148:R148" si="42">+SUMIF($S$136:$S$146,"SI",I136:I146)</f>
        <v>1758</v>
      </c>
      <c r="J148" s="643">
        <f t="shared" si="42"/>
        <v>1758</v>
      </c>
      <c r="K148" s="643">
        <f t="shared" si="42"/>
        <v>1758</v>
      </c>
      <c r="L148" s="643">
        <f t="shared" si="42"/>
        <v>2344</v>
      </c>
      <c r="M148" s="643">
        <f t="shared" si="42"/>
        <v>2344</v>
      </c>
      <c r="N148" s="643">
        <f t="shared" si="42"/>
        <v>0</v>
      </c>
      <c r="O148" s="643">
        <f t="shared" si="42"/>
        <v>0</v>
      </c>
      <c r="P148" s="643">
        <f t="shared" si="42"/>
        <v>0</v>
      </c>
      <c r="Q148" s="643">
        <f t="shared" si="42"/>
        <v>0</v>
      </c>
      <c r="R148" s="644">
        <f t="shared" si="42"/>
        <v>0</v>
      </c>
    </row>
    <row r="150" spans="5:19" ht="15.75" thickBot="1" x14ac:dyDescent="0.3">
      <c r="G150" s="573" t="s">
        <v>529</v>
      </c>
      <c r="I150" s="338"/>
      <c r="J150" s="338"/>
      <c r="K150" s="338"/>
      <c r="L150" s="338"/>
      <c r="M150" s="338"/>
      <c r="N150" s="338"/>
      <c r="O150" s="338"/>
      <c r="P150" s="338"/>
      <c r="Q150" s="338"/>
      <c r="R150" s="338"/>
    </row>
    <row r="151" spans="5:19" ht="14.1" customHeight="1" x14ac:dyDescent="0.2">
      <c r="G151" s="1759" t="s">
        <v>530</v>
      </c>
      <c r="H151" s="535">
        <f>H2</f>
        <v>2025</v>
      </c>
      <c r="I151" s="535">
        <f t="shared" ref="I151:R151" si="43">I2</f>
        <v>2026</v>
      </c>
      <c r="J151" s="535">
        <f t="shared" si="43"/>
        <v>2027</v>
      </c>
      <c r="K151" s="535">
        <f t="shared" si="43"/>
        <v>2028</v>
      </c>
      <c r="L151" s="535">
        <f t="shared" si="43"/>
        <v>2029</v>
      </c>
      <c r="M151" s="535">
        <f t="shared" si="43"/>
        <v>2030</v>
      </c>
      <c r="N151" s="535">
        <f t="shared" si="43"/>
        <v>2031</v>
      </c>
      <c r="O151" s="535">
        <f t="shared" si="43"/>
        <v>2032</v>
      </c>
      <c r="P151" s="535">
        <f t="shared" si="43"/>
        <v>2033</v>
      </c>
      <c r="Q151" s="535">
        <f t="shared" si="43"/>
        <v>2034</v>
      </c>
      <c r="R151" s="535">
        <f t="shared" si="43"/>
        <v>2035</v>
      </c>
    </row>
    <row r="152" spans="5:19" ht="13.5" thickBot="1" x14ac:dyDescent="0.25">
      <c r="G152" s="1761"/>
      <c r="H152" s="536">
        <v>0</v>
      </c>
      <c r="I152" s="536">
        <v>1</v>
      </c>
      <c r="J152" s="536">
        <v>2</v>
      </c>
      <c r="K152" s="536">
        <v>3</v>
      </c>
      <c r="L152" s="536">
        <v>4</v>
      </c>
      <c r="M152" s="536">
        <v>5</v>
      </c>
      <c r="N152" s="536">
        <v>6</v>
      </c>
      <c r="O152" s="536">
        <v>7</v>
      </c>
      <c r="P152" s="536">
        <v>8</v>
      </c>
      <c r="Q152" s="536">
        <v>9</v>
      </c>
      <c r="R152" s="536">
        <v>10</v>
      </c>
    </row>
    <row r="153" spans="5:19" ht="15.75" thickBot="1" x14ac:dyDescent="0.25">
      <c r="G153" s="574" t="s">
        <v>527</v>
      </c>
      <c r="H153" s="645">
        <f>+'CMO PPERDIDAS'!H24</f>
        <v>52.268200994790469</v>
      </c>
      <c r="I153" s="645">
        <f>+'CMO PPERDIDAS'!I24</f>
        <v>54.128732559852885</v>
      </c>
      <c r="J153" s="645">
        <f>+'CMO PPERDIDAS'!J24</f>
        <v>56.055491346030848</v>
      </c>
      <c r="K153" s="645">
        <f>+'CMO PPERDIDAS'!K24</f>
        <v>58.050834768215367</v>
      </c>
      <c r="L153" s="645">
        <f>+'CMO PPERDIDAS'!L24</f>
        <v>60.117204155507892</v>
      </c>
      <c r="M153" s="645">
        <f>+'CMO PPERDIDAS'!M24</f>
        <v>62.257127738218763</v>
      </c>
      <c r="N153" s="645">
        <f>+'CMO PPERDIDAS'!N24</f>
        <v>64.473223741190509</v>
      </c>
      <c r="O153" s="645">
        <f>+'CMO PPERDIDAS'!O24</f>
        <v>66.768203587230602</v>
      </c>
      <c r="P153" s="645">
        <f>+'CMO PPERDIDAS'!P24</f>
        <v>69.144875214573162</v>
      </c>
      <c r="Q153" s="645">
        <f>+'CMO PPERDIDAS'!Q24</f>
        <v>71.606146512428566</v>
      </c>
      <c r="R153" s="645">
        <f>+'CMO PPERDIDAS'!R24</f>
        <v>74.155028878824453</v>
      </c>
    </row>
    <row r="154" spans="5:19" ht="15.75" thickBot="1" x14ac:dyDescent="0.25">
      <c r="G154" s="574" t="s">
        <v>358</v>
      </c>
      <c r="H154" s="645">
        <f>+'CMI POIR PPERDIDAS'!K759</f>
        <v>52.967791299752825</v>
      </c>
      <c r="I154" s="645">
        <f>+'CMI POIR PPERDIDAS'!L759</f>
        <v>54.853225383368041</v>
      </c>
      <c r="J154" s="645">
        <f>+'CMI POIR PPERDIDAS'!M759</f>
        <v>56.805773114662848</v>
      </c>
      <c r="K154" s="645">
        <f>+'CMI POIR PPERDIDAS'!N759</f>
        <v>58.827823461644151</v>
      </c>
      <c r="L154" s="645">
        <f>+'CMI POIR PPERDIDAS'!O759</f>
        <v>60.921850429689549</v>
      </c>
      <c r="M154" s="645">
        <f>+'CMI POIR PPERDIDAS'!P759</f>
        <v>63.090416088525707</v>
      </c>
      <c r="N154" s="645">
        <f>+'CMI POIR PPERDIDAS'!Q759</f>
        <v>65.336173706954611</v>
      </c>
      <c r="O154" s="645">
        <f>+'CMI POIR PPERDIDAS'!R759</f>
        <v>67.661870999163042</v>
      </c>
      <c r="P154" s="645">
        <f>+'CMI POIR PPERDIDAS'!S759</f>
        <v>70.070353486587308</v>
      </c>
      <c r="Q154" s="645">
        <f>+'CMI POIR PPERDIDAS'!T759</f>
        <v>72.564567979446366</v>
      </c>
      <c r="R154" s="645">
        <f>+'CMI POIR PPERDIDAS'!U759</f>
        <v>75.147566182203207</v>
      </c>
    </row>
    <row r="155" spans="5:19" ht="15.75" thickBot="1" x14ac:dyDescent="0.25">
      <c r="G155" s="574" t="s">
        <v>528</v>
      </c>
      <c r="H155" s="645">
        <f>SUM(H153:H154)</f>
        <v>105.23599229454329</v>
      </c>
      <c r="I155" s="645">
        <f t="shared" ref="I155:R155" si="44">SUM(I153:I154)</f>
        <v>108.98195794322092</v>
      </c>
      <c r="J155" s="645">
        <f t="shared" si="44"/>
        <v>112.86126446069369</v>
      </c>
      <c r="K155" s="645">
        <f t="shared" si="44"/>
        <v>116.87865822985952</v>
      </c>
      <c r="L155" s="645">
        <f t="shared" si="44"/>
        <v>121.03905458519745</v>
      </c>
      <c r="M155" s="645">
        <f t="shared" si="44"/>
        <v>125.34754382674447</v>
      </c>
      <c r="N155" s="645">
        <f t="shared" si="44"/>
        <v>129.80939744814512</v>
      </c>
      <c r="O155" s="645">
        <f t="shared" si="44"/>
        <v>134.43007458639363</v>
      </c>
      <c r="P155" s="645">
        <f t="shared" si="44"/>
        <v>139.21522870116047</v>
      </c>
      <c r="Q155" s="645">
        <f t="shared" si="44"/>
        <v>144.17071449187495</v>
      </c>
      <c r="R155" s="645">
        <f t="shared" si="44"/>
        <v>149.30259506102766</v>
      </c>
    </row>
    <row r="161" spans="5:19" ht="13.5" thickBot="1" x14ac:dyDescent="0.25">
      <c r="E161" s="562" t="s">
        <v>931</v>
      </c>
    </row>
    <row r="162" spans="5:19" ht="15" customHeight="1" x14ac:dyDescent="0.2">
      <c r="E162" s="1759" t="s">
        <v>365</v>
      </c>
      <c r="F162" s="1759" t="s">
        <v>505</v>
      </c>
      <c r="G162" s="1759" t="s">
        <v>504</v>
      </c>
      <c r="H162" s="535">
        <f>H2</f>
        <v>2025</v>
      </c>
      <c r="I162" s="535">
        <f t="shared" ref="I162:R162" si="45">I2</f>
        <v>2026</v>
      </c>
      <c r="J162" s="535">
        <f t="shared" si="45"/>
        <v>2027</v>
      </c>
      <c r="K162" s="535">
        <f t="shared" si="45"/>
        <v>2028</v>
      </c>
      <c r="L162" s="535">
        <f t="shared" si="45"/>
        <v>2029</v>
      </c>
      <c r="M162" s="535">
        <f t="shared" si="45"/>
        <v>2030</v>
      </c>
      <c r="N162" s="535">
        <f t="shared" si="45"/>
        <v>2031</v>
      </c>
      <c r="O162" s="535">
        <f t="shared" si="45"/>
        <v>2032</v>
      </c>
      <c r="P162" s="535">
        <f t="shared" si="45"/>
        <v>2033</v>
      </c>
      <c r="Q162" s="535">
        <f t="shared" si="45"/>
        <v>2034</v>
      </c>
      <c r="R162" s="535">
        <f t="shared" si="45"/>
        <v>2035</v>
      </c>
    </row>
    <row r="163" spans="5:19" ht="13.5" thickBot="1" x14ac:dyDescent="0.25">
      <c r="E163" s="1760"/>
      <c r="F163" s="1760"/>
      <c r="G163" s="1760"/>
      <c r="H163" s="563">
        <v>0</v>
      </c>
      <c r="I163" s="563">
        <v>1</v>
      </c>
      <c r="J163" s="563">
        <v>2</v>
      </c>
      <c r="K163" s="563">
        <v>3</v>
      </c>
      <c r="L163" s="563">
        <v>4</v>
      </c>
      <c r="M163" s="563">
        <v>5</v>
      </c>
      <c r="N163" s="563">
        <v>6</v>
      </c>
      <c r="O163" s="563">
        <v>7</v>
      </c>
      <c r="P163" s="563">
        <v>8</v>
      </c>
      <c r="Q163" s="563">
        <v>9</v>
      </c>
      <c r="R163" s="563">
        <v>10</v>
      </c>
    </row>
    <row r="164" spans="5:19" ht="13.5" thickBot="1" x14ac:dyDescent="0.25">
      <c r="E164" s="622">
        <f>E109</f>
        <v>1</v>
      </c>
      <c r="F164" s="622" t="str">
        <f>F109</f>
        <v>MACROMEDICIÓN</v>
      </c>
      <c r="G164" s="622" t="str">
        <f>G109</f>
        <v>TÉCNICO</v>
      </c>
      <c r="H164" s="964">
        <f>'BC TÉCNICO P1'!C$22</f>
        <v>0</v>
      </c>
      <c r="I164" s="964">
        <f>'BC TÉCNICO P1'!D$22</f>
        <v>0</v>
      </c>
      <c r="J164" s="964">
        <f>'BC TÉCNICO P1'!E$22</f>
        <v>0</v>
      </c>
      <c r="K164" s="964">
        <f>'BC TÉCNICO P1'!F$22</f>
        <v>0</v>
      </c>
      <c r="L164" s="964">
        <f>'BC TÉCNICO P1'!G$22</f>
        <v>0</v>
      </c>
      <c r="M164" s="964">
        <f>'BC TÉCNICO P1'!H$22</f>
        <v>0</v>
      </c>
      <c r="N164" s="964">
        <f>'BC TÉCNICO P1'!I$22</f>
        <v>0</v>
      </c>
      <c r="O164" s="964">
        <f>'BC TÉCNICO P1'!J$22</f>
        <v>0</v>
      </c>
      <c r="P164" s="964">
        <f>'BC TÉCNICO P1'!K$22</f>
        <v>0</v>
      </c>
      <c r="Q164" s="964">
        <f>'BC TÉCNICO P1'!L$22</f>
        <v>0</v>
      </c>
      <c r="R164" s="964">
        <f>'BC TÉCNICO P1'!M$22</f>
        <v>0</v>
      </c>
      <c r="S164" s="610" t="str">
        <f>+AP.1</f>
        <v>SI</v>
      </c>
    </row>
    <row r="165" spans="5:19" ht="13.5" thickBot="1" x14ac:dyDescent="0.25">
      <c r="E165" s="622">
        <f t="shared" ref="E165:G180" si="46">E110</f>
        <v>2</v>
      </c>
      <c r="F165" s="622" t="str">
        <f t="shared" si="46"/>
        <v>SECTORIZACIÓN</v>
      </c>
      <c r="G165" s="622" t="str">
        <f t="shared" si="46"/>
        <v>TÉCNICO</v>
      </c>
      <c r="H165" s="964">
        <f>'BC TÉCNICO P2'!C$22</f>
        <v>0</v>
      </c>
      <c r="I165" s="964">
        <f>'BC TÉCNICO P2'!D$22</f>
        <v>0</v>
      </c>
      <c r="J165" s="964">
        <f>'BC TÉCNICO P2'!E$22</f>
        <v>0</v>
      </c>
      <c r="K165" s="964">
        <f>'BC TÉCNICO P2'!F$22</f>
        <v>0</v>
      </c>
      <c r="L165" s="964">
        <f>'BC TÉCNICO P2'!G$22</f>
        <v>0</v>
      </c>
      <c r="M165" s="964">
        <f>'BC TÉCNICO P2'!H$22</f>
        <v>0</v>
      </c>
      <c r="N165" s="964">
        <f>'BC TÉCNICO P2'!I$22</f>
        <v>0</v>
      </c>
      <c r="O165" s="964">
        <f>'BC TÉCNICO P2'!J$22</f>
        <v>0</v>
      </c>
      <c r="P165" s="964">
        <f>'BC TÉCNICO P2'!K$22</f>
        <v>0</v>
      </c>
      <c r="Q165" s="964">
        <f>'BC TÉCNICO P2'!L$22</f>
        <v>0</v>
      </c>
      <c r="R165" s="964">
        <f>'BC TÉCNICO P2'!M$22</f>
        <v>0</v>
      </c>
      <c r="S165" s="610" t="str">
        <f>+AP.2</f>
        <v>SI</v>
      </c>
    </row>
    <row r="166" spans="5:19" ht="26.25" thickBot="1" x14ac:dyDescent="0.25">
      <c r="E166" s="622">
        <f t="shared" si="46"/>
        <v>3</v>
      </c>
      <c r="F166" s="622" t="str">
        <f t="shared" si="46"/>
        <v>GESTIÓN DEL PLANO DE PRESIONES</v>
      </c>
      <c r="G166" s="622" t="str">
        <f t="shared" si="46"/>
        <v>TÉCNICO</v>
      </c>
      <c r="H166" s="964">
        <f>'BC TÉCNICO P3'!C22</f>
        <v>0</v>
      </c>
      <c r="I166" s="964">
        <f>'BC TÉCNICO P3'!D22</f>
        <v>153501055.0048081</v>
      </c>
      <c r="J166" s="964">
        <f>'BC TÉCNICO P3'!E22</f>
        <v>828160571.2175765</v>
      </c>
      <c r="K166" s="964">
        <f>'BC TÉCNICO P3'!F22</f>
        <v>554355990.11651349</v>
      </c>
      <c r="L166" s="964">
        <f>'BC TÉCNICO P3'!G22</f>
        <v>287044384.16543114</v>
      </c>
      <c r="M166" s="964">
        <f>'BC TÉCNICO P3'!H22</f>
        <v>297261975.87797004</v>
      </c>
      <c r="N166" s="964">
        <f>'BC TÉCNICO P3'!I22</f>
        <v>307843271.5546456</v>
      </c>
      <c r="O166" s="964">
        <f>'BC TÉCNICO P3'!J22</f>
        <v>318801217.5508467</v>
      </c>
      <c r="P166" s="964">
        <f>'BC TÉCNICO P3'!K22</f>
        <v>330149221.05861616</v>
      </c>
      <c r="Q166" s="964">
        <f>'BC TÉCNICO P3'!L22</f>
        <v>341901166.51052767</v>
      </c>
      <c r="R166" s="964">
        <f>'BC TÉCNICO P3'!M22</f>
        <v>354071432.56747311</v>
      </c>
      <c r="S166" s="610" t="str">
        <f>+AP.3</f>
        <v>SI</v>
      </c>
    </row>
    <row r="167" spans="5:19" ht="26.25" thickBot="1" x14ac:dyDescent="0.25">
      <c r="E167" s="622">
        <f t="shared" si="46"/>
        <v>4</v>
      </c>
      <c r="F167" s="622" t="str">
        <f t="shared" si="46"/>
        <v>IMPERMEABILIZACIÓN DE TANQUES</v>
      </c>
      <c r="G167" s="622" t="str">
        <f t="shared" si="46"/>
        <v>TÉCNICO</v>
      </c>
      <c r="H167" s="965">
        <f>'BC TÉCNICO P4'!C22</f>
        <v>0</v>
      </c>
      <c r="I167" s="965">
        <f>'BC TÉCNICO P4'!D22</f>
        <v>0</v>
      </c>
      <c r="J167" s="965">
        <f>'BC TÉCNICO P4'!E22</f>
        <v>1177334.9768815956</v>
      </c>
      <c r="K167" s="965">
        <f>'BC TÉCNICO P4'!F22</f>
        <v>1943345.4960600974</v>
      </c>
      <c r="L167" s="965">
        <f>'BC TÉCNICO P4'!G22</f>
        <v>3378379.0661306158</v>
      </c>
      <c r="M167" s="965">
        <f>'BC TÉCNICO P4'!H22</f>
        <v>4236670.9152563903</v>
      </c>
      <c r="N167" s="965">
        <f>'BC TÉCNICO P4'!I22</f>
        <v>5305703.365800865</v>
      </c>
      <c r="O167" s="965">
        <f>'BC TÉCNICO P4'!J22</f>
        <v>6224069.2322900845</v>
      </c>
      <c r="P167" s="965">
        <f>'BC TÉCNICO P4'!K22</f>
        <v>3978282.3073904184</v>
      </c>
      <c r="Q167" s="965">
        <f>'BC TÉCNICO P4'!L22</f>
        <v>4902256.5108053442</v>
      </c>
      <c r="R167" s="965">
        <f>'BC TÉCNICO P4'!M22</f>
        <v>5886969.2837340478</v>
      </c>
      <c r="S167" s="610" t="str">
        <f>+AP.4</f>
        <v>SI</v>
      </c>
    </row>
    <row r="168" spans="5:19" ht="13.5" thickBot="1" x14ac:dyDescent="0.25">
      <c r="E168" s="622">
        <f t="shared" si="46"/>
        <v>5</v>
      </c>
      <c r="F168" s="622" t="str">
        <f t="shared" si="46"/>
        <v>ATENCIÓN DE DAÑOS</v>
      </c>
      <c r="G168" s="622" t="str">
        <f t="shared" si="46"/>
        <v>TÉCNICO</v>
      </c>
      <c r="H168" s="965">
        <f>'BC TÉCNICO P5'!C22</f>
        <v>0</v>
      </c>
      <c r="I168" s="965">
        <f>'BC TÉCNICO P5'!D22</f>
        <v>97001043.386206582</v>
      </c>
      <c r="J168" s="965">
        <f>'BC TÉCNICO P5'!E22</f>
        <v>158935863.89526132</v>
      </c>
      <c r="K168" s="965">
        <f>'BC TÉCNICO P5'!F22</f>
        <v>245110172.50621861</v>
      </c>
      <c r="L168" s="965">
        <f>'BC TÉCNICO P5'!G22</f>
        <v>126917539.9456629</v>
      </c>
      <c r="M168" s="965">
        <f>'BC TÉCNICO P5'!H22</f>
        <v>131435278.92911312</v>
      </c>
      <c r="N168" s="965">
        <f>'BC TÉCNICO P5'!I22</f>
        <v>136113830.71693477</v>
      </c>
      <c r="O168" s="965">
        <f>'BC TÉCNICO P5'!J22</f>
        <v>140958919.57919845</v>
      </c>
      <c r="P168" s="965">
        <f>'BC TÉCNICO P5'!K22</f>
        <v>145976473.54629084</v>
      </c>
      <c r="Q168" s="965">
        <f>'BC TÉCNICO P5'!L22</f>
        <v>151172631.66193831</v>
      </c>
      <c r="R168" s="965">
        <f>'BC TÉCNICO P5'!M22</f>
        <v>156553751.49440822</v>
      </c>
      <c r="S168" s="610" t="str">
        <f>+AP.5</f>
        <v>SI</v>
      </c>
    </row>
    <row r="169" spans="5:19" ht="26.25" thickBot="1" x14ac:dyDescent="0.25">
      <c r="E169" s="622">
        <f t="shared" si="46"/>
        <v>6</v>
      </c>
      <c r="F169" s="622" t="str">
        <f t="shared" si="46"/>
        <v>BÚSQUEDA SISTEMÁTICA DE FUGAS</v>
      </c>
      <c r="G169" s="622" t="str">
        <f t="shared" si="46"/>
        <v>TÉCNICO</v>
      </c>
      <c r="H169" s="965">
        <f>'BC TÉCNICO P6'!C22</f>
        <v>0</v>
      </c>
      <c r="I169" s="965">
        <f>'BC TÉCNICO P6'!D22</f>
        <v>0</v>
      </c>
      <c r="J169" s="965">
        <f>'BC TÉCNICO P6'!E22</f>
        <v>57829102.086876124</v>
      </c>
      <c r="K169" s="965">
        <f>'BC TÉCNICO P6'!F22</f>
        <v>127968988.37046567</v>
      </c>
      <c r="L169" s="965">
        <f>'BC TÉCNICO P6'!G22</f>
        <v>221034455.61103949</v>
      </c>
      <c r="M169" s="965">
        <f>'BC TÉCNICO P6'!H22</f>
        <v>385943506.27558976</v>
      </c>
      <c r="N169" s="965">
        <f>'BC TÉCNICO P6'!I22</f>
        <v>575741901.24710476</v>
      </c>
      <c r="O169" s="965">
        <f>'BC TÉCNICO P6'!J22</f>
        <v>730360226.10579026</v>
      </c>
      <c r="P169" s="965">
        <f>'BC TÉCNICO P6'!K22</f>
        <v>1023133410.3321009</v>
      </c>
      <c r="Q169" s="965">
        <f>'BC TÉCNICO P6'!L22</f>
        <v>1224877495.3547802</v>
      </c>
      <c r="R169" s="965">
        <f>'BC TÉCNICO P6'!M22</f>
        <v>1483939239.8577554</v>
      </c>
      <c r="S169" s="610" t="str">
        <f>+AP.6</f>
        <v>SI</v>
      </c>
    </row>
    <row r="170" spans="5:19" ht="13.5" thickBot="1" x14ac:dyDescent="0.25">
      <c r="E170" s="622">
        <f t="shared" si="46"/>
        <v>7</v>
      </c>
      <c r="F170" s="622" t="str">
        <f t="shared" si="46"/>
        <v xml:space="preserve">REPOSICIÓN DE REDES </v>
      </c>
      <c r="G170" s="622" t="str">
        <f t="shared" si="46"/>
        <v>TÉCNICO</v>
      </c>
      <c r="H170" s="965">
        <f>'BC TÉCNICO P7'!C22</f>
        <v>0</v>
      </c>
      <c r="I170" s="965">
        <f>'BC TÉCNICO P7'!D22</f>
        <v>0</v>
      </c>
      <c r="J170" s="965">
        <f>'BC TÉCNICO P7'!E22</f>
        <v>333164289.97611398</v>
      </c>
      <c r="K170" s="965">
        <f>'BC TÉCNICO P7'!F22</f>
        <v>914842695.63946009</v>
      </c>
      <c r="L170" s="965">
        <f>'BC TÉCNICO P7'!G22</f>
        <v>1375685295.9635916</v>
      </c>
      <c r="M170" s="965">
        <f>'BC TÉCNICO P7'!H22</f>
        <v>1761518605.6423638</v>
      </c>
      <c r="N170" s="965">
        <f>'BC TÉCNICO P7'!I22</f>
        <v>2113839510.2051213</v>
      </c>
      <c r="O170" s="965">
        <f>'BC TÉCNICO P7'!J22</f>
        <v>1313450067.2837105</v>
      </c>
      <c r="P170" s="965">
        <f>'BC TÉCNICO P7'!K22</f>
        <v>1360203451.9957321</v>
      </c>
      <c r="Q170" s="965">
        <f>'BC TÉCNICO P7'!L22</f>
        <v>1408621063.6444888</v>
      </c>
      <c r="R170" s="965">
        <f>'BC TÉCNICO P7'!M22</f>
        <v>1458762141.8190289</v>
      </c>
      <c r="S170" s="610" t="str">
        <f>+AP.7</f>
        <v>SI</v>
      </c>
    </row>
    <row r="171" spans="5:19" ht="26.25" thickBot="1" x14ac:dyDescent="0.25">
      <c r="E171" s="622">
        <f t="shared" si="46"/>
        <v>8</v>
      </c>
      <c r="F171" s="622" t="str">
        <f t="shared" si="46"/>
        <v>VINCULACIÓN INDIVUAL (TÉCNICO - COMERCIAL)</v>
      </c>
      <c r="G171" s="622" t="str">
        <f t="shared" si="46"/>
        <v>TÉCNICO</v>
      </c>
      <c r="H171" s="965">
        <f>'BC TÉCNICO P8'!C22</f>
        <v>0</v>
      </c>
      <c r="I171" s="965">
        <f>'BC TÉCNICO P8'!D22</f>
        <v>0</v>
      </c>
      <c r="J171" s="965">
        <f>'BC TÉCNICO P8'!E22</f>
        <v>0</v>
      </c>
      <c r="K171" s="965">
        <f>'BC TÉCNICO P8'!F22</f>
        <v>0</v>
      </c>
      <c r="L171" s="965">
        <f>'BC TÉCNICO P8'!G22</f>
        <v>0</v>
      </c>
      <c r="M171" s="965">
        <f>'BC TÉCNICO P8'!H22</f>
        <v>0</v>
      </c>
      <c r="N171" s="965">
        <f>'BC TÉCNICO P8'!I22</f>
        <v>0</v>
      </c>
      <c r="O171" s="965">
        <f>'BC TÉCNICO P8'!J22</f>
        <v>0</v>
      </c>
      <c r="P171" s="965">
        <f>'BC TÉCNICO P8'!K22</f>
        <v>0</v>
      </c>
      <c r="Q171" s="965">
        <f>'BC TÉCNICO P8'!L22</f>
        <v>0</v>
      </c>
      <c r="R171" s="965">
        <f>'BC TÉCNICO P8'!M22</f>
        <v>0</v>
      </c>
      <c r="S171" s="610">
        <f>+AP.8</f>
        <v>0</v>
      </c>
    </row>
    <row r="172" spans="5:19" ht="39" thickBot="1" x14ac:dyDescent="0.25">
      <c r="E172" s="622">
        <f t="shared" si="46"/>
        <v>9</v>
      </c>
      <c r="F172" s="622" t="str">
        <f t="shared" si="46"/>
        <v>9. RENOVACIÓN/REPOSICIÓN DE MEDIDORES (CAMBIO MASIVO)</v>
      </c>
      <c r="G172" s="622" t="str">
        <f t="shared" si="46"/>
        <v>COMERCIAL</v>
      </c>
      <c r="H172" s="965">
        <f>'BC COMERCIAL P9'!C24</f>
        <v>0</v>
      </c>
      <c r="I172" s="965">
        <f>'BC COMERCIAL P9'!D24</f>
        <v>551225279.2081486</v>
      </c>
      <c r="J172" s="965">
        <f>'BC COMERCIAL P9'!E24</f>
        <v>1036122796.2658832</v>
      </c>
      <c r="K172" s="965">
        <f>'BC COMERCIAL P9'!F24</f>
        <v>1446910863.9085619</v>
      </c>
      <c r="L172" s="965">
        <f>'BC COMERCIAL P9'!G24</f>
        <v>1775278853.9193659</v>
      </c>
      <c r="M172" s="965">
        <f>'BC COMERCIAL P9'!H24</f>
        <v>1838471431.4644401</v>
      </c>
      <c r="N172" s="965">
        <f>'BC COMERCIAL P9'!I24</f>
        <v>2148699751.218257</v>
      </c>
      <c r="O172" s="965">
        <f>'BC COMERCIAL P9'!J24</f>
        <v>2174219940.8317256</v>
      </c>
      <c r="P172" s="965">
        <f>'BC COMERCIAL P9'!K24</f>
        <v>2078196583.0641108</v>
      </c>
      <c r="Q172" s="965">
        <f>'BC COMERCIAL P9'!L24</f>
        <v>1849206568.7695816</v>
      </c>
      <c r="R172" s="965">
        <f>'BC COMERCIAL P9'!M24</f>
        <v>1475105229.997633</v>
      </c>
      <c r="S172" s="610" t="str">
        <f>+AP.9</f>
        <v>SI</v>
      </c>
    </row>
    <row r="173" spans="5:19" ht="26.25" thickBot="1" x14ac:dyDescent="0.25">
      <c r="E173" s="622">
        <f t="shared" si="46"/>
        <v>10</v>
      </c>
      <c r="F173" s="622" t="str">
        <f t="shared" si="46"/>
        <v>10. GESTIÓN DE FRAUDES Y CONEXIONES CLANDESTINAS</v>
      </c>
      <c r="G173" s="622" t="str">
        <f t="shared" si="46"/>
        <v>COMERCIAL</v>
      </c>
      <c r="H173" s="965">
        <f>'BC COMERCIAL P10'!C24</f>
        <v>0</v>
      </c>
      <c r="I173" s="965">
        <f>'BC COMERCIAL P10'!D24</f>
        <v>1340902836.9593687</v>
      </c>
      <c r="J173" s="965">
        <f>'BC COMERCIAL P10'!E24</f>
        <v>1388633426.617377</v>
      </c>
      <c r="K173" s="965">
        <f>'BC COMERCIAL P10'!F24</f>
        <v>1438063027.6625693</v>
      </c>
      <c r="L173" s="965">
        <f>'BC COMERCIAL P10'!G24</f>
        <v>1489252117.8664222</v>
      </c>
      <c r="M173" s="965">
        <f>'BC COMERCIAL P10'!H24</f>
        <v>1542263327.7586987</v>
      </c>
      <c r="N173" s="965">
        <f>'BC COMERCIAL P10'!I24</f>
        <v>0</v>
      </c>
      <c r="O173" s="965">
        <f>'BC COMERCIAL P10'!J24</f>
        <v>0</v>
      </c>
      <c r="P173" s="965">
        <f>'BC COMERCIAL P10'!K24</f>
        <v>0</v>
      </c>
      <c r="Q173" s="965">
        <f>'BC COMERCIAL P10'!L24</f>
        <v>0</v>
      </c>
      <c r="R173" s="965">
        <f>'BC COMERCIAL P10'!M24</f>
        <v>0</v>
      </c>
      <c r="S173" s="610" t="str">
        <f>+AP.10</f>
        <v>SI</v>
      </c>
    </row>
    <row r="174" spans="5:19" ht="51.75" thickBot="1" x14ac:dyDescent="0.25">
      <c r="E174" s="622">
        <f t="shared" si="46"/>
        <v>11</v>
      </c>
      <c r="F174" s="622" t="str">
        <f t="shared" si="46"/>
        <v>11. COBRO DE CONSUMOS POR EJECUCIÓN DE OBRAS DE INFRAESTRUCTURA (COBRO DE TERCEROS)</v>
      </c>
      <c r="G174" s="622" t="str">
        <f t="shared" si="46"/>
        <v>COMERCIAL</v>
      </c>
      <c r="H174" s="965">
        <f>'BC COMERCIAL P11'!C24</f>
        <v>0</v>
      </c>
      <c r="I174" s="965">
        <f>'BC COMERCIAL P11'!D24</f>
        <v>0</v>
      </c>
      <c r="J174" s="965">
        <f>'BC COMERCIAL P11'!E24</f>
        <v>0</v>
      </c>
      <c r="K174" s="965">
        <f>'BC COMERCIAL P11'!F24</f>
        <v>0</v>
      </c>
      <c r="L174" s="965">
        <f>'BC COMERCIAL P11'!G24</f>
        <v>0</v>
      </c>
      <c r="M174" s="965">
        <f>'BC COMERCIAL P11'!H24</f>
        <v>0</v>
      </c>
      <c r="N174" s="965">
        <f>'BC COMERCIAL P11'!I24</f>
        <v>0</v>
      </c>
      <c r="O174" s="965">
        <f>'BC COMERCIAL P11'!J24</f>
        <v>0</v>
      </c>
      <c r="P174" s="965">
        <f>'BC COMERCIAL P11'!K24</f>
        <v>0</v>
      </c>
      <c r="Q174" s="965">
        <f>'BC COMERCIAL P11'!L24</f>
        <v>0</v>
      </c>
      <c r="R174" s="965">
        <f>'BC COMERCIAL P11'!M24</f>
        <v>0</v>
      </c>
      <c r="S174" s="610">
        <f>+AP.11</f>
        <v>0</v>
      </c>
    </row>
    <row r="175" spans="5:19" ht="39" thickBot="1" x14ac:dyDescent="0.25">
      <c r="E175" s="622">
        <f t="shared" si="46"/>
        <v>12</v>
      </c>
      <c r="F175" s="622" t="str">
        <f t="shared" si="46"/>
        <v>12. SEGUIMIENTO USUARIOS CON CONSUMO 0 E INACTIVOS</v>
      </c>
      <c r="G175" s="622" t="str">
        <f t="shared" si="46"/>
        <v>COMERCIAL</v>
      </c>
      <c r="H175" s="965">
        <f>'BC COMERCIAL P12'!C24</f>
        <v>0</v>
      </c>
      <c r="I175" s="965">
        <f>'BC COMERCIAL P12'!D24</f>
        <v>82091705.406193942</v>
      </c>
      <c r="J175" s="965">
        <f>'BC COMERCIAL P12'!E24</f>
        <v>168157356.25229025</v>
      </c>
      <c r="K175" s="965">
        <f>'BC COMERCIAL P12'!F24</f>
        <v>258341232.4227289</v>
      </c>
      <c r="L175" s="965">
        <f>'BC COMERCIAL P12'!G24</f>
        <v>352792270.0611583</v>
      </c>
      <c r="M175" s="965">
        <f>'BC COMERCIAL P12'!H24</f>
        <v>451664202.4473359</v>
      </c>
      <c r="N175" s="965">
        <f>'BC COMERCIAL P12'!I24</f>
        <v>0</v>
      </c>
      <c r="O175" s="965">
        <f>'BC COMERCIAL P12'!J24</f>
        <v>0</v>
      </c>
      <c r="P175" s="965">
        <f>'BC COMERCIAL P12'!K24</f>
        <v>0</v>
      </c>
      <c r="Q175" s="965">
        <f>'BC COMERCIAL P12'!L24</f>
        <v>0</v>
      </c>
      <c r="R175" s="965">
        <f>'BC COMERCIAL P12'!M24</f>
        <v>0</v>
      </c>
      <c r="S175" s="610" t="str">
        <f>+AP.12</f>
        <v>SI</v>
      </c>
    </row>
    <row r="176" spans="5:19" ht="13.5" thickBot="1" x14ac:dyDescent="0.25">
      <c r="E176" s="622">
        <f t="shared" si="46"/>
        <v>13</v>
      </c>
      <c r="F176" s="622" t="str">
        <f t="shared" si="46"/>
        <v>13. SEGUIMIENTO ANOMALIAS</v>
      </c>
      <c r="G176" s="622" t="str">
        <f t="shared" si="46"/>
        <v>COMERCIAL</v>
      </c>
      <c r="H176" s="965">
        <f>'BC COMERCIAL P13'!C24</f>
        <v>0</v>
      </c>
      <c r="I176" s="965">
        <f>'BC COMERCIAL P13'!D24</f>
        <v>153357659.91234419</v>
      </c>
      <c r="J176" s="965">
        <f>'BC COMERCIAL P13'!E24</f>
        <v>317633115.40902317</v>
      </c>
      <c r="K176" s="965">
        <f>'BC COMERCIAL P13'!F24</f>
        <v>493409308.97472984</v>
      </c>
      <c r="L176" s="965">
        <f>'BC COMERCIAL P13'!G24</f>
        <v>681296850.21292126</v>
      </c>
      <c r="M176" s="965">
        <f>'BC COMERCIAL P13'!H24</f>
        <v>881935246.88942671</v>
      </c>
      <c r="N176" s="965">
        <f>'BC COMERCIAL P13'!I24</f>
        <v>1095994188.5601215</v>
      </c>
      <c r="O176" s="965">
        <f>'BC COMERCIAL P13'!J24</f>
        <v>1324174884.9664083</v>
      </c>
      <c r="P176" s="965">
        <f>'BC COMERCIAL P13'!K24</f>
        <v>1567211461.4710724</v>
      </c>
      <c r="Q176" s="965">
        <f>'BC COMERCIAL P13'!L24</f>
        <v>1825872413.8994908</v>
      </c>
      <c r="R176" s="965">
        <f>'BC COMERCIAL P13'!M24</f>
        <v>2100962125.2472434</v>
      </c>
      <c r="S176" s="610" t="str">
        <f>+AP.13</f>
        <v>SI</v>
      </c>
    </row>
    <row r="177" spans="5:19" ht="39" thickBot="1" x14ac:dyDescent="0.25">
      <c r="E177" s="622">
        <f t="shared" si="46"/>
        <v>14</v>
      </c>
      <c r="F177" s="622" t="str">
        <f t="shared" si="46"/>
        <v xml:space="preserve">14. SEGUIMIENTO Y CONTROL MEDIDORES GRANDES CONSUMIDORES </v>
      </c>
      <c r="G177" s="622" t="str">
        <f t="shared" si="46"/>
        <v>COMERCIAL</v>
      </c>
      <c r="H177" s="965">
        <f>'BC COMERCIAL P14'!C$24</f>
        <v>0</v>
      </c>
      <c r="I177" s="965">
        <f>'BC COMERCIAL P14'!D$24</f>
        <v>5656039.5086438125</v>
      </c>
      <c r="J177" s="965">
        <f>'BC COMERCIAL P14'!E$24</f>
        <v>11585880.034114674</v>
      </c>
      <c r="K177" s="965">
        <f>'BC COMERCIAL P14'!F$24</f>
        <v>17799462.321615256</v>
      </c>
      <c r="L177" s="965">
        <f>'BC COMERCIAL P14'!G$24</f>
        <v>25319841.591799092</v>
      </c>
      <c r="M177" s="965">
        <f>'BC COMERCIAL P14'!H$24</f>
        <v>33193844.190606587</v>
      </c>
      <c r="N177" s="965">
        <f>'BC COMERCIAL P14'!I$24</f>
        <v>0</v>
      </c>
      <c r="O177" s="965">
        <f>'BC COMERCIAL P14'!J$24</f>
        <v>0</v>
      </c>
      <c r="P177" s="965">
        <f>'BC COMERCIAL P14'!K$24</f>
        <v>0</v>
      </c>
      <c r="Q177" s="965">
        <f>'BC COMERCIAL P14'!L$24</f>
        <v>0</v>
      </c>
      <c r="R177" s="965">
        <f>'BC COMERCIAL P14'!M$24</f>
        <v>0</v>
      </c>
      <c r="S177" s="610" t="str">
        <f>+AP.14</f>
        <v>SI</v>
      </c>
    </row>
    <row r="178" spans="5:19" ht="39" thickBot="1" x14ac:dyDescent="0.25">
      <c r="E178" s="622">
        <f t="shared" si="46"/>
        <v>15</v>
      </c>
      <c r="F178" s="622" t="str">
        <f t="shared" si="46"/>
        <v>15. ACTUALIZACIÓN CATASTRO DE USUARIOS Y GEOREFERENCIACIÓN</v>
      </c>
      <c r="G178" s="622" t="str">
        <f t="shared" si="46"/>
        <v>COMERCIAL</v>
      </c>
      <c r="H178" s="965">
        <f>'BC COMERCIAL P15'!C$24</f>
        <v>0</v>
      </c>
      <c r="I178" s="965">
        <f>'BC COMERCIAL P15'!D$24</f>
        <v>35338321.35543827</v>
      </c>
      <c r="J178" s="965">
        <f>'BC COMERCIAL P15'!E$24</f>
        <v>36596219.295041457</v>
      </c>
      <c r="K178" s="965">
        <f>'BC COMERCIAL P15'!F$24</f>
        <v>37898893.193597049</v>
      </c>
      <c r="L178" s="965">
        <f>'BC COMERCIAL P15'!G$24</f>
        <v>39247936.889871277</v>
      </c>
      <c r="M178" s="965">
        <f>'BC COMERCIAL P15'!H$24</f>
        <v>40645000.956691965</v>
      </c>
      <c r="N178" s="965">
        <f>'BC COMERCIAL P15'!I$24</f>
        <v>0</v>
      </c>
      <c r="O178" s="965">
        <f>'BC COMERCIAL P15'!J$24</f>
        <v>0</v>
      </c>
      <c r="P178" s="965">
        <f>'BC COMERCIAL P15'!K$24</f>
        <v>0</v>
      </c>
      <c r="Q178" s="965">
        <f>'BC COMERCIAL P15'!L$24</f>
        <v>0</v>
      </c>
      <c r="R178" s="965">
        <f>'BC COMERCIAL P15'!M$24</f>
        <v>0</v>
      </c>
      <c r="S178" s="610" t="str">
        <f>+AP.15</f>
        <v>SI</v>
      </c>
    </row>
    <row r="179" spans="5:19" ht="26.25" thickBot="1" x14ac:dyDescent="0.25">
      <c r="E179" s="622">
        <f t="shared" si="46"/>
        <v>16</v>
      </c>
      <c r="F179" s="622" t="str">
        <f t="shared" si="46"/>
        <v>16.VINCULACIÓN DE COMUNIDADES ILEGALES</v>
      </c>
      <c r="G179" s="622" t="str">
        <f t="shared" si="46"/>
        <v>COMERCIAL</v>
      </c>
      <c r="H179" s="965">
        <f>'BC COMERCIAL P16'!C$24</f>
        <v>0</v>
      </c>
      <c r="I179" s="965">
        <f>'BC COMERCIAL P16'!D$24</f>
        <v>717073584.59912419</v>
      </c>
      <c r="J179" s="965">
        <f>'BC COMERCIAL P16'!E$24</f>
        <v>1468859705.4708488</v>
      </c>
      <c r="K179" s="965">
        <f>'BC COMERCIAL P16'!F$24</f>
        <v>2256618651.866189</v>
      </c>
      <c r="L179" s="965">
        <f>'BC COMERCIAL P16'!G$24</f>
        <v>3338455667.7379856</v>
      </c>
      <c r="M179" s="965">
        <f>'BC COMERCIAL P16'!H$24</f>
        <v>4471340874.5214014</v>
      </c>
      <c r="N179" s="965">
        <f>'BC COMERCIAL P16'!I$24</f>
        <v>0</v>
      </c>
      <c r="O179" s="965">
        <f>'BC COMERCIAL P16'!J$24</f>
        <v>0</v>
      </c>
      <c r="P179" s="965">
        <f>'BC COMERCIAL P16'!K$24</f>
        <v>0</v>
      </c>
      <c r="Q179" s="965">
        <f>'BC COMERCIAL P16'!L$24</f>
        <v>0</v>
      </c>
      <c r="R179" s="965">
        <f>'BC COMERCIAL P16'!M$24</f>
        <v>0</v>
      </c>
      <c r="S179" s="610" t="str">
        <f>+AP.16</f>
        <v>SI</v>
      </c>
    </row>
    <row r="180" spans="5:19" ht="26.25" thickBot="1" x14ac:dyDescent="0.25">
      <c r="E180" s="622">
        <f t="shared" si="46"/>
        <v>17</v>
      </c>
      <c r="F180" s="622" t="str">
        <f t="shared" si="46"/>
        <v>17. TELEMETRÍA GRANDES CONSUMIDORES</v>
      </c>
      <c r="G180" s="622" t="str">
        <f t="shared" si="46"/>
        <v>COMERCIAL</v>
      </c>
      <c r="H180" s="965">
        <f>'BC COMERCIAL P17'!C$24</f>
        <v>0</v>
      </c>
      <c r="I180" s="965">
        <f>'BC COMERCIAL P17'!D$24</f>
        <v>546750485.83556855</v>
      </c>
      <c r="J180" s="965">
        <f>'BC COMERCIAL P17'!E$24</f>
        <v>569639101.67730474</v>
      </c>
      <c r="K180" s="965">
        <f>'BC COMERCIAL P17'!F$24</f>
        <v>583426820.5418334</v>
      </c>
      <c r="L180" s="965">
        <f>'BC COMERCIAL P17'!G$24</f>
        <v>607676198.20317829</v>
      </c>
      <c r="M180" s="965">
        <f>'BC COMERCIAL P17'!H$24</f>
        <v>632757654.88343811</v>
      </c>
      <c r="N180" s="965">
        <f>'BC COMERCIAL P17'!I$24</f>
        <v>0</v>
      </c>
      <c r="O180" s="965">
        <f>'BC COMERCIAL P17'!J$24</f>
        <v>0</v>
      </c>
      <c r="P180" s="965">
        <f>'BC COMERCIAL P17'!K$24</f>
        <v>0</v>
      </c>
      <c r="Q180" s="965">
        <f>'BC COMERCIAL P17'!L$24</f>
        <v>0</v>
      </c>
      <c r="R180" s="965">
        <f>'BC COMERCIAL P17'!M$24</f>
        <v>0</v>
      </c>
      <c r="S180" s="610" t="str">
        <f>+AP.17</f>
        <v>SI</v>
      </c>
    </row>
    <row r="181" spans="5:19" ht="26.25" thickBot="1" x14ac:dyDescent="0.25">
      <c r="E181" s="622">
        <f t="shared" ref="E181:G182" si="47">E126</f>
        <v>18</v>
      </c>
      <c r="F181" s="622" t="str">
        <f t="shared" si="47"/>
        <v>18. SOFTWARE DE INTELIGENCIA PARA ALERTAS</v>
      </c>
      <c r="G181" s="622" t="str">
        <f t="shared" si="47"/>
        <v>COMERCIAL</v>
      </c>
      <c r="H181" s="965">
        <f>'BC COMERCIAL P18'!C$24</f>
        <v>0</v>
      </c>
      <c r="I181" s="965">
        <f>'BC COMERCIAL P18'!D$24</f>
        <v>0</v>
      </c>
      <c r="J181" s="965">
        <f>'BC COMERCIAL P18'!E$24</f>
        <v>0</v>
      </c>
      <c r="K181" s="965">
        <f>'BC COMERCIAL P18'!F$24</f>
        <v>0</v>
      </c>
      <c r="L181" s="965">
        <f>'BC COMERCIAL P18'!G$24</f>
        <v>0</v>
      </c>
      <c r="M181" s="965">
        <f>'BC COMERCIAL P18'!H$24</f>
        <v>0</v>
      </c>
      <c r="N181" s="965">
        <f>'BC COMERCIAL P18'!I$24</f>
        <v>0</v>
      </c>
      <c r="O181" s="965">
        <f>'BC COMERCIAL P18'!J$24</f>
        <v>0</v>
      </c>
      <c r="P181" s="965">
        <f>'BC COMERCIAL P18'!K$24</f>
        <v>0</v>
      </c>
      <c r="Q181" s="965">
        <f>'BC COMERCIAL P18'!L$24</f>
        <v>0</v>
      </c>
      <c r="R181" s="965">
        <f>'BC COMERCIAL P18'!M$24</f>
        <v>0</v>
      </c>
      <c r="S181" s="610">
        <f>+AP.18</f>
        <v>0</v>
      </c>
    </row>
    <row r="182" spans="5:19" ht="26.25" thickBot="1" x14ac:dyDescent="0.25">
      <c r="E182" s="622">
        <f t="shared" si="47"/>
        <v>19</v>
      </c>
      <c r="F182" s="622" t="str">
        <f t="shared" si="47"/>
        <v>19 VINCULACIÓN INDIVUAL (TÉCNICO - COMERCIAL)</v>
      </c>
      <c r="G182" s="622" t="str">
        <f t="shared" si="47"/>
        <v>COMERCIAL</v>
      </c>
      <c r="H182" s="965">
        <f>'BC COMERCIAL P19'!C$24</f>
        <v>0</v>
      </c>
      <c r="I182" s="965">
        <f>'BC COMERCIAL P19'!D$24</f>
        <v>0</v>
      </c>
      <c r="J182" s="965">
        <f>'BC COMERCIAL P19'!E$24</f>
        <v>0</v>
      </c>
      <c r="K182" s="965">
        <f>'BC COMERCIAL P19'!F$24</f>
        <v>0</v>
      </c>
      <c r="L182" s="965">
        <f>'BC COMERCIAL P19'!G$24</f>
        <v>0</v>
      </c>
      <c r="M182" s="965">
        <f>'BC COMERCIAL P19'!H$24</f>
        <v>0</v>
      </c>
      <c r="N182" s="965">
        <f>'BC COMERCIAL P19'!I$24</f>
        <v>0</v>
      </c>
      <c r="O182" s="965">
        <f>'BC COMERCIAL P19'!J$24</f>
        <v>0</v>
      </c>
      <c r="P182" s="965">
        <f>'BC COMERCIAL P19'!K$24</f>
        <v>0</v>
      </c>
      <c r="Q182" s="965">
        <f>'BC COMERCIAL P19'!L$24</f>
        <v>0</v>
      </c>
      <c r="R182" s="965">
        <f>'BC COMERCIAL P19'!M$24</f>
        <v>0</v>
      </c>
      <c r="S182" s="610">
        <f>+AP.19</f>
        <v>0</v>
      </c>
    </row>
    <row r="183" spans="5:19" ht="13.5" customHeight="1" thickBot="1" x14ac:dyDescent="0.25">
      <c r="E183" s="1753" t="s">
        <v>925</v>
      </c>
      <c r="F183" s="1754"/>
      <c r="G183" s="1755"/>
      <c r="H183" s="639">
        <f>SUM(H164:H171)</f>
        <v>0</v>
      </c>
      <c r="I183" s="966">
        <f t="shared" ref="I183:R183" si="48">SUM(I164:I171)</f>
        <v>250502098.3910147</v>
      </c>
      <c r="J183" s="966">
        <f t="shared" si="48"/>
        <v>1379267162.1527095</v>
      </c>
      <c r="K183" s="966">
        <f t="shared" si="48"/>
        <v>1844221192.1287179</v>
      </c>
      <c r="L183" s="966">
        <f t="shared" si="48"/>
        <v>2014060054.7518559</v>
      </c>
      <c r="M183" s="966">
        <f t="shared" si="48"/>
        <v>2580396037.6402931</v>
      </c>
      <c r="N183" s="966">
        <f t="shared" si="48"/>
        <v>3138844217.0896072</v>
      </c>
      <c r="O183" s="966">
        <f t="shared" si="48"/>
        <v>2509794499.7518358</v>
      </c>
      <c r="P183" s="966">
        <f t="shared" si="48"/>
        <v>2863440839.2401304</v>
      </c>
      <c r="Q183" s="966">
        <f t="shared" si="48"/>
        <v>3131474613.6825404</v>
      </c>
      <c r="R183" s="966">
        <f t="shared" si="48"/>
        <v>3459213535.0223999</v>
      </c>
      <c r="S183" s="610"/>
    </row>
    <row r="184" spans="5:19" ht="13.5" customHeight="1" thickBot="1" x14ac:dyDescent="0.25">
      <c r="E184" s="1753" t="s">
        <v>926</v>
      </c>
      <c r="F184" s="1754"/>
      <c r="G184" s="1755"/>
      <c r="H184" s="639">
        <f>SUM(H172:H182)</f>
        <v>0</v>
      </c>
      <c r="I184" s="966">
        <f t="shared" ref="I184:R184" si="49">SUM(I172:I182)</f>
        <v>3432395912.7848301</v>
      </c>
      <c r="J184" s="966">
        <f t="shared" si="49"/>
        <v>4997227601.021883</v>
      </c>
      <c r="K184" s="966">
        <f t="shared" si="49"/>
        <v>6532468260.8918247</v>
      </c>
      <c r="L184" s="966">
        <f t="shared" si="49"/>
        <v>8309319736.4827023</v>
      </c>
      <c r="M184" s="966">
        <f t="shared" si="49"/>
        <v>9892271583.1120377</v>
      </c>
      <c r="N184" s="966">
        <f t="shared" si="49"/>
        <v>3244693939.7783785</v>
      </c>
      <c r="O184" s="966">
        <f t="shared" si="49"/>
        <v>3498394825.7981339</v>
      </c>
      <c r="P184" s="966">
        <f t="shared" si="49"/>
        <v>3645408044.535183</v>
      </c>
      <c r="Q184" s="966">
        <f t="shared" si="49"/>
        <v>3675078982.6690722</v>
      </c>
      <c r="R184" s="966">
        <f t="shared" si="49"/>
        <v>3576067355.2448764</v>
      </c>
      <c r="S184" s="610"/>
    </row>
    <row r="185" spans="5:19" ht="13.5" thickBot="1" x14ac:dyDescent="0.25">
      <c r="E185" s="1753" t="s">
        <v>524</v>
      </c>
      <c r="F185" s="1754"/>
      <c r="G185" s="1755"/>
      <c r="H185" s="639">
        <f>SUM(H164:H182)</f>
        <v>0</v>
      </c>
      <c r="I185" s="966">
        <f>SUM(I164:I182)</f>
        <v>3682898011.1758442</v>
      </c>
      <c r="J185" s="966">
        <f t="shared" ref="J185:R185" si="50">SUM(J164:J182)</f>
        <v>6376494763.174593</v>
      </c>
      <c r="K185" s="966">
        <f t="shared" si="50"/>
        <v>8376689453.0205421</v>
      </c>
      <c r="L185" s="966">
        <f t="shared" si="50"/>
        <v>10323379791.234558</v>
      </c>
      <c r="M185" s="966">
        <f t="shared" si="50"/>
        <v>12472667620.752333</v>
      </c>
      <c r="N185" s="966">
        <f t="shared" si="50"/>
        <v>6383538156.8679857</v>
      </c>
      <c r="O185" s="966">
        <f t="shared" si="50"/>
        <v>6008189325.5499687</v>
      </c>
      <c r="P185" s="966">
        <f t="shared" si="50"/>
        <v>6508848883.7753134</v>
      </c>
      <c r="Q185" s="966">
        <f t="shared" si="50"/>
        <v>6806553596.3516121</v>
      </c>
      <c r="R185" s="967">
        <f t="shared" si="50"/>
        <v>7035280890.2672768</v>
      </c>
    </row>
    <row r="186" spans="5:19" ht="13.5" thickBot="1" x14ac:dyDescent="0.25">
      <c r="E186" s="1756" t="s">
        <v>927</v>
      </c>
      <c r="F186" s="1757"/>
      <c r="G186" s="1758"/>
      <c r="H186" s="953">
        <f>+SUMIF($S$109:$S$116,"SI",H164:H171)</f>
        <v>0</v>
      </c>
      <c r="I186" s="968">
        <f>+SUMIF($S$109:$S$116,"SI",I164:I171)</f>
        <v>250502098.3910147</v>
      </c>
      <c r="J186" s="968">
        <f t="shared" ref="J186:R186" si="51">+SUMIF($S$109:$S$116,"SI",J164:J171)</f>
        <v>1379267162.1527095</v>
      </c>
      <c r="K186" s="968">
        <f t="shared" si="51"/>
        <v>1844221192.1287179</v>
      </c>
      <c r="L186" s="968">
        <f t="shared" si="51"/>
        <v>2014060054.7518559</v>
      </c>
      <c r="M186" s="968">
        <f t="shared" si="51"/>
        <v>2580396037.6402931</v>
      </c>
      <c r="N186" s="968">
        <f t="shared" si="51"/>
        <v>3138844217.0896072</v>
      </c>
      <c r="O186" s="968">
        <f t="shared" si="51"/>
        <v>2509794499.7518358</v>
      </c>
      <c r="P186" s="968">
        <f t="shared" si="51"/>
        <v>2863440839.2401304</v>
      </c>
      <c r="Q186" s="968">
        <f t="shared" si="51"/>
        <v>3131474613.6825404</v>
      </c>
      <c r="R186" s="968">
        <f t="shared" si="51"/>
        <v>3459213535.0223999</v>
      </c>
    </row>
    <row r="187" spans="5:19" ht="13.5" customHeight="1" thickBot="1" x14ac:dyDescent="0.25">
      <c r="E187" s="1756" t="s">
        <v>928</v>
      </c>
      <c r="F187" s="1757"/>
      <c r="G187" s="1758"/>
      <c r="H187" s="953">
        <f t="shared" ref="H187:R187" si="52">+SUMIF($S$117:$S$127,"SI",H172:H182)</f>
        <v>0</v>
      </c>
      <c r="I187" s="968">
        <f t="shared" si="52"/>
        <v>3432395912.7848301</v>
      </c>
      <c r="J187" s="968">
        <f t="shared" si="52"/>
        <v>4997227601.021883</v>
      </c>
      <c r="K187" s="968">
        <f t="shared" si="52"/>
        <v>6532468260.8918247</v>
      </c>
      <c r="L187" s="968">
        <f t="shared" si="52"/>
        <v>8309319736.4827023</v>
      </c>
      <c r="M187" s="968">
        <f t="shared" si="52"/>
        <v>9892271583.1120377</v>
      </c>
      <c r="N187" s="968">
        <f t="shared" si="52"/>
        <v>3244693939.7783785</v>
      </c>
      <c r="O187" s="968">
        <f t="shared" si="52"/>
        <v>3498394825.7981339</v>
      </c>
      <c r="P187" s="968">
        <f t="shared" si="52"/>
        <v>3645408044.535183</v>
      </c>
      <c r="Q187" s="968">
        <f t="shared" si="52"/>
        <v>3675078982.6690722</v>
      </c>
      <c r="R187" s="968">
        <f t="shared" si="52"/>
        <v>3576067355.2448764</v>
      </c>
    </row>
    <row r="190" spans="5:19" x14ac:dyDescent="0.2">
      <c r="I190" s="552"/>
      <c r="J190" s="1386"/>
      <c r="K190" s="752"/>
      <c r="L190" s="752"/>
    </row>
    <row r="191" spans="5:19" hidden="1" x14ac:dyDescent="0.2"/>
    <row r="192" spans="5:19" x14ac:dyDescent="0.2">
      <c r="G192" s="1387" t="s">
        <v>1159</v>
      </c>
    </row>
    <row r="193" spans="4:16" ht="38.25" x14ac:dyDescent="0.2">
      <c r="G193" s="1388" t="s">
        <v>1059</v>
      </c>
      <c r="H193" s="581" t="str">
        <f>+$F$5</f>
        <v>MACROMEDIDORES</v>
      </c>
      <c r="I193" s="581" t="str">
        <f>+$F$7</f>
        <v>MACROMEDIDORES</v>
      </c>
      <c r="J193" s="581" t="str">
        <f>+$F$9</f>
        <v>ESTACIONES REDUCTORAS DE PRESIÓN</v>
      </c>
      <c r="K193" s="581" t="str">
        <f>+$F$11</f>
        <v>REHABILITACIÓN TANQUES</v>
      </c>
      <c r="L193" s="581" t="str">
        <f>+$F$13</f>
        <v>NO SE REQUIERE</v>
      </c>
      <c r="M193" s="581" t="str">
        <f>+$F$15</f>
        <v>REHABILITACIÓN REDES</v>
      </c>
      <c r="N193" s="581" t="str">
        <f>+$F$17</f>
        <v>REDES</v>
      </c>
      <c r="O193" s="581" t="str">
        <f>+$F$19</f>
        <v>REDES</v>
      </c>
      <c r="P193" s="550"/>
    </row>
    <row r="194" spans="4:16" x14ac:dyDescent="0.2">
      <c r="D194" s="552"/>
      <c r="G194" s="550"/>
      <c r="H194" s="582">
        <f>+$G$5</f>
        <v>23</v>
      </c>
      <c r="I194" s="582">
        <f>+$G$7</f>
        <v>23</v>
      </c>
      <c r="J194" s="582">
        <f>+$G$9</f>
        <v>35</v>
      </c>
      <c r="K194" s="582">
        <f>+$G$11</f>
        <v>45</v>
      </c>
      <c r="L194" s="582">
        <f>+$G$13</f>
        <v>0</v>
      </c>
      <c r="M194" s="582">
        <f>+$G$15</f>
        <v>45</v>
      </c>
      <c r="N194" s="582">
        <f>+$G$17</f>
        <v>45</v>
      </c>
      <c r="O194" s="582">
        <f>+$G$19</f>
        <v>45</v>
      </c>
      <c r="P194" s="551"/>
    </row>
    <row r="195" spans="4:16" x14ac:dyDescent="0.2">
      <c r="D195" s="552"/>
      <c r="G195" s="583">
        <f>+H$2</f>
        <v>2025</v>
      </c>
      <c r="H195" s="584"/>
      <c r="I195" s="584"/>
      <c r="J195" s="584"/>
      <c r="K195" s="584"/>
      <c r="L195" s="584"/>
      <c r="M195" s="584"/>
      <c r="N195" s="584"/>
      <c r="O195" s="584"/>
      <c r="P195" s="585">
        <f>+$H$3</f>
        <v>0</v>
      </c>
    </row>
    <row r="196" spans="4:16" x14ac:dyDescent="0.2">
      <c r="D196" s="552"/>
      <c r="G196" s="583">
        <f>+I$2</f>
        <v>2026</v>
      </c>
      <c r="H196" s="584">
        <f>$H83</f>
        <v>0</v>
      </c>
      <c r="I196" s="584">
        <f>$H84</f>
        <v>0</v>
      </c>
      <c r="J196" s="584">
        <f>$H85</f>
        <v>0</v>
      </c>
      <c r="K196" s="584">
        <f>$H86</f>
        <v>0</v>
      </c>
      <c r="L196" s="584">
        <f>$H87</f>
        <v>0</v>
      </c>
      <c r="M196" s="584">
        <f>$H88</f>
        <v>0</v>
      </c>
      <c r="N196" s="584">
        <f>$H89</f>
        <v>0</v>
      </c>
      <c r="O196" s="584">
        <f>$H90</f>
        <v>0</v>
      </c>
      <c r="P196" s="585">
        <f>+$I$3</f>
        <v>1</v>
      </c>
    </row>
    <row r="197" spans="4:16" x14ac:dyDescent="0.2">
      <c r="D197" s="552"/>
      <c r="G197" s="583">
        <f>+J$2</f>
        <v>2027</v>
      </c>
      <c r="H197" s="584">
        <f>$I83</f>
        <v>1671658.8082265723</v>
      </c>
      <c r="I197" s="584">
        <f>$I84</f>
        <v>24722929.083756447</v>
      </c>
      <c r="J197" s="584">
        <f>$I85</f>
        <v>25570904.302818574</v>
      </c>
      <c r="K197" s="584">
        <f>$I86</f>
        <v>160479.00289777777</v>
      </c>
      <c r="L197" s="584">
        <f>$I87</f>
        <v>0</v>
      </c>
      <c r="M197" s="584">
        <f>$I88</f>
        <v>0</v>
      </c>
      <c r="N197" s="584">
        <f>$I89</f>
        <v>0</v>
      </c>
      <c r="O197" s="584">
        <f>$I90</f>
        <v>0</v>
      </c>
      <c r="P197" s="585">
        <f>+$J$3</f>
        <v>2</v>
      </c>
    </row>
    <row r="198" spans="4:16" x14ac:dyDescent="0.2">
      <c r="D198" s="552"/>
      <c r="G198" s="583">
        <f>+K$2</f>
        <v>2028</v>
      </c>
      <c r="H198" s="584">
        <f>$J83</f>
        <v>13712675.168157492</v>
      </c>
      <c r="I198" s="584">
        <f>$J84</f>
        <v>37352579.437503159</v>
      </c>
      <c r="J198" s="584">
        <f>$J85</f>
        <v>29009564.491826788</v>
      </c>
      <c r="K198" s="584">
        <f>$J86</f>
        <v>1060663.7429494362</v>
      </c>
      <c r="L198" s="584">
        <f>$J87</f>
        <v>0</v>
      </c>
      <c r="M198" s="584">
        <f>$J88</f>
        <v>27507866.17164094</v>
      </c>
      <c r="N198" s="584">
        <f>$J89</f>
        <v>153392470.18502128</v>
      </c>
      <c r="O198" s="584">
        <f>$J90</f>
        <v>0</v>
      </c>
      <c r="P198" s="585">
        <f>+$K$3</f>
        <v>3</v>
      </c>
    </row>
    <row r="199" spans="4:16" x14ac:dyDescent="0.2">
      <c r="D199" s="552"/>
      <c r="G199" s="583">
        <f>+L$2</f>
        <v>2029</v>
      </c>
      <c r="H199" s="584">
        <f>$K83</f>
        <v>1792785.1748216937</v>
      </c>
      <c r="I199" s="584">
        <f>$K84</f>
        <v>31235504.704470884</v>
      </c>
      <c r="J199" s="584">
        <f>$K85</f>
        <v>20280996.691969629</v>
      </c>
      <c r="K199" s="584">
        <f>$K86</f>
        <v>939057.36318990379</v>
      </c>
      <c r="L199" s="584">
        <f>$K87</f>
        <v>0</v>
      </c>
      <c r="M199" s="584">
        <f>$K88</f>
        <v>11983451.79084567</v>
      </c>
      <c r="N199" s="584">
        <f>$K89</f>
        <v>126177042.12175448</v>
      </c>
      <c r="O199" s="584">
        <f>$K90</f>
        <v>0</v>
      </c>
      <c r="P199" s="585">
        <f>+$L$3</f>
        <v>4</v>
      </c>
    </row>
    <row r="200" spans="4:16" x14ac:dyDescent="0.2">
      <c r="D200" s="552"/>
      <c r="G200" s="583">
        <f>+M$2</f>
        <v>2030</v>
      </c>
      <c r="H200" s="584">
        <f>$L83</f>
        <v>1717597.0111395237</v>
      </c>
      <c r="I200" s="584">
        <f>$L84</f>
        <v>55493016.320227034</v>
      </c>
      <c r="J200" s="584">
        <f>$L85</f>
        <v>2663781.6718018432</v>
      </c>
      <c r="K200" s="584">
        <f>$L86</f>
        <v>1145216.0168897626</v>
      </c>
      <c r="L200" s="584">
        <f>$L87</f>
        <v>0</v>
      </c>
      <c r="M200" s="584">
        <f>$L88</f>
        <v>20579019.087954231</v>
      </c>
      <c r="N200" s="584">
        <f>$L89</f>
        <v>182751244.37403926</v>
      </c>
      <c r="O200" s="584">
        <f>$L90</f>
        <v>0</v>
      </c>
      <c r="P200" s="585">
        <f>+$M$3</f>
        <v>5</v>
      </c>
    </row>
    <row r="201" spans="4:16" x14ac:dyDescent="0.2">
      <c r="G201" s="583">
        <f>+N$2</f>
        <v>2031</v>
      </c>
      <c r="H201" s="584">
        <f>$M83</f>
        <v>0</v>
      </c>
      <c r="I201" s="584">
        <f>$M84</f>
        <v>15853409.989829857</v>
      </c>
      <c r="J201" s="584">
        <f>$M85</f>
        <v>3167150.5665881732</v>
      </c>
      <c r="K201" s="584">
        <f>$M86</f>
        <v>302487.81032374629</v>
      </c>
      <c r="L201" s="584">
        <f>$M87</f>
        <v>0</v>
      </c>
      <c r="M201" s="584">
        <f>$M88</f>
        <v>17925372.209053919</v>
      </c>
      <c r="N201" s="584">
        <f>$M89</f>
        <v>161339012.43156439</v>
      </c>
      <c r="O201" s="584">
        <f>$M90</f>
        <v>0</v>
      </c>
      <c r="P201" s="585">
        <f>+$N$3</f>
        <v>6</v>
      </c>
    </row>
    <row r="202" spans="4:16" x14ac:dyDescent="0.2">
      <c r="D202" s="752"/>
      <c r="G202" s="583">
        <f>+O$2</f>
        <v>2032</v>
      </c>
      <c r="H202" s="584">
        <f>$N83</f>
        <v>4283953.8881496284</v>
      </c>
      <c r="I202" s="584">
        <f>$N84</f>
        <v>5814568.8382983627</v>
      </c>
      <c r="J202" s="584">
        <f>$N85</f>
        <v>0</v>
      </c>
      <c r="K202" s="584">
        <f>$N86</f>
        <v>432673.88772285421</v>
      </c>
      <c r="L202" s="584">
        <f>$N87</f>
        <v>0</v>
      </c>
      <c r="M202" s="584">
        <f>$N88</f>
        <v>55678595.385286853</v>
      </c>
      <c r="N202" s="584">
        <f>$N89</f>
        <v>205674790.04294223</v>
      </c>
      <c r="O202" s="584">
        <f>$N90</f>
        <v>0</v>
      </c>
      <c r="P202" s="585">
        <f>+$O$3</f>
        <v>7</v>
      </c>
    </row>
    <row r="203" spans="4:16" x14ac:dyDescent="0.2">
      <c r="D203" s="752"/>
      <c r="G203" s="583">
        <f>+P$2</f>
        <v>2033</v>
      </c>
      <c r="H203" s="584">
        <f>$O83</f>
        <v>2062003.8629694898</v>
      </c>
      <c r="I203" s="584">
        <f>$O84</f>
        <v>0</v>
      </c>
      <c r="J203" s="584">
        <f>$O85</f>
        <v>0</v>
      </c>
      <c r="K203" s="584">
        <f>$O86</f>
        <v>272184.09828867804</v>
      </c>
      <c r="L203" s="584">
        <f>$O87</f>
        <v>0</v>
      </c>
      <c r="M203" s="584">
        <f>$O88</f>
        <v>35266867.970820107</v>
      </c>
      <c r="N203" s="584">
        <f>$O89</f>
        <v>0</v>
      </c>
      <c r="O203" s="584">
        <f>$O90</f>
        <v>0</v>
      </c>
      <c r="P203" s="585">
        <f>+$P$3</f>
        <v>8</v>
      </c>
    </row>
    <row r="204" spans="4:16" x14ac:dyDescent="0.2">
      <c r="D204" s="752"/>
      <c r="G204" s="583">
        <f>+Q$2</f>
        <v>2034</v>
      </c>
      <c r="H204" s="584">
        <f>$P83</f>
        <v>0</v>
      </c>
      <c r="I204" s="584">
        <f>$P84</f>
        <v>0</v>
      </c>
      <c r="J204" s="584">
        <f>$P85</f>
        <v>0</v>
      </c>
      <c r="K204" s="584">
        <f>$P86</f>
        <v>281872.725345588</v>
      </c>
      <c r="L204" s="584">
        <f>$P87</f>
        <v>0</v>
      </c>
      <c r="M204" s="584">
        <f>$P88</f>
        <v>64933647.346574374</v>
      </c>
      <c r="N204" s="584">
        <f>$P89</f>
        <v>0</v>
      </c>
      <c r="O204" s="584">
        <f>$P90</f>
        <v>0</v>
      </c>
      <c r="P204" s="585">
        <f>+$Q$3</f>
        <v>9</v>
      </c>
    </row>
    <row r="205" spans="4:16" x14ac:dyDescent="0.2">
      <c r="D205" s="752"/>
      <c r="G205" s="583">
        <f>+R$2</f>
        <v>2035</v>
      </c>
      <c r="H205" s="584">
        <f>$Q83</f>
        <v>511461.34021311527</v>
      </c>
      <c r="I205" s="584">
        <f>$Q84</f>
        <v>0</v>
      </c>
      <c r="J205" s="584">
        <f>$Q85</f>
        <v>0</v>
      </c>
      <c r="K205" s="584">
        <f>$Q86</f>
        <v>291906.227414808</v>
      </c>
      <c r="L205" s="584">
        <f>$Q87</f>
        <v>0</v>
      </c>
      <c r="M205" s="584">
        <f>$Q88</f>
        <v>40707264.957686476</v>
      </c>
      <c r="N205" s="584">
        <f>$Q89</f>
        <v>0</v>
      </c>
      <c r="O205" s="584">
        <f>$Q90</f>
        <v>0</v>
      </c>
      <c r="P205" s="585">
        <f>+$R$3</f>
        <v>10</v>
      </c>
    </row>
    <row r="206" spans="4:16" x14ac:dyDescent="0.2">
      <c r="D206" s="752"/>
      <c r="G206" s="1387"/>
    </row>
    <row r="207" spans="4:16" x14ac:dyDescent="0.2">
      <c r="D207" s="752"/>
      <c r="G207" s="1387" t="s">
        <v>998</v>
      </c>
    </row>
    <row r="208" spans="4:16" ht="38.25" x14ac:dyDescent="0.2">
      <c r="D208" s="752"/>
      <c r="G208" s="1388" t="s">
        <v>1059</v>
      </c>
      <c r="H208" s="581" t="str">
        <f>+$F$5</f>
        <v>MACROMEDIDORES</v>
      </c>
      <c r="I208" s="581" t="str">
        <f>+$F$7</f>
        <v>MACROMEDIDORES</v>
      </c>
      <c r="J208" s="581" t="str">
        <f>+$F$9</f>
        <v>ESTACIONES REDUCTORAS DE PRESIÓN</v>
      </c>
      <c r="K208" s="581" t="str">
        <f>+$F$11</f>
        <v>REHABILITACIÓN TANQUES</v>
      </c>
      <c r="L208" s="581" t="str">
        <f>+$F$13</f>
        <v>NO SE REQUIERE</v>
      </c>
      <c r="M208" s="581" t="str">
        <f>+$F$15</f>
        <v>REHABILITACIÓN REDES</v>
      </c>
      <c r="N208" s="581" t="str">
        <f>+$F$17</f>
        <v>REDES</v>
      </c>
      <c r="O208" s="581" t="str">
        <f>+$F$19</f>
        <v>REDES</v>
      </c>
      <c r="P208" s="550"/>
    </row>
    <row r="209" spans="4:16" x14ac:dyDescent="0.2">
      <c r="D209" s="752"/>
      <c r="G209" s="550"/>
      <c r="H209" s="582">
        <f>+$G$5</f>
        <v>23</v>
      </c>
      <c r="I209" s="582">
        <f>+$G$7</f>
        <v>23</v>
      </c>
      <c r="J209" s="582">
        <f>+$G$9</f>
        <v>35</v>
      </c>
      <c r="K209" s="582">
        <f>+$G$11</f>
        <v>45</v>
      </c>
      <c r="L209" s="582">
        <f>+$G$13</f>
        <v>0</v>
      </c>
      <c r="M209" s="582">
        <f>+$G$15</f>
        <v>45</v>
      </c>
      <c r="N209" s="582">
        <f>+$G$17</f>
        <v>45</v>
      </c>
      <c r="O209" s="582">
        <f>+$G$19</f>
        <v>45</v>
      </c>
      <c r="P209" s="551"/>
    </row>
    <row r="210" spans="4:16" x14ac:dyDescent="0.2">
      <c r="G210" s="583">
        <f>+H$2</f>
        <v>2025</v>
      </c>
      <c r="H210" s="584"/>
      <c r="I210" s="584"/>
      <c r="J210" s="584"/>
      <c r="K210" s="584"/>
      <c r="L210" s="584"/>
      <c r="M210" s="584"/>
      <c r="N210" s="584"/>
      <c r="O210" s="584"/>
      <c r="P210" s="585">
        <f>+$H$3</f>
        <v>0</v>
      </c>
    </row>
    <row r="211" spans="4:16" x14ac:dyDescent="0.2">
      <c r="F211" s="752"/>
      <c r="G211" s="583">
        <f>+I$2</f>
        <v>2026</v>
      </c>
      <c r="H211" s="584">
        <f>(H53-(H196+H196*($P$220-$P211)))*(1+PARÁMETROS!$C$10)^($P$220-$P211)</f>
        <v>0</v>
      </c>
      <c r="I211" s="584">
        <f>(I53-(I196+I196*($P$220-$P211)))*(1+PARÁMETROS!$C$10)^($P$220-$P211)</f>
        <v>0</v>
      </c>
      <c r="J211" s="584">
        <f>(J53-(J196+J196*($P$220-$P211)))*(1+PARÁMETROS!$C$10)^($P$220-$P211)</f>
        <v>0</v>
      </c>
      <c r="K211" s="584">
        <f>(K53-(K196+K196*($P$220-$P211)))*(1+PARÁMETROS!$C$10)^($P$220-$P211)</f>
        <v>0</v>
      </c>
      <c r="L211" s="584">
        <f>(L53-(L196+L196*($P$220-$P211)))*(1+PARÁMETROS!$C$10)^($P$220-$P211)</f>
        <v>0</v>
      </c>
      <c r="M211" s="584">
        <f>(M53-(M196+M196*($P$220-$P211)))*(1+PARÁMETROS!$C$10)^($P$220-$P211)</f>
        <v>0</v>
      </c>
      <c r="N211" s="584">
        <f>(N53-(N196+N196*($P$220-$P211)))*(1+PARÁMETROS!$C$10)^($P$220-$P211)</f>
        <v>0</v>
      </c>
      <c r="O211" s="584">
        <f>(O53-(O196+O196*($P$220-$P211)))*(1+PARÁMETROS!$C$10)^($P$220-$P211)</f>
        <v>0</v>
      </c>
      <c r="P211" s="585">
        <f>+$I$3</f>
        <v>1</v>
      </c>
    </row>
    <row r="212" spans="4:16" x14ac:dyDescent="0.2">
      <c r="G212" s="583">
        <f>+J$2</f>
        <v>2027</v>
      </c>
      <c r="H212" s="584">
        <f>(H54-(H197+H197*($P$220-$P212)))*(1+PARÁMETROS!$C$10)^($P$220-$P212)</f>
        <v>30959798.212830093</v>
      </c>
      <c r="I212" s="584">
        <f>(I54-(I197+I197*($P$220-$P212)))*(1+PARÁMETROS!$C$10)^($P$220-$P212)</f>
        <v>457878660.34410602</v>
      </c>
      <c r="J212" s="584">
        <f>(J54-(J197+J197*($P$220-$P212)))*(1+PARÁMETROS!$C$10)^($P$220-$P212)</f>
        <v>879512223.31678438</v>
      </c>
      <c r="K212" s="584">
        <f>(K54-(K197+K197*($P$220-$P212)))*(1+PARÁMETROS!$C$10)^($P$220-$P212)</f>
        <v>7642635.7723149741</v>
      </c>
      <c r="L212" s="584">
        <f>(L54-(L197+L197*($P$220-$P212)))*(1+PARÁMETROS!$C$10)^($P$220-$P212)</f>
        <v>472042877.28384119</v>
      </c>
      <c r="M212" s="584">
        <f>(M54-(M197+M197*($P$220-$P212)))*(1+PARÁMETROS!$C$10)^($P$220-$P212)</f>
        <v>0</v>
      </c>
      <c r="N212" s="584">
        <f>(N54-(N197+N197*($P$220-$P212)))*(1+PARÁMETROS!$C$10)^($P$220-$P212)</f>
        <v>0</v>
      </c>
      <c r="O212" s="584">
        <f>(O54-(O197+O197*($P$220-$P212)))*(1+PARÁMETROS!$C$10)^($P$220-$P212)</f>
        <v>0</v>
      </c>
      <c r="P212" s="585">
        <f>+$J$3</f>
        <v>2</v>
      </c>
    </row>
    <row r="213" spans="4:16" x14ac:dyDescent="0.2">
      <c r="G213" s="583">
        <f>+K$2</f>
        <v>2028</v>
      </c>
      <c r="H213" s="584">
        <f>(H55-(H198+H198*($P$220-$P213)))*(1+PARÁMETROS!$C$10)^($P$220-$P213)</f>
        <v>262751731.43352166</v>
      </c>
      <c r="I213" s="584">
        <f>(I55-(I198+I198*($P$220-$P213)))*(1+PARÁMETROS!$C$10)^($P$220-$P213)</f>
        <v>715721389.17885828</v>
      </c>
      <c r="J213" s="584">
        <f>(J55-(J198+J198*($P$220-$P213)))*(1+PARÁMETROS!$C$10)^($P$220-$P213)</f>
        <v>1000546120.1989028</v>
      </c>
      <c r="K213" s="584">
        <f>(K55-(K198+K198*($P$220-$P213)))*(1+PARÁMETROS!$C$10)^($P$220-$P213)</f>
        <v>50131602.408782251</v>
      </c>
      <c r="L213" s="584">
        <f>(L55-(L198+L198*($P$220-$P213)))*(1+PARÁMETROS!$C$10)^($P$220-$P213)</f>
        <v>472042877.28384119</v>
      </c>
      <c r="M213" s="584">
        <f>(M55-(M198+M198*($P$220-$P213)))*(1+PARÁMETROS!$C$10)^($P$220-$P213)</f>
        <v>1300141933.9516683</v>
      </c>
      <c r="N213" s="584">
        <f>(N55-(N198+N198*($P$220-$P213)))*(1+PARÁMETROS!$C$10)^($P$220-$P213)</f>
        <v>7249998294.8724794</v>
      </c>
      <c r="O213" s="584">
        <f>(O55-(O198+O198*($P$220-$P213)))*(1+PARÁMETROS!$C$10)^($P$220-$P213)</f>
        <v>0</v>
      </c>
      <c r="P213" s="585">
        <f>+$K$3</f>
        <v>3</v>
      </c>
    </row>
    <row r="214" spans="4:16" x14ac:dyDescent="0.2">
      <c r="G214" s="583">
        <f>+L$2</f>
        <v>2029</v>
      </c>
      <c r="H214" s="584">
        <f>(H56-(H199+H199*($P$220-$P214)))*(1+PARÁMETROS!$C$10)^($P$220-$P214)</f>
        <v>35382626.528948657</v>
      </c>
      <c r="I214" s="584">
        <f>(I56-(I199+I199*($P$220-$P214)))*(1+PARÁMETROS!$C$10)^($P$220-$P214)</f>
        <v>616467724.59027743</v>
      </c>
      <c r="J214" s="584">
        <f>(J56-(J199+J199*($P$220-$P214)))*(1+PARÁMETROS!$C$10)^($P$220-$P214)</f>
        <v>700469385.79900205</v>
      </c>
      <c r="K214" s="584">
        <f>(K56-(K199+K199*($P$220-$P214)))*(1+PARÁMETROS!$C$10)^($P$220-$P214)</f>
        <v>44016707.377665408</v>
      </c>
      <c r="L214" s="584">
        <f>(L56-(L199+L199*($P$220-$P214)))*(1+PARÁMETROS!$C$10)^($P$220-$P214)</f>
        <v>472042877.28384113</v>
      </c>
      <c r="M214" s="584">
        <f>(M56-(M199+M199*($P$220-$P214)))*(1+PARÁMETROS!$C$10)^($P$220-$P214)</f>
        <v>561703801.62957597</v>
      </c>
      <c r="N214" s="584">
        <f>(N56-(N199+N199*($P$220-$P214)))*(1+PARÁMETROS!$C$10)^($P$220-$P214)</f>
        <v>5914332988.1217012</v>
      </c>
      <c r="O214" s="584">
        <f>(O56-(O199+O199*($P$220-$P214)))*(1+PARÁMETROS!$C$10)^($P$220-$P214)</f>
        <v>0</v>
      </c>
      <c r="P214" s="585">
        <f>+$L$3</f>
        <v>4</v>
      </c>
    </row>
    <row r="215" spans="4:16" x14ac:dyDescent="0.2">
      <c r="G215" s="583">
        <f>+M$2</f>
        <v>2030</v>
      </c>
      <c r="H215" s="584">
        <f>(H57-(H200+H200*($P$220-$P215)))*(1+PARÁMETROS!$C$10)^($P$220-$P215)</f>
        <v>34779371.134491846</v>
      </c>
      <c r="I215" s="584">
        <f>(I57-(I200+I200*($P$220-$P215)))*(1+PARÁMETROS!$C$10)^($P$220-$P215)</f>
        <v>1123669986.2985556</v>
      </c>
      <c r="J215" s="584">
        <f>(J57-(J200+J200*($P$220-$P215)))*(1+PARÁMETROS!$C$10)^($P$220-$P215)</f>
        <v>92012779.986708343</v>
      </c>
      <c r="K215" s="584">
        <f>(K57-(K200+K200*($P$220-$P215)))*(1+PARÁMETROS!$C$10)^($P$220-$P215)</f>
        <v>53199009.747440599</v>
      </c>
      <c r="L215" s="584">
        <f>(L57-(L200+L200*($P$220-$P215)))*(1+PARÁMETROS!$C$10)^($P$220-$P215)</f>
        <v>472042877.28384131</v>
      </c>
      <c r="M215" s="584">
        <f>(M57-(M200+M200*($P$220-$P215)))*(1+PARÁMETROS!$C$10)^($P$220-$P215)</f>
        <v>955962386.92689002</v>
      </c>
      <c r="N215" s="584">
        <f>(N57-(N200+N200*($P$220-$P215)))*(1+PARÁMETROS!$C$10)^($P$220-$P215)</f>
        <v>8489389850.8470306</v>
      </c>
      <c r="O215" s="584">
        <f>(O57-(O200+O200*($P$220-$P215)))*(1+PARÁMETROS!$C$10)^($P$220-$P215)</f>
        <v>0</v>
      </c>
      <c r="P215" s="585">
        <f>+$M$3</f>
        <v>5</v>
      </c>
    </row>
    <row r="216" spans="4:16" x14ac:dyDescent="0.2">
      <c r="G216" s="583">
        <f>+N$2</f>
        <v>2031</v>
      </c>
      <c r="H216" s="584">
        <f>(H58-(H201+H201*($P$220-$P216)))*(1+PARÁMETROS!$C$10)^($P$220-$P216)</f>
        <v>0</v>
      </c>
      <c r="I216" s="584">
        <f>(I58-(I201+I201*($P$220-$P216)))*(1+PARÁMETROS!$C$10)^($P$220-$P216)</f>
        <v>328213483.57220286</v>
      </c>
      <c r="J216" s="584">
        <f>(J58-(J201+J201*($P$220-$P216)))*(1+PARÁMETROS!$C$10)^($P$220-$P216)</f>
        <v>109282642.35942848</v>
      </c>
      <c r="K216" s="584">
        <f>(K58-(K201+K201*($P$220-$P216)))*(1+PARÁMETROS!$C$10)^($P$220-$P216)</f>
        <v>13916470.130355289</v>
      </c>
      <c r="L216" s="584">
        <f>(L58-(L201+L201*($P$220-$P216)))*(1+PARÁMETROS!$C$10)^($P$220-$P216)</f>
        <v>472042877.28384131</v>
      </c>
      <c r="M216" s="584">
        <f>(M58-(M201+M201*($P$220-$P216)))*(1+PARÁMETROS!$C$10)^($P$220-$P216)</f>
        <v>824687469.73906207</v>
      </c>
      <c r="N216" s="584">
        <f>(N58-(N201+N201*($P$220-$P216)))*(1+PARÁMETROS!$C$10)^($P$220-$P216)</f>
        <v>7422677776.5418787</v>
      </c>
      <c r="O216" s="584">
        <f>(O58-(O201+O201*($P$220-$P216)))*(1+PARÁMETROS!$C$10)^($P$220-$P216)</f>
        <v>0</v>
      </c>
      <c r="P216" s="585">
        <f>+$N$3</f>
        <v>6</v>
      </c>
    </row>
    <row r="217" spans="4:16" x14ac:dyDescent="0.2">
      <c r="G217" s="583">
        <f>+O$2</f>
        <v>2032</v>
      </c>
      <c r="H217" s="584">
        <f>(H59-(H202+H202*($P$220-$P217)))*(1+PARÁMETROS!$C$10)^($P$220-$P217)</f>
        <v>90400182.081412584</v>
      </c>
      <c r="I217" s="584">
        <f>(I59-(I202+I202*($P$220-$P217)))*(1+PARÁMETROS!$C$10)^($P$220-$P217)</f>
        <v>122699285.62048994</v>
      </c>
      <c r="J217" s="584">
        <f>(J59-(J202+J202*($P$220-$P217)))*(1+PARÁMETROS!$C$10)^($P$220-$P217)</f>
        <v>0</v>
      </c>
      <c r="K217" s="584">
        <f>(K59-(K202+K202*($P$220-$P217)))*(1+PARÁMETROS!$C$10)^($P$220-$P217)</f>
        <v>19702233.39150684</v>
      </c>
      <c r="L217" s="584">
        <f>(L59-(L202+L202*($P$220-$P217)))*(1+PARÁMETROS!$C$10)^($P$220-$P217)</f>
        <v>0</v>
      </c>
      <c r="M217" s="584">
        <f>(M59-(M202+M202*($P$220-$P217)))*(1+PARÁMETROS!$C$10)^($P$220-$P217)</f>
        <v>2535379906.9447594</v>
      </c>
      <c r="N217" s="584">
        <f>(N59-(N202+N202*($P$220-$P217)))*(1+PARÁMETROS!$C$10)^($P$220-$P217)</f>
        <v>9365604976.7691383</v>
      </c>
      <c r="O217" s="584">
        <f>(O59-(O202+O202*($P$220-$P217)))*(1+PARÁMETROS!$C$10)^($P$220-$P217)</f>
        <v>0</v>
      </c>
      <c r="P217" s="585">
        <f>+$O$3</f>
        <v>7</v>
      </c>
    </row>
    <row r="218" spans="4:16" x14ac:dyDescent="0.2">
      <c r="G218" s="583">
        <f>+P$2</f>
        <v>2033</v>
      </c>
      <c r="H218" s="584">
        <f>(H60-(H203+H203*($P$220-$P218)))*(1+PARÁMETROS!$C$10)^($P$220-$P218)</f>
        <v>44228283.161185838</v>
      </c>
      <c r="I218" s="584">
        <f>(I60-(I203+I203*($P$220-$P218)))*(1+PARÁMETROS!$C$10)^($P$220-$P218)</f>
        <v>0</v>
      </c>
      <c r="J218" s="584">
        <f>(J60-(J203+J203*($P$220-$P218)))*(1+PARÁMETROS!$C$10)^($P$220-$P218)</f>
        <v>0</v>
      </c>
      <c r="K218" s="584">
        <f>(K60-(K203+K203*($P$220-$P218)))*(1+PARÁMETROS!$C$10)^($P$220-$P218)</f>
        <v>12260061.551421937</v>
      </c>
      <c r="L218" s="584">
        <f>(L60-(L203+L203*($P$220-$P218)))*(1+PARÁMETROS!$C$10)^($P$220-$P218)</f>
        <v>0</v>
      </c>
      <c r="M218" s="584">
        <f>(M60-(M203+M203*($P$220-$P218)))*(1+PARÁMETROS!$C$10)^($P$220-$P218)</f>
        <v>1588535020.1081555</v>
      </c>
      <c r="N218" s="584">
        <f>(N60-(N203+N203*($P$220-$P218)))*(1+PARÁMETROS!$C$10)^($P$220-$P218)</f>
        <v>0</v>
      </c>
      <c r="O218" s="584">
        <f>(O60-(O203+O203*($P$220-$P218)))*(1+PARÁMETROS!$C$10)^($P$220-$P218)</f>
        <v>0</v>
      </c>
      <c r="P218" s="585">
        <f>+$P$3</f>
        <v>8</v>
      </c>
    </row>
    <row r="219" spans="4:16" x14ac:dyDescent="0.2">
      <c r="G219" s="583">
        <f>+Q$2</f>
        <v>2034</v>
      </c>
      <c r="H219" s="584">
        <f>(H61-(H204+H204*($P$220-$P219)))*(1+PARÁMETROS!$C$10)^($P$220-$P219)</f>
        <v>0</v>
      </c>
      <c r="I219" s="584">
        <f>(I61-(I204+I204*($P$220-$P219)))*(1+PARÁMETROS!$C$10)^($P$220-$P219)</f>
        <v>0</v>
      </c>
      <c r="J219" s="584">
        <f>(J61-(J204+J204*($P$220-$P219)))*(1+PARÁMETROS!$C$10)^($P$220-$P219)</f>
        <v>0</v>
      </c>
      <c r="K219" s="584">
        <f>(K61-(K204+K204*($P$220-$P219)))*(1+PARÁMETROS!$C$10)^($P$220-$P219)</f>
        <v>12551967.778836744</v>
      </c>
      <c r="L219" s="584">
        <f>(L61-(L204+L204*($P$220-$P219)))*(1+PARÁMETROS!$C$10)^($P$220-$P219)</f>
        <v>0</v>
      </c>
      <c r="M219" s="584">
        <f>(M61-(M204+M204*($P$220-$P219)))*(1+PARÁMETROS!$C$10)^($P$220-$P219)</f>
        <v>2891535703.772933</v>
      </c>
      <c r="N219" s="584">
        <f>(N61-(N204+N204*($P$220-$P219)))*(1+PARÁMETROS!$C$10)^($P$220-$P219)</f>
        <v>0</v>
      </c>
      <c r="O219" s="584">
        <f>(O61-(O204+O204*($P$220-$P219)))*(1+PARÁMETROS!$C$10)^($P$220-$P219)</f>
        <v>0</v>
      </c>
      <c r="P219" s="585">
        <f>+$Q$3</f>
        <v>9</v>
      </c>
    </row>
    <row r="220" spans="4:16" x14ac:dyDescent="0.2">
      <c r="G220" s="583">
        <f>+R$2</f>
        <v>2035</v>
      </c>
      <c r="H220" s="584">
        <f>(H62-(H205+H205*($P$220-$P220)))*(1+PARÁMETROS!$C$10)^($P$220-$P220)</f>
        <v>11252149.484688537</v>
      </c>
      <c r="I220" s="584">
        <f>(I62-(I205+I205*($P$220-$P220)))*(1+PARÁMETROS!$C$10)^($P$220-$P220)</f>
        <v>0</v>
      </c>
      <c r="J220" s="584">
        <f>(J62-(J205+J205*($P$220-$P220)))*(1+PARÁMETROS!$C$10)^($P$220-$P220)</f>
        <v>0</v>
      </c>
      <c r="K220" s="584">
        <f>(K62-(K205+K205*($P$220-$P220)))*(1+PARÁMETROS!$C$10)^($P$220-$P220)</f>
        <v>12843874.006251553</v>
      </c>
      <c r="L220" s="584">
        <f>(L62-(L205+L205*($P$220-$P220)))*(1+PARÁMETROS!$C$10)^($P$220-$P220)</f>
        <v>0</v>
      </c>
      <c r="M220" s="584">
        <f>(M62-(M205+M205*($P$220-$P220)))*(1+PARÁMETROS!$C$10)^($P$220-$P220)</f>
        <v>1791119658.1382051</v>
      </c>
      <c r="N220" s="584">
        <f>(N62-(N205+N205*($P$220-$P220)))*(1+PARÁMETROS!$C$10)^($P$220-$P220)</f>
        <v>0</v>
      </c>
      <c r="O220" s="584">
        <f>(O62-(O205+O205*($P$220-$P220)))*(1+PARÁMETROS!$C$10)^($P$220-$P220)</f>
        <v>0</v>
      </c>
      <c r="P220" s="585">
        <f>+$R$3</f>
        <v>10</v>
      </c>
    </row>
    <row r="221" spans="4:16" x14ac:dyDescent="0.2">
      <c r="G221" s="1388" t="s">
        <v>305</v>
      </c>
      <c r="H221" s="1389">
        <f>SUM(H211:H220)</f>
        <v>509754142.03707922</v>
      </c>
      <c r="I221" s="1389">
        <f t="shared" ref="I221:O221" si="53">SUM(I211:I220)</f>
        <v>3364650529.6044903</v>
      </c>
      <c r="J221" s="1389">
        <f t="shared" si="53"/>
        <v>2781823151.6608257</v>
      </c>
      <c r="K221" s="1389">
        <f t="shared" si="53"/>
        <v>226264562.16457564</v>
      </c>
      <c r="L221" s="1389">
        <f t="shared" si="53"/>
        <v>2360214386.4192061</v>
      </c>
      <c r="M221" s="1389">
        <f t="shared" si="53"/>
        <v>12449065881.211248</v>
      </c>
      <c r="N221" s="1389">
        <f t="shared" si="53"/>
        <v>38442003887.152222</v>
      </c>
      <c r="O221" s="1389">
        <f t="shared" si="53"/>
        <v>0</v>
      </c>
      <c r="P221" s="1390">
        <f>SUM(H221:O221)</f>
        <v>60133776540.249649</v>
      </c>
    </row>
    <row r="223" spans="4:16" x14ac:dyDescent="0.2">
      <c r="P223" s="552"/>
    </row>
  </sheetData>
  <mergeCells count="88">
    <mergeCell ref="S12:S13"/>
    <mergeCell ref="S14:S15"/>
    <mergeCell ref="S16:S17"/>
    <mergeCell ref="S18:S19"/>
    <mergeCell ref="E132:G132"/>
    <mergeCell ref="E105:G105"/>
    <mergeCell ref="B48:G48"/>
    <mergeCell ref="B49:G49"/>
    <mergeCell ref="B43:G43"/>
    <mergeCell ref="B46:G46"/>
    <mergeCell ref="B44:G44"/>
    <mergeCell ref="E130:G130"/>
    <mergeCell ref="B38:G38"/>
    <mergeCell ref="B39:G39"/>
    <mergeCell ref="B40:G40"/>
    <mergeCell ref="E107:E108"/>
    <mergeCell ref="S2:S3"/>
    <mergeCell ref="S4:S5"/>
    <mergeCell ref="S6:S7"/>
    <mergeCell ref="S8:S9"/>
    <mergeCell ref="S10:S11"/>
    <mergeCell ref="F93:F95"/>
    <mergeCell ref="E104:G104"/>
    <mergeCell ref="G151:G152"/>
    <mergeCell ref="E134:E135"/>
    <mergeCell ref="F134:F135"/>
    <mergeCell ref="G134:G135"/>
    <mergeCell ref="E147:G147"/>
    <mergeCell ref="E148:G148"/>
    <mergeCell ref="D12:D13"/>
    <mergeCell ref="B14:B15"/>
    <mergeCell ref="D14:D15"/>
    <mergeCell ref="B31:G31"/>
    <mergeCell ref="B32:G32"/>
    <mergeCell ref="B35:G35"/>
    <mergeCell ref="B36:G36"/>
    <mergeCell ref="B37:G37"/>
    <mergeCell ref="B34:G34"/>
    <mergeCell ref="B18:B19"/>
    <mergeCell ref="D18:D19"/>
    <mergeCell ref="C18:C19"/>
    <mergeCell ref="B2:B3"/>
    <mergeCell ref="D2:D3"/>
    <mergeCell ref="B10:B11"/>
    <mergeCell ref="D10:D11"/>
    <mergeCell ref="D4:D5"/>
    <mergeCell ref="B4:B5"/>
    <mergeCell ref="B6:B7"/>
    <mergeCell ref="D6:D7"/>
    <mergeCell ref="B8:B9"/>
    <mergeCell ref="D8:D9"/>
    <mergeCell ref="C2:C3"/>
    <mergeCell ref="C4:C5"/>
    <mergeCell ref="C6:C7"/>
    <mergeCell ref="C8:C9"/>
    <mergeCell ref="C10:C11"/>
    <mergeCell ref="B47:G47"/>
    <mergeCell ref="E185:G185"/>
    <mergeCell ref="E186:G186"/>
    <mergeCell ref="E187:G187"/>
    <mergeCell ref="E162:E163"/>
    <mergeCell ref="F162:F163"/>
    <mergeCell ref="G162:G163"/>
    <mergeCell ref="E183:G183"/>
    <mergeCell ref="E184:G184"/>
    <mergeCell ref="F107:F108"/>
    <mergeCell ref="G107:G108"/>
    <mergeCell ref="E80:E82"/>
    <mergeCell ref="F80:F82"/>
    <mergeCell ref="G80:G82"/>
    <mergeCell ref="G93:G95"/>
    <mergeCell ref="E93:E95"/>
    <mergeCell ref="T2:T3"/>
    <mergeCell ref="E128:G128"/>
    <mergeCell ref="E129:G129"/>
    <mergeCell ref="E131:G131"/>
    <mergeCell ref="E2:E3"/>
    <mergeCell ref="F2:F3"/>
    <mergeCell ref="G2:G3"/>
    <mergeCell ref="B33:G33"/>
    <mergeCell ref="B16:B17"/>
    <mergeCell ref="D16:D17"/>
    <mergeCell ref="C14:C15"/>
    <mergeCell ref="C16:C17"/>
    <mergeCell ref="B12:B13"/>
    <mergeCell ref="C12:C13"/>
    <mergeCell ref="B42:G42"/>
    <mergeCell ref="B45:G45"/>
  </mergeCells>
  <phoneticPr fontId="9" type="noConversion"/>
  <conditionalFormatting sqref="S4:S30">
    <cfRule type="cellIs" dxfId="653" priority="6" operator="equal">
      <formula>"SI"</formula>
    </cfRule>
  </conditionalFormatting>
  <conditionalFormatting sqref="S109:S129">
    <cfRule type="cellIs" dxfId="652" priority="5" operator="equal">
      <formula>"SI"</formula>
    </cfRule>
  </conditionalFormatting>
  <conditionalFormatting sqref="S136:S146">
    <cfRule type="cellIs" dxfId="651" priority="4" operator="equal">
      <formula>"SI"</formula>
    </cfRule>
  </conditionalFormatting>
  <conditionalFormatting sqref="S96:S103">
    <cfRule type="cellIs" dxfId="650" priority="3" operator="equal">
      <formula>"SI"</formula>
    </cfRule>
  </conditionalFormatting>
  <conditionalFormatting sqref="S164 S167:S184">
    <cfRule type="cellIs" dxfId="649" priority="2" operator="equal">
      <formula>"SI"</formula>
    </cfRule>
  </conditionalFormatting>
  <conditionalFormatting sqref="S165:S166">
    <cfRule type="cellIs" dxfId="648" priority="1" operator="equal">
      <formula>"SI"</formula>
    </cfRule>
  </conditionalFormatting>
  <pageMargins left="0.7" right="0.7" top="0.75" bottom="0.75" header="0.3" footer="0.3"/>
  <ignoredErrors>
    <ignoredError sqref="H39 J39:R39" formula="1"/>
  </ignoredErrors>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tabColor theme="4"/>
  </sheetPr>
  <dimension ref="B1:N37"/>
  <sheetViews>
    <sheetView showGridLines="0" topLeftCell="A13" zoomScale="85" zoomScaleNormal="85" workbookViewId="0">
      <selection activeCell="G40" sqref="G40"/>
    </sheetView>
  </sheetViews>
  <sheetFormatPr baseColWidth="10" defaultColWidth="11.375" defaultRowHeight="12.75" x14ac:dyDescent="0.2"/>
  <cols>
    <col min="1" max="1" width="3" style="533" customWidth="1"/>
    <col min="2" max="2" width="51" style="533" customWidth="1"/>
    <col min="3" max="3" width="15.625" style="533" customWidth="1"/>
    <col min="4" max="4" width="15" style="533" customWidth="1"/>
    <col min="5" max="13" width="14.625" style="533" customWidth="1"/>
    <col min="14" max="14" width="14.25" style="533" bestFit="1" customWidth="1"/>
    <col min="15" max="16384" width="11.375" style="533"/>
  </cols>
  <sheetData>
    <row r="1" spans="2:13" ht="13.5" thickBot="1" x14ac:dyDescent="0.25">
      <c r="B1" s="646" t="s">
        <v>236</v>
      </c>
    </row>
    <row r="2" spans="2:13" ht="17.25" customHeight="1" thickBot="1" x14ac:dyDescent="0.25">
      <c r="B2" s="1792" t="s">
        <v>237</v>
      </c>
      <c r="C2" s="1793"/>
    </row>
    <row r="3" spans="2:13" ht="15" customHeight="1" x14ac:dyDescent="0.2">
      <c r="B3" s="565" t="s">
        <v>537</v>
      </c>
      <c r="C3" s="163">
        <f>+PARÁMETROS!$C$8</f>
        <v>0.16276703160799988</v>
      </c>
    </row>
    <row r="4" spans="2:13" ht="13.5" thickBot="1" x14ac:dyDescent="0.25">
      <c r="B4" s="569" t="s">
        <v>238</v>
      </c>
      <c r="C4" s="164">
        <f>+PARÁMETROS!$C$5</f>
        <v>0.35</v>
      </c>
    </row>
    <row r="5" spans="2:13" ht="12" customHeight="1" thickBot="1" x14ac:dyDescent="0.25">
      <c r="B5" s="647"/>
      <c r="C5" s="648">
        <v>0</v>
      </c>
      <c r="D5" s="648">
        <v>1</v>
      </c>
      <c r="E5" s="648">
        <v>2</v>
      </c>
      <c r="F5" s="648">
        <v>3</v>
      </c>
      <c r="G5" s="648">
        <v>4</v>
      </c>
      <c r="H5" s="648">
        <v>5</v>
      </c>
      <c r="I5" s="648">
        <v>6</v>
      </c>
      <c r="J5" s="648">
        <v>7</v>
      </c>
      <c r="K5" s="648">
        <v>8</v>
      </c>
      <c r="L5" s="648">
        <v>9</v>
      </c>
      <c r="M5" s="648">
        <v>10</v>
      </c>
    </row>
    <row r="6" spans="2:13" ht="15" customHeight="1" thickBot="1" x14ac:dyDescent="0.25">
      <c r="B6" s="649" t="s">
        <v>239</v>
      </c>
      <c r="C6" s="650">
        <v>2025</v>
      </c>
      <c r="D6" s="651">
        <f>C6+1</f>
        <v>2026</v>
      </c>
      <c r="E6" s="651">
        <f t="shared" ref="E6:M6" si="0">D6+1</f>
        <v>2027</v>
      </c>
      <c r="F6" s="651">
        <f t="shared" si="0"/>
        <v>2028</v>
      </c>
      <c r="G6" s="651">
        <f t="shared" si="0"/>
        <v>2029</v>
      </c>
      <c r="H6" s="651">
        <f t="shared" si="0"/>
        <v>2030</v>
      </c>
      <c r="I6" s="651">
        <f t="shared" si="0"/>
        <v>2031</v>
      </c>
      <c r="J6" s="651">
        <f t="shared" si="0"/>
        <v>2032</v>
      </c>
      <c r="K6" s="651">
        <f t="shared" si="0"/>
        <v>2033</v>
      </c>
      <c r="L6" s="651">
        <f t="shared" si="0"/>
        <v>2034</v>
      </c>
      <c r="M6" s="651">
        <f t="shared" si="0"/>
        <v>2035</v>
      </c>
    </row>
    <row r="7" spans="2:13" ht="16.149999999999999" customHeight="1" x14ac:dyDescent="0.2">
      <c r="B7" s="652" t="s">
        <v>240</v>
      </c>
      <c r="C7" s="678">
        <f>+PARÁMETROS!$C$13</f>
        <v>240.70071704065188</v>
      </c>
      <c r="D7" s="679">
        <f>+C7*(1+PARÁMETROS!$C$9)</f>
        <v>249.26866606633052</v>
      </c>
      <c r="E7" s="679">
        <f>+D7*(1+PARÁMETROS!$C$9)</f>
        <v>258.14159860601438</v>
      </c>
      <c r="F7" s="679">
        <f>+E7*(1+PARÁMETROS!$C$9)</f>
        <v>267.33037081017022</v>
      </c>
      <c r="G7" s="679">
        <f>+F7*(1+PARÁMETROS!$C$9)</f>
        <v>276.84622526327712</v>
      </c>
      <c r="H7" s="679">
        <f>+G7*(1+PARÁMETROS!$C$9)</f>
        <v>286.70080473927715</v>
      </c>
      <c r="I7" s="679">
        <f>+H7*(1+PARÁMETROS!$C$9)</f>
        <v>296.90616644666375</v>
      </c>
      <c r="J7" s="679">
        <f>+I7*(1+PARÁMETROS!$C$9)</f>
        <v>307.47479678063587</v>
      </c>
      <c r="K7" s="679">
        <f>+J7*(1+PARÁMETROS!$C$9)</f>
        <v>318.41962660036779</v>
      </c>
      <c r="L7" s="679">
        <f>+K7*(1+PARÁMETROS!$C$9)</f>
        <v>329.75404705008674</v>
      </c>
      <c r="M7" s="680">
        <f>+L7*(1+PARÁMETROS!$C$9)</f>
        <v>341.49192594331504</v>
      </c>
    </row>
    <row r="8" spans="2:13" ht="19.899999999999999" customHeight="1" x14ac:dyDescent="0.2">
      <c r="B8" s="653" t="s">
        <v>241</v>
      </c>
      <c r="C8" s="681">
        <f>+PARÁMETROS!$C$12</f>
        <v>44.838664438044702</v>
      </c>
      <c r="D8" s="682">
        <f>+C8*(1+PARÁMETROS!$C$9)</f>
        <v>46.434735259968313</v>
      </c>
      <c r="E8" s="682">
        <f>+D8*(1+PARÁMETROS!$C$9)</f>
        <v>48.087619595419206</v>
      </c>
      <c r="F8" s="682">
        <f>+E8*(1+PARÁMETROS!$C$9)</f>
        <v>49.799339770271004</v>
      </c>
      <c r="G8" s="682">
        <f>+F8*(1+PARÁMETROS!$C$9)</f>
        <v>51.571990096825999</v>
      </c>
      <c r="H8" s="682">
        <f>+G8*(1+PARÁMETROS!$C$9)</f>
        <v>53.407739436234003</v>
      </c>
      <c r="I8" s="682">
        <f>+H8*(1+PARÁMETROS!$C$9)</f>
        <v>55.30883385212266</v>
      </c>
      <c r="J8" s="682">
        <f>+I8*(1+PARÁMETROS!$C$9)</f>
        <v>57.277599358686075</v>
      </c>
      <c r="K8" s="682">
        <f>+J8*(1+PARÁMETROS!$C$9)</f>
        <v>59.316444766593953</v>
      </c>
      <c r="L8" s="682">
        <f>+K8*(1+PARÁMETROS!$C$9)</f>
        <v>61.427864630203359</v>
      </c>
      <c r="M8" s="683">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654"/>
      <c r="D10" s="655"/>
      <c r="E10" s="655"/>
      <c r="F10" s="655"/>
      <c r="G10" s="655"/>
      <c r="H10" s="655"/>
      <c r="I10" s="655"/>
      <c r="J10" s="655"/>
      <c r="K10" s="655"/>
      <c r="L10" s="655"/>
      <c r="M10" s="656"/>
    </row>
    <row r="11" spans="2:13" ht="18" customHeight="1" thickBot="1" x14ac:dyDescent="0.25">
      <c r="B11" s="657"/>
    </row>
    <row r="12" spans="2:13" ht="16.5" customHeight="1" thickBot="1" x14ac:dyDescent="0.25">
      <c r="B12" s="658" t="s">
        <v>242</v>
      </c>
    </row>
    <row r="13" spans="2:13" ht="18" customHeight="1" thickBot="1" x14ac:dyDescent="0.25">
      <c r="B13" s="659" t="s">
        <v>243</v>
      </c>
      <c r="C13" s="1789" t="str">
        <f>+'RESUMEN FINANCIERO'!$D$4</f>
        <v>MACROMEDICIÓN</v>
      </c>
      <c r="D13" s="1790"/>
      <c r="E13" s="1790"/>
      <c r="F13" s="1790"/>
      <c r="G13" s="1790"/>
      <c r="H13" s="1790"/>
      <c r="I13" s="1790"/>
      <c r="J13" s="1790"/>
      <c r="K13" s="1790"/>
      <c r="L13" s="1790"/>
      <c r="M13" s="1791"/>
    </row>
    <row r="14" spans="2:13" ht="20.25" customHeight="1" thickBot="1" x14ac:dyDescent="0.25">
      <c r="B14" s="660" t="s">
        <v>244</v>
      </c>
      <c r="C14" s="661"/>
      <c r="D14" s="662"/>
      <c r="E14" s="662"/>
      <c r="F14" s="662"/>
      <c r="G14" s="662"/>
      <c r="H14" s="662"/>
      <c r="I14" s="662"/>
      <c r="J14" s="662"/>
      <c r="K14" s="662"/>
      <c r="L14" s="662"/>
      <c r="M14" s="663"/>
    </row>
    <row r="15" spans="2:13" ht="20.25" customHeight="1" thickBot="1" x14ac:dyDescent="0.25">
      <c r="B15" s="664"/>
      <c r="C15" s="648">
        <v>0</v>
      </c>
      <c r="D15" s="648">
        <v>1</v>
      </c>
      <c r="E15" s="648">
        <v>2</v>
      </c>
      <c r="F15" s="648">
        <v>3</v>
      </c>
      <c r="G15" s="648">
        <v>4</v>
      </c>
      <c r="H15" s="648">
        <v>5</v>
      </c>
      <c r="I15" s="648">
        <v>6</v>
      </c>
      <c r="J15" s="648">
        <v>7</v>
      </c>
      <c r="K15" s="648">
        <v>8</v>
      </c>
      <c r="L15" s="648">
        <v>9</v>
      </c>
      <c r="M15" s="648">
        <v>10</v>
      </c>
    </row>
    <row r="16" spans="2:13" ht="16.5" customHeight="1" thickBot="1" x14ac:dyDescent="0.25">
      <c r="B16" s="1138" t="s">
        <v>374</v>
      </c>
      <c r="C16" s="943">
        <f>C6</f>
        <v>2025</v>
      </c>
      <c r="D16" s="650">
        <f t="shared" ref="D16:M16" si="1">D6</f>
        <v>2026</v>
      </c>
      <c r="E16" s="650">
        <f t="shared" si="1"/>
        <v>2027</v>
      </c>
      <c r="F16" s="650">
        <f t="shared" si="1"/>
        <v>2028</v>
      </c>
      <c r="G16" s="650">
        <f t="shared" si="1"/>
        <v>2029</v>
      </c>
      <c r="H16" s="650">
        <f t="shared" si="1"/>
        <v>2030</v>
      </c>
      <c r="I16" s="650">
        <f t="shared" si="1"/>
        <v>2031</v>
      </c>
      <c r="J16" s="650">
        <f t="shared" si="1"/>
        <v>2032</v>
      </c>
      <c r="K16" s="650">
        <f t="shared" si="1"/>
        <v>2033</v>
      </c>
      <c r="L16" s="650">
        <f t="shared" si="1"/>
        <v>2034</v>
      </c>
      <c r="M16" s="1136">
        <f t="shared" si="1"/>
        <v>2035</v>
      </c>
    </row>
    <row r="17" spans="2:14" ht="16.149999999999999" customHeight="1" thickBot="1" x14ac:dyDescent="0.25">
      <c r="B17" s="1139" t="s">
        <v>538</v>
      </c>
      <c r="C17" s="1074">
        <f>+'EV PROG TÉCNICOS'!K35</f>
        <v>0</v>
      </c>
      <c r="D17" s="178">
        <f>+'EV PROG TÉCNICOS'!L35</f>
        <v>0</v>
      </c>
      <c r="E17" s="178">
        <f>+'EV PROG TÉCNICOS'!M35</f>
        <v>0</v>
      </c>
      <c r="F17" s="178">
        <f>+'EV PROG TÉCNICOS'!N35</f>
        <v>0</v>
      </c>
      <c r="G17" s="178">
        <f>+'EV PROG TÉCNICOS'!O35</f>
        <v>0</v>
      </c>
      <c r="H17" s="178">
        <f>+'EV PROG TÉCNICOS'!P35</f>
        <v>0</v>
      </c>
      <c r="I17" s="178">
        <f>+'EV PROG TÉCNICOS'!Q35</f>
        <v>0</v>
      </c>
      <c r="J17" s="178">
        <f>+'EV PROG TÉCNICOS'!R35</f>
        <v>0</v>
      </c>
      <c r="K17" s="178">
        <f>+'EV PROG TÉCNICOS'!S35</f>
        <v>0</v>
      </c>
      <c r="L17" s="178">
        <f>+'EV PROG TÉCNICOS'!T35</f>
        <v>0</v>
      </c>
      <c r="M17" s="179">
        <f>+'EV PROG TÉCNICOS'!U35</f>
        <v>0</v>
      </c>
    </row>
    <row r="18" spans="2:14" s="86" customFormat="1" ht="16.149999999999999" customHeight="1" thickBot="1" x14ac:dyDescent="0.25">
      <c r="B18" s="1073" t="s">
        <v>997</v>
      </c>
      <c r="C18" s="1074">
        <f>+C17</f>
        <v>0</v>
      </c>
      <c r="D18" s="178">
        <f>+C18+D17</f>
        <v>0</v>
      </c>
      <c r="E18" s="178">
        <f t="shared" ref="E18:M18" si="2">+D18+E17</f>
        <v>0</v>
      </c>
      <c r="F18" s="178">
        <f t="shared" si="2"/>
        <v>0</v>
      </c>
      <c r="G18" s="178">
        <f t="shared" si="2"/>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664"/>
      <c r="C19" s="648">
        <v>0</v>
      </c>
      <c r="D19" s="648">
        <v>1</v>
      </c>
      <c r="E19" s="648">
        <v>2</v>
      </c>
      <c r="F19" s="648">
        <v>3</v>
      </c>
      <c r="G19" s="648">
        <v>4</v>
      </c>
      <c r="H19" s="648">
        <v>5</v>
      </c>
      <c r="I19" s="648">
        <v>6</v>
      </c>
      <c r="J19" s="648">
        <v>7</v>
      </c>
      <c r="K19" s="648">
        <v>8</v>
      </c>
      <c r="L19" s="648">
        <v>9</v>
      </c>
      <c r="M19" s="648">
        <v>10</v>
      </c>
    </row>
    <row r="20" spans="2:14" ht="16.5" customHeight="1" thickBot="1" x14ac:dyDescent="0.25">
      <c r="B20" s="649" t="s">
        <v>245</v>
      </c>
      <c r="C20" s="650">
        <f>C6</f>
        <v>2025</v>
      </c>
      <c r="D20" s="650">
        <f t="shared" ref="D20:M20" si="3">D6</f>
        <v>2026</v>
      </c>
      <c r="E20" s="650">
        <f t="shared" si="3"/>
        <v>2027</v>
      </c>
      <c r="F20" s="650">
        <f t="shared" si="3"/>
        <v>2028</v>
      </c>
      <c r="G20" s="650">
        <f t="shared" si="3"/>
        <v>2029</v>
      </c>
      <c r="H20" s="650">
        <f t="shared" si="3"/>
        <v>2030</v>
      </c>
      <c r="I20" s="650">
        <f t="shared" si="3"/>
        <v>2031</v>
      </c>
      <c r="J20" s="650">
        <f t="shared" si="3"/>
        <v>2032</v>
      </c>
      <c r="K20" s="650">
        <f t="shared" si="3"/>
        <v>2033</v>
      </c>
      <c r="L20" s="650">
        <f t="shared" si="3"/>
        <v>2034</v>
      </c>
      <c r="M20" s="650">
        <f t="shared" si="3"/>
        <v>2035</v>
      </c>
      <c r="N20" s="650" t="s">
        <v>995</v>
      </c>
    </row>
    <row r="21" spans="2:14" ht="17.25" customHeight="1" x14ac:dyDescent="0.2">
      <c r="B21" s="668" t="s">
        <v>246</v>
      </c>
      <c r="C21" s="690">
        <f>+'RESUMEN FINANCIERO'!H5</f>
        <v>0</v>
      </c>
      <c r="D21" s="684">
        <f>+'RESUMEN FINANCIERO'!I5</f>
        <v>38448152.589211166</v>
      </c>
      <c r="E21" s="684">
        <f>+'RESUMEN FINANCIERO'!J5</f>
        <v>315391528.86762232</v>
      </c>
      <c r="F21" s="684">
        <f>+'RESUMEN FINANCIERO'!K5</f>
        <v>41234059.020898953</v>
      </c>
      <c r="G21" s="684">
        <f>+'RESUMEN FINANCIERO'!L5</f>
        <v>39504731.256209046</v>
      </c>
      <c r="H21" s="684">
        <f>+'RESUMEN FINANCIERO'!M5</f>
        <v>0</v>
      </c>
      <c r="I21" s="684">
        <f>+'RESUMEN FINANCIERO'!N5</f>
        <v>98530939.427441463</v>
      </c>
      <c r="J21" s="684">
        <f>+'RESUMEN FINANCIERO'!O5</f>
        <v>47426088.848298267</v>
      </c>
      <c r="K21" s="684">
        <f>+'RESUMEN FINANCIERO'!P5</f>
        <v>0</v>
      </c>
      <c r="L21" s="684">
        <f>+'RESUMEN FINANCIERO'!Q5</f>
        <v>11763610.824901652</v>
      </c>
      <c r="M21" s="685">
        <f>+'RESUMEN FINANCIERO'!R5</f>
        <v>0</v>
      </c>
      <c r="N21" s="233"/>
    </row>
    <row r="22" spans="2:14" ht="33" customHeight="1" x14ac:dyDescent="0.2">
      <c r="B22" s="669" t="s">
        <v>873</v>
      </c>
      <c r="C22" s="691">
        <f>((C18*(C7+C8+C9+C10))*PARÁMETROS!$C$6)</f>
        <v>0</v>
      </c>
      <c r="D22" s="686">
        <f>((D18*(D7+D8+D9+D10))*PARÁMETROS!$C$6)</f>
        <v>0</v>
      </c>
      <c r="E22" s="686">
        <f>((E18*(E7+E8+E9+E10))*PARÁMETROS!$C$6)</f>
        <v>0</v>
      </c>
      <c r="F22" s="686">
        <f>((F18*(F7+F8+F9+F10))*PARÁMETROS!$C$6)</f>
        <v>0</v>
      </c>
      <c r="G22" s="686">
        <f>((G18*(G7+G8+G9+G10))*PARÁMETROS!$C$6)</f>
        <v>0</v>
      </c>
      <c r="H22" s="686">
        <f>((H18*(H7+H8+H9+H10))*PARÁMETROS!$C$6)</f>
        <v>0</v>
      </c>
      <c r="I22" s="686">
        <f>((I18*(I7+I8+I9+I10))*PARÁMETROS!$C$6)</f>
        <v>0</v>
      </c>
      <c r="J22" s="686">
        <f>((J18*(J7+J8+J9+J10))*PARÁMETROS!$C$6)</f>
        <v>0</v>
      </c>
      <c r="K22" s="686">
        <f>((K18*(K7+K8+K9+K10))*PARÁMETROS!$C$6)</f>
        <v>0</v>
      </c>
      <c r="L22" s="686">
        <f>((L18*(L7+L8+L9+L10))*PARÁMETROS!$C$6)</f>
        <v>0</v>
      </c>
      <c r="M22" s="687">
        <f>((M18*(M7+M8+M9+M10))*PARÁMETROS!$C$6)</f>
        <v>0</v>
      </c>
      <c r="N22" s="687">
        <f>'RESUMEN FINANCIERO'!H221+M22*(1+G)/(C3-G)</f>
        <v>509754142.03707922</v>
      </c>
    </row>
    <row r="23" spans="2:14" ht="19.899999999999999" customHeight="1" x14ac:dyDescent="0.2">
      <c r="B23" s="670" t="s">
        <v>546</v>
      </c>
      <c r="C23" s="671"/>
      <c r="D23" s="688">
        <f>+'RESUMEN FINANCIERO'!H96</f>
        <v>0</v>
      </c>
      <c r="E23" s="688">
        <f>+'RESUMEN FINANCIERO'!I96</f>
        <v>1671658.8082265723</v>
      </c>
      <c r="F23" s="688">
        <f>+'RESUMEN FINANCIERO'!J96</f>
        <v>15384333.976384064</v>
      </c>
      <c r="G23" s="688">
        <f>+'RESUMEN FINANCIERO'!K96</f>
        <v>17177119.151205759</v>
      </c>
      <c r="H23" s="688">
        <f>+'RESUMEN FINANCIERO'!L96</f>
        <v>18894716.162345283</v>
      </c>
      <c r="I23" s="688">
        <f>+'RESUMEN FINANCIERO'!M96</f>
        <v>18894716.162345283</v>
      </c>
      <c r="J23" s="688">
        <f>+'RESUMEN FINANCIERO'!N96</f>
        <v>23178670.050494909</v>
      </c>
      <c r="K23" s="688">
        <f>+'RESUMEN FINANCIERO'!O96</f>
        <v>25240673.913464397</v>
      </c>
      <c r="L23" s="688">
        <f>+'RESUMEN FINANCIERO'!P96</f>
        <v>25240673.913464397</v>
      </c>
      <c r="M23" s="689">
        <f>+'RESUMEN FINANCIERO'!Q96</f>
        <v>25752135.253677513</v>
      </c>
      <c r="N23" s="236"/>
    </row>
    <row r="24" spans="2:14" ht="17.25" customHeight="1" x14ac:dyDescent="0.2">
      <c r="B24" s="670" t="s">
        <v>247</v>
      </c>
      <c r="C24" s="692">
        <f>+'RESUMEN FINANCIERO'!H4</f>
        <v>0</v>
      </c>
      <c r="D24" s="688">
        <f>+'RESUMEN FINANCIERO'!I4</f>
        <v>73255741.341600001</v>
      </c>
      <c r="E24" s="688">
        <f>+'RESUMEN FINANCIERO'!J4</f>
        <v>83811160.865565211</v>
      </c>
      <c r="F24" s="688">
        <f>+'RESUMEN FINANCIERO'!K4</f>
        <v>92040641.0935736</v>
      </c>
      <c r="G24" s="688">
        <f>+'RESUMEN FINANCIERO'!L4</f>
        <v>97268531.09956035</v>
      </c>
      <c r="H24" s="688">
        <f>+'RESUMEN FINANCIERO'!M4</f>
        <v>102793364.21230917</v>
      </c>
      <c r="I24" s="688">
        <f>+'RESUMEN FINANCIERO'!N4</f>
        <v>108632006.74089548</v>
      </c>
      <c r="J24" s="688">
        <f>+'RESUMEN FINANCIERO'!O4</f>
        <v>114802282.99737701</v>
      </c>
      <c r="K24" s="688">
        <f>+'RESUMEN FINANCIERO'!P4</f>
        <v>121323029.7111714</v>
      </c>
      <c r="L24" s="688">
        <f>+'RESUMEN FINANCIERO'!Q4</f>
        <v>128214153.53416003</v>
      </c>
      <c r="M24" s="689">
        <f>+'RESUMEN FINANCIERO'!R4</f>
        <v>135496691.81206962</v>
      </c>
      <c r="N24" s="236"/>
    </row>
    <row r="25" spans="2:14" ht="20.25" customHeight="1" x14ac:dyDescent="0.2">
      <c r="B25" s="670" t="s">
        <v>248</v>
      </c>
      <c r="C25" s="671"/>
      <c r="D25" s="672"/>
      <c r="E25" s="672"/>
      <c r="F25" s="672"/>
      <c r="G25" s="672"/>
      <c r="H25" s="672"/>
      <c r="I25" s="672"/>
      <c r="J25" s="672"/>
      <c r="K25" s="672"/>
      <c r="L25" s="672"/>
      <c r="M25" s="673"/>
      <c r="N25" s="236"/>
    </row>
    <row r="26" spans="2:14" ht="20.25" customHeight="1" x14ac:dyDescent="0.2">
      <c r="B26" s="674" t="s">
        <v>531</v>
      </c>
      <c r="C26" s="691">
        <f>+SUM(C23:C25)</f>
        <v>0</v>
      </c>
      <c r="D26" s="686">
        <f t="shared" ref="D26:M26" si="4">+SUM(D23:D25)</f>
        <v>73255741.341600001</v>
      </c>
      <c r="E26" s="686">
        <f t="shared" si="4"/>
        <v>85482819.673791781</v>
      </c>
      <c r="F26" s="686">
        <f t="shared" si="4"/>
        <v>107424975.06995766</v>
      </c>
      <c r="G26" s="686">
        <f t="shared" si="4"/>
        <v>114445650.25076611</v>
      </c>
      <c r="H26" s="686">
        <f t="shared" si="4"/>
        <v>121688080.37465444</v>
      </c>
      <c r="I26" s="686">
        <f t="shared" si="4"/>
        <v>127526722.90324077</v>
      </c>
      <c r="J26" s="686">
        <f t="shared" si="4"/>
        <v>137980953.04787192</v>
      </c>
      <c r="K26" s="686">
        <f t="shared" si="4"/>
        <v>146563703.62463582</v>
      </c>
      <c r="L26" s="686">
        <f t="shared" si="4"/>
        <v>153454827.44762444</v>
      </c>
      <c r="M26" s="687">
        <f t="shared" si="4"/>
        <v>161248827.06574714</v>
      </c>
      <c r="N26" s="239"/>
    </row>
    <row r="27" spans="2:14" ht="18" customHeight="1" x14ac:dyDescent="0.2">
      <c r="B27" s="670" t="s">
        <v>249</v>
      </c>
      <c r="C27" s="692">
        <f>+C22-C26</f>
        <v>0</v>
      </c>
      <c r="D27" s="688">
        <f t="shared" ref="D27:M27" si="5">+D22-D26</f>
        <v>-73255741.341600001</v>
      </c>
      <c r="E27" s="688">
        <f t="shared" si="5"/>
        <v>-85482819.673791781</v>
      </c>
      <c r="F27" s="688">
        <f t="shared" si="5"/>
        <v>-107424975.06995766</v>
      </c>
      <c r="G27" s="688">
        <f t="shared" si="5"/>
        <v>-114445650.25076611</v>
      </c>
      <c r="H27" s="688">
        <f t="shared" si="5"/>
        <v>-121688080.37465444</v>
      </c>
      <c r="I27" s="688">
        <f t="shared" si="5"/>
        <v>-127526722.90324077</v>
      </c>
      <c r="J27" s="688">
        <f t="shared" si="5"/>
        <v>-137980953.04787192</v>
      </c>
      <c r="K27" s="688">
        <f t="shared" si="5"/>
        <v>-146563703.62463582</v>
      </c>
      <c r="L27" s="688">
        <f t="shared" si="5"/>
        <v>-153454827.44762444</v>
      </c>
      <c r="M27" s="689">
        <f t="shared" si="5"/>
        <v>-161248827.06574714</v>
      </c>
      <c r="N27" s="236"/>
    </row>
    <row r="28" spans="2:14" ht="19.899999999999999" customHeight="1" thickBot="1" x14ac:dyDescent="0.25">
      <c r="B28" s="675" t="s">
        <v>250</v>
      </c>
      <c r="C28" s="693">
        <f>IF(C27&lt;0,0,(C27*$C$4))</f>
        <v>0</v>
      </c>
      <c r="D28" s="694">
        <f t="shared" ref="D28:M28" si="6">IF(D27&lt;0,0,(D27*$C$4))</f>
        <v>0</v>
      </c>
      <c r="E28" s="694">
        <f t="shared" si="6"/>
        <v>0</v>
      </c>
      <c r="F28" s="694">
        <f t="shared" si="6"/>
        <v>0</v>
      </c>
      <c r="G28" s="694">
        <f t="shared" si="6"/>
        <v>0</v>
      </c>
      <c r="H28" s="694">
        <f t="shared" si="6"/>
        <v>0</v>
      </c>
      <c r="I28" s="694">
        <f t="shared" si="6"/>
        <v>0</v>
      </c>
      <c r="J28" s="694">
        <f t="shared" si="6"/>
        <v>0</v>
      </c>
      <c r="K28" s="694">
        <f t="shared" si="6"/>
        <v>0</v>
      </c>
      <c r="L28" s="694">
        <f t="shared" si="6"/>
        <v>0</v>
      </c>
      <c r="M28" s="695">
        <f t="shared" si="6"/>
        <v>0</v>
      </c>
      <c r="N28" s="242"/>
    </row>
    <row r="29" spans="2:14" ht="19.899999999999999" customHeight="1" thickBot="1" x14ac:dyDescent="0.25">
      <c r="B29" s="676" t="s">
        <v>251</v>
      </c>
      <c r="C29" s="696">
        <f>+C22-C26-C28</f>
        <v>0</v>
      </c>
      <c r="D29" s="697">
        <f>+D22-D26-D28</f>
        <v>-73255741.341600001</v>
      </c>
      <c r="E29" s="697">
        <f t="shared" ref="E29:M29" si="7">+E22-E26-E28</f>
        <v>-85482819.673791781</v>
      </c>
      <c r="F29" s="697">
        <f t="shared" si="7"/>
        <v>-107424975.06995766</v>
      </c>
      <c r="G29" s="697">
        <f t="shared" si="7"/>
        <v>-114445650.25076611</v>
      </c>
      <c r="H29" s="697">
        <f t="shared" si="7"/>
        <v>-121688080.37465444</v>
      </c>
      <c r="I29" s="697">
        <f t="shared" si="7"/>
        <v>-127526722.90324077</v>
      </c>
      <c r="J29" s="697">
        <f t="shared" si="7"/>
        <v>-137980953.04787192</v>
      </c>
      <c r="K29" s="697">
        <f t="shared" si="7"/>
        <v>-146563703.62463582</v>
      </c>
      <c r="L29" s="697">
        <f t="shared" si="7"/>
        <v>-153454827.44762444</v>
      </c>
      <c r="M29" s="698">
        <f t="shared" si="7"/>
        <v>-161248827.06574714</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97037803.679377079</v>
      </c>
    </row>
    <row r="33" spans="2:4" ht="17.25" customHeight="1" x14ac:dyDescent="0.2">
      <c r="B33" s="653" t="s">
        <v>255</v>
      </c>
      <c r="C33" s="229">
        <f>+(NPV($C$3,D24:M24)+C24)</f>
        <v>468311414.14986426</v>
      </c>
    </row>
    <row r="34" spans="2:4" ht="19.899999999999999" customHeight="1" thickBot="1" x14ac:dyDescent="0.25">
      <c r="B34" s="677" t="s">
        <v>256</v>
      </c>
      <c r="C34" s="230">
        <f>(C33+C21+NPV($C$3,D21:M21))</f>
        <v>841888629.31080008</v>
      </c>
      <c r="D34" s="1450">
        <f>SUM(C21:M21,C26:M26)</f>
        <v>1821371411.6344728</v>
      </c>
    </row>
    <row r="35" spans="2:4" ht="17.100000000000001" customHeight="1" thickBot="1" x14ac:dyDescent="0.25">
      <c r="B35" s="676" t="s">
        <v>253</v>
      </c>
      <c r="C35" s="194">
        <f>IFERROR(C32/C34,0)</f>
        <v>0.11526204334035925</v>
      </c>
    </row>
    <row r="36" spans="2:4" ht="13.5" thickBot="1" x14ac:dyDescent="0.25"/>
    <row r="37" spans="2:4" ht="17.100000000000001" customHeight="1" thickBot="1" x14ac:dyDescent="0.25">
      <c r="B37" s="574" t="s">
        <v>532</v>
      </c>
      <c r="C37" s="195" t="str">
        <f>+IF(C35&lt;1,"Sin beneficio","Con beneficio")</f>
        <v>Sin beneficio</v>
      </c>
    </row>
  </sheetData>
  <mergeCells count="3">
    <mergeCell ref="C13:M13"/>
    <mergeCell ref="B2:C2"/>
    <mergeCell ref="B31:C31"/>
  </mergeCells>
  <conditionalFormatting sqref="C37">
    <cfRule type="containsText" dxfId="647" priority="1" operator="containsText" text="Sin beneficio">
      <formula>NOT(ISERROR(SEARCH("Sin beneficio",C37)))</formula>
    </cfRule>
    <cfRule type="containsText" dxfId="646" priority="2" operator="containsText" text="Con beneficio">
      <formula>NOT(ISERROR(SEARCH("Con beneficio",C37)))</formula>
    </cfRule>
    <cfRule type="containsText" dxfId="645" priority="3" operator="containsText" text="Co beneficio">
      <formula>NOT(ISERROR(SEARCH("Co beneficio",C37)))</formula>
    </cfRule>
    <cfRule type="containsText" dxfId="644" priority="4" operator="containsText" text="Acepta">
      <formula>NOT(ISERROR(SEARCH("Acepta",C37)))</formula>
    </cfRule>
    <cfRule type="containsText" dxfId="643" priority="5" operator="containsText" text="Rechaza">
      <formula>NOT(ISERROR(SEARCH("Rechaza",C37)))</formula>
    </cfRule>
    <cfRule type="cellIs" dxfId="642" priority="6" operator="greaterThan">
      <formula>$C$34&gt;1</formula>
    </cfRule>
    <cfRule type="cellIs" dxfId="641" priority="7" operator="lessThan">
      <formula>$C$34&lt;1</formula>
    </cfRule>
    <cfRule type="cellIs" dxfId="64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{717A0620-C07F-EB47-A656-4382EEC8ACD4}</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7A0620-C07F-EB47-A656-4382EEC8ACD4}">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theme="4"/>
  </sheetPr>
  <dimension ref="B1:N37"/>
  <sheetViews>
    <sheetView showGridLines="0" topLeftCell="A6" zoomScale="85" zoomScaleNormal="85" workbookViewId="0">
      <selection activeCell="F32" sqref="F32"/>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6.62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98">
        <f>'BC TÉCNICO P1'!C6</f>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199">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FINANCIERO'!$D$6</f>
        <v>SECTORIZACIÓN</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5" t="s">
        <v>374</v>
      </c>
      <c r="C16" s="943">
        <f>C6</f>
        <v>2025</v>
      </c>
      <c r="D16" s="650">
        <f t="shared" ref="D16:M16" si="1">D6</f>
        <v>2026</v>
      </c>
      <c r="E16" s="650">
        <f t="shared" si="1"/>
        <v>2027</v>
      </c>
      <c r="F16" s="650">
        <f t="shared" si="1"/>
        <v>2028</v>
      </c>
      <c r="G16" s="650">
        <f t="shared" si="1"/>
        <v>2029</v>
      </c>
      <c r="H16" s="650">
        <f t="shared" si="1"/>
        <v>2030</v>
      </c>
      <c r="I16" s="650">
        <f t="shared" si="1"/>
        <v>2031</v>
      </c>
      <c r="J16" s="650">
        <f t="shared" si="1"/>
        <v>2032</v>
      </c>
      <c r="K16" s="650">
        <f t="shared" si="1"/>
        <v>2033</v>
      </c>
      <c r="L16" s="650">
        <f t="shared" si="1"/>
        <v>2034</v>
      </c>
      <c r="M16" s="1136">
        <f t="shared" si="1"/>
        <v>2035</v>
      </c>
    </row>
    <row r="17" spans="2:14" ht="16.149999999999999" customHeight="1" thickBot="1" x14ac:dyDescent="0.25">
      <c r="B17" s="1073" t="s">
        <v>538</v>
      </c>
      <c r="C17" s="1074">
        <f>+'EV PROG TÉCNICOS'!K57</f>
        <v>0</v>
      </c>
      <c r="D17" s="178">
        <f>+'EV PROG TÉCNICOS'!L57</f>
        <v>0</v>
      </c>
      <c r="E17" s="178">
        <f>+'EV PROG TÉCNICOS'!M57</f>
        <v>0</v>
      </c>
      <c r="F17" s="178">
        <f>+'EV PROG TÉCNICOS'!N57</f>
        <v>0</v>
      </c>
      <c r="G17" s="178">
        <f>+'EV PROG TÉCNICOS'!O57</f>
        <v>0</v>
      </c>
      <c r="H17" s="178">
        <f>+'EV PROG TÉCNICOS'!P57</f>
        <v>0</v>
      </c>
      <c r="I17" s="178">
        <f>+'EV PROG TÉCNICOS'!Q57</f>
        <v>0</v>
      </c>
      <c r="J17" s="178">
        <f>+'EV PROG TÉCNICOS'!R57</f>
        <v>0</v>
      </c>
      <c r="K17" s="178">
        <f>+'EV PROG TÉCNICOS'!S57</f>
        <v>0</v>
      </c>
      <c r="L17" s="178">
        <f>+'EV PROG TÉCNICOS'!T57</f>
        <v>0</v>
      </c>
      <c r="M17" s="179">
        <f>+'EV PROG TÉCNICOS'!U57</f>
        <v>0</v>
      </c>
    </row>
    <row r="18" spans="2:14" ht="16.149999999999999" customHeight="1" thickBot="1" x14ac:dyDescent="0.25">
      <c r="B18" s="1073" t="s">
        <v>997</v>
      </c>
      <c r="C18" s="1074">
        <f>+C17</f>
        <v>0</v>
      </c>
      <c r="D18" s="178">
        <f>+C18+D17</f>
        <v>0</v>
      </c>
      <c r="E18" s="178">
        <f t="shared" ref="E18:M18" si="2">+D18+E17</f>
        <v>0</v>
      </c>
      <c r="F18" s="178">
        <f t="shared" si="2"/>
        <v>0</v>
      </c>
      <c r="G18" s="178">
        <f t="shared" si="2"/>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650">
        <f>C6</f>
        <v>2025</v>
      </c>
      <c r="D20" s="650">
        <f t="shared" ref="D20:M20" si="3">D6</f>
        <v>2026</v>
      </c>
      <c r="E20" s="650">
        <f t="shared" si="3"/>
        <v>2027</v>
      </c>
      <c r="F20" s="650">
        <f t="shared" si="3"/>
        <v>2028</v>
      </c>
      <c r="G20" s="650">
        <f t="shared" si="3"/>
        <v>2029</v>
      </c>
      <c r="H20" s="650">
        <f t="shared" si="3"/>
        <v>2030</v>
      </c>
      <c r="I20" s="650">
        <f t="shared" si="3"/>
        <v>2031</v>
      </c>
      <c r="J20" s="650">
        <f t="shared" si="3"/>
        <v>2032</v>
      </c>
      <c r="K20" s="650">
        <f t="shared" si="3"/>
        <v>2033</v>
      </c>
      <c r="L20" s="650">
        <f t="shared" si="3"/>
        <v>2034</v>
      </c>
      <c r="M20" s="650">
        <f t="shared" si="3"/>
        <v>2035</v>
      </c>
      <c r="N20" s="650" t="s">
        <v>995</v>
      </c>
    </row>
    <row r="21" spans="2:14" ht="17.25" customHeight="1" x14ac:dyDescent="0.2">
      <c r="B21" s="190" t="s">
        <v>246</v>
      </c>
      <c r="C21" s="231">
        <f>+'RESUMEN FINANCIERO'!H7</f>
        <v>0</v>
      </c>
      <c r="D21" s="232">
        <f>+'RESUMEN FINANCIERO'!I7</f>
        <v>568627368.92639828</v>
      </c>
      <c r="E21" s="232">
        <f>+'RESUMEN FINANCIERO'!J7</f>
        <v>859109327.06257272</v>
      </c>
      <c r="F21" s="232">
        <f>+'RESUMEN FINANCIERO'!K7</f>
        <v>718416608.20283031</v>
      </c>
      <c r="G21" s="232">
        <f>+'RESUMEN FINANCIERO'!L7</f>
        <v>1276339375.3652217</v>
      </c>
      <c r="H21" s="232">
        <f>+'RESUMEN FINANCIERO'!M7</f>
        <v>364628429.7660867</v>
      </c>
      <c r="I21" s="232">
        <f>+'RESUMEN FINANCIERO'!N7</f>
        <v>133735083.28086235</v>
      </c>
      <c r="J21" s="232">
        <f>+'RESUMEN FINANCIERO'!O7</f>
        <v>0</v>
      </c>
      <c r="K21" s="232">
        <f>+'RESUMEN FINANCIERO'!P7</f>
        <v>0</v>
      </c>
      <c r="L21" s="232">
        <f>+'RESUMEN FINANCIERO'!Q7</f>
        <v>0</v>
      </c>
      <c r="M21" s="233">
        <f>+'RESUMEN FINANCIERO'!R7</f>
        <v>0</v>
      </c>
      <c r="N21" s="233"/>
    </row>
    <row r="22" spans="2:14" ht="33" customHeight="1" x14ac:dyDescent="0.2">
      <c r="B22" s="669" t="s">
        <v>873</v>
      </c>
      <c r="C22" s="691">
        <f>((C18*(C7+C8+C9+C10))*PARÁMETROS!$C$6)</f>
        <v>0</v>
      </c>
      <c r="D22" s="686">
        <f>((D18*(D7+D8+D9+D10))*PARÁMETROS!$C$6)</f>
        <v>0</v>
      </c>
      <c r="E22" s="686">
        <f>((E18*(E7+E8+E9+E10))*PARÁMETROS!$C$6)</f>
        <v>0</v>
      </c>
      <c r="F22" s="686">
        <f>((F18*(F7+F8+F9+F10))*PARÁMETROS!$C$6)</f>
        <v>0</v>
      </c>
      <c r="G22" s="686">
        <f>((G18*(G7+G8+G9+G10))*PARÁMETROS!$C$6)</f>
        <v>0</v>
      </c>
      <c r="H22" s="686">
        <f>((H18*(H7+H8+H9+H10))*PARÁMETROS!$C$6)</f>
        <v>0</v>
      </c>
      <c r="I22" s="686">
        <f>((I18*(I7+I8+I9+I10))*PARÁMETROS!$C$6)</f>
        <v>0</v>
      </c>
      <c r="J22" s="686">
        <f>((J18*(J7+J8+J9+J10))*PARÁMETROS!$C$6)</f>
        <v>0</v>
      </c>
      <c r="K22" s="686">
        <f>((K18*(K7+K8+K9+K10))*PARÁMETROS!$C$6)</f>
        <v>0</v>
      </c>
      <c r="L22" s="686">
        <f>((L18*(L7+L8+L9+L10))*PARÁMETROS!$C$6)</f>
        <v>0</v>
      </c>
      <c r="M22" s="687">
        <f>((M18*(M7+M8+M9+M10))*PARÁMETROS!$C$6)</f>
        <v>0</v>
      </c>
      <c r="N22" s="687">
        <f>'RESUMEN FINANCIERO'!I221+M22*(1+G)/(C3-G)</f>
        <v>3364650529.6044903</v>
      </c>
    </row>
    <row r="23" spans="2:14" ht="19.899999999999999" customHeight="1" x14ac:dyDescent="0.2">
      <c r="B23" s="183" t="s">
        <v>546</v>
      </c>
      <c r="C23" s="234"/>
      <c r="D23" s="235">
        <f>+'RESUMEN FINANCIERO'!H97</f>
        <v>0</v>
      </c>
      <c r="E23" s="235">
        <f>+'RESUMEN FINANCIERO'!I97</f>
        <v>24722929.083756447</v>
      </c>
      <c r="F23" s="235">
        <f>+'RESUMEN FINANCIERO'!J97</f>
        <v>62075508.521259606</v>
      </c>
      <c r="G23" s="235">
        <f>+'RESUMEN FINANCIERO'!K97</f>
        <v>93311013.225730494</v>
      </c>
      <c r="H23" s="235">
        <f>+'RESUMEN FINANCIERO'!L97</f>
        <v>148804029.54595754</v>
      </c>
      <c r="I23" s="235">
        <f>+'RESUMEN FINANCIERO'!M97</f>
        <v>164657439.5357874</v>
      </c>
      <c r="J23" s="235">
        <f>+'RESUMEN FINANCIERO'!N97</f>
        <v>170472008.37408575</v>
      </c>
      <c r="K23" s="235">
        <f>+'RESUMEN FINANCIERO'!O97</f>
        <v>170472008.37408575</v>
      </c>
      <c r="L23" s="235">
        <f>+'RESUMEN FINANCIERO'!P97</f>
        <v>170472008.37408575</v>
      </c>
      <c r="M23" s="236">
        <f>+'RESUMEN FINANCIERO'!Q97</f>
        <v>170472008.37408575</v>
      </c>
      <c r="N23" s="236"/>
    </row>
    <row r="24" spans="2:14" ht="17.25" customHeight="1" x14ac:dyDescent="0.2">
      <c r="B24" s="183" t="s">
        <v>247</v>
      </c>
      <c r="C24" s="234">
        <f>+'RESUMEN FINANCIERO'!H6</f>
        <v>0</v>
      </c>
      <c r="D24" s="235">
        <f>+'RESUMEN FINANCIERO'!I6</f>
        <v>119825945.96206667</v>
      </c>
      <c r="E24" s="235">
        <f>+'RESUMEN FINANCIERO'!J6</f>
        <v>176796993.35691556</v>
      </c>
      <c r="F24" s="235">
        <f>+'RESUMEN FINANCIERO'!K6</f>
        <v>229177716.60595244</v>
      </c>
      <c r="G24" s="235">
        <f>+'RESUMEN FINANCIERO'!L6</f>
        <v>271105248.7601034</v>
      </c>
      <c r="H24" s="235">
        <f>+'RESUMEN FINANCIERO'!M6</f>
        <v>340956162.37325311</v>
      </c>
      <c r="I24" s="235">
        <f>+'RESUMEN FINANCIERO'!N6</f>
        <v>396041260.18268508</v>
      </c>
      <c r="J24" s="235">
        <f>+'RESUMEN FINANCIERO'!O6</f>
        <v>408185895.10178488</v>
      </c>
      <c r="K24" s="235">
        <f>+'RESUMEN FINANCIERO'!P6</f>
        <v>431370772.30638731</v>
      </c>
      <c r="L24" s="235">
        <f>+'RESUMEN FINANCIERO'!Q6</f>
        <v>455872545.89923561</v>
      </c>
      <c r="M24" s="236">
        <f>+'RESUMEN FINANCIERO'!R6</f>
        <v>481766015.33180308</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119825945.96206667</v>
      </c>
      <c r="E26" s="238">
        <f t="shared" si="4"/>
        <v>201519922.44067201</v>
      </c>
      <c r="F26" s="238">
        <f t="shared" si="4"/>
        <v>291253225.12721205</v>
      </c>
      <c r="G26" s="238">
        <f t="shared" si="4"/>
        <v>364416261.98583388</v>
      </c>
      <c r="H26" s="238">
        <f t="shared" si="4"/>
        <v>489760191.91921067</v>
      </c>
      <c r="I26" s="238">
        <f t="shared" si="4"/>
        <v>560698699.71847248</v>
      </c>
      <c r="J26" s="238">
        <f t="shared" si="4"/>
        <v>578657903.47587061</v>
      </c>
      <c r="K26" s="238">
        <f t="shared" si="4"/>
        <v>601842780.68047309</v>
      </c>
      <c r="L26" s="238">
        <f t="shared" si="4"/>
        <v>626344554.27332139</v>
      </c>
      <c r="M26" s="239">
        <f t="shared" si="4"/>
        <v>652238023.70588887</v>
      </c>
      <c r="N26" s="239"/>
    </row>
    <row r="27" spans="2:14" ht="18" customHeight="1" x14ac:dyDescent="0.2">
      <c r="B27" s="183" t="s">
        <v>249</v>
      </c>
      <c r="C27" s="234">
        <f>+C22-C26</f>
        <v>0</v>
      </c>
      <c r="D27" s="235">
        <f t="shared" ref="D27:M27" si="5">+D22-D26</f>
        <v>-119825945.96206667</v>
      </c>
      <c r="E27" s="235">
        <f t="shared" si="5"/>
        <v>-201519922.44067201</v>
      </c>
      <c r="F27" s="235">
        <f t="shared" si="5"/>
        <v>-291253225.12721205</v>
      </c>
      <c r="G27" s="235">
        <f t="shared" si="5"/>
        <v>-364416261.98583388</v>
      </c>
      <c r="H27" s="235">
        <f t="shared" si="5"/>
        <v>-489760191.91921067</v>
      </c>
      <c r="I27" s="235">
        <f t="shared" si="5"/>
        <v>-560698699.71847248</v>
      </c>
      <c r="J27" s="235">
        <f t="shared" si="5"/>
        <v>-578657903.47587061</v>
      </c>
      <c r="K27" s="235">
        <f t="shared" si="5"/>
        <v>-601842780.68047309</v>
      </c>
      <c r="L27" s="235">
        <f t="shared" si="5"/>
        <v>-626344554.27332139</v>
      </c>
      <c r="M27" s="236">
        <f t="shared" si="5"/>
        <v>-652238023.70588887</v>
      </c>
      <c r="N27" s="236"/>
    </row>
    <row r="28" spans="2:14" ht="19.899999999999999" customHeight="1" thickBot="1" x14ac:dyDescent="0.25">
      <c r="B28" s="165" t="s">
        <v>250</v>
      </c>
      <c r="C28" s="240">
        <f>IF(C27&lt;0,0,(C27*$C$4))</f>
        <v>0</v>
      </c>
      <c r="D28" s="241">
        <f t="shared" ref="D28:M28" si="6">IF(D27&lt;0,0,(D27*$C$4))</f>
        <v>0</v>
      </c>
      <c r="E28" s="241">
        <f t="shared" si="6"/>
        <v>0</v>
      </c>
      <c r="F28" s="241">
        <f t="shared" si="6"/>
        <v>0</v>
      </c>
      <c r="G28" s="241">
        <f t="shared" si="6"/>
        <v>0</v>
      </c>
      <c r="H28" s="241">
        <f t="shared" si="6"/>
        <v>0</v>
      </c>
      <c r="I28" s="241">
        <f t="shared" si="6"/>
        <v>0</v>
      </c>
      <c r="J28" s="241">
        <f t="shared" si="6"/>
        <v>0</v>
      </c>
      <c r="K28" s="241">
        <f t="shared" si="6"/>
        <v>0</v>
      </c>
      <c r="L28" s="241">
        <f t="shared" si="6"/>
        <v>0</v>
      </c>
      <c r="M28" s="242">
        <f t="shared" si="6"/>
        <v>0</v>
      </c>
      <c r="N28" s="242"/>
    </row>
    <row r="29" spans="2:14" ht="19.899999999999999" customHeight="1" thickBot="1" x14ac:dyDescent="0.25">
      <c r="B29" s="181" t="s">
        <v>251</v>
      </c>
      <c r="C29" s="243">
        <f>+C22-C26-C28</f>
        <v>0</v>
      </c>
      <c r="D29" s="226">
        <f>+D22-D26-D28</f>
        <v>-119825945.96206667</v>
      </c>
      <c r="E29" s="226">
        <f t="shared" ref="E29:M29" si="7">+E22-E26-E28</f>
        <v>-201519922.44067201</v>
      </c>
      <c r="F29" s="226">
        <f t="shared" si="7"/>
        <v>-291253225.12721205</v>
      </c>
      <c r="G29" s="226">
        <f t="shared" si="7"/>
        <v>-364416261.98583388</v>
      </c>
      <c r="H29" s="226">
        <f t="shared" si="7"/>
        <v>-489760191.91921067</v>
      </c>
      <c r="I29" s="226">
        <f t="shared" si="7"/>
        <v>-560698699.71847248</v>
      </c>
      <c r="J29" s="226">
        <f t="shared" si="7"/>
        <v>-578657903.47587061</v>
      </c>
      <c r="K29" s="226">
        <f t="shared" si="7"/>
        <v>-601842780.68047309</v>
      </c>
      <c r="L29" s="226">
        <f t="shared" si="7"/>
        <v>-626344554.27332139</v>
      </c>
      <c r="M29" s="227">
        <f t="shared" si="7"/>
        <v>-652238023.70588887</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640501509.6821388</v>
      </c>
    </row>
    <row r="33" spans="2:4" ht="17.25" customHeight="1" x14ac:dyDescent="0.2">
      <c r="B33" s="653" t="s">
        <v>255</v>
      </c>
      <c r="C33" s="229">
        <f>+(NPV($C$3,D24:M24)+C24)</f>
        <v>1343662236.4121675</v>
      </c>
    </row>
    <row r="34" spans="2:4" ht="19.899999999999999" customHeight="1" thickBot="1" x14ac:dyDescent="0.25">
      <c r="B34" s="677" t="s">
        <v>256</v>
      </c>
      <c r="C34" s="230">
        <f>(C33+C21+NPV($C$3,D21:M21))</f>
        <v>3848980803.1642323</v>
      </c>
      <c r="D34" s="1450">
        <f>SUM(C21:M21,C26:M26)</f>
        <v>8407413701.8929939</v>
      </c>
    </row>
    <row r="35" spans="2:4" ht="17.100000000000001" customHeight="1" thickBot="1" x14ac:dyDescent="0.25">
      <c r="B35" s="676" t="s">
        <v>253</v>
      </c>
      <c r="C35" s="194">
        <f>IFERROR(C32/C34,0)</f>
        <v>0.16640808110957192</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639" priority="1" operator="containsText" text="Sin beneficio">
      <formula>NOT(ISERROR(SEARCH("Sin beneficio",C37)))</formula>
    </cfRule>
    <cfRule type="containsText" dxfId="638" priority="2" operator="containsText" text="Con beneficio">
      <formula>NOT(ISERROR(SEARCH("Con beneficio",C37)))</formula>
    </cfRule>
    <cfRule type="containsText" dxfId="637" priority="3" operator="containsText" text="Co beneficio">
      <formula>NOT(ISERROR(SEARCH("Co beneficio",C37)))</formula>
    </cfRule>
    <cfRule type="containsText" dxfId="636" priority="4" operator="containsText" text="Acepta">
      <formula>NOT(ISERROR(SEARCH("Acepta",C37)))</formula>
    </cfRule>
    <cfRule type="containsText" dxfId="635" priority="5" operator="containsText" text="Rechaza">
      <formula>NOT(ISERROR(SEARCH("Rechaza",C37)))</formula>
    </cfRule>
    <cfRule type="cellIs" dxfId="634" priority="6" operator="greaterThan">
      <formula>$C$34&gt;1</formula>
    </cfRule>
    <cfRule type="cellIs" dxfId="633" priority="7" operator="lessThan">
      <formula>$C$34&lt;1</formula>
    </cfRule>
    <cfRule type="cellIs" dxfId="63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{AEF97307-0EC0-4049-A0F7-AD581A5B8A5D}</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EF97307-0EC0-4049-A0F7-AD581A5B8A5D}">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tabColor theme="4"/>
  </sheetPr>
  <dimension ref="B1:N41"/>
  <sheetViews>
    <sheetView showGridLines="0" topLeftCell="A6" zoomScale="85" zoomScaleNormal="85" workbookViewId="0">
      <selection activeCell="F32" sqref="F32"/>
    </sheetView>
  </sheetViews>
  <sheetFormatPr baseColWidth="10" defaultColWidth="11.375" defaultRowHeight="12.75" x14ac:dyDescent="0.2"/>
  <cols>
    <col min="1" max="1" width="3" style="86" customWidth="1"/>
    <col min="2" max="2" width="45.625" style="86" customWidth="1"/>
    <col min="3" max="3" width="15.625" style="86" customWidth="1"/>
    <col min="4" max="5" width="16.875" style="86" bestFit="1" customWidth="1"/>
    <col min="6" max="13" width="14.625" style="86" customWidth="1"/>
    <col min="14" max="14" width="15.2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98">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199">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FINANCIERO'!D8</f>
        <v>GESTIÓN DEL PLANO DE PRESIONES</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5" t="s">
        <v>374</v>
      </c>
      <c r="C16" s="943">
        <f>C6</f>
        <v>2025</v>
      </c>
      <c r="D16" s="650">
        <f t="shared" ref="D16:M16" si="1">D6</f>
        <v>2026</v>
      </c>
      <c r="E16" s="650">
        <f t="shared" si="1"/>
        <v>2027</v>
      </c>
      <c r="F16" s="650">
        <f t="shared" si="1"/>
        <v>2028</v>
      </c>
      <c r="G16" s="650">
        <f t="shared" si="1"/>
        <v>2029</v>
      </c>
      <c r="H16" s="650">
        <f t="shared" si="1"/>
        <v>2030</v>
      </c>
      <c r="I16" s="650">
        <f t="shared" si="1"/>
        <v>2031</v>
      </c>
      <c r="J16" s="650">
        <f t="shared" si="1"/>
        <v>2032</v>
      </c>
      <c r="K16" s="650">
        <f t="shared" si="1"/>
        <v>2033</v>
      </c>
      <c r="L16" s="650">
        <f t="shared" si="1"/>
        <v>2034</v>
      </c>
      <c r="M16" s="1136">
        <f t="shared" si="1"/>
        <v>2035</v>
      </c>
    </row>
    <row r="17" spans="2:14" ht="16.149999999999999" customHeight="1" thickBot="1" x14ac:dyDescent="0.25">
      <c r="B17" s="1073" t="s">
        <v>538</v>
      </c>
      <c r="C17" s="1074">
        <f>+'EV PROG TÉCNICOS'!K68</f>
        <v>0</v>
      </c>
      <c r="D17" s="178">
        <f>+'EV PROG TÉCNICOS'!L68</f>
        <v>519104.80000000005</v>
      </c>
      <c r="E17" s="178">
        <f>+'EV PROG TÉCNICOS'!M68</f>
        <v>2704381.3</v>
      </c>
      <c r="F17" s="178">
        <f>+'EV PROG TÉCNICOS'!N68</f>
        <v>1748041.8</v>
      </c>
      <c r="G17" s="178">
        <f>+'EV PROG TÉCNICOS'!O68</f>
        <v>0</v>
      </c>
      <c r="H17" s="178">
        <f>+'EV PROG TÉCNICOS'!P68</f>
        <v>0</v>
      </c>
      <c r="I17" s="178">
        <f>+'EV PROG TÉCNICOS'!Q68</f>
        <v>0</v>
      </c>
      <c r="J17" s="178">
        <f>+'EV PROG TÉCNICOS'!R68</f>
        <v>0</v>
      </c>
      <c r="K17" s="178">
        <f>+'EV PROG TÉCNICOS'!S68</f>
        <v>0</v>
      </c>
      <c r="L17" s="178">
        <f>+'EV PROG TÉCNICOS'!T68</f>
        <v>0</v>
      </c>
      <c r="M17" s="179">
        <f>+'EV PROG TÉCNICOS'!U68</f>
        <v>0</v>
      </c>
    </row>
    <row r="18" spans="2:14" ht="16.149999999999999" customHeight="1" thickBot="1" x14ac:dyDescent="0.25">
      <c r="B18" s="1073" t="s">
        <v>997</v>
      </c>
      <c r="C18" s="1074">
        <f>+C17</f>
        <v>0</v>
      </c>
      <c r="D18" s="178">
        <f>+C18+D17</f>
        <v>519104.80000000005</v>
      </c>
      <c r="E18" s="178">
        <f>+E17</f>
        <v>2704381.3</v>
      </c>
      <c r="F18" s="178">
        <f>+F17</f>
        <v>1748041.8</v>
      </c>
      <c r="G18" s="178">
        <f>+F18*50%+G17</f>
        <v>874020.9</v>
      </c>
      <c r="H18" s="178">
        <f t="shared" ref="H18:M18" si="2">+G18+H17</f>
        <v>874020.9</v>
      </c>
      <c r="I18" s="178">
        <f t="shared" si="2"/>
        <v>874020.9</v>
      </c>
      <c r="J18" s="178">
        <f t="shared" si="2"/>
        <v>874020.9</v>
      </c>
      <c r="K18" s="178">
        <f t="shared" si="2"/>
        <v>874020.9</v>
      </c>
      <c r="L18" s="178">
        <f t="shared" si="2"/>
        <v>874020.9</v>
      </c>
      <c r="M18" s="178">
        <f t="shared" si="2"/>
        <v>874020.9</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943">
        <f>C6</f>
        <v>2025</v>
      </c>
      <c r="D20" s="650">
        <f t="shared" ref="D20:M20" si="3">D6</f>
        <v>2026</v>
      </c>
      <c r="E20" s="650">
        <f t="shared" si="3"/>
        <v>2027</v>
      </c>
      <c r="F20" s="650">
        <f t="shared" si="3"/>
        <v>2028</v>
      </c>
      <c r="G20" s="650">
        <f t="shared" si="3"/>
        <v>2029</v>
      </c>
      <c r="H20" s="650">
        <f t="shared" si="3"/>
        <v>2030</v>
      </c>
      <c r="I20" s="650">
        <f t="shared" si="3"/>
        <v>2031</v>
      </c>
      <c r="J20" s="650">
        <f t="shared" si="3"/>
        <v>2032</v>
      </c>
      <c r="K20" s="650">
        <f t="shared" si="3"/>
        <v>2033</v>
      </c>
      <c r="L20" s="650">
        <f t="shared" si="3"/>
        <v>2034</v>
      </c>
      <c r="M20" s="650">
        <f t="shared" si="3"/>
        <v>2035</v>
      </c>
      <c r="N20" s="1136" t="s">
        <v>995</v>
      </c>
    </row>
    <row r="21" spans="2:14" ht="17.25" customHeight="1" x14ac:dyDescent="0.2">
      <c r="B21" s="190" t="s">
        <v>246</v>
      </c>
      <c r="C21" s="231">
        <f>'RESUMEN FINANCIERO'!H9</f>
        <v>0</v>
      </c>
      <c r="D21" s="232">
        <f>'RESUMEN FINANCIERO'!I9</f>
        <v>894981650.5986501</v>
      </c>
      <c r="E21" s="232">
        <f>'RESUMEN FINANCIERO'!J9</f>
        <v>1015334757.2139375</v>
      </c>
      <c r="F21" s="232">
        <f>'RESUMEN FINANCIERO'!K9</f>
        <v>709834884.21893704</v>
      </c>
      <c r="G21" s="232">
        <f>'RESUMEN FINANCIERO'!L9</f>
        <v>93232358.513064519</v>
      </c>
      <c r="H21" s="232">
        <f>'RESUMEN FINANCIERO'!M9</f>
        <v>110850269.83058606</v>
      </c>
      <c r="I21" s="232">
        <f>'RESUMEN FINANCIERO'!N9</f>
        <v>0</v>
      </c>
      <c r="J21" s="232">
        <f>'RESUMEN FINANCIERO'!O9</f>
        <v>0</v>
      </c>
      <c r="K21" s="232">
        <f>'RESUMEN FINANCIERO'!P9</f>
        <v>0</v>
      </c>
      <c r="L21" s="232">
        <f>'RESUMEN FINANCIERO'!Q9</f>
        <v>0</v>
      </c>
      <c r="M21" s="233">
        <f>'RESUMEN FINANCIERO'!R9</f>
        <v>0</v>
      </c>
      <c r="N21" s="233"/>
    </row>
    <row r="22" spans="2:14" ht="33" customHeight="1" x14ac:dyDescent="0.2">
      <c r="B22" s="669" t="s">
        <v>873</v>
      </c>
      <c r="C22" s="691">
        <f>((C18*(C7+C8+C9+C10))*PARÁMETROS!$C$6)</f>
        <v>0</v>
      </c>
      <c r="D22" s="686">
        <f>((D18*(D7+D8+D9+D10))*PARÁMETROS!$C$6)</f>
        <v>153501055.0048081</v>
      </c>
      <c r="E22" s="686">
        <f>((E18*(E7+E8+E9+E10))*PARÁMETROS!$C$6)</f>
        <v>828160571.2175765</v>
      </c>
      <c r="F22" s="686">
        <f>((F18*(F7+F8+F9+F10))*PARÁMETROS!$C$6)</f>
        <v>554355990.11651349</v>
      </c>
      <c r="G22" s="686">
        <f>((G18*(G7+G8+G9+G10))*PARÁMETROS!$C$6)</f>
        <v>287044384.16543114</v>
      </c>
      <c r="H22" s="686">
        <f>((H18*(H7+H8+H9+H10))*PARÁMETROS!$C$6)</f>
        <v>297261975.87797004</v>
      </c>
      <c r="I22" s="686">
        <f>((I18*(I7+I8+I9+I10))*PARÁMETROS!$C$6)</f>
        <v>307843271.5546456</v>
      </c>
      <c r="J22" s="686">
        <f>((J18*(J7+J8+J9+J10))*PARÁMETROS!$C$6)</f>
        <v>318801217.5508467</v>
      </c>
      <c r="K22" s="686">
        <f>((K18*(K7+K8+K9+K10))*PARÁMETROS!$C$6)</f>
        <v>330149221.05861616</v>
      </c>
      <c r="L22" s="686">
        <f>((L18*(L7+L8+L9+L10))*PARÁMETROS!$C$6)</f>
        <v>341901166.51052767</v>
      </c>
      <c r="M22" s="687">
        <f>((M18*(M7+M8+M9+M10))*PARÁMETROS!$C$6)</f>
        <v>354071432.56747311</v>
      </c>
      <c r="N22" s="687">
        <f>'RESUMEN FINANCIERO'!J221+M22*(1+G)/(C3-G)</f>
        <v>6133630881.4511433</v>
      </c>
    </row>
    <row r="23" spans="2:14" ht="19.899999999999999" customHeight="1" x14ac:dyDescent="0.2">
      <c r="B23" s="183" t="s">
        <v>546</v>
      </c>
      <c r="C23" s="234"/>
      <c r="D23" s="235">
        <f>+'RESUMEN FINANCIERO'!H98</f>
        <v>0</v>
      </c>
      <c r="E23" s="235">
        <f>+'RESUMEN FINANCIERO'!I98</f>
        <v>25570904.302818574</v>
      </c>
      <c r="F23" s="235">
        <f>+'RESUMEN FINANCIERO'!J98</f>
        <v>54580468.794645362</v>
      </c>
      <c r="G23" s="235">
        <f>+'RESUMEN FINANCIERO'!K98</f>
        <v>74861465.486614987</v>
      </c>
      <c r="H23" s="235">
        <f>+'RESUMEN FINANCIERO'!L98</f>
        <v>77525247.158416837</v>
      </c>
      <c r="I23" s="235">
        <f>+'RESUMEN FINANCIERO'!M98</f>
        <v>80692397.725005016</v>
      </c>
      <c r="J23" s="235">
        <f>+'RESUMEN FINANCIERO'!N98</f>
        <v>80692397.725005016</v>
      </c>
      <c r="K23" s="235">
        <f>+'RESUMEN FINANCIERO'!O98</f>
        <v>80692397.725005016</v>
      </c>
      <c r="L23" s="235">
        <f>+'RESUMEN FINANCIERO'!P98</f>
        <v>80692397.725005016</v>
      </c>
      <c r="M23" s="236">
        <f>+'RESUMEN FINANCIERO'!Q98</f>
        <v>80692397.725005016</v>
      </c>
      <c r="N23" s="236"/>
    </row>
    <row r="24" spans="2:14" ht="17.25" customHeight="1" x14ac:dyDescent="0.2">
      <c r="B24" s="183" t="s">
        <v>247</v>
      </c>
      <c r="C24" s="234">
        <f>+'RESUMEN FINANCIERO'!H8</f>
        <v>0</v>
      </c>
      <c r="D24" s="235">
        <f>+'RESUMEN FINANCIERO'!I8</f>
        <v>283797365.42737997</v>
      </c>
      <c r="E24" s="235">
        <f>+'RESUMEN FINANCIERO'!J8</f>
        <v>322031954.25237602</v>
      </c>
      <c r="F24" s="235">
        <f>+'RESUMEN FINANCIERO'!K8</f>
        <v>405718434.69165069</v>
      </c>
      <c r="G24" s="235">
        <f>+'RESUMEN FINANCIERO'!L8</f>
        <v>410879827.69024026</v>
      </c>
      <c r="H24" s="235">
        <f>+'RESUMEN FINANCIERO'!M8</f>
        <v>265103161.76957124</v>
      </c>
      <c r="I24" s="235">
        <f>+'RESUMEN FINANCIERO'!N8</f>
        <v>126781742.3795628</v>
      </c>
      <c r="J24" s="235">
        <f>+'RESUMEN FINANCIERO'!O8</f>
        <v>159161684.15472707</v>
      </c>
      <c r="K24" s="235">
        <f>+'RESUMEN FINANCIERO'!P8</f>
        <v>147996867.2522684</v>
      </c>
      <c r="L24" s="235">
        <f>+'RESUMEN FINANCIERO'!Q8</f>
        <v>149543306.73623699</v>
      </c>
      <c r="M24" s="236">
        <f>+'RESUMEN FINANCIERO'!R8</f>
        <v>181896027.70648083</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283797365.42737997</v>
      </c>
      <c r="E26" s="238">
        <f t="shared" si="4"/>
        <v>347602858.55519462</v>
      </c>
      <c r="F26" s="238">
        <f t="shared" si="4"/>
        <v>460298903.48629606</v>
      </c>
      <c r="G26" s="238">
        <f t="shared" si="4"/>
        <v>485741293.17685527</v>
      </c>
      <c r="H26" s="238">
        <f t="shared" si="4"/>
        <v>342628408.92798805</v>
      </c>
      <c r="I26" s="238">
        <f t="shared" si="4"/>
        <v>207474140.10456783</v>
      </c>
      <c r="J26" s="238">
        <f t="shared" si="4"/>
        <v>239854081.87973207</v>
      </c>
      <c r="K26" s="238">
        <f t="shared" si="4"/>
        <v>228689264.9772734</v>
      </c>
      <c r="L26" s="238">
        <f t="shared" si="4"/>
        <v>230235704.46124202</v>
      </c>
      <c r="M26" s="239">
        <f t="shared" si="4"/>
        <v>262588425.43148583</v>
      </c>
      <c r="N26" s="239"/>
    </row>
    <row r="27" spans="2:14" ht="18" customHeight="1" x14ac:dyDescent="0.2">
      <c r="B27" s="183" t="s">
        <v>249</v>
      </c>
      <c r="C27" s="234">
        <f>+C22-C26</f>
        <v>0</v>
      </c>
      <c r="D27" s="235">
        <f t="shared" ref="D27:M27" si="5">+D22-D26</f>
        <v>-130296310.42257187</v>
      </c>
      <c r="E27" s="235">
        <f t="shared" si="5"/>
        <v>480557712.66238189</v>
      </c>
      <c r="F27" s="235">
        <f t="shared" si="5"/>
        <v>94057086.630217433</v>
      </c>
      <c r="G27" s="235">
        <f t="shared" si="5"/>
        <v>-198696909.01142412</v>
      </c>
      <c r="H27" s="235">
        <f t="shared" si="5"/>
        <v>-45366433.050018013</v>
      </c>
      <c r="I27" s="235">
        <f t="shared" si="5"/>
        <v>100369131.45007777</v>
      </c>
      <c r="J27" s="235">
        <f t="shared" si="5"/>
        <v>78947135.671114624</v>
      </c>
      <c r="K27" s="235">
        <f t="shared" si="5"/>
        <v>101459956.08134276</v>
      </c>
      <c r="L27" s="235">
        <f t="shared" si="5"/>
        <v>111665462.04928565</v>
      </c>
      <c r="M27" s="236">
        <f t="shared" si="5"/>
        <v>91483007.135987282</v>
      </c>
      <c r="N27" s="236"/>
    </row>
    <row r="28" spans="2:14" ht="19.899999999999999" customHeight="1" thickBot="1" x14ac:dyDescent="0.25">
      <c r="B28" s="165" t="s">
        <v>250</v>
      </c>
      <c r="C28" s="240">
        <f>IF(C27&lt;0,0,(C27*$C$4))</f>
        <v>0</v>
      </c>
      <c r="D28" s="241">
        <f t="shared" ref="D28:M28" si="6">IF(D27&lt;0,0,(D27*$C$4))</f>
        <v>0</v>
      </c>
      <c r="E28" s="241">
        <f t="shared" si="6"/>
        <v>168195199.43183365</v>
      </c>
      <c r="F28" s="241">
        <f t="shared" si="6"/>
        <v>32919980.320576098</v>
      </c>
      <c r="G28" s="241">
        <f t="shared" si="6"/>
        <v>0</v>
      </c>
      <c r="H28" s="241">
        <f t="shared" si="6"/>
        <v>0</v>
      </c>
      <c r="I28" s="241">
        <f t="shared" si="6"/>
        <v>35129196.007527217</v>
      </c>
      <c r="J28" s="241">
        <f t="shared" si="6"/>
        <v>27631497.484890118</v>
      </c>
      <c r="K28" s="241">
        <f t="shared" si="6"/>
        <v>35510984.628469959</v>
      </c>
      <c r="L28" s="241">
        <f t="shared" si="6"/>
        <v>39082911.717249975</v>
      </c>
      <c r="M28" s="242">
        <f t="shared" si="6"/>
        <v>32019052.497595545</v>
      </c>
      <c r="N28" s="242"/>
    </row>
    <row r="29" spans="2:14" ht="19.899999999999999" customHeight="1" thickBot="1" x14ac:dyDescent="0.25">
      <c r="B29" s="181" t="s">
        <v>251</v>
      </c>
      <c r="C29" s="973">
        <f>+C22-C26-C28</f>
        <v>0</v>
      </c>
      <c r="D29" s="226">
        <f>+D22-D26-D28</f>
        <v>-130296310.42257187</v>
      </c>
      <c r="E29" s="226">
        <f t="shared" ref="E29:M29" si="7">+E22-E26-E28</f>
        <v>312362513.23054826</v>
      </c>
      <c r="F29" s="226">
        <f t="shared" si="7"/>
        <v>61137106.309641331</v>
      </c>
      <c r="G29" s="226">
        <f t="shared" si="7"/>
        <v>-198696909.01142412</v>
      </c>
      <c r="H29" s="226">
        <f t="shared" si="7"/>
        <v>-45366433.050018013</v>
      </c>
      <c r="I29" s="226">
        <f t="shared" si="7"/>
        <v>65239935.442550555</v>
      </c>
      <c r="J29" s="226">
        <f t="shared" si="7"/>
        <v>51315638.186224505</v>
      </c>
      <c r="K29" s="226">
        <f t="shared" si="7"/>
        <v>65948971.452872798</v>
      </c>
      <c r="L29" s="226">
        <f t="shared" si="7"/>
        <v>72582550.332035676</v>
      </c>
      <c r="M29" s="227">
        <f t="shared" si="7"/>
        <v>59463954.638391733</v>
      </c>
      <c r="N29" s="227"/>
    </row>
    <row r="30" spans="2:14" ht="13.5" thickBot="1" x14ac:dyDescent="0.25"/>
    <row r="31" spans="2:14" ht="16.5" customHeight="1" thickBot="1" x14ac:dyDescent="0.25">
      <c r="B31" s="1762" t="s">
        <v>253</v>
      </c>
      <c r="C31" s="1794"/>
      <c r="D31" s="1068"/>
      <c r="E31" s="1068"/>
    </row>
    <row r="32" spans="2:14" ht="17.100000000000001" customHeight="1" x14ac:dyDescent="0.2">
      <c r="B32" s="652" t="s">
        <v>254</v>
      </c>
      <c r="C32" s="228">
        <f>+NPV($C$3,D22:N22)+C22</f>
        <v>3062327798.1525245</v>
      </c>
      <c r="D32" s="1069"/>
      <c r="E32" s="1069"/>
    </row>
    <row r="33" spans="2:13" ht="17.25" customHeight="1" x14ac:dyDescent="0.2">
      <c r="B33" s="653" t="s">
        <v>255</v>
      </c>
      <c r="C33" s="229">
        <f>+(NPV($C$3,D24:M24)+C24)</f>
        <v>1319551843.7566779</v>
      </c>
      <c r="D33" s="1069"/>
      <c r="E33" s="1069"/>
    </row>
    <row r="34" spans="2:13" ht="19.899999999999999" customHeight="1" thickBot="1" x14ac:dyDescent="0.25">
      <c r="B34" s="677" t="s">
        <v>256</v>
      </c>
      <c r="C34" s="230">
        <f>(C33+C21+NPV($C$3,D21:M21))</f>
        <v>3394901471.387517</v>
      </c>
      <c r="D34" s="1450">
        <f>SUM(C21:M21,C26:M26)</f>
        <v>5913144366.8031902</v>
      </c>
      <c r="E34" s="1069"/>
    </row>
    <row r="35" spans="2:13" ht="17.100000000000001" customHeight="1" thickBot="1" x14ac:dyDescent="0.25">
      <c r="B35" s="676" t="s">
        <v>253</v>
      </c>
      <c r="C35" s="194">
        <f>IFERROR(C32/C34,0)</f>
        <v>0.90203731211702365</v>
      </c>
      <c r="D35" s="1070"/>
      <c r="E35" s="1070"/>
    </row>
    <row r="36" spans="2:13" ht="13.5" thickBot="1" x14ac:dyDescent="0.25"/>
    <row r="37" spans="2:13" ht="17.100000000000001" customHeight="1" thickBot="1" x14ac:dyDescent="0.25">
      <c r="B37" s="160" t="s">
        <v>532</v>
      </c>
      <c r="C37" s="195" t="str">
        <f>+IF(C35&lt;1,"Sin beneficio","Con beneficio")</f>
        <v>Sin beneficio</v>
      </c>
    </row>
    <row r="41" spans="2:13" x14ac:dyDescent="0.2">
      <c r="D41" s="1067"/>
      <c r="E41" s="1067"/>
      <c r="F41" s="1067"/>
      <c r="G41" s="1067"/>
      <c r="H41" s="1067"/>
      <c r="I41" s="1067"/>
      <c r="J41" s="1067"/>
      <c r="K41" s="1067"/>
      <c r="L41" s="1067"/>
      <c r="M41" s="1067"/>
    </row>
  </sheetData>
  <mergeCells count="3">
    <mergeCell ref="B2:C2"/>
    <mergeCell ref="C13:M13"/>
    <mergeCell ref="B31:C31"/>
  </mergeCells>
  <conditionalFormatting sqref="C37">
    <cfRule type="containsText" dxfId="631" priority="1" operator="containsText" text="Sin beneficio">
      <formula>NOT(ISERROR(SEARCH("Sin beneficio",C37)))</formula>
    </cfRule>
    <cfRule type="containsText" dxfId="630" priority="2" operator="containsText" text="Con beneficio">
      <formula>NOT(ISERROR(SEARCH("Con beneficio",C37)))</formula>
    </cfRule>
    <cfRule type="containsText" dxfId="629" priority="3" operator="containsText" text="Co beneficio">
      <formula>NOT(ISERROR(SEARCH("Co beneficio",C37)))</formula>
    </cfRule>
    <cfRule type="containsText" dxfId="628" priority="4" operator="containsText" text="Acepta">
      <formula>NOT(ISERROR(SEARCH("Acepta",C37)))</formula>
    </cfRule>
    <cfRule type="containsText" dxfId="627" priority="5" operator="containsText" text="Rechaza">
      <formula>NOT(ISERROR(SEARCH("Rechaza",C37)))</formula>
    </cfRule>
    <cfRule type="cellIs" dxfId="626" priority="6" operator="greaterThan">
      <formula>$C$34&gt;1</formula>
    </cfRule>
    <cfRule type="cellIs" dxfId="625" priority="7" operator="lessThan">
      <formula>$C$34&lt;1</formula>
    </cfRule>
    <cfRule type="cellIs" dxfId="62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{22953500-D7A3-AD48-8BB3-56B3402BC32F}</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2953500-D7A3-AD48-8BB3-56B3402BC32F}">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4"/>
  </sheetPr>
  <dimension ref="B1:N37"/>
  <sheetViews>
    <sheetView showGridLines="0" topLeftCell="A8" zoomScale="85" zoomScaleNormal="85" workbookViewId="0">
      <selection activeCell="C33" sqref="C33"/>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5">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FINANCIERO'!D10</f>
        <v>IMPERMEABILIZACIÓN DE TANQUES</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6">
        <f>C6</f>
        <v>2025</v>
      </c>
      <c r="D16" s="1037">
        <f t="shared" ref="D16:M16" si="1">D6</f>
        <v>2026</v>
      </c>
      <c r="E16" s="1037">
        <f t="shared" si="1"/>
        <v>2027</v>
      </c>
      <c r="F16" s="1037">
        <f t="shared" si="1"/>
        <v>2028</v>
      </c>
      <c r="G16" s="1037">
        <f t="shared" si="1"/>
        <v>2029</v>
      </c>
      <c r="H16" s="1037">
        <f t="shared" si="1"/>
        <v>2030</v>
      </c>
      <c r="I16" s="1037">
        <f t="shared" si="1"/>
        <v>2031</v>
      </c>
      <c r="J16" s="1037">
        <f t="shared" si="1"/>
        <v>2032</v>
      </c>
      <c r="K16" s="1037">
        <f t="shared" si="1"/>
        <v>2033</v>
      </c>
      <c r="L16" s="1037">
        <f t="shared" si="1"/>
        <v>2034</v>
      </c>
      <c r="M16" s="1032">
        <f t="shared" si="1"/>
        <v>2035</v>
      </c>
    </row>
    <row r="17" spans="2:14" ht="16.149999999999999" customHeight="1" thickBot="1" x14ac:dyDescent="0.25">
      <c r="B17" s="1073" t="s">
        <v>538</v>
      </c>
      <c r="C17" s="1074">
        <f>+'EV PROG TÉCNICOS'!K79</f>
        <v>0</v>
      </c>
      <c r="D17" s="178">
        <f>+'EV PROG TÉCNICOS'!L79</f>
        <v>0</v>
      </c>
      <c r="E17" s="178">
        <f>+'EV PROG TÉCNICOS'!M79</f>
        <v>3844.62</v>
      </c>
      <c r="F17" s="178">
        <f>+'EV PROG TÉCNICOS'!N79</f>
        <v>2283.2999999999997</v>
      </c>
      <c r="G17" s="178">
        <f>+'EV PROG TÉCNICOS'!O79</f>
        <v>4158.8999999999996</v>
      </c>
      <c r="H17" s="178">
        <f>+'EV PROG TÉCNICOS'!P79</f>
        <v>2170</v>
      </c>
      <c r="I17" s="178">
        <f>+'EV PROG TÉCNICOS'!Q79</f>
        <v>2607</v>
      </c>
      <c r="J17" s="178">
        <f>+'EV PROG TÉCNICOS'!R79</f>
        <v>2000</v>
      </c>
      <c r="K17" s="178">
        <f>+'EV PROG TÉCNICOS'!S79</f>
        <v>2000</v>
      </c>
      <c r="L17" s="178">
        <f>+'EV PROG TÉCNICOS'!T79</f>
        <v>2000</v>
      </c>
      <c r="M17" s="179">
        <f>+'EV PROG TÉCNICOS'!U79</f>
        <v>2000</v>
      </c>
    </row>
    <row r="18" spans="2:14" ht="16.149999999999999" customHeight="1" thickBot="1" x14ac:dyDescent="0.25">
      <c r="B18" s="1073" t="s">
        <v>997</v>
      </c>
      <c r="C18" s="1074">
        <f>+C17</f>
        <v>0</v>
      </c>
      <c r="D18" s="178">
        <f>+C18+D17</f>
        <v>0</v>
      </c>
      <c r="E18" s="178">
        <f t="shared" ref="E18:J18" si="2">+D18+E17</f>
        <v>3844.62</v>
      </c>
      <c r="F18" s="178">
        <f t="shared" si="2"/>
        <v>6127.92</v>
      </c>
      <c r="G18" s="178">
        <f t="shared" si="2"/>
        <v>10286.82</v>
      </c>
      <c r="H18" s="178">
        <f t="shared" si="2"/>
        <v>12456.82</v>
      </c>
      <c r="I18" s="178">
        <f t="shared" si="2"/>
        <v>15063.82</v>
      </c>
      <c r="J18" s="178">
        <f t="shared" si="2"/>
        <v>17063.82</v>
      </c>
      <c r="K18" s="178">
        <f>+J18*50%+K17</f>
        <v>10531.91</v>
      </c>
      <c r="L18" s="178">
        <f>K18+L17</f>
        <v>12531.91</v>
      </c>
      <c r="M18" s="179">
        <f>L18+M17</f>
        <v>14531.91</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6">
        <f>C6</f>
        <v>2025</v>
      </c>
      <c r="D20" s="1037">
        <f t="shared" ref="D20:M20" si="3">D6</f>
        <v>2026</v>
      </c>
      <c r="E20" s="1037">
        <f t="shared" si="3"/>
        <v>2027</v>
      </c>
      <c r="F20" s="1037">
        <f t="shared" si="3"/>
        <v>2028</v>
      </c>
      <c r="G20" s="1037">
        <f t="shared" si="3"/>
        <v>2029</v>
      </c>
      <c r="H20" s="1037">
        <f t="shared" si="3"/>
        <v>2030</v>
      </c>
      <c r="I20" s="1037">
        <f t="shared" si="3"/>
        <v>2031</v>
      </c>
      <c r="J20" s="1037">
        <f t="shared" si="3"/>
        <v>2032</v>
      </c>
      <c r="K20" s="1037">
        <f t="shared" si="3"/>
        <v>2033</v>
      </c>
      <c r="L20" s="1037">
        <f t="shared" si="3"/>
        <v>2034</v>
      </c>
      <c r="M20" s="1032">
        <f t="shared" si="3"/>
        <v>2035</v>
      </c>
      <c r="N20" s="650" t="s">
        <v>995</v>
      </c>
    </row>
    <row r="21" spans="2:14" ht="17.25" customHeight="1" x14ac:dyDescent="0.2">
      <c r="B21" s="190" t="s">
        <v>246</v>
      </c>
      <c r="C21" s="231">
        <f>+'RESUMEN FINANCIERO'!H11</f>
        <v>0</v>
      </c>
      <c r="D21" s="232">
        <f>+'RESUMEN FINANCIERO'!I11</f>
        <v>7221555.1303999992</v>
      </c>
      <c r="E21" s="232">
        <f>+'RESUMEN FINANCIERO'!J11</f>
        <v>47729868.432724625</v>
      </c>
      <c r="F21" s="232">
        <f>+'RESUMEN FINANCIERO'!K11</f>
        <v>42257581.343545668</v>
      </c>
      <c r="G21" s="232">
        <f>+'RESUMEN FINANCIERO'!L11</f>
        <v>51534720.760039322</v>
      </c>
      <c r="H21" s="232">
        <f>+'RESUMEN FINANCIERO'!M11</f>
        <v>13611951.464568583</v>
      </c>
      <c r="I21" s="232">
        <f>+'RESUMEN FINANCIERO'!N11</f>
        <v>19470324.947528441</v>
      </c>
      <c r="J21" s="232">
        <f>+'RESUMEN FINANCIERO'!O11</f>
        <v>12248284.422990512</v>
      </c>
      <c r="K21" s="232">
        <f>+'RESUMEN FINANCIERO'!P11</f>
        <v>12684272.640551461</v>
      </c>
      <c r="L21" s="232">
        <f>+'RESUMEN FINANCIERO'!Q11</f>
        <v>13135780.23366636</v>
      </c>
      <c r="M21" s="233">
        <f>+'RESUMEN FINANCIERO'!R11</f>
        <v>13603359.627854714</v>
      </c>
      <c r="N21" s="233"/>
    </row>
    <row r="22" spans="2:14" ht="33" customHeight="1" x14ac:dyDescent="0.2">
      <c r="B22" s="669" t="s">
        <v>873</v>
      </c>
      <c r="C22" s="691">
        <f>((C18*(C7+C8+C9+C10))*PARÁMETROS!$C$6)</f>
        <v>0</v>
      </c>
      <c r="D22" s="686">
        <f>((D18*(D7+D8+D9+D10))*PARÁMETROS!$C$6)</f>
        <v>0</v>
      </c>
      <c r="E22" s="686">
        <f>((E18*(E7+E8+E9+E10))*PARÁMETROS!$C$6)</f>
        <v>1177334.9768815956</v>
      </c>
      <c r="F22" s="686">
        <f>((F18*(F7+F8+F9+F10))*PARÁMETROS!$C$6)</f>
        <v>1943345.4960600974</v>
      </c>
      <c r="G22" s="686">
        <f>((G18*(G7+G8+G9+G10))*PARÁMETROS!$C$6)</f>
        <v>3378379.0661306158</v>
      </c>
      <c r="H22" s="686">
        <f>((H18*(H7+H8+H9+H10))*PARÁMETROS!$C$6)</f>
        <v>4236670.9152563903</v>
      </c>
      <c r="I22" s="686">
        <f>((I18*(I7+I8+I9+I10))*PARÁMETROS!$C$6)</f>
        <v>5305703.365800865</v>
      </c>
      <c r="J22" s="686">
        <f>((J18*(J7+J8+J9+J10))*PARÁMETROS!$C$6)</f>
        <v>6224069.2322900845</v>
      </c>
      <c r="K22" s="686">
        <f>((K18*(K7+K8+K9+K10))*PARÁMETROS!$C$6)</f>
        <v>3978282.3073904184</v>
      </c>
      <c r="L22" s="686">
        <f>((L18*(L7+L8+L9+L10))*PARÁMETROS!$C$6)</f>
        <v>4902256.5108053442</v>
      </c>
      <c r="M22" s="687">
        <f>((M18*(M7+M8+M9+M10))*PARÁMETROS!$C$6)</f>
        <v>5886969.2837340478</v>
      </c>
      <c r="N22" s="687">
        <f>'RESUMEN FINANCIERO'!K221+M22*(1+G)/(C3-G)</f>
        <v>281993399.15991199</v>
      </c>
    </row>
    <row r="23" spans="2:14" ht="19.899999999999999" customHeight="1" x14ac:dyDescent="0.2">
      <c r="B23" s="183" t="s">
        <v>546</v>
      </c>
      <c r="C23" s="234"/>
      <c r="D23" s="235">
        <f>+'RESUMEN FINANCIERO'!H99</f>
        <v>0</v>
      </c>
      <c r="E23" s="235">
        <f>+'RESUMEN FINANCIERO'!I99</f>
        <v>160479.00289777777</v>
      </c>
      <c r="F23" s="235">
        <f>+'RESUMEN FINANCIERO'!J99</f>
        <v>1221142.745847214</v>
      </c>
      <c r="G23" s="235">
        <f>+'RESUMEN FINANCIERO'!K99</f>
        <v>2160200.109037118</v>
      </c>
      <c r="H23" s="235">
        <f>+'RESUMEN FINANCIERO'!L99</f>
        <v>3305416.1259268806</v>
      </c>
      <c r="I23" s="235">
        <f>+'RESUMEN FINANCIERO'!M99</f>
        <v>3607903.936250627</v>
      </c>
      <c r="J23" s="235">
        <f>+'RESUMEN FINANCIERO'!N99</f>
        <v>4040577.8239734811</v>
      </c>
      <c r="K23" s="235">
        <f>+'RESUMEN FINANCIERO'!O99</f>
        <v>4312761.9222621592</v>
      </c>
      <c r="L23" s="235">
        <f>+'RESUMEN FINANCIERO'!P99</f>
        <v>4594634.6476077475</v>
      </c>
      <c r="M23" s="236">
        <f>+'RESUMEN FINANCIERO'!Q99</f>
        <v>4886540.8750225557</v>
      </c>
      <c r="N23" s="236"/>
    </row>
    <row r="24" spans="2:14" ht="17.25" customHeight="1" x14ac:dyDescent="0.2">
      <c r="B24" s="183" t="s">
        <v>247</v>
      </c>
      <c r="C24" s="234">
        <f>+'RESUMEN FINANCIERO'!H10</f>
        <v>0</v>
      </c>
      <c r="D24" s="235">
        <f>+'RESUMEN FINANCIERO'!I10</f>
        <v>0</v>
      </c>
      <c r="E24" s="235">
        <f>+'RESUMEN FINANCIERO'!J10</f>
        <v>0</v>
      </c>
      <c r="F24" s="235">
        <f>+'RESUMEN FINANCIERO'!K10</f>
        <v>0</v>
      </c>
      <c r="G24" s="235">
        <f>+'RESUMEN FINANCIERO'!L10</f>
        <v>0</v>
      </c>
      <c r="H24" s="235">
        <f>+'RESUMEN FINANCIERO'!M10</f>
        <v>0</v>
      </c>
      <c r="I24" s="235">
        <f>+'RESUMEN FINANCIERO'!N10</f>
        <v>0</v>
      </c>
      <c r="J24" s="235">
        <f>+'RESUMEN FINANCIERO'!O10</f>
        <v>0</v>
      </c>
      <c r="K24" s="235">
        <f>+'RESUMEN FINANCIERO'!P10</f>
        <v>0</v>
      </c>
      <c r="L24" s="235">
        <f>+'RESUMEN FINANCIERO'!Q10</f>
        <v>0</v>
      </c>
      <c r="M24" s="236">
        <f>+'RESUMEN FINANCIERO'!R10</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160479.00289777777</v>
      </c>
      <c r="F26" s="238">
        <f t="shared" si="4"/>
        <v>1221142.745847214</v>
      </c>
      <c r="G26" s="238">
        <f t="shared" si="4"/>
        <v>2160200.109037118</v>
      </c>
      <c r="H26" s="238">
        <f t="shared" si="4"/>
        <v>3305416.1259268806</v>
      </c>
      <c r="I26" s="238">
        <f t="shared" si="4"/>
        <v>3607903.936250627</v>
      </c>
      <c r="J26" s="238">
        <f t="shared" si="4"/>
        <v>4040577.8239734811</v>
      </c>
      <c r="K26" s="238">
        <f t="shared" si="4"/>
        <v>4312761.9222621592</v>
      </c>
      <c r="L26" s="238">
        <f t="shared" si="4"/>
        <v>4594634.6476077475</v>
      </c>
      <c r="M26" s="239">
        <f t="shared" si="4"/>
        <v>4886540.8750225557</v>
      </c>
      <c r="N26" s="239"/>
    </row>
    <row r="27" spans="2:14" ht="18" customHeight="1" x14ac:dyDescent="0.2">
      <c r="B27" s="183" t="s">
        <v>249</v>
      </c>
      <c r="C27" s="234">
        <f>+C22-C26</f>
        <v>0</v>
      </c>
      <c r="D27" s="235">
        <f t="shared" ref="D27:M27" si="5">+D22-D26</f>
        <v>0</v>
      </c>
      <c r="E27" s="235">
        <f t="shared" si="5"/>
        <v>1016855.9739838177</v>
      </c>
      <c r="F27" s="235">
        <f t="shared" si="5"/>
        <v>722202.75021288334</v>
      </c>
      <c r="G27" s="235">
        <f t="shared" si="5"/>
        <v>1218178.9570934977</v>
      </c>
      <c r="H27" s="235">
        <f t="shared" si="5"/>
        <v>931254.78932950972</v>
      </c>
      <c r="I27" s="235">
        <f t="shared" si="5"/>
        <v>1697799.429550238</v>
      </c>
      <c r="J27" s="235">
        <f t="shared" si="5"/>
        <v>2183491.4083166034</v>
      </c>
      <c r="K27" s="235">
        <f t="shared" si="5"/>
        <v>-334479.61487174081</v>
      </c>
      <c r="L27" s="235">
        <f t="shared" si="5"/>
        <v>307621.86319759674</v>
      </c>
      <c r="M27" s="236">
        <f t="shared" si="5"/>
        <v>1000428.4087114921</v>
      </c>
      <c r="N27" s="236"/>
    </row>
    <row r="28" spans="2:14" ht="19.899999999999999" customHeight="1" thickBot="1" x14ac:dyDescent="0.25">
      <c r="B28" s="165" t="s">
        <v>250</v>
      </c>
      <c r="C28" s="240">
        <f>IF(C27&lt;0,0,(C27*$C$4))</f>
        <v>0</v>
      </c>
      <c r="D28" s="241">
        <f t="shared" ref="D28:M28" si="6">IF(D27&lt;0,0,(D27*$C$4))</f>
        <v>0</v>
      </c>
      <c r="E28" s="241">
        <f t="shared" si="6"/>
        <v>355899.59089433617</v>
      </c>
      <c r="F28" s="241">
        <f t="shared" si="6"/>
        <v>252770.96257450915</v>
      </c>
      <c r="G28" s="241">
        <f t="shared" si="6"/>
        <v>426362.63498272421</v>
      </c>
      <c r="H28" s="241">
        <f t="shared" si="6"/>
        <v>325939.17626532837</v>
      </c>
      <c r="I28" s="241">
        <f t="shared" si="6"/>
        <v>594229.80034258321</v>
      </c>
      <c r="J28" s="241">
        <f t="shared" si="6"/>
        <v>764221.9929108111</v>
      </c>
      <c r="K28" s="241">
        <f t="shared" si="6"/>
        <v>0</v>
      </c>
      <c r="L28" s="241">
        <f t="shared" si="6"/>
        <v>107667.65211915885</v>
      </c>
      <c r="M28" s="242">
        <f t="shared" si="6"/>
        <v>350149.94304902223</v>
      </c>
      <c r="N28" s="242"/>
    </row>
    <row r="29" spans="2:14" ht="19.899999999999999" customHeight="1" thickBot="1" x14ac:dyDescent="0.25">
      <c r="B29" s="181" t="s">
        <v>251</v>
      </c>
      <c r="C29" s="243">
        <f>+C22-C26-C28</f>
        <v>0</v>
      </c>
      <c r="D29" s="226">
        <f>+D22-D26-D28</f>
        <v>0</v>
      </c>
      <c r="E29" s="226">
        <f t="shared" ref="E29:M29" si="7">+E22-E26-E28</f>
        <v>660956.38308948162</v>
      </c>
      <c r="F29" s="226">
        <f t="shared" si="7"/>
        <v>469431.7876383742</v>
      </c>
      <c r="G29" s="226">
        <f t="shared" si="7"/>
        <v>791816.32211077353</v>
      </c>
      <c r="H29" s="226">
        <f t="shared" si="7"/>
        <v>605315.61306418129</v>
      </c>
      <c r="I29" s="226">
        <f t="shared" si="7"/>
        <v>1103569.6292076549</v>
      </c>
      <c r="J29" s="226">
        <f t="shared" si="7"/>
        <v>1419269.4154057922</v>
      </c>
      <c r="K29" s="226">
        <f t="shared" si="7"/>
        <v>-334479.61487174081</v>
      </c>
      <c r="L29" s="226">
        <f t="shared" si="7"/>
        <v>199954.21107843789</v>
      </c>
      <c r="M29" s="227">
        <f t="shared" si="7"/>
        <v>650278.46566246985</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67697118.033011258</v>
      </c>
    </row>
    <row r="33" spans="2:4" ht="17.25" customHeight="1" x14ac:dyDescent="0.2">
      <c r="B33" s="653" t="s">
        <v>255</v>
      </c>
      <c r="C33" s="229">
        <f>+(NPV($C$3,D24:M24)+C24)</f>
        <v>0</v>
      </c>
    </row>
    <row r="34" spans="2:4" ht="19.899999999999999" customHeight="1" thickBot="1" x14ac:dyDescent="0.25">
      <c r="B34" s="677" t="s">
        <v>256</v>
      </c>
      <c r="C34" s="230">
        <f>(C33+C21+NPV($C$3,D21:M21))</f>
        <v>125317226.95549992</v>
      </c>
      <c r="D34" s="1450">
        <f>SUM(C21:M21,C26:M26)</f>
        <v>261787356.19269526</v>
      </c>
    </row>
    <row r="35" spans="2:4" ht="17.100000000000001" customHeight="1" thickBot="1" x14ac:dyDescent="0.25">
      <c r="B35" s="676" t="s">
        <v>253</v>
      </c>
      <c r="C35" s="194">
        <f>IFERROR(C32/C34,0)</f>
        <v>0.54020600102370975</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623" priority="1" operator="containsText" text="Sin beneficio">
      <formula>NOT(ISERROR(SEARCH("Sin beneficio",C37)))</formula>
    </cfRule>
    <cfRule type="containsText" dxfId="622" priority="2" operator="containsText" text="Con beneficio">
      <formula>NOT(ISERROR(SEARCH("Con beneficio",C37)))</formula>
    </cfRule>
    <cfRule type="containsText" dxfId="621" priority="3" operator="containsText" text="Co beneficio">
      <formula>NOT(ISERROR(SEARCH("Co beneficio",C37)))</formula>
    </cfRule>
    <cfRule type="containsText" dxfId="620" priority="4" operator="containsText" text="Acepta">
      <formula>NOT(ISERROR(SEARCH("Acepta",C37)))</formula>
    </cfRule>
    <cfRule type="containsText" dxfId="619" priority="5" operator="containsText" text="Rechaza">
      <formula>NOT(ISERROR(SEARCH("Rechaza",C37)))</formula>
    </cfRule>
    <cfRule type="cellIs" dxfId="618" priority="6" operator="greaterThan">
      <formula>$C$34&gt;1</formula>
    </cfRule>
    <cfRule type="cellIs" dxfId="617" priority="7" operator="lessThan">
      <formula>$C$34&lt;1</formula>
    </cfRule>
    <cfRule type="cellIs" dxfId="61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{1133C6DF-223E-CA42-8BBD-61DBCD2A1A46}</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133C6DF-223E-CA42-8BBD-61DBCD2A1A46}">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tabColor theme="4"/>
  </sheetPr>
  <dimension ref="B1:N37"/>
  <sheetViews>
    <sheetView showGridLines="0" topLeftCell="A8" zoomScale="85" zoomScaleNormal="85" workbookViewId="0">
      <selection activeCell="F37" sqref="F37"/>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4.2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5">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FINANCIERO'!D12</f>
        <v>ATENCIÓN DE DAÑOS</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5" t="s">
        <v>374</v>
      </c>
      <c r="C16" s="1036">
        <f t="shared" ref="C16:M16" si="1">C6</f>
        <v>2025</v>
      </c>
      <c r="D16" s="1037">
        <f t="shared" si="1"/>
        <v>2026</v>
      </c>
      <c r="E16" s="1037">
        <f t="shared" si="1"/>
        <v>2027</v>
      </c>
      <c r="F16" s="1037">
        <f t="shared" si="1"/>
        <v>2028</v>
      </c>
      <c r="G16" s="1037">
        <f t="shared" si="1"/>
        <v>2029</v>
      </c>
      <c r="H16" s="1037">
        <f t="shared" si="1"/>
        <v>2030</v>
      </c>
      <c r="I16" s="1037">
        <f t="shared" si="1"/>
        <v>2031</v>
      </c>
      <c r="J16" s="1037">
        <f t="shared" si="1"/>
        <v>2032</v>
      </c>
      <c r="K16" s="1037">
        <f t="shared" si="1"/>
        <v>2033</v>
      </c>
      <c r="L16" s="1037">
        <f t="shared" si="1"/>
        <v>2034</v>
      </c>
      <c r="M16" s="1032">
        <f t="shared" si="1"/>
        <v>2035</v>
      </c>
    </row>
    <row r="17" spans="2:14" ht="16.149999999999999" customHeight="1" thickBot="1" x14ac:dyDescent="0.25">
      <c r="B17" s="1073" t="s">
        <v>538</v>
      </c>
      <c r="C17" s="1074">
        <f>+'EV PROG TÉCNICOS'!K81</f>
        <v>0</v>
      </c>
      <c r="D17" s="178">
        <f>+'EV PROG TÉCNICOS'!L81</f>
        <v>328034.92604797322</v>
      </c>
      <c r="E17" s="178">
        <f>+'EV PROG TÉCNICOS'!M81</f>
        <v>190974.54283528461</v>
      </c>
      <c r="F17" s="178">
        <f>+'EV PROG TÉCNICOS'!N81</f>
        <v>253892.48362568399</v>
      </c>
      <c r="G17" s="178">
        <f>+'EV PROG TÉCNICOS'!O81</f>
        <v>0</v>
      </c>
      <c r="H17" s="178">
        <f>+'EV PROG TÉCNICOS'!P81</f>
        <v>0</v>
      </c>
      <c r="I17" s="178">
        <f>+'EV PROG TÉCNICOS'!Q81</f>
        <v>0</v>
      </c>
      <c r="J17" s="178">
        <f>+'EV PROG TÉCNICOS'!R81</f>
        <v>0</v>
      </c>
      <c r="K17" s="178">
        <f>+'EV PROG TÉCNICOS'!S81</f>
        <v>0</v>
      </c>
      <c r="L17" s="178">
        <f>+'EV PROG TÉCNICOS'!T81</f>
        <v>0</v>
      </c>
      <c r="M17" s="179">
        <f>+'EV PROG TÉCNICOS'!U81</f>
        <v>0</v>
      </c>
    </row>
    <row r="18" spans="2:14" ht="16.149999999999999" customHeight="1" thickBot="1" x14ac:dyDescent="0.25">
      <c r="B18" s="1073" t="s">
        <v>997</v>
      </c>
      <c r="C18" s="1074">
        <f>+C17</f>
        <v>0</v>
      </c>
      <c r="D18" s="178">
        <f>+C18+D17</f>
        <v>328034.92604797322</v>
      </c>
      <c r="E18" s="178">
        <f t="shared" ref="E18:M18" si="2">+D18+E17</f>
        <v>519009.46888325782</v>
      </c>
      <c r="F18" s="178">
        <f t="shared" si="2"/>
        <v>772901.95250894176</v>
      </c>
      <c r="G18" s="178">
        <f>+F18*50%+G17</f>
        <v>386450.97625447088</v>
      </c>
      <c r="H18" s="178">
        <f t="shared" si="2"/>
        <v>386450.97625447088</v>
      </c>
      <c r="I18" s="178">
        <f t="shared" si="2"/>
        <v>386450.97625447088</v>
      </c>
      <c r="J18" s="178">
        <f t="shared" si="2"/>
        <v>386450.97625447088</v>
      </c>
      <c r="K18" s="178">
        <f t="shared" si="2"/>
        <v>386450.97625447088</v>
      </c>
      <c r="L18" s="178">
        <f t="shared" si="2"/>
        <v>386450.97625447088</v>
      </c>
      <c r="M18" s="179">
        <f t="shared" si="2"/>
        <v>386450.97625447088</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6">
        <f>C6</f>
        <v>2025</v>
      </c>
      <c r="D20" s="1037">
        <f t="shared" ref="D20:M20" si="3">D6</f>
        <v>2026</v>
      </c>
      <c r="E20" s="1037">
        <f t="shared" si="3"/>
        <v>2027</v>
      </c>
      <c r="F20" s="1037">
        <f t="shared" si="3"/>
        <v>2028</v>
      </c>
      <c r="G20" s="1037">
        <f t="shared" si="3"/>
        <v>2029</v>
      </c>
      <c r="H20" s="1037">
        <f t="shared" si="3"/>
        <v>2030</v>
      </c>
      <c r="I20" s="1037">
        <f t="shared" si="3"/>
        <v>2031</v>
      </c>
      <c r="J20" s="1037">
        <f t="shared" si="3"/>
        <v>2032</v>
      </c>
      <c r="K20" s="1037">
        <f t="shared" si="3"/>
        <v>2033</v>
      </c>
      <c r="L20" s="1037">
        <f t="shared" si="3"/>
        <v>2034</v>
      </c>
      <c r="M20" s="1032">
        <f t="shared" si="3"/>
        <v>2035</v>
      </c>
      <c r="N20" s="650" t="s">
        <v>995</v>
      </c>
    </row>
    <row r="21" spans="2:14" ht="17.25" customHeight="1" x14ac:dyDescent="0.2">
      <c r="B21" s="190" t="s">
        <v>246</v>
      </c>
      <c r="C21" s="231">
        <f>+'RESUMEN FINANCIERO'!H13</f>
        <v>0</v>
      </c>
      <c r="D21" s="232">
        <f>+'RESUMEN FINANCIERO'!I13</f>
        <v>356828064.42943609</v>
      </c>
      <c r="E21" s="232">
        <f>+'RESUMEN FINANCIERO'!J13</f>
        <v>369529666.25493723</v>
      </c>
      <c r="F21" s="232">
        <f>+'RESUMEN FINANCIERO'!K13</f>
        <v>382683392.52079463</v>
      </c>
      <c r="G21" s="232">
        <f>+'RESUMEN FINANCIERO'!L13</f>
        <v>396305336.98528993</v>
      </c>
      <c r="H21" s="232">
        <f>+'RESUMEN FINANCIERO'!M13</f>
        <v>410412166.27787113</v>
      </c>
      <c r="I21" s="232">
        <f>+'RESUMEN FINANCIERO'!N13</f>
        <v>0</v>
      </c>
      <c r="J21" s="232">
        <f>+'RESUMEN FINANCIERO'!O13</f>
        <v>0</v>
      </c>
      <c r="K21" s="232">
        <f>+'RESUMEN FINANCIERO'!P13</f>
        <v>0</v>
      </c>
      <c r="L21" s="232">
        <f>+'RESUMEN FINANCIERO'!Q13</f>
        <v>0</v>
      </c>
      <c r="M21" s="233">
        <f>+'RESUMEN FINANCIERO'!R13</f>
        <v>0</v>
      </c>
      <c r="N21" s="233"/>
    </row>
    <row r="22" spans="2:14" ht="33" customHeight="1" x14ac:dyDescent="0.2">
      <c r="B22" s="669" t="s">
        <v>873</v>
      </c>
      <c r="C22" s="691">
        <f>((C18*(C7+C8+C9+C10))*PARÁMETROS!$C$6)</f>
        <v>0</v>
      </c>
      <c r="D22" s="686">
        <f>((D18*(D7+D8+D9+D10))*PARÁMETROS!$C$6)</f>
        <v>97001043.386206582</v>
      </c>
      <c r="E22" s="686">
        <f>((E18*(E7+E8+E9+E10))*PARÁMETROS!$C$6)</f>
        <v>158935863.89526132</v>
      </c>
      <c r="F22" s="686">
        <f>((F18*(F7+F8+F9+F10))*PARÁMETROS!$C$6)</f>
        <v>245110172.50621861</v>
      </c>
      <c r="G22" s="686">
        <f>((G18*(G7+G8+G9+G10))*PARÁMETROS!$C$6)</f>
        <v>126917539.9456629</v>
      </c>
      <c r="H22" s="686">
        <f>((H18*(H7+H8+H9+H10))*PARÁMETROS!$C$6)</f>
        <v>131435278.92911312</v>
      </c>
      <c r="I22" s="686">
        <f>((I18*(I7+I8+I9+I10))*PARÁMETROS!$C$6)</f>
        <v>136113830.71693477</v>
      </c>
      <c r="J22" s="686">
        <f>((J18*(J7+J8+J9+J10))*PARÁMETROS!$C$6)</f>
        <v>140958919.57919845</v>
      </c>
      <c r="K22" s="686">
        <f>((K18*(K7+K8+K9+K10))*PARÁMETROS!$C$6)</f>
        <v>145976473.54629084</v>
      </c>
      <c r="L22" s="686">
        <f>((L18*(L7+L8+L9+L10))*PARÁMETROS!$C$6)</f>
        <v>151172631.66193831</v>
      </c>
      <c r="M22" s="687">
        <f>((M18*(M7+M8+M9+M10))*PARÁMETROS!$C$6)</f>
        <v>156553751.49440822</v>
      </c>
      <c r="N22" s="687">
        <f>'RESUMEN FINANCIERO'!L221+M22*(1+G)/(C3-G)</f>
        <v>3842226280.4079537</v>
      </c>
    </row>
    <row r="23" spans="2:14" ht="19.899999999999999" customHeight="1" x14ac:dyDescent="0.2">
      <c r="B23" s="183" t="s">
        <v>546</v>
      </c>
      <c r="C23" s="234"/>
      <c r="D23" s="235">
        <f>+'RESUMEN FINANCIERO'!H100</f>
        <v>0</v>
      </c>
      <c r="E23" s="235">
        <f>+'RESUMEN FINANCIERO'!I100</f>
        <v>0</v>
      </c>
      <c r="F23" s="235">
        <f>+'RESUMEN FINANCIERO'!J100</f>
        <v>0</v>
      </c>
      <c r="G23" s="235">
        <f>+'RESUMEN FINANCIERO'!K100</f>
        <v>0</v>
      </c>
      <c r="H23" s="235">
        <f>+'RESUMEN FINANCIERO'!L100</f>
        <v>0</v>
      </c>
      <c r="I23" s="235">
        <f>+'RESUMEN FINANCIERO'!M100</f>
        <v>0</v>
      </c>
      <c r="J23" s="235">
        <f>+'RESUMEN FINANCIERO'!N100</f>
        <v>0</v>
      </c>
      <c r="K23" s="235">
        <f>+'RESUMEN FINANCIERO'!O100</f>
        <v>0</v>
      </c>
      <c r="L23" s="235">
        <f>+'RESUMEN FINANCIERO'!P100</f>
        <v>0</v>
      </c>
      <c r="M23" s="236">
        <f>+'RESUMEN FINANCIERO'!Q100</f>
        <v>0</v>
      </c>
      <c r="N23" s="236"/>
    </row>
    <row r="24" spans="2:14" ht="17.25" customHeight="1" x14ac:dyDescent="0.2">
      <c r="B24" s="183" t="s">
        <v>247</v>
      </c>
      <c r="C24" s="234">
        <f>+'RESUMEN FINANCIERO'!H12</f>
        <v>0</v>
      </c>
      <c r="D24" s="235">
        <f>+'RESUMEN FINANCIERO'!I12</f>
        <v>0</v>
      </c>
      <c r="E24" s="235">
        <f>+'RESUMEN FINANCIERO'!J12</f>
        <v>0</v>
      </c>
      <c r="F24" s="235">
        <f>+'RESUMEN FINANCIERO'!K12</f>
        <v>0</v>
      </c>
      <c r="G24" s="235">
        <f>+'RESUMEN FINANCIERO'!L12</f>
        <v>0</v>
      </c>
      <c r="H24" s="235">
        <f>+'RESUMEN FINANCIERO'!M12</f>
        <v>0</v>
      </c>
      <c r="I24" s="235">
        <f>+'RESUMEN FINANCIERO'!N12</f>
        <v>0</v>
      </c>
      <c r="J24" s="235">
        <f>+'RESUMEN FINANCIERO'!O12</f>
        <v>0</v>
      </c>
      <c r="K24" s="235">
        <f>+'RESUMEN FINANCIERO'!P12</f>
        <v>0</v>
      </c>
      <c r="L24" s="235">
        <f>+'RESUMEN FINANCIERO'!Q12</f>
        <v>0</v>
      </c>
      <c r="M24" s="236">
        <f>+'RESUMEN FINANCIERO'!R12</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f>+C22-C26</f>
        <v>0</v>
      </c>
      <c r="D27" s="235">
        <f t="shared" ref="D27:M27" si="5">+D22-D26</f>
        <v>97001043.386206582</v>
      </c>
      <c r="E27" s="235">
        <f t="shared" si="5"/>
        <v>158935863.89526132</v>
      </c>
      <c r="F27" s="235">
        <f t="shared" si="5"/>
        <v>245110172.50621861</v>
      </c>
      <c r="G27" s="235">
        <f t="shared" si="5"/>
        <v>126917539.9456629</v>
      </c>
      <c r="H27" s="235">
        <f t="shared" si="5"/>
        <v>131435278.92911312</v>
      </c>
      <c r="I27" s="235">
        <f t="shared" si="5"/>
        <v>136113830.71693477</v>
      </c>
      <c r="J27" s="235">
        <f t="shared" si="5"/>
        <v>140958919.57919845</v>
      </c>
      <c r="K27" s="235">
        <f t="shared" si="5"/>
        <v>145976473.54629084</v>
      </c>
      <c r="L27" s="235">
        <f t="shared" si="5"/>
        <v>151172631.66193831</v>
      </c>
      <c r="M27" s="236">
        <f t="shared" si="5"/>
        <v>156553751.49440822</v>
      </c>
      <c r="N27" s="236"/>
    </row>
    <row r="28" spans="2:14" ht="19.899999999999999" customHeight="1" thickBot="1" x14ac:dyDescent="0.25">
      <c r="B28" s="165" t="s">
        <v>250</v>
      </c>
      <c r="C28" s="240">
        <f>IF(C27&lt;0,0,(C27*$C$4))</f>
        <v>0</v>
      </c>
      <c r="D28" s="241">
        <f t="shared" ref="D28:M28" si="6">IF(D27&lt;0,0,(D27*$C$4))</f>
        <v>33950365.185172305</v>
      </c>
      <c r="E28" s="241">
        <f t="shared" si="6"/>
        <v>55627552.363341458</v>
      </c>
      <c r="F28" s="241">
        <f t="shared" si="6"/>
        <v>85788560.377176508</v>
      </c>
      <c r="G28" s="241">
        <f t="shared" si="6"/>
        <v>44421138.980982013</v>
      </c>
      <c r="H28" s="241">
        <f t="shared" si="6"/>
        <v>46002347.625189587</v>
      </c>
      <c r="I28" s="241">
        <f t="shared" si="6"/>
        <v>47639840.750927165</v>
      </c>
      <c r="J28" s="241">
        <f t="shared" si="6"/>
        <v>49335621.852719456</v>
      </c>
      <c r="K28" s="241">
        <f t="shared" si="6"/>
        <v>51091765.741201796</v>
      </c>
      <c r="L28" s="241">
        <f t="shared" si="6"/>
        <v>52910421.081678405</v>
      </c>
      <c r="M28" s="242">
        <f t="shared" si="6"/>
        <v>54793813.023042873</v>
      </c>
      <c r="N28" s="242"/>
    </row>
    <row r="29" spans="2:14" ht="19.899999999999999" customHeight="1" thickBot="1" x14ac:dyDescent="0.25">
      <c r="B29" s="181" t="s">
        <v>251</v>
      </c>
      <c r="C29" s="243">
        <f>+C22-C26-C28</f>
        <v>0</v>
      </c>
      <c r="D29" s="226">
        <f>+D22-D26-D28</f>
        <v>63050678.201034278</v>
      </c>
      <c r="E29" s="226">
        <f t="shared" ref="E29:M29" si="7">+E22-E26-E28</f>
        <v>103308311.53191987</v>
      </c>
      <c r="F29" s="226">
        <f t="shared" si="7"/>
        <v>159321612.12904209</v>
      </c>
      <c r="G29" s="226">
        <f t="shared" si="7"/>
        <v>82496400.96468088</v>
      </c>
      <c r="H29" s="226">
        <f t="shared" si="7"/>
        <v>85432931.303923532</v>
      </c>
      <c r="I29" s="226">
        <f t="shared" si="7"/>
        <v>88473989.966007605</v>
      </c>
      <c r="J29" s="226">
        <f t="shared" si="7"/>
        <v>91623297.726478994</v>
      </c>
      <c r="K29" s="226">
        <f t="shared" si="7"/>
        <v>94884707.805089056</v>
      </c>
      <c r="L29" s="226">
        <f t="shared" si="7"/>
        <v>98262210.580259904</v>
      </c>
      <c r="M29" s="227">
        <f t="shared" si="7"/>
        <v>101759938.47136535</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1440941976.2528784</v>
      </c>
    </row>
    <row r="33" spans="2:4" ht="17.25" customHeight="1" x14ac:dyDescent="0.2">
      <c r="B33" s="653" t="s">
        <v>255</v>
      </c>
      <c r="C33" s="229">
        <f>+(NPV($C$3,D24:M24)+C24)</f>
        <v>0</v>
      </c>
    </row>
    <row r="34" spans="2:4" ht="19.899999999999999" customHeight="1" thickBot="1" x14ac:dyDescent="0.25">
      <c r="B34" s="677" t="s">
        <v>256</v>
      </c>
      <c r="C34" s="230">
        <f>(C33+C21+NPV($C$3,D21:M21))</f>
        <v>1233505101.0616004</v>
      </c>
      <c r="D34" s="1450"/>
    </row>
    <row r="35" spans="2:4" ht="17.100000000000001" customHeight="1" thickBot="1" x14ac:dyDescent="0.25">
      <c r="B35" s="676" t="s">
        <v>253</v>
      </c>
      <c r="C35" s="194">
        <f>IFERROR(C32/C34,0)</f>
        <v>1.1681686399292148</v>
      </c>
    </row>
    <row r="36" spans="2:4" ht="13.5" thickBot="1" x14ac:dyDescent="0.25"/>
    <row r="37" spans="2:4" ht="17.100000000000001" customHeight="1" thickBot="1" x14ac:dyDescent="0.25">
      <c r="B37" s="160" t="s">
        <v>532</v>
      </c>
      <c r="C37" s="195" t="str">
        <f>+IF(C35&lt;1,"Sin beneficio","Con beneficio")</f>
        <v>Con beneficio</v>
      </c>
    </row>
  </sheetData>
  <mergeCells count="3">
    <mergeCell ref="B2:C2"/>
    <mergeCell ref="C13:M13"/>
    <mergeCell ref="B31:C31"/>
  </mergeCells>
  <conditionalFormatting sqref="C37">
    <cfRule type="containsText" dxfId="615" priority="1" operator="containsText" text="Sin beneficio">
      <formula>NOT(ISERROR(SEARCH("Sin beneficio",C37)))</formula>
    </cfRule>
    <cfRule type="containsText" dxfId="614" priority="2" operator="containsText" text="Con beneficio">
      <formula>NOT(ISERROR(SEARCH("Con beneficio",C37)))</formula>
    </cfRule>
    <cfRule type="containsText" dxfId="613" priority="3" operator="containsText" text="Co beneficio">
      <formula>NOT(ISERROR(SEARCH("Co beneficio",C37)))</formula>
    </cfRule>
    <cfRule type="containsText" dxfId="612" priority="4" operator="containsText" text="Acepta">
      <formula>NOT(ISERROR(SEARCH("Acepta",C37)))</formula>
    </cfRule>
    <cfRule type="containsText" dxfId="611" priority="5" operator="containsText" text="Rechaza">
      <formula>NOT(ISERROR(SEARCH("Rechaza",C37)))</formula>
    </cfRule>
    <cfRule type="cellIs" dxfId="610" priority="6" operator="greaterThan">
      <formula>$C$34&gt;1</formula>
    </cfRule>
    <cfRule type="cellIs" dxfId="609" priority="7" operator="lessThan">
      <formula>$C$34&lt;1</formula>
    </cfRule>
    <cfRule type="cellIs" dxfId="60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{9D3A8B34-13CB-F546-8B80-086A6CA3CBE2}</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9D3A8B34-13CB-F546-8B80-086A6CA3CBE2}">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tabColor theme="4"/>
  </sheetPr>
  <dimension ref="B1:N37"/>
  <sheetViews>
    <sheetView showGridLines="0" topLeftCell="A10" zoomScaleNormal="100" workbookViewId="0">
      <selection activeCell="E35" sqref="E35"/>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6.37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5">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FINANCIERO'!D14</f>
        <v>BÚSQUEDA SISTEMÁTICA DE FUGAS</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5" t="s">
        <v>374</v>
      </c>
      <c r="C16" s="1448">
        <f t="shared" ref="C16:M16" si="1">C6</f>
        <v>2025</v>
      </c>
      <c r="D16" s="1449">
        <f t="shared" si="1"/>
        <v>2026</v>
      </c>
      <c r="E16" s="1449">
        <f t="shared" si="1"/>
        <v>2027</v>
      </c>
      <c r="F16" s="1449">
        <f t="shared" si="1"/>
        <v>2028</v>
      </c>
      <c r="G16" s="1449">
        <f t="shared" si="1"/>
        <v>2029</v>
      </c>
      <c r="H16" s="1449">
        <f t="shared" si="1"/>
        <v>2030</v>
      </c>
      <c r="I16" s="1449">
        <f t="shared" si="1"/>
        <v>2031</v>
      </c>
      <c r="J16" s="1449">
        <f t="shared" si="1"/>
        <v>2032</v>
      </c>
      <c r="K16" s="1449">
        <f t="shared" si="1"/>
        <v>2033</v>
      </c>
      <c r="L16" s="1449">
        <f t="shared" si="1"/>
        <v>2034</v>
      </c>
      <c r="M16" s="1447">
        <f t="shared" si="1"/>
        <v>2035</v>
      </c>
    </row>
    <row r="17" spans="2:14" ht="16.149999999999999" customHeight="1" thickBot="1" x14ac:dyDescent="0.25">
      <c r="B17" s="1073" t="s">
        <v>538</v>
      </c>
      <c r="C17" s="1074">
        <f>+'EV PROG TÉCNICOS'!K83</f>
        <v>0</v>
      </c>
      <c r="D17" s="178">
        <f>+'EV PROG TÉCNICOS'!L83</f>
        <v>0</v>
      </c>
      <c r="E17" s="178">
        <f>+'EV PROG TÉCNICOS'!M83</f>
        <v>188842.53575319157</v>
      </c>
      <c r="F17" s="178">
        <f>+'EV PROG TÉCNICOS'!N83</f>
        <v>214680.01070341308</v>
      </c>
      <c r="G17" s="178">
        <f>+'EV PROG TÉCNICOS'!O83</f>
        <v>269504.84749802196</v>
      </c>
      <c r="H17" s="178">
        <f>+'EV PROG TÉCNICOS'!P83</f>
        <v>461738.29448519635</v>
      </c>
      <c r="I17" s="178">
        <f>+'EV PROG TÉCNICOS'!Q83</f>
        <v>499866.28566320776</v>
      </c>
      <c r="J17" s="178">
        <f>+'EV PROG TÉCNICOS'!R83</f>
        <v>367713.27115430206</v>
      </c>
      <c r="K17" s="178">
        <f>+'EV PROG TÉCNICOS'!S83</f>
        <v>706248.10308125056</v>
      </c>
      <c r="L17" s="178">
        <f>+'EV PROG TÉCNICOS'!T83</f>
        <v>422628.87534097966</v>
      </c>
      <c r="M17" s="179">
        <f>+'EV PROG TÉCNICOS'!U83</f>
        <v>531863.21803743194</v>
      </c>
    </row>
    <row r="18" spans="2:14" ht="16.149999999999999" customHeight="1" thickBot="1" x14ac:dyDescent="0.25">
      <c r="B18" s="1073" t="s">
        <v>997</v>
      </c>
      <c r="C18" s="1074">
        <f>+C17</f>
        <v>0</v>
      </c>
      <c r="D18" s="178">
        <f t="shared" ref="D18:I18" si="2">+C18+D17</f>
        <v>0</v>
      </c>
      <c r="E18" s="178">
        <f t="shared" si="2"/>
        <v>188842.53575319157</v>
      </c>
      <c r="F18" s="178">
        <f t="shared" si="2"/>
        <v>403522.54645660461</v>
      </c>
      <c r="G18" s="178">
        <f t="shared" si="2"/>
        <v>673027.39395462652</v>
      </c>
      <c r="H18" s="178">
        <f t="shared" si="2"/>
        <v>1134765.6884398228</v>
      </c>
      <c r="I18" s="178">
        <f t="shared" si="2"/>
        <v>1634631.9741030305</v>
      </c>
      <c r="J18" s="178">
        <f t="shared" ref="J18:M18" si="3">+I18+J17</f>
        <v>2002345.2452573325</v>
      </c>
      <c r="K18" s="178">
        <f t="shared" si="3"/>
        <v>2708593.348338583</v>
      </c>
      <c r="L18" s="178">
        <f t="shared" si="3"/>
        <v>3131222.2236795626</v>
      </c>
      <c r="M18" s="178">
        <f t="shared" si="3"/>
        <v>3663085.4417169946</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448">
        <f>C6</f>
        <v>2025</v>
      </c>
      <c r="D20" s="1449">
        <f t="shared" ref="D20:M20" si="4">D6</f>
        <v>2026</v>
      </c>
      <c r="E20" s="1449">
        <f t="shared" si="4"/>
        <v>2027</v>
      </c>
      <c r="F20" s="1449">
        <f t="shared" si="4"/>
        <v>2028</v>
      </c>
      <c r="G20" s="1449">
        <f t="shared" si="4"/>
        <v>2029</v>
      </c>
      <c r="H20" s="1449">
        <f t="shared" si="4"/>
        <v>2030</v>
      </c>
      <c r="I20" s="1449">
        <f t="shared" si="4"/>
        <v>2031</v>
      </c>
      <c r="J20" s="1449">
        <f t="shared" si="4"/>
        <v>2032</v>
      </c>
      <c r="K20" s="1449">
        <f t="shared" si="4"/>
        <v>2033</v>
      </c>
      <c r="L20" s="1449">
        <f t="shared" si="4"/>
        <v>2034</v>
      </c>
      <c r="M20" s="1447">
        <f t="shared" si="4"/>
        <v>2035</v>
      </c>
      <c r="N20" s="650" t="s">
        <v>995</v>
      </c>
    </row>
    <row r="21" spans="2:14" ht="17.25" customHeight="1" x14ac:dyDescent="0.2">
      <c r="B21" s="190" t="s">
        <v>246</v>
      </c>
      <c r="C21" s="231">
        <f>+'RESUMEN FINANCIERO'!H15</f>
        <v>0</v>
      </c>
      <c r="D21" s="232">
        <f>+'RESUMEN FINANCIERO'!I15</f>
        <v>0</v>
      </c>
      <c r="E21" s="232">
        <f>+'RESUMEN FINANCIERO'!J15</f>
        <v>1237853977.7238424</v>
      </c>
      <c r="F21" s="232">
        <f>+'RESUMEN FINANCIERO'!K15</f>
        <v>539255330.58805513</v>
      </c>
      <c r="G21" s="232">
        <f>+'RESUMEN FINANCIERO'!L15</f>
        <v>926055858.95794034</v>
      </c>
      <c r="H21" s="232">
        <f>+'RESUMEN FINANCIERO'!M15</f>
        <v>806641749.40742636</v>
      </c>
      <c r="I21" s="232">
        <f>+'RESUMEN FINANCIERO'!N15</f>
        <v>2505536792.3379083</v>
      </c>
      <c r="J21" s="232">
        <f>+'RESUMEN FINANCIERO'!O15</f>
        <v>1587009058.6869047</v>
      </c>
      <c r="K21" s="232">
        <f>+'RESUMEN FINANCIERO'!P15</f>
        <v>2922014130.5958467</v>
      </c>
      <c r="L21" s="232">
        <f>+'RESUMEN FINANCIERO'!Q15</f>
        <v>1831826923.0958915</v>
      </c>
      <c r="M21" s="233">
        <f>+'RESUMEN FINANCIERO'!R15</f>
        <v>1768161646.5395043</v>
      </c>
      <c r="N21" s="233"/>
    </row>
    <row r="22" spans="2:14" ht="33" customHeight="1" x14ac:dyDescent="0.2">
      <c r="B22" s="669" t="s">
        <v>873</v>
      </c>
      <c r="C22" s="691">
        <f>((C18*(C7+C8+C9+C10))*PARÁMETROS!$C$6)</f>
        <v>0</v>
      </c>
      <c r="D22" s="686">
        <f>((D18*(D7+D8+D9+D10))*PARÁMETROS!$C$6)</f>
        <v>0</v>
      </c>
      <c r="E22" s="686">
        <f>((E18*(E7+E8+E9+E10))*PARÁMETROS!$C$6)</f>
        <v>57829102.086876124</v>
      </c>
      <c r="F22" s="686">
        <f>((F18*(F7+F8+F9+F10))*PARÁMETROS!$C$6)</f>
        <v>127968988.37046567</v>
      </c>
      <c r="G22" s="686">
        <f>((G18*(G7+G8+G9+G10))*PARÁMETROS!$C$6)</f>
        <v>221034455.61103949</v>
      </c>
      <c r="H22" s="686">
        <f>((H18*(H7+H8+H9+H10))*PARÁMETROS!$C$6)</f>
        <v>385943506.27558976</v>
      </c>
      <c r="I22" s="686">
        <f>((I18*(I7+I8+I9+I10))*PARÁMETROS!$C$6)</f>
        <v>575741901.24710476</v>
      </c>
      <c r="J22" s="686">
        <f>((J18*(J7+J8+J9+J10))*PARÁMETROS!$C$6)</f>
        <v>730360226.10579026</v>
      </c>
      <c r="K22" s="686">
        <f>((K18*(K7+K8+K9+K10))*PARÁMETROS!$C$6)</f>
        <v>1023133410.3321009</v>
      </c>
      <c r="L22" s="686">
        <f>((L18*(L7+L8+L9+L10))*PARÁMETROS!$C$6)</f>
        <v>1224877495.3547802</v>
      </c>
      <c r="M22" s="687">
        <f>((M18*(M7+M8+M9+M10))*PARÁMETROS!$C$6)</f>
        <v>1483939239.8577554</v>
      </c>
      <c r="N22" s="687">
        <f>'RESUMEN FINANCIERO'!M221+M22*(1+G)/(C3-G)</f>
        <v>26496736936.250549</v>
      </c>
    </row>
    <row r="23" spans="2:14" ht="19.899999999999999" customHeight="1" x14ac:dyDescent="0.2">
      <c r="B23" s="183" t="s">
        <v>546</v>
      </c>
      <c r="C23" s="234"/>
      <c r="D23" s="235">
        <f>+'RESUMEN FINANCIERO'!H101</f>
        <v>0</v>
      </c>
      <c r="E23" s="235">
        <f>+'RESUMEN FINANCIERO'!I101</f>
        <v>0</v>
      </c>
      <c r="F23" s="235">
        <f>+'RESUMEN FINANCIERO'!J101</f>
        <v>27507866.17164094</v>
      </c>
      <c r="G23" s="235">
        <f>+'RESUMEN FINANCIERO'!K101</f>
        <v>39491317.96248661</v>
      </c>
      <c r="H23" s="235">
        <f>+'RESUMEN FINANCIERO'!L101</f>
        <v>60070337.05044084</v>
      </c>
      <c r="I23" s="235">
        <f>+'RESUMEN FINANCIERO'!M101</f>
        <v>77995709.259494752</v>
      </c>
      <c r="J23" s="235">
        <f>+'RESUMEN FINANCIERO'!N101</f>
        <v>133674304.6447816</v>
      </c>
      <c r="K23" s="235">
        <f>+'RESUMEN FINANCIERO'!O101</f>
        <v>168941172.61560172</v>
      </c>
      <c r="L23" s="235">
        <f>+'RESUMEN FINANCIERO'!P101</f>
        <v>233874819.96217608</v>
      </c>
      <c r="M23" s="236">
        <f>+'RESUMEN FINANCIERO'!Q101</f>
        <v>274582084.91986257</v>
      </c>
      <c r="N23" s="236"/>
    </row>
    <row r="24" spans="2:14" ht="17.25" customHeight="1" x14ac:dyDescent="0.2">
      <c r="B24" s="183" t="s">
        <v>247</v>
      </c>
      <c r="C24" s="234">
        <f>+'RESUMEN FINANCIERO'!H14</f>
        <v>0</v>
      </c>
      <c r="D24" s="235">
        <f>+'RESUMEN FINANCIERO'!I14</f>
        <v>47976000</v>
      </c>
      <c r="E24" s="235">
        <f>+'RESUMEN FINANCIERO'!J14</f>
        <v>99821497.76321651</v>
      </c>
      <c r="F24" s="235">
        <f>+'RESUMEN FINANCIERO'!K14</f>
        <v>146142041.8315047</v>
      </c>
      <c r="G24" s="235">
        <f>+'RESUMEN FINANCIERO'!L14</f>
        <v>151071315.84862256</v>
      </c>
      <c r="H24" s="235">
        <f>+'RESUMEN FINANCIERO'!M14</f>
        <v>161230677.65414837</v>
      </c>
      <c r="I24" s="235">
        <f>+'RESUMEN FINANCIERO'!N14</f>
        <v>181086219.66369042</v>
      </c>
      <c r="J24" s="235">
        <f>+'RESUMEN FINANCIERO'!O14</f>
        <v>212793334.90853721</v>
      </c>
      <c r="K24" s="235">
        <f>+'RESUMEN FINANCIERO'!P14</f>
        <v>220464198.45337996</v>
      </c>
      <c r="L24" s="235">
        <f>+'RESUMEN FINANCIERO'!Q14</f>
        <v>212022145.89045668</v>
      </c>
      <c r="M24" s="236">
        <f>+'RESUMEN FINANCIERO'!R14</f>
        <v>214509527.82143626</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5">+SUM(D23:D25)</f>
        <v>47976000</v>
      </c>
      <c r="E26" s="238">
        <f t="shared" si="5"/>
        <v>99821497.76321651</v>
      </c>
      <c r="F26" s="238">
        <f t="shared" si="5"/>
        <v>173649908.00314564</v>
      </c>
      <c r="G26" s="238">
        <f t="shared" si="5"/>
        <v>190562633.81110919</v>
      </c>
      <c r="H26" s="238">
        <f t="shared" si="5"/>
        <v>221301014.70458922</v>
      </c>
      <c r="I26" s="238">
        <f t="shared" si="5"/>
        <v>259081928.92318517</v>
      </c>
      <c r="J26" s="238">
        <f t="shared" si="5"/>
        <v>346467639.5533188</v>
      </c>
      <c r="K26" s="238">
        <f t="shared" si="5"/>
        <v>389405371.06898165</v>
      </c>
      <c r="L26" s="238">
        <f t="shared" si="5"/>
        <v>445896965.85263276</v>
      </c>
      <c r="M26" s="239">
        <f t="shared" si="5"/>
        <v>489091612.74129879</v>
      </c>
      <c r="N26" s="239"/>
    </row>
    <row r="27" spans="2:14" ht="18" customHeight="1" x14ac:dyDescent="0.2">
      <c r="B27" s="183" t="s">
        <v>249</v>
      </c>
      <c r="C27" s="234">
        <f>+C22-C26</f>
        <v>0</v>
      </c>
      <c r="D27" s="235">
        <f t="shared" ref="D27:M27" si="6">+D22-D26</f>
        <v>-47976000</v>
      </c>
      <c r="E27" s="235">
        <f t="shared" si="6"/>
        <v>-41992395.676340386</v>
      </c>
      <c r="F27" s="235">
        <f t="shared" si="6"/>
        <v>-45680919.632679969</v>
      </c>
      <c r="G27" s="235">
        <f t="shared" si="6"/>
        <v>30471821.799930304</v>
      </c>
      <c r="H27" s="235">
        <f t="shared" si="6"/>
        <v>164642491.57100055</v>
      </c>
      <c r="I27" s="235">
        <f t="shared" si="6"/>
        <v>316659972.32391959</v>
      </c>
      <c r="J27" s="235">
        <f t="shared" si="6"/>
        <v>383892586.55247146</v>
      </c>
      <c r="K27" s="235">
        <f t="shared" si="6"/>
        <v>633728039.26311922</v>
      </c>
      <c r="L27" s="235">
        <f t="shared" si="6"/>
        <v>778980529.50214744</v>
      </c>
      <c r="M27" s="236">
        <f t="shared" si="6"/>
        <v>994847627.11645663</v>
      </c>
      <c r="N27" s="236"/>
    </row>
    <row r="28" spans="2:14" ht="19.899999999999999" customHeight="1" thickBot="1" x14ac:dyDescent="0.25">
      <c r="B28" s="165" t="s">
        <v>250</v>
      </c>
      <c r="C28" s="240">
        <f>IF(C27&lt;0,0,(C27*$C$4))</f>
        <v>0</v>
      </c>
      <c r="D28" s="241">
        <f t="shared" ref="D28:M28" si="7">IF(D27&lt;0,0,(D27*$C$4))</f>
        <v>0</v>
      </c>
      <c r="E28" s="241">
        <f t="shared" si="7"/>
        <v>0</v>
      </c>
      <c r="F28" s="241">
        <f t="shared" si="7"/>
        <v>0</v>
      </c>
      <c r="G28" s="241">
        <f t="shared" si="7"/>
        <v>10665137.629975606</v>
      </c>
      <c r="H28" s="241">
        <f t="shared" si="7"/>
        <v>57624872.049850188</v>
      </c>
      <c r="I28" s="241">
        <f t="shared" si="7"/>
        <v>110830990.31337185</v>
      </c>
      <c r="J28" s="241">
        <f t="shared" si="7"/>
        <v>134362405.293365</v>
      </c>
      <c r="K28" s="241">
        <f t="shared" si="7"/>
        <v>221804813.74209172</v>
      </c>
      <c r="L28" s="241">
        <f t="shared" si="7"/>
        <v>272643185.3257516</v>
      </c>
      <c r="M28" s="242">
        <f t="shared" si="7"/>
        <v>348196669.49075979</v>
      </c>
      <c r="N28" s="242"/>
    </row>
    <row r="29" spans="2:14" ht="19.899999999999999" customHeight="1" thickBot="1" x14ac:dyDescent="0.25">
      <c r="B29" s="181" t="s">
        <v>251</v>
      </c>
      <c r="C29" s="243">
        <f>+C22-C26-C28</f>
        <v>0</v>
      </c>
      <c r="D29" s="226">
        <f>+D22-D26-D28</f>
        <v>-47976000</v>
      </c>
      <c r="E29" s="226">
        <f t="shared" ref="E29:M29" si="8">+E22-E26-E28</f>
        <v>-41992395.676340386</v>
      </c>
      <c r="F29" s="226">
        <f t="shared" si="8"/>
        <v>-45680919.632679969</v>
      </c>
      <c r="G29" s="226">
        <f t="shared" si="8"/>
        <v>19806684.169954699</v>
      </c>
      <c r="H29" s="226">
        <f t="shared" si="8"/>
        <v>107017619.52115035</v>
      </c>
      <c r="I29" s="226">
        <f t="shared" si="8"/>
        <v>205828982.01054776</v>
      </c>
      <c r="J29" s="226">
        <f t="shared" si="8"/>
        <v>249530181.25910646</v>
      </c>
      <c r="K29" s="226">
        <f t="shared" si="8"/>
        <v>411923225.52102751</v>
      </c>
      <c r="L29" s="226">
        <f t="shared" si="8"/>
        <v>506337344.17639583</v>
      </c>
      <c r="M29" s="227">
        <f t="shared" si="8"/>
        <v>646650957.6256969</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6907648435.8447599</v>
      </c>
    </row>
    <row r="33" spans="2:4" ht="17.25" customHeight="1" x14ac:dyDescent="0.2">
      <c r="B33" s="653" t="s">
        <v>255</v>
      </c>
      <c r="C33" s="229">
        <f>+(NPV($C$3,D24:M24)+C24)</f>
        <v>681895756.79337585</v>
      </c>
    </row>
    <row r="34" spans="2:4" ht="19.899999999999999" customHeight="1" thickBot="1" x14ac:dyDescent="0.25">
      <c r="B34" s="677" t="s">
        <v>256</v>
      </c>
      <c r="C34" s="230">
        <f>(C33+C21+NPV($C$3,D21:M21))</f>
        <v>6129902208.7912121</v>
      </c>
      <c r="D34" s="1450">
        <f>SUM(C21:M21,C26:M26)</f>
        <v>16787610040.354797</v>
      </c>
    </row>
    <row r="35" spans="2:4" ht="17.100000000000001" customHeight="1" thickBot="1" x14ac:dyDescent="0.25">
      <c r="B35" s="676" t="s">
        <v>253</v>
      </c>
      <c r="C35" s="194">
        <f>IFERROR(C32/C34,0)</f>
        <v>1.1268774281485505</v>
      </c>
    </row>
    <row r="36" spans="2:4" ht="13.5" thickBot="1" x14ac:dyDescent="0.25"/>
    <row r="37" spans="2:4" ht="17.100000000000001" customHeight="1" thickBot="1" x14ac:dyDescent="0.25">
      <c r="B37" s="160" t="s">
        <v>532</v>
      </c>
      <c r="C37" s="195" t="str">
        <f>+IF(C35&lt;1,"Sin beneficio","Con beneficio")</f>
        <v>Con beneficio</v>
      </c>
    </row>
  </sheetData>
  <mergeCells count="3">
    <mergeCell ref="B2:C2"/>
    <mergeCell ref="C13:M13"/>
    <mergeCell ref="B31:C31"/>
  </mergeCells>
  <conditionalFormatting sqref="C37">
    <cfRule type="containsText" dxfId="607" priority="1" operator="containsText" text="Sin beneficio">
      <formula>NOT(ISERROR(SEARCH("Sin beneficio",C37)))</formula>
    </cfRule>
    <cfRule type="containsText" dxfId="606" priority="2" operator="containsText" text="Con beneficio">
      <formula>NOT(ISERROR(SEARCH("Con beneficio",C37)))</formula>
    </cfRule>
    <cfRule type="containsText" dxfId="605" priority="3" operator="containsText" text="Co beneficio">
      <formula>NOT(ISERROR(SEARCH("Co beneficio",C37)))</formula>
    </cfRule>
    <cfRule type="containsText" dxfId="604" priority="4" operator="containsText" text="Acepta">
      <formula>NOT(ISERROR(SEARCH("Acepta",C37)))</formula>
    </cfRule>
    <cfRule type="containsText" dxfId="603" priority="5" operator="containsText" text="Rechaza">
      <formula>NOT(ISERROR(SEARCH("Rechaza",C37)))</formula>
    </cfRule>
    <cfRule type="cellIs" dxfId="602" priority="6" operator="greaterThan">
      <formula>$C$34&gt;1</formula>
    </cfRule>
    <cfRule type="cellIs" dxfId="601" priority="7" operator="lessThan">
      <formula>$C$34&lt;1</formula>
    </cfRule>
    <cfRule type="cellIs" dxfId="60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{AE720BAB-FD8B-994C-813C-AC646C341A41}</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E720BAB-FD8B-994C-813C-AC646C341A41}">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tabColor theme="4"/>
  </sheetPr>
  <dimension ref="B1:N37"/>
  <sheetViews>
    <sheetView showGridLines="0" topLeftCell="B3" zoomScale="85" zoomScaleNormal="85" workbookViewId="0">
      <selection activeCell="N22" sqref="N22"/>
    </sheetView>
  </sheetViews>
  <sheetFormatPr baseColWidth="10" defaultColWidth="11.375" defaultRowHeight="12.75" x14ac:dyDescent="0.2"/>
  <cols>
    <col min="1" max="1" width="3" style="86" customWidth="1"/>
    <col min="2" max="2" width="45.625" style="86" customWidth="1"/>
    <col min="3" max="3" width="15.625" style="86" customWidth="1"/>
    <col min="4" max="5" width="15" style="86" customWidth="1"/>
    <col min="6" max="13" width="14.625" style="86" customWidth="1"/>
    <col min="14" max="14" width="16.37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5">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FINANCIERO'!D16</f>
        <v xml:space="preserve">REPOSICIÓN DE REDES </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6">
        <f t="shared" ref="C16:M16" si="1">C6</f>
        <v>2025</v>
      </c>
      <c r="D16" s="1037">
        <f t="shared" si="1"/>
        <v>2026</v>
      </c>
      <c r="E16" s="1037">
        <f t="shared" si="1"/>
        <v>2027</v>
      </c>
      <c r="F16" s="1037">
        <f t="shared" si="1"/>
        <v>2028</v>
      </c>
      <c r="G16" s="1037">
        <f t="shared" si="1"/>
        <v>2029</v>
      </c>
      <c r="H16" s="1037">
        <f t="shared" si="1"/>
        <v>2030</v>
      </c>
      <c r="I16" s="1037">
        <f t="shared" si="1"/>
        <v>2031</v>
      </c>
      <c r="J16" s="1037">
        <f t="shared" si="1"/>
        <v>2032</v>
      </c>
      <c r="K16" s="1037">
        <f t="shared" si="1"/>
        <v>2033</v>
      </c>
      <c r="L16" s="1037">
        <f t="shared" si="1"/>
        <v>2034</v>
      </c>
      <c r="M16" s="1032">
        <f t="shared" si="1"/>
        <v>2035</v>
      </c>
    </row>
    <row r="17" spans="2:14" ht="16.149999999999999" customHeight="1" thickBot="1" x14ac:dyDescent="0.25">
      <c r="B17" s="1073" t="s">
        <v>538</v>
      </c>
      <c r="C17" s="1074">
        <f>+'EV PROG TÉCNICOS'!K95</f>
        <v>0</v>
      </c>
      <c r="D17" s="178">
        <f>+'EV PROG TÉCNICOS'!L95</f>
        <v>0</v>
      </c>
      <c r="E17" s="178">
        <f>+'EV PROG TÉCNICOS'!M95</f>
        <v>1087957.2234578964</v>
      </c>
      <c r="F17" s="178">
        <f>+'EV PROG TÉCNICOS'!N95</f>
        <v>1796801.4891995436</v>
      </c>
      <c r="G17" s="178">
        <f>+'EV PROG TÉCNICOS'!O95</f>
        <v>1304062.8314069901</v>
      </c>
      <c r="H17" s="178">
        <f>+'EV PROG TÉCNICOS'!P95</f>
        <v>990462.0576240411</v>
      </c>
      <c r="I17" s="178">
        <f>+'EV PROG TÉCNICOS'!Q95</f>
        <v>822276.54882169084</v>
      </c>
      <c r="J17" s="178">
        <f>+'EV PROG TÉCNICOS'!R95</f>
        <v>0</v>
      </c>
      <c r="K17" s="178">
        <f>+'EV PROG TÉCNICOS'!S95</f>
        <v>0</v>
      </c>
      <c r="L17" s="178">
        <f>+'EV PROG TÉCNICOS'!T95</f>
        <v>0</v>
      </c>
      <c r="M17" s="179">
        <f>+'EV PROG TÉCNICOS'!U95</f>
        <v>0</v>
      </c>
    </row>
    <row r="18" spans="2:14" ht="16.149999999999999" customHeight="1" thickBot="1" x14ac:dyDescent="0.25">
      <c r="B18" s="1073" t="s">
        <v>997</v>
      </c>
      <c r="C18" s="1074">
        <f>+C17</f>
        <v>0</v>
      </c>
      <c r="D18" s="178">
        <f>+C18+D17</f>
        <v>0</v>
      </c>
      <c r="E18" s="178">
        <f>+E17</f>
        <v>1087957.2234578964</v>
      </c>
      <c r="F18" s="178">
        <f>+F17+E18</f>
        <v>2884758.71265744</v>
      </c>
      <c r="G18" s="178">
        <f t="shared" ref="G18:M18" si="2">+G17+F18</f>
        <v>4188821.5440644301</v>
      </c>
      <c r="H18" s="178">
        <f t="shared" si="2"/>
        <v>5179283.6016884707</v>
      </c>
      <c r="I18" s="178">
        <f>+I17+H18</f>
        <v>6001560.1505101612</v>
      </c>
      <c r="J18" s="178">
        <f>+J17+I18*60%</f>
        <v>3600936.0903060967</v>
      </c>
      <c r="K18" s="178">
        <f t="shared" si="2"/>
        <v>3600936.0903060967</v>
      </c>
      <c r="L18" s="178">
        <f t="shared" si="2"/>
        <v>3600936.0903060967</v>
      </c>
      <c r="M18" s="179">
        <f t="shared" si="2"/>
        <v>3600936.0903060967</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6">
        <f>C6</f>
        <v>2025</v>
      </c>
      <c r="D20" s="1037">
        <f t="shared" ref="D20:M20" si="3">D6</f>
        <v>2026</v>
      </c>
      <c r="E20" s="1037">
        <f t="shared" si="3"/>
        <v>2027</v>
      </c>
      <c r="F20" s="1037">
        <f t="shared" si="3"/>
        <v>2028</v>
      </c>
      <c r="G20" s="1037">
        <f t="shared" si="3"/>
        <v>2029</v>
      </c>
      <c r="H20" s="1037">
        <f t="shared" si="3"/>
        <v>2030</v>
      </c>
      <c r="I20" s="1037">
        <f t="shared" si="3"/>
        <v>2031</v>
      </c>
      <c r="J20" s="1037">
        <f t="shared" si="3"/>
        <v>2032</v>
      </c>
      <c r="K20" s="1037">
        <f t="shared" si="3"/>
        <v>2033</v>
      </c>
      <c r="L20" s="1037">
        <f t="shared" si="3"/>
        <v>2034</v>
      </c>
      <c r="M20" s="1032">
        <f t="shared" si="3"/>
        <v>2035</v>
      </c>
      <c r="N20" s="650" t="s">
        <v>995</v>
      </c>
    </row>
    <row r="21" spans="2:14" ht="17.25" customHeight="1" x14ac:dyDescent="0.2">
      <c r="B21" s="190" t="s">
        <v>246</v>
      </c>
      <c r="C21" s="231">
        <f>+'RESUMEN FINANCIERO'!H17</f>
        <v>0</v>
      </c>
      <c r="D21" s="232">
        <f>+'RESUMEN FINANCIERO'!I17</f>
        <v>0</v>
      </c>
      <c r="E21" s="232">
        <f>+'RESUMEN FINANCIERO'!J17</f>
        <v>6902661158.3259583</v>
      </c>
      <c r="F21" s="232">
        <f>+'RESUMEN FINANCIERO'!K17</f>
        <v>5677966895.4789515</v>
      </c>
      <c r="G21" s="232">
        <f>+'RESUMEN FINANCIERO'!L17</f>
        <v>8223805996.8317671</v>
      </c>
      <c r="H21" s="232">
        <f>+'RESUMEN FINANCIERO'!M17</f>
        <v>7260255559.4203978</v>
      </c>
      <c r="I21" s="232">
        <f>+'RESUMEN FINANCIERO'!N17</f>
        <v>9255365551.9323997</v>
      </c>
      <c r="J21" s="232">
        <f>+'RESUMEN FINANCIERO'!O17</f>
        <v>0</v>
      </c>
      <c r="K21" s="232">
        <f>+'RESUMEN FINANCIERO'!P17</f>
        <v>0</v>
      </c>
      <c r="L21" s="232">
        <f>+'RESUMEN FINANCIERO'!Q17</f>
        <v>0</v>
      </c>
      <c r="M21" s="233">
        <f>+'RESUMEN FINANCIERO'!R17</f>
        <v>0</v>
      </c>
      <c r="N21" s="233"/>
    </row>
    <row r="22" spans="2:14" ht="33" customHeight="1" x14ac:dyDescent="0.2">
      <c r="B22" s="669" t="s">
        <v>873</v>
      </c>
      <c r="C22" s="691">
        <f>((C18*(C7+C8+C9+C10))*PARÁMETROS!$C$6)</f>
        <v>0</v>
      </c>
      <c r="D22" s="686">
        <f>((D18*(D7+D8+D9+D10))*PARÁMETROS!$C$6)</f>
        <v>0</v>
      </c>
      <c r="E22" s="686">
        <f>((E18*(E7+E8+E9+E10))*PARÁMETROS!$C$6)</f>
        <v>333164289.97611398</v>
      </c>
      <c r="F22" s="686">
        <f>((F18*(F7+F8+F9+F10))*PARÁMETROS!$C$6)</f>
        <v>914842695.63946009</v>
      </c>
      <c r="G22" s="686">
        <f>((G18*(G7+G8+G9+G10))*PARÁMETROS!$C$6)</f>
        <v>1375685295.9635916</v>
      </c>
      <c r="H22" s="686">
        <f>((H18*(H7+H8+H9+H10))*PARÁMETROS!$C$6)</f>
        <v>1761518605.6423638</v>
      </c>
      <c r="I22" s="686">
        <f>((I18*(I7+I8+I9+I10))*PARÁMETROS!$C$6)</f>
        <v>2113839510.2051213</v>
      </c>
      <c r="J22" s="686">
        <f>((J18*(J7+J8+J9+J10))*PARÁMETROS!$C$6)</f>
        <v>1313450067.2837105</v>
      </c>
      <c r="K22" s="686">
        <f>((K18*(K7+K8+K9+K10))*PARÁMETROS!$C$6)</f>
        <v>1360203451.9957321</v>
      </c>
      <c r="L22" s="686">
        <f>((L18*(L7+L8+L9+L10))*PARÁMETROS!$C$6)</f>
        <v>1408621063.6444888</v>
      </c>
      <c r="M22" s="687">
        <f>((M18*(M7+M8+M9+M10))*PARÁMETROS!$C$6)</f>
        <v>1458762141.8190289</v>
      </c>
      <c r="N22" s="687">
        <f>'RESUMEN FINANCIERO'!N221+M22*(1+G)/(C3-G)</f>
        <v>52251336618.176041</v>
      </c>
    </row>
    <row r="23" spans="2:14" ht="19.899999999999999" customHeight="1" x14ac:dyDescent="0.2">
      <c r="B23" s="183" t="s">
        <v>546</v>
      </c>
      <c r="C23" s="234"/>
      <c r="D23" s="235">
        <f>+'RESUMEN FINANCIERO'!H102</f>
        <v>0</v>
      </c>
      <c r="E23" s="235">
        <f>+'RESUMEN FINANCIERO'!I102</f>
        <v>0</v>
      </c>
      <c r="F23" s="235">
        <f>+'RESUMEN FINANCIERO'!J102</f>
        <v>153392470.18502128</v>
      </c>
      <c r="G23" s="235">
        <f>+'RESUMEN FINANCIERO'!K102</f>
        <v>279569512.30677575</v>
      </c>
      <c r="H23" s="235">
        <f>+'RESUMEN FINANCIERO'!L102</f>
        <v>462320756.68081498</v>
      </c>
      <c r="I23" s="235">
        <f>+'RESUMEN FINANCIERO'!M102</f>
        <v>623659769.11237931</v>
      </c>
      <c r="J23" s="235">
        <f>+'RESUMEN FINANCIERO'!N102</f>
        <v>829334559.1553216</v>
      </c>
      <c r="K23" s="235">
        <f>+'RESUMEN FINANCIERO'!O102</f>
        <v>829334559.1553216</v>
      </c>
      <c r="L23" s="235">
        <f>+'RESUMEN FINANCIERO'!P102</f>
        <v>829334559.1553216</v>
      </c>
      <c r="M23" s="236">
        <f>+'RESUMEN FINANCIERO'!Q102</f>
        <v>829334559.1553216</v>
      </c>
      <c r="N23" s="236"/>
    </row>
    <row r="24" spans="2:14" ht="17.25" customHeight="1" x14ac:dyDescent="0.2">
      <c r="B24" s="183" t="s">
        <v>247</v>
      </c>
      <c r="C24" s="234">
        <f>+'RESUMEN FINANCIERO'!H16</f>
        <v>0</v>
      </c>
      <c r="D24" s="235">
        <f>+'RESUMEN FINANCIERO'!I16</f>
        <v>0</v>
      </c>
      <c r="E24" s="235">
        <f>+'RESUMEN FINANCIERO'!J16</f>
        <v>0</v>
      </c>
      <c r="F24" s="235">
        <f>+'RESUMEN FINANCIERO'!K16</f>
        <v>0</v>
      </c>
      <c r="G24" s="235">
        <f>+'RESUMEN FINANCIERO'!L16</f>
        <v>0</v>
      </c>
      <c r="H24" s="235">
        <f>+'RESUMEN FINANCIERO'!M16</f>
        <v>0</v>
      </c>
      <c r="I24" s="235">
        <f>+'RESUMEN FINANCIERO'!N16</f>
        <v>0</v>
      </c>
      <c r="J24" s="235">
        <f>+'RESUMEN FINANCIERO'!O16</f>
        <v>0</v>
      </c>
      <c r="K24" s="235">
        <f>+'RESUMEN FINANCIERO'!P16</f>
        <v>0</v>
      </c>
      <c r="L24" s="235">
        <f>+'RESUMEN FINANCIERO'!Q16</f>
        <v>0</v>
      </c>
      <c r="M24" s="236">
        <f>+'RESUMEN FINANCIERO'!R16</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153392470.18502128</v>
      </c>
      <c r="G26" s="238">
        <f t="shared" si="4"/>
        <v>279569512.30677575</v>
      </c>
      <c r="H26" s="238">
        <f t="shared" si="4"/>
        <v>462320756.68081498</v>
      </c>
      <c r="I26" s="238">
        <f t="shared" si="4"/>
        <v>623659769.11237931</v>
      </c>
      <c r="J26" s="238">
        <f t="shared" si="4"/>
        <v>829334559.1553216</v>
      </c>
      <c r="K26" s="238">
        <f t="shared" si="4"/>
        <v>829334559.1553216</v>
      </c>
      <c r="L26" s="238">
        <f t="shared" si="4"/>
        <v>829334559.1553216</v>
      </c>
      <c r="M26" s="239">
        <f t="shared" si="4"/>
        <v>829334559.1553216</v>
      </c>
      <c r="N26" s="239"/>
    </row>
    <row r="27" spans="2:14" ht="18" customHeight="1" x14ac:dyDescent="0.2">
      <c r="B27" s="183" t="s">
        <v>249</v>
      </c>
      <c r="C27" s="234">
        <f>+C22-C26</f>
        <v>0</v>
      </c>
      <c r="D27" s="235">
        <f t="shared" ref="D27:M27" si="5">+D22-D26</f>
        <v>0</v>
      </c>
      <c r="E27" s="235">
        <f t="shared" si="5"/>
        <v>333164289.97611398</v>
      </c>
      <c r="F27" s="235">
        <f t="shared" si="5"/>
        <v>761450225.45443881</v>
      </c>
      <c r="G27" s="235">
        <f t="shared" si="5"/>
        <v>1096115783.6568158</v>
      </c>
      <c r="H27" s="235">
        <f t="shared" si="5"/>
        <v>1299197848.9615488</v>
      </c>
      <c r="I27" s="235">
        <f t="shared" si="5"/>
        <v>1490179741.092742</v>
      </c>
      <c r="J27" s="235">
        <f t="shared" si="5"/>
        <v>484115508.12838888</v>
      </c>
      <c r="K27" s="235">
        <f t="shared" si="5"/>
        <v>530868892.84041047</v>
      </c>
      <c r="L27" s="235">
        <f t="shared" si="5"/>
        <v>579286504.48916721</v>
      </c>
      <c r="M27" s="236">
        <f t="shared" si="5"/>
        <v>629427582.66370726</v>
      </c>
      <c r="N27" s="236"/>
    </row>
    <row r="28" spans="2:14" ht="19.899999999999999" customHeight="1" thickBot="1" x14ac:dyDescent="0.25">
      <c r="B28" s="165" t="s">
        <v>250</v>
      </c>
      <c r="C28" s="240">
        <f>IF(C27&lt;0,0,(C27*$C$4))</f>
        <v>0</v>
      </c>
      <c r="D28" s="241">
        <f t="shared" ref="D28:M28" si="6">IF(D27&lt;0,0,(D27*$C$4))</f>
        <v>0</v>
      </c>
      <c r="E28" s="241">
        <f t="shared" si="6"/>
        <v>116607501.49163988</v>
      </c>
      <c r="F28" s="241">
        <f t="shared" si="6"/>
        <v>266507578.90905356</v>
      </c>
      <c r="G28" s="241">
        <f t="shared" si="6"/>
        <v>383640524.27988547</v>
      </c>
      <c r="H28" s="241">
        <f t="shared" si="6"/>
        <v>454719247.13654208</v>
      </c>
      <c r="I28" s="241">
        <f t="shared" si="6"/>
        <v>521562909.38245964</v>
      </c>
      <c r="J28" s="241">
        <f t="shared" si="6"/>
        <v>169440427.8449361</v>
      </c>
      <c r="K28" s="241">
        <f t="shared" si="6"/>
        <v>185804112.49414366</v>
      </c>
      <c r="L28" s="241">
        <f t="shared" si="6"/>
        <v>202750276.57120851</v>
      </c>
      <c r="M28" s="242">
        <f t="shared" si="6"/>
        <v>220299653.93229753</v>
      </c>
      <c r="N28" s="242"/>
    </row>
    <row r="29" spans="2:14" ht="19.899999999999999" customHeight="1" thickBot="1" x14ac:dyDescent="0.25">
      <c r="B29" s="181" t="s">
        <v>251</v>
      </c>
      <c r="C29" s="243">
        <f>+C22-C26-C28</f>
        <v>0</v>
      </c>
      <c r="D29" s="226">
        <f>+D22-D26-D28</f>
        <v>0</v>
      </c>
      <c r="E29" s="226">
        <f t="shared" ref="E29:M29" si="7">+E22-E26-E28</f>
        <v>216556788.48447409</v>
      </c>
      <c r="F29" s="226">
        <f t="shared" si="7"/>
        <v>494942646.54538524</v>
      </c>
      <c r="G29" s="226">
        <f t="shared" si="7"/>
        <v>712475259.37693024</v>
      </c>
      <c r="H29" s="226">
        <f t="shared" si="7"/>
        <v>844478601.82500672</v>
      </c>
      <c r="I29" s="226">
        <f t="shared" si="7"/>
        <v>968616831.71028233</v>
      </c>
      <c r="J29" s="226">
        <f t="shared" si="7"/>
        <v>314675080.28345275</v>
      </c>
      <c r="K29" s="226">
        <f t="shared" si="7"/>
        <v>345064780.34626681</v>
      </c>
      <c r="L29" s="226">
        <f t="shared" si="7"/>
        <v>376536227.91795874</v>
      </c>
      <c r="M29" s="227">
        <f t="shared" si="7"/>
        <v>409127928.73140973</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14761179569.421179</v>
      </c>
    </row>
    <row r="33" spans="2:4" ht="17.25" customHeight="1" x14ac:dyDescent="0.2">
      <c r="B33" s="653" t="s">
        <v>255</v>
      </c>
      <c r="C33" s="229">
        <f>+(NPV($C$3,D24:M24)+C24)</f>
        <v>0</v>
      </c>
    </row>
    <row r="34" spans="2:4" ht="19.899999999999999" customHeight="1" thickBot="1" x14ac:dyDescent="0.25">
      <c r="B34" s="677" t="s">
        <v>256</v>
      </c>
      <c r="C34" s="230">
        <f>(C33+C21+NPV($C$3,D21:M21))</f>
        <v>20376639575.142151</v>
      </c>
      <c r="D34" s="1450">
        <f>SUM(C21:M21,C26:M26)</f>
        <v>42156335906.895744</v>
      </c>
    </row>
    <row r="35" spans="2:4" ht="17.100000000000001" customHeight="1" thickBot="1" x14ac:dyDescent="0.25">
      <c r="B35" s="676" t="s">
        <v>253</v>
      </c>
      <c r="C35" s="194">
        <f>IFERROR(C32/C34,0)</f>
        <v>0.72441677711317143</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599" priority="1" operator="containsText" text="Sin beneficio">
      <formula>NOT(ISERROR(SEARCH("Sin beneficio",C37)))</formula>
    </cfRule>
    <cfRule type="containsText" dxfId="598" priority="2" operator="containsText" text="Con beneficio">
      <formula>NOT(ISERROR(SEARCH("Con beneficio",C37)))</formula>
    </cfRule>
    <cfRule type="containsText" dxfId="597" priority="3" operator="containsText" text="Co beneficio">
      <formula>NOT(ISERROR(SEARCH("Co beneficio",C37)))</formula>
    </cfRule>
    <cfRule type="containsText" dxfId="596" priority="4" operator="containsText" text="Acepta">
      <formula>NOT(ISERROR(SEARCH("Acepta",C37)))</formula>
    </cfRule>
    <cfRule type="containsText" dxfId="595" priority="5" operator="containsText" text="Rechaza">
      <formula>NOT(ISERROR(SEARCH("Rechaza",C37)))</formula>
    </cfRule>
    <cfRule type="cellIs" dxfId="594" priority="6" operator="greaterThan">
      <formula>$C$34&gt;1</formula>
    </cfRule>
    <cfRule type="cellIs" dxfId="593" priority="7" operator="lessThan">
      <formula>$C$34&lt;1</formula>
    </cfRule>
    <cfRule type="cellIs" dxfId="59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{1EADF2AC-FD3E-3843-A25F-D25624AEB108}</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16:M16 C20:M20" unlockedFormula="1"/>
  </ignoredErrors>
  <extLst>
    <ext xmlns:x14="http://schemas.microsoft.com/office/spreadsheetml/2009/9/main" uri="{78C0D931-6437-407d-A8EE-F0AAD7539E65}">
      <x14:conditionalFormattings>
        <x14:conditionalFormatting xmlns:xm="http://schemas.microsoft.com/office/excel/2006/main">
          <x14:cfRule type="dataBar" id="{1EADF2AC-FD3E-3843-A25F-D25624AEB108}">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7">
    <tabColor theme="4"/>
  </sheetPr>
  <dimension ref="B1:N37"/>
  <sheetViews>
    <sheetView showGridLines="0" topLeftCell="A13" zoomScaleNormal="100" workbookViewId="0">
      <selection activeCell="N22" sqref="N22"/>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6.37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5">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89" t="str">
        <f>+'RESUMEN FINANCIERO'!D18</f>
        <v>VINCULACIÓN INDIVUAL (TÉCNICO - COMERCIAL)</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6">
        <f t="shared" ref="C16:M16" si="1">C6</f>
        <v>2025</v>
      </c>
      <c r="D16" s="1037">
        <f t="shared" si="1"/>
        <v>2026</v>
      </c>
      <c r="E16" s="1037">
        <f t="shared" si="1"/>
        <v>2027</v>
      </c>
      <c r="F16" s="1037">
        <f t="shared" si="1"/>
        <v>2028</v>
      </c>
      <c r="G16" s="1037">
        <f t="shared" si="1"/>
        <v>2029</v>
      </c>
      <c r="H16" s="1037">
        <f t="shared" si="1"/>
        <v>2030</v>
      </c>
      <c r="I16" s="1037">
        <f t="shared" si="1"/>
        <v>2031</v>
      </c>
      <c r="J16" s="1037">
        <f t="shared" si="1"/>
        <v>2032</v>
      </c>
      <c r="K16" s="1037">
        <f t="shared" si="1"/>
        <v>2033</v>
      </c>
      <c r="L16" s="1037">
        <f t="shared" si="1"/>
        <v>2034</v>
      </c>
      <c r="M16" s="1032">
        <f t="shared" si="1"/>
        <v>2035</v>
      </c>
    </row>
    <row r="17" spans="2:14" ht="16.149999999999999" customHeight="1" thickBot="1" x14ac:dyDescent="0.25">
      <c r="B17" s="1073" t="s">
        <v>538</v>
      </c>
      <c r="C17" s="1074">
        <f>+'EV PROG TÉCNICOS'!K98</f>
        <v>0</v>
      </c>
      <c r="D17" s="178">
        <f>+'EV PROG TÉCNICOS'!L98</f>
        <v>0</v>
      </c>
      <c r="E17" s="178">
        <f>+'EV PROG TÉCNICOS'!M98</f>
        <v>0</v>
      </c>
      <c r="F17" s="178">
        <f>+'EV PROG TÉCNICOS'!N98</f>
        <v>0</v>
      </c>
      <c r="G17" s="178">
        <f>+'EV PROG TÉCNICOS'!O98</f>
        <v>0</v>
      </c>
      <c r="H17" s="178">
        <f>+'EV PROG TÉCNICOS'!P98</f>
        <v>0</v>
      </c>
      <c r="I17" s="178">
        <f>+'EV PROG TÉCNICOS'!Q98</f>
        <v>0</v>
      </c>
      <c r="J17" s="178">
        <f>+'EV PROG TÉCNICOS'!R98</f>
        <v>0</v>
      </c>
      <c r="K17" s="178">
        <f>+'EV PROG TÉCNICOS'!S98</f>
        <v>0</v>
      </c>
      <c r="L17" s="178">
        <f>+'EV PROG TÉCNICOS'!T98</f>
        <v>0</v>
      </c>
      <c r="M17" s="179">
        <f>+'EV PROG TÉCNICOS'!U98</f>
        <v>0</v>
      </c>
    </row>
    <row r="18" spans="2:14" ht="16.149999999999999" customHeight="1" thickBot="1" x14ac:dyDescent="0.25">
      <c r="B18" s="1073" t="s">
        <v>997</v>
      </c>
      <c r="C18" s="1074">
        <f>+C17</f>
        <v>0</v>
      </c>
      <c r="D18" s="178">
        <f>+C18+D17</f>
        <v>0</v>
      </c>
      <c r="E18" s="178">
        <f>+D18+E17</f>
        <v>0</v>
      </c>
      <c r="F18" s="178">
        <f t="shared" ref="F18:M18" si="2">+E18+F17</f>
        <v>0</v>
      </c>
      <c r="G18" s="178">
        <f t="shared" si="2"/>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6">
        <f>C6</f>
        <v>2025</v>
      </c>
      <c r="D20" s="1037">
        <f t="shared" ref="D20:M20" si="3">D6</f>
        <v>2026</v>
      </c>
      <c r="E20" s="1037">
        <f t="shared" si="3"/>
        <v>2027</v>
      </c>
      <c r="F20" s="1037">
        <f t="shared" si="3"/>
        <v>2028</v>
      </c>
      <c r="G20" s="1037">
        <f t="shared" si="3"/>
        <v>2029</v>
      </c>
      <c r="H20" s="1037">
        <f t="shared" si="3"/>
        <v>2030</v>
      </c>
      <c r="I20" s="1037">
        <f t="shared" si="3"/>
        <v>2031</v>
      </c>
      <c r="J20" s="1037">
        <f t="shared" si="3"/>
        <v>2032</v>
      </c>
      <c r="K20" s="1037">
        <f t="shared" si="3"/>
        <v>2033</v>
      </c>
      <c r="L20" s="1037">
        <f t="shared" si="3"/>
        <v>2034</v>
      </c>
      <c r="M20" s="1032">
        <f t="shared" si="3"/>
        <v>2035</v>
      </c>
      <c r="N20" s="650" t="s">
        <v>995</v>
      </c>
    </row>
    <row r="21" spans="2:14" ht="17.25" customHeight="1" x14ac:dyDescent="0.2">
      <c r="B21" s="190" t="s">
        <v>246</v>
      </c>
      <c r="C21" s="231">
        <f>+'RESUMEN FINANCIERO'!H19</f>
        <v>0</v>
      </c>
      <c r="D21" s="232">
        <f>+'RESUMEN FINANCIERO'!I19</f>
        <v>0</v>
      </c>
      <c r="E21" s="232">
        <f>+'RESUMEN FINANCIERO'!J19</f>
        <v>0</v>
      </c>
      <c r="F21" s="232">
        <f>+'RESUMEN FINANCIERO'!K19</f>
        <v>0</v>
      </c>
      <c r="G21" s="232">
        <f>+'RESUMEN FINANCIERO'!L19</f>
        <v>0</v>
      </c>
      <c r="H21" s="232">
        <f>+'RESUMEN FINANCIERO'!M19</f>
        <v>0</v>
      </c>
      <c r="I21" s="232">
        <f>+'RESUMEN FINANCIERO'!N19</f>
        <v>0</v>
      </c>
      <c r="J21" s="232">
        <f>+'RESUMEN FINANCIERO'!O19</f>
        <v>0</v>
      </c>
      <c r="K21" s="232">
        <f>+'RESUMEN FINANCIERO'!P19</f>
        <v>0</v>
      </c>
      <c r="L21" s="232">
        <f>+'RESUMEN FINANCIERO'!Q19</f>
        <v>0</v>
      </c>
      <c r="M21" s="233">
        <f>+'RESUMEN FINANCIERO'!R19</f>
        <v>0</v>
      </c>
      <c r="N21" s="233"/>
    </row>
    <row r="22" spans="2:14" ht="33" customHeight="1" x14ac:dyDescent="0.2">
      <c r="B22" s="669" t="s">
        <v>873</v>
      </c>
      <c r="C22" s="691">
        <f>((C18*(C7+C8+C9+C10))*PARÁMETROS!$C$6)</f>
        <v>0</v>
      </c>
      <c r="D22" s="686">
        <f>((D18*(D7+D8+D9+D10))*PARÁMETROS!$C$6)</f>
        <v>0</v>
      </c>
      <c r="E22" s="686">
        <f>((E18*(E7+E8+E9+E10))*PARÁMETROS!$C$6)</f>
        <v>0</v>
      </c>
      <c r="F22" s="686">
        <f>((F18*(F7+F8+F9+F10))*PARÁMETROS!$C$6)</f>
        <v>0</v>
      </c>
      <c r="G22" s="686">
        <f>((G18*(G7+G8+G9+G10))*PARÁMETROS!$C$6)</f>
        <v>0</v>
      </c>
      <c r="H22" s="686">
        <f>((H18*(H7+H8+H9+H10))*PARÁMETROS!$C$6)</f>
        <v>0</v>
      </c>
      <c r="I22" s="686">
        <f>((I18*(I7+I8+I9+I10))*PARÁMETROS!$C$6)</f>
        <v>0</v>
      </c>
      <c r="J22" s="686">
        <f>((J18*(J7+J8+J9+J10))*PARÁMETROS!$C$6)</f>
        <v>0</v>
      </c>
      <c r="K22" s="686">
        <f>((K18*(K7+K8+K9+K10))*PARÁMETROS!$C$6)</f>
        <v>0</v>
      </c>
      <c r="L22" s="686">
        <f>((L18*(L7+L8+L9+L10))*PARÁMETROS!$C$6)</f>
        <v>0</v>
      </c>
      <c r="M22" s="687">
        <f>((M18*(M7+M8+M9+M10))*PARÁMETROS!$C$6)</f>
        <v>0</v>
      </c>
      <c r="N22" s="687">
        <f>'RESUMEN FINANCIERO'!O221+M22*(1+G)/(C3-G)</f>
        <v>0</v>
      </c>
    </row>
    <row r="23" spans="2:14" ht="19.899999999999999" customHeight="1" x14ac:dyDescent="0.2">
      <c r="B23" s="183" t="s">
        <v>546</v>
      </c>
      <c r="C23" s="234"/>
      <c r="D23" s="235">
        <f>+'RESUMEN FINANCIERO'!H103</f>
        <v>0</v>
      </c>
      <c r="E23" s="235">
        <f>+'RESUMEN FINANCIERO'!I103</f>
        <v>0</v>
      </c>
      <c r="F23" s="235">
        <f>+'RESUMEN FINANCIERO'!J103</f>
        <v>0</v>
      </c>
      <c r="G23" s="235">
        <f>+'RESUMEN FINANCIERO'!K103</f>
        <v>0</v>
      </c>
      <c r="H23" s="235">
        <f>+'RESUMEN FINANCIERO'!L103</f>
        <v>0</v>
      </c>
      <c r="I23" s="235">
        <f>+'RESUMEN FINANCIERO'!M103</f>
        <v>0</v>
      </c>
      <c r="J23" s="235">
        <f>+'RESUMEN FINANCIERO'!N103</f>
        <v>0</v>
      </c>
      <c r="K23" s="235">
        <f>+'RESUMEN FINANCIERO'!O103</f>
        <v>0</v>
      </c>
      <c r="L23" s="235">
        <f>+'RESUMEN FINANCIERO'!P103</f>
        <v>0</v>
      </c>
      <c r="M23" s="236">
        <f>+'RESUMEN FINANCIERO'!Q103</f>
        <v>0</v>
      </c>
      <c r="N23" s="236"/>
    </row>
    <row r="24" spans="2:14" ht="17.25" customHeight="1" x14ac:dyDescent="0.2">
      <c r="B24" s="183" t="s">
        <v>247</v>
      </c>
      <c r="C24" s="234">
        <f>+'RESUMEN FINANCIERO'!H18</f>
        <v>0</v>
      </c>
      <c r="D24" s="235">
        <f>+'RESUMEN FINANCIERO'!I18</f>
        <v>0</v>
      </c>
      <c r="E24" s="235">
        <f>+'RESUMEN FINANCIERO'!J18</f>
        <v>0</v>
      </c>
      <c r="F24" s="235">
        <f>+'RESUMEN FINANCIERO'!K18</f>
        <v>0</v>
      </c>
      <c r="G24" s="235">
        <f>+'RESUMEN FINANCIERO'!L18</f>
        <v>0</v>
      </c>
      <c r="H24" s="235">
        <f>+'RESUMEN FINANCIERO'!M18</f>
        <v>0</v>
      </c>
      <c r="I24" s="235">
        <f>+'RESUMEN FINANCIERO'!N18</f>
        <v>0</v>
      </c>
      <c r="J24" s="235">
        <f>+'RESUMEN FINANCIERO'!O18</f>
        <v>0</v>
      </c>
      <c r="K24" s="235">
        <f>+'RESUMEN FINANCIERO'!P18</f>
        <v>0</v>
      </c>
      <c r="L24" s="235">
        <f>+'RESUMEN FINANCIERO'!Q18</f>
        <v>0</v>
      </c>
      <c r="M24" s="236">
        <f>+'RESUMEN FINANCIERO'!R18</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+SUM(E23:E25)</f>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f>+C22-C26</f>
        <v>0</v>
      </c>
      <c r="D27" s="235">
        <f>+D22-D26</f>
        <v>0</v>
      </c>
      <c r="E27" s="235">
        <f t="shared" ref="E27:M27" si="5">+E22-E26</f>
        <v>0</v>
      </c>
      <c r="F27" s="235">
        <f t="shared" si="5"/>
        <v>0</v>
      </c>
      <c r="G27" s="235">
        <f t="shared" si="5"/>
        <v>0</v>
      </c>
      <c r="H27" s="235">
        <f t="shared" si="5"/>
        <v>0</v>
      </c>
      <c r="I27" s="235">
        <f t="shared" si="5"/>
        <v>0</v>
      </c>
      <c r="J27" s="235">
        <f t="shared" si="5"/>
        <v>0</v>
      </c>
      <c r="K27" s="235">
        <f t="shared" si="5"/>
        <v>0</v>
      </c>
      <c r="L27" s="235">
        <f t="shared" si="5"/>
        <v>0</v>
      </c>
      <c r="M27" s="236">
        <f t="shared" si="5"/>
        <v>0</v>
      </c>
      <c r="N27" s="236"/>
    </row>
    <row r="28" spans="2:14" ht="19.899999999999999" customHeight="1" thickBot="1" x14ac:dyDescent="0.25">
      <c r="B28" s="165" t="s">
        <v>250</v>
      </c>
      <c r="C28" s="240">
        <f>IF(C27&lt;0,0,(C27*$C$4))</f>
        <v>0</v>
      </c>
      <c r="D28" s="241">
        <f t="shared" ref="D28:M28" si="6">IF(D27&lt;0,0,(D27*$C$4))</f>
        <v>0</v>
      </c>
      <c r="E28" s="241">
        <f t="shared" si="6"/>
        <v>0</v>
      </c>
      <c r="F28" s="241">
        <f t="shared" si="6"/>
        <v>0</v>
      </c>
      <c r="G28" s="241">
        <f t="shared" si="6"/>
        <v>0</v>
      </c>
      <c r="H28" s="241">
        <f t="shared" si="6"/>
        <v>0</v>
      </c>
      <c r="I28" s="241">
        <f t="shared" si="6"/>
        <v>0</v>
      </c>
      <c r="J28" s="241">
        <f t="shared" si="6"/>
        <v>0</v>
      </c>
      <c r="K28" s="241">
        <f t="shared" si="6"/>
        <v>0</v>
      </c>
      <c r="L28" s="241">
        <f t="shared" si="6"/>
        <v>0</v>
      </c>
      <c r="M28" s="242">
        <f t="shared" si="6"/>
        <v>0</v>
      </c>
      <c r="N28" s="242"/>
    </row>
    <row r="29" spans="2:14" ht="19.899999999999999" customHeight="1" thickBot="1" x14ac:dyDescent="0.25">
      <c r="B29" s="181" t="s">
        <v>251</v>
      </c>
      <c r="C29" s="243">
        <f>+C22-C26-C28</f>
        <v>0</v>
      </c>
      <c r="D29" s="226">
        <f>+D22-D26-D28</f>
        <v>0</v>
      </c>
      <c r="E29" s="226">
        <f t="shared" ref="E29:M29" si="7">+E22-E26-E28</f>
        <v>0</v>
      </c>
      <c r="F29" s="226">
        <f t="shared" si="7"/>
        <v>0</v>
      </c>
      <c r="G29" s="226">
        <f t="shared" si="7"/>
        <v>0</v>
      </c>
      <c r="H29" s="226">
        <f t="shared" si="7"/>
        <v>0</v>
      </c>
      <c r="I29" s="226">
        <f t="shared" si="7"/>
        <v>0</v>
      </c>
      <c r="J29" s="226">
        <f t="shared" si="7"/>
        <v>0</v>
      </c>
      <c r="K29" s="226">
        <f t="shared" si="7"/>
        <v>0</v>
      </c>
      <c r="L29" s="226">
        <f t="shared" si="7"/>
        <v>0</v>
      </c>
      <c r="M29" s="227">
        <f t="shared" si="7"/>
        <v>0</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0</v>
      </c>
    </row>
    <row r="33" spans="2:3" ht="17.25" customHeight="1" x14ac:dyDescent="0.2">
      <c r="B33" s="653" t="s">
        <v>255</v>
      </c>
      <c r="C33" s="229">
        <f>+(NPV($C$3,D24:M24)+C24)</f>
        <v>0</v>
      </c>
    </row>
    <row r="34" spans="2:3" ht="19.899999999999999" customHeight="1" thickBot="1" x14ac:dyDescent="0.25">
      <c r="B34" s="677" t="s">
        <v>256</v>
      </c>
      <c r="C34" s="230">
        <f>(C33+C21+NPV($C$3,D21:M21))</f>
        <v>0</v>
      </c>
    </row>
    <row r="35" spans="2:3" ht="17.100000000000001" customHeight="1" thickBot="1" x14ac:dyDescent="0.25">
      <c r="B35" s="676" t="s">
        <v>253</v>
      </c>
      <c r="C35" s="194">
        <f>IFERROR(C32/C34,0)</f>
        <v>0</v>
      </c>
    </row>
    <row r="36" spans="2:3" ht="13.5" thickBot="1" x14ac:dyDescent="0.25"/>
    <row r="37" spans="2:3"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591" priority="1" operator="containsText" text="Sin beneficio">
      <formula>NOT(ISERROR(SEARCH("Sin beneficio",C37)))</formula>
    </cfRule>
    <cfRule type="containsText" dxfId="590" priority="2" operator="containsText" text="Con beneficio">
      <formula>NOT(ISERROR(SEARCH("Con beneficio",C37)))</formula>
    </cfRule>
    <cfRule type="containsText" dxfId="589" priority="3" operator="containsText" text="Co beneficio">
      <formula>NOT(ISERROR(SEARCH("Co beneficio",C37)))</formula>
    </cfRule>
    <cfRule type="containsText" dxfId="588" priority="4" operator="containsText" text="Acepta">
      <formula>NOT(ISERROR(SEARCH("Acepta",C37)))</formula>
    </cfRule>
    <cfRule type="containsText" dxfId="587" priority="5" operator="containsText" text="Rechaza">
      <formula>NOT(ISERROR(SEARCH("Rechaza",C37)))</formula>
    </cfRule>
    <cfRule type="cellIs" dxfId="586" priority="6" operator="greaterThan">
      <formula>$C$34&gt;1</formula>
    </cfRule>
    <cfRule type="cellIs" dxfId="585" priority="7" operator="lessThan">
      <formula>$C$34&lt;1</formula>
    </cfRule>
    <cfRule type="cellIs" dxfId="58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{AEF397B6-3DFF-0C4F-B74D-ADB0B4CA1B29}</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EF397B6-3DFF-0C4F-B74D-ADB0B4CA1B29}">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8">
    <tabColor rgb="FFFFC000"/>
  </sheetPr>
  <dimension ref="B1:N47"/>
  <sheetViews>
    <sheetView showGridLines="0" topLeftCell="C9" zoomScaleNormal="100" workbookViewId="0">
      <selection activeCell="N22" sqref="N22"/>
    </sheetView>
  </sheetViews>
  <sheetFormatPr baseColWidth="10" defaultColWidth="11.375" defaultRowHeight="12.75" x14ac:dyDescent="0.2"/>
  <cols>
    <col min="1" max="1" width="3" style="86" customWidth="1"/>
    <col min="2" max="2" width="45.625" style="86" customWidth="1"/>
    <col min="3" max="3" width="17.875" style="86" bestFit="1" customWidth="1"/>
    <col min="4" max="6" width="17" style="86" bestFit="1" customWidth="1"/>
    <col min="7" max="8" width="18.5" style="86" bestFit="1" customWidth="1"/>
    <col min="9" max="13" width="15.25" style="86" bestFit="1" customWidth="1"/>
    <col min="14" max="14" width="16.625" style="86" bestFit="1" customWidth="1"/>
    <col min="15" max="16384" width="11.375" style="86"/>
  </cols>
  <sheetData>
    <row r="1" spans="2:13" ht="13.5" thickBot="1" x14ac:dyDescent="0.25">
      <c r="B1" s="111" t="s">
        <v>236</v>
      </c>
    </row>
    <row r="2" spans="2:13" ht="17.25" customHeight="1" thickBot="1" x14ac:dyDescent="0.25">
      <c r="B2" s="1795" t="s">
        <v>237</v>
      </c>
      <c r="C2" s="1796"/>
    </row>
    <row r="3" spans="2:13" ht="15" customHeight="1" x14ac:dyDescent="0.2">
      <c r="B3" s="156" t="s">
        <v>537</v>
      </c>
      <c r="C3" s="163">
        <f>+PARÁMETROS!$C$8</f>
        <v>0.16276703160799988</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80">
        <v>2025</v>
      </c>
      <c r="D6" s="176">
        <f>C6+1</f>
        <v>2026</v>
      </c>
      <c r="E6" s="176">
        <f t="shared" ref="E6:M6" si="0">D6+1</f>
        <v>2027</v>
      </c>
      <c r="F6" s="176">
        <f t="shared" si="0"/>
        <v>2028</v>
      </c>
      <c r="G6" s="176">
        <f t="shared" si="0"/>
        <v>2029</v>
      </c>
      <c r="H6" s="176">
        <f t="shared" si="0"/>
        <v>2030</v>
      </c>
      <c r="I6" s="176">
        <f t="shared" si="0"/>
        <v>2031</v>
      </c>
      <c r="J6" s="176">
        <f t="shared" si="0"/>
        <v>2032</v>
      </c>
      <c r="K6" s="176">
        <f t="shared" si="0"/>
        <v>2033</v>
      </c>
      <c r="L6" s="176">
        <f t="shared" si="0"/>
        <v>2034</v>
      </c>
      <c r="M6" s="177">
        <f t="shared" si="0"/>
        <v>2035</v>
      </c>
    </row>
    <row r="7" spans="2:13" ht="16.149999999999999" customHeight="1" x14ac:dyDescent="0.2">
      <c r="B7" s="184" t="s">
        <v>240</v>
      </c>
      <c r="C7" s="166">
        <f>+PARÁMETROS!$C$13</f>
        <v>240.70071704065188</v>
      </c>
      <c r="D7" s="167">
        <f>+C7*(1+PARÁMETROS!$C$9)</f>
        <v>249.26866606633052</v>
      </c>
      <c r="E7" s="167">
        <f>+D7*(1+PARÁMETROS!$C$9)</f>
        <v>258.14159860601438</v>
      </c>
      <c r="F7" s="167">
        <f>+E7*(1+PARÁMETROS!$C$9)</f>
        <v>267.33037081017022</v>
      </c>
      <c r="G7" s="167">
        <f>+F7*(1+PARÁMETROS!$C$9)</f>
        <v>276.84622526327712</v>
      </c>
      <c r="H7" s="167">
        <f>+G7*(1+PARÁMETROS!$C$9)</f>
        <v>286.70080473927715</v>
      </c>
      <c r="I7" s="167">
        <f>+H7*(1+PARÁMETROS!$C$9)</f>
        <v>296.90616644666375</v>
      </c>
      <c r="J7" s="167">
        <f>+I7*(1+PARÁMETROS!$C$9)</f>
        <v>307.47479678063587</v>
      </c>
      <c r="K7" s="167">
        <f>+J7*(1+PARÁMETROS!$C$9)</f>
        <v>318.41962660036779</v>
      </c>
      <c r="L7" s="167">
        <f>+K7*(1+PARÁMETROS!$C$9)</f>
        <v>329.75404705008674</v>
      </c>
      <c r="M7" s="168">
        <f>+L7*(1+PARÁMETROS!$C$9)</f>
        <v>341.49192594331504</v>
      </c>
    </row>
    <row r="8" spans="2:13" ht="19.899999999999999" customHeight="1" x14ac:dyDescent="0.2">
      <c r="B8" s="185" t="s">
        <v>241</v>
      </c>
      <c r="C8" s="211">
        <f>+PARÁMETROS!$C$12</f>
        <v>44.838664438044702</v>
      </c>
      <c r="D8" s="210">
        <f>+C8*(1+PARÁMETROS!$C$9)</f>
        <v>46.434735259968313</v>
      </c>
      <c r="E8" s="210">
        <f>+D8*(1+PARÁMETROS!$C$9)</f>
        <v>48.087619595419206</v>
      </c>
      <c r="F8" s="210">
        <f>+E8*(1+PARÁMETROS!$C$9)</f>
        <v>49.799339770271004</v>
      </c>
      <c r="G8" s="210">
        <f>+F8*(1+PARÁMETROS!$C$9)</f>
        <v>51.571990096825999</v>
      </c>
      <c r="H8" s="210">
        <f>+G8*(1+PARÁMETROS!$C$9)</f>
        <v>53.407739436234003</v>
      </c>
      <c r="I8" s="210">
        <f>+H8*(1+PARÁMETROS!$C$9)</f>
        <v>55.30883385212266</v>
      </c>
      <c r="J8" s="210">
        <f>+I8*(1+PARÁMETROS!$C$9)</f>
        <v>57.277599358686075</v>
      </c>
      <c r="K8" s="210">
        <f>+J8*(1+PARÁMETROS!$C$9)</f>
        <v>59.316444766593953</v>
      </c>
      <c r="L8" s="210">
        <f>+K8*(1+PARÁMETROS!$C$9)</f>
        <v>61.427864630203359</v>
      </c>
      <c r="M8" s="212">
        <f>+L8*(1+PARÁMETROS!$C$9)</f>
        <v>63.614442299679027</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f>+'BC TÉCNICO P1'!C10+'BC TÉCNICO P2'!C10+'BC TÉCNICO P3'!C10+'BC TÉCNICO P4'!C10+'BC TÉCNICO P5'!C10+'BC TÉCNICO P6'!C10+'BC TÉCNICO P7'!C10+'BC TÉCNICO P8'!C10</f>
        <v>0</v>
      </c>
      <c r="D10" s="170">
        <f>+'BC TÉCNICO P1'!D10+'BC TÉCNICO P2'!D10+'BC TÉCNICO P3'!D10+'BC TÉCNICO P4'!D10+'BC TÉCNICO P5'!D10+'BC TÉCNICO P6'!D10+'BC TÉCNICO P7'!D10+'BC TÉCNICO P8'!D10</f>
        <v>0</v>
      </c>
      <c r="E10" s="170">
        <f>+'BC TÉCNICO P1'!E10+'BC TÉCNICO P2'!E10+'BC TÉCNICO P3'!E10+'BC TÉCNICO P4'!E10+'BC TÉCNICO P5'!E10+'BC TÉCNICO P6'!E10+'BC TÉCNICO P7'!E10+'BC TÉCNICO P8'!E10</f>
        <v>0</v>
      </c>
      <c r="F10" s="170">
        <f>+'BC TÉCNICO P1'!F10+'BC TÉCNICO P2'!F10+'BC TÉCNICO P3'!F10+'BC TÉCNICO P4'!F10+'BC TÉCNICO P5'!F10+'BC TÉCNICO P6'!F10+'BC TÉCNICO P7'!F10+'BC TÉCNICO P8'!F10</f>
        <v>0</v>
      </c>
      <c r="G10" s="170">
        <f>+'BC TÉCNICO P1'!G10+'BC TÉCNICO P2'!G10+'BC TÉCNICO P3'!G10+'BC TÉCNICO P4'!G10+'BC TÉCNICO P5'!G10+'BC TÉCNICO P6'!G10+'BC TÉCNICO P7'!G10+'BC TÉCNICO P8'!G10</f>
        <v>0</v>
      </c>
      <c r="H10" s="170">
        <f>+'BC TÉCNICO P1'!H10+'BC TÉCNICO P2'!H10+'BC TÉCNICO P3'!H10+'BC TÉCNICO P4'!H10+'BC TÉCNICO P5'!H10+'BC TÉCNICO P6'!H10+'BC TÉCNICO P7'!H10+'BC TÉCNICO P8'!H10</f>
        <v>0</v>
      </c>
      <c r="I10" s="170">
        <f>+'BC TÉCNICO P1'!I10+'BC TÉCNICO P2'!I10+'BC TÉCNICO P3'!I10+'BC TÉCNICO P4'!I10+'BC TÉCNICO P5'!I10+'BC TÉCNICO P6'!I10+'BC TÉCNICO P7'!I10+'BC TÉCNICO P8'!I10</f>
        <v>0</v>
      </c>
      <c r="J10" s="170">
        <f>+'BC TÉCNICO P1'!J10+'BC TÉCNICO P2'!J10+'BC TÉCNICO P3'!J10+'BC TÉCNICO P4'!J10+'BC TÉCNICO P5'!J10+'BC TÉCNICO P6'!J10+'BC TÉCNICO P7'!J10+'BC TÉCNICO P8'!J10</f>
        <v>0</v>
      </c>
      <c r="K10" s="170">
        <f>+'BC TÉCNICO P1'!K10+'BC TÉCNICO P2'!K10+'BC TÉCNICO P3'!K10+'BC TÉCNICO P4'!K10+'BC TÉCNICO P5'!K10+'BC TÉCNICO P6'!K10+'BC TÉCNICO P7'!K10+'BC TÉCNICO P8'!K10</f>
        <v>0</v>
      </c>
      <c r="L10" s="170">
        <f>+'BC TÉCNICO P1'!L10+'BC TÉCNICO P2'!L10+'BC TÉCNICO P3'!L10+'BC TÉCNICO P4'!L10+'BC TÉCNICO P5'!L10+'BC TÉCNICO P6'!L10+'BC TÉCNICO P7'!L10+'BC TÉCNICO P8'!L10</f>
        <v>0</v>
      </c>
      <c r="M10" s="171">
        <f>+'BC TÉCNICO P1'!M10+'BC TÉCNICO P2'!M10+'BC TÉCNICO P3'!M10+'BC TÉCNICO P4'!M10+'BC TÉCNICO P5'!M10+'BC TÉCNICO P6'!M10+'BC TÉCNICO P7'!M10+'BC TÉCNICO P8'!M10</f>
        <v>0</v>
      </c>
    </row>
    <row r="11" spans="2:13" ht="18" customHeight="1" thickBot="1" x14ac:dyDescent="0.25">
      <c r="B11" s="113"/>
    </row>
    <row r="12" spans="2:13" ht="16.5" customHeight="1" thickBot="1" x14ac:dyDescent="0.25">
      <c r="B12" s="162" t="s">
        <v>242</v>
      </c>
    </row>
    <row r="13" spans="2:13" ht="18" customHeight="1" thickBot="1" x14ac:dyDescent="0.25">
      <c r="B13" s="172" t="s">
        <v>243</v>
      </c>
      <c r="C13" s="1789" t="s">
        <v>549</v>
      </c>
      <c r="D13" s="1790"/>
      <c r="E13" s="1790"/>
      <c r="F13" s="1790"/>
      <c r="G13" s="1790"/>
      <c r="H13" s="1790"/>
      <c r="I13" s="1790"/>
      <c r="J13" s="1790"/>
      <c r="K13" s="1790"/>
      <c r="L13" s="1790"/>
      <c r="M13" s="1791"/>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6">
        <f t="shared" ref="C16:M16" si="1">C6</f>
        <v>2025</v>
      </c>
      <c r="D16" s="1037">
        <f t="shared" si="1"/>
        <v>2026</v>
      </c>
      <c r="E16" s="1037">
        <f t="shared" si="1"/>
        <v>2027</v>
      </c>
      <c r="F16" s="1037">
        <f t="shared" si="1"/>
        <v>2028</v>
      </c>
      <c r="G16" s="1037">
        <f t="shared" si="1"/>
        <v>2029</v>
      </c>
      <c r="H16" s="1037">
        <f t="shared" si="1"/>
        <v>2030</v>
      </c>
      <c r="I16" s="1037">
        <f t="shared" si="1"/>
        <v>2031</v>
      </c>
      <c r="J16" s="1037">
        <f t="shared" si="1"/>
        <v>2032</v>
      </c>
      <c r="K16" s="1037">
        <f t="shared" si="1"/>
        <v>2033</v>
      </c>
      <c r="L16" s="1037">
        <f t="shared" si="1"/>
        <v>2034</v>
      </c>
      <c r="M16" s="1032">
        <f t="shared" si="1"/>
        <v>2035</v>
      </c>
    </row>
    <row r="17" spans="2:14" ht="16.149999999999999" customHeight="1" thickBot="1" x14ac:dyDescent="0.25">
      <c r="B17" s="182" t="s">
        <v>538</v>
      </c>
      <c r="C17" s="249">
        <f>SUM('RESUMEN FINANCIERO'!H109:H116)</f>
        <v>0</v>
      </c>
      <c r="D17" s="249">
        <f>SUM('RESUMEN FINANCIERO'!I109:I116)</f>
        <v>847139.72604797326</v>
      </c>
      <c r="E17" s="249">
        <f>SUM('RESUMEN FINANCIERO'!J109:J116)</f>
        <v>4504035.1480943458</v>
      </c>
      <c r="F17" s="249">
        <f>SUM('RESUMEN FINANCIERO'!K109:K116)</f>
        <v>5815352.9316229867</v>
      </c>
      <c r="G17" s="249">
        <f>SUM('RESUMEN FINANCIERO'!L109:L116)</f>
        <v>6132607.6342735272</v>
      </c>
      <c r="H17" s="249">
        <f>SUM('RESUMEN FINANCIERO'!M109:M116)</f>
        <v>7586977.9863827638</v>
      </c>
      <c r="I17" s="249">
        <f>SUM('RESUMEN FINANCIERO'!N109:N116)</f>
        <v>8911727.8208676614</v>
      </c>
      <c r="J17" s="249">
        <f>SUM('RESUMEN FINANCIERO'!O109:O116)</f>
        <v>6880817.0318179</v>
      </c>
      <c r="K17" s="249">
        <f>SUM('RESUMEN FINANCIERO'!P109:P116)</f>
        <v>7580533.2248991504</v>
      </c>
      <c r="L17" s="249">
        <f>SUM('RESUMEN FINANCIERO'!Q109:Q116)</f>
        <v>8005162.10024013</v>
      </c>
      <c r="M17" s="250">
        <f>SUM('RESUMEN FINANCIERO'!R109:R116)</f>
        <v>8539025.318277562</v>
      </c>
    </row>
    <row r="18" spans="2:14" ht="16.149999999999999" customHeight="1" thickBot="1" x14ac:dyDescent="0.25">
      <c r="B18" s="182" t="s">
        <v>997</v>
      </c>
      <c r="C18" s="178">
        <f>+C17</f>
        <v>0</v>
      </c>
      <c r="D18" s="178">
        <f>+C18+D17</f>
        <v>847139.72604797326</v>
      </c>
      <c r="E18" s="178">
        <f t="shared" ref="E18:M18" si="2">+D18+E17</f>
        <v>5351174.874142319</v>
      </c>
      <c r="F18" s="178">
        <f t="shared" si="2"/>
        <v>11166527.805765305</v>
      </c>
      <c r="G18" s="178">
        <f t="shared" si="2"/>
        <v>17299135.44003883</v>
      </c>
      <c r="H18" s="178">
        <f t="shared" si="2"/>
        <v>24886113.426421594</v>
      </c>
      <c r="I18" s="178">
        <f t="shared" si="2"/>
        <v>33797841.247289255</v>
      </c>
      <c r="J18" s="178">
        <f t="shared" si="2"/>
        <v>40678658.279107153</v>
      </c>
      <c r="K18" s="178">
        <f t="shared" si="2"/>
        <v>48259191.504006304</v>
      </c>
      <c r="L18" s="178">
        <f t="shared" si="2"/>
        <v>56264353.604246438</v>
      </c>
      <c r="M18" s="178">
        <f t="shared" si="2"/>
        <v>64803378.922523998</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6">
        <f t="shared" ref="C20:M20" si="3">C6</f>
        <v>2025</v>
      </c>
      <c r="D20" s="1037">
        <f t="shared" si="3"/>
        <v>2026</v>
      </c>
      <c r="E20" s="1037">
        <f t="shared" si="3"/>
        <v>2027</v>
      </c>
      <c r="F20" s="1037">
        <f t="shared" si="3"/>
        <v>2028</v>
      </c>
      <c r="G20" s="1037">
        <f t="shared" si="3"/>
        <v>2029</v>
      </c>
      <c r="H20" s="1037">
        <f t="shared" si="3"/>
        <v>2030</v>
      </c>
      <c r="I20" s="1037">
        <f t="shared" si="3"/>
        <v>2031</v>
      </c>
      <c r="J20" s="1037">
        <f t="shared" si="3"/>
        <v>2032</v>
      </c>
      <c r="K20" s="1037">
        <f t="shared" si="3"/>
        <v>2033</v>
      </c>
      <c r="L20" s="1037">
        <f t="shared" si="3"/>
        <v>2034</v>
      </c>
      <c r="M20" s="1032">
        <f t="shared" si="3"/>
        <v>2035</v>
      </c>
      <c r="N20" s="650" t="s">
        <v>995</v>
      </c>
    </row>
    <row r="21" spans="2:14" ht="17.25" customHeight="1" x14ac:dyDescent="0.2">
      <c r="B21" s="190" t="s">
        <v>246</v>
      </c>
      <c r="C21" s="231">
        <f>+'RESUMEN FINANCIERO'!H32</f>
        <v>0</v>
      </c>
      <c r="D21" s="232">
        <f>+'RESUMEN FINANCIERO'!I32</f>
        <v>1866106791.6740956</v>
      </c>
      <c r="E21" s="232">
        <f>+'RESUMEN FINANCIERO'!J32</f>
        <v>10747610283.881596</v>
      </c>
      <c r="F21" s="232">
        <f>+'RESUMEN FINANCIERO'!K32</f>
        <v>8111648751.3740129</v>
      </c>
      <c r="G21" s="232">
        <f>+'RESUMEN FINANCIERO'!L32</f>
        <v>11006778378.669533</v>
      </c>
      <c r="H21" s="232">
        <f>+'RESUMEN FINANCIERO'!M32</f>
        <v>8966400126.1669369</v>
      </c>
      <c r="I21" s="232">
        <f>+'RESUMEN FINANCIERO'!N32</f>
        <v>12012638691.92614</v>
      </c>
      <c r="J21" s="232">
        <f>+'RESUMEN FINANCIERO'!O32</f>
        <v>1646683431.9581935</v>
      </c>
      <c r="K21" s="232">
        <f>+'RESUMEN FINANCIERO'!P32</f>
        <v>2934698403.2363982</v>
      </c>
      <c r="L21" s="232">
        <f>+'RESUMEN FINANCIERO'!Q32</f>
        <v>1856726314.1544595</v>
      </c>
      <c r="M21" s="233">
        <f>+'RESUMEN FINANCIERO'!R32</f>
        <v>1781765006.1673591</v>
      </c>
      <c r="N21" s="233"/>
    </row>
    <row r="22" spans="2:14" ht="33" customHeight="1" x14ac:dyDescent="0.2">
      <c r="B22" s="669" t="s">
        <v>873</v>
      </c>
      <c r="C22" s="691">
        <f>((C18*(C7+C8+C9+C10))*PARÁMETROS!$C$6)</f>
        <v>0</v>
      </c>
      <c r="D22" s="686">
        <f>((D18*(D7+D8+D9+D10))*PARÁMETROS!$C$6)</f>
        <v>250502098.3910147</v>
      </c>
      <c r="E22" s="686">
        <f>((E18*(E7+E8+E9+E10))*PARÁMETROS!$C$6)</f>
        <v>1638686098.167757</v>
      </c>
      <c r="F22" s="686">
        <f>((F18*(F7+F8+F9+F10))*PARÁMETROS!$C$6)</f>
        <v>3541237731.2308002</v>
      </c>
      <c r="G22" s="686">
        <f>((G18*(G7+G8+G9+G10))*PARÁMETROS!$C$6)</f>
        <v>5681351188.4902639</v>
      </c>
      <c r="H22" s="686">
        <f>((H18*(H7+H8+H9+H10))*PARÁMETROS!$C$6)</f>
        <v>8463979807.6468897</v>
      </c>
      <c r="I22" s="686">
        <f>((I18*(I7+I8+I9+I10))*PARÁMETROS!$C$6)</f>
        <v>11904106665.012321</v>
      </c>
      <c r="J22" s="686">
        <f>((J18*(J7+J8+J9+J10))*PARÁMETROS!$C$6)</f>
        <v>14837638079.037001</v>
      </c>
      <c r="K22" s="686">
        <f>((K18*(K7+K8+K9+K10))*PARÁMETROS!$C$6)</f>
        <v>18229237406.069199</v>
      </c>
      <c r="L22" s="686">
        <f>((L18*(L7+L8+L9+L10))*PARÁMETROS!$C$6)</f>
        <v>22009597402.364944</v>
      </c>
      <c r="M22" s="687">
        <f>((M18*(M7+M8+M9+M10))*PARÁMETROS!$C$6)</f>
        <v>26252261485.178288</v>
      </c>
      <c r="N22" s="687">
        <f>+'BC TÉCNICO P1'!N22+'BC TÉCNICO P2'!N22+'BC TÉCNICO P3'!N22+'BC TÉCNICO P4'!N22+'BC TÉCNICO P5'!N22+'BC TÉCNICO P6'!N22+'BC TÉCNICO P7'!N22+'BC TÉCNICO P8'!N22</f>
        <v>92880328787.087158</v>
      </c>
    </row>
    <row r="23" spans="2:14" ht="19.899999999999999" customHeight="1" x14ac:dyDescent="0.2">
      <c r="B23" s="183" t="s">
        <v>546</v>
      </c>
      <c r="C23" s="234"/>
      <c r="D23" s="235">
        <f>+'RESUMEN FINANCIERO'!H104</f>
        <v>0</v>
      </c>
      <c r="E23" s="235">
        <f>+'RESUMEN FINANCIERO'!I104</f>
        <v>52125971.197699368</v>
      </c>
      <c r="F23" s="235">
        <f>+'RESUMEN FINANCIERO'!J104</f>
        <v>314161790.39479846</v>
      </c>
      <c r="G23" s="235">
        <f>+'RESUMEN FINANCIERO'!K104</f>
        <v>506570628.24185073</v>
      </c>
      <c r="H23" s="235">
        <f>+'RESUMEN FINANCIERO'!L104</f>
        <v>770920502.72390234</v>
      </c>
      <c r="I23" s="235">
        <f>+'RESUMEN FINANCIERO'!M104</f>
        <v>969507935.73126245</v>
      </c>
      <c r="J23" s="235">
        <f>+'RESUMEN FINANCIERO'!N104</f>
        <v>1241392517.7736623</v>
      </c>
      <c r="K23" s="235">
        <f>+'RESUMEN FINANCIERO'!O104</f>
        <v>1278993573.7057407</v>
      </c>
      <c r="L23" s="235">
        <f>+'RESUMEN FINANCIERO'!P104</f>
        <v>1344209093.7776606</v>
      </c>
      <c r="M23" s="236">
        <f>+'RESUMEN FINANCIERO'!Q104</f>
        <v>1385719726.3029749</v>
      </c>
      <c r="N23" s="236"/>
    </row>
    <row r="24" spans="2:14" ht="17.25" customHeight="1" x14ac:dyDescent="0.2">
      <c r="B24" s="183" t="s">
        <v>247</v>
      </c>
      <c r="C24" s="234">
        <f>+'RESUMEN FINANCIERO'!H31</f>
        <v>0</v>
      </c>
      <c r="D24" s="235">
        <f>+'RESUMEN FINANCIERO'!I31</f>
        <v>524855052.73104662</v>
      </c>
      <c r="E24" s="235">
        <f>+'RESUMEN FINANCIERO'!J31</f>
        <v>682461606.23807335</v>
      </c>
      <c r="F24" s="235">
        <f>+'RESUMEN FINANCIERO'!K31</f>
        <v>873078834.2226814</v>
      </c>
      <c r="G24" s="235">
        <f>+'RESUMEN FINANCIERO'!L31</f>
        <v>930324923.39852655</v>
      </c>
      <c r="H24" s="235">
        <f>+'RESUMEN FINANCIERO'!M31</f>
        <v>870083366.00928187</v>
      </c>
      <c r="I24" s="235">
        <f>+'RESUMEN FINANCIERO'!N31</f>
        <v>812541228.96683371</v>
      </c>
      <c r="J24" s="235">
        <f>+'RESUMEN FINANCIERO'!O31</f>
        <v>894943197.16242623</v>
      </c>
      <c r="K24" s="235">
        <f>+'RESUMEN FINANCIERO'!P31</f>
        <v>921154867.72320712</v>
      </c>
      <c r="L24" s="235">
        <f>+'RESUMEN FINANCIERO'!Q31</f>
        <v>945652152.06008935</v>
      </c>
      <c r="M24" s="236">
        <f>+'RESUMEN FINANCIERO'!R31</f>
        <v>1013668262.6717899</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524855052.73104662</v>
      </c>
      <c r="E26" s="238">
        <f t="shared" si="4"/>
        <v>734587577.43577266</v>
      </c>
      <c r="F26" s="238">
        <f t="shared" si="4"/>
        <v>1187240624.6174798</v>
      </c>
      <c r="G26" s="238">
        <f t="shared" si="4"/>
        <v>1436895551.6403773</v>
      </c>
      <c r="H26" s="238">
        <f t="shared" si="4"/>
        <v>1641003868.7331843</v>
      </c>
      <c r="I26" s="238">
        <f t="shared" si="4"/>
        <v>1782049164.6980963</v>
      </c>
      <c r="J26" s="238">
        <f t="shared" si="4"/>
        <v>2136335714.9360886</v>
      </c>
      <c r="K26" s="238">
        <f t="shared" si="4"/>
        <v>2200148441.4289479</v>
      </c>
      <c r="L26" s="238">
        <f t="shared" si="4"/>
        <v>2289861245.83775</v>
      </c>
      <c r="M26" s="239">
        <f t="shared" si="4"/>
        <v>2399387988.9747648</v>
      </c>
      <c r="N26" s="239"/>
    </row>
    <row r="27" spans="2:14" ht="18" customHeight="1" x14ac:dyDescent="0.2">
      <c r="B27" s="183" t="s">
        <v>249</v>
      </c>
      <c r="C27" s="234">
        <f>+C22-C26</f>
        <v>0</v>
      </c>
      <c r="D27" s="235">
        <f t="shared" ref="D27:M27" si="5">+D22-D26</f>
        <v>-274352954.34003192</v>
      </c>
      <c r="E27" s="235">
        <f t="shared" si="5"/>
        <v>904098520.73198438</v>
      </c>
      <c r="F27" s="235">
        <f t="shared" si="5"/>
        <v>2353997106.6133204</v>
      </c>
      <c r="G27" s="235">
        <f t="shared" si="5"/>
        <v>4244455636.8498869</v>
      </c>
      <c r="H27" s="235">
        <f t="shared" si="5"/>
        <v>6822975938.9137058</v>
      </c>
      <c r="I27" s="235">
        <f t="shared" si="5"/>
        <v>10122057500.314224</v>
      </c>
      <c r="J27" s="235">
        <f t="shared" si="5"/>
        <v>12701302364.100912</v>
      </c>
      <c r="K27" s="235">
        <f t="shared" si="5"/>
        <v>16029088964.640251</v>
      </c>
      <c r="L27" s="235">
        <f t="shared" si="5"/>
        <v>19719736156.527195</v>
      </c>
      <c r="M27" s="236">
        <f t="shared" si="5"/>
        <v>23852873496.203522</v>
      </c>
      <c r="N27" s="236"/>
    </row>
    <row r="28" spans="2:14" ht="19.899999999999999" customHeight="1" thickBot="1" x14ac:dyDescent="0.25">
      <c r="B28" s="165" t="s">
        <v>250</v>
      </c>
      <c r="C28" s="240">
        <f>IF(C27&lt;0,0,(C27*$C$4))</f>
        <v>0</v>
      </c>
      <c r="D28" s="241">
        <f t="shared" ref="D28:M28" si="6">IF(D27&lt;0,0,(D27*$C$4))</f>
        <v>0</v>
      </c>
      <c r="E28" s="241">
        <f t="shared" si="6"/>
        <v>316434482.25619453</v>
      </c>
      <c r="F28" s="241">
        <f t="shared" si="6"/>
        <v>823898987.3146621</v>
      </c>
      <c r="G28" s="241">
        <f t="shared" si="6"/>
        <v>1485559472.8974602</v>
      </c>
      <c r="H28" s="241">
        <f t="shared" si="6"/>
        <v>2388041578.6197968</v>
      </c>
      <c r="I28" s="241">
        <f t="shared" si="6"/>
        <v>3542720125.1099782</v>
      </c>
      <c r="J28" s="241">
        <f t="shared" si="6"/>
        <v>4445455827.4353189</v>
      </c>
      <c r="K28" s="241">
        <f t="shared" si="6"/>
        <v>5610181137.6240873</v>
      </c>
      <c r="L28" s="241">
        <f t="shared" si="6"/>
        <v>6901907654.7845182</v>
      </c>
      <c r="M28" s="242">
        <f t="shared" si="6"/>
        <v>8348505723.6712322</v>
      </c>
      <c r="N28" s="242"/>
    </row>
    <row r="29" spans="2:14" ht="19.899999999999999" customHeight="1" thickBot="1" x14ac:dyDescent="0.25">
      <c r="B29" s="181" t="s">
        <v>251</v>
      </c>
      <c r="C29" s="243">
        <f>+C22-C26-C28</f>
        <v>0</v>
      </c>
      <c r="D29" s="226">
        <f>+D22-D26-D28</f>
        <v>-274352954.34003192</v>
      </c>
      <c r="E29" s="226">
        <f t="shared" ref="E29:M29" si="7">+E22-E26-E28</f>
        <v>587664038.47578979</v>
      </c>
      <c r="F29" s="226">
        <f t="shared" si="7"/>
        <v>1530098119.2986584</v>
      </c>
      <c r="G29" s="226">
        <f t="shared" si="7"/>
        <v>2758896163.9524269</v>
      </c>
      <c r="H29" s="226">
        <f t="shared" si="7"/>
        <v>4434934360.2939091</v>
      </c>
      <c r="I29" s="226">
        <f t="shared" si="7"/>
        <v>6579337375.2042465</v>
      </c>
      <c r="J29" s="226">
        <f t="shared" si="7"/>
        <v>8255846536.6655931</v>
      </c>
      <c r="K29" s="226">
        <f t="shared" si="7"/>
        <v>10418907827.016163</v>
      </c>
      <c r="L29" s="226">
        <f t="shared" si="7"/>
        <v>12817828501.742676</v>
      </c>
      <c r="M29" s="227">
        <f t="shared" si="7"/>
        <v>15504367772.53229</v>
      </c>
      <c r="N29" s="227"/>
    </row>
    <row r="30" spans="2:14" ht="13.5" thickBot="1" x14ac:dyDescent="0.25"/>
    <row r="31" spans="2:14" ht="16.5" customHeight="1" thickBot="1" x14ac:dyDescent="0.25">
      <c r="B31" s="1762" t="s">
        <v>253</v>
      </c>
      <c r="C31" s="1794"/>
    </row>
    <row r="32" spans="2:14" ht="17.100000000000001" customHeight="1" x14ac:dyDescent="0.2">
      <c r="B32" s="652" t="s">
        <v>254</v>
      </c>
      <c r="C32" s="228">
        <f>+NPV($C$3,D22:N22)+C22</f>
        <v>55361716866.035286</v>
      </c>
      <c r="N32" s="1446"/>
    </row>
    <row r="33" spans="2:14" ht="17.25" customHeight="1" x14ac:dyDescent="0.2">
      <c r="B33" s="653" t="s">
        <v>255</v>
      </c>
      <c r="C33" s="229">
        <f>+(NPV($C$3,D24:M24)+C24)</f>
        <v>3813421251.1120849</v>
      </c>
      <c r="N33" s="761"/>
    </row>
    <row r="34" spans="2:14" ht="19.899999999999999" customHeight="1" thickBot="1" x14ac:dyDescent="0.25">
      <c r="B34" s="677" t="s">
        <v>256</v>
      </c>
      <c r="C34" s="230">
        <f>(C33+C21+NPV($C$3,D21:M21))</f>
        <v>35951135015.813011</v>
      </c>
      <c r="N34" s="761"/>
    </row>
    <row r="35" spans="2:14" ht="17.100000000000001" customHeight="1" thickBot="1" x14ac:dyDescent="0.25">
      <c r="B35" s="676" t="s">
        <v>253</v>
      </c>
      <c r="C35" s="194">
        <f>IFERROR(C32/C34,0)</f>
        <v>1.5399156894958832</v>
      </c>
    </row>
    <row r="36" spans="2:14" ht="13.5" thickBot="1" x14ac:dyDescent="0.25"/>
    <row r="37" spans="2:14" ht="17.100000000000001" customHeight="1" thickBot="1" x14ac:dyDescent="0.25">
      <c r="B37" s="160" t="s">
        <v>532</v>
      </c>
      <c r="C37" s="195" t="str">
        <f>+IF(C35&lt;1,"Sin beneficio","Con beneficio")</f>
        <v>Con beneficio</v>
      </c>
    </row>
    <row r="44" spans="2:14" x14ac:dyDescent="0.2">
      <c r="B44" s="533"/>
      <c r="C44" s="944">
        <f>C20</f>
        <v>2025</v>
      </c>
      <c r="D44" s="944">
        <f t="shared" ref="D44:M44" si="8">D20</f>
        <v>2026</v>
      </c>
      <c r="E44" s="944">
        <f t="shared" si="8"/>
        <v>2027</v>
      </c>
      <c r="F44" s="944">
        <f t="shared" si="8"/>
        <v>2028</v>
      </c>
      <c r="G44" s="944">
        <f t="shared" si="8"/>
        <v>2029</v>
      </c>
      <c r="H44" s="944">
        <f t="shared" si="8"/>
        <v>2030</v>
      </c>
      <c r="I44" s="944">
        <f t="shared" si="8"/>
        <v>2031</v>
      </c>
      <c r="J44" s="944">
        <f t="shared" si="8"/>
        <v>2032</v>
      </c>
      <c r="K44" s="944">
        <f t="shared" si="8"/>
        <v>2033</v>
      </c>
      <c r="L44" s="944">
        <f t="shared" si="8"/>
        <v>2034</v>
      </c>
      <c r="M44" s="944">
        <f t="shared" si="8"/>
        <v>2035</v>
      </c>
    </row>
    <row r="45" spans="2:14" x14ac:dyDescent="0.2">
      <c r="B45" s="533" t="s">
        <v>107</v>
      </c>
      <c r="C45" s="945">
        <f t="shared" ref="C45:M45" si="9">+C22/1000</f>
        <v>0</v>
      </c>
      <c r="D45" s="945">
        <f t="shared" si="9"/>
        <v>250502.0983910147</v>
      </c>
      <c r="E45" s="945">
        <f t="shared" si="9"/>
        <v>1638686.098167757</v>
      </c>
      <c r="F45" s="945">
        <f t="shared" si="9"/>
        <v>3541237.7312308</v>
      </c>
      <c r="G45" s="945">
        <f t="shared" si="9"/>
        <v>5681351.1884902641</v>
      </c>
      <c r="H45" s="945">
        <f t="shared" si="9"/>
        <v>8463979.8076468892</v>
      </c>
      <c r="I45" s="945">
        <f t="shared" si="9"/>
        <v>11904106.665012322</v>
      </c>
      <c r="J45" s="945">
        <f t="shared" si="9"/>
        <v>14837638.079037001</v>
      </c>
      <c r="K45" s="945">
        <f t="shared" si="9"/>
        <v>18229237.406069197</v>
      </c>
      <c r="L45" s="945">
        <f t="shared" si="9"/>
        <v>22009597.402364943</v>
      </c>
      <c r="M45" s="945">
        <f t="shared" si="9"/>
        <v>26252261.485178288</v>
      </c>
    </row>
    <row r="46" spans="2:14" x14ac:dyDescent="0.2">
      <c r="B46" s="533" t="s">
        <v>669</v>
      </c>
      <c r="C46" s="945">
        <f t="shared" ref="C46:M46" si="10">(C21+C26)/1000</f>
        <v>0</v>
      </c>
      <c r="D46" s="945">
        <f t="shared" si="10"/>
        <v>2390961.8444051421</v>
      </c>
      <c r="E46" s="945">
        <f t="shared" si="10"/>
        <v>11482197.861317368</v>
      </c>
      <c r="F46" s="945">
        <f t="shared" si="10"/>
        <v>9298889.3759914935</v>
      </c>
      <c r="G46" s="945">
        <f t="shared" si="10"/>
        <v>12443673.93030991</v>
      </c>
      <c r="H46" s="945">
        <f t="shared" si="10"/>
        <v>10607403.994900122</v>
      </c>
      <c r="I46" s="945">
        <f t="shared" si="10"/>
        <v>13794687.856624236</v>
      </c>
      <c r="J46" s="945">
        <f t="shared" si="10"/>
        <v>3783019.1468942822</v>
      </c>
      <c r="K46" s="945">
        <f t="shared" si="10"/>
        <v>5134846.8446653457</v>
      </c>
      <c r="L46" s="945">
        <f t="shared" si="10"/>
        <v>4146587.5599922095</v>
      </c>
      <c r="M46" s="945">
        <f t="shared" si="10"/>
        <v>4181152.9951421241</v>
      </c>
    </row>
    <row r="47" spans="2:14" x14ac:dyDescent="0.2">
      <c r="B47" s="533"/>
      <c r="C47" s="946"/>
      <c r="D47" s="946">
        <f t="shared" ref="D47:M47" si="11">+D45/D46</f>
        <v>0.10477042909621932</v>
      </c>
      <c r="E47" s="946">
        <f t="shared" si="11"/>
        <v>0.14271536843032143</v>
      </c>
      <c r="F47" s="946">
        <f t="shared" si="11"/>
        <v>0.38082372937716724</v>
      </c>
      <c r="G47" s="946">
        <f t="shared" si="11"/>
        <v>0.45656541792306266</v>
      </c>
      <c r="H47" s="946">
        <f t="shared" si="11"/>
        <v>0.79793131398749795</v>
      </c>
      <c r="I47" s="946">
        <f t="shared" si="11"/>
        <v>0.86294860664759054</v>
      </c>
      <c r="J47" s="946">
        <f t="shared" si="11"/>
        <v>3.9221683800406217</v>
      </c>
      <c r="K47" s="946">
        <f t="shared" si="11"/>
        <v>3.5501034320055274</v>
      </c>
      <c r="L47" s="946">
        <f t="shared" si="11"/>
        <v>5.3078819834221216</v>
      </c>
      <c r="M47" s="946">
        <f t="shared" si="11"/>
        <v>6.2787134351886902</v>
      </c>
    </row>
  </sheetData>
  <mergeCells count="3">
    <mergeCell ref="B2:C2"/>
    <mergeCell ref="C13:M13"/>
    <mergeCell ref="B31:C31"/>
  </mergeCells>
  <conditionalFormatting sqref="C37">
    <cfRule type="containsText" dxfId="583" priority="1" operator="containsText" text="Sin beneficio">
      <formula>NOT(ISERROR(SEARCH("Sin beneficio",C37)))</formula>
    </cfRule>
    <cfRule type="containsText" dxfId="582" priority="2" operator="containsText" text="Con beneficio">
      <formula>NOT(ISERROR(SEARCH("Con beneficio",C37)))</formula>
    </cfRule>
    <cfRule type="containsText" dxfId="581" priority="3" operator="containsText" text="Co beneficio">
      <formula>NOT(ISERROR(SEARCH("Co beneficio",C37)))</formula>
    </cfRule>
    <cfRule type="containsText" dxfId="580" priority="4" operator="containsText" text="Acepta">
      <formula>NOT(ISERROR(SEARCH("Acepta",C37)))</formula>
    </cfRule>
    <cfRule type="containsText" dxfId="579" priority="5" operator="containsText" text="Rechaza">
      <formula>NOT(ISERROR(SEARCH("Rechaza",C37)))</formula>
    </cfRule>
    <cfRule type="cellIs" dxfId="578" priority="6" operator="greaterThan">
      <formula>$C$34&gt;1</formula>
    </cfRule>
    <cfRule type="cellIs" dxfId="577" priority="7" operator="lessThan">
      <formula>$C$34&lt;1</formula>
    </cfRule>
    <cfRule type="cellIs" dxfId="57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{4D5550D1-8703-7147-A682-97CFA2410C58}</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44:M44" unlockedFormula="1"/>
  </ignoredErrors>
  <drawing r:id="rId1"/>
  <extLst>
    <ext xmlns:x14="http://schemas.microsoft.com/office/spreadsheetml/2009/9/main" uri="{78C0D931-6437-407d-A8EE-F0AAD7539E65}">
      <x14:conditionalFormattings>
        <x14:conditionalFormatting xmlns:xm="http://schemas.microsoft.com/office/excel/2006/main">
          <x14:cfRule type="dataBar" id="{4D5550D1-8703-7147-A682-97CFA2410C58}">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tabColor rgb="FF92D050"/>
  </sheetPr>
  <dimension ref="B1:N45"/>
  <sheetViews>
    <sheetView showGridLines="0" topLeftCell="B12" zoomScaleNormal="100"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9.25" style="86" bestFit="1" customWidth="1"/>
    <col min="15"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FINANCIERO'!D20</f>
        <v>9. RENOVACIÓN/REPOSICIÓN DE MEDIDORES (CAMBIO MASIVO)</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4">
        <f>+'EV PROG CCIALES'!J447</f>
        <v>0</v>
      </c>
      <c r="D18" s="178">
        <f>+'EV PROG CCIALES'!K447</f>
        <v>148997</v>
      </c>
      <c r="E18" s="178">
        <f>+'EV PROG CCIALES'!L447</f>
        <v>270439</v>
      </c>
      <c r="F18" s="178">
        <f>+'EV PROG CCIALES'!M447</f>
        <v>364678</v>
      </c>
      <c r="G18" s="178">
        <f>+'EV PROG CCIALES'!N447</f>
        <v>432060</v>
      </c>
      <c r="H18" s="178">
        <f>+'EV PROG CCIALES'!O447</f>
        <v>472926</v>
      </c>
      <c r="I18" s="178">
        <f>+'EV PROG CCIALES'!P447</f>
        <v>487610</v>
      </c>
      <c r="J18" s="178">
        <f>+'EV PROG CCIALES'!Q447</f>
        <v>476442</v>
      </c>
      <c r="K18" s="178">
        <f>+'EV PROG CCIALES'!R447</f>
        <v>439747</v>
      </c>
      <c r="L18" s="178">
        <f>+'EV PROG CCIALES'!S447</f>
        <v>377843</v>
      </c>
      <c r="M18" s="179">
        <f>+'EV PROG CCIALES'!T447</f>
        <v>291044</v>
      </c>
      <c r="N18" s="1066"/>
    </row>
    <row r="19" spans="2:14" ht="16.149999999999999" customHeight="1" thickBot="1" x14ac:dyDescent="0.25">
      <c r="B19" s="1073" t="s">
        <v>997</v>
      </c>
      <c r="C19" s="1074">
        <f>+C18</f>
        <v>0</v>
      </c>
      <c r="D19" s="178">
        <f t="shared" ref="D19:M19" si="1">D18</f>
        <v>148997</v>
      </c>
      <c r="E19" s="178">
        <f t="shared" si="1"/>
        <v>270439</v>
      </c>
      <c r="F19" s="178">
        <f t="shared" si="1"/>
        <v>364678</v>
      </c>
      <c r="G19" s="178">
        <f t="shared" si="1"/>
        <v>432060</v>
      </c>
      <c r="H19" s="178">
        <f>G19</f>
        <v>432060</v>
      </c>
      <c r="I19" s="178">
        <f t="shared" si="1"/>
        <v>487610</v>
      </c>
      <c r="J19" s="178">
        <f t="shared" si="1"/>
        <v>476442</v>
      </c>
      <c r="K19" s="178">
        <f t="shared" si="1"/>
        <v>439747</v>
      </c>
      <c r="L19" s="178">
        <f t="shared" si="1"/>
        <v>377843</v>
      </c>
      <c r="M19" s="179">
        <f t="shared" si="1"/>
        <v>291044</v>
      </c>
      <c r="N19" s="1066"/>
    </row>
    <row r="20" spans="2:14" ht="16.149999999999999" customHeight="1" thickBot="1" x14ac:dyDescent="0.25">
      <c r="B20" s="208" t="s">
        <v>544</v>
      </c>
      <c r="C20" s="219">
        <f>+'RESUMEN FINANCIERO'!H136</f>
        <v>0</v>
      </c>
      <c r="D20" s="220">
        <f>+'RESUMEN FINANCIERO'!I136</f>
        <v>0</v>
      </c>
      <c r="E20" s="220">
        <f>+'RESUMEN FINANCIERO'!J136</f>
        <v>0</v>
      </c>
      <c r="F20" s="220">
        <f>+'RESUMEN FINANCIERO'!K136</f>
        <v>0</v>
      </c>
      <c r="G20" s="220">
        <f>+'RESUMEN FINANCIERO'!L136</f>
        <v>0</v>
      </c>
      <c r="H20" s="220">
        <f>+'RESUMEN FINANCIERO'!M136</f>
        <v>0</v>
      </c>
      <c r="I20" s="220">
        <f>+'RESUMEN FINANCIERO'!N136</f>
        <v>0</v>
      </c>
      <c r="J20" s="220">
        <f>+'RESUMEN FINANCIERO'!O136</f>
        <v>0</v>
      </c>
      <c r="K20" s="220">
        <f>+'RESUMEN FINANCIERO'!P136</f>
        <v>0</v>
      </c>
      <c r="L20" s="220">
        <f>+'RESUMEN FINANCIERO'!Q136</f>
        <v>0</v>
      </c>
      <c r="M20" s="221">
        <f>+'RESUMEN FINANCIERO'!R136</f>
        <v>0</v>
      </c>
      <c r="N20" s="1066"/>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5">
        <f>((C19*(C8+C10))*PARÁMETROS!$C$6)</f>
        <v>0</v>
      </c>
      <c r="D24" s="235">
        <f>((D19*(D8+D10))*PARÁMETROS!$C$6)</f>
        <v>551225279.2081486</v>
      </c>
      <c r="E24" s="235">
        <f>((E19*(E8+E10))*PARÁMETROS!$C$6)</f>
        <v>1036122796.2658832</v>
      </c>
      <c r="F24" s="235">
        <f>((F19*(F8+F10))*PARÁMETROS!$C$6)</f>
        <v>1446910863.9085619</v>
      </c>
      <c r="G24" s="235">
        <f>((G19*(G8+G10))*PARÁMETROS!$C$6)</f>
        <v>1775278853.9193659</v>
      </c>
      <c r="H24" s="235">
        <f>((H19*(H8+H10))*PARÁMETROS!$C$6)</f>
        <v>1838471431.4644401</v>
      </c>
      <c r="I24" s="235">
        <f>((I19*(I8+I10))*PARÁMETROS!$C$6)</f>
        <v>2148699751.218257</v>
      </c>
      <c r="J24" s="235">
        <f>((J19*(J8+J10))*PARÁMETROS!$C$6)</f>
        <v>2174219940.8317256</v>
      </c>
      <c r="K24" s="235">
        <f>((K19*(K8+K10))*PARÁMETROS!$C$6)</f>
        <v>2078196583.0641108</v>
      </c>
      <c r="L24" s="235">
        <f>((L19*(L8+L10))*PARÁMETROS!$C$6)</f>
        <v>1849206568.7695816</v>
      </c>
      <c r="M24" s="235">
        <f>((M19*(M8+M10))*PARÁMETROS!$C$6)</f>
        <v>1475105229.997633</v>
      </c>
      <c r="N24" s="236">
        <f>+M29*(1+G)/(C3-G)</f>
        <v>-4826024844.981061</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FINANCIERO'!H20</f>
        <v>0</v>
      </c>
      <c r="D26" s="235">
        <f>+'RESUMEN FINANCIERO'!I20</f>
        <v>1207273485.681818</v>
      </c>
      <c r="E26" s="235">
        <f>+'RESUMEN FINANCIERO'!J20</f>
        <v>1275846378.2138484</v>
      </c>
      <c r="F26" s="235">
        <f>+'RESUMEN FINANCIERO'!K20</f>
        <v>1348314197.3271194</v>
      </c>
      <c r="G26" s="235">
        <f>+'RESUMEN FINANCIERO'!L20</f>
        <v>1424898174.0724604</v>
      </c>
      <c r="H26" s="235">
        <f>+'RESUMEN FINANCIERO'!M20</f>
        <v>1505832105.3801415</v>
      </c>
      <c r="I26" s="235">
        <f>+'RESUMEN FINANCIERO'!N20</f>
        <v>1591363067.7993126</v>
      </c>
      <c r="J26" s="235">
        <f>+'RESUMEN FINANCIERO'!O20</f>
        <v>1681752171.7777002</v>
      </c>
      <c r="K26" s="235">
        <f>+'RESUMEN FINANCIERO'!P20</f>
        <v>1777275358.7842393</v>
      </c>
      <c r="L26" s="235">
        <f>+'RESUMEN FINANCIERO'!Q20</f>
        <v>1878224243.7081122</v>
      </c>
      <c r="M26" s="236">
        <f>+'RESUMEN FINANCIERO'!R20</f>
        <v>1984907005.1058843</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1207273485.681818</v>
      </c>
      <c r="E28" s="238">
        <f>SUM(E25:E27)</f>
        <v>1275846378.2138484</v>
      </c>
      <c r="F28" s="238">
        <f t="shared" ref="F28:M28" si="3">SUM(F25:F27)</f>
        <v>1348314197.3271194</v>
      </c>
      <c r="G28" s="238">
        <f t="shared" si="3"/>
        <v>1424898174.0724604</v>
      </c>
      <c r="H28" s="238">
        <f t="shared" si="3"/>
        <v>1505832105.3801415</v>
      </c>
      <c r="I28" s="238">
        <f t="shared" si="3"/>
        <v>1591363067.7993126</v>
      </c>
      <c r="J28" s="238">
        <f t="shared" si="3"/>
        <v>1681752171.7777002</v>
      </c>
      <c r="K28" s="238">
        <f t="shared" si="3"/>
        <v>1777275358.7842393</v>
      </c>
      <c r="L28" s="238">
        <f t="shared" si="3"/>
        <v>1878224243.7081122</v>
      </c>
      <c r="M28" s="239">
        <f t="shared" si="3"/>
        <v>1984907005.1058843</v>
      </c>
      <c r="N28" s="239"/>
    </row>
    <row r="29" spans="2:14" ht="18" customHeight="1" x14ac:dyDescent="0.2">
      <c r="B29" s="183" t="s">
        <v>249</v>
      </c>
      <c r="C29" s="234">
        <f>C24-C28</f>
        <v>0</v>
      </c>
      <c r="D29" s="235">
        <f>D24-D28</f>
        <v>-656048206.47366941</v>
      </c>
      <c r="E29" s="235">
        <f t="shared" ref="E29:M29" si="4">E24-E28</f>
        <v>-239723581.94796515</v>
      </c>
      <c r="F29" s="235">
        <f t="shared" si="4"/>
        <v>98596666.581442595</v>
      </c>
      <c r="G29" s="235">
        <f t="shared" si="4"/>
        <v>350380679.84690547</v>
      </c>
      <c r="H29" s="235">
        <f t="shared" si="4"/>
        <v>332639326.08429861</v>
      </c>
      <c r="I29" s="235">
        <f t="shared" si="4"/>
        <v>557336683.41894436</v>
      </c>
      <c r="J29" s="235">
        <f t="shared" si="4"/>
        <v>492467769.05402541</v>
      </c>
      <c r="K29" s="235">
        <f t="shared" si="4"/>
        <v>300921224.27987146</v>
      </c>
      <c r="L29" s="235">
        <f t="shared" si="4"/>
        <v>-29017674.938530684</v>
      </c>
      <c r="M29" s="236">
        <f t="shared" si="4"/>
        <v>-509801775.10825133</v>
      </c>
      <c r="N29" s="236"/>
    </row>
    <row r="30" spans="2:14" ht="19.899999999999999" customHeight="1" thickBot="1" x14ac:dyDescent="0.25">
      <c r="B30" s="165" t="s">
        <v>250</v>
      </c>
      <c r="C30" s="240">
        <f>IF(C29&lt;0,0,(C29*$C$4))</f>
        <v>0</v>
      </c>
      <c r="D30" s="241">
        <f t="shared" ref="D30:M30" si="5">IF(D29&lt;0,0,(D29*$C$4))</f>
        <v>0</v>
      </c>
      <c r="E30" s="241">
        <f t="shared" si="5"/>
        <v>0</v>
      </c>
      <c r="F30" s="241">
        <f t="shared" si="5"/>
        <v>34508833.303504907</v>
      </c>
      <c r="G30" s="241">
        <f t="shared" si="5"/>
        <v>122633237.9464169</v>
      </c>
      <c r="H30" s="241">
        <f t="shared" si="5"/>
        <v>116423764.1295045</v>
      </c>
      <c r="I30" s="241">
        <f t="shared" si="5"/>
        <v>195067839.19663051</v>
      </c>
      <c r="J30" s="241">
        <f t="shared" si="5"/>
        <v>172363719.16890889</v>
      </c>
      <c r="K30" s="241">
        <f t="shared" si="5"/>
        <v>105322428.49795501</v>
      </c>
      <c r="L30" s="241">
        <f t="shared" si="5"/>
        <v>0</v>
      </c>
      <c r="M30" s="242">
        <f t="shared" si="5"/>
        <v>0</v>
      </c>
      <c r="N30" s="242"/>
    </row>
    <row r="31" spans="2:14" ht="19.899999999999999" customHeight="1" thickBot="1" x14ac:dyDescent="0.25">
      <c r="B31" s="189" t="s">
        <v>251</v>
      </c>
      <c r="C31" s="226">
        <f>+C24-C28-C30</f>
        <v>0</v>
      </c>
      <c r="D31" s="226">
        <f>+D24-D28-D30</f>
        <v>-656048206.47366941</v>
      </c>
      <c r="E31" s="226">
        <f>+E24-E28-E30</f>
        <v>-239723581.94796515</v>
      </c>
      <c r="F31" s="226">
        <f t="shared" ref="F31:M31" si="6">+F24-F28-F30</f>
        <v>64087833.277937688</v>
      </c>
      <c r="G31" s="226">
        <f t="shared" si="6"/>
        <v>227747441.90048856</v>
      </c>
      <c r="H31" s="226">
        <f t="shared" si="6"/>
        <v>216215561.95479411</v>
      </c>
      <c r="I31" s="226">
        <f t="shared" si="6"/>
        <v>362268844.22231388</v>
      </c>
      <c r="J31" s="226">
        <f t="shared" si="6"/>
        <v>320104049.88511652</v>
      </c>
      <c r="K31" s="226">
        <f t="shared" si="6"/>
        <v>195598795.78191644</v>
      </c>
      <c r="L31" s="226">
        <f t="shared" si="6"/>
        <v>-29017674.938530684</v>
      </c>
      <c r="M31" s="227">
        <f t="shared" si="6"/>
        <v>-509801775.10825133</v>
      </c>
      <c r="N31" s="227"/>
    </row>
    <row r="32" spans="2:14" ht="13.5" thickBot="1" x14ac:dyDescent="0.25"/>
    <row r="33" spans="2:13" ht="13.5" thickBot="1" x14ac:dyDescent="0.25">
      <c r="B33" s="1799" t="s">
        <v>253</v>
      </c>
      <c r="C33" s="1800"/>
    </row>
    <row r="34" spans="2:13" ht="16.5" customHeight="1" x14ac:dyDescent="0.2">
      <c r="B34" s="184" t="s">
        <v>254</v>
      </c>
      <c r="C34" s="228">
        <f>+NPV($C$3,D24:N24)+C24</f>
        <v>6128579952.1618185</v>
      </c>
    </row>
    <row r="35" spans="2:13" ht="19.899999999999999" customHeight="1" x14ac:dyDescent="0.2">
      <c r="B35" s="185" t="s">
        <v>255</v>
      </c>
      <c r="C35" s="229">
        <f>+NPV($C$3,D28:M28)+C28</f>
        <v>7011279577.519702</v>
      </c>
    </row>
    <row r="36" spans="2:13" ht="17.25" customHeight="1" thickBot="1" x14ac:dyDescent="0.25">
      <c r="B36" s="186"/>
      <c r="C36" s="230">
        <f>(C35+C23+NPV($C$3,D23:M23))</f>
        <v>7011279577.519702</v>
      </c>
      <c r="D36" s="761">
        <f>SUM(C28:M28)</f>
        <v>15675686187.850636</v>
      </c>
    </row>
    <row r="37" spans="2:13" ht="19.899999999999999" customHeight="1" thickBot="1" x14ac:dyDescent="0.25">
      <c r="B37" s="181" t="s">
        <v>253</v>
      </c>
      <c r="C37" s="225">
        <f>IFERROR(C34/C35,0)</f>
        <v>0.87410292007352164</v>
      </c>
    </row>
    <row r="38" spans="2:13" ht="13.5" thickBot="1" x14ac:dyDescent="0.25">
      <c r="C38" s="112"/>
    </row>
    <row r="39" spans="2:13" ht="13.5" thickBot="1" x14ac:dyDescent="0.25">
      <c r="B39" s="160" t="s">
        <v>532</v>
      </c>
      <c r="C39" s="195" t="str">
        <f>+IF(C37&lt;1,"Sin beneficio","Con beneficio")</f>
        <v>Sin beneficio</v>
      </c>
    </row>
    <row r="43" spans="2:13" x14ac:dyDescent="0.2">
      <c r="D43" s="920"/>
      <c r="E43" s="920"/>
      <c r="F43" s="920"/>
      <c r="G43" s="920"/>
      <c r="H43" s="920"/>
      <c r="I43" s="920"/>
      <c r="J43" s="920"/>
      <c r="K43" s="920"/>
      <c r="L43" s="920"/>
      <c r="M43" s="920"/>
    </row>
    <row r="45" spans="2:13" x14ac:dyDescent="0.2">
      <c r="D45" s="761"/>
      <c r="E45" s="761"/>
      <c r="F45" s="761"/>
      <c r="G45" s="761"/>
      <c r="H45" s="761"/>
      <c r="I45" s="761"/>
      <c r="J45" s="761"/>
      <c r="K45" s="761"/>
      <c r="L45" s="761"/>
      <c r="M45" s="761"/>
    </row>
  </sheetData>
  <mergeCells count="3">
    <mergeCell ref="B2:C2"/>
    <mergeCell ref="C14:M14"/>
    <mergeCell ref="B33:C33"/>
  </mergeCells>
  <conditionalFormatting sqref="C39">
    <cfRule type="containsText" dxfId="575" priority="1" operator="containsText" text="Sin beneficio">
      <formula>NOT(ISERROR(SEARCH("Sin beneficio",C39)))</formula>
    </cfRule>
    <cfRule type="containsText" dxfId="574" priority="2" operator="containsText" text="Con beneficio">
      <formula>NOT(ISERROR(SEARCH("Con beneficio",C39)))</formula>
    </cfRule>
    <cfRule type="containsText" dxfId="573" priority="3" operator="containsText" text="Co beneficio">
      <formula>NOT(ISERROR(SEARCH("Co beneficio",C39)))</formula>
    </cfRule>
    <cfRule type="containsText" dxfId="572" priority="4" operator="containsText" text="Acepta">
      <formula>NOT(ISERROR(SEARCH("Acepta",C39)))</formula>
    </cfRule>
    <cfRule type="containsText" dxfId="571" priority="5" operator="containsText" text="Rechaza">
      <formula>NOT(ISERROR(SEARCH("Rechaza",C39)))</formula>
    </cfRule>
    <cfRule type="cellIs" dxfId="570" priority="6" operator="greaterThan">
      <formula>$C$34&gt;1</formula>
    </cfRule>
    <cfRule type="cellIs" dxfId="569" priority="7" operator="lessThan">
      <formula>$C$34&lt;1</formula>
    </cfRule>
    <cfRule type="cellIs" dxfId="56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{EB10E5BD-34A1-C246-91E5-837C41BF25EE}</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17:M17" unlockedFormula="1"/>
  </ignoredErrors>
  <legacyDrawing r:id="rId1"/>
  <extLst>
    <ext xmlns:x14="http://schemas.microsoft.com/office/spreadsheetml/2009/9/main" uri="{78C0D931-6437-407d-A8EE-F0AAD7539E65}">
      <x14:conditionalFormattings>
        <x14:conditionalFormatting xmlns:xm="http://schemas.microsoft.com/office/excel/2006/main">
          <x14:cfRule type="dataBar" id="{EB10E5BD-34A1-C246-91E5-837C41BF25E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0">
    <tabColor rgb="FF92D050"/>
  </sheetPr>
  <dimension ref="B1:O39"/>
  <sheetViews>
    <sheetView showGridLines="0" topLeftCell="B15" zoomScaleNormal="100" workbookViewId="0">
      <selection activeCell="G45" sqref="G4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6.375" style="86" bestFit="1" customWidth="1"/>
    <col min="15" max="15" width="13.5" style="86" bestFit="1" customWidth="1"/>
    <col min="16"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FINANCIERO'!D21</f>
        <v>10. GESTIÓN DE FRAUDES Y CONEXIONES CLANDESTINAS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4">
        <f>+'EV PROG CCIALES'!J448</f>
        <v>0</v>
      </c>
      <c r="D18" s="178">
        <f>+'EV PROG CCIALES'!K448</f>
        <v>362448</v>
      </c>
      <c r="E18" s="178">
        <f>+'EV PROG CCIALES'!L448</f>
        <v>362448</v>
      </c>
      <c r="F18" s="178">
        <f>+'EV PROG CCIALES'!M448</f>
        <v>362448</v>
      </c>
      <c r="G18" s="178">
        <f>+'EV PROG CCIALES'!N448</f>
        <v>362448</v>
      </c>
      <c r="H18" s="178">
        <f>+'EV PROG CCIALES'!O448</f>
        <v>362448</v>
      </c>
      <c r="I18" s="1105">
        <f>+'EV PROG CCIALES'!P448</f>
        <v>0</v>
      </c>
      <c r="J18" s="1105">
        <f>+'EV PROG CCIALES'!Q448</f>
        <v>0</v>
      </c>
      <c r="K18" s="1105">
        <f>+'EV PROG CCIALES'!R448</f>
        <v>0</v>
      </c>
      <c r="L18" s="1105">
        <f>+'EV PROG CCIALES'!S448</f>
        <v>0</v>
      </c>
      <c r="M18" s="1106">
        <f>+'EV PROG CCIALES'!T448</f>
        <v>0</v>
      </c>
    </row>
    <row r="19" spans="2:15" ht="16.149999999999999" customHeight="1" thickBot="1" x14ac:dyDescent="0.25">
      <c r="B19" s="1073" t="s">
        <v>997</v>
      </c>
      <c r="C19" s="1074">
        <f t="shared" ref="C19:M19" si="1">+C18</f>
        <v>0</v>
      </c>
      <c r="D19" s="178">
        <f t="shared" si="1"/>
        <v>362448</v>
      </c>
      <c r="E19" s="178">
        <f t="shared" si="1"/>
        <v>362448</v>
      </c>
      <c r="F19" s="178">
        <f t="shared" si="1"/>
        <v>362448</v>
      </c>
      <c r="G19" s="178">
        <f t="shared" si="1"/>
        <v>362448</v>
      </c>
      <c r="H19" s="178">
        <f t="shared" si="1"/>
        <v>362448</v>
      </c>
      <c r="I19" s="178">
        <f t="shared" si="1"/>
        <v>0</v>
      </c>
      <c r="J19" s="178">
        <f t="shared" si="1"/>
        <v>0</v>
      </c>
      <c r="K19" s="178">
        <f t="shared" si="1"/>
        <v>0</v>
      </c>
      <c r="L19" s="178">
        <f t="shared" si="1"/>
        <v>0</v>
      </c>
      <c r="M19" s="178">
        <f t="shared" si="1"/>
        <v>0</v>
      </c>
    </row>
    <row r="20" spans="2:15" ht="16.149999999999999" customHeight="1" thickBot="1" x14ac:dyDescent="0.25">
      <c r="B20" s="208" t="s">
        <v>544</v>
      </c>
      <c r="C20" s="219">
        <f>+'RESUMEN FINANCIERO'!H137</f>
        <v>0</v>
      </c>
      <c r="D20" s="220">
        <f>+'RESUMEN FINANCIERO'!I137</f>
        <v>0</v>
      </c>
      <c r="E20" s="220">
        <f>+'RESUMEN FINANCIERO'!J137</f>
        <v>0</v>
      </c>
      <c r="F20" s="220">
        <f>+'RESUMEN FINANCIERO'!K137</f>
        <v>0</v>
      </c>
      <c r="G20" s="220">
        <f>+'RESUMEN FINANCIERO'!L137</f>
        <v>0</v>
      </c>
      <c r="H20" s="220">
        <f>+'RESUMEN FINANCIERO'!M137</f>
        <v>0</v>
      </c>
      <c r="I20" s="1103">
        <f>+'RESUMEN FINANCIERO'!N137</f>
        <v>0</v>
      </c>
      <c r="J20" s="1103">
        <f>+'RESUMEN FINANCIERO'!O137</f>
        <v>0</v>
      </c>
      <c r="K20" s="1103">
        <f>+'RESUMEN FINANCIERO'!P137</f>
        <v>0</v>
      </c>
      <c r="L20" s="1103">
        <f>+'RESUMEN FINANCIERO'!Q137</f>
        <v>0</v>
      </c>
      <c r="M20" s="1104">
        <f>+'RESUMEN FINANCIERO'!R137</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1340902836.9593687</v>
      </c>
      <c r="E24" s="235">
        <f>((E20*(E7+E9))+(E19*(E8+E10)+(E18*E11))*PARÁMETROS!$C$6)</f>
        <v>1388633426.617377</v>
      </c>
      <c r="F24" s="235">
        <f>((F20*(F7+F9))+(F19*(F8+F10)+(F18*F11))*PARÁMETROS!$C$6)</f>
        <v>1438063027.6625693</v>
      </c>
      <c r="G24" s="235">
        <f>((G20*(G7+G9))+(G19*(G8+G10)+(G18*G11))*PARÁMETROS!$C$6)</f>
        <v>1489252117.8664222</v>
      </c>
      <c r="H24" s="235">
        <f>((H20*(H7+H9))+(H19*(H8+H10)+(H18*H11))*PARÁMETROS!$C$6)</f>
        <v>1542263327.7586987</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FINANCIERO'!H21</f>
        <v>0</v>
      </c>
      <c r="D26" s="235">
        <f>+'RESUMEN FINANCIERO'!I21</f>
        <v>1125910908.375375</v>
      </c>
      <c r="E26" s="235">
        <f>+'RESUMEN FINANCIERO'!J21</f>
        <v>1214525258.5721273</v>
      </c>
      <c r="F26" s="235">
        <f>+'RESUMEN FINANCIERO'!K21</f>
        <v>1283510050.3539724</v>
      </c>
      <c r="G26" s="235">
        <f>+'RESUMEN FINANCIERO'!L21</f>
        <v>1356413164.5120683</v>
      </c>
      <c r="H26" s="235">
        <f>+'RESUMEN FINANCIERO'!M21</f>
        <v>1433457160.9737208</v>
      </c>
      <c r="I26" s="235">
        <f>+'RESUMEN FINANCIERO'!N21</f>
        <v>0</v>
      </c>
      <c r="J26" s="235">
        <f>+'RESUMEN FINANCIERO'!O21</f>
        <v>0</v>
      </c>
      <c r="K26" s="235">
        <f>+'RESUMEN FINANCIERO'!P21</f>
        <v>0</v>
      </c>
      <c r="L26" s="235">
        <f>+'RESUMEN FINANCIERO'!Q21</f>
        <v>0</v>
      </c>
      <c r="M26" s="236">
        <f>+'RESUMEN FINANCIERO'!R21</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1125910908.375375</v>
      </c>
      <c r="E28" s="238">
        <f t="shared" ref="E28:M28" si="3">SUM(E25:E27)</f>
        <v>1214525258.5721273</v>
      </c>
      <c r="F28" s="238">
        <f t="shared" si="3"/>
        <v>1283510050.3539724</v>
      </c>
      <c r="G28" s="238">
        <f t="shared" si="3"/>
        <v>1356413164.5120683</v>
      </c>
      <c r="H28" s="238">
        <f t="shared" si="3"/>
        <v>1433457160.9737208</v>
      </c>
      <c r="I28" s="238">
        <f t="shared" si="3"/>
        <v>0</v>
      </c>
      <c r="J28" s="238">
        <f t="shared" si="3"/>
        <v>0</v>
      </c>
      <c r="K28" s="238">
        <f t="shared" si="3"/>
        <v>0</v>
      </c>
      <c r="L28" s="238">
        <f t="shared" si="3"/>
        <v>0</v>
      </c>
      <c r="M28" s="239">
        <f t="shared" si="3"/>
        <v>0</v>
      </c>
      <c r="N28" s="239"/>
      <c r="O28" s="761"/>
    </row>
    <row r="29" spans="2:15" ht="18" customHeight="1" x14ac:dyDescent="0.2">
      <c r="B29" s="183" t="s">
        <v>249</v>
      </c>
      <c r="C29" s="234">
        <f>C24-C28</f>
        <v>0</v>
      </c>
      <c r="D29" s="235">
        <f>D24-D28</f>
        <v>214991928.58399367</v>
      </c>
      <c r="E29" s="235">
        <f t="shared" ref="E29:M29" si="4">E24-E28</f>
        <v>174108168.0452497</v>
      </c>
      <c r="F29" s="235">
        <f t="shared" si="4"/>
        <v>154552977.30859685</v>
      </c>
      <c r="G29" s="235">
        <f t="shared" si="4"/>
        <v>132838953.3543539</v>
      </c>
      <c r="H29" s="235">
        <f t="shared" si="4"/>
        <v>108806166.78497791</v>
      </c>
      <c r="I29" s="235">
        <f t="shared" si="4"/>
        <v>0</v>
      </c>
      <c r="J29" s="235">
        <f t="shared" si="4"/>
        <v>0</v>
      </c>
      <c r="K29" s="235">
        <f t="shared" si="4"/>
        <v>0</v>
      </c>
      <c r="L29" s="235">
        <f t="shared" si="4"/>
        <v>0</v>
      </c>
      <c r="M29" s="236">
        <f t="shared" si="4"/>
        <v>0</v>
      </c>
      <c r="N29" s="236"/>
    </row>
    <row r="30" spans="2:15" ht="19.899999999999999" customHeight="1" thickBot="1" x14ac:dyDescent="0.25">
      <c r="B30" s="165" t="s">
        <v>250</v>
      </c>
      <c r="C30" s="240">
        <f>IF(C29&lt;0,0,(C29*$C$4))</f>
        <v>0</v>
      </c>
      <c r="D30" s="241">
        <f t="shared" ref="D30:M30" si="5">IF(D29&lt;0,0,(D29*$C$4))</f>
        <v>75247175.00439778</v>
      </c>
      <c r="E30" s="241">
        <f t="shared" si="5"/>
        <v>60937858.815837391</v>
      </c>
      <c r="F30" s="241">
        <f t="shared" si="5"/>
        <v>54093542.058008894</v>
      </c>
      <c r="G30" s="241">
        <f t="shared" si="5"/>
        <v>46493633.674023867</v>
      </c>
      <c r="H30" s="241">
        <f t="shared" si="5"/>
        <v>38082158.37474227</v>
      </c>
      <c r="I30" s="241">
        <f t="shared" si="5"/>
        <v>0</v>
      </c>
      <c r="J30" s="241">
        <f t="shared" si="5"/>
        <v>0</v>
      </c>
      <c r="K30" s="241">
        <f t="shared" si="5"/>
        <v>0</v>
      </c>
      <c r="L30" s="241">
        <f t="shared" si="5"/>
        <v>0</v>
      </c>
      <c r="M30" s="242">
        <f t="shared" si="5"/>
        <v>0</v>
      </c>
      <c r="N30" s="242"/>
    </row>
    <row r="31" spans="2:15" ht="19.899999999999999" customHeight="1" thickBot="1" x14ac:dyDescent="0.25">
      <c r="B31" s="189" t="s">
        <v>251</v>
      </c>
      <c r="C31" s="226">
        <f>+C24-C28-C30</f>
        <v>0</v>
      </c>
      <c r="D31" s="226">
        <f>+D24-D28-D30</f>
        <v>139744753.57959589</v>
      </c>
      <c r="E31" s="226">
        <f t="shared" ref="E31:M31" si="6">+E24-E28-E30</f>
        <v>113170309.22941232</v>
      </c>
      <c r="F31" s="226">
        <f t="shared" si="6"/>
        <v>100459435.25058796</v>
      </c>
      <c r="G31" s="226">
        <f t="shared" si="6"/>
        <v>86345319.680330038</v>
      </c>
      <c r="H31" s="226">
        <f t="shared" si="6"/>
        <v>70724008.410235643</v>
      </c>
      <c r="I31" s="226">
        <f t="shared" si="6"/>
        <v>0</v>
      </c>
      <c r="J31" s="226">
        <f t="shared" si="6"/>
        <v>0</v>
      </c>
      <c r="K31" s="226">
        <f t="shared" si="6"/>
        <v>0</v>
      </c>
      <c r="L31" s="226">
        <f t="shared" si="6"/>
        <v>0</v>
      </c>
      <c r="M31" s="227">
        <f t="shared" si="6"/>
        <v>0</v>
      </c>
      <c r="N31" s="227"/>
    </row>
    <row r="32" spans="2:15" ht="13.5" thickBot="1" x14ac:dyDescent="0.25"/>
    <row r="33" spans="2:4" ht="13.5" thickBot="1" x14ac:dyDescent="0.25">
      <c r="B33" s="1801" t="s">
        <v>253</v>
      </c>
      <c r="C33" s="1802"/>
    </row>
    <row r="34" spans="2:4" ht="16.5" customHeight="1" x14ac:dyDescent="0.2">
      <c r="B34" s="184" t="s">
        <v>254</v>
      </c>
      <c r="C34" s="228">
        <f>+NPV($C$3,D24:M24)+C24</f>
        <v>4635315027.8751087</v>
      </c>
    </row>
    <row r="35" spans="2:4" ht="19.899999999999999" customHeight="1" x14ac:dyDescent="0.2">
      <c r="B35" s="185" t="s">
        <v>255</v>
      </c>
      <c r="C35" s="229">
        <f>+NPV($C$3,D28:M28)+C28</f>
        <v>4099471734.9978786</v>
      </c>
    </row>
    <row r="36" spans="2:4" ht="17.25" customHeight="1" thickBot="1" x14ac:dyDescent="0.25">
      <c r="B36" s="186"/>
      <c r="C36" s="230">
        <f>(C35+C23+NPV($C$3,D23:M23))</f>
        <v>4099471734.9978786</v>
      </c>
      <c r="D36" s="761">
        <f>SUM(C28:M28)</f>
        <v>6413816542.7872639</v>
      </c>
    </row>
    <row r="37" spans="2:4" ht="19.899999999999999" customHeight="1" thickBot="1" x14ac:dyDescent="0.25">
      <c r="B37" s="181" t="s">
        <v>253</v>
      </c>
      <c r="C37" s="225">
        <f>IFERROR(C34/C35,0)</f>
        <v>1.1307103274557662</v>
      </c>
    </row>
    <row r="38" spans="2:4" ht="13.5" thickBot="1" x14ac:dyDescent="0.25">
      <c r="C38" s="112"/>
    </row>
    <row r="39" spans="2:4" ht="13.5" thickBot="1" x14ac:dyDescent="0.25">
      <c r="B39" s="160" t="s">
        <v>532</v>
      </c>
      <c r="C39" s="195" t="str">
        <f>+IF(C37&lt;1,"Sin beneficio","Con beneficio")</f>
        <v>Con beneficio</v>
      </c>
    </row>
  </sheetData>
  <mergeCells count="3">
    <mergeCell ref="B2:C2"/>
    <mergeCell ref="C14:M14"/>
    <mergeCell ref="B33:C33"/>
  </mergeCells>
  <conditionalFormatting sqref="C39">
    <cfRule type="containsText" dxfId="567" priority="1" operator="containsText" text="Sin beneficio">
      <formula>NOT(ISERROR(SEARCH("Sin beneficio",C39)))</formula>
    </cfRule>
    <cfRule type="containsText" dxfId="566" priority="2" operator="containsText" text="Con beneficio">
      <formula>NOT(ISERROR(SEARCH("Con beneficio",C39)))</formula>
    </cfRule>
    <cfRule type="containsText" dxfId="565" priority="3" operator="containsText" text="Co beneficio">
      <formula>NOT(ISERROR(SEARCH("Co beneficio",C39)))</formula>
    </cfRule>
    <cfRule type="containsText" dxfId="564" priority="4" operator="containsText" text="Acepta">
      <formula>NOT(ISERROR(SEARCH("Acepta",C39)))</formula>
    </cfRule>
    <cfRule type="containsText" dxfId="563" priority="5" operator="containsText" text="Rechaza">
      <formula>NOT(ISERROR(SEARCH("Rechaza",C39)))</formula>
    </cfRule>
    <cfRule type="cellIs" dxfId="562" priority="6" operator="greaterThan">
      <formula>$C$34&gt;1</formula>
    </cfRule>
    <cfRule type="cellIs" dxfId="561" priority="7" operator="lessThan">
      <formula>$C$34&lt;1</formula>
    </cfRule>
    <cfRule type="cellIs" dxfId="56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{BBC118AF-9417-8145-A646-00F34FA26D26}</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BBC118AF-9417-8145-A646-00F34FA26D26}">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1">
    <tabColor rgb="FF92D050"/>
  </sheetPr>
  <dimension ref="B1:N39"/>
  <sheetViews>
    <sheetView showGridLines="0" topLeftCell="A11" zoomScale="85" zoomScaleNormal="85" workbookViewId="0">
      <selection activeCell="N24" sqref="N24"/>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2.125" style="86" bestFit="1" customWidth="1"/>
    <col min="15"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FINANCIERO'!D22</f>
        <v>11. COBRO DE CONSUMOS POR EJECUCIÓN DE OBRAS DE INFRAESTRUCTURA (COBRO DE TERCEROS)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4">
        <f>+'EV PROG CCIALES'!J449</f>
        <v>0</v>
      </c>
      <c r="D18" s="178">
        <f>+'EV PROG CCIALES'!K449</f>
        <v>0</v>
      </c>
      <c r="E18" s="178">
        <f>+'EV PROG CCIALES'!L449</f>
        <v>0</v>
      </c>
      <c r="F18" s="178">
        <f>+'EV PROG CCIALES'!M449</f>
        <v>0</v>
      </c>
      <c r="G18" s="178">
        <f>+'EV PROG CCIALES'!N449</f>
        <v>0</v>
      </c>
      <c r="H18" s="178">
        <f>+'EV PROG CCIALES'!O449</f>
        <v>0</v>
      </c>
      <c r="I18" s="178">
        <f>+'EV PROG CCIALES'!P449</f>
        <v>0</v>
      </c>
      <c r="J18" s="178">
        <f>+'EV PROG CCIALES'!Q449</f>
        <v>0</v>
      </c>
      <c r="K18" s="178">
        <f>+'EV PROG CCIALES'!R449</f>
        <v>0</v>
      </c>
      <c r="L18" s="178">
        <f>+'EV PROG CCIALES'!S449</f>
        <v>0</v>
      </c>
      <c r="M18" s="179">
        <f>+'EV PROG CCIALES'!T449</f>
        <v>0</v>
      </c>
    </row>
    <row r="19" spans="2:14" ht="16.149999999999999" customHeight="1" thickBot="1" x14ac:dyDescent="0.25">
      <c r="B19" s="1073" t="s">
        <v>997</v>
      </c>
      <c r="C19" s="1074">
        <f>+C18</f>
        <v>0</v>
      </c>
      <c r="D19" s="178">
        <f>+C19+D18</f>
        <v>0</v>
      </c>
      <c r="E19" s="178">
        <f t="shared" ref="E19:M19" si="1">+D19+E18</f>
        <v>0</v>
      </c>
      <c r="F19" s="178">
        <f t="shared" si="1"/>
        <v>0</v>
      </c>
      <c r="G19" s="178">
        <f t="shared" si="1"/>
        <v>0</v>
      </c>
      <c r="H19" s="178">
        <f t="shared" si="1"/>
        <v>0</v>
      </c>
      <c r="I19" s="178">
        <f t="shared" si="1"/>
        <v>0</v>
      </c>
      <c r="J19" s="178">
        <f t="shared" si="1"/>
        <v>0</v>
      </c>
      <c r="K19" s="178">
        <f t="shared" si="1"/>
        <v>0</v>
      </c>
      <c r="L19" s="178">
        <f t="shared" si="1"/>
        <v>0</v>
      </c>
      <c r="M19" s="179">
        <f t="shared" si="1"/>
        <v>0</v>
      </c>
    </row>
    <row r="20" spans="2:14" ht="16.149999999999999" customHeight="1" thickBot="1" x14ac:dyDescent="0.25">
      <c r="B20" s="208" t="s">
        <v>544</v>
      </c>
      <c r="C20" s="219">
        <f>+'RESUMEN FINANCIERO'!H138</f>
        <v>0</v>
      </c>
      <c r="D20" s="220">
        <f>+'RESUMEN FINANCIERO'!I138</f>
        <v>0</v>
      </c>
      <c r="E20" s="220">
        <f>+'RESUMEN FINANCIERO'!J138</f>
        <v>0</v>
      </c>
      <c r="F20" s="220">
        <f>+'RESUMEN FINANCIERO'!K138</f>
        <v>0</v>
      </c>
      <c r="G20" s="220">
        <f>+'RESUMEN FINANCIERO'!L138</f>
        <v>0</v>
      </c>
      <c r="H20" s="220">
        <f>+'RESUMEN FINANCIERO'!M138</f>
        <v>0</v>
      </c>
      <c r="I20" s="220">
        <f>+'RESUMEN FINANCIERO'!N138</f>
        <v>0</v>
      </c>
      <c r="J20" s="220">
        <f>+'RESUMEN FINANCIERO'!O138</f>
        <v>0</v>
      </c>
      <c r="K20" s="220">
        <f>+'RESUMEN FINANCIERO'!P138</f>
        <v>0</v>
      </c>
      <c r="L20" s="220">
        <f>+'RESUMEN FINANCIERO'!Q138</f>
        <v>0</v>
      </c>
      <c r="M20" s="221">
        <f>+'RESUMEN FINANCIERO'!R138</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4">
        <f>((C20*(C7+C9))+(C19*(C8+C10)+(C18*C11))*PARÁMETROS!$C$6)</f>
        <v>0</v>
      </c>
      <c r="D24" s="235">
        <f>((D20*(D7+D9))+(D19*(D8+D10)+(D18*D11))*PARÁMETROS!$C$6)</f>
        <v>0</v>
      </c>
      <c r="E24" s="235">
        <f>((E20*(E7+E9))+(E19*(E8+E10)+(E18*E11))*PARÁMETROS!$C$6)</f>
        <v>0</v>
      </c>
      <c r="F24" s="235">
        <f>((F20*(F7+F9))+(F19*(F8+F10)+(F18*F11))*PARÁMETROS!$C$6)</f>
        <v>0</v>
      </c>
      <c r="G24" s="235">
        <f>((G20*(G7+G9))+(G19*(G8+G10)+(G18*G11))*PARÁMETROS!$C$6)</f>
        <v>0</v>
      </c>
      <c r="H24" s="235">
        <f>((H20*(H7+H9))+(H19*(H8+H10)+(H18*H11))*PARÁMETROS!$C$6)</f>
        <v>0</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FINANCIERO'!H22</f>
        <v>0</v>
      </c>
      <c r="D26" s="235">
        <f>+'RESUMEN FINANCIERO'!I22</f>
        <v>0</v>
      </c>
      <c r="E26" s="235">
        <f>+'RESUMEN FINANCIERO'!J22</f>
        <v>0</v>
      </c>
      <c r="F26" s="235">
        <f>+'RESUMEN FINANCIERO'!K22</f>
        <v>0</v>
      </c>
      <c r="G26" s="235">
        <f>+'RESUMEN FINANCIERO'!L22</f>
        <v>0</v>
      </c>
      <c r="H26" s="235">
        <f>+'RESUMEN FINANCIERO'!M22</f>
        <v>0</v>
      </c>
      <c r="I26" s="235">
        <f>+'RESUMEN FINANCIERO'!N22</f>
        <v>0</v>
      </c>
      <c r="J26" s="235">
        <f>+'RESUMEN FINANCIERO'!O22</f>
        <v>0</v>
      </c>
      <c r="K26" s="235">
        <f>+'RESUMEN FINANCIERO'!P22</f>
        <v>0</v>
      </c>
      <c r="L26" s="235">
        <f>+'RESUMEN FINANCIERO'!Q22</f>
        <v>0</v>
      </c>
      <c r="M26" s="236">
        <f>+'RESUMEN FINANCIERO'!R22</f>
        <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row>
    <row r="29" spans="2:14" ht="18" customHeight="1" x14ac:dyDescent="0.2">
      <c r="B29" s="183" t="s">
        <v>249</v>
      </c>
      <c r="C29" s="234">
        <f>C24-C28</f>
        <v>0</v>
      </c>
      <c r="D29" s="235">
        <f>D24-D28</f>
        <v>0</v>
      </c>
      <c r="E29" s="235">
        <f t="shared" ref="E29:M29" si="4">E24-E28</f>
        <v>0</v>
      </c>
      <c r="F29" s="235">
        <f t="shared" si="4"/>
        <v>0</v>
      </c>
      <c r="G29" s="235">
        <f t="shared" si="4"/>
        <v>0</v>
      </c>
      <c r="H29" s="235">
        <f t="shared" si="4"/>
        <v>0</v>
      </c>
      <c r="I29" s="235">
        <f t="shared" si="4"/>
        <v>0</v>
      </c>
      <c r="J29" s="235">
        <f t="shared" si="4"/>
        <v>0</v>
      </c>
      <c r="K29" s="235">
        <f t="shared" si="4"/>
        <v>0</v>
      </c>
      <c r="L29" s="235">
        <f t="shared" si="4"/>
        <v>0</v>
      </c>
      <c r="M29" s="236">
        <f t="shared" si="4"/>
        <v>0</v>
      </c>
      <c r="N29" s="236"/>
    </row>
    <row r="30" spans="2:14" ht="19.899999999999999" customHeight="1" thickBot="1" x14ac:dyDescent="0.25">
      <c r="B30" s="165" t="s">
        <v>250</v>
      </c>
      <c r="C30" s="240">
        <f>IF(C29&lt;0,0,(C29*$C$4))</f>
        <v>0</v>
      </c>
      <c r="D30" s="241">
        <f t="shared" ref="D30:M30" si="5">IF(D29&lt;0,0,(D29*$C$4))</f>
        <v>0</v>
      </c>
      <c r="E30" s="241">
        <f t="shared" si="5"/>
        <v>0</v>
      </c>
      <c r="F30" s="241">
        <f t="shared" si="5"/>
        <v>0</v>
      </c>
      <c r="G30" s="241">
        <f t="shared" si="5"/>
        <v>0</v>
      </c>
      <c r="H30" s="241">
        <f t="shared" si="5"/>
        <v>0</v>
      </c>
      <c r="I30" s="241">
        <f t="shared" si="5"/>
        <v>0</v>
      </c>
      <c r="J30" s="241">
        <f t="shared" si="5"/>
        <v>0</v>
      </c>
      <c r="K30" s="241">
        <f t="shared" si="5"/>
        <v>0</v>
      </c>
      <c r="L30" s="241">
        <f t="shared" si="5"/>
        <v>0</v>
      </c>
      <c r="M30" s="242">
        <f t="shared" si="5"/>
        <v>0</v>
      </c>
      <c r="N30" s="242"/>
    </row>
    <row r="31" spans="2:14" ht="19.899999999999999" customHeight="1" thickBot="1" x14ac:dyDescent="0.25">
      <c r="B31" s="189" t="s">
        <v>251</v>
      </c>
      <c r="C31" s="226">
        <f>+C24-C28-C30</f>
        <v>0</v>
      </c>
      <c r="D31" s="226">
        <f>+D24-D28-D30</f>
        <v>0</v>
      </c>
      <c r="E31" s="226">
        <f t="shared" ref="E31:M31" si="6">+E24-E28-E30</f>
        <v>0</v>
      </c>
      <c r="F31" s="226">
        <f t="shared" si="6"/>
        <v>0</v>
      </c>
      <c r="G31" s="226">
        <f t="shared" si="6"/>
        <v>0</v>
      </c>
      <c r="H31" s="226">
        <f t="shared" si="6"/>
        <v>0</v>
      </c>
      <c r="I31" s="226">
        <f t="shared" si="6"/>
        <v>0</v>
      </c>
      <c r="J31" s="226">
        <f t="shared" si="6"/>
        <v>0</v>
      </c>
      <c r="K31" s="226">
        <f t="shared" si="6"/>
        <v>0</v>
      </c>
      <c r="L31" s="226">
        <f t="shared" si="6"/>
        <v>0</v>
      </c>
      <c r="M31" s="227">
        <f t="shared" si="6"/>
        <v>0</v>
      </c>
      <c r="N31" s="227"/>
    </row>
    <row r="32" spans="2:14" ht="13.5" thickBot="1" x14ac:dyDescent="0.25"/>
    <row r="33" spans="2:3" ht="13.5" thickBot="1" x14ac:dyDescent="0.25">
      <c r="B33" s="1801" t="s">
        <v>253</v>
      </c>
      <c r="C33" s="1802"/>
    </row>
    <row r="34" spans="2:3" ht="16.5" customHeight="1" x14ac:dyDescent="0.2">
      <c r="B34" s="184" t="s">
        <v>254</v>
      </c>
      <c r="C34" s="228">
        <f>+NPV($C$3,D24:N24)+C24</f>
        <v>0</v>
      </c>
    </row>
    <row r="35" spans="2:3" ht="19.899999999999999" customHeight="1" x14ac:dyDescent="0.2">
      <c r="B35" s="185" t="s">
        <v>255</v>
      </c>
      <c r="C35" s="229">
        <f>+NPV($C$3,D28:M28)+C28</f>
        <v>0</v>
      </c>
    </row>
    <row r="36" spans="2:3" ht="17.25" customHeight="1" thickBot="1" x14ac:dyDescent="0.25">
      <c r="B36" s="186"/>
      <c r="C36" s="230">
        <f>(C35+C23+NPV($C$3,D23:M23))</f>
        <v>0</v>
      </c>
    </row>
    <row r="37" spans="2:3" ht="19.899999999999999" customHeight="1" thickBot="1" x14ac:dyDescent="0.25">
      <c r="B37" s="181" t="s">
        <v>253</v>
      </c>
      <c r="C37" s="225">
        <f>IFERROR(C34/C35,0)</f>
        <v>0</v>
      </c>
    </row>
    <row r="38" spans="2:3" ht="13.5" thickBot="1" x14ac:dyDescent="0.25">
      <c r="C38" s="112"/>
    </row>
    <row r="39" spans="2:3"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59" priority="1" operator="containsText" text="Sin beneficio">
      <formula>NOT(ISERROR(SEARCH("Sin beneficio",C39)))</formula>
    </cfRule>
    <cfRule type="containsText" dxfId="558" priority="2" operator="containsText" text="Con beneficio">
      <formula>NOT(ISERROR(SEARCH("Con beneficio",C39)))</formula>
    </cfRule>
    <cfRule type="containsText" dxfId="557" priority="3" operator="containsText" text="Co beneficio">
      <formula>NOT(ISERROR(SEARCH("Co beneficio",C39)))</formula>
    </cfRule>
    <cfRule type="containsText" dxfId="556" priority="4" operator="containsText" text="Acepta">
      <formula>NOT(ISERROR(SEARCH("Acepta",C39)))</formula>
    </cfRule>
    <cfRule type="containsText" dxfId="555" priority="5" operator="containsText" text="Rechaza">
      <formula>NOT(ISERROR(SEARCH("Rechaza",C39)))</formula>
    </cfRule>
    <cfRule type="cellIs" dxfId="554" priority="6" operator="greaterThan">
      <formula>$C$34&gt;1</formula>
    </cfRule>
    <cfRule type="cellIs" dxfId="553" priority="7" operator="lessThan">
      <formula>$C$34&lt;1</formula>
    </cfRule>
    <cfRule type="cellIs" dxfId="55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{16F565E9-0A56-AA44-8176-2C0BFD9D33B6}</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6F565E9-0A56-AA44-8176-2C0BFD9D33B6}">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tabColor rgb="FF92D050"/>
  </sheetPr>
  <dimension ref="B1:N39"/>
  <sheetViews>
    <sheetView showGridLines="0" topLeftCell="A11" zoomScale="85" zoomScaleNormal="85" workbookViewId="0">
      <selection activeCell="K43" sqref="K43"/>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5.25" style="86" bestFit="1" customWidth="1"/>
    <col min="15" max="15" width="15.875" style="86" customWidth="1"/>
    <col min="16"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c r="E3" s="1071"/>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FINANCIERO'!D23</f>
        <v>12. SEGUIMIENTO USUARIOS CON CONSUMO 0 E INACTIVOS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963" t="s">
        <v>545</v>
      </c>
      <c r="C17" s="1035">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4">
        <f>+'EV PROG CCIALES'!J450</f>
        <v>0</v>
      </c>
      <c r="D18" s="178">
        <f>+'EV PROG CCIALES'!K450</f>
        <v>22189.508158946323</v>
      </c>
      <c r="E18" s="178">
        <f>+'EV PROG CCIALES'!L450</f>
        <v>21945.423569197908</v>
      </c>
      <c r="F18" s="178">
        <f>+'EV PROG CCIALES'!M450</f>
        <v>21704.023909936728</v>
      </c>
      <c r="G18" s="178">
        <f>+'EV PROG CCIALES'!N450</f>
        <v>21465.279646927425</v>
      </c>
      <c r="H18" s="178">
        <f>+'EV PROG CCIALES'!O450</f>
        <v>21229.161570811226</v>
      </c>
      <c r="I18" s="178">
        <f>+'EV PROG CCIALES'!P450</f>
        <v>0</v>
      </c>
      <c r="J18" s="178">
        <f>+'EV PROG CCIALES'!Q450</f>
        <v>0</v>
      </c>
      <c r="K18" s="178">
        <f>+'EV PROG CCIALES'!R450</f>
        <v>0</v>
      </c>
      <c r="L18" s="178">
        <f>+'EV PROG CCIALES'!S450</f>
        <v>0</v>
      </c>
      <c r="M18" s="179">
        <f>+'EV PROG CCIALES'!T450</f>
        <v>0</v>
      </c>
    </row>
    <row r="19" spans="2:14" ht="16.149999999999999" customHeight="1" thickBot="1" x14ac:dyDescent="0.25">
      <c r="B19" s="1073" t="s">
        <v>997</v>
      </c>
      <c r="C19" s="1074">
        <f>+C18</f>
        <v>0</v>
      </c>
      <c r="D19" s="220">
        <f>+'EV PROG CCIALES'!K318</f>
        <v>22189.508158946323</v>
      </c>
      <c r="E19" s="220">
        <f>+'EV PROG CCIALES'!L318</f>
        <v>43890.847138395824</v>
      </c>
      <c r="F19" s="220">
        <f>+'EV PROG CCIALES'!M318</f>
        <v>65112.071729810195</v>
      </c>
      <c r="G19" s="220">
        <f>+'EV PROG CCIALES'!N318</f>
        <v>85861.118587709701</v>
      </c>
      <c r="H19" s="220">
        <f>+'EV PROG CCIALES'!O318</f>
        <v>106145.80785405611</v>
      </c>
      <c r="I19" s="178"/>
      <c r="J19" s="178"/>
      <c r="K19" s="178"/>
      <c r="L19" s="178"/>
      <c r="M19" s="178"/>
    </row>
    <row r="20" spans="2:14" ht="16.149999999999999" customHeight="1" thickBot="1" x14ac:dyDescent="0.25">
      <c r="B20" s="208" t="s">
        <v>544</v>
      </c>
      <c r="C20" s="219">
        <f>+'RESUMEN FINANCIERO'!H139</f>
        <v>0</v>
      </c>
      <c r="D20" s="220">
        <f>+'RESUMEN FINANCIERO'!I139</f>
        <v>0</v>
      </c>
      <c r="E20" s="220">
        <f>+'RESUMEN FINANCIERO'!J139</f>
        <v>0</v>
      </c>
      <c r="F20" s="220">
        <f>+'RESUMEN FINANCIERO'!K139</f>
        <v>0</v>
      </c>
      <c r="G20" s="220">
        <f>+'RESUMEN FINANCIERO'!L139</f>
        <v>0</v>
      </c>
      <c r="H20" s="220">
        <f>+'RESUMEN FINANCIERO'!M139</f>
        <v>0</v>
      </c>
      <c r="I20" s="220">
        <f>+'RESUMEN FINANCIERO'!N139</f>
        <v>0</v>
      </c>
      <c r="J20" s="220">
        <f>+'RESUMEN FINANCIERO'!O139</f>
        <v>0</v>
      </c>
      <c r="K20" s="220">
        <f>+'RESUMEN FINANCIERO'!P139</f>
        <v>0</v>
      </c>
      <c r="L20" s="220">
        <f>+'RESUMEN FINANCIERO'!Q139</f>
        <v>0</v>
      </c>
      <c r="M20" s="221">
        <f>+'RESUMEN FINANCIERO'!R139</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200" t="s">
        <v>996</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5">
        <f>((C19*(C8+C10))*PARÁMETROS!$C$6)</f>
        <v>0</v>
      </c>
      <c r="D24" s="235">
        <f>((D19*(D8+D10))*PARÁMETROS!$C$6)</f>
        <v>82091705.406193942</v>
      </c>
      <c r="E24" s="235">
        <f>((E19*(E8+E10))*PARÁMETROS!$C$6)</f>
        <v>168157356.25229025</v>
      </c>
      <c r="F24" s="235">
        <f>((F19*(F8+F10))*PARÁMETROS!$C$6)</f>
        <v>258341232.4227289</v>
      </c>
      <c r="G24" s="235">
        <f>((G19*(G8+G10))*PARÁMETROS!$C$6)</f>
        <v>352792270.0611583</v>
      </c>
      <c r="H24" s="235">
        <f>((H19*(H8+H10))*PARÁMETROS!$C$6)</f>
        <v>451664202.4473359</v>
      </c>
      <c r="I24" s="235">
        <f>((I19*(I8+I10))*PARÁMETROS!$C$6)</f>
        <v>0</v>
      </c>
      <c r="J24" s="235">
        <f>((J19*(J8+J10))*PARÁMETROS!$C$6)</f>
        <v>0</v>
      </c>
      <c r="K24" s="235">
        <f>((K19*(K8+K10))*PARÁMETROS!$C$6)</f>
        <v>0</v>
      </c>
      <c r="L24" s="235">
        <f>((L19*(L8+L10))*PARÁMETROS!$C$6)</f>
        <v>0</v>
      </c>
      <c r="M24" s="235">
        <f>((M19*(M8+M10))*PARÁMETROS!$C$6)</f>
        <v>0</v>
      </c>
      <c r="N24" s="236">
        <f>+M29*(1+G)/(C3-G)</f>
        <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FINANCIERO'!H23</f>
        <v>0</v>
      </c>
      <c r="D26" s="235">
        <f>+'RESUMEN FINANCIERO'!I23</f>
        <v>188452409.73255</v>
      </c>
      <c r="E26" s="235">
        <f>+'RESUMEN FINANCIERO'!J23</f>
        <v>199156468.91487688</v>
      </c>
      <c r="F26" s="235">
        <f>+'RESUMEN FINANCIERO'!K23</f>
        <v>210468516.51794812</v>
      </c>
      <c r="G26" s="235">
        <f>+'RESUMEN FINANCIERO'!L23</f>
        <v>222423086.16246432</v>
      </c>
      <c r="H26" s="235">
        <f>+'RESUMEN FINANCIERO'!M23</f>
        <v>235056672.97187507</v>
      </c>
      <c r="I26" s="235">
        <f>+'RESUMEN FINANCIERO'!N23</f>
        <v>0</v>
      </c>
      <c r="J26" s="235">
        <f>+'RESUMEN FINANCIERO'!O23</f>
        <v>0</v>
      </c>
      <c r="K26" s="235">
        <f>+'RESUMEN FINANCIERO'!P23</f>
        <v>0</v>
      </c>
      <c r="L26" s="235">
        <f>+'RESUMEN FINANCIERO'!Q23</f>
        <v>0</v>
      </c>
      <c r="M26" s="236">
        <f>+'RESUMEN FINANCIERO'!R23</f>
        <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188452409.73255</v>
      </c>
      <c r="E28" s="238">
        <f t="shared" ref="E28:M28" si="2">SUM(E25:E27)</f>
        <v>199156468.91487688</v>
      </c>
      <c r="F28" s="238">
        <f t="shared" si="2"/>
        <v>210468516.51794812</v>
      </c>
      <c r="G28" s="238">
        <f t="shared" si="2"/>
        <v>222423086.16246432</v>
      </c>
      <c r="H28" s="238">
        <f t="shared" si="2"/>
        <v>235056672.97187507</v>
      </c>
      <c r="I28" s="238">
        <f t="shared" si="2"/>
        <v>0</v>
      </c>
      <c r="J28" s="238">
        <f t="shared" si="2"/>
        <v>0</v>
      </c>
      <c r="K28" s="238">
        <f t="shared" si="2"/>
        <v>0</v>
      </c>
      <c r="L28" s="238">
        <f t="shared" si="2"/>
        <v>0</v>
      </c>
      <c r="M28" s="239">
        <f t="shared" si="2"/>
        <v>0</v>
      </c>
      <c r="N28" s="239"/>
    </row>
    <row r="29" spans="2:14" ht="18" customHeight="1" x14ac:dyDescent="0.2">
      <c r="B29" s="183" t="s">
        <v>249</v>
      </c>
      <c r="C29" s="234">
        <f>C24-C28</f>
        <v>0</v>
      </c>
      <c r="D29" s="235">
        <f>D24-D28</f>
        <v>-106360704.32635605</v>
      </c>
      <c r="E29" s="235">
        <f t="shared" ref="E29:M29" si="3">E24-E28</f>
        <v>-30999112.662586629</v>
      </c>
      <c r="F29" s="235">
        <f t="shared" si="3"/>
        <v>47872715.904780775</v>
      </c>
      <c r="G29" s="235">
        <f t="shared" si="3"/>
        <v>130369183.89869398</v>
      </c>
      <c r="H29" s="235">
        <f t="shared" si="3"/>
        <v>216607529.47546083</v>
      </c>
      <c r="I29" s="235">
        <f t="shared" si="3"/>
        <v>0</v>
      </c>
      <c r="J29" s="235">
        <f t="shared" si="3"/>
        <v>0</v>
      </c>
      <c r="K29" s="235">
        <f t="shared" si="3"/>
        <v>0</v>
      </c>
      <c r="L29" s="235">
        <f t="shared" si="3"/>
        <v>0</v>
      </c>
      <c r="M29" s="236">
        <f t="shared" si="3"/>
        <v>0</v>
      </c>
      <c r="N29" s="236"/>
    </row>
    <row r="30" spans="2:14" ht="19.899999999999999" customHeight="1" thickBot="1" x14ac:dyDescent="0.25">
      <c r="B30" s="165" t="s">
        <v>250</v>
      </c>
      <c r="C30" s="240">
        <f>IF(C29&lt;0,0,(C29*$C$4))</f>
        <v>0</v>
      </c>
      <c r="D30" s="241">
        <f t="shared" ref="D30:M30" si="4">IF(D29&lt;0,0,(D29*$C$4))</f>
        <v>0</v>
      </c>
      <c r="E30" s="241">
        <f t="shared" si="4"/>
        <v>0</v>
      </c>
      <c r="F30" s="241">
        <f t="shared" si="4"/>
        <v>16755450.566673269</v>
      </c>
      <c r="G30" s="241">
        <f t="shared" si="4"/>
        <v>45629214.364542887</v>
      </c>
      <c r="H30" s="241">
        <f t="shared" si="4"/>
        <v>75812635.316411287</v>
      </c>
      <c r="I30" s="241">
        <f t="shared" si="4"/>
        <v>0</v>
      </c>
      <c r="J30" s="241">
        <f t="shared" si="4"/>
        <v>0</v>
      </c>
      <c r="K30" s="241">
        <f t="shared" si="4"/>
        <v>0</v>
      </c>
      <c r="L30" s="241">
        <f t="shared" si="4"/>
        <v>0</v>
      </c>
      <c r="M30" s="242">
        <f t="shared" si="4"/>
        <v>0</v>
      </c>
      <c r="N30" s="242"/>
    </row>
    <row r="31" spans="2:14" ht="19.899999999999999" customHeight="1" thickBot="1" x14ac:dyDescent="0.25">
      <c r="B31" s="189" t="s">
        <v>251</v>
      </c>
      <c r="C31" s="226">
        <f>+C24-C28-C30</f>
        <v>0</v>
      </c>
      <c r="D31" s="226">
        <f>+D24-D28-D30</f>
        <v>-106360704.32635605</v>
      </c>
      <c r="E31" s="226">
        <f t="shared" ref="E31:M31" si="5">+E24-E28-E30</f>
        <v>-30999112.662586629</v>
      </c>
      <c r="F31" s="226">
        <f t="shared" si="5"/>
        <v>31117265.338107504</v>
      </c>
      <c r="G31" s="226">
        <f t="shared" si="5"/>
        <v>84739969.534151092</v>
      </c>
      <c r="H31" s="226">
        <f t="shared" si="5"/>
        <v>140794894.15904954</v>
      </c>
      <c r="I31" s="226">
        <f t="shared" si="5"/>
        <v>0</v>
      </c>
      <c r="J31" s="226">
        <f t="shared" si="5"/>
        <v>0</v>
      </c>
      <c r="K31" s="226">
        <f t="shared" si="5"/>
        <v>0</v>
      </c>
      <c r="L31" s="226">
        <f t="shared" si="5"/>
        <v>0</v>
      </c>
      <c r="M31" s="227">
        <f t="shared" si="5"/>
        <v>0</v>
      </c>
      <c r="N31" s="227"/>
    </row>
    <row r="32" spans="2:14" ht="13.5" thickBot="1" x14ac:dyDescent="0.25"/>
    <row r="33" spans="2:4" ht="13.5" thickBot="1" x14ac:dyDescent="0.25">
      <c r="B33" s="1801" t="s">
        <v>253</v>
      </c>
      <c r="C33" s="1802"/>
    </row>
    <row r="34" spans="2:4" ht="16.5" customHeight="1" x14ac:dyDescent="0.2">
      <c r="B34" s="184" t="s">
        <v>254</v>
      </c>
      <c r="C34" s="228">
        <f>+NPV($C$3,D24:N24)+C24</f>
        <v>764796700.79905891</v>
      </c>
    </row>
    <row r="35" spans="2:4" ht="19.899999999999999" customHeight="1" x14ac:dyDescent="0.2">
      <c r="B35" s="185" t="s">
        <v>255</v>
      </c>
      <c r="C35" s="229">
        <f>+NPV($C$3,D28:M28)+C28</f>
        <v>675517840.109828</v>
      </c>
    </row>
    <row r="36" spans="2:4" ht="17.25" customHeight="1" thickBot="1" x14ac:dyDescent="0.25">
      <c r="B36" s="186"/>
      <c r="C36" s="230">
        <f>(C35+C23+NPV($C$3,D23:M23))</f>
        <v>675517840.109828</v>
      </c>
      <c r="D36" s="761">
        <f>SUM(C28:M28)</f>
        <v>1055557154.2997144</v>
      </c>
    </row>
    <row r="37" spans="2:4" ht="19.899999999999999" customHeight="1" thickBot="1" x14ac:dyDescent="0.25">
      <c r="B37" s="181" t="s">
        <v>253</v>
      </c>
      <c r="C37" s="225">
        <f>IFERROR(C34/C35,0)</f>
        <v>1.1321635867895297</v>
      </c>
    </row>
    <row r="38" spans="2:4" ht="13.5" thickBot="1" x14ac:dyDescent="0.25">
      <c r="C38" s="112"/>
    </row>
    <row r="39" spans="2:4" ht="13.5" thickBot="1" x14ac:dyDescent="0.25">
      <c r="B39" s="160" t="s">
        <v>532</v>
      </c>
      <c r="C39" s="195" t="str">
        <f>+IF(C37&lt;1,"Sin beneficio","Con beneficio")</f>
        <v>Con beneficio</v>
      </c>
    </row>
  </sheetData>
  <mergeCells count="3">
    <mergeCell ref="B2:C2"/>
    <mergeCell ref="C14:M14"/>
    <mergeCell ref="B33:C33"/>
  </mergeCells>
  <conditionalFormatting sqref="C39">
    <cfRule type="containsText" dxfId="551" priority="1" operator="containsText" text="Sin beneficio">
      <formula>NOT(ISERROR(SEARCH("Sin beneficio",C39)))</formula>
    </cfRule>
    <cfRule type="containsText" dxfId="550" priority="2" operator="containsText" text="Con beneficio">
      <formula>NOT(ISERROR(SEARCH("Con beneficio",C39)))</formula>
    </cfRule>
    <cfRule type="containsText" dxfId="549" priority="3" operator="containsText" text="Co beneficio">
      <formula>NOT(ISERROR(SEARCH("Co beneficio",C39)))</formula>
    </cfRule>
    <cfRule type="containsText" dxfId="548" priority="4" operator="containsText" text="Acepta">
      <formula>NOT(ISERROR(SEARCH("Acepta",C39)))</formula>
    </cfRule>
    <cfRule type="containsText" dxfId="547" priority="5" operator="containsText" text="Rechaza">
      <formula>NOT(ISERROR(SEARCH("Rechaza",C39)))</formula>
    </cfRule>
    <cfRule type="cellIs" dxfId="546" priority="6" operator="greaterThan">
      <formula>$C$34&gt;1</formula>
    </cfRule>
    <cfRule type="cellIs" dxfId="545" priority="7" operator="lessThan">
      <formula>$C$34&lt;1</formula>
    </cfRule>
    <cfRule type="cellIs" dxfId="54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{BE4FD174-2644-6C40-9E64-ECFBA7B10B5A}</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BE4FD174-2644-6C40-9E64-ECFBA7B10B5A}">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3">
    <tabColor rgb="FF92D050"/>
  </sheetPr>
  <dimension ref="B1:O39"/>
  <sheetViews>
    <sheetView showGridLines="0" topLeftCell="A5" zoomScale="85" zoomScaleNormal="85" workbookViewId="0">
      <selection activeCell="M40" sqref="M40"/>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5.25" style="86" bestFit="1" customWidth="1"/>
    <col min="15" max="15" width="14.375" style="86" customWidth="1"/>
    <col min="16"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FINANCIERO'!D24</f>
        <v>13. SEGUIMIENTO ANOMALIAS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963" t="s">
        <v>545</v>
      </c>
      <c r="C17" s="1035">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4">
        <f>+'EV PROG CCIALES'!J451</f>
        <v>0</v>
      </c>
      <c r="D18" s="178">
        <f>+'EV PROG CCIALES'!K451</f>
        <v>41452.800000000003</v>
      </c>
      <c r="E18" s="178">
        <f>+'EV PROG CCIALES'!L451</f>
        <v>41452.800000000003</v>
      </c>
      <c r="F18" s="178">
        <f>+'EV PROG CCIALES'!M451</f>
        <v>41452.800000000003</v>
      </c>
      <c r="G18" s="178">
        <f>+'EV PROG CCIALES'!N451</f>
        <v>41452.800000000003</v>
      </c>
      <c r="H18" s="178">
        <f>+'EV PROG CCIALES'!O451</f>
        <v>41452.800000000003</v>
      </c>
      <c r="I18" s="178">
        <f>+'EV PROG CCIALES'!P451</f>
        <v>41452.800000000003</v>
      </c>
      <c r="J18" s="178">
        <f>+'EV PROG CCIALES'!Q451</f>
        <v>41452.800000000003</v>
      </c>
      <c r="K18" s="178">
        <f>+'EV PROG CCIALES'!R451</f>
        <v>41452.800000000003</v>
      </c>
      <c r="L18" s="178">
        <f>+'EV PROG CCIALES'!S451</f>
        <v>41452.800000000003</v>
      </c>
      <c r="M18" s="179">
        <f>+'EV PROG CCIALES'!T451</f>
        <v>41452.800000000003</v>
      </c>
    </row>
    <row r="19" spans="2:15" ht="16.149999999999999" customHeight="1" thickBot="1" x14ac:dyDescent="0.25">
      <c r="B19" s="1073" t="s">
        <v>997</v>
      </c>
      <c r="C19" s="1074">
        <f>+C18</f>
        <v>0</v>
      </c>
      <c r="D19" s="178">
        <f t="shared" ref="D19:M19" si="1">+C19+D18</f>
        <v>41452.800000000003</v>
      </c>
      <c r="E19" s="178">
        <f t="shared" si="1"/>
        <v>82905.600000000006</v>
      </c>
      <c r="F19" s="178">
        <f t="shared" si="1"/>
        <v>124358.40000000001</v>
      </c>
      <c r="G19" s="178">
        <f t="shared" si="1"/>
        <v>165811.20000000001</v>
      </c>
      <c r="H19" s="178">
        <f t="shared" si="1"/>
        <v>207264</v>
      </c>
      <c r="I19" s="178">
        <f t="shared" si="1"/>
        <v>248716.79999999999</v>
      </c>
      <c r="J19" s="178">
        <f t="shared" si="1"/>
        <v>290169.59999999998</v>
      </c>
      <c r="K19" s="178">
        <f t="shared" si="1"/>
        <v>331622.39999999997</v>
      </c>
      <c r="L19" s="178">
        <f t="shared" si="1"/>
        <v>373075.19999999995</v>
      </c>
      <c r="M19" s="178">
        <f t="shared" si="1"/>
        <v>414527.99999999994</v>
      </c>
    </row>
    <row r="20" spans="2:15" ht="16.149999999999999" customHeight="1" thickBot="1" x14ac:dyDescent="0.25">
      <c r="B20" s="208" t="s">
        <v>544</v>
      </c>
      <c r="C20" s="219">
        <f>+'RESUMEN FINANCIERO'!H140</f>
        <v>0</v>
      </c>
      <c r="D20" s="220">
        <f>+'RESUMEN FINANCIERO'!I140</f>
        <v>0</v>
      </c>
      <c r="E20" s="220">
        <f>+'RESUMEN FINANCIERO'!J140</f>
        <v>0</v>
      </c>
      <c r="F20" s="220">
        <f>+'RESUMEN FINANCIERO'!K140</f>
        <v>0</v>
      </c>
      <c r="G20" s="220">
        <f>+'RESUMEN FINANCIERO'!L140</f>
        <v>0</v>
      </c>
      <c r="H20" s="220">
        <f>+'RESUMEN FINANCIERO'!M140</f>
        <v>0</v>
      </c>
      <c r="I20" s="220">
        <f>+'RESUMEN FINANCIERO'!N140</f>
        <v>0</v>
      </c>
      <c r="J20" s="220">
        <f>+'RESUMEN FINANCIERO'!O140</f>
        <v>0</v>
      </c>
      <c r="K20" s="220">
        <f>+'RESUMEN FINANCIERO'!P140</f>
        <v>0</v>
      </c>
      <c r="L20" s="220">
        <f>+'RESUMEN FINANCIERO'!Q140</f>
        <v>0</v>
      </c>
      <c r="M20" s="221">
        <f>+'RESUMEN FINANCIERO'!R140</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153357659.91234419</v>
      </c>
      <c r="E24" s="235">
        <f>((E20*(E7+E9))+(E19*(E8+E10)+(E18*E11))*PARÁMETROS!$C$6)</f>
        <v>317633115.40902317</v>
      </c>
      <c r="F24" s="235">
        <f>((F20*(F7+F9))+(F19*(F8+F10)+(F18*F11))*PARÁMETROS!$C$6)</f>
        <v>493409308.97472984</v>
      </c>
      <c r="G24" s="235">
        <f>((G20*(G7+G9))+(G19*(G8+G10)+(G18*G11))*PARÁMETROS!$C$6)</f>
        <v>681296850.21292126</v>
      </c>
      <c r="H24" s="235">
        <f>((H20*(H7+H9))+(H19*(H8+H10)+(H18*H11))*PARÁMETROS!$C$6)</f>
        <v>881935246.88942671</v>
      </c>
      <c r="I24" s="235">
        <f>((I20*(I7+I9))+(I19*(I8+I10)+(I18*I11))*PARÁMETROS!$C$6)</f>
        <v>1095994188.5601215</v>
      </c>
      <c r="J24" s="235">
        <f>((J20*(J7+J9))+(J19*(J8+J10)+(J18*J11))*PARÁMETROS!$C$6)</f>
        <v>1324174884.9664083</v>
      </c>
      <c r="K24" s="235">
        <f>((K20*(K7+K9))+(K19*(K8+K10)+(K18*K11))*PARÁMETROS!$C$6)</f>
        <v>1567211461.4710724</v>
      </c>
      <c r="L24" s="235">
        <f>((L20*(L7+L9))+(L19*(L8+L10)+(L18*L11))*PARÁMETROS!$C$6)</f>
        <v>1825872413.8994908</v>
      </c>
      <c r="M24" s="236">
        <f>((M20*(M7+M9))+(M19*(M8+M10)+(M18*M11))*PARÁMETROS!$C$6)</f>
        <v>2100962125.2472434</v>
      </c>
      <c r="N24" s="236">
        <f>+M29*(1+G)/(C3-G)</f>
        <v>13476665431.743095</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FINANCIERO'!H24</f>
        <v>0</v>
      </c>
      <c r="D26" s="235">
        <f>+'RESUMEN FINANCIERO'!I24</f>
        <v>411977270.77012497</v>
      </c>
      <c r="E26" s="235">
        <f>+'RESUMEN FINANCIERO'!J24</f>
        <v>435377497.35441393</v>
      </c>
      <c r="F26" s="235">
        <f>+'RESUMEN FINANCIERO'!K24</f>
        <v>460106852.12864524</v>
      </c>
      <c r="G26" s="235">
        <f>+'RESUMEN FINANCIERO'!L24</f>
        <v>486240829.30818188</v>
      </c>
      <c r="H26" s="235">
        <f>+'RESUMEN FINANCIERO'!M24</f>
        <v>513859211.16472083</v>
      </c>
      <c r="I26" s="235">
        <f>+'RESUMEN FINANCIERO'!N24</f>
        <v>543046311.58703482</v>
      </c>
      <c r="J26" s="235">
        <f>+'RESUMEN FINANCIERO'!O24</f>
        <v>573891233.47591603</v>
      </c>
      <c r="K26" s="235">
        <f>+'RESUMEN FINANCIERO'!P24</f>
        <v>606488140.75910139</v>
      </c>
      <c r="L26" s="235">
        <f>+'RESUMEN FINANCIERO'!Q24</f>
        <v>640936545.85659027</v>
      </c>
      <c r="M26" s="236">
        <f>+'RESUMEN FINANCIERO'!R24</f>
        <v>677341613.47393537</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411977270.77012497</v>
      </c>
      <c r="E28" s="238">
        <f t="shared" ref="E28:M28" si="3">SUM(E25:E27)</f>
        <v>435377497.35441393</v>
      </c>
      <c r="F28" s="238">
        <f t="shared" si="3"/>
        <v>460106852.12864524</v>
      </c>
      <c r="G28" s="238">
        <f t="shared" si="3"/>
        <v>486240829.30818188</v>
      </c>
      <c r="H28" s="238">
        <f t="shared" si="3"/>
        <v>513859211.16472083</v>
      </c>
      <c r="I28" s="238">
        <f t="shared" si="3"/>
        <v>543046311.58703482</v>
      </c>
      <c r="J28" s="238">
        <f t="shared" si="3"/>
        <v>573891233.47591603</v>
      </c>
      <c r="K28" s="238">
        <f t="shared" si="3"/>
        <v>606488140.75910139</v>
      </c>
      <c r="L28" s="238">
        <f t="shared" si="3"/>
        <v>640936545.85659027</v>
      </c>
      <c r="M28" s="239">
        <f t="shared" si="3"/>
        <v>677341613.47393537</v>
      </c>
      <c r="N28" s="239"/>
      <c r="O28" s="761"/>
    </row>
    <row r="29" spans="2:15" ht="18" customHeight="1" x14ac:dyDescent="0.2">
      <c r="B29" s="183" t="s">
        <v>249</v>
      </c>
      <c r="C29" s="234">
        <f>C24-C28</f>
        <v>0</v>
      </c>
      <c r="D29" s="235">
        <f>D24-D28</f>
        <v>-258619610.85778078</v>
      </c>
      <c r="E29" s="235">
        <f t="shared" ref="E29:M29" si="4">E24-E28</f>
        <v>-117744381.94539076</v>
      </c>
      <c r="F29" s="235">
        <f t="shared" si="4"/>
        <v>33302456.846084595</v>
      </c>
      <c r="G29" s="235">
        <f t="shared" si="4"/>
        <v>195056020.90473938</v>
      </c>
      <c r="H29" s="235">
        <f t="shared" si="4"/>
        <v>368076035.72470587</v>
      </c>
      <c r="I29" s="235">
        <f t="shared" si="4"/>
        <v>552947876.97308671</v>
      </c>
      <c r="J29" s="235">
        <f t="shared" si="4"/>
        <v>750283651.49049222</v>
      </c>
      <c r="K29" s="235">
        <f t="shared" si="4"/>
        <v>960723320.71197104</v>
      </c>
      <c r="L29" s="235">
        <f t="shared" si="4"/>
        <v>1184935868.0429006</v>
      </c>
      <c r="M29" s="236">
        <f t="shared" si="4"/>
        <v>1423620511.773308</v>
      </c>
      <c r="N29" s="236"/>
    </row>
    <row r="30" spans="2:15" ht="19.899999999999999" customHeight="1" thickBot="1" x14ac:dyDescent="0.25">
      <c r="B30" s="165" t="s">
        <v>250</v>
      </c>
      <c r="C30" s="240">
        <f>IF(C29&lt;0,0,(C29*$C$4))</f>
        <v>0</v>
      </c>
      <c r="D30" s="241">
        <f t="shared" ref="D30:M30" si="5">IF(D29&lt;0,0,(D29*$C$4))</f>
        <v>0</v>
      </c>
      <c r="E30" s="241">
        <f t="shared" si="5"/>
        <v>0</v>
      </c>
      <c r="F30" s="241">
        <f t="shared" si="5"/>
        <v>11655859.896129608</v>
      </c>
      <c r="G30" s="241">
        <f t="shared" si="5"/>
        <v>68269607.31665878</v>
      </c>
      <c r="H30" s="241">
        <f t="shared" si="5"/>
        <v>128826612.50364704</v>
      </c>
      <c r="I30" s="241">
        <f t="shared" si="5"/>
        <v>193531756.94058034</v>
      </c>
      <c r="J30" s="241">
        <f t="shared" si="5"/>
        <v>262599278.02167225</v>
      </c>
      <c r="K30" s="241">
        <f t="shared" si="5"/>
        <v>336253162.24918985</v>
      </c>
      <c r="L30" s="241">
        <f t="shared" si="5"/>
        <v>414727553.8150152</v>
      </c>
      <c r="M30" s="242">
        <f t="shared" si="5"/>
        <v>498267179.1206578</v>
      </c>
      <c r="N30" s="242"/>
    </row>
    <row r="31" spans="2:15" ht="19.899999999999999" customHeight="1" thickBot="1" x14ac:dyDescent="0.25">
      <c r="B31" s="189" t="s">
        <v>251</v>
      </c>
      <c r="C31" s="226">
        <f>+C24-C28-C30</f>
        <v>0</v>
      </c>
      <c r="D31" s="226">
        <f>+D24-D28-D30</f>
        <v>-258619610.85778078</v>
      </c>
      <c r="E31" s="226">
        <f t="shared" ref="E31:M31" si="6">+E24-E28-E30</f>
        <v>-117744381.94539076</v>
      </c>
      <c r="F31" s="226">
        <f t="shared" si="6"/>
        <v>21646596.949954987</v>
      </c>
      <c r="G31" s="226">
        <f t="shared" si="6"/>
        <v>126786413.5880806</v>
      </c>
      <c r="H31" s="226">
        <f t="shared" si="6"/>
        <v>239249423.22105885</v>
      </c>
      <c r="I31" s="226">
        <f t="shared" si="6"/>
        <v>359416120.03250635</v>
      </c>
      <c r="J31" s="226">
        <f t="shared" si="6"/>
        <v>487684373.46881998</v>
      </c>
      <c r="K31" s="226">
        <f t="shared" si="6"/>
        <v>624470158.46278119</v>
      </c>
      <c r="L31" s="226">
        <f t="shared" si="6"/>
        <v>770208314.22788537</v>
      </c>
      <c r="M31" s="227">
        <f t="shared" si="6"/>
        <v>925353332.65265024</v>
      </c>
      <c r="N31" s="227"/>
    </row>
    <row r="32" spans="2:15" ht="13.5" thickBot="1" x14ac:dyDescent="0.25"/>
    <row r="33" spans="2:4" ht="13.5" thickBot="1" x14ac:dyDescent="0.25">
      <c r="B33" s="1801" t="s">
        <v>253</v>
      </c>
      <c r="C33" s="1802"/>
    </row>
    <row r="34" spans="2:4" ht="16.5" customHeight="1" x14ac:dyDescent="0.2">
      <c r="B34" s="184" t="s">
        <v>254</v>
      </c>
      <c r="C34" s="228">
        <f>+NPV($C$3,D24:M24)+C24</f>
        <v>3776538594.4604583</v>
      </c>
    </row>
    <row r="35" spans="2:4" ht="19.899999999999999" customHeight="1" x14ac:dyDescent="0.2">
      <c r="B35" s="185" t="s">
        <v>255</v>
      </c>
      <c r="C35" s="229">
        <f>+NPV($C$3,D28:M28)+C28</f>
        <v>2392571243.5584412</v>
      </c>
    </row>
    <row r="36" spans="2:4" ht="17.25" customHeight="1" thickBot="1" x14ac:dyDescent="0.25">
      <c r="B36" s="186"/>
      <c r="C36" s="230">
        <f>(C35+C23+NPV($C$3,D23:M23))</f>
        <v>2392571243.5584412</v>
      </c>
      <c r="D36" s="761">
        <f>SUM(C28:M28)</f>
        <v>5349265505.878665</v>
      </c>
    </row>
    <row r="37" spans="2:4" ht="19.899999999999999" customHeight="1" thickBot="1" x14ac:dyDescent="0.25">
      <c r="B37" s="181" t="s">
        <v>253</v>
      </c>
      <c r="C37" s="225">
        <f>IFERROR(C34/C35,0)</f>
        <v>1.5784435279108595</v>
      </c>
    </row>
    <row r="38" spans="2:4" ht="13.5" thickBot="1" x14ac:dyDescent="0.25">
      <c r="C38" s="112"/>
    </row>
    <row r="39" spans="2:4" ht="13.5" thickBot="1" x14ac:dyDescent="0.25">
      <c r="B39" s="160" t="s">
        <v>532</v>
      </c>
      <c r="C39" s="195" t="str">
        <f>+IF(C37&lt;1,"Sin beneficio","Con beneficio")</f>
        <v>Con beneficio</v>
      </c>
    </row>
  </sheetData>
  <mergeCells count="3">
    <mergeCell ref="B2:C2"/>
    <mergeCell ref="C14:M14"/>
    <mergeCell ref="B33:C33"/>
  </mergeCells>
  <conditionalFormatting sqref="C39">
    <cfRule type="containsText" dxfId="543" priority="1" operator="containsText" text="Sin beneficio">
      <formula>NOT(ISERROR(SEARCH("Sin beneficio",C39)))</formula>
    </cfRule>
    <cfRule type="containsText" dxfId="542" priority="2" operator="containsText" text="Con beneficio">
      <formula>NOT(ISERROR(SEARCH("Con beneficio",C39)))</formula>
    </cfRule>
    <cfRule type="containsText" dxfId="541" priority="3" operator="containsText" text="Co beneficio">
      <formula>NOT(ISERROR(SEARCH("Co beneficio",C39)))</formula>
    </cfRule>
    <cfRule type="containsText" dxfId="540" priority="4" operator="containsText" text="Acepta">
      <formula>NOT(ISERROR(SEARCH("Acepta",C39)))</formula>
    </cfRule>
    <cfRule type="containsText" dxfId="539" priority="5" operator="containsText" text="Rechaza">
      <formula>NOT(ISERROR(SEARCH("Rechaza",C39)))</formula>
    </cfRule>
    <cfRule type="cellIs" dxfId="538" priority="6" operator="greaterThan">
      <formula>$C$34&gt;1</formula>
    </cfRule>
    <cfRule type="cellIs" dxfId="537" priority="7" operator="lessThan">
      <formula>$C$34&lt;1</formula>
    </cfRule>
    <cfRule type="cellIs" dxfId="53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{39A17E31-9A30-D046-A2C8-B166A1968EFE}</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39A17E31-9A30-D046-A2C8-B166A1968EF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tabColor rgb="FF92D050"/>
  </sheetPr>
  <dimension ref="B1:O39"/>
  <sheetViews>
    <sheetView showGridLines="0" topLeftCell="B7" zoomScale="85" zoomScaleNormal="85" workbookViewId="0">
      <selection activeCell="M35" sqref="M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4.25" style="86" bestFit="1" customWidth="1"/>
    <col min="15"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FINANCIERO'!D25</f>
        <v xml:space="preserve">14. SEGUIMIENTO Y CONTROL MEDIDORES GRANDES CONSUMIDORES </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4">
        <f>+'EV PROG CCIALES'!J452</f>
        <v>0</v>
      </c>
      <c r="D18" s="178">
        <f>+'EV PROG CCIALES'!K452</f>
        <v>1528.8357599999999</v>
      </c>
      <c r="E18" s="178">
        <f>+'EV PROG CCIALES'!L452</f>
        <v>1512.0185666399996</v>
      </c>
      <c r="F18" s="178">
        <f>+'EV PROG CCIALES'!M452</f>
        <v>1495.3863624069595</v>
      </c>
      <c r="G18" s="178">
        <f>+'EV PROG CCIALES'!N452</f>
        <v>1725.4266311572305</v>
      </c>
      <c r="H18" s="178">
        <f>+'EV PROG CCIALES'!O452</f>
        <v>1706.4469382145007</v>
      </c>
      <c r="I18" s="178">
        <f>+'EV PROG CCIALES'!P452</f>
        <v>0</v>
      </c>
      <c r="J18" s="178">
        <f>+'EV PROG CCIALES'!Q452</f>
        <v>0</v>
      </c>
      <c r="K18" s="178">
        <f>+'EV PROG CCIALES'!R452</f>
        <v>0</v>
      </c>
      <c r="L18" s="178">
        <f>+'EV PROG CCIALES'!S452</f>
        <v>0</v>
      </c>
      <c r="M18" s="179">
        <f>+'EV PROG CCIALES'!T452</f>
        <v>0</v>
      </c>
    </row>
    <row r="19" spans="2:15" ht="16.149999999999999" customHeight="1" thickBot="1" x14ac:dyDescent="0.25">
      <c r="B19" s="1073" t="s">
        <v>997</v>
      </c>
      <c r="C19" s="1074">
        <f>+C18</f>
        <v>0</v>
      </c>
      <c r="D19" s="220">
        <f>+'EV PROG CCIALES'!K355</f>
        <v>1528.8357599999999</v>
      </c>
      <c r="E19" s="220">
        <f>+'EV PROG CCIALES'!L355</f>
        <v>3024.0371332799996</v>
      </c>
      <c r="F19" s="220">
        <f>+'EV PROG CCIALES'!M355</f>
        <v>4486.159087220879</v>
      </c>
      <c r="G19" s="220">
        <f>+'EV PROG CCIALES'!N355</f>
        <v>6162.2379684186799</v>
      </c>
      <c r="H19" s="220">
        <f>+'EV PROG CCIALES'!O355</f>
        <v>7800.9002889805752</v>
      </c>
      <c r="I19" s="178"/>
      <c r="J19" s="178"/>
      <c r="K19" s="178"/>
      <c r="L19" s="178"/>
      <c r="M19" s="178"/>
    </row>
    <row r="20" spans="2:15" ht="16.149999999999999" customHeight="1" thickBot="1" x14ac:dyDescent="0.25">
      <c r="B20" s="208" t="s">
        <v>544</v>
      </c>
      <c r="C20" s="219">
        <f>+'RESUMEN FINANCIERO'!H141</f>
        <v>0</v>
      </c>
      <c r="D20" s="220">
        <f>+'RESUMEN FINANCIERO'!I141</f>
        <v>0</v>
      </c>
      <c r="E20" s="220">
        <f>+'RESUMEN FINANCIERO'!J141</f>
        <v>0</v>
      </c>
      <c r="F20" s="220">
        <f>+'RESUMEN FINANCIERO'!K141</f>
        <v>0</v>
      </c>
      <c r="G20" s="220">
        <f>+'RESUMEN FINANCIERO'!L141</f>
        <v>0</v>
      </c>
      <c r="H20" s="220">
        <f>+'RESUMEN FINANCIERO'!M141</f>
        <v>0</v>
      </c>
      <c r="I20" s="220">
        <f>+'RESUMEN FINANCIERO'!N141</f>
        <v>0</v>
      </c>
      <c r="J20" s="220">
        <f>+'RESUMEN FINANCIERO'!O141</f>
        <v>0</v>
      </c>
      <c r="K20" s="220">
        <f>+'RESUMEN FINANCIERO'!P141</f>
        <v>0</v>
      </c>
      <c r="L20" s="220">
        <f>+'RESUMEN FINANCIERO'!Q141</f>
        <v>0</v>
      </c>
      <c r="M20" s="221">
        <f>+'RESUMEN FINANCIERO'!R141</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200" t="s">
        <v>996</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5656039.5086438125</v>
      </c>
      <c r="E24" s="235">
        <f>((E20*(E7+E9))+(E19*(E8+E10)+(E18*E11))*PARÁMETROS!$C$6)</f>
        <v>11585880.034114674</v>
      </c>
      <c r="F24" s="235">
        <f>((F20*(F7+F9))+(F19*(F8+F10)+(F18*F11))*PARÁMETROS!$C$6)</f>
        <v>17799462.321615256</v>
      </c>
      <c r="G24" s="235">
        <f>((G20*(G7+G9))+(G19*(G8+G10)+(G18*G11))*PARÁMETROS!$C$6)</f>
        <v>25319841.591799092</v>
      </c>
      <c r="H24" s="235">
        <f>((H20*(H7+H9))+(H19*(H8+H10)+(H18*H11))*PARÁMETROS!$C$6)</f>
        <v>33193844.190606587</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FINANCIERO'!H25</f>
        <v>0</v>
      </c>
      <c r="D26" s="235">
        <f>+'RESUMEN FINANCIERO'!I25</f>
        <v>8711114.2346451208</v>
      </c>
      <c r="E26" s="235">
        <f>+'RESUMEN FINANCIERO'!J25</f>
        <v>9308858.2098202575</v>
      </c>
      <c r="F26" s="235">
        <f>+'RESUMEN FINANCIERO'!K25</f>
        <v>9947827.0232853815</v>
      </c>
      <c r="G26" s="235">
        <f>+'RESUMEN FINANCIERO'!L25</f>
        <v>10630876.037598412</v>
      </c>
      <c r="H26" s="235">
        <f>+'RESUMEN FINANCIERO'!M25</f>
        <v>11361059.096162844</v>
      </c>
      <c r="I26" s="235">
        <f>+'RESUMEN FINANCIERO'!N25</f>
        <v>0</v>
      </c>
      <c r="J26" s="235">
        <f>+'RESUMEN FINANCIERO'!O25</f>
        <v>0</v>
      </c>
      <c r="K26" s="235">
        <f>+'RESUMEN FINANCIERO'!P25</f>
        <v>0</v>
      </c>
      <c r="L26" s="235">
        <f>+'RESUMEN FINANCIERO'!Q25</f>
        <v>0</v>
      </c>
      <c r="M26" s="236">
        <f>+'RESUMEN FINANCIERO'!R25</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8711114.2346451208</v>
      </c>
      <c r="E28" s="238">
        <f t="shared" ref="E28:M28" si="2">SUM(E25:E27)</f>
        <v>9308858.2098202575</v>
      </c>
      <c r="F28" s="238">
        <f t="shared" si="2"/>
        <v>9947827.0232853815</v>
      </c>
      <c r="G28" s="238">
        <f t="shared" si="2"/>
        <v>10630876.037598412</v>
      </c>
      <c r="H28" s="238">
        <f t="shared" si="2"/>
        <v>11361059.096162844</v>
      </c>
      <c r="I28" s="238">
        <f t="shared" si="2"/>
        <v>0</v>
      </c>
      <c r="J28" s="238">
        <f t="shared" si="2"/>
        <v>0</v>
      </c>
      <c r="K28" s="238">
        <f t="shared" si="2"/>
        <v>0</v>
      </c>
      <c r="L28" s="238">
        <f t="shared" si="2"/>
        <v>0</v>
      </c>
      <c r="M28" s="239">
        <f t="shared" si="2"/>
        <v>0</v>
      </c>
      <c r="N28" s="239"/>
      <c r="O28" s="761">
        <f>SUM(C28:M28)</f>
        <v>49959734.601512015</v>
      </c>
    </row>
    <row r="29" spans="2:15" ht="18" customHeight="1" x14ac:dyDescent="0.2">
      <c r="B29" s="183" t="s">
        <v>249</v>
      </c>
      <c r="C29" s="234">
        <f>C24-C28</f>
        <v>0</v>
      </c>
      <c r="D29" s="235">
        <f>D24-D28</f>
        <v>-3055074.7260013083</v>
      </c>
      <c r="E29" s="235">
        <f t="shared" ref="E29:M29" si="3">E24-E28</f>
        <v>2277021.8242944162</v>
      </c>
      <c r="F29" s="235">
        <f t="shared" si="3"/>
        <v>7851635.2983298749</v>
      </c>
      <c r="G29" s="235">
        <f t="shared" si="3"/>
        <v>14688965.554200679</v>
      </c>
      <c r="H29" s="235">
        <f t="shared" si="3"/>
        <v>21832785.094443742</v>
      </c>
      <c r="I29" s="235">
        <f t="shared" si="3"/>
        <v>0</v>
      </c>
      <c r="J29" s="235">
        <f t="shared" si="3"/>
        <v>0</v>
      </c>
      <c r="K29" s="235">
        <f t="shared" si="3"/>
        <v>0</v>
      </c>
      <c r="L29" s="235">
        <f t="shared" si="3"/>
        <v>0</v>
      </c>
      <c r="M29" s="236">
        <f t="shared" si="3"/>
        <v>0</v>
      </c>
      <c r="N29" s="236"/>
    </row>
    <row r="30" spans="2:15" ht="19.899999999999999" customHeight="1" thickBot="1" x14ac:dyDescent="0.25">
      <c r="B30" s="165" t="s">
        <v>250</v>
      </c>
      <c r="C30" s="240">
        <f>IF(C29&lt;0,0,(C29*$C$4))</f>
        <v>0</v>
      </c>
      <c r="D30" s="241">
        <f t="shared" ref="D30:M30" si="4">IF(D29&lt;0,0,(D29*$C$4))</f>
        <v>0</v>
      </c>
      <c r="E30" s="241">
        <f t="shared" si="4"/>
        <v>796957.63850304566</v>
      </c>
      <c r="F30" s="241">
        <f t="shared" si="4"/>
        <v>2748072.3544154558</v>
      </c>
      <c r="G30" s="241">
        <f t="shared" si="4"/>
        <v>5141137.9439702369</v>
      </c>
      <c r="H30" s="241">
        <f t="shared" si="4"/>
        <v>7641474.7830553092</v>
      </c>
      <c r="I30" s="241">
        <f t="shared" si="4"/>
        <v>0</v>
      </c>
      <c r="J30" s="241">
        <f t="shared" si="4"/>
        <v>0</v>
      </c>
      <c r="K30" s="241">
        <f t="shared" si="4"/>
        <v>0</v>
      </c>
      <c r="L30" s="241">
        <f t="shared" si="4"/>
        <v>0</v>
      </c>
      <c r="M30" s="242">
        <f t="shared" si="4"/>
        <v>0</v>
      </c>
      <c r="N30" s="242"/>
    </row>
    <row r="31" spans="2:15" ht="19.899999999999999" customHeight="1" thickBot="1" x14ac:dyDescent="0.25">
      <c r="B31" s="189" t="s">
        <v>251</v>
      </c>
      <c r="C31" s="226">
        <f>+C24-C28-C30</f>
        <v>0</v>
      </c>
      <c r="D31" s="226">
        <f>+D24-D28-D30</f>
        <v>-3055074.7260013083</v>
      </c>
      <c r="E31" s="226">
        <f t="shared" ref="E31:M31" si="5">+E24-E28-E30</f>
        <v>1480064.1857913705</v>
      </c>
      <c r="F31" s="226">
        <f t="shared" si="5"/>
        <v>5103562.943914419</v>
      </c>
      <c r="G31" s="226">
        <f t="shared" si="5"/>
        <v>9547827.6102304421</v>
      </c>
      <c r="H31" s="226">
        <f t="shared" si="5"/>
        <v>14191310.311388433</v>
      </c>
      <c r="I31" s="226">
        <f t="shared" si="5"/>
        <v>0</v>
      </c>
      <c r="J31" s="226">
        <f t="shared" si="5"/>
        <v>0</v>
      </c>
      <c r="K31" s="226">
        <f t="shared" si="5"/>
        <v>0</v>
      </c>
      <c r="L31" s="226">
        <f t="shared" si="5"/>
        <v>0</v>
      </c>
      <c r="M31" s="227">
        <f t="shared" si="5"/>
        <v>0</v>
      </c>
      <c r="N31" s="227"/>
    </row>
    <row r="32" spans="2:15" ht="13.5" thickBot="1" x14ac:dyDescent="0.25"/>
    <row r="33" spans="2:3" ht="13.5" thickBot="1" x14ac:dyDescent="0.25">
      <c r="B33" s="1801" t="s">
        <v>253</v>
      </c>
      <c r="C33" s="1802"/>
    </row>
    <row r="34" spans="2:3" ht="16.5" customHeight="1" x14ac:dyDescent="0.2">
      <c r="B34" s="184" t="s">
        <v>254</v>
      </c>
      <c r="C34" s="228">
        <f>+NPV($C$3,D24:N24)+C24</f>
        <v>54223862.645839565</v>
      </c>
    </row>
    <row r="35" spans="2:3" ht="19.899999999999999" customHeight="1" x14ac:dyDescent="0.2">
      <c r="B35" s="185" t="s">
        <v>255</v>
      </c>
      <c r="C35" s="229">
        <f>+NPV($C$3,D28:M28)+C28</f>
        <v>31865326.38096505</v>
      </c>
    </row>
    <row r="36" spans="2:3" ht="17.25" customHeight="1" thickBot="1" x14ac:dyDescent="0.25">
      <c r="B36" s="186"/>
      <c r="C36" s="230">
        <f>(C35+C23+NPV($C$3,D23:M23))</f>
        <v>31865326.38096505</v>
      </c>
    </row>
    <row r="37" spans="2:3" ht="19.899999999999999" customHeight="1" thickBot="1" x14ac:dyDescent="0.25">
      <c r="B37" s="181" t="s">
        <v>253</v>
      </c>
      <c r="C37" s="225">
        <f>IFERROR(C34/C35,0)</f>
        <v>1.7016572181802765</v>
      </c>
    </row>
    <row r="38" spans="2:3" ht="13.5" thickBot="1" x14ac:dyDescent="0.25">
      <c r="C38" s="112"/>
    </row>
    <row r="39" spans="2:3" ht="13.5" thickBot="1" x14ac:dyDescent="0.25">
      <c r="B39" s="160" t="s">
        <v>532</v>
      </c>
      <c r="C39" s="195" t="str">
        <f>+IF(C37&lt;1,"Sin beneficio","Con beneficio")</f>
        <v>Con beneficio</v>
      </c>
    </row>
  </sheetData>
  <mergeCells count="3">
    <mergeCell ref="B2:C2"/>
    <mergeCell ref="C14:M14"/>
    <mergeCell ref="B33:C33"/>
  </mergeCells>
  <conditionalFormatting sqref="C39">
    <cfRule type="containsText" dxfId="535" priority="1" operator="containsText" text="Sin beneficio">
      <formula>NOT(ISERROR(SEARCH("Sin beneficio",C39)))</formula>
    </cfRule>
    <cfRule type="containsText" dxfId="534" priority="2" operator="containsText" text="Con beneficio">
      <formula>NOT(ISERROR(SEARCH("Con beneficio",C39)))</formula>
    </cfRule>
    <cfRule type="containsText" dxfId="533" priority="3" operator="containsText" text="Co beneficio">
      <formula>NOT(ISERROR(SEARCH("Co beneficio",C39)))</formula>
    </cfRule>
    <cfRule type="containsText" dxfId="532" priority="4" operator="containsText" text="Acepta">
      <formula>NOT(ISERROR(SEARCH("Acepta",C39)))</formula>
    </cfRule>
    <cfRule type="containsText" dxfId="531" priority="5" operator="containsText" text="Rechaza">
      <formula>NOT(ISERROR(SEARCH("Rechaza",C39)))</formula>
    </cfRule>
    <cfRule type="cellIs" dxfId="530" priority="6" operator="greaterThan">
      <formula>$C$34&gt;1</formula>
    </cfRule>
    <cfRule type="cellIs" dxfId="529" priority="7" operator="lessThan">
      <formula>$C$34&lt;1</formula>
    </cfRule>
    <cfRule type="cellIs" dxfId="52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{0E678B19-CE6D-2D42-BFC9-5C1AD39AFB2F}</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0E678B19-CE6D-2D42-BFC9-5C1AD39AFB2F}">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5">
    <tabColor rgb="FF92D050"/>
  </sheetPr>
  <dimension ref="A1:O45"/>
  <sheetViews>
    <sheetView showGridLines="0" topLeftCell="A7" zoomScale="85" zoomScaleNormal="85"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7.875" style="86" bestFit="1" customWidth="1"/>
    <col min="15" max="15" width="12.625" style="86" bestFit="1" customWidth="1"/>
    <col min="16" max="16384" width="11.375" style="86"/>
  </cols>
  <sheetData>
    <row r="1" spans="1:13" ht="17.25" customHeight="1" thickBot="1" x14ac:dyDescent="0.25">
      <c r="B1" s="111" t="s">
        <v>533</v>
      </c>
      <c r="C1" s="111"/>
    </row>
    <row r="2" spans="1:13" ht="14.25" customHeight="1" thickBot="1" x14ac:dyDescent="0.25">
      <c r="B2" s="1797" t="s">
        <v>237</v>
      </c>
      <c r="C2" s="1798"/>
    </row>
    <row r="3" spans="1:13" ht="14.1" customHeight="1" x14ac:dyDescent="0.2">
      <c r="B3" s="155" t="s">
        <v>537</v>
      </c>
      <c r="C3" s="196">
        <f>+PARÁMETROS!$C$8</f>
        <v>0.16276703160799988</v>
      </c>
    </row>
    <row r="4" spans="1:13" ht="14.1" customHeight="1" thickBot="1" x14ac:dyDescent="0.25">
      <c r="B4" s="157" t="s">
        <v>238</v>
      </c>
      <c r="C4" s="164">
        <f>+PARÁMETROS!$C$5</f>
        <v>0.35</v>
      </c>
    </row>
    <row r="5" spans="1:13" ht="21.75" customHeight="1" thickBot="1" x14ac:dyDescent="0.25">
      <c r="B5" s="112"/>
      <c r="C5" s="197">
        <v>0</v>
      </c>
      <c r="D5" s="197">
        <v>1</v>
      </c>
      <c r="E5" s="197">
        <v>2</v>
      </c>
      <c r="F5" s="197">
        <v>3</v>
      </c>
      <c r="G5" s="197">
        <v>4</v>
      </c>
      <c r="H5" s="197">
        <v>5</v>
      </c>
      <c r="I5" s="197">
        <v>6</v>
      </c>
      <c r="J5" s="197">
        <v>7</v>
      </c>
      <c r="K5" s="197">
        <v>8</v>
      </c>
      <c r="L5" s="197">
        <v>9</v>
      </c>
      <c r="M5" s="197">
        <v>10</v>
      </c>
    </row>
    <row r="6" spans="1: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1: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1: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1: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1: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1: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1:13" ht="18" customHeight="1" thickBot="1" x14ac:dyDescent="0.25">
      <c r="B12" s="113"/>
      <c r="F12" s="113"/>
    </row>
    <row r="13" spans="1:13" ht="16.5" customHeight="1" thickBot="1" x14ac:dyDescent="0.25">
      <c r="B13" s="162" t="s">
        <v>242</v>
      </c>
    </row>
    <row r="14" spans="1:13" ht="18" customHeight="1" thickBot="1" x14ac:dyDescent="0.25">
      <c r="A14" s="244"/>
      <c r="B14" s="172" t="s">
        <v>243</v>
      </c>
      <c r="C14" s="1789" t="str">
        <f>+'RESUMEN FINANCIERO'!D26</f>
        <v>15. ACTUALIZACIÓN CATASTRO DE USUARIOS Y GEOREFERENCIACIÓN</v>
      </c>
      <c r="D14" s="1790"/>
      <c r="E14" s="1790"/>
      <c r="F14" s="1790"/>
      <c r="G14" s="1790"/>
      <c r="H14" s="1790"/>
      <c r="I14" s="1790"/>
      <c r="J14" s="1790"/>
      <c r="K14" s="1790"/>
      <c r="L14" s="1790"/>
      <c r="M14" s="1791"/>
    </row>
    <row r="15" spans="1:13" ht="20.25" customHeight="1" thickBot="1" x14ac:dyDescent="0.25">
      <c r="B15" s="173" t="s">
        <v>244</v>
      </c>
      <c r="C15" s="222"/>
      <c r="D15" s="223"/>
      <c r="E15" s="223"/>
      <c r="F15" s="223"/>
      <c r="G15" s="223"/>
      <c r="H15" s="223"/>
      <c r="I15" s="223"/>
      <c r="J15" s="223"/>
      <c r="K15" s="223"/>
      <c r="L15" s="223"/>
      <c r="M15" s="224"/>
    </row>
    <row r="16" spans="1: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1:15" ht="16.5" customHeight="1" thickBot="1" x14ac:dyDescent="0.25">
      <c r="B17" s="963" t="s">
        <v>545</v>
      </c>
      <c r="C17" s="1035">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1:15" ht="16.149999999999999" customHeight="1" thickBot="1" x14ac:dyDescent="0.25">
      <c r="A18" s="244"/>
      <c r="B18" s="207" t="s">
        <v>543</v>
      </c>
      <c r="C18" s="1074">
        <f>+'EV PROG CCIALES'!J453</f>
        <v>0</v>
      </c>
      <c r="D18" s="178">
        <f>+'EV PROG CCIALES'!K453</f>
        <v>9552</v>
      </c>
      <c r="E18" s="178">
        <f>+'EV PROG CCIALES'!L453</f>
        <v>9552</v>
      </c>
      <c r="F18" s="178">
        <f>+'EV PROG CCIALES'!M453</f>
        <v>9552</v>
      </c>
      <c r="G18" s="178">
        <f>+'EV PROG CCIALES'!N453</f>
        <v>9552</v>
      </c>
      <c r="H18" s="178">
        <f>+'EV PROG CCIALES'!O453</f>
        <v>9552</v>
      </c>
      <c r="I18" s="178">
        <f>+'EV PROG CCIALES'!P453</f>
        <v>0</v>
      </c>
      <c r="J18" s="178">
        <f>+'EV PROG CCIALES'!Q453</f>
        <v>0</v>
      </c>
      <c r="K18" s="178">
        <f>+'EV PROG CCIALES'!R453</f>
        <v>0</v>
      </c>
      <c r="L18" s="178">
        <f>+'EV PROG CCIALES'!S453</f>
        <v>0</v>
      </c>
      <c r="M18" s="179">
        <f>+'EV PROG CCIALES'!T453</f>
        <v>0</v>
      </c>
    </row>
    <row r="19" spans="1:15" ht="16.149999999999999" customHeight="1" thickBot="1" x14ac:dyDescent="0.25">
      <c r="B19" s="1073" t="s">
        <v>997</v>
      </c>
      <c r="C19" s="1074">
        <f>+C18</f>
        <v>0</v>
      </c>
      <c r="D19" s="178">
        <f>D18</f>
        <v>9552</v>
      </c>
      <c r="E19" s="178">
        <f t="shared" ref="E19:M19" si="1">+D19+E18</f>
        <v>19104</v>
      </c>
      <c r="F19" s="178">
        <f t="shared" si="1"/>
        <v>28656</v>
      </c>
      <c r="G19" s="178">
        <f t="shared" si="1"/>
        <v>38208</v>
      </c>
      <c r="H19" s="178">
        <f t="shared" si="1"/>
        <v>47760</v>
      </c>
      <c r="I19" s="178">
        <f t="shared" si="1"/>
        <v>47760</v>
      </c>
      <c r="J19" s="178">
        <f t="shared" si="1"/>
        <v>47760</v>
      </c>
      <c r="K19" s="178">
        <f t="shared" si="1"/>
        <v>47760</v>
      </c>
      <c r="L19" s="178">
        <f t="shared" si="1"/>
        <v>47760</v>
      </c>
      <c r="M19" s="178">
        <f t="shared" si="1"/>
        <v>47760</v>
      </c>
    </row>
    <row r="20" spans="1:15" ht="16.149999999999999" customHeight="1" thickBot="1" x14ac:dyDescent="0.25">
      <c r="A20" s="244"/>
      <c r="B20" s="208" t="s">
        <v>544</v>
      </c>
      <c r="C20" s="219">
        <f>SUM('RESUMEN FINANCIERO'!$H$142:H142)</f>
        <v>0</v>
      </c>
      <c r="D20" s="220">
        <f>SUM('RESUMEN FINANCIERO'!$H$142:I142)</f>
        <v>0</v>
      </c>
      <c r="E20" s="220">
        <f>SUM('RESUMEN FINANCIERO'!$H$142:J142)</f>
        <v>0</v>
      </c>
      <c r="F20" s="220">
        <f>SUM('RESUMEN FINANCIERO'!$H$142:K142)</f>
        <v>0</v>
      </c>
      <c r="G20" s="220">
        <f>SUM('RESUMEN FINANCIERO'!$H$142:L142)</f>
        <v>0</v>
      </c>
      <c r="H20" s="220">
        <f>SUM('RESUMEN FINANCIERO'!$H$142:M142)</f>
        <v>0</v>
      </c>
      <c r="I20" s="220">
        <f>SUM('RESUMEN FINANCIERO'!$H$142:N142)</f>
        <v>0</v>
      </c>
      <c r="J20" s="220">
        <f>SUM('RESUMEN FINANCIERO'!$H$142:O142)</f>
        <v>0</v>
      </c>
      <c r="K20" s="220">
        <f>SUM('RESUMEN FINANCIERO'!$H$142:P142)</f>
        <v>0</v>
      </c>
      <c r="L20" s="220">
        <f>SUM('RESUMEN FINANCIERO'!$H$142:Q142)</f>
        <v>0</v>
      </c>
      <c r="M20" s="220">
        <f>SUM('RESUMEN FINANCIERO'!$H$142:R142)</f>
        <v>0</v>
      </c>
    </row>
    <row r="21" spans="1: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1: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1:15" ht="17.25" customHeight="1" x14ac:dyDescent="0.2">
      <c r="B23" s="190" t="s">
        <v>252</v>
      </c>
      <c r="C23" s="231"/>
      <c r="D23" s="232"/>
      <c r="E23" s="232"/>
      <c r="F23" s="232"/>
      <c r="G23" s="232"/>
      <c r="H23" s="232"/>
      <c r="I23" s="232"/>
      <c r="J23" s="232"/>
      <c r="K23" s="232"/>
      <c r="L23" s="232"/>
      <c r="M23" s="233"/>
      <c r="N23" s="233"/>
    </row>
    <row r="24" spans="1:15" ht="19.899999999999999" customHeight="1" x14ac:dyDescent="0.2">
      <c r="B24" s="191" t="s">
        <v>535</v>
      </c>
      <c r="C24" s="234">
        <f>((C20*(C7+C9))+(C19*(C8+C10)+(C18*C11))*PARÁMETROS!$C$6)</f>
        <v>0</v>
      </c>
      <c r="D24" s="235">
        <f>((D18*(D8+D10))*PARÁMETROS!$C$6)</f>
        <v>35338321.35543827</v>
      </c>
      <c r="E24" s="235">
        <f>((E18*(E8+E10))*PARÁMETROS!$C$6)</f>
        <v>36596219.295041457</v>
      </c>
      <c r="F24" s="235">
        <f>((F18*(F8+F10))*PARÁMETROS!$C$6)</f>
        <v>37898893.193597049</v>
      </c>
      <c r="G24" s="235">
        <f>((G18*(G8+G10))*PARÁMETROS!$C$6)</f>
        <v>39247936.889871277</v>
      </c>
      <c r="H24" s="235">
        <f>((H18*(H8+H10))*PARÁMETROS!$C$6)</f>
        <v>40645000.956691965</v>
      </c>
      <c r="I24" s="235">
        <f>((I18*(I8+I10))*PARÁMETROS!$C$6)</f>
        <v>0</v>
      </c>
      <c r="J24" s="235">
        <f>((J18*(J8+J10))*PARÁMETROS!$C$6)</f>
        <v>0</v>
      </c>
      <c r="K24" s="235">
        <f>((K18*(K8+K10))*PARÁMETROS!$C$6)</f>
        <v>0</v>
      </c>
      <c r="L24" s="235">
        <f>((L18*(L8+L10))*PARÁMETROS!$C$6)</f>
        <v>0</v>
      </c>
      <c r="M24" s="235">
        <f>((M18*(M8+M10))*PARÁMETROS!$C$6)</f>
        <v>0</v>
      </c>
      <c r="N24" s="236">
        <f>+M29*(1+G)/(C3-G)</f>
        <v>0</v>
      </c>
    </row>
    <row r="25" spans="1:15" ht="19.899999999999999" customHeight="1" x14ac:dyDescent="0.2">
      <c r="B25" s="183" t="s">
        <v>546</v>
      </c>
      <c r="C25" s="234"/>
      <c r="D25" s="235"/>
      <c r="E25" s="235"/>
      <c r="F25" s="235"/>
      <c r="G25" s="235"/>
      <c r="H25" s="235"/>
      <c r="I25" s="235"/>
      <c r="J25" s="235"/>
      <c r="K25" s="235"/>
      <c r="L25" s="235"/>
      <c r="M25" s="236"/>
      <c r="N25" s="236"/>
    </row>
    <row r="26" spans="1:15" ht="17.25" customHeight="1" x14ac:dyDescent="0.2">
      <c r="A26" s="244"/>
      <c r="B26" s="183" t="s">
        <v>247</v>
      </c>
      <c r="C26" s="234">
        <f>+'RESUMEN FINANCIERO'!H26</f>
        <v>0</v>
      </c>
      <c r="D26" s="235">
        <f>+'RESUMEN FINANCIERO'!I26</f>
        <v>33091272.261675</v>
      </c>
      <c r="E26" s="235">
        <f>+'RESUMEN FINANCIERO'!J26</f>
        <v>34970849.907883689</v>
      </c>
      <c r="F26" s="235">
        <f>+'RESUMEN FINANCIERO'!K26</f>
        <v>36957187.188481502</v>
      </c>
      <c r="G26" s="235">
        <f>+'RESUMEN FINANCIERO'!L26</f>
        <v>39056348.029349819</v>
      </c>
      <c r="H26" s="235">
        <f>+'RESUMEN FINANCIERO'!M26</f>
        <v>41274740.786147282</v>
      </c>
      <c r="I26" s="235">
        <f>+'RESUMEN FINANCIERO'!N26</f>
        <v>0</v>
      </c>
      <c r="J26" s="235">
        <f>+'RESUMEN FINANCIERO'!O26</f>
        <v>0</v>
      </c>
      <c r="K26" s="235">
        <f>+'RESUMEN FINANCIERO'!P26</f>
        <v>0</v>
      </c>
      <c r="L26" s="235">
        <f>+'RESUMEN FINANCIERO'!Q26</f>
        <v>0</v>
      </c>
      <c r="M26" s="236">
        <f>+'RESUMEN FINANCIERO'!R26</f>
        <v>0</v>
      </c>
      <c r="N26" s="236"/>
    </row>
    <row r="27" spans="1:15" ht="20.25" customHeight="1" x14ac:dyDescent="0.2">
      <c r="B27" s="183" t="s">
        <v>248</v>
      </c>
      <c r="C27" s="234"/>
      <c r="D27" s="235"/>
      <c r="E27" s="235"/>
      <c r="F27" s="235"/>
      <c r="G27" s="235"/>
      <c r="H27" s="235"/>
      <c r="I27" s="235"/>
      <c r="J27" s="235"/>
      <c r="K27" s="235"/>
      <c r="L27" s="235"/>
      <c r="M27" s="236"/>
      <c r="N27" s="236"/>
    </row>
    <row r="28" spans="1:15" ht="20.25" customHeight="1" x14ac:dyDescent="0.2">
      <c r="B28" s="192" t="s">
        <v>531</v>
      </c>
      <c r="C28" s="237">
        <f>SUM(C25:C27)</f>
        <v>0</v>
      </c>
      <c r="D28" s="238">
        <f>SUM(D25:D27)</f>
        <v>33091272.261675</v>
      </c>
      <c r="E28" s="238">
        <f t="shared" ref="E28:M28" si="3">SUM(E25:E27)</f>
        <v>34970849.907883689</v>
      </c>
      <c r="F28" s="238">
        <f t="shared" si="3"/>
        <v>36957187.188481502</v>
      </c>
      <c r="G28" s="238">
        <f t="shared" si="3"/>
        <v>39056348.029349819</v>
      </c>
      <c r="H28" s="238">
        <f t="shared" si="3"/>
        <v>41274740.786147282</v>
      </c>
      <c r="I28" s="238">
        <f t="shared" si="3"/>
        <v>0</v>
      </c>
      <c r="J28" s="238">
        <f t="shared" si="3"/>
        <v>0</v>
      </c>
      <c r="K28" s="238">
        <f t="shared" si="3"/>
        <v>0</v>
      </c>
      <c r="L28" s="238">
        <f t="shared" si="3"/>
        <v>0</v>
      </c>
      <c r="M28" s="239">
        <f t="shared" si="3"/>
        <v>0</v>
      </c>
      <c r="N28" s="239"/>
      <c r="O28" s="761">
        <f>SUM(C28:M28)</f>
        <v>185350398.17353731</v>
      </c>
    </row>
    <row r="29" spans="1:15" ht="18" customHeight="1" x14ac:dyDescent="0.2">
      <c r="B29" s="183" t="s">
        <v>249</v>
      </c>
      <c r="C29" s="234">
        <f>C24-C28</f>
        <v>0</v>
      </c>
      <c r="D29" s="235">
        <f>D24-D28</f>
        <v>2247049.0937632695</v>
      </c>
      <c r="E29" s="235">
        <f t="shared" ref="E29:M29" si="4">E24-E28</f>
        <v>1625369.387157768</v>
      </c>
      <c r="F29" s="235">
        <f t="shared" si="4"/>
        <v>941706.00511554629</v>
      </c>
      <c r="G29" s="235">
        <f t="shared" si="4"/>
        <v>191588.86052145809</v>
      </c>
      <c r="H29" s="235">
        <f t="shared" si="4"/>
        <v>-629739.82945531607</v>
      </c>
      <c r="I29" s="235">
        <f t="shared" si="4"/>
        <v>0</v>
      </c>
      <c r="J29" s="235">
        <f t="shared" si="4"/>
        <v>0</v>
      </c>
      <c r="K29" s="235">
        <f t="shared" si="4"/>
        <v>0</v>
      </c>
      <c r="L29" s="235">
        <f t="shared" si="4"/>
        <v>0</v>
      </c>
      <c r="M29" s="236">
        <f t="shared" si="4"/>
        <v>0</v>
      </c>
      <c r="N29" s="236"/>
    </row>
    <row r="30" spans="1:15" ht="19.899999999999999" customHeight="1" thickBot="1" x14ac:dyDescent="0.25">
      <c r="B30" s="165" t="s">
        <v>250</v>
      </c>
      <c r="C30" s="240">
        <f>IF(C29&lt;0,0,(C29*$C$4))</f>
        <v>0</v>
      </c>
      <c r="D30" s="241">
        <f t="shared" ref="D30:M30" si="5">IF(D29&lt;0,0,(D29*$C$4))</f>
        <v>786467.18281714432</v>
      </c>
      <c r="E30" s="241">
        <f t="shared" si="5"/>
        <v>568879.28550521878</v>
      </c>
      <c r="F30" s="241">
        <f t="shared" si="5"/>
        <v>329597.1017904412</v>
      </c>
      <c r="G30" s="241">
        <f t="shared" si="5"/>
        <v>67056.101182510334</v>
      </c>
      <c r="H30" s="241">
        <f t="shared" si="5"/>
        <v>0</v>
      </c>
      <c r="I30" s="241">
        <f t="shared" si="5"/>
        <v>0</v>
      </c>
      <c r="J30" s="241">
        <f t="shared" si="5"/>
        <v>0</v>
      </c>
      <c r="K30" s="241">
        <f t="shared" si="5"/>
        <v>0</v>
      </c>
      <c r="L30" s="241">
        <f t="shared" si="5"/>
        <v>0</v>
      </c>
      <c r="M30" s="242">
        <f t="shared" si="5"/>
        <v>0</v>
      </c>
      <c r="N30" s="242"/>
    </row>
    <row r="31" spans="1:15" ht="19.899999999999999" customHeight="1" thickBot="1" x14ac:dyDescent="0.25">
      <c r="B31" s="189" t="s">
        <v>251</v>
      </c>
      <c r="C31" s="226">
        <f>+C24-C28-C30</f>
        <v>0</v>
      </c>
      <c r="D31" s="226">
        <f>+D24-D28-D30</f>
        <v>1460581.9109461252</v>
      </c>
      <c r="E31" s="226">
        <f t="shared" ref="E31:M31" si="6">+E24-E28-E30</f>
        <v>1056490.1016525491</v>
      </c>
      <c r="F31" s="226">
        <f t="shared" si="6"/>
        <v>612108.90332510509</v>
      </c>
      <c r="G31" s="226">
        <f t="shared" si="6"/>
        <v>124532.75933894776</v>
      </c>
      <c r="H31" s="226">
        <f t="shared" si="6"/>
        <v>-629739.82945531607</v>
      </c>
      <c r="I31" s="226">
        <f t="shared" si="6"/>
        <v>0</v>
      </c>
      <c r="J31" s="226">
        <f t="shared" si="6"/>
        <v>0</v>
      </c>
      <c r="K31" s="226">
        <f t="shared" si="6"/>
        <v>0</v>
      </c>
      <c r="L31" s="226">
        <f t="shared" si="6"/>
        <v>0</v>
      </c>
      <c r="M31" s="227">
        <f t="shared" si="6"/>
        <v>0</v>
      </c>
      <c r="N31" s="227"/>
    </row>
    <row r="32" spans="1:15" ht="13.5" thickBot="1" x14ac:dyDescent="0.25"/>
    <row r="33" spans="2:13" ht="13.5" thickBot="1" x14ac:dyDescent="0.25">
      <c r="B33" s="1801" t="s">
        <v>253</v>
      </c>
      <c r="C33" s="1802"/>
    </row>
    <row r="34" spans="2:13" ht="16.5" customHeight="1" x14ac:dyDescent="0.2">
      <c r="B34" s="184" t="s">
        <v>254</v>
      </c>
      <c r="C34" s="228">
        <f>+NPV($C$3,D24:N24)+C24</f>
        <v>122159672.96346797</v>
      </c>
    </row>
    <row r="35" spans="2:13" ht="19.899999999999999" customHeight="1" x14ac:dyDescent="0.2">
      <c r="B35" s="185" t="s">
        <v>255</v>
      </c>
      <c r="C35" s="229">
        <f>+NPV($C$3,D28:M28)+C28</f>
        <v>118617452.52510804</v>
      </c>
    </row>
    <row r="36" spans="2:13" ht="17.25" customHeight="1" thickBot="1" x14ac:dyDescent="0.25">
      <c r="B36" s="186"/>
      <c r="C36" s="230">
        <f>(C35+C23+NPV($C$3,D23:M23))</f>
        <v>118617452.52510804</v>
      </c>
    </row>
    <row r="37" spans="2:13" ht="19.899999999999999" customHeight="1" thickBot="1" x14ac:dyDescent="0.25">
      <c r="B37" s="181" t="s">
        <v>253</v>
      </c>
      <c r="C37" s="225">
        <f>IFERROR(C34/C35,0)</f>
        <v>1.029862557009561</v>
      </c>
    </row>
    <row r="38" spans="2:13" ht="13.5" thickBot="1" x14ac:dyDescent="0.25">
      <c r="C38" s="112"/>
    </row>
    <row r="39" spans="2:13" ht="13.5" thickBot="1" x14ac:dyDescent="0.25">
      <c r="B39" s="160" t="s">
        <v>532</v>
      </c>
      <c r="C39" s="195" t="str">
        <f>+IF(C37&lt;1,"Sin beneficio","Con beneficio")</f>
        <v>Con beneficio</v>
      </c>
    </row>
    <row r="45" spans="2:13" x14ac:dyDescent="0.2">
      <c r="D45" s="761"/>
      <c r="E45" s="761"/>
      <c r="F45" s="761"/>
      <c r="G45" s="761"/>
      <c r="H45" s="761"/>
      <c r="I45" s="761"/>
      <c r="J45" s="761"/>
      <c r="K45" s="761"/>
      <c r="L45" s="761"/>
      <c r="M45" s="761"/>
    </row>
  </sheetData>
  <mergeCells count="3">
    <mergeCell ref="B2:C2"/>
    <mergeCell ref="C14:M14"/>
    <mergeCell ref="B33:C33"/>
  </mergeCells>
  <conditionalFormatting sqref="C39">
    <cfRule type="containsText" dxfId="527" priority="1" operator="containsText" text="Sin beneficio">
      <formula>NOT(ISERROR(SEARCH("Sin beneficio",C39)))</formula>
    </cfRule>
    <cfRule type="containsText" dxfId="526" priority="2" operator="containsText" text="Con beneficio">
      <formula>NOT(ISERROR(SEARCH("Con beneficio",C39)))</formula>
    </cfRule>
    <cfRule type="containsText" dxfId="525" priority="3" operator="containsText" text="Co beneficio">
      <formula>NOT(ISERROR(SEARCH("Co beneficio",C39)))</formula>
    </cfRule>
    <cfRule type="containsText" dxfId="524" priority="4" operator="containsText" text="Acepta">
      <formula>NOT(ISERROR(SEARCH("Acepta",C39)))</formula>
    </cfRule>
    <cfRule type="containsText" dxfId="523" priority="5" operator="containsText" text="Rechaza">
      <formula>NOT(ISERROR(SEARCH("Rechaza",C39)))</formula>
    </cfRule>
    <cfRule type="cellIs" dxfId="522" priority="6" operator="greaterThan">
      <formula>$C$34&gt;1</formula>
    </cfRule>
    <cfRule type="cellIs" dxfId="521" priority="7" operator="lessThan">
      <formula>$C$34&lt;1</formula>
    </cfRule>
    <cfRule type="cellIs" dxfId="52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{24747011-B29E-424B-BEB1-3FD37C8C6BB6}</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24747011-B29E-424B-BEB1-3FD37C8C6BB6}">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6">
    <tabColor rgb="FF92D050"/>
  </sheetPr>
  <dimension ref="B1:O42"/>
  <sheetViews>
    <sheetView showGridLines="0" topLeftCell="A3" zoomScale="85" zoomScaleNormal="85"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5.25" style="86" bestFit="1" customWidth="1"/>
    <col min="15" max="15" width="12.625" style="86" bestFit="1" customWidth="1"/>
    <col min="16"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f>'EV PROG CCIALES'!J141</f>
        <v>893.10249999999996</v>
      </c>
      <c r="D11" s="214">
        <f>+C11*(1+PARÁMETROS!$C$9)</f>
        <v>924.89325155564984</v>
      </c>
      <c r="E11" s="214">
        <f>+D11*(1+PARÁMETROS!$C$9)</f>
        <v>957.81562225296943</v>
      </c>
      <c r="F11" s="214">
        <f>+E11*(1+PARÁMETROS!$C$9)</f>
        <v>991.90989304849893</v>
      </c>
      <c r="G11" s="214">
        <f>+F11*(1+PARÁMETROS!$C$9)</f>
        <v>1027.2177787340681</v>
      </c>
      <c r="H11" s="214">
        <f>+G11*(1+PARÁMETROS!$C$9)</f>
        <v>1063.782478975397</v>
      </c>
      <c r="I11" s="214">
        <f>+H11*(1+PARÁMETROS!$C$9)</f>
        <v>1101.648731167458</v>
      </c>
      <c r="J11" s="214">
        <f>+I11*(1+PARÁMETROS!$C$9)</f>
        <v>1140.8628651712725</v>
      </c>
      <c r="K11" s="214">
        <f>+J11*(1+PARÁMETROS!$C$9)</f>
        <v>1181.4728599991079</v>
      </c>
      <c r="L11" s="214">
        <f>+K11*(1+PARÁMETROS!$C$9)</f>
        <v>1223.5284025174356</v>
      </c>
      <c r="M11" s="215">
        <f>+L11*(1+PARÁMETROS!$C$9)</f>
        <v>1267.0809482394698</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FINANCIERO'!D27</f>
        <v>16.VINCULACIÓN DE COMUNIDADES ILEGALES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187" t="s">
        <v>545</v>
      </c>
      <c r="C17" s="1035">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4">
        <f>+'EV PROG CCIALES'!J454</f>
        <v>0</v>
      </c>
      <c r="D18" s="1105">
        <f>+'EV PROG CCIALES'!K454</f>
        <v>193826.03975999999</v>
      </c>
      <c r="E18" s="1105">
        <f>+'EV PROG CCIALES'!L454</f>
        <v>191693.95332263995</v>
      </c>
      <c r="F18" s="1105">
        <f>+'EV PROG CCIALES'!M454</f>
        <v>189585.3198360909</v>
      </c>
      <c r="G18" s="1105">
        <f>+'EV PROG CCIALES'!N454</f>
        <v>249999.84175719193</v>
      </c>
      <c r="H18" s="1105">
        <f>+'EV PROG CCIALES'!O454</f>
        <v>247249.84349786278</v>
      </c>
      <c r="I18" s="178">
        <f>+'EV PROG CCIALES'!P454</f>
        <v>0</v>
      </c>
      <c r="J18" s="178">
        <f>+'EV PROG CCIALES'!Q454</f>
        <v>0</v>
      </c>
      <c r="K18" s="178">
        <f>+'EV PROG CCIALES'!R454</f>
        <v>0</v>
      </c>
      <c r="L18" s="178">
        <f>+'EV PROG CCIALES'!S454</f>
        <v>0</v>
      </c>
      <c r="M18" s="179">
        <f>+'EV PROG CCIALES'!T454</f>
        <v>0</v>
      </c>
    </row>
    <row r="19" spans="2:15" ht="16.149999999999999" customHeight="1" thickBot="1" x14ac:dyDescent="0.25">
      <c r="B19" s="1073" t="s">
        <v>997</v>
      </c>
      <c r="C19" s="1074">
        <f>+C18</f>
        <v>0</v>
      </c>
      <c r="D19" s="1105">
        <f>+'EV PROG CCIALES'!K391</f>
        <v>193826.03975999999</v>
      </c>
      <c r="E19" s="1105">
        <f>+'EV PROG CCIALES'!L391</f>
        <v>383387.90664527996</v>
      </c>
      <c r="F19" s="1105">
        <f>+'EV PROG CCIALES'!M391</f>
        <v>568755.95950827282</v>
      </c>
      <c r="G19" s="1105">
        <f>+'EV PROG CCIALES'!N391</f>
        <v>812499.48571087373</v>
      </c>
      <c r="H19" s="1105">
        <f>+'EV PROG CCIALES'!O391</f>
        <v>1050811.8348659168</v>
      </c>
      <c r="I19" s="178">
        <f>+'EV PROG CCIALES'!P391</f>
        <v>0</v>
      </c>
      <c r="J19" s="178">
        <f>+'EV PROG CCIALES'!Q391</f>
        <v>0</v>
      </c>
      <c r="K19" s="178">
        <f>+'EV PROG CCIALES'!R391</f>
        <v>0</v>
      </c>
      <c r="L19" s="178">
        <f>+'EV PROG CCIALES'!S391</f>
        <v>0</v>
      </c>
      <c r="M19" s="179">
        <f>+'EV PROG CCIALES'!T391</f>
        <v>0</v>
      </c>
    </row>
    <row r="20" spans="2:15" ht="16.149999999999999" customHeight="1" thickBot="1" x14ac:dyDescent="0.25">
      <c r="B20" s="208" t="s">
        <v>544</v>
      </c>
      <c r="C20" s="1108">
        <f>'RESUMEN FINANCIERO'!H143</f>
        <v>0</v>
      </c>
      <c r="D20" s="1107">
        <f>'RESUMEN FINANCIERO'!I143+C20</f>
        <v>1758</v>
      </c>
      <c r="E20" s="1107">
        <f>'RESUMEN FINANCIERO'!J143</f>
        <v>1758</v>
      </c>
      <c r="F20" s="1107">
        <f>'RESUMEN FINANCIERO'!K143</f>
        <v>1758</v>
      </c>
      <c r="G20" s="1107">
        <f>'RESUMEN FINANCIERO'!L143</f>
        <v>2344</v>
      </c>
      <c r="H20" s="1107">
        <f>'RESUMEN FINANCIERO'!M143</f>
        <v>2344</v>
      </c>
      <c r="I20" s="1107">
        <f>'RESUMEN FINANCIERO'!N143</f>
        <v>0</v>
      </c>
      <c r="J20" s="1107">
        <f>'RESUMEN FINANCIERO'!O143</f>
        <v>0</v>
      </c>
      <c r="K20" s="1107">
        <f>'RESUMEN FINANCIERO'!P143</f>
        <v>0</v>
      </c>
      <c r="L20" s="1107">
        <f>'RESUMEN FINANCIERO'!Q143</f>
        <v>0</v>
      </c>
      <c r="M20" s="1107">
        <f>'RESUMEN FINANCIERO'!R143</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963" t="s">
        <v>245</v>
      </c>
      <c r="C22" s="1035">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1033" t="s">
        <v>996</v>
      </c>
    </row>
    <row r="23" spans="2:15" ht="17.25" customHeight="1" thickBot="1" x14ac:dyDescent="0.25">
      <c r="B23" s="190" t="s">
        <v>252</v>
      </c>
      <c r="C23" s="1441"/>
      <c r="D23" s="232"/>
      <c r="E23" s="232"/>
      <c r="F23" s="232"/>
      <c r="G23" s="232"/>
      <c r="H23" s="232"/>
      <c r="I23" s="232"/>
      <c r="J23" s="232"/>
      <c r="K23" s="232"/>
      <c r="L23" s="232"/>
      <c r="M23" s="233"/>
      <c r="N23" s="1429"/>
    </row>
    <row r="24" spans="2:15" ht="19.899999999999999" customHeight="1" x14ac:dyDescent="0.2">
      <c r="B24" s="191" t="s">
        <v>535</v>
      </c>
      <c r="C24" s="1441">
        <f>((C18*C8))*PARÁMETROS!$C$6</f>
        <v>0</v>
      </c>
      <c r="D24" s="232">
        <f>((D19*D8))*PARÁMETROS!$C$6</f>
        <v>717073584.59912419</v>
      </c>
      <c r="E24" s="232">
        <f>((E19*E8))*PARÁMETROS!$C$6</f>
        <v>1468859705.4708488</v>
      </c>
      <c r="F24" s="232">
        <f>((F19*F8))*PARÁMETROS!$C$6</f>
        <v>2256618651.866189</v>
      </c>
      <c r="G24" s="232">
        <f>((G19*G8))*PARÁMETROS!$C$6</f>
        <v>3338455667.7379856</v>
      </c>
      <c r="H24" s="232">
        <f>((H19*H8))*PARÁMETROS!$C$6</f>
        <v>4471340874.5214014</v>
      </c>
      <c r="I24" s="232">
        <f>((I19*I8))*PARÁMETROS!$C$6</f>
        <v>0</v>
      </c>
      <c r="J24" s="232">
        <f>((J19*J8))*PARÁMETROS!$C$6</f>
        <v>0</v>
      </c>
      <c r="K24" s="232">
        <f>((K19*K8))*PARÁMETROS!$C$6</f>
        <v>0</v>
      </c>
      <c r="L24" s="232">
        <f>((L19*L8))*PARÁMETROS!$C$6</f>
        <v>0</v>
      </c>
      <c r="M24" s="232">
        <f>((M19*M8))*PARÁMETROS!$C$6</f>
        <v>0</v>
      </c>
      <c r="N24" s="1430">
        <f>+M29*(1+G)/(C3-G)</f>
        <v>0</v>
      </c>
    </row>
    <row r="25" spans="2:15" ht="19.899999999999999" customHeight="1" x14ac:dyDescent="0.2">
      <c r="B25" s="183" t="s">
        <v>546</v>
      </c>
      <c r="C25" s="1442"/>
      <c r="D25" s="235"/>
      <c r="E25" s="235"/>
      <c r="F25" s="235"/>
      <c r="G25" s="235"/>
      <c r="H25" s="235"/>
      <c r="I25" s="235"/>
      <c r="J25" s="235"/>
      <c r="K25" s="235"/>
      <c r="L25" s="235"/>
      <c r="M25" s="236"/>
      <c r="N25" s="1430"/>
    </row>
    <row r="26" spans="2:15" ht="17.25" customHeight="1" x14ac:dyDescent="0.2">
      <c r="B26" s="183" t="s">
        <v>247</v>
      </c>
      <c r="C26" s="1442">
        <f>+'RESUMEN FINANCIERO'!H27</f>
        <v>0</v>
      </c>
      <c r="D26" s="235">
        <f>+'RESUMEN FINANCIERO'!I27</f>
        <v>602336324.63981247</v>
      </c>
      <c r="E26" s="235">
        <f>+'RESUMEN FINANCIERO'!J27</f>
        <v>636548907.41208887</v>
      </c>
      <c r="F26" s="235">
        <f>+'RESUMEN FINANCIERO'!K27</f>
        <v>672704758.0433141</v>
      </c>
      <c r="G26" s="235">
        <f>+'RESUMEN FINANCIERO'!L27</f>
        <v>947885671.67896378</v>
      </c>
      <c r="H26" s="235">
        <f>+'RESUMEN FINANCIERO'!M27</f>
        <v>1001725388.2531946</v>
      </c>
      <c r="I26" s="235">
        <f>+'RESUMEN FINANCIERO'!N27</f>
        <v>0</v>
      </c>
      <c r="J26" s="235">
        <f>+'RESUMEN FINANCIERO'!O27</f>
        <v>0</v>
      </c>
      <c r="K26" s="235">
        <f>+'RESUMEN FINANCIERO'!P27</f>
        <v>0</v>
      </c>
      <c r="L26" s="235">
        <f>+'RESUMEN FINANCIERO'!Q27</f>
        <v>0</v>
      </c>
      <c r="M26" s="236">
        <f>+'RESUMEN FINANCIERO'!R27</f>
        <v>0</v>
      </c>
      <c r="N26" s="1430"/>
    </row>
    <row r="27" spans="2:15" ht="20.25" customHeight="1" x14ac:dyDescent="0.2">
      <c r="B27" s="183" t="s">
        <v>248</v>
      </c>
      <c r="C27" s="1442"/>
      <c r="D27" s="235"/>
      <c r="E27" s="235"/>
      <c r="F27" s="235"/>
      <c r="G27" s="235"/>
      <c r="H27" s="235"/>
      <c r="I27" s="235"/>
      <c r="J27" s="235"/>
      <c r="K27" s="235"/>
      <c r="L27" s="235"/>
      <c r="M27" s="236"/>
      <c r="N27" s="1430"/>
    </row>
    <row r="28" spans="2:15" ht="20.25" customHeight="1" x14ac:dyDescent="0.2">
      <c r="B28" s="192" t="s">
        <v>531</v>
      </c>
      <c r="C28" s="1443">
        <f>SUM(C25:C27)</f>
        <v>0</v>
      </c>
      <c r="D28" s="238">
        <f>SUM(D25:D27)</f>
        <v>602336324.63981247</v>
      </c>
      <c r="E28" s="238">
        <f t="shared" ref="E28:M28" si="2">SUM(E25:E27)</f>
        <v>636548907.41208887</v>
      </c>
      <c r="F28" s="238">
        <f t="shared" si="2"/>
        <v>672704758.0433141</v>
      </c>
      <c r="G28" s="238">
        <f t="shared" si="2"/>
        <v>947885671.67896378</v>
      </c>
      <c r="H28" s="238">
        <f t="shared" si="2"/>
        <v>1001725388.2531946</v>
      </c>
      <c r="I28" s="238">
        <f t="shared" si="2"/>
        <v>0</v>
      </c>
      <c r="J28" s="238">
        <f t="shared" si="2"/>
        <v>0</v>
      </c>
      <c r="K28" s="238">
        <f t="shared" si="2"/>
        <v>0</v>
      </c>
      <c r="L28" s="238">
        <f t="shared" si="2"/>
        <v>0</v>
      </c>
      <c r="M28" s="239">
        <f t="shared" si="2"/>
        <v>0</v>
      </c>
      <c r="N28" s="1431"/>
      <c r="O28" s="761"/>
    </row>
    <row r="29" spans="2:15" ht="18" customHeight="1" x14ac:dyDescent="0.2">
      <c r="B29" s="183" t="s">
        <v>249</v>
      </c>
      <c r="C29" s="1442">
        <f>C24-C28</f>
        <v>0</v>
      </c>
      <c r="D29" s="235">
        <f>D24-D28</f>
        <v>114737259.95931172</v>
      </c>
      <c r="E29" s="235">
        <f t="shared" ref="E29:M29" si="3">E24-E28</f>
        <v>832310798.05875993</v>
      </c>
      <c r="F29" s="235">
        <f t="shared" si="3"/>
        <v>1583913893.822875</v>
      </c>
      <c r="G29" s="235">
        <f t="shared" si="3"/>
        <v>2390569996.0590219</v>
      </c>
      <c r="H29" s="235">
        <f t="shared" si="3"/>
        <v>3469615486.2682066</v>
      </c>
      <c r="I29" s="235">
        <f t="shared" si="3"/>
        <v>0</v>
      </c>
      <c r="J29" s="235">
        <f t="shared" si="3"/>
        <v>0</v>
      </c>
      <c r="K29" s="235">
        <f t="shared" si="3"/>
        <v>0</v>
      </c>
      <c r="L29" s="235">
        <f t="shared" si="3"/>
        <v>0</v>
      </c>
      <c r="M29" s="236">
        <f t="shared" si="3"/>
        <v>0</v>
      </c>
      <c r="N29" s="1430"/>
    </row>
    <row r="30" spans="2:15" ht="19.899999999999999" customHeight="1" thickBot="1" x14ac:dyDescent="0.25">
      <c r="B30" s="165" t="s">
        <v>250</v>
      </c>
      <c r="C30" s="1444">
        <f>IF(C29&lt;0,0,(C29*$C$4))</f>
        <v>0</v>
      </c>
      <c r="D30" s="241">
        <f t="shared" ref="D30:M30" si="4">IF(D29&lt;0,0,(D29*$C$4))</f>
        <v>40158040.985759102</v>
      </c>
      <c r="E30" s="241">
        <f t="shared" si="4"/>
        <v>291308779.32056594</v>
      </c>
      <c r="F30" s="241">
        <f t="shared" si="4"/>
        <v>554369862.83800626</v>
      </c>
      <c r="G30" s="241">
        <f t="shared" si="4"/>
        <v>836699498.62065768</v>
      </c>
      <c r="H30" s="241">
        <f t="shared" si="4"/>
        <v>1214365420.1938722</v>
      </c>
      <c r="I30" s="241">
        <f t="shared" si="4"/>
        <v>0</v>
      </c>
      <c r="J30" s="241">
        <f t="shared" si="4"/>
        <v>0</v>
      </c>
      <c r="K30" s="241">
        <f t="shared" si="4"/>
        <v>0</v>
      </c>
      <c r="L30" s="241">
        <f t="shared" si="4"/>
        <v>0</v>
      </c>
      <c r="M30" s="242">
        <f t="shared" si="4"/>
        <v>0</v>
      </c>
      <c r="N30" s="1432"/>
    </row>
    <row r="31" spans="2:15" ht="19.899999999999999" customHeight="1" thickBot="1" x14ac:dyDescent="0.25">
      <c r="B31" s="972" t="s">
        <v>251</v>
      </c>
      <c r="C31" s="973">
        <f>+C24-C28-C30</f>
        <v>0</v>
      </c>
      <c r="D31" s="226">
        <f>+D24-D28-D30</f>
        <v>74579218.973552614</v>
      </c>
      <c r="E31" s="226">
        <f t="shared" ref="E31:M31" si="5">+E24-E28-E30</f>
        <v>541002018.73819399</v>
      </c>
      <c r="F31" s="226">
        <f t="shared" si="5"/>
        <v>1029544030.9848688</v>
      </c>
      <c r="G31" s="226">
        <f t="shared" si="5"/>
        <v>1553870497.4383643</v>
      </c>
      <c r="H31" s="226">
        <f t="shared" si="5"/>
        <v>2255250066.0743341</v>
      </c>
      <c r="I31" s="226">
        <f t="shared" si="5"/>
        <v>0</v>
      </c>
      <c r="J31" s="226">
        <f t="shared" si="5"/>
        <v>0</v>
      </c>
      <c r="K31" s="226">
        <f t="shared" si="5"/>
        <v>0</v>
      </c>
      <c r="L31" s="226">
        <f t="shared" si="5"/>
        <v>0</v>
      </c>
      <c r="M31" s="227">
        <f t="shared" si="5"/>
        <v>0</v>
      </c>
      <c r="N31" s="1433"/>
    </row>
    <row r="32" spans="2:15" ht="13.5" thickBot="1" x14ac:dyDescent="0.25"/>
    <row r="33" spans="2:13" ht="13.5" thickBot="1" x14ac:dyDescent="0.25">
      <c r="B33" s="1801" t="s">
        <v>253</v>
      </c>
      <c r="C33" s="1802"/>
    </row>
    <row r="34" spans="2:13" ht="16.5" customHeight="1" x14ac:dyDescent="0.2">
      <c r="B34" s="184" t="s">
        <v>254</v>
      </c>
      <c r="C34" s="228">
        <f>+NPV($C$3,D24:N24)+C24</f>
        <v>7068496961.0436354</v>
      </c>
    </row>
    <row r="35" spans="2:13" ht="19.899999999999999" customHeight="1" x14ac:dyDescent="0.2">
      <c r="B35" s="185" t="s">
        <v>255</v>
      </c>
      <c r="C35" s="229">
        <f>+NPV($C$3,D28:M28)+C28</f>
        <v>2406564599.0319901</v>
      </c>
      <c r="D35" s="921"/>
      <c r="E35" s="921"/>
    </row>
    <row r="36" spans="2:13" ht="17.25" customHeight="1" thickBot="1" x14ac:dyDescent="0.25">
      <c r="B36" s="186"/>
      <c r="C36" s="230">
        <f>(C35+C23+NPV($C$3,D23:M23))</f>
        <v>2406564599.0319901</v>
      </c>
      <c r="D36" s="921"/>
      <c r="E36" s="921"/>
    </row>
    <row r="37" spans="2:13" ht="19.899999999999999" customHeight="1" thickBot="1" x14ac:dyDescent="0.25">
      <c r="B37" s="181" t="s">
        <v>253</v>
      </c>
      <c r="C37" s="225">
        <f>IFERROR(C34/C35,0)</f>
        <v>2.9371731653855657</v>
      </c>
      <c r="D37" s="921"/>
      <c r="E37" s="921"/>
    </row>
    <row r="38" spans="2:13" ht="13.5" thickBot="1" x14ac:dyDescent="0.25">
      <c r="C38" s="112"/>
    </row>
    <row r="39" spans="2:13" ht="13.5" thickBot="1" x14ac:dyDescent="0.25">
      <c r="B39" s="160" t="s">
        <v>532</v>
      </c>
      <c r="C39" s="195" t="str">
        <f>+IF(C37&lt;1,"Sin beneficio","Con beneficio")</f>
        <v>Con beneficio</v>
      </c>
    </row>
    <row r="41" spans="2:13" x14ac:dyDescent="0.2">
      <c r="D41" s="1117"/>
      <c r="E41" s="1117"/>
      <c r="F41" s="1117"/>
      <c r="G41" s="1117"/>
      <c r="H41" s="1117"/>
      <c r="I41" s="1117"/>
      <c r="J41" s="1117"/>
      <c r="K41" s="1117"/>
      <c r="L41" s="1117"/>
      <c r="M41" s="1117"/>
    </row>
    <row r="42" spans="2:13" x14ac:dyDescent="0.2">
      <c r="D42" s="761"/>
      <c r="E42" s="761"/>
      <c r="F42" s="761"/>
      <c r="G42" s="761"/>
      <c r="H42" s="761"/>
      <c r="I42" s="761"/>
      <c r="J42" s="761"/>
      <c r="K42" s="761"/>
      <c r="L42" s="761"/>
      <c r="M42" s="761"/>
    </row>
  </sheetData>
  <mergeCells count="3">
    <mergeCell ref="B2:C2"/>
    <mergeCell ref="C14:M14"/>
    <mergeCell ref="B33:C33"/>
  </mergeCells>
  <conditionalFormatting sqref="C39">
    <cfRule type="containsText" dxfId="519" priority="1" operator="containsText" text="Sin beneficio">
      <formula>NOT(ISERROR(SEARCH("Sin beneficio",C39)))</formula>
    </cfRule>
    <cfRule type="containsText" dxfId="518" priority="2" operator="containsText" text="Con beneficio">
      <formula>NOT(ISERROR(SEARCH("Con beneficio",C39)))</formula>
    </cfRule>
    <cfRule type="containsText" dxfId="517" priority="3" operator="containsText" text="Co beneficio">
      <formula>NOT(ISERROR(SEARCH("Co beneficio",C39)))</formula>
    </cfRule>
    <cfRule type="containsText" dxfId="516" priority="4" operator="containsText" text="Acepta">
      <formula>NOT(ISERROR(SEARCH("Acepta",C39)))</formula>
    </cfRule>
    <cfRule type="containsText" dxfId="515" priority="5" operator="containsText" text="Rechaza">
      <formula>NOT(ISERROR(SEARCH("Rechaza",C39)))</formula>
    </cfRule>
    <cfRule type="cellIs" dxfId="514" priority="6" operator="greaterThan">
      <formula>$C$34&gt;1</formula>
    </cfRule>
    <cfRule type="cellIs" dxfId="513" priority="7" operator="lessThan">
      <formula>$C$34&lt;1</formula>
    </cfRule>
    <cfRule type="cellIs" dxfId="51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{2B95AA2C-28C1-AC44-9C7C-208A91E9CB03}</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2B95AA2C-28C1-AC44-9C7C-208A91E9CB03}">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7">
    <tabColor rgb="FF92D050"/>
  </sheetPr>
  <dimension ref="B1:O39"/>
  <sheetViews>
    <sheetView showGridLines="0" topLeftCell="A10" zoomScale="85" zoomScaleNormal="85"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6.375" style="86" bestFit="1" customWidth="1"/>
    <col min="15" max="15" width="12.625" style="86" bestFit="1" customWidth="1"/>
    <col min="16"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FINANCIERO'!D28</f>
        <v>17. TELEMETRÍA GRANDES CONSUMIDORES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963" t="s">
        <v>545</v>
      </c>
      <c r="C17" s="1035">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4">
        <f>+'EV PROG CCIALES'!J455</f>
        <v>0</v>
      </c>
      <c r="D18" s="178">
        <f>+'EV PROG CCIALES'!K455</f>
        <v>147787.45680000001</v>
      </c>
      <c r="E18" s="178">
        <f>+'EV PROG CCIALES'!L455</f>
        <v>148681.82571959996</v>
      </c>
      <c r="F18" s="178">
        <f>+'EV PROG CCIALES'!M455</f>
        <v>147046.32563668437</v>
      </c>
      <c r="G18" s="178">
        <f>+'EV PROG CCIALES'!N455</f>
        <v>147893.71124204833</v>
      </c>
      <c r="H18" s="178">
        <f>+'EV PROG CCIALES'!O455</f>
        <v>148704.66175869221</v>
      </c>
      <c r="I18" s="178">
        <f>+'EV PROG CCIALES'!P455</f>
        <v>0</v>
      </c>
      <c r="J18" s="178">
        <f>+'EV PROG CCIALES'!Q455</f>
        <v>0</v>
      </c>
      <c r="K18" s="178">
        <f>+'EV PROG CCIALES'!R455</f>
        <v>0</v>
      </c>
      <c r="L18" s="178">
        <f>+'EV PROG CCIALES'!S455</f>
        <v>0</v>
      </c>
      <c r="M18" s="179">
        <f>+'EV PROG CCIALES'!T455</f>
        <v>0</v>
      </c>
    </row>
    <row r="19" spans="2:15" ht="16.149999999999999" customHeight="1" thickBot="1" x14ac:dyDescent="0.25">
      <c r="B19" s="1073" t="s">
        <v>997</v>
      </c>
      <c r="C19" s="1074">
        <f>+C18</f>
        <v>0</v>
      </c>
      <c r="D19" s="178">
        <f>+C19+D18</f>
        <v>147787.45680000001</v>
      </c>
      <c r="E19" s="178">
        <f t="shared" ref="E19:M19" si="1">E18</f>
        <v>148681.82571959996</v>
      </c>
      <c r="F19" s="178">
        <f t="shared" si="1"/>
        <v>147046.32563668437</v>
      </c>
      <c r="G19" s="178">
        <f t="shared" si="1"/>
        <v>147893.71124204833</v>
      </c>
      <c r="H19" s="178">
        <f t="shared" si="1"/>
        <v>148704.66175869221</v>
      </c>
      <c r="I19" s="178">
        <f t="shared" si="1"/>
        <v>0</v>
      </c>
      <c r="J19" s="178">
        <f t="shared" si="1"/>
        <v>0</v>
      </c>
      <c r="K19" s="178">
        <f t="shared" si="1"/>
        <v>0</v>
      </c>
      <c r="L19" s="178">
        <f t="shared" si="1"/>
        <v>0</v>
      </c>
      <c r="M19" s="178">
        <f t="shared" si="1"/>
        <v>0</v>
      </c>
    </row>
    <row r="20" spans="2:15" ht="16.149999999999999" customHeight="1" thickBot="1" x14ac:dyDescent="0.25">
      <c r="B20" s="208" t="s">
        <v>544</v>
      </c>
      <c r="C20" s="219">
        <f>+'RESUMEN FINANCIERO'!H144</f>
        <v>0</v>
      </c>
      <c r="D20" s="220">
        <f>+'RESUMEN FINANCIERO'!I144</f>
        <v>0</v>
      </c>
      <c r="E20" s="220">
        <f>+'RESUMEN FINANCIERO'!J144</f>
        <v>0</v>
      </c>
      <c r="F20" s="220">
        <f>+'RESUMEN FINANCIERO'!K144</f>
        <v>0</v>
      </c>
      <c r="G20" s="220">
        <f>+'RESUMEN FINANCIERO'!L144</f>
        <v>0</v>
      </c>
      <c r="H20" s="220">
        <f>+'RESUMEN FINANCIERO'!M144</f>
        <v>0</v>
      </c>
      <c r="I20" s="220">
        <f>+'RESUMEN FINANCIERO'!N144</f>
        <v>0</v>
      </c>
      <c r="J20" s="220">
        <f>+'RESUMEN FINANCIERO'!O144</f>
        <v>0</v>
      </c>
      <c r="K20" s="220">
        <f>+'RESUMEN FINANCIERO'!P144</f>
        <v>0</v>
      </c>
      <c r="L20" s="220">
        <f>+'RESUMEN FINANCIERO'!Q144</f>
        <v>0</v>
      </c>
      <c r="M20" s="221">
        <f>+'RESUMEN FINANCIERO'!R144</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546750485.83556855</v>
      </c>
      <c r="E24" s="235">
        <f>((E20*(E7+E9))+(E19*(E8+E10)+(E18*E11))*PARÁMETROS!$C$6)</f>
        <v>569639101.67730474</v>
      </c>
      <c r="F24" s="235">
        <f>((F20*(F7+F9))+(F19*(F8+F10)+(F18*F11))*PARÁMETROS!$C$6)</f>
        <v>583426820.5418334</v>
      </c>
      <c r="G24" s="235">
        <f>((G20*(G7+G9))+(G19*(G8+G10)+(G18*G11))*PARÁMETROS!$C$6)</f>
        <v>607676198.20317829</v>
      </c>
      <c r="H24" s="235">
        <f>((H20*(H7+H9))+(H19*(H8+H10)+(H18*H11))*PARÁMETROS!$C$6)</f>
        <v>632757654.88343811</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FINANCIERO'!H28</f>
        <v>0</v>
      </c>
      <c r="D26" s="235">
        <f>+'RESUMEN FINANCIERO'!I28</f>
        <v>92775628.300312504</v>
      </c>
      <c r="E26" s="235">
        <f>+'RESUMEN FINANCIERO'!J28</f>
        <v>197780966.47619686</v>
      </c>
      <c r="F26" s="235">
        <f>+'RESUMEN FINANCIERO'!K28</f>
        <v>314415554.73153734</v>
      </c>
      <c r="G26" s="235">
        <f>+'RESUMEN FINANCIERO'!L28</f>
        <v>445549623.31985199</v>
      </c>
      <c r="H26" s="235">
        <f>+'RESUMEN FINANCIERO'!M28</f>
        <v>592561252.48264837</v>
      </c>
      <c r="I26" s="235">
        <f>+'RESUMEN FINANCIERO'!N28</f>
        <v>0</v>
      </c>
      <c r="J26" s="235">
        <f>+'RESUMEN FINANCIERO'!O28</f>
        <v>0</v>
      </c>
      <c r="K26" s="235">
        <f>+'RESUMEN FINANCIERO'!P28</f>
        <v>0</v>
      </c>
      <c r="L26" s="235">
        <f>+'RESUMEN FINANCIERO'!Q28</f>
        <v>0</v>
      </c>
      <c r="M26" s="236">
        <f>+'RESUMEN FINANCIERO'!R28</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92775628.300312504</v>
      </c>
      <c r="E28" s="238">
        <f t="shared" ref="E28:M28" si="3">SUM(E25:E27)</f>
        <v>197780966.47619686</v>
      </c>
      <c r="F28" s="238">
        <f t="shared" si="3"/>
        <v>314415554.73153734</v>
      </c>
      <c r="G28" s="238">
        <f t="shared" si="3"/>
        <v>445549623.31985199</v>
      </c>
      <c r="H28" s="238">
        <f t="shared" si="3"/>
        <v>592561252.48264837</v>
      </c>
      <c r="I28" s="238">
        <f t="shared" si="3"/>
        <v>0</v>
      </c>
      <c r="J28" s="238">
        <f t="shared" si="3"/>
        <v>0</v>
      </c>
      <c r="K28" s="238">
        <f t="shared" si="3"/>
        <v>0</v>
      </c>
      <c r="L28" s="238">
        <f t="shared" si="3"/>
        <v>0</v>
      </c>
      <c r="M28" s="239">
        <f t="shared" si="3"/>
        <v>0</v>
      </c>
      <c r="N28" s="239"/>
      <c r="O28" s="761">
        <f>SUM(C28:M28)</f>
        <v>1643083025.3105469</v>
      </c>
    </row>
    <row r="29" spans="2:15" ht="18" customHeight="1" x14ac:dyDescent="0.2">
      <c r="B29" s="183" t="s">
        <v>249</v>
      </c>
      <c r="C29" s="234">
        <f>C24-C28</f>
        <v>0</v>
      </c>
      <c r="D29" s="235">
        <f>D24-D28</f>
        <v>453974857.53525603</v>
      </c>
      <c r="E29" s="235">
        <f t="shared" ref="E29:M29" si="4">E24-E28</f>
        <v>371858135.20110786</v>
      </c>
      <c r="F29" s="235">
        <f t="shared" si="4"/>
        <v>269011265.81029606</v>
      </c>
      <c r="G29" s="235">
        <f t="shared" si="4"/>
        <v>162126574.88332629</v>
      </c>
      <c r="H29" s="235">
        <f>H24-H28</f>
        <v>40196402.400789738</v>
      </c>
      <c r="I29" s="235">
        <f t="shared" si="4"/>
        <v>0</v>
      </c>
      <c r="J29" s="235">
        <f t="shared" si="4"/>
        <v>0</v>
      </c>
      <c r="K29" s="235">
        <f t="shared" si="4"/>
        <v>0</v>
      </c>
      <c r="L29" s="235">
        <f t="shared" si="4"/>
        <v>0</v>
      </c>
      <c r="M29" s="236">
        <f t="shared" si="4"/>
        <v>0</v>
      </c>
      <c r="N29" s="236"/>
    </row>
    <row r="30" spans="2:15" ht="19.899999999999999" customHeight="1" thickBot="1" x14ac:dyDescent="0.25">
      <c r="B30" s="165" t="s">
        <v>250</v>
      </c>
      <c r="C30" s="240">
        <f>IF(C29&lt;0,0,(C29*$C$4))</f>
        <v>0</v>
      </c>
      <c r="D30" s="241">
        <f t="shared" ref="D30:M30" si="5">IF(D29&lt;0,0,(D29*$C$4))</f>
        <v>158891200.13733959</v>
      </c>
      <c r="E30" s="241">
        <f t="shared" si="5"/>
        <v>130150347.32038774</v>
      </c>
      <c r="F30" s="241">
        <f t="shared" si="5"/>
        <v>94153943.033603609</v>
      </c>
      <c r="G30" s="241">
        <f t="shared" si="5"/>
        <v>56744301.209164202</v>
      </c>
      <c r="H30" s="241">
        <f t="shared" si="5"/>
        <v>14068740.840276407</v>
      </c>
      <c r="I30" s="241">
        <f t="shared" si="5"/>
        <v>0</v>
      </c>
      <c r="J30" s="241">
        <f t="shared" si="5"/>
        <v>0</v>
      </c>
      <c r="K30" s="241">
        <f t="shared" si="5"/>
        <v>0</v>
      </c>
      <c r="L30" s="241">
        <f t="shared" si="5"/>
        <v>0</v>
      </c>
      <c r="M30" s="242">
        <f t="shared" si="5"/>
        <v>0</v>
      </c>
      <c r="N30" s="242"/>
    </row>
    <row r="31" spans="2:15" ht="19.899999999999999" customHeight="1" thickBot="1" x14ac:dyDescent="0.25">
      <c r="B31" s="189" t="s">
        <v>251</v>
      </c>
      <c r="C31" s="226">
        <f>+C24-C28-C30</f>
        <v>0</v>
      </c>
      <c r="D31" s="226">
        <f>+D24-D28-D30</f>
        <v>295083657.39791644</v>
      </c>
      <c r="E31" s="226">
        <f t="shared" ref="E31:M31" si="6">+E24-E28-E30</f>
        <v>241707787.88072014</v>
      </c>
      <c r="F31" s="226">
        <f t="shared" si="6"/>
        <v>174857322.77669245</v>
      </c>
      <c r="G31" s="226">
        <f t="shared" si="6"/>
        <v>105382273.67416209</v>
      </c>
      <c r="H31" s="226">
        <f t="shared" si="6"/>
        <v>26127661.560513332</v>
      </c>
      <c r="I31" s="226">
        <f t="shared" si="6"/>
        <v>0</v>
      </c>
      <c r="J31" s="226">
        <f t="shared" si="6"/>
        <v>0</v>
      </c>
      <c r="K31" s="226">
        <f t="shared" si="6"/>
        <v>0</v>
      </c>
      <c r="L31" s="226">
        <f t="shared" si="6"/>
        <v>0</v>
      </c>
      <c r="M31" s="227">
        <f t="shared" si="6"/>
        <v>0</v>
      </c>
      <c r="N31" s="227"/>
    </row>
    <row r="32" spans="2:15" ht="13.5" thickBot="1" x14ac:dyDescent="0.25"/>
    <row r="33" spans="2:3" ht="13.5" thickBot="1" x14ac:dyDescent="0.25">
      <c r="B33" s="1801" t="s">
        <v>253</v>
      </c>
      <c r="C33" s="1802"/>
    </row>
    <row r="34" spans="2:3" ht="16.5" customHeight="1" x14ac:dyDescent="0.2">
      <c r="B34" s="184" t="s">
        <v>254</v>
      </c>
      <c r="C34" s="228">
        <f>+NPV($C$3,D24:N24)+C24</f>
        <v>1892779498.5211046</v>
      </c>
    </row>
    <row r="35" spans="2:3" ht="19.899999999999999" customHeight="1" x14ac:dyDescent="0.2">
      <c r="B35" s="185" t="s">
        <v>255</v>
      </c>
      <c r="C35" s="229">
        <f>+NPV($C$3,D28:M28)+C28</f>
        <v>948595847.09039903</v>
      </c>
    </row>
    <row r="36" spans="2:3" ht="17.25" customHeight="1" thickBot="1" x14ac:dyDescent="0.25">
      <c r="B36" s="186"/>
      <c r="C36" s="230">
        <f>(C35+C23+NPV($C$3,D23:M23))</f>
        <v>948595847.09039903</v>
      </c>
    </row>
    <row r="37" spans="2:3" ht="19.899999999999999" customHeight="1" thickBot="1" x14ac:dyDescent="0.25">
      <c r="B37" s="181" t="s">
        <v>253</v>
      </c>
      <c r="C37" s="225">
        <f>IFERROR(C34/C35,0)</f>
        <v>1.995348708648444</v>
      </c>
    </row>
    <row r="38" spans="2:3" ht="13.5" thickBot="1" x14ac:dyDescent="0.25">
      <c r="C38" s="112"/>
    </row>
    <row r="39" spans="2:3" ht="13.5" thickBot="1" x14ac:dyDescent="0.25">
      <c r="B39" s="160" t="s">
        <v>532</v>
      </c>
      <c r="C39" s="195" t="str">
        <f>+IF(C37&lt;1,"Sin beneficio","Con beneficio")</f>
        <v>Con beneficio</v>
      </c>
    </row>
  </sheetData>
  <mergeCells count="3">
    <mergeCell ref="B2:C2"/>
    <mergeCell ref="C14:M14"/>
    <mergeCell ref="B33:C33"/>
  </mergeCells>
  <conditionalFormatting sqref="C39">
    <cfRule type="containsText" dxfId="511" priority="1" operator="containsText" text="Sin beneficio">
      <formula>NOT(ISERROR(SEARCH("Sin beneficio",C39)))</formula>
    </cfRule>
    <cfRule type="containsText" dxfId="510" priority="2" operator="containsText" text="Con beneficio">
      <formula>NOT(ISERROR(SEARCH("Con beneficio",C39)))</formula>
    </cfRule>
    <cfRule type="containsText" dxfId="509" priority="3" operator="containsText" text="Co beneficio">
      <formula>NOT(ISERROR(SEARCH("Co beneficio",C39)))</formula>
    </cfRule>
    <cfRule type="containsText" dxfId="508" priority="4" operator="containsText" text="Acepta">
      <formula>NOT(ISERROR(SEARCH("Acepta",C39)))</formula>
    </cfRule>
    <cfRule type="containsText" dxfId="507" priority="5" operator="containsText" text="Rechaza">
      <formula>NOT(ISERROR(SEARCH("Rechaza",C39)))</formula>
    </cfRule>
    <cfRule type="cellIs" dxfId="506" priority="6" operator="greaterThan">
      <formula>$C$34&gt;1</formula>
    </cfRule>
    <cfRule type="cellIs" dxfId="505" priority="7" operator="lessThan">
      <formula>$C$34&lt;1</formula>
    </cfRule>
    <cfRule type="cellIs" dxfId="50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{9384ED11-27DD-E545-886B-3C9F303AAC3E}</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9384ED11-27DD-E545-886B-3C9F303AAC3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8">
    <tabColor rgb="FF92D050"/>
  </sheetPr>
  <dimension ref="B1:N39"/>
  <sheetViews>
    <sheetView showGridLines="0" topLeftCell="A14" zoomScale="85" zoomScaleNormal="85" workbookViewId="0">
      <selection activeCell="J52" sqref="J52"/>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2.125" style="86" bestFit="1" customWidth="1"/>
    <col min="15"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FINANCIERO'!D29</f>
        <v>18. SOFTWARE DE INTELIGENCIA PARA ALERTAS</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4">
        <f>+'EV PROG CCIALES'!J456</f>
        <v>0</v>
      </c>
      <c r="D18" s="178">
        <f>+'EV PROG CCIALES'!K456</f>
        <v>0</v>
      </c>
      <c r="E18" s="178">
        <f>+'EV PROG CCIALES'!L456</f>
        <v>0</v>
      </c>
      <c r="F18" s="178">
        <f>+'EV PROG CCIALES'!M456</f>
        <v>0</v>
      </c>
      <c r="G18" s="178">
        <f>+'EV PROG CCIALES'!N456</f>
        <v>0</v>
      </c>
      <c r="H18" s="178">
        <f>+'EV PROG CCIALES'!O456</f>
        <v>0</v>
      </c>
      <c r="I18" s="178">
        <f>+'EV PROG CCIALES'!P456</f>
        <v>0</v>
      </c>
      <c r="J18" s="178">
        <f>+'EV PROG CCIALES'!Q456</f>
        <v>0</v>
      </c>
      <c r="K18" s="178">
        <f>+'EV PROG CCIALES'!R456</f>
        <v>0</v>
      </c>
      <c r="L18" s="178">
        <f>+'EV PROG CCIALES'!S456</f>
        <v>0</v>
      </c>
      <c r="M18" s="179">
        <f>+'EV PROG CCIALES'!T456</f>
        <v>0</v>
      </c>
    </row>
    <row r="19" spans="2:14" ht="16.149999999999999" customHeight="1" thickBot="1" x14ac:dyDescent="0.25">
      <c r="B19" s="1073" t="s">
        <v>997</v>
      </c>
      <c r="C19" s="1074">
        <f>+C18</f>
        <v>0</v>
      </c>
      <c r="D19" s="178">
        <f>+C19+D18</f>
        <v>0</v>
      </c>
      <c r="E19" s="178">
        <f t="shared" ref="E19:M19" si="1">+D19+E18</f>
        <v>0</v>
      </c>
      <c r="F19" s="178">
        <f t="shared" si="1"/>
        <v>0</v>
      </c>
      <c r="G19" s="178">
        <f t="shared" si="1"/>
        <v>0</v>
      </c>
      <c r="H19" s="178">
        <f t="shared" si="1"/>
        <v>0</v>
      </c>
      <c r="I19" s="178">
        <f t="shared" si="1"/>
        <v>0</v>
      </c>
      <c r="J19" s="178">
        <f t="shared" si="1"/>
        <v>0</v>
      </c>
      <c r="K19" s="178">
        <f t="shared" si="1"/>
        <v>0</v>
      </c>
      <c r="L19" s="178">
        <f t="shared" si="1"/>
        <v>0</v>
      </c>
      <c r="M19" s="179">
        <f t="shared" si="1"/>
        <v>0</v>
      </c>
    </row>
    <row r="20" spans="2:14" ht="16.149999999999999" customHeight="1" thickBot="1" x14ac:dyDescent="0.25">
      <c r="B20" s="208" t="s">
        <v>544</v>
      </c>
      <c r="C20" s="219">
        <f>+'RESUMEN FINANCIERO'!H145</f>
        <v>0</v>
      </c>
      <c r="D20" s="220">
        <f>+'RESUMEN FINANCIERO'!I145</f>
        <v>0</v>
      </c>
      <c r="E20" s="220">
        <f>+'RESUMEN FINANCIERO'!J145</f>
        <v>0</v>
      </c>
      <c r="F20" s="220">
        <f>+'RESUMEN FINANCIERO'!K145</f>
        <v>0</v>
      </c>
      <c r="G20" s="220">
        <f>+'RESUMEN FINANCIERO'!L145</f>
        <v>0</v>
      </c>
      <c r="H20" s="220">
        <f>+'RESUMEN FINANCIERO'!M145</f>
        <v>0</v>
      </c>
      <c r="I20" s="220">
        <f>+'RESUMEN FINANCIERO'!N145</f>
        <v>0</v>
      </c>
      <c r="J20" s="220">
        <f>+'RESUMEN FINANCIERO'!O145</f>
        <v>0</v>
      </c>
      <c r="K20" s="220">
        <f>+'RESUMEN FINANCIERO'!P145</f>
        <v>0</v>
      </c>
      <c r="L20" s="220">
        <f>+'RESUMEN FINANCIERO'!Q145</f>
        <v>0</v>
      </c>
      <c r="M20" s="221">
        <f>+'RESUMEN FINANCIERO'!R145</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996</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4">
        <f>((C20*(C7+C9))+(C19*(C8+C10)+(C18*C11))*PARÁMETROS!$C$6)</f>
        <v>0</v>
      </c>
      <c r="D24" s="235">
        <f>((D20*(D7+D9))+(D19*(D8+D10)+(D18*D11))*PARÁMETROS!$C$6)</f>
        <v>0</v>
      </c>
      <c r="E24" s="235">
        <f>((E20*(E7+E9))+(E19*(E8+E10)+(E18*E11))*PARÁMETROS!$C$6)</f>
        <v>0</v>
      </c>
      <c r="F24" s="235">
        <f>((F20*(F7+F9))+(F19*(F8+F10)+(F18*F11))*PARÁMETROS!$C$6)</f>
        <v>0</v>
      </c>
      <c r="G24" s="235">
        <f>((G20*(G7+G9))+(G19*(G8+G10)+(G18*G11))*PARÁMETROS!$C$6)</f>
        <v>0</v>
      </c>
      <c r="H24" s="235">
        <f>((H20*(H7+H9))+(H19*(H8+H10)+(H18*H11))*PARÁMETROS!$C$6)</f>
        <v>0</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FINANCIERO'!H29</f>
        <v>0</v>
      </c>
      <c r="D26" s="235">
        <f>+'RESUMEN FINANCIERO'!I29</f>
        <v>0</v>
      </c>
      <c r="E26" s="235">
        <f>+'RESUMEN FINANCIERO'!J29</f>
        <v>0</v>
      </c>
      <c r="F26" s="235">
        <f>+'RESUMEN FINANCIERO'!K29</f>
        <v>0</v>
      </c>
      <c r="G26" s="235">
        <f>+'RESUMEN FINANCIERO'!L29</f>
        <v>0</v>
      </c>
      <c r="H26" s="235">
        <f>+'RESUMEN FINANCIERO'!M29</f>
        <v>0</v>
      </c>
      <c r="I26" s="235">
        <f>+'RESUMEN FINANCIERO'!N29</f>
        <v>0</v>
      </c>
      <c r="J26" s="235">
        <f>+'RESUMEN FINANCIERO'!O29</f>
        <v>0</v>
      </c>
      <c r="K26" s="235">
        <f>+'RESUMEN FINANCIERO'!P29</f>
        <v>0</v>
      </c>
      <c r="L26" s="235">
        <f>+'RESUMEN FINANCIERO'!Q29</f>
        <v>0</v>
      </c>
      <c r="M26" s="236">
        <f>+'RESUMEN FINANCIERO'!R29</f>
        <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row>
    <row r="29" spans="2:14" ht="18" customHeight="1" x14ac:dyDescent="0.2">
      <c r="B29" s="183" t="s">
        <v>249</v>
      </c>
      <c r="C29" s="234">
        <f>C24-C28</f>
        <v>0</v>
      </c>
      <c r="D29" s="235">
        <f>D24-D28</f>
        <v>0</v>
      </c>
      <c r="E29" s="235">
        <f t="shared" ref="E29:M29" si="4">E24-E28</f>
        <v>0</v>
      </c>
      <c r="F29" s="235">
        <f t="shared" si="4"/>
        <v>0</v>
      </c>
      <c r="G29" s="235">
        <f t="shared" si="4"/>
        <v>0</v>
      </c>
      <c r="H29" s="235">
        <f t="shared" si="4"/>
        <v>0</v>
      </c>
      <c r="I29" s="235">
        <f t="shared" si="4"/>
        <v>0</v>
      </c>
      <c r="J29" s="235">
        <f t="shared" si="4"/>
        <v>0</v>
      </c>
      <c r="K29" s="235">
        <f t="shared" si="4"/>
        <v>0</v>
      </c>
      <c r="L29" s="235">
        <f t="shared" si="4"/>
        <v>0</v>
      </c>
      <c r="M29" s="236">
        <f t="shared" si="4"/>
        <v>0</v>
      </c>
      <c r="N29" s="236"/>
    </row>
    <row r="30" spans="2:14" ht="19.899999999999999" customHeight="1" thickBot="1" x14ac:dyDescent="0.25">
      <c r="B30" s="165" t="s">
        <v>250</v>
      </c>
      <c r="C30" s="240">
        <f>IF(C29&lt;0,0,(C29*$C$4))</f>
        <v>0</v>
      </c>
      <c r="D30" s="241">
        <f t="shared" ref="D30:M30" si="5">IF(D29&lt;0,0,(D29*$C$4))</f>
        <v>0</v>
      </c>
      <c r="E30" s="241">
        <f t="shared" si="5"/>
        <v>0</v>
      </c>
      <c r="F30" s="241">
        <f t="shared" si="5"/>
        <v>0</v>
      </c>
      <c r="G30" s="241">
        <f t="shared" si="5"/>
        <v>0</v>
      </c>
      <c r="H30" s="241">
        <f t="shared" si="5"/>
        <v>0</v>
      </c>
      <c r="I30" s="241">
        <f t="shared" si="5"/>
        <v>0</v>
      </c>
      <c r="J30" s="241">
        <f t="shared" si="5"/>
        <v>0</v>
      </c>
      <c r="K30" s="241">
        <f t="shared" si="5"/>
        <v>0</v>
      </c>
      <c r="L30" s="241">
        <f t="shared" si="5"/>
        <v>0</v>
      </c>
      <c r="M30" s="242">
        <f t="shared" si="5"/>
        <v>0</v>
      </c>
      <c r="N30" s="242"/>
    </row>
    <row r="31" spans="2:14" ht="19.899999999999999" customHeight="1" thickBot="1" x14ac:dyDescent="0.25">
      <c r="B31" s="189" t="s">
        <v>251</v>
      </c>
      <c r="C31" s="226">
        <f>+C24-C28-C30</f>
        <v>0</v>
      </c>
      <c r="D31" s="226">
        <f>+D24-D28-D30</f>
        <v>0</v>
      </c>
      <c r="E31" s="226">
        <f t="shared" ref="E31:M31" si="6">+E24-E28-E30</f>
        <v>0</v>
      </c>
      <c r="F31" s="226">
        <f t="shared" si="6"/>
        <v>0</v>
      </c>
      <c r="G31" s="226">
        <f t="shared" si="6"/>
        <v>0</v>
      </c>
      <c r="H31" s="226">
        <f t="shared" si="6"/>
        <v>0</v>
      </c>
      <c r="I31" s="226">
        <f t="shared" si="6"/>
        <v>0</v>
      </c>
      <c r="J31" s="226">
        <f t="shared" si="6"/>
        <v>0</v>
      </c>
      <c r="K31" s="226">
        <f t="shared" si="6"/>
        <v>0</v>
      </c>
      <c r="L31" s="226">
        <f t="shared" si="6"/>
        <v>0</v>
      </c>
      <c r="M31" s="227">
        <f t="shared" si="6"/>
        <v>0</v>
      </c>
      <c r="N31" s="227"/>
    </row>
    <row r="32" spans="2:14" ht="13.5" thickBot="1" x14ac:dyDescent="0.25"/>
    <row r="33" spans="2:3" ht="13.5" thickBot="1" x14ac:dyDescent="0.25">
      <c r="B33" s="1801" t="s">
        <v>253</v>
      </c>
      <c r="C33" s="1802"/>
    </row>
    <row r="34" spans="2:3" ht="16.5" customHeight="1" x14ac:dyDescent="0.2">
      <c r="B34" s="184" t="s">
        <v>254</v>
      </c>
      <c r="C34" s="228">
        <f>+NPV($C$3,D24:N24)+C24</f>
        <v>0</v>
      </c>
    </row>
    <row r="35" spans="2:3" ht="19.899999999999999" customHeight="1" x14ac:dyDescent="0.2">
      <c r="B35" s="185" t="s">
        <v>255</v>
      </c>
      <c r="C35" s="229">
        <f>+NPV($C$3,D28:M28)+C28</f>
        <v>0</v>
      </c>
    </row>
    <row r="36" spans="2:3" ht="17.25" customHeight="1" thickBot="1" x14ac:dyDescent="0.25">
      <c r="B36" s="186"/>
      <c r="C36" s="230">
        <f>(C35+C23+NPV($C$3,D23:M23))</f>
        <v>0</v>
      </c>
    </row>
    <row r="37" spans="2:3" ht="19.899999999999999" customHeight="1" thickBot="1" x14ac:dyDescent="0.25">
      <c r="B37" s="181" t="s">
        <v>253</v>
      </c>
      <c r="C37" s="225">
        <f>IFERROR(C34/C35,0)</f>
        <v>0</v>
      </c>
    </row>
    <row r="38" spans="2:3" ht="13.5" thickBot="1" x14ac:dyDescent="0.25">
      <c r="C38" s="112"/>
    </row>
    <row r="39" spans="2:3"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03" priority="1" operator="containsText" text="Sin beneficio">
      <formula>NOT(ISERROR(SEARCH("Sin beneficio",C39)))</formula>
    </cfRule>
    <cfRule type="containsText" dxfId="502" priority="2" operator="containsText" text="Con beneficio">
      <formula>NOT(ISERROR(SEARCH("Con beneficio",C39)))</formula>
    </cfRule>
    <cfRule type="containsText" dxfId="501" priority="3" operator="containsText" text="Co beneficio">
      <formula>NOT(ISERROR(SEARCH("Co beneficio",C39)))</formula>
    </cfRule>
    <cfRule type="containsText" dxfId="500" priority="4" operator="containsText" text="Acepta">
      <formula>NOT(ISERROR(SEARCH("Acepta",C39)))</formula>
    </cfRule>
    <cfRule type="containsText" dxfId="499" priority="5" operator="containsText" text="Rechaza">
      <formula>NOT(ISERROR(SEARCH("Rechaza",C39)))</formula>
    </cfRule>
    <cfRule type="cellIs" dxfId="498" priority="6" operator="greaterThan">
      <formula>$C$34&gt;1</formula>
    </cfRule>
    <cfRule type="cellIs" dxfId="497" priority="7" operator="lessThan">
      <formula>$C$34&lt;1</formula>
    </cfRule>
    <cfRule type="cellIs" dxfId="49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{09B12DE8-8688-CA4A-86F0-046A07BD73C1}</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9B12DE8-8688-CA4A-86F0-046A07BD73C1}">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9">
    <tabColor rgb="FF92D050"/>
  </sheetPr>
  <dimension ref="B1:N44"/>
  <sheetViews>
    <sheetView showGridLines="0" topLeftCell="A13" zoomScale="85" zoomScaleNormal="85" workbookViewId="0">
      <selection activeCell="N46" sqref="N46"/>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6.375" style="86" bestFit="1" customWidth="1"/>
    <col min="15" max="16384" width="11.375" style="86"/>
  </cols>
  <sheetData>
    <row r="1" spans="2:13" ht="17.25" customHeight="1" thickBot="1" x14ac:dyDescent="0.25">
      <c r="B1" s="111" t="s">
        <v>533</v>
      </c>
      <c r="C1" s="111"/>
    </row>
    <row r="2" spans="2:13" ht="14.25" customHeight="1" thickBot="1" x14ac:dyDescent="0.25">
      <c r="B2" s="1797" t="s">
        <v>237</v>
      </c>
      <c r="C2" s="1798"/>
    </row>
    <row r="3" spans="2:13" ht="14.1" customHeight="1" x14ac:dyDescent="0.2">
      <c r="B3" s="155" t="s">
        <v>537</v>
      </c>
      <c r="C3" s="196">
        <f>+PARÁMETROS!$C$8</f>
        <v>0.16276703160799988</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204" t="s">
        <v>540</v>
      </c>
      <c r="C8" s="205">
        <f>IF(PARÁMETROS!$C$18=0,PARÁMETROS!$C$16,PARÁMETROS!$C$16*1)</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89" t="str">
        <f>+'RESUMEN FINANCIERO'!D30</f>
        <v>19 VINCULACIÓN INDIVUAL (TÉCNICO - COMERCIAL)</v>
      </c>
      <c r="D14" s="1790"/>
      <c r="E14" s="1790"/>
      <c r="F14" s="1790"/>
      <c r="G14" s="1790"/>
      <c r="H14" s="1790"/>
      <c r="I14" s="1790"/>
      <c r="J14" s="1790"/>
      <c r="K14" s="1790"/>
      <c r="L14" s="1790"/>
      <c r="M14" s="1791"/>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035">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119">
        <f>+'EV PROG CCIALES'!J457</f>
        <v>0</v>
      </c>
      <c r="D18" s="980">
        <f>+'EV PROG CCIALES'!K457</f>
        <v>0</v>
      </c>
      <c r="E18" s="1123">
        <f>+'EV PROG CCIALES'!L457</f>
        <v>0</v>
      </c>
      <c r="F18" s="980">
        <f>+'EV PROG CCIALES'!M457</f>
        <v>0</v>
      </c>
      <c r="G18" s="1123">
        <f>+'EV PROG CCIALES'!N457</f>
        <v>0</v>
      </c>
      <c r="H18" s="980">
        <f>+'EV PROG CCIALES'!O457</f>
        <v>0</v>
      </c>
      <c r="I18" s="1121">
        <f>+'EV PROG CCIALES'!P457</f>
        <v>0</v>
      </c>
      <c r="J18" s="980">
        <f>+'EV PROG CCIALES'!Q457</f>
        <v>0</v>
      </c>
      <c r="K18" s="980">
        <f>+'EV PROG CCIALES'!R457</f>
        <v>0</v>
      </c>
      <c r="L18" s="980">
        <f>+'EV PROG CCIALES'!S457</f>
        <v>0</v>
      </c>
      <c r="M18" s="981">
        <f>+'EV PROG CCIALES'!T457</f>
        <v>0</v>
      </c>
    </row>
    <row r="19" spans="2:14" ht="16.149999999999999" customHeight="1" thickBot="1" x14ac:dyDescent="0.25">
      <c r="B19" s="182" t="s">
        <v>997</v>
      </c>
      <c r="C19" s="1119">
        <f>+C18</f>
        <v>0</v>
      </c>
      <c r="D19" s="980">
        <f>+C19+D18</f>
        <v>0</v>
      </c>
      <c r="E19" s="1123">
        <f>+D19+E18</f>
        <v>0</v>
      </c>
      <c r="F19" s="980">
        <f>+E19+F18</f>
        <v>0</v>
      </c>
      <c r="G19" s="1123">
        <f>+F19+G18</f>
        <v>0</v>
      </c>
      <c r="H19" s="980"/>
      <c r="I19" s="1121"/>
      <c r="J19" s="980">
        <f>+I19+J18</f>
        <v>0</v>
      </c>
      <c r="K19" s="980">
        <f>+J19+K18</f>
        <v>0</v>
      </c>
      <c r="L19" s="980">
        <f>+K19+L18</f>
        <v>0</v>
      </c>
      <c r="M19" s="981">
        <f>+L19+M18</f>
        <v>0</v>
      </c>
    </row>
    <row r="20" spans="2:14" ht="16.149999999999999" customHeight="1" thickBot="1" x14ac:dyDescent="0.25">
      <c r="B20" s="208" t="s">
        <v>544</v>
      </c>
      <c r="C20" s="1120">
        <f>SUM('RESUMEN FINANCIERO'!$H$146)*12</f>
        <v>0</v>
      </c>
      <c r="D20" s="1107">
        <f>SUM('RESUMEN FINANCIERO'!I$146)*12</f>
        <v>0</v>
      </c>
      <c r="E20" s="1124">
        <f>SUM('RESUMEN FINANCIERO'!$I$146:'RESUMEN FINANCIERO'!J$146)*12</f>
        <v>0</v>
      </c>
      <c r="F20" s="1107">
        <f>SUM('RESUMEN FINANCIERO'!$I$146:'RESUMEN FINANCIERO'!K$146)*12</f>
        <v>0</v>
      </c>
      <c r="G20" s="1124">
        <f>SUM('RESUMEN FINANCIERO'!$I$146:'RESUMEN FINANCIERO'!L$146)*12</f>
        <v>0</v>
      </c>
      <c r="H20" s="1107">
        <f>SUM('RESUMEN FINANCIERO'!$I$146:'RESUMEN FINANCIERO'!M$146)*12</f>
        <v>0</v>
      </c>
      <c r="I20" s="1122">
        <f>H20</f>
        <v>0</v>
      </c>
      <c r="J20" s="1107">
        <f>I20</f>
        <v>0</v>
      </c>
      <c r="K20" s="1107">
        <f>J20</f>
        <v>0</v>
      </c>
      <c r="L20" s="1107">
        <f>K20</f>
        <v>0</v>
      </c>
      <c r="M20" s="1125">
        <f>L20</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200" t="s">
        <v>996</v>
      </c>
    </row>
    <row r="23" spans="2:14" ht="17.25" customHeight="1" x14ac:dyDescent="0.2">
      <c r="B23" s="970" t="s">
        <v>252</v>
      </c>
      <c r="C23" s="231"/>
      <c r="D23" s="232"/>
      <c r="E23" s="232"/>
      <c r="F23" s="232"/>
      <c r="G23" s="232"/>
      <c r="H23" s="232"/>
      <c r="I23" s="232"/>
      <c r="J23" s="232"/>
      <c r="K23" s="232"/>
      <c r="L23" s="232"/>
      <c r="M23" s="233"/>
      <c r="N23" s="233"/>
    </row>
    <row r="24" spans="2:14" ht="19.899999999999999" customHeight="1" x14ac:dyDescent="0.2">
      <c r="B24" s="969" t="s">
        <v>535</v>
      </c>
      <c r="C24" s="234"/>
      <c r="D24" s="235">
        <f>((D20*(D7))+(D19*(D8)+(D18*D11))*PARÁMETROS!$C$6)</f>
        <v>0</v>
      </c>
      <c r="E24" s="235">
        <f>((E20*(E7))+(E19*(E8)+(E18*E11))*PARÁMETROS!$C$6)</f>
        <v>0</v>
      </c>
      <c r="F24" s="235">
        <f>((F20*(F7))+(F19*(F8)+(F18*F11))*PARÁMETROS!$C$6)</f>
        <v>0</v>
      </c>
      <c r="G24" s="235">
        <f>((G20*(G7))+(G19*(G8)+(G18*G11))*PARÁMETROS!$C$6)</f>
        <v>0</v>
      </c>
      <c r="H24" s="235">
        <f>((H20*(H7))+(H19*(H8)+(H18*H11))*PARÁMETROS!$C$6)</f>
        <v>0</v>
      </c>
      <c r="I24" s="235">
        <f>((I20*(I7))+(I19*(I8)+(I18*I11))*PARÁMETROS!$C$6)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4" ht="19.899999999999999" customHeight="1" x14ac:dyDescent="0.2">
      <c r="B25" s="185" t="s">
        <v>546</v>
      </c>
      <c r="C25" s="234"/>
      <c r="D25" s="235"/>
      <c r="E25" s="235"/>
      <c r="F25" s="235"/>
      <c r="G25" s="235"/>
      <c r="H25" s="235"/>
      <c r="I25" s="235"/>
      <c r="J25" s="235"/>
      <c r="K25" s="235"/>
      <c r="L25" s="235"/>
      <c r="M25" s="236"/>
      <c r="N25" s="236"/>
    </row>
    <row r="26" spans="2:14" ht="17.25" customHeight="1" x14ac:dyDescent="0.2">
      <c r="B26" s="185" t="s">
        <v>247</v>
      </c>
      <c r="C26" s="234">
        <f>+'RESUMEN FINANCIERO'!H30</f>
        <v>0</v>
      </c>
      <c r="D26" s="235">
        <f>+'RESUMEN FINANCIERO'!I30</f>
        <v>0</v>
      </c>
      <c r="E26" s="235">
        <f>+'RESUMEN FINANCIERO'!J30</f>
        <v>0</v>
      </c>
      <c r="F26" s="235">
        <f>+'RESUMEN FINANCIERO'!K30</f>
        <v>0</v>
      </c>
      <c r="G26" s="235">
        <f>+'RESUMEN FINANCIERO'!L30</f>
        <v>0</v>
      </c>
      <c r="H26" s="235">
        <f>+'RESUMEN FINANCIERO'!M30</f>
        <v>0</v>
      </c>
      <c r="I26" s="235">
        <f>+'RESUMEN FINANCIERO'!N30</f>
        <v>0</v>
      </c>
      <c r="J26" s="235">
        <f>+'RESUMEN FINANCIERO'!O30</f>
        <v>0</v>
      </c>
      <c r="K26" s="235">
        <f>+'RESUMEN FINANCIERO'!P30</f>
        <v>0</v>
      </c>
      <c r="L26" s="235">
        <f>+'RESUMEN FINANCIERO'!Q30</f>
        <v>0</v>
      </c>
      <c r="M26" s="236">
        <f>+'RESUMEN FINANCIERO'!R30</f>
        <v>0</v>
      </c>
      <c r="N26" s="236"/>
    </row>
    <row r="27" spans="2:14" ht="20.25" customHeight="1" x14ac:dyDescent="0.2">
      <c r="B27" s="185" t="s">
        <v>248</v>
      </c>
      <c r="C27" s="234"/>
      <c r="D27" s="235"/>
      <c r="E27" s="235"/>
      <c r="F27" s="235"/>
      <c r="G27" s="235"/>
      <c r="H27" s="235"/>
      <c r="I27" s="235"/>
      <c r="J27" s="235"/>
      <c r="K27" s="235"/>
      <c r="L27" s="235"/>
      <c r="M27" s="236"/>
      <c r="N27" s="236"/>
    </row>
    <row r="28" spans="2:14" ht="20.25" customHeight="1" x14ac:dyDescent="0.2">
      <c r="B28" s="971" t="s">
        <v>531</v>
      </c>
      <c r="C28" s="237">
        <f>SUM(C25:C27)</f>
        <v>0</v>
      </c>
      <c r="D28" s="238">
        <f>SUM(D25:D27)</f>
        <v>0</v>
      </c>
      <c r="E28" s="238">
        <f t="shared" ref="E28:M28" si="2">SUM(E25:E27)</f>
        <v>0</v>
      </c>
      <c r="F28" s="238">
        <f t="shared" si="2"/>
        <v>0</v>
      </c>
      <c r="G28" s="238">
        <f t="shared" si="2"/>
        <v>0</v>
      </c>
      <c r="H28" s="238">
        <f t="shared" si="2"/>
        <v>0</v>
      </c>
      <c r="I28" s="238">
        <f t="shared" si="2"/>
        <v>0</v>
      </c>
      <c r="J28" s="238">
        <f t="shared" si="2"/>
        <v>0</v>
      </c>
      <c r="K28" s="238">
        <f t="shared" si="2"/>
        <v>0</v>
      </c>
      <c r="L28" s="238">
        <f t="shared" si="2"/>
        <v>0</v>
      </c>
      <c r="M28" s="239">
        <f t="shared" si="2"/>
        <v>0</v>
      </c>
      <c r="N28" s="239"/>
    </row>
    <row r="29" spans="2:14" ht="18" customHeight="1" x14ac:dyDescent="0.2">
      <c r="B29" s="185" t="s">
        <v>249</v>
      </c>
      <c r="C29" s="234">
        <f>C24-C28</f>
        <v>0</v>
      </c>
      <c r="D29" s="235">
        <f>D24-D28</f>
        <v>0</v>
      </c>
      <c r="E29" s="235">
        <f t="shared" ref="E29:M29" si="3">E24-E28</f>
        <v>0</v>
      </c>
      <c r="F29" s="235">
        <f t="shared" si="3"/>
        <v>0</v>
      </c>
      <c r="G29" s="235">
        <f t="shared" si="3"/>
        <v>0</v>
      </c>
      <c r="H29" s="235">
        <f t="shared" si="3"/>
        <v>0</v>
      </c>
      <c r="I29" s="235">
        <f t="shared" si="3"/>
        <v>0</v>
      </c>
      <c r="J29" s="235">
        <f t="shared" si="3"/>
        <v>0</v>
      </c>
      <c r="K29" s="235">
        <f t="shared" si="3"/>
        <v>0</v>
      </c>
      <c r="L29" s="235">
        <f t="shared" si="3"/>
        <v>0</v>
      </c>
      <c r="M29" s="236">
        <f t="shared" si="3"/>
        <v>0</v>
      </c>
      <c r="N29" s="236"/>
    </row>
    <row r="30" spans="2:14" ht="19.899999999999999" customHeight="1" thickBot="1" x14ac:dyDescent="0.25">
      <c r="B30" s="209" t="s">
        <v>250</v>
      </c>
      <c r="C30" s="240">
        <f>IF(C29&lt;0,0,(C29*$C$4))</f>
        <v>0</v>
      </c>
      <c r="D30" s="241">
        <f t="shared" ref="D30:M30" si="4">IF(D29&lt;0,0,(D29*$C$4))</f>
        <v>0</v>
      </c>
      <c r="E30" s="241">
        <f t="shared" si="4"/>
        <v>0</v>
      </c>
      <c r="F30" s="241">
        <f t="shared" si="4"/>
        <v>0</v>
      </c>
      <c r="G30" s="241">
        <f t="shared" si="4"/>
        <v>0</v>
      </c>
      <c r="H30" s="241">
        <f t="shared" si="4"/>
        <v>0</v>
      </c>
      <c r="I30" s="241">
        <f t="shared" si="4"/>
        <v>0</v>
      </c>
      <c r="J30" s="241">
        <f t="shared" si="4"/>
        <v>0</v>
      </c>
      <c r="K30" s="241">
        <f t="shared" si="4"/>
        <v>0</v>
      </c>
      <c r="L30" s="241">
        <f t="shared" si="4"/>
        <v>0</v>
      </c>
      <c r="M30" s="242">
        <f t="shared" si="4"/>
        <v>0</v>
      </c>
      <c r="N30" s="242"/>
    </row>
    <row r="31" spans="2:14" ht="19.899999999999999" customHeight="1" thickBot="1" x14ac:dyDescent="0.25">
      <c r="B31" s="972" t="s">
        <v>251</v>
      </c>
      <c r="C31" s="973">
        <f>+C24-C28-C30</f>
        <v>0</v>
      </c>
      <c r="D31" s="226">
        <f>+D24-D28-D30</f>
        <v>0</v>
      </c>
      <c r="E31" s="226">
        <f t="shared" ref="E31:M31" si="5">+E24-E28-E30</f>
        <v>0</v>
      </c>
      <c r="F31" s="226">
        <f t="shared" si="5"/>
        <v>0</v>
      </c>
      <c r="G31" s="226">
        <f t="shared" si="5"/>
        <v>0</v>
      </c>
      <c r="H31" s="226">
        <f t="shared" si="5"/>
        <v>0</v>
      </c>
      <c r="I31" s="226">
        <f t="shared" si="5"/>
        <v>0</v>
      </c>
      <c r="J31" s="226">
        <f t="shared" si="5"/>
        <v>0</v>
      </c>
      <c r="K31" s="226">
        <f t="shared" si="5"/>
        <v>0</v>
      </c>
      <c r="L31" s="226">
        <f t="shared" si="5"/>
        <v>0</v>
      </c>
      <c r="M31" s="227">
        <f t="shared" si="5"/>
        <v>0</v>
      </c>
      <c r="N31" s="227"/>
    </row>
    <row r="32" spans="2:14" ht="13.5" thickBot="1" x14ac:dyDescent="0.25"/>
    <row r="33" spans="2:13" ht="13.5" thickBot="1" x14ac:dyDescent="0.25">
      <c r="B33" s="1801" t="s">
        <v>253</v>
      </c>
      <c r="C33" s="1802"/>
    </row>
    <row r="34" spans="2:13" ht="16.5" customHeight="1" x14ac:dyDescent="0.2">
      <c r="B34" s="184" t="s">
        <v>254</v>
      </c>
      <c r="C34" s="228">
        <f>+NPV($C$3,D24:N24)+C24</f>
        <v>0</v>
      </c>
    </row>
    <row r="35" spans="2:13" ht="19.899999999999999" customHeight="1" x14ac:dyDescent="0.2">
      <c r="B35" s="185" t="s">
        <v>255</v>
      </c>
      <c r="C35" s="229">
        <f>+NPV($C$3,D28:M28)+C28</f>
        <v>0</v>
      </c>
    </row>
    <row r="36" spans="2:13" ht="17.25" customHeight="1" thickBot="1" x14ac:dyDescent="0.25">
      <c r="B36" s="186"/>
      <c r="C36" s="230">
        <f>(C35+C23+NPV($C$3,D23:M23))</f>
        <v>0</v>
      </c>
    </row>
    <row r="37" spans="2:13" ht="19.899999999999999" customHeight="1" thickBot="1" x14ac:dyDescent="0.25">
      <c r="B37" s="181" t="s">
        <v>253</v>
      </c>
      <c r="C37" s="225">
        <f>IFERROR(C34/C35,0)</f>
        <v>0</v>
      </c>
    </row>
    <row r="38" spans="2:13" ht="13.5" thickBot="1" x14ac:dyDescent="0.25">
      <c r="C38" s="112"/>
    </row>
    <row r="39" spans="2:13" ht="13.5" thickBot="1" x14ac:dyDescent="0.25">
      <c r="B39" s="160" t="s">
        <v>532</v>
      </c>
      <c r="C39" s="195" t="str">
        <f>+IF(C37&lt;1,"Sin beneficio","Con beneficio")</f>
        <v>Sin beneficio</v>
      </c>
    </row>
    <row r="44" spans="2:13" x14ac:dyDescent="0.2">
      <c r="D44" s="761"/>
      <c r="E44" s="761"/>
      <c r="F44" s="761"/>
      <c r="G44" s="761"/>
      <c r="H44" s="761"/>
      <c r="I44" s="761"/>
      <c r="J44" s="761"/>
      <c r="K44" s="761"/>
      <c r="L44" s="761"/>
      <c r="M44" s="761"/>
    </row>
  </sheetData>
  <mergeCells count="3">
    <mergeCell ref="B2:C2"/>
    <mergeCell ref="C14:M14"/>
    <mergeCell ref="B33:C33"/>
  </mergeCells>
  <conditionalFormatting sqref="C39">
    <cfRule type="containsText" dxfId="495" priority="1" operator="containsText" text="Sin beneficio">
      <formula>NOT(ISERROR(SEARCH("Sin beneficio",C39)))</formula>
    </cfRule>
    <cfRule type="containsText" dxfId="494" priority="2" operator="containsText" text="Con beneficio">
      <formula>NOT(ISERROR(SEARCH("Con beneficio",C39)))</formula>
    </cfRule>
    <cfRule type="containsText" dxfId="493" priority="3" operator="containsText" text="Co beneficio">
      <formula>NOT(ISERROR(SEARCH("Co beneficio",C39)))</formula>
    </cfRule>
    <cfRule type="containsText" dxfId="492" priority="4" operator="containsText" text="Acepta">
      <formula>NOT(ISERROR(SEARCH("Acepta",C39)))</formula>
    </cfRule>
    <cfRule type="containsText" dxfId="491" priority="5" operator="containsText" text="Rechaza">
      <formula>NOT(ISERROR(SEARCH("Rechaza",C39)))</formula>
    </cfRule>
    <cfRule type="cellIs" dxfId="490" priority="6" operator="greaterThan">
      <formula>$C$34&gt;1</formula>
    </cfRule>
    <cfRule type="cellIs" dxfId="489" priority="7" operator="lessThan">
      <formula>$C$34&lt;1</formula>
    </cfRule>
    <cfRule type="cellIs" dxfId="48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{14FA87AE-0A78-4F45-BBB2-0683D1634D7C}</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4FA87AE-0A78-4F45-BBB2-0683D1634D7C}">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0">
    <tabColor rgb="FFFFC000"/>
  </sheetPr>
  <dimension ref="A1:N47"/>
  <sheetViews>
    <sheetView showGridLines="0" zoomScale="85" zoomScaleNormal="85" workbookViewId="0">
      <selection activeCell="N34" sqref="N34"/>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7.875" style="86" bestFit="1" customWidth="1"/>
    <col min="15" max="16384" width="11.375" style="86"/>
  </cols>
  <sheetData>
    <row r="1" spans="1:13" ht="17.25" customHeight="1" thickBot="1" x14ac:dyDescent="0.25">
      <c r="B1" s="111" t="s">
        <v>661</v>
      </c>
      <c r="C1" s="111"/>
    </row>
    <row r="2" spans="1:13" ht="14.25" customHeight="1" thickBot="1" x14ac:dyDescent="0.25">
      <c r="B2" s="1797" t="s">
        <v>237</v>
      </c>
      <c r="C2" s="1798"/>
    </row>
    <row r="3" spans="1:13" ht="14.1" customHeight="1" x14ac:dyDescent="0.2">
      <c r="B3" s="155" t="s">
        <v>537</v>
      </c>
      <c r="C3" s="196">
        <f>+PARÁMETROS!$C$8</f>
        <v>0.16276703160799988</v>
      </c>
    </row>
    <row r="4" spans="1:13" ht="14.1" customHeight="1" thickBot="1" x14ac:dyDescent="0.25">
      <c r="B4" s="157" t="s">
        <v>238</v>
      </c>
      <c r="C4" s="164">
        <f>+PARÁMETROS!$C$5</f>
        <v>0.35</v>
      </c>
    </row>
    <row r="5" spans="1:13" ht="21.75" customHeight="1" thickBot="1" x14ac:dyDescent="0.25">
      <c r="B5" s="112"/>
      <c r="C5" s="197">
        <v>0</v>
      </c>
      <c r="D5" s="197">
        <v>1</v>
      </c>
      <c r="E5" s="197">
        <v>2</v>
      </c>
      <c r="F5" s="197">
        <v>3</v>
      </c>
      <c r="G5" s="197">
        <v>4</v>
      </c>
      <c r="H5" s="197">
        <v>5</v>
      </c>
      <c r="I5" s="197">
        <v>6</v>
      </c>
      <c r="J5" s="197">
        <v>7</v>
      </c>
      <c r="K5" s="197">
        <v>8</v>
      </c>
      <c r="L5" s="197">
        <v>9</v>
      </c>
      <c r="M5" s="197">
        <v>10</v>
      </c>
    </row>
    <row r="6" spans="1: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1:13" ht="19.899999999999999" customHeight="1" x14ac:dyDescent="0.2">
      <c r="B7" s="201" t="s">
        <v>539</v>
      </c>
      <c r="C7" s="202">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1:13" ht="20.25" customHeight="1" thickBot="1" x14ac:dyDescent="0.25">
      <c r="B8" s="204" t="s">
        <v>540</v>
      </c>
      <c r="C8" s="205">
        <f>IF(PARÁMETROS!$C$18=0,PARÁMETROS!$C$16,PARÁMETROS!$C$16*1)</f>
        <v>3572.41</v>
      </c>
      <c r="D8" s="1426">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1: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1: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1:13" ht="17.100000000000001" customHeight="1" thickBot="1" x14ac:dyDescent="0.25">
      <c r="B11" s="209" t="s">
        <v>872</v>
      </c>
      <c r="C11" s="213">
        <f>+'BC COMERCIAL P9'!C11+'BC COMERCIAL P10'!C11+'BC COMERCIAL P11'!C11+'BC COMERCIAL P12'!C11+'BC COMERCIAL P13'!C11+'BC COMERCIAL P14'!C11+'BC COMERCIAL P15'!C11+'BC COMERCIAL P16'!C11+'BC COMERCIAL P17'!C11+'BC COMERCIAL P18'!C11+'BC COMERCIAL P19'!C11</f>
        <v>893.10249999999996</v>
      </c>
      <c r="D11" s="214">
        <f>+'BC COMERCIAL P9'!D11+'BC COMERCIAL P10'!D11+'BC COMERCIAL P11'!D11+'BC COMERCIAL P12'!D11+'BC COMERCIAL P13'!D11+'BC COMERCIAL P14'!D11+'BC COMERCIAL P15'!D11+'BC COMERCIAL P16'!D11+'BC COMERCIAL P17'!D11+'BC COMERCIAL P18'!D11+'BC COMERCIAL P19'!D11</f>
        <v>924.89325155564984</v>
      </c>
      <c r="E11" s="214">
        <f>+'BC COMERCIAL P9'!E11+'BC COMERCIAL P10'!E11+'BC COMERCIAL P11'!E11+'BC COMERCIAL P12'!E11+'BC COMERCIAL P13'!E11+'BC COMERCIAL P14'!E11+'BC COMERCIAL P15'!E11+'BC COMERCIAL P16'!E11+'BC COMERCIAL P17'!E11+'BC COMERCIAL P18'!E11+'BC COMERCIAL P19'!E11</f>
        <v>957.81562225296943</v>
      </c>
      <c r="F11" s="214">
        <f>+'BC COMERCIAL P9'!F11+'BC COMERCIAL P10'!F11+'BC COMERCIAL P11'!F11+'BC COMERCIAL P12'!F11+'BC COMERCIAL P13'!F11+'BC COMERCIAL P14'!F11+'BC COMERCIAL P15'!F11+'BC COMERCIAL P16'!F11+'BC COMERCIAL P17'!F11+'BC COMERCIAL P18'!F11+'BC COMERCIAL P19'!F11</f>
        <v>991.90989304849893</v>
      </c>
      <c r="G11" s="214">
        <f>+'BC COMERCIAL P9'!G11+'BC COMERCIAL P10'!G11+'BC COMERCIAL P11'!G11+'BC COMERCIAL P12'!G11+'BC COMERCIAL P13'!G11+'BC COMERCIAL P14'!G11+'BC COMERCIAL P15'!G11+'BC COMERCIAL P16'!G11+'BC COMERCIAL P17'!G11+'BC COMERCIAL P18'!G11+'BC COMERCIAL P19'!G11</f>
        <v>1027.2177787340681</v>
      </c>
      <c r="H11" s="214">
        <f>+'BC COMERCIAL P9'!H11+'BC COMERCIAL P10'!H11+'BC COMERCIAL P11'!H11+'BC COMERCIAL P12'!H11+'BC COMERCIAL P13'!H11+'BC COMERCIAL P14'!H11+'BC COMERCIAL P15'!H11+'BC COMERCIAL P16'!H11+'BC COMERCIAL P17'!H11+'BC COMERCIAL P18'!H11+'BC COMERCIAL P19'!H11</f>
        <v>1063.782478975397</v>
      </c>
      <c r="I11" s="214">
        <f>+'BC COMERCIAL P9'!I11+'BC COMERCIAL P10'!I11+'BC COMERCIAL P11'!I11+'BC COMERCIAL P12'!I11+'BC COMERCIAL P13'!I11+'BC COMERCIAL P14'!I11+'BC COMERCIAL P15'!I11+'BC COMERCIAL P16'!I11+'BC COMERCIAL P17'!I11+'BC COMERCIAL P18'!I11+'BC COMERCIAL P19'!I11</f>
        <v>1101.648731167458</v>
      </c>
      <c r="J11" s="214">
        <f>+'BC COMERCIAL P9'!J11+'BC COMERCIAL P10'!J11+'BC COMERCIAL P11'!J11+'BC COMERCIAL P12'!J11+'BC COMERCIAL P13'!J11+'BC COMERCIAL P14'!J11+'BC COMERCIAL P15'!J11+'BC COMERCIAL P16'!J11+'BC COMERCIAL P17'!J11+'BC COMERCIAL P18'!J11+'BC COMERCIAL P19'!J11</f>
        <v>1140.8628651712725</v>
      </c>
      <c r="K11" s="214">
        <f>+'BC COMERCIAL P9'!K11+'BC COMERCIAL P10'!K11+'BC COMERCIAL P11'!K11+'BC COMERCIAL P12'!K11+'BC COMERCIAL P13'!K11+'BC COMERCIAL P14'!K11+'BC COMERCIAL P15'!K11+'BC COMERCIAL P16'!K11+'BC COMERCIAL P17'!K11+'BC COMERCIAL P18'!K11+'BC COMERCIAL P19'!K11</f>
        <v>1181.4728599991079</v>
      </c>
      <c r="L11" s="214">
        <f>+'BC COMERCIAL P9'!L11+'BC COMERCIAL P10'!L11+'BC COMERCIAL P11'!L11+'BC COMERCIAL P12'!L11+'BC COMERCIAL P13'!L11+'BC COMERCIAL P14'!L11+'BC COMERCIAL P15'!L11+'BC COMERCIAL P16'!L11+'BC COMERCIAL P17'!L11+'BC COMERCIAL P18'!L11+'BC COMERCIAL P19'!L11</f>
        <v>1223.5284025174356</v>
      </c>
      <c r="M11" s="215">
        <f>+'BC COMERCIAL P9'!M11+'BC COMERCIAL P10'!M11+'BC COMERCIAL P11'!M11+'BC COMERCIAL P12'!M11+'BC COMERCIAL P13'!M11+'BC COMERCIAL P14'!M11+'BC COMERCIAL P15'!M11+'BC COMERCIAL P16'!M11+'BC COMERCIAL P17'!M11+'BC COMERCIAL P18'!M11+'BC COMERCIAL P19'!M11</f>
        <v>1267.0809482394698</v>
      </c>
    </row>
    <row r="12" spans="1:13" ht="18" customHeight="1" thickBot="1" x14ac:dyDescent="0.25">
      <c r="B12" s="113"/>
      <c r="F12" s="113"/>
    </row>
    <row r="13" spans="1:13" ht="16.5" customHeight="1" thickBot="1" x14ac:dyDescent="0.25">
      <c r="B13" s="162" t="s">
        <v>242</v>
      </c>
    </row>
    <row r="14" spans="1:13" ht="18" customHeight="1" thickBot="1" x14ac:dyDescent="0.25">
      <c r="A14" s="244"/>
      <c r="B14" s="172" t="s">
        <v>243</v>
      </c>
      <c r="C14" s="1789" t="s">
        <v>550</v>
      </c>
      <c r="D14" s="1790"/>
      <c r="E14" s="1790"/>
      <c r="F14" s="1790"/>
      <c r="G14" s="1790"/>
      <c r="H14" s="1790"/>
      <c r="I14" s="1790"/>
      <c r="J14" s="1790"/>
      <c r="K14" s="1790"/>
      <c r="L14" s="1790"/>
      <c r="M14" s="1791"/>
    </row>
    <row r="15" spans="1:13" ht="20.25" customHeight="1" thickBot="1" x14ac:dyDescent="0.25">
      <c r="B15" s="173" t="s">
        <v>244</v>
      </c>
      <c r="C15" s="222"/>
      <c r="D15" s="223"/>
      <c r="E15" s="223"/>
      <c r="F15" s="223"/>
      <c r="G15" s="223"/>
      <c r="H15" s="223"/>
      <c r="I15" s="223"/>
      <c r="J15" s="223"/>
      <c r="K15" s="223"/>
      <c r="L15" s="223"/>
      <c r="M15" s="224"/>
    </row>
    <row r="16" spans="1: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1: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1:14" ht="16.149999999999999" customHeight="1" thickBot="1" x14ac:dyDescent="0.25">
      <c r="A18" s="244"/>
      <c r="B18" s="207" t="s">
        <v>543</v>
      </c>
      <c r="C18" s="216">
        <f>SUM('RESUMEN FINANCIERO'!H117:H127)</f>
        <v>0</v>
      </c>
      <c r="D18" s="217">
        <f>SUM('RESUMEN FINANCIERO'!I117:I127)</f>
        <v>927781.64047894638</v>
      </c>
      <c r="E18" s="217">
        <f>SUM('RESUMEN FINANCIERO'!J117:J127)</f>
        <v>1313881.2166365557</v>
      </c>
      <c r="F18" s="217">
        <f>SUM('RESUMEN FINANCIERO'!K117:K127)</f>
        <v>1665540.9159619883</v>
      </c>
      <c r="G18" s="217">
        <f>SUM('RESUMEN FINANCIERO'!L117:L127)</f>
        <v>2050943.7535090505</v>
      </c>
      <c r="H18" s="217">
        <f>SUM('RESUMEN FINANCIERO'!M117:M127)</f>
        <v>2362995.2047676453</v>
      </c>
      <c r="I18" s="217">
        <f>SUM('RESUMEN FINANCIERO'!N117:N127)</f>
        <v>784086.8</v>
      </c>
      <c r="J18" s="217">
        <f>SUM('RESUMEN FINANCIERO'!O117:O127)</f>
        <v>814371.6</v>
      </c>
      <c r="K18" s="217">
        <f>SUM('RESUMEN FINANCIERO'!P117:P127)</f>
        <v>819129.39999999991</v>
      </c>
      <c r="L18" s="217">
        <f>SUM('RESUMEN FINANCIERO'!Q117:Q127)</f>
        <v>798678.2</v>
      </c>
      <c r="M18" s="218">
        <f>SUM('RESUMEN FINANCIERO'!R117:R127)</f>
        <v>753332</v>
      </c>
    </row>
    <row r="19" spans="1:14" ht="16.149999999999999" customHeight="1" thickBot="1" x14ac:dyDescent="0.25">
      <c r="B19" s="1073" t="s">
        <v>997</v>
      </c>
      <c r="C19" s="1074">
        <f>+C18</f>
        <v>0</v>
      </c>
      <c r="D19" s="178">
        <f>+C19+D18</f>
        <v>927781.64047894638</v>
      </c>
      <c r="E19" s="178">
        <f t="shared" ref="E19:M19" si="1">+D19+E18</f>
        <v>2241662.857115502</v>
      </c>
      <c r="F19" s="178">
        <f t="shared" si="1"/>
        <v>3907203.7730774903</v>
      </c>
      <c r="G19" s="178">
        <f t="shared" si="1"/>
        <v>5958147.526586541</v>
      </c>
      <c r="H19" s="178">
        <f t="shared" si="1"/>
        <v>8321142.7313541863</v>
      </c>
      <c r="I19" s="178">
        <f t="shared" si="1"/>
        <v>9105229.5313541871</v>
      </c>
      <c r="J19" s="178">
        <f>+I19+J18</f>
        <v>9919601.1313541867</v>
      </c>
      <c r="K19" s="178">
        <f t="shared" si="1"/>
        <v>10738730.531354187</v>
      </c>
      <c r="L19" s="178">
        <f t="shared" si="1"/>
        <v>11537408.731354186</v>
      </c>
      <c r="M19" s="179">
        <f t="shared" si="1"/>
        <v>12290740.731354186</v>
      </c>
    </row>
    <row r="20" spans="1:14" ht="16.149999999999999" customHeight="1" thickBot="1" x14ac:dyDescent="0.25">
      <c r="A20" s="244"/>
      <c r="B20" s="208" t="s">
        <v>544</v>
      </c>
      <c r="C20" s="219">
        <f>+SUM('RESUMEN FINANCIERO'!H136:H146)</f>
        <v>0</v>
      </c>
      <c r="D20" s="220">
        <f>+SUM('RESUMEN FINANCIERO'!I136:I146)</f>
        <v>1758</v>
      </c>
      <c r="E20" s="220">
        <f>+SUM('RESUMEN FINANCIERO'!J136:J146)</f>
        <v>1758</v>
      </c>
      <c r="F20" s="220">
        <f>+SUM('RESUMEN FINANCIERO'!K136:K146)</f>
        <v>1758</v>
      </c>
      <c r="G20" s="220">
        <f>+SUM('RESUMEN FINANCIERO'!L136:L146)</f>
        <v>2344</v>
      </c>
      <c r="H20" s="220">
        <f>+SUM('RESUMEN FINANCIERO'!M136:M146)</f>
        <v>2344</v>
      </c>
      <c r="I20" s="220">
        <f>+SUM('RESUMEN FINANCIERO'!N136:N146)</f>
        <v>0</v>
      </c>
      <c r="J20" s="220">
        <f>+SUM('RESUMEN FINANCIERO'!O136:O146)</f>
        <v>0</v>
      </c>
      <c r="K20" s="220">
        <f>+SUM('RESUMEN FINANCIERO'!P136:P146)</f>
        <v>0</v>
      </c>
      <c r="L20" s="220">
        <f>+SUM('RESUMEN FINANCIERO'!Q136:Q146)</f>
        <v>0</v>
      </c>
      <c r="M20" s="221">
        <f>+SUM('RESUMEN FINANCIERO'!R136:R146)</f>
        <v>0</v>
      </c>
    </row>
    <row r="21" spans="1: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1:14" ht="16.5" customHeight="1" thickBot="1" x14ac:dyDescent="0.25">
      <c r="B22" s="963" t="s">
        <v>245</v>
      </c>
      <c r="C22" s="188">
        <f>+C6</f>
        <v>2025</v>
      </c>
      <c r="D22" s="176">
        <f t="shared" ref="D22:M22" si="2">+D6</f>
        <v>2026</v>
      </c>
      <c r="E22" s="176">
        <f t="shared" si="2"/>
        <v>2027</v>
      </c>
      <c r="F22" s="176">
        <f t="shared" si="2"/>
        <v>2028</v>
      </c>
      <c r="G22" s="176">
        <f t="shared" si="2"/>
        <v>2029</v>
      </c>
      <c r="H22" s="176">
        <f t="shared" si="2"/>
        <v>2030</v>
      </c>
      <c r="I22" s="176">
        <f t="shared" si="2"/>
        <v>2031</v>
      </c>
      <c r="J22" s="176">
        <f t="shared" si="2"/>
        <v>2032</v>
      </c>
      <c r="K22" s="176">
        <f t="shared" si="2"/>
        <v>2033</v>
      </c>
      <c r="L22" s="176">
        <f t="shared" si="2"/>
        <v>2034</v>
      </c>
      <c r="M22" s="177">
        <f t="shared" si="2"/>
        <v>2035</v>
      </c>
      <c r="N22" s="200" t="s">
        <v>996</v>
      </c>
    </row>
    <row r="23" spans="1:14" ht="17.25" customHeight="1" x14ac:dyDescent="0.2">
      <c r="B23" s="970" t="s">
        <v>252</v>
      </c>
      <c r="C23" s="231"/>
      <c r="D23" s="232"/>
      <c r="E23" s="232"/>
      <c r="F23" s="232"/>
      <c r="G23" s="232"/>
      <c r="H23" s="232"/>
      <c r="I23" s="232"/>
      <c r="J23" s="232"/>
      <c r="K23" s="232"/>
      <c r="L23" s="232"/>
      <c r="M23" s="233"/>
      <c r="N23" s="233"/>
    </row>
    <row r="24" spans="1:14" ht="19.899999999999999" customHeight="1" x14ac:dyDescent="0.2">
      <c r="B24" s="969" t="s">
        <v>535</v>
      </c>
      <c r="C24" s="234">
        <f>((C20*(C7+C9))+(C19*(C8+C10)+(C18*C11))*PARÁMETROS!$C$6)</f>
        <v>0</v>
      </c>
      <c r="D24" s="235">
        <f>((D20*(D7+D9))+(D19*(D8+D10)+(D18*D11))*PARÁMETROS!$C$6)</f>
        <v>4312392651.7680092</v>
      </c>
      <c r="E24" s="235">
        <f>((E20*(E7+E9))+(E19*(E8+E10)+(E18*E11))*PARÁMETROS!$C$6)</f>
        <v>9869532002.9713039</v>
      </c>
      <c r="F24" s="235">
        <f>((F20*(F7+F9))+(F19*(F8+F10)+(F18*F11))*PARÁMETROS!$C$6)</f>
        <v>17177927264.440966</v>
      </c>
      <c r="G24" s="235">
        <f>((G20*(G7+G9))+(G19*(G8+G10)+(G18*G11))*PARÁMETROS!$C$6)</f>
        <v>26620453350.619034</v>
      </c>
      <c r="H24" s="235">
        <f>((H20*(H7+H9))+(H19*(H8+H10)+(H18*H11))*PARÁMETROS!$C$6)</f>
        <v>37954837734.550743</v>
      </c>
      <c r="I24" s="235">
        <f>((I20*(I7+I9))+(I19*(I8+I10)+(I18*I11))*PARÁMETROS!$C$6)</f>
        <v>40986846469.164391</v>
      </c>
      <c r="J24" s="235">
        <f>((J20*(J7+J9))+(J19*(J8+J10)+(J18*J11))*PARÁMETROS!$C$6)</f>
        <v>46196704589.181847</v>
      </c>
      <c r="K24" s="235">
        <f>((K20*(K7+K9))+(K19*(K8+K10)+(K18*K11))*PARÁMETROS!$C$6)</f>
        <v>51717853849.482437</v>
      </c>
      <c r="L24" s="235">
        <f>((L20*(L7+L9))+(L19*(L8+L10)+(L18*L11))*PARÁMETROS!$C$6)</f>
        <v>57442594559.2295</v>
      </c>
      <c r="M24" s="236">
        <f>((M20*(M7+M9))+(M19*(M8+M10)+(M18*M11))*PARÁMETROS!$C$6)</f>
        <v>63247986306.698082</v>
      </c>
      <c r="N24" s="236">
        <f>+'BC COMERCIAL P9'!N24+'BC COMERCIAL P10'!N24+'BC COMERCIAL P11'!N24+'BC COMERCIAL P12'!N24+'BC COMERCIAL P13'!N24+'BC COMERCIAL P14'!N24+'BC COMERCIAL P15'!N24+'BC COMERCIAL P16'!N24+'BC COMERCIAL P17'!N24+'BC COMERCIAL P18'!N24+'BC COMERCIAL P19'!N24</f>
        <v>8650640586.7620354</v>
      </c>
    </row>
    <row r="25" spans="1:14" ht="19.899999999999999" customHeight="1" x14ac:dyDescent="0.2">
      <c r="B25" s="185" t="s">
        <v>546</v>
      </c>
      <c r="C25" s="234"/>
      <c r="D25" s="235"/>
      <c r="E25" s="235"/>
      <c r="F25" s="235"/>
      <c r="G25" s="235"/>
      <c r="H25" s="235"/>
      <c r="I25" s="235"/>
      <c r="J25" s="235"/>
      <c r="K25" s="235"/>
      <c r="L25" s="235"/>
      <c r="M25" s="236"/>
      <c r="N25" s="236"/>
    </row>
    <row r="26" spans="1:14" ht="17.25" customHeight="1" x14ac:dyDescent="0.2">
      <c r="A26" s="244"/>
      <c r="B26" s="185" t="s">
        <v>247</v>
      </c>
      <c r="C26" s="234">
        <f>+'RESUMEN FINANCIERO'!H35</f>
        <v>0</v>
      </c>
      <c r="D26" s="235">
        <f>+'RESUMEN FINANCIERO'!I35</f>
        <v>3670528413.9963126</v>
      </c>
      <c r="E26" s="235">
        <f>+'RESUMEN FINANCIERO'!J35</f>
        <v>4003515185.0612559</v>
      </c>
      <c r="F26" s="235">
        <f>+'RESUMEN FINANCIERO'!K35</f>
        <v>4336424943.3143034</v>
      </c>
      <c r="G26" s="235">
        <f>+'RESUMEN FINANCIERO'!L35</f>
        <v>4933097773.1209393</v>
      </c>
      <c r="H26" s="235">
        <f>+'RESUMEN FINANCIERO'!M35</f>
        <v>5335127591.1086121</v>
      </c>
      <c r="I26" s="235">
        <f>+'RESUMEN FINANCIERO'!N35</f>
        <v>2134409379.3863473</v>
      </c>
      <c r="J26" s="235">
        <f>+'RESUMEN FINANCIERO'!O35</f>
        <v>2255643405.2536163</v>
      </c>
      <c r="K26" s="235">
        <f>+'RESUMEN FINANCIERO'!P35</f>
        <v>2383763499.5433407</v>
      </c>
      <c r="L26" s="235">
        <f>+'RESUMEN FINANCIERO'!Q35</f>
        <v>2519160789.5647025</v>
      </c>
      <c r="M26" s="236">
        <f>+'RESUMEN FINANCIERO'!R35</f>
        <v>2662248618.5798197</v>
      </c>
      <c r="N26" s="236"/>
    </row>
    <row r="27" spans="1:14" ht="20.25" customHeight="1" x14ac:dyDescent="0.2">
      <c r="B27" s="185" t="s">
        <v>248</v>
      </c>
      <c r="C27" s="234"/>
      <c r="D27" s="235"/>
      <c r="E27" s="235"/>
      <c r="F27" s="235"/>
      <c r="G27" s="235"/>
      <c r="H27" s="235"/>
      <c r="I27" s="235"/>
      <c r="J27" s="235"/>
      <c r="K27" s="235"/>
      <c r="L27" s="235"/>
      <c r="M27" s="236"/>
      <c r="N27" s="236"/>
    </row>
    <row r="28" spans="1:14" ht="20.25" customHeight="1" x14ac:dyDescent="0.2">
      <c r="B28" s="971" t="s">
        <v>531</v>
      </c>
      <c r="C28" s="237">
        <f>SUM(C25:C27)</f>
        <v>0</v>
      </c>
      <c r="D28" s="238">
        <f>SUM(D25:D27)</f>
        <v>3670528413.9963126</v>
      </c>
      <c r="E28" s="238">
        <f t="shared" ref="E28:M28" si="3">SUM(E25:E27)</f>
        <v>4003515185.0612559</v>
      </c>
      <c r="F28" s="238">
        <f t="shared" si="3"/>
        <v>4336424943.3143034</v>
      </c>
      <c r="G28" s="238">
        <f t="shared" si="3"/>
        <v>4933097773.1209393</v>
      </c>
      <c r="H28" s="238">
        <f t="shared" si="3"/>
        <v>5335127591.1086121</v>
      </c>
      <c r="I28" s="238">
        <f t="shared" si="3"/>
        <v>2134409379.3863473</v>
      </c>
      <c r="J28" s="238">
        <f t="shared" si="3"/>
        <v>2255643405.2536163</v>
      </c>
      <c r="K28" s="238">
        <f t="shared" si="3"/>
        <v>2383763499.5433407</v>
      </c>
      <c r="L28" s="238">
        <f t="shared" si="3"/>
        <v>2519160789.5647025</v>
      </c>
      <c r="M28" s="239">
        <f t="shared" si="3"/>
        <v>2662248618.5798197</v>
      </c>
      <c r="N28" s="239"/>
    </row>
    <row r="29" spans="1:14" ht="18" customHeight="1" x14ac:dyDescent="0.2">
      <c r="B29" s="185" t="s">
        <v>249</v>
      </c>
      <c r="C29" s="234">
        <f>C24-C28</f>
        <v>0</v>
      </c>
      <c r="D29" s="235">
        <f>D24-D28</f>
        <v>641864237.77169657</v>
      </c>
      <c r="E29" s="235">
        <f t="shared" ref="E29:M29" si="4">E24-E28</f>
        <v>5866016817.9100475</v>
      </c>
      <c r="F29" s="235">
        <f t="shared" si="4"/>
        <v>12841502321.126663</v>
      </c>
      <c r="G29" s="235">
        <f t="shared" si="4"/>
        <v>21687355577.498093</v>
      </c>
      <c r="H29" s="235">
        <f t="shared" si="4"/>
        <v>32619710143.442131</v>
      </c>
      <c r="I29" s="235">
        <f t="shared" si="4"/>
        <v>38852437089.778046</v>
      </c>
      <c r="J29" s="235">
        <f t="shared" si="4"/>
        <v>43941061183.92823</v>
      </c>
      <c r="K29" s="235">
        <f t="shared" si="4"/>
        <v>49334090349.939095</v>
      </c>
      <c r="L29" s="235">
        <f t="shared" si="4"/>
        <v>54923433769.664795</v>
      </c>
      <c r="M29" s="236">
        <f t="shared" si="4"/>
        <v>60585737688.118263</v>
      </c>
      <c r="N29" s="236"/>
    </row>
    <row r="30" spans="1:14" ht="19.899999999999999" customHeight="1" thickBot="1" x14ac:dyDescent="0.25">
      <c r="B30" s="209" t="s">
        <v>250</v>
      </c>
      <c r="C30" s="240">
        <f>IF(C29&lt;0,0,(C29*$C$4))</f>
        <v>0</v>
      </c>
      <c r="D30" s="241">
        <f t="shared" ref="D30:M30" si="5">IF(D29&lt;0,0,(D29*$C$4))</f>
        <v>224652483.22009379</v>
      </c>
      <c r="E30" s="241">
        <f t="shared" si="5"/>
        <v>2053105886.2685165</v>
      </c>
      <c r="F30" s="241">
        <f t="shared" si="5"/>
        <v>4494525812.3943319</v>
      </c>
      <c r="G30" s="241">
        <f t="shared" si="5"/>
        <v>7590574452.1243315</v>
      </c>
      <c r="H30" s="241">
        <f t="shared" si="5"/>
        <v>11416898550.204744</v>
      </c>
      <c r="I30" s="241">
        <f t="shared" si="5"/>
        <v>13598352981.422316</v>
      </c>
      <c r="J30" s="241">
        <f t="shared" si="5"/>
        <v>15379371414.37488</v>
      </c>
      <c r="K30" s="241">
        <f t="shared" si="5"/>
        <v>17266931622.478683</v>
      </c>
      <c r="L30" s="241">
        <f t="shared" si="5"/>
        <v>19223201819.382675</v>
      </c>
      <c r="M30" s="242">
        <f t="shared" si="5"/>
        <v>21205008190.841393</v>
      </c>
      <c r="N30" s="242"/>
    </row>
    <row r="31" spans="1:14" ht="19.899999999999999" customHeight="1" thickBot="1" x14ac:dyDescent="0.25">
      <c r="B31" s="972" t="s">
        <v>251</v>
      </c>
      <c r="C31" s="973">
        <f>+C24-C28-C30</f>
        <v>0</v>
      </c>
      <c r="D31" s="226">
        <f>+D24-D28-D30</f>
        <v>417211754.55160278</v>
      </c>
      <c r="E31" s="226">
        <f t="shared" ref="E31:M31" si="6">+E24-E28-E30</f>
        <v>3812910931.641531</v>
      </c>
      <c r="F31" s="226">
        <f t="shared" si="6"/>
        <v>8346976508.7323313</v>
      </c>
      <c r="G31" s="226">
        <f t="shared" si="6"/>
        <v>14096781125.37376</v>
      </c>
      <c r="H31" s="226">
        <f t="shared" si="6"/>
        <v>21202811593.237389</v>
      </c>
      <c r="I31" s="226">
        <f t="shared" si="6"/>
        <v>25254084108.355728</v>
      </c>
      <c r="J31" s="226">
        <f t="shared" si="6"/>
        <v>28561689769.553352</v>
      </c>
      <c r="K31" s="226">
        <f t="shared" si="6"/>
        <v>32067158727.460411</v>
      </c>
      <c r="L31" s="226">
        <f t="shared" si="6"/>
        <v>35700231950.28212</v>
      </c>
      <c r="M31" s="227">
        <f t="shared" si="6"/>
        <v>39380729497.276871</v>
      </c>
      <c r="N31" s="227"/>
    </row>
    <row r="32" spans="1:14" ht="13.5" thickBot="1" x14ac:dyDescent="0.25"/>
    <row r="33" spans="2:13" ht="13.5" thickBot="1" x14ac:dyDescent="0.25">
      <c r="B33" s="1801" t="s">
        <v>253</v>
      </c>
      <c r="C33" s="1802"/>
    </row>
    <row r="34" spans="2:13" ht="16.5" customHeight="1" x14ac:dyDescent="0.2">
      <c r="B34" s="184" t="s">
        <v>254</v>
      </c>
      <c r="C34" s="228">
        <f>+NPV($C$3,D24:N24)+C24</f>
        <v>132922457800.91899</v>
      </c>
    </row>
    <row r="35" spans="2:13" ht="19.899999999999999" customHeight="1" x14ac:dyDescent="0.2">
      <c r="B35" s="185" t="s">
        <v>255</v>
      </c>
      <c r="C35" s="229">
        <f>+NPV($C$3,D28:M28)+C28</f>
        <v>17684483621.21431</v>
      </c>
    </row>
    <row r="36" spans="2:13" ht="17.25" customHeight="1" thickBot="1" x14ac:dyDescent="0.25">
      <c r="B36" s="186"/>
      <c r="C36" s="230">
        <f>(C35+C23+NPV($C$3,D23:M23))</f>
        <v>17684483621.21431</v>
      </c>
    </row>
    <row r="37" spans="2:13" ht="19.899999999999999" customHeight="1" thickBot="1" x14ac:dyDescent="0.25">
      <c r="B37" s="181" t="s">
        <v>253</v>
      </c>
      <c r="C37" s="225">
        <f>IFERROR(C34/C35,0)</f>
        <v>7.5163324328828685</v>
      </c>
    </row>
    <row r="38" spans="2:13" ht="13.5" thickBot="1" x14ac:dyDescent="0.25">
      <c r="C38" s="112"/>
    </row>
    <row r="39" spans="2:13" ht="13.5" thickBot="1" x14ac:dyDescent="0.25">
      <c r="B39" s="160" t="s">
        <v>532</v>
      </c>
      <c r="C39" s="195" t="str">
        <f>+IF(C37&lt;1,"Sin beneficio","Con beneficio")</f>
        <v>Con beneficio</v>
      </c>
    </row>
    <row r="43" spans="2:13" ht="13.5" thickBot="1" x14ac:dyDescent="0.25"/>
    <row r="44" spans="2:13" x14ac:dyDescent="0.2">
      <c r="B44" s="533"/>
      <c r="C44" s="667">
        <v>2021</v>
      </c>
      <c r="D44" s="665">
        <v>2022</v>
      </c>
      <c r="E44" s="665">
        <v>2023</v>
      </c>
      <c r="F44" s="665">
        <v>2024</v>
      </c>
      <c r="G44" s="665">
        <v>2025</v>
      </c>
      <c r="H44" s="665">
        <v>2026</v>
      </c>
      <c r="I44" s="665">
        <v>2027</v>
      </c>
      <c r="J44" s="665">
        <v>2028</v>
      </c>
      <c r="K44" s="665">
        <v>2029</v>
      </c>
      <c r="L44" s="665">
        <v>2030</v>
      </c>
      <c r="M44" s="666">
        <v>2031</v>
      </c>
    </row>
    <row r="45" spans="2:13" x14ac:dyDescent="0.2">
      <c r="B45" s="533" t="s">
        <v>107</v>
      </c>
      <c r="C45" s="761">
        <f t="shared" ref="C45:M45" si="7">+C24/1000</f>
        <v>0</v>
      </c>
      <c r="D45" s="761">
        <f t="shared" si="7"/>
        <v>4312392.6517680092</v>
      </c>
      <c r="E45" s="761">
        <f t="shared" si="7"/>
        <v>9869532.0029713046</v>
      </c>
      <c r="F45" s="761">
        <f t="shared" si="7"/>
        <v>17177927.264440965</v>
      </c>
      <c r="G45" s="761">
        <f t="shared" si="7"/>
        <v>26620453.350619033</v>
      </c>
      <c r="H45" s="761">
        <f t="shared" si="7"/>
        <v>37954837.734550744</v>
      </c>
      <c r="I45" s="761">
        <f t="shared" si="7"/>
        <v>40986846.469164394</v>
      </c>
      <c r="J45" s="761">
        <f t="shared" si="7"/>
        <v>46196704.589181848</v>
      </c>
      <c r="K45" s="761">
        <f t="shared" si="7"/>
        <v>51717853.849482439</v>
      </c>
      <c r="L45" s="761">
        <f t="shared" si="7"/>
        <v>57442594.559229501</v>
      </c>
      <c r="M45" s="761">
        <f t="shared" si="7"/>
        <v>63247986.306698084</v>
      </c>
    </row>
    <row r="46" spans="2:13" x14ac:dyDescent="0.2">
      <c r="B46" s="533" t="s">
        <v>669</v>
      </c>
      <c r="C46" s="761">
        <f t="shared" ref="C46:M46" si="8">(C23+C28)/1000</f>
        <v>0</v>
      </c>
      <c r="D46" s="761">
        <f t="shared" si="8"/>
        <v>3670528.4139963128</v>
      </c>
      <c r="E46" s="761">
        <f t="shared" si="8"/>
        <v>4003515.1850612559</v>
      </c>
      <c r="F46" s="761">
        <f t="shared" si="8"/>
        <v>4336424.9433143036</v>
      </c>
      <c r="G46" s="761">
        <f t="shared" si="8"/>
        <v>4933097.7731209388</v>
      </c>
      <c r="H46" s="761">
        <f t="shared" si="8"/>
        <v>5335127.5911086118</v>
      </c>
      <c r="I46" s="761">
        <f t="shared" si="8"/>
        <v>2134409.3793863473</v>
      </c>
      <c r="J46" s="761">
        <f t="shared" si="8"/>
        <v>2255643.4052536162</v>
      </c>
      <c r="K46" s="761">
        <f t="shared" si="8"/>
        <v>2383763.4995433409</v>
      </c>
      <c r="L46" s="761">
        <f t="shared" si="8"/>
        <v>2519160.7895647027</v>
      </c>
      <c r="M46" s="761">
        <f t="shared" si="8"/>
        <v>2662248.6185798198</v>
      </c>
    </row>
    <row r="47" spans="2:13" x14ac:dyDescent="0.2">
      <c r="B47" s="533"/>
      <c r="C47" s="762">
        <f>IFERROR(C45/C46,0)</f>
        <v>0</v>
      </c>
      <c r="D47" s="762">
        <f t="shared" ref="D47:M47" si="9">+D45/D46</f>
        <v>1.1748697095830032</v>
      </c>
      <c r="E47" s="762">
        <f t="shared" si="9"/>
        <v>2.4652165776212227</v>
      </c>
      <c r="F47" s="762">
        <f t="shared" si="9"/>
        <v>3.961310869896431</v>
      </c>
      <c r="G47" s="762">
        <f t="shared" si="9"/>
        <v>5.3962955073922094</v>
      </c>
      <c r="H47" s="762">
        <f t="shared" si="9"/>
        <v>7.1141387129719851</v>
      </c>
      <c r="I47" s="762">
        <f t="shared" si="9"/>
        <v>19.20289840599759</v>
      </c>
      <c r="J47" s="762">
        <f t="shared" si="9"/>
        <v>20.480499923695902</v>
      </c>
      <c r="K47" s="762">
        <f t="shared" si="9"/>
        <v>21.695882942829716</v>
      </c>
      <c r="L47" s="762">
        <f t="shared" si="9"/>
        <v>22.802273994251582</v>
      </c>
      <c r="M47" s="762">
        <f t="shared" si="9"/>
        <v>23.75735529179758</v>
      </c>
    </row>
  </sheetData>
  <mergeCells count="3">
    <mergeCell ref="B2:C2"/>
    <mergeCell ref="C14:M14"/>
    <mergeCell ref="B33:C33"/>
  </mergeCells>
  <conditionalFormatting sqref="C39">
    <cfRule type="containsText" dxfId="487" priority="1" operator="containsText" text="Sin beneficio">
      <formula>NOT(ISERROR(SEARCH("Sin beneficio",C39)))</formula>
    </cfRule>
    <cfRule type="containsText" dxfId="486" priority="2" operator="containsText" text="Con beneficio">
      <formula>NOT(ISERROR(SEARCH("Con beneficio",C39)))</formula>
    </cfRule>
    <cfRule type="containsText" dxfId="485" priority="3" operator="containsText" text="Co beneficio">
      <formula>NOT(ISERROR(SEARCH("Co beneficio",C39)))</formula>
    </cfRule>
    <cfRule type="containsText" dxfId="484" priority="4" operator="containsText" text="Acepta">
      <formula>NOT(ISERROR(SEARCH("Acepta",C39)))</formula>
    </cfRule>
    <cfRule type="containsText" dxfId="483" priority="5" operator="containsText" text="Rechaza">
      <formula>NOT(ISERROR(SEARCH("Rechaza",C39)))</formula>
    </cfRule>
    <cfRule type="cellIs" dxfId="482" priority="6" operator="greaterThan">
      <formula>$C$34&gt;1</formula>
    </cfRule>
    <cfRule type="cellIs" dxfId="481" priority="7" operator="lessThan">
      <formula>$C$34&lt;1</formula>
    </cfRule>
    <cfRule type="cellIs" dxfId="48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{D4DAF921-1A47-4748-B74A-407D2AC771EE}</x14:id>
        </ext>
      </extLst>
    </cfRule>
    <cfRule type="colorScale" priority="12">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4DAF921-1A47-4748-B74A-407D2AC771E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1">
    <tabColor rgb="FFFFC000"/>
  </sheetPr>
  <dimension ref="A1:N81"/>
  <sheetViews>
    <sheetView showGridLines="0" topLeftCell="A6" zoomScale="80" zoomScaleNormal="80" workbookViewId="0">
      <selection activeCell="H24" sqref="H24"/>
    </sheetView>
  </sheetViews>
  <sheetFormatPr baseColWidth="10" defaultColWidth="11.375" defaultRowHeight="12.75" x14ac:dyDescent="0.2"/>
  <cols>
    <col min="1" max="1" width="2.25" style="533" customWidth="1"/>
    <col min="2" max="2" width="48.625" style="533" customWidth="1"/>
    <col min="3" max="3" width="18.375" style="533" customWidth="1"/>
    <col min="4" max="6" width="17.625" style="533" bestFit="1" customWidth="1"/>
    <col min="7" max="8" width="18.5" style="533" bestFit="1" customWidth="1"/>
    <col min="9" max="13" width="16.875" style="533" bestFit="1" customWidth="1"/>
    <col min="14" max="14" width="18.5" style="533" bestFit="1" customWidth="1"/>
    <col min="15" max="16384" width="11.375" style="533"/>
  </cols>
  <sheetData>
    <row r="1" spans="1:13" ht="17.25" customHeight="1" thickBot="1" x14ac:dyDescent="0.25">
      <c r="B1" s="646" t="s">
        <v>660</v>
      </c>
      <c r="C1" s="646"/>
    </row>
    <row r="2" spans="1:13" ht="14.25" customHeight="1" thickBot="1" x14ac:dyDescent="0.25">
      <c r="B2" s="1803" t="s">
        <v>237</v>
      </c>
      <c r="C2" s="1804"/>
    </row>
    <row r="3" spans="1:13" ht="14.1" customHeight="1" x14ac:dyDescent="0.2">
      <c r="B3" s="538" t="s">
        <v>537</v>
      </c>
      <c r="C3" s="196">
        <f>+PARÁMETROS!$C$8</f>
        <v>0.16276703160799988</v>
      </c>
    </row>
    <row r="4" spans="1:13" ht="14.1" customHeight="1" thickBot="1" x14ac:dyDescent="0.25">
      <c r="B4" s="569" t="s">
        <v>238</v>
      </c>
      <c r="C4" s="164">
        <f>+PARÁMETROS!$C$5</f>
        <v>0.35</v>
      </c>
    </row>
    <row r="5" spans="1:13" ht="21.75" customHeight="1" thickBot="1" x14ac:dyDescent="0.25">
      <c r="B5" s="647"/>
      <c r="C5" s="699">
        <v>0</v>
      </c>
      <c r="D5" s="699">
        <v>1</v>
      </c>
      <c r="E5" s="699">
        <v>2</v>
      </c>
      <c r="F5" s="699">
        <v>3</v>
      </c>
      <c r="G5" s="699">
        <v>4</v>
      </c>
      <c r="H5" s="699">
        <v>5</v>
      </c>
      <c r="I5" s="699">
        <v>6</v>
      </c>
      <c r="J5" s="699">
        <v>7</v>
      </c>
      <c r="K5" s="699">
        <v>8</v>
      </c>
      <c r="L5" s="699">
        <v>9</v>
      </c>
      <c r="M5" s="699">
        <v>10</v>
      </c>
    </row>
    <row r="6" spans="1:13" ht="15" customHeight="1" thickBot="1" x14ac:dyDescent="0.25">
      <c r="B6" s="649" t="s">
        <v>534</v>
      </c>
      <c r="C6" s="198">
        <v>2025</v>
      </c>
      <c r="D6" s="199">
        <v>2026</v>
      </c>
      <c r="E6" s="199">
        <v>2027</v>
      </c>
      <c r="F6" s="199">
        <v>2028</v>
      </c>
      <c r="G6" s="199">
        <v>2029</v>
      </c>
      <c r="H6" s="199">
        <v>2030</v>
      </c>
      <c r="I6" s="199">
        <v>2031</v>
      </c>
      <c r="J6" s="199">
        <v>2032</v>
      </c>
      <c r="K6" s="199">
        <v>2033</v>
      </c>
      <c r="L6" s="199">
        <v>2034</v>
      </c>
      <c r="M6" s="200">
        <v>2035</v>
      </c>
    </row>
    <row r="7" spans="1:13" ht="19.899999999999999" customHeight="1" x14ac:dyDescent="0.2">
      <c r="B7" s="564" t="s">
        <v>539</v>
      </c>
      <c r="C7" s="713">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1:13" ht="20.25" customHeight="1" thickBot="1" x14ac:dyDescent="0.25">
      <c r="B8" s="675" t="s">
        <v>540</v>
      </c>
      <c r="C8" s="714">
        <f>+PARÁMETROS!$C$16</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1:13" ht="20.25" customHeight="1" x14ac:dyDescent="0.2">
      <c r="B9" s="564" t="s">
        <v>541</v>
      </c>
      <c r="C9" s="713">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1:13" ht="20.25" customHeight="1" thickBot="1" x14ac:dyDescent="0.25">
      <c r="B10" s="700" t="s">
        <v>542</v>
      </c>
      <c r="C10" s="715">
        <f>+PARÁMETROS!$C$18</f>
        <v>0</v>
      </c>
      <c r="D10" s="709">
        <f>+C10*(1+PARÁMETROS!$C$9)</f>
        <v>0</v>
      </c>
      <c r="E10" s="709">
        <f>+D10*(1+PARÁMETROS!$C$9)</f>
        <v>0</v>
      </c>
      <c r="F10" s="709">
        <f>+E10*(1+PARÁMETROS!$C$9)</f>
        <v>0</v>
      </c>
      <c r="G10" s="709">
        <f>+F10*(1+PARÁMETROS!$C$9)</f>
        <v>0</v>
      </c>
      <c r="H10" s="709">
        <f>+G10*(1+PARÁMETROS!$C$9)</f>
        <v>0</v>
      </c>
      <c r="I10" s="709">
        <f>+H10*(1+PARÁMETROS!$C$9)</f>
        <v>0</v>
      </c>
      <c r="J10" s="709">
        <f>+I10*(1+PARÁMETROS!$C$9)</f>
        <v>0</v>
      </c>
      <c r="K10" s="709">
        <f>+J10*(1+PARÁMETROS!$C$9)</f>
        <v>0</v>
      </c>
      <c r="L10" s="709">
        <f>+K10*(1+PARÁMETROS!$C$9)</f>
        <v>0</v>
      </c>
      <c r="M10" s="710">
        <f>+L10*(1+PARÁMETROS!$C$9)</f>
        <v>0</v>
      </c>
    </row>
    <row r="11" spans="1:13" ht="20.25" customHeight="1" x14ac:dyDescent="0.2">
      <c r="B11" s="564" t="s">
        <v>240</v>
      </c>
      <c r="C11" s="713">
        <f>+PARÁMETROS!$C$13</f>
        <v>240.70071704065188</v>
      </c>
      <c r="D11" s="202">
        <f>+C11*(1+PARÁMETROS!$C$9)</f>
        <v>249.26866606633052</v>
      </c>
      <c r="E11" s="202">
        <f>+D11*(1+PARÁMETROS!$C$9)</f>
        <v>258.14159860601438</v>
      </c>
      <c r="F11" s="202">
        <f>+E11*(1+PARÁMETROS!$C$9)</f>
        <v>267.33037081017022</v>
      </c>
      <c r="G11" s="202">
        <f>+F11*(1+PARÁMETROS!$C$9)</f>
        <v>276.84622526327712</v>
      </c>
      <c r="H11" s="202">
        <f>+G11*(1+PARÁMETROS!$C$9)</f>
        <v>286.70080473927715</v>
      </c>
      <c r="I11" s="202">
        <f>+H11*(1+PARÁMETROS!$C$9)</f>
        <v>296.90616644666375</v>
      </c>
      <c r="J11" s="202">
        <f>+I11*(1+PARÁMETROS!$C$9)</f>
        <v>307.47479678063587</v>
      </c>
      <c r="K11" s="202">
        <f>+J11*(1+PARÁMETROS!$C$9)</f>
        <v>318.41962660036779</v>
      </c>
      <c r="L11" s="202">
        <f>+K11*(1+PARÁMETROS!$C$9)</f>
        <v>329.75404705008674</v>
      </c>
      <c r="M11" s="203">
        <f>+L11*(1+PARÁMETROS!$C$9)</f>
        <v>341.49192594331504</v>
      </c>
    </row>
    <row r="12" spans="1:13" ht="20.25" customHeight="1" thickBot="1" x14ac:dyDescent="0.25">
      <c r="B12" s="675" t="s">
        <v>241</v>
      </c>
      <c r="C12" s="714">
        <f>+PARÁMETROS!$C$12</f>
        <v>44.838664438044702</v>
      </c>
      <c r="D12" s="205">
        <f>+C12*(1+PARÁMETROS!$C$9)</f>
        <v>46.434735259968313</v>
      </c>
      <c r="E12" s="205">
        <f>+D12*(1+PARÁMETROS!$C$9)</f>
        <v>48.087619595419206</v>
      </c>
      <c r="F12" s="205">
        <f>+E12*(1+PARÁMETROS!$C$9)</f>
        <v>49.799339770271004</v>
      </c>
      <c r="G12" s="205">
        <f>+F12*(1+PARÁMETROS!$C$9)</f>
        <v>51.571990096825999</v>
      </c>
      <c r="H12" s="205">
        <f>+G12*(1+PARÁMETROS!$C$9)</f>
        <v>53.407739436234003</v>
      </c>
      <c r="I12" s="205">
        <f>+H12*(1+PARÁMETROS!$C$9)</f>
        <v>55.30883385212266</v>
      </c>
      <c r="J12" s="205">
        <f>+I12*(1+PARÁMETROS!$C$9)</f>
        <v>57.277599358686075</v>
      </c>
      <c r="K12" s="205">
        <f>+J12*(1+PARÁMETROS!$C$9)</f>
        <v>59.316444766593953</v>
      </c>
      <c r="L12" s="205">
        <f>+K12*(1+PARÁMETROS!$C$9)</f>
        <v>61.427864630203359</v>
      </c>
      <c r="M12" s="206">
        <f>+L12*(1+PARÁMETROS!$C$9)</f>
        <v>63.614442299679027</v>
      </c>
    </row>
    <row r="13" spans="1:13" ht="17.100000000000001" customHeight="1" thickBot="1" x14ac:dyDescent="0.25">
      <c r="B13" s="701" t="s">
        <v>875</v>
      </c>
      <c r="C13" s="702">
        <f>+'BC TOTAL TÉCNICO'!C10+'BC TOTAL COMERCIAL'!C11</f>
        <v>893.10249999999996</v>
      </c>
      <c r="D13" s="711">
        <f>+'BC TOTAL TÉCNICO'!D10+'BC TOTAL COMERCIAL'!D11</f>
        <v>924.89325155564984</v>
      </c>
      <c r="E13" s="711">
        <f>+'BC TOTAL TÉCNICO'!E10+'BC TOTAL COMERCIAL'!E11</f>
        <v>957.81562225296943</v>
      </c>
      <c r="F13" s="711">
        <f>+'BC TOTAL TÉCNICO'!F10+'BC TOTAL COMERCIAL'!F11</f>
        <v>991.90989304849893</v>
      </c>
      <c r="G13" s="711">
        <f>+'BC TOTAL TÉCNICO'!G10+'BC TOTAL COMERCIAL'!G11</f>
        <v>1027.2177787340681</v>
      </c>
      <c r="H13" s="711">
        <f>+'BC TOTAL TÉCNICO'!H10+'BC TOTAL COMERCIAL'!H11</f>
        <v>1063.782478975397</v>
      </c>
      <c r="I13" s="711">
        <f>+'BC TOTAL TÉCNICO'!I10+'BC TOTAL COMERCIAL'!I11</f>
        <v>1101.648731167458</v>
      </c>
      <c r="J13" s="711">
        <f>+'BC TOTAL TÉCNICO'!J10+'BC TOTAL COMERCIAL'!J11</f>
        <v>1140.8628651712725</v>
      </c>
      <c r="K13" s="711">
        <f>+'BC TOTAL TÉCNICO'!K10+'BC TOTAL COMERCIAL'!K11</f>
        <v>1181.4728599991079</v>
      </c>
      <c r="L13" s="711">
        <f>+'BC TOTAL TÉCNICO'!L10+'BC TOTAL COMERCIAL'!L11</f>
        <v>1223.5284025174356</v>
      </c>
      <c r="M13" s="712">
        <f>+'BC TOTAL TÉCNICO'!M10+'BC TOTAL COMERCIAL'!M11</f>
        <v>1267.0809482394698</v>
      </c>
    </row>
    <row r="14" spans="1:13" ht="18" customHeight="1" thickBot="1" x14ac:dyDescent="0.25">
      <c r="B14" s="657"/>
      <c r="F14" s="657"/>
    </row>
    <row r="15" spans="1:13" ht="16.5" customHeight="1" thickBot="1" x14ac:dyDescent="0.25">
      <c r="B15" s="658" t="s">
        <v>242</v>
      </c>
    </row>
    <row r="16" spans="1:13" ht="18" customHeight="1" thickBot="1" x14ac:dyDescent="0.25">
      <c r="A16" s="703"/>
      <c r="B16" s="659" t="s">
        <v>243</v>
      </c>
      <c r="C16" s="1805" t="s">
        <v>551</v>
      </c>
      <c r="D16" s="1806"/>
      <c r="E16" s="1806"/>
      <c r="F16" s="1806"/>
      <c r="G16" s="1806"/>
      <c r="H16" s="1806"/>
      <c r="I16" s="1806"/>
      <c r="J16" s="1806"/>
      <c r="K16" s="1806"/>
      <c r="L16" s="1806"/>
      <c r="M16" s="1807"/>
    </row>
    <row r="17" spans="1:14" ht="20.25" customHeight="1" thickBot="1" x14ac:dyDescent="0.25">
      <c r="B17" s="660" t="s">
        <v>244</v>
      </c>
      <c r="C17" s="704"/>
      <c r="D17" s="705"/>
      <c r="E17" s="705"/>
      <c r="F17" s="705"/>
      <c r="G17" s="705"/>
      <c r="H17" s="705"/>
      <c r="I17" s="705"/>
      <c r="J17" s="705"/>
      <c r="K17" s="705"/>
      <c r="L17" s="705"/>
      <c r="M17" s="706"/>
    </row>
    <row r="18" spans="1:14" ht="20.25" customHeight="1" thickBot="1" x14ac:dyDescent="0.25">
      <c r="B18" s="664"/>
      <c r="C18" s="699">
        <v>0</v>
      </c>
      <c r="D18" s="699">
        <v>1</v>
      </c>
      <c r="E18" s="699">
        <v>2</v>
      </c>
      <c r="F18" s="699">
        <v>3</v>
      </c>
      <c r="G18" s="699">
        <v>4</v>
      </c>
      <c r="H18" s="699">
        <v>5</v>
      </c>
      <c r="I18" s="699">
        <v>6</v>
      </c>
      <c r="J18" s="699">
        <v>7</v>
      </c>
      <c r="K18" s="699">
        <v>8</v>
      </c>
      <c r="L18" s="699">
        <v>9</v>
      </c>
      <c r="M18" s="699">
        <v>10</v>
      </c>
    </row>
    <row r="19" spans="1:14" ht="16.5" customHeight="1" thickBot="1" x14ac:dyDescent="0.25">
      <c r="B19" s="649" t="s">
        <v>545</v>
      </c>
      <c r="C19" s="1035">
        <f>C6</f>
        <v>2025</v>
      </c>
      <c r="D19" s="198">
        <f t="shared" ref="D19:M19" si="0">D6</f>
        <v>2026</v>
      </c>
      <c r="E19" s="198">
        <f t="shared" si="0"/>
        <v>2027</v>
      </c>
      <c r="F19" s="198">
        <f t="shared" si="0"/>
        <v>2028</v>
      </c>
      <c r="G19" s="198">
        <f t="shared" si="0"/>
        <v>2029</v>
      </c>
      <c r="H19" s="198">
        <f t="shared" si="0"/>
        <v>2030</v>
      </c>
      <c r="I19" s="198">
        <f t="shared" si="0"/>
        <v>2031</v>
      </c>
      <c r="J19" s="198">
        <f t="shared" si="0"/>
        <v>2032</v>
      </c>
      <c r="K19" s="198">
        <f t="shared" si="0"/>
        <v>2033</v>
      </c>
      <c r="L19" s="198">
        <f t="shared" si="0"/>
        <v>2034</v>
      </c>
      <c r="M19" s="1033">
        <f t="shared" si="0"/>
        <v>2035</v>
      </c>
    </row>
    <row r="20" spans="1:14" ht="16.149999999999999" customHeight="1" thickBot="1" x14ac:dyDescent="0.25">
      <c r="A20" s="703"/>
      <c r="B20" s="707" t="s">
        <v>929</v>
      </c>
      <c r="C20" s="716">
        <f>'RESUMEN FINANCIERO'!H128</f>
        <v>0</v>
      </c>
      <c r="D20" s="717">
        <f>'RESUMEN FINANCIERO'!I128</f>
        <v>847139.72604797326</v>
      </c>
      <c r="E20" s="717">
        <f>'RESUMEN FINANCIERO'!J128</f>
        <v>4504035.1480943458</v>
      </c>
      <c r="F20" s="717">
        <f>'RESUMEN FINANCIERO'!K128</f>
        <v>5815352.9316229867</v>
      </c>
      <c r="G20" s="717">
        <f>'RESUMEN FINANCIERO'!L128</f>
        <v>6132607.6342735272</v>
      </c>
      <c r="H20" s="717">
        <f>'RESUMEN FINANCIERO'!M128</f>
        <v>7586977.9863827638</v>
      </c>
      <c r="I20" s="717">
        <f>'RESUMEN FINANCIERO'!N128</f>
        <v>8911727.8208676614</v>
      </c>
      <c r="J20" s="717">
        <f>'RESUMEN FINANCIERO'!O128</f>
        <v>6880817.0318179</v>
      </c>
      <c r="K20" s="717">
        <f>'RESUMEN FINANCIERO'!P128</f>
        <v>7580533.2248991504</v>
      </c>
      <c r="L20" s="717">
        <f>'RESUMEN FINANCIERO'!Q128</f>
        <v>8005162.10024013</v>
      </c>
      <c r="M20" s="718">
        <f>'RESUMEN FINANCIERO'!R128</f>
        <v>8539025.318277562</v>
      </c>
    </row>
    <row r="21" spans="1:14" s="86" customFormat="1" ht="16.149999999999999" customHeight="1" thickBot="1" x14ac:dyDescent="0.25">
      <c r="B21" s="1075" t="s">
        <v>1005</v>
      </c>
      <c r="C21" s="1074">
        <f>+C20</f>
        <v>0</v>
      </c>
      <c r="D21" s="178">
        <f t="shared" ref="D21:M21" si="1">+C21+D20</f>
        <v>847139.72604797326</v>
      </c>
      <c r="E21" s="178">
        <f t="shared" si="1"/>
        <v>5351174.874142319</v>
      </c>
      <c r="F21" s="178">
        <f t="shared" si="1"/>
        <v>11166527.805765305</v>
      </c>
      <c r="G21" s="178">
        <f t="shared" si="1"/>
        <v>17299135.44003883</v>
      </c>
      <c r="H21" s="178">
        <f t="shared" si="1"/>
        <v>24886113.426421594</v>
      </c>
      <c r="I21" s="178">
        <f t="shared" si="1"/>
        <v>33797841.247289255</v>
      </c>
      <c r="J21" s="178">
        <f t="shared" si="1"/>
        <v>40678658.279107153</v>
      </c>
      <c r="K21" s="178">
        <f t="shared" si="1"/>
        <v>48259191.504006304</v>
      </c>
      <c r="L21" s="178">
        <f t="shared" si="1"/>
        <v>56264353.604246438</v>
      </c>
      <c r="M21" s="179">
        <f t="shared" si="1"/>
        <v>64803378.922523998</v>
      </c>
    </row>
    <row r="22" spans="1:14" ht="16.149999999999999" customHeight="1" thickBot="1" x14ac:dyDescent="0.25">
      <c r="A22" s="703"/>
      <c r="B22" s="952" t="s">
        <v>930</v>
      </c>
      <c r="C22" s="954">
        <f>'RESUMEN FINANCIERO'!H129</f>
        <v>0</v>
      </c>
      <c r="D22" s="955">
        <f>'RESUMEN FINANCIERO'!I129</f>
        <v>927781.64047894638</v>
      </c>
      <c r="E22" s="955">
        <f>'RESUMEN FINANCIERO'!J129</f>
        <v>1313881.2166365557</v>
      </c>
      <c r="F22" s="955">
        <f>'RESUMEN FINANCIERO'!K129</f>
        <v>1665540.9159619883</v>
      </c>
      <c r="G22" s="955">
        <f>'RESUMEN FINANCIERO'!L129</f>
        <v>2050943.7535090505</v>
      </c>
      <c r="H22" s="955">
        <f>'RESUMEN FINANCIERO'!M129</f>
        <v>2362995.2047676453</v>
      </c>
      <c r="I22" s="955">
        <f>'RESUMEN FINANCIERO'!N129</f>
        <v>784086.8</v>
      </c>
      <c r="J22" s="955">
        <f>'RESUMEN FINANCIERO'!O129</f>
        <v>814371.6</v>
      </c>
      <c r="K22" s="955">
        <f>'RESUMEN FINANCIERO'!P129</f>
        <v>819129.39999999991</v>
      </c>
      <c r="L22" s="955">
        <f>'RESUMEN FINANCIERO'!Q129</f>
        <v>798678.2</v>
      </c>
      <c r="M22" s="956">
        <f>'RESUMEN FINANCIERO'!R129</f>
        <v>753332</v>
      </c>
    </row>
    <row r="23" spans="1:14" s="86" customFormat="1" ht="16.149999999999999" customHeight="1" thickBot="1" x14ac:dyDescent="0.25">
      <c r="B23" s="1075" t="s">
        <v>1004</v>
      </c>
      <c r="C23" s="1074">
        <f>+C22</f>
        <v>0</v>
      </c>
      <c r="D23" s="178">
        <f>+C23+D22</f>
        <v>927781.64047894638</v>
      </c>
      <c r="E23" s="178">
        <f t="shared" ref="E23:M23" si="2">+D23+E22</f>
        <v>2241662.857115502</v>
      </c>
      <c r="F23" s="178">
        <f t="shared" si="2"/>
        <v>3907203.7730774903</v>
      </c>
      <c r="G23" s="178">
        <f t="shared" si="2"/>
        <v>5958147.526586541</v>
      </c>
      <c r="H23" s="178">
        <f t="shared" si="2"/>
        <v>8321142.7313541863</v>
      </c>
      <c r="I23" s="178">
        <f t="shared" si="2"/>
        <v>9105229.5313541871</v>
      </c>
      <c r="J23" s="178">
        <f t="shared" si="2"/>
        <v>9919601.1313541867</v>
      </c>
      <c r="K23" s="178">
        <f t="shared" si="2"/>
        <v>10738730.531354187</v>
      </c>
      <c r="L23" s="178">
        <f t="shared" si="2"/>
        <v>11537408.731354186</v>
      </c>
      <c r="M23" s="179">
        <f t="shared" si="2"/>
        <v>12290740.731354186</v>
      </c>
    </row>
    <row r="24" spans="1:14" ht="16.149999999999999" customHeight="1" thickBot="1" x14ac:dyDescent="0.25">
      <c r="A24" s="703"/>
      <c r="B24" s="658" t="s">
        <v>544</v>
      </c>
      <c r="C24" s="719">
        <f>+'RESUMEN FINANCIERO'!H147</f>
        <v>0</v>
      </c>
      <c r="D24" s="720">
        <f>+'RESUMEN FINANCIERO'!I147</f>
        <v>1758</v>
      </c>
      <c r="E24" s="720">
        <f>+'RESUMEN FINANCIERO'!J147</f>
        <v>1758</v>
      </c>
      <c r="F24" s="720">
        <f>+'RESUMEN FINANCIERO'!K147</f>
        <v>1758</v>
      </c>
      <c r="G24" s="720">
        <f>+'RESUMEN FINANCIERO'!L147</f>
        <v>2344</v>
      </c>
      <c r="H24" s="720">
        <f>+'RESUMEN FINANCIERO'!M147</f>
        <v>2344</v>
      </c>
      <c r="I24" s="720">
        <f>+'RESUMEN FINANCIERO'!N147</f>
        <v>0</v>
      </c>
      <c r="J24" s="720">
        <f>+'RESUMEN FINANCIERO'!O147</f>
        <v>0</v>
      </c>
      <c r="K24" s="720">
        <f>+'RESUMEN FINANCIERO'!P147</f>
        <v>0</v>
      </c>
      <c r="L24" s="720">
        <f>+'RESUMEN FINANCIERO'!Q147</f>
        <v>0</v>
      </c>
      <c r="M24" s="721">
        <f>+'RESUMEN FINANCIERO'!R147</f>
        <v>0</v>
      </c>
    </row>
    <row r="25" spans="1:14" ht="16.149999999999999" customHeight="1" thickBot="1" x14ac:dyDescent="0.25">
      <c r="B25" s="664"/>
      <c r="C25" s="699">
        <v>0</v>
      </c>
      <c r="D25" s="699">
        <v>1</v>
      </c>
      <c r="E25" s="699">
        <v>2</v>
      </c>
      <c r="F25" s="699">
        <v>3</v>
      </c>
      <c r="G25" s="699">
        <v>4</v>
      </c>
      <c r="H25" s="699">
        <v>5</v>
      </c>
      <c r="I25" s="699">
        <v>6</v>
      </c>
      <c r="J25" s="699">
        <v>7</v>
      </c>
      <c r="K25" s="699">
        <v>8</v>
      </c>
      <c r="L25" s="699">
        <v>9</v>
      </c>
      <c r="M25" s="699">
        <v>10</v>
      </c>
    </row>
    <row r="26" spans="1:14" ht="16.5" customHeight="1" thickBot="1" x14ac:dyDescent="0.25">
      <c r="B26" s="952" t="s">
        <v>245</v>
      </c>
      <c r="C26" s="1035">
        <f>C6</f>
        <v>2025</v>
      </c>
      <c r="D26" s="198">
        <f t="shared" ref="D26:M26" si="3">D6</f>
        <v>2026</v>
      </c>
      <c r="E26" s="198">
        <f t="shared" si="3"/>
        <v>2027</v>
      </c>
      <c r="F26" s="198">
        <f t="shared" si="3"/>
        <v>2028</v>
      </c>
      <c r="G26" s="198">
        <f t="shared" si="3"/>
        <v>2029</v>
      </c>
      <c r="H26" s="198">
        <f t="shared" si="3"/>
        <v>2030</v>
      </c>
      <c r="I26" s="198">
        <f t="shared" si="3"/>
        <v>2031</v>
      </c>
      <c r="J26" s="198">
        <f t="shared" si="3"/>
        <v>2032</v>
      </c>
      <c r="K26" s="198">
        <f t="shared" si="3"/>
        <v>2033</v>
      </c>
      <c r="L26" s="198">
        <f t="shared" si="3"/>
        <v>2034</v>
      </c>
      <c r="M26" s="1033">
        <f t="shared" si="3"/>
        <v>2035</v>
      </c>
      <c r="N26" s="1033" t="s">
        <v>996</v>
      </c>
    </row>
    <row r="27" spans="1:14" ht="17.25" customHeight="1" x14ac:dyDescent="0.2">
      <c r="B27" s="974" t="s">
        <v>252</v>
      </c>
      <c r="C27" s="690">
        <f>+'RESUMEN FINANCIERO'!H38</f>
        <v>0</v>
      </c>
      <c r="D27" s="684">
        <f>+'RESUMEN FINANCIERO'!I38</f>
        <v>1866106791.6740956</v>
      </c>
      <c r="E27" s="684">
        <f>+'RESUMEN FINANCIERO'!J38</f>
        <v>10747610283.881596</v>
      </c>
      <c r="F27" s="684">
        <f>+'RESUMEN FINANCIERO'!K38</f>
        <v>8111648751.3740129</v>
      </c>
      <c r="G27" s="684">
        <f>+'RESUMEN FINANCIERO'!L38</f>
        <v>11006778378.669533</v>
      </c>
      <c r="H27" s="684">
        <f>+'RESUMEN FINANCIERO'!M38</f>
        <v>8966400126.1669369</v>
      </c>
      <c r="I27" s="684">
        <f>+'RESUMEN FINANCIERO'!N38</f>
        <v>12012638691.92614</v>
      </c>
      <c r="J27" s="684">
        <f>+'RESUMEN FINANCIERO'!O38</f>
        <v>1646683431.9581935</v>
      </c>
      <c r="K27" s="684">
        <f>+'RESUMEN FINANCIERO'!P38</f>
        <v>2934698403.2363982</v>
      </c>
      <c r="L27" s="684">
        <f>+'RESUMEN FINANCIERO'!Q38</f>
        <v>1856726314.1544595</v>
      </c>
      <c r="M27" s="685">
        <f>+'RESUMEN FINANCIERO'!R38</f>
        <v>1781765006.1673591</v>
      </c>
      <c r="N27" s="685"/>
    </row>
    <row r="28" spans="1:14" ht="19.899999999999999" customHeight="1" x14ac:dyDescent="0.2">
      <c r="B28" s="975" t="s">
        <v>535</v>
      </c>
      <c r="C28" s="671">
        <f>(('RESUMEN FINANCIERO'!H$185)*PARÁMETROS!$C$6)</f>
        <v>0</v>
      </c>
      <c r="D28" s="688">
        <f>(('RESUMEN FINANCIERO'!I$185)*PARÁMETROS!$C$6)</f>
        <v>3682898011.1758442</v>
      </c>
      <c r="E28" s="688">
        <f>(('RESUMEN FINANCIERO'!J$185)*PARÁMETROS!$C$6)</f>
        <v>6376494763.174593</v>
      </c>
      <c r="F28" s="688">
        <f>(('RESUMEN FINANCIERO'!K$185)*PARÁMETROS!$C$6)</f>
        <v>8376689453.0205421</v>
      </c>
      <c r="G28" s="688">
        <f>(('RESUMEN FINANCIERO'!L$185)*PARÁMETROS!$C$6)</f>
        <v>10323379791.234558</v>
      </c>
      <c r="H28" s="688">
        <f>(('RESUMEN FINANCIERO'!M$185)*PARÁMETROS!$C$6)</f>
        <v>12472667620.752333</v>
      </c>
      <c r="I28" s="688">
        <f>(('RESUMEN FINANCIERO'!N$185)*PARÁMETROS!$C$6)</f>
        <v>6383538156.8679857</v>
      </c>
      <c r="J28" s="688">
        <f>(('RESUMEN FINANCIERO'!O$185)*PARÁMETROS!$C$6)</f>
        <v>6008189325.5499687</v>
      </c>
      <c r="K28" s="688">
        <f>(('RESUMEN FINANCIERO'!P$185)*PARÁMETROS!$C$6)</f>
        <v>6508848883.7753134</v>
      </c>
      <c r="L28" s="688">
        <f>(('RESUMEN FINANCIERO'!Q$185)*PARÁMETROS!$C$6)</f>
        <v>6806553596.3516121</v>
      </c>
      <c r="M28" s="689">
        <f>(('RESUMEN FINANCIERO'!R$185)*PARÁMETROS!$C$6)</f>
        <v>7035280890.2672768</v>
      </c>
      <c r="N28" s="689">
        <f>+'BC TOTAL TÉCNICO'!N22+'BC TOTAL COMERCIAL'!N24</f>
        <v>101530969373.8492</v>
      </c>
    </row>
    <row r="29" spans="1:14" ht="19.899999999999999" customHeight="1" x14ac:dyDescent="0.2">
      <c r="B29" s="653" t="s">
        <v>546</v>
      </c>
      <c r="C29" s="671"/>
      <c r="D29" s="688">
        <f>+'RESUMEN FINANCIERO'!H104</f>
        <v>0</v>
      </c>
      <c r="E29" s="688">
        <f>+'RESUMEN FINANCIERO'!I104</f>
        <v>52125971.197699368</v>
      </c>
      <c r="F29" s="688">
        <f>+'RESUMEN FINANCIERO'!J104</f>
        <v>314161790.39479846</v>
      </c>
      <c r="G29" s="688">
        <f>+'RESUMEN FINANCIERO'!K104</f>
        <v>506570628.24185073</v>
      </c>
      <c r="H29" s="688">
        <f>+'RESUMEN FINANCIERO'!L104</f>
        <v>770920502.72390234</v>
      </c>
      <c r="I29" s="688">
        <f>+'RESUMEN FINANCIERO'!M104</f>
        <v>969507935.73126245</v>
      </c>
      <c r="J29" s="688">
        <f>+'RESUMEN FINANCIERO'!N104</f>
        <v>1241392517.7736623</v>
      </c>
      <c r="K29" s="688">
        <f>+'RESUMEN FINANCIERO'!O104</f>
        <v>1278993573.7057407</v>
      </c>
      <c r="L29" s="688">
        <f>+'RESUMEN FINANCIERO'!P104</f>
        <v>1344209093.7776606</v>
      </c>
      <c r="M29" s="689">
        <f>+'RESUMEN FINANCIERO'!Q104</f>
        <v>1385719726.3029749</v>
      </c>
      <c r="N29" s="689"/>
    </row>
    <row r="30" spans="1:14" ht="17.25" customHeight="1" x14ac:dyDescent="0.2">
      <c r="A30" s="703"/>
      <c r="B30" s="653" t="s">
        <v>247</v>
      </c>
      <c r="C30" s="692">
        <f>+'RESUMEN FINANCIERO'!H37</f>
        <v>0</v>
      </c>
      <c r="D30" s="688">
        <f>+'RESUMEN FINANCIERO'!I37</f>
        <v>4195383466.7273593</v>
      </c>
      <c r="E30" s="688">
        <f>+'RESUMEN FINANCIERO'!J37</f>
        <v>4685976791.2993298</v>
      </c>
      <c r="F30" s="688">
        <f>+'RESUMEN FINANCIERO'!K37</f>
        <v>5209503777.5369844</v>
      </c>
      <c r="G30" s="688">
        <f>+'RESUMEN FINANCIERO'!L37</f>
        <v>5863422696.5194654</v>
      </c>
      <c r="H30" s="688">
        <f>+'RESUMEN FINANCIERO'!M37</f>
        <v>6205210957.1178942</v>
      </c>
      <c r="I30" s="688">
        <f>+'RESUMEN FINANCIERO'!N37</f>
        <v>2946950608.3531809</v>
      </c>
      <c r="J30" s="688">
        <f>+'RESUMEN FINANCIERO'!O37</f>
        <v>3150586602.4160423</v>
      </c>
      <c r="K30" s="688">
        <f>+'RESUMEN FINANCIERO'!P37</f>
        <v>3304918367.2665477</v>
      </c>
      <c r="L30" s="688">
        <f>+'RESUMEN FINANCIERO'!Q37</f>
        <v>3464812941.6247921</v>
      </c>
      <c r="M30" s="689">
        <f>+'RESUMEN FINANCIERO'!R37</f>
        <v>3675916881.2516098</v>
      </c>
      <c r="N30" s="689"/>
    </row>
    <row r="31" spans="1:14" ht="20.25" customHeight="1" x14ac:dyDescent="0.2">
      <c r="B31" s="653" t="s">
        <v>248</v>
      </c>
      <c r="C31" s="671"/>
      <c r="D31" s="672"/>
      <c r="E31" s="672"/>
      <c r="F31" s="672"/>
      <c r="G31" s="672"/>
      <c r="H31" s="672"/>
      <c r="I31" s="672"/>
      <c r="J31" s="672"/>
      <c r="K31" s="672"/>
      <c r="L31" s="672"/>
      <c r="M31" s="673"/>
      <c r="N31" s="673"/>
    </row>
    <row r="32" spans="1:14" ht="20.25" customHeight="1" x14ac:dyDescent="0.2">
      <c r="B32" s="976" t="s">
        <v>531</v>
      </c>
      <c r="C32" s="691">
        <f>SUM(C29:C31)</f>
        <v>0</v>
      </c>
      <c r="D32" s="686">
        <f>SUM(D29:D31)</f>
        <v>4195383466.7273593</v>
      </c>
      <c r="E32" s="686">
        <f t="shared" ref="E32:M32" si="4">SUM(E29:E31)</f>
        <v>4738102762.4970293</v>
      </c>
      <c r="F32" s="686">
        <f t="shared" si="4"/>
        <v>5523665567.9317827</v>
      </c>
      <c r="G32" s="686">
        <f t="shared" si="4"/>
        <v>6369993324.7613163</v>
      </c>
      <c r="H32" s="686">
        <f t="shared" si="4"/>
        <v>6976131459.8417969</v>
      </c>
      <c r="I32" s="686">
        <f t="shared" si="4"/>
        <v>3916458544.0844431</v>
      </c>
      <c r="J32" s="686">
        <f t="shared" si="4"/>
        <v>4391979120.1897049</v>
      </c>
      <c r="K32" s="686">
        <f t="shared" si="4"/>
        <v>4583911940.9722881</v>
      </c>
      <c r="L32" s="686">
        <f t="shared" si="4"/>
        <v>4809022035.4024525</v>
      </c>
      <c r="M32" s="687">
        <f t="shared" si="4"/>
        <v>5061636607.5545845</v>
      </c>
      <c r="N32" s="687"/>
    </row>
    <row r="33" spans="2:14" ht="18" customHeight="1" x14ac:dyDescent="0.2">
      <c r="B33" s="653" t="s">
        <v>249</v>
      </c>
      <c r="C33" s="692">
        <f>C28-C32</f>
        <v>0</v>
      </c>
      <c r="D33" s="688">
        <f>D28-D32</f>
        <v>-512485455.5515151</v>
      </c>
      <c r="E33" s="688">
        <f t="shared" ref="E33:M33" si="5">E28-E32</f>
        <v>1638392000.6775637</v>
      </c>
      <c r="F33" s="688">
        <f t="shared" si="5"/>
        <v>2853023885.0887594</v>
      </c>
      <c r="G33" s="688">
        <f t="shared" si="5"/>
        <v>3953386466.4732418</v>
      </c>
      <c r="H33" s="688">
        <f t="shared" si="5"/>
        <v>5496536160.9105358</v>
      </c>
      <c r="I33" s="688">
        <f t="shared" si="5"/>
        <v>2467079612.7835426</v>
      </c>
      <c r="J33" s="688">
        <f t="shared" si="5"/>
        <v>1616210205.3602638</v>
      </c>
      <c r="K33" s="688">
        <f t="shared" si="5"/>
        <v>1924936942.8030252</v>
      </c>
      <c r="L33" s="688">
        <f t="shared" si="5"/>
        <v>1997531560.9491596</v>
      </c>
      <c r="M33" s="689">
        <f t="shared" si="5"/>
        <v>1973644282.7126923</v>
      </c>
      <c r="N33" s="689"/>
    </row>
    <row r="34" spans="2:14" ht="19.899999999999999" customHeight="1" thickBot="1" x14ac:dyDescent="0.25">
      <c r="B34" s="977" t="s">
        <v>250</v>
      </c>
      <c r="C34" s="693">
        <f>IF(C33&lt;0,0,(C33*$C$4))</f>
        <v>0</v>
      </c>
      <c r="D34" s="694">
        <f t="shared" ref="D34:M34" si="6">IF(D33&lt;0,0,(D33*$C$4))</f>
        <v>0</v>
      </c>
      <c r="E34" s="694">
        <f t="shared" si="6"/>
        <v>573437200.23714721</v>
      </c>
      <c r="F34" s="694">
        <f t="shared" si="6"/>
        <v>998558359.7810657</v>
      </c>
      <c r="G34" s="694">
        <f t="shared" si="6"/>
        <v>1383685263.2656345</v>
      </c>
      <c r="H34" s="694">
        <f t="shared" si="6"/>
        <v>1923787656.3186874</v>
      </c>
      <c r="I34" s="694">
        <f t="shared" si="6"/>
        <v>863477864.47423983</v>
      </c>
      <c r="J34" s="694">
        <f t="shared" si="6"/>
        <v>565673571.87609231</v>
      </c>
      <c r="K34" s="694">
        <f t="shared" si="6"/>
        <v>673727929.98105884</v>
      </c>
      <c r="L34" s="694">
        <f t="shared" si="6"/>
        <v>699136046.33220577</v>
      </c>
      <c r="M34" s="695">
        <f t="shared" si="6"/>
        <v>690775498.94944227</v>
      </c>
      <c r="N34" s="695"/>
    </row>
    <row r="35" spans="2:14" ht="19.899999999999999" customHeight="1" thickBot="1" x14ac:dyDescent="0.25">
      <c r="B35" s="978" t="s">
        <v>251</v>
      </c>
      <c r="C35" s="979">
        <f>+C28-C32-C34</f>
        <v>0</v>
      </c>
      <c r="D35" s="697">
        <f>+D28-D32-D34</f>
        <v>-512485455.5515151</v>
      </c>
      <c r="E35" s="697">
        <f t="shared" ref="E35:M35" si="7">+E28-E32-E34</f>
        <v>1064954800.4404165</v>
      </c>
      <c r="F35" s="697">
        <f t="shared" si="7"/>
        <v>1854465525.3076937</v>
      </c>
      <c r="G35" s="697">
        <f t="shared" si="7"/>
        <v>2569701203.2076073</v>
      </c>
      <c r="H35" s="697">
        <f t="shared" si="7"/>
        <v>3572748504.5918484</v>
      </c>
      <c r="I35" s="697">
        <f t="shared" si="7"/>
        <v>1603601748.3093028</v>
      </c>
      <c r="J35" s="697">
        <f t="shared" si="7"/>
        <v>1050536633.4841715</v>
      </c>
      <c r="K35" s="697">
        <f t="shared" si="7"/>
        <v>1251209012.8219664</v>
      </c>
      <c r="L35" s="697">
        <f t="shared" si="7"/>
        <v>1298395514.6169538</v>
      </c>
      <c r="M35" s="698">
        <f t="shared" si="7"/>
        <v>1282868783.7632499</v>
      </c>
      <c r="N35" s="698"/>
    </row>
    <row r="36" spans="2:14" ht="13.5" thickBot="1" x14ac:dyDescent="0.25"/>
    <row r="37" spans="2:14" ht="13.5" thickBot="1" x14ac:dyDescent="0.25">
      <c r="B37" s="1762" t="s">
        <v>253</v>
      </c>
      <c r="C37" s="1794"/>
    </row>
    <row r="38" spans="2:14" ht="16.5" customHeight="1" x14ac:dyDescent="0.2">
      <c r="B38" s="652" t="s">
        <v>254</v>
      </c>
      <c r="C38" s="228">
        <f>+NPV($C$3,D28:N28)+C28</f>
        <v>53985669088.209145</v>
      </c>
    </row>
    <row r="39" spans="2:14" ht="19.899999999999999" customHeight="1" x14ac:dyDescent="0.2">
      <c r="B39" s="653" t="s">
        <v>255</v>
      </c>
      <c r="C39" s="229">
        <f>+NPV($C$3,D30:M30)+C30</f>
        <v>21497904872.326397</v>
      </c>
    </row>
    <row r="40" spans="2:14" ht="17.25" customHeight="1" thickBot="1" x14ac:dyDescent="0.25">
      <c r="B40" s="677" t="s">
        <v>256</v>
      </c>
      <c r="C40" s="230">
        <f>+C39+C27+NPV(C3,D27:M27)</f>
        <v>53635618637.027321</v>
      </c>
    </row>
    <row r="41" spans="2:14" ht="19.899999999999999" customHeight="1" thickBot="1" x14ac:dyDescent="0.25">
      <c r="B41" s="676" t="s">
        <v>253</v>
      </c>
      <c r="C41" s="225">
        <f>IFERROR(C38/C39,0)</f>
        <v>2.5112060644432037</v>
      </c>
    </row>
    <row r="42" spans="2:14" ht="13.5" thickBot="1" x14ac:dyDescent="0.25">
      <c r="C42" s="647"/>
    </row>
    <row r="43" spans="2:14" ht="13.5" thickBot="1" x14ac:dyDescent="0.25">
      <c r="B43" s="574" t="s">
        <v>532</v>
      </c>
      <c r="C43" s="195" t="str">
        <f>+IF(C41&lt;1,"Sin beneficio","Con beneficio")</f>
        <v>Con beneficio</v>
      </c>
    </row>
    <row r="45" spans="2:14" ht="13.5" thickBot="1" x14ac:dyDescent="0.25"/>
    <row r="46" spans="2:14" x14ac:dyDescent="0.2">
      <c r="C46" s="667">
        <v>2021</v>
      </c>
      <c r="D46" s="665">
        <v>2022</v>
      </c>
      <c r="E46" s="665">
        <v>2023</v>
      </c>
      <c r="F46" s="665">
        <v>2024</v>
      </c>
      <c r="G46" s="665">
        <v>2025</v>
      </c>
      <c r="H46" s="665">
        <v>2026</v>
      </c>
      <c r="I46" s="665">
        <v>2027</v>
      </c>
      <c r="J46" s="665">
        <v>2028</v>
      </c>
      <c r="K46" s="665">
        <v>2029</v>
      </c>
      <c r="L46" s="665">
        <v>2030</v>
      </c>
      <c r="M46" s="666">
        <v>2031</v>
      </c>
    </row>
    <row r="47" spans="2:14" x14ac:dyDescent="0.2">
      <c r="B47" s="533" t="s">
        <v>107</v>
      </c>
      <c r="C47" s="761">
        <f t="shared" ref="C47:M47" si="8">+C28/1000</f>
        <v>0</v>
      </c>
      <c r="D47" s="761">
        <f t="shared" si="8"/>
        <v>3682898.0111758444</v>
      </c>
      <c r="E47" s="761">
        <f t="shared" si="8"/>
        <v>6376494.7631745925</v>
      </c>
      <c r="F47" s="761">
        <f t="shared" si="8"/>
        <v>8376689.4530205419</v>
      </c>
      <c r="G47" s="761">
        <f t="shared" si="8"/>
        <v>10323379.791234558</v>
      </c>
      <c r="H47" s="761">
        <f t="shared" si="8"/>
        <v>12472667.620752333</v>
      </c>
      <c r="I47" s="761">
        <f t="shared" si="8"/>
        <v>6383538.1568679856</v>
      </c>
      <c r="J47" s="761">
        <f t="shared" si="8"/>
        <v>6008189.3255499685</v>
      </c>
      <c r="K47" s="761">
        <f t="shared" si="8"/>
        <v>6508848.8837753134</v>
      </c>
      <c r="L47" s="761">
        <f t="shared" si="8"/>
        <v>6806553.5963516124</v>
      </c>
      <c r="M47" s="761">
        <f t="shared" si="8"/>
        <v>7035280.8902672771</v>
      </c>
    </row>
    <row r="48" spans="2:14" x14ac:dyDescent="0.2">
      <c r="B48" s="533" t="s">
        <v>669</v>
      </c>
      <c r="C48" s="761">
        <f t="shared" ref="C48:M48" si="9">(C27+C32)/1000</f>
        <v>0</v>
      </c>
      <c r="D48" s="761">
        <f t="shared" si="9"/>
        <v>6061490.2584014554</v>
      </c>
      <c r="E48" s="761">
        <f t="shared" si="9"/>
        <v>15485713.046378624</v>
      </c>
      <c r="F48" s="761">
        <f t="shared" si="9"/>
        <v>13635314.319305796</v>
      </c>
      <c r="G48" s="761">
        <f t="shared" si="9"/>
        <v>17376771.703430846</v>
      </c>
      <c r="H48" s="761">
        <f t="shared" si="9"/>
        <v>15942531.586008733</v>
      </c>
      <c r="I48" s="761">
        <f t="shared" si="9"/>
        <v>15929097.236010581</v>
      </c>
      <c r="J48" s="761">
        <f t="shared" si="9"/>
        <v>6038662.5521478988</v>
      </c>
      <c r="K48" s="761">
        <f t="shared" si="9"/>
        <v>7518610.3442086866</v>
      </c>
      <c r="L48" s="761">
        <f t="shared" si="9"/>
        <v>6665748.3495569117</v>
      </c>
      <c r="M48" s="761">
        <f t="shared" si="9"/>
        <v>6843401.6137219435</v>
      </c>
    </row>
    <row r="49" spans="3:13" x14ac:dyDescent="0.2">
      <c r="C49" s="762">
        <f>IFERROR(C47/C48,0)</f>
        <v>0</v>
      </c>
      <c r="D49" s="762">
        <f t="shared" ref="D49:M49" si="10">+D47/D48</f>
        <v>0.60758952900587571</v>
      </c>
      <c r="E49" s="762">
        <f t="shared" si="10"/>
        <v>0.41176629994869712</v>
      </c>
      <c r="F49" s="762">
        <f t="shared" si="10"/>
        <v>0.61433783313379586</v>
      </c>
      <c r="G49" s="762">
        <f t="shared" si="10"/>
        <v>0.5940907763204557</v>
      </c>
      <c r="H49" s="762">
        <f t="shared" si="10"/>
        <v>0.78235175846842453</v>
      </c>
      <c r="I49" s="762">
        <f t="shared" si="10"/>
        <v>0.40074701423988124</v>
      </c>
      <c r="J49" s="762">
        <f t="shared" si="10"/>
        <v>0.99495364638530903</v>
      </c>
      <c r="K49" s="762">
        <f t="shared" si="10"/>
        <v>0.86569839182966091</v>
      </c>
      <c r="L49" s="762">
        <f t="shared" si="10"/>
        <v>1.0211236967570281</v>
      </c>
      <c r="M49" s="762">
        <f t="shared" si="10"/>
        <v>1.0280385818889526</v>
      </c>
    </row>
    <row r="81" spans="3:13" x14ac:dyDescent="0.2">
      <c r="C81" s="548">
        <f>SUM(C20:C22)</f>
        <v>0</v>
      </c>
      <c r="D81" s="548">
        <f t="shared" ref="D81:M81" si="11">SUM(D20:D22)</f>
        <v>2622061.092574893</v>
      </c>
      <c r="E81" s="548">
        <f t="shared" si="11"/>
        <v>11169091.238873219</v>
      </c>
      <c r="F81" s="548">
        <f t="shared" si="11"/>
        <v>18647421.653350279</v>
      </c>
      <c r="G81" s="548">
        <f t="shared" si="11"/>
        <v>25482686.827821411</v>
      </c>
      <c r="H81" s="548">
        <f t="shared" si="11"/>
        <v>34836086.617572002</v>
      </c>
      <c r="I81" s="548">
        <f t="shared" si="11"/>
        <v>43493655.86815691</v>
      </c>
      <c r="J81" s="548">
        <f t="shared" si="11"/>
        <v>48373846.910925053</v>
      </c>
      <c r="K81" s="548">
        <f t="shared" si="11"/>
        <v>56658854.128905453</v>
      </c>
      <c r="L81" s="548">
        <f t="shared" si="11"/>
        <v>65068193.904486567</v>
      </c>
      <c r="M81" s="548">
        <f t="shared" si="11"/>
        <v>74095736.240801558</v>
      </c>
    </row>
  </sheetData>
  <mergeCells count="3">
    <mergeCell ref="B2:C2"/>
    <mergeCell ref="C16:M16"/>
    <mergeCell ref="B37:C37"/>
  </mergeCells>
  <conditionalFormatting sqref="C43">
    <cfRule type="containsText" dxfId="479" priority="1" operator="containsText" text="Sin beneficio">
      <formula>NOT(ISERROR(SEARCH("Sin beneficio",C43)))</formula>
    </cfRule>
    <cfRule type="containsText" dxfId="478" priority="2" operator="containsText" text="Con beneficio">
      <formula>NOT(ISERROR(SEARCH("Con beneficio",C43)))</formula>
    </cfRule>
    <cfRule type="containsText" dxfId="477" priority="3" operator="containsText" text="Co beneficio">
      <formula>NOT(ISERROR(SEARCH("Co beneficio",C43)))</formula>
    </cfRule>
    <cfRule type="containsText" dxfId="476" priority="4" operator="containsText" text="Acepta">
      <formula>NOT(ISERROR(SEARCH("Acepta",C43)))</formula>
    </cfRule>
    <cfRule type="containsText" dxfId="475" priority="5" operator="containsText" text="Rechaza">
      <formula>NOT(ISERROR(SEARCH("Rechaza",C43)))</formula>
    </cfRule>
    <cfRule type="cellIs" dxfId="474" priority="6" operator="greaterThan">
      <formula>$C$38&gt;1</formula>
    </cfRule>
    <cfRule type="cellIs" dxfId="473" priority="7" operator="lessThan">
      <formula>$C$38&lt;1</formula>
    </cfRule>
    <cfRule type="cellIs" dxfId="472" priority="8" operator="greaterThan">
      <formula>$C$38&gt;1</formula>
    </cfRule>
    <cfRule type="colorScale" priority="9">
      <colorScale>
        <cfvo type="formula" val="$C$38&lt;1"/>
        <cfvo type="formula" val="$C$38&gt;1"/>
        <color rgb="FFFF0000"/>
        <color rgb="FF00B050"/>
      </colorScale>
    </cfRule>
    <cfRule type="colorScale" priority="10">
      <colorScale>
        <cfvo type="formula" val="$C$38&lt;1"/>
        <cfvo type="formula" val="$C$38&gt;1"/>
        <color rgb="FFFF0000"/>
        <color rgb="FF00B050"/>
      </colorScale>
    </cfRule>
    <cfRule type="dataBar" priority="11">
      <dataBar>
        <cfvo type="min"/>
        <cfvo type="max"/>
        <color rgb="FF638EC6"/>
      </dataBar>
      <extLst>
        <ext xmlns:x14="http://schemas.microsoft.com/office/spreadsheetml/2009/9/main" uri="{B025F937-C7B1-47D3-B67F-A62EFF666E3E}">
          <x14:id>{9250508E-ADE7-9F4C-AC7F-073807B4DAD5}</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28" unlockedFormula="1"/>
  </ignoredErrors>
  <drawing r:id="rId1"/>
  <extLst>
    <ext xmlns:x14="http://schemas.microsoft.com/office/spreadsheetml/2009/9/main" uri="{78C0D931-6437-407d-A8EE-F0AAD7539E65}">
      <x14:conditionalFormattings>
        <x14:conditionalFormatting xmlns:xm="http://schemas.microsoft.com/office/excel/2006/main">
          <x14:cfRule type="dataBar" id="{9250508E-ADE7-9F4C-AC7F-073807B4DAD5}">
            <x14:dataBar minLength="0" maxLength="100" border="1" negativeBarBorderColorSameAsPositive="0">
              <x14:cfvo type="autoMin"/>
              <x14:cfvo type="autoMax"/>
              <x14:borderColor rgb="FF638EC6"/>
              <x14:negativeFillColor rgb="FFFF0000"/>
              <x14:negativeBorderColor rgb="FFFF0000"/>
              <x14:axisColor rgb="FF000000"/>
            </x14:dataBar>
          </x14:cfRule>
          <xm:sqref>C43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3">
    <tabColor rgb="FFFFC000"/>
  </sheetPr>
  <dimension ref="B2:R67"/>
  <sheetViews>
    <sheetView showGridLines="0" zoomScaleNormal="100" workbookViewId="0">
      <selection activeCell="H24" sqref="H24"/>
    </sheetView>
  </sheetViews>
  <sheetFormatPr baseColWidth="10" defaultColWidth="11" defaultRowHeight="10.5" x14ac:dyDescent="0.25"/>
  <cols>
    <col min="1" max="1" width="11" style="1242"/>
    <col min="2" max="2" width="21.625" style="1242" customWidth="1"/>
    <col min="3" max="3" width="18.75" style="1242" customWidth="1"/>
    <col min="4" max="4" width="11" style="1242"/>
    <col min="5" max="5" width="22" style="1242" customWidth="1"/>
    <col min="6" max="6" width="19" style="1242" customWidth="1"/>
    <col min="7" max="7" width="13.25" style="1242" customWidth="1"/>
    <col min="8" max="8" width="21.875" style="1242" customWidth="1"/>
    <col min="9" max="9" width="20.5" style="1242" customWidth="1"/>
    <col min="10" max="10" width="16.25" style="1242" bestFit="1" customWidth="1"/>
    <col min="11" max="11" width="21.875" style="1242" customWidth="1"/>
    <col min="12" max="12" width="21.625" style="1242" customWidth="1"/>
    <col min="13" max="15" width="13.375" style="1242" bestFit="1" customWidth="1"/>
    <col min="16" max="16" width="13" style="1242" customWidth="1"/>
    <col min="17" max="17" width="13.375" style="1242" bestFit="1" customWidth="1"/>
    <col min="18" max="18" width="13.25" style="1242" customWidth="1"/>
    <col min="19" max="16384" width="11" style="1242"/>
  </cols>
  <sheetData>
    <row r="2" spans="2:12" ht="48.75" customHeight="1" thickBot="1" x14ac:dyDescent="0.3">
      <c r="B2" s="1809" t="s">
        <v>375</v>
      </c>
      <c r="C2" s="1809"/>
      <c r="E2" s="1809" t="s">
        <v>1093</v>
      </c>
      <c r="F2" s="1809"/>
      <c r="H2" s="1809" t="s">
        <v>1097</v>
      </c>
      <c r="I2" s="1809"/>
      <c r="K2" s="1809" t="s">
        <v>1098</v>
      </c>
      <c r="L2" s="1809"/>
    </row>
    <row r="3" spans="2:12" ht="11.25" thickBot="1" x14ac:dyDescent="0.3">
      <c r="B3" s="1243" t="s">
        <v>319</v>
      </c>
      <c r="C3" s="1244" t="s">
        <v>1094</v>
      </c>
      <c r="E3" s="1243" t="s">
        <v>319</v>
      </c>
      <c r="F3" s="1244" t="s">
        <v>1094</v>
      </c>
      <c r="H3" s="1243" t="s">
        <v>319</v>
      </c>
      <c r="I3" s="1244" t="s">
        <v>1094</v>
      </c>
      <c r="K3" s="1243" t="s">
        <v>319</v>
      </c>
      <c r="L3" s="1244" t="s">
        <v>1094</v>
      </c>
    </row>
    <row r="4" spans="2:12" ht="12.75" thickBot="1" x14ac:dyDescent="0.3">
      <c r="B4" s="1245" t="s">
        <v>1075</v>
      </c>
      <c r="C4" s="1246">
        <f>+PARÁMETROS!$C$21</f>
        <v>10697.000000000004</v>
      </c>
      <c r="E4" s="1247" t="s">
        <v>506</v>
      </c>
      <c r="F4" s="1248">
        <f>AVERAGE('RESUMEN FINANCIERO'!$I$33:$R$33)</f>
        <v>328252630.00638258</v>
      </c>
      <c r="H4" s="1247" t="s">
        <v>507</v>
      </c>
      <c r="I4" s="1248">
        <f>AVERAGE('RESUMEN FINANCIERO'!$I$36:$R$36)</f>
        <v>1398554572.2387309</v>
      </c>
      <c r="K4" s="1247" t="s">
        <v>506</v>
      </c>
      <c r="L4" s="1249">
        <f>AVERAGE('RESUMEN FINANCIERO'!$I$45:$R$45)</f>
        <v>328252630.00638258</v>
      </c>
    </row>
    <row r="5" spans="2:12" ht="12.75" thickBot="1" x14ac:dyDescent="0.3">
      <c r="B5" s="1250" t="s">
        <v>1080</v>
      </c>
      <c r="C5" s="1251">
        <f>ROUND((C4*C12*12),2)</f>
        <v>38514462924</v>
      </c>
      <c r="E5" s="1245" t="s">
        <v>1075</v>
      </c>
      <c r="F5" s="1252">
        <f>+PARÁMETROS!$C$21</f>
        <v>10697.000000000004</v>
      </c>
      <c r="H5" s="1245" t="s">
        <v>1075</v>
      </c>
      <c r="I5" s="1252">
        <f>+PARÁMETROS!$C$21</f>
        <v>10697.000000000004</v>
      </c>
      <c r="K5" s="1247" t="s">
        <v>507</v>
      </c>
      <c r="L5" s="1249">
        <f>AVERAGE('RESUMEN FINANCIERO'!$I$47:$R$47)</f>
        <v>1398554572.2387309</v>
      </c>
    </row>
    <row r="6" spans="2:12" ht="12.75" thickBot="1" x14ac:dyDescent="0.3">
      <c r="B6" s="1250" t="s">
        <v>320</v>
      </c>
      <c r="C6" s="1253">
        <f>+PARÁMETROS!$C$22</f>
        <v>10671551722.709999</v>
      </c>
      <c r="E6" s="1250" t="s">
        <v>1080</v>
      </c>
      <c r="F6" s="1254">
        <f>ROUND(F4+(F5*F13*12),2)</f>
        <v>38842715554.010002</v>
      </c>
      <c r="H6" s="1250" t="s">
        <v>1080</v>
      </c>
      <c r="I6" s="1254">
        <f>ROUND(I4+(I5*I13*12),2)</f>
        <v>39913017496.239998</v>
      </c>
      <c r="K6" s="1247" t="s">
        <v>1060</v>
      </c>
      <c r="L6" s="1249"/>
    </row>
    <row r="7" spans="2:12" ht="11.25" thickBot="1" x14ac:dyDescent="0.3">
      <c r="B7" s="1250" t="s">
        <v>321</v>
      </c>
      <c r="C7" s="1253">
        <f>+PARÁMETROS!$C$23</f>
        <v>300398768.88999999</v>
      </c>
      <c r="E7" s="1250" t="s">
        <v>320</v>
      </c>
      <c r="F7" s="1255">
        <f>+PARÁMETROS!$C$22</f>
        <v>10671551722.709999</v>
      </c>
      <c r="H7" s="1250" t="s">
        <v>320</v>
      </c>
      <c r="I7" s="1255">
        <f>+PARÁMETROS!$C$22</f>
        <v>10671551722.709999</v>
      </c>
      <c r="K7" s="1247" t="s">
        <v>1061</v>
      </c>
      <c r="L7" s="1249"/>
    </row>
    <row r="8" spans="2:12" ht="12" x14ac:dyDescent="0.25">
      <c r="B8" s="1250" t="s">
        <v>322</v>
      </c>
      <c r="C8" s="1253">
        <f>+PARÁMETROS!$C$24</f>
        <v>2044312415.7984002</v>
      </c>
      <c r="E8" s="1250" t="s">
        <v>321</v>
      </c>
      <c r="F8" s="1253">
        <f>+PARÁMETROS!$C$23</f>
        <v>300398768.88999999</v>
      </c>
      <c r="H8" s="1250" t="s">
        <v>321</v>
      </c>
      <c r="I8" s="1253">
        <f>+PARÁMETROS!$C$23</f>
        <v>300398768.88999999</v>
      </c>
      <c r="K8" s="1245" t="s">
        <v>1075</v>
      </c>
      <c r="L8" s="1252">
        <f>+PARÁMETROS!$C$21</f>
        <v>10697.000000000004</v>
      </c>
    </row>
    <row r="9" spans="2:12" ht="12" x14ac:dyDescent="0.25">
      <c r="B9" s="1250" t="s">
        <v>1076</v>
      </c>
      <c r="C9" s="1253">
        <f>+PARÁMETROS!$C$25</f>
        <v>1298914110.1079445</v>
      </c>
      <c r="E9" s="1250" t="s">
        <v>322</v>
      </c>
      <c r="F9" s="1253">
        <f>+PARÁMETROS!$C$24</f>
        <v>2044312415.7984002</v>
      </c>
      <c r="H9" s="1250" t="s">
        <v>322</v>
      </c>
      <c r="I9" s="1253">
        <f>+PARÁMETROS!$C$24</f>
        <v>2044312415.7984002</v>
      </c>
      <c r="K9" s="1250" t="s">
        <v>1080</v>
      </c>
      <c r="L9" s="1254">
        <f>ROUND((L4+L5+L6+L7)+(L8*L16*12),2)</f>
        <v>40241270126.25</v>
      </c>
    </row>
    <row r="10" spans="2:12" ht="12" x14ac:dyDescent="0.25">
      <c r="B10" s="1250" t="s">
        <v>1081</v>
      </c>
      <c r="C10" s="1256">
        <f>SUM(C5:C8)*(1+C11)+C9</f>
        <v>54174591885.705841</v>
      </c>
      <c r="E10" s="1250" t="s">
        <v>1076</v>
      </c>
      <c r="F10" s="1253">
        <f>+PARÁMETROS!$C$25</f>
        <v>1298914110.1079445</v>
      </c>
      <c r="H10" s="1250" t="s">
        <v>1076</v>
      </c>
      <c r="I10" s="1253">
        <f>+PARÁMETROS!$C$25</f>
        <v>1298914110.1079445</v>
      </c>
      <c r="K10" s="1250" t="s">
        <v>320</v>
      </c>
      <c r="L10" s="1255">
        <f>+PARÁMETROS!$C$22</f>
        <v>10671551722.709999</v>
      </c>
    </row>
    <row r="11" spans="2:12" ht="12" x14ac:dyDescent="0.25">
      <c r="B11" s="1250" t="s">
        <v>1082</v>
      </c>
      <c r="C11" s="1257">
        <f>+PARÁMETROS!$C$7</f>
        <v>2.6100000000000002E-2</v>
      </c>
      <c r="E11" s="1250" t="s">
        <v>1081</v>
      </c>
      <c r="F11" s="1258">
        <f>SUM(F6:F9)*(1+F12)+F10</f>
        <v>54511411909.3591</v>
      </c>
      <c r="H11" s="1250" t="s">
        <v>1081</v>
      </c>
      <c r="I11" s="1258">
        <f>SUM(I6:I9)*(1+I12)+I10</f>
        <v>55609648732.281311</v>
      </c>
      <c r="K11" s="1250" t="s">
        <v>321</v>
      </c>
      <c r="L11" s="1253">
        <f>+PARÁMETROS!$C$23</f>
        <v>300398768.88999999</v>
      </c>
    </row>
    <row r="12" spans="2:12" ht="12" x14ac:dyDescent="0.25">
      <c r="B12" s="1250" t="s">
        <v>323</v>
      </c>
      <c r="C12" s="1259">
        <f>+PARÁMETROS!$C$26</f>
        <v>300041</v>
      </c>
      <c r="E12" s="1250" t="s">
        <v>1082</v>
      </c>
      <c r="F12" s="1257">
        <f>+PARÁMETROS!$C$7</f>
        <v>2.6100000000000002E-2</v>
      </c>
      <c r="H12" s="1250" t="s">
        <v>1082</v>
      </c>
      <c r="I12" s="1257">
        <f>+PARÁMETROS!$C$7</f>
        <v>2.6100000000000002E-2</v>
      </c>
      <c r="K12" s="1250" t="s">
        <v>322</v>
      </c>
      <c r="L12" s="1253">
        <f>+PARÁMETROS!$C$24</f>
        <v>2044312415.7984002</v>
      </c>
    </row>
    <row r="13" spans="2:12" ht="12.75" thickBot="1" x14ac:dyDescent="0.3">
      <c r="B13" s="1260" t="s">
        <v>324</v>
      </c>
      <c r="C13" s="1261">
        <f>+PARÁMETROS!$C$27</f>
        <v>63980742.840000004</v>
      </c>
      <c r="E13" s="1250" t="s">
        <v>323</v>
      </c>
      <c r="F13" s="1259">
        <f>+PARÁMETROS!$C$26</f>
        <v>300041</v>
      </c>
      <c r="H13" s="1250" t="s">
        <v>323</v>
      </c>
      <c r="I13" s="1259">
        <f>+PARÁMETROS!$C$26</f>
        <v>300041</v>
      </c>
      <c r="K13" s="1250" t="s">
        <v>1076</v>
      </c>
      <c r="L13" s="1253">
        <f>+PARÁMETROS!$C$25</f>
        <v>1298914110.1079445</v>
      </c>
    </row>
    <row r="14" spans="2:12" ht="12.75" thickBot="1" x14ac:dyDescent="0.3">
      <c r="B14" s="1247" t="s">
        <v>1096</v>
      </c>
      <c r="C14" s="1262">
        <f>IFERROR(C10/C13,0)</f>
        <v>846.73277428464814</v>
      </c>
      <c r="E14" s="1260" t="s">
        <v>324</v>
      </c>
      <c r="F14" s="1259">
        <f>+PARÁMETROS!$C$27</f>
        <v>63980742.840000004</v>
      </c>
      <c r="H14" s="1260" t="s">
        <v>324</v>
      </c>
      <c r="I14" s="1259">
        <f>+PARÁMETROS!$C$27</f>
        <v>63980742.840000004</v>
      </c>
      <c r="K14" s="1250" t="s">
        <v>1081</v>
      </c>
      <c r="L14" s="1258">
        <f>SUM(L9:L12)*(1+L15)+L13</f>
        <v>55946468755.93457</v>
      </c>
    </row>
    <row r="15" spans="2:12" ht="12.75" thickBot="1" x14ac:dyDescent="0.3">
      <c r="E15" s="1247" t="s">
        <v>1095</v>
      </c>
      <c r="F15" s="1263">
        <f>IFERROR(F11/F14,0)</f>
        <v>851.99717117506191</v>
      </c>
      <c r="H15" s="1247" t="s">
        <v>1058</v>
      </c>
      <c r="I15" s="1263">
        <f>IFERROR(I11/I14,0)</f>
        <v>869.16228639838198</v>
      </c>
      <c r="K15" s="1250" t="s">
        <v>1082</v>
      </c>
      <c r="L15" s="1257">
        <f>+PARÁMETROS!$C$7</f>
        <v>2.6100000000000002E-2</v>
      </c>
    </row>
    <row r="16" spans="2:12" ht="11.25" thickBot="1" x14ac:dyDescent="0.3">
      <c r="K16" s="1250" t="s">
        <v>323</v>
      </c>
      <c r="L16" s="1259">
        <f>+PARÁMETROS!$C$26</f>
        <v>300041</v>
      </c>
    </row>
    <row r="17" spans="4:18" ht="11.25" thickBot="1" x14ac:dyDescent="0.3">
      <c r="E17" s="1247" t="s">
        <v>377</v>
      </c>
      <c r="F17" s="1263">
        <f>+F15-C14</f>
        <v>5.2643968904137637</v>
      </c>
      <c r="H17" s="1247" t="s">
        <v>377</v>
      </c>
      <c r="I17" s="1263">
        <f>+I15-C14</f>
        <v>22.429512113733836</v>
      </c>
      <c r="K17" s="1260" t="s">
        <v>324</v>
      </c>
      <c r="L17" s="1259">
        <f>+PARÁMETROS!$C$27</f>
        <v>63980742.840000004</v>
      </c>
    </row>
    <row r="18" spans="4:18" ht="11.25" thickBot="1" x14ac:dyDescent="0.3">
      <c r="K18" s="1247" t="s">
        <v>1058</v>
      </c>
      <c r="L18" s="1263">
        <f>IFERROR(L14/L17,0)</f>
        <v>874.42668328879574</v>
      </c>
    </row>
    <row r="19" spans="4:18" ht="11.25" thickBot="1" x14ac:dyDescent="0.3"/>
    <row r="20" spans="4:18" ht="11.25" thickBot="1" x14ac:dyDescent="0.3">
      <c r="F20" s="1264"/>
      <c r="K20" s="1247" t="s">
        <v>377</v>
      </c>
      <c r="L20" s="1263">
        <f>+L18-C14</f>
        <v>27.693909004147599</v>
      </c>
    </row>
    <row r="21" spans="4:18" ht="11.25" thickBot="1" x14ac:dyDescent="0.3">
      <c r="F21" s="1265"/>
      <c r="H21" s="1266" t="s">
        <v>525</v>
      </c>
    </row>
    <row r="22" spans="4:18" ht="12" thickBot="1" x14ac:dyDescent="0.3">
      <c r="D22" s="1810" t="s">
        <v>1079</v>
      </c>
      <c r="E22" s="1811"/>
      <c r="H22" s="1269">
        <v>2026</v>
      </c>
      <c r="I22" s="1269">
        <f>+H22+1</f>
        <v>2027</v>
      </c>
      <c r="J22" s="1269">
        <f t="shared" ref="J22:R22" si="0">+I22+1</f>
        <v>2028</v>
      </c>
      <c r="K22" s="1269">
        <f t="shared" si="0"/>
        <v>2029</v>
      </c>
      <c r="L22" s="1269">
        <f t="shared" si="0"/>
        <v>2030</v>
      </c>
      <c r="M22" s="1269">
        <f t="shared" si="0"/>
        <v>2031</v>
      </c>
      <c r="N22" s="1269">
        <f t="shared" si="0"/>
        <v>2032</v>
      </c>
      <c r="O22" s="1269">
        <f t="shared" si="0"/>
        <v>2033</v>
      </c>
      <c r="P22" s="1269">
        <f t="shared" si="0"/>
        <v>2034</v>
      </c>
      <c r="Q22" s="1269">
        <f t="shared" si="0"/>
        <v>2035</v>
      </c>
      <c r="R22" s="1269">
        <f t="shared" si="0"/>
        <v>2036</v>
      </c>
    </row>
    <row r="23" spans="4:18" ht="13.5" thickBot="1" x14ac:dyDescent="0.3">
      <c r="D23" s="1267" t="s">
        <v>1083</v>
      </c>
      <c r="E23" s="1268">
        <v>75832008</v>
      </c>
      <c r="H23" s="1272">
        <v>1</v>
      </c>
      <c r="I23" s="1272">
        <v>2</v>
      </c>
      <c r="J23" s="1272">
        <v>3</v>
      </c>
      <c r="K23" s="1272">
        <v>4</v>
      </c>
      <c r="L23" s="1272">
        <v>5</v>
      </c>
      <c r="M23" s="1272">
        <v>6</v>
      </c>
      <c r="N23" s="1272">
        <v>7</v>
      </c>
      <c r="O23" s="1272">
        <v>8</v>
      </c>
      <c r="P23" s="1272">
        <v>9</v>
      </c>
      <c r="Q23" s="1272">
        <v>10</v>
      </c>
      <c r="R23" s="1272">
        <v>11</v>
      </c>
    </row>
    <row r="24" spans="4:18" ht="13.5" thickBot="1" x14ac:dyDescent="0.3">
      <c r="D24" s="1270" t="s">
        <v>1084</v>
      </c>
      <c r="E24" s="1271">
        <v>0</v>
      </c>
      <c r="H24" s="1273">
        <f>+L20*INDICES!$X$15/INDICES!$M$21*(1+PARÁMETROS!$C$9)^H23</f>
        <v>52.268200994790469</v>
      </c>
      <c r="I24" s="1273">
        <f>+H24*(1+PARÁMETROS!$C$9)</f>
        <v>54.128732559852885</v>
      </c>
      <c r="J24" s="1273">
        <f>+I24*(1+PARÁMETROS!$C$9)</f>
        <v>56.055491346030848</v>
      </c>
      <c r="K24" s="1273">
        <f>+J24*(1+PARÁMETROS!$C$9)</f>
        <v>58.050834768215367</v>
      </c>
      <c r="L24" s="1273">
        <f>+K24*(1+PARÁMETROS!$C$9)</f>
        <v>60.117204155507892</v>
      </c>
      <c r="M24" s="1273">
        <f>+L24*(1+PARÁMETROS!$C$9)</f>
        <v>62.257127738218763</v>
      </c>
      <c r="N24" s="1273">
        <f>+M24*(1+PARÁMETROS!$C$9)</f>
        <v>64.473223741190509</v>
      </c>
      <c r="O24" s="1273">
        <f>+N24*(1+PARÁMETROS!$C$9)</f>
        <v>66.768203587230602</v>
      </c>
      <c r="P24" s="1273">
        <f>+O24*(1+PARÁMETROS!$C$9)</f>
        <v>69.144875214573162</v>
      </c>
      <c r="Q24" s="1273">
        <f>+P24*(1+PARÁMETROS!$C$9)</f>
        <v>71.606146512428566</v>
      </c>
      <c r="R24" s="1273">
        <f>+Q24*(1+PARÁMETROS!$C$9)</f>
        <v>74.155028878824453</v>
      </c>
    </row>
    <row r="25" spans="4:18" ht="12.75" x14ac:dyDescent="0.25">
      <c r="D25" s="1270" t="s">
        <v>1085</v>
      </c>
      <c r="E25" s="1271">
        <v>0</v>
      </c>
      <c r="H25" s="1274"/>
      <c r="I25" s="1274"/>
      <c r="J25" s="1274"/>
      <c r="K25" s="1274"/>
      <c r="L25" s="1274"/>
      <c r="M25" s="1274"/>
      <c r="N25" s="1274"/>
      <c r="O25" s="1274"/>
      <c r="P25" s="1274"/>
      <c r="Q25" s="1274"/>
      <c r="R25" s="1274"/>
    </row>
    <row r="26" spans="4:18" ht="12.75" x14ac:dyDescent="0.25">
      <c r="D26" s="1270" t="s">
        <v>1086</v>
      </c>
      <c r="E26" s="1271">
        <f>E23+E24-E25</f>
        <v>75832008</v>
      </c>
      <c r="H26" s="1274"/>
      <c r="I26" s="1274"/>
      <c r="J26" s="1274"/>
      <c r="K26" s="1274"/>
      <c r="L26" s="1274"/>
      <c r="M26" s="1274"/>
      <c r="N26" s="1274"/>
      <c r="O26" s="1274"/>
      <c r="P26" s="1274"/>
      <c r="Q26" s="1274"/>
      <c r="R26" s="1274"/>
    </row>
    <row r="27" spans="4:18" ht="11.25" x14ac:dyDescent="0.2">
      <c r="D27" s="1275"/>
      <c r="E27" s="1275"/>
      <c r="H27" s="1274"/>
      <c r="I27" s="1274"/>
      <c r="J27" s="1274"/>
      <c r="K27" s="1274"/>
      <c r="L27" s="1274"/>
      <c r="M27" s="1274"/>
      <c r="N27" s="1274"/>
      <c r="O27" s="1274"/>
      <c r="P27" s="1274"/>
      <c r="Q27" s="1274"/>
      <c r="R27" s="1274"/>
    </row>
    <row r="28" spans="4:18" ht="12.75" x14ac:dyDescent="0.25">
      <c r="D28" s="1270" t="s">
        <v>1087</v>
      </c>
      <c r="E28" s="1271">
        <v>17141037831.222839</v>
      </c>
      <c r="H28" s="1276"/>
      <c r="I28" s="1276"/>
      <c r="J28" s="1276"/>
      <c r="K28" s="1276"/>
      <c r="L28" s="1276"/>
      <c r="M28" s="1276"/>
      <c r="N28" s="1276"/>
      <c r="O28" s="1276"/>
      <c r="P28" s="1276"/>
      <c r="Q28" s="1276"/>
      <c r="R28" s="1276"/>
    </row>
    <row r="29" spans="4:18" ht="12.75" x14ac:dyDescent="0.25">
      <c r="D29" s="1270" t="s">
        <v>1083</v>
      </c>
      <c r="E29" s="1271">
        <f>+E23</f>
        <v>75832008</v>
      </c>
      <c r="H29" s="1276"/>
      <c r="I29" s="1276"/>
      <c r="J29" s="1276"/>
      <c r="K29" s="1276"/>
      <c r="L29" s="1276"/>
      <c r="M29" s="1276"/>
      <c r="N29" s="1276"/>
      <c r="O29" s="1276"/>
      <c r="P29" s="1276"/>
      <c r="Q29" s="1276"/>
      <c r="R29" s="1276"/>
    </row>
    <row r="30" spans="4:18" ht="12.75" x14ac:dyDescent="0.25">
      <c r="D30" s="1270" t="s">
        <v>1088</v>
      </c>
      <c r="E30" s="1271">
        <f>+E28/E29</f>
        <v>226.0396141853825</v>
      </c>
      <c r="H30" s="1276"/>
      <c r="I30" s="1276"/>
      <c r="J30" s="1276"/>
      <c r="K30" s="1276"/>
      <c r="L30" s="1276"/>
      <c r="M30" s="1276"/>
      <c r="N30" s="1276"/>
      <c r="O30" s="1276"/>
      <c r="P30" s="1276"/>
      <c r="Q30" s="1276"/>
      <c r="R30" s="1276"/>
    </row>
    <row r="31" spans="4:18" ht="11.25" x14ac:dyDescent="0.2">
      <c r="D31" s="1275"/>
      <c r="E31" s="1275"/>
      <c r="H31" s="1276"/>
      <c r="I31" s="1276"/>
      <c r="J31" s="1276"/>
      <c r="K31" s="1276"/>
      <c r="L31" s="1276"/>
      <c r="M31" s="1276"/>
      <c r="N31" s="1276"/>
      <c r="O31" s="1276"/>
      <c r="P31" s="1276"/>
      <c r="Q31" s="1276"/>
      <c r="R31" s="1276"/>
    </row>
    <row r="32" spans="4:18" ht="12.75" x14ac:dyDescent="0.25">
      <c r="D32" s="1270" t="s">
        <v>1089</v>
      </c>
      <c r="E32" s="1271">
        <v>484388655.35316002</v>
      </c>
      <c r="H32" s="1274"/>
      <c r="I32" s="1274"/>
      <c r="J32" s="1274"/>
      <c r="K32" s="1274"/>
      <c r="L32" s="1274"/>
      <c r="M32" s="1274"/>
      <c r="N32" s="1274"/>
      <c r="O32" s="1274"/>
      <c r="P32" s="1274"/>
      <c r="Q32" s="1274"/>
      <c r="R32" s="1274"/>
    </row>
    <row r="33" spans="4:18" ht="12.75" x14ac:dyDescent="0.25">
      <c r="D33" s="1270" t="s">
        <v>1086</v>
      </c>
      <c r="E33" s="1271">
        <f>+E26</f>
        <v>75832008</v>
      </c>
      <c r="H33" s="1276"/>
      <c r="I33" s="1276"/>
      <c r="J33" s="1276"/>
      <c r="K33" s="1276"/>
      <c r="L33" s="1276"/>
      <c r="M33" s="1276"/>
      <c r="N33" s="1276"/>
      <c r="O33" s="1276"/>
      <c r="P33" s="1276"/>
      <c r="Q33" s="1276"/>
      <c r="R33" s="1276"/>
    </row>
    <row r="34" spans="4:18" ht="12.75" x14ac:dyDescent="0.25">
      <c r="D34" s="1270" t="s">
        <v>1090</v>
      </c>
      <c r="E34" s="1271">
        <f>+E32/E33</f>
        <v>6.3876543444973795</v>
      </c>
    </row>
    <row r="35" spans="4:18" ht="11.25" x14ac:dyDescent="0.2">
      <c r="D35" s="1275"/>
      <c r="E35" s="1275"/>
      <c r="L35" s="1277"/>
    </row>
    <row r="36" spans="4:18" ht="12.75" x14ac:dyDescent="0.25">
      <c r="D36" s="1270" t="s">
        <v>1091</v>
      </c>
      <c r="E36" s="1271">
        <v>3283332902.0600004</v>
      </c>
      <c r="K36" s="1277"/>
      <c r="L36" s="1276"/>
    </row>
    <row r="37" spans="4:18" ht="12.75" x14ac:dyDescent="0.25">
      <c r="D37" s="1270" t="s">
        <v>1083</v>
      </c>
      <c r="E37" s="1271">
        <f>+E23</f>
        <v>75832008</v>
      </c>
      <c r="K37" s="1277"/>
      <c r="L37" s="1276"/>
    </row>
    <row r="38" spans="4:18" ht="12.75" x14ac:dyDescent="0.25">
      <c r="D38" s="1270" t="s">
        <v>1092</v>
      </c>
      <c r="E38" s="1271">
        <f>+E36/E37</f>
        <v>43.297454315860925</v>
      </c>
      <c r="K38" s="1277"/>
      <c r="L38" s="1276"/>
    </row>
    <row r="39" spans="4:18" x14ac:dyDescent="0.25">
      <c r="K39" s="1277"/>
      <c r="L39" s="1276"/>
      <c r="P39" s="1808"/>
      <c r="Q39" s="1808"/>
      <c r="R39" s="1808"/>
    </row>
    <row r="40" spans="4:18" x14ac:dyDescent="0.25">
      <c r="H40" s="1276"/>
      <c r="N40" s="1278"/>
      <c r="O40" s="1277"/>
      <c r="P40" s="1277"/>
      <c r="Q40" s="1277"/>
      <c r="R40" s="1277"/>
    </row>
    <row r="41" spans="4:18" x14ac:dyDescent="0.25">
      <c r="H41" s="1279"/>
      <c r="N41" s="1280"/>
      <c r="P41" s="1281"/>
    </row>
    <row r="42" spans="4:18" x14ac:dyDescent="0.25">
      <c r="H42" s="1276"/>
      <c r="N42" s="1280"/>
      <c r="P42" s="1282"/>
      <c r="R42" s="1282"/>
    </row>
    <row r="43" spans="4:18" x14ac:dyDescent="0.25">
      <c r="H43" s="1276"/>
      <c r="N43" s="1280"/>
      <c r="P43" s="1282"/>
      <c r="Q43" s="1283"/>
      <c r="R43" s="1282"/>
    </row>
    <row r="44" spans="4:18" x14ac:dyDescent="0.25">
      <c r="K44" s="1276"/>
      <c r="N44" s="1280"/>
      <c r="P44" s="1282"/>
      <c r="R44" s="1282"/>
    </row>
    <row r="45" spans="4:18" x14ac:dyDescent="0.25">
      <c r="J45" s="1279"/>
      <c r="K45" s="1276"/>
      <c r="N45" s="1280"/>
      <c r="P45" s="1282"/>
      <c r="Q45" s="1283"/>
      <c r="R45" s="1282"/>
    </row>
    <row r="46" spans="4:18" x14ac:dyDescent="0.25">
      <c r="J46" s="1279"/>
      <c r="K46" s="1276"/>
      <c r="N46" s="1280"/>
      <c r="P46" s="1282"/>
      <c r="R46" s="1282"/>
    </row>
    <row r="47" spans="4:18" x14ac:dyDescent="0.25">
      <c r="N47" s="1280"/>
      <c r="P47" s="1282"/>
      <c r="Q47" s="1283"/>
      <c r="R47" s="1282"/>
    </row>
    <row r="48" spans="4:18" x14ac:dyDescent="0.25">
      <c r="N48" s="1280"/>
      <c r="P48" s="1282"/>
      <c r="R48" s="1282"/>
    </row>
    <row r="52" spans="7:14" x14ac:dyDescent="0.25">
      <c r="N52" s="1277"/>
    </row>
    <row r="53" spans="7:14" x14ac:dyDescent="0.25">
      <c r="K53" s="1276"/>
      <c r="N53" s="1280"/>
    </row>
    <row r="54" spans="7:14" x14ac:dyDescent="0.25">
      <c r="N54" s="1280"/>
    </row>
    <row r="55" spans="7:14" x14ac:dyDescent="0.25">
      <c r="N55" s="1280"/>
    </row>
    <row r="57" spans="7:14" x14ac:dyDescent="0.25">
      <c r="H57" s="1266"/>
      <c r="I57" s="1284"/>
      <c r="J57" s="1284"/>
    </row>
    <row r="58" spans="7:14" x14ac:dyDescent="0.25">
      <c r="H58" s="1285"/>
      <c r="I58" s="1285"/>
      <c r="J58" s="1285"/>
      <c r="K58" s="1285"/>
      <c r="L58" s="1285"/>
    </row>
    <row r="59" spans="7:14" x14ac:dyDescent="0.25">
      <c r="H59" s="1277"/>
      <c r="I59" s="1277"/>
      <c r="J59" s="1277"/>
      <c r="K59" s="1277"/>
      <c r="L59" s="1277"/>
    </row>
    <row r="60" spans="7:14" x14ac:dyDescent="0.25">
      <c r="G60" s="1286"/>
      <c r="H60" s="1287"/>
      <c r="I60" s="1288"/>
      <c r="J60" s="1288"/>
      <c r="K60" s="1288"/>
      <c r="L60" s="1288"/>
    </row>
    <row r="61" spans="7:14" x14ac:dyDescent="0.25">
      <c r="G61" s="1286"/>
      <c r="H61" s="1287"/>
      <c r="I61" s="1288"/>
      <c r="J61" s="1288"/>
      <c r="K61" s="1288"/>
      <c r="L61" s="1288"/>
    </row>
    <row r="63" spans="7:14" x14ac:dyDescent="0.25">
      <c r="H63" s="1266"/>
      <c r="I63" s="1284"/>
      <c r="J63" s="1284"/>
    </row>
    <row r="64" spans="7:14" x14ac:dyDescent="0.25">
      <c r="H64" s="1285"/>
      <c r="I64" s="1285"/>
      <c r="J64" s="1285"/>
      <c r="K64" s="1285"/>
      <c r="L64" s="1285"/>
    </row>
    <row r="65" spans="7:12" x14ac:dyDescent="0.25">
      <c r="H65" s="1277"/>
      <c r="I65" s="1277"/>
      <c r="J65" s="1277"/>
      <c r="K65" s="1277"/>
      <c r="L65" s="1277"/>
    </row>
    <row r="66" spans="7:12" x14ac:dyDescent="0.25">
      <c r="G66" s="1286"/>
      <c r="H66" s="1287"/>
      <c r="I66" s="1288"/>
      <c r="J66" s="1288"/>
      <c r="K66" s="1288"/>
      <c r="L66" s="1288"/>
    </row>
    <row r="67" spans="7:12" x14ac:dyDescent="0.25">
      <c r="G67" s="1286"/>
      <c r="H67" s="1287"/>
      <c r="I67" s="1288"/>
      <c r="J67" s="1288"/>
      <c r="K67" s="1288"/>
      <c r="L67" s="1288"/>
    </row>
  </sheetData>
  <mergeCells count="6">
    <mergeCell ref="P39:R39"/>
    <mergeCell ref="B2:C2"/>
    <mergeCell ref="E2:F2"/>
    <mergeCell ref="H2:I2"/>
    <mergeCell ref="K2:L2"/>
    <mergeCell ref="D22:E22"/>
  </mergeCells>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4">
    <tabColor rgb="FFFFC000"/>
  </sheetPr>
  <dimension ref="B2:L126"/>
  <sheetViews>
    <sheetView showGridLines="0" topLeftCell="A34" zoomScaleNormal="100" workbookViewId="0">
      <selection activeCell="E5" sqref="E5"/>
    </sheetView>
  </sheetViews>
  <sheetFormatPr baseColWidth="10" defaultColWidth="11.375" defaultRowHeight="12.75" x14ac:dyDescent="0.2"/>
  <cols>
    <col min="1" max="1" width="2.625" style="86" customWidth="1"/>
    <col min="2" max="2" width="36.25" style="86" customWidth="1"/>
    <col min="3" max="4" width="13.625" style="86" customWidth="1"/>
    <col min="5" max="5" width="17.375" style="86" customWidth="1"/>
    <col min="6" max="6" width="16.875" style="86" customWidth="1"/>
    <col min="7" max="7" width="11.625" style="86" customWidth="1"/>
    <col min="8" max="8" width="11" style="86" customWidth="1"/>
    <col min="9" max="16384" width="11.375" style="86"/>
  </cols>
  <sheetData>
    <row r="2" spans="2:6" x14ac:dyDescent="0.2">
      <c r="C2" s="87">
        <v>1</v>
      </c>
      <c r="D2" s="87">
        <v>2</v>
      </c>
      <c r="E2" s="87">
        <v>4</v>
      </c>
      <c r="F2" s="87">
        <v>5</v>
      </c>
    </row>
    <row r="3" spans="2:6" ht="26.25" thickBot="1" x14ac:dyDescent="0.25">
      <c r="B3" s="116" t="s">
        <v>376</v>
      </c>
      <c r="C3" s="116" t="s">
        <v>325</v>
      </c>
      <c r="D3" s="116" t="s">
        <v>326</v>
      </c>
      <c r="E3" s="116" t="s">
        <v>327</v>
      </c>
      <c r="F3" s="116" t="s">
        <v>328</v>
      </c>
    </row>
    <row r="4" spans="2:6" x14ac:dyDescent="0.2">
      <c r="B4" s="121" t="str">
        <f>+'RESUMEN FINANCIERO'!$H$65</f>
        <v>MACROMEDIDORES</v>
      </c>
      <c r="C4" s="118">
        <v>1</v>
      </c>
      <c r="D4" s="129">
        <f>+'RESUMEN FINANCIERO'!$P$67</f>
        <v>0</v>
      </c>
      <c r="E4" s="130">
        <f>+'RESUMEN FINANCIERO'!H67</f>
        <v>0</v>
      </c>
      <c r="F4" s="131">
        <f>+'RESUMEN FINANCIERO'!$H$66</f>
        <v>23</v>
      </c>
    </row>
    <row r="5" spans="2:6" x14ac:dyDescent="0.2">
      <c r="B5" s="122" t="str">
        <f>+'RESUMEN FINANCIERO'!$H$65</f>
        <v>MACROMEDIDORES</v>
      </c>
      <c r="C5" s="88">
        <v>2</v>
      </c>
      <c r="D5" s="132">
        <f>+'RESUMEN FINANCIERO'!$P$68</f>
        <v>1</v>
      </c>
      <c r="E5" s="92">
        <f>+'RESUMEN FINANCIERO'!H68</f>
        <v>19671246.467960708</v>
      </c>
      <c r="F5" s="133">
        <f>+'RESUMEN FINANCIERO'!$H$66</f>
        <v>23</v>
      </c>
    </row>
    <row r="6" spans="2:6" x14ac:dyDescent="0.2">
      <c r="B6" s="122" t="str">
        <f>+'RESUMEN FINANCIERO'!$H$65</f>
        <v>MACROMEDIDORES</v>
      </c>
      <c r="C6" s="88">
        <v>3</v>
      </c>
      <c r="D6" s="132">
        <f>+'RESUMEN FINANCIERO'!$P$69</f>
        <v>2</v>
      </c>
      <c r="E6" s="92">
        <f>+'RESUMEN FINANCIERO'!H69</f>
        <v>155817460.36657271</v>
      </c>
      <c r="F6" s="133">
        <f>+'RESUMEN FINANCIERO'!$H$66</f>
        <v>23</v>
      </c>
    </row>
    <row r="7" spans="2:6" x14ac:dyDescent="0.2">
      <c r="B7" s="122" t="str">
        <f>+'RESUMEN FINANCIERO'!$H$65</f>
        <v>MACROMEDIDORES</v>
      </c>
      <c r="C7" s="88">
        <v>4</v>
      </c>
      <c r="D7" s="132">
        <f>+'RESUMEN FINANCIERO'!$P$70</f>
        <v>3</v>
      </c>
      <c r="E7" s="92">
        <f>+'RESUMEN FINANCIERO'!H70</f>
        <v>19671246.467960708</v>
      </c>
      <c r="F7" s="133">
        <f>+'RESUMEN FINANCIERO'!$H$66</f>
        <v>23</v>
      </c>
    </row>
    <row r="8" spans="2:6" x14ac:dyDescent="0.2">
      <c r="B8" s="122" t="str">
        <f>+'RESUMEN FINANCIERO'!$H$65</f>
        <v>MACROMEDIDORES</v>
      </c>
      <c r="C8" s="88">
        <v>5</v>
      </c>
      <c r="D8" s="132">
        <f>+'RESUMEN FINANCIERO'!$P$71</f>
        <v>4</v>
      </c>
      <c r="E8" s="92">
        <f>+'RESUMEN FINANCIERO'!H71</f>
        <v>18198458.295112241</v>
      </c>
      <c r="F8" s="133">
        <f>+'RESUMEN FINANCIERO'!$H$66</f>
        <v>23</v>
      </c>
    </row>
    <row r="9" spans="2:6" x14ac:dyDescent="0.2">
      <c r="B9" s="122" t="str">
        <f>+'RESUMEN FINANCIERO'!$H$65</f>
        <v>MACROMEDIDORES</v>
      </c>
      <c r="C9" s="88">
        <v>6</v>
      </c>
      <c r="D9" s="132">
        <f>+'RESUMEN FINANCIERO'!$P$72</f>
        <v>5</v>
      </c>
      <c r="E9" s="92">
        <f>+'RESUMEN FINANCIERO'!H72</f>
        <v>0</v>
      </c>
      <c r="F9" s="133">
        <f>+'RESUMEN FINANCIERO'!$H$66</f>
        <v>23</v>
      </c>
    </row>
    <row r="10" spans="2:6" x14ac:dyDescent="0.2">
      <c r="B10" s="122" t="str">
        <f>+'RESUMEN FINANCIERO'!$H$65</f>
        <v>MACROMEDIDORES</v>
      </c>
      <c r="C10" s="88">
        <v>7</v>
      </c>
      <c r="D10" s="132">
        <f>+'RESUMEN FINANCIERO'!$P$73</f>
        <v>6</v>
      </c>
      <c r="E10" s="92">
        <f>+'RESUMEN FINANCIERO'!H73</f>
        <v>42323102.712381244</v>
      </c>
      <c r="F10" s="133">
        <f>+'RESUMEN FINANCIERO'!$H$66</f>
        <v>23</v>
      </c>
    </row>
    <row r="11" spans="2:6" x14ac:dyDescent="0.2">
      <c r="B11" s="122" t="str">
        <f>+'RESUMEN FINANCIERO'!$H$65</f>
        <v>MACROMEDIDORES</v>
      </c>
      <c r="C11" s="88">
        <v>8</v>
      </c>
      <c r="D11" s="132">
        <f>+'RESUMEN FINANCIERO'!$P$74</f>
        <v>7</v>
      </c>
      <c r="E11" s="92">
        <f>+'RESUMEN FINANCIERO'!H74</f>
        <v>19671246.467960708</v>
      </c>
      <c r="F11" s="133">
        <f>+'RESUMEN FINANCIERO'!$H$66</f>
        <v>23</v>
      </c>
    </row>
    <row r="12" spans="2:6" x14ac:dyDescent="0.2">
      <c r="B12" s="122" t="str">
        <f>+'RESUMEN FINANCIERO'!$H$65</f>
        <v>MACROMEDIDORES</v>
      </c>
      <c r="C12" s="88">
        <v>9</v>
      </c>
      <c r="D12" s="132">
        <f>+'RESUMEN FINANCIERO'!$P$75</f>
        <v>8</v>
      </c>
      <c r="E12" s="92">
        <f>+'RESUMEN FINANCIERO'!H75</f>
        <v>0</v>
      </c>
      <c r="F12" s="133">
        <f>+'RESUMEN FINANCIERO'!$H$66</f>
        <v>23</v>
      </c>
    </row>
    <row r="13" spans="2:6" x14ac:dyDescent="0.2">
      <c r="B13" s="122" t="str">
        <f>+'RESUMEN FINANCIERO'!$H$65</f>
        <v>MACROMEDIDORES</v>
      </c>
      <c r="C13" s="88">
        <v>10</v>
      </c>
      <c r="D13" s="132">
        <f>+'RESUMEN FINANCIERO'!$P$76</f>
        <v>9</v>
      </c>
      <c r="E13" s="92">
        <f>+'RESUMEN FINANCIERO'!H76</f>
        <v>4549614.5737780603</v>
      </c>
      <c r="F13" s="133">
        <f>+'RESUMEN FINANCIERO'!$H$66</f>
        <v>23</v>
      </c>
    </row>
    <row r="14" spans="2:6" ht="13.5" thickBot="1" x14ac:dyDescent="0.25">
      <c r="B14" s="123" t="str">
        <f>+'RESUMEN FINANCIERO'!$H$65</f>
        <v>MACROMEDIDORES</v>
      </c>
      <c r="C14" s="119">
        <v>11</v>
      </c>
      <c r="D14" s="134">
        <f>+'RESUMEN FINANCIERO'!$P$77</f>
        <v>10</v>
      </c>
      <c r="E14" s="135">
        <f>+'RESUMEN FINANCIERO'!H77</f>
        <v>0</v>
      </c>
      <c r="F14" s="136">
        <f>+'RESUMEN FINANCIERO'!$H$66</f>
        <v>23</v>
      </c>
    </row>
    <row r="15" spans="2:6" x14ac:dyDescent="0.2">
      <c r="B15" s="121" t="str">
        <f>+'RESUMEN FINANCIERO'!$I$65</f>
        <v>MACROMEDIDORES</v>
      </c>
      <c r="C15" s="118">
        <v>12</v>
      </c>
      <c r="D15" s="129">
        <f>+'RESUMEN FINANCIERO'!$P$67</f>
        <v>0</v>
      </c>
      <c r="E15" s="130">
        <f>+'RESUMEN FINANCIERO'!I67</f>
        <v>0</v>
      </c>
      <c r="F15" s="131">
        <f>+'RESUMEN FINANCIERO'!$I$66</f>
        <v>23</v>
      </c>
    </row>
    <row r="16" spans="2:6" x14ac:dyDescent="0.2">
      <c r="B16" s="122" t="str">
        <f>+'RESUMEN FINANCIERO'!$I$65</f>
        <v>MACROMEDIDORES</v>
      </c>
      <c r="C16" s="88">
        <v>13</v>
      </c>
      <c r="D16" s="132">
        <f>+'RESUMEN FINANCIERO'!$P$68</f>
        <v>1</v>
      </c>
      <c r="E16" s="92">
        <f>+'RESUMEN FINANCIERO'!I68</f>
        <v>290927089.32178879</v>
      </c>
      <c r="F16" s="137">
        <f>+'RESUMEN FINANCIERO'!$I$66</f>
        <v>23</v>
      </c>
    </row>
    <row r="17" spans="2:6" x14ac:dyDescent="0.2">
      <c r="B17" s="122" t="str">
        <f>+'RESUMEN FINANCIERO'!$I$65</f>
        <v>MACROMEDIDORES</v>
      </c>
      <c r="C17" s="88">
        <v>14</v>
      </c>
      <c r="D17" s="132">
        <f>+'RESUMEN FINANCIERO'!$P$69</f>
        <v>2</v>
      </c>
      <c r="E17" s="92">
        <f>+'RESUMEN FINANCIERO'!I69</f>
        <v>424438265.6717186</v>
      </c>
      <c r="F17" s="137">
        <f>+'RESUMEN FINANCIERO'!$I$66</f>
        <v>23</v>
      </c>
    </row>
    <row r="18" spans="2:6" x14ac:dyDescent="0.2">
      <c r="B18" s="122" t="str">
        <f>+'RESUMEN FINANCIERO'!$I$65</f>
        <v>MACROMEDIDORES</v>
      </c>
      <c r="C18" s="88">
        <v>15</v>
      </c>
      <c r="D18" s="132">
        <f>+'RESUMEN FINANCIERO'!$P$70</f>
        <v>3</v>
      </c>
      <c r="E18" s="92">
        <f>+'RESUMEN FINANCIERO'!I70</f>
        <v>342730027.12324625</v>
      </c>
      <c r="F18" s="137">
        <f>+'RESUMEN FINANCIERO'!$I$66</f>
        <v>23</v>
      </c>
    </row>
    <row r="19" spans="2:6" x14ac:dyDescent="0.2">
      <c r="B19" s="122" t="str">
        <f>+'RESUMEN FINANCIERO'!$I$65</f>
        <v>MACROMEDIDORES</v>
      </c>
      <c r="C19" s="88">
        <v>16</v>
      </c>
      <c r="D19" s="132">
        <f>+'RESUMEN FINANCIERO'!$P$71</f>
        <v>4</v>
      </c>
      <c r="E19" s="92">
        <f>+'RESUMEN FINANCIERO'!I71</f>
        <v>587965242.50099516</v>
      </c>
      <c r="F19" s="137">
        <f>+'RESUMEN FINANCIERO'!$I$66</f>
        <v>23</v>
      </c>
    </row>
    <row r="20" spans="2:6" x14ac:dyDescent="0.2">
      <c r="B20" s="122" t="str">
        <f>+'RESUMEN FINANCIERO'!$I$65</f>
        <v>MACROMEDIDORES</v>
      </c>
      <c r="C20" s="88">
        <v>17</v>
      </c>
      <c r="D20" s="132">
        <f>+'RESUMEN FINANCIERO'!$P$72</f>
        <v>5</v>
      </c>
      <c r="E20" s="92">
        <f>+'RESUMEN FINANCIERO'!I72</f>
        <v>162198079.49906781</v>
      </c>
      <c r="F20" s="137">
        <f>+'RESUMEN FINANCIERO'!$I$66</f>
        <v>23</v>
      </c>
    </row>
    <row r="21" spans="2:6" x14ac:dyDescent="0.2">
      <c r="B21" s="122" t="str">
        <f>+'RESUMEN FINANCIERO'!$I$65</f>
        <v>MACROMEDIDORES</v>
      </c>
      <c r="C21" s="88">
        <v>18</v>
      </c>
      <c r="D21" s="132">
        <f>+'RESUMEN FINANCIERO'!$P$73</f>
        <v>6</v>
      </c>
      <c r="E21" s="92">
        <f>+'RESUMEN FINANCIERO'!I73</f>
        <v>57444734.606563888</v>
      </c>
      <c r="F21" s="137">
        <f>+'RESUMEN FINANCIERO'!$I$66</f>
        <v>23</v>
      </c>
    </row>
    <row r="22" spans="2:6" x14ac:dyDescent="0.2">
      <c r="B22" s="122" t="str">
        <f>+'RESUMEN FINANCIERO'!$I$65</f>
        <v>MACROMEDIDORES</v>
      </c>
      <c r="C22" s="88">
        <v>19</v>
      </c>
      <c r="D22" s="132">
        <f>+'RESUMEN FINANCIERO'!$P$74</f>
        <v>7</v>
      </c>
      <c r="E22" s="92">
        <f>+'RESUMEN FINANCIERO'!I74</f>
        <v>0</v>
      </c>
      <c r="F22" s="137">
        <f>+'RESUMEN FINANCIERO'!$I$66</f>
        <v>23</v>
      </c>
    </row>
    <row r="23" spans="2:6" x14ac:dyDescent="0.2">
      <c r="B23" s="122" t="str">
        <f>+'RESUMEN FINANCIERO'!$I$65</f>
        <v>MACROMEDIDORES</v>
      </c>
      <c r="C23" s="88">
        <v>20</v>
      </c>
      <c r="D23" s="132">
        <f>+'RESUMEN FINANCIERO'!$P$75</f>
        <v>8</v>
      </c>
      <c r="E23" s="92">
        <f>+'RESUMEN FINANCIERO'!I75</f>
        <v>0</v>
      </c>
      <c r="F23" s="137">
        <f>+'RESUMEN FINANCIERO'!$I$66</f>
        <v>23</v>
      </c>
    </row>
    <row r="24" spans="2:6" x14ac:dyDescent="0.2">
      <c r="B24" s="122" t="str">
        <f>+'RESUMEN FINANCIERO'!$I$65</f>
        <v>MACROMEDIDORES</v>
      </c>
      <c r="C24" s="88">
        <v>21</v>
      </c>
      <c r="D24" s="132">
        <f>+'RESUMEN FINANCIERO'!$P$76</f>
        <v>9</v>
      </c>
      <c r="E24" s="92">
        <f>+'RESUMEN FINANCIERO'!I76</f>
        <v>0</v>
      </c>
      <c r="F24" s="137">
        <f>+'RESUMEN FINANCIERO'!$I$66</f>
        <v>23</v>
      </c>
    </row>
    <row r="25" spans="2:6" ht="13.5" thickBot="1" x14ac:dyDescent="0.25">
      <c r="B25" s="123" t="str">
        <f>+'RESUMEN FINANCIERO'!$I$65</f>
        <v>MACROMEDIDORES</v>
      </c>
      <c r="C25" s="119">
        <v>22</v>
      </c>
      <c r="D25" s="134">
        <f>+'RESUMEN FINANCIERO'!$P$77</f>
        <v>10</v>
      </c>
      <c r="E25" s="135">
        <f>+'RESUMEN FINANCIERO'!I77</f>
        <v>0</v>
      </c>
      <c r="F25" s="138">
        <f>+'RESUMEN FINANCIERO'!$I$66</f>
        <v>23</v>
      </c>
    </row>
    <row r="26" spans="2:6" x14ac:dyDescent="0.2">
      <c r="B26" s="121" t="str">
        <f>+'RESUMEN FINANCIERO'!$J$65</f>
        <v>ESTACIONES REDUCTORAS DE PRESIÓN</v>
      </c>
      <c r="C26" s="118">
        <v>23</v>
      </c>
      <c r="D26" s="129">
        <f>+'RESUMEN FINANCIERO'!$P$67</f>
        <v>0</v>
      </c>
      <c r="E26" s="130">
        <f>+'RESUMEN FINANCIERO'!J67</f>
        <v>0</v>
      </c>
      <c r="F26" s="131">
        <f>+'RESUMEN FINANCIERO'!$J$66</f>
        <v>35</v>
      </c>
    </row>
    <row r="27" spans="2:6" x14ac:dyDescent="0.2">
      <c r="B27" s="124" t="str">
        <f>+'RESUMEN FINANCIERO'!$J$65</f>
        <v>ESTACIONES REDUCTORAS DE PRESIÓN</v>
      </c>
      <c r="C27" s="88">
        <v>24</v>
      </c>
      <c r="D27" s="132">
        <f>+'RESUMEN FINANCIERO'!$P$68</f>
        <v>1</v>
      </c>
      <c r="E27" s="139">
        <f>+'RESUMEN FINANCIERO'!J68</f>
        <v>457899884.58817512</v>
      </c>
      <c r="F27" s="140">
        <f>+'RESUMEN FINANCIERO'!$J$66</f>
        <v>35</v>
      </c>
    </row>
    <row r="28" spans="2:6" x14ac:dyDescent="0.2">
      <c r="B28" s="124" t="str">
        <f>+'RESUMEN FINANCIERO'!$J$65</f>
        <v>ESTACIONES REDUCTORAS DE PRESIÓN</v>
      </c>
      <c r="C28" s="88">
        <v>25</v>
      </c>
      <c r="D28" s="132">
        <f>+'RESUMEN FINANCIERO'!$P$69</f>
        <v>2</v>
      </c>
      <c r="E28" s="139">
        <f>+'RESUMEN FINANCIERO'!J69</f>
        <v>501620585.24212873</v>
      </c>
      <c r="F28" s="140">
        <f>+'RESUMEN FINANCIERO'!$J$66</f>
        <v>35</v>
      </c>
    </row>
    <row r="29" spans="2:6" x14ac:dyDescent="0.2">
      <c r="B29" s="124" t="str">
        <f>+'RESUMEN FINANCIERO'!$J$65</f>
        <v>ESTACIONES REDUCTORAS DE PRESIÓN</v>
      </c>
      <c r="C29" s="88">
        <v>26</v>
      </c>
      <c r="D29" s="132">
        <f>+'RESUMEN FINANCIERO'!$P$70</f>
        <v>3</v>
      </c>
      <c r="E29" s="139">
        <f>+'RESUMEN FINANCIERO'!J70</f>
        <v>338636003.59959525</v>
      </c>
      <c r="F29" s="140">
        <f>+'RESUMEN FINANCIERO'!$J$66</f>
        <v>35</v>
      </c>
    </row>
    <row r="30" spans="2:6" x14ac:dyDescent="0.2">
      <c r="B30" s="124" t="str">
        <f>+'RESUMEN FINANCIERO'!$J$65</f>
        <v>ESTACIONES REDUCTORAS DE PRESIÓN</v>
      </c>
      <c r="C30" s="88">
        <v>27</v>
      </c>
      <c r="D30" s="132">
        <f>+'RESUMEN FINANCIERO'!$P$71</f>
        <v>4</v>
      </c>
      <c r="E30" s="139">
        <f>+'RESUMEN FINANCIERO'!J71</f>
        <v>42948911.034252018</v>
      </c>
      <c r="F30" s="140">
        <f>+'RESUMEN FINANCIERO'!$J$66</f>
        <v>35</v>
      </c>
    </row>
    <row r="31" spans="2:6" x14ac:dyDescent="0.2">
      <c r="B31" s="124" t="str">
        <f>+'RESUMEN FINANCIERO'!$J$65</f>
        <v>ESTACIONES REDUCTORAS DE PRESIÓN</v>
      </c>
      <c r="C31" s="88">
        <v>28</v>
      </c>
      <c r="D31" s="132">
        <f>+'RESUMEN FINANCIERO'!$P$72</f>
        <v>5</v>
      </c>
      <c r="E31" s="139">
        <f>+'RESUMEN FINANCIERO'!J72</f>
        <v>49309651.718624085</v>
      </c>
      <c r="F31" s="140">
        <f>+'RESUMEN FINANCIERO'!$J$66</f>
        <v>35</v>
      </c>
    </row>
    <row r="32" spans="2:6" x14ac:dyDescent="0.2">
      <c r="B32" s="124" t="str">
        <f>+'RESUMEN FINANCIERO'!$J$65</f>
        <v>ESTACIONES REDUCTORAS DE PRESIÓN</v>
      </c>
      <c r="C32" s="88">
        <v>29</v>
      </c>
      <c r="D32" s="132">
        <f>+'RESUMEN FINANCIERO'!$P$73</f>
        <v>6</v>
      </c>
      <c r="E32" s="139">
        <f>+'RESUMEN FINANCIERO'!J73</f>
        <v>0</v>
      </c>
      <c r="F32" s="140">
        <f>+'RESUMEN FINANCIERO'!$J$66</f>
        <v>35</v>
      </c>
    </row>
    <row r="33" spans="2:6" x14ac:dyDescent="0.2">
      <c r="B33" s="124" t="str">
        <f>+'RESUMEN FINANCIERO'!$J$65</f>
        <v>ESTACIONES REDUCTORAS DE PRESIÓN</v>
      </c>
      <c r="C33" s="88">
        <v>30</v>
      </c>
      <c r="D33" s="132">
        <f>+'RESUMEN FINANCIERO'!$P$74</f>
        <v>7</v>
      </c>
      <c r="E33" s="139">
        <f>+'RESUMEN FINANCIERO'!J74</f>
        <v>0</v>
      </c>
      <c r="F33" s="140">
        <f>+'RESUMEN FINANCIERO'!$J$66</f>
        <v>35</v>
      </c>
    </row>
    <row r="34" spans="2:6" x14ac:dyDescent="0.2">
      <c r="B34" s="124" t="str">
        <f>+'RESUMEN FINANCIERO'!$J$65</f>
        <v>ESTACIONES REDUCTORAS DE PRESIÓN</v>
      </c>
      <c r="C34" s="88">
        <v>31</v>
      </c>
      <c r="D34" s="132">
        <f>+'RESUMEN FINANCIERO'!$P$75</f>
        <v>8</v>
      </c>
      <c r="E34" s="139">
        <f>+'RESUMEN FINANCIERO'!J75</f>
        <v>0</v>
      </c>
      <c r="F34" s="140">
        <f>+'RESUMEN FINANCIERO'!$J$66</f>
        <v>35</v>
      </c>
    </row>
    <row r="35" spans="2:6" x14ac:dyDescent="0.2">
      <c r="B35" s="124" t="str">
        <f>+'RESUMEN FINANCIERO'!$J$65</f>
        <v>ESTACIONES REDUCTORAS DE PRESIÓN</v>
      </c>
      <c r="C35" s="88">
        <v>32</v>
      </c>
      <c r="D35" s="132">
        <f>+'RESUMEN FINANCIERO'!$P$76</f>
        <v>9</v>
      </c>
      <c r="E35" s="139">
        <f>+'RESUMEN FINANCIERO'!J76</f>
        <v>0</v>
      </c>
      <c r="F35" s="140">
        <f>+'RESUMEN FINANCIERO'!$J$66</f>
        <v>35</v>
      </c>
    </row>
    <row r="36" spans="2:6" ht="13.5" thickBot="1" x14ac:dyDescent="0.25">
      <c r="B36" s="125" t="str">
        <f>+'RESUMEN FINANCIERO'!$J$65</f>
        <v>ESTACIONES REDUCTORAS DE PRESIÓN</v>
      </c>
      <c r="C36" s="120">
        <v>33</v>
      </c>
      <c r="D36" s="141">
        <f>+'RESUMEN FINANCIERO'!$P$77</f>
        <v>10</v>
      </c>
      <c r="E36" s="142">
        <f>+'RESUMEN FINANCIERO'!J77</f>
        <v>0</v>
      </c>
      <c r="F36" s="143">
        <f>+'RESUMEN FINANCIERO'!$J$66</f>
        <v>35</v>
      </c>
    </row>
    <row r="37" spans="2:6" x14ac:dyDescent="0.2">
      <c r="B37" s="121" t="str">
        <f>+'RESUMEN FINANCIERO'!$K$65</f>
        <v>REHABILITACIÓN TANQUES</v>
      </c>
      <c r="C37" s="118">
        <v>34</v>
      </c>
      <c r="D37" s="129">
        <f>+'RESUMEN FINANCIERO'!$P$67</f>
        <v>0</v>
      </c>
      <c r="E37" s="130">
        <f>+'RESUMEN FINANCIERO'!K67</f>
        <v>0</v>
      </c>
      <c r="F37" s="131">
        <f>+'RESUMEN FINANCIERO'!$K$66</f>
        <v>45</v>
      </c>
    </row>
    <row r="38" spans="2:6" x14ac:dyDescent="0.2">
      <c r="B38" s="122" t="str">
        <f>+'RESUMEN FINANCIERO'!$K$65</f>
        <v>REHABILITACIÓN TANQUES</v>
      </c>
      <c r="C38" s="88">
        <v>35</v>
      </c>
      <c r="D38" s="132">
        <f>+'RESUMEN FINANCIERO'!$P$68</f>
        <v>1</v>
      </c>
      <c r="E38" s="92">
        <f>+'RESUMEN FINANCIERO'!K68</f>
        <v>3694767.6620469596</v>
      </c>
      <c r="F38" s="133">
        <f>+'RESUMEN FINANCIERO'!$K$66</f>
        <v>45</v>
      </c>
    </row>
    <row r="39" spans="2:6" x14ac:dyDescent="0.2">
      <c r="B39" s="122" t="str">
        <f>+'RESUMEN FINANCIERO'!$K$65</f>
        <v>REHABILITACIÓN TANQUES</v>
      </c>
      <c r="C39" s="88">
        <v>36</v>
      </c>
      <c r="D39" s="132">
        <f>+'RESUMEN FINANCIERO'!$P$69</f>
        <v>2</v>
      </c>
      <c r="E39" s="92">
        <f>+'RESUMEN FINANCIERO'!K69</f>
        <v>23580680.525948294</v>
      </c>
      <c r="F39" s="133">
        <f>+'RESUMEN FINANCIERO'!$K$66</f>
        <v>45</v>
      </c>
    </row>
    <row r="40" spans="2:6" x14ac:dyDescent="0.2">
      <c r="B40" s="122" t="str">
        <f>+'RESUMEN FINANCIERO'!$K$65</f>
        <v>REHABILITACIÓN TANQUES</v>
      </c>
      <c r="C40" s="88">
        <v>37</v>
      </c>
      <c r="D40" s="132">
        <f>+'RESUMEN FINANCIERO'!$P$70</f>
        <v>3</v>
      </c>
      <c r="E40" s="92">
        <f>+'RESUMEN FINANCIERO'!K70</f>
        <v>20159531.161544681</v>
      </c>
      <c r="F40" s="133">
        <f>+'RESUMEN FINANCIERO'!$K$66</f>
        <v>45</v>
      </c>
    </row>
    <row r="41" spans="2:6" x14ac:dyDescent="0.2">
      <c r="B41" s="122" t="str">
        <f>+'RESUMEN FINANCIERO'!$K$65</f>
        <v>REHABILITACIÓN TANQUES</v>
      </c>
      <c r="C41" s="88">
        <v>38</v>
      </c>
      <c r="D41" s="132">
        <f>+'RESUMEN FINANCIERO'!$P$71</f>
        <v>4</v>
      </c>
      <c r="E41" s="92">
        <f>+'RESUMEN FINANCIERO'!K71</f>
        <v>23740256.842132706</v>
      </c>
      <c r="F41" s="133">
        <f>+'RESUMEN FINANCIERO'!$K$66</f>
        <v>45</v>
      </c>
    </row>
    <row r="42" spans="2:6" x14ac:dyDescent="0.2">
      <c r="B42" s="122" t="str">
        <f>+'RESUMEN FINANCIERO'!$K$65</f>
        <v>REHABILITACIÓN TANQUES</v>
      </c>
      <c r="C42" s="88">
        <v>39</v>
      </c>
      <c r="D42" s="132">
        <f>+'RESUMEN FINANCIERO'!$P$72</f>
        <v>5</v>
      </c>
      <c r="E42" s="92">
        <f>+'RESUMEN FINANCIERO'!K72</f>
        <v>6055019.8655763008</v>
      </c>
      <c r="F42" s="133">
        <f>+'RESUMEN FINANCIERO'!$K$66</f>
        <v>45</v>
      </c>
    </row>
    <row r="43" spans="2:6" x14ac:dyDescent="0.2">
      <c r="B43" s="122" t="str">
        <f>+'RESUMEN FINANCIERO'!$K$65</f>
        <v>REHABILITACIÓN TANQUES</v>
      </c>
      <c r="C43" s="88">
        <v>40</v>
      </c>
      <c r="D43" s="132">
        <f>+'RESUMEN FINANCIERO'!$P$73</f>
        <v>6</v>
      </c>
      <c r="E43" s="92">
        <f>+'RESUMEN FINANCIERO'!K73</f>
        <v>8363307.6816903232</v>
      </c>
      <c r="F43" s="133">
        <f>+'RESUMEN FINANCIERO'!$K$66</f>
        <v>45</v>
      </c>
    </row>
    <row r="44" spans="2:6" x14ac:dyDescent="0.2">
      <c r="B44" s="122" t="str">
        <f>+'RESUMEN FINANCIERO'!$K$65</f>
        <v>REHABILITACIÓN TANQUES</v>
      </c>
      <c r="C44" s="88">
        <v>41</v>
      </c>
      <c r="D44" s="132">
        <f>+'RESUMEN FINANCIERO'!$P$74</f>
        <v>7</v>
      </c>
      <c r="E44" s="92">
        <f>+'RESUMEN FINANCIERO'!K74</f>
        <v>5080305.5353145692</v>
      </c>
      <c r="F44" s="133">
        <f>+'RESUMEN FINANCIERO'!$K$66</f>
        <v>45</v>
      </c>
    </row>
    <row r="45" spans="2:6" x14ac:dyDescent="0.2">
      <c r="B45" s="122" t="str">
        <f>+'RESUMEN FINANCIERO'!$K$65</f>
        <v>REHABILITACIÓN TANQUES</v>
      </c>
      <c r="C45" s="88">
        <v>42</v>
      </c>
      <c r="D45" s="132">
        <f>+'RESUMEN FINANCIERO'!$P$75</f>
        <v>8</v>
      </c>
      <c r="E45" s="92">
        <f>+'RESUMEN FINANCIERO'!K75</f>
        <v>5080305.5353145692</v>
      </c>
      <c r="F45" s="133">
        <f>+'RESUMEN FINANCIERO'!$K$66</f>
        <v>45</v>
      </c>
    </row>
    <row r="46" spans="2:6" x14ac:dyDescent="0.2">
      <c r="B46" s="122" t="str">
        <f>+'RESUMEN FINANCIERO'!$K$65</f>
        <v>REHABILITACIÓN TANQUES</v>
      </c>
      <c r="C46" s="88">
        <v>43</v>
      </c>
      <c r="D46" s="132">
        <f>+'RESUMEN FINANCIERO'!$P$76</f>
        <v>9</v>
      </c>
      <c r="E46" s="92">
        <f>+'RESUMEN FINANCIERO'!K76</f>
        <v>5080305.5353145692</v>
      </c>
      <c r="F46" s="133">
        <f>+'RESUMEN FINANCIERO'!$K$66</f>
        <v>45</v>
      </c>
    </row>
    <row r="47" spans="2:6" ht="13.5" thickBot="1" x14ac:dyDescent="0.25">
      <c r="B47" s="123" t="str">
        <f>+'RESUMEN FINANCIERO'!$K$65</f>
        <v>REHABILITACIÓN TANQUES</v>
      </c>
      <c r="C47" s="119">
        <v>44</v>
      </c>
      <c r="D47" s="134">
        <f>+'RESUMEN FINANCIERO'!$P$77</f>
        <v>10</v>
      </c>
      <c r="E47" s="135">
        <f>+'RESUMEN FINANCIERO'!K77</f>
        <v>5080305.5353145692</v>
      </c>
      <c r="F47" s="136">
        <f>+'RESUMEN FINANCIERO'!$K$66</f>
        <v>45</v>
      </c>
    </row>
    <row r="48" spans="2:6" x14ac:dyDescent="0.2">
      <c r="B48" s="124" t="str">
        <f>+'RESUMEN FINANCIERO'!$L$65</f>
        <v>NO SE REQUIERE</v>
      </c>
      <c r="C48" s="117">
        <v>45</v>
      </c>
      <c r="D48" s="144">
        <f>+'RESUMEN FINANCIERO'!$P$67</f>
        <v>0</v>
      </c>
      <c r="E48" s="139">
        <f>+'RESUMEN FINANCIERO'!L67</f>
        <v>0</v>
      </c>
      <c r="F48" s="140">
        <v>1</v>
      </c>
    </row>
    <row r="49" spans="2:6" x14ac:dyDescent="0.2">
      <c r="B49" s="124" t="str">
        <f>+'RESUMEN FINANCIERO'!$L$65</f>
        <v>NO SE REQUIERE</v>
      </c>
      <c r="C49" s="88">
        <v>46</v>
      </c>
      <c r="D49" s="132">
        <f>+'RESUMEN FINANCIERO'!$P$68</f>
        <v>1</v>
      </c>
      <c r="E49" s="139">
        <f>+'RESUMEN FINANCIERO'!L68</f>
        <v>182564111.13095859</v>
      </c>
      <c r="F49" s="140">
        <v>1</v>
      </c>
    </row>
    <row r="50" spans="2:6" x14ac:dyDescent="0.2">
      <c r="B50" s="124" t="str">
        <f>+'RESUMEN FINANCIERO'!$L$65</f>
        <v>NO SE REQUIERE</v>
      </c>
      <c r="C50" s="88">
        <v>47</v>
      </c>
      <c r="D50" s="132">
        <f>+'RESUMEN FINANCIERO'!$P$69</f>
        <v>2</v>
      </c>
      <c r="E50" s="139">
        <f>+'RESUMEN FINANCIERO'!L69</f>
        <v>182564111.13095859</v>
      </c>
      <c r="F50" s="140">
        <v>1</v>
      </c>
    </row>
    <row r="51" spans="2:6" x14ac:dyDescent="0.2">
      <c r="B51" s="124" t="str">
        <f>+'RESUMEN FINANCIERO'!$L$65</f>
        <v>NO SE REQUIERE</v>
      </c>
      <c r="C51" s="88">
        <v>48</v>
      </c>
      <c r="D51" s="132">
        <f>+'RESUMEN FINANCIERO'!$P$70</f>
        <v>3</v>
      </c>
      <c r="E51" s="139">
        <f>+'RESUMEN FINANCIERO'!L70</f>
        <v>182564111.13095859</v>
      </c>
      <c r="F51" s="140">
        <v>1</v>
      </c>
    </row>
    <row r="52" spans="2:6" x14ac:dyDescent="0.2">
      <c r="B52" s="124" t="str">
        <f>+'RESUMEN FINANCIERO'!$L$65</f>
        <v>NO SE REQUIERE</v>
      </c>
      <c r="C52" s="88">
        <v>49</v>
      </c>
      <c r="D52" s="132">
        <f>+'RESUMEN FINANCIERO'!$P$71</f>
        <v>4</v>
      </c>
      <c r="E52" s="139">
        <f>+'RESUMEN FINANCIERO'!L71</f>
        <v>182564111.13095859</v>
      </c>
      <c r="F52" s="140">
        <v>1</v>
      </c>
    </row>
    <row r="53" spans="2:6" x14ac:dyDescent="0.2">
      <c r="B53" s="124" t="str">
        <f>+'RESUMEN FINANCIERO'!$L$65</f>
        <v>NO SE REQUIERE</v>
      </c>
      <c r="C53" s="88">
        <v>50</v>
      </c>
      <c r="D53" s="132">
        <f>+'RESUMEN FINANCIERO'!$P$72</f>
        <v>5</v>
      </c>
      <c r="E53" s="139">
        <f>+'RESUMEN FINANCIERO'!L72</f>
        <v>182564111.13095859</v>
      </c>
      <c r="F53" s="140">
        <v>1</v>
      </c>
    </row>
    <row r="54" spans="2:6" x14ac:dyDescent="0.2">
      <c r="B54" s="124" t="str">
        <f>+'RESUMEN FINANCIERO'!$L$65</f>
        <v>NO SE REQUIERE</v>
      </c>
      <c r="C54" s="88">
        <v>51</v>
      </c>
      <c r="D54" s="132">
        <f>+'RESUMEN FINANCIERO'!$P$73</f>
        <v>6</v>
      </c>
      <c r="E54" s="139">
        <f>+'RESUMEN FINANCIERO'!L73</f>
        <v>0</v>
      </c>
      <c r="F54" s="140">
        <v>1</v>
      </c>
    </row>
    <row r="55" spans="2:6" x14ac:dyDescent="0.2">
      <c r="B55" s="124" t="str">
        <f>+'RESUMEN FINANCIERO'!$L$65</f>
        <v>NO SE REQUIERE</v>
      </c>
      <c r="C55" s="88">
        <v>52</v>
      </c>
      <c r="D55" s="132">
        <f>+'RESUMEN FINANCIERO'!$P$74</f>
        <v>7</v>
      </c>
      <c r="E55" s="139">
        <f>+'RESUMEN FINANCIERO'!L74</f>
        <v>0</v>
      </c>
      <c r="F55" s="140">
        <v>1</v>
      </c>
    </row>
    <row r="56" spans="2:6" x14ac:dyDescent="0.2">
      <c r="B56" s="124" t="str">
        <f>+'RESUMEN FINANCIERO'!$L$65</f>
        <v>NO SE REQUIERE</v>
      </c>
      <c r="C56" s="88">
        <v>53</v>
      </c>
      <c r="D56" s="132">
        <f>+'RESUMEN FINANCIERO'!$P$75</f>
        <v>8</v>
      </c>
      <c r="E56" s="139">
        <f>+'RESUMEN FINANCIERO'!L75</f>
        <v>0</v>
      </c>
      <c r="F56" s="140">
        <v>1</v>
      </c>
    </row>
    <row r="57" spans="2:6" x14ac:dyDescent="0.2">
      <c r="B57" s="124" t="str">
        <f>+'RESUMEN FINANCIERO'!$L$65</f>
        <v>NO SE REQUIERE</v>
      </c>
      <c r="C57" s="88">
        <v>54</v>
      </c>
      <c r="D57" s="132">
        <f>+'RESUMEN FINANCIERO'!$P$76</f>
        <v>9</v>
      </c>
      <c r="E57" s="139">
        <f>+'RESUMEN FINANCIERO'!L76</f>
        <v>0</v>
      </c>
      <c r="F57" s="140">
        <v>1</v>
      </c>
    </row>
    <row r="58" spans="2:6" ht="13.5" thickBot="1" x14ac:dyDescent="0.25">
      <c r="B58" s="125" t="str">
        <f>+'RESUMEN FINANCIERO'!$L$65</f>
        <v>NO SE REQUIERE</v>
      </c>
      <c r="C58" s="120">
        <v>55</v>
      </c>
      <c r="D58" s="141">
        <f>+'RESUMEN FINANCIERO'!$P$77</f>
        <v>10</v>
      </c>
      <c r="E58" s="142">
        <f>+'RESUMEN FINANCIERO'!L77</f>
        <v>0</v>
      </c>
      <c r="F58" s="143">
        <v>1</v>
      </c>
    </row>
    <row r="59" spans="2:6" x14ac:dyDescent="0.2">
      <c r="B59" s="121" t="str">
        <f>+'RESUMEN FINANCIERO'!$M$65</f>
        <v>REHABILITACIÓN REDES</v>
      </c>
      <c r="C59" s="118">
        <v>56</v>
      </c>
      <c r="D59" s="129">
        <f>+'RESUMEN FINANCIERO'!$P$67</f>
        <v>0</v>
      </c>
      <c r="E59" s="130">
        <f>+'RESUMEN FINANCIERO'!M67</f>
        <v>0</v>
      </c>
      <c r="F59" s="131">
        <f>+'RESUMEN FINANCIERO'!$M$66</f>
        <v>45</v>
      </c>
    </row>
    <row r="60" spans="2:6" x14ac:dyDescent="0.2">
      <c r="B60" s="122" t="str">
        <f>+'RESUMEN FINANCIERO'!$M$65</f>
        <v>REHABILITACIÓN REDES</v>
      </c>
      <c r="C60" s="88">
        <v>57</v>
      </c>
      <c r="D60" s="132">
        <f>+'RESUMEN FINANCIERO'!$P$68</f>
        <v>1</v>
      </c>
      <c r="E60" s="92">
        <f>+'RESUMEN FINANCIERO'!M68</f>
        <v>0</v>
      </c>
      <c r="F60" s="133">
        <f>+'RESUMEN FINANCIERO'!$M$66</f>
        <v>45</v>
      </c>
    </row>
    <row r="61" spans="2:6" x14ac:dyDescent="0.2">
      <c r="B61" s="122" t="str">
        <f>+'RESUMEN FINANCIERO'!$M$65</f>
        <v>REHABILITACIÓN REDES</v>
      </c>
      <c r="C61" s="88">
        <v>58</v>
      </c>
      <c r="D61" s="132">
        <f>+'RESUMEN FINANCIERO'!$P$69</f>
        <v>2</v>
      </c>
      <c r="E61" s="92">
        <f>+'RESUMEN FINANCIERO'!M69</f>
        <v>611554989.46373248</v>
      </c>
      <c r="F61" s="133">
        <f>+'RESUMEN FINANCIERO'!$M$66</f>
        <v>45</v>
      </c>
    </row>
    <row r="62" spans="2:6" x14ac:dyDescent="0.2">
      <c r="B62" s="122" t="str">
        <f>+'RESUMEN FINANCIERO'!$M$65</f>
        <v>REHABILITACIÓN REDES</v>
      </c>
      <c r="C62" s="88">
        <v>59</v>
      </c>
      <c r="D62" s="132">
        <f>+'RESUMEN FINANCIERO'!$P$70</f>
        <v>3</v>
      </c>
      <c r="E62" s="92">
        <f>+'RESUMEN FINANCIERO'!M70</f>
        <v>257258799.37705919</v>
      </c>
      <c r="F62" s="133">
        <f>+'RESUMEN FINANCIERO'!$M$66</f>
        <v>45</v>
      </c>
    </row>
    <row r="63" spans="2:6" x14ac:dyDescent="0.2">
      <c r="B63" s="122" t="str">
        <f>+'RESUMEN FINANCIERO'!$M$65</f>
        <v>REHABILITACIÓN REDES</v>
      </c>
      <c r="C63" s="88">
        <v>60</v>
      </c>
      <c r="D63" s="132">
        <f>+'RESUMEN FINANCIERO'!$P$71</f>
        <v>4</v>
      </c>
      <c r="E63" s="92">
        <f>+'RESUMEN FINANCIERO'!M71</f>
        <v>426601786.47694588</v>
      </c>
      <c r="F63" s="133">
        <f>+'RESUMEN FINANCIERO'!$M$66</f>
        <v>45</v>
      </c>
    </row>
    <row r="64" spans="2:6" x14ac:dyDescent="0.2">
      <c r="B64" s="122" t="str">
        <f>+'RESUMEN FINANCIERO'!$M$65</f>
        <v>REHABILITACIÓN REDES</v>
      </c>
      <c r="C64" s="88">
        <v>61</v>
      </c>
      <c r="D64" s="132">
        <f>+'RESUMEN FINANCIERO'!$P$72</f>
        <v>5</v>
      </c>
      <c r="E64" s="92">
        <f>+'RESUMEN FINANCIERO'!M72</f>
        <v>358819367.65486312</v>
      </c>
      <c r="F64" s="133">
        <f>+'RESUMEN FINANCIERO'!$M$66</f>
        <v>45</v>
      </c>
    </row>
    <row r="65" spans="2:6" x14ac:dyDescent="0.2">
      <c r="B65" s="122" t="str">
        <f>+'RESUMEN FINANCIERO'!$M$65</f>
        <v>REHABILITACIÓN REDES</v>
      </c>
      <c r="C65" s="88">
        <v>62</v>
      </c>
      <c r="D65" s="132">
        <f>+'RESUMEN FINANCIERO'!$P$73</f>
        <v>6</v>
      </c>
      <c r="E65" s="92">
        <f>+'RESUMEN FINANCIERO'!M73</f>
        <v>1076231401.3037224</v>
      </c>
      <c r="F65" s="133">
        <f>+'RESUMEN FINANCIERO'!$M$66</f>
        <v>45</v>
      </c>
    </row>
    <row r="66" spans="2:6" x14ac:dyDescent="0.2">
      <c r="B66" s="122" t="str">
        <f>+'RESUMEN FINANCIERO'!$M$65</f>
        <v>REHABILITACIÓN REDES</v>
      </c>
      <c r="C66" s="88">
        <v>63</v>
      </c>
      <c r="D66" s="132">
        <f>+'RESUMEN FINANCIERO'!$P$74</f>
        <v>7</v>
      </c>
      <c r="E66" s="92">
        <f>+'RESUMEN FINANCIERO'!M74</f>
        <v>658254709.55816746</v>
      </c>
      <c r="F66" s="133">
        <f>+'RESUMEN FINANCIERO'!$M$66</f>
        <v>45</v>
      </c>
    </row>
    <row r="67" spans="2:6" x14ac:dyDescent="0.2">
      <c r="B67" s="122" t="str">
        <f>+'RESUMEN FINANCIERO'!$M$65</f>
        <v>REHABILITACIÓN REDES</v>
      </c>
      <c r="C67" s="88">
        <v>64</v>
      </c>
      <c r="D67" s="132">
        <f>+'RESUMEN FINANCIERO'!$P$75</f>
        <v>8</v>
      </c>
      <c r="E67" s="92">
        <f>+'RESUMEN FINANCIERO'!M75</f>
        <v>1170325251.0100634</v>
      </c>
      <c r="F67" s="133">
        <f>+'RESUMEN FINANCIERO'!$M$66</f>
        <v>45</v>
      </c>
    </row>
    <row r="68" spans="2:6" x14ac:dyDescent="0.2">
      <c r="B68" s="122" t="str">
        <f>+'RESUMEN FINANCIERO'!$M$65</f>
        <v>REHABILITACIÓN REDES</v>
      </c>
      <c r="C68" s="88">
        <v>65</v>
      </c>
      <c r="D68" s="132">
        <f>+'RESUMEN FINANCIERO'!$P$76</f>
        <v>9</v>
      </c>
      <c r="E68" s="92">
        <f>+'RESUMEN FINANCIERO'!M76</f>
        <v>708464993.44522178</v>
      </c>
      <c r="F68" s="133">
        <f>+'RESUMEN FINANCIERO'!$M$66</f>
        <v>45</v>
      </c>
    </row>
    <row r="69" spans="2:6" ht="13.5" thickBot="1" x14ac:dyDescent="0.25">
      <c r="B69" s="123" t="str">
        <f>+'RESUMEN FINANCIERO'!$M$65</f>
        <v>REHABILITACIÓN REDES</v>
      </c>
      <c r="C69" s="119">
        <v>66</v>
      </c>
      <c r="D69" s="134">
        <f>+'RESUMEN FINANCIERO'!$P$77</f>
        <v>10</v>
      </c>
      <c r="E69" s="135">
        <f>+'RESUMEN FINANCIERO'!M77</f>
        <v>660336978.95129299</v>
      </c>
      <c r="F69" s="136">
        <f>+'RESUMEN FINANCIERO'!$M$66</f>
        <v>45</v>
      </c>
    </row>
    <row r="70" spans="2:6" x14ac:dyDescent="0.2">
      <c r="B70" s="121" t="str">
        <f>+'RESUMEN FINANCIERO'!$N$65</f>
        <v>REDES</v>
      </c>
      <c r="C70" s="118">
        <v>67</v>
      </c>
      <c r="D70" s="129">
        <f>+'RESUMEN FINANCIERO'!$P$67</f>
        <v>0</v>
      </c>
      <c r="E70" s="130">
        <f>+'RESUMEN FINANCIERO'!N67</f>
        <v>0</v>
      </c>
      <c r="F70" s="131">
        <f>+'RESUMEN FINANCIERO'!$N$66</f>
        <v>45</v>
      </c>
    </row>
    <row r="71" spans="2:6" x14ac:dyDescent="0.2">
      <c r="B71" s="124" t="str">
        <f>+'RESUMEN FINANCIERO'!$N$65</f>
        <v>REDES</v>
      </c>
      <c r="C71" s="88">
        <v>68</v>
      </c>
      <c r="D71" s="132">
        <f>+'RESUMEN FINANCIERO'!$P$68</f>
        <v>1</v>
      </c>
      <c r="E71" s="139">
        <f>+'RESUMEN FINANCIERO'!N68</f>
        <v>0</v>
      </c>
      <c r="F71" s="140">
        <f>+'RESUMEN FINANCIERO'!$N$66</f>
        <v>45</v>
      </c>
    </row>
    <row r="72" spans="2:6" x14ac:dyDescent="0.2">
      <c r="B72" s="124" t="str">
        <f>+'RESUMEN FINANCIERO'!$N$65</f>
        <v>REDES</v>
      </c>
      <c r="C72" s="88">
        <v>69</v>
      </c>
      <c r="D72" s="132">
        <f>+'RESUMEN FINANCIERO'!$P$69</f>
        <v>2</v>
      </c>
      <c r="E72" s="139">
        <f>+'RESUMEN FINANCIERO'!N69</f>
        <v>3410222003.4983039</v>
      </c>
      <c r="F72" s="140">
        <f>+'RESUMEN FINANCIERO'!$N$66</f>
        <v>45</v>
      </c>
    </row>
    <row r="73" spans="2:6" x14ac:dyDescent="0.2">
      <c r="B73" s="124" t="str">
        <f>+'RESUMEN FINANCIERO'!$N$65</f>
        <v>REDES</v>
      </c>
      <c r="C73" s="88">
        <v>70</v>
      </c>
      <c r="D73" s="132">
        <f>+'RESUMEN FINANCIERO'!$P$70</f>
        <v>3</v>
      </c>
      <c r="E73" s="139">
        <f>+'RESUMEN FINANCIERO'!N70</f>
        <v>2708748274.8491516</v>
      </c>
      <c r="F73" s="140">
        <f>+'RESUMEN FINANCIERO'!$N$66</f>
        <v>45</v>
      </c>
    </row>
    <row r="74" spans="2:6" x14ac:dyDescent="0.2">
      <c r="B74" s="124" t="str">
        <f>+'RESUMEN FINANCIERO'!$N$65</f>
        <v>REDES</v>
      </c>
      <c r="C74" s="88">
        <v>71</v>
      </c>
      <c r="D74" s="132">
        <f>+'RESUMEN FINANCIERO'!$P$71</f>
        <v>4</v>
      </c>
      <c r="E74" s="139">
        <f>+'RESUMEN FINANCIERO'!N71</f>
        <v>3788421935.8387451</v>
      </c>
      <c r="F74" s="140">
        <f>+'RESUMEN FINANCIERO'!$N$66</f>
        <v>45</v>
      </c>
    </row>
    <row r="75" spans="2:6" x14ac:dyDescent="0.2">
      <c r="B75" s="124" t="str">
        <f>+'RESUMEN FINANCIERO'!$N$65</f>
        <v>REDES</v>
      </c>
      <c r="C75" s="88">
        <v>72</v>
      </c>
      <c r="D75" s="132">
        <f>+'RESUMEN FINANCIERO'!$P$72</f>
        <v>5</v>
      </c>
      <c r="E75" s="139">
        <f>+'RESUMEN FINANCIERO'!N72</f>
        <v>3229587745.4368062</v>
      </c>
      <c r="F75" s="140">
        <f>+'RESUMEN FINANCIERO'!$N$66</f>
        <v>45</v>
      </c>
    </row>
    <row r="76" spans="2:6" x14ac:dyDescent="0.2">
      <c r="B76" s="124" t="str">
        <f>+'RESUMEN FINANCIERO'!$N$65</f>
        <v>REDES</v>
      </c>
      <c r="C76" s="88">
        <v>73</v>
      </c>
      <c r="D76" s="132">
        <f>+'RESUMEN FINANCIERO'!$P$73</f>
        <v>6</v>
      </c>
      <c r="E76" s="139">
        <f>+'RESUMEN FINANCIERO'!N73</f>
        <v>3975561272.1375804</v>
      </c>
      <c r="F76" s="140">
        <f>+'RESUMEN FINANCIERO'!$N$66</f>
        <v>45</v>
      </c>
    </row>
    <row r="77" spans="2:6" x14ac:dyDescent="0.2">
      <c r="B77" s="124" t="str">
        <f>+'RESUMEN FINANCIERO'!$N$65</f>
        <v>REDES</v>
      </c>
      <c r="C77" s="88">
        <v>74</v>
      </c>
      <c r="D77" s="132">
        <f>+'RESUMEN FINANCIERO'!$P$74</f>
        <v>7</v>
      </c>
      <c r="E77" s="139">
        <f>+'RESUMEN FINANCIERO'!N74</f>
        <v>0</v>
      </c>
      <c r="F77" s="140">
        <f>+'RESUMEN FINANCIERO'!$N$66</f>
        <v>45</v>
      </c>
    </row>
    <row r="78" spans="2:6" x14ac:dyDescent="0.2">
      <c r="B78" s="124" t="str">
        <f>+'RESUMEN FINANCIERO'!$N$65</f>
        <v>REDES</v>
      </c>
      <c r="C78" s="88">
        <v>75</v>
      </c>
      <c r="D78" s="132">
        <f>+'RESUMEN FINANCIERO'!$P$75</f>
        <v>8</v>
      </c>
      <c r="E78" s="139">
        <f>+'RESUMEN FINANCIERO'!N75</f>
        <v>0</v>
      </c>
      <c r="F78" s="140">
        <f>+'RESUMEN FINANCIERO'!$N$66</f>
        <v>45</v>
      </c>
    </row>
    <row r="79" spans="2:6" x14ac:dyDescent="0.2">
      <c r="B79" s="124" t="str">
        <f>+'RESUMEN FINANCIERO'!$N$65</f>
        <v>REDES</v>
      </c>
      <c r="C79" s="88">
        <v>76</v>
      </c>
      <c r="D79" s="132">
        <f>+'RESUMEN FINANCIERO'!$P$76</f>
        <v>9</v>
      </c>
      <c r="E79" s="139">
        <f>+'RESUMEN FINANCIERO'!N76</f>
        <v>0</v>
      </c>
      <c r="F79" s="140">
        <f>+'RESUMEN FINANCIERO'!$N$66</f>
        <v>45</v>
      </c>
    </row>
    <row r="80" spans="2:6" ht="13.5" thickBot="1" x14ac:dyDescent="0.25">
      <c r="B80" s="126" t="str">
        <f>+'RESUMEN FINANCIERO'!$N$65</f>
        <v>REDES</v>
      </c>
      <c r="C80" s="119">
        <v>77</v>
      </c>
      <c r="D80" s="134">
        <f>+'RESUMEN FINANCIERO'!$P$77</f>
        <v>10</v>
      </c>
      <c r="E80" s="145">
        <f>+'RESUMEN FINANCIERO'!N77</f>
        <v>0</v>
      </c>
      <c r="F80" s="146">
        <f>+'RESUMEN FINANCIERO'!$N$66</f>
        <v>45</v>
      </c>
    </row>
    <row r="81" spans="2:6" x14ac:dyDescent="0.2">
      <c r="B81" s="121" t="str">
        <f>+'RESUMEN FINANCIERO'!$O$65</f>
        <v>REDES</v>
      </c>
      <c r="C81" s="118">
        <v>78</v>
      </c>
      <c r="D81" s="129">
        <f>+'RESUMEN FINANCIERO'!$P$67</f>
        <v>0</v>
      </c>
      <c r="E81" s="130">
        <f>+'RESUMEN FINANCIERO'!O67</f>
        <v>0</v>
      </c>
      <c r="F81" s="131">
        <f>+'RESUMEN FINANCIERO'!$O$66</f>
        <v>45</v>
      </c>
    </row>
    <row r="82" spans="2:6" x14ac:dyDescent="0.2">
      <c r="B82" s="124" t="str">
        <f>+'RESUMEN FINANCIERO'!$O$65</f>
        <v>REDES</v>
      </c>
      <c r="C82" s="88">
        <v>79</v>
      </c>
      <c r="D82" s="132">
        <f>+'RESUMEN FINANCIERO'!$P$68</f>
        <v>1</v>
      </c>
      <c r="E82" s="139">
        <f>+'RESUMEN FINANCIERO'!O68</f>
        <v>0</v>
      </c>
      <c r="F82" s="140">
        <f>+'RESUMEN FINANCIERO'!$O$66</f>
        <v>45</v>
      </c>
    </row>
    <row r="83" spans="2:6" x14ac:dyDescent="0.2">
      <c r="B83" s="124" t="str">
        <f>+'RESUMEN FINANCIERO'!$O$65</f>
        <v>REDES</v>
      </c>
      <c r="C83" s="88">
        <v>80</v>
      </c>
      <c r="D83" s="132">
        <f>+'RESUMEN FINANCIERO'!$P$69</f>
        <v>2</v>
      </c>
      <c r="E83" s="139">
        <f>+'RESUMEN FINANCIERO'!O69</f>
        <v>0</v>
      </c>
      <c r="F83" s="140">
        <f>+'RESUMEN FINANCIERO'!$O$66</f>
        <v>45</v>
      </c>
    </row>
    <row r="84" spans="2:6" x14ac:dyDescent="0.2">
      <c r="B84" s="124" t="str">
        <f>+'RESUMEN FINANCIERO'!$O$65</f>
        <v>REDES</v>
      </c>
      <c r="C84" s="88">
        <v>81</v>
      </c>
      <c r="D84" s="132">
        <f>+'RESUMEN FINANCIERO'!$P$70</f>
        <v>3</v>
      </c>
      <c r="E84" s="139">
        <f>+'RESUMEN FINANCIERO'!O70</f>
        <v>0</v>
      </c>
      <c r="F84" s="140">
        <f>+'RESUMEN FINANCIERO'!$O$66</f>
        <v>45</v>
      </c>
    </row>
    <row r="85" spans="2:6" x14ac:dyDescent="0.2">
      <c r="B85" s="124" t="str">
        <f>+'RESUMEN FINANCIERO'!$O$65</f>
        <v>REDES</v>
      </c>
      <c r="C85" s="88">
        <v>82</v>
      </c>
      <c r="D85" s="132">
        <f>+'RESUMEN FINANCIERO'!$P$71</f>
        <v>4</v>
      </c>
      <c r="E85" s="139">
        <f>+'RESUMEN FINANCIERO'!O71</f>
        <v>0</v>
      </c>
      <c r="F85" s="140">
        <f>+'RESUMEN FINANCIERO'!$O$66</f>
        <v>45</v>
      </c>
    </row>
    <row r="86" spans="2:6" x14ac:dyDescent="0.2">
      <c r="B86" s="124" t="str">
        <f>+'RESUMEN FINANCIERO'!$O$65</f>
        <v>REDES</v>
      </c>
      <c r="C86" s="88">
        <v>83</v>
      </c>
      <c r="D86" s="132">
        <f>+'RESUMEN FINANCIERO'!$P$72</f>
        <v>5</v>
      </c>
      <c r="E86" s="139">
        <f>+'RESUMEN FINANCIERO'!O72</f>
        <v>0</v>
      </c>
      <c r="F86" s="140">
        <f>+'RESUMEN FINANCIERO'!$O$66</f>
        <v>45</v>
      </c>
    </row>
    <row r="87" spans="2:6" x14ac:dyDescent="0.2">
      <c r="B87" s="124" t="str">
        <f>+'RESUMEN FINANCIERO'!$O$65</f>
        <v>REDES</v>
      </c>
      <c r="C87" s="88">
        <v>84</v>
      </c>
      <c r="D87" s="132">
        <f>+'RESUMEN FINANCIERO'!$P$73</f>
        <v>6</v>
      </c>
      <c r="E87" s="139">
        <f>+'RESUMEN FINANCIERO'!O73</f>
        <v>0</v>
      </c>
      <c r="F87" s="140">
        <f>+'RESUMEN FINANCIERO'!$O$66</f>
        <v>45</v>
      </c>
    </row>
    <row r="88" spans="2:6" x14ac:dyDescent="0.2">
      <c r="B88" s="124" t="str">
        <f>+'RESUMEN FINANCIERO'!$O$65</f>
        <v>REDES</v>
      </c>
      <c r="C88" s="88">
        <v>85</v>
      </c>
      <c r="D88" s="132">
        <f>+'RESUMEN FINANCIERO'!$P$74</f>
        <v>7</v>
      </c>
      <c r="E88" s="139">
        <f>+'RESUMEN FINANCIERO'!O74</f>
        <v>0</v>
      </c>
      <c r="F88" s="140">
        <f>+'RESUMEN FINANCIERO'!$O$66</f>
        <v>45</v>
      </c>
    </row>
    <row r="89" spans="2:6" x14ac:dyDescent="0.2">
      <c r="B89" s="124" t="str">
        <f>+'RESUMEN FINANCIERO'!$O$65</f>
        <v>REDES</v>
      </c>
      <c r="C89" s="88">
        <v>86</v>
      </c>
      <c r="D89" s="132">
        <f>+'RESUMEN FINANCIERO'!$P$75</f>
        <v>8</v>
      </c>
      <c r="E89" s="139">
        <f>+'RESUMEN FINANCIERO'!O75</f>
        <v>0</v>
      </c>
      <c r="F89" s="140">
        <f>+'RESUMEN FINANCIERO'!$O$66</f>
        <v>45</v>
      </c>
    </row>
    <row r="90" spans="2:6" x14ac:dyDescent="0.2">
      <c r="B90" s="124" t="str">
        <f>+'RESUMEN FINANCIERO'!$O$65</f>
        <v>REDES</v>
      </c>
      <c r="C90" s="88">
        <v>87</v>
      </c>
      <c r="D90" s="132">
        <f>+'RESUMEN FINANCIERO'!$P$76</f>
        <v>9</v>
      </c>
      <c r="E90" s="139">
        <f>+'RESUMEN FINANCIERO'!O76</f>
        <v>0</v>
      </c>
      <c r="F90" s="140">
        <f>+'RESUMEN FINANCIERO'!$O$66</f>
        <v>45</v>
      </c>
    </row>
    <row r="91" spans="2:6" ht="13.5" thickBot="1" x14ac:dyDescent="0.25">
      <c r="B91" s="126" t="str">
        <f>+'RESUMEN FINANCIERO'!$O$65</f>
        <v>REDES</v>
      </c>
      <c r="C91" s="119">
        <v>88</v>
      </c>
      <c r="D91" s="134">
        <f>+'RESUMEN FINANCIERO'!$P$77</f>
        <v>10</v>
      </c>
      <c r="E91" s="145">
        <f>+'RESUMEN FINANCIERO'!O77</f>
        <v>0</v>
      </c>
      <c r="F91" s="146">
        <f>+'RESUMEN FINANCIERO'!$O$66</f>
        <v>45</v>
      </c>
    </row>
    <row r="92" spans="2:6" x14ac:dyDescent="0.2">
      <c r="B92" s="127"/>
      <c r="C92" s="117">
        <v>89</v>
      </c>
      <c r="D92" s="147"/>
      <c r="E92" s="139"/>
      <c r="F92" s="148">
        <v>1</v>
      </c>
    </row>
    <row r="93" spans="2:6" x14ac:dyDescent="0.2">
      <c r="B93" s="128"/>
      <c r="C93" s="88">
        <v>90</v>
      </c>
      <c r="D93" s="91"/>
      <c r="E93" s="92"/>
      <c r="F93" s="149">
        <v>1</v>
      </c>
    </row>
    <row r="94" spans="2:6" x14ac:dyDescent="0.2">
      <c r="B94" s="128"/>
      <c r="C94" s="88">
        <v>91</v>
      </c>
      <c r="D94" s="91"/>
      <c r="E94" s="92"/>
      <c r="F94" s="149">
        <v>1</v>
      </c>
    </row>
    <row r="95" spans="2:6" x14ac:dyDescent="0.2">
      <c r="B95" s="128"/>
      <c r="C95" s="88">
        <v>92</v>
      </c>
      <c r="D95" s="91"/>
      <c r="E95" s="92"/>
      <c r="F95" s="149">
        <v>1</v>
      </c>
    </row>
    <row r="96" spans="2:6" x14ac:dyDescent="0.2">
      <c r="B96" s="128"/>
      <c r="C96" s="88">
        <v>93</v>
      </c>
      <c r="D96" s="91"/>
      <c r="E96" s="92"/>
      <c r="F96" s="149">
        <v>1</v>
      </c>
    </row>
    <row r="97" spans="2:6" x14ac:dyDescent="0.2">
      <c r="B97" s="128"/>
      <c r="C97" s="88">
        <v>94</v>
      </c>
      <c r="D97" s="91"/>
      <c r="E97" s="92"/>
      <c r="F97" s="149">
        <v>1</v>
      </c>
    </row>
    <row r="98" spans="2:6" x14ac:dyDescent="0.2">
      <c r="B98" s="128"/>
      <c r="C98" s="88">
        <v>95</v>
      </c>
      <c r="D98" s="91"/>
      <c r="E98" s="92"/>
      <c r="F98" s="149">
        <v>1</v>
      </c>
    </row>
    <row r="99" spans="2:6" x14ac:dyDescent="0.2">
      <c r="B99" s="128"/>
      <c r="C99" s="88">
        <v>96</v>
      </c>
      <c r="D99" s="91"/>
      <c r="E99" s="92"/>
      <c r="F99" s="149">
        <v>1</v>
      </c>
    </row>
    <row r="100" spans="2:6" x14ac:dyDescent="0.2">
      <c r="B100" s="128"/>
      <c r="C100" s="88">
        <v>97</v>
      </c>
      <c r="D100" s="91"/>
      <c r="E100" s="92"/>
      <c r="F100" s="149">
        <v>1</v>
      </c>
    </row>
    <row r="101" spans="2:6" x14ac:dyDescent="0.2">
      <c r="B101" s="128"/>
      <c r="C101" s="88">
        <v>98</v>
      </c>
      <c r="D101" s="91"/>
      <c r="E101" s="92"/>
      <c r="F101" s="149">
        <v>1</v>
      </c>
    </row>
    <row r="102" spans="2:6" x14ac:dyDescent="0.2">
      <c r="B102" s="128"/>
      <c r="C102" s="88">
        <v>99</v>
      </c>
      <c r="D102" s="91"/>
      <c r="E102" s="92"/>
      <c r="F102" s="149">
        <v>1</v>
      </c>
    </row>
    <row r="103" spans="2:6" x14ac:dyDescent="0.2">
      <c r="B103" s="128"/>
      <c r="C103" s="88">
        <v>100</v>
      </c>
      <c r="D103" s="91"/>
      <c r="E103" s="92"/>
      <c r="F103" s="149">
        <v>1</v>
      </c>
    </row>
    <row r="104" spans="2:6" x14ac:dyDescent="0.2">
      <c r="B104" s="128"/>
      <c r="C104" s="88">
        <v>101</v>
      </c>
      <c r="D104" s="91"/>
      <c r="E104" s="92"/>
      <c r="F104" s="149">
        <v>1</v>
      </c>
    </row>
    <row r="105" spans="2:6" x14ac:dyDescent="0.2">
      <c r="B105" s="128"/>
      <c r="C105" s="88">
        <v>102</v>
      </c>
      <c r="D105" s="91"/>
      <c r="E105" s="92"/>
      <c r="F105" s="149">
        <v>1</v>
      </c>
    </row>
    <row r="106" spans="2:6" x14ac:dyDescent="0.2">
      <c r="B106" s="128"/>
      <c r="C106" s="88">
        <v>103</v>
      </c>
      <c r="D106" s="91"/>
      <c r="E106" s="92"/>
      <c r="F106" s="149">
        <v>1</v>
      </c>
    </row>
    <row r="107" spans="2:6" x14ac:dyDescent="0.2">
      <c r="B107" s="128"/>
      <c r="C107" s="88">
        <v>104</v>
      </c>
      <c r="D107" s="91"/>
      <c r="E107" s="92"/>
      <c r="F107" s="149">
        <v>1</v>
      </c>
    </row>
    <row r="108" spans="2:6" x14ac:dyDescent="0.2">
      <c r="B108" s="128"/>
      <c r="C108" s="88">
        <v>105</v>
      </c>
      <c r="D108" s="91"/>
      <c r="E108" s="92"/>
      <c r="F108" s="149">
        <v>1</v>
      </c>
    </row>
    <row r="109" spans="2:6" x14ac:dyDescent="0.2">
      <c r="B109" s="128"/>
      <c r="C109" s="88">
        <v>106</v>
      </c>
      <c r="D109" s="91"/>
      <c r="E109" s="92"/>
      <c r="F109" s="149">
        <v>1</v>
      </c>
    </row>
    <row r="110" spans="2:6" x14ac:dyDescent="0.2">
      <c r="B110" s="128"/>
      <c r="C110" s="88">
        <v>107</v>
      </c>
      <c r="D110" s="91"/>
      <c r="E110" s="92"/>
      <c r="F110" s="149">
        <v>1</v>
      </c>
    </row>
    <row r="111" spans="2:6" x14ac:dyDescent="0.2">
      <c r="B111" s="128"/>
      <c r="C111" s="88">
        <v>108</v>
      </c>
      <c r="D111" s="91"/>
      <c r="E111" s="92"/>
      <c r="F111" s="149">
        <v>1</v>
      </c>
    </row>
    <row r="112" spans="2:6" x14ac:dyDescent="0.2">
      <c r="B112" s="128"/>
      <c r="C112" s="88">
        <v>109</v>
      </c>
      <c r="D112" s="91"/>
      <c r="E112" s="92"/>
      <c r="F112" s="149">
        <v>1</v>
      </c>
    </row>
    <row r="113" spans="2:12" x14ac:dyDescent="0.2">
      <c r="B113" s="128"/>
      <c r="C113" s="88">
        <v>110</v>
      </c>
      <c r="D113" s="91"/>
      <c r="E113" s="92"/>
      <c r="F113" s="149">
        <v>1</v>
      </c>
    </row>
    <row r="114" spans="2:12" x14ac:dyDescent="0.2">
      <c r="B114" s="128"/>
      <c r="C114" s="88">
        <v>111</v>
      </c>
      <c r="D114" s="91"/>
      <c r="E114" s="92"/>
      <c r="F114" s="149">
        <v>1</v>
      </c>
    </row>
    <row r="115" spans="2:12" x14ac:dyDescent="0.2">
      <c r="B115" s="128"/>
      <c r="C115" s="88">
        <v>112</v>
      </c>
      <c r="D115" s="91"/>
      <c r="E115" s="92"/>
      <c r="F115" s="149">
        <v>1</v>
      </c>
    </row>
    <row r="116" spans="2:12" x14ac:dyDescent="0.2">
      <c r="B116" s="128"/>
      <c r="C116" s="88">
        <v>113</v>
      </c>
      <c r="D116" s="91"/>
      <c r="E116" s="92"/>
      <c r="F116" s="149">
        <v>1</v>
      </c>
    </row>
    <row r="117" spans="2:12" x14ac:dyDescent="0.2">
      <c r="B117" s="128"/>
      <c r="C117" s="88">
        <v>114</v>
      </c>
      <c r="D117" s="91"/>
      <c r="E117" s="92"/>
      <c r="F117" s="149">
        <v>1</v>
      </c>
    </row>
    <row r="118" spans="2:12" x14ac:dyDescent="0.2">
      <c r="B118" s="128"/>
      <c r="C118" s="88">
        <v>115</v>
      </c>
      <c r="D118" s="91"/>
      <c r="E118" s="92"/>
      <c r="F118" s="149">
        <v>1</v>
      </c>
    </row>
    <row r="119" spans="2:12" x14ac:dyDescent="0.2">
      <c r="B119" s="128"/>
      <c r="C119" s="88">
        <v>116</v>
      </c>
      <c r="D119" s="91"/>
      <c r="E119" s="92"/>
      <c r="F119" s="149">
        <v>1</v>
      </c>
    </row>
    <row r="120" spans="2:12" x14ac:dyDescent="0.2">
      <c r="B120" s="128"/>
      <c r="C120" s="88">
        <v>117</v>
      </c>
      <c r="D120" s="91"/>
      <c r="E120" s="92"/>
      <c r="F120" s="149">
        <v>1</v>
      </c>
    </row>
    <row r="121" spans="2:12" x14ac:dyDescent="0.2">
      <c r="B121" s="128"/>
      <c r="C121" s="88">
        <v>118</v>
      </c>
      <c r="D121" s="91"/>
      <c r="E121" s="92"/>
      <c r="F121" s="149">
        <v>1</v>
      </c>
    </row>
    <row r="122" spans="2:12" x14ac:dyDescent="0.2">
      <c r="B122" s="128"/>
      <c r="C122" s="88">
        <v>119</v>
      </c>
      <c r="D122" s="91"/>
      <c r="E122" s="92"/>
      <c r="F122" s="149">
        <v>1</v>
      </c>
    </row>
    <row r="123" spans="2:12" x14ac:dyDescent="0.2">
      <c r="B123" s="128"/>
      <c r="C123" s="88">
        <v>120</v>
      </c>
      <c r="D123" s="91"/>
      <c r="E123" s="92"/>
      <c r="F123" s="149">
        <v>1</v>
      </c>
    </row>
    <row r="125" spans="2:12" x14ac:dyDescent="0.2">
      <c r="C125" s="102" t="s">
        <v>329</v>
      </c>
      <c r="D125" s="150" t="s">
        <v>330</v>
      </c>
      <c r="E125" s="102" t="s">
        <v>331</v>
      </c>
      <c r="F125" s="102" t="s">
        <v>332</v>
      </c>
      <c r="G125" s="102" t="s">
        <v>333</v>
      </c>
      <c r="H125" s="102" t="s">
        <v>334</v>
      </c>
      <c r="I125" s="102" t="s">
        <v>335</v>
      </c>
      <c r="J125" s="102" t="s">
        <v>336</v>
      </c>
      <c r="K125" s="102" t="s">
        <v>337</v>
      </c>
      <c r="L125" s="102" t="s">
        <v>338</v>
      </c>
    </row>
    <row r="126" spans="2:12" x14ac:dyDescent="0.2">
      <c r="C126" s="159">
        <f>+PARÁMETROS!C30</f>
        <v>53998308</v>
      </c>
      <c r="D126" s="159">
        <f>+PARÁMETROS!D30</f>
        <v>56894335.679999992</v>
      </c>
      <c r="E126" s="159">
        <f>+PARÁMETROS!E30</f>
        <v>59253219.840000004</v>
      </c>
      <c r="F126" s="159">
        <f>+PARÁMETROS!F30</f>
        <v>61613804.039999999</v>
      </c>
      <c r="G126" s="159">
        <f>+PARÁMETROS!G30</f>
        <v>63980742.840000004</v>
      </c>
      <c r="H126" s="159">
        <f>+PARÁMETROS!H30</f>
        <v>66048339.600000009</v>
      </c>
      <c r="I126" s="159">
        <f>+PARÁMETROS!I30</f>
        <v>67860109.199999988</v>
      </c>
      <c r="J126" s="159">
        <f>+PARÁMETROS!J30</f>
        <v>69763098.239999995</v>
      </c>
      <c r="K126" s="159">
        <f>+PARÁMETROS!K30</f>
        <v>71680074.24000001</v>
      </c>
      <c r="L126" s="159">
        <f>+PARÁMETROS!L30</f>
        <v>73651119.359999999</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6">
    <tabColor theme="0" tint="-0.249977111117893"/>
    <pageSetUpPr fitToPage="1"/>
  </sheetPr>
  <dimension ref="A1:Y44"/>
  <sheetViews>
    <sheetView topLeftCell="A13" zoomScale="90" zoomScaleNormal="90" workbookViewId="0">
      <selection activeCell="U44" sqref="U44"/>
    </sheetView>
  </sheetViews>
  <sheetFormatPr baseColWidth="10" defaultColWidth="11.375" defaultRowHeight="14.25" x14ac:dyDescent="0.25"/>
  <cols>
    <col min="1" max="1" width="26.25" style="33" customWidth="1"/>
    <col min="2" max="11" width="7.625" style="33" customWidth="1"/>
    <col min="12" max="12" width="8.375" style="33" customWidth="1"/>
    <col min="13" max="13" width="11.125" style="33" customWidth="1"/>
    <col min="14" max="14" width="6.875" style="33" customWidth="1"/>
    <col min="15" max="18" width="7.625" style="33" customWidth="1"/>
    <col min="19" max="19" width="7.875" style="33" customWidth="1"/>
    <col min="20" max="16384" width="11.375" style="33"/>
  </cols>
  <sheetData>
    <row r="1" spans="1:25" s="27" customFormat="1" ht="60" customHeight="1" x14ac:dyDescent="0.2">
      <c r="A1" s="1818"/>
      <c r="B1" s="1818"/>
      <c r="C1" s="1818"/>
      <c r="D1" s="1818"/>
      <c r="E1" s="1818"/>
      <c r="F1" s="1818"/>
      <c r="G1" s="1818"/>
      <c r="H1" s="1818"/>
      <c r="I1" s="1818"/>
      <c r="J1" s="1818"/>
      <c r="K1" s="1818"/>
      <c r="L1" s="1818"/>
      <c r="M1" s="1818"/>
      <c r="N1" s="1818"/>
      <c r="O1" s="1818"/>
      <c r="P1" s="1818"/>
      <c r="Q1" s="1818"/>
      <c r="R1" s="1818"/>
      <c r="S1" s="1818"/>
      <c r="T1" s="1818"/>
    </row>
    <row r="2" spans="1:25" s="27" customFormat="1" ht="12" x14ac:dyDescent="0.2"/>
    <row r="3" spans="1:25" s="27" customFormat="1" ht="14.1" customHeight="1" x14ac:dyDescent="0.2">
      <c r="A3" s="1825" t="s">
        <v>257</v>
      </c>
      <c r="B3" s="1825"/>
      <c r="C3" s="1825"/>
      <c r="D3" s="1825"/>
      <c r="E3" s="1825"/>
      <c r="F3" s="1825"/>
      <c r="G3" s="1825"/>
      <c r="H3" s="1825"/>
      <c r="I3" s="1825"/>
      <c r="J3" s="1825"/>
      <c r="K3" s="1825"/>
      <c r="L3" s="1825"/>
      <c r="M3" s="1825"/>
      <c r="N3" s="1825"/>
      <c r="O3" s="1825"/>
      <c r="P3" s="1825"/>
      <c r="Q3" s="1825"/>
      <c r="R3" s="1825"/>
      <c r="S3" s="1825"/>
      <c r="T3" s="1825"/>
      <c r="U3" s="1825"/>
      <c r="V3" s="1825"/>
      <c r="W3" s="1825"/>
      <c r="X3" s="1825"/>
      <c r="Y3" s="1825"/>
    </row>
    <row r="4" spans="1:25" s="27" customFormat="1" ht="17.100000000000001" customHeight="1" x14ac:dyDescent="0.2">
      <c r="A4" s="1825"/>
      <c r="B4" s="1825"/>
      <c r="C4" s="1825"/>
      <c r="D4" s="1825"/>
      <c r="E4" s="1825"/>
      <c r="F4" s="1825"/>
      <c r="G4" s="1825"/>
      <c r="H4" s="1825"/>
      <c r="I4" s="1825"/>
      <c r="J4" s="1825"/>
      <c r="K4" s="1825"/>
      <c r="L4" s="1825"/>
      <c r="M4" s="1825"/>
      <c r="N4" s="1825"/>
      <c r="O4" s="1825"/>
      <c r="P4" s="1825"/>
      <c r="Q4" s="1825"/>
      <c r="R4" s="1825"/>
      <c r="S4" s="1825"/>
      <c r="T4" s="1825"/>
      <c r="U4" s="1825"/>
      <c r="V4" s="1825"/>
      <c r="W4" s="1825"/>
      <c r="X4" s="1825"/>
      <c r="Y4" s="1825"/>
    </row>
    <row r="5" spans="1:25" s="27" customFormat="1" ht="36" customHeight="1" x14ac:dyDescent="0.2">
      <c r="A5" s="1823" t="s">
        <v>1063</v>
      </c>
      <c r="B5" s="1824"/>
      <c r="C5" s="1824"/>
      <c r="D5" s="1824"/>
      <c r="E5" s="1824"/>
      <c r="F5" s="1824"/>
      <c r="G5" s="1824"/>
      <c r="H5" s="1824"/>
      <c r="I5" s="1824"/>
      <c r="J5" s="1824"/>
      <c r="K5" s="1824"/>
      <c r="L5" s="1824"/>
      <c r="M5" s="1824"/>
      <c r="N5" s="1824"/>
      <c r="O5" s="1824"/>
      <c r="P5" s="1824"/>
      <c r="Q5" s="1824"/>
      <c r="R5" s="1824"/>
      <c r="S5" s="1824"/>
      <c r="T5" s="1824"/>
      <c r="U5" s="1824"/>
      <c r="V5" s="1824"/>
      <c r="W5" s="1824"/>
      <c r="X5" s="1824"/>
      <c r="Y5" s="1824"/>
    </row>
    <row r="6" spans="1:25" s="27" customFormat="1" ht="12" x14ac:dyDescent="0.2">
      <c r="A6" s="1158"/>
      <c r="B6" s="1158"/>
      <c r="C6" s="1158"/>
      <c r="D6" s="1158"/>
      <c r="E6" s="1158"/>
      <c r="F6" s="1158"/>
      <c r="G6" s="1158"/>
      <c r="H6" s="1158"/>
      <c r="I6" s="1158"/>
      <c r="J6" s="1158"/>
      <c r="K6" s="1158"/>
      <c r="L6" s="1158"/>
      <c r="M6" s="1158"/>
      <c r="N6" s="1158"/>
      <c r="O6" s="1158"/>
      <c r="P6" s="1158"/>
      <c r="Q6" s="1158"/>
      <c r="R6" s="1158"/>
      <c r="S6" s="1158"/>
      <c r="T6" s="1158"/>
      <c r="U6" s="1158"/>
      <c r="V6" s="1158"/>
      <c r="W6" s="1158"/>
      <c r="X6" s="1158"/>
      <c r="Y6" s="1158"/>
    </row>
    <row r="7" spans="1:25" s="27" customFormat="1" ht="12.75" customHeight="1" x14ac:dyDescent="0.2">
      <c r="A7" s="991"/>
      <c r="B7" s="992"/>
      <c r="C7" s="992"/>
      <c r="D7" s="992"/>
      <c r="E7" s="992"/>
      <c r="F7" s="992"/>
      <c r="G7" s="992"/>
      <c r="H7" s="992"/>
      <c r="I7" s="992"/>
      <c r="J7" s="992"/>
      <c r="K7" s="992"/>
      <c r="L7" s="992"/>
      <c r="M7" s="992"/>
      <c r="N7" s="992"/>
      <c r="O7" s="992"/>
      <c r="P7" s="992"/>
      <c r="Q7" s="992"/>
      <c r="R7" s="992"/>
      <c r="S7" s="993"/>
      <c r="T7" s="992"/>
      <c r="U7" s="992"/>
      <c r="V7" s="992"/>
      <c r="W7" s="992"/>
      <c r="X7" s="992"/>
      <c r="Y7" s="992"/>
    </row>
    <row r="8" spans="1:25" s="27" customFormat="1" ht="12.75" customHeight="1" x14ac:dyDescent="0.2">
      <c r="A8" s="994"/>
      <c r="B8" s="995"/>
      <c r="C8" s="995"/>
      <c r="D8" s="995"/>
      <c r="E8" s="995"/>
      <c r="F8" s="995"/>
      <c r="G8" s="995"/>
      <c r="H8" s="995"/>
      <c r="I8" s="995"/>
      <c r="J8" s="995"/>
      <c r="K8" s="995"/>
      <c r="L8" s="995"/>
      <c r="M8" s="995"/>
      <c r="N8" s="995"/>
      <c r="O8" s="995"/>
      <c r="P8" s="995"/>
      <c r="Q8" s="995"/>
      <c r="R8" s="995"/>
      <c r="S8" s="995"/>
      <c r="T8" s="996"/>
      <c r="U8" s="997"/>
      <c r="V8" s="996"/>
      <c r="W8" s="997"/>
      <c r="X8" s="997"/>
      <c r="Y8" s="998" t="s">
        <v>258</v>
      </c>
    </row>
    <row r="9" spans="1:25" s="27" customFormat="1" ht="12" x14ac:dyDescent="0.2">
      <c r="A9" s="1159" t="s">
        <v>259</v>
      </c>
      <c r="B9" s="1159">
        <v>2003</v>
      </c>
      <c r="C9" s="1160">
        <v>2004</v>
      </c>
      <c r="D9" s="1160">
        <v>2005</v>
      </c>
      <c r="E9" s="1160">
        <v>2006</v>
      </c>
      <c r="F9" s="1160">
        <v>2007</v>
      </c>
      <c r="G9" s="1160">
        <v>2008</v>
      </c>
      <c r="H9" s="1160">
        <v>2009</v>
      </c>
      <c r="I9" s="1160">
        <v>2010</v>
      </c>
      <c r="J9" s="1160">
        <v>2011</v>
      </c>
      <c r="K9" s="1160">
        <v>2012</v>
      </c>
      <c r="L9" s="1160">
        <v>2013</v>
      </c>
      <c r="M9" s="1160">
        <v>2014</v>
      </c>
      <c r="N9" s="1160">
        <v>2015</v>
      </c>
      <c r="O9" s="1160">
        <v>2016</v>
      </c>
      <c r="P9" s="1160">
        <v>2017</v>
      </c>
      <c r="Q9" s="1160">
        <v>2018</v>
      </c>
      <c r="R9" s="1160">
        <v>2019</v>
      </c>
      <c r="S9" s="999">
        <v>2020</v>
      </c>
      <c r="T9" s="999">
        <v>2021</v>
      </c>
      <c r="U9" s="999">
        <v>2022</v>
      </c>
      <c r="V9" s="1000">
        <v>2023</v>
      </c>
      <c r="W9" s="1000">
        <v>2024</v>
      </c>
      <c r="X9" s="1000">
        <v>2025</v>
      </c>
      <c r="Y9" s="1001">
        <v>2026</v>
      </c>
    </row>
    <row r="10" spans="1:25" s="27" customFormat="1" ht="12" x14ac:dyDescent="0.2">
      <c r="A10" s="1161" t="s">
        <v>260</v>
      </c>
      <c r="B10" s="1162">
        <v>50.42</v>
      </c>
      <c r="C10" s="1163">
        <v>53.54</v>
      </c>
      <c r="D10" s="1163">
        <v>56.45</v>
      </c>
      <c r="E10" s="1163">
        <v>59.02</v>
      </c>
      <c r="F10" s="1163">
        <v>61.8</v>
      </c>
      <c r="G10" s="1163">
        <v>65.510000000000005</v>
      </c>
      <c r="H10" s="1163">
        <v>70.209999999999994</v>
      </c>
      <c r="I10" s="1163">
        <v>71.69</v>
      </c>
      <c r="J10" s="1163">
        <v>74.12</v>
      </c>
      <c r="K10" s="1163">
        <v>76.75</v>
      </c>
      <c r="L10" s="1163">
        <v>78.28</v>
      </c>
      <c r="M10" s="1163">
        <v>79.95</v>
      </c>
      <c r="N10" s="1163">
        <v>83</v>
      </c>
      <c r="O10" s="1163">
        <v>89.19</v>
      </c>
      <c r="P10" s="1163">
        <v>94.07</v>
      </c>
      <c r="Q10" s="1163">
        <v>97.53</v>
      </c>
      <c r="R10" s="1002">
        <v>100.6</v>
      </c>
      <c r="S10" s="1002">
        <v>104.24</v>
      </c>
      <c r="T10" s="1002">
        <v>105.91</v>
      </c>
      <c r="U10" s="1002">
        <v>113.26</v>
      </c>
      <c r="V10" s="1003">
        <v>128.27000000000001</v>
      </c>
      <c r="W10" s="1003">
        <v>138.97999999999999</v>
      </c>
      <c r="X10" s="1003">
        <v>146.24</v>
      </c>
      <c r="Y10" s="1004">
        <v>154.07</v>
      </c>
    </row>
    <row r="11" spans="1:25" s="27" customFormat="1" ht="12" x14ac:dyDescent="0.2">
      <c r="A11" s="1164" t="s">
        <v>261</v>
      </c>
      <c r="B11" s="1165">
        <v>50.98</v>
      </c>
      <c r="C11" s="29">
        <v>54.18</v>
      </c>
      <c r="D11" s="29">
        <v>57.02</v>
      </c>
      <c r="E11" s="29">
        <v>59.41</v>
      </c>
      <c r="F11" s="29">
        <v>62.53</v>
      </c>
      <c r="G11" s="29">
        <v>66.5</v>
      </c>
      <c r="H11" s="29">
        <v>70.8</v>
      </c>
      <c r="I11" s="29">
        <v>72.28</v>
      </c>
      <c r="J11" s="29">
        <v>74.569999999999993</v>
      </c>
      <c r="K11" s="29">
        <v>77.22</v>
      </c>
      <c r="L11" s="29">
        <v>78.63</v>
      </c>
      <c r="M11" s="29">
        <v>80.45</v>
      </c>
      <c r="N11" s="29">
        <v>83.96</v>
      </c>
      <c r="O11" s="29">
        <v>90.33</v>
      </c>
      <c r="P11" s="29">
        <v>95.01</v>
      </c>
      <c r="Q11" s="29">
        <v>98.22</v>
      </c>
      <c r="R11" s="29">
        <v>101.18</v>
      </c>
      <c r="S11" s="29">
        <v>104.94</v>
      </c>
      <c r="T11" s="29">
        <v>106.58</v>
      </c>
      <c r="U11" s="29">
        <v>115.11</v>
      </c>
      <c r="V11" s="1005">
        <v>130.4</v>
      </c>
      <c r="W11" s="1005">
        <v>140.49</v>
      </c>
      <c r="X11" s="1005">
        <v>147.9</v>
      </c>
      <c r="Y11" s="1006">
        <v>155.72999999999999</v>
      </c>
    </row>
    <row r="12" spans="1:25" s="27" customFormat="1" ht="12" x14ac:dyDescent="0.2">
      <c r="A12" s="1161" t="s">
        <v>262</v>
      </c>
      <c r="B12" s="1166">
        <v>51.51</v>
      </c>
      <c r="C12" s="28">
        <v>54.71</v>
      </c>
      <c r="D12" s="28">
        <v>57.46</v>
      </c>
      <c r="E12" s="28">
        <v>59.83</v>
      </c>
      <c r="F12" s="28">
        <v>63.29</v>
      </c>
      <c r="G12" s="28">
        <v>67.040000000000006</v>
      </c>
      <c r="H12" s="28">
        <v>71.150000000000006</v>
      </c>
      <c r="I12" s="28">
        <v>72.459999999999994</v>
      </c>
      <c r="J12" s="28">
        <v>74.77</v>
      </c>
      <c r="K12" s="28">
        <v>77.31</v>
      </c>
      <c r="L12" s="28">
        <v>78.790000000000006</v>
      </c>
      <c r="M12" s="28">
        <v>80.77</v>
      </c>
      <c r="N12" s="28">
        <v>84.45</v>
      </c>
      <c r="O12" s="28">
        <v>91.18</v>
      </c>
      <c r="P12" s="28">
        <v>95.46</v>
      </c>
      <c r="Q12" s="28">
        <v>98.45</v>
      </c>
      <c r="R12" s="28">
        <v>101.62</v>
      </c>
      <c r="S12" s="28">
        <v>105.53</v>
      </c>
      <c r="T12" s="28">
        <v>107.12</v>
      </c>
      <c r="U12" s="28">
        <v>116.26</v>
      </c>
      <c r="V12" s="28">
        <v>131.77000000000001</v>
      </c>
      <c r="W12" s="28">
        <v>141.47999999999999</v>
      </c>
      <c r="X12" s="28">
        <v>148.68</v>
      </c>
      <c r="Y12" s="1007"/>
    </row>
    <row r="13" spans="1:25" s="27" customFormat="1" ht="12" x14ac:dyDescent="0.2">
      <c r="A13" s="1164" t="s">
        <v>263</v>
      </c>
      <c r="B13" s="1165">
        <v>52.1</v>
      </c>
      <c r="C13" s="29">
        <v>54.96</v>
      </c>
      <c r="D13" s="29">
        <v>57.72</v>
      </c>
      <c r="E13" s="29">
        <v>60.09</v>
      </c>
      <c r="F13" s="29">
        <v>63.85</v>
      </c>
      <c r="G13" s="29">
        <v>67.510000000000005</v>
      </c>
      <c r="H13" s="29">
        <v>71.38</v>
      </c>
      <c r="I13" s="29">
        <v>72.790000000000006</v>
      </c>
      <c r="J13" s="29">
        <v>74.86</v>
      </c>
      <c r="K13" s="29">
        <v>77.42</v>
      </c>
      <c r="L13" s="29">
        <v>78.989999999999995</v>
      </c>
      <c r="M13" s="29">
        <v>81.14</v>
      </c>
      <c r="N13" s="29">
        <v>84.9</v>
      </c>
      <c r="O13" s="29">
        <v>91.63</v>
      </c>
      <c r="P13" s="29">
        <v>95.91</v>
      </c>
      <c r="Q13" s="29">
        <v>98.91</v>
      </c>
      <c r="R13" s="29">
        <v>102.12</v>
      </c>
      <c r="S13" s="29">
        <v>105.7</v>
      </c>
      <c r="T13" s="29">
        <v>107.76</v>
      </c>
      <c r="U13" s="29">
        <v>117.71</v>
      </c>
      <c r="V13" s="29">
        <v>132.80000000000001</v>
      </c>
      <c r="W13" s="29">
        <v>142.32</v>
      </c>
      <c r="X13" s="29">
        <v>149.66</v>
      </c>
      <c r="Y13" s="1008"/>
    </row>
    <row r="14" spans="1:25" s="27" customFormat="1" ht="12" x14ac:dyDescent="0.2">
      <c r="A14" s="1161" t="s">
        <v>264</v>
      </c>
      <c r="B14" s="1166">
        <v>52.36</v>
      </c>
      <c r="C14" s="28">
        <v>55.17</v>
      </c>
      <c r="D14" s="28">
        <v>57.95</v>
      </c>
      <c r="E14" s="28">
        <v>60.29</v>
      </c>
      <c r="F14" s="28">
        <v>64.05</v>
      </c>
      <c r="G14" s="28">
        <v>68.14</v>
      </c>
      <c r="H14" s="28">
        <v>71.39</v>
      </c>
      <c r="I14" s="28">
        <v>72.87</v>
      </c>
      <c r="J14" s="28">
        <v>75.069999999999993</v>
      </c>
      <c r="K14" s="28">
        <v>77.66</v>
      </c>
      <c r="L14" s="28">
        <v>79.209999999999994</v>
      </c>
      <c r="M14" s="28">
        <v>81.53</v>
      </c>
      <c r="N14" s="28">
        <v>85.12</v>
      </c>
      <c r="O14" s="28">
        <v>92.1</v>
      </c>
      <c r="P14" s="28">
        <v>96.12</v>
      </c>
      <c r="Q14" s="28">
        <v>99.16</v>
      </c>
      <c r="R14" s="28">
        <v>102.44</v>
      </c>
      <c r="S14" s="28">
        <v>105.36</v>
      </c>
      <c r="T14" s="28">
        <v>108.84</v>
      </c>
      <c r="U14" s="28">
        <v>118.7</v>
      </c>
      <c r="V14" s="28">
        <v>133.38</v>
      </c>
      <c r="W14" s="28">
        <v>142.91999999999999</v>
      </c>
      <c r="X14" s="28">
        <v>150.13999999999999</v>
      </c>
      <c r="Y14" s="1007"/>
    </row>
    <row r="15" spans="1:25" s="27" customFormat="1" ht="12" x14ac:dyDescent="0.2">
      <c r="A15" s="1164" t="s">
        <v>265</v>
      </c>
      <c r="B15" s="1165">
        <v>52.33</v>
      </c>
      <c r="C15" s="29">
        <v>55.51</v>
      </c>
      <c r="D15" s="29">
        <v>58.18</v>
      </c>
      <c r="E15" s="29">
        <v>60.48</v>
      </c>
      <c r="F15" s="29">
        <v>64.12</v>
      </c>
      <c r="G15" s="29">
        <v>68.73</v>
      </c>
      <c r="H15" s="29">
        <v>71.349999999999994</v>
      </c>
      <c r="I15" s="29">
        <v>72.95</v>
      </c>
      <c r="J15" s="29">
        <v>75.31</v>
      </c>
      <c r="K15" s="29">
        <v>77.72</v>
      </c>
      <c r="L15" s="29">
        <v>79.39</v>
      </c>
      <c r="M15" s="29">
        <v>81.61</v>
      </c>
      <c r="N15" s="29">
        <v>85.21</v>
      </c>
      <c r="O15" s="29">
        <v>92.54</v>
      </c>
      <c r="P15" s="29">
        <v>96.23</v>
      </c>
      <c r="Q15" s="29">
        <v>99.31</v>
      </c>
      <c r="R15" s="29">
        <v>102.71</v>
      </c>
      <c r="S15" s="29">
        <v>104.97</v>
      </c>
      <c r="T15" s="29">
        <v>108.78</v>
      </c>
      <c r="U15" s="29">
        <v>119.31</v>
      </c>
      <c r="V15" s="29">
        <v>133.78</v>
      </c>
      <c r="W15" s="29">
        <v>143.38</v>
      </c>
      <c r="X15" s="29">
        <v>150.30000000000001</v>
      </c>
      <c r="Y15" s="1008"/>
    </row>
    <row r="16" spans="1:25" s="27" customFormat="1" ht="12" x14ac:dyDescent="0.2">
      <c r="A16" s="1161" t="s">
        <v>266</v>
      </c>
      <c r="B16" s="1166">
        <v>52.26</v>
      </c>
      <c r="C16" s="28">
        <v>55.49</v>
      </c>
      <c r="D16" s="28">
        <v>58.21</v>
      </c>
      <c r="E16" s="28">
        <v>60.73</v>
      </c>
      <c r="F16" s="28">
        <v>64.23</v>
      </c>
      <c r="G16" s="28">
        <v>69.06</v>
      </c>
      <c r="H16" s="28">
        <v>71.319999999999993</v>
      </c>
      <c r="I16" s="28">
        <v>72.92</v>
      </c>
      <c r="J16" s="28">
        <v>75.42</v>
      </c>
      <c r="K16" s="28">
        <v>77.7</v>
      </c>
      <c r="L16" s="28">
        <v>79.430000000000007</v>
      </c>
      <c r="M16" s="28">
        <v>81.73</v>
      </c>
      <c r="N16" s="28">
        <v>85.37</v>
      </c>
      <c r="O16" s="28">
        <v>93.02</v>
      </c>
      <c r="P16" s="28">
        <v>96.18</v>
      </c>
      <c r="Q16" s="28">
        <v>99.18</v>
      </c>
      <c r="R16" s="28">
        <v>102.94</v>
      </c>
      <c r="S16" s="28">
        <v>104.97</v>
      </c>
      <c r="T16" s="28">
        <v>109.14</v>
      </c>
      <c r="U16" s="28">
        <v>120.27</v>
      </c>
      <c r="V16" s="28">
        <v>134.44999999999999</v>
      </c>
      <c r="W16" s="28">
        <v>143.66999999999999</v>
      </c>
      <c r="X16" s="28">
        <v>150.71</v>
      </c>
      <c r="Y16" s="1156"/>
    </row>
    <row r="17" spans="1:25" s="27" customFormat="1" ht="12" x14ac:dyDescent="0.2">
      <c r="A17" s="1164" t="s">
        <v>267</v>
      </c>
      <c r="B17" s="1165">
        <v>52.42</v>
      </c>
      <c r="C17" s="29">
        <v>55.51</v>
      </c>
      <c r="D17" s="29">
        <v>58.21</v>
      </c>
      <c r="E17" s="29">
        <v>60.96</v>
      </c>
      <c r="F17" s="29">
        <v>64.14</v>
      </c>
      <c r="G17" s="29">
        <v>69.19</v>
      </c>
      <c r="H17" s="29">
        <v>71.349999999999994</v>
      </c>
      <c r="I17" s="29">
        <v>73</v>
      </c>
      <c r="J17" s="29">
        <v>75.39</v>
      </c>
      <c r="K17" s="29">
        <v>77.73</v>
      </c>
      <c r="L17" s="29">
        <v>79.5</v>
      </c>
      <c r="M17" s="29">
        <v>81.900000000000006</v>
      </c>
      <c r="N17" s="29">
        <v>85.78</v>
      </c>
      <c r="O17" s="29">
        <v>92.73</v>
      </c>
      <c r="P17" s="29">
        <v>96.32</v>
      </c>
      <c r="Q17" s="29">
        <v>99.3</v>
      </c>
      <c r="R17" s="29">
        <v>103.03</v>
      </c>
      <c r="S17" s="29">
        <v>104.96</v>
      </c>
      <c r="T17" s="29">
        <v>109.62</v>
      </c>
      <c r="U17" s="29">
        <v>121.5</v>
      </c>
      <c r="V17" s="29">
        <v>135.38999999999999</v>
      </c>
      <c r="W17" s="29">
        <v>143.66999999999999</v>
      </c>
      <c r="X17" s="29">
        <v>150.99</v>
      </c>
      <c r="Y17" s="1010"/>
    </row>
    <row r="18" spans="1:25" s="27" customFormat="1" ht="12" x14ac:dyDescent="0.2">
      <c r="A18" s="1161" t="s">
        <v>268</v>
      </c>
      <c r="B18" s="1166">
        <v>52.53</v>
      </c>
      <c r="C18" s="28">
        <v>55.67</v>
      </c>
      <c r="D18" s="28">
        <v>58.46</v>
      </c>
      <c r="E18" s="28">
        <v>61.14</v>
      </c>
      <c r="F18" s="28">
        <v>64.2</v>
      </c>
      <c r="G18" s="28">
        <v>69.06</v>
      </c>
      <c r="H18" s="28">
        <v>71.28</v>
      </c>
      <c r="I18" s="28">
        <v>72.900000000000006</v>
      </c>
      <c r="J18" s="28">
        <v>75.62</v>
      </c>
      <c r="K18" s="28">
        <v>77.959999999999994</v>
      </c>
      <c r="L18" s="28">
        <v>79.73</v>
      </c>
      <c r="M18" s="28">
        <v>82.01</v>
      </c>
      <c r="N18" s="28">
        <v>86.39</v>
      </c>
      <c r="O18" s="28">
        <v>92.68</v>
      </c>
      <c r="P18" s="28">
        <v>96.36</v>
      </c>
      <c r="Q18" s="28">
        <v>99.47</v>
      </c>
      <c r="R18" s="28">
        <v>103.26</v>
      </c>
      <c r="S18" s="28">
        <v>105.29</v>
      </c>
      <c r="T18" s="28">
        <v>110.04</v>
      </c>
      <c r="U18" s="28">
        <v>122.63</v>
      </c>
      <c r="V18" s="28">
        <v>136.11000000000001</v>
      </c>
      <c r="W18" s="28">
        <v>144.02000000000001</v>
      </c>
      <c r="X18" s="28">
        <v>151.47999999999999</v>
      </c>
      <c r="Y18" s="1009"/>
    </row>
    <row r="19" spans="1:25" s="27" customFormat="1" ht="12" x14ac:dyDescent="0.2">
      <c r="A19" s="1164" t="s">
        <v>269</v>
      </c>
      <c r="B19" s="1165">
        <v>52.56</v>
      </c>
      <c r="C19" s="29">
        <v>55.66</v>
      </c>
      <c r="D19" s="29">
        <v>58.6</v>
      </c>
      <c r="E19" s="29">
        <v>61.05</v>
      </c>
      <c r="F19" s="29">
        <v>64.2</v>
      </c>
      <c r="G19" s="29">
        <v>69.3</v>
      </c>
      <c r="H19" s="29">
        <v>71.19</v>
      </c>
      <c r="I19" s="29">
        <v>72.84</v>
      </c>
      <c r="J19" s="29">
        <v>75.77</v>
      </c>
      <c r="K19" s="29">
        <v>78.08</v>
      </c>
      <c r="L19" s="29">
        <v>79.52</v>
      </c>
      <c r="M19" s="29">
        <v>82.14</v>
      </c>
      <c r="N19" s="29">
        <v>86.98</v>
      </c>
      <c r="O19" s="29">
        <v>92.62</v>
      </c>
      <c r="P19" s="29">
        <v>96.37</v>
      </c>
      <c r="Q19" s="29">
        <v>99.59</v>
      </c>
      <c r="R19" s="29">
        <v>103.43</v>
      </c>
      <c r="S19" s="29">
        <v>105.23</v>
      </c>
      <c r="T19" s="29">
        <v>110.06</v>
      </c>
      <c r="U19" s="29">
        <v>123.51</v>
      </c>
      <c r="V19" s="29">
        <v>136.44999999999999</v>
      </c>
      <c r="W19" s="29">
        <v>143.83000000000001</v>
      </c>
      <c r="X19" s="29">
        <v>151.76</v>
      </c>
      <c r="Y19" s="1008"/>
    </row>
    <row r="20" spans="1:25" s="27" customFormat="1" ht="12" x14ac:dyDescent="0.2">
      <c r="A20" s="1161" t="s">
        <v>270</v>
      </c>
      <c r="B20" s="1166">
        <v>52.75</v>
      </c>
      <c r="C20" s="28">
        <v>55.82</v>
      </c>
      <c r="D20" s="28">
        <v>58.66</v>
      </c>
      <c r="E20" s="28">
        <v>61.19</v>
      </c>
      <c r="F20" s="28">
        <v>64.510000000000005</v>
      </c>
      <c r="G20" s="28">
        <v>69.489999999999995</v>
      </c>
      <c r="H20" s="28">
        <v>71.14</v>
      </c>
      <c r="I20" s="28">
        <v>72.98</v>
      </c>
      <c r="J20" s="28">
        <v>75.87</v>
      </c>
      <c r="K20" s="28">
        <v>77.98</v>
      </c>
      <c r="L20" s="28">
        <v>79.349999999999994</v>
      </c>
      <c r="M20" s="28">
        <v>82.25</v>
      </c>
      <c r="N20" s="28">
        <v>87.51</v>
      </c>
      <c r="O20" s="28">
        <v>92.73</v>
      </c>
      <c r="P20" s="28">
        <v>96.55</v>
      </c>
      <c r="Q20" s="28">
        <v>99.7</v>
      </c>
      <c r="R20" s="28">
        <v>103.54</v>
      </c>
      <c r="S20" s="28">
        <v>105.08</v>
      </c>
      <c r="T20" s="28">
        <v>110.6</v>
      </c>
      <c r="U20" s="28">
        <v>124.46</v>
      </c>
      <c r="V20" s="28">
        <v>137.09</v>
      </c>
      <c r="W20" s="28">
        <v>144.22</v>
      </c>
      <c r="X20" s="28">
        <v>151.87</v>
      </c>
      <c r="Y20" s="1009"/>
    </row>
    <row r="21" spans="1:25" s="27" customFormat="1" ht="12" x14ac:dyDescent="0.2">
      <c r="A21" s="1167" t="s">
        <v>271</v>
      </c>
      <c r="B21" s="1168">
        <v>53.07</v>
      </c>
      <c r="C21" s="30">
        <v>55.99</v>
      </c>
      <c r="D21" s="30">
        <v>58.7</v>
      </c>
      <c r="E21" s="30">
        <v>61.33</v>
      </c>
      <c r="F21" s="30">
        <v>64.819999999999993</v>
      </c>
      <c r="G21" s="30">
        <v>69.8</v>
      </c>
      <c r="H21" s="30">
        <v>71.2</v>
      </c>
      <c r="I21" s="30">
        <v>73.45</v>
      </c>
      <c r="J21" s="30">
        <v>76.19</v>
      </c>
      <c r="K21" s="30">
        <v>78.05</v>
      </c>
      <c r="L21" s="30">
        <v>79.56</v>
      </c>
      <c r="M21" s="30">
        <v>82.47</v>
      </c>
      <c r="N21" s="30">
        <v>88.05</v>
      </c>
      <c r="O21" s="30">
        <v>93.11</v>
      </c>
      <c r="P21" s="30">
        <v>96.92</v>
      </c>
      <c r="Q21" s="30">
        <v>100</v>
      </c>
      <c r="R21" s="30">
        <v>103.8</v>
      </c>
      <c r="S21" s="30">
        <v>105.48</v>
      </c>
      <c r="T21" s="30">
        <v>111.41000000000001</v>
      </c>
      <c r="U21" s="30">
        <v>126.03000000000002</v>
      </c>
      <c r="V21" s="1011">
        <v>137.72</v>
      </c>
      <c r="W21" s="1011">
        <v>144.88</v>
      </c>
      <c r="X21" s="1011">
        <v>152.27000000000001</v>
      </c>
      <c r="Y21" s="1157"/>
    </row>
    <row r="22" spans="1:25" s="27" customFormat="1" ht="12" x14ac:dyDescent="0.2">
      <c r="N22" s="31">
        <f t="shared" ref="N22:X22" si="0">+N21/M21-1</f>
        <v>6.7660967624590729E-2</v>
      </c>
      <c r="O22" s="31">
        <f t="shared" si="0"/>
        <v>5.7467348097671733E-2</v>
      </c>
      <c r="P22" s="31">
        <f t="shared" si="0"/>
        <v>4.0919342712920193E-2</v>
      </c>
      <c r="Q22" s="31">
        <f t="shared" si="0"/>
        <v>3.1778786628146927E-2</v>
      </c>
      <c r="R22" s="31">
        <f t="shared" si="0"/>
        <v>3.8000000000000034E-2</v>
      </c>
      <c r="S22" s="31">
        <f t="shared" si="0"/>
        <v>1.6184971098265999E-2</v>
      </c>
      <c r="T22" s="31">
        <f t="shared" si="0"/>
        <v>5.6219188471748227E-2</v>
      </c>
      <c r="U22" s="31">
        <f t="shared" si="0"/>
        <v>0.13122699937169013</v>
      </c>
      <c r="V22" s="31">
        <f t="shared" si="0"/>
        <v>9.2755693088947044E-2</v>
      </c>
      <c r="W22" s="31">
        <f t="shared" si="0"/>
        <v>5.1989544002323473E-2</v>
      </c>
      <c r="X22" s="31">
        <f t="shared" si="0"/>
        <v>5.1007730535615803E-2</v>
      </c>
    </row>
    <row r="23" spans="1:25" s="27" customFormat="1" ht="13.5" customHeight="1" x14ac:dyDescent="0.2"/>
    <row r="24" spans="1:25" s="32" customFormat="1" ht="12" x14ac:dyDescent="0.25">
      <c r="A24" s="1819" t="s">
        <v>272</v>
      </c>
      <c r="B24" s="1820"/>
      <c r="C24" s="1820"/>
      <c r="D24" s="1820"/>
      <c r="E24" s="1820"/>
      <c r="F24" s="1820"/>
      <c r="G24" s="1820"/>
      <c r="H24" s="1820"/>
      <c r="I24" s="1169"/>
      <c r="J24" s="1169"/>
      <c r="K24" s="1169"/>
      <c r="L24" s="1169"/>
      <c r="M24" s="1169"/>
      <c r="N24" s="1169"/>
      <c r="O24" s="1169"/>
      <c r="P24" s="1169"/>
      <c r="Q24" s="1169"/>
      <c r="R24" s="1169"/>
      <c r="S24" s="1169"/>
      <c r="T24" s="1170"/>
      <c r="U24" s="1170"/>
      <c r="V24" s="1170"/>
      <c r="W24" s="1170"/>
      <c r="X24" s="1170"/>
      <c r="Y24" s="1171"/>
    </row>
    <row r="25" spans="1:25" s="32" customFormat="1" ht="12" customHeight="1" x14ac:dyDescent="0.25">
      <c r="A25" s="1821" t="s">
        <v>273</v>
      </c>
      <c r="B25" s="1822"/>
      <c r="C25" s="1822"/>
      <c r="D25" s="1822"/>
      <c r="E25" s="1822"/>
      <c r="F25" s="1822"/>
      <c r="G25" s="1822"/>
      <c r="H25" s="1822"/>
      <c r="I25" s="1172"/>
      <c r="J25" s="1172"/>
      <c r="K25" s="1172"/>
      <c r="L25" s="1172"/>
      <c r="M25" s="1172"/>
      <c r="N25" s="1172"/>
      <c r="O25" s="1172"/>
      <c r="P25" s="1172"/>
      <c r="Q25" s="1172"/>
      <c r="R25" s="1172"/>
      <c r="S25" s="1172"/>
      <c r="T25" s="1173"/>
      <c r="U25" s="1173"/>
      <c r="V25" s="1173"/>
      <c r="W25" s="1173"/>
      <c r="X25" s="1173"/>
      <c r="Y25" s="1174"/>
    </row>
    <row r="26" spans="1:25" s="32" customFormat="1" ht="17.100000000000001" customHeight="1" x14ac:dyDescent="0.25">
      <c r="A26" s="1175" t="s">
        <v>1064</v>
      </c>
      <c r="B26" s="1176"/>
      <c r="C26" s="1176"/>
      <c r="D26" s="1176"/>
      <c r="E26" s="1176"/>
      <c r="F26" s="1176"/>
      <c r="G26" s="1176"/>
      <c r="H26" s="1177"/>
      <c r="I26" s="1176"/>
      <c r="J26" s="1176"/>
      <c r="K26" s="1176"/>
      <c r="L26" s="1176"/>
      <c r="M26" s="1176"/>
      <c r="N26" s="1176"/>
      <c r="O26" s="1176"/>
      <c r="P26" s="1176"/>
      <c r="Q26" s="1176"/>
      <c r="R26" s="1176"/>
      <c r="S26" s="1176"/>
      <c r="T26" s="1178"/>
      <c r="U26" s="1178"/>
      <c r="V26" s="1178"/>
      <c r="W26" s="1178"/>
      <c r="X26" s="1178"/>
      <c r="Y26" s="1179"/>
    </row>
    <row r="27" spans="1:25" ht="15" thickBot="1" x14ac:dyDescent="0.3"/>
    <row r="28" spans="1:25" ht="22.35" customHeight="1" thickBot="1" x14ac:dyDescent="0.3">
      <c r="A28" s="1812" t="s">
        <v>274</v>
      </c>
      <c r="B28" s="1813"/>
      <c r="C28" s="1813"/>
      <c r="D28" s="1813"/>
      <c r="E28" s="1813"/>
      <c r="F28" s="1813"/>
      <c r="G28" s="1813"/>
      <c r="H28" s="1813"/>
      <c r="I28" s="1814"/>
      <c r="K28" s="34"/>
      <c r="L28" s="1815" t="s">
        <v>275</v>
      </c>
      <c r="M28" s="1816"/>
      <c r="N28" s="1817"/>
    </row>
    <row r="29" spans="1:25" ht="23.25" thickBot="1" x14ac:dyDescent="0.3">
      <c r="A29" s="35"/>
      <c r="B29" s="35"/>
      <c r="C29" s="35"/>
      <c r="D29" s="35"/>
      <c r="E29" s="35"/>
      <c r="F29" s="35"/>
      <c r="G29" s="35"/>
      <c r="H29" s="35"/>
      <c r="I29" s="35"/>
      <c r="K29" s="1144" t="s">
        <v>276</v>
      </c>
      <c r="L29" s="1145" t="s">
        <v>277</v>
      </c>
      <c r="M29" s="1146" t="s">
        <v>278</v>
      </c>
      <c r="N29" s="1147" t="s">
        <v>279</v>
      </c>
    </row>
    <row r="30" spans="1:25" ht="15.75" thickTop="1" thickBot="1" x14ac:dyDescent="0.3">
      <c r="A30" s="36" t="s">
        <v>280</v>
      </c>
      <c r="B30" s="37" t="s">
        <v>281</v>
      </c>
      <c r="C30" s="1059" t="s">
        <v>282</v>
      </c>
      <c r="D30" s="1060" t="s">
        <v>283</v>
      </c>
      <c r="E30" s="37" t="s">
        <v>284</v>
      </c>
      <c r="F30" s="38" t="s">
        <v>285</v>
      </c>
      <c r="G30" s="38" t="s">
        <v>286</v>
      </c>
      <c r="H30" s="1061" t="s">
        <v>287</v>
      </c>
      <c r="I30" s="1062" t="s">
        <v>288</v>
      </c>
      <c r="K30" s="1148">
        <v>2014</v>
      </c>
      <c r="L30" s="48">
        <v>20533.330000000002</v>
      </c>
      <c r="M30" s="39">
        <v>616000</v>
      </c>
      <c r="N30" s="1149">
        <v>4.4953E-2</v>
      </c>
    </row>
    <row r="31" spans="1:25" x14ac:dyDescent="0.25">
      <c r="A31" s="40" t="s">
        <v>260</v>
      </c>
      <c r="B31" s="1056"/>
      <c r="C31" s="1056">
        <v>97.66</v>
      </c>
      <c r="D31" s="1056">
        <v>82.57</v>
      </c>
      <c r="E31" s="1056">
        <v>82.66</v>
      </c>
      <c r="F31" s="1056">
        <v>88.52</v>
      </c>
      <c r="G31" s="1057">
        <v>98.88</v>
      </c>
      <c r="H31" s="1058">
        <v>115.91</v>
      </c>
      <c r="I31" s="1058">
        <v>88.67</v>
      </c>
      <c r="K31" s="1150">
        <v>2015</v>
      </c>
      <c r="L31" s="48">
        <v>21478.33</v>
      </c>
      <c r="M31" s="44">
        <v>644350</v>
      </c>
      <c r="N31" s="1151">
        <v>4.6023000000000001E-2</v>
      </c>
    </row>
    <row r="32" spans="1:25" x14ac:dyDescent="0.25">
      <c r="A32" s="45" t="s">
        <v>261</v>
      </c>
      <c r="B32" s="41"/>
      <c r="C32" s="41">
        <v>87.23</v>
      </c>
      <c r="D32" s="41">
        <v>78.02</v>
      </c>
      <c r="E32" s="41">
        <v>82.66</v>
      </c>
      <c r="F32" s="43">
        <v>89.88</v>
      </c>
      <c r="G32" s="41">
        <v>99</v>
      </c>
      <c r="H32" s="41">
        <v>114.94</v>
      </c>
      <c r="I32" s="41">
        <v>89.793718244803699</v>
      </c>
      <c r="K32" s="1148">
        <v>2016</v>
      </c>
      <c r="L32" s="48">
        <v>22981.83</v>
      </c>
      <c r="M32" s="39">
        <v>689455</v>
      </c>
      <c r="N32" s="1151">
        <v>7.0000999999999994E-2</v>
      </c>
    </row>
    <row r="33" spans="1:14" x14ac:dyDescent="0.25">
      <c r="A33" s="45" t="s">
        <v>262</v>
      </c>
      <c r="B33" s="41"/>
      <c r="C33" s="41">
        <v>87.78</v>
      </c>
      <c r="D33" s="41">
        <v>77.97</v>
      </c>
      <c r="E33" s="41">
        <v>82.65</v>
      </c>
      <c r="F33" s="41">
        <v>89.87</v>
      </c>
      <c r="G33" s="41">
        <v>99.48</v>
      </c>
      <c r="H33" s="41">
        <v>104.69</v>
      </c>
      <c r="I33" s="43">
        <v>91.65526558891456</v>
      </c>
      <c r="K33" s="1150">
        <v>2017</v>
      </c>
      <c r="L33" s="48">
        <v>24590.57</v>
      </c>
      <c r="M33" s="46">
        <v>737717</v>
      </c>
      <c r="N33" s="1151">
        <v>7.0000000000000007E-2</v>
      </c>
    </row>
    <row r="34" spans="1:14" x14ac:dyDescent="0.25">
      <c r="A34" s="45" t="s">
        <v>263</v>
      </c>
      <c r="B34" s="41"/>
      <c r="C34" s="41">
        <v>87.07</v>
      </c>
      <c r="D34" s="41">
        <v>77.66</v>
      </c>
      <c r="E34" s="41">
        <v>82.52</v>
      </c>
      <c r="F34" s="41">
        <v>90.02</v>
      </c>
      <c r="G34" s="41">
        <v>100.42</v>
      </c>
      <c r="H34" s="41">
        <v>94.21</v>
      </c>
      <c r="I34" s="41">
        <v>89.730415704387994</v>
      </c>
      <c r="K34" s="1148">
        <v>2018</v>
      </c>
      <c r="L34" s="48">
        <v>26041.4</v>
      </c>
      <c r="M34" s="39">
        <v>781242</v>
      </c>
      <c r="N34" s="1151">
        <v>5.8999999999999997E-2</v>
      </c>
    </row>
    <row r="35" spans="1:14" ht="15" thickBot="1" x14ac:dyDescent="0.3">
      <c r="A35" s="45" t="s">
        <v>264</v>
      </c>
      <c r="B35" s="41"/>
      <c r="C35" s="41">
        <v>87.76</v>
      </c>
      <c r="D35" s="41">
        <v>78.69</v>
      </c>
      <c r="E35" s="41">
        <v>83.13</v>
      </c>
      <c r="F35" s="41">
        <v>92.29</v>
      </c>
      <c r="G35" s="41">
        <v>100.5</v>
      </c>
      <c r="H35" s="41">
        <v>94.21</v>
      </c>
      <c r="I35" s="43">
        <v>87.936951501154738</v>
      </c>
      <c r="K35" s="1150">
        <v>2019</v>
      </c>
      <c r="L35" s="48">
        <v>27603.87</v>
      </c>
      <c r="M35" s="44">
        <v>828116</v>
      </c>
      <c r="N35" s="1151">
        <v>5.9998999999999997E-2</v>
      </c>
    </row>
    <row r="36" spans="1:14" ht="15" thickBot="1" x14ac:dyDescent="0.3">
      <c r="A36" s="45" t="s">
        <v>265</v>
      </c>
      <c r="B36" s="41"/>
      <c r="C36" s="41">
        <v>90.18</v>
      </c>
      <c r="D36" s="41">
        <v>78.86</v>
      </c>
      <c r="E36" s="41">
        <v>83.11</v>
      </c>
      <c r="F36" s="41">
        <v>94.38</v>
      </c>
      <c r="G36" s="41">
        <v>100.28</v>
      </c>
      <c r="H36" s="41">
        <v>94.51</v>
      </c>
      <c r="I36" s="47">
        <v>87.707136258660512</v>
      </c>
      <c r="K36" s="1152">
        <v>2020</v>
      </c>
      <c r="L36" s="48">
        <v>29260.1</v>
      </c>
      <c r="M36" s="49">
        <v>877803</v>
      </c>
      <c r="N36" s="1151">
        <v>0.06</v>
      </c>
    </row>
    <row r="37" spans="1:14" x14ac:dyDescent="0.25">
      <c r="A37" s="45" t="s">
        <v>266</v>
      </c>
      <c r="B37" s="41"/>
      <c r="C37" s="41">
        <v>90.2</v>
      </c>
      <c r="D37" s="41">
        <v>78.53</v>
      </c>
      <c r="E37" s="41">
        <v>83.18</v>
      </c>
      <c r="F37" s="41">
        <v>94.4</v>
      </c>
      <c r="G37" s="41">
        <v>116.06</v>
      </c>
      <c r="H37" s="41">
        <v>94.64</v>
      </c>
      <c r="I37" s="50"/>
      <c r="K37" s="1153">
        <v>2021</v>
      </c>
      <c r="L37" s="48">
        <v>30284.2</v>
      </c>
      <c r="M37" s="46">
        <v>908526</v>
      </c>
      <c r="N37" s="1151">
        <v>3.5000000000000003E-2</v>
      </c>
    </row>
    <row r="38" spans="1:14" x14ac:dyDescent="0.25">
      <c r="A38" s="45" t="s">
        <v>267</v>
      </c>
      <c r="B38" s="41"/>
      <c r="C38" s="41">
        <v>88.17</v>
      </c>
      <c r="D38" s="41">
        <v>78.88</v>
      </c>
      <c r="E38" s="41">
        <v>84.59</v>
      </c>
      <c r="F38" s="41">
        <v>94.45</v>
      </c>
      <c r="G38" s="41">
        <v>116.74</v>
      </c>
      <c r="H38" s="41">
        <v>91.47</v>
      </c>
      <c r="I38" s="50"/>
      <c r="K38" s="1152">
        <v>2022</v>
      </c>
      <c r="L38" s="48">
        <f>+M38/30</f>
        <v>33333.333333333336</v>
      </c>
      <c r="M38" s="49">
        <v>1000000</v>
      </c>
      <c r="N38" s="1151">
        <f>+M38/M37-1</f>
        <v>0.10068396501586085</v>
      </c>
    </row>
    <row r="39" spans="1:14" x14ac:dyDescent="0.25">
      <c r="A39" s="45" t="s">
        <v>268</v>
      </c>
      <c r="B39" s="41"/>
      <c r="C39" s="41">
        <v>86.67</v>
      </c>
      <c r="D39" s="41">
        <v>81.55</v>
      </c>
      <c r="E39" s="41">
        <v>86.63</v>
      </c>
      <c r="F39" s="41">
        <v>96.25</v>
      </c>
      <c r="G39" s="41">
        <v>116.16</v>
      </c>
      <c r="H39" s="41">
        <v>90.47</v>
      </c>
      <c r="I39" s="50"/>
      <c r="K39" s="1153">
        <v>2023</v>
      </c>
      <c r="L39" s="51">
        <f>+M39/30</f>
        <v>38666.666666666664</v>
      </c>
      <c r="M39" s="46">
        <v>1160000</v>
      </c>
      <c r="N39" s="1151">
        <f>+M39/M38-1</f>
        <v>0.15999999999999992</v>
      </c>
    </row>
    <row r="40" spans="1:14" x14ac:dyDescent="0.25">
      <c r="A40" s="45" t="s">
        <v>269</v>
      </c>
      <c r="B40" s="41"/>
      <c r="C40" s="41">
        <v>86.79</v>
      </c>
      <c r="D40" s="41">
        <v>80.8</v>
      </c>
      <c r="E40" s="41">
        <v>86.69</v>
      </c>
      <c r="F40" s="41">
        <v>98.58</v>
      </c>
      <c r="G40" s="41">
        <v>118.79</v>
      </c>
      <c r="H40" s="41">
        <v>89.02</v>
      </c>
      <c r="I40" s="50"/>
      <c r="K40" s="1152">
        <v>2024</v>
      </c>
      <c r="L40" s="48">
        <f>+M40/30</f>
        <v>43333.333333333336</v>
      </c>
      <c r="M40" s="49">
        <v>1300000</v>
      </c>
      <c r="N40" s="1151">
        <f>+M40/M39-1</f>
        <v>0.1206896551724137</v>
      </c>
    </row>
    <row r="41" spans="1:14" ht="15" thickBot="1" x14ac:dyDescent="0.3">
      <c r="A41" s="45" t="s">
        <v>270</v>
      </c>
      <c r="B41" s="42"/>
      <c r="C41" s="41">
        <v>84.98</v>
      </c>
      <c r="D41" s="41">
        <v>82.35</v>
      </c>
      <c r="E41" s="41">
        <v>86.43</v>
      </c>
      <c r="F41" s="41">
        <v>99.94</v>
      </c>
      <c r="G41" s="41">
        <v>117</v>
      </c>
      <c r="H41" s="41">
        <v>88.17</v>
      </c>
      <c r="I41" s="50"/>
      <c r="K41" s="1153">
        <v>2025</v>
      </c>
      <c r="L41" s="48">
        <f>+M41/30</f>
        <v>47450</v>
      </c>
      <c r="M41" s="46">
        <v>1423500</v>
      </c>
      <c r="N41" s="1151">
        <f>+M41/M40-1</f>
        <v>9.4999999999999973E-2</v>
      </c>
    </row>
    <row r="42" spans="1:14" ht="15" thickBot="1" x14ac:dyDescent="0.3">
      <c r="A42" s="52" t="s">
        <v>271</v>
      </c>
      <c r="B42" s="53">
        <v>100</v>
      </c>
      <c r="C42" s="54">
        <v>84.08</v>
      </c>
      <c r="D42" s="55">
        <v>82.52</v>
      </c>
      <c r="E42" s="55">
        <v>88.46</v>
      </c>
      <c r="F42" s="41">
        <v>99.55</v>
      </c>
      <c r="G42" s="41">
        <v>113.99</v>
      </c>
      <c r="H42" s="41">
        <v>87.46</v>
      </c>
      <c r="I42" s="56"/>
      <c r="K42" s="1154">
        <v>2026</v>
      </c>
      <c r="L42" s="48">
        <v>58363.5</v>
      </c>
      <c r="M42" s="1155">
        <v>1750905</v>
      </c>
      <c r="N42" s="1151">
        <v>0.22999999999999998</v>
      </c>
    </row>
    <row r="43" spans="1:14" ht="15" thickBot="1" x14ac:dyDescent="0.3">
      <c r="D43" s="78">
        <f>+D42/C42-1</f>
        <v>-1.8553758325404401E-2</v>
      </c>
      <c r="E43" s="78">
        <f>+E42/D42-1</f>
        <v>7.1982549684924901E-2</v>
      </c>
      <c r="F43" s="78">
        <f>+F42/E42-1</f>
        <v>0.12536739769387295</v>
      </c>
      <c r="G43" s="78">
        <f>+G42/F42-1</f>
        <v>0.14505273731793067</v>
      </c>
      <c r="H43" s="78">
        <f>+H42/G42-1</f>
        <v>-0.23273971401000093</v>
      </c>
    </row>
    <row r="44" spans="1:14" ht="15" thickBot="1" x14ac:dyDescent="0.3">
      <c r="H44" s="79">
        <f>AVERAGE(E43:G43)</f>
        <v>0.11413422823224284</v>
      </c>
    </row>
  </sheetData>
  <mergeCells count="7">
    <mergeCell ref="A28:I28"/>
    <mergeCell ref="L28:N28"/>
    <mergeCell ref="A1:T1"/>
    <mergeCell ref="A24:H24"/>
    <mergeCell ref="A25:H25"/>
    <mergeCell ref="A5:Y5"/>
    <mergeCell ref="A3:Y4"/>
  </mergeCells>
  <printOptions horizontalCentered="1" verticalCentered="1"/>
  <pageMargins left="0.75000000000000011" right="0.75000000000000011" top="1" bottom="1" header="0.5" footer="0.5"/>
  <pageSetup scale="40" orientation="portrait" horizontalDpi="4294967292" verticalDpi="4294967292" r:id="rId1"/>
  <headerFooter alignWithMargins="0"/>
  <drawing r:id="rId2"/>
  <legacyDrawing r:id="rId3"/>
  <tableParts count="1">
    <tablePart r:id="rId4"/>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7">
    <tabColor theme="0" tint="-0.249977111117893"/>
  </sheetPr>
  <dimension ref="A1:AF358"/>
  <sheetViews>
    <sheetView showGridLines="0" zoomScale="130" zoomScaleNormal="130" workbookViewId="0">
      <selection activeCell="V35" sqref="V35"/>
    </sheetView>
  </sheetViews>
  <sheetFormatPr baseColWidth="10" defaultColWidth="8.625" defaultRowHeight="15" x14ac:dyDescent="0.25"/>
  <cols>
    <col min="1" max="1" width="52.25" style="58" customWidth="1"/>
    <col min="2" max="2" width="12.875" style="58" customWidth="1"/>
    <col min="3" max="3" width="12.625" style="58" customWidth="1"/>
    <col min="4" max="4" width="14.25" style="58" customWidth="1"/>
    <col min="5" max="5" width="11.875" style="58" customWidth="1"/>
    <col min="6" max="6" width="47" style="58" customWidth="1"/>
    <col min="7" max="7" width="82.625" customWidth="1"/>
    <col min="8" max="8" width="8.625" customWidth="1"/>
    <col min="9" max="9" width="10.5" customWidth="1"/>
    <col min="10" max="10" width="9.625" customWidth="1"/>
    <col min="11" max="11" width="10" customWidth="1"/>
    <col min="12" max="12" width="13.375" customWidth="1"/>
    <col min="13" max="13" width="11.25" customWidth="1"/>
    <col min="14" max="14" width="9.75" customWidth="1"/>
    <col min="15" max="15" width="10.5" customWidth="1"/>
    <col min="16" max="16" width="11.375" customWidth="1"/>
    <col min="17" max="17" width="14" customWidth="1"/>
    <col min="18" max="18" width="12.375" customWidth="1"/>
    <col min="19" max="19" width="14.75" customWidth="1"/>
    <col min="20" max="20" width="13" customWidth="1"/>
    <col min="21" max="21" width="12.625" customWidth="1"/>
    <col min="22" max="22" width="7.625" customWidth="1"/>
    <col min="23" max="24" width="7" customWidth="1"/>
    <col min="25" max="25" width="8" customWidth="1"/>
    <col min="26" max="26" width="8.125" customWidth="1"/>
    <col min="27" max="27" width="8" customWidth="1"/>
    <col min="28" max="28" width="7.5" customWidth="1"/>
    <col min="29" max="29" width="9.125" customWidth="1"/>
    <col min="30" max="30" width="11" customWidth="1"/>
    <col min="31" max="31" width="9.25" customWidth="1"/>
    <col min="32" max="32" width="7" customWidth="1"/>
    <col min="33" max="16384" width="8.625" style="58"/>
  </cols>
  <sheetData>
    <row r="1" spans="1:32" ht="15.75" x14ac:dyDescent="0.25">
      <c r="A1" s="57" t="s">
        <v>289</v>
      </c>
    </row>
    <row r="2" spans="1:32" ht="26.25" x14ac:dyDescent="0.4">
      <c r="A2" s="59" t="s">
        <v>290</v>
      </c>
      <c r="G2" s="1827" t="s">
        <v>935</v>
      </c>
      <c r="H2" s="1827"/>
      <c r="I2" s="1827"/>
      <c r="J2" s="1827"/>
      <c r="K2" s="1827"/>
      <c r="L2" s="1827"/>
      <c r="M2" s="1827"/>
      <c r="N2" s="1827"/>
      <c r="O2" s="1827"/>
      <c r="P2" s="1827"/>
      <c r="Q2" s="1827"/>
      <c r="R2" s="1827"/>
      <c r="S2" s="1827"/>
      <c r="T2" s="1827"/>
      <c r="Y2" s="158"/>
    </row>
    <row r="3" spans="1:32" x14ac:dyDescent="0.25">
      <c r="A3" s="60" t="s">
        <v>291</v>
      </c>
      <c r="G3" s="1828" t="s">
        <v>936</v>
      </c>
      <c r="H3" s="1828"/>
      <c r="I3" s="1828"/>
      <c r="J3" s="1828"/>
      <c r="K3" s="1828"/>
      <c r="L3" s="1828"/>
      <c r="M3" s="1828"/>
      <c r="N3" s="1828"/>
      <c r="O3" s="1828"/>
      <c r="P3" s="1828"/>
      <c r="Q3" s="1828"/>
      <c r="R3" s="1828"/>
      <c r="S3" s="1828"/>
      <c r="T3" s="1828"/>
    </row>
    <row r="4" spans="1:32" x14ac:dyDescent="0.25">
      <c r="A4" s="61" t="s">
        <v>292</v>
      </c>
      <c r="G4" s="158"/>
      <c r="H4" s="1012"/>
    </row>
    <row r="5" spans="1:32" x14ac:dyDescent="0.25">
      <c r="A5" s="61" t="s">
        <v>291</v>
      </c>
      <c r="G5" s="1829" t="s">
        <v>937</v>
      </c>
      <c r="H5" s="1829"/>
      <c r="I5" s="1829"/>
      <c r="J5" s="1829"/>
      <c r="K5" s="1829"/>
      <c r="L5" s="1829"/>
      <c r="M5" s="1829"/>
      <c r="N5" s="1829"/>
      <c r="O5" s="1829"/>
      <c r="P5" s="1829"/>
      <c r="Q5" s="1829"/>
      <c r="R5" s="1829"/>
      <c r="S5" s="1829"/>
      <c r="T5" s="1829"/>
    </row>
    <row r="6" spans="1:32" ht="24" x14ac:dyDescent="0.25">
      <c r="A6" s="61" t="s">
        <v>293</v>
      </c>
      <c r="G6" s="1829" t="s">
        <v>938</v>
      </c>
      <c r="H6" s="1829"/>
      <c r="I6" s="1829"/>
      <c r="J6" s="1829"/>
      <c r="K6" s="1829"/>
      <c r="L6" s="1829"/>
      <c r="M6" s="1829"/>
      <c r="N6" s="1829"/>
      <c r="O6" s="1829"/>
      <c r="P6" s="1829"/>
      <c r="Q6" s="1829"/>
      <c r="R6" s="1829"/>
      <c r="S6" s="1829"/>
      <c r="T6" s="1829"/>
    </row>
    <row r="7" spans="1:32" x14ac:dyDescent="0.25">
      <c r="A7" s="60" t="s">
        <v>291</v>
      </c>
      <c r="G7" s="1829" t="s">
        <v>939</v>
      </c>
      <c r="H7" s="1829"/>
      <c r="I7" s="1829"/>
      <c r="J7" s="1829"/>
      <c r="K7" s="1829"/>
      <c r="L7" s="1829"/>
      <c r="M7" s="1829"/>
      <c r="N7" s="1829"/>
      <c r="O7" s="1829"/>
      <c r="P7" s="1829"/>
      <c r="Q7" s="1829"/>
      <c r="R7" s="1829"/>
      <c r="S7" s="1829"/>
      <c r="T7" s="1829"/>
    </row>
    <row r="8" spans="1:32" ht="15" customHeight="1" x14ac:dyDescent="0.25">
      <c r="A8" s="62" t="s">
        <v>294</v>
      </c>
      <c r="B8" s="63" t="s">
        <v>295</v>
      </c>
      <c r="C8" s="64" t="s">
        <v>296</v>
      </c>
      <c r="D8" s="64" t="s">
        <v>297</v>
      </c>
      <c r="E8" s="65" t="s">
        <v>298</v>
      </c>
    </row>
    <row r="9" spans="1:32" ht="15" customHeight="1" x14ac:dyDescent="0.25">
      <c r="A9" s="66">
        <v>202106</v>
      </c>
      <c r="B9" s="67">
        <v>3.63</v>
      </c>
      <c r="C9" s="68">
        <v>4</v>
      </c>
      <c r="D9" s="67">
        <v>3</v>
      </c>
      <c r="E9" s="69">
        <v>2</v>
      </c>
      <c r="G9" s="1830" t="s">
        <v>940</v>
      </c>
      <c r="H9" s="1831"/>
      <c r="I9" s="1831"/>
      <c r="J9" s="1831"/>
      <c r="K9" s="1831"/>
      <c r="L9" s="1831"/>
      <c r="M9" s="1831"/>
      <c r="N9" s="1831"/>
      <c r="O9" s="1831"/>
      <c r="P9" s="1831"/>
      <c r="Q9" s="1831"/>
      <c r="R9" s="1831"/>
      <c r="S9" s="1831"/>
      <c r="T9" s="1831"/>
      <c r="U9" s="1831"/>
      <c r="V9" s="1831"/>
      <c r="W9" s="1831"/>
      <c r="X9" s="1831"/>
      <c r="Y9" s="1831"/>
      <c r="Z9" s="1831"/>
      <c r="AA9" s="1831"/>
      <c r="AB9" s="1831"/>
      <c r="AC9" s="1831"/>
      <c r="AD9" s="1831"/>
      <c r="AE9" s="1831"/>
      <c r="AF9" s="1831"/>
    </row>
    <row r="10" spans="1:32" ht="12.75" customHeight="1" x14ac:dyDescent="0.25">
      <c r="A10" s="70">
        <v>202105</v>
      </c>
      <c r="B10" s="71">
        <v>3.3</v>
      </c>
      <c r="C10" s="72">
        <v>4</v>
      </c>
      <c r="D10" s="71">
        <v>3</v>
      </c>
      <c r="E10" s="73">
        <v>2</v>
      </c>
      <c r="G10" s="1013"/>
      <c r="H10" s="1832" t="s">
        <v>941</v>
      </c>
      <c r="I10" s="1832"/>
      <c r="J10" s="1832"/>
      <c r="K10" s="1832"/>
      <c r="L10" s="1832"/>
      <c r="M10" s="1832"/>
      <c r="N10" s="1832"/>
      <c r="O10" s="1832"/>
      <c r="P10" s="1833"/>
      <c r="Q10" s="1834" t="s">
        <v>942</v>
      </c>
      <c r="R10" s="1832"/>
      <c r="S10" s="1832"/>
      <c r="T10" s="1832"/>
      <c r="U10" s="1833"/>
      <c r="V10" s="1834" t="s">
        <v>943</v>
      </c>
      <c r="W10" s="1832"/>
      <c r="X10" s="1832"/>
      <c r="Y10" s="1832"/>
      <c r="Z10" s="1832"/>
      <c r="AA10" s="1833"/>
      <c r="AB10" s="1834" t="s">
        <v>944</v>
      </c>
      <c r="AC10" s="1832"/>
      <c r="AD10" s="1832"/>
      <c r="AE10" s="1832"/>
      <c r="AF10" s="1832"/>
    </row>
    <row r="11" spans="1:32" ht="62.25" customHeight="1" x14ac:dyDescent="0.25">
      <c r="A11" s="66">
        <v>202104</v>
      </c>
      <c r="B11" s="67">
        <v>1.95</v>
      </c>
      <c r="C11" s="68">
        <v>4</v>
      </c>
      <c r="D11" s="67">
        <v>3</v>
      </c>
      <c r="E11" s="69">
        <v>2</v>
      </c>
      <c r="G11" s="1014" t="s">
        <v>395</v>
      </c>
      <c r="H11" s="1015" t="s">
        <v>945</v>
      </c>
      <c r="I11" s="1015" t="s">
        <v>946</v>
      </c>
      <c r="J11" s="1015" t="s">
        <v>947</v>
      </c>
      <c r="K11" s="1015" t="s">
        <v>948</v>
      </c>
      <c r="L11" s="1015" t="s">
        <v>949</v>
      </c>
      <c r="M11" s="1015" t="s">
        <v>950</v>
      </c>
      <c r="N11" s="1015" t="s">
        <v>951</v>
      </c>
      <c r="O11" s="1015" t="s">
        <v>952</v>
      </c>
      <c r="P11" s="1015" t="s">
        <v>953</v>
      </c>
      <c r="Q11" s="1015" t="s">
        <v>954</v>
      </c>
      <c r="R11" s="1015" t="s">
        <v>955</v>
      </c>
      <c r="S11" s="1015" t="s">
        <v>956</v>
      </c>
      <c r="T11" s="1015" t="s">
        <v>957</v>
      </c>
      <c r="U11" s="1015" t="s">
        <v>958</v>
      </c>
      <c r="V11" s="1015" t="s">
        <v>959</v>
      </c>
      <c r="W11" s="1015" t="s">
        <v>960</v>
      </c>
      <c r="X11" s="1015" t="s">
        <v>961</v>
      </c>
      <c r="Y11" s="1015" t="s">
        <v>962</v>
      </c>
      <c r="Z11" s="1015" t="s">
        <v>963</v>
      </c>
      <c r="AA11" s="1015" t="s">
        <v>964</v>
      </c>
      <c r="AB11" s="1015" t="s">
        <v>965</v>
      </c>
      <c r="AC11" s="1015" t="s">
        <v>966</v>
      </c>
      <c r="AD11" s="1015" t="s">
        <v>967</v>
      </c>
      <c r="AE11" s="1015" t="s">
        <v>968</v>
      </c>
      <c r="AF11" s="1016" t="s">
        <v>969</v>
      </c>
    </row>
    <row r="12" spans="1:32" ht="15" customHeight="1" x14ac:dyDescent="0.25">
      <c r="A12" s="70">
        <v>202103</v>
      </c>
      <c r="B12" s="71">
        <v>1.51</v>
      </c>
      <c r="C12" s="72">
        <v>4</v>
      </c>
      <c r="D12" s="71">
        <v>3</v>
      </c>
      <c r="E12" s="73">
        <v>2</v>
      </c>
      <c r="G12" s="1017">
        <v>2006</v>
      </c>
      <c r="H12" s="1018">
        <v>6.7168686984440118E-2</v>
      </c>
      <c r="I12" s="1019">
        <v>549435</v>
      </c>
      <c r="J12" s="1018">
        <v>0.12914622527059572</v>
      </c>
      <c r="K12" s="1019">
        <v>381603.99999999872</v>
      </c>
      <c r="L12" s="1018">
        <v>6.3691966244290077E-2</v>
      </c>
      <c r="M12" s="1019">
        <v>370953</v>
      </c>
      <c r="N12" s="1018">
        <v>0.128995222055</v>
      </c>
      <c r="O12" s="1018">
        <v>-3.4246818475154595E-2</v>
      </c>
      <c r="P12" s="1018">
        <v>0.40274948817293216</v>
      </c>
      <c r="Q12" s="1020">
        <v>65.146666666666675</v>
      </c>
      <c r="R12" s="1020">
        <v>24511.970117770015</v>
      </c>
      <c r="S12" s="1020">
        <v>26162.33967188</v>
      </c>
      <c r="T12" s="1018">
        <v>-1.8465793119896348E-2</v>
      </c>
      <c r="U12" s="1020">
        <v>2358.5946052631575</v>
      </c>
      <c r="V12" s="1018">
        <v>4.4804088586030577E-2</v>
      </c>
      <c r="W12" s="1018">
        <v>5.5405231284628265E-2</v>
      </c>
      <c r="X12" s="1021">
        <v>7.4999999999999997E-2</v>
      </c>
      <c r="Y12" s="1021">
        <v>6.2741666666666668E-2</v>
      </c>
      <c r="Z12" s="1021"/>
      <c r="AA12" s="1021">
        <v>9.1502387534151658E-2</v>
      </c>
      <c r="AB12" s="1018">
        <v>2.7864622412766826E-2</v>
      </c>
      <c r="AC12" s="1018">
        <v>4.6083333333333337E-2</v>
      </c>
      <c r="AD12" s="1018">
        <v>2.2867522344251823E-2</v>
      </c>
      <c r="AE12" s="1021"/>
      <c r="AF12" s="1021"/>
    </row>
    <row r="13" spans="1:32" ht="15" customHeight="1" x14ac:dyDescent="0.25">
      <c r="A13" s="66">
        <v>202102</v>
      </c>
      <c r="B13" s="67">
        <v>1.56</v>
      </c>
      <c r="C13" s="68">
        <v>4</v>
      </c>
      <c r="D13" s="67">
        <v>3</v>
      </c>
      <c r="E13" s="69">
        <v>2</v>
      </c>
      <c r="G13" s="1022">
        <v>2007</v>
      </c>
      <c r="H13" s="1023">
        <v>6.738194690909749E-2</v>
      </c>
      <c r="I13" s="1024">
        <v>586457</v>
      </c>
      <c r="J13" s="1023">
        <v>0.12290751669269717</v>
      </c>
      <c r="K13" s="1024">
        <v>428505.99999999854</v>
      </c>
      <c r="L13" s="1023">
        <v>6.5528517089766369E-2</v>
      </c>
      <c r="M13" s="1024">
        <v>395261.00000000012</v>
      </c>
      <c r="N13" s="1023">
        <v>0.1142897152825</v>
      </c>
      <c r="O13" s="1023">
        <v>-2.7102601168909835E-2</v>
      </c>
      <c r="P13" s="1023">
        <v>0.36534443452495569</v>
      </c>
      <c r="Q13" s="1025">
        <v>72.465000000000003</v>
      </c>
      <c r="R13" s="1025">
        <v>30279.238917540013</v>
      </c>
      <c r="S13" s="1025">
        <v>32897.045324870007</v>
      </c>
      <c r="T13" s="1023">
        <v>-3.0513857693767001E-2</v>
      </c>
      <c r="U13" s="1026">
        <v>2077.8109583333335</v>
      </c>
      <c r="V13" s="1023">
        <v>5.6905266590575598E-2</v>
      </c>
      <c r="W13" s="1023">
        <v>1.2696862409962151E-2</v>
      </c>
      <c r="X13" s="1027">
        <v>9.5000000000000001E-2</v>
      </c>
      <c r="Y13" s="1027">
        <v>8.0141666666666667E-2</v>
      </c>
      <c r="Z13" s="1027"/>
      <c r="AA13" s="1027">
        <v>9.9876750479682419E-2</v>
      </c>
      <c r="AB13" s="1023">
        <v>2.0031251124493221E-2</v>
      </c>
      <c r="AC13" s="1023">
        <v>4.6166666666666661E-2</v>
      </c>
      <c r="AD13" s="1023">
        <v>3.4716342082980578E-2</v>
      </c>
      <c r="AE13" s="1027"/>
      <c r="AF13" s="1027"/>
    </row>
    <row r="14" spans="1:32" ht="15" customHeight="1" x14ac:dyDescent="0.25">
      <c r="A14" s="70">
        <v>202101</v>
      </c>
      <c r="B14" s="71">
        <v>1.6</v>
      </c>
      <c r="C14" s="72">
        <v>4</v>
      </c>
      <c r="D14" s="71">
        <v>3</v>
      </c>
      <c r="E14" s="73">
        <v>2</v>
      </c>
      <c r="G14" s="1022">
        <v>2008</v>
      </c>
      <c r="H14" s="1023">
        <v>3.2834461861654063E-2</v>
      </c>
      <c r="I14" s="1024">
        <v>605713</v>
      </c>
      <c r="J14" s="1023">
        <v>0.11212911837873918</v>
      </c>
      <c r="K14" s="1024">
        <v>476553.99999999837</v>
      </c>
      <c r="L14" s="1023">
        <v>4.1150024920242334E-2</v>
      </c>
      <c r="M14" s="1024">
        <v>411526</v>
      </c>
      <c r="N14" s="1023">
        <v>0.11560226709666667</v>
      </c>
      <c r="O14" s="1023">
        <v>-2.322457950457079E-2</v>
      </c>
      <c r="P14" s="1023">
        <v>0.36058431391747087</v>
      </c>
      <c r="Q14" s="1025">
        <v>96.847499999999997</v>
      </c>
      <c r="R14" s="1025">
        <v>36786.375287389972</v>
      </c>
      <c r="S14" s="1025">
        <v>39668.840527330001</v>
      </c>
      <c r="T14" s="1023">
        <v>-2.7148167329382189E-2</v>
      </c>
      <c r="U14" s="1026">
        <v>1965.1374999999998</v>
      </c>
      <c r="V14" s="1023">
        <v>7.682813946312872E-2</v>
      </c>
      <c r="W14" s="1023">
        <v>8.9933694996986002E-2</v>
      </c>
      <c r="X14" s="1027">
        <v>9.5000000000000001E-2</v>
      </c>
      <c r="Y14" s="1027">
        <v>9.7416666666666665E-2</v>
      </c>
      <c r="Z14" s="1027">
        <v>8.8370000000000004E-2</v>
      </c>
      <c r="AA14" s="1027">
        <v>0.11853445344047225</v>
      </c>
      <c r="AB14" s="1023">
        <v>1.2332388881339529E-3</v>
      </c>
      <c r="AC14" s="1023">
        <v>5.7999999999999996E-2</v>
      </c>
      <c r="AD14" s="1023">
        <v>1.2956901254774777E-3</v>
      </c>
      <c r="AE14" s="1027">
        <v>2.5000000000000001E-3</v>
      </c>
      <c r="AF14" s="1027"/>
    </row>
    <row r="15" spans="1:32" ht="15" customHeight="1" x14ac:dyDescent="0.25">
      <c r="A15" s="66">
        <v>202012</v>
      </c>
      <c r="B15" s="67">
        <v>1.61</v>
      </c>
      <c r="C15" s="68">
        <v>4</v>
      </c>
      <c r="D15" s="67">
        <v>3</v>
      </c>
      <c r="E15" s="69">
        <v>2</v>
      </c>
      <c r="G15" s="1022">
        <v>2009</v>
      </c>
      <c r="H15" s="1023">
        <v>1.1396486454806176E-2</v>
      </c>
      <c r="I15" s="1024">
        <v>612616</v>
      </c>
      <c r="J15" s="1023">
        <v>5.250192003424603E-2</v>
      </c>
      <c r="K15" s="1024">
        <v>501573.99999999837</v>
      </c>
      <c r="L15" s="1023">
        <v>1.7082760263021246E-2</v>
      </c>
      <c r="M15" s="1024">
        <v>418556.00000000006</v>
      </c>
      <c r="N15" s="1023">
        <v>0.1311253489825</v>
      </c>
      <c r="O15" s="1023">
        <v>-4.1300034804137055E-2</v>
      </c>
      <c r="P15" s="1023">
        <v>0.37904102466773426</v>
      </c>
      <c r="Q15" s="1025">
        <v>61.489999999999995</v>
      </c>
      <c r="R15" s="1025">
        <v>32846.326710189998</v>
      </c>
      <c r="S15" s="1025">
        <v>32891.028704139993</v>
      </c>
      <c r="T15" s="1023">
        <v>-1.8654973630480652E-2</v>
      </c>
      <c r="U15" s="1026">
        <v>2157.5983333333334</v>
      </c>
      <c r="V15" s="1023">
        <v>2.0057306590258062E-2</v>
      </c>
      <c r="W15" s="1023">
        <v>-2.1900232275190668E-2</v>
      </c>
      <c r="X15" s="1027">
        <v>3.5000000000000003E-2</v>
      </c>
      <c r="Y15" s="1027">
        <v>6.1441666666666665E-2</v>
      </c>
      <c r="Z15" s="1027">
        <v>2.9569999999999999E-2</v>
      </c>
      <c r="AA15" s="1027">
        <v>9.5350884735761504E-2</v>
      </c>
      <c r="AB15" s="1023">
        <v>-2.5600769689001074E-2</v>
      </c>
      <c r="AC15" s="1023">
        <v>9.2833333333333337E-2</v>
      </c>
      <c r="AD15" s="1023">
        <v>2.0897182682921178E-2</v>
      </c>
      <c r="AE15" s="1027">
        <v>2.5000000000000001E-3</v>
      </c>
      <c r="AF15" s="1027"/>
    </row>
    <row r="16" spans="1:32" ht="15" customHeight="1" x14ac:dyDescent="0.25">
      <c r="A16" s="70">
        <v>202011</v>
      </c>
      <c r="B16" s="71">
        <v>1.49</v>
      </c>
      <c r="C16" s="72">
        <v>4</v>
      </c>
      <c r="D16" s="71">
        <v>3</v>
      </c>
      <c r="E16" s="73">
        <v>2</v>
      </c>
      <c r="G16" s="1022">
        <v>2010</v>
      </c>
      <c r="H16" s="1023">
        <v>4.4946589707092199E-2</v>
      </c>
      <c r="I16" s="1024">
        <v>640151</v>
      </c>
      <c r="J16" s="1023">
        <v>8.470534756586301E-2</v>
      </c>
      <c r="K16" s="1024">
        <v>544059.99999999837</v>
      </c>
      <c r="L16" s="1023">
        <v>5.0526094477202355E-2</v>
      </c>
      <c r="M16" s="1024">
        <v>439704</v>
      </c>
      <c r="N16" s="1023">
        <v>0.12605749999999999</v>
      </c>
      <c r="O16" s="1023">
        <v>-3.8633661266280317E-2</v>
      </c>
      <c r="P16" s="1023">
        <v>0.38437760277734506</v>
      </c>
      <c r="Q16" s="1025">
        <v>79.511666666666656</v>
      </c>
      <c r="R16" s="1025">
        <v>39713.336400439992</v>
      </c>
      <c r="S16" s="1025">
        <v>40485.555689789995</v>
      </c>
      <c r="T16" s="1023">
        <v>-2.92900435321913E-2</v>
      </c>
      <c r="U16" s="1026">
        <v>1898.9975000000002</v>
      </c>
      <c r="V16" s="1023">
        <v>3.1601123595505598E-2</v>
      </c>
      <c r="W16" s="1023">
        <v>4.3763428700667184E-2</v>
      </c>
      <c r="X16" s="1027">
        <v>0.03</v>
      </c>
      <c r="Y16" s="1027">
        <v>3.6616666666666672E-2</v>
      </c>
      <c r="Z16" s="1027">
        <v>3.0439999999999998E-2</v>
      </c>
      <c r="AA16" s="1027">
        <v>8.3999978635739367E-2</v>
      </c>
      <c r="AB16" s="1023">
        <v>2.6947577592800087E-2</v>
      </c>
      <c r="AC16" s="1023">
        <v>9.608333333333334E-2</v>
      </c>
      <c r="AD16" s="1023">
        <v>1.477668197333748E-2</v>
      </c>
      <c r="AE16" s="1027">
        <v>2.5000000000000001E-3</v>
      </c>
      <c r="AF16" s="1027"/>
    </row>
    <row r="17" spans="1:32" ht="15" customHeight="1" x14ac:dyDescent="0.25">
      <c r="A17" s="66">
        <v>202010</v>
      </c>
      <c r="B17" s="67">
        <v>1.75</v>
      </c>
      <c r="C17" s="68">
        <v>4</v>
      </c>
      <c r="D17" s="67">
        <v>3</v>
      </c>
      <c r="E17" s="69">
        <v>2</v>
      </c>
      <c r="G17" s="1022">
        <v>2011</v>
      </c>
      <c r="H17" s="1023">
        <v>6.9478919817355544E-2</v>
      </c>
      <c r="I17" s="1024">
        <v>684628</v>
      </c>
      <c r="J17" s="1023">
        <v>0.13778443554019826</v>
      </c>
      <c r="K17" s="1024">
        <v>619022.99999999837</v>
      </c>
      <c r="L17" s="1023">
        <v>5.5007459563706451E-2</v>
      </c>
      <c r="M17" s="1024">
        <v>463891</v>
      </c>
      <c r="N17" s="1023">
        <v>0.11612208333333333</v>
      </c>
      <c r="O17" s="1023">
        <v>-2.8281202696742731E-2</v>
      </c>
      <c r="P17" s="1023">
        <v>0.36285007561086169</v>
      </c>
      <c r="Q17" s="1025">
        <v>111.26416666666665</v>
      </c>
      <c r="R17" s="1025">
        <v>56914.939110339968</v>
      </c>
      <c r="S17" s="1025">
        <v>54232.569162209998</v>
      </c>
      <c r="T17" s="1023">
        <v>-2.8855067809800919E-2</v>
      </c>
      <c r="U17" s="1026">
        <v>1848.0166666666669</v>
      </c>
      <c r="V17" s="1023">
        <v>3.7304288631722082E-2</v>
      </c>
      <c r="W17" s="1023">
        <v>5.5146262188515704E-2</v>
      </c>
      <c r="X17" s="1027">
        <v>4.7500000000000001E-2</v>
      </c>
      <c r="Y17" s="1027">
        <v>4.2066666666666662E-2</v>
      </c>
      <c r="Z17" s="1027">
        <v>4.8189999999999997E-2</v>
      </c>
      <c r="AA17" s="1027">
        <v>8.065342467047959E-2</v>
      </c>
      <c r="AB17" s="1023">
        <v>1.5668088500843225E-2</v>
      </c>
      <c r="AC17" s="1023">
        <v>8.9333333333333334E-2</v>
      </c>
      <c r="AD17" s="1023">
        <v>2.5266248849541872E-2</v>
      </c>
      <c r="AE17" s="1027">
        <v>2.5000000000000001E-3</v>
      </c>
      <c r="AF17" s="1027"/>
    </row>
    <row r="18" spans="1:32" ht="15" customHeight="1" x14ac:dyDescent="0.25">
      <c r="A18" s="70">
        <v>202009</v>
      </c>
      <c r="B18" s="71">
        <v>1.97</v>
      </c>
      <c r="C18" s="72">
        <v>4</v>
      </c>
      <c r="D18" s="71">
        <v>3</v>
      </c>
      <c r="E18" s="73">
        <v>2</v>
      </c>
      <c r="G18" s="1022">
        <v>2012</v>
      </c>
      <c r="H18" s="1023">
        <v>3.9126357671611212E-2</v>
      </c>
      <c r="I18" s="1024">
        <v>711414.99999999988</v>
      </c>
      <c r="J18" s="1023">
        <v>7.6707973694030596E-2</v>
      </c>
      <c r="K18" s="1024">
        <v>666506.99999999814</v>
      </c>
      <c r="L18" s="1023">
        <v>5.6338665764155582E-2</v>
      </c>
      <c r="M18" s="1024">
        <v>490025.99999999988</v>
      </c>
      <c r="N18" s="1023">
        <v>0.11421466666666666</v>
      </c>
      <c r="O18" s="1023">
        <v>-2.3165024854166605E-2</v>
      </c>
      <c r="P18" s="1023">
        <v>0.34198177423862802</v>
      </c>
      <c r="Q18" s="1025">
        <v>111.65166666666666</v>
      </c>
      <c r="R18" s="1025">
        <v>60125.165917929982</v>
      </c>
      <c r="S18" s="1025">
        <v>59111.401322799997</v>
      </c>
      <c r="T18" s="1023">
        <v>-3.1330136161364583E-2</v>
      </c>
      <c r="U18" s="1026">
        <v>1798.0116666666668</v>
      </c>
      <c r="V18" s="1023">
        <v>2.4412652579078653E-2</v>
      </c>
      <c r="W18" s="1023">
        <v>-2.9571824622651177E-2</v>
      </c>
      <c r="X18" s="1027">
        <v>4.2500000000000003E-2</v>
      </c>
      <c r="Y18" s="1027">
        <v>5.3541666666666661E-2</v>
      </c>
      <c r="Z18" s="1027">
        <v>4.2430000000000002E-2</v>
      </c>
      <c r="AA18" s="1027">
        <v>6.9006328387031371E-2</v>
      </c>
      <c r="AB18" s="1023">
        <v>2.2917423679611693E-2</v>
      </c>
      <c r="AC18" s="1023">
        <v>8.0750000000000002E-2</v>
      </c>
      <c r="AD18" s="1023">
        <v>1.6243828413875505E-2</v>
      </c>
      <c r="AE18" s="1027">
        <v>2.5000000000000001E-3</v>
      </c>
      <c r="AF18" s="1027"/>
    </row>
    <row r="19" spans="1:32" ht="15" customHeight="1" x14ac:dyDescent="0.25">
      <c r="A19" s="66">
        <v>202008</v>
      </c>
      <c r="B19" s="67">
        <v>1.88</v>
      </c>
      <c r="C19" s="68">
        <v>4</v>
      </c>
      <c r="D19" s="67">
        <v>3</v>
      </c>
      <c r="E19" s="69">
        <v>2</v>
      </c>
      <c r="G19" s="1022">
        <v>2013</v>
      </c>
      <c r="H19" s="1023">
        <v>5.1339935199567144E-2</v>
      </c>
      <c r="I19" s="1024">
        <v>747939</v>
      </c>
      <c r="J19" s="1023">
        <v>7.1396099365797827E-2</v>
      </c>
      <c r="K19" s="1024">
        <v>714092.99999999779</v>
      </c>
      <c r="L19" s="1023">
        <v>4.6268973483040154E-2</v>
      </c>
      <c r="M19" s="1024">
        <v>512699.00000000012</v>
      </c>
      <c r="N19" s="1023">
        <v>0.10850750000000001</v>
      </c>
      <c r="O19" s="1023">
        <v>-2.3309875927507301E-2</v>
      </c>
      <c r="P19" s="1023">
        <v>0.36645538733435906</v>
      </c>
      <c r="Q19" s="1025">
        <v>108.63749999999999</v>
      </c>
      <c r="R19" s="1025">
        <v>58826.371008579925</v>
      </c>
      <c r="S19" s="1025">
        <v>59381.211075630003</v>
      </c>
      <c r="T19" s="1023">
        <v>-3.2341368521276337E-2</v>
      </c>
      <c r="U19" s="1026">
        <v>1868.895</v>
      </c>
      <c r="V19" s="1023">
        <v>1.9346572709801446E-2</v>
      </c>
      <c r="W19" s="1023">
        <v>-4.8672098190668533E-3</v>
      </c>
      <c r="X19" s="1027">
        <v>3.2500000000000001E-2</v>
      </c>
      <c r="Y19" s="1027">
        <v>4.2391666666666661E-2</v>
      </c>
      <c r="Z19" s="1027">
        <v>3.2239999999999998E-2</v>
      </c>
      <c r="AA19" s="1027">
        <v>6.4272386177996799E-2</v>
      </c>
      <c r="AB19" s="1023">
        <v>2.1167435358216469E-2</v>
      </c>
      <c r="AC19" s="1023">
        <v>7.3583333333333334E-2</v>
      </c>
      <c r="AD19" s="1023">
        <v>1.3881001955959427E-2</v>
      </c>
      <c r="AE19" s="1027">
        <v>2.5000000000000001E-3</v>
      </c>
      <c r="AF19" s="1027"/>
    </row>
    <row r="20" spans="1:32" ht="15" customHeight="1" x14ac:dyDescent="0.25">
      <c r="A20" s="70">
        <v>202007</v>
      </c>
      <c r="B20" s="71">
        <v>1.97</v>
      </c>
      <c r="C20" s="72">
        <v>4</v>
      </c>
      <c r="D20" s="71">
        <v>3</v>
      </c>
      <c r="E20" s="73">
        <v>2</v>
      </c>
      <c r="G20" s="1022">
        <v>2014</v>
      </c>
      <c r="H20" s="1023">
        <v>4.4990300011097384E-2</v>
      </c>
      <c r="I20" s="1024">
        <v>781589.00000000012</v>
      </c>
      <c r="J20" s="1023">
        <v>6.8352441488715332E-2</v>
      </c>
      <c r="K20" s="1024">
        <v>762902.99999999884</v>
      </c>
      <c r="L20" s="1023">
        <v>4.2490818199372171E-2</v>
      </c>
      <c r="M20" s="1024">
        <v>534484</v>
      </c>
      <c r="N20" s="1023">
        <v>0.10250483333333332</v>
      </c>
      <c r="O20" s="1023">
        <v>-2.4061323937102419E-2</v>
      </c>
      <c r="P20" s="1023">
        <v>0.39899222986321659</v>
      </c>
      <c r="Q20" s="1025">
        <v>99.023333333333341</v>
      </c>
      <c r="R20" s="1025">
        <v>54856.754566609903</v>
      </c>
      <c r="S20" s="1025">
        <v>64028.88370917998</v>
      </c>
      <c r="T20" s="1023">
        <v>-5.2052958998022203E-2</v>
      </c>
      <c r="U20" s="1026">
        <v>2001.105</v>
      </c>
      <c r="V20" s="1023">
        <v>3.6576168929109976E-2</v>
      </c>
      <c r="W20" s="1023">
        <v>6.3264221158958023E-2</v>
      </c>
      <c r="X20" s="1027">
        <v>4.4999999999999998E-2</v>
      </c>
      <c r="Y20" s="1027">
        <v>4.0683333333333328E-2</v>
      </c>
      <c r="Z20" s="1027">
        <v>4.5170000000000002E-2</v>
      </c>
      <c r="AA20" s="1027">
        <v>6.9984188507805314E-2</v>
      </c>
      <c r="AB20" s="1023">
        <v>2.5213969360031563E-2</v>
      </c>
      <c r="AC20" s="1023">
        <v>6.158333333333333E-2</v>
      </c>
      <c r="AD20" s="1023">
        <v>7.3225880058913617E-3</v>
      </c>
      <c r="AE20" s="1027">
        <v>2.5000000000000001E-3</v>
      </c>
      <c r="AF20" s="1027"/>
    </row>
    <row r="21" spans="1:32" ht="15" customHeight="1" x14ac:dyDescent="0.25">
      <c r="A21" s="66">
        <v>202006</v>
      </c>
      <c r="B21" s="67">
        <v>2.19</v>
      </c>
      <c r="C21" s="68">
        <v>4</v>
      </c>
      <c r="D21" s="67">
        <v>3</v>
      </c>
      <c r="E21" s="69">
        <v>2</v>
      </c>
      <c r="G21" s="1022">
        <v>2015</v>
      </c>
      <c r="H21" s="1023">
        <v>2.9559013752752161E-2</v>
      </c>
      <c r="I21" s="1024">
        <v>804692</v>
      </c>
      <c r="J21" s="1023">
        <v>5.4776295282623622E-2</v>
      </c>
      <c r="K21" s="1024">
        <v>804691.99999999814</v>
      </c>
      <c r="L21" s="1023">
        <v>3.0925153980287501E-2</v>
      </c>
      <c r="M21" s="1024">
        <v>551013</v>
      </c>
      <c r="N21" s="1023">
        <v>0.10063808333333334</v>
      </c>
      <c r="O21" s="1023">
        <v>-3.0158855159430866E-2</v>
      </c>
      <c r="P21" s="1023">
        <v>0.44612536988629359</v>
      </c>
      <c r="Q21" s="1025">
        <v>52.353333333333332</v>
      </c>
      <c r="R21" s="1025">
        <v>36017.52166542998</v>
      </c>
      <c r="S21" s="1025">
        <v>54057.59947197001</v>
      </c>
      <c r="T21" s="1023">
        <v>-6.340407948058259E-2</v>
      </c>
      <c r="U21" s="1026">
        <v>2741.7816666666668</v>
      </c>
      <c r="V21" s="1023">
        <v>6.7660967624590729E-2</v>
      </c>
      <c r="W21" s="1023">
        <v>9.5699999999999896E-2</v>
      </c>
      <c r="X21" s="1027">
        <v>5.7500000000000002E-2</v>
      </c>
      <c r="Y21" s="1027">
        <v>4.5783333333333336E-2</v>
      </c>
      <c r="Z21" s="1027">
        <v>5.7849999999999999E-2</v>
      </c>
      <c r="AA21" s="1027">
        <v>7.8115808353275223E-2</v>
      </c>
      <c r="AB21" s="1023">
        <v>2.9538925097112256E-2</v>
      </c>
      <c r="AC21" s="1023">
        <v>5.2750000000000005E-2</v>
      </c>
      <c r="AD21" s="1023">
        <v>3.4596375617792496E-3</v>
      </c>
      <c r="AE21" s="1027">
        <v>5.0000000000000001E-3</v>
      </c>
      <c r="AF21" s="1027"/>
    </row>
    <row r="22" spans="1:32" ht="15" customHeight="1" x14ac:dyDescent="0.25">
      <c r="A22" s="70">
        <v>202005</v>
      </c>
      <c r="B22" s="71">
        <v>2.85</v>
      </c>
      <c r="C22" s="72">
        <v>4</v>
      </c>
      <c r="D22" s="71">
        <v>3</v>
      </c>
      <c r="E22" s="73">
        <v>2</v>
      </c>
      <c r="G22" s="1022">
        <v>2016</v>
      </c>
      <c r="H22" s="1023">
        <v>2.0873825016279435E-2</v>
      </c>
      <c r="I22" s="1024">
        <v>821489</v>
      </c>
      <c r="J22" s="1023">
        <v>7.3431822361847754E-2</v>
      </c>
      <c r="K22" s="1024">
        <v>863781.9999999979</v>
      </c>
      <c r="L22" s="1023">
        <v>1.5836286984154624E-2</v>
      </c>
      <c r="M22" s="1024">
        <v>559739</v>
      </c>
      <c r="N22" s="1023">
        <v>0.10310424999999999</v>
      </c>
      <c r="O22" s="1023">
        <v>-4.0433034939296945E-2</v>
      </c>
      <c r="P22" s="1023">
        <v>0.45627006873621107</v>
      </c>
      <c r="Q22" s="1025">
        <v>43.548333333333332</v>
      </c>
      <c r="R22" s="1025">
        <v>31768.340981279995</v>
      </c>
      <c r="S22" s="1025">
        <v>44889.366874920008</v>
      </c>
      <c r="T22" s="1023">
        <v>-4.4798144546924587E-2</v>
      </c>
      <c r="U22" s="1026">
        <v>3055.2550000000001</v>
      </c>
      <c r="V22" s="1023">
        <v>5.7467348097671733E-2</v>
      </c>
      <c r="W22" s="1023">
        <v>1.6154056767363478E-2</v>
      </c>
      <c r="X22" s="1027">
        <v>7.4999999999999997E-2</v>
      </c>
      <c r="Y22" s="1027">
        <v>6.7816666666666664E-2</v>
      </c>
      <c r="Z22" s="1027">
        <v>7.5029999999999999E-2</v>
      </c>
      <c r="AA22" s="1027">
        <v>8.0022333142890811E-2</v>
      </c>
      <c r="AB22" s="1023">
        <v>1.8188988895593117E-2</v>
      </c>
      <c r="AC22" s="1023">
        <v>4.8749999999999995E-2</v>
      </c>
      <c r="AD22" s="1023">
        <v>1.6571581021178838E-2</v>
      </c>
      <c r="AE22" s="1027">
        <v>7.4999999999999997E-3</v>
      </c>
      <c r="AF22" s="1027"/>
    </row>
    <row r="23" spans="1:32" ht="15" customHeight="1" x14ac:dyDescent="0.25">
      <c r="A23" s="66">
        <v>202004</v>
      </c>
      <c r="B23" s="67">
        <v>3.51</v>
      </c>
      <c r="C23" s="68">
        <v>4</v>
      </c>
      <c r="D23" s="67">
        <v>3</v>
      </c>
      <c r="E23" s="69">
        <v>2</v>
      </c>
      <c r="G23" s="1022">
        <v>2017</v>
      </c>
      <c r="H23" s="1023">
        <v>1.3593608678874824E-2</v>
      </c>
      <c r="I23" s="1024">
        <v>832656.00000000012</v>
      </c>
      <c r="J23" s="1023">
        <v>6.5628827644013343E-2</v>
      </c>
      <c r="K23" s="1024">
        <v>920470.99999999884</v>
      </c>
      <c r="L23" s="1023">
        <v>2.0538143670532083E-2</v>
      </c>
      <c r="M23" s="1024">
        <v>571235</v>
      </c>
      <c r="N23" s="1023">
        <v>0.10993675</v>
      </c>
      <c r="O23" s="1023">
        <v>-3.6541927187586587E-2</v>
      </c>
      <c r="P23" s="1023">
        <v>0.46379638750023283</v>
      </c>
      <c r="Q23" s="1025">
        <v>54.247500000000002</v>
      </c>
      <c r="R23" s="1025">
        <v>38021.860310389915</v>
      </c>
      <c r="S23" s="1025">
        <v>46075.705200999982</v>
      </c>
      <c r="T23" s="1023">
        <v>-3.2089607112198354E-2</v>
      </c>
      <c r="U23" s="1026">
        <v>2951.270833333333</v>
      </c>
      <c r="V23" s="1023">
        <v>4.0919342712920193E-2</v>
      </c>
      <c r="W23" s="1023">
        <v>1.8591701095742819E-2</v>
      </c>
      <c r="X23" s="1027">
        <v>4.7500000000000001E-2</v>
      </c>
      <c r="Y23" s="1027">
        <v>5.9891666666666669E-2</v>
      </c>
      <c r="Z23" s="1027">
        <v>4.6879999999999998E-2</v>
      </c>
      <c r="AA23" s="1027">
        <v>6.8334249876674816E-2</v>
      </c>
      <c r="AB23" s="1023">
        <v>2.4557100992228353E-2</v>
      </c>
      <c r="AC23" s="1023">
        <v>4.3583333333333335E-2</v>
      </c>
      <c r="AD23" s="1023">
        <v>1.7664099484208329E-2</v>
      </c>
      <c r="AE23" s="1027">
        <v>1.4999999999999999E-2</v>
      </c>
      <c r="AF23" s="1027"/>
    </row>
    <row r="24" spans="1:32" ht="15" customHeight="1" x14ac:dyDescent="0.25">
      <c r="A24" s="70">
        <v>202003</v>
      </c>
      <c r="B24" s="71">
        <v>3.86</v>
      </c>
      <c r="C24" s="72">
        <v>4</v>
      </c>
      <c r="D24" s="71">
        <v>3</v>
      </c>
      <c r="E24" s="73">
        <v>2</v>
      </c>
      <c r="F24">
        <v>4</v>
      </c>
      <c r="G24" s="1022">
        <v>2018</v>
      </c>
      <c r="H24" s="1023">
        <v>2.5643242827770196E-2</v>
      </c>
      <c r="I24" s="1024">
        <v>854008</v>
      </c>
      <c r="J24" s="1023">
        <v>7.313647035050419E-2</v>
      </c>
      <c r="K24" s="1024">
        <v>987790.99999999767</v>
      </c>
      <c r="L24" s="1023">
        <v>3.2364963631430266E-2</v>
      </c>
      <c r="M24" s="1024">
        <v>589723.00000000012</v>
      </c>
      <c r="N24" s="1023">
        <v>0.11128783333333334</v>
      </c>
      <c r="O24" s="1023">
        <v>-3.0690539949667122E-2</v>
      </c>
      <c r="P24" s="1023">
        <v>0.4932917179397398</v>
      </c>
      <c r="Q24" s="1025">
        <v>71.060833333333335</v>
      </c>
      <c r="R24" s="1025">
        <v>41904.777398159975</v>
      </c>
      <c r="S24" s="1025">
        <v>51232.804360879993</v>
      </c>
      <c r="T24" s="1023">
        <v>-4.2046966905127006E-2</v>
      </c>
      <c r="U24" s="1026">
        <v>2956.3566666666666</v>
      </c>
      <c r="V24" s="1023">
        <v>3.1778786628146927E-2</v>
      </c>
      <c r="W24" s="1023">
        <v>3.0861476060312087E-2</v>
      </c>
      <c r="X24" s="1027">
        <v>4.2500000000000003E-2</v>
      </c>
      <c r="Y24" s="1027">
        <v>4.7091666666666664E-2</v>
      </c>
      <c r="Z24" s="1027">
        <v>4.2419999999999999E-2</v>
      </c>
      <c r="AA24" s="1027">
        <v>7.0258039345773099E-2</v>
      </c>
      <c r="AB24" s="1023">
        <v>2.9707285833710906E-2</v>
      </c>
      <c r="AC24" s="1023">
        <v>3.8916666666666669E-2</v>
      </c>
      <c r="AD24" s="1023">
        <v>1.8646908878110713E-2</v>
      </c>
      <c r="AE24" s="1027">
        <v>2.5000000000000001E-2</v>
      </c>
      <c r="AF24" s="1027">
        <v>0.03</v>
      </c>
    </row>
    <row r="25" spans="1:32" ht="15" customHeight="1" x14ac:dyDescent="0.25">
      <c r="A25" s="66">
        <v>202002</v>
      </c>
      <c r="B25" s="67">
        <v>3.72</v>
      </c>
      <c r="C25" s="68">
        <v>4</v>
      </c>
      <c r="D25" s="67">
        <v>3</v>
      </c>
      <c r="E25" s="69">
        <v>2</v>
      </c>
      <c r="G25" s="1022">
        <v>2019</v>
      </c>
      <c r="H25" s="1023">
        <v>3.1868553924553344E-2</v>
      </c>
      <c r="I25" s="1024">
        <v>881223.99999999988</v>
      </c>
      <c r="J25" s="1023">
        <v>7.3170336640038469E-2</v>
      </c>
      <c r="K25" s="1024">
        <v>1060067.9999999977</v>
      </c>
      <c r="L25" s="1023">
        <v>4.0705551589474753E-2</v>
      </c>
      <c r="M25" s="1024">
        <v>613728</v>
      </c>
      <c r="N25" s="1023">
        <v>0.11540950000000001</v>
      </c>
      <c r="O25" s="1023">
        <v>-2.4572516375339519E-2</v>
      </c>
      <c r="P25" s="1023">
        <v>0.50344255692009554</v>
      </c>
      <c r="Q25" s="1025">
        <v>64.358333333333334</v>
      </c>
      <c r="R25" s="1025">
        <v>39489.167863759991</v>
      </c>
      <c r="S25" s="1025">
        <v>52702.623814089995</v>
      </c>
      <c r="T25" s="1023">
        <v>-4.5830577087785145E-2</v>
      </c>
      <c r="U25" s="1026">
        <v>3281.3883333333333</v>
      </c>
      <c r="V25" s="1023">
        <v>3.8000000000000034E-2</v>
      </c>
      <c r="W25" s="1023">
        <v>4.6617055854931255E-2</v>
      </c>
      <c r="X25" s="1027">
        <v>4.2500000000000003E-2</v>
      </c>
      <c r="Y25" s="1027">
        <v>4.4983333333333334E-2</v>
      </c>
      <c r="Z25" s="1027">
        <v>4.2549999999999998E-2</v>
      </c>
      <c r="AA25" s="1027">
        <v>6.4959679234629475E-2</v>
      </c>
      <c r="AB25" s="1023">
        <v>2.5811694535348872E-2</v>
      </c>
      <c r="AC25" s="1023">
        <v>3.6750000000000005E-2</v>
      </c>
      <c r="AD25" s="1023">
        <v>1.5637627676458932E-2</v>
      </c>
      <c r="AE25" s="1027">
        <v>1.7500000000000002E-2</v>
      </c>
      <c r="AF25" s="1027">
        <v>1.55E-2</v>
      </c>
    </row>
    <row r="26" spans="1:32" ht="15" customHeight="1" x14ac:dyDescent="0.25">
      <c r="A26" s="70">
        <v>202001</v>
      </c>
      <c r="B26" s="71">
        <v>3.62</v>
      </c>
      <c r="C26" s="72">
        <v>4</v>
      </c>
      <c r="D26" s="71">
        <v>3</v>
      </c>
      <c r="E26" s="73">
        <v>2</v>
      </c>
      <c r="G26" s="1022">
        <v>2020</v>
      </c>
      <c r="H26" s="1023">
        <v>-7.1859141376085844E-2</v>
      </c>
      <c r="I26" s="1024">
        <v>817900</v>
      </c>
      <c r="J26" s="1023">
        <v>-5.8106649762090234E-2</v>
      </c>
      <c r="K26" s="1024">
        <v>998470.99999999837</v>
      </c>
      <c r="L26" s="1023">
        <v>-5.0072670629334182E-2</v>
      </c>
      <c r="M26" s="1024">
        <v>582997</v>
      </c>
      <c r="N26" s="1023">
        <v>0.19055108333333334</v>
      </c>
      <c r="O26" s="1023">
        <v>-7.7882506350351224E-2</v>
      </c>
      <c r="P26" s="1023">
        <v>0.6503471413482923</v>
      </c>
      <c r="Q26" s="1025">
        <v>41.759166666666665</v>
      </c>
      <c r="R26" s="1025">
        <v>31055.810659690018</v>
      </c>
      <c r="S26" s="1025">
        <v>43488.66163771</v>
      </c>
      <c r="T26" s="1023">
        <v>-3.4130485710582401E-2</v>
      </c>
      <c r="U26" s="1026">
        <v>3693.2758333333331</v>
      </c>
      <c r="V26" s="1023">
        <v>1.6184971098265999E-2</v>
      </c>
      <c r="W26" s="1023">
        <v>1.650866296175213E-2</v>
      </c>
      <c r="X26" s="1027">
        <v>1.7500000000000002E-2</v>
      </c>
      <c r="Y26" s="1027">
        <v>3.3783333333333332E-2</v>
      </c>
      <c r="Z26" s="1027">
        <v>1.7399999999999999E-2</v>
      </c>
      <c r="AA26" s="1027">
        <v>6.2972859631538591E-2</v>
      </c>
      <c r="AB26" s="1023">
        <v>-2.1634178199294279E-2</v>
      </c>
      <c r="AC26" s="1023">
        <v>8.0916666666666665E-2</v>
      </c>
      <c r="AD26" s="1023">
        <v>1.325893755931995E-2</v>
      </c>
      <c r="AE26" s="1027">
        <v>2.5000000000000001E-3</v>
      </c>
      <c r="AF26" s="1027">
        <v>7.000000000000001E-4</v>
      </c>
    </row>
    <row r="27" spans="1:32" ht="15" customHeight="1" x14ac:dyDescent="0.25">
      <c r="A27" s="66">
        <v>201912</v>
      </c>
      <c r="B27" s="67">
        <v>3.8</v>
      </c>
      <c r="C27" s="68">
        <v>4</v>
      </c>
      <c r="D27" s="67">
        <v>3</v>
      </c>
      <c r="E27" s="69">
        <v>2</v>
      </c>
      <c r="G27" s="1022">
        <v>2021</v>
      </c>
      <c r="H27" s="1023">
        <v>0.10801198190487837</v>
      </c>
      <c r="I27" s="1024">
        <v>906243</v>
      </c>
      <c r="J27" s="1023">
        <v>0.19446032989946938</v>
      </c>
      <c r="K27" s="1024">
        <v>1192634.0000550512</v>
      </c>
      <c r="L27" s="1023">
        <v>0.14724089489311276</v>
      </c>
      <c r="M27" s="1024">
        <v>668838</v>
      </c>
      <c r="N27" s="1023">
        <v>0.15178109396999998</v>
      </c>
      <c r="O27" s="1023">
        <v>-6.9718755098304122E-2</v>
      </c>
      <c r="P27" s="1023">
        <v>0.62970236924040335</v>
      </c>
      <c r="Q27" s="1025">
        <v>70.677499999999995</v>
      </c>
      <c r="R27" s="1025">
        <v>41389.98907074998</v>
      </c>
      <c r="S27" s="1025">
        <v>61101.361767570008</v>
      </c>
      <c r="T27" s="1023">
        <v>-5.5987605317325079E-2</v>
      </c>
      <c r="U27" s="1026">
        <v>3744.2441666666668</v>
      </c>
      <c r="V27" s="1023">
        <v>5.6219188471748227E-2</v>
      </c>
      <c r="W27" s="1023">
        <v>0.18628396848367923</v>
      </c>
      <c r="X27" s="1027">
        <v>0.03</v>
      </c>
      <c r="Y27" s="1027">
        <v>2.0725E-2</v>
      </c>
      <c r="Z27" s="1027">
        <v>2.989E-2</v>
      </c>
      <c r="AA27" s="1027">
        <v>7.4474696326989318E-2</v>
      </c>
      <c r="AB27" s="1023">
        <v>6.1757650452000823E-2</v>
      </c>
      <c r="AC27" s="1023">
        <v>5.3500000000000006E-2</v>
      </c>
      <c r="AD27" s="1023">
        <v>6.1793925631564051E-2</v>
      </c>
      <c r="AE27" s="1027">
        <v>2.5000000000000001E-3</v>
      </c>
      <c r="AF27" s="1027">
        <v>5.0000000000000001E-4</v>
      </c>
    </row>
    <row r="28" spans="1:32" ht="15" customHeight="1" x14ac:dyDescent="0.25">
      <c r="A28" s="70">
        <v>201911</v>
      </c>
      <c r="B28" s="71">
        <v>3.84</v>
      </c>
      <c r="C28" s="72">
        <v>4</v>
      </c>
      <c r="D28" s="71">
        <v>3</v>
      </c>
      <c r="E28" s="73">
        <v>2</v>
      </c>
      <c r="G28" s="1022">
        <v>2022</v>
      </c>
      <c r="H28" s="1023">
        <v>7.3282772942797836E-2</v>
      </c>
      <c r="I28" s="1024">
        <v>972655</v>
      </c>
      <c r="J28" s="1023">
        <v>0.2334706202498531</v>
      </c>
      <c r="K28" s="1024">
        <v>1471078.9997789674</v>
      </c>
      <c r="L28" s="1023">
        <v>0.10789757758979013</v>
      </c>
      <c r="M28" s="1024">
        <v>741004</v>
      </c>
      <c r="N28" s="1023">
        <v>0.11363516830666667</v>
      </c>
      <c r="O28" s="1023">
        <v>-5.2736439735969386E-2</v>
      </c>
      <c r="P28" s="1023">
        <v>0.60781004091120283</v>
      </c>
      <c r="Q28" s="1025">
        <v>100.7775</v>
      </c>
      <c r="R28" s="1025">
        <v>56910.136647719977</v>
      </c>
      <c r="S28" s="1025">
        <v>77413.350153839987</v>
      </c>
      <c r="T28" s="1023">
        <v>-6.1257638489877309E-2</v>
      </c>
      <c r="U28" s="1026">
        <v>4256.1941666666671</v>
      </c>
      <c r="V28" s="1023">
        <v>0.13122699937169013</v>
      </c>
      <c r="W28" s="1023">
        <v>0.19179939003727542</v>
      </c>
      <c r="X28" s="1027">
        <v>0.12</v>
      </c>
      <c r="Y28" s="1027">
        <v>8.499166666666666E-2</v>
      </c>
      <c r="Z28" s="1027">
        <v>0.11953999999999999</v>
      </c>
      <c r="AA28" s="1027">
        <v>0.11615874590569095</v>
      </c>
      <c r="AB28" s="1023">
        <v>2.5266322791836993E-2</v>
      </c>
      <c r="AC28" s="1023">
        <v>3.6333333333333329E-2</v>
      </c>
      <c r="AD28" s="1023">
        <v>5.5087728678233194E-2</v>
      </c>
      <c r="AE28" s="1027">
        <v>4.4999999999999998E-2</v>
      </c>
      <c r="AF28" s="1027">
        <v>4.2999999999999997E-2</v>
      </c>
    </row>
    <row r="29" spans="1:32" ht="15" customHeight="1" x14ac:dyDescent="0.25">
      <c r="A29" s="66">
        <v>201910</v>
      </c>
      <c r="B29" s="67">
        <v>3.86</v>
      </c>
      <c r="C29" s="68">
        <v>4</v>
      </c>
      <c r="D29" s="67">
        <v>3</v>
      </c>
      <c r="E29" s="69">
        <v>2</v>
      </c>
      <c r="G29" s="1022">
        <v>2023</v>
      </c>
      <c r="H29" s="1023">
        <v>7.1238003197433564E-3</v>
      </c>
      <c r="I29" s="1024">
        <v>979584</v>
      </c>
      <c r="J29" s="1023">
        <v>7.7142696650018827E-2</v>
      </c>
      <c r="K29" s="1024">
        <v>1584562.0008071293</v>
      </c>
      <c r="L29" s="1023">
        <v>3.7988998709859167E-3</v>
      </c>
      <c r="M29" s="1024">
        <v>743819</v>
      </c>
      <c r="N29" s="1023">
        <v>0.10372631066655119</v>
      </c>
      <c r="O29" s="1023">
        <v>-4.2230377868056612E-2</v>
      </c>
      <c r="P29" s="1023">
        <v>0.56285729985966337</v>
      </c>
      <c r="Q29" s="1025">
        <v>82.468333333333334</v>
      </c>
      <c r="R29" s="1025">
        <v>49769.126317570015</v>
      </c>
      <c r="S29" s="1025">
        <v>62796.63605375</v>
      </c>
      <c r="T29" s="1023">
        <v>-2.4014523418333392E-2</v>
      </c>
      <c r="U29" s="1026">
        <v>4325.9549999999999</v>
      </c>
      <c r="V29" s="1027">
        <v>9.2755693088947044E-2</v>
      </c>
      <c r="W29" s="1023">
        <v>-7.9044640318451931E-3</v>
      </c>
      <c r="X29" s="1027">
        <v>0.13</v>
      </c>
      <c r="Y29" s="1027">
        <v>0.13214166666666669</v>
      </c>
      <c r="Z29" s="1027">
        <v>0.12981000000000001</v>
      </c>
      <c r="AA29" s="1027">
        <v>0.11482280879081788</v>
      </c>
      <c r="AB29" s="1023">
        <v>2.8856988566179465E-2</v>
      </c>
      <c r="AC29" s="1023">
        <v>3.6249999999999998E-2</v>
      </c>
      <c r="AD29" s="1023">
        <v>2.7017896506000616E-2</v>
      </c>
      <c r="AE29" s="1027">
        <v>5.5E-2</v>
      </c>
      <c r="AF29" s="1027">
        <v>5.3800000000000001E-2</v>
      </c>
    </row>
    <row r="30" spans="1:32" ht="15" customHeight="1" x14ac:dyDescent="0.25">
      <c r="A30" s="70">
        <v>201909</v>
      </c>
      <c r="B30" s="71">
        <v>3.82</v>
      </c>
      <c r="C30" s="72">
        <v>4</v>
      </c>
      <c r="D30" s="71">
        <v>3</v>
      </c>
      <c r="E30" s="73">
        <v>2</v>
      </c>
      <c r="G30" s="1022">
        <v>2024</v>
      </c>
      <c r="H30" s="1023">
        <v>1.7437589910428208E-2</v>
      </c>
      <c r="I30" s="1024">
        <v>996665.5840748169</v>
      </c>
      <c r="J30" s="1023">
        <v>7.6210575575540451E-2</v>
      </c>
      <c r="K30" s="1024">
        <v>1705322.3829237705</v>
      </c>
      <c r="L30" s="1023">
        <v>1.584962947215196E-2</v>
      </c>
      <c r="M30" s="1024">
        <v>755608.25554434652</v>
      </c>
      <c r="N30" s="1023">
        <v>0.10123770277507881</v>
      </c>
      <c r="O30" s="1023">
        <v>-6.7149103687993247E-2</v>
      </c>
      <c r="P30" s="1023">
        <v>0.61623168772409787</v>
      </c>
      <c r="Q30" s="1025">
        <v>80.533333333333331</v>
      </c>
      <c r="R30" s="1025">
        <v>49516.964734709982</v>
      </c>
      <c r="S30" s="1025">
        <v>64104.684155089999</v>
      </c>
      <c r="T30" s="1023">
        <v>-1.7724999999999998E-2</v>
      </c>
      <c r="U30" s="1026">
        <v>4074.3675000000003</v>
      </c>
      <c r="V30" s="1027">
        <v>5.1989544002323473E-2</v>
      </c>
      <c r="W30" s="1023">
        <v>5.7606328098131376E-2</v>
      </c>
      <c r="X30" s="1027">
        <v>9.5000000000000001E-2</v>
      </c>
      <c r="Y30" s="1027">
        <v>0.101725</v>
      </c>
      <c r="Z30" s="1027">
        <v>9.5060000000000006E-2</v>
      </c>
      <c r="AA30" s="1027">
        <v>0.10864204021296801</v>
      </c>
      <c r="AB30" s="1023">
        <v>2.7911391666575358E-2</v>
      </c>
      <c r="AC30" s="1023">
        <v>4.0333333333333332E-2</v>
      </c>
      <c r="AD30" s="1023">
        <v>2.6043979539810191E-2</v>
      </c>
      <c r="AE30" s="1027">
        <v>4.4999999999999998E-2</v>
      </c>
      <c r="AF30" s="1027">
        <v>4.4900000000000002E-2</v>
      </c>
    </row>
    <row r="31" spans="1:32" ht="15" customHeight="1" x14ac:dyDescent="0.25">
      <c r="A31" s="66">
        <v>201908</v>
      </c>
      <c r="B31" s="67">
        <v>3.75</v>
      </c>
      <c r="C31" s="68">
        <v>4</v>
      </c>
      <c r="D31" s="67">
        <v>3</v>
      </c>
      <c r="E31" s="69">
        <v>2</v>
      </c>
      <c r="G31" s="1022">
        <v>2025</v>
      </c>
      <c r="H31" s="1028">
        <v>2.6175470248511745E-2</v>
      </c>
      <c r="I31" s="1029">
        <v>1022753.7744184829</v>
      </c>
      <c r="J31" s="1028">
        <v>7.2473548463061199E-2</v>
      </c>
      <c r="K31" s="1029">
        <v>1828913.1472877394</v>
      </c>
      <c r="L31" s="1028">
        <v>2.1232058085444372E-2</v>
      </c>
      <c r="M31" s="1029">
        <v>771651.37391590537</v>
      </c>
      <c r="N31" s="1028">
        <v>0.1029169399141612</v>
      </c>
      <c r="O31" s="1028">
        <v>-5.8700000000000002E-2</v>
      </c>
      <c r="P31" s="1028">
        <v>0.62402629263291165</v>
      </c>
      <c r="Q31" s="1030">
        <v>73.009</v>
      </c>
      <c r="R31" s="1030">
        <v>49814.886569330418</v>
      </c>
      <c r="S31" s="1030">
        <v>65485.656646066229</v>
      </c>
      <c r="T31" s="1028">
        <v>-2.4375361797905986E-2</v>
      </c>
      <c r="U31" s="1030">
        <v>4254.5686753583332</v>
      </c>
      <c r="V31" s="1028">
        <v>4.3502510000000001E-2</v>
      </c>
      <c r="W31" s="1028">
        <v>4.1120541663801483E-2</v>
      </c>
      <c r="X31" s="1031">
        <v>7.4999999999999997E-2</v>
      </c>
      <c r="Y31" s="1031">
        <v>8.272746098744202E-2</v>
      </c>
      <c r="Z31" s="1031">
        <v>7.4991180000000005E-2</v>
      </c>
      <c r="AA31" s="1031">
        <v>0.10895008154443037</v>
      </c>
      <c r="AB31" s="1028">
        <v>1.8569322831929913E-2</v>
      </c>
      <c r="AC31" s="1028">
        <v>4.2187500000000003E-2</v>
      </c>
      <c r="AD31" s="1028">
        <v>2.7E-2</v>
      </c>
      <c r="AE31" s="1031">
        <v>0.04</v>
      </c>
      <c r="AF31" s="1031">
        <v>4.0450432399948284E-2</v>
      </c>
    </row>
    <row r="32" spans="1:32" ht="15" customHeight="1" x14ac:dyDescent="0.25">
      <c r="A32" s="70">
        <v>201907</v>
      </c>
      <c r="B32" s="71">
        <v>3.79</v>
      </c>
      <c r="C32" s="72">
        <v>4</v>
      </c>
      <c r="D32" s="71">
        <v>3</v>
      </c>
      <c r="E32" s="73">
        <v>2</v>
      </c>
      <c r="G32" s="1022">
        <v>2026</v>
      </c>
      <c r="H32" s="1028">
        <v>3.0124764784472902E-2</v>
      </c>
      <c r="I32" s="1029">
        <v>1053563.9913052716</v>
      </c>
      <c r="J32" s="1028">
        <v>7.2583861756483792E-2</v>
      </c>
      <c r="K32" s="1029">
        <v>1961662.7263350883</v>
      </c>
      <c r="L32" s="1028">
        <v>2.665826006408456E-2</v>
      </c>
      <c r="M32" s="1029">
        <v>792222.25692056376</v>
      </c>
      <c r="N32" s="1028">
        <v>0.10430355572529633</v>
      </c>
      <c r="O32" s="1028">
        <v>-4.9999999999999996E-2</v>
      </c>
      <c r="P32" s="1028">
        <v>0.63661618809902876</v>
      </c>
      <c r="Q32" s="1030">
        <v>71.594687500000006</v>
      </c>
      <c r="R32" s="1030">
        <v>51083.325834446281</v>
      </c>
      <c r="S32" s="1030">
        <v>66791.930975587937</v>
      </c>
      <c r="T32" s="1028">
        <v>-3.0761034611816944E-2</v>
      </c>
      <c r="U32" s="1030">
        <v>4312.5173923724997</v>
      </c>
      <c r="V32" s="1028">
        <v>3.9375609999999998E-2</v>
      </c>
      <c r="W32" s="1028">
        <v>3.8096675579417719E-2</v>
      </c>
      <c r="X32" s="1031">
        <v>6.5000000000000002E-2</v>
      </c>
      <c r="Y32" s="1031">
        <v>6.6691697797930716E-2</v>
      </c>
      <c r="Z32" s="1031">
        <v>6.4956239999999998E-2</v>
      </c>
      <c r="AA32" s="1031">
        <v>9.5934234227262549E-2</v>
      </c>
      <c r="AB32" s="1028">
        <v>1.8930664322035495E-2</v>
      </c>
      <c r="AC32" s="1028">
        <v>4.2999999999999997E-2</v>
      </c>
      <c r="AD32" s="1028">
        <v>2.3E-2</v>
      </c>
      <c r="AE32" s="1031">
        <v>3.5000000000000003E-2</v>
      </c>
      <c r="AF32" s="1031">
        <v>3.388272959986121E-2</v>
      </c>
    </row>
    <row r="33" spans="1:32" ht="15" customHeight="1" x14ac:dyDescent="0.25">
      <c r="A33" s="66">
        <v>201906</v>
      </c>
      <c r="B33" s="67">
        <v>3.43</v>
      </c>
      <c r="C33" s="68">
        <v>4</v>
      </c>
      <c r="D33" s="67">
        <v>3</v>
      </c>
      <c r="E33" s="69">
        <v>2</v>
      </c>
      <c r="G33" s="1022">
        <v>2027</v>
      </c>
      <c r="H33" s="1028">
        <v>2.8794008492760925E-2</v>
      </c>
      <c r="I33" s="1029">
        <v>1083900.3218185827</v>
      </c>
      <c r="J33" s="1028">
        <v>6.9282548809848077E-2</v>
      </c>
      <c r="K33" s="1029">
        <v>2097571.7199208587</v>
      </c>
      <c r="L33" s="1028">
        <v>2.6596431519475994E-2</v>
      </c>
      <c r="M33" s="1029">
        <v>813292.54192495625</v>
      </c>
      <c r="N33" s="1028">
        <v>0.10430943900462905</v>
      </c>
      <c r="O33" s="1028">
        <v>-3.9E-2</v>
      </c>
      <c r="P33" s="1028">
        <v>0.63673098379173454</v>
      </c>
      <c r="Q33" s="1030">
        <v>72.394166666666663</v>
      </c>
      <c r="R33" s="1030">
        <v>52511.205007621655</v>
      </c>
      <c r="S33" s="1030">
        <v>69275.894641912018</v>
      </c>
      <c r="T33" s="1028">
        <v>-3.2844443427975177E-2</v>
      </c>
      <c r="U33" s="1030">
        <v>4437.5</v>
      </c>
      <c r="V33" s="1028">
        <v>3.7012610000000001E-2</v>
      </c>
      <c r="W33" s="1028">
        <v>3.5890573061755762E-2</v>
      </c>
      <c r="X33" s="1031">
        <v>6.5000000000000002E-2</v>
      </c>
      <c r="Y33" s="1031">
        <v>6.6098030833333307E-2</v>
      </c>
      <c r="Z33" s="1031">
        <v>6.4937960000000003E-2</v>
      </c>
      <c r="AA33" s="1031">
        <v>9.5125271803675207E-2</v>
      </c>
      <c r="AB33" s="1028">
        <v>1.7563559490028358E-2</v>
      </c>
      <c r="AC33" s="1028">
        <v>4.2999999999999997E-2</v>
      </c>
      <c r="AD33" s="1028">
        <v>2.1999999999999999E-2</v>
      </c>
      <c r="AE33" s="1031">
        <v>3.2500000000000001E-2</v>
      </c>
      <c r="AF33" s="1031">
        <v>3.4826478595704508E-2</v>
      </c>
    </row>
    <row r="34" spans="1:32" ht="15" customHeight="1" x14ac:dyDescent="0.25">
      <c r="A34" s="70">
        <v>201905</v>
      </c>
      <c r="B34" s="71">
        <v>3.31</v>
      </c>
      <c r="C34" s="72">
        <v>4</v>
      </c>
      <c r="D34" s="71">
        <v>3</v>
      </c>
      <c r="E34" s="73">
        <v>2</v>
      </c>
      <c r="G34" s="1022">
        <v>2028</v>
      </c>
      <c r="H34" s="1028">
        <v>2.8682631397628944E-2</v>
      </c>
      <c r="I34" s="1029">
        <v>1114989.4352210765</v>
      </c>
      <c r="J34" s="1028">
        <v>6.8285703581924206E-2</v>
      </c>
      <c r="K34" s="1029">
        <v>2240805.8806292014</v>
      </c>
      <c r="L34" s="1028">
        <v>2.668552696442017E-2</v>
      </c>
      <c r="M34" s="1029">
        <v>834995.68198245647</v>
      </c>
      <c r="N34" s="1028">
        <v>0.10437086400347728</v>
      </c>
      <c r="O34" s="1028">
        <v>-3.5000000000000003E-2</v>
      </c>
      <c r="P34" s="1028">
        <v>0.63353968537386096</v>
      </c>
      <c r="Q34" s="1030">
        <v>72.058333333333337</v>
      </c>
      <c r="R34" s="1030">
        <v>54338.332107626164</v>
      </c>
      <c r="S34" s="1030">
        <v>72382.683166397299</v>
      </c>
      <c r="T34" s="1028">
        <v>-3.3471009671440566E-2</v>
      </c>
      <c r="U34" s="1030">
        <v>4526.25</v>
      </c>
      <c r="V34" s="1028">
        <v>3.6395860000000002E-2</v>
      </c>
      <c r="W34" s="1028">
        <v>3.5296140435333773E-2</v>
      </c>
      <c r="X34" s="1031">
        <v>6.5000000000000002E-2</v>
      </c>
      <c r="Y34" s="1031">
        <v>6.6469265000000027E-2</v>
      </c>
      <c r="Z34" s="1031">
        <v>6.4928410000000006E-2</v>
      </c>
      <c r="AA34" s="1031">
        <v>9.5010564503701683E-2</v>
      </c>
      <c r="AB34" s="1028">
        <v>1.7922096271284493E-2</v>
      </c>
      <c r="AC34" s="1028">
        <v>4.2375000000000003E-2</v>
      </c>
      <c r="AD34" s="1028">
        <v>0.02</v>
      </c>
      <c r="AE34" s="1031">
        <v>3.2500000000000001E-2</v>
      </c>
      <c r="AF34" s="1031">
        <v>3.4478648777680962E-2</v>
      </c>
    </row>
    <row r="35" spans="1:32" ht="15" customHeight="1" x14ac:dyDescent="0.25">
      <c r="A35" s="66">
        <v>201904</v>
      </c>
      <c r="B35" s="67">
        <v>3.25</v>
      </c>
      <c r="C35" s="68">
        <v>4</v>
      </c>
      <c r="D35" s="67">
        <v>3</v>
      </c>
      <c r="E35" s="69">
        <v>2</v>
      </c>
      <c r="G35" s="1022">
        <v>2029</v>
      </c>
      <c r="H35" s="1028">
        <v>2.8896592202206639E-2</v>
      </c>
      <c r="I35" s="1029">
        <v>1147208.8302404287</v>
      </c>
      <c r="J35" s="1028">
        <v>6.781480750054536E-2</v>
      </c>
      <c r="K35" s="1029">
        <v>2392765.7000701609</v>
      </c>
      <c r="L35" s="1028">
        <v>2.5925634614579085E-2</v>
      </c>
      <c r="M35" s="1029">
        <v>856643.47493828495</v>
      </c>
      <c r="N35" s="1028">
        <v>0.10457692994622871</v>
      </c>
      <c r="O35" s="1028">
        <v>-3.2000000000000001E-2</v>
      </c>
      <c r="P35" s="1028">
        <v>0.62605506121188881</v>
      </c>
      <c r="Q35" s="1030">
        <v>72.346874999999997</v>
      </c>
      <c r="R35" s="1030">
        <v>56286.360755248446</v>
      </c>
      <c r="S35" s="1030">
        <v>75635.906588711485</v>
      </c>
      <c r="T35" s="1028">
        <v>-3.2823809523809526E-2</v>
      </c>
      <c r="U35" s="1030">
        <v>4621.2499999991669</v>
      </c>
      <c r="V35" s="1028">
        <v>3.559586E-2</v>
      </c>
      <c r="W35" s="1028">
        <v>3.4499841317789645E-2</v>
      </c>
      <c r="X35" s="1031">
        <v>6.5000000000000002E-2</v>
      </c>
      <c r="Y35" s="1031">
        <v>6.6735213333333349E-2</v>
      </c>
      <c r="Z35" s="1031">
        <v>6.4923430000000004E-2</v>
      </c>
      <c r="AA35" s="1031">
        <v>9.4980692445160914E-2</v>
      </c>
      <c r="AB35" s="1028">
        <v>1.7986284189478119E-2</v>
      </c>
      <c r="AC35" s="1028">
        <v>4.2000000000000003E-2</v>
      </c>
      <c r="AD35" s="1028">
        <v>0.02</v>
      </c>
      <c r="AE35" s="1031">
        <v>3.2500000000000001E-2</v>
      </c>
      <c r="AF35" s="1031">
        <v>3.4124447763874424E-2</v>
      </c>
    </row>
    <row r="36" spans="1:32" ht="15" customHeight="1" x14ac:dyDescent="0.25">
      <c r="A36" s="70">
        <v>201903</v>
      </c>
      <c r="B36" s="71">
        <v>3.21</v>
      </c>
      <c r="C36" s="72">
        <v>4</v>
      </c>
      <c r="D36" s="71">
        <v>3</v>
      </c>
      <c r="E36" s="73">
        <v>2</v>
      </c>
    </row>
    <row r="37" spans="1:32" ht="15" customHeight="1" x14ac:dyDescent="0.25">
      <c r="A37" s="66">
        <v>201902</v>
      </c>
      <c r="B37" s="67">
        <v>3.01</v>
      </c>
      <c r="C37" s="68">
        <v>4</v>
      </c>
      <c r="D37" s="67">
        <v>3</v>
      </c>
      <c r="E37" s="69">
        <v>2</v>
      </c>
    </row>
    <row r="38" spans="1:32" ht="15" customHeight="1" x14ac:dyDescent="0.25">
      <c r="A38" s="70">
        <v>201901</v>
      </c>
      <c r="B38" s="71">
        <v>3.15</v>
      </c>
      <c r="C38" s="72">
        <v>4</v>
      </c>
      <c r="D38" s="71">
        <v>3</v>
      </c>
      <c r="E38" s="73">
        <v>2</v>
      </c>
    </row>
    <row r="39" spans="1:32" ht="15" customHeight="1" x14ac:dyDescent="0.25">
      <c r="A39" s="66">
        <v>201812</v>
      </c>
      <c r="B39" s="67">
        <v>3.18</v>
      </c>
      <c r="C39" s="68">
        <v>4</v>
      </c>
      <c r="D39" s="67">
        <v>3</v>
      </c>
      <c r="E39" s="69">
        <v>2</v>
      </c>
    </row>
    <row r="40" spans="1:32" ht="15" customHeight="1" x14ac:dyDescent="0.25">
      <c r="A40" s="70">
        <v>201811</v>
      </c>
      <c r="B40" s="71">
        <v>3.27</v>
      </c>
      <c r="C40" s="72">
        <v>4</v>
      </c>
      <c r="D40" s="71">
        <v>3</v>
      </c>
      <c r="E40" s="73">
        <v>2</v>
      </c>
    </row>
    <row r="41" spans="1:32" ht="15" customHeight="1" x14ac:dyDescent="0.25">
      <c r="A41" s="66">
        <v>201810</v>
      </c>
      <c r="B41" s="67">
        <v>3.33</v>
      </c>
      <c r="C41" s="68">
        <v>4</v>
      </c>
      <c r="D41" s="67">
        <v>3</v>
      </c>
      <c r="E41" s="69">
        <v>2</v>
      </c>
    </row>
    <row r="42" spans="1:32" ht="15" customHeight="1" x14ac:dyDescent="0.25">
      <c r="A42" s="70">
        <v>201809</v>
      </c>
      <c r="B42" s="71">
        <v>3.23</v>
      </c>
      <c r="C42" s="72">
        <v>4</v>
      </c>
      <c r="D42" s="71">
        <v>3</v>
      </c>
      <c r="E42" s="73">
        <v>2</v>
      </c>
    </row>
    <row r="43" spans="1:32" ht="15" customHeight="1" x14ac:dyDescent="0.25">
      <c r="A43" s="66">
        <v>201808</v>
      </c>
      <c r="B43" s="67">
        <v>3.1</v>
      </c>
      <c r="C43" s="68">
        <v>4</v>
      </c>
      <c r="D43" s="67">
        <v>3</v>
      </c>
      <c r="E43" s="69">
        <v>2</v>
      </c>
    </row>
    <row r="44" spans="1:32" ht="15" customHeight="1" x14ac:dyDescent="0.25">
      <c r="A44" s="70">
        <v>201807</v>
      </c>
      <c r="B44" s="71">
        <v>3.12</v>
      </c>
      <c r="C44" s="72">
        <v>4</v>
      </c>
      <c r="D44" s="71">
        <v>3</v>
      </c>
      <c r="E44" s="73">
        <v>2</v>
      </c>
    </row>
    <row r="45" spans="1:32" ht="15" customHeight="1" x14ac:dyDescent="0.25">
      <c r="A45" s="66">
        <v>201806</v>
      </c>
      <c r="B45" s="67">
        <v>3.2</v>
      </c>
      <c r="C45" s="68">
        <v>4</v>
      </c>
      <c r="D45" s="67">
        <v>3</v>
      </c>
      <c r="E45" s="69">
        <v>2</v>
      </c>
    </row>
    <row r="46" spans="1:32" ht="15" customHeight="1" x14ac:dyDescent="0.25">
      <c r="A46" s="70">
        <v>201805</v>
      </c>
      <c r="B46" s="71">
        <v>3.16</v>
      </c>
      <c r="C46" s="72">
        <v>4</v>
      </c>
      <c r="D46" s="71">
        <v>3</v>
      </c>
      <c r="E46" s="73">
        <v>2</v>
      </c>
    </row>
    <row r="47" spans="1:32" ht="15" customHeight="1" x14ac:dyDescent="0.25">
      <c r="A47" s="66">
        <v>201804</v>
      </c>
      <c r="B47" s="67">
        <v>3.13</v>
      </c>
      <c r="C47" s="68">
        <v>4</v>
      </c>
      <c r="D47" s="67">
        <v>3</v>
      </c>
      <c r="E47" s="69">
        <v>2</v>
      </c>
    </row>
    <row r="48" spans="1:32" ht="15" customHeight="1" x14ac:dyDescent="0.25">
      <c r="A48" s="70">
        <v>201803</v>
      </c>
      <c r="B48" s="71">
        <v>3.14</v>
      </c>
      <c r="C48" s="72">
        <v>4</v>
      </c>
      <c r="D48" s="71">
        <v>3</v>
      </c>
      <c r="E48" s="73">
        <v>2</v>
      </c>
    </row>
    <row r="49" spans="1:5" ht="15" customHeight="1" x14ac:dyDescent="0.25">
      <c r="A49" s="66">
        <v>201802</v>
      </c>
      <c r="B49" s="67">
        <v>3.37</v>
      </c>
      <c r="C49" s="68">
        <v>4</v>
      </c>
      <c r="D49" s="67">
        <v>3</v>
      </c>
      <c r="E49" s="69">
        <v>2</v>
      </c>
    </row>
    <row r="50" spans="1:5" ht="15" customHeight="1" x14ac:dyDescent="0.25">
      <c r="A50" s="70">
        <v>201801</v>
      </c>
      <c r="B50" s="71">
        <v>3.68</v>
      </c>
      <c r="C50" s="72">
        <v>4</v>
      </c>
      <c r="D50" s="71">
        <v>3</v>
      </c>
      <c r="E50" s="73">
        <v>2</v>
      </c>
    </row>
    <row r="51" spans="1:5" ht="15" customHeight="1" x14ac:dyDescent="0.25">
      <c r="A51" s="66">
        <v>201712</v>
      </c>
      <c r="B51" s="67">
        <v>4.09</v>
      </c>
      <c r="C51" s="68">
        <v>4</v>
      </c>
      <c r="D51" s="67">
        <v>3</v>
      </c>
      <c r="E51" s="69">
        <v>2</v>
      </c>
    </row>
    <row r="52" spans="1:5" ht="15" customHeight="1" x14ac:dyDescent="0.25">
      <c r="A52" s="70">
        <v>201711</v>
      </c>
      <c r="B52" s="71">
        <v>4.12</v>
      </c>
      <c r="C52" s="72">
        <v>4</v>
      </c>
      <c r="D52" s="71">
        <v>3</v>
      </c>
      <c r="E52" s="73">
        <v>2</v>
      </c>
    </row>
    <row r="53" spans="1:5" ht="15" customHeight="1" x14ac:dyDescent="0.25">
      <c r="A53" s="66">
        <v>201710</v>
      </c>
      <c r="B53" s="67">
        <v>4.05</v>
      </c>
      <c r="C53" s="68">
        <v>4</v>
      </c>
      <c r="D53" s="67">
        <v>3</v>
      </c>
      <c r="E53" s="69">
        <v>2</v>
      </c>
    </row>
    <row r="54" spans="1:5" ht="15" customHeight="1" x14ac:dyDescent="0.25">
      <c r="A54" s="70">
        <v>201709</v>
      </c>
      <c r="B54" s="71">
        <v>3.97</v>
      </c>
      <c r="C54" s="72">
        <v>4</v>
      </c>
      <c r="D54" s="71">
        <v>3</v>
      </c>
      <c r="E54" s="73">
        <v>2</v>
      </c>
    </row>
    <row r="55" spans="1:5" ht="15" customHeight="1" x14ac:dyDescent="0.25">
      <c r="A55" s="66">
        <v>201708</v>
      </c>
      <c r="B55" s="67">
        <v>3.87</v>
      </c>
      <c r="C55" s="68">
        <v>4</v>
      </c>
      <c r="D55" s="67">
        <v>3</v>
      </c>
      <c r="E55" s="69">
        <v>2</v>
      </c>
    </row>
    <row r="56" spans="1:5" ht="15" customHeight="1" x14ac:dyDescent="0.25">
      <c r="A56" s="70">
        <v>201707</v>
      </c>
      <c r="B56" s="71">
        <v>3.4</v>
      </c>
      <c r="C56" s="72">
        <v>4</v>
      </c>
      <c r="D56" s="71">
        <v>3</v>
      </c>
      <c r="E56" s="73">
        <v>2</v>
      </c>
    </row>
    <row r="57" spans="1:5" ht="15" customHeight="1" x14ac:dyDescent="0.25">
      <c r="A57" s="66">
        <v>201706</v>
      </c>
      <c r="B57" s="67">
        <v>3.99</v>
      </c>
      <c r="C57" s="68">
        <v>4</v>
      </c>
      <c r="D57" s="67">
        <v>3</v>
      </c>
      <c r="E57" s="69">
        <v>2</v>
      </c>
    </row>
    <row r="58" spans="1:5" ht="15" customHeight="1" x14ac:dyDescent="0.25">
      <c r="A58" s="70">
        <v>201705</v>
      </c>
      <c r="B58" s="71">
        <v>4.37</v>
      </c>
      <c r="C58" s="72">
        <v>4</v>
      </c>
      <c r="D58" s="71">
        <v>3</v>
      </c>
      <c r="E58" s="73">
        <v>2</v>
      </c>
    </row>
    <row r="59" spans="1:5" ht="15" customHeight="1" x14ac:dyDescent="0.25">
      <c r="A59" s="66">
        <v>201704</v>
      </c>
      <c r="B59" s="67">
        <v>4.66</v>
      </c>
      <c r="C59" s="68">
        <v>4</v>
      </c>
      <c r="D59" s="67">
        <v>3</v>
      </c>
      <c r="E59" s="69">
        <v>2</v>
      </c>
    </row>
    <row r="60" spans="1:5" ht="15" customHeight="1" x14ac:dyDescent="0.25">
      <c r="A60" s="70">
        <v>201703</v>
      </c>
      <c r="B60" s="71">
        <v>4.6900000000000004</v>
      </c>
      <c r="C60" s="72">
        <v>4</v>
      </c>
      <c r="D60" s="71">
        <v>3</v>
      </c>
      <c r="E60" s="73">
        <v>2</v>
      </c>
    </row>
    <row r="61" spans="1:5" ht="15" customHeight="1" x14ac:dyDescent="0.25">
      <c r="A61" s="66">
        <v>201702</v>
      </c>
      <c r="B61" s="67">
        <v>5.18</v>
      </c>
      <c r="C61" s="68">
        <v>4</v>
      </c>
      <c r="D61" s="67">
        <v>3</v>
      </c>
      <c r="E61" s="69">
        <v>2</v>
      </c>
    </row>
    <row r="62" spans="1:5" ht="15" customHeight="1" x14ac:dyDescent="0.25">
      <c r="A62" s="70">
        <v>201701</v>
      </c>
      <c r="B62" s="71">
        <v>5.47</v>
      </c>
      <c r="C62" s="72">
        <v>4</v>
      </c>
      <c r="D62" s="71">
        <v>3</v>
      </c>
      <c r="E62" s="73">
        <v>2</v>
      </c>
    </row>
    <row r="63" spans="1:5" ht="15" customHeight="1" x14ac:dyDescent="0.25">
      <c r="A63" s="66">
        <v>201612</v>
      </c>
      <c r="B63" s="67">
        <v>5.75</v>
      </c>
      <c r="C63" s="68">
        <v>4</v>
      </c>
      <c r="D63" s="67">
        <v>3</v>
      </c>
      <c r="E63" s="69">
        <v>2</v>
      </c>
    </row>
    <row r="64" spans="1:5" ht="15" customHeight="1" x14ac:dyDescent="0.25">
      <c r="A64" s="70">
        <v>201611</v>
      </c>
      <c r="B64" s="71">
        <v>5.96</v>
      </c>
      <c r="C64" s="72">
        <v>4</v>
      </c>
      <c r="D64" s="71">
        <v>3</v>
      </c>
      <c r="E64" s="73">
        <v>2</v>
      </c>
    </row>
    <row r="65" spans="1:5" ht="15" customHeight="1" x14ac:dyDescent="0.25">
      <c r="A65" s="66">
        <v>201610</v>
      </c>
      <c r="B65" s="67">
        <v>6.48</v>
      </c>
      <c r="C65" s="68">
        <v>4</v>
      </c>
      <c r="D65" s="67">
        <v>3</v>
      </c>
      <c r="E65" s="69">
        <v>2</v>
      </c>
    </row>
    <row r="66" spans="1:5" ht="15" customHeight="1" x14ac:dyDescent="0.25">
      <c r="A66" s="70">
        <v>201609</v>
      </c>
      <c r="B66" s="71">
        <v>7.27</v>
      </c>
      <c r="C66" s="72">
        <v>4</v>
      </c>
      <c r="D66" s="71">
        <v>3</v>
      </c>
      <c r="E66" s="73">
        <v>2</v>
      </c>
    </row>
    <row r="67" spans="1:5" ht="15" customHeight="1" x14ac:dyDescent="0.25">
      <c r="A67" s="66">
        <v>201608</v>
      </c>
      <c r="B67" s="67">
        <v>8.1</v>
      </c>
      <c r="C67" s="68">
        <v>4</v>
      </c>
      <c r="D67" s="67">
        <v>3</v>
      </c>
      <c r="E67" s="69">
        <v>2</v>
      </c>
    </row>
    <row r="68" spans="1:5" ht="15" customHeight="1" x14ac:dyDescent="0.25">
      <c r="A68" s="70">
        <v>201607</v>
      </c>
      <c r="B68" s="71">
        <v>8.9700000000000006</v>
      </c>
      <c r="C68" s="72">
        <v>4</v>
      </c>
      <c r="D68" s="71">
        <v>3</v>
      </c>
      <c r="E68" s="73">
        <v>2</v>
      </c>
    </row>
    <row r="69" spans="1:5" ht="15" customHeight="1" x14ac:dyDescent="0.25">
      <c r="A69" s="66">
        <v>201606</v>
      </c>
      <c r="B69" s="67">
        <v>8.6</v>
      </c>
      <c r="C69" s="68">
        <v>4</v>
      </c>
      <c r="D69" s="67">
        <v>3</v>
      </c>
      <c r="E69" s="69">
        <v>2</v>
      </c>
    </row>
    <row r="70" spans="1:5" ht="15" customHeight="1" x14ac:dyDescent="0.25">
      <c r="A70" s="70">
        <v>201605</v>
      </c>
      <c r="B70" s="71">
        <v>8.1999999999999993</v>
      </c>
      <c r="C70" s="72">
        <v>4</v>
      </c>
      <c r="D70" s="71">
        <v>3</v>
      </c>
      <c r="E70" s="73">
        <v>2</v>
      </c>
    </row>
    <row r="71" spans="1:5" ht="15" customHeight="1" x14ac:dyDescent="0.25">
      <c r="A71" s="66">
        <v>201604</v>
      </c>
      <c r="B71" s="67">
        <v>7.93</v>
      </c>
      <c r="C71" s="68">
        <v>4</v>
      </c>
      <c r="D71" s="67">
        <v>3</v>
      </c>
      <c r="E71" s="69">
        <v>2</v>
      </c>
    </row>
    <row r="72" spans="1:5" ht="15" customHeight="1" x14ac:dyDescent="0.25">
      <c r="A72" s="70">
        <v>201603</v>
      </c>
      <c r="B72" s="71">
        <v>7.98</v>
      </c>
      <c r="C72" s="72">
        <v>4</v>
      </c>
      <c r="D72" s="71">
        <v>3</v>
      </c>
      <c r="E72" s="73">
        <v>2</v>
      </c>
    </row>
    <row r="73" spans="1:5" ht="15" customHeight="1" x14ac:dyDescent="0.25">
      <c r="A73" s="66">
        <v>201602</v>
      </c>
      <c r="B73" s="67">
        <v>7.59</v>
      </c>
      <c r="C73" s="68">
        <v>4</v>
      </c>
      <c r="D73" s="67">
        <v>3</v>
      </c>
      <c r="E73" s="69">
        <v>2</v>
      </c>
    </row>
    <row r="74" spans="1:5" ht="15" customHeight="1" x14ac:dyDescent="0.25">
      <c r="A74" s="70">
        <v>201601</v>
      </c>
      <c r="B74" s="71">
        <v>7.45</v>
      </c>
      <c r="C74" s="72">
        <v>4</v>
      </c>
      <c r="D74" s="71">
        <v>3</v>
      </c>
      <c r="E74" s="73">
        <v>2</v>
      </c>
    </row>
    <row r="75" spans="1:5" ht="15" customHeight="1" x14ac:dyDescent="0.25">
      <c r="A75" s="66">
        <v>201512</v>
      </c>
      <c r="B75" s="67">
        <v>6.77</v>
      </c>
      <c r="C75" s="68">
        <v>4</v>
      </c>
      <c r="D75" s="67">
        <v>3</v>
      </c>
      <c r="E75" s="69">
        <v>2</v>
      </c>
    </row>
    <row r="76" spans="1:5" ht="15" customHeight="1" x14ac:dyDescent="0.25">
      <c r="A76" s="70">
        <v>201511</v>
      </c>
      <c r="B76" s="71">
        <v>6.39</v>
      </c>
      <c r="C76" s="72">
        <v>4</v>
      </c>
      <c r="D76" s="71">
        <v>3</v>
      </c>
      <c r="E76" s="73">
        <v>2</v>
      </c>
    </row>
    <row r="77" spans="1:5" ht="15" customHeight="1" x14ac:dyDescent="0.25">
      <c r="A77" s="66">
        <v>201510</v>
      </c>
      <c r="B77" s="67">
        <v>5.89</v>
      </c>
      <c r="C77" s="68">
        <v>4</v>
      </c>
      <c r="D77" s="67">
        <v>3</v>
      </c>
      <c r="E77" s="69">
        <v>2</v>
      </c>
    </row>
    <row r="78" spans="1:5" ht="15" customHeight="1" x14ac:dyDescent="0.25">
      <c r="A78" s="70">
        <v>201509</v>
      </c>
      <c r="B78" s="71">
        <v>5.35</v>
      </c>
      <c r="C78" s="72">
        <v>4</v>
      </c>
      <c r="D78" s="71">
        <v>3</v>
      </c>
      <c r="E78" s="73">
        <v>2</v>
      </c>
    </row>
    <row r="79" spans="1:5" ht="15" customHeight="1" x14ac:dyDescent="0.25">
      <c r="A79" s="66">
        <v>201508</v>
      </c>
      <c r="B79" s="67">
        <v>4.74</v>
      </c>
      <c r="C79" s="68">
        <v>4</v>
      </c>
      <c r="D79" s="67">
        <v>3</v>
      </c>
      <c r="E79" s="69">
        <v>2</v>
      </c>
    </row>
    <row r="80" spans="1:5" ht="15" customHeight="1" x14ac:dyDescent="0.25">
      <c r="A80" s="70">
        <v>201507</v>
      </c>
      <c r="B80" s="71">
        <v>4.46</v>
      </c>
      <c r="C80" s="72">
        <v>4</v>
      </c>
      <c r="D80" s="71">
        <v>3</v>
      </c>
      <c r="E80" s="73">
        <v>2</v>
      </c>
    </row>
    <row r="81" spans="1:5" ht="15" customHeight="1" x14ac:dyDescent="0.25">
      <c r="A81" s="66">
        <v>201506</v>
      </c>
      <c r="B81" s="67">
        <v>4.42</v>
      </c>
      <c r="C81" s="68">
        <v>4</v>
      </c>
      <c r="D81" s="67">
        <v>3</v>
      </c>
      <c r="E81" s="69">
        <v>2</v>
      </c>
    </row>
    <row r="82" spans="1:5" ht="15" customHeight="1" x14ac:dyDescent="0.25">
      <c r="A82" s="70">
        <v>201505</v>
      </c>
      <c r="B82" s="71">
        <v>4.41</v>
      </c>
      <c r="C82" s="72">
        <v>4</v>
      </c>
      <c r="D82" s="71">
        <v>3</v>
      </c>
      <c r="E82" s="73">
        <v>2</v>
      </c>
    </row>
    <row r="83" spans="1:5" ht="15" customHeight="1" x14ac:dyDescent="0.25">
      <c r="A83" s="66">
        <v>201504</v>
      </c>
      <c r="B83" s="67">
        <v>4.6399999999999997</v>
      </c>
      <c r="C83" s="68">
        <v>4</v>
      </c>
      <c r="D83" s="67">
        <v>3</v>
      </c>
      <c r="E83" s="69">
        <v>2</v>
      </c>
    </row>
    <row r="84" spans="1:5" ht="15" customHeight="1" x14ac:dyDescent="0.25">
      <c r="A84" s="70">
        <v>201503</v>
      </c>
      <c r="B84" s="71">
        <v>4.5599999999999996</v>
      </c>
      <c r="C84" s="72">
        <v>4</v>
      </c>
      <c r="D84" s="71">
        <v>3</v>
      </c>
      <c r="E84" s="73">
        <v>2</v>
      </c>
    </row>
    <row r="85" spans="1:5" ht="15" customHeight="1" x14ac:dyDescent="0.25">
      <c r="A85" s="66">
        <v>201502</v>
      </c>
      <c r="B85" s="67">
        <v>4.3600000000000003</v>
      </c>
      <c r="C85" s="68">
        <v>4</v>
      </c>
      <c r="D85" s="67">
        <v>3</v>
      </c>
      <c r="E85" s="69">
        <v>2</v>
      </c>
    </row>
    <row r="86" spans="1:5" ht="15" customHeight="1" x14ac:dyDescent="0.25">
      <c r="A86" s="70">
        <v>201501</v>
      </c>
      <c r="B86" s="71">
        <v>3.82</v>
      </c>
      <c r="C86" s="72">
        <v>4</v>
      </c>
      <c r="D86" s="71">
        <v>3</v>
      </c>
      <c r="E86" s="73">
        <v>2</v>
      </c>
    </row>
    <row r="87" spans="1:5" ht="15" customHeight="1" x14ac:dyDescent="0.25">
      <c r="A87" s="66">
        <v>201412</v>
      </c>
      <c r="B87" s="67">
        <v>3.66</v>
      </c>
      <c r="C87" s="68">
        <v>4</v>
      </c>
      <c r="D87" s="67">
        <v>3</v>
      </c>
      <c r="E87" s="69">
        <v>2</v>
      </c>
    </row>
    <row r="88" spans="1:5" ht="15" customHeight="1" x14ac:dyDescent="0.25">
      <c r="A88" s="70">
        <v>201411</v>
      </c>
      <c r="B88" s="71">
        <v>3.65</v>
      </c>
      <c r="C88" s="72">
        <v>4</v>
      </c>
      <c r="D88" s="71">
        <v>3</v>
      </c>
      <c r="E88" s="73">
        <v>2</v>
      </c>
    </row>
    <row r="89" spans="1:5" ht="15" customHeight="1" x14ac:dyDescent="0.25">
      <c r="A89" s="66">
        <v>201410</v>
      </c>
      <c r="B89" s="67">
        <v>3.29</v>
      </c>
      <c r="C89" s="68">
        <v>4</v>
      </c>
      <c r="D89" s="67">
        <v>3</v>
      </c>
      <c r="E89" s="69">
        <v>2</v>
      </c>
    </row>
    <row r="90" spans="1:5" ht="15" customHeight="1" x14ac:dyDescent="0.25">
      <c r="A90" s="70">
        <v>201409</v>
      </c>
      <c r="B90" s="71">
        <v>2.86</v>
      </c>
      <c r="C90" s="72">
        <v>4</v>
      </c>
      <c r="D90" s="71">
        <v>3</v>
      </c>
      <c r="E90" s="73">
        <v>2</v>
      </c>
    </row>
    <row r="91" spans="1:5" ht="15" customHeight="1" x14ac:dyDescent="0.25">
      <c r="A91" s="66">
        <v>201408</v>
      </c>
      <c r="B91" s="67">
        <v>3.02</v>
      </c>
      <c r="C91" s="68">
        <v>4</v>
      </c>
      <c r="D91" s="67">
        <v>3</v>
      </c>
      <c r="E91" s="69">
        <v>2</v>
      </c>
    </row>
    <row r="92" spans="1:5" ht="15" customHeight="1" x14ac:dyDescent="0.25">
      <c r="A92" s="70">
        <v>201407</v>
      </c>
      <c r="B92" s="71">
        <v>2.89</v>
      </c>
      <c r="C92" s="72">
        <v>4</v>
      </c>
      <c r="D92" s="71">
        <v>3</v>
      </c>
      <c r="E92" s="73">
        <v>2</v>
      </c>
    </row>
    <row r="93" spans="1:5" ht="15" customHeight="1" x14ac:dyDescent="0.25">
      <c r="A93" s="66">
        <v>201406</v>
      </c>
      <c r="B93" s="67">
        <v>2.79</v>
      </c>
      <c r="C93" s="68">
        <v>4</v>
      </c>
      <c r="D93" s="67">
        <v>3</v>
      </c>
      <c r="E93" s="69">
        <v>2</v>
      </c>
    </row>
    <row r="94" spans="1:5" ht="15" customHeight="1" x14ac:dyDescent="0.25">
      <c r="A94" s="70">
        <v>201405</v>
      </c>
      <c r="B94" s="71">
        <v>2.93</v>
      </c>
      <c r="C94" s="72">
        <v>4</v>
      </c>
      <c r="D94" s="71">
        <v>3</v>
      </c>
      <c r="E94" s="73">
        <v>2</v>
      </c>
    </row>
    <row r="95" spans="1:5" ht="15" customHeight="1" x14ac:dyDescent="0.25">
      <c r="A95" s="66">
        <v>201404</v>
      </c>
      <c r="B95" s="67">
        <v>2.72</v>
      </c>
      <c r="C95" s="68">
        <v>4</v>
      </c>
      <c r="D95" s="67">
        <v>3</v>
      </c>
      <c r="E95" s="69">
        <v>2</v>
      </c>
    </row>
    <row r="96" spans="1:5" ht="15" customHeight="1" x14ac:dyDescent="0.25">
      <c r="A96" s="70">
        <v>201403</v>
      </c>
      <c r="B96" s="71">
        <v>2.5099999999999998</v>
      </c>
      <c r="C96" s="72">
        <v>4</v>
      </c>
      <c r="D96" s="71">
        <v>3</v>
      </c>
      <c r="E96" s="73">
        <v>2</v>
      </c>
    </row>
    <row r="97" spans="1:5" ht="15" customHeight="1" x14ac:dyDescent="0.25">
      <c r="A97" s="66">
        <v>201402</v>
      </c>
      <c r="B97" s="67">
        <v>2.3199999999999998</v>
      </c>
      <c r="C97" s="68">
        <v>4</v>
      </c>
      <c r="D97" s="67">
        <v>3</v>
      </c>
      <c r="E97" s="69">
        <v>2</v>
      </c>
    </row>
    <row r="98" spans="1:5" ht="15" customHeight="1" x14ac:dyDescent="0.25">
      <c r="A98" s="70">
        <v>201401</v>
      </c>
      <c r="B98" s="71">
        <v>2.13</v>
      </c>
      <c r="C98" s="72">
        <v>4</v>
      </c>
      <c r="D98" s="71">
        <v>3</v>
      </c>
      <c r="E98" s="73">
        <v>2</v>
      </c>
    </row>
    <row r="99" spans="1:5" ht="15" customHeight="1" x14ac:dyDescent="0.25">
      <c r="A99" s="66">
        <v>201312</v>
      </c>
      <c r="B99" s="67">
        <v>1.94</v>
      </c>
      <c r="C99" s="68">
        <v>4</v>
      </c>
      <c r="D99" s="67">
        <v>3</v>
      </c>
      <c r="E99" s="69">
        <v>2</v>
      </c>
    </row>
    <row r="100" spans="1:5" ht="15" customHeight="1" x14ac:dyDescent="0.25">
      <c r="A100" s="70">
        <v>201311</v>
      </c>
      <c r="B100" s="71">
        <v>1.76</v>
      </c>
      <c r="C100" s="72">
        <v>4</v>
      </c>
      <c r="D100" s="71">
        <v>3</v>
      </c>
      <c r="E100" s="73">
        <v>2</v>
      </c>
    </row>
    <row r="101" spans="1:5" ht="15" customHeight="1" x14ac:dyDescent="0.25">
      <c r="A101" s="66">
        <v>201310</v>
      </c>
      <c r="B101" s="67">
        <v>1.84</v>
      </c>
      <c r="C101" s="68">
        <v>4</v>
      </c>
      <c r="D101" s="67">
        <v>3</v>
      </c>
      <c r="E101" s="69">
        <v>2</v>
      </c>
    </row>
    <row r="102" spans="1:5" ht="15" customHeight="1" x14ac:dyDescent="0.25">
      <c r="A102" s="70">
        <v>201309</v>
      </c>
      <c r="B102" s="71">
        <v>2.27</v>
      </c>
      <c r="C102" s="72">
        <v>4</v>
      </c>
      <c r="D102" s="71">
        <v>3</v>
      </c>
      <c r="E102" s="73">
        <v>2</v>
      </c>
    </row>
    <row r="103" spans="1:5" ht="15" customHeight="1" x14ac:dyDescent="0.25">
      <c r="A103" s="66">
        <v>201308</v>
      </c>
      <c r="B103" s="67">
        <v>2.27</v>
      </c>
      <c r="C103" s="68">
        <v>4</v>
      </c>
      <c r="D103" s="67">
        <v>3</v>
      </c>
      <c r="E103" s="69">
        <v>2</v>
      </c>
    </row>
    <row r="104" spans="1:5" ht="15" customHeight="1" x14ac:dyDescent="0.25">
      <c r="A104" s="70">
        <v>201307</v>
      </c>
      <c r="B104" s="71">
        <v>2.2200000000000002</v>
      </c>
      <c r="C104" s="72">
        <v>4</v>
      </c>
      <c r="D104" s="71">
        <v>3</v>
      </c>
      <c r="E104" s="73">
        <v>2</v>
      </c>
    </row>
    <row r="105" spans="1:5" ht="15" customHeight="1" x14ac:dyDescent="0.25">
      <c r="A105" s="66">
        <v>201306</v>
      </c>
      <c r="B105" s="67">
        <v>2.16</v>
      </c>
      <c r="C105" s="68">
        <v>4</v>
      </c>
      <c r="D105" s="67">
        <v>3</v>
      </c>
      <c r="E105" s="69">
        <v>2</v>
      </c>
    </row>
    <row r="106" spans="1:5" ht="15" customHeight="1" x14ac:dyDescent="0.25">
      <c r="A106" s="70">
        <v>201305</v>
      </c>
      <c r="B106" s="71">
        <v>2</v>
      </c>
      <c r="C106" s="72">
        <v>4</v>
      </c>
      <c r="D106" s="71">
        <v>3</v>
      </c>
      <c r="E106" s="73">
        <v>2</v>
      </c>
    </row>
    <row r="107" spans="1:5" ht="15" customHeight="1" x14ac:dyDescent="0.25">
      <c r="A107" s="66">
        <v>201304</v>
      </c>
      <c r="B107" s="67">
        <v>2.02</v>
      </c>
      <c r="C107" s="68">
        <v>4</v>
      </c>
      <c r="D107" s="67">
        <v>3</v>
      </c>
      <c r="E107" s="69">
        <v>2</v>
      </c>
    </row>
    <row r="108" spans="1:5" ht="15" customHeight="1" x14ac:dyDescent="0.25">
      <c r="A108" s="70">
        <v>201303</v>
      </c>
      <c r="B108" s="71">
        <v>1.91</v>
      </c>
      <c r="C108" s="72">
        <v>4</v>
      </c>
      <c r="D108" s="71">
        <v>3</v>
      </c>
      <c r="E108" s="73">
        <v>2</v>
      </c>
    </row>
    <row r="109" spans="1:5" ht="15" customHeight="1" x14ac:dyDescent="0.25">
      <c r="A109" s="66">
        <v>201302</v>
      </c>
      <c r="B109" s="67">
        <v>1.83</v>
      </c>
      <c r="C109" s="68">
        <v>4</v>
      </c>
      <c r="D109" s="67">
        <v>3</v>
      </c>
      <c r="E109" s="69">
        <v>2</v>
      </c>
    </row>
    <row r="110" spans="1:5" ht="15" customHeight="1" x14ac:dyDescent="0.25">
      <c r="A110" s="70">
        <v>201301</v>
      </c>
      <c r="B110" s="71">
        <v>2</v>
      </c>
      <c r="C110" s="72">
        <v>4</v>
      </c>
      <c r="D110" s="71">
        <v>3</v>
      </c>
      <c r="E110" s="73">
        <v>2</v>
      </c>
    </row>
    <row r="111" spans="1:5" ht="15" customHeight="1" x14ac:dyDescent="0.25">
      <c r="A111" s="66">
        <v>201212</v>
      </c>
      <c r="B111" s="67">
        <v>2.44</v>
      </c>
      <c r="C111" s="68">
        <v>4</v>
      </c>
      <c r="D111" s="67">
        <v>3</v>
      </c>
      <c r="E111" s="69">
        <v>2</v>
      </c>
    </row>
    <row r="112" spans="1:5" ht="15" customHeight="1" x14ac:dyDescent="0.25">
      <c r="A112" s="70">
        <v>201211</v>
      </c>
      <c r="B112" s="71">
        <v>2.77</v>
      </c>
      <c r="C112" s="72">
        <v>4</v>
      </c>
      <c r="D112" s="71">
        <v>3</v>
      </c>
      <c r="E112" s="73">
        <v>2</v>
      </c>
    </row>
    <row r="113" spans="1:5" ht="15" customHeight="1" x14ac:dyDescent="0.25">
      <c r="A113" s="66">
        <v>201210</v>
      </c>
      <c r="B113" s="67">
        <v>3.06</v>
      </c>
      <c r="C113" s="68">
        <v>4</v>
      </c>
      <c r="D113" s="67">
        <v>3</v>
      </c>
      <c r="E113" s="69">
        <v>2</v>
      </c>
    </row>
    <row r="114" spans="1:5" ht="15" customHeight="1" x14ac:dyDescent="0.25">
      <c r="A114" s="70">
        <v>201209</v>
      </c>
      <c r="B114" s="71">
        <v>3.08</v>
      </c>
      <c r="C114" s="72">
        <v>4</v>
      </c>
      <c r="D114" s="71">
        <v>3</v>
      </c>
      <c r="E114" s="73">
        <v>2</v>
      </c>
    </row>
    <row r="115" spans="1:5" ht="15" customHeight="1" x14ac:dyDescent="0.25">
      <c r="A115" s="66">
        <v>201208</v>
      </c>
      <c r="B115" s="67">
        <v>3.11</v>
      </c>
      <c r="C115" s="68">
        <v>4</v>
      </c>
      <c r="D115" s="67">
        <v>3</v>
      </c>
      <c r="E115" s="69">
        <v>2</v>
      </c>
    </row>
    <row r="116" spans="1:5" ht="15" customHeight="1" x14ac:dyDescent="0.25">
      <c r="A116" s="70">
        <v>201207</v>
      </c>
      <c r="B116" s="71">
        <v>3.03</v>
      </c>
      <c r="C116" s="72">
        <v>4</v>
      </c>
      <c r="D116" s="71">
        <v>3</v>
      </c>
      <c r="E116" s="73">
        <v>2</v>
      </c>
    </row>
    <row r="117" spans="1:5" ht="15" customHeight="1" x14ac:dyDescent="0.25">
      <c r="A117" s="66">
        <v>201206</v>
      </c>
      <c r="B117" s="67">
        <v>3.2</v>
      </c>
      <c r="C117" s="68">
        <v>4</v>
      </c>
      <c r="D117" s="67">
        <v>3</v>
      </c>
      <c r="E117" s="69">
        <v>2</v>
      </c>
    </row>
    <row r="118" spans="1:5" ht="15" customHeight="1" x14ac:dyDescent="0.25">
      <c r="A118" s="70">
        <v>201205</v>
      </c>
      <c r="B118" s="71">
        <v>3.44</v>
      </c>
      <c r="C118" s="72">
        <v>4</v>
      </c>
      <c r="D118" s="71">
        <v>3</v>
      </c>
      <c r="E118" s="73">
        <v>2</v>
      </c>
    </row>
    <row r="119" spans="1:5" ht="15" customHeight="1" x14ac:dyDescent="0.25">
      <c r="A119" s="66">
        <v>201204</v>
      </c>
      <c r="B119" s="67">
        <v>3.43</v>
      </c>
      <c r="C119" s="68">
        <v>4</v>
      </c>
      <c r="D119" s="67">
        <v>3</v>
      </c>
      <c r="E119" s="69">
        <v>2</v>
      </c>
    </row>
    <row r="120" spans="1:5" ht="15" customHeight="1" x14ac:dyDescent="0.25">
      <c r="A120" s="70">
        <v>201203</v>
      </c>
      <c r="B120" s="71">
        <v>3.4</v>
      </c>
      <c r="C120" s="72">
        <v>4</v>
      </c>
      <c r="D120" s="71">
        <v>3</v>
      </c>
      <c r="E120" s="73">
        <v>2</v>
      </c>
    </row>
    <row r="121" spans="1:5" ht="15" customHeight="1" x14ac:dyDescent="0.25">
      <c r="A121" s="66">
        <v>201202</v>
      </c>
      <c r="B121" s="67">
        <v>3.55</v>
      </c>
      <c r="C121" s="68">
        <v>4</v>
      </c>
      <c r="D121" s="67">
        <v>3</v>
      </c>
      <c r="E121" s="69">
        <v>2</v>
      </c>
    </row>
    <row r="122" spans="1:5" ht="15" customHeight="1" x14ac:dyDescent="0.25">
      <c r="A122" s="70">
        <v>201201</v>
      </c>
      <c r="B122" s="71">
        <v>3.54</v>
      </c>
      <c r="C122" s="72">
        <v>4</v>
      </c>
      <c r="D122" s="71">
        <v>3</v>
      </c>
      <c r="E122" s="73">
        <v>2</v>
      </c>
    </row>
    <row r="123" spans="1:5" ht="15" customHeight="1" x14ac:dyDescent="0.25">
      <c r="A123" s="66">
        <v>201112</v>
      </c>
      <c r="B123" s="67">
        <v>3.73</v>
      </c>
      <c r="C123" s="68">
        <v>4</v>
      </c>
      <c r="D123" s="67">
        <v>3</v>
      </c>
      <c r="E123" s="69">
        <v>2</v>
      </c>
    </row>
    <row r="124" spans="1:5" ht="15" customHeight="1" x14ac:dyDescent="0.25">
      <c r="A124" s="70">
        <v>201111</v>
      </c>
      <c r="B124" s="71">
        <v>3.96</v>
      </c>
      <c r="C124" s="72">
        <v>4</v>
      </c>
      <c r="D124" s="71">
        <v>3</v>
      </c>
      <c r="E124" s="73">
        <v>2</v>
      </c>
    </row>
    <row r="125" spans="1:5" ht="15" customHeight="1" x14ac:dyDescent="0.25">
      <c r="A125" s="66">
        <v>201110</v>
      </c>
      <c r="B125" s="67">
        <v>4.0199999999999996</v>
      </c>
      <c r="C125" s="68">
        <v>4</v>
      </c>
      <c r="D125" s="67">
        <v>3</v>
      </c>
      <c r="E125" s="69">
        <v>2</v>
      </c>
    </row>
    <row r="126" spans="1:5" ht="15" customHeight="1" x14ac:dyDescent="0.25">
      <c r="A126" s="70">
        <v>201109</v>
      </c>
      <c r="B126" s="71">
        <v>3.73</v>
      </c>
      <c r="C126" s="72">
        <v>4</v>
      </c>
      <c r="D126" s="71">
        <v>3</v>
      </c>
      <c r="E126" s="73">
        <v>2</v>
      </c>
    </row>
    <row r="127" spans="1:5" ht="15" customHeight="1" x14ac:dyDescent="0.25">
      <c r="A127" s="66">
        <v>201108</v>
      </c>
      <c r="B127" s="67">
        <v>3.27</v>
      </c>
      <c r="C127" s="68">
        <v>4</v>
      </c>
      <c r="D127" s="67">
        <v>3</v>
      </c>
      <c r="E127" s="69">
        <v>2</v>
      </c>
    </row>
    <row r="128" spans="1:5" ht="15" customHeight="1" x14ac:dyDescent="0.25">
      <c r="A128" s="70">
        <v>201107</v>
      </c>
      <c r="B128" s="71">
        <v>3.42</v>
      </c>
      <c r="C128" s="72">
        <v>4</v>
      </c>
      <c r="D128" s="71">
        <v>3</v>
      </c>
      <c r="E128" s="73">
        <v>2</v>
      </c>
    </row>
    <row r="129" spans="1:5" ht="15" customHeight="1" x14ac:dyDescent="0.25">
      <c r="A129" s="66">
        <v>201106</v>
      </c>
      <c r="B129" s="67">
        <v>3.23</v>
      </c>
      <c r="C129" s="68">
        <v>4</v>
      </c>
      <c r="D129" s="67">
        <v>3</v>
      </c>
      <c r="E129" s="69">
        <v>2</v>
      </c>
    </row>
    <row r="130" spans="1:5" ht="15" customHeight="1" x14ac:dyDescent="0.25">
      <c r="A130" s="70">
        <v>201105</v>
      </c>
      <c r="B130" s="71">
        <v>3.02</v>
      </c>
      <c r="C130" s="72">
        <v>4</v>
      </c>
      <c r="D130" s="71">
        <v>3</v>
      </c>
      <c r="E130" s="73">
        <v>2</v>
      </c>
    </row>
    <row r="131" spans="1:5" ht="15" customHeight="1" x14ac:dyDescent="0.25">
      <c r="A131" s="66">
        <v>201104</v>
      </c>
      <c r="B131" s="67">
        <v>2.84</v>
      </c>
      <c r="C131" s="68">
        <v>4</v>
      </c>
      <c r="D131" s="67">
        <v>3</v>
      </c>
      <c r="E131" s="69">
        <v>2</v>
      </c>
    </row>
    <row r="132" spans="1:5" ht="15" customHeight="1" x14ac:dyDescent="0.25">
      <c r="A132" s="70">
        <v>201103</v>
      </c>
      <c r="B132" s="71">
        <v>3.19</v>
      </c>
      <c r="C132" s="72">
        <v>4</v>
      </c>
      <c r="D132" s="71">
        <v>3</v>
      </c>
      <c r="E132" s="73">
        <v>2</v>
      </c>
    </row>
    <row r="133" spans="1:5" ht="15" customHeight="1" x14ac:dyDescent="0.25">
      <c r="A133" s="66">
        <v>201102</v>
      </c>
      <c r="B133" s="67">
        <v>3.17</v>
      </c>
      <c r="C133" s="68">
        <v>4</v>
      </c>
      <c r="D133" s="67">
        <v>3</v>
      </c>
      <c r="E133" s="69">
        <v>2</v>
      </c>
    </row>
    <row r="134" spans="1:5" ht="15" customHeight="1" x14ac:dyDescent="0.25">
      <c r="A134" s="70">
        <v>201101</v>
      </c>
      <c r="B134" s="71">
        <v>3.4</v>
      </c>
      <c r="C134" s="72">
        <v>4</v>
      </c>
      <c r="D134" s="71">
        <v>3</v>
      </c>
      <c r="E134" s="73">
        <v>2</v>
      </c>
    </row>
    <row r="135" spans="1:5" ht="15" customHeight="1" x14ac:dyDescent="0.25">
      <c r="A135" s="66">
        <v>201012</v>
      </c>
      <c r="B135" s="67">
        <v>3.17</v>
      </c>
      <c r="C135" s="68">
        <v>4</v>
      </c>
      <c r="D135" s="67">
        <v>3</v>
      </c>
      <c r="E135" s="69">
        <v>2</v>
      </c>
    </row>
    <row r="136" spans="1:5" ht="15" customHeight="1" x14ac:dyDescent="0.25">
      <c r="A136" s="70">
        <v>201011</v>
      </c>
      <c r="B136" s="71">
        <v>2.59</v>
      </c>
      <c r="C136" s="72">
        <v>4</v>
      </c>
      <c r="D136" s="71">
        <v>3</v>
      </c>
      <c r="E136" s="73">
        <v>2</v>
      </c>
    </row>
    <row r="137" spans="1:5" ht="15" customHeight="1" x14ac:dyDescent="0.25">
      <c r="A137" s="66">
        <v>201010</v>
      </c>
      <c r="B137" s="67">
        <v>2.33</v>
      </c>
      <c r="C137" s="68">
        <v>4</v>
      </c>
      <c r="D137" s="67">
        <v>3</v>
      </c>
      <c r="E137" s="69">
        <v>2</v>
      </c>
    </row>
    <row r="138" spans="1:5" ht="15" customHeight="1" x14ac:dyDescent="0.25">
      <c r="A138" s="70">
        <v>201009</v>
      </c>
      <c r="B138" s="71">
        <v>2.2799999999999998</v>
      </c>
      <c r="C138" s="72">
        <v>4</v>
      </c>
      <c r="D138" s="71">
        <v>3</v>
      </c>
      <c r="E138" s="73">
        <v>2</v>
      </c>
    </row>
    <row r="139" spans="1:5" ht="15" customHeight="1" x14ac:dyDescent="0.25">
      <c r="A139" s="66">
        <v>201008</v>
      </c>
      <c r="B139" s="67">
        <v>2.31</v>
      </c>
      <c r="C139" s="68">
        <v>4</v>
      </c>
      <c r="D139" s="67">
        <v>3</v>
      </c>
      <c r="E139" s="69">
        <v>2</v>
      </c>
    </row>
    <row r="140" spans="1:5" ht="15" customHeight="1" x14ac:dyDescent="0.25">
      <c r="A140" s="70">
        <v>201007</v>
      </c>
      <c r="B140" s="71">
        <v>2.2400000000000002</v>
      </c>
      <c r="C140" s="72">
        <v>4</v>
      </c>
      <c r="D140" s="71">
        <v>3</v>
      </c>
      <c r="E140" s="73">
        <v>2</v>
      </c>
    </row>
    <row r="141" spans="1:5" ht="15" customHeight="1" x14ac:dyDescent="0.25">
      <c r="A141" s="66">
        <v>201006</v>
      </c>
      <c r="B141" s="67">
        <v>2.25</v>
      </c>
      <c r="C141" s="68">
        <v>4</v>
      </c>
      <c r="D141" s="67">
        <v>3</v>
      </c>
      <c r="E141" s="69">
        <v>2</v>
      </c>
    </row>
    <row r="142" spans="1:5" ht="15" customHeight="1" x14ac:dyDescent="0.25">
      <c r="A142" s="70">
        <v>201005</v>
      </c>
      <c r="B142" s="71">
        <v>2.0699999999999998</v>
      </c>
      <c r="C142" s="72">
        <v>4</v>
      </c>
      <c r="D142" s="71">
        <v>3</v>
      </c>
      <c r="E142" s="73">
        <v>2</v>
      </c>
    </row>
    <row r="143" spans="1:5" ht="15" customHeight="1" x14ac:dyDescent="0.25">
      <c r="A143" s="66">
        <v>201004</v>
      </c>
      <c r="B143" s="67">
        <v>1.98</v>
      </c>
      <c r="C143" s="68">
        <v>4</v>
      </c>
      <c r="D143" s="67">
        <v>3</v>
      </c>
      <c r="E143" s="69">
        <v>2</v>
      </c>
    </row>
    <row r="144" spans="1:5" ht="15" customHeight="1" x14ac:dyDescent="0.25">
      <c r="A144" s="70">
        <v>201003</v>
      </c>
      <c r="B144" s="71">
        <v>1.84</v>
      </c>
      <c r="C144" s="72">
        <v>4</v>
      </c>
      <c r="D144" s="71">
        <v>3</v>
      </c>
      <c r="E144" s="73">
        <v>2</v>
      </c>
    </row>
    <row r="145" spans="1:5" ht="15" customHeight="1" x14ac:dyDescent="0.25">
      <c r="A145" s="66">
        <v>201002</v>
      </c>
      <c r="B145" s="67">
        <v>2.09</v>
      </c>
      <c r="C145" s="68">
        <v>4</v>
      </c>
      <c r="D145" s="67">
        <v>3</v>
      </c>
      <c r="E145" s="69">
        <v>2</v>
      </c>
    </row>
    <row r="146" spans="1:5" ht="15" customHeight="1" x14ac:dyDescent="0.25">
      <c r="A146" s="70">
        <v>201001</v>
      </c>
      <c r="B146" s="71">
        <v>2.1</v>
      </c>
      <c r="C146" s="72">
        <v>4</v>
      </c>
      <c r="D146" s="71">
        <v>3</v>
      </c>
      <c r="E146" s="73">
        <v>2</v>
      </c>
    </row>
    <row r="147" spans="1:5" ht="15" customHeight="1" x14ac:dyDescent="0.25">
      <c r="A147" s="66">
        <v>200912</v>
      </c>
      <c r="B147" s="67">
        <v>2</v>
      </c>
      <c r="C147" s="68">
        <v>5.5</v>
      </c>
      <c r="D147" s="67">
        <v>5</v>
      </c>
      <c r="E147" s="69">
        <v>4.5</v>
      </c>
    </row>
    <row r="148" spans="1:5" ht="15" customHeight="1" x14ac:dyDescent="0.25">
      <c r="A148" s="70">
        <v>200911</v>
      </c>
      <c r="B148" s="71">
        <v>2.37</v>
      </c>
      <c r="C148" s="72">
        <v>5.5</v>
      </c>
      <c r="D148" s="71">
        <v>5</v>
      </c>
      <c r="E148" s="73">
        <v>4.5</v>
      </c>
    </row>
    <row r="149" spans="1:5" ht="15" customHeight="1" x14ac:dyDescent="0.25">
      <c r="A149" s="66">
        <v>200910</v>
      </c>
      <c r="B149" s="67">
        <v>2.72</v>
      </c>
      <c r="C149" s="68">
        <v>5.5</v>
      </c>
      <c r="D149" s="67">
        <v>5</v>
      </c>
      <c r="E149" s="69">
        <v>4.5</v>
      </c>
    </row>
    <row r="150" spans="1:5" ht="15" customHeight="1" x14ac:dyDescent="0.25">
      <c r="A150" s="70">
        <v>200909</v>
      </c>
      <c r="B150" s="71">
        <v>3.21</v>
      </c>
      <c r="C150" s="72">
        <v>5.5</v>
      </c>
      <c r="D150" s="71">
        <v>5</v>
      </c>
      <c r="E150" s="73">
        <v>4.5</v>
      </c>
    </row>
    <row r="151" spans="1:5" ht="15" customHeight="1" x14ac:dyDescent="0.25">
      <c r="A151" s="66">
        <v>200908</v>
      </c>
      <c r="B151" s="67">
        <v>3.13</v>
      </c>
      <c r="C151" s="68">
        <v>5.5</v>
      </c>
      <c r="D151" s="67">
        <v>5</v>
      </c>
      <c r="E151" s="69">
        <v>4.5</v>
      </c>
    </row>
    <row r="152" spans="1:5" ht="15" customHeight="1" x14ac:dyDescent="0.25">
      <c r="A152" s="70">
        <v>200907</v>
      </c>
      <c r="B152" s="71">
        <v>3.28</v>
      </c>
      <c r="C152" s="72">
        <v>5.5</v>
      </c>
      <c r="D152" s="71">
        <v>5</v>
      </c>
      <c r="E152" s="73">
        <v>4.5</v>
      </c>
    </row>
    <row r="153" spans="1:5" ht="15" customHeight="1" x14ac:dyDescent="0.25">
      <c r="A153" s="66">
        <v>200906</v>
      </c>
      <c r="B153" s="67">
        <v>3.81</v>
      </c>
      <c r="C153" s="68">
        <v>5.5</v>
      </c>
      <c r="D153" s="67">
        <v>5</v>
      </c>
      <c r="E153" s="69">
        <v>4.5</v>
      </c>
    </row>
    <row r="154" spans="1:5" ht="15" customHeight="1" x14ac:dyDescent="0.25">
      <c r="A154" s="70">
        <v>200905</v>
      </c>
      <c r="B154" s="71">
        <v>4.7699999999999996</v>
      </c>
      <c r="C154" s="72">
        <v>5.5</v>
      </c>
      <c r="D154" s="71">
        <v>5</v>
      </c>
      <c r="E154" s="73">
        <v>4.5</v>
      </c>
    </row>
    <row r="155" spans="1:5" ht="15" customHeight="1" x14ac:dyDescent="0.25">
      <c r="A155" s="66">
        <v>200904</v>
      </c>
      <c r="B155" s="67">
        <v>5.73</v>
      </c>
      <c r="C155" s="68">
        <v>5.5</v>
      </c>
      <c r="D155" s="67">
        <v>5</v>
      </c>
      <c r="E155" s="69">
        <v>4.5</v>
      </c>
    </row>
    <row r="156" spans="1:5" ht="15" customHeight="1" x14ac:dyDescent="0.25">
      <c r="A156" s="70">
        <v>200903</v>
      </c>
      <c r="B156" s="71">
        <v>6.14</v>
      </c>
      <c r="C156" s="72">
        <v>5.5</v>
      </c>
      <c r="D156" s="71">
        <v>5</v>
      </c>
      <c r="E156" s="73">
        <v>4.5</v>
      </c>
    </row>
    <row r="157" spans="1:5" ht="15" customHeight="1" x14ac:dyDescent="0.25">
      <c r="A157" s="66">
        <v>200902</v>
      </c>
      <c r="B157" s="67">
        <v>6.47</v>
      </c>
      <c r="C157" s="68">
        <v>5.5</v>
      </c>
      <c r="D157" s="67">
        <v>5</v>
      </c>
      <c r="E157" s="69">
        <v>4.5</v>
      </c>
    </row>
    <row r="158" spans="1:5" ht="15" customHeight="1" x14ac:dyDescent="0.25">
      <c r="A158" s="70">
        <v>200901</v>
      </c>
      <c r="B158" s="71">
        <v>7.18</v>
      </c>
      <c r="C158" s="72">
        <v>5.5</v>
      </c>
      <c r="D158" s="71">
        <v>5</v>
      </c>
      <c r="E158" s="73">
        <v>4.5</v>
      </c>
    </row>
    <row r="159" spans="1:5" ht="15" customHeight="1" x14ac:dyDescent="0.25">
      <c r="A159" s="66">
        <v>200812</v>
      </c>
      <c r="B159" s="67">
        <v>7.67</v>
      </c>
      <c r="C159" s="68">
        <v>4.5</v>
      </c>
      <c r="D159" s="67">
        <v>4</v>
      </c>
      <c r="E159" s="69">
        <v>3.5</v>
      </c>
    </row>
    <row r="160" spans="1:5" ht="15" customHeight="1" x14ac:dyDescent="0.25">
      <c r="A160" s="70">
        <v>200811</v>
      </c>
      <c r="B160" s="71">
        <v>7.73</v>
      </c>
      <c r="C160" s="72">
        <v>4.5</v>
      </c>
      <c r="D160" s="71">
        <v>4</v>
      </c>
      <c r="E160" s="73">
        <v>3.5</v>
      </c>
    </row>
    <row r="161" spans="1:5" ht="15" customHeight="1" x14ac:dyDescent="0.25">
      <c r="A161" s="66">
        <v>200810</v>
      </c>
      <c r="B161" s="67">
        <v>7.94</v>
      </c>
      <c r="C161" s="68">
        <v>4.5</v>
      </c>
      <c r="D161" s="67">
        <v>4</v>
      </c>
      <c r="E161" s="69">
        <v>3.5</v>
      </c>
    </row>
    <row r="162" spans="1:5" ht="15" customHeight="1" x14ac:dyDescent="0.25">
      <c r="A162" s="70">
        <v>200809</v>
      </c>
      <c r="B162" s="71">
        <v>7.57</v>
      </c>
      <c r="C162" s="72">
        <v>4.5</v>
      </c>
      <c r="D162" s="71">
        <v>4</v>
      </c>
      <c r="E162" s="73">
        <v>3.5</v>
      </c>
    </row>
    <row r="163" spans="1:5" ht="15" customHeight="1" x14ac:dyDescent="0.25">
      <c r="A163" s="66">
        <v>200808</v>
      </c>
      <c r="B163" s="67">
        <v>7.87</v>
      </c>
      <c r="C163" s="68">
        <v>4.5</v>
      </c>
      <c r="D163" s="67">
        <v>4</v>
      </c>
      <c r="E163" s="69">
        <v>3.5</v>
      </c>
    </row>
    <row r="164" spans="1:5" ht="15" customHeight="1" x14ac:dyDescent="0.25">
      <c r="A164" s="70">
        <v>200807</v>
      </c>
      <c r="B164" s="71">
        <v>7.52</v>
      </c>
      <c r="C164" s="72">
        <v>4.5</v>
      </c>
      <c r="D164" s="71">
        <v>4</v>
      </c>
      <c r="E164" s="73">
        <v>3.5</v>
      </c>
    </row>
    <row r="165" spans="1:5" ht="15" customHeight="1" x14ac:dyDescent="0.25">
      <c r="A165" s="66">
        <v>200806</v>
      </c>
      <c r="B165" s="67">
        <v>7.18</v>
      </c>
      <c r="C165" s="68">
        <v>4.5</v>
      </c>
      <c r="D165" s="67">
        <v>4</v>
      </c>
      <c r="E165" s="69">
        <v>3.5</v>
      </c>
    </row>
    <row r="166" spans="1:5" ht="15" customHeight="1" x14ac:dyDescent="0.25">
      <c r="A166" s="70">
        <v>200805</v>
      </c>
      <c r="B166" s="71">
        <v>6.39</v>
      </c>
      <c r="C166" s="72">
        <v>4.5</v>
      </c>
      <c r="D166" s="71">
        <v>4</v>
      </c>
      <c r="E166" s="73">
        <v>3.5</v>
      </c>
    </row>
    <row r="167" spans="1:5" ht="15" customHeight="1" x14ac:dyDescent="0.25">
      <c r="A167" s="66">
        <v>200804</v>
      </c>
      <c r="B167" s="67">
        <v>5.73</v>
      </c>
      <c r="C167" s="68">
        <v>4.5</v>
      </c>
      <c r="D167" s="67">
        <v>4</v>
      </c>
      <c r="E167" s="69">
        <v>3.5</v>
      </c>
    </row>
    <row r="168" spans="1:5" ht="15" customHeight="1" x14ac:dyDescent="0.25">
      <c r="A168" s="70">
        <v>200803</v>
      </c>
      <c r="B168" s="71">
        <v>5.93</v>
      </c>
      <c r="C168" s="72">
        <v>4.5</v>
      </c>
      <c r="D168" s="71">
        <v>4</v>
      </c>
      <c r="E168" s="73">
        <v>3.5</v>
      </c>
    </row>
    <row r="169" spans="1:5" ht="15" customHeight="1" x14ac:dyDescent="0.25">
      <c r="A169" s="66">
        <v>200802</v>
      </c>
      <c r="B169" s="67">
        <v>6.35</v>
      </c>
      <c r="C169" s="68">
        <v>4.5</v>
      </c>
      <c r="D169" s="67">
        <v>4</v>
      </c>
      <c r="E169" s="69">
        <v>3.5</v>
      </c>
    </row>
    <row r="170" spans="1:5" ht="15" customHeight="1" x14ac:dyDescent="0.25">
      <c r="A170" s="70">
        <v>200801</v>
      </c>
      <c r="B170" s="71">
        <v>6</v>
      </c>
      <c r="C170" s="72">
        <v>4.5</v>
      </c>
      <c r="D170" s="71">
        <v>4</v>
      </c>
      <c r="E170" s="73">
        <v>3.5</v>
      </c>
    </row>
    <row r="171" spans="1:5" ht="15" customHeight="1" x14ac:dyDescent="0.25">
      <c r="A171" s="66">
        <v>200712</v>
      </c>
      <c r="B171" s="67">
        <v>5.69</v>
      </c>
      <c r="C171" s="68">
        <v>4.5</v>
      </c>
      <c r="D171" s="67">
        <v>4</v>
      </c>
      <c r="E171" s="69">
        <v>3.5</v>
      </c>
    </row>
    <row r="172" spans="1:5" ht="15" customHeight="1" x14ac:dyDescent="0.25">
      <c r="A172" s="70">
        <v>200711</v>
      </c>
      <c r="B172" s="71">
        <v>5.41</v>
      </c>
      <c r="C172" s="72">
        <v>4.5</v>
      </c>
      <c r="D172" s="71">
        <v>4</v>
      </c>
      <c r="E172" s="73">
        <v>3.5</v>
      </c>
    </row>
    <row r="173" spans="1:5" ht="15" customHeight="1" x14ac:dyDescent="0.25">
      <c r="A173" s="66">
        <v>200710</v>
      </c>
      <c r="B173" s="67">
        <v>5.16</v>
      </c>
      <c r="C173" s="68">
        <v>4.5</v>
      </c>
      <c r="D173" s="67">
        <v>4</v>
      </c>
      <c r="E173" s="69">
        <v>3.5</v>
      </c>
    </row>
    <row r="174" spans="1:5" ht="15" customHeight="1" x14ac:dyDescent="0.25">
      <c r="A174" s="70">
        <v>200709</v>
      </c>
      <c r="B174" s="71">
        <v>5.01</v>
      </c>
      <c r="C174" s="72">
        <v>4.5</v>
      </c>
      <c r="D174" s="71">
        <v>4</v>
      </c>
      <c r="E174" s="73">
        <v>3.5</v>
      </c>
    </row>
    <row r="175" spans="1:5" ht="15" customHeight="1" x14ac:dyDescent="0.25">
      <c r="A175" s="66">
        <v>200708</v>
      </c>
      <c r="B175" s="67">
        <v>5.22</v>
      </c>
      <c r="C175" s="68">
        <v>4.5</v>
      </c>
      <c r="D175" s="67">
        <v>4</v>
      </c>
      <c r="E175" s="69">
        <v>3.5</v>
      </c>
    </row>
    <row r="176" spans="1:5" ht="15" customHeight="1" x14ac:dyDescent="0.25">
      <c r="A176" s="70">
        <v>200707</v>
      </c>
      <c r="B176" s="71">
        <v>5.77</v>
      </c>
      <c r="C176" s="72">
        <v>4.5</v>
      </c>
      <c r="D176" s="71">
        <v>4</v>
      </c>
      <c r="E176" s="73">
        <v>3.5</v>
      </c>
    </row>
    <row r="177" spans="1:5" ht="15" customHeight="1" x14ac:dyDescent="0.25">
      <c r="A177" s="66">
        <v>200706</v>
      </c>
      <c r="B177" s="67">
        <v>6.03</v>
      </c>
      <c r="C177" s="68">
        <v>4.5</v>
      </c>
      <c r="D177" s="67">
        <v>4</v>
      </c>
      <c r="E177" s="69">
        <v>3.5</v>
      </c>
    </row>
    <row r="178" spans="1:5" ht="15" customHeight="1" x14ac:dyDescent="0.25">
      <c r="A178" s="70">
        <v>200705</v>
      </c>
      <c r="B178" s="71">
        <v>6.23</v>
      </c>
      <c r="C178" s="72">
        <v>4.5</v>
      </c>
      <c r="D178" s="71">
        <v>4</v>
      </c>
      <c r="E178" s="73">
        <v>3.5</v>
      </c>
    </row>
    <row r="179" spans="1:5" ht="15" customHeight="1" x14ac:dyDescent="0.25">
      <c r="A179" s="66">
        <v>200704</v>
      </c>
      <c r="B179" s="67">
        <v>6.26</v>
      </c>
      <c r="C179" s="68">
        <v>4.5</v>
      </c>
      <c r="D179" s="67">
        <v>4</v>
      </c>
      <c r="E179" s="69">
        <v>3.5</v>
      </c>
    </row>
    <row r="180" spans="1:5" ht="15" customHeight="1" x14ac:dyDescent="0.25">
      <c r="A180" s="70">
        <v>200703</v>
      </c>
      <c r="B180" s="71">
        <v>5.78</v>
      </c>
      <c r="C180" s="72">
        <v>4.5</v>
      </c>
      <c r="D180" s="71">
        <v>4</v>
      </c>
      <c r="E180" s="73">
        <v>3.5</v>
      </c>
    </row>
    <row r="181" spans="1:5" ht="15" customHeight="1" x14ac:dyDescent="0.25">
      <c r="A181" s="66">
        <v>200702</v>
      </c>
      <c r="B181" s="67">
        <v>5.25</v>
      </c>
      <c r="C181" s="68">
        <v>4.5</v>
      </c>
      <c r="D181" s="67">
        <v>4</v>
      </c>
      <c r="E181" s="69">
        <v>3.5</v>
      </c>
    </row>
    <row r="182" spans="1:5" ht="15" customHeight="1" x14ac:dyDescent="0.25">
      <c r="A182" s="70">
        <v>200701</v>
      </c>
      <c r="B182" s="71">
        <v>4.71</v>
      </c>
      <c r="C182" s="72">
        <v>4.5</v>
      </c>
      <c r="D182" s="71">
        <v>4</v>
      </c>
      <c r="E182" s="73">
        <v>3.5</v>
      </c>
    </row>
    <row r="183" spans="1:5" ht="15" customHeight="1" x14ac:dyDescent="0.25">
      <c r="A183" s="66">
        <v>200612</v>
      </c>
      <c r="B183" s="67">
        <v>4.4800000000000004</v>
      </c>
      <c r="C183" s="68">
        <v>5</v>
      </c>
      <c r="D183" s="67">
        <v>4.5</v>
      </c>
      <c r="E183" s="69">
        <v>4</v>
      </c>
    </row>
    <row r="184" spans="1:5" ht="15" customHeight="1" x14ac:dyDescent="0.25">
      <c r="A184" s="70">
        <v>200611</v>
      </c>
      <c r="B184" s="71">
        <v>4.3099999999999996</v>
      </c>
      <c r="C184" s="72">
        <v>5</v>
      </c>
      <c r="D184" s="71">
        <v>4.5</v>
      </c>
      <c r="E184" s="73">
        <v>4</v>
      </c>
    </row>
    <row r="185" spans="1:5" ht="15" customHeight="1" x14ac:dyDescent="0.25">
      <c r="A185" s="66">
        <v>200610</v>
      </c>
      <c r="B185" s="67">
        <v>4.1900000000000004</v>
      </c>
      <c r="C185" s="68">
        <v>5</v>
      </c>
      <c r="D185" s="67">
        <v>4.5</v>
      </c>
      <c r="E185" s="69">
        <v>4</v>
      </c>
    </row>
    <row r="186" spans="1:5" ht="15" customHeight="1" x14ac:dyDescent="0.25">
      <c r="A186" s="70">
        <v>200609</v>
      </c>
      <c r="B186" s="71">
        <v>4.58</v>
      </c>
      <c r="C186" s="72">
        <v>5</v>
      </c>
      <c r="D186" s="71">
        <v>4.5</v>
      </c>
      <c r="E186" s="73">
        <v>4</v>
      </c>
    </row>
    <row r="187" spans="1:5" ht="15" customHeight="1" x14ac:dyDescent="0.25">
      <c r="A187" s="66">
        <v>200608</v>
      </c>
      <c r="B187" s="67">
        <v>4.72</v>
      </c>
      <c r="C187" s="68">
        <v>5</v>
      </c>
      <c r="D187" s="67">
        <v>4.5</v>
      </c>
      <c r="E187" s="69">
        <v>4</v>
      </c>
    </row>
    <row r="188" spans="1:5" ht="15" customHeight="1" x14ac:dyDescent="0.25">
      <c r="A188" s="70">
        <v>200607</v>
      </c>
      <c r="B188" s="71">
        <v>4.32</v>
      </c>
      <c r="C188" s="72">
        <v>5</v>
      </c>
      <c r="D188" s="71">
        <v>4.5</v>
      </c>
      <c r="E188" s="73">
        <v>4</v>
      </c>
    </row>
    <row r="189" spans="1:5" ht="15" customHeight="1" x14ac:dyDescent="0.25">
      <c r="A189" s="66">
        <v>200606</v>
      </c>
      <c r="B189" s="67">
        <v>3.94</v>
      </c>
      <c r="C189" s="68">
        <v>5</v>
      </c>
      <c r="D189" s="67">
        <v>4.5</v>
      </c>
      <c r="E189" s="69">
        <v>4</v>
      </c>
    </row>
    <row r="190" spans="1:5" ht="15" customHeight="1" x14ac:dyDescent="0.25">
      <c r="A190" s="70">
        <v>200605</v>
      </c>
      <c r="B190" s="71">
        <v>4.04</v>
      </c>
      <c r="C190" s="72">
        <v>5</v>
      </c>
      <c r="D190" s="71">
        <v>4.5</v>
      </c>
      <c r="E190" s="73">
        <v>4</v>
      </c>
    </row>
    <row r="191" spans="1:5" ht="15" customHeight="1" x14ac:dyDescent="0.25">
      <c r="A191" s="66">
        <v>200604</v>
      </c>
      <c r="B191" s="67">
        <v>4.12</v>
      </c>
      <c r="C191" s="68">
        <v>5</v>
      </c>
      <c r="D191" s="67">
        <v>4.5</v>
      </c>
      <c r="E191" s="69">
        <v>4</v>
      </c>
    </row>
    <row r="192" spans="1:5" ht="15" customHeight="1" x14ac:dyDescent="0.25">
      <c r="A192" s="70">
        <v>200603</v>
      </c>
      <c r="B192" s="71">
        <v>4.1100000000000003</v>
      </c>
      <c r="C192" s="72">
        <v>5</v>
      </c>
      <c r="D192" s="71">
        <v>4.5</v>
      </c>
      <c r="E192" s="73">
        <v>4</v>
      </c>
    </row>
    <row r="193" spans="1:5" ht="15" customHeight="1" x14ac:dyDescent="0.25">
      <c r="A193" s="66">
        <v>200602</v>
      </c>
      <c r="B193" s="67">
        <v>4.1900000000000004</v>
      </c>
      <c r="C193" s="68">
        <v>5</v>
      </c>
      <c r="D193" s="67">
        <v>4.5</v>
      </c>
      <c r="E193" s="69">
        <v>4</v>
      </c>
    </row>
    <row r="194" spans="1:5" ht="15" customHeight="1" x14ac:dyDescent="0.25">
      <c r="A194" s="70">
        <v>200601</v>
      </c>
      <c r="B194" s="71">
        <v>4.5599999999999996</v>
      </c>
      <c r="C194" s="72">
        <v>5</v>
      </c>
      <c r="D194" s="71">
        <v>4.5</v>
      </c>
      <c r="E194" s="73">
        <v>4</v>
      </c>
    </row>
    <row r="195" spans="1:5" ht="15" customHeight="1" x14ac:dyDescent="0.25">
      <c r="A195" s="66">
        <v>200512</v>
      </c>
      <c r="B195" s="67">
        <v>4.8499999999999996</v>
      </c>
      <c r="C195" s="68">
        <v>5.5</v>
      </c>
      <c r="D195" s="67">
        <v>5</v>
      </c>
      <c r="E195" s="69">
        <v>4.5</v>
      </c>
    </row>
    <row r="196" spans="1:5" ht="15" customHeight="1" x14ac:dyDescent="0.25">
      <c r="A196" s="70">
        <v>200511</v>
      </c>
      <c r="B196" s="71">
        <v>5.0999999999999996</v>
      </c>
      <c r="C196" s="72">
        <v>5.5</v>
      </c>
      <c r="D196" s="71">
        <v>5</v>
      </c>
      <c r="E196" s="73">
        <v>4.5</v>
      </c>
    </row>
    <row r="197" spans="1:5" ht="15" customHeight="1" x14ac:dyDescent="0.25">
      <c r="A197" s="66">
        <v>200510</v>
      </c>
      <c r="B197" s="67">
        <v>5.27</v>
      </c>
      <c r="C197" s="68">
        <v>5.5</v>
      </c>
      <c r="D197" s="67">
        <v>5</v>
      </c>
      <c r="E197" s="69">
        <v>4.5</v>
      </c>
    </row>
    <row r="198" spans="1:5" ht="15" customHeight="1" x14ac:dyDescent="0.25">
      <c r="A198" s="70">
        <v>200509</v>
      </c>
      <c r="B198" s="71">
        <v>5.0199999999999996</v>
      </c>
      <c r="C198" s="72">
        <v>5.5</v>
      </c>
      <c r="D198" s="71">
        <v>5</v>
      </c>
      <c r="E198" s="73">
        <v>4.5</v>
      </c>
    </row>
    <row r="199" spans="1:5" ht="15" customHeight="1" x14ac:dyDescent="0.25">
      <c r="A199" s="66">
        <v>200508</v>
      </c>
      <c r="B199" s="67">
        <v>4.88</v>
      </c>
      <c r="C199" s="68">
        <v>5.5</v>
      </c>
      <c r="D199" s="67">
        <v>5</v>
      </c>
      <c r="E199" s="69">
        <v>4.5</v>
      </c>
    </row>
    <row r="200" spans="1:5" ht="15" customHeight="1" x14ac:dyDescent="0.25">
      <c r="A200" s="70">
        <v>200507</v>
      </c>
      <c r="B200" s="71">
        <v>4.91</v>
      </c>
      <c r="C200" s="72">
        <v>5.5</v>
      </c>
      <c r="D200" s="71">
        <v>5</v>
      </c>
      <c r="E200" s="73">
        <v>4.5</v>
      </c>
    </row>
    <row r="201" spans="1:5" ht="15" customHeight="1" x14ac:dyDescent="0.25">
      <c r="A201" s="66">
        <v>200506</v>
      </c>
      <c r="B201" s="67">
        <v>4.83</v>
      </c>
      <c r="C201" s="68">
        <v>5.5</v>
      </c>
      <c r="D201" s="67">
        <v>5</v>
      </c>
      <c r="E201" s="69">
        <v>4.5</v>
      </c>
    </row>
    <row r="202" spans="1:5" ht="15" customHeight="1" x14ac:dyDescent="0.25">
      <c r="A202" s="70">
        <v>200505</v>
      </c>
      <c r="B202" s="71">
        <v>5.04</v>
      </c>
      <c r="C202" s="72">
        <v>5.5</v>
      </c>
      <c r="D202" s="71">
        <v>5</v>
      </c>
      <c r="E202" s="73">
        <v>4.5</v>
      </c>
    </row>
    <row r="203" spans="1:5" ht="15" customHeight="1" x14ac:dyDescent="0.25">
      <c r="A203" s="66">
        <v>200504</v>
      </c>
      <c r="B203" s="67">
        <v>5.01</v>
      </c>
      <c r="C203" s="68">
        <v>5.5</v>
      </c>
      <c r="D203" s="67">
        <v>5</v>
      </c>
      <c r="E203" s="69">
        <v>4.5</v>
      </c>
    </row>
    <row r="204" spans="1:5" ht="15" customHeight="1" x14ac:dyDescent="0.25">
      <c r="A204" s="70">
        <v>200503</v>
      </c>
      <c r="B204" s="71">
        <v>5.03</v>
      </c>
      <c r="C204" s="72">
        <v>5.5</v>
      </c>
      <c r="D204" s="71">
        <v>5</v>
      </c>
      <c r="E204" s="73">
        <v>4.5</v>
      </c>
    </row>
    <row r="205" spans="1:5" ht="15" customHeight="1" x14ac:dyDescent="0.25">
      <c r="A205" s="66">
        <v>200502</v>
      </c>
      <c r="B205" s="67">
        <v>5.25</v>
      </c>
      <c r="C205" s="68">
        <v>5.5</v>
      </c>
      <c r="D205" s="67">
        <v>5</v>
      </c>
      <c r="E205" s="69">
        <v>4.5</v>
      </c>
    </row>
    <row r="206" spans="1:5" ht="15" customHeight="1" x14ac:dyDescent="0.25">
      <c r="A206" s="70">
        <v>200501</v>
      </c>
      <c r="B206" s="71">
        <v>5.43</v>
      </c>
      <c r="C206" s="72">
        <v>5.5</v>
      </c>
      <c r="D206" s="71">
        <v>5</v>
      </c>
      <c r="E206" s="73">
        <v>4.5</v>
      </c>
    </row>
    <row r="207" spans="1:5" ht="15" customHeight="1" x14ac:dyDescent="0.25">
      <c r="A207" s="66">
        <v>200412</v>
      </c>
      <c r="B207" s="67">
        <v>5.5</v>
      </c>
      <c r="C207" s="68">
        <v>6</v>
      </c>
      <c r="D207" s="67">
        <v>5.5</v>
      </c>
      <c r="E207" s="69">
        <v>5</v>
      </c>
    </row>
    <row r="208" spans="1:5" ht="15" customHeight="1" x14ac:dyDescent="0.25">
      <c r="A208" s="70">
        <v>200411</v>
      </c>
      <c r="B208" s="71">
        <v>5.82</v>
      </c>
      <c r="C208" s="72">
        <v>6</v>
      </c>
      <c r="D208" s="71">
        <v>5.5</v>
      </c>
      <c r="E208" s="73">
        <v>5</v>
      </c>
    </row>
    <row r="209" spans="1:5" ht="15" customHeight="1" x14ac:dyDescent="0.25">
      <c r="A209" s="66">
        <v>200410</v>
      </c>
      <c r="B209" s="67">
        <v>5.9</v>
      </c>
      <c r="C209" s="68">
        <v>6</v>
      </c>
      <c r="D209" s="67">
        <v>5.5</v>
      </c>
      <c r="E209" s="69">
        <v>5</v>
      </c>
    </row>
    <row r="210" spans="1:5" ht="15" customHeight="1" x14ac:dyDescent="0.25">
      <c r="A210" s="70">
        <v>200409</v>
      </c>
      <c r="B210" s="71">
        <v>5.97</v>
      </c>
      <c r="C210" s="72">
        <v>6</v>
      </c>
      <c r="D210" s="71">
        <v>5.5</v>
      </c>
      <c r="E210" s="73">
        <v>5</v>
      </c>
    </row>
    <row r="211" spans="1:5" ht="15" customHeight="1" x14ac:dyDescent="0.25">
      <c r="A211" s="66">
        <v>200408</v>
      </c>
      <c r="B211" s="67">
        <v>5.89</v>
      </c>
      <c r="C211" s="68">
        <v>6</v>
      </c>
      <c r="D211" s="67">
        <v>5.5</v>
      </c>
      <c r="E211" s="69">
        <v>5</v>
      </c>
    </row>
    <row r="212" spans="1:5" ht="15" customHeight="1" x14ac:dyDescent="0.25">
      <c r="A212" s="70">
        <v>200407</v>
      </c>
      <c r="B212" s="71">
        <v>6.19</v>
      </c>
      <c r="C212" s="72">
        <v>6</v>
      </c>
      <c r="D212" s="71">
        <v>5.5</v>
      </c>
      <c r="E212" s="73">
        <v>5</v>
      </c>
    </row>
    <row r="213" spans="1:5" ht="15" customHeight="1" x14ac:dyDescent="0.25">
      <c r="A213" s="66">
        <v>200406</v>
      </c>
      <c r="B213" s="67">
        <v>6.07</v>
      </c>
      <c r="C213" s="68">
        <v>6</v>
      </c>
      <c r="D213" s="67">
        <v>5.5</v>
      </c>
      <c r="E213" s="69">
        <v>5</v>
      </c>
    </row>
    <row r="214" spans="1:5" ht="15" customHeight="1" x14ac:dyDescent="0.25">
      <c r="A214" s="70">
        <v>200405</v>
      </c>
      <c r="B214" s="71">
        <v>5.37</v>
      </c>
      <c r="C214" s="72">
        <v>6</v>
      </c>
      <c r="D214" s="71">
        <v>5.5</v>
      </c>
      <c r="E214" s="73">
        <v>5</v>
      </c>
    </row>
    <row r="215" spans="1:5" ht="15" customHeight="1" x14ac:dyDescent="0.25">
      <c r="A215" s="66">
        <v>200404</v>
      </c>
      <c r="B215" s="67">
        <v>5.49</v>
      </c>
      <c r="C215" s="68">
        <v>6</v>
      </c>
      <c r="D215" s="67">
        <v>5.5</v>
      </c>
      <c r="E215" s="69">
        <v>5</v>
      </c>
    </row>
    <row r="216" spans="1:5" ht="15" customHeight="1" x14ac:dyDescent="0.25">
      <c r="A216" s="70">
        <v>200403</v>
      </c>
      <c r="B216" s="71">
        <v>6.21</v>
      </c>
      <c r="C216" s="72">
        <v>6</v>
      </c>
      <c r="D216" s="71">
        <v>5.5</v>
      </c>
      <c r="E216" s="73">
        <v>5</v>
      </c>
    </row>
    <row r="217" spans="1:5" ht="15" customHeight="1" x14ac:dyDescent="0.25">
      <c r="A217" s="66">
        <v>200402</v>
      </c>
      <c r="B217" s="67">
        <v>6.28</v>
      </c>
      <c r="C217" s="68">
        <v>6</v>
      </c>
      <c r="D217" s="67">
        <v>5.5</v>
      </c>
      <c r="E217" s="69">
        <v>5</v>
      </c>
    </row>
    <row r="218" spans="1:5" ht="15" customHeight="1" x14ac:dyDescent="0.25">
      <c r="A218" s="70">
        <v>200401</v>
      </c>
      <c r="B218" s="71">
        <v>6.19</v>
      </c>
      <c r="C218" s="72">
        <v>6</v>
      </c>
      <c r="D218" s="71">
        <v>5.5</v>
      </c>
      <c r="E218" s="73">
        <v>5</v>
      </c>
    </row>
    <row r="219" spans="1:5" ht="15" customHeight="1" x14ac:dyDescent="0.25">
      <c r="A219" s="66">
        <v>200312</v>
      </c>
      <c r="B219" s="67">
        <v>6.49</v>
      </c>
      <c r="C219" s="68">
        <v>6</v>
      </c>
      <c r="D219" s="67">
        <v>5.5</v>
      </c>
      <c r="E219" s="69">
        <v>5</v>
      </c>
    </row>
    <row r="220" spans="1:5" ht="15" customHeight="1" x14ac:dyDescent="0.25">
      <c r="A220" s="70">
        <v>200311</v>
      </c>
      <c r="B220" s="71">
        <v>6.13</v>
      </c>
      <c r="C220" s="72">
        <v>6</v>
      </c>
      <c r="D220" s="71">
        <v>5.5</v>
      </c>
      <c r="E220" s="73">
        <v>5</v>
      </c>
    </row>
    <row r="221" spans="1:5" ht="15" customHeight="1" x14ac:dyDescent="0.25">
      <c r="A221" s="66">
        <v>200310</v>
      </c>
      <c r="B221" s="67">
        <v>6.58</v>
      </c>
      <c r="C221" s="68">
        <v>6</v>
      </c>
      <c r="D221" s="67">
        <v>5.5</v>
      </c>
      <c r="E221" s="69">
        <v>5</v>
      </c>
    </row>
    <row r="222" spans="1:5" ht="15" customHeight="1" x14ac:dyDescent="0.25">
      <c r="A222" s="70">
        <v>200309</v>
      </c>
      <c r="B222" s="71">
        <v>7.11</v>
      </c>
      <c r="C222" s="72">
        <v>6</v>
      </c>
      <c r="D222" s="71">
        <v>5.5</v>
      </c>
      <c r="E222" s="73">
        <v>5</v>
      </c>
    </row>
    <row r="223" spans="1:5" ht="15" customHeight="1" x14ac:dyDescent="0.25">
      <c r="A223" s="66">
        <v>200308</v>
      </c>
      <c r="B223" s="67">
        <v>7.26</v>
      </c>
      <c r="C223" s="68">
        <v>6</v>
      </c>
      <c r="D223" s="67">
        <v>5.5</v>
      </c>
      <c r="E223" s="69">
        <v>5</v>
      </c>
    </row>
    <row r="224" spans="1:5" ht="15" customHeight="1" x14ac:dyDescent="0.25">
      <c r="A224" s="70">
        <v>200307</v>
      </c>
      <c r="B224" s="71">
        <v>7.04</v>
      </c>
      <c r="C224" s="72">
        <v>6</v>
      </c>
      <c r="D224" s="71">
        <v>5.5</v>
      </c>
      <c r="E224" s="73">
        <v>5</v>
      </c>
    </row>
    <row r="225" spans="1:5" ht="15" customHeight="1" x14ac:dyDescent="0.25">
      <c r="A225" s="66">
        <v>200306</v>
      </c>
      <c r="B225" s="67">
        <v>7.21</v>
      </c>
      <c r="C225" s="68">
        <v>6</v>
      </c>
      <c r="D225" s="67">
        <v>5.5</v>
      </c>
      <c r="E225" s="69">
        <v>5</v>
      </c>
    </row>
    <row r="226" spans="1:5" ht="15" customHeight="1" x14ac:dyDescent="0.25">
      <c r="A226" s="70">
        <v>200305</v>
      </c>
      <c r="B226" s="71">
        <v>7.73</v>
      </c>
      <c r="C226" s="72">
        <v>6</v>
      </c>
      <c r="D226" s="71">
        <v>5.5</v>
      </c>
      <c r="E226" s="73">
        <v>5</v>
      </c>
    </row>
    <row r="227" spans="1:5" ht="15" customHeight="1" x14ac:dyDescent="0.25">
      <c r="A227" s="66">
        <v>200304</v>
      </c>
      <c r="B227" s="67">
        <v>7.85</v>
      </c>
      <c r="C227" s="68">
        <v>6</v>
      </c>
      <c r="D227" s="67">
        <v>5.5</v>
      </c>
      <c r="E227" s="69">
        <v>5</v>
      </c>
    </row>
    <row r="228" spans="1:5" ht="15" customHeight="1" x14ac:dyDescent="0.25">
      <c r="A228" s="70">
        <v>200303</v>
      </c>
      <c r="B228" s="71">
        <v>7.6</v>
      </c>
      <c r="C228" s="72">
        <v>6</v>
      </c>
      <c r="D228" s="71">
        <v>5.5</v>
      </c>
      <c r="E228" s="73">
        <v>5</v>
      </c>
    </row>
    <row r="229" spans="1:5" ht="15" customHeight="1" x14ac:dyDescent="0.25">
      <c r="A229" s="66">
        <v>200302</v>
      </c>
      <c r="B229" s="67">
        <v>7.24</v>
      </c>
      <c r="C229" s="68">
        <v>6</v>
      </c>
      <c r="D229" s="67">
        <v>5.5</v>
      </c>
      <c r="E229" s="69">
        <v>5</v>
      </c>
    </row>
    <row r="230" spans="1:5" ht="15" customHeight="1" x14ac:dyDescent="0.25">
      <c r="A230" s="70">
        <v>200301</v>
      </c>
      <c r="B230" s="71">
        <v>7.39</v>
      </c>
      <c r="C230" s="72">
        <v>6</v>
      </c>
      <c r="D230" s="71">
        <v>5.5</v>
      </c>
      <c r="E230" s="73">
        <v>5</v>
      </c>
    </row>
    <row r="231" spans="1:5" ht="15" customHeight="1" x14ac:dyDescent="0.25">
      <c r="A231" s="66">
        <v>200212</v>
      </c>
      <c r="B231" s="67">
        <v>6.99</v>
      </c>
      <c r="C231" s="74"/>
      <c r="D231" s="67">
        <v>6</v>
      </c>
      <c r="E231" s="75"/>
    </row>
    <row r="232" spans="1:5" ht="15" customHeight="1" x14ac:dyDescent="0.25">
      <c r="A232" s="70">
        <v>200211</v>
      </c>
      <c r="B232" s="71">
        <v>7.07</v>
      </c>
      <c r="C232" s="76"/>
      <c r="D232" s="71">
        <v>6</v>
      </c>
      <c r="E232" s="77"/>
    </row>
    <row r="233" spans="1:5" ht="15" customHeight="1" x14ac:dyDescent="0.25">
      <c r="A233" s="66">
        <v>200210</v>
      </c>
      <c r="B233" s="67">
        <v>6.37</v>
      </c>
      <c r="C233" s="74"/>
      <c r="D233" s="67">
        <v>6</v>
      </c>
      <c r="E233" s="75"/>
    </row>
    <row r="234" spans="1:5" ht="15" customHeight="1" x14ac:dyDescent="0.25">
      <c r="A234" s="70">
        <v>200209</v>
      </c>
      <c r="B234" s="71">
        <v>5.97</v>
      </c>
      <c r="C234" s="76"/>
      <c r="D234" s="71">
        <v>6</v>
      </c>
      <c r="E234" s="77"/>
    </row>
    <row r="235" spans="1:5" ht="15" customHeight="1" x14ac:dyDescent="0.25">
      <c r="A235" s="66">
        <v>200208</v>
      </c>
      <c r="B235" s="67">
        <v>5.98</v>
      </c>
      <c r="C235" s="74"/>
      <c r="D235" s="67">
        <v>6</v>
      </c>
      <c r="E235" s="75"/>
    </row>
    <row r="236" spans="1:5" ht="15" customHeight="1" x14ac:dyDescent="0.25">
      <c r="A236" s="70">
        <v>200207</v>
      </c>
      <c r="B236" s="71">
        <v>6.16</v>
      </c>
      <c r="C236" s="76"/>
      <c r="D236" s="71">
        <v>6</v>
      </c>
      <c r="E236" s="77"/>
    </row>
    <row r="237" spans="1:5" ht="15" customHeight="1" x14ac:dyDescent="0.25">
      <c r="A237" s="66">
        <v>200206</v>
      </c>
      <c r="B237" s="67">
        <v>6.25</v>
      </c>
      <c r="C237" s="74"/>
      <c r="D237" s="67">
        <v>6</v>
      </c>
      <c r="E237" s="75"/>
    </row>
    <row r="238" spans="1:5" ht="15" customHeight="1" x14ac:dyDescent="0.25">
      <c r="A238" s="70">
        <v>200205</v>
      </c>
      <c r="B238" s="71">
        <v>5.84</v>
      </c>
      <c r="C238" s="76"/>
      <c r="D238" s="71">
        <v>6</v>
      </c>
      <c r="E238" s="77"/>
    </row>
    <row r="239" spans="1:5" ht="15" customHeight="1" x14ac:dyDescent="0.25">
      <c r="A239" s="66">
        <v>200204</v>
      </c>
      <c r="B239" s="67">
        <v>5.65</v>
      </c>
      <c r="C239" s="74"/>
      <c r="D239" s="67">
        <v>6</v>
      </c>
      <c r="E239" s="75"/>
    </row>
    <row r="240" spans="1:5" ht="15" customHeight="1" x14ac:dyDescent="0.25">
      <c r="A240" s="70">
        <v>200203</v>
      </c>
      <c r="B240" s="71">
        <v>5.89</v>
      </c>
      <c r="C240" s="76"/>
      <c r="D240" s="71">
        <v>6</v>
      </c>
      <c r="E240" s="77"/>
    </row>
    <row r="241" spans="1:5" ht="15" customHeight="1" x14ac:dyDescent="0.25">
      <c r="A241" s="66">
        <v>200202</v>
      </c>
      <c r="B241" s="67">
        <v>6.7</v>
      </c>
      <c r="C241" s="74"/>
      <c r="D241" s="67">
        <v>6</v>
      </c>
      <c r="E241" s="75"/>
    </row>
    <row r="242" spans="1:5" ht="15" customHeight="1" x14ac:dyDescent="0.25">
      <c r="A242" s="70">
        <v>200201</v>
      </c>
      <c r="B242" s="71">
        <v>7.37</v>
      </c>
      <c r="C242" s="76"/>
      <c r="D242" s="71">
        <v>6</v>
      </c>
      <c r="E242" s="77"/>
    </row>
    <row r="243" spans="1:5" ht="15" customHeight="1" x14ac:dyDescent="0.25">
      <c r="A243" s="66">
        <v>200112</v>
      </c>
      <c r="B243" s="67">
        <v>7.65</v>
      </c>
      <c r="C243" s="74"/>
      <c r="D243" s="67">
        <v>8</v>
      </c>
      <c r="E243" s="75"/>
    </row>
    <row r="244" spans="1:5" ht="15" customHeight="1" x14ac:dyDescent="0.25">
      <c r="A244" s="70">
        <v>200111</v>
      </c>
      <c r="B244" s="71">
        <v>7.78</v>
      </c>
      <c r="C244" s="76"/>
      <c r="D244" s="71">
        <v>8</v>
      </c>
      <c r="E244" s="77"/>
    </row>
    <row r="245" spans="1:5" ht="15" customHeight="1" x14ac:dyDescent="0.25">
      <c r="A245" s="66">
        <v>200110</v>
      </c>
      <c r="B245" s="67">
        <v>8.01</v>
      </c>
      <c r="C245" s="74"/>
      <c r="D245" s="67">
        <v>8</v>
      </c>
      <c r="E245" s="75"/>
    </row>
    <row r="246" spans="1:5" ht="15" customHeight="1" x14ac:dyDescent="0.25">
      <c r="A246" s="70">
        <v>200109</v>
      </c>
      <c r="B246" s="71">
        <v>7.97</v>
      </c>
      <c r="C246" s="76"/>
      <c r="D246" s="71">
        <v>8</v>
      </c>
      <c r="E246" s="77"/>
    </row>
    <row r="247" spans="1:5" ht="15" customHeight="1" x14ac:dyDescent="0.25">
      <c r="A247" s="66">
        <v>200108</v>
      </c>
      <c r="B247" s="67">
        <v>8.0299999999999994</v>
      </c>
      <c r="C247" s="74"/>
      <c r="D247" s="67">
        <v>8</v>
      </c>
      <c r="E247" s="75"/>
    </row>
    <row r="248" spans="1:5" ht="15" customHeight="1" x14ac:dyDescent="0.25">
      <c r="A248" s="70">
        <v>200107</v>
      </c>
      <c r="B248" s="71">
        <v>8.09</v>
      </c>
      <c r="C248" s="76"/>
      <c r="D248" s="71">
        <v>8</v>
      </c>
      <c r="E248" s="77"/>
    </row>
    <row r="249" spans="1:5" ht="15" customHeight="1" x14ac:dyDescent="0.25">
      <c r="A249" s="66">
        <v>200106</v>
      </c>
      <c r="B249" s="67">
        <v>7.93</v>
      </c>
      <c r="C249" s="74"/>
      <c r="D249" s="67">
        <v>8</v>
      </c>
      <c r="E249" s="75"/>
    </row>
    <row r="250" spans="1:5" ht="15" customHeight="1" x14ac:dyDescent="0.25">
      <c r="A250" s="70">
        <v>200105</v>
      </c>
      <c r="B250" s="71">
        <v>7.87</v>
      </c>
      <c r="C250" s="76"/>
      <c r="D250" s="71">
        <v>8</v>
      </c>
      <c r="E250" s="77"/>
    </row>
    <row r="251" spans="1:5" ht="15" customHeight="1" x14ac:dyDescent="0.25">
      <c r="A251" s="66">
        <v>200104</v>
      </c>
      <c r="B251" s="67">
        <v>7.98</v>
      </c>
      <c r="C251" s="74"/>
      <c r="D251" s="67">
        <v>8</v>
      </c>
      <c r="E251" s="75"/>
    </row>
    <row r="252" spans="1:5" ht="15" customHeight="1" x14ac:dyDescent="0.25">
      <c r="A252" s="70">
        <v>200103</v>
      </c>
      <c r="B252" s="71">
        <v>7.81</v>
      </c>
      <c r="C252" s="76"/>
      <c r="D252" s="71">
        <v>8</v>
      </c>
      <c r="E252" s="77"/>
    </row>
    <row r="253" spans="1:5" ht="15" customHeight="1" x14ac:dyDescent="0.25">
      <c r="A253" s="66">
        <v>200102</v>
      </c>
      <c r="B253" s="67">
        <v>8.06</v>
      </c>
      <c r="C253" s="74"/>
      <c r="D253" s="67">
        <v>8</v>
      </c>
      <c r="E253" s="75"/>
    </row>
    <row r="254" spans="1:5" ht="15" customHeight="1" x14ac:dyDescent="0.25">
      <c r="A254" s="70">
        <v>200101</v>
      </c>
      <c r="B254" s="71">
        <v>8.49</v>
      </c>
      <c r="C254" s="76"/>
      <c r="D254" s="71">
        <v>8</v>
      </c>
      <c r="E254" s="77"/>
    </row>
    <row r="255" spans="1:5" ht="15" customHeight="1" x14ac:dyDescent="0.25">
      <c r="A255" s="66">
        <v>200012</v>
      </c>
      <c r="B255" s="67">
        <v>8.75</v>
      </c>
      <c r="C255" s="74"/>
      <c r="D255" s="67">
        <v>10</v>
      </c>
      <c r="E255" s="75"/>
    </row>
    <row r="256" spans="1:5" ht="15" customHeight="1" x14ac:dyDescent="0.25">
      <c r="A256" s="70">
        <v>200011</v>
      </c>
      <c r="B256" s="71">
        <v>8.82</v>
      </c>
      <c r="C256" s="76"/>
      <c r="D256" s="71">
        <v>10</v>
      </c>
      <c r="E256" s="77"/>
    </row>
    <row r="257" spans="1:5" ht="15" customHeight="1" x14ac:dyDescent="0.25">
      <c r="A257" s="66">
        <v>200010</v>
      </c>
      <c r="B257" s="67">
        <v>8.99</v>
      </c>
      <c r="C257" s="74"/>
      <c r="D257" s="67">
        <v>10</v>
      </c>
      <c r="E257" s="75"/>
    </row>
    <row r="258" spans="1:5" ht="15" customHeight="1" x14ac:dyDescent="0.25">
      <c r="A258" s="70">
        <v>200009</v>
      </c>
      <c r="B258" s="71">
        <v>9.1999999999999993</v>
      </c>
      <c r="C258" s="76"/>
      <c r="D258" s="71">
        <v>10</v>
      </c>
      <c r="E258" s="77"/>
    </row>
    <row r="259" spans="1:5" ht="15" customHeight="1" x14ac:dyDescent="0.25">
      <c r="A259" s="66">
        <v>200008</v>
      </c>
      <c r="B259" s="67">
        <v>9.1</v>
      </c>
      <c r="C259" s="74"/>
      <c r="D259" s="67">
        <v>10</v>
      </c>
      <c r="E259" s="75"/>
    </row>
    <row r="260" spans="1:5" ht="15" customHeight="1" x14ac:dyDescent="0.25">
      <c r="A260" s="70">
        <v>200007</v>
      </c>
      <c r="B260" s="71">
        <v>9.2899999999999991</v>
      </c>
      <c r="C260" s="76"/>
      <c r="D260" s="71">
        <v>10</v>
      </c>
      <c r="E260" s="77"/>
    </row>
    <row r="261" spans="1:5" ht="15" customHeight="1" x14ac:dyDescent="0.25">
      <c r="A261" s="66">
        <v>200006</v>
      </c>
      <c r="B261" s="67">
        <v>9.68</v>
      </c>
      <c r="C261" s="74"/>
      <c r="D261" s="67">
        <v>10</v>
      </c>
      <c r="E261" s="75"/>
    </row>
    <row r="262" spans="1:5" ht="15" customHeight="1" x14ac:dyDescent="0.25">
      <c r="A262" s="70">
        <v>200005</v>
      </c>
      <c r="B262" s="71">
        <v>10</v>
      </c>
      <c r="C262" s="76"/>
      <c r="D262" s="71">
        <v>10</v>
      </c>
      <c r="E262" s="77"/>
    </row>
    <row r="263" spans="1:5" ht="15" customHeight="1" x14ac:dyDescent="0.25">
      <c r="A263" s="66">
        <v>200004</v>
      </c>
      <c r="B263" s="67">
        <v>9.9600000000000009</v>
      </c>
      <c r="C263" s="74"/>
      <c r="D263" s="67">
        <v>10</v>
      </c>
      <c r="E263" s="75"/>
    </row>
    <row r="264" spans="1:5" ht="15" customHeight="1" x14ac:dyDescent="0.25">
      <c r="A264" s="70">
        <v>200003</v>
      </c>
      <c r="B264" s="71">
        <v>9.73</v>
      </c>
      <c r="C264" s="76"/>
      <c r="D264" s="71">
        <v>10</v>
      </c>
      <c r="E264" s="77"/>
    </row>
    <row r="265" spans="1:5" ht="15" customHeight="1" x14ac:dyDescent="0.25">
      <c r="A265" s="66">
        <v>200002</v>
      </c>
      <c r="B265" s="67">
        <v>8.89</v>
      </c>
      <c r="C265" s="74"/>
      <c r="D265" s="67">
        <v>10</v>
      </c>
      <c r="E265" s="75"/>
    </row>
    <row r="266" spans="1:5" ht="15" customHeight="1" x14ac:dyDescent="0.25">
      <c r="A266" s="70">
        <v>200001</v>
      </c>
      <c r="B266" s="71">
        <v>8.25</v>
      </c>
      <c r="C266" s="76"/>
      <c r="D266" s="71">
        <v>10</v>
      </c>
      <c r="E266" s="77"/>
    </row>
    <row r="267" spans="1:5" ht="15" customHeight="1" x14ac:dyDescent="0.25">
      <c r="A267" s="66">
        <v>199912</v>
      </c>
      <c r="B267" s="67">
        <v>9.23</v>
      </c>
      <c r="C267" s="74"/>
      <c r="D267" s="67">
        <v>15</v>
      </c>
      <c r="E267" s="75"/>
    </row>
    <row r="268" spans="1:5" ht="15" customHeight="1" x14ac:dyDescent="0.25">
      <c r="A268" s="70">
        <v>199911</v>
      </c>
      <c r="B268" s="71">
        <v>9.65</v>
      </c>
      <c r="C268" s="76"/>
      <c r="D268" s="71">
        <v>15</v>
      </c>
      <c r="E268" s="77"/>
    </row>
    <row r="269" spans="1:5" ht="15" customHeight="1" x14ac:dyDescent="0.25">
      <c r="A269" s="66">
        <v>199910</v>
      </c>
      <c r="B269" s="67">
        <v>9.32</v>
      </c>
      <c r="C269" s="74"/>
      <c r="D269" s="67">
        <v>15</v>
      </c>
      <c r="E269" s="75"/>
    </row>
    <row r="270" spans="1:5" ht="15" customHeight="1" x14ac:dyDescent="0.25">
      <c r="A270" s="70">
        <v>199909</v>
      </c>
      <c r="B270" s="71">
        <v>9.33</v>
      </c>
      <c r="C270" s="76"/>
      <c r="D270" s="71">
        <v>15</v>
      </c>
      <c r="E270" s="77"/>
    </row>
    <row r="271" spans="1:5" ht="15" customHeight="1" x14ac:dyDescent="0.25">
      <c r="A271" s="66">
        <v>199908</v>
      </c>
      <c r="B271" s="67">
        <v>9.2799999999999994</v>
      </c>
      <c r="C271" s="74"/>
      <c r="D271" s="67">
        <v>15</v>
      </c>
      <c r="E271" s="75"/>
    </row>
    <row r="272" spans="1:5" ht="15" customHeight="1" x14ac:dyDescent="0.25">
      <c r="A272" s="70">
        <v>199907</v>
      </c>
      <c r="B272" s="71">
        <v>8.7799999999999994</v>
      </c>
      <c r="C272" s="76"/>
      <c r="D272" s="71">
        <v>15</v>
      </c>
      <c r="E272" s="77"/>
    </row>
    <row r="273" spans="1:5" ht="15" customHeight="1" x14ac:dyDescent="0.25">
      <c r="A273" s="66">
        <v>199906</v>
      </c>
      <c r="B273" s="67">
        <v>8.9600000000000009</v>
      </c>
      <c r="C273" s="74"/>
      <c r="D273" s="67">
        <v>15</v>
      </c>
      <c r="E273" s="75"/>
    </row>
    <row r="274" spans="1:5" ht="15" customHeight="1" x14ac:dyDescent="0.25">
      <c r="A274" s="70">
        <v>199905</v>
      </c>
      <c r="B274" s="71">
        <v>9.98</v>
      </c>
      <c r="C274" s="76"/>
      <c r="D274" s="71">
        <v>15</v>
      </c>
      <c r="E274" s="77"/>
    </row>
    <row r="275" spans="1:5" ht="15" customHeight="1" x14ac:dyDescent="0.25">
      <c r="A275" s="66">
        <v>199904</v>
      </c>
      <c r="B275" s="67">
        <v>11.17</v>
      </c>
      <c r="C275" s="74"/>
      <c r="D275" s="67">
        <v>15</v>
      </c>
      <c r="E275" s="75"/>
    </row>
    <row r="276" spans="1:5" ht="15" customHeight="1" x14ac:dyDescent="0.25">
      <c r="A276" s="70">
        <v>199903</v>
      </c>
      <c r="B276" s="71">
        <v>13.51</v>
      </c>
      <c r="C276" s="76"/>
      <c r="D276" s="71">
        <v>15</v>
      </c>
      <c r="E276" s="77"/>
    </row>
    <row r="277" spans="1:5" ht="15" customHeight="1" x14ac:dyDescent="0.25">
      <c r="A277" s="66">
        <v>199902</v>
      </c>
      <c r="B277" s="67">
        <v>15.38</v>
      </c>
      <c r="C277" s="74"/>
      <c r="D277" s="67">
        <v>15</v>
      </c>
      <c r="E277" s="75"/>
    </row>
    <row r="278" spans="1:5" ht="15" customHeight="1" x14ac:dyDescent="0.25">
      <c r="A278" s="70">
        <v>199901</v>
      </c>
      <c r="B278" s="71">
        <v>17.18</v>
      </c>
      <c r="C278" s="76"/>
      <c r="D278" s="71">
        <v>15</v>
      </c>
      <c r="E278" s="77"/>
    </row>
    <row r="279" spans="1:5" ht="15" customHeight="1" x14ac:dyDescent="0.25">
      <c r="A279" s="66">
        <v>199812</v>
      </c>
      <c r="B279" s="67">
        <v>16.7</v>
      </c>
      <c r="C279" s="74"/>
      <c r="D279" s="67">
        <v>16</v>
      </c>
      <c r="E279" s="75"/>
    </row>
    <row r="280" spans="1:5" ht="15" customHeight="1" x14ac:dyDescent="0.25">
      <c r="A280" s="70">
        <v>199811</v>
      </c>
      <c r="B280" s="71">
        <v>16.350000000000001</v>
      </c>
      <c r="C280" s="76"/>
      <c r="D280" s="71">
        <v>16</v>
      </c>
      <c r="E280" s="77"/>
    </row>
    <row r="281" spans="1:5" ht="15" customHeight="1" x14ac:dyDescent="0.25">
      <c r="A281" s="66">
        <v>199810</v>
      </c>
      <c r="B281" s="67">
        <v>17.09</v>
      </c>
      <c r="C281" s="74"/>
      <c r="D281" s="67">
        <v>16</v>
      </c>
      <c r="E281" s="75"/>
    </row>
    <row r="282" spans="1:5" ht="15" customHeight="1" x14ac:dyDescent="0.25">
      <c r="A282" s="70">
        <v>199809</v>
      </c>
      <c r="B282" s="71">
        <v>17.8</v>
      </c>
      <c r="C282" s="76"/>
      <c r="D282" s="71">
        <v>16</v>
      </c>
      <c r="E282" s="77"/>
    </row>
    <row r="283" spans="1:5" ht="15" customHeight="1" x14ac:dyDescent="0.25">
      <c r="A283" s="66">
        <v>199808</v>
      </c>
      <c r="B283" s="67">
        <v>18.940000000000001</v>
      </c>
      <c r="C283" s="74"/>
      <c r="D283" s="67">
        <v>16</v>
      </c>
      <c r="E283" s="75"/>
    </row>
    <row r="284" spans="1:5" ht="15" customHeight="1" x14ac:dyDescent="0.25">
      <c r="A284" s="70">
        <v>199807</v>
      </c>
      <c r="B284" s="71">
        <v>20.27</v>
      </c>
      <c r="C284" s="76"/>
      <c r="D284" s="71">
        <v>16</v>
      </c>
      <c r="E284" s="77"/>
    </row>
    <row r="285" spans="1:5" ht="15" customHeight="1" x14ac:dyDescent="0.25">
      <c r="A285" s="66">
        <v>199806</v>
      </c>
      <c r="B285" s="67">
        <v>20.69</v>
      </c>
      <c r="C285" s="74"/>
      <c r="D285" s="67">
        <v>16</v>
      </c>
      <c r="E285" s="75"/>
    </row>
    <row r="286" spans="1:5" ht="15" customHeight="1" x14ac:dyDescent="0.25">
      <c r="A286" s="70">
        <v>199805</v>
      </c>
      <c r="B286" s="71">
        <v>20.67</v>
      </c>
      <c r="C286" s="76"/>
      <c r="D286" s="71">
        <v>16</v>
      </c>
      <c r="E286" s="77"/>
    </row>
    <row r="287" spans="1:5" ht="15" customHeight="1" x14ac:dyDescent="0.25">
      <c r="A287" s="66">
        <v>199804</v>
      </c>
      <c r="B287" s="67">
        <v>20.74</v>
      </c>
      <c r="C287" s="74"/>
      <c r="D287" s="67">
        <v>16</v>
      </c>
      <c r="E287" s="75"/>
    </row>
    <row r="288" spans="1:5" ht="15" customHeight="1" x14ac:dyDescent="0.25">
      <c r="A288" s="70">
        <v>199803</v>
      </c>
      <c r="B288" s="71">
        <v>19.239999999999998</v>
      </c>
      <c r="C288" s="76"/>
      <c r="D288" s="71">
        <v>16</v>
      </c>
      <c r="E288" s="77"/>
    </row>
    <row r="289" spans="1:5" ht="15" customHeight="1" x14ac:dyDescent="0.25">
      <c r="A289" s="66">
        <v>199802</v>
      </c>
      <c r="B289" s="67">
        <v>18.03</v>
      </c>
      <c r="C289" s="74"/>
      <c r="D289" s="67">
        <v>16</v>
      </c>
      <c r="E289" s="75"/>
    </row>
    <row r="290" spans="1:5" ht="15" customHeight="1" x14ac:dyDescent="0.25">
      <c r="A290" s="70">
        <v>199801</v>
      </c>
      <c r="B290" s="71">
        <v>17.84</v>
      </c>
      <c r="C290" s="76"/>
      <c r="D290" s="71">
        <v>16</v>
      </c>
      <c r="E290" s="77"/>
    </row>
    <row r="291" spans="1:5" ht="15" customHeight="1" x14ac:dyDescent="0.25">
      <c r="A291" s="66">
        <v>199712</v>
      </c>
      <c r="B291" s="67">
        <v>17.68</v>
      </c>
      <c r="C291" s="74"/>
      <c r="D291" s="67">
        <v>18</v>
      </c>
      <c r="E291" s="75"/>
    </row>
    <row r="292" spans="1:5" ht="15" customHeight="1" x14ac:dyDescent="0.25">
      <c r="A292" s="70">
        <v>199711</v>
      </c>
      <c r="B292" s="71">
        <v>17.809999999999999</v>
      </c>
      <c r="C292" s="76"/>
      <c r="D292" s="71">
        <v>18</v>
      </c>
      <c r="E292" s="77"/>
    </row>
    <row r="293" spans="1:5" ht="15" customHeight="1" x14ac:dyDescent="0.25">
      <c r="A293" s="66">
        <v>199710</v>
      </c>
      <c r="B293" s="67">
        <v>17.8</v>
      </c>
      <c r="C293" s="74"/>
      <c r="D293" s="67">
        <v>18</v>
      </c>
      <c r="E293" s="75"/>
    </row>
    <row r="294" spans="1:5" ht="15" customHeight="1" x14ac:dyDescent="0.25">
      <c r="A294" s="70">
        <v>199709</v>
      </c>
      <c r="B294" s="71">
        <v>18.010000000000002</v>
      </c>
      <c r="C294" s="76"/>
      <c r="D294" s="71">
        <v>18</v>
      </c>
      <c r="E294" s="77"/>
    </row>
    <row r="295" spans="1:5" ht="15" customHeight="1" x14ac:dyDescent="0.25">
      <c r="A295" s="66">
        <v>199708</v>
      </c>
      <c r="B295" s="67">
        <v>17.93</v>
      </c>
      <c r="C295" s="74"/>
      <c r="D295" s="67">
        <v>18</v>
      </c>
      <c r="E295" s="75"/>
    </row>
    <row r="296" spans="1:5" ht="15" customHeight="1" x14ac:dyDescent="0.25">
      <c r="A296" s="70">
        <v>199707</v>
      </c>
      <c r="B296" s="71">
        <v>17.88</v>
      </c>
      <c r="C296" s="76"/>
      <c r="D296" s="71">
        <v>18</v>
      </c>
      <c r="E296" s="77"/>
    </row>
    <row r="297" spans="1:5" ht="15" customHeight="1" x14ac:dyDescent="0.25">
      <c r="A297" s="66">
        <v>199706</v>
      </c>
      <c r="B297" s="67">
        <v>18.670000000000002</v>
      </c>
      <c r="C297" s="74"/>
      <c r="D297" s="67">
        <v>18</v>
      </c>
      <c r="E297" s="75"/>
    </row>
    <row r="298" spans="1:5" ht="15" customHeight="1" x14ac:dyDescent="0.25">
      <c r="A298" s="70">
        <v>199705</v>
      </c>
      <c r="B298" s="71">
        <v>18.600000000000001</v>
      </c>
      <c r="C298" s="76"/>
      <c r="D298" s="71">
        <v>18</v>
      </c>
      <c r="E298" s="77"/>
    </row>
    <row r="299" spans="1:5" ht="15" customHeight="1" x14ac:dyDescent="0.25">
      <c r="A299" s="66">
        <v>199704</v>
      </c>
      <c r="B299" s="67">
        <v>18.52</v>
      </c>
      <c r="C299" s="74"/>
      <c r="D299" s="67">
        <v>18</v>
      </c>
      <c r="E299" s="75"/>
    </row>
    <row r="300" spans="1:5" ht="15" customHeight="1" x14ac:dyDescent="0.25">
      <c r="A300" s="70">
        <v>199703</v>
      </c>
      <c r="B300" s="71">
        <v>18.93</v>
      </c>
      <c r="C300" s="76"/>
      <c r="D300" s="71">
        <v>18</v>
      </c>
      <c r="E300" s="77"/>
    </row>
    <row r="301" spans="1:5" ht="15" customHeight="1" x14ac:dyDescent="0.25">
      <c r="A301" s="66">
        <v>199702</v>
      </c>
      <c r="B301" s="67">
        <v>19.579999999999998</v>
      </c>
      <c r="C301" s="74"/>
      <c r="D301" s="67">
        <v>18</v>
      </c>
      <c r="E301" s="75"/>
    </row>
    <row r="302" spans="1:5" ht="15" customHeight="1" x14ac:dyDescent="0.25">
      <c r="A302" s="70">
        <v>199701</v>
      </c>
      <c r="B302" s="71">
        <v>20.62</v>
      </c>
      <c r="C302" s="76"/>
      <c r="D302" s="71">
        <v>18</v>
      </c>
      <c r="E302" s="77"/>
    </row>
    <row r="303" spans="1:5" ht="15" customHeight="1" x14ac:dyDescent="0.25">
      <c r="A303" s="66">
        <v>199612</v>
      </c>
      <c r="B303" s="67">
        <v>21.63</v>
      </c>
      <c r="C303" s="74"/>
      <c r="D303" s="67">
        <v>17</v>
      </c>
      <c r="E303" s="75"/>
    </row>
    <row r="304" spans="1:5" ht="15" customHeight="1" x14ac:dyDescent="0.25">
      <c r="A304" s="70">
        <v>199611</v>
      </c>
      <c r="B304" s="71">
        <v>21.88</v>
      </c>
      <c r="C304" s="76"/>
      <c r="D304" s="71">
        <v>17</v>
      </c>
      <c r="E304" s="77"/>
    </row>
    <row r="305" spans="1:5" ht="15" customHeight="1" x14ac:dyDescent="0.25">
      <c r="A305" s="66">
        <v>199610</v>
      </c>
      <c r="B305" s="67">
        <v>21.87</v>
      </c>
      <c r="C305" s="74"/>
      <c r="D305" s="67">
        <v>17</v>
      </c>
      <c r="E305" s="75"/>
    </row>
    <row r="306" spans="1:5" ht="15" customHeight="1" x14ac:dyDescent="0.25">
      <c r="A306" s="70">
        <v>199609</v>
      </c>
      <c r="B306" s="71">
        <v>21.55</v>
      </c>
      <c r="C306" s="76"/>
      <c r="D306" s="71">
        <v>17</v>
      </c>
      <c r="E306" s="77"/>
    </row>
    <row r="307" spans="1:5" ht="15" customHeight="1" x14ac:dyDescent="0.25">
      <c r="A307" s="66">
        <v>199608</v>
      </c>
      <c r="B307" s="67">
        <v>21.13</v>
      </c>
      <c r="C307" s="74"/>
      <c r="D307" s="67">
        <v>17</v>
      </c>
      <c r="E307" s="75"/>
    </row>
    <row r="308" spans="1:5" ht="15" customHeight="1" x14ac:dyDescent="0.25">
      <c r="A308" s="70">
        <v>199607</v>
      </c>
      <c r="B308" s="71">
        <v>20.57</v>
      </c>
      <c r="C308" s="76"/>
      <c r="D308" s="71">
        <v>17</v>
      </c>
      <c r="E308" s="77"/>
    </row>
    <row r="309" spans="1:5" ht="15" customHeight="1" x14ac:dyDescent="0.25">
      <c r="A309" s="66">
        <v>199606</v>
      </c>
      <c r="B309" s="67">
        <v>19.7</v>
      </c>
      <c r="C309" s="74"/>
      <c r="D309" s="67">
        <v>17</v>
      </c>
      <c r="E309" s="75"/>
    </row>
    <row r="310" spans="1:5" ht="15" customHeight="1" x14ac:dyDescent="0.25">
      <c r="A310" s="70">
        <v>199605</v>
      </c>
      <c r="B310" s="71">
        <v>19.78</v>
      </c>
      <c r="C310" s="76"/>
      <c r="D310" s="71">
        <v>17</v>
      </c>
      <c r="E310" s="77"/>
    </row>
    <row r="311" spans="1:5" ht="15" customHeight="1" x14ac:dyDescent="0.25">
      <c r="A311" s="66">
        <v>199604</v>
      </c>
      <c r="B311" s="67">
        <v>19.899999999999999</v>
      </c>
      <c r="C311" s="74"/>
      <c r="D311" s="67">
        <v>17</v>
      </c>
      <c r="E311" s="75"/>
    </row>
    <row r="312" spans="1:5" ht="15" customHeight="1" x14ac:dyDescent="0.25">
      <c r="A312" s="70">
        <v>199603</v>
      </c>
      <c r="B312" s="71">
        <v>20.2</v>
      </c>
      <c r="C312" s="76"/>
      <c r="D312" s="71">
        <v>17</v>
      </c>
      <c r="E312" s="77"/>
    </row>
    <row r="313" spans="1:5" ht="15" customHeight="1" x14ac:dyDescent="0.25">
      <c r="A313" s="66">
        <v>199602</v>
      </c>
      <c r="B313" s="67">
        <v>20.81</v>
      </c>
      <c r="C313" s="74"/>
      <c r="D313" s="67">
        <v>17</v>
      </c>
      <c r="E313" s="75"/>
    </row>
    <row r="314" spans="1:5" ht="15" customHeight="1" x14ac:dyDescent="0.25">
      <c r="A314" s="70">
        <v>199601</v>
      </c>
      <c r="B314" s="71">
        <v>20.239999999999998</v>
      </c>
      <c r="C314" s="76"/>
      <c r="D314" s="71">
        <v>17</v>
      </c>
      <c r="E314" s="77"/>
    </row>
    <row r="315" spans="1:5" ht="15" customHeight="1" x14ac:dyDescent="0.25">
      <c r="A315" s="66">
        <v>199512</v>
      </c>
      <c r="B315" s="67">
        <v>19.46</v>
      </c>
      <c r="C315" s="74"/>
      <c r="D315" s="67">
        <v>18</v>
      </c>
      <c r="E315" s="75"/>
    </row>
    <row r="316" spans="1:5" ht="15" customHeight="1" x14ac:dyDescent="0.25">
      <c r="A316" s="70">
        <v>199511</v>
      </c>
      <c r="B316" s="71">
        <v>20.13</v>
      </c>
      <c r="C316" s="76"/>
      <c r="D316" s="71">
        <v>18</v>
      </c>
      <c r="E316" s="77"/>
    </row>
    <row r="317" spans="1:5" ht="15" customHeight="1" x14ac:dyDescent="0.25">
      <c r="A317" s="66">
        <v>199510</v>
      </c>
      <c r="B317" s="67">
        <v>20.52</v>
      </c>
      <c r="C317" s="74"/>
      <c r="D317" s="67">
        <v>18</v>
      </c>
      <c r="E317" s="75"/>
    </row>
    <row r="318" spans="1:5" ht="15" customHeight="1" x14ac:dyDescent="0.25">
      <c r="A318" s="70">
        <v>199509</v>
      </c>
      <c r="B318" s="71">
        <v>20.79</v>
      </c>
      <c r="C318" s="76"/>
      <c r="D318" s="71">
        <v>18</v>
      </c>
      <c r="E318" s="77"/>
    </row>
    <row r="319" spans="1:5" ht="15" customHeight="1" x14ac:dyDescent="0.25">
      <c r="A319" s="66">
        <v>199508</v>
      </c>
      <c r="B319" s="67">
        <v>21.09</v>
      </c>
      <c r="C319" s="74"/>
      <c r="D319" s="67">
        <v>18</v>
      </c>
      <c r="E319" s="75"/>
    </row>
    <row r="320" spans="1:5" ht="15" customHeight="1" x14ac:dyDescent="0.25">
      <c r="A320" s="70">
        <v>199507</v>
      </c>
      <c r="B320" s="71">
        <v>21.5</v>
      </c>
      <c r="C320" s="76"/>
      <c r="D320" s="71">
        <v>18</v>
      </c>
      <c r="E320" s="77"/>
    </row>
    <row r="321" spans="1:5" ht="15" customHeight="1" x14ac:dyDescent="0.25">
      <c r="A321" s="66">
        <v>199506</v>
      </c>
      <c r="B321" s="67">
        <v>21.66</v>
      </c>
      <c r="C321" s="74"/>
      <c r="D321" s="67">
        <v>18</v>
      </c>
      <c r="E321" s="75"/>
    </row>
    <row r="322" spans="1:5" ht="15" customHeight="1" x14ac:dyDescent="0.25">
      <c r="A322" s="70">
        <v>199505</v>
      </c>
      <c r="B322" s="71">
        <v>21.3</v>
      </c>
      <c r="C322" s="76"/>
      <c r="D322" s="71">
        <v>18</v>
      </c>
      <c r="E322" s="77"/>
    </row>
    <row r="323" spans="1:5" ht="15" customHeight="1" x14ac:dyDescent="0.25">
      <c r="A323" s="66">
        <v>199504</v>
      </c>
      <c r="B323" s="67">
        <v>21.17</v>
      </c>
      <c r="C323" s="74"/>
      <c r="D323" s="67">
        <v>18</v>
      </c>
      <c r="E323" s="75"/>
    </row>
    <row r="324" spans="1:5" ht="15" customHeight="1" x14ac:dyDescent="0.25">
      <c r="A324" s="70">
        <v>199503</v>
      </c>
      <c r="B324" s="71">
        <v>21.33</v>
      </c>
      <c r="C324" s="76"/>
      <c r="D324" s="71">
        <v>18</v>
      </c>
      <c r="E324" s="77"/>
    </row>
    <row r="325" spans="1:5" ht="15" customHeight="1" x14ac:dyDescent="0.25">
      <c r="A325" s="66">
        <v>199502</v>
      </c>
      <c r="B325" s="67">
        <v>20.86</v>
      </c>
      <c r="C325" s="74"/>
      <c r="D325" s="67">
        <v>18</v>
      </c>
      <c r="E325" s="75"/>
    </row>
    <row r="326" spans="1:5" ht="15" customHeight="1" x14ac:dyDescent="0.25">
      <c r="A326" s="70">
        <v>199501</v>
      </c>
      <c r="B326" s="71">
        <v>21.04</v>
      </c>
      <c r="C326" s="76"/>
      <c r="D326" s="71">
        <v>18</v>
      </c>
      <c r="E326" s="77"/>
    </row>
    <row r="327" spans="1:5" ht="15" customHeight="1" x14ac:dyDescent="0.25">
      <c r="A327" s="66">
        <v>199412</v>
      </c>
      <c r="B327" s="67">
        <v>22.59</v>
      </c>
      <c r="C327" s="74"/>
      <c r="D327" s="67">
        <v>19</v>
      </c>
      <c r="E327" s="75"/>
    </row>
    <row r="328" spans="1:5" ht="15" customHeight="1" x14ac:dyDescent="0.25">
      <c r="A328" s="70">
        <v>199411</v>
      </c>
      <c r="B328" s="71">
        <v>22.16</v>
      </c>
      <c r="C328" s="76"/>
      <c r="D328" s="71">
        <v>19</v>
      </c>
      <c r="E328" s="77"/>
    </row>
    <row r="329" spans="1:5" ht="15" customHeight="1" x14ac:dyDescent="0.25">
      <c r="A329" s="66">
        <v>199410</v>
      </c>
      <c r="B329" s="67">
        <v>22.37</v>
      </c>
      <c r="C329" s="74"/>
      <c r="D329" s="67">
        <v>19</v>
      </c>
      <c r="E329" s="75"/>
    </row>
    <row r="330" spans="1:5" ht="15" customHeight="1" x14ac:dyDescent="0.25">
      <c r="A330" s="70">
        <v>199409</v>
      </c>
      <c r="B330" s="71">
        <v>22.31</v>
      </c>
      <c r="C330" s="76"/>
      <c r="D330" s="71">
        <v>19</v>
      </c>
      <c r="E330" s="77"/>
    </row>
    <row r="331" spans="1:5" ht="15" customHeight="1" x14ac:dyDescent="0.25">
      <c r="A331" s="66">
        <v>199408</v>
      </c>
      <c r="B331" s="67">
        <v>22.35</v>
      </c>
      <c r="C331" s="74"/>
      <c r="D331" s="67">
        <v>19</v>
      </c>
      <c r="E331" s="75"/>
    </row>
    <row r="332" spans="1:5" ht="15" customHeight="1" x14ac:dyDescent="0.25">
      <c r="A332" s="70">
        <v>199407</v>
      </c>
      <c r="B332" s="71">
        <v>22.69</v>
      </c>
      <c r="C332" s="76"/>
      <c r="D332" s="71">
        <v>19</v>
      </c>
      <c r="E332" s="77"/>
    </row>
    <row r="333" spans="1:5" ht="15" customHeight="1" x14ac:dyDescent="0.25">
      <c r="A333" s="66">
        <v>199406</v>
      </c>
      <c r="B333" s="67">
        <v>23.08</v>
      </c>
      <c r="C333" s="74"/>
      <c r="D333" s="67">
        <v>19</v>
      </c>
      <c r="E333" s="75"/>
    </row>
    <row r="334" spans="1:5" ht="15" customHeight="1" x14ac:dyDescent="0.25">
      <c r="A334" s="70">
        <v>199405</v>
      </c>
      <c r="B334" s="71">
        <v>23.86</v>
      </c>
      <c r="C334" s="76"/>
      <c r="D334" s="71">
        <v>19</v>
      </c>
      <c r="E334" s="77"/>
    </row>
    <row r="335" spans="1:5" ht="15" customHeight="1" x14ac:dyDescent="0.25">
      <c r="A335" s="66">
        <v>199404</v>
      </c>
      <c r="B335" s="67">
        <v>23.94</v>
      </c>
      <c r="C335" s="74"/>
      <c r="D335" s="67">
        <v>19</v>
      </c>
      <c r="E335" s="75"/>
    </row>
    <row r="336" spans="1:5" ht="15" customHeight="1" x14ac:dyDescent="0.25">
      <c r="A336" s="70">
        <v>199403</v>
      </c>
      <c r="B336" s="71">
        <v>23.41</v>
      </c>
      <c r="C336" s="76"/>
      <c r="D336" s="71">
        <v>19</v>
      </c>
      <c r="E336" s="77"/>
    </row>
    <row r="337" spans="1:6" ht="15" customHeight="1" x14ac:dyDescent="0.25">
      <c r="A337" s="66">
        <v>199402</v>
      </c>
      <c r="B337" s="67">
        <v>23.01</v>
      </c>
      <c r="C337" s="74"/>
      <c r="D337" s="67">
        <v>19</v>
      </c>
      <c r="E337" s="75"/>
    </row>
    <row r="338" spans="1:6" ht="15" customHeight="1" x14ac:dyDescent="0.25">
      <c r="A338" s="70">
        <v>199401</v>
      </c>
      <c r="B338" s="71">
        <v>22.5</v>
      </c>
      <c r="C338" s="76"/>
      <c r="D338" s="71">
        <v>19</v>
      </c>
      <c r="E338" s="77"/>
    </row>
    <row r="339" spans="1:6" ht="15" customHeight="1" x14ac:dyDescent="0.25">
      <c r="A339" s="66">
        <v>199312</v>
      </c>
      <c r="B339" s="67">
        <v>22.6</v>
      </c>
      <c r="C339" s="74"/>
      <c r="D339" s="67">
        <v>22</v>
      </c>
      <c r="E339" s="75"/>
    </row>
    <row r="340" spans="1:6" ht="15" customHeight="1" x14ac:dyDescent="0.25">
      <c r="A340" s="70">
        <v>199311</v>
      </c>
      <c r="B340" s="71">
        <v>22.37</v>
      </c>
      <c r="C340" s="76"/>
      <c r="D340" s="71">
        <v>22</v>
      </c>
      <c r="E340" s="77"/>
    </row>
    <row r="341" spans="1:6" ht="15" customHeight="1" x14ac:dyDescent="0.25">
      <c r="A341" s="66">
        <v>199310</v>
      </c>
      <c r="B341" s="67">
        <v>21.69</v>
      </c>
      <c r="C341" s="74"/>
      <c r="D341" s="67">
        <v>22</v>
      </c>
      <c r="E341" s="75"/>
    </row>
    <row r="342" spans="1:6" ht="15" customHeight="1" x14ac:dyDescent="0.25">
      <c r="A342" s="70">
        <v>199309</v>
      </c>
      <c r="B342" s="71">
        <v>21.43</v>
      </c>
      <c r="C342" s="76"/>
      <c r="D342" s="71">
        <v>22</v>
      </c>
      <c r="E342" s="77"/>
    </row>
    <row r="343" spans="1:6" ht="15" customHeight="1" x14ac:dyDescent="0.25">
      <c r="A343" s="66">
        <v>199308</v>
      </c>
      <c r="B343" s="67">
        <v>21.07</v>
      </c>
      <c r="C343" s="74"/>
      <c r="D343" s="67">
        <v>22</v>
      </c>
      <c r="E343" s="75"/>
    </row>
    <row r="344" spans="1:6" ht="15" customHeight="1" x14ac:dyDescent="0.25">
      <c r="A344" s="70">
        <v>199307</v>
      </c>
      <c r="B344" s="71">
        <v>20.46</v>
      </c>
      <c r="C344" s="76"/>
      <c r="D344" s="71">
        <v>22</v>
      </c>
      <c r="E344" s="77"/>
    </row>
    <row r="345" spans="1:6" ht="15" customHeight="1" x14ac:dyDescent="0.25">
      <c r="A345" s="66">
        <v>199306</v>
      </c>
      <c r="B345" s="67">
        <v>21.38</v>
      </c>
      <c r="C345" s="74"/>
      <c r="D345" s="67">
        <v>22</v>
      </c>
      <c r="E345" s="75"/>
    </row>
    <row r="346" spans="1:6" ht="15" customHeight="1" x14ac:dyDescent="0.25">
      <c r="A346" s="70">
        <v>199305</v>
      </c>
      <c r="B346" s="71">
        <v>22.21</v>
      </c>
      <c r="C346" s="76"/>
      <c r="D346" s="71">
        <v>22</v>
      </c>
      <c r="E346" s="77"/>
    </row>
    <row r="347" spans="1:6" ht="15" customHeight="1" x14ac:dyDescent="0.25">
      <c r="A347" s="66">
        <v>199304</v>
      </c>
      <c r="B347" s="67">
        <v>23.08</v>
      </c>
      <c r="C347" s="74"/>
      <c r="D347" s="67">
        <v>22</v>
      </c>
      <c r="E347" s="75"/>
    </row>
    <row r="348" spans="1:6" ht="15" customHeight="1" x14ac:dyDescent="0.25">
      <c r="A348" s="70">
        <v>199303</v>
      </c>
      <c r="B348" s="71">
        <v>24.18</v>
      </c>
      <c r="C348" s="76"/>
      <c r="D348" s="71">
        <v>22</v>
      </c>
      <c r="E348" s="77"/>
    </row>
    <row r="349" spans="1:6" ht="15" customHeight="1" x14ac:dyDescent="0.25">
      <c r="A349" s="66">
        <v>199302</v>
      </c>
      <c r="B349" s="67">
        <v>24.71</v>
      </c>
      <c r="C349" s="74"/>
      <c r="D349" s="67">
        <v>22</v>
      </c>
      <c r="E349" s="75"/>
    </row>
    <row r="350" spans="1:6" ht="15" customHeight="1" x14ac:dyDescent="0.25">
      <c r="A350" s="70">
        <v>199301</v>
      </c>
      <c r="B350" s="71">
        <v>24.82</v>
      </c>
      <c r="C350" s="76"/>
      <c r="D350" s="71">
        <v>22</v>
      </c>
      <c r="E350" s="77"/>
    </row>
    <row r="351" spans="1:6" x14ac:dyDescent="0.25">
      <c r="A351" s="60" t="s">
        <v>291</v>
      </c>
    </row>
    <row r="352" spans="1:6" x14ac:dyDescent="0.25">
      <c r="A352" s="1826" t="s">
        <v>299</v>
      </c>
      <c r="B352" s="1826"/>
      <c r="C352" s="1826"/>
      <c r="D352" s="1826"/>
      <c r="E352" s="1826"/>
      <c r="F352" s="1826"/>
    </row>
    <row r="353" spans="1:6" x14ac:dyDescent="0.25">
      <c r="A353" s="1826" t="s">
        <v>291</v>
      </c>
      <c r="B353" s="1826"/>
      <c r="C353" s="1826"/>
      <c r="D353" s="1826"/>
      <c r="E353" s="1826"/>
      <c r="F353" s="1826"/>
    </row>
    <row r="354" spans="1:6" x14ac:dyDescent="0.25">
      <c r="A354" s="1826" t="s">
        <v>300</v>
      </c>
      <c r="B354" s="1826"/>
      <c r="C354" s="1826"/>
      <c r="D354" s="1826"/>
      <c r="E354" s="1826"/>
      <c r="F354" s="1826"/>
    </row>
    <row r="355" spans="1:6" x14ac:dyDescent="0.25">
      <c r="A355" s="1826" t="s">
        <v>291</v>
      </c>
      <c r="B355" s="1826"/>
      <c r="C355" s="1826"/>
      <c r="D355" s="1826"/>
      <c r="E355" s="1826"/>
      <c r="F355" s="1826"/>
    </row>
    <row r="356" spans="1:6" x14ac:dyDescent="0.25">
      <c r="A356" s="1826" t="s">
        <v>301</v>
      </c>
      <c r="B356" s="1826"/>
      <c r="C356" s="1826"/>
      <c r="D356" s="1826"/>
      <c r="E356" s="1826"/>
      <c r="F356" s="1826"/>
    </row>
    <row r="357" spans="1:6" x14ac:dyDescent="0.25">
      <c r="A357" s="1826" t="s">
        <v>291</v>
      </c>
      <c r="B357" s="1826"/>
      <c r="C357" s="1826"/>
      <c r="D357" s="1826"/>
      <c r="E357" s="1826"/>
      <c r="F357" s="1826"/>
    </row>
    <row r="358" spans="1:6" x14ac:dyDescent="0.25">
      <c r="A358" s="1826" t="s">
        <v>293</v>
      </c>
      <c r="B358" s="1826"/>
      <c r="C358" s="1826"/>
      <c r="D358" s="1826"/>
      <c r="E358" s="1826"/>
      <c r="F358" s="1826"/>
    </row>
  </sheetData>
  <mergeCells count="17">
    <mergeCell ref="G9:AF9"/>
    <mergeCell ref="H10:P10"/>
    <mergeCell ref="Q10:U10"/>
    <mergeCell ref="V10:AA10"/>
    <mergeCell ref="AB10:AF10"/>
    <mergeCell ref="G2:T2"/>
    <mergeCell ref="G3:T3"/>
    <mergeCell ref="G5:T5"/>
    <mergeCell ref="G6:T6"/>
    <mergeCell ref="G7:T7"/>
    <mergeCell ref="A358:F358"/>
    <mergeCell ref="A352:F352"/>
    <mergeCell ref="A353:F353"/>
    <mergeCell ref="A354:F354"/>
    <mergeCell ref="A355:F355"/>
    <mergeCell ref="A356:F356"/>
    <mergeCell ref="A357:F357"/>
  </mergeCells>
  <hyperlinks>
    <hyperlink ref="A354" r:id="rId1" xr:uid="{00000000-0004-0000-2500-000000000000}"/>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8">
    <tabColor theme="0" tint="-0.249977111117893"/>
  </sheetPr>
  <dimension ref="B4:G8"/>
  <sheetViews>
    <sheetView zoomScale="85" zoomScaleNormal="85" workbookViewId="0">
      <selection activeCell="E14" sqref="E14"/>
    </sheetView>
  </sheetViews>
  <sheetFormatPr baseColWidth="10" defaultColWidth="11" defaultRowHeight="15" x14ac:dyDescent="0.25"/>
  <cols>
    <col min="1" max="1" width="4.5" customWidth="1"/>
  </cols>
  <sheetData>
    <row r="4" spans="2:7" ht="15.75" thickBot="1" x14ac:dyDescent="0.3"/>
    <row r="5" spans="2:7" ht="15.75" thickBot="1" x14ac:dyDescent="0.3">
      <c r="B5" s="284">
        <v>2015</v>
      </c>
      <c r="C5" s="285">
        <v>2016</v>
      </c>
      <c r="D5" s="285">
        <v>2017</v>
      </c>
      <c r="E5" s="285">
        <v>2018</v>
      </c>
      <c r="F5" s="286">
        <v>2019</v>
      </c>
    </row>
    <row r="6" spans="2:7" ht="15.75" thickBot="1" x14ac:dyDescent="0.3">
      <c r="B6" s="287">
        <v>596376.75</v>
      </c>
      <c r="C6" s="288">
        <v>606547.25</v>
      </c>
      <c r="D6" s="288">
        <v>615968.16666666663</v>
      </c>
      <c r="E6" s="288">
        <v>628468.25</v>
      </c>
      <c r="F6" s="289">
        <v>641722.4</v>
      </c>
    </row>
    <row r="7" spans="2:7" ht="21" thickBot="1" x14ac:dyDescent="0.3">
      <c r="B7" s="283"/>
      <c r="C7" s="290">
        <f>+C6/B6-1</f>
        <v>1.7053817071171817E-2</v>
      </c>
      <c r="D7" s="290">
        <f>+D6/C6-1</f>
        <v>1.5532040853645901E-2</v>
      </c>
      <c r="E7" s="290">
        <f>+E6/D6-1</f>
        <v>2.0293391785127568E-2</v>
      </c>
      <c r="F7" s="291">
        <f>+F6/E6-1</f>
        <v>2.1089609538747611E-2</v>
      </c>
      <c r="G7" s="292">
        <f>AVERAGE(C7:F7)</f>
        <v>1.8492214812173224E-2</v>
      </c>
    </row>
    <row r="8" spans="2:7" x14ac:dyDescent="0.25">
      <c r="B8" t="s">
        <v>735</v>
      </c>
    </row>
  </sheetData>
  <phoneticPr fontId="9" type="noConversion"/>
  <pageMargins left="0.7" right="0.7" top="0.75" bottom="0.75" header="0.3" footer="0.3"/>
  <legacy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5">
    <tabColor rgb="FFFFC000"/>
  </sheetPr>
  <dimension ref="A2:U763"/>
  <sheetViews>
    <sheetView showGridLines="0" zoomScale="90" zoomScaleNormal="90" workbookViewId="0">
      <selection activeCell="E10" sqref="E10"/>
    </sheetView>
  </sheetViews>
  <sheetFormatPr baseColWidth="10" defaultColWidth="11.375" defaultRowHeight="12.75" x14ac:dyDescent="0.2"/>
  <cols>
    <col min="1" max="1" width="8.75" style="86" customWidth="1"/>
    <col min="2" max="2" width="37.625" style="86" customWidth="1"/>
    <col min="3" max="4" width="11.625" style="86" customWidth="1"/>
    <col min="5" max="5" width="23.625" style="86" customWidth="1"/>
    <col min="6" max="6" width="14.625" style="86" customWidth="1"/>
    <col min="7" max="7" width="20.25" style="86" customWidth="1"/>
    <col min="8" max="8" width="20" style="86" customWidth="1"/>
    <col min="9" max="17" width="16.375" style="86" customWidth="1"/>
    <col min="18" max="18" width="13.25" style="86" bestFit="1" customWidth="1"/>
    <col min="19" max="19" width="13.625" style="86" customWidth="1"/>
    <col min="20" max="28" width="14.625" style="86" customWidth="1"/>
    <col min="29" max="30" width="11.375" style="86"/>
    <col min="31" max="39" width="13.375" style="86" customWidth="1"/>
    <col min="40" max="42" width="8.625" style="86" customWidth="1"/>
    <col min="43" max="50" width="14.625" style="86" customWidth="1"/>
    <col min="51" max="60" width="12.375" style="86" customWidth="1"/>
    <col min="61" max="62" width="16.375" style="86" customWidth="1"/>
    <col min="63" max="16384" width="11.375" style="86"/>
  </cols>
  <sheetData>
    <row r="2" spans="2:17" ht="12.75" customHeight="1" x14ac:dyDescent="0.2"/>
    <row r="3" spans="2:17" ht="15" x14ac:dyDescent="0.2">
      <c r="B3" s="103" t="s">
        <v>339</v>
      </c>
      <c r="C3" s="151">
        <f>+PARÁMETROS!E9</f>
        <v>0.09</v>
      </c>
    </row>
    <row r="6" spans="2:17" ht="20.25" thickBot="1" x14ac:dyDescent="0.35">
      <c r="B6" s="89" t="s">
        <v>340</v>
      </c>
      <c r="C6" s="89"/>
      <c r="D6" s="89"/>
      <c r="E6" s="89"/>
      <c r="F6" s="89"/>
      <c r="G6" s="89"/>
    </row>
    <row r="7" spans="2:17" ht="13.5" thickTop="1" x14ac:dyDescent="0.2"/>
    <row r="8" spans="2:17" ht="25.5" x14ac:dyDescent="0.2">
      <c r="B8" s="101" t="str">
        <f>+'INV POIR PPERDIDAS'!B3</f>
        <v>Activo j</v>
      </c>
      <c r="C8" s="101" t="str">
        <f>+'INV POIR PPERDIDAS'!C3</f>
        <v>Identificación del activo</v>
      </c>
      <c r="D8" s="101" t="str">
        <f>+'INV POIR PPERDIDAS'!D3</f>
        <v>Año planeado</v>
      </c>
      <c r="E8" s="101" t="str">
        <f>+'INV POIR PPERDIDAS'!E3</f>
        <v>POIR programa pérdidas por activo j</v>
      </c>
      <c r="F8" s="101" t="str">
        <f>+'INV POIR PPERDIDAS'!F3</f>
        <v>Vida Útil</v>
      </c>
      <c r="G8" s="104">
        <v>0</v>
      </c>
      <c r="H8" s="104">
        <v>1</v>
      </c>
      <c r="I8" s="104">
        <v>2</v>
      </c>
      <c r="J8" s="104">
        <v>3</v>
      </c>
      <c r="K8" s="104">
        <v>4</v>
      </c>
      <c r="L8" s="104">
        <v>5</v>
      </c>
      <c r="M8" s="104">
        <v>6</v>
      </c>
      <c r="N8" s="104">
        <v>7</v>
      </c>
      <c r="O8" s="104">
        <v>8</v>
      </c>
      <c r="P8" s="104">
        <v>9</v>
      </c>
      <c r="Q8" s="104">
        <v>10</v>
      </c>
    </row>
    <row r="9" spans="2:17" x14ac:dyDescent="0.2">
      <c r="B9" s="90" t="str">
        <f>+'INV POIR PPERDIDAS'!B4</f>
        <v>MACROMEDIDORES</v>
      </c>
      <c r="C9" s="90">
        <f>+'INV POIR PPERDIDAS'!C4</f>
        <v>1</v>
      </c>
      <c r="D9" s="91">
        <f>+'INV POIR PPERDIDAS'!D4</f>
        <v>0</v>
      </c>
      <c r="E9" s="92">
        <f>+'INV POIR PPERDIDAS'!E4</f>
        <v>0</v>
      </c>
      <c r="F9" s="93">
        <f>+VLOOKUP(C9,'INV POIR PPERDIDAS'!$C$4:$F$123,4,FALSE)</f>
        <v>23</v>
      </c>
      <c r="G9" s="94" t="str">
        <f t="shared" ref="G9:G40" si="0">+IF(G$8&lt;=$D9,"",IFERROR($E9/$F9,0))</f>
        <v/>
      </c>
      <c r="H9" s="94">
        <f t="shared" ref="H9:Q18" si="1">+IF(H$8&lt;=$D9,0,IFERROR($E9/$F9,0))</f>
        <v>0</v>
      </c>
      <c r="I9" s="94">
        <f t="shared" si="1"/>
        <v>0</v>
      </c>
      <c r="J9" s="94">
        <f t="shared" si="1"/>
        <v>0</v>
      </c>
      <c r="K9" s="94">
        <f t="shared" si="1"/>
        <v>0</v>
      </c>
      <c r="L9" s="94">
        <f t="shared" si="1"/>
        <v>0</v>
      </c>
      <c r="M9" s="94">
        <f t="shared" si="1"/>
        <v>0</v>
      </c>
      <c r="N9" s="94">
        <f t="shared" si="1"/>
        <v>0</v>
      </c>
      <c r="O9" s="94">
        <f t="shared" si="1"/>
        <v>0</v>
      </c>
      <c r="P9" s="94">
        <f t="shared" si="1"/>
        <v>0</v>
      </c>
      <c r="Q9" s="94">
        <f t="shared" si="1"/>
        <v>0</v>
      </c>
    </row>
    <row r="10" spans="2:17" x14ac:dyDescent="0.2">
      <c r="B10" s="90" t="str">
        <f>+'INV POIR PPERDIDAS'!B5</f>
        <v>MACROMEDIDORES</v>
      </c>
      <c r="C10" s="90">
        <f>+'INV POIR PPERDIDAS'!C5</f>
        <v>2</v>
      </c>
      <c r="D10" s="91">
        <f>+'INV POIR PPERDIDAS'!D5</f>
        <v>1</v>
      </c>
      <c r="E10" s="92">
        <f>+'INV POIR PPERDIDAS'!E5</f>
        <v>19671246.467960708</v>
      </c>
      <c r="F10" s="93">
        <f>+VLOOKUP(C10,'INV POIR PPERDIDAS'!$C$4:$F$123,4,FALSE)</f>
        <v>23</v>
      </c>
      <c r="G10" s="94" t="str">
        <f t="shared" si="0"/>
        <v/>
      </c>
      <c r="H10" s="94">
        <f t="shared" si="1"/>
        <v>0</v>
      </c>
      <c r="I10" s="94">
        <f t="shared" si="1"/>
        <v>855271.58556350903</v>
      </c>
      <c r="J10" s="94">
        <f t="shared" si="1"/>
        <v>855271.58556350903</v>
      </c>
      <c r="K10" s="94">
        <f t="shared" si="1"/>
        <v>855271.58556350903</v>
      </c>
      <c r="L10" s="94">
        <f t="shared" si="1"/>
        <v>855271.58556350903</v>
      </c>
      <c r="M10" s="94">
        <f t="shared" si="1"/>
        <v>855271.58556350903</v>
      </c>
      <c r="N10" s="94">
        <f t="shared" si="1"/>
        <v>855271.58556350903</v>
      </c>
      <c r="O10" s="94">
        <f t="shared" si="1"/>
        <v>855271.58556350903</v>
      </c>
      <c r="P10" s="94">
        <f t="shared" si="1"/>
        <v>855271.58556350903</v>
      </c>
      <c r="Q10" s="94">
        <f t="shared" si="1"/>
        <v>855271.58556350903</v>
      </c>
    </row>
    <row r="11" spans="2:17" x14ac:dyDescent="0.2">
      <c r="B11" s="90" t="str">
        <f>+'INV POIR PPERDIDAS'!B6</f>
        <v>MACROMEDIDORES</v>
      </c>
      <c r="C11" s="90">
        <f>+'INV POIR PPERDIDAS'!C6</f>
        <v>3</v>
      </c>
      <c r="D11" s="91">
        <f>+'INV POIR PPERDIDAS'!D6</f>
        <v>2</v>
      </c>
      <c r="E11" s="92">
        <f>+'INV POIR PPERDIDAS'!E6</f>
        <v>155817460.36657271</v>
      </c>
      <c r="F11" s="93">
        <f>+VLOOKUP(C11,'INV POIR PPERDIDAS'!$C$4:$F$123,4,FALSE)</f>
        <v>23</v>
      </c>
      <c r="G11" s="94" t="str">
        <f t="shared" si="0"/>
        <v/>
      </c>
      <c r="H11" s="94">
        <f t="shared" si="1"/>
        <v>0</v>
      </c>
      <c r="I11" s="94">
        <f t="shared" si="1"/>
        <v>0</v>
      </c>
      <c r="J11" s="94">
        <f t="shared" si="1"/>
        <v>6774672.1898509869</v>
      </c>
      <c r="K11" s="94">
        <f t="shared" si="1"/>
        <v>6774672.1898509869</v>
      </c>
      <c r="L11" s="94">
        <f t="shared" si="1"/>
        <v>6774672.1898509869</v>
      </c>
      <c r="M11" s="94">
        <f t="shared" si="1"/>
        <v>6774672.1898509869</v>
      </c>
      <c r="N11" s="94">
        <f t="shared" si="1"/>
        <v>6774672.1898509869</v>
      </c>
      <c r="O11" s="94">
        <f t="shared" si="1"/>
        <v>6774672.1898509869</v>
      </c>
      <c r="P11" s="94">
        <f t="shared" si="1"/>
        <v>6774672.1898509869</v>
      </c>
      <c r="Q11" s="94">
        <f t="shared" si="1"/>
        <v>6774672.1898509869</v>
      </c>
    </row>
    <row r="12" spans="2:17" x14ac:dyDescent="0.2">
      <c r="B12" s="90" t="str">
        <f>+'INV POIR PPERDIDAS'!B7</f>
        <v>MACROMEDIDORES</v>
      </c>
      <c r="C12" s="90">
        <f>+'INV POIR PPERDIDAS'!C7</f>
        <v>4</v>
      </c>
      <c r="D12" s="91">
        <f>+'INV POIR PPERDIDAS'!D7</f>
        <v>3</v>
      </c>
      <c r="E12" s="92">
        <f>+'INV POIR PPERDIDAS'!E7</f>
        <v>19671246.467960708</v>
      </c>
      <c r="F12" s="93">
        <f>+VLOOKUP(C12,'INV POIR PPERDIDAS'!$C$4:$F$123,4,FALSE)</f>
        <v>23</v>
      </c>
      <c r="G12" s="94" t="str">
        <f t="shared" si="0"/>
        <v/>
      </c>
      <c r="H12" s="94">
        <f t="shared" si="1"/>
        <v>0</v>
      </c>
      <c r="I12" s="94">
        <f t="shared" si="1"/>
        <v>0</v>
      </c>
      <c r="J12" s="94">
        <f t="shared" si="1"/>
        <v>0</v>
      </c>
      <c r="K12" s="94">
        <f t="shared" si="1"/>
        <v>855271.58556350903</v>
      </c>
      <c r="L12" s="94">
        <f t="shared" si="1"/>
        <v>855271.58556350903</v>
      </c>
      <c r="M12" s="94">
        <f t="shared" si="1"/>
        <v>855271.58556350903</v>
      </c>
      <c r="N12" s="94">
        <f t="shared" si="1"/>
        <v>855271.58556350903</v>
      </c>
      <c r="O12" s="94">
        <f t="shared" si="1"/>
        <v>855271.58556350903</v>
      </c>
      <c r="P12" s="94">
        <f t="shared" si="1"/>
        <v>855271.58556350903</v>
      </c>
      <c r="Q12" s="94">
        <f t="shared" si="1"/>
        <v>855271.58556350903</v>
      </c>
    </row>
    <row r="13" spans="2:17" x14ac:dyDescent="0.2">
      <c r="B13" s="90" t="str">
        <f>+'INV POIR PPERDIDAS'!B8</f>
        <v>MACROMEDIDORES</v>
      </c>
      <c r="C13" s="90">
        <f>+'INV POIR PPERDIDAS'!C8</f>
        <v>5</v>
      </c>
      <c r="D13" s="91">
        <f>+'INV POIR PPERDIDAS'!D8</f>
        <v>4</v>
      </c>
      <c r="E13" s="92">
        <f>+'INV POIR PPERDIDAS'!E8</f>
        <v>18198458.295112241</v>
      </c>
      <c r="F13" s="93">
        <f>+VLOOKUP(C13,'INV POIR PPERDIDAS'!$C$4:$F$123,4,FALSE)</f>
        <v>23</v>
      </c>
      <c r="G13" s="94" t="str">
        <f t="shared" si="0"/>
        <v/>
      </c>
      <c r="H13" s="94">
        <f t="shared" si="1"/>
        <v>0</v>
      </c>
      <c r="I13" s="94">
        <f t="shared" si="1"/>
        <v>0</v>
      </c>
      <c r="J13" s="94">
        <f t="shared" si="1"/>
        <v>0</v>
      </c>
      <c r="K13" s="94">
        <f t="shared" si="1"/>
        <v>0</v>
      </c>
      <c r="L13" s="94">
        <f t="shared" si="1"/>
        <v>791237.31717879314</v>
      </c>
      <c r="M13" s="94">
        <f t="shared" si="1"/>
        <v>791237.31717879314</v>
      </c>
      <c r="N13" s="94">
        <f t="shared" si="1"/>
        <v>791237.31717879314</v>
      </c>
      <c r="O13" s="94">
        <f t="shared" si="1"/>
        <v>791237.31717879314</v>
      </c>
      <c r="P13" s="94">
        <f t="shared" si="1"/>
        <v>791237.31717879314</v>
      </c>
      <c r="Q13" s="94">
        <f t="shared" si="1"/>
        <v>791237.31717879314</v>
      </c>
    </row>
    <row r="14" spans="2:17" x14ac:dyDescent="0.2">
      <c r="B14" s="90" t="str">
        <f>+'INV POIR PPERDIDAS'!B9</f>
        <v>MACROMEDIDORES</v>
      </c>
      <c r="C14" s="90">
        <f>+'INV POIR PPERDIDAS'!C9</f>
        <v>6</v>
      </c>
      <c r="D14" s="91">
        <f>+'INV POIR PPERDIDAS'!D9</f>
        <v>5</v>
      </c>
      <c r="E14" s="92">
        <f>+'INV POIR PPERDIDAS'!E9</f>
        <v>0</v>
      </c>
      <c r="F14" s="93">
        <f>+VLOOKUP(C14,'INV POIR PPERDIDAS'!$C$4:$F$123,4,FALSE)</f>
        <v>23</v>
      </c>
      <c r="G14" s="94" t="str">
        <f t="shared" si="0"/>
        <v/>
      </c>
      <c r="H14" s="94">
        <f t="shared" si="1"/>
        <v>0</v>
      </c>
      <c r="I14" s="94">
        <f t="shared" si="1"/>
        <v>0</v>
      </c>
      <c r="J14" s="94">
        <f t="shared" si="1"/>
        <v>0</v>
      </c>
      <c r="K14" s="94">
        <f t="shared" si="1"/>
        <v>0</v>
      </c>
      <c r="L14" s="94">
        <f t="shared" si="1"/>
        <v>0</v>
      </c>
      <c r="M14" s="94">
        <f t="shared" si="1"/>
        <v>0</v>
      </c>
      <c r="N14" s="94">
        <f t="shared" si="1"/>
        <v>0</v>
      </c>
      <c r="O14" s="94">
        <f t="shared" si="1"/>
        <v>0</v>
      </c>
      <c r="P14" s="94">
        <f t="shared" si="1"/>
        <v>0</v>
      </c>
      <c r="Q14" s="94">
        <f t="shared" si="1"/>
        <v>0</v>
      </c>
    </row>
    <row r="15" spans="2:17" x14ac:dyDescent="0.2">
      <c r="B15" s="90" t="str">
        <f>+'INV POIR PPERDIDAS'!B10</f>
        <v>MACROMEDIDORES</v>
      </c>
      <c r="C15" s="90">
        <f>+'INV POIR PPERDIDAS'!C10</f>
        <v>7</v>
      </c>
      <c r="D15" s="91">
        <f>+'INV POIR PPERDIDAS'!D10</f>
        <v>6</v>
      </c>
      <c r="E15" s="92">
        <f>+'INV POIR PPERDIDAS'!E10</f>
        <v>42323102.712381244</v>
      </c>
      <c r="F15" s="93">
        <f>+VLOOKUP(C15,'INV POIR PPERDIDAS'!$C$4:$F$123,4,FALSE)</f>
        <v>23</v>
      </c>
      <c r="G15" s="94" t="str">
        <f t="shared" si="0"/>
        <v/>
      </c>
      <c r="H15" s="94">
        <f t="shared" si="1"/>
        <v>0</v>
      </c>
      <c r="I15" s="94">
        <f t="shared" si="1"/>
        <v>0</v>
      </c>
      <c r="J15" s="94">
        <f t="shared" si="1"/>
        <v>0</v>
      </c>
      <c r="K15" s="94">
        <f t="shared" si="1"/>
        <v>0</v>
      </c>
      <c r="L15" s="94">
        <f t="shared" si="1"/>
        <v>0</v>
      </c>
      <c r="M15" s="94">
        <f t="shared" si="1"/>
        <v>0</v>
      </c>
      <c r="N15" s="94">
        <f t="shared" si="1"/>
        <v>1840134.9005383148</v>
      </c>
      <c r="O15" s="94">
        <f t="shared" si="1"/>
        <v>1840134.9005383148</v>
      </c>
      <c r="P15" s="94">
        <f t="shared" si="1"/>
        <v>1840134.9005383148</v>
      </c>
      <c r="Q15" s="94">
        <f t="shared" si="1"/>
        <v>1840134.9005383148</v>
      </c>
    </row>
    <row r="16" spans="2:17" x14ac:dyDescent="0.2">
      <c r="B16" s="90" t="str">
        <f>+'INV POIR PPERDIDAS'!B11</f>
        <v>MACROMEDIDORES</v>
      </c>
      <c r="C16" s="90">
        <f>+'INV POIR PPERDIDAS'!C11</f>
        <v>8</v>
      </c>
      <c r="D16" s="91">
        <f>+'INV POIR PPERDIDAS'!D11</f>
        <v>7</v>
      </c>
      <c r="E16" s="92">
        <f>+'INV POIR PPERDIDAS'!E11</f>
        <v>19671246.467960708</v>
      </c>
      <c r="F16" s="93">
        <f>+VLOOKUP(C16,'INV POIR PPERDIDAS'!$C$4:$F$123,4,FALSE)</f>
        <v>23</v>
      </c>
      <c r="G16" s="94" t="str">
        <f t="shared" si="0"/>
        <v/>
      </c>
      <c r="H16" s="94">
        <f t="shared" si="1"/>
        <v>0</v>
      </c>
      <c r="I16" s="94">
        <f t="shared" si="1"/>
        <v>0</v>
      </c>
      <c r="J16" s="94">
        <f t="shared" si="1"/>
        <v>0</v>
      </c>
      <c r="K16" s="94">
        <f t="shared" si="1"/>
        <v>0</v>
      </c>
      <c r="L16" s="94">
        <f t="shared" si="1"/>
        <v>0</v>
      </c>
      <c r="M16" s="94">
        <f t="shared" si="1"/>
        <v>0</v>
      </c>
      <c r="N16" s="94">
        <f t="shared" si="1"/>
        <v>0</v>
      </c>
      <c r="O16" s="94">
        <f t="shared" si="1"/>
        <v>855271.58556350903</v>
      </c>
      <c r="P16" s="94">
        <f t="shared" si="1"/>
        <v>855271.58556350903</v>
      </c>
      <c r="Q16" s="94">
        <f t="shared" si="1"/>
        <v>855271.58556350903</v>
      </c>
    </row>
    <row r="17" spans="2:17" x14ac:dyDescent="0.2">
      <c r="B17" s="90" t="str">
        <f>+'INV POIR PPERDIDAS'!B12</f>
        <v>MACROMEDIDORES</v>
      </c>
      <c r="C17" s="90">
        <f>+'INV POIR PPERDIDAS'!C12</f>
        <v>9</v>
      </c>
      <c r="D17" s="91">
        <f>+'INV POIR PPERDIDAS'!D12</f>
        <v>8</v>
      </c>
      <c r="E17" s="92">
        <f>+'INV POIR PPERDIDAS'!E12</f>
        <v>0</v>
      </c>
      <c r="F17" s="93">
        <f>+VLOOKUP(C17,'INV POIR PPERDIDAS'!$C$4:$F$123,4,FALSE)</f>
        <v>23</v>
      </c>
      <c r="G17" s="94" t="str">
        <f t="shared" si="0"/>
        <v/>
      </c>
      <c r="H17" s="94">
        <f t="shared" si="1"/>
        <v>0</v>
      </c>
      <c r="I17" s="94">
        <f t="shared" si="1"/>
        <v>0</v>
      </c>
      <c r="J17" s="94">
        <f t="shared" si="1"/>
        <v>0</v>
      </c>
      <c r="K17" s="94">
        <f t="shared" si="1"/>
        <v>0</v>
      </c>
      <c r="L17" s="94">
        <f t="shared" si="1"/>
        <v>0</v>
      </c>
      <c r="M17" s="94">
        <f t="shared" si="1"/>
        <v>0</v>
      </c>
      <c r="N17" s="94">
        <f t="shared" si="1"/>
        <v>0</v>
      </c>
      <c r="O17" s="94">
        <f t="shared" si="1"/>
        <v>0</v>
      </c>
      <c r="P17" s="94">
        <f t="shared" si="1"/>
        <v>0</v>
      </c>
      <c r="Q17" s="94">
        <f t="shared" si="1"/>
        <v>0</v>
      </c>
    </row>
    <row r="18" spans="2:17" x14ac:dyDescent="0.2">
      <c r="B18" s="90" t="str">
        <f>+'INV POIR PPERDIDAS'!B13</f>
        <v>MACROMEDIDORES</v>
      </c>
      <c r="C18" s="90">
        <f>+'INV POIR PPERDIDAS'!C13</f>
        <v>10</v>
      </c>
      <c r="D18" s="91">
        <f>+'INV POIR PPERDIDAS'!D13</f>
        <v>9</v>
      </c>
      <c r="E18" s="92">
        <f>+'INV POIR PPERDIDAS'!E13</f>
        <v>4549614.5737780603</v>
      </c>
      <c r="F18" s="93">
        <f>+VLOOKUP(C18,'INV POIR PPERDIDAS'!$C$4:$F$123,4,FALSE)</f>
        <v>23</v>
      </c>
      <c r="G18" s="94" t="str">
        <f t="shared" si="0"/>
        <v/>
      </c>
      <c r="H18" s="94">
        <f t="shared" si="1"/>
        <v>0</v>
      </c>
      <c r="I18" s="94">
        <f t="shared" si="1"/>
        <v>0</v>
      </c>
      <c r="J18" s="94">
        <f t="shared" si="1"/>
        <v>0</v>
      </c>
      <c r="K18" s="94">
        <f t="shared" si="1"/>
        <v>0</v>
      </c>
      <c r="L18" s="94">
        <f t="shared" si="1"/>
        <v>0</v>
      </c>
      <c r="M18" s="94">
        <f t="shared" si="1"/>
        <v>0</v>
      </c>
      <c r="N18" s="94">
        <f t="shared" si="1"/>
        <v>0</v>
      </c>
      <c r="O18" s="94">
        <f t="shared" si="1"/>
        <v>0</v>
      </c>
      <c r="P18" s="94">
        <f t="shared" si="1"/>
        <v>0</v>
      </c>
      <c r="Q18" s="94">
        <f t="shared" si="1"/>
        <v>197809.32929469828</v>
      </c>
    </row>
    <row r="19" spans="2:17" x14ac:dyDescent="0.2">
      <c r="B19" s="90" t="str">
        <f>+'INV POIR PPERDIDAS'!B14</f>
        <v>MACROMEDIDORES</v>
      </c>
      <c r="C19" s="90">
        <f>+'INV POIR PPERDIDAS'!C14</f>
        <v>11</v>
      </c>
      <c r="D19" s="91">
        <f>+'INV POIR PPERDIDAS'!D14</f>
        <v>10</v>
      </c>
      <c r="E19" s="92">
        <f>+'INV POIR PPERDIDAS'!E14</f>
        <v>0</v>
      </c>
      <c r="F19" s="93">
        <f>+VLOOKUP(C19,'INV POIR PPERDIDAS'!$C$4:$F$123,4,FALSE)</f>
        <v>23</v>
      </c>
      <c r="G19" s="94" t="str">
        <f t="shared" si="0"/>
        <v/>
      </c>
      <c r="H19" s="94">
        <f t="shared" ref="H19:Q28" si="2">+IF(H$8&lt;=$D19,0,IFERROR($E19/$F19,0))</f>
        <v>0</v>
      </c>
      <c r="I19" s="94">
        <f t="shared" si="2"/>
        <v>0</v>
      </c>
      <c r="J19" s="94">
        <f t="shared" si="2"/>
        <v>0</v>
      </c>
      <c r="K19" s="94">
        <f t="shared" si="2"/>
        <v>0</v>
      </c>
      <c r="L19" s="94">
        <f t="shared" si="2"/>
        <v>0</v>
      </c>
      <c r="M19" s="94">
        <f t="shared" si="2"/>
        <v>0</v>
      </c>
      <c r="N19" s="94">
        <f t="shared" si="2"/>
        <v>0</v>
      </c>
      <c r="O19" s="94">
        <f t="shared" si="2"/>
        <v>0</v>
      </c>
      <c r="P19" s="94">
        <f t="shared" si="2"/>
        <v>0</v>
      </c>
      <c r="Q19" s="94">
        <f t="shared" si="2"/>
        <v>0</v>
      </c>
    </row>
    <row r="20" spans="2:17" x14ac:dyDescent="0.2">
      <c r="B20" s="90" t="str">
        <f>+'INV POIR PPERDIDAS'!B15</f>
        <v>MACROMEDIDORES</v>
      </c>
      <c r="C20" s="90">
        <f>+'INV POIR PPERDIDAS'!C15</f>
        <v>12</v>
      </c>
      <c r="D20" s="91">
        <f>+'INV POIR PPERDIDAS'!D15</f>
        <v>0</v>
      </c>
      <c r="E20" s="92">
        <f>+'INV POIR PPERDIDAS'!E15</f>
        <v>0</v>
      </c>
      <c r="F20" s="93">
        <f>+VLOOKUP(C20,'INV POIR PPERDIDAS'!$C$4:$F$123,4,FALSE)</f>
        <v>23</v>
      </c>
      <c r="G20" s="94" t="str">
        <f t="shared" si="0"/>
        <v/>
      </c>
      <c r="H20" s="94">
        <f t="shared" si="2"/>
        <v>0</v>
      </c>
      <c r="I20" s="94">
        <f t="shared" si="2"/>
        <v>0</v>
      </c>
      <c r="J20" s="94">
        <f t="shared" si="2"/>
        <v>0</v>
      </c>
      <c r="K20" s="94">
        <f t="shared" si="2"/>
        <v>0</v>
      </c>
      <c r="L20" s="94">
        <f t="shared" si="2"/>
        <v>0</v>
      </c>
      <c r="M20" s="94">
        <f t="shared" si="2"/>
        <v>0</v>
      </c>
      <c r="N20" s="94">
        <f t="shared" si="2"/>
        <v>0</v>
      </c>
      <c r="O20" s="94">
        <f t="shared" si="2"/>
        <v>0</v>
      </c>
      <c r="P20" s="94">
        <f t="shared" si="2"/>
        <v>0</v>
      </c>
      <c r="Q20" s="94">
        <f t="shared" si="2"/>
        <v>0</v>
      </c>
    </row>
    <row r="21" spans="2:17" x14ac:dyDescent="0.2">
      <c r="B21" s="90" t="str">
        <f>+'INV POIR PPERDIDAS'!B16</f>
        <v>MACROMEDIDORES</v>
      </c>
      <c r="C21" s="90">
        <f>+'INV POIR PPERDIDAS'!C16</f>
        <v>13</v>
      </c>
      <c r="D21" s="91">
        <f>+'INV POIR PPERDIDAS'!D16</f>
        <v>1</v>
      </c>
      <c r="E21" s="92">
        <f>+'INV POIR PPERDIDAS'!E16</f>
        <v>290927089.32178879</v>
      </c>
      <c r="F21" s="93">
        <f>+VLOOKUP(C21,'INV POIR PPERDIDAS'!$C$4:$F$123,4,FALSE)</f>
        <v>23</v>
      </c>
      <c r="G21" s="94" t="str">
        <f t="shared" si="0"/>
        <v/>
      </c>
      <c r="H21" s="94">
        <f t="shared" si="2"/>
        <v>0</v>
      </c>
      <c r="I21" s="94">
        <f t="shared" si="2"/>
        <v>12649003.883556034</v>
      </c>
      <c r="J21" s="94">
        <f t="shared" si="2"/>
        <v>12649003.883556034</v>
      </c>
      <c r="K21" s="94">
        <f t="shared" si="2"/>
        <v>12649003.883556034</v>
      </c>
      <c r="L21" s="94">
        <f t="shared" si="2"/>
        <v>12649003.883556034</v>
      </c>
      <c r="M21" s="94">
        <f t="shared" si="2"/>
        <v>12649003.883556034</v>
      </c>
      <c r="N21" s="94">
        <f t="shared" si="2"/>
        <v>12649003.883556034</v>
      </c>
      <c r="O21" s="94">
        <f t="shared" si="2"/>
        <v>12649003.883556034</v>
      </c>
      <c r="P21" s="94">
        <f t="shared" si="2"/>
        <v>12649003.883556034</v>
      </c>
      <c r="Q21" s="94">
        <f t="shared" si="2"/>
        <v>12649003.883556034</v>
      </c>
    </row>
    <row r="22" spans="2:17" x14ac:dyDescent="0.2">
      <c r="B22" s="90" t="str">
        <f>+'INV POIR PPERDIDAS'!B17</f>
        <v>MACROMEDIDORES</v>
      </c>
      <c r="C22" s="90">
        <f>+'INV POIR PPERDIDAS'!C17</f>
        <v>14</v>
      </c>
      <c r="D22" s="91">
        <f>+'INV POIR PPERDIDAS'!D17</f>
        <v>2</v>
      </c>
      <c r="E22" s="92">
        <f>+'INV POIR PPERDIDAS'!E17</f>
        <v>424438265.6717186</v>
      </c>
      <c r="F22" s="93">
        <f>+VLOOKUP(C22,'INV POIR PPERDIDAS'!$C$4:$F$123,4,FALSE)</f>
        <v>23</v>
      </c>
      <c r="G22" s="94" t="str">
        <f t="shared" si="0"/>
        <v/>
      </c>
      <c r="H22" s="94">
        <f t="shared" si="2"/>
        <v>0</v>
      </c>
      <c r="I22" s="94">
        <f t="shared" si="2"/>
        <v>0</v>
      </c>
      <c r="J22" s="94">
        <f t="shared" si="2"/>
        <v>18453837.637900807</v>
      </c>
      <c r="K22" s="94">
        <f t="shared" si="2"/>
        <v>18453837.637900807</v>
      </c>
      <c r="L22" s="94">
        <f t="shared" si="2"/>
        <v>18453837.637900807</v>
      </c>
      <c r="M22" s="94">
        <f t="shared" si="2"/>
        <v>18453837.637900807</v>
      </c>
      <c r="N22" s="94">
        <f t="shared" si="2"/>
        <v>18453837.637900807</v>
      </c>
      <c r="O22" s="94">
        <f t="shared" si="2"/>
        <v>18453837.637900807</v>
      </c>
      <c r="P22" s="94">
        <f t="shared" si="2"/>
        <v>18453837.637900807</v>
      </c>
      <c r="Q22" s="94">
        <f t="shared" si="2"/>
        <v>18453837.637900807</v>
      </c>
    </row>
    <row r="23" spans="2:17" x14ac:dyDescent="0.2">
      <c r="B23" s="90" t="str">
        <f>+'INV POIR PPERDIDAS'!B18</f>
        <v>MACROMEDIDORES</v>
      </c>
      <c r="C23" s="90">
        <f>+'INV POIR PPERDIDAS'!C18</f>
        <v>15</v>
      </c>
      <c r="D23" s="91">
        <f>+'INV POIR PPERDIDAS'!D18</f>
        <v>3</v>
      </c>
      <c r="E23" s="92">
        <f>+'INV POIR PPERDIDAS'!E18</f>
        <v>342730027.12324625</v>
      </c>
      <c r="F23" s="93">
        <f>+VLOOKUP(C23,'INV POIR PPERDIDAS'!$C$4:$F$123,4,FALSE)</f>
        <v>23</v>
      </c>
      <c r="G23" s="94" t="str">
        <f t="shared" si="0"/>
        <v/>
      </c>
      <c r="H23" s="94">
        <f t="shared" si="2"/>
        <v>0</v>
      </c>
      <c r="I23" s="94">
        <f t="shared" si="2"/>
        <v>0</v>
      </c>
      <c r="J23" s="94">
        <f t="shared" si="2"/>
        <v>0</v>
      </c>
      <c r="K23" s="94">
        <f t="shared" si="2"/>
        <v>14901305.527097663</v>
      </c>
      <c r="L23" s="94">
        <f t="shared" si="2"/>
        <v>14901305.527097663</v>
      </c>
      <c r="M23" s="94">
        <f t="shared" si="2"/>
        <v>14901305.527097663</v>
      </c>
      <c r="N23" s="94">
        <f t="shared" si="2"/>
        <v>14901305.527097663</v>
      </c>
      <c r="O23" s="94">
        <f t="shared" si="2"/>
        <v>14901305.527097663</v>
      </c>
      <c r="P23" s="94">
        <f t="shared" si="2"/>
        <v>14901305.527097663</v>
      </c>
      <c r="Q23" s="94">
        <f t="shared" si="2"/>
        <v>14901305.527097663</v>
      </c>
    </row>
    <row r="24" spans="2:17" x14ac:dyDescent="0.2">
      <c r="B24" s="90" t="str">
        <f>+'INV POIR PPERDIDAS'!B19</f>
        <v>MACROMEDIDORES</v>
      </c>
      <c r="C24" s="90">
        <f>+'INV POIR PPERDIDAS'!C19</f>
        <v>16</v>
      </c>
      <c r="D24" s="91">
        <f>+'INV POIR PPERDIDAS'!D19</f>
        <v>4</v>
      </c>
      <c r="E24" s="92">
        <f>+'INV POIR PPERDIDAS'!E19</f>
        <v>587965242.50099516</v>
      </c>
      <c r="F24" s="93">
        <f>+VLOOKUP(C24,'INV POIR PPERDIDAS'!$C$4:$F$123,4,FALSE)</f>
        <v>23</v>
      </c>
      <c r="G24" s="94" t="str">
        <f t="shared" si="0"/>
        <v/>
      </c>
      <c r="H24" s="94">
        <f t="shared" si="2"/>
        <v>0</v>
      </c>
      <c r="I24" s="94">
        <f t="shared" si="2"/>
        <v>0</v>
      </c>
      <c r="J24" s="94">
        <f t="shared" si="2"/>
        <v>0</v>
      </c>
      <c r="K24" s="94">
        <f t="shared" si="2"/>
        <v>0</v>
      </c>
      <c r="L24" s="94">
        <f t="shared" si="2"/>
        <v>25563706.195695441</v>
      </c>
      <c r="M24" s="94">
        <f t="shared" si="2"/>
        <v>25563706.195695441</v>
      </c>
      <c r="N24" s="94">
        <f t="shared" si="2"/>
        <v>25563706.195695441</v>
      </c>
      <c r="O24" s="94">
        <f t="shared" si="2"/>
        <v>25563706.195695441</v>
      </c>
      <c r="P24" s="94">
        <f t="shared" si="2"/>
        <v>25563706.195695441</v>
      </c>
      <c r="Q24" s="94">
        <f t="shared" si="2"/>
        <v>25563706.195695441</v>
      </c>
    </row>
    <row r="25" spans="2:17" x14ac:dyDescent="0.2">
      <c r="B25" s="90" t="str">
        <f>+'INV POIR PPERDIDAS'!B20</f>
        <v>MACROMEDIDORES</v>
      </c>
      <c r="C25" s="90">
        <f>+'INV POIR PPERDIDAS'!C20</f>
        <v>17</v>
      </c>
      <c r="D25" s="91">
        <f>+'INV POIR PPERDIDAS'!D20</f>
        <v>5</v>
      </c>
      <c r="E25" s="92">
        <f>+'INV POIR PPERDIDAS'!E20</f>
        <v>162198079.49906781</v>
      </c>
      <c r="F25" s="93">
        <f>+VLOOKUP(C25,'INV POIR PPERDIDAS'!$C$4:$F$123,4,FALSE)</f>
        <v>23</v>
      </c>
      <c r="G25" s="94" t="str">
        <f t="shared" si="0"/>
        <v/>
      </c>
      <c r="H25" s="94">
        <f t="shared" si="2"/>
        <v>0</v>
      </c>
      <c r="I25" s="94">
        <f t="shared" si="2"/>
        <v>0</v>
      </c>
      <c r="J25" s="94">
        <f t="shared" si="2"/>
        <v>0</v>
      </c>
      <c r="K25" s="94">
        <f t="shared" si="2"/>
        <v>0</v>
      </c>
      <c r="L25" s="94">
        <f t="shared" si="2"/>
        <v>0</v>
      </c>
      <c r="M25" s="94">
        <f t="shared" si="2"/>
        <v>7052090.4130029483</v>
      </c>
      <c r="N25" s="94">
        <f t="shared" si="2"/>
        <v>7052090.4130029483</v>
      </c>
      <c r="O25" s="94">
        <f t="shared" si="2"/>
        <v>7052090.4130029483</v>
      </c>
      <c r="P25" s="94">
        <f t="shared" si="2"/>
        <v>7052090.4130029483</v>
      </c>
      <c r="Q25" s="94">
        <f t="shared" si="2"/>
        <v>7052090.4130029483</v>
      </c>
    </row>
    <row r="26" spans="2:17" x14ac:dyDescent="0.2">
      <c r="B26" s="90" t="str">
        <f>+'INV POIR PPERDIDAS'!B21</f>
        <v>MACROMEDIDORES</v>
      </c>
      <c r="C26" s="90">
        <f>+'INV POIR PPERDIDAS'!C21</f>
        <v>18</v>
      </c>
      <c r="D26" s="91">
        <f>+'INV POIR PPERDIDAS'!D21</f>
        <v>6</v>
      </c>
      <c r="E26" s="92">
        <f>+'INV POIR PPERDIDAS'!E21</f>
        <v>57444734.606563888</v>
      </c>
      <c r="F26" s="93">
        <f>+VLOOKUP(C26,'INV POIR PPERDIDAS'!$C$4:$F$123,4,FALSE)</f>
        <v>23</v>
      </c>
      <c r="G26" s="94" t="str">
        <f t="shared" si="0"/>
        <v/>
      </c>
      <c r="H26" s="94">
        <f t="shared" si="2"/>
        <v>0</v>
      </c>
      <c r="I26" s="94">
        <f t="shared" si="2"/>
        <v>0</v>
      </c>
      <c r="J26" s="94">
        <f t="shared" si="2"/>
        <v>0</v>
      </c>
      <c r="K26" s="94">
        <f t="shared" si="2"/>
        <v>0</v>
      </c>
      <c r="L26" s="94">
        <f t="shared" si="2"/>
        <v>0</v>
      </c>
      <c r="M26" s="94">
        <f t="shared" si="2"/>
        <v>0</v>
      </c>
      <c r="N26" s="94">
        <f t="shared" si="2"/>
        <v>2497597.1568071255</v>
      </c>
      <c r="O26" s="94">
        <f t="shared" si="2"/>
        <v>2497597.1568071255</v>
      </c>
      <c r="P26" s="94">
        <f t="shared" si="2"/>
        <v>2497597.1568071255</v>
      </c>
      <c r="Q26" s="94">
        <f t="shared" si="2"/>
        <v>2497597.1568071255</v>
      </c>
    </row>
    <row r="27" spans="2:17" x14ac:dyDescent="0.2">
      <c r="B27" s="90" t="str">
        <f>+'INV POIR PPERDIDAS'!B22</f>
        <v>MACROMEDIDORES</v>
      </c>
      <c r="C27" s="90">
        <f>+'INV POIR PPERDIDAS'!C22</f>
        <v>19</v>
      </c>
      <c r="D27" s="91">
        <f>+'INV POIR PPERDIDAS'!D22</f>
        <v>7</v>
      </c>
      <c r="E27" s="92">
        <f>+'INV POIR PPERDIDAS'!E22</f>
        <v>0</v>
      </c>
      <c r="F27" s="93">
        <f>+VLOOKUP(C27,'INV POIR PPERDIDAS'!$C$4:$F$123,4,FALSE)</f>
        <v>23</v>
      </c>
      <c r="G27" s="94" t="str">
        <f t="shared" si="0"/>
        <v/>
      </c>
      <c r="H27" s="94">
        <f t="shared" si="2"/>
        <v>0</v>
      </c>
      <c r="I27" s="94">
        <f t="shared" si="2"/>
        <v>0</v>
      </c>
      <c r="J27" s="94">
        <f t="shared" si="2"/>
        <v>0</v>
      </c>
      <c r="K27" s="94">
        <f t="shared" si="2"/>
        <v>0</v>
      </c>
      <c r="L27" s="94">
        <f t="shared" si="2"/>
        <v>0</v>
      </c>
      <c r="M27" s="94">
        <f t="shared" si="2"/>
        <v>0</v>
      </c>
      <c r="N27" s="94">
        <f t="shared" si="2"/>
        <v>0</v>
      </c>
      <c r="O27" s="94">
        <f t="shared" si="2"/>
        <v>0</v>
      </c>
      <c r="P27" s="94">
        <f t="shared" si="2"/>
        <v>0</v>
      </c>
      <c r="Q27" s="94">
        <f t="shared" si="2"/>
        <v>0</v>
      </c>
    </row>
    <row r="28" spans="2:17" x14ac:dyDescent="0.2">
      <c r="B28" s="90" t="str">
        <f>+'INV POIR PPERDIDAS'!B23</f>
        <v>MACROMEDIDORES</v>
      </c>
      <c r="C28" s="90">
        <f>+'INV POIR PPERDIDAS'!C23</f>
        <v>20</v>
      </c>
      <c r="D28" s="91">
        <f>+'INV POIR PPERDIDAS'!D23</f>
        <v>8</v>
      </c>
      <c r="E28" s="92">
        <f>+'INV POIR PPERDIDAS'!E23</f>
        <v>0</v>
      </c>
      <c r="F28" s="93">
        <f>+VLOOKUP(C28,'INV POIR PPERDIDAS'!$C$4:$F$123,4,FALSE)</f>
        <v>23</v>
      </c>
      <c r="G28" s="94" t="str">
        <f t="shared" si="0"/>
        <v/>
      </c>
      <c r="H28" s="94">
        <f t="shared" si="2"/>
        <v>0</v>
      </c>
      <c r="I28" s="94">
        <f t="shared" si="2"/>
        <v>0</v>
      </c>
      <c r="J28" s="94">
        <f t="shared" si="2"/>
        <v>0</v>
      </c>
      <c r="K28" s="94">
        <f t="shared" si="2"/>
        <v>0</v>
      </c>
      <c r="L28" s="94">
        <f t="shared" si="2"/>
        <v>0</v>
      </c>
      <c r="M28" s="94">
        <f t="shared" si="2"/>
        <v>0</v>
      </c>
      <c r="N28" s="94">
        <f t="shared" si="2"/>
        <v>0</v>
      </c>
      <c r="O28" s="94">
        <f t="shared" si="2"/>
        <v>0</v>
      </c>
      <c r="P28" s="94">
        <f t="shared" si="2"/>
        <v>0</v>
      </c>
      <c r="Q28" s="94">
        <f t="shared" si="2"/>
        <v>0</v>
      </c>
    </row>
    <row r="29" spans="2:17" x14ac:dyDescent="0.2">
      <c r="B29" s="90" t="str">
        <f>+'INV POIR PPERDIDAS'!B24</f>
        <v>MACROMEDIDORES</v>
      </c>
      <c r="C29" s="90">
        <f>+'INV POIR PPERDIDAS'!C24</f>
        <v>21</v>
      </c>
      <c r="D29" s="91">
        <f>+'INV POIR PPERDIDAS'!D24</f>
        <v>9</v>
      </c>
      <c r="E29" s="92">
        <f>+'INV POIR PPERDIDAS'!E24</f>
        <v>0</v>
      </c>
      <c r="F29" s="93">
        <f>+VLOOKUP(C29,'INV POIR PPERDIDAS'!$C$4:$F$123,4,FALSE)</f>
        <v>23</v>
      </c>
      <c r="G29" s="94" t="str">
        <f t="shared" si="0"/>
        <v/>
      </c>
      <c r="H29" s="94">
        <f t="shared" ref="H29:Q38" si="3">+IF(H$8&lt;=$D29,0,IFERROR($E29/$F29,0))</f>
        <v>0</v>
      </c>
      <c r="I29" s="94">
        <f t="shared" si="3"/>
        <v>0</v>
      </c>
      <c r="J29" s="94">
        <f t="shared" si="3"/>
        <v>0</v>
      </c>
      <c r="K29" s="94">
        <f t="shared" si="3"/>
        <v>0</v>
      </c>
      <c r="L29" s="94">
        <f t="shared" si="3"/>
        <v>0</v>
      </c>
      <c r="M29" s="94">
        <f t="shared" si="3"/>
        <v>0</v>
      </c>
      <c r="N29" s="94">
        <f t="shared" si="3"/>
        <v>0</v>
      </c>
      <c r="O29" s="94">
        <f t="shared" si="3"/>
        <v>0</v>
      </c>
      <c r="P29" s="94">
        <f t="shared" si="3"/>
        <v>0</v>
      </c>
      <c r="Q29" s="94">
        <f t="shared" si="3"/>
        <v>0</v>
      </c>
    </row>
    <row r="30" spans="2:17" x14ac:dyDescent="0.2">
      <c r="B30" s="90" t="str">
        <f>+'INV POIR PPERDIDAS'!B25</f>
        <v>MACROMEDIDORES</v>
      </c>
      <c r="C30" s="90">
        <f>+'INV POIR PPERDIDAS'!C25</f>
        <v>22</v>
      </c>
      <c r="D30" s="91">
        <f>+'INV POIR PPERDIDAS'!D25</f>
        <v>10</v>
      </c>
      <c r="E30" s="92">
        <f>+'INV POIR PPERDIDAS'!E25</f>
        <v>0</v>
      </c>
      <c r="F30" s="93">
        <f>+VLOOKUP(C30,'INV POIR PPERDIDAS'!$C$4:$F$123,4,FALSE)</f>
        <v>23</v>
      </c>
      <c r="G30" s="94" t="str">
        <f t="shared" si="0"/>
        <v/>
      </c>
      <c r="H30" s="94">
        <f t="shared" si="3"/>
        <v>0</v>
      </c>
      <c r="I30" s="94">
        <f t="shared" si="3"/>
        <v>0</v>
      </c>
      <c r="J30" s="94">
        <f t="shared" si="3"/>
        <v>0</v>
      </c>
      <c r="K30" s="94">
        <f t="shared" si="3"/>
        <v>0</v>
      </c>
      <c r="L30" s="94">
        <f t="shared" si="3"/>
        <v>0</v>
      </c>
      <c r="M30" s="94">
        <f t="shared" si="3"/>
        <v>0</v>
      </c>
      <c r="N30" s="94">
        <f t="shared" si="3"/>
        <v>0</v>
      </c>
      <c r="O30" s="94">
        <f t="shared" si="3"/>
        <v>0</v>
      </c>
      <c r="P30" s="94">
        <f t="shared" si="3"/>
        <v>0</v>
      </c>
      <c r="Q30" s="94">
        <f t="shared" si="3"/>
        <v>0</v>
      </c>
    </row>
    <row r="31" spans="2:17" x14ac:dyDescent="0.2">
      <c r="B31" s="90" t="str">
        <f>+'INV POIR PPERDIDAS'!B26</f>
        <v>ESTACIONES REDUCTORAS DE PRESIÓN</v>
      </c>
      <c r="C31" s="90">
        <f>+'INV POIR PPERDIDAS'!C26</f>
        <v>23</v>
      </c>
      <c r="D31" s="91">
        <f>+'INV POIR PPERDIDAS'!D26</f>
        <v>0</v>
      </c>
      <c r="E31" s="92">
        <f>+'INV POIR PPERDIDAS'!E26</f>
        <v>0</v>
      </c>
      <c r="F31" s="93">
        <f>+VLOOKUP(C31,'INV POIR PPERDIDAS'!$C$4:$F$123,4,FALSE)</f>
        <v>35</v>
      </c>
      <c r="G31" s="94" t="str">
        <f t="shared" si="0"/>
        <v/>
      </c>
      <c r="H31" s="94">
        <f t="shared" si="3"/>
        <v>0</v>
      </c>
      <c r="I31" s="94">
        <f t="shared" si="3"/>
        <v>0</v>
      </c>
      <c r="J31" s="94">
        <f t="shared" si="3"/>
        <v>0</v>
      </c>
      <c r="K31" s="94">
        <f t="shared" si="3"/>
        <v>0</v>
      </c>
      <c r="L31" s="94">
        <f t="shared" si="3"/>
        <v>0</v>
      </c>
      <c r="M31" s="94">
        <f t="shared" si="3"/>
        <v>0</v>
      </c>
      <c r="N31" s="94">
        <f t="shared" si="3"/>
        <v>0</v>
      </c>
      <c r="O31" s="94">
        <f t="shared" si="3"/>
        <v>0</v>
      </c>
      <c r="P31" s="94">
        <f t="shared" si="3"/>
        <v>0</v>
      </c>
      <c r="Q31" s="94">
        <f t="shared" si="3"/>
        <v>0</v>
      </c>
    </row>
    <row r="32" spans="2:17" x14ac:dyDescent="0.2">
      <c r="B32" s="90" t="str">
        <f>+'INV POIR PPERDIDAS'!B27</f>
        <v>ESTACIONES REDUCTORAS DE PRESIÓN</v>
      </c>
      <c r="C32" s="90">
        <f>+'INV POIR PPERDIDAS'!C27</f>
        <v>24</v>
      </c>
      <c r="D32" s="91">
        <f>+'INV POIR PPERDIDAS'!D27</f>
        <v>1</v>
      </c>
      <c r="E32" s="92">
        <f>+'INV POIR PPERDIDAS'!E27</f>
        <v>457899884.58817512</v>
      </c>
      <c r="F32" s="93">
        <f>+VLOOKUP(C32,'INV POIR PPERDIDAS'!$C$4:$F$123,4,FALSE)</f>
        <v>35</v>
      </c>
      <c r="G32" s="94" t="str">
        <f t="shared" si="0"/>
        <v/>
      </c>
      <c r="H32" s="94">
        <f t="shared" si="3"/>
        <v>0</v>
      </c>
      <c r="I32" s="94">
        <f t="shared" si="3"/>
        <v>13082853.845376432</v>
      </c>
      <c r="J32" s="94">
        <f t="shared" si="3"/>
        <v>13082853.845376432</v>
      </c>
      <c r="K32" s="94">
        <f t="shared" si="3"/>
        <v>13082853.845376432</v>
      </c>
      <c r="L32" s="94">
        <f t="shared" si="3"/>
        <v>13082853.845376432</v>
      </c>
      <c r="M32" s="94">
        <f t="shared" si="3"/>
        <v>13082853.845376432</v>
      </c>
      <c r="N32" s="94">
        <f t="shared" si="3"/>
        <v>13082853.845376432</v>
      </c>
      <c r="O32" s="94">
        <f t="shared" si="3"/>
        <v>13082853.845376432</v>
      </c>
      <c r="P32" s="94">
        <f t="shared" si="3"/>
        <v>13082853.845376432</v>
      </c>
      <c r="Q32" s="94">
        <f t="shared" si="3"/>
        <v>13082853.845376432</v>
      </c>
    </row>
    <row r="33" spans="2:17" x14ac:dyDescent="0.2">
      <c r="B33" s="90" t="str">
        <f>+'INV POIR PPERDIDAS'!B28</f>
        <v>ESTACIONES REDUCTORAS DE PRESIÓN</v>
      </c>
      <c r="C33" s="90">
        <f>+'INV POIR PPERDIDAS'!C28</f>
        <v>25</v>
      </c>
      <c r="D33" s="91">
        <f>+'INV POIR PPERDIDAS'!D28</f>
        <v>2</v>
      </c>
      <c r="E33" s="92">
        <f>+'INV POIR PPERDIDAS'!E28</f>
        <v>501620585.24212873</v>
      </c>
      <c r="F33" s="93">
        <f>+VLOOKUP(C33,'INV POIR PPERDIDAS'!$C$4:$F$123,4,FALSE)</f>
        <v>35</v>
      </c>
      <c r="G33" s="94" t="str">
        <f t="shared" si="0"/>
        <v/>
      </c>
      <c r="H33" s="94">
        <f t="shared" si="3"/>
        <v>0</v>
      </c>
      <c r="I33" s="94">
        <f t="shared" si="3"/>
        <v>0</v>
      </c>
      <c r="J33" s="94">
        <f t="shared" si="3"/>
        <v>14332016.721203677</v>
      </c>
      <c r="K33" s="94">
        <f t="shared" si="3"/>
        <v>14332016.721203677</v>
      </c>
      <c r="L33" s="94">
        <f t="shared" si="3"/>
        <v>14332016.721203677</v>
      </c>
      <c r="M33" s="94">
        <f t="shared" si="3"/>
        <v>14332016.721203677</v>
      </c>
      <c r="N33" s="94">
        <f t="shared" si="3"/>
        <v>14332016.721203677</v>
      </c>
      <c r="O33" s="94">
        <f t="shared" si="3"/>
        <v>14332016.721203677</v>
      </c>
      <c r="P33" s="94">
        <f t="shared" si="3"/>
        <v>14332016.721203677</v>
      </c>
      <c r="Q33" s="94">
        <f t="shared" si="3"/>
        <v>14332016.721203677</v>
      </c>
    </row>
    <row r="34" spans="2:17" x14ac:dyDescent="0.2">
      <c r="B34" s="90" t="str">
        <f>+'INV POIR PPERDIDAS'!B29</f>
        <v>ESTACIONES REDUCTORAS DE PRESIÓN</v>
      </c>
      <c r="C34" s="90">
        <f>+'INV POIR PPERDIDAS'!C29</f>
        <v>26</v>
      </c>
      <c r="D34" s="91">
        <f>+'INV POIR PPERDIDAS'!D29</f>
        <v>3</v>
      </c>
      <c r="E34" s="92">
        <f>+'INV POIR PPERDIDAS'!E29</f>
        <v>338636003.59959525</v>
      </c>
      <c r="F34" s="93">
        <f>+VLOOKUP(C34,'INV POIR PPERDIDAS'!$C$4:$F$123,4,FALSE)</f>
        <v>35</v>
      </c>
      <c r="G34" s="94" t="str">
        <f t="shared" si="0"/>
        <v/>
      </c>
      <c r="H34" s="94">
        <f t="shared" si="3"/>
        <v>0</v>
      </c>
      <c r="I34" s="94">
        <f t="shared" si="3"/>
        <v>0</v>
      </c>
      <c r="J34" s="94">
        <f t="shared" si="3"/>
        <v>0</v>
      </c>
      <c r="K34" s="94">
        <f t="shared" si="3"/>
        <v>9675314.3885598648</v>
      </c>
      <c r="L34" s="94">
        <f t="shared" si="3"/>
        <v>9675314.3885598648</v>
      </c>
      <c r="M34" s="94">
        <f t="shared" si="3"/>
        <v>9675314.3885598648</v>
      </c>
      <c r="N34" s="94">
        <f t="shared" si="3"/>
        <v>9675314.3885598648</v>
      </c>
      <c r="O34" s="94">
        <f t="shared" si="3"/>
        <v>9675314.3885598648</v>
      </c>
      <c r="P34" s="94">
        <f t="shared" si="3"/>
        <v>9675314.3885598648</v>
      </c>
      <c r="Q34" s="94">
        <f t="shared" si="3"/>
        <v>9675314.3885598648</v>
      </c>
    </row>
    <row r="35" spans="2:17" x14ac:dyDescent="0.2">
      <c r="B35" s="90" t="str">
        <f>+'INV POIR PPERDIDAS'!B30</f>
        <v>ESTACIONES REDUCTORAS DE PRESIÓN</v>
      </c>
      <c r="C35" s="90">
        <f>+'INV POIR PPERDIDAS'!C30</f>
        <v>27</v>
      </c>
      <c r="D35" s="91">
        <f>+'INV POIR PPERDIDAS'!D30</f>
        <v>4</v>
      </c>
      <c r="E35" s="92">
        <f>+'INV POIR PPERDIDAS'!E30</f>
        <v>42948911.034252018</v>
      </c>
      <c r="F35" s="93">
        <f>+VLOOKUP(C35,'INV POIR PPERDIDAS'!$C$4:$F$123,4,FALSE)</f>
        <v>35</v>
      </c>
      <c r="G35" s="94" t="str">
        <f t="shared" si="0"/>
        <v/>
      </c>
      <c r="H35" s="94">
        <f t="shared" si="3"/>
        <v>0</v>
      </c>
      <c r="I35" s="94">
        <f t="shared" si="3"/>
        <v>0</v>
      </c>
      <c r="J35" s="94">
        <f t="shared" si="3"/>
        <v>0</v>
      </c>
      <c r="K35" s="94">
        <f t="shared" si="3"/>
        <v>0</v>
      </c>
      <c r="L35" s="94">
        <f t="shared" si="3"/>
        <v>1227111.7438357719</v>
      </c>
      <c r="M35" s="94">
        <f t="shared" si="3"/>
        <v>1227111.7438357719</v>
      </c>
      <c r="N35" s="94">
        <f t="shared" si="3"/>
        <v>1227111.7438357719</v>
      </c>
      <c r="O35" s="94">
        <f t="shared" si="3"/>
        <v>1227111.7438357719</v>
      </c>
      <c r="P35" s="94">
        <f t="shared" si="3"/>
        <v>1227111.7438357719</v>
      </c>
      <c r="Q35" s="94">
        <f t="shared" si="3"/>
        <v>1227111.7438357719</v>
      </c>
    </row>
    <row r="36" spans="2:17" x14ac:dyDescent="0.2">
      <c r="B36" s="90" t="str">
        <f>+'INV POIR PPERDIDAS'!B31</f>
        <v>ESTACIONES REDUCTORAS DE PRESIÓN</v>
      </c>
      <c r="C36" s="90">
        <f>+'INV POIR PPERDIDAS'!C31</f>
        <v>28</v>
      </c>
      <c r="D36" s="91">
        <f>+'INV POIR PPERDIDAS'!D31</f>
        <v>5</v>
      </c>
      <c r="E36" s="92">
        <f>+'INV POIR PPERDIDAS'!E31</f>
        <v>49309651.718624085</v>
      </c>
      <c r="F36" s="93">
        <f>+VLOOKUP(C36,'INV POIR PPERDIDAS'!$C$4:$F$123,4,FALSE)</f>
        <v>35</v>
      </c>
      <c r="G36" s="94" t="str">
        <f t="shared" si="0"/>
        <v/>
      </c>
      <c r="H36" s="94">
        <f t="shared" si="3"/>
        <v>0</v>
      </c>
      <c r="I36" s="94">
        <f t="shared" si="3"/>
        <v>0</v>
      </c>
      <c r="J36" s="94">
        <f t="shared" si="3"/>
        <v>0</v>
      </c>
      <c r="K36" s="94">
        <f t="shared" si="3"/>
        <v>0</v>
      </c>
      <c r="L36" s="94">
        <f t="shared" si="3"/>
        <v>0</v>
      </c>
      <c r="M36" s="94">
        <f t="shared" si="3"/>
        <v>1408847.1919606882</v>
      </c>
      <c r="N36" s="94">
        <f t="shared" si="3"/>
        <v>1408847.1919606882</v>
      </c>
      <c r="O36" s="94">
        <f t="shared" si="3"/>
        <v>1408847.1919606882</v>
      </c>
      <c r="P36" s="94">
        <f t="shared" si="3"/>
        <v>1408847.1919606882</v>
      </c>
      <c r="Q36" s="94">
        <f t="shared" si="3"/>
        <v>1408847.1919606882</v>
      </c>
    </row>
    <row r="37" spans="2:17" x14ac:dyDescent="0.2">
      <c r="B37" s="90" t="str">
        <f>+'INV POIR PPERDIDAS'!B32</f>
        <v>ESTACIONES REDUCTORAS DE PRESIÓN</v>
      </c>
      <c r="C37" s="90">
        <f>+'INV POIR PPERDIDAS'!C32</f>
        <v>29</v>
      </c>
      <c r="D37" s="91">
        <f>+'INV POIR PPERDIDAS'!D32</f>
        <v>6</v>
      </c>
      <c r="E37" s="92">
        <f>+'INV POIR PPERDIDAS'!E32</f>
        <v>0</v>
      </c>
      <c r="F37" s="93">
        <f>+VLOOKUP(C37,'INV POIR PPERDIDAS'!$C$4:$F$123,4,FALSE)</f>
        <v>35</v>
      </c>
      <c r="G37" s="94" t="str">
        <f t="shared" si="0"/>
        <v/>
      </c>
      <c r="H37" s="94">
        <f t="shared" si="3"/>
        <v>0</v>
      </c>
      <c r="I37" s="94">
        <f t="shared" si="3"/>
        <v>0</v>
      </c>
      <c r="J37" s="94">
        <f t="shared" si="3"/>
        <v>0</v>
      </c>
      <c r="K37" s="94">
        <f t="shared" si="3"/>
        <v>0</v>
      </c>
      <c r="L37" s="94">
        <f t="shared" si="3"/>
        <v>0</v>
      </c>
      <c r="M37" s="94">
        <f t="shared" si="3"/>
        <v>0</v>
      </c>
      <c r="N37" s="94">
        <f t="shared" si="3"/>
        <v>0</v>
      </c>
      <c r="O37" s="94">
        <f t="shared" si="3"/>
        <v>0</v>
      </c>
      <c r="P37" s="94">
        <f t="shared" si="3"/>
        <v>0</v>
      </c>
      <c r="Q37" s="94">
        <f t="shared" si="3"/>
        <v>0</v>
      </c>
    </row>
    <row r="38" spans="2:17" x14ac:dyDescent="0.2">
      <c r="B38" s="90" t="str">
        <f>+'INV POIR PPERDIDAS'!B33</f>
        <v>ESTACIONES REDUCTORAS DE PRESIÓN</v>
      </c>
      <c r="C38" s="90">
        <f>+'INV POIR PPERDIDAS'!C33</f>
        <v>30</v>
      </c>
      <c r="D38" s="91">
        <f>+'INV POIR PPERDIDAS'!D33</f>
        <v>7</v>
      </c>
      <c r="E38" s="92">
        <f>+'INV POIR PPERDIDAS'!E33</f>
        <v>0</v>
      </c>
      <c r="F38" s="93">
        <f>+VLOOKUP(C38,'INV POIR PPERDIDAS'!$C$4:$F$123,4,FALSE)</f>
        <v>35</v>
      </c>
      <c r="G38" s="94" t="str">
        <f t="shared" si="0"/>
        <v/>
      </c>
      <c r="H38" s="94">
        <f t="shared" si="3"/>
        <v>0</v>
      </c>
      <c r="I38" s="94">
        <f t="shared" si="3"/>
        <v>0</v>
      </c>
      <c r="J38" s="94">
        <f t="shared" si="3"/>
        <v>0</v>
      </c>
      <c r="K38" s="94">
        <f t="shared" si="3"/>
        <v>0</v>
      </c>
      <c r="L38" s="94">
        <f t="shared" si="3"/>
        <v>0</v>
      </c>
      <c r="M38" s="94">
        <f t="shared" si="3"/>
        <v>0</v>
      </c>
      <c r="N38" s="94">
        <f t="shared" si="3"/>
        <v>0</v>
      </c>
      <c r="O38" s="94">
        <f t="shared" si="3"/>
        <v>0</v>
      </c>
      <c r="P38" s="94">
        <f t="shared" si="3"/>
        <v>0</v>
      </c>
      <c r="Q38" s="94">
        <f t="shared" si="3"/>
        <v>0</v>
      </c>
    </row>
    <row r="39" spans="2:17" x14ac:dyDescent="0.2">
      <c r="B39" s="90" t="str">
        <f>+'INV POIR PPERDIDAS'!B34</f>
        <v>ESTACIONES REDUCTORAS DE PRESIÓN</v>
      </c>
      <c r="C39" s="90">
        <f>+'INV POIR PPERDIDAS'!C34</f>
        <v>31</v>
      </c>
      <c r="D39" s="91">
        <f>+'INV POIR PPERDIDAS'!D34</f>
        <v>8</v>
      </c>
      <c r="E39" s="92">
        <f>+'INV POIR PPERDIDAS'!E34</f>
        <v>0</v>
      </c>
      <c r="F39" s="93">
        <f>+VLOOKUP(C39,'INV POIR PPERDIDAS'!$C$4:$F$123,4,FALSE)</f>
        <v>35</v>
      </c>
      <c r="G39" s="94" t="str">
        <f t="shared" si="0"/>
        <v/>
      </c>
      <c r="H39" s="94">
        <f t="shared" ref="H39:Q48" si="4">+IF(H$8&lt;=$D39,0,IFERROR($E39/$F39,0))</f>
        <v>0</v>
      </c>
      <c r="I39" s="94">
        <f t="shared" si="4"/>
        <v>0</v>
      </c>
      <c r="J39" s="94">
        <f t="shared" si="4"/>
        <v>0</v>
      </c>
      <c r="K39" s="94">
        <f t="shared" si="4"/>
        <v>0</v>
      </c>
      <c r="L39" s="94">
        <f t="shared" si="4"/>
        <v>0</v>
      </c>
      <c r="M39" s="94">
        <f t="shared" si="4"/>
        <v>0</v>
      </c>
      <c r="N39" s="94">
        <f t="shared" si="4"/>
        <v>0</v>
      </c>
      <c r="O39" s="94">
        <f t="shared" si="4"/>
        <v>0</v>
      </c>
      <c r="P39" s="94">
        <f t="shared" si="4"/>
        <v>0</v>
      </c>
      <c r="Q39" s="94">
        <f t="shared" si="4"/>
        <v>0</v>
      </c>
    </row>
    <row r="40" spans="2:17" x14ac:dyDescent="0.2">
      <c r="B40" s="90" t="str">
        <f>+'INV POIR PPERDIDAS'!B35</f>
        <v>ESTACIONES REDUCTORAS DE PRESIÓN</v>
      </c>
      <c r="C40" s="90">
        <f>+'INV POIR PPERDIDAS'!C35</f>
        <v>32</v>
      </c>
      <c r="D40" s="91">
        <f>+'INV POIR PPERDIDAS'!D35</f>
        <v>9</v>
      </c>
      <c r="E40" s="92">
        <f>+'INV POIR PPERDIDAS'!E35</f>
        <v>0</v>
      </c>
      <c r="F40" s="93">
        <f>+VLOOKUP(C40,'INV POIR PPERDIDAS'!$C$4:$F$123,4,FALSE)</f>
        <v>35</v>
      </c>
      <c r="G40" s="94" t="str">
        <f t="shared" si="0"/>
        <v/>
      </c>
      <c r="H40" s="94">
        <f t="shared" si="4"/>
        <v>0</v>
      </c>
      <c r="I40" s="94">
        <f t="shared" si="4"/>
        <v>0</v>
      </c>
      <c r="J40" s="94">
        <f t="shared" si="4"/>
        <v>0</v>
      </c>
      <c r="K40" s="94">
        <f t="shared" si="4"/>
        <v>0</v>
      </c>
      <c r="L40" s="94">
        <f t="shared" si="4"/>
        <v>0</v>
      </c>
      <c r="M40" s="94">
        <f t="shared" si="4"/>
        <v>0</v>
      </c>
      <c r="N40" s="94">
        <f t="shared" si="4"/>
        <v>0</v>
      </c>
      <c r="O40" s="94">
        <f t="shared" si="4"/>
        <v>0</v>
      </c>
      <c r="P40" s="94">
        <f t="shared" si="4"/>
        <v>0</v>
      </c>
      <c r="Q40" s="94">
        <f t="shared" si="4"/>
        <v>0</v>
      </c>
    </row>
    <row r="41" spans="2:17" x14ac:dyDescent="0.2">
      <c r="B41" s="90" t="str">
        <f>+'INV POIR PPERDIDAS'!B36</f>
        <v>ESTACIONES REDUCTORAS DE PRESIÓN</v>
      </c>
      <c r="C41" s="90">
        <f>+'INV POIR PPERDIDAS'!C36</f>
        <v>33</v>
      </c>
      <c r="D41" s="91">
        <f>+'INV POIR PPERDIDAS'!D36</f>
        <v>10</v>
      </c>
      <c r="E41" s="92">
        <f>+'INV POIR PPERDIDAS'!E36</f>
        <v>0</v>
      </c>
      <c r="F41" s="93">
        <f>+VLOOKUP(C41,'INV POIR PPERDIDAS'!$C$4:$F$123,4,FALSE)</f>
        <v>35</v>
      </c>
      <c r="G41" s="94" t="str">
        <f t="shared" ref="G41:G72" si="5">+IF(G$8&lt;=$D41,"",IFERROR($E41/$F41,0))</f>
        <v/>
      </c>
      <c r="H41" s="94">
        <f t="shared" si="4"/>
        <v>0</v>
      </c>
      <c r="I41" s="94">
        <f t="shared" si="4"/>
        <v>0</v>
      </c>
      <c r="J41" s="94">
        <f t="shared" si="4"/>
        <v>0</v>
      </c>
      <c r="K41" s="94">
        <f t="shared" si="4"/>
        <v>0</v>
      </c>
      <c r="L41" s="94">
        <f t="shared" si="4"/>
        <v>0</v>
      </c>
      <c r="M41" s="94">
        <f t="shared" si="4"/>
        <v>0</v>
      </c>
      <c r="N41" s="94">
        <f t="shared" si="4"/>
        <v>0</v>
      </c>
      <c r="O41" s="94">
        <f t="shared" si="4"/>
        <v>0</v>
      </c>
      <c r="P41" s="94">
        <f t="shared" si="4"/>
        <v>0</v>
      </c>
      <c r="Q41" s="94">
        <f t="shared" si="4"/>
        <v>0</v>
      </c>
    </row>
    <row r="42" spans="2:17" x14ac:dyDescent="0.2">
      <c r="B42" s="90" t="str">
        <f>+'INV POIR PPERDIDAS'!B37</f>
        <v>REHABILITACIÓN TANQUES</v>
      </c>
      <c r="C42" s="90">
        <f>+'INV POIR PPERDIDAS'!C37</f>
        <v>34</v>
      </c>
      <c r="D42" s="91">
        <f>+'INV POIR PPERDIDAS'!D37</f>
        <v>0</v>
      </c>
      <c r="E42" s="92">
        <f>+'INV POIR PPERDIDAS'!E37</f>
        <v>0</v>
      </c>
      <c r="F42" s="93">
        <f>+VLOOKUP(C42,'INV POIR PPERDIDAS'!$C$4:$F$123,4,FALSE)</f>
        <v>45</v>
      </c>
      <c r="G42" s="94" t="str">
        <f t="shared" si="5"/>
        <v/>
      </c>
      <c r="H42" s="94">
        <f t="shared" si="4"/>
        <v>0</v>
      </c>
      <c r="I42" s="94">
        <f t="shared" si="4"/>
        <v>0</v>
      </c>
      <c r="J42" s="94">
        <f t="shared" si="4"/>
        <v>0</v>
      </c>
      <c r="K42" s="94">
        <f t="shared" si="4"/>
        <v>0</v>
      </c>
      <c r="L42" s="94">
        <f t="shared" si="4"/>
        <v>0</v>
      </c>
      <c r="M42" s="94">
        <f t="shared" si="4"/>
        <v>0</v>
      </c>
      <c r="N42" s="94">
        <f t="shared" si="4"/>
        <v>0</v>
      </c>
      <c r="O42" s="94">
        <f t="shared" si="4"/>
        <v>0</v>
      </c>
      <c r="P42" s="94">
        <f t="shared" si="4"/>
        <v>0</v>
      </c>
      <c r="Q42" s="94">
        <f t="shared" si="4"/>
        <v>0</v>
      </c>
    </row>
    <row r="43" spans="2:17" x14ac:dyDescent="0.2">
      <c r="B43" s="90" t="str">
        <f>+'INV POIR PPERDIDAS'!B38</f>
        <v>REHABILITACIÓN TANQUES</v>
      </c>
      <c r="C43" s="90">
        <f>+'INV POIR PPERDIDAS'!C38</f>
        <v>35</v>
      </c>
      <c r="D43" s="91">
        <f>+'INV POIR PPERDIDAS'!D38</f>
        <v>1</v>
      </c>
      <c r="E43" s="92">
        <f>+'INV POIR PPERDIDAS'!E38</f>
        <v>3694767.6620469596</v>
      </c>
      <c r="F43" s="93">
        <f>+VLOOKUP(C43,'INV POIR PPERDIDAS'!$C$4:$F$123,4,FALSE)</f>
        <v>45</v>
      </c>
      <c r="G43" s="94" t="str">
        <f t="shared" si="5"/>
        <v/>
      </c>
      <c r="H43" s="94">
        <f t="shared" si="4"/>
        <v>0</v>
      </c>
      <c r="I43" s="94">
        <f t="shared" si="4"/>
        <v>82105.948045487996</v>
      </c>
      <c r="J43" s="94">
        <f t="shared" si="4"/>
        <v>82105.948045487996</v>
      </c>
      <c r="K43" s="94">
        <f t="shared" si="4"/>
        <v>82105.948045487996</v>
      </c>
      <c r="L43" s="94">
        <f t="shared" si="4"/>
        <v>82105.948045487996</v>
      </c>
      <c r="M43" s="94">
        <f t="shared" si="4"/>
        <v>82105.948045487996</v>
      </c>
      <c r="N43" s="94">
        <f t="shared" si="4"/>
        <v>82105.948045487996</v>
      </c>
      <c r="O43" s="94">
        <f t="shared" si="4"/>
        <v>82105.948045487996</v>
      </c>
      <c r="P43" s="94">
        <f t="shared" si="4"/>
        <v>82105.948045487996</v>
      </c>
      <c r="Q43" s="94">
        <f t="shared" si="4"/>
        <v>82105.948045487996</v>
      </c>
    </row>
    <row r="44" spans="2:17" x14ac:dyDescent="0.2">
      <c r="B44" s="90" t="str">
        <f>+'INV POIR PPERDIDAS'!B39</f>
        <v>REHABILITACIÓN TANQUES</v>
      </c>
      <c r="C44" s="90">
        <f>+'INV POIR PPERDIDAS'!C39</f>
        <v>36</v>
      </c>
      <c r="D44" s="91">
        <f>+'INV POIR PPERDIDAS'!D39</f>
        <v>2</v>
      </c>
      <c r="E44" s="92">
        <f>+'INV POIR PPERDIDAS'!E39</f>
        <v>23580680.525948294</v>
      </c>
      <c r="F44" s="93">
        <f>+VLOOKUP(C44,'INV POIR PPERDIDAS'!$C$4:$F$123,4,FALSE)</f>
        <v>45</v>
      </c>
      <c r="G44" s="94" t="str">
        <f t="shared" si="5"/>
        <v/>
      </c>
      <c r="H44" s="94">
        <f t="shared" si="4"/>
        <v>0</v>
      </c>
      <c r="I44" s="94">
        <f t="shared" si="4"/>
        <v>0</v>
      </c>
      <c r="J44" s="94">
        <f t="shared" si="4"/>
        <v>524015.12279885099</v>
      </c>
      <c r="K44" s="94">
        <f t="shared" si="4"/>
        <v>524015.12279885099</v>
      </c>
      <c r="L44" s="94">
        <f t="shared" si="4"/>
        <v>524015.12279885099</v>
      </c>
      <c r="M44" s="94">
        <f t="shared" si="4"/>
        <v>524015.12279885099</v>
      </c>
      <c r="N44" s="94">
        <f t="shared" si="4"/>
        <v>524015.12279885099</v>
      </c>
      <c r="O44" s="94">
        <f t="shared" si="4"/>
        <v>524015.12279885099</v>
      </c>
      <c r="P44" s="94">
        <f t="shared" si="4"/>
        <v>524015.12279885099</v>
      </c>
      <c r="Q44" s="94">
        <f t="shared" si="4"/>
        <v>524015.12279885099</v>
      </c>
    </row>
    <row r="45" spans="2:17" x14ac:dyDescent="0.2">
      <c r="B45" s="90" t="str">
        <f>+'INV POIR PPERDIDAS'!B40</f>
        <v>REHABILITACIÓN TANQUES</v>
      </c>
      <c r="C45" s="90">
        <f>+'INV POIR PPERDIDAS'!C40</f>
        <v>37</v>
      </c>
      <c r="D45" s="91">
        <f>+'INV POIR PPERDIDAS'!D40</f>
        <v>3</v>
      </c>
      <c r="E45" s="92">
        <f>+'INV POIR PPERDIDAS'!E40</f>
        <v>20159531.161544681</v>
      </c>
      <c r="F45" s="93">
        <f>+VLOOKUP(C45,'INV POIR PPERDIDAS'!$C$4:$F$123,4,FALSE)</f>
        <v>45</v>
      </c>
      <c r="G45" s="94" t="str">
        <f t="shared" si="5"/>
        <v/>
      </c>
      <c r="H45" s="94">
        <f t="shared" si="4"/>
        <v>0</v>
      </c>
      <c r="I45" s="94">
        <f t="shared" si="4"/>
        <v>0</v>
      </c>
      <c r="J45" s="94">
        <f t="shared" si="4"/>
        <v>0</v>
      </c>
      <c r="K45" s="94">
        <f t="shared" si="4"/>
        <v>447989.58136765956</v>
      </c>
      <c r="L45" s="94">
        <f t="shared" si="4"/>
        <v>447989.58136765956</v>
      </c>
      <c r="M45" s="94">
        <f t="shared" si="4"/>
        <v>447989.58136765956</v>
      </c>
      <c r="N45" s="94">
        <f t="shared" si="4"/>
        <v>447989.58136765956</v>
      </c>
      <c r="O45" s="94">
        <f t="shared" si="4"/>
        <v>447989.58136765956</v>
      </c>
      <c r="P45" s="94">
        <f t="shared" si="4"/>
        <v>447989.58136765956</v>
      </c>
      <c r="Q45" s="94">
        <f t="shared" si="4"/>
        <v>447989.58136765956</v>
      </c>
    </row>
    <row r="46" spans="2:17" x14ac:dyDescent="0.2">
      <c r="B46" s="90" t="str">
        <f>+'INV POIR PPERDIDAS'!B41</f>
        <v>REHABILITACIÓN TANQUES</v>
      </c>
      <c r="C46" s="90">
        <f>+'INV POIR PPERDIDAS'!C41</f>
        <v>38</v>
      </c>
      <c r="D46" s="91">
        <f>+'INV POIR PPERDIDAS'!D41</f>
        <v>4</v>
      </c>
      <c r="E46" s="92">
        <f>+'INV POIR PPERDIDAS'!E41</f>
        <v>23740256.842132706</v>
      </c>
      <c r="F46" s="93">
        <f>+VLOOKUP(C46,'INV POIR PPERDIDAS'!$C$4:$F$123,4,FALSE)</f>
        <v>45</v>
      </c>
      <c r="G46" s="94" t="str">
        <f t="shared" si="5"/>
        <v/>
      </c>
      <c r="H46" s="94">
        <f t="shared" si="4"/>
        <v>0</v>
      </c>
      <c r="I46" s="94">
        <f t="shared" si="4"/>
        <v>0</v>
      </c>
      <c r="J46" s="94">
        <f t="shared" si="4"/>
        <v>0</v>
      </c>
      <c r="K46" s="94">
        <f t="shared" si="4"/>
        <v>0</v>
      </c>
      <c r="L46" s="94">
        <f t="shared" si="4"/>
        <v>527561.26315850462</v>
      </c>
      <c r="M46" s="94">
        <f t="shared" si="4"/>
        <v>527561.26315850462</v>
      </c>
      <c r="N46" s="94">
        <f t="shared" si="4"/>
        <v>527561.26315850462</v>
      </c>
      <c r="O46" s="94">
        <f t="shared" si="4"/>
        <v>527561.26315850462</v>
      </c>
      <c r="P46" s="94">
        <f t="shared" si="4"/>
        <v>527561.26315850462</v>
      </c>
      <c r="Q46" s="94">
        <f t="shared" si="4"/>
        <v>527561.26315850462</v>
      </c>
    </row>
    <row r="47" spans="2:17" x14ac:dyDescent="0.2">
      <c r="B47" s="90" t="str">
        <f>+'INV POIR PPERDIDAS'!B42</f>
        <v>REHABILITACIÓN TANQUES</v>
      </c>
      <c r="C47" s="90">
        <f>+'INV POIR PPERDIDAS'!C42</f>
        <v>39</v>
      </c>
      <c r="D47" s="91">
        <f>+'INV POIR PPERDIDAS'!D42</f>
        <v>5</v>
      </c>
      <c r="E47" s="92">
        <f>+'INV POIR PPERDIDAS'!E42</f>
        <v>6055019.8655763008</v>
      </c>
      <c r="F47" s="93">
        <f>+VLOOKUP(C47,'INV POIR PPERDIDAS'!$C$4:$F$123,4,FALSE)</f>
        <v>45</v>
      </c>
      <c r="G47" s="94" t="str">
        <f t="shared" si="5"/>
        <v/>
      </c>
      <c r="H47" s="94">
        <f t="shared" si="4"/>
        <v>0</v>
      </c>
      <c r="I47" s="94">
        <f t="shared" si="4"/>
        <v>0</v>
      </c>
      <c r="J47" s="94">
        <f t="shared" si="4"/>
        <v>0</v>
      </c>
      <c r="K47" s="94">
        <f t="shared" si="4"/>
        <v>0</v>
      </c>
      <c r="L47" s="94">
        <f t="shared" si="4"/>
        <v>0</v>
      </c>
      <c r="M47" s="94">
        <f t="shared" si="4"/>
        <v>134555.99701280668</v>
      </c>
      <c r="N47" s="94">
        <f t="shared" si="4"/>
        <v>134555.99701280668</v>
      </c>
      <c r="O47" s="94">
        <f t="shared" si="4"/>
        <v>134555.99701280668</v>
      </c>
      <c r="P47" s="94">
        <f t="shared" si="4"/>
        <v>134555.99701280668</v>
      </c>
      <c r="Q47" s="94">
        <f t="shared" si="4"/>
        <v>134555.99701280668</v>
      </c>
    </row>
    <row r="48" spans="2:17" x14ac:dyDescent="0.2">
      <c r="B48" s="90" t="str">
        <f>+'INV POIR PPERDIDAS'!B43</f>
        <v>REHABILITACIÓN TANQUES</v>
      </c>
      <c r="C48" s="90">
        <f>+'INV POIR PPERDIDAS'!C43</f>
        <v>40</v>
      </c>
      <c r="D48" s="91">
        <f>+'INV POIR PPERDIDAS'!D43</f>
        <v>6</v>
      </c>
      <c r="E48" s="92">
        <f>+'INV POIR PPERDIDAS'!E43</f>
        <v>8363307.6816903232</v>
      </c>
      <c r="F48" s="93">
        <f>+VLOOKUP(C48,'INV POIR PPERDIDAS'!$C$4:$F$123,4,FALSE)</f>
        <v>45</v>
      </c>
      <c r="G48" s="94" t="str">
        <f t="shared" si="5"/>
        <v/>
      </c>
      <c r="H48" s="94">
        <f t="shared" si="4"/>
        <v>0</v>
      </c>
      <c r="I48" s="94">
        <f t="shared" si="4"/>
        <v>0</v>
      </c>
      <c r="J48" s="94">
        <f t="shared" si="4"/>
        <v>0</v>
      </c>
      <c r="K48" s="94">
        <f t="shared" si="4"/>
        <v>0</v>
      </c>
      <c r="L48" s="94">
        <f t="shared" si="4"/>
        <v>0</v>
      </c>
      <c r="M48" s="94">
        <f t="shared" si="4"/>
        <v>0</v>
      </c>
      <c r="N48" s="94">
        <f t="shared" si="4"/>
        <v>185851.28181534051</v>
      </c>
      <c r="O48" s="94">
        <f t="shared" si="4"/>
        <v>185851.28181534051</v>
      </c>
      <c r="P48" s="94">
        <f t="shared" si="4"/>
        <v>185851.28181534051</v>
      </c>
      <c r="Q48" s="94">
        <f t="shared" si="4"/>
        <v>185851.28181534051</v>
      </c>
    </row>
    <row r="49" spans="2:17" x14ac:dyDescent="0.2">
      <c r="B49" s="90" t="str">
        <f>+'INV POIR PPERDIDAS'!B44</f>
        <v>REHABILITACIÓN TANQUES</v>
      </c>
      <c r="C49" s="90">
        <f>+'INV POIR PPERDIDAS'!C44</f>
        <v>41</v>
      </c>
      <c r="D49" s="91">
        <f>+'INV POIR PPERDIDAS'!D44</f>
        <v>7</v>
      </c>
      <c r="E49" s="92">
        <f>+'INV POIR PPERDIDAS'!E44</f>
        <v>5080305.5353145692</v>
      </c>
      <c r="F49" s="93">
        <f>+VLOOKUP(C49,'INV POIR PPERDIDAS'!$C$4:$F$123,4,FALSE)</f>
        <v>45</v>
      </c>
      <c r="G49" s="94" t="str">
        <f t="shared" si="5"/>
        <v/>
      </c>
      <c r="H49" s="94">
        <f t="shared" ref="H49:Q58" si="6">+IF(H$8&lt;=$D49,0,IFERROR($E49/$F49,0))</f>
        <v>0</v>
      </c>
      <c r="I49" s="94">
        <f t="shared" si="6"/>
        <v>0</v>
      </c>
      <c r="J49" s="94">
        <f t="shared" si="6"/>
        <v>0</v>
      </c>
      <c r="K49" s="94">
        <f t="shared" si="6"/>
        <v>0</v>
      </c>
      <c r="L49" s="94">
        <f t="shared" si="6"/>
        <v>0</v>
      </c>
      <c r="M49" s="94">
        <f t="shared" si="6"/>
        <v>0</v>
      </c>
      <c r="N49" s="94">
        <f t="shared" si="6"/>
        <v>0</v>
      </c>
      <c r="O49" s="94">
        <f t="shared" si="6"/>
        <v>112895.67856254599</v>
      </c>
      <c r="P49" s="94">
        <f t="shared" si="6"/>
        <v>112895.67856254599</v>
      </c>
      <c r="Q49" s="94">
        <f t="shared" si="6"/>
        <v>112895.67856254599</v>
      </c>
    </row>
    <row r="50" spans="2:17" x14ac:dyDescent="0.2">
      <c r="B50" s="90" t="str">
        <f>+'INV POIR PPERDIDAS'!B45</f>
        <v>REHABILITACIÓN TANQUES</v>
      </c>
      <c r="C50" s="90">
        <f>+'INV POIR PPERDIDAS'!C45</f>
        <v>42</v>
      </c>
      <c r="D50" s="91">
        <f>+'INV POIR PPERDIDAS'!D45</f>
        <v>8</v>
      </c>
      <c r="E50" s="92">
        <f>+'INV POIR PPERDIDAS'!E45</f>
        <v>5080305.5353145692</v>
      </c>
      <c r="F50" s="93">
        <f>+VLOOKUP(C50,'INV POIR PPERDIDAS'!$C$4:$F$123,4,FALSE)</f>
        <v>45</v>
      </c>
      <c r="G50" s="94" t="str">
        <f t="shared" si="5"/>
        <v/>
      </c>
      <c r="H50" s="94">
        <f t="shared" si="6"/>
        <v>0</v>
      </c>
      <c r="I50" s="94">
        <f t="shared" si="6"/>
        <v>0</v>
      </c>
      <c r="J50" s="94">
        <f t="shared" si="6"/>
        <v>0</v>
      </c>
      <c r="K50" s="94">
        <f t="shared" si="6"/>
        <v>0</v>
      </c>
      <c r="L50" s="94">
        <f t="shared" si="6"/>
        <v>0</v>
      </c>
      <c r="M50" s="94">
        <f t="shared" si="6"/>
        <v>0</v>
      </c>
      <c r="N50" s="94">
        <f t="shared" si="6"/>
        <v>0</v>
      </c>
      <c r="O50" s="94">
        <f t="shared" si="6"/>
        <v>0</v>
      </c>
      <c r="P50" s="94">
        <f t="shared" si="6"/>
        <v>112895.67856254599</v>
      </c>
      <c r="Q50" s="94">
        <f t="shared" si="6"/>
        <v>112895.67856254599</v>
      </c>
    </row>
    <row r="51" spans="2:17" x14ac:dyDescent="0.2">
      <c r="B51" s="90" t="str">
        <f>+'INV POIR PPERDIDAS'!B46</f>
        <v>REHABILITACIÓN TANQUES</v>
      </c>
      <c r="C51" s="90">
        <f>+'INV POIR PPERDIDAS'!C46</f>
        <v>43</v>
      </c>
      <c r="D51" s="91">
        <f>+'INV POIR PPERDIDAS'!D46</f>
        <v>9</v>
      </c>
      <c r="E51" s="92">
        <f>+'INV POIR PPERDIDAS'!E46</f>
        <v>5080305.5353145692</v>
      </c>
      <c r="F51" s="93">
        <f>+VLOOKUP(C51,'INV POIR PPERDIDAS'!$C$4:$F$123,4,FALSE)</f>
        <v>45</v>
      </c>
      <c r="G51" s="94" t="str">
        <f t="shared" si="5"/>
        <v/>
      </c>
      <c r="H51" s="94">
        <f t="shared" si="6"/>
        <v>0</v>
      </c>
      <c r="I51" s="94">
        <f t="shared" si="6"/>
        <v>0</v>
      </c>
      <c r="J51" s="94">
        <f t="shared" si="6"/>
        <v>0</v>
      </c>
      <c r="K51" s="94">
        <f t="shared" si="6"/>
        <v>0</v>
      </c>
      <c r="L51" s="94">
        <f t="shared" si="6"/>
        <v>0</v>
      </c>
      <c r="M51" s="94">
        <f t="shared" si="6"/>
        <v>0</v>
      </c>
      <c r="N51" s="94">
        <f t="shared" si="6"/>
        <v>0</v>
      </c>
      <c r="O51" s="94">
        <f t="shared" si="6"/>
        <v>0</v>
      </c>
      <c r="P51" s="94">
        <f t="shared" si="6"/>
        <v>0</v>
      </c>
      <c r="Q51" s="94">
        <f t="shared" si="6"/>
        <v>112895.67856254599</v>
      </c>
    </row>
    <row r="52" spans="2:17" x14ac:dyDescent="0.2">
      <c r="B52" s="90" t="str">
        <f>+'INV POIR PPERDIDAS'!B47</f>
        <v>REHABILITACIÓN TANQUES</v>
      </c>
      <c r="C52" s="90">
        <f>+'INV POIR PPERDIDAS'!C47</f>
        <v>44</v>
      </c>
      <c r="D52" s="91">
        <f>+'INV POIR PPERDIDAS'!D47</f>
        <v>10</v>
      </c>
      <c r="E52" s="92">
        <f>+'INV POIR PPERDIDAS'!E47</f>
        <v>5080305.5353145692</v>
      </c>
      <c r="F52" s="93">
        <f>+VLOOKUP(C52,'INV POIR PPERDIDAS'!$C$4:$F$123,4,FALSE)</f>
        <v>45</v>
      </c>
      <c r="G52" s="94" t="str">
        <f t="shared" si="5"/>
        <v/>
      </c>
      <c r="H52" s="94">
        <f t="shared" si="6"/>
        <v>0</v>
      </c>
      <c r="I52" s="94">
        <f t="shared" si="6"/>
        <v>0</v>
      </c>
      <c r="J52" s="94">
        <f t="shared" si="6"/>
        <v>0</v>
      </c>
      <c r="K52" s="94">
        <f t="shared" si="6"/>
        <v>0</v>
      </c>
      <c r="L52" s="94">
        <f t="shared" si="6"/>
        <v>0</v>
      </c>
      <c r="M52" s="94">
        <f t="shared" si="6"/>
        <v>0</v>
      </c>
      <c r="N52" s="94">
        <f t="shared" si="6"/>
        <v>0</v>
      </c>
      <c r="O52" s="94">
        <f t="shared" si="6"/>
        <v>0</v>
      </c>
      <c r="P52" s="94">
        <f t="shared" si="6"/>
        <v>0</v>
      </c>
      <c r="Q52" s="94">
        <f t="shared" si="6"/>
        <v>0</v>
      </c>
    </row>
    <row r="53" spans="2:17" x14ac:dyDescent="0.2">
      <c r="B53" s="90" t="str">
        <f>+'INV POIR PPERDIDAS'!B48</f>
        <v>NO SE REQUIERE</v>
      </c>
      <c r="C53" s="90">
        <f>+'INV POIR PPERDIDAS'!C48</f>
        <v>45</v>
      </c>
      <c r="D53" s="91">
        <f>+'INV POIR PPERDIDAS'!D48</f>
        <v>0</v>
      </c>
      <c r="E53" s="92">
        <f>+'INV POIR PPERDIDAS'!E48</f>
        <v>0</v>
      </c>
      <c r="F53" s="93">
        <f>+VLOOKUP(C53,'INV POIR PPERDIDAS'!$C$4:$F$123,4,FALSE)</f>
        <v>1</v>
      </c>
      <c r="G53" s="94" t="str">
        <f t="shared" si="5"/>
        <v/>
      </c>
      <c r="H53" s="94">
        <f t="shared" si="6"/>
        <v>0</v>
      </c>
      <c r="I53" s="94">
        <f t="shared" si="6"/>
        <v>0</v>
      </c>
      <c r="J53" s="94">
        <f t="shared" si="6"/>
        <v>0</v>
      </c>
      <c r="K53" s="94">
        <f t="shared" si="6"/>
        <v>0</v>
      </c>
      <c r="L53" s="94">
        <f t="shared" si="6"/>
        <v>0</v>
      </c>
      <c r="M53" s="94">
        <f t="shared" si="6"/>
        <v>0</v>
      </c>
      <c r="N53" s="94">
        <f t="shared" si="6"/>
        <v>0</v>
      </c>
      <c r="O53" s="94">
        <f t="shared" si="6"/>
        <v>0</v>
      </c>
      <c r="P53" s="94">
        <f t="shared" si="6"/>
        <v>0</v>
      </c>
      <c r="Q53" s="94">
        <f t="shared" si="6"/>
        <v>0</v>
      </c>
    </row>
    <row r="54" spans="2:17" x14ac:dyDescent="0.2">
      <c r="B54" s="90" t="str">
        <f>+'INV POIR PPERDIDAS'!B49</f>
        <v>NO SE REQUIERE</v>
      </c>
      <c r="C54" s="90">
        <f>+'INV POIR PPERDIDAS'!C49</f>
        <v>46</v>
      </c>
      <c r="D54" s="91">
        <f>+'INV POIR PPERDIDAS'!D49</f>
        <v>1</v>
      </c>
      <c r="E54" s="92">
        <f>+'INV POIR PPERDIDAS'!E49</f>
        <v>182564111.13095859</v>
      </c>
      <c r="F54" s="93">
        <f>+VLOOKUP(C54,'INV POIR PPERDIDAS'!$C$4:$F$123,4,FALSE)</f>
        <v>1</v>
      </c>
      <c r="G54" s="94" t="str">
        <f t="shared" si="5"/>
        <v/>
      </c>
      <c r="H54" s="94">
        <f t="shared" si="6"/>
        <v>0</v>
      </c>
      <c r="I54" s="94">
        <f t="shared" si="6"/>
        <v>182564111.13095859</v>
      </c>
      <c r="J54" s="94">
        <f t="shared" si="6"/>
        <v>182564111.13095859</v>
      </c>
      <c r="K54" s="94">
        <f t="shared" si="6"/>
        <v>182564111.13095859</v>
      </c>
      <c r="L54" s="94">
        <f t="shared" si="6"/>
        <v>182564111.13095859</v>
      </c>
      <c r="M54" s="94">
        <f t="shared" si="6"/>
        <v>182564111.13095859</v>
      </c>
      <c r="N54" s="94">
        <f t="shared" si="6"/>
        <v>182564111.13095859</v>
      </c>
      <c r="O54" s="94">
        <f t="shared" si="6"/>
        <v>182564111.13095859</v>
      </c>
      <c r="P54" s="94">
        <f t="shared" si="6"/>
        <v>182564111.13095859</v>
      </c>
      <c r="Q54" s="94">
        <f t="shared" si="6"/>
        <v>182564111.13095859</v>
      </c>
    </row>
    <row r="55" spans="2:17" x14ac:dyDescent="0.2">
      <c r="B55" s="90" t="str">
        <f>+'INV POIR PPERDIDAS'!B50</f>
        <v>NO SE REQUIERE</v>
      </c>
      <c r="C55" s="90">
        <f>+'INV POIR PPERDIDAS'!C50</f>
        <v>47</v>
      </c>
      <c r="D55" s="91">
        <f>+'INV POIR PPERDIDAS'!D50</f>
        <v>2</v>
      </c>
      <c r="E55" s="92">
        <f>+'INV POIR PPERDIDAS'!E50</f>
        <v>182564111.13095859</v>
      </c>
      <c r="F55" s="93">
        <f>+VLOOKUP(C55,'INV POIR PPERDIDAS'!$C$4:$F$123,4,FALSE)</f>
        <v>1</v>
      </c>
      <c r="G55" s="94" t="str">
        <f t="shared" si="5"/>
        <v/>
      </c>
      <c r="H55" s="94">
        <f t="shared" si="6"/>
        <v>0</v>
      </c>
      <c r="I55" s="94">
        <f t="shared" si="6"/>
        <v>0</v>
      </c>
      <c r="J55" s="94">
        <f t="shared" si="6"/>
        <v>182564111.13095859</v>
      </c>
      <c r="K55" s="94">
        <f t="shared" si="6"/>
        <v>182564111.13095859</v>
      </c>
      <c r="L55" s="94">
        <f t="shared" si="6"/>
        <v>182564111.13095859</v>
      </c>
      <c r="M55" s="94">
        <f t="shared" si="6"/>
        <v>182564111.13095859</v>
      </c>
      <c r="N55" s="94">
        <f t="shared" si="6"/>
        <v>182564111.13095859</v>
      </c>
      <c r="O55" s="94">
        <f t="shared" si="6"/>
        <v>182564111.13095859</v>
      </c>
      <c r="P55" s="94">
        <f t="shared" si="6"/>
        <v>182564111.13095859</v>
      </c>
      <c r="Q55" s="94">
        <f t="shared" si="6"/>
        <v>182564111.13095859</v>
      </c>
    </row>
    <row r="56" spans="2:17" x14ac:dyDescent="0.2">
      <c r="B56" s="90" t="str">
        <f>+'INV POIR PPERDIDAS'!B51</f>
        <v>NO SE REQUIERE</v>
      </c>
      <c r="C56" s="90">
        <f>+'INV POIR PPERDIDAS'!C51</f>
        <v>48</v>
      </c>
      <c r="D56" s="91">
        <f>+'INV POIR PPERDIDAS'!D51</f>
        <v>3</v>
      </c>
      <c r="E56" s="92">
        <f>+'INV POIR PPERDIDAS'!E51</f>
        <v>182564111.13095859</v>
      </c>
      <c r="F56" s="93">
        <f>+VLOOKUP(C56,'INV POIR PPERDIDAS'!$C$4:$F$123,4,FALSE)</f>
        <v>1</v>
      </c>
      <c r="G56" s="94" t="str">
        <f t="shared" si="5"/>
        <v/>
      </c>
      <c r="H56" s="94">
        <f t="shared" si="6"/>
        <v>0</v>
      </c>
      <c r="I56" s="94">
        <f t="shared" si="6"/>
        <v>0</v>
      </c>
      <c r="J56" s="94">
        <f t="shared" si="6"/>
        <v>0</v>
      </c>
      <c r="K56" s="94">
        <f t="shared" si="6"/>
        <v>182564111.13095859</v>
      </c>
      <c r="L56" s="94">
        <f t="shared" si="6"/>
        <v>182564111.13095859</v>
      </c>
      <c r="M56" s="94">
        <f t="shared" si="6"/>
        <v>182564111.13095859</v>
      </c>
      <c r="N56" s="94">
        <f t="shared" si="6"/>
        <v>182564111.13095859</v>
      </c>
      <c r="O56" s="94">
        <f t="shared" si="6"/>
        <v>182564111.13095859</v>
      </c>
      <c r="P56" s="94">
        <f t="shared" si="6"/>
        <v>182564111.13095859</v>
      </c>
      <c r="Q56" s="94">
        <f t="shared" si="6"/>
        <v>182564111.13095859</v>
      </c>
    </row>
    <row r="57" spans="2:17" x14ac:dyDescent="0.2">
      <c r="B57" s="90" t="str">
        <f>+'INV POIR PPERDIDAS'!B52</f>
        <v>NO SE REQUIERE</v>
      </c>
      <c r="C57" s="90">
        <f>+'INV POIR PPERDIDAS'!C52</f>
        <v>49</v>
      </c>
      <c r="D57" s="91">
        <f>+'INV POIR PPERDIDAS'!D52</f>
        <v>4</v>
      </c>
      <c r="E57" s="92">
        <f>+'INV POIR PPERDIDAS'!E52</f>
        <v>182564111.13095859</v>
      </c>
      <c r="F57" s="93">
        <f>+VLOOKUP(C57,'INV POIR PPERDIDAS'!$C$4:$F$123,4,FALSE)</f>
        <v>1</v>
      </c>
      <c r="G57" s="94" t="str">
        <f t="shared" si="5"/>
        <v/>
      </c>
      <c r="H57" s="94">
        <f t="shared" si="6"/>
        <v>0</v>
      </c>
      <c r="I57" s="94">
        <f t="shared" si="6"/>
        <v>0</v>
      </c>
      <c r="J57" s="94">
        <f t="shared" si="6"/>
        <v>0</v>
      </c>
      <c r="K57" s="94">
        <f t="shared" si="6"/>
        <v>0</v>
      </c>
      <c r="L57" s="94">
        <f t="shared" si="6"/>
        <v>182564111.13095859</v>
      </c>
      <c r="M57" s="94">
        <f t="shared" si="6"/>
        <v>182564111.13095859</v>
      </c>
      <c r="N57" s="94">
        <f t="shared" si="6"/>
        <v>182564111.13095859</v>
      </c>
      <c r="O57" s="94">
        <f t="shared" si="6"/>
        <v>182564111.13095859</v>
      </c>
      <c r="P57" s="94">
        <f t="shared" si="6"/>
        <v>182564111.13095859</v>
      </c>
      <c r="Q57" s="94">
        <f t="shared" si="6"/>
        <v>182564111.13095859</v>
      </c>
    </row>
    <row r="58" spans="2:17" x14ac:dyDescent="0.2">
      <c r="B58" s="90" t="str">
        <f>+'INV POIR PPERDIDAS'!B53</f>
        <v>NO SE REQUIERE</v>
      </c>
      <c r="C58" s="90">
        <f>+'INV POIR PPERDIDAS'!C53</f>
        <v>50</v>
      </c>
      <c r="D58" s="91">
        <f>+'INV POIR PPERDIDAS'!D53</f>
        <v>5</v>
      </c>
      <c r="E58" s="92">
        <f>+'INV POIR PPERDIDAS'!E53</f>
        <v>182564111.13095859</v>
      </c>
      <c r="F58" s="93">
        <f>+VLOOKUP(C58,'INV POIR PPERDIDAS'!$C$4:$F$123,4,FALSE)</f>
        <v>1</v>
      </c>
      <c r="G58" s="94" t="str">
        <f t="shared" si="5"/>
        <v/>
      </c>
      <c r="H58" s="94">
        <f t="shared" si="6"/>
        <v>0</v>
      </c>
      <c r="I58" s="94">
        <f t="shared" si="6"/>
        <v>0</v>
      </c>
      <c r="J58" s="94">
        <f t="shared" si="6"/>
        <v>0</v>
      </c>
      <c r="K58" s="94">
        <f t="shared" si="6"/>
        <v>0</v>
      </c>
      <c r="L58" s="94">
        <f t="shared" si="6"/>
        <v>0</v>
      </c>
      <c r="M58" s="94">
        <f t="shared" si="6"/>
        <v>182564111.13095859</v>
      </c>
      <c r="N58" s="94">
        <f t="shared" si="6"/>
        <v>182564111.13095859</v>
      </c>
      <c r="O58" s="94">
        <f t="shared" si="6"/>
        <v>182564111.13095859</v>
      </c>
      <c r="P58" s="94">
        <f t="shared" si="6"/>
        <v>182564111.13095859</v>
      </c>
      <c r="Q58" s="94">
        <f t="shared" si="6"/>
        <v>182564111.13095859</v>
      </c>
    </row>
    <row r="59" spans="2:17" x14ac:dyDescent="0.2">
      <c r="B59" s="90" t="str">
        <f>+'INV POIR PPERDIDAS'!B54</f>
        <v>NO SE REQUIERE</v>
      </c>
      <c r="C59" s="90">
        <f>+'INV POIR PPERDIDAS'!C54</f>
        <v>51</v>
      </c>
      <c r="D59" s="91">
        <f>+'INV POIR PPERDIDAS'!D54</f>
        <v>6</v>
      </c>
      <c r="E59" s="92">
        <f>+'INV POIR PPERDIDAS'!E54</f>
        <v>0</v>
      </c>
      <c r="F59" s="93">
        <f>+VLOOKUP(C59,'INV POIR PPERDIDAS'!$C$4:$F$123,4,FALSE)</f>
        <v>1</v>
      </c>
      <c r="G59" s="94" t="str">
        <f t="shared" si="5"/>
        <v/>
      </c>
      <c r="H59" s="94">
        <f t="shared" ref="H59:Q68" si="7">+IF(H$8&lt;=$D59,0,IFERROR($E59/$F59,0))</f>
        <v>0</v>
      </c>
      <c r="I59" s="94">
        <f t="shared" si="7"/>
        <v>0</v>
      </c>
      <c r="J59" s="94">
        <f t="shared" si="7"/>
        <v>0</v>
      </c>
      <c r="K59" s="94">
        <f t="shared" si="7"/>
        <v>0</v>
      </c>
      <c r="L59" s="94">
        <f t="shared" si="7"/>
        <v>0</v>
      </c>
      <c r="M59" s="94">
        <f t="shared" si="7"/>
        <v>0</v>
      </c>
      <c r="N59" s="94">
        <f t="shared" si="7"/>
        <v>0</v>
      </c>
      <c r="O59" s="94">
        <f t="shared" si="7"/>
        <v>0</v>
      </c>
      <c r="P59" s="94">
        <f t="shared" si="7"/>
        <v>0</v>
      </c>
      <c r="Q59" s="94">
        <f t="shared" si="7"/>
        <v>0</v>
      </c>
    </row>
    <row r="60" spans="2:17" x14ac:dyDescent="0.2">
      <c r="B60" s="90" t="str">
        <f>+'INV POIR PPERDIDAS'!B55</f>
        <v>NO SE REQUIERE</v>
      </c>
      <c r="C60" s="90">
        <f>+'INV POIR PPERDIDAS'!C55</f>
        <v>52</v>
      </c>
      <c r="D60" s="91">
        <f>+'INV POIR PPERDIDAS'!D55</f>
        <v>7</v>
      </c>
      <c r="E60" s="92">
        <f>+'INV POIR PPERDIDAS'!E55</f>
        <v>0</v>
      </c>
      <c r="F60" s="93">
        <f>+VLOOKUP(C60,'INV POIR PPERDIDAS'!$C$4:$F$123,4,FALSE)</f>
        <v>1</v>
      </c>
      <c r="G60" s="94" t="str">
        <f t="shared" si="5"/>
        <v/>
      </c>
      <c r="H60" s="94">
        <f t="shared" si="7"/>
        <v>0</v>
      </c>
      <c r="I60" s="94">
        <f t="shared" si="7"/>
        <v>0</v>
      </c>
      <c r="J60" s="94">
        <f t="shared" si="7"/>
        <v>0</v>
      </c>
      <c r="K60" s="94">
        <f t="shared" si="7"/>
        <v>0</v>
      </c>
      <c r="L60" s="94">
        <f t="shared" si="7"/>
        <v>0</v>
      </c>
      <c r="M60" s="94">
        <f t="shared" si="7"/>
        <v>0</v>
      </c>
      <c r="N60" s="94">
        <f t="shared" si="7"/>
        <v>0</v>
      </c>
      <c r="O60" s="94">
        <f t="shared" si="7"/>
        <v>0</v>
      </c>
      <c r="P60" s="94">
        <f t="shared" si="7"/>
        <v>0</v>
      </c>
      <c r="Q60" s="94">
        <f t="shared" si="7"/>
        <v>0</v>
      </c>
    </row>
    <row r="61" spans="2:17" x14ac:dyDescent="0.2">
      <c r="B61" s="90" t="str">
        <f>+'INV POIR PPERDIDAS'!B56</f>
        <v>NO SE REQUIERE</v>
      </c>
      <c r="C61" s="90">
        <f>+'INV POIR PPERDIDAS'!C56</f>
        <v>53</v>
      </c>
      <c r="D61" s="91">
        <f>+'INV POIR PPERDIDAS'!D56</f>
        <v>8</v>
      </c>
      <c r="E61" s="92">
        <f>+'INV POIR PPERDIDAS'!E56</f>
        <v>0</v>
      </c>
      <c r="F61" s="93">
        <f>+VLOOKUP(C61,'INV POIR PPERDIDAS'!$C$4:$F$123,4,FALSE)</f>
        <v>1</v>
      </c>
      <c r="G61" s="94" t="str">
        <f t="shared" si="5"/>
        <v/>
      </c>
      <c r="H61" s="94">
        <f t="shared" si="7"/>
        <v>0</v>
      </c>
      <c r="I61" s="94">
        <f t="shared" si="7"/>
        <v>0</v>
      </c>
      <c r="J61" s="94">
        <f t="shared" si="7"/>
        <v>0</v>
      </c>
      <c r="K61" s="94">
        <f t="shared" si="7"/>
        <v>0</v>
      </c>
      <c r="L61" s="94">
        <f t="shared" si="7"/>
        <v>0</v>
      </c>
      <c r="M61" s="94">
        <f t="shared" si="7"/>
        <v>0</v>
      </c>
      <c r="N61" s="94">
        <f t="shared" si="7"/>
        <v>0</v>
      </c>
      <c r="O61" s="94">
        <f t="shared" si="7"/>
        <v>0</v>
      </c>
      <c r="P61" s="94">
        <f t="shared" si="7"/>
        <v>0</v>
      </c>
      <c r="Q61" s="94">
        <f t="shared" si="7"/>
        <v>0</v>
      </c>
    </row>
    <row r="62" spans="2:17" x14ac:dyDescent="0.2">
      <c r="B62" s="90" t="str">
        <f>+'INV POIR PPERDIDAS'!B57</f>
        <v>NO SE REQUIERE</v>
      </c>
      <c r="C62" s="90">
        <f>+'INV POIR PPERDIDAS'!C57</f>
        <v>54</v>
      </c>
      <c r="D62" s="91">
        <f>+'INV POIR PPERDIDAS'!D57</f>
        <v>9</v>
      </c>
      <c r="E62" s="92">
        <f>+'INV POIR PPERDIDAS'!E57</f>
        <v>0</v>
      </c>
      <c r="F62" s="93">
        <f>+VLOOKUP(C62,'INV POIR PPERDIDAS'!$C$4:$F$123,4,FALSE)</f>
        <v>1</v>
      </c>
      <c r="G62" s="94" t="str">
        <f t="shared" si="5"/>
        <v/>
      </c>
      <c r="H62" s="94">
        <f t="shared" si="7"/>
        <v>0</v>
      </c>
      <c r="I62" s="94">
        <f t="shared" si="7"/>
        <v>0</v>
      </c>
      <c r="J62" s="94">
        <f t="shared" si="7"/>
        <v>0</v>
      </c>
      <c r="K62" s="94">
        <f t="shared" si="7"/>
        <v>0</v>
      </c>
      <c r="L62" s="94">
        <f t="shared" si="7"/>
        <v>0</v>
      </c>
      <c r="M62" s="94">
        <f t="shared" si="7"/>
        <v>0</v>
      </c>
      <c r="N62" s="94">
        <f t="shared" si="7"/>
        <v>0</v>
      </c>
      <c r="O62" s="94">
        <f t="shared" si="7"/>
        <v>0</v>
      </c>
      <c r="P62" s="94">
        <f t="shared" si="7"/>
        <v>0</v>
      </c>
      <c r="Q62" s="94">
        <f t="shared" si="7"/>
        <v>0</v>
      </c>
    </row>
    <row r="63" spans="2:17" x14ac:dyDescent="0.2">
      <c r="B63" s="90" t="str">
        <f>+'INV POIR PPERDIDAS'!B58</f>
        <v>NO SE REQUIERE</v>
      </c>
      <c r="C63" s="90">
        <f>+'INV POIR PPERDIDAS'!C58</f>
        <v>55</v>
      </c>
      <c r="D63" s="91">
        <f>+'INV POIR PPERDIDAS'!D58</f>
        <v>10</v>
      </c>
      <c r="E63" s="92">
        <f>+'INV POIR PPERDIDAS'!E58</f>
        <v>0</v>
      </c>
      <c r="F63" s="93">
        <f>+VLOOKUP(C63,'INV POIR PPERDIDAS'!$C$4:$F$123,4,FALSE)</f>
        <v>1</v>
      </c>
      <c r="G63" s="94" t="str">
        <f t="shared" si="5"/>
        <v/>
      </c>
      <c r="H63" s="94">
        <f t="shared" si="7"/>
        <v>0</v>
      </c>
      <c r="I63" s="94">
        <f t="shared" si="7"/>
        <v>0</v>
      </c>
      <c r="J63" s="94">
        <f t="shared" si="7"/>
        <v>0</v>
      </c>
      <c r="K63" s="94">
        <f t="shared" si="7"/>
        <v>0</v>
      </c>
      <c r="L63" s="94">
        <f t="shared" si="7"/>
        <v>0</v>
      </c>
      <c r="M63" s="94">
        <f t="shared" si="7"/>
        <v>0</v>
      </c>
      <c r="N63" s="94">
        <f t="shared" si="7"/>
        <v>0</v>
      </c>
      <c r="O63" s="94">
        <f t="shared" si="7"/>
        <v>0</v>
      </c>
      <c r="P63" s="94">
        <f t="shared" si="7"/>
        <v>0</v>
      </c>
      <c r="Q63" s="94">
        <f t="shared" si="7"/>
        <v>0</v>
      </c>
    </row>
    <row r="64" spans="2:17" x14ac:dyDescent="0.2">
      <c r="B64" s="90" t="str">
        <f>+'INV POIR PPERDIDAS'!B59</f>
        <v>REHABILITACIÓN REDES</v>
      </c>
      <c r="C64" s="90">
        <f>+'INV POIR PPERDIDAS'!C59</f>
        <v>56</v>
      </c>
      <c r="D64" s="91">
        <f>+'INV POIR PPERDIDAS'!D59</f>
        <v>0</v>
      </c>
      <c r="E64" s="92">
        <f>+'INV POIR PPERDIDAS'!E59</f>
        <v>0</v>
      </c>
      <c r="F64" s="93">
        <f>+VLOOKUP(C64,'INV POIR PPERDIDAS'!$C$4:$F$123,4,FALSE)</f>
        <v>45</v>
      </c>
      <c r="G64" s="94" t="str">
        <f t="shared" si="5"/>
        <v/>
      </c>
      <c r="H64" s="94">
        <f t="shared" si="7"/>
        <v>0</v>
      </c>
      <c r="I64" s="94">
        <f t="shared" si="7"/>
        <v>0</v>
      </c>
      <c r="J64" s="94">
        <f t="shared" si="7"/>
        <v>0</v>
      </c>
      <c r="K64" s="94">
        <f t="shared" si="7"/>
        <v>0</v>
      </c>
      <c r="L64" s="94">
        <f t="shared" si="7"/>
        <v>0</v>
      </c>
      <c r="M64" s="94">
        <f t="shared" si="7"/>
        <v>0</v>
      </c>
      <c r="N64" s="94">
        <f t="shared" si="7"/>
        <v>0</v>
      </c>
      <c r="O64" s="94">
        <f t="shared" si="7"/>
        <v>0</v>
      </c>
      <c r="P64" s="94">
        <f t="shared" si="7"/>
        <v>0</v>
      </c>
      <c r="Q64" s="94">
        <f t="shared" si="7"/>
        <v>0</v>
      </c>
    </row>
    <row r="65" spans="2:17" x14ac:dyDescent="0.2">
      <c r="B65" s="90" t="str">
        <f>+'INV POIR PPERDIDAS'!B60</f>
        <v>REHABILITACIÓN REDES</v>
      </c>
      <c r="C65" s="90">
        <f>+'INV POIR PPERDIDAS'!C60</f>
        <v>57</v>
      </c>
      <c r="D65" s="91">
        <f>+'INV POIR PPERDIDAS'!D60</f>
        <v>1</v>
      </c>
      <c r="E65" s="92">
        <f>+'INV POIR PPERDIDAS'!E60</f>
        <v>0</v>
      </c>
      <c r="F65" s="93">
        <f>+VLOOKUP(C65,'INV POIR PPERDIDAS'!$C$4:$F$123,4,FALSE)</f>
        <v>45</v>
      </c>
      <c r="G65" s="94" t="str">
        <f t="shared" si="5"/>
        <v/>
      </c>
      <c r="H65" s="94">
        <f t="shared" si="7"/>
        <v>0</v>
      </c>
      <c r="I65" s="94">
        <f t="shared" si="7"/>
        <v>0</v>
      </c>
      <c r="J65" s="94">
        <f t="shared" si="7"/>
        <v>0</v>
      </c>
      <c r="K65" s="94">
        <f t="shared" si="7"/>
        <v>0</v>
      </c>
      <c r="L65" s="94">
        <f t="shared" si="7"/>
        <v>0</v>
      </c>
      <c r="M65" s="94">
        <f t="shared" si="7"/>
        <v>0</v>
      </c>
      <c r="N65" s="94">
        <f t="shared" si="7"/>
        <v>0</v>
      </c>
      <c r="O65" s="94">
        <f t="shared" si="7"/>
        <v>0</v>
      </c>
      <c r="P65" s="94">
        <f t="shared" si="7"/>
        <v>0</v>
      </c>
      <c r="Q65" s="94">
        <f t="shared" si="7"/>
        <v>0</v>
      </c>
    </row>
    <row r="66" spans="2:17" x14ac:dyDescent="0.2">
      <c r="B66" s="90" t="str">
        <f>+'INV POIR PPERDIDAS'!B61</f>
        <v>REHABILITACIÓN REDES</v>
      </c>
      <c r="C66" s="90">
        <f>+'INV POIR PPERDIDAS'!C61</f>
        <v>58</v>
      </c>
      <c r="D66" s="91">
        <f>+'INV POIR PPERDIDAS'!D61</f>
        <v>2</v>
      </c>
      <c r="E66" s="92">
        <f>+'INV POIR PPERDIDAS'!E61</f>
        <v>611554989.46373248</v>
      </c>
      <c r="F66" s="93">
        <f>+VLOOKUP(C66,'INV POIR PPERDIDAS'!$C$4:$F$123,4,FALSE)</f>
        <v>45</v>
      </c>
      <c r="G66" s="94" t="str">
        <f t="shared" si="5"/>
        <v/>
      </c>
      <c r="H66" s="94">
        <f t="shared" si="7"/>
        <v>0</v>
      </c>
      <c r="I66" s="94">
        <f t="shared" si="7"/>
        <v>0</v>
      </c>
      <c r="J66" s="94">
        <f t="shared" si="7"/>
        <v>13590110.876971833</v>
      </c>
      <c r="K66" s="94">
        <f t="shared" si="7"/>
        <v>13590110.876971833</v>
      </c>
      <c r="L66" s="94">
        <f t="shared" si="7"/>
        <v>13590110.876971833</v>
      </c>
      <c r="M66" s="94">
        <f t="shared" si="7"/>
        <v>13590110.876971833</v>
      </c>
      <c r="N66" s="94">
        <f t="shared" si="7"/>
        <v>13590110.876971833</v>
      </c>
      <c r="O66" s="94">
        <f t="shared" si="7"/>
        <v>13590110.876971833</v>
      </c>
      <c r="P66" s="94">
        <f t="shared" si="7"/>
        <v>13590110.876971833</v>
      </c>
      <c r="Q66" s="94">
        <f t="shared" si="7"/>
        <v>13590110.876971833</v>
      </c>
    </row>
    <row r="67" spans="2:17" x14ac:dyDescent="0.2">
      <c r="B67" s="90" t="str">
        <f>+'INV POIR PPERDIDAS'!B62</f>
        <v>REHABILITACIÓN REDES</v>
      </c>
      <c r="C67" s="90">
        <f>+'INV POIR PPERDIDAS'!C62</f>
        <v>59</v>
      </c>
      <c r="D67" s="91">
        <f>+'INV POIR PPERDIDAS'!D62</f>
        <v>3</v>
      </c>
      <c r="E67" s="92">
        <f>+'INV POIR PPERDIDAS'!E62</f>
        <v>257258799.37705919</v>
      </c>
      <c r="F67" s="93">
        <f>+VLOOKUP(C67,'INV POIR PPERDIDAS'!$C$4:$F$123,4,FALSE)</f>
        <v>45</v>
      </c>
      <c r="G67" s="94" t="str">
        <f t="shared" si="5"/>
        <v/>
      </c>
      <c r="H67" s="94">
        <f t="shared" si="7"/>
        <v>0</v>
      </c>
      <c r="I67" s="94">
        <f t="shared" si="7"/>
        <v>0</v>
      </c>
      <c r="J67" s="94">
        <f t="shared" si="7"/>
        <v>0</v>
      </c>
      <c r="K67" s="94">
        <f t="shared" si="7"/>
        <v>5716862.2083790936</v>
      </c>
      <c r="L67" s="94">
        <f t="shared" si="7"/>
        <v>5716862.2083790936</v>
      </c>
      <c r="M67" s="94">
        <f t="shared" si="7"/>
        <v>5716862.2083790936</v>
      </c>
      <c r="N67" s="94">
        <f t="shared" si="7"/>
        <v>5716862.2083790936</v>
      </c>
      <c r="O67" s="94">
        <f t="shared" si="7"/>
        <v>5716862.2083790936</v>
      </c>
      <c r="P67" s="94">
        <f t="shared" si="7"/>
        <v>5716862.2083790936</v>
      </c>
      <c r="Q67" s="94">
        <f t="shared" si="7"/>
        <v>5716862.2083790936</v>
      </c>
    </row>
    <row r="68" spans="2:17" x14ac:dyDescent="0.2">
      <c r="B68" s="90" t="str">
        <f>+'INV POIR PPERDIDAS'!B63</f>
        <v>REHABILITACIÓN REDES</v>
      </c>
      <c r="C68" s="90">
        <f>+'INV POIR PPERDIDAS'!C63</f>
        <v>60</v>
      </c>
      <c r="D68" s="91">
        <f>+'INV POIR PPERDIDAS'!D63</f>
        <v>4</v>
      </c>
      <c r="E68" s="92">
        <f>+'INV POIR PPERDIDAS'!E63</f>
        <v>426601786.47694588</v>
      </c>
      <c r="F68" s="93">
        <f>+VLOOKUP(C68,'INV POIR PPERDIDAS'!$C$4:$F$123,4,FALSE)</f>
        <v>45</v>
      </c>
      <c r="G68" s="94" t="str">
        <f t="shared" si="5"/>
        <v/>
      </c>
      <c r="H68" s="94">
        <f t="shared" si="7"/>
        <v>0</v>
      </c>
      <c r="I68" s="94">
        <f t="shared" si="7"/>
        <v>0</v>
      </c>
      <c r="J68" s="94">
        <f t="shared" si="7"/>
        <v>0</v>
      </c>
      <c r="K68" s="94">
        <f t="shared" si="7"/>
        <v>0</v>
      </c>
      <c r="L68" s="94">
        <f t="shared" si="7"/>
        <v>9480039.6994876862</v>
      </c>
      <c r="M68" s="94">
        <f t="shared" si="7"/>
        <v>9480039.6994876862</v>
      </c>
      <c r="N68" s="94">
        <f t="shared" si="7"/>
        <v>9480039.6994876862</v>
      </c>
      <c r="O68" s="94">
        <f t="shared" si="7"/>
        <v>9480039.6994876862</v>
      </c>
      <c r="P68" s="94">
        <f t="shared" si="7"/>
        <v>9480039.6994876862</v>
      </c>
      <c r="Q68" s="94">
        <f t="shared" si="7"/>
        <v>9480039.6994876862</v>
      </c>
    </row>
    <row r="69" spans="2:17" x14ac:dyDescent="0.2">
      <c r="B69" s="90" t="str">
        <f>+'INV POIR PPERDIDAS'!B64</f>
        <v>REHABILITACIÓN REDES</v>
      </c>
      <c r="C69" s="90">
        <f>+'INV POIR PPERDIDAS'!C64</f>
        <v>61</v>
      </c>
      <c r="D69" s="91">
        <f>+'INV POIR PPERDIDAS'!D64</f>
        <v>5</v>
      </c>
      <c r="E69" s="92">
        <f>+'INV POIR PPERDIDAS'!E64</f>
        <v>358819367.65486312</v>
      </c>
      <c r="F69" s="93">
        <f>+VLOOKUP(C69,'INV POIR PPERDIDAS'!$C$4:$F$123,4,FALSE)</f>
        <v>45</v>
      </c>
      <c r="G69" s="94" t="str">
        <f t="shared" si="5"/>
        <v/>
      </c>
      <c r="H69" s="94">
        <f t="shared" ref="H69:Q78" si="8">+IF(H$8&lt;=$D69,0,IFERROR($E69/$F69,0))</f>
        <v>0</v>
      </c>
      <c r="I69" s="94">
        <f t="shared" si="8"/>
        <v>0</v>
      </c>
      <c r="J69" s="94">
        <f t="shared" si="8"/>
        <v>0</v>
      </c>
      <c r="K69" s="94">
        <f t="shared" si="8"/>
        <v>0</v>
      </c>
      <c r="L69" s="94">
        <f t="shared" si="8"/>
        <v>0</v>
      </c>
      <c r="M69" s="94">
        <f t="shared" si="8"/>
        <v>7973763.7256636247</v>
      </c>
      <c r="N69" s="94">
        <f t="shared" si="8"/>
        <v>7973763.7256636247</v>
      </c>
      <c r="O69" s="94">
        <f t="shared" si="8"/>
        <v>7973763.7256636247</v>
      </c>
      <c r="P69" s="94">
        <f t="shared" si="8"/>
        <v>7973763.7256636247</v>
      </c>
      <c r="Q69" s="94">
        <f t="shared" si="8"/>
        <v>7973763.7256636247</v>
      </c>
    </row>
    <row r="70" spans="2:17" x14ac:dyDescent="0.2">
      <c r="B70" s="90" t="str">
        <f>+'INV POIR PPERDIDAS'!B65</f>
        <v>REHABILITACIÓN REDES</v>
      </c>
      <c r="C70" s="90">
        <f>+'INV POIR PPERDIDAS'!C65</f>
        <v>62</v>
      </c>
      <c r="D70" s="91">
        <f>+'INV POIR PPERDIDAS'!D65</f>
        <v>6</v>
      </c>
      <c r="E70" s="92">
        <f>+'INV POIR PPERDIDAS'!E65</f>
        <v>1076231401.3037224</v>
      </c>
      <c r="F70" s="93">
        <f>+VLOOKUP(C70,'INV POIR PPERDIDAS'!$C$4:$F$123,4,FALSE)</f>
        <v>45</v>
      </c>
      <c r="G70" s="94" t="str">
        <f t="shared" si="5"/>
        <v/>
      </c>
      <c r="H70" s="94">
        <f t="shared" si="8"/>
        <v>0</v>
      </c>
      <c r="I70" s="94">
        <f t="shared" si="8"/>
        <v>0</v>
      </c>
      <c r="J70" s="94">
        <f t="shared" si="8"/>
        <v>0</v>
      </c>
      <c r="K70" s="94">
        <f t="shared" si="8"/>
        <v>0</v>
      </c>
      <c r="L70" s="94">
        <f t="shared" si="8"/>
        <v>0</v>
      </c>
      <c r="M70" s="94">
        <f t="shared" si="8"/>
        <v>0</v>
      </c>
      <c r="N70" s="94">
        <f t="shared" si="8"/>
        <v>23916253.362304941</v>
      </c>
      <c r="O70" s="94">
        <f t="shared" si="8"/>
        <v>23916253.362304941</v>
      </c>
      <c r="P70" s="94">
        <f t="shared" si="8"/>
        <v>23916253.362304941</v>
      </c>
      <c r="Q70" s="94">
        <f t="shared" si="8"/>
        <v>23916253.362304941</v>
      </c>
    </row>
    <row r="71" spans="2:17" x14ac:dyDescent="0.2">
      <c r="B71" s="90" t="str">
        <f>+'INV POIR PPERDIDAS'!B66</f>
        <v>REHABILITACIÓN REDES</v>
      </c>
      <c r="C71" s="90">
        <f>+'INV POIR PPERDIDAS'!C66</f>
        <v>63</v>
      </c>
      <c r="D71" s="91">
        <f>+'INV POIR PPERDIDAS'!D66</f>
        <v>7</v>
      </c>
      <c r="E71" s="92">
        <f>+'INV POIR PPERDIDAS'!E66</f>
        <v>658254709.55816746</v>
      </c>
      <c r="F71" s="93">
        <f>+VLOOKUP(C71,'INV POIR PPERDIDAS'!$C$4:$F$123,4,FALSE)</f>
        <v>45</v>
      </c>
      <c r="G71" s="94" t="str">
        <f t="shared" si="5"/>
        <v/>
      </c>
      <c r="H71" s="94">
        <f t="shared" si="8"/>
        <v>0</v>
      </c>
      <c r="I71" s="94">
        <f t="shared" si="8"/>
        <v>0</v>
      </c>
      <c r="J71" s="94">
        <f t="shared" si="8"/>
        <v>0</v>
      </c>
      <c r="K71" s="94">
        <f t="shared" si="8"/>
        <v>0</v>
      </c>
      <c r="L71" s="94">
        <f t="shared" si="8"/>
        <v>0</v>
      </c>
      <c r="M71" s="94">
        <f t="shared" si="8"/>
        <v>0</v>
      </c>
      <c r="N71" s="94">
        <f t="shared" si="8"/>
        <v>0</v>
      </c>
      <c r="O71" s="94">
        <f t="shared" si="8"/>
        <v>14627882.434625944</v>
      </c>
      <c r="P71" s="94">
        <f t="shared" si="8"/>
        <v>14627882.434625944</v>
      </c>
      <c r="Q71" s="94">
        <f t="shared" si="8"/>
        <v>14627882.434625944</v>
      </c>
    </row>
    <row r="72" spans="2:17" x14ac:dyDescent="0.2">
      <c r="B72" s="90" t="str">
        <f>+'INV POIR PPERDIDAS'!B67</f>
        <v>REHABILITACIÓN REDES</v>
      </c>
      <c r="C72" s="90">
        <f>+'INV POIR PPERDIDAS'!C67</f>
        <v>64</v>
      </c>
      <c r="D72" s="91">
        <f>+'INV POIR PPERDIDAS'!D67</f>
        <v>8</v>
      </c>
      <c r="E72" s="92">
        <f>+'INV POIR PPERDIDAS'!E67</f>
        <v>1170325251.0100634</v>
      </c>
      <c r="F72" s="93">
        <f>+VLOOKUP(C72,'INV POIR PPERDIDAS'!$C$4:$F$123,4,FALSE)</f>
        <v>45</v>
      </c>
      <c r="G72" s="94" t="str">
        <f t="shared" si="5"/>
        <v/>
      </c>
      <c r="H72" s="94">
        <f t="shared" si="8"/>
        <v>0</v>
      </c>
      <c r="I72" s="94">
        <f t="shared" si="8"/>
        <v>0</v>
      </c>
      <c r="J72" s="94">
        <f t="shared" si="8"/>
        <v>0</v>
      </c>
      <c r="K72" s="94">
        <f t="shared" si="8"/>
        <v>0</v>
      </c>
      <c r="L72" s="94">
        <f t="shared" si="8"/>
        <v>0</v>
      </c>
      <c r="M72" s="94">
        <f t="shared" si="8"/>
        <v>0</v>
      </c>
      <c r="N72" s="94">
        <f t="shared" si="8"/>
        <v>0</v>
      </c>
      <c r="O72" s="94">
        <f t="shared" si="8"/>
        <v>0</v>
      </c>
      <c r="P72" s="94">
        <f t="shared" si="8"/>
        <v>26007227.80022363</v>
      </c>
      <c r="Q72" s="94">
        <f t="shared" si="8"/>
        <v>26007227.80022363</v>
      </c>
    </row>
    <row r="73" spans="2:17" x14ac:dyDescent="0.2">
      <c r="B73" s="90" t="str">
        <f>+'INV POIR PPERDIDAS'!B68</f>
        <v>REHABILITACIÓN REDES</v>
      </c>
      <c r="C73" s="90">
        <f>+'INV POIR PPERDIDAS'!C68</f>
        <v>65</v>
      </c>
      <c r="D73" s="91">
        <f>+'INV POIR PPERDIDAS'!D68</f>
        <v>9</v>
      </c>
      <c r="E73" s="92">
        <f>+'INV POIR PPERDIDAS'!E68</f>
        <v>708464993.44522178</v>
      </c>
      <c r="F73" s="93">
        <f>+VLOOKUP(C73,'INV POIR PPERDIDAS'!$C$4:$F$123,4,FALSE)</f>
        <v>45</v>
      </c>
      <c r="G73" s="94" t="str">
        <f t="shared" ref="G73:G104" si="9">+IF(G$8&lt;=$D73,"",IFERROR($E73/$F73,0))</f>
        <v/>
      </c>
      <c r="H73" s="94">
        <f t="shared" si="8"/>
        <v>0</v>
      </c>
      <c r="I73" s="94">
        <f t="shared" si="8"/>
        <v>0</v>
      </c>
      <c r="J73" s="94">
        <f t="shared" si="8"/>
        <v>0</v>
      </c>
      <c r="K73" s="94">
        <f t="shared" si="8"/>
        <v>0</v>
      </c>
      <c r="L73" s="94">
        <f t="shared" si="8"/>
        <v>0</v>
      </c>
      <c r="M73" s="94">
        <f t="shared" si="8"/>
        <v>0</v>
      </c>
      <c r="N73" s="94">
        <f t="shared" si="8"/>
        <v>0</v>
      </c>
      <c r="O73" s="94">
        <f t="shared" si="8"/>
        <v>0</v>
      </c>
      <c r="P73" s="94">
        <f t="shared" si="8"/>
        <v>0</v>
      </c>
      <c r="Q73" s="94">
        <f t="shared" si="8"/>
        <v>15743666.521004928</v>
      </c>
    </row>
    <row r="74" spans="2:17" x14ac:dyDescent="0.2">
      <c r="B74" s="90" t="str">
        <f>+'INV POIR PPERDIDAS'!B69</f>
        <v>REHABILITACIÓN REDES</v>
      </c>
      <c r="C74" s="90">
        <f>+'INV POIR PPERDIDAS'!C69</f>
        <v>66</v>
      </c>
      <c r="D74" s="91">
        <f>+'INV POIR PPERDIDAS'!D69</f>
        <v>10</v>
      </c>
      <c r="E74" s="92">
        <f>+'INV POIR PPERDIDAS'!E69</f>
        <v>660336978.95129299</v>
      </c>
      <c r="F74" s="93">
        <f>+VLOOKUP(C74,'INV POIR PPERDIDAS'!$C$4:$F$123,4,FALSE)</f>
        <v>45</v>
      </c>
      <c r="G74" s="94" t="str">
        <f t="shared" si="9"/>
        <v/>
      </c>
      <c r="H74" s="94">
        <f t="shared" si="8"/>
        <v>0</v>
      </c>
      <c r="I74" s="94">
        <f t="shared" si="8"/>
        <v>0</v>
      </c>
      <c r="J74" s="94">
        <f t="shared" si="8"/>
        <v>0</v>
      </c>
      <c r="K74" s="94">
        <f t="shared" si="8"/>
        <v>0</v>
      </c>
      <c r="L74" s="94">
        <f t="shared" si="8"/>
        <v>0</v>
      </c>
      <c r="M74" s="94">
        <f t="shared" si="8"/>
        <v>0</v>
      </c>
      <c r="N74" s="94">
        <f t="shared" si="8"/>
        <v>0</v>
      </c>
      <c r="O74" s="94">
        <f t="shared" si="8"/>
        <v>0</v>
      </c>
      <c r="P74" s="94">
        <f t="shared" si="8"/>
        <v>0</v>
      </c>
      <c r="Q74" s="94">
        <f t="shared" si="8"/>
        <v>0</v>
      </c>
    </row>
    <row r="75" spans="2:17" x14ac:dyDescent="0.2">
      <c r="B75" s="90" t="str">
        <f>+'INV POIR PPERDIDAS'!B70</f>
        <v>REDES</v>
      </c>
      <c r="C75" s="90">
        <f>+'INV POIR PPERDIDAS'!C70</f>
        <v>67</v>
      </c>
      <c r="D75" s="91">
        <f>+'INV POIR PPERDIDAS'!D70</f>
        <v>0</v>
      </c>
      <c r="E75" s="92">
        <f>+'INV POIR PPERDIDAS'!E70</f>
        <v>0</v>
      </c>
      <c r="F75" s="93">
        <f>+VLOOKUP(C75,'INV POIR PPERDIDAS'!$C$4:$F$123,4,FALSE)</f>
        <v>45</v>
      </c>
      <c r="G75" s="94" t="str">
        <f t="shared" si="9"/>
        <v/>
      </c>
      <c r="H75" s="94">
        <f t="shared" si="8"/>
        <v>0</v>
      </c>
      <c r="I75" s="94">
        <f t="shared" si="8"/>
        <v>0</v>
      </c>
      <c r="J75" s="94">
        <f t="shared" si="8"/>
        <v>0</v>
      </c>
      <c r="K75" s="94">
        <f t="shared" si="8"/>
        <v>0</v>
      </c>
      <c r="L75" s="94">
        <f t="shared" si="8"/>
        <v>0</v>
      </c>
      <c r="M75" s="94">
        <f t="shared" si="8"/>
        <v>0</v>
      </c>
      <c r="N75" s="94">
        <f t="shared" si="8"/>
        <v>0</v>
      </c>
      <c r="O75" s="94">
        <f t="shared" si="8"/>
        <v>0</v>
      </c>
      <c r="P75" s="94">
        <f t="shared" si="8"/>
        <v>0</v>
      </c>
      <c r="Q75" s="94">
        <f t="shared" si="8"/>
        <v>0</v>
      </c>
    </row>
    <row r="76" spans="2:17" x14ac:dyDescent="0.2">
      <c r="B76" s="90" t="str">
        <f>+'INV POIR PPERDIDAS'!B71</f>
        <v>REDES</v>
      </c>
      <c r="C76" s="90">
        <f>+'INV POIR PPERDIDAS'!C71</f>
        <v>68</v>
      </c>
      <c r="D76" s="91">
        <f>+'INV POIR PPERDIDAS'!D71</f>
        <v>1</v>
      </c>
      <c r="E76" s="92">
        <f>+'INV POIR PPERDIDAS'!E71</f>
        <v>0</v>
      </c>
      <c r="F76" s="93">
        <f>+VLOOKUP(C76,'INV POIR PPERDIDAS'!$C$4:$F$123,4,FALSE)</f>
        <v>45</v>
      </c>
      <c r="G76" s="94" t="str">
        <f t="shared" si="9"/>
        <v/>
      </c>
      <c r="H76" s="94">
        <f t="shared" si="8"/>
        <v>0</v>
      </c>
      <c r="I76" s="94">
        <f t="shared" si="8"/>
        <v>0</v>
      </c>
      <c r="J76" s="94">
        <f t="shared" si="8"/>
        <v>0</v>
      </c>
      <c r="K76" s="94">
        <f t="shared" si="8"/>
        <v>0</v>
      </c>
      <c r="L76" s="94">
        <f t="shared" si="8"/>
        <v>0</v>
      </c>
      <c r="M76" s="94">
        <f t="shared" si="8"/>
        <v>0</v>
      </c>
      <c r="N76" s="94">
        <f t="shared" si="8"/>
        <v>0</v>
      </c>
      <c r="O76" s="94">
        <f t="shared" si="8"/>
        <v>0</v>
      </c>
      <c r="P76" s="94">
        <f t="shared" si="8"/>
        <v>0</v>
      </c>
      <c r="Q76" s="94">
        <f t="shared" si="8"/>
        <v>0</v>
      </c>
    </row>
    <row r="77" spans="2:17" x14ac:dyDescent="0.2">
      <c r="B77" s="90" t="str">
        <f>+'INV POIR PPERDIDAS'!B72</f>
        <v>REDES</v>
      </c>
      <c r="C77" s="90">
        <f>+'INV POIR PPERDIDAS'!C72</f>
        <v>69</v>
      </c>
      <c r="D77" s="91">
        <f>+'INV POIR PPERDIDAS'!D72</f>
        <v>2</v>
      </c>
      <c r="E77" s="92">
        <f>+'INV POIR PPERDIDAS'!E72</f>
        <v>3410222003.4983039</v>
      </c>
      <c r="F77" s="93">
        <f>+VLOOKUP(C77,'INV POIR PPERDIDAS'!$C$4:$F$123,4,FALSE)</f>
        <v>45</v>
      </c>
      <c r="G77" s="94" t="str">
        <f t="shared" si="9"/>
        <v/>
      </c>
      <c r="H77" s="94">
        <f t="shared" si="8"/>
        <v>0</v>
      </c>
      <c r="I77" s="94">
        <f t="shared" si="8"/>
        <v>0</v>
      </c>
      <c r="J77" s="94">
        <f t="shared" si="8"/>
        <v>75782711.188851193</v>
      </c>
      <c r="K77" s="94">
        <f t="shared" si="8"/>
        <v>75782711.188851193</v>
      </c>
      <c r="L77" s="94">
        <f t="shared" si="8"/>
        <v>75782711.188851193</v>
      </c>
      <c r="M77" s="94">
        <f t="shared" si="8"/>
        <v>75782711.188851193</v>
      </c>
      <c r="N77" s="94">
        <f t="shared" si="8"/>
        <v>75782711.188851193</v>
      </c>
      <c r="O77" s="94">
        <f t="shared" si="8"/>
        <v>75782711.188851193</v>
      </c>
      <c r="P77" s="94">
        <f t="shared" si="8"/>
        <v>75782711.188851193</v>
      </c>
      <c r="Q77" s="94">
        <f t="shared" si="8"/>
        <v>75782711.188851193</v>
      </c>
    </row>
    <row r="78" spans="2:17" x14ac:dyDescent="0.2">
      <c r="B78" s="90" t="str">
        <f>+'INV POIR PPERDIDAS'!B73</f>
        <v>REDES</v>
      </c>
      <c r="C78" s="90">
        <f>+'INV POIR PPERDIDAS'!C73</f>
        <v>70</v>
      </c>
      <c r="D78" s="91">
        <f>+'INV POIR PPERDIDAS'!D73</f>
        <v>3</v>
      </c>
      <c r="E78" s="92">
        <f>+'INV POIR PPERDIDAS'!E73</f>
        <v>2708748274.8491516</v>
      </c>
      <c r="F78" s="93">
        <f>+VLOOKUP(C78,'INV POIR PPERDIDAS'!$C$4:$F$123,4,FALSE)</f>
        <v>45</v>
      </c>
      <c r="G78" s="94" t="str">
        <f t="shared" si="9"/>
        <v/>
      </c>
      <c r="H78" s="94">
        <f t="shared" si="8"/>
        <v>0</v>
      </c>
      <c r="I78" s="94">
        <f t="shared" si="8"/>
        <v>0</v>
      </c>
      <c r="J78" s="94">
        <f t="shared" si="8"/>
        <v>0</v>
      </c>
      <c r="K78" s="94">
        <f t="shared" si="8"/>
        <v>60194406.107758924</v>
      </c>
      <c r="L78" s="94">
        <f t="shared" si="8"/>
        <v>60194406.107758924</v>
      </c>
      <c r="M78" s="94">
        <f t="shared" si="8"/>
        <v>60194406.107758924</v>
      </c>
      <c r="N78" s="94">
        <f t="shared" si="8"/>
        <v>60194406.107758924</v>
      </c>
      <c r="O78" s="94">
        <f t="shared" si="8"/>
        <v>60194406.107758924</v>
      </c>
      <c r="P78" s="94">
        <f t="shared" si="8"/>
        <v>60194406.107758924</v>
      </c>
      <c r="Q78" s="94">
        <f t="shared" si="8"/>
        <v>60194406.107758924</v>
      </c>
    </row>
    <row r="79" spans="2:17" x14ac:dyDescent="0.2">
      <c r="B79" s="90" t="str">
        <f>+'INV POIR PPERDIDAS'!B74</f>
        <v>REDES</v>
      </c>
      <c r="C79" s="90">
        <f>+'INV POIR PPERDIDAS'!C74</f>
        <v>71</v>
      </c>
      <c r="D79" s="91">
        <f>+'INV POIR PPERDIDAS'!D74</f>
        <v>4</v>
      </c>
      <c r="E79" s="92">
        <f>+'INV POIR PPERDIDAS'!E74</f>
        <v>3788421935.8387451</v>
      </c>
      <c r="F79" s="93">
        <f>+VLOOKUP(C79,'INV POIR PPERDIDAS'!$C$4:$F$123,4,FALSE)</f>
        <v>45</v>
      </c>
      <c r="G79" s="94" t="str">
        <f t="shared" si="9"/>
        <v/>
      </c>
      <c r="H79" s="94">
        <f t="shared" ref="H79:Q88" si="10">+IF(H$8&lt;=$D79,0,IFERROR($E79/$F79,0))</f>
        <v>0</v>
      </c>
      <c r="I79" s="94">
        <f t="shared" si="10"/>
        <v>0</v>
      </c>
      <c r="J79" s="94">
        <f t="shared" si="10"/>
        <v>0</v>
      </c>
      <c r="K79" s="94">
        <f t="shared" si="10"/>
        <v>0</v>
      </c>
      <c r="L79" s="94">
        <f t="shared" si="10"/>
        <v>84187154.129749894</v>
      </c>
      <c r="M79" s="94">
        <f t="shared" si="10"/>
        <v>84187154.129749894</v>
      </c>
      <c r="N79" s="94">
        <f t="shared" si="10"/>
        <v>84187154.129749894</v>
      </c>
      <c r="O79" s="94">
        <f t="shared" si="10"/>
        <v>84187154.129749894</v>
      </c>
      <c r="P79" s="94">
        <f t="shared" si="10"/>
        <v>84187154.129749894</v>
      </c>
      <c r="Q79" s="94">
        <f t="shared" si="10"/>
        <v>84187154.129749894</v>
      </c>
    </row>
    <row r="80" spans="2:17" x14ac:dyDescent="0.2">
      <c r="B80" s="90" t="str">
        <f>+'INV POIR PPERDIDAS'!B75</f>
        <v>REDES</v>
      </c>
      <c r="C80" s="90">
        <f>+'INV POIR PPERDIDAS'!C75</f>
        <v>72</v>
      </c>
      <c r="D80" s="91">
        <f>+'INV POIR PPERDIDAS'!D75</f>
        <v>5</v>
      </c>
      <c r="E80" s="92">
        <f>+'INV POIR PPERDIDAS'!E75</f>
        <v>3229587745.4368062</v>
      </c>
      <c r="F80" s="93">
        <f>+VLOOKUP(C80,'INV POIR PPERDIDAS'!$C$4:$F$123,4,FALSE)</f>
        <v>45</v>
      </c>
      <c r="G80" s="94" t="str">
        <f t="shared" si="9"/>
        <v/>
      </c>
      <c r="H80" s="94">
        <f t="shared" si="10"/>
        <v>0</v>
      </c>
      <c r="I80" s="94">
        <f t="shared" si="10"/>
        <v>0</v>
      </c>
      <c r="J80" s="94">
        <f t="shared" si="10"/>
        <v>0</v>
      </c>
      <c r="K80" s="94">
        <f t="shared" si="10"/>
        <v>0</v>
      </c>
      <c r="L80" s="94">
        <f t="shared" si="10"/>
        <v>0</v>
      </c>
      <c r="M80" s="94">
        <f t="shared" si="10"/>
        <v>71768616.565262362</v>
      </c>
      <c r="N80" s="94">
        <f t="shared" si="10"/>
        <v>71768616.565262362</v>
      </c>
      <c r="O80" s="94">
        <f t="shared" si="10"/>
        <v>71768616.565262362</v>
      </c>
      <c r="P80" s="94">
        <f t="shared" si="10"/>
        <v>71768616.565262362</v>
      </c>
      <c r="Q80" s="94">
        <f t="shared" si="10"/>
        <v>71768616.565262362</v>
      </c>
    </row>
    <row r="81" spans="2:17" x14ac:dyDescent="0.2">
      <c r="B81" s="90" t="str">
        <f>+'INV POIR PPERDIDAS'!B76</f>
        <v>REDES</v>
      </c>
      <c r="C81" s="90">
        <f>+'INV POIR PPERDIDAS'!C76</f>
        <v>73</v>
      </c>
      <c r="D81" s="91">
        <f>+'INV POIR PPERDIDAS'!D76</f>
        <v>6</v>
      </c>
      <c r="E81" s="92">
        <f>+'INV POIR PPERDIDAS'!E76</f>
        <v>3975561272.1375804</v>
      </c>
      <c r="F81" s="93">
        <f>+VLOOKUP(C81,'INV POIR PPERDIDAS'!$C$4:$F$123,4,FALSE)</f>
        <v>45</v>
      </c>
      <c r="G81" s="94" t="str">
        <f t="shared" si="9"/>
        <v/>
      </c>
      <c r="H81" s="94">
        <f t="shared" si="10"/>
        <v>0</v>
      </c>
      <c r="I81" s="94">
        <f t="shared" si="10"/>
        <v>0</v>
      </c>
      <c r="J81" s="94">
        <f t="shared" si="10"/>
        <v>0</v>
      </c>
      <c r="K81" s="94">
        <f t="shared" si="10"/>
        <v>0</v>
      </c>
      <c r="L81" s="94">
        <f t="shared" si="10"/>
        <v>0</v>
      </c>
      <c r="M81" s="94">
        <f t="shared" si="10"/>
        <v>0</v>
      </c>
      <c r="N81" s="94">
        <f t="shared" si="10"/>
        <v>88345806.047501788</v>
      </c>
      <c r="O81" s="94">
        <f t="shared" si="10"/>
        <v>88345806.047501788</v>
      </c>
      <c r="P81" s="94">
        <f t="shared" si="10"/>
        <v>88345806.047501788</v>
      </c>
      <c r="Q81" s="94">
        <f t="shared" si="10"/>
        <v>88345806.047501788</v>
      </c>
    </row>
    <row r="82" spans="2:17" x14ac:dyDescent="0.2">
      <c r="B82" s="90" t="str">
        <f>+'INV POIR PPERDIDAS'!B77</f>
        <v>REDES</v>
      </c>
      <c r="C82" s="90">
        <f>+'INV POIR PPERDIDAS'!C77</f>
        <v>74</v>
      </c>
      <c r="D82" s="91">
        <f>+'INV POIR PPERDIDAS'!D77</f>
        <v>7</v>
      </c>
      <c r="E82" s="92">
        <f>+'INV POIR PPERDIDAS'!E77</f>
        <v>0</v>
      </c>
      <c r="F82" s="93">
        <f>+VLOOKUP(C82,'INV POIR PPERDIDAS'!$C$4:$F$123,4,FALSE)</f>
        <v>45</v>
      </c>
      <c r="G82" s="94" t="str">
        <f t="shared" si="9"/>
        <v/>
      </c>
      <c r="H82" s="94">
        <f t="shared" si="10"/>
        <v>0</v>
      </c>
      <c r="I82" s="94">
        <f t="shared" si="10"/>
        <v>0</v>
      </c>
      <c r="J82" s="94">
        <f t="shared" si="10"/>
        <v>0</v>
      </c>
      <c r="K82" s="94">
        <f t="shared" si="10"/>
        <v>0</v>
      </c>
      <c r="L82" s="94">
        <f t="shared" si="10"/>
        <v>0</v>
      </c>
      <c r="M82" s="94">
        <f t="shared" si="10"/>
        <v>0</v>
      </c>
      <c r="N82" s="94">
        <f t="shared" si="10"/>
        <v>0</v>
      </c>
      <c r="O82" s="94">
        <f t="shared" si="10"/>
        <v>0</v>
      </c>
      <c r="P82" s="94">
        <f t="shared" si="10"/>
        <v>0</v>
      </c>
      <c r="Q82" s="94">
        <f t="shared" si="10"/>
        <v>0</v>
      </c>
    </row>
    <row r="83" spans="2:17" x14ac:dyDescent="0.2">
      <c r="B83" s="90" t="str">
        <f>+'INV POIR PPERDIDAS'!B78</f>
        <v>REDES</v>
      </c>
      <c r="C83" s="90">
        <f>+'INV POIR PPERDIDAS'!C78</f>
        <v>75</v>
      </c>
      <c r="D83" s="91">
        <f>+'INV POIR PPERDIDAS'!D78</f>
        <v>8</v>
      </c>
      <c r="E83" s="92">
        <f>+'INV POIR PPERDIDAS'!E78</f>
        <v>0</v>
      </c>
      <c r="F83" s="93">
        <f>+VLOOKUP(C83,'INV POIR PPERDIDAS'!$C$4:$F$123,4,FALSE)</f>
        <v>45</v>
      </c>
      <c r="G83" s="94" t="str">
        <f t="shared" si="9"/>
        <v/>
      </c>
      <c r="H83" s="94">
        <f t="shared" si="10"/>
        <v>0</v>
      </c>
      <c r="I83" s="94">
        <f t="shared" si="10"/>
        <v>0</v>
      </c>
      <c r="J83" s="94">
        <f t="shared" si="10"/>
        <v>0</v>
      </c>
      <c r="K83" s="94">
        <f t="shared" si="10"/>
        <v>0</v>
      </c>
      <c r="L83" s="94">
        <f t="shared" si="10"/>
        <v>0</v>
      </c>
      <c r="M83" s="94">
        <f t="shared" si="10"/>
        <v>0</v>
      </c>
      <c r="N83" s="94">
        <f t="shared" si="10"/>
        <v>0</v>
      </c>
      <c r="O83" s="94">
        <f t="shared" si="10"/>
        <v>0</v>
      </c>
      <c r="P83" s="94">
        <f t="shared" si="10"/>
        <v>0</v>
      </c>
      <c r="Q83" s="94">
        <f t="shared" si="10"/>
        <v>0</v>
      </c>
    </row>
    <row r="84" spans="2:17" x14ac:dyDescent="0.2">
      <c r="B84" s="90" t="str">
        <f>+'INV POIR PPERDIDAS'!B79</f>
        <v>REDES</v>
      </c>
      <c r="C84" s="90">
        <f>+'INV POIR PPERDIDAS'!C79</f>
        <v>76</v>
      </c>
      <c r="D84" s="91">
        <f>+'INV POIR PPERDIDAS'!D79</f>
        <v>9</v>
      </c>
      <c r="E84" s="92">
        <f>+'INV POIR PPERDIDAS'!E79</f>
        <v>0</v>
      </c>
      <c r="F84" s="93">
        <f>+VLOOKUP(C84,'INV POIR PPERDIDAS'!$C$4:$F$123,4,FALSE)</f>
        <v>45</v>
      </c>
      <c r="G84" s="94" t="str">
        <f t="shared" si="9"/>
        <v/>
      </c>
      <c r="H84" s="94">
        <f t="shared" si="10"/>
        <v>0</v>
      </c>
      <c r="I84" s="94">
        <f t="shared" si="10"/>
        <v>0</v>
      </c>
      <c r="J84" s="94">
        <f t="shared" si="10"/>
        <v>0</v>
      </c>
      <c r="K84" s="94">
        <f t="shared" si="10"/>
        <v>0</v>
      </c>
      <c r="L84" s="94">
        <f t="shared" si="10"/>
        <v>0</v>
      </c>
      <c r="M84" s="94">
        <f t="shared" si="10"/>
        <v>0</v>
      </c>
      <c r="N84" s="94">
        <f t="shared" si="10"/>
        <v>0</v>
      </c>
      <c r="O84" s="94">
        <f t="shared" si="10"/>
        <v>0</v>
      </c>
      <c r="P84" s="94">
        <f t="shared" si="10"/>
        <v>0</v>
      </c>
      <c r="Q84" s="94">
        <f t="shared" si="10"/>
        <v>0</v>
      </c>
    </row>
    <row r="85" spans="2:17" x14ac:dyDescent="0.2">
      <c r="B85" s="90" t="str">
        <f>+'INV POIR PPERDIDAS'!B80</f>
        <v>REDES</v>
      </c>
      <c r="C85" s="90">
        <f>+'INV POIR PPERDIDAS'!C80</f>
        <v>77</v>
      </c>
      <c r="D85" s="91">
        <f>+'INV POIR PPERDIDAS'!D80</f>
        <v>10</v>
      </c>
      <c r="E85" s="92">
        <f>+'INV POIR PPERDIDAS'!E80</f>
        <v>0</v>
      </c>
      <c r="F85" s="93">
        <f>+VLOOKUP(C85,'INV POIR PPERDIDAS'!$C$4:$F$123,4,FALSE)</f>
        <v>45</v>
      </c>
      <c r="G85" s="94" t="str">
        <f t="shared" si="9"/>
        <v/>
      </c>
      <c r="H85" s="94">
        <f t="shared" si="10"/>
        <v>0</v>
      </c>
      <c r="I85" s="94">
        <f t="shared" si="10"/>
        <v>0</v>
      </c>
      <c r="J85" s="94">
        <f t="shared" si="10"/>
        <v>0</v>
      </c>
      <c r="K85" s="94">
        <f t="shared" si="10"/>
        <v>0</v>
      </c>
      <c r="L85" s="94">
        <f t="shared" si="10"/>
        <v>0</v>
      </c>
      <c r="M85" s="94">
        <f t="shared" si="10"/>
        <v>0</v>
      </c>
      <c r="N85" s="94">
        <f t="shared" si="10"/>
        <v>0</v>
      </c>
      <c r="O85" s="94">
        <f t="shared" si="10"/>
        <v>0</v>
      </c>
      <c r="P85" s="94">
        <f t="shared" si="10"/>
        <v>0</v>
      </c>
      <c r="Q85" s="94">
        <f t="shared" si="10"/>
        <v>0</v>
      </c>
    </row>
    <row r="86" spans="2:17" x14ac:dyDescent="0.2">
      <c r="B86" s="90" t="str">
        <f>+'INV POIR PPERDIDAS'!B81</f>
        <v>REDES</v>
      </c>
      <c r="C86" s="90">
        <f>+'INV POIR PPERDIDAS'!C81</f>
        <v>78</v>
      </c>
      <c r="D86" s="91">
        <f>+'INV POIR PPERDIDAS'!D81</f>
        <v>0</v>
      </c>
      <c r="E86" s="92">
        <f>+'INV POIR PPERDIDAS'!E81</f>
        <v>0</v>
      </c>
      <c r="F86" s="93">
        <f>+VLOOKUP(C86,'INV POIR PPERDIDAS'!$C$4:$F$123,4,FALSE)</f>
        <v>45</v>
      </c>
      <c r="G86" s="94" t="str">
        <f t="shared" si="9"/>
        <v/>
      </c>
      <c r="H86" s="94">
        <f t="shared" si="10"/>
        <v>0</v>
      </c>
      <c r="I86" s="94">
        <f t="shared" si="10"/>
        <v>0</v>
      </c>
      <c r="J86" s="94">
        <f t="shared" si="10"/>
        <v>0</v>
      </c>
      <c r="K86" s="94">
        <f t="shared" si="10"/>
        <v>0</v>
      </c>
      <c r="L86" s="94">
        <f t="shared" si="10"/>
        <v>0</v>
      </c>
      <c r="M86" s="94">
        <f t="shared" si="10"/>
        <v>0</v>
      </c>
      <c r="N86" s="94">
        <f t="shared" si="10"/>
        <v>0</v>
      </c>
      <c r="O86" s="94">
        <f t="shared" si="10"/>
        <v>0</v>
      </c>
      <c r="P86" s="94">
        <f t="shared" si="10"/>
        <v>0</v>
      </c>
      <c r="Q86" s="94">
        <f t="shared" si="10"/>
        <v>0</v>
      </c>
    </row>
    <row r="87" spans="2:17" x14ac:dyDescent="0.2">
      <c r="B87" s="90" t="str">
        <f>+'INV POIR PPERDIDAS'!B82</f>
        <v>REDES</v>
      </c>
      <c r="C87" s="90">
        <f>+'INV POIR PPERDIDAS'!C82</f>
        <v>79</v>
      </c>
      <c r="D87" s="91">
        <f>+'INV POIR PPERDIDAS'!D82</f>
        <v>1</v>
      </c>
      <c r="E87" s="92">
        <f>+'INV POIR PPERDIDAS'!E82</f>
        <v>0</v>
      </c>
      <c r="F87" s="93">
        <f>+VLOOKUP(C87,'INV POIR PPERDIDAS'!$C$4:$F$123,4,FALSE)</f>
        <v>45</v>
      </c>
      <c r="G87" s="94" t="str">
        <f t="shared" si="9"/>
        <v/>
      </c>
      <c r="H87" s="94">
        <f t="shared" si="10"/>
        <v>0</v>
      </c>
      <c r="I87" s="94">
        <f t="shared" si="10"/>
        <v>0</v>
      </c>
      <c r="J87" s="94">
        <f t="shared" si="10"/>
        <v>0</v>
      </c>
      <c r="K87" s="94">
        <f t="shared" si="10"/>
        <v>0</v>
      </c>
      <c r="L87" s="94">
        <f t="shared" si="10"/>
        <v>0</v>
      </c>
      <c r="M87" s="94">
        <f t="shared" si="10"/>
        <v>0</v>
      </c>
      <c r="N87" s="94">
        <f t="shared" si="10"/>
        <v>0</v>
      </c>
      <c r="O87" s="94">
        <f t="shared" si="10"/>
        <v>0</v>
      </c>
      <c r="P87" s="94">
        <f t="shared" si="10"/>
        <v>0</v>
      </c>
      <c r="Q87" s="94">
        <f t="shared" si="10"/>
        <v>0</v>
      </c>
    </row>
    <row r="88" spans="2:17" x14ac:dyDescent="0.2">
      <c r="B88" s="90" t="str">
        <f>+'INV POIR PPERDIDAS'!B83</f>
        <v>REDES</v>
      </c>
      <c r="C88" s="90">
        <f>+'INV POIR PPERDIDAS'!C83</f>
        <v>80</v>
      </c>
      <c r="D88" s="91">
        <f>+'INV POIR PPERDIDAS'!D83</f>
        <v>2</v>
      </c>
      <c r="E88" s="92">
        <f>+'INV POIR PPERDIDAS'!E83</f>
        <v>0</v>
      </c>
      <c r="F88" s="93">
        <f>+VLOOKUP(C88,'INV POIR PPERDIDAS'!$C$4:$F$123,4,FALSE)</f>
        <v>45</v>
      </c>
      <c r="G88" s="94" t="str">
        <f t="shared" si="9"/>
        <v/>
      </c>
      <c r="H88" s="94">
        <f t="shared" si="10"/>
        <v>0</v>
      </c>
      <c r="I88" s="94">
        <f t="shared" si="10"/>
        <v>0</v>
      </c>
      <c r="J88" s="94">
        <f t="shared" si="10"/>
        <v>0</v>
      </c>
      <c r="K88" s="94">
        <f t="shared" si="10"/>
        <v>0</v>
      </c>
      <c r="L88" s="94">
        <f t="shared" si="10"/>
        <v>0</v>
      </c>
      <c r="M88" s="94">
        <f t="shared" si="10"/>
        <v>0</v>
      </c>
      <c r="N88" s="94">
        <f t="shared" si="10"/>
        <v>0</v>
      </c>
      <c r="O88" s="94">
        <f t="shared" si="10"/>
        <v>0</v>
      </c>
      <c r="P88" s="94">
        <f t="shared" si="10"/>
        <v>0</v>
      </c>
      <c r="Q88" s="94">
        <f t="shared" si="10"/>
        <v>0</v>
      </c>
    </row>
    <row r="89" spans="2:17" x14ac:dyDescent="0.2">
      <c r="B89" s="90" t="str">
        <f>+'INV POIR PPERDIDAS'!B84</f>
        <v>REDES</v>
      </c>
      <c r="C89" s="90">
        <f>+'INV POIR PPERDIDAS'!C84</f>
        <v>81</v>
      </c>
      <c r="D89" s="91">
        <f>+'INV POIR PPERDIDAS'!D84</f>
        <v>3</v>
      </c>
      <c r="E89" s="92">
        <f>+'INV POIR PPERDIDAS'!E84</f>
        <v>0</v>
      </c>
      <c r="F89" s="93">
        <f>+VLOOKUP(C89,'INV POIR PPERDIDAS'!$C$4:$F$123,4,FALSE)</f>
        <v>45</v>
      </c>
      <c r="G89" s="94" t="str">
        <f t="shared" si="9"/>
        <v/>
      </c>
      <c r="H89" s="94">
        <f t="shared" ref="H89:Q98" si="11">+IF(H$8&lt;=$D89,0,IFERROR($E89/$F89,0))</f>
        <v>0</v>
      </c>
      <c r="I89" s="94">
        <f t="shared" si="11"/>
        <v>0</v>
      </c>
      <c r="J89" s="94">
        <f t="shared" si="11"/>
        <v>0</v>
      </c>
      <c r="K89" s="94">
        <f t="shared" si="11"/>
        <v>0</v>
      </c>
      <c r="L89" s="94">
        <f t="shared" si="11"/>
        <v>0</v>
      </c>
      <c r="M89" s="94">
        <f t="shared" si="11"/>
        <v>0</v>
      </c>
      <c r="N89" s="94">
        <f t="shared" si="11"/>
        <v>0</v>
      </c>
      <c r="O89" s="94">
        <f t="shared" si="11"/>
        <v>0</v>
      </c>
      <c r="P89" s="94">
        <f t="shared" si="11"/>
        <v>0</v>
      </c>
      <c r="Q89" s="94">
        <f t="shared" si="11"/>
        <v>0</v>
      </c>
    </row>
    <row r="90" spans="2:17" x14ac:dyDescent="0.2">
      <c r="B90" s="90" t="str">
        <f>+'INV POIR PPERDIDAS'!B85</f>
        <v>REDES</v>
      </c>
      <c r="C90" s="90">
        <f>+'INV POIR PPERDIDAS'!C85</f>
        <v>82</v>
      </c>
      <c r="D90" s="91">
        <f>+'INV POIR PPERDIDAS'!D85</f>
        <v>4</v>
      </c>
      <c r="E90" s="92">
        <f>+'INV POIR PPERDIDAS'!E85</f>
        <v>0</v>
      </c>
      <c r="F90" s="93">
        <f>+VLOOKUP(C90,'INV POIR PPERDIDAS'!$C$4:$F$123,4,FALSE)</f>
        <v>45</v>
      </c>
      <c r="G90" s="94" t="str">
        <f t="shared" si="9"/>
        <v/>
      </c>
      <c r="H90" s="94">
        <f t="shared" si="11"/>
        <v>0</v>
      </c>
      <c r="I90" s="94">
        <f t="shared" si="11"/>
        <v>0</v>
      </c>
      <c r="J90" s="94">
        <f t="shared" si="11"/>
        <v>0</v>
      </c>
      <c r="K90" s="94">
        <f t="shared" si="11"/>
        <v>0</v>
      </c>
      <c r="L90" s="94">
        <f t="shared" si="11"/>
        <v>0</v>
      </c>
      <c r="M90" s="94">
        <f t="shared" si="11"/>
        <v>0</v>
      </c>
      <c r="N90" s="94">
        <f t="shared" si="11"/>
        <v>0</v>
      </c>
      <c r="O90" s="94">
        <f t="shared" si="11"/>
        <v>0</v>
      </c>
      <c r="P90" s="94">
        <f t="shared" si="11"/>
        <v>0</v>
      </c>
      <c r="Q90" s="94">
        <f t="shared" si="11"/>
        <v>0</v>
      </c>
    </row>
    <row r="91" spans="2:17" x14ac:dyDescent="0.2">
      <c r="B91" s="90" t="str">
        <f>+'INV POIR PPERDIDAS'!B86</f>
        <v>REDES</v>
      </c>
      <c r="C91" s="90">
        <f>+'INV POIR PPERDIDAS'!C86</f>
        <v>83</v>
      </c>
      <c r="D91" s="91">
        <f>+'INV POIR PPERDIDAS'!D86</f>
        <v>5</v>
      </c>
      <c r="E91" s="92">
        <f>+'INV POIR PPERDIDAS'!E86</f>
        <v>0</v>
      </c>
      <c r="F91" s="93">
        <f>+VLOOKUP(C91,'INV POIR PPERDIDAS'!$C$4:$F$123,4,FALSE)</f>
        <v>45</v>
      </c>
      <c r="G91" s="94" t="str">
        <f t="shared" si="9"/>
        <v/>
      </c>
      <c r="H91" s="94">
        <f t="shared" si="11"/>
        <v>0</v>
      </c>
      <c r="I91" s="94">
        <f t="shared" si="11"/>
        <v>0</v>
      </c>
      <c r="J91" s="94">
        <f t="shared" si="11"/>
        <v>0</v>
      </c>
      <c r="K91" s="94">
        <f t="shared" si="11"/>
        <v>0</v>
      </c>
      <c r="L91" s="94">
        <f t="shared" si="11"/>
        <v>0</v>
      </c>
      <c r="M91" s="94">
        <f t="shared" si="11"/>
        <v>0</v>
      </c>
      <c r="N91" s="94">
        <f t="shared" si="11"/>
        <v>0</v>
      </c>
      <c r="O91" s="94">
        <f t="shared" si="11"/>
        <v>0</v>
      </c>
      <c r="P91" s="94">
        <f t="shared" si="11"/>
        <v>0</v>
      </c>
      <c r="Q91" s="94">
        <f t="shared" si="11"/>
        <v>0</v>
      </c>
    </row>
    <row r="92" spans="2:17" x14ac:dyDescent="0.2">
      <c r="B92" s="90" t="str">
        <f>+'INV POIR PPERDIDAS'!B87</f>
        <v>REDES</v>
      </c>
      <c r="C92" s="90">
        <f>+'INV POIR PPERDIDAS'!C87</f>
        <v>84</v>
      </c>
      <c r="D92" s="91">
        <f>+'INV POIR PPERDIDAS'!D87</f>
        <v>6</v>
      </c>
      <c r="E92" s="92">
        <f>+'INV POIR PPERDIDAS'!E87</f>
        <v>0</v>
      </c>
      <c r="F92" s="93">
        <f>+VLOOKUP(C92,'INV POIR PPERDIDAS'!$C$4:$F$123,4,FALSE)</f>
        <v>45</v>
      </c>
      <c r="G92" s="94" t="str">
        <f t="shared" si="9"/>
        <v/>
      </c>
      <c r="H92" s="94">
        <f t="shared" si="11"/>
        <v>0</v>
      </c>
      <c r="I92" s="94">
        <f t="shared" si="11"/>
        <v>0</v>
      </c>
      <c r="J92" s="94">
        <f t="shared" si="11"/>
        <v>0</v>
      </c>
      <c r="K92" s="94">
        <f t="shared" si="11"/>
        <v>0</v>
      </c>
      <c r="L92" s="94">
        <f t="shared" si="11"/>
        <v>0</v>
      </c>
      <c r="M92" s="94">
        <f t="shared" si="11"/>
        <v>0</v>
      </c>
      <c r="N92" s="94">
        <f t="shared" si="11"/>
        <v>0</v>
      </c>
      <c r="O92" s="94">
        <f t="shared" si="11"/>
        <v>0</v>
      </c>
      <c r="P92" s="94">
        <f t="shared" si="11"/>
        <v>0</v>
      </c>
      <c r="Q92" s="94">
        <f t="shared" si="11"/>
        <v>0</v>
      </c>
    </row>
    <row r="93" spans="2:17" x14ac:dyDescent="0.2">
      <c r="B93" s="90" t="str">
        <f>+'INV POIR PPERDIDAS'!B88</f>
        <v>REDES</v>
      </c>
      <c r="C93" s="90">
        <f>+'INV POIR PPERDIDAS'!C88</f>
        <v>85</v>
      </c>
      <c r="D93" s="91">
        <f>+'INV POIR PPERDIDAS'!D88</f>
        <v>7</v>
      </c>
      <c r="E93" s="92">
        <f>+'INV POIR PPERDIDAS'!E88</f>
        <v>0</v>
      </c>
      <c r="F93" s="93">
        <f>+VLOOKUP(C93,'INV POIR PPERDIDAS'!$C$4:$F$123,4,FALSE)</f>
        <v>45</v>
      </c>
      <c r="G93" s="94" t="str">
        <f t="shared" si="9"/>
        <v/>
      </c>
      <c r="H93" s="94">
        <f t="shared" si="11"/>
        <v>0</v>
      </c>
      <c r="I93" s="94">
        <f t="shared" si="11"/>
        <v>0</v>
      </c>
      <c r="J93" s="94">
        <f t="shared" si="11"/>
        <v>0</v>
      </c>
      <c r="K93" s="94">
        <f t="shared" si="11"/>
        <v>0</v>
      </c>
      <c r="L93" s="94">
        <f t="shared" si="11"/>
        <v>0</v>
      </c>
      <c r="M93" s="94">
        <f t="shared" si="11"/>
        <v>0</v>
      </c>
      <c r="N93" s="94">
        <f t="shared" si="11"/>
        <v>0</v>
      </c>
      <c r="O93" s="94">
        <f t="shared" si="11"/>
        <v>0</v>
      </c>
      <c r="P93" s="94">
        <f t="shared" si="11"/>
        <v>0</v>
      </c>
      <c r="Q93" s="94">
        <f t="shared" si="11"/>
        <v>0</v>
      </c>
    </row>
    <row r="94" spans="2:17" x14ac:dyDescent="0.2">
      <c r="B94" s="90" t="str">
        <f>+'INV POIR PPERDIDAS'!B89</f>
        <v>REDES</v>
      </c>
      <c r="C94" s="90">
        <f>+'INV POIR PPERDIDAS'!C89</f>
        <v>86</v>
      </c>
      <c r="D94" s="91">
        <f>+'INV POIR PPERDIDAS'!D89</f>
        <v>8</v>
      </c>
      <c r="E94" s="92">
        <f>+'INV POIR PPERDIDAS'!E89</f>
        <v>0</v>
      </c>
      <c r="F94" s="93">
        <f>+VLOOKUP(C94,'INV POIR PPERDIDAS'!$C$4:$F$123,4,FALSE)</f>
        <v>45</v>
      </c>
      <c r="G94" s="94" t="str">
        <f t="shared" si="9"/>
        <v/>
      </c>
      <c r="H94" s="94">
        <f t="shared" si="11"/>
        <v>0</v>
      </c>
      <c r="I94" s="94">
        <f t="shared" si="11"/>
        <v>0</v>
      </c>
      <c r="J94" s="94">
        <f t="shared" si="11"/>
        <v>0</v>
      </c>
      <c r="K94" s="94">
        <f t="shared" si="11"/>
        <v>0</v>
      </c>
      <c r="L94" s="94">
        <f t="shared" si="11"/>
        <v>0</v>
      </c>
      <c r="M94" s="94">
        <f t="shared" si="11"/>
        <v>0</v>
      </c>
      <c r="N94" s="94">
        <f t="shared" si="11"/>
        <v>0</v>
      </c>
      <c r="O94" s="94">
        <f t="shared" si="11"/>
        <v>0</v>
      </c>
      <c r="P94" s="94">
        <f t="shared" si="11"/>
        <v>0</v>
      </c>
      <c r="Q94" s="94">
        <f t="shared" si="11"/>
        <v>0</v>
      </c>
    </row>
    <row r="95" spans="2:17" x14ac:dyDescent="0.2">
      <c r="B95" s="90" t="str">
        <f>+'INV POIR PPERDIDAS'!B90</f>
        <v>REDES</v>
      </c>
      <c r="C95" s="90">
        <f>+'INV POIR PPERDIDAS'!C90</f>
        <v>87</v>
      </c>
      <c r="D95" s="91">
        <f>+'INV POIR PPERDIDAS'!D90</f>
        <v>9</v>
      </c>
      <c r="E95" s="92">
        <f>+'INV POIR PPERDIDAS'!E90</f>
        <v>0</v>
      </c>
      <c r="F95" s="93">
        <f>+VLOOKUP(C95,'INV POIR PPERDIDAS'!$C$4:$F$123,4,FALSE)</f>
        <v>45</v>
      </c>
      <c r="G95" s="94" t="str">
        <f t="shared" si="9"/>
        <v/>
      </c>
      <c r="H95" s="94">
        <f t="shared" si="11"/>
        <v>0</v>
      </c>
      <c r="I95" s="94">
        <f t="shared" si="11"/>
        <v>0</v>
      </c>
      <c r="J95" s="94">
        <f t="shared" si="11"/>
        <v>0</v>
      </c>
      <c r="K95" s="94">
        <f t="shared" si="11"/>
        <v>0</v>
      </c>
      <c r="L95" s="94">
        <f t="shared" si="11"/>
        <v>0</v>
      </c>
      <c r="M95" s="94">
        <f t="shared" si="11"/>
        <v>0</v>
      </c>
      <c r="N95" s="94">
        <f t="shared" si="11"/>
        <v>0</v>
      </c>
      <c r="O95" s="94">
        <f t="shared" si="11"/>
        <v>0</v>
      </c>
      <c r="P95" s="94">
        <f t="shared" si="11"/>
        <v>0</v>
      </c>
      <c r="Q95" s="94">
        <f t="shared" si="11"/>
        <v>0</v>
      </c>
    </row>
    <row r="96" spans="2:17" x14ac:dyDescent="0.2">
      <c r="B96" s="90" t="str">
        <f>+'INV POIR PPERDIDAS'!B91</f>
        <v>REDES</v>
      </c>
      <c r="C96" s="90">
        <f>+'INV POIR PPERDIDAS'!C91</f>
        <v>88</v>
      </c>
      <c r="D96" s="91">
        <f>+'INV POIR PPERDIDAS'!D91</f>
        <v>10</v>
      </c>
      <c r="E96" s="92">
        <f>+'INV POIR PPERDIDAS'!E91</f>
        <v>0</v>
      </c>
      <c r="F96" s="93">
        <f>+VLOOKUP(C96,'INV POIR PPERDIDAS'!$C$4:$F$123,4,FALSE)</f>
        <v>45</v>
      </c>
      <c r="G96" s="94" t="str">
        <f t="shared" si="9"/>
        <v/>
      </c>
      <c r="H96" s="94">
        <f t="shared" si="11"/>
        <v>0</v>
      </c>
      <c r="I96" s="94">
        <f t="shared" si="11"/>
        <v>0</v>
      </c>
      <c r="J96" s="94">
        <f t="shared" si="11"/>
        <v>0</v>
      </c>
      <c r="K96" s="94">
        <f t="shared" si="11"/>
        <v>0</v>
      </c>
      <c r="L96" s="94">
        <f t="shared" si="11"/>
        <v>0</v>
      </c>
      <c r="M96" s="94">
        <f t="shared" si="11"/>
        <v>0</v>
      </c>
      <c r="N96" s="94">
        <f t="shared" si="11"/>
        <v>0</v>
      </c>
      <c r="O96" s="94">
        <f t="shared" si="11"/>
        <v>0</v>
      </c>
      <c r="P96" s="94">
        <f t="shared" si="11"/>
        <v>0</v>
      </c>
      <c r="Q96" s="94">
        <f t="shared" si="11"/>
        <v>0</v>
      </c>
    </row>
    <row r="97" spans="2:17" x14ac:dyDescent="0.2">
      <c r="B97" s="90">
        <f>+'INV POIR PPERDIDAS'!B92</f>
        <v>0</v>
      </c>
      <c r="C97" s="90">
        <f>+'INV POIR PPERDIDAS'!C92</f>
        <v>89</v>
      </c>
      <c r="D97" s="91">
        <f>+'INV POIR PPERDIDAS'!D92</f>
        <v>0</v>
      </c>
      <c r="E97" s="92">
        <f>+'INV POIR PPERDIDAS'!E92</f>
        <v>0</v>
      </c>
      <c r="F97" s="93">
        <f>+VLOOKUP(C97,'INV POIR PPERDIDAS'!$C$4:$F$123,4,FALSE)</f>
        <v>1</v>
      </c>
      <c r="G97" s="94" t="str">
        <f t="shared" si="9"/>
        <v/>
      </c>
      <c r="H97" s="94">
        <f t="shared" si="11"/>
        <v>0</v>
      </c>
      <c r="I97" s="94">
        <f t="shared" si="11"/>
        <v>0</v>
      </c>
      <c r="J97" s="94">
        <f t="shared" si="11"/>
        <v>0</v>
      </c>
      <c r="K97" s="94">
        <f t="shared" si="11"/>
        <v>0</v>
      </c>
      <c r="L97" s="94">
        <f t="shared" si="11"/>
        <v>0</v>
      </c>
      <c r="M97" s="94">
        <f t="shared" si="11"/>
        <v>0</v>
      </c>
      <c r="N97" s="94">
        <f t="shared" si="11"/>
        <v>0</v>
      </c>
      <c r="O97" s="94">
        <f t="shared" si="11"/>
        <v>0</v>
      </c>
      <c r="P97" s="94">
        <f t="shared" si="11"/>
        <v>0</v>
      </c>
      <c r="Q97" s="94">
        <f t="shared" si="11"/>
        <v>0</v>
      </c>
    </row>
    <row r="98" spans="2:17" x14ac:dyDescent="0.2">
      <c r="B98" s="90">
        <f>+'INV POIR PPERDIDAS'!B93</f>
        <v>0</v>
      </c>
      <c r="C98" s="90">
        <f>+'INV POIR PPERDIDAS'!C93</f>
        <v>90</v>
      </c>
      <c r="D98" s="91">
        <f>+'INV POIR PPERDIDAS'!D93</f>
        <v>0</v>
      </c>
      <c r="E98" s="92">
        <f>+'INV POIR PPERDIDAS'!E93</f>
        <v>0</v>
      </c>
      <c r="F98" s="93">
        <f>+VLOOKUP(C98,'INV POIR PPERDIDAS'!$C$4:$F$123,4,FALSE)</f>
        <v>1</v>
      </c>
      <c r="G98" s="94" t="str">
        <f t="shared" si="9"/>
        <v/>
      </c>
      <c r="H98" s="94">
        <f t="shared" si="11"/>
        <v>0</v>
      </c>
      <c r="I98" s="94">
        <f t="shared" si="11"/>
        <v>0</v>
      </c>
      <c r="J98" s="94">
        <f t="shared" si="11"/>
        <v>0</v>
      </c>
      <c r="K98" s="94">
        <f t="shared" si="11"/>
        <v>0</v>
      </c>
      <c r="L98" s="94">
        <f t="shared" si="11"/>
        <v>0</v>
      </c>
      <c r="M98" s="94">
        <f t="shared" si="11"/>
        <v>0</v>
      </c>
      <c r="N98" s="94">
        <f t="shared" si="11"/>
        <v>0</v>
      </c>
      <c r="O98" s="94">
        <f t="shared" si="11"/>
        <v>0</v>
      </c>
      <c r="P98" s="94">
        <f t="shared" si="11"/>
        <v>0</v>
      </c>
      <c r="Q98" s="94">
        <f t="shared" si="11"/>
        <v>0</v>
      </c>
    </row>
    <row r="99" spans="2:17" x14ac:dyDescent="0.2">
      <c r="B99" s="90">
        <f>+'INV POIR PPERDIDAS'!B94</f>
        <v>0</v>
      </c>
      <c r="C99" s="90">
        <f>+'INV POIR PPERDIDAS'!C94</f>
        <v>91</v>
      </c>
      <c r="D99" s="91">
        <f>+'INV POIR PPERDIDAS'!D94</f>
        <v>0</v>
      </c>
      <c r="E99" s="92">
        <f>+'INV POIR PPERDIDAS'!E94</f>
        <v>0</v>
      </c>
      <c r="F99" s="93">
        <f>+VLOOKUP(C99,'INV POIR PPERDIDAS'!$C$4:$F$123,4,FALSE)</f>
        <v>1</v>
      </c>
      <c r="G99" s="94" t="str">
        <f t="shared" si="9"/>
        <v/>
      </c>
      <c r="H99" s="94">
        <f t="shared" ref="H99:Q108" si="12">+IF(H$8&lt;=$D99,0,IFERROR($E99/$F99,0))</f>
        <v>0</v>
      </c>
      <c r="I99" s="94">
        <f t="shared" si="12"/>
        <v>0</v>
      </c>
      <c r="J99" s="94">
        <f t="shared" si="12"/>
        <v>0</v>
      </c>
      <c r="K99" s="94">
        <f t="shared" si="12"/>
        <v>0</v>
      </c>
      <c r="L99" s="94">
        <f t="shared" si="12"/>
        <v>0</v>
      </c>
      <c r="M99" s="94">
        <f t="shared" si="12"/>
        <v>0</v>
      </c>
      <c r="N99" s="94">
        <f t="shared" si="12"/>
        <v>0</v>
      </c>
      <c r="O99" s="94">
        <f t="shared" si="12"/>
        <v>0</v>
      </c>
      <c r="P99" s="94">
        <f t="shared" si="12"/>
        <v>0</v>
      </c>
      <c r="Q99" s="94">
        <f t="shared" si="12"/>
        <v>0</v>
      </c>
    </row>
    <row r="100" spans="2:17" x14ac:dyDescent="0.2">
      <c r="B100" s="90">
        <f>+'INV POIR PPERDIDAS'!B95</f>
        <v>0</v>
      </c>
      <c r="C100" s="90">
        <f>+'INV POIR PPERDIDAS'!C95</f>
        <v>92</v>
      </c>
      <c r="D100" s="91">
        <f>+'INV POIR PPERDIDAS'!D95</f>
        <v>0</v>
      </c>
      <c r="E100" s="92">
        <f>+'INV POIR PPERDIDAS'!E95</f>
        <v>0</v>
      </c>
      <c r="F100" s="93">
        <f>+VLOOKUP(C100,'INV POIR PPERDIDAS'!$C$4:$F$123,4,FALSE)</f>
        <v>1</v>
      </c>
      <c r="G100" s="94" t="str">
        <f t="shared" si="9"/>
        <v/>
      </c>
      <c r="H100" s="94">
        <f t="shared" si="12"/>
        <v>0</v>
      </c>
      <c r="I100" s="94">
        <f t="shared" si="12"/>
        <v>0</v>
      </c>
      <c r="J100" s="94">
        <f t="shared" si="12"/>
        <v>0</v>
      </c>
      <c r="K100" s="94">
        <f t="shared" si="12"/>
        <v>0</v>
      </c>
      <c r="L100" s="94">
        <f t="shared" si="12"/>
        <v>0</v>
      </c>
      <c r="M100" s="94">
        <f t="shared" si="12"/>
        <v>0</v>
      </c>
      <c r="N100" s="94">
        <f t="shared" si="12"/>
        <v>0</v>
      </c>
      <c r="O100" s="94">
        <f t="shared" si="12"/>
        <v>0</v>
      </c>
      <c r="P100" s="94">
        <f t="shared" si="12"/>
        <v>0</v>
      </c>
      <c r="Q100" s="94">
        <f t="shared" si="12"/>
        <v>0</v>
      </c>
    </row>
    <row r="101" spans="2:17" x14ac:dyDescent="0.2">
      <c r="B101" s="90">
        <f>+'INV POIR PPERDIDAS'!B96</f>
        <v>0</v>
      </c>
      <c r="C101" s="90">
        <f>+'INV POIR PPERDIDAS'!C96</f>
        <v>93</v>
      </c>
      <c r="D101" s="91">
        <f>+'INV POIR PPERDIDAS'!D96</f>
        <v>0</v>
      </c>
      <c r="E101" s="92">
        <f>+'INV POIR PPERDIDAS'!E96</f>
        <v>0</v>
      </c>
      <c r="F101" s="93">
        <f>+VLOOKUP(C101,'INV POIR PPERDIDAS'!$C$4:$F$123,4,FALSE)</f>
        <v>1</v>
      </c>
      <c r="G101" s="94" t="str">
        <f t="shared" si="9"/>
        <v/>
      </c>
      <c r="H101" s="94">
        <f t="shared" si="12"/>
        <v>0</v>
      </c>
      <c r="I101" s="94">
        <f t="shared" si="12"/>
        <v>0</v>
      </c>
      <c r="J101" s="94">
        <f t="shared" si="12"/>
        <v>0</v>
      </c>
      <c r="K101" s="94">
        <f t="shared" si="12"/>
        <v>0</v>
      </c>
      <c r="L101" s="94">
        <f t="shared" si="12"/>
        <v>0</v>
      </c>
      <c r="M101" s="94">
        <f t="shared" si="12"/>
        <v>0</v>
      </c>
      <c r="N101" s="94">
        <f t="shared" si="12"/>
        <v>0</v>
      </c>
      <c r="O101" s="94">
        <f t="shared" si="12"/>
        <v>0</v>
      </c>
      <c r="P101" s="94">
        <f t="shared" si="12"/>
        <v>0</v>
      </c>
      <c r="Q101" s="94">
        <f t="shared" si="12"/>
        <v>0</v>
      </c>
    </row>
    <row r="102" spans="2:17" x14ac:dyDescent="0.2">
      <c r="B102" s="90">
        <f>+'INV POIR PPERDIDAS'!B97</f>
        <v>0</v>
      </c>
      <c r="C102" s="90">
        <f>+'INV POIR PPERDIDAS'!C97</f>
        <v>94</v>
      </c>
      <c r="D102" s="91">
        <f>+'INV POIR PPERDIDAS'!D97</f>
        <v>0</v>
      </c>
      <c r="E102" s="92">
        <f>+'INV POIR PPERDIDAS'!E97</f>
        <v>0</v>
      </c>
      <c r="F102" s="93">
        <f>+VLOOKUP(C102,'INV POIR PPERDIDAS'!$C$4:$F$123,4,FALSE)</f>
        <v>1</v>
      </c>
      <c r="G102" s="94" t="str">
        <f t="shared" si="9"/>
        <v/>
      </c>
      <c r="H102" s="94">
        <f t="shared" si="12"/>
        <v>0</v>
      </c>
      <c r="I102" s="94">
        <f t="shared" si="12"/>
        <v>0</v>
      </c>
      <c r="J102" s="94">
        <f t="shared" si="12"/>
        <v>0</v>
      </c>
      <c r="K102" s="94">
        <f t="shared" si="12"/>
        <v>0</v>
      </c>
      <c r="L102" s="94">
        <f t="shared" si="12"/>
        <v>0</v>
      </c>
      <c r="M102" s="94">
        <f t="shared" si="12"/>
        <v>0</v>
      </c>
      <c r="N102" s="94">
        <f t="shared" si="12"/>
        <v>0</v>
      </c>
      <c r="O102" s="94">
        <f t="shared" si="12"/>
        <v>0</v>
      </c>
      <c r="P102" s="94">
        <f t="shared" si="12"/>
        <v>0</v>
      </c>
      <c r="Q102" s="94">
        <f t="shared" si="12"/>
        <v>0</v>
      </c>
    </row>
    <row r="103" spans="2:17" x14ac:dyDescent="0.2">
      <c r="B103" s="90">
        <f>+'INV POIR PPERDIDAS'!B98</f>
        <v>0</v>
      </c>
      <c r="C103" s="90">
        <f>+'INV POIR PPERDIDAS'!C98</f>
        <v>95</v>
      </c>
      <c r="D103" s="91">
        <f>+'INV POIR PPERDIDAS'!D98</f>
        <v>0</v>
      </c>
      <c r="E103" s="92">
        <f>+'INV POIR PPERDIDAS'!E98</f>
        <v>0</v>
      </c>
      <c r="F103" s="93">
        <f>+VLOOKUP(C103,'INV POIR PPERDIDAS'!$C$4:$F$123,4,FALSE)</f>
        <v>1</v>
      </c>
      <c r="G103" s="94" t="str">
        <f t="shared" si="9"/>
        <v/>
      </c>
      <c r="H103" s="94">
        <f t="shared" si="12"/>
        <v>0</v>
      </c>
      <c r="I103" s="94">
        <f t="shared" si="12"/>
        <v>0</v>
      </c>
      <c r="J103" s="94">
        <f t="shared" si="12"/>
        <v>0</v>
      </c>
      <c r="K103" s="94">
        <f t="shared" si="12"/>
        <v>0</v>
      </c>
      <c r="L103" s="94">
        <f t="shared" si="12"/>
        <v>0</v>
      </c>
      <c r="M103" s="94">
        <f t="shared" si="12"/>
        <v>0</v>
      </c>
      <c r="N103" s="94">
        <f t="shared" si="12"/>
        <v>0</v>
      </c>
      <c r="O103" s="94">
        <f t="shared" si="12"/>
        <v>0</v>
      </c>
      <c r="P103" s="94">
        <f t="shared" si="12"/>
        <v>0</v>
      </c>
      <c r="Q103" s="94">
        <f t="shared" si="12"/>
        <v>0</v>
      </c>
    </row>
    <row r="104" spans="2:17" x14ac:dyDescent="0.2">
      <c r="B104" s="90">
        <f>+'INV POIR PPERDIDAS'!B99</f>
        <v>0</v>
      </c>
      <c r="C104" s="90">
        <f>+'INV POIR PPERDIDAS'!C99</f>
        <v>96</v>
      </c>
      <c r="D104" s="91">
        <f>+'INV POIR PPERDIDAS'!D99</f>
        <v>0</v>
      </c>
      <c r="E104" s="92">
        <f>+'INV POIR PPERDIDAS'!E99</f>
        <v>0</v>
      </c>
      <c r="F104" s="93">
        <f>+VLOOKUP(C104,'INV POIR PPERDIDAS'!$C$4:$F$123,4,FALSE)</f>
        <v>1</v>
      </c>
      <c r="G104" s="94" t="str">
        <f t="shared" si="9"/>
        <v/>
      </c>
      <c r="H104" s="94">
        <f t="shared" si="12"/>
        <v>0</v>
      </c>
      <c r="I104" s="94">
        <f t="shared" si="12"/>
        <v>0</v>
      </c>
      <c r="J104" s="94">
        <f t="shared" si="12"/>
        <v>0</v>
      </c>
      <c r="K104" s="94">
        <f t="shared" si="12"/>
        <v>0</v>
      </c>
      <c r="L104" s="94">
        <f t="shared" si="12"/>
        <v>0</v>
      </c>
      <c r="M104" s="94">
        <f t="shared" si="12"/>
        <v>0</v>
      </c>
      <c r="N104" s="94">
        <f t="shared" si="12"/>
        <v>0</v>
      </c>
      <c r="O104" s="94">
        <f t="shared" si="12"/>
        <v>0</v>
      </c>
      <c r="P104" s="94">
        <f t="shared" si="12"/>
        <v>0</v>
      </c>
      <c r="Q104" s="94">
        <f t="shared" si="12"/>
        <v>0</v>
      </c>
    </row>
    <row r="105" spans="2:17" x14ac:dyDescent="0.2">
      <c r="B105" s="90">
        <f>+'INV POIR PPERDIDAS'!B100</f>
        <v>0</v>
      </c>
      <c r="C105" s="90">
        <f>+'INV POIR PPERDIDAS'!C100</f>
        <v>97</v>
      </c>
      <c r="D105" s="91">
        <f>+'INV POIR PPERDIDAS'!D100</f>
        <v>0</v>
      </c>
      <c r="E105" s="92">
        <f>+'INV POIR PPERDIDAS'!E100</f>
        <v>0</v>
      </c>
      <c r="F105" s="93">
        <f>+VLOOKUP(C105,'INV POIR PPERDIDAS'!$C$4:$F$123,4,FALSE)</f>
        <v>1</v>
      </c>
      <c r="G105" s="94" t="str">
        <f t="shared" ref="G105:G128" si="13">+IF(G$8&lt;=$D105,"",IFERROR($E105/$F105,0))</f>
        <v/>
      </c>
      <c r="H105" s="94">
        <f t="shared" si="12"/>
        <v>0</v>
      </c>
      <c r="I105" s="94">
        <f t="shared" si="12"/>
        <v>0</v>
      </c>
      <c r="J105" s="94">
        <f t="shared" si="12"/>
        <v>0</v>
      </c>
      <c r="K105" s="94">
        <f t="shared" si="12"/>
        <v>0</v>
      </c>
      <c r="L105" s="94">
        <f t="shared" si="12"/>
        <v>0</v>
      </c>
      <c r="M105" s="94">
        <f t="shared" si="12"/>
        <v>0</v>
      </c>
      <c r="N105" s="94">
        <f t="shared" si="12"/>
        <v>0</v>
      </c>
      <c r="O105" s="94">
        <f t="shared" si="12"/>
        <v>0</v>
      </c>
      <c r="P105" s="94">
        <f t="shared" si="12"/>
        <v>0</v>
      </c>
      <c r="Q105" s="94">
        <f t="shared" si="12"/>
        <v>0</v>
      </c>
    </row>
    <row r="106" spans="2:17" x14ac:dyDescent="0.2">
      <c r="B106" s="90">
        <f>+'INV POIR PPERDIDAS'!B101</f>
        <v>0</v>
      </c>
      <c r="C106" s="90">
        <f>+'INV POIR PPERDIDAS'!C101</f>
        <v>98</v>
      </c>
      <c r="D106" s="91">
        <f>+'INV POIR PPERDIDAS'!D101</f>
        <v>0</v>
      </c>
      <c r="E106" s="92">
        <f>+'INV POIR PPERDIDAS'!E101</f>
        <v>0</v>
      </c>
      <c r="F106" s="93">
        <f>+VLOOKUP(C106,'INV POIR PPERDIDAS'!$C$4:$F$123,4,FALSE)</f>
        <v>1</v>
      </c>
      <c r="G106" s="94" t="str">
        <f t="shared" si="13"/>
        <v/>
      </c>
      <c r="H106" s="94">
        <f t="shared" si="12"/>
        <v>0</v>
      </c>
      <c r="I106" s="94">
        <f t="shared" si="12"/>
        <v>0</v>
      </c>
      <c r="J106" s="94">
        <f t="shared" si="12"/>
        <v>0</v>
      </c>
      <c r="K106" s="94">
        <f t="shared" si="12"/>
        <v>0</v>
      </c>
      <c r="L106" s="94">
        <f t="shared" si="12"/>
        <v>0</v>
      </c>
      <c r="M106" s="94">
        <f t="shared" si="12"/>
        <v>0</v>
      </c>
      <c r="N106" s="94">
        <f t="shared" si="12"/>
        <v>0</v>
      </c>
      <c r="O106" s="94">
        <f t="shared" si="12"/>
        <v>0</v>
      </c>
      <c r="P106" s="94">
        <f t="shared" si="12"/>
        <v>0</v>
      </c>
      <c r="Q106" s="94">
        <f t="shared" si="12"/>
        <v>0</v>
      </c>
    </row>
    <row r="107" spans="2:17" x14ac:dyDescent="0.2">
      <c r="B107" s="90">
        <f>+'INV POIR PPERDIDAS'!B102</f>
        <v>0</v>
      </c>
      <c r="C107" s="90">
        <f>+'INV POIR PPERDIDAS'!C102</f>
        <v>99</v>
      </c>
      <c r="D107" s="91">
        <f>+'INV POIR PPERDIDAS'!D102</f>
        <v>0</v>
      </c>
      <c r="E107" s="92">
        <f>+'INV POIR PPERDIDAS'!E102</f>
        <v>0</v>
      </c>
      <c r="F107" s="93">
        <f>+VLOOKUP(C107,'INV POIR PPERDIDAS'!$C$4:$F$123,4,FALSE)</f>
        <v>1</v>
      </c>
      <c r="G107" s="94" t="str">
        <f t="shared" si="13"/>
        <v/>
      </c>
      <c r="H107" s="94">
        <f t="shared" si="12"/>
        <v>0</v>
      </c>
      <c r="I107" s="94">
        <f t="shared" si="12"/>
        <v>0</v>
      </c>
      <c r="J107" s="94">
        <f t="shared" si="12"/>
        <v>0</v>
      </c>
      <c r="K107" s="94">
        <f t="shared" si="12"/>
        <v>0</v>
      </c>
      <c r="L107" s="94">
        <f t="shared" si="12"/>
        <v>0</v>
      </c>
      <c r="M107" s="94">
        <f t="shared" si="12"/>
        <v>0</v>
      </c>
      <c r="N107" s="94">
        <f t="shared" si="12"/>
        <v>0</v>
      </c>
      <c r="O107" s="94">
        <f t="shared" si="12"/>
        <v>0</v>
      </c>
      <c r="P107" s="94">
        <f t="shared" si="12"/>
        <v>0</v>
      </c>
      <c r="Q107" s="94">
        <f t="shared" si="12"/>
        <v>0</v>
      </c>
    </row>
    <row r="108" spans="2:17" x14ac:dyDescent="0.2">
      <c r="B108" s="90">
        <f>+'INV POIR PPERDIDAS'!B103</f>
        <v>0</v>
      </c>
      <c r="C108" s="90">
        <f>+'INV POIR PPERDIDAS'!C103</f>
        <v>100</v>
      </c>
      <c r="D108" s="91">
        <f>+'INV POIR PPERDIDAS'!D103</f>
        <v>0</v>
      </c>
      <c r="E108" s="92">
        <f>+'INV POIR PPERDIDAS'!E103</f>
        <v>0</v>
      </c>
      <c r="F108" s="93">
        <f>+VLOOKUP(C108,'INV POIR PPERDIDAS'!$C$4:$F$123,4,FALSE)</f>
        <v>1</v>
      </c>
      <c r="G108" s="94" t="str">
        <f t="shared" si="13"/>
        <v/>
      </c>
      <c r="H108" s="94">
        <f t="shared" si="12"/>
        <v>0</v>
      </c>
      <c r="I108" s="94">
        <f t="shared" si="12"/>
        <v>0</v>
      </c>
      <c r="J108" s="94">
        <f t="shared" si="12"/>
        <v>0</v>
      </c>
      <c r="K108" s="94">
        <f t="shared" si="12"/>
        <v>0</v>
      </c>
      <c r="L108" s="94">
        <f t="shared" si="12"/>
        <v>0</v>
      </c>
      <c r="M108" s="94">
        <f t="shared" si="12"/>
        <v>0</v>
      </c>
      <c r="N108" s="94">
        <f t="shared" si="12"/>
        <v>0</v>
      </c>
      <c r="O108" s="94">
        <f t="shared" si="12"/>
        <v>0</v>
      </c>
      <c r="P108" s="94">
        <f t="shared" si="12"/>
        <v>0</v>
      </c>
      <c r="Q108" s="94">
        <f t="shared" si="12"/>
        <v>0</v>
      </c>
    </row>
    <row r="109" spans="2:17" x14ac:dyDescent="0.2">
      <c r="B109" s="90">
        <f>+'INV POIR PPERDIDAS'!B104</f>
        <v>0</v>
      </c>
      <c r="C109" s="90">
        <f>+'INV POIR PPERDIDAS'!C104</f>
        <v>101</v>
      </c>
      <c r="D109" s="91">
        <f>+'INV POIR PPERDIDAS'!D104</f>
        <v>0</v>
      </c>
      <c r="E109" s="92">
        <f>+'INV POIR PPERDIDAS'!E104</f>
        <v>0</v>
      </c>
      <c r="F109" s="93">
        <f>+VLOOKUP(C109,'INV POIR PPERDIDAS'!$C$4:$F$123,4,FALSE)</f>
        <v>1</v>
      </c>
      <c r="G109" s="94" t="str">
        <f t="shared" si="13"/>
        <v/>
      </c>
      <c r="H109" s="94">
        <f t="shared" ref="H109:Q118" si="14">+IF(H$8&lt;=$D109,0,IFERROR($E109/$F109,0))</f>
        <v>0</v>
      </c>
      <c r="I109" s="94">
        <f t="shared" si="14"/>
        <v>0</v>
      </c>
      <c r="J109" s="94">
        <f t="shared" si="14"/>
        <v>0</v>
      </c>
      <c r="K109" s="94">
        <f t="shared" si="14"/>
        <v>0</v>
      </c>
      <c r="L109" s="94">
        <f t="shared" si="14"/>
        <v>0</v>
      </c>
      <c r="M109" s="94">
        <f t="shared" si="14"/>
        <v>0</v>
      </c>
      <c r="N109" s="94">
        <f t="shared" si="14"/>
        <v>0</v>
      </c>
      <c r="O109" s="94">
        <f t="shared" si="14"/>
        <v>0</v>
      </c>
      <c r="P109" s="94">
        <f t="shared" si="14"/>
        <v>0</v>
      </c>
      <c r="Q109" s="94">
        <f t="shared" si="14"/>
        <v>0</v>
      </c>
    </row>
    <row r="110" spans="2:17" x14ac:dyDescent="0.2">
      <c r="B110" s="90">
        <f>+'INV POIR PPERDIDAS'!B105</f>
        <v>0</v>
      </c>
      <c r="C110" s="90">
        <f>+'INV POIR PPERDIDAS'!C105</f>
        <v>102</v>
      </c>
      <c r="D110" s="91">
        <f>+'INV POIR PPERDIDAS'!D105</f>
        <v>0</v>
      </c>
      <c r="E110" s="92">
        <f>+'INV POIR PPERDIDAS'!E105</f>
        <v>0</v>
      </c>
      <c r="F110" s="93">
        <f>+VLOOKUP(C110,'INV POIR PPERDIDAS'!$C$4:$F$123,4,FALSE)</f>
        <v>1</v>
      </c>
      <c r="G110" s="94" t="str">
        <f t="shared" si="13"/>
        <v/>
      </c>
      <c r="H110" s="94">
        <f t="shared" si="14"/>
        <v>0</v>
      </c>
      <c r="I110" s="94">
        <f t="shared" si="14"/>
        <v>0</v>
      </c>
      <c r="J110" s="94">
        <f t="shared" si="14"/>
        <v>0</v>
      </c>
      <c r="K110" s="94">
        <f t="shared" si="14"/>
        <v>0</v>
      </c>
      <c r="L110" s="94">
        <f t="shared" si="14"/>
        <v>0</v>
      </c>
      <c r="M110" s="94">
        <f t="shared" si="14"/>
        <v>0</v>
      </c>
      <c r="N110" s="94">
        <f t="shared" si="14"/>
        <v>0</v>
      </c>
      <c r="O110" s="94">
        <f t="shared" si="14"/>
        <v>0</v>
      </c>
      <c r="P110" s="94">
        <f t="shared" si="14"/>
        <v>0</v>
      </c>
      <c r="Q110" s="94">
        <f t="shared" si="14"/>
        <v>0</v>
      </c>
    </row>
    <row r="111" spans="2:17" x14ac:dyDescent="0.2">
      <c r="B111" s="90">
        <f>+'INV POIR PPERDIDAS'!B106</f>
        <v>0</v>
      </c>
      <c r="C111" s="90">
        <f>+'INV POIR PPERDIDAS'!C106</f>
        <v>103</v>
      </c>
      <c r="D111" s="91">
        <f>+'INV POIR PPERDIDAS'!D106</f>
        <v>0</v>
      </c>
      <c r="E111" s="92">
        <f>+'INV POIR PPERDIDAS'!E106</f>
        <v>0</v>
      </c>
      <c r="F111" s="93">
        <f>+VLOOKUP(C111,'INV POIR PPERDIDAS'!$C$4:$F$123,4,FALSE)</f>
        <v>1</v>
      </c>
      <c r="G111" s="94" t="str">
        <f t="shared" si="13"/>
        <v/>
      </c>
      <c r="H111" s="94">
        <f t="shared" si="14"/>
        <v>0</v>
      </c>
      <c r="I111" s="94">
        <f t="shared" si="14"/>
        <v>0</v>
      </c>
      <c r="J111" s="94">
        <f t="shared" si="14"/>
        <v>0</v>
      </c>
      <c r="K111" s="94">
        <f t="shared" si="14"/>
        <v>0</v>
      </c>
      <c r="L111" s="94">
        <f t="shared" si="14"/>
        <v>0</v>
      </c>
      <c r="M111" s="94">
        <f t="shared" si="14"/>
        <v>0</v>
      </c>
      <c r="N111" s="94">
        <f t="shared" si="14"/>
        <v>0</v>
      </c>
      <c r="O111" s="94">
        <f t="shared" si="14"/>
        <v>0</v>
      </c>
      <c r="P111" s="94">
        <f t="shared" si="14"/>
        <v>0</v>
      </c>
      <c r="Q111" s="94">
        <f t="shared" si="14"/>
        <v>0</v>
      </c>
    </row>
    <row r="112" spans="2:17" x14ac:dyDescent="0.2">
      <c r="B112" s="90">
        <f>+'INV POIR PPERDIDAS'!B107</f>
        <v>0</v>
      </c>
      <c r="C112" s="90">
        <f>+'INV POIR PPERDIDAS'!C107</f>
        <v>104</v>
      </c>
      <c r="D112" s="91">
        <f>+'INV POIR PPERDIDAS'!D107</f>
        <v>0</v>
      </c>
      <c r="E112" s="92">
        <f>+'INV POIR PPERDIDAS'!E107</f>
        <v>0</v>
      </c>
      <c r="F112" s="93">
        <f>+VLOOKUP(C112,'INV POIR PPERDIDAS'!$C$4:$F$123,4,FALSE)</f>
        <v>1</v>
      </c>
      <c r="G112" s="94" t="str">
        <f t="shared" si="13"/>
        <v/>
      </c>
      <c r="H112" s="94">
        <f t="shared" si="14"/>
        <v>0</v>
      </c>
      <c r="I112" s="94">
        <f t="shared" si="14"/>
        <v>0</v>
      </c>
      <c r="J112" s="94">
        <f t="shared" si="14"/>
        <v>0</v>
      </c>
      <c r="K112" s="94">
        <f t="shared" si="14"/>
        <v>0</v>
      </c>
      <c r="L112" s="94">
        <f t="shared" si="14"/>
        <v>0</v>
      </c>
      <c r="M112" s="94">
        <f t="shared" si="14"/>
        <v>0</v>
      </c>
      <c r="N112" s="94">
        <f t="shared" si="14"/>
        <v>0</v>
      </c>
      <c r="O112" s="94">
        <f t="shared" si="14"/>
        <v>0</v>
      </c>
      <c r="P112" s="94">
        <f t="shared" si="14"/>
        <v>0</v>
      </c>
      <c r="Q112" s="94">
        <f t="shared" si="14"/>
        <v>0</v>
      </c>
    </row>
    <row r="113" spans="2:17" x14ac:dyDescent="0.2">
      <c r="B113" s="90">
        <f>+'INV POIR PPERDIDAS'!B108</f>
        <v>0</v>
      </c>
      <c r="C113" s="90">
        <f>+'INV POIR PPERDIDAS'!C108</f>
        <v>105</v>
      </c>
      <c r="D113" s="91">
        <f>+'INV POIR PPERDIDAS'!D108</f>
        <v>0</v>
      </c>
      <c r="E113" s="92">
        <f>+'INV POIR PPERDIDAS'!E108</f>
        <v>0</v>
      </c>
      <c r="F113" s="93">
        <f>+VLOOKUP(C113,'INV POIR PPERDIDAS'!$C$4:$F$123,4,FALSE)</f>
        <v>1</v>
      </c>
      <c r="G113" s="94" t="str">
        <f t="shared" si="13"/>
        <v/>
      </c>
      <c r="H113" s="94">
        <f t="shared" si="14"/>
        <v>0</v>
      </c>
      <c r="I113" s="94">
        <f t="shared" si="14"/>
        <v>0</v>
      </c>
      <c r="J113" s="94">
        <f t="shared" si="14"/>
        <v>0</v>
      </c>
      <c r="K113" s="94">
        <f t="shared" si="14"/>
        <v>0</v>
      </c>
      <c r="L113" s="94">
        <f t="shared" si="14"/>
        <v>0</v>
      </c>
      <c r="M113" s="94">
        <f t="shared" si="14"/>
        <v>0</v>
      </c>
      <c r="N113" s="94">
        <f t="shared" si="14"/>
        <v>0</v>
      </c>
      <c r="O113" s="94">
        <f t="shared" si="14"/>
        <v>0</v>
      </c>
      <c r="P113" s="94">
        <f t="shared" si="14"/>
        <v>0</v>
      </c>
      <c r="Q113" s="94">
        <f t="shared" si="14"/>
        <v>0</v>
      </c>
    </row>
    <row r="114" spans="2:17" x14ac:dyDescent="0.2">
      <c r="B114" s="90">
        <f>+'INV POIR PPERDIDAS'!B109</f>
        <v>0</v>
      </c>
      <c r="C114" s="90">
        <f>+'INV POIR PPERDIDAS'!C109</f>
        <v>106</v>
      </c>
      <c r="D114" s="91">
        <f>+'INV POIR PPERDIDAS'!D109</f>
        <v>0</v>
      </c>
      <c r="E114" s="92">
        <f>+'INV POIR PPERDIDAS'!E109</f>
        <v>0</v>
      </c>
      <c r="F114" s="93">
        <f>+VLOOKUP(C114,'INV POIR PPERDIDAS'!$C$4:$F$123,4,FALSE)</f>
        <v>1</v>
      </c>
      <c r="G114" s="94" t="str">
        <f t="shared" si="13"/>
        <v/>
      </c>
      <c r="H114" s="94">
        <f t="shared" si="14"/>
        <v>0</v>
      </c>
      <c r="I114" s="94">
        <f t="shared" si="14"/>
        <v>0</v>
      </c>
      <c r="J114" s="94">
        <f t="shared" si="14"/>
        <v>0</v>
      </c>
      <c r="K114" s="94">
        <f t="shared" si="14"/>
        <v>0</v>
      </c>
      <c r="L114" s="94">
        <f t="shared" si="14"/>
        <v>0</v>
      </c>
      <c r="M114" s="94">
        <f t="shared" si="14"/>
        <v>0</v>
      </c>
      <c r="N114" s="94">
        <f t="shared" si="14"/>
        <v>0</v>
      </c>
      <c r="O114" s="94">
        <f t="shared" si="14"/>
        <v>0</v>
      </c>
      <c r="P114" s="94">
        <f t="shared" si="14"/>
        <v>0</v>
      </c>
      <c r="Q114" s="94">
        <f t="shared" si="14"/>
        <v>0</v>
      </c>
    </row>
    <row r="115" spans="2:17" x14ac:dyDescent="0.2">
      <c r="B115" s="90">
        <f>+'INV POIR PPERDIDAS'!B110</f>
        <v>0</v>
      </c>
      <c r="C115" s="90">
        <f>+'INV POIR PPERDIDAS'!C110</f>
        <v>107</v>
      </c>
      <c r="D115" s="91">
        <f>+'INV POIR PPERDIDAS'!D110</f>
        <v>0</v>
      </c>
      <c r="E115" s="92">
        <f>+'INV POIR PPERDIDAS'!E110</f>
        <v>0</v>
      </c>
      <c r="F115" s="93">
        <f>+VLOOKUP(C115,'INV POIR PPERDIDAS'!$C$4:$F$123,4,FALSE)</f>
        <v>1</v>
      </c>
      <c r="G115" s="94" t="str">
        <f t="shared" si="13"/>
        <v/>
      </c>
      <c r="H115" s="94">
        <f t="shared" si="14"/>
        <v>0</v>
      </c>
      <c r="I115" s="94">
        <f t="shared" si="14"/>
        <v>0</v>
      </c>
      <c r="J115" s="94">
        <f t="shared" si="14"/>
        <v>0</v>
      </c>
      <c r="K115" s="94">
        <f t="shared" si="14"/>
        <v>0</v>
      </c>
      <c r="L115" s="94">
        <f t="shared" si="14"/>
        <v>0</v>
      </c>
      <c r="M115" s="94">
        <f t="shared" si="14"/>
        <v>0</v>
      </c>
      <c r="N115" s="94">
        <f t="shared" si="14"/>
        <v>0</v>
      </c>
      <c r="O115" s="94">
        <f t="shared" si="14"/>
        <v>0</v>
      </c>
      <c r="P115" s="94">
        <f t="shared" si="14"/>
        <v>0</v>
      </c>
      <c r="Q115" s="94">
        <f t="shared" si="14"/>
        <v>0</v>
      </c>
    </row>
    <row r="116" spans="2:17" x14ac:dyDescent="0.2">
      <c r="B116" s="90">
        <f>+'INV POIR PPERDIDAS'!B111</f>
        <v>0</v>
      </c>
      <c r="C116" s="90">
        <f>+'INV POIR PPERDIDAS'!C111</f>
        <v>108</v>
      </c>
      <c r="D116" s="91">
        <f>+'INV POIR PPERDIDAS'!D111</f>
        <v>0</v>
      </c>
      <c r="E116" s="92">
        <f>+'INV POIR PPERDIDAS'!E111</f>
        <v>0</v>
      </c>
      <c r="F116" s="93">
        <f>+VLOOKUP(C116,'INV POIR PPERDIDAS'!$C$4:$F$123,4,FALSE)</f>
        <v>1</v>
      </c>
      <c r="G116" s="94" t="str">
        <f t="shared" si="13"/>
        <v/>
      </c>
      <c r="H116" s="94">
        <f t="shared" si="14"/>
        <v>0</v>
      </c>
      <c r="I116" s="94">
        <f t="shared" si="14"/>
        <v>0</v>
      </c>
      <c r="J116" s="94">
        <f t="shared" si="14"/>
        <v>0</v>
      </c>
      <c r="K116" s="94">
        <f t="shared" si="14"/>
        <v>0</v>
      </c>
      <c r="L116" s="94">
        <f t="shared" si="14"/>
        <v>0</v>
      </c>
      <c r="M116" s="94">
        <f t="shared" si="14"/>
        <v>0</v>
      </c>
      <c r="N116" s="94">
        <f t="shared" si="14"/>
        <v>0</v>
      </c>
      <c r="O116" s="94">
        <f t="shared" si="14"/>
        <v>0</v>
      </c>
      <c r="P116" s="94">
        <f t="shared" si="14"/>
        <v>0</v>
      </c>
      <c r="Q116" s="94">
        <f t="shared" si="14"/>
        <v>0</v>
      </c>
    </row>
    <row r="117" spans="2:17" x14ac:dyDescent="0.2">
      <c r="B117" s="90">
        <f>+'INV POIR PPERDIDAS'!B112</f>
        <v>0</v>
      </c>
      <c r="C117" s="90">
        <f>+'INV POIR PPERDIDAS'!C112</f>
        <v>109</v>
      </c>
      <c r="D117" s="91">
        <f>+'INV POIR PPERDIDAS'!D112</f>
        <v>0</v>
      </c>
      <c r="E117" s="92">
        <f>+'INV POIR PPERDIDAS'!E112</f>
        <v>0</v>
      </c>
      <c r="F117" s="93">
        <f>+VLOOKUP(C117,'INV POIR PPERDIDAS'!$C$4:$F$123,4,FALSE)</f>
        <v>1</v>
      </c>
      <c r="G117" s="94" t="str">
        <f t="shared" si="13"/>
        <v/>
      </c>
      <c r="H117" s="94">
        <f t="shared" si="14"/>
        <v>0</v>
      </c>
      <c r="I117" s="94">
        <f t="shared" si="14"/>
        <v>0</v>
      </c>
      <c r="J117" s="94">
        <f t="shared" si="14"/>
        <v>0</v>
      </c>
      <c r="K117" s="94">
        <f t="shared" si="14"/>
        <v>0</v>
      </c>
      <c r="L117" s="94">
        <f t="shared" si="14"/>
        <v>0</v>
      </c>
      <c r="M117" s="94">
        <f t="shared" si="14"/>
        <v>0</v>
      </c>
      <c r="N117" s="94">
        <f t="shared" si="14"/>
        <v>0</v>
      </c>
      <c r="O117" s="94">
        <f t="shared" si="14"/>
        <v>0</v>
      </c>
      <c r="P117" s="94">
        <f t="shared" si="14"/>
        <v>0</v>
      </c>
      <c r="Q117" s="94">
        <f t="shared" si="14"/>
        <v>0</v>
      </c>
    </row>
    <row r="118" spans="2:17" x14ac:dyDescent="0.2">
      <c r="B118" s="90">
        <f>+'INV POIR PPERDIDAS'!B113</f>
        <v>0</v>
      </c>
      <c r="C118" s="90">
        <f>+'INV POIR PPERDIDAS'!C113</f>
        <v>110</v>
      </c>
      <c r="D118" s="91">
        <f>+'INV POIR PPERDIDAS'!D113</f>
        <v>0</v>
      </c>
      <c r="E118" s="92">
        <f>+'INV POIR PPERDIDAS'!E113</f>
        <v>0</v>
      </c>
      <c r="F118" s="93">
        <f>+VLOOKUP(C118,'INV POIR PPERDIDAS'!$C$4:$F$123,4,FALSE)</f>
        <v>1</v>
      </c>
      <c r="G118" s="94" t="str">
        <f t="shared" si="13"/>
        <v/>
      </c>
      <c r="H118" s="94">
        <f t="shared" si="14"/>
        <v>0</v>
      </c>
      <c r="I118" s="94">
        <f t="shared" si="14"/>
        <v>0</v>
      </c>
      <c r="J118" s="94">
        <f t="shared" si="14"/>
        <v>0</v>
      </c>
      <c r="K118" s="94">
        <f t="shared" si="14"/>
        <v>0</v>
      </c>
      <c r="L118" s="94">
        <f t="shared" si="14"/>
        <v>0</v>
      </c>
      <c r="M118" s="94">
        <f t="shared" si="14"/>
        <v>0</v>
      </c>
      <c r="N118" s="94">
        <f t="shared" si="14"/>
        <v>0</v>
      </c>
      <c r="O118" s="94">
        <f t="shared" si="14"/>
        <v>0</v>
      </c>
      <c r="P118" s="94">
        <f t="shared" si="14"/>
        <v>0</v>
      </c>
      <c r="Q118" s="94">
        <f t="shared" si="14"/>
        <v>0</v>
      </c>
    </row>
    <row r="119" spans="2:17" x14ac:dyDescent="0.2">
      <c r="B119" s="90">
        <f>+'INV POIR PPERDIDAS'!B114</f>
        <v>0</v>
      </c>
      <c r="C119" s="90">
        <f>+'INV POIR PPERDIDAS'!C114</f>
        <v>111</v>
      </c>
      <c r="D119" s="91">
        <f>+'INV POIR PPERDIDAS'!D114</f>
        <v>0</v>
      </c>
      <c r="E119" s="92">
        <f>+'INV POIR PPERDIDAS'!E114</f>
        <v>0</v>
      </c>
      <c r="F119" s="93">
        <f>+VLOOKUP(C119,'INV POIR PPERDIDAS'!$C$4:$F$123,4,FALSE)</f>
        <v>1</v>
      </c>
      <c r="G119" s="94" t="str">
        <f t="shared" si="13"/>
        <v/>
      </c>
      <c r="H119" s="94">
        <f t="shared" ref="H119:Q128" si="15">+IF(H$8&lt;=$D119,0,IFERROR($E119/$F119,0))</f>
        <v>0</v>
      </c>
      <c r="I119" s="94">
        <f t="shared" si="15"/>
        <v>0</v>
      </c>
      <c r="J119" s="94">
        <f t="shared" si="15"/>
        <v>0</v>
      </c>
      <c r="K119" s="94">
        <f t="shared" si="15"/>
        <v>0</v>
      </c>
      <c r="L119" s="94">
        <f t="shared" si="15"/>
        <v>0</v>
      </c>
      <c r="M119" s="94">
        <f t="shared" si="15"/>
        <v>0</v>
      </c>
      <c r="N119" s="94">
        <f t="shared" si="15"/>
        <v>0</v>
      </c>
      <c r="O119" s="94">
        <f t="shared" si="15"/>
        <v>0</v>
      </c>
      <c r="P119" s="94">
        <f t="shared" si="15"/>
        <v>0</v>
      </c>
      <c r="Q119" s="94">
        <f t="shared" si="15"/>
        <v>0</v>
      </c>
    </row>
    <row r="120" spans="2:17" x14ac:dyDescent="0.2">
      <c r="B120" s="90">
        <f>+'INV POIR PPERDIDAS'!B115</f>
        <v>0</v>
      </c>
      <c r="C120" s="90">
        <f>+'INV POIR PPERDIDAS'!C115</f>
        <v>112</v>
      </c>
      <c r="D120" s="91">
        <f>+'INV POIR PPERDIDAS'!D115</f>
        <v>0</v>
      </c>
      <c r="E120" s="92">
        <f>+'INV POIR PPERDIDAS'!E115</f>
        <v>0</v>
      </c>
      <c r="F120" s="93">
        <f>+VLOOKUP(C120,'INV POIR PPERDIDAS'!$C$4:$F$123,4,FALSE)</f>
        <v>1</v>
      </c>
      <c r="G120" s="94" t="str">
        <f t="shared" si="13"/>
        <v/>
      </c>
      <c r="H120" s="94">
        <f t="shared" si="15"/>
        <v>0</v>
      </c>
      <c r="I120" s="94">
        <f t="shared" si="15"/>
        <v>0</v>
      </c>
      <c r="J120" s="94">
        <f t="shared" si="15"/>
        <v>0</v>
      </c>
      <c r="K120" s="94">
        <f t="shared" si="15"/>
        <v>0</v>
      </c>
      <c r="L120" s="94">
        <f t="shared" si="15"/>
        <v>0</v>
      </c>
      <c r="M120" s="94">
        <f t="shared" si="15"/>
        <v>0</v>
      </c>
      <c r="N120" s="94">
        <f t="shared" si="15"/>
        <v>0</v>
      </c>
      <c r="O120" s="94">
        <f t="shared" si="15"/>
        <v>0</v>
      </c>
      <c r="P120" s="94">
        <f t="shared" si="15"/>
        <v>0</v>
      </c>
      <c r="Q120" s="94">
        <f t="shared" si="15"/>
        <v>0</v>
      </c>
    </row>
    <row r="121" spans="2:17" x14ac:dyDescent="0.2">
      <c r="B121" s="90">
        <f>+'INV POIR PPERDIDAS'!B116</f>
        <v>0</v>
      </c>
      <c r="C121" s="90">
        <f>+'INV POIR PPERDIDAS'!C116</f>
        <v>113</v>
      </c>
      <c r="D121" s="91">
        <f>+'INV POIR PPERDIDAS'!D116</f>
        <v>0</v>
      </c>
      <c r="E121" s="92">
        <f>+'INV POIR PPERDIDAS'!E116</f>
        <v>0</v>
      </c>
      <c r="F121" s="93">
        <f>+VLOOKUP(C121,'INV POIR PPERDIDAS'!$C$4:$F$123,4,FALSE)</f>
        <v>1</v>
      </c>
      <c r="G121" s="94" t="str">
        <f t="shared" si="13"/>
        <v/>
      </c>
      <c r="H121" s="94">
        <f t="shared" si="15"/>
        <v>0</v>
      </c>
      <c r="I121" s="94">
        <f t="shared" si="15"/>
        <v>0</v>
      </c>
      <c r="J121" s="94">
        <f t="shared" si="15"/>
        <v>0</v>
      </c>
      <c r="K121" s="94">
        <f t="shared" si="15"/>
        <v>0</v>
      </c>
      <c r="L121" s="94">
        <f t="shared" si="15"/>
        <v>0</v>
      </c>
      <c r="M121" s="94">
        <f t="shared" si="15"/>
        <v>0</v>
      </c>
      <c r="N121" s="94">
        <f t="shared" si="15"/>
        <v>0</v>
      </c>
      <c r="O121" s="94">
        <f t="shared" si="15"/>
        <v>0</v>
      </c>
      <c r="P121" s="94">
        <f t="shared" si="15"/>
        <v>0</v>
      </c>
      <c r="Q121" s="94">
        <f t="shared" si="15"/>
        <v>0</v>
      </c>
    </row>
    <row r="122" spans="2:17" x14ac:dyDescent="0.2">
      <c r="B122" s="90">
        <f>+'INV POIR PPERDIDAS'!B117</f>
        <v>0</v>
      </c>
      <c r="C122" s="90">
        <f>+'INV POIR PPERDIDAS'!C117</f>
        <v>114</v>
      </c>
      <c r="D122" s="91">
        <f>+'INV POIR PPERDIDAS'!D117</f>
        <v>0</v>
      </c>
      <c r="E122" s="92">
        <f>+'INV POIR PPERDIDAS'!E117</f>
        <v>0</v>
      </c>
      <c r="F122" s="93">
        <f>+VLOOKUP(C122,'INV POIR PPERDIDAS'!$C$4:$F$123,4,FALSE)</f>
        <v>1</v>
      </c>
      <c r="G122" s="94" t="str">
        <f t="shared" si="13"/>
        <v/>
      </c>
      <c r="H122" s="94">
        <f t="shared" si="15"/>
        <v>0</v>
      </c>
      <c r="I122" s="94">
        <f t="shared" si="15"/>
        <v>0</v>
      </c>
      <c r="J122" s="94">
        <f t="shared" si="15"/>
        <v>0</v>
      </c>
      <c r="K122" s="94">
        <f t="shared" si="15"/>
        <v>0</v>
      </c>
      <c r="L122" s="94">
        <f t="shared" si="15"/>
        <v>0</v>
      </c>
      <c r="M122" s="94">
        <f t="shared" si="15"/>
        <v>0</v>
      </c>
      <c r="N122" s="94">
        <f t="shared" si="15"/>
        <v>0</v>
      </c>
      <c r="O122" s="94">
        <f t="shared" si="15"/>
        <v>0</v>
      </c>
      <c r="P122" s="94">
        <f t="shared" si="15"/>
        <v>0</v>
      </c>
      <c r="Q122" s="94">
        <f t="shared" si="15"/>
        <v>0</v>
      </c>
    </row>
    <row r="123" spans="2:17" x14ac:dyDescent="0.2">
      <c r="B123" s="90">
        <f>+'INV POIR PPERDIDAS'!B118</f>
        <v>0</v>
      </c>
      <c r="C123" s="90">
        <f>+'INV POIR PPERDIDAS'!C118</f>
        <v>115</v>
      </c>
      <c r="D123" s="91">
        <f>+'INV POIR PPERDIDAS'!D118</f>
        <v>0</v>
      </c>
      <c r="E123" s="92">
        <f>+'INV POIR PPERDIDAS'!E118</f>
        <v>0</v>
      </c>
      <c r="F123" s="93">
        <f>+VLOOKUP(C123,'INV POIR PPERDIDAS'!$C$4:$F$123,4,FALSE)</f>
        <v>1</v>
      </c>
      <c r="G123" s="94" t="str">
        <f t="shared" si="13"/>
        <v/>
      </c>
      <c r="H123" s="94">
        <f t="shared" si="15"/>
        <v>0</v>
      </c>
      <c r="I123" s="94">
        <f t="shared" si="15"/>
        <v>0</v>
      </c>
      <c r="J123" s="94">
        <f t="shared" si="15"/>
        <v>0</v>
      </c>
      <c r="K123" s="94">
        <f t="shared" si="15"/>
        <v>0</v>
      </c>
      <c r="L123" s="94">
        <f t="shared" si="15"/>
        <v>0</v>
      </c>
      <c r="M123" s="94">
        <f t="shared" si="15"/>
        <v>0</v>
      </c>
      <c r="N123" s="94">
        <f t="shared" si="15"/>
        <v>0</v>
      </c>
      <c r="O123" s="94">
        <f t="shared" si="15"/>
        <v>0</v>
      </c>
      <c r="P123" s="94">
        <f t="shared" si="15"/>
        <v>0</v>
      </c>
      <c r="Q123" s="94">
        <f t="shared" si="15"/>
        <v>0</v>
      </c>
    </row>
    <row r="124" spans="2:17" x14ac:dyDescent="0.2">
      <c r="B124" s="90">
        <f>+'INV POIR PPERDIDAS'!B119</f>
        <v>0</v>
      </c>
      <c r="C124" s="90">
        <f>+'INV POIR PPERDIDAS'!C119</f>
        <v>116</v>
      </c>
      <c r="D124" s="91">
        <f>+'INV POIR PPERDIDAS'!D119</f>
        <v>0</v>
      </c>
      <c r="E124" s="92">
        <f>+'INV POIR PPERDIDAS'!E119</f>
        <v>0</v>
      </c>
      <c r="F124" s="93">
        <f>+VLOOKUP(C124,'INV POIR PPERDIDAS'!$C$4:$F$123,4,FALSE)</f>
        <v>1</v>
      </c>
      <c r="G124" s="94" t="str">
        <f t="shared" si="13"/>
        <v/>
      </c>
      <c r="H124" s="94">
        <f t="shared" si="15"/>
        <v>0</v>
      </c>
      <c r="I124" s="94">
        <f t="shared" si="15"/>
        <v>0</v>
      </c>
      <c r="J124" s="94">
        <f t="shared" si="15"/>
        <v>0</v>
      </c>
      <c r="K124" s="94">
        <f t="shared" si="15"/>
        <v>0</v>
      </c>
      <c r="L124" s="94">
        <f t="shared" si="15"/>
        <v>0</v>
      </c>
      <c r="M124" s="94">
        <f t="shared" si="15"/>
        <v>0</v>
      </c>
      <c r="N124" s="94">
        <f t="shared" si="15"/>
        <v>0</v>
      </c>
      <c r="O124" s="94">
        <f t="shared" si="15"/>
        <v>0</v>
      </c>
      <c r="P124" s="94">
        <f t="shared" si="15"/>
        <v>0</v>
      </c>
      <c r="Q124" s="94">
        <f t="shared" si="15"/>
        <v>0</v>
      </c>
    </row>
    <row r="125" spans="2:17" x14ac:dyDescent="0.2">
      <c r="B125" s="90">
        <f>+'INV POIR PPERDIDAS'!B120</f>
        <v>0</v>
      </c>
      <c r="C125" s="90">
        <f>+'INV POIR PPERDIDAS'!C120</f>
        <v>117</v>
      </c>
      <c r="D125" s="91">
        <f>+'INV POIR PPERDIDAS'!D120</f>
        <v>0</v>
      </c>
      <c r="E125" s="92">
        <f>+'INV POIR PPERDIDAS'!E120</f>
        <v>0</v>
      </c>
      <c r="F125" s="93">
        <f>+VLOOKUP(C125,'INV POIR PPERDIDAS'!$C$4:$F$123,4,FALSE)</f>
        <v>1</v>
      </c>
      <c r="G125" s="94" t="str">
        <f t="shared" si="13"/>
        <v/>
      </c>
      <c r="H125" s="94">
        <f t="shared" si="15"/>
        <v>0</v>
      </c>
      <c r="I125" s="94">
        <f t="shared" si="15"/>
        <v>0</v>
      </c>
      <c r="J125" s="94">
        <f t="shared" si="15"/>
        <v>0</v>
      </c>
      <c r="K125" s="94">
        <f t="shared" si="15"/>
        <v>0</v>
      </c>
      <c r="L125" s="94">
        <f t="shared" si="15"/>
        <v>0</v>
      </c>
      <c r="M125" s="94">
        <f t="shared" si="15"/>
        <v>0</v>
      </c>
      <c r="N125" s="94">
        <f t="shared" si="15"/>
        <v>0</v>
      </c>
      <c r="O125" s="94">
        <f t="shared" si="15"/>
        <v>0</v>
      </c>
      <c r="P125" s="94">
        <f t="shared" si="15"/>
        <v>0</v>
      </c>
      <c r="Q125" s="94">
        <f t="shared" si="15"/>
        <v>0</v>
      </c>
    </row>
    <row r="126" spans="2:17" x14ac:dyDescent="0.2">
      <c r="B126" s="90">
        <f>+'INV POIR PPERDIDAS'!B121</f>
        <v>0</v>
      </c>
      <c r="C126" s="90">
        <f>+'INV POIR PPERDIDAS'!C121</f>
        <v>118</v>
      </c>
      <c r="D126" s="91">
        <f>+'INV POIR PPERDIDAS'!D121</f>
        <v>0</v>
      </c>
      <c r="E126" s="92">
        <f>+'INV POIR PPERDIDAS'!E121</f>
        <v>0</v>
      </c>
      <c r="F126" s="93">
        <f>+VLOOKUP(C126,'INV POIR PPERDIDAS'!$C$4:$F$123,4,FALSE)</f>
        <v>1</v>
      </c>
      <c r="G126" s="94" t="str">
        <f t="shared" si="13"/>
        <v/>
      </c>
      <c r="H126" s="94">
        <f t="shared" si="15"/>
        <v>0</v>
      </c>
      <c r="I126" s="94">
        <f t="shared" si="15"/>
        <v>0</v>
      </c>
      <c r="J126" s="94">
        <f t="shared" si="15"/>
        <v>0</v>
      </c>
      <c r="K126" s="94">
        <f t="shared" si="15"/>
        <v>0</v>
      </c>
      <c r="L126" s="94">
        <f t="shared" si="15"/>
        <v>0</v>
      </c>
      <c r="M126" s="94">
        <f t="shared" si="15"/>
        <v>0</v>
      </c>
      <c r="N126" s="94">
        <f t="shared" si="15"/>
        <v>0</v>
      </c>
      <c r="O126" s="94">
        <f t="shared" si="15"/>
        <v>0</v>
      </c>
      <c r="P126" s="94">
        <f t="shared" si="15"/>
        <v>0</v>
      </c>
      <c r="Q126" s="94">
        <f t="shared" si="15"/>
        <v>0</v>
      </c>
    </row>
    <row r="127" spans="2:17" x14ac:dyDescent="0.2">
      <c r="B127" s="90">
        <f>+'INV POIR PPERDIDAS'!B122</f>
        <v>0</v>
      </c>
      <c r="C127" s="90">
        <f>+'INV POIR PPERDIDAS'!C122</f>
        <v>119</v>
      </c>
      <c r="D127" s="91">
        <f>+'INV POIR PPERDIDAS'!D122</f>
        <v>0</v>
      </c>
      <c r="E127" s="92">
        <f>+'INV POIR PPERDIDAS'!E122</f>
        <v>0</v>
      </c>
      <c r="F127" s="93">
        <f>+VLOOKUP(C127,'INV POIR PPERDIDAS'!$C$4:$F$123,4,FALSE)</f>
        <v>1</v>
      </c>
      <c r="G127" s="94" t="str">
        <f t="shared" si="13"/>
        <v/>
      </c>
      <c r="H127" s="94">
        <f t="shared" si="15"/>
        <v>0</v>
      </c>
      <c r="I127" s="94">
        <f t="shared" si="15"/>
        <v>0</v>
      </c>
      <c r="J127" s="94">
        <f t="shared" si="15"/>
        <v>0</v>
      </c>
      <c r="K127" s="94">
        <f t="shared" si="15"/>
        <v>0</v>
      </c>
      <c r="L127" s="94">
        <f t="shared" si="15"/>
        <v>0</v>
      </c>
      <c r="M127" s="94">
        <f t="shared" si="15"/>
        <v>0</v>
      </c>
      <c r="N127" s="94">
        <f t="shared" si="15"/>
        <v>0</v>
      </c>
      <c r="O127" s="94">
        <f t="shared" si="15"/>
        <v>0</v>
      </c>
      <c r="P127" s="94">
        <f t="shared" si="15"/>
        <v>0</v>
      </c>
      <c r="Q127" s="94">
        <f t="shared" si="15"/>
        <v>0</v>
      </c>
    </row>
    <row r="128" spans="2:17" x14ac:dyDescent="0.2">
      <c r="B128" s="90">
        <f>+'INV POIR PPERDIDAS'!B123</f>
        <v>0</v>
      </c>
      <c r="C128" s="90">
        <f>+'INV POIR PPERDIDAS'!C123</f>
        <v>120</v>
      </c>
      <c r="D128" s="91">
        <f>+'INV POIR PPERDIDAS'!D123</f>
        <v>0</v>
      </c>
      <c r="E128" s="92">
        <f>+'INV POIR PPERDIDAS'!E123</f>
        <v>0</v>
      </c>
      <c r="F128" s="93">
        <f>+VLOOKUP(C128,'INV POIR PPERDIDAS'!$C$4:$F$123,4,FALSE)</f>
        <v>1</v>
      </c>
      <c r="G128" s="94" t="str">
        <f t="shared" si="13"/>
        <v/>
      </c>
      <c r="H128" s="94">
        <f t="shared" si="15"/>
        <v>0</v>
      </c>
      <c r="I128" s="94">
        <f t="shared" si="15"/>
        <v>0</v>
      </c>
      <c r="J128" s="94">
        <f t="shared" si="15"/>
        <v>0</v>
      </c>
      <c r="K128" s="94">
        <f t="shared" si="15"/>
        <v>0</v>
      </c>
      <c r="L128" s="94">
        <f t="shared" si="15"/>
        <v>0</v>
      </c>
      <c r="M128" s="94">
        <f t="shared" si="15"/>
        <v>0</v>
      </c>
      <c r="N128" s="94">
        <f t="shared" si="15"/>
        <v>0</v>
      </c>
      <c r="O128" s="94">
        <f t="shared" si="15"/>
        <v>0</v>
      </c>
      <c r="P128" s="94">
        <f t="shared" si="15"/>
        <v>0</v>
      </c>
      <c r="Q128" s="94">
        <f t="shared" si="15"/>
        <v>0</v>
      </c>
    </row>
    <row r="129" spans="2:17" x14ac:dyDescent="0.2">
      <c r="G129" s="115">
        <f>SUM(G9:G128)</f>
        <v>0</v>
      </c>
      <c r="H129" s="115">
        <f t="shared" ref="H129:Q129" si="16">SUM(H9:H128)</f>
        <v>0</v>
      </c>
      <c r="I129" s="115">
        <f t="shared" si="16"/>
        <v>209233346.39350006</v>
      </c>
      <c r="J129" s="115">
        <f t="shared" si="16"/>
        <v>521254821.26203597</v>
      </c>
      <c r="K129" s="115">
        <f t="shared" si="16"/>
        <v>795610081.79172134</v>
      </c>
      <c r="L129" s="115">
        <f t="shared" si="16"/>
        <v>1099951003.271786</v>
      </c>
      <c r="M129" s="115">
        <f t="shared" si="16"/>
        <v>1370852988.2956467</v>
      </c>
      <c r="N129" s="115">
        <f t="shared" si="16"/>
        <v>1487638631.0446146</v>
      </c>
      <c r="O129" s="115">
        <f t="shared" si="16"/>
        <v>1503234680.7433665</v>
      </c>
      <c r="P129" s="115">
        <f t="shared" si="16"/>
        <v>1529354804.2221525</v>
      </c>
      <c r="Q129" s="115">
        <f t="shared" si="16"/>
        <v>1545409175.7510149</v>
      </c>
    </row>
    <row r="130" spans="2:17" ht="20.25" thickBot="1" x14ac:dyDescent="0.35">
      <c r="B130" s="89" t="s">
        <v>341</v>
      </c>
      <c r="C130" s="89"/>
      <c r="D130" s="89"/>
      <c r="E130" s="89"/>
      <c r="F130" s="89"/>
      <c r="G130" s="89"/>
    </row>
    <row r="131" spans="2:17" ht="13.5" thickTop="1" x14ac:dyDescent="0.2"/>
    <row r="132" spans="2:17" ht="25.5" x14ac:dyDescent="0.2">
      <c r="B132" s="101" t="str">
        <f>+B8</f>
        <v>Activo j</v>
      </c>
      <c r="C132" s="101" t="str">
        <f>+C8</f>
        <v>Identificación del activo</v>
      </c>
      <c r="D132" s="101" t="str">
        <f>+D8</f>
        <v>Año planeado</v>
      </c>
      <c r="E132" s="101" t="str">
        <f>+E8</f>
        <v>POIR programa pérdidas por activo j</v>
      </c>
      <c r="F132" s="101" t="str">
        <f>+F8</f>
        <v>Vida Útil</v>
      </c>
      <c r="G132" s="105">
        <v>0</v>
      </c>
      <c r="H132" s="105">
        <v>1</v>
      </c>
      <c r="I132" s="105">
        <v>2</v>
      </c>
      <c r="J132" s="105">
        <v>3</v>
      </c>
      <c r="K132" s="105">
        <v>4</v>
      </c>
      <c r="L132" s="105">
        <v>5</v>
      </c>
      <c r="M132" s="105">
        <v>6</v>
      </c>
      <c r="N132" s="105">
        <v>7</v>
      </c>
      <c r="O132" s="105">
        <v>8</v>
      </c>
      <c r="P132" s="105">
        <v>9</v>
      </c>
      <c r="Q132" s="105">
        <v>10</v>
      </c>
    </row>
    <row r="133" spans="2:17" x14ac:dyDescent="0.2">
      <c r="B133" s="90" t="str">
        <f t="shared" ref="B133:E148" si="17">+B9</f>
        <v>MACROMEDIDORES</v>
      </c>
      <c r="C133" s="90">
        <f t="shared" si="17"/>
        <v>1</v>
      </c>
      <c r="D133" s="95">
        <f t="shared" si="17"/>
        <v>0</v>
      </c>
      <c r="E133" s="96">
        <f t="shared" si="17"/>
        <v>0</v>
      </c>
      <c r="F133" s="93">
        <f>+VLOOKUP(C133,'INV POIR PPERDIDAS'!$C$4:$F$123,4,FALSE)</f>
        <v>23</v>
      </c>
      <c r="G133" s="94">
        <f>+IF($D9=G$132,$E9,IF($D9&gt;G$132,0,Q9-G9))</f>
        <v>0</v>
      </c>
      <c r="H133" s="94">
        <f t="shared" ref="H133:Q148" si="18">+IF($D9=H$132,$E9,IF($D9&gt;H$132,0,G133-H9))</f>
        <v>0</v>
      </c>
      <c r="I133" s="94">
        <f t="shared" si="18"/>
        <v>0</v>
      </c>
      <c r="J133" s="94">
        <f t="shared" si="18"/>
        <v>0</v>
      </c>
      <c r="K133" s="94">
        <f t="shared" si="18"/>
        <v>0</v>
      </c>
      <c r="L133" s="94">
        <f t="shared" si="18"/>
        <v>0</v>
      </c>
      <c r="M133" s="94">
        <f t="shared" si="18"/>
        <v>0</v>
      </c>
      <c r="N133" s="94">
        <f t="shared" si="18"/>
        <v>0</v>
      </c>
      <c r="O133" s="94">
        <f t="shared" si="18"/>
        <v>0</v>
      </c>
      <c r="P133" s="94">
        <f t="shared" si="18"/>
        <v>0</v>
      </c>
      <c r="Q133" s="94">
        <f t="shared" si="18"/>
        <v>0</v>
      </c>
    </row>
    <row r="134" spans="2:17" x14ac:dyDescent="0.2">
      <c r="B134" s="90" t="str">
        <f t="shared" si="17"/>
        <v>MACROMEDIDORES</v>
      </c>
      <c r="C134" s="90">
        <f t="shared" si="17"/>
        <v>2</v>
      </c>
      <c r="D134" s="95">
        <f t="shared" si="17"/>
        <v>1</v>
      </c>
      <c r="E134" s="96">
        <f t="shared" si="17"/>
        <v>19671246.467960708</v>
      </c>
      <c r="F134" s="93">
        <f>+VLOOKUP(C134,'INV POIR PPERDIDAS'!$C$4:$F$123,4,FALSE)</f>
        <v>23</v>
      </c>
      <c r="G134" s="94">
        <f t="shared" ref="G134:G197" si="19">+IF($D10=G$132,$E10,IF($D10&gt;G$132,0,Q10-G10))</f>
        <v>0</v>
      </c>
      <c r="H134" s="94">
        <f t="shared" si="18"/>
        <v>19671246.467960708</v>
      </c>
      <c r="I134" s="94">
        <f t="shared" si="18"/>
        <v>18815974.882397197</v>
      </c>
      <c r="J134" s="94">
        <f t="shared" si="18"/>
        <v>17960703.296833687</v>
      </c>
      <c r="K134" s="94">
        <f t="shared" si="18"/>
        <v>17105431.711270176</v>
      </c>
      <c r="L134" s="94">
        <f t="shared" si="18"/>
        <v>16250160.125706667</v>
      </c>
      <c r="M134" s="94">
        <f t="shared" si="18"/>
        <v>15394888.540143158</v>
      </c>
      <c r="N134" s="94">
        <f t="shared" si="18"/>
        <v>14539616.954579649</v>
      </c>
      <c r="O134" s="94">
        <f t="shared" si="18"/>
        <v>13684345.369016141</v>
      </c>
      <c r="P134" s="94">
        <f t="shared" si="18"/>
        <v>12829073.783452632</v>
      </c>
      <c r="Q134" s="94">
        <f t="shared" si="18"/>
        <v>11973802.197889123</v>
      </c>
    </row>
    <row r="135" spans="2:17" x14ac:dyDescent="0.2">
      <c r="B135" s="90" t="str">
        <f t="shared" si="17"/>
        <v>MACROMEDIDORES</v>
      </c>
      <c r="C135" s="90">
        <f t="shared" si="17"/>
        <v>3</v>
      </c>
      <c r="D135" s="95">
        <f t="shared" si="17"/>
        <v>2</v>
      </c>
      <c r="E135" s="96">
        <f t="shared" si="17"/>
        <v>155817460.36657271</v>
      </c>
      <c r="F135" s="93">
        <f>+VLOOKUP(C135,'INV POIR PPERDIDAS'!$C$4:$F$123,4,FALSE)</f>
        <v>23</v>
      </c>
      <c r="G135" s="94">
        <f t="shared" si="19"/>
        <v>0</v>
      </c>
      <c r="H135" s="94">
        <f t="shared" si="18"/>
        <v>0</v>
      </c>
      <c r="I135" s="94">
        <f t="shared" si="18"/>
        <v>155817460.36657271</v>
      </c>
      <c r="J135" s="94">
        <f t="shared" si="18"/>
        <v>149042788.17672172</v>
      </c>
      <c r="K135" s="94">
        <f t="shared" si="18"/>
        <v>142268115.98687074</v>
      </c>
      <c r="L135" s="94">
        <f t="shared" si="18"/>
        <v>135493443.79701975</v>
      </c>
      <c r="M135" s="94">
        <f t="shared" si="18"/>
        <v>128718771.60716876</v>
      </c>
      <c r="N135" s="94">
        <f t="shared" si="18"/>
        <v>121944099.41731778</v>
      </c>
      <c r="O135" s="94">
        <f t="shared" si="18"/>
        <v>115169427.22746679</v>
      </c>
      <c r="P135" s="94">
        <f t="shared" si="18"/>
        <v>108394755.03761581</v>
      </c>
      <c r="Q135" s="94">
        <f t="shared" si="18"/>
        <v>101620082.84776482</v>
      </c>
    </row>
    <row r="136" spans="2:17" x14ac:dyDescent="0.2">
      <c r="B136" s="90" t="str">
        <f t="shared" si="17"/>
        <v>MACROMEDIDORES</v>
      </c>
      <c r="C136" s="90">
        <f t="shared" si="17"/>
        <v>4</v>
      </c>
      <c r="D136" s="95">
        <f t="shared" si="17"/>
        <v>3</v>
      </c>
      <c r="E136" s="96">
        <f t="shared" si="17"/>
        <v>19671246.467960708</v>
      </c>
      <c r="F136" s="93">
        <f>+VLOOKUP(C136,'INV POIR PPERDIDAS'!$C$4:$F$123,4,FALSE)</f>
        <v>23</v>
      </c>
      <c r="G136" s="94">
        <f t="shared" si="19"/>
        <v>0</v>
      </c>
      <c r="H136" s="94">
        <f t="shared" si="18"/>
        <v>0</v>
      </c>
      <c r="I136" s="94">
        <f t="shared" si="18"/>
        <v>0</v>
      </c>
      <c r="J136" s="94">
        <f t="shared" si="18"/>
        <v>19671246.467960708</v>
      </c>
      <c r="K136" s="94">
        <f t="shared" si="18"/>
        <v>18815974.882397197</v>
      </c>
      <c r="L136" s="94">
        <f t="shared" si="18"/>
        <v>17960703.296833687</v>
      </c>
      <c r="M136" s="94">
        <f t="shared" si="18"/>
        <v>17105431.711270176</v>
      </c>
      <c r="N136" s="94">
        <f t="shared" si="18"/>
        <v>16250160.125706667</v>
      </c>
      <c r="O136" s="94">
        <f t="shared" si="18"/>
        <v>15394888.540143158</v>
      </c>
      <c r="P136" s="94">
        <f t="shared" si="18"/>
        <v>14539616.954579649</v>
      </c>
      <c r="Q136" s="94">
        <f t="shared" si="18"/>
        <v>13684345.369016141</v>
      </c>
    </row>
    <row r="137" spans="2:17" x14ac:dyDescent="0.2">
      <c r="B137" s="90" t="str">
        <f t="shared" si="17"/>
        <v>MACROMEDIDORES</v>
      </c>
      <c r="C137" s="90">
        <f t="shared" si="17"/>
        <v>5</v>
      </c>
      <c r="D137" s="95">
        <f t="shared" si="17"/>
        <v>4</v>
      </c>
      <c r="E137" s="96">
        <f t="shared" si="17"/>
        <v>18198458.295112241</v>
      </c>
      <c r="F137" s="93">
        <f>+VLOOKUP(C137,'INV POIR PPERDIDAS'!$C$4:$F$123,4,FALSE)</f>
        <v>23</v>
      </c>
      <c r="G137" s="94">
        <f t="shared" si="19"/>
        <v>0</v>
      </c>
      <c r="H137" s="94">
        <f t="shared" si="18"/>
        <v>0</v>
      </c>
      <c r="I137" s="94">
        <f t="shared" si="18"/>
        <v>0</v>
      </c>
      <c r="J137" s="94">
        <f t="shared" si="18"/>
        <v>0</v>
      </c>
      <c r="K137" s="94">
        <f t="shared" si="18"/>
        <v>18198458.295112241</v>
      </c>
      <c r="L137" s="94">
        <f t="shared" si="18"/>
        <v>17407220.977933448</v>
      </c>
      <c r="M137" s="94">
        <f t="shared" si="18"/>
        <v>16615983.660754655</v>
      </c>
      <c r="N137" s="94">
        <f t="shared" si="18"/>
        <v>15824746.343575861</v>
      </c>
      <c r="O137" s="94">
        <f t="shared" si="18"/>
        <v>15033509.026397068</v>
      </c>
      <c r="P137" s="94">
        <f t="shared" si="18"/>
        <v>14242271.709218275</v>
      </c>
      <c r="Q137" s="94">
        <f t="shared" si="18"/>
        <v>13451034.392039482</v>
      </c>
    </row>
    <row r="138" spans="2:17" x14ac:dyDescent="0.2">
      <c r="B138" s="90" t="str">
        <f t="shared" si="17"/>
        <v>MACROMEDIDORES</v>
      </c>
      <c r="C138" s="90">
        <f t="shared" si="17"/>
        <v>6</v>
      </c>
      <c r="D138" s="95">
        <f t="shared" si="17"/>
        <v>5</v>
      </c>
      <c r="E138" s="96">
        <f t="shared" si="17"/>
        <v>0</v>
      </c>
      <c r="F138" s="93">
        <f>+VLOOKUP(C138,'INV POIR PPERDIDAS'!$C$4:$F$123,4,FALSE)</f>
        <v>23</v>
      </c>
      <c r="G138" s="94">
        <f t="shared" si="19"/>
        <v>0</v>
      </c>
      <c r="H138" s="94">
        <f t="shared" si="18"/>
        <v>0</v>
      </c>
      <c r="I138" s="94">
        <f t="shared" si="18"/>
        <v>0</v>
      </c>
      <c r="J138" s="94">
        <f t="shared" si="18"/>
        <v>0</v>
      </c>
      <c r="K138" s="94">
        <f t="shared" si="18"/>
        <v>0</v>
      </c>
      <c r="L138" s="94">
        <f t="shared" si="18"/>
        <v>0</v>
      </c>
      <c r="M138" s="94">
        <f t="shared" si="18"/>
        <v>0</v>
      </c>
      <c r="N138" s="94">
        <f t="shared" si="18"/>
        <v>0</v>
      </c>
      <c r="O138" s="94">
        <f t="shared" si="18"/>
        <v>0</v>
      </c>
      <c r="P138" s="94">
        <f t="shared" si="18"/>
        <v>0</v>
      </c>
      <c r="Q138" s="94">
        <f t="shared" si="18"/>
        <v>0</v>
      </c>
    </row>
    <row r="139" spans="2:17" x14ac:dyDescent="0.2">
      <c r="B139" s="90" t="str">
        <f t="shared" si="17"/>
        <v>MACROMEDIDORES</v>
      </c>
      <c r="C139" s="90">
        <f t="shared" si="17"/>
        <v>7</v>
      </c>
      <c r="D139" s="95">
        <f t="shared" si="17"/>
        <v>6</v>
      </c>
      <c r="E139" s="96">
        <f t="shared" si="17"/>
        <v>42323102.712381244</v>
      </c>
      <c r="F139" s="93">
        <f>+VLOOKUP(C139,'INV POIR PPERDIDAS'!$C$4:$F$123,4,FALSE)</f>
        <v>23</v>
      </c>
      <c r="G139" s="94">
        <f t="shared" si="19"/>
        <v>0</v>
      </c>
      <c r="H139" s="94">
        <f t="shared" si="18"/>
        <v>0</v>
      </c>
      <c r="I139" s="94">
        <f t="shared" si="18"/>
        <v>0</v>
      </c>
      <c r="J139" s="94">
        <f t="shared" si="18"/>
        <v>0</v>
      </c>
      <c r="K139" s="94">
        <f t="shared" si="18"/>
        <v>0</v>
      </c>
      <c r="L139" s="94">
        <f t="shared" si="18"/>
        <v>0</v>
      </c>
      <c r="M139" s="94">
        <f t="shared" si="18"/>
        <v>42323102.712381244</v>
      </c>
      <c r="N139" s="94">
        <f t="shared" si="18"/>
        <v>40482967.811842926</v>
      </c>
      <c r="O139" s="94">
        <f t="shared" si="18"/>
        <v>38642832.911304608</v>
      </c>
      <c r="P139" s="94">
        <f t="shared" si="18"/>
        <v>36802698.01076629</v>
      </c>
      <c r="Q139" s="94">
        <f t="shared" si="18"/>
        <v>34962563.110227972</v>
      </c>
    </row>
    <row r="140" spans="2:17" x14ac:dyDescent="0.2">
      <c r="B140" s="90" t="str">
        <f t="shared" si="17"/>
        <v>MACROMEDIDORES</v>
      </c>
      <c r="C140" s="90">
        <f t="shared" si="17"/>
        <v>8</v>
      </c>
      <c r="D140" s="95">
        <f t="shared" si="17"/>
        <v>7</v>
      </c>
      <c r="E140" s="96">
        <f t="shared" si="17"/>
        <v>19671246.467960708</v>
      </c>
      <c r="F140" s="93">
        <f>+VLOOKUP(C140,'INV POIR PPERDIDAS'!$C$4:$F$123,4,FALSE)</f>
        <v>23</v>
      </c>
      <c r="G140" s="94">
        <f t="shared" si="19"/>
        <v>0</v>
      </c>
      <c r="H140" s="94">
        <f t="shared" si="18"/>
        <v>0</v>
      </c>
      <c r="I140" s="94">
        <f t="shared" si="18"/>
        <v>0</v>
      </c>
      <c r="J140" s="94">
        <f t="shared" si="18"/>
        <v>0</v>
      </c>
      <c r="K140" s="94">
        <f t="shared" si="18"/>
        <v>0</v>
      </c>
      <c r="L140" s="94">
        <f t="shared" si="18"/>
        <v>0</v>
      </c>
      <c r="M140" s="94">
        <f t="shared" si="18"/>
        <v>0</v>
      </c>
      <c r="N140" s="94">
        <f t="shared" si="18"/>
        <v>19671246.467960708</v>
      </c>
      <c r="O140" s="94">
        <f t="shared" si="18"/>
        <v>18815974.882397197</v>
      </c>
      <c r="P140" s="94">
        <f t="shared" si="18"/>
        <v>17960703.296833687</v>
      </c>
      <c r="Q140" s="94">
        <f t="shared" si="18"/>
        <v>17105431.711270176</v>
      </c>
    </row>
    <row r="141" spans="2:17" x14ac:dyDescent="0.2">
      <c r="B141" s="90" t="str">
        <f t="shared" si="17"/>
        <v>MACROMEDIDORES</v>
      </c>
      <c r="C141" s="90">
        <f t="shared" si="17"/>
        <v>9</v>
      </c>
      <c r="D141" s="95">
        <f t="shared" si="17"/>
        <v>8</v>
      </c>
      <c r="E141" s="96">
        <f t="shared" si="17"/>
        <v>0</v>
      </c>
      <c r="F141" s="93">
        <f>+VLOOKUP(C141,'INV POIR PPERDIDAS'!$C$4:$F$123,4,FALSE)</f>
        <v>23</v>
      </c>
      <c r="G141" s="94">
        <f t="shared" si="19"/>
        <v>0</v>
      </c>
      <c r="H141" s="94">
        <f t="shared" si="18"/>
        <v>0</v>
      </c>
      <c r="I141" s="94">
        <f t="shared" si="18"/>
        <v>0</v>
      </c>
      <c r="J141" s="94">
        <f t="shared" si="18"/>
        <v>0</v>
      </c>
      <c r="K141" s="94">
        <f t="shared" si="18"/>
        <v>0</v>
      </c>
      <c r="L141" s="94">
        <f t="shared" si="18"/>
        <v>0</v>
      </c>
      <c r="M141" s="94">
        <f t="shared" si="18"/>
        <v>0</v>
      </c>
      <c r="N141" s="94">
        <f t="shared" si="18"/>
        <v>0</v>
      </c>
      <c r="O141" s="94">
        <f t="shared" si="18"/>
        <v>0</v>
      </c>
      <c r="P141" s="94">
        <f t="shared" si="18"/>
        <v>0</v>
      </c>
      <c r="Q141" s="94">
        <f t="shared" si="18"/>
        <v>0</v>
      </c>
    </row>
    <row r="142" spans="2:17" x14ac:dyDescent="0.2">
      <c r="B142" s="90" t="str">
        <f t="shared" si="17"/>
        <v>MACROMEDIDORES</v>
      </c>
      <c r="C142" s="90">
        <f t="shared" si="17"/>
        <v>10</v>
      </c>
      <c r="D142" s="95">
        <f t="shared" si="17"/>
        <v>9</v>
      </c>
      <c r="E142" s="96">
        <f t="shared" si="17"/>
        <v>4549614.5737780603</v>
      </c>
      <c r="F142" s="93">
        <f>+VLOOKUP(C142,'INV POIR PPERDIDAS'!$C$4:$F$123,4,FALSE)</f>
        <v>23</v>
      </c>
      <c r="G142" s="94">
        <f t="shared" si="19"/>
        <v>0</v>
      </c>
      <c r="H142" s="94">
        <f t="shared" si="18"/>
        <v>0</v>
      </c>
      <c r="I142" s="94">
        <f t="shared" si="18"/>
        <v>0</v>
      </c>
      <c r="J142" s="94">
        <f t="shared" si="18"/>
        <v>0</v>
      </c>
      <c r="K142" s="94">
        <f t="shared" si="18"/>
        <v>0</v>
      </c>
      <c r="L142" s="94">
        <f t="shared" si="18"/>
        <v>0</v>
      </c>
      <c r="M142" s="94">
        <f t="shared" si="18"/>
        <v>0</v>
      </c>
      <c r="N142" s="94">
        <f t="shared" si="18"/>
        <v>0</v>
      </c>
      <c r="O142" s="94">
        <f t="shared" si="18"/>
        <v>0</v>
      </c>
      <c r="P142" s="94">
        <f t="shared" si="18"/>
        <v>4549614.5737780603</v>
      </c>
      <c r="Q142" s="94">
        <f t="shared" si="18"/>
        <v>4351805.244483362</v>
      </c>
    </row>
    <row r="143" spans="2:17" x14ac:dyDescent="0.2">
      <c r="B143" s="90" t="str">
        <f t="shared" si="17"/>
        <v>MACROMEDIDORES</v>
      </c>
      <c r="C143" s="90">
        <f t="shared" si="17"/>
        <v>11</v>
      </c>
      <c r="D143" s="95">
        <f t="shared" si="17"/>
        <v>10</v>
      </c>
      <c r="E143" s="96">
        <f t="shared" si="17"/>
        <v>0</v>
      </c>
      <c r="F143" s="93">
        <f>+VLOOKUP(C143,'INV POIR PPERDIDAS'!$C$4:$F$123,4,FALSE)</f>
        <v>23</v>
      </c>
      <c r="G143" s="94">
        <f t="shared" si="19"/>
        <v>0</v>
      </c>
      <c r="H143" s="94">
        <f t="shared" si="18"/>
        <v>0</v>
      </c>
      <c r="I143" s="94">
        <f t="shared" si="18"/>
        <v>0</v>
      </c>
      <c r="J143" s="94">
        <f t="shared" si="18"/>
        <v>0</v>
      </c>
      <c r="K143" s="94">
        <f t="shared" si="18"/>
        <v>0</v>
      </c>
      <c r="L143" s="94">
        <f t="shared" si="18"/>
        <v>0</v>
      </c>
      <c r="M143" s="94">
        <f t="shared" si="18"/>
        <v>0</v>
      </c>
      <c r="N143" s="94">
        <f t="shared" si="18"/>
        <v>0</v>
      </c>
      <c r="O143" s="94">
        <f t="shared" si="18"/>
        <v>0</v>
      </c>
      <c r="P143" s="94">
        <f t="shared" si="18"/>
        <v>0</v>
      </c>
      <c r="Q143" s="94">
        <f t="shared" si="18"/>
        <v>0</v>
      </c>
    </row>
    <row r="144" spans="2:17" x14ac:dyDescent="0.2">
      <c r="B144" s="90" t="str">
        <f t="shared" si="17"/>
        <v>MACROMEDIDORES</v>
      </c>
      <c r="C144" s="90">
        <f t="shared" si="17"/>
        <v>12</v>
      </c>
      <c r="D144" s="95">
        <f t="shared" si="17"/>
        <v>0</v>
      </c>
      <c r="E144" s="96">
        <f t="shared" si="17"/>
        <v>0</v>
      </c>
      <c r="F144" s="93">
        <f>+VLOOKUP(C144,'INV POIR PPERDIDAS'!$C$4:$F$123,4,FALSE)</f>
        <v>23</v>
      </c>
      <c r="G144" s="94">
        <f t="shared" si="19"/>
        <v>0</v>
      </c>
      <c r="H144" s="94">
        <f t="shared" si="18"/>
        <v>0</v>
      </c>
      <c r="I144" s="94">
        <f t="shared" si="18"/>
        <v>0</v>
      </c>
      <c r="J144" s="94">
        <f t="shared" si="18"/>
        <v>0</v>
      </c>
      <c r="K144" s="94">
        <f t="shared" si="18"/>
        <v>0</v>
      </c>
      <c r="L144" s="94">
        <f t="shared" si="18"/>
        <v>0</v>
      </c>
      <c r="M144" s="94">
        <f t="shared" si="18"/>
        <v>0</v>
      </c>
      <c r="N144" s="94">
        <f t="shared" si="18"/>
        <v>0</v>
      </c>
      <c r="O144" s="94">
        <f t="shared" si="18"/>
        <v>0</v>
      </c>
      <c r="P144" s="94">
        <f t="shared" si="18"/>
        <v>0</v>
      </c>
      <c r="Q144" s="94">
        <f t="shared" si="18"/>
        <v>0</v>
      </c>
    </row>
    <row r="145" spans="2:17" x14ac:dyDescent="0.2">
      <c r="B145" s="90" t="str">
        <f t="shared" si="17"/>
        <v>MACROMEDIDORES</v>
      </c>
      <c r="C145" s="90">
        <f t="shared" si="17"/>
        <v>13</v>
      </c>
      <c r="D145" s="95">
        <f t="shared" si="17"/>
        <v>1</v>
      </c>
      <c r="E145" s="96">
        <f t="shared" si="17"/>
        <v>290927089.32178879</v>
      </c>
      <c r="F145" s="93">
        <f>+VLOOKUP(C145,'INV POIR PPERDIDAS'!$C$4:$F$123,4,FALSE)</f>
        <v>23</v>
      </c>
      <c r="G145" s="94">
        <f t="shared" si="19"/>
        <v>0</v>
      </c>
      <c r="H145" s="94">
        <f t="shared" si="18"/>
        <v>290927089.32178879</v>
      </c>
      <c r="I145" s="94">
        <f t="shared" si="18"/>
        <v>278278085.43823278</v>
      </c>
      <c r="J145" s="94">
        <f t="shared" si="18"/>
        <v>265629081.55467674</v>
      </c>
      <c r="K145" s="94">
        <f t="shared" si="18"/>
        <v>252980077.6711207</v>
      </c>
      <c r="L145" s="94">
        <f t="shared" si="18"/>
        <v>240331073.78756467</v>
      </c>
      <c r="M145" s="94">
        <f t="shared" si="18"/>
        <v>227682069.90400863</v>
      </c>
      <c r="N145" s="94">
        <f t="shared" si="18"/>
        <v>215033066.02045259</v>
      </c>
      <c r="O145" s="94">
        <f t="shared" si="18"/>
        <v>202384062.13689655</v>
      </c>
      <c r="P145" s="94">
        <f t="shared" si="18"/>
        <v>189735058.25334051</v>
      </c>
      <c r="Q145" s="94">
        <f t="shared" si="18"/>
        <v>177086054.36978447</v>
      </c>
    </row>
    <row r="146" spans="2:17" x14ac:dyDescent="0.2">
      <c r="B146" s="90" t="str">
        <f t="shared" si="17"/>
        <v>MACROMEDIDORES</v>
      </c>
      <c r="C146" s="90">
        <f t="shared" si="17"/>
        <v>14</v>
      </c>
      <c r="D146" s="95">
        <f t="shared" si="17"/>
        <v>2</v>
      </c>
      <c r="E146" s="96">
        <f t="shared" si="17"/>
        <v>424438265.6717186</v>
      </c>
      <c r="F146" s="93">
        <f>+VLOOKUP(C146,'INV POIR PPERDIDAS'!$C$4:$F$123,4,FALSE)</f>
        <v>23</v>
      </c>
      <c r="G146" s="94">
        <f t="shared" si="19"/>
        <v>0</v>
      </c>
      <c r="H146" s="94">
        <f t="shared" si="18"/>
        <v>0</v>
      </c>
      <c r="I146" s="94">
        <f t="shared" si="18"/>
        <v>424438265.6717186</v>
      </c>
      <c r="J146" s="94">
        <f t="shared" si="18"/>
        <v>405984428.03381777</v>
      </c>
      <c r="K146" s="94">
        <f t="shared" si="18"/>
        <v>387530590.39591694</v>
      </c>
      <c r="L146" s="94">
        <f t="shared" si="18"/>
        <v>369076752.75801611</v>
      </c>
      <c r="M146" s="94">
        <f t="shared" si="18"/>
        <v>350622915.12011528</v>
      </c>
      <c r="N146" s="94">
        <f t="shared" si="18"/>
        <v>332169077.48221445</v>
      </c>
      <c r="O146" s="94">
        <f t="shared" si="18"/>
        <v>313715239.84431362</v>
      </c>
      <c r="P146" s="94">
        <f t="shared" si="18"/>
        <v>295261402.20641279</v>
      </c>
      <c r="Q146" s="94">
        <f t="shared" si="18"/>
        <v>276807564.56851196</v>
      </c>
    </row>
    <row r="147" spans="2:17" x14ac:dyDescent="0.2">
      <c r="B147" s="90" t="str">
        <f t="shared" si="17"/>
        <v>MACROMEDIDORES</v>
      </c>
      <c r="C147" s="90">
        <f t="shared" si="17"/>
        <v>15</v>
      </c>
      <c r="D147" s="95">
        <f t="shared" si="17"/>
        <v>3</v>
      </c>
      <c r="E147" s="96">
        <f t="shared" si="17"/>
        <v>342730027.12324625</v>
      </c>
      <c r="F147" s="93">
        <f>+VLOOKUP(C147,'INV POIR PPERDIDAS'!$C$4:$F$123,4,FALSE)</f>
        <v>23</v>
      </c>
      <c r="G147" s="94">
        <f t="shared" si="19"/>
        <v>0</v>
      </c>
      <c r="H147" s="94">
        <f t="shared" si="18"/>
        <v>0</v>
      </c>
      <c r="I147" s="94">
        <f t="shared" si="18"/>
        <v>0</v>
      </c>
      <c r="J147" s="94">
        <f t="shared" si="18"/>
        <v>342730027.12324625</v>
      </c>
      <c r="K147" s="94">
        <f t="shared" si="18"/>
        <v>327828721.59614861</v>
      </c>
      <c r="L147" s="94">
        <f t="shared" si="18"/>
        <v>312927416.06905097</v>
      </c>
      <c r="M147" s="94">
        <f t="shared" si="18"/>
        <v>298026110.54195333</v>
      </c>
      <c r="N147" s="94">
        <f t="shared" si="18"/>
        <v>283124805.01485568</v>
      </c>
      <c r="O147" s="94">
        <f t="shared" si="18"/>
        <v>268223499.48775801</v>
      </c>
      <c r="P147" s="94">
        <f t="shared" si="18"/>
        <v>253322193.96066034</v>
      </c>
      <c r="Q147" s="94">
        <f t="shared" si="18"/>
        <v>238420888.43356267</v>
      </c>
    </row>
    <row r="148" spans="2:17" x14ac:dyDescent="0.2">
      <c r="B148" s="90" t="str">
        <f t="shared" si="17"/>
        <v>MACROMEDIDORES</v>
      </c>
      <c r="C148" s="90">
        <f t="shared" si="17"/>
        <v>16</v>
      </c>
      <c r="D148" s="95">
        <f t="shared" si="17"/>
        <v>4</v>
      </c>
      <c r="E148" s="96">
        <f t="shared" si="17"/>
        <v>587965242.50099516</v>
      </c>
      <c r="F148" s="93">
        <f>+VLOOKUP(C148,'INV POIR PPERDIDAS'!$C$4:$F$123,4,FALSE)</f>
        <v>23</v>
      </c>
      <c r="G148" s="94">
        <f t="shared" si="19"/>
        <v>0</v>
      </c>
      <c r="H148" s="94">
        <f t="shared" si="18"/>
        <v>0</v>
      </c>
      <c r="I148" s="94">
        <f t="shared" si="18"/>
        <v>0</v>
      </c>
      <c r="J148" s="94">
        <f t="shared" si="18"/>
        <v>0</v>
      </c>
      <c r="K148" s="94">
        <f t="shared" si="18"/>
        <v>587965242.50099516</v>
      </c>
      <c r="L148" s="94">
        <f t="shared" si="18"/>
        <v>562401536.30529976</v>
      </c>
      <c r="M148" s="94">
        <f t="shared" si="18"/>
        <v>536837830.1096043</v>
      </c>
      <c r="N148" s="94">
        <f t="shared" si="18"/>
        <v>511274123.91390884</v>
      </c>
      <c r="O148" s="94">
        <f t="shared" si="18"/>
        <v>485710417.71821338</v>
      </c>
      <c r="P148" s="94">
        <f t="shared" si="18"/>
        <v>460146711.52251792</v>
      </c>
      <c r="Q148" s="94">
        <f t="shared" si="18"/>
        <v>434583005.32682246</v>
      </c>
    </row>
    <row r="149" spans="2:17" x14ac:dyDescent="0.2">
      <c r="B149" s="90" t="str">
        <f t="shared" ref="B149:E164" si="20">+B25</f>
        <v>MACROMEDIDORES</v>
      </c>
      <c r="C149" s="90">
        <f t="shared" si="20"/>
        <v>17</v>
      </c>
      <c r="D149" s="95">
        <f t="shared" si="20"/>
        <v>5</v>
      </c>
      <c r="E149" s="96">
        <f t="shared" si="20"/>
        <v>162198079.49906781</v>
      </c>
      <c r="F149" s="93">
        <f>+VLOOKUP(C149,'INV POIR PPERDIDAS'!$C$4:$F$123,4,FALSE)</f>
        <v>23</v>
      </c>
      <c r="G149" s="94">
        <f t="shared" si="19"/>
        <v>0</v>
      </c>
      <c r="H149" s="94">
        <f t="shared" ref="H149:Q164" si="21">+IF($D25=H$132,$E25,IF($D25&gt;H$132,0,G149-H25))</f>
        <v>0</v>
      </c>
      <c r="I149" s="94">
        <f t="shared" si="21"/>
        <v>0</v>
      </c>
      <c r="J149" s="94">
        <f t="shared" si="21"/>
        <v>0</v>
      </c>
      <c r="K149" s="94">
        <f t="shared" si="21"/>
        <v>0</v>
      </c>
      <c r="L149" s="94">
        <f t="shared" si="21"/>
        <v>162198079.49906781</v>
      </c>
      <c r="M149" s="94">
        <f t="shared" si="21"/>
        <v>155145989.08606488</v>
      </c>
      <c r="N149" s="94">
        <f t="shared" si="21"/>
        <v>148093898.67306194</v>
      </c>
      <c r="O149" s="94">
        <f t="shared" si="21"/>
        <v>141041808.260059</v>
      </c>
      <c r="P149" s="94">
        <f t="shared" si="21"/>
        <v>133989717.84705605</v>
      </c>
      <c r="Q149" s="94">
        <f t="shared" si="21"/>
        <v>126937627.43405309</v>
      </c>
    </row>
    <row r="150" spans="2:17" x14ac:dyDescent="0.2">
      <c r="B150" s="90" t="str">
        <f t="shared" si="20"/>
        <v>MACROMEDIDORES</v>
      </c>
      <c r="C150" s="90">
        <f t="shared" si="20"/>
        <v>18</v>
      </c>
      <c r="D150" s="95">
        <f t="shared" si="20"/>
        <v>6</v>
      </c>
      <c r="E150" s="96">
        <f t="shared" si="20"/>
        <v>57444734.606563888</v>
      </c>
      <c r="F150" s="93">
        <f>+VLOOKUP(C150,'INV POIR PPERDIDAS'!$C$4:$F$123,4,FALSE)</f>
        <v>23</v>
      </c>
      <c r="G150" s="94">
        <f t="shared" si="19"/>
        <v>0</v>
      </c>
      <c r="H150" s="94">
        <f t="shared" si="21"/>
        <v>0</v>
      </c>
      <c r="I150" s="94">
        <f t="shared" si="21"/>
        <v>0</v>
      </c>
      <c r="J150" s="94">
        <f t="shared" si="21"/>
        <v>0</v>
      </c>
      <c r="K150" s="94">
        <f t="shared" si="21"/>
        <v>0</v>
      </c>
      <c r="L150" s="94">
        <f t="shared" si="21"/>
        <v>0</v>
      </c>
      <c r="M150" s="94">
        <f t="shared" si="21"/>
        <v>57444734.606563888</v>
      </c>
      <c r="N150" s="94">
        <f t="shared" si="21"/>
        <v>54947137.449756764</v>
      </c>
      <c r="O150" s="94">
        <f t="shared" si="21"/>
        <v>52449540.292949639</v>
      </c>
      <c r="P150" s="94">
        <f t="shared" si="21"/>
        <v>49951943.136142515</v>
      </c>
      <c r="Q150" s="94">
        <f t="shared" si="21"/>
        <v>47454345.97933539</v>
      </c>
    </row>
    <row r="151" spans="2:17" x14ac:dyDescent="0.2">
      <c r="B151" s="90" t="str">
        <f t="shared" si="20"/>
        <v>MACROMEDIDORES</v>
      </c>
      <c r="C151" s="90">
        <f t="shared" si="20"/>
        <v>19</v>
      </c>
      <c r="D151" s="95">
        <f t="shared" si="20"/>
        <v>7</v>
      </c>
      <c r="E151" s="96">
        <f t="shared" si="20"/>
        <v>0</v>
      </c>
      <c r="F151" s="93">
        <f>+VLOOKUP(C151,'INV POIR PPERDIDAS'!$C$4:$F$123,4,FALSE)</f>
        <v>23</v>
      </c>
      <c r="G151" s="94">
        <f t="shared" si="19"/>
        <v>0</v>
      </c>
      <c r="H151" s="94">
        <f t="shared" si="21"/>
        <v>0</v>
      </c>
      <c r="I151" s="94">
        <f t="shared" si="21"/>
        <v>0</v>
      </c>
      <c r="J151" s="94">
        <f t="shared" si="21"/>
        <v>0</v>
      </c>
      <c r="K151" s="94">
        <f t="shared" si="21"/>
        <v>0</v>
      </c>
      <c r="L151" s="94">
        <f t="shared" si="21"/>
        <v>0</v>
      </c>
      <c r="M151" s="94">
        <f t="shared" si="21"/>
        <v>0</v>
      </c>
      <c r="N151" s="94">
        <f t="shared" si="21"/>
        <v>0</v>
      </c>
      <c r="O151" s="94">
        <f t="shared" si="21"/>
        <v>0</v>
      </c>
      <c r="P151" s="94">
        <f t="shared" si="21"/>
        <v>0</v>
      </c>
      <c r="Q151" s="94">
        <f t="shared" si="21"/>
        <v>0</v>
      </c>
    </row>
    <row r="152" spans="2:17" x14ac:dyDescent="0.2">
      <c r="B152" s="90" t="str">
        <f t="shared" si="20"/>
        <v>MACROMEDIDORES</v>
      </c>
      <c r="C152" s="90">
        <f t="shared" si="20"/>
        <v>20</v>
      </c>
      <c r="D152" s="95">
        <f t="shared" si="20"/>
        <v>8</v>
      </c>
      <c r="E152" s="96">
        <f t="shared" si="20"/>
        <v>0</v>
      </c>
      <c r="F152" s="93">
        <f>+VLOOKUP(C152,'INV POIR PPERDIDAS'!$C$4:$F$123,4,FALSE)</f>
        <v>23</v>
      </c>
      <c r="G152" s="94">
        <f t="shared" si="19"/>
        <v>0</v>
      </c>
      <c r="H152" s="94">
        <f t="shared" si="21"/>
        <v>0</v>
      </c>
      <c r="I152" s="94">
        <f t="shared" si="21"/>
        <v>0</v>
      </c>
      <c r="J152" s="94">
        <f t="shared" si="21"/>
        <v>0</v>
      </c>
      <c r="K152" s="94">
        <f t="shared" si="21"/>
        <v>0</v>
      </c>
      <c r="L152" s="94">
        <f t="shared" si="21"/>
        <v>0</v>
      </c>
      <c r="M152" s="94">
        <f t="shared" si="21"/>
        <v>0</v>
      </c>
      <c r="N152" s="94">
        <f t="shared" si="21"/>
        <v>0</v>
      </c>
      <c r="O152" s="94">
        <f t="shared" si="21"/>
        <v>0</v>
      </c>
      <c r="P152" s="94">
        <f t="shared" si="21"/>
        <v>0</v>
      </c>
      <c r="Q152" s="94">
        <f t="shared" si="21"/>
        <v>0</v>
      </c>
    </row>
    <row r="153" spans="2:17" x14ac:dyDescent="0.2">
      <c r="B153" s="90" t="str">
        <f t="shared" si="20"/>
        <v>MACROMEDIDORES</v>
      </c>
      <c r="C153" s="90">
        <f t="shared" si="20"/>
        <v>21</v>
      </c>
      <c r="D153" s="95">
        <f t="shared" si="20"/>
        <v>9</v>
      </c>
      <c r="E153" s="96">
        <f t="shared" si="20"/>
        <v>0</v>
      </c>
      <c r="F153" s="93">
        <f>+VLOOKUP(C153,'INV POIR PPERDIDAS'!$C$4:$F$123,4,FALSE)</f>
        <v>23</v>
      </c>
      <c r="G153" s="94">
        <f t="shared" si="19"/>
        <v>0</v>
      </c>
      <c r="H153" s="94">
        <f t="shared" si="21"/>
        <v>0</v>
      </c>
      <c r="I153" s="94">
        <f t="shared" si="21"/>
        <v>0</v>
      </c>
      <c r="J153" s="94">
        <f t="shared" si="21"/>
        <v>0</v>
      </c>
      <c r="K153" s="94">
        <f t="shared" si="21"/>
        <v>0</v>
      </c>
      <c r="L153" s="94">
        <f t="shared" si="21"/>
        <v>0</v>
      </c>
      <c r="M153" s="94">
        <f t="shared" si="21"/>
        <v>0</v>
      </c>
      <c r="N153" s="94">
        <f t="shared" si="21"/>
        <v>0</v>
      </c>
      <c r="O153" s="94">
        <f t="shared" si="21"/>
        <v>0</v>
      </c>
      <c r="P153" s="94">
        <f t="shared" si="21"/>
        <v>0</v>
      </c>
      <c r="Q153" s="94">
        <f t="shared" si="21"/>
        <v>0</v>
      </c>
    </row>
    <row r="154" spans="2:17" x14ac:dyDescent="0.2">
      <c r="B154" s="90" t="str">
        <f t="shared" si="20"/>
        <v>MACROMEDIDORES</v>
      </c>
      <c r="C154" s="90">
        <f t="shared" si="20"/>
        <v>22</v>
      </c>
      <c r="D154" s="95">
        <f t="shared" si="20"/>
        <v>10</v>
      </c>
      <c r="E154" s="96">
        <f t="shared" si="20"/>
        <v>0</v>
      </c>
      <c r="F154" s="93">
        <f>+VLOOKUP(C154,'INV POIR PPERDIDAS'!$C$4:$F$123,4,FALSE)</f>
        <v>23</v>
      </c>
      <c r="G154" s="94">
        <f t="shared" si="19"/>
        <v>0</v>
      </c>
      <c r="H154" s="94">
        <f t="shared" si="21"/>
        <v>0</v>
      </c>
      <c r="I154" s="94">
        <f t="shared" si="21"/>
        <v>0</v>
      </c>
      <c r="J154" s="94">
        <f t="shared" si="21"/>
        <v>0</v>
      </c>
      <c r="K154" s="94">
        <f t="shared" si="21"/>
        <v>0</v>
      </c>
      <c r="L154" s="94">
        <f t="shared" si="21"/>
        <v>0</v>
      </c>
      <c r="M154" s="94">
        <f t="shared" si="21"/>
        <v>0</v>
      </c>
      <c r="N154" s="94">
        <f t="shared" si="21"/>
        <v>0</v>
      </c>
      <c r="O154" s="94">
        <f t="shared" si="21"/>
        <v>0</v>
      </c>
      <c r="P154" s="94">
        <f t="shared" si="21"/>
        <v>0</v>
      </c>
      <c r="Q154" s="94">
        <f t="shared" si="21"/>
        <v>0</v>
      </c>
    </row>
    <row r="155" spans="2:17" x14ac:dyDescent="0.2">
      <c r="B155" s="90" t="str">
        <f t="shared" si="20"/>
        <v>ESTACIONES REDUCTORAS DE PRESIÓN</v>
      </c>
      <c r="C155" s="90">
        <f t="shared" si="20"/>
        <v>23</v>
      </c>
      <c r="D155" s="95">
        <f t="shared" si="20"/>
        <v>0</v>
      </c>
      <c r="E155" s="96">
        <f t="shared" si="20"/>
        <v>0</v>
      </c>
      <c r="F155" s="93">
        <f>+VLOOKUP(C155,'INV POIR PPERDIDAS'!$C$4:$F$123,4,FALSE)</f>
        <v>35</v>
      </c>
      <c r="G155" s="94">
        <f t="shared" si="19"/>
        <v>0</v>
      </c>
      <c r="H155" s="94">
        <f t="shared" si="21"/>
        <v>0</v>
      </c>
      <c r="I155" s="94">
        <f t="shared" si="21"/>
        <v>0</v>
      </c>
      <c r="J155" s="94">
        <f t="shared" si="21"/>
        <v>0</v>
      </c>
      <c r="K155" s="94">
        <f t="shared" si="21"/>
        <v>0</v>
      </c>
      <c r="L155" s="94">
        <f t="shared" si="21"/>
        <v>0</v>
      </c>
      <c r="M155" s="94">
        <f t="shared" si="21"/>
        <v>0</v>
      </c>
      <c r="N155" s="94">
        <f t="shared" si="21"/>
        <v>0</v>
      </c>
      <c r="O155" s="94">
        <f t="shared" si="21"/>
        <v>0</v>
      </c>
      <c r="P155" s="94">
        <f t="shared" si="21"/>
        <v>0</v>
      </c>
      <c r="Q155" s="94">
        <f t="shared" si="21"/>
        <v>0</v>
      </c>
    </row>
    <row r="156" spans="2:17" x14ac:dyDescent="0.2">
      <c r="B156" s="90" t="str">
        <f t="shared" si="20"/>
        <v>ESTACIONES REDUCTORAS DE PRESIÓN</v>
      </c>
      <c r="C156" s="90">
        <f t="shared" si="20"/>
        <v>24</v>
      </c>
      <c r="D156" s="95">
        <f t="shared" si="20"/>
        <v>1</v>
      </c>
      <c r="E156" s="96">
        <f t="shared" si="20"/>
        <v>457899884.58817512</v>
      </c>
      <c r="F156" s="93">
        <f>+VLOOKUP(C156,'INV POIR PPERDIDAS'!$C$4:$F$123,4,FALSE)</f>
        <v>35</v>
      </c>
      <c r="G156" s="94">
        <f t="shared" si="19"/>
        <v>0</v>
      </c>
      <c r="H156" s="94">
        <f t="shared" si="21"/>
        <v>457899884.58817512</v>
      </c>
      <c r="I156" s="94">
        <f t="shared" si="21"/>
        <v>444817030.74279869</v>
      </c>
      <c r="J156" s="94">
        <f t="shared" si="21"/>
        <v>431734176.89742225</v>
      </c>
      <c r="K156" s="94">
        <f t="shared" si="21"/>
        <v>418651323.05204582</v>
      </c>
      <c r="L156" s="94">
        <f t="shared" si="21"/>
        <v>405568469.20666939</v>
      </c>
      <c r="M156" s="94">
        <f t="shared" si="21"/>
        <v>392485615.36129296</v>
      </c>
      <c r="N156" s="94">
        <f t="shared" si="21"/>
        <v>379402761.51591653</v>
      </c>
      <c r="O156" s="94">
        <f t="shared" si="21"/>
        <v>366319907.67054009</v>
      </c>
      <c r="P156" s="94">
        <f t="shared" si="21"/>
        <v>353237053.82516366</v>
      </c>
      <c r="Q156" s="94">
        <f t="shared" si="21"/>
        <v>340154199.97978723</v>
      </c>
    </row>
    <row r="157" spans="2:17" x14ac:dyDescent="0.2">
      <c r="B157" s="90" t="str">
        <f t="shared" si="20"/>
        <v>ESTACIONES REDUCTORAS DE PRESIÓN</v>
      </c>
      <c r="C157" s="90">
        <f t="shared" si="20"/>
        <v>25</v>
      </c>
      <c r="D157" s="95">
        <f t="shared" si="20"/>
        <v>2</v>
      </c>
      <c r="E157" s="96">
        <f t="shared" si="20"/>
        <v>501620585.24212873</v>
      </c>
      <c r="F157" s="93">
        <f>+VLOOKUP(C157,'INV POIR PPERDIDAS'!$C$4:$F$123,4,FALSE)</f>
        <v>35</v>
      </c>
      <c r="G157" s="94">
        <f t="shared" si="19"/>
        <v>0</v>
      </c>
      <c r="H157" s="94">
        <f t="shared" si="21"/>
        <v>0</v>
      </c>
      <c r="I157" s="94">
        <f t="shared" si="21"/>
        <v>501620585.24212873</v>
      </c>
      <c r="J157" s="94">
        <f t="shared" si="21"/>
        <v>487288568.52092505</v>
      </c>
      <c r="K157" s="94">
        <f t="shared" si="21"/>
        <v>472956551.79972136</v>
      </c>
      <c r="L157" s="94">
        <f t="shared" si="21"/>
        <v>458624535.07851768</v>
      </c>
      <c r="M157" s="94">
        <f t="shared" si="21"/>
        <v>444292518.35731399</v>
      </c>
      <c r="N157" s="94">
        <f t="shared" si="21"/>
        <v>429960501.63611031</v>
      </c>
      <c r="O157" s="94">
        <f t="shared" si="21"/>
        <v>415628484.91490662</v>
      </c>
      <c r="P157" s="94">
        <f t="shared" si="21"/>
        <v>401296468.19370294</v>
      </c>
      <c r="Q157" s="94">
        <f t="shared" si="21"/>
        <v>386964451.47249925</v>
      </c>
    </row>
    <row r="158" spans="2:17" x14ac:dyDescent="0.2">
      <c r="B158" s="90" t="str">
        <f t="shared" si="20"/>
        <v>ESTACIONES REDUCTORAS DE PRESIÓN</v>
      </c>
      <c r="C158" s="90">
        <f t="shared" si="20"/>
        <v>26</v>
      </c>
      <c r="D158" s="95">
        <f t="shared" si="20"/>
        <v>3</v>
      </c>
      <c r="E158" s="96">
        <f t="shared" si="20"/>
        <v>338636003.59959525</v>
      </c>
      <c r="F158" s="93">
        <f>+VLOOKUP(C158,'INV POIR PPERDIDAS'!$C$4:$F$123,4,FALSE)</f>
        <v>35</v>
      </c>
      <c r="G158" s="94">
        <f t="shared" si="19"/>
        <v>0</v>
      </c>
      <c r="H158" s="94">
        <f t="shared" si="21"/>
        <v>0</v>
      </c>
      <c r="I158" s="94">
        <f t="shared" si="21"/>
        <v>0</v>
      </c>
      <c r="J158" s="94">
        <f t="shared" si="21"/>
        <v>338636003.59959525</v>
      </c>
      <c r="K158" s="94">
        <f t="shared" si="21"/>
        <v>328960689.21103537</v>
      </c>
      <c r="L158" s="94">
        <f t="shared" si="21"/>
        <v>319285374.82247549</v>
      </c>
      <c r="M158" s="94">
        <f t="shared" si="21"/>
        <v>309610060.43391562</v>
      </c>
      <c r="N158" s="94">
        <f t="shared" si="21"/>
        <v>299934746.04535574</v>
      </c>
      <c r="O158" s="94">
        <f t="shared" si="21"/>
        <v>290259431.65679586</v>
      </c>
      <c r="P158" s="94">
        <f t="shared" si="21"/>
        <v>280584117.26823598</v>
      </c>
      <c r="Q158" s="94">
        <f t="shared" si="21"/>
        <v>270908802.8796761</v>
      </c>
    </row>
    <row r="159" spans="2:17" x14ac:dyDescent="0.2">
      <c r="B159" s="90" t="str">
        <f t="shared" si="20"/>
        <v>ESTACIONES REDUCTORAS DE PRESIÓN</v>
      </c>
      <c r="C159" s="90">
        <f t="shared" si="20"/>
        <v>27</v>
      </c>
      <c r="D159" s="95">
        <f t="shared" si="20"/>
        <v>4</v>
      </c>
      <c r="E159" s="96">
        <f t="shared" si="20"/>
        <v>42948911.034252018</v>
      </c>
      <c r="F159" s="93">
        <f>+VLOOKUP(C159,'INV POIR PPERDIDAS'!$C$4:$F$123,4,FALSE)</f>
        <v>35</v>
      </c>
      <c r="G159" s="94">
        <f t="shared" si="19"/>
        <v>0</v>
      </c>
      <c r="H159" s="94">
        <f t="shared" si="21"/>
        <v>0</v>
      </c>
      <c r="I159" s="94">
        <f t="shared" si="21"/>
        <v>0</v>
      </c>
      <c r="J159" s="94">
        <f t="shared" si="21"/>
        <v>0</v>
      </c>
      <c r="K159" s="94">
        <f t="shared" si="21"/>
        <v>42948911.034252018</v>
      </c>
      <c r="L159" s="94">
        <f t="shared" si="21"/>
        <v>41721799.290416248</v>
      </c>
      <c r="M159" s="94">
        <f t="shared" si="21"/>
        <v>40494687.546580479</v>
      </c>
      <c r="N159" s="94">
        <f t="shared" si="21"/>
        <v>39267575.802744709</v>
      </c>
      <c r="O159" s="94">
        <f t="shared" si="21"/>
        <v>38040464.058908939</v>
      </c>
      <c r="P159" s="94">
        <f t="shared" si="21"/>
        <v>36813352.31507317</v>
      </c>
      <c r="Q159" s="94">
        <f t="shared" si="21"/>
        <v>35586240.5712374</v>
      </c>
    </row>
    <row r="160" spans="2:17" x14ac:dyDescent="0.2">
      <c r="B160" s="90" t="str">
        <f t="shared" si="20"/>
        <v>ESTACIONES REDUCTORAS DE PRESIÓN</v>
      </c>
      <c r="C160" s="90">
        <f t="shared" si="20"/>
        <v>28</v>
      </c>
      <c r="D160" s="95">
        <f t="shared" si="20"/>
        <v>5</v>
      </c>
      <c r="E160" s="96">
        <f t="shared" si="20"/>
        <v>49309651.718624085</v>
      </c>
      <c r="F160" s="93">
        <f>+VLOOKUP(C160,'INV POIR PPERDIDAS'!$C$4:$F$123,4,FALSE)</f>
        <v>35</v>
      </c>
      <c r="G160" s="94">
        <f t="shared" si="19"/>
        <v>0</v>
      </c>
      <c r="H160" s="94">
        <f t="shared" si="21"/>
        <v>0</v>
      </c>
      <c r="I160" s="94">
        <f t="shared" si="21"/>
        <v>0</v>
      </c>
      <c r="J160" s="94">
        <f t="shared" si="21"/>
        <v>0</v>
      </c>
      <c r="K160" s="94">
        <f t="shared" si="21"/>
        <v>0</v>
      </c>
      <c r="L160" s="94">
        <f t="shared" si="21"/>
        <v>49309651.718624085</v>
      </c>
      <c r="M160" s="94">
        <f t="shared" si="21"/>
        <v>47900804.5266634</v>
      </c>
      <c r="N160" s="94">
        <f t="shared" si="21"/>
        <v>46491957.334702715</v>
      </c>
      <c r="O160" s="94">
        <f t="shared" si="21"/>
        <v>45083110.14274203</v>
      </c>
      <c r="P160" s="94">
        <f t="shared" si="21"/>
        <v>43674262.950781345</v>
      </c>
      <c r="Q160" s="94">
        <f t="shared" si="21"/>
        <v>42265415.75882066</v>
      </c>
    </row>
    <row r="161" spans="2:17" x14ac:dyDescent="0.2">
      <c r="B161" s="90" t="str">
        <f t="shared" si="20"/>
        <v>ESTACIONES REDUCTORAS DE PRESIÓN</v>
      </c>
      <c r="C161" s="90">
        <f t="shared" si="20"/>
        <v>29</v>
      </c>
      <c r="D161" s="95">
        <f t="shared" si="20"/>
        <v>6</v>
      </c>
      <c r="E161" s="96">
        <f t="shared" si="20"/>
        <v>0</v>
      </c>
      <c r="F161" s="93">
        <f>+VLOOKUP(C161,'INV POIR PPERDIDAS'!$C$4:$F$123,4,FALSE)</f>
        <v>35</v>
      </c>
      <c r="G161" s="94">
        <f t="shared" si="19"/>
        <v>0</v>
      </c>
      <c r="H161" s="94">
        <f t="shared" si="21"/>
        <v>0</v>
      </c>
      <c r="I161" s="94">
        <f t="shared" si="21"/>
        <v>0</v>
      </c>
      <c r="J161" s="94">
        <f t="shared" si="21"/>
        <v>0</v>
      </c>
      <c r="K161" s="94">
        <f t="shared" si="21"/>
        <v>0</v>
      </c>
      <c r="L161" s="94">
        <f t="shared" si="21"/>
        <v>0</v>
      </c>
      <c r="M161" s="94">
        <f t="shared" si="21"/>
        <v>0</v>
      </c>
      <c r="N161" s="94">
        <f t="shared" si="21"/>
        <v>0</v>
      </c>
      <c r="O161" s="94">
        <f t="shared" si="21"/>
        <v>0</v>
      </c>
      <c r="P161" s="94">
        <f t="shared" si="21"/>
        <v>0</v>
      </c>
      <c r="Q161" s="94">
        <f t="shared" si="21"/>
        <v>0</v>
      </c>
    </row>
    <row r="162" spans="2:17" x14ac:dyDescent="0.2">
      <c r="B162" s="90" t="str">
        <f t="shared" si="20"/>
        <v>ESTACIONES REDUCTORAS DE PRESIÓN</v>
      </c>
      <c r="C162" s="90">
        <f t="shared" si="20"/>
        <v>30</v>
      </c>
      <c r="D162" s="95">
        <f t="shared" si="20"/>
        <v>7</v>
      </c>
      <c r="E162" s="96">
        <f t="shared" si="20"/>
        <v>0</v>
      </c>
      <c r="F162" s="93">
        <f>+VLOOKUP(C162,'INV POIR PPERDIDAS'!$C$4:$F$123,4,FALSE)</f>
        <v>35</v>
      </c>
      <c r="G162" s="94">
        <f t="shared" si="19"/>
        <v>0</v>
      </c>
      <c r="H162" s="94">
        <f t="shared" si="21"/>
        <v>0</v>
      </c>
      <c r="I162" s="94">
        <f t="shared" si="21"/>
        <v>0</v>
      </c>
      <c r="J162" s="94">
        <f t="shared" si="21"/>
        <v>0</v>
      </c>
      <c r="K162" s="94">
        <f t="shared" si="21"/>
        <v>0</v>
      </c>
      <c r="L162" s="94">
        <f t="shared" si="21"/>
        <v>0</v>
      </c>
      <c r="M162" s="94">
        <f t="shared" si="21"/>
        <v>0</v>
      </c>
      <c r="N162" s="94">
        <f t="shared" si="21"/>
        <v>0</v>
      </c>
      <c r="O162" s="94">
        <f t="shared" si="21"/>
        <v>0</v>
      </c>
      <c r="P162" s="94">
        <f t="shared" si="21"/>
        <v>0</v>
      </c>
      <c r="Q162" s="94">
        <f t="shared" si="21"/>
        <v>0</v>
      </c>
    </row>
    <row r="163" spans="2:17" x14ac:dyDescent="0.2">
      <c r="B163" s="90" t="str">
        <f t="shared" si="20"/>
        <v>ESTACIONES REDUCTORAS DE PRESIÓN</v>
      </c>
      <c r="C163" s="90">
        <f t="shared" si="20"/>
        <v>31</v>
      </c>
      <c r="D163" s="95">
        <f t="shared" si="20"/>
        <v>8</v>
      </c>
      <c r="E163" s="96">
        <f t="shared" si="20"/>
        <v>0</v>
      </c>
      <c r="F163" s="93">
        <f>+VLOOKUP(C163,'INV POIR PPERDIDAS'!$C$4:$F$123,4,FALSE)</f>
        <v>35</v>
      </c>
      <c r="G163" s="94">
        <f t="shared" si="19"/>
        <v>0</v>
      </c>
      <c r="H163" s="94">
        <f t="shared" si="21"/>
        <v>0</v>
      </c>
      <c r="I163" s="94">
        <f t="shared" si="21"/>
        <v>0</v>
      </c>
      <c r="J163" s="94">
        <f t="shared" si="21"/>
        <v>0</v>
      </c>
      <c r="K163" s="94">
        <f t="shared" si="21"/>
        <v>0</v>
      </c>
      <c r="L163" s="94">
        <f t="shared" si="21"/>
        <v>0</v>
      </c>
      <c r="M163" s="94">
        <f t="shared" si="21"/>
        <v>0</v>
      </c>
      <c r="N163" s="94">
        <f t="shared" si="21"/>
        <v>0</v>
      </c>
      <c r="O163" s="94">
        <f t="shared" si="21"/>
        <v>0</v>
      </c>
      <c r="P163" s="94">
        <f t="shared" si="21"/>
        <v>0</v>
      </c>
      <c r="Q163" s="94">
        <f t="shared" si="21"/>
        <v>0</v>
      </c>
    </row>
    <row r="164" spans="2:17" x14ac:dyDescent="0.2">
      <c r="B164" s="90" t="str">
        <f t="shared" si="20"/>
        <v>ESTACIONES REDUCTORAS DE PRESIÓN</v>
      </c>
      <c r="C164" s="90">
        <f t="shared" si="20"/>
        <v>32</v>
      </c>
      <c r="D164" s="95">
        <f t="shared" si="20"/>
        <v>9</v>
      </c>
      <c r="E164" s="96">
        <f t="shared" si="20"/>
        <v>0</v>
      </c>
      <c r="F164" s="93">
        <f>+VLOOKUP(C164,'INV POIR PPERDIDAS'!$C$4:$F$123,4,FALSE)</f>
        <v>35</v>
      </c>
      <c r="G164" s="94">
        <f t="shared" si="19"/>
        <v>0</v>
      </c>
      <c r="H164" s="94">
        <f t="shared" si="21"/>
        <v>0</v>
      </c>
      <c r="I164" s="94">
        <f t="shared" si="21"/>
        <v>0</v>
      </c>
      <c r="J164" s="94">
        <f t="shared" si="21"/>
        <v>0</v>
      </c>
      <c r="K164" s="94">
        <f t="shared" si="21"/>
        <v>0</v>
      </c>
      <c r="L164" s="94">
        <f t="shared" si="21"/>
        <v>0</v>
      </c>
      <c r="M164" s="94">
        <f t="shared" si="21"/>
        <v>0</v>
      </c>
      <c r="N164" s="94">
        <f t="shared" si="21"/>
        <v>0</v>
      </c>
      <c r="O164" s="94">
        <f t="shared" si="21"/>
        <v>0</v>
      </c>
      <c r="P164" s="94">
        <f t="shared" si="21"/>
        <v>0</v>
      </c>
      <c r="Q164" s="94">
        <f t="shared" si="21"/>
        <v>0</v>
      </c>
    </row>
    <row r="165" spans="2:17" x14ac:dyDescent="0.2">
      <c r="B165" s="90" t="str">
        <f t="shared" ref="B165:E180" si="22">+B41</f>
        <v>ESTACIONES REDUCTORAS DE PRESIÓN</v>
      </c>
      <c r="C165" s="90">
        <f t="shared" si="22"/>
        <v>33</v>
      </c>
      <c r="D165" s="95">
        <f t="shared" si="22"/>
        <v>10</v>
      </c>
      <c r="E165" s="96">
        <f t="shared" si="22"/>
        <v>0</v>
      </c>
      <c r="F165" s="93">
        <f>+VLOOKUP(C165,'INV POIR PPERDIDAS'!$C$4:$F$123,4,FALSE)</f>
        <v>35</v>
      </c>
      <c r="G165" s="94">
        <f t="shared" si="19"/>
        <v>0</v>
      </c>
      <c r="H165" s="94">
        <f t="shared" ref="H165:Q180" si="23">+IF($D41=H$132,$E41,IF($D41&gt;H$132,0,G165-H41))</f>
        <v>0</v>
      </c>
      <c r="I165" s="94">
        <f t="shared" si="23"/>
        <v>0</v>
      </c>
      <c r="J165" s="94">
        <f t="shared" si="23"/>
        <v>0</v>
      </c>
      <c r="K165" s="94">
        <f t="shared" si="23"/>
        <v>0</v>
      </c>
      <c r="L165" s="94">
        <f t="shared" si="23"/>
        <v>0</v>
      </c>
      <c r="M165" s="94">
        <f t="shared" si="23"/>
        <v>0</v>
      </c>
      <c r="N165" s="94">
        <f t="shared" si="23"/>
        <v>0</v>
      </c>
      <c r="O165" s="94">
        <f t="shared" si="23"/>
        <v>0</v>
      </c>
      <c r="P165" s="94">
        <f t="shared" si="23"/>
        <v>0</v>
      </c>
      <c r="Q165" s="94">
        <f t="shared" si="23"/>
        <v>0</v>
      </c>
    </row>
    <row r="166" spans="2:17" x14ac:dyDescent="0.2">
      <c r="B166" s="90" t="str">
        <f t="shared" si="22"/>
        <v>REHABILITACIÓN TANQUES</v>
      </c>
      <c r="C166" s="90">
        <f t="shared" si="22"/>
        <v>34</v>
      </c>
      <c r="D166" s="95">
        <f t="shared" si="22"/>
        <v>0</v>
      </c>
      <c r="E166" s="96">
        <f t="shared" si="22"/>
        <v>0</v>
      </c>
      <c r="F166" s="93">
        <f>+VLOOKUP(C166,'INV POIR PPERDIDAS'!$C$4:$F$123,4,FALSE)</f>
        <v>45</v>
      </c>
      <c r="G166" s="94">
        <f t="shared" si="19"/>
        <v>0</v>
      </c>
      <c r="H166" s="94">
        <f t="shared" si="23"/>
        <v>0</v>
      </c>
      <c r="I166" s="94">
        <f t="shared" si="23"/>
        <v>0</v>
      </c>
      <c r="J166" s="94">
        <f t="shared" si="23"/>
        <v>0</v>
      </c>
      <c r="K166" s="94">
        <f t="shared" si="23"/>
        <v>0</v>
      </c>
      <c r="L166" s="94">
        <f t="shared" si="23"/>
        <v>0</v>
      </c>
      <c r="M166" s="94">
        <f t="shared" si="23"/>
        <v>0</v>
      </c>
      <c r="N166" s="94">
        <f t="shared" si="23"/>
        <v>0</v>
      </c>
      <c r="O166" s="94">
        <f t="shared" si="23"/>
        <v>0</v>
      </c>
      <c r="P166" s="94">
        <f t="shared" si="23"/>
        <v>0</v>
      </c>
      <c r="Q166" s="94">
        <f t="shared" si="23"/>
        <v>0</v>
      </c>
    </row>
    <row r="167" spans="2:17" x14ac:dyDescent="0.2">
      <c r="B167" s="90" t="str">
        <f t="shared" si="22"/>
        <v>REHABILITACIÓN TANQUES</v>
      </c>
      <c r="C167" s="90">
        <f t="shared" si="22"/>
        <v>35</v>
      </c>
      <c r="D167" s="95">
        <f t="shared" si="22"/>
        <v>1</v>
      </c>
      <c r="E167" s="96">
        <f t="shared" si="22"/>
        <v>3694767.6620469596</v>
      </c>
      <c r="F167" s="93">
        <f>+VLOOKUP(C167,'INV POIR PPERDIDAS'!$C$4:$F$123,4,FALSE)</f>
        <v>45</v>
      </c>
      <c r="G167" s="94">
        <f t="shared" si="19"/>
        <v>0</v>
      </c>
      <c r="H167" s="94">
        <f t="shared" si="23"/>
        <v>3694767.6620469596</v>
      </c>
      <c r="I167" s="94">
        <f t="shared" si="23"/>
        <v>3612661.7140014716</v>
      </c>
      <c r="J167" s="94">
        <f t="shared" si="23"/>
        <v>3530555.7659559837</v>
      </c>
      <c r="K167" s="94">
        <f t="shared" si="23"/>
        <v>3448449.8179104957</v>
      </c>
      <c r="L167" s="94">
        <f t="shared" si="23"/>
        <v>3366343.8698650077</v>
      </c>
      <c r="M167" s="94">
        <f t="shared" si="23"/>
        <v>3284237.9218195197</v>
      </c>
      <c r="N167" s="94">
        <f t="shared" si="23"/>
        <v>3202131.9737740317</v>
      </c>
      <c r="O167" s="94">
        <f t="shared" si="23"/>
        <v>3120026.0257285438</v>
      </c>
      <c r="P167" s="94">
        <f t="shared" si="23"/>
        <v>3037920.0776830558</v>
      </c>
      <c r="Q167" s="94">
        <f t="shared" si="23"/>
        <v>2955814.1296375678</v>
      </c>
    </row>
    <row r="168" spans="2:17" x14ac:dyDescent="0.2">
      <c r="B168" s="90" t="str">
        <f t="shared" si="22"/>
        <v>REHABILITACIÓN TANQUES</v>
      </c>
      <c r="C168" s="90">
        <f t="shared" si="22"/>
        <v>36</v>
      </c>
      <c r="D168" s="95">
        <f t="shared" si="22"/>
        <v>2</v>
      </c>
      <c r="E168" s="96">
        <f t="shared" si="22"/>
        <v>23580680.525948294</v>
      </c>
      <c r="F168" s="93">
        <f>+VLOOKUP(C168,'INV POIR PPERDIDAS'!$C$4:$F$123,4,FALSE)</f>
        <v>45</v>
      </c>
      <c r="G168" s="94">
        <f t="shared" si="19"/>
        <v>0</v>
      </c>
      <c r="H168" s="94">
        <f t="shared" si="23"/>
        <v>0</v>
      </c>
      <c r="I168" s="94">
        <f t="shared" si="23"/>
        <v>23580680.525948294</v>
      </c>
      <c r="J168" s="94">
        <f t="shared" si="23"/>
        <v>23056665.403149441</v>
      </c>
      <c r="K168" s="94">
        <f t="shared" si="23"/>
        <v>22532650.280350588</v>
      </c>
      <c r="L168" s="94">
        <f t="shared" si="23"/>
        <v>22008635.157551736</v>
      </c>
      <c r="M168" s="94">
        <f t="shared" si="23"/>
        <v>21484620.034752883</v>
      </c>
      <c r="N168" s="94">
        <f t="shared" si="23"/>
        <v>20960604.91195403</v>
      </c>
      <c r="O168" s="94">
        <f t="shared" si="23"/>
        <v>20436589.789155178</v>
      </c>
      <c r="P168" s="94">
        <f t="shared" si="23"/>
        <v>19912574.666356325</v>
      </c>
      <c r="Q168" s="94">
        <f t="shared" si="23"/>
        <v>19388559.543557473</v>
      </c>
    </row>
    <row r="169" spans="2:17" x14ac:dyDescent="0.2">
      <c r="B169" s="90" t="str">
        <f t="shared" si="22"/>
        <v>REHABILITACIÓN TANQUES</v>
      </c>
      <c r="C169" s="90">
        <f t="shared" si="22"/>
        <v>37</v>
      </c>
      <c r="D169" s="95">
        <f t="shared" si="22"/>
        <v>3</v>
      </c>
      <c r="E169" s="96">
        <f t="shared" si="22"/>
        <v>20159531.161544681</v>
      </c>
      <c r="F169" s="93">
        <f>+VLOOKUP(C169,'INV POIR PPERDIDAS'!$C$4:$F$123,4,FALSE)</f>
        <v>45</v>
      </c>
      <c r="G169" s="94">
        <f t="shared" si="19"/>
        <v>0</v>
      </c>
      <c r="H169" s="94">
        <f t="shared" si="23"/>
        <v>0</v>
      </c>
      <c r="I169" s="94">
        <f t="shared" si="23"/>
        <v>0</v>
      </c>
      <c r="J169" s="94">
        <f t="shared" si="23"/>
        <v>20159531.161544681</v>
      </c>
      <c r="K169" s="94">
        <f t="shared" si="23"/>
        <v>19711541.58017702</v>
      </c>
      <c r="L169" s="94">
        <f t="shared" si="23"/>
        <v>19263551.99880936</v>
      </c>
      <c r="M169" s="94">
        <f t="shared" si="23"/>
        <v>18815562.4174417</v>
      </c>
      <c r="N169" s="94">
        <f t="shared" si="23"/>
        <v>18367572.836074039</v>
      </c>
      <c r="O169" s="94">
        <f t="shared" si="23"/>
        <v>17919583.254706379</v>
      </c>
      <c r="P169" s="94">
        <f t="shared" si="23"/>
        <v>17471593.673338719</v>
      </c>
      <c r="Q169" s="94">
        <f t="shared" si="23"/>
        <v>17023604.091971058</v>
      </c>
    </row>
    <row r="170" spans="2:17" x14ac:dyDescent="0.2">
      <c r="B170" s="90" t="str">
        <f t="shared" si="22"/>
        <v>REHABILITACIÓN TANQUES</v>
      </c>
      <c r="C170" s="90">
        <f t="shared" si="22"/>
        <v>38</v>
      </c>
      <c r="D170" s="95">
        <f t="shared" si="22"/>
        <v>4</v>
      </c>
      <c r="E170" s="96">
        <f t="shared" si="22"/>
        <v>23740256.842132706</v>
      </c>
      <c r="F170" s="93">
        <f>+VLOOKUP(C170,'INV POIR PPERDIDAS'!$C$4:$F$123,4,FALSE)</f>
        <v>45</v>
      </c>
      <c r="G170" s="94">
        <f t="shared" si="19"/>
        <v>0</v>
      </c>
      <c r="H170" s="94">
        <f t="shared" si="23"/>
        <v>0</v>
      </c>
      <c r="I170" s="94">
        <f t="shared" si="23"/>
        <v>0</v>
      </c>
      <c r="J170" s="94">
        <f t="shared" si="23"/>
        <v>0</v>
      </c>
      <c r="K170" s="94">
        <f t="shared" si="23"/>
        <v>23740256.842132706</v>
      </c>
      <c r="L170" s="94">
        <f t="shared" si="23"/>
        <v>23212695.578974202</v>
      </c>
      <c r="M170" s="94">
        <f t="shared" si="23"/>
        <v>22685134.315815698</v>
      </c>
      <c r="N170" s="94">
        <f t="shared" si="23"/>
        <v>22157573.052657194</v>
      </c>
      <c r="O170" s="94">
        <f t="shared" si="23"/>
        <v>21630011.789498691</v>
      </c>
      <c r="P170" s="94">
        <f t="shared" si="23"/>
        <v>21102450.526340187</v>
      </c>
      <c r="Q170" s="94">
        <f t="shared" si="23"/>
        <v>20574889.263181683</v>
      </c>
    </row>
    <row r="171" spans="2:17" x14ac:dyDescent="0.2">
      <c r="B171" s="90" t="str">
        <f t="shared" si="22"/>
        <v>REHABILITACIÓN TANQUES</v>
      </c>
      <c r="C171" s="90">
        <f t="shared" si="22"/>
        <v>39</v>
      </c>
      <c r="D171" s="95">
        <f t="shared" si="22"/>
        <v>5</v>
      </c>
      <c r="E171" s="96">
        <f t="shared" si="22"/>
        <v>6055019.8655763008</v>
      </c>
      <c r="F171" s="93">
        <f>+VLOOKUP(C171,'INV POIR PPERDIDAS'!$C$4:$F$123,4,FALSE)</f>
        <v>45</v>
      </c>
      <c r="G171" s="94">
        <f t="shared" si="19"/>
        <v>0</v>
      </c>
      <c r="H171" s="94">
        <f t="shared" si="23"/>
        <v>0</v>
      </c>
      <c r="I171" s="94">
        <f t="shared" si="23"/>
        <v>0</v>
      </c>
      <c r="J171" s="94">
        <f t="shared" si="23"/>
        <v>0</v>
      </c>
      <c r="K171" s="94">
        <f t="shared" si="23"/>
        <v>0</v>
      </c>
      <c r="L171" s="94">
        <f t="shared" si="23"/>
        <v>6055019.8655763008</v>
      </c>
      <c r="M171" s="94">
        <f t="shared" si="23"/>
        <v>5920463.8685634937</v>
      </c>
      <c r="N171" s="94">
        <f t="shared" si="23"/>
        <v>5785907.8715506867</v>
      </c>
      <c r="O171" s="94">
        <f t="shared" si="23"/>
        <v>5651351.8745378796</v>
      </c>
      <c r="P171" s="94">
        <f t="shared" si="23"/>
        <v>5516795.8775250725</v>
      </c>
      <c r="Q171" s="94">
        <f t="shared" si="23"/>
        <v>5382239.8805122655</v>
      </c>
    </row>
    <row r="172" spans="2:17" x14ac:dyDescent="0.2">
      <c r="B172" s="90" t="str">
        <f t="shared" si="22"/>
        <v>REHABILITACIÓN TANQUES</v>
      </c>
      <c r="C172" s="90">
        <f t="shared" si="22"/>
        <v>40</v>
      </c>
      <c r="D172" s="95">
        <f t="shared" si="22"/>
        <v>6</v>
      </c>
      <c r="E172" s="96">
        <f t="shared" si="22"/>
        <v>8363307.6816903232</v>
      </c>
      <c r="F172" s="93">
        <f>+VLOOKUP(C172,'INV POIR PPERDIDAS'!$C$4:$F$123,4,FALSE)</f>
        <v>45</v>
      </c>
      <c r="G172" s="94">
        <f t="shared" si="19"/>
        <v>0</v>
      </c>
      <c r="H172" s="94">
        <f t="shared" si="23"/>
        <v>0</v>
      </c>
      <c r="I172" s="94">
        <f t="shared" si="23"/>
        <v>0</v>
      </c>
      <c r="J172" s="94">
        <f t="shared" si="23"/>
        <v>0</v>
      </c>
      <c r="K172" s="94">
        <f t="shared" si="23"/>
        <v>0</v>
      </c>
      <c r="L172" s="94">
        <f t="shared" si="23"/>
        <v>0</v>
      </c>
      <c r="M172" s="94">
        <f t="shared" si="23"/>
        <v>8363307.6816903232</v>
      </c>
      <c r="N172" s="94">
        <f t="shared" si="23"/>
        <v>8177456.3998749824</v>
      </c>
      <c r="O172" s="94">
        <f t="shared" si="23"/>
        <v>7991605.1180596417</v>
      </c>
      <c r="P172" s="94">
        <f t="shared" si="23"/>
        <v>7805753.8362443009</v>
      </c>
      <c r="Q172" s="94">
        <f t="shared" si="23"/>
        <v>7619902.5544289602</v>
      </c>
    </row>
    <row r="173" spans="2:17" x14ac:dyDescent="0.2">
      <c r="B173" s="90" t="str">
        <f t="shared" si="22"/>
        <v>REHABILITACIÓN TANQUES</v>
      </c>
      <c r="C173" s="90">
        <f t="shared" si="22"/>
        <v>41</v>
      </c>
      <c r="D173" s="95">
        <f t="shared" si="22"/>
        <v>7</v>
      </c>
      <c r="E173" s="96">
        <f t="shared" si="22"/>
        <v>5080305.5353145692</v>
      </c>
      <c r="F173" s="93">
        <f>+VLOOKUP(C173,'INV POIR PPERDIDAS'!$C$4:$F$123,4,FALSE)</f>
        <v>45</v>
      </c>
      <c r="G173" s="94">
        <f t="shared" si="19"/>
        <v>0</v>
      </c>
      <c r="H173" s="94">
        <f t="shared" si="23"/>
        <v>0</v>
      </c>
      <c r="I173" s="94">
        <f t="shared" si="23"/>
        <v>0</v>
      </c>
      <c r="J173" s="94">
        <f t="shared" si="23"/>
        <v>0</v>
      </c>
      <c r="K173" s="94">
        <f t="shared" si="23"/>
        <v>0</v>
      </c>
      <c r="L173" s="94">
        <f t="shared" si="23"/>
        <v>0</v>
      </c>
      <c r="M173" s="94">
        <f t="shared" si="23"/>
        <v>0</v>
      </c>
      <c r="N173" s="94">
        <f t="shared" si="23"/>
        <v>5080305.5353145692</v>
      </c>
      <c r="O173" s="94">
        <f t="shared" si="23"/>
        <v>4967409.8567520231</v>
      </c>
      <c r="P173" s="94">
        <f t="shared" si="23"/>
        <v>4854514.178189477</v>
      </c>
      <c r="Q173" s="94">
        <f t="shared" si="23"/>
        <v>4741618.4996269308</v>
      </c>
    </row>
    <row r="174" spans="2:17" x14ac:dyDescent="0.2">
      <c r="B174" s="90" t="str">
        <f t="shared" si="22"/>
        <v>REHABILITACIÓN TANQUES</v>
      </c>
      <c r="C174" s="90">
        <f t="shared" si="22"/>
        <v>42</v>
      </c>
      <c r="D174" s="95">
        <f t="shared" si="22"/>
        <v>8</v>
      </c>
      <c r="E174" s="96">
        <f t="shared" si="22"/>
        <v>5080305.5353145692</v>
      </c>
      <c r="F174" s="93">
        <f>+VLOOKUP(C174,'INV POIR PPERDIDAS'!$C$4:$F$123,4,FALSE)</f>
        <v>45</v>
      </c>
      <c r="G174" s="94">
        <f t="shared" si="19"/>
        <v>0</v>
      </c>
      <c r="H174" s="94">
        <f t="shared" si="23"/>
        <v>0</v>
      </c>
      <c r="I174" s="94">
        <f t="shared" si="23"/>
        <v>0</v>
      </c>
      <c r="J174" s="94">
        <f t="shared" si="23"/>
        <v>0</v>
      </c>
      <c r="K174" s="94">
        <f t="shared" si="23"/>
        <v>0</v>
      </c>
      <c r="L174" s="94">
        <f t="shared" si="23"/>
        <v>0</v>
      </c>
      <c r="M174" s="94">
        <f t="shared" si="23"/>
        <v>0</v>
      </c>
      <c r="N174" s="94">
        <f t="shared" si="23"/>
        <v>0</v>
      </c>
      <c r="O174" s="94">
        <f t="shared" si="23"/>
        <v>5080305.5353145692</v>
      </c>
      <c r="P174" s="94">
        <f t="shared" si="23"/>
        <v>4967409.8567520231</v>
      </c>
      <c r="Q174" s="94">
        <f t="shared" si="23"/>
        <v>4854514.178189477</v>
      </c>
    </row>
    <row r="175" spans="2:17" x14ac:dyDescent="0.2">
      <c r="B175" s="90" t="str">
        <f t="shared" si="22"/>
        <v>REHABILITACIÓN TANQUES</v>
      </c>
      <c r="C175" s="90">
        <f t="shared" si="22"/>
        <v>43</v>
      </c>
      <c r="D175" s="95">
        <f t="shared" si="22"/>
        <v>9</v>
      </c>
      <c r="E175" s="96">
        <f t="shared" si="22"/>
        <v>5080305.5353145692</v>
      </c>
      <c r="F175" s="93">
        <f>+VLOOKUP(C175,'INV POIR PPERDIDAS'!$C$4:$F$123,4,FALSE)</f>
        <v>45</v>
      </c>
      <c r="G175" s="94">
        <f t="shared" si="19"/>
        <v>0</v>
      </c>
      <c r="H175" s="94">
        <f t="shared" si="23"/>
        <v>0</v>
      </c>
      <c r="I175" s="94">
        <f t="shared" si="23"/>
        <v>0</v>
      </c>
      <c r="J175" s="94">
        <f t="shared" si="23"/>
        <v>0</v>
      </c>
      <c r="K175" s="94">
        <f t="shared" si="23"/>
        <v>0</v>
      </c>
      <c r="L175" s="94">
        <f t="shared" si="23"/>
        <v>0</v>
      </c>
      <c r="M175" s="94">
        <f t="shared" si="23"/>
        <v>0</v>
      </c>
      <c r="N175" s="94">
        <f t="shared" si="23"/>
        <v>0</v>
      </c>
      <c r="O175" s="94">
        <f t="shared" si="23"/>
        <v>0</v>
      </c>
      <c r="P175" s="94">
        <f t="shared" si="23"/>
        <v>5080305.5353145692</v>
      </c>
      <c r="Q175" s="94">
        <f t="shared" si="23"/>
        <v>4967409.8567520231</v>
      </c>
    </row>
    <row r="176" spans="2:17" x14ac:dyDescent="0.2">
      <c r="B176" s="90" t="str">
        <f t="shared" si="22"/>
        <v>REHABILITACIÓN TANQUES</v>
      </c>
      <c r="C176" s="90">
        <f t="shared" si="22"/>
        <v>44</v>
      </c>
      <c r="D176" s="95">
        <f t="shared" si="22"/>
        <v>10</v>
      </c>
      <c r="E176" s="96">
        <f t="shared" si="22"/>
        <v>5080305.5353145692</v>
      </c>
      <c r="F176" s="93">
        <f>+VLOOKUP(C176,'INV POIR PPERDIDAS'!$C$4:$F$123,4,FALSE)</f>
        <v>45</v>
      </c>
      <c r="G176" s="94">
        <f t="shared" si="19"/>
        <v>0</v>
      </c>
      <c r="H176" s="94">
        <f t="shared" si="23"/>
        <v>0</v>
      </c>
      <c r="I176" s="94">
        <f t="shared" si="23"/>
        <v>0</v>
      </c>
      <c r="J176" s="94">
        <f t="shared" si="23"/>
        <v>0</v>
      </c>
      <c r="K176" s="94">
        <f t="shared" si="23"/>
        <v>0</v>
      </c>
      <c r="L176" s="94">
        <f t="shared" si="23"/>
        <v>0</v>
      </c>
      <c r="M176" s="94">
        <f t="shared" si="23"/>
        <v>0</v>
      </c>
      <c r="N176" s="94">
        <f t="shared" si="23"/>
        <v>0</v>
      </c>
      <c r="O176" s="94">
        <f t="shared" si="23"/>
        <v>0</v>
      </c>
      <c r="P176" s="94">
        <f t="shared" si="23"/>
        <v>0</v>
      </c>
      <c r="Q176" s="94">
        <f t="shared" si="23"/>
        <v>5080305.5353145692</v>
      </c>
    </row>
    <row r="177" spans="2:17" x14ac:dyDescent="0.2">
      <c r="B177" s="90" t="str">
        <f t="shared" si="22"/>
        <v>NO SE REQUIERE</v>
      </c>
      <c r="C177" s="90">
        <f t="shared" si="22"/>
        <v>45</v>
      </c>
      <c r="D177" s="95">
        <f t="shared" si="22"/>
        <v>0</v>
      </c>
      <c r="E177" s="96">
        <f t="shared" si="22"/>
        <v>0</v>
      </c>
      <c r="F177" s="93">
        <f>+VLOOKUP(C177,'INV POIR PPERDIDAS'!$C$4:$F$123,4,FALSE)</f>
        <v>1</v>
      </c>
      <c r="G177" s="94">
        <f t="shared" si="19"/>
        <v>0</v>
      </c>
      <c r="H177" s="94">
        <f t="shared" si="23"/>
        <v>0</v>
      </c>
      <c r="I177" s="94">
        <f t="shared" si="23"/>
        <v>0</v>
      </c>
      <c r="J177" s="94">
        <f t="shared" si="23"/>
        <v>0</v>
      </c>
      <c r="K177" s="94">
        <f t="shared" si="23"/>
        <v>0</v>
      </c>
      <c r="L177" s="94">
        <f t="shared" si="23"/>
        <v>0</v>
      </c>
      <c r="M177" s="94">
        <f t="shared" si="23"/>
        <v>0</v>
      </c>
      <c r="N177" s="94">
        <f t="shared" si="23"/>
        <v>0</v>
      </c>
      <c r="O177" s="94">
        <f t="shared" si="23"/>
        <v>0</v>
      </c>
      <c r="P177" s="94">
        <f t="shared" si="23"/>
        <v>0</v>
      </c>
      <c r="Q177" s="94">
        <f t="shared" si="23"/>
        <v>0</v>
      </c>
    </row>
    <row r="178" spans="2:17" x14ac:dyDescent="0.2">
      <c r="B178" s="90" t="str">
        <f t="shared" si="22"/>
        <v>NO SE REQUIERE</v>
      </c>
      <c r="C178" s="90">
        <f t="shared" si="22"/>
        <v>46</v>
      </c>
      <c r="D178" s="95">
        <f t="shared" si="22"/>
        <v>1</v>
      </c>
      <c r="E178" s="96">
        <f t="shared" si="22"/>
        <v>182564111.13095859</v>
      </c>
      <c r="F178" s="93">
        <f>+VLOOKUP(C178,'INV POIR PPERDIDAS'!$C$4:$F$123,4,FALSE)</f>
        <v>1</v>
      </c>
      <c r="G178" s="94">
        <f t="shared" si="19"/>
        <v>0</v>
      </c>
      <c r="H178" s="94">
        <f t="shared" si="23"/>
        <v>182564111.13095859</v>
      </c>
      <c r="I178" s="94">
        <f t="shared" si="23"/>
        <v>0</v>
      </c>
      <c r="J178" s="94">
        <f t="shared" si="23"/>
        <v>-182564111.13095859</v>
      </c>
      <c r="K178" s="94">
        <f t="shared" si="23"/>
        <v>-365128222.26191717</v>
      </c>
      <c r="L178" s="94">
        <f t="shared" si="23"/>
        <v>-547692333.39287579</v>
      </c>
      <c r="M178" s="94">
        <f t="shared" si="23"/>
        <v>-730256444.52383435</v>
      </c>
      <c r="N178" s="94">
        <f t="shared" si="23"/>
        <v>-912820555.6547929</v>
      </c>
      <c r="O178" s="94">
        <f t="shared" si="23"/>
        <v>-1095384666.7857516</v>
      </c>
      <c r="P178" s="94">
        <f t="shared" si="23"/>
        <v>-1277948777.9167101</v>
      </c>
      <c r="Q178" s="94">
        <f t="shared" si="23"/>
        <v>-1460512889.0476687</v>
      </c>
    </row>
    <row r="179" spans="2:17" x14ac:dyDescent="0.2">
      <c r="B179" s="90" t="str">
        <f t="shared" si="22"/>
        <v>NO SE REQUIERE</v>
      </c>
      <c r="C179" s="90">
        <f t="shared" si="22"/>
        <v>47</v>
      </c>
      <c r="D179" s="95">
        <f t="shared" si="22"/>
        <v>2</v>
      </c>
      <c r="E179" s="96">
        <f t="shared" si="22"/>
        <v>182564111.13095859</v>
      </c>
      <c r="F179" s="93">
        <f>+VLOOKUP(C179,'INV POIR PPERDIDAS'!$C$4:$F$123,4,FALSE)</f>
        <v>1</v>
      </c>
      <c r="G179" s="94">
        <f t="shared" si="19"/>
        <v>0</v>
      </c>
      <c r="H179" s="94">
        <f t="shared" si="23"/>
        <v>0</v>
      </c>
      <c r="I179" s="94">
        <f t="shared" si="23"/>
        <v>182564111.13095859</v>
      </c>
      <c r="J179" s="94">
        <f t="shared" si="23"/>
        <v>0</v>
      </c>
      <c r="K179" s="94">
        <f t="shared" si="23"/>
        <v>-182564111.13095859</v>
      </c>
      <c r="L179" s="94">
        <f t="shared" si="23"/>
        <v>-365128222.26191717</v>
      </c>
      <c r="M179" s="94">
        <f t="shared" si="23"/>
        <v>-547692333.39287579</v>
      </c>
      <c r="N179" s="94">
        <f t="shared" si="23"/>
        <v>-730256444.52383435</v>
      </c>
      <c r="O179" s="94">
        <f t="shared" si="23"/>
        <v>-912820555.6547929</v>
      </c>
      <c r="P179" s="94">
        <f t="shared" si="23"/>
        <v>-1095384666.7857516</v>
      </c>
      <c r="Q179" s="94">
        <f t="shared" si="23"/>
        <v>-1277948777.9167101</v>
      </c>
    </row>
    <row r="180" spans="2:17" x14ac:dyDescent="0.2">
      <c r="B180" s="90" t="str">
        <f t="shared" si="22"/>
        <v>NO SE REQUIERE</v>
      </c>
      <c r="C180" s="90">
        <f t="shared" si="22"/>
        <v>48</v>
      </c>
      <c r="D180" s="95">
        <f t="shared" si="22"/>
        <v>3</v>
      </c>
      <c r="E180" s="96">
        <f t="shared" si="22"/>
        <v>182564111.13095859</v>
      </c>
      <c r="F180" s="93">
        <f>+VLOOKUP(C180,'INV POIR PPERDIDAS'!$C$4:$F$123,4,FALSE)</f>
        <v>1</v>
      </c>
      <c r="G180" s="94">
        <f t="shared" si="19"/>
        <v>0</v>
      </c>
      <c r="H180" s="94">
        <f t="shared" si="23"/>
        <v>0</v>
      </c>
      <c r="I180" s="94">
        <f t="shared" si="23"/>
        <v>0</v>
      </c>
      <c r="J180" s="94">
        <f t="shared" si="23"/>
        <v>182564111.13095859</v>
      </c>
      <c r="K180" s="94">
        <f t="shared" si="23"/>
        <v>0</v>
      </c>
      <c r="L180" s="94">
        <f t="shared" si="23"/>
        <v>-182564111.13095859</v>
      </c>
      <c r="M180" s="94">
        <f t="shared" si="23"/>
        <v>-365128222.26191717</v>
      </c>
      <c r="N180" s="94">
        <f t="shared" si="23"/>
        <v>-547692333.39287579</v>
      </c>
      <c r="O180" s="94">
        <f t="shared" si="23"/>
        <v>-730256444.52383435</v>
      </c>
      <c r="P180" s="94">
        <f t="shared" si="23"/>
        <v>-912820555.6547929</v>
      </c>
      <c r="Q180" s="94">
        <f t="shared" si="23"/>
        <v>-1095384666.7857516</v>
      </c>
    </row>
    <row r="181" spans="2:17" x14ac:dyDescent="0.2">
      <c r="B181" s="90" t="str">
        <f t="shared" ref="B181:E196" si="24">+B57</f>
        <v>NO SE REQUIERE</v>
      </c>
      <c r="C181" s="90">
        <f t="shared" si="24"/>
        <v>49</v>
      </c>
      <c r="D181" s="95">
        <f t="shared" si="24"/>
        <v>4</v>
      </c>
      <c r="E181" s="96">
        <f t="shared" si="24"/>
        <v>182564111.13095859</v>
      </c>
      <c r="F181" s="93">
        <f>+VLOOKUP(C181,'INV POIR PPERDIDAS'!$C$4:$F$123,4,FALSE)</f>
        <v>1</v>
      </c>
      <c r="G181" s="94">
        <f t="shared" si="19"/>
        <v>0</v>
      </c>
      <c r="H181" s="94">
        <f t="shared" ref="H181:Q196" si="25">+IF($D57=H$132,$E57,IF($D57&gt;H$132,0,G181-H57))</f>
        <v>0</v>
      </c>
      <c r="I181" s="94">
        <f t="shared" si="25"/>
        <v>0</v>
      </c>
      <c r="J181" s="94">
        <f t="shared" si="25"/>
        <v>0</v>
      </c>
      <c r="K181" s="94">
        <f t="shared" si="25"/>
        <v>182564111.13095859</v>
      </c>
      <c r="L181" s="94">
        <f t="shared" si="25"/>
        <v>0</v>
      </c>
      <c r="M181" s="94">
        <f t="shared" si="25"/>
        <v>-182564111.13095859</v>
      </c>
      <c r="N181" s="94">
        <f t="shared" si="25"/>
        <v>-365128222.26191717</v>
      </c>
      <c r="O181" s="94">
        <f t="shared" si="25"/>
        <v>-547692333.39287579</v>
      </c>
      <c r="P181" s="94">
        <f t="shared" si="25"/>
        <v>-730256444.52383435</v>
      </c>
      <c r="Q181" s="94">
        <f t="shared" si="25"/>
        <v>-912820555.6547929</v>
      </c>
    </row>
    <row r="182" spans="2:17" x14ac:dyDescent="0.2">
      <c r="B182" s="90" t="str">
        <f t="shared" si="24"/>
        <v>NO SE REQUIERE</v>
      </c>
      <c r="C182" s="90">
        <f t="shared" si="24"/>
        <v>50</v>
      </c>
      <c r="D182" s="95">
        <f t="shared" si="24"/>
        <v>5</v>
      </c>
      <c r="E182" s="96">
        <f t="shared" si="24"/>
        <v>182564111.13095859</v>
      </c>
      <c r="F182" s="93">
        <f>+VLOOKUP(C182,'INV POIR PPERDIDAS'!$C$4:$F$123,4,FALSE)</f>
        <v>1</v>
      </c>
      <c r="G182" s="94">
        <f t="shared" si="19"/>
        <v>0</v>
      </c>
      <c r="H182" s="94">
        <f t="shared" si="25"/>
        <v>0</v>
      </c>
      <c r="I182" s="94">
        <f t="shared" si="25"/>
        <v>0</v>
      </c>
      <c r="J182" s="94">
        <f t="shared" si="25"/>
        <v>0</v>
      </c>
      <c r="K182" s="94">
        <f t="shared" si="25"/>
        <v>0</v>
      </c>
      <c r="L182" s="94">
        <f t="shared" si="25"/>
        <v>182564111.13095859</v>
      </c>
      <c r="M182" s="94">
        <f t="shared" si="25"/>
        <v>0</v>
      </c>
      <c r="N182" s="94">
        <f t="shared" si="25"/>
        <v>-182564111.13095859</v>
      </c>
      <c r="O182" s="94">
        <f t="shared" si="25"/>
        <v>-365128222.26191717</v>
      </c>
      <c r="P182" s="94">
        <f t="shared" si="25"/>
        <v>-547692333.39287579</v>
      </c>
      <c r="Q182" s="94">
        <f t="shared" si="25"/>
        <v>-730256444.52383435</v>
      </c>
    </row>
    <row r="183" spans="2:17" x14ac:dyDescent="0.2">
      <c r="B183" s="90" t="str">
        <f t="shared" si="24"/>
        <v>NO SE REQUIERE</v>
      </c>
      <c r="C183" s="90">
        <f t="shared" si="24"/>
        <v>51</v>
      </c>
      <c r="D183" s="95">
        <f t="shared" si="24"/>
        <v>6</v>
      </c>
      <c r="E183" s="96">
        <f t="shared" si="24"/>
        <v>0</v>
      </c>
      <c r="F183" s="93">
        <f>+VLOOKUP(C183,'INV POIR PPERDIDAS'!$C$4:$F$123,4,FALSE)</f>
        <v>1</v>
      </c>
      <c r="G183" s="94">
        <f t="shared" si="19"/>
        <v>0</v>
      </c>
      <c r="H183" s="94">
        <f t="shared" si="25"/>
        <v>0</v>
      </c>
      <c r="I183" s="94">
        <f t="shared" si="25"/>
        <v>0</v>
      </c>
      <c r="J183" s="94">
        <f t="shared" si="25"/>
        <v>0</v>
      </c>
      <c r="K183" s="94">
        <f t="shared" si="25"/>
        <v>0</v>
      </c>
      <c r="L183" s="94">
        <f t="shared" si="25"/>
        <v>0</v>
      </c>
      <c r="M183" s="94">
        <f t="shared" si="25"/>
        <v>0</v>
      </c>
      <c r="N183" s="94">
        <f t="shared" si="25"/>
        <v>0</v>
      </c>
      <c r="O183" s="94">
        <f t="shared" si="25"/>
        <v>0</v>
      </c>
      <c r="P183" s="94">
        <f t="shared" si="25"/>
        <v>0</v>
      </c>
      <c r="Q183" s="94">
        <f t="shared" si="25"/>
        <v>0</v>
      </c>
    </row>
    <row r="184" spans="2:17" x14ac:dyDescent="0.2">
      <c r="B184" s="90" t="str">
        <f t="shared" si="24"/>
        <v>NO SE REQUIERE</v>
      </c>
      <c r="C184" s="90">
        <f t="shared" si="24"/>
        <v>52</v>
      </c>
      <c r="D184" s="95">
        <f t="shared" si="24"/>
        <v>7</v>
      </c>
      <c r="E184" s="96">
        <f t="shared" si="24"/>
        <v>0</v>
      </c>
      <c r="F184" s="93">
        <f>+VLOOKUP(C184,'INV POIR PPERDIDAS'!$C$4:$F$123,4,FALSE)</f>
        <v>1</v>
      </c>
      <c r="G184" s="94">
        <f t="shared" si="19"/>
        <v>0</v>
      </c>
      <c r="H184" s="94">
        <f t="shared" si="25"/>
        <v>0</v>
      </c>
      <c r="I184" s="94">
        <f t="shared" si="25"/>
        <v>0</v>
      </c>
      <c r="J184" s="94">
        <f t="shared" si="25"/>
        <v>0</v>
      </c>
      <c r="K184" s="94">
        <f t="shared" si="25"/>
        <v>0</v>
      </c>
      <c r="L184" s="94">
        <f t="shared" si="25"/>
        <v>0</v>
      </c>
      <c r="M184" s="94">
        <f t="shared" si="25"/>
        <v>0</v>
      </c>
      <c r="N184" s="94">
        <f t="shared" si="25"/>
        <v>0</v>
      </c>
      <c r="O184" s="94">
        <f t="shared" si="25"/>
        <v>0</v>
      </c>
      <c r="P184" s="94">
        <f t="shared" si="25"/>
        <v>0</v>
      </c>
      <c r="Q184" s="94">
        <f t="shared" si="25"/>
        <v>0</v>
      </c>
    </row>
    <row r="185" spans="2:17" x14ac:dyDescent="0.2">
      <c r="B185" s="90" t="str">
        <f t="shared" si="24"/>
        <v>NO SE REQUIERE</v>
      </c>
      <c r="C185" s="90">
        <f t="shared" si="24"/>
        <v>53</v>
      </c>
      <c r="D185" s="95">
        <f t="shared" si="24"/>
        <v>8</v>
      </c>
      <c r="E185" s="96">
        <f t="shared" si="24"/>
        <v>0</v>
      </c>
      <c r="F185" s="93">
        <f>+VLOOKUP(C185,'INV POIR PPERDIDAS'!$C$4:$F$123,4,FALSE)</f>
        <v>1</v>
      </c>
      <c r="G185" s="94">
        <f t="shared" si="19"/>
        <v>0</v>
      </c>
      <c r="H185" s="94">
        <f t="shared" si="25"/>
        <v>0</v>
      </c>
      <c r="I185" s="94">
        <f t="shared" si="25"/>
        <v>0</v>
      </c>
      <c r="J185" s="94">
        <f t="shared" si="25"/>
        <v>0</v>
      </c>
      <c r="K185" s="94">
        <f t="shared" si="25"/>
        <v>0</v>
      </c>
      <c r="L185" s="94">
        <f t="shared" si="25"/>
        <v>0</v>
      </c>
      <c r="M185" s="94">
        <f t="shared" si="25"/>
        <v>0</v>
      </c>
      <c r="N185" s="94">
        <f t="shared" si="25"/>
        <v>0</v>
      </c>
      <c r="O185" s="94">
        <f t="shared" si="25"/>
        <v>0</v>
      </c>
      <c r="P185" s="94">
        <f t="shared" si="25"/>
        <v>0</v>
      </c>
      <c r="Q185" s="94">
        <f t="shared" si="25"/>
        <v>0</v>
      </c>
    </row>
    <row r="186" spans="2:17" x14ac:dyDescent="0.2">
      <c r="B186" s="90" t="str">
        <f t="shared" si="24"/>
        <v>NO SE REQUIERE</v>
      </c>
      <c r="C186" s="90">
        <f t="shared" si="24"/>
        <v>54</v>
      </c>
      <c r="D186" s="95">
        <f t="shared" si="24"/>
        <v>9</v>
      </c>
      <c r="E186" s="96">
        <f t="shared" si="24"/>
        <v>0</v>
      </c>
      <c r="F186" s="93">
        <f>+VLOOKUP(C186,'INV POIR PPERDIDAS'!$C$4:$F$123,4,FALSE)</f>
        <v>1</v>
      </c>
      <c r="G186" s="94">
        <f t="shared" si="19"/>
        <v>0</v>
      </c>
      <c r="H186" s="94">
        <f t="shared" si="25"/>
        <v>0</v>
      </c>
      <c r="I186" s="94">
        <f t="shared" si="25"/>
        <v>0</v>
      </c>
      <c r="J186" s="94">
        <f t="shared" si="25"/>
        <v>0</v>
      </c>
      <c r="K186" s="94">
        <f t="shared" si="25"/>
        <v>0</v>
      </c>
      <c r="L186" s="94">
        <f t="shared" si="25"/>
        <v>0</v>
      </c>
      <c r="M186" s="94">
        <f t="shared" si="25"/>
        <v>0</v>
      </c>
      <c r="N186" s="94">
        <f t="shared" si="25"/>
        <v>0</v>
      </c>
      <c r="O186" s="94">
        <f t="shared" si="25"/>
        <v>0</v>
      </c>
      <c r="P186" s="94">
        <f t="shared" si="25"/>
        <v>0</v>
      </c>
      <c r="Q186" s="94">
        <f t="shared" si="25"/>
        <v>0</v>
      </c>
    </row>
    <row r="187" spans="2:17" x14ac:dyDescent="0.2">
      <c r="B187" s="90" t="str">
        <f t="shared" si="24"/>
        <v>NO SE REQUIERE</v>
      </c>
      <c r="C187" s="90">
        <f t="shared" si="24"/>
        <v>55</v>
      </c>
      <c r="D187" s="95">
        <f t="shared" si="24"/>
        <v>10</v>
      </c>
      <c r="E187" s="96">
        <f t="shared" si="24"/>
        <v>0</v>
      </c>
      <c r="F187" s="93">
        <f>+VLOOKUP(C187,'INV POIR PPERDIDAS'!$C$4:$F$123,4,FALSE)</f>
        <v>1</v>
      </c>
      <c r="G187" s="94">
        <f t="shared" si="19"/>
        <v>0</v>
      </c>
      <c r="H187" s="94">
        <f t="shared" si="25"/>
        <v>0</v>
      </c>
      <c r="I187" s="94">
        <f t="shared" si="25"/>
        <v>0</v>
      </c>
      <c r="J187" s="94">
        <f t="shared" si="25"/>
        <v>0</v>
      </c>
      <c r="K187" s="94">
        <f t="shared" si="25"/>
        <v>0</v>
      </c>
      <c r="L187" s="94">
        <f t="shared" si="25"/>
        <v>0</v>
      </c>
      <c r="M187" s="94">
        <f t="shared" si="25"/>
        <v>0</v>
      </c>
      <c r="N187" s="94">
        <f t="shared" si="25"/>
        <v>0</v>
      </c>
      <c r="O187" s="94">
        <f t="shared" si="25"/>
        <v>0</v>
      </c>
      <c r="P187" s="94">
        <f t="shared" si="25"/>
        <v>0</v>
      </c>
      <c r="Q187" s="94">
        <f t="shared" si="25"/>
        <v>0</v>
      </c>
    </row>
    <row r="188" spans="2:17" x14ac:dyDescent="0.2">
      <c r="B188" s="90" t="str">
        <f t="shared" si="24"/>
        <v>REHABILITACIÓN REDES</v>
      </c>
      <c r="C188" s="90">
        <f t="shared" si="24"/>
        <v>56</v>
      </c>
      <c r="D188" s="95">
        <f t="shared" si="24"/>
        <v>0</v>
      </c>
      <c r="E188" s="96">
        <f t="shared" si="24"/>
        <v>0</v>
      </c>
      <c r="F188" s="93">
        <f>+VLOOKUP(C188,'INV POIR PPERDIDAS'!$C$4:$F$123,4,FALSE)</f>
        <v>45</v>
      </c>
      <c r="G188" s="94">
        <f t="shared" si="19"/>
        <v>0</v>
      </c>
      <c r="H188" s="94">
        <f t="shared" si="25"/>
        <v>0</v>
      </c>
      <c r="I188" s="94">
        <f t="shared" si="25"/>
        <v>0</v>
      </c>
      <c r="J188" s="94">
        <f t="shared" si="25"/>
        <v>0</v>
      </c>
      <c r="K188" s="94">
        <f t="shared" si="25"/>
        <v>0</v>
      </c>
      <c r="L188" s="94">
        <f t="shared" si="25"/>
        <v>0</v>
      </c>
      <c r="M188" s="94">
        <f t="shared" si="25"/>
        <v>0</v>
      </c>
      <c r="N188" s="94">
        <f t="shared" si="25"/>
        <v>0</v>
      </c>
      <c r="O188" s="94">
        <f t="shared" si="25"/>
        <v>0</v>
      </c>
      <c r="P188" s="94">
        <f t="shared" si="25"/>
        <v>0</v>
      </c>
      <c r="Q188" s="94">
        <f t="shared" si="25"/>
        <v>0</v>
      </c>
    </row>
    <row r="189" spans="2:17" x14ac:dyDescent="0.2">
      <c r="B189" s="90" t="str">
        <f t="shared" si="24"/>
        <v>REHABILITACIÓN REDES</v>
      </c>
      <c r="C189" s="90">
        <f t="shared" si="24"/>
        <v>57</v>
      </c>
      <c r="D189" s="95">
        <f t="shared" si="24"/>
        <v>1</v>
      </c>
      <c r="E189" s="96">
        <f t="shared" si="24"/>
        <v>0</v>
      </c>
      <c r="F189" s="93">
        <f>+VLOOKUP(C189,'INV POIR PPERDIDAS'!$C$4:$F$123,4,FALSE)</f>
        <v>45</v>
      </c>
      <c r="G189" s="94">
        <f t="shared" si="19"/>
        <v>0</v>
      </c>
      <c r="H189" s="94">
        <f t="shared" si="25"/>
        <v>0</v>
      </c>
      <c r="I189" s="94">
        <f t="shared" si="25"/>
        <v>0</v>
      </c>
      <c r="J189" s="94">
        <f t="shared" si="25"/>
        <v>0</v>
      </c>
      <c r="K189" s="94">
        <f t="shared" si="25"/>
        <v>0</v>
      </c>
      <c r="L189" s="94">
        <f t="shared" si="25"/>
        <v>0</v>
      </c>
      <c r="M189" s="94">
        <f t="shared" si="25"/>
        <v>0</v>
      </c>
      <c r="N189" s="94">
        <f t="shared" si="25"/>
        <v>0</v>
      </c>
      <c r="O189" s="94">
        <f t="shared" si="25"/>
        <v>0</v>
      </c>
      <c r="P189" s="94">
        <f t="shared" si="25"/>
        <v>0</v>
      </c>
      <c r="Q189" s="94">
        <f t="shared" si="25"/>
        <v>0</v>
      </c>
    </row>
    <row r="190" spans="2:17" x14ac:dyDescent="0.2">
      <c r="B190" s="90" t="str">
        <f t="shared" si="24"/>
        <v>REHABILITACIÓN REDES</v>
      </c>
      <c r="C190" s="90">
        <f t="shared" si="24"/>
        <v>58</v>
      </c>
      <c r="D190" s="95">
        <f t="shared" si="24"/>
        <v>2</v>
      </c>
      <c r="E190" s="96">
        <f t="shared" si="24"/>
        <v>611554989.46373248</v>
      </c>
      <c r="F190" s="93">
        <f>+VLOOKUP(C190,'INV POIR PPERDIDAS'!$C$4:$F$123,4,FALSE)</f>
        <v>45</v>
      </c>
      <c r="G190" s="94">
        <f t="shared" si="19"/>
        <v>0</v>
      </c>
      <c r="H190" s="94">
        <f t="shared" si="25"/>
        <v>0</v>
      </c>
      <c r="I190" s="94">
        <f t="shared" si="25"/>
        <v>611554989.46373248</v>
      </c>
      <c r="J190" s="94">
        <f t="shared" si="25"/>
        <v>597964878.58676064</v>
      </c>
      <c r="K190" s="94">
        <f t="shared" si="25"/>
        <v>584374767.7097888</v>
      </c>
      <c r="L190" s="94">
        <f t="shared" si="25"/>
        <v>570784656.83281696</v>
      </c>
      <c r="M190" s="94">
        <f t="shared" si="25"/>
        <v>557194545.95584512</v>
      </c>
      <c r="N190" s="94">
        <f t="shared" si="25"/>
        <v>543604435.07887328</v>
      </c>
      <c r="O190" s="94">
        <f t="shared" si="25"/>
        <v>530014324.20190144</v>
      </c>
      <c r="P190" s="94">
        <f t="shared" si="25"/>
        <v>516424213.32492959</v>
      </c>
      <c r="Q190" s="94">
        <f t="shared" si="25"/>
        <v>502834102.44795775</v>
      </c>
    </row>
    <row r="191" spans="2:17" x14ac:dyDescent="0.2">
      <c r="B191" s="90" t="str">
        <f t="shared" si="24"/>
        <v>REHABILITACIÓN REDES</v>
      </c>
      <c r="C191" s="90">
        <f t="shared" si="24"/>
        <v>59</v>
      </c>
      <c r="D191" s="95">
        <f t="shared" si="24"/>
        <v>3</v>
      </c>
      <c r="E191" s="96">
        <f t="shared" si="24"/>
        <v>257258799.37705919</v>
      </c>
      <c r="F191" s="93">
        <f>+VLOOKUP(C191,'INV POIR PPERDIDAS'!$C$4:$F$123,4,FALSE)</f>
        <v>45</v>
      </c>
      <c r="G191" s="94">
        <f t="shared" si="19"/>
        <v>0</v>
      </c>
      <c r="H191" s="94">
        <f t="shared" si="25"/>
        <v>0</v>
      </c>
      <c r="I191" s="94">
        <f t="shared" si="25"/>
        <v>0</v>
      </c>
      <c r="J191" s="94">
        <f t="shared" si="25"/>
        <v>257258799.37705919</v>
      </c>
      <c r="K191" s="94">
        <f t="shared" si="25"/>
        <v>251541937.1686801</v>
      </c>
      <c r="L191" s="94">
        <f t="shared" si="25"/>
        <v>245825074.96030101</v>
      </c>
      <c r="M191" s="94">
        <f t="shared" si="25"/>
        <v>240108212.75192192</v>
      </c>
      <c r="N191" s="94">
        <f t="shared" si="25"/>
        <v>234391350.54354283</v>
      </c>
      <c r="O191" s="94">
        <f t="shared" si="25"/>
        <v>228674488.33516374</v>
      </c>
      <c r="P191" s="94">
        <f t="shared" si="25"/>
        <v>222957626.12678465</v>
      </c>
      <c r="Q191" s="94">
        <f t="shared" si="25"/>
        <v>217240763.91840556</v>
      </c>
    </row>
    <row r="192" spans="2:17" x14ac:dyDescent="0.2">
      <c r="B192" s="90" t="str">
        <f t="shared" si="24"/>
        <v>REHABILITACIÓN REDES</v>
      </c>
      <c r="C192" s="90">
        <f t="shared" si="24"/>
        <v>60</v>
      </c>
      <c r="D192" s="95">
        <f t="shared" si="24"/>
        <v>4</v>
      </c>
      <c r="E192" s="96">
        <f t="shared" si="24"/>
        <v>426601786.47694588</v>
      </c>
      <c r="F192" s="93">
        <f>+VLOOKUP(C192,'INV POIR PPERDIDAS'!$C$4:$F$123,4,FALSE)</f>
        <v>45</v>
      </c>
      <c r="G192" s="94">
        <f t="shared" si="19"/>
        <v>0</v>
      </c>
      <c r="H192" s="94">
        <f t="shared" si="25"/>
        <v>0</v>
      </c>
      <c r="I192" s="94">
        <f t="shared" si="25"/>
        <v>0</v>
      </c>
      <c r="J192" s="94">
        <f t="shared" si="25"/>
        <v>0</v>
      </c>
      <c r="K192" s="94">
        <f t="shared" si="25"/>
        <v>426601786.47694588</v>
      </c>
      <c r="L192" s="94">
        <f t="shared" si="25"/>
        <v>417121746.77745819</v>
      </c>
      <c r="M192" s="94">
        <f t="shared" si="25"/>
        <v>407641707.0779705</v>
      </c>
      <c r="N192" s="94">
        <f t="shared" si="25"/>
        <v>398161667.37848282</v>
      </c>
      <c r="O192" s="94">
        <f t="shared" si="25"/>
        <v>388681627.67899513</v>
      </c>
      <c r="P192" s="94">
        <f t="shared" si="25"/>
        <v>379201587.97950745</v>
      </c>
      <c r="Q192" s="94">
        <f t="shared" si="25"/>
        <v>369721548.28001976</v>
      </c>
    </row>
    <row r="193" spans="2:17" x14ac:dyDescent="0.2">
      <c r="B193" s="90" t="str">
        <f t="shared" si="24"/>
        <v>REHABILITACIÓN REDES</v>
      </c>
      <c r="C193" s="90">
        <f t="shared" si="24"/>
        <v>61</v>
      </c>
      <c r="D193" s="95">
        <f t="shared" si="24"/>
        <v>5</v>
      </c>
      <c r="E193" s="96">
        <f t="shared" si="24"/>
        <v>358819367.65486312</v>
      </c>
      <c r="F193" s="93">
        <f>+VLOOKUP(C193,'INV POIR PPERDIDAS'!$C$4:$F$123,4,FALSE)</f>
        <v>45</v>
      </c>
      <c r="G193" s="94">
        <f t="shared" si="19"/>
        <v>0</v>
      </c>
      <c r="H193" s="94">
        <f t="shared" si="25"/>
        <v>0</v>
      </c>
      <c r="I193" s="94">
        <f t="shared" si="25"/>
        <v>0</v>
      </c>
      <c r="J193" s="94">
        <f t="shared" si="25"/>
        <v>0</v>
      </c>
      <c r="K193" s="94">
        <f t="shared" si="25"/>
        <v>0</v>
      </c>
      <c r="L193" s="94">
        <f t="shared" si="25"/>
        <v>358819367.65486312</v>
      </c>
      <c r="M193" s="94">
        <f t="shared" si="25"/>
        <v>350845603.92919952</v>
      </c>
      <c r="N193" s="94">
        <f t="shared" si="25"/>
        <v>342871840.20353591</v>
      </c>
      <c r="O193" s="94">
        <f t="shared" si="25"/>
        <v>334898076.47787231</v>
      </c>
      <c r="P193" s="94">
        <f t="shared" si="25"/>
        <v>326924312.75220871</v>
      </c>
      <c r="Q193" s="94">
        <f t="shared" si="25"/>
        <v>318950549.02654511</v>
      </c>
    </row>
    <row r="194" spans="2:17" x14ac:dyDescent="0.2">
      <c r="B194" s="90" t="str">
        <f t="shared" si="24"/>
        <v>REHABILITACIÓN REDES</v>
      </c>
      <c r="C194" s="90">
        <f t="shared" si="24"/>
        <v>62</v>
      </c>
      <c r="D194" s="95">
        <f t="shared" si="24"/>
        <v>6</v>
      </c>
      <c r="E194" s="96">
        <f t="shared" si="24"/>
        <v>1076231401.3037224</v>
      </c>
      <c r="F194" s="93">
        <f>+VLOOKUP(C194,'INV POIR PPERDIDAS'!$C$4:$F$123,4,FALSE)</f>
        <v>45</v>
      </c>
      <c r="G194" s="94">
        <f t="shared" si="19"/>
        <v>0</v>
      </c>
      <c r="H194" s="94">
        <f t="shared" si="25"/>
        <v>0</v>
      </c>
      <c r="I194" s="94">
        <f t="shared" si="25"/>
        <v>0</v>
      </c>
      <c r="J194" s="94">
        <f t="shared" si="25"/>
        <v>0</v>
      </c>
      <c r="K194" s="94">
        <f t="shared" si="25"/>
        <v>0</v>
      </c>
      <c r="L194" s="94">
        <f t="shared" si="25"/>
        <v>0</v>
      </c>
      <c r="M194" s="94">
        <f t="shared" si="25"/>
        <v>1076231401.3037224</v>
      </c>
      <c r="N194" s="94">
        <f t="shared" si="25"/>
        <v>1052315147.9414175</v>
      </c>
      <c r="O194" s="94">
        <f t="shared" si="25"/>
        <v>1028398894.5791125</v>
      </c>
      <c r="P194" s="94">
        <f t="shared" si="25"/>
        <v>1004482641.2168076</v>
      </c>
      <c r="Q194" s="94">
        <f t="shared" si="25"/>
        <v>980566387.85450268</v>
      </c>
    </row>
    <row r="195" spans="2:17" x14ac:dyDescent="0.2">
      <c r="B195" s="90" t="str">
        <f t="shared" si="24"/>
        <v>REHABILITACIÓN REDES</v>
      </c>
      <c r="C195" s="90">
        <f t="shared" si="24"/>
        <v>63</v>
      </c>
      <c r="D195" s="95">
        <f t="shared" si="24"/>
        <v>7</v>
      </c>
      <c r="E195" s="96">
        <f t="shared" si="24"/>
        <v>658254709.55816746</v>
      </c>
      <c r="F195" s="93">
        <f>+VLOOKUP(C195,'INV POIR PPERDIDAS'!$C$4:$F$123,4,FALSE)</f>
        <v>45</v>
      </c>
      <c r="G195" s="94">
        <f t="shared" si="19"/>
        <v>0</v>
      </c>
      <c r="H195" s="94">
        <f t="shared" si="25"/>
        <v>0</v>
      </c>
      <c r="I195" s="94">
        <f t="shared" si="25"/>
        <v>0</v>
      </c>
      <c r="J195" s="94">
        <f t="shared" si="25"/>
        <v>0</v>
      </c>
      <c r="K195" s="94">
        <f t="shared" si="25"/>
        <v>0</v>
      </c>
      <c r="L195" s="94">
        <f t="shared" si="25"/>
        <v>0</v>
      </c>
      <c r="M195" s="94">
        <f t="shared" si="25"/>
        <v>0</v>
      </c>
      <c r="N195" s="94">
        <f t="shared" si="25"/>
        <v>658254709.55816746</v>
      </c>
      <c r="O195" s="94">
        <f t="shared" si="25"/>
        <v>643626827.12354147</v>
      </c>
      <c r="P195" s="94">
        <f t="shared" si="25"/>
        <v>628998944.68891549</v>
      </c>
      <c r="Q195" s="94">
        <f t="shared" si="25"/>
        <v>614371062.25428951</v>
      </c>
    </row>
    <row r="196" spans="2:17" x14ac:dyDescent="0.2">
      <c r="B196" s="90" t="str">
        <f t="shared" si="24"/>
        <v>REHABILITACIÓN REDES</v>
      </c>
      <c r="C196" s="90">
        <f t="shared" si="24"/>
        <v>64</v>
      </c>
      <c r="D196" s="95">
        <f t="shared" si="24"/>
        <v>8</v>
      </c>
      <c r="E196" s="96">
        <f t="shared" si="24"/>
        <v>1170325251.0100634</v>
      </c>
      <c r="F196" s="93">
        <f>+VLOOKUP(C196,'INV POIR PPERDIDAS'!$C$4:$F$123,4,FALSE)</f>
        <v>45</v>
      </c>
      <c r="G196" s="94">
        <f t="shared" si="19"/>
        <v>0</v>
      </c>
      <c r="H196" s="94">
        <f t="shared" si="25"/>
        <v>0</v>
      </c>
      <c r="I196" s="94">
        <f t="shared" si="25"/>
        <v>0</v>
      </c>
      <c r="J196" s="94">
        <f t="shared" si="25"/>
        <v>0</v>
      </c>
      <c r="K196" s="94">
        <f t="shared" si="25"/>
        <v>0</v>
      </c>
      <c r="L196" s="94">
        <f t="shared" si="25"/>
        <v>0</v>
      </c>
      <c r="M196" s="94">
        <f t="shared" si="25"/>
        <v>0</v>
      </c>
      <c r="N196" s="94">
        <f t="shared" si="25"/>
        <v>0</v>
      </c>
      <c r="O196" s="94">
        <f t="shared" si="25"/>
        <v>1170325251.0100634</v>
      </c>
      <c r="P196" s="94">
        <f t="shared" si="25"/>
        <v>1144318023.2098398</v>
      </c>
      <c r="Q196" s="94">
        <f t="shared" si="25"/>
        <v>1118310795.4096162</v>
      </c>
    </row>
    <row r="197" spans="2:17" x14ac:dyDescent="0.2">
      <c r="B197" s="90" t="str">
        <f t="shared" ref="B197:E212" si="26">+B73</f>
        <v>REHABILITACIÓN REDES</v>
      </c>
      <c r="C197" s="90">
        <f t="shared" si="26"/>
        <v>65</v>
      </c>
      <c r="D197" s="95">
        <f t="shared" si="26"/>
        <v>9</v>
      </c>
      <c r="E197" s="96">
        <f t="shared" si="26"/>
        <v>708464993.44522178</v>
      </c>
      <c r="F197" s="93">
        <f>+VLOOKUP(C197,'INV POIR PPERDIDAS'!$C$4:$F$123,4,FALSE)</f>
        <v>45</v>
      </c>
      <c r="G197" s="94">
        <f t="shared" si="19"/>
        <v>0</v>
      </c>
      <c r="H197" s="94">
        <f t="shared" ref="H197:Q212" si="27">+IF($D73=H$132,$E73,IF($D73&gt;H$132,0,G197-H73))</f>
        <v>0</v>
      </c>
      <c r="I197" s="94">
        <f t="shared" si="27"/>
        <v>0</v>
      </c>
      <c r="J197" s="94">
        <f t="shared" si="27"/>
        <v>0</v>
      </c>
      <c r="K197" s="94">
        <f t="shared" si="27"/>
        <v>0</v>
      </c>
      <c r="L197" s="94">
        <f t="shared" si="27"/>
        <v>0</v>
      </c>
      <c r="M197" s="94">
        <f t="shared" si="27"/>
        <v>0</v>
      </c>
      <c r="N197" s="94">
        <f t="shared" si="27"/>
        <v>0</v>
      </c>
      <c r="O197" s="94">
        <f t="shared" si="27"/>
        <v>0</v>
      </c>
      <c r="P197" s="94">
        <f t="shared" si="27"/>
        <v>708464993.44522178</v>
      </c>
      <c r="Q197" s="94">
        <f t="shared" si="27"/>
        <v>692721326.92421687</v>
      </c>
    </row>
    <row r="198" spans="2:17" x14ac:dyDescent="0.2">
      <c r="B198" s="90" t="str">
        <f t="shared" si="26"/>
        <v>REHABILITACIÓN REDES</v>
      </c>
      <c r="C198" s="90">
        <f t="shared" si="26"/>
        <v>66</v>
      </c>
      <c r="D198" s="95">
        <f t="shared" si="26"/>
        <v>10</v>
      </c>
      <c r="E198" s="96">
        <f t="shared" si="26"/>
        <v>660336978.95129299</v>
      </c>
      <c r="F198" s="93">
        <f>+VLOOKUP(C198,'INV POIR PPERDIDAS'!$C$4:$F$123,4,FALSE)</f>
        <v>45</v>
      </c>
      <c r="G198" s="94">
        <f t="shared" ref="G198:G252" si="28">+IF($D74=G$132,$E74,IF($D74&gt;G$132,0,Q74-G74))</f>
        <v>0</v>
      </c>
      <c r="H198" s="94">
        <f t="shared" si="27"/>
        <v>0</v>
      </c>
      <c r="I198" s="94">
        <f t="shared" si="27"/>
        <v>0</v>
      </c>
      <c r="J198" s="94">
        <f t="shared" si="27"/>
        <v>0</v>
      </c>
      <c r="K198" s="94">
        <f t="shared" si="27"/>
        <v>0</v>
      </c>
      <c r="L198" s="94">
        <f t="shared" si="27"/>
        <v>0</v>
      </c>
      <c r="M198" s="94">
        <f t="shared" si="27"/>
        <v>0</v>
      </c>
      <c r="N198" s="94">
        <f t="shared" si="27"/>
        <v>0</v>
      </c>
      <c r="O198" s="94">
        <f t="shared" si="27"/>
        <v>0</v>
      </c>
      <c r="P198" s="94">
        <f t="shared" si="27"/>
        <v>0</v>
      </c>
      <c r="Q198" s="94">
        <f t="shared" si="27"/>
        <v>660336978.95129299</v>
      </c>
    </row>
    <row r="199" spans="2:17" x14ac:dyDescent="0.2">
      <c r="B199" s="90" t="str">
        <f t="shared" si="26"/>
        <v>REDES</v>
      </c>
      <c r="C199" s="90">
        <f t="shared" si="26"/>
        <v>67</v>
      </c>
      <c r="D199" s="95">
        <f t="shared" si="26"/>
        <v>0</v>
      </c>
      <c r="E199" s="96">
        <f t="shared" si="26"/>
        <v>0</v>
      </c>
      <c r="F199" s="93">
        <f>+VLOOKUP(C199,'INV POIR PPERDIDAS'!$C$4:$F$123,4,FALSE)</f>
        <v>45</v>
      </c>
      <c r="G199" s="94">
        <f t="shared" si="28"/>
        <v>0</v>
      </c>
      <c r="H199" s="94">
        <f t="shared" si="27"/>
        <v>0</v>
      </c>
      <c r="I199" s="94">
        <f t="shared" si="27"/>
        <v>0</v>
      </c>
      <c r="J199" s="94">
        <f t="shared" si="27"/>
        <v>0</v>
      </c>
      <c r="K199" s="94">
        <f t="shared" si="27"/>
        <v>0</v>
      </c>
      <c r="L199" s="94">
        <f t="shared" si="27"/>
        <v>0</v>
      </c>
      <c r="M199" s="94">
        <f t="shared" si="27"/>
        <v>0</v>
      </c>
      <c r="N199" s="94">
        <f t="shared" si="27"/>
        <v>0</v>
      </c>
      <c r="O199" s="94">
        <f t="shared" si="27"/>
        <v>0</v>
      </c>
      <c r="P199" s="94">
        <f t="shared" si="27"/>
        <v>0</v>
      </c>
      <c r="Q199" s="94">
        <f t="shared" si="27"/>
        <v>0</v>
      </c>
    </row>
    <row r="200" spans="2:17" x14ac:dyDescent="0.2">
      <c r="B200" s="90" t="str">
        <f t="shared" si="26"/>
        <v>REDES</v>
      </c>
      <c r="C200" s="90">
        <f t="shared" si="26"/>
        <v>68</v>
      </c>
      <c r="D200" s="95">
        <f t="shared" si="26"/>
        <v>1</v>
      </c>
      <c r="E200" s="96">
        <f t="shared" si="26"/>
        <v>0</v>
      </c>
      <c r="F200" s="93">
        <f>+VLOOKUP(C200,'INV POIR PPERDIDAS'!$C$4:$F$123,4,FALSE)</f>
        <v>45</v>
      </c>
      <c r="G200" s="94">
        <f t="shared" si="28"/>
        <v>0</v>
      </c>
      <c r="H200" s="94">
        <f t="shared" si="27"/>
        <v>0</v>
      </c>
      <c r="I200" s="94">
        <f t="shared" si="27"/>
        <v>0</v>
      </c>
      <c r="J200" s="94">
        <f t="shared" si="27"/>
        <v>0</v>
      </c>
      <c r="K200" s="94">
        <f t="shared" si="27"/>
        <v>0</v>
      </c>
      <c r="L200" s="94">
        <f t="shared" si="27"/>
        <v>0</v>
      </c>
      <c r="M200" s="94">
        <f t="shared" si="27"/>
        <v>0</v>
      </c>
      <c r="N200" s="94">
        <f t="shared" si="27"/>
        <v>0</v>
      </c>
      <c r="O200" s="94">
        <f t="shared" si="27"/>
        <v>0</v>
      </c>
      <c r="P200" s="94">
        <f t="shared" si="27"/>
        <v>0</v>
      </c>
      <c r="Q200" s="94">
        <f t="shared" si="27"/>
        <v>0</v>
      </c>
    </row>
    <row r="201" spans="2:17" x14ac:dyDescent="0.2">
      <c r="B201" s="90" t="str">
        <f t="shared" si="26"/>
        <v>REDES</v>
      </c>
      <c r="C201" s="90">
        <f t="shared" si="26"/>
        <v>69</v>
      </c>
      <c r="D201" s="95">
        <f t="shared" si="26"/>
        <v>2</v>
      </c>
      <c r="E201" s="96">
        <f t="shared" si="26"/>
        <v>3410222003.4983039</v>
      </c>
      <c r="F201" s="93">
        <f>+VLOOKUP(C201,'INV POIR PPERDIDAS'!$C$4:$F$123,4,FALSE)</f>
        <v>45</v>
      </c>
      <c r="G201" s="94">
        <f t="shared" si="28"/>
        <v>0</v>
      </c>
      <c r="H201" s="94">
        <f t="shared" si="27"/>
        <v>0</v>
      </c>
      <c r="I201" s="94">
        <f t="shared" si="27"/>
        <v>3410222003.4983039</v>
      </c>
      <c r="J201" s="94">
        <f t="shared" si="27"/>
        <v>3334439292.3094525</v>
      </c>
      <c r="K201" s="94">
        <f t="shared" si="27"/>
        <v>3258656581.1206012</v>
      </c>
      <c r="L201" s="94">
        <f t="shared" si="27"/>
        <v>3182873869.9317498</v>
      </c>
      <c r="M201" s="94">
        <f t="shared" si="27"/>
        <v>3107091158.7428985</v>
      </c>
      <c r="N201" s="94">
        <f t="shared" si="27"/>
        <v>3031308447.5540471</v>
      </c>
      <c r="O201" s="94">
        <f t="shared" si="27"/>
        <v>2955525736.3651958</v>
      </c>
      <c r="P201" s="94">
        <f t="shared" si="27"/>
        <v>2879743025.1763444</v>
      </c>
      <c r="Q201" s="94">
        <f t="shared" si="27"/>
        <v>2803960313.987493</v>
      </c>
    </row>
    <row r="202" spans="2:17" x14ac:dyDescent="0.2">
      <c r="B202" s="90" t="str">
        <f t="shared" si="26"/>
        <v>REDES</v>
      </c>
      <c r="C202" s="90">
        <f t="shared" si="26"/>
        <v>70</v>
      </c>
      <c r="D202" s="95">
        <f t="shared" si="26"/>
        <v>3</v>
      </c>
      <c r="E202" s="96">
        <f t="shared" si="26"/>
        <v>2708748274.8491516</v>
      </c>
      <c r="F202" s="93">
        <f>+VLOOKUP(C202,'INV POIR PPERDIDAS'!$C$4:$F$123,4,FALSE)</f>
        <v>45</v>
      </c>
      <c r="G202" s="94">
        <f t="shared" si="28"/>
        <v>0</v>
      </c>
      <c r="H202" s="94">
        <f t="shared" si="27"/>
        <v>0</v>
      </c>
      <c r="I202" s="94">
        <f t="shared" si="27"/>
        <v>0</v>
      </c>
      <c r="J202" s="94">
        <f t="shared" si="27"/>
        <v>2708748274.8491516</v>
      </c>
      <c r="K202" s="94">
        <f t="shared" si="27"/>
        <v>2648553868.7413926</v>
      </c>
      <c r="L202" s="94">
        <f t="shared" si="27"/>
        <v>2588359462.6336336</v>
      </c>
      <c r="M202" s="94">
        <f t="shared" si="27"/>
        <v>2528165056.5258746</v>
      </c>
      <c r="N202" s="94">
        <f t="shared" si="27"/>
        <v>2467970650.4181156</v>
      </c>
      <c r="O202" s="94">
        <f t="shared" si="27"/>
        <v>2407776244.3103566</v>
      </c>
      <c r="P202" s="94">
        <f t="shared" si="27"/>
        <v>2347581838.2025976</v>
      </c>
      <c r="Q202" s="94">
        <f t="shared" si="27"/>
        <v>2287387432.0948386</v>
      </c>
    </row>
    <row r="203" spans="2:17" x14ac:dyDescent="0.2">
      <c r="B203" s="90" t="str">
        <f t="shared" si="26"/>
        <v>REDES</v>
      </c>
      <c r="C203" s="90">
        <f t="shared" si="26"/>
        <v>71</v>
      </c>
      <c r="D203" s="95">
        <f t="shared" si="26"/>
        <v>4</v>
      </c>
      <c r="E203" s="96">
        <f t="shared" si="26"/>
        <v>3788421935.8387451</v>
      </c>
      <c r="F203" s="93">
        <f>+VLOOKUP(C203,'INV POIR PPERDIDAS'!$C$4:$F$123,4,FALSE)</f>
        <v>45</v>
      </c>
      <c r="G203" s="94">
        <f t="shared" si="28"/>
        <v>0</v>
      </c>
      <c r="H203" s="94">
        <f t="shared" si="27"/>
        <v>0</v>
      </c>
      <c r="I203" s="94">
        <f t="shared" si="27"/>
        <v>0</v>
      </c>
      <c r="J203" s="94">
        <f t="shared" si="27"/>
        <v>0</v>
      </c>
      <c r="K203" s="94">
        <f t="shared" si="27"/>
        <v>3788421935.8387451</v>
      </c>
      <c r="L203" s="94">
        <f t="shared" si="27"/>
        <v>3704234781.7089953</v>
      </c>
      <c r="M203" s="94">
        <f t="shared" si="27"/>
        <v>3620047627.5792456</v>
      </c>
      <c r="N203" s="94">
        <f t="shared" si="27"/>
        <v>3535860473.4494958</v>
      </c>
      <c r="O203" s="94">
        <f t="shared" si="27"/>
        <v>3451673319.319746</v>
      </c>
      <c r="P203" s="94">
        <f t="shared" si="27"/>
        <v>3367486165.1899962</v>
      </c>
      <c r="Q203" s="94">
        <f t="shared" si="27"/>
        <v>3283299011.0602465</v>
      </c>
    </row>
    <row r="204" spans="2:17" x14ac:dyDescent="0.2">
      <c r="B204" s="90" t="str">
        <f t="shared" si="26"/>
        <v>REDES</v>
      </c>
      <c r="C204" s="90">
        <f t="shared" si="26"/>
        <v>72</v>
      </c>
      <c r="D204" s="95">
        <f t="shared" si="26"/>
        <v>5</v>
      </c>
      <c r="E204" s="96">
        <f t="shared" si="26"/>
        <v>3229587745.4368062</v>
      </c>
      <c r="F204" s="93">
        <f>+VLOOKUP(C204,'INV POIR PPERDIDAS'!$C$4:$F$123,4,FALSE)</f>
        <v>45</v>
      </c>
      <c r="G204" s="94">
        <f t="shared" si="28"/>
        <v>0</v>
      </c>
      <c r="H204" s="94">
        <f t="shared" si="27"/>
        <v>0</v>
      </c>
      <c r="I204" s="94">
        <f t="shared" si="27"/>
        <v>0</v>
      </c>
      <c r="J204" s="94">
        <f t="shared" si="27"/>
        <v>0</v>
      </c>
      <c r="K204" s="94">
        <f t="shared" si="27"/>
        <v>0</v>
      </c>
      <c r="L204" s="94">
        <f t="shared" si="27"/>
        <v>3229587745.4368062</v>
      </c>
      <c r="M204" s="94">
        <f t="shared" si="27"/>
        <v>3157819128.8715439</v>
      </c>
      <c r="N204" s="94">
        <f t="shared" si="27"/>
        <v>3086050512.3062816</v>
      </c>
      <c r="O204" s="94">
        <f t="shared" si="27"/>
        <v>3014281895.7410192</v>
      </c>
      <c r="P204" s="94">
        <f t="shared" si="27"/>
        <v>2942513279.1757569</v>
      </c>
      <c r="Q204" s="94">
        <f t="shared" si="27"/>
        <v>2870744662.6104946</v>
      </c>
    </row>
    <row r="205" spans="2:17" x14ac:dyDescent="0.2">
      <c r="B205" s="90" t="str">
        <f t="shared" si="26"/>
        <v>REDES</v>
      </c>
      <c r="C205" s="90">
        <f t="shared" si="26"/>
        <v>73</v>
      </c>
      <c r="D205" s="95">
        <f t="shared" si="26"/>
        <v>6</v>
      </c>
      <c r="E205" s="96">
        <f t="shared" si="26"/>
        <v>3975561272.1375804</v>
      </c>
      <c r="F205" s="93">
        <f>+VLOOKUP(C205,'INV POIR PPERDIDAS'!$C$4:$F$123,4,FALSE)</f>
        <v>45</v>
      </c>
      <c r="G205" s="94">
        <f t="shared" si="28"/>
        <v>0</v>
      </c>
      <c r="H205" s="94">
        <f t="shared" si="27"/>
        <v>0</v>
      </c>
      <c r="I205" s="94">
        <f t="shared" si="27"/>
        <v>0</v>
      </c>
      <c r="J205" s="94">
        <f t="shared" si="27"/>
        <v>0</v>
      </c>
      <c r="K205" s="94">
        <f t="shared" si="27"/>
        <v>0</v>
      </c>
      <c r="L205" s="94">
        <f t="shared" si="27"/>
        <v>0</v>
      </c>
      <c r="M205" s="94">
        <f t="shared" si="27"/>
        <v>3975561272.1375804</v>
      </c>
      <c r="N205" s="94">
        <f t="shared" si="27"/>
        <v>3887215466.0900788</v>
      </c>
      <c r="O205" s="94">
        <f t="shared" si="27"/>
        <v>3798869660.0425773</v>
      </c>
      <c r="P205" s="94">
        <f t="shared" si="27"/>
        <v>3710523853.9950757</v>
      </c>
      <c r="Q205" s="94">
        <f t="shared" si="27"/>
        <v>3622178047.9475741</v>
      </c>
    </row>
    <row r="206" spans="2:17" x14ac:dyDescent="0.2">
      <c r="B206" s="90" t="str">
        <f t="shared" si="26"/>
        <v>REDES</v>
      </c>
      <c r="C206" s="90">
        <f t="shared" si="26"/>
        <v>74</v>
      </c>
      <c r="D206" s="95">
        <f t="shared" si="26"/>
        <v>7</v>
      </c>
      <c r="E206" s="96">
        <f t="shared" si="26"/>
        <v>0</v>
      </c>
      <c r="F206" s="93">
        <f>+VLOOKUP(C206,'INV POIR PPERDIDAS'!$C$4:$F$123,4,FALSE)</f>
        <v>45</v>
      </c>
      <c r="G206" s="94">
        <f t="shared" si="28"/>
        <v>0</v>
      </c>
      <c r="H206" s="94">
        <f t="shared" si="27"/>
        <v>0</v>
      </c>
      <c r="I206" s="94">
        <f t="shared" si="27"/>
        <v>0</v>
      </c>
      <c r="J206" s="94">
        <f t="shared" si="27"/>
        <v>0</v>
      </c>
      <c r="K206" s="94">
        <f t="shared" si="27"/>
        <v>0</v>
      </c>
      <c r="L206" s="94">
        <f t="shared" si="27"/>
        <v>0</v>
      </c>
      <c r="M206" s="94">
        <f t="shared" si="27"/>
        <v>0</v>
      </c>
      <c r="N206" s="94">
        <f t="shared" si="27"/>
        <v>0</v>
      </c>
      <c r="O206" s="94">
        <f t="shared" si="27"/>
        <v>0</v>
      </c>
      <c r="P206" s="94">
        <f t="shared" si="27"/>
        <v>0</v>
      </c>
      <c r="Q206" s="94">
        <f t="shared" si="27"/>
        <v>0</v>
      </c>
    </row>
    <row r="207" spans="2:17" x14ac:dyDescent="0.2">
      <c r="B207" s="90" t="str">
        <f t="shared" si="26"/>
        <v>REDES</v>
      </c>
      <c r="C207" s="90">
        <f t="shared" si="26"/>
        <v>75</v>
      </c>
      <c r="D207" s="95">
        <f t="shared" si="26"/>
        <v>8</v>
      </c>
      <c r="E207" s="96">
        <f t="shared" si="26"/>
        <v>0</v>
      </c>
      <c r="F207" s="93">
        <f>+VLOOKUP(C207,'INV POIR PPERDIDAS'!$C$4:$F$123,4,FALSE)</f>
        <v>45</v>
      </c>
      <c r="G207" s="94">
        <f t="shared" si="28"/>
        <v>0</v>
      </c>
      <c r="H207" s="94">
        <f t="shared" si="27"/>
        <v>0</v>
      </c>
      <c r="I207" s="94">
        <f t="shared" si="27"/>
        <v>0</v>
      </c>
      <c r="J207" s="94">
        <f t="shared" si="27"/>
        <v>0</v>
      </c>
      <c r="K207" s="94">
        <f t="shared" si="27"/>
        <v>0</v>
      </c>
      <c r="L207" s="94">
        <f t="shared" si="27"/>
        <v>0</v>
      </c>
      <c r="M207" s="94">
        <f t="shared" si="27"/>
        <v>0</v>
      </c>
      <c r="N207" s="94">
        <f t="shared" si="27"/>
        <v>0</v>
      </c>
      <c r="O207" s="94">
        <f t="shared" si="27"/>
        <v>0</v>
      </c>
      <c r="P207" s="94">
        <f t="shared" si="27"/>
        <v>0</v>
      </c>
      <c r="Q207" s="94">
        <f t="shared" si="27"/>
        <v>0</v>
      </c>
    </row>
    <row r="208" spans="2:17" x14ac:dyDescent="0.2">
      <c r="B208" s="90" t="str">
        <f t="shared" si="26"/>
        <v>REDES</v>
      </c>
      <c r="C208" s="90">
        <f t="shared" si="26"/>
        <v>76</v>
      </c>
      <c r="D208" s="95">
        <f t="shared" si="26"/>
        <v>9</v>
      </c>
      <c r="E208" s="96">
        <f t="shared" si="26"/>
        <v>0</v>
      </c>
      <c r="F208" s="93">
        <f>+VLOOKUP(C208,'INV POIR PPERDIDAS'!$C$4:$F$123,4,FALSE)</f>
        <v>45</v>
      </c>
      <c r="G208" s="94">
        <f t="shared" si="28"/>
        <v>0</v>
      </c>
      <c r="H208" s="94">
        <f t="shared" si="27"/>
        <v>0</v>
      </c>
      <c r="I208" s="94">
        <f t="shared" si="27"/>
        <v>0</v>
      </c>
      <c r="J208" s="94">
        <f t="shared" si="27"/>
        <v>0</v>
      </c>
      <c r="K208" s="94">
        <f t="shared" si="27"/>
        <v>0</v>
      </c>
      <c r="L208" s="94">
        <f t="shared" si="27"/>
        <v>0</v>
      </c>
      <c r="M208" s="94">
        <f t="shared" si="27"/>
        <v>0</v>
      </c>
      <c r="N208" s="94">
        <f t="shared" si="27"/>
        <v>0</v>
      </c>
      <c r="O208" s="94">
        <f t="shared" si="27"/>
        <v>0</v>
      </c>
      <c r="P208" s="94">
        <f t="shared" si="27"/>
        <v>0</v>
      </c>
      <c r="Q208" s="94">
        <f t="shared" si="27"/>
        <v>0</v>
      </c>
    </row>
    <row r="209" spans="2:17" x14ac:dyDescent="0.2">
      <c r="B209" s="90" t="str">
        <f t="shared" si="26"/>
        <v>REDES</v>
      </c>
      <c r="C209" s="90">
        <f t="shared" si="26"/>
        <v>77</v>
      </c>
      <c r="D209" s="95">
        <f t="shared" si="26"/>
        <v>10</v>
      </c>
      <c r="E209" s="96">
        <f t="shared" si="26"/>
        <v>0</v>
      </c>
      <c r="F209" s="93">
        <f>+VLOOKUP(C209,'INV POIR PPERDIDAS'!$C$4:$F$123,4,FALSE)</f>
        <v>45</v>
      </c>
      <c r="G209" s="94">
        <f t="shared" si="28"/>
        <v>0</v>
      </c>
      <c r="H209" s="94">
        <f t="shared" si="27"/>
        <v>0</v>
      </c>
      <c r="I209" s="94">
        <f t="shared" si="27"/>
        <v>0</v>
      </c>
      <c r="J209" s="94">
        <f t="shared" si="27"/>
        <v>0</v>
      </c>
      <c r="K209" s="94">
        <f t="shared" si="27"/>
        <v>0</v>
      </c>
      <c r="L209" s="94">
        <f t="shared" si="27"/>
        <v>0</v>
      </c>
      <c r="M209" s="94">
        <f t="shared" si="27"/>
        <v>0</v>
      </c>
      <c r="N209" s="94">
        <f t="shared" si="27"/>
        <v>0</v>
      </c>
      <c r="O209" s="94">
        <f t="shared" si="27"/>
        <v>0</v>
      </c>
      <c r="P209" s="94">
        <f t="shared" si="27"/>
        <v>0</v>
      </c>
      <c r="Q209" s="94">
        <f t="shared" si="27"/>
        <v>0</v>
      </c>
    </row>
    <row r="210" spans="2:17" x14ac:dyDescent="0.2">
      <c r="B210" s="90" t="str">
        <f t="shared" si="26"/>
        <v>REDES</v>
      </c>
      <c r="C210" s="90">
        <f t="shared" si="26"/>
        <v>78</v>
      </c>
      <c r="D210" s="95">
        <f t="shared" si="26"/>
        <v>0</v>
      </c>
      <c r="E210" s="96">
        <f t="shared" si="26"/>
        <v>0</v>
      </c>
      <c r="F210" s="93">
        <f>+VLOOKUP(C210,'INV POIR PPERDIDAS'!$C$4:$F$123,4,FALSE)</f>
        <v>45</v>
      </c>
      <c r="G210" s="94">
        <f t="shared" si="28"/>
        <v>0</v>
      </c>
      <c r="H210" s="94">
        <f t="shared" si="27"/>
        <v>0</v>
      </c>
      <c r="I210" s="94">
        <f t="shared" si="27"/>
        <v>0</v>
      </c>
      <c r="J210" s="94">
        <f t="shared" si="27"/>
        <v>0</v>
      </c>
      <c r="K210" s="94">
        <f t="shared" si="27"/>
        <v>0</v>
      </c>
      <c r="L210" s="94">
        <f t="shared" si="27"/>
        <v>0</v>
      </c>
      <c r="M210" s="94">
        <f t="shared" si="27"/>
        <v>0</v>
      </c>
      <c r="N210" s="94">
        <f t="shared" si="27"/>
        <v>0</v>
      </c>
      <c r="O210" s="94">
        <f t="shared" si="27"/>
        <v>0</v>
      </c>
      <c r="P210" s="94">
        <f t="shared" si="27"/>
        <v>0</v>
      </c>
      <c r="Q210" s="94">
        <f t="shared" si="27"/>
        <v>0</v>
      </c>
    </row>
    <row r="211" spans="2:17" x14ac:dyDescent="0.2">
      <c r="B211" s="90" t="str">
        <f t="shared" si="26"/>
        <v>REDES</v>
      </c>
      <c r="C211" s="90">
        <f t="shared" si="26"/>
        <v>79</v>
      </c>
      <c r="D211" s="95">
        <f t="shared" si="26"/>
        <v>1</v>
      </c>
      <c r="E211" s="96">
        <f t="shared" si="26"/>
        <v>0</v>
      </c>
      <c r="F211" s="93">
        <f>+VLOOKUP(C211,'INV POIR PPERDIDAS'!$C$4:$F$123,4,FALSE)</f>
        <v>45</v>
      </c>
      <c r="G211" s="94">
        <f t="shared" si="28"/>
        <v>0</v>
      </c>
      <c r="H211" s="94">
        <f t="shared" si="27"/>
        <v>0</v>
      </c>
      <c r="I211" s="94">
        <f t="shared" si="27"/>
        <v>0</v>
      </c>
      <c r="J211" s="94">
        <f t="shared" si="27"/>
        <v>0</v>
      </c>
      <c r="K211" s="94">
        <f t="shared" si="27"/>
        <v>0</v>
      </c>
      <c r="L211" s="94">
        <f t="shared" si="27"/>
        <v>0</v>
      </c>
      <c r="M211" s="94">
        <f t="shared" si="27"/>
        <v>0</v>
      </c>
      <c r="N211" s="94">
        <f t="shared" si="27"/>
        <v>0</v>
      </c>
      <c r="O211" s="94">
        <f t="shared" si="27"/>
        <v>0</v>
      </c>
      <c r="P211" s="94">
        <f t="shared" si="27"/>
        <v>0</v>
      </c>
      <c r="Q211" s="94">
        <f t="shared" si="27"/>
        <v>0</v>
      </c>
    </row>
    <row r="212" spans="2:17" x14ac:dyDescent="0.2">
      <c r="B212" s="90" t="str">
        <f t="shared" si="26"/>
        <v>REDES</v>
      </c>
      <c r="C212" s="90">
        <f t="shared" si="26"/>
        <v>80</v>
      </c>
      <c r="D212" s="95">
        <f t="shared" si="26"/>
        <v>2</v>
      </c>
      <c r="E212" s="96">
        <f t="shared" si="26"/>
        <v>0</v>
      </c>
      <c r="F212" s="93">
        <f>+VLOOKUP(C212,'INV POIR PPERDIDAS'!$C$4:$F$123,4,FALSE)</f>
        <v>45</v>
      </c>
      <c r="G212" s="94">
        <f t="shared" si="28"/>
        <v>0</v>
      </c>
      <c r="H212" s="94">
        <f t="shared" si="27"/>
        <v>0</v>
      </c>
      <c r="I212" s="94">
        <f t="shared" si="27"/>
        <v>0</v>
      </c>
      <c r="J212" s="94">
        <f t="shared" si="27"/>
        <v>0</v>
      </c>
      <c r="K212" s="94">
        <f t="shared" si="27"/>
        <v>0</v>
      </c>
      <c r="L212" s="94">
        <f t="shared" si="27"/>
        <v>0</v>
      </c>
      <c r="M212" s="94">
        <f t="shared" si="27"/>
        <v>0</v>
      </c>
      <c r="N212" s="94">
        <f t="shared" si="27"/>
        <v>0</v>
      </c>
      <c r="O212" s="94">
        <f t="shared" si="27"/>
        <v>0</v>
      </c>
      <c r="P212" s="94">
        <f t="shared" si="27"/>
        <v>0</v>
      </c>
      <c r="Q212" s="94">
        <f t="shared" si="27"/>
        <v>0</v>
      </c>
    </row>
    <row r="213" spans="2:17" x14ac:dyDescent="0.2">
      <c r="B213" s="90" t="str">
        <f t="shared" ref="B213:E228" si="29">+B89</f>
        <v>REDES</v>
      </c>
      <c r="C213" s="90">
        <f t="shared" si="29"/>
        <v>81</v>
      </c>
      <c r="D213" s="95">
        <f t="shared" si="29"/>
        <v>3</v>
      </c>
      <c r="E213" s="96">
        <f t="shared" si="29"/>
        <v>0</v>
      </c>
      <c r="F213" s="93">
        <f>+VLOOKUP(C213,'INV POIR PPERDIDAS'!$C$4:$F$123,4,FALSE)</f>
        <v>45</v>
      </c>
      <c r="G213" s="94">
        <f t="shared" si="28"/>
        <v>0</v>
      </c>
      <c r="H213" s="94">
        <f t="shared" ref="H213:Q228" si="30">+IF($D89=H$132,$E89,IF($D89&gt;H$132,0,G213-H89))</f>
        <v>0</v>
      </c>
      <c r="I213" s="94">
        <f t="shared" si="30"/>
        <v>0</v>
      </c>
      <c r="J213" s="94">
        <f t="shared" si="30"/>
        <v>0</v>
      </c>
      <c r="K213" s="94">
        <f t="shared" si="30"/>
        <v>0</v>
      </c>
      <c r="L213" s="94">
        <f t="shared" si="30"/>
        <v>0</v>
      </c>
      <c r="M213" s="94">
        <f t="shared" si="30"/>
        <v>0</v>
      </c>
      <c r="N213" s="94">
        <f t="shared" si="30"/>
        <v>0</v>
      </c>
      <c r="O213" s="94">
        <f t="shared" si="30"/>
        <v>0</v>
      </c>
      <c r="P213" s="94">
        <f t="shared" si="30"/>
        <v>0</v>
      </c>
      <c r="Q213" s="94">
        <f t="shared" si="30"/>
        <v>0</v>
      </c>
    </row>
    <row r="214" spans="2:17" x14ac:dyDescent="0.2">
      <c r="B214" s="90" t="str">
        <f t="shared" si="29"/>
        <v>REDES</v>
      </c>
      <c r="C214" s="90">
        <f t="shared" si="29"/>
        <v>82</v>
      </c>
      <c r="D214" s="95">
        <f t="shared" si="29"/>
        <v>4</v>
      </c>
      <c r="E214" s="96">
        <f t="shared" si="29"/>
        <v>0</v>
      </c>
      <c r="F214" s="93">
        <f>+VLOOKUP(C214,'INV POIR PPERDIDAS'!$C$4:$F$123,4,FALSE)</f>
        <v>45</v>
      </c>
      <c r="G214" s="94">
        <f t="shared" si="28"/>
        <v>0</v>
      </c>
      <c r="H214" s="94">
        <f t="shared" si="30"/>
        <v>0</v>
      </c>
      <c r="I214" s="94">
        <f t="shared" si="30"/>
        <v>0</v>
      </c>
      <c r="J214" s="94">
        <f t="shared" si="30"/>
        <v>0</v>
      </c>
      <c r="K214" s="94">
        <f t="shared" si="30"/>
        <v>0</v>
      </c>
      <c r="L214" s="94">
        <f t="shared" si="30"/>
        <v>0</v>
      </c>
      <c r="M214" s="94">
        <f t="shared" si="30"/>
        <v>0</v>
      </c>
      <c r="N214" s="94">
        <f t="shared" si="30"/>
        <v>0</v>
      </c>
      <c r="O214" s="94">
        <f t="shared" si="30"/>
        <v>0</v>
      </c>
      <c r="P214" s="94">
        <f t="shared" si="30"/>
        <v>0</v>
      </c>
      <c r="Q214" s="94">
        <f t="shared" si="30"/>
        <v>0</v>
      </c>
    </row>
    <row r="215" spans="2:17" x14ac:dyDescent="0.2">
      <c r="B215" s="90" t="str">
        <f t="shared" si="29"/>
        <v>REDES</v>
      </c>
      <c r="C215" s="90">
        <f t="shared" si="29"/>
        <v>83</v>
      </c>
      <c r="D215" s="95">
        <f t="shared" si="29"/>
        <v>5</v>
      </c>
      <c r="E215" s="96">
        <f t="shared" si="29"/>
        <v>0</v>
      </c>
      <c r="F215" s="93">
        <f>+VLOOKUP(C215,'INV POIR PPERDIDAS'!$C$4:$F$123,4,FALSE)</f>
        <v>45</v>
      </c>
      <c r="G215" s="94">
        <f t="shared" si="28"/>
        <v>0</v>
      </c>
      <c r="H215" s="94">
        <f t="shared" si="30"/>
        <v>0</v>
      </c>
      <c r="I215" s="94">
        <f t="shared" si="30"/>
        <v>0</v>
      </c>
      <c r="J215" s="94">
        <f t="shared" si="30"/>
        <v>0</v>
      </c>
      <c r="K215" s="94">
        <f t="shared" si="30"/>
        <v>0</v>
      </c>
      <c r="L215" s="94">
        <f t="shared" si="30"/>
        <v>0</v>
      </c>
      <c r="M215" s="94">
        <f t="shared" si="30"/>
        <v>0</v>
      </c>
      <c r="N215" s="94">
        <f t="shared" si="30"/>
        <v>0</v>
      </c>
      <c r="O215" s="94">
        <f t="shared" si="30"/>
        <v>0</v>
      </c>
      <c r="P215" s="94">
        <f t="shared" si="30"/>
        <v>0</v>
      </c>
      <c r="Q215" s="94">
        <f t="shared" si="30"/>
        <v>0</v>
      </c>
    </row>
    <row r="216" spans="2:17" x14ac:dyDescent="0.2">
      <c r="B216" s="90" t="str">
        <f t="shared" si="29"/>
        <v>REDES</v>
      </c>
      <c r="C216" s="90">
        <f t="shared" si="29"/>
        <v>84</v>
      </c>
      <c r="D216" s="95">
        <f t="shared" si="29"/>
        <v>6</v>
      </c>
      <c r="E216" s="96">
        <f t="shared" si="29"/>
        <v>0</v>
      </c>
      <c r="F216" s="93">
        <f>+VLOOKUP(C216,'INV POIR PPERDIDAS'!$C$4:$F$123,4,FALSE)</f>
        <v>45</v>
      </c>
      <c r="G216" s="94">
        <f t="shared" si="28"/>
        <v>0</v>
      </c>
      <c r="H216" s="94">
        <f t="shared" si="30"/>
        <v>0</v>
      </c>
      <c r="I216" s="94">
        <f t="shared" si="30"/>
        <v>0</v>
      </c>
      <c r="J216" s="94">
        <f t="shared" si="30"/>
        <v>0</v>
      </c>
      <c r="K216" s="94">
        <f t="shared" si="30"/>
        <v>0</v>
      </c>
      <c r="L216" s="94">
        <f t="shared" si="30"/>
        <v>0</v>
      </c>
      <c r="M216" s="94">
        <f t="shared" si="30"/>
        <v>0</v>
      </c>
      <c r="N216" s="94">
        <f t="shared" si="30"/>
        <v>0</v>
      </c>
      <c r="O216" s="94">
        <f t="shared" si="30"/>
        <v>0</v>
      </c>
      <c r="P216" s="94">
        <f t="shared" si="30"/>
        <v>0</v>
      </c>
      <c r="Q216" s="94">
        <f t="shared" si="30"/>
        <v>0</v>
      </c>
    </row>
    <row r="217" spans="2:17" x14ac:dyDescent="0.2">
      <c r="B217" s="90" t="str">
        <f t="shared" si="29"/>
        <v>REDES</v>
      </c>
      <c r="C217" s="90">
        <f t="shared" si="29"/>
        <v>85</v>
      </c>
      <c r="D217" s="95">
        <f t="shared" si="29"/>
        <v>7</v>
      </c>
      <c r="E217" s="96">
        <f t="shared" si="29"/>
        <v>0</v>
      </c>
      <c r="F217" s="93">
        <f>+VLOOKUP(C217,'INV POIR PPERDIDAS'!$C$4:$F$123,4,FALSE)</f>
        <v>45</v>
      </c>
      <c r="G217" s="94">
        <f t="shared" si="28"/>
        <v>0</v>
      </c>
      <c r="H217" s="94">
        <f t="shared" si="30"/>
        <v>0</v>
      </c>
      <c r="I217" s="94">
        <f t="shared" si="30"/>
        <v>0</v>
      </c>
      <c r="J217" s="94">
        <f t="shared" si="30"/>
        <v>0</v>
      </c>
      <c r="K217" s="94">
        <f t="shared" si="30"/>
        <v>0</v>
      </c>
      <c r="L217" s="94">
        <f t="shared" si="30"/>
        <v>0</v>
      </c>
      <c r="M217" s="94">
        <f t="shared" si="30"/>
        <v>0</v>
      </c>
      <c r="N217" s="94">
        <f t="shared" si="30"/>
        <v>0</v>
      </c>
      <c r="O217" s="94">
        <f t="shared" si="30"/>
        <v>0</v>
      </c>
      <c r="P217" s="94">
        <f t="shared" si="30"/>
        <v>0</v>
      </c>
      <c r="Q217" s="94">
        <f t="shared" si="30"/>
        <v>0</v>
      </c>
    </row>
    <row r="218" spans="2:17" x14ac:dyDescent="0.2">
      <c r="B218" s="90" t="str">
        <f t="shared" si="29"/>
        <v>REDES</v>
      </c>
      <c r="C218" s="90">
        <f t="shared" si="29"/>
        <v>86</v>
      </c>
      <c r="D218" s="95">
        <f t="shared" si="29"/>
        <v>8</v>
      </c>
      <c r="E218" s="96">
        <f t="shared" si="29"/>
        <v>0</v>
      </c>
      <c r="F218" s="93">
        <f>+VLOOKUP(C218,'INV POIR PPERDIDAS'!$C$4:$F$123,4,FALSE)</f>
        <v>45</v>
      </c>
      <c r="G218" s="94">
        <f t="shared" si="28"/>
        <v>0</v>
      </c>
      <c r="H218" s="94">
        <f t="shared" si="30"/>
        <v>0</v>
      </c>
      <c r="I218" s="94">
        <f t="shared" si="30"/>
        <v>0</v>
      </c>
      <c r="J218" s="94">
        <f t="shared" si="30"/>
        <v>0</v>
      </c>
      <c r="K218" s="94">
        <f t="shared" si="30"/>
        <v>0</v>
      </c>
      <c r="L218" s="94">
        <f t="shared" si="30"/>
        <v>0</v>
      </c>
      <c r="M218" s="94">
        <f t="shared" si="30"/>
        <v>0</v>
      </c>
      <c r="N218" s="94">
        <f t="shared" si="30"/>
        <v>0</v>
      </c>
      <c r="O218" s="94">
        <f t="shared" si="30"/>
        <v>0</v>
      </c>
      <c r="P218" s="94">
        <f t="shared" si="30"/>
        <v>0</v>
      </c>
      <c r="Q218" s="94">
        <f t="shared" si="30"/>
        <v>0</v>
      </c>
    </row>
    <row r="219" spans="2:17" x14ac:dyDescent="0.2">
      <c r="B219" s="90" t="str">
        <f t="shared" si="29"/>
        <v>REDES</v>
      </c>
      <c r="C219" s="90">
        <f t="shared" si="29"/>
        <v>87</v>
      </c>
      <c r="D219" s="95">
        <f t="shared" si="29"/>
        <v>9</v>
      </c>
      <c r="E219" s="96">
        <f t="shared" si="29"/>
        <v>0</v>
      </c>
      <c r="F219" s="93">
        <f>+VLOOKUP(C219,'INV POIR PPERDIDAS'!$C$4:$F$123,4,FALSE)</f>
        <v>45</v>
      </c>
      <c r="G219" s="94">
        <f t="shared" si="28"/>
        <v>0</v>
      </c>
      <c r="H219" s="94">
        <f t="shared" si="30"/>
        <v>0</v>
      </c>
      <c r="I219" s="94">
        <f t="shared" si="30"/>
        <v>0</v>
      </c>
      <c r="J219" s="94">
        <f t="shared" si="30"/>
        <v>0</v>
      </c>
      <c r="K219" s="94">
        <f t="shared" si="30"/>
        <v>0</v>
      </c>
      <c r="L219" s="94">
        <f t="shared" si="30"/>
        <v>0</v>
      </c>
      <c r="M219" s="94">
        <f t="shared" si="30"/>
        <v>0</v>
      </c>
      <c r="N219" s="94">
        <f t="shared" si="30"/>
        <v>0</v>
      </c>
      <c r="O219" s="94">
        <f t="shared" si="30"/>
        <v>0</v>
      </c>
      <c r="P219" s="94">
        <f t="shared" si="30"/>
        <v>0</v>
      </c>
      <c r="Q219" s="94">
        <f t="shared" si="30"/>
        <v>0</v>
      </c>
    </row>
    <row r="220" spans="2:17" x14ac:dyDescent="0.2">
      <c r="B220" s="90" t="str">
        <f t="shared" si="29"/>
        <v>REDES</v>
      </c>
      <c r="C220" s="90">
        <f t="shared" si="29"/>
        <v>88</v>
      </c>
      <c r="D220" s="95">
        <f t="shared" si="29"/>
        <v>10</v>
      </c>
      <c r="E220" s="96">
        <f t="shared" si="29"/>
        <v>0</v>
      </c>
      <c r="F220" s="93">
        <f>+VLOOKUP(C220,'INV POIR PPERDIDAS'!$C$4:$F$123,4,FALSE)</f>
        <v>45</v>
      </c>
      <c r="G220" s="94">
        <f t="shared" si="28"/>
        <v>0</v>
      </c>
      <c r="H220" s="94">
        <f t="shared" si="30"/>
        <v>0</v>
      </c>
      <c r="I220" s="94">
        <f t="shared" si="30"/>
        <v>0</v>
      </c>
      <c r="J220" s="94">
        <f t="shared" si="30"/>
        <v>0</v>
      </c>
      <c r="K220" s="94">
        <f t="shared" si="30"/>
        <v>0</v>
      </c>
      <c r="L220" s="94">
        <f t="shared" si="30"/>
        <v>0</v>
      </c>
      <c r="M220" s="94">
        <f t="shared" si="30"/>
        <v>0</v>
      </c>
      <c r="N220" s="94">
        <f t="shared" si="30"/>
        <v>0</v>
      </c>
      <c r="O220" s="94">
        <f t="shared" si="30"/>
        <v>0</v>
      </c>
      <c r="P220" s="94">
        <f t="shared" si="30"/>
        <v>0</v>
      </c>
      <c r="Q220" s="94">
        <f t="shared" si="30"/>
        <v>0</v>
      </c>
    </row>
    <row r="221" spans="2:17" x14ac:dyDescent="0.2">
      <c r="B221" s="90">
        <f t="shared" si="29"/>
        <v>0</v>
      </c>
      <c r="C221" s="90">
        <f t="shared" si="29"/>
        <v>89</v>
      </c>
      <c r="D221" s="95">
        <f t="shared" si="29"/>
        <v>0</v>
      </c>
      <c r="E221" s="96">
        <f t="shared" si="29"/>
        <v>0</v>
      </c>
      <c r="F221" s="93">
        <f>+VLOOKUP(C221,'INV POIR PPERDIDAS'!$C$4:$F$123,4,FALSE)</f>
        <v>1</v>
      </c>
      <c r="G221" s="94">
        <f t="shared" si="28"/>
        <v>0</v>
      </c>
      <c r="H221" s="94">
        <f t="shared" si="30"/>
        <v>0</v>
      </c>
      <c r="I221" s="94">
        <f t="shared" si="30"/>
        <v>0</v>
      </c>
      <c r="J221" s="94">
        <f t="shared" si="30"/>
        <v>0</v>
      </c>
      <c r="K221" s="94">
        <f t="shared" si="30"/>
        <v>0</v>
      </c>
      <c r="L221" s="94">
        <f t="shared" si="30"/>
        <v>0</v>
      </c>
      <c r="M221" s="94">
        <f t="shared" si="30"/>
        <v>0</v>
      </c>
      <c r="N221" s="94">
        <f t="shared" si="30"/>
        <v>0</v>
      </c>
      <c r="O221" s="94">
        <f t="shared" si="30"/>
        <v>0</v>
      </c>
      <c r="P221" s="94">
        <f t="shared" si="30"/>
        <v>0</v>
      </c>
      <c r="Q221" s="94">
        <f t="shared" si="30"/>
        <v>0</v>
      </c>
    </row>
    <row r="222" spans="2:17" x14ac:dyDescent="0.2">
      <c r="B222" s="90">
        <f t="shared" si="29"/>
        <v>0</v>
      </c>
      <c r="C222" s="90">
        <f t="shared" si="29"/>
        <v>90</v>
      </c>
      <c r="D222" s="95">
        <f t="shared" si="29"/>
        <v>0</v>
      </c>
      <c r="E222" s="96">
        <f t="shared" si="29"/>
        <v>0</v>
      </c>
      <c r="F222" s="93">
        <f>+VLOOKUP(C222,'INV POIR PPERDIDAS'!$C$4:$F$123,4,FALSE)</f>
        <v>1</v>
      </c>
      <c r="G222" s="94">
        <f t="shared" si="28"/>
        <v>0</v>
      </c>
      <c r="H222" s="94">
        <f t="shared" si="30"/>
        <v>0</v>
      </c>
      <c r="I222" s="94">
        <f t="shared" si="30"/>
        <v>0</v>
      </c>
      <c r="J222" s="94">
        <f t="shared" si="30"/>
        <v>0</v>
      </c>
      <c r="K222" s="94">
        <f t="shared" si="30"/>
        <v>0</v>
      </c>
      <c r="L222" s="94">
        <f t="shared" si="30"/>
        <v>0</v>
      </c>
      <c r="M222" s="94">
        <f t="shared" si="30"/>
        <v>0</v>
      </c>
      <c r="N222" s="94">
        <f t="shared" si="30"/>
        <v>0</v>
      </c>
      <c r="O222" s="94">
        <f t="shared" si="30"/>
        <v>0</v>
      </c>
      <c r="P222" s="94">
        <f t="shared" si="30"/>
        <v>0</v>
      </c>
      <c r="Q222" s="94">
        <f t="shared" si="30"/>
        <v>0</v>
      </c>
    </row>
    <row r="223" spans="2:17" x14ac:dyDescent="0.2">
      <c r="B223" s="90">
        <f t="shared" si="29"/>
        <v>0</v>
      </c>
      <c r="C223" s="90">
        <f t="shared" si="29"/>
        <v>91</v>
      </c>
      <c r="D223" s="95">
        <f t="shared" si="29"/>
        <v>0</v>
      </c>
      <c r="E223" s="96">
        <f t="shared" si="29"/>
        <v>0</v>
      </c>
      <c r="F223" s="93">
        <f>+VLOOKUP(C223,'INV POIR PPERDIDAS'!$C$4:$F$123,4,FALSE)</f>
        <v>1</v>
      </c>
      <c r="G223" s="94">
        <f t="shared" si="28"/>
        <v>0</v>
      </c>
      <c r="H223" s="94">
        <f t="shared" si="30"/>
        <v>0</v>
      </c>
      <c r="I223" s="94">
        <f t="shared" si="30"/>
        <v>0</v>
      </c>
      <c r="J223" s="94">
        <f t="shared" si="30"/>
        <v>0</v>
      </c>
      <c r="K223" s="94">
        <f t="shared" si="30"/>
        <v>0</v>
      </c>
      <c r="L223" s="94">
        <f t="shared" si="30"/>
        <v>0</v>
      </c>
      <c r="M223" s="94">
        <f t="shared" si="30"/>
        <v>0</v>
      </c>
      <c r="N223" s="94">
        <f t="shared" si="30"/>
        <v>0</v>
      </c>
      <c r="O223" s="94">
        <f t="shared" si="30"/>
        <v>0</v>
      </c>
      <c r="P223" s="94">
        <f t="shared" si="30"/>
        <v>0</v>
      </c>
      <c r="Q223" s="94">
        <f t="shared" si="30"/>
        <v>0</v>
      </c>
    </row>
    <row r="224" spans="2:17" x14ac:dyDescent="0.2">
      <c r="B224" s="90">
        <f t="shared" si="29"/>
        <v>0</v>
      </c>
      <c r="C224" s="90">
        <f t="shared" si="29"/>
        <v>92</v>
      </c>
      <c r="D224" s="95">
        <f t="shared" si="29"/>
        <v>0</v>
      </c>
      <c r="E224" s="96">
        <f t="shared" si="29"/>
        <v>0</v>
      </c>
      <c r="F224" s="93">
        <f>+VLOOKUP(C224,'INV POIR PPERDIDAS'!$C$4:$F$123,4,FALSE)</f>
        <v>1</v>
      </c>
      <c r="G224" s="94">
        <f t="shared" si="28"/>
        <v>0</v>
      </c>
      <c r="H224" s="94">
        <f t="shared" si="30"/>
        <v>0</v>
      </c>
      <c r="I224" s="94">
        <f t="shared" si="30"/>
        <v>0</v>
      </c>
      <c r="J224" s="94">
        <f t="shared" si="30"/>
        <v>0</v>
      </c>
      <c r="K224" s="94">
        <f t="shared" si="30"/>
        <v>0</v>
      </c>
      <c r="L224" s="94">
        <f t="shared" si="30"/>
        <v>0</v>
      </c>
      <c r="M224" s="94">
        <f t="shared" si="30"/>
        <v>0</v>
      </c>
      <c r="N224" s="94">
        <f t="shared" si="30"/>
        <v>0</v>
      </c>
      <c r="O224" s="94">
        <f t="shared" si="30"/>
        <v>0</v>
      </c>
      <c r="P224" s="94">
        <f t="shared" si="30"/>
        <v>0</v>
      </c>
      <c r="Q224" s="94">
        <f t="shared" si="30"/>
        <v>0</v>
      </c>
    </row>
    <row r="225" spans="2:17" x14ac:dyDescent="0.2">
      <c r="B225" s="90">
        <f t="shared" si="29"/>
        <v>0</v>
      </c>
      <c r="C225" s="90">
        <f t="shared" si="29"/>
        <v>93</v>
      </c>
      <c r="D225" s="95">
        <f t="shared" si="29"/>
        <v>0</v>
      </c>
      <c r="E225" s="96">
        <f t="shared" si="29"/>
        <v>0</v>
      </c>
      <c r="F225" s="93">
        <f>+VLOOKUP(C225,'INV POIR PPERDIDAS'!$C$4:$F$123,4,FALSE)</f>
        <v>1</v>
      </c>
      <c r="G225" s="94">
        <f t="shared" si="28"/>
        <v>0</v>
      </c>
      <c r="H225" s="94">
        <f t="shared" si="30"/>
        <v>0</v>
      </c>
      <c r="I225" s="94">
        <f t="shared" si="30"/>
        <v>0</v>
      </c>
      <c r="J225" s="94">
        <f t="shared" si="30"/>
        <v>0</v>
      </c>
      <c r="K225" s="94">
        <f t="shared" si="30"/>
        <v>0</v>
      </c>
      <c r="L225" s="94">
        <f t="shared" si="30"/>
        <v>0</v>
      </c>
      <c r="M225" s="94">
        <f t="shared" si="30"/>
        <v>0</v>
      </c>
      <c r="N225" s="94">
        <f t="shared" si="30"/>
        <v>0</v>
      </c>
      <c r="O225" s="94">
        <f t="shared" si="30"/>
        <v>0</v>
      </c>
      <c r="P225" s="94">
        <f t="shared" si="30"/>
        <v>0</v>
      </c>
      <c r="Q225" s="94">
        <f t="shared" si="30"/>
        <v>0</v>
      </c>
    </row>
    <row r="226" spans="2:17" x14ac:dyDescent="0.2">
      <c r="B226" s="90">
        <f t="shared" si="29"/>
        <v>0</v>
      </c>
      <c r="C226" s="90">
        <f t="shared" si="29"/>
        <v>94</v>
      </c>
      <c r="D226" s="95">
        <f t="shared" si="29"/>
        <v>0</v>
      </c>
      <c r="E226" s="96">
        <f t="shared" si="29"/>
        <v>0</v>
      </c>
      <c r="F226" s="93">
        <f>+VLOOKUP(C226,'INV POIR PPERDIDAS'!$C$4:$F$123,4,FALSE)</f>
        <v>1</v>
      </c>
      <c r="G226" s="94">
        <f t="shared" si="28"/>
        <v>0</v>
      </c>
      <c r="H226" s="94">
        <f t="shared" si="30"/>
        <v>0</v>
      </c>
      <c r="I226" s="94">
        <f t="shared" si="30"/>
        <v>0</v>
      </c>
      <c r="J226" s="94">
        <f t="shared" si="30"/>
        <v>0</v>
      </c>
      <c r="K226" s="94">
        <f t="shared" si="30"/>
        <v>0</v>
      </c>
      <c r="L226" s="94">
        <f t="shared" si="30"/>
        <v>0</v>
      </c>
      <c r="M226" s="94">
        <f t="shared" si="30"/>
        <v>0</v>
      </c>
      <c r="N226" s="94">
        <f t="shared" si="30"/>
        <v>0</v>
      </c>
      <c r="O226" s="94">
        <f t="shared" si="30"/>
        <v>0</v>
      </c>
      <c r="P226" s="94">
        <f t="shared" si="30"/>
        <v>0</v>
      </c>
      <c r="Q226" s="94">
        <f t="shared" si="30"/>
        <v>0</v>
      </c>
    </row>
    <row r="227" spans="2:17" x14ac:dyDescent="0.2">
      <c r="B227" s="90">
        <f t="shared" si="29"/>
        <v>0</v>
      </c>
      <c r="C227" s="90">
        <f t="shared" si="29"/>
        <v>95</v>
      </c>
      <c r="D227" s="95">
        <f t="shared" si="29"/>
        <v>0</v>
      </c>
      <c r="E227" s="96">
        <f t="shared" si="29"/>
        <v>0</v>
      </c>
      <c r="F227" s="93">
        <f>+VLOOKUP(C227,'INV POIR PPERDIDAS'!$C$4:$F$123,4,FALSE)</f>
        <v>1</v>
      </c>
      <c r="G227" s="94">
        <f t="shared" si="28"/>
        <v>0</v>
      </c>
      <c r="H227" s="94">
        <f t="shared" si="30"/>
        <v>0</v>
      </c>
      <c r="I227" s="94">
        <f t="shared" si="30"/>
        <v>0</v>
      </c>
      <c r="J227" s="94">
        <f t="shared" si="30"/>
        <v>0</v>
      </c>
      <c r="K227" s="94">
        <f t="shared" si="30"/>
        <v>0</v>
      </c>
      <c r="L227" s="94">
        <f t="shared" si="30"/>
        <v>0</v>
      </c>
      <c r="M227" s="94">
        <f t="shared" si="30"/>
        <v>0</v>
      </c>
      <c r="N227" s="94">
        <f t="shared" si="30"/>
        <v>0</v>
      </c>
      <c r="O227" s="94">
        <f t="shared" si="30"/>
        <v>0</v>
      </c>
      <c r="P227" s="94">
        <f t="shared" si="30"/>
        <v>0</v>
      </c>
      <c r="Q227" s="94">
        <f t="shared" si="30"/>
        <v>0</v>
      </c>
    </row>
    <row r="228" spans="2:17" x14ac:dyDescent="0.2">
      <c r="B228" s="90">
        <f t="shared" si="29"/>
        <v>0</v>
      </c>
      <c r="C228" s="90">
        <f t="shared" si="29"/>
        <v>96</v>
      </c>
      <c r="D228" s="95">
        <f t="shared" si="29"/>
        <v>0</v>
      </c>
      <c r="E228" s="96">
        <f t="shared" si="29"/>
        <v>0</v>
      </c>
      <c r="F228" s="93">
        <f>+VLOOKUP(C228,'INV POIR PPERDIDAS'!$C$4:$F$123,4,FALSE)</f>
        <v>1</v>
      </c>
      <c r="G228" s="94">
        <f t="shared" si="28"/>
        <v>0</v>
      </c>
      <c r="H228" s="94">
        <f t="shared" si="30"/>
        <v>0</v>
      </c>
      <c r="I228" s="94">
        <f t="shared" si="30"/>
        <v>0</v>
      </c>
      <c r="J228" s="94">
        <f t="shared" si="30"/>
        <v>0</v>
      </c>
      <c r="K228" s="94">
        <f t="shared" si="30"/>
        <v>0</v>
      </c>
      <c r="L228" s="94">
        <f t="shared" si="30"/>
        <v>0</v>
      </c>
      <c r="M228" s="94">
        <f t="shared" si="30"/>
        <v>0</v>
      </c>
      <c r="N228" s="94">
        <f t="shared" si="30"/>
        <v>0</v>
      </c>
      <c r="O228" s="94">
        <f t="shared" si="30"/>
        <v>0</v>
      </c>
      <c r="P228" s="94">
        <f t="shared" si="30"/>
        <v>0</v>
      </c>
      <c r="Q228" s="94">
        <f t="shared" si="30"/>
        <v>0</v>
      </c>
    </row>
    <row r="229" spans="2:17" x14ac:dyDescent="0.2">
      <c r="B229" s="90">
        <f t="shared" ref="B229:E244" si="31">+B105</f>
        <v>0</v>
      </c>
      <c r="C229" s="90">
        <f t="shared" si="31"/>
        <v>97</v>
      </c>
      <c r="D229" s="95">
        <f t="shared" si="31"/>
        <v>0</v>
      </c>
      <c r="E229" s="96">
        <f t="shared" si="31"/>
        <v>0</v>
      </c>
      <c r="F229" s="93">
        <f>+VLOOKUP(C229,'INV POIR PPERDIDAS'!$C$4:$F$123,4,FALSE)</f>
        <v>1</v>
      </c>
      <c r="G229" s="94">
        <f t="shared" si="28"/>
        <v>0</v>
      </c>
      <c r="H229" s="94">
        <f t="shared" ref="H229:Q244" si="32">+IF($D105=H$132,$E105,IF($D105&gt;H$132,0,G229-H105))</f>
        <v>0</v>
      </c>
      <c r="I229" s="94">
        <f t="shared" si="32"/>
        <v>0</v>
      </c>
      <c r="J229" s="94">
        <f t="shared" si="32"/>
        <v>0</v>
      </c>
      <c r="K229" s="94">
        <f t="shared" si="32"/>
        <v>0</v>
      </c>
      <c r="L229" s="94">
        <f t="shared" si="32"/>
        <v>0</v>
      </c>
      <c r="M229" s="94">
        <f t="shared" si="32"/>
        <v>0</v>
      </c>
      <c r="N229" s="94">
        <f t="shared" si="32"/>
        <v>0</v>
      </c>
      <c r="O229" s="94">
        <f t="shared" si="32"/>
        <v>0</v>
      </c>
      <c r="P229" s="94">
        <f t="shared" si="32"/>
        <v>0</v>
      </c>
      <c r="Q229" s="94">
        <f t="shared" si="32"/>
        <v>0</v>
      </c>
    </row>
    <row r="230" spans="2:17" x14ac:dyDescent="0.2">
      <c r="B230" s="90">
        <f t="shared" si="31"/>
        <v>0</v>
      </c>
      <c r="C230" s="90">
        <f t="shared" si="31"/>
        <v>98</v>
      </c>
      <c r="D230" s="95">
        <f t="shared" si="31"/>
        <v>0</v>
      </c>
      <c r="E230" s="96">
        <f t="shared" si="31"/>
        <v>0</v>
      </c>
      <c r="F230" s="93">
        <f>+VLOOKUP(C230,'INV POIR PPERDIDAS'!$C$4:$F$123,4,FALSE)</f>
        <v>1</v>
      </c>
      <c r="G230" s="94">
        <f t="shared" si="28"/>
        <v>0</v>
      </c>
      <c r="H230" s="94">
        <f t="shared" si="32"/>
        <v>0</v>
      </c>
      <c r="I230" s="94">
        <f t="shared" si="32"/>
        <v>0</v>
      </c>
      <c r="J230" s="94">
        <f t="shared" si="32"/>
        <v>0</v>
      </c>
      <c r="K230" s="94">
        <f t="shared" si="32"/>
        <v>0</v>
      </c>
      <c r="L230" s="94">
        <f t="shared" si="32"/>
        <v>0</v>
      </c>
      <c r="M230" s="94">
        <f t="shared" si="32"/>
        <v>0</v>
      </c>
      <c r="N230" s="94">
        <f t="shared" si="32"/>
        <v>0</v>
      </c>
      <c r="O230" s="94">
        <f t="shared" si="32"/>
        <v>0</v>
      </c>
      <c r="P230" s="94">
        <f t="shared" si="32"/>
        <v>0</v>
      </c>
      <c r="Q230" s="94">
        <f t="shared" si="32"/>
        <v>0</v>
      </c>
    </row>
    <row r="231" spans="2:17" x14ac:dyDescent="0.2">
      <c r="B231" s="90">
        <f t="shared" si="31"/>
        <v>0</v>
      </c>
      <c r="C231" s="90">
        <f t="shared" si="31"/>
        <v>99</v>
      </c>
      <c r="D231" s="95">
        <f t="shared" si="31"/>
        <v>0</v>
      </c>
      <c r="E231" s="96">
        <f t="shared" si="31"/>
        <v>0</v>
      </c>
      <c r="F231" s="93">
        <f>+VLOOKUP(C231,'INV POIR PPERDIDAS'!$C$4:$F$123,4,FALSE)</f>
        <v>1</v>
      </c>
      <c r="G231" s="94">
        <f t="shared" si="28"/>
        <v>0</v>
      </c>
      <c r="H231" s="94">
        <f t="shared" si="32"/>
        <v>0</v>
      </c>
      <c r="I231" s="94">
        <f t="shared" si="32"/>
        <v>0</v>
      </c>
      <c r="J231" s="94">
        <f t="shared" si="32"/>
        <v>0</v>
      </c>
      <c r="K231" s="94">
        <f t="shared" si="32"/>
        <v>0</v>
      </c>
      <c r="L231" s="94">
        <f t="shared" si="32"/>
        <v>0</v>
      </c>
      <c r="M231" s="94">
        <f t="shared" si="32"/>
        <v>0</v>
      </c>
      <c r="N231" s="94">
        <f t="shared" si="32"/>
        <v>0</v>
      </c>
      <c r="O231" s="94">
        <f t="shared" si="32"/>
        <v>0</v>
      </c>
      <c r="P231" s="94">
        <f t="shared" si="32"/>
        <v>0</v>
      </c>
      <c r="Q231" s="94">
        <f t="shared" si="32"/>
        <v>0</v>
      </c>
    </row>
    <row r="232" spans="2:17" x14ac:dyDescent="0.2">
      <c r="B232" s="90">
        <f t="shared" si="31"/>
        <v>0</v>
      </c>
      <c r="C232" s="90">
        <f t="shared" si="31"/>
        <v>100</v>
      </c>
      <c r="D232" s="95">
        <f t="shared" si="31"/>
        <v>0</v>
      </c>
      <c r="E232" s="96">
        <f t="shared" si="31"/>
        <v>0</v>
      </c>
      <c r="F232" s="93">
        <f>+VLOOKUP(C232,'INV POIR PPERDIDAS'!$C$4:$F$123,4,FALSE)</f>
        <v>1</v>
      </c>
      <c r="G232" s="94">
        <f t="shared" si="28"/>
        <v>0</v>
      </c>
      <c r="H232" s="94">
        <f t="shared" si="32"/>
        <v>0</v>
      </c>
      <c r="I232" s="94">
        <f t="shared" si="32"/>
        <v>0</v>
      </c>
      <c r="J232" s="94">
        <f t="shared" si="32"/>
        <v>0</v>
      </c>
      <c r="K232" s="94">
        <f t="shared" si="32"/>
        <v>0</v>
      </c>
      <c r="L232" s="94">
        <f t="shared" si="32"/>
        <v>0</v>
      </c>
      <c r="M232" s="94">
        <f t="shared" si="32"/>
        <v>0</v>
      </c>
      <c r="N232" s="94">
        <f t="shared" si="32"/>
        <v>0</v>
      </c>
      <c r="O232" s="94">
        <f t="shared" si="32"/>
        <v>0</v>
      </c>
      <c r="P232" s="94">
        <f t="shared" si="32"/>
        <v>0</v>
      </c>
      <c r="Q232" s="94">
        <f t="shared" si="32"/>
        <v>0</v>
      </c>
    </row>
    <row r="233" spans="2:17" x14ac:dyDescent="0.2">
      <c r="B233" s="90">
        <f t="shared" si="31"/>
        <v>0</v>
      </c>
      <c r="C233" s="90">
        <f t="shared" si="31"/>
        <v>101</v>
      </c>
      <c r="D233" s="95">
        <f t="shared" si="31"/>
        <v>0</v>
      </c>
      <c r="E233" s="96">
        <f t="shared" si="31"/>
        <v>0</v>
      </c>
      <c r="F233" s="93">
        <f>+VLOOKUP(C233,'INV POIR PPERDIDAS'!$C$4:$F$123,4,FALSE)</f>
        <v>1</v>
      </c>
      <c r="G233" s="94">
        <f t="shared" si="28"/>
        <v>0</v>
      </c>
      <c r="H233" s="94">
        <f t="shared" si="32"/>
        <v>0</v>
      </c>
      <c r="I233" s="94">
        <f t="shared" si="32"/>
        <v>0</v>
      </c>
      <c r="J233" s="94">
        <f t="shared" si="32"/>
        <v>0</v>
      </c>
      <c r="K233" s="94">
        <f t="shared" si="32"/>
        <v>0</v>
      </c>
      <c r="L233" s="94">
        <f t="shared" si="32"/>
        <v>0</v>
      </c>
      <c r="M233" s="94">
        <f t="shared" si="32"/>
        <v>0</v>
      </c>
      <c r="N233" s="94">
        <f t="shared" si="32"/>
        <v>0</v>
      </c>
      <c r="O233" s="94">
        <f t="shared" si="32"/>
        <v>0</v>
      </c>
      <c r="P233" s="94">
        <f t="shared" si="32"/>
        <v>0</v>
      </c>
      <c r="Q233" s="94">
        <f t="shared" si="32"/>
        <v>0</v>
      </c>
    </row>
    <row r="234" spans="2:17" x14ac:dyDescent="0.2">
      <c r="B234" s="90">
        <f t="shared" si="31"/>
        <v>0</v>
      </c>
      <c r="C234" s="90">
        <f t="shared" si="31"/>
        <v>102</v>
      </c>
      <c r="D234" s="95">
        <f t="shared" si="31"/>
        <v>0</v>
      </c>
      <c r="E234" s="96">
        <f t="shared" si="31"/>
        <v>0</v>
      </c>
      <c r="F234" s="93">
        <f>+VLOOKUP(C234,'INV POIR PPERDIDAS'!$C$4:$F$123,4,FALSE)</f>
        <v>1</v>
      </c>
      <c r="G234" s="94">
        <f t="shared" si="28"/>
        <v>0</v>
      </c>
      <c r="H234" s="94">
        <f t="shared" si="32"/>
        <v>0</v>
      </c>
      <c r="I234" s="94">
        <f t="shared" si="32"/>
        <v>0</v>
      </c>
      <c r="J234" s="94">
        <f t="shared" si="32"/>
        <v>0</v>
      </c>
      <c r="K234" s="94">
        <f t="shared" si="32"/>
        <v>0</v>
      </c>
      <c r="L234" s="94">
        <f t="shared" si="32"/>
        <v>0</v>
      </c>
      <c r="M234" s="94">
        <f t="shared" si="32"/>
        <v>0</v>
      </c>
      <c r="N234" s="94">
        <f t="shared" si="32"/>
        <v>0</v>
      </c>
      <c r="O234" s="94">
        <f t="shared" si="32"/>
        <v>0</v>
      </c>
      <c r="P234" s="94">
        <f t="shared" si="32"/>
        <v>0</v>
      </c>
      <c r="Q234" s="94">
        <f t="shared" si="32"/>
        <v>0</v>
      </c>
    </row>
    <row r="235" spans="2:17" x14ac:dyDescent="0.2">
      <c r="B235" s="90">
        <f t="shared" si="31"/>
        <v>0</v>
      </c>
      <c r="C235" s="90">
        <f t="shared" si="31"/>
        <v>103</v>
      </c>
      <c r="D235" s="95">
        <f t="shared" si="31"/>
        <v>0</v>
      </c>
      <c r="E235" s="96">
        <f t="shared" si="31"/>
        <v>0</v>
      </c>
      <c r="F235" s="93">
        <f>+VLOOKUP(C235,'INV POIR PPERDIDAS'!$C$4:$F$123,4,FALSE)</f>
        <v>1</v>
      </c>
      <c r="G235" s="94">
        <f t="shared" si="28"/>
        <v>0</v>
      </c>
      <c r="H235" s="94">
        <f t="shared" si="32"/>
        <v>0</v>
      </c>
      <c r="I235" s="94">
        <f t="shared" si="32"/>
        <v>0</v>
      </c>
      <c r="J235" s="94">
        <f t="shared" si="32"/>
        <v>0</v>
      </c>
      <c r="K235" s="94">
        <f t="shared" si="32"/>
        <v>0</v>
      </c>
      <c r="L235" s="94">
        <f t="shared" si="32"/>
        <v>0</v>
      </c>
      <c r="M235" s="94">
        <f t="shared" si="32"/>
        <v>0</v>
      </c>
      <c r="N235" s="94">
        <f t="shared" si="32"/>
        <v>0</v>
      </c>
      <c r="O235" s="94">
        <f t="shared" si="32"/>
        <v>0</v>
      </c>
      <c r="P235" s="94">
        <f t="shared" si="32"/>
        <v>0</v>
      </c>
      <c r="Q235" s="94">
        <f t="shared" si="32"/>
        <v>0</v>
      </c>
    </row>
    <row r="236" spans="2:17" x14ac:dyDescent="0.2">
      <c r="B236" s="90">
        <f t="shared" si="31"/>
        <v>0</v>
      </c>
      <c r="C236" s="90">
        <f t="shared" si="31"/>
        <v>104</v>
      </c>
      <c r="D236" s="95">
        <f t="shared" si="31"/>
        <v>0</v>
      </c>
      <c r="E236" s="96">
        <f t="shared" si="31"/>
        <v>0</v>
      </c>
      <c r="F236" s="93">
        <f>+VLOOKUP(C236,'INV POIR PPERDIDAS'!$C$4:$F$123,4,FALSE)</f>
        <v>1</v>
      </c>
      <c r="G236" s="94">
        <f t="shared" si="28"/>
        <v>0</v>
      </c>
      <c r="H236" s="94">
        <f t="shared" si="32"/>
        <v>0</v>
      </c>
      <c r="I236" s="94">
        <f t="shared" si="32"/>
        <v>0</v>
      </c>
      <c r="J236" s="94">
        <f t="shared" si="32"/>
        <v>0</v>
      </c>
      <c r="K236" s="94">
        <f t="shared" si="32"/>
        <v>0</v>
      </c>
      <c r="L236" s="94">
        <f t="shared" si="32"/>
        <v>0</v>
      </c>
      <c r="M236" s="94">
        <f t="shared" si="32"/>
        <v>0</v>
      </c>
      <c r="N236" s="94">
        <f t="shared" si="32"/>
        <v>0</v>
      </c>
      <c r="O236" s="94">
        <f t="shared" si="32"/>
        <v>0</v>
      </c>
      <c r="P236" s="94">
        <f t="shared" si="32"/>
        <v>0</v>
      </c>
      <c r="Q236" s="94">
        <f t="shared" si="32"/>
        <v>0</v>
      </c>
    </row>
    <row r="237" spans="2:17" x14ac:dyDescent="0.2">
      <c r="B237" s="90">
        <f t="shared" si="31"/>
        <v>0</v>
      </c>
      <c r="C237" s="90">
        <f t="shared" si="31"/>
        <v>105</v>
      </c>
      <c r="D237" s="95">
        <f t="shared" si="31"/>
        <v>0</v>
      </c>
      <c r="E237" s="96">
        <f t="shared" si="31"/>
        <v>0</v>
      </c>
      <c r="F237" s="93">
        <f>+VLOOKUP(C237,'INV POIR PPERDIDAS'!$C$4:$F$123,4,FALSE)</f>
        <v>1</v>
      </c>
      <c r="G237" s="94">
        <f t="shared" si="28"/>
        <v>0</v>
      </c>
      <c r="H237" s="94">
        <f t="shared" si="32"/>
        <v>0</v>
      </c>
      <c r="I237" s="94">
        <f t="shared" si="32"/>
        <v>0</v>
      </c>
      <c r="J237" s="94">
        <f t="shared" si="32"/>
        <v>0</v>
      </c>
      <c r="K237" s="94">
        <f t="shared" si="32"/>
        <v>0</v>
      </c>
      <c r="L237" s="94">
        <f t="shared" si="32"/>
        <v>0</v>
      </c>
      <c r="M237" s="94">
        <f t="shared" si="32"/>
        <v>0</v>
      </c>
      <c r="N237" s="94">
        <f t="shared" si="32"/>
        <v>0</v>
      </c>
      <c r="O237" s="94">
        <f t="shared" si="32"/>
        <v>0</v>
      </c>
      <c r="P237" s="94">
        <f t="shared" si="32"/>
        <v>0</v>
      </c>
      <c r="Q237" s="94">
        <f t="shared" si="32"/>
        <v>0</v>
      </c>
    </row>
    <row r="238" spans="2:17" x14ac:dyDescent="0.2">
      <c r="B238" s="90">
        <f t="shared" si="31"/>
        <v>0</v>
      </c>
      <c r="C238" s="90">
        <f t="shared" si="31"/>
        <v>106</v>
      </c>
      <c r="D238" s="95">
        <f t="shared" si="31"/>
        <v>0</v>
      </c>
      <c r="E238" s="96">
        <f t="shared" si="31"/>
        <v>0</v>
      </c>
      <c r="F238" s="93">
        <f>+VLOOKUP(C238,'INV POIR PPERDIDAS'!$C$4:$F$123,4,FALSE)</f>
        <v>1</v>
      </c>
      <c r="G238" s="94">
        <f t="shared" si="28"/>
        <v>0</v>
      </c>
      <c r="H238" s="94">
        <f t="shared" si="32"/>
        <v>0</v>
      </c>
      <c r="I238" s="94">
        <f t="shared" si="32"/>
        <v>0</v>
      </c>
      <c r="J238" s="94">
        <f t="shared" si="32"/>
        <v>0</v>
      </c>
      <c r="K238" s="94">
        <f t="shared" si="32"/>
        <v>0</v>
      </c>
      <c r="L238" s="94">
        <f t="shared" si="32"/>
        <v>0</v>
      </c>
      <c r="M238" s="94">
        <f t="shared" si="32"/>
        <v>0</v>
      </c>
      <c r="N238" s="94">
        <f t="shared" si="32"/>
        <v>0</v>
      </c>
      <c r="O238" s="94">
        <f t="shared" si="32"/>
        <v>0</v>
      </c>
      <c r="P238" s="94">
        <f t="shared" si="32"/>
        <v>0</v>
      </c>
      <c r="Q238" s="94">
        <f t="shared" si="32"/>
        <v>0</v>
      </c>
    </row>
    <row r="239" spans="2:17" x14ac:dyDescent="0.2">
      <c r="B239" s="90">
        <f t="shared" si="31"/>
        <v>0</v>
      </c>
      <c r="C239" s="90">
        <f t="shared" si="31"/>
        <v>107</v>
      </c>
      <c r="D239" s="95">
        <f t="shared" si="31"/>
        <v>0</v>
      </c>
      <c r="E239" s="96">
        <f t="shared" si="31"/>
        <v>0</v>
      </c>
      <c r="F239" s="93">
        <f>+VLOOKUP(C239,'INV POIR PPERDIDAS'!$C$4:$F$123,4,FALSE)</f>
        <v>1</v>
      </c>
      <c r="G239" s="94">
        <f t="shared" si="28"/>
        <v>0</v>
      </c>
      <c r="H239" s="94">
        <f t="shared" si="32"/>
        <v>0</v>
      </c>
      <c r="I239" s="94">
        <f t="shared" si="32"/>
        <v>0</v>
      </c>
      <c r="J239" s="94">
        <f t="shared" si="32"/>
        <v>0</v>
      </c>
      <c r="K239" s="94">
        <f t="shared" si="32"/>
        <v>0</v>
      </c>
      <c r="L239" s="94">
        <f t="shared" si="32"/>
        <v>0</v>
      </c>
      <c r="M239" s="94">
        <f t="shared" si="32"/>
        <v>0</v>
      </c>
      <c r="N239" s="94">
        <f t="shared" si="32"/>
        <v>0</v>
      </c>
      <c r="O239" s="94">
        <f t="shared" si="32"/>
        <v>0</v>
      </c>
      <c r="P239" s="94">
        <f t="shared" si="32"/>
        <v>0</v>
      </c>
      <c r="Q239" s="94">
        <f t="shared" si="32"/>
        <v>0</v>
      </c>
    </row>
    <row r="240" spans="2:17" x14ac:dyDescent="0.2">
      <c r="B240" s="90">
        <f t="shared" si="31"/>
        <v>0</v>
      </c>
      <c r="C240" s="90">
        <f t="shared" si="31"/>
        <v>108</v>
      </c>
      <c r="D240" s="95">
        <f t="shared" si="31"/>
        <v>0</v>
      </c>
      <c r="E240" s="96">
        <f t="shared" si="31"/>
        <v>0</v>
      </c>
      <c r="F240" s="93">
        <f>+VLOOKUP(C240,'INV POIR PPERDIDAS'!$C$4:$F$123,4,FALSE)</f>
        <v>1</v>
      </c>
      <c r="G240" s="94">
        <f t="shared" si="28"/>
        <v>0</v>
      </c>
      <c r="H240" s="94">
        <f t="shared" si="32"/>
        <v>0</v>
      </c>
      <c r="I240" s="94">
        <f t="shared" si="32"/>
        <v>0</v>
      </c>
      <c r="J240" s="94">
        <f t="shared" si="32"/>
        <v>0</v>
      </c>
      <c r="K240" s="94">
        <f t="shared" si="32"/>
        <v>0</v>
      </c>
      <c r="L240" s="94">
        <f t="shared" si="32"/>
        <v>0</v>
      </c>
      <c r="M240" s="94">
        <f t="shared" si="32"/>
        <v>0</v>
      </c>
      <c r="N240" s="94">
        <f t="shared" si="32"/>
        <v>0</v>
      </c>
      <c r="O240" s="94">
        <f t="shared" si="32"/>
        <v>0</v>
      </c>
      <c r="P240" s="94">
        <f t="shared" si="32"/>
        <v>0</v>
      </c>
      <c r="Q240" s="94">
        <f t="shared" si="32"/>
        <v>0</v>
      </c>
    </row>
    <row r="241" spans="2:17" x14ac:dyDescent="0.2">
      <c r="B241" s="90">
        <f t="shared" si="31"/>
        <v>0</v>
      </c>
      <c r="C241" s="90">
        <f t="shared" si="31"/>
        <v>109</v>
      </c>
      <c r="D241" s="95">
        <f t="shared" si="31"/>
        <v>0</v>
      </c>
      <c r="E241" s="96">
        <f t="shared" si="31"/>
        <v>0</v>
      </c>
      <c r="F241" s="93">
        <f>+VLOOKUP(C241,'INV POIR PPERDIDAS'!$C$4:$F$123,4,FALSE)</f>
        <v>1</v>
      </c>
      <c r="G241" s="94">
        <f t="shared" si="28"/>
        <v>0</v>
      </c>
      <c r="H241" s="94">
        <f t="shared" si="32"/>
        <v>0</v>
      </c>
      <c r="I241" s="94">
        <f t="shared" si="32"/>
        <v>0</v>
      </c>
      <c r="J241" s="94">
        <f t="shared" si="32"/>
        <v>0</v>
      </c>
      <c r="K241" s="94">
        <f t="shared" si="32"/>
        <v>0</v>
      </c>
      <c r="L241" s="94">
        <f t="shared" si="32"/>
        <v>0</v>
      </c>
      <c r="M241" s="94">
        <f t="shared" si="32"/>
        <v>0</v>
      </c>
      <c r="N241" s="94">
        <f t="shared" si="32"/>
        <v>0</v>
      </c>
      <c r="O241" s="94">
        <f t="shared" si="32"/>
        <v>0</v>
      </c>
      <c r="P241" s="94">
        <f t="shared" si="32"/>
        <v>0</v>
      </c>
      <c r="Q241" s="94">
        <f t="shared" si="32"/>
        <v>0</v>
      </c>
    </row>
    <row r="242" spans="2:17" x14ac:dyDescent="0.2">
      <c r="B242" s="90">
        <f t="shared" si="31"/>
        <v>0</v>
      </c>
      <c r="C242" s="90">
        <f t="shared" si="31"/>
        <v>110</v>
      </c>
      <c r="D242" s="95">
        <f t="shared" si="31"/>
        <v>0</v>
      </c>
      <c r="E242" s="96">
        <f t="shared" si="31"/>
        <v>0</v>
      </c>
      <c r="F242" s="93">
        <f>+VLOOKUP(C242,'INV POIR PPERDIDAS'!$C$4:$F$123,4,FALSE)</f>
        <v>1</v>
      </c>
      <c r="G242" s="94">
        <f t="shared" si="28"/>
        <v>0</v>
      </c>
      <c r="H242" s="94">
        <f t="shared" si="32"/>
        <v>0</v>
      </c>
      <c r="I242" s="94">
        <f t="shared" si="32"/>
        <v>0</v>
      </c>
      <c r="J242" s="94">
        <f t="shared" si="32"/>
        <v>0</v>
      </c>
      <c r="K242" s="94">
        <f t="shared" si="32"/>
        <v>0</v>
      </c>
      <c r="L242" s="94">
        <f t="shared" si="32"/>
        <v>0</v>
      </c>
      <c r="M242" s="94">
        <f t="shared" si="32"/>
        <v>0</v>
      </c>
      <c r="N242" s="94">
        <f t="shared" si="32"/>
        <v>0</v>
      </c>
      <c r="O242" s="94">
        <f t="shared" si="32"/>
        <v>0</v>
      </c>
      <c r="P242" s="94">
        <f t="shared" si="32"/>
        <v>0</v>
      </c>
      <c r="Q242" s="94">
        <f t="shared" si="32"/>
        <v>0</v>
      </c>
    </row>
    <row r="243" spans="2:17" x14ac:dyDescent="0.2">
      <c r="B243" s="90">
        <f t="shared" si="31"/>
        <v>0</v>
      </c>
      <c r="C243" s="90">
        <f t="shared" si="31"/>
        <v>111</v>
      </c>
      <c r="D243" s="95">
        <f t="shared" si="31"/>
        <v>0</v>
      </c>
      <c r="E243" s="96">
        <f t="shared" si="31"/>
        <v>0</v>
      </c>
      <c r="F243" s="93">
        <f>+VLOOKUP(C243,'INV POIR PPERDIDAS'!$C$4:$F$123,4,FALSE)</f>
        <v>1</v>
      </c>
      <c r="G243" s="94">
        <f t="shared" si="28"/>
        <v>0</v>
      </c>
      <c r="H243" s="94">
        <f t="shared" si="32"/>
        <v>0</v>
      </c>
      <c r="I243" s="94">
        <f t="shared" si="32"/>
        <v>0</v>
      </c>
      <c r="J243" s="94">
        <f t="shared" si="32"/>
        <v>0</v>
      </c>
      <c r="K243" s="94">
        <f t="shared" si="32"/>
        <v>0</v>
      </c>
      <c r="L243" s="94">
        <f t="shared" si="32"/>
        <v>0</v>
      </c>
      <c r="M243" s="94">
        <f t="shared" si="32"/>
        <v>0</v>
      </c>
      <c r="N243" s="94">
        <f t="shared" si="32"/>
        <v>0</v>
      </c>
      <c r="O243" s="94">
        <f t="shared" si="32"/>
        <v>0</v>
      </c>
      <c r="P243" s="94">
        <f t="shared" si="32"/>
        <v>0</v>
      </c>
      <c r="Q243" s="94">
        <f t="shared" si="32"/>
        <v>0</v>
      </c>
    </row>
    <row r="244" spans="2:17" x14ac:dyDescent="0.2">
      <c r="B244" s="90">
        <f t="shared" si="31"/>
        <v>0</v>
      </c>
      <c r="C244" s="90">
        <f t="shared" si="31"/>
        <v>112</v>
      </c>
      <c r="D244" s="95">
        <f t="shared" si="31"/>
        <v>0</v>
      </c>
      <c r="E244" s="96">
        <f t="shared" si="31"/>
        <v>0</v>
      </c>
      <c r="F244" s="93">
        <f>+VLOOKUP(C244,'INV POIR PPERDIDAS'!$C$4:$F$123,4,FALSE)</f>
        <v>1</v>
      </c>
      <c r="G244" s="94">
        <f t="shared" si="28"/>
        <v>0</v>
      </c>
      <c r="H244" s="94">
        <f t="shared" si="32"/>
        <v>0</v>
      </c>
      <c r="I244" s="94">
        <f t="shared" si="32"/>
        <v>0</v>
      </c>
      <c r="J244" s="94">
        <f t="shared" si="32"/>
        <v>0</v>
      </c>
      <c r="K244" s="94">
        <f t="shared" si="32"/>
        <v>0</v>
      </c>
      <c r="L244" s="94">
        <f t="shared" si="32"/>
        <v>0</v>
      </c>
      <c r="M244" s="94">
        <f t="shared" si="32"/>
        <v>0</v>
      </c>
      <c r="N244" s="94">
        <f t="shared" si="32"/>
        <v>0</v>
      </c>
      <c r="O244" s="94">
        <f t="shared" si="32"/>
        <v>0</v>
      </c>
      <c r="P244" s="94">
        <f t="shared" si="32"/>
        <v>0</v>
      </c>
      <c r="Q244" s="94">
        <f t="shared" si="32"/>
        <v>0</v>
      </c>
    </row>
    <row r="245" spans="2:17" x14ac:dyDescent="0.2">
      <c r="B245" s="90">
        <f t="shared" ref="B245:E252" si="33">+B121</f>
        <v>0</v>
      </c>
      <c r="C245" s="90">
        <f t="shared" si="33"/>
        <v>113</v>
      </c>
      <c r="D245" s="95">
        <f t="shared" si="33"/>
        <v>0</v>
      </c>
      <c r="E245" s="96">
        <f t="shared" si="33"/>
        <v>0</v>
      </c>
      <c r="F245" s="93">
        <f>+VLOOKUP(C245,'INV POIR PPERDIDAS'!$C$4:$F$123,4,FALSE)</f>
        <v>1</v>
      </c>
      <c r="G245" s="94">
        <f t="shared" si="28"/>
        <v>0</v>
      </c>
      <c r="H245" s="94">
        <f t="shared" ref="H245:Q252" si="34">+IF($D121=H$132,$E121,IF($D121&gt;H$132,0,G245-H121))</f>
        <v>0</v>
      </c>
      <c r="I245" s="94">
        <f t="shared" si="34"/>
        <v>0</v>
      </c>
      <c r="J245" s="94">
        <f t="shared" si="34"/>
        <v>0</v>
      </c>
      <c r="K245" s="94">
        <f t="shared" si="34"/>
        <v>0</v>
      </c>
      <c r="L245" s="94">
        <f t="shared" si="34"/>
        <v>0</v>
      </c>
      <c r="M245" s="94">
        <f t="shared" si="34"/>
        <v>0</v>
      </c>
      <c r="N245" s="94">
        <f t="shared" si="34"/>
        <v>0</v>
      </c>
      <c r="O245" s="94">
        <f t="shared" si="34"/>
        <v>0</v>
      </c>
      <c r="P245" s="94">
        <f t="shared" si="34"/>
        <v>0</v>
      </c>
      <c r="Q245" s="94">
        <f t="shared" si="34"/>
        <v>0</v>
      </c>
    </row>
    <row r="246" spans="2:17" x14ac:dyDescent="0.2">
      <c r="B246" s="90">
        <f t="shared" si="33"/>
        <v>0</v>
      </c>
      <c r="C246" s="90">
        <f t="shared" si="33"/>
        <v>114</v>
      </c>
      <c r="D246" s="95">
        <f t="shared" si="33"/>
        <v>0</v>
      </c>
      <c r="E246" s="96">
        <f t="shared" si="33"/>
        <v>0</v>
      </c>
      <c r="F246" s="93">
        <f>+VLOOKUP(C246,'INV POIR PPERDIDAS'!$C$4:$F$123,4,FALSE)</f>
        <v>1</v>
      </c>
      <c r="G246" s="94">
        <f t="shared" si="28"/>
        <v>0</v>
      </c>
      <c r="H246" s="94">
        <f t="shared" si="34"/>
        <v>0</v>
      </c>
      <c r="I246" s="94">
        <f t="shared" si="34"/>
        <v>0</v>
      </c>
      <c r="J246" s="94">
        <f t="shared" si="34"/>
        <v>0</v>
      </c>
      <c r="K246" s="94">
        <f t="shared" si="34"/>
        <v>0</v>
      </c>
      <c r="L246" s="94">
        <f t="shared" si="34"/>
        <v>0</v>
      </c>
      <c r="M246" s="94">
        <f t="shared" si="34"/>
        <v>0</v>
      </c>
      <c r="N246" s="94">
        <f t="shared" si="34"/>
        <v>0</v>
      </c>
      <c r="O246" s="94">
        <f t="shared" si="34"/>
        <v>0</v>
      </c>
      <c r="P246" s="94">
        <f t="shared" si="34"/>
        <v>0</v>
      </c>
      <c r="Q246" s="94">
        <f t="shared" si="34"/>
        <v>0</v>
      </c>
    </row>
    <row r="247" spans="2:17" x14ac:dyDescent="0.2">
      <c r="B247" s="90">
        <f t="shared" si="33"/>
        <v>0</v>
      </c>
      <c r="C247" s="90">
        <f t="shared" si="33"/>
        <v>115</v>
      </c>
      <c r="D247" s="95">
        <f t="shared" si="33"/>
        <v>0</v>
      </c>
      <c r="E247" s="96">
        <f t="shared" si="33"/>
        <v>0</v>
      </c>
      <c r="F247" s="93">
        <f>+VLOOKUP(C247,'INV POIR PPERDIDAS'!$C$4:$F$123,4,FALSE)</f>
        <v>1</v>
      </c>
      <c r="G247" s="94">
        <f t="shared" si="28"/>
        <v>0</v>
      </c>
      <c r="H247" s="94">
        <f t="shared" si="34"/>
        <v>0</v>
      </c>
      <c r="I247" s="94">
        <f t="shared" si="34"/>
        <v>0</v>
      </c>
      <c r="J247" s="94">
        <f t="shared" si="34"/>
        <v>0</v>
      </c>
      <c r="K247" s="94">
        <f t="shared" si="34"/>
        <v>0</v>
      </c>
      <c r="L247" s="94">
        <f t="shared" si="34"/>
        <v>0</v>
      </c>
      <c r="M247" s="94">
        <f t="shared" si="34"/>
        <v>0</v>
      </c>
      <c r="N247" s="94">
        <f t="shared" si="34"/>
        <v>0</v>
      </c>
      <c r="O247" s="94">
        <f t="shared" si="34"/>
        <v>0</v>
      </c>
      <c r="P247" s="94">
        <f t="shared" si="34"/>
        <v>0</v>
      </c>
      <c r="Q247" s="94">
        <f t="shared" si="34"/>
        <v>0</v>
      </c>
    </row>
    <row r="248" spans="2:17" x14ac:dyDescent="0.2">
      <c r="B248" s="90">
        <f t="shared" si="33"/>
        <v>0</v>
      </c>
      <c r="C248" s="90">
        <f t="shared" si="33"/>
        <v>116</v>
      </c>
      <c r="D248" s="95">
        <f t="shared" si="33"/>
        <v>0</v>
      </c>
      <c r="E248" s="96">
        <f t="shared" si="33"/>
        <v>0</v>
      </c>
      <c r="F248" s="93">
        <f>+VLOOKUP(C248,'INV POIR PPERDIDAS'!$C$4:$F$123,4,FALSE)</f>
        <v>1</v>
      </c>
      <c r="G248" s="94">
        <f t="shared" si="28"/>
        <v>0</v>
      </c>
      <c r="H248" s="94">
        <f t="shared" si="34"/>
        <v>0</v>
      </c>
      <c r="I248" s="94">
        <f t="shared" si="34"/>
        <v>0</v>
      </c>
      <c r="J248" s="94">
        <f t="shared" si="34"/>
        <v>0</v>
      </c>
      <c r="K248" s="94">
        <f t="shared" si="34"/>
        <v>0</v>
      </c>
      <c r="L248" s="94">
        <f t="shared" si="34"/>
        <v>0</v>
      </c>
      <c r="M248" s="94">
        <f t="shared" si="34"/>
        <v>0</v>
      </c>
      <c r="N248" s="94">
        <f t="shared" si="34"/>
        <v>0</v>
      </c>
      <c r="O248" s="94">
        <f t="shared" si="34"/>
        <v>0</v>
      </c>
      <c r="P248" s="94">
        <f t="shared" si="34"/>
        <v>0</v>
      </c>
      <c r="Q248" s="94">
        <f t="shared" si="34"/>
        <v>0</v>
      </c>
    </row>
    <row r="249" spans="2:17" x14ac:dyDescent="0.2">
      <c r="B249" s="90">
        <f t="shared" si="33"/>
        <v>0</v>
      </c>
      <c r="C249" s="90">
        <f t="shared" si="33"/>
        <v>117</v>
      </c>
      <c r="D249" s="95">
        <f t="shared" si="33"/>
        <v>0</v>
      </c>
      <c r="E249" s="96">
        <f t="shared" si="33"/>
        <v>0</v>
      </c>
      <c r="F249" s="93">
        <f>+VLOOKUP(C249,'INV POIR PPERDIDAS'!$C$4:$F$123,4,FALSE)</f>
        <v>1</v>
      </c>
      <c r="G249" s="94">
        <f t="shared" si="28"/>
        <v>0</v>
      </c>
      <c r="H249" s="94">
        <f t="shared" si="34"/>
        <v>0</v>
      </c>
      <c r="I249" s="94">
        <f t="shared" si="34"/>
        <v>0</v>
      </c>
      <c r="J249" s="94">
        <f t="shared" si="34"/>
        <v>0</v>
      </c>
      <c r="K249" s="94">
        <f t="shared" si="34"/>
        <v>0</v>
      </c>
      <c r="L249" s="94">
        <f t="shared" si="34"/>
        <v>0</v>
      </c>
      <c r="M249" s="94">
        <f t="shared" si="34"/>
        <v>0</v>
      </c>
      <c r="N249" s="94">
        <f t="shared" si="34"/>
        <v>0</v>
      </c>
      <c r="O249" s="94">
        <f t="shared" si="34"/>
        <v>0</v>
      </c>
      <c r="P249" s="94">
        <f t="shared" si="34"/>
        <v>0</v>
      </c>
      <c r="Q249" s="94">
        <f t="shared" si="34"/>
        <v>0</v>
      </c>
    </row>
    <row r="250" spans="2:17" x14ac:dyDescent="0.2">
      <c r="B250" s="90">
        <f t="shared" si="33"/>
        <v>0</v>
      </c>
      <c r="C250" s="90">
        <f t="shared" si="33"/>
        <v>118</v>
      </c>
      <c r="D250" s="95">
        <f t="shared" si="33"/>
        <v>0</v>
      </c>
      <c r="E250" s="96">
        <f t="shared" si="33"/>
        <v>0</v>
      </c>
      <c r="F250" s="93">
        <f>+VLOOKUP(C250,'INV POIR PPERDIDAS'!$C$4:$F$123,4,FALSE)</f>
        <v>1</v>
      </c>
      <c r="G250" s="94">
        <f t="shared" si="28"/>
        <v>0</v>
      </c>
      <c r="H250" s="94">
        <f t="shared" si="34"/>
        <v>0</v>
      </c>
      <c r="I250" s="94">
        <f t="shared" si="34"/>
        <v>0</v>
      </c>
      <c r="J250" s="94">
        <f t="shared" si="34"/>
        <v>0</v>
      </c>
      <c r="K250" s="94">
        <f t="shared" si="34"/>
        <v>0</v>
      </c>
      <c r="L250" s="94">
        <f t="shared" si="34"/>
        <v>0</v>
      </c>
      <c r="M250" s="94">
        <f t="shared" si="34"/>
        <v>0</v>
      </c>
      <c r="N250" s="94">
        <f t="shared" si="34"/>
        <v>0</v>
      </c>
      <c r="O250" s="94">
        <f t="shared" si="34"/>
        <v>0</v>
      </c>
      <c r="P250" s="94">
        <f t="shared" si="34"/>
        <v>0</v>
      </c>
      <c r="Q250" s="94">
        <f t="shared" si="34"/>
        <v>0</v>
      </c>
    </row>
    <row r="251" spans="2:17" x14ac:dyDescent="0.2">
      <c r="B251" s="90">
        <f t="shared" si="33"/>
        <v>0</v>
      </c>
      <c r="C251" s="90">
        <f t="shared" si="33"/>
        <v>119</v>
      </c>
      <c r="D251" s="95">
        <f t="shared" si="33"/>
        <v>0</v>
      </c>
      <c r="E251" s="96">
        <f t="shared" si="33"/>
        <v>0</v>
      </c>
      <c r="F251" s="93">
        <f>+VLOOKUP(C251,'INV POIR PPERDIDAS'!$C$4:$F$123,4,FALSE)</f>
        <v>1</v>
      </c>
      <c r="G251" s="94">
        <f t="shared" si="28"/>
        <v>0</v>
      </c>
      <c r="H251" s="94">
        <f t="shared" si="34"/>
        <v>0</v>
      </c>
      <c r="I251" s="94">
        <f t="shared" si="34"/>
        <v>0</v>
      </c>
      <c r="J251" s="94">
        <f t="shared" si="34"/>
        <v>0</v>
      </c>
      <c r="K251" s="94">
        <f t="shared" si="34"/>
        <v>0</v>
      </c>
      <c r="L251" s="94">
        <f t="shared" si="34"/>
        <v>0</v>
      </c>
      <c r="M251" s="94">
        <f t="shared" si="34"/>
        <v>0</v>
      </c>
      <c r="N251" s="94">
        <f t="shared" si="34"/>
        <v>0</v>
      </c>
      <c r="O251" s="94">
        <f t="shared" si="34"/>
        <v>0</v>
      </c>
      <c r="P251" s="94">
        <f t="shared" si="34"/>
        <v>0</v>
      </c>
      <c r="Q251" s="94">
        <f t="shared" si="34"/>
        <v>0</v>
      </c>
    </row>
    <row r="252" spans="2:17" x14ac:dyDescent="0.2">
      <c r="B252" s="90">
        <f t="shared" si="33"/>
        <v>0</v>
      </c>
      <c r="C252" s="90">
        <f t="shared" si="33"/>
        <v>120</v>
      </c>
      <c r="D252" s="95">
        <f t="shared" si="33"/>
        <v>0</v>
      </c>
      <c r="E252" s="96">
        <f t="shared" si="33"/>
        <v>0</v>
      </c>
      <c r="F252" s="93">
        <f>+VLOOKUP(C252,'INV POIR PPERDIDAS'!$C$4:$F$123,4,FALSE)</f>
        <v>1</v>
      </c>
      <c r="G252" s="94">
        <f t="shared" si="28"/>
        <v>0</v>
      </c>
      <c r="H252" s="94">
        <f>+IF($D128=H$132,$E128,IF($D128&gt;H$132,0,G252-H128))</f>
        <v>0</v>
      </c>
      <c r="I252" s="94">
        <f>+IF($D128=I$132,$E128,IF($D128&gt;I$132,0,H252-I128))</f>
        <v>0</v>
      </c>
      <c r="J252" s="94">
        <f t="shared" si="34"/>
        <v>0</v>
      </c>
      <c r="K252" s="94">
        <f t="shared" si="34"/>
        <v>0</v>
      </c>
      <c r="L252" s="94">
        <f t="shared" si="34"/>
        <v>0</v>
      </c>
      <c r="M252" s="94">
        <f t="shared" si="34"/>
        <v>0</v>
      </c>
      <c r="N252" s="94">
        <f t="shared" si="34"/>
        <v>0</v>
      </c>
      <c r="O252" s="94">
        <f t="shared" si="34"/>
        <v>0</v>
      </c>
      <c r="P252" s="94">
        <f t="shared" si="34"/>
        <v>0</v>
      </c>
      <c r="Q252" s="94">
        <f t="shared" si="34"/>
        <v>0</v>
      </c>
    </row>
    <row r="254" spans="2:17" ht="20.25" thickBot="1" x14ac:dyDescent="0.35">
      <c r="B254" s="89" t="s">
        <v>342</v>
      </c>
      <c r="C254" s="89"/>
      <c r="D254" s="89"/>
      <c r="E254" s="89"/>
      <c r="F254" s="89"/>
      <c r="G254" s="89"/>
    </row>
    <row r="255" spans="2:17" ht="13.5" thickTop="1" x14ac:dyDescent="0.2"/>
    <row r="256" spans="2:17" ht="25.5" x14ac:dyDescent="0.2">
      <c r="B256" s="101" t="str">
        <f>+B132</f>
        <v>Activo j</v>
      </c>
      <c r="C256" s="101" t="str">
        <f>+C132</f>
        <v>Identificación del activo</v>
      </c>
      <c r="D256" s="101" t="str">
        <f>+D132</f>
        <v>Año planeado</v>
      </c>
      <c r="E256" s="101" t="str">
        <f>+E132</f>
        <v>POIR programa pérdidas por activo j</v>
      </c>
      <c r="F256" s="101" t="str">
        <f>+F132</f>
        <v>Vida Útil</v>
      </c>
      <c r="G256" s="101"/>
      <c r="H256" s="101" t="s">
        <v>343</v>
      </c>
      <c r="I256" s="101" t="s">
        <v>344</v>
      </c>
      <c r="J256" s="101" t="s">
        <v>345</v>
      </c>
      <c r="K256" s="101" t="s">
        <v>346</v>
      </c>
      <c r="L256" s="101" t="s">
        <v>347</v>
      </c>
      <c r="M256" s="101" t="s">
        <v>348</v>
      </c>
      <c r="N256" s="101" t="s">
        <v>349</v>
      </c>
      <c r="O256" s="101" t="s">
        <v>350</v>
      </c>
      <c r="P256" s="101" t="s">
        <v>351</v>
      </c>
      <c r="Q256" s="101" t="s">
        <v>352</v>
      </c>
    </row>
    <row r="257" spans="2:17" x14ac:dyDescent="0.2">
      <c r="B257" s="90" t="str">
        <f>+B133</f>
        <v>MACROMEDIDORES</v>
      </c>
      <c r="C257" s="90">
        <f>+C133</f>
        <v>1</v>
      </c>
      <c r="D257" s="95">
        <f>+D133</f>
        <v>0</v>
      </c>
      <c r="E257" s="96">
        <f>+E133</f>
        <v>0</v>
      </c>
      <c r="F257" s="93">
        <f>+VLOOKUP(C257,'INV POIR PPERDIDAS'!$C$4:$F$123,4,FALSE)</f>
        <v>23</v>
      </c>
      <c r="G257" s="94">
        <f t="shared" ref="G257:G320" si="35">+IFERROR(IF($D9&gt;G$132,"",F133*$C$3),"")</f>
        <v>2.0699999999999998</v>
      </c>
      <c r="H257" s="94">
        <f t="shared" ref="H257:Q272" si="36">+IFERROR(IF($D9&gt;H$132,0,G133*$C$3),"")</f>
        <v>0</v>
      </c>
      <c r="I257" s="94">
        <f t="shared" si="36"/>
        <v>0</v>
      </c>
      <c r="J257" s="94">
        <f t="shared" si="36"/>
        <v>0</v>
      </c>
      <c r="K257" s="94">
        <f t="shared" si="36"/>
        <v>0</v>
      </c>
      <c r="L257" s="94">
        <f t="shared" si="36"/>
        <v>0</v>
      </c>
      <c r="M257" s="94">
        <f t="shared" si="36"/>
        <v>0</v>
      </c>
      <c r="N257" s="94">
        <f t="shared" si="36"/>
        <v>0</v>
      </c>
      <c r="O257" s="94">
        <f t="shared" si="36"/>
        <v>0</v>
      </c>
      <c r="P257" s="94">
        <f t="shared" si="36"/>
        <v>0</v>
      </c>
      <c r="Q257" s="94">
        <f t="shared" si="36"/>
        <v>0</v>
      </c>
    </row>
    <row r="258" spans="2:17" x14ac:dyDescent="0.2">
      <c r="B258" s="90" t="str">
        <f t="shared" ref="B258:E273" si="37">+B134</f>
        <v>MACROMEDIDORES</v>
      </c>
      <c r="C258" s="90">
        <f t="shared" si="37"/>
        <v>2</v>
      </c>
      <c r="D258" s="95">
        <f t="shared" si="37"/>
        <v>1</v>
      </c>
      <c r="E258" s="96">
        <f>+E134</f>
        <v>19671246.467960708</v>
      </c>
      <c r="F258" s="93">
        <f>+VLOOKUP(C258,'INV POIR PPERDIDAS'!$C$4:$F$123,4,FALSE)</f>
        <v>23</v>
      </c>
      <c r="G258" s="94" t="str">
        <f t="shared" si="35"/>
        <v/>
      </c>
      <c r="H258" s="94">
        <f t="shared" si="36"/>
        <v>0</v>
      </c>
      <c r="I258" s="94">
        <f t="shared" si="36"/>
        <v>1770412.1821164635</v>
      </c>
      <c r="J258" s="94">
        <f t="shared" si="36"/>
        <v>1693437.7394157476</v>
      </c>
      <c r="K258" s="94">
        <f t="shared" si="36"/>
        <v>1616463.2967150318</v>
      </c>
      <c r="L258" s="94">
        <f t="shared" si="36"/>
        <v>1539488.8540143159</v>
      </c>
      <c r="M258" s="94">
        <f t="shared" si="36"/>
        <v>1462514.4113135999</v>
      </c>
      <c r="N258" s="94">
        <f t="shared" si="36"/>
        <v>1385539.9686128842</v>
      </c>
      <c r="O258" s="94">
        <f t="shared" si="36"/>
        <v>1308565.5259121684</v>
      </c>
      <c r="P258" s="94">
        <f t="shared" si="36"/>
        <v>1231591.0832114527</v>
      </c>
      <c r="Q258" s="94">
        <f t="shared" si="36"/>
        <v>1154616.6405107367</v>
      </c>
    </row>
    <row r="259" spans="2:17" x14ac:dyDescent="0.2">
      <c r="B259" s="90" t="str">
        <f t="shared" si="37"/>
        <v>MACROMEDIDORES</v>
      </c>
      <c r="C259" s="90">
        <f t="shared" si="37"/>
        <v>3</v>
      </c>
      <c r="D259" s="95">
        <f t="shared" si="37"/>
        <v>2</v>
      </c>
      <c r="E259" s="96">
        <f>+E135</f>
        <v>155817460.36657271</v>
      </c>
      <c r="F259" s="93">
        <f>+VLOOKUP(C259,'INV POIR PPERDIDAS'!$C$4:$F$123,4,FALSE)</f>
        <v>23</v>
      </c>
      <c r="G259" s="94" t="str">
        <f t="shared" si="35"/>
        <v/>
      </c>
      <c r="H259" s="94">
        <f t="shared" si="36"/>
        <v>0</v>
      </c>
      <c r="I259" s="94">
        <f t="shared" si="36"/>
        <v>0</v>
      </c>
      <c r="J259" s="94">
        <f t="shared" si="36"/>
        <v>14023571.432991544</v>
      </c>
      <c r="K259" s="94">
        <f t="shared" si="36"/>
        <v>13413850.935904954</v>
      </c>
      <c r="L259" s="94">
        <f t="shared" si="36"/>
        <v>12804130.438818365</v>
      </c>
      <c r="M259" s="94">
        <f t="shared" si="36"/>
        <v>12194409.941731777</v>
      </c>
      <c r="N259" s="94">
        <f t="shared" si="36"/>
        <v>11584689.444645189</v>
      </c>
      <c r="O259" s="94">
        <f t="shared" si="36"/>
        <v>10974968.9475586</v>
      </c>
      <c r="P259" s="94">
        <f t="shared" si="36"/>
        <v>10365248.45047201</v>
      </c>
      <c r="Q259" s="94">
        <f t="shared" si="36"/>
        <v>9755527.953385422</v>
      </c>
    </row>
    <row r="260" spans="2:17" x14ac:dyDescent="0.2">
      <c r="B260" s="90" t="str">
        <f t="shared" si="37"/>
        <v>MACROMEDIDORES</v>
      </c>
      <c r="C260" s="90">
        <f t="shared" si="37"/>
        <v>4</v>
      </c>
      <c r="D260" s="95">
        <f t="shared" si="37"/>
        <v>3</v>
      </c>
      <c r="E260" s="96">
        <f>+E136</f>
        <v>19671246.467960708</v>
      </c>
      <c r="F260" s="93">
        <f>+VLOOKUP(C260,'INV POIR PPERDIDAS'!$C$4:$F$123,4,FALSE)</f>
        <v>23</v>
      </c>
      <c r="G260" s="94" t="str">
        <f t="shared" si="35"/>
        <v/>
      </c>
      <c r="H260" s="94">
        <f t="shared" si="36"/>
        <v>0</v>
      </c>
      <c r="I260" s="94">
        <f t="shared" si="36"/>
        <v>0</v>
      </c>
      <c r="J260" s="94">
        <f t="shared" si="36"/>
        <v>0</v>
      </c>
      <c r="K260" s="94">
        <f t="shared" si="36"/>
        <v>1770412.1821164635</v>
      </c>
      <c r="L260" s="94">
        <f t="shared" si="36"/>
        <v>1693437.7394157476</v>
      </c>
      <c r="M260" s="94">
        <f t="shared" si="36"/>
        <v>1616463.2967150318</v>
      </c>
      <c r="N260" s="94">
        <f t="shared" si="36"/>
        <v>1539488.8540143159</v>
      </c>
      <c r="O260" s="94">
        <f t="shared" si="36"/>
        <v>1462514.4113135999</v>
      </c>
      <c r="P260" s="94">
        <f t="shared" si="36"/>
        <v>1385539.9686128842</v>
      </c>
      <c r="Q260" s="94">
        <f t="shared" si="36"/>
        <v>1308565.5259121684</v>
      </c>
    </row>
    <row r="261" spans="2:17" x14ac:dyDescent="0.2">
      <c r="B261" s="90" t="str">
        <f t="shared" si="37"/>
        <v>MACROMEDIDORES</v>
      </c>
      <c r="C261" s="90">
        <f t="shared" si="37"/>
        <v>5</v>
      </c>
      <c r="D261" s="95">
        <f t="shared" si="37"/>
        <v>4</v>
      </c>
      <c r="E261" s="96">
        <f>+E137</f>
        <v>18198458.295112241</v>
      </c>
      <c r="F261" s="93">
        <f>+VLOOKUP(C261,'INV POIR PPERDIDAS'!$C$4:$F$123,4,FALSE)</f>
        <v>23</v>
      </c>
      <c r="G261" s="94" t="str">
        <f t="shared" si="35"/>
        <v/>
      </c>
      <c r="H261" s="94">
        <f t="shared" si="36"/>
        <v>0</v>
      </c>
      <c r="I261" s="94">
        <f t="shared" si="36"/>
        <v>0</v>
      </c>
      <c r="J261" s="94">
        <f t="shared" si="36"/>
        <v>0</v>
      </c>
      <c r="K261" s="94">
        <f t="shared" si="36"/>
        <v>0</v>
      </c>
      <c r="L261" s="94">
        <f t="shared" si="36"/>
        <v>1637861.2465601016</v>
      </c>
      <c r="M261" s="94">
        <f t="shared" si="36"/>
        <v>1566649.8880140102</v>
      </c>
      <c r="N261" s="94">
        <f t="shared" si="36"/>
        <v>1495438.5294679189</v>
      </c>
      <c r="O261" s="94">
        <f t="shared" si="36"/>
        <v>1424227.1709218274</v>
      </c>
      <c r="P261" s="94">
        <f t="shared" si="36"/>
        <v>1353015.8123757362</v>
      </c>
      <c r="Q261" s="94">
        <f t="shared" si="36"/>
        <v>1281804.4538296447</v>
      </c>
    </row>
    <row r="262" spans="2:17" x14ac:dyDescent="0.2">
      <c r="B262" s="90" t="str">
        <f t="shared" si="37"/>
        <v>MACROMEDIDORES</v>
      </c>
      <c r="C262" s="90">
        <f t="shared" si="37"/>
        <v>6</v>
      </c>
      <c r="D262" s="95">
        <f t="shared" si="37"/>
        <v>5</v>
      </c>
      <c r="E262" s="96">
        <f>+E138</f>
        <v>0</v>
      </c>
      <c r="F262" s="93">
        <f>+VLOOKUP(C262,'INV POIR PPERDIDAS'!$C$4:$F$123,4,FALSE)</f>
        <v>23</v>
      </c>
      <c r="G262" s="94" t="str">
        <f t="shared" si="35"/>
        <v/>
      </c>
      <c r="H262" s="94">
        <f t="shared" si="36"/>
        <v>0</v>
      </c>
      <c r="I262" s="94">
        <f t="shared" si="36"/>
        <v>0</v>
      </c>
      <c r="J262" s="94">
        <f t="shared" si="36"/>
        <v>0</v>
      </c>
      <c r="K262" s="94">
        <f t="shared" si="36"/>
        <v>0</v>
      </c>
      <c r="L262" s="94">
        <f t="shared" si="36"/>
        <v>0</v>
      </c>
      <c r="M262" s="94">
        <f t="shared" si="36"/>
        <v>0</v>
      </c>
      <c r="N262" s="94">
        <f t="shared" si="36"/>
        <v>0</v>
      </c>
      <c r="O262" s="94">
        <f t="shared" si="36"/>
        <v>0</v>
      </c>
      <c r="P262" s="94">
        <f t="shared" si="36"/>
        <v>0</v>
      </c>
      <c r="Q262" s="94">
        <f t="shared" si="36"/>
        <v>0</v>
      </c>
    </row>
    <row r="263" spans="2:17" x14ac:dyDescent="0.2">
      <c r="B263" s="90" t="str">
        <f t="shared" si="37"/>
        <v>MACROMEDIDORES</v>
      </c>
      <c r="C263" s="90">
        <f t="shared" si="37"/>
        <v>7</v>
      </c>
      <c r="D263" s="95">
        <f t="shared" si="37"/>
        <v>6</v>
      </c>
      <c r="E263" s="96">
        <f t="shared" si="37"/>
        <v>42323102.712381244</v>
      </c>
      <c r="F263" s="93">
        <f>+VLOOKUP(C263,'INV POIR PPERDIDAS'!$C$4:$F$123,4,FALSE)</f>
        <v>23</v>
      </c>
      <c r="G263" s="94" t="str">
        <f t="shared" si="35"/>
        <v/>
      </c>
      <c r="H263" s="94">
        <f t="shared" si="36"/>
        <v>0</v>
      </c>
      <c r="I263" s="94">
        <f t="shared" si="36"/>
        <v>0</v>
      </c>
      <c r="J263" s="94">
        <f t="shared" si="36"/>
        <v>0</v>
      </c>
      <c r="K263" s="94">
        <f t="shared" si="36"/>
        <v>0</v>
      </c>
      <c r="L263" s="94">
        <f t="shared" si="36"/>
        <v>0</v>
      </c>
      <c r="M263" s="94">
        <f t="shared" si="36"/>
        <v>0</v>
      </c>
      <c r="N263" s="94">
        <f t="shared" si="36"/>
        <v>3809079.2441143119</v>
      </c>
      <c r="O263" s="94">
        <f t="shared" si="36"/>
        <v>3643467.1030658633</v>
      </c>
      <c r="P263" s="94">
        <f t="shared" si="36"/>
        <v>3477854.9620174146</v>
      </c>
      <c r="Q263" s="94">
        <f t="shared" si="36"/>
        <v>3312242.820968966</v>
      </c>
    </row>
    <row r="264" spans="2:17" x14ac:dyDescent="0.2">
      <c r="B264" s="90" t="str">
        <f t="shared" si="37"/>
        <v>MACROMEDIDORES</v>
      </c>
      <c r="C264" s="90">
        <f t="shared" si="37"/>
        <v>8</v>
      </c>
      <c r="D264" s="95">
        <f t="shared" si="37"/>
        <v>7</v>
      </c>
      <c r="E264" s="96">
        <f t="shared" si="37"/>
        <v>19671246.467960708</v>
      </c>
      <c r="F264" s="93">
        <f>+VLOOKUP(C264,'INV POIR PPERDIDAS'!$C$4:$F$123,4,FALSE)</f>
        <v>23</v>
      </c>
      <c r="G264" s="94" t="str">
        <f t="shared" si="35"/>
        <v/>
      </c>
      <c r="H264" s="94">
        <f t="shared" si="36"/>
        <v>0</v>
      </c>
      <c r="I264" s="94">
        <f t="shared" si="36"/>
        <v>0</v>
      </c>
      <c r="J264" s="94">
        <f t="shared" si="36"/>
        <v>0</v>
      </c>
      <c r="K264" s="94">
        <f t="shared" si="36"/>
        <v>0</v>
      </c>
      <c r="L264" s="94">
        <f t="shared" si="36"/>
        <v>0</v>
      </c>
      <c r="M264" s="94">
        <f t="shared" si="36"/>
        <v>0</v>
      </c>
      <c r="N264" s="94">
        <f t="shared" si="36"/>
        <v>0</v>
      </c>
      <c r="O264" s="94">
        <f t="shared" si="36"/>
        <v>1770412.1821164635</v>
      </c>
      <c r="P264" s="94">
        <f t="shared" si="36"/>
        <v>1693437.7394157476</v>
      </c>
      <c r="Q264" s="94">
        <f t="shared" si="36"/>
        <v>1616463.2967150318</v>
      </c>
    </row>
    <row r="265" spans="2:17" x14ac:dyDescent="0.2">
      <c r="B265" s="90" t="str">
        <f t="shared" si="37"/>
        <v>MACROMEDIDORES</v>
      </c>
      <c r="C265" s="90">
        <f t="shared" si="37"/>
        <v>9</v>
      </c>
      <c r="D265" s="95">
        <f t="shared" si="37"/>
        <v>8</v>
      </c>
      <c r="E265" s="96">
        <f t="shared" si="37"/>
        <v>0</v>
      </c>
      <c r="F265" s="93">
        <f>+VLOOKUP(C265,'INV POIR PPERDIDAS'!$C$4:$F$123,4,FALSE)</f>
        <v>23</v>
      </c>
      <c r="G265" s="94" t="str">
        <f t="shared" si="35"/>
        <v/>
      </c>
      <c r="H265" s="94">
        <f t="shared" si="36"/>
        <v>0</v>
      </c>
      <c r="I265" s="94">
        <f t="shared" si="36"/>
        <v>0</v>
      </c>
      <c r="J265" s="94">
        <f t="shared" si="36"/>
        <v>0</v>
      </c>
      <c r="K265" s="94">
        <f t="shared" si="36"/>
        <v>0</v>
      </c>
      <c r="L265" s="94">
        <f t="shared" si="36"/>
        <v>0</v>
      </c>
      <c r="M265" s="94">
        <f t="shared" si="36"/>
        <v>0</v>
      </c>
      <c r="N265" s="94">
        <f t="shared" si="36"/>
        <v>0</v>
      </c>
      <c r="O265" s="94">
        <f t="shared" si="36"/>
        <v>0</v>
      </c>
      <c r="P265" s="94">
        <f t="shared" si="36"/>
        <v>0</v>
      </c>
      <c r="Q265" s="94">
        <f t="shared" si="36"/>
        <v>0</v>
      </c>
    </row>
    <row r="266" spans="2:17" x14ac:dyDescent="0.2">
      <c r="B266" s="90" t="str">
        <f t="shared" si="37"/>
        <v>MACROMEDIDORES</v>
      </c>
      <c r="C266" s="90">
        <f t="shared" si="37"/>
        <v>10</v>
      </c>
      <c r="D266" s="95">
        <f t="shared" si="37"/>
        <v>9</v>
      </c>
      <c r="E266" s="96">
        <f t="shared" si="37"/>
        <v>4549614.5737780603</v>
      </c>
      <c r="F266" s="93">
        <f>+VLOOKUP(C266,'INV POIR PPERDIDAS'!$C$4:$F$123,4,FALSE)</f>
        <v>23</v>
      </c>
      <c r="G266" s="94" t="str">
        <f t="shared" si="35"/>
        <v/>
      </c>
      <c r="H266" s="94">
        <f t="shared" si="36"/>
        <v>0</v>
      </c>
      <c r="I266" s="94">
        <f t="shared" si="36"/>
        <v>0</v>
      </c>
      <c r="J266" s="94">
        <f t="shared" si="36"/>
        <v>0</v>
      </c>
      <c r="K266" s="94">
        <f t="shared" si="36"/>
        <v>0</v>
      </c>
      <c r="L266" s="94">
        <f t="shared" si="36"/>
        <v>0</v>
      </c>
      <c r="M266" s="94">
        <f t="shared" si="36"/>
        <v>0</v>
      </c>
      <c r="N266" s="94">
        <f t="shared" si="36"/>
        <v>0</v>
      </c>
      <c r="O266" s="94">
        <f t="shared" si="36"/>
        <v>0</v>
      </c>
      <c r="P266" s="94">
        <f t="shared" si="36"/>
        <v>0</v>
      </c>
      <c r="Q266" s="94">
        <f t="shared" si="36"/>
        <v>409465.31164002541</v>
      </c>
    </row>
    <row r="267" spans="2:17" x14ac:dyDescent="0.2">
      <c r="B267" s="90" t="str">
        <f t="shared" si="37"/>
        <v>MACROMEDIDORES</v>
      </c>
      <c r="C267" s="90">
        <f t="shared" si="37"/>
        <v>11</v>
      </c>
      <c r="D267" s="95">
        <f t="shared" si="37"/>
        <v>10</v>
      </c>
      <c r="E267" s="96">
        <f t="shared" si="37"/>
        <v>0</v>
      </c>
      <c r="F267" s="93">
        <f>+VLOOKUP(C267,'INV POIR PPERDIDAS'!$C$4:$F$123,4,FALSE)</f>
        <v>23</v>
      </c>
      <c r="G267" s="94" t="str">
        <f t="shared" si="35"/>
        <v/>
      </c>
      <c r="H267" s="94">
        <f t="shared" si="36"/>
        <v>0</v>
      </c>
      <c r="I267" s="94">
        <f t="shared" si="36"/>
        <v>0</v>
      </c>
      <c r="J267" s="94">
        <f t="shared" si="36"/>
        <v>0</v>
      </c>
      <c r="K267" s="94">
        <f t="shared" si="36"/>
        <v>0</v>
      </c>
      <c r="L267" s="94">
        <f t="shared" si="36"/>
        <v>0</v>
      </c>
      <c r="M267" s="94">
        <f t="shared" si="36"/>
        <v>0</v>
      </c>
      <c r="N267" s="94">
        <f t="shared" si="36"/>
        <v>0</v>
      </c>
      <c r="O267" s="94">
        <f t="shared" si="36"/>
        <v>0</v>
      </c>
      <c r="P267" s="94">
        <f t="shared" si="36"/>
        <v>0</v>
      </c>
      <c r="Q267" s="94">
        <f t="shared" si="36"/>
        <v>0</v>
      </c>
    </row>
    <row r="268" spans="2:17" x14ac:dyDescent="0.2">
      <c r="B268" s="90" t="str">
        <f t="shared" si="37"/>
        <v>MACROMEDIDORES</v>
      </c>
      <c r="C268" s="90">
        <f t="shared" si="37"/>
        <v>12</v>
      </c>
      <c r="D268" s="95">
        <f t="shared" si="37"/>
        <v>0</v>
      </c>
      <c r="E268" s="96">
        <f t="shared" si="37"/>
        <v>0</v>
      </c>
      <c r="F268" s="93">
        <f>+VLOOKUP(C268,'INV POIR PPERDIDAS'!$C$4:$F$123,4,FALSE)</f>
        <v>23</v>
      </c>
      <c r="G268" s="94">
        <f t="shared" si="35"/>
        <v>2.0699999999999998</v>
      </c>
      <c r="H268" s="94">
        <f t="shared" si="36"/>
        <v>0</v>
      </c>
      <c r="I268" s="94">
        <f t="shared" si="36"/>
        <v>0</v>
      </c>
      <c r="J268" s="94">
        <f t="shared" si="36"/>
        <v>0</v>
      </c>
      <c r="K268" s="94">
        <f t="shared" si="36"/>
        <v>0</v>
      </c>
      <c r="L268" s="94">
        <f t="shared" si="36"/>
        <v>0</v>
      </c>
      <c r="M268" s="94">
        <f t="shared" si="36"/>
        <v>0</v>
      </c>
      <c r="N268" s="94">
        <f t="shared" si="36"/>
        <v>0</v>
      </c>
      <c r="O268" s="94">
        <f t="shared" si="36"/>
        <v>0</v>
      </c>
      <c r="P268" s="94">
        <f t="shared" si="36"/>
        <v>0</v>
      </c>
      <c r="Q268" s="94">
        <f t="shared" si="36"/>
        <v>0</v>
      </c>
    </row>
    <row r="269" spans="2:17" x14ac:dyDescent="0.2">
      <c r="B269" s="90" t="str">
        <f t="shared" si="37"/>
        <v>MACROMEDIDORES</v>
      </c>
      <c r="C269" s="90">
        <f t="shared" si="37"/>
        <v>13</v>
      </c>
      <c r="D269" s="95">
        <f t="shared" si="37"/>
        <v>1</v>
      </c>
      <c r="E269" s="96">
        <f t="shared" si="37"/>
        <v>290927089.32178879</v>
      </c>
      <c r="F269" s="93">
        <f>+VLOOKUP(C269,'INV POIR PPERDIDAS'!$C$4:$F$123,4,FALSE)</f>
        <v>23</v>
      </c>
      <c r="G269" s="94" t="str">
        <f t="shared" si="35"/>
        <v/>
      </c>
      <c r="H269" s="94">
        <f t="shared" si="36"/>
        <v>0</v>
      </c>
      <c r="I269" s="94">
        <f t="shared" si="36"/>
        <v>26183438.03896099</v>
      </c>
      <c r="J269" s="94">
        <f t="shared" si="36"/>
        <v>25045027.689440951</v>
      </c>
      <c r="K269" s="94">
        <f t="shared" si="36"/>
        <v>23906617.339920904</v>
      </c>
      <c r="L269" s="94">
        <f t="shared" si="36"/>
        <v>22768206.990400862</v>
      </c>
      <c r="M269" s="94">
        <f t="shared" si="36"/>
        <v>21629796.640880819</v>
      </c>
      <c r="N269" s="94">
        <f t="shared" si="36"/>
        <v>20491386.291360777</v>
      </c>
      <c r="O269" s="94">
        <f t="shared" si="36"/>
        <v>19352975.941840731</v>
      </c>
      <c r="P269" s="94">
        <f t="shared" si="36"/>
        <v>18214565.592320688</v>
      </c>
      <c r="Q269" s="94">
        <f t="shared" si="36"/>
        <v>17076155.242800646</v>
      </c>
    </row>
    <row r="270" spans="2:17" x14ac:dyDescent="0.2">
      <c r="B270" s="90" t="str">
        <f t="shared" si="37"/>
        <v>MACROMEDIDORES</v>
      </c>
      <c r="C270" s="90">
        <f t="shared" si="37"/>
        <v>14</v>
      </c>
      <c r="D270" s="95">
        <f t="shared" si="37"/>
        <v>2</v>
      </c>
      <c r="E270" s="96">
        <f t="shared" si="37"/>
        <v>424438265.6717186</v>
      </c>
      <c r="F270" s="93">
        <f>+VLOOKUP(C270,'INV POIR PPERDIDAS'!$C$4:$F$123,4,FALSE)</f>
        <v>23</v>
      </c>
      <c r="G270" s="94" t="str">
        <f t="shared" si="35"/>
        <v/>
      </c>
      <c r="H270" s="94">
        <f t="shared" si="36"/>
        <v>0</v>
      </c>
      <c r="I270" s="94">
        <f t="shared" si="36"/>
        <v>0</v>
      </c>
      <c r="J270" s="94">
        <f t="shared" si="36"/>
        <v>38199443.910454676</v>
      </c>
      <c r="K270" s="94">
        <f t="shared" si="36"/>
        <v>36538598.523043595</v>
      </c>
      <c r="L270" s="94">
        <f t="shared" si="36"/>
        <v>34877753.135632522</v>
      </c>
      <c r="M270" s="94">
        <f t="shared" si="36"/>
        <v>33216907.74822145</v>
      </c>
      <c r="N270" s="94">
        <f t="shared" si="36"/>
        <v>31556062.360810373</v>
      </c>
      <c r="O270" s="94">
        <f t="shared" si="36"/>
        <v>29895216.9733993</v>
      </c>
      <c r="P270" s="94">
        <f t="shared" si="36"/>
        <v>28234371.585988224</v>
      </c>
      <c r="Q270" s="94">
        <f t="shared" si="36"/>
        <v>26573526.198577151</v>
      </c>
    </row>
    <row r="271" spans="2:17" x14ac:dyDescent="0.2">
      <c r="B271" s="90" t="str">
        <f t="shared" si="37"/>
        <v>MACROMEDIDORES</v>
      </c>
      <c r="C271" s="90">
        <f t="shared" si="37"/>
        <v>15</v>
      </c>
      <c r="D271" s="95">
        <f t="shared" si="37"/>
        <v>3</v>
      </c>
      <c r="E271" s="96">
        <f t="shared" si="37"/>
        <v>342730027.12324625</v>
      </c>
      <c r="F271" s="93">
        <f>+VLOOKUP(C271,'INV POIR PPERDIDAS'!$C$4:$F$123,4,FALSE)</f>
        <v>23</v>
      </c>
      <c r="G271" s="94" t="str">
        <f t="shared" si="35"/>
        <v/>
      </c>
      <c r="H271" s="94">
        <f t="shared" si="36"/>
        <v>0</v>
      </c>
      <c r="I271" s="94">
        <f t="shared" si="36"/>
        <v>0</v>
      </c>
      <c r="J271" s="94">
        <f t="shared" si="36"/>
        <v>0</v>
      </c>
      <c r="K271" s="94">
        <f t="shared" si="36"/>
        <v>30845702.441092163</v>
      </c>
      <c r="L271" s="94">
        <f t="shared" si="36"/>
        <v>29504584.943653375</v>
      </c>
      <c r="M271" s="94">
        <f t="shared" si="36"/>
        <v>28163467.446214586</v>
      </c>
      <c r="N271" s="94">
        <f t="shared" si="36"/>
        <v>26822349.948775798</v>
      </c>
      <c r="O271" s="94">
        <f t="shared" si="36"/>
        <v>25481232.45133701</v>
      </c>
      <c r="P271" s="94">
        <f t="shared" si="36"/>
        <v>24140114.953898221</v>
      </c>
      <c r="Q271" s="94">
        <f t="shared" si="36"/>
        <v>22798997.456459429</v>
      </c>
    </row>
    <row r="272" spans="2:17" x14ac:dyDescent="0.2">
      <c r="B272" s="90" t="str">
        <f t="shared" si="37"/>
        <v>MACROMEDIDORES</v>
      </c>
      <c r="C272" s="90">
        <f t="shared" si="37"/>
        <v>16</v>
      </c>
      <c r="D272" s="95">
        <f t="shared" si="37"/>
        <v>4</v>
      </c>
      <c r="E272" s="96">
        <f t="shared" si="37"/>
        <v>587965242.50099516</v>
      </c>
      <c r="F272" s="93">
        <f>+VLOOKUP(C272,'INV POIR PPERDIDAS'!$C$4:$F$123,4,FALSE)</f>
        <v>23</v>
      </c>
      <c r="G272" s="94" t="str">
        <f t="shared" si="35"/>
        <v/>
      </c>
      <c r="H272" s="94">
        <f t="shared" si="36"/>
        <v>0</v>
      </c>
      <c r="I272" s="94">
        <f t="shared" si="36"/>
        <v>0</v>
      </c>
      <c r="J272" s="94">
        <f t="shared" si="36"/>
        <v>0</v>
      </c>
      <c r="K272" s="94">
        <f t="shared" si="36"/>
        <v>0</v>
      </c>
      <c r="L272" s="94">
        <f t="shared" si="36"/>
        <v>52916871.825089559</v>
      </c>
      <c r="M272" s="94">
        <f t="shared" si="36"/>
        <v>50616138.267476976</v>
      </c>
      <c r="N272" s="94">
        <f t="shared" si="36"/>
        <v>48315404.709864385</v>
      </c>
      <c r="O272" s="94">
        <f t="shared" si="36"/>
        <v>46014671.152251795</v>
      </c>
      <c r="P272" s="94">
        <f t="shared" si="36"/>
        <v>43713937.594639204</v>
      </c>
      <c r="Q272" s="94">
        <f t="shared" si="36"/>
        <v>41413204.037026614</v>
      </c>
    </row>
    <row r="273" spans="2:17" x14ac:dyDescent="0.2">
      <c r="B273" s="90" t="str">
        <f t="shared" si="37"/>
        <v>MACROMEDIDORES</v>
      </c>
      <c r="C273" s="90">
        <f t="shared" si="37"/>
        <v>17</v>
      </c>
      <c r="D273" s="95">
        <f t="shared" si="37"/>
        <v>5</v>
      </c>
      <c r="E273" s="96">
        <f t="shared" si="37"/>
        <v>162198079.49906781</v>
      </c>
      <c r="F273" s="93">
        <f>+VLOOKUP(C273,'INV POIR PPERDIDAS'!$C$4:$F$123,4,FALSE)</f>
        <v>23</v>
      </c>
      <c r="G273" s="94" t="str">
        <f t="shared" si="35"/>
        <v/>
      </c>
      <c r="H273" s="94">
        <f t="shared" ref="H273:Q288" si="38">+IFERROR(IF($D25&gt;H$132,0,G149*$C$3),"")</f>
        <v>0</v>
      </c>
      <c r="I273" s="94">
        <f t="shared" si="38"/>
        <v>0</v>
      </c>
      <c r="J273" s="94">
        <f t="shared" si="38"/>
        <v>0</v>
      </c>
      <c r="K273" s="94">
        <f t="shared" si="38"/>
        <v>0</v>
      </c>
      <c r="L273" s="94">
        <f t="shared" si="38"/>
        <v>0</v>
      </c>
      <c r="M273" s="94">
        <f t="shared" si="38"/>
        <v>14597827.154916102</v>
      </c>
      <c r="N273" s="94">
        <f t="shared" si="38"/>
        <v>13963139.017745838</v>
      </c>
      <c r="O273" s="94">
        <f t="shared" si="38"/>
        <v>13328450.880575573</v>
      </c>
      <c r="P273" s="94">
        <f t="shared" si="38"/>
        <v>12693762.743405309</v>
      </c>
      <c r="Q273" s="94">
        <f t="shared" si="38"/>
        <v>12059074.606235044</v>
      </c>
    </row>
    <row r="274" spans="2:17" x14ac:dyDescent="0.2">
      <c r="B274" s="90" t="str">
        <f t="shared" ref="B274:E289" si="39">+B150</f>
        <v>MACROMEDIDORES</v>
      </c>
      <c r="C274" s="90">
        <f t="shared" si="39"/>
        <v>18</v>
      </c>
      <c r="D274" s="95">
        <f t="shared" si="39"/>
        <v>6</v>
      </c>
      <c r="E274" s="96">
        <f t="shared" si="39"/>
        <v>57444734.606563888</v>
      </c>
      <c r="F274" s="93">
        <f>+VLOOKUP(C274,'INV POIR PPERDIDAS'!$C$4:$F$123,4,FALSE)</f>
        <v>23</v>
      </c>
      <c r="G274" s="94" t="str">
        <f t="shared" si="35"/>
        <v/>
      </c>
      <c r="H274" s="94">
        <f t="shared" si="38"/>
        <v>0</v>
      </c>
      <c r="I274" s="94">
        <f t="shared" si="38"/>
        <v>0</v>
      </c>
      <c r="J274" s="94">
        <f t="shared" si="38"/>
        <v>0</v>
      </c>
      <c r="K274" s="94">
        <f t="shared" si="38"/>
        <v>0</v>
      </c>
      <c r="L274" s="94">
        <f t="shared" si="38"/>
        <v>0</v>
      </c>
      <c r="M274" s="94">
        <f t="shared" si="38"/>
        <v>0</v>
      </c>
      <c r="N274" s="94">
        <f t="shared" si="38"/>
        <v>5170026.1145907501</v>
      </c>
      <c r="O274" s="94">
        <f t="shared" si="38"/>
        <v>4945242.3704781085</v>
      </c>
      <c r="P274" s="94">
        <f t="shared" si="38"/>
        <v>4720458.626365467</v>
      </c>
      <c r="Q274" s="94">
        <f t="shared" si="38"/>
        <v>4495674.8822528264</v>
      </c>
    </row>
    <row r="275" spans="2:17" x14ac:dyDescent="0.2">
      <c r="B275" s="90" t="str">
        <f t="shared" si="39"/>
        <v>MACROMEDIDORES</v>
      </c>
      <c r="C275" s="90">
        <f t="shared" si="39"/>
        <v>19</v>
      </c>
      <c r="D275" s="95">
        <f t="shared" si="39"/>
        <v>7</v>
      </c>
      <c r="E275" s="96">
        <f t="shared" si="39"/>
        <v>0</v>
      </c>
      <c r="F275" s="93">
        <f>+VLOOKUP(C275,'INV POIR PPERDIDAS'!$C$4:$F$123,4,FALSE)</f>
        <v>23</v>
      </c>
      <c r="G275" s="94" t="str">
        <f t="shared" si="35"/>
        <v/>
      </c>
      <c r="H275" s="94">
        <f t="shared" si="38"/>
        <v>0</v>
      </c>
      <c r="I275" s="94">
        <f t="shared" si="38"/>
        <v>0</v>
      </c>
      <c r="J275" s="94">
        <f t="shared" si="38"/>
        <v>0</v>
      </c>
      <c r="K275" s="94">
        <f t="shared" si="38"/>
        <v>0</v>
      </c>
      <c r="L275" s="94">
        <f t="shared" si="38"/>
        <v>0</v>
      </c>
      <c r="M275" s="94">
        <f t="shared" si="38"/>
        <v>0</v>
      </c>
      <c r="N275" s="94">
        <f t="shared" si="38"/>
        <v>0</v>
      </c>
      <c r="O275" s="94">
        <f t="shared" si="38"/>
        <v>0</v>
      </c>
      <c r="P275" s="94">
        <f t="shared" si="38"/>
        <v>0</v>
      </c>
      <c r="Q275" s="94">
        <f t="shared" si="38"/>
        <v>0</v>
      </c>
    </row>
    <row r="276" spans="2:17" x14ac:dyDescent="0.2">
      <c r="B276" s="90" t="str">
        <f t="shared" si="39"/>
        <v>MACROMEDIDORES</v>
      </c>
      <c r="C276" s="90">
        <f t="shared" si="39"/>
        <v>20</v>
      </c>
      <c r="D276" s="95">
        <f t="shared" si="39"/>
        <v>8</v>
      </c>
      <c r="E276" s="96">
        <f t="shared" si="39"/>
        <v>0</v>
      </c>
      <c r="F276" s="93">
        <f>+VLOOKUP(C276,'INV POIR PPERDIDAS'!$C$4:$F$123,4,FALSE)</f>
        <v>23</v>
      </c>
      <c r="G276" s="94" t="str">
        <f t="shared" si="35"/>
        <v/>
      </c>
      <c r="H276" s="94">
        <f t="shared" si="38"/>
        <v>0</v>
      </c>
      <c r="I276" s="94">
        <f t="shared" si="38"/>
        <v>0</v>
      </c>
      <c r="J276" s="94">
        <f t="shared" si="38"/>
        <v>0</v>
      </c>
      <c r="K276" s="94">
        <f t="shared" si="38"/>
        <v>0</v>
      </c>
      <c r="L276" s="94">
        <f t="shared" si="38"/>
        <v>0</v>
      </c>
      <c r="M276" s="94">
        <f t="shared" si="38"/>
        <v>0</v>
      </c>
      <c r="N276" s="94">
        <f t="shared" si="38"/>
        <v>0</v>
      </c>
      <c r="O276" s="94">
        <f t="shared" si="38"/>
        <v>0</v>
      </c>
      <c r="P276" s="94">
        <f t="shared" si="38"/>
        <v>0</v>
      </c>
      <c r="Q276" s="94">
        <f t="shared" si="38"/>
        <v>0</v>
      </c>
    </row>
    <row r="277" spans="2:17" x14ac:dyDescent="0.2">
      <c r="B277" s="90" t="str">
        <f t="shared" si="39"/>
        <v>MACROMEDIDORES</v>
      </c>
      <c r="C277" s="90">
        <f t="shared" si="39"/>
        <v>21</v>
      </c>
      <c r="D277" s="95">
        <f t="shared" si="39"/>
        <v>9</v>
      </c>
      <c r="E277" s="96">
        <f t="shared" si="39"/>
        <v>0</v>
      </c>
      <c r="F277" s="93">
        <f>+VLOOKUP(C277,'INV POIR PPERDIDAS'!$C$4:$F$123,4,FALSE)</f>
        <v>23</v>
      </c>
      <c r="G277" s="94" t="str">
        <f t="shared" si="35"/>
        <v/>
      </c>
      <c r="H277" s="94">
        <f t="shared" si="38"/>
        <v>0</v>
      </c>
      <c r="I277" s="94">
        <f t="shared" si="38"/>
        <v>0</v>
      </c>
      <c r="J277" s="94">
        <f t="shared" si="38"/>
        <v>0</v>
      </c>
      <c r="K277" s="94">
        <f t="shared" si="38"/>
        <v>0</v>
      </c>
      <c r="L277" s="94">
        <f t="shared" si="38"/>
        <v>0</v>
      </c>
      <c r="M277" s="94">
        <f t="shared" si="38"/>
        <v>0</v>
      </c>
      <c r="N277" s="94">
        <f t="shared" si="38"/>
        <v>0</v>
      </c>
      <c r="O277" s="94">
        <f t="shared" si="38"/>
        <v>0</v>
      </c>
      <c r="P277" s="94">
        <f t="shared" si="38"/>
        <v>0</v>
      </c>
      <c r="Q277" s="94">
        <f t="shared" si="38"/>
        <v>0</v>
      </c>
    </row>
    <row r="278" spans="2:17" x14ac:dyDescent="0.2">
      <c r="B278" s="90" t="str">
        <f t="shared" si="39"/>
        <v>MACROMEDIDORES</v>
      </c>
      <c r="C278" s="90">
        <f t="shared" si="39"/>
        <v>22</v>
      </c>
      <c r="D278" s="95">
        <f t="shared" si="39"/>
        <v>10</v>
      </c>
      <c r="E278" s="96">
        <f t="shared" si="39"/>
        <v>0</v>
      </c>
      <c r="F278" s="93">
        <f>+VLOOKUP(C278,'INV POIR PPERDIDAS'!$C$4:$F$123,4,FALSE)</f>
        <v>23</v>
      </c>
      <c r="G278" s="94" t="str">
        <f t="shared" si="35"/>
        <v/>
      </c>
      <c r="H278" s="94">
        <f t="shared" si="38"/>
        <v>0</v>
      </c>
      <c r="I278" s="94">
        <f t="shared" si="38"/>
        <v>0</v>
      </c>
      <c r="J278" s="94">
        <f t="shared" si="38"/>
        <v>0</v>
      </c>
      <c r="K278" s="94">
        <f t="shared" si="38"/>
        <v>0</v>
      </c>
      <c r="L278" s="94">
        <f t="shared" si="38"/>
        <v>0</v>
      </c>
      <c r="M278" s="94">
        <f t="shared" si="38"/>
        <v>0</v>
      </c>
      <c r="N278" s="94">
        <f t="shared" si="38"/>
        <v>0</v>
      </c>
      <c r="O278" s="94">
        <f t="shared" si="38"/>
        <v>0</v>
      </c>
      <c r="P278" s="94">
        <f t="shared" si="38"/>
        <v>0</v>
      </c>
      <c r="Q278" s="94">
        <f t="shared" si="38"/>
        <v>0</v>
      </c>
    </row>
    <row r="279" spans="2:17" x14ac:dyDescent="0.2">
      <c r="B279" s="90" t="str">
        <f t="shared" si="39"/>
        <v>ESTACIONES REDUCTORAS DE PRESIÓN</v>
      </c>
      <c r="C279" s="90">
        <f t="shared" si="39"/>
        <v>23</v>
      </c>
      <c r="D279" s="95">
        <f t="shared" si="39"/>
        <v>0</v>
      </c>
      <c r="E279" s="96">
        <f t="shared" si="39"/>
        <v>0</v>
      </c>
      <c r="F279" s="93">
        <f>+VLOOKUP(C279,'INV POIR PPERDIDAS'!$C$4:$F$123,4,FALSE)</f>
        <v>35</v>
      </c>
      <c r="G279" s="94">
        <f t="shared" si="35"/>
        <v>3.15</v>
      </c>
      <c r="H279" s="94">
        <f t="shared" si="38"/>
        <v>0</v>
      </c>
      <c r="I279" s="94">
        <f t="shared" si="38"/>
        <v>0</v>
      </c>
      <c r="J279" s="94">
        <f t="shared" si="38"/>
        <v>0</v>
      </c>
      <c r="K279" s="94">
        <f t="shared" si="38"/>
        <v>0</v>
      </c>
      <c r="L279" s="94">
        <f t="shared" si="38"/>
        <v>0</v>
      </c>
      <c r="M279" s="94">
        <f t="shared" si="38"/>
        <v>0</v>
      </c>
      <c r="N279" s="94">
        <f t="shared" si="38"/>
        <v>0</v>
      </c>
      <c r="O279" s="94">
        <f t="shared" si="38"/>
        <v>0</v>
      </c>
      <c r="P279" s="94">
        <f t="shared" si="38"/>
        <v>0</v>
      </c>
      <c r="Q279" s="94">
        <f t="shared" si="38"/>
        <v>0</v>
      </c>
    </row>
    <row r="280" spans="2:17" x14ac:dyDescent="0.2">
      <c r="B280" s="90" t="str">
        <f t="shared" si="39"/>
        <v>ESTACIONES REDUCTORAS DE PRESIÓN</v>
      </c>
      <c r="C280" s="90">
        <f t="shared" si="39"/>
        <v>24</v>
      </c>
      <c r="D280" s="95">
        <f t="shared" si="39"/>
        <v>1</v>
      </c>
      <c r="E280" s="96">
        <f t="shared" si="39"/>
        <v>457899884.58817512</v>
      </c>
      <c r="F280" s="93">
        <f>+VLOOKUP(C280,'INV POIR PPERDIDAS'!$C$4:$F$123,4,FALSE)</f>
        <v>35</v>
      </c>
      <c r="G280" s="94" t="str">
        <f t="shared" si="35"/>
        <v/>
      </c>
      <c r="H280" s="94">
        <f t="shared" si="38"/>
        <v>0</v>
      </c>
      <c r="I280" s="94">
        <f t="shared" si="38"/>
        <v>41210989.612935759</v>
      </c>
      <c r="J280" s="94">
        <f t="shared" si="38"/>
        <v>40033532.76685188</v>
      </c>
      <c r="K280" s="94">
        <f t="shared" si="38"/>
        <v>38856075.920768</v>
      </c>
      <c r="L280" s="94">
        <f t="shared" si="38"/>
        <v>37678619.074684121</v>
      </c>
      <c r="M280" s="94">
        <f t="shared" si="38"/>
        <v>36501162.228600241</v>
      </c>
      <c r="N280" s="94">
        <f t="shared" si="38"/>
        <v>35323705.382516362</v>
      </c>
      <c r="O280" s="94">
        <f t="shared" si="38"/>
        <v>34146248.53643249</v>
      </c>
      <c r="P280" s="94">
        <f t="shared" si="38"/>
        <v>32968791.690348607</v>
      </c>
      <c r="Q280" s="94">
        <f t="shared" si="38"/>
        <v>31791334.844264727</v>
      </c>
    </row>
    <row r="281" spans="2:17" x14ac:dyDescent="0.2">
      <c r="B281" s="90" t="str">
        <f t="shared" si="39"/>
        <v>ESTACIONES REDUCTORAS DE PRESIÓN</v>
      </c>
      <c r="C281" s="90">
        <f t="shared" si="39"/>
        <v>25</v>
      </c>
      <c r="D281" s="95">
        <f t="shared" si="39"/>
        <v>2</v>
      </c>
      <c r="E281" s="96">
        <f t="shared" si="39"/>
        <v>501620585.24212873</v>
      </c>
      <c r="F281" s="93">
        <f>+VLOOKUP(C281,'INV POIR PPERDIDAS'!$C$4:$F$123,4,FALSE)</f>
        <v>35</v>
      </c>
      <c r="G281" s="94" t="str">
        <f t="shared" si="35"/>
        <v/>
      </c>
      <c r="H281" s="94">
        <f t="shared" si="38"/>
        <v>0</v>
      </c>
      <c r="I281" s="94">
        <f t="shared" si="38"/>
        <v>0</v>
      </c>
      <c r="J281" s="94">
        <f t="shared" si="38"/>
        <v>45145852.671791583</v>
      </c>
      <c r="K281" s="94">
        <f t="shared" si="38"/>
        <v>43855971.166883253</v>
      </c>
      <c r="L281" s="94">
        <f t="shared" si="38"/>
        <v>42566089.661974922</v>
      </c>
      <c r="M281" s="94">
        <f t="shared" si="38"/>
        <v>41276208.157066591</v>
      </c>
      <c r="N281" s="94">
        <f t="shared" si="38"/>
        <v>39986326.65215826</v>
      </c>
      <c r="O281" s="94">
        <f t="shared" si="38"/>
        <v>38696445.14724993</v>
      </c>
      <c r="P281" s="94">
        <f t="shared" si="38"/>
        <v>37406563.642341591</v>
      </c>
      <c r="Q281" s="94">
        <f t="shared" si="38"/>
        <v>36116682.137433261</v>
      </c>
    </row>
    <row r="282" spans="2:17" x14ac:dyDescent="0.2">
      <c r="B282" s="90" t="str">
        <f t="shared" si="39"/>
        <v>ESTACIONES REDUCTORAS DE PRESIÓN</v>
      </c>
      <c r="C282" s="90">
        <f t="shared" si="39"/>
        <v>26</v>
      </c>
      <c r="D282" s="95">
        <f t="shared" si="39"/>
        <v>3</v>
      </c>
      <c r="E282" s="96">
        <f t="shared" si="39"/>
        <v>338636003.59959525</v>
      </c>
      <c r="F282" s="93">
        <f>+VLOOKUP(C282,'INV POIR PPERDIDAS'!$C$4:$F$123,4,FALSE)</f>
        <v>35</v>
      </c>
      <c r="G282" s="94" t="str">
        <f t="shared" si="35"/>
        <v/>
      </c>
      <c r="H282" s="94">
        <f t="shared" si="38"/>
        <v>0</v>
      </c>
      <c r="I282" s="94">
        <f t="shared" si="38"/>
        <v>0</v>
      </c>
      <c r="J282" s="94">
        <f t="shared" si="38"/>
        <v>0</v>
      </c>
      <c r="K282" s="94">
        <f t="shared" si="38"/>
        <v>30477240.323963571</v>
      </c>
      <c r="L282" s="94">
        <f t="shared" si="38"/>
        <v>29606462.028993182</v>
      </c>
      <c r="M282" s="94">
        <f t="shared" si="38"/>
        <v>28735683.734022792</v>
      </c>
      <c r="N282" s="94">
        <f t="shared" si="38"/>
        <v>27864905.439052403</v>
      </c>
      <c r="O282" s="94">
        <f t="shared" si="38"/>
        <v>26994127.144082014</v>
      </c>
      <c r="P282" s="94">
        <f t="shared" si="38"/>
        <v>26123348.849111628</v>
      </c>
      <c r="Q282" s="94">
        <f t="shared" si="38"/>
        <v>25252570.554141238</v>
      </c>
    </row>
    <row r="283" spans="2:17" x14ac:dyDescent="0.2">
      <c r="B283" s="90" t="str">
        <f t="shared" si="39"/>
        <v>ESTACIONES REDUCTORAS DE PRESIÓN</v>
      </c>
      <c r="C283" s="90">
        <f t="shared" si="39"/>
        <v>27</v>
      </c>
      <c r="D283" s="95">
        <f t="shared" si="39"/>
        <v>4</v>
      </c>
      <c r="E283" s="96">
        <f t="shared" si="39"/>
        <v>42948911.034252018</v>
      </c>
      <c r="F283" s="93">
        <f>+VLOOKUP(C283,'INV POIR PPERDIDAS'!$C$4:$F$123,4,FALSE)</f>
        <v>35</v>
      </c>
      <c r="G283" s="94" t="str">
        <f t="shared" si="35"/>
        <v/>
      </c>
      <c r="H283" s="94">
        <f t="shared" si="38"/>
        <v>0</v>
      </c>
      <c r="I283" s="94">
        <f t="shared" si="38"/>
        <v>0</v>
      </c>
      <c r="J283" s="94">
        <f t="shared" si="38"/>
        <v>0</v>
      </c>
      <c r="K283" s="94">
        <f t="shared" si="38"/>
        <v>0</v>
      </c>
      <c r="L283" s="94">
        <f t="shared" si="38"/>
        <v>3865401.9930826817</v>
      </c>
      <c r="M283" s="94">
        <f t="shared" si="38"/>
        <v>3754961.936137462</v>
      </c>
      <c r="N283" s="94">
        <f t="shared" si="38"/>
        <v>3644521.8791922429</v>
      </c>
      <c r="O283" s="94">
        <f t="shared" si="38"/>
        <v>3534081.8222470237</v>
      </c>
      <c r="P283" s="94">
        <f t="shared" si="38"/>
        <v>3423641.7653018045</v>
      </c>
      <c r="Q283" s="94">
        <f t="shared" si="38"/>
        <v>3313201.7083565854</v>
      </c>
    </row>
    <row r="284" spans="2:17" x14ac:dyDescent="0.2">
      <c r="B284" s="90" t="str">
        <f t="shared" si="39"/>
        <v>ESTACIONES REDUCTORAS DE PRESIÓN</v>
      </c>
      <c r="C284" s="90">
        <f t="shared" si="39"/>
        <v>28</v>
      </c>
      <c r="D284" s="95">
        <f t="shared" si="39"/>
        <v>5</v>
      </c>
      <c r="E284" s="96">
        <f t="shared" si="39"/>
        <v>49309651.718624085</v>
      </c>
      <c r="F284" s="93">
        <f>+VLOOKUP(C284,'INV POIR PPERDIDAS'!$C$4:$F$123,4,FALSE)</f>
        <v>35</v>
      </c>
      <c r="G284" s="94" t="str">
        <f t="shared" si="35"/>
        <v/>
      </c>
      <c r="H284" s="94">
        <f t="shared" si="38"/>
        <v>0</v>
      </c>
      <c r="I284" s="94">
        <f t="shared" si="38"/>
        <v>0</v>
      </c>
      <c r="J284" s="94">
        <f t="shared" si="38"/>
        <v>0</v>
      </c>
      <c r="K284" s="94">
        <f t="shared" si="38"/>
        <v>0</v>
      </c>
      <c r="L284" s="94">
        <f t="shared" si="38"/>
        <v>0</v>
      </c>
      <c r="M284" s="94">
        <f t="shared" si="38"/>
        <v>4437868.6546761673</v>
      </c>
      <c r="N284" s="94">
        <f t="shared" si="38"/>
        <v>4311072.4073997056</v>
      </c>
      <c r="O284" s="94">
        <f t="shared" si="38"/>
        <v>4184276.1601232444</v>
      </c>
      <c r="P284" s="94">
        <f t="shared" si="38"/>
        <v>4057479.9128467827</v>
      </c>
      <c r="Q284" s="94">
        <f t="shared" si="38"/>
        <v>3930683.665570321</v>
      </c>
    </row>
    <row r="285" spans="2:17" x14ac:dyDescent="0.2">
      <c r="B285" s="90" t="str">
        <f t="shared" si="39"/>
        <v>ESTACIONES REDUCTORAS DE PRESIÓN</v>
      </c>
      <c r="C285" s="90">
        <f t="shared" si="39"/>
        <v>29</v>
      </c>
      <c r="D285" s="95">
        <f t="shared" si="39"/>
        <v>6</v>
      </c>
      <c r="E285" s="96">
        <f t="shared" si="39"/>
        <v>0</v>
      </c>
      <c r="F285" s="93">
        <f>+VLOOKUP(C285,'INV POIR PPERDIDAS'!$C$4:$F$123,4,FALSE)</f>
        <v>35</v>
      </c>
      <c r="G285" s="94" t="str">
        <f t="shared" si="35"/>
        <v/>
      </c>
      <c r="H285" s="94">
        <f t="shared" si="38"/>
        <v>0</v>
      </c>
      <c r="I285" s="94">
        <f t="shared" si="38"/>
        <v>0</v>
      </c>
      <c r="J285" s="94">
        <f t="shared" si="38"/>
        <v>0</v>
      </c>
      <c r="K285" s="94">
        <f t="shared" si="38"/>
        <v>0</v>
      </c>
      <c r="L285" s="94">
        <f t="shared" si="38"/>
        <v>0</v>
      </c>
      <c r="M285" s="94">
        <f t="shared" si="38"/>
        <v>0</v>
      </c>
      <c r="N285" s="94">
        <f t="shared" si="38"/>
        <v>0</v>
      </c>
      <c r="O285" s="94">
        <f t="shared" si="38"/>
        <v>0</v>
      </c>
      <c r="P285" s="94">
        <f t="shared" si="38"/>
        <v>0</v>
      </c>
      <c r="Q285" s="94">
        <f t="shared" si="38"/>
        <v>0</v>
      </c>
    </row>
    <row r="286" spans="2:17" x14ac:dyDescent="0.2">
      <c r="B286" s="90" t="str">
        <f t="shared" si="39"/>
        <v>ESTACIONES REDUCTORAS DE PRESIÓN</v>
      </c>
      <c r="C286" s="90">
        <f t="shared" si="39"/>
        <v>30</v>
      </c>
      <c r="D286" s="95">
        <f t="shared" si="39"/>
        <v>7</v>
      </c>
      <c r="E286" s="96">
        <f t="shared" si="39"/>
        <v>0</v>
      </c>
      <c r="F286" s="93">
        <f>+VLOOKUP(C286,'INV POIR PPERDIDAS'!$C$4:$F$123,4,FALSE)</f>
        <v>35</v>
      </c>
      <c r="G286" s="94" t="str">
        <f t="shared" si="35"/>
        <v/>
      </c>
      <c r="H286" s="94">
        <f t="shared" si="38"/>
        <v>0</v>
      </c>
      <c r="I286" s="94">
        <f t="shared" si="38"/>
        <v>0</v>
      </c>
      <c r="J286" s="94">
        <f t="shared" si="38"/>
        <v>0</v>
      </c>
      <c r="K286" s="94">
        <f t="shared" si="38"/>
        <v>0</v>
      </c>
      <c r="L286" s="94">
        <f t="shared" si="38"/>
        <v>0</v>
      </c>
      <c r="M286" s="94">
        <f t="shared" si="38"/>
        <v>0</v>
      </c>
      <c r="N286" s="94">
        <f t="shared" si="38"/>
        <v>0</v>
      </c>
      <c r="O286" s="94">
        <f t="shared" si="38"/>
        <v>0</v>
      </c>
      <c r="P286" s="94">
        <f t="shared" si="38"/>
        <v>0</v>
      </c>
      <c r="Q286" s="94">
        <f t="shared" si="38"/>
        <v>0</v>
      </c>
    </row>
    <row r="287" spans="2:17" x14ac:dyDescent="0.2">
      <c r="B287" s="90" t="str">
        <f t="shared" si="39"/>
        <v>ESTACIONES REDUCTORAS DE PRESIÓN</v>
      </c>
      <c r="C287" s="90">
        <f t="shared" si="39"/>
        <v>31</v>
      </c>
      <c r="D287" s="95">
        <f t="shared" si="39"/>
        <v>8</v>
      </c>
      <c r="E287" s="96">
        <f t="shared" si="39"/>
        <v>0</v>
      </c>
      <c r="F287" s="93">
        <f>+VLOOKUP(C287,'INV POIR PPERDIDAS'!$C$4:$F$123,4,FALSE)</f>
        <v>35</v>
      </c>
      <c r="G287" s="94" t="str">
        <f t="shared" si="35"/>
        <v/>
      </c>
      <c r="H287" s="94">
        <f t="shared" si="38"/>
        <v>0</v>
      </c>
      <c r="I287" s="94">
        <f t="shared" si="38"/>
        <v>0</v>
      </c>
      <c r="J287" s="94">
        <f t="shared" si="38"/>
        <v>0</v>
      </c>
      <c r="K287" s="94">
        <f t="shared" si="38"/>
        <v>0</v>
      </c>
      <c r="L287" s="94">
        <f t="shared" si="38"/>
        <v>0</v>
      </c>
      <c r="M287" s="94">
        <f t="shared" si="38"/>
        <v>0</v>
      </c>
      <c r="N287" s="94">
        <f t="shared" si="38"/>
        <v>0</v>
      </c>
      <c r="O287" s="94">
        <f t="shared" si="38"/>
        <v>0</v>
      </c>
      <c r="P287" s="94">
        <f t="shared" si="38"/>
        <v>0</v>
      </c>
      <c r="Q287" s="94">
        <f t="shared" si="38"/>
        <v>0</v>
      </c>
    </row>
    <row r="288" spans="2:17" x14ac:dyDescent="0.2">
      <c r="B288" s="90" t="str">
        <f t="shared" si="39"/>
        <v>ESTACIONES REDUCTORAS DE PRESIÓN</v>
      </c>
      <c r="C288" s="90">
        <f t="shared" si="39"/>
        <v>32</v>
      </c>
      <c r="D288" s="95">
        <f t="shared" si="39"/>
        <v>9</v>
      </c>
      <c r="E288" s="96">
        <f t="shared" si="39"/>
        <v>0</v>
      </c>
      <c r="F288" s="93">
        <f>+VLOOKUP(C288,'INV POIR PPERDIDAS'!$C$4:$F$123,4,FALSE)</f>
        <v>35</v>
      </c>
      <c r="G288" s="94" t="str">
        <f t="shared" si="35"/>
        <v/>
      </c>
      <c r="H288" s="94">
        <f t="shared" si="38"/>
        <v>0</v>
      </c>
      <c r="I288" s="94">
        <f t="shared" si="38"/>
        <v>0</v>
      </c>
      <c r="J288" s="94">
        <f t="shared" si="38"/>
        <v>0</v>
      </c>
      <c r="K288" s="94">
        <f t="shared" si="38"/>
        <v>0</v>
      </c>
      <c r="L288" s="94">
        <f t="shared" si="38"/>
        <v>0</v>
      </c>
      <c r="M288" s="94">
        <f t="shared" si="38"/>
        <v>0</v>
      </c>
      <c r="N288" s="94">
        <f t="shared" si="38"/>
        <v>0</v>
      </c>
      <c r="O288" s="94">
        <f t="shared" si="38"/>
        <v>0</v>
      </c>
      <c r="P288" s="94">
        <f t="shared" si="38"/>
        <v>0</v>
      </c>
      <c r="Q288" s="94">
        <f t="shared" si="38"/>
        <v>0</v>
      </c>
    </row>
    <row r="289" spans="2:17" x14ac:dyDescent="0.2">
      <c r="B289" s="90" t="str">
        <f t="shared" si="39"/>
        <v>ESTACIONES REDUCTORAS DE PRESIÓN</v>
      </c>
      <c r="C289" s="90">
        <f t="shared" si="39"/>
        <v>33</v>
      </c>
      <c r="D289" s="95">
        <f t="shared" si="39"/>
        <v>10</v>
      </c>
      <c r="E289" s="96">
        <f t="shared" si="39"/>
        <v>0</v>
      </c>
      <c r="F289" s="93">
        <f>+VLOOKUP(C289,'INV POIR PPERDIDAS'!$C$4:$F$123,4,FALSE)</f>
        <v>35</v>
      </c>
      <c r="G289" s="94" t="str">
        <f t="shared" si="35"/>
        <v/>
      </c>
      <c r="H289" s="94">
        <f t="shared" ref="H289:Q304" si="40">+IFERROR(IF($D41&gt;H$132,0,G165*$C$3),"")</f>
        <v>0</v>
      </c>
      <c r="I289" s="94">
        <f t="shared" si="40"/>
        <v>0</v>
      </c>
      <c r="J289" s="94">
        <f t="shared" si="40"/>
        <v>0</v>
      </c>
      <c r="K289" s="94">
        <f t="shared" si="40"/>
        <v>0</v>
      </c>
      <c r="L289" s="94">
        <f t="shared" si="40"/>
        <v>0</v>
      </c>
      <c r="M289" s="94">
        <f t="shared" si="40"/>
        <v>0</v>
      </c>
      <c r="N289" s="94">
        <f t="shared" si="40"/>
        <v>0</v>
      </c>
      <c r="O289" s="94">
        <f t="shared" si="40"/>
        <v>0</v>
      </c>
      <c r="P289" s="94">
        <f t="shared" si="40"/>
        <v>0</v>
      </c>
      <c r="Q289" s="94">
        <f t="shared" si="40"/>
        <v>0</v>
      </c>
    </row>
    <row r="290" spans="2:17" x14ac:dyDescent="0.2">
      <c r="B290" s="90" t="str">
        <f t="shared" ref="B290:E305" si="41">+B166</f>
        <v>REHABILITACIÓN TANQUES</v>
      </c>
      <c r="C290" s="90">
        <f t="shared" si="41"/>
        <v>34</v>
      </c>
      <c r="D290" s="95">
        <f t="shared" si="41"/>
        <v>0</v>
      </c>
      <c r="E290" s="96">
        <f t="shared" si="41"/>
        <v>0</v>
      </c>
      <c r="F290" s="93">
        <f>+VLOOKUP(C290,'INV POIR PPERDIDAS'!$C$4:$F$123,4,FALSE)</f>
        <v>45</v>
      </c>
      <c r="G290" s="94">
        <f t="shared" si="35"/>
        <v>4.05</v>
      </c>
      <c r="H290" s="94">
        <f t="shared" si="40"/>
        <v>0</v>
      </c>
      <c r="I290" s="94">
        <f t="shared" si="40"/>
        <v>0</v>
      </c>
      <c r="J290" s="94">
        <f t="shared" si="40"/>
        <v>0</v>
      </c>
      <c r="K290" s="94">
        <f t="shared" si="40"/>
        <v>0</v>
      </c>
      <c r="L290" s="94">
        <f t="shared" si="40"/>
        <v>0</v>
      </c>
      <c r="M290" s="94">
        <f t="shared" si="40"/>
        <v>0</v>
      </c>
      <c r="N290" s="94">
        <f t="shared" si="40"/>
        <v>0</v>
      </c>
      <c r="O290" s="94">
        <f t="shared" si="40"/>
        <v>0</v>
      </c>
      <c r="P290" s="94">
        <f t="shared" si="40"/>
        <v>0</v>
      </c>
      <c r="Q290" s="94">
        <f t="shared" si="40"/>
        <v>0</v>
      </c>
    </row>
    <row r="291" spans="2:17" x14ac:dyDescent="0.2">
      <c r="B291" s="90" t="str">
        <f t="shared" si="41"/>
        <v>REHABILITACIÓN TANQUES</v>
      </c>
      <c r="C291" s="90">
        <f t="shared" si="41"/>
        <v>35</v>
      </c>
      <c r="D291" s="95">
        <f t="shared" si="41"/>
        <v>1</v>
      </c>
      <c r="E291" s="96">
        <f t="shared" si="41"/>
        <v>3694767.6620469596</v>
      </c>
      <c r="F291" s="93">
        <f>+VLOOKUP(C291,'INV POIR PPERDIDAS'!$C$4:$F$123,4,FALSE)</f>
        <v>45</v>
      </c>
      <c r="G291" s="94" t="str">
        <f t="shared" si="35"/>
        <v/>
      </c>
      <c r="H291" s="94">
        <f t="shared" si="40"/>
        <v>0</v>
      </c>
      <c r="I291" s="94">
        <f t="shared" si="40"/>
        <v>332529.08958422637</v>
      </c>
      <c r="J291" s="94">
        <f t="shared" si="40"/>
        <v>325139.55426013243</v>
      </c>
      <c r="K291" s="94">
        <f t="shared" si="40"/>
        <v>317750.01893603854</v>
      </c>
      <c r="L291" s="94">
        <f t="shared" si="40"/>
        <v>310360.4836119446</v>
      </c>
      <c r="M291" s="94">
        <f t="shared" si="40"/>
        <v>302970.94828785065</v>
      </c>
      <c r="N291" s="94">
        <f t="shared" si="40"/>
        <v>295581.41296375677</v>
      </c>
      <c r="O291" s="94">
        <f t="shared" si="40"/>
        <v>288191.87763966282</v>
      </c>
      <c r="P291" s="94">
        <f t="shared" si="40"/>
        <v>280802.34231556894</v>
      </c>
      <c r="Q291" s="94">
        <f t="shared" si="40"/>
        <v>273412.80699147499</v>
      </c>
    </row>
    <row r="292" spans="2:17" x14ac:dyDescent="0.2">
      <c r="B292" s="90" t="str">
        <f t="shared" si="41"/>
        <v>REHABILITACIÓN TANQUES</v>
      </c>
      <c r="C292" s="90">
        <f t="shared" si="41"/>
        <v>36</v>
      </c>
      <c r="D292" s="95">
        <f t="shared" si="41"/>
        <v>2</v>
      </c>
      <c r="E292" s="96">
        <f t="shared" si="41"/>
        <v>23580680.525948294</v>
      </c>
      <c r="F292" s="93">
        <f>+VLOOKUP(C292,'INV POIR PPERDIDAS'!$C$4:$F$123,4,FALSE)</f>
        <v>45</v>
      </c>
      <c r="G292" s="94" t="str">
        <f t="shared" si="35"/>
        <v/>
      </c>
      <c r="H292" s="94">
        <f t="shared" si="40"/>
        <v>0</v>
      </c>
      <c r="I292" s="94">
        <f t="shared" si="40"/>
        <v>0</v>
      </c>
      <c r="J292" s="94">
        <f t="shared" si="40"/>
        <v>2122261.2473353464</v>
      </c>
      <c r="K292" s="94">
        <f t="shared" si="40"/>
        <v>2075099.8862834496</v>
      </c>
      <c r="L292" s="94">
        <f t="shared" si="40"/>
        <v>2027938.5252315528</v>
      </c>
      <c r="M292" s="94">
        <f t="shared" si="40"/>
        <v>1980777.1641796562</v>
      </c>
      <c r="N292" s="94">
        <f t="shared" si="40"/>
        <v>1933615.8031277594</v>
      </c>
      <c r="O292" s="94">
        <f t="shared" si="40"/>
        <v>1886454.4420758625</v>
      </c>
      <c r="P292" s="94">
        <f t="shared" si="40"/>
        <v>1839293.081023966</v>
      </c>
      <c r="Q292" s="94">
        <f t="shared" si="40"/>
        <v>1792131.7199720691</v>
      </c>
    </row>
    <row r="293" spans="2:17" x14ac:dyDescent="0.2">
      <c r="B293" s="90" t="str">
        <f t="shared" si="41"/>
        <v>REHABILITACIÓN TANQUES</v>
      </c>
      <c r="C293" s="90">
        <f t="shared" si="41"/>
        <v>37</v>
      </c>
      <c r="D293" s="95">
        <f t="shared" si="41"/>
        <v>3</v>
      </c>
      <c r="E293" s="96">
        <f t="shared" si="41"/>
        <v>20159531.161544681</v>
      </c>
      <c r="F293" s="93">
        <f>+VLOOKUP(C293,'INV POIR PPERDIDAS'!$C$4:$F$123,4,FALSE)</f>
        <v>45</v>
      </c>
      <c r="G293" s="94" t="str">
        <f t="shared" si="35"/>
        <v/>
      </c>
      <c r="H293" s="94">
        <f t="shared" si="40"/>
        <v>0</v>
      </c>
      <c r="I293" s="94">
        <f t="shared" si="40"/>
        <v>0</v>
      </c>
      <c r="J293" s="94">
        <f t="shared" si="40"/>
        <v>0</v>
      </c>
      <c r="K293" s="94">
        <f t="shared" si="40"/>
        <v>1814357.8045390211</v>
      </c>
      <c r="L293" s="94">
        <f t="shared" si="40"/>
        <v>1774038.7422159316</v>
      </c>
      <c r="M293" s="94">
        <f t="shared" si="40"/>
        <v>1733719.6798928424</v>
      </c>
      <c r="N293" s="94">
        <f t="shared" si="40"/>
        <v>1693400.617569753</v>
      </c>
      <c r="O293" s="94">
        <f t="shared" si="40"/>
        <v>1653081.5552466635</v>
      </c>
      <c r="P293" s="94">
        <f t="shared" si="40"/>
        <v>1612762.4929235741</v>
      </c>
      <c r="Q293" s="94">
        <f t="shared" si="40"/>
        <v>1572443.4306004846</v>
      </c>
    </row>
    <row r="294" spans="2:17" x14ac:dyDescent="0.2">
      <c r="B294" s="90" t="str">
        <f t="shared" si="41"/>
        <v>REHABILITACIÓN TANQUES</v>
      </c>
      <c r="C294" s="90">
        <f t="shared" si="41"/>
        <v>38</v>
      </c>
      <c r="D294" s="95">
        <f t="shared" si="41"/>
        <v>4</v>
      </c>
      <c r="E294" s="96">
        <f t="shared" si="41"/>
        <v>23740256.842132706</v>
      </c>
      <c r="F294" s="93">
        <f>+VLOOKUP(C294,'INV POIR PPERDIDAS'!$C$4:$F$123,4,FALSE)</f>
        <v>45</v>
      </c>
      <c r="G294" s="94" t="str">
        <f t="shared" si="35"/>
        <v/>
      </c>
      <c r="H294" s="94">
        <f t="shared" si="40"/>
        <v>0</v>
      </c>
      <c r="I294" s="94">
        <f t="shared" si="40"/>
        <v>0</v>
      </c>
      <c r="J294" s="94">
        <f t="shared" si="40"/>
        <v>0</v>
      </c>
      <c r="K294" s="94">
        <f t="shared" si="40"/>
        <v>0</v>
      </c>
      <c r="L294" s="94">
        <f t="shared" si="40"/>
        <v>2136623.1157919434</v>
      </c>
      <c r="M294" s="94">
        <f t="shared" si="40"/>
        <v>2089142.6021076781</v>
      </c>
      <c r="N294" s="94">
        <f t="shared" si="40"/>
        <v>2041662.0884234128</v>
      </c>
      <c r="O294" s="94">
        <f t="shared" si="40"/>
        <v>1994181.5747391474</v>
      </c>
      <c r="P294" s="94">
        <f t="shared" si="40"/>
        <v>1946701.0610548821</v>
      </c>
      <c r="Q294" s="94">
        <f t="shared" si="40"/>
        <v>1899220.5473706168</v>
      </c>
    </row>
    <row r="295" spans="2:17" x14ac:dyDescent="0.2">
      <c r="B295" s="90" t="str">
        <f t="shared" si="41"/>
        <v>REHABILITACIÓN TANQUES</v>
      </c>
      <c r="C295" s="90">
        <f t="shared" si="41"/>
        <v>39</v>
      </c>
      <c r="D295" s="95">
        <f t="shared" si="41"/>
        <v>5</v>
      </c>
      <c r="E295" s="96">
        <f t="shared" si="41"/>
        <v>6055019.8655763008</v>
      </c>
      <c r="F295" s="93">
        <f>+VLOOKUP(C295,'INV POIR PPERDIDAS'!$C$4:$F$123,4,FALSE)</f>
        <v>45</v>
      </c>
      <c r="G295" s="94" t="str">
        <f t="shared" si="35"/>
        <v/>
      </c>
      <c r="H295" s="94">
        <f t="shared" si="40"/>
        <v>0</v>
      </c>
      <c r="I295" s="94">
        <f t="shared" si="40"/>
        <v>0</v>
      </c>
      <c r="J295" s="94">
        <f t="shared" si="40"/>
        <v>0</v>
      </c>
      <c r="K295" s="94">
        <f t="shared" si="40"/>
        <v>0</v>
      </c>
      <c r="L295" s="94">
        <f t="shared" si="40"/>
        <v>0</v>
      </c>
      <c r="M295" s="94">
        <f t="shared" si="40"/>
        <v>544951.78790186706</v>
      </c>
      <c r="N295" s="94">
        <f t="shared" si="40"/>
        <v>532841.74817071436</v>
      </c>
      <c r="O295" s="94">
        <f t="shared" si="40"/>
        <v>520731.70843956177</v>
      </c>
      <c r="P295" s="94">
        <f t="shared" si="40"/>
        <v>508621.66870840912</v>
      </c>
      <c r="Q295" s="94">
        <f t="shared" si="40"/>
        <v>496511.62897725654</v>
      </c>
    </row>
    <row r="296" spans="2:17" x14ac:dyDescent="0.2">
      <c r="B296" s="90" t="str">
        <f t="shared" si="41"/>
        <v>REHABILITACIÓN TANQUES</v>
      </c>
      <c r="C296" s="90">
        <f t="shared" si="41"/>
        <v>40</v>
      </c>
      <c r="D296" s="95">
        <f t="shared" si="41"/>
        <v>6</v>
      </c>
      <c r="E296" s="96">
        <f t="shared" si="41"/>
        <v>8363307.6816903232</v>
      </c>
      <c r="F296" s="93">
        <f>+VLOOKUP(C296,'INV POIR PPERDIDAS'!$C$4:$F$123,4,FALSE)</f>
        <v>45</v>
      </c>
      <c r="G296" s="94" t="str">
        <f t="shared" si="35"/>
        <v/>
      </c>
      <c r="H296" s="94">
        <f t="shared" si="40"/>
        <v>0</v>
      </c>
      <c r="I296" s="94">
        <f t="shared" si="40"/>
        <v>0</v>
      </c>
      <c r="J296" s="94">
        <f t="shared" si="40"/>
        <v>0</v>
      </c>
      <c r="K296" s="94">
        <f t="shared" si="40"/>
        <v>0</v>
      </c>
      <c r="L296" s="94">
        <f t="shared" si="40"/>
        <v>0</v>
      </c>
      <c r="M296" s="94">
        <f t="shared" si="40"/>
        <v>0</v>
      </c>
      <c r="N296" s="94">
        <f t="shared" si="40"/>
        <v>752697.6913521291</v>
      </c>
      <c r="O296" s="94">
        <f t="shared" si="40"/>
        <v>735971.07598874834</v>
      </c>
      <c r="P296" s="94">
        <f t="shared" si="40"/>
        <v>719244.4606253677</v>
      </c>
      <c r="Q296" s="94">
        <f t="shared" si="40"/>
        <v>702517.84526198707</v>
      </c>
    </row>
    <row r="297" spans="2:17" x14ac:dyDescent="0.2">
      <c r="B297" s="90" t="str">
        <f t="shared" si="41"/>
        <v>REHABILITACIÓN TANQUES</v>
      </c>
      <c r="C297" s="90">
        <f t="shared" si="41"/>
        <v>41</v>
      </c>
      <c r="D297" s="95">
        <f t="shared" si="41"/>
        <v>7</v>
      </c>
      <c r="E297" s="96">
        <f t="shared" si="41"/>
        <v>5080305.5353145692</v>
      </c>
      <c r="F297" s="93">
        <f>+VLOOKUP(C297,'INV POIR PPERDIDAS'!$C$4:$F$123,4,FALSE)</f>
        <v>45</v>
      </c>
      <c r="G297" s="94" t="str">
        <f t="shared" si="35"/>
        <v/>
      </c>
      <c r="H297" s="94">
        <f t="shared" si="40"/>
        <v>0</v>
      </c>
      <c r="I297" s="94">
        <f t="shared" si="40"/>
        <v>0</v>
      </c>
      <c r="J297" s="94">
        <f t="shared" si="40"/>
        <v>0</v>
      </c>
      <c r="K297" s="94">
        <f t="shared" si="40"/>
        <v>0</v>
      </c>
      <c r="L297" s="94">
        <f t="shared" si="40"/>
        <v>0</v>
      </c>
      <c r="M297" s="94">
        <f t="shared" si="40"/>
        <v>0</v>
      </c>
      <c r="N297" s="94">
        <f t="shared" si="40"/>
        <v>0</v>
      </c>
      <c r="O297" s="94">
        <f t="shared" si="40"/>
        <v>457227.49817831122</v>
      </c>
      <c r="P297" s="94">
        <f t="shared" si="40"/>
        <v>447066.88710768207</v>
      </c>
      <c r="Q297" s="94">
        <f t="shared" si="40"/>
        <v>436906.27603705291</v>
      </c>
    </row>
    <row r="298" spans="2:17" x14ac:dyDescent="0.2">
      <c r="B298" s="90" t="str">
        <f t="shared" si="41"/>
        <v>REHABILITACIÓN TANQUES</v>
      </c>
      <c r="C298" s="90">
        <f t="shared" si="41"/>
        <v>42</v>
      </c>
      <c r="D298" s="95">
        <f t="shared" si="41"/>
        <v>8</v>
      </c>
      <c r="E298" s="96">
        <f t="shared" si="41"/>
        <v>5080305.5353145692</v>
      </c>
      <c r="F298" s="93">
        <f>+VLOOKUP(C298,'INV POIR PPERDIDAS'!$C$4:$F$123,4,FALSE)</f>
        <v>45</v>
      </c>
      <c r="G298" s="94" t="str">
        <f t="shared" si="35"/>
        <v/>
      </c>
      <c r="H298" s="94">
        <f t="shared" si="40"/>
        <v>0</v>
      </c>
      <c r="I298" s="94">
        <f t="shared" si="40"/>
        <v>0</v>
      </c>
      <c r="J298" s="94">
        <f t="shared" si="40"/>
        <v>0</v>
      </c>
      <c r="K298" s="94">
        <f t="shared" si="40"/>
        <v>0</v>
      </c>
      <c r="L298" s="94">
        <f t="shared" si="40"/>
        <v>0</v>
      </c>
      <c r="M298" s="94">
        <f t="shared" si="40"/>
        <v>0</v>
      </c>
      <c r="N298" s="94">
        <f t="shared" si="40"/>
        <v>0</v>
      </c>
      <c r="O298" s="94">
        <f t="shared" si="40"/>
        <v>0</v>
      </c>
      <c r="P298" s="94">
        <f t="shared" si="40"/>
        <v>457227.49817831122</v>
      </c>
      <c r="Q298" s="94">
        <f t="shared" si="40"/>
        <v>447066.88710768207</v>
      </c>
    </row>
    <row r="299" spans="2:17" x14ac:dyDescent="0.2">
      <c r="B299" s="90" t="str">
        <f t="shared" si="41"/>
        <v>REHABILITACIÓN TANQUES</v>
      </c>
      <c r="C299" s="90">
        <f t="shared" si="41"/>
        <v>43</v>
      </c>
      <c r="D299" s="95">
        <f t="shared" si="41"/>
        <v>9</v>
      </c>
      <c r="E299" s="96">
        <f t="shared" si="41"/>
        <v>5080305.5353145692</v>
      </c>
      <c r="F299" s="93">
        <f>+VLOOKUP(C299,'INV POIR PPERDIDAS'!$C$4:$F$123,4,FALSE)</f>
        <v>45</v>
      </c>
      <c r="G299" s="94" t="str">
        <f t="shared" si="35"/>
        <v/>
      </c>
      <c r="H299" s="94">
        <f t="shared" si="40"/>
        <v>0</v>
      </c>
      <c r="I299" s="94">
        <f t="shared" si="40"/>
        <v>0</v>
      </c>
      <c r="J299" s="94">
        <f t="shared" si="40"/>
        <v>0</v>
      </c>
      <c r="K299" s="94">
        <f t="shared" si="40"/>
        <v>0</v>
      </c>
      <c r="L299" s="94">
        <f t="shared" si="40"/>
        <v>0</v>
      </c>
      <c r="M299" s="94">
        <f t="shared" si="40"/>
        <v>0</v>
      </c>
      <c r="N299" s="94">
        <f t="shared" si="40"/>
        <v>0</v>
      </c>
      <c r="O299" s="94">
        <f t="shared" si="40"/>
        <v>0</v>
      </c>
      <c r="P299" s="94">
        <f t="shared" si="40"/>
        <v>0</v>
      </c>
      <c r="Q299" s="94">
        <f t="shared" si="40"/>
        <v>457227.49817831122</v>
      </c>
    </row>
    <row r="300" spans="2:17" x14ac:dyDescent="0.2">
      <c r="B300" s="90" t="str">
        <f t="shared" si="41"/>
        <v>REHABILITACIÓN TANQUES</v>
      </c>
      <c r="C300" s="90">
        <f t="shared" si="41"/>
        <v>44</v>
      </c>
      <c r="D300" s="95">
        <f t="shared" si="41"/>
        <v>10</v>
      </c>
      <c r="E300" s="96">
        <f t="shared" si="41"/>
        <v>5080305.5353145692</v>
      </c>
      <c r="F300" s="93">
        <f>+VLOOKUP(C300,'INV POIR PPERDIDAS'!$C$4:$F$123,4,FALSE)</f>
        <v>45</v>
      </c>
      <c r="G300" s="94" t="str">
        <f t="shared" si="35"/>
        <v/>
      </c>
      <c r="H300" s="94">
        <f t="shared" si="40"/>
        <v>0</v>
      </c>
      <c r="I300" s="94">
        <f t="shared" si="40"/>
        <v>0</v>
      </c>
      <c r="J300" s="94">
        <f t="shared" si="40"/>
        <v>0</v>
      </c>
      <c r="K300" s="94">
        <f t="shared" si="40"/>
        <v>0</v>
      </c>
      <c r="L300" s="94">
        <f t="shared" si="40"/>
        <v>0</v>
      </c>
      <c r="M300" s="94">
        <f t="shared" si="40"/>
        <v>0</v>
      </c>
      <c r="N300" s="94">
        <f t="shared" si="40"/>
        <v>0</v>
      </c>
      <c r="O300" s="94">
        <f t="shared" si="40"/>
        <v>0</v>
      </c>
      <c r="P300" s="94">
        <f t="shared" si="40"/>
        <v>0</v>
      </c>
      <c r="Q300" s="94">
        <f t="shared" si="40"/>
        <v>0</v>
      </c>
    </row>
    <row r="301" spans="2:17" x14ac:dyDescent="0.2">
      <c r="B301" s="90" t="str">
        <f t="shared" si="41"/>
        <v>NO SE REQUIERE</v>
      </c>
      <c r="C301" s="90">
        <f t="shared" si="41"/>
        <v>45</v>
      </c>
      <c r="D301" s="95">
        <f t="shared" si="41"/>
        <v>0</v>
      </c>
      <c r="E301" s="96">
        <f t="shared" si="41"/>
        <v>0</v>
      </c>
      <c r="F301" s="93">
        <f>+VLOOKUP(C301,'INV POIR PPERDIDAS'!$C$4:$F$123,4,FALSE)</f>
        <v>1</v>
      </c>
      <c r="G301" s="94">
        <f t="shared" si="35"/>
        <v>0.09</v>
      </c>
      <c r="H301" s="94">
        <f t="shared" si="40"/>
        <v>0</v>
      </c>
      <c r="I301" s="94">
        <f t="shared" si="40"/>
        <v>0</v>
      </c>
      <c r="J301" s="94">
        <f t="shared" si="40"/>
        <v>0</v>
      </c>
      <c r="K301" s="94">
        <f t="shared" si="40"/>
        <v>0</v>
      </c>
      <c r="L301" s="94">
        <f t="shared" si="40"/>
        <v>0</v>
      </c>
      <c r="M301" s="94">
        <f t="shared" si="40"/>
        <v>0</v>
      </c>
      <c r="N301" s="94">
        <f t="shared" si="40"/>
        <v>0</v>
      </c>
      <c r="O301" s="94">
        <f t="shared" si="40"/>
        <v>0</v>
      </c>
      <c r="P301" s="94">
        <f t="shared" si="40"/>
        <v>0</v>
      </c>
      <c r="Q301" s="94">
        <f t="shared" si="40"/>
        <v>0</v>
      </c>
    </row>
    <row r="302" spans="2:17" x14ac:dyDescent="0.2">
      <c r="B302" s="90" t="str">
        <f t="shared" si="41"/>
        <v>NO SE REQUIERE</v>
      </c>
      <c r="C302" s="90">
        <f t="shared" si="41"/>
        <v>46</v>
      </c>
      <c r="D302" s="95">
        <f t="shared" si="41"/>
        <v>1</v>
      </c>
      <c r="E302" s="96">
        <f t="shared" si="41"/>
        <v>182564111.13095859</v>
      </c>
      <c r="F302" s="93">
        <f>+VLOOKUP(C302,'INV POIR PPERDIDAS'!$C$4:$F$123,4,FALSE)</f>
        <v>1</v>
      </c>
      <c r="G302" s="94" t="str">
        <f t="shared" si="35"/>
        <v/>
      </c>
      <c r="H302" s="94">
        <f t="shared" si="40"/>
        <v>0</v>
      </c>
      <c r="I302" s="94">
        <f t="shared" si="40"/>
        <v>16430770.001786273</v>
      </c>
      <c r="J302" s="94">
        <f t="shared" si="40"/>
        <v>0</v>
      </c>
      <c r="K302" s="94">
        <f t="shared" si="40"/>
        <v>-16430770.001786273</v>
      </c>
      <c r="L302" s="94">
        <f t="shared" si="40"/>
        <v>-32861540.003572546</v>
      </c>
      <c r="M302" s="94">
        <f t="shared" si="40"/>
        <v>-49292310.005358823</v>
      </c>
      <c r="N302" s="94">
        <f t="shared" si="40"/>
        <v>-65723080.007145092</v>
      </c>
      <c r="O302" s="94">
        <f t="shared" si="40"/>
        <v>-82153850.008931354</v>
      </c>
      <c r="P302" s="94">
        <f t="shared" si="40"/>
        <v>-98584620.010717645</v>
      </c>
      <c r="Q302" s="94">
        <f t="shared" si="40"/>
        <v>-115015390.01250391</v>
      </c>
    </row>
    <row r="303" spans="2:17" x14ac:dyDescent="0.2">
      <c r="B303" s="90" t="str">
        <f t="shared" si="41"/>
        <v>NO SE REQUIERE</v>
      </c>
      <c r="C303" s="90">
        <f t="shared" si="41"/>
        <v>47</v>
      </c>
      <c r="D303" s="95">
        <f t="shared" si="41"/>
        <v>2</v>
      </c>
      <c r="E303" s="96">
        <f t="shared" si="41"/>
        <v>182564111.13095859</v>
      </c>
      <c r="F303" s="93">
        <f>+VLOOKUP(C303,'INV POIR PPERDIDAS'!$C$4:$F$123,4,FALSE)</f>
        <v>1</v>
      </c>
      <c r="G303" s="94" t="str">
        <f t="shared" si="35"/>
        <v/>
      </c>
      <c r="H303" s="94">
        <f t="shared" si="40"/>
        <v>0</v>
      </c>
      <c r="I303" s="94">
        <f t="shared" si="40"/>
        <v>0</v>
      </c>
      <c r="J303" s="94">
        <f t="shared" si="40"/>
        <v>16430770.001786273</v>
      </c>
      <c r="K303" s="94">
        <f t="shared" si="40"/>
        <v>0</v>
      </c>
      <c r="L303" s="94">
        <f t="shared" si="40"/>
        <v>-16430770.001786273</v>
      </c>
      <c r="M303" s="94">
        <f t="shared" si="40"/>
        <v>-32861540.003572546</v>
      </c>
      <c r="N303" s="94">
        <f t="shared" si="40"/>
        <v>-49292310.005358823</v>
      </c>
      <c r="O303" s="94">
        <f t="shared" si="40"/>
        <v>-65723080.007145092</v>
      </c>
      <c r="P303" s="94">
        <f t="shared" si="40"/>
        <v>-82153850.008931354</v>
      </c>
      <c r="Q303" s="94">
        <f t="shared" si="40"/>
        <v>-98584620.010717645</v>
      </c>
    </row>
    <row r="304" spans="2:17" x14ac:dyDescent="0.2">
      <c r="B304" s="90" t="str">
        <f t="shared" si="41"/>
        <v>NO SE REQUIERE</v>
      </c>
      <c r="C304" s="90">
        <f t="shared" si="41"/>
        <v>48</v>
      </c>
      <c r="D304" s="95">
        <f t="shared" si="41"/>
        <v>3</v>
      </c>
      <c r="E304" s="96">
        <f t="shared" si="41"/>
        <v>182564111.13095859</v>
      </c>
      <c r="F304" s="93">
        <f>+VLOOKUP(C304,'INV POIR PPERDIDAS'!$C$4:$F$123,4,FALSE)</f>
        <v>1</v>
      </c>
      <c r="G304" s="94" t="str">
        <f t="shared" si="35"/>
        <v/>
      </c>
      <c r="H304" s="94">
        <f t="shared" si="40"/>
        <v>0</v>
      </c>
      <c r="I304" s="94">
        <f t="shared" si="40"/>
        <v>0</v>
      </c>
      <c r="J304" s="94">
        <f t="shared" si="40"/>
        <v>0</v>
      </c>
      <c r="K304" s="94">
        <f t="shared" si="40"/>
        <v>16430770.001786273</v>
      </c>
      <c r="L304" s="94">
        <f t="shared" si="40"/>
        <v>0</v>
      </c>
      <c r="M304" s="94">
        <f t="shared" si="40"/>
        <v>-16430770.001786273</v>
      </c>
      <c r="N304" s="94">
        <f t="shared" si="40"/>
        <v>-32861540.003572546</v>
      </c>
      <c r="O304" s="94">
        <f t="shared" si="40"/>
        <v>-49292310.005358823</v>
      </c>
      <c r="P304" s="94">
        <f t="shared" si="40"/>
        <v>-65723080.007145092</v>
      </c>
      <c r="Q304" s="94">
        <f t="shared" si="40"/>
        <v>-82153850.008931354</v>
      </c>
    </row>
    <row r="305" spans="2:17" x14ac:dyDescent="0.2">
      <c r="B305" s="90" t="str">
        <f t="shared" si="41"/>
        <v>NO SE REQUIERE</v>
      </c>
      <c r="C305" s="90">
        <f t="shared" si="41"/>
        <v>49</v>
      </c>
      <c r="D305" s="95">
        <f t="shared" si="41"/>
        <v>4</v>
      </c>
      <c r="E305" s="96">
        <f t="shared" si="41"/>
        <v>182564111.13095859</v>
      </c>
      <c r="F305" s="93">
        <f>+VLOOKUP(C305,'INV POIR PPERDIDAS'!$C$4:$F$123,4,FALSE)</f>
        <v>1</v>
      </c>
      <c r="G305" s="94" t="str">
        <f t="shared" si="35"/>
        <v/>
      </c>
      <c r="H305" s="94">
        <f t="shared" ref="H305:Q320" si="42">+IFERROR(IF($D57&gt;H$132,0,G181*$C$3),"")</f>
        <v>0</v>
      </c>
      <c r="I305" s="94">
        <f t="shared" si="42"/>
        <v>0</v>
      </c>
      <c r="J305" s="94">
        <f t="shared" si="42"/>
        <v>0</v>
      </c>
      <c r="K305" s="94">
        <f t="shared" si="42"/>
        <v>0</v>
      </c>
      <c r="L305" s="94">
        <f t="shared" si="42"/>
        <v>16430770.001786273</v>
      </c>
      <c r="M305" s="94">
        <f t="shared" si="42"/>
        <v>0</v>
      </c>
      <c r="N305" s="94">
        <f t="shared" si="42"/>
        <v>-16430770.001786273</v>
      </c>
      <c r="O305" s="94">
        <f t="shared" si="42"/>
        <v>-32861540.003572546</v>
      </c>
      <c r="P305" s="94">
        <f t="shared" si="42"/>
        <v>-49292310.005358823</v>
      </c>
      <c r="Q305" s="94">
        <f t="shared" si="42"/>
        <v>-65723080.007145092</v>
      </c>
    </row>
    <row r="306" spans="2:17" x14ac:dyDescent="0.2">
      <c r="B306" s="90" t="str">
        <f t="shared" ref="B306:E321" si="43">+B182</f>
        <v>NO SE REQUIERE</v>
      </c>
      <c r="C306" s="90">
        <f t="shared" si="43"/>
        <v>50</v>
      </c>
      <c r="D306" s="95">
        <f t="shared" si="43"/>
        <v>5</v>
      </c>
      <c r="E306" s="96">
        <f t="shared" si="43"/>
        <v>182564111.13095859</v>
      </c>
      <c r="F306" s="93">
        <f>+VLOOKUP(C306,'INV POIR PPERDIDAS'!$C$4:$F$123,4,FALSE)</f>
        <v>1</v>
      </c>
      <c r="G306" s="94" t="str">
        <f t="shared" si="35"/>
        <v/>
      </c>
      <c r="H306" s="94">
        <f t="shared" si="42"/>
        <v>0</v>
      </c>
      <c r="I306" s="94">
        <f t="shared" si="42"/>
        <v>0</v>
      </c>
      <c r="J306" s="94">
        <f t="shared" si="42"/>
        <v>0</v>
      </c>
      <c r="K306" s="94">
        <f t="shared" si="42"/>
        <v>0</v>
      </c>
      <c r="L306" s="94">
        <f t="shared" si="42"/>
        <v>0</v>
      </c>
      <c r="M306" s="94">
        <f t="shared" si="42"/>
        <v>16430770.001786273</v>
      </c>
      <c r="N306" s="94">
        <f t="shared" si="42"/>
        <v>0</v>
      </c>
      <c r="O306" s="94">
        <f t="shared" si="42"/>
        <v>-16430770.001786273</v>
      </c>
      <c r="P306" s="94">
        <f t="shared" si="42"/>
        <v>-32861540.003572546</v>
      </c>
      <c r="Q306" s="94">
        <f t="shared" si="42"/>
        <v>-49292310.005358823</v>
      </c>
    </row>
    <row r="307" spans="2:17" x14ac:dyDescent="0.2">
      <c r="B307" s="90" t="str">
        <f t="shared" si="43"/>
        <v>NO SE REQUIERE</v>
      </c>
      <c r="C307" s="90">
        <f t="shared" si="43"/>
        <v>51</v>
      </c>
      <c r="D307" s="95">
        <f t="shared" si="43"/>
        <v>6</v>
      </c>
      <c r="E307" s="96">
        <f t="shared" si="43"/>
        <v>0</v>
      </c>
      <c r="F307" s="93">
        <f>+VLOOKUP(C307,'INV POIR PPERDIDAS'!$C$4:$F$123,4,FALSE)</f>
        <v>1</v>
      </c>
      <c r="G307" s="94" t="str">
        <f t="shared" si="35"/>
        <v/>
      </c>
      <c r="H307" s="94">
        <f t="shared" si="42"/>
        <v>0</v>
      </c>
      <c r="I307" s="94">
        <f t="shared" si="42"/>
        <v>0</v>
      </c>
      <c r="J307" s="94">
        <f t="shared" si="42"/>
        <v>0</v>
      </c>
      <c r="K307" s="94">
        <f t="shared" si="42"/>
        <v>0</v>
      </c>
      <c r="L307" s="94">
        <f t="shared" si="42"/>
        <v>0</v>
      </c>
      <c r="M307" s="94">
        <f t="shared" si="42"/>
        <v>0</v>
      </c>
      <c r="N307" s="94">
        <f t="shared" si="42"/>
        <v>0</v>
      </c>
      <c r="O307" s="94">
        <f t="shared" si="42"/>
        <v>0</v>
      </c>
      <c r="P307" s="94">
        <f t="shared" si="42"/>
        <v>0</v>
      </c>
      <c r="Q307" s="94">
        <f t="shared" si="42"/>
        <v>0</v>
      </c>
    </row>
    <row r="308" spans="2:17" x14ac:dyDescent="0.2">
      <c r="B308" s="90" t="str">
        <f t="shared" si="43"/>
        <v>NO SE REQUIERE</v>
      </c>
      <c r="C308" s="90">
        <f t="shared" si="43"/>
        <v>52</v>
      </c>
      <c r="D308" s="95">
        <f t="shared" si="43"/>
        <v>7</v>
      </c>
      <c r="E308" s="96">
        <f t="shared" si="43"/>
        <v>0</v>
      </c>
      <c r="F308" s="93">
        <f>+VLOOKUP(C308,'INV POIR PPERDIDAS'!$C$4:$F$123,4,FALSE)</f>
        <v>1</v>
      </c>
      <c r="G308" s="94" t="str">
        <f t="shared" si="35"/>
        <v/>
      </c>
      <c r="H308" s="94">
        <f t="shared" si="42"/>
        <v>0</v>
      </c>
      <c r="I308" s="94">
        <f t="shared" si="42"/>
        <v>0</v>
      </c>
      <c r="J308" s="94">
        <f t="shared" si="42"/>
        <v>0</v>
      </c>
      <c r="K308" s="94">
        <f t="shared" si="42"/>
        <v>0</v>
      </c>
      <c r="L308" s="94">
        <f t="shared" si="42"/>
        <v>0</v>
      </c>
      <c r="M308" s="94">
        <f t="shared" si="42"/>
        <v>0</v>
      </c>
      <c r="N308" s="94">
        <f t="shared" si="42"/>
        <v>0</v>
      </c>
      <c r="O308" s="94">
        <f t="shared" si="42"/>
        <v>0</v>
      </c>
      <c r="P308" s="94">
        <f t="shared" si="42"/>
        <v>0</v>
      </c>
      <c r="Q308" s="94">
        <f t="shared" si="42"/>
        <v>0</v>
      </c>
    </row>
    <row r="309" spans="2:17" x14ac:dyDescent="0.2">
      <c r="B309" s="90" t="str">
        <f t="shared" si="43"/>
        <v>NO SE REQUIERE</v>
      </c>
      <c r="C309" s="90">
        <f t="shared" si="43"/>
        <v>53</v>
      </c>
      <c r="D309" s="95">
        <f t="shared" si="43"/>
        <v>8</v>
      </c>
      <c r="E309" s="96">
        <f t="shared" si="43"/>
        <v>0</v>
      </c>
      <c r="F309" s="93">
        <f>+VLOOKUP(C309,'INV POIR PPERDIDAS'!$C$4:$F$123,4,FALSE)</f>
        <v>1</v>
      </c>
      <c r="G309" s="94" t="str">
        <f t="shared" si="35"/>
        <v/>
      </c>
      <c r="H309" s="94">
        <f t="shared" si="42"/>
        <v>0</v>
      </c>
      <c r="I309" s="94">
        <f t="shared" si="42"/>
        <v>0</v>
      </c>
      <c r="J309" s="94">
        <f t="shared" si="42"/>
        <v>0</v>
      </c>
      <c r="K309" s="94">
        <f t="shared" si="42"/>
        <v>0</v>
      </c>
      <c r="L309" s="94">
        <f t="shared" si="42"/>
        <v>0</v>
      </c>
      <c r="M309" s="94">
        <f t="shared" si="42"/>
        <v>0</v>
      </c>
      <c r="N309" s="94">
        <f t="shared" si="42"/>
        <v>0</v>
      </c>
      <c r="O309" s="94">
        <f t="shared" si="42"/>
        <v>0</v>
      </c>
      <c r="P309" s="94">
        <f t="shared" si="42"/>
        <v>0</v>
      </c>
      <c r="Q309" s="94">
        <f t="shared" si="42"/>
        <v>0</v>
      </c>
    </row>
    <row r="310" spans="2:17" x14ac:dyDescent="0.2">
      <c r="B310" s="90" t="str">
        <f t="shared" si="43"/>
        <v>NO SE REQUIERE</v>
      </c>
      <c r="C310" s="90">
        <f t="shared" si="43"/>
        <v>54</v>
      </c>
      <c r="D310" s="95">
        <f t="shared" si="43"/>
        <v>9</v>
      </c>
      <c r="E310" s="96">
        <f t="shared" si="43"/>
        <v>0</v>
      </c>
      <c r="F310" s="93">
        <f>+VLOOKUP(C310,'INV POIR PPERDIDAS'!$C$4:$F$123,4,FALSE)</f>
        <v>1</v>
      </c>
      <c r="G310" s="94" t="str">
        <f t="shared" si="35"/>
        <v/>
      </c>
      <c r="H310" s="94">
        <f t="shared" si="42"/>
        <v>0</v>
      </c>
      <c r="I310" s="94">
        <f t="shared" si="42"/>
        <v>0</v>
      </c>
      <c r="J310" s="94">
        <f t="shared" si="42"/>
        <v>0</v>
      </c>
      <c r="K310" s="94">
        <f t="shared" si="42"/>
        <v>0</v>
      </c>
      <c r="L310" s="94">
        <f t="shared" si="42"/>
        <v>0</v>
      </c>
      <c r="M310" s="94">
        <f t="shared" si="42"/>
        <v>0</v>
      </c>
      <c r="N310" s="94">
        <f t="shared" si="42"/>
        <v>0</v>
      </c>
      <c r="O310" s="94">
        <f t="shared" si="42"/>
        <v>0</v>
      </c>
      <c r="P310" s="94">
        <f t="shared" si="42"/>
        <v>0</v>
      </c>
      <c r="Q310" s="94">
        <f t="shared" si="42"/>
        <v>0</v>
      </c>
    </row>
    <row r="311" spans="2:17" x14ac:dyDescent="0.2">
      <c r="B311" s="90" t="str">
        <f t="shared" si="43"/>
        <v>NO SE REQUIERE</v>
      </c>
      <c r="C311" s="90">
        <f t="shared" si="43"/>
        <v>55</v>
      </c>
      <c r="D311" s="95">
        <f t="shared" si="43"/>
        <v>10</v>
      </c>
      <c r="E311" s="96">
        <f t="shared" si="43"/>
        <v>0</v>
      </c>
      <c r="F311" s="93">
        <f>+VLOOKUP(C311,'INV POIR PPERDIDAS'!$C$4:$F$123,4,FALSE)</f>
        <v>1</v>
      </c>
      <c r="G311" s="94" t="str">
        <f t="shared" si="35"/>
        <v/>
      </c>
      <c r="H311" s="94">
        <f t="shared" si="42"/>
        <v>0</v>
      </c>
      <c r="I311" s="94">
        <f t="shared" si="42"/>
        <v>0</v>
      </c>
      <c r="J311" s="94">
        <f t="shared" si="42"/>
        <v>0</v>
      </c>
      <c r="K311" s="94">
        <f t="shared" si="42"/>
        <v>0</v>
      </c>
      <c r="L311" s="94">
        <f t="shared" si="42"/>
        <v>0</v>
      </c>
      <c r="M311" s="94">
        <f t="shared" si="42"/>
        <v>0</v>
      </c>
      <c r="N311" s="94">
        <f t="shared" si="42"/>
        <v>0</v>
      </c>
      <c r="O311" s="94">
        <f t="shared" si="42"/>
        <v>0</v>
      </c>
      <c r="P311" s="94">
        <f t="shared" si="42"/>
        <v>0</v>
      </c>
      <c r="Q311" s="94">
        <f t="shared" si="42"/>
        <v>0</v>
      </c>
    </row>
    <row r="312" spans="2:17" x14ac:dyDescent="0.2">
      <c r="B312" s="90" t="str">
        <f t="shared" si="43"/>
        <v>REHABILITACIÓN REDES</v>
      </c>
      <c r="C312" s="90">
        <f t="shared" si="43"/>
        <v>56</v>
      </c>
      <c r="D312" s="95">
        <f t="shared" si="43"/>
        <v>0</v>
      </c>
      <c r="E312" s="96">
        <f t="shared" si="43"/>
        <v>0</v>
      </c>
      <c r="F312" s="93">
        <f>+VLOOKUP(C312,'INV POIR PPERDIDAS'!$C$4:$F$123,4,FALSE)</f>
        <v>45</v>
      </c>
      <c r="G312" s="94">
        <f t="shared" si="35"/>
        <v>4.05</v>
      </c>
      <c r="H312" s="94">
        <f t="shared" si="42"/>
        <v>0</v>
      </c>
      <c r="I312" s="94">
        <f t="shared" si="42"/>
        <v>0</v>
      </c>
      <c r="J312" s="94">
        <f t="shared" si="42"/>
        <v>0</v>
      </c>
      <c r="K312" s="94">
        <f t="shared" si="42"/>
        <v>0</v>
      </c>
      <c r="L312" s="94">
        <f t="shared" si="42"/>
        <v>0</v>
      </c>
      <c r="M312" s="94">
        <f t="shared" si="42"/>
        <v>0</v>
      </c>
      <c r="N312" s="94">
        <f t="shared" si="42"/>
        <v>0</v>
      </c>
      <c r="O312" s="94">
        <f t="shared" si="42"/>
        <v>0</v>
      </c>
      <c r="P312" s="94">
        <f t="shared" si="42"/>
        <v>0</v>
      </c>
      <c r="Q312" s="94">
        <f t="shared" si="42"/>
        <v>0</v>
      </c>
    </row>
    <row r="313" spans="2:17" x14ac:dyDescent="0.2">
      <c r="B313" s="90" t="str">
        <f t="shared" si="43"/>
        <v>REHABILITACIÓN REDES</v>
      </c>
      <c r="C313" s="90">
        <f t="shared" si="43"/>
        <v>57</v>
      </c>
      <c r="D313" s="95">
        <f t="shared" si="43"/>
        <v>1</v>
      </c>
      <c r="E313" s="96">
        <f t="shared" si="43"/>
        <v>0</v>
      </c>
      <c r="F313" s="93">
        <f>+VLOOKUP(C313,'INV POIR PPERDIDAS'!$C$4:$F$123,4,FALSE)</f>
        <v>45</v>
      </c>
      <c r="G313" s="94" t="str">
        <f t="shared" si="35"/>
        <v/>
      </c>
      <c r="H313" s="94">
        <f t="shared" si="42"/>
        <v>0</v>
      </c>
      <c r="I313" s="94">
        <f t="shared" si="42"/>
        <v>0</v>
      </c>
      <c r="J313" s="94">
        <f t="shared" si="42"/>
        <v>0</v>
      </c>
      <c r="K313" s="94">
        <f t="shared" si="42"/>
        <v>0</v>
      </c>
      <c r="L313" s="94">
        <f t="shared" si="42"/>
        <v>0</v>
      </c>
      <c r="M313" s="94">
        <f t="shared" si="42"/>
        <v>0</v>
      </c>
      <c r="N313" s="94">
        <f t="shared" si="42"/>
        <v>0</v>
      </c>
      <c r="O313" s="94">
        <f t="shared" si="42"/>
        <v>0</v>
      </c>
      <c r="P313" s="94">
        <f t="shared" si="42"/>
        <v>0</v>
      </c>
      <c r="Q313" s="94">
        <f t="shared" si="42"/>
        <v>0</v>
      </c>
    </row>
    <row r="314" spans="2:17" x14ac:dyDescent="0.2">
      <c r="B314" s="90" t="str">
        <f t="shared" si="43"/>
        <v>REHABILITACIÓN REDES</v>
      </c>
      <c r="C314" s="90">
        <f t="shared" si="43"/>
        <v>58</v>
      </c>
      <c r="D314" s="95">
        <f t="shared" si="43"/>
        <v>2</v>
      </c>
      <c r="E314" s="96">
        <f t="shared" si="43"/>
        <v>611554989.46373248</v>
      </c>
      <c r="F314" s="93">
        <f>+VLOOKUP(C314,'INV POIR PPERDIDAS'!$C$4:$F$123,4,FALSE)</f>
        <v>45</v>
      </c>
      <c r="G314" s="94" t="str">
        <f t="shared" si="35"/>
        <v/>
      </c>
      <c r="H314" s="94">
        <f t="shared" si="42"/>
        <v>0</v>
      </c>
      <c r="I314" s="94">
        <f t="shared" si="42"/>
        <v>0</v>
      </c>
      <c r="J314" s="94">
        <f t="shared" si="42"/>
        <v>55039949.051735923</v>
      </c>
      <c r="K314" s="94">
        <f t="shared" si="42"/>
        <v>53816839.072808452</v>
      </c>
      <c r="L314" s="94">
        <f t="shared" si="42"/>
        <v>52593729.093880989</v>
      </c>
      <c r="M314" s="94">
        <f t="shared" si="42"/>
        <v>51370619.114953525</v>
      </c>
      <c r="N314" s="94">
        <f t="shared" si="42"/>
        <v>50147509.136026062</v>
      </c>
      <c r="O314" s="94">
        <f t="shared" si="42"/>
        <v>48924399.157098591</v>
      </c>
      <c r="P314" s="94">
        <f t="shared" si="42"/>
        <v>47701289.178171128</v>
      </c>
      <c r="Q314" s="94">
        <f t="shared" si="42"/>
        <v>46478179.199243665</v>
      </c>
    </row>
    <row r="315" spans="2:17" x14ac:dyDescent="0.2">
      <c r="B315" s="90" t="str">
        <f t="shared" si="43"/>
        <v>REHABILITACIÓN REDES</v>
      </c>
      <c r="C315" s="90">
        <f t="shared" si="43"/>
        <v>59</v>
      </c>
      <c r="D315" s="95">
        <f t="shared" si="43"/>
        <v>3</v>
      </c>
      <c r="E315" s="96">
        <f t="shared" si="43"/>
        <v>257258799.37705919</v>
      </c>
      <c r="F315" s="93">
        <f>+VLOOKUP(C315,'INV POIR PPERDIDAS'!$C$4:$F$123,4,FALSE)</f>
        <v>45</v>
      </c>
      <c r="G315" s="94" t="str">
        <f t="shared" si="35"/>
        <v/>
      </c>
      <c r="H315" s="94">
        <f t="shared" si="42"/>
        <v>0</v>
      </c>
      <c r="I315" s="94">
        <f t="shared" si="42"/>
        <v>0</v>
      </c>
      <c r="J315" s="94">
        <f t="shared" si="42"/>
        <v>0</v>
      </c>
      <c r="K315" s="94">
        <f t="shared" si="42"/>
        <v>23153291.943935327</v>
      </c>
      <c r="L315" s="94">
        <f t="shared" si="42"/>
        <v>22638774.345181208</v>
      </c>
      <c r="M315" s="94">
        <f t="shared" si="42"/>
        <v>22124256.746427089</v>
      </c>
      <c r="N315" s="94">
        <f t="shared" si="42"/>
        <v>21609739.147672974</v>
      </c>
      <c r="O315" s="94">
        <f t="shared" si="42"/>
        <v>21095221.548918854</v>
      </c>
      <c r="P315" s="94">
        <f t="shared" si="42"/>
        <v>20580703.950164735</v>
      </c>
      <c r="Q315" s="94">
        <f t="shared" si="42"/>
        <v>20066186.351410616</v>
      </c>
    </row>
    <row r="316" spans="2:17" x14ac:dyDescent="0.2">
      <c r="B316" s="90" t="str">
        <f t="shared" si="43"/>
        <v>REHABILITACIÓN REDES</v>
      </c>
      <c r="C316" s="90">
        <f t="shared" si="43"/>
        <v>60</v>
      </c>
      <c r="D316" s="95">
        <f t="shared" si="43"/>
        <v>4</v>
      </c>
      <c r="E316" s="96">
        <f t="shared" si="43"/>
        <v>426601786.47694588</v>
      </c>
      <c r="F316" s="93">
        <f>+VLOOKUP(C316,'INV POIR PPERDIDAS'!$C$4:$F$123,4,FALSE)</f>
        <v>45</v>
      </c>
      <c r="G316" s="94" t="str">
        <f t="shared" si="35"/>
        <v/>
      </c>
      <c r="H316" s="94">
        <f t="shared" si="42"/>
        <v>0</v>
      </c>
      <c r="I316" s="94">
        <f t="shared" si="42"/>
        <v>0</v>
      </c>
      <c r="J316" s="94">
        <f t="shared" si="42"/>
        <v>0</v>
      </c>
      <c r="K316" s="94">
        <f t="shared" si="42"/>
        <v>0</v>
      </c>
      <c r="L316" s="94">
        <f t="shared" si="42"/>
        <v>38394160.782925129</v>
      </c>
      <c r="M316" s="94">
        <f t="shared" si="42"/>
        <v>37540957.209971234</v>
      </c>
      <c r="N316" s="94">
        <f t="shared" si="42"/>
        <v>36687753.637017347</v>
      </c>
      <c r="O316" s="94">
        <f t="shared" si="42"/>
        <v>35834550.064063452</v>
      </c>
      <c r="P316" s="94">
        <f t="shared" si="42"/>
        <v>34981346.491109557</v>
      </c>
      <c r="Q316" s="94">
        <f t="shared" si="42"/>
        <v>34128142.91815567</v>
      </c>
    </row>
    <row r="317" spans="2:17" x14ac:dyDescent="0.2">
      <c r="B317" s="90" t="str">
        <f t="shared" si="43"/>
        <v>REHABILITACIÓN REDES</v>
      </c>
      <c r="C317" s="90">
        <f t="shared" si="43"/>
        <v>61</v>
      </c>
      <c r="D317" s="95">
        <f t="shared" si="43"/>
        <v>5</v>
      </c>
      <c r="E317" s="96">
        <f t="shared" si="43"/>
        <v>358819367.65486312</v>
      </c>
      <c r="F317" s="93">
        <f>+VLOOKUP(C317,'INV POIR PPERDIDAS'!$C$4:$F$123,4,FALSE)</f>
        <v>45</v>
      </c>
      <c r="G317" s="94" t="str">
        <f t="shared" si="35"/>
        <v/>
      </c>
      <c r="H317" s="94">
        <f t="shared" si="42"/>
        <v>0</v>
      </c>
      <c r="I317" s="94">
        <f t="shared" si="42"/>
        <v>0</v>
      </c>
      <c r="J317" s="94">
        <f t="shared" si="42"/>
        <v>0</v>
      </c>
      <c r="K317" s="94">
        <f t="shared" si="42"/>
        <v>0</v>
      </c>
      <c r="L317" s="94">
        <f t="shared" si="42"/>
        <v>0</v>
      </c>
      <c r="M317" s="94">
        <f t="shared" si="42"/>
        <v>32293743.088937681</v>
      </c>
      <c r="N317" s="94">
        <f t="shared" si="42"/>
        <v>31576104.353627954</v>
      </c>
      <c r="O317" s="94">
        <f t="shared" si="42"/>
        <v>30858465.61831823</v>
      </c>
      <c r="P317" s="94">
        <f t="shared" si="42"/>
        <v>30140826.883008506</v>
      </c>
      <c r="Q317" s="94">
        <f t="shared" si="42"/>
        <v>29423188.147698782</v>
      </c>
    </row>
    <row r="318" spans="2:17" x14ac:dyDescent="0.2">
      <c r="B318" s="90" t="str">
        <f t="shared" si="43"/>
        <v>REHABILITACIÓN REDES</v>
      </c>
      <c r="C318" s="90">
        <f t="shared" si="43"/>
        <v>62</v>
      </c>
      <c r="D318" s="95">
        <f t="shared" si="43"/>
        <v>6</v>
      </c>
      <c r="E318" s="96">
        <f t="shared" si="43"/>
        <v>1076231401.3037224</v>
      </c>
      <c r="F318" s="93">
        <f>+VLOOKUP(C318,'INV POIR PPERDIDAS'!$C$4:$F$123,4,FALSE)</f>
        <v>45</v>
      </c>
      <c r="G318" s="94" t="str">
        <f t="shared" si="35"/>
        <v/>
      </c>
      <c r="H318" s="94">
        <f t="shared" si="42"/>
        <v>0</v>
      </c>
      <c r="I318" s="94">
        <f t="shared" si="42"/>
        <v>0</v>
      </c>
      <c r="J318" s="94">
        <f t="shared" si="42"/>
        <v>0</v>
      </c>
      <c r="K318" s="94">
        <f t="shared" si="42"/>
        <v>0</v>
      </c>
      <c r="L318" s="94">
        <f t="shared" si="42"/>
        <v>0</v>
      </c>
      <c r="M318" s="94">
        <f t="shared" si="42"/>
        <v>0</v>
      </c>
      <c r="N318" s="94">
        <f t="shared" si="42"/>
        <v>96860826.117335007</v>
      </c>
      <c r="O318" s="94">
        <f t="shared" si="42"/>
        <v>94708363.314727575</v>
      </c>
      <c r="P318" s="94">
        <f t="shared" si="42"/>
        <v>92555900.512120128</v>
      </c>
      <c r="Q318" s="94">
        <f t="shared" si="42"/>
        <v>90403437.709512681</v>
      </c>
    </row>
    <row r="319" spans="2:17" x14ac:dyDescent="0.2">
      <c r="B319" s="90" t="str">
        <f t="shared" si="43"/>
        <v>REHABILITACIÓN REDES</v>
      </c>
      <c r="C319" s="90">
        <f t="shared" si="43"/>
        <v>63</v>
      </c>
      <c r="D319" s="95">
        <f t="shared" si="43"/>
        <v>7</v>
      </c>
      <c r="E319" s="96">
        <f t="shared" si="43"/>
        <v>658254709.55816746</v>
      </c>
      <c r="F319" s="93">
        <f>+VLOOKUP(C319,'INV POIR PPERDIDAS'!$C$4:$F$123,4,FALSE)</f>
        <v>45</v>
      </c>
      <c r="G319" s="94" t="str">
        <f t="shared" si="35"/>
        <v/>
      </c>
      <c r="H319" s="94">
        <f t="shared" si="42"/>
        <v>0</v>
      </c>
      <c r="I319" s="94">
        <f t="shared" si="42"/>
        <v>0</v>
      </c>
      <c r="J319" s="94">
        <f t="shared" si="42"/>
        <v>0</v>
      </c>
      <c r="K319" s="94">
        <f t="shared" si="42"/>
        <v>0</v>
      </c>
      <c r="L319" s="94">
        <f t="shared" si="42"/>
        <v>0</v>
      </c>
      <c r="M319" s="94">
        <f t="shared" si="42"/>
        <v>0</v>
      </c>
      <c r="N319" s="94">
        <f t="shared" si="42"/>
        <v>0</v>
      </c>
      <c r="O319" s="94">
        <f t="shared" si="42"/>
        <v>59242923.860235073</v>
      </c>
      <c r="P319" s="94">
        <f t="shared" si="42"/>
        <v>57926414.441118732</v>
      </c>
      <c r="Q319" s="94">
        <f t="shared" si="42"/>
        <v>56609905.022002392</v>
      </c>
    </row>
    <row r="320" spans="2:17" x14ac:dyDescent="0.2">
      <c r="B320" s="90" t="str">
        <f t="shared" si="43"/>
        <v>REHABILITACIÓN REDES</v>
      </c>
      <c r="C320" s="90">
        <f t="shared" si="43"/>
        <v>64</v>
      </c>
      <c r="D320" s="95">
        <f t="shared" si="43"/>
        <v>8</v>
      </c>
      <c r="E320" s="96">
        <f t="shared" si="43"/>
        <v>1170325251.0100634</v>
      </c>
      <c r="F320" s="93">
        <f>+VLOOKUP(C320,'INV POIR PPERDIDAS'!$C$4:$F$123,4,FALSE)</f>
        <v>45</v>
      </c>
      <c r="G320" s="94" t="str">
        <f t="shared" si="35"/>
        <v/>
      </c>
      <c r="H320" s="94">
        <f t="shared" si="42"/>
        <v>0</v>
      </c>
      <c r="I320" s="94">
        <f t="shared" si="42"/>
        <v>0</v>
      </c>
      <c r="J320" s="94">
        <f t="shared" si="42"/>
        <v>0</v>
      </c>
      <c r="K320" s="94">
        <f t="shared" si="42"/>
        <v>0</v>
      </c>
      <c r="L320" s="94">
        <f t="shared" si="42"/>
        <v>0</v>
      </c>
      <c r="M320" s="94">
        <f t="shared" si="42"/>
        <v>0</v>
      </c>
      <c r="N320" s="94">
        <f t="shared" si="42"/>
        <v>0</v>
      </c>
      <c r="O320" s="94">
        <f t="shared" si="42"/>
        <v>0</v>
      </c>
      <c r="P320" s="94">
        <f t="shared" si="42"/>
        <v>105329272.5909057</v>
      </c>
      <c r="Q320" s="94">
        <f t="shared" si="42"/>
        <v>102988622.08888558</v>
      </c>
    </row>
    <row r="321" spans="2:17" x14ac:dyDescent="0.2">
      <c r="B321" s="90" t="str">
        <f t="shared" si="43"/>
        <v>REHABILITACIÓN REDES</v>
      </c>
      <c r="C321" s="90">
        <f t="shared" si="43"/>
        <v>65</v>
      </c>
      <c r="D321" s="95">
        <f t="shared" si="43"/>
        <v>9</v>
      </c>
      <c r="E321" s="96">
        <f t="shared" si="43"/>
        <v>708464993.44522178</v>
      </c>
      <c r="F321" s="93">
        <f>+VLOOKUP(C321,'INV POIR PPERDIDAS'!$C$4:$F$123,4,FALSE)</f>
        <v>45</v>
      </c>
      <c r="G321" s="94" t="str">
        <f t="shared" ref="G321:G375" si="44">+IFERROR(IF($D73&gt;G$132,"",F197*$C$3),"")</f>
        <v/>
      </c>
      <c r="H321" s="94">
        <f t="shared" ref="H321:Q336" si="45">+IFERROR(IF($D73&gt;H$132,0,G197*$C$3),"")</f>
        <v>0</v>
      </c>
      <c r="I321" s="94">
        <f t="shared" si="45"/>
        <v>0</v>
      </c>
      <c r="J321" s="94">
        <f t="shared" si="45"/>
        <v>0</v>
      </c>
      <c r="K321" s="94">
        <f t="shared" si="45"/>
        <v>0</v>
      </c>
      <c r="L321" s="94">
        <f t="shared" si="45"/>
        <v>0</v>
      </c>
      <c r="M321" s="94">
        <f t="shared" si="45"/>
        <v>0</v>
      </c>
      <c r="N321" s="94">
        <f t="shared" si="45"/>
        <v>0</v>
      </c>
      <c r="O321" s="94">
        <f t="shared" si="45"/>
        <v>0</v>
      </c>
      <c r="P321" s="94">
        <f t="shared" si="45"/>
        <v>0</v>
      </c>
      <c r="Q321" s="94">
        <f t="shared" si="45"/>
        <v>63761849.410069957</v>
      </c>
    </row>
    <row r="322" spans="2:17" x14ac:dyDescent="0.2">
      <c r="B322" s="90" t="str">
        <f t="shared" ref="B322:E337" si="46">+B198</f>
        <v>REHABILITACIÓN REDES</v>
      </c>
      <c r="C322" s="90">
        <f t="shared" si="46"/>
        <v>66</v>
      </c>
      <c r="D322" s="95">
        <f t="shared" si="46"/>
        <v>10</v>
      </c>
      <c r="E322" s="96">
        <f t="shared" si="46"/>
        <v>660336978.95129299</v>
      </c>
      <c r="F322" s="93">
        <f>+VLOOKUP(C322,'INV POIR PPERDIDAS'!$C$4:$F$123,4,FALSE)</f>
        <v>45</v>
      </c>
      <c r="G322" s="94" t="str">
        <f t="shared" si="44"/>
        <v/>
      </c>
      <c r="H322" s="94">
        <f t="shared" si="45"/>
        <v>0</v>
      </c>
      <c r="I322" s="94">
        <f t="shared" si="45"/>
        <v>0</v>
      </c>
      <c r="J322" s="94">
        <f t="shared" si="45"/>
        <v>0</v>
      </c>
      <c r="K322" s="94">
        <f t="shared" si="45"/>
        <v>0</v>
      </c>
      <c r="L322" s="94">
        <f t="shared" si="45"/>
        <v>0</v>
      </c>
      <c r="M322" s="94">
        <f t="shared" si="45"/>
        <v>0</v>
      </c>
      <c r="N322" s="94">
        <f t="shared" si="45"/>
        <v>0</v>
      </c>
      <c r="O322" s="94">
        <f t="shared" si="45"/>
        <v>0</v>
      </c>
      <c r="P322" s="94">
        <f t="shared" si="45"/>
        <v>0</v>
      </c>
      <c r="Q322" s="94">
        <f t="shared" si="45"/>
        <v>0</v>
      </c>
    </row>
    <row r="323" spans="2:17" x14ac:dyDescent="0.2">
      <c r="B323" s="90" t="str">
        <f t="shared" si="46"/>
        <v>REDES</v>
      </c>
      <c r="C323" s="90">
        <f t="shared" si="46"/>
        <v>67</v>
      </c>
      <c r="D323" s="95">
        <f t="shared" si="46"/>
        <v>0</v>
      </c>
      <c r="E323" s="96">
        <f t="shared" si="46"/>
        <v>0</v>
      </c>
      <c r="F323" s="93">
        <f>+VLOOKUP(C323,'INV POIR PPERDIDAS'!$C$4:$F$123,4,FALSE)</f>
        <v>45</v>
      </c>
      <c r="G323" s="94">
        <f t="shared" si="44"/>
        <v>4.05</v>
      </c>
      <c r="H323" s="94">
        <f t="shared" si="45"/>
        <v>0</v>
      </c>
      <c r="I323" s="94">
        <f t="shared" si="45"/>
        <v>0</v>
      </c>
      <c r="J323" s="94">
        <f t="shared" si="45"/>
        <v>0</v>
      </c>
      <c r="K323" s="94">
        <f t="shared" si="45"/>
        <v>0</v>
      </c>
      <c r="L323" s="94">
        <f t="shared" si="45"/>
        <v>0</v>
      </c>
      <c r="M323" s="94">
        <f t="shared" si="45"/>
        <v>0</v>
      </c>
      <c r="N323" s="94">
        <f t="shared" si="45"/>
        <v>0</v>
      </c>
      <c r="O323" s="94">
        <f t="shared" si="45"/>
        <v>0</v>
      </c>
      <c r="P323" s="94">
        <f t="shared" si="45"/>
        <v>0</v>
      </c>
      <c r="Q323" s="94">
        <f t="shared" si="45"/>
        <v>0</v>
      </c>
    </row>
    <row r="324" spans="2:17" x14ac:dyDescent="0.2">
      <c r="B324" s="90" t="str">
        <f t="shared" si="46"/>
        <v>REDES</v>
      </c>
      <c r="C324" s="90">
        <f t="shared" si="46"/>
        <v>68</v>
      </c>
      <c r="D324" s="95">
        <f t="shared" si="46"/>
        <v>1</v>
      </c>
      <c r="E324" s="96">
        <f t="shared" si="46"/>
        <v>0</v>
      </c>
      <c r="F324" s="93">
        <f>+VLOOKUP(C324,'INV POIR PPERDIDAS'!$C$4:$F$123,4,FALSE)</f>
        <v>45</v>
      </c>
      <c r="G324" s="94" t="str">
        <f t="shared" si="44"/>
        <v/>
      </c>
      <c r="H324" s="94">
        <f t="shared" si="45"/>
        <v>0</v>
      </c>
      <c r="I324" s="94">
        <f t="shared" si="45"/>
        <v>0</v>
      </c>
      <c r="J324" s="94">
        <f t="shared" si="45"/>
        <v>0</v>
      </c>
      <c r="K324" s="94">
        <f t="shared" si="45"/>
        <v>0</v>
      </c>
      <c r="L324" s="94">
        <f t="shared" si="45"/>
        <v>0</v>
      </c>
      <c r="M324" s="94">
        <f t="shared" si="45"/>
        <v>0</v>
      </c>
      <c r="N324" s="94">
        <f t="shared" si="45"/>
        <v>0</v>
      </c>
      <c r="O324" s="94">
        <f t="shared" si="45"/>
        <v>0</v>
      </c>
      <c r="P324" s="94">
        <f t="shared" si="45"/>
        <v>0</v>
      </c>
      <c r="Q324" s="94">
        <f t="shared" si="45"/>
        <v>0</v>
      </c>
    </row>
    <row r="325" spans="2:17" x14ac:dyDescent="0.2">
      <c r="B325" s="90" t="str">
        <f t="shared" si="46"/>
        <v>REDES</v>
      </c>
      <c r="C325" s="90">
        <f t="shared" si="46"/>
        <v>69</v>
      </c>
      <c r="D325" s="95">
        <f t="shared" si="46"/>
        <v>2</v>
      </c>
      <c r="E325" s="96">
        <f t="shared" si="46"/>
        <v>3410222003.4983039</v>
      </c>
      <c r="F325" s="93">
        <f>+VLOOKUP(C325,'INV POIR PPERDIDAS'!$C$4:$F$123,4,FALSE)</f>
        <v>45</v>
      </c>
      <c r="G325" s="94" t="str">
        <f t="shared" si="44"/>
        <v/>
      </c>
      <c r="H325" s="94">
        <f t="shared" si="45"/>
        <v>0</v>
      </c>
      <c r="I325" s="94">
        <f t="shared" si="45"/>
        <v>0</v>
      </c>
      <c r="J325" s="94">
        <f t="shared" si="45"/>
        <v>306919980.31484735</v>
      </c>
      <c r="K325" s="94">
        <f t="shared" si="45"/>
        <v>300099536.30785072</v>
      </c>
      <c r="L325" s="94">
        <f t="shared" si="45"/>
        <v>293279092.30085409</v>
      </c>
      <c r="M325" s="94">
        <f t="shared" si="45"/>
        <v>286458648.29385746</v>
      </c>
      <c r="N325" s="94">
        <f t="shared" si="45"/>
        <v>279638204.28686082</v>
      </c>
      <c r="O325" s="94">
        <f t="shared" si="45"/>
        <v>272817760.27986425</v>
      </c>
      <c r="P325" s="94">
        <f t="shared" si="45"/>
        <v>265997316.27286762</v>
      </c>
      <c r="Q325" s="94">
        <f t="shared" si="45"/>
        <v>259176872.26587099</v>
      </c>
    </row>
    <row r="326" spans="2:17" x14ac:dyDescent="0.2">
      <c r="B326" s="90" t="str">
        <f t="shared" si="46"/>
        <v>REDES</v>
      </c>
      <c r="C326" s="90">
        <f t="shared" si="46"/>
        <v>70</v>
      </c>
      <c r="D326" s="95">
        <f t="shared" si="46"/>
        <v>3</v>
      </c>
      <c r="E326" s="96">
        <f t="shared" si="46"/>
        <v>2708748274.8491516</v>
      </c>
      <c r="F326" s="93">
        <f>+VLOOKUP(C326,'INV POIR PPERDIDAS'!$C$4:$F$123,4,FALSE)</f>
        <v>45</v>
      </c>
      <c r="G326" s="94" t="str">
        <f t="shared" si="44"/>
        <v/>
      </c>
      <c r="H326" s="94">
        <f t="shared" si="45"/>
        <v>0</v>
      </c>
      <c r="I326" s="94">
        <f t="shared" si="45"/>
        <v>0</v>
      </c>
      <c r="J326" s="94">
        <f t="shared" si="45"/>
        <v>0</v>
      </c>
      <c r="K326" s="94">
        <f t="shared" si="45"/>
        <v>243787344.73642364</v>
      </c>
      <c r="L326" s="94">
        <f t="shared" si="45"/>
        <v>238369848.18672532</v>
      </c>
      <c r="M326" s="94">
        <f t="shared" si="45"/>
        <v>232952351.63702703</v>
      </c>
      <c r="N326" s="94">
        <f t="shared" si="45"/>
        <v>227534855.0873287</v>
      </c>
      <c r="O326" s="94">
        <f t="shared" si="45"/>
        <v>222117358.53763041</v>
      </c>
      <c r="P326" s="94">
        <f t="shared" si="45"/>
        <v>216699861.98793209</v>
      </c>
      <c r="Q326" s="94">
        <f t="shared" si="45"/>
        <v>211282365.43823376</v>
      </c>
    </row>
    <row r="327" spans="2:17" x14ac:dyDescent="0.2">
      <c r="B327" s="90" t="str">
        <f t="shared" si="46"/>
        <v>REDES</v>
      </c>
      <c r="C327" s="90">
        <f t="shared" si="46"/>
        <v>71</v>
      </c>
      <c r="D327" s="95">
        <f t="shared" si="46"/>
        <v>4</v>
      </c>
      <c r="E327" s="96">
        <f t="shared" si="46"/>
        <v>3788421935.8387451</v>
      </c>
      <c r="F327" s="93">
        <f>+VLOOKUP(C327,'INV POIR PPERDIDAS'!$C$4:$F$123,4,FALSE)</f>
        <v>45</v>
      </c>
      <c r="G327" s="94" t="str">
        <f t="shared" si="44"/>
        <v/>
      </c>
      <c r="H327" s="94">
        <f t="shared" si="45"/>
        <v>0</v>
      </c>
      <c r="I327" s="94">
        <f t="shared" si="45"/>
        <v>0</v>
      </c>
      <c r="J327" s="94">
        <f t="shared" si="45"/>
        <v>0</v>
      </c>
      <c r="K327" s="94">
        <f t="shared" si="45"/>
        <v>0</v>
      </c>
      <c r="L327" s="94">
        <f t="shared" si="45"/>
        <v>340957974.22548705</v>
      </c>
      <c r="M327" s="94">
        <f t="shared" si="45"/>
        <v>333381130.3538096</v>
      </c>
      <c r="N327" s="94">
        <f t="shared" si="45"/>
        <v>325804286.48213208</v>
      </c>
      <c r="O327" s="94">
        <f t="shared" si="45"/>
        <v>318227442.61045462</v>
      </c>
      <c r="P327" s="94">
        <f t="shared" si="45"/>
        <v>310650598.7387771</v>
      </c>
      <c r="Q327" s="94">
        <f t="shared" si="45"/>
        <v>303073754.86709964</v>
      </c>
    </row>
    <row r="328" spans="2:17" x14ac:dyDescent="0.2">
      <c r="B328" s="90" t="str">
        <f t="shared" si="46"/>
        <v>REDES</v>
      </c>
      <c r="C328" s="90">
        <f t="shared" si="46"/>
        <v>72</v>
      </c>
      <c r="D328" s="95">
        <f t="shared" si="46"/>
        <v>5</v>
      </c>
      <c r="E328" s="96">
        <f t="shared" si="46"/>
        <v>3229587745.4368062</v>
      </c>
      <c r="F328" s="93">
        <f>+VLOOKUP(C328,'INV POIR PPERDIDAS'!$C$4:$F$123,4,FALSE)</f>
        <v>45</v>
      </c>
      <c r="G328" s="94" t="str">
        <f t="shared" si="44"/>
        <v/>
      </c>
      <c r="H328" s="94">
        <f t="shared" si="45"/>
        <v>0</v>
      </c>
      <c r="I328" s="94">
        <f t="shared" si="45"/>
        <v>0</v>
      </c>
      <c r="J328" s="94">
        <f t="shared" si="45"/>
        <v>0</v>
      </c>
      <c r="K328" s="94">
        <f t="shared" si="45"/>
        <v>0</v>
      </c>
      <c r="L328" s="94">
        <f t="shared" si="45"/>
        <v>0</v>
      </c>
      <c r="M328" s="94">
        <f t="shared" si="45"/>
        <v>290662897.08931255</v>
      </c>
      <c r="N328" s="94">
        <f t="shared" si="45"/>
        <v>284203721.59843892</v>
      </c>
      <c r="O328" s="94">
        <f t="shared" si="45"/>
        <v>277744546.10756534</v>
      </c>
      <c r="P328" s="94">
        <f t="shared" si="45"/>
        <v>271285370.61669171</v>
      </c>
      <c r="Q328" s="94">
        <f t="shared" si="45"/>
        <v>264826195.1258181</v>
      </c>
    </row>
    <row r="329" spans="2:17" x14ac:dyDescent="0.2">
      <c r="B329" s="90" t="str">
        <f t="shared" si="46"/>
        <v>REDES</v>
      </c>
      <c r="C329" s="90">
        <f t="shared" si="46"/>
        <v>73</v>
      </c>
      <c r="D329" s="95">
        <f t="shared" si="46"/>
        <v>6</v>
      </c>
      <c r="E329" s="96">
        <f t="shared" si="46"/>
        <v>3975561272.1375804</v>
      </c>
      <c r="F329" s="93">
        <f>+VLOOKUP(C329,'INV POIR PPERDIDAS'!$C$4:$F$123,4,FALSE)</f>
        <v>45</v>
      </c>
      <c r="G329" s="94" t="str">
        <f t="shared" si="44"/>
        <v/>
      </c>
      <c r="H329" s="94">
        <f t="shared" si="45"/>
        <v>0</v>
      </c>
      <c r="I329" s="94">
        <f t="shared" si="45"/>
        <v>0</v>
      </c>
      <c r="J329" s="94">
        <f t="shared" si="45"/>
        <v>0</v>
      </c>
      <c r="K329" s="94">
        <f t="shared" si="45"/>
        <v>0</v>
      </c>
      <c r="L329" s="94">
        <f t="shared" si="45"/>
        <v>0</v>
      </c>
      <c r="M329" s="94">
        <f t="shared" si="45"/>
        <v>0</v>
      </c>
      <c r="N329" s="94">
        <f t="shared" si="45"/>
        <v>357800514.49238223</v>
      </c>
      <c r="O329" s="94">
        <f t="shared" si="45"/>
        <v>349849391.94810706</v>
      </c>
      <c r="P329" s="94">
        <f t="shared" si="45"/>
        <v>341898269.40383196</v>
      </c>
      <c r="Q329" s="94">
        <f t="shared" si="45"/>
        <v>333947146.85955679</v>
      </c>
    </row>
    <row r="330" spans="2:17" x14ac:dyDescent="0.2">
      <c r="B330" s="90" t="str">
        <f t="shared" si="46"/>
        <v>REDES</v>
      </c>
      <c r="C330" s="90">
        <f t="shared" si="46"/>
        <v>74</v>
      </c>
      <c r="D330" s="95">
        <f t="shared" si="46"/>
        <v>7</v>
      </c>
      <c r="E330" s="96">
        <f t="shared" si="46"/>
        <v>0</v>
      </c>
      <c r="F330" s="93">
        <f>+VLOOKUP(C330,'INV POIR PPERDIDAS'!$C$4:$F$123,4,FALSE)</f>
        <v>45</v>
      </c>
      <c r="G330" s="94" t="str">
        <f t="shared" si="44"/>
        <v/>
      </c>
      <c r="H330" s="94">
        <f t="shared" si="45"/>
        <v>0</v>
      </c>
      <c r="I330" s="94">
        <f t="shared" si="45"/>
        <v>0</v>
      </c>
      <c r="J330" s="94">
        <f t="shared" si="45"/>
        <v>0</v>
      </c>
      <c r="K330" s="94">
        <f t="shared" si="45"/>
        <v>0</v>
      </c>
      <c r="L330" s="94">
        <f t="shared" si="45"/>
        <v>0</v>
      </c>
      <c r="M330" s="94">
        <f t="shared" si="45"/>
        <v>0</v>
      </c>
      <c r="N330" s="94">
        <f t="shared" si="45"/>
        <v>0</v>
      </c>
      <c r="O330" s="94">
        <f t="shared" si="45"/>
        <v>0</v>
      </c>
      <c r="P330" s="94">
        <f t="shared" si="45"/>
        <v>0</v>
      </c>
      <c r="Q330" s="94">
        <f t="shared" si="45"/>
        <v>0</v>
      </c>
    </row>
    <row r="331" spans="2:17" x14ac:dyDescent="0.2">
      <c r="B331" s="90" t="str">
        <f t="shared" si="46"/>
        <v>REDES</v>
      </c>
      <c r="C331" s="90">
        <f t="shared" si="46"/>
        <v>75</v>
      </c>
      <c r="D331" s="95">
        <f t="shared" si="46"/>
        <v>8</v>
      </c>
      <c r="E331" s="96">
        <f t="shared" si="46"/>
        <v>0</v>
      </c>
      <c r="F331" s="93">
        <f>+VLOOKUP(C331,'INV POIR PPERDIDAS'!$C$4:$F$123,4,FALSE)</f>
        <v>45</v>
      </c>
      <c r="G331" s="94" t="str">
        <f t="shared" si="44"/>
        <v/>
      </c>
      <c r="H331" s="94">
        <f t="shared" si="45"/>
        <v>0</v>
      </c>
      <c r="I331" s="94">
        <f t="shared" si="45"/>
        <v>0</v>
      </c>
      <c r="J331" s="94">
        <f t="shared" si="45"/>
        <v>0</v>
      </c>
      <c r="K331" s="94">
        <f t="shared" si="45"/>
        <v>0</v>
      </c>
      <c r="L331" s="94">
        <f t="shared" si="45"/>
        <v>0</v>
      </c>
      <c r="M331" s="94">
        <f t="shared" si="45"/>
        <v>0</v>
      </c>
      <c r="N331" s="94">
        <f t="shared" si="45"/>
        <v>0</v>
      </c>
      <c r="O331" s="94">
        <f t="shared" si="45"/>
        <v>0</v>
      </c>
      <c r="P331" s="94">
        <f t="shared" si="45"/>
        <v>0</v>
      </c>
      <c r="Q331" s="94">
        <f t="shared" si="45"/>
        <v>0</v>
      </c>
    </row>
    <row r="332" spans="2:17" x14ac:dyDescent="0.2">
      <c r="B332" s="90" t="str">
        <f t="shared" si="46"/>
        <v>REDES</v>
      </c>
      <c r="C332" s="90">
        <f t="shared" si="46"/>
        <v>76</v>
      </c>
      <c r="D332" s="95">
        <f t="shared" si="46"/>
        <v>9</v>
      </c>
      <c r="E332" s="96">
        <f t="shared" si="46"/>
        <v>0</v>
      </c>
      <c r="F332" s="93">
        <f>+VLOOKUP(C332,'INV POIR PPERDIDAS'!$C$4:$F$123,4,FALSE)</f>
        <v>45</v>
      </c>
      <c r="G332" s="94" t="str">
        <f t="shared" si="44"/>
        <v/>
      </c>
      <c r="H332" s="94">
        <f t="shared" si="45"/>
        <v>0</v>
      </c>
      <c r="I332" s="94">
        <f t="shared" si="45"/>
        <v>0</v>
      </c>
      <c r="J332" s="94">
        <f t="shared" si="45"/>
        <v>0</v>
      </c>
      <c r="K332" s="94">
        <f t="shared" si="45"/>
        <v>0</v>
      </c>
      <c r="L332" s="94">
        <f t="shared" si="45"/>
        <v>0</v>
      </c>
      <c r="M332" s="94">
        <f t="shared" si="45"/>
        <v>0</v>
      </c>
      <c r="N332" s="94">
        <f t="shared" si="45"/>
        <v>0</v>
      </c>
      <c r="O332" s="94">
        <f t="shared" si="45"/>
        <v>0</v>
      </c>
      <c r="P332" s="94">
        <f t="shared" si="45"/>
        <v>0</v>
      </c>
      <c r="Q332" s="94">
        <f t="shared" si="45"/>
        <v>0</v>
      </c>
    </row>
    <row r="333" spans="2:17" x14ac:dyDescent="0.2">
      <c r="B333" s="90" t="str">
        <f t="shared" si="46"/>
        <v>REDES</v>
      </c>
      <c r="C333" s="90">
        <f t="shared" si="46"/>
        <v>77</v>
      </c>
      <c r="D333" s="95">
        <f t="shared" si="46"/>
        <v>10</v>
      </c>
      <c r="E333" s="96">
        <f t="shared" si="46"/>
        <v>0</v>
      </c>
      <c r="F333" s="93">
        <f>+VLOOKUP(C333,'INV POIR PPERDIDAS'!$C$4:$F$123,4,FALSE)</f>
        <v>45</v>
      </c>
      <c r="G333" s="94" t="str">
        <f t="shared" si="44"/>
        <v/>
      </c>
      <c r="H333" s="94">
        <f t="shared" si="45"/>
        <v>0</v>
      </c>
      <c r="I333" s="94">
        <f t="shared" si="45"/>
        <v>0</v>
      </c>
      <c r="J333" s="94">
        <f t="shared" si="45"/>
        <v>0</v>
      </c>
      <c r="K333" s="94">
        <f t="shared" si="45"/>
        <v>0</v>
      </c>
      <c r="L333" s="94">
        <f t="shared" si="45"/>
        <v>0</v>
      </c>
      <c r="M333" s="94">
        <f t="shared" si="45"/>
        <v>0</v>
      </c>
      <c r="N333" s="94">
        <f t="shared" si="45"/>
        <v>0</v>
      </c>
      <c r="O333" s="94">
        <f t="shared" si="45"/>
        <v>0</v>
      </c>
      <c r="P333" s="94">
        <f t="shared" si="45"/>
        <v>0</v>
      </c>
      <c r="Q333" s="94">
        <f t="shared" si="45"/>
        <v>0</v>
      </c>
    </row>
    <row r="334" spans="2:17" x14ac:dyDescent="0.2">
      <c r="B334" s="90" t="str">
        <f t="shared" si="46"/>
        <v>REDES</v>
      </c>
      <c r="C334" s="90">
        <f t="shared" si="46"/>
        <v>78</v>
      </c>
      <c r="D334" s="95">
        <f t="shared" si="46"/>
        <v>0</v>
      </c>
      <c r="E334" s="96">
        <f t="shared" si="46"/>
        <v>0</v>
      </c>
      <c r="F334" s="93">
        <f>+VLOOKUP(C334,'INV POIR PPERDIDAS'!$C$4:$F$123,4,FALSE)</f>
        <v>45</v>
      </c>
      <c r="G334" s="94">
        <f t="shared" si="44"/>
        <v>4.05</v>
      </c>
      <c r="H334" s="94">
        <f t="shared" si="45"/>
        <v>0</v>
      </c>
      <c r="I334" s="94">
        <f t="shared" si="45"/>
        <v>0</v>
      </c>
      <c r="J334" s="94">
        <f t="shared" si="45"/>
        <v>0</v>
      </c>
      <c r="K334" s="94">
        <f t="shared" si="45"/>
        <v>0</v>
      </c>
      <c r="L334" s="94">
        <f t="shared" si="45"/>
        <v>0</v>
      </c>
      <c r="M334" s="94">
        <f t="shared" si="45"/>
        <v>0</v>
      </c>
      <c r="N334" s="94">
        <f t="shared" si="45"/>
        <v>0</v>
      </c>
      <c r="O334" s="94">
        <f t="shared" si="45"/>
        <v>0</v>
      </c>
      <c r="P334" s="94">
        <f t="shared" si="45"/>
        <v>0</v>
      </c>
      <c r="Q334" s="94">
        <f t="shared" si="45"/>
        <v>0</v>
      </c>
    </row>
    <row r="335" spans="2:17" x14ac:dyDescent="0.2">
      <c r="B335" s="90" t="str">
        <f t="shared" si="46"/>
        <v>REDES</v>
      </c>
      <c r="C335" s="90">
        <f t="shared" si="46"/>
        <v>79</v>
      </c>
      <c r="D335" s="95">
        <f t="shared" si="46"/>
        <v>1</v>
      </c>
      <c r="E335" s="96">
        <f t="shared" si="46"/>
        <v>0</v>
      </c>
      <c r="F335" s="93">
        <f>+VLOOKUP(C335,'INV POIR PPERDIDAS'!$C$4:$F$123,4,FALSE)</f>
        <v>45</v>
      </c>
      <c r="G335" s="94" t="str">
        <f t="shared" si="44"/>
        <v/>
      </c>
      <c r="H335" s="94">
        <f t="shared" si="45"/>
        <v>0</v>
      </c>
      <c r="I335" s="94">
        <f t="shared" si="45"/>
        <v>0</v>
      </c>
      <c r="J335" s="94">
        <f t="shared" si="45"/>
        <v>0</v>
      </c>
      <c r="K335" s="94">
        <f t="shared" si="45"/>
        <v>0</v>
      </c>
      <c r="L335" s="94">
        <f t="shared" si="45"/>
        <v>0</v>
      </c>
      <c r="M335" s="94">
        <f t="shared" si="45"/>
        <v>0</v>
      </c>
      <c r="N335" s="94">
        <f t="shared" si="45"/>
        <v>0</v>
      </c>
      <c r="O335" s="94">
        <f t="shared" si="45"/>
        <v>0</v>
      </c>
      <c r="P335" s="94">
        <f t="shared" si="45"/>
        <v>0</v>
      </c>
      <c r="Q335" s="94">
        <f t="shared" si="45"/>
        <v>0</v>
      </c>
    </row>
    <row r="336" spans="2:17" x14ac:dyDescent="0.2">
      <c r="B336" s="90" t="str">
        <f t="shared" si="46"/>
        <v>REDES</v>
      </c>
      <c r="C336" s="90">
        <f t="shared" si="46"/>
        <v>80</v>
      </c>
      <c r="D336" s="95">
        <f t="shared" si="46"/>
        <v>2</v>
      </c>
      <c r="E336" s="96">
        <f t="shared" si="46"/>
        <v>0</v>
      </c>
      <c r="F336" s="93">
        <f>+VLOOKUP(C336,'INV POIR PPERDIDAS'!$C$4:$F$123,4,FALSE)</f>
        <v>45</v>
      </c>
      <c r="G336" s="94" t="str">
        <f t="shared" si="44"/>
        <v/>
      </c>
      <c r="H336" s="94">
        <f t="shared" si="45"/>
        <v>0</v>
      </c>
      <c r="I336" s="94">
        <f t="shared" si="45"/>
        <v>0</v>
      </c>
      <c r="J336" s="94">
        <f t="shared" si="45"/>
        <v>0</v>
      </c>
      <c r="K336" s="94">
        <f t="shared" si="45"/>
        <v>0</v>
      </c>
      <c r="L336" s="94">
        <f t="shared" si="45"/>
        <v>0</v>
      </c>
      <c r="M336" s="94">
        <f t="shared" si="45"/>
        <v>0</v>
      </c>
      <c r="N336" s="94">
        <f t="shared" si="45"/>
        <v>0</v>
      </c>
      <c r="O336" s="94">
        <f t="shared" si="45"/>
        <v>0</v>
      </c>
      <c r="P336" s="94">
        <f t="shared" si="45"/>
        <v>0</v>
      </c>
      <c r="Q336" s="94">
        <f t="shared" si="45"/>
        <v>0</v>
      </c>
    </row>
    <row r="337" spans="2:17" x14ac:dyDescent="0.2">
      <c r="B337" s="90" t="str">
        <f t="shared" si="46"/>
        <v>REDES</v>
      </c>
      <c r="C337" s="90">
        <f t="shared" si="46"/>
        <v>81</v>
      </c>
      <c r="D337" s="95">
        <f t="shared" si="46"/>
        <v>3</v>
      </c>
      <c r="E337" s="96">
        <f t="shared" si="46"/>
        <v>0</v>
      </c>
      <c r="F337" s="93">
        <f>+VLOOKUP(C337,'INV POIR PPERDIDAS'!$C$4:$F$123,4,FALSE)</f>
        <v>45</v>
      </c>
      <c r="G337" s="94" t="str">
        <f t="shared" si="44"/>
        <v/>
      </c>
      <c r="H337" s="94">
        <f t="shared" ref="H337:Q352" si="47">+IFERROR(IF($D89&gt;H$132,0,G213*$C$3),"")</f>
        <v>0</v>
      </c>
      <c r="I337" s="94">
        <f t="shared" si="47"/>
        <v>0</v>
      </c>
      <c r="J337" s="94">
        <f t="shared" si="47"/>
        <v>0</v>
      </c>
      <c r="K337" s="94">
        <f t="shared" si="47"/>
        <v>0</v>
      </c>
      <c r="L337" s="94">
        <f t="shared" si="47"/>
        <v>0</v>
      </c>
      <c r="M337" s="94">
        <f t="shared" si="47"/>
        <v>0</v>
      </c>
      <c r="N337" s="94">
        <f t="shared" si="47"/>
        <v>0</v>
      </c>
      <c r="O337" s="94">
        <f t="shared" si="47"/>
        <v>0</v>
      </c>
      <c r="P337" s="94">
        <f t="shared" si="47"/>
        <v>0</v>
      </c>
      <c r="Q337" s="94">
        <f t="shared" si="47"/>
        <v>0</v>
      </c>
    </row>
    <row r="338" spans="2:17" x14ac:dyDescent="0.2">
      <c r="B338" s="90" t="str">
        <f t="shared" ref="B338:E353" si="48">+B214</f>
        <v>REDES</v>
      </c>
      <c r="C338" s="90">
        <f t="shared" si="48"/>
        <v>82</v>
      </c>
      <c r="D338" s="95">
        <f t="shared" si="48"/>
        <v>4</v>
      </c>
      <c r="E338" s="96">
        <f t="shared" si="48"/>
        <v>0</v>
      </c>
      <c r="F338" s="93">
        <f>+VLOOKUP(C338,'INV POIR PPERDIDAS'!$C$4:$F$123,4,FALSE)</f>
        <v>45</v>
      </c>
      <c r="G338" s="94" t="str">
        <f t="shared" si="44"/>
        <v/>
      </c>
      <c r="H338" s="94">
        <f t="shared" si="47"/>
        <v>0</v>
      </c>
      <c r="I338" s="94">
        <f t="shared" si="47"/>
        <v>0</v>
      </c>
      <c r="J338" s="94">
        <f t="shared" si="47"/>
        <v>0</v>
      </c>
      <c r="K338" s="94">
        <f t="shared" si="47"/>
        <v>0</v>
      </c>
      <c r="L338" s="94">
        <f t="shared" si="47"/>
        <v>0</v>
      </c>
      <c r="M338" s="94">
        <f t="shared" si="47"/>
        <v>0</v>
      </c>
      <c r="N338" s="94">
        <f t="shared" si="47"/>
        <v>0</v>
      </c>
      <c r="O338" s="94">
        <f t="shared" si="47"/>
        <v>0</v>
      </c>
      <c r="P338" s="94">
        <f t="shared" si="47"/>
        <v>0</v>
      </c>
      <c r="Q338" s="94">
        <f t="shared" si="47"/>
        <v>0</v>
      </c>
    </row>
    <row r="339" spans="2:17" x14ac:dyDescent="0.2">
      <c r="B339" s="90" t="str">
        <f t="shared" si="48"/>
        <v>REDES</v>
      </c>
      <c r="C339" s="90">
        <f t="shared" si="48"/>
        <v>83</v>
      </c>
      <c r="D339" s="95">
        <f t="shared" si="48"/>
        <v>5</v>
      </c>
      <c r="E339" s="96">
        <f t="shared" si="48"/>
        <v>0</v>
      </c>
      <c r="F339" s="93">
        <f>+VLOOKUP(C339,'INV POIR PPERDIDAS'!$C$4:$F$123,4,FALSE)</f>
        <v>45</v>
      </c>
      <c r="G339" s="94" t="str">
        <f t="shared" si="44"/>
        <v/>
      </c>
      <c r="H339" s="94">
        <f t="shared" si="47"/>
        <v>0</v>
      </c>
      <c r="I339" s="94">
        <f t="shared" si="47"/>
        <v>0</v>
      </c>
      <c r="J339" s="94">
        <f t="shared" si="47"/>
        <v>0</v>
      </c>
      <c r="K339" s="94">
        <f t="shared" si="47"/>
        <v>0</v>
      </c>
      <c r="L339" s="94">
        <f t="shared" si="47"/>
        <v>0</v>
      </c>
      <c r="M339" s="94">
        <f t="shared" si="47"/>
        <v>0</v>
      </c>
      <c r="N339" s="94">
        <f t="shared" si="47"/>
        <v>0</v>
      </c>
      <c r="O339" s="94">
        <f t="shared" si="47"/>
        <v>0</v>
      </c>
      <c r="P339" s="94">
        <f t="shared" si="47"/>
        <v>0</v>
      </c>
      <c r="Q339" s="94">
        <f t="shared" si="47"/>
        <v>0</v>
      </c>
    </row>
    <row r="340" spans="2:17" x14ac:dyDescent="0.2">
      <c r="B340" s="90" t="str">
        <f t="shared" si="48"/>
        <v>REDES</v>
      </c>
      <c r="C340" s="90">
        <f t="shared" si="48"/>
        <v>84</v>
      </c>
      <c r="D340" s="95">
        <f t="shared" si="48"/>
        <v>6</v>
      </c>
      <c r="E340" s="96">
        <f t="shared" si="48"/>
        <v>0</v>
      </c>
      <c r="F340" s="93">
        <f>+VLOOKUP(C340,'INV POIR PPERDIDAS'!$C$4:$F$123,4,FALSE)</f>
        <v>45</v>
      </c>
      <c r="G340" s="94" t="str">
        <f t="shared" si="44"/>
        <v/>
      </c>
      <c r="H340" s="94">
        <f t="shared" si="47"/>
        <v>0</v>
      </c>
      <c r="I340" s="94">
        <f t="shared" si="47"/>
        <v>0</v>
      </c>
      <c r="J340" s="94">
        <f t="shared" si="47"/>
        <v>0</v>
      </c>
      <c r="K340" s="94">
        <f t="shared" si="47"/>
        <v>0</v>
      </c>
      <c r="L340" s="94">
        <f t="shared" si="47"/>
        <v>0</v>
      </c>
      <c r="M340" s="94">
        <f t="shared" si="47"/>
        <v>0</v>
      </c>
      <c r="N340" s="94">
        <f t="shared" si="47"/>
        <v>0</v>
      </c>
      <c r="O340" s="94">
        <f t="shared" si="47"/>
        <v>0</v>
      </c>
      <c r="P340" s="94">
        <f t="shared" si="47"/>
        <v>0</v>
      </c>
      <c r="Q340" s="94">
        <f t="shared" si="47"/>
        <v>0</v>
      </c>
    </row>
    <row r="341" spans="2:17" x14ac:dyDescent="0.2">
      <c r="B341" s="90" t="str">
        <f t="shared" si="48"/>
        <v>REDES</v>
      </c>
      <c r="C341" s="90">
        <f t="shared" si="48"/>
        <v>85</v>
      </c>
      <c r="D341" s="95">
        <f t="shared" si="48"/>
        <v>7</v>
      </c>
      <c r="E341" s="96">
        <f t="shared" si="48"/>
        <v>0</v>
      </c>
      <c r="F341" s="93">
        <f>+VLOOKUP(C341,'INV POIR PPERDIDAS'!$C$4:$F$123,4,FALSE)</f>
        <v>45</v>
      </c>
      <c r="G341" s="94" t="str">
        <f t="shared" si="44"/>
        <v/>
      </c>
      <c r="H341" s="94">
        <f t="shared" si="47"/>
        <v>0</v>
      </c>
      <c r="I341" s="94">
        <f t="shared" si="47"/>
        <v>0</v>
      </c>
      <c r="J341" s="94">
        <f t="shared" si="47"/>
        <v>0</v>
      </c>
      <c r="K341" s="94">
        <f t="shared" si="47"/>
        <v>0</v>
      </c>
      <c r="L341" s="94">
        <f t="shared" si="47"/>
        <v>0</v>
      </c>
      <c r="M341" s="94">
        <f t="shared" si="47"/>
        <v>0</v>
      </c>
      <c r="N341" s="94">
        <f t="shared" si="47"/>
        <v>0</v>
      </c>
      <c r="O341" s="94">
        <f t="shared" si="47"/>
        <v>0</v>
      </c>
      <c r="P341" s="94">
        <f t="shared" si="47"/>
        <v>0</v>
      </c>
      <c r="Q341" s="94">
        <f t="shared" si="47"/>
        <v>0</v>
      </c>
    </row>
    <row r="342" spans="2:17" x14ac:dyDescent="0.2">
      <c r="B342" s="90" t="str">
        <f t="shared" si="48"/>
        <v>REDES</v>
      </c>
      <c r="C342" s="90">
        <f t="shared" si="48"/>
        <v>86</v>
      </c>
      <c r="D342" s="95">
        <f t="shared" si="48"/>
        <v>8</v>
      </c>
      <c r="E342" s="96">
        <f t="shared" si="48"/>
        <v>0</v>
      </c>
      <c r="F342" s="93">
        <f>+VLOOKUP(C342,'INV POIR PPERDIDAS'!$C$4:$F$123,4,FALSE)</f>
        <v>45</v>
      </c>
      <c r="G342" s="94" t="str">
        <f t="shared" si="44"/>
        <v/>
      </c>
      <c r="H342" s="94">
        <f t="shared" si="47"/>
        <v>0</v>
      </c>
      <c r="I342" s="94">
        <f t="shared" si="47"/>
        <v>0</v>
      </c>
      <c r="J342" s="94">
        <f t="shared" si="47"/>
        <v>0</v>
      </c>
      <c r="K342" s="94">
        <f t="shared" si="47"/>
        <v>0</v>
      </c>
      <c r="L342" s="94">
        <f t="shared" si="47"/>
        <v>0</v>
      </c>
      <c r="M342" s="94">
        <f t="shared" si="47"/>
        <v>0</v>
      </c>
      <c r="N342" s="94">
        <f t="shared" si="47"/>
        <v>0</v>
      </c>
      <c r="O342" s="94">
        <f t="shared" si="47"/>
        <v>0</v>
      </c>
      <c r="P342" s="94">
        <f t="shared" si="47"/>
        <v>0</v>
      </c>
      <c r="Q342" s="94">
        <f t="shared" si="47"/>
        <v>0</v>
      </c>
    </row>
    <row r="343" spans="2:17" x14ac:dyDescent="0.2">
      <c r="B343" s="90" t="str">
        <f t="shared" si="48"/>
        <v>REDES</v>
      </c>
      <c r="C343" s="90">
        <f t="shared" si="48"/>
        <v>87</v>
      </c>
      <c r="D343" s="95">
        <f t="shared" si="48"/>
        <v>9</v>
      </c>
      <c r="E343" s="96">
        <f t="shared" si="48"/>
        <v>0</v>
      </c>
      <c r="F343" s="93">
        <f>+VLOOKUP(C343,'INV POIR PPERDIDAS'!$C$4:$F$123,4,FALSE)</f>
        <v>45</v>
      </c>
      <c r="G343" s="94" t="str">
        <f t="shared" si="44"/>
        <v/>
      </c>
      <c r="H343" s="94">
        <f t="shared" si="47"/>
        <v>0</v>
      </c>
      <c r="I343" s="94">
        <f t="shared" si="47"/>
        <v>0</v>
      </c>
      <c r="J343" s="94">
        <f t="shared" si="47"/>
        <v>0</v>
      </c>
      <c r="K343" s="94">
        <f t="shared" si="47"/>
        <v>0</v>
      </c>
      <c r="L343" s="94">
        <f t="shared" si="47"/>
        <v>0</v>
      </c>
      <c r="M343" s="94">
        <f t="shared" si="47"/>
        <v>0</v>
      </c>
      <c r="N343" s="94">
        <f t="shared" si="47"/>
        <v>0</v>
      </c>
      <c r="O343" s="94">
        <f t="shared" si="47"/>
        <v>0</v>
      </c>
      <c r="P343" s="94">
        <f t="shared" si="47"/>
        <v>0</v>
      </c>
      <c r="Q343" s="94">
        <f t="shared" si="47"/>
        <v>0</v>
      </c>
    </row>
    <row r="344" spans="2:17" x14ac:dyDescent="0.2">
      <c r="B344" s="90" t="str">
        <f t="shared" si="48"/>
        <v>REDES</v>
      </c>
      <c r="C344" s="90">
        <f t="shared" si="48"/>
        <v>88</v>
      </c>
      <c r="D344" s="95">
        <f t="shared" si="48"/>
        <v>10</v>
      </c>
      <c r="E344" s="96">
        <f t="shared" si="48"/>
        <v>0</v>
      </c>
      <c r="F344" s="93">
        <f>+VLOOKUP(C344,'INV POIR PPERDIDAS'!$C$4:$F$123,4,FALSE)</f>
        <v>45</v>
      </c>
      <c r="G344" s="94" t="str">
        <f t="shared" si="44"/>
        <v/>
      </c>
      <c r="H344" s="94">
        <f t="shared" si="47"/>
        <v>0</v>
      </c>
      <c r="I344" s="94">
        <f t="shared" si="47"/>
        <v>0</v>
      </c>
      <c r="J344" s="94">
        <f t="shared" si="47"/>
        <v>0</v>
      </c>
      <c r="K344" s="94">
        <f t="shared" si="47"/>
        <v>0</v>
      </c>
      <c r="L344" s="94">
        <f t="shared" si="47"/>
        <v>0</v>
      </c>
      <c r="M344" s="94">
        <f t="shared" si="47"/>
        <v>0</v>
      </c>
      <c r="N344" s="94">
        <f t="shared" si="47"/>
        <v>0</v>
      </c>
      <c r="O344" s="94">
        <f t="shared" si="47"/>
        <v>0</v>
      </c>
      <c r="P344" s="94">
        <f t="shared" si="47"/>
        <v>0</v>
      </c>
      <c r="Q344" s="94">
        <f t="shared" si="47"/>
        <v>0</v>
      </c>
    </row>
    <row r="345" spans="2:17" x14ac:dyDescent="0.2">
      <c r="B345" s="90">
        <f t="shared" si="48"/>
        <v>0</v>
      </c>
      <c r="C345" s="90">
        <f t="shared" si="48"/>
        <v>89</v>
      </c>
      <c r="D345" s="95">
        <f t="shared" si="48"/>
        <v>0</v>
      </c>
      <c r="E345" s="96">
        <f t="shared" si="48"/>
        <v>0</v>
      </c>
      <c r="F345" s="93">
        <f>+VLOOKUP(C345,'INV POIR PPERDIDAS'!$C$4:$F$123,4,FALSE)</f>
        <v>1</v>
      </c>
      <c r="G345" s="94">
        <f t="shared" si="44"/>
        <v>0.09</v>
      </c>
      <c r="H345" s="94">
        <f t="shared" si="47"/>
        <v>0</v>
      </c>
      <c r="I345" s="94">
        <f t="shared" si="47"/>
        <v>0</v>
      </c>
      <c r="J345" s="94">
        <f t="shared" si="47"/>
        <v>0</v>
      </c>
      <c r="K345" s="94">
        <f t="shared" si="47"/>
        <v>0</v>
      </c>
      <c r="L345" s="94">
        <f t="shared" si="47"/>
        <v>0</v>
      </c>
      <c r="M345" s="94">
        <f t="shared" si="47"/>
        <v>0</v>
      </c>
      <c r="N345" s="94">
        <f t="shared" si="47"/>
        <v>0</v>
      </c>
      <c r="O345" s="94">
        <f t="shared" si="47"/>
        <v>0</v>
      </c>
      <c r="P345" s="94">
        <f t="shared" si="47"/>
        <v>0</v>
      </c>
      <c r="Q345" s="94">
        <f t="shared" si="47"/>
        <v>0</v>
      </c>
    </row>
    <row r="346" spans="2:17" x14ac:dyDescent="0.2">
      <c r="B346" s="90">
        <f t="shared" si="48"/>
        <v>0</v>
      </c>
      <c r="C346" s="90">
        <f t="shared" si="48"/>
        <v>90</v>
      </c>
      <c r="D346" s="95">
        <f t="shared" si="48"/>
        <v>0</v>
      </c>
      <c r="E346" s="96">
        <f t="shared" si="48"/>
        <v>0</v>
      </c>
      <c r="F346" s="93">
        <f>+VLOOKUP(C346,'INV POIR PPERDIDAS'!$C$4:$F$123,4,FALSE)</f>
        <v>1</v>
      </c>
      <c r="G346" s="94">
        <f t="shared" si="44"/>
        <v>0.09</v>
      </c>
      <c r="H346" s="94">
        <f t="shared" si="47"/>
        <v>0</v>
      </c>
      <c r="I346" s="94">
        <f t="shared" si="47"/>
        <v>0</v>
      </c>
      <c r="J346" s="94">
        <f t="shared" si="47"/>
        <v>0</v>
      </c>
      <c r="K346" s="94">
        <f t="shared" si="47"/>
        <v>0</v>
      </c>
      <c r="L346" s="94">
        <f t="shared" si="47"/>
        <v>0</v>
      </c>
      <c r="M346" s="94">
        <f t="shared" si="47"/>
        <v>0</v>
      </c>
      <c r="N346" s="94">
        <f t="shared" si="47"/>
        <v>0</v>
      </c>
      <c r="O346" s="94">
        <f t="shared" si="47"/>
        <v>0</v>
      </c>
      <c r="P346" s="94">
        <f t="shared" si="47"/>
        <v>0</v>
      </c>
      <c r="Q346" s="94">
        <f t="shared" si="47"/>
        <v>0</v>
      </c>
    </row>
    <row r="347" spans="2:17" x14ac:dyDescent="0.2">
      <c r="B347" s="90">
        <f t="shared" si="48"/>
        <v>0</v>
      </c>
      <c r="C347" s="90">
        <f t="shared" si="48"/>
        <v>91</v>
      </c>
      <c r="D347" s="95">
        <f t="shared" si="48"/>
        <v>0</v>
      </c>
      <c r="E347" s="96">
        <f t="shared" si="48"/>
        <v>0</v>
      </c>
      <c r="F347" s="93">
        <f>+VLOOKUP(C347,'INV POIR PPERDIDAS'!$C$4:$F$123,4,FALSE)</f>
        <v>1</v>
      </c>
      <c r="G347" s="94">
        <f t="shared" si="44"/>
        <v>0.09</v>
      </c>
      <c r="H347" s="94">
        <f t="shared" si="47"/>
        <v>0</v>
      </c>
      <c r="I347" s="94">
        <f t="shared" si="47"/>
        <v>0</v>
      </c>
      <c r="J347" s="94">
        <f t="shared" si="47"/>
        <v>0</v>
      </c>
      <c r="K347" s="94">
        <f t="shared" si="47"/>
        <v>0</v>
      </c>
      <c r="L347" s="94">
        <f t="shared" si="47"/>
        <v>0</v>
      </c>
      <c r="M347" s="94">
        <f t="shared" si="47"/>
        <v>0</v>
      </c>
      <c r="N347" s="94">
        <f t="shared" si="47"/>
        <v>0</v>
      </c>
      <c r="O347" s="94">
        <f t="shared" si="47"/>
        <v>0</v>
      </c>
      <c r="P347" s="94">
        <f t="shared" si="47"/>
        <v>0</v>
      </c>
      <c r="Q347" s="94">
        <f t="shared" si="47"/>
        <v>0</v>
      </c>
    </row>
    <row r="348" spans="2:17" x14ac:dyDescent="0.2">
      <c r="B348" s="90">
        <f t="shared" si="48"/>
        <v>0</v>
      </c>
      <c r="C348" s="90">
        <f t="shared" si="48"/>
        <v>92</v>
      </c>
      <c r="D348" s="95">
        <f t="shared" si="48"/>
        <v>0</v>
      </c>
      <c r="E348" s="96">
        <f t="shared" si="48"/>
        <v>0</v>
      </c>
      <c r="F348" s="93">
        <f>+VLOOKUP(C348,'INV POIR PPERDIDAS'!$C$4:$F$123,4,FALSE)</f>
        <v>1</v>
      </c>
      <c r="G348" s="94">
        <f t="shared" si="44"/>
        <v>0.09</v>
      </c>
      <c r="H348" s="94">
        <f t="shared" si="47"/>
        <v>0</v>
      </c>
      <c r="I348" s="94">
        <f t="shared" si="47"/>
        <v>0</v>
      </c>
      <c r="J348" s="94">
        <f t="shared" si="47"/>
        <v>0</v>
      </c>
      <c r="K348" s="94">
        <f t="shared" si="47"/>
        <v>0</v>
      </c>
      <c r="L348" s="94">
        <f t="shared" si="47"/>
        <v>0</v>
      </c>
      <c r="M348" s="94">
        <f t="shared" si="47"/>
        <v>0</v>
      </c>
      <c r="N348" s="94">
        <f t="shared" si="47"/>
        <v>0</v>
      </c>
      <c r="O348" s="94">
        <f t="shared" si="47"/>
        <v>0</v>
      </c>
      <c r="P348" s="94">
        <f t="shared" si="47"/>
        <v>0</v>
      </c>
      <c r="Q348" s="94">
        <f t="shared" si="47"/>
        <v>0</v>
      </c>
    </row>
    <row r="349" spans="2:17" x14ac:dyDescent="0.2">
      <c r="B349" s="90">
        <f t="shared" si="48"/>
        <v>0</v>
      </c>
      <c r="C349" s="90">
        <f t="shared" si="48"/>
        <v>93</v>
      </c>
      <c r="D349" s="95">
        <f t="shared" si="48"/>
        <v>0</v>
      </c>
      <c r="E349" s="96">
        <f t="shared" si="48"/>
        <v>0</v>
      </c>
      <c r="F349" s="93">
        <f>+VLOOKUP(C349,'INV POIR PPERDIDAS'!$C$4:$F$123,4,FALSE)</f>
        <v>1</v>
      </c>
      <c r="G349" s="94">
        <f t="shared" si="44"/>
        <v>0.09</v>
      </c>
      <c r="H349" s="94">
        <f t="shared" si="47"/>
        <v>0</v>
      </c>
      <c r="I349" s="94">
        <f t="shared" si="47"/>
        <v>0</v>
      </c>
      <c r="J349" s="94">
        <f t="shared" si="47"/>
        <v>0</v>
      </c>
      <c r="K349" s="94">
        <f t="shared" si="47"/>
        <v>0</v>
      </c>
      <c r="L349" s="94">
        <f t="shared" si="47"/>
        <v>0</v>
      </c>
      <c r="M349" s="94">
        <f t="shared" si="47"/>
        <v>0</v>
      </c>
      <c r="N349" s="94">
        <f t="shared" si="47"/>
        <v>0</v>
      </c>
      <c r="O349" s="94">
        <f t="shared" si="47"/>
        <v>0</v>
      </c>
      <c r="P349" s="94">
        <f t="shared" si="47"/>
        <v>0</v>
      </c>
      <c r="Q349" s="94">
        <f t="shared" si="47"/>
        <v>0</v>
      </c>
    </row>
    <row r="350" spans="2:17" x14ac:dyDescent="0.2">
      <c r="B350" s="90">
        <f t="shared" si="48"/>
        <v>0</v>
      </c>
      <c r="C350" s="90">
        <f t="shared" si="48"/>
        <v>94</v>
      </c>
      <c r="D350" s="95">
        <f t="shared" si="48"/>
        <v>0</v>
      </c>
      <c r="E350" s="96">
        <f t="shared" si="48"/>
        <v>0</v>
      </c>
      <c r="F350" s="93">
        <f>+VLOOKUP(C350,'INV POIR PPERDIDAS'!$C$4:$F$123,4,FALSE)</f>
        <v>1</v>
      </c>
      <c r="G350" s="94">
        <f t="shared" si="44"/>
        <v>0.09</v>
      </c>
      <c r="H350" s="94">
        <f t="shared" si="47"/>
        <v>0</v>
      </c>
      <c r="I350" s="94">
        <f t="shared" si="47"/>
        <v>0</v>
      </c>
      <c r="J350" s="94">
        <f t="shared" si="47"/>
        <v>0</v>
      </c>
      <c r="K350" s="94">
        <f t="shared" si="47"/>
        <v>0</v>
      </c>
      <c r="L350" s="94">
        <f t="shared" si="47"/>
        <v>0</v>
      </c>
      <c r="M350" s="94">
        <f t="shared" si="47"/>
        <v>0</v>
      </c>
      <c r="N350" s="94">
        <f t="shared" si="47"/>
        <v>0</v>
      </c>
      <c r="O350" s="94">
        <f t="shared" si="47"/>
        <v>0</v>
      </c>
      <c r="P350" s="94">
        <f t="shared" si="47"/>
        <v>0</v>
      </c>
      <c r="Q350" s="94">
        <f t="shared" si="47"/>
        <v>0</v>
      </c>
    </row>
    <row r="351" spans="2:17" x14ac:dyDescent="0.2">
      <c r="B351" s="90">
        <f t="shared" si="48"/>
        <v>0</v>
      </c>
      <c r="C351" s="90">
        <f t="shared" si="48"/>
        <v>95</v>
      </c>
      <c r="D351" s="95">
        <f t="shared" si="48"/>
        <v>0</v>
      </c>
      <c r="E351" s="96">
        <f t="shared" si="48"/>
        <v>0</v>
      </c>
      <c r="F351" s="93">
        <f>+VLOOKUP(C351,'INV POIR PPERDIDAS'!$C$4:$F$123,4,FALSE)</f>
        <v>1</v>
      </c>
      <c r="G351" s="94">
        <f t="shared" si="44"/>
        <v>0.09</v>
      </c>
      <c r="H351" s="94">
        <f t="shared" si="47"/>
        <v>0</v>
      </c>
      <c r="I351" s="94">
        <f t="shared" si="47"/>
        <v>0</v>
      </c>
      <c r="J351" s="94">
        <f t="shared" si="47"/>
        <v>0</v>
      </c>
      <c r="K351" s="94">
        <f t="shared" si="47"/>
        <v>0</v>
      </c>
      <c r="L351" s="94">
        <f t="shared" si="47"/>
        <v>0</v>
      </c>
      <c r="M351" s="94">
        <f t="shared" si="47"/>
        <v>0</v>
      </c>
      <c r="N351" s="94">
        <f t="shared" si="47"/>
        <v>0</v>
      </c>
      <c r="O351" s="94">
        <f t="shared" si="47"/>
        <v>0</v>
      </c>
      <c r="P351" s="94">
        <f t="shared" si="47"/>
        <v>0</v>
      </c>
      <c r="Q351" s="94">
        <f t="shared" si="47"/>
        <v>0</v>
      </c>
    </row>
    <row r="352" spans="2:17" x14ac:dyDescent="0.2">
      <c r="B352" s="90">
        <f t="shared" si="48"/>
        <v>0</v>
      </c>
      <c r="C352" s="90">
        <f t="shared" si="48"/>
        <v>96</v>
      </c>
      <c r="D352" s="95">
        <f t="shared" si="48"/>
        <v>0</v>
      </c>
      <c r="E352" s="96">
        <f t="shared" si="48"/>
        <v>0</v>
      </c>
      <c r="F352" s="93">
        <f>+VLOOKUP(C352,'INV POIR PPERDIDAS'!$C$4:$F$123,4,FALSE)</f>
        <v>1</v>
      </c>
      <c r="G352" s="94">
        <f t="shared" si="44"/>
        <v>0.09</v>
      </c>
      <c r="H352" s="94">
        <f t="shared" si="47"/>
        <v>0</v>
      </c>
      <c r="I352" s="94">
        <f t="shared" si="47"/>
        <v>0</v>
      </c>
      <c r="J352" s="94">
        <f t="shared" si="47"/>
        <v>0</v>
      </c>
      <c r="K352" s="94">
        <f t="shared" si="47"/>
        <v>0</v>
      </c>
      <c r="L352" s="94">
        <f t="shared" si="47"/>
        <v>0</v>
      </c>
      <c r="M352" s="94">
        <f t="shared" si="47"/>
        <v>0</v>
      </c>
      <c r="N352" s="94">
        <f t="shared" si="47"/>
        <v>0</v>
      </c>
      <c r="O352" s="94">
        <f t="shared" si="47"/>
        <v>0</v>
      </c>
      <c r="P352" s="94">
        <f t="shared" si="47"/>
        <v>0</v>
      </c>
      <c r="Q352" s="94">
        <f t="shared" si="47"/>
        <v>0</v>
      </c>
    </row>
    <row r="353" spans="2:17" x14ac:dyDescent="0.2">
      <c r="B353" s="90">
        <f t="shared" si="48"/>
        <v>0</v>
      </c>
      <c r="C353" s="90">
        <f t="shared" si="48"/>
        <v>97</v>
      </c>
      <c r="D353" s="95">
        <f t="shared" si="48"/>
        <v>0</v>
      </c>
      <c r="E353" s="96">
        <f t="shared" si="48"/>
        <v>0</v>
      </c>
      <c r="F353" s="93">
        <f>+VLOOKUP(C353,'INV POIR PPERDIDAS'!$C$4:$F$123,4,FALSE)</f>
        <v>1</v>
      </c>
      <c r="G353" s="94">
        <f t="shared" si="44"/>
        <v>0.09</v>
      </c>
      <c r="H353" s="94">
        <f t="shared" ref="H353:Q368" si="49">+IFERROR(IF($D105&gt;H$132,0,G229*$C$3),"")</f>
        <v>0</v>
      </c>
      <c r="I353" s="94">
        <f t="shared" si="49"/>
        <v>0</v>
      </c>
      <c r="J353" s="94">
        <f t="shared" si="49"/>
        <v>0</v>
      </c>
      <c r="K353" s="94">
        <f t="shared" si="49"/>
        <v>0</v>
      </c>
      <c r="L353" s="94">
        <f t="shared" si="49"/>
        <v>0</v>
      </c>
      <c r="M353" s="94">
        <f t="shared" si="49"/>
        <v>0</v>
      </c>
      <c r="N353" s="94">
        <f t="shared" si="49"/>
        <v>0</v>
      </c>
      <c r="O353" s="94">
        <f t="shared" si="49"/>
        <v>0</v>
      </c>
      <c r="P353" s="94">
        <f t="shared" si="49"/>
        <v>0</v>
      </c>
      <c r="Q353" s="94">
        <f t="shared" si="49"/>
        <v>0</v>
      </c>
    </row>
    <row r="354" spans="2:17" x14ac:dyDescent="0.2">
      <c r="B354" s="90">
        <f t="shared" ref="B354:E369" si="50">+B230</f>
        <v>0</v>
      </c>
      <c r="C354" s="90">
        <f t="shared" si="50"/>
        <v>98</v>
      </c>
      <c r="D354" s="95">
        <f t="shared" si="50"/>
        <v>0</v>
      </c>
      <c r="E354" s="96">
        <f t="shared" si="50"/>
        <v>0</v>
      </c>
      <c r="F354" s="93">
        <f>+VLOOKUP(C354,'INV POIR PPERDIDAS'!$C$4:$F$123,4,FALSE)</f>
        <v>1</v>
      </c>
      <c r="G354" s="94">
        <f t="shared" si="44"/>
        <v>0.09</v>
      </c>
      <c r="H354" s="94">
        <f t="shared" si="49"/>
        <v>0</v>
      </c>
      <c r="I354" s="94">
        <f t="shared" si="49"/>
        <v>0</v>
      </c>
      <c r="J354" s="94">
        <f t="shared" si="49"/>
        <v>0</v>
      </c>
      <c r="K354" s="94">
        <f t="shared" si="49"/>
        <v>0</v>
      </c>
      <c r="L354" s="94">
        <f t="shared" si="49"/>
        <v>0</v>
      </c>
      <c r="M354" s="94">
        <f t="shared" si="49"/>
        <v>0</v>
      </c>
      <c r="N354" s="94">
        <f t="shared" si="49"/>
        <v>0</v>
      </c>
      <c r="O354" s="94">
        <f t="shared" si="49"/>
        <v>0</v>
      </c>
      <c r="P354" s="94">
        <f t="shared" si="49"/>
        <v>0</v>
      </c>
      <c r="Q354" s="94">
        <f t="shared" si="49"/>
        <v>0</v>
      </c>
    </row>
    <row r="355" spans="2:17" x14ac:dyDescent="0.2">
      <c r="B355" s="90">
        <f t="shared" si="50"/>
        <v>0</v>
      </c>
      <c r="C355" s="90">
        <f t="shared" si="50"/>
        <v>99</v>
      </c>
      <c r="D355" s="95">
        <f t="shared" si="50"/>
        <v>0</v>
      </c>
      <c r="E355" s="96">
        <f t="shared" si="50"/>
        <v>0</v>
      </c>
      <c r="F355" s="93">
        <f>+VLOOKUP(C355,'INV POIR PPERDIDAS'!$C$4:$F$123,4,FALSE)</f>
        <v>1</v>
      </c>
      <c r="G355" s="94">
        <f t="shared" si="44"/>
        <v>0.09</v>
      </c>
      <c r="H355" s="94">
        <f t="shared" si="49"/>
        <v>0</v>
      </c>
      <c r="I355" s="94">
        <f t="shared" si="49"/>
        <v>0</v>
      </c>
      <c r="J355" s="94">
        <f t="shared" si="49"/>
        <v>0</v>
      </c>
      <c r="K355" s="94">
        <f t="shared" si="49"/>
        <v>0</v>
      </c>
      <c r="L355" s="94">
        <f t="shared" si="49"/>
        <v>0</v>
      </c>
      <c r="M355" s="94">
        <f t="shared" si="49"/>
        <v>0</v>
      </c>
      <c r="N355" s="94">
        <f t="shared" si="49"/>
        <v>0</v>
      </c>
      <c r="O355" s="94">
        <f t="shared" si="49"/>
        <v>0</v>
      </c>
      <c r="P355" s="94">
        <f t="shared" si="49"/>
        <v>0</v>
      </c>
      <c r="Q355" s="94">
        <f t="shared" si="49"/>
        <v>0</v>
      </c>
    </row>
    <row r="356" spans="2:17" x14ac:dyDescent="0.2">
      <c r="B356" s="90">
        <f t="shared" si="50"/>
        <v>0</v>
      </c>
      <c r="C356" s="90">
        <f t="shared" si="50"/>
        <v>100</v>
      </c>
      <c r="D356" s="95">
        <f t="shared" si="50"/>
        <v>0</v>
      </c>
      <c r="E356" s="96">
        <f t="shared" si="50"/>
        <v>0</v>
      </c>
      <c r="F356" s="93">
        <f>+VLOOKUP(C356,'INV POIR PPERDIDAS'!$C$4:$F$123,4,FALSE)</f>
        <v>1</v>
      </c>
      <c r="G356" s="94">
        <f t="shared" si="44"/>
        <v>0.09</v>
      </c>
      <c r="H356" s="94">
        <f t="shared" si="49"/>
        <v>0</v>
      </c>
      <c r="I356" s="94">
        <f t="shared" si="49"/>
        <v>0</v>
      </c>
      <c r="J356" s="94">
        <f t="shared" si="49"/>
        <v>0</v>
      </c>
      <c r="K356" s="94">
        <f t="shared" si="49"/>
        <v>0</v>
      </c>
      <c r="L356" s="94">
        <f t="shared" si="49"/>
        <v>0</v>
      </c>
      <c r="M356" s="94">
        <f t="shared" si="49"/>
        <v>0</v>
      </c>
      <c r="N356" s="94">
        <f t="shared" si="49"/>
        <v>0</v>
      </c>
      <c r="O356" s="94">
        <f t="shared" si="49"/>
        <v>0</v>
      </c>
      <c r="P356" s="94">
        <f t="shared" si="49"/>
        <v>0</v>
      </c>
      <c r="Q356" s="94">
        <f t="shared" si="49"/>
        <v>0</v>
      </c>
    </row>
    <row r="357" spans="2:17" x14ac:dyDescent="0.2">
      <c r="B357" s="90">
        <f t="shared" si="50"/>
        <v>0</v>
      </c>
      <c r="C357" s="90">
        <f t="shared" si="50"/>
        <v>101</v>
      </c>
      <c r="D357" s="95">
        <f t="shared" si="50"/>
        <v>0</v>
      </c>
      <c r="E357" s="96">
        <f t="shared" si="50"/>
        <v>0</v>
      </c>
      <c r="F357" s="93">
        <f>+VLOOKUP(C357,'INV POIR PPERDIDAS'!$C$4:$F$123,4,FALSE)</f>
        <v>1</v>
      </c>
      <c r="G357" s="94">
        <f t="shared" si="44"/>
        <v>0.09</v>
      </c>
      <c r="H357" s="94">
        <f t="shared" si="49"/>
        <v>0</v>
      </c>
      <c r="I357" s="94">
        <f t="shared" si="49"/>
        <v>0</v>
      </c>
      <c r="J357" s="94">
        <f t="shared" si="49"/>
        <v>0</v>
      </c>
      <c r="K357" s="94">
        <f t="shared" si="49"/>
        <v>0</v>
      </c>
      <c r="L357" s="94">
        <f t="shared" si="49"/>
        <v>0</v>
      </c>
      <c r="M357" s="94">
        <f t="shared" si="49"/>
        <v>0</v>
      </c>
      <c r="N357" s="94">
        <f t="shared" si="49"/>
        <v>0</v>
      </c>
      <c r="O357" s="94">
        <f t="shared" si="49"/>
        <v>0</v>
      </c>
      <c r="P357" s="94">
        <f t="shared" si="49"/>
        <v>0</v>
      </c>
      <c r="Q357" s="94">
        <f t="shared" si="49"/>
        <v>0</v>
      </c>
    </row>
    <row r="358" spans="2:17" x14ac:dyDescent="0.2">
      <c r="B358" s="90">
        <f t="shared" si="50"/>
        <v>0</v>
      </c>
      <c r="C358" s="90">
        <f t="shared" si="50"/>
        <v>102</v>
      </c>
      <c r="D358" s="95">
        <f t="shared" si="50"/>
        <v>0</v>
      </c>
      <c r="E358" s="96">
        <f t="shared" si="50"/>
        <v>0</v>
      </c>
      <c r="F358" s="93">
        <f>+VLOOKUP(C358,'INV POIR PPERDIDAS'!$C$4:$F$123,4,FALSE)</f>
        <v>1</v>
      </c>
      <c r="G358" s="94">
        <f t="shared" si="44"/>
        <v>0.09</v>
      </c>
      <c r="H358" s="94">
        <f t="shared" si="49"/>
        <v>0</v>
      </c>
      <c r="I358" s="94">
        <f t="shared" si="49"/>
        <v>0</v>
      </c>
      <c r="J358" s="94">
        <f t="shared" si="49"/>
        <v>0</v>
      </c>
      <c r="K358" s="94">
        <f t="shared" si="49"/>
        <v>0</v>
      </c>
      <c r="L358" s="94">
        <f t="shared" si="49"/>
        <v>0</v>
      </c>
      <c r="M358" s="94">
        <f t="shared" si="49"/>
        <v>0</v>
      </c>
      <c r="N358" s="94">
        <f t="shared" si="49"/>
        <v>0</v>
      </c>
      <c r="O358" s="94">
        <f t="shared" si="49"/>
        <v>0</v>
      </c>
      <c r="P358" s="94">
        <f t="shared" si="49"/>
        <v>0</v>
      </c>
      <c r="Q358" s="94">
        <f t="shared" si="49"/>
        <v>0</v>
      </c>
    </row>
    <row r="359" spans="2:17" x14ac:dyDescent="0.2">
      <c r="B359" s="90">
        <f t="shared" si="50"/>
        <v>0</v>
      </c>
      <c r="C359" s="90">
        <f t="shared" si="50"/>
        <v>103</v>
      </c>
      <c r="D359" s="95">
        <f t="shared" si="50"/>
        <v>0</v>
      </c>
      <c r="E359" s="96">
        <f t="shared" si="50"/>
        <v>0</v>
      </c>
      <c r="F359" s="93">
        <f>+VLOOKUP(C359,'INV POIR PPERDIDAS'!$C$4:$F$123,4,FALSE)</f>
        <v>1</v>
      </c>
      <c r="G359" s="94">
        <f t="shared" si="44"/>
        <v>0.09</v>
      </c>
      <c r="H359" s="94">
        <f t="shared" si="49"/>
        <v>0</v>
      </c>
      <c r="I359" s="94">
        <f t="shared" si="49"/>
        <v>0</v>
      </c>
      <c r="J359" s="94">
        <f t="shared" si="49"/>
        <v>0</v>
      </c>
      <c r="K359" s="94">
        <f t="shared" si="49"/>
        <v>0</v>
      </c>
      <c r="L359" s="94">
        <f t="shared" si="49"/>
        <v>0</v>
      </c>
      <c r="M359" s="94">
        <f t="shared" si="49"/>
        <v>0</v>
      </c>
      <c r="N359" s="94">
        <f t="shared" si="49"/>
        <v>0</v>
      </c>
      <c r="O359" s="94">
        <f t="shared" si="49"/>
        <v>0</v>
      </c>
      <c r="P359" s="94">
        <f t="shared" si="49"/>
        <v>0</v>
      </c>
      <c r="Q359" s="94">
        <f t="shared" si="49"/>
        <v>0</v>
      </c>
    </row>
    <row r="360" spans="2:17" x14ac:dyDescent="0.2">
      <c r="B360" s="90">
        <f t="shared" si="50"/>
        <v>0</v>
      </c>
      <c r="C360" s="90">
        <f t="shared" si="50"/>
        <v>104</v>
      </c>
      <c r="D360" s="95">
        <f t="shared" si="50"/>
        <v>0</v>
      </c>
      <c r="E360" s="96">
        <f t="shared" si="50"/>
        <v>0</v>
      </c>
      <c r="F360" s="93">
        <f>+VLOOKUP(C360,'INV POIR PPERDIDAS'!$C$4:$F$123,4,FALSE)</f>
        <v>1</v>
      </c>
      <c r="G360" s="94">
        <f t="shared" si="44"/>
        <v>0.09</v>
      </c>
      <c r="H360" s="94">
        <f t="shared" si="49"/>
        <v>0</v>
      </c>
      <c r="I360" s="94">
        <f t="shared" si="49"/>
        <v>0</v>
      </c>
      <c r="J360" s="94">
        <f t="shared" si="49"/>
        <v>0</v>
      </c>
      <c r="K360" s="94">
        <f t="shared" si="49"/>
        <v>0</v>
      </c>
      <c r="L360" s="94">
        <f t="shared" si="49"/>
        <v>0</v>
      </c>
      <c r="M360" s="94">
        <f t="shared" si="49"/>
        <v>0</v>
      </c>
      <c r="N360" s="94">
        <f t="shared" si="49"/>
        <v>0</v>
      </c>
      <c r="O360" s="94">
        <f t="shared" si="49"/>
        <v>0</v>
      </c>
      <c r="P360" s="94">
        <f t="shared" si="49"/>
        <v>0</v>
      </c>
      <c r="Q360" s="94">
        <f t="shared" si="49"/>
        <v>0</v>
      </c>
    </row>
    <row r="361" spans="2:17" x14ac:dyDescent="0.2">
      <c r="B361" s="90">
        <f t="shared" si="50"/>
        <v>0</v>
      </c>
      <c r="C361" s="90">
        <f t="shared" si="50"/>
        <v>105</v>
      </c>
      <c r="D361" s="95">
        <f t="shared" si="50"/>
        <v>0</v>
      </c>
      <c r="E361" s="96">
        <f t="shared" si="50"/>
        <v>0</v>
      </c>
      <c r="F361" s="93">
        <f>+VLOOKUP(C361,'INV POIR PPERDIDAS'!$C$4:$F$123,4,FALSE)</f>
        <v>1</v>
      </c>
      <c r="G361" s="94">
        <f t="shared" si="44"/>
        <v>0.09</v>
      </c>
      <c r="H361" s="94">
        <f t="shared" si="49"/>
        <v>0</v>
      </c>
      <c r="I361" s="94">
        <f t="shared" si="49"/>
        <v>0</v>
      </c>
      <c r="J361" s="94">
        <f t="shared" si="49"/>
        <v>0</v>
      </c>
      <c r="K361" s="94">
        <f t="shared" si="49"/>
        <v>0</v>
      </c>
      <c r="L361" s="94">
        <f t="shared" si="49"/>
        <v>0</v>
      </c>
      <c r="M361" s="94">
        <f t="shared" si="49"/>
        <v>0</v>
      </c>
      <c r="N361" s="94">
        <f t="shared" si="49"/>
        <v>0</v>
      </c>
      <c r="O361" s="94">
        <f t="shared" si="49"/>
        <v>0</v>
      </c>
      <c r="P361" s="94">
        <f t="shared" si="49"/>
        <v>0</v>
      </c>
      <c r="Q361" s="94">
        <f t="shared" si="49"/>
        <v>0</v>
      </c>
    </row>
    <row r="362" spans="2:17" x14ac:dyDescent="0.2">
      <c r="B362" s="90">
        <f t="shared" si="50"/>
        <v>0</v>
      </c>
      <c r="C362" s="90">
        <f t="shared" si="50"/>
        <v>106</v>
      </c>
      <c r="D362" s="95">
        <f t="shared" si="50"/>
        <v>0</v>
      </c>
      <c r="E362" s="96">
        <f t="shared" si="50"/>
        <v>0</v>
      </c>
      <c r="F362" s="93">
        <f>+VLOOKUP(C362,'INV POIR PPERDIDAS'!$C$4:$F$123,4,FALSE)</f>
        <v>1</v>
      </c>
      <c r="G362" s="94">
        <f t="shared" si="44"/>
        <v>0.09</v>
      </c>
      <c r="H362" s="94">
        <f t="shared" si="49"/>
        <v>0</v>
      </c>
      <c r="I362" s="94">
        <f t="shared" si="49"/>
        <v>0</v>
      </c>
      <c r="J362" s="94">
        <f t="shared" si="49"/>
        <v>0</v>
      </c>
      <c r="K362" s="94">
        <f t="shared" si="49"/>
        <v>0</v>
      </c>
      <c r="L362" s="94">
        <f t="shared" si="49"/>
        <v>0</v>
      </c>
      <c r="M362" s="94">
        <f t="shared" si="49"/>
        <v>0</v>
      </c>
      <c r="N362" s="94">
        <f t="shared" si="49"/>
        <v>0</v>
      </c>
      <c r="O362" s="94">
        <f t="shared" si="49"/>
        <v>0</v>
      </c>
      <c r="P362" s="94">
        <f t="shared" si="49"/>
        <v>0</v>
      </c>
      <c r="Q362" s="94">
        <f t="shared" si="49"/>
        <v>0</v>
      </c>
    </row>
    <row r="363" spans="2:17" x14ac:dyDescent="0.2">
      <c r="B363" s="90">
        <f t="shared" si="50"/>
        <v>0</v>
      </c>
      <c r="C363" s="90">
        <f t="shared" si="50"/>
        <v>107</v>
      </c>
      <c r="D363" s="95">
        <f t="shared" si="50"/>
        <v>0</v>
      </c>
      <c r="E363" s="96">
        <f t="shared" si="50"/>
        <v>0</v>
      </c>
      <c r="F363" s="93">
        <f>+VLOOKUP(C363,'INV POIR PPERDIDAS'!$C$4:$F$123,4,FALSE)</f>
        <v>1</v>
      </c>
      <c r="G363" s="94">
        <f t="shared" si="44"/>
        <v>0.09</v>
      </c>
      <c r="H363" s="94">
        <f t="shared" si="49"/>
        <v>0</v>
      </c>
      <c r="I363" s="94">
        <f t="shared" si="49"/>
        <v>0</v>
      </c>
      <c r="J363" s="94">
        <f t="shared" si="49"/>
        <v>0</v>
      </c>
      <c r="K363" s="94">
        <f t="shared" si="49"/>
        <v>0</v>
      </c>
      <c r="L363" s="94">
        <f t="shared" si="49"/>
        <v>0</v>
      </c>
      <c r="M363" s="94">
        <f t="shared" si="49"/>
        <v>0</v>
      </c>
      <c r="N363" s="94">
        <f t="shared" si="49"/>
        <v>0</v>
      </c>
      <c r="O363" s="94">
        <f t="shared" si="49"/>
        <v>0</v>
      </c>
      <c r="P363" s="94">
        <f t="shared" si="49"/>
        <v>0</v>
      </c>
      <c r="Q363" s="94">
        <f t="shared" si="49"/>
        <v>0</v>
      </c>
    </row>
    <row r="364" spans="2:17" x14ac:dyDescent="0.2">
      <c r="B364" s="90">
        <f t="shared" si="50"/>
        <v>0</v>
      </c>
      <c r="C364" s="90">
        <f t="shared" si="50"/>
        <v>108</v>
      </c>
      <c r="D364" s="95">
        <f t="shared" si="50"/>
        <v>0</v>
      </c>
      <c r="E364" s="96">
        <f t="shared" si="50"/>
        <v>0</v>
      </c>
      <c r="F364" s="93">
        <f>+VLOOKUP(C364,'INV POIR PPERDIDAS'!$C$4:$F$123,4,FALSE)</f>
        <v>1</v>
      </c>
      <c r="G364" s="94">
        <f t="shared" si="44"/>
        <v>0.09</v>
      </c>
      <c r="H364" s="94">
        <f t="shared" si="49"/>
        <v>0</v>
      </c>
      <c r="I364" s="94">
        <f t="shared" si="49"/>
        <v>0</v>
      </c>
      <c r="J364" s="94">
        <f t="shared" si="49"/>
        <v>0</v>
      </c>
      <c r="K364" s="94">
        <f t="shared" si="49"/>
        <v>0</v>
      </c>
      <c r="L364" s="94">
        <f t="shared" si="49"/>
        <v>0</v>
      </c>
      <c r="M364" s="94">
        <f t="shared" si="49"/>
        <v>0</v>
      </c>
      <c r="N364" s="94">
        <f t="shared" si="49"/>
        <v>0</v>
      </c>
      <c r="O364" s="94">
        <f t="shared" si="49"/>
        <v>0</v>
      </c>
      <c r="P364" s="94">
        <f t="shared" si="49"/>
        <v>0</v>
      </c>
      <c r="Q364" s="94">
        <f t="shared" si="49"/>
        <v>0</v>
      </c>
    </row>
    <row r="365" spans="2:17" x14ac:dyDescent="0.2">
      <c r="B365" s="90">
        <f t="shared" si="50"/>
        <v>0</v>
      </c>
      <c r="C365" s="90">
        <f t="shared" si="50"/>
        <v>109</v>
      </c>
      <c r="D365" s="95">
        <f t="shared" si="50"/>
        <v>0</v>
      </c>
      <c r="E365" s="96">
        <f t="shared" si="50"/>
        <v>0</v>
      </c>
      <c r="F365" s="93">
        <f>+VLOOKUP(C365,'INV POIR PPERDIDAS'!$C$4:$F$123,4,FALSE)</f>
        <v>1</v>
      </c>
      <c r="G365" s="94">
        <f t="shared" si="44"/>
        <v>0.09</v>
      </c>
      <c r="H365" s="94">
        <f t="shared" si="49"/>
        <v>0</v>
      </c>
      <c r="I365" s="94">
        <f t="shared" si="49"/>
        <v>0</v>
      </c>
      <c r="J365" s="94">
        <f t="shared" si="49"/>
        <v>0</v>
      </c>
      <c r="K365" s="94">
        <f t="shared" si="49"/>
        <v>0</v>
      </c>
      <c r="L365" s="94">
        <f t="shared" si="49"/>
        <v>0</v>
      </c>
      <c r="M365" s="94">
        <f t="shared" si="49"/>
        <v>0</v>
      </c>
      <c r="N365" s="94">
        <f t="shared" si="49"/>
        <v>0</v>
      </c>
      <c r="O365" s="94">
        <f t="shared" si="49"/>
        <v>0</v>
      </c>
      <c r="P365" s="94">
        <f t="shared" si="49"/>
        <v>0</v>
      </c>
      <c r="Q365" s="94">
        <f t="shared" si="49"/>
        <v>0</v>
      </c>
    </row>
    <row r="366" spans="2:17" x14ac:dyDescent="0.2">
      <c r="B366" s="90">
        <f t="shared" si="50"/>
        <v>0</v>
      </c>
      <c r="C366" s="90">
        <f t="shared" si="50"/>
        <v>110</v>
      </c>
      <c r="D366" s="95">
        <f t="shared" si="50"/>
        <v>0</v>
      </c>
      <c r="E366" s="96">
        <f t="shared" si="50"/>
        <v>0</v>
      </c>
      <c r="F366" s="93">
        <f>+VLOOKUP(C366,'INV POIR PPERDIDAS'!$C$4:$F$123,4,FALSE)</f>
        <v>1</v>
      </c>
      <c r="G366" s="94">
        <f t="shared" si="44"/>
        <v>0.09</v>
      </c>
      <c r="H366" s="94">
        <f t="shared" si="49"/>
        <v>0</v>
      </c>
      <c r="I366" s="94">
        <f t="shared" si="49"/>
        <v>0</v>
      </c>
      <c r="J366" s="94">
        <f t="shared" si="49"/>
        <v>0</v>
      </c>
      <c r="K366" s="94">
        <f t="shared" si="49"/>
        <v>0</v>
      </c>
      <c r="L366" s="94">
        <f t="shared" si="49"/>
        <v>0</v>
      </c>
      <c r="M366" s="94">
        <f t="shared" si="49"/>
        <v>0</v>
      </c>
      <c r="N366" s="94">
        <f t="shared" si="49"/>
        <v>0</v>
      </c>
      <c r="O366" s="94">
        <f t="shared" si="49"/>
        <v>0</v>
      </c>
      <c r="P366" s="94">
        <f t="shared" si="49"/>
        <v>0</v>
      </c>
      <c r="Q366" s="94">
        <f t="shared" si="49"/>
        <v>0</v>
      </c>
    </row>
    <row r="367" spans="2:17" x14ac:dyDescent="0.2">
      <c r="B367" s="90">
        <f t="shared" si="50"/>
        <v>0</v>
      </c>
      <c r="C367" s="90">
        <f t="shared" si="50"/>
        <v>111</v>
      </c>
      <c r="D367" s="95">
        <f t="shared" si="50"/>
        <v>0</v>
      </c>
      <c r="E367" s="96">
        <f t="shared" si="50"/>
        <v>0</v>
      </c>
      <c r="F367" s="93">
        <f>+VLOOKUP(C367,'INV POIR PPERDIDAS'!$C$4:$F$123,4,FALSE)</f>
        <v>1</v>
      </c>
      <c r="G367" s="94">
        <f t="shared" si="44"/>
        <v>0.09</v>
      </c>
      <c r="H367" s="94">
        <f t="shared" si="49"/>
        <v>0</v>
      </c>
      <c r="I367" s="94">
        <f t="shared" si="49"/>
        <v>0</v>
      </c>
      <c r="J367" s="94">
        <f t="shared" si="49"/>
        <v>0</v>
      </c>
      <c r="K367" s="94">
        <f t="shared" si="49"/>
        <v>0</v>
      </c>
      <c r="L367" s="94">
        <f t="shared" si="49"/>
        <v>0</v>
      </c>
      <c r="M367" s="94">
        <f t="shared" si="49"/>
        <v>0</v>
      </c>
      <c r="N367" s="94">
        <f t="shared" si="49"/>
        <v>0</v>
      </c>
      <c r="O367" s="94">
        <f t="shared" si="49"/>
        <v>0</v>
      </c>
      <c r="P367" s="94">
        <f t="shared" si="49"/>
        <v>0</v>
      </c>
      <c r="Q367" s="94">
        <f t="shared" si="49"/>
        <v>0</v>
      </c>
    </row>
    <row r="368" spans="2:17" x14ac:dyDescent="0.2">
      <c r="B368" s="90">
        <f t="shared" si="50"/>
        <v>0</v>
      </c>
      <c r="C368" s="90">
        <f t="shared" si="50"/>
        <v>112</v>
      </c>
      <c r="D368" s="95">
        <f t="shared" si="50"/>
        <v>0</v>
      </c>
      <c r="E368" s="96">
        <f t="shared" si="50"/>
        <v>0</v>
      </c>
      <c r="F368" s="93">
        <f>+VLOOKUP(C368,'INV POIR PPERDIDAS'!$C$4:$F$123,4,FALSE)</f>
        <v>1</v>
      </c>
      <c r="G368" s="94">
        <f t="shared" si="44"/>
        <v>0.09</v>
      </c>
      <c r="H368" s="94">
        <f t="shared" si="49"/>
        <v>0</v>
      </c>
      <c r="I368" s="94">
        <f t="shared" si="49"/>
        <v>0</v>
      </c>
      <c r="J368" s="94">
        <f t="shared" si="49"/>
        <v>0</v>
      </c>
      <c r="K368" s="94">
        <f t="shared" si="49"/>
        <v>0</v>
      </c>
      <c r="L368" s="94">
        <f t="shared" si="49"/>
        <v>0</v>
      </c>
      <c r="M368" s="94">
        <f t="shared" si="49"/>
        <v>0</v>
      </c>
      <c r="N368" s="94">
        <f t="shared" si="49"/>
        <v>0</v>
      </c>
      <c r="O368" s="94">
        <f t="shared" si="49"/>
        <v>0</v>
      </c>
      <c r="P368" s="94">
        <f t="shared" si="49"/>
        <v>0</v>
      </c>
      <c r="Q368" s="94">
        <f t="shared" si="49"/>
        <v>0</v>
      </c>
    </row>
    <row r="369" spans="2:17" x14ac:dyDescent="0.2">
      <c r="B369" s="90">
        <f t="shared" si="50"/>
        <v>0</v>
      </c>
      <c r="C369" s="90">
        <f t="shared" si="50"/>
        <v>113</v>
      </c>
      <c r="D369" s="95">
        <f t="shared" si="50"/>
        <v>0</v>
      </c>
      <c r="E369" s="96">
        <f t="shared" si="50"/>
        <v>0</v>
      </c>
      <c r="F369" s="93">
        <f>+VLOOKUP(C369,'INV POIR PPERDIDAS'!$C$4:$F$123,4,FALSE)</f>
        <v>1</v>
      </c>
      <c r="G369" s="94">
        <f t="shared" si="44"/>
        <v>0.09</v>
      </c>
      <c r="H369" s="94">
        <f t="shared" ref="H369:Q376" si="51">+IFERROR(IF($D121&gt;H$132,0,G245*$C$3),"")</f>
        <v>0</v>
      </c>
      <c r="I369" s="94">
        <f t="shared" si="51"/>
        <v>0</v>
      </c>
      <c r="J369" s="94">
        <f t="shared" si="51"/>
        <v>0</v>
      </c>
      <c r="K369" s="94">
        <f t="shared" si="51"/>
        <v>0</v>
      </c>
      <c r="L369" s="94">
        <f t="shared" si="51"/>
        <v>0</v>
      </c>
      <c r="M369" s="94">
        <f t="shared" si="51"/>
        <v>0</v>
      </c>
      <c r="N369" s="94">
        <f t="shared" si="51"/>
        <v>0</v>
      </c>
      <c r="O369" s="94">
        <f t="shared" si="51"/>
        <v>0</v>
      </c>
      <c r="P369" s="94">
        <f t="shared" si="51"/>
        <v>0</v>
      </c>
      <c r="Q369" s="94">
        <f t="shared" si="51"/>
        <v>0</v>
      </c>
    </row>
    <row r="370" spans="2:17" x14ac:dyDescent="0.2">
      <c r="B370" s="90">
        <f t="shared" ref="B370:E376" si="52">+B246</f>
        <v>0</v>
      </c>
      <c r="C370" s="90">
        <f t="shared" si="52"/>
        <v>114</v>
      </c>
      <c r="D370" s="95">
        <f t="shared" si="52"/>
        <v>0</v>
      </c>
      <c r="E370" s="96">
        <f t="shared" si="52"/>
        <v>0</v>
      </c>
      <c r="F370" s="93">
        <f>+VLOOKUP(C370,'INV POIR PPERDIDAS'!$C$4:$F$123,4,FALSE)</f>
        <v>1</v>
      </c>
      <c r="G370" s="94">
        <f t="shared" si="44"/>
        <v>0.09</v>
      </c>
      <c r="H370" s="94">
        <f t="shared" si="51"/>
        <v>0</v>
      </c>
      <c r="I370" s="94">
        <f t="shared" si="51"/>
        <v>0</v>
      </c>
      <c r="J370" s="94">
        <f t="shared" si="51"/>
        <v>0</v>
      </c>
      <c r="K370" s="94">
        <f t="shared" si="51"/>
        <v>0</v>
      </c>
      <c r="L370" s="94">
        <f t="shared" si="51"/>
        <v>0</v>
      </c>
      <c r="M370" s="94">
        <f t="shared" si="51"/>
        <v>0</v>
      </c>
      <c r="N370" s="94">
        <f t="shared" si="51"/>
        <v>0</v>
      </c>
      <c r="O370" s="94">
        <f t="shared" si="51"/>
        <v>0</v>
      </c>
      <c r="P370" s="94">
        <f t="shared" si="51"/>
        <v>0</v>
      </c>
      <c r="Q370" s="94">
        <f t="shared" si="51"/>
        <v>0</v>
      </c>
    </row>
    <row r="371" spans="2:17" x14ac:dyDescent="0.2">
      <c r="B371" s="90">
        <f t="shared" si="52"/>
        <v>0</v>
      </c>
      <c r="C371" s="90">
        <f t="shared" si="52"/>
        <v>115</v>
      </c>
      <c r="D371" s="95">
        <f t="shared" si="52"/>
        <v>0</v>
      </c>
      <c r="E371" s="96">
        <f t="shared" si="52"/>
        <v>0</v>
      </c>
      <c r="F371" s="93">
        <f>+VLOOKUP(C371,'INV POIR PPERDIDAS'!$C$4:$F$123,4,FALSE)</f>
        <v>1</v>
      </c>
      <c r="G371" s="94">
        <f t="shared" si="44"/>
        <v>0.09</v>
      </c>
      <c r="H371" s="94">
        <f t="shared" si="51"/>
        <v>0</v>
      </c>
      <c r="I371" s="94">
        <f t="shared" si="51"/>
        <v>0</v>
      </c>
      <c r="J371" s="94">
        <f t="shared" si="51"/>
        <v>0</v>
      </c>
      <c r="K371" s="94">
        <f t="shared" si="51"/>
        <v>0</v>
      </c>
      <c r="L371" s="94">
        <f t="shared" si="51"/>
        <v>0</v>
      </c>
      <c r="M371" s="94">
        <f t="shared" si="51"/>
        <v>0</v>
      </c>
      <c r="N371" s="94">
        <f t="shared" si="51"/>
        <v>0</v>
      </c>
      <c r="O371" s="94">
        <f t="shared" si="51"/>
        <v>0</v>
      </c>
      <c r="P371" s="94">
        <f t="shared" si="51"/>
        <v>0</v>
      </c>
      <c r="Q371" s="94">
        <f t="shared" si="51"/>
        <v>0</v>
      </c>
    </row>
    <row r="372" spans="2:17" x14ac:dyDescent="0.2">
      <c r="B372" s="90">
        <f t="shared" si="52"/>
        <v>0</v>
      </c>
      <c r="C372" s="90">
        <f t="shared" si="52"/>
        <v>116</v>
      </c>
      <c r="D372" s="95">
        <f t="shared" si="52"/>
        <v>0</v>
      </c>
      <c r="E372" s="96">
        <f t="shared" si="52"/>
        <v>0</v>
      </c>
      <c r="F372" s="93">
        <f>+VLOOKUP(C372,'INV POIR PPERDIDAS'!$C$4:$F$123,4,FALSE)</f>
        <v>1</v>
      </c>
      <c r="G372" s="94">
        <f t="shared" si="44"/>
        <v>0.09</v>
      </c>
      <c r="H372" s="94">
        <f t="shared" si="51"/>
        <v>0</v>
      </c>
      <c r="I372" s="94">
        <f t="shared" si="51"/>
        <v>0</v>
      </c>
      <c r="J372" s="94">
        <f t="shared" si="51"/>
        <v>0</v>
      </c>
      <c r="K372" s="94">
        <f t="shared" si="51"/>
        <v>0</v>
      </c>
      <c r="L372" s="94">
        <f t="shared" si="51"/>
        <v>0</v>
      </c>
      <c r="M372" s="94">
        <f t="shared" si="51"/>
        <v>0</v>
      </c>
      <c r="N372" s="94">
        <f t="shared" si="51"/>
        <v>0</v>
      </c>
      <c r="O372" s="94">
        <f t="shared" si="51"/>
        <v>0</v>
      </c>
      <c r="P372" s="94">
        <f t="shared" si="51"/>
        <v>0</v>
      </c>
      <c r="Q372" s="94">
        <f t="shared" si="51"/>
        <v>0</v>
      </c>
    </row>
    <row r="373" spans="2:17" x14ac:dyDescent="0.2">
      <c r="B373" s="90">
        <f t="shared" si="52"/>
        <v>0</v>
      </c>
      <c r="C373" s="90">
        <f t="shared" si="52"/>
        <v>117</v>
      </c>
      <c r="D373" s="95">
        <f t="shared" si="52"/>
        <v>0</v>
      </c>
      <c r="E373" s="96">
        <f t="shared" si="52"/>
        <v>0</v>
      </c>
      <c r="F373" s="93">
        <f>+VLOOKUP(C373,'INV POIR PPERDIDAS'!$C$4:$F$123,4,FALSE)</f>
        <v>1</v>
      </c>
      <c r="G373" s="94">
        <f t="shared" si="44"/>
        <v>0.09</v>
      </c>
      <c r="H373" s="94">
        <f t="shared" si="51"/>
        <v>0</v>
      </c>
      <c r="I373" s="94">
        <f t="shared" si="51"/>
        <v>0</v>
      </c>
      <c r="J373" s="94">
        <f t="shared" si="51"/>
        <v>0</v>
      </c>
      <c r="K373" s="94">
        <f t="shared" si="51"/>
        <v>0</v>
      </c>
      <c r="L373" s="94">
        <f t="shared" si="51"/>
        <v>0</v>
      </c>
      <c r="M373" s="94">
        <f t="shared" si="51"/>
        <v>0</v>
      </c>
      <c r="N373" s="94">
        <f t="shared" si="51"/>
        <v>0</v>
      </c>
      <c r="O373" s="94">
        <f t="shared" si="51"/>
        <v>0</v>
      </c>
      <c r="P373" s="94">
        <f t="shared" si="51"/>
        <v>0</v>
      </c>
      <c r="Q373" s="94">
        <f t="shared" si="51"/>
        <v>0</v>
      </c>
    </row>
    <row r="374" spans="2:17" x14ac:dyDescent="0.2">
      <c r="B374" s="90">
        <f t="shared" si="52"/>
        <v>0</v>
      </c>
      <c r="C374" s="90">
        <f t="shared" si="52"/>
        <v>118</v>
      </c>
      <c r="D374" s="95">
        <f t="shared" si="52"/>
        <v>0</v>
      </c>
      <c r="E374" s="96">
        <f t="shared" si="52"/>
        <v>0</v>
      </c>
      <c r="F374" s="93">
        <f>+VLOOKUP(C374,'INV POIR PPERDIDAS'!$C$4:$F$123,4,FALSE)</f>
        <v>1</v>
      </c>
      <c r="G374" s="94">
        <f t="shared" si="44"/>
        <v>0.09</v>
      </c>
      <c r="H374" s="94">
        <f t="shared" si="51"/>
        <v>0</v>
      </c>
      <c r="I374" s="94">
        <f t="shared" si="51"/>
        <v>0</v>
      </c>
      <c r="J374" s="94">
        <f t="shared" si="51"/>
        <v>0</v>
      </c>
      <c r="K374" s="94">
        <f t="shared" si="51"/>
        <v>0</v>
      </c>
      <c r="L374" s="94">
        <f t="shared" si="51"/>
        <v>0</v>
      </c>
      <c r="M374" s="94">
        <f t="shared" si="51"/>
        <v>0</v>
      </c>
      <c r="N374" s="94">
        <f t="shared" si="51"/>
        <v>0</v>
      </c>
      <c r="O374" s="94">
        <f t="shared" si="51"/>
        <v>0</v>
      </c>
      <c r="P374" s="94">
        <f t="shared" si="51"/>
        <v>0</v>
      </c>
      <c r="Q374" s="94">
        <f t="shared" si="51"/>
        <v>0</v>
      </c>
    </row>
    <row r="375" spans="2:17" x14ac:dyDescent="0.2">
      <c r="B375" s="90">
        <f t="shared" si="52"/>
        <v>0</v>
      </c>
      <c r="C375" s="90">
        <f t="shared" si="52"/>
        <v>119</v>
      </c>
      <c r="D375" s="95">
        <f t="shared" si="52"/>
        <v>0</v>
      </c>
      <c r="E375" s="96">
        <f t="shared" si="52"/>
        <v>0</v>
      </c>
      <c r="F375" s="93">
        <f>+VLOOKUP(C375,'INV POIR PPERDIDAS'!$C$4:$F$123,4,FALSE)</f>
        <v>1</v>
      </c>
      <c r="G375" s="94">
        <f t="shared" si="44"/>
        <v>0.09</v>
      </c>
      <c r="H375" s="94">
        <f t="shared" si="51"/>
        <v>0</v>
      </c>
      <c r="I375" s="94">
        <f t="shared" si="51"/>
        <v>0</v>
      </c>
      <c r="J375" s="94">
        <f t="shared" si="51"/>
        <v>0</v>
      </c>
      <c r="K375" s="94">
        <f t="shared" si="51"/>
        <v>0</v>
      </c>
      <c r="L375" s="94">
        <f t="shared" si="51"/>
        <v>0</v>
      </c>
      <c r="M375" s="94">
        <f t="shared" si="51"/>
        <v>0</v>
      </c>
      <c r="N375" s="94">
        <f t="shared" si="51"/>
        <v>0</v>
      </c>
      <c r="O375" s="94">
        <f t="shared" si="51"/>
        <v>0</v>
      </c>
      <c r="P375" s="94">
        <f t="shared" si="51"/>
        <v>0</v>
      </c>
      <c r="Q375" s="94">
        <f t="shared" si="51"/>
        <v>0</v>
      </c>
    </row>
    <row r="376" spans="2:17" x14ac:dyDescent="0.2">
      <c r="B376" s="90">
        <f t="shared" si="52"/>
        <v>0</v>
      </c>
      <c r="C376" s="90">
        <f t="shared" si="52"/>
        <v>120</v>
      </c>
      <c r="D376" s="95">
        <f t="shared" si="52"/>
        <v>0</v>
      </c>
      <c r="E376" s="96">
        <f t="shared" si="52"/>
        <v>0</v>
      </c>
      <c r="F376" s="93">
        <f>+VLOOKUP(C376,'INV POIR PPERDIDAS'!$C$4:$F$123,4,FALSE)</f>
        <v>1</v>
      </c>
      <c r="G376" s="94">
        <f>+IFERROR(IF($D128&gt;G$132,"",F252*$C$3),"")</f>
        <v>0.09</v>
      </c>
      <c r="H376" s="94">
        <f t="shared" si="51"/>
        <v>0</v>
      </c>
      <c r="I376" s="94">
        <f t="shared" si="51"/>
        <v>0</v>
      </c>
      <c r="J376" s="94">
        <f t="shared" si="51"/>
        <v>0</v>
      </c>
      <c r="K376" s="94">
        <f t="shared" si="51"/>
        <v>0</v>
      </c>
      <c r="L376" s="94">
        <f t="shared" si="51"/>
        <v>0</v>
      </c>
      <c r="M376" s="94">
        <f t="shared" si="51"/>
        <v>0</v>
      </c>
      <c r="N376" s="94">
        <f t="shared" si="51"/>
        <v>0</v>
      </c>
      <c r="O376" s="94">
        <f t="shared" si="51"/>
        <v>0</v>
      </c>
      <c r="P376" s="94">
        <f t="shared" si="51"/>
        <v>0</v>
      </c>
      <c r="Q376" s="94">
        <f t="shared" si="51"/>
        <v>0</v>
      </c>
    </row>
    <row r="378" spans="2:17" ht="20.25" thickBot="1" x14ac:dyDescent="0.35">
      <c r="B378" s="89" t="s">
        <v>353</v>
      </c>
      <c r="C378" s="89"/>
      <c r="D378" s="89"/>
      <c r="E378" s="89"/>
      <c r="F378" s="89"/>
      <c r="G378" s="89"/>
    </row>
    <row r="379" spans="2:17" ht="13.5" thickTop="1" x14ac:dyDescent="0.2"/>
    <row r="380" spans="2:17" ht="25.5" x14ac:dyDescent="0.2">
      <c r="B380" s="101" t="str">
        <f>+B256</f>
        <v>Activo j</v>
      </c>
      <c r="C380" s="101" t="str">
        <f>+C256</f>
        <v>Identificación del activo</v>
      </c>
      <c r="D380" s="101" t="str">
        <f>+D256</f>
        <v>Año planeado</v>
      </c>
      <c r="E380" s="101" t="str">
        <f>+E256</f>
        <v>POIR programa pérdidas por activo j</v>
      </c>
      <c r="F380" s="101" t="str">
        <f>+F256</f>
        <v>Vida Útil</v>
      </c>
      <c r="G380" s="106">
        <v>0</v>
      </c>
      <c r="H380" s="106">
        <v>1</v>
      </c>
      <c r="I380" s="106">
        <v>2</v>
      </c>
      <c r="J380" s="106">
        <v>3</v>
      </c>
      <c r="K380" s="106">
        <v>4</v>
      </c>
      <c r="L380" s="106">
        <v>5</v>
      </c>
      <c r="M380" s="106">
        <v>6</v>
      </c>
      <c r="N380" s="106">
        <v>7</v>
      </c>
      <c r="O380" s="106">
        <v>8</v>
      </c>
      <c r="P380" s="106">
        <v>9</v>
      </c>
      <c r="Q380" s="106">
        <v>10</v>
      </c>
    </row>
    <row r="381" spans="2:17" x14ac:dyDescent="0.2">
      <c r="B381" s="90" t="str">
        <f>+B257</f>
        <v>MACROMEDIDORES</v>
      </c>
      <c r="C381" s="90">
        <f>+C257</f>
        <v>1</v>
      </c>
      <c r="D381" s="95">
        <f>+D257</f>
        <v>0</v>
      </c>
      <c r="E381" s="96">
        <f>+E257</f>
        <v>0</v>
      </c>
      <c r="F381" s="93">
        <f>+VLOOKUP(C381,'INV POIR PPERDIDAS'!$C$4:$F$123,4,FALSE)</f>
        <v>23</v>
      </c>
      <c r="G381" s="94" t="str">
        <f>+IFERROR(G257+G9,"")</f>
        <v/>
      </c>
      <c r="H381" s="94">
        <f t="shared" ref="G381:Q396" si="53">+IFERROR(H257+H9,"")</f>
        <v>0</v>
      </c>
      <c r="I381" s="94">
        <f t="shared" si="53"/>
        <v>0</v>
      </c>
      <c r="J381" s="94">
        <f t="shared" si="53"/>
        <v>0</v>
      </c>
      <c r="K381" s="94">
        <f t="shared" si="53"/>
        <v>0</v>
      </c>
      <c r="L381" s="94">
        <f t="shared" si="53"/>
        <v>0</v>
      </c>
      <c r="M381" s="94">
        <f t="shared" si="53"/>
        <v>0</v>
      </c>
      <c r="N381" s="94">
        <f t="shared" si="53"/>
        <v>0</v>
      </c>
      <c r="O381" s="94">
        <f t="shared" si="53"/>
        <v>0</v>
      </c>
      <c r="P381" s="94">
        <f t="shared" si="53"/>
        <v>0</v>
      </c>
      <c r="Q381" s="94">
        <f t="shared" si="53"/>
        <v>0</v>
      </c>
    </row>
    <row r="382" spans="2:17" x14ac:dyDescent="0.2">
      <c r="B382" s="90" t="str">
        <f t="shared" ref="B382:E397" si="54">+B258</f>
        <v>MACROMEDIDORES</v>
      </c>
      <c r="C382" s="90">
        <f t="shared" si="54"/>
        <v>2</v>
      </c>
      <c r="D382" s="95">
        <f t="shared" si="54"/>
        <v>1</v>
      </c>
      <c r="E382" s="96">
        <f>+E258</f>
        <v>19671246.467960708</v>
      </c>
      <c r="F382" s="93">
        <f>+VLOOKUP(C382,'INV POIR PPERDIDAS'!$C$4:$F$123,4,FALSE)</f>
        <v>23</v>
      </c>
      <c r="G382" s="94" t="str">
        <f t="shared" si="53"/>
        <v/>
      </c>
      <c r="H382" s="94">
        <f t="shared" si="53"/>
        <v>0</v>
      </c>
      <c r="I382" s="94">
        <f t="shared" si="53"/>
        <v>2625683.7676799726</v>
      </c>
      <c r="J382" s="94">
        <f t="shared" si="53"/>
        <v>2548709.3249792568</v>
      </c>
      <c r="K382" s="94">
        <f t="shared" si="53"/>
        <v>2471734.8822785411</v>
      </c>
      <c r="L382" s="94">
        <f t="shared" si="53"/>
        <v>2394760.4395778249</v>
      </c>
      <c r="M382" s="94">
        <f t="shared" si="53"/>
        <v>2317785.9968771087</v>
      </c>
      <c r="N382" s="94">
        <f t="shared" si="53"/>
        <v>2240811.554176393</v>
      </c>
      <c r="O382" s="94">
        <f t="shared" si="53"/>
        <v>2163837.1114756772</v>
      </c>
      <c r="P382" s="94">
        <f t="shared" si="53"/>
        <v>2086862.6687749617</v>
      </c>
      <c r="Q382" s="94">
        <f t="shared" si="53"/>
        <v>2009888.2260742458</v>
      </c>
    </row>
    <row r="383" spans="2:17" x14ac:dyDescent="0.2">
      <c r="B383" s="90" t="str">
        <f t="shared" si="54"/>
        <v>MACROMEDIDORES</v>
      </c>
      <c r="C383" s="90">
        <f t="shared" si="54"/>
        <v>3</v>
      </c>
      <c r="D383" s="95">
        <f t="shared" si="54"/>
        <v>2</v>
      </c>
      <c r="E383" s="96">
        <f>+E259</f>
        <v>155817460.36657271</v>
      </c>
      <c r="F383" s="93">
        <f>+VLOOKUP(C383,'INV POIR PPERDIDAS'!$C$4:$F$123,4,FALSE)</f>
        <v>23</v>
      </c>
      <c r="G383" s="94" t="str">
        <f t="shared" si="53"/>
        <v/>
      </c>
      <c r="H383" s="94">
        <f t="shared" si="53"/>
        <v>0</v>
      </c>
      <c r="I383" s="94">
        <f t="shared" si="53"/>
        <v>0</v>
      </c>
      <c r="J383" s="94">
        <f t="shared" si="53"/>
        <v>20798243.622842532</v>
      </c>
      <c r="K383" s="94">
        <f t="shared" si="53"/>
        <v>20188523.12575594</v>
      </c>
      <c r="L383" s="94">
        <f t="shared" si="53"/>
        <v>19578802.628669351</v>
      </c>
      <c r="M383" s="94">
        <f t="shared" si="53"/>
        <v>18969082.131582763</v>
      </c>
      <c r="N383" s="94">
        <f t="shared" si="53"/>
        <v>18359361.634496175</v>
      </c>
      <c r="O383" s="94">
        <f t="shared" si="53"/>
        <v>17749641.137409586</v>
      </c>
      <c r="P383" s="94">
        <f t="shared" si="53"/>
        <v>17139920.640322998</v>
      </c>
      <c r="Q383" s="94">
        <f t="shared" si="53"/>
        <v>16530200.14323641</v>
      </c>
    </row>
    <row r="384" spans="2:17" x14ac:dyDescent="0.2">
      <c r="B384" s="90" t="str">
        <f t="shared" si="54"/>
        <v>MACROMEDIDORES</v>
      </c>
      <c r="C384" s="90">
        <f t="shared" si="54"/>
        <v>4</v>
      </c>
      <c r="D384" s="95">
        <f t="shared" si="54"/>
        <v>3</v>
      </c>
      <c r="E384" s="96">
        <f>+E260</f>
        <v>19671246.467960708</v>
      </c>
      <c r="F384" s="93">
        <f>+VLOOKUP(C384,'INV POIR PPERDIDAS'!$C$4:$F$123,4,FALSE)</f>
        <v>23</v>
      </c>
      <c r="G384" s="94" t="str">
        <f t="shared" si="53"/>
        <v/>
      </c>
      <c r="H384" s="94">
        <f t="shared" si="53"/>
        <v>0</v>
      </c>
      <c r="I384" s="94">
        <f t="shared" si="53"/>
        <v>0</v>
      </c>
      <c r="J384" s="94">
        <f t="shared" si="53"/>
        <v>0</v>
      </c>
      <c r="K384" s="94">
        <f t="shared" si="53"/>
        <v>2625683.7676799726</v>
      </c>
      <c r="L384" s="94">
        <f t="shared" si="53"/>
        <v>2548709.3249792568</v>
      </c>
      <c r="M384" s="94">
        <f t="shared" si="53"/>
        <v>2471734.8822785411</v>
      </c>
      <c r="N384" s="94">
        <f t="shared" si="53"/>
        <v>2394760.4395778249</v>
      </c>
      <c r="O384" s="94">
        <f t="shared" si="53"/>
        <v>2317785.9968771087</v>
      </c>
      <c r="P384" s="94">
        <f t="shared" si="53"/>
        <v>2240811.554176393</v>
      </c>
      <c r="Q384" s="94">
        <f t="shared" si="53"/>
        <v>2163837.1114756772</v>
      </c>
    </row>
    <row r="385" spans="2:17" x14ac:dyDescent="0.2">
      <c r="B385" s="90" t="str">
        <f t="shared" si="54"/>
        <v>MACROMEDIDORES</v>
      </c>
      <c r="C385" s="90">
        <f t="shared" si="54"/>
        <v>5</v>
      </c>
      <c r="D385" s="95">
        <f t="shared" si="54"/>
        <v>4</v>
      </c>
      <c r="E385" s="96">
        <f>+E261</f>
        <v>18198458.295112241</v>
      </c>
      <c r="F385" s="93">
        <f>+VLOOKUP(C385,'INV POIR PPERDIDAS'!$C$4:$F$123,4,FALSE)</f>
        <v>23</v>
      </c>
      <c r="G385" s="94" t="str">
        <f t="shared" si="53"/>
        <v/>
      </c>
      <c r="H385" s="94">
        <f t="shared" si="53"/>
        <v>0</v>
      </c>
      <c r="I385" s="94">
        <f t="shared" si="53"/>
        <v>0</v>
      </c>
      <c r="J385" s="94">
        <f t="shared" si="53"/>
        <v>0</v>
      </c>
      <c r="K385" s="94">
        <f t="shared" si="53"/>
        <v>0</v>
      </c>
      <c r="L385" s="94">
        <f t="shared" si="53"/>
        <v>2429098.5637388946</v>
      </c>
      <c r="M385" s="94">
        <f t="shared" si="53"/>
        <v>2357887.2051928034</v>
      </c>
      <c r="N385" s="94">
        <f t="shared" si="53"/>
        <v>2286675.8466467122</v>
      </c>
      <c r="O385" s="94">
        <f t="shared" si="53"/>
        <v>2215464.4881006205</v>
      </c>
      <c r="P385" s="94">
        <f t="shared" si="53"/>
        <v>2144253.1295545292</v>
      </c>
      <c r="Q385" s="94">
        <f t="shared" si="53"/>
        <v>2073041.771008438</v>
      </c>
    </row>
    <row r="386" spans="2:17" x14ac:dyDescent="0.2">
      <c r="B386" s="90" t="str">
        <f t="shared" si="54"/>
        <v>MACROMEDIDORES</v>
      </c>
      <c r="C386" s="90">
        <f t="shared" si="54"/>
        <v>6</v>
      </c>
      <c r="D386" s="95">
        <f t="shared" si="54"/>
        <v>5</v>
      </c>
      <c r="E386" s="96">
        <f>+E262</f>
        <v>0</v>
      </c>
      <c r="F386" s="93">
        <f>+VLOOKUP(C386,'INV POIR PPERDIDAS'!$C$4:$F$123,4,FALSE)</f>
        <v>23</v>
      </c>
      <c r="G386" s="94" t="str">
        <f t="shared" si="53"/>
        <v/>
      </c>
      <c r="H386" s="94">
        <f t="shared" si="53"/>
        <v>0</v>
      </c>
      <c r="I386" s="94">
        <f t="shared" si="53"/>
        <v>0</v>
      </c>
      <c r="J386" s="94">
        <f t="shared" si="53"/>
        <v>0</v>
      </c>
      <c r="K386" s="94">
        <f t="shared" si="53"/>
        <v>0</v>
      </c>
      <c r="L386" s="94">
        <f t="shared" si="53"/>
        <v>0</v>
      </c>
      <c r="M386" s="94">
        <f t="shared" si="53"/>
        <v>0</v>
      </c>
      <c r="N386" s="94">
        <f t="shared" si="53"/>
        <v>0</v>
      </c>
      <c r="O386" s="94">
        <f t="shared" si="53"/>
        <v>0</v>
      </c>
      <c r="P386" s="94">
        <f t="shared" si="53"/>
        <v>0</v>
      </c>
      <c r="Q386" s="94">
        <f t="shared" si="53"/>
        <v>0</v>
      </c>
    </row>
    <row r="387" spans="2:17" x14ac:dyDescent="0.2">
      <c r="B387" s="90" t="str">
        <f t="shared" si="54"/>
        <v>MACROMEDIDORES</v>
      </c>
      <c r="C387" s="90">
        <f t="shared" si="54"/>
        <v>7</v>
      </c>
      <c r="D387" s="95">
        <f t="shared" si="54"/>
        <v>6</v>
      </c>
      <c r="E387" s="96">
        <f t="shared" si="54"/>
        <v>42323102.712381244</v>
      </c>
      <c r="F387" s="93">
        <f>+VLOOKUP(C387,'INV POIR PPERDIDAS'!$C$4:$F$123,4,FALSE)</f>
        <v>23</v>
      </c>
      <c r="G387" s="94" t="str">
        <f t="shared" si="53"/>
        <v/>
      </c>
      <c r="H387" s="94">
        <f t="shared" si="53"/>
        <v>0</v>
      </c>
      <c r="I387" s="94">
        <f t="shared" si="53"/>
        <v>0</v>
      </c>
      <c r="J387" s="94">
        <f t="shared" si="53"/>
        <v>0</v>
      </c>
      <c r="K387" s="94">
        <f t="shared" si="53"/>
        <v>0</v>
      </c>
      <c r="L387" s="94">
        <f t="shared" si="53"/>
        <v>0</v>
      </c>
      <c r="M387" s="94">
        <f t="shared" si="53"/>
        <v>0</v>
      </c>
      <c r="N387" s="94">
        <f t="shared" si="53"/>
        <v>5649214.1446526265</v>
      </c>
      <c r="O387" s="94">
        <f t="shared" si="53"/>
        <v>5483602.0036041783</v>
      </c>
      <c r="P387" s="94">
        <f t="shared" si="53"/>
        <v>5317989.8625557292</v>
      </c>
      <c r="Q387" s="94">
        <f t="shared" si="53"/>
        <v>5152377.7215072811</v>
      </c>
    </row>
    <row r="388" spans="2:17" x14ac:dyDescent="0.2">
      <c r="B388" s="90" t="str">
        <f t="shared" si="54"/>
        <v>MACROMEDIDORES</v>
      </c>
      <c r="C388" s="90">
        <f t="shared" si="54"/>
        <v>8</v>
      </c>
      <c r="D388" s="95">
        <f t="shared" si="54"/>
        <v>7</v>
      </c>
      <c r="E388" s="96">
        <f t="shared" si="54"/>
        <v>19671246.467960708</v>
      </c>
      <c r="F388" s="93">
        <f>+VLOOKUP(C388,'INV POIR PPERDIDAS'!$C$4:$F$123,4,FALSE)</f>
        <v>23</v>
      </c>
      <c r="G388" s="94" t="str">
        <f t="shared" si="53"/>
        <v/>
      </c>
      <c r="H388" s="94">
        <f t="shared" si="53"/>
        <v>0</v>
      </c>
      <c r="I388" s="94">
        <f t="shared" si="53"/>
        <v>0</v>
      </c>
      <c r="J388" s="94">
        <f t="shared" si="53"/>
        <v>0</v>
      </c>
      <c r="K388" s="94">
        <f t="shared" si="53"/>
        <v>0</v>
      </c>
      <c r="L388" s="94">
        <f t="shared" si="53"/>
        <v>0</v>
      </c>
      <c r="M388" s="94">
        <f t="shared" si="53"/>
        <v>0</v>
      </c>
      <c r="N388" s="94">
        <f t="shared" si="53"/>
        <v>0</v>
      </c>
      <c r="O388" s="94">
        <f t="shared" si="53"/>
        <v>2625683.7676799726</v>
      </c>
      <c r="P388" s="94">
        <f t="shared" si="53"/>
        <v>2548709.3249792568</v>
      </c>
      <c r="Q388" s="94">
        <f t="shared" si="53"/>
        <v>2471734.8822785411</v>
      </c>
    </row>
    <row r="389" spans="2:17" x14ac:dyDescent="0.2">
      <c r="B389" s="90" t="str">
        <f t="shared" si="54"/>
        <v>MACROMEDIDORES</v>
      </c>
      <c r="C389" s="90">
        <f t="shared" si="54"/>
        <v>9</v>
      </c>
      <c r="D389" s="95">
        <f t="shared" si="54"/>
        <v>8</v>
      </c>
      <c r="E389" s="96">
        <f t="shared" si="54"/>
        <v>0</v>
      </c>
      <c r="F389" s="93">
        <f>+VLOOKUP(C389,'INV POIR PPERDIDAS'!$C$4:$F$123,4,FALSE)</f>
        <v>23</v>
      </c>
      <c r="G389" s="94" t="str">
        <f t="shared" si="53"/>
        <v/>
      </c>
      <c r="H389" s="94">
        <f t="shared" si="53"/>
        <v>0</v>
      </c>
      <c r="I389" s="94">
        <f t="shared" si="53"/>
        <v>0</v>
      </c>
      <c r="J389" s="94">
        <f t="shared" si="53"/>
        <v>0</v>
      </c>
      <c r="K389" s="94">
        <f t="shared" si="53"/>
        <v>0</v>
      </c>
      <c r="L389" s="94">
        <f t="shared" si="53"/>
        <v>0</v>
      </c>
      <c r="M389" s="94">
        <f t="shared" si="53"/>
        <v>0</v>
      </c>
      <c r="N389" s="94">
        <f t="shared" si="53"/>
        <v>0</v>
      </c>
      <c r="O389" s="94">
        <f t="shared" si="53"/>
        <v>0</v>
      </c>
      <c r="P389" s="94">
        <f t="shared" si="53"/>
        <v>0</v>
      </c>
      <c r="Q389" s="94">
        <f t="shared" si="53"/>
        <v>0</v>
      </c>
    </row>
    <row r="390" spans="2:17" x14ac:dyDescent="0.2">
      <c r="B390" s="90" t="str">
        <f t="shared" si="54"/>
        <v>MACROMEDIDORES</v>
      </c>
      <c r="C390" s="90">
        <f t="shared" si="54"/>
        <v>10</v>
      </c>
      <c r="D390" s="95">
        <f t="shared" si="54"/>
        <v>9</v>
      </c>
      <c r="E390" s="96">
        <f t="shared" si="54"/>
        <v>4549614.5737780603</v>
      </c>
      <c r="F390" s="93">
        <f>+VLOOKUP(C390,'INV POIR PPERDIDAS'!$C$4:$F$123,4,FALSE)</f>
        <v>23</v>
      </c>
      <c r="G390" s="94" t="str">
        <f t="shared" si="53"/>
        <v/>
      </c>
      <c r="H390" s="94">
        <f t="shared" si="53"/>
        <v>0</v>
      </c>
      <c r="I390" s="94">
        <f t="shared" si="53"/>
        <v>0</v>
      </c>
      <c r="J390" s="94">
        <f t="shared" si="53"/>
        <v>0</v>
      </c>
      <c r="K390" s="94">
        <f t="shared" si="53"/>
        <v>0</v>
      </c>
      <c r="L390" s="94">
        <f t="shared" si="53"/>
        <v>0</v>
      </c>
      <c r="M390" s="94">
        <f t="shared" si="53"/>
        <v>0</v>
      </c>
      <c r="N390" s="94">
        <f t="shared" si="53"/>
        <v>0</v>
      </c>
      <c r="O390" s="94">
        <f t="shared" si="53"/>
        <v>0</v>
      </c>
      <c r="P390" s="94">
        <f t="shared" si="53"/>
        <v>0</v>
      </c>
      <c r="Q390" s="94">
        <f t="shared" si="53"/>
        <v>607274.64093472366</v>
      </c>
    </row>
    <row r="391" spans="2:17" x14ac:dyDescent="0.2">
      <c r="B391" s="90" t="str">
        <f t="shared" si="54"/>
        <v>MACROMEDIDORES</v>
      </c>
      <c r="C391" s="90">
        <f t="shared" si="54"/>
        <v>11</v>
      </c>
      <c r="D391" s="95">
        <f t="shared" si="54"/>
        <v>10</v>
      </c>
      <c r="E391" s="96">
        <f t="shared" si="54"/>
        <v>0</v>
      </c>
      <c r="F391" s="93">
        <f>+VLOOKUP(C391,'INV POIR PPERDIDAS'!$C$4:$F$123,4,FALSE)</f>
        <v>23</v>
      </c>
      <c r="G391" s="94" t="str">
        <f t="shared" si="53"/>
        <v/>
      </c>
      <c r="H391" s="94">
        <f t="shared" si="53"/>
        <v>0</v>
      </c>
      <c r="I391" s="94">
        <f t="shared" si="53"/>
        <v>0</v>
      </c>
      <c r="J391" s="94">
        <f t="shared" si="53"/>
        <v>0</v>
      </c>
      <c r="K391" s="94">
        <f t="shared" si="53"/>
        <v>0</v>
      </c>
      <c r="L391" s="94">
        <f t="shared" si="53"/>
        <v>0</v>
      </c>
      <c r="M391" s="94">
        <f t="shared" si="53"/>
        <v>0</v>
      </c>
      <c r="N391" s="94">
        <f t="shared" si="53"/>
        <v>0</v>
      </c>
      <c r="O391" s="94">
        <f t="shared" si="53"/>
        <v>0</v>
      </c>
      <c r="P391" s="94">
        <f t="shared" si="53"/>
        <v>0</v>
      </c>
      <c r="Q391" s="94">
        <f t="shared" si="53"/>
        <v>0</v>
      </c>
    </row>
    <row r="392" spans="2:17" x14ac:dyDescent="0.2">
      <c r="B392" s="90" t="str">
        <f t="shared" si="54"/>
        <v>MACROMEDIDORES</v>
      </c>
      <c r="C392" s="90">
        <f t="shared" si="54"/>
        <v>12</v>
      </c>
      <c r="D392" s="95">
        <f t="shared" si="54"/>
        <v>0</v>
      </c>
      <c r="E392" s="96">
        <f t="shared" si="54"/>
        <v>0</v>
      </c>
      <c r="F392" s="93">
        <f>+VLOOKUP(C392,'INV POIR PPERDIDAS'!$C$4:$F$123,4,FALSE)</f>
        <v>23</v>
      </c>
      <c r="G392" s="94" t="str">
        <f t="shared" si="53"/>
        <v/>
      </c>
      <c r="H392" s="94">
        <f t="shared" si="53"/>
        <v>0</v>
      </c>
      <c r="I392" s="94">
        <f t="shared" si="53"/>
        <v>0</v>
      </c>
      <c r="J392" s="94">
        <f t="shared" si="53"/>
        <v>0</v>
      </c>
      <c r="K392" s="94">
        <f t="shared" si="53"/>
        <v>0</v>
      </c>
      <c r="L392" s="94">
        <f t="shared" si="53"/>
        <v>0</v>
      </c>
      <c r="M392" s="94">
        <f t="shared" si="53"/>
        <v>0</v>
      </c>
      <c r="N392" s="94">
        <f t="shared" si="53"/>
        <v>0</v>
      </c>
      <c r="O392" s="94">
        <f t="shared" si="53"/>
        <v>0</v>
      </c>
      <c r="P392" s="94">
        <f t="shared" si="53"/>
        <v>0</v>
      </c>
      <c r="Q392" s="94">
        <f t="shared" si="53"/>
        <v>0</v>
      </c>
    </row>
    <row r="393" spans="2:17" x14ac:dyDescent="0.2">
      <c r="B393" s="90" t="str">
        <f t="shared" si="54"/>
        <v>MACROMEDIDORES</v>
      </c>
      <c r="C393" s="90">
        <f t="shared" si="54"/>
        <v>13</v>
      </c>
      <c r="D393" s="95">
        <f t="shared" si="54"/>
        <v>1</v>
      </c>
      <c r="E393" s="96">
        <f t="shared" si="54"/>
        <v>290927089.32178879</v>
      </c>
      <c r="F393" s="93">
        <f>+VLOOKUP(C393,'INV POIR PPERDIDAS'!$C$4:$F$123,4,FALSE)</f>
        <v>23</v>
      </c>
      <c r="G393" s="94" t="str">
        <f t="shared" si="53"/>
        <v/>
      </c>
      <c r="H393" s="94">
        <f t="shared" si="53"/>
        <v>0</v>
      </c>
      <c r="I393" s="94">
        <f t="shared" si="53"/>
        <v>38832441.922517024</v>
      </c>
      <c r="J393" s="94">
        <f t="shared" si="53"/>
        <v>37694031.572996989</v>
      </c>
      <c r="K393" s="94">
        <f t="shared" si="53"/>
        <v>36555621.223476939</v>
      </c>
      <c r="L393" s="94">
        <f t="shared" si="53"/>
        <v>35417210.873956896</v>
      </c>
      <c r="M393" s="94">
        <f t="shared" si="53"/>
        <v>34278800.524436854</v>
      </c>
      <c r="N393" s="94">
        <f t="shared" si="53"/>
        <v>33140390.174916811</v>
      </c>
      <c r="O393" s="94">
        <f t="shared" si="53"/>
        <v>32001979.825396765</v>
      </c>
      <c r="P393" s="94">
        <f t="shared" si="53"/>
        <v>30863569.475876722</v>
      </c>
      <c r="Q393" s="94">
        <f t="shared" si="53"/>
        <v>29725159.12635668</v>
      </c>
    </row>
    <row r="394" spans="2:17" x14ac:dyDescent="0.2">
      <c r="B394" s="90" t="str">
        <f t="shared" si="54"/>
        <v>MACROMEDIDORES</v>
      </c>
      <c r="C394" s="90">
        <f t="shared" si="54"/>
        <v>14</v>
      </c>
      <c r="D394" s="95">
        <f t="shared" si="54"/>
        <v>2</v>
      </c>
      <c r="E394" s="96">
        <f t="shared" si="54"/>
        <v>424438265.6717186</v>
      </c>
      <c r="F394" s="93">
        <f>+VLOOKUP(C394,'INV POIR PPERDIDAS'!$C$4:$F$123,4,FALSE)</f>
        <v>23</v>
      </c>
      <c r="G394" s="94" t="str">
        <f t="shared" si="53"/>
        <v/>
      </c>
      <c r="H394" s="94">
        <f t="shared" si="53"/>
        <v>0</v>
      </c>
      <c r="I394" s="94">
        <f t="shared" si="53"/>
        <v>0</v>
      </c>
      <c r="J394" s="94">
        <f t="shared" si="53"/>
        <v>56653281.548355483</v>
      </c>
      <c r="K394" s="94">
        <f t="shared" si="53"/>
        <v>54992436.160944402</v>
      </c>
      <c r="L394" s="94">
        <f t="shared" si="53"/>
        <v>53331590.773533329</v>
      </c>
      <c r="M394" s="94">
        <f t="shared" si="53"/>
        <v>51670745.386122257</v>
      </c>
      <c r="N394" s="94">
        <f t="shared" si="53"/>
        <v>50009899.998711184</v>
      </c>
      <c r="O394" s="94">
        <f t="shared" si="53"/>
        <v>48349054.611300111</v>
      </c>
      <c r="P394" s="94">
        <f t="shared" si="53"/>
        <v>46688209.223889031</v>
      </c>
      <c r="Q394" s="94">
        <f t="shared" si="53"/>
        <v>45027363.836477958</v>
      </c>
    </row>
    <row r="395" spans="2:17" x14ac:dyDescent="0.2">
      <c r="B395" s="90" t="str">
        <f t="shared" si="54"/>
        <v>MACROMEDIDORES</v>
      </c>
      <c r="C395" s="90">
        <f t="shared" si="54"/>
        <v>15</v>
      </c>
      <c r="D395" s="95">
        <f t="shared" si="54"/>
        <v>3</v>
      </c>
      <c r="E395" s="96">
        <f t="shared" si="54"/>
        <v>342730027.12324625</v>
      </c>
      <c r="F395" s="93">
        <f>+VLOOKUP(C395,'INV POIR PPERDIDAS'!$C$4:$F$123,4,FALSE)</f>
        <v>23</v>
      </c>
      <c r="G395" s="94" t="str">
        <f t="shared" si="53"/>
        <v/>
      </c>
      <c r="H395" s="94">
        <f t="shared" si="53"/>
        <v>0</v>
      </c>
      <c r="I395" s="94">
        <f t="shared" si="53"/>
        <v>0</v>
      </c>
      <c r="J395" s="94">
        <f t="shared" si="53"/>
        <v>0</v>
      </c>
      <c r="K395" s="94">
        <f t="shared" si="53"/>
        <v>45747007.968189828</v>
      </c>
      <c r="L395" s="94">
        <f t="shared" si="53"/>
        <v>44405890.47075104</v>
      </c>
      <c r="M395" s="94">
        <f t="shared" si="53"/>
        <v>43064772.973312251</v>
      </c>
      <c r="N395" s="94">
        <f t="shared" si="53"/>
        <v>41723655.475873463</v>
      </c>
      <c r="O395" s="94">
        <f t="shared" si="53"/>
        <v>40382537.978434674</v>
      </c>
      <c r="P395" s="94">
        <f t="shared" si="53"/>
        <v>39041420.480995886</v>
      </c>
      <c r="Q395" s="94">
        <f t="shared" si="53"/>
        <v>37700302.98355709</v>
      </c>
    </row>
    <row r="396" spans="2:17" x14ac:dyDescent="0.2">
      <c r="B396" s="90" t="str">
        <f t="shared" si="54"/>
        <v>MACROMEDIDORES</v>
      </c>
      <c r="C396" s="90">
        <f t="shared" si="54"/>
        <v>16</v>
      </c>
      <c r="D396" s="95">
        <f t="shared" si="54"/>
        <v>4</v>
      </c>
      <c r="E396" s="96">
        <f t="shared" si="54"/>
        <v>587965242.50099516</v>
      </c>
      <c r="F396" s="93">
        <f>+VLOOKUP(C396,'INV POIR PPERDIDAS'!$C$4:$F$123,4,FALSE)</f>
        <v>23</v>
      </c>
      <c r="G396" s="94" t="str">
        <f t="shared" si="53"/>
        <v/>
      </c>
      <c r="H396" s="94">
        <f t="shared" si="53"/>
        <v>0</v>
      </c>
      <c r="I396" s="94">
        <f t="shared" si="53"/>
        <v>0</v>
      </c>
      <c r="J396" s="94">
        <f t="shared" si="53"/>
        <v>0</v>
      </c>
      <c r="K396" s="94">
        <f t="shared" si="53"/>
        <v>0</v>
      </c>
      <c r="L396" s="94">
        <f t="shared" si="53"/>
        <v>78480578.020785004</v>
      </c>
      <c r="M396" s="94">
        <f t="shared" si="53"/>
        <v>76179844.463172421</v>
      </c>
      <c r="N396" s="94">
        <f t="shared" si="53"/>
        <v>73879110.905559823</v>
      </c>
      <c r="O396" s="94">
        <f t="shared" si="53"/>
        <v>71578377.34794724</v>
      </c>
      <c r="P396" s="94">
        <f t="shared" si="53"/>
        <v>69277643.790334642</v>
      </c>
      <c r="Q396" s="94">
        <f t="shared" si="53"/>
        <v>66976910.232722059</v>
      </c>
    </row>
    <row r="397" spans="2:17" x14ac:dyDescent="0.2">
      <c r="B397" s="90" t="str">
        <f t="shared" si="54"/>
        <v>MACROMEDIDORES</v>
      </c>
      <c r="C397" s="90">
        <f t="shared" si="54"/>
        <v>17</v>
      </c>
      <c r="D397" s="95">
        <f t="shared" si="54"/>
        <v>5</v>
      </c>
      <c r="E397" s="96">
        <f t="shared" si="54"/>
        <v>162198079.49906781</v>
      </c>
      <c r="F397" s="93">
        <f>+VLOOKUP(C397,'INV POIR PPERDIDAS'!$C$4:$F$123,4,FALSE)</f>
        <v>23</v>
      </c>
      <c r="G397" s="94" t="str">
        <f t="shared" ref="G397:Q412" si="55">+IFERROR(G273+G25,"")</f>
        <v/>
      </c>
      <c r="H397" s="94">
        <f t="shared" si="55"/>
        <v>0</v>
      </c>
      <c r="I397" s="94">
        <f t="shared" si="55"/>
        <v>0</v>
      </c>
      <c r="J397" s="94">
        <f t="shared" si="55"/>
        <v>0</v>
      </c>
      <c r="K397" s="94">
        <f t="shared" si="55"/>
        <v>0</v>
      </c>
      <c r="L397" s="94">
        <f t="shared" si="55"/>
        <v>0</v>
      </c>
      <c r="M397" s="94">
        <f t="shared" si="55"/>
        <v>21649917.567919049</v>
      </c>
      <c r="N397" s="94">
        <f t="shared" si="55"/>
        <v>21015229.430748787</v>
      </c>
      <c r="O397" s="94">
        <f t="shared" si="55"/>
        <v>20380541.29357852</v>
      </c>
      <c r="P397" s="94">
        <f t="shared" si="55"/>
        <v>19745853.156408258</v>
      </c>
      <c r="Q397" s="94">
        <f t="shared" si="55"/>
        <v>19111165.019237991</v>
      </c>
    </row>
    <row r="398" spans="2:17" x14ac:dyDescent="0.2">
      <c r="B398" s="90" t="str">
        <f t="shared" ref="B398:E413" si="56">+B274</f>
        <v>MACROMEDIDORES</v>
      </c>
      <c r="C398" s="90">
        <f t="shared" si="56"/>
        <v>18</v>
      </c>
      <c r="D398" s="95">
        <f t="shared" si="56"/>
        <v>6</v>
      </c>
      <c r="E398" s="96">
        <f t="shared" si="56"/>
        <v>57444734.606563888</v>
      </c>
      <c r="F398" s="93">
        <f>+VLOOKUP(C398,'INV POIR PPERDIDAS'!$C$4:$F$123,4,FALSE)</f>
        <v>23</v>
      </c>
      <c r="G398" s="94" t="str">
        <f t="shared" si="55"/>
        <v/>
      </c>
      <c r="H398" s="94">
        <f t="shared" si="55"/>
        <v>0</v>
      </c>
      <c r="I398" s="94">
        <f t="shared" si="55"/>
        <v>0</v>
      </c>
      <c r="J398" s="94">
        <f t="shared" si="55"/>
        <v>0</v>
      </c>
      <c r="K398" s="94">
        <f t="shared" si="55"/>
        <v>0</v>
      </c>
      <c r="L398" s="94">
        <f t="shared" si="55"/>
        <v>0</v>
      </c>
      <c r="M398" s="94">
        <f t="shared" si="55"/>
        <v>0</v>
      </c>
      <c r="N398" s="94">
        <f t="shared" si="55"/>
        <v>7667623.2713978756</v>
      </c>
      <c r="O398" s="94">
        <f t="shared" si="55"/>
        <v>7442839.5272852341</v>
      </c>
      <c r="P398" s="94">
        <f t="shared" si="55"/>
        <v>7218055.7831725925</v>
      </c>
      <c r="Q398" s="94">
        <f t="shared" si="55"/>
        <v>6993272.0390599519</v>
      </c>
    </row>
    <row r="399" spans="2:17" x14ac:dyDescent="0.2">
      <c r="B399" s="90" t="str">
        <f t="shared" si="56"/>
        <v>MACROMEDIDORES</v>
      </c>
      <c r="C399" s="90">
        <f t="shared" si="56"/>
        <v>19</v>
      </c>
      <c r="D399" s="95">
        <f t="shared" si="56"/>
        <v>7</v>
      </c>
      <c r="E399" s="96">
        <f t="shared" si="56"/>
        <v>0</v>
      </c>
      <c r="F399" s="93">
        <f>+VLOOKUP(C399,'INV POIR PPERDIDAS'!$C$4:$F$123,4,FALSE)</f>
        <v>23</v>
      </c>
      <c r="G399" s="94" t="str">
        <f t="shared" si="55"/>
        <v/>
      </c>
      <c r="H399" s="94">
        <f t="shared" si="55"/>
        <v>0</v>
      </c>
      <c r="I399" s="94">
        <f t="shared" si="55"/>
        <v>0</v>
      </c>
      <c r="J399" s="94">
        <f t="shared" si="55"/>
        <v>0</v>
      </c>
      <c r="K399" s="94">
        <f t="shared" si="55"/>
        <v>0</v>
      </c>
      <c r="L399" s="94">
        <f t="shared" si="55"/>
        <v>0</v>
      </c>
      <c r="M399" s="94">
        <f t="shared" si="55"/>
        <v>0</v>
      </c>
      <c r="N399" s="94">
        <f t="shared" si="55"/>
        <v>0</v>
      </c>
      <c r="O399" s="94">
        <f t="shared" si="55"/>
        <v>0</v>
      </c>
      <c r="P399" s="94">
        <f t="shared" si="55"/>
        <v>0</v>
      </c>
      <c r="Q399" s="94">
        <f t="shared" si="55"/>
        <v>0</v>
      </c>
    </row>
    <row r="400" spans="2:17" x14ac:dyDescent="0.2">
      <c r="B400" s="90" t="str">
        <f t="shared" si="56"/>
        <v>MACROMEDIDORES</v>
      </c>
      <c r="C400" s="90">
        <f t="shared" si="56"/>
        <v>20</v>
      </c>
      <c r="D400" s="95">
        <f t="shared" si="56"/>
        <v>8</v>
      </c>
      <c r="E400" s="96">
        <f t="shared" si="56"/>
        <v>0</v>
      </c>
      <c r="F400" s="93">
        <f>+VLOOKUP(C400,'INV POIR PPERDIDAS'!$C$4:$F$123,4,FALSE)</f>
        <v>23</v>
      </c>
      <c r="G400" s="94" t="str">
        <f t="shared" si="55"/>
        <v/>
      </c>
      <c r="H400" s="94">
        <f t="shared" si="55"/>
        <v>0</v>
      </c>
      <c r="I400" s="94">
        <f t="shared" si="55"/>
        <v>0</v>
      </c>
      <c r="J400" s="94">
        <f t="shared" si="55"/>
        <v>0</v>
      </c>
      <c r="K400" s="94">
        <f t="shared" si="55"/>
        <v>0</v>
      </c>
      <c r="L400" s="94">
        <f t="shared" si="55"/>
        <v>0</v>
      </c>
      <c r="M400" s="94">
        <f t="shared" si="55"/>
        <v>0</v>
      </c>
      <c r="N400" s="94">
        <f t="shared" si="55"/>
        <v>0</v>
      </c>
      <c r="O400" s="94">
        <f t="shared" si="55"/>
        <v>0</v>
      </c>
      <c r="P400" s="94">
        <f t="shared" si="55"/>
        <v>0</v>
      </c>
      <c r="Q400" s="94">
        <f t="shared" si="55"/>
        <v>0</v>
      </c>
    </row>
    <row r="401" spans="2:17" x14ac:dyDescent="0.2">
      <c r="B401" s="90" t="str">
        <f t="shared" si="56"/>
        <v>MACROMEDIDORES</v>
      </c>
      <c r="C401" s="90">
        <f t="shared" si="56"/>
        <v>21</v>
      </c>
      <c r="D401" s="95">
        <f t="shared" si="56"/>
        <v>9</v>
      </c>
      <c r="E401" s="96">
        <f t="shared" si="56"/>
        <v>0</v>
      </c>
      <c r="F401" s="93">
        <f>+VLOOKUP(C401,'INV POIR PPERDIDAS'!$C$4:$F$123,4,FALSE)</f>
        <v>23</v>
      </c>
      <c r="G401" s="94" t="str">
        <f t="shared" si="55"/>
        <v/>
      </c>
      <c r="H401" s="94">
        <f t="shared" si="55"/>
        <v>0</v>
      </c>
      <c r="I401" s="94">
        <f t="shared" si="55"/>
        <v>0</v>
      </c>
      <c r="J401" s="94">
        <f t="shared" si="55"/>
        <v>0</v>
      </c>
      <c r="K401" s="94">
        <f t="shared" si="55"/>
        <v>0</v>
      </c>
      <c r="L401" s="94">
        <f t="shared" si="55"/>
        <v>0</v>
      </c>
      <c r="M401" s="94">
        <f t="shared" si="55"/>
        <v>0</v>
      </c>
      <c r="N401" s="94">
        <f t="shared" si="55"/>
        <v>0</v>
      </c>
      <c r="O401" s="94">
        <f t="shared" si="55"/>
        <v>0</v>
      </c>
      <c r="P401" s="94">
        <f t="shared" si="55"/>
        <v>0</v>
      </c>
      <c r="Q401" s="94">
        <f t="shared" si="55"/>
        <v>0</v>
      </c>
    </row>
    <row r="402" spans="2:17" x14ac:dyDescent="0.2">
      <c r="B402" s="90" t="str">
        <f t="shared" si="56"/>
        <v>MACROMEDIDORES</v>
      </c>
      <c r="C402" s="90">
        <f t="shared" si="56"/>
        <v>22</v>
      </c>
      <c r="D402" s="95">
        <f t="shared" si="56"/>
        <v>10</v>
      </c>
      <c r="E402" s="96">
        <f t="shared" si="56"/>
        <v>0</v>
      </c>
      <c r="F402" s="93">
        <f>+VLOOKUP(C402,'INV POIR PPERDIDAS'!$C$4:$F$123,4,FALSE)</f>
        <v>23</v>
      </c>
      <c r="G402" s="94" t="str">
        <f t="shared" si="55"/>
        <v/>
      </c>
      <c r="H402" s="94">
        <f t="shared" si="55"/>
        <v>0</v>
      </c>
      <c r="I402" s="94">
        <f t="shared" si="55"/>
        <v>0</v>
      </c>
      <c r="J402" s="94">
        <f t="shared" si="55"/>
        <v>0</v>
      </c>
      <c r="K402" s="94">
        <f t="shared" si="55"/>
        <v>0</v>
      </c>
      <c r="L402" s="94">
        <f t="shared" si="55"/>
        <v>0</v>
      </c>
      <c r="M402" s="94">
        <f t="shared" si="55"/>
        <v>0</v>
      </c>
      <c r="N402" s="94">
        <f t="shared" si="55"/>
        <v>0</v>
      </c>
      <c r="O402" s="94">
        <f t="shared" si="55"/>
        <v>0</v>
      </c>
      <c r="P402" s="94">
        <f t="shared" si="55"/>
        <v>0</v>
      </c>
      <c r="Q402" s="94">
        <f t="shared" si="55"/>
        <v>0</v>
      </c>
    </row>
    <row r="403" spans="2:17" x14ac:dyDescent="0.2">
      <c r="B403" s="90" t="str">
        <f t="shared" si="56"/>
        <v>ESTACIONES REDUCTORAS DE PRESIÓN</v>
      </c>
      <c r="C403" s="90">
        <f t="shared" si="56"/>
        <v>23</v>
      </c>
      <c r="D403" s="95">
        <f t="shared" si="56"/>
        <v>0</v>
      </c>
      <c r="E403" s="96">
        <f t="shared" si="56"/>
        <v>0</v>
      </c>
      <c r="F403" s="93">
        <f>+VLOOKUP(C403,'INV POIR PPERDIDAS'!$C$4:$F$123,4,FALSE)</f>
        <v>35</v>
      </c>
      <c r="G403" s="94" t="str">
        <f t="shared" si="55"/>
        <v/>
      </c>
      <c r="H403" s="94">
        <f t="shared" si="55"/>
        <v>0</v>
      </c>
      <c r="I403" s="94">
        <f t="shared" si="55"/>
        <v>0</v>
      </c>
      <c r="J403" s="94">
        <f t="shared" si="55"/>
        <v>0</v>
      </c>
      <c r="K403" s="94">
        <f t="shared" si="55"/>
        <v>0</v>
      </c>
      <c r="L403" s="94">
        <f t="shared" si="55"/>
        <v>0</v>
      </c>
      <c r="M403" s="94">
        <f t="shared" si="55"/>
        <v>0</v>
      </c>
      <c r="N403" s="94">
        <f t="shared" si="55"/>
        <v>0</v>
      </c>
      <c r="O403" s="94">
        <f t="shared" si="55"/>
        <v>0</v>
      </c>
      <c r="P403" s="94">
        <f t="shared" si="55"/>
        <v>0</v>
      </c>
      <c r="Q403" s="94">
        <f t="shared" si="55"/>
        <v>0</v>
      </c>
    </row>
    <row r="404" spans="2:17" x14ac:dyDescent="0.2">
      <c r="B404" s="90" t="str">
        <f t="shared" si="56"/>
        <v>ESTACIONES REDUCTORAS DE PRESIÓN</v>
      </c>
      <c r="C404" s="90">
        <f t="shared" si="56"/>
        <v>24</v>
      </c>
      <c r="D404" s="95">
        <f t="shared" si="56"/>
        <v>1</v>
      </c>
      <c r="E404" s="96">
        <f t="shared" si="56"/>
        <v>457899884.58817512</v>
      </c>
      <c r="F404" s="93">
        <f>+VLOOKUP(C404,'INV POIR PPERDIDAS'!$C$4:$F$123,4,FALSE)</f>
        <v>35</v>
      </c>
      <c r="G404" s="94" t="str">
        <f t="shared" si="55"/>
        <v/>
      </c>
      <c r="H404" s="94">
        <f t="shared" si="55"/>
        <v>0</v>
      </c>
      <c r="I404" s="94">
        <f t="shared" si="55"/>
        <v>54293843.458312191</v>
      </c>
      <c r="J404" s="94">
        <f t="shared" si="55"/>
        <v>53116386.612228312</v>
      </c>
      <c r="K404" s="94">
        <f t="shared" si="55"/>
        <v>51938929.766144432</v>
      </c>
      <c r="L404" s="94">
        <f t="shared" si="55"/>
        <v>50761472.920060553</v>
      </c>
      <c r="M404" s="94">
        <f t="shared" si="55"/>
        <v>49584016.073976673</v>
      </c>
      <c r="N404" s="94">
        <f t="shared" si="55"/>
        <v>48406559.227892794</v>
      </c>
      <c r="O404" s="94">
        <f t="shared" si="55"/>
        <v>47229102.381808922</v>
      </c>
      <c r="P404" s="94">
        <f t="shared" si="55"/>
        <v>46051645.535725042</v>
      </c>
      <c r="Q404" s="94">
        <f t="shared" si="55"/>
        <v>44874188.689641163</v>
      </c>
    </row>
    <row r="405" spans="2:17" x14ac:dyDescent="0.2">
      <c r="B405" s="90" t="str">
        <f t="shared" si="56"/>
        <v>ESTACIONES REDUCTORAS DE PRESIÓN</v>
      </c>
      <c r="C405" s="90">
        <f t="shared" si="56"/>
        <v>25</v>
      </c>
      <c r="D405" s="95">
        <f t="shared" si="56"/>
        <v>2</v>
      </c>
      <c r="E405" s="96">
        <f t="shared" si="56"/>
        <v>501620585.24212873</v>
      </c>
      <c r="F405" s="93">
        <f>+VLOOKUP(C405,'INV POIR PPERDIDAS'!$C$4:$F$123,4,FALSE)</f>
        <v>35</v>
      </c>
      <c r="G405" s="94" t="str">
        <f t="shared" si="55"/>
        <v/>
      </c>
      <c r="H405" s="94">
        <f t="shared" si="55"/>
        <v>0</v>
      </c>
      <c r="I405" s="94">
        <f t="shared" si="55"/>
        <v>0</v>
      </c>
      <c r="J405" s="94">
        <f t="shared" si="55"/>
        <v>59477869.392995261</v>
      </c>
      <c r="K405" s="94">
        <f t="shared" si="55"/>
        <v>58187987.88808693</v>
      </c>
      <c r="L405" s="94">
        <f t="shared" si="55"/>
        <v>56898106.383178599</v>
      </c>
      <c r="M405" s="94">
        <f t="shared" si="55"/>
        <v>55608224.878270268</v>
      </c>
      <c r="N405" s="94">
        <f t="shared" si="55"/>
        <v>54318343.373361938</v>
      </c>
      <c r="O405" s="94">
        <f t="shared" si="55"/>
        <v>53028461.868453607</v>
      </c>
      <c r="P405" s="94">
        <f t="shared" si="55"/>
        <v>51738580.363545269</v>
      </c>
      <c r="Q405" s="94">
        <f t="shared" si="55"/>
        <v>50448698.858636938</v>
      </c>
    </row>
    <row r="406" spans="2:17" x14ac:dyDescent="0.2">
      <c r="B406" s="90" t="str">
        <f t="shared" si="56"/>
        <v>ESTACIONES REDUCTORAS DE PRESIÓN</v>
      </c>
      <c r="C406" s="90">
        <f t="shared" si="56"/>
        <v>26</v>
      </c>
      <c r="D406" s="95">
        <f t="shared" si="56"/>
        <v>3</v>
      </c>
      <c r="E406" s="96">
        <f t="shared" si="56"/>
        <v>338636003.59959525</v>
      </c>
      <c r="F406" s="93">
        <f>+VLOOKUP(C406,'INV POIR PPERDIDAS'!$C$4:$F$123,4,FALSE)</f>
        <v>35</v>
      </c>
      <c r="G406" s="94" t="str">
        <f t="shared" si="55"/>
        <v/>
      </c>
      <c r="H406" s="94">
        <f t="shared" si="55"/>
        <v>0</v>
      </c>
      <c r="I406" s="94">
        <f t="shared" si="55"/>
        <v>0</v>
      </c>
      <c r="J406" s="94">
        <f t="shared" si="55"/>
        <v>0</v>
      </c>
      <c r="K406" s="94">
        <f t="shared" si="55"/>
        <v>40152554.712523438</v>
      </c>
      <c r="L406" s="94">
        <f t="shared" si="55"/>
        <v>39281776.417553045</v>
      </c>
      <c r="M406" s="94">
        <f t="shared" si="55"/>
        <v>38410998.122582659</v>
      </c>
      <c r="N406" s="94">
        <f t="shared" si="55"/>
        <v>37540219.827612266</v>
      </c>
      <c r="O406" s="94">
        <f t="shared" si="55"/>
        <v>36669441.53264188</v>
      </c>
      <c r="P406" s="94">
        <f t="shared" si="55"/>
        <v>35798663.237671494</v>
      </c>
      <c r="Q406" s="94">
        <f t="shared" si="55"/>
        <v>34927884.942701101</v>
      </c>
    </row>
    <row r="407" spans="2:17" x14ac:dyDescent="0.2">
      <c r="B407" s="90" t="str">
        <f t="shared" si="56"/>
        <v>ESTACIONES REDUCTORAS DE PRESIÓN</v>
      </c>
      <c r="C407" s="90">
        <f t="shared" si="56"/>
        <v>27</v>
      </c>
      <c r="D407" s="95">
        <f t="shared" si="56"/>
        <v>4</v>
      </c>
      <c r="E407" s="96">
        <f t="shared" si="56"/>
        <v>42948911.034252018</v>
      </c>
      <c r="F407" s="93">
        <f>+VLOOKUP(C407,'INV POIR PPERDIDAS'!$C$4:$F$123,4,FALSE)</f>
        <v>35</v>
      </c>
      <c r="G407" s="94" t="str">
        <f t="shared" si="55"/>
        <v/>
      </c>
      <c r="H407" s="94">
        <f t="shared" si="55"/>
        <v>0</v>
      </c>
      <c r="I407" s="94">
        <f t="shared" si="55"/>
        <v>0</v>
      </c>
      <c r="J407" s="94">
        <f t="shared" si="55"/>
        <v>0</v>
      </c>
      <c r="K407" s="94">
        <f t="shared" si="55"/>
        <v>0</v>
      </c>
      <c r="L407" s="94">
        <f t="shared" si="55"/>
        <v>5092513.7369184531</v>
      </c>
      <c r="M407" s="94">
        <f t="shared" si="55"/>
        <v>4982073.6799732335</v>
      </c>
      <c r="N407" s="94">
        <f t="shared" si="55"/>
        <v>4871633.6230280148</v>
      </c>
      <c r="O407" s="94">
        <f t="shared" si="55"/>
        <v>4761193.5660827961</v>
      </c>
      <c r="P407" s="94">
        <f t="shared" si="55"/>
        <v>4650753.5091375764</v>
      </c>
      <c r="Q407" s="94">
        <f t="shared" si="55"/>
        <v>4540313.4521923568</v>
      </c>
    </row>
    <row r="408" spans="2:17" x14ac:dyDescent="0.2">
      <c r="B408" s="90" t="str">
        <f t="shared" si="56"/>
        <v>ESTACIONES REDUCTORAS DE PRESIÓN</v>
      </c>
      <c r="C408" s="90">
        <f t="shared" si="56"/>
        <v>28</v>
      </c>
      <c r="D408" s="95">
        <f t="shared" si="56"/>
        <v>5</v>
      </c>
      <c r="E408" s="96">
        <f t="shared" si="56"/>
        <v>49309651.718624085</v>
      </c>
      <c r="F408" s="93">
        <f>+VLOOKUP(C408,'INV POIR PPERDIDAS'!$C$4:$F$123,4,FALSE)</f>
        <v>35</v>
      </c>
      <c r="G408" s="94" t="str">
        <f t="shared" si="55"/>
        <v/>
      </c>
      <c r="H408" s="94">
        <f t="shared" si="55"/>
        <v>0</v>
      </c>
      <c r="I408" s="94">
        <f t="shared" si="55"/>
        <v>0</v>
      </c>
      <c r="J408" s="94">
        <f t="shared" si="55"/>
        <v>0</v>
      </c>
      <c r="K408" s="94">
        <f t="shared" si="55"/>
        <v>0</v>
      </c>
      <c r="L408" s="94">
        <f t="shared" si="55"/>
        <v>0</v>
      </c>
      <c r="M408" s="94">
        <f t="shared" si="55"/>
        <v>5846715.846636856</v>
      </c>
      <c r="N408" s="94">
        <f t="shared" si="55"/>
        <v>5719919.5993603934</v>
      </c>
      <c r="O408" s="94">
        <f t="shared" si="55"/>
        <v>5593123.3520839326</v>
      </c>
      <c r="P408" s="94">
        <f t="shared" si="55"/>
        <v>5466327.1048074709</v>
      </c>
      <c r="Q408" s="94">
        <f t="shared" si="55"/>
        <v>5339530.8575310092</v>
      </c>
    </row>
    <row r="409" spans="2:17" x14ac:dyDescent="0.2">
      <c r="B409" s="90" t="str">
        <f t="shared" si="56"/>
        <v>ESTACIONES REDUCTORAS DE PRESIÓN</v>
      </c>
      <c r="C409" s="90">
        <f t="shared" si="56"/>
        <v>29</v>
      </c>
      <c r="D409" s="95">
        <f t="shared" si="56"/>
        <v>6</v>
      </c>
      <c r="E409" s="96">
        <f t="shared" si="56"/>
        <v>0</v>
      </c>
      <c r="F409" s="93">
        <f>+VLOOKUP(C409,'INV POIR PPERDIDAS'!$C$4:$F$123,4,FALSE)</f>
        <v>35</v>
      </c>
      <c r="G409" s="94" t="str">
        <f t="shared" si="55"/>
        <v/>
      </c>
      <c r="H409" s="94">
        <f t="shared" si="55"/>
        <v>0</v>
      </c>
      <c r="I409" s="94">
        <f t="shared" si="55"/>
        <v>0</v>
      </c>
      <c r="J409" s="94">
        <f t="shared" si="55"/>
        <v>0</v>
      </c>
      <c r="K409" s="94">
        <f t="shared" si="55"/>
        <v>0</v>
      </c>
      <c r="L409" s="94">
        <f t="shared" si="55"/>
        <v>0</v>
      </c>
      <c r="M409" s="94">
        <f t="shared" si="55"/>
        <v>0</v>
      </c>
      <c r="N409" s="94">
        <f t="shared" si="55"/>
        <v>0</v>
      </c>
      <c r="O409" s="94">
        <f t="shared" si="55"/>
        <v>0</v>
      </c>
      <c r="P409" s="94">
        <f t="shared" si="55"/>
        <v>0</v>
      </c>
      <c r="Q409" s="94">
        <f t="shared" si="55"/>
        <v>0</v>
      </c>
    </row>
    <row r="410" spans="2:17" x14ac:dyDescent="0.2">
      <c r="B410" s="90" t="str">
        <f t="shared" si="56"/>
        <v>ESTACIONES REDUCTORAS DE PRESIÓN</v>
      </c>
      <c r="C410" s="90">
        <f t="shared" si="56"/>
        <v>30</v>
      </c>
      <c r="D410" s="95">
        <f t="shared" si="56"/>
        <v>7</v>
      </c>
      <c r="E410" s="96">
        <f t="shared" si="56"/>
        <v>0</v>
      </c>
      <c r="F410" s="93">
        <f>+VLOOKUP(C410,'INV POIR PPERDIDAS'!$C$4:$F$123,4,FALSE)</f>
        <v>35</v>
      </c>
      <c r="G410" s="94" t="str">
        <f t="shared" si="55"/>
        <v/>
      </c>
      <c r="H410" s="94">
        <f t="shared" si="55"/>
        <v>0</v>
      </c>
      <c r="I410" s="94">
        <f t="shared" si="55"/>
        <v>0</v>
      </c>
      <c r="J410" s="94">
        <f t="shared" si="55"/>
        <v>0</v>
      </c>
      <c r="K410" s="94">
        <f t="shared" si="55"/>
        <v>0</v>
      </c>
      <c r="L410" s="94">
        <f t="shared" si="55"/>
        <v>0</v>
      </c>
      <c r="M410" s="94">
        <f t="shared" si="55"/>
        <v>0</v>
      </c>
      <c r="N410" s="94">
        <f t="shared" si="55"/>
        <v>0</v>
      </c>
      <c r="O410" s="94">
        <f t="shared" si="55"/>
        <v>0</v>
      </c>
      <c r="P410" s="94">
        <f t="shared" si="55"/>
        <v>0</v>
      </c>
      <c r="Q410" s="94">
        <f t="shared" si="55"/>
        <v>0</v>
      </c>
    </row>
    <row r="411" spans="2:17" x14ac:dyDescent="0.2">
      <c r="B411" s="90" t="str">
        <f t="shared" si="56"/>
        <v>ESTACIONES REDUCTORAS DE PRESIÓN</v>
      </c>
      <c r="C411" s="90">
        <f t="shared" si="56"/>
        <v>31</v>
      </c>
      <c r="D411" s="95">
        <f t="shared" si="56"/>
        <v>8</v>
      </c>
      <c r="E411" s="96">
        <f t="shared" si="56"/>
        <v>0</v>
      </c>
      <c r="F411" s="93">
        <f>+VLOOKUP(C411,'INV POIR PPERDIDAS'!$C$4:$F$123,4,FALSE)</f>
        <v>35</v>
      </c>
      <c r="G411" s="94" t="str">
        <f t="shared" si="55"/>
        <v/>
      </c>
      <c r="H411" s="94">
        <f t="shared" si="55"/>
        <v>0</v>
      </c>
      <c r="I411" s="94">
        <f t="shared" si="55"/>
        <v>0</v>
      </c>
      <c r="J411" s="94">
        <f t="shared" si="55"/>
        <v>0</v>
      </c>
      <c r="K411" s="94">
        <f t="shared" si="55"/>
        <v>0</v>
      </c>
      <c r="L411" s="94">
        <f t="shared" si="55"/>
        <v>0</v>
      </c>
      <c r="M411" s="94">
        <f t="shared" si="55"/>
        <v>0</v>
      </c>
      <c r="N411" s="94">
        <f t="shared" si="55"/>
        <v>0</v>
      </c>
      <c r="O411" s="94">
        <f t="shared" si="55"/>
        <v>0</v>
      </c>
      <c r="P411" s="94">
        <f t="shared" si="55"/>
        <v>0</v>
      </c>
      <c r="Q411" s="94">
        <f t="shared" si="55"/>
        <v>0</v>
      </c>
    </row>
    <row r="412" spans="2:17" x14ac:dyDescent="0.2">
      <c r="B412" s="90" t="str">
        <f t="shared" si="56"/>
        <v>ESTACIONES REDUCTORAS DE PRESIÓN</v>
      </c>
      <c r="C412" s="90">
        <f t="shared" si="56"/>
        <v>32</v>
      </c>
      <c r="D412" s="95">
        <f t="shared" si="56"/>
        <v>9</v>
      </c>
      <c r="E412" s="96">
        <f t="shared" si="56"/>
        <v>0</v>
      </c>
      <c r="F412" s="93">
        <f>+VLOOKUP(C412,'INV POIR PPERDIDAS'!$C$4:$F$123,4,FALSE)</f>
        <v>35</v>
      </c>
      <c r="G412" s="94" t="str">
        <f t="shared" si="55"/>
        <v/>
      </c>
      <c r="H412" s="94">
        <f t="shared" si="55"/>
        <v>0</v>
      </c>
      <c r="I412" s="94">
        <f t="shared" si="55"/>
        <v>0</v>
      </c>
      <c r="J412" s="94">
        <f t="shared" si="55"/>
        <v>0</v>
      </c>
      <c r="K412" s="94">
        <f t="shared" si="55"/>
        <v>0</v>
      </c>
      <c r="L412" s="94">
        <f t="shared" si="55"/>
        <v>0</v>
      </c>
      <c r="M412" s="94">
        <f t="shared" si="55"/>
        <v>0</v>
      </c>
      <c r="N412" s="94">
        <f t="shared" si="55"/>
        <v>0</v>
      </c>
      <c r="O412" s="94">
        <f t="shared" si="55"/>
        <v>0</v>
      </c>
      <c r="P412" s="94">
        <f t="shared" si="55"/>
        <v>0</v>
      </c>
      <c r="Q412" s="94">
        <f t="shared" si="55"/>
        <v>0</v>
      </c>
    </row>
    <row r="413" spans="2:17" x14ac:dyDescent="0.2">
      <c r="B413" s="90" t="str">
        <f t="shared" si="56"/>
        <v>ESTACIONES REDUCTORAS DE PRESIÓN</v>
      </c>
      <c r="C413" s="90">
        <f t="shared" si="56"/>
        <v>33</v>
      </c>
      <c r="D413" s="95">
        <f t="shared" si="56"/>
        <v>10</v>
      </c>
      <c r="E413" s="96">
        <f t="shared" si="56"/>
        <v>0</v>
      </c>
      <c r="F413" s="93">
        <f>+VLOOKUP(C413,'INV POIR PPERDIDAS'!$C$4:$F$123,4,FALSE)</f>
        <v>35</v>
      </c>
      <c r="G413" s="94" t="str">
        <f t="shared" ref="G413:Q428" si="57">+IFERROR(G289+G41,"")</f>
        <v/>
      </c>
      <c r="H413" s="94">
        <f t="shared" si="57"/>
        <v>0</v>
      </c>
      <c r="I413" s="94">
        <f t="shared" si="57"/>
        <v>0</v>
      </c>
      <c r="J413" s="94">
        <f t="shared" si="57"/>
        <v>0</v>
      </c>
      <c r="K413" s="94">
        <f t="shared" si="57"/>
        <v>0</v>
      </c>
      <c r="L413" s="94">
        <f t="shared" si="57"/>
        <v>0</v>
      </c>
      <c r="M413" s="94">
        <f t="shared" si="57"/>
        <v>0</v>
      </c>
      <c r="N413" s="94">
        <f t="shared" si="57"/>
        <v>0</v>
      </c>
      <c r="O413" s="94">
        <f t="shared" si="57"/>
        <v>0</v>
      </c>
      <c r="P413" s="94">
        <f t="shared" si="57"/>
        <v>0</v>
      </c>
      <c r="Q413" s="94">
        <f t="shared" si="57"/>
        <v>0</v>
      </c>
    </row>
    <row r="414" spans="2:17" x14ac:dyDescent="0.2">
      <c r="B414" s="90" t="str">
        <f t="shared" ref="B414:E429" si="58">+B290</f>
        <v>REHABILITACIÓN TANQUES</v>
      </c>
      <c r="C414" s="90">
        <f t="shared" si="58"/>
        <v>34</v>
      </c>
      <c r="D414" s="95">
        <f t="shared" si="58"/>
        <v>0</v>
      </c>
      <c r="E414" s="96">
        <f t="shared" si="58"/>
        <v>0</v>
      </c>
      <c r="F414" s="93">
        <f>+VLOOKUP(C414,'INV POIR PPERDIDAS'!$C$4:$F$123,4,FALSE)</f>
        <v>45</v>
      </c>
      <c r="G414" s="94" t="str">
        <f t="shared" si="57"/>
        <v/>
      </c>
      <c r="H414" s="94">
        <f t="shared" si="57"/>
        <v>0</v>
      </c>
      <c r="I414" s="94">
        <f t="shared" si="57"/>
        <v>0</v>
      </c>
      <c r="J414" s="94">
        <f t="shared" si="57"/>
        <v>0</v>
      </c>
      <c r="K414" s="94">
        <f t="shared" si="57"/>
        <v>0</v>
      </c>
      <c r="L414" s="94">
        <f t="shared" si="57"/>
        <v>0</v>
      </c>
      <c r="M414" s="94">
        <f t="shared" si="57"/>
        <v>0</v>
      </c>
      <c r="N414" s="94">
        <f t="shared" si="57"/>
        <v>0</v>
      </c>
      <c r="O414" s="94">
        <f t="shared" si="57"/>
        <v>0</v>
      </c>
      <c r="P414" s="94">
        <f t="shared" si="57"/>
        <v>0</v>
      </c>
      <c r="Q414" s="94">
        <f t="shared" si="57"/>
        <v>0</v>
      </c>
    </row>
    <row r="415" spans="2:17" x14ac:dyDescent="0.2">
      <c r="B415" s="90" t="str">
        <f t="shared" si="58"/>
        <v>REHABILITACIÓN TANQUES</v>
      </c>
      <c r="C415" s="90">
        <f t="shared" si="58"/>
        <v>35</v>
      </c>
      <c r="D415" s="95">
        <f t="shared" si="58"/>
        <v>1</v>
      </c>
      <c r="E415" s="96">
        <f t="shared" si="58"/>
        <v>3694767.6620469596</v>
      </c>
      <c r="F415" s="93">
        <f>+VLOOKUP(C415,'INV POIR PPERDIDAS'!$C$4:$F$123,4,FALSE)</f>
        <v>45</v>
      </c>
      <c r="G415" s="94" t="str">
        <f t="shared" si="57"/>
        <v/>
      </c>
      <c r="H415" s="94">
        <f t="shared" si="57"/>
        <v>0</v>
      </c>
      <c r="I415" s="94">
        <f t="shared" si="57"/>
        <v>414635.03762971435</v>
      </c>
      <c r="J415" s="94">
        <f t="shared" si="57"/>
        <v>407245.50230562041</v>
      </c>
      <c r="K415" s="94">
        <f t="shared" si="57"/>
        <v>399855.96698152652</v>
      </c>
      <c r="L415" s="94">
        <f t="shared" si="57"/>
        <v>392466.43165743258</v>
      </c>
      <c r="M415" s="94">
        <f t="shared" si="57"/>
        <v>385076.89633333863</v>
      </c>
      <c r="N415" s="94">
        <f t="shared" si="57"/>
        <v>377687.36100924475</v>
      </c>
      <c r="O415" s="94">
        <f t="shared" si="57"/>
        <v>370297.8256851508</v>
      </c>
      <c r="P415" s="94">
        <f t="shared" si="57"/>
        <v>362908.29036105692</v>
      </c>
      <c r="Q415" s="94">
        <f t="shared" si="57"/>
        <v>355518.75503696298</v>
      </c>
    </row>
    <row r="416" spans="2:17" x14ac:dyDescent="0.2">
      <c r="B416" s="90" t="str">
        <f t="shared" si="58"/>
        <v>REHABILITACIÓN TANQUES</v>
      </c>
      <c r="C416" s="90">
        <f t="shared" si="58"/>
        <v>36</v>
      </c>
      <c r="D416" s="95">
        <f t="shared" si="58"/>
        <v>2</v>
      </c>
      <c r="E416" s="96">
        <f t="shared" si="58"/>
        <v>23580680.525948294</v>
      </c>
      <c r="F416" s="93">
        <f>+VLOOKUP(C416,'INV POIR PPERDIDAS'!$C$4:$F$123,4,FALSE)</f>
        <v>45</v>
      </c>
      <c r="G416" s="94" t="str">
        <f t="shared" si="57"/>
        <v/>
      </c>
      <c r="H416" s="94">
        <f t="shared" si="57"/>
        <v>0</v>
      </c>
      <c r="I416" s="94">
        <f t="shared" si="57"/>
        <v>0</v>
      </c>
      <c r="J416" s="94">
        <f t="shared" si="57"/>
        <v>2646276.3701341972</v>
      </c>
      <c r="K416" s="94">
        <f t="shared" si="57"/>
        <v>2599115.0090823006</v>
      </c>
      <c r="L416" s="94">
        <f t="shared" si="57"/>
        <v>2551953.648030404</v>
      </c>
      <c r="M416" s="94">
        <f t="shared" si="57"/>
        <v>2504792.2869785074</v>
      </c>
      <c r="N416" s="94">
        <f t="shared" si="57"/>
        <v>2457630.9259266104</v>
      </c>
      <c r="O416" s="94">
        <f t="shared" si="57"/>
        <v>2410469.5648747133</v>
      </c>
      <c r="P416" s="94">
        <f t="shared" si="57"/>
        <v>2363308.2038228167</v>
      </c>
      <c r="Q416" s="94">
        <f t="shared" si="57"/>
        <v>2316146.8427709201</v>
      </c>
    </row>
    <row r="417" spans="2:17" x14ac:dyDescent="0.2">
      <c r="B417" s="90" t="str">
        <f t="shared" si="58"/>
        <v>REHABILITACIÓN TANQUES</v>
      </c>
      <c r="C417" s="90">
        <f t="shared" si="58"/>
        <v>37</v>
      </c>
      <c r="D417" s="95">
        <f t="shared" si="58"/>
        <v>3</v>
      </c>
      <c r="E417" s="96">
        <f t="shared" si="58"/>
        <v>20159531.161544681</v>
      </c>
      <c r="F417" s="93">
        <f>+VLOOKUP(C417,'INV POIR PPERDIDAS'!$C$4:$F$123,4,FALSE)</f>
        <v>45</v>
      </c>
      <c r="G417" s="94" t="str">
        <f t="shared" si="57"/>
        <v/>
      </c>
      <c r="H417" s="94">
        <f t="shared" si="57"/>
        <v>0</v>
      </c>
      <c r="I417" s="94">
        <f t="shared" si="57"/>
        <v>0</v>
      </c>
      <c r="J417" s="94">
        <f t="shared" si="57"/>
        <v>0</v>
      </c>
      <c r="K417" s="94">
        <f t="shared" si="57"/>
        <v>2262347.3859066805</v>
      </c>
      <c r="L417" s="94">
        <f t="shared" si="57"/>
        <v>2222028.3235835913</v>
      </c>
      <c r="M417" s="94">
        <f t="shared" si="57"/>
        <v>2181709.261260502</v>
      </c>
      <c r="N417" s="94">
        <f t="shared" si="57"/>
        <v>2141390.1989374124</v>
      </c>
      <c r="O417" s="94">
        <f t="shared" si="57"/>
        <v>2101071.1366143231</v>
      </c>
      <c r="P417" s="94">
        <f t="shared" si="57"/>
        <v>2060752.0742912337</v>
      </c>
      <c r="Q417" s="94">
        <f t="shared" si="57"/>
        <v>2020433.0119681442</v>
      </c>
    </row>
    <row r="418" spans="2:17" x14ac:dyDescent="0.2">
      <c r="B418" s="90" t="str">
        <f t="shared" si="58"/>
        <v>REHABILITACIÓN TANQUES</v>
      </c>
      <c r="C418" s="90">
        <f t="shared" si="58"/>
        <v>38</v>
      </c>
      <c r="D418" s="95">
        <f t="shared" si="58"/>
        <v>4</v>
      </c>
      <c r="E418" s="96">
        <f t="shared" si="58"/>
        <v>23740256.842132706</v>
      </c>
      <c r="F418" s="93">
        <f>+VLOOKUP(C418,'INV POIR PPERDIDAS'!$C$4:$F$123,4,FALSE)</f>
        <v>45</v>
      </c>
      <c r="G418" s="94" t="str">
        <f t="shared" si="57"/>
        <v/>
      </c>
      <c r="H418" s="94">
        <f t="shared" si="57"/>
        <v>0</v>
      </c>
      <c r="I418" s="94">
        <f t="shared" si="57"/>
        <v>0</v>
      </c>
      <c r="J418" s="94">
        <f t="shared" si="57"/>
        <v>0</v>
      </c>
      <c r="K418" s="94">
        <f t="shared" si="57"/>
        <v>0</v>
      </c>
      <c r="L418" s="94">
        <f t="shared" si="57"/>
        <v>2664184.3789504478</v>
      </c>
      <c r="M418" s="94">
        <f t="shared" si="57"/>
        <v>2616703.8652661825</v>
      </c>
      <c r="N418" s="94">
        <f t="shared" si="57"/>
        <v>2569223.3515819171</v>
      </c>
      <c r="O418" s="94">
        <f t="shared" si="57"/>
        <v>2521742.8378976518</v>
      </c>
      <c r="P418" s="94">
        <f t="shared" si="57"/>
        <v>2474262.3242133865</v>
      </c>
      <c r="Q418" s="94">
        <f t="shared" si="57"/>
        <v>2426781.8105291212</v>
      </c>
    </row>
    <row r="419" spans="2:17" x14ac:dyDescent="0.2">
      <c r="B419" s="90" t="str">
        <f t="shared" si="58"/>
        <v>REHABILITACIÓN TANQUES</v>
      </c>
      <c r="C419" s="90">
        <f t="shared" si="58"/>
        <v>39</v>
      </c>
      <c r="D419" s="95">
        <f t="shared" si="58"/>
        <v>5</v>
      </c>
      <c r="E419" s="96">
        <f t="shared" si="58"/>
        <v>6055019.8655763008</v>
      </c>
      <c r="F419" s="93">
        <f>+VLOOKUP(C419,'INV POIR PPERDIDAS'!$C$4:$F$123,4,FALSE)</f>
        <v>45</v>
      </c>
      <c r="G419" s="94" t="str">
        <f t="shared" si="57"/>
        <v/>
      </c>
      <c r="H419" s="94">
        <f t="shared" si="57"/>
        <v>0</v>
      </c>
      <c r="I419" s="94">
        <f t="shared" si="57"/>
        <v>0</v>
      </c>
      <c r="J419" s="94">
        <f t="shared" si="57"/>
        <v>0</v>
      </c>
      <c r="K419" s="94">
        <f t="shared" si="57"/>
        <v>0</v>
      </c>
      <c r="L419" s="94">
        <f t="shared" si="57"/>
        <v>0</v>
      </c>
      <c r="M419" s="94">
        <f t="shared" si="57"/>
        <v>679507.78491467377</v>
      </c>
      <c r="N419" s="94">
        <f t="shared" si="57"/>
        <v>667397.74518352107</v>
      </c>
      <c r="O419" s="94">
        <f t="shared" si="57"/>
        <v>655287.70545236848</v>
      </c>
      <c r="P419" s="94">
        <f t="shared" si="57"/>
        <v>643177.66572121577</v>
      </c>
      <c r="Q419" s="94">
        <f t="shared" si="57"/>
        <v>631067.62599006318</v>
      </c>
    </row>
    <row r="420" spans="2:17" x14ac:dyDescent="0.2">
      <c r="B420" s="90" t="str">
        <f t="shared" si="58"/>
        <v>REHABILITACIÓN TANQUES</v>
      </c>
      <c r="C420" s="90">
        <f t="shared" si="58"/>
        <v>40</v>
      </c>
      <c r="D420" s="95">
        <f t="shared" si="58"/>
        <v>6</v>
      </c>
      <c r="E420" s="96">
        <f t="shared" si="58"/>
        <v>8363307.6816903232</v>
      </c>
      <c r="F420" s="93">
        <f>+VLOOKUP(C420,'INV POIR PPERDIDAS'!$C$4:$F$123,4,FALSE)</f>
        <v>45</v>
      </c>
      <c r="G420" s="94" t="str">
        <f t="shared" si="57"/>
        <v/>
      </c>
      <c r="H420" s="94">
        <f t="shared" si="57"/>
        <v>0</v>
      </c>
      <c r="I420" s="94">
        <f t="shared" si="57"/>
        <v>0</v>
      </c>
      <c r="J420" s="94">
        <f t="shared" si="57"/>
        <v>0</v>
      </c>
      <c r="K420" s="94">
        <f t="shared" si="57"/>
        <v>0</v>
      </c>
      <c r="L420" s="94">
        <f t="shared" si="57"/>
        <v>0</v>
      </c>
      <c r="M420" s="94">
        <f t="shared" si="57"/>
        <v>0</v>
      </c>
      <c r="N420" s="94">
        <f t="shared" si="57"/>
        <v>938548.97316746961</v>
      </c>
      <c r="O420" s="94">
        <f t="shared" si="57"/>
        <v>921822.35780408885</v>
      </c>
      <c r="P420" s="94">
        <f t="shared" si="57"/>
        <v>905095.74244070821</v>
      </c>
      <c r="Q420" s="94">
        <f t="shared" si="57"/>
        <v>888369.12707732758</v>
      </c>
    </row>
    <row r="421" spans="2:17" x14ac:dyDescent="0.2">
      <c r="B421" s="90" t="str">
        <f t="shared" si="58"/>
        <v>REHABILITACIÓN TANQUES</v>
      </c>
      <c r="C421" s="90">
        <f t="shared" si="58"/>
        <v>41</v>
      </c>
      <c r="D421" s="95">
        <f t="shared" si="58"/>
        <v>7</v>
      </c>
      <c r="E421" s="96">
        <f t="shared" si="58"/>
        <v>5080305.5353145692</v>
      </c>
      <c r="F421" s="93">
        <f>+VLOOKUP(C421,'INV POIR PPERDIDAS'!$C$4:$F$123,4,FALSE)</f>
        <v>45</v>
      </c>
      <c r="G421" s="94" t="str">
        <f t="shared" si="57"/>
        <v/>
      </c>
      <c r="H421" s="94">
        <f t="shared" si="57"/>
        <v>0</v>
      </c>
      <c r="I421" s="94">
        <f t="shared" si="57"/>
        <v>0</v>
      </c>
      <c r="J421" s="94">
        <f t="shared" si="57"/>
        <v>0</v>
      </c>
      <c r="K421" s="94">
        <f t="shared" si="57"/>
        <v>0</v>
      </c>
      <c r="L421" s="94">
        <f t="shared" si="57"/>
        <v>0</v>
      </c>
      <c r="M421" s="94">
        <f t="shared" si="57"/>
        <v>0</v>
      </c>
      <c r="N421" s="94">
        <f t="shared" si="57"/>
        <v>0</v>
      </c>
      <c r="O421" s="94">
        <f t="shared" si="57"/>
        <v>570123.17674085719</v>
      </c>
      <c r="P421" s="94">
        <f t="shared" si="57"/>
        <v>559962.5656702281</v>
      </c>
      <c r="Q421" s="94">
        <f t="shared" si="57"/>
        <v>549801.95459959889</v>
      </c>
    </row>
    <row r="422" spans="2:17" x14ac:dyDescent="0.2">
      <c r="B422" s="90" t="str">
        <f t="shared" si="58"/>
        <v>REHABILITACIÓN TANQUES</v>
      </c>
      <c r="C422" s="90">
        <f t="shared" si="58"/>
        <v>42</v>
      </c>
      <c r="D422" s="95">
        <f t="shared" si="58"/>
        <v>8</v>
      </c>
      <c r="E422" s="96">
        <f t="shared" si="58"/>
        <v>5080305.5353145692</v>
      </c>
      <c r="F422" s="93">
        <f>+VLOOKUP(C422,'INV POIR PPERDIDAS'!$C$4:$F$123,4,FALSE)</f>
        <v>45</v>
      </c>
      <c r="G422" s="94" t="str">
        <f t="shared" si="57"/>
        <v/>
      </c>
      <c r="H422" s="94">
        <f t="shared" si="57"/>
        <v>0</v>
      </c>
      <c r="I422" s="94">
        <f t="shared" si="57"/>
        <v>0</v>
      </c>
      <c r="J422" s="94">
        <f t="shared" si="57"/>
        <v>0</v>
      </c>
      <c r="K422" s="94">
        <f t="shared" si="57"/>
        <v>0</v>
      </c>
      <c r="L422" s="94">
        <f t="shared" si="57"/>
        <v>0</v>
      </c>
      <c r="M422" s="94">
        <f t="shared" si="57"/>
        <v>0</v>
      </c>
      <c r="N422" s="94">
        <f t="shared" si="57"/>
        <v>0</v>
      </c>
      <c r="O422" s="94">
        <f t="shared" si="57"/>
        <v>0</v>
      </c>
      <c r="P422" s="94">
        <f t="shared" si="57"/>
        <v>570123.17674085719</v>
      </c>
      <c r="Q422" s="94">
        <f t="shared" si="57"/>
        <v>559962.5656702281</v>
      </c>
    </row>
    <row r="423" spans="2:17" x14ac:dyDescent="0.2">
      <c r="B423" s="90" t="str">
        <f t="shared" si="58"/>
        <v>REHABILITACIÓN TANQUES</v>
      </c>
      <c r="C423" s="90">
        <f t="shared" si="58"/>
        <v>43</v>
      </c>
      <c r="D423" s="95">
        <f t="shared" si="58"/>
        <v>9</v>
      </c>
      <c r="E423" s="96">
        <f t="shared" si="58"/>
        <v>5080305.5353145692</v>
      </c>
      <c r="F423" s="93">
        <f>+VLOOKUP(C423,'INV POIR PPERDIDAS'!$C$4:$F$123,4,FALSE)</f>
        <v>45</v>
      </c>
      <c r="G423" s="94" t="str">
        <f t="shared" si="57"/>
        <v/>
      </c>
      <c r="H423" s="94">
        <f t="shared" si="57"/>
        <v>0</v>
      </c>
      <c r="I423" s="94">
        <f t="shared" si="57"/>
        <v>0</v>
      </c>
      <c r="J423" s="94">
        <f t="shared" si="57"/>
        <v>0</v>
      </c>
      <c r="K423" s="94">
        <f t="shared" si="57"/>
        <v>0</v>
      </c>
      <c r="L423" s="94">
        <f t="shared" si="57"/>
        <v>0</v>
      </c>
      <c r="M423" s="94">
        <f t="shared" si="57"/>
        <v>0</v>
      </c>
      <c r="N423" s="94">
        <f t="shared" si="57"/>
        <v>0</v>
      </c>
      <c r="O423" s="94">
        <f t="shared" si="57"/>
        <v>0</v>
      </c>
      <c r="P423" s="94">
        <f t="shared" si="57"/>
        <v>0</v>
      </c>
      <c r="Q423" s="94">
        <f t="shared" si="57"/>
        <v>570123.17674085719</v>
      </c>
    </row>
    <row r="424" spans="2:17" x14ac:dyDescent="0.2">
      <c r="B424" s="90" t="str">
        <f t="shared" si="58"/>
        <v>REHABILITACIÓN TANQUES</v>
      </c>
      <c r="C424" s="90">
        <f t="shared" si="58"/>
        <v>44</v>
      </c>
      <c r="D424" s="95">
        <f t="shared" si="58"/>
        <v>10</v>
      </c>
      <c r="E424" s="96">
        <f t="shared" si="58"/>
        <v>5080305.5353145692</v>
      </c>
      <c r="F424" s="93">
        <f>+VLOOKUP(C424,'INV POIR PPERDIDAS'!$C$4:$F$123,4,FALSE)</f>
        <v>45</v>
      </c>
      <c r="G424" s="94" t="str">
        <f t="shared" si="57"/>
        <v/>
      </c>
      <c r="H424" s="94">
        <f t="shared" si="57"/>
        <v>0</v>
      </c>
      <c r="I424" s="94">
        <f t="shared" si="57"/>
        <v>0</v>
      </c>
      <c r="J424" s="94">
        <f t="shared" si="57"/>
        <v>0</v>
      </c>
      <c r="K424" s="94">
        <f t="shared" si="57"/>
        <v>0</v>
      </c>
      <c r="L424" s="94">
        <f t="shared" si="57"/>
        <v>0</v>
      </c>
      <c r="M424" s="94">
        <f t="shared" si="57"/>
        <v>0</v>
      </c>
      <c r="N424" s="94">
        <f t="shared" si="57"/>
        <v>0</v>
      </c>
      <c r="O424" s="94">
        <f t="shared" si="57"/>
        <v>0</v>
      </c>
      <c r="P424" s="94">
        <f t="shared" si="57"/>
        <v>0</v>
      </c>
      <c r="Q424" s="94">
        <f t="shared" si="57"/>
        <v>0</v>
      </c>
    </row>
    <row r="425" spans="2:17" x14ac:dyDescent="0.2">
      <c r="B425" s="90" t="str">
        <f t="shared" si="58"/>
        <v>NO SE REQUIERE</v>
      </c>
      <c r="C425" s="90">
        <f t="shared" si="58"/>
        <v>45</v>
      </c>
      <c r="D425" s="95">
        <f t="shared" si="58"/>
        <v>0</v>
      </c>
      <c r="E425" s="96">
        <f t="shared" si="58"/>
        <v>0</v>
      </c>
      <c r="F425" s="93">
        <f>+VLOOKUP(C425,'INV POIR PPERDIDAS'!$C$4:$F$123,4,FALSE)</f>
        <v>1</v>
      </c>
      <c r="G425" s="94" t="str">
        <f t="shared" si="57"/>
        <v/>
      </c>
      <c r="H425" s="94">
        <f t="shared" si="57"/>
        <v>0</v>
      </c>
      <c r="I425" s="94">
        <f t="shared" si="57"/>
        <v>0</v>
      </c>
      <c r="J425" s="94">
        <f t="shared" si="57"/>
        <v>0</v>
      </c>
      <c r="K425" s="94">
        <f t="shared" si="57"/>
        <v>0</v>
      </c>
      <c r="L425" s="94">
        <f t="shared" si="57"/>
        <v>0</v>
      </c>
      <c r="M425" s="94">
        <f t="shared" si="57"/>
        <v>0</v>
      </c>
      <c r="N425" s="94">
        <f t="shared" si="57"/>
        <v>0</v>
      </c>
      <c r="O425" s="94">
        <f t="shared" si="57"/>
        <v>0</v>
      </c>
      <c r="P425" s="94">
        <f t="shared" si="57"/>
        <v>0</v>
      </c>
      <c r="Q425" s="94">
        <f t="shared" si="57"/>
        <v>0</v>
      </c>
    </row>
    <row r="426" spans="2:17" x14ac:dyDescent="0.2">
      <c r="B426" s="90" t="str">
        <f t="shared" si="58"/>
        <v>NO SE REQUIERE</v>
      </c>
      <c r="C426" s="90">
        <f t="shared" si="58"/>
        <v>46</v>
      </c>
      <c r="D426" s="95">
        <f t="shared" si="58"/>
        <v>1</v>
      </c>
      <c r="E426" s="96">
        <f t="shared" si="58"/>
        <v>182564111.13095859</v>
      </c>
      <c r="F426" s="93">
        <f>+VLOOKUP(C426,'INV POIR PPERDIDAS'!$C$4:$F$123,4,FALSE)</f>
        <v>1</v>
      </c>
      <c r="G426" s="94" t="str">
        <f t="shared" si="57"/>
        <v/>
      </c>
      <c r="H426" s="94">
        <f t="shared" si="57"/>
        <v>0</v>
      </c>
      <c r="I426" s="94">
        <f t="shared" si="57"/>
        <v>198994881.13274485</v>
      </c>
      <c r="J426" s="94">
        <f t="shared" si="57"/>
        <v>182564111.13095859</v>
      </c>
      <c r="K426" s="94">
        <f t="shared" si="57"/>
        <v>166133341.12917233</v>
      </c>
      <c r="L426" s="94">
        <f t="shared" si="57"/>
        <v>149702571.12738603</v>
      </c>
      <c r="M426" s="94">
        <f t="shared" si="57"/>
        <v>133271801.12559977</v>
      </c>
      <c r="N426" s="94">
        <f t="shared" si="57"/>
        <v>116841031.1238135</v>
      </c>
      <c r="O426" s="94">
        <f t="shared" si="57"/>
        <v>100410261.12202723</v>
      </c>
      <c r="P426" s="94">
        <f t="shared" si="57"/>
        <v>83979491.120240942</v>
      </c>
      <c r="Q426" s="94">
        <f t="shared" si="57"/>
        <v>67548721.11845468</v>
      </c>
    </row>
    <row r="427" spans="2:17" x14ac:dyDescent="0.2">
      <c r="B427" s="90" t="str">
        <f t="shared" si="58"/>
        <v>NO SE REQUIERE</v>
      </c>
      <c r="C427" s="90">
        <f t="shared" si="58"/>
        <v>47</v>
      </c>
      <c r="D427" s="95">
        <f t="shared" si="58"/>
        <v>2</v>
      </c>
      <c r="E427" s="96">
        <f t="shared" si="58"/>
        <v>182564111.13095859</v>
      </c>
      <c r="F427" s="93">
        <f>+VLOOKUP(C427,'INV POIR PPERDIDAS'!$C$4:$F$123,4,FALSE)</f>
        <v>1</v>
      </c>
      <c r="G427" s="94" t="str">
        <f t="shared" si="57"/>
        <v/>
      </c>
      <c r="H427" s="94">
        <f t="shared" si="57"/>
        <v>0</v>
      </c>
      <c r="I427" s="94">
        <f t="shared" si="57"/>
        <v>0</v>
      </c>
      <c r="J427" s="94">
        <f t="shared" si="57"/>
        <v>198994881.13274485</v>
      </c>
      <c r="K427" s="94">
        <f t="shared" si="57"/>
        <v>182564111.13095859</v>
      </c>
      <c r="L427" s="94">
        <f t="shared" si="57"/>
        <v>166133341.12917233</v>
      </c>
      <c r="M427" s="94">
        <f t="shared" si="57"/>
        <v>149702571.12738603</v>
      </c>
      <c r="N427" s="94">
        <f t="shared" si="57"/>
        <v>133271801.12559977</v>
      </c>
      <c r="O427" s="94">
        <f t="shared" si="57"/>
        <v>116841031.1238135</v>
      </c>
      <c r="P427" s="94">
        <f t="shared" si="57"/>
        <v>100410261.12202723</v>
      </c>
      <c r="Q427" s="94">
        <f t="shared" si="57"/>
        <v>83979491.120240942</v>
      </c>
    </row>
    <row r="428" spans="2:17" x14ac:dyDescent="0.2">
      <c r="B428" s="90" t="str">
        <f t="shared" si="58"/>
        <v>NO SE REQUIERE</v>
      </c>
      <c r="C428" s="90">
        <f t="shared" si="58"/>
        <v>48</v>
      </c>
      <c r="D428" s="95">
        <f t="shared" si="58"/>
        <v>3</v>
      </c>
      <c r="E428" s="96">
        <f t="shared" si="58"/>
        <v>182564111.13095859</v>
      </c>
      <c r="F428" s="93">
        <f>+VLOOKUP(C428,'INV POIR PPERDIDAS'!$C$4:$F$123,4,FALSE)</f>
        <v>1</v>
      </c>
      <c r="G428" s="94" t="str">
        <f t="shared" si="57"/>
        <v/>
      </c>
      <c r="H428" s="94">
        <f t="shared" si="57"/>
        <v>0</v>
      </c>
      <c r="I428" s="94">
        <f t="shared" si="57"/>
        <v>0</v>
      </c>
      <c r="J428" s="94">
        <f t="shared" si="57"/>
        <v>0</v>
      </c>
      <c r="K428" s="94">
        <f t="shared" si="57"/>
        <v>198994881.13274485</v>
      </c>
      <c r="L428" s="94">
        <f t="shared" si="57"/>
        <v>182564111.13095859</v>
      </c>
      <c r="M428" s="94">
        <f t="shared" si="57"/>
        <v>166133341.12917233</v>
      </c>
      <c r="N428" s="94">
        <f t="shared" si="57"/>
        <v>149702571.12738603</v>
      </c>
      <c r="O428" s="94">
        <f t="shared" si="57"/>
        <v>133271801.12559977</v>
      </c>
      <c r="P428" s="94">
        <f t="shared" si="57"/>
        <v>116841031.1238135</v>
      </c>
      <c r="Q428" s="94">
        <f t="shared" si="57"/>
        <v>100410261.12202723</v>
      </c>
    </row>
    <row r="429" spans="2:17" x14ac:dyDescent="0.2">
      <c r="B429" s="90" t="str">
        <f t="shared" si="58"/>
        <v>NO SE REQUIERE</v>
      </c>
      <c r="C429" s="90">
        <f t="shared" si="58"/>
        <v>49</v>
      </c>
      <c r="D429" s="95">
        <f t="shared" si="58"/>
        <v>4</v>
      </c>
      <c r="E429" s="96">
        <f t="shared" si="58"/>
        <v>182564111.13095859</v>
      </c>
      <c r="F429" s="93">
        <f>+VLOOKUP(C429,'INV POIR PPERDIDAS'!$C$4:$F$123,4,FALSE)</f>
        <v>1</v>
      </c>
      <c r="G429" s="94" t="str">
        <f t="shared" ref="G429:Q444" si="59">+IFERROR(G305+G57,"")</f>
        <v/>
      </c>
      <c r="H429" s="94">
        <f t="shared" si="59"/>
        <v>0</v>
      </c>
      <c r="I429" s="94">
        <f t="shared" si="59"/>
        <v>0</v>
      </c>
      <c r="J429" s="94">
        <f t="shared" si="59"/>
        <v>0</v>
      </c>
      <c r="K429" s="94">
        <f t="shared" si="59"/>
        <v>0</v>
      </c>
      <c r="L429" s="94">
        <f t="shared" si="59"/>
        <v>198994881.13274485</v>
      </c>
      <c r="M429" s="94">
        <f t="shared" si="59"/>
        <v>182564111.13095859</v>
      </c>
      <c r="N429" s="94">
        <f t="shared" si="59"/>
        <v>166133341.12917233</v>
      </c>
      <c r="O429" s="94">
        <f t="shared" si="59"/>
        <v>149702571.12738603</v>
      </c>
      <c r="P429" s="94">
        <f t="shared" si="59"/>
        <v>133271801.12559977</v>
      </c>
      <c r="Q429" s="94">
        <f t="shared" si="59"/>
        <v>116841031.1238135</v>
      </c>
    </row>
    <row r="430" spans="2:17" x14ac:dyDescent="0.2">
      <c r="B430" s="90" t="str">
        <f t="shared" ref="B430:E445" si="60">+B306</f>
        <v>NO SE REQUIERE</v>
      </c>
      <c r="C430" s="90">
        <f t="shared" si="60"/>
        <v>50</v>
      </c>
      <c r="D430" s="95">
        <f t="shared" si="60"/>
        <v>5</v>
      </c>
      <c r="E430" s="96">
        <f t="shared" si="60"/>
        <v>182564111.13095859</v>
      </c>
      <c r="F430" s="93">
        <f>+VLOOKUP(C430,'INV POIR PPERDIDAS'!$C$4:$F$123,4,FALSE)</f>
        <v>1</v>
      </c>
      <c r="G430" s="94" t="str">
        <f t="shared" si="59"/>
        <v/>
      </c>
      <c r="H430" s="94">
        <f t="shared" si="59"/>
        <v>0</v>
      </c>
      <c r="I430" s="94">
        <f t="shared" si="59"/>
        <v>0</v>
      </c>
      <c r="J430" s="94">
        <f t="shared" si="59"/>
        <v>0</v>
      </c>
      <c r="K430" s="94">
        <f t="shared" si="59"/>
        <v>0</v>
      </c>
      <c r="L430" s="94">
        <f t="shared" si="59"/>
        <v>0</v>
      </c>
      <c r="M430" s="94">
        <f t="shared" si="59"/>
        <v>198994881.13274485</v>
      </c>
      <c r="N430" s="94">
        <f t="shared" si="59"/>
        <v>182564111.13095859</v>
      </c>
      <c r="O430" s="94">
        <f t="shared" si="59"/>
        <v>166133341.12917233</v>
      </c>
      <c r="P430" s="94">
        <f t="shared" si="59"/>
        <v>149702571.12738603</v>
      </c>
      <c r="Q430" s="94">
        <f t="shared" si="59"/>
        <v>133271801.12559977</v>
      </c>
    </row>
    <row r="431" spans="2:17" x14ac:dyDescent="0.2">
      <c r="B431" s="90" t="str">
        <f t="shared" si="60"/>
        <v>NO SE REQUIERE</v>
      </c>
      <c r="C431" s="90">
        <f t="shared" si="60"/>
        <v>51</v>
      </c>
      <c r="D431" s="95">
        <f t="shared" si="60"/>
        <v>6</v>
      </c>
      <c r="E431" s="96">
        <f t="shared" si="60"/>
        <v>0</v>
      </c>
      <c r="F431" s="93">
        <f>+VLOOKUP(C431,'INV POIR PPERDIDAS'!$C$4:$F$123,4,FALSE)</f>
        <v>1</v>
      </c>
      <c r="G431" s="94" t="str">
        <f t="shared" si="59"/>
        <v/>
      </c>
      <c r="H431" s="94">
        <f t="shared" si="59"/>
        <v>0</v>
      </c>
      <c r="I431" s="94">
        <f t="shared" si="59"/>
        <v>0</v>
      </c>
      <c r="J431" s="94">
        <f t="shared" si="59"/>
        <v>0</v>
      </c>
      <c r="K431" s="94">
        <f t="shared" si="59"/>
        <v>0</v>
      </c>
      <c r="L431" s="94">
        <f t="shared" si="59"/>
        <v>0</v>
      </c>
      <c r="M431" s="94">
        <f t="shared" si="59"/>
        <v>0</v>
      </c>
      <c r="N431" s="94">
        <f t="shared" si="59"/>
        <v>0</v>
      </c>
      <c r="O431" s="94">
        <f t="shared" si="59"/>
        <v>0</v>
      </c>
      <c r="P431" s="94">
        <f t="shared" si="59"/>
        <v>0</v>
      </c>
      <c r="Q431" s="94">
        <f t="shared" si="59"/>
        <v>0</v>
      </c>
    </row>
    <row r="432" spans="2:17" x14ac:dyDescent="0.2">
      <c r="B432" s="90" t="str">
        <f t="shared" si="60"/>
        <v>NO SE REQUIERE</v>
      </c>
      <c r="C432" s="90">
        <f t="shared" si="60"/>
        <v>52</v>
      </c>
      <c r="D432" s="95">
        <f t="shared" si="60"/>
        <v>7</v>
      </c>
      <c r="E432" s="96">
        <f t="shared" si="60"/>
        <v>0</v>
      </c>
      <c r="F432" s="93">
        <f>+VLOOKUP(C432,'INV POIR PPERDIDAS'!$C$4:$F$123,4,FALSE)</f>
        <v>1</v>
      </c>
      <c r="G432" s="94" t="str">
        <f t="shared" si="59"/>
        <v/>
      </c>
      <c r="H432" s="94">
        <f t="shared" si="59"/>
        <v>0</v>
      </c>
      <c r="I432" s="94">
        <f t="shared" si="59"/>
        <v>0</v>
      </c>
      <c r="J432" s="94">
        <f t="shared" si="59"/>
        <v>0</v>
      </c>
      <c r="K432" s="94">
        <f t="shared" si="59"/>
        <v>0</v>
      </c>
      <c r="L432" s="94">
        <f t="shared" si="59"/>
        <v>0</v>
      </c>
      <c r="M432" s="94">
        <f t="shared" si="59"/>
        <v>0</v>
      </c>
      <c r="N432" s="94">
        <f t="shared" si="59"/>
        <v>0</v>
      </c>
      <c r="O432" s="94">
        <f t="shared" si="59"/>
        <v>0</v>
      </c>
      <c r="P432" s="94">
        <f t="shared" si="59"/>
        <v>0</v>
      </c>
      <c r="Q432" s="94">
        <f t="shared" si="59"/>
        <v>0</v>
      </c>
    </row>
    <row r="433" spans="2:17" x14ac:dyDescent="0.2">
      <c r="B433" s="90" t="str">
        <f t="shared" si="60"/>
        <v>NO SE REQUIERE</v>
      </c>
      <c r="C433" s="90">
        <f t="shared" si="60"/>
        <v>53</v>
      </c>
      <c r="D433" s="95">
        <f t="shared" si="60"/>
        <v>8</v>
      </c>
      <c r="E433" s="96">
        <f t="shared" si="60"/>
        <v>0</v>
      </c>
      <c r="F433" s="93">
        <f>+VLOOKUP(C433,'INV POIR PPERDIDAS'!$C$4:$F$123,4,FALSE)</f>
        <v>1</v>
      </c>
      <c r="G433" s="94" t="str">
        <f t="shared" si="59"/>
        <v/>
      </c>
      <c r="H433" s="94">
        <f t="shared" si="59"/>
        <v>0</v>
      </c>
      <c r="I433" s="94">
        <f t="shared" si="59"/>
        <v>0</v>
      </c>
      <c r="J433" s="94">
        <f t="shared" si="59"/>
        <v>0</v>
      </c>
      <c r="K433" s="94">
        <f t="shared" si="59"/>
        <v>0</v>
      </c>
      <c r="L433" s="94">
        <f t="shared" si="59"/>
        <v>0</v>
      </c>
      <c r="M433" s="94">
        <f t="shared" si="59"/>
        <v>0</v>
      </c>
      <c r="N433" s="94">
        <f t="shared" si="59"/>
        <v>0</v>
      </c>
      <c r="O433" s="94">
        <f t="shared" si="59"/>
        <v>0</v>
      </c>
      <c r="P433" s="94">
        <f t="shared" si="59"/>
        <v>0</v>
      </c>
      <c r="Q433" s="94">
        <f t="shared" si="59"/>
        <v>0</v>
      </c>
    </row>
    <row r="434" spans="2:17" x14ac:dyDescent="0.2">
      <c r="B434" s="90" t="str">
        <f t="shared" si="60"/>
        <v>NO SE REQUIERE</v>
      </c>
      <c r="C434" s="90">
        <f t="shared" si="60"/>
        <v>54</v>
      </c>
      <c r="D434" s="95">
        <f t="shared" si="60"/>
        <v>9</v>
      </c>
      <c r="E434" s="96">
        <f t="shared" si="60"/>
        <v>0</v>
      </c>
      <c r="F434" s="93">
        <f>+VLOOKUP(C434,'INV POIR PPERDIDAS'!$C$4:$F$123,4,FALSE)</f>
        <v>1</v>
      </c>
      <c r="G434" s="94" t="str">
        <f t="shared" si="59"/>
        <v/>
      </c>
      <c r="H434" s="94">
        <f t="shared" si="59"/>
        <v>0</v>
      </c>
      <c r="I434" s="94">
        <f t="shared" si="59"/>
        <v>0</v>
      </c>
      <c r="J434" s="94">
        <f t="shared" si="59"/>
        <v>0</v>
      </c>
      <c r="K434" s="94">
        <f t="shared" si="59"/>
        <v>0</v>
      </c>
      <c r="L434" s="94">
        <f t="shared" si="59"/>
        <v>0</v>
      </c>
      <c r="M434" s="94">
        <f t="shared" si="59"/>
        <v>0</v>
      </c>
      <c r="N434" s="94">
        <f t="shared" si="59"/>
        <v>0</v>
      </c>
      <c r="O434" s="94">
        <f t="shared" si="59"/>
        <v>0</v>
      </c>
      <c r="P434" s="94">
        <f t="shared" si="59"/>
        <v>0</v>
      </c>
      <c r="Q434" s="94">
        <f t="shared" si="59"/>
        <v>0</v>
      </c>
    </row>
    <row r="435" spans="2:17" x14ac:dyDescent="0.2">
      <c r="B435" s="90" t="str">
        <f t="shared" si="60"/>
        <v>NO SE REQUIERE</v>
      </c>
      <c r="C435" s="90">
        <f t="shared" si="60"/>
        <v>55</v>
      </c>
      <c r="D435" s="95">
        <f t="shared" si="60"/>
        <v>10</v>
      </c>
      <c r="E435" s="96">
        <f t="shared" si="60"/>
        <v>0</v>
      </c>
      <c r="F435" s="93">
        <f>+VLOOKUP(C435,'INV POIR PPERDIDAS'!$C$4:$F$123,4,FALSE)</f>
        <v>1</v>
      </c>
      <c r="G435" s="94" t="str">
        <f t="shared" si="59"/>
        <v/>
      </c>
      <c r="H435" s="94">
        <f t="shared" si="59"/>
        <v>0</v>
      </c>
      <c r="I435" s="94">
        <f t="shared" si="59"/>
        <v>0</v>
      </c>
      <c r="J435" s="94">
        <f t="shared" si="59"/>
        <v>0</v>
      </c>
      <c r="K435" s="94">
        <f t="shared" si="59"/>
        <v>0</v>
      </c>
      <c r="L435" s="94">
        <f t="shared" si="59"/>
        <v>0</v>
      </c>
      <c r="M435" s="94">
        <f t="shared" si="59"/>
        <v>0</v>
      </c>
      <c r="N435" s="94">
        <f t="shared" si="59"/>
        <v>0</v>
      </c>
      <c r="O435" s="94">
        <f t="shared" si="59"/>
        <v>0</v>
      </c>
      <c r="P435" s="94">
        <f t="shared" si="59"/>
        <v>0</v>
      </c>
      <c r="Q435" s="94">
        <f t="shared" si="59"/>
        <v>0</v>
      </c>
    </row>
    <row r="436" spans="2:17" x14ac:dyDescent="0.2">
      <c r="B436" s="90" t="str">
        <f t="shared" si="60"/>
        <v>REHABILITACIÓN REDES</v>
      </c>
      <c r="C436" s="90">
        <f t="shared" si="60"/>
        <v>56</v>
      </c>
      <c r="D436" s="95">
        <f t="shared" si="60"/>
        <v>0</v>
      </c>
      <c r="E436" s="96">
        <f t="shared" si="60"/>
        <v>0</v>
      </c>
      <c r="F436" s="93">
        <f>+VLOOKUP(C436,'INV POIR PPERDIDAS'!$C$4:$F$123,4,FALSE)</f>
        <v>45</v>
      </c>
      <c r="G436" s="94" t="str">
        <f t="shared" si="59"/>
        <v/>
      </c>
      <c r="H436" s="94">
        <f t="shared" si="59"/>
        <v>0</v>
      </c>
      <c r="I436" s="94">
        <f t="shared" si="59"/>
        <v>0</v>
      </c>
      <c r="J436" s="94">
        <f t="shared" si="59"/>
        <v>0</v>
      </c>
      <c r="K436" s="94">
        <f t="shared" si="59"/>
        <v>0</v>
      </c>
      <c r="L436" s="94">
        <f t="shared" si="59"/>
        <v>0</v>
      </c>
      <c r="M436" s="94">
        <f t="shared" si="59"/>
        <v>0</v>
      </c>
      <c r="N436" s="94">
        <f t="shared" si="59"/>
        <v>0</v>
      </c>
      <c r="O436" s="94">
        <f t="shared" si="59"/>
        <v>0</v>
      </c>
      <c r="P436" s="94">
        <f t="shared" si="59"/>
        <v>0</v>
      </c>
      <c r="Q436" s="94">
        <f t="shared" si="59"/>
        <v>0</v>
      </c>
    </row>
    <row r="437" spans="2:17" x14ac:dyDescent="0.2">
      <c r="B437" s="90" t="str">
        <f t="shared" si="60"/>
        <v>REHABILITACIÓN REDES</v>
      </c>
      <c r="C437" s="90">
        <f t="shared" si="60"/>
        <v>57</v>
      </c>
      <c r="D437" s="95">
        <f t="shared" si="60"/>
        <v>1</v>
      </c>
      <c r="E437" s="96">
        <f t="shared" si="60"/>
        <v>0</v>
      </c>
      <c r="F437" s="93">
        <f>+VLOOKUP(C437,'INV POIR PPERDIDAS'!$C$4:$F$123,4,FALSE)</f>
        <v>45</v>
      </c>
      <c r="G437" s="94" t="str">
        <f t="shared" si="59"/>
        <v/>
      </c>
      <c r="H437" s="94">
        <f t="shared" si="59"/>
        <v>0</v>
      </c>
      <c r="I437" s="94">
        <f t="shared" si="59"/>
        <v>0</v>
      </c>
      <c r="J437" s="94">
        <f t="shared" si="59"/>
        <v>0</v>
      </c>
      <c r="K437" s="94">
        <f t="shared" si="59"/>
        <v>0</v>
      </c>
      <c r="L437" s="94">
        <f t="shared" si="59"/>
        <v>0</v>
      </c>
      <c r="M437" s="94">
        <f t="shared" si="59"/>
        <v>0</v>
      </c>
      <c r="N437" s="94">
        <f t="shared" si="59"/>
        <v>0</v>
      </c>
      <c r="O437" s="94">
        <f t="shared" si="59"/>
        <v>0</v>
      </c>
      <c r="P437" s="94">
        <f t="shared" si="59"/>
        <v>0</v>
      </c>
      <c r="Q437" s="94">
        <f t="shared" si="59"/>
        <v>0</v>
      </c>
    </row>
    <row r="438" spans="2:17" x14ac:dyDescent="0.2">
      <c r="B438" s="90" t="str">
        <f t="shared" si="60"/>
        <v>REHABILITACIÓN REDES</v>
      </c>
      <c r="C438" s="90">
        <f t="shared" si="60"/>
        <v>58</v>
      </c>
      <c r="D438" s="95">
        <f t="shared" si="60"/>
        <v>2</v>
      </c>
      <c r="E438" s="96">
        <f t="shared" si="60"/>
        <v>611554989.46373248</v>
      </c>
      <c r="F438" s="93">
        <f>+VLOOKUP(C438,'INV POIR PPERDIDAS'!$C$4:$F$123,4,FALSE)</f>
        <v>45</v>
      </c>
      <c r="G438" s="94" t="str">
        <f t="shared" si="59"/>
        <v/>
      </c>
      <c r="H438" s="94">
        <f t="shared" si="59"/>
        <v>0</v>
      </c>
      <c r="I438" s="94">
        <f t="shared" si="59"/>
        <v>0</v>
      </c>
      <c r="J438" s="94">
        <f t="shared" si="59"/>
        <v>68630059.928707749</v>
      </c>
      <c r="K438" s="94">
        <f t="shared" si="59"/>
        <v>67406949.949780285</v>
      </c>
      <c r="L438" s="94">
        <f t="shared" si="59"/>
        <v>66183839.970852822</v>
      </c>
      <c r="M438" s="94">
        <f t="shared" si="59"/>
        <v>64960729.991925359</v>
      </c>
      <c r="N438" s="94">
        <f t="shared" si="59"/>
        <v>63737620.012997895</v>
      </c>
      <c r="O438" s="94">
        <f t="shared" si="59"/>
        <v>62514510.034070425</v>
      </c>
      <c r="P438" s="94">
        <f t="shared" si="59"/>
        <v>61291400.055142961</v>
      </c>
      <c r="Q438" s="94">
        <f t="shared" si="59"/>
        <v>60068290.076215498</v>
      </c>
    </row>
    <row r="439" spans="2:17" x14ac:dyDescent="0.2">
      <c r="B439" s="90" t="str">
        <f t="shared" si="60"/>
        <v>REHABILITACIÓN REDES</v>
      </c>
      <c r="C439" s="90">
        <f t="shared" si="60"/>
        <v>59</v>
      </c>
      <c r="D439" s="95">
        <f t="shared" si="60"/>
        <v>3</v>
      </c>
      <c r="E439" s="96">
        <f t="shared" si="60"/>
        <v>257258799.37705919</v>
      </c>
      <c r="F439" s="93">
        <f>+VLOOKUP(C439,'INV POIR PPERDIDAS'!$C$4:$F$123,4,FALSE)</f>
        <v>45</v>
      </c>
      <c r="G439" s="94" t="str">
        <f t="shared" si="59"/>
        <v/>
      </c>
      <c r="H439" s="94">
        <f t="shared" si="59"/>
        <v>0</v>
      </c>
      <c r="I439" s="94">
        <f t="shared" si="59"/>
        <v>0</v>
      </c>
      <c r="J439" s="94">
        <f t="shared" si="59"/>
        <v>0</v>
      </c>
      <c r="K439" s="94">
        <f t="shared" si="59"/>
        <v>28870154.152314421</v>
      </c>
      <c r="L439" s="94">
        <f t="shared" si="59"/>
        <v>28355636.553560302</v>
      </c>
      <c r="M439" s="94">
        <f t="shared" si="59"/>
        <v>27841118.954806183</v>
      </c>
      <c r="N439" s="94">
        <f t="shared" si="59"/>
        <v>27326601.356052067</v>
      </c>
      <c r="O439" s="94">
        <f t="shared" si="59"/>
        <v>26812083.757297948</v>
      </c>
      <c r="P439" s="94">
        <f t="shared" si="59"/>
        <v>26297566.158543829</v>
      </c>
      <c r="Q439" s="94">
        <f t="shared" si="59"/>
        <v>25783048.55978971</v>
      </c>
    </row>
    <row r="440" spans="2:17" x14ac:dyDescent="0.2">
      <c r="B440" s="90" t="str">
        <f t="shared" si="60"/>
        <v>REHABILITACIÓN REDES</v>
      </c>
      <c r="C440" s="90">
        <f t="shared" si="60"/>
        <v>60</v>
      </c>
      <c r="D440" s="95">
        <f t="shared" si="60"/>
        <v>4</v>
      </c>
      <c r="E440" s="96">
        <f t="shared" si="60"/>
        <v>426601786.47694588</v>
      </c>
      <c r="F440" s="93">
        <f>+VLOOKUP(C440,'INV POIR PPERDIDAS'!$C$4:$F$123,4,FALSE)</f>
        <v>45</v>
      </c>
      <c r="G440" s="94" t="str">
        <f t="shared" si="59"/>
        <v/>
      </c>
      <c r="H440" s="94">
        <f t="shared" si="59"/>
        <v>0</v>
      </c>
      <c r="I440" s="94">
        <f t="shared" si="59"/>
        <v>0</v>
      </c>
      <c r="J440" s="94">
        <f t="shared" si="59"/>
        <v>0</v>
      </c>
      <c r="K440" s="94">
        <f t="shared" si="59"/>
        <v>0</v>
      </c>
      <c r="L440" s="94">
        <f t="shared" si="59"/>
        <v>47874200.482412815</v>
      </c>
      <c r="M440" s="94">
        <f t="shared" si="59"/>
        <v>47020996.90945892</v>
      </c>
      <c r="N440" s="94">
        <f t="shared" si="59"/>
        <v>46167793.336505033</v>
      </c>
      <c r="O440" s="94">
        <f t="shared" si="59"/>
        <v>45314589.763551138</v>
      </c>
      <c r="P440" s="94">
        <f t="shared" si="59"/>
        <v>44461386.190597244</v>
      </c>
      <c r="Q440" s="94">
        <f t="shared" si="59"/>
        <v>43608182.617643356</v>
      </c>
    </row>
    <row r="441" spans="2:17" x14ac:dyDescent="0.2">
      <c r="B441" s="90" t="str">
        <f t="shared" si="60"/>
        <v>REHABILITACIÓN REDES</v>
      </c>
      <c r="C441" s="90">
        <f t="shared" si="60"/>
        <v>61</v>
      </c>
      <c r="D441" s="95">
        <f t="shared" si="60"/>
        <v>5</v>
      </c>
      <c r="E441" s="96">
        <f t="shared" si="60"/>
        <v>358819367.65486312</v>
      </c>
      <c r="F441" s="93">
        <f>+VLOOKUP(C441,'INV POIR PPERDIDAS'!$C$4:$F$123,4,FALSE)</f>
        <v>45</v>
      </c>
      <c r="G441" s="94" t="str">
        <f t="shared" si="59"/>
        <v/>
      </c>
      <c r="H441" s="94">
        <f t="shared" si="59"/>
        <v>0</v>
      </c>
      <c r="I441" s="94">
        <f t="shared" si="59"/>
        <v>0</v>
      </c>
      <c r="J441" s="94">
        <f t="shared" si="59"/>
        <v>0</v>
      </c>
      <c r="K441" s="94">
        <f t="shared" si="59"/>
        <v>0</v>
      </c>
      <c r="L441" s="94">
        <f t="shared" si="59"/>
        <v>0</v>
      </c>
      <c r="M441" s="94">
        <f t="shared" si="59"/>
        <v>40267506.814601302</v>
      </c>
      <c r="N441" s="94">
        <f t="shared" si="59"/>
        <v>39549868.079291582</v>
      </c>
      <c r="O441" s="94">
        <f t="shared" si="59"/>
        <v>38832229.343981855</v>
      </c>
      <c r="P441" s="94">
        <f t="shared" si="59"/>
        <v>38114590.608672127</v>
      </c>
      <c r="Q441" s="94">
        <f t="shared" si="59"/>
        <v>37396951.873362407</v>
      </c>
    </row>
    <row r="442" spans="2:17" x14ac:dyDescent="0.2">
      <c r="B442" s="90" t="str">
        <f t="shared" si="60"/>
        <v>REHABILITACIÓN REDES</v>
      </c>
      <c r="C442" s="90">
        <f t="shared" si="60"/>
        <v>62</v>
      </c>
      <c r="D442" s="95">
        <f t="shared" si="60"/>
        <v>6</v>
      </c>
      <c r="E442" s="96">
        <f t="shared" si="60"/>
        <v>1076231401.3037224</v>
      </c>
      <c r="F442" s="93">
        <f>+VLOOKUP(C442,'INV POIR PPERDIDAS'!$C$4:$F$123,4,FALSE)</f>
        <v>45</v>
      </c>
      <c r="G442" s="94" t="str">
        <f t="shared" si="59"/>
        <v/>
      </c>
      <c r="H442" s="94">
        <f t="shared" si="59"/>
        <v>0</v>
      </c>
      <c r="I442" s="94">
        <f t="shared" si="59"/>
        <v>0</v>
      </c>
      <c r="J442" s="94">
        <f t="shared" si="59"/>
        <v>0</v>
      </c>
      <c r="K442" s="94">
        <f t="shared" si="59"/>
        <v>0</v>
      </c>
      <c r="L442" s="94">
        <f t="shared" si="59"/>
        <v>0</v>
      </c>
      <c r="M442" s="94">
        <f t="shared" si="59"/>
        <v>0</v>
      </c>
      <c r="N442" s="94">
        <f t="shared" si="59"/>
        <v>120777079.47963995</v>
      </c>
      <c r="O442" s="94">
        <f t="shared" si="59"/>
        <v>118624616.67703252</v>
      </c>
      <c r="P442" s="94">
        <f t="shared" si="59"/>
        <v>116472153.87442507</v>
      </c>
      <c r="Q442" s="94">
        <f t="shared" si="59"/>
        <v>114319691.07181762</v>
      </c>
    </row>
    <row r="443" spans="2:17" x14ac:dyDescent="0.2">
      <c r="B443" s="90" t="str">
        <f t="shared" si="60"/>
        <v>REHABILITACIÓN REDES</v>
      </c>
      <c r="C443" s="90">
        <f t="shared" si="60"/>
        <v>63</v>
      </c>
      <c r="D443" s="95">
        <f t="shared" si="60"/>
        <v>7</v>
      </c>
      <c r="E443" s="96">
        <f t="shared" si="60"/>
        <v>658254709.55816746</v>
      </c>
      <c r="F443" s="93">
        <f>+VLOOKUP(C443,'INV POIR PPERDIDAS'!$C$4:$F$123,4,FALSE)</f>
        <v>45</v>
      </c>
      <c r="G443" s="94" t="str">
        <f t="shared" si="59"/>
        <v/>
      </c>
      <c r="H443" s="94">
        <f t="shared" si="59"/>
        <v>0</v>
      </c>
      <c r="I443" s="94">
        <f t="shared" si="59"/>
        <v>0</v>
      </c>
      <c r="J443" s="94">
        <f t="shared" si="59"/>
        <v>0</v>
      </c>
      <c r="K443" s="94">
        <f t="shared" si="59"/>
        <v>0</v>
      </c>
      <c r="L443" s="94">
        <f t="shared" si="59"/>
        <v>0</v>
      </c>
      <c r="M443" s="94">
        <f t="shared" si="59"/>
        <v>0</v>
      </c>
      <c r="N443" s="94">
        <f t="shared" si="59"/>
        <v>0</v>
      </c>
      <c r="O443" s="94">
        <f t="shared" si="59"/>
        <v>73870806.294861019</v>
      </c>
      <c r="P443" s="94">
        <f t="shared" si="59"/>
        <v>72554296.875744671</v>
      </c>
      <c r="Q443" s="94">
        <f t="shared" si="59"/>
        <v>71237787.456628338</v>
      </c>
    </row>
    <row r="444" spans="2:17" x14ac:dyDescent="0.2">
      <c r="B444" s="90" t="str">
        <f t="shared" si="60"/>
        <v>REHABILITACIÓN REDES</v>
      </c>
      <c r="C444" s="90">
        <f t="shared" si="60"/>
        <v>64</v>
      </c>
      <c r="D444" s="95">
        <f t="shared" si="60"/>
        <v>8</v>
      </c>
      <c r="E444" s="96">
        <f t="shared" si="60"/>
        <v>1170325251.0100634</v>
      </c>
      <c r="F444" s="93">
        <f>+VLOOKUP(C444,'INV POIR PPERDIDAS'!$C$4:$F$123,4,FALSE)</f>
        <v>45</v>
      </c>
      <c r="G444" s="94" t="str">
        <f t="shared" si="59"/>
        <v/>
      </c>
      <c r="H444" s="94">
        <f t="shared" si="59"/>
        <v>0</v>
      </c>
      <c r="I444" s="94">
        <f t="shared" si="59"/>
        <v>0</v>
      </c>
      <c r="J444" s="94">
        <f t="shared" si="59"/>
        <v>0</v>
      </c>
      <c r="K444" s="94">
        <f t="shared" si="59"/>
        <v>0</v>
      </c>
      <c r="L444" s="94">
        <f t="shared" si="59"/>
        <v>0</v>
      </c>
      <c r="M444" s="94">
        <f t="shared" si="59"/>
        <v>0</v>
      </c>
      <c r="N444" s="94">
        <f t="shared" si="59"/>
        <v>0</v>
      </c>
      <c r="O444" s="94">
        <f t="shared" si="59"/>
        <v>0</v>
      </c>
      <c r="P444" s="94">
        <f t="shared" si="59"/>
        <v>131336500.39112933</v>
      </c>
      <c r="Q444" s="94">
        <f t="shared" si="59"/>
        <v>128995849.88910921</v>
      </c>
    </row>
    <row r="445" spans="2:17" x14ac:dyDescent="0.2">
      <c r="B445" s="90" t="str">
        <f t="shared" si="60"/>
        <v>REHABILITACIÓN REDES</v>
      </c>
      <c r="C445" s="90">
        <f t="shared" si="60"/>
        <v>65</v>
      </c>
      <c r="D445" s="95">
        <f t="shared" si="60"/>
        <v>9</v>
      </c>
      <c r="E445" s="96">
        <f t="shared" si="60"/>
        <v>708464993.44522178</v>
      </c>
      <c r="F445" s="93">
        <f>+VLOOKUP(C445,'INV POIR PPERDIDAS'!$C$4:$F$123,4,FALSE)</f>
        <v>45</v>
      </c>
      <c r="G445" s="94" t="str">
        <f t="shared" ref="G445:Q460" si="61">+IFERROR(G321+G73,"")</f>
        <v/>
      </c>
      <c r="H445" s="94">
        <f t="shared" si="61"/>
        <v>0</v>
      </c>
      <c r="I445" s="94">
        <f t="shared" si="61"/>
        <v>0</v>
      </c>
      <c r="J445" s="94">
        <f t="shared" si="61"/>
        <v>0</v>
      </c>
      <c r="K445" s="94">
        <f t="shared" si="61"/>
        <v>0</v>
      </c>
      <c r="L445" s="94">
        <f t="shared" si="61"/>
        <v>0</v>
      </c>
      <c r="M445" s="94">
        <f t="shared" si="61"/>
        <v>0</v>
      </c>
      <c r="N445" s="94">
        <f t="shared" si="61"/>
        <v>0</v>
      </c>
      <c r="O445" s="94">
        <f t="shared" si="61"/>
        <v>0</v>
      </c>
      <c r="P445" s="94">
        <f t="shared" si="61"/>
        <v>0</v>
      </c>
      <c r="Q445" s="94">
        <f t="shared" si="61"/>
        <v>79505515.931074888</v>
      </c>
    </row>
    <row r="446" spans="2:17" x14ac:dyDescent="0.2">
      <c r="B446" s="90" t="str">
        <f t="shared" ref="B446:E461" si="62">+B322</f>
        <v>REHABILITACIÓN REDES</v>
      </c>
      <c r="C446" s="90">
        <f t="shared" si="62"/>
        <v>66</v>
      </c>
      <c r="D446" s="95">
        <f t="shared" si="62"/>
        <v>10</v>
      </c>
      <c r="E446" s="96">
        <f t="shared" si="62"/>
        <v>660336978.95129299</v>
      </c>
      <c r="F446" s="93">
        <f>+VLOOKUP(C446,'INV POIR PPERDIDAS'!$C$4:$F$123,4,FALSE)</f>
        <v>45</v>
      </c>
      <c r="G446" s="94" t="str">
        <f t="shared" si="61"/>
        <v/>
      </c>
      <c r="H446" s="94">
        <f t="shared" si="61"/>
        <v>0</v>
      </c>
      <c r="I446" s="94">
        <f t="shared" si="61"/>
        <v>0</v>
      </c>
      <c r="J446" s="94">
        <f t="shared" si="61"/>
        <v>0</v>
      </c>
      <c r="K446" s="94">
        <f t="shared" si="61"/>
        <v>0</v>
      </c>
      <c r="L446" s="94">
        <f t="shared" si="61"/>
        <v>0</v>
      </c>
      <c r="M446" s="94">
        <f t="shared" si="61"/>
        <v>0</v>
      </c>
      <c r="N446" s="94">
        <f t="shared" si="61"/>
        <v>0</v>
      </c>
      <c r="O446" s="94">
        <f t="shared" si="61"/>
        <v>0</v>
      </c>
      <c r="P446" s="94">
        <f t="shared" si="61"/>
        <v>0</v>
      </c>
      <c r="Q446" s="94">
        <f t="shared" si="61"/>
        <v>0</v>
      </c>
    </row>
    <row r="447" spans="2:17" x14ac:dyDescent="0.2">
      <c r="B447" s="90" t="str">
        <f t="shared" si="62"/>
        <v>REDES</v>
      </c>
      <c r="C447" s="90">
        <f t="shared" si="62"/>
        <v>67</v>
      </c>
      <c r="D447" s="95">
        <f t="shared" si="62"/>
        <v>0</v>
      </c>
      <c r="E447" s="96">
        <f t="shared" si="62"/>
        <v>0</v>
      </c>
      <c r="F447" s="93">
        <f>+VLOOKUP(C447,'INV POIR PPERDIDAS'!$C$4:$F$123,4,FALSE)</f>
        <v>45</v>
      </c>
      <c r="G447" s="94" t="str">
        <f t="shared" si="61"/>
        <v/>
      </c>
      <c r="H447" s="94">
        <f t="shared" si="61"/>
        <v>0</v>
      </c>
      <c r="I447" s="94">
        <f t="shared" si="61"/>
        <v>0</v>
      </c>
      <c r="J447" s="94">
        <f t="shared" si="61"/>
        <v>0</v>
      </c>
      <c r="K447" s="94">
        <f t="shared" si="61"/>
        <v>0</v>
      </c>
      <c r="L447" s="94">
        <f t="shared" si="61"/>
        <v>0</v>
      </c>
      <c r="M447" s="94">
        <f t="shared" si="61"/>
        <v>0</v>
      </c>
      <c r="N447" s="94">
        <f t="shared" si="61"/>
        <v>0</v>
      </c>
      <c r="O447" s="94">
        <f t="shared" si="61"/>
        <v>0</v>
      </c>
      <c r="P447" s="94">
        <f t="shared" si="61"/>
        <v>0</v>
      </c>
      <c r="Q447" s="94">
        <f t="shared" si="61"/>
        <v>0</v>
      </c>
    </row>
    <row r="448" spans="2:17" x14ac:dyDescent="0.2">
      <c r="B448" s="90" t="str">
        <f t="shared" si="62"/>
        <v>REDES</v>
      </c>
      <c r="C448" s="90">
        <f t="shared" si="62"/>
        <v>68</v>
      </c>
      <c r="D448" s="95">
        <f t="shared" si="62"/>
        <v>1</v>
      </c>
      <c r="E448" s="96">
        <f t="shared" si="62"/>
        <v>0</v>
      </c>
      <c r="F448" s="93">
        <f>+VLOOKUP(C448,'INV POIR PPERDIDAS'!$C$4:$F$123,4,FALSE)</f>
        <v>45</v>
      </c>
      <c r="G448" s="94" t="str">
        <f t="shared" si="61"/>
        <v/>
      </c>
      <c r="H448" s="94">
        <f t="shared" si="61"/>
        <v>0</v>
      </c>
      <c r="I448" s="94">
        <f t="shared" si="61"/>
        <v>0</v>
      </c>
      <c r="J448" s="94">
        <f t="shared" si="61"/>
        <v>0</v>
      </c>
      <c r="K448" s="94">
        <f t="shared" si="61"/>
        <v>0</v>
      </c>
      <c r="L448" s="94">
        <f t="shared" si="61"/>
        <v>0</v>
      </c>
      <c r="M448" s="94">
        <f t="shared" si="61"/>
        <v>0</v>
      </c>
      <c r="N448" s="94">
        <f t="shared" si="61"/>
        <v>0</v>
      </c>
      <c r="O448" s="94">
        <f t="shared" si="61"/>
        <v>0</v>
      </c>
      <c r="P448" s="94">
        <f t="shared" si="61"/>
        <v>0</v>
      </c>
      <c r="Q448" s="94">
        <f t="shared" si="61"/>
        <v>0</v>
      </c>
    </row>
    <row r="449" spans="2:17" x14ac:dyDescent="0.2">
      <c r="B449" s="90" t="str">
        <f t="shared" si="62"/>
        <v>REDES</v>
      </c>
      <c r="C449" s="90">
        <f t="shared" si="62"/>
        <v>69</v>
      </c>
      <c r="D449" s="95">
        <f t="shared" si="62"/>
        <v>2</v>
      </c>
      <c r="E449" s="96">
        <f t="shared" si="62"/>
        <v>3410222003.4983039</v>
      </c>
      <c r="F449" s="93">
        <f>+VLOOKUP(C449,'INV POIR PPERDIDAS'!$C$4:$F$123,4,FALSE)</f>
        <v>45</v>
      </c>
      <c r="G449" s="94" t="str">
        <f t="shared" si="61"/>
        <v/>
      </c>
      <c r="H449" s="94">
        <f t="shared" si="61"/>
        <v>0</v>
      </c>
      <c r="I449" s="94">
        <f t="shared" si="61"/>
        <v>0</v>
      </c>
      <c r="J449" s="94">
        <f t="shared" si="61"/>
        <v>382702691.50369853</v>
      </c>
      <c r="K449" s="94">
        <f t="shared" si="61"/>
        <v>375882247.4967019</v>
      </c>
      <c r="L449" s="94">
        <f t="shared" si="61"/>
        <v>369061803.48970526</v>
      </c>
      <c r="M449" s="94">
        <f t="shared" si="61"/>
        <v>362241359.48270863</v>
      </c>
      <c r="N449" s="94">
        <f t="shared" si="61"/>
        <v>355420915.475712</v>
      </c>
      <c r="O449" s="94">
        <f t="shared" si="61"/>
        <v>348600471.46871543</v>
      </c>
      <c r="P449" s="94">
        <f t="shared" si="61"/>
        <v>341780027.4617188</v>
      </c>
      <c r="Q449" s="94">
        <f t="shared" si="61"/>
        <v>334959583.45472217</v>
      </c>
    </row>
    <row r="450" spans="2:17" x14ac:dyDescent="0.2">
      <c r="B450" s="90" t="str">
        <f t="shared" si="62"/>
        <v>REDES</v>
      </c>
      <c r="C450" s="90">
        <f t="shared" si="62"/>
        <v>70</v>
      </c>
      <c r="D450" s="95">
        <f t="shared" si="62"/>
        <v>3</v>
      </c>
      <c r="E450" s="96">
        <f t="shared" si="62"/>
        <v>2708748274.8491516</v>
      </c>
      <c r="F450" s="93">
        <f>+VLOOKUP(C450,'INV POIR PPERDIDAS'!$C$4:$F$123,4,FALSE)</f>
        <v>45</v>
      </c>
      <c r="G450" s="94" t="str">
        <f t="shared" si="61"/>
        <v/>
      </c>
      <c r="H450" s="94">
        <f t="shared" si="61"/>
        <v>0</v>
      </c>
      <c r="I450" s="94">
        <f t="shared" si="61"/>
        <v>0</v>
      </c>
      <c r="J450" s="94">
        <f t="shared" si="61"/>
        <v>0</v>
      </c>
      <c r="K450" s="94">
        <f t="shared" si="61"/>
        <v>303981750.84418255</v>
      </c>
      <c r="L450" s="94">
        <f t="shared" si="61"/>
        <v>298564254.29448426</v>
      </c>
      <c r="M450" s="94">
        <f t="shared" si="61"/>
        <v>293146757.74478596</v>
      </c>
      <c r="N450" s="94">
        <f t="shared" si="61"/>
        <v>287729261.19508761</v>
      </c>
      <c r="O450" s="94">
        <f t="shared" si="61"/>
        <v>282311764.64538932</v>
      </c>
      <c r="P450" s="94">
        <f t="shared" si="61"/>
        <v>276894268.09569103</v>
      </c>
      <c r="Q450" s="94">
        <f t="shared" si="61"/>
        <v>271476771.54599267</v>
      </c>
    </row>
    <row r="451" spans="2:17" x14ac:dyDescent="0.2">
      <c r="B451" s="90" t="str">
        <f t="shared" si="62"/>
        <v>REDES</v>
      </c>
      <c r="C451" s="90">
        <f t="shared" si="62"/>
        <v>71</v>
      </c>
      <c r="D451" s="95">
        <f t="shared" si="62"/>
        <v>4</v>
      </c>
      <c r="E451" s="96">
        <f t="shared" si="62"/>
        <v>3788421935.8387451</v>
      </c>
      <c r="F451" s="93">
        <f>+VLOOKUP(C451,'INV POIR PPERDIDAS'!$C$4:$F$123,4,FALSE)</f>
        <v>45</v>
      </c>
      <c r="G451" s="94" t="str">
        <f t="shared" si="61"/>
        <v/>
      </c>
      <c r="H451" s="94">
        <f t="shared" si="61"/>
        <v>0</v>
      </c>
      <c r="I451" s="94">
        <f t="shared" si="61"/>
        <v>0</v>
      </c>
      <c r="J451" s="94">
        <f t="shared" si="61"/>
        <v>0</v>
      </c>
      <c r="K451" s="94">
        <f t="shared" si="61"/>
        <v>0</v>
      </c>
      <c r="L451" s="94">
        <f t="shared" si="61"/>
        <v>425145128.35523695</v>
      </c>
      <c r="M451" s="94">
        <f t="shared" si="61"/>
        <v>417568284.48355949</v>
      </c>
      <c r="N451" s="94">
        <f t="shared" si="61"/>
        <v>409991440.61188197</v>
      </c>
      <c r="O451" s="94">
        <f t="shared" si="61"/>
        <v>402414596.74020451</v>
      </c>
      <c r="P451" s="94">
        <f t="shared" si="61"/>
        <v>394837752.868527</v>
      </c>
      <c r="Q451" s="94">
        <f t="shared" si="61"/>
        <v>387260908.99684954</v>
      </c>
    </row>
    <row r="452" spans="2:17" x14ac:dyDescent="0.2">
      <c r="B452" s="90" t="str">
        <f t="shared" si="62"/>
        <v>REDES</v>
      </c>
      <c r="C452" s="90">
        <f t="shared" si="62"/>
        <v>72</v>
      </c>
      <c r="D452" s="95">
        <f t="shared" si="62"/>
        <v>5</v>
      </c>
      <c r="E452" s="96">
        <f t="shared" si="62"/>
        <v>3229587745.4368062</v>
      </c>
      <c r="F452" s="93">
        <f>+VLOOKUP(C452,'INV POIR PPERDIDAS'!$C$4:$F$123,4,FALSE)</f>
        <v>45</v>
      </c>
      <c r="G452" s="94" t="str">
        <f t="shared" si="61"/>
        <v/>
      </c>
      <c r="H452" s="94">
        <f t="shared" si="61"/>
        <v>0</v>
      </c>
      <c r="I452" s="94">
        <f t="shared" si="61"/>
        <v>0</v>
      </c>
      <c r="J452" s="94">
        <f t="shared" si="61"/>
        <v>0</v>
      </c>
      <c r="K452" s="94">
        <f t="shared" si="61"/>
        <v>0</v>
      </c>
      <c r="L452" s="94">
        <f t="shared" si="61"/>
        <v>0</v>
      </c>
      <c r="M452" s="94">
        <f t="shared" si="61"/>
        <v>362431513.65457493</v>
      </c>
      <c r="N452" s="94">
        <f t="shared" si="61"/>
        <v>355972338.1637013</v>
      </c>
      <c r="O452" s="94">
        <f t="shared" si="61"/>
        <v>349513162.67282772</v>
      </c>
      <c r="P452" s="94">
        <f t="shared" si="61"/>
        <v>343053987.18195409</v>
      </c>
      <c r="Q452" s="94">
        <f t="shared" si="61"/>
        <v>336594811.69108045</v>
      </c>
    </row>
    <row r="453" spans="2:17" x14ac:dyDescent="0.2">
      <c r="B453" s="90" t="str">
        <f t="shared" si="62"/>
        <v>REDES</v>
      </c>
      <c r="C453" s="90">
        <f t="shared" si="62"/>
        <v>73</v>
      </c>
      <c r="D453" s="95">
        <f t="shared" si="62"/>
        <v>6</v>
      </c>
      <c r="E453" s="96">
        <f t="shared" si="62"/>
        <v>3975561272.1375804</v>
      </c>
      <c r="F453" s="93">
        <f>+VLOOKUP(C453,'INV POIR PPERDIDAS'!$C$4:$F$123,4,FALSE)</f>
        <v>45</v>
      </c>
      <c r="G453" s="94" t="str">
        <f t="shared" si="61"/>
        <v/>
      </c>
      <c r="H453" s="94">
        <f t="shared" si="61"/>
        <v>0</v>
      </c>
      <c r="I453" s="94">
        <f t="shared" si="61"/>
        <v>0</v>
      </c>
      <c r="J453" s="94">
        <f t="shared" si="61"/>
        <v>0</v>
      </c>
      <c r="K453" s="94">
        <f t="shared" si="61"/>
        <v>0</v>
      </c>
      <c r="L453" s="94">
        <f t="shared" si="61"/>
        <v>0</v>
      </c>
      <c r="M453" s="94">
        <f t="shared" si="61"/>
        <v>0</v>
      </c>
      <c r="N453" s="94">
        <f t="shared" si="61"/>
        <v>446146320.53988403</v>
      </c>
      <c r="O453" s="94">
        <f t="shared" si="61"/>
        <v>438195197.99560887</v>
      </c>
      <c r="P453" s="94">
        <f t="shared" si="61"/>
        <v>430244075.45133376</v>
      </c>
      <c r="Q453" s="94">
        <f t="shared" si="61"/>
        <v>422292952.9070586</v>
      </c>
    </row>
    <row r="454" spans="2:17" x14ac:dyDescent="0.2">
      <c r="B454" s="90" t="str">
        <f t="shared" si="62"/>
        <v>REDES</v>
      </c>
      <c r="C454" s="90">
        <f t="shared" si="62"/>
        <v>74</v>
      </c>
      <c r="D454" s="95">
        <f t="shared" si="62"/>
        <v>7</v>
      </c>
      <c r="E454" s="96">
        <f t="shared" si="62"/>
        <v>0</v>
      </c>
      <c r="F454" s="93">
        <f>+VLOOKUP(C454,'INV POIR PPERDIDAS'!$C$4:$F$123,4,FALSE)</f>
        <v>45</v>
      </c>
      <c r="G454" s="94" t="str">
        <f t="shared" si="61"/>
        <v/>
      </c>
      <c r="H454" s="94">
        <f t="shared" si="61"/>
        <v>0</v>
      </c>
      <c r="I454" s="94">
        <f t="shared" si="61"/>
        <v>0</v>
      </c>
      <c r="J454" s="94">
        <f t="shared" si="61"/>
        <v>0</v>
      </c>
      <c r="K454" s="94">
        <f t="shared" si="61"/>
        <v>0</v>
      </c>
      <c r="L454" s="94">
        <f t="shared" si="61"/>
        <v>0</v>
      </c>
      <c r="M454" s="94">
        <f t="shared" si="61"/>
        <v>0</v>
      </c>
      <c r="N454" s="94">
        <f t="shared" si="61"/>
        <v>0</v>
      </c>
      <c r="O454" s="94">
        <f t="shared" si="61"/>
        <v>0</v>
      </c>
      <c r="P454" s="94">
        <f t="shared" si="61"/>
        <v>0</v>
      </c>
      <c r="Q454" s="94">
        <f t="shared" si="61"/>
        <v>0</v>
      </c>
    </row>
    <row r="455" spans="2:17" x14ac:dyDescent="0.2">
      <c r="B455" s="90" t="str">
        <f t="shared" si="62"/>
        <v>REDES</v>
      </c>
      <c r="C455" s="90">
        <f t="shared" si="62"/>
        <v>75</v>
      </c>
      <c r="D455" s="95">
        <f t="shared" si="62"/>
        <v>8</v>
      </c>
      <c r="E455" s="96">
        <f t="shared" si="62"/>
        <v>0</v>
      </c>
      <c r="F455" s="93">
        <f>+VLOOKUP(C455,'INV POIR PPERDIDAS'!$C$4:$F$123,4,FALSE)</f>
        <v>45</v>
      </c>
      <c r="G455" s="94" t="str">
        <f t="shared" si="61"/>
        <v/>
      </c>
      <c r="H455" s="94">
        <f t="shared" si="61"/>
        <v>0</v>
      </c>
      <c r="I455" s="94">
        <f t="shared" si="61"/>
        <v>0</v>
      </c>
      <c r="J455" s="94">
        <f t="shared" si="61"/>
        <v>0</v>
      </c>
      <c r="K455" s="94">
        <f t="shared" si="61"/>
        <v>0</v>
      </c>
      <c r="L455" s="94">
        <f t="shared" si="61"/>
        <v>0</v>
      </c>
      <c r="M455" s="94">
        <f t="shared" si="61"/>
        <v>0</v>
      </c>
      <c r="N455" s="94">
        <f t="shared" si="61"/>
        <v>0</v>
      </c>
      <c r="O455" s="94">
        <f t="shared" si="61"/>
        <v>0</v>
      </c>
      <c r="P455" s="94">
        <f t="shared" si="61"/>
        <v>0</v>
      </c>
      <c r="Q455" s="94">
        <f t="shared" si="61"/>
        <v>0</v>
      </c>
    </row>
    <row r="456" spans="2:17" x14ac:dyDescent="0.2">
      <c r="B456" s="90" t="str">
        <f t="shared" si="62"/>
        <v>REDES</v>
      </c>
      <c r="C456" s="90">
        <f t="shared" si="62"/>
        <v>76</v>
      </c>
      <c r="D456" s="95">
        <f t="shared" si="62"/>
        <v>9</v>
      </c>
      <c r="E456" s="96">
        <f t="shared" si="62"/>
        <v>0</v>
      </c>
      <c r="F456" s="93">
        <f>+VLOOKUP(C456,'INV POIR PPERDIDAS'!$C$4:$F$123,4,FALSE)</f>
        <v>45</v>
      </c>
      <c r="G456" s="94" t="str">
        <f t="shared" si="61"/>
        <v/>
      </c>
      <c r="H456" s="94">
        <f t="shared" si="61"/>
        <v>0</v>
      </c>
      <c r="I456" s="94">
        <f t="shared" si="61"/>
        <v>0</v>
      </c>
      <c r="J456" s="94">
        <f t="shared" si="61"/>
        <v>0</v>
      </c>
      <c r="K456" s="94">
        <f t="shared" si="61"/>
        <v>0</v>
      </c>
      <c r="L456" s="94">
        <f t="shared" si="61"/>
        <v>0</v>
      </c>
      <c r="M456" s="94">
        <f t="shared" si="61"/>
        <v>0</v>
      </c>
      <c r="N456" s="94">
        <f t="shared" si="61"/>
        <v>0</v>
      </c>
      <c r="O456" s="94">
        <f t="shared" si="61"/>
        <v>0</v>
      </c>
      <c r="P456" s="94">
        <f t="shared" si="61"/>
        <v>0</v>
      </c>
      <c r="Q456" s="94">
        <f t="shared" si="61"/>
        <v>0</v>
      </c>
    </row>
    <row r="457" spans="2:17" x14ac:dyDescent="0.2">
      <c r="B457" s="90" t="str">
        <f t="shared" si="62"/>
        <v>REDES</v>
      </c>
      <c r="C457" s="90">
        <f t="shared" si="62"/>
        <v>77</v>
      </c>
      <c r="D457" s="95">
        <f t="shared" si="62"/>
        <v>10</v>
      </c>
      <c r="E457" s="96">
        <f t="shared" si="62"/>
        <v>0</v>
      </c>
      <c r="F457" s="93">
        <f>+VLOOKUP(C457,'INV POIR PPERDIDAS'!$C$4:$F$123,4,FALSE)</f>
        <v>45</v>
      </c>
      <c r="G457" s="94" t="str">
        <f t="shared" si="61"/>
        <v/>
      </c>
      <c r="H457" s="94">
        <f t="shared" si="61"/>
        <v>0</v>
      </c>
      <c r="I457" s="94">
        <f t="shared" si="61"/>
        <v>0</v>
      </c>
      <c r="J457" s="94">
        <f t="shared" si="61"/>
        <v>0</v>
      </c>
      <c r="K457" s="94">
        <f t="shared" si="61"/>
        <v>0</v>
      </c>
      <c r="L457" s="94">
        <f t="shared" si="61"/>
        <v>0</v>
      </c>
      <c r="M457" s="94">
        <f t="shared" si="61"/>
        <v>0</v>
      </c>
      <c r="N457" s="94">
        <f t="shared" si="61"/>
        <v>0</v>
      </c>
      <c r="O457" s="94">
        <f t="shared" si="61"/>
        <v>0</v>
      </c>
      <c r="P457" s="94">
        <f t="shared" si="61"/>
        <v>0</v>
      </c>
      <c r="Q457" s="94">
        <f t="shared" si="61"/>
        <v>0</v>
      </c>
    </row>
    <row r="458" spans="2:17" x14ac:dyDescent="0.2">
      <c r="B458" s="90" t="str">
        <f t="shared" si="62"/>
        <v>REDES</v>
      </c>
      <c r="C458" s="90">
        <f t="shared" si="62"/>
        <v>78</v>
      </c>
      <c r="D458" s="95">
        <f t="shared" si="62"/>
        <v>0</v>
      </c>
      <c r="E458" s="96">
        <f t="shared" si="62"/>
        <v>0</v>
      </c>
      <c r="F458" s="93">
        <f>+VLOOKUP(C458,'INV POIR PPERDIDAS'!$C$4:$F$123,4,FALSE)</f>
        <v>45</v>
      </c>
      <c r="G458" s="94" t="str">
        <f t="shared" si="61"/>
        <v/>
      </c>
      <c r="H458" s="94">
        <f t="shared" si="61"/>
        <v>0</v>
      </c>
      <c r="I458" s="94">
        <f t="shared" si="61"/>
        <v>0</v>
      </c>
      <c r="J458" s="94">
        <f t="shared" si="61"/>
        <v>0</v>
      </c>
      <c r="K458" s="94">
        <f t="shared" si="61"/>
        <v>0</v>
      </c>
      <c r="L458" s="94">
        <f t="shared" si="61"/>
        <v>0</v>
      </c>
      <c r="M458" s="94">
        <f t="shared" si="61"/>
        <v>0</v>
      </c>
      <c r="N458" s="94">
        <f t="shared" si="61"/>
        <v>0</v>
      </c>
      <c r="O458" s="94">
        <f t="shared" si="61"/>
        <v>0</v>
      </c>
      <c r="P458" s="94">
        <f t="shared" si="61"/>
        <v>0</v>
      </c>
      <c r="Q458" s="94">
        <f t="shared" si="61"/>
        <v>0</v>
      </c>
    </row>
    <row r="459" spans="2:17" x14ac:dyDescent="0.2">
      <c r="B459" s="90" t="str">
        <f t="shared" si="62"/>
        <v>REDES</v>
      </c>
      <c r="C459" s="90">
        <f t="shared" si="62"/>
        <v>79</v>
      </c>
      <c r="D459" s="95">
        <f t="shared" si="62"/>
        <v>1</v>
      </c>
      <c r="E459" s="96">
        <f t="shared" si="62"/>
        <v>0</v>
      </c>
      <c r="F459" s="93">
        <f>+VLOOKUP(C459,'INV POIR PPERDIDAS'!$C$4:$F$123,4,FALSE)</f>
        <v>45</v>
      </c>
      <c r="G459" s="94" t="str">
        <f t="shared" si="61"/>
        <v/>
      </c>
      <c r="H459" s="94">
        <f t="shared" si="61"/>
        <v>0</v>
      </c>
      <c r="I459" s="94">
        <f t="shared" si="61"/>
        <v>0</v>
      </c>
      <c r="J459" s="94">
        <f t="shared" si="61"/>
        <v>0</v>
      </c>
      <c r="K459" s="94">
        <f t="shared" si="61"/>
        <v>0</v>
      </c>
      <c r="L459" s="94">
        <f t="shared" si="61"/>
        <v>0</v>
      </c>
      <c r="M459" s="94">
        <f t="shared" si="61"/>
        <v>0</v>
      </c>
      <c r="N459" s="94">
        <f t="shared" si="61"/>
        <v>0</v>
      </c>
      <c r="O459" s="94">
        <f t="shared" si="61"/>
        <v>0</v>
      </c>
      <c r="P459" s="94">
        <f t="shared" si="61"/>
        <v>0</v>
      </c>
      <c r="Q459" s="94">
        <f t="shared" si="61"/>
        <v>0</v>
      </c>
    </row>
    <row r="460" spans="2:17" x14ac:dyDescent="0.2">
      <c r="B460" s="90" t="str">
        <f t="shared" si="62"/>
        <v>REDES</v>
      </c>
      <c r="C460" s="90">
        <f t="shared" si="62"/>
        <v>80</v>
      </c>
      <c r="D460" s="95">
        <f t="shared" si="62"/>
        <v>2</v>
      </c>
      <c r="E460" s="96">
        <f t="shared" si="62"/>
        <v>0</v>
      </c>
      <c r="F460" s="93">
        <f>+VLOOKUP(C460,'INV POIR PPERDIDAS'!$C$4:$F$123,4,FALSE)</f>
        <v>45</v>
      </c>
      <c r="G460" s="94" t="str">
        <f t="shared" si="61"/>
        <v/>
      </c>
      <c r="H460" s="94">
        <f t="shared" si="61"/>
        <v>0</v>
      </c>
      <c r="I460" s="94">
        <f t="shared" si="61"/>
        <v>0</v>
      </c>
      <c r="J460" s="94">
        <f t="shared" si="61"/>
        <v>0</v>
      </c>
      <c r="K460" s="94">
        <f t="shared" si="61"/>
        <v>0</v>
      </c>
      <c r="L460" s="94">
        <f t="shared" si="61"/>
        <v>0</v>
      </c>
      <c r="M460" s="94">
        <f t="shared" si="61"/>
        <v>0</v>
      </c>
      <c r="N460" s="94">
        <f t="shared" si="61"/>
        <v>0</v>
      </c>
      <c r="O460" s="94">
        <f t="shared" si="61"/>
        <v>0</v>
      </c>
      <c r="P460" s="94">
        <f t="shared" si="61"/>
        <v>0</v>
      </c>
      <c r="Q460" s="94">
        <f t="shared" si="61"/>
        <v>0</v>
      </c>
    </row>
    <row r="461" spans="2:17" x14ac:dyDescent="0.2">
      <c r="B461" s="90" t="str">
        <f t="shared" si="62"/>
        <v>REDES</v>
      </c>
      <c r="C461" s="90">
        <f t="shared" si="62"/>
        <v>81</v>
      </c>
      <c r="D461" s="95">
        <f t="shared" si="62"/>
        <v>3</v>
      </c>
      <c r="E461" s="96">
        <f t="shared" si="62"/>
        <v>0</v>
      </c>
      <c r="F461" s="93">
        <f>+VLOOKUP(C461,'INV POIR PPERDIDAS'!$C$4:$F$123,4,FALSE)</f>
        <v>45</v>
      </c>
      <c r="G461" s="94" t="str">
        <f t="shared" ref="G461:Q476" si="63">+IFERROR(G337+G89,"")</f>
        <v/>
      </c>
      <c r="H461" s="94">
        <f t="shared" si="63"/>
        <v>0</v>
      </c>
      <c r="I461" s="94">
        <f t="shared" si="63"/>
        <v>0</v>
      </c>
      <c r="J461" s="94">
        <f t="shared" si="63"/>
        <v>0</v>
      </c>
      <c r="K461" s="94">
        <f t="shared" si="63"/>
        <v>0</v>
      </c>
      <c r="L461" s="94">
        <f t="shared" si="63"/>
        <v>0</v>
      </c>
      <c r="M461" s="94">
        <f t="shared" si="63"/>
        <v>0</v>
      </c>
      <c r="N461" s="94">
        <f t="shared" si="63"/>
        <v>0</v>
      </c>
      <c r="O461" s="94">
        <f t="shared" si="63"/>
        <v>0</v>
      </c>
      <c r="P461" s="94">
        <f t="shared" si="63"/>
        <v>0</v>
      </c>
      <c r="Q461" s="94">
        <f t="shared" si="63"/>
        <v>0</v>
      </c>
    </row>
    <row r="462" spans="2:17" x14ac:dyDescent="0.2">
      <c r="B462" s="90" t="str">
        <f t="shared" ref="B462:E477" si="64">+B338</f>
        <v>REDES</v>
      </c>
      <c r="C462" s="90">
        <f t="shared" si="64"/>
        <v>82</v>
      </c>
      <c r="D462" s="95">
        <f t="shared" si="64"/>
        <v>4</v>
      </c>
      <c r="E462" s="96">
        <f t="shared" si="64"/>
        <v>0</v>
      </c>
      <c r="F462" s="93">
        <f>+VLOOKUP(C462,'INV POIR PPERDIDAS'!$C$4:$F$123,4,FALSE)</f>
        <v>45</v>
      </c>
      <c r="G462" s="94" t="str">
        <f t="shared" si="63"/>
        <v/>
      </c>
      <c r="H462" s="94">
        <f t="shared" si="63"/>
        <v>0</v>
      </c>
      <c r="I462" s="94">
        <f t="shared" si="63"/>
        <v>0</v>
      </c>
      <c r="J462" s="94">
        <f t="shared" si="63"/>
        <v>0</v>
      </c>
      <c r="K462" s="94">
        <f t="shared" si="63"/>
        <v>0</v>
      </c>
      <c r="L462" s="94">
        <f t="shared" si="63"/>
        <v>0</v>
      </c>
      <c r="M462" s="94">
        <f t="shared" si="63"/>
        <v>0</v>
      </c>
      <c r="N462" s="94">
        <f t="shared" si="63"/>
        <v>0</v>
      </c>
      <c r="O462" s="94">
        <f t="shared" si="63"/>
        <v>0</v>
      </c>
      <c r="P462" s="94">
        <f t="shared" si="63"/>
        <v>0</v>
      </c>
      <c r="Q462" s="94">
        <f t="shared" si="63"/>
        <v>0</v>
      </c>
    </row>
    <row r="463" spans="2:17" x14ac:dyDescent="0.2">
      <c r="B463" s="90" t="str">
        <f t="shared" si="64"/>
        <v>REDES</v>
      </c>
      <c r="C463" s="90">
        <f t="shared" si="64"/>
        <v>83</v>
      </c>
      <c r="D463" s="95">
        <f t="shared" si="64"/>
        <v>5</v>
      </c>
      <c r="E463" s="96">
        <f t="shared" si="64"/>
        <v>0</v>
      </c>
      <c r="F463" s="93">
        <f>+VLOOKUP(C463,'INV POIR PPERDIDAS'!$C$4:$F$123,4,FALSE)</f>
        <v>45</v>
      </c>
      <c r="G463" s="94" t="str">
        <f t="shared" si="63"/>
        <v/>
      </c>
      <c r="H463" s="94">
        <f t="shared" si="63"/>
        <v>0</v>
      </c>
      <c r="I463" s="94">
        <f t="shared" si="63"/>
        <v>0</v>
      </c>
      <c r="J463" s="94">
        <f t="shared" si="63"/>
        <v>0</v>
      </c>
      <c r="K463" s="94">
        <f t="shared" si="63"/>
        <v>0</v>
      </c>
      <c r="L463" s="94">
        <f t="shared" si="63"/>
        <v>0</v>
      </c>
      <c r="M463" s="94">
        <f t="shared" si="63"/>
        <v>0</v>
      </c>
      <c r="N463" s="94">
        <f t="shared" si="63"/>
        <v>0</v>
      </c>
      <c r="O463" s="94">
        <f t="shared" si="63"/>
        <v>0</v>
      </c>
      <c r="P463" s="94">
        <f t="shared" si="63"/>
        <v>0</v>
      </c>
      <c r="Q463" s="94">
        <f t="shared" si="63"/>
        <v>0</v>
      </c>
    </row>
    <row r="464" spans="2:17" x14ac:dyDescent="0.2">
      <c r="B464" s="90" t="str">
        <f t="shared" si="64"/>
        <v>REDES</v>
      </c>
      <c r="C464" s="90">
        <f t="shared" si="64"/>
        <v>84</v>
      </c>
      <c r="D464" s="95">
        <f t="shared" si="64"/>
        <v>6</v>
      </c>
      <c r="E464" s="96">
        <f t="shared" si="64"/>
        <v>0</v>
      </c>
      <c r="F464" s="93">
        <f>+VLOOKUP(C464,'INV POIR PPERDIDAS'!$C$4:$F$123,4,FALSE)</f>
        <v>45</v>
      </c>
      <c r="G464" s="94" t="str">
        <f t="shared" si="63"/>
        <v/>
      </c>
      <c r="H464" s="94">
        <f t="shared" si="63"/>
        <v>0</v>
      </c>
      <c r="I464" s="94">
        <f t="shared" si="63"/>
        <v>0</v>
      </c>
      <c r="J464" s="94">
        <f t="shared" si="63"/>
        <v>0</v>
      </c>
      <c r="K464" s="94">
        <f t="shared" si="63"/>
        <v>0</v>
      </c>
      <c r="L464" s="94">
        <f t="shared" si="63"/>
        <v>0</v>
      </c>
      <c r="M464" s="94">
        <f t="shared" si="63"/>
        <v>0</v>
      </c>
      <c r="N464" s="94">
        <f t="shared" si="63"/>
        <v>0</v>
      </c>
      <c r="O464" s="94">
        <f t="shared" si="63"/>
        <v>0</v>
      </c>
      <c r="P464" s="94">
        <f t="shared" si="63"/>
        <v>0</v>
      </c>
      <c r="Q464" s="94">
        <f t="shared" si="63"/>
        <v>0</v>
      </c>
    </row>
    <row r="465" spans="2:17" x14ac:dyDescent="0.2">
      <c r="B465" s="90" t="str">
        <f t="shared" si="64"/>
        <v>REDES</v>
      </c>
      <c r="C465" s="90">
        <f t="shared" si="64"/>
        <v>85</v>
      </c>
      <c r="D465" s="95">
        <f t="shared" si="64"/>
        <v>7</v>
      </c>
      <c r="E465" s="96">
        <f t="shared" si="64"/>
        <v>0</v>
      </c>
      <c r="F465" s="93">
        <f>+VLOOKUP(C465,'INV POIR PPERDIDAS'!$C$4:$F$123,4,FALSE)</f>
        <v>45</v>
      </c>
      <c r="G465" s="94" t="str">
        <f t="shared" si="63"/>
        <v/>
      </c>
      <c r="H465" s="94">
        <f t="shared" si="63"/>
        <v>0</v>
      </c>
      <c r="I465" s="94">
        <f t="shared" si="63"/>
        <v>0</v>
      </c>
      <c r="J465" s="94">
        <f t="shared" si="63"/>
        <v>0</v>
      </c>
      <c r="K465" s="94">
        <f t="shared" si="63"/>
        <v>0</v>
      </c>
      <c r="L465" s="94">
        <f t="shared" si="63"/>
        <v>0</v>
      </c>
      <c r="M465" s="94">
        <f t="shared" si="63"/>
        <v>0</v>
      </c>
      <c r="N465" s="94">
        <f t="shared" si="63"/>
        <v>0</v>
      </c>
      <c r="O465" s="94">
        <f t="shared" si="63"/>
        <v>0</v>
      </c>
      <c r="P465" s="94">
        <f t="shared" si="63"/>
        <v>0</v>
      </c>
      <c r="Q465" s="94">
        <f t="shared" si="63"/>
        <v>0</v>
      </c>
    </row>
    <row r="466" spans="2:17" x14ac:dyDescent="0.2">
      <c r="B466" s="90" t="str">
        <f t="shared" si="64"/>
        <v>REDES</v>
      </c>
      <c r="C466" s="90">
        <f t="shared" si="64"/>
        <v>86</v>
      </c>
      <c r="D466" s="95">
        <f t="shared" si="64"/>
        <v>8</v>
      </c>
      <c r="E466" s="96">
        <f t="shared" si="64"/>
        <v>0</v>
      </c>
      <c r="F466" s="93">
        <f>+VLOOKUP(C466,'INV POIR PPERDIDAS'!$C$4:$F$123,4,FALSE)</f>
        <v>45</v>
      </c>
      <c r="G466" s="94" t="str">
        <f t="shared" si="63"/>
        <v/>
      </c>
      <c r="H466" s="94">
        <f t="shared" si="63"/>
        <v>0</v>
      </c>
      <c r="I466" s="94">
        <f t="shared" si="63"/>
        <v>0</v>
      </c>
      <c r="J466" s="94">
        <f t="shared" si="63"/>
        <v>0</v>
      </c>
      <c r="K466" s="94">
        <f t="shared" si="63"/>
        <v>0</v>
      </c>
      <c r="L466" s="94">
        <f t="shared" si="63"/>
        <v>0</v>
      </c>
      <c r="M466" s="94">
        <f t="shared" si="63"/>
        <v>0</v>
      </c>
      <c r="N466" s="94">
        <f t="shared" si="63"/>
        <v>0</v>
      </c>
      <c r="O466" s="94">
        <f t="shared" si="63"/>
        <v>0</v>
      </c>
      <c r="P466" s="94">
        <f t="shared" si="63"/>
        <v>0</v>
      </c>
      <c r="Q466" s="94">
        <f t="shared" si="63"/>
        <v>0</v>
      </c>
    </row>
    <row r="467" spans="2:17" x14ac:dyDescent="0.2">
      <c r="B467" s="90" t="str">
        <f t="shared" si="64"/>
        <v>REDES</v>
      </c>
      <c r="C467" s="90">
        <f t="shared" si="64"/>
        <v>87</v>
      </c>
      <c r="D467" s="95">
        <f t="shared" si="64"/>
        <v>9</v>
      </c>
      <c r="E467" s="96">
        <f t="shared" si="64"/>
        <v>0</v>
      </c>
      <c r="F467" s="93">
        <f>+VLOOKUP(C467,'INV POIR PPERDIDAS'!$C$4:$F$123,4,FALSE)</f>
        <v>45</v>
      </c>
      <c r="G467" s="94" t="str">
        <f t="shared" si="63"/>
        <v/>
      </c>
      <c r="H467" s="94">
        <f t="shared" si="63"/>
        <v>0</v>
      </c>
      <c r="I467" s="94">
        <f t="shared" si="63"/>
        <v>0</v>
      </c>
      <c r="J467" s="94">
        <f t="shared" si="63"/>
        <v>0</v>
      </c>
      <c r="K467" s="94">
        <f t="shared" si="63"/>
        <v>0</v>
      </c>
      <c r="L467" s="94">
        <f t="shared" si="63"/>
        <v>0</v>
      </c>
      <c r="M467" s="94">
        <f t="shared" si="63"/>
        <v>0</v>
      </c>
      <c r="N467" s="94">
        <f t="shared" si="63"/>
        <v>0</v>
      </c>
      <c r="O467" s="94">
        <f t="shared" si="63"/>
        <v>0</v>
      </c>
      <c r="P467" s="94">
        <f t="shared" si="63"/>
        <v>0</v>
      </c>
      <c r="Q467" s="94">
        <f t="shared" si="63"/>
        <v>0</v>
      </c>
    </row>
    <row r="468" spans="2:17" x14ac:dyDescent="0.2">
      <c r="B468" s="90" t="str">
        <f t="shared" si="64"/>
        <v>REDES</v>
      </c>
      <c r="C468" s="90">
        <f t="shared" si="64"/>
        <v>88</v>
      </c>
      <c r="D468" s="95">
        <f t="shared" si="64"/>
        <v>10</v>
      </c>
      <c r="E468" s="96">
        <f t="shared" si="64"/>
        <v>0</v>
      </c>
      <c r="F468" s="93">
        <f>+VLOOKUP(C468,'INV POIR PPERDIDAS'!$C$4:$F$123,4,FALSE)</f>
        <v>45</v>
      </c>
      <c r="G468" s="94" t="str">
        <f t="shared" si="63"/>
        <v/>
      </c>
      <c r="H468" s="94">
        <f t="shared" si="63"/>
        <v>0</v>
      </c>
      <c r="I468" s="94">
        <f t="shared" si="63"/>
        <v>0</v>
      </c>
      <c r="J468" s="94">
        <f t="shared" si="63"/>
        <v>0</v>
      </c>
      <c r="K468" s="94">
        <f t="shared" si="63"/>
        <v>0</v>
      </c>
      <c r="L468" s="94">
        <f t="shared" si="63"/>
        <v>0</v>
      </c>
      <c r="M468" s="94">
        <f t="shared" si="63"/>
        <v>0</v>
      </c>
      <c r="N468" s="94">
        <f t="shared" si="63"/>
        <v>0</v>
      </c>
      <c r="O468" s="94">
        <f t="shared" si="63"/>
        <v>0</v>
      </c>
      <c r="P468" s="94">
        <f t="shared" si="63"/>
        <v>0</v>
      </c>
      <c r="Q468" s="94">
        <f t="shared" si="63"/>
        <v>0</v>
      </c>
    </row>
    <row r="469" spans="2:17" x14ac:dyDescent="0.2">
      <c r="B469" s="90">
        <f t="shared" si="64"/>
        <v>0</v>
      </c>
      <c r="C469" s="90">
        <f t="shared" si="64"/>
        <v>89</v>
      </c>
      <c r="D469" s="95">
        <f t="shared" si="64"/>
        <v>0</v>
      </c>
      <c r="E469" s="96">
        <f t="shared" si="64"/>
        <v>0</v>
      </c>
      <c r="F469" s="93">
        <f>+VLOOKUP(C469,'INV POIR PPERDIDAS'!$C$4:$F$123,4,FALSE)</f>
        <v>1</v>
      </c>
      <c r="G469" s="94" t="str">
        <f t="shared" si="63"/>
        <v/>
      </c>
      <c r="H469" s="94">
        <f t="shared" si="63"/>
        <v>0</v>
      </c>
      <c r="I469" s="94">
        <f t="shared" si="63"/>
        <v>0</v>
      </c>
      <c r="J469" s="94">
        <f t="shared" si="63"/>
        <v>0</v>
      </c>
      <c r="K469" s="94">
        <f t="shared" si="63"/>
        <v>0</v>
      </c>
      <c r="L469" s="94">
        <f t="shared" si="63"/>
        <v>0</v>
      </c>
      <c r="M469" s="94">
        <f t="shared" si="63"/>
        <v>0</v>
      </c>
      <c r="N469" s="94">
        <f t="shared" si="63"/>
        <v>0</v>
      </c>
      <c r="O469" s="94">
        <f t="shared" si="63"/>
        <v>0</v>
      </c>
      <c r="P469" s="94">
        <f t="shared" si="63"/>
        <v>0</v>
      </c>
      <c r="Q469" s="94">
        <f t="shared" si="63"/>
        <v>0</v>
      </c>
    </row>
    <row r="470" spans="2:17" x14ac:dyDescent="0.2">
      <c r="B470" s="90">
        <f t="shared" si="64"/>
        <v>0</v>
      </c>
      <c r="C470" s="90">
        <f t="shared" si="64"/>
        <v>90</v>
      </c>
      <c r="D470" s="95">
        <f t="shared" si="64"/>
        <v>0</v>
      </c>
      <c r="E470" s="96">
        <f t="shared" si="64"/>
        <v>0</v>
      </c>
      <c r="F470" s="93">
        <f>+VLOOKUP(C470,'INV POIR PPERDIDAS'!$C$4:$F$123,4,FALSE)</f>
        <v>1</v>
      </c>
      <c r="G470" s="94" t="str">
        <f t="shared" si="63"/>
        <v/>
      </c>
      <c r="H470" s="94">
        <f t="shared" si="63"/>
        <v>0</v>
      </c>
      <c r="I470" s="94">
        <f t="shared" si="63"/>
        <v>0</v>
      </c>
      <c r="J470" s="94">
        <f t="shared" si="63"/>
        <v>0</v>
      </c>
      <c r="K470" s="94">
        <f t="shared" si="63"/>
        <v>0</v>
      </c>
      <c r="L470" s="94">
        <f t="shared" si="63"/>
        <v>0</v>
      </c>
      <c r="M470" s="94">
        <f t="shared" si="63"/>
        <v>0</v>
      </c>
      <c r="N470" s="94">
        <f t="shared" si="63"/>
        <v>0</v>
      </c>
      <c r="O470" s="94">
        <f t="shared" si="63"/>
        <v>0</v>
      </c>
      <c r="P470" s="94">
        <f t="shared" si="63"/>
        <v>0</v>
      </c>
      <c r="Q470" s="94">
        <f t="shared" si="63"/>
        <v>0</v>
      </c>
    </row>
    <row r="471" spans="2:17" x14ac:dyDescent="0.2">
      <c r="B471" s="90">
        <f t="shared" si="64"/>
        <v>0</v>
      </c>
      <c r="C471" s="90">
        <f t="shared" si="64"/>
        <v>91</v>
      </c>
      <c r="D471" s="95">
        <f t="shared" si="64"/>
        <v>0</v>
      </c>
      <c r="E471" s="96">
        <f t="shared" si="64"/>
        <v>0</v>
      </c>
      <c r="F471" s="93">
        <f>+VLOOKUP(C471,'INV POIR PPERDIDAS'!$C$4:$F$123,4,FALSE)</f>
        <v>1</v>
      </c>
      <c r="G471" s="94" t="str">
        <f t="shared" si="63"/>
        <v/>
      </c>
      <c r="H471" s="94">
        <f t="shared" si="63"/>
        <v>0</v>
      </c>
      <c r="I471" s="94">
        <f t="shared" si="63"/>
        <v>0</v>
      </c>
      <c r="J471" s="94">
        <f t="shared" si="63"/>
        <v>0</v>
      </c>
      <c r="K471" s="94">
        <f t="shared" si="63"/>
        <v>0</v>
      </c>
      <c r="L471" s="94">
        <f t="shared" si="63"/>
        <v>0</v>
      </c>
      <c r="M471" s="94">
        <f t="shared" si="63"/>
        <v>0</v>
      </c>
      <c r="N471" s="94">
        <f t="shared" si="63"/>
        <v>0</v>
      </c>
      <c r="O471" s="94">
        <f t="shared" si="63"/>
        <v>0</v>
      </c>
      <c r="P471" s="94">
        <f t="shared" si="63"/>
        <v>0</v>
      </c>
      <c r="Q471" s="94">
        <f t="shared" si="63"/>
        <v>0</v>
      </c>
    </row>
    <row r="472" spans="2:17" x14ac:dyDescent="0.2">
      <c r="B472" s="90">
        <f t="shared" si="64"/>
        <v>0</v>
      </c>
      <c r="C472" s="90">
        <f t="shared" si="64"/>
        <v>92</v>
      </c>
      <c r="D472" s="95">
        <f t="shared" si="64"/>
        <v>0</v>
      </c>
      <c r="E472" s="96">
        <f t="shared" si="64"/>
        <v>0</v>
      </c>
      <c r="F472" s="93">
        <f>+VLOOKUP(C472,'INV POIR PPERDIDAS'!$C$4:$F$123,4,FALSE)</f>
        <v>1</v>
      </c>
      <c r="G472" s="94" t="str">
        <f t="shared" si="63"/>
        <v/>
      </c>
      <c r="H472" s="94">
        <f t="shared" si="63"/>
        <v>0</v>
      </c>
      <c r="I472" s="94">
        <f t="shared" si="63"/>
        <v>0</v>
      </c>
      <c r="J472" s="94">
        <f t="shared" si="63"/>
        <v>0</v>
      </c>
      <c r="K472" s="94">
        <f t="shared" si="63"/>
        <v>0</v>
      </c>
      <c r="L472" s="94">
        <f t="shared" si="63"/>
        <v>0</v>
      </c>
      <c r="M472" s="94">
        <f t="shared" si="63"/>
        <v>0</v>
      </c>
      <c r="N472" s="94">
        <f t="shared" si="63"/>
        <v>0</v>
      </c>
      <c r="O472" s="94">
        <f t="shared" si="63"/>
        <v>0</v>
      </c>
      <c r="P472" s="94">
        <f t="shared" si="63"/>
        <v>0</v>
      </c>
      <c r="Q472" s="94">
        <f t="shared" si="63"/>
        <v>0</v>
      </c>
    </row>
    <row r="473" spans="2:17" x14ac:dyDescent="0.2">
      <c r="B473" s="90">
        <f t="shared" si="64"/>
        <v>0</v>
      </c>
      <c r="C473" s="90">
        <f t="shared" si="64"/>
        <v>93</v>
      </c>
      <c r="D473" s="95">
        <f t="shared" si="64"/>
        <v>0</v>
      </c>
      <c r="E473" s="96">
        <f t="shared" si="64"/>
        <v>0</v>
      </c>
      <c r="F473" s="93">
        <f>+VLOOKUP(C473,'INV POIR PPERDIDAS'!$C$4:$F$123,4,FALSE)</f>
        <v>1</v>
      </c>
      <c r="G473" s="94" t="str">
        <f t="shared" si="63"/>
        <v/>
      </c>
      <c r="H473" s="94">
        <f t="shared" si="63"/>
        <v>0</v>
      </c>
      <c r="I473" s="94">
        <f t="shared" si="63"/>
        <v>0</v>
      </c>
      <c r="J473" s="94">
        <f t="shared" si="63"/>
        <v>0</v>
      </c>
      <c r="K473" s="94">
        <f t="shared" si="63"/>
        <v>0</v>
      </c>
      <c r="L473" s="94">
        <f t="shared" si="63"/>
        <v>0</v>
      </c>
      <c r="M473" s="94">
        <f t="shared" si="63"/>
        <v>0</v>
      </c>
      <c r="N473" s="94">
        <f t="shared" si="63"/>
        <v>0</v>
      </c>
      <c r="O473" s="94">
        <f t="shared" si="63"/>
        <v>0</v>
      </c>
      <c r="P473" s="94">
        <f t="shared" si="63"/>
        <v>0</v>
      </c>
      <c r="Q473" s="94">
        <f t="shared" si="63"/>
        <v>0</v>
      </c>
    </row>
    <row r="474" spans="2:17" x14ac:dyDescent="0.2">
      <c r="B474" s="90">
        <f t="shared" si="64"/>
        <v>0</v>
      </c>
      <c r="C474" s="90">
        <f t="shared" si="64"/>
        <v>94</v>
      </c>
      <c r="D474" s="95">
        <f t="shared" si="64"/>
        <v>0</v>
      </c>
      <c r="E474" s="96">
        <f t="shared" si="64"/>
        <v>0</v>
      </c>
      <c r="F474" s="93">
        <f>+VLOOKUP(C474,'INV POIR PPERDIDAS'!$C$4:$F$123,4,FALSE)</f>
        <v>1</v>
      </c>
      <c r="G474" s="94" t="str">
        <f t="shared" si="63"/>
        <v/>
      </c>
      <c r="H474" s="94">
        <f t="shared" si="63"/>
        <v>0</v>
      </c>
      <c r="I474" s="94">
        <f t="shared" si="63"/>
        <v>0</v>
      </c>
      <c r="J474" s="94">
        <f t="shared" si="63"/>
        <v>0</v>
      </c>
      <c r="K474" s="94">
        <f t="shared" si="63"/>
        <v>0</v>
      </c>
      <c r="L474" s="94">
        <f t="shared" si="63"/>
        <v>0</v>
      </c>
      <c r="M474" s="94">
        <f t="shared" si="63"/>
        <v>0</v>
      </c>
      <c r="N474" s="94">
        <f t="shared" si="63"/>
        <v>0</v>
      </c>
      <c r="O474" s="94">
        <f t="shared" si="63"/>
        <v>0</v>
      </c>
      <c r="P474" s="94">
        <f t="shared" si="63"/>
        <v>0</v>
      </c>
      <c r="Q474" s="94">
        <f t="shared" si="63"/>
        <v>0</v>
      </c>
    </row>
    <row r="475" spans="2:17" x14ac:dyDescent="0.2">
      <c r="B475" s="90">
        <f t="shared" si="64"/>
        <v>0</v>
      </c>
      <c r="C475" s="90">
        <f t="shared" si="64"/>
        <v>95</v>
      </c>
      <c r="D475" s="95">
        <f t="shared" si="64"/>
        <v>0</v>
      </c>
      <c r="E475" s="96">
        <f t="shared" si="64"/>
        <v>0</v>
      </c>
      <c r="F475" s="93">
        <f>+VLOOKUP(C475,'INV POIR PPERDIDAS'!$C$4:$F$123,4,FALSE)</f>
        <v>1</v>
      </c>
      <c r="G475" s="94" t="str">
        <f t="shared" si="63"/>
        <v/>
      </c>
      <c r="H475" s="94">
        <f t="shared" si="63"/>
        <v>0</v>
      </c>
      <c r="I475" s="94">
        <f t="shared" si="63"/>
        <v>0</v>
      </c>
      <c r="J475" s="94">
        <f t="shared" si="63"/>
        <v>0</v>
      </c>
      <c r="K475" s="94">
        <f t="shared" si="63"/>
        <v>0</v>
      </c>
      <c r="L475" s="94">
        <f t="shared" si="63"/>
        <v>0</v>
      </c>
      <c r="M475" s="94">
        <f t="shared" si="63"/>
        <v>0</v>
      </c>
      <c r="N475" s="94">
        <f t="shared" si="63"/>
        <v>0</v>
      </c>
      <c r="O475" s="94">
        <f t="shared" si="63"/>
        <v>0</v>
      </c>
      <c r="P475" s="94">
        <f t="shared" si="63"/>
        <v>0</v>
      </c>
      <c r="Q475" s="94">
        <f t="shared" si="63"/>
        <v>0</v>
      </c>
    </row>
    <row r="476" spans="2:17" x14ac:dyDescent="0.2">
      <c r="B476" s="90">
        <f t="shared" si="64"/>
        <v>0</v>
      </c>
      <c r="C476" s="90">
        <f t="shared" si="64"/>
        <v>96</v>
      </c>
      <c r="D476" s="95">
        <f t="shared" si="64"/>
        <v>0</v>
      </c>
      <c r="E476" s="96">
        <f t="shared" si="64"/>
        <v>0</v>
      </c>
      <c r="F476" s="93">
        <f>+VLOOKUP(C476,'INV POIR PPERDIDAS'!$C$4:$F$123,4,FALSE)</f>
        <v>1</v>
      </c>
      <c r="G476" s="94" t="str">
        <f t="shared" si="63"/>
        <v/>
      </c>
      <c r="H476" s="94">
        <f t="shared" si="63"/>
        <v>0</v>
      </c>
      <c r="I476" s="94">
        <f t="shared" si="63"/>
        <v>0</v>
      </c>
      <c r="J476" s="94">
        <f t="shared" si="63"/>
        <v>0</v>
      </c>
      <c r="K476" s="94">
        <f t="shared" si="63"/>
        <v>0</v>
      </c>
      <c r="L476" s="94">
        <f t="shared" si="63"/>
        <v>0</v>
      </c>
      <c r="M476" s="94">
        <f t="shared" si="63"/>
        <v>0</v>
      </c>
      <c r="N476" s="94">
        <f t="shared" si="63"/>
        <v>0</v>
      </c>
      <c r="O476" s="94">
        <f t="shared" si="63"/>
        <v>0</v>
      </c>
      <c r="P476" s="94">
        <f t="shared" si="63"/>
        <v>0</v>
      </c>
      <c r="Q476" s="94">
        <f t="shared" si="63"/>
        <v>0</v>
      </c>
    </row>
    <row r="477" spans="2:17" x14ac:dyDescent="0.2">
      <c r="B477" s="90">
        <f t="shared" si="64"/>
        <v>0</v>
      </c>
      <c r="C477" s="90">
        <f t="shared" si="64"/>
        <v>97</v>
      </c>
      <c r="D477" s="95">
        <f t="shared" si="64"/>
        <v>0</v>
      </c>
      <c r="E477" s="96">
        <f t="shared" si="64"/>
        <v>0</v>
      </c>
      <c r="F477" s="93">
        <f>+VLOOKUP(C477,'INV POIR PPERDIDAS'!$C$4:$F$123,4,FALSE)</f>
        <v>1</v>
      </c>
      <c r="G477" s="94" t="str">
        <f t="shared" ref="G477:Q492" si="65">+IFERROR(G353+G105,"")</f>
        <v/>
      </c>
      <c r="H477" s="94">
        <f t="shared" si="65"/>
        <v>0</v>
      </c>
      <c r="I477" s="94">
        <f t="shared" si="65"/>
        <v>0</v>
      </c>
      <c r="J477" s="94">
        <f t="shared" si="65"/>
        <v>0</v>
      </c>
      <c r="K477" s="94">
        <f t="shared" si="65"/>
        <v>0</v>
      </c>
      <c r="L477" s="94">
        <f t="shared" si="65"/>
        <v>0</v>
      </c>
      <c r="M477" s="94">
        <f t="shared" si="65"/>
        <v>0</v>
      </c>
      <c r="N477" s="94">
        <f t="shared" si="65"/>
        <v>0</v>
      </c>
      <c r="O477" s="94">
        <f t="shared" si="65"/>
        <v>0</v>
      </c>
      <c r="P477" s="94">
        <f t="shared" si="65"/>
        <v>0</v>
      </c>
      <c r="Q477" s="94">
        <f t="shared" si="65"/>
        <v>0</v>
      </c>
    </row>
    <row r="478" spans="2:17" x14ac:dyDescent="0.2">
      <c r="B478" s="90">
        <f t="shared" ref="B478:E493" si="66">+B354</f>
        <v>0</v>
      </c>
      <c r="C478" s="90">
        <f t="shared" si="66"/>
        <v>98</v>
      </c>
      <c r="D478" s="95">
        <f t="shared" si="66"/>
        <v>0</v>
      </c>
      <c r="E478" s="96">
        <f t="shared" si="66"/>
        <v>0</v>
      </c>
      <c r="F478" s="93">
        <f>+VLOOKUP(C478,'INV POIR PPERDIDAS'!$C$4:$F$123,4,FALSE)</f>
        <v>1</v>
      </c>
      <c r="G478" s="94" t="str">
        <f t="shared" si="65"/>
        <v/>
      </c>
      <c r="H478" s="94">
        <f t="shared" si="65"/>
        <v>0</v>
      </c>
      <c r="I478" s="94">
        <f t="shared" si="65"/>
        <v>0</v>
      </c>
      <c r="J478" s="94">
        <f t="shared" si="65"/>
        <v>0</v>
      </c>
      <c r="K478" s="94">
        <f t="shared" si="65"/>
        <v>0</v>
      </c>
      <c r="L478" s="94">
        <f t="shared" si="65"/>
        <v>0</v>
      </c>
      <c r="M478" s="94">
        <f t="shared" si="65"/>
        <v>0</v>
      </c>
      <c r="N478" s="94">
        <f t="shared" si="65"/>
        <v>0</v>
      </c>
      <c r="O478" s="94">
        <f t="shared" si="65"/>
        <v>0</v>
      </c>
      <c r="P478" s="94">
        <f t="shared" si="65"/>
        <v>0</v>
      </c>
      <c r="Q478" s="94">
        <f t="shared" si="65"/>
        <v>0</v>
      </c>
    </row>
    <row r="479" spans="2:17" x14ac:dyDescent="0.2">
      <c r="B479" s="90">
        <f t="shared" si="66"/>
        <v>0</v>
      </c>
      <c r="C479" s="90">
        <f t="shared" si="66"/>
        <v>99</v>
      </c>
      <c r="D479" s="95">
        <f t="shared" si="66"/>
        <v>0</v>
      </c>
      <c r="E479" s="96">
        <f t="shared" si="66"/>
        <v>0</v>
      </c>
      <c r="F479" s="93">
        <f>+VLOOKUP(C479,'INV POIR PPERDIDAS'!$C$4:$F$123,4,FALSE)</f>
        <v>1</v>
      </c>
      <c r="G479" s="94" t="str">
        <f t="shared" si="65"/>
        <v/>
      </c>
      <c r="H479" s="94">
        <f t="shared" si="65"/>
        <v>0</v>
      </c>
      <c r="I479" s="94">
        <f t="shared" si="65"/>
        <v>0</v>
      </c>
      <c r="J479" s="94">
        <f t="shared" si="65"/>
        <v>0</v>
      </c>
      <c r="K479" s="94">
        <f t="shared" si="65"/>
        <v>0</v>
      </c>
      <c r="L479" s="94">
        <f t="shared" si="65"/>
        <v>0</v>
      </c>
      <c r="M479" s="94">
        <f t="shared" si="65"/>
        <v>0</v>
      </c>
      <c r="N479" s="94">
        <f t="shared" si="65"/>
        <v>0</v>
      </c>
      <c r="O479" s="94">
        <f t="shared" si="65"/>
        <v>0</v>
      </c>
      <c r="P479" s="94">
        <f t="shared" si="65"/>
        <v>0</v>
      </c>
      <c r="Q479" s="94">
        <f t="shared" si="65"/>
        <v>0</v>
      </c>
    </row>
    <row r="480" spans="2:17" x14ac:dyDescent="0.2">
      <c r="B480" s="90">
        <f t="shared" si="66"/>
        <v>0</v>
      </c>
      <c r="C480" s="90">
        <f t="shared" si="66"/>
        <v>100</v>
      </c>
      <c r="D480" s="95">
        <f t="shared" si="66"/>
        <v>0</v>
      </c>
      <c r="E480" s="96">
        <f t="shared" si="66"/>
        <v>0</v>
      </c>
      <c r="F480" s="93">
        <f>+VLOOKUP(C480,'INV POIR PPERDIDAS'!$C$4:$F$123,4,FALSE)</f>
        <v>1</v>
      </c>
      <c r="G480" s="94" t="str">
        <f t="shared" si="65"/>
        <v/>
      </c>
      <c r="H480" s="94">
        <f t="shared" si="65"/>
        <v>0</v>
      </c>
      <c r="I480" s="94">
        <f t="shared" si="65"/>
        <v>0</v>
      </c>
      <c r="J480" s="94">
        <f t="shared" si="65"/>
        <v>0</v>
      </c>
      <c r="K480" s="94">
        <f t="shared" si="65"/>
        <v>0</v>
      </c>
      <c r="L480" s="94">
        <f t="shared" si="65"/>
        <v>0</v>
      </c>
      <c r="M480" s="94">
        <f t="shared" si="65"/>
        <v>0</v>
      </c>
      <c r="N480" s="94">
        <f t="shared" si="65"/>
        <v>0</v>
      </c>
      <c r="O480" s="94">
        <f t="shared" si="65"/>
        <v>0</v>
      </c>
      <c r="P480" s="94">
        <f t="shared" si="65"/>
        <v>0</v>
      </c>
      <c r="Q480" s="94">
        <f t="shared" si="65"/>
        <v>0</v>
      </c>
    </row>
    <row r="481" spans="2:17" x14ac:dyDescent="0.2">
      <c r="B481" s="90">
        <f t="shared" si="66"/>
        <v>0</v>
      </c>
      <c r="C481" s="90">
        <f t="shared" si="66"/>
        <v>101</v>
      </c>
      <c r="D481" s="95">
        <f t="shared" si="66"/>
        <v>0</v>
      </c>
      <c r="E481" s="96">
        <f t="shared" si="66"/>
        <v>0</v>
      </c>
      <c r="F481" s="93">
        <f>+VLOOKUP(C481,'INV POIR PPERDIDAS'!$C$4:$F$123,4,FALSE)</f>
        <v>1</v>
      </c>
      <c r="G481" s="94" t="str">
        <f t="shared" si="65"/>
        <v/>
      </c>
      <c r="H481" s="94">
        <f t="shared" si="65"/>
        <v>0</v>
      </c>
      <c r="I481" s="94">
        <f t="shared" si="65"/>
        <v>0</v>
      </c>
      <c r="J481" s="94">
        <f t="shared" si="65"/>
        <v>0</v>
      </c>
      <c r="K481" s="94">
        <f t="shared" si="65"/>
        <v>0</v>
      </c>
      <c r="L481" s="94">
        <f t="shared" si="65"/>
        <v>0</v>
      </c>
      <c r="M481" s="94">
        <f t="shared" si="65"/>
        <v>0</v>
      </c>
      <c r="N481" s="94">
        <f t="shared" si="65"/>
        <v>0</v>
      </c>
      <c r="O481" s="94">
        <f t="shared" si="65"/>
        <v>0</v>
      </c>
      <c r="P481" s="94">
        <f t="shared" si="65"/>
        <v>0</v>
      </c>
      <c r="Q481" s="94">
        <f t="shared" si="65"/>
        <v>0</v>
      </c>
    </row>
    <row r="482" spans="2:17" x14ac:dyDescent="0.2">
      <c r="B482" s="90">
        <f t="shared" si="66"/>
        <v>0</v>
      </c>
      <c r="C482" s="90">
        <f t="shared" si="66"/>
        <v>102</v>
      </c>
      <c r="D482" s="95">
        <f t="shared" si="66"/>
        <v>0</v>
      </c>
      <c r="E482" s="96">
        <f t="shared" si="66"/>
        <v>0</v>
      </c>
      <c r="F482" s="93">
        <f>+VLOOKUP(C482,'INV POIR PPERDIDAS'!$C$4:$F$123,4,FALSE)</f>
        <v>1</v>
      </c>
      <c r="G482" s="94" t="str">
        <f t="shared" si="65"/>
        <v/>
      </c>
      <c r="H482" s="94">
        <f t="shared" si="65"/>
        <v>0</v>
      </c>
      <c r="I482" s="94">
        <f t="shared" si="65"/>
        <v>0</v>
      </c>
      <c r="J482" s="94">
        <f t="shared" si="65"/>
        <v>0</v>
      </c>
      <c r="K482" s="94">
        <f t="shared" si="65"/>
        <v>0</v>
      </c>
      <c r="L482" s="94">
        <f t="shared" si="65"/>
        <v>0</v>
      </c>
      <c r="M482" s="94">
        <f t="shared" si="65"/>
        <v>0</v>
      </c>
      <c r="N482" s="94">
        <f t="shared" si="65"/>
        <v>0</v>
      </c>
      <c r="O482" s="94">
        <f t="shared" si="65"/>
        <v>0</v>
      </c>
      <c r="P482" s="94">
        <f t="shared" si="65"/>
        <v>0</v>
      </c>
      <c r="Q482" s="94">
        <f t="shared" si="65"/>
        <v>0</v>
      </c>
    </row>
    <row r="483" spans="2:17" x14ac:dyDescent="0.2">
      <c r="B483" s="90">
        <f t="shared" si="66"/>
        <v>0</v>
      </c>
      <c r="C483" s="90">
        <f t="shared" si="66"/>
        <v>103</v>
      </c>
      <c r="D483" s="95">
        <f t="shared" si="66"/>
        <v>0</v>
      </c>
      <c r="E483" s="96">
        <f t="shared" si="66"/>
        <v>0</v>
      </c>
      <c r="F483" s="93">
        <f>+VLOOKUP(C483,'INV POIR PPERDIDAS'!$C$4:$F$123,4,FALSE)</f>
        <v>1</v>
      </c>
      <c r="G483" s="94" t="str">
        <f t="shared" si="65"/>
        <v/>
      </c>
      <c r="H483" s="94">
        <f t="shared" si="65"/>
        <v>0</v>
      </c>
      <c r="I483" s="94">
        <f t="shared" si="65"/>
        <v>0</v>
      </c>
      <c r="J483" s="94">
        <f t="shared" si="65"/>
        <v>0</v>
      </c>
      <c r="K483" s="94">
        <f t="shared" si="65"/>
        <v>0</v>
      </c>
      <c r="L483" s="94">
        <f t="shared" si="65"/>
        <v>0</v>
      </c>
      <c r="M483" s="94">
        <f t="shared" si="65"/>
        <v>0</v>
      </c>
      <c r="N483" s="94">
        <f t="shared" si="65"/>
        <v>0</v>
      </c>
      <c r="O483" s="94">
        <f t="shared" si="65"/>
        <v>0</v>
      </c>
      <c r="P483" s="94">
        <f t="shared" si="65"/>
        <v>0</v>
      </c>
      <c r="Q483" s="94">
        <f t="shared" si="65"/>
        <v>0</v>
      </c>
    </row>
    <row r="484" spans="2:17" x14ac:dyDescent="0.2">
      <c r="B484" s="90">
        <f t="shared" si="66"/>
        <v>0</v>
      </c>
      <c r="C484" s="90">
        <f t="shared" si="66"/>
        <v>104</v>
      </c>
      <c r="D484" s="95">
        <f t="shared" si="66"/>
        <v>0</v>
      </c>
      <c r="E484" s="96">
        <f t="shared" si="66"/>
        <v>0</v>
      </c>
      <c r="F484" s="93">
        <f>+VLOOKUP(C484,'INV POIR PPERDIDAS'!$C$4:$F$123,4,FALSE)</f>
        <v>1</v>
      </c>
      <c r="G484" s="94" t="str">
        <f t="shared" si="65"/>
        <v/>
      </c>
      <c r="H484" s="94">
        <f t="shared" si="65"/>
        <v>0</v>
      </c>
      <c r="I484" s="94">
        <f t="shared" si="65"/>
        <v>0</v>
      </c>
      <c r="J484" s="94">
        <f t="shared" si="65"/>
        <v>0</v>
      </c>
      <c r="K484" s="94">
        <f t="shared" si="65"/>
        <v>0</v>
      </c>
      <c r="L484" s="94">
        <f t="shared" si="65"/>
        <v>0</v>
      </c>
      <c r="M484" s="94">
        <f t="shared" si="65"/>
        <v>0</v>
      </c>
      <c r="N484" s="94">
        <f t="shared" si="65"/>
        <v>0</v>
      </c>
      <c r="O484" s="94">
        <f t="shared" si="65"/>
        <v>0</v>
      </c>
      <c r="P484" s="94">
        <f t="shared" si="65"/>
        <v>0</v>
      </c>
      <c r="Q484" s="94">
        <f t="shared" si="65"/>
        <v>0</v>
      </c>
    </row>
    <row r="485" spans="2:17" x14ac:dyDescent="0.2">
      <c r="B485" s="90">
        <f t="shared" si="66"/>
        <v>0</v>
      </c>
      <c r="C485" s="90">
        <f t="shared" si="66"/>
        <v>105</v>
      </c>
      <c r="D485" s="95">
        <f t="shared" si="66"/>
        <v>0</v>
      </c>
      <c r="E485" s="96">
        <f t="shared" si="66"/>
        <v>0</v>
      </c>
      <c r="F485" s="93">
        <f>+VLOOKUP(C485,'INV POIR PPERDIDAS'!$C$4:$F$123,4,FALSE)</f>
        <v>1</v>
      </c>
      <c r="G485" s="94" t="str">
        <f t="shared" si="65"/>
        <v/>
      </c>
      <c r="H485" s="94">
        <f t="shared" si="65"/>
        <v>0</v>
      </c>
      <c r="I485" s="94">
        <f t="shared" si="65"/>
        <v>0</v>
      </c>
      <c r="J485" s="94">
        <f t="shared" si="65"/>
        <v>0</v>
      </c>
      <c r="K485" s="94">
        <f t="shared" si="65"/>
        <v>0</v>
      </c>
      <c r="L485" s="94">
        <f t="shared" si="65"/>
        <v>0</v>
      </c>
      <c r="M485" s="94">
        <f t="shared" si="65"/>
        <v>0</v>
      </c>
      <c r="N485" s="94">
        <f t="shared" si="65"/>
        <v>0</v>
      </c>
      <c r="O485" s="94">
        <f t="shared" si="65"/>
        <v>0</v>
      </c>
      <c r="P485" s="94">
        <f t="shared" si="65"/>
        <v>0</v>
      </c>
      <c r="Q485" s="94">
        <f t="shared" si="65"/>
        <v>0</v>
      </c>
    </row>
    <row r="486" spans="2:17" x14ac:dyDescent="0.2">
      <c r="B486" s="90">
        <f t="shared" si="66"/>
        <v>0</v>
      </c>
      <c r="C486" s="90">
        <f t="shared" si="66"/>
        <v>106</v>
      </c>
      <c r="D486" s="95">
        <f t="shared" si="66"/>
        <v>0</v>
      </c>
      <c r="E486" s="96">
        <f t="shared" si="66"/>
        <v>0</v>
      </c>
      <c r="F486" s="93">
        <f>+VLOOKUP(C486,'INV POIR PPERDIDAS'!$C$4:$F$123,4,FALSE)</f>
        <v>1</v>
      </c>
      <c r="G486" s="94" t="str">
        <f t="shared" si="65"/>
        <v/>
      </c>
      <c r="H486" s="94">
        <f t="shared" si="65"/>
        <v>0</v>
      </c>
      <c r="I486" s="94">
        <f t="shared" si="65"/>
        <v>0</v>
      </c>
      <c r="J486" s="94">
        <f t="shared" si="65"/>
        <v>0</v>
      </c>
      <c r="K486" s="94">
        <f t="shared" si="65"/>
        <v>0</v>
      </c>
      <c r="L486" s="94">
        <f t="shared" si="65"/>
        <v>0</v>
      </c>
      <c r="M486" s="94">
        <f t="shared" si="65"/>
        <v>0</v>
      </c>
      <c r="N486" s="94">
        <f t="shared" si="65"/>
        <v>0</v>
      </c>
      <c r="O486" s="94">
        <f t="shared" si="65"/>
        <v>0</v>
      </c>
      <c r="P486" s="94">
        <f t="shared" si="65"/>
        <v>0</v>
      </c>
      <c r="Q486" s="94">
        <f t="shared" si="65"/>
        <v>0</v>
      </c>
    </row>
    <row r="487" spans="2:17" x14ac:dyDescent="0.2">
      <c r="B487" s="90">
        <f t="shared" si="66"/>
        <v>0</v>
      </c>
      <c r="C487" s="90">
        <f t="shared" si="66"/>
        <v>107</v>
      </c>
      <c r="D487" s="95">
        <f t="shared" si="66"/>
        <v>0</v>
      </c>
      <c r="E487" s="96">
        <f t="shared" si="66"/>
        <v>0</v>
      </c>
      <c r="F487" s="93">
        <f>+VLOOKUP(C487,'INV POIR PPERDIDAS'!$C$4:$F$123,4,FALSE)</f>
        <v>1</v>
      </c>
      <c r="G487" s="94" t="str">
        <f t="shared" si="65"/>
        <v/>
      </c>
      <c r="H487" s="94">
        <f t="shared" si="65"/>
        <v>0</v>
      </c>
      <c r="I487" s="94">
        <f t="shared" si="65"/>
        <v>0</v>
      </c>
      <c r="J487" s="94">
        <f t="shared" si="65"/>
        <v>0</v>
      </c>
      <c r="K487" s="94">
        <f t="shared" si="65"/>
        <v>0</v>
      </c>
      <c r="L487" s="94">
        <f t="shared" si="65"/>
        <v>0</v>
      </c>
      <c r="M487" s="94">
        <f t="shared" si="65"/>
        <v>0</v>
      </c>
      <c r="N487" s="94">
        <f t="shared" si="65"/>
        <v>0</v>
      </c>
      <c r="O487" s="94">
        <f t="shared" si="65"/>
        <v>0</v>
      </c>
      <c r="P487" s="94">
        <f t="shared" si="65"/>
        <v>0</v>
      </c>
      <c r="Q487" s="94">
        <f t="shared" si="65"/>
        <v>0</v>
      </c>
    </row>
    <row r="488" spans="2:17" x14ac:dyDescent="0.2">
      <c r="B488" s="90">
        <f t="shared" si="66"/>
        <v>0</v>
      </c>
      <c r="C488" s="90">
        <f t="shared" si="66"/>
        <v>108</v>
      </c>
      <c r="D488" s="95">
        <f t="shared" si="66"/>
        <v>0</v>
      </c>
      <c r="E488" s="96">
        <f t="shared" si="66"/>
        <v>0</v>
      </c>
      <c r="F488" s="93">
        <f>+VLOOKUP(C488,'INV POIR PPERDIDAS'!$C$4:$F$123,4,FALSE)</f>
        <v>1</v>
      </c>
      <c r="G488" s="94" t="str">
        <f t="shared" si="65"/>
        <v/>
      </c>
      <c r="H488" s="94">
        <f t="shared" si="65"/>
        <v>0</v>
      </c>
      <c r="I488" s="94">
        <f t="shared" si="65"/>
        <v>0</v>
      </c>
      <c r="J488" s="94">
        <f t="shared" si="65"/>
        <v>0</v>
      </c>
      <c r="K488" s="94">
        <f t="shared" si="65"/>
        <v>0</v>
      </c>
      <c r="L488" s="94">
        <f t="shared" si="65"/>
        <v>0</v>
      </c>
      <c r="M488" s="94">
        <f t="shared" si="65"/>
        <v>0</v>
      </c>
      <c r="N488" s="94">
        <f t="shared" si="65"/>
        <v>0</v>
      </c>
      <c r="O488" s="94">
        <f t="shared" si="65"/>
        <v>0</v>
      </c>
      <c r="P488" s="94">
        <f t="shared" si="65"/>
        <v>0</v>
      </c>
      <c r="Q488" s="94">
        <f t="shared" si="65"/>
        <v>0</v>
      </c>
    </row>
    <row r="489" spans="2:17" x14ac:dyDescent="0.2">
      <c r="B489" s="90">
        <f t="shared" si="66"/>
        <v>0</v>
      </c>
      <c r="C489" s="90">
        <f t="shared" si="66"/>
        <v>109</v>
      </c>
      <c r="D489" s="95">
        <f t="shared" si="66"/>
        <v>0</v>
      </c>
      <c r="E489" s="96">
        <f t="shared" si="66"/>
        <v>0</v>
      </c>
      <c r="F489" s="93">
        <f>+VLOOKUP(C489,'INV POIR PPERDIDAS'!$C$4:$F$123,4,FALSE)</f>
        <v>1</v>
      </c>
      <c r="G489" s="94" t="str">
        <f t="shared" si="65"/>
        <v/>
      </c>
      <c r="H489" s="94">
        <f t="shared" si="65"/>
        <v>0</v>
      </c>
      <c r="I489" s="94">
        <f t="shared" si="65"/>
        <v>0</v>
      </c>
      <c r="J489" s="94">
        <f t="shared" si="65"/>
        <v>0</v>
      </c>
      <c r="K489" s="94">
        <f t="shared" si="65"/>
        <v>0</v>
      </c>
      <c r="L489" s="94">
        <f t="shared" si="65"/>
        <v>0</v>
      </c>
      <c r="M489" s="94">
        <f t="shared" si="65"/>
        <v>0</v>
      </c>
      <c r="N489" s="94">
        <f t="shared" si="65"/>
        <v>0</v>
      </c>
      <c r="O489" s="94">
        <f t="shared" si="65"/>
        <v>0</v>
      </c>
      <c r="P489" s="94">
        <f t="shared" si="65"/>
        <v>0</v>
      </c>
      <c r="Q489" s="94">
        <f t="shared" si="65"/>
        <v>0</v>
      </c>
    </row>
    <row r="490" spans="2:17" x14ac:dyDescent="0.2">
      <c r="B490" s="90">
        <f t="shared" si="66"/>
        <v>0</v>
      </c>
      <c r="C490" s="90">
        <f t="shared" si="66"/>
        <v>110</v>
      </c>
      <c r="D490" s="95">
        <f t="shared" si="66"/>
        <v>0</v>
      </c>
      <c r="E490" s="96">
        <f t="shared" si="66"/>
        <v>0</v>
      </c>
      <c r="F490" s="93">
        <f>+VLOOKUP(C490,'INV POIR PPERDIDAS'!$C$4:$F$123,4,FALSE)</f>
        <v>1</v>
      </c>
      <c r="G490" s="94" t="str">
        <f t="shared" si="65"/>
        <v/>
      </c>
      <c r="H490" s="94">
        <f t="shared" si="65"/>
        <v>0</v>
      </c>
      <c r="I490" s="94">
        <f t="shared" si="65"/>
        <v>0</v>
      </c>
      <c r="J490" s="94">
        <f t="shared" si="65"/>
        <v>0</v>
      </c>
      <c r="K490" s="94">
        <f t="shared" si="65"/>
        <v>0</v>
      </c>
      <c r="L490" s="94">
        <f t="shared" si="65"/>
        <v>0</v>
      </c>
      <c r="M490" s="94">
        <f t="shared" si="65"/>
        <v>0</v>
      </c>
      <c r="N490" s="94">
        <f t="shared" si="65"/>
        <v>0</v>
      </c>
      <c r="O490" s="94">
        <f t="shared" si="65"/>
        <v>0</v>
      </c>
      <c r="P490" s="94">
        <f t="shared" si="65"/>
        <v>0</v>
      </c>
      <c r="Q490" s="94">
        <f t="shared" si="65"/>
        <v>0</v>
      </c>
    </row>
    <row r="491" spans="2:17" x14ac:dyDescent="0.2">
      <c r="B491" s="90">
        <f t="shared" si="66"/>
        <v>0</v>
      </c>
      <c r="C491" s="90">
        <f t="shared" si="66"/>
        <v>111</v>
      </c>
      <c r="D491" s="95">
        <f t="shared" si="66"/>
        <v>0</v>
      </c>
      <c r="E491" s="96">
        <f t="shared" si="66"/>
        <v>0</v>
      </c>
      <c r="F491" s="93">
        <f>+VLOOKUP(C491,'INV POIR PPERDIDAS'!$C$4:$F$123,4,FALSE)</f>
        <v>1</v>
      </c>
      <c r="G491" s="94" t="str">
        <f t="shared" si="65"/>
        <v/>
      </c>
      <c r="H491" s="94">
        <f t="shared" si="65"/>
        <v>0</v>
      </c>
      <c r="I491" s="94">
        <f t="shared" si="65"/>
        <v>0</v>
      </c>
      <c r="J491" s="94">
        <f t="shared" si="65"/>
        <v>0</v>
      </c>
      <c r="K491" s="94">
        <f t="shared" si="65"/>
        <v>0</v>
      </c>
      <c r="L491" s="94">
        <f t="shared" si="65"/>
        <v>0</v>
      </c>
      <c r="M491" s="94">
        <f t="shared" si="65"/>
        <v>0</v>
      </c>
      <c r="N491" s="94">
        <f t="shared" si="65"/>
        <v>0</v>
      </c>
      <c r="O491" s="94">
        <f t="shared" si="65"/>
        <v>0</v>
      </c>
      <c r="P491" s="94">
        <f t="shared" si="65"/>
        <v>0</v>
      </c>
      <c r="Q491" s="94">
        <f t="shared" si="65"/>
        <v>0</v>
      </c>
    </row>
    <row r="492" spans="2:17" x14ac:dyDescent="0.2">
      <c r="B492" s="90">
        <f t="shared" si="66"/>
        <v>0</v>
      </c>
      <c r="C492" s="90">
        <f t="shared" si="66"/>
        <v>112</v>
      </c>
      <c r="D492" s="95">
        <f t="shared" si="66"/>
        <v>0</v>
      </c>
      <c r="E492" s="96">
        <f t="shared" si="66"/>
        <v>0</v>
      </c>
      <c r="F492" s="93">
        <f>+VLOOKUP(C492,'INV POIR PPERDIDAS'!$C$4:$F$123,4,FALSE)</f>
        <v>1</v>
      </c>
      <c r="G492" s="94" t="str">
        <f t="shared" si="65"/>
        <v/>
      </c>
      <c r="H492" s="94">
        <f t="shared" si="65"/>
        <v>0</v>
      </c>
      <c r="I492" s="94">
        <f t="shared" si="65"/>
        <v>0</v>
      </c>
      <c r="J492" s="94">
        <f t="shared" si="65"/>
        <v>0</v>
      </c>
      <c r="K492" s="94">
        <f t="shared" si="65"/>
        <v>0</v>
      </c>
      <c r="L492" s="94">
        <f t="shared" si="65"/>
        <v>0</v>
      </c>
      <c r="M492" s="94">
        <f t="shared" si="65"/>
        <v>0</v>
      </c>
      <c r="N492" s="94">
        <f t="shared" si="65"/>
        <v>0</v>
      </c>
      <c r="O492" s="94">
        <f t="shared" si="65"/>
        <v>0</v>
      </c>
      <c r="P492" s="94">
        <f t="shared" si="65"/>
        <v>0</v>
      </c>
      <c r="Q492" s="94">
        <f t="shared" si="65"/>
        <v>0</v>
      </c>
    </row>
    <row r="493" spans="2:17" x14ac:dyDescent="0.2">
      <c r="B493" s="90">
        <f t="shared" si="66"/>
        <v>0</v>
      </c>
      <c r="C493" s="90">
        <f t="shared" si="66"/>
        <v>113</v>
      </c>
      <c r="D493" s="95">
        <f t="shared" si="66"/>
        <v>0</v>
      </c>
      <c r="E493" s="96">
        <f t="shared" si="66"/>
        <v>0</v>
      </c>
      <c r="F493" s="93">
        <f>+VLOOKUP(C493,'INV POIR PPERDIDAS'!$C$4:$F$123,4,FALSE)</f>
        <v>1</v>
      </c>
      <c r="G493" s="94" t="str">
        <f t="shared" ref="G493:Q500" si="67">+IFERROR(G369+G121,"")</f>
        <v/>
      </c>
      <c r="H493" s="94">
        <f t="shared" si="67"/>
        <v>0</v>
      </c>
      <c r="I493" s="94">
        <f t="shared" si="67"/>
        <v>0</v>
      </c>
      <c r="J493" s="94">
        <f t="shared" si="67"/>
        <v>0</v>
      </c>
      <c r="K493" s="94">
        <f t="shared" si="67"/>
        <v>0</v>
      </c>
      <c r="L493" s="94">
        <f t="shared" si="67"/>
        <v>0</v>
      </c>
      <c r="M493" s="94">
        <f t="shared" si="67"/>
        <v>0</v>
      </c>
      <c r="N493" s="94">
        <f t="shared" si="67"/>
        <v>0</v>
      </c>
      <c r="O493" s="94">
        <f t="shared" si="67"/>
        <v>0</v>
      </c>
      <c r="P493" s="94">
        <f t="shared" si="67"/>
        <v>0</v>
      </c>
      <c r="Q493" s="94">
        <f t="shared" si="67"/>
        <v>0</v>
      </c>
    </row>
    <row r="494" spans="2:17" x14ac:dyDescent="0.2">
      <c r="B494" s="90">
        <f t="shared" ref="B494:E500" si="68">+B370</f>
        <v>0</v>
      </c>
      <c r="C494" s="90">
        <f t="shared" si="68"/>
        <v>114</v>
      </c>
      <c r="D494" s="95">
        <f t="shared" si="68"/>
        <v>0</v>
      </c>
      <c r="E494" s="96">
        <f t="shared" si="68"/>
        <v>0</v>
      </c>
      <c r="F494" s="93">
        <f>+VLOOKUP(C494,'INV POIR PPERDIDAS'!$C$4:$F$123,4,FALSE)</f>
        <v>1</v>
      </c>
      <c r="G494" s="94" t="str">
        <f t="shared" si="67"/>
        <v/>
      </c>
      <c r="H494" s="94">
        <f t="shared" si="67"/>
        <v>0</v>
      </c>
      <c r="I494" s="94">
        <f t="shared" si="67"/>
        <v>0</v>
      </c>
      <c r="J494" s="94">
        <f t="shared" si="67"/>
        <v>0</v>
      </c>
      <c r="K494" s="94">
        <f t="shared" si="67"/>
        <v>0</v>
      </c>
      <c r="L494" s="94">
        <f t="shared" si="67"/>
        <v>0</v>
      </c>
      <c r="M494" s="94">
        <f t="shared" si="67"/>
        <v>0</v>
      </c>
      <c r="N494" s="94">
        <f t="shared" si="67"/>
        <v>0</v>
      </c>
      <c r="O494" s="94">
        <f t="shared" si="67"/>
        <v>0</v>
      </c>
      <c r="P494" s="94">
        <f t="shared" si="67"/>
        <v>0</v>
      </c>
      <c r="Q494" s="94">
        <f t="shared" si="67"/>
        <v>0</v>
      </c>
    </row>
    <row r="495" spans="2:17" x14ac:dyDescent="0.2">
      <c r="B495" s="90">
        <f t="shared" si="68"/>
        <v>0</v>
      </c>
      <c r="C495" s="90">
        <f t="shared" si="68"/>
        <v>115</v>
      </c>
      <c r="D495" s="95">
        <f t="shared" si="68"/>
        <v>0</v>
      </c>
      <c r="E495" s="96">
        <f t="shared" si="68"/>
        <v>0</v>
      </c>
      <c r="F495" s="93">
        <f>+VLOOKUP(C495,'INV POIR PPERDIDAS'!$C$4:$F$123,4,FALSE)</f>
        <v>1</v>
      </c>
      <c r="G495" s="94" t="str">
        <f t="shared" si="67"/>
        <v/>
      </c>
      <c r="H495" s="94">
        <f t="shared" si="67"/>
        <v>0</v>
      </c>
      <c r="I495" s="94">
        <f t="shared" si="67"/>
        <v>0</v>
      </c>
      <c r="J495" s="94">
        <f t="shared" si="67"/>
        <v>0</v>
      </c>
      <c r="K495" s="94">
        <f t="shared" si="67"/>
        <v>0</v>
      </c>
      <c r="L495" s="94">
        <f t="shared" si="67"/>
        <v>0</v>
      </c>
      <c r="M495" s="94">
        <f t="shared" si="67"/>
        <v>0</v>
      </c>
      <c r="N495" s="94">
        <f t="shared" si="67"/>
        <v>0</v>
      </c>
      <c r="O495" s="94">
        <f t="shared" si="67"/>
        <v>0</v>
      </c>
      <c r="P495" s="94">
        <f t="shared" si="67"/>
        <v>0</v>
      </c>
      <c r="Q495" s="94">
        <f t="shared" si="67"/>
        <v>0</v>
      </c>
    </row>
    <row r="496" spans="2:17" x14ac:dyDescent="0.2">
      <c r="B496" s="90">
        <f t="shared" si="68"/>
        <v>0</v>
      </c>
      <c r="C496" s="90">
        <f t="shared" si="68"/>
        <v>116</v>
      </c>
      <c r="D496" s="95">
        <f t="shared" si="68"/>
        <v>0</v>
      </c>
      <c r="E496" s="96">
        <f t="shared" si="68"/>
        <v>0</v>
      </c>
      <c r="F496" s="93">
        <f>+VLOOKUP(C496,'INV POIR PPERDIDAS'!$C$4:$F$123,4,FALSE)</f>
        <v>1</v>
      </c>
      <c r="G496" s="94" t="str">
        <f t="shared" si="67"/>
        <v/>
      </c>
      <c r="H496" s="94">
        <f t="shared" si="67"/>
        <v>0</v>
      </c>
      <c r="I496" s="94">
        <f t="shared" si="67"/>
        <v>0</v>
      </c>
      <c r="J496" s="94">
        <f t="shared" si="67"/>
        <v>0</v>
      </c>
      <c r="K496" s="94">
        <f t="shared" si="67"/>
        <v>0</v>
      </c>
      <c r="L496" s="94">
        <f t="shared" si="67"/>
        <v>0</v>
      </c>
      <c r="M496" s="94">
        <f t="shared" si="67"/>
        <v>0</v>
      </c>
      <c r="N496" s="94">
        <f t="shared" si="67"/>
        <v>0</v>
      </c>
      <c r="O496" s="94">
        <f t="shared" si="67"/>
        <v>0</v>
      </c>
      <c r="P496" s="94">
        <f t="shared" si="67"/>
        <v>0</v>
      </c>
      <c r="Q496" s="94">
        <f t="shared" si="67"/>
        <v>0</v>
      </c>
    </row>
    <row r="497" spans="2:17" x14ac:dyDescent="0.2">
      <c r="B497" s="90">
        <f t="shared" si="68"/>
        <v>0</v>
      </c>
      <c r="C497" s="90">
        <f t="shared" si="68"/>
        <v>117</v>
      </c>
      <c r="D497" s="95">
        <f t="shared" si="68"/>
        <v>0</v>
      </c>
      <c r="E497" s="96">
        <f t="shared" si="68"/>
        <v>0</v>
      </c>
      <c r="F497" s="93">
        <f>+VLOOKUP(C497,'INV POIR PPERDIDAS'!$C$4:$F$123,4,FALSE)</f>
        <v>1</v>
      </c>
      <c r="G497" s="94" t="str">
        <f t="shared" si="67"/>
        <v/>
      </c>
      <c r="H497" s="94">
        <f t="shared" si="67"/>
        <v>0</v>
      </c>
      <c r="I497" s="94">
        <f t="shared" si="67"/>
        <v>0</v>
      </c>
      <c r="J497" s="94">
        <f t="shared" si="67"/>
        <v>0</v>
      </c>
      <c r="K497" s="94">
        <f t="shared" si="67"/>
        <v>0</v>
      </c>
      <c r="L497" s="94">
        <f t="shared" si="67"/>
        <v>0</v>
      </c>
      <c r="M497" s="94">
        <f t="shared" si="67"/>
        <v>0</v>
      </c>
      <c r="N497" s="94">
        <f t="shared" si="67"/>
        <v>0</v>
      </c>
      <c r="O497" s="94">
        <f t="shared" si="67"/>
        <v>0</v>
      </c>
      <c r="P497" s="94">
        <f t="shared" si="67"/>
        <v>0</v>
      </c>
      <c r="Q497" s="94">
        <f t="shared" si="67"/>
        <v>0</v>
      </c>
    </row>
    <row r="498" spans="2:17" x14ac:dyDescent="0.2">
      <c r="B498" s="90">
        <f t="shared" si="68"/>
        <v>0</v>
      </c>
      <c r="C498" s="90">
        <f t="shared" si="68"/>
        <v>118</v>
      </c>
      <c r="D498" s="95">
        <f t="shared" si="68"/>
        <v>0</v>
      </c>
      <c r="E498" s="96">
        <f t="shared" si="68"/>
        <v>0</v>
      </c>
      <c r="F498" s="93">
        <f>+VLOOKUP(C498,'INV POIR PPERDIDAS'!$C$4:$F$123,4,FALSE)</f>
        <v>1</v>
      </c>
      <c r="G498" s="94" t="str">
        <f t="shared" si="67"/>
        <v/>
      </c>
      <c r="H498" s="94">
        <f t="shared" si="67"/>
        <v>0</v>
      </c>
      <c r="I498" s="94">
        <f t="shared" si="67"/>
        <v>0</v>
      </c>
      <c r="J498" s="94">
        <f t="shared" si="67"/>
        <v>0</v>
      </c>
      <c r="K498" s="94">
        <f t="shared" si="67"/>
        <v>0</v>
      </c>
      <c r="L498" s="94">
        <f t="shared" si="67"/>
        <v>0</v>
      </c>
      <c r="M498" s="94">
        <f t="shared" si="67"/>
        <v>0</v>
      </c>
      <c r="N498" s="94">
        <f t="shared" si="67"/>
        <v>0</v>
      </c>
      <c r="O498" s="94">
        <f t="shared" si="67"/>
        <v>0</v>
      </c>
      <c r="P498" s="94">
        <f t="shared" si="67"/>
        <v>0</v>
      </c>
      <c r="Q498" s="94">
        <f t="shared" si="67"/>
        <v>0</v>
      </c>
    </row>
    <row r="499" spans="2:17" x14ac:dyDescent="0.2">
      <c r="B499" s="90">
        <f t="shared" si="68"/>
        <v>0</v>
      </c>
      <c r="C499" s="90">
        <f t="shared" si="68"/>
        <v>119</v>
      </c>
      <c r="D499" s="95">
        <f t="shared" si="68"/>
        <v>0</v>
      </c>
      <c r="E499" s="96">
        <f t="shared" si="68"/>
        <v>0</v>
      </c>
      <c r="F499" s="93">
        <f>+VLOOKUP(C499,'INV POIR PPERDIDAS'!$C$4:$F$123,4,FALSE)</f>
        <v>1</v>
      </c>
      <c r="G499" s="94" t="str">
        <f t="shared" si="67"/>
        <v/>
      </c>
      <c r="H499" s="94">
        <f t="shared" si="67"/>
        <v>0</v>
      </c>
      <c r="I499" s="94">
        <f t="shared" si="67"/>
        <v>0</v>
      </c>
      <c r="J499" s="94">
        <f t="shared" si="67"/>
        <v>0</v>
      </c>
      <c r="K499" s="94">
        <f t="shared" si="67"/>
        <v>0</v>
      </c>
      <c r="L499" s="94">
        <f t="shared" si="67"/>
        <v>0</v>
      </c>
      <c r="M499" s="94">
        <f t="shared" si="67"/>
        <v>0</v>
      </c>
      <c r="N499" s="94">
        <f t="shared" si="67"/>
        <v>0</v>
      </c>
      <c r="O499" s="94">
        <f t="shared" si="67"/>
        <v>0</v>
      </c>
      <c r="P499" s="94">
        <f t="shared" si="67"/>
        <v>0</v>
      </c>
      <c r="Q499" s="94">
        <f t="shared" si="67"/>
        <v>0</v>
      </c>
    </row>
    <row r="500" spans="2:17" x14ac:dyDescent="0.2">
      <c r="B500" s="90">
        <f t="shared" si="68"/>
        <v>0</v>
      </c>
      <c r="C500" s="90">
        <f t="shared" si="68"/>
        <v>120</v>
      </c>
      <c r="D500" s="95">
        <f t="shared" si="68"/>
        <v>0</v>
      </c>
      <c r="E500" s="96">
        <f t="shared" si="68"/>
        <v>0</v>
      </c>
      <c r="F500" s="93">
        <f>+VLOOKUP(C500,'INV POIR PPERDIDAS'!$C$4:$F$123,4,FALSE)</f>
        <v>1</v>
      </c>
      <c r="G500" s="94" t="str">
        <f t="shared" si="67"/>
        <v/>
      </c>
      <c r="H500" s="94">
        <f t="shared" si="67"/>
        <v>0</v>
      </c>
      <c r="I500" s="94">
        <f t="shared" si="67"/>
        <v>0</v>
      </c>
      <c r="J500" s="94">
        <f t="shared" si="67"/>
        <v>0</v>
      </c>
      <c r="K500" s="94">
        <f t="shared" si="67"/>
        <v>0</v>
      </c>
      <c r="L500" s="94">
        <f t="shared" si="67"/>
        <v>0</v>
      </c>
      <c r="M500" s="94">
        <f t="shared" si="67"/>
        <v>0</v>
      </c>
      <c r="N500" s="94">
        <f t="shared" si="67"/>
        <v>0</v>
      </c>
      <c r="O500" s="94">
        <f t="shared" si="67"/>
        <v>0</v>
      </c>
      <c r="P500" s="94">
        <f t="shared" si="67"/>
        <v>0</v>
      </c>
      <c r="Q500" s="94">
        <f t="shared" si="67"/>
        <v>0</v>
      </c>
    </row>
    <row r="502" spans="2:17" ht="20.25" thickBot="1" x14ac:dyDescent="0.35">
      <c r="B502" s="89" t="s">
        <v>354</v>
      </c>
      <c r="C502" s="89"/>
      <c r="D502" s="89"/>
      <c r="E502" s="89"/>
      <c r="F502" s="89"/>
      <c r="G502" s="89"/>
    </row>
    <row r="503" spans="2:17" ht="13.5" thickTop="1" x14ac:dyDescent="0.2"/>
    <row r="504" spans="2:17" ht="25.5" x14ac:dyDescent="0.2">
      <c r="B504" s="101" t="str">
        <f>+B380</f>
        <v>Activo j</v>
      </c>
      <c r="C504" s="101" t="str">
        <f>+C380</f>
        <v>Identificación del activo</v>
      </c>
      <c r="D504" s="101" t="str">
        <f>+D380</f>
        <v>Año planeado</v>
      </c>
      <c r="E504" s="101" t="str">
        <f>+E380</f>
        <v>POIR programa pérdidas por activo j</v>
      </c>
      <c r="F504" s="101" t="str">
        <f>+F380</f>
        <v>Vida Útil</v>
      </c>
      <c r="G504" s="107">
        <v>1</v>
      </c>
      <c r="H504" s="107">
        <v>2</v>
      </c>
      <c r="I504" s="107">
        <v>3</v>
      </c>
      <c r="J504" s="107">
        <v>4</v>
      </c>
      <c r="K504" s="107">
        <v>5</v>
      </c>
      <c r="L504" s="107">
        <v>6</v>
      </c>
      <c r="M504" s="107">
        <v>7</v>
      </c>
      <c r="N504" s="107">
        <v>8</v>
      </c>
      <c r="O504" s="107">
        <v>9</v>
      </c>
      <c r="P504" s="107">
        <v>10</v>
      </c>
    </row>
    <row r="505" spans="2:17" x14ac:dyDescent="0.2">
      <c r="B505" s="90" t="str">
        <f>+B381</f>
        <v>MACROMEDIDORES</v>
      </c>
      <c r="C505" s="90">
        <f>+C381</f>
        <v>1</v>
      </c>
      <c r="D505" s="95">
        <f>+D381</f>
        <v>0</v>
      </c>
      <c r="E505" s="96">
        <f>+E381</f>
        <v>0</v>
      </c>
      <c r="F505" s="93">
        <f>+VLOOKUP(C505,'INV POIR PPERDIDAS'!$C$4:$F$123,4,FALSE)</f>
        <v>23</v>
      </c>
      <c r="G505" s="97">
        <f>+'INV POIR PPERDIDAS'!C$126</f>
        <v>53998308</v>
      </c>
      <c r="H505" s="97">
        <f>+'INV POIR PPERDIDAS'!D$126</f>
        <v>56894335.679999992</v>
      </c>
      <c r="I505" s="97">
        <f>+'INV POIR PPERDIDAS'!E$126</f>
        <v>59253219.840000004</v>
      </c>
      <c r="J505" s="97">
        <f>+'INV POIR PPERDIDAS'!F$126</f>
        <v>61613804.039999999</v>
      </c>
      <c r="K505" s="97">
        <f>+'INV POIR PPERDIDAS'!G$126</f>
        <v>63980742.840000004</v>
      </c>
      <c r="L505" s="97">
        <f>+'INV POIR PPERDIDAS'!H$126</f>
        <v>66048339.600000009</v>
      </c>
      <c r="M505" s="97">
        <f>+'INV POIR PPERDIDAS'!I$126</f>
        <v>67860109.199999988</v>
      </c>
      <c r="N505" s="97">
        <f>+'INV POIR PPERDIDAS'!J$126</f>
        <v>69763098.239999995</v>
      </c>
      <c r="O505" s="97">
        <f>+'INV POIR PPERDIDAS'!K$126</f>
        <v>71680074.24000001</v>
      </c>
      <c r="P505" s="97">
        <f>+'INV POIR PPERDIDAS'!L$126</f>
        <v>73651119.359999999</v>
      </c>
    </row>
    <row r="506" spans="2:17" x14ac:dyDescent="0.2">
      <c r="B506" s="90" t="str">
        <f t="shared" ref="B506:E521" si="69">+B382</f>
        <v>MACROMEDIDORES</v>
      </c>
      <c r="C506" s="90">
        <f t="shared" si="69"/>
        <v>2</v>
      </c>
      <c r="D506" s="95">
        <f t="shared" si="69"/>
        <v>1</v>
      </c>
      <c r="E506" s="96">
        <f>+E382</f>
        <v>19671246.467960708</v>
      </c>
      <c r="F506" s="93">
        <f>+VLOOKUP(C506,'INV POIR PPERDIDAS'!$C$4:$F$123,4,FALSE)</f>
        <v>23</v>
      </c>
      <c r="G506" s="97">
        <f>+'INV POIR PPERDIDAS'!C$126</f>
        <v>53998308</v>
      </c>
      <c r="H506" s="97">
        <f>+'INV POIR PPERDIDAS'!D$126</f>
        <v>56894335.679999992</v>
      </c>
      <c r="I506" s="97">
        <f>+'INV POIR PPERDIDAS'!E$126</f>
        <v>59253219.840000004</v>
      </c>
      <c r="J506" s="97">
        <f>+'INV POIR PPERDIDAS'!F$126</f>
        <v>61613804.039999999</v>
      </c>
      <c r="K506" s="97">
        <f>+'INV POIR PPERDIDAS'!G$126</f>
        <v>63980742.840000004</v>
      </c>
      <c r="L506" s="97">
        <f>+'INV POIR PPERDIDAS'!H$126</f>
        <v>66048339.600000009</v>
      </c>
      <c r="M506" s="97">
        <f>+'INV POIR PPERDIDAS'!I$126</f>
        <v>67860109.199999988</v>
      </c>
      <c r="N506" s="97">
        <f>+'INV POIR PPERDIDAS'!J$126</f>
        <v>69763098.239999995</v>
      </c>
      <c r="O506" s="97">
        <f>+'INV POIR PPERDIDAS'!K$126</f>
        <v>71680074.24000001</v>
      </c>
      <c r="P506" s="97">
        <f>+'INV POIR PPERDIDAS'!L$126</f>
        <v>73651119.359999999</v>
      </c>
    </row>
    <row r="507" spans="2:17" x14ac:dyDescent="0.2">
      <c r="B507" s="90" t="str">
        <f t="shared" si="69"/>
        <v>MACROMEDIDORES</v>
      </c>
      <c r="C507" s="90">
        <f t="shared" si="69"/>
        <v>3</v>
      </c>
      <c r="D507" s="95">
        <f t="shared" si="69"/>
        <v>2</v>
      </c>
      <c r="E507" s="96">
        <f>+E383</f>
        <v>155817460.36657271</v>
      </c>
      <c r="F507" s="93">
        <f>+VLOOKUP(C507,'INV POIR PPERDIDAS'!$C$4:$F$123,4,FALSE)</f>
        <v>23</v>
      </c>
      <c r="G507" s="97">
        <f>+'INV POIR PPERDIDAS'!C$126</f>
        <v>53998308</v>
      </c>
      <c r="H507" s="97">
        <f>+'INV POIR PPERDIDAS'!D$126</f>
        <v>56894335.679999992</v>
      </c>
      <c r="I507" s="97">
        <f>+'INV POIR PPERDIDAS'!E$126</f>
        <v>59253219.840000004</v>
      </c>
      <c r="J507" s="97">
        <f>+'INV POIR PPERDIDAS'!F$126</f>
        <v>61613804.039999999</v>
      </c>
      <c r="K507" s="97">
        <f>+'INV POIR PPERDIDAS'!G$126</f>
        <v>63980742.840000004</v>
      </c>
      <c r="L507" s="97">
        <f>+'INV POIR PPERDIDAS'!H$126</f>
        <v>66048339.600000009</v>
      </c>
      <c r="M507" s="97">
        <f>+'INV POIR PPERDIDAS'!I$126</f>
        <v>67860109.199999988</v>
      </c>
      <c r="N507" s="97">
        <f>+'INV POIR PPERDIDAS'!J$126</f>
        <v>69763098.239999995</v>
      </c>
      <c r="O507" s="97">
        <f>+'INV POIR PPERDIDAS'!K$126</f>
        <v>71680074.24000001</v>
      </c>
      <c r="P507" s="97">
        <f>+'INV POIR PPERDIDAS'!L$126</f>
        <v>73651119.359999999</v>
      </c>
    </row>
    <row r="508" spans="2:17" x14ac:dyDescent="0.2">
      <c r="B508" s="90" t="str">
        <f t="shared" si="69"/>
        <v>MACROMEDIDORES</v>
      </c>
      <c r="C508" s="90">
        <f t="shared" si="69"/>
        <v>4</v>
      </c>
      <c r="D508" s="95">
        <f t="shared" si="69"/>
        <v>3</v>
      </c>
      <c r="E508" s="96">
        <f>+E384</f>
        <v>19671246.467960708</v>
      </c>
      <c r="F508" s="93">
        <f>+VLOOKUP(C508,'INV POIR PPERDIDAS'!$C$4:$F$123,4,FALSE)</f>
        <v>23</v>
      </c>
      <c r="G508" s="97">
        <f>+'INV POIR PPERDIDAS'!C$126</f>
        <v>53998308</v>
      </c>
      <c r="H508" s="97">
        <f>+'INV POIR PPERDIDAS'!D$126</f>
        <v>56894335.679999992</v>
      </c>
      <c r="I508" s="97">
        <f>+'INV POIR PPERDIDAS'!E$126</f>
        <v>59253219.840000004</v>
      </c>
      <c r="J508" s="97">
        <f>+'INV POIR PPERDIDAS'!F$126</f>
        <v>61613804.039999999</v>
      </c>
      <c r="K508" s="97">
        <f>+'INV POIR PPERDIDAS'!G$126</f>
        <v>63980742.840000004</v>
      </c>
      <c r="L508" s="97">
        <f>+'INV POIR PPERDIDAS'!H$126</f>
        <v>66048339.600000009</v>
      </c>
      <c r="M508" s="97">
        <f>+'INV POIR PPERDIDAS'!I$126</f>
        <v>67860109.199999988</v>
      </c>
      <c r="N508" s="97">
        <f>+'INV POIR PPERDIDAS'!J$126</f>
        <v>69763098.239999995</v>
      </c>
      <c r="O508" s="97">
        <f>+'INV POIR PPERDIDAS'!K$126</f>
        <v>71680074.24000001</v>
      </c>
      <c r="P508" s="97">
        <f>+'INV POIR PPERDIDAS'!L$126</f>
        <v>73651119.359999999</v>
      </c>
    </row>
    <row r="509" spans="2:17" x14ac:dyDescent="0.2">
      <c r="B509" s="90" t="str">
        <f t="shared" si="69"/>
        <v>MACROMEDIDORES</v>
      </c>
      <c r="C509" s="90">
        <f t="shared" si="69"/>
        <v>5</v>
      </c>
      <c r="D509" s="95">
        <f t="shared" si="69"/>
        <v>4</v>
      </c>
      <c r="E509" s="96">
        <f>+E385</f>
        <v>18198458.295112241</v>
      </c>
      <c r="F509" s="93">
        <f>+VLOOKUP(C509,'INV POIR PPERDIDAS'!$C$4:$F$123,4,FALSE)</f>
        <v>23</v>
      </c>
      <c r="G509" s="97">
        <f>+'INV POIR PPERDIDAS'!C$126</f>
        <v>53998308</v>
      </c>
      <c r="H509" s="97">
        <f>+'INV POIR PPERDIDAS'!D$126</f>
        <v>56894335.679999992</v>
      </c>
      <c r="I509" s="97">
        <f>+'INV POIR PPERDIDAS'!E$126</f>
        <v>59253219.840000004</v>
      </c>
      <c r="J509" s="97">
        <f>+'INV POIR PPERDIDAS'!F$126</f>
        <v>61613804.039999999</v>
      </c>
      <c r="K509" s="97">
        <f>+'INV POIR PPERDIDAS'!G$126</f>
        <v>63980742.840000004</v>
      </c>
      <c r="L509" s="97">
        <f>+'INV POIR PPERDIDAS'!H$126</f>
        <v>66048339.600000009</v>
      </c>
      <c r="M509" s="97">
        <f>+'INV POIR PPERDIDAS'!I$126</f>
        <v>67860109.199999988</v>
      </c>
      <c r="N509" s="97">
        <f>+'INV POIR PPERDIDAS'!J$126</f>
        <v>69763098.239999995</v>
      </c>
      <c r="O509" s="97">
        <f>+'INV POIR PPERDIDAS'!K$126</f>
        <v>71680074.24000001</v>
      </c>
      <c r="P509" s="97">
        <f>+'INV POIR PPERDIDAS'!L$126</f>
        <v>73651119.359999999</v>
      </c>
    </row>
    <row r="510" spans="2:17" x14ac:dyDescent="0.2">
      <c r="B510" s="90" t="str">
        <f t="shared" si="69"/>
        <v>MACROMEDIDORES</v>
      </c>
      <c r="C510" s="90">
        <f t="shared" si="69"/>
        <v>6</v>
      </c>
      <c r="D510" s="95">
        <f t="shared" si="69"/>
        <v>5</v>
      </c>
      <c r="E510" s="96">
        <f>+E386</f>
        <v>0</v>
      </c>
      <c r="F510" s="93">
        <f>+VLOOKUP(C510,'INV POIR PPERDIDAS'!$C$4:$F$123,4,FALSE)</f>
        <v>23</v>
      </c>
      <c r="G510" s="97">
        <f>+'INV POIR PPERDIDAS'!C$126</f>
        <v>53998308</v>
      </c>
      <c r="H510" s="97">
        <f>+'INV POIR PPERDIDAS'!D$126</f>
        <v>56894335.679999992</v>
      </c>
      <c r="I510" s="97">
        <f>+'INV POIR PPERDIDAS'!E$126</f>
        <v>59253219.840000004</v>
      </c>
      <c r="J510" s="97">
        <f>+'INV POIR PPERDIDAS'!F$126</f>
        <v>61613804.039999999</v>
      </c>
      <c r="K510" s="97">
        <f>+'INV POIR PPERDIDAS'!G$126</f>
        <v>63980742.840000004</v>
      </c>
      <c r="L510" s="97">
        <f>+'INV POIR PPERDIDAS'!H$126</f>
        <v>66048339.600000009</v>
      </c>
      <c r="M510" s="97">
        <f>+'INV POIR PPERDIDAS'!I$126</f>
        <v>67860109.199999988</v>
      </c>
      <c r="N510" s="97">
        <f>+'INV POIR PPERDIDAS'!J$126</f>
        <v>69763098.239999995</v>
      </c>
      <c r="O510" s="97">
        <f>+'INV POIR PPERDIDAS'!K$126</f>
        <v>71680074.24000001</v>
      </c>
      <c r="P510" s="97">
        <f>+'INV POIR PPERDIDAS'!L$126</f>
        <v>73651119.359999999</v>
      </c>
    </row>
    <row r="511" spans="2:17" x14ac:dyDescent="0.2">
      <c r="B511" s="90" t="str">
        <f t="shared" si="69"/>
        <v>MACROMEDIDORES</v>
      </c>
      <c r="C511" s="90">
        <f t="shared" si="69"/>
        <v>7</v>
      </c>
      <c r="D511" s="95">
        <f t="shared" si="69"/>
        <v>6</v>
      </c>
      <c r="E511" s="96">
        <f t="shared" si="69"/>
        <v>42323102.712381244</v>
      </c>
      <c r="F511" s="93">
        <f>+VLOOKUP(C511,'INV POIR PPERDIDAS'!$C$4:$F$123,4,FALSE)</f>
        <v>23</v>
      </c>
      <c r="G511" s="97">
        <f>+'INV POIR PPERDIDAS'!C$126</f>
        <v>53998308</v>
      </c>
      <c r="H511" s="97">
        <f>+'INV POIR PPERDIDAS'!D$126</f>
        <v>56894335.679999992</v>
      </c>
      <c r="I511" s="97">
        <f>+'INV POIR PPERDIDAS'!E$126</f>
        <v>59253219.840000004</v>
      </c>
      <c r="J511" s="97">
        <f>+'INV POIR PPERDIDAS'!F$126</f>
        <v>61613804.039999999</v>
      </c>
      <c r="K511" s="97">
        <f>+'INV POIR PPERDIDAS'!G$126</f>
        <v>63980742.840000004</v>
      </c>
      <c r="L511" s="97">
        <f>+'INV POIR PPERDIDAS'!H$126</f>
        <v>66048339.600000009</v>
      </c>
      <c r="M511" s="97">
        <f>+'INV POIR PPERDIDAS'!I$126</f>
        <v>67860109.199999988</v>
      </c>
      <c r="N511" s="97">
        <f>+'INV POIR PPERDIDAS'!J$126</f>
        <v>69763098.239999995</v>
      </c>
      <c r="O511" s="97">
        <f>+'INV POIR PPERDIDAS'!K$126</f>
        <v>71680074.24000001</v>
      </c>
      <c r="P511" s="97">
        <f>+'INV POIR PPERDIDAS'!L$126</f>
        <v>73651119.359999999</v>
      </c>
    </row>
    <row r="512" spans="2:17" x14ac:dyDescent="0.2">
      <c r="B512" s="90" t="str">
        <f t="shared" si="69"/>
        <v>MACROMEDIDORES</v>
      </c>
      <c r="C512" s="90">
        <f t="shared" si="69"/>
        <v>8</v>
      </c>
      <c r="D512" s="95">
        <f t="shared" si="69"/>
        <v>7</v>
      </c>
      <c r="E512" s="96">
        <f t="shared" si="69"/>
        <v>19671246.467960708</v>
      </c>
      <c r="F512" s="93">
        <f>+VLOOKUP(C512,'INV POIR PPERDIDAS'!$C$4:$F$123,4,FALSE)</f>
        <v>23</v>
      </c>
      <c r="G512" s="97">
        <f>+'INV POIR PPERDIDAS'!C$126</f>
        <v>53998308</v>
      </c>
      <c r="H512" s="97">
        <f>+'INV POIR PPERDIDAS'!D$126</f>
        <v>56894335.679999992</v>
      </c>
      <c r="I512" s="97">
        <f>+'INV POIR PPERDIDAS'!E$126</f>
        <v>59253219.840000004</v>
      </c>
      <c r="J512" s="97">
        <f>+'INV POIR PPERDIDAS'!F$126</f>
        <v>61613804.039999999</v>
      </c>
      <c r="K512" s="97">
        <f>+'INV POIR PPERDIDAS'!G$126</f>
        <v>63980742.840000004</v>
      </c>
      <c r="L512" s="97">
        <f>+'INV POIR PPERDIDAS'!H$126</f>
        <v>66048339.600000009</v>
      </c>
      <c r="M512" s="97">
        <f>+'INV POIR PPERDIDAS'!I$126</f>
        <v>67860109.199999988</v>
      </c>
      <c r="N512" s="97">
        <f>+'INV POIR PPERDIDAS'!J$126</f>
        <v>69763098.239999995</v>
      </c>
      <c r="O512" s="97">
        <f>+'INV POIR PPERDIDAS'!K$126</f>
        <v>71680074.24000001</v>
      </c>
      <c r="P512" s="97">
        <f>+'INV POIR PPERDIDAS'!L$126</f>
        <v>73651119.359999999</v>
      </c>
    </row>
    <row r="513" spans="2:16" x14ac:dyDescent="0.2">
      <c r="B513" s="90" t="str">
        <f t="shared" si="69"/>
        <v>MACROMEDIDORES</v>
      </c>
      <c r="C513" s="90">
        <f t="shared" si="69"/>
        <v>9</v>
      </c>
      <c r="D513" s="95">
        <f t="shared" si="69"/>
        <v>8</v>
      </c>
      <c r="E513" s="96">
        <f t="shared" si="69"/>
        <v>0</v>
      </c>
      <c r="F513" s="93">
        <f>+VLOOKUP(C513,'INV POIR PPERDIDAS'!$C$4:$F$123,4,FALSE)</f>
        <v>23</v>
      </c>
      <c r="G513" s="97">
        <f>+'INV POIR PPERDIDAS'!C$126</f>
        <v>53998308</v>
      </c>
      <c r="H513" s="97">
        <f>+'INV POIR PPERDIDAS'!D$126</f>
        <v>56894335.679999992</v>
      </c>
      <c r="I513" s="97">
        <f>+'INV POIR PPERDIDAS'!E$126</f>
        <v>59253219.840000004</v>
      </c>
      <c r="J513" s="97">
        <f>+'INV POIR PPERDIDAS'!F$126</f>
        <v>61613804.039999999</v>
      </c>
      <c r="K513" s="97">
        <f>+'INV POIR PPERDIDAS'!G$126</f>
        <v>63980742.840000004</v>
      </c>
      <c r="L513" s="97">
        <f>+'INV POIR PPERDIDAS'!H$126</f>
        <v>66048339.600000009</v>
      </c>
      <c r="M513" s="97">
        <f>+'INV POIR PPERDIDAS'!I$126</f>
        <v>67860109.199999988</v>
      </c>
      <c r="N513" s="97">
        <f>+'INV POIR PPERDIDAS'!J$126</f>
        <v>69763098.239999995</v>
      </c>
      <c r="O513" s="97">
        <f>+'INV POIR PPERDIDAS'!K$126</f>
        <v>71680074.24000001</v>
      </c>
      <c r="P513" s="97">
        <f>+'INV POIR PPERDIDAS'!L$126</f>
        <v>73651119.359999999</v>
      </c>
    </row>
    <row r="514" spans="2:16" x14ac:dyDescent="0.2">
      <c r="B514" s="90" t="str">
        <f t="shared" si="69"/>
        <v>MACROMEDIDORES</v>
      </c>
      <c r="C514" s="90">
        <f t="shared" si="69"/>
        <v>10</v>
      </c>
      <c r="D514" s="95">
        <f t="shared" si="69"/>
        <v>9</v>
      </c>
      <c r="E514" s="96">
        <f t="shared" si="69"/>
        <v>4549614.5737780603</v>
      </c>
      <c r="F514" s="93">
        <f>+VLOOKUP(C514,'INV POIR PPERDIDAS'!$C$4:$F$123,4,FALSE)</f>
        <v>23</v>
      </c>
      <c r="G514" s="97">
        <f>+'INV POIR PPERDIDAS'!C$126</f>
        <v>53998308</v>
      </c>
      <c r="H514" s="97">
        <f>+'INV POIR PPERDIDAS'!D$126</f>
        <v>56894335.679999992</v>
      </c>
      <c r="I514" s="97">
        <f>+'INV POIR PPERDIDAS'!E$126</f>
        <v>59253219.840000004</v>
      </c>
      <c r="J514" s="97">
        <f>+'INV POIR PPERDIDAS'!F$126</f>
        <v>61613804.039999999</v>
      </c>
      <c r="K514" s="97">
        <f>+'INV POIR PPERDIDAS'!G$126</f>
        <v>63980742.840000004</v>
      </c>
      <c r="L514" s="97">
        <f>+'INV POIR PPERDIDAS'!H$126</f>
        <v>66048339.600000009</v>
      </c>
      <c r="M514" s="97">
        <f>+'INV POIR PPERDIDAS'!I$126</f>
        <v>67860109.199999988</v>
      </c>
      <c r="N514" s="97">
        <f>+'INV POIR PPERDIDAS'!J$126</f>
        <v>69763098.239999995</v>
      </c>
      <c r="O514" s="97">
        <f>+'INV POIR PPERDIDAS'!K$126</f>
        <v>71680074.24000001</v>
      </c>
      <c r="P514" s="97">
        <f>+'INV POIR PPERDIDAS'!L$126</f>
        <v>73651119.359999999</v>
      </c>
    </row>
    <row r="515" spans="2:16" x14ac:dyDescent="0.2">
      <c r="B515" s="90" t="str">
        <f t="shared" si="69"/>
        <v>MACROMEDIDORES</v>
      </c>
      <c r="C515" s="90">
        <f t="shared" si="69"/>
        <v>11</v>
      </c>
      <c r="D515" s="95">
        <f t="shared" si="69"/>
        <v>10</v>
      </c>
      <c r="E515" s="96">
        <f t="shared" si="69"/>
        <v>0</v>
      </c>
      <c r="F515" s="93">
        <f>+VLOOKUP(C515,'INV POIR PPERDIDAS'!$C$4:$F$123,4,FALSE)</f>
        <v>23</v>
      </c>
      <c r="G515" s="97">
        <f>+'INV POIR PPERDIDAS'!C$126</f>
        <v>53998308</v>
      </c>
      <c r="H515" s="97">
        <f>+'INV POIR PPERDIDAS'!D$126</f>
        <v>56894335.679999992</v>
      </c>
      <c r="I515" s="97">
        <f>+'INV POIR PPERDIDAS'!E$126</f>
        <v>59253219.840000004</v>
      </c>
      <c r="J515" s="97">
        <f>+'INV POIR PPERDIDAS'!F$126</f>
        <v>61613804.039999999</v>
      </c>
      <c r="K515" s="97">
        <f>+'INV POIR PPERDIDAS'!G$126</f>
        <v>63980742.840000004</v>
      </c>
      <c r="L515" s="97">
        <f>+'INV POIR PPERDIDAS'!H$126</f>
        <v>66048339.600000009</v>
      </c>
      <c r="M515" s="97">
        <f>+'INV POIR PPERDIDAS'!I$126</f>
        <v>67860109.199999988</v>
      </c>
      <c r="N515" s="97">
        <f>+'INV POIR PPERDIDAS'!J$126</f>
        <v>69763098.239999995</v>
      </c>
      <c r="O515" s="97">
        <f>+'INV POIR PPERDIDAS'!K$126</f>
        <v>71680074.24000001</v>
      </c>
      <c r="P515" s="97">
        <f>+'INV POIR PPERDIDAS'!L$126</f>
        <v>73651119.359999999</v>
      </c>
    </row>
    <row r="516" spans="2:16" x14ac:dyDescent="0.2">
      <c r="B516" s="90" t="str">
        <f t="shared" si="69"/>
        <v>MACROMEDIDORES</v>
      </c>
      <c r="C516" s="90">
        <f t="shared" si="69"/>
        <v>12</v>
      </c>
      <c r="D516" s="95">
        <f t="shared" si="69"/>
        <v>0</v>
      </c>
      <c r="E516" s="96">
        <f t="shared" si="69"/>
        <v>0</v>
      </c>
      <c r="F516" s="93">
        <f>+VLOOKUP(C516,'INV POIR PPERDIDAS'!$C$4:$F$123,4,FALSE)</f>
        <v>23</v>
      </c>
      <c r="G516" s="97">
        <f>+'INV POIR PPERDIDAS'!C$126</f>
        <v>53998308</v>
      </c>
      <c r="H516" s="97">
        <f>+'INV POIR PPERDIDAS'!D$126</f>
        <v>56894335.679999992</v>
      </c>
      <c r="I516" s="97">
        <f>+'INV POIR PPERDIDAS'!E$126</f>
        <v>59253219.840000004</v>
      </c>
      <c r="J516" s="97">
        <f>+'INV POIR PPERDIDAS'!F$126</f>
        <v>61613804.039999999</v>
      </c>
      <c r="K516" s="97">
        <f>+'INV POIR PPERDIDAS'!G$126</f>
        <v>63980742.840000004</v>
      </c>
      <c r="L516" s="97">
        <f>+'INV POIR PPERDIDAS'!H$126</f>
        <v>66048339.600000009</v>
      </c>
      <c r="M516" s="97">
        <f>+'INV POIR PPERDIDAS'!I$126</f>
        <v>67860109.199999988</v>
      </c>
      <c r="N516" s="97">
        <f>+'INV POIR PPERDIDAS'!J$126</f>
        <v>69763098.239999995</v>
      </c>
      <c r="O516" s="97">
        <f>+'INV POIR PPERDIDAS'!K$126</f>
        <v>71680074.24000001</v>
      </c>
      <c r="P516" s="97">
        <f>+'INV POIR PPERDIDAS'!L$126</f>
        <v>73651119.359999999</v>
      </c>
    </row>
    <row r="517" spans="2:16" x14ac:dyDescent="0.2">
      <c r="B517" s="90" t="str">
        <f t="shared" si="69"/>
        <v>MACROMEDIDORES</v>
      </c>
      <c r="C517" s="90">
        <f t="shared" si="69"/>
        <v>13</v>
      </c>
      <c r="D517" s="95">
        <f t="shared" si="69"/>
        <v>1</v>
      </c>
      <c r="E517" s="96">
        <f t="shared" si="69"/>
        <v>290927089.32178879</v>
      </c>
      <c r="F517" s="93">
        <f>+VLOOKUP(C517,'INV POIR PPERDIDAS'!$C$4:$F$123,4,FALSE)</f>
        <v>23</v>
      </c>
      <c r="G517" s="97">
        <f>+'INV POIR PPERDIDAS'!C$126</f>
        <v>53998308</v>
      </c>
      <c r="H517" s="97">
        <f>+'INV POIR PPERDIDAS'!D$126</f>
        <v>56894335.679999992</v>
      </c>
      <c r="I517" s="97">
        <f>+'INV POIR PPERDIDAS'!E$126</f>
        <v>59253219.840000004</v>
      </c>
      <c r="J517" s="97">
        <f>+'INV POIR PPERDIDAS'!F$126</f>
        <v>61613804.039999999</v>
      </c>
      <c r="K517" s="97">
        <f>+'INV POIR PPERDIDAS'!G$126</f>
        <v>63980742.840000004</v>
      </c>
      <c r="L517" s="97">
        <f>+'INV POIR PPERDIDAS'!H$126</f>
        <v>66048339.600000009</v>
      </c>
      <c r="M517" s="97">
        <f>+'INV POIR PPERDIDAS'!I$126</f>
        <v>67860109.199999988</v>
      </c>
      <c r="N517" s="97">
        <f>+'INV POIR PPERDIDAS'!J$126</f>
        <v>69763098.239999995</v>
      </c>
      <c r="O517" s="97">
        <f>+'INV POIR PPERDIDAS'!K$126</f>
        <v>71680074.24000001</v>
      </c>
      <c r="P517" s="97">
        <f>+'INV POIR PPERDIDAS'!L$126</f>
        <v>73651119.359999999</v>
      </c>
    </row>
    <row r="518" spans="2:16" x14ac:dyDescent="0.2">
      <c r="B518" s="90" t="str">
        <f t="shared" si="69"/>
        <v>MACROMEDIDORES</v>
      </c>
      <c r="C518" s="90">
        <f t="shared" si="69"/>
        <v>14</v>
      </c>
      <c r="D518" s="95">
        <f t="shared" si="69"/>
        <v>2</v>
      </c>
      <c r="E518" s="96">
        <f t="shared" si="69"/>
        <v>424438265.6717186</v>
      </c>
      <c r="F518" s="93">
        <f>+VLOOKUP(C518,'INV POIR PPERDIDAS'!$C$4:$F$123,4,FALSE)</f>
        <v>23</v>
      </c>
      <c r="G518" s="97">
        <f>+'INV POIR PPERDIDAS'!C$126</f>
        <v>53998308</v>
      </c>
      <c r="H518" s="97">
        <f>+'INV POIR PPERDIDAS'!D$126</f>
        <v>56894335.679999992</v>
      </c>
      <c r="I518" s="97">
        <f>+'INV POIR PPERDIDAS'!E$126</f>
        <v>59253219.840000004</v>
      </c>
      <c r="J518" s="97">
        <f>+'INV POIR PPERDIDAS'!F$126</f>
        <v>61613804.039999999</v>
      </c>
      <c r="K518" s="97">
        <f>+'INV POIR PPERDIDAS'!G$126</f>
        <v>63980742.840000004</v>
      </c>
      <c r="L518" s="97">
        <f>+'INV POIR PPERDIDAS'!H$126</f>
        <v>66048339.600000009</v>
      </c>
      <c r="M518" s="97">
        <f>+'INV POIR PPERDIDAS'!I$126</f>
        <v>67860109.199999988</v>
      </c>
      <c r="N518" s="97">
        <f>+'INV POIR PPERDIDAS'!J$126</f>
        <v>69763098.239999995</v>
      </c>
      <c r="O518" s="97">
        <f>+'INV POIR PPERDIDAS'!K$126</f>
        <v>71680074.24000001</v>
      </c>
      <c r="P518" s="97">
        <f>+'INV POIR PPERDIDAS'!L$126</f>
        <v>73651119.359999999</v>
      </c>
    </row>
    <row r="519" spans="2:16" x14ac:dyDescent="0.2">
      <c r="B519" s="90" t="str">
        <f t="shared" si="69"/>
        <v>MACROMEDIDORES</v>
      </c>
      <c r="C519" s="90">
        <f t="shared" si="69"/>
        <v>15</v>
      </c>
      <c r="D519" s="95">
        <f t="shared" si="69"/>
        <v>3</v>
      </c>
      <c r="E519" s="96">
        <f t="shared" si="69"/>
        <v>342730027.12324625</v>
      </c>
      <c r="F519" s="93">
        <f>+VLOOKUP(C519,'INV POIR PPERDIDAS'!$C$4:$F$123,4,FALSE)</f>
        <v>23</v>
      </c>
      <c r="G519" s="97">
        <f>+'INV POIR PPERDIDAS'!C$126</f>
        <v>53998308</v>
      </c>
      <c r="H519" s="97">
        <f>+'INV POIR PPERDIDAS'!D$126</f>
        <v>56894335.679999992</v>
      </c>
      <c r="I519" s="97">
        <f>+'INV POIR PPERDIDAS'!E$126</f>
        <v>59253219.840000004</v>
      </c>
      <c r="J519" s="97">
        <f>+'INV POIR PPERDIDAS'!F$126</f>
        <v>61613804.039999999</v>
      </c>
      <c r="K519" s="97">
        <f>+'INV POIR PPERDIDAS'!G$126</f>
        <v>63980742.840000004</v>
      </c>
      <c r="L519" s="97">
        <f>+'INV POIR PPERDIDAS'!H$126</f>
        <v>66048339.600000009</v>
      </c>
      <c r="M519" s="97">
        <f>+'INV POIR PPERDIDAS'!I$126</f>
        <v>67860109.199999988</v>
      </c>
      <c r="N519" s="97">
        <f>+'INV POIR PPERDIDAS'!J$126</f>
        <v>69763098.239999995</v>
      </c>
      <c r="O519" s="97">
        <f>+'INV POIR PPERDIDAS'!K$126</f>
        <v>71680074.24000001</v>
      </c>
      <c r="P519" s="97">
        <f>+'INV POIR PPERDIDAS'!L$126</f>
        <v>73651119.359999999</v>
      </c>
    </row>
    <row r="520" spans="2:16" x14ac:dyDescent="0.2">
      <c r="B520" s="90" t="str">
        <f t="shared" si="69"/>
        <v>MACROMEDIDORES</v>
      </c>
      <c r="C520" s="90">
        <f t="shared" si="69"/>
        <v>16</v>
      </c>
      <c r="D520" s="95">
        <f t="shared" si="69"/>
        <v>4</v>
      </c>
      <c r="E520" s="96">
        <f t="shared" si="69"/>
        <v>587965242.50099516</v>
      </c>
      <c r="F520" s="93">
        <f>+VLOOKUP(C520,'INV POIR PPERDIDAS'!$C$4:$F$123,4,FALSE)</f>
        <v>23</v>
      </c>
      <c r="G520" s="97">
        <f>+'INV POIR PPERDIDAS'!C$126</f>
        <v>53998308</v>
      </c>
      <c r="H520" s="97">
        <f>+'INV POIR PPERDIDAS'!D$126</f>
        <v>56894335.679999992</v>
      </c>
      <c r="I520" s="97">
        <f>+'INV POIR PPERDIDAS'!E$126</f>
        <v>59253219.840000004</v>
      </c>
      <c r="J520" s="97">
        <f>+'INV POIR PPERDIDAS'!F$126</f>
        <v>61613804.039999999</v>
      </c>
      <c r="K520" s="97">
        <f>+'INV POIR PPERDIDAS'!G$126</f>
        <v>63980742.840000004</v>
      </c>
      <c r="L520" s="97">
        <f>+'INV POIR PPERDIDAS'!H$126</f>
        <v>66048339.600000009</v>
      </c>
      <c r="M520" s="97">
        <f>+'INV POIR PPERDIDAS'!I$126</f>
        <v>67860109.199999988</v>
      </c>
      <c r="N520" s="97">
        <f>+'INV POIR PPERDIDAS'!J$126</f>
        <v>69763098.239999995</v>
      </c>
      <c r="O520" s="97">
        <f>+'INV POIR PPERDIDAS'!K$126</f>
        <v>71680074.24000001</v>
      </c>
      <c r="P520" s="97">
        <f>+'INV POIR PPERDIDAS'!L$126</f>
        <v>73651119.359999999</v>
      </c>
    </row>
    <row r="521" spans="2:16" x14ac:dyDescent="0.2">
      <c r="B521" s="90" t="str">
        <f t="shared" si="69"/>
        <v>MACROMEDIDORES</v>
      </c>
      <c r="C521" s="90">
        <f t="shared" si="69"/>
        <v>17</v>
      </c>
      <c r="D521" s="95">
        <f t="shared" si="69"/>
        <v>5</v>
      </c>
      <c r="E521" s="96">
        <f t="shared" si="69"/>
        <v>162198079.49906781</v>
      </c>
      <c r="F521" s="93">
        <f>+VLOOKUP(C521,'INV POIR PPERDIDAS'!$C$4:$F$123,4,FALSE)</f>
        <v>23</v>
      </c>
      <c r="G521" s="97">
        <f>+'INV POIR PPERDIDAS'!C$126</f>
        <v>53998308</v>
      </c>
      <c r="H521" s="97">
        <f>+'INV POIR PPERDIDAS'!D$126</f>
        <v>56894335.679999992</v>
      </c>
      <c r="I521" s="97">
        <f>+'INV POIR PPERDIDAS'!E$126</f>
        <v>59253219.840000004</v>
      </c>
      <c r="J521" s="97">
        <f>+'INV POIR PPERDIDAS'!F$126</f>
        <v>61613804.039999999</v>
      </c>
      <c r="K521" s="97">
        <f>+'INV POIR PPERDIDAS'!G$126</f>
        <v>63980742.840000004</v>
      </c>
      <c r="L521" s="97">
        <f>+'INV POIR PPERDIDAS'!H$126</f>
        <v>66048339.600000009</v>
      </c>
      <c r="M521" s="97">
        <f>+'INV POIR PPERDIDAS'!I$126</f>
        <v>67860109.199999988</v>
      </c>
      <c r="N521" s="97">
        <f>+'INV POIR PPERDIDAS'!J$126</f>
        <v>69763098.239999995</v>
      </c>
      <c r="O521" s="97">
        <f>+'INV POIR PPERDIDAS'!K$126</f>
        <v>71680074.24000001</v>
      </c>
      <c r="P521" s="97">
        <f>+'INV POIR PPERDIDAS'!L$126</f>
        <v>73651119.359999999</v>
      </c>
    </row>
    <row r="522" spans="2:16" x14ac:dyDescent="0.2">
      <c r="B522" s="90" t="str">
        <f t="shared" ref="B522:E537" si="70">+B398</f>
        <v>MACROMEDIDORES</v>
      </c>
      <c r="C522" s="90">
        <f t="shared" si="70"/>
        <v>18</v>
      </c>
      <c r="D522" s="95">
        <f t="shared" si="70"/>
        <v>6</v>
      </c>
      <c r="E522" s="96">
        <f t="shared" si="70"/>
        <v>57444734.606563888</v>
      </c>
      <c r="F522" s="93">
        <f>+VLOOKUP(C522,'INV POIR PPERDIDAS'!$C$4:$F$123,4,FALSE)</f>
        <v>23</v>
      </c>
      <c r="G522" s="97">
        <f>+'INV POIR PPERDIDAS'!C$126</f>
        <v>53998308</v>
      </c>
      <c r="H522" s="97">
        <f>+'INV POIR PPERDIDAS'!D$126</f>
        <v>56894335.679999992</v>
      </c>
      <c r="I522" s="97">
        <f>+'INV POIR PPERDIDAS'!E$126</f>
        <v>59253219.840000004</v>
      </c>
      <c r="J522" s="97">
        <f>+'INV POIR PPERDIDAS'!F$126</f>
        <v>61613804.039999999</v>
      </c>
      <c r="K522" s="97">
        <f>+'INV POIR PPERDIDAS'!G$126</f>
        <v>63980742.840000004</v>
      </c>
      <c r="L522" s="97">
        <f>+'INV POIR PPERDIDAS'!H$126</f>
        <v>66048339.600000009</v>
      </c>
      <c r="M522" s="97">
        <f>+'INV POIR PPERDIDAS'!I$126</f>
        <v>67860109.199999988</v>
      </c>
      <c r="N522" s="97">
        <f>+'INV POIR PPERDIDAS'!J$126</f>
        <v>69763098.239999995</v>
      </c>
      <c r="O522" s="97">
        <f>+'INV POIR PPERDIDAS'!K$126</f>
        <v>71680074.24000001</v>
      </c>
      <c r="P522" s="97">
        <f>+'INV POIR PPERDIDAS'!L$126</f>
        <v>73651119.359999999</v>
      </c>
    </row>
    <row r="523" spans="2:16" x14ac:dyDescent="0.2">
      <c r="B523" s="90" t="str">
        <f t="shared" si="70"/>
        <v>MACROMEDIDORES</v>
      </c>
      <c r="C523" s="90">
        <f t="shared" si="70"/>
        <v>19</v>
      </c>
      <c r="D523" s="95">
        <f t="shared" si="70"/>
        <v>7</v>
      </c>
      <c r="E523" s="96">
        <f t="shared" si="70"/>
        <v>0</v>
      </c>
      <c r="F523" s="93">
        <f>+VLOOKUP(C523,'INV POIR PPERDIDAS'!$C$4:$F$123,4,FALSE)</f>
        <v>23</v>
      </c>
      <c r="G523" s="97">
        <f>+'INV POIR PPERDIDAS'!C$126</f>
        <v>53998308</v>
      </c>
      <c r="H523" s="97">
        <f>+'INV POIR PPERDIDAS'!D$126</f>
        <v>56894335.679999992</v>
      </c>
      <c r="I523" s="97">
        <f>+'INV POIR PPERDIDAS'!E$126</f>
        <v>59253219.840000004</v>
      </c>
      <c r="J523" s="97">
        <f>+'INV POIR PPERDIDAS'!F$126</f>
        <v>61613804.039999999</v>
      </c>
      <c r="K523" s="97">
        <f>+'INV POIR PPERDIDAS'!G$126</f>
        <v>63980742.840000004</v>
      </c>
      <c r="L523" s="97">
        <f>+'INV POIR PPERDIDAS'!H$126</f>
        <v>66048339.600000009</v>
      </c>
      <c r="M523" s="97">
        <f>+'INV POIR PPERDIDAS'!I$126</f>
        <v>67860109.199999988</v>
      </c>
      <c r="N523" s="97">
        <f>+'INV POIR PPERDIDAS'!J$126</f>
        <v>69763098.239999995</v>
      </c>
      <c r="O523" s="97">
        <f>+'INV POIR PPERDIDAS'!K$126</f>
        <v>71680074.24000001</v>
      </c>
      <c r="P523" s="97">
        <f>+'INV POIR PPERDIDAS'!L$126</f>
        <v>73651119.359999999</v>
      </c>
    </row>
    <row r="524" spans="2:16" x14ac:dyDescent="0.2">
      <c r="B524" s="90" t="str">
        <f t="shared" si="70"/>
        <v>MACROMEDIDORES</v>
      </c>
      <c r="C524" s="90">
        <f t="shared" si="70"/>
        <v>20</v>
      </c>
      <c r="D524" s="95">
        <f t="shared" si="70"/>
        <v>8</v>
      </c>
      <c r="E524" s="96">
        <f t="shared" si="70"/>
        <v>0</v>
      </c>
      <c r="F524" s="93">
        <f>+VLOOKUP(C524,'INV POIR PPERDIDAS'!$C$4:$F$123,4,FALSE)</f>
        <v>23</v>
      </c>
      <c r="G524" s="97">
        <f>+'INV POIR PPERDIDAS'!C$126</f>
        <v>53998308</v>
      </c>
      <c r="H524" s="97">
        <f>+'INV POIR PPERDIDAS'!D$126</f>
        <v>56894335.679999992</v>
      </c>
      <c r="I524" s="97">
        <f>+'INV POIR PPERDIDAS'!E$126</f>
        <v>59253219.840000004</v>
      </c>
      <c r="J524" s="97">
        <f>+'INV POIR PPERDIDAS'!F$126</f>
        <v>61613804.039999999</v>
      </c>
      <c r="K524" s="97">
        <f>+'INV POIR PPERDIDAS'!G$126</f>
        <v>63980742.840000004</v>
      </c>
      <c r="L524" s="97">
        <f>+'INV POIR PPERDIDAS'!H$126</f>
        <v>66048339.600000009</v>
      </c>
      <c r="M524" s="97">
        <f>+'INV POIR PPERDIDAS'!I$126</f>
        <v>67860109.199999988</v>
      </c>
      <c r="N524" s="97">
        <f>+'INV POIR PPERDIDAS'!J$126</f>
        <v>69763098.239999995</v>
      </c>
      <c r="O524" s="97">
        <f>+'INV POIR PPERDIDAS'!K$126</f>
        <v>71680074.24000001</v>
      </c>
      <c r="P524" s="97">
        <f>+'INV POIR PPERDIDAS'!L$126</f>
        <v>73651119.359999999</v>
      </c>
    </row>
    <row r="525" spans="2:16" x14ac:dyDescent="0.2">
      <c r="B525" s="90" t="str">
        <f t="shared" si="70"/>
        <v>MACROMEDIDORES</v>
      </c>
      <c r="C525" s="90">
        <f t="shared" si="70"/>
        <v>21</v>
      </c>
      <c r="D525" s="95">
        <f t="shared" si="70"/>
        <v>9</v>
      </c>
      <c r="E525" s="96">
        <f t="shared" si="70"/>
        <v>0</v>
      </c>
      <c r="F525" s="93">
        <f>+VLOOKUP(C525,'INV POIR PPERDIDAS'!$C$4:$F$123,4,FALSE)</f>
        <v>23</v>
      </c>
      <c r="G525" s="97">
        <f>+'INV POIR PPERDIDAS'!C$126</f>
        <v>53998308</v>
      </c>
      <c r="H525" s="97">
        <f>+'INV POIR PPERDIDAS'!D$126</f>
        <v>56894335.679999992</v>
      </c>
      <c r="I525" s="97">
        <f>+'INV POIR PPERDIDAS'!E$126</f>
        <v>59253219.840000004</v>
      </c>
      <c r="J525" s="97">
        <f>+'INV POIR PPERDIDAS'!F$126</f>
        <v>61613804.039999999</v>
      </c>
      <c r="K525" s="97">
        <f>+'INV POIR PPERDIDAS'!G$126</f>
        <v>63980742.840000004</v>
      </c>
      <c r="L525" s="97">
        <f>+'INV POIR PPERDIDAS'!H$126</f>
        <v>66048339.600000009</v>
      </c>
      <c r="M525" s="97">
        <f>+'INV POIR PPERDIDAS'!I$126</f>
        <v>67860109.199999988</v>
      </c>
      <c r="N525" s="97">
        <f>+'INV POIR PPERDIDAS'!J$126</f>
        <v>69763098.239999995</v>
      </c>
      <c r="O525" s="97">
        <f>+'INV POIR PPERDIDAS'!K$126</f>
        <v>71680074.24000001</v>
      </c>
      <c r="P525" s="97">
        <f>+'INV POIR PPERDIDAS'!L$126</f>
        <v>73651119.359999999</v>
      </c>
    </row>
    <row r="526" spans="2:16" x14ac:dyDescent="0.2">
      <c r="B526" s="90" t="str">
        <f t="shared" si="70"/>
        <v>MACROMEDIDORES</v>
      </c>
      <c r="C526" s="90">
        <f t="shared" si="70"/>
        <v>22</v>
      </c>
      <c r="D526" s="95">
        <f t="shared" si="70"/>
        <v>10</v>
      </c>
      <c r="E526" s="96">
        <f t="shared" si="70"/>
        <v>0</v>
      </c>
      <c r="F526" s="93">
        <f>+VLOOKUP(C526,'INV POIR PPERDIDAS'!$C$4:$F$123,4,FALSE)</f>
        <v>23</v>
      </c>
      <c r="G526" s="97">
        <f>+'INV POIR PPERDIDAS'!C$126</f>
        <v>53998308</v>
      </c>
      <c r="H526" s="97">
        <f>+'INV POIR PPERDIDAS'!D$126</f>
        <v>56894335.679999992</v>
      </c>
      <c r="I526" s="97">
        <f>+'INV POIR PPERDIDAS'!E$126</f>
        <v>59253219.840000004</v>
      </c>
      <c r="J526" s="97">
        <f>+'INV POIR PPERDIDAS'!F$126</f>
        <v>61613804.039999999</v>
      </c>
      <c r="K526" s="97">
        <f>+'INV POIR PPERDIDAS'!G$126</f>
        <v>63980742.840000004</v>
      </c>
      <c r="L526" s="97">
        <f>+'INV POIR PPERDIDAS'!H$126</f>
        <v>66048339.600000009</v>
      </c>
      <c r="M526" s="97">
        <f>+'INV POIR PPERDIDAS'!I$126</f>
        <v>67860109.199999988</v>
      </c>
      <c r="N526" s="97">
        <f>+'INV POIR PPERDIDAS'!J$126</f>
        <v>69763098.239999995</v>
      </c>
      <c r="O526" s="97">
        <f>+'INV POIR PPERDIDAS'!K$126</f>
        <v>71680074.24000001</v>
      </c>
      <c r="P526" s="97">
        <f>+'INV POIR PPERDIDAS'!L$126</f>
        <v>73651119.359999999</v>
      </c>
    </row>
    <row r="527" spans="2:16" x14ac:dyDescent="0.2">
      <c r="B527" s="90" t="str">
        <f t="shared" si="70"/>
        <v>ESTACIONES REDUCTORAS DE PRESIÓN</v>
      </c>
      <c r="C527" s="90">
        <f t="shared" si="70"/>
        <v>23</v>
      </c>
      <c r="D527" s="95">
        <f t="shared" si="70"/>
        <v>0</v>
      </c>
      <c r="E527" s="96">
        <f t="shared" si="70"/>
        <v>0</v>
      </c>
      <c r="F527" s="93">
        <f>+VLOOKUP(C527,'INV POIR PPERDIDAS'!$C$4:$F$123,4,FALSE)</f>
        <v>35</v>
      </c>
      <c r="G527" s="97">
        <f>+'INV POIR PPERDIDAS'!C$126</f>
        <v>53998308</v>
      </c>
      <c r="H527" s="97">
        <f>+'INV POIR PPERDIDAS'!D$126</f>
        <v>56894335.679999992</v>
      </c>
      <c r="I527" s="97">
        <f>+'INV POIR PPERDIDAS'!E$126</f>
        <v>59253219.840000004</v>
      </c>
      <c r="J527" s="97">
        <f>+'INV POIR PPERDIDAS'!F$126</f>
        <v>61613804.039999999</v>
      </c>
      <c r="K527" s="97">
        <f>+'INV POIR PPERDIDAS'!G$126</f>
        <v>63980742.840000004</v>
      </c>
      <c r="L527" s="97">
        <f>+'INV POIR PPERDIDAS'!H$126</f>
        <v>66048339.600000009</v>
      </c>
      <c r="M527" s="97">
        <f>+'INV POIR PPERDIDAS'!I$126</f>
        <v>67860109.199999988</v>
      </c>
      <c r="N527" s="97">
        <f>+'INV POIR PPERDIDAS'!J$126</f>
        <v>69763098.239999995</v>
      </c>
      <c r="O527" s="97">
        <f>+'INV POIR PPERDIDAS'!K$126</f>
        <v>71680074.24000001</v>
      </c>
      <c r="P527" s="97">
        <f>+'INV POIR PPERDIDAS'!L$126</f>
        <v>73651119.359999999</v>
      </c>
    </row>
    <row r="528" spans="2:16" x14ac:dyDescent="0.2">
      <c r="B528" s="90" t="str">
        <f t="shared" si="70"/>
        <v>ESTACIONES REDUCTORAS DE PRESIÓN</v>
      </c>
      <c r="C528" s="90">
        <f t="shared" si="70"/>
        <v>24</v>
      </c>
      <c r="D528" s="95">
        <f t="shared" si="70"/>
        <v>1</v>
      </c>
      <c r="E528" s="96">
        <f t="shared" si="70"/>
        <v>457899884.58817512</v>
      </c>
      <c r="F528" s="93">
        <f>+VLOOKUP(C528,'INV POIR PPERDIDAS'!$C$4:$F$123,4,FALSE)</f>
        <v>35</v>
      </c>
      <c r="G528" s="97">
        <f>+'INV POIR PPERDIDAS'!C$126</f>
        <v>53998308</v>
      </c>
      <c r="H528" s="97">
        <f>+'INV POIR PPERDIDAS'!D$126</f>
        <v>56894335.679999992</v>
      </c>
      <c r="I528" s="97">
        <f>+'INV POIR PPERDIDAS'!E$126</f>
        <v>59253219.840000004</v>
      </c>
      <c r="J528" s="97">
        <f>+'INV POIR PPERDIDAS'!F$126</f>
        <v>61613804.039999999</v>
      </c>
      <c r="K528" s="97">
        <f>+'INV POIR PPERDIDAS'!G$126</f>
        <v>63980742.840000004</v>
      </c>
      <c r="L528" s="97">
        <f>+'INV POIR PPERDIDAS'!H$126</f>
        <v>66048339.600000009</v>
      </c>
      <c r="M528" s="97">
        <f>+'INV POIR PPERDIDAS'!I$126</f>
        <v>67860109.199999988</v>
      </c>
      <c r="N528" s="97">
        <f>+'INV POIR PPERDIDAS'!J$126</f>
        <v>69763098.239999995</v>
      </c>
      <c r="O528" s="97">
        <f>+'INV POIR PPERDIDAS'!K$126</f>
        <v>71680074.24000001</v>
      </c>
      <c r="P528" s="97">
        <f>+'INV POIR PPERDIDAS'!L$126</f>
        <v>73651119.359999999</v>
      </c>
    </row>
    <row r="529" spans="2:16" x14ac:dyDescent="0.2">
      <c r="B529" s="90" t="str">
        <f t="shared" si="70"/>
        <v>ESTACIONES REDUCTORAS DE PRESIÓN</v>
      </c>
      <c r="C529" s="90">
        <f t="shared" si="70"/>
        <v>25</v>
      </c>
      <c r="D529" s="95">
        <f t="shared" si="70"/>
        <v>2</v>
      </c>
      <c r="E529" s="96">
        <f t="shared" si="70"/>
        <v>501620585.24212873</v>
      </c>
      <c r="F529" s="93">
        <f>+VLOOKUP(C529,'INV POIR PPERDIDAS'!$C$4:$F$123,4,FALSE)</f>
        <v>35</v>
      </c>
      <c r="G529" s="97">
        <f>+'INV POIR PPERDIDAS'!C$126</f>
        <v>53998308</v>
      </c>
      <c r="H529" s="97">
        <f>+'INV POIR PPERDIDAS'!D$126</f>
        <v>56894335.679999992</v>
      </c>
      <c r="I529" s="97">
        <f>+'INV POIR PPERDIDAS'!E$126</f>
        <v>59253219.840000004</v>
      </c>
      <c r="J529" s="97">
        <f>+'INV POIR PPERDIDAS'!F$126</f>
        <v>61613804.039999999</v>
      </c>
      <c r="K529" s="97">
        <f>+'INV POIR PPERDIDAS'!G$126</f>
        <v>63980742.840000004</v>
      </c>
      <c r="L529" s="97">
        <f>+'INV POIR PPERDIDAS'!H$126</f>
        <v>66048339.600000009</v>
      </c>
      <c r="M529" s="97">
        <f>+'INV POIR PPERDIDAS'!I$126</f>
        <v>67860109.199999988</v>
      </c>
      <c r="N529" s="97">
        <f>+'INV POIR PPERDIDAS'!J$126</f>
        <v>69763098.239999995</v>
      </c>
      <c r="O529" s="97">
        <f>+'INV POIR PPERDIDAS'!K$126</f>
        <v>71680074.24000001</v>
      </c>
      <c r="P529" s="97">
        <f>+'INV POIR PPERDIDAS'!L$126</f>
        <v>73651119.359999999</v>
      </c>
    </row>
    <row r="530" spans="2:16" x14ac:dyDescent="0.2">
      <c r="B530" s="90" t="str">
        <f t="shared" si="70"/>
        <v>ESTACIONES REDUCTORAS DE PRESIÓN</v>
      </c>
      <c r="C530" s="90">
        <f t="shared" si="70"/>
        <v>26</v>
      </c>
      <c r="D530" s="95">
        <f t="shared" si="70"/>
        <v>3</v>
      </c>
      <c r="E530" s="96">
        <f t="shared" si="70"/>
        <v>338636003.59959525</v>
      </c>
      <c r="F530" s="93">
        <f>+VLOOKUP(C530,'INV POIR PPERDIDAS'!$C$4:$F$123,4,FALSE)</f>
        <v>35</v>
      </c>
      <c r="G530" s="97">
        <f>+'INV POIR PPERDIDAS'!C$126</f>
        <v>53998308</v>
      </c>
      <c r="H530" s="97">
        <f>+'INV POIR PPERDIDAS'!D$126</f>
        <v>56894335.679999992</v>
      </c>
      <c r="I530" s="97">
        <f>+'INV POIR PPERDIDAS'!E$126</f>
        <v>59253219.840000004</v>
      </c>
      <c r="J530" s="97">
        <f>+'INV POIR PPERDIDAS'!F$126</f>
        <v>61613804.039999999</v>
      </c>
      <c r="K530" s="97">
        <f>+'INV POIR PPERDIDAS'!G$126</f>
        <v>63980742.840000004</v>
      </c>
      <c r="L530" s="97">
        <f>+'INV POIR PPERDIDAS'!H$126</f>
        <v>66048339.600000009</v>
      </c>
      <c r="M530" s="97">
        <f>+'INV POIR PPERDIDAS'!I$126</f>
        <v>67860109.199999988</v>
      </c>
      <c r="N530" s="97">
        <f>+'INV POIR PPERDIDAS'!J$126</f>
        <v>69763098.239999995</v>
      </c>
      <c r="O530" s="97">
        <f>+'INV POIR PPERDIDAS'!K$126</f>
        <v>71680074.24000001</v>
      </c>
      <c r="P530" s="97">
        <f>+'INV POIR PPERDIDAS'!L$126</f>
        <v>73651119.359999999</v>
      </c>
    </row>
    <row r="531" spans="2:16" x14ac:dyDescent="0.2">
      <c r="B531" s="90" t="str">
        <f t="shared" si="70"/>
        <v>ESTACIONES REDUCTORAS DE PRESIÓN</v>
      </c>
      <c r="C531" s="90">
        <f t="shared" si="70"/>
        <v>27</v>
      </c>
      <c r="D531" s="95">
        <f t="shared" si="70"/>
        <v>4</v>
      </c>
      <c r="E531" s="96">
        <f t="shared" si="70"/>
        <v>42948911.034252018</v>
      </c>
      <c r="F531" s="93">
        <f>+VLOOKUP(C531,'INV POIR PPERDIDAS'!$C$4:$F$123,4,FALSE)</f>
        <v>35</v>
      </c>
      <c r="G531" s="97">
        <f>+'INV POIR PPERDIDAS'!C$126</f>
        <v>53998308</v>
      </c>
      <c r="H531" s="97">
        <f>+'INV POIR PPERDIDAS'!D$126</f>
        <v>56894335.679999992</v>
      </c>
      <c r="I531" s="97">
        <f>+'INV POIR PPERDIDAS'!E$126</f>
        <v>59253219.840000004</v>
      </c>
      <c r="J531" s="97">
        <f>+'INV POIR PPERDIDAS'!F$126</f>
        <v>61613804.039999999</v>
      </c>
      <c r="K531" s="97">
        <f>+'INV POIR PPERDIDAS'!G$126</f>
        <v>63980742.840000004</v>
      </c>
      <c r="L531" s="97">
        <f>+'INV POIR PPERDIDAS'!H$126</f>
        <v>66048339.600000009</v>
      </c>
      <c r="M531" s="97">
        <f>+'INV POIR PPERDIDAS'!I$126</f>
        <v>67860109.199999988</v>
      </c>
      <c r="N531" s="97">
        <f>+'INV POIR PPERDIDAS'!J$126</f>
        <v>69763098.239999995</v>
      </c>
      <c r="O531" s="97">
        <f>+'INV POIR PPERDIDAS'!K$126</f>
        <v>71680074.24000001</v>
      </c>
      <c r="P531" s="97">
        <f>+'INV POIR PPERDIDAS'!L$126</f>
        <v>73651119.359999999</v>
      </c>
    </row>
    <row r="532" spans="2:16" x14ac:dyDescent="0.2">
      <c r="B532" s="90" t="str">
        <f t="shared" si="70"/>
        <v>ESTACIONES REDUCTORAS DE PRESIÓN</v>
      </c>
      <c r="C532" s="90">
        <f t="shared" si="70"/>
        <v>28</v>
      </c>
      <c r="D532" s="95">
        <f t="shared" si="70"/>
        <v>5</v>
      </c>
      <c r="E532" s="96">
        <f t="shared" si="70"/>
        <v>49309651.718624085</v>
      </c>
      <c r="F532" s="93">
        <f>+VLOOKUP(C532,'INV POIR PPERDIDAS'!$C$4:$F$123,4,FALSE)</f>
        <v>35</v>
      </c>
      <c r="G532" s="97">
        <f>+'INV POIR PPERDIDAS'!C$126</f>
        <v>53998308</v>
      </c>
      <c r="H532" s="97">
        <f>+'INV POIR PPERDIDAS'!D$126</f>
        <v>56894335.679999992</v>
      </c>
      <c r="I532" s="97">
        <f>+'INV POIR PPERDIDAS'!E$126</f>
        <v>59253219.840000004</v>
      </c>
      <c r="J532" s="97">
        <f>+'INV POIR PPERDIDAS'!F$126</f>
        <v>61613804.039999999</v>
      </c>
      <c r="K532" s="97">
        <f>+'INV POIR PPERDIDAS'!G$126</f>
        <v>63980742.840000004</v>
      </c>
      <c r="L532" s="97">
        <f>+'INV POIR PPERDIDAS'!H$126</f>
        <v>66048339.600000009</v>
      </c>
      <c r="M532" s="97">
        <f>+'INV POIR PPERDIDAS'!I$126</f>
        <v>67860109.199999988</v>
      </c>
      <c r="N532" s="97">
        <f>+'INV POIR PPERDIDAS'!J$126</f>
        <v>69763098.239999995</v>
      </c>
      <c r="O532" s="97">
        <f>+'INV POIR PPERDIDAS'!K$126</f>
        <v>71680074.24000001</v>
      </c>
      <c r="P532" s="97">
        <f>+'INV POIR PPERDIDAS'!L$126</f>
        <v>73651119.359999999</v>
      </c>
    </row>
    <row r="533" spans="2:16" x14ac:dyDescent="0.2">
      <c r="B533" s="90" t="str">
        <f t="shared" si="70"/>
        <v>ESTACIONES REDUCTORAS DE PRESIÓN</v>
      </c>
      <c r="C533" s="90">
        <f t="shared" si="70"/>
        <v>29</v>
      </c>
      <c r="D533" s="95">
        <f t="shared" si="70"/>
        <v>6</v>
      </c>
      <c r="E533" s="96">
        <f t="shared" si="70"/>
        <v>0</v>
      </c>
      <c r="F533" s="93">
        <f>+VLOOKUP(C533,'INV POIR PPERDIDAS'!$C$4:$F$123,4,FALSE)</f>
        <v>35</v>
      </c>
      <c r="G533" s="97">
        <f>+'INV POIR PPERDIDAS'!C$126</f>
        <v>53998308</v>
      </c>
      <c r="H533" s="97">
        <f>+'INV POIR PPERDIDAS'!D$126</f>
        <v>56894335.679999992</v>
      </c>
      <c r="I533" s="97">
        <f>+'INV POIR PPERDIDAS'!E$126</f>
        <v>59253219.840000004</v>
      </c>
      <c r="J533" s="97">
        <f>+'INV POIR PPERDIDAS'!F$126</f>
        <v>61613804.039999999</v>
      </c>
      <c r="K533" s="97">
        <f>+'INV POIR PPERDIDAS'!G$126</f>
        <v>63980742.840000004</v>
      </c>
      <c r="L533" s="97">
        <f>+'INV POIR PPERDIDAS'!H$126</f>
        <v>66048339.600000009</v>
      </c>
      <c r="M533" s="97">
        <f>+'INV POIR PPERDIDAS'!I$126</f>
        <v>67860109.199999988</v>
      </c>
      <c r="N533" s="97">
        <f>+'INV POIR PPERDIDAS'!J$126</f>
        <v>69763098.239999995</v>
      </c>
      <c r="O533" s="97">
        <f>+'INV POIR PPERDIDAS'!K$126</f>
        <v>71680074.24000001</v>
      </c>
      <c r="P533" s="97">
        <f>+'INV POIR PPERDIDAS'!L$126</f>
        <v>73651119.359999999</v>
      </c>
    </row>
    <row r="534" spans="2:16" x14ac:dyDescent="0.2">
      <c r="B534" s="90" t="str">
        <f t="shared" si="70"/>
        <v>ESTACIONES REDUCTORAS DE PRESIÓN</v>
      </c>
      <c r="C534" s="90">
        <f t="shared" si="70"/>
        <v>30</v>
      </c>
      <c r="D534" s="95">
        <f t="shared" si="70"/>
        <v>7</v>
      </c>
      <c r="E534" s="96">
        <f t="shared" si="70"/>
        <v>0</v>
      </c>
      <c r="F534" s="93">
        <f>+VLOOKUP(C534,'INV POIR PPERDIDAS'!$C$4:$F$123,4,FALSE)</f>
        <v>35</v>
      </c>
      <c r="G534" s="97">
        <f>+'INV POIR PPERDIDAS'!C$126</f>
        <v>53998308</v>
      </c>
      <c r="H534" s="97">
        <f>+'INV POIR PPERDIDAS'!D$126</f>
        <v>56894335.679999992</v>
      </c>
      <c r="I534" s="97">
        <f>+'INV POIR PPERDIDAS'!E$126</f>
        <v>59253219.840000004</v>
      </c>
      <c r="J534" s="97">
        <f>+'INV POIR PPERDIDAS'!F$126</f>
        <v>61613804.039999999</v>
      </c>
      <c r="K534" s="97">
        <f>+'INV POIR PPERDIDAS'!G$126</f>
        <v>63980742.840000004</v>
      </c>
      <c r="L534" s="97">
        <f>+'INV POIR PPERDIDAS'!H$126</f>
        <v>66048339.600000009</v>
      </c>
      <c r="M534" s="97">
        <f>+'INV POIR PPERDIDAS'!I$126</f>
        <v>67860109.199999988</v>
      </c>
      <c r="N534" s="97">
        <f>+'INV POIR PPERDIDAS'!J$126</f>
        <v>69763098.239999995</v>
      </c>
      <c r="O534" s="97">
        <f>+'INV POIR PPERDIDAS'!K$126</f>
        <v>71680074.24000001</v>
      </c>
      <c r="P534" s="97">
        <f>+'INV POIR PPERDIDAS'!L$126</f>
        <v>73651119.359999999</v>
      </c>
    </row>
    <row r="535" spans="2:16" x14ac:dyDescent="0.2">
      <c r="B535" s="90" t="str">
        <f t="shared" si="70"/>
        <v>ESTACIONES REDUCTORAS DE PRESIÓN</v>
      </c>
      <c r="C535" s="90">
        <f t="shared" si="70"/>
        <v>31</v>
      </c>
      <c r="D535" s="95">
        <f t="shared" si="70"/>
        <v>8</v>
      </c>
      <c r="E535" s="96">
        <f t="shared" si="70"/>
        <v>0</v>
      </c>
      <c r="F535" s="93">
        <f>+VLOOKUP(C535,'INV POIR PPERDIDAS'!$C$4:$F$123,4,FALSE)</f>
        <v>35</v>
      </c>
      <c r="G535" s="97">
        <f>+'INV POIR PPERDIDAS'!C$126</f>
        <v>53998308</v>
      </c>
      <c r="H535" s="97">
        <f>+'INV POIR PPERDIDAS'!D$126</f>
        <v>56894335.679999992</v>
      </c>
      <c r="I535" s="97">
        <f>+'INV POIR PPERDIDAS'!E$126</f>
        <v>59253219.840000004</v>
      </c>
      <c r="J535" s="97">
        <f>+'INV POIR PPERDIDAS'!F$126</f>
        <v>61613804.039999999</v>
      </c>
      <c r="K535" s="97">
        <f>+'INV POIR PPERDIDAS'!G$126</f>
        <v>63980742.840000004</v>
      </c>
      <c r="L535" s="97">
        <f>+'INV POIR PPERDIDAS'!H$126</f>
        <v>66048339.600000009</v>
      </c>
      <c r="M535" s="97">
        <f>+'INV POIR PPERDIDAS'!I$126</f>
        <v>67860109.199999988</v>
      </c>
      <c r="N535" s="97">
        <f>+'INV POIR PPERDIDAS'!J$126</f>
        <v>69763098.239999995</v>
      </c>
      <c r="O535" s="97">
        <f>+'INV POIR PPERDIDAS'!K$126</f>
        <v>71680074.24000001</v>
      </c>
      <c r="P535" s="97">
        <f>+'INV POIR PPERDIDAS'!L$126</f>
        <v>73651119.359999999</v>
      </c>
    </row>
    <row r="536" spans="2:16" x14ac:dyDescent="0.2">
      <c r="B536" s="90" t="str">
        <f t="shared" si="70"/>
        <v>ESTACIONES REDUCTORAS DE PRESIÓN</v>
      </c>
      <c r="C536" s="90">
        <f t="shared" si="70"/>
        <v>32</v>
      </c>
      <c r="D536" s="95">
        <f t="shared" si="70"/>
        <v>9</v>
      </c>
      <c r="E536" s="96">
        <f t="shared" si="70"/>
        <v>0</v>
      </c>
      <c r="F536" s="93">
        <f>+VLOOKUP(C536,'INV POIR PPERDIDAS'!$C$4:$F$123,4,FALSE)</f>
        <v>35</v>
      </c>
      <c r="G536" s="97">
        <f>+'INV POIR PPERDIDAS'!C$126</f>
        <v>53998308</v>
      </c>
      <c r="H536" s="97">
        <f>+'INV POIR PPERDIDAS'!D$126</f>
        <v>56894335.679999992</v>
      </c>
      <c r="I536" s="97">
        <f>+'INV POIR PPERDIDAS'!E$126</f>
        <v>59253219.840000004</v>
      </c>
      <c r="J536" s="97">
        <f>+'INV POIR PPERDIDAS'!F$126</f>
        <v>61613804.039999999</v>
      </c>
      <c r="K536" s="97">
        <f>+'INV POIR PPERDIDAS'!G$126</f>
        <v>63980742.840000004</v>
      </c>
      <c r="L536" s="97">
        <f>+'INV POIR PPERDIDAS'!H$126</f>
        <v>66048339.600000009</v>
      </c>
      <c r="M536" s="97">
        <f>+'INV POIR PPERDIDAS'!I$126</f>
        <v>67860109.199999988</v>
      </c>
      <c r="N536" s="97">
        <f>+'INV POIR PPERDIDAS'!J$126</f>
        <v>69763098.239999995</v>
      </c>
      <c r="O536" s="97">
        <f>+'INV POIR PPERDIDAS'!K$126</f>
        <v>71680074.24000001</v>
      </c>
      <c r="P536" s="97">
        <f>+'INV POIR PPERDIDAS'!L$126</f>
        <v>73651119.359999999</v>
      </c>
    </row>
    <row r="537" spans="2:16" x14ac:dyDescent="0.2">
      <c r="B537" s="90" t="str">
        <f t="shared" si="70"/>
        <v>ESTACIONES REDUCTORAS DE PRESIÓN</v>
      </c>
      <c r="C537" s="90">
        <f t="shared" si="70"/>
        <v>33</v>
      </c>
      <c r="D537" s="95">
        <f t="shared" si="70"/>
        <v>10</v>
      </c>
      <c r="E537" s="96">
        <f t="shared" si="70"/>
        <v>0</v>
      </c>
      <c r="F537" s="93">
        <f>+VLOOKUP(C537,'INV POIR PPERDIDAS'!$C$4:$F$123,4,FALSE)</f>
        <v>35</v>
      </c>
      <c r="G537" s="97">
        <f>+'INV POIR PPERDIDAS'!C$126</f>
        <v>53998308</v>
      </c>
      <c r="H537" s="97">
        <f>+'INV POIR PPERDIDAS'!D$126</f>
        <v>56894335.679999992</v>
      </c>
      <c r="I537" s="97">
        <f>+'INV POIR PPERDIDAS'!E$126</f>
        <v>59253219.840000004</v>
      </c>
      <c r="J537" s="97">
        <f>+'INV POIR PPERDIDAS'!F$126</f>
        <v>61613804.039999999</v>
      </c>
      <c r="K537" s="97">
        <f>+'INV POIR PPERDIDAS'!G$126</f>
        <v>63980742.840000004</v>
      </c>
      <c r="L537" s="97">
        <f>+'INV POIR PPERDIDAS'!H$126</f>
        <v>66048339.600000009</v>
      </c>
      <c r="M537" s="97">
        <f>+'INV POIR PPERDIDAS'!I$126</f>
        <v>67860109.199999988</v>
      </c>
      <c r="N537" s="97">
        <f>+'INV POIR PPERDIDAS'!J$126</f>
        <v>69763098.239999995</v>
      </c>
      <c r="O537" s="97">
        <f>+'INV POIR PPERDIDAS'!K$126</f>
        <v>71680074.24000001</v>
      </c>
      <c r="P537" s="97">
        <f>+'INV POIR PPERDIDAS'!L$126</f>
        <v>73651119.359999999</v>
      </c>
    </row>
    <row r="538" spans="2:16" x14ac:dyDescent="0.2">
      <c r="B538" s="90" t="str">
        <f t="shared" ref="B538:E553" si="71">+B414</f>
        <v>REHABILITACIÓN TANQUES</v>
      </c>
      <c r="C538" s="90">
        <f t="shared" si="71"/>
        <v>34</v>
      </c>
      <c r="D538" s="95">
        <f t="shared" si="71"/>
        <v>0</v>
      </c>
      <c r="E538" s="96">
        <f t="shared" si="71"/>
        <v>0</v>
      </c>
      <c r="F538" s="93">
        <f>+VLOOKUP(C538,'INV POIR PPERDIDAS'!$C$4:$F$123,4,FALSE)</f>
        <v>45</v>
      </c>
      <c r="G538" s="97">
        <f>+'INV POIR PPERDIDAS'!C$126</f>
        <v>53998308</v>
      </c>
      <c r="H538" s="97">
        <f>+'INV POIR PPERDIDAS'!D$126</f>
        <v>56894335.679999992</v>
      </c>
      <c r="I538" s="97">
        <f>+'INV POIR PPERDIDAS'!E$126</f>
        <v>59253219.840000004</v>
      </c>
      <c r="J538" s="97">
        <f>+'INV POIR PPERDIDAS'!F$126</f>
        <v>61613804.039999999</v>
      </c>
      <c r="K538" s="97">
        <f>+'INV POIR PPERDIDAS'!G$126</f>
        <v>63980742.840000004</v>
      </c>
      <c r="L538" s="97">
        <f>+'INV POIR PPERDIDAS'!H$126</f>
        <v>66048339.600000009</v>
      </c>
      <c r="M538" s="97">
        <f>+'INV POIR PPERDIDAS'!I$126</f>
        <v>67860109.199999988</v>
      </c>
      <c r="N538" s="97">
        <f>+'INV POIR PPERDIDAS'!J$126</f>
        <v>69763098.239999995</v>
      </c>
      <c r="O538" s="97">
        <f>+'INV POIR PPERDIDAS'!K$126</f>
        <v>71680074.24000001</v>
      </c>
      <c r="P538" s="97">
        <f>+'INV POIR PPERDIDAS'!L$126</f>
        <v>73651119.359999999</v>
      </c>
    </row>
    <row r="539" spans="2:16" x14ac:dyDescent="0.2">
      <c r="B539" s="90" t="str">
        <f t="shared" si="71"/>
        <v>REHABILITACIÓN TANQUES</v>
      </c>
      <c r="C539" s="90">
        <f t="shared" si="71"/>
        <v>35</v>
      </c>
      <c r="D539" s="95">
        <f t="shared" si="71"/>
        <v>1</v>
      </c>
      <c r="E539" s="96">
        <f t="shared" si="71"/>
        <v>3694767.6620469596</v>
      </c>
      <c r="F539" s="93">
        <f>+VLOOKUP(C539,'INV POIR PPERDIDAS'!$C$4:$F$123,4,FALSE)</f>
        <v>45</v>
      </c>
      <c r="G539" s="97">
        <f>+'INV POIR PPERDIDAS'!C$126</f>
        <v>53998308</v>
      </c>
      <c r="H539" s="97">
        <f>+'INV POIR PPERDIDAS'!D$126</f>
        <v>56894335.679999992</v>
      </c>
      <c r="I539" s="97">
        <f>+'INV POIR PPERDIDAS'!E$126</f>
        <v>59253219.840000004</v>
      </c>
      <c r="J539" s="97">
        <f>+'INV POIR PPERDIDAS'!F$126</f>
        <v>61613804.039999999</v>
      </c>
      <c r="K539" s="97">
        <f>+'INV POIR PPERDIDAS'!G$126</f>
        <v>63980742.840000004</v>
      </c>
      <c r="L539" s="97">
        <f>+'INV POIR PPERDIDAS'!H$126</f>
        <v>66048339.600000009</v>
      </c>
      <c r="M539" s="97">
        <f>+'INV POIR PPERDIDAS'!I$126</f>
        <v>67860109.199999988</v>
      </c>
      <c r="N539" s="97">
        <f>+'INV POIR PPERDIDAS'!J$126</f>
        <v>69763098.239999995</v>
      </c>
      <c r="O539" s="97">
        <f>+'INV POIR PPERDIDAS'!K$126</f>
        <v>71680074.24000001</v>
      </c>
      <c r="P539" s="97">
        <f>+'INV POIR PPERDIDAS'!L$126</f>
        <v>73651119.359999999</v>
      </c>
    </row>
    <row r="540" spans="2:16" x14ac:dyDescent="0.2">
      <c r="B540" s="90" t="str">
        <f t="shared" si="71"/>
        <v>REHABILITACIÓN TANQUES</v>
      </c>
      <c r="C540" s="90">
        <f t="shared" si="71"/>
        <v>36</v>
      </c>
      <c r="D540" s="95">
        <f t="shared" si="71"/>
        <v>2</v>
      </c>
      <c r="E540" s="96">
        <f t="shared" si="71"/>
        <v>23580680.525948294</v>
      </c>
      <c r="F540" s="93">
        <f>+VLOOKUP(C540,'INV POIR PPERDIDAS'!$C$4:$F$123,4,FALSE)</f>
        <v>45</v>
      </c>
      <c r="G540" s="97">
        <f>+'INV POIR PPERDIDAS'!C$126</f>
        <v>53998308</v>
      </c>
      <c r="H540" s="97">
        <f>+'INV POIR PPERDIDAS'!D$126</f>
        <v>56894335.679999992</v>
      </c>
      <c r="I540" s="97">
        <f>+'INV POIR PPERDIDAS'!E$126</f>
        <v>59253219.840000004</v>
      </c>
      <c r="J540" s="97">
        <f>+'INV POIR PPERDIDAS'!F$126</f>
        <v>61613804.039999999</v>
      </c>
      <c r="K540" s="97">
        <f>+'INV POIR PPERDIDAS'!G$126</f>
        <v>63980742.840000004</v>
      </c>
      <c r="L540" s="97">
        <f>+'INV POIR PPERDIDAS'!H$126</f>
        <v>66048339.600000009</v>
      </c>
      <c r="M540" s="97">
        <f>+'INV POIR PPERDIDAS'!I$126</f>
        <v>67860109.199999988</v>
      </c>
      <c r="N540" s="97">
        <f>+'INV POIR PPERDIDAS'!J$126</f>
        <v>69763098.239999995</v>
      </c>
      <c r="O540" s="97">
        <f>+'INV POIR PPERDIDAS'!K$126</f>
        <v>71680074.24000001</v>
      </c>
      <c r="P540" s="97">
        <f>+'INV POIR PPERDIDAS'!L$126</f>
        <v>73651119.359999999</v>
      </c>
    </row>
    <row r="541" spans="2:16" x14ac:dyDescent="0.2">
      <c r="B541" s="90" t="str">
        <f t="shared" si="71"/>
        <v>REHABILITACIÓN TANQUES</v>
      </c>
      <c r="C541" s="90">
        <f t="shared" si="71"/>
        <v>37</v>
      </c>
      <c r="D541" s="95">
        <f t="shared" si="71"/>
        <v>3</v>
      </c>
      <c r="E541" s="96">
        <f t="shared" si="71"/>
        <v>20159531.161544681</v>
      </c>
      <c r="F541" s="93">
        <f>+VLOOKUP(C541,'INV POIR PPERDIDAS'!$C$4:$F$123,4,FALSE)</f>
        <v>45</v>
      </c>
      <c r="G541" s="97">
        <f>+'INV POIR PPERDIDAS'!C$126</f>
        <v>53998308</v>
      </c>
      <c r="H541" s="97">
        <f>+'INV POIR PPERDIDAS'!D$126</f>
        <v>56894335.679999992</v>
      </c>
      <c r="I541" s="97">
        <f>+'INV POIR PPERDIDAS'!E$126</f>
        <v>59253219.840000004</v>
      </c>
      <c r="J541" s="97">
        <f>+'INV POIR PPERDIDAS'!F$126</f>
        <v>61613804.039999999</v>
      </c>
      <c r="K541" s="97">
        <f>+'INV POIR PPERDIDAS'!G$126</f>
        <v>63980742.840000004</v>
      </c>
      <c r="L541" s="97">
        <f>+'INV POIR PPERDIDAS'!H$126</f>
        <v>66048339.600000009</v>
      </c>
      <c r="M541" s="97">
        <f>+'INV POIR PPERDIDAS'!I$126</f>
        <v>67860109.199999988</v>
      </c>
      <c r="N541" s="97">
        <f>+'INV POIR PPERDIDAS'!J$126</f>
        <v>69763098.239999995</v>
      </c>
      <c r="O541" s="97">
        <f>+'INV POIR PPERDIDAS'!K$126</f>
        <v>71680074.24000001</v>
      </c>
      <c r="P541" s="97">
        <f>+'INV POIR PPERDIDAS'!L$126</f>
        <v>73651119.359999999</v>
      </c>
    </row>
    <row r="542" spans="2:16" x14ac:dyDescent="0.2">
      <c r="B542" s="90" t="str">
        <f t="shared" si="71"/>
        <v>REHABILITACIÓN TANQUES</v>
      </c>
      <c r="C542" s="90">
        <f t="shared" si="71"/>
        <v>38</v>
      </c>
      <c r="D542" s="95">
        <f t="shared" si="71"/>
        <v>4</v>
      </c>
      <c r="E542" s="96">
        <f t="shared" si="71"/>
        <v>23740256.842132706</v>
      </c>
      <c r="F542" s="93">
        <f>+VLOOKUP(C542,'INV POIR PPERDIDAS'!$C$4:$F$123,4,FALSE)</f>
        <v>45</v>
      </c>
      <c r="G542" s="97">
        <f>+'INV POIR PPERDIDAS'!C$126</f>
        <v>53998308</v>
      </c>
      <c r="H542" s="97">
        <f>+'INV POIR PPERDIDAS'!D$126</f>
        <v>56894335.679999992</v>
      </c>
      <c r="I542" s="97">
        <f>+'INV POIR PPERDIDAS'!E$126</f>
        <v>59253219.840000004</v>
      </c>
      <c r="J542" s="97">
        <f>+'INV POIR PPERDIDAS'!F$126</f>
        <v>61613804.039999999</v>
      </c>
      <c r="K542" s="97">
        <f>+'INV POIR PPERDIDAS'!G$126</f>
        <v>63980742.840000004</v>
      </c>
      <c r="L542" s="97">
        <f>+'INV POIR PPERDIDAS'!H$126</f>
        <v>66048339.600000009</v>
      </c>
      <c r="M542" s="97">
        <f>+'INV POIR PPERDIDAS'!I$126</f>
        <v>67860109.199999988</v>
      </c>
      <c r="N542" s="97">
        <f>+'INV POIR PPERDIDAS'!J$126</f>
        <v>69763098.239999995</v>
      </c>
      <c r="O542" s="97">
        <f>+'INV POIR PPERDIDAS'!K$126</f>
        <v>71680074.24000001</v>
      </c>
      <c r="P542" s="97">
        <f>+'INV POIR PPERDIDAS'!L$126</f>
        <v>73651119.359999999</v>
      </c>
    </row>
    <row r="543" spans="2:16" x14ac:dyDescent="0.2">
      <c r="B543" s="90" t="str">
        <f t="shared" si="71"/>
        <v>REHABILITACIÓN TANQUES</v>
      </c>
      <c r="C543" s="90">
        <f t="shared" si="71"/>
        <v>39</v>
      </c>
      <c r="D543" s="95">
        <f t="shared" si="71"/>
        <v>5</v>
      </c>
      <c r="E543" s="96">
        <f t="shared" si="71"/>
        <v>6055019.8655763008</v>
      </c>
      <c r="F543" s="93">
        <f>+VLOOKUP(C543,'INV POIR PPERDIDAS'!$C$4:$F$123,4,FALSE)</f>
        <v>45</v>
      </c>
      <c r="G543" s="97">
        <f>+'INV POIR PPERDIDAS'!C$126</f>
        <v>53998308</v>
      </c>
      <c r="H543" s="97">
        <f>+'INV POIR PPERDIDAS'!D$126</f>
        <v>56894335.679999992</v>
      </c>
      <c r="I543" s="97">
        <f>+'INV POIR PPERDIDAS'!E$126</f>
        <v>59253219.840000004</v>
      </c>
      <c r="J543" s="97">
        <f>+'INV POIR PPERDIDAS'!F$126</f>
        <v>61613804.039999999</v>
      </c>
      <c r="K543" s="97">
        <f>+'INV POIR PPERDIDAS'!G$126</f>
        <v>63980742.840000004</v>
      </c>
      <c r="L543" s="97">
        <f>+'INV POIR PPERDIDAS'!H$126</f>
        <v>66048339.600000009</v>
      </c>
      <c r="M543" s="97">
        <f>+'INV POIR PPERDIDAS'!I$126</f>
        <v>67860109.199999988</v>
      </c>
      <c r="N543" s="97">
        <f>+'INV POIR PPERDIDAS'!J$126</f>
        <v>69763098.239999995</v>
      </c>
      <c r="O543" s="97">
        <f>+'INV POIR PPERDIDAS'!K$126</f>
        <v>71680074.24000001</v>
      </c>
      <c r="P543" s="97">
        <f>+'INV POIR PPERDIDAS'!L$126</f>
        <v>73651119.359999999</v>
      </c>
    </row>
    <row r="544" spans="2:16" x14ac:dyDescent="0.2">
      <c r="B544" s="90" t="str">
        <f t="shared" si="71"/>
        <v>REHABILITACIÓN TANQUES</v>
      </c>
      <c r="C544" s="90">
        <f t="shared" si="71"/>
        <v>40</v>
      </c>
      <c r="D544" s="95">
        <f t="shared" si="71"/>
        <v>6</v>
      </c>
      <c r="E544" s="96">
        <f t="shared" si="71"/>
        <v>8363307.6816903232</v>
      </c>
      <c r="F544" s="93">
        <f>+VLOOKUP(C544,'INV POIR PPERDIDAS'!$C$4:$F$123,4,FALSE)</f>
        <v>45</v>
      </c>
      <c r="G544" s="97">
        <f>+'INV POIR PPERDIDAS'!C$126</f>
        <v>53998308</v>
      </c>
      <c r="H544" s="97">
        <f>+'INV POIR PPERDIDAS'!D$126</f>
        <v>56894335.679999992</v>
      </c>
      <c r="I544" s="97">
        <f>+'INV POIR PPERDIDAS'!E$126</f>
        <v>59253219.840000004</v>
      </c>
      <c r="J544" s="97">
        <f>+'INV POIR PPERDIDAS'!F$126</f>
        <v>61613804.039999999</v>
      </c>
      <c r="K544" s="97">
        <f>+'INV POIR PPERDIDAS'!G$126</f>
        <v>63980742.840000004</v>
      </c>
      <c r="L544" s="97">
        <f>+'INV POIR PPERDIDAS'!H$126</f>
        <v>66048339.600000009</v>
      </c>
      <c r="M544" s="97">
        <f>+'INV POIR PPERDIDAS'!I$126</f>
        <v>67860109.199999988</v>
      </c>
      <c r="N544" s="97">
        <f>+'INV POIR PPERDIDAS'!J$126</f>
        <v>69763098.239999995</v>
      </c>
      <c r="O544" s="97">
        <f>+'INV POIR PPERDIDAS'!K$126</f>
        <v>71680074.24000001</v>
      </c>
      <c r="P544" s="97">
        <f>+'INV POIR PPERDIDAS'!L$126</f>
        <v>73651119.359999999</v>
      </c>
    </row>
    <row r="545" spans="2:16" x14ac:dyDescent="0.2">
      <c r="B545" s="90" t="str">
        <f t="shared" si="71"/>
        <v>REHABILITACIÓN TANQUES</v>
      </c>
      <c r="C545" s="90">
        <f t="shared" si="71"/>
        <v>41</v>
      </c>
      <c r="D545" s="95">
        <f t="shared" si="71"/>
        <v>7</v>
      </c>
      <c r="E545" s="96">
        <f t="shared" si="71"/>
        <v>5080305.5353145692</v>
      </c>
      <c r="F545" s="93">
        <f>+VLOOKUP(C545,'INV POIR PPERDIDAS'!$C$4:$F$123,4,FALSE)</f>
        <v>45</v>
      </c>
      <c r="G545" s="97">
        <f>+'INV POIR PPERDIDAS'!C$126</f>
        <v>53998308</v>
      </c>
      <c r="H545" s="97">
        <f>+'INV POIR PPERDIDAS'!D$126</f>
        <v>56894335.679999992</v>
      </c>
      <c r="I545" s="97">
        <f>+'INV POIR PPERDIDAS'!E$126</f>
        <v>59253219.840000004</v>
      </c>
      <c r="J545" s="97">
        <f>+'INV POIR PPERDIDAS'!F$126</f>
        <v>61613804.039999999</v>
      </c>
      <c r="K545" s="97">
        <f>+'INV POIR PPERDIDAS'!G$126</f>
        <v>63980742.840000004</v>
      </c>
      <c r="L545" s="97">
        <f>+'INV POIR PPERDIDAS'!H$126</f>
        <v>66048339.600000009</v>
      </c>
      <c r="M545" s="97">
        <f>+'INV POIR PPERDIDAS'!I$126</f>
        <v>67860109.199999988</v>
      </c>
      <c r="N545" s="97">
        <f>+'INV POIR PPERDIDAS'!J$126</f>
        <v>69763098.239999995</v>
      </c>
      <c r="O545" s="97">
        <f>+'INV POIR PPERDIDAS'!K$126</f>
        <v>71680074.24000001</v>
      </c>
      <c r="P545" s="97">
        <f>+'INV POIR PPERDIDAS'!L$126</f>
        <v>73651119.359999999</v>
      </c>
    </row>
    <row r="546" spans="2:16" x14ac:dyDescent="0.2">
      <c r="B546" s="90" t="str">
        <f t="shared" si="71"/>
        <v>REHABILITACIÓN TANQUES</v>
      </c>
      <c r="C546" s="90">
        <f t="shared" si="71"/>
        <v>42</v>
      </c>
      <c r="D546" s="95">
        <f t="shared" si="71"/>
        <v>8</v>
      </c>
      <c r="E546" s="96">
        <f t="shared" si="71"/>
        <v>5080305.5353145692</v>
      </c>
      <c r="F546" s="93">
        <f>+VLOOKUP(C546,'INV POIR PPERDIDAS'!$C$4:$F$123,4,FALSE)</f>
        <v>45</v>
      </c>
      <c r="G546" s="97">
        <f>+'INV POIR PPERDIDAS'!C$126</f>
        <v>53998308</v>
      </c>
      <c r="H546" s="97">
        <f>+'INV POIR PPERDIDAS'!D$126</f>
        <v>56894335.679999992</v>
      </c>
      <c r="I546" s="97">
        <f>+'INV POIR PPERDIDAS'!E$126</f>
        <v>59253219.840000004</v>
      </c>
      <c r="J546" s="97">
        <f>+'INV POIR PPERDIDAS'!F$126</f>
        <v>61613804.039999999</v>
      </c>
      <c r="K546" s="97">
        <f>+'INV POIR PPERDIDAS'!G$126</f>
        <v>63980742.840000004</v>
      </c>
      <c r="L546" s="97">
        <f>+'INV POIR PPERDIDAS'!H$126</f>
        <v>66048339.600000009</v>
      </c>
      <c r="M546" s="97">
        <f>+'INV POIR PPERDIDAS'!I$126</f>
        <v>67860109.199999988</v>
      </c>
      <c r="N546" s="97">
        <f>+'INV POIR PPERDIDAS'!J$126</f>
        <v>69763098.239999995</v>
      </c>
      <c r="O546" s="97">
        <f>+'INV POIR PPERDIDAS'!K$126</f>
        <v>71680074.24000001</v>
      </c>
      <c r="P546" s="97">
        <f>+'INV POIR PPERDIDAS'!L$126</f>
        <v>73651119.359999999</v>
      </c>
    </row>
    <row r="547" spans="2:16" x14ac:dyDescent="0.2">
      <c r="B547" s="90" t="str">
        <f t="shared" si="71"/>
        <v>REHABILITACIÓN TANQUES</v>
      </c>
      <c r="C547" s="90">
        <f t="shared" si="71"/>
        <v>43</v>
      </c>
      <c r="D547" s="95">
        <f t="shared" si="71"/>
        <v>9</v>
      </c>
      <c r="E547" s="96">
        <f t="shared" si="71"/>
        <v>5080305.5353145692</v>
      </c>
      <c r="F547" s="93">
        <f>+VLOOKUP(C547,'INV POIR PPERDIDAS'!$C$4:$F$123,4,FALSE)</f>
        <v>45</v>
      </c>
      <c r="G547" s="97">
        <f>+'INV POIR PPERDIDAS'!C$126</f>
        <v>53998308</v>
      </c>
      <c r="H547" s="97">
        <f>+'INV POIR PPERDIDAS'!D$126</f>
        <v>56894335.679999992</v>
      </c>
      <c r="I547" s="97">
        <f>+'INV POIR PPERDIDAS'!E$126</f>
        <v>59253219.840000004</v>
      </c>
      <c r="J547" s="97">
        <f>+'INV POIR PPERDIDAS'!F$126</f>
        <v>61613804.039999999</v>
      </c>
      <c r="K547" s="97">
        <f>+'INV POIR PPERDIDAS'!G$126</f>
        <v>63980742.840000004</v>
      </c>
      <c r="L547" s="97">
        <f>+'INV POIR PPERDIDAS'!H$126</f>
        <v>66048339.600000009</v>
      </c>
      <c r="M547" s="97">
        <f>+'INV POIR PPERDIDAS'!I$126</f>
        <v>67860109.199999988</v>
      </c>
      <c r="N547" s="97">
        <f>+'INV POIR PPERDIDAS'!J$126</f>
        <v>69763098.239999995</v>
      </c>
      <c r="O547" s="97">
        <f>+'INV POIR PPERDIDAS'!K$126</f>
        <v>71680074.24000001</v>
      </c>
      <c r="P547" s="97">
        <f>+'INV POIR PPERDIDAS'!L$126</f>
        <v>73651119.359999999</v>
      </c>
    </row>
    <row r="548" spans="2:16" x14ac:dyDescent="0.2">
      <c r="B548" s="90" t="str">
        <f t="shared" si="71"/>
        <v>REHABILITACIÓN TANQUES</v>
      </c>
      <c r="C548" s="90">
        <f t="shared" si="71"/>
        <v>44</v>
      </c>
      <c r="D548" s="95">
        <f t="shared" si="71"/>
        <v>10</v>
      </c>
      <c r="E548" s="96">
        <f t="shared" si="71"/>
        <v>5080305.5353145692</v>
      </c>
      <c r="F548" s="93">
        <f>+VLOOKUP(C548,'INV POIR PPERDIDAS'!$C$4:$F$123,4,FALSE)</f>
        <v>45</v>
      </c>
      <c r="G548" s="97">
        <f>+'INV POIR PPERDIDAS'!C$126</f>
        <v>53998308</v>
      </c>
      <c r="H548" s="97">
        <f>+'INV POIR PPERDIDAS'!D$126</f>
        <v>56894335.679999992</v>
      </c>
      <c r="I548" s="97">
        <f>+'INV POIR PPERDIDAS'!E$126</f>
        <v>59253219.840000004</v>
      </c>
      <c r="J548" s="97">
        <f>+'INV POIR PPERDIDAS'!F$126</f>
        <v>61613804.039999999</v>
      </c>
      <c r="K548" s="97">
        <f>+'INV POIR PPERDIDAS'!G$126</f>
        <v>63980742.840000004</v>
      </c>
      <c r="L548" s="97">
        <f>+'INV POIR PPERDIDAS'!H$126</f>
        <v>66048339.600000009</v>
      </c>
      <c r="M548" s="97">
        <f>+'INV POIR PPERDIDAS'!I$126</f>
        <v>67860109.199999988</v>
      </c>
      <c r="N548" s="97">
        <f>+'INV POIR PPERDIDAS'!J$126</f>
        <v>69763098.239999995</v>
      </c>
      <c r="O548" s="97">
        <f>+'INV POIR PPERDIDAS'!K$126</f>
        <v>71680074.24000001</v>
      </c>
      <c r="P548" s="97">
        <f>+'INV POIR PPERDIDAS'!L$126</f>
        <v>73651119.359999999</v>
      </c>
    </row>
    <row r="549" spans="2:16" x14ac:dyDescent="0.2">
      <c r="B549" s="90" t="str">
        <f t="shared" si="71"/>
        <v>NO SE REQUIERE</v>
      </c>
      <c r="C549" s="90">
        <f t="shared" si="71"/>
        <v>45</v>
      </c>
      <c r="D549" s="95">
        <f t="shared" si="71"/>
        <v>0</v>
      </c>
      <c r="E549" s="96">
        <f t="shared" si="71"/>
        <v>0</v>
      </c>
      <c r="F549" s="93">
        <f>+VLOOKUP(C549,'INV POIR PPERDIDAS'!$C$4:$F$123,4,FALSE)</f>
        <v>1</v>
      </c>
      <c r="G549" s="97">
        <f>+'INV POIR PPERDIDAS'!C$126</f>
        <v>53998308</v>
      </c>
      <c r="H549" s="97">
        <f>+'INV POIR PPERDIDAS'!D$126</f>
        <v>56894335.679999992</v>
      </c>
      <c r="I549" s="97">
        <f>+'INV POIR PPERDIDAS'!E$126</f>
        <v>59253219.840000004</v>
      </c>
      <c r="J549" s="97">
        <f>+'INV POIR PPERDIDAS'!F$126</f>
        <v>61613804.039999999</v>
      </c>
      <c r="K549" s="97">
        <f>+'INV POIR PPERDIDAS'!G$126</f>
        <v>63980742.840000004</v>
      </c>
      <c r="L549" s="97">
        <f>+'INV POIR PPERDIDAS'!H$126</f>
        <v>66048339.600000009</v>
      </c>
      <c r="M549" s="97">
        <f>+'INV POIR PPERDIDAS'!I$126</f>
        <v>67860109.199999988</v>
      </c>
      <c r="N549" s="97">
        <f>+'INV POIR PPERDIDAS'!J$126</f>
        <v>69763098.239999995</v>
      </c>
      <c r="O549" s="97">
        <f>+'INV POIR PPERDIDAS'!K$126</f>
        <v>71680074.24000001</v>
      </c>
      <c r="P549" s="97">
        <f>+'INV POIR PPERDIDAS'!L$126</f>
        <v>73651119.359999999</v>
      </c>
    </row>
    <row r="550" spans="2:16" x14ac:dyDescent="0.2">
      <c r="B550" s="90" t="str">
        <f t="shared" si="71"/>
        <v>NO SE REQUIERE</v>
      </c>
      <c r="C550" s="90">
        <f t="shared" si="71"/>
        <v>46</v>
      </c>
      <c r="D550" s="95">
        <f t="shared" si="71"/>
        <v>1</v>
      </c>
      <c r="E550" s="96">
        <f t="shared" si="71"/>
        <v>182564111.13095859</v>
      </c>
      <c r="F550" s="93">
        <f>+VLOOKUP(C550,'INV POIR PPERDIDAS'!$C$4:$F$123,4,FALSE)</f>
        <v>1</v>
      </c>
      <c r="G550" s="97">
        <f>+'INV POIR PPERDIDAS'!C$126</f>
        <v>53998308</v>
      </c>
      <c r="H550" s="97">
        <f>+'INV POIR PPERDIDAS'!D$126</f>
        <v>56894335.679999992</v>
      </c>
      <c r="I550" s="97">
        <f>+'INV POIR PPERDIDAS'!E$126</f>
        <v>59253219.840000004</v>
      </c>
      <c r="J550" s="97">
        <f>+'INV POIR PPERDIDAS'!F$126</f>
        <v>61613804.039999999</v>
      </c>
      <c r="K550" s="97">
        <f>+'INV POIR PPERDIDAS'!G$126</f>
        <v>63980742.840000004</v>
      </c>
      <c r="L550" s="97">
        <f>+'INV POIR PPERDIDAS'!H$126</f>
        <v>66048339.600000009</v>
      </c>
      <c r="M550" s="97">
        <f>+'INV POIR PPERDIDAS'!I$126</f>
        <v>67860109.199999988</v>
      </c>
      <c r="N550" s="97">
        <f>+'INV POIR PPERDIDAS'!J$126</f>
        <v>69763098.239999995</v>
      </c>
      <c r="O550" s="97">
        <f>+'INV POIR PPERDIDAS'!K$126</f>
        <v>71680074.24000001</v>
      </c>
      <c r="P550" s="97">
        <f>+'INV POIR PPERDIDAS'!L$126</f>
        <v>73651119.359999999</v>
      </c>
    </row>
    <row r="551" spans="2:16" x14ac:dyDescent="0.2">
      <c r="B551" s="90" t="str">
        <f t="shared" si="71"/>
        <v>NO SE REQUIERE</v>
      </c>
      <c r="C551" s="90">
        <f t="shared" si="71"/>
        <v>47</v>
      </c>
      <c r="D551" s="95">
        <f t="shared" si="71"/>
        <v>2</v>
      </c>
      <c r="E551" s="96">
        <f t="shared" si="71"/>
        <v>182564111.13095859</v>
      </c>
      <c r="F551" s="93">
        <f>+VLOOKUP(C551,'INV POIR PPERDIDAS'!$C$4:$F$123,4,FALSE)</f>
        <v>1</v>
      </c>
      <c r="G551" s="97">
        <f>+'INV POIR PPERDIDAS'!C$126</f>
        <v>53998308</v>
      </c>
      <c r="H551" s="97">
        <f>+'INV POIR PPERDIDAS'!D$126</f>
        <v>56894335.679999992</v>
      </c>
      <c r="I551" s="97">
        <f>+'INV POIR PPERDIDAS'!E$126</f>
        <v>59253219.840000004</v>
      </c>
      <c r="J551" s="97">
        <f>+'INV POIR PPERDIDAS'!F$126</f>
        <v>61613804.039999999</v>
      </c>
      <c r="K551" s="97">
        <f>+'INV POIR PPERDIDAS'!G$126</f>
        <v>63980742.840000004</v>
      </c>
      <c r="L551" s="97">
        <f>+'INV POIR PPERDIDAS'!H$126</f>
        <v>66048339.600000009</v>
      </c>
      <c r="M551" s="97">
        <f>+'INV POIR PPERDIDAS'!I$126</f>
        <v>67860109.199999988</v>
      </c>
      <c r="N551" s="97">
        <f>+'INV POIR PPERDIDAS'!J$126</f>
        <v>69763098.239999995</v>
      </c>
      <c r="O551" s="97">
        <f>+'INV POIR PPERDIDAS'!K$126</f>
        <v>71680074.24000001</v>
      </c>
      <c r="P551" s="97">
        <f>+'INV POIR PPERDIDAS'!L$126</f>
        <v>73651119.359999999</v>
      </c>
    </row>
    <row r="552" spans="2:16" x14ac:dyDescent="0.2">
      <c r="B552" s="90" t="str">
        <f t="shared" si="71"/>
        <v>NO SE REQUIERE</v>
      </c>
      <c r="C552" s="90">
        <f t="shared" si="71"/>
        <v>48</v>
      </c>
      <c r="D552" s="95">
        <f t="shared" si="71"/>
        <v>3</v>
      </c>
      <c r="E552" s="96">
        <f t="shared" si="71"/>
        <v>182564111.13095859</v>
      </c>
      <c r="F552" s="93">
        <f>+VLOOKUP(C552,'INV POIR PPERDIDAS'!$C$4:$F$123,4,FALSE)</f>
        <v>1</v>
      </c>
      <c r="G552" s="97">
        <f>+'INV POIR PPERDIDAS'!C$126</f>
        <v>53998308</v>
      </c>
      <c r="H552" s="97">
        <f>+'INV POIR PPERDIDAS'!D$126</f>
        <v>56894335.679999992</v>
      </c>
      <c r="I552" s="97">
        <f>+'INV POIR PPERDIDAS'!E$126</f>
        <v>59253219.840000004</v>
      </c>
      <c r="J552" s="97">
        <f>+'INV POIR PPERDIDAS'!F$126</f>
        <v>61613804.039999999</v>
      </c>
      <c r="K552" s="97">
        <f>+'INV POIR PPERDIDAS'!G$126</f>
        <v>63980742.840000004</v>
      </c>
      <c r="L552" s="97">
        <f>+'INV POIR PPERDIDAS'!H$126</f>
        <v>66048339.600000009</v>
      </c>
      <c r="M552" s="97">
        <f>+'INV POIR PPERDIDAS'!I$126</f>
        <v>67860109.199999988</v>
      </c>
      <c r="N552" s="97">
        <f>+'INV POIR PPERDIDAS'!J$126</f>
        <v>69763098.239999995</v>
      </c>
      <c r="O552" s="97">
        <f>+'INV POIR PPERDIDAS'!K$126</f>
        <v>71680074.24000001</v>
      </c>
      <c r="P552" s="97">
        <f>+'INV POIR PPERDIDAS'!L$126</f>
        <v>73651119.359999999</v>
      </c>
    </row>
    <row r="553" spans="2:16" x14ac:dyDescent="0.2">
      <c r="B553" s="90" t="str">
        <f t="shared" si="71"/>
        <v>NO SE REQUIERE</v>
      </c>
      <c r="C553" s="90">
        <f t="shared" si="71"/>
        <v>49</v>
      </c>
      <c r="D553" s="95">
        <f t="shared" si="71"/>
        <v>4</v>
      </c>
      <c r="E553" s="96">
        <f t="shared" si="71"/>
        <v>182564111.13095859</v>
      </c>
      <c r="F553" s="93">
        <f>+VLOOKUP(C553,'INV POIR PPERDIDAS'!$C$4:$F$123,4,FALSE)</f>
        <v>1</v>
      </c>
      <c r="G553" s="97">
        <f>+'INV POIR PPERDIDAS'!C$126</f>
        <v>53998308</v>
      </c>
      <c r="H553" s="97">
        <f>+'INV POIR PPERDIDAS'!D$126</f>
        <v>56894335.679999992</v>
      </c>
      <c r="I553" s="97">
        <f>+'INV POIR PPERDIDAS'!E$126</f>
        <v>59253219.840000004</v>
      </c>
      <c r="J553" s="97">
        <f>+'INV POIR PPERDIDAS'!F$126</f>
        <v>61613804.039999999</v>
      </c>
      <c r="K553" s="97">
        <f>+'INV POIR PPERDIDAS'!G$126</f>
        <v>63980742.840000004</v>
      </c>
      <c r="L553" s="97">
        <f>+'INV POIR PPERDIDAS'!H$126</f>
        <v>66048339.600000009</v>
      </c>
      <c r="M553" s="97">
        <f>+'INV POIR PPERDIDAS'!I$126</f>
        <v>67860109.199999988</v>
      </c>
      <c r="N553" s="97">
        <f>+'INV POIR PPERDIDAS'!J$126</f>
        <v>69763098.239999995</v>
      </c>
      <c r="O553" s="97">
        <f>+'INV POIR PPERDIDAS'!K$126</f>
        <v>71680074.24000001</v>
      </c>
      <c r="P553" s="97">
        <f>+'INV POIR PPERDIDAS'!L$126</f>
        <v>73651119.359999999</v>
      </c>
    </row>
    <row r="554" spans="2:16" x14ac:dyDescent="0.2">
      <c r="B554" s="90" t="str">
        <f t="shared" ref="B554:E569" si="72">+B430</f>
        <v>NO SE REQUIERE</v>
      </c>
      <c r="C554" s="90">
        <f t="shared" si="72"/>
        <v>50</v>
      </c>
      <c r="D554" s="95">
        <f t="shared" si="72"/>
        <v>5</v>
      </c>
      <c r="E554" s="96">
        <f t="shared" si="72"/>
        <v>182564111.13095859</v>
      </c>
      <c r="F554" s="93">
        <f>+VLOOKUP(C554,'INV POIR PPERDIDAS'!$C$4:$F$123,4,FALSE)</f>
        <v>1</v>
      </c>
      <c r="G554" s="97">
        <f>+'INV POIR PPERDIDAS'!C$126</f>
        <v>53998308</v>
      </c>
      <c r="H554" s="97">
        <f>+'INV POIR PPERDIDAS'!D$126</f>
        <v>56894335.679999992</v>
      </c>
      <c r="I554" s="97">
        <f>+'INV POIR PPERDIDAS'!E$126</f>
        <v>59253219.840000004</v>
      </c>
      <c r="J554" s="97">
        <f>+'INV POIR PPERDIDAS'!F$126</f>
        <v>61613804.039999999</v>
      </c>
      <c r="K554" s="97">
        <f>+'INV POIR PPERDIDAS'!G$126</f>
        <v>63980742.840000004</v>
      </c>
      <c r="L554" s="97">
        <f>+'INV POIR PPERDIDAS'!H$126</f>
        <v>66048339.600000009</v>
      </c>
      <c r="M554" s="97">
        <f>+'INV POIR PPERDIDAS'!I$126</f>
        <v>67860109.199999988</v>
      </c>
      <c r="N554" s="97">
        <f>+'INV POIR PPERDIDAS'!J$126</f>
        <v>69763098.239999995</v>
      </c>
      <c r="O554" s="97">
        <f>+'INV POIR PPERDIDAS'!K$126</f>
        <v>71680074.24000001</v>
      </c>
      <c r="P554" s="97">
        <f>+'INV POIR PPERDIDAS'!L$126</f>
        <v>73651119.359999999</v>
      </c>
    </row>
    <row r="555" spans="2:16" x14ac:dyDescent="0.2">
      <c r="B555" s="90" t="str">
        <f t="shared" si="72"/>
        <v>NO SE REQUIERE</v>
      </c>
      <c r="C555" s="90">
        <f t="shared" si="72"/>
        <v>51</v>
      </c>
      <c r="D555" s="95">
        <f t="shared" si="72"/>
        <v>6</v>
      </c>
      <c r="E555" s="96">
        <f t="shared" si="72"/>
        <v>0</v>
      </c>
      <c r="F555" s="93">
        <f>+VLOOKUP(C555,'INV POIR PPERDIDAS'!$C$4:$F$123,4,FALSE)</f>
        <v>1</v>
      </c>
      <c r="G555" s="97">
        <f>+'INV POIR PPERDIDAS'!C$126</f>
        <v>53998308</v>
      </c>
      <c r="H555" s="97">
        <f>+'INV POIR PPERDIDAS'!D$126</f>
        <v>56894335.679999992</v>
      </c>
      <c r="I555" s="97">
        <f>+'INV POIR PPERDIDAS'!E$126</f>
        <v>59253219.840000004</v>
      </c>
      <c r="J555" s="97">
        <f>+'INV POIR PPERDIDAS'!F$126</f>
        <v>61613804.039999999</v>
      </c>
      <c r="K555" s="97">
        <f>+'INV POIR PPERDIDAS'!G$126</f>
        <v>63980742.840000004</v>
      </c>
      <c r="L555" s="97">
        <f>+'INV POIR PPERDIDAS'!H$126</f>
        <v>66048339.600000009</v>
      </c>
      <c r="M555" s="97">
        <f>+'INV POIR PPERDIDAS'!I$126</f>
        <v>67860109.199999988</v>
      </c>
      <c r="N555" s="97">
        <f>+'INV POIR PPERDIDAS'!J$126</f>
        <v>69763098.239999995</v>
      </c>
      <c r="O555" s="97">
        <f>+'INV POIR PPERDIDAS'!K$126</f>
        <v>71680074.24000001</v>
      </c>
      <c r="P555" s="97">
        <f>+'INV POIR PPERDIDAS'!L$126</f>
        <v>73651119.359999999</v>
      </c>
    </row>
    <row r="556" spans="2:16" x14ac:dyDescent="0.2">
      <c r="B556" s="90" t="str">
        <f t="shared" si="72"/>
        <v>NO SE REQUIERE</v>
      </c>
      <c r="C556" s="90">
        <f t="shared" si="72"/>
        <v>52</v>
      </c>
      <c r="D556" s="95">
        <f t="shared" si="72"/>
        <v>7</v>
      </c>
      <c r="E556" s="96">
        <f t="shared" si="72"/>
        <v>0</v>
      </c>
      <c r="F556" s="93">
        <f>+VLOOKUP(C556,'INV POIR PPERDIDAS'!$C$4:$F$123,4,FALSE)</f>
        <v>1</v>
      </c>
      <c r="G556" s="97">
        <f>+'INV POIR PPERDIDAS'!C$126</f>
        <v>53998308</v>
      </c>
      <c r="H556" s="97">
        <f>+'INV POIR PPERDIDAS'!D$126</f>
        <v>56894335.679999992</v>
      </c>
      <c r="I556" s="97">
        <f>+'INV POIR PPERDIDAS'!E$126</f>
        <v>59253219.840000004</v>
      </c>
      <c r="J556" s="97">
        <f>+'INV POIR PPERDIDAS'!F$126</f>
        <v>61613804.039999999</v>
      </c>
      <c r="K556" s="97">
        <f>+'INV POIR PPERDIDAS'!G$126</f>
        <v>63980742.840000004</v>
      </c>
      <c r="L556" s="97">
        <f>+'INV POIR PPERDIDAS'!H$126</f>
        <v>66048339.600000009</v>
      </c>
      <c r="M556" s="97">
        <f>+'INV POIR PPERDIDAS'!I$126</f>
        <v>67860109.199999988</v>
      </c>
      <c r="N556" s="97">
        <f>+'INV POIR PPERDIDAS'!J$126</f>
        <v>69763098.239999995</v>
      </c>
      <c r="O556" s="97">
        <f>+'INV POIR PPERDIDAS'!K$126</f>
        <v>71680074.24000001</v>
      </c>
      <c r="P556" s="97">
        <f>+'INV POIR PPERDIDAS'!L$126</f>
        <v>73651119.359999999</v>
      </c>
    </row>
    <row r="557" spans="2:16" x14ac:dyDescent="0.2">
      <c r="B557" s="90" t="str">
        <f t="shared" si="72"/>
        <v>NO SE REQUIERE</v>
      </c>
      <c r="C557" s="90">
        <f t="shared" si="72"/>
        <v>53</v>
      </c>
      <c r="D557" s="95">
        <f t="shared" si="72"/>
        <v>8</v>
      </c>
      <c r="E557" s="96">
        <f t="shared" si="72"/>
        <v>0</v>
      </c>
      <c r="F557" s="93">
        <f>+VLOOKUP(C557,'INV POIR PPERDIDAS'!$C$4:$F$123,4,FALSE)</f>
        <v>1</v>
      </c>
      <c r="G557" s="97">
        <f>+'INV POIR PPERDIDAS'!C$126</f>
        <v>53998308</v>
      </c>
      <c r="H557" s="97">
        <f>+'INV POIR PPERDIDAS'!D$126</f>
        <v>56894335.679999992</v>
      </c>
      <c r="I557" s="97">
        <f>+'INV POIR PPERDIDAS'!E$126</f>
        <v>59253219.840000004</v>
      </c>
      <c r="J557" s="97">
        <f>+'INV POIR PPERDIDAS'!F$126</f>
        <v>61613804.039999999</v>
      </c>
      <c r="K557" s="97">
        <f>+'INV POIR PPERDIDAS'!G$126</f>
        <v>63980742.840000004</v>
      </c>
      <c r="L557" s="97">
        <f>+'INV POIR PPERDIDAS'!H$126</f>
        <v>66048339.600000009</v>
      </c>
      <c r="M557" s="97">
        <f>+'INV POIR PPERDIDAS'!I$126</f>
        <v>67860109.199999988</v>
      </c>
      <c r="N557" s="97">
        <f>+'INV POIR PPERDIDAS'!J$126</f>
        <v>69763098.239999995</v>
      </c>
      <c r="O557" s="97">
        <f>+'INV POIR PPERDIDAS'!K$126</f>
        <v>71680074.24000001</v>
      </c>
      <c r="P557" s="97">
        <f>+'INV POIR PPERDIDAS'!L$126</f>
        <v>73651119.359999999</v>
      </c>
    </row>
    <row r="558" spans="2:16" x14ac:dyDescent="0.2">
      <c r="B558" s="90" t="str">
        <f t="shared" si="72"/>
        <v>NO SE REQUIERE</v>
      </c>
      <c r="C558" s="90">
        <f t="shared" si="72"/>
        <v>54</v>
      </c>
      <c r="D558" s="95">
        <f t="shared" si="72"/>
        <v>9</v>
      </c>
      <c r="E558" s="96">
        <f t="shared" si="72"/>
        <v>0</v>
      </c>
      <c r="F558" s="93">
        <f>+VLOOKUP(C558,'INV POIR PPERDIDAS'!$C$4:$F$123,4,FALSE)</f>
        <v>1</v>
      </c>
      <c r="G558" s="97">
        <f>+'INV POIR PPERDIDAS'!C$126</f>
        <v>53998308</v>
      </c>
      <c r="H558" s="97">
        <f>+'INV POIR PPERDIDAS'!D$126</f>
        <v>56894335.679999992</v>
      </c>
      <c r="I558" s="97">
        <f>+'INV POIR PPERDIDAS'!E$126</f>
        <v>59253219.840000004</v>
      </c>
      <c r="J558" s="97">
        <f>+'INV POIR PPERDIDAS'!F$126</f>
        <v>61613804.039999999</v>
      </c>
      <c r="K558" s="97">
        <f>+'INV POIR PPERDIDAS'!G$126</f>
        <v>63980742.840000004</v>
      </c>
      <c r="L558" s="97">
        <f>+'INV POIR PPERDIDAS'!H$126</f>
        <v>66048339.600000009</v>
      </c>
      <c r="M558" s="97">
        <f>+'INV POIR PPERDIDAS'!I$126</f>
        <v>67860109.199999988</v>
      </c>
      <c r="N558" s="97">
        <f>+'INV POIR PPERDIDAS'!J$126</f>
        <v>69763098.239999995</v>
      </c>
      <c r="O558" s="97">
        <f>+'INV POIR PPERDIDAS'!K$126</f>
        <v>71680074.24000001</v>
      </c>
      <c r="P558" s="97">
        <f>+'INV POIR PPERDIDAS'!L$126</f>
        <v>73651119.359999999</v>
      </c>
    </row>
    <row r="559" spans="2:16" x14ac:dyDescent="0.2">
      <c r="B559" s="90" t="str">
        <f t="shared" si="72"/>
        <v>NO SE REQUIERE</v>
      </c>
      <c r="C559" s="90">
        <f t="shared" si="72"/>
        <v>55</v>
      </c>
      <c r="D559" s="95">
        <f t="shared" si="72"/>
        <v>10</v>
      </c>
      <c r="E559" s="96">
        <f t="shared" si="72"/>
        <v>0</v>
      </c>
      <c r="F559" s="93">
        <f>+VLOOKUP(C559,'INV POIR PPERDIDAS'!$C$4:$F$123,4,FALSE)</f>
        <v>1</v>
      </c>
      <c r="G559" s="97">
        <f>+'INV POIR PPERDIDAS'!C$126</f>
        <v>53998308</v>
      </c>
      <c r="H559" s="97">
        <f>+'INV POIR PPERDIDAS'!D$126</f>
        <v>56894335.679999992</v>
      </c>
      <c r="I559" s="97">
        <f>+'INV POIR PPERDIDAS'!E$126</f>
        <v>59253219.840000004</v>
      </c>
      <c r="J559" s="97">
        <f>+'INV POIR PPERDIDAS'!F$126</f>
        <v>61613804.039999999</v>
      </c>
      <c r="K559" s="97">
        <f>+'INV POIR PPERDIDAS'!G$126</f>
        <v>63980742.840000004</v>
      </c>
      <c r="L559" s="97">
        <f>+'INV POIR PPERDIDAS'!H$126</f>
        <v>66048339.600000009</v>
      </c>
      <c r="M559" s="97">
        <f>+'INV POIR PPERDIDAS'!I$126</f>
        <v>67860109.199999988</v>
      </c>
      <c r="N559" s="97">
        <f>+'INV POIR PPERDIDAS'!J$126</f>
        <v>69763098.239999995</v>
      </c>
      <c r="O559" s="97">
        <f>+'INV POIR PPERDIDAS'!K$126</f>
        <v>71680074.24000001</v>
      </c>
      <c r="P559" s="97">
        <f>+'INV POIR PPERDIDAS'!L$126</f>
        <v>73651119.359999999</v>
      </c>
    </row>
    <row r="560" spans="2:16" x14ac:dyDescent="0.2">
      <c r="B560" s="90" t="str">
        <f t="shared" si="72"/>
        <v>REHABILITACIÓN REDES</v>
      </c>
      <c r="C560" s="90">
        <f t="shared" si="72"/>
        <v>56</v>
      </c>
      <c r="D560" s="95">
        <f t="shared" si="72"/>
        <v>0</v>
      </c>
      <c r="E560" s="96">
        <f t="shared" si="72"/>
        <v>0</v>
      </c>
      <c r="F560" s="93">
        <f>+VLOOKUP(C560,'INV POIR PPERDIDAS'!$C$4:$F$123,4,FALSE)</f>
        <v>45</v>
      </c>
      <c r="G560" s="97">
        <f>+'INV POIR PPERDIDAS'!C$126</f>
        <v>53998308</v>
      </c>
      <c r="H560" s="97">
        <f>+'INV POIR PPERDIDAS'!D$126</f>
        <v>56894335.679999992</v>
      </c>
      <c r="I560" s="97">
        <f>+'INV POIR PPERDIDAS'!E$126</f>
        <v>59253219.840000004</v>
      </c>
      <c r="J560" s="97">
        <f>+'INV POIR PPERDIDAS'!F$126</f>
        <v>61613804.039999999</v>
      </c>
      <c r="K560" s="97">
        <f>+'INV POIR PPERDIDAS'!G$126</f>
        <v>63980742.840000004</v>
      </c>
      <c r="L560" s="97">
        <f>+'INV POIR PPERDIDAS'!H$126</f>
        <v>66048339.600000009</v>
      </c>
      <c r="M560" s="97">
        <f>+'INV POIR PPERDIDAS'!I$126</f>
        <v>67860109.199999988</v>
      </c>
      <c r="N560" s="97">
        <f>+'INV POIR PPERDIDAS'!J$126</f>
        <v>69763098.239999995</v>
      </c>
      <c r="O560" s="97">
        <f>+'INV POIR PPERDIDAS'!K$126</f>
        <v>71680074.24000001</v>
      </c>
      <c r="P560" s="97">
        <f>+'INV POIR PPERDIDAS'!L$126</f>
        <v>73651119.359999999</v>
      </c>
    </row>
    <row r="561" spans="2:16" x14ac:dyDescent="0.2">
      <c r="B561" s="90" t="str">
        <f t="shared" si="72"/>
        <v>REHABILITACIÓN REDES</v>
      </c>
      <c r="C561" s="90">
        <f t="shared" si="72"/>
        <v>57</v>
      </c>
      <c r="D561" s="95">
        <f t="shared" si="72"/>
        <v>1</v>
      </c>
      <c r="E561" s="96">
        <f t="shared" si="72"/>
        <v>0</v>
      </c>
      <c r="F561" s="93">
        <f>+VLOOKUP(C561,'INV POIR PPERDIDAS'!$C$4:$F$123,4,FALSE)</f>
        <v>45</v>
      </c>
      <c r="G561" s="97">
        <f>+'INV POIR PPERDIDAS'!C$126</f>
        <v>53998308</v>
      </c>
      <c r="H561" s="97">
        <f>+'INV POIR PPERDIDAS'!D$126</f>
        <v>56894335.679999992</v>
      </c>
      <c r="I561" s="97">
        <f>+'INV POIR PPERDIDAS'!E$126</f>
        <v>59253219.840000004</v>
      </c>
      <c r="J561" s="97">
        <f>+'INV POIR PPERDIDAS'!F$126</f>
        <v>61613804.039999999</v>
      </c>
      <c r="K561" s="97">
        <f>+'INV POIR PPERDIDAS'!G$126</f>
        <v>63980742.840000004</v>
      </c>
      <c r="L561" s="97">
        <f>+'INV POIR PPERDIDAS'!H$126</f>
        <v>66048339.600000009</v>
      </c>
      <c r="M561" s="97">
        <f>+'INV POIR PPERDIDAS'!I$126</f>
        <v>67860109.199999988</v>
      </c>
      <c r="N561" s="97">
        <f>+'INV POIR PPERDIDAS'!J$126</f>
        <v>69763098.239999995</v>
      </c>
      <c r="O561" s="97">
        <f>+'INV POIR PPERDIDAS'!K$126</f>
        <v>71680074.24000001</v>
      </c>
      <c r="P561" s="97">
        <f>+'INV POIR PPERDIDAS'!L$126</f>
        <v>73651119.359999999</v>
      </c>
    </row>
    <row r="562" spans="2:16" x14ac:dyDescent="0.2">
      <c r="B562" s="90" t="str">
        <f t="shared" si="72"/>
        <v>REHABILITACIÓN REDES</v>
      </c>
      <c r="C562" s="90">
        <f t="shared" si="72"/>
        <v>58</v>
      </c>
      <c r="D562" s="95">
        <f t="shared" si="72"/>
        <v>2</v>
      </c>
      <c r="E562" s="96">
        <f t="shared" si="72"/>
        <v>611554989.46373248</v>
      </c>
      <c r="F562" s="93">
        <f>+VLOOKUP(C562,'INV POIR PPERDIDAS'!$C$4:$F$123,4,FALSE)</f>
        <v>45</v>
      </c>
      <c r="G562" s="97">
        <f>+'INV POIR PPERDIDAS'!C$126</f>
        <v>53998308</v>
      </c>
      <c r="H562" s="97">
        <f>+'INV POIR PPERDIDAS'!D$126</f>
        <v>56894335.679999992</v>
      </c>
      <c r="I562" s="97">
        <f>+'INV POIR PPERDIDAS'!E$126</f>
        <v>59253219.840000004</v>
      </c>
      <c r="J562" s="97">
        <f>+'INV POIR PPERDIDAS'!F$126</f>
        <v>61613804.039999999</v>
      </c>
      <c r="K562" s="97">
        <f>+'INV POIR PPERDIDAS'!G$126</f>
        <v>63980742.840000004</v>
      </c>
      <c r="L562" s="97">
        <f>+'INV POIR PPERDIDAS'!H$126</f>
        <v>66048339.600000009</v>
      </c>
      <c r="M562" s="97">
        <f>+'INV POIR PPERDIDAS'!I$126</f>
        <v>67860109.199999988</v>
      </c>
      <c r="N562" s="97">
        <f>+'INV POIR PPERDIDAS'!J$126</f>
        <v>69763098.239999995</v>
      </c>
      <c r="O562" s="97">
        <f>+'INV POIR PPERDIDAS'!K$126</f>
        <v>71680074.24000001</v>
      </c>
      <c r="P562" s="97">
        <f>+'INV POIR PPERDIDAS'!L$126</f>
        <v>73651119.359999999</v>
      </c>
    </row>
    <row r="563" spans="2:16" x14ac:dyDescent="0.2">
      <c r="B563" s="90" t="str">
        <f t="shared" si="72"/>
        <v>REHABILITACIÓN REDES</v>
      </c>
      <c r="C563" s="90">
        <f t="shared" si="72"/>
        <v>59</v>
      </c>
      <c r="D563" s="95">
        <f t="shared" si="72"/>
        <v>3</v>
      </c>
      <c r="E563" s="96">
        <f t="shared" si="72"/>
        <v>257258799.37705919</v>
      </c>
      <c r="F563" s="93">
        <f>+VLOOKUP(C563,'INV POIR PPERDIDAS'!$C$4:$F$123,4,FALSE)</f>
        <v>45</v>
      </c>
      <c r="G563" s="97">
        <f>+'INV POIR PPERDIDAS'!C$126</f>
        <v>53998308</v>
      </c>
      <c r="H563" s="97">
        <f>+'INV POIR PPERDIDAS'!D$126</f>
        <v>56894335.679999992</v>
      </c>
      <c r="I563" s="97">
        <f>+'INV POIR PPERDIDAS'!E$126</f>
        <v>59253219.840000004</v>
      </c>
      <c r="J563" s="97">
        <f>+'INV POIR PPERDIDAS'!F$126</f>
        <v>61613804.039999999</v>
      </c>
      <c r="K563" s="97">
        <f>+'INV POIR PPERDIDAS'!G$126</f>
        <v>63980742.840000004</v>
      </c>
      <c r="L563" s="97">
        <f>+'INV POIR PPERDIDAS'!H$126</f>
        <v>66048339.600000009</v>
      </c>
      <c r="M563" s="97">
        <f>+'INV POIR PPERDIDAS'!I$126</f>
        <v>67860109.199999988</v>
      </c>
      <c r="N563" s="97">
        <f>+'INV POIR PPERDIDAS'!J$126</f>
        <v>69763098.239999995</v>
      </c>
      <c r="O563" s="97">
        <f>+'INV POIR PPERDIDAS'!K$126</f>
        <v>71680074.24000001</v>
      </c>
      <c r="P563" s="97">
        <f>+'INV POIR PPERDIDAS'!L$126</f>
        <v>73651119.359999999</v>
      </c>
    </row>
    <row r="564" spans="2:16" x14ac:dyDescent="0.2">
      <c r="B564" s="90" t="str">
        <f t="shared" si="72"/>
        <v>REHABILITACIÓN REDES</v>
      </c>
      <c r="C564" s="90">
        <f t="shared" si="72"/>
        <v>60</v>
      </c>
      <c r="D564" s="95">
        <f t="shared" si="72"/>
        <v>4</v>
      </c>
      <c r="E564" s="96">
        <f t="shared" si="72"/>
        <v>426601786.47694588</v>
      </c>
      <c r="F564" s="93">
        <f>+VLOOKUP(C564,'INV POIR PPERDIDAS'!$C$4:$F$123,4,FALSE)</f>
        <v>45</v>
      </c>
      <c r="G564" s="97">
        <f>+'INV POIR PPERDIDAS'!C$126</f>
        <v>53998308</v>
      </c>
      <c r="H564" s="97">
        <f>+'INV POIR PPERDIDAS'!D$126</f>
        <v>56894335.679999992</v>
      </c>
      <c r="I564" s="97">
        <f>+'INV POIR PPERDIDAS'!E$126</f>
        <v>59253219.840000004</v>
      </c>
      <c r="J564" s="97">
        <f>+'INV POIR PPERDIDAS'!F$126</f>
        <v>61613804.039999999</v>
      </c>
      <c r="K564" s="97">
        <f>+'INV POIR PPERDIDAS'!G$126</f>
        <v>63980742.840000004</v>
      </c>
      <c r="L564" s="97">
        <f>+'INV POIR PPERDIDAS'!H$126</f>
        <v>66048339.600000009</v>
      </c>
      <c r="M564" s="97">
        <f>+'INV POIR PPERDIDAS'!I$126</f>
        <v>67860109.199999988</v>
      </c>
      <c r="N564" s="97">
        <f>+'INV POIR PPERDIDAS'!J$126</f>
        <v>69763098.239999995</v>
      </c>
      <c r="O564" s="97">
        <f>+'INV POIR PPERDIDAS'!K$126</f>
        <v>71680074.24000001</v>
      </c>
      <c r="P564" s="97">
        <f>+'INV POIR PPERDIDAS'!L$126</f>
        <v>73651119.359999999</v>
      </c>
    </row>
    <row r="565" spans="2:16" x14ac:dyDescent="0.2">
      <c r="B565" s="90" t="str">
        <f t="shared" si="72"/>
        <v>REHABILITACIÓN REDES</v>
      </c>
      <c r="C565" s="90">
        <f t="shared" si="72"/>
        <v>61</v>
      </c>
      <c r="D565" s="95">
        <f t="shared" si="72"/>
        <v>5</v>
      </c>
      <c r="E565" s="96">
        <f t="shared" si="72"/>
        <v>358819367.65486312</v>
      </c>
      <c r="F565" s="93">
        <f>+VLOOKUP(C565,'INV POIR PPERDIDAS'!$C$4:$F$123,4,FALSE)</f>
        <v>45</v>
      </c>
      <c r="G565" s="97">
        <f>+'INV POIR PPERDIDAS'!C$126</f>
        <v>53998308</v>
      </c>
      <c r="H565" s="97">
        <f>+'INV POIR PPERDIDAS'!D$126</f>
        <v>56894335.679999992</v>
      </c>
      <c r="I565" s="97">
        <f>+'INV POIR PPERDIDAS'!E$126</f>
        <v>59253219.840000004</v>
      </c>
      <c r="J565" s="97">
        <f>+'INV POIR PPERDIDAS'!F$126</f>
        <v>61613804.039999999</v>
      </c>
      <c r="K565" s="97">
        <f>+'INV POIR PPERDIDAS'!G$126</f>
        <v>63980742.840000004</v>
      </c>
      <c r="L565" s="97">
        <f>+'INV POIR PPERDIDAS'!H$126</f>
        <v>66048339.600000009</v>
      </c>
      <c r="M565" s="97">
        <f>+'INV POIR PPERDIDAS'!I$126</f>
        <v>67860109.199999988</v>
      </c>
      <c r="N565" s="97">
        <f>+'INV POIR PPERDIDAS'!J$126</f>
        <v>69763098.239999995</v>
      </c>
      <c r="O565" s="97">
        <f>+'INV POIR PPERDIDAS'!K$126</f>
        <v>71680074.24000001</v>
      </c>
      <c r="P565" s="97">
        <f>+'INV POIR PPERDIDAS'!L$126</f>
        <v>73651119.359999999</v>
      </c>
    </row>
    <row r="566" spans="2:16" x14ac:dyDescent="0.2">
      <c r="B566" s="90" t="str">
        <f t="shared" si="72"/>
        <v>REHABILITACIÓN REDES</v>
      </c>
      <c r="C566" s="90">
        <f t="shared" si="72"/>
        <v>62</v>
      </c>
      <c r="D566" s="95">
        <f t="shared" si="72"/>
        <v>6</v>
      </c>
      <c r="E566" s="96">
        <f t="shared" si="72"/>
        <v>1076231401.3037224</v>
      </c>
      <c r="F566" s="93">
        <f>+VLOOKUP(C566,'INV POIR PPERDIDAS'!$C$4:$F$123,4,FALSE)</f>
        <v>45</v>
      </c>
      <c r="G566" s="97">
        <f>+'INV POIR PPERDIDAS'!C$126</f>
        <v>53998308</v>
      </c>
      <c r="H566" s="97">
        <f>+'INV POIR PPERDIDAS'!D$126</f>
        <v>56894335.679999992</v>
      </c>
      <c r="I566" s="97">
        <f>+'INV POIR PPERDIDAS'!E$126</f>
        <v>59253219.840000004</v>
      </c>
      <c r="J566" s="97">
        <f>+'INV POIR PPERDIDAS'!F$126</f>
        <v>61613804.039999999</v>
      </c>
      <c r="K566" s="97">
        <f>+'INV POIR PPERDIDAS'!G$126</f>
        <v>63980742.840000004</v>
      </c>
      <c r="L566" s="97">
        <f>+'INV POIR PPERDIDAS'!H$126</f>
        <v>66048339.600000009</v>
      </c>
      <c r="M566" s="97">
        <f>+'INV POIR PPERDIDAS'!I$126</f>
        <v>67860109.199999988</v>
      </c>
      <c r="N566" s="97">
        <f>+'INV POIR PPERDIDAS'!J$126</f>
        <v>69763098.239999995</v>
      </c>
      <c r="O566" s="97">
        <f>+'INV POIR PPERDIDAS'!K$126</f>
        <v>71680074.24000001</v>
      </c>
      <c r="P566" s="97">
        <f>+'INV POIR PPERDIDAS'!L$126</f>
        <v>73651119.359999999</v>
      </c>
    </row>
    <row r="567" spans="2:16" x14ac:dyDescent="0.2">
      <c r="B567" s="90" t="str">
        <f t="shared" si="72"/>
        <v>REHABILITACIÓN REDES</v>
      </c>
      <c r="C567" s="90">
        <f t="shared" si="72"/>
        <v>63</v>
      </c>
      <c r="D567" s="95">
        <f t="shared" si="72"/>
        <v>7</v>
      </c>
      <c r="E567" s="96">
        <f t="shared" si="72"/>
        <v>658254709.55816746</v>
      </c>
      <c r="F567" s="93">
        <f>+VLOOKUP(C567,'INV POIR PPERDIDAS'!$C$4:$F$123,4,FALSE)</f>
        <v>45</v>
      </c>
      <c r="G567" s="97">
        <f>+'INV POIR PPERDIDAS'!C$126</f>
        <v>53998308</v>
      </c>
      <c r="H567" s="97">
        <f>+'INV POIR PPERDIDAS'!D$126</f>
        <v>56894335.679999992</v>
      </c>
      <c r="I567" s="97">
        <f>+'INV POIR PPERDIDAS'!E$126</f>
        <v>59253219.840000004</v>
      </c>
      <c r="J567" s="97">
        <f>+'INV POIR PPERDIDAS'!F$126</f>
        <v>61613804.039999999</v>
      </c>
      <c r="K567" s="97">
        <f>+'INV POIR PPERDIDAS'!G$126</f>
        <v>63980742.840000004</v>
      </c>
      <c r="L567" s="97">
        <f>+'INV POIR PPERDIDAS'!H$126</f>
        <v>66048339.600000009</v>
      </c>
      <c r="M567" s="97">
        <f>+'INV POIR PPERDIDAS'!I$126</f>
        <v>67860109.199999988</v>
      </c>
      <c r="N567" s="97">
        <f>+'INV POIR PPERDIDAS'!J$126</f>
        <v>69763098.239999995</v>
      </c>
      <c r="O567" s="97">
        <f>+'INV POIR PPERDIDAS'!K$126</f>
        <v>71680074.24000001</v>
      </c>
      <c r="P567" s="97">
        <f>+'INV POIR PPERDIDAS'!L$126</f>
        <v>73651119.359999999</v>
      </c>
    </row>
    <row r="568" spans="2:16" x14ac:dyDescent="0.2">
      <c r="B568" s="90" t="str">
        <f t="shared" si="72"/>
        <v>REHABILITACIÓN REDES</v>
      </c>
      <c r="C568" s="90">
        <f t="shared" si="72"/>
        <v>64</v>
      </c>
      <c r="D568" s="95">
        <f t="shared" si="72"/>
        <v>8</v>
      </c>
      <c r="E568" s="96">
        <f t="shared" si="72"/>
        <v>1170325251.0100634</v>
      </c>
      <c r="F568" s="93">
        <f>+VLOOKUP(C568,'INV POIR PPERDIDAS'!$C$4:$F$123,4,FALSE)</f>
        <v>45</v>
      </c>
      <c r="G568" s="97">
        <f>+'INV POIR PPERDIDAS'!C$126</f>
        <v>53998308</v>
      </c>
      <c r="H568" s="97">
        <f>+'INV POIR PPERDIDAS'!D$126</f>
        <v>56894335.679999992</v>
      </c>
      <c r="I568" s="97">
        <f>+'INV POIR PPERDIDAS'!E$126</f>
        <v>59253219.840000004</v>
      </c>
      <c r="J568" s="97">
        <f>+'INV POIR PPERDIDAS'!F$126</f>
        <v>61613804.039999999</v>
      </c>
      <c r="K568" s="97">
        <f>+'INV POIR PPERDIDAS'!G$126</f>
        <v>63980742.840000004</v>
      </c>
      <c r="L568" s="97">
        <f>+'INV POIR PPERDIDAS'!H$126</f>
        <v>66048339.600000009</v>
      </c>
      <c r="M568" s="97">
        <f>+'INV POIR PPERDIDAS'!I$126</f>
        <v>67860109.199999988</v>
      </c>
      <c r="N568" s="97">
        <f>+'INV POIR PPERDIDAS'!J$126</f>
        <v>69763098.239999995</v>
      </c>
      <c r="O568" s="97">
        <f>+'INV POIR PPERDIDAS'!K$126</f>
        <v>71680074.24000001</v>
      </c>
      <c r="P568" s="97">
        <f>+'INV POIR PPERDIDAS'!L$126</f>
        <v>73651119.359999999</v>
      </c>
    </row>
    <row r="569" spans="2:16" x14ac:dyDescent="0.2">
      <c r="B569" s="90" t="str">
        <f t="shared" si="72"/>
        <v>REHABILITACIÓN REDES</v>
      </c>
      <c r="C569" s="90">
        <f t="shared" si="72"/>
        <v>65</v>
      </c>
      <c r="D569" s="95">
        <f t="shared" si="72"/>
        <v>9</v>
      </c>
      <c r="E569" s="96">
        <f t="shared" si="72"/>
        <v>708464993.44522178</v>
      </c>
      <c r="F569" s="93">
        <f>+VLOOKUP(C569,'INV POIR PPERDIDAS'!$C$4:$F$123,4,FALSE)</f>
        <v>45</v>
      </c>
      <c r="G569" s="97">
        <f>+'INV POIR PPERDIDAS'!C$126</f>
        <v>53998308</v>
      </c>
      <c r="H569" s="97">
        <f>+'INV POIR PPERDIDAS'!D$126</f>
        <v>56894335.679999992</v>
      </c>
      <c r="I569" s="97">
        <f>+'INV POIR PPERDIDAS'!E$126</f>
        <v>59253219.840000004</v>
      </c>
      <c r="J569" s="97">
        <f>+'INV POIR PPERDIDAS'!F$126</f>
        <v>61613804.039999999</v>
      </c>
      <c r="K569" s="97">
        <f>+'INV POIR PPERDIDAS'!G$126</f>
        <v>63980742.840000004</v>
      </c>
      <c r="L569" s="97">
        <f>+'INV POIR PPERDIDAS'!H$126</f>
        <v>66048339.600000009</v>
      </c>
      <c r="M569" s="97">
        <f>+'INV POIR PPERDIDAS'!I$126</f>
        <v>67860109.199999988</v>
      </c>
      <c r="N569" s="97">
        <f>+'INV POIR PPERDIDAS'!J$126</f>
        <v>69763098.239999995</v>
      </c>
      <c r="O569" s="97">
        <f>+'INV POIR PPERDIDAS'!K$126</f>
        <v>71680074.24000001</v>
      </c>
      <c r="P569" s="97">
        <f>+'INV POIR PPERDIDAS'!L$126</f>
        <v>73651119.359999999</v>
      </c>
    </row>
    <row r="570" spans="2:16" x14ac:dyDescent="0.2">
      <c r="B570" s="90" t="str">
        <f t="shared" ref="B570:E585" si="73">+B446</f>
        <v>REHABILITACIÓN REDES</v>
      </c>
      <c r="C570" s="90">
        <f t="shared" si="73"/>
        <v>66</v>
      </c>
      <c r="D570" s="95">
        <f t="shared" si="73"/>
        <v>10</v>
      </c>
      <c r="E570" s="96">
        <f t="shared" si="73"/>
        <v>660336978.95129299</v>
      </c>
      <c r="F570" s="93">
        <f>+VLOOKUP(C570,'INV POIR PPERDIDAS'!$C$4:$F$123,4,FALSE)</f>
        <v>45</v>
      </c>
      <c r="G570" s="97">
        <f>+'INV POIR PPERDIDAS'!C$126</f>
        <v>53998308</v>
      </c>
      <c r="H570" s="97">
        <f>+'INV POIR PPERDIDAS'!D$126</f>
        <v>56894335.679999992</v>
      </c>
      <c r="I570" s="97">
        <f>+'INV POIR PPERDIDAS'!E$126</f>
        <v>59253219.840000004</v>
      </c>
      <c r="J570" s="97">
        <f>+'INV POIR PPERDIDAS'!F$126</f>
        <v>61613804.039999999</v>
      </c>
      <c r="K570" s="97">
        <f>+'INV POIR PPERDIDAS'!G$126</f>
        <v>63980742.840000004</v>
      </c>
      <c r="L570" s="97">
        <f>+'INV POIR PPERDIDAS'!H$126</f>
        <v>66048339.600000009</v>
      </c>
      <c r="M570" s="97">
        <f>+'INV POIR PPERDIDAS'!I$126</f>
        <v>67860109.199999988</v>
      </c>
      <c r="N570" s="97">
        <f>+'INV POIR PPERDIDAS'!J$126</f>
        <v>69763098.239999995</v>
      </c>
      <c r="O570" s="97">
        <f>+'INV POIR PPERDIDAS'!K$126</f>
        <v>71680074.24000001</v>
      </c>
      <c r="P570" s="97">
        <f>+'INV POIR PPERDIDAS'!L$126</f>
        <v>73651119.359999999</v>
      </c>
    </row>
    <row r="571" spans="2:16" x14ac:dyDescent="0.2">
      <c r="B571" s="90" t="str">
        <f t="shared" si="73"/>
        <v>REDES</v>
      </c>
      <c r="C571" s="90">
        <f t="shared" si="73"/>
        <v>67</v>
      </c>
      <c r="D571" s="95">
        <f t="shared" si="73"/>
        <v>0</v>
      </c>
      <c r="E571" s="96">
        <f t="shared" si="73"/>
        <v>0</v>
      </c>
      <c r="F571" s="93">
        <f>+VLOOKUP(C571,'INV POIR PPERDIDAS'!$C$4:$F$123,4,FALSE)</f>
        <v>45</v>
      </c>
      <c r="G571" s="97">
        <f>+'INV POIR PPERDIDAS'!C$126</f>
        <v>53998308</v>
      </c>
      <c r="H571" s="97">
        <f>+'INV POIR PPERDIDAS'!D$126</f>
        <v>56894335.679999992</v>
      </c>
      <c r="I571" s="97">
        <f>+'INV POIR PPERDIDAS'!E$126</f>
        <v>59253219.840000004</v>
      </c>
      <c r="J571" s="97">
        <f>+'INV POIR PPERDIDAS'!F$126</f>
        <v>61613804.039999999</v>
      </c>
      <c r="K571" s="97">
        <f>+'INV POIR PPERDIDAS'!G$126</f>
        <v>63980742.840000004</v>
      </c>
      <c r="L571" s="97">
        <f>+'INV POIR PPERDIDAS'!H$126</f>
        <v>66048339.600000009</v>
      </c>
      <c r="M571" s="97">
        <f>+'INV POIR PPERDIDAS'!I$126</f>
        <v>67860109.199999988</v>
      </c>
      <c r="N571" s="97">
        <f>+'INV POIR PPERDIDAS'!J$126</f>
        <v>69763098.239999995</v>
      </c>
      <c r="O571" s="97">
        <f>+'INV POIR PPERDIDAS'!K$126</f>
        <v>71680074.24000001</v>
      </c>
      <c r="P571" s="97">
        <f>+'INV POIR PPERDIDAS'!L$126</f>
        <v>73651119.359999999</v>
      </c>
    </row>
    <row r="572" spans="2:16" x14ac:dyDescent="0.2">
      <c r="B572" s="90" t="str">
        <f t="shared" si="73"/>
        <v>REDES</v>
      </c>
      <c r="C572" s="90">
        <f t="shared" si="73"/>
        <v>68</v>
      </c>
      <c r="D572" s="95">
        <f t="shared" si="73"/>
        <v>1</v>
      </c>
      <c r="E572" s="96">
        <f t="shared" si="73"/>
        <v>0</v>
      </c>
      <c r="F572" s="93">
        <f>+VLOOKUP(C572,'INV POIR PPERDIDAS'!$C$4:$F$123,4,FALSE)</f>
        <v>45</v>
      </c>
      <c r="G572" s="97">
        <f>+'INV POIR PPERDIDAS'!C$126</f>
        <v>53998308</v>
      </c>
      <c r="H572" s="97">
        <f>+'INV POIR PPERDIDAS'!D$126</f>
        <v>56894335.679999992</v>
      </c>
      <c r="I572" s="97">
        <f>+'INV POIR PPERDIDAS'!E$126</f>
        <v>59253219.840000004</v>
      </c>
      <c r="J572" s="97">
        <f>+'INV POIR PPERDIDAS'!F$126</f>
        <v>61613804.039999999</v>
      </c>
      <c r="K572" s="97">
        <f>+'INV POIR PPERDIDAS'!G$126</f>
        <v>63980742.840000004</v>
      </c>
      <c r="L572" s="97">
        <f>+'INV POIR PPERDIDAS'!H$126</f>
        <v>66048339.600000009</v>
      </c>
      <c r="M572" s="97">
        <f>+'INV POIR PPERDIDAS'!I$126</f>
        <v>67860109.199999988</v>
      </c>
      <c r="N572" s="97">
        <f>+'INV POIR PPERDIDAS'!J$126</f>
        <v>69763098.239999995</v>
      </c>
      <c r="O572" s="97">
        <f>+'INV POIR PPERDIDAS'!K$126</f>
        <v>71680074.24000001</v>
      </c>
      <c r="P572" s="97">
        <f>+'INV POIR PPERDIDAS'!L$126</f>
        <v>73651119.359999999</v>
      </c>
    </row>
    <row r="573" spans="2:16" x14ac:dyDescent="0.2">
      <c r="B573" s="90" t="str">
        <f t="shared" si="73"/>
        <v>REDES</v>
      </c>
      <c r="C573" s="90">
        <f t="shared" si="73"/>
        <v>69</v>
      </c>
      <c r="D573" s="95">
        <f t="shared" si="73"/>
        <v>2</v>
      </c>
      <c r="E573" s="96">
        <f t="shared" si="73"/>
        <v>3410222003.4983039</v>
      </c>
      <c r="F573" s="93">
        <f>+VLOOKUP(C573,'INV POIR PPERDIDAS'!$C$4:$F$123,4,FALSE)</f>
        <v>45</v>
      </c>
      <c r="G573" s="97">
        <f>+'INV POIR PPERDIDAS'!C$126</f>
        <v>53998308</v>
      </c>
      <c r="H573" s="97">
        <f>+'INV POIR PPERDIDAS'!D$126</f>
        <v>56894335.679999992</v>
      </c>
      <c r="I573" s="97">
        <f>+'INV POIR PPERDIDAS'!E$126</f>
        <v>59253219.840000004</v>
      </c>
      <c r="J573" s="97">
        <f>+'INV POIR PPERDIDAS'!F$126</f>
        <v>61613804.039999999</v>
      </c>
      <c r="K573" s="97">
        <f>+'INV POIR PPERDIDAS'!G$126</f>
        <v>63980742.840000004</v>
      </c>
      <c r="L573" s="97">
        <f>+'INV POIR PPERDIDAS'!H$126</f>
        <v>66048339.600000009</v>
      </c>
      <c r="M573" s="97">
        <f>+'INV POIR PPERDIDAS'!I$126</f>
        <v>67860109.199999988</v>
      </c>
      <c r="N573" s="97">
        <f>+'INV POIR PPERDIDAS'!J$126</f>
        <v>69763098.239999995</v>
      </c>
      <c r="O573" s="97">
        <f>+'INV POIR PPERDIDAS'!K$126</f>
        <v>71680074.24000001</v>
      </c>
      <c r="P573" s="97">
        <f>+'INV POIR PPERDIDAS'!L$126</f>
        <v>73651119.359999999</v>
      </c>
    </row>
    <row r="574" spans="2:16" x14ac:dyDescent="0.2">
      <c r="B574" s="90" t="str">
        <f t="shared" si="73"/>
        <v>REDES</v>
      </c>
      <c r="C574" s="90">
        <f t="shared" si="73"/>
        <v>70</v>
      </c>
      <c r="D574" s="95">
        <f t="shared" si="73"/>
        <v>3</v>
      </c>
      <c r="E574" s="96">
        <f t="shared" si="73"/>
        <v>2708748274.8491516</v>
      </c>
      <c r="F574" s="93">
        <f>+VLOOKUP(C574,'INV POIR PPERDIDAS'!$C$4:$F$123,4,FALSE)</f>
        <v>45</v>
      </c>
      <c r="G574" s="97">
        <f>+'INV POIR PPERDIDAS'!C$126</f>
        <v>53998308</v>
      </c>
      <c r="H574" s="97">
        <f>+'INV POIR PPERDIDAS'!D$126</f>
        <v>56894335.679999992</v>
      </c>
      <c r="I574" s="97">
        <f>+'INV POIR PPERDIDAS'!E$126</f>
        <v>59253219.840000004</v>
      </c>
      <c r="J574" s="97">
        <f>+'INV POIR PPERDIDAS'!F$126</f>
        <v>61613804.039999999</v>
      </c>
      <c r="K574" s="97">
        <f>+'INV POIR PPERDIDAS'!G$126</f>
        <v>63980742.840000004</v>
      </c>
      <c r="L574" s="97">
        <f>+'INV POIR PPERDIDAS'!H$126</f>
        <v>66048339.600000009</v>
      </c>
      <c r="M574" s="97">
        <f>+'INV POIR PPERDIDAS'!I$126</f>
        <v>67860109.199999988</v>
      </c>
      <c r="N574" s="97">
        <f>+'INV POIR PPERDIDAS'!J$126</f>
        <v>69763098.239999995</v>
      </c>
      <c r="O574" s="97">
        <f>+'INV POIR PPERDIDAS'!K$126</f>
        <v>71680074.24000001</v>
      </c>
      <c r="P574" s="97">
        <f>+'INV POIR PPERDIDAS'!L$126</f>
        <v>73651119.359999999</v>
      </c>
    </row>
    <row r="575" spans="2:16" x14ac:dyDescent="0.2">
      <c r="B575" s="90" t="str">
        <f t="shared" si="73"/>
        <v>REDES</v>
      </c>
      <c r="C575" s="90">
        <f t="shared" si="73"/>
        <v>71</v>
      </c>
      <c r="D575" s="95">
        <f t="shared" si="73"/>
        <v>4</v>
      </c>
      <c r="E575" s="96">
        <f t="shared" si="73"/>
        <v>3788421935.8387451</v>
      </c>
      <c r="F575" s="93">
        <f>+VLOOKUP(C575,'INV POIR PPERDIDAS'!$C$4:$F$123,4,FALSE)</f>
        <v>45</v>
      </c>
      <c r="G575" s="97">
        <f>+'INV POIR PPERDIDAS'!C$126</f>
        <v>53998308</v>
      </c>
      <c r="H575" s="97">
        <f>+'INV POIR PPERDIDAS'!D$126</f>
        <v>56894335.679999992</v>
      </c>
      <c r="I575" s="97">
        <f>+'INV POIR PPERDIDAS'!E$126</f>
        <v>59253219.840000004</v>
      </c>
      <c r="J575" s="97">
        <f>+'INV POIR PPERDIDAS'!F$126</f>
        <v>61613804.039999999</v>
      </c>
      <c r="K575" s="97">
        <f>+'INV POIR PPERDIDAS'!G$126</f>
        <v>63980742.840000004</v>
      </c>
      <c r="L575" s="97">
        <f>+'INV POIR PPERDIDAS'!H$126</f>
        <v>66048339.600000009</v>
      </c>
      <c r="M575" s="97">
        <f>+'INV POIR PPERDIDAS'!I$126</f>
        <v>67860109.199999988</v>
      </c>
      <c r="N575" s="97">
        <f>+'INV POIR PPERDIDAS'!J$126</f>
        <v>69763098.239999995</v>
      </c>
      <c r="O575" s="97">
        <f>+'INV POIR PPERDIDAS'!K$126</f>
        <v>71680074.24000001</v>
      </c>
      <c r="P575" s="97">
        <f>+'INV POIR PPERDIDAS'!L$126</f>
        <v>73651119.359999999</v>
      </c>
    </row>
    <row r="576" spans="2:16" x14ac:dyDescent="0.2">
      <c r="B576" s="90" t="str">
        <f t="shared" si="73"/>
        <v>REDES</v>
      </c>
      <c r="C576" s="90">
        <f t="shared" si="73"/>
        <v>72</v>
      </c>
      <c r="D576" s="95">
        <f t="shared" si="73"/>
        <v>5</v>
      </c>
      <c r="E576" s="96">
        <f t="shared" si="73"/>
        <v>3229587745.4368062</v>
      </c>
      <c r="F576" s="93">
        <f>+VLOOKUP(C576,'INV POIR PPERDIDAS'!$C$4:$F$123,4,FALSE)</f>
        <v>45</v>
      </c>
      <c r="G576" s="97">
        <f>+'INV POIR PPERDIDAS'!C$126</f>
        <v>53998308</v>
      </c>
      <c r="H576" s="97">
        <f>+'INV POIR PPERDIDAS'!D$126</f>
        <v>56894335.679999992</v>
      </c>
      <c r="I576" s="97">
        <f>+'INV POIR PPERDIDAS'!E$126</f>
        <v>59253219.840000004</v>
      </c>
      <c r="J576" s="97">
        <f>+'INV POIR PPERDIDAS'!F$126</f>
        <v>61613804.039999999</v>
      </c>
      <c r="K576" s="97">
        <f>+'INV POIR PPERDIDAS'!G$126</f>
        <v>63980742.840000004</v>
      </c>
      <c r="L576" s="97">
        <f>+'INV POIR PPERDIDAS'!H$126</f>
        <v>66048339.600000009</v>
      </c>
      <c r="M576" s="97">
        <f>+'INV POIR PPERDIDAS'!I$126</f>
        <v>67860109.199999988</v>
      </c>
      <c r="N576" s="97">
        <f>+'INV POIR PPERDIDAS'!J$126</f>
        <v>69763098.239999995</v>
      </c>
      <c r="O576" s="97">
        <f>+'INV POIR PPERDIDAS'!K$126</f>
        <v>71680074.24000001</v>
      </c>
      <c r="P576" s="97">
        <f>+'INV POIR PPERDIDAS'!L$126</f>
        <v>73651119.359999999</v>
      </c>
    </row>
    <row r="577" spans="2:16" x14ac:dyDescent="0.2">
      <c r="B577" s="90" t="str">
        <f t="shared" si="73"/>
        <v>REDES</v>
      </c>
      <c r="C577" s="90">
        <f t="shared" si="73"/>
        <v>73</v>
      </c>
      <c r="D577" s="95">
        <f t="shared" si="73"/>
        <v>6</v>
      </c>
      <c r="E577" s="96">
        <f t="shared" si="73"/>
        <v>3975561272.1375804</v>
      </c>
      <c r="F577" s="93">
        <f>+VLOOKUP(C577,'INV POIR PPERDIDAS'!$C$4:$F$123,4,FALSE)</f>
        <v>45</v>
      </c>
      <c r="G577" s="97">
        <f>+'INV POIR PPERDIDAS'!C$126</f>
        <v>53998308</v>
      </c>
      <c r="H577" s="97">
        <f>+'INV POIR PPERDIDAS'!D$126</f>
        <v>56894335.679999992</v>
      </c>
      <c r="I577" s="97">
        <f>+'INV POIR PPERDIDAS'!E$126</f>
        <v>59253219.840000004</v>
      </c>
      <c r="J577" s="97">
        <f>+'INV POIR PPERDIDAS'!F$126</f>
        <v>61613804.039999999</v>
      </c>
      <c r="K577" s="97">
        <f>+'INV POIR PPERDIDAS'!G$126</f>
        <v>63980742.840000004</v>
      </c>
      <c r="L577" s="97">
        <f>+'INV POIR PPERDIDAS'!H$126</f>
        <v>66048339.600000009</v>
      </c>
      <c r="M577" s="97">
        <f>+'INV POIR PPERDIDAS'!I$126</f>
        <v>67860109.199999988</v>
      </c>
      <c r="N577" s="97">
        <f>+'INV POIR PPERDIDAS'!J$126</f>
        <v>69763098.239999995</v>
      </c>
      <c r="O577" s="97">
        <f>+'INV POIR PPERDIDAS'!K$126</f>
        <v>71680074.24000001</v>
      </c>
      <c r="P577" s="97">
        <f>+'INV POIR PPERDIDAS'!L$126</f>
        <v>73651119.359999999</v>
      </c>
    </row>
    <row r="578" spans="2:16" x14ac:dyDescent="0.2">
      <c r="B578" s="90" t="str">
        <f t="shared" si="73"/>
        <v>REDES</v>
      </c>
      <c r="C578" s="90">
        <f t="shared" si="73"/>
        <v>74</v>
      </c>
      <c r="D578" s="95">
        <f t="shared" si="73"/>
        <v>7</v>
      </c>
      <c r="E578" s="96">
        <f t="shared" si="73"/>
        <v>0</v>
      </c>
      <c r="F578" s="93">
        <f>+VLOOKUP(C578,'INV POIR PPERDIDAS'!$C$4:$F$123,4,FALSE)</f>
        <v>45</v>
      </c>
      <c r="G578" s="97">
        <f>+'INV POIR PPERDIDAS'!C$126</f>
        <v>53998308</v>
      </c>
      <c r="H578" s="97">
        <f>+'INV POIR PPERDIDAS'!D$126</f>
        <v>56894335.679999992</v>
      </c>
      <c r="I578" s="97">
        <f>+'INV POIR PPERDIDAS'!E$126</f>
        <v>59253219.840000004</v>
      </c>
      <c r="J578" s="97">
        <f>+'INV POIR PPERDIDAS'!F$126</f>
        <v>61613804.039999999</v>
      </c>
      <c r="K578" s="97">
        <f>+'INV POIR PPERDIDAS'!G$126</f>
        <v>63980742.840000004</v>
      </c>
      <c r="L578" s="97">
        <f>+'INV POIR PPERDIDAS'!H$126</f>
        <v>66048339.600000009</v>
      </c>
      <c r="M578" s="97">
        <f>+'INV POIR PPERDIDAS'!I$126</f>
        <v>67860109.199999988</v>
      </c>
      <c r="N578" s="97">
        <f>+'INV POIR PPERDIDAS'!J$126</f>
        <v>69763098.239999995</v>
      </c>
      <c r="O578" s="97">
        <f>+'INV POIR PPERDIDAS'!K$126</f>
        <v>71680074.24000001</v>
      </c>
      <c r="P578" s="97">
        <f>+'INV POIR PPERDIDAS'!L$126</f>
        <v>73651119.359999999</v>
      </c>
    </row>
    <row r="579" spans="2:16" x14ac:dyDescent="0.2">
      <c r="B579" s="90" t="str">
        <f t="shared" si="73"/>
        <v>REDES</v>
      </c>
      <c r="C579" s="90">
        <f t="shared" si="73"/>
        <v>75</v>
      </c>
      <c r="D579" s="95">
        <f t="shared" si="73"/>
        <v>8</v>
      </c>
      <c r="E579" s="96">
        <f t="shared" si="73"/>
        <v>0</v>
      </c>
      <c r="F579" s="93">
        <f>+VLOOKUP(C579,'INV POIR PPERDIDAS'!$C$4:$F$123,4,FALSE)</f>
        <v>45</v>
      </c>
      <c r="G579" s="97">
        <f>+'INV POIR PPERDIDAS'!C$126</f>
        <v>53998308</v>
      </c>
      <c r="H579" s="97">
        <f>+'INV POIR PPERDIDAS'!D$126</f>
        <v>56894335.679999992</v>
      </c>
      <c r="I579" s="97">
        <f>+'INV POIR PPERDIDAS'!E$126</f>
        <v>59253219.840000004</v>
      </c>
      <c r="J579" s="97">
        <f>+'INV POIR PPERDIDAS'!F$126</f>
        <v>61613804.039999999</v>
      </c>
      <c r="K579" s="97">
        <f>+'INV POIR PPERDIDAS'!G$126</f>
        <v>63980742.840000004</v>
      </c>
      <c r="L579" s="97">
        <f>+'INV POIR PPERDIDAS'!H$126</f>
        <v>66048339.600000009</v>
      </c>
      <c r="M579" s="97">
        <f>+'INV POIR PPERDIDAS'!I$126</f>
        <v>67860109.199999988</v>
      </c>
      <c r="N579" s="97">
        <f>+'INV POIR PPERDIDAS'!J$126</f>
        <v>69763098.239999995</v>
      </c>
      <c r="O579" s="97">
        <f>+'INV POIR PPERDIDAS'!K$126</f>
        <v>71680074.24000001</v>
      </c>
      <c r="P579" s="97">
        <f>+'INV POIR PPERDIDAS'!L$126</f>
        <v>73651119.359999999</v>
      </c>
    </row>
    <row r="580" spans="2:16" x14ac:dyDescent="0.2">
      <c r="B580" s="90" t="str">
        <f t="shared" si="73"/>
        <v>REDES</v>
      </c>
      <c r="C580" s="90">
        <f t="shared" si="73"/>
        <v>76</v>
      </c>
      <c r="D580" s="95">
        <f t="shared" si="73"/>
        <v>9</v>
      </c>
      <c r="E580" s="96">
        <f t="shared" si="73"/>
        <v>0</v>
      </c>
      <c r="F580" s="93">
        <f>+VLOOKUP(C580,'INV POIR PPERDIDAS'!$C$4:$F$123,4,FALSE)</f>
        <v>45</v>
      </c>
      <c r="G580" s="97">
        <f>+'INV POIR PPERDIDAS'!C$126</f>
        <v>53998308</v>
      </c>
      <c r="H580" s="97">
        <f>+'INV POIR PPERDIDAS'!D$126</f>
        <v>56894335.679999992</v>
      </c>
      <c r="I580" s="97">
        <f>+'INV POIR PPERDIDAS'!E$126</f>
        <v>59253219.840000004</v>
      </c>
      <c r="J580" s="97">
        <f>+'INV POIR PPERDIDAS'!F$126</f>
        <v>61613804.039999999</v>
      </c>
      <c r="K580" s="97">
        <f>+'INV POIR PPERDIDAS'!G$126</f>
        <v>63980742.840000004</v>
      </c>
      <c r="L580" s="97">
        <f>+'INV POIR PPERDIDAS'!H$126</f>
        <v>66048339.600000009</v>
      </c>
      <c r="M580" s="97">
        <f>+'INV POIR PPERDIDAS'!I$126</f>
        <v>67860109.199999988</v>
      </c>
      <c r="N580" s="97">
        <f>+'INV POIR PPERDIDAS'!J$126</f>
        <v>69763098.239999995</v>
      </c>
      <c r="O580" s="97">
        <f>+'INV POIR PPERDIDAS'!K$126</f>
        <v>71680074.24000001</v>
      </c>
      <c r="P580" s="97">
        <f>+'INV POIR PPERDIDAS'!L$126</f>
        <v>73651119.359999999</v>
      </c>
    </row>
    <row r="581" spans="2:16" x14ac:dyDescent="0.2">
      <c r="B581" s="90" t="str">
        <f t="shared" si="73"/>
        <v>REDES</v>
      </c>
      <c r="C581" s="90">
        <f t="shared" si="73"/>
        <v>77</v>
      </c>
      <c r="D581" s="95">
        <f t="shared" si="73"/>
        <v>10</v>
      </c>
      <c r="E581" s="96">
        <f t="shared" si="73"/>
        <v>0</v>
      </c>
      <c r="F581" s="93">
        <f>+VLOOKUP(C581,'INV POIR PPERDIDAS'!$C$4:$F$123,4,FALSE)</f>
        <v>45</v>
      </c>
      <c r="G581" s="97">
        <f>+'INV POIR PPERDIDAS'!C$126</f>
        <v>53998308</v>
      </c>
      <c r="H581" s="97">
        <f>+'INV POIR PPERDIDAS'!D$126</f>
        <v>56894335.679999992</v>
      </c>
      <c r="I581" s="97">
        <f>+'INV POIR PPERDIDAS'!E$126</f>
        <v>59253219.840000004</v>
      </c>
      <c r="J581" s="97">
        <f>+'INV POIR PPERDIDAS'!F$126</f>
        <v>61613804.039999999</v>
      </c>
      <c r="K581" s="97">
        <f>+'INV POIR PPERDIDAS'!G$126</f>
        <v>63980742.840000004</v>
      </c>
      <c r="L581" s="97">
        <f>+'INV POIR PPERDIDAS'!H$126</f>
        <v>66048339.600000009</v>
      </c>
      <c r="M581" s="97">
        <f>+'INV POIR PPERDIDAS'!I$126</f>
        <v>67860109.199999988</v>
      </c>
      <c r="N581" s="97">
        <f>+'INV POIR PPERDIDAS'!J$126</f>
        <v>69763098.239999995</v>
      </c>
      <c r="O581" s="97">
        <f>+'INV POIR PPERDIDAS'!K$126</f>
        <v>71680074.24000001</v>
      </c>
      <c r="P581" s="97">
        <f>+'INV POIR PPERDIDAS'!L$126</f>
        <v>73651119.359999999</v>
      </c>
    </row>
    <row r="582" spans="2:16" x14ac:dyDescent="0.2">
      <c r="B582" s="90" t="str">
        <f t="shared" si="73"/>
        <v>REDES</v>
      </c>
      <c r="C582" s="90">
        <f t="shared" si="73"/>
        <v>78</v>
      </c>
      <c r="D582" s="95">
        <f t="shared" si="73"/>
        <v>0</v>
      </c>
      <c r="E582" s="96">
        <f t="shared" si="73"/>
        <v>0</v>
      </c>
      <c r="F582" s="93">
        <f>+VLOOKUP(C582,'INV POIR PPERDIDAS'!$C$4:$F$123,4,FALSE)</f>
        <v>45</v>
      </c>
      <c r="G582" s="97">
        <f>+'INV POIR PPERDIDAS'!C$126</f>
        <v>53998308</v>
      </c>
      <c r="H582" s="97">
        <f>+'INV POIR PPERDIDAS'!D$126</f>
        <v>56894335.679999992</v>
      </c>
      <c r="I582" s="97">
        <f>+'INV POIR PPERDIDAS'!E$126</f>
        <v>59253219.840000004</v>
      </c>
      <c r="J582" s="97">
        <f>+'INV POIR PPERDIDAS'!F$126</f>
        <v>61613804.039999999</v>
      </c>
      <c r="K582" s="97">
        <f>+'INV POIR PPERDIDAS'!G$126</f>
        <v>63980742.840000004</v>
      </c>
      <c r="L582" s="97">
        <f>+'INV POIR PPERDIDAS'!H$126</f>
        <v>66048339.600000009</v>
      </c>
      <c r="M582" s="97">
        <f>+'INV POIR PPERDIDAS'!I$126</f>
        <v>67860109.199999988</v>
      </c>
      <c r="N582" s="97">
        <f>+'INV POIR PPERDIDAS'!J$126</f>
        <v>69763098.239999995</v>
      </c>
      <c r="O582" s="97">
        <f>+'INV POIR PPERDIDAS'!K$126</f>
        <v>71680074.24000001</v>
      </c>
      <c r="P582" s="97">
        <f>+'INV POIR PPERDIDAS'!L$126</f>
        <v>73651119.359999999</v>
      </c>
    </row>
    <row r="583" spans="2:16" x14ac:dyDescent="0.2">
      <c r="B583" s="90" t="str">
        <f t="shared" si="73"/>
        <v>REDES</v>
      </c>
      <c r="C583" s="90">
        <f t="shared" si="73"/>
        <v>79</v>
      </c>
      <c r="D583" s="95">
        <f t="shared" si="73"/>
        <v>1</v>
      </c>
      <c r="E583" s="96">
        <f t="shared" si="73"/>
        <v>0</v>
      </c>
      <c r="F583" s="93">
        <f>+VLOOKUP(C583,'INV POIR PPERDIDAS'!$C$4:$F$123,4,FALSE)</f>
        <v>45</v>
      </c>
      <c r="G583" s="97">
        <f>+'INV POIR PPERDIDAS'!C$126</f>
        <v>53998308</v>
      </c>
      <c r="H583" s="97">
        <f>+'INV POIR PPERDIDAS'!D$126</f>
        <v>56894335.679999992</v>
      </c>
      <c r="I583" s="97">
        <f>+'INV POIR PPERDIDAS'!E$126</f>
        <v>59253219.840000004</v>
      </c>
      <c r="J583" s="97">
        <f>+'INV POIR PPERDIDAS'!F$126</f>
        <v>61613804.039999999</v>
      </c>
      <c r="K583" s="97">
        <f>+'INV POIR PPERDIDAS'!G$126</f>
        <v>63980742.840000004</v>
      </c>
      <c r="L583" s="97">
        <f>+'INV POIR PPERDIDAS'!H$126</f>
        <v>66048339.600000009</v>
      </c>
      <c r="M583" s="97">
        <f>+'INV POIR PPERDIDAS'!I$126</f>
        <v>67860109.199999988</v>
      </c>
      <c r="N583" s="97">
        <f>+'INV POIR PPERDIDAS'!J$126</f>
        <v>69763098.239999995</v>
      </c>
      <c r="O583" s="97">
        <f>+'INV POIR PPERDIDAS'!K$126</f>
        <v>71680074.24000001</v>
      </c>
      <c r="P583" s="97">
        <f>+'INV POIR PPERDIDAS'!L$126</f>
        <v>73651119.359999999</v>
      </c>
    </row>
    <row r="584" spans="2:16" x14ac:dyDescent="0.2">
      <c r="B584" s="90" t="str">
        <f t="shared" si="73"/>
        <v>REDES</v>
      </c>
      <c r="C584" s="90">
        <f t="shared" si="73"/>
        <v>80</v>
      </c>
      <c r="D584" s="95">
        <f t="shared" si="73"/>
        <v>2</v>
      </c>
      <c r="E584" s="96">
        <f t="shared" si="73"/>
        <v>0</v>
      </c>
      <c r="F584" s="93">
        <f>+VLOOKUP(C584,'INV POIR PPERDIDAS'!$C$4:$F$123,4,FALSE)</f>
        <v>45</v>
      </c>
      <c r="G584" s="97">
        <f>+'INV POIR PPERDIDAS'!C$126</f>
        <v>53998308</v>
      </c>
      <c r="H584" s="97">
        <f>+'INV POIR PPERDIDAS'!D$126</f>
        <v>56894335.679999992</v>
      </c>
      <c r="I584" s="97">
        <f>+'INV POIR PPERDIDAS'!E$126</f>
        <v>59253219.840000004</v>
      </c>
      <c r="J584" s="97">
        <f>+'INV POIR PPERDIDAS'!F$126</f>
        <v>61613804.039999999</v>
      </c>
      <c r="K584" s="97">
        <f>+'INV POIR PPERDIDAS'!G$126</f>
        <v>63980742.840000004</v>
      </c>
      <c r="L584" s="97">
        <f>+'INV POIR PPERDIDAS'!H$126</f>
        <v>66048339.600000009</v>
      </c>
      <c r="M584" s="97">
        <f>+'INV POIR PPERDIDAS'!I$126</f>
        <v>67860109.199999988</v>
      </c>
      <c r="N584" s="97">
        <f>+'INV POIR PPERDIDAS'!J$126</f>
        <v>69763098.239999995</v>
      </c>
      <c r="O584" s="97">
        <f>+'INV POIR PPERDIDAS'!K$126</f>
        <v>71680074.24000001</v>
      </c>
      <c r="P584" s="97">
        <f>+'INV POIR PPERDIDAS'!L$126</f>
        <v>73651119.359999999</v>
      </c>
    </row>
    <row r="585" spans="2:16" x14ac:dyDescent="0.2">
      <c r="B585" s="90" t="str">
        <f t="shared" si="73"/>
        <v>REDES</v>
      </c>
      <c r="C585" s="90">
        <f t="shared" si="73"/>
        <v>81</v>
      </c>
      <c r="D585" s="95">
        <f t="shared" si="73"/>
        <v>3</v>
      </c>
      <c r="E585" s="96">
        <f t="shared" si="73"/>
        <v>0</v>
      </c>
      <c r="F585" s="93">
        <f>+VLOOKUP(C585,'INV POIR PPERDIDAS'!$C$4:$F$123,4,FALSE)</f>
        <v>45</v>
      </c>
      <c r="G585" s="97">
        <f>+'INV POIR PPERDIDAS'!C$126</f>
        <v>53998308</v>
      </c>
      <c r="H585" s="97">
        <f>+'INV POIR PPERDIDAS'!D$126</f>
        <v>56894335.679999992</v>
      </c>
      <c r="I585" s="97">
        <f>+'INV POIR PPERDIDAS'!E$126</f>
        <v>59253219.840000004</v>
      </c>
      <c r="J585" s="97">
        <f>+'INV POIR PPERDIDAS'!F$126</f>
        <v>61613804.039999999</v>
      </c>
      <c r="K585" s="97">
        <f>+'INV POIR PPERDIDAS'!G$126</f>
        <v>63980742.840000004</v>
      </c>
      <c r="L585" s="97">
        <f>+'INV POIR PPERDIDAS'!H$126</f>
        <v>66048339.600000009</v>
      </c>
      <c r="M585" s="97">
        <f>+'INV POIR PPERDIDAS'!I$126</f>
        <v>67860109.199999988</v>
      </c>
      <c r="N585" s="97">
        <f>+'INV POIR PPERDIDAS'!J$126</f>
        <v>69763098.239999995</v>
      </c>
      <c r="O585" s="97">
        <f>+'INV POIR PPERDIDAS'!K$126</f>
        <v>71680074.24000001</v>
      </c>
      <c r="P585" s="97">
        <f>+'INV POIR PPERDIDAS'!L$126</f>
        <v>73651119.359999999</v>
      </c>
    </row>
    <row r="586" spans="2:16" x14ac:dyDescent="0.2">
      <c r="B586" s="90" t="str">
        <f t="shared" ref="B586:E601" si="74">+B462</f>
        <v>REDES</v>
      </c>
      <c r="C586" s="90">
        <f t="shared" si="74"/>
        <v>82</v>
      </c>
      <c r="D586" s="95">
        <f t="shared" si="74"/>
        <v>4</v>
      </c>
      <c r="E586" s="96">
        <f t="shared" si="74"/>
        <v>0</v>
      </c>
      <c r="F586" s="93">
        <f>+VLOOKUP(C586,'INV POIR PPERDIDAS'!$C$4:$F$123,4,FALSE)</f>
        <v>45</v>
      </c>
      <c r="G586" s="97">
        <f>+'INV POIR PPERDIDAS'!C$126</f>
        <v>53998308</v>
      </c>
      <c r="H586" s="97">
        <f>+'INV POIR PPERDIDAS'!D$126</f>
        <v>56894335.679999992</v>
      </c>
      <c r="I586" s="97">
        <f>+'INV POIR PPERDIDAS'!E$126</f>
        <v>59253219.840000004</v>
      </c>
      <c r="J586" s="97">
        <f>+'INV POIR PPERDIDAS'!F$126</f>
        <v>61613804.039999999</v>
      </c>
      <c r="K586" s="97">
        <f>+'INV POIR PPERDIDAS'!G$126</f>
        <v>63980742.840000004</v>
      </c>
      <c r="L586" s="97">
        <f>+'INV POIR PPERDIDAS'!H$126</f>
        <v>66048339.600000009</v>
      </c>
      <c r="M586" s="97">
        <f>+'INV POIR PPERDIDAS'!I$126</f>
        <v>67860109.199999988</v>
      </c>
      <c r="N586" s="97">
        <f>+'INV POIR PPERDIDAS'!J$126</f>
        <v>69763098.239999995</v>
      </c>
      <c r="O586" s="97">
        <f>+'INV POIR PPERDIDAS'!K$126</f>
        <v>71680074.24000001</v>
      </c>
      <c r="P586" s="97">
        <f>+'INV POIR PPERDIDAS'!L$126</f>
        <v>73651119.359999999</v>
      </c>
    </row>
    <row r="587" spans="2:16" x14ac:dyDescent="0.2">
      <c r="B587" s="90" t="str">
        <f t="shared" si="74"/>
        <v>REDES</v>
      </c>
      <c r="C587" s="90">
        <f t="shared" si="74"/>
        <v>83</v>
      </c>
      <c r="D587" s="95">
        <f t="shared" si="74"/>
        <v>5</v>
      </c>
      <c r="E587" s="96">
        <f t="shared" si="74"/>
        <v>0</v>
      </c>
      <c r="F587" s="93">
        <f>+VLOOKUP(C587,'INV POIR PPERDIDAS'!$C$4:$F$123,4,FALSE)</f>
        <v>45</v>
      </c>
      <c r="G587" s="97">
        <f>+'INV POIR PPERDIDAS'!C$126</f>
        <v>53998308</v>
      </c>
      <c r="H587" s="97">
        <f>+'INV POIR PPERDIDAS'!D$126</f>
        <v>56894335.679999992</v>
      </c>
      <c r="I587" s="97">
        <f>+'INV POIR PPERDIDAS'!E$126</f>
        <v>59253219.840000004</v>
      </c>
      <c r="J587" s="97">
        <f>+'INV POIR PPERDIDAS'!F$126</f>
        <v>61613804.039999999</v>
      </c>
      <c r="K587" s="97">
        <f>+'INV POIR PPERDIDAS'!G$126</f>
        <v>63980742.840000004</v>
      </c>
      <c r="L587" s="97">
        <f>+'INV POIR PPERDIDAS'!H$126</f>
        <v>66048339.600000009</v>
      </c>
      <c r="M587" s="97">
        <f>+'INV POIR PPERDIDAS'!I$126</f>
        <v>67860109.199999988</v>
      </c>
      <c r="N587" s="97">
        <f>+'INV POIR PPERDIDAS'!J$126</f>
        <v>69763098.239999995</v>
      </c>
      <c r="O587" s="97">
        <f>+'INV POIR PPERDIDAS'!K$126</f>
        <v>71680074.24000001</v>
      </c>
      <c r="P587" s="97">
        <f>+'INV POIR PPERDIDAS'!L$126</f>
        <v>73651119.359999999</v>
      </c>
    </row>
    <row r="588" spans="2:16" x14ac:dyDescent="0.2">
      <c r="B588" s="90" t="str">
        <f t="shared" si="74"/>
        <v>REDES</v>
      </c>
      <c r="C588" s="90">
        <f t="shared" si="74"/>
        <v>84</v>
      </c>
      <c r="D588" s="95">
        <f t="shared" si="74"/>
        <v>6</v>
      </c>
      <c r="E588" s="96">
        <f t="shared" si="74"/>
        <v>0</v>
      </c>
      <c r="F588" s="93">
        <f>+VLOOKUP(C588,'INV POIR PPERDIDAS'!$C$4:$F$123,4,FALSE)</f>
        <v>45</v>
      </c>
      <c r="G588" s="97">
        <f>+'INV POIR PPERDIDAS'!C$126</f>
        <v>53998308</v>
      </c>
      <c r="H588" s="97">
        <f>+'INV POIR PPERDIDAS'!D$126</f>
        <v>56894335.679999992</v>
      </c>
      <c r="I588" s="97">
        <f>+'INV POIR PPERDIDAS'!E$126</f>
        <v>59253219.840000004</v>
      </c>
      <c r="J588" s="97">
        <f>+'INV POIR PPERDIDAS'!F$126</f>
        <v>61613804.039999999</v>
      </c>
      <c r="K588" s="97">
        <f>+'INV POIR PPERDIDAS'!G$126</f>
        <v>63980742.840000004</v>
      </c>
      <c r="L588" s="97">
        <f>+'INV POIR PPERDIDAS'!H$126</f>
        <v>66048339.600000009</v>
      </c>
      <c r="M588" s="97">
        <f>+'INV POIR PPERDIDAS'!I$126</f>
        <v>67860109.199999988</v>
      </c>
      <c r="N588" s="97">
        <f>+'INV POIR PPERDIDAS'!J$126</f>
        <v>69763098.239999995</v>
      </c>
      <c r="O588" s="97">
        <f>+'INV POIR PPERDIDAS'!K$126</f>
        <v>71680074.24000001</v>
      </c>
      <c r="P588" s="97">
        <f>+'INV POIR PPERDIDAS'!L$126</f>
        <v>73651119.359999999</v>
      </c>
    </row>
    <row r="589" spans="2:16" x14ac:dyDescent="0.2">
      <c r="B589" s="90" t="str">
        <f t="shared" si="74"/>
        <v>REDES</v>
      </c>
      <c r="C589" s="90">
        <f t="shared" si="74"/>
        <v>85</v>
      </c>
      <c r="D589" s="95">
        <f t="shared" si="74"/>
        <v>7</v>
      </c>
      <c r="E589" s="96">
        <f t="shared" si="74"/>
        <v>0</v>
      </c>
      <c r="F589" s="93">
        <f>+VLOOKUP(C589,'INV POIR PPERDIDAS'!$C$4:$F$123,4,FALSE)</f>
        <v>45</v>
      </c>
      <c r="G589" s="97">
        <f>+'INV POIR PPERDIDAS'!C$126</f>
        <v>53998308</v>
      </c>
      <c r="H589" s="97">
        <f>+'INV POIR PPERDIDAS'!D$126</f>
        <v>56894335.679999992</v>
      </c>
      <c r="I589" s="97">
        <f>+'INV POIR PPERDIDAS'!E$126</f>
        <v>59253219.840000004</v>
      </c>
      <c r="J589" s="97">
        <f>+'INV POIR PPERDIDAS'!F$126</f>
        <v>61613804.039999999</v>
      </c>
      <c r="K589" s="97">
        <f>+'INV POIR PPERDIDAS'!G$126</f>
        <v>63980742.840000004</v>
      </c>
      <c r="L589" s="97">
        <f>+'INV POIR PPERDIDAS'!H$126</f>
        <v>66048339.600000009</v>
      </c>
      <c r="M589" s="97">
        <f>+'INV POIR PPERDIDAS'!I$126</f>
        <v>67860109.199999988</v>
      </c>
      <c r="N589" s="97">
        <f>+'INV POIR PPERDIDAS'!J$126</f>
        <v>69763098.239999995</v>
      </c>
      <c r="O589" s="97">
        <f>+'INV POIR PPERDIDAS'!K$126</f>
        <v>71680074.24000001</v>
      </c>
      <c r="P589" s="97">
        <f>+'INV POIR PPERDIDAS'!L$126</f>
        <v>73651119.359999999</v>
      </c>
    </row>
    <row r="590" spans="2:16" x14ac:dyDescent="0.2">
      <c r="B590" s="90" t="str">
        <f t="shared" si="74"/>
        <v>REDES</v>
      </c>
      <c r="C590" s="90">
        <f t="shared" si="74"/>
        <v>86</v>
      </c>
      <c r="D590" s="95">
        <f t="shared" si="74"/>
        <v>8</v>
      </c>
      <c r="E590" s="96">
        <f t="shared" si="74"/>
        <v>0</v>
      </c>
      <c r="F590" s="93">
        <f>+VLOOKUP(C590,'INV POIR PPERDIDAS'!$C$4:$F$123,4,FALSE)</f>
        <v>45</v>
      </c>
      <c r="G590" s="97">
        <f>+'INV POIR PPERDIDAS'!C$126</f>
        <v>53998308</v>
      </c>
      <c r="H590" s="97">
        <f>+'INV POIR PPERDIDAS'!D$126</f>
        <v>56894335.679999992</v>
      </c>
      <c r="I590" s="97">
        <f>+'INV POIR PPERDIDAS'!E$126</f>
        <v>59253219.840000004</v>
      </c>
      <c r="J590" s="97">
        <f>+'INV POIR PPERDIDAS'!F$126</f>
        <v>61613804.039999999</v>
      </c>
      <c r="K590" s="97">
        <f>+'INV POIR PPERDIDAS'!G$126</f>
        <v>63980742.840000004</v>
      </c>
      <c r="L590" s="97">
        <f>+'INV POIR PPERDIDAS'!H$126</f>
        <v>66048339.600000009</v>
      </c>
      <c r="M590" s="97">
        <f>+'INV POIR PPERDIDAS'!I$126</f>
        <v>67860109.199999988</v>
      </c>
      <c r="N590" s="97">
        <f>+'INV POIR PPERDIDAS'!J$126</f>
        <v>69763098.239999995</v>
      </c>
      <c r="O590" s="97">
        <f>+'INV POIR PPERDIDAS'!K$126</f>
        <v>71680074.24000001</v>
      </c>
      <c r="P590" s="97">
        <f>+'INV POIR PPERDIDAS'!L$126</f>
        <v>73651119.359999999</v>
      </c>
    </row>
    <row r="591" spans="2:16" x14ac:dyDescent="0.2">
      <c r="B591" s="90" t="str">
        <f t="shared" si="74"/>
        <v>REDES</v>
      </c>
      <c r="C591" s="90">
        <f t="shared" si="74"/>
        <v>87</v>
      </c>
      <c r="D591" s="95">
        <f t="shared" si="74"/>
        <v>9</v>
      </c>
      <c r="E591" s="96">
        <f t="shared" si="74"/>
        <v>0</v>
      </c>
      <c r="F591" s="93">
        <f>+VLOOKUP(C591,'INV POIR PPERDIDAS'!$C$4:$F$123,4,FALSE)</f>
        <v>45</v>
      </c>
      <c r="G591" s="97">
        <f>+'INV POIR PPERDIDAS'!C$126</f>
        <v>53998308</v>
      </c>
      <c r="H591" s="97">
        <f>+'INV POIR PPERDIDAS'!D$126</f>
        <v>56894335.679999992</v>
      </c>
      <c r="I591" s="97">
        <f>+'INV POIR PPERDIDAS'!E$126</f>
        <v>59253219.840000004</v>
      </c>
      <c r="J591" s="97">
        <f>+'INV POIR PPERDIDAS'!F$126</f>
        <v>61613804.039999999</v>
      </c>
      <c r="K591" s="97">
        <f>+'INV POIR PPERDIDAS'!G$126</f>
        <v>63980742.840000004</v>
      </c>
      <c r="L591" s="97">
        <f>+'INV POIR PPERDIDAS'!H$126</f>
        <v>66048339.600000009</v>
      </c>
      <c r="M591" s="97">
        <f>+'INV POIR PPERDIDAS'!I$126</f>
        <v>67860109.199999988</v>
      </c>
      <c r="N591" s="97">
        <f>+'INV POIR PPERDIDAS'!J$126</f>
        <v>69763098.239999995</v>
      </c>
      <c r="O591" s="97">
        <f>+'INV POIR PPERDIDAS'!K$126</f>
        <v>71680074.24000001</v>
      </c>
      <c r="P591" s="97">
        <f>+'INV POIR PPERDIDAS'!L$126</f>
        <v>73651119.359999999</v>
      </c>
    </row>
    <row r="592" spans="2:16" x14ac:dyDescent="0.2">
      <c r="B592" s="90" t="str">
        <f t="shared" si="74"/>
        <v>REDES</v>
      </c>
      <c r="C592" s="90">
        <f t="shared" si="74"/>
        <v>88</v>
      </c>
      <c r="D592" s="95">
        <f t="shared" si="74"/>
        <v>10</v>
      </c>
      <c r="E592" s="96">
        <f t="shared" si="74"/>
        <v>0</v>
      </c>
      <c r="F592" s="93">
        <f>+VLOOKUP(C592,'INV POIR PPERDIDAS'!$C$4:$F$123,4,FALSE)</f>
        <v>45</v>
      </c>
      <c r="G592" s="97">
        <f>+'INV POIR PPERDIDAS'!C$126</f>
        <v>53998308</v>
      </c>
      <c r="H592" s="97">
        <f>+'INV POIR PPERDIDAS'!D$126</f>
        <v>56894335.679999992</v>
      </c>
      <c r="I592" s="97">
        <f>+'INV POIR PPERDIDAS'!E$126</f>
        <v>59253219.840000004</v>
      </c>
      <c r="J592" s="97">
        <f>+'INV POIR PPERDIDAS'!F$126</f>
        <v>61613804.039999999</v>
      </c>
      <c r="K592" s="97">
        <f>+'INV POIR PPERDIDAS'!G$126</f>
        <v>63980742.840000004</v>
      </c>
      <c r="L592" s="97">
        <f>+'INV POIR PPERDIDAS'!H$126</f>
        <v>66048339.600000009</v>
      </c>
      <c r="M592" s="97">
        <f>+'INV POIR PPERDIDAS'!I$126</f>
        <v>67860109.199999988</v>
      </c>
      <c r="N592" s="97">
        <f>+'INV POIR PPERDIDAS'!J$126</f>
        <v>69763098.239999995</v>
      </c>
      <c r="O592" s="97">
        <f>+'INV POIR PPERDIDAS'!K$126</f>
        <v>71680074.24000001</v>
      </c>
      <c r="P592" s="97">
        <f>+'INV POIR PPERDIDAS'!L$126</f>
        <v>73651119.359999999</v>
      </c>
    </row>
    <row r="593" spans="2:16" x14ac:dyDescent="0.2">
      <c r="B593" s="90">
        <f t="shared" si="74"/>
        <v>0</v>
      </c>
      <c r="C593" s="90">
        <f t="shared" si="74"/>
        <v>89</v>
      </c>
      <c r="D593" s="95">
        <f t="shared" si="74"/>
        <v>0</v>
      </c>
      <c r="E593" s="96">
        <f t="shared" si="74"/>
        <v>0</v>
      </c>
      <c r="F593" s="93">
        <f>+VLOOKUP(C593,'INV POIR PPERDIDAS'!$C$4:$F$123,4,FALSE)</f>
        <v>1</v>
      </c>
      <c r="G593" s="97">
        <f>+'INV POIR PPERDIDAS'!C$126</f>
        <v>53998308</v>
      </c>
      <c r="H593" s="97">
        <f>+'INV POIR PPERDIDAS'!D$126</f>
        <v>56894335.679999992</v>
      </c>
      <c r="I593" s="97">
        <f>+'INV POIR PPERDIDAS'!E$126</f>
        <v>59253219.840000004</v>
      </c>
      <c r="J593" s="97">
        <f>+'INV POIR PPERDIDAS'!F$126</f>
        <v>61613804.039999999</v>
      </c>
      <c r="K593" s="97">
        <f>+'INV POIR PPERDIDAS'!G$126</f>
        <v>63980742.840000004</v>
      </c>
      <c r="L593" s="97">
        <f>+'INV POIR PPERDIDAS'!H$126</f>
        <v>66048339.600000009</v>
      </c>
      <c r="M593" s="97">
        <f>+'INV POIR PPERDIDAS'!I$126</f>
        <v>67860109.199999988</v>
      </c>
      <c r="N593" s="97">
        <f>+'INV POIR PPERDIDAS'!J$126</f>
        <v>69763098.239999995</v>
      </c>
      <c r="O593" s="97">
        <f>+'INV POIR PPERDIDAS'!K$126</f>
        <v>71680074.24000001</v>
      </c>
      <c r="P593" s="97">
        <f>+'INV POIR PPERDIDAS'!L$126</f>
        <v>73651119.359999999</v>
      </c>
    </row>
    <row r="594" spans="2:16" x14ac:dyDescent="0.2">
      <c r="B594" s="90">
        <f t="shared" si="74"/>
        <v>0</v>
      </c>
      <c r="C594" s="90">
        <f t="shared" si="74"/>
        <v>90</v>
      </c>
      <c r="D594" s="95">
        <f t="shared" si="74"/>
        <v>0</v>
      </c>
      <c r="E594" s="96">
        <f t="shared" si="74"/>
        <v>0</v>
      </c>
      <c r="F594" s="93">
        <f>+VLOOKUP(C594,'INV POIR PPERDIDAS'!$C$4:$F$123,4,FALSE)</f>
        <v>1</v>
      </c>
      <c r="G594" s="97">
        <f>+'INV POIR PPERDIDAS'!C$126</f>
        <v>53998308</v>
      </c>
      <c r="H594" s="97">
        <f>+'INV POIR PPERDIDAS'!D$126</f>
        <v>56894335.679999992</v>
      </c>
      <c r="I594" s="97">
        <f>+'INV POIR PPERDIDAS'!E$126</f>
        <v>59253219.840000004</v>
      </c>
      <c r="J594" s="97">
        <f>+'INV POIR PPERDIDAS'!F$126</f>
        <v>61613804.039999999</v>
      </c>
      <c r="K594" s="97">
        <f>+'INV POIR PPERDIDAS'!G$126</f>
        <v>63980742.840000004</v>
      </c>
      <c r="L594" s="97">
        <f>+'INV POIR PPERDIDAS'!H$126</f>
        <v>66048339.600000009</v>
      </c>
      <c r="M594" s="97">
        <f>+'INV POIR PPERDIDAS'!I$126</f>
        <v>67860109.199999988</v>
      </c>
      <c r="N594" s="97">
        <f>+'INV POIR PPERDIDAS'!J$126</f>
        <v>69763098.239999995</v>
      </c>
      <c r="O594" s="97">
        <f>+'INV POIR PPERDIDAS'!K$126</f>
        <v>71680074.24000001</v>
      </c>
      <c r="P594" s="97">
        <f>+'INV POIR PPERDIDAS'!L$126</f>
        <v>73651119.359999999</v>
      </c>
    </row>
    <row r="595" spans="2:16" x14ac:dyDescent="0.2">
      <c r="B595" s="90">
        <f t="shared" si="74"/>
        <v>0</v>
      </c>
      <c r="C595" s="90">
        <f t="shared" si="74"/>
        <v>91</v>
      </c>
      <c r="D595" s="95">
        <f t="shared" si="74"/>
        <v>0</v>
      </c>
      <c r="E595" s="96">
        <f t="shared" si="74"/>
        <v>0</v>
      </c>
      <c r="F595" s="93">
        <f>+VLOOKUP(C595,'INV POIR PPERDIDAS'!$C$4:$F$123,4,FALSE)</f>
        <v>1</v>
      </c>
      <c r="G595" s="97">
        <f>+'INV POIR PPERDIDAS'!C$126</f>
        <v>53998308</v>
      </c>
      <c r="H595" s="97">
        <f>+'INV POIR PPERDIDAS'!D$126</f>
        <v>56894335.679999992</v>
      </c>
      <c r="I595" s="97">
        <f>+'INV POIR PPERDIDAS'!E$126</f>
        <v>59253219.840000004</v>
      </c>
      <c r="J595" s="97">
        <f>+'INV POIR PPERDIDAS'!F$126</f>
        <v>61613804.039999999</v>
      </c>
      <c r="K595" s="97">
        <f>+'INV POIR PPERDIDAS'!G$126</f>
        <v>63980742.840000004</v>
      </c>
      <c r="L595" s="97">
        <f>+'INV POIR PPERDIDAS'!H$126</f>
        <v>66048339.600000009</v>
      </c>
      <c r="M595" s="97">
        <f>+'INV POIR PPERDIDAS'!I$126</f>
        <v>67860109.199999988</v>
      </c>
      <c r="N595" s="97">
        <f>+'INV POIR PPERDIDAS'!J$126</f>
        <v>69763098.239999995</v>
      </c>
      <c r="O595" s="97">
        <f>+'INV POIR PPERDIDAS'!K$126</f>
        <v>71680074.24000001</v>
      </c>
      <c r="P595" s="97">
        <f>+'INV POIR PPERDIDAS'!L$126</f>
        <v>73651119.359999999</v>
      </c>
    </row>
    <row r="596" spans="2:16" x14ac:dyDescent="0.2">
      <c r="B596" s="90">
        <f t="shared" si="74"/>
        <v>0</v>
      </c>
      <c r="C596" s="90">
        <f t="shared" si="74"/>
        <v>92</v>
      </c>
      <c r="D596" s="95">
        <f t="shared" si="74"/>
        <v>0</v>
      </c>
      <c r="E596" s="96">
        <f t="shared" si="74"/>
        <v>0</v>
      </c>
      <c r="F596" s="93">
        <f>+VLOOKUP(C596,'INV POIR PPERDIDAS'!$C$4:$F$123,4,FALSE)</f>
        <v>1</v>
      </c>
      <c r="G596" s="97">
        <f>+'INV POIR PPERDIDAS'!C$126</f>
        <v>53998308</v>
      </c>
      <c r="H596" s="97">
        <f>+'INV POIR PPERDIDAS'!D$126</f>
        <v>56894335.679999992</v>
      </c>
      <c r="I596" s="97">
        <f>+'INV POIR PPERDIDAS'!E$126</f>
        <v>59253219.840000004</v>
      </c>
      <c r="J596" s="97">
        <f>+'INV POIR PPERDIDAS'!F$126</f>
        <v>61613804.039999999</v>
      </c>
      <c r="K596" s="97">
        <f>+'INV POIR PPERDIDAS'!G$126</f>
        <v>63980742.840000004</v>
      </c>
      <c r="L596" s="97">
        <f>+'INV POIR PPERDIDAS'!H$126</f>
        <v>66048339.600000009</v>
      </c>
      <c r="M596" s="97">
        <f>+'INV POIR PPERDIDAS'!I$126</f>
        <v>67860109.199999988</v>
      </c>
      <c r="N596" s="97">
        <f>+'INV POIR PPERDIDAS'!J$126</f>
        <v>69763098.239999995</v>
      </c>
      <c r="O596" s="97">
        <f>+'INV POIR PPERDIDAS'!K$126</f>
        <v>71680074.24000001</v>
      </c>
      <c r="P596" s="97">
        <f>+'INV POIR PPERDIDAS'!L$126</f>
        <v>73651119.359999999</v>
      </c>
    </row>
    <row r="597" spans="2:16" x14ac:dyDescent="0.2">
      <c r="B597" s="90">
        <f t="shared" si="74"/>
        <v>0</v>
      </c>
      <c r="C597" s="90">
        <f t="shared" si="74"/>
        <v>93</v>
      </c>
      <c r="D597" s="95">
        <f t="shared" si="74"/>
        <v>0</v>
      </c>
      <c r="E597" s="96">
        <f t="shared" si="74"/>
        <v>0</v>
      </c>
      <c r="F597" s="93">
        <f>+VLOOKUP(C597,'INV POIR PPERDIDAS'!$C$4:$F$123,4,FALSE)</f>
        <v>1</v>
      </c>
      <c r="G597" s="97">
        <f>+'INV POIR PPERDIDAS'!C$126</f>
        <v>53998308</v>
      </c>
      <c r="H597" s="97">
        <f>+'INV POIR PPERDIDAS'!D$126</f>
        <v>56894335.679999992</v>
      </c>
      <c r="I597" s="97">
        <f>+'INV POIR PPERDIDAS'!E$126</f>
        <v>59253219.840000004</v>
      </c>
      <c r="J597" s="97">
        <f>+'INV POIR PPERDIDAS'!F$126</f>
        <v>61613804.039999999</v>
      </c>
      <c r="K597" s="97">
        <f>+'INV POIR PPERDIDAS'!G$126</f>
        <v>63980742.840000004</v>
      </c>
      <c r="L597" s="97">
        <f>+'INV POIR PPERDIDAS'!H$126</f>
        <v>66048339.600000009</v>
      </c>
      <c r="M597" s="97">
        <f>+'INV POIR PPERDIDAS'!I$126</f>
        <v>67860109.199999988</v>
      </c>
      <c r="N597" s="97">
        <f>+'INV POIR PPERDIDAS'!J$126</f>
        <v>69763098.239999995</v>
      </c>
      <c r="O597" s="97">
        <f>+'INV POIR PPERDIDAS'!K$126</f>
        <v>71680074.24000001</v>
      </c>
      <c r="P597" s="97">
        <f>+'INV POIR PPERDIDAS'!L$126</f>
        <v>73651119.359999999</v>
      </c>
    </row>
    <row r="598" spans="2:16" x14ac:dyDescent="0.2">
      <c r="B598" s="90">
        <f t="shared" si="74"/>
        <v>0</v>
      </c>
      <c r="C598" s="90">
        <f t="shared" si="74"/>
        <v>94</v>
      </c>
      <c r="D598" s="95">
        <f t="shared" si="74"/>
        <v>0</v>
      </c>
      <c r="E598" s="96">
        <f t="shared" si="74"/>
        <v>0</v>
      </c>
      <c r="F598" s="93">
        <f>+VLOOKUP(C598,'INV POIR PPERDIDAS'!$C$4:$F$123,4,FALSE)</f>
        <v>1</v>
      </c>
      <c r="G598" s="97">
        <f>+'INV POIR PPERDIDAS'!C$126</f>
        <v>53998308</v>
      </c>
      <c r="H598" s="97">
        <f>+'INV POIR PPERDIDAS'!D$126</f>
        <v>56894335.679999992</v>
      </c>
      <c r="I598" s="97">
        <f>+'INV POIR PPERDIDAS'!E$126</f>
        <v>59253219.840000004</v>
      </c>
      <c r="J598" s="97">
        <f>+'INV POIR PPERDIDAS'!F$126</f>
        <v>61613804.039999999</v>
      </c>
      <c r="K598" s="97">
        <f>+'INV POIR PPERDIDAS'!G$126</f>
        <v>63980742.840000004</v>
      </c>
      <c r="L598" s="97">
        <f>+'INV POIR PPERDIDAS'!H$126</f>
        <v>66048339.600000009</v>
      </c>
      <c r="M598" s="97">
        <f>+'INV POIR PPERDIDAS'!I$126</f>
        <v>67860109.199999988</v>
      </c>
      <c r="N598" s="97">
        <f>+'INV POIR PPERDIDAS'!J$126</f>
        <v>69763098.239999995</v>
      </c>
      <c r="O598" s="97">
        <f>+'INV POIR PPERDIDAS'!K$126</f>
        <v>71680074.24000001</v>
      </c>
      <c r="P598" s="97">
        <f>+'INV POIR PPERDIDAS'!L$126</f>
        <v>73651119.359999999</v>
      </c>
    </row>
    <row r="599" spans="2:16" x14ac:dyDescent="0.2">
      <c r="B599" s="90">
        <f t="shared" si="74"/>
        <v>0</v>
      </c>
      <c r="C599" s="90">
        <f t="shared" si="74"/>
        <v>95</v>
      </c>
      <c r="D599" s="95">
        <f t="shared" si="74"/>
        <v>0</v>
      </c>
      <c r="E599" s="96">
        <f t="shared" si="74"/>
        <v>0</v>
      </c>
      <c r="F599" s="93">
        <f>+VLOOKUP(C599,'INV POIR PPERDIDAS'!$C$4:$F$123,4,FALSE)</f>
        <v>1</v>
      </c>
      <c r="G599" s="97">
        <f>+'INV POIR PPERDIDAS'!C$126</f>
        <v>53998308</v>
      </c>
      <c r="H599" s="97">
        <f>+'INV POIR PPERDIDAS'!D$126</f>
        <v>56894335.679999992</v>
      </c>
      <c r="I599" s="97">
        <f>+'INV POIR PPERDIDAS'!E$126</f>
        <v>59253219.840000004</v>
      </c>
      <c r="J599" s="97">
        <f>+'INV POIR PPERDIDAS'!F$126</f>
        <v>61613804.039999999</v>
      </c>
      <c r="K599" s="97">
        <f>+'INV POIR PPERDIDAS'!G$126</f>
        <v>63980742.840000004</v>
      </c>
      <c r="L599" s="97">
        <f>+'INV POIR PPERDIDAS'!H$126</f>
        <v>66048339.600000009</v>
      </c>
      <c r="M599" s="97">
        <f>+'INV POIR PPERDIDAS'!I$126</f>
        <v>67860109.199999988</v>
      </c>
      <c r="N599" s="97">
        <f>+'INV POIR PPERDIDAS'!J$126</f>
        <v>69763098.239999995</v>
      </c>
      <c r="O599" s="97">
        <f>+'INV POIR PPERDIDAS'!K$126</f>
        <v>71680074.24000001</v>
      </c>
      <c r="P599" s="97">
        <f>+'INV POIR PPERDIDAS'!L$126</f>
        <v>73651119.359999999</v>
      </c>
    </row>
    <row r="600" spans="2:16" x14ac:dyDescent="0.2">
      <c r="B600" s="90">
        <f t="shared" si="74"/>
        <v>0</v>
      </c>
      <c r="C600" s="90">
        <f t="shared" si="74"/>
        <v>96</v>
      </c>
      <c r="D600" s="95">
        <f t="shared" si="74"/>
        <v>0</v>
      </c>
      <c r="E600" s="96">
        <f t="shared" si="74"/>
        <v>0</v>
      </c>
      <c r="F600" s="93">
        <f>+VLOOKUP(C600,'INV POIR PPERDIDAS'!$C$4:$F$123,4,FALSE)</f>
        <v>1</v>
      </c>
      <c r="G600" s="97">
        <f>+'INV POIR PPERDIDAS'!C$126</f>
        <v>53998308</v>
      </c>
      <c r="H600" s="97">
        <f>+'INV POIR PPERDIDAS'!D$126</f>
        <v>56894335.679999992</v>
      </c>
      <c r="I600" s="97">
        <f>+'INV POIR PPERDIDAS'!E$126</f>
        <v>59253219.840000004</v>
      </c>
      <c r="J600" s="97">
        <f>+'INV POIR PPERDIDAS'!F$126</f>
        <v>61613804.039999999</v>
      </c>
      <c r="K600" s="97">
        <f>+'INV POIR PPERDIDAS'!G$126</f>
        <v>63980742.840000004</v>
      </c>
      <c r="L600" s="97">
        <f>+'INV POIR PPERDIDAS'!H$126</f>
        <v>66048339.600000009</v>
      </c>
      <c r="M600" s="97">
        <f>+'INV POIR PPERDIDAS'!I$126</f>
        <v>67860109.199999988</v>
      </c>
      <c r="N600" s="97">
        <f>+'INV POIR PPERDIDAS'!J$126</f>
        <v>69763098.239999995</v>
      </c>
      <c r="O600" s="97">
        <f>+'INV POIR PPERDIDAS'!K$126</f>
        <v>71680074.24000001</v>
      </c>
      <c r="P600" s="97">
        <f>+'INV POIR PPERDIDAS'!L$126</f>
        <v>73651119.359999999</v>
      </c>
    </row>
    <row r="601" spans="2:16" x14ac:dyDescent="0.2">
      <c r="B601" s="90">
        <f t="shared" si="74"/>
        <v>0</v>
      </c>
      <c r="C601" s="90">
        <f t="shared" si="74"/>
        <v>97</v>
      </c>
      <c r="D601" s="95">
        <f t="shared" si="74"/>
        <v>0</v>
      </c>
      <c r="E601" s="96">
        <f t="shared" si="74"/>
        <v>0</v>
      </c>
      <c r="F601" s="93">
        <f>+VLOOKUP(C601,'INV POIR PPERDIDAS'!$C$4:$F$123,4,FALSE)</f>
        <v>1</v>
      </c>
      <c r="G601" s="97">
        <f>+'INV POIR PPERDIDAS'!C$126</f>
        <v>53998308</v>
      </c>
      <c r="H601" s="97">
        <f>+'INV POIR PPERDIDAS'!D$126</f>
        <v>56894335.679999992</v>
      </c>
      <c r="I601" s="97">
        <f>+'INV POIR PPERDIDAS'!E$126</f>
        <v>59253219.840000004</v>
      </c>
      <c r="J601" s="97">
        <f>+'INV POIR PPERDIDAS'!F$126</f>
        <v>61613804.039999999</v>
      </c>
      <c r="K601" s="97">
        <f>+'INV POIR PPERDIDAS'!G$126</f>
        <v>63980742.840000004</v>
      </c>
      <c r="L601" s="97">
        <f>+'INV POIR PPERDIDAS'!H$126</f>
        <v>66048339.600000009</v>
      </c>
      <c r="M601" s="97">
        <f>+'INV POIR PPERDIDAS'!I$126</f>
        <v>67860109.199999988</v>
      </c>
      <c r="N601" s="97">
        <f>+'INV POIR PPERDIDAS'!J$126</f>
        <v>69763098.239999995</v>
      </c>
      <c r="O601" s="97">
        <f>+'INV POIR PPERDIDAS'!K$126</f>
        <v>71680074.24000001</v>
      </c>
      <c r="P601" s="97">
        <f>+'INV POIR PPERDIDAS'!L$126</f>
        <v>73651119.359999999</v>
      </c>
    </row>
    <row r="602" spans="2:16" x14ac:dyDescent="0.2">
      <c r="B602" s="90">
        <f t="shared" ref="B602:E617" si="75">+B478</f>
        <v>0</v>
      </c>
      <c r="C602" s="90">
        <f t="shared" si="75"/>
        <v>98</v>
      </c>
      <c r="D602" s="95">
        <f t="shared" si="75"/>
        <v>0</v>
      </c>
      <c r="E602" s="96">
        <f t="shared" si="75"/>
        <v>0</v>
      </c>
      <c r="F602" s="93">
        <f>+VLOOKUP(C602,'INV POIR PPERDIDAS'!$C$4:$F$123,4,FALSE)</f>
        <v>1</v>
      </c>
      <c r="G602" s="97">
        <f>+'INV POIR PPERDIDAS'!C$126</f>
        <v>53998308</v>
      </c>
      <c r="H602" s="97">
        <f>+'INV POIR PPERDIDAS'!D$126</f>
        <v>56894335.679999992</v>
      </c>
      <c r="I602" s="97">
        <f>+'INV POIR PPERDIDAS'!E$126</f>
        <v>59253219.840000004</v>
      </c>
      <c r="J602" s="97">
        <f>+'INV POIR PPERDIDAS'!F$126</f>
        <v>61613804.039999999</v>
      </c>
      <c r="K602" s="97">
        <f>+'INV POIR PPERDIDAS'!G$126</f>
        <v>63980742.840000004</v>
      </c>
      <c r="L602" s="97">
        <f>+'INV POIR PPERDIDAS'!H$126</f>
        <v>66048339.600000009</v>
      </c>
      <c r="M602" s="97">
        <f>+'INV POIR PPERDIDAS'!I$126</f>
        <v>67860109.199999988</v>
      </c>
      <c r="N602" s="97">
        <f>+'INV POIR PPERDIDAS'!J$126</f>
        <v>69763098.239999995</v>
      </c>
      <c r="O602" s="97">
        <f>+'INV POIR PPERDIDAS'!K$126</f>
        <v>71680074.24000001</v>
      </c>
      <c r="P602" s="97">
        <f>+'INV POIR PPERDIDAS'!L$126</f>
        <v>73651119.359999999</v>
      </c>
    </row>
    <row r="603" spans="2:16" x14ac:dyDescent="0.2">
      <c r="B603" s="90">
        <f t="shared" si="75"/>
        <v>0</v>
      </c>
      <c r="C603" s="90">
        <f t="shared" si="75"/>
        <v>99</v>
      </c>
      <c r="D603" s="95">
        <f t="shared" si="75"/>
        <v>0</v>
      </c>
      <c r="E603" s="96">
        <f t="shared" si="75"/>
        <v>0</v>
      </c>
      <c r="F603" s="93">
        <f>+VLOOKUP(C603,'INV POIR PPERDIDAS'!$C$4:$F$123,4,FALSE)</f>
        <v>1</v>
      </c>
      <c r="G603" s="97">
        <f>+'INV POIR PPERDIDAS'!C$126</f>
        <v>53998308</v>
      </c>
      <c r="H603" s="97">
        <f>+'INV POIR PPERDIDAS'!D$126</f>
        <v>56894335.679999992</v>
      </c>
      <c r="I603" s="97">
        <f>+'INV POIR PPERDIDAS'!E$126</f>
        <v>59253219.840000004</v>
      </c>
      <c r="J603" s="97">
        <f>+'INV POIR PPERDIDAS'!F$126</f>
        <v>61613804.039999999</v>
      </c>
      <c r="K603" s="97">
        <f>+'INV POIR PPERDIDAS'!G$126</f>
        <v>63980742.840000004</v>
      </c>
      <c r="L603" s="97">
        <f>+'INV POIR PPERDIDAS'!H$126</f>
        <v>66048339.600000009</v>
      </c>
      <c r="M603" s="97">
        <f>+'INV POIR PPERDIDAS'!I$126</f>
        <v>67860109.199999988</v>
      </c>
      <c r="N603" s="97">
        <f>+'INV POIR PPERDIDAS'!J$126</f>
        <v>69763098.239999995</v>
      </c>
      <c r="O603" s="97">
        <f>+'INV POIR PPERDIDAS'!K$126</f>
        <v>71680074.24000001</v>
      </c>
      <c r="P603" s="97">
        <f>+'INV POIR PPERDIDAS'!L$126</f>
        <v>73651119.359999999</v>
      </c>
    </row>
    <row r="604" spans="2:16" x14ac:dyDescent="0.2">
      <c r="B604" s="90">
        <f t="shared" si="75"/>
        <v>0</v>
      </c>
      <c r="C604" s="90">
        <f t="shared" si="75"/>
        <v>100</v>
      </c>
      <c r="D604" s="95">
        <f t="shared" si="75"/>
        <v>0</v>
      </c>
      <c r="E604" s="96">
        <f t="shared" si="75"/>
        <v>0</v>
      </c>
      <c r="F604" s="93">
        <f>+VLOOKUP(C604,'INV POIR PPERDIDAS'!$C$4:$F$123,4,FALSE)</f>
        <v>1</v>
      </c>
      <c r="G604" s="97">
        <f>+'INV POIR PPERDIDAS'!C$126</f>
        <v>53998308</v>
      </c>
      <c r="H604" s="97">
        <f>+'INV POIR PPERDIDAS'!D$126</f>
        <v>56894335.679999992</v>
      </c>
      <c r="I604" s="97">
        <f>+'INV POIR PPERDIDAS'!E$126</f>
        <v>59253219.840000004</v>
      </c>
      <c r="J604" s="97">
        <f>+'INV POIR PPERDIDAS'!F$126</f>
        <v>61613804.039999999</v>
      </c>
      <c r="K604" s="97">
        <f>+'INV POIR PPERDIDAS'!G$126</f>
        <v>63980742.840000004</v>
      </c>
      <c r="L604" s="97">
        <f>+'INV POIR PPERDIDAS'!H$126</f>
        <v>66048339.600000009</v>
      </c>
      <c r="M604" s="97">
        <f>+'INV POIR PPERDIDAS'!I$126</f>
        <v>67860109.199999988</v>
      </c>
      <c r="N604" s="97">
        <f>+'INV POIR PPERDIDAS'!J$126</f>
        <v>69763098.239999995</v>
      </c>
      <c r="O604" s="97">
        <f>+'INV POIR PPERDIDAS'!K$126</f>
        <v>71680074.24000001</v>
      </c>
      <c r="P604" s="97">
        <f>+'INV POIR PPERDIDAS'!L$126</f>
        <v>73651119.359999999</v>
      </c>
    </row>
    <row r="605" spans="2:16" x14ac:dyDescent="0.2">
      <c r="B605" s="90">
        <f t="shared" si="75"/>
        <v>0</v>
      </c>
      <c r="C605" s="90">
        <f t="shared" si="75"/>
        <v>101</v>
      </c>
      <c r="D605" s="95">
        <f t="shared" si="75"/>
        <v>0</v>
      </c>
      <c r="E605" s="96">
        <f t="shared" si="75"/>
        <v>0</v>
      </c>
      <c r="F605" s="93">
        <f>+VLOOKUP(C605,'INV POIR PPERDIDAS'!$C$4:$F$123,4,FALSE)</f>
        <v>1</v>
      </c>
      <c r="G605" s="97">
        <f>+'INV POIR PPERDIDAS'!C$126</f>
        <v>53998308</v>
      </c>
      <c r="H605" s="97">
        <f>+'INV POIR PPERDIDAS'!D$126</f>
        <v>56894335.679999992</v>
      </c>
      <c r="I605" s="97">
        <f>+'INV POIR PPERDIDAS'!E$126</f>
        <v>59253219.840000004</v>
      </c>
      <c r="J605" s="97">
        <f>+'INV POIR PPERDIDAS'!F$126</f>
        <v>61613804.039999999</v>
      </c>
      <c r="K605" s="97">
        <f>+'INV POIR PPERDIDAS'!G$126</f>
        <v>63980742.840000004</v>
      </c>
      <c r="L605" s="97">
        <f>+'INV POIR PPERDIDAS'!H$126</f>
        <v>66048339.600000009</v>
      </c>
      <c r="M605" s="97">
        <f>+'INV POIR PPERDIDAS'!I$126</f>
        <v>67860109.199999988</v>
      </c>
      <c r="N605" s="97">
        <f>+'INV POIR PPERDIDAS'!J$126</f>
        <v>69763098.239999995</v>
      </c>
      <c r="O605" s="97">
        <f>+'INV POIR PPERDIDAS'!K$126</f>
        <v>71680074.24000001</v>
      </c>
      <c r="P605" s="97">
        <f>+'INV POIR PPERDIDAS'!L$126</f>
        <v>73651119.359999999</v>
      </c>
    </row>
    <row r="606" spans="2:16" x14ac:dyDescent="0.2">
      <c r="B606" s="90">
        <f t="shared" si="75"/>
        <v>0</v>
      </c>
      <c r="C606" s="90">
        <f t="shared" si="75"/>
        <v>102</v>
      </c>
      <c r="D606" s="95">
        <f t="shared" si="75"/>
        <v>0</v>
      </c>
      <c r="E606" s="96">
        <f t="shared" si="75"/>
        <v>0</v>
      </c>
      <c r="F606" s="93">
        <f>+VLOOKUP(C606,'INV POIR PPERDIDAS'!$C$4:$F$123,4,FALSE)</f>
        <v>1</v>
      </c>
      <c r="G606" s="97">
        <f>+'INV POIR PPERDIDAS'!C$126</f>
        <v>53998308</v>
      </c>
      <c r="H606" s="97">
        <f>+'INV POIR PPERDIDAS'!D$126</f>
        <v>56894335.679999992</v>
      </c>
      <c r="I606" s="97">
        <f>+'INV POIR PPERDIDAS'!E$126</f>
        <v>59253219.840000004</v>
      </c>
      <c r="J606" s="97">
        <f>+'INV POIR PPERDIDAS'!F$126</f>
        <v>61613804.039999999</v>
      </c>
      <c r="K606" s="97">
        <f>+'INV POIR PPERDIDAS'!G$126</f>
        <v>63980742.840000004</v>
      </c>
      <c r="L606" s="97">
        <f>+'INV POIR PPERDIDAS'!H$126</f>
        <v>66048339.600000009</v>
      </c>
      <c r="M606" s="97">
        <f>+'INV POIR PPERDIDAS'!I$126</f>
        <v>67860109.199999988</v>
      </c>
      <c r="N606" s="97">
        <f>+'INV POIR PPERDIDAS'!J$126</f>
        <v>69763098.239999995</v>
      </c>
      <c r="O606" s="97">
        <f>+'INV POIR PPERDIDAS'!K$126</f>
        <v>71680074.24000001</v>
      </c>
      <c r="P606" s="97">
        <f>+'INV POIR PPERDIDAS'!L$126</f>
        <v>73651119.359999999</v>
      </c>
    </row>
    <row r="607" spans="2:16" x14ac:dyDescent="0.2">
      <c r="B607" s="90">
        <f t="shared" si="75"/>
        <v>0</v>
      </c>
      <c r="C607" s="90">
        <f t="shared" si="75"/>
        <v>103</v>
      </c>
      <c r="D607" s="95">
        <f t="shared" si="75"/>
        <v>0</v>
      </c>
      <c r="E607" s="96">
        <f t="shared" si="75"/>
        <v>0</v>
      </c>
      <c r="F607" s="93">
        <f>+VLOOKUP(C607,'INV POIR PPERDIDAS'!$C$4:$F$123,4,FALSE)</f>
        <v>1</v>
      </c>
      <c r="G607" s="97">
        <f>+'INV POIR PPERDIDAS'!C$126</f>
        <v>53998308</v>
      </c>
      <c r="H607" s="97">
        <f>+'INV POIR PPERDIDAS'!D$126</f>
        <v>56894335.679999992</v>
      </c>
      <c r="I607" s="97">
        <f>+'INV POIR PPERDIDAS'!E$126</f>
        <v>59253219.840000004</v>
      </c>
      <c r="J607" s="97">
        <f>+'INV POIR PPERDIDAS'!F$126</f>
        <v>61613804.039999999</v>
      </c>
      <c r="K607" s="97">
        <f>+'INV POIR PPERDIDAS'!G$126</f>
        <v>63980742.840000004</v>
      </c>
      <c r="L607" s="97">
        <f>+'INV POIR PPERDIDAS'!H$126</f>
        <v>66048339.600000009</v>
      </c>
      <c r="M607" s="97">
        <f>+'INV POIR PPERDIDAS'!I$126</f>
        <v>67860109.199999988</v>
      </c>
      <c r="N607" s="97">
        <f>+'INV POIR PPERDIDAS'!J$126</f>
        <v>69763098.239999995</v>
      </c>
      <c r="O607" s="97">
        <f>+'INV POIR PPERDIDAS'!K$126</f>
        <v>71680074.24000001</v>
      </c>
      <c r="P607" s="97">
        <f>+'INV POIR PPERDIDAS'!L$126</f>
        <v>73651119.359999999</v>
      </c>
    </row>
    <row r="608" spans="2:16" x14ac:dyDescent="0.2">
      <c r="B608" s="90">
        <f t="shared" si="75"/>
        <v>0</v>
      </c>
      <c r="C608" s="90">
        <f t="shared" si="75"/>
        <v>104</v>
      </c>
      <c r="D608" s="95">
        <f t="shared" si="75"/>
        <v>0</v>
      </c>
      <c r="E608" s="96">
        <f t="shared" si="75"/>
        <v>0</v>
      </c>
      <c r="F608" s="93">
        <f>+VLOOKUP(C608,'INV POIR PPERDIDAS'!$C$4:$F$123,4,FALSE)</f>
        <v>1</v>
      </c>
      <c r="G608" s="97">
        <f>+'INV POIR PPERDIDAS'!C$126</f>
        <v>53998308</v>
      </c>
      <c r="H608" s="97">
        <f>+'INV POIR PPERDIDAS'!D$126</f>
        <v>56894335.679999992</v>
      </c>
      <c r="I608" s="97">
        <f>+'INV POIR PPERDIDAS'!E$126</f>
        <v>59253219.840000004</v>
      </c>
      <c r="J608" s="97">
        <f>+'INV POIR PPERDIDAS'!F$126</f>
        <v>61613804.039999999</v>
      </c>
      <c r="K608" s="97">
        <f>+'INV POIR PPERDIDAS'!G$126</f>
        <v>63980742.840000004</v>
      </c>
      <c r="L608" s="97">
        <f>+'INV POIR PPERDIDAS'!H$126</f>
        <v>66048339.600000009</v>
      </c>
      <c r="M608" s="97">
        <f>+'INV POIR PPERDIDAS'!I$126</f>
        <v>67860109.199999988</v>
      </c>
      <c r="N608" s="97">
        <f>+'INV POIR PPERDIDAS'!J$126</f>
        <v>69763098.239999995</v>
      </c>
      <c r="O608" s="97">
        <f>+'INV POIR PPERDIDAS'!K$126</f>
        <v>71680074.24000001</v>
      </c>
      <c r="P608" s="97">
        <f>+'INV POIR PPERDIDAS'!L$126</f>
        <v>73651119.359999999</v>
      </c>
    </row>
    <row r="609" spans="2:16" x14ac:dyDescent="0.2">
      <c r="B609" s="90">
        <f t="shared" si="75"/>
        <v>0</v>
      </c>
      <c r="C609" s="90">
        <f t="shared" si="75"/>
        <v>105</v>
      </c>
      <c r="D609" s="95">
        <f t="shared" si="75"/>
        <v>0</v>
      </c>
      <c r="E609" s="96">
        <f t="shared" si="75"/>
        <v>0</v>
      </c>
      <c r="F609" s="93">
        <f>+VLOOKUP(C609,'INV POIR PPERDIDAS'!$C$4:$F$123,4,FALSE)</f>
        <v>1</v>
      </c>
      <c r="G609" s="97">
        <f>+'INV POIR PPERDIDAS'!C$126</f>
        <v>53998308</v>
      </c>
      <c r="H609" s="97">
        <f>+'INV POIR PPERDIDAS'!D$126</f>
        <v>56894335.679999992</v>
      </c>
      <c r="I609" s="97">
        <f>+'INV POIR PPERDIDAS'!E$126</f>
        <v>59253219.840000004</v>
      </c>
      <c r="J609" s="97">
        <f>+'INV POIR PPERDIDAS'!F$126</f>
        <v>61613804.039999999</v>
      </c>
      <c r="K609" s="97">
        <f>+'INV POIR PPERDIDAS'!G$126</f>
        <v>63980742.840000004</v>
      </c>
      <c r="L609" s="97">
        <f>+'INV POIR PPERDIDAS'!H$126</f>
        <v>66048339.600000009</v>
      </c>
      <c r="M609" s="97">
        <f>+'INV POIR PPERDIDAS'!I$126</f>
        <v>67860109.199999988</v>
      </c>
      <c r="N609" s="97">
        <f>+'INV POIR PPERDIDAS'!J$126</f>
        <v>69763098.239999995</v>
      </c>
      <c r="O609" s="97">
        <f>+'INV POIR PPERDIDAS'!K$126</f>
        <v>71680074.24000001</v>
      </c>
      <c r="P609" s="97">
        <f>+'INV POIR PPERDIDAS'!L$126</f>
        <v>73651119.359999999</v>
      </c>
    </row>
    <row r="610" spans="2:16" x14ac:dyDescent="0.2">
      <c r="B610" s="90">
        <f t="shared" si="75"/>
        <v>0</v>
      </c>
      <c r="C610" s="90">
        <f t="shared" si="75"/>
        <v>106</v>
      </c>
      <c r="D610" s="95">
        <f t="shared" si="75"/>
        <v>0</v>
      </c>
      <c r="E610" s="96">
        <f t="shared" si="75"/>
        <v>0</v>
      </c>
      <c r="F610" s="93">
        <f>+VLOOKUP(C610,'INV POIR PPERDIDAS'!$C$4:$F$123,4,FALSE)</f>
        <v>1</v>
      </c>
      <c r="G610" s="97">
        <f>+'INV POIR PPERDIDAS'!C$126</f>
        <v>53998308</v>
      </c>
      <c r="H610" s="97">
        <f>+'INV POIR PPERDIDAS'!D$126</f>
        <v>56894335.679999992</v>
      </c>
      <c r="I610" s="97">
        <f>+'INV POIR PPERDIDAS'!E$126</f>
        <v>59253219.840000004</v>
      </c>
      <c r="J610" s="97">
        <f>+'INV POIR PPERDIDAS'!F$126</f>
        <v>61613804.039999999</v>
      </c>
      <c r="K610" s="97">
        <f>+'INV POIR PPERDIDAS'!G$126</f>
        <v>63980742.840000004</v>
      </c>
      <c r="L610" s="97">
        <f>+'INV POIR PPERDIDAS'!H$126</f>
        <v>66048339.600000009</v>
      </c>
      <c r="M610" s="97">
        <f>+'INV POIR PPERDIDAS'!I$126</f>
        <v>67860109.199999988</v>
      </c>
      <c r="N610" s="97">
        <f>+'INV POIR PPERDIDAS'!J$126</f>
        <v>69763098.239999995</v>
      </c>
      <c r="O610" s="97">
        <f>+'INV POIR PPERDIDAS'!K$126</f>
        <v>71680074.24000001</v>
      </c>
      <c r="P610" s="97">
        <f>+'INV POIR PPERDIDAS'!L$126</f>
        <v>73651119.359999999</v>
      </c>
    </row>
    <row r="611" spans="2:16" x14ac:dyDescent="0.2">
      <c r="B611" s="90">
        <f t="shared" si="75"/>
        <v>0</v>
      </c>
      <c r="C611" s="90">
        <f t="shared" si="75"/>
        <v>107</v>
      </c>
      <c r="D611" s="95">
        <f t="shared" si="75"/>
        <v>0</v>
      </c>
      <c r="E611" s="96">
        <f t="shared" si="75"/>
        <v>0</v>
      </c>
      <c r="F611" s="93">
        <f>+VLOOKUP(C611,'INV POIR PPERDIDAS'!$C$4:$F$123,4,FALSE)</f>
        <v>1</v>
      </c>
      <c r="G611" s="97">
        <f>+'INV POIR PPERDIDAS'!C$126</f>
        <v>53998308</v>
      </c>
      <c r="H611" s="97">
        <f>+'INV POIR PPERDIDAS'!D$126</f>
        <v>56894335.679999992</v>
      </c>
      <c r="I611" s="97">
        <f>+'INV POIR PPERDIDAS'!E$126</f>
        <v>59253219.840000004</v>
      </c>
      <c r="J611" s="97">
        <f>+'INV POIR PPERDIDAS'!F$126</f>
        <v>61613804.039999999</v>
      </c>
      <c r="K611" s="97">
        <f>+'INV POIR PPERDIDAS'!G$126</f>
        <v>63980742.840000004</v>
      </c>
      <c r="L611" s="97">
        <f>+'INV POIR PPERDIDAS'!H$126</f>
        <v>66048339.600000009</v>
      </c>
      <c r="M611" s="97">
        <f>+'INV POIR PPERDIDAS'!I$126</f>
        <v>67860109.199999988</v>
      </c>
      <c r="N611" s="97">
        <f>+'INV POIR PPERDIDAS'!J$126</f>
        <v>69763098.239999995</v>
      </c>
      <c r="O611" s="97">
        <f>+'INV POIR PPERDIDAS'!K$126</f>
        <v>71680074.24000001</v>
      </c>
      <c r="P611" s="97">
        <f>+'INV POIR PPERDIDAS'!L$126</f>
        <v>73651119.359999999</v>
      </c>
    </row>
    <row r="612" spans="2:16" x14ac:dyDescent="0.2">
      <c r="B612" s="90">
        <f t="shared" si="75"/>
        <v>0</v>
      </c>
      <c r="C612" s="90">
        <f t="shared" si="75"/>
        <v>108</v>
      </c>
      <c r="D612" s="95">
        <f t="shared" si="75"/>
        <v>0</v>
      </c>
      <c r="E612" s="96">
        <f t="shared" si="75"/>
        <v>0</v>
      </c>
      <c r="F612" s="93">
        <f>+VLOOKUP(C612,'INV POIR PPERDIDAS'!$C$4:$F$123,4,FALSE)</f>
        <v>1</v>
      </c>
      <c r="G612" s="97">
        <f>+'INV POIR PPERDIDAS'!C$126</f>
        <v>53998308</v>
      </c>
      <c r="H612" s="97">
        <f>+'INV POIR PPERDIDAS'!D$126</f>
        <v>56894335.679999992</v>
      </c>
      <c r="I612" s="97">
        <f>+'INV POIR PPERDIDAS'!E$126</f>
        <v>59253219.840000004</v>
      </c>
      <c r="J612" s="97">
        <f>+'INV POIR PPERDIDAS'!F$126</f>
        <v>61613804.039999999</v>
      </c>
      <c r="K612" s="97">
        <f>+'INV POIR PPERDIDAS'!G$126</f>
        <v>63980742.840000004</v>
      </c>
      <c r="L612" s="97">
        <f>+'INV POIR PPERDIDAS'!H$126</f>
        <v>66048339.600000009</v>
      </c>
      <c r="M612" s="97">
        <f>+'INV POIR PPERDIDAS'!I$126</f>
        <v>67860109.199999988</v>
      </c>
      <c r="N612" s="97">
        <f>+'INV POIR PPERDIDAS'!J$126</f>
        <v>69763098.239999995</v>
      </c>
      <c r="O612" s="97">
        <f>+'INV POIR PPERDIDAS'!K$126</f>
        <v>71680074.24000001</v>
      </c>
      <c r="P612" s="97">
        <f>+'INV POIR PPERDIDAS'!L$126</f>
        <v>73651119.359999999</v>
      </c>
    </row>
    <row r="613" spans="2:16" x14ac:dyDescent="0.2">
      <c r="B613" s="90">
        <f t="shared" si="75"/>
        <v>0</v>
      </c>
      <c r="C613" s="90">
        <f t="shared" si="75"/>
        <v>109</v>
      </c>
      <c r="D613" s="95">
        <f t="shared" si="75"/>
        <v>0</v>
      </c>
      <c r="E613" s="96">
        <f t="shared" si="75"/>
        <v>0</v>
      </c>
      <c r="F613" s="93">
        <f>+VLOOKUP(C613,'INV POIR PPERDIDAS'!$C$4:$F$123,4,FALSE)</f>
        <v>1</v>
      </c>
      <c r="G613" s="97">
        <f>+'INV POIR PPERDIDAS'!C$126</f>
        <v>53998308</v>
      </c>
      <c r="H613" s="97">
        <f>+'INV POIR PPERDIDAS'!D$126</f>
        <v>56894335.679999992</v>
      </c>
      <c r="I613" s="97">
        <f>+'INV POIR PPERDIDAS'!E$126</f>
        <v>59253219.840000004</v>
      </c>
      <c r="J613" s="97">
        <f>+'INV POIR PPERDIDAS'!F$126</f>
        <v>61613804.039999999</v>
      </c>
      <c r="K613" s="97">
        <f>+'INV POIR PPERDIDAS'!G$126</f>
        <v>63980742.840000004</v>
      </c>
      <c r="L613" s="97">
        <f>+'INV POIR PPERDIDAS'!H$126</f>
        <v>66048339.600000009</v>
      </c>
      <c r="M613" s="97">
        <f>+'INV POIR PPERDIDAS'!I$126</f>
        <v>67860109.199999988</v>
      </c>
      <c r="N613" s="97">
        <f>+'INV POIR PPERDIDAS'!J$126</f>
        <v>69763098.239999995</v>
      </c>
      <c r="O613" s="97">
        <f>+'INV POIR PPERDIDAS'!K$126</f>
        <v>71680074.24000001</v>
      </c>
      <c r="P613" s="97">
        <f>+'INV POIR PPERDIDAS'!L$126</f>
        <v>73651119.359999999</v>
      </c>
    </row>
    <row r="614" spans="2:16" x14ac:dyDescent="0.2">
      <c r="B614" s="90">
        <f t="shared" si="75"/>
        <v>0</v>
      </c>
      <c r="C614" s="90">
        <f t="shared" si="75"/>
        <v>110</v>
      </c>
      <c r="D614" s="95">
        <f t="shared" si="75"/>
        <v>0</v>
      </c>
      <c r="E614" s="96">
        <f t="shared" si="75"/>
        <v>0</v>
      </c>
      <c r="F614" s="93">
        <f>+VLOOKUP(C614,'INV POIR PPERDIDAS'!$C$4:$F$123,4,FALSE)</f>
        <v>1</v>
      </c>
      <c r="G614" s="97">
        <f>+'INV POIR PPERDIDAS'!C$126</f>
        <v>53998308</v>
      </c>
      <c r="H614" s="97">
        <f>+'INV POIR PPERDIDAS'!D$126</f>
        <v>56894335.679999992</v>
      </c>
      <c r="I614" s="97">
        <f>+'INV POIR PPERDIDAS'!E$126</f>
        <v>59253219.840000004</v>
      </c>
      <c r="J614" s="97">
        <f>+'INV POIR PPERDIDAS'!F$126</f>
        <v>61613804.039999999</v>
      </c>
      <c r="K614" s="97">
        <f>+'INV POIR PPERDIDAS'!G$126</f>
        <v>63980742.840000004</v>
      </c>
      <c r="L614" s="97">
        <f>+'INV POIR PPERDIDAS'!H$126</f>
        <v>66048339.600000009</v>
      </c>
      <c r="M614" s="97">
        <f>+'INV POIR PPERDIDAS'!I$126</f>
        <v>67860109.199999988</v>
      </c>
      <c r="N614" s="97">
        <f>+'INV POIR PPERDIDAS'!J$126</f>
        <v>69763098.239999995</v>
      </c>
      <c r="O614" s="97">
        <f>+'INV POIR PPERDIDAS'!K$126</f>
        <v>71680074.24000001</v>
      </c>
      <c r="P614" s="97">
        <f>+'INV POIR PPERDIDAS'!L$126</f>
        <v>73651119.359999999</v>
      </c>
    </row>
    <row r="615" spans="2:16" x14ac:dyDescent="0.2">
      <c r="B615" s="90">
        <f t="shared" si="75"/>
        <v>0</v>
      </c>
      <c r="C615" s="90">
        <f t="shared" si="75"/>
        <v>111</v>
      </c>
      <c r="D615" s="95">
        <f t="shared" si="75"/>
        <v>0</v>
      </c>
      <c r="E615" s="96">
        <f t="shared" si="75"/>
        <v>0</v>
      </c>
      <c r="F615" s="93">
        <f>+VLOOKUP(C615,'INV POIR PPERDIDAS'!$C$4:$F$123,4,FALSE)</f>
        <v>1</v>
      </c>
      <c r="G615" s="97">
        <f>+'INV POIR PPERDIDAS'!C$126</f>
        <v>53998308</v>
      </c>
      <c r="H615" s="97">
        <f>+'INV POIR PPERDIDAS'!D$126</f>
        <v>56894335.679999992</v>
      </c>
      <c r="I615" s="97">
        <f>+'INV POIR PPERDIDAS'!E$126</f>
        <v>59253219.840000004</v>
      </c>
      <c r="J615" s="97">
        <f>+'INV POIR PPERDIDAS'!F$126</f>
        <v>61613804.039999999</v>
      </c>
      <c r="K615" s="97">
        <f>+'INV POIR PPERDIDAS'!G$126</f>
        <v>63980742.840000004</v>
      </c>
      <c r="L615" s="97">
        <f>+'INV POIR PPERDIDAS'!H$126</f>
        <v>66048339.600000009</v>
      </c>
      <c r="M615" s="97">
        <f>+'INV POIR PPERDIDAS'!I$126</f>
        <v>67860109.199999988</v>
      </c>
      <c r="N615" s="97">
        <f>+'INV POIR PPERDIDAS'!J$126</f>
        <v>69763098.239999995</v>
      </c>
      <c r="O615" s="97">
        <f>+'INV POIR PPERDIDAS'!K$126</f>
        <v>71680074.24000001</v>
      </c>
      <c r="P615" s="97">
        <f>+'INV POIR PPERDIDAS'!L$126</f>
        <v>73651119.359999999</v>
      </c>
    </row>
    <row r="616" spans="2:16" x14ac:dyDescent="0.2">
      <c r="B616" s="90">
        <f t="shared" si="75"/>
        <v>0</v>
      </c>
      <c r="C616" s="90">
        <f t="shared" si="75"/>
        <v>112</v>
      </c>
      <c r="D616" s="95">
        <f t="shared" si="75"/>
        <v>0</v>
      </c>
      <c r="E616" s="96">
        <f t="shared" si="75"/>
        <v>0</v>
      </c>
      <c r="F616" s="93">
        <f>+VLOOKUP(C616,'INV POIR PPERDIDAS'!$C$4:$F$123,4,FALSE)</f>
        <v>1</v>
      </c>
      <c r="G616" s="97">
        <f>+'INV POIR PPERDIDAS'!C$126</f>
        <v>53998308</v>
      </c>
      <c r="H616" s="97">
        <f>+'INV POIR PPERDIDAS'!D$126</f>
        <v>56894335.679999992</v>
      </c>
      <c r="I616" s="97">
        <f>+'INV POIR PPERDIDAS'!E$126</f>
        <v>59253219.840000004</v>
      </c>
      <c r="J616" s="97">
        <f>+'INV POIR PPERDIDAS'!F$126</f>
        <v>61613804.039999999</v>
      </c>
      <c r="K616" s="97">
        <f>+'INV POIR PPERDIDAS'!G$126</f>
        <v>63980742.840000004</v>
      </c>
      <c r="L616" s="97">
        <f>+'INV POIR PPERDIDAS'!H$126</f>
        <v>66048339.600000009</v>
      </c>
      <c r="M616" s="97">
        <f>+'INV POIR PPERDIDAS'!I$126</f>
        <v>67860109.199999988</v>
      </c>
      <c r="N616" s="97">
        <f>+'INV POIR PPERDIDAS'!J$126</f>
        <v>69763098.239999995</v>
      </c>
      <c r="O616" s="97">
        <f>+'INV POIR PPERDIDAS'!K$126</f>
        <v>71680074.24000001</v>
      </c>
      <c r="P616" s="97">
        <f>+'INV POIR PPERDIDAS'!L$126</f>
        <v>73651119.359999999</v>
      </c>
    </row>
    <row r="617" spans="2:16" x14ac:dyDescent="0.2">
      <c r="B617" s="90">
        <f t="shared" si="75"/>
        <v>0</v>
      </c>
      <c r="C617" s="90">
        <f t="shared" si="75"/>
        <v>113</v>
      </c>
      <c r="D617" s="95">
        <f t="shared" si="75"/>
        <v>0</v>
      </c>
      <c r="E617" s="96">
        <f t="shared" si="75"/>
        <v>0</v>
      </c>
      <c r="F617" s="93">
        <f>+VLOOKUP(C617,'INV POIR PPERDIDAS'!$C$4:$F$123,4,FALSE)</f>
        <v>1</v>
      </c>
      <c r="G617" s="97">
        <f>+'INV POIR PPERDIDAS'!C$126</f>
        <v>53998308</v>
      </c>
      <c r="H617" s="97">
        <f>+'INV POIR PPERDIDAS'!D$126</f>
        <v>56894335.679999992</v>
      </c>
      <c r="I617" s="97">
        <f>+'INV POIR PPERDIDAS'!E$126</f>
        <v>59253219.840000004</v>
      </c>
      <c r="J617" s="97">
        <f>+'INV POIR PPERDIDAS'!F$126</f>
        <v>61613804.039999999</v>
      </c>
      <c r="K617" s="97">
        <f>+'INV POIR PPERDIDAS'!G$126</f>
        <v>63980742.840000004</v>
      </c>
      <c r="L617" s="97">
        <f>+'INV POIR PPERDIDAS'!H$126</f>
        <v>66048339.600000009</v>
      </c>
      <c r="M617" s="97">
        <f>+'INV POIR PPERDIDAS'!I$126</f>
        <v>67860109.199999988</v>
      </c>
      <c r="N617" s="97">
        <f>+'INV POIR PPERDIDAS'!J$126</f>
        <v>69763098.239999995</v>
      </c>
      <c r="O617" s="97">
        <f>+'INV POIR PPERDIDAS'!K$126</f>
        <v>71680074.24000001</v>
      </c>
      <c r="P617" s="97">
        <f>+'INV POIR PPERDIDAS'!L$126</f>
        <v>73651119.359999999</v>
      </c>
    </row>
    <row r="618" spans="2:16" x14ac:dyDescent="0.2">
      <c r="B618" s="90">
        <f t="shared" ref="B618:E624" si="76">+B494</f>
        <v>0</v>
      </c>
      <c r="C618" s="90">
        <f t="shared" si="76"/>
        <v>114</v>
      </c>
      <c r="D618" s="95">
        <f t="shared" si="76"/>
        <v>0</v>
      </c>
      <c r="E618" s="96">
        <f t="shared" si="76"/>
        <v>0</v>
      </c>
      <c r="F618" s="93">
        <f>+VLOOKUP(C618,'INV POIR PPERDIDAS'!$C$4:$F$123,4,FALSE)</f>
        <v>1</v>
      </c>
      <c r="G618" s="97">
        <f>+'INV POIR PPERDIDAS'!C$126</f>
        <v>53998308</v>
      </c>
      <c r="H618" s="97">
        <f>+'INV POIR PPERDIDAS'!D$126</f>
        <v>56894335.679999992</v>
      </c>
      <c r="I618" s="97">
        <f>+'INV POIR PPERDIDAS'!E$126</f>
        <v>59253219.840000004</v>
      </c>
      <c r="J618" s="97">
        <f>+'INV POIR PPERDIDAS'!F$126</f>
        <v>61613804.039999999</v>
      </c>
      <c r="K618" s="97">
        <f>+'INV POIR PPERDIDAS'!G$126</f>
        <v>63980742.840000004</v>
      </c>
      <c r="L618" s="97">
        <f>+'INV POIR PPERDIDAS'!H$126</f>
        <v>66048339.600000009</v>
      </c>
      <c r="M618" s="97">
        <f>+'INV POIR PPERDIDAS'!I$126</f>
        <v>67860109.199999988</v>
      </c>
      <c r="N618" s="97">
        <f>+'INV POIR PPERDIDAS'!J$126</f>
        <v>69763098.239999995</v>
      </c>
      <c r="O618" s="97">
        <f>+'INV POIR PPERDIDAS'!K$126</f>
        <v>71680074.24000001</v>
      </c>
      <c r="P618" s="97">
        <f>+'INV POIR PPERDIDAS'!L$126</f>
        <v>73651119.359999999</v>
      </c>
    </row>
    <row r="619" spans="2:16" x14ac:dyDescent="0.2">
      <c r="B619" s="90">
        <f t="shared" si="76"/>
        <v>0</v>
      </c>
      <c r="C619" s="90">
        <f t="shared" si="76"/>
        <v>115</v>
      </c>
      <c r="D619" s="95">
        <f t="shared" si="76"/>
        <v>0</v>
      </c>
      <c r="E619" s="96">
        <f t="shared" si="76"/>
        <v>0</v>
      </c>
      <c r="F619" s="93">
        <f>+VLOOKUP(C619,'INV POIR PPERDIDAS'!$C$4:$F$123,4,FALSE)</f>
        <v>1</v>
      </c>
      <c r="G619" s="97">
        <f>+'INV POIR PPERDIDAS'!C$126</f>
        <v>53998308</v>
      </c>
      <c r="H619" s="97">
        <f>+'INV POIR PPERDIDAS'!D$126</f>
        <v>56894335.679999992</v>
      </c>
      <c r="I619" s="97">
        <f>+'INV POIR PPERDIDAS'!E$126</f>
        <v>59253219.840000004</v>
      </c>
      <c r="J619" s="97">
        <f>+'INV POIR PPERDIDAS'!F$126</f>
        <v>61613804.039999999</v>
      </c>
      <c r="K619" s="97">
        <f>+'INV POIR PPERDIDAS'!G$126</f>
        <v>63980742.840000004</v>
      </c>
      <c r="L619" s="97">
        <f>+'INV POIR PPERDIDAS'!H$126</f>
        <v>66048339.600000009</v>
      </c>
      <c r="M619" s="97">
        <f>+'INV POIR PPERDIDAS'!I$126</f>
        <v>67860109.199999988</v>
      </c>
      <c r="N619" s="97">
        <f>+'INV POIR PPERDIDAS'!J$126</f>
        <v>69763098.239999995</v>
      </c>
      <c r="O619" s="97">
        <f>+'INV POIR PPERDIDAS'!K$126</f>
        <v>71680074.24000001</v>
      </c>
      <c r="P619" s="97">
        <f>+'INV POIR PPERDIDAS'!L$126</f>
        <v>73651119.359999999</v>
      </c>
    </row>
    <row r="620" spans="2:16" x14ac:dyDescent="0.2">
      <c r="B620" s="90">
        <f t="shared" si="76"/>
        <v>0</v>
      </c>
      <c r="C620" s="90">
        <f t="shared" si="76"/>
        <v>116</v>
      </c>
      <c r="D620" s="95">
        <f t="shared" si="76"/>
        <v>0</v>
      </c>
      <c r="E620" s="96">
        <f t="shared" si="76"/>
        <v>0</v>
      </c>
      <c r="F620" s="93">
        <f>+VLOOKUP(C620,'INV POIR PPERDIDAS'!$C$4:$F$123,4,FALSE)</f>
        <v>1</v>
      </c>
      <c r="G620" s="97">
        <f>+'INV POIR PPERDIDAS'!C$126</f>
        <v>53998308</v>
      </c>
      <c r="H620" s="97">
        <f>+'INV POIR PPERDIDAS'!D$126</f>
        <v>56894335.679999992</v>
      </c>
      <c r="I620" s="97">
        <f>+'INV POIR PPERDIDAS'!E$126</f>
        <v>59253219.840000004</v>
      </c>
      <c r="J620" s="97">
        <f>+'INV POIR PPERDIDAS'!F$126</f>
        <v>61613804.039999999</v>
      </c>
      <c r="K620" s="97">
        <f>+'INV POIR PPERDIDAS'!G$126</f>
        <v>63980742.840000004</v>
      </c>
      <c r="L620" s="97">
        <f>+'INV POIR PPERDIDAS'!H$126</f>
        <v>66048339.600000009</v>
      </c>
      <c r="M620" s="97">
        <f>+'INV POIR PPERDIDAS'!I$126</f>
        <v>67860109.199999988</v>
      </c>
      <c r="N620" s="97">
        <f>+'INV POIR PPERDIDAS'!J$126</f>
        <v>69763098.239999995</v>
      </c>
      <c r="O620" s="97">
        <f>+'INV POIR PPERDIDAS'!K$126</f>
        <v>71680074.24000001</v>
      </c>
      <c r="P620" s="97">
        <f>+'INV POIR PPERDIDAS'!L$126</f>
        <v>73651119.359999999</v>
      </c>
    </row>
    <row r="621" spans="2:16" x14ac:dyDescent="0.2">
      <c r="B621" s="90">
        <f t="shared" si="76"/>
        <v>0</v>
      </c>
      <c r="C621" s="90">
        <f t="shared" si="76"/>
        <v>117</v>
      </c>
      <c r="D621" s="95">
        <f t="shared" si="76"/>
        <v>0</v>
      </c>
      <c r="E621" s="96">
        <f t="shared" si="76"/>
        <v>0</v>
      </c>
      <c r="F621" s="93">
        <f>+VLOOKUP(C621,'INV POIR PPERDIDAS'!$C$4:$F$123,4,FALSE)</f>
        <v>1</v>
      </c>
      <c r="G621" s="97">
        <f>+'INV POIR PPERDIDAS'!C$126</f>
        <v>53998308</v>
      </c>
      <c r="H621" s="97">
        <f>+'INV POIR PPERDIDAS'!D$126</f>
        <v>56894335.679999992</v>
      </c>
      <c r="I621" s="97">
        <f>+'INV POIR PPERDIDAS'!E$126</f>
        <v>59253219.840000004</v>
      </c>
      <c r="J621" s="97">
        <f>+'INV POIR PPERDIDAS'!F$126</f>
        <v>61613804.039999999</v>
      </c>
      <c r="K621" s="97">
        <f>+'INV POIR PPERDIDAS'!G$126</f>
        <v>63980742.840000004</v>
      </c>
      <c r="L621" s="97">
        <f>+'INV POIR PPERDIDAS'!H$126</f>
        <v>66048339.600000009</v>
      </c>
      <c r="M621" s="97">
        <f>+'INV POIR PPERDIDAS'!I$126</f>
        <v>67860109.199999988</v>
      </c>
      <c r="N621" s="97">
        <f>+'INV POIR PPERDIDAS'!J$126</f>
        <v>69763098.239999995</v>
      </c>
      <c r="O621" s="97">
        <f>+'INV POIR PPERDIDAS'!K$126</f>
        <v>71680074.24000001</v>
      </c>
      <c r="P621" s="97">
        <f>+'INV POIR PPERDIDAS'!L$126</f>
        <v>73651119.359999999</v>
      </c>
    </row>
    <row r="622" spans="2:16" x14ac:dyDescent="0.2">
      <c r="B622" s="90">
        <f t="shared" si="76"/>
        <v>0</v>
      </c>
      <c r="C622" s="90">
        <f t="shared" si="76"/>
        <v>118</v>
      </c>
      <c r="D622" s="95">
        <f t="shared" si="76"/>
        <v>0</v>
      </c>
      <c r="E622" s="96">
        <f t="shared" si="76"/>
        <v>0</v>
      </c>
      <c r="F622" s="93">
        <f>+VLOOKUP(C622,'INV POIR PPERDIDAS'!$C$4:$F$123,4,FALSE)</f>
        <v>1</v>
      </c>
      <c r="G622" s="97">
        <f>+'INV POIR PPERDIDAS'!C$126</f>
        <v>53998308</v>
      </c>
      <c r="H622" s="97">
        <f>+'INV POIR PPERDIDAS'!D$126</f>
        <v>56894335.679999992</v>
      </c>
      <c r="I622" s="97">
        <f>+'INV POIR PPERDIDAS'!E$126</f>
        <v>59253219.840000004</v>
      </c>
      <c r="J622" s="97">
        <f>+'INV POIR PPERDIDAS'!F$126</f>
        <v>61613804.039999999</v>
      </c>
      <c r="K622" s="97">
        <f>+'INV POIR PPERDIDAS'!G$126</f>
        <v>63980742.840000004</v>
      </c>
      <c r="L622" s="97">
        <f>+'INV POIR PPERDIDAS'!H$126</f>
        <v>66048339.600000009</v>
      </c>
      <c r="M622" s="97">
        <f>+'INV POIR PPERDIDAS'!I$126</f>
        <v>67860109.199999988</v>
      </c>
      <c r="N622" s="97">
        <f>+'INV POIR PPERDIDAS'!J$126</f>
        <v>69763098.239999995</v>
      </c>
      <c r="O622" s="97">
        <f>+'INV POIR PPERDIDAS'!K$126</f>
        <v>71680074.24000001</v>
      </c>
      <c r="P622" s="97">
        <f>+'INV POIR PPERDIDAS'!L$126</f>
        <v>73651119.359999999</v>
      </c>
    </row>
    <row r="623" spans="2:16" x14ac:dyDescent="0.2">
      <c r="B623" s="90">
        <f t="shared" si="76"/>
        <v>0</v>
      </c>
      <c r="C623" s="90">
        <f t="shared" si="76"/>
        <v>119</v>
      </c>
      <c r="D623" s="95">
        <f t="shared" si="76"/>
        <v>0</v>
      </c>
      <c r="E623" s="96">
        <f t="shared" si="76"/>
        <v>0</v>
      </c>
      <c r="F623" s="93">
        <f>+VLOOKUP(C623,'INV POIR PPERDIDAS'!$C$4:$F$123,4,FALSE)</f>
        <v>1</v>
      </c>
      <c r="G623" s="97">
        <f>+'INV POIR PPERDIDAS'!C$126</f>
        <v>53998308</v>
      </c>
      <c r="H623" s="97">
        <f>+'INV POIR PPERDIDAS'!D$126</f>
        <v>56894335.679999992</v>
      </c>
      <c r="I623" s="97">
        <f>+'INV POIR PPERDIDAS'!E$126</f>
        <v>59253219.840000004</v>
      </c>
      <c r="J623" s="97">
        <f>+'INV POIR PPERDIDAS'!F$126</f>
        <v>61613804.039999999</v>
      </c>
      <c r="K623" s="97">
        <f>+'INV POIR PPERDIDAS'!G$126</f>
        <v>63980742.840000004</v>
      </c>
      <c r="L623" s="97">
        <f>+'INV POIR PPERDIDAS'!H$126</f>
        <v>66048339.600000009</v>
      </c>
      <c r="M623" s="97">
        <f>+'INV POIR PPERDIDAS'!I$126</f>
        <v>67860109.199999988</v>
      </c>
      <c r="N623" s="97">
        <f>+'INV POIR PPERDIDAS'!J$126</f>
        <v>69763098.239999995</v>
      </c>
      <c r="O623" s="97">
        <f>+'INV POIR PPERDIDAS'!K$126</f>
        <v>71680074.24000001</v>
      </c>
      <c r="P623" s="97">
        <f>+'INV POIR PPERDIDAS'!L$126</f>
        <v>73651119.359999999</v>
      </c>
    </row>
    <row r="624" spans="2:16" x14ac:dyDescent="0.2">
      <c r="B624" s="90">
        <f t="shared" si="76"/>
        <v>0</v>
      </c>
      <c r="C624" s="90">
        <f t="shared" si="76"/>
        <v>120</v>
      </c>
      <c r="D624" s="95">
        <f t="shared" si="76"/>
        <v>0</v>
      </c>
      <c r="E624" s="96">
        <f t="shared" si="76"/>
        <v>0</v>
      </c>
      <c r="F624" s="93">
        <f>+VLOOKUP(C624,'INV POIR PPERDIDAS'!$C$4:$F$123,4,FALSE)</f>
        <v>1</v>
      </c>
      <c r="G624" s="97">
        <f>+'INV POIR PPERDIDAS'!C$126</f>
        <v>53998308</v>
      </c>
      <c r="H624" s="97">
        <f>+'INV POIR PPERDIDAS'!D$126</f>
        <v>56894335.679999992</v>
      </c>
      <c r="I624" s="97">
        <f>+'INV POIR PPERDIDAS'!E$126</f>
        <v>59253219.840000004</v>
      </c>
      <c r="J624" s="97">
        <f>+'INV POIR PPERDIDAS'!F$126</f>
        <v>61613804.039999999</v>
      </c>
      <c r="K624" s="97">
        <f>+'INV POIR PPERDIDAS'!G$126</f>
        <v>63980742.840000004</v>
      </c>
      <c r="L624" s="97">
        <f>+'INV POIR PPERDIDAS'!H$126</f>
        <v>66048339.600000009</v>
      </c>
      <c r="M624" s="97">
        <f>+'INV POIR PPERDIDAS'!I$126</f>
        <v>67860109.199999988</v>
      </c>
      <c r="N624" s="97">
        <f>+'INV POIR PPERDIDAS'!J$126</f>
        <v>69763098.239999995</v>
      </c>
      <c r="O624" s="97">
        <f>+'INV POIR PPERDIDAS'!K$126</f>
        <v>71680074.24000001</v>
      </c>
      <c r="P624" s="97">
        <f>+'INV POIR PPERDIDAS'!L$126</f>
        <v>73651119.359999999</v>
      </c>
    </row>
    <row r="626" spans="1:10" ht="20.25" thickBot="1" x14ac:dyDescent="0.35">
      <c r="B626" s="89" t="s">
        <v>355</v>
      </c>
      <c r="C626" s="89"/>
      <c r="D626" s="89"/>
      <c r="E626" s="89"/>
      <c r="F626" s="89"/>
      <c r="G626" s="89"/>
    </row>
    <row r="627" spans="1:10" ht="13.5" thickTop="1" x14ac:dyDescent="0.2"/>
    <row r="628" spans="1:10" ht="26.25" thickBot="1" x14ac:dyDescent="0.25">
      <c r="B628" s="116" t="str">
        <f>+B504</f>
        <v>Activo j</v>
      </c>
      <c r="C628" s="116" t="str">
        <f>+C504</f>
        <v>Identificación del activo</v>
      </c>
      <c r="D628" s="116" t="str">
        <f>+D504</f>
        <v>Año planeado</v>
      </c>
      <c r="E628" s="116" t="str">
        <f>+E504</f>
        <v>POIR programa pérdidas por activo j</v>
      </c>
      <c r="F628" s="116" t="str">
        <f>+F504</f>
        <v>Vida Útil</v>
      </c>
      <c r="G628" s="116" t="s">
        <v>356</v>
      </c>
      <c r="H628" s="116" t="s">
        <v>357</v>
      </c>
      <c r="I628" s="116" t="s">
        <v>358</v>
      </c>
    </row>
    <row r="629" spans="1:10" x14ac:dyDescent="0.2">
      <c r="A629" s="1835" t="s">
        <v>712</v>
      </c>
      <c r="B629" s="273" t="str">
        <f>+B505</f>
        <v>MACROMEDIDORES</v>
      </c>
      <c r="C629" s="273">
        <f>+C505</f>
        <v>1</v>
      </c>
      <c r="D629" s="274">
        <f>+D505</f>
        <v>0</v>
      </c>
      <c r="E629" s="275">
        <f>+E505</f>
        <v>0</v>
      </c>
      <c r="F629" s="276">
        <f>+VLOOKUP(C629,'INV POIR PPERDIDAS'!$C$4:$F$123,4,FALSE)</f>
        <v>23</v>
      </c>
      <c r="G629" s="277">
        <f>+NPV($C$3,H381:Q381)</f>
        <v>0</v>
      </c>
      <c r="H629" s="277">
        <f>+NPV($C$3,G505:P505)</f>
        <v>404043321.9419592</v>
      </c>
      <c r="I629" s="277">
        <f>IFERROR(G629/H629,0)</f>
        <v>0</v>
      </c>
      <c r="J629" s="1838" t="str">
        <f>+AP.1</f>
        <v>SI</v>
      </c>
    </row>
    <row r="630" spans="1:10" ht="15" customHeight="1" x14ac:dyDescent="0.2">
      <c r="A630" s="1836"/>
      <c r="B630" s="90" t="str">
        <f t="shared" ref="B630:E645" si="77">+B506</f>
        <v>MACROMEDIDORES</v>
      </c>
      <c r="C630" s="90">
        <f t="shared" si="77"/>
        <v>2</v>
      </c>
      <c r="D630" s="95">
        <f t="shared" si="77"/>
        <v>1</v>
      </c>
      <c r="E630" s="96">
        <f>+E506</f>
        <v>19671246.467960708</v>
      </c>
      <c r="F630" s="93">
        <f>+VLOOKUP(C630,'INV POIR PPERDIDAS'!$C$4:$F$123,4,FALSE)</f>
        <v>23</v>
      </c>
      <c r="G630" s="94">
        <f t="shared" ref="G630:G692" si="78">+NPV($C$3,H382:Q382)</f>
        <v>12989151.660201104</v>
      </c>
      <c r="H630" s="94">
        <f t="shared" ref="H630:H692" si="79">+NPV($C$3,G506:P506)</f>
        <v>404043321.9419592</v>
      </c>
      <c r="I630" s="94">
        <f t="shared" ref="I630:I693" si="80">IFERROR(G630/H630,0)</f>
        <v>3.2147918192958022E-2</v>
      </c>
      <c r="J630" s="1839"/>
    </row>
    <row r="631" spans="1:10" ht="15" customHeight="1" x14ac:dyDescent="0.2">
      <c r="A631" s="1836"/>
      <c r="B631" s="90" t="str">
        <f t="shared" si="77"/>
        <v>MACROMEDIDORES</v>
      </c>
      <c r="C631" s="90">
        <f t="shared" si="77"/>
        <v>3</v>
      </c>
      <c r="D631" s="95">
        <f t="shared" si="77"/>
        <v>2</v>
      </c>
      <c r="E631" s="96">
        <f>+E507</f>
        <v>155817460.36657271</v>
      </c>
      <c r="F631" s="93">
        <f>+VLOOKUP(C631,'INV POIR PPERDIDAS'!$C$4:$F$123,4,FALSE)</f>
        <v>23</v>
      </c>
      <c r="G631" s="94">
        <f t="shared" si="78"/>
        <v>88223017.799618259</v>
      </c>
      <c r="H631" s="94">
        <f t="shared" si="79"/>
        <v>404043321.9419592</v>
      </c>
      <c r="I631" s="94">
        <f t="shared" si="80"/>
        <v>0.2183503921698067</v>
      </c>
      <c r="J631" s="1839"/>
    </row>
    <row r="632" spans="1:10" ht="15" customHeight="1" x14ac:dyDescent="0.2">
      <c r="A632" s="1836"/>
      <c r="B632" s="90" t="str">
        <f t="shared" si="77"/>
        <v>MACROMEDIDORES</v>
      </c>
      <c r="C632" s="90">
        <f t="shared" si="77"/>
        <v>4</v>
      </c>
      <c r="D632" s="95">
        <f t="shared" si="77"/>
        <v>3</v>
      </c>
      <c r="E632" s="96">
        <f>+E508</f>
        <v>19671246.467960708</v>
      </c>
      <c r="F632" s="93">
        <f>+VLOOKUP(C632,'INV POIR PPERDIDAS'!$C$4:$F$123,4,FALSE)</f>
        <v>23</v>
      </c>
      <c r="G632" s="94">
        <f t="shared" si="78"/>
        <v>9409396.1856034156</v>
      </c>
      <c r="H632" s="94">
        <f t="shared" si="79"/>
        <v>404043321.9419592</v>
      </c>
      <c r="I632" s="94">
        <f t="shared" si="80"/>
        <v>2.3288087377311174E-2</v>
      </c>
      <c r="J632" s="1839"/>
    </row>
    <row r="633" spans="1:10" ht="15" customHeight="1" x14ac:dyDescent="0.2">
      <c r="A633" s="1836"/>
      <c r="B633" s="90" t="str">
        <f t="shared" si="77"/>
        <v>MACROMEDIDORES</v>
      </c>
      <c r="C633" s="90">
        <f t="shared" si="77"/>
        <v>5</v>
      </c>
      <c r="D633" s="95">
        <f t="shared" si="77"/>
        <v>4</v>
      </c>
      <c r="E633" s="96">
        <f>+E509</f>
        <v>18198458.295112241</v>
      </c>
      <c r="F633" s="93">
        <f>+VLOOKUP(C633,'INV POIR PPERDIDAS'!$C$4:$F$123,4,FALSE)</f>
        <v>23</v>
      </c>
      <c r="G633" s="94">
        <f t="shared" si="78"/>
        <v>7210384.3676530002</v>
      </c>
      <c r="H633" s="94">
        <f t="shared" si="79"/>
        <v>404043321.9419592</v>
      </c>
      <c r="I633" s="94">
        <f t="shared" si="80"/>
        <v>1.7845572432672881E-2</v>
      </c>
      <c r="J633" s="1839"/>
    </row>
    <row r="634" spans="1:10" ht="15" customHeight="1" x14ac:dyDescent="0.2">
      <c r="A634" s="1836"/>
      <c r="B634" s="90" t="str">
        <f t="shared" si="77"/>
        <v>MACROMEDIDORES</v>
      </c>
      <c r="C634" s="90">
        <f t="shared" si="77"/>
        <v>6</v>
      </c>
      <c r="D634" s="95">
        <f t="shared" si="77"/>
        <v>5</v>
      </c>
      <c r="E634" s="96">
        <f>+E510</f>
        <v>0</v>
      </c>
      <c r="F634" s="93">
        <f>+VLOOKUP(C634,'INV POIR PPERDIDAS'!$C$4:$F$123,4,FALSE)</f>
        <v>23</v>
      </c>
      <c r="G634" s="94">
        <f t="shared" si="78"/>
        <v>0</v>
      </c>
      <c r="H634" s="94">
        <f t="shared" si="79"/>
        <v>404043321.9419592</v>
      </c>
      <c r="I634" s="94">
        <f t="shared" si="80"/>
        <v>0</v>
      </c>
      <c r="J634" s="1839"/>
    </row>
    <row r="635" spans="1:10" ht="15" customHeight="1" x14ac:dyDescent="0.2">
      <c r="A635" s="1836"/>
      <c r="B635" s="90" t="str">
        <f t="shared" si="77"/>
        <v>MACROMEDIDORES</v>
      </c>
      <c r="C635" s="90">
        <f t="shared" si="77"/>
        <v>7</v>
      </c>
      <c r="D635" s="95">
        <f t="shared" si="77"/>
        <v>6</v>
      </c>
      <c r="E635" s="96">
        <f t="shared" si="77"/>
        <v>42323102.712381244</v>
      </c>
      <c r="F635" s="93">
        <f>+VLOOKUP(C635,'INV POIR PPERDIDAS'!$C$4:$F$123,4,FALSE)</f>
        <v>23</v>
      </c>
      <c r="G635" s="94">
        <f t="shared" si="78"/>
        <v>10467318.825013196</v>
      </c>
      <c r="H635" s="94">
        <f t="shared" si="79"/>
        <v>404043321.9419592</v>
      </c>
      <c r="I635" s="94">
        <f t="shared" si="80"/>
        <v>2.5906427000708665E-2</v>
      </c>
      <c r="J635" s="1839"/>
    </row>
    <row r="636" spans="1:10" ht="15" customHeight="1" x14ac:dyDescent="0.2">
      <c r="A636" s="1836"/>
      <c r="B636" s="90" t="str">
        <f t="shared" si="77"/>
        <v>MACROMEDIDORES</v>
      </c>
      <c r="C636" s="90">
        <f t="shared" si="77"/>
        <v>8</v>
      </c>
      <c r="D636" s="95">
        <f t="shared" si="77"/>
        <v>7</v>
      </c>
      <c r="E636" s="96">
        <f t="shared" si="77"/>
        <v>19671246.467960708</v>
      </c>
      <c r="F636" s="93">
        <f>+VLOOKUP(C636,'INV POIR PPERDIDAS'!$C$4:$F$123,4,FALSE)</f>
        <v>23</v>
      </c>
      <c r="G636" s="94">
        <f t="shared" si="78"/>
        <v>3535326.245270913</v>
      </c>
      <c r="H636" s="94">
        <f t="shared" si="79"/>
        <v>404043321.9419592</v>
      </c>
      <c r="I636" s="94">
        <f t="shared" si="80"/>
        <v>8.7498692671840825E-3</v>
      </c>
      <c r="J636" s="1839"/>
    </row>
    <row r="637" spans="1:10" ht="15" customHeight="1" x14ac:dyDescent="0.2">
      <c r="A637" s="1836"/>
      <c r="B637" s="90" t="str">
        <f t="shared" si="77"/>
        <v>MACROMEDIDORES</v>
      </c>
      <c r="C637" s="90">
        <f t="shared" si="77"/>
        <v>9</v>
      </c>
      <c r="D637" s="95">
        <f t="shared" si="77"/>
        <v>8</v>
      </c>
      <c r="E637" s="96">
        <f t="shared" si="77"/>
        <v>0</v>
      </c>
      <c r="F637" s="93">
        <f>+VLOOKUP(C637,'INV POIR PPERDIDAS'!$C$4:$F$123,4,FALSE)</f>
        <v>23</v>
      </c>
      <c r="G637" s="94">
        <f t="shared" si="78"/>
        <v>0</v>
      </c>
      <c r="H637" s="94">
        <f t="shared" si="79"/>
        <v>404043321.9419592</v>
      </c>
      <c r="I637" s="94">
        <f t="shared" si="80"/>
        <v>0</v>
      </c>
      <c r="J637" s="1839"/>
    </row>
    <row r="638" spans="1:10" ht="15" customHeight="1" x14ac:dyDescent="0.2">
      <c r="A638" s="1836"/>
      <c r="B638" s="90" t="str">
        <f t="shared" si="77"/>
        <v>MACROMEDIDORES</v>
      </c>
      <c r="C638" s="90">
        <f t="shared" si="77"/>
        <v>10</v>
      </c>
      <c r="D638" s="95">
        <f t="shared" si="77"/>
        <v>9</v>
      </c>
      <c r="E638" s="96">
        <f t="shared" si="77"/>
        <v>4549614.5737780603</v>
      </c>
      <c r="F638" s="93">
        <f>+VLOOKUP(C638,'INV POIR PPERDIDAS'!$C$4:$F$123,4,FALSE)</f>
        <v>23</v>
      </c>
      <c r="G638" s="94">
        <f t="shared" si="78"/>
        <v>256519.37108452638</v>
      </c>
      <c r="H638" s="94">
        <f t="shared" si="79"/>
        <v>404043321.9419592</v>
      </c>
      <c r="I638" s="94">
        <f t="shared" si="80"/>
        <v>6.348808584475884E-4</v>
      </c>
      <c r="J638" s="1839"/>
    </row>
    <row r="639" spans="1:10" ht="16.149999999999999" customHeight="1" thickBot="1" x14ac:dyDescent="0.25">
      <c r="A639" s="1837"/>
      <c r="B639" s="278" t="str">
        <f t="shared" si="77"/>
        <v>MACROMEDIDORES</v>
      </c>
      <c r="C639" s="278">
        <f t="shared" si="77"/>
        <v>11</v>
      </c>
      <c r="D639" s="279">
        <f t="shared" si="77"/>
        <v>10</v>
      </c>
      <c r="E639" s="280">
        <f t="shared" si="77"/>
        <v>0</v>
      </c>
      <c r="F639" s="281">
        <f>+VLOOKUP(C639,'INV POIR PPERDIDAS'!$C$4:$F$123,4,FALSE)</f>
        <v>23</v>
      </c>
      <c r="G639" s="282">
        <f t="shared" si="78"/>
        <v>0</v>
      </c>
      <c r="H639" s="282">
        <f t="shared" si="79"/>
        <v>404043321.9419592</v>
      </c>
      <c r="I639" s="282">
        <f t="shared" si="80"/>
        <v>0</v>
      </c>
      <c r="J639" s="1840"/>
    </row>
    <row r="640" spans="1:10" x14ac:dyDescent="0.2">
      <c r="A640" s="1835" t="s">
        <v>713</v>
      </c>
      <c r="B640" s="273" t="str">
        <f t="shared" si="77"/>
        <v>MACROMEDIDORES</v>
      </c>
      <c r="C640" s="273">
        <f t="shared" si="77"/>
        <v>12</v>
      </c>
      <c r="D640" s="274">
        <f t="shared" si="77"/>
        <v>0</v>
      </c>
      <c r="E640" s="275">
        <f t="shared" si="77"/>
        <v>0</v>
      </c>
      <c r="F640" s="276">
        <f>+VLOOKUP(C640,'INV POIR PPERDIDAS'!$C$4:$F$123,4,FALSE)</f>
        <v>23</v>
      </c>
      <c r="G640" s="277">
        <f t="shared" si="78"/>
        <v>0</v>
      </c>
      <c r="H640" s="277">
        <f t="shared" si="79"/>
        <v>404043321.9419592</v>
      </c>
      <c r="I640" s="277">
        <f t="shared" si="80"/>
        <v>0</v>
      </c>
      <c r="J640" s="1838" t="str">
        <f>+AP.2</f>
        <v>SI</v>
      </c>
    </row>
    <row r="641" spans="1:10" ht="15" customHeight="1" x14ac:dyDescent="0.2">
      <c r="A641" s="1836"/>
      <c r="B641" s="90" t="str">
        <f t="shared" si="77"/>
        <v>MACROMEDIDORES</v>
      </c>
      <c r="C641" s="90">
        <f t="shared" si="77"/>
        <v>13</v>
      </c>
      <c r="D641" s="95">
        <f t="shared" si="77"/>
        <v>1</v>
      </c>
      <c r="E641" s="96">
        <f t="shared" si="77"/>
        <v>290927089.32178879</v>
      </c>
      <c r="F641" s="93">
        <f>+VLOOKUP(C641,'INV POIR PPERDIDAS'!$C$4:$F$123,4,FALSE)</f>
        <v>23</v>
      </c>
      <c r="G641" s="94">
        <f t="shared" si="78"/>
        <v>192102523.41743657</v>
      </c>
      <c r="H641" s="94">
        <f t="shared" si="79"/>
        <v>404043321.9419592</v>
      </c>
      <c r="I641" s="94">
        <f t="shared" si="80"/>
        <v>0.47545031184807474</v>
      </c>
      <c r="J641" s="1839"/>
    </row>
    <row r="642" spans="1:10" ht="15" customHeight="1" x14ac:dyDescent="0.2">
      <c r="A642" s="1836"/>
      <c r="B642" s="90" t="str">
        <f t="shared" si="77"/>
        <v>MACROMEDIDORES</v>
      </c>
      <c r="C642" s="90">
        <f t="shared" si="77"/>
        <v>14</v>
      </c>
      <c r="D642" s="95">
        <f t="shared" si="77"/>
        <v>2</v>
      </c>
      <c r="E642" s="96">
        <f t="shared" si="77"/>
        <v>424438265.6717186</v>
      </c>
      <c r="F642" s="93">
        <f>+VLOOKUP(C642,'INV POIR PPERDIDAS'!$C$4:$F$123,4,FALSE)</f>
        <v>23</v>
      </c>
      <c r="G642" s="94">
        <f t="shared" si="78"/>
        <v>240314689.8884266</v>
      </c>
      <c r="H642" s="94">
        <f t="shared" si="79"/>
        <v>404043321.9419592</v>
      </c>
      <c r="I642" s="94">
        <f t="shared" si="80"/>
        <v>0.59477456212714686</v>
      </c>
      <c r="J642" s="1839"/>
    </row>
    <row r="643" spans="1:10" ht="15" customHeight="1" x14ac:dyDescent="0.2">
      <c r="A643" s="1836"/>
      <c r="B643" s="90" t="str">
        <f t="shared" si="77"/>
        <v>MACROMEDIDORES</v>
      </c>
      <c r="C643" s="90">
        <f t="shared" si="77"/>
        <v>15</v>
      </c>
      <c r="D643" s="95">
        <f t="shared" si="77"/>
        <v>3</v>
      </c>
      <c r="E643" s="96">
        <f t="shared" si="77"/>
        <v>342730027.12324625</v>
      </c>
      <c r="F643" s="93">
        <f>+VLOOKUP(C643,'INV POIR PPERDIDAS'!$C$4:$F$123,4,FALSE)</f>
        <v>23</v>
      </c>
      <c r="G643" s="94">
        <f t="shared" si="78"/>
        <v>163938905.2014429</v>
      </c>
      <c r="H643" s="94">
        <f t="shared" si="79"/>
        <v>404043321.9419592</v>
      </c>
      <c r="I643" s="94">
        <f t="shared" si="80"/>
        <v>0.4057458601555422</v>
      </c>
      <c r="J643" s="1839"/>
    </row>
    <row r="644" spans="1:10" ht="15" customHeight="1" x14ac:dyDescent="0.2">
      <c r="A644" s="1836"/>
      <c r="B644" s="90" t="str">
        <f t="shared" si="77"/>
        <v>MACROMEDIDORES</v>
      </c>
      <c r="C644" s="90">
        <f t="shared" si="77"/>
        <v>16</v>
      </c>
      <c r="D644" s="95">
        <f t="shared" si="77"/>
        <v>4</v>
      </c>
      <c r="E644" s="96">
        <f t="shared" si="77"/>
        <v>587965242.50099516</v>
      </c>
      <c r="F644" s="93">
        <f>+VLOOKUP(C644,'INV POIR PPERDIDAS'!$C$4:$F$123,4,FALSE)</f>
        <v>23</v>
      </c>
      <c r="G644" s="94">
        <f t="shared" si="78"/>
        <v>232956843.07451019</v>
      </c>
      <c r="H644" s="94">
        <f t="shared" si="79"/>
        <v>404043321.9419592</v>
      </c>
      <c r="I644" s="94">
        <f t="shared" si="80"/>
        <v>0.57656402277569241</v>
      </c>
      <c r="J644" s="1839"/>
    </row>
    <row r="645" spans="1:10" ht="15" customHeight="1" x14ac:dyDescent="0.2">
      <c r="A645" s="1836"/>
      <c r="B645" s="90" t="str">
        <f t="shared" si="77"/>
        <v>MACROMEDIDORES</v>
      </c>
      <c r="C645" s="90">
        <f t="shared" si="77"/>
        <v>17</v>
      </c>
      <c r="D645" s="95">
        <f t="shared" si="77"/>
        <v>5</v>
      </c>
      <c r="E645" s="96">
        <f t="shared" si="77"/>
        <v>162198079.49906781</v>
      </c>
      <c r="F645" s="93">
        <f>+VLOOKUP(C645,'INV POIR PPERDIDAS'!$C$4:$F$123,4,FALSE)</f>
        <v>23</v>
      </c>
      <c r="G645" s="94">
        <f t="shared" si="78"/>
        <v>51797797.033915646</v>
      </c>
      <c r="H645" s="94">
        <f t="shared" si="79"/>
        <v>404043321.9419592</v>
      </c>
      <c r="I645" s="94">
        <f t="shared" si="80"/>
        <v>0.12819862183332012</v>
      </c>
      <c r="J645" s="1839"/>
    </row>
    <row r="646" spans="1:10" ht="15" customHeight="1" x14ac:dyDescent="0.2">
      <c r="A646" s="1836"/>
      <c r="B646" s="90" t="str">
        <f t="shared" ref="B646:E661" si="81">+B522</f>
        <v>MACROMEDIDORES</v>
      </c>
      <c r="C646" s="90">
        <f t="shared" si="81"/>
        <v>18</v>
      </c>
      <c r="D646" s="95">
        <f t="shared" si="81"/>
        <v>6</v>
      </c>
      <c r="E646" s="96">
        <f t="shared" si="81"/>
        <v>57444734.606563888</v>
      </c>
      <c r="F646" s="93">
        <f>+VLOOKUP(C646,'INV POIR PPERDIDAS'!$C$4:$F$123,4,FALSE)</f>
        <v>23</v>
      </c>
      <c r="G646" s="94">
        <f t="shared" si="78"/>
        <v>14207189.771303572</v>
      </c>
      <c r="H646" s="94">
        <f t="shared" si="79"/>
        <v>404043321.9419592</v>
      </c>
      <c r="I646" s="94">
        <f t="shared" si="80"/>
        <v>3.5162540746916326E-2</v>
      </c>
      <c r="J646" s="1839"/>
    </row>
    <row r="647" spans="1:10" ht="15" customHeight="1" x14ac:dyDescent="0.2">
      <c r="A647" s="1836"/>
      <c r="B647" s="90" t="str">
        <f t="shared" si="81"/>
        <v>MACROMEDIDORES</v>
      </c>
      <c r="C647" s="90">
        <f t="shared" si="81"/>
        <v>19</v>
      </c>
      <c r="D647" s="95">
        <f t="shared" si="81"/>
        <v>7</v>
      </c>
      <c r="E647" s="96">
        <f t="shared" si="81"/>
        <v>0</v>
      </c>
      <c r="F647" s="93">
        <f>+VLOOKUP(C647,'INV POIR PPERDIDAS'!$C$4:$F$123,4,FALSE)</f>
        <v>23</v>
      </c>
      <c r="G647" s="94">
        <f t="shared" si="78"/>
        <v>0</v>
      </c>
      <c r="H647" s="94">
        <f t="shared" si="79"/>
        <v>404043321.9419592</v>
      </c>
      <c r="I647" s="94">
        <f t="shared" si="80"/>
        <v>0</v>
      </c>
      <c r="J647" s="1839"/>
    </row>
    <row r="648" spans="1:10" ht="15" customHeight="1" x14ac:dyDescent="0.2">
      <c r="A648" s="1836"/>
      <c r="B648" s="90" t="str">
        <f t="shared" si="81"/>
        <v>MACROMEDIDORES</v>
      </c>
      <c r="C648" s="90">
        <f t="shared" si="81"/>
        <v>20</v>
      </c>
      <c r="D648" s="95">
        <f t="shared" si="81"/>
        <v>8</v>
      </c>
      <c r="E648" s="96">
        <f t="shared" si="81"/>
        <v>0</v>
      </c>
      <c r="F648" s="93">
        <f>+VLOOKUP(C648,'INV POIR PPERDIDAS'!$C$4:$F$123,4,FALSE)</f>
        <v>23</v>
      </c>
      <c r="G648" s="94">
        <f t="shared" si="78"/>
        <v>0</v>
      </c>
      <c r="H648" s="94">
        <f t="shared" si="79"/>
        <v>404043321.9419592</v>
      </c>
      <c r="I648" s="94">
        <f t="shared" si="80"/>
        <v>0</v>
      </c>
      <c r="J648" s="1839"/>
    </row>
    <row r="649" spans="1:10" ht="15" customHeight="1" x14ac:dyDescent="0.2">
      <c r="A649" s="1836"/>
      <c r="B649" s="90" t="str">
        <f t="shared" si="81"/>
        <v>MACROMEDIDORES</v>
      </c>
      <c r="C649" s="90">
        <f t="shared" si="81"/>
        <v>21</v>
      </c>
      <c r="D649" s="95">
        <f t="shared" si="81"/>
        <v>9</v>
      </c>
      <c r="E649" s="96">
        <f t="shared" si="81"/>
        <v>0</v>
      </c>
      <c r="F649" s="93">
        <f>+VLOOKUP(C649,'INV POIR PPERDIDAS'!$C$4:$F$123,4,FALSE)</f>
        <v>23</v>
      </c>
      <c r="G649" s="94">
        <f t="shared" si="78"/>
        <v>0</v>
      </c>
      <c r="H649" s="94">
        <f t="shared" si="79"/>
        <v>404043321.9419592</v>
      </c>
      <c r="I649" s="94">
        <f t="shared" si="80"/>
        <v>0</v>
      </c>
      <c r="J649" s="1839"/>
    </row>
    <row r="650" spans="1:10" ht="16.149999999999999" customHeight="1" thickBot="1" x14ac:dyDescent="0.25">
      <c r="A650" s="1837"/>
      <c r="B650" s="278" t="str">
        <f t="shared" si="81"/>
        <v>MACROMEDIDORES</v>
      </c>
      <c r="C650" s="278">
        <f t="shared" si="81"/>
        <v>22</v>
      </c>
      <c r="D650" s="279">
        <f t="shared" si="81"/>
        <v>10</v>
      </c>
      <c r="E650" s="280">
        <f t="shared" si="81"/>
        <v>0</v>
      </c>
      <c r="F650" s="281">
        <f>+VLOOKUP(C650,'INV POIR PPERDIDAS'!$C$4:$F$123,4,FALSE)</f>
        <v>23</v>
      </c>
      <c r="G650" s="282">
        <f t="shared" si="78"/>
        <v>0</v>
      </c>
      <c r="H650" s="282">
        <f t="shared" si="79"/>
        <v>404043321.9419592</v>
      </c>
      <c r="I650" s="282">
        <f t="shared" si="80"/>
        <v>0</v>
      </c>
      <c r="J650" s="1840"/>
    </row>
    <row r="651" spans="1:10" x14ac:dyDescent="0.2">
      <c r="A651" s="1835" t="s">
        <v>714</v>
      </c>
      <c r="B651" s="273" t="str">
        <f t="shared" si="81"/>
        <v>ESTACIONES REDUCTORAS DE PRESIÓN</v>
      </c>
      <c r="C651" s="273">
        <f t="shared" si="81"/>
        <v>23</v>
      </c>
      <c r="D651" s="274">
        <f t="shared" si="81"/>
        <v>0</v>
      </c>
      <c r="E651" s="275">
        <f t="shared" si="81"/>
        <v>0</v>
      </c>
      <c r="F651" s="276">
        <f>+VLOOKUP(C651,'INV POIR PPERDIDAS'!$C$4:$F$123,4,FALSE)</f>
        <v>35</v>
      </c>
      <c r="G651" s="277">
        <f t="shared" si="78"/>
        <v>0</v>
      </c>
      <c r="H651" s="277">
        <f t="shared" si="79"/>
        <v>404043321.9419592</v>
      </c>
      <c r="I651" s="277">
        <f t="shared" si="80"/>
        <v>0</v>
      </c>
      <c r="J651" s="1838" t="str">
        <f>+AP.3</f>
        <v>SI</v>
      </c>
    </row>
    <row r="652" spans="1:10" ht="15" customHeight="1" x14ac:dyDescent="0.2">
      <c r="A652" s="1836"/>
      <c r="B652" s="90" t="str">
        <f t="shared" si="81"/>
        <v>ESTACIONES REDUCTORAS DE PRESIÓN</v>
      </c>
      <c r="C652" s="90">
        <f t="shared" si="81"/>
        <v>24</v>
      </c>
      <c r="D652" s="95">
        <f t="shared" si="81"/>
        <v>1</v>
      </c>
      <c r="E652" s="96">
        <f t="shared" si="81"/>
        <v>457899884.58817512</v>
      </c>
      <c r="F652" s="93">
        <f>+VLOOKUP(C652,'INV POIR PPERDIDAS'!$C$4:$F$123,4,FALSE)</f>
        <v>35</v>
      </c>
      <c r="G652" s="94">
        <f t="shared" si="78"/>
        <v>276406827.1544382</v>
      </c>
      <c r="H652" s="94">
        <f t="shared" si="79"/>
        <v>404043321.9419592</v>
      </c>
      <c r="I652" s="94">
        <f t="shared" si="80"/>
        <v>0.68410195675537988</v>
      </c>
      <c r="J652" s="1839"/>
    </row>
    <row r="653" spans="1:10" ht="15" customHeight="1" x14ac:dyDescent="0.2">
      <c r="A653" s="1836"/>
      <c r="B653" s="90" t="str">
        <f t="shared" si="81"/>
        <v>ESTACIONES REDUCTORAS DE PRESIÓN</v>
      </c>
      <c r="C653" s="90">
        <f t="shared" si="81"/>
        <v>25</v>
      </c>
      <c r="D653" s="95">
        <f t="shared" si="81"/>
        <v>2</v>
      </c>
      <c r="E653" s="96">
        <f t="shared" si="81"/>
        <v>501620585.24212873</v>
      </c>
      <c r="F653" s="93">
        <f>+VLOOKUP(C653,'INV POIR PPERDIDAS'!$C$4:$F$123,4,FALSE)</f>
        <v>35</v>
      </c>
      <c r="G653" s="94">
        <f t="shared" si="78"/>
        <v>258746044.62251657</v>
      </c>
      <c r="H653" s="94">
        <f t="shared" si="79"/>
        <v>404043321.9419592</v>
      </c>
      <c r="I653" s="94">
        <f t="shared" si="80"/>
        <v>0.64039183565490387</v>
      </c>
      <c r="J653" s="1839"/>
    </row>
    <row r="654" spans="1:10" ht="15" customHeight="1" x14ac:dyDescent="0.2">
      <c r="A654" s="1836"/>
      <c r="B654" s="90" t="str">
        <f t="shared" si="81"/>
        <v>ESTACIONES REDUCTORAS DE PRESIÓN</v>
      </c>
      <c r="C654" s="90">
        <f t="shared" si="81"/>
        <v>26</v>
      </c>
      <c r="D654" s="95">
        <f t="shared" si="81"/>
        <v>3</v>
      </c>
      <c r="E654" s="96">
        <f t="shared" si="81"/>
        <v>338636003.59959525</v>
      </c>
      <c r="F654" s="93">
        <f>+VLOOKUP(C654,'INV POIR PPERDIDAS'!$C$4:$F$123,4,FALSE)</f>
        <v>35</v>
      </c>
      <c r="G654" s="94">
        <f t="shared" si="78"/>
        <v>147054321.71395722</v>
      </c>
      <c r="H654" s="94">
        <f t="shared" si="79"/>
        <v>404043321.9419592</v>
      </c>
      <c r="I654" s="94">
        <f t="shared" si="80"/>
        <v>0.36395681781638645</v>
      </c>
      <c r="J654" s="1839"/>
    </row>
    <row r="655" spans="1:10" ht="15" customHeight="1" x14ac:dyDescent="0.2">
      <c r="A655" s="1836"/>
      <c r="B655" s="90" t="str">
        <f t="shared" si="81"/>
        <v>ESTACIONES REDUCTORAS DE PRESIÓN</v>
      </c>
      <c r="C655" s="90">
        <f t="shared" si="81"/>
        <v>27</v>
      </c>
      <c r="D655" s="95">
        <f t="shared" si="81"/>
        <v>4</v>
      </c>
      <c r="E655" s="96">
        <f t="shared" si="81"/>
        <v>42948911.034252018</v>
      </c>
      <c r="F655" s="93">
        <f>+VLOOKUP(C655,'INV POIR PPERDIDAS'!$C$4:$F$123,4,FALSE)</f>
        <v>35</v>
      </c>
      <c r="G655" s="94">
        <f t="shared" si="78"/>
        <v>15394078.770379838</v>
      </c>
      <c r="H655" s="94">
        <f t="shared" si="79"/>
        <v>404043321.9419592</v>
      </c>
      <c r="I655" s="94">
        <f t="shared" si="80"/>
        <v>3.8100069805364081E-2</v>
      </c>
      <c r="J655" s="1839"/>
    </row>
    <row r="656" spans="1:10" ht="15" customHeight="1" x14ac:dyDescent="0.2">
      <c r="A656" s="1836"/>
      <c r="B656" s="90" t="str">
        <f t="shared" si="81"/>
        <v>ESTACIONES REDUCTORAS DE PRESIÓN</v>
      </c>
      <c r="C656" s="90">
        <f t="shared" si="81"/>
        <v>28</v>
      </c>
      <c r="D656" s="95">
        <f t="shared" si="81"/>
        <v>5</v>
      </c>
      <c r="E656" s="96">
        <f t="shared" si="81"/>
        <v>49309651.718624085</v>
      </c>
      <c r="F656" s="93">
        <f>+VLOOKUP(C656,'INV POIR PPERDIDAS'!$C$4:$F$123,4,FALSE)</f>
        <v>35</v>
      </c>
      <c r="G656" s="94">
        <f t="shared" si="78"/>
        <v>14194521.924908733</v>
      </c>
      <c r="H656" s="94">
        <f t="shared" si="79"/>
        <v>404043321.9419592</v>
      </c>
      <c r="I656" s="94">
        <f t="shared" si="80"/>
        <v>3.5131188053512181E-2</v>
      </c>
      <c r="J656" s="1839"/>
    </row>
    <row r="657" spans="1:10" ht="15" customHeight="1" x14ac:dyDescent="0.2">
      <c r="A657" s="1836"/>
      <c r="B657" s="90" t="str">
        <f t="shared" si="81"/>
        <v>ESTACIONES REDUCTORAS DE PRESIÓN</v>
      </c>
      <c r="C657" s="90">
        <f t="shared" si="81"/>
        <v>29</v>
      </c>
      <c r="D657" s="95">
        <f t="shared" si="81"/>
        <v>6</v>
      </c>
      <c r="E657" s="96">
        <f t="shared" si="81"/>
        <v>0</v>
      </c>
      <c r="F657" s="93">
        <f>+VLOOKUP(C657,'INV POIR PPERDIDAS'!$C$4:$F$123,4,FALSE)</f>
        <v>35</v>
      </c>
      <c r="G657" s="94">
        <f t="shared" si="78"/>
        <v>0</v>
      </c>
      <c r="H657" s="94">
        <f t="shared" si="79"/>
        <v>404043321.9419592</v>
      </c>
      <c r="I657" s="94">
        <f t="shared" si="80"/>
        <v>0</v>
      </c>
      <c r="J657" s="1839"/>
    </row>
    <row r="658" spans="1:10" ht="15" customHeight="1" x14ac:dyDescent="0.2">
      <c r="A658" s="1836"/>
      <c r="B658" s="90" t="str">
        <f t="shared" si="81"/>
        <v>ESTACIONES REDUCTORAS DE PRESIÓN</v>
      </c>
      <c r="C658" s="90">
        <f t="shared" si="81"/>
        <v>30</v>
      </c>
      <c r="D658" s="95">
        <f t="shared" si="81"/>
        <v>7</v>
      </c>
      <c r="E658" s="96">
        <f t="shared" si="81"/>
        <v>0</v>
      </c>
      <c r="F658" s="93">
        <f>+VLOOKUP(C658,'INV POIR PPERDIDAS'!$C$4:$F$123,4,FALSE)</f>
        <v>35</v>
      </c>
      <c r="G658" s="94">
        <f t="shared" si="78"/>
        <v>0</v>
      </c>
      <c r="H658" s="94">
        <f t="shared" si="79"/>
        <v>404043321.9419592</v>
      </c>
      <c r="I658" s="94">
        <f t="shared" si="80"/>
        <v>0</v>
      </c>
      <c r="J658" s="1839"/>
    </row>
    <row r="659" spans="1:10" ht="15" customHeight="1" x14ac:dyDescent="0.2">
      <c r="A659" s="1836"/>
      <c r="B659" s="90" t="str">
        <f t="shared" si="81"/>
        <v>ESTACIONES REDUCTORAS DE PRESIÓN</v>
      </c>
      <c r="C659" s="90">
        <f t="shared" si="81"/>
        <v>31</v>
      </c>
      <c r="D659" s="95">
        <f t="shared" si="81"/>
        <v>8</v>
      </c>
      <c r="E659" s="96">
        <f t="shared" si="81"/>
        <v>0</v>
      </c>
      <c r="F659" s="93">
        <f>+VLOOKUP(C659,'INV POIR PPERDIDAS'!$C$4:$F$123,4,FALSE)</f>
        <v>35</v>
      </c>
      <c r="G659" s="94">
        <f t="shared" si="78"/>
        <v>0</v>
      </c>
      <c r="H659" s="94">
        <f t="shared" si="79"/>
        <v>404043321.9419592</v>
      </c>
      <c r="I659" s="94">
        <f t="shared" si="80"/>
        <v>0</v>
      </c>
      <c r="J659" s="1839"/>
    </row>
    <row r="660" spans="1:10" ht="15" customHeight="1" x14ac:dyDescent="0.2">
      <c r="A660" s="1836"/>
      <c r="B660" s="90" t="str">
        <f t="shared" si="81"/>
        <v>ESTACIONES REDUCTORAS DE PRESIÓN</v>
      </c>
      <c r="C660" s="90">
        <f t="shared" si="81"/>
        <v>32</v>
      </c>
      <c r="D660" s="95">
        <f t="shared" si="81"/>
        <v>9</v>
      </c>
      <c r="E660" s="96">
        <f t="shared" si="81"/>
        <v>0</v>
      </c>
      <c r="F660" s="93">
        <f>+VLOOKUP(C660,'INV POIR PPERDIDAS'!$C$4:$F$123,4,FALSE)</f>
        <v>35</v>
      </c>
      <c r="G660" s="94">
        <f t="shared" si="78"/>
        <v>0</v>
      </c>
      <c r="H660" s="94">
        <f t="shared" si="79"/>
        <v>404043321.9419592</v>
      </c>
      <c r="I660" s="94">
        <f t="shared" si="80"/>
        <v>0</v>
      </c>
      <c r="J660" s="1839"/>
    </row>
    <row r="661" spans="1:10" ht="16.149999999999999" customHeight="1" thickBot="1" x14ac:dyDescent="0.25">
      <c r="A661" s="1837"/>
      <c r="B661" s="278" t="str">
        <f t="shared" si="81"/>
        <v>ESTACIONES REDUCTORAS DE PRESIÓN</v>
      </c>
      <c r="C661" s="278">
        <f t="shared" si="81"/>
        <v>33</v>
      </c>
      <c r="D661" s="279">
        <f t="shared" si="81"/>
        <v>10</v>
      </c>
      <c r="E661" s="280">
        <f t="shared" si="81"/>
        <v>0</v>
      </c>
      <c r="F661" s="281">
        <f>+VLOOKUP(C661,'INV POIR PPERDIDAS'!$C$4:$F$123,4,FALSE)</f>
        <v>35</v>
      </c>
      <c r="G661" s="282">
        <f t="shared" si="78"/>
        <v>0</v>
      </c>
      <c r="H661" s="282">
        <f t="shared" si="79"/>
        <v>404043321.9419592</v>
      </c>
      <c r="I661" s="282">
        <f t="shared" si="80"/>
        <v>0</v>
      </c>
      <c r="J661" s="1840"/>
    </row>
    <row r="662" spans="1:10" x14ac:dyDescent="0.2">
      <c r="A662" s="1835" t="s">
        <v>715</v>
      </c>
      <c r="B662" s="273" t="str">
        <f t="shared" ref="B662:E677" si="82">+B538</f>
        <v>REHABILITACIÓN TANQUES</v>
      </c>
      <c r="C662" s="273">
        <f t="shared" si="82"/>
        <v>34</v>
      </c>
      <c r="D662" s="274">
        <f t="shared" si="82"/>
        <v>0</v>
      </c>
      <c r="E662" s="275">
        <f t="shared" si="82"/>
        <v>0</v>
      </c>
      <c r="F662" s="276">
        <f>+VLOOKUP(C662,'INV POIR PPERDIDAS'!$C$4:$F$123,4,FALSE)</f>
        <v>45</v>
      </c>
      <c r="G662" s="277">
        <f t="shared" si="78"/>
        <v>0</v>
      </c>
      <c r="H662" s="277">
        <f t="shared" si="79"/>
        <v>404043321.9419592</v>
      </c>
      <c r="I662" s="277">
        <f t="shared" si="80"/>
        <v>0</v>
      </c>
      <c r="J662" s="1838" t="str">
        <f>+AP.4</f>
        <v>SI</v>
      </c>
    </row>
    <row r="663" spans="1:10" ht="15" customHeight="1" x14ac:dyDescent="0.2">
      <c r="A663" s="1836"/>
      <c r="B663" s="90" t="str">
        <f t="shared" si="82"/>
        <v>REHABILITACIÓN TANQUES</v>
      </c>
      <c r="C663" s="90">
        <f t="shared" si="82"/>
        <v>35</v>
      </c>
      <c r="D663" s="95">
        <f t="shared" si="82"/>
        <v>1</v>
      </c>
      <c r="E663" s="96">
        <f t="shared" si="82"/>
        <v>3694767.6620469596</v>
      </c>
      <c r="F663" s="93">
        <f>+VLOOKUP(C663,'INV POIR PPERDIDAS'!$C$4:$F$123,4,FALSE)</f>
        <v>45</v>
      </c>
      <c r="G663" s="94">
        <f t="shared" si="78"/>
        <v>2141127.2712614909</v>
      </c>
      <c r="H663" s="94">
        <f t="shared" si="79"/>
        <v>404043321.9419592</v>
      </c>
      <c r="I663" s="94">
        <f t="shared" si="80"/>
        <v>5.2992517262024285E-3</v>
      </c>
      <c r="J663" s="1839"/>
    </row>
    <row r="664" spans="1:10" ht="15" customHeight="1" x14ac:dyDescent="0.2">
      <c r="A664" s="1836"/>
      <c r="B664" s="90" t="str">
        <f t="shared" si="82"/>
        <v>REHABILITACIÓN TANQUES</v>
      </c>
      <c r="C664" s="90">
        <f t="shared" si="82"/>
        <v>36</v>
      </c>
      <c r="D664" s="95">
        <f t="shared" si="82"/>
        <v>2</v>
      </c>
      <c r="E664" s="96">
        <f t="shared" si="82"/>
        <v>23580680.525948294</v>
      </c>
      <c r="F664" s="93">
        <f>+VLOOKUP(C664,'INV POIR PPERDIDAS'!$C$4:$F$123,4,FALSE)</f>
        <v>45</v>
      </c>
      <c r="G664" s="94">
        <f t="shared" si="78"/>
        <v>11657449.944961825</v>
      </c>
      <c r="H664" s="94">
        <f t="shared" si="79"/>
        <v>404043321.9419592</v>
      </c>
      <c r="I664" s="94">
        <f t="shared" si="80"/>
        <v>2.8851980250366362E-2</v>
      </c>
      <c r="J664" s="1839"/>
    </row>
    <row r="665" spans="1:10" ht="15" customHeight="1" x14ac:dyDescent="0.2">
      <c r="A665" s="1836"/>
      <c r="B665" s="90" t="str">
        <f t="shared" si="82"/>
        <v>REHABILITACIÓN TANQUES</v>
      </c>
      <c r="C665" s="90">
        <f t="shared" si="82"/>
        <v>37</v>
      </c>
      <c r="D665" s="95">
        <f t="shared" si="82"/>
        <v>3</v>
      </c>
      <c r="E665" s="96">
        <f t="shared" si="82"/>
        <v>20159531.161544681</v>
      </c>
      <c r="F665" s="93">
        <f>+VLOOKUP(C665,'INV POIR PPERDIDAS'!$C$4:$F$123,4,FALSE)</f>
        <v>45</v>
      </c>
      <c r="G665" s="94">
        <f t="shared" si="78"/>
        <v>8375902.5879587838</v>
      </c>
      <c r="H665" s="94">
        <f t="shared" si="79"/>
        <v>404043321.9419592</v>
      </c>
      <c r="I665" s="94">
        <f t="shared" si="80"/>
        <v>2.0730209195641603E-2</v>
      </c>
      <c r="J665" s="1839"/>
    </row>
    <row r="666" spans="1:10" ht="15" customHeight="1" x14ac:dyDescent="0.2">
      <c r="A666" s="1836"/>
      <c r="B666" s="90" t="str">
        <f t="shared" si="82"/>
        <v>REHABILITACIÓN TANQUES</v>
      </c>
      <c r="C666" s="90">
        <f t="shared" si="82"/>
        <v>38</v>
      </c>
      <c r="D666" s="95">
        <f t="shared" si="82"/>
        <v>4</v>
      </c>
      <c r="E666" s="96">
        <f t="shared" si="82"/>
        <v>23740256.842132706</v>
      </c>
      <c r="F666" s="93">
        <f>+VLOOKUP(C666,'INV POIR PPERDIDAS'!$C$4:$F$123,4,FALSE)</f>
        <v>45</v>
      </c>
      <c r="G666" s="94">
        <f t="shared" si="78"/>
        <v>8127140.8886798117</v>
      </c>
      <c r="H666" s="94">
        <f t="shared" si="79"/>
        <v>404043321.9419592</v>
      </c>
      <c r="I666" s="94">
        <f t="shared" si="80"/>
        <v>2.0114528436253366E-2</v>
      </c>
      <c r="J666" s="1839"/>
    </row>
    <row r="667" spans="1:10" ht="15" customHeight="1" x14ac:dyDescent="0.2">
      <c r="A667" s="1836"/>
      <c r="B667" s="90" t="str">
        <f t="shared" si="82"/>
        <v>REHABILITACIÓN TANQUES</v>
      </c>
      <c r="C667" s="90">
        <f t="shared" si="82"/>
        <v>39</v>
      </c>
      <c r="D667" s="95">
        <f t="shared" si="82"/>
        <v>5</v>
      </c>
      <c r="E667" s="96">
        <f t="shared" si="82"/>
        <v>6055019.8655763008</v>
      </c>
      <c r="F667" s="93">
        <f>+VLOOKUP(C667,'INV POIR PPERDIDAS'!$C$4:$F$123,4,FALSE)</f>
        <v>45</v>
      </c>
      <c r="G667" s="94">
        <f t="shared" si="78"/>
        <v>1661831.1644646809</v>
      </c>
      <c r="H667" s="94">
        <f t="shared" si="79"/>
        <v>404043321.9419592</v>
      </c>
      <c r="I667" s="94">
        <f t="shared" si="80"/>
        <v>4.1130024287430317E-3</v>
      </c>
      <c r="J667" s="1839"/>
    </row>
    <row r="668" spans="1:10" ht="15" customHeight="1" x14ac:dyDescent="0.2">
      <c r="A668" s="1836"/>
      <c r="B668" s="90" t="str">
        <f t="shared" si="82"/>
        <v>REHABILITACIÓN TANQUES</v>
      </c>
      <c r="C668" s="90">
        <f t="shared" si="82"/>
        <v>40</v>
      </c>
      <c r="D668" s="95">
        <f t="shared" si="82"/>
        <v>6</v>
      </c>
      <c r="E668" s="96">
        <f t="shared" si="82"/>
        <v>8363307.6816903232</v>
      </c>
      <c r="F668" s="93">
        <f>+VLOOKUP(C668,'INV POIR PPERDIDAS'!$C$4:$F$123,4,FALSE)</f>
        <v>45</v>
      </c>
      <c r="G668" s="94">
        <f t="shared" si="78"/>
        <v>1768037.9287470409</v>
      </c>
      <c r="H668" s="94">
        <f t="shared" si="79"/>
        <v>404043321.9419592</v>
      </c>
      <c r="I668" s="94">
        <f t="shared" si="80"/>
        <v>4.3758622720189875E-3</v>
      </c>
      <c r="J668" s="1839"/>
    </row>
    <row r="669" spans="1:10" ht="15" customHeight="1" x14ac:dyDescent="0.2">
      <c r="A669" s="1836"/>
      <c r="B669" s="90" t="str">
        <f t="shared" si="82"/>
        <v>REHABILITACIÓN TANQUES</v>
      </c>
      <c r="C669" s="90">
        <f t="shared" si="82"/>
        <v>41</v>
      </c>
      <c r="D669" s="95">
        <f t="shared" si="82"/>
        <v>7</v>
      </c>
      <c r="E669" s="96">
        <f t="shared" si="82"/>
        <v>5080305.5353145692</v>
      </c>
      <c r="F669" s="93">
        <f>+VLOOKUP(C669,'INV POIR PPERDIDAS'!$C$4:$F$123,4,FALSE)</f>
        <v>45</v>
      </c>
      <c r="G669" s="94">
        <f t="shared" si="78"/>
        <v>776190.2056651914</v>
      </c>
      <c r="H669" s="94">
        <f t="shared" si="79"/>
        <v>404043321.9419592</v>
      </c>
      <c r="I669" s="94">
        <f t="shared" si="80"/>
        <v>1.921056885520536E-3</v>
      </c>
      <c r="J669" s="1839"/>
    </row>
    <row r="670" spans="1:10" ht="15" customHeight="1" x14ac:dyDescent="0.2">
      <c r="A670" s="1836"/>
      <c r="B670" s="90" t="str">
        <f t="shared" si="82"/>
        <v>REHABILITACIÓN TANQUES</v>
      </c>
      <c r="C670" s="90">
        <f t="shared" si="82"/>
        <v>42</v>
      </c>
      <c r="D670" s="95">
        <f t="shared" si="82"/>
        <v>8</v>
      </c>
      <c r="E670" s="96">
        <f t="shared" si="82"/>
        <v>5080305.5353145692</v>
      </c>
      <c r="F670" s="93">
        <f>+VLOOKUP(C670,'INV POIR PPERDIDAS'!$C$4:$F$123,4,FALSE)</f>
        <v>45</v>
      </c>
      <c r="G670" s="94">
        <f t="shared" si="78"/>
        <v>499034.78751371382</v>
      </c>
      <c r="H670" s="94">
        <f t="shared" si="79"/>
        <v>404043321.9419592</v>
      </c>
      <c r="I670" s="94">
        <f t="shared" si="80"/>
        <v>1.2351021794276807E-3</v>
      </c>
      <c r="J670" s="1839"/>
    </row>
    <row r="671" spans="1:10" ht="15" customHeight="1" x14ac:dyDescent="0.2">
      <c r="A671" s="1836"/>
      <c r="B671" s="90" t="str">
        <f t="shared" si="82"/>
        <v>REHABILITACIÓN TANQUES</v>
      </c>
      <c r="C671" s="90">
        <f t="shared" si="82"/>
        <v>43</v>
      </c>
      <c r="D671" s="95">
        <f t="shared" si="82"/>
        <v>9</v>
      </c>
      <c r="E671" s="96">
        <f t="shared" si="82"/>
        <v>5080305.5353145692</v>
      </c>
      <c r="F671" s="93">
        <f>+VLOOKUP(C671,'INV POIR PPERDIDAS'!$C$4:$F$123,4,FALSE)</f>
        <v>45</v>
      </c>
      <c r="G671" s="94">
        <f t="shared" si="78"/>
        <v>240826.19111703898</v>
      </c>
      <c r="H671" s="94">
        <f t="shared" si="79"/>
        <v>404043321.9419592</v>
      </c>
      <c r="I671" s="94">
        <f t="shared" si="80"/>
        <v>5.9604051852547055E-4</v>
      </c>
      <c r="J671" s="1839"/>
    </row>
    <row r="672" spans="1:10" ht="16.149999999999999" customHeight="1" thickBot="1" x14ac:dyDescent="0.25">
      <c r="A672" s="1837"/>
      <c r="B672" s="278" t="str">
        <f t="shared" si="82"/>
        <v>REHABILITACIÓN TANQUES</v>
      </c>
      <c r="C672" s="278">
        <f t="shared" si="82"/>
        <v>44</v>
      </c>
      <c r="D672" s="279">
        <f t="shared" si="82"/>
        <v>10</v>
      </c>
      <c r="E672" s="280">
        <f t="shared" si="82"/>
        <v>5080305.5353145692</v>
      </c>
      <c r="F672" s="281">
        <f>+VLOOKUP(C672,'INV POIR PPERDIDAS'!$C$4:$F$123,4,FALSE)</f>
        <v>45</v>
      </c>
      <c r="G672" s="282">
        <f t="shared" si="78"/>
        <v>0</v>
      </c>
      <c r="H672" s="282">
        <f t="shared" si="79"/>
        <v>404043321.9419592</v>
      </c>
      <c r="I672" s="282">
        <f t="shared" si="80"/>
        <v>0</v>
      </c>
      <c r="J672" s="1840"/>
    </row>
    <row r="673" spans="1:10" x14ac:dyDescent="0.2">
      <c r="A673" s="1835" t="s">
        <v>716</v>
      </c>
      <c r="B673" s="273" t="str">
        <f t="shared" si="82"/>
        <v>NO SE REQUIERE</v>
      </c>
      <c r="C673" s="273">
        <f t="shared" si="82"/>
        <v>45</v>
      </c>
      <c r="D673" s="274">
        <f t="shared" si="82"/>
        <v>0</v>
      </c>
      <c r="E673" s="275">
        <f t="shared" si="82"/>
        <v>0</v>
      </c>
      <c r="F673" s="276">
        <f>+VLOOKUP(C673,'INV POIR PPERDIDAS'!$C$4:$F$123,4,FALSE)</f>
        <v>1</v>
      </c>
      <c r="G673" s="277">
        <f t="shared" si="78"/>
        <v>0</v>
      </c>
      <c r="H673" s="277">
        <f t="shared" si="79"/>
        <v>404043321.9419592</v>
      </c>
      <c r="I673" s="277">
        <f t="shared" si="80"/>
        <v>0</v>
      </c>
      <c r="J673" s="1838" t="str">
        <f>+AP.5</f>
        <v>SI</v>
      </c>
    </row>
    <row r="674" spans="1:10" ht="15" customHeight="1" x14ac:dyDescent="0.2">
      <c r="A674" s="1836"/>
      <c r="B674" s="90" t="str">
        <f t="shared" si="82"/>
        <v>NO SE REQUIERE</v>
      </c>
      <c r="C674" s="90">
        <f t="shared" si="82"/>
        <v>46</v>
      </c>
      <c r="D674" s="95">
        <f t="shared" si="82"/>
        <v>1</v>
      </c>
      <c r="E674" s="96">
        <f t="shared" si="82"/>
        <v>182564111.13095859</v>
      </c>
      <c r="F674" s="93">
        <f>+VLOOKUP(C674,'INV POIR PPERDIDAS'!$C$4:$F$123,4,FALSE)</f>
        <v>1</v>
      </c>
      <c r="G674" s="94">
        <f t="shared" si="78"/>
        <v>784426438.15606833</v>
      </c>
      <c r="H674" s="94">
        <f t="shared" si="79"/>
        <v>404043321.9419592</v>
      </c>
      <c r="I674" s="94">
        <f t="shared" si="80"/>
        <v>1.9414414137223412</v>
      </c>
      <c r="J674" s="1839"/>
    </row>
    <row r="675" spans="1:10" ht="15" customHeight="1" x14ac:dyDescent="0.2">
      <c r="A675" s="1836"/>
      <c r="B675" s="90" t="str">
        <f t="shared" si="82"/>
        <v>NO SE REQUIERE</v>
      </c>
      <c r="C675" s="90">
        <f t="shared" si="82"/>
        <v>47</v>
      </c>
      <c r="D675" s="95">
        <f t="shared" si="82"/>
        <v>2</v>
      </c>
      <c r="E675" s="96">
        <f t="shared" si="82"/>
        <v>182564111.13095859</v>
      </c>
      <c r="F675" s="93">
        <f>+VLOOKUP(C675,'INV POIR PPERDIDAS'!$C$4:$F$123,4,FALSE)</f>
        <v>1</v>
      </c>
      <c r="G675" s="94">
        <f t="shared" si="78"/>
        <v>693479934.27857792</v>
      </c>
      <c r="H675" s="94">
        <f t="shared" si="79"/>
        <v>404043321.9419592</v>
      </c>
      <c r="I675" s="94">
        <f t="shared" si="80"/>
        <v>1.7163504421889597</v>
      </c>
      <c r="J675" s="1839"/>
    </row>
    <row r="676" spans="1:10" ht="15" customHeight="1" x14ac:dyDescent="0.2">
      <c r="A676" s="1836"/>
      <c r="B676" s="90" t="str">
        <f t="shared" si="82"/>
        <v>NO SE REQUIERE</v>
      </c>
      <c r="C676" s="90">
        <f t="shared" si="82"/>
        <v>48</v>
      </c>
      <c r="D676" s="95">
        <f t="shared" si="82"/>
        <v>3</v>
      </c>
      <c r="E676" s="96">
        <f t="shared" si="82"/>
        <v>182564111.13095859</v>
      </c>
      <c r="F676" s="93">
        <f>+VLOOKUP(C676,'INV POIR PPERDIDAS'!$C$4:$F$123,4,FALSE)</f>
        <v>1</v>
      </c>
      <c r="G676" s="94">
        <f t="shared" si="78"/>
        <v>603675311.62549317</v>
      </c>
      <c r="H676" s="94">
        <f t="shared" si="79"/>
        <v>404043321.9419592</v>
      </c>
      <c r="I676" s="94">
        <f t="shared" si="80"/>
        <v>1.4940856062761783</v>
      </c>
      <c r="J676" s="1839"/>
    </row>
    <row r="677" spans="1:10" ht="15" customHeight="1" x14ac:dyDescent="0.2">
      <c r="A677" s="1836"/>
      <c r="B677" s="90" t="str">
        <f t="shared" si="82"/>
        <v>NO SE REQUIERE</v>
      </c>
      <c r="C677" s="90">
        <f t="shared" si="82"/>
        <v>49</v>
      </c>
      <c r="D677" s="95">
        <f t="shared" si="82"/>
        <v>4</v>
      </c>
      <c r="E677" s="96">
        <f t="shared" si="82"/>
        <v>182564111.13095859</v>
      </c>
      <c r="F677" s="93">
        <f>+VLOOKUP(C677,'INV POIR PPERDIDAS'!$C$4:$F$123,4,FALSE)</f>
        <v>1</v>
      </c>
      <c r="G677" s="94">
        <f t="shared" si="78"/>
        <v>514918286.42599165</v>
      </c>
      <c r="H677" s="94">
        <f t="shared" si="79"/>
        <v>404043321.9419592</v>
      </c>
      <c r="I677" s="94">
        <f t="shared" si="80"/>
        <v>1.2744135553364242</v>
      </c>
      <c r="J677" s="1839"/>
    </row>
    <row r="678" spans="1:10" ht="15" customHeight="1" x14ac:dyDescent="0.2">
      <c r="A678" s="1836"/>
      <c r="B678" s="90" t="str">
        <f t="shared" ref="B678:E693" si="83">+B554</f>
        <v>NO SE REQUIERE</v>
      </c>
      <c r="C678" s="90">
        <f t="shared" si="83"/>
        <v>50</v>
      </c>
      <c r="D678" s="95">
        <f t="shared" si="83"/>
        <v>5</v>
      </c>
      <c r="E678" s="96">
        <f t="shared" si="83"/>
        <v>182564111.13095859</v>
      </c>
      <c r="F678" s="93">
        <f>+VLOOKUP(C678,'INV POIR PPERDIDAS'!$C$4:$F$123,4,FALSE)</f>
        <v>1</v>
      </c>
      <c r="G678" s="94">
        <f t="shared" si="78"/>
        <v>427122359.80775881</v>
      </c>
      <c r="H678" s="94">
        <f t="shared" si="79"/>
        <v>404043321.9419592</v>
      </c>
      <c r="I678" s="94">
        <f t="shared" si="80"/>
        <v>1.0571202062067862</v>
      </c>
      <c r="J678" s="1839"/>
    </row>
    <row r="679" spans="1:10" ht="15" customHeight="1" x14ac:dyDescent="0.2">
      <c r="A679" s="1836"/>
      <c r="B679" s="90" t="str">
        <f t="shared" si="83"/>
        <v>NO SE REQUIERE</v>
      </c>
      <c r="C679" s="90">
        <f t="shared" si="83"/>
        <v>51</v>
      </c>
      <c r="D679" s="95">
        <f t="shared" si="83"/>
        <v>6</v>
      </c>
      <c r="E679" s="96">
        <f t="shared" si="83"/>
        <v>0</v>
      </c>
      <c r="F679" s="93">
        <f>+VLOOKUP(C679,'INV POIR PPERDIDAS'!$C$4:$F$123,4,FALSE)</f>
        <v>1</v>
      </c>
      <c r="G679" s="94">
        <f t="shared" si="78"/>
        <v>0</v>
      </c>
      <c r="H679" s="94">
        <f t="shared" si="79"/>
        <v>404043321.9419592</v>
      </c>
      <c r="I679" s="94">
        <f t="shared" si="80"/>
        <v>0</v>
      </c>
      <c r="J679" s="1839"/>
    </row>
    <row r="680" spans="1:10" ht="15" customHeight="1" x14ac:dyDescent="0.2">
      <c r="A680" s="1836"/>
      <c r="B680" s="90" t="str">
        <f t="shared" si="83"/>
        <v>NO SE REQUIERE</v>
      </c>
      <c r="C680" s="90">
        <f t="shared" si="83"/>
        <v>52</v>
      </c>
      <c r="D680" s="95">
        <f t="shared" si="83"/>
        <v>7</v>
      </c>
      <c r="E680" s="96">
        <f t="shared" si="83"/>
        <v>0</v>
      </c>
      <c r="F680" s="93">
        <f>+VLOOKUP(C680,'INV POIR PPERDIDAS'!$C$4:$F$123,4,FALSE)</f>
        <v>1</v>
      </c>
      <c r="G680" s="94">
        <f t="shared" si="78"/>
        <v>0</v>
      </c>
      <c r="H680" s="94">
        <f t="shared" si="79"/>
        <v>404043321.9419592</v>
      </c>
      <c r="I680" s="94">
        <f t="shared" si="80"/>
        <v>0</v>
      </c>
      <c r="J680" s="1839"/>
    </row>
    <row r="681" spans="1:10" ht="15" customHeight="1" x14ac:dyDescent="0.2">
      <c r="A681" s="1836"/>
      <c r="B681" s="90" t="str">
        <f t="shared" si="83"/>
        <v>NO SE REQUIERE</v>
      </c>
      <c r="C681" s="90">
        <f t="shared" si="83"/>
        <v>53</v>
      </c>
      <c r="D681" s="95">
        <f t="shared" si="83"/>
        <v>8</v>
      </c>
      <c r="E681" s="96">
        <f t="shared" si="83"/>
        <v>0</v>
      </c>
      <c r="F681" s="93">
        <f>+VLOOKUP(C681,'INV POIR PPERDIDAS'!$C$4:$F$123,4,FALSE)</f>
        <v>1</v>
      </c>
      <c r="G681" s="94">
        <f t="shared" si="78"/>
        <v>0</v>
      </c>
      <c r="H681" s="94">
        <f t="shared" si="79"/>
        <v>404043321.9419592</v>
      </c>
      <c r="I681" s="94">
        <f t="shared" si="80"/>
        <v>0</v>
      </c>
      <c r="J681" s="1839"/>
    </row>
    <row r="682" spans="1:10" ht="15" customHeight="1" x14ac:dyDescent="0.2">
      <c r="A682" s="1836"/>
      <c r="B682" s="90" t="str">
        <f t="shared" si="83"/>
        <v>NO SE REQUIERE</v>
      </c>
      <c r="C682" s="90">
        <f t="shared" si="83"/>
        <v>54</v>
      </c>
      <c r="D682" s="95">
        <f t="shared" si="83"/>
        <v>9</v>
      </c>
      <c r="E682" s="96">
        <f t="shared" si="83"/>
        <v>0</v>
      </c>
      <c r="F682" s="93">
        <f>+VLOOKUP(C682,'INV POIR PPERDIDAS'!$C$4:$F$123,4,FALSE)</f>
        <v>1</v>
      </c>
      <c r="G682" s="94">
        <f t="shared" si="78"/>
        <v>0</v>
      </c>
      <c r="H682" s="94">
        <f t="shared" si="79"/>
        <v>404043321.9419592</v>
      </c>
      <c r="I682" s="94">
        <f t="shared" si="80"/>
        <v>0</v>
      </c>
      <c r="J682" s="1839"/>
    </row>
    <row r="683" spans="1:10" ht="16.149999999999999" customHeight="1" thickBot="1" x14ac:dyDescent="0.25">
      <c r="A683" s="1837"/>
      <c r="B683" s="278" t="str">
        <f t="shared" si="83"/>
        <v>NO SE REQUIERE</v>
      </c>
      <c r="C683" s="278">
        <f t="shared" si="83"/>
        <v>55</v>
      </c>
      <c r="D683" s="279">
        <f t="shared" si="83"/>
        <v>10</v>
      </c>
      <c r="E683" s="280">
        <f t="shared" si="83"/>
        <v>0</v>
      </c>
      <c r="F683" s="281">
        <f>+VLOOKUP(C683,'INV POIR PPERDIDAS'!$C$4:$F$123,4,FALSE)</f>
        <v>1</v>
      </c>
      <c r="G683" s="282">
        <f t="shared" si="78"/>
        <v>0</v>
      </c>
      <c r="H683" s="282">
        <f t="shared" si="79"/>
        <v>404043321.9419592</v>
      </c>
      <c r="I683" s="282">
        <f t="shared" si="80"/>
        <v>0</v>
      </c>
      <c r="J683" s="1840"/>
    </row>
    <row r="684" spans="1:10" x14ac:dyDescent="0.2">
      <c r="A684" s="1835" t="s">
        <v>717</v>
      </c>
      <c r="B684" s="273" t="str">
        <f t="shared" si="83"/>
        <v>REHABILITACIÓN REDES</v>
      </c>
      <c r="C684" s="273">
        <f t="shared" si="83"/>
        <v>56</v>
      </c>
      <c r="D684" s="274">
        <f t="shared" si="83"/>
        <v>0</v>
      </c>
      <c r="E684" s="275">
        <f t="shared" si="83"/>
        <v>0</v>
      </c>
      <c r="F684" s="276">
        <f>+VLOOKUP(C684,'INV POIR PPERDIDAS'!$C$4:$F$123,4,FALSE)</f>
        <v>45</v>
      </c>
      <c r="G684" s="277">
        <f t="shared" si="78"/>
        <v>0</v>
      </c>
      <c r="H684" s="277">
        <f t="shared" si="79"/>
        <v>404043321.9419592</v>
      </c>
      <c r="I684" s="277">
        <f t="shared" si="80"/>
        <v>0</v>
      </c>
      <c r="J684" s="1838" t="str">
        <f>+AP.6</f>
        <v>SI</v>
      </c>
    </row>
    <row r="685" spans="1:10" ht="15" customHeight="1" x14ac:dyDescent="0.2">
      <c r="A685" s="1836"/>
      <c r="B685" s="90" t="str">
        <f t="shared" si="83"/>
        <v>REHABILITACIÓN REDES</v>
      </c>
      <c r="C685" s="90">
        <f t="shared" si="83"/>
        <v>57</v>
      </c>
      <c r="D685" s="95">
        <f t="shared" si="83"/>
        <v>1</v>
      </c>
      <c r="E685" s="96">
        <f t="shared" si="83"/>
        <v>0</v>
      </c>
      <c r="F685" s="93">
        <f>+VLOOKUP(C685,'INV POIR PPERDIDAS'!$C$4:$F$123,4,FALSE)</f>
        <v>45</v>
      </c>
      <c r="G685" s="94">
        <f t="shared" si="78"/>
        <v>0</v>
      </c>
      <c r="H685" s="94">
        <f t="shared" si="79"/>
        <v>404043321.9419592</v>
      </c>
      <c r="I685" s="94">
        <f t="shared" si="80"/>
        <v>0</v>
      </c>
      <c r="J685" s="1839"/>
    </row>
    <row r="686" spans="1:10" ht="15" customHeight="1" x14ac:dyDescent="0.2">
      <c r="A686" s="1836"/>
      <c r="B686" s="90" t="str">
        <f t="shared" si="83"/>
        <v>REHABILITACIÓN REDES</v>
      </c>
      <c r="C686" s="90">
        <f t="shared" si="83"/>
        <v>58</v>
      </c>
      <c r="D686" s="95">
        <f t="shared" si="83"/>
        <v>2</v>
      </c>
      <c r="E686" s="96">
        <f t="shared" si="83"/>
        <v>611554989.46373248</v>
      </c>
      <c r="F686" s="93">
        <f>+VLOOKUP(C686,'INV POIR PPERDIDAS'!$C$4:$F$123,4,FALSE)</f>
        <v>45</v>
      </c>
      <c r="G686" s="94">
        <f t="shared" si="78"/>
        <v>302331040.4642539</v>
      </c>
      <c r="H686" s="94">
        <f t="shared" si="79"/>
        <v>404043321.9419592</v>
      </c>
      <c r="I686" s="94">
        <f t="shared" si="80"/>
        <v>0.74826392133189057</v>
      </c>
      <c r="J686" s="1839"/>
    </row>
    <row r="687" spans="1:10" ht="15" customHeight="1" x14ac:dyDescent="0.2">
      <c r="A687" s="1836"/>
      <c r="B687" s="90" t="str">
        <f t="shared" si="83"/>
        <v>REHABILITACIÓN REDES</v>
      </c>
      <c r="C687" s="90">
        <f t="shared" si="83"/>
        <v>59</v>
      </c>
      <c r="D687" s="95">
        <f t="shared" si="83"/>
        <v>3</v>
      </c>
      <c r="E687" s="96">
        <f t="shared" si="83"/>
        <v>257258799.37705919</v>
      </c>
      <c r="F687" s="93">
        <f>+VLOOKUP(C687,'INV POIR PPERDIDAS'!$C$4:$F$123,4,FALSE)</f>
        <v>45</v>
      </c>
      <c r="G687" s="94">
        <f t="shared" si="78"/>
        <v>106886148.60189906</v>
      </c>
      <c r="H687" s="94">
        <f t="shared" si="79"/>
        <v>404043321.9419592</v>
      </c>
      <c r="I687" s="94">
        <f t="shared" si="80"/>
        <v>0.26454130732360737</v>
      </c>
      <c r="J687" s="1839"/>
    </row>
    <row r="688" spans="1:10" ht="15" customHeight="1" x14ac:dyDescent="0.2">
      <c r="A688" s="1836"/>
      <c r="B688" s="90" t="str">
        <f t="shared" si="83"/>
        <v>REHABILITACIÓN REDES</v>
      </c>
      <c r="C688" s="90">
        <f t="shared" si="83"/>
        <v>60</v>
      </c>
      <c r="D688" s="95">
        <f t="shared" si="83"/>
        <v>4</v>
      </c>
      <c r="E688" s="96">
        <f t="shared" si="83"/>
        <v>426601786.47694588</v>
      </c>
      <c r="F688" s="93">
        <f>+VLOOKUP(C688,'INV POIR PPERDIDAS'!$C$4:$F$123,4,FALSE)</f>
        <v>45</v>
      </c>
      <c r="G688" s="94">
        <f t="shared" si="78"/>
        <v>146041083.09003359</v>
      </c>
      <c r="H688" s="94">
        <f t="shared" si="79"/>
        <v>404043321.9419592</v>
      </c>
      <c r="I688" s="94">
        <f t="shared" si="80"/>
        <v>0.36144907033264217</v>
      </c>
      <c r="J688" s="1839"/>
    </row>
    <row r="689" spans="1:10" ht="15" customHeight="1" x14ac:dyDescent="0.2">
      <c r="A689" s="1836"/>
      <c r="B689" s="90" t="str">
        <f t="shared" si="83"/>
        <v>REHABILITACIÓN REDES</v>
      </c>
      <c r="C689" s="90">
        <f t="shared" si="83"/>
        <v>61</v>
      </c>
      <c r="D689" s="95">
        <f t="shared" si="83"/>
        <v>5</v>
      </c>
      <c r="E689" s="96">
        <f t="shared" si="83"/>
        <v>358819367.65486312</v>
      </c>
      <c r="F689" s="93">
        <f>+VLOOKUP(C689,'INV POIR PPERDIDAS'!$C$4:$F$123,4,FALSE)</f>
        <v>45</v>
      </c>
      <c r="G689" s="94">
        <f t="shared" si="78"/>
        <v>98479810.276494905</v>
      </c>
      <c r="H689" s="94">
        <f t="shared" si="79"/>
        <v>404043321.9419592</v>
      </c>
      <c r="I689" s="94">
        <f t="shared" si="80"/>
        <v>0.24373577022179202</v>
      </c>
      <c r="J689" s="1839"/>
    </row>
    <row r="690" spans="1:10" ht="15" customHeight="1" x14ac:dyDescent="0.2">
      <c r="A690" s="1836"/>
      <c r="B690" s="90" t="str">
        <f t="shared" si="83"/>
        <v>REHABILITACIÓN REDES</v>
      </c>
      <c r="C690" s="90">
        <f t="shared" si="83"/>
        <v>62</v>
      </c>
      <c r="D690" s="95">
        <f t="shared" si="83"/>
        <v>6</v>
      </c>
      <c r="E690" s="96">
        <f t="shared" si="83"/>
        <v>1076231401.3037224</v>
      </c>
      <c r="F690" s="93">
        <f>+VLOOKUP(C690,'INV POIR PPERDIDAS'!$C$4:$F$123,4,FALSE)</f>
        <v>45</v>
      </c>
      <c r="G690" s="94">
        <f t="shared" si="78"/>
        <v>227519781.65043148</v>
      </c>
      <c r="H690" s="94">
        <f t="shared" si="79"/>
        <v>404043321.9419592</v>
      </c>
      <c r="I690" s="94">
        <f t="shared" si="80"/>
        <v>0.56310739293227241</v>
      </c>
      <c r="J690" s="1839"/>
    </row>
    <row r="691" spans="1:10" ht="15" customHeight="1" x14ac:dyDescent="0.2">
      <c r="A691" s="1836"/>
      <c r="B691" s="90" t="str">
        <f t="shared" si="83"/>
        <v>REHABILITACIÓN REDES</v>
      </c>
      <c r="C691" s="90">
        <f t="shared" si="83"/>
        <v>63</v>
      </c>
      <c r="D691" s="95">
        <f t="shared" si="83"/>
        <v>7</v>
      </c>
      <c r="E691" s="96">
        <f t="shared" si="83"/>
        <v>658254709.55816746</v>
      </c>
      <c r="F691" s="93">
        <f>+VLOOKUP(C691,'INV POIR PPERDIDAS'!$C$4:$F$123,4,FALSE)</f>
        <v>45</v>
      </c>
      <c r="G691" s="94">
        <f t="shared" si="78"/>
        <v>100570891.81751318</v>
      </c>
      <c r="H691" s="94">
        <f t="shared" si="79"/>
        <v>404043321.9419592</v>
      </c>
      <c r="I691" s="94">
        <f t="shared" si="80"/>
        <v>0.24891115966015195</v>
      </c>
      <c r="J691" s="1839"/>
    </row>
    <row r="692" spans="1:10" ht="15" customHeight="1" x14ac:dyDescent="0.2">
      <c r="A692" s="1836"/>
      <c r="B692" s="90" t="str">
        <f t="shared" si="83"/>
        <v>REHABILITACIÓN REDES</v>
      </c>
      <c r="C692" s="90">
        <f t="shared" si="83"/>
        <v>64</v>
      </c>
      <c r="D692" s="95">
        <f t="shared" si="83"/>
        <v>8</v>
      </c>
      <c r="E692" s="96">
        <f t="shared" si="83"/>
        <v>1170325251.0100634</v>
      </c>
      <c r="F692" s="93">
        <f>+VLOOKUP(C692,'INV POIR PPERDIDAS'!$C$4:$F$123,4,FALSE)</f>
        <v>45</v>
      </c>
      <c r="G692" s="94">
        <f t="shared" si="78"/>
        <v>114960214.28238325</v>
      </c>
      <c r="H692" s="94">
        <f t="shared" si="79"/>
        <v>404043321.9419592</v>
      </c>
      <c r="I692" s="94">
        <f t="shared" si="80"/>
        <v>0.2845244755682344</v>
      </c>
      <c r="J692" s="1839"/>
    </row>
    <row r="693" spans="1:10" ht="15" customHeight="1" x14ac:dyDescent="0.2">
      <c r="A693" s="1836"/>
      <c r="B693" s="90" t="str">
        <f t="shared" si="83"/>
        <v>REHABILITACIÓN REDES</v>
      </c>
      <c r="C693" s="90">
        <f t="shared" si="83"/>
        <v>65</v>
      </c>
      <c r="D693" s="95">
        <f t="shared" si="83"/>
        <v>9</v>
      </c>
      <c r="E693" s="96">
        <f t="shared" si="83"/>
        <v>708464993.44522178</v>
      </c>
      <c r="F693" s="93">
        <f>+VLOOKUP(C693,'INV POIR PPERDIDAS'!$C$4:$F$123,4,FALSE)</f>
        <v>45</v>
      </c>
      <c r="G693" s="94">
        <f t="shared" ref="G693:G747" si="84">+NPV($C$3,H445:Q445)</f>
        <v>33583989.137103394</v>
      </c>
      <c r="H693" s="94">
        <f t="shared" ref="H693:H747" si="85">+NPV($C$3,G569:P569)</f>
        <v>404043321.9419592</v>
      </c>
      <c r="I693" s="94">
        <f t="shared" si="80"/>
        <v>8.3119772839427675E-2</v>
      </c>
      <c r="J693" s="1839"/>
    </row>
    <row r="694" spans="1:10" ht="16.149999999999999" customHeight="1" thickBot="1" x14ac:dyDescent="0.25">
      <c r="A694" s="1837"/>
      <c r="B694" s="278" t="str">
        <f t="shared" ref="B694:E709" si="86">+B570</f>
        <v>REHABILITACIÓN REDES</v>
      </c>
      <c r="C694" s="278">
        <f t="shared" si="86"/>
        <v>66</v>
      </c>
      <c r="D694" s="279">
        <f t="shared" si="86"/>
        <v>10</v>
      </c>
      <c r="E694" s="280">
        <f t="shared" si="86"/>
        <v>660336978.95129299</v>
      </c>
      <c r="F694" s="281">
        <f>+VLOOKUP(C694,'INV POIR PPERDIDAS'!$C$4:$F$123,4,FALSE)</f>
        <v>45</v>
      </c>
      <c r="G694" s="282">
        <f t="shared" si="84"/>
        <v>0</v>
      </c>
      <c r="H694" s="282">
        <f t="shared" si="85"/>
        <v>404043321.9419592</v>
      </c>
      <c r="I694" s="282">
        <f t="shared" ref="I694:I716" si="87">IFERROR(G694/H694,0)</f>
        <v>0</v>
      </c>
      <c r="J694" s="1840"/>
    </row>
    <row r="695" spans="1:10" x14ac:dyDescent="0.2">
      <c r="A695" s="1835" t="s">
        <v>718</v>
      </c>
      <c r="B695" s="273" t="str">
        <f t="shared" si="86"/>
        <v>REDES</v>
      </c>
      <c r="C695" s="273">
        <f t="shared" si="86"/>
        <v>67</v>
      </c>
      <c r="D695" s="274">
        <f t="shared" si="86"/>
        <v>0</v>
      </c>
      <c r="E695" s="275">
        <f t="shared" si="86"/>
        <v>0</v>
      </c>
      <c r="F695" s="276">
        <f>+VLOOKUP(C695,'INV POIR PPERDIDAS'!$C$4:$F$123,4,FALSE)</f>
        <v>45</v>
      </c>
      <c r="G695" s="277">
        <f t="shared" si="84"/>
        <v>0</v>
      </c>
      <c r="H695" s="277">
        <f t="shared" si="85"/>
        <v>404043321.9419592</v>
      </c>
      <c r="I695" s="277">
        <f t="shared" si="87"/>
        <v>0</v>
      </c>
      <c r="J695" s="1838" t="str">
        <f>+AP.7</f>
        <v>SI</v>
      </c>
    </row>
    <row r="696" spans="1:10" ht="15" customHeight="1" x14ac:dyDescent="0.2">
      <c r="A696" s="1836"/>
      <c r="B696" s="90" t="str">
        <f t="shared" si="86"/>
        <v>REDES</v>
      </c>
      <c r="C696" s="90">
        <f t="shared" si="86"/>
        <v>68</v>
      </c>
      <c r="D696" s="95">
        <f t="shared" si="86"/>
        <v>1</v>
      </c>
      <c r="E696" s="96">
        <f t="shared" si="86"/>
        <v>0</v>
      </c>
      <c r="F696" s="93">
        <f>+VLOOKUP(C696,'INV POIR PPERDIDAS'!$C$4:$F$123,4,FALSE)</f>
        <v>45</v>
      </c>
      <c r="G696" s="94">
        <f t="shared" si="84"/>
        <v>0</v>
      </c>
      <c r="H696" s="94">
        <f t="shared" si="85"/>
        <v>404043321.9419592</v>
      </c>
      <c r="I696" s="94">
        <f t="shared" si="87"/>
        <v>0</v>
      </c>
      <c r="J696" s="1839"/>
    </row>
    <row r="697" spans="1:10" ht="15" customHeight="1" x14ac:dyDescent="0.2">
      <c r="A697" s="1836"/>
      <c r="B697" s="90" t="str">
        <f t="shared" si="86"/>
        <v>REDES</v>
      </c>
      <c r="C697" s="90">
        <f t="shared" si="86"/>
        <v>69</v>
      </c>
      <c r="D697" s="95">
        <f t="shared" si="86"/>
        <v>2</v>
      </c>
      <c r="E697" s="96">
        <f t="shared" si="86"/>
        <v>3410222003.4983039</v>
      </c>
      <c r="F697" s="93">
        <f>+VLOOKUP(C697,'INV POIR PPERDIDAS'!$C$4:$F$123,4,FALSE)</f>
        <v>45</v>
      </c>
      <c r="G697" s="94">
        <f t="shared" si="84"/>
        <v>1685892494.206979</v>
      </c>
      <c r="H697" s="94">
        <f t="shared" si="85"/>
        <v>404043321.9419592</v>
      </c>
      <c r="I697" s="94">
        <f t="shared" si="87"/>
        <v>4.1725537897868223</v>
      </c>
      <c r="J697" s="1839"/>
    </row>
    <row r="698" spans="1:10" ht="15" customHeight="1" x14ac:dyDescent="0.2">
      <c r="A698" s="1836"/>
      <c r="B698" s="90" t="str">
        <f t="shared" si="86"/>
        <v>REDES</v>
      </c>
      <c r="C698" s="90">
        <f t="shared" si="86"/>
        <v>70</v>
      </c>
      <c r="D698" s="95">
        <f t="shared" si="86"/>
        <v>3</v>
      </c>
      <c r="E698" s="96">
        <f t="shared" si="86"/>
        <v>2708748274.8491516</v>
      </c>
      <c r="F698" s="93">
        <f>+VLOOKUP(C698,'INV POIR PPERDIDAS'!$C$4:$F$123,4,FALSE)</f>
        <v>45</v>
      </c>
      <c r="G698" s="94">
        <f t="shared" si="84"/>
        <v>1125433498.6081822</v>
      </c>
      <c r="H698" s="94">
        <f t="shared" si="85"/>
        <v>404043321.9419592</v>
      </c>
      <c r="I698" s="94">
        <f t="shared" si="87"/>
        <v>2.785427793235129</v>
      </c>
      <c r="J698" s="1839"/>
    </row>
    <row r="699" spans="1:10" ht="15" customHeight="1" x14ac:dyDescent="0.2">
      <c r="A699" s="1836"/>
      <c r="B699" s="90" t="str">
        <f t="shared" si="86"/>
        <v>REDES</v>
      </c>
      <c r="C699" s="90">
        <f t="shared" si="86"/>
        <v>71</v>
      </c>
      <c r="D699" s="95">
        <f t="shared" si="86"/>
        <v>4</v>
      </c>
      <c r="E699" s="96">
        <f t="shared" si="86"/>
        <v>3788421935.8387451</v>
      </c>
      <c r="F699" s="93">
        <f>+VLOOKUP(C699,'INV POIR PPERDIDAS'!$C$4:$F$123,4,FALSE)</f>
        <v>45</v>
      </c>
      <c r="G699" s="94">
        <f t="shared" si="84"/>
        <v>1296912624.9588065</v>
      </c>
      <c r="H699" s="94">
        <f t="shared" si="85"/>
        <v>404043321.9419592</v>
      </c>
      <c r="I699" s="94">
        <f t="shared" si="87"/>
        <v>3.2098355659621767</v>
      </c>
      <c r="J699" s="1839"/>
    </row>
    <row r="700" spans="1:10" ht="15" customHeight="1" x14ac:dyDescent="0.2">
      <c r="A700" s="1836"/>
      <c r="B700" s="90" t="str">
        <f t="shared" si="86"/>
        <v>REDES</v>
      </c>
      <c r="C700" s="90">
        <f t="shared" si="86"/>
        <v>72</v>
      </c>
      <c r="D700" s="95">
        <f t="shared" si="86"/>
        <v>5</v>
      </c>
      <c r="E700" s="96">
        <f t="shared" si="86"/>
        <v>3229587745.4368062</v>
      </c>
      <c r="F700" s="93">
        <f>+VLOOKUP(C700,'INV POIR PPERDIDAS'!$C$4:$F$123,4,FALSE)</f>
        <v>45</v>
      </c>
      <c r="G700" s="94">
        <f t="shared" si="84"/>
        <v>886376871.23909914</v>
      </c>
      <c r="H700" s="94">
        <f t="shared" si="85"/>
        <v>404043321.9419592</v>
      </c>
      <c r="I700" s="94">
        <f t="shared" si="87"/>
        <v>2.1937669133569471</v>
      </c>
      <c r="J700" s="1839"/>
    </row>
    <row r="701" spans="1:10" ht="15" customHeight="1" x14ac:dyDescent="0.2">
      <c r="A701" s="1836"/>
      <c r="B701" s="90" t="str">
        <f t="shared" si="86"/>
        <v>REDES</v>
      </c>
      <c r="C701" s="90">
        <f t="shared" si="86"/>
        <v>73</v>
      </c>
      <c r="D701" s="95">
        <f t="shared" si="86"/>
        <v>6</v>
      </c>
      <c r="E701" s="96">
        <f t="shared" si="86"/>
        <v>3975561272.1375804</v>
      </c>
      <c r="F701" s="93">
        <f>+VLOOKUP(C701,'INV POIR PPERDIDAS'!$C$4:$F$123,4,FALSE)</f>
        <v>45</v>
      </c>
      <c r="G701" s="94">
        <f t="shared" si="84"/>
        <v>840450140.62862349</v>
      </c>
      <c r="H701" s="94">
        <f t="shared" si="85"/>
        <v>404043321.9419592</v>
      </c>
      <c r="I701" s="94">
        <f t="shared" si="87"/>
        <v>2.0800990759831297</v>
      </c>
      <c r="J701" s="1839"/>
    </row>
    <row r="702" spans="1:10" ht="15" customHeight="1" x14ac:dyDescent="0.2">
      <c r="A702" s="1836"/>
      <c r="B702" s="90" t="str">
        <f t="shared" si="86"/>
        <v>REDES</v>
      </c>
      <c r="C702" s="90">
        <f t="shared" si="86"/>
        <v>74</v>
      </c>
      <c r="D702" s="95">
        <f t="shared" si="86"/>
        <v>7</v>
      </c>
      <c r="E702" s="96">
        <f t="shared" si="86"/>
        <v>0</v>
      </c>
      <c r="F702" s="93">
        <f>+VLOOKUP(C702,'INV POIR PPERDIDAS'!$C$4:$F$123,4,FALSE)</f>
        <v>45</v>
      </c>
      <c r="G702" s="94">
        <f t="shared" si="84"/>
        <v>0</v>
      </c>
      <c r="H702" s="94">
        <f t="shared" si="85"/>
        <v>404043321.9419592</v>
      </c>
      <c r="I702" s="94">
        <f t="shared" si="87"/>
        <v>0</v>
      </c>
      <c r="J702" s="1839"/>
    </row>
    <row r="703" spans="1:10" ht="15" customHeight="1" x14ac:dyDescent="0.2">
      <c r="A703" s="1836"/>
      <c r="B703" s="90" t="str">
        <f t="shared" si="86"/>
        <v>REDES</v>
      </c>
      <c r="C703" s="90">
        <f t="shared" si="86"/>
        <v>75</v>
      </c>
      <c r="D703" s="95">
        <f t="shared" si="86"/>
        <v>8</v>
      </c>
      <c r="E703" s="96">
        <f t="shared" si="86"/>
        <v>0</v>
      </c>
      <c r="F703" s="93">
        <f>+VLOOKUP(C703,'INV POIR PPERDIDAS'!$C$4:$F$123,4,FALSE)</f>
        <v>45</v>
      </c>
      <c r="G703" s="94">
        <f t="shared" si="84"/>
        <v>0</v>
      </c>
      <c r="H703" s="94">
        <f t="shared" si="85"/>
        <v>404043321.9419592</v>
      </c>
      <c r="I703" s="94">
        <f t="shared" si="87"/>
        <v>0</v>
      </c>
      <c r="J703" s="1839"/>
    </row>
    <row r="704" spans="1:10" ht="15" customHeight="1" x14ac:dyDescent="0.2">
      <c r="A704" s="1836"/>
      <c r="B704" s="90" t="str">
        <f t="shared" si="86"/>
        <v>REDES</v>
      </c>
      <c r="C704" s="90">
        <f t="shared" si="86"/>
        <v>76</v>
      </c>
      <c r="D704" s="95">
        <f t="shared" si="86"/>
        <v>9</v>
      </c>
      <c r="E704" s="96">
        <f t="shared" si="86"/>
        <v>0</v>
      </c>
      <c r="F704" s="93">
        <f>+VLOOKUP(C704,'INV POIR PPERDIDAS'!$C$4:$F$123,4,FALSE)</f>
        <v>45</v>
      </c>
      <c r="G704" s="94">
        <f t="shared" si="84"/>
        <v>0</v>
      </c>
      <c r="H704" s="94">
        <f t="shared" si="85"/>
        <v>404043321.9419592</v>
      </c>
      <c r="I704" s="94">
        <f t="shared" si="87"/>
        <v>0</v>
      </c>
      <c r="J704" s="1839"/>
    </row>
    <row r="705" spans="1:10" ht="16.149999999999999" customHeight="1" thickBot="1" x14ac:dyDescent="0.25">
      <c r="A705" s="1837"/>
      <c r="B705" s="278" t="str">
        <f t="shared" si="86"/>
        <v>REDES</v>
      </c>
      <c r="C705" s="278">
        <f t="shared" si="86"/>
        <v>77</v>
      </c>
      <c r="D705" s="279">
        <f t="shared" si="86"/>
        <v>10</v>
      </c>
      <c r="E705" s="280">
        <f t="shared" si="86"/>
        <v>0</v>
      </c>
      <c r="F705" s="281">
        <f>+VLOOKUP(C705,'INV POIR PPERDIDAS'!$C$4:$F$123,4,FALSE)</f>
        <v>45</v>
      </c>
      <c r="G705" s="282">
        <f t="shared" si="84"/>
        <v>0</v>
      </c>
      <c r="H705" s="282">
        <f t="shared" si="85"/>
        <v>404043321.9419592</v>
      </c>
      <c r="I705" s="282">
        <f t="shared" si="87"/>
        <v>0</v>
      </c>
      <c r="J705" s="1840"/>
    </row>
    <row r="706" spans="1:10" x14ac:dyDescent="0.2">
      <c r="A706" s="1835" t="s">
        <v>719</v>
      </c>
      <c r="B706" s="273" t="str">
        <f t="shared" si="86"/>
        <v>REDES</v>
      </c>
      <c r="C706" s="273">
        <f t="shared" si="86"/>
        <v>78</v>
      </c>
      <c r="D706" s="274">
        <f t="shared" si="86"/>
        <v>0</v>
      </c>
      <c r="E706" s="275">
        <f t="shared" si="86"/>
        <v>0</v>
      </c>
      <c r="F706" s="276">
        <f>+VLOOKUP(C706,'INV POIR PPERDIDAS'!$C$4:$F$123,4,FALSE)</f>
        <v>45</v>
      </c>
      <c r="G706" s="277">
        <f t="shared" si="84"/>
        <v>0</v>
      </c>
      <c r="H706" s="277">
        <f t="shared" si="85"/>
        <v>404043321.9419592</v>
      </c>
      <c r="I706" s="277">
        <f t="shared" si="87"/>
        <v>0</v>
      </c>
      <c r="J706" s="1838">
        <f>+AP.8</f>
        <v>0</v>
      </c>
    </row>
    <row r="707" spans="1:10" ht="15" customHeight="1" x14ac:dyDescent="0.2">
      <c r="A707" s="1836"/>
      <c r="B707" s="90" t="str">
        <f t="shared" si="86"/>
        <v>REDES</v>
      </c>
      <c r="C707" s="90">
        <f t="shared" si="86"/>
        <v>79</v>
      </c>
      <c r="D707" s="95">
        <f t="shared" si="86"/>
        <v>1</v>
      </c>
      <c r="E707" s="96">
        <f t="shared" si="86"/>
        <v>0</v>
      </c>
      <c r="F707" s="93">
        <f>+VLOOKUP(C707,'INV POIR PPERDIDAS'!$C$4:$F$123,4,FALSE)</f>
        <v>45</v>
      </c>
      <c r="G707" s="94">
        <f t="shared" si="84"/>
        <v>0</v>
      </c>
      <c r="H707" s="94">
        <f t="shared" si="85"/>
        <v>404043321.9419592</v>
      </c>
      <c r="I707" s="94">
        <f t="shared" si="87"/>
        <v>0</v>
      </c>
      <c r="J707" s="1839"/>
    </row>
    <row r="708" spans="1:10" ht="15" customHeight="1" x14ac:dyDescent="0.2">
      <c r="A708" s="1836"/>
      <c r="B708" s="90" t="str">
        <f t="shared" si="86"/>
        <v>REDES</v>
      </c>
      <c r="C708" s="90">
        <f t="shared" si="86"/>
        <v>80</v>
      </c>
      <c r="D708" s="95">
        <f t="shared" si="86"/>
        <v>2</v>
      </c>
      <c r="E708" s="96">
        <f t="shared" si="86"/>
        <v>0</v>
      </c>
      <c r="F708" s="93">
        <f>+VLOOKUP(C708,'INV POIR PPERDIDAS'!$C$4:$F$123,4,FALSE)</f>
        <v>45</v>
      </c>
      <c r="G708" s="94">
        <f t="shared" si="84"/>
        <v>0</v>
      </c>
      <c r="H708" s="94">
        <f t="shared" si="85"/>
        <v>404043321.9419592</v>
      </c>
      <c r="I708" s="94">
        <f t="shared" si="87"/>
        <v>0</v>
      </c>
      <c r="J708" s="1839"/>
    </row>
    <row r="709" spans="1:10" ht="15" customHeight="1" x14ac:dyDescent="0.2">
      <c r="A709" s="1836"/>
      <c r="B709" s="90" t="str">
        <f t="shared" si="86"/>
        <v>REDES</v>
      </c>
      <c r="C709" s="90">
        <f t="shared" si="86"/>
        <v>81</v>
      </c>
      <c r="D709" s="95">
        <f t="shared" si="86"/>
        <v>3</v>
      </c>
      <c r="E709" s="96">
        <f t="shared" si="86"/>
        <v>0</v>
      </c>
      <c r="F709" s="93">
        <f>+VLOOKUP(C709,'INV POIR PPERDIDAS'!$C$4:$F$123,4,FALSE)</f>
        <v>45</v>
      </c>
      <c r="G709" s="94">
        <f t="shared" si="84"/>
        <v>0</v>
      </c>
      <c r="H709" s="94">
        <f t="shared" si="85"/>
        <v>404043321.9419592</v>
      </c>
      <c r="I709" s="94">
        <f t="shared" si="87"/>
        <v>0</v>
      </c>
      <c r="J709" s="1839"/>
    </row>
    <row r="710" spans="1:10" ht="15" customHeight="1" x14ac:dyDescent="0.2">
      <c r="A710" s="1836"/>
      <c r="B710" s="90" t="str">
        <f t="shared" ref="B710:E725" si="88">+B586</f>
        <v>REDES</v>
      </c>
      <c r="C710" s="90">
        <f t="shared" si="88"/>
        <v>82</v>
      </c>
      <c r="D710" s="95">
        <f t="shared" si="88"/>
        <v>4</v>
      </c>
      <c r="E710" s="96">
        <f t="shared" si="88"/>
        <v>0</v>
      </c>
      <c r="F710" s="93">
        <f>+VLOOKUP(C710,'INV POIR PPERDIDAS'!$C$4:$F$123,4,FALSE)</f>
        <v>45</v>
      </c>
      <c r="G710" s="94">
        <f t="shared" si="84"/>
        <v>0</v>
      </c>
      <c r="H710" s="94">
        <f t="shared" si="85"/>
        <v>404043321.9419592</v>
      </c>
      <c r="I710" s="94">
        <f t="shared" si="87"/>
        <v>0</v>
      </c>
      <c r="J710" s="1839"/>
    </row>
    <row r="711" spans="1:10" ht="15" customHeight="1" x14ac:dyDescent="0.2">
      <c r="A711" s="1836"/>
      <c r="B711" s="90" t="str">
        <f t="shared" si="88"/>
        <v>REDES</v>
      </c>
      <c r="C711" s="90">
        <f t="shared" si="88"/>
        <v>83</v>
      </c>
      <c r="D711" s="95">
        <f t="shared" si="88"/>
        <v>5</v>
      </c>
      <c r="E711" s="96">
        <f t="shared" si="88"/>
        <v>0</v>
      </c>
      <c r="F711" s="93">
        <f>+VLOOKUP(C711,'INV POIR PPERDIDAS'!$C$4:$F$123,4,FALSE)</f>
        <v>45</v>
      </c>
      <c r="G711" s="94">
        <f t="shared" si="84"/>
        <v>0</v>
      </c>
      <c r="H711" s="94">
        <f t="shared" si="85"/>
        <v>404043321.9419592</v>
      </c>
      <c r="I711" s="94">
        <f t="shared" si="87"/>
        <v>0</v>
      </c>
      <c r="J711" s="1839"/>
    </row>
    <row r="712" spans="1:10" ht="15" customHeight="1" x14ac:dyDescent="0.2">
      <c r="A712" s="1836"/>
      <c r="B712" s="90" t="str">
        <f t="shared" si="88"/>
        <v>REDES</v>
      </c>
      <c r="C712" s="90">
        <f t="shared" si="88"/>
        <v>84</v>
      </c>
      <c r="D712" s="95">
        <f t="shared" si="88"/>
        <v>6</v>
      </c>
      <c r="E712" s="96">
        <f t="shared" si="88"/>
        <v>0</v>
      </c>
      <c r="F712" s="93">
        <f>+VLOOKUP(C712,'INV POIR PPERDIDAS'!$C$4:$F$123,4,FALSE)</f>
        <v>45</v>
      </c>
      <c r="G712" s="94">
        <f t="shared" si="84"/>
        <v>0</v>
      </c>
      <c r="H712" s="94">
        <f t="shared" si="85"/>
        <v>404043321.9419592</v>
      </c>
      <c r="I712" s="94">
        <f t="shared" si="87"/>
        <v>0</v>
      </c>
      <c r="J712" s="1839"/>
    </row>
    <row r="713" spans="1:10" ht="15" customHeight="1" x14ac:dyDescent="0.2">
      <c r="A713" s="1836"/>
      <c r="B713" s="90" t="str">
        <f t="shared" si="88"/>
        <v>REDES</v>
      </c>
      <c r="C713" s="90">
        <f t="shared" si="88"/>
        <v>85</v>
      </c>
      <c r="D713" s="95">
        <f t="shared" si="88"/>
        <v>7</v>
      </c>
      <c r="E713" s="96">
        <f t="shared" si="88"/>
        <v>0</v>
      </c>
      <c r="F713" s="93">
        <f>+VLOOKUP(C713,'INV POIR PPERDIDAS'!$C$4:$F$123,4,FALSE)</f>
        <v>45</v>
      </c>
      <c r="G713" s="94">
        <f t="shared" si="84"/>
        <v>0</v>
      </c>
      <c r="H713" s="94">
        <f t="shared" si="85"/>
        <v>404043321.9419592</v>
      </c>
      <c r="I713" s="94">
        <f t="shared" si="87"/>
        <v>0</v>
      </c>
      <c r="J713" s="1839"/>
    </row>
    <row r="714" spans="1:10" ht="15" customHeight="1" x14ac:dyDescent="0.2">
      <c r="A714" s="1836"/>
      <c r="B714" s="90" t="str">
        <f t="shared" si="88"/>
        <v>REDES</v>
      </c>
      <c r="C714" s="90">
        <f t="shared" si="88"/>
        <v>86</v>
      </c>
      <c r="D714" s="95">
        <f t="shared" si="88"/>
        <v>8</v>
      </c>
      <c r="E714" s="96">
        <f t="shared" si="88"/>
        <v>0</v>
      </c>
      <c r="F714" s="93">
        <f>+VLOOKUP(C714,'INV POIR PPERDIDAS'!$C$4:$F$123,4,FALSE)</f>
        <v>45</v>
      </c>
      <c r="G714" s="94">
        <f t="shared" si="84"/>
        <v>0</v>
      </c>
      <c r="H714" s="94">
        <f t="shared" si="85"/>
        <v>404043321.9419592</v>
      </c>
      <c r="I714" s="94">
        <f t="shared" si="87"/>
        <v>0</v>
      </c>
      <c r="J714" s="1839"/>
    </row>
    <row r="715" spans="1:10" ht="15" customHeight="1" x14ac:dyDescent="0.2">
      <c r="A715" s="1836"/>
      <c r="B715" s="90" t="str">
        <f t="shared" si="88"/>
        <v>REDES</v>
      </c>
      <c r="C715" s="90">
        <f t="shared" si="88"/>
        <v>87</v>
      </c>
      <c r="D715" s="95">
        <f t="shared" si="88"/>
        <v>9</v>
      </c>
      <c r="E715" s="96">
        <f t="shared" si="88"/>
        <v>0</v>
      </c>
      <c r="F715" s="93">
        <f>+VLOOKUP(C715,'INV POIR PPERDIDAS'!$C$4:$F$123,4,FALSE)</f>
        <v>45</v>
      </c>
      <c r="G715" s="94">
        <f t="shared" si="84"/>
        <v>0</v>
      </c>
      <c r="H715" s="94">
        <f t="shared" si="85"/>
        <v>404043321.9419592</v>
      </c>
      <c r="I715" s="94">
        <f t="shared" si="87"/>
        <v>0</v>
      </c>
      <c r="J715" s="1839"/>
    </row>
    <row r="716" spans="1:10" ht="16.149999999999999" customHeight="1" thickBot="1" x14ac:dyDescent="0.25">
      <c r="A716" s="1837"/>
      <c r="B716" s="278" t="str">
        <f t="shared" si="88"/>
        <v>REDES</v>
      </c>
      <c r="C716" s="278">
        <f t="shared" si="88"/>
        <v>88</v>
      </c>
      <c r="D716" s="279">
        <f t="shared" si="88"/>
        <v>10</v>
      </c>
      <c r="E716" s="280">
        <f t="shared" si="88"/>
        <v>0</v>
      </c>
      <c r="F716" s="281">
        <f>+VLOOKUP(C716,'INV POIR PPERDIDAS'!$C$4:$F$123,4,FALSE)</f>
        <v>45</v>
      </c>
      <c r="G716" s="282">
        <f t="shared" si="84"/>
        <v>0</v>
      </c>
      <c r="H716" s="282">
        <f t="shared" si="85"/>
        <v>404043321.9419592</v>
      </c>
      <c r="I716" s="282">
        <f t="shared" si="87"/>
        <v>0</v>
      </c>
      <c r="J716" s="1840"/>
    </row>
    <row r="717" spans="1:10" hidden="1" x14ac:dyDescent="0.2">
      <c r="B717" s="267">
        <f t="shared" si="88"/>
        <v>0</v>
      </c>
      <c r="C717" s="267">
        <f t="shared" si="88"/>
        <v>89</v>
      </c>
      <c r="D717" s="268">
        <f t="shared" si="88"/>
        <v>0</v>
      </c>
      <c r="E717" s="269">
        <f t="shared" si="88"/>
        <v>0</v>
      </c>
      <c r="F717" s="270">
        <f>+VLOOKUP(C717,'INV POIR PPERDIDAS'!$C$4:$F$123,4,FALSE)</f>
        <v>1</v>
      </c>
      <c r="G717" s="271">
        <f t="shared" si="84"/>
        <v>0</v>
      </c>
      <c r="H717" s="271">
        <f t="shared" si="85"/>
        <v>404043321.9419592</v>
      </c>
      <c r="I717" s="272">
        <f t="shared" ref="I717:I748" si="89">+G717/H717</f>
        <v>0</v>
      </c>
    </row>
    <row r="718" spans="1:10" hidden="1" x14ac:dyDescent="0.2">
      <c r="B718" s="90">
        <f t="shared" si="88"/>
        <v>0</v>
      </c>
      <c r="C718" s="90">
        <f t="shared" si="88"/>
        <v>90</v>
      </c>
      <c r="D718" s="95">
        <f t="shared" si="88"/>
        <v>0</v>
      </c>
      <c r="E718" s="96">
        <f t="shared" si="88"/>
        <v>0</v>
      </c>
      <c r="F718" s="93">
        <f>+VLOOKUP(C718,'INV POIR PPERDIDAS'!$C$4:$F$123,4,FALSE)</f>
        <v>1</v>
      </c>
      <c r="G718" s="94">
        <f t="shared" si="84"/>
        <v>0</v>
      </c>
      <c r="H718" s="94">
        <f t="shared" si="85"/>
        <v>404043321.9419592</v>
      </c>
      <c r="I718" s="98">
        <f t="shared" si="89"/>
        <v>0</v>
      </c>
    </row>
    <row r="719" spans="1:10" hidden="1" x14ac:dyDescent="0.2">
      <c r="B719" s="90">
        <f t="shared" si="88"/>
        <v>0</v>
      </c>
      <c r="C719" s="90">
        <f t="shared" si="88"/>
        <v>91</v>
      </c>
      <c r="D719" s="95">
        <f t="shared" si="88"/>
        <v>0</v>
      </c>
      <c r="E719" s="96">
        <f t="shared" si="88"/>
        <v>0</v>
      </c>
      <c r="F719" s="93">
        <f>+VLOOKUP(C719,'INV POIR PPERDIDAS'!$C$4:$F$123,4,FALSE)</f>
        <v>1</v>
      </c>
      <c r="G719" s="94">
        <f t="shared" si="84"/>
        <v>0</v>
      </c>
      <c r="H719" s="94">
        <f t="shared" si="85"/>
        <v>404043321.9419592</v>
      </c>
      <c r="I719" s="98">
        <f t="shared" si="89"/>
        <v>0</v>
      </c>
    </row>
    <row r="720" spans="1:10" hidden="1" x14ac:dyDescent="0.2">
      <c r="B720" s="90">
        <f t="shared" si="88"/>
        <v>0</v>
      </c>
      <c r="C720" s="90">
        <f t="shared" si="88"/>
        <v>92</v>
      </c>
      <c r="D720" s="95">
        <f t="shared" si="88"/>
        <v>0</v>
      </c>
      <c r="E720" s="96">
        <f t="shared" si="88"/>
        <v>0</v>
      </c>
      <c r="F720" s="93">
        <f>+VLOOKUP(C720,'INV POIR PPERDIDAS'!$C$4:$F$123,4,FALSE)</f>
        <v>1</v>
      </c>
      <c r="G720" s="94">
        <f t="shared" si="84"/>
        <v>0</v>
      </c>
      <c r="H720" s="94">
        <f t="shared" si="85"/>
        <v>404043321.9419592</v>
      </c>
      <c r="I720" s="98">
        <f t="shared" si="89"/>
        <v>0</v>
      </c>
    </row>
    <row r="721" spans="2:9" hidden="1" x14ac:dyDescent="0.2">
      <c r="B721" s="90">
        <f t="shared" si="88"/>
        <v>0</v>
      </c>
      <c r="C721" s="90">
        <f t="shared" si="88"/>
        <v>93</v>
      </c>
      <c r="D721" s="95">
        <f t="shared" si="88"/>
        <v>0</v>
      </c>
      <c r="E721" s="96">
        <f t="shared" si="88"/>
        <v>0</v>
      </c>
      <c r="F721" s="93">
        <f>+VLOOKUP(C721,'INV POIR PPERDIDAS'!$C$4:$F$123,4,FALSE)</f>
        <v>1</v>
      </c>
      <c r="G721" s="94">
        <f t="shared" si="84"/>
        <v>0</v>
      </c>
      <c r="H721" s="94">
        <f t="shared" si="85"/>
        <v>404043321.9419592</v>
      </c>
      <c r="I721" s="98">
        <f t="shared" si="89"/>
        <v>0</v>
      </c>
    </row>
    <row r="722" spans="2:9" hidden="1" x14ac:dyDescent="0.2">
      <c r="B722" s="90">
        <f t="shared" si="88"/>
        <v>0</v>
      </c>
      <c r="C722" s="90">
        <f t="shared" si="88"/>
        <v>94</v>
      </c>
      <c r="D722" s="95">
        <f t="shared" si="88"/>
        <v>0</v>
      </c>
      <c r="E722" s="96">
        <f t="shared" si="88"/>
        <v>0</v>
      </c>
      <c r="F722" s="93">
        <f>+VLOOKUP(C722,'INV POIR PPERDIDAS'!$C$4:$F$123,4,FALSE)</f>
        <v>1</v>
      </c>
      <c r="G722" s="94">
        <f t="shared" si="84"/>
        <v>0</v>
      </c>
      <c r="H722" s="94">
        <f t="shared" si="85"/>
        <v>404043321.9419592</v>
      </c>
      <c r="I722" s="98">
        <f t="shared" si="89"/>
        <v>0</v>
      </c>
    </row>
    <row r="723" spans="2:9" hidden="1" x14ac:dyDescent="0.2">
      <c r="B723" s="90">
        <f t="shared" si="88"/>
        <v>0</v>
      </c>
      <c r="C723" s="90">
        <f t="shared" si="88"/>
        <v>95</v>
      </c>
      <c r="D723" s="95">
        <f t="shared" si="88"/>
        <v>0</v>
      </c>
      <c r="E723" s="96">
        <f t="shared" si="88"/>
        <v>0</v>
      </c>
      <c r="F723" s="93">
        <f>+VLOOKUP(C723,'INV POIR PPERDIDAS'!$C$4:$F$123,4,FALSE)</f>
        <v>1</v>
      </c>
      <c r="G723" s="94">
        <f t="shared" si="84"/>
        <v>0</v>
      </c>
      <c r="H723" s="94">
        <f t="shared" si="85"/>
        <v>404043321.9419592</v>
      </c>
      <c r="I723" s="98">
        <f t="shared" si="89"/>
        <v>0</v>
      </c>
    </row>
    <row r="724" spans="2:9" hidden="1" x14ac:dyDescent="0.2">
      <c r="B724" s="90">
        <f t="shared" si="88"/>
        <v>0</v>
      </c>
      <c r="C724" s="90">
        <f t="shared" si="88"/>
        <v>96</v>
      </c>
      <c r="D724" s="95">
        <f t="shared" si="88"/>
        <v>0</v>
      </c>
      <c r="E724" s="96">
        <f t="shared" si="88"/>
        <v>0</v>
      </c>
      <c r="F724" s="93">
        <f>+VLOOKUP(C724,'INV POIR PPERDIDAS'!$C$4:$F$123,4,FALSE)</f>
        <v>1</v>
      </c>
      <c r="G724" s="94">
        <f t="shared" si="84"/>
        <v>0</v>
      </c>
      <c r="H724" s="94">
        <f t="shared" si="85"/>
        <v>404043321.9419592</v>
      </c>
      <c r="I724" s="98">
        <f t="shared" si="89"/>
        <v>0</v>
      </c>
    </row>
    <row r="725" spans="2:9" hidden="1" x14ac:dyDescent="0.2">
      <c r="B725" s="90">
        <f t="shared" si="88"/>
        <v>0</v>
      </c>
      <c r="C725" s="90">
        <f t="shared" si="88"/>
        <v>97</v>
      </c>
      <c r="D725" s="95">
        <f t="shared" si="88"/>
        <v>0</v>
      </c>
      <c r="E725" s="96">
        <f t="shared" si="88"/>
        <v>0</v>
      </c>
      <c r="F725" s="93">
        <f>+VLOOKUP(C725,'INV POIR PPERDIDAS'!$C$4:$F$123,4,FALSE)</f>
        <v>1</v>
      </c>
      <c r="G725" s="94">
        <f t="shared" si="84"/>
        <v>0</v>
      </c>
      <c r="H725" s="94">
        <f t="shared" si="85"/>
        <v>404043321.9419592</v>
      </c>
      <c r="I725" s="98">
        <f t="shared" si="89"/>
        <v>0</v>
      </c>
    </row>
    <row r="726" spans="2:9" hidden="1" x14ac:dyDescent="0.2">
      <c r="B726" s="90">
        <f t="shared" ref="B726:E741" si="90">+B602</f>
        <v>0</v>
      </c>
      <c r="C726" s="90">
        <f t="shared" si="90"/>
        <v>98</v>
      </c>
      <c r="D726" s="95">
        <f t="shared" si="90"/>
        <v>0</v>
      </c>
      <c r="E726" s="96">
        <f t="shared" si="90"/>
        <v>0</v>
      </c>
      <c r="F726" s="93">
        <f>+VLOOKUP(C726,'INV POIR PPERDIDAS'!$C$4:$F$123,4,FALSE)</f>
        <v>1</v>
      </c>
      <c r="G726" s="94">
        <f t="shared" si="84"/>
        <v>0</v>
      </c>
      <c r="H726" s="94">
        <f t="shared" si="85"/>
        <v>404043321.9419592</v>
      </c>
      <c r="I726" s="98">
        <f t="shared" si="89"/>
        <v>0</v>
      </c>
    </row>
    <row r="727" spans="2:9" hidden="1" x14ac:dyDescent="0.2">
      <c r="B727" s="90">
        <f t="shared" si="90"/>
        <v>0</v>
      </c>
      <c r="C727" s="90">
        <f t="shared" si="90"/>
        <v>99</v>
      </c>
      <c r="D727" s="95">
        <f t="shared" si="90"/>
        <v>0</v>
      </c>
      <c r="E727" s="96">
        <f t="shared" si="90"/>
        <v>0</v>
      </c>
      <c r="F727" s="93">
        <f>+VLOOKUP(C727,'INV POIR PPERDIDAS'!$C$4:$F$123,4,FALSE)</f>
        <v>1</v>
      </c>
      <c r="G727" s="94">
        <f t="shared" si="84"/>
        <v>0</v>
      </c>
      <c r="H727" s="94">
        <f t="shared" si="85"/>
        <v>404043321.9419592</v>
      </c>
      <c r="I727" s="98">
        <f t="shared" si="89"/>
        <v>0</v>
      </c>
    </row>
    <row r="728" spans="2:9" hidden="1" x14ac:dyDescent="0.2">
      <c r="B728" s="90">
        <f t="shared" si="90"/>
        <v>0</v>
      </c>
      <c r="C728" s="90">
        <f t="shared" si="90"/>
        <v>100</v>
      </c>
      <c r="D728" s="95">
        <f t="shared" si="90"/>
        <v>0</v>
      </c>
      <c r="E728" s="96">
        <f t="shared" si="90"/>
        <v>0</v>
      </c>
      <c r="F728" s="93">
        <f>+VLOOKUP(C728,'INV POIR PPERDIDAS'!$C$4:$F$123,4,FALSE)</f>
        <v>1</v>
      </c>
      <c r="G728" s="94">
        <f t="shared" si="84"/>
        <v>0</v>
      </c>
      <c r="H728" s="94">
        <f t="shared" si="85"/>
        <v>404043321.9419592</v>
      </c>
      <c r="I728" s="98">
        <f t="shared" si="89"/>
        <v>0</v>
      </c>
    </row>
    <row r="729" spans="2:9" hidden="1" x14ac:dyDescent="0.2">
      <c r="B729" s="90">
        <f t="shared" si="90"/>
        <v>0</v>
      </c>
      <c r="C729" s="90">
        <f t="shared" si="90"/>
        <v>101</v>
      </c>
      <c r="D729" s="95">
        <f t="shared" si="90"/>
        <v>0</v>
      </c>
      <c r="E729" s="96">
        <f t="shared" si="90"/>
        <v>0</v>
      </c>
      <c r="F729" s="93">
        <f>+VLOOKUP(C729,'INV POIR PPERDIDAS'!$C$4:$F$123,4,FALSE)</f>
        <v>1</v>
      </c>
      <c r="G729" s="94">
        <f t="shared" si="84"/>
        <v>0</v>
      </c>
      <c r="H729" s="94">
        <f t="shared" si="85"/>
        <v>404043321.9419592</v>
      </c>
      <c r="I729" s="98">
        <f t="shared" si="89"/>
        <v>0</v>
      </c>
    </row>
    <row r="730" spans="2:9" hidden="1" x14ac:dyDescent="0.2">
      <c r="B730" s="90">
        <f t="shared" si="90"/>
        <v>0</v>
      </c>
      <c r="C730" s="90">
        <f t="shared" si="90"/>
        <v>102</v>
      </c>
      <c r="D730" s="95">
        <f t="shared" si="90"/>
        <v>0</v>
      </c>
      <c r="E730" s="96">
        <f t="shared" si="90"/>
        <v>0</v>
      </c>
      <c r="F730" s="93">
        <f>+VLOOKUP(C730,'INV POIR PPERDIDAS'!$C$4:$F$123,4,FALSE)</f>
        <v>1</v>
      </c>
      <c r="G730" s="94">
        <f t="shared" si="84"/>
        <v>0</v>
      </c>
      <c r="H730" s="94">
        <f t="shared" si="85"/>
        <v>404043321.9419592</v>
      </c>
      <c r="I730" s="98">
        <f t="shared" si="89"/>
        <v>0</v>
      </c>
    </row>
    <row r="731" spans="2:9" hidden="1" x14ac:dyDescent="0.2">
      <c r="B731" s="90">
        <f t="shared" si="90"/>
        <v>0</v>
      </c>
      <c r="C731" s="90">
        <f t="shared" si="90"/>
        <v>103</v>
      </c>
      <c r="D731" s="95">
        <f t="shared" si="90"/>
        <v>0</v>
      </c>
      <c r="E731" s="96">
        <f t="shared" si="90"/>
        <v>0</v>
      </c>
      <c r="F731" s="93">
        <f>+VLOOKUP(C731,'INV POIR PPERDIDAS'!$C$4:$F$123,4,FALSE)</f>
        <v>1</v>
      </c>
      <c r="G731" s="94">
        <f t="shared" si="84"/>
        <v>0</v>
      </c>
      <c r="H731" s="94">
        <f t="shared" si="85"/>
        <v>404043321.9419592</v>
      </c>
      <c r="I731" s="98">
        <f t="shared" si="89"/>
        <v>0</v>
      </c>
    </row>
    <row r="732" spans="2:9" hidden="1" x14ac:dyDescent="0.2">
      <c r="B732" s="90">
        <f t="shared" si="90"/>
        <v>0</v>
      </c>
      <c r="C732" s="90">
        <f t="shared" si="90"/>
        <v>104</v>
      </c>
      <c r="D732" s="95">
        <f t="shared" si="90"/>
        <v>0</v>
      </c>
      <c r="E732" s="96">
        <f t="shared" si="90"/>
        <v>0</v>
      </c>
      <c r="F732" s="93">
        <f>+VLOOKUP(C732,'INV POIR PPERDIDAS'!$C$4:$F$123,4,FALSE)</f>
        <v>1</v>
      </c>
      <c r="G732" s="94">
        <f t="shared" si="84"/>
        <v>0</v>
      </c>
      <c r="H732" s="94">
        <f t="shared" si="85"/>
        <v>404043321.9419592</v>
      </c>
      <c r="I732" s="98">
        <f t="shared" si="89"/>
        <v>0</v>
      </c>
    </row>
    <row r="733" spans="2:9" hidden="1" x14ac:dyDescent="0.2">
      <c r="B733" s="90">
        <f t="shared" si="90"/>
        <v>0</v>
      </c>
      <c r="C733" s="90">
        <f t="shared" si="90"/>
        <v>105</v>
      </c>
      <c r="D733" s="95">
        <f t="shared" si="90"/>
        <v>0</v>
      </c>
      <c r="E733" s="96">
        <f t="shared" si="90"/>
        <v>0</v>
      </c>
      <c r="F733" s="93">
        <f>+VLOOKUP(C733,'INV POIR PPERDIDAS'!$C$4:$F$123,4,FALSE)</f>
        <v>1</v>
      </c>
      <c r="G733" s="94">
        <f t="shared" si="84"/>
        <v>0</v>
      </c>
      <c r="H733" s="94">
        <f t="shared" si="85"/>
        <v>404043321.9419592</v>
      </c>
      <c r="I733" s="98">
        <f t="shared" si="89"/>
        <v>0</v>
      </c>
    </row>
    <row r="734" spans="2:9" hidden="1" x14ac:dyDescent="0.2">
      <c r="B734" s="90">
        <f t="shared" si="90"/>
        <v>0</v>
      </c>
      <c r="C734" s="90">
        <f t="shared" si="90"/>
        <v>106</v>
      </c>
      <c r="D734" s="95">
        <f t="shared" si="90"/>
        <v>0</v>
      </c>
      <c r="E734" s="96">
        <f t="shared" si="90"/>
        <v>0</v>
      </c>
      <c r="F734" s="93">
        <f>+VLOOKUP(C734,'INV POIR PPERDIDAS'!$C$4:$F$123,4,FALSE)</f>
        <v>1</v>
      </c>
      <c r="G734" s="94">
        <f t="shared" si="84"/>
        <v>0</v>
      </c>
      <c r="H734" s="94">
        <f t="shared" si="85"/>
        <v>404043321.9419592</v>
      </c>
      <c r="I734" s="98">
        <f t="shared" si="89"/>
        <v>0</v>
      </c>
    </row>
    <row r="735" spans="2:9" hidden="1" x14ac:dyDescent="0.2">
      <c r="B735" s="90">
        <f t="shared" si="90"/>
        <v>0</v>
      </c>
      <c r="C735" s="90">
        <f t="shared" si="90"/>
        <v>107</v>
      </c>
      <c r="D735" s="95">
        <f t="shared" si="90"/>
        <v>0</v>
      </c>
      <c r="E735" s="96">
        <f t="shared" si="90"/>
        <v>0</v>
      </c>
      <c r="F735" s="93">
        <f>+VLOOKUP(C735,'INV POIR PPERDIDAS'!$C$4:$F$123,4,FALSE)</f>
        <v>1</v>
      </c>
      <c r="G735" s="94">
        <f t="shared" si="84"/>
        <v>0</v>
      </c>
      <c r="H735" s="94">
        <f t="shared" si="85"/>
        <v>404043321.9419592</v>
      </c>
      <c r="I735" s="98">
        <f t="shared" si="89"/>
        <v>0</v>
      </c>
    </row>
    <row r="736" spans="2:9" hidden="1" x14ac:dyDescent="0.2">
      <c r="B736" s="90">
        <f t="shared" si="90"/>
        <v>0</v>
      </c>
      <c r="C736" s="90">
        <f t="shared" si="90"/>
        <v>108</v>
      </c>
      <c r="D736" s="95">
        <f t="shared" si="90"/>
        <v>0</v>
      </c>
      <c r="E736" s="96">
        <f t="shared" si="90"/>
        <v>0</v>
      </c>
      <c r="F736" s="93">
        <f>+VLOOKUP(C736,'INV POIR PPERDIDAS'!$C$4:$F$123,4,FALSE)</f>
        <v>1</v>
      </c>
      <c r="G736" s="94">
        <f t="shared" si="84"/>
        <v>0</v>
      </c>
      <c r="H736" s="94">
        <f t="shared" si="85"/>
        <v>404043321.9419592</v>
      </c>
      <c r="I736" s="98">
        <f t="shared" si="89"/>
        <v>0</v>
      </c>
    </row>
    <row r="737" spans="2:10" hidden="1" x14ac:dyDescent="0.2">
      <c r="B737" s="90">
        <f t="shared" si="90"/>
        <v>0</v>
      </c>
      <c r="C737" s="90">
        <f t="shared" si="90"/>
        <v>109</v>
      </c>
      <c r="D737" s="95">
        <f t="shared" si="90"/>
        <v>0</v>
      </c>
      <c r="E737" s="96">
        <f t="shared" si="90"/>
        <v>0</v>
      </c>
      <c r="F737" s="93">
        <f>+VLOOKUP(C737,'INV POIR PPERDIDAS'!$C$4:$F$123,4,FALSE)</f>
        <v>1</v>
      </c>
      <c r="G737" s="94">
        <f t="shared" si="84"/>
        <v>0</v>
      </c>
      <c r="H737" s="94">
        <f t="shared" si="85"/>
        <v>404043321.9419592</v>
      </c>
      <c r="I737" s="98">
        <f t="shared" si="89"/>
        <v>0</v>
      </c>
    </row>
    <row r="738" spans="2:10" hidden="1" x14ac:dyDescent="0.2">
      <c r="B738" s="90">
        <f t="shared" si="90"/>
        <v>0</v>
      </c>
      <c r="C738" s="90">
        <f t="shared" si="90"/>
        <v>110</v>
      </c>
      <c r="D738" s="95">
        <f t="shared" si="90"/>
        <v>0</v>
      </c>
      <c r="E738" s="96">
        <f t="shared" si="90"/>
        <v>0</v>
      </c>
      <c r="F738" s="93">
        <f>+VLOOKUP(C738,'INV POIR PPERDIDAS'!$C$4:$F$123,4,FALSE)</f>
        <v>1</v>
      </c>
      <c r="G738" s="94">
        <f t="shared" si="84"/>
        <v>0</v>
      </c>
      <c r="H738" s="94">
        <f t="shared" si="85"/>
        <v>404043321.9419592</v>
      </c>
      <c r="I738" s="98">
        <f t="shared" si="89"/>
        <v>0</v>
      </c>
    </row>
    <row r="739" spans="2:10" hidden="1" x14ac:dyDescent="0.2">
      <c r="B739" s="90">
        <f t="shared" si="90"/>
        <v>0</v>
      </c>
      <c r="C739" s="90">
        <f t="shared" si="90"/>
        <v>111</v>
      </c>
      <c r="D739" s="95">
        <f t="shared" si="90"/>
        <v>0</v>
      </c>
      <c r="E739" s="96">
        <f t="shared" si="90"/>
        <v>0</v>
      </c>
      <c r="F739" s="93">
        <f>+VLOOKUP(C739,'INV POIR PPERDIDAS'!$C$4:$F$123,4,FALSE)</f>
        <v>1</v>
      </c>
      <c r="G739" s="94">
        <f t="shared" si="84"/>
        <v>0</v>
      </c>
      <c r="H739" s="94">
        <f t="shared" si="85"/>
        <v>404043321.9419592</v>
      </c>
      <c r="I739" s="98">
        <f t="shared" si="89"/>
        <v>0</v>
      </c>
    </row>
    <row r="740" spans="2:10" hidden="1" x14ac:dyDescent="0.2">
      <c r="B740" s="90">
        <f t="shared" si="90"/>
        <v>0</v>
      </c>
      <c r="C740" s="90">
        <f t="shared" si="90"/>
        <v>112</v>
      </c>
      <c r="D740" s="95">
        <f t="shared" si="90"/>
        <v>0</v>
      </c>
      <c r="E740" s="96">
        <f t="shared" si="90"/>
        <v>0</v>
      </c>
      <c r="F740" s="93">
        <f>+VLOOKUP(C740,'INV POIR PPERDIDAS'!$C$4:$F$123,4,FALSE)</f>
        <v>1</v>
      </c>
      <c r="G740" s="94">
        <f t="shared" si="84"/>
        <v>0</v>
      </c>
      <c r="H740" s="94">
        <f t="shared" si="85"/>
        <v>404043321.9419592</v>
      </c>
      <c r="I740" s="98">
        <f t="shared" si="89"/>
        <v>0</v>
      </c>
    </row>
    <row r="741" spans="2:10" hidden="1" x14ac:dyDescent="0.2">
      <c r="B741" s="90">
        <f t="shared" si="90"/>
        <v>0</v>
      </c>
      <c r="C741" s="90">
        <f t="shared" si="90"/>
        <v>113</v>
      </c>
      <c r="D741" s="95">
        <f t="shared" si="90"/>
        <v>0</v>
      </c>
      <c r="E741" s="96">
        <f t="shared" si="90"/>
        <v>0</v>
      </c>
      <c r="F741" s="93">
        <f>+VLOOKUP(C741,'INV POIR PPERDIDAS'!$C$4:$F$123,4,FALSE)</f>
        <v>1</v>
      </c>
      <c r="G741" s="94">
        <f t="shared" si="84"/>
        <v>0</v>
      </c>
      <c r="H741" s="94">
        <f t="shared" si="85"/>
        <v>404043321.9419592</v>
      </c>
      <c r="I741" s="98">
        <f t="shared" si="89"/>
        <v>0</v>
      </c>
    </row>
    <row r="742" spans="2:10" hidden="1" x14ac:dyDescent="0.2">
      <c r="B742" s="90">
        <f t="shared" ref="B742:E748" si="91">+B618</f>
        <v>0</v>
      </c>
      <c r="C742" s="90">
        <f t="shared" si="91"/>
        <v>114</v>
      </c>
      <c r="D742" s="95">
        <f t="shared" si="91"/>
        <v>0</v>
      </c>
      <c r="E742" s="96">
        <f t="shared" si="91"/>
        <v>0</v>
      </c>
      <c r="F742" s="93">
        <f>+VLOOKUP(C742,'INV POIR PPERDIDAS'!$C$4:$F$123,4,FALSE)</f>
        <v>1</v>
      </c>
      <c r="G742" s="94">
        <f t="shared" si="84"/>
        <v>0</v>
      </c>
      <c r="H742" s="94">
        <f t="shared" si="85"/>
        <v>404043321.9419592</v>
      </c>
      <c r="I742" s="98">
        <f t="shared" si="89"/>
        <v>0</v>
      </c>
    </row>
    <row r="743" spans="2:10" hidden="1" x14ac:dyDescent="0.2">
      <c r="B743" s="90">
        <f t="shared" si="91"/>
        <v>0</v>
      </c>
      <c r="C743" s="90">
        <f t="shared" si="91"/>
        <v>115</v>
      </c>
      <c r="D743" s="95">
        <f t="shared" si="91"/>
        <v>0</v>
      </c>
      <c r="E743" s="96">
        <f t="shared" si="91"/>
        <v>0</v>
      </c>
      <c r="F743" s="93">
        <f>+VLOOKUP(C743,'INV POIR PPERDIDAS'!$C$4:$F$123,4,FALSE)</f>
        <v>1</v>
      </c>
      <c r="G743" s="94">
        <f t="shared" si="84"/>
        <v>0</v>
      </c>
      <c r="H743" s="94">
        <f t="shared" si="85"/>
        <v>404043321.9419592</v>
      </c>
      <c r="I743" s="98">
        <f t="shared" si="89"/>
        <v>0</v>
      </c>
    </row>
    <row r="744" spans="2:10" hidden="1" x14ac:dyDescent="0.2">
      <c r="B744" s="90">
        <f t="shared" si="91"/>
        <v>0</v>
      </c>
      <c r="C744" s="90">
        <f t="shared" si="91"/>
        <v>116</v>
      </c>
      <c r="D744" s="95">
        <f t="shared" si="91"/>
        <v>0</v>
      </c>
      <c r="E744" s="96">
        <f t="shared" si="91"/>
        <v>0</v>
      </c>
      <c r="F744" s="93">
        <f>+VLOOKUP(C744,'INV POIR PPERDIDAS'!$C$4:$F$123,4,FALSE)</f>
        <v>1</v>
      </c>
      <c r="G744" s="94">
        <f t="shared" si="84"/>
        <v>0</v>
      </c>
      <c r="H744" s="94">
        <f t="shared" si="85"/>
        <v>404043321.9419592</v>
      </c>
      <c r="I744" s="98">
        <f t="shared" si="89"/>
        <v>0</v>
      </c>
    </row>
    <row r="745" spans="2:10" hidden="1" x14ac:dyDescent="0.2">
      <c r="B745" s="90">
        <f t="shared" si="91"/>
        <v>0</v>
      </c>
      <c r="C745" s="90">
        <f t="shared" si="91"/>
        <v>117</v>
      </c>
      <c r="D745" s="95">
        <f t="shared" si="91"/>
        <v>0</v>
      </c>
      <c r="E745" s="96">
        <f t="shared" si="91"/>
        <v>0</v>
      </c>
      <c r="F745" s="93">
        <f>+VLOOKUP(C745,'INV POIR PPERDIDAS'!$C$4:$F$123,4,FALSE)</f>
        <v>1</v>
      </c>
      <c r="G745" s="94">
        <f t="shared" si="84"/>
        <v>0</v>
      </c>
      <c r="H745" s="94">
        <f t="shared" si="85"/>
        <v>404043321.9419592</v>
      </c>
      <c r="I745" s="98">
        <f t="shared" si="89"/>
        <v>0</v>
      </c>
    </row>
    <row r="746" spans="2:10" hidden="1" x14ac:dyDescent="0.2">
      <c r="B746" s="90">
        <f t="shared" si="91"/>
        <v>0</v>
      </c>
      <c r="C746" s="90">
        <f t="shared" si="91"/>
        <v>118</v>
      </c>
      <c r="D746" s="95">
        <f t="shared" si="91"/>
        <v>0</v>
      </c>
      <c r="E746" s="96">
        <f t="shared" si="91"/>
        <v>0</v>
      </c>
      <c r="F746" s="93">
        <f>+VLOOKUP(C746,'INV POIR PPERDIDAS'!$C$4:$F$123,4,FALSE)</f>
        <v>1</v>
      </c>
      <c r="G746" s="94">
        <f t="shared" si="84"/>
        <v>0</v>
      </c>
      <c r="H746" s="94">
        <f t="shared" si="85"/>
        <v>404043321.9419592</v>
      </c>
      <c r="I746" s="98">
        <f t="shared" si="89"/>
        <v>0</v>
      </c>
    </row>
    <row r="747" spans="2:10" hidden="1" x14ac:dyDescent="0.2">
      <c r="B747" s="90">
        <f t="shared" si="91"/>
        <v>0</v>
      </c>
      <c r="C747" s="90">
        <f t="shared" si="91"/>
        <v>119</v>
      </c>
      <c r="D747" s="95">
        <f t="shared" si="91"/>
        <v>0</v>
      </c>
      <c r="E747" s="96">
        <f t="shared" si="91"/>
        <v>0</v>
      </c>
      <c r="F747" s="93">
        <f>+VLOOKUP(C747,'INV POIR PPERDIDAS'!$C$4:$F$123,4,FALSE)</f>
        <v>1</v>
      </c>
      <c r="G747" s="94">
        <f t="shared" si="84"/>
        <v>0</v>
      </c>
      <c r="H747" s="94">
        <f t="shared" si="85"/>
        <v>404043321.9419592</v>
      </c>
      <c r="I747" s="98">
        <f t="shared" si="89"/>
        <v>0</v>
      </c>
    </row>
    <row r="748" spans="2:10" hidden="1" x14ac:dyDescent="0.2">
      <c r="B748" s="90">
        <f t="shared" si="91"/>
        <v>0</v>
      </c>
      <c r="C748" s="90">
        <f t="shared" si="91"/>
        <v>120</v>
      </c>
      <c r="D748" s="95">
        <f t="shared" si="91"/>
        <v>0</v>
      </c>
      <c r="E748" s="96">
        <f>+E624</f>
        <v>0</v>
      </c>
      <c r="F748" s="93">
        <f>+VLOOKUP(C748,'INV POIR PPERDIDAS'!$C$4:$F$123,4,FALSE)</f>
        <v>1</v>
      </c>
      <c r="G748" s="94">
        <f>+NPV($C$3,H500:Q500)</f>
        <v>0</v>
      </c>
      <c r="H748" s="94">
        <f>+NPV($C$3,G624:P624)</f>
        <v>404043321.9419592</v>
      </c>
      <c r="I748" s="98">
        <f t="shared" si="89"/>
        <v>0</v>
      </c>
    </row>
    <row r="749" spans="2:10" ht="13.5" thickBot="1" x14ac:dyDescent="0.25"/>
    <row r="750" spans="2:10" ht="13.5" thickBot="1" x14ac:dyDescent="0.25">
      <c r="G750" s="99"/>
      <c r="H750" s="109" t="s">
        <v>359</v>
      </c>
      <c r="I750" s="935">
        <f>SUM(IF(AP.1="SI",SUM(I629:I639),0),IF(AP.2="SI",SUM(I640:I650),0),IF(AP.3="SI",SUM(I651:I661),0),IF(AP.4="SI",SUM(I662:I672),0),IF(AP.5="SI",SUM(I673:I683),0),IF(AP.6="SI",SUM(I684:I694),0),IF(AP.7="SI",SUM(I695:I705),0),IF(AP.8="SI",SUM(I706:I716),0))</f>
        <v>29.114485201028941</v>
      </c>
      <c r="J750" s="1109" t="s">
        <v>1033</v>
      </c>
    </row>
    <row r="751" spans="2:10" ht="13.5" thickBot="1" x14ac:dyDescent="0.25">
      <c r="I751" s="108"/>
    </row>
    <row r="752" spans="2:10" ht="13.5" thickBot="1" x14ac:dyDescent="0.25">
      <c r="G752" s="100"/>
      <c r="H752" s="109" t="s">
        <v>360</v>
      </c>
      <c r="I752" s="110">
        <v>1003.4974338071414</v>
      </c>
    </row>
    <row r="753" spans="7:21" ht="13.5" thickBot="1" x14ac:dyDescent="0.25">
      <c r="I753" s="108"/>
    </row>
    <row r="754" spans="7:21" ht="13.5" thickBot="1" x14ac:dyDescent="0.25">
      <c r="H754" s="109" t="s">
        <v>361</v>
      </c>
      <c r="I754" s="110">
        <f>+I750+I752</f>
        <v>1032.6119190081704</v>
      </c>
    </row>
    <row r="756" spans="7:21" ht="15.75" thickBot="1" x14ac:dyDescent="0.3">
      <c r="K756" s="158" t="s">
        <v>526</v>
      </c>
      <c r="L756"/>
      <c r="M756"/>
      <c r="N756"/>
      <c r="O756"/>
      <c r="P756"/>
      <c r="Q756"/>
      <c r="R756"/>
      <c r="S756"/>
      <c r="T756"/>
      <c r="U756"/>
    </row>
    <row r="757" spans="7:21" x14ac:dyDescent="0.2">
      <c r="I757" s="245">
        <f>+I750/I752</f>
        <v>2.9013014104652259E-2</v>
      </c>
      <c r="K757" s="153">
        <v>2026</v>
      </c>
      <c r="L757" s="153">
        <f>+K757+1</f>
        <v>2027</v>
      </c>
      <c r="M757" s="153">
        <f t="shared" ref="M757:U757" si="92">+L757+1</f>
        <v>2028</v>
      </c>
      <c r="N757" s="153">
        <f t="shared" si="92"/>
        <v>2029</v>
      </c>
      <c r="O757" s="153">
        <f t="shared" si="92"/>
        <v>2030</v>
      </c>
      <c r="P757" s="153">
        <f t="shared" si="92"/>
        <v>2031</v>
      </c>
      <c r="Q757" s="153">
        <f t="shared" si="92"/>
        <v>2032</v>
      </c>
      <c r="R757" s="153">
        <f t="shared" si="92"/>
        <v>2033</v>
      </c>
      <c r="S757" s="153">
        <f t="shared" si="92"/>
        <v>2034</v>
      </c>
      <c r="T757" s="153">
        <f t="shared" si="92"/>
        <v>2035</v>
      </c>
      <c r="U757" s="153">
        <f t="shared" si="92"/>
        <v>2036</v>
      </c>
    </row>
    <row r="758" spans="7:21" ht="13.5" thickBot="1" x14ac:dyDescent="0.25">
      <c r="K758" s="154">
        <v>1</v>
      </c>
      <c r="L758" s="154">
        <v>2</v>
      </c>
      <c r="M758" s="154">
        <v>3</v>
      </c>
      <c r="N758" s="154">
        <v>4</v>
      </c>
      <c r="O758" s="154">
        <v>5</v>
      </c>
      <c r="P758" s="154">
        <v>6</v>
      </c>
      <c r="Q758" s="154">
        <v>7</v>
      </c>
      <c r="R758" s="154">
        <v>8</v>
      </c>
      <c r="S758" s="154">
        <v>9</v>
      </c>
      <c r="T758" s="154">
        <v>10</v>
      </c>
      <c r="U758" s="154">
        <v>11</v>
      </c>
    </row>
    <row r="759" spans="7:21" ht="15.75" thickBot="1" x14ac:dyDescent="0.25">
      <c r="K759" s="985">
        <f>+$I$750*INDICES!$W$21/INDICES!$M$21*(1+PARÁMETROS!$C$9)^K758</f>
        <v>52.967791299752825</v>
      </c>
      <c r="L759" s="985">
        <f>+$I$750*INDICES!$W$21/INDICES!$M$21*(1+PARÁMETROS!$C$9)^L758</f>
        <v>54.853225383368041</v>
      </c>
      <c r="M759" s="985">
        <f>+$I$750*INDICES!$W$21/INDICES!$M$21*(1+PARÁMETROS!$C$9)^M758</f>
        <v>56.805773114662848</v>
      </c>
      <c r="N759" s="985">
        <f>+$I$750*INDICES!$W$21/INDICES!$M$21*(1+PARÁMETROS!$C$9)^N758</f>
        <v>58.827823461644151</v>
      </c>
      <c r="O759" s="985">
        <f>+$I$750*INDICES!$W$21/INDICES!$M$21*(1+PARÁMETROS!$C$9)^O758</f>
        <v>60.921850429689549</v>
      </c>
      <c r="P759" s="985">
        <f>+$I$750*INDICES!$W$21/INDICES!$M$21*(1+PARÁMETROS!$C$9)^P758</f>
        <v>63.090416088525707</v>
      </c>
      <c r="Q759" s="985">
        <f>+$I$750*INDICES!$W$21/INDICES!$M$21*(1+PARÁMETROS!$C$9)^Q758</f>
        <v>65.336173706954611</v>
      </c>
      <c r="R759" s="985">
        <f>+$I$750*INDICES!$W$21/INDICES!$M$21*(1+PARÁMETROS!$C$9)^R758</f>
        <v>67.661870999163042</v>
      </c>
      <c r="S759" s="985">
        <f>+$I$750*INDICES!$W$21/INDICES!$M$21*(1+PARÁMETROS!$C$9)^S758</f>
        <v>70.070353486587308</v>
      </c>
      <c r="T759" s="985">
        <f>+$I$750*INDICES!$W$21/INDICES!$M$21*(1+PARÁMETROS!$C$9)^T758</f>
        <v>72.564567979446366</v>
      </c>
      <c r="U759" s="985">
        <f>+$I$750*INDICES!$W$21/INDICES!$M$21*(1+PARÁMETROS!$C$9)^U758</f>
        <v>75.147566182203207</v>
      </c>
    </row>
    <row r="760" spans="7:21" x14ac:dyDescent="0.2">
      <c r="L760" s="245">
        <f>+L759/K759</f>
        <v>1.0355958599999999</v>
      </c>
      <c r="M760" s="245">
        <f t="shared" ref="M760:U760" si="93">+M759/L759</f>
        <v>1.0355958599999999</v>
      </c>
      <c r="N760" s="245">
        <f t="shared" si="93"/>
        <v>1.0355958599999999</v>
      </c>
      <c r="O760" s="245">
        <f t="shared" si="93"/>
        <v>1.0355958599999999</v>
      </c>
      <c r="P760" s="245">
        <f t="shared" si="93"/>
        <v>1.0355958599999999</v>
      </c>
      <c r="Q760" s="245">
        <f t="shared" si="93"/>
        <v>1.0355958599999999</v>
      </c>
      <c r="R760" s="245">
        <f t="shared" si="93"/>
        <v>1.0355958599999999</v>
      </c>
      <c r="S760" s="245">
        <f t="shared" si="93"/>
        <v>1.0355958599999999</v>
      </c>
      <c r="T760" s="245">
        <f t="shared" si="93"/>
        <v>1.0355958599999997</v>
      </c>
      <c r="U760" s="245">
        <f t="shared" si="93"/>
        <v>1.0355958599999997</v>
      </c>
    </row>
    <row r="762" spans="7:21" ht="15" x14ac:dyDescent="0.25">
      <c r="G762" s="86" t="s">
        <v>1196</v>
      </c>
      <c r="H762" s="115">
        <f>SUM(Q133:Q252)</f>
        <v>17532606168.018688</v>
      </c>
      <c r="L762" s="158"/>
    </row>
    <row r="763" spans="7:21" x14ac:dyDescent="0.2">
      <c r="G763" s="86" t="s">
        <v>1197</v>
      </c>
      <c r="H763" s="115">
        <f>+H762*INDICES!$X$15/INDICES!$M$21*(1+PARÁMETROS!$C$9)*(1+PARÁMETROS!$C$10)^K758</f>
        <v>34268103870.919067</v>
      </c>
    </row>
  </sheetData>
  <mergeCells count="16">
    <mergeCell ref="A695:A705"/>
    <mergeCell ref="A706:A716"/>
    <mergeCell ref="J629:J639"/>
    <mergeCell ref="J640:J650"/>
    <mergeCell ref="J651:J661"/>
    <mergeCell ref="J662:J672"/>
    <mergeCell ref="J673:J683"/>
    <mergeCell ref="J684:J694"/>
    <mergeCell ref="J695:J705"/>
    <mergeCell ref="J706:J716"/>
    <mergeCell ref="A629:A639"/>
    <mergeCell ref="A640:A650"/>
    <mergeCell ref="A651:A661"/>
    <mergeCell ref="A662:A672"/>
    <mergeCell ref="A673:A683"/>
    <mergeCell ref="A684:A694"/>
  </mergeCells>
  <conditionalFormatting sqref="J629:J716">
    <cfRule type="cellIs" dxfId="458" priority="1" operator="equal">
      <formula>"SI"</formula>
    </cfRule>
  </conditionalFormatting>
  <pageMargins left="0.7" right="0.7" top="0.75" bottom="0.75" header="0.3" footer="0.3"/>
  <pageSetup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9">
    <tabColor theme="7"/>
  </sheetPr>
  <dimension ref="B2:Y295"/>
  <sheetViews>
    <sheetView showGridLines="0" topLeftCell="B1" zoomScale="85" zoomScaleNormal="85" workbookViewId="0">
      <selection activeCell="D4" sqref="D4"/>
    </sheetView>
  </sheetViews>
  <sheetFormatPr baseColWidth="10" defaultColWidth="11" defaultRowHeight="15" x14ac:dyDescent="0.25"/>
  <cols>
    <col min="1" max="1" width="2.125" style="338" customWidth="1"/>
    <col min="2" max="2" width="84.125" style="338" customWidth="1"/>
    <col min="3" max="3" width="18.625" style="734" customWidth="1"/>
    <col min="4" max="4" width="15.25" style="338" customWidth="1"/>
    <col min="5" max="5" width="16.75" style="338" customWidth="1"/>
    <col min="6" max="9" width="13.875" style="338" customWidth="1"/>
    <col min="10" max="11" width="15.5" style="338" customWidth="1"/>
    <col min="12" max="15" width="13.875" style="338" customWidth="1"/>
    <col min="16" max="16" width="15.5" style="338" customWidth="1"/>
    <col min="17" max="17" width="12.5" style="338" bestFit="1" customWidth="1"/>
    <col min="18" max="16384" width="11" style="338"/>
  </cols>
  <sheetData>
    <row r="2" spans="2:16" ht="18" x14ac:dyDescent="0.25">
      <c r="B2" s="301" t="s">
        <v>555</v>
      </c>
      <c r="C2" s="301" t="s">
        <v>556</v>
      </c>
      <c r="D2" s="750" t="s">
        <v>557</v>
      </c>
      <c r="E2" s="750" t="s">
        <v>558</v>
      </c>
      <c r="F2" s="750" t="s">
        <v>559</v>
      </c>
      <c r="G2" s="750" t="s">
        <v>560</v>
      </c>
      <c r="H2" s="750" t="s">
        <v>561</v>
      </c>
      <c r="I2" s="750" t="s">
        <v>562</v>
      </c>
      <c r="J2" s="750" t="s">
        <v>563</v>
      </c>
      <c r="K2" s="750" t="s">
        <v>564</v>
      </c>
      <c r="L2" s="750" t="s">
        <v>565</v>
      </c>
      <c r="M2" s="750" t="s">
        <v>1029</v>
      </c>
      <c r="N2" s="750" t="s">
        <v>1030</v>
      </c>
      <c r="O2" s="750" t="s">
        <v>1031</v>
      </c>
      <c r="P2" s="750" t="s">
        <v>1032</v>
      </c>
    </row>
    <row r="3" spans="2:16" ht="18" x14ac:dyDescent="0.25">
      <c r="B3" s="750" t="s">
        <v>870</v>
      </c>
      <c r="C3" s="734" t="s">
        <v>566</v>
      </c>
      <c r="D3" s="265">
        <f>+'EV PROG TÉCNICOS'!I$6</f>
        <v>73231212</v>
      </c>
      <c r="E3" s="265">
        <f>+'EV PROG TÉCNICOS'!J$6</f>
        <v>74430655.752000004</v>
      </c>
      <c r="F3" s="265">
        <f>+'EV PROG TÉCNICOS'!K$6</f>
        <v>76697929</v>
      </c>
      <c r="G3" s="265">
        <f>+'EV PROG TÉCNICOS'!L$6</f>
        <v>79443376.444158807</v>
      </c>
      <c r="H3" s="265">
        <f>+'EV PROG TÉCNICOS'!M$6</f>
        <v>81346804.018574134</v>
      </c>
      <c r="I3" s="265">
        <f>+'EV PROG TÉCNICOS'!N$6</f>
        <v>83117762.153032988</v>
      </c>
      <c r="J3" s="265">
        <f>+'EV PROG TÉCNICOS'!O$6</f>
        <v>84376813.900286376</v>
      </c>
      <c r="K3" s="265">
        <f>+'EV PROG TÉCNICOS'!P$6</f>
        <v>85817253.249695092</v>
      </c>
      <c r="L3" s="265">
        <f>+'EV PROG TÉCNICOS'!Q$6</f>
        <v>87087721.932827741</v>
      </c>
      <c r="M3" s="265">
        <f>+'EV PROG TÉCNICOS'!R$6</f>
        <v>87996585.401466116</v>
      </c>
      <c r="N3" s="265">
        <f>+'EV PROG TÉCNICOS'!S$6</f>
        <v>89565016.865754709</v>
      </c>
      <c r="O3" s="265">
        <f>+'EV PROG TÉCNICOS'!T$6</f>
        <v>91133448.330042839</v>
      </c>
      <c r="P3" s="265">
        <f>+'EV PROG TÉCNICOS'!U$6</f>
        <v>92701879.794331446</v>
      </c>
    </row>
    <row r="4" spans="2:16" ht="18" x14ac:dyDescent="0.25">
      <c r="B4" s="750" t="s">
        <v>871</v>
      </c>
      <c r="C4" s="734" t="s">
        <v>566</v>
      </c>
      <c r="D4" s="265">
        <f>'EV PROG CCIALES'!H$112</f>
        <v>55779290</v>
      </c>
      <c r="E4" s="265">
        <f>'EV PROG CCIALES'!I$112</f>
        <v>56646487</v>
      </c>
      <c r="F4" s="265">
        <f>'EV PROG CCIALES'!J$112</f>
        <v>57114170</v>
      </c>
      <c r="G4" s="265">
        <f>'EV PROG CCIALES'!K$112</f>
        <v>57381362.231400006</v>
      </c>
      <c r="H4" s="265">
        <f>'EV PROG CCIALES'!L$112</f>
        <v>59731641</v>
      </c>
      <c r="I4" s="265">
        <f>'EV PROG CCIALES'!M$112</f>
        <v>60100673</v>
      </c>
      <c r="J4" s="265">
        <f>'EV PROG CCIALES'!N$112</f>
        <v>60553470</v>
      </c>
      <c r="K4" s="265">
        <f>'EV PROG CCIALES'!O$112</f>
        <v>61116311</v>
      </c>
      <c r="L4" s="265">
        <f>'EV PROG CCIALES'!P$112</f>
        <v>61473228.050212145</v>
      </c>
      <c r="M4" s="265">
        <f>'EV PROG CCIALES'!Q$112</f>
        <v>62103401.234457493</v>
      </c>
      <c r="N4" s="265">
        <f>'EV PROG CCIALES'!R$112</f>
        <v>62733574.418702841</v>
      </c>
      <c r="O4" s="265">
        <f>'EV PROG CCIALES'!S$112</f>
        <v>63363747.602948427</v>
      </c>
      <c r="P4" s="265">
        <f>'EV PROG CCIALES'!T$112</f>
        <v>63993920.787194014</v>
      </c>
    </row>
    <row r="5" spans="2:16" ht="18" x14ac:dyDescent="0.25">
      <c r="B5" s="750" t="s">
        <v>102</v>
      </c>
      <c r="C5" s="734" t="s">
        <v>566</v>
      </c>
      <c r="D5" s="265">
        <f>'EV PROG CCIALES'!H23</f>
        <v>318442</v>
      </c>
      <c r="E5" s="265">
        <f>'EV PROG CCIALES'!I23</f>
        <v>325502</v>
      </c>
      <c r="F5" s="265">
        <f>'EV PROG CCIALES'!J23</f>
        <v>333412</v>
      </c>
      <c r="G5" s="265">
        <f>'EV PROG CCIALES'!K23</f>
        <v>341939.19999999995</v>
      </c>
      <c r="H5" s="265">
        <f>'EV PROG CCIALES'!L23</f>
        <v>349461</v>
      </c>
      <c r="I5" s="265">
        <f>'EV PROG CCIALES'!M23</f>
        <v>356972</v>
      </c>
      <c r="J5" s="265">
        <f>'EV PROG CCIALES'!N23</f>
        <v>364648</v>
      </c>
      <c r="K5" s="265">
        <f>'EV PROG CCIALES'!O23</f>
        <v>372488</v>
      </c>
      <c r="L5" s="265">
        <f>'EV PROG CCIALES'!P23</f>
        <v>380496.56146201264</v>
      </c>
      <c r="M5" s="265">
        <f>'EV PROG CCIALES'!Q23</f>
        <v>388677.30848890479</v>
      </c>
      <c r="N5" s="265">
        <f>'EV PROG CCIALES'!R23</f>
        <v>397033.94310243073</v>
      </c>
      <c r="O5" s="265">
        <f>'EV PROG CCIALES'!S23</f>
        <v>405570.24691850279</v>
      </c>
      <c r="P5" s="265">
        <f>'EV PROG CCIALES'!T23</f>
        <v>414290.08285848069</v>
      </c>
    </row>
    <row r="6" spans="2:16" ht="18" x14ac:dyDescent="0.25">
      <c r="B6" s="750" t="s">
        <v>567</v>
      </c>
      <c r="C6" s="734" t="s">
        <v>566</v>
      </c>
      <c r="D6" s="265">
        <f>+'EV PROG TÉCNICOS'!I35</f>
        <v>0</v>
      </c>
      <c r="E6" s="265">
        <f>+'EV PROG TÉCNICOS'!J35</f>
        <v>0</v>
      </c>
      <c r="F6" s="265">
        <f>+'EV PROG TÉCNICOS'!K35</f>
        <v>0</v>
      </c>
      <c r="G6" s="265">
        <f>+'EV PROG TÉCNICOS'!L35</f>
        <v>0</v>
      </c>
      <c r="H6" s="265">
        <f>+'EV PROG TÉCNICOS'!M35</f>
        <v>0</v>
      </c>
      <c r="I6" s="265">
        <f>+'EV PROG TÉCNICOS'!N35</f>
        <v>0</v>
      </c>
      <c r="J6" s="265">
        <f>+'EV PROG TÉCNICOS'!O35</f>
        <v>0</v>
      </c>
      <c r="K6" s="265">
        <f>+'EV PROG TÉCNICOS'!P35</f>
        <v>0</v>
      </c>
      <c r="L6" s="265">
        <f>+'EV PROG TÉCNICOS'!Q35</f>
        <v>0</v>
      </c>
      <c r="M6" s="265">
        <f>+'EV PROG TÉCNICOS'!R35</f>
        <v>0</v>
      </c>
      <c r="N6" s="265">
        <f>+'EV PROG TÉCNICOS'!S35</f>
        <v>0</v>
      </c>
      <c r="O6" s="265">
        <f>+'EV PROG TÉCNICOS'!T35</f>
        <v>0</v>
      </c>
      <c r="P6" s="265">
        <f>+'EV PROG TÉCNICOS'!U35</f>
        <v>0</v>
      </c>
    </row>
    <row r="7" spans="2:16" ht="18" x14ac:dyDescent="0.25">
      <c r="B7" s="750" t="s">
        <v>568</v>
      </c>
      <c r="C7" s="734" t="s">
        <v>566</v>
      </c>
      <c r="D7" s="264">
        <v>0</v>
      </c>
      <c r="E7" s="264">
        <v>0</v>
      </c>
      <c r="F7" s="264">
        <v>0</v>
      </c>
      <c r="G7" s="264">
        <v>0</v>
      </c>
      <c r="H7" s="264">
        <v>0</v>
      </c>
      <c r="I7" s="264">
        <v>0</v>
      </c>
      <c r="J7" s="264">
        <v>0</v>
      </c>
      <c r="K7" s="264">
        <v>0</v>
      </c>
      <c r="L7" s="264">
        <v>0</v>
      </c>
      <c r="M7" s="264">
        <v>0</v>
      </c>
      <c r="N7" s="264">
        <v>0</v>
      </c>
      <c r="O7" s="264">
        <v>0</v>
      </c>
      <c r="P7" s="264">
        <v>0</v>
      </c>
    </row>
    <row r="8" spans="2:16" ht="18" x14ac:dyDescent="0.25">
      <c r="B8" s="750" t="s">
        <v>569</v>
      </c>
      <c r="C8" s="734" t="s">
        <v>566</v>
      </c>
      <c r="D8" s="265">
        <f t="shared" ref="D8:P8" si="0">+D3-D6</f>
        <v>73231212</v>
      </c>
      <c r="E8" s="265">
        <f t="shared" si="0"/>
        <v>74430655.752000004</v>
      </c>
      <c r="F8" s="265">
        <f>+F3-F6</f>
        <v>76697929</v>
      </c>
      <c r="G8" s="265">
        <f t="shared" si="0"/>
        <v>79443376.444158807</v>
      </c>
      <c r="H8" s="265">
        <f t="shared" si="0"/>
        <v>81346804.018574134</v>
      </c>
      <c r="I8" s="265">
        <f t="shared" si="0"/>
        <v>83117762.153032988</v>
      </c>
      <c r="J8" s="265">
        <f t="shared" si="0"/>
        <v>84376813.900286376</v>
      </c>
      <c r="K8" s="265">
        <f t="shared" si="0"/>
        <v>85817253.249695092</v>
      </c>
      <c r="L8" s="265">
        <f t="shared" si="0"/>
        <v>87087721.932827741</v>
      </c>
      <c r="M8" s="265">
        <f t="shared" si="0"/>
        <v>87996585.401466116</v>
      </c>
      <c r="N8" s="265">
        <f t="shared" si="0"/>
        <v>89565016.865754709</v>
      </c>
      <c r="O8" s="265">
        <f t="shared" si="0"/>
        <v>91133448.330042839</v>
      </c>
      <c r="P8" s="265">
        <f t="shared" si="0"/>
        <v>92701879.794331446</v>
      </c>
    </row>
    <row r="9" spans="2:16" ht="18" x14ac:dyDescent="0.25">
      <c r="B9" s="750" t="s">
        <v>570</v>
      </c>
      <c r="C9" s="734" t="s">
        <v>566</v>
      </c>
      <c r="D9" s="265">
        <f>+D4+D7</f>
        <v>55779290</v>
      </c>
      <c r="E9" s="265">
        <f t="shared" ref="E9:P9" si="1">+E4+E7</f>
        <v>56646487</v>
      </c>
      <c r="F9" s="265">
        <f t="shared" si="1"/>
        <v>57114170</v>
      </c>
      <c r="G9" s="265">
        <f t="shared" si="1"/>
        <v>57381362.231400006</v>
      </c>
      <c r="H9" s="265">
        <f t="shared" si="1"/>
        <v>59731641</v>
      </c>
      <c r="I9" s="265">
        <f t="shared" si="1"/>
        <v>60100673</v>
      </c>
      <c r="J9" s="265">
        <f t="shared" si="1"/>
        <v>60553470</v>
      </c>
      <c r="K9" s="265">
        <f t="shared" si="1"/>
        <v>61116311</v>
      </c>
      <c r="L9" s="265">
        <f t="shared" si="1"/>
        <v>61473228.050212145</v>
      </c>
      <c r="M9" s="265">
        <f t="shared" si="1"/>
        <v>62103401.234457493</v>
      </c>
      <c r="N9" s="265">
        <f t="shared" si="1"/>
        <v>62733574.418702841</v>
      </c>
      <c r="O9" s="265">
        <f t="shared" si="1"/>
        <v>63363747.602948427</v>
      </c>
      <c r="P9" s="265">
        <f t="shared" si="1"/>
        <v>63993920.787194014</v>
      </c>
    </row>
    <row r="10" spans="2:16" ht="18" x14ac:dyDescent="0.25">
      <c r="B10" s="750" t="s">
        <v>571</v>
      </c>
      <c r="C10" s="734" t="s">
        <v>105</v>
      </c>
      <c r="D10" s="263">
        <f>IFERROR((D8-D9)/D8*100,0)</f>
        <v>23.831262003420072</v>
      </c>
      <c r="E10" s="263">
        <f t="shared" ref="E10:P10" si="2">IFERROR((E8-E9)/E8*100,0)</f>
        <v>23.893607509325392</v>
      </c>
      <c r="F10" s="263">
        <f t="shared" si="2"/>
        <v>25.533621644464482</v>
      </c>
      <c r="G10" s="263">
        <f t="shared" si="2"/>
        <v>27.770740872609203</v>
      </c>
      <c r="H10" s="263">
        <f t="shared" si="2"/>
        <v>26.571619228751363</v>
      </c>
      <c r="I10" s="263">
        <f t="shared" si="2"/>
        <v>27.692142517810904</v>
      </c>
      <c r="J10" s="263">
        <f t="shared" si="2"/>
        <v>28.234467265426716</v>
      </c>
      <c r="K10" s="263">
        <f t="shared" si="2"/>
        <v>28.783189060858057</v>
      </c>
      <c r="L10" s="263">
        <f t="shared" si="2"/>
        <v>29.412290635380835</v>
      </c>
      <c r="M10" s="263">
        <f t="shared" si="2"/>
        <v>29.425214681770157</v>
      </c>
      <c r="N10" s="263">
        <f t="shared" si="2"/>
        <v>29.95750281303291</v>
      </c>
      <c r="O10" s="263">
        <f t="shared" si="2"/>
        <v>30.471469296899102</v>
      </c>
      <c r="P10" s="263">
        <f t="shared" si="2"/>
        <v>30.968044090183461</v>
      </c>
    </row>
    <row r="11" spans="2:16" ht="18" x14ac:dyDescent="0.25">
      <c r="B11" s="750" t="s">
        <v>572</v>
      </c>
      <c r="C11" s="734" t="s">
        <v>573</v>
      </c>
      <c r="D11" s="266">
        <f>IFERROR(D8/(D5*12),0)</f>
        <v>19.163932521463877</v>
      </c>
      <c r="E11" s="266">
        <f t="shared" ref="E11:P11" si="3">IFERROR(E8/(E5*12),0)</f>
        <v>19.055350338861206</v>
      </c>
      <c r="F11" s="266">
        <f t="shared" si="3"/>
        <v>19.16995813987899</v>
      </c>
      <c r="G11" s="266">
        <f t="shared" si="3"/>
        <v>19.360989820256258</v>
      </c>
      <c r="H11" s="266">
        <f t="shared" si="3"/>
        <v>19.398159837238428</v>
      </c>
      <c r="I11" s="266">
        <f t="shared" si="3"/>
        <v>19.403427101899911</v>
      </c>
      <c r="J11" s="266">
        <f t="shared" si="3"/>
        <v>19.282708689906972</v>
      </c>
      <c r="K11" s="266">
        <f t="shared" si="3"/>
        <v>19.199109154678606</v>
      </c>
      <c r="L11" s="266">
        <f t="shared" si="3"/>
        <v>19.073260828386015</v>
      </c>
      <c r="M11" s="266">
        <f t="shared" si="3"/>
        <v>18.86667583442124</v>
      </c>
      <c r="N11" s="266">
        <f t="shared" si="3"/>
        <v>18.798774097644309</v>
      </c>
      <c r="O11" s="266">
        <f t="shared" si="3"/>
        <v>18.725372694880242</v>
      </c>
      <c r="P11" s="266">
        <f t="shared" si="3"/>
        <v>18.646733217040325</v>
      </c>
    </row>
    <row r="12" spans="2:16" ht="18" x14ac:dyDescent="0.25">
      <c r="B12" s="750" t="s">
        <v>574</v>
      </c>
      <c r="C12" s="734" t="s">
        <v>573</v>
      </c>
      <c r="D12" s="266">
        <f>IFERROR(D9/(D5*12),0)</f>
        <v>14.596925552115195</v>
      </c>
      <c r="E12" s="266">
        <f t="shared" ref="E12:P12" si="4">IFERROR(E9/(E5*12),0)</f>
        <v>14.502339719366804</v>
      </c>
      <c r="F12" s="266">
        <f t="shared" si="4"/>
        <v>14.275173559040066</v>
      </c>
      <c r="G12" s="266">
        <f t="shared" si="4"/>
        <v>13.984299506900646</v>
      </c>
      <c r="H12" s="266">
        <f t="shared" si="4"/>
        <v>14.243754667902856</v>
      </c>
      <c r="I12" s="266">
        <f t="shared" si="4"/>
        <v>14.030202415502243</v>
      </c>
      <c r="J12" s="266">
        <f t="shared" si="4"/>
        <v>13.838338616967595</v>
      </c>
      <c r="K12" s="266">
        <f t="shared" si="4"/>
        <v>13.672993268686955</v>
      </c>
      <c r="L12" s="266">
        <f t="shared" si="4"/>
        <v>13.463377919896875</v>
      </c>
      <c r="M12" s="266">
        <f t="shared" si="4"/>
        <v>13.315115966829138</v>
      </c>
      <c r="N12" s="266">
        <f t="shared" si="4"/>
        <v>13.167130818526813</v>
      </c>
      <c r="O12" s="266">
        <f t="shared" si="4"/>
        <v>13.01947650342988</v>
      </c>
      <c r="P12" s="266">
        <f t="shared" si="4"/>
        <v>12.872204653008394</v>
      </c>
    </row>
    <row r="13" spans="2:16" ht="18" x14ac:dyDescent="0.25">
      <c r="B13" s="750" t="s">
        <v>575</v>
      </c>
      <c r="C13" s="734" t="s">
        <v>573</v>
      </c>
      <c r="D13" s="266">
        <f>IFERROR(D11-D12,0)</f>
        <v>4.5670069693486823</v>
      </c>
      <c r="E13" s="266">
        <f t="shared" ref="E13:P13" si="5">IFERROR(E11-E12,0)</f>
        <v>4.5530106194944029</v>
      </c>
      <c r="F13" s="266">
        <f t="shared" si="5"/>
        <v>4.8947845808389232</v>
      </c>
      <c r="G13" s="266">
        <f t="shared" si="5"/>
        <v>5.3766903133556117</v>
      </c>
      <c r="H13" s="266">
        <f t="shared" si="5"/>
        <v>5.1544051693355719</v>
      </c>
      <c r="I13" s="266">
        <f t="shared" si="5"/>
        <v>5.373224686397668</v>
      </c>
      <c r="J13" s="266">
        <f t="shared" si="5"/>
        <v>5.4443700729393765</v>
      </c>
      <c r="K13" s="266">
        <f t="shared" si="5"/>
        <v>5.5261158859916506</v>
      </c>
      <c r="L13" s="266">
        <f t="shared" si="5"/>
        <v>5.6098829084891406</v>
      </c>
      <c r="M13" s="266">
        <f t="shared" si="5"/>
        <v>5.5515598675921023</v>
      </c>
      <c r="N13" s="266">
        <f t="shared" si="5"/>
        <v>5.6316432791174957</v>
      </c>
      <c r="O13" s="266">
        <f t="shared" si="5"/>
        <v>5.7058961914503623</v>
      </c>
      <c r="P13" s="266">
        <f t="shared" si="5"/>
        <v>5.7745285640319306</v>
      </c>
    </row>
    <row r="14" spans="2:16" ht="18" x14ac:dyDescent="0.25">
      <c r="B14" s="750"/>
      <c r="D14" s="264"/>
      <c r="E14" s="751"/>
      <c r="F14" s="264"/>
      <c r="G14" s="264"/>
      <c r="H14" s="264"/>
      <c r="I14" s="264"/>
      <c r="J14" s="264"/>
      <c r="K14" s="264"/>
      <c r="L14" s="264"/>
      <c r="M14" s="264"/>
      <c r="N14" s="264"/>
      <c r="O14" s="264"/>
      <c r="P14" s="264"/>
    </row>
    <row r="16" spans="2:16" ht="18" x14ac:dyDescent="0.25">
      <c r="B16" s="301" t="s">
        <v>576</v>
      </c>
      <c r="C16" s="301" t="s">
        <v>556</v>
      </c>
      <c r="D16" s="750" t="s">
        <v>557</v>
      </c>
      <c r="E16" s="750" t="s">
        <v>558</v>
      </c>
      <c r="F16" s="750" t="s">
        <v>559</v>
      </c>
      <c r="G16" s="750" t="s">
        <v>560</v>
      </c>
      <c r="H16" s="750" t="s">
        <v>561</v>
      </c>
      <c r="I16" s="750" t="s">
        <v>562</v>
      </c>
      <c r="J16" s="750" t="s">
        <v>563</v>
      </c>
      <c r="K16" s="750" t="s">
        <v>564</v>
      </c>
      <c r="L16" s="750" t="s">
        <v>565</v>
      </c>
      <c r="M16" s="750" t="s">
        <v>1029</v>
      </c>
      <c r="N16" s="750" t="s">
        <v>1030</v>
      </c>
      <c r="O16" s="750" t="s">
        <v>1031</v>
      </c>
      <c r="P16" s="750" t="s">
        <v>1032</v>
      </c>
    </row>
    <row r="17" spans="2:16" ht="18" x14ac:dyDescent="0.25">
      <c r="B17" s="750" t="s">
        <v>870</v>
      </c>
      <c r="C17" s="734" t="s">
        <v>566</v>
      </c>
      <c r="D17" s="265">
        <f>+$D$3</f>
        <v>73231212</v>
      </c>
      <c r="E17" s="265">
        <f>+$E$3</f>
        <v>74430655.752000004</v>
      </c>
      <c r="F17" s="265">
        <f>+$F$3</f>
        <v>76697929</v>
      </c>
      <c r="G17" s="265">
        <f>+$G$3</f>
        <v>79443376.444158807</v>
      </c>
      <c r="H17" s="265">
        <f>+$H$3</f>
        <v>81346804.018574134</v>
      </c>
      <c r="I17" s="265">
        <f>+$I$3</f>
        <v>83117762.153032988</v>
      </c>
      <c r="J17" s="265">
        <f>+$J$3</f>
        <v>84376813.900286376</v>
      </c>
      <c r="K17" s="265">
        <f>+$K$3</f>
        <v>85817253.249695092</v>
      </c>
      <c r="L17" s="265">
        <f>+$L$3</f>
        <v>87087721.932827741</v>
      </c>
      <c r="M17" s="265">
        <f>+$M$3</f>
        <v>87996585.401466116</v>
      </c>
      <c r="N17" s="265">
        <f>+$N$3</f>
        <v>89565016.865754709</v>
      </c>
      <c r="O17" s="265">
        <f>+$O$3</f>
        <v>91133448.330042839</v>
      </c>
      <c r="P17" s="265">
        <f>+$P$3</f>
        <v>92701879.794331446</v>
      </c>
    </row>
    <row r="18" spans="2:16" ht="18" x14ac:dyDescent="0.25">
      <c r="B18" s="750" t="s">
        <v>871</v>
      </c>
      <c r="C18" s="734" t="s">
        <v>566</v>
      </c>
      <c r="D18" s="265">
        <f>+$D$4</f>
        <v>55779290</v>
      </c>
      <c r="E18" s="265">
        <f>+$E$4</f>
        <v>56646487</v>
      </c>
      <c r="F18" s="265">
        <f>+$F$4</f>
        <v>57114170</v>
      </c>
      <c r="G18" s="265">
        <f>+$G$4</f>
        <v>57381362.231400006</v>
      </c>
      <c r="H18" s="265">
        <f>+$H$4</f>
        <v>59731641</v>
      </c>
      <c r="I18" s="265">
        <f>+$I$4</f>
        <v>60100673</v>
      </c>
      <c r="J18" s="265">
        <f>+$J$4</f>
        <v>60553470</v>
      </c>
      <c r="K18" s="265">
        <f>+$K$4</f>
        <v>61116311</v>
      </c>
      <c r="L18" s="265">
        <f>+$L$4</f>
        <v>61473228.050212145</v>
      </c>
      <c r="M18" s="265">
        <f>+$M$4</f>
        <v>62103401.234457493</v>
      </c>
      <c r="N18" s="265">
        <f>+$N$4</f>
        <v>62733574.418702841</v>
      </c>
      <c r="O18" s="265">
        <f>+$O$4</f>
        <v>63363747.602948427</v>
      </c>
      <c r="P18" s="265">
        <f>+$P$4</f>
        <v>63993920.787194014</v>
      </c>
    </row>
    <row r="19" spans="2:16" ht="18" x14ac:dyDescent="0.25">
      <c r="B19" s="750" t="s">
        <v>102</v>
      </c>
      <c r="C19" s="734" t="s">
        <v>566</v>
      </c>
      <c r="D19" s="265">
        <f>+$D$5</f>
        <v>318442</v>
      </c>
      <c r="E19" s="265">
        <f>+$E$5</f>
        <v>325502</v>
      </c>
      <c r="F19" s="265">
        <f>+$F$5</f>
        <v>333412</v>
      </c>
      <c r="G19" s="265">
        <f>+$G$5</f>
        <v>341939.19999999995</v>
      </c>
      <c r="H19" s="265">
        <f>+$H$5</f>
        <v>349461</v>
      </c>
      <c r="I19" s="265">
        <f>+$I$5</f>
        <v>356972</v>
      </c>
      <c r="J19" s="265">
        <f>+$J$5</f>
        <v>364648</v>
      </c>
      <c r="K19" s="265">
        <f>+$K$5</f>
        <v>372488</v>
      </c>
      <c r="L19" s="265">
        <f>+$L$5</f>
        <v>380496.56146201264</v>
      </c>
      <c r="M19" s="265">
        <f>+$M$5</f>
        <v>388677.30848890479</v>
      </c>
      <c r="N19" s="265">
        <f>+$N$5</f>
        <v>397033.94310243073</v>
      </c>
      <c r="O19" s="265">
        <f>+$O$5</f>
        <v>405570.24691850279</v>
      </c>
      <c r="P19" s="265">
        <f>+$P$5</f>
        <v>414290.08285848069</v>
      </c>
    </row>
    <row r="20" spans="2:16" ht="18" x14ac:dyDescent="0.25">
      <c r="B20" s="750" t="s">
        <v>567</v>
      </c>
      <c r="C20" s="734" t="s">
        <v>566</v>
      </c>
      <c r="D20" s="265">
        <f>+'EV PROG TÉCNICOS'!I57</f>
        <v>0</v>
      </c>
      <c r="E20" s="265">
        <f>+'EV PROG TÉCNICOS'!J57</f>
        <v>0</v>
      </c>
      <c r="F20" s="265">
        <f>+'EV PROG TÉCNICOS'!K57</f>
        <v>0</v>
      </c>
      <c r="G20" s="265">
        <f>+'EV PROG TÉCNICOS'!L57</f>
        <v>0</v>
      </c>
      <c r="H20" s="265">
        <f>+'EV PROG TÉCNICOS'!M57</f>
        <v>0</v>
      </c>
      <c r="I20" s="265">
        <f>+'EV PROG TÉCNICOS'!N57</f>
        <v>0</v>
      </c>
      <c r="J20" s="265">
        <f>+'EV PROG TÉCNICOS'!O57</f>
        <v>0</v>
      </c>
      <c r="K20" s="265">
        <f>+'EV PROG TÉCNICOS'!P57</f>
        <v>0</v>
      </c>
      <c r="L20" s="265">
        <f>+'EV PROG TÉCNICOS'!Q57</f>
        <v>0</v>
      </c>
      <c r="M20" s="265">
        <f>+'EV PROG TÉCNICOS'!R57</f>
        <v>0</v>
      </c>
      <c r="N20" s="265">
        <f>+'EV PROG TÉCNICOS'!S57</f>
        <v>0</v>
      </c>
      <c r="O20" s="265">
        <f>+'EV PROG TÉCNICOS'!T57</f>
        <v>0</v>
      </c>
      <c r="P20" s="265">
        <f>+'EV PROG TÉCNICOS'!U57</f>
        <v>0</v>
      </c>
    </row>
    <row r="21" spans="2:16" ht="18" x14ac:dyDescent="0.25">
      <c r="B21" s="750" t="s">
        <v>568</v>
      </c>
      <c r="C21" s="734" t="s">
        <v>566</v>
      </c>
      <c r="D21" s="264"/>
      <c r="E21" s="264"/>
      <c r="F21" s="264"/>
      <c r="G21" s="264"/>
      <c r="H21" s="264"/>
      <c r="I21" s="264"/>
      <c r="J21" s="264"/>
      <c r="K21" s="264"/>
      <c r="L21" s="264"/>
      <c r="M21" s="264"/>
      <c r="N21" s="264"/>
      <c r="O21" s="264"/>
      <c r="P21" s="264"/>
    </row>
    <row r="22" spans="2:16" ht="18" x14ac:dyDescent="0.25">
      <c r="B22" s="750" t="s">
        <v>569</v>
      </c>
      <c r="C22" s="734" t="s">
        <v>566</v>
      </c>
      <c r="D22" s="265">
        <f>+D17-D20</f>
        <v>73231212</v>
      </c>
      <c r="E22" s="265">
        <f>+E17-E20</f>
        <v>74430655.752000004</v>
      </c>
      <c r="F22" s="265">
        <f>+F17-F20</f>
        <v>76697929</v>
      </c>
      <c r="G22" s="265">
        <f t="shared" ref="G22:P22" si="6">+G17-G20</f>
        <v>79443376.444158807</v>
      </c>
      <c r="H22" s="265">
        <f t="shared" si="6"/>
        <v>81346804.018574134</v>
      </c>
      <c r="I22" s="265">
        <f t="shared" si="6"/>
        <v>83117762.153032988</v>
      </c>
      <c r="J22" s="265">
        <f t="shared" si="6"/>
        <v>84376813.900286376</v>
      </c>
      <c r="K22" s="265">
        <f t="shared" si="6"/>
        <v>85817253.249695092</v>
      </c>
      <c r="L22" s="265">
        <f t="shared" si="6"/>
        <v>87087721.932827741</v>
      </c>
      <c r="M22" s="265">
        <f t="shared" si="6"/>
        <v>87996585.401466116</v>
      </c>
      <c r="N22" s="265">
        <f t="shared" si="6"/>
        <v>89565016.865754709</v>
      </c>
      <c r="O22" s="265">
        <f t="shared" si="6"/>
        <v>91133448.330042839</v>
      </c>
      <c r="P22" s="265">
        <f t="shared" si="6"/>
        <v>92701879.794331446</v>
      </c>
    </row>
    <row r="23" spans="2:16" ht="18" x14ac:dyDescent="0.25">
      <c r="B23" s="750" t="s">
        <v>570</v>
      </c>
      <c r="C23" s="734" t="s">
        <v>566</v>
      </c>
      <c r="D23" s="265">
        <f>+D18+D21</f>
        <v>55779290</v>
      </c>
      <c r="E23" s="265">
        <f t="shared" ref="E23:P23" si="7">+E18+E21</f>
        <v>56646487</v>
      </c>
      <c r="F23" s="265">
        <f t="shared" si="7"/>
        <v>57114170</v>
      </c>
      <c r="G23" s="265">
        <f t="shared" si="7"/>
        <v>57381362.231400006</v>
      </c>
      <c r="H23" s="265">
        <f t="shared" si="7"/>
        <v>59731641</v>
      </c>
      <c r="I23" s="265">
        <f t="shared" si="7"/>
        <v>60100673</v>
      </c>
      <c r="J23" s="265">
        <f t="shared" si="7"/>
        <v>60553470</v>
      </c>
      <c r="K23" s="265">
        <f t="shared" si="7"/>
        <v>61116311</v>
      </c>
      <c r="L23" s="265">
        <f t="shared" si="7"/>
        <v>61473228.050212145</v>
      </c>
      <c r="M23" s="265">
        <f t="shared" si="7"/>
        <v>62103401.234457493</v>
      </c>
      <c r="N23" s="265">
        <f t="shared" si="7"/>
        <v>62733574.418702841</v>
      </c>
      <c r="O23" s="265">
        <f t="shared" si="7"/>
        <v>63363747.602948427</v>
      </c>
      <c r="P23" s="265">
        <f t="shared" si="7"/>
        <v>63993920.787194014</v>
      </c>
    </row>
    <row r="24" spans="2:16" ht="18" x14ac:dyDescent="0.25">
      <c r="B24" s="750" t="s">
        <v>571</v>
      </c>
      <c r="C24" s="734" t="s">
        <v>105</v>
      </c>
      <c r="D24" s="263">
        <f>IFERROR((D22-D23)/D22*100,0)</f>
        <v>23.831262003420072</v>
      </c>
      <c r="E24" s="263">
        <f t="shared" ref="E24:P24" si="8">IFERROR((E22-E23)/E22*100,0)</f>
        <v>23.893607509325392</v>
      </c>
      <c r="F24" s="263">
        <f t="shared" si="8"/>
        <v>25.533621644464482</v>
      </c>
      <c r="G24" s="263">
        <f t="shared" si="8"/>
        <v>27.770740872609203</v>
      </c>
      <c r="H24" s="263">
        <f t="shared" si="8"/>
        <v>26.571619228751363</v>
      </c>
      <c r="I24" s="263">
        <f t="shared" si="8"/>
        <v>27.692142517810904</v>
      </c>
      <c r="J24" s="263">
        <f t="shared" si="8"/>
        <v>28.234467265426716</v>
      </c>
      <c r="K24" s="263">
        <f t="shared" si="8"/>
        <v>28.783189060858057</v>
      </c>
      <c r="L24" s="263">
        <f t="shared" si="8"/>
        <v>29.412290635380835</v>
      </c>
      <c r="M24" s="263">
        <f t="shared" si="8"/>
        <v>29.425214681770157</v>
      </c>
      <c r="N24" s="263">
        <f t="shared" si="8"/>
        <v>29.95750281303291</v>
      </c>
      <c r="O24" s="263">
        <f t="shared" si="8"/>
        <v>30.471469296899102</v>
      </c>
      <c r="P24" s="263">
        <f t="shared" si="8"/>
        <v>30.968044090183461</v>
      </c>
    </row>
    <row r="25" spans="2:16" ht="18" x14ac:dyDescent="0.25">
      <c r="B25" s="750" t="s">
        <v>572</v>
      </c>
      <c r="C25" s="734" t="s">
        <v>573</v>
      </c>
      <c r="D25" s="266">
        <f>IFERROR(D22/(D19*12),0)</f>
        <v>19.163932521463877</v>
      </c>
      <c r="E25" s="266">
        <f t="shared" ref="E25:P25" si="9">IFERROR(E22/(E19*12),0)</f>
        <v>19.055350338861206</v>
      </c>
      <c r="F25" s="266">
        <f t="shared" si="9"/>
        <v>19.16995813987899</v>
      </c>
      <c r="G25" s="266">
        <f t="shared" si="9"/>
        <v>19.360989820256258</v>
      </c>
      <c r="H25" s="266">
        <f t="shared" si="9"/>
        <v>19.398159837238428</v>
      </c>
      <c r="I25" s="266">
        <f t="shared" si="9"/>
        <v>19.403427101899911</v>
      </c>
      <c r="J25" s="266">
        <f t="shared" si="9"/>
        <v>19.282708689906972</v>
      </c>
      <c r="K25" s="266">
        <f t="shared" si="9"/>
        <v>19.199109154678606</v>
      </c>
      <c r="L25" s="266">
        <f t="shared" si="9"/>
        <v>19.073260828386015</v>
      </c>
      <c r="M25" s="266">
        <f t="shared" si="9"/>
        <v>18.86667583442124</v>
      </c>
      <c r="N25" s="266">
        <f t="shared" si="9"/>
        <v>18.798774097644309</v>
      </c>
      <c r="O25" s="266">
        <f t="shared" si="9"/>
        <v>18.725372694880242</v>
      </c>
      <c r="P25" s="266">
        <f t="shared" si="9"/>
        <v>18.646733217040325</v>
      </c>
    </row>
    <row r="26" spans="2:16" ht="18" x14ac:dyDescent="0.25">
      <c r="B26" s="750" t="s">
        <v>574</v>
      </c>
      <c r="C26" s="734" t="s">
        <v>573</v>
      </c>
      <c r="D26" s="266">
        <f>IFERROR(D23/(D19*12),0)</f>
        <v>14.596925552115195</v>
      </c>
      <c r="E26" s="266">
        <f t="shared" ref="E26:P26" si="10">IFERROR(E23/(E19*12),0)</f>
        <v>14.502339719366804</v>
      </c>
      <c r="F26" s="266">
        <f t="shared" si="10"/>
        <v>14.275173559040066</v>
      </c>
      <c r="G26" s="266">
        <f t="shared" si="10"/>
        <v>13.984299506900646</v>
      </c>
      <c r="H26" s="266">
        <f t="shared" si="10"/>
        <v>14.243754667902856</v>
      </c>
      <c r="I26" s="266">
        <f t="shared" si="10"/>
        <v>14.030202415502243</v>
      </c>
      <c r="J26" s="266">
        <f t="shared" si="10"/>
        <v>13.838338616967595</v>
      </c>
      <c r="K26" s="266">
        <f t="shared" si="10"/>
        <v>13.672993268686955</v>
      </c>
      <c r="L26" s="266">
        <f t="shared" si="10"/>
        <v>13.463377919896875</v>
      </c>
      <c r="M26" s="266">
        <f t="shared" si="10"/>
        <v>13.315115966829138</v>
      </c>
      <c r="N26" s="266">
        <f t="shared" si="10"/>
        <v>13.167130818526813</v>
      </c>
      <c r="O26" s="266">
        <f t="shared" si="10"/>
        <v>13.01947650342988</v>
      </c>
      <c r="P26" s="266">
        <f t="shared" si="10"/>
        <v>12.872204653008394</v>
      </c>
    </row>
    <row r="27" spans="2:16" ht="18" x14ac:dyDescent="0.25">
      <c r="B27" s="750" t="s">
        <v>575</v>
      </c>
      <c r="C27" s="734" t="s">
        <v>573</v>
      </c>
      <c r="D27" s="266">
        <f>IFERROR(D25-D26,0)</f>
        <v>4.5670069693486823</v>
      </c>
      <c r="E27" s="266">
        <f t="shared" ref="E27:P27" si="11">IFERROR(E25-E26,0)</f>
        <v>4.5530106194944029</v>
      </c>
      <c r="F27" s="266">
        <f t="shared" si="11"/>
        <v>4.8947845808389232</v>
      </c>
      <c r="G27" s="266">
        <f t="shared" si="11"/>
        <v>5.3766903133556117</v>
      </c>
      <c r="H27" s="266">
        <f t="shared" si="11"/>
        <v>5.1544051693355719</v>
      </c>
      <c r="I27" s="266">
        <f t="shared" si="11"/>
        <v>5.373224686397668</v>
      </c>
      <c r="J27" s="266">
        <f t="shared" si="11"/>
        <v>5.4443700729393765</v>
      </c>
      <c r="K27" s="266">
        <f t="shared" si="11"/>
        <v>5.5261158859916506</v>
      </c>
      <c r="L27" s="266">
        <f t="shared" si="11"/>
        <v>5.6098829084891406</v>
      </c>
      <c r="M27" s="266">
        <f t="shared" si="11"/>
        <v>5.5515598675921023</v>
      </c>
      <c r="N27" s="266">
        <f t="shared" si="11"/>
        <v>5.6316432791174957</v>
      </c>
      <c r="O27" s="266">
        <f t="shared" si="11"/>
        <v>5.7058961914503623</v>
      </c>
      <c r="P27" s="266">
        <f t="shared" si="11"/>
        <v>5.7745285640319306</v>
      </c>
    </row>
    <row r="30" spans="2:16" ht="18" x14ac:dyDescent="0.25">
      <c r="B30" s="301" t="s">
        <v>577</v>
      </c>
      <c r="C30" s="301" t="s">
        <v>556</v>
      </c>
      <c r="D30" s="750" t="s">
        <v>557</v>
      </c>
      <c r="E30" s="750" t="s">
        <v>558</v>
      </c>
      <c r="F30" s="750" t="s">
        <v>559</v>
      </c>
      <c r="G30" s="750" t="s">
        <v>560</v>
      </c>
      <c r="H30" s="750" t="s">
        <v>561</v>
      </c>
      <c r="I30" s="750" t="s">
        <v>562</v>
      </c>
      <c r="J30" s="750" t="s">
        <v>563</v>
      </c>
      <c r="K30" s="750" t="s">
        <v>564</v>
      </c>
      <c r="L30" s="750" t="s">
        <v>565</v>
      </c>
      <c r="M30" s="750" t="s">
        <v>1029</v>
      </c>
      <c r="N30" s="750" t="s">
        <v>1030</v>
      </c>
      <c r="O30" s="750" t="s">
        <v>1031</v>
      </c>
      <c r="P30" s="750" t="s">
        <v>1032</v>
      </c>
    </row>
    <row r="31" spans="2:16" ht="18" x14ac:dyDescent="0.25">
      <c r="B31" s="750" t="s">
        <v>870</v>
      </c>
      <c r="C31" s="734" t="s">
        <v>566</v>
      </c>
      <c r="D31" s="265">
        <f>+$D$3</f>
        <v>73231212</v>
      </c>
      <c r="E31" s="265">
        <f>+$E$3</f>
        <v>74430655.752000004</v>
      </c>
      <c r="F31" s="265">
        <f>+$F$3</f>
        <v>76697929</v>
      </c>
      <c r="G31" s="265">
        <f>+$G$3</f>
        <v>79443376.444158807</v>
      </c>
      <c r="H31" s="265">
        <f>+$H$3</f>
        <v>81346804.018574134</v>
      </c>
      <c r="I31" s="265">
        <f>+$I$3</f>
        <v>83117762.153032988</v>
      </c>
      <c r="J31" s="265">
        <f>+$J$3</f>
        <v>84376813.900286376</v>
      </c>
      <c r="K31" s="265">
        <f>+$K$3</f>
        <v>85817253.249695092</v>
      </c>
      <c r="L31" s="265">
        <f>+$L$3</f>
        <v>87087721.932827741</v>
      </c>
      <c r="M31" s="265">
        <f>+$M$3</f>
        <v>87996585.401466116</v>
      </c>
      <c r="N31" s="265">
        <f>+$N$3</f>
        <v>89565016.865754709</v>
      </c>
      <c r="O31" s="265">
        <f>+$O$3</f>
        <v>91133448.330042839</v>
      </c>
      <c r="P31" s="265">
        <f>+$P$3</f>
        <v>92701879.794331446</v>
      </c>
    </row>
    <row r="32" spans="2:16" ht="18" x14ac:dyDescent="0.25">
      <c r="B32" s="750" t="s">
        <v>871</v>
      </c>
      <c r="C32" s="734" t="s">
        <v>566</v>
      </c>
      <c r="D32" s="265">
        <f>+$D$4</f>
        <v>55779290</v>
      </c>
      <c r="E32" s="265">
        <f>+$E$4</f>
        <v>56646487</v>
      </c>
      <c r="F32" s="265">
        <f>+$F$4</f>
        <v>57114170</v>
      </c>
      <c r="G32" s="265">
        <f>+$G$4</f>
        <v>57381362.231400006</v>
      </c>
      <c r="H32" s="265">
        <f>+$H$4</f>
        <v>59731641</v>
      </c>
      <c r="I32" s="265">
        <f>+$I$4</f>
        <v>60100673</v>
      </c>
      <c r="J32" s="265">
        <f>+$J$4</f>
        <v>60553470</v>
      </c>
      <c r="K32" s="265">
        <f>+$K$4</f>
        <v>61116311</v>
      </c>
      <c r="L32" s="265">
        <f>+$L$4</f>
        <v>61473228.050212145</v>
      </c>
      <c r="M32" s="265">
        <f>+$M$4</f>
        <v>62103401.234457493</v>
      </c>
      <c r="N32" s="265">
        <f>+$N$4</f>
        <v>62733574.418702841</v>
      </c>
      <c r="O32" s="265">
        <f>+$O$4</f>
        <v>63363747.602948427</v>
      </c>
      <c r="P32" s="265">
        <f>+$P$4</f>
        <v>63993920.787194014</v>
      </c>
    </row>
    <row r="33" spans="2:16" ht="18" x14ac:dyDescent="0.25">
      <c r="B33" s="750" t="s">
        <v>102</v>
      </c>
      <c r="C33" s="734" t="s">
        <v>566</v>
      </c>
      <c r="D33" s="265">
        <f>+$D$5</f>
        <v>318442</v>
      </c>
      <c r="E33" s="265">
        <f>+$E$5</f>
        <v>325502</v>
      </c>
      <c r="F33" s="265">
        <f>+$F$5</f>
        <v>333412</v>
      </c>
      <c r="G33" s="265">
        <f>+$G$5</f>
        <v>341939.19999999995</v>
      </c>
      <c r="H33" s="265">
        <f>+$H$5</f>
        <v>349461</v>
      </c>
      <c r="I33" s="265">
        <f>+$I$5</f>
        <v>356972</v>
      </c>
      <c r="J33" s="265">
        <f>+$J$5</f>
        <v>364648</v>
      </c>
      <c r="K33" s="265">
        <f>+$K$5</f>
        <v>372488</v>
      </c>
      <c r="L33" s="265">
        <f>+$L$5</f>
        <v>380496.56146201264</v>
      </c>
      <c r="M33" s="265">
        <f>+$M$5</f>
        <v>388677.30848890479</v>
      </c>
      <c r="N33" s="265">
        <f>+$N$5</f>
        <v>397033.94310243073</v>
      </c>
      <c r="O33" s="265">
        <f>+$O$5</f>
        <v>405570.24691850279</v>
      </c>
      <c r="P33" s="265">
        <f>+$P$5</f>
        <v>414290.08285848069</v>
      </c>
    </row>
    <row r="34" spans="2:16" ht="18" x14ac:dyDescent="0.25">
      <c r="B34" s="750" t="s">
        <v>567</v>
      </c>
      <c r="C34" s="734" t="s">
        <v>566</v>
      </c>
      <c r="D34" s="265">
        <f>+'EV PROG TÉCNICOS'!I68</f>
        <v>0</v>
      </c>
      <c r="E34" s="265">
        <f>+'EV PROG TÉCNICOS'!J68</f>
        <v>0</v>
      </c>
      <c r="F34" s="265">
        <f>+'EV PROG TÉCNICOS'!K68</f>
        <v>0</v>
      </c>
      <c r="G34" s="265">
        <f>+'EV PROG TÉCNICOS'!L68</f>
        <v>519104.80000000005</v>
      </c>
      <c r="H34" s="265">
        <f>+'EV PROG TÉCNICOS'!M68</f>
        <v>2704381.3</v>
      </c>
      <c r="I34" s="265">
        <f>+'EV PROG TÉCNICOS'!N68</f>
        <v>1748041.8</v>
      </c>
      <c r="J34" s="265">
        <f>+'EV PROG TÉCNICOS'!O68+PROG3[[#This Row],[2028]]*50%</f>
        <v>874020.9</v>
      </c>
      <c r="K34" s="265">
        <f>+PROG3[[#This Row],[2029]]</f>
        <v>874020.9</v>
      </c>
      <c r="L34" s="265">
        <f>+PROG3[[#This Row],[2030]]</f>
        <v>874020.9</v>
      </c>
      <c r="M34" s="265">
        <f>+PROG3[[#This Row],[2031]]</f>
        <v>874020.9</v>
      </c>
      <c r="N34" s="265">
        <f>+PROG3[[#This Row],[2032]]</f>
        <v>874020.9</v>
      </c>
      <c r="O34" s="265">
        <f>+PROG3[[#This Row],[2033]]</f>
        <v>874020.9</v>
      </c>
      <c r="P34" s="265">
        <f>+PROG3[[#This Row],[2034]]</f>
        <v>874020.9</v>
      </c>
    </row>
    <row r="35" spans="2:16" ht="18" x14ac:dyDescent="0.25">
      <c r="B35" s="750" t="s">
        <v>568</v>
      </c>
      <c r="C35" s="734" t="s">
        <v>566</v>
      </c>
      <c r="D35" s="264"/>
      <c r="E35" s="264"/>
      <c r="F35" s="264"/>
      <c r="G35" s="264"/>
      <c r="H35" s="264"/>
      <c r="I35" s="264"/>
      <c r="J35" s="264"/>
      <c r="K35" s="264"/>
      <c r="L35" s="264"/>
      <c r="M35" s="264"/>
      <c r="N35" s="264"/>
      <c r="O35" s="264"/>
      <c r="P35" s="264"/>
    </row>
    <row r="36" spans="2:16" ht="18" x14ac:dyDescent="0.25">
      <c r="B36" s="750" t="s">
        <v>569</v>
      </c>
      <c r="C36" s="734" t="s">
        <v>566</v>
      </c>
      <c r="D36" s="265">
        <f>+D31-D34</f>
        <v>73231212</v>
      </c>
      <c r="E36" s="265">
        <f>+E31-E34</f>
        <v>74430655.752000004</v>
      </c>
      <c r="F36" s="265">
        <f>+F31-F34</f>
        <v>76697929</v>
      </c>
      <c r="G36" s="265">
        <f t="shared" ref="G36:P36" si="12">+G31-G34</f>
        <v>78924271.64415881</v>
      </c>
      <c r="H36" s="265">
        <f t="shared" si="12"/>
        <v>78642422.718574136</v>
      </c>
      <c r="I36" s="265">
        <f t="shared" si="12"/>
        <v>81369720.353032991</v>
      </c>
      <c r="J36" s="265">
        <f t="shared" si="12"/>
        <v>83502793.000286371</v>
      </c>
      <c r="K36" s="265">
        <f t="shared" si="12"/>
        <v>84943232.349695086</v>
      </c>
      <c r="L36" s="265">
        <f t="shared" si="12"/>
        <v>86213701.032827735</v>
      </c>
      <c r="M36" s="265">
        <f t="shared" si="12"/>
        <v>87122564.50146611</v>
      </c>
      <c r="N36" s="265">
        <f t="shared" si="12"/>
        <v>88690995.965754703</v>
      </c>
      <c r="O36" s="265">
        <f t="shared" si="12"/>
        <v>90259427.430042833</v>
      </c>
      <c r="P36" s="265">
        <f t="shared" si="12"/>
        <v>91827858.89433144</v>
      </c>
    </row>
    <row r="37" spans="2:16" ht="18" x14ac:dyDescent="0.25">
      <c r="B37" s="750" t="s">
        <v>570</v>
      </c>
      <c r="C37" s="734" t="s">
        <v>566</v>
      </c>
      <c r="D37" s="265">
        <f>+D32+D35</f>
        <v>55779290</v>
      </c>
      <c r="E37" s="265">
        <f t="shared" ref="E37:P37" si="13">+E32+E35</f>
        <v>56646487</v>
      </c>
      <c r="F37" s="265">
        <f t="shared" si="13"/>
        <v>57114170</v>
      </c>
      <c r="G37" s="265">
        <f t="shared" si="13"/>
        <v>57381362.231400006</v>
      </c>
      <c r="H37" s="265">
        <f t="shared" si="13"/>
        <v>59731641</v>
      </c>
      <c r="I37" s="265">
        <f t="shared" si="13"/>
        <v>60100673</v>
      </c>
      <c r="J37" s="265">
        <f t="shared" si="13"/>
        <v>60553470</v>
      </c>
      <c r="K37" s="265">
        <f t="shared" si="13"/>
        <v>61116311</v>
      </c>
      <c r="L37" s="265">
        <f t="shared" si="13"/>
        <v>61473228.050212145</v>
      </c>
      <c r="M37" s="265">
        <f t="shared" si="13"/>
        <v>62103401.234457493</v>
      </c>
      <c r="N37" s="265">
        <f t="shared" si="13"/>
        <v>62733574.418702841</v>
      </c>
      <c r="O37" s="265">
        <f t="shared" si="13"/>
        <v>63363747.602948427</v>
      </c>
      <c r="P37" s="265">
        <f t="shared" si="13"/>
        <v>63993920.787194014</v>
      </c>
    </row>
    <row r="38" spans="2:16" ht="18" x14ac:dyDescent="0.25">
      <c r="B38" s="750" t="s">
        <v>571</v>
      </c>
      <c r="C38" s="734" t="s">
        <v>105</v>
      </c>
      <c r="D38" s="263">
        <f>IFERROR((D36-D37)/D36*100,0)</f>
        <v>23.831262003420072</v>
      </c>
      <c r="E38" s="263">
        <f t="shared" ref="E38:P38" si="14">IFERROR((E36-E37)/E36*100,0)</f>
        <v>23.893607509325392</v>
      </c>
      <c r="F38" s="263">
        <f t="shared" si="14"/>
        <v>25.533621644464482</v>
      </c>
      <c r="G38" s="263">
        <f t="shared" si="14"/>
        <v>27.295670855079972</v>
      </c>
      <c r="H38" s="263">
        <f t="shared" si="14"/>
        <v>24.046540105010905</v>
      </c>
      <c r="I38" s="263">
        <f t="shared" si="14"/>
        <v>26.138774055944268</v>
      </c>
      <c r="J38" s="263">
        <f t="shared" si="14"/>
        <v>27.483299870230287</v>
      </c>
      <c r="K38" s="263">
        <f t="shared" si="14"/>
        <v>28.050405771709038</v>
      </c>
      <c r="L38" s="263">
        <f t="shared" si="14"/>
        <v>28.69668357375717</v>
      </c>
      <c r="M38" s="263">
        <f t="shared" si="14"/>
        <v>28.717202495327822</v>
      </c>
      <c r="N38" s="263">
        <f t="shared" si="14"/>
        <v>29.267256799184576</v>
      </c>
      <c r="O38" s="263">
        <f t="shared" si="14"/>
        <v>29.79819459628234</v>
      </c>
      <c r="P38" s="263">
        <f t="shared" si="14"/>
        <v>30.310995423694482</v>
      </c>
    </row>
    <row r="39" spans="2:16" ht="18" x14ac:dyDescent="0.25">
      <c r="B39" s="750" t="s">
        <v>572</v>
      </c>
      <c r="C39" s="734" t="s">
        <v>573</v>
      </c>
      <c r="D39" s="266">
        <f>IFERROR(D36/(D33*12),0)</f>
        <v>19.163932521463877</v>
      </c>
      <c r="E39" s="266">
        <f t="shared" ref="E39:P39" si="15">IFERROR(E36/(E33*12),0)</f>
        <v>19.055350338861206</v>
      </c>
      <c r="F39" s="266">
        <f t="shared" si="15"/>
        <v>19.16995813987899</v>
      </c>
      <c r="G39" s="266">
        <f t="shared" si="15"/>
        <v>19.234479805220445</v>
      </c>
      <c r="H39" s="266">
        <f t="shared" si="15"/>
        <v>18.753266391808655</v>
      </c>
      <c r="I39" s="266">
        <f t="shared" si="15"/>
        <v>18.995355460426634</v>
      </c>
      <c r="J39" s="266">
        <f t="shared" si="15"/>
        <v>19.082967912499718</v>
      </c>
      <c r="K39" s="266">
        <f t="shared" si="15"/>
        <v>19.003572452825122</v>
      </c>
      <c r="L39" s="266">
        <f t="shared" si="15"/>
        <v>18.881839716142213</v>
      </c>
      <c r="M39" s="266">
        <f t="shared" si="15"/>
        <v>18.679283688264913</v>
      </c>
      <c r="N39" s="266">
        <f t="shared" si="15"/>
        <v>18.615326117275515</v>
      </c>
      <c r="O39" s="266">
        <f t="shared" si="15"/>
        <v>18.545785864846735</v>
      </c>
      <c r="P39" s="266">
        <f t="shared" si="15"/>
        <v>18.470926269170707</v>
      </c>
    </row>
    <row r="40" spans="2:16" ht="18" x14ac:dyDescent="0.25">
      <c r="B40" s="750" t="s">
        <v>574</v>
      </c>
      <c r="C40" s="734" t="s">
        <v>573</v>
      </c>
      <c r="D40" s="266">
        <f>IFERROR(D37/(D33*12),0)</f>
        <v>14.596925552115195</v>
      </c>
      <c r="E40" s="266">
        <f t="shared" ref="E40:P40" si="16">IFERROR(E37/(E33*12),0)</f>
        <v>14.502339719366804</v>
      </c>
      <c r="F40" s="266">
        <f t="shared" si="16"/>
        <v>14.275173559040066</v>
      </c>
      <c r="G40" s="266">
        <f t="shared" si="16"/>
        <v>13.984299506900646</v>
      </c>
      <c r="H40" s="266">
        <f t="shared" si="16"/>
        <v>14.243754667902856</v>
      </c>
      <c r="I40" s="266">
        <f t="shared" si="16"/>
        <v>14.030202415502243</v>
      </c>
      <c r="J40" s="266">
        <f t="shared" si="16"/>
        <v>13.838338616967595</v>
      </c>
      <c r="K40" s="266">
        <f t="shared" si="16"/>
        <v>13.672993268686955</v>
      </c>
      <c r="L40" s="266">
        <f t="shared" si="16"/>
        <v>13.463377919896875</v>
      </c>
      <c r="M40" s="266">
        <f t="shared" si="16"/>
        <v>13.315115966829138</v>
      </c>
      <c r="N40" s="266">
        <f t="shared" si="16"/>
        <v>13.167130818526813</v>
      </c>
      <c r="O40" s="266">
        <f t="shared" si="16"/>
        <v>13.01947650342988</v>
      </c>
      <c r="P40" s="266">
        <f t="shared" si="16"/>
        <v>12.872204653008394</v>
      </c>
    </row>
    <row r="41" spans="2:16" ht="18" x14ac:dyDescent="0.25">
      <c r="B41" s="750" t="s">
        <v>575</v>
      </c>
      <c r="C41" s="734" t="s">
        <v>573</v>
      </c>
      <c r="D41" s="266">
        <f>IFERROR(D39-D40,0)</f>
        <v>4.5670069693486823</v>
      </c>
      <c r="E41" s="266">
        <f t="shared" ref="E41:P41" si="17">IFERROR(E39-E40,0)</f>
        <v>4.5530106194944029</v>
      </c>
      <c r="F41" s="266">
        <f t="shared" si="17"/>
        <v>4.8947845808389232</v>
      </c>
      <c r="G41" s="266">
        <f t="shared" si="17"/>
        <v>5.2501802983197994</v>
      </c>
      <c r="H41" s="266">
        <f t="shared" si="17"/>
        <v>4.5095117239057991</v>
      </c>
      <c r="I41" s="266">
        <f t="shared" si="17"/>
        <v>4.9651530449243904</v>
      </c>
      <c r="J41" s="266">
        <f t="shared" si="17"/>
        <v>5.244629295532123</v>
      </c>
      <c r="K41" s="266">
        <f t="shared" si="17"/>
        <v>5.3305791841381662</v>
      </c>
      <c r="L41" s="266">
        <f t="shared" si="17"/>
        <v>5.4184617962453387</v>
      </c>
      <c r="M41" s="266">
        <f t="shared" si="17"/>
        <v>5.3641677214357752</v>
      </c>
      <c r="N41" s="266">
        <f t="shared" si="17"/>
        <v>5.4481952987487023</v>
      </c>
      <c r="O41" s="266">
        <f t="shared" si="17"/>
        <v>5.526309361416855</v>
      </c>
      <c r="P41" s="266">
        <f t="shared" si="17"/>
        <v>5.5987216161623135</v>
      </c>
    </row>
    <row r="44" spans="2:16" ht="18" x14ac:dyDescent="0.25">
      <c r="B44" s="301" t="s">
        <v>578</v>
      </c>
      <c r="C44" s="301" t="s">
        <v>556</v>
      </c>
      <c r="D44" s="750" t="s">
        <v>557</v>
      </c>
      <c r="E44" s="750" t="s">
        <v>558</v>
      </c>
      <c r="F44" s="750" t="s">
        <v>559</v>
      </c>
      <c r="G44" s="750" t="s">
        <v>560</v>
      </c>
      <c r="H44" s="750" t="s">
        <v>561</v>
      </c>
      <c r="I44" s="750" t="s">
        <v>562</v>
      </c>
      <c r="J44" s="750" t="s">
        <v>563</v>
      </c>
      <c r="K44" s="750" t="s">
        <v>564</v>
      </c>
      <c r="L44" s="750" t="s">
        <v>565</v>
      </c>
      <c r="M44" s="750" t="s">
        <v>1029</v>
      </c>
      <c r="N44" s="750" t="s">
        <v>1030</v>
      </c>
      <c r="O44" s="750" t="s">
        <v>1031</v>
      </c>
      <c r="P44" s="750" t="s">
        <v>1032</v>
      </c>
    </row>
    <row r="45" spans="2:16" ht="18" x14ac:dyDescent="0.25">
      <c r="B45" s="750" t="s">
        <v>870</v>
      </c>
      <c r="C45" s="734" t="s">
        <v>566</v>
      </c>
      <c r="D45" s="265">
        <f>+$D$3</f>
        <v>73231212</v>
      </c>
      <c r="E45" s="265">
        <f>+$E$3</f>
        <v>74430655.752000004</v>
      </c>
      <c r="F45" s="265">
        <f>+$F$3</f>
        <v>76697929</v>
      </c>
      <c r="G45" s="265">
        <f>+$G$3</f>
        <v>79443376.444158807</v>
      </c>
      <c r="H45" s="265">
        <f>+$H$3</f>
        <v>81346804.018574134</v>
      </c>
      <c r="I45" s="265">
        <f>+$I$3</f>
        <v>83117762.153032988</v>
      </c>
      <c r="J45" s="265">
        <f>+$J$3</f>
        <v>84376813.900286376</v>
      </c>
      <c r="K45" s="265">
        <f>+$K$3</f>
        <v>85817253.249695092</v>
      </c>
      <c r="L45" s="265">
        <f>+$L$3</f>
        <v>87087721.932827741</v>
      </c>
      <c r="M45" s="265">
        <f>+$M$3</f>
        <v>87996585.401466116</v>
      </c>
      <c r="N45" s="265">
        <f>+$N$3</f>
        <v>89565016.865754709</v>
      </c>
      <c r="O45" s="265">
        <f>+$O$3</f>
        <v>91133448.330042839</v>
      </c>
      <c r="P45" s="265">
        <f>+$P$3</f>
        <v>92701879.794331446</v>
      </c>
    </row>
    <row r="46" spans="2:16" ht="18" x14ac:dyDescent="0.25">
      <c r="B46" s="750" t="s">
        <v>871</v>
      </c>
      <c r="C46" s="734" t="s">
        <v>566</v>
      </c>
      <c r="D46" s="265">
        <f>+$D$4</f>
        <v>55779290</v>
      </c>
      <c r="E46" s="265">
        <f>+$E$4</f>
        <v>56646487</v>
      </c>
      <c r="F46" s="265">
        <f>+$F$4</f>
        <v>57114170</v>
      </c>
      <c r="G46" s="265">
        <f>+$G$4</f>
        <v>57381362.231400006</v>
      </c>
      <c r="H46" s="265">
        <f>+$H$4</f>
        <v>59731641</v>
      </c>
      <c r="I46" s="265">
        <f>+$I$4</f>
        <v>60100673</v>
      </c>
      <c r="J46" s="265">
        <f>+$J$4</f>
        <v>60553470</v>
      </c>
      <c r="K46" s="265">
        <f>+$K$4</f>
        <v>61116311</v>
      </c>
      <c r="L46" s="265">
        <f>+$L$4</f>
        <v>61473228.050212145</v>
      </c>
      <c r="M46" s="265">
        <f>+$M$4</f>
        <v>62103401.234457493</v>
      </c>
      <c r="N46" s="265">
        <f>+$N$4</f>
        <v>62733574.418702841</v>
      </c>
      <c r="O46" s="265">
        <f>+$O$4</f>
        <v>63363747.602948427</v>
      </c>
      <c r="P46" s="265">
        <f>+$P$4</f>
        <v>63993920.787194014</v>
      </c>
    </row>
    <row r="47" spans="2:16" ht="18" x14ac:dyDescent="0.25">
      <c r="B47" s="750" t="s">
        <v>102</v>
      </c>
      <c r="C47" s="734" t="s">
        <v>566</v>
      </c>
      <c r="D47" s="265">
        <f>+$D$5</f>
        <v>318442</v>
      </c>
      <c r="E47" s="265">
        <f>+$E$5</f>
        <v>325502</v>
      </c>
      <c r="F47" s="265">
        <f>+$F$5</f>
        <v>333412</v>
      </c>
      <c r="G47" s="265">
        <f>+$G$5</f>
        <v>341939.19999999995</v>
      </c>
      <c r="H47" s="265">
        <f>+$H$5</f>
        <v>349461</v>
      </c>
      <c r="I47" s="265">
        <f>+$I$5</f>
        <v>356972</v>
      </c>
      <c r="J47" s="265">
        <f>+$J$5</f>
        <v>364648</v>
      </c>
      <c r="K47" s="265">
        <f>+$K$5</f>
        <v>372488</v>
      </c>
      <c r="L47" s="265">
        <f>+$L$5</f>
        <v>380496.56146201264</v>
      </c>
      <c r="M47" s="265">
        <f>+$M$5</f>
        <v>388677.30848890479</v>
      </c>
      <c r="N47" s="265">
        <f>+$N$5</f>
        <v>397033.94310243073</v>
      </c>
      <c r="O47" s="265">
        <f>+$O$5</f>
        <v>405570.24691850279</v>
      </c>
      <c r="P47" s="265">
        <f>+$P$5</f>
        <v>414290.08285848069</v>
      </c>
    </row>
    <row r="48" spans="2:16" ht="18" x14ac:dyDescent="0.25">
      <c r="B48" s="750" t="s">
        <v>567</v>
      </c>
      <c r="C48" s="734" t="s">
        <v>566</v>
      </c>
      <c r="D48" s="265">
        <f>+'EV PROG TÉCNICOS'!I79</f>
        <v>0</v>
      </c>
      <c r="E48" s="265">
        <f>+'EV PROG TÉCNICOS'!J79</f>
        <v>0</v>
      </c>
      <c r="F48" s="265">
        <f>+'EV PROG TÉCNICOS'!K79</f>
        <v>0</v>
      </c>
      <c r="G48" s="265">
        <f>+'EV PROG TÉCNICOS'!L79</f>
        <v>0</v>
      </c>
      <c r="H48" s="265">
        <f>+'EV PROG TÉCNICOS'!M79</f>
        <v>3844.62</v>
      </c>
      <c r="I48" s="265">
        <f>+'EV PROG TÉCNICOS'!N79+PROG4[[#This Row],[2027]]</f>
        <v>6127.92</v>
      </c>
      <c r="J48" s="265">
        <f>+'EV PROG TÉCNICOS'!O79+PROG4[[#This Row],[2028]]</f>
        <v>10286.82</v>
      </c>
      <c r="K48" s="265">
        <f>+'EV PROG TÉCNICOS'!P79+PROG4[[#This Row],[2029]]</f>
        <v>12456.82</v>
      </c>
      <c r="L48" s="265">
        <f>+'EV PROG TÉCNICOS'!Q79+PROG4[[#This Row],[2030]]</f>
        <v>15063.82</v>
      </c>
      <c r="M48" s="265">
        <f>+'EV PROG TÉCNICOS'!R79+PROG4[[#This Row],[2031]]</f>
        <v>17063.82</v>
      </c>
      <c r="N48" s="265">
        <f>+PROG4[[#This Row],[2032]]*50%</f>
        <v>8531.91</v>
      </c>
      <c r="O48" s="265">
        <f>+PROG4[[#This Row],[2033]]</f>
        <v>8531.91</v>
      </c>
      <c r="P48" s="265">
        <f>+PROG4[[#This Row],[2034]]</f>
        <v>8531.91</v>
      </c>
    </row>
    <row r="49" spans="2:16" ht="18" x14ac:dyDescent="0.25">
      <c r="B49" s="750" t="s">
        <v>568</v>
      </c>
      <c r="C49" s="734" t="s">
        <v>566</v>
      </c>
      <c r="D49" s="264"/>
      <c r="E49" s="264"/>
      <c r="F49" s="264"/>
      <c r="G49" s="264"/>
      <c r="H49" s="264"/>
      <c r="I49" s="264"/>
      <c r="J49" s="264"/>
      <c r="K49" s="264"/>
      <c r="L49" s="264"/>
      <c r="M49" s="264"/>
      <c r="N49" s="264"/>
      <c r="O49" s="264"/>
      <c r="P49" s="264"/>
    </row>
    <row r="50" spans="2:16" ht="18" x14ac:dyDescent="0.25">
      <c r="B50" s="750" t="s">
        <v>569</v>
      </c>
      <c r="C50" s="734" t="s">
        <v>566</v>
      </c>
      <c r="D50" s="265">
        <f>+D45-D48</f>
        <v>73231212</v>
      </c>
      <c r="E50" s="265">
        <f>+E45-E48</f>
        <v>74430655.752000004</v>
      </c>
      <c r="F50" s="265">
        <f>+F45-F48</f>
        <v>76697929</v>
      </c>
      <c r="G50" s="265">
        <f t="shared" ref="G50:P50" si="18">+G45-G48</f>
        <v>79443376.444158807</v>
      </c>
      <c r="H50" s="265">
        <f t="shared" si="18"/>
        <v>81342959.398574129</v>
      </c>
      <c r="I50" s="265">
        <f t="shared" si="18"/>
        <v>83111634.233032987</v>
      </c>
      <c r="J50" s="265">
        <f t="shared" si="18"/>
        <v>84366527.080286384</v>
      </c>
      <c r="K50" s="265">
        <f t="shared" si="18"/>
        <v>85804796.4296951</v>
      </c>
      <c r="L50" s="265">
        <f t="shared" si="18"/>
        <v>87072658.112827748</v>
      </c>
      <c r="M50" s="265">
        <f t="shared" si="18"/>
        <v>87979521.581466123</v>
      </c>
      <c r="N50" s="265">
        <f t="shared" si="18"/>
        <v>89556484.955754712</v>
      </c>
      <c r="O50" s="265">
        <f t="shared" si="18"/>
        <v>91124916.420042843</v>
      </c>
      <c r="P50" s="265">
        <f t="shared" si="18"/>
        <v>92693347.88433145</v>
      </c>
    </row>
    <row r="51" spans="2:16" ht="18" x14ac:dyDescent="0.25">
      <c r="B51" s="750" t="s">
        <v>570</v>
      </c>
      <c r="C51" s="734" t="s">
        <v>566</v>
      </c>
      <c r="D51" s="265">
        <f>+D46+D49</f>
        <v>55779290</v>
      </c>
      <c r="E51" s="265">
        <f t="shared" ref="E51:P51" si="19">+E46+E49</f>
        <v>56646487</v>
      </c>
      <c r="F51" s="265">
        <f t="shared" si="19"/>
        <v>57114170</v>
      </c>
      <c r="G51" s="265">
        <f t="shared" si="19"/>
        <v>57381362.231400006</v>
      </c>
      <c r="H51" s="265">
        <f t="shared" si="19"/>
        <v>59731641</v>
      </c>
      <c r="I51" s="265">
        <f t="shared" si="19"/>
        <v>60100673</v>
      </c>
      <c r="J51" s="265">
        <f t="shared" si="19"/>
        <v>60553470</v>
      </c>
      <c r="K51" s="265">
        <f t="shared" si="19"/>
        <v>61116311</v>
      </c>
      <c r="L51" s="265">
        <f t="shared" si="19"/>
        <v>61473228.050212145</v>
      </c>
      <c r="M51" s="265">
        <f t="shared" si="19"/>
        <v>62103401.234457493</v>
      </c>
      <c r="N51" s="265">
        <f t="shared" si="19"/>
        <v>62733574.418702841</v>
      </c>
      <c r="O51" s="265">
        <f t="shared" si="19"/>
        <v>63363747.602948427</v>
      </c>
      <c r="P51" s="265">
        <f t="shared" si="19"/>
        <v>63993920.787194014</v>
      </c>
    </row>
    <row r="52" spans="2:16" ht="18" x14ac:dyDescent="0.25">
      <c r="B52" s="750" t="s">
        <v>571</v>
      </c>
      <c r="C52" s="734" t="s">
        <v>105</v>
      </c>
      <c r="D52" s="263">
        <f>IFERROR((D50-D51)/D50*100,0)</f>
        <v>23.831262003420072</v>
      </c>
      <c r="E52" s="263">
        <f t="shared" ref="E52:P52" si="20">IFERROR((E50-E51)/E50*100,0)</f>
        <v>23.893607509325392</v>
      </c>
      <c r="F52" s="263">
        <f t="shared" si="20"/>
        <v>25.533621644464482</v>
      </c>
      <c r="G52" s="263">
        <f>IFERROR((G50-G51)/G50*100,0)</f>
        <v>27.770740872609203</v>
      </c>
      <c r="H52" s="263">
        <f t="shared" si="20"/>
        <v>26.568148685961081</v>
      </c>
      <c r="I52" s="263">
        <f t="shared" si="20"/>
        <v>27.686811173166902</v>
      </c>
      <c r="J52" s="263">
        <f t="shared" si="20"/>
        <v>28.225716886064276</v>
      </c>
      <c r="K52" s="263">
        <f t="shared" si="20"/>
        <v>28.772850070128449</v>
      </c>
      <c r="L52" s="263">
        <f>IFERROR((L50-L51)/L50*100,0)</f>
        <v>29.400078758873029</v>
      </c>
      <c r="M52" s="263">
        <f t="shared" si="20"/>
        <v>29.411526548309542</v>
      </c>
      <c r="N52" s="263">
        <f t="shared" si="20"/>
        <v>29.950829970943705</v>
      </c>
      <c r="O52" s="263">
        <f t="shared" si="20"/>
        <v>30.464959429019977</v>
      </c>
      <c r="P52" s="263">
        <f t="shared" si="20"/>
        <v>30.96169008044717</v>
      </c>
    </row>
    <row r="53" spans="2:16" ht="18" x14ac:dyDescent="0.25">
      <c r="B53" s="750" t="s">
        <v>572</v>
      </c>
      <c r="C53" s="734" t="s">
        <v>573</v>
      </c>
      <c r="D53" s="266">
        <f>IFERROR(D50/(D47*12),0)</f>
        <v>19.163932521463877</v>
      </c>
      <c r="E53" s="266">
        <f t="shared" ref="E53:P53" si="21">IFERROR(E50/(E47*12),0)</f>
        <v>19.055350338861206</v>
      </c>
      <c r="F53" s="266">
        <f t="shared" si="21"/>
        <v>19.16995813987899</v>
      </c>
      <c r="G53" s="266">
        <f t="shared" si="21"/>
        <v>19.360989820256258</v>
      </c>
      <c r="H53" s="266">
        <f t="shared" si="21"/>
        <v>19.397243039655862</v>
      </c>
      <c r="I53" s="266">
        <f t="shared" si="21"/>
        <v>19.401996569533228</v>
      </c>
      <c r="J53" s="266">
        <f t="shared" si="21"/>
        <v>19.280357833738833</v>
      </c>
      <c r="K53" s="266">
        <f t="shared" si="21"/>
        <v>19.196322304274478</v>
      </c>
      <c r="L53" s="266">
        <f t="shared" si="21"/>
        <v>19.069961670231972</v>
      </c>
      <c r="M53" s="266">
        <f t="shared" si="21"/>
        <v>18.863017311093682</v>
      </c>
      <c r="N53" s="266">
        <f t="shared" si="21"/>
        <v>18.796983337654261</v>
      </c>
      <c r="O53" s="266">
        <f t="shared" si="21"/>
        <v>18.723619626193862</v>
      </c>
      <c r="P53" s="266">
        <f t="shared" si="21"/>
        <v>18.645017046343952</v>
      </c>
    </row>
    <row r="54" spans="2:16" ht="18" x14ac:dyDescent="0.25">
      <c r="B54" s="750" t="s">
        <v>574</v>
      </c>
      <c r="C54" s="734" t="s">
        <v>573</v>
      </c>
      <c r="D54" s="266">
        <f>IFERROR(D51/(D47*12),0)</f>
        <v>14.596925552115195</v>
      </c>
      <c r="E54" s="266">
        <f t="shared" ref="E54:P54" si="22">IFERROR(E51/(E47*12),0)</f>
        <v>14.502339719366804</v>
      </c>
      <c r="F54" s="266">
        <f t="shared" si="22"/>
        <v>14.275173559040066</v>
      </c>
      <c r="G54" s="266">
        <f t="shared" si="22"/>
        <v>13.984299506900646</v>
      </c>
      <c r="H54" s="266">
        <f t="shared" si="22"/>
        <v>14.243754667902856</v>
      </c>
      <c r="I54" s="266">
        <f t="shared" si="22"/>
        <v>14.030202415502243</v>
      </c>
      <c r="J54" s="266">
        <f t="shared" si="22"/>
        <v>13.838338616967595</v>
      </c>
      <c r="K54" s="266">
        <f t="shared" si="22"/>
        <v>13.672993268686955</v>
      </c>
      <c r="L54" s="266">
        <f t="shared" si="22"/>
        <v>13.463377919896875</v>
      </c>
      <c r="M54" s="266">
        <f t="shared" si="22"/>
        <v>13.315115966829138</v>
      </c>
      <c r="N54" s="266">
        <f t="shared" si="22"/>
        <v>13.167130818526813</v>
      </c>
      <c r="O54" s="266">
        <f t="shared" si="22"/>
        <v>13.01947650342988</v>
      </c>
      <c r="P54" s="266">
        <f t="shared" si="22"/>
        <v>12.872204653008394</v>
      </c>
    </row>
    <row r="55" spans="2:16" ht="18" x14ac:dyDescent="0.25">
      <c r="B55" s="750" t="s">
        <v>575</v>
      </c>
      <c r="C55" s="734" t="s">
        <v>573</v>
      </c>
      <c r="D55" s="266">
        <f>IFERROR(D53-D54,0)</f>
        <v>4.5670069693486823</v>
      </c>
      <c r="E55" s="266">
        <f t="shared" ref="E55:P55" si="23">IFERROR(E53-E54,0)</f>
        <v>4.5530106194944029</v>
      </c>
      <c r="F55" s="266">
        <f t="shared" si="23"/>
        <v>4.8947845808389232</v>
      </c>
      <c r="G55" s="266">
        <f t="shared" si="23"/>
        <v>5.3766903133556117</v>
      </c>
      <c r="H55" s="266">
        <f t="shared" si="23"/>
        <v>5.1534883717530064</v>
      </c>
      <c r="I55" s="266">
        <f t="shared" si="23"/>
        <v>5.3717941540309848</v>
      </c>
      <c r="J55" s="266">
        <f t="shared" si="23"/>
        <v>5.4420192167712376</v>
      </c>
      <c r="K55" s="266">
        <f t="shared" si="23"/>
        <v>5.5233290355875226</v>
      </c>
      <c r="L55" s="266">
        <f t="shared" si="23"/>
        <v>5.6065837503350977</v>
      </c>
      <c r="M55" s="266">
        <f t="shared" si="23"/>
        <v>5.5479013442645435</v>
      </c>
      <c r="N55" s="266">
        <f t="shared" si="23"/>
        <v>5.6298525191274482</v>
      </c>
      <c r="O55" s="266">
        <f t="shared" si="23"/>
        <v>5.7041431227639823</v>
      </c>
      <c r="P55" s="266">
        <f t="shared" si="23"/>
        <v>5.772812393335558</v>
      </c>
    </row>
    <row r="56" spans="2:16" ht="18" x14ac:dyDescent="0.25">
      <c r="B56" s="750"/>
      <c r="D56" s="264"/>
      <c r="E56" s="751"/>
      <c r="F56" s="751"/>
      <c r="G56" s="264"/>
      <c r="H56" s="264"/>
      <c r="I56" s="264"/>
      <c r="J56" s="264"/>
      <c r="K56" s="264"/>
      <c r="L56" s="264"/>
      <c r="M56" s="264"/>
      <c r="N56" s="264"/>
      <c r="O56" s="264"/>
      <c r="P56" s="264"/>
    </row>
    <row r="58" spans="2:16" ht="18" x14ac:dyDescent="0.25">
      <c r="B58" s="301" t="s">
        <v>579</v>
      </c>
      <c r="C58" s="301" t="s">
        <v>556</v>
      </c>
      <c r="D58" s="750" t="s">
        <v>557</v>
      </c>
      <c r="E58" s="750" t="s">
        <v>558</v>
      </c>
      <c r="F58" s="750" t="s">
        <v>559</v>
      </c>
      <c r="G58" s="750" t="s">
        <v>560</v>
      </c>
      <c r="H58" s="750" t="s">
        <v>561</v>
      </c>
      <c r="I58" s="750" t="s">
        <v>562</v>
      </c>
      <c r="J58" s="750" t="s">
        <v>563</v>
      </c>
      <c r="K58" s="750" t="s">
        <v>564</v>
      </c>
      <c r="L58" s="750" t="s">
        <v>565</v>
      </c>
      <c r="M58" s="750" t="s">
        <v>1029</v>
      </c>
      <c r="N58" s="750" t="s">
        <v>1030</v>
      </c>
      <c r="O58" s="750" t="s">
        <v>1031</v>
      </c>
      <c r="P58" s="750" t="s">
        <v>1032</v>
      </c>
    </row>
    <row r="59" spans="2:16" ht="18" x14ac:dyDescent="0.25">
      <c r="B59" s="750" t="s">
        <v>870</v>
      </c>
      <c r="C59" s="734" t="s">
        <v>566</v>
      </c>
      <c r="D59" s="265">
        <f>+$D$3</f>
        <v>73231212</v>
      </c>
      <c r="E59" s="265">
        <f>+$E$3</f>
        <v>74430655.752000004</v>
      </c>
      <c r="F59" s="265">
        <f>+$F$3</f>
        <v>76697929</v>
      </c>
      <c r="G59" s="265">
        <f>+$G$3</f>
        <v>79443376.444158807</v>
      </c>
      <c r="H59" s="265">
        <f>+$H$3</f>
        <v>81346804.018574134</v>
      </c>
      <c r="I59" s="265">
        <f>+$I$3</f>
        <v>83117762.153032988</v>
      </c>
      <c r="J59" s="265">
        <f>+$J$3</f>
        <v>84376813.900286376</v>
      </c>
      <c r="K59" s="265">
        <f>+$K$3</f>
        <v>85817253.249695092</v>
      </c>
      <c r="L59" s="265">
        <f>+$L$3</f>
        <v>87087721.932827741</v>
      </c>
      <c r="M59" s="265">
        <f>+$M$3</f>
        <v>87996585.401466116</v>
      </c>
      <c r="N59" s="265">
        <f>+$N$3</f>
        <v>89565016.865754709</v>
      </c>
      <c r="O59" s="265">
        <f>+$O$3</f>
        <v>91133448.330042839</v>
      </c>
      <c r="P59" s="265">
        <f>+$P$3</f>
        <v>92701879.794331446</v>
      </c>
    </row>
    <row r="60" spans="2:16" ht="18" x14ac:dyDescent="0.25">
      <c r="B60" s="750" t="s">
        <v>871</v>
      </c>
      <c r="C60" s="734" t="s">
        <v>566</v>
      </c>
      <c r="D60" s="265">
        <f>+$D$4</f>
        <v>55779290</v>
      </c>
      <c r="E60" s="265">
        <f>+$E$4</f>
        <v>56646487</v>
      </c>
      <c r="F60" s="265">
        <f>+$F$4</f>
        <v>57114170</v>
      </c>
      <c r="G60" s="265">
        <f>+$G$4</f>
        <v>57381362.231400006</v>
      </c>
      <c r="H60" s="265">
        <f>+$H$4</f>
        <v>59731641</v>
      </c>
      <c r="I60" s="265">
        <f>+$I$4</f>
        <v>60100673</v>
      </c>
      <c r="J60" s="265">
        <f>+$J$4</f>
        <v>60553470</v>
      </c>
      <c r="K60" s="265">
        <f>+$K$4</f>
        <v>61116311</v>
      </c>
      <c r="L60" s="265">
        <f>+$L$4</f>
        <v>61473228.050212145</v>
      </c>
      <c r="M60" s="265">
        <f>+$M$4</f>
        <v>62103401.234457493</v>
      </c>
      <c r="N60" s="265">
        <f>+$N$4</f>
        <v>62733574.418702841</v>
      </c>
      <c r="O60" s="265">
        <f>+$O$4</f>
        <v>63363747.602948427</v>
      </c>
      <c r="P60" s="265">
        <f>+$P$4</f>
        <v>63993920.787194014</v>
      </c>
    </row>
    <row r="61" spans="2:16" ht="18" x14ac:dyDescent="0.25">
      <c r="B61" s="750" t="s">
        <v>102</v>
      </c>
      <c r="C61" s="734" t="s">
        <v>566</v>
      </c>
      <c r="D61" s="265">
        <f>+$D$5</f>
        <v>318442</v>
      </c>
      <c r="E61" s="265">
        <f>+$E$5</f>
        <v>325502</v>
      </c>
      <c r="F61" s="265">
        <f>+$F$5</f>
        <v>333412</v>
      </c>
      <c r="G61" s="265">
        <f>+$G$5</f>
        <v>341939.19999999995</v>
      </c>
      <c r="H61" s="265">
        <f>+$H$5</f>
        <v>349461</v>
      </c>
      <c r="I61" s="265">
        <f>+$I$5</f>
        <v>356972</v>
      </c>
      <c r="J61" s="265">
        <f>+$J$5</f>
        <v>364648</v>
      </c>
      <c r="K61" s="265">
        <f>+$K$5</f>
        <v>372488</v>
      </c>
      <c r="L61" s="265">
        <f>+$L$5</f>
        <v>380496.56146201264</v>
      </c>
      <c r="M61" s="265">
        <f>+$M$5</f>
        <v>388677.30848890479</v>
      </c>
      <c r="N61" s="265">
        <f>+$N$5</f>
        <v>397033.94310243073</v>
      </c>
      <c r="O61" s="265">
        <f>+$O$5</f>
        <v>405570.24691850279</v>
      </c>
      <c r="P61" s="265">
        <f>+$P$5</f>
        <v>414290.08285848069</v>
      </c>
    </row>
    <row r="62" spans="2:16" ht="18" x14ac:dyDescent="0.25">
      <c r="B62" s="750" t="s">
        <v>567</v>
      </c>
      <c r="C62" s="734" t="s">
        <v>566</v>
      </c>
      <c r="D62" s="265">
        <f>+'EV PROG TÉCNICOS'!I81</f>
        <v>0</v>
      </c>
      <c r="E62" s="265">
        <f>+'EV PROG TÉCNICOS'!J81</f>
        <v>0</v>
      </c>
      <c r="F62" s="265">
        <f>+'EV PROG TÉCNICOS'!K81</f>
        <v>0</v>
      </c>
      <c r="G62" s="265">
        <f>+'EV PROG TÉCNICOS'!L81</f>
        <v>328034.92604797322</v>
      </c>
      <c r="H62" s="265">
        <f>+'EV PROG TÉCNICOS'!M81+PROG5[[#This Row],[2026]]</f>
        <v>519009.46888325782</v>
      </c>
      <c r="I62" s="265">
        <f>+'EV PROG TÉCNICOS'!N81+PROG5[[#This Row],[2027]]</f>
        <v>772901.95250894176</v>
      </c>
      <c r="J62" s="265">
        <f>+PROG5[[#This Row],[2028]]*50%</f>
        <v>386450.97625447088</v>
      </c>
      <c r="K62" s="265">
        <f>+PROG5[[#This Row],[2029]]</f>
        <v>386450.97625447088</v>
      </c>
      <c r="L62" s="265">
        <f>+PROG5[[#This Row],[2030]]</f>
        <v>386450.97625447088</v>
      </c>
      <c r="M62" s="265">
        <f>+PROG5[[#This Row],[2031]]</f>
        <v>386450.97625447088</v>
      </c>
      <c r="N62" s="265">
        <f>+PROG5[[#This Row],[2032]]</f>
        <v>386450.97625447088</v>
      </c>
      <c r="O62" s="265">
        <f>+PROG5[[#This Row],[2033]]</f>
        <v>386450.97625447088</v>
      </c>
      <c r="P62" s="265">
        <f>+PROG5[[#This Row],[2034]]</f>
        <v>386450.97625447088</v>
      </c>
    </row>
    <row r="63" spans="2:16" ht="18" x14ac:dyDescent="0.25">
      <c r="B63" s="750" t="s">
        <v>568</v>
      </c>
      <c r="C63" s="734" t="s">
        <v>566</v>
      </c>
      <c r="D63" s="264"/>
      <c r="E63" s="264"/>
      <c r="F63" s="264"/>
      <c r="G63" s="264"/>
      <c r="H63" s="264"/>
      <c r="I63" s="264"/>
      <c r="J63" s="264"/>
      <c r="K63" s="264"/>
      <c r="L63" s="264"/>
      <c r="M63" s="264"/>
      <c r="N63" s="264"/>
      <c r="O63" s="264"/>
      <c r="P63" s="264"/>
    </row>
    <row r="64" spans="2:16" ht="18" x14ac:dyDescent="0.25">
      <c r="B64" s="750" t="s">
        <v>569</v>
      </c>
      <c r="C64" s="734" t="s">
        <v>566</v>
      </c>
      <c r="D64" s="265">
        <f>+D59-D62</f>
        <v>73231212</v>
      </c>
      <c r="E64" s="265">
        <f>+E59-E62</f>
        <v>74430655.752000004</v>
      </c>
      <c r="F64" s="265">
        <f>+F59-F62</f>
        <v>76697929</v>
      </c>
      <c r="G64" s="265">
        <f t="shared" ref="G64:P64" si="24">+G59-G62</f>
        <v>79115341.518110842</v>
      </c>
      <c r="H64" s="265">
        <f t="shared" si="24"/>
        <v>80827794.549690872</v>
      </c>
      <c r="I64" s="265">
        <f t="shared" si="24"/>
        <v>82344860.200524047</v>
      </c>
      <c r="J64" s="265">
        <f t="shared" si="24"/>
        <v>83990362.924031898</v>
      </c>
      <c r="K64" s="265">
        <f t="shared" si="24"/>
        <v>85430802.273440614</v>
      </c>
      <c r="L64" s="265">
        <f t="shared" si="24"/>
        <v>86701270.956573263</v>
      </c>
      <c r="M64" s="265">
        <f t="shared" si="24"/>
        <v>87610134.425211638</v>
      </c>
      <c r="N64" s="265">
        <f t="shared" si="24"/>
        <v>89178565.889500231</v>
      </c>
      <c r="O64" s="265">
        <f t="shared" si="24"/>
        <v>90746997.353788361</v>
      </c>
      <c r="P64" s="265">
        <f t="shared" si="24"/>
        <v>92315428.818076968</v>
      </c>
    </row>
    <row r="65" spans="2:16" ht="18" x14ac:dyDescent="0.25">
      <c r="B65" s="750" t="s">
        <v>570</v>
      </c>
      <c r="C65" s="734" t="s">
        <v>566</v>
      </c>
      <c r="D65" s="265">
        <f>+D60+D63</f>
        <v>55779290</v>
      </c>
      <c r="E65" s="265">
        <f t="shared" ref="E65:P65" si="25">+E60+E63</f>
        <v>56646487</v>
      </c>
      <c r="F65" s="265">
        <f t="shared" si="25"/>
        <v>57114170</v>
      </c>
      <c r="G65" s="265">
        <f t="shared" si="25"/>
        <v>57381362.231400006</v>
      </c>
      <c r="H65" s="265">
        <f t="shared" si="25"/>
        <v>59731641</v>
      </c>
      <c r="I65" s="265">
        <f t="shared" si="25"/>
        <v>60100673</v>
      </c>
      <c r="J65" s="265">
        <f t="shared" si="25"/>
        <v>60553470</v>
      </c>
      <c r="K65" s="265">
        <f t="shared" si="25"/>
        <v>61116311</v>
      </c>
      <c r="L65" s="265">
        <f t="shared" si="25"/>
        <v>61473228.050212145</v>
      </c>
      <c r="M65" s="265">
        <f t="shared" si="25"/>
        <v>62103401.234457493</v>
      </c>
      <c r="N65" s="265">
        <f t="shared" si="25"/>
        <v>62733574.418702841</v>
      </c>
      <c r="O65" s="265">
        <f t="shared" si="25"/>
        <v>63363747.602948427</v>
      </c>
      <c r="P65" s="265">
        <f t="shared" si="25"/>
        <v>63993920.787194014</v>
      </c>
    </row>
    <row r="66" spans="2:16" ht="18" x14ac:dyDescent="0.25">
      <c r="B66" s="750" t="s">
        <v>571</v>
      </c>
      <c r="C66" s="734" t="s">
        <v>105</v>
      </c>
      <c r="D66" s="263">
        <f>IFERROR((D64-D65)/D64*100,0)</f>
        <v>23.831262003420072</v>
      </c>
      <c r="E66" s="263">
        <f t="shared" ref="E66:P66" si="26">IFERROR((E64-E65)/E64*100,0)</f>
        <v>23.893607509325392</v>
      </c>
      <c r="F66" s="263">
        <f t="shared" si="26"/>
        <v>25.533621644464482</v>
      </c>
      <c r="G66" s="263">
        <f t="shared" si="26"/>
        <v>27.471257621678291</v>
      </c>
      <c r="H66" s="263">
        <f t="shared" si="26"/>
        <v>26.100122695691635</v>
      </c>
      <c r="I66" s="263">
        <f t="shared" si="26"/>
        <v>27.013449468923241</v>
      </c>
      <c r="J66" s="263">
        <f t="shared" si="26"/>
        <v>27.904264379986355</v>
      </c>
      <c r="K66" s="263">
        <f t="shared" si="26"/>
        <v>28.461035863407417</v>
      </c>
      <c r="L66" s="263">
        <f t="shared" si="26"/>
        <v>29.097662154222959</v>
      </c>
      <c r="M66" s="263">
        <f t="shared" si="26"/>
        <v>29.113907150237235</v>
      </c>
      <c r="N66" s="263">
        <f t="shared" si="26"/>
        <v>29.65397705942588</v>
      </c>
      <c r="O66" s="263">
        <f t="shared" si="26"/>
        <v>30.175378303794403</v>
      </c>
      <c r="P66" s="263">
        <f t="shared" si="26"/>
        <v>30.679062420535612</v>
      </c>
    </row>
    <row r="67" spans="2:16" ht="18" x14ac:dyDescent="0.25">
      <c r="B67" s="750" t="s">
        <v>572</v>
      </c>
      <c r="C67" s="734" t="s">
        <v>573</v>
      </c>
      <c r="D67" s="266">
        <f>IFERROR(D64/(D61*12),0)</f>
        <v>19.163932521463877</v>
      </c>
      <c r="E67" s="266">
        <f t="shared" ref="E67:P67" si="27">IFERROR(E64/(E61*12),0)</f>
        <v>19.055350338861206</v>
      </c>
      <c r="F67" s="266">
        <f t="shared" si="27"/>
        <v>19.16995813987899</v>
      </c>
      <c r="G67" s="266">
        <f t="shared" si="27"/>
        <v>19.281045070320214</v>
      </c>
      <c r="H67" s="266">
        <f t="shared" si="27"/>
        <v>19.274395557179695</v>
      </c>
      <c r="I67" s="266">
        <f t="shared" si="27"/>
        <v>19.222996995218125</v>
      </c>
      <c r="J67" s="266">
        <f t="shared" si="27"/>
        <v>19.194392702924439</v>
      </c>
      <c r="K67" s="266">
        <f t="shared" si="27"/>
        <v>19.112652012378163</v>
      </c>
      <c r="L67" s="266">
        <f t="shared" si="27"/>
        <v>18.988623406440688</v>
      </c>
      <c r="M67" s="266">
        <f t="shared" si="27"/>
        <v>18.783819831979496</v>
      </c>
      <c r="N67" s="266">
        <f t="shared" si="27"/>
        <v>18.717662019997846</v>
      </c>
      <c r="O67" s="266">
        <f t="shared" si="27"/>
        <v>18.645967836496542</v>
      </c>
      <c r="P67" s="266">
        <f t="shared" si="27"/>
        <v>18.568999644952367</v>
      </c>
    </row>
    <row r="68" spans="2:16" ht="18" x14ac:dyDescent="0.25">
      <c r="B68" s="750" t="s">
        <v>574</v>
      </c>
      <c r="C68" s="734" t="s">
        <v>573</v>
      </c>
      <c r="D68" s="266">
        <f>IFERROR(D65/(D61*12),0)</f>
        <v>14.596925552115195</v>
      </c>
      <c r="E68" s="266">
        <f t="shared" ref="E68:P68" si="28">IFERROR(E65/(E61*12),0)</f>
        <v>14.502339719366804</v>
      </c>
      <c r="F68" s="266">
        <f t="shared" si="28"/>
        <v>14.275173559040066</v>
      </c>
      <c r="G68" s="266">
        <f t="shared" si="28"/>
        <v>13.984299506900646</v>
      </c>
      <c r="H68" s="266">
        <f t="shared" si="28"/>
        <v>14.243754667902856</v>
      </c>
      <c r="I68" s="266">
        <f t="shared" si="28"/>
        <v>14.030202415502243</v>
      </c>
      <c r="J68" s="266">
        <f t="shared" si="28"/>
        <v>13.838338616967595</v>
      </c>
      <c r="K68" s="266">
        <f t="shared" si="28"/>
        <v>13.672993268686955</v>
      </c>
      <c r="L68" s="266">
        <f t="shared" si="28"/>
        <v>13.463377919896875</v>
      </c>
      <c r="M68" s="266">
        <f t="shared" si="28"/>
        <v>13.315115966829138</v>
      </c>
      <c r="N68" s="266">
        <f t="shared" si="28"/>
        <v>13.167130818526813</v>
      </c>
      <c r="O68" s="266">
        <f t="shared" si="28"/>
        <v>13.01947650342988</v>
      </c>
      <c r="P68" s="266">
        <f t="shared" si="28"/>
        <v>12.872204653008394</v>
      </c>
    </row>
    <row r="69" spans="2:16" ht="18" x14ac:dyDescent="0.25">
      <c r="B69" s="750" t="s">
        <v>575</v>
      </c>
      <c r="C69" s="734" t="s">
        <v>573</v>
      </c>
      <c r="D69" s="266">
        <f>IFERROR(D67-D68,0)</f>
        <v>4.5670069693486823</v>
      </c>
      <c r="E69" s="266">
        <f t="shared" ref="E69:P69" si="29">IFERROR(E67-E68,0)</f>
        <v>4.5530106194944029</v>
      </c>
      <c r="F69" s="266">
        <f t="shared" si="29"/>
        <v>4.8947845808389232</v>
      </c>
      <c r="G69" s="266">
        <f t="shared" si="29"/>
        <v>5.2967455634195684</v>
      </c>
      <c r="H69" s="266">
        <f t="shared" si="29"/>
        <v>5.0306408892768388</v>
      </c>
      <c r="I69" s="266">
        <f t="shared" si="29"/>
        <v>5.1927945797158817</v>
      </c>
      <c r="J69" s="266">
        <f t="shared" si="29"/>
        <v>5.3560540859568437</v>
      </c>
      <c r="K69" s="266">
        <f t="shared" si="29"/>
        <v>5.4396587436912078</v>
      </c>
      <c r="L69" s="266">
        <f t="shared" si="29"/>
        <v>5.5252454865438132</v>
      </c>
      <c r="M69" s="266">
        <f t="shared" si="29"/>
        <v>5.4687038651503581</v>
      </c>
      <c r="N69" s="266">
        <f t="shared" si="29"/>
        <v>5.5505312014710331</v>
      </c>
      <c r="O69" s="266">
        <f t="shared" si="29"/>
        <v>5.6264913330666619</v>
      </c>
      <c r="P69" s="266">
        <f t="shared" si="29"/>
        <v>5.6967949919439729</v>
      </c>
    </row>
    <row r="72" spans="2:16" ht="18" x14ac:dyDescent="0.25">
      <c r="B72" s="301" t="s">
        <v>580</v>
      </c>
      <c r="C72" s="301" t="s">
        <v>556</v>
      </c>
      <c r="D72" s="750" t="s">
        <v>557</v>
      </c>
      <c r="E72" s="750" t="s">
        <v>558</v>
      </c>
      <c r="F72" s="750" t="s">
        <v>559</v>
      </c>
      <c r="G72" s="750" t="s">
        <v>560</v>
      </c>
      <c r="H72" s="750" t="s">
        <v>561</v>
      </c>
      <c r="I72" s="750" t="s">
        <v>562</v>
      </c>
      <c r="J72" s="750" t="s">
        <v>563</v>
      </c>
      <c r="K72" s="750" t="s">
        <v>564</v>
      </c>
      <c r="L72" s="750" t="s">
        <v>565</v>
      </c>
      <c r="M72" s="750" t="s">
        <v>1029</v>
      </c>
      <c r="N72" s="750" t="s">
        <v>1030</v>
      </c>
      <c r="O72" s="750" t="s">
        <v>1031</v>
      </c>
      <c r="P72" s="750" t="s">
        <v>1032</v>
      </c>
    </row>
    <row r="73" spans="2:16" ht="18" x14ac:dyDescent="0.25">
      <c r="B73" s="750" t="s">
        <v>870</v>
      </c>
      <c r="C73" s="734" t="s">
        <v>566</v>
      </c>
      <c r="D73" s="265">
        <f>+$D$3</f>
        <v>73231212</v>
      </c>
      <c r="E73" s="265">
        <f>+$E$3</f>
        <v>74430655.752000004</v>
      </c>
      <c r="F73" s="265">
        <f>+$F$3</f>
        <v>76697929</v>
      </c>
      <c r="G73" s="265">
        <f>+$G$3</f>
        <v>79443376.444158807</v>
      </c>
      <c r="H73" s="265">
        <f>+$H$3</f>
        <v>81346804.018574134</v>
      </c>
      <c r="I73" s="265">
        <f>+$I$3</f>
        <v>83117762.153032988</v>
      </c>
      <c r="J73" s="265">
        <f>+$J$3</f>
        <v>84376813.900286376</v>
      </c>
      <c r="K73" s="265">
        <f>+$K$3</f>
        <v>85817253.249695092</v>
      </c>
      <c r="L73" s="265">
        <f>+$L$3</f>
        <v>87087721.932827741</v>
      </c>
      <c r="M73" s="265">
        <f>+$M$3</f>
        <v>87996585.401466116</v>
      </c>
      <c r="N73" s="265">
        <f>+$N$3</f>
        <v>89565016.865754709</v>
      </c>
      <c r="O73" s="265">
        <f>+$O$3</f>
        <v>91133448.330042839</v>
      </c>
      <c r="P73" s="265">
        <f>+$P$3</f>
        <v>92701879.794331446</v>
      </c>
    </row>
    <row r="74" spans="2:16" ht="18" x14ac:dyDescent="0.25">
      <c r="B74" s="750" t="s">
        <v>871</v>
      </c>
      <c r="C74" s="734" t="s">
        <v>566</v>
      </c>
      <c r="D74" s="265">
        <f>+$D$4</f>
        <v>55779290</v>
      </c>
      <c r="E74" s="265">
        <f>+$E$4</f>
        <v>56646487</v>
      </c>
      <c r="F74" s="265">
        <f>+$F$4</f>
        <v>57114170</v>
      </c>
      <c r="G74" s="265">
        <f>+$G$4</f>
        <v>57381362.231400006</v>
      </c>
      <c r="H74" s="265">
        <f>+$H$4</f>
        <v>59731641</v>
      </c>
      <c r="I74" s="265">
        <f>+$I$4</f>
        <v>60100673</v>
      </c>
      <c r="J74" s="265">
        <f>+$J$4</f>
        <v>60553470</v>
      </c>
      <c r="K74" s="265">
        <f>+$K$4</f>
        <v>61116311</v>
      </c>
      <c r="L74" s="265">
        <f>+$L$4</f>
        <v>61473228.050212145</v>
      </c>
      <c r="M74" s="265">
        <f>+$M$4</f>
        <v>62103401.234457493</v>
      </c>
      <c r="N74" s="265">
        <f>+$N$4</f>
        <v>62733574.418702841</v>
      </c>
      <c r="O74" s="265">
        <f>+$O$4</f>
        <v>63363747.602948427</v>
      </c>
      <c r="P74" s="265">
        <f>+$P$4</f>
        <v>63993920.787194014</v>
      </c>
    </row>
    <row r="75" spans="2:16" ht="18" x14ac:dyDescent="0.25">
      <c r="B75" s="750" t="s">
        <v>102</v>
      </c>
      <c r="C75" s="734" t="s">
        <v>566</v>
      </c>
      <c r="D75" s="265">
        <f>+$D$5</f>
        <v>318442</v>
      </c>
      <c r="E75" s="265">
        <f>+$E$5</f>
        <v>325502</v>
      </c>
      <c r="F75" s="265">
        <f>+$F$5</f>
        <v>333412</v>
      </c>
      <c r="G75" s="265">
        <f>+$G$5</f>
        <v>341939.19999999995</v>
      </c>
      <c r="H75" s="265">
        <f>+$H$5</f>
        <v>349461</v>
      </c>
      <c r="I75" s="265">
        <f>+$I$5</f>
        <v>356972</v>
      </c>
      <c r="J75" s="265">
        <f>+$J$5</f>
        <v>364648</v>
      </c>
      <c r="K75" s="265">
        <f>+$K$5</f>
        <v>372488</v>
      </c>
      <c r="L75" s="265">
        <f>+$L$5</f>
        <v>380496.56146201264</v>
      </c>
      <c r="M75" s="265">
        <f>+$M$5</f>
        <v>388677.30848890479</v>
      </c>
      <c r="N75" s="265">
        <f>+$N$5</f>
        <v>397033.94310243073</v>
      </c>
      <c r="O75" s="265">
        <f>+$O$5</f>
        <v>405570.24691850279</v>
      </c>
      <c r="P75" s="265">
        <f>+$P$5</f>
        <v>414290.08285848069</v>
      </c>
    </row>
    <row r="76" spans="2:16" ht="18" x14ac:dyDescent="0.25">
      <c r="B76" s="750" t="s">
        <v>567</v>
      </c>
      <c r="C76" s="734" t="s">
        <v>566</v>
      </c>
      <c r="D76" s="265">
        <f>+'EV PROG TÉCNICOS'!I83</f>
        <v>0</v>
      </c>
      <c r="E76" s="265">
        <f>+'EV PROG TÉCNICOS'!J83</f>
        <v>0</v>
      </c>
      <c r="F76" s="265">
        <f>+'EV PROG TÉCNICOS'!K83</f>
        <v>0</v>
      </c>
      <c r="G76" s="265">
        <f>+'EV PROG TÉCNICOS'!L83+PROG6[[#This Row],[2025]]</f>
        <v>0</v>
      </c>
      <c r="H76" s="265">
        <f>+'EV PROG TÉCNICOS'!M83+PROG6[[#This Row],[2026]]</f>
        <v>188842.53575319157</v>
      </c>
      <c r="I76" s="265">
        <f>+'EV PROG TÉCNICOS'!N83+PROG6[[#This Row],[2027]]</f>
        <v>403522.54645660461</v>
      </c>
      <c r="J76" s="265">
        <f>+'EV PROG TÉCNICOS'!O83+PROG6[[#This Row],[2028]]</f>
        <v>673027.39395462652</v>
      </c>
      <c r="K76" s="265">
        <f>+'EV PROG TÉCNICOS'!P83+PROG6[[#This Row],[2029]]</f>
        <v>1134765.6884398228</v>
      </c>
      <c r="L76" s="265">
        <f>+'EV PROG TÉCNICOS'!Q83+PROG6[[#This Row],[2030]]</f>
        <v>1634631.9741030305</v>
      </c>
      <c r="M76" s="265">
        <f>+'EV PROG TÉCNICOS'!R83+PROG6[[#This Row],[2031]]</f>
        <v>2002345.2452573325</v>
      </c>
      <c r="N76" s="265">
        <f>+'EV PROG TÉCNICOS'!S83+PROG6[[#This Row],[2032]]</f>
        <v>2708593.348338583</v>
      </c>
      <c r="O76" s="265">
        <f>+'EV PROG TÉCNICOS'!T83+PROG6[[#This Row],[2033]]</f>
        <v>3131222.2236795626</v>
      </c>
      <c r="P76" s="265">
        <f>+'EV PROG TÉCNICOS'!U83+PROG6[[#This Row],[2034]]</f>
        <v>3663085.4417169946</v>
      </c>
    </row>
    <row r="77" spans="2:16" ht="18" x14ac:dyDescent="0.25">
      <c r="B77" s="750" t="s">
        <v>568</v>
      </c>
      <c r="C77" s="734" t="s">
        <v>566</v>
      </c>
      <c r="D77" s="264"/>
      <c r="E77" s="264"/>
      <c r="F77" s="264"/>
      <c r="G77" s="264"/>
      <c r="H77" s="264"/>
      <c r="I77" s="264"/>
      <c r="J77" s="264"/>
      <c r="K77" s="264"/>
      <c r="L77" s="264"/>
      <c r="M77" s="264"/>
      <c r="N77" s="264"/>
      <c r="O77" s="264"/>
      <c r="P77" s="264"/>
    </row>
    <row r="78" spans="2:16" ht="18" x14ac:dyDescent="0.25">
      <c r="B78" s="750" t="s">
        <v>569</v>
      </c>
      <c r="C78" s="734" t="s">
        <v>566</v>
      </c>
      <c r="D78" s="265">
        <f>+D73-D76</f>
        <v>73231212</v>
      </c>
      <c r="E78" s="265">
        <f>+E73-E76</f>
        <v>74430655.752000004</v>
      </c>
      <c r="F78" s="265">
        <f>+F73-F76</f>
        <v>76697929</v>
      </c>
      <c r="G78" s="265">
        <f t="shared" ref="G78:P78" si="30">+G73-G76</f>
        <v>79443376.444158807</v>
      </c>
      <c r="H78" s="265">
        <f t="shared" si="30"/>
        <v>81157961.482820943</v>
      </c>
      <c r="I78" s="265">
        <f t="shared" si="30"/>
        <v>82714239.606576383</v>
      </c>
      <c r="J78" s="265">
        <f t="shared" si="30"/>
        <v>83703786.506331757</v>
      </c>
      <c r="K78" s="265">
        <f t="shared" si="30"/>
        <v>84682487.561255276</v>
      </c>
      <c r="L78" s="265">
        <f t="shared" si="30"/>
        <v>85453089.958724707</v>
      </c>
      <c r="M78" s="265">
        <f t="shared" si="30"/>
        <v>85994240.156208783</v>
      </c>
      <c r="N78" s="265">
        <f t="shared" si="30"/>
        <v>86856423.51741612</v>
      </c>
      <c r="O78" s="265">
        <f t="shared" si="30"/>
        <v>88002226.106363282</v>
      </c>
      <c r="P78" s="265">
        <f t="shared" si="30"/>
        <v>89038794.352614447</v>
      </c>
    </row>
    <row r="79" spans="2:16" ht="18" x14ac:dyDescent="0.25">
      <c r="B79" s="750" t="s">
        <v>570</v>
      </c>
      <c r="C79" s="734" t="s">
        <v>566</v>
      </c>
      <c r="D79" s="265">
        <f>+D74+D77</f>
        <v>55779290</v>
      </c>
      <c r="E79" s="265">
        <f t="shared" ref="E79:P79" si="31">+E74+E77</f>
        <v>56646487</v>
      </c>
      <c r="F79" s="265">
        <f t="shared" si="31"/>
        <v>57114170</v>
      </c>
      <c r="G79" s="265">
        <f t="shared" si="31"/>
        <v>57381362.231400006</v>
      </c>
      <c r="H79" s="265">
        <f t="shared" si="31"/>
        <v>59731641</v>
      </c>
      <c r="I79" s="265">
        <f>+I74+I77</f>
        <v>60100673</v>
      </c>
      <c r="J79" s="265">
        <f t="shared" si="31"/>
        <v>60553470</v>
      </c>
      <c r="K79" s="265">
        <f t="shared" si="31"/>
        <v>61116311</v>
      </c>
      <c r="L79" s="265">
        <f t="shared" si="31"/>
        <v>61473228.050212145</v>
      </c>
      <c r="M79" s="265">
        <f t="shared" si="31"/>
        <v>62103401.234457493</v>
      </c>
      <c r="N79" s="265">
        <f t="shared" si="31"/>
        <v>62733574.418702841</v>
      </c>
      <c r="O79" s="265">
        <f t="shared" si="31"/>
        <v>63363747.602948427</v>
      </c>
      <c r="P79" s="265">
        <f t="shared" si="31"/>
        <v>63993920.787194014</v>
      </c>
    </row>
    <row r="80" spans="2:16" ht="18" x14ac:dyDescent="0.25">
      <c r="B80" s="750" t="s">
        <v>571</v>
      </c>
      <c r="C80" s="734" t="s">
        <v>105</v>
      </c>
      <c r="D80" s="263">
        <f>IFERROR((D78-D79)/D78*100,0)</f>
        <v>23.831262003420072</v>
      </c>
      <c r="E80" s="263">
        <f t="shared" ref="E80:P80" si="32">IFERROR((E78-E79)/E78*100,0)</f>
        <v>23.893607509325392</v>
      </c>
      <c r="F80" s="263">
        <f t="shared" si="32"/>
        <v>25.533621644464482</v>
      </c>
      <c r="G80" s="263">
        <f t="shared" si="32"/>
        <v>27.770740872609203</v>
      </c>
      <c r="H80" s="263">
        <f t="shared" si="32"/>
        <v>26.400762280551298</v>
      </c>
      <c r="I80" s="263">
        <f t="shared" si="32"/>
        <v>27.339387648530639</v>
      </c>
      <c r="J80" s="263">
        <f t="shared" si="32"/>
        <v>27.657430413354785</v>
      </c>
      <c r="K80" s="263">
        <f t="shared" si="32"/>
        <v>27.828866675897572</v>
      </c>
      <c r="L80" s="263">
        <f t="shared" si="32"/>
        <v>28.06201849470305</v>
      </c>
      <c r="M80" s="263">
        <f t="shared" si="32"/>
        <v>27.781905948995554</v>
      </c>
      <c r="N80" s="263">
        <f t="shared" si="32"/>
        <v>27.77324706891282</v>
      </c>
      <c r="O80" s="263">
        <f t="shared" si="32"/>
        <v>27.997562781691144</v>
      </c>
      <c r="P80" s="263">
        <f t="shared" si="32"/>
        <v>28.128046597572826</v>
      </c>
    </row>
    <row r="81" spans="2:16" ht="18" x14ac:dyDescent="0.25">
      <c r="B81" s="750" t="s">
        <v>572</v>
      </c>
      <c r="C81" s="734" t="s">
        <v>573</v>
      </c>
      <c r="D81" s="266">
        <f>IFERROR(D78/(D75*12),0)</f>
        <v>19.163932521463877</v>
      </c>
      <c r="E81" s="266">
        <f t="shared" ref="E81:P81" si="33">IFERROR(E78/(E75*12),0)</f>
        <v>19.055350338861206</v>
      </c>
      <c r="F81" s="266">
        <f t="shared" si="33"/>
        <v>19.16995813987899</v>
      </c>
      <c r="G81" s="266">
        <f t="shared" si="33"/>
        <v>19.360989820256258</v>
      </c>
      <c r="H81" s="266">
        <f t="shared" si="33"/>
        <v>19.3531279796651</v>
      </c>
      <c r="I81" s="266">
        <f t="shared" si="33"/>
        <v>19.309226775623948</v>
      </c>
      <c r="J81" s="266">
        <f t="shared" si="33"/>
        <v>19.128901138068255</v>
      </c>
      <c r="K81" s="266">
        <f t="shared" si="33"/>
        <v>18.945238406171313</v>
      </c>
      <c r="L81" s="266">
        <f t="shared" si="33"/>
        <v>18.71525672277243</v>
      </c>
      <c r="M81" s="266">
        <f t="shared" si="33"/>
        <v>18.437368282559852</v>
      </c>
      <c r="N81" s="266">
        <f t="shared" si="33"/>
        <v>18.230268265125812</v>
      </c>
      <c r="O81" s="266">
        <f t="shared" si="33"/>
        <v>18.081994174662846</v>
      </c>
      <c r="P81" s="266">
        <f t="shared" si="33"/>
        <v>17.909913455300199</v>
      </c>
    </row>
    <row r="82" spans="2:16" ht="18" x14ac:dyDescent="0.25">
      <c r="B82" s="750" t="s">
        <v>574</v>
      </c>
      <c r="C82" s="734" t="s">
        <v>573</v>
      </c>
      <c r="D82" s="266">
        <f>IFERROR(D79/(D75*12),0)</f>
        <v>14.596925552115195</v>
      </c>
      <c r="E82" s="266">
        <f t="shared" ref="E82:P82" si="34">IFERROR(E79/(E75*12),0)</f>
        <v>14.502339719366804</v>
      </c>
      <c r="F82" s="266">
        <f t="shared" si="34"/>
        <v>14.275173559040066</v>
      </c>
      <c r="G82" s="266">
        <f t="shared" si="34"/>
        <v>13.984299506900646</v>
      </c>
      <c r="H82" s="266">
        <f t="shared" si="34"/>
        <v>14.243754667902856</v>
      </c>
      <c r="I82" s="266">
        <f t="shared" si="34"/>
        <v>14.030202415502243</v>
      </c>
      <c r="J82" s="266">
        <f t="shared" si="34"/>
        <v>13.838338616967595</v>
      </c>
      <c r="K82" s="266">
        <f t="shared" si="34"/>
        <v>13.672993268686955</v>
      </c>
      <c r="L82" s="266">
        <f t="shared" si="34"/>
        <v>13.463377919896875</v>
      </c>
      <c r="M82" s="266">
        <f t="shared" si="34"/>
        <v>13.315115966829138</v>
      </c>
      <c r="N82" s="266">
        <f t="shared" si="34"/>
        <v>13.167130818526813</v>
      </c>
      <c r="O82" s="266">
        <f t="shared" si="34"/>
        <v>13.01947650342988</v>
      </c>
      <c r="P82" s="266">
        <f t="shared" si="34"/>
        <v>12.872204653008394</v>
      </c>
    </row>
    <row r="83" spans="2:16" ht="18" x14ac:dyDescent="0.25">
      <c r="B83" s="750" t="s">
        <v>575</v>
      </c>
      <c r="C83" s="734" t="s">
        <v>573</v>
      </c>
      <c r="D83" s="266">
        <f>IFERROR(D81-D82,0)</f>
        <v>4.5670069693486823</v>
      </c>
      <c r="E83" s="266">
        <f t="shared" ref="E83:P83" si="35">IFERROR(E81-E82,0)</f>
        <v>4.5530106194944029</v>
      </c>
      <c r="F83" s="266">
        <f t="shared" si="35"/>
        <v>4.8947845808389232</v>
      </c>
      <c r="G83" s="266">
        <f t="shared" si="35"/>
        <v>5.3766903133556117</v>
      </c>
      <c r="H83" s="266">
        <f t="shared" si="35"/>
        <v>5.1093733117622442</v>
      </c>
      <c r="I83" s="266">
        <f t="shared" si="35"/>
        <v>5.2790243601217046</v>
      </c>
      <c r="J83" s="266">
        <f t="shared" si="35"/>
        <v>5.2905625211006591</v>
      </c>
      <c r="K83" s="266">
        <f t="shared" si="35"/>
        <v>5.272245137484358</v>
      </c>
      <c r="L83" s="266">
        <f t="shared" si="35"/>
        <v>5.2518788028755559</v>
      </c>
      <c r="M83" s="266">
        <f t="shared" si="35"/>
        <v>5.122252315730714</v>
      </c>
      <c r="N83" s="266">
        <f t="shared" si="35"/>
        <v>5.0631374465989989</v>
      </c>
      <c r="O83" s="266">
        <f t="shared" si="35"/>
        <v>5.0625176712329658</v>
      </c>
      <c r="P83" s="266">
        <f t="shared" si="35"/>
        <v>5.0377088022918048</v>
      </c>
    </row>
    <row r="86" spans="2:16" ht="18" x14ac:dyDescent="0.25">
      <c r="B86" s="301" t="s">
        <v>581</v>
      </c>
      <c r="C86" s="301" t="s">
        <v>556</v>
      </c>
      <c r="D86" s="750" t="s">
        <v>557</v>
      </c>
      <c r="E86" s="750" t="s">
        <v>558</v>
      </c>
      <c r="F86" s="750" t="s">
        <v>559</v>
      </c>
      <c r="G86" s="750" t="s">
        <v>560</v>
      </c>
      <c r="H86" s="750" t="s">
        <v>561</v>
      </c>
      <c r="I86" s="750" t="s">
        <v>562</v>
      </c>
      <c r="J86" s="750" t="s">
        <v>563</v>
      </c>
      <c r="K86" s="750" t="s">
        <v>564</v>
      </c>
      <c r="L86" s="750" t="s">
        <v>565</v>
      </c>
      <c r="M86" s="750" t="s">
        <v>1029</v>
      </c>
      <c r="N86" s="750" t="s">
        <v>1030</v>
      </c>
      <c r="O86" s="750" t="s">
        <v>1031</v>
      </c>
      <c r="P86" s="750" t="s">
        <v>1032</v>
      </c>
    </row>
    <row r="87" spans="2:16" ht="18" x14ac:dyDescent="0.25">
      <c r="B87" s="750" t="s">
        <v>870</v>
      </c>
      <c r="C87" s="734" t="s">
        <v>566</v>
      </c>
      <c r="D87" s="265">
        <f>+$D$3</f>
        <v>73231212</v>
      </c>
      <c r="E87" s="265">
        <f>+$E$3</f>
        <v>74430655.752000004</v>
      </c>
      <c r="F87" s="265">
        <f>+$F$3</f>
        <v>76697929</v>
      </c>
      <c r="G87" s="265">
        <f>+$G$3</f>
        <v>79443376.444158807</v>
      </c>
      <c r="H87" s="265">
        <f>+$H$3</f>
        <v>81346804.018574134</v>
      </c>
      <c r="I87" s="265">
        <f>+$I$3</f>
        <v>83117762.153032988</v>
      </c>
      <c r="J87" s="265">
        <f>+$J$3</f>
        <v>84376813.900286376</v>
      </c>
      <c r="K87" s="265">
        <f>+$K$3</f>
        <v>85817253.249695092</v>
      </c>
      <c r="L87" s="265">
        <f>+$L$3</f>
        <v>87087721.932827741</v>
      </c>
      <c r="M87" s="265">
        <f>+$M$3</f>
        <v>87996585.401466116</v>
      </c>
      <c r="N87" s="265">
        <f>+$N$3</f>
        <v>89565016.865754709</v>
      </c>
      <c r="O87" s="265">
        <f>+$O$3</f>
        <v>91133448.330042839</v>
      </c>
      <c r="P87" s="265">
        <f>+$P$3</f>
        <v>92701879.794331446</v>
      </c>
    </row>
    <row r="88" spans="2:16" ht="18" x14ac:dyDescent="0.25">
      <c r="B88" s="750" t="s">
        <v>871</v>
      </c>
      <c r="C88" s="734" t="s">
        <v>566</v>
      </c>
      <c r="D88" s="265">
        <f>+$D$4</f>
        <v>55779290</v>
      </c>
      <c r="E88" s="265">
        <f>+$E$4</f>
        <v>56646487</v>
      </c>
      <c r="F88" s="265">
        <f>+$F$4</f>
        <v>57114170</v>
      </c>
      <c r="G88" s="265">
        <f>+$G$4</f>
        <v>57381362.231400006</v>
      </c>
      <c r="H88" s="265">
        <f>+$H$4</f>
        <v>59731641</v>
      </c>
      <c r="I88" s="265">
        <f>+$I$4</f>
        <v>60100673</v>
      </c>
      <c r="J88" s="265">
        <f>+$J$4</f>
        <v>60553470</v>
      </c>
      <c r="K88" s="265">
        <f>+$K$4</f>
        <v>61116311</v>
      </c>
      <c r="L88" s="265">
        <f>+$L$4</f>
        <v>61473228.050212145</v>
      </c>
      <c r="M88" s="265">
        <f>+$M$4</f>
        <v>62103401.234457493</v>
      </c>
      <c r="N88" s="265">
        <f>+$N$4</f>
        <v>62733574.418702841</v>
      </c>
      <c r="O88" s="265">
        <f>+$O$4</f>
        <v>63363747.602948427</v>
      </c>
      <c r="P88" s="265">
        <f>+$P$4</f>
        <v>63993920.787194014</v>
      </c>
    </row>
    <row r="89" spans="2:16" ht="18" x14ac:dyDescent="0.25">
      <c r="B89" s="750" t="s">
        <v>102</v>
      </c>
      <c r="C89" s="734" t="s">
        <v>566</v>
      </c>
      <c r="D89" s="265">
        <f>+$D$5</f>
        <v>318442</v>
      </c>
      <c r="E89" s="265">
        <f>+$E$5</f>
        <v>325502</v>
      </c>
      <c r="F89" s="265">
        <f>+$F$5</f>
        <v>333412</v>
      </c>
      <c r="G89" s="265">
        <f>+$G$5</f>
        <v>341939.19999999995</v>
      </c>
      <c r="H89" s="265">
        <f>+$H$5</f>
        <v>349461</v>
      </c>
      <c r="I89" s="265">
        <f>+$I$5</f>
        <v>356972</v>
      </c>
      <c r="J89" s="265">
        <f>+$J$5</f>
        <v>364648</v>
      </c>
      <c r="K89" s="265">
        <f>+$K$5</f>
        <v>372488</v>
      </c>
      <c r="L89" s="265">
        <f>+$L$5</f>
        <v>380496.56146201264</v>
      </c>
      <c r="M89" s="265">
        <f>+$M$5</f>
        <v>388677.30848890479</v>
      </c>
      <c r="N89" s="265">
        <f>+$N$5</f>
        <v>397033.94310243073</v>
      </c>
      <c r="O89" s="265">
        <f>+$O$5</f>
        <v>405570.24691850279</v>
      </c>
      <c r="P89" s="265">
        <f>+$P$5</f>
        <v>414290.08285848069</v>
      </c>
    </row>
    <row r="90" spans="2:16" ht="18" x14ac:dyDescent="0.25">
      <c r="B90" s="750" t="s">
        <v>567</v>
      </c>
      <c r="C90" s="734" t="s">
        <v>566</v>
      </c>
      <c r="D90" s="265">
        <f>+'EV PROG TÉCNICOS'!I95</f>
        <v>0</v>
      </c>
      <c r="E90" s="265">
        <f>+'EV PROG TÉCNICOS'!J95</f>
        <v>0</v>
      </c>
      <c r="F90" s="265">
        <f>+'EV PROG TÉCNICOS'!K95</f>
        <v>0</v>
      </c>
      <c r="G90" s="265">
        <f>+'EV PROG TÉCNICOS'!L95</f>
        <v>0</v>
      </c>
      <c r="H90" s="265">
        <f>+'EV PROG TÉCNICOS'!M95</f>
        <v>1087957.2234578964</v>
      </c>
      <c r="I90" s="265">
        <f>+'EV PROG TÉCNICOS'!N95+PROG7[[#This Row],[2027]]</f>
        <v>2884758.71265744</v>
      </c>
      <c r="J90" s="265">
        <f>+'EV PROG TÉCNICOS'!O95+PROG7[[#This Row],[2028]]</f>
        <v>4188821.5440644301</v>
      </c>
      <c r="K90" s="265">
        <f>+'EV PROG TÉCNICOS'!P95+PROG7[[#This Row],[2029]]</f>
        <v>5179283.6016884707</v>
      </c>
      <c r="L90" s="265">
        <f>+'EV PROG TÉCNICOS'!Q95+PROG7[[#This Row],[2030]]</f>
        <v>6001560.1505101612</v>
      </c>
      <c r="M90" s="265">
        <f>+PROG7[[#This Row],[2031]]*60%</f>
        <v>3600936.0903060967</v>
      </c>
      <c r="N90" s="265">
        <f>PROG7[[#This Row],[2032]]</f>
        <v>3600936.0903060967</v>
      </c>
      <c r="O90" s="265">
        <f>+'EV PROG TÉCNICOS'!T95+PROG7[[#This Row],[2033]]</f>
        <v>3600936.0903060967</v>
      </c>
      <c r="P90" s="265">
        <f>+'EV PROG TÉCNICOS'!U95+PROG7[[#This Row],[2034]]</f>
        <v>3600936.0903060967</v>
      </c>
    </row>
    <row r="91" spans="2:16" ht="18" x14ac:dyDescent="0.25">
      <c r="B91" s="750" t="s">
        <v>568</v>
      </c>
      <c r="C91" s="734" t="s">
        <v>566</v>
      </c>
      <c r="D91" s="264"/>
      <c r="E91" s="264"/>
      <c r="F91" s="264"/>
      <c r="G91" s="264"/>
      <c r="H91" s="264"/>
      <c r="I91" s="264"/>
      <c r="J91" s="264"/>
      <c r="K91" s="264"/>
      <c r="L91" s="264"/>
      <c r="M91" s="264"/>
      <c r="N91" s="264"/>
      <c r="O91" s="264"/>
      <c r="P91" s="264"/>
    </row>
    <row r="92" spans="2:16" ht="18" x14ac:dyDescent="0.25">
      <c r="B92" s="750" t="s">
        <v>569</v>
      </c>
      <c r="C92" s="734" t="s">
        <v>566</v>
      </c>
      <c r="D92" s="265">
        <f>+D87-D90</f>
        <v>73231212</v>
      </c>
      <c r="E92" s="265">
        <f>+E87-E90</f>
        <v>74430655.752000004</v>
      </c>
      <c r="F92" s="265">
        <f>+F87-F90</f>
        <v>76697929</v>
      </c>
      <c r="G92" s="265">
        <f t="shared" ref="G92:P92" si="36">+G87-G90</f>
        <v>79443376.444158807</v>
      </c>
      <c r="H92" s="265">
        <f t="shared" si="36"/>
        <v>80258846.795116231</v>
      </c>
      <c r="I92" s="265">
        <f t="shared" si="36"/>
        <v>80233003.440375552</v>
      </c>
      <c r="J92" s="265">
        <f t="shared" si="36"/>
        <v>80187992.356221944</v>
      </c>
      <c r="K92" s="265">
        <f t="shared" si="36"/>
        <v>80637969.648006618</v>
      </c>
      <c r="L92" s="265">
        <f t="shared" si="36"/>
        <v>81086161.782317579</v>
      </c>
      <c r="M92" s="265">
        <f t="shared" si="36"/>
        <v>84395649.311160013</v>
      </c>
      <c r="N92" s="265">
        <f t="shared" si="36"/>
        <v>85964080.775448605</v>
      </c>
      <c r="O92" s="265">
        <f t="shared" si="36"/>
        <v>87532512.239736736</v>
      </c>
      <c r="P92" s="265">
        <f t="shared" si="36"/>
        <v>89100943.704025343</v>
      </c>
    </row>
    <row r="93" spans="2:16" ht="18" x14ac:dyDescent="0.25">
      <c r="B93" s="750" t="s">
        <v>570</v>
      </c>
      <c r="C93" s="734" t="s">
        <v>566</v>
      </c>
      <c r="D93" s="265">
        <f>+D88+D91</f>
        <v>55779290</v>
      </c>
      <c r="E93" s="265">
        <f t="shared" ref="E93:P93" si="37">+E88+E91</f>
        <v>56646487</v>
      </c>
      <c r="F93" s="265">
        <f t="shared" si="37"/>
        <v>57114170</v>
      </c>
      <c r="G93" s="265">
        <f t="shared" si="37"/>
        <v>57381362.231400006</v>
      </c>
      <c r="H93" s="265">
        <f t="shared" si="37"/>
        <v>59731641</v>
      </c>
      <c r="I93" s="265">
        <f t="shared" si="37"/>
        <v>60100673</v>
      </c>
      <c r="J93" s="265">
        <f t="shared" si="37"/>
        <v>60553470</v>
      </c>
      <c r="K93" s="265">
        <f t="shared" si="37"/>
        <v>61116311</v>
      </c>
      <c r="L93" s="265">
        <f t="shared" si="37"/>
        <v>61473228.050212145</v>
      </c>
      <c r="M93" s="265">
        <f t="shared" si="37"/>
        <v>62103401.234457493</v>
      </c>
      <c r="N93" s="265">
        <f t="shared" si="37"/>
        <v>62733574.418702841</v>
      </c>
      <c r="O93" s="265">
        <f t="shared" si="37"/>
        <v>63363747.602948427</v>
      </c>
      <c r="P93" s="265">
        <f t="shared" si="37"/>
        <v>63993920.787194014</v>
      </c>
    </row>
    <row r="94" spans="2:16" ht="18" x14ac:dyDescent="0.25">
      <c r="B94" s="750" t="s">
        <v>571</v>
      </c>
      <c r="C94" s="734" t="s">
        <v>105</v>
      </c>
      <c r="D94" s="263">
        <f>IFERROR((D92-D93)/D92*100,0)</f>
        <v>23.831262003420072</v>
      </c>
      <c r="E94" s="263">
        <f t="shared" ref="E94:P94" si="38">IFERROR((E92-E93)/E92*100,0)</f>
        <v>23.893607509325392</v>
      </c>
      <c r="F94" s="263">
        <f t="shared" si="38"/>
        <v>25.533621644464482</v>
      </c>
      <c r="G94" s="263">
        <f t="shared" si="38"/>
        <v>27.770740872609203</v>
      </c>
      <c r="H94" s="263">
        <f t="shared" si="38"/>
        <v>25.576253104555342</v>
      </c>
      <c r="I94" s="263">
        <f t="shared" si="38"/>
        <v>25.092330558629421</v>
      </c>
      <c r="J94" s="263">
        <f t="shared" si="38"/>
        <v>24.485614091694444</v>
      </c>
      <c r="K94" s="263">
        <f t="shared" si="38"/>
        <v>24.209015595532417</v>
      </c>
      <c r="L94" s="263">
        <f t="shared" si="38"/>
        <v>24.187769282701968</v>
      </c>
      <c r="M94" s="263">
        <f t="shared" si="38"/>
        <v>26.413977804131566</v>
      </c>
      <c r="N94" s="263">
        <f t="shared" si="38"/>
        <v>27.023503476326837</v>
      </c>
      <c r="O94" s="263">
        <f t="shared" si="38"/>
        <v>27.611185853542224</v>
      </c>
      <c r="P94" s="263">
        <f t="shared" si="38"/>
        <v>28.178178449188589</v>
      </c>
    </row>
    <row r="95" spans="2:16" ht="18" x14ac:dyDescent="0.25">
      <c r="B95" s="750" t="s">
        <v>572</v>
      </c>
      <c r="C95" s="734" t="s">
        <v>573</v>
      </c>
      <c r="D95" s="266">
        <f>IFERROR(D92/(D89*12),0)</f>
        <v>19.163932521463877</v>
      </c>
      <c r="E95" s="266">
        <f t="shared" ref="E95:P95" si="39">IFERROR(E92/(E89*12),0)</f>
        <v>19.055350338861206</v>
      </c>
      <c r="F95" s="266">
        <f t="shared" si="39"/>
        <v>19.16995813987899</v>
      </c>
      <c r="G95" s="266">
        <f t="shared" si="39"/>
        <v>19.360989820256258</v>
      </c>
      <c r="H95" s="266">
        <f t="shared" si="39"/>
        <v>19.138722870152471</v>
      </c>
      <c r="I95" s="266">
        <f t="shared" si="39"/>
        <v>18.729994565487758</v>
      </c>
      <c r="J95" s="266">
        <f t="shared" si="39"/>
        <v>18.325433558806928</v>
      </c>
      <c r="K95" s="266">
        <f t="shared" si="39"/>
        <v>18.040395406027983</v>
      </c>
      <c r="L95" s="266">
        <f t="shared" si="39"/>
        <v>17.758846814706565</v>
      </c>
      <c r="M95" s="266">
        <f t="shared" si="39"/>
        <v>18.094626628121677</v>
      </c>
      <c r="N95" s="266">
        <f t="shared" si="39"/>
        <v>18.0429747189295</v>
      </c>
      <c r="O95" s="266">
        <f t="shared" si="39"/>
        <v>17.985481122938062</v>
      </c>
      <c r="P95" s="266">
        <f t="shared" si="39"/>
        <v>17.922414629795714</v>
      </c>
    </row>
    <row r="96" spans="2:16" ht="18" x14ac:dyDescent="0.25">
      <c r="B96" s="750" t="s">
        <v>574</v>
      </c>
      <c r="C96" s="734" t="s">
        <v>573</v>
      </c>
      <c r="D96" s="266">
        <f>IFERROR(D93/(D89*12),0)</f>
        <v>14.596925552115195</v>
      </c>
      <c r="E96" s="266">
        <f t="shared" ref="E96:P96" si="40">IFERROR(E93/(E89*12),0)</f>
        <v>14.502339719366804</v>
      </c>
      <c r="F96" s="266">
        <f t="shared" si="40"/>
        <v>14.275173559040066</v>
      </c>
      <c r="G96" s="266">
        <f t="shared" si="40"/>
        <v>13.984299506900646</v>
      </c>
      <c r="H96" s="266">
        <f t="shared" si="40"/>
        <v>14.243754667902856</v>
      </c>
      <c r="I96" s="266">
        <f t="shared" si="40"/>
        <v>14.030202415502243</v>
      </c>
      <c r="J96" s="266">
        <f t="shared" si="40"/>
        <v>13.838338616967595</v>
      </c>
      <c r="K96" s="266">
        <f t="shared" si="40"/>
        <v>13.672993268686955</v>
      </c>
      <c r="L96" s="266">
        <f t="shared" si="40"/>
        <v>13.463377919896875</v>
      </c>
      <c r="M96" s="266">
        <f t="shared" si="40"/>
        <v>13.315115966829138</v>
      </c>
      <c r="N96" s="266">
        <f t="shared" si="40"/>
        <v>13.167130818526813</v>
      </c>
      <c r="O96" s="266">
        <f t="shared" si="40"/>
        <v>13.01947650342988</v>
      </c>
      <c r="P96" s="266">
        <f t="shared" si="40"/>
        <v>12.872204653008394</v>
      </c>
    </row>
    <row r="97" spans="2:16" ht="18" x14ac:dyDescent="0.25">
      <c r="B97" s="750" t="s">
        <v>575</v>
      </c>
      <c r="C97" s="734" t="s">
        <v>573</v>
      </c>
      <c r="D97" s="266">
        <f>IFERROR(D95-D96,0)</f>
        <v>4.5670069693486823</v>
      </c>
      <c r="E97" s="266">
        <f t="shared" ref="E97:P97" si="41">IFERROR(E95-E96,0)</f>
        <v>4.5530106194944029</v>
      </c>
      <c r="F97" s="266">
        <f t="shared" si="41"/>
        <v>4.8947845808389232</v>
      </c>
      <c r="G97" s="266">
        <f t="shared" si="41"/>
        <v>5.3766903133556117</v>
      </c>
      <c r="H97" s="266">
        <f t="shared" si="41"/>
        <v>4.8949682022496148</v>
      </c>
      <c r="I97" s="266">
        <f t="shared" si="41"/>
        <v>4.6997921499855142</v>
      </c>
      <c r="J97" s="266">
        <f t="shared" si="41"/>
        <v>4.4870949418393327</v>
      </c>
      <c r="K97" s="266">
        <f t="shared" si="41"/>
        <v>4.3674021373410277</v>
      </c>
      <c r="L97" s="266">
        <f t="shared" si="41"/>
        <v>4.2954688948096909</v>
      </c>
      <c r="M97" s="266">
        <f t="shared" si="41"/>
        <v>4.7795106612925391</v>
      </c>
      <c r="N97" s="266">
        <f t="shared" si="41"/>
        <v>4.8758439004026872</v>
      </c>
      <c r="O97" s="266">
        <f t="shared" si="41"/>
        <v>4.9660046195081815</v>
      </c>
      <c r="P97" s="266">
        <f t="shared" si="41"/>
        <v>5.0502099767873201</v>
      </c>
    </row>
    <row r="100" spans="2:16" ht="18" x14ac:dyDescent="0.25">
      <c r="B100" s="301" t="s">
        <v>582</v>
      </c>
      <c r="C100" s="301" t="s">
        <v>556</v>
      </c>
      <c r="D100" s="750" t="s">
        <v>557</v>
      </c>
      <c r="E100" s="750" t="s">
        <v>558</v>
      </c>
      <c r="F100" s="750" t="s">
        <v>559</v>
      </c>
      <c r="G100" s="750" t="s">
        <v>560</v>
      </c>
      <c r="H100" s="750" t="s">
        <v>561</v>
      </c>
      <c r="I100" s="750" t="s">
        <v>562</v>
      </c>
      <c r="J100" s="750" t="s">
        <v>563</v>
      </c>
      <c r="K100" s="750" t="s">
        <v>564</v>
      </c>
      <c r="L100" s="750" t="s">
        <v>565</v>
      </c>
      <c r="M100" s="750" t="s">
        <v>1029</v>
      </c>
      <c r="N100" s="750" t="s">
        <v>1030</v>
      </c>
      <c r="O100" s="750" t="s">
        <v>1031</v>
      </c>
      <c r="P100" s="750" t="s">
        <v>1032</v>
      </c>
    </row>
    <row r="101" spans="2:16" ht="18" x14ac:dyDescent="0.25">
      <c r="B101" s="750" t="s">
        <v>870</v>
      </c>
      <c r="C101" s="734" t="s">
        <v>566</v>
      </c>
      <c r="D101" s="265">
        <f>+$D$3</f>
        <v>73231212</v>
      </c>
      <c r="E101" s="265">
        <f>+$E$3</f>
        <v>74430655.752000004</v>
      </c>
      <c r="F101" s="265">
        <f>+$F$3</f>
        <v>76697929</v>
      </c>
      <c r="G101" s="265">
        <f>+$G$3</f>
        <v>79443376.444158807</v>
      </c>
      <c r="H101" s="265">
        <f>+$H$3</f>
        <v>81346804.018574134</v>
      </c>
      <c r="I101" s="265">
        <f>+$I$3</f>
        <v>83117762.153032988</v>
      </c>
      <c r="J101" s="265">
        <f>+$J$3</f>
        <v>84376813.900286376</v>
      </c>
      <c r="K101" s="265">
        <f>+$K$3</f>
        <v>85817253.249695092</v>
      </c>
      <c r="L101" s="265">
        <f>+$L$3</f>
        <v>87087721.932827741</v>
      </c>
      <c r="M101" s="265">
        <f>+$M$3</f>
        <v>87996585.401466116</v>
      </c>
      <c r="N101" s="265">
        <f>+$N$3</f>
        <v>89565016.865754709</v>
      </c>
      <c r="O101" s="265">
        <f>+$O$3</f>
        <v>91133448.330042839</v>
      </c>
      <c r="P101" s="265">
        <f>+$P$3</f>
        <v>92701879.794331446</v>
      </c>
    </row>
    <row r="102" spans="2:16" ht="18" x14ac:dyDescent="0.25">
      <c r="B102" s="750" t="s">
        <v>871</v>
      </c>
      <c r="C102" s="734" t="s">
        <v>566</v>
      </c>
      <c r="D102" s="265">
        <f>+$D$4</f>
        <v>55779290</v>
      </c>
      <c r="E102" s="265">
        <f>+$E$4</f>
        <v>56646487</v>
      </c>
      <c r="F102" s="265">
        <f>+$F$4</f>
        <v>57114170</v>
      </c>
      <c r="G102" s="265">
        <f>+$G$4</f>
        <v>57381362.231400006</v>
      </c>
      <c r="H102" s="265">
        <f>+$H$4</f>
        <v>59731641</v>
      </c>
      <c r="I102" s="265">
        <f>+$I$4</f>
        <v>60100673</v>
      </c>
      <c r="J102" s="265">
        <f>+$J$4</f>
        <v>60553470</v>
      </c>
      <c r="K102" s="265">
        <f>+$K$4</f>
        <v>61116311</v>
      </c>
      <c r="L102" s="265">
        <f>+$L$4</f>
        <v>61473228.050212145</v>
      </c>
      <c r="M102" s="265">
        <f>+$M$4</f>
        <v>62103401.234457493</v>
      </c>
      <c r="N102" s="265">
        <f>+$N$4</f>
        <v>62733574.418702841</v>
      </c>
      <c r="O102" s="265">
        <f>+$O$4</f>
        <v>63363747.602948427</v>
      </c>
      <c r="P102" s="265">
        <f>+$P$4</f>
        <v>63993920.787194014</v>
      </c>
    </row>
    <row r="103" spans="2:16" ht="18" x14ac:dyDescent="0.25">
      <c r="B103" s="750" t="s">
        <v>102</v>
      </c>
      <c r="C103" s="734" t="s">
        <v>566</v>
      </c>
      <c r="D103" s="265">
        <f>+$D$5</f>
        <v>318442</v>
      </c>
      <c r="E103" s="265">
        <f>+$E$5</f>
        <v>325502</v>
      </c>
      <c r="F103" s="265">
        <f>+$F$5</f>
        <v>333412</v>
      </c>
      <c r="G103" s="265">
        <f>+$G$5</f>
        <v>341939.19999999995</v>
      </c>
      <c r="H103" s="265">
        <f>+$H$5</f>
        <v>349461</v>
      </c>
      <c r="I103" s="265">
        <f>+$I$5</f>
        <v>356972</v>
      </c>
      <c r="J103" s="265">
        <f>+$J$5</f>
        <v>364648</v>
      </c>
      <c r="K103" s="265">
        <f>+$K$5</f>
        <v>372488</v>
      </c>
      <c r="L103" s="265">
        <f>+$L$5</f>
        <v>380496.56146201264</v>
      </c>
      <c r="M103" s="265">
        <f>+$M$5</f>
        <v>388677.30848890479</v>
      </c>
      <c r="N103" s="265">
        <f>+$N$5</f>
        <v>397033.94310243073</v>
      </c>
      <c r="O103" s="265">
        <f>+$O$5</f>
        <v>405570.24691850279</v>
      </c>
      <c r="P103" s="265">
        <f>+$P$5</f>
        <v>414290.08285848069</v>
      </c>
    </row>
    <row r="104" spans="2:16" ht="18" x14ac:dyDescent="0.25">
      <c r="B104" s="750" t="s">
        <v>567</v>
      </c>
      <c r="C104" s="734" t="s">
        <v>566</v>
      </c>
      <c r="D104" s="265">
        <f>+'EV PROG TÉCNICOS'!I98</f>
        <v>0</v>
      </c>
      <c r="E104" s="265">
        <f>+'EV PROG TÉCNICOS'!J98</f>
        <v>0</v>
      </c>
      <c r="F104" s="265">
        <f>+'EV PROG TÉCNICOS'!K98</f>
        <v>0</v>
      </c>
      <c r="G104" s="265">
        <f>+'EV PROG TÉCNICOS'!L98</f>
        <v>0</v>
      </c>
      <c r="H104" s="265">
        <f>+'EV PROG TÉCNICOS'!M98+PROG8[[#This Row],[2026]]</f>
        <v>0</v>
      </c>
      <c r="I104" s="265">
        <f>+'EV PROG TÉCNICOS'!N98+PROG8[[#This Row],[2027]]</f>
        <v>0</v>
      </c>
      <c r="J104" s="265">
        <f>+'EV PROG TÉCNICOS'!O98+PROG8[[#This Row],[2028]]</f>
        <v>0</v>
      </c>
      <c r="K104" s="265">
        <f>+'EV PROG TÉCNICOS'!P98</f>
        <v>0</v>
      </c>
      <c r="L104" s="265">
        <f>+'EV PROG TÉCNICOS'!Q98</f>
        <v>0</v>
      </c>
      <c r="M104" s="265">
        <f>+'EV PROG TÉCNICOS'!R98</f>
        <v>0</v>
      </c>
      <c r="N104" s="265">
        <f>+'EV PROG TÉCNICOS'!S98</f>
        <v>0</v>
      </c>
      <c r="O104" s="265">
        <f>+'EV PROG TÉCNICOS'!T98</f>
        <v>0</v>
      </c>
      <c r="P104" s="265">
        <f>+'EV PROG TÉCNICOS'!U98</f>
        <v>0</v>
      </c>
    </row>
    <row r="105" spans="2:16" ht="18" x14ac:dyDescent="0.25">
      <c r="B105" s="750" t="s">
        <v>568</v>
      </c>
      <c r="C105" s="734" t="s">
        <v>566</v>
      </c>
      <c r="D105" s="264"/>
      <c r="E105" s="264"/>
      <c r="F105" s="264"/>
      <c r="G105" s="264"/>
      <c r="H105" s="264"/>
      <c r="I105" s="264"/>
      <c r="J105" s="264"/>
      <c r="K105" s="264"/>
      <c r="L105" s="264"/>
      <c r="M105" s="264"/>
      <c r="N105" s="264"/>
      <c r="O105" s="264"/>
      <c r="P105" s="264"/>
    </row>
    <row r="106" spans="2:16" ht="18" x14ac:dyDescent="0.25">
      <c r="B106" s="750" t="s">
        <v>569</v>
      </c>
      <c r="C106" s="734" t="s">
        <v>566</v>
      </c>
      <c r="D106" s="265">
        <f>+D101-D104</f>
        <v>73231212</v>
      </c>
      <c r="E106" s="265">
        <f>+E101-E104</f>
        <v>74430655.752000004</v>
      </c>
      <c r="F106" s="265">
        <f>+F101-F104</f>
        <v>76697929</v>
      </c>
      <c r="G106" s="265">
        <f t="shared" ref="G106:P106" si="42">+G101-G104</f>
        <v>79443376.444158807</v>
      </c>
      <c r="H106" s="265">
        <f t="shared" si="42"/>
        <v>81346804.018574134</v>
      </c>
      <c r="I106" s="265">
        <f t="shared" si="42"/>
        <v>83117762.153032988</v>
      </c>
      <c r="J106" s="265">
        <f t="shared" si="42"/>
        <v>84376813.900286376</v>
      </c>
      <c r="K106" s="265">
        <f t="shared" si="42"/>
        <v>85817253.249695092</v>
      </c>
      <c r="L106" s="265">
        <f t="shared" si="42"/>
        <v>87087721.932827741</v>
      </c>
      <c r="M106" s="265">
        <f t="shared" si="42"/>
        <v>87996585.401466116</v>
      </c>
      <c r="N106" s="265">
        <f t="shared" si="42"/>
        <v>89565016.865754709</v>
      </c>
      <c r="O106" s="265">
        <f t="shared" si="42"/>
        <v>91133448.330042839</v>
      </c>
      <c r="P106" s="265">
        <f t="shared" si="42"/>
        <v>92701879.794331446</v>
      </c>
    </row>
    <row r="107" spans="2:16" ht="18" x14ac:dyDescent="0.25">
      <c r="B107" s="750" t="s">
        <v>570</v>
      </c>
      <c r="C107" s="734" t="s">
        <v>566</v>
      </c>
      <c r="D107" s="265">
        <f>+D102+D105</f>
        <v>55779290</v>
      </c>
      <c r="E107" s="265">
        <f t="shared" ref="E107:P107" si="43">+E102+E105</f>
        <v>56646487</v>
      </c>
      <c r="F107" s="265">
        <f t="shared" si="43"/>
        <v>57114170</v>
      </c>
      <c r="G107" s="265">
        <f t="shared" si="43"/>
        <v>57381362.231400006</v>
      </c>
      <c r="H107" s="265">
        <f t="shared" si="43"/>
        <v>59731641</v>
      </c>
      <c r="I107" s="265">
        <f t="shared" si="43"/>
        <v>60100673</v>
      </c>
      <c r="J107" s="265">
        <f t="shared" si="43"/>
        <v>60553470</v>
      </c>
      <c r="K107" s="265">
        <f t="shared" si="43"/>
        <v>61116311</v>
      </c>
      <c r="L107" s="265">
        <f t="shared" si="43"/>
        <v>61473228.050212145</v>
      </c>
      <c r="M107" s="265">
        <f t="shared" si="43"/>
        <v>62103401.234457493</v>
      </c>
      <c r="N107" s="265">
        <f t="shared" si="43"/>
        <v>62733574.418702841</v>
      </c>
      <c r="O107" s="265">
        <f t="shared" si="43"/>
        <v>63363747.602948427</v>
      </c>
      <c r="P107" s="265">
        <f t="shared" si="43"/>
        <v>63993920.787194014</v>
      </c>
    </row>
    <row r="108" spans="2:16" ht="18" x14ac:dyDescent="0.25">
      <c r="B108" s="750" t="s">
        <v>571</v>
      </c>
      <c r="C108" s="734" t="s">
        <v>105</v>
      </c>
      <c r="D108" s="263">
        <f>IFERROR((D106-D107)/D106*100,0)</f>
        <v>23.831262003420072</v>
      </c>
      <c r="E108" s="263">
        <f t="shared" ref="E108:P108" si="44">IFERROR((E106-E107)/E106*100,0)</f>
        <v>23.893607509325392</v>
      </c>
      <c r="F108" s="263">
        <f t="shared" si="44"/>
        <v>25.533621644464482</v>
      </c>
      <c r="G108" s="263">
        <f t="shared" si="44"/>
        <v>27.770740872609203</v>
      </c>
      <c r="H108" s="263">
        <f t="shared" si="44"/>
        <v>26.571619228751363</v>
      </c>
      <c r="I108" s="263">
        <f t="shared" si="44"/>
        <v>27.692142517810904</v>
      </c>
      <c r="J108" s="263">
        <f t="shared" si="44"/>
        <v>28.234467265426716</v>
      </c>
      <c r="K108" s="263">
        <f t="shared" si="44"/>
        <v>28.783189060858057</v>
      </c>
      <c r="L108" s="263">
        <f t="shared" si="44"/>
        <v>29.412290635380835</v>
      </c>
      <c r="M108" s="263">
        <f t="shared" si="44"/>
        <v>29.425214681770157</v>
      </c>
      <c r="N108" s="263">
        <f t="shared" si="44"/>
        <v>29.95750281303291</v>
      </c>
      <c r="O108" s="263">
        <f t="shared" si="44"/>
        <v>30.471469296899102</v>
      </c>
      <c r="P108" s="263">
        <f t="shared" si="44"/>
        <v>30.968044090183461</v>
      </c>
    </row>
    <row r="109" spans="2:16" ht="18" x14ac:dyDescent="0.25">
      <c r="B109" s="750" t="s">
        <v>572</v>
      </c>
      <c r="C109" s="734" t="s">
        <v>573</v>
      </c>
      <c r="D109" s="266">
        <f>IFERROR(D106/(D103*12),0)</f>
        <v>19.163932521463877</v>
      </c>
      <c r="E109" s="266">
        <f t="shared" ref="E109:P109" si="45">IFERROR(E106/(E103*12),0)</f>
        <v>19.055350338861206</v>
      </c>
      <c r="F109" s="266">
        <f t="shared" si="45"/>
        <v>19.16995813987899</v>
      </c>
      <c r="G109" s="266">
        <f t="shared" si="45"/>
        <v>19.360989820256258</v>
      </c>
      <c r="H109" s="266">
        <f t="shared" si="45"/>
        <v>19.398159837238428</v>
      </c>
      <c r="I109" s="266">
        <f t="shared" si="45"/>
        <v>19.403427101899911</v>
      </c>
      <c r="J109" s="266">
        <f t="shared" si="45"/>
        <v>19.282708689906972</v>
      </c>
      <c r="K109" s="266">
        <f t="shared" si="45"/>
        <v>19.199109154678606</v>
      </c>
      <c r="L109" s="266">
        <f t="shared" si="45"/>
        <v>19.073260828386015</v>
      </c>
      <c r="M109" s="266">
        <f t="shared" si="45"/>
        <v>18.86667583442124</v>
      </c>
      <c r="N109" s="266">
        <f t="shared" si="45"/>
        <v>18.798774097644309</v>
      </c>
      <c r="O109" s="266">
        <f t="shared" si="45"/>
        <v>18.725372694880242</v>
      </c>
      <c r="P109" s="266">
        <f t="shared" si="45"/>
        <v>18.646733217040325</v>
      </c>
    </row>
    <row r="110" spans="2:16" ht="18" x14ac:dyDescent="0.25">
      <c r="B110" s="750" t="s">
        <v>574</v>
      </c>
      <c r="C110" s="734" t="s">
        <v>573</v>
      </c>
      <c r="D110" s="266">
        <f>IFERROR(D107/(D103*12),0)</f>
        <v>14.596925552115195</v>
      </c>
      <c r="E110" s="266">
        <f t="shared" ref="E110:P110" si="46">IFERROR(E107/(E103*12),0)</f>
        <v>14.502339719366804</v>
      </c>
      <c r="F110" s="266">
        <f t="shared" si="46"/>
        <v>14.275173559040066</v>
      </c>
      <c r="G110" s="266">
        <f t="shared" si="46"/>
        <v>13.984299506900646</v>
      </c>
      <c r="H110" s="266">
        <f t="shared" si="46"/>
        <v>14.243754667902856</v>
      </c>
      <c r="I110" s="266">
        <f t="shared" si="46"/>
        <v>14.030202415502243</v>
      </c>
      <c r="J110" s="266">
        <f t="shared" si="46"/>
        <v>13.838338616967595</v>
      </c>
      <c r="K110" s="266">
        <f t="shared" si="46"/>
        <v>13.672993268686955</v>
      </c>
      <c r="L110" s="266">
        <f t="shared" si="46"/>
        <v>13.463377919896875</v>
      </c>
      <c r="M110" s="266">
        <f t="shared" si="46"/>
        <v>13.315115966829138</v>
      </c>
      <c r="N110" s="266">
        <f t="shared" si="46"/>
        <v>13.167130818526813</v>
      </c>
      <c r="O110" s="266">
        <f t="shared" si="46"/>
        <v>13.01947650342988</v>
      </c>
      <c r="P110" s="266">
        <f t="shared" si="46"/>
        <v>12.872204653008394</v>
      </c>
    </row>
    <row r="111" spans="2:16" ht="18" x14ac:dyDescent="0.25">
      <c r="B111" s="750" t="s">
        <v>575</v>
      </c>
      <c r="C111" s="734" t="s">
        <v>573</v>
      </c>
      <c r="D111" s="266">
        <f>IFERROR(D109-D110,0)</f>
        <v>4.5670069693486823</v>
      </c>
      <c r="E111" s="266">
        <f t="shared" ref="E111:P111" si="47">IFERROR(E109-E110,0)</f>
        <v>4.5530106194944029</v>
      </c>
      <c r="F111" s="266">
        <f t="shared" si="47"/>
        <v>4.8947845808389232</v>
      </c>
      <c r="G111" s="266">
        <f t="shared" si="47"/>
        <v>5.3766903133556117</v>
      </c>
      <c r="H111" s="266">
        <f t="shared" si="47"/>
        <v>5.1544051693355719</v>
      </c>
      <c r="I111" s="266">
        <f>IFERROR(I109-I110,0)</f>
        <v>5.373224686397668</v>
      </c>
      <c r="J111" s="266">
        <f t="shared" si="47"/>
        <v>5.4443700729393765</v>
      </c>
      <c r="K111" s="266">
        <f t="shared" si="47"/>
        <v>5.5261158859916506</v>
      </c>
      <c r="L111" s="266">
        <f t="shared" si="47"/>
        <v>5.6098829084891406</v>
      </c>
      <c r="M111" s="266">
        <f t="shared" si="47"/>
        <v>5.5515598675921023</v>
      </c>
      <c r="N111" s="266">
        <f t="shared" si="47"/>
        <v>5.6316432791174957</v>
      </c>
      <c r="O111" s="266">
        <f t="shared" si="47"/>
        <v>5.7058961914503623</v>
      </c>
      <c r="P111" s="266">
        <f t="shared" si="47"/>
        <v>5.7745285640319306</v>
      </c>
    </row>
    <row r="114" spans="2:16" ht="18" x14ac:dyDescent="0.25">
      <c r="B114" s="301" t="s">
        <v>1007</v>
      </c>
      <c r="C114" s="301" t="s">
        <v>556</v>
      </c>
      <c r="D114" s="750" t="s">
        <v>557</v>
      </c>
      <c r="E114" s="750" t="s">
        <v>558</v>
      </c>
      <c r="F114" s="750" t="s">
        <v>559</v>
      </c>
      <c r="G114" s="750" t="s">
        <v>560</v>
      </c>
      <c r="H114" s="750" t="s">
        <v>561</v>
      </c>
      <c r="I114" s="750" t="s">
        <v>562</v>
      </c>
      <c r="J114" s="750" t="s">
        <v>563</v>
      </c>
      <c r="K114" s="750" t="s">
        <v>564</v>
      </c>
      <c r="L114" s="750" t="s">
        <v>565</v>
      </c>
      <c r="M114" s="750" t="s">
        <v>1029</v>
      </c>
      <c r="N114" s="750" t="s">
        <v>1030</v>
      </c>
      <c r="O114" s="750" t="s">
        <v>1031</v>
      </c>
      <c r="P114" s="750" t="s">
        <v>1032</v>
      </c>
    </row>
    <row r="115" spans="2:16" ht="18" x14ac:dyDescent="0.25">
      <c r="B115" s="750" t="s">
        <v>870</v>
      </c>
      <c r="C115" s="734" t="s">
        <v>566</v>
      </c>
      <c r="D115" s="265">
        <f>+$D$3</f>
        <v>73231212</v>
      </c>
      <c r="E115" s="265">
        <f>+$E$3</f>
        <v>74430655.752000004</v>
      </c>
      <c r="F115" s="265">
        <f>+$F$3</f>
        <v>76697929</v>
      </c>
      <c r="G115" s="265">
        <f>+$G$3</f>
        <v>79443376.444158807</v>
      </c>
      <c r="H115" s="265">
        <f>+$H$3</f>
        <v>81346804.018574134</v>
      </c>
      <c r="I115" s="265">
        <f>+$I$3</f>
        <v>83117762.153032988</v>
      </c>
      <c r="J115" s="265">
        <f>+$J$3</f>
        <v>84376813.900286376</v>
      </c>
      <c r="K115" s="265">
        <f>+$K$3</f>
        <v>85817253.249695092</v>
      </c>
      <c r="L115" s="265">
        <f>+$L$3</f>
        <v>87087721.932827741</v>
      </c>
      <c r="M115" s="265">
        <f>+$M$3</f>
        <v>87996585.401466116</v>
      </c>
      <c r="N115" s="265">
        <f>+$N$3</f>
        <v>89565016.865754709</v>
      </c>
      <c r="O115" s="265">
        <f>+$O$3</f>
        <v>91133448.330042839</v>
      </c>
      <c r="P115" s="265">
        <f>+$P$3</f>
        <v>92701879.794331446</v>
      </c>
    </row>
    <row r="116" spans="2:16" ht="18" x14ac:dyDescent="0.25">
      <c r="B116" s="750" t="s">
        <v>871</v>
      </c>
      <c r="C116" s="734" t="s">
        <v>566</v>
      </c>
      <c r="D116" s="265">
        <f>+$D$4</f>
        <v>55779290</v>
      </c>
      <c r="E116" s="265">
        <f>+$E$4</f>
        <v>56646487</v>
      </c>
      <c r="F116" s="265">
        <f>+$F$4</f>
        <v>57114170</v>
      </c>
      <c r="G116" s="265">
        <f>+$G$4</f>
        <v>57381362.231400006</v>
      </c>
      <c r="H116" s="265">
        <f>+$H$4</f>
        <v>59731641</v>
      </c>
      <c r="I116" s="265">
        <f>+$I$4</f>
        <v>60100673</v>
      </c>
      <c r="J116" s="265">
        <f>+$J$4</f>
        <v>60553470</v>
      </c>
      <c r="K116" s="265">
        <f>+$K$4</f>
        <v>61116311</v>
      </c>
      <c r="L116" s="265">
        <f>+$L$4</f>
        <v>61473228.050212145</v>
      </c>
      <c r="M116" s="265">
        <f>+$M$4</f>
        <v>62103401.234457493</v>
      </c>
      <c r="N116" s="265">
        <f>+$N$4</f>
        <v>62733574.418702841</v>
      </c>
      <c r="O116" s="265">
        <f>+$O$4</f>
        <v>63363747.602948427</v>
      </c>
      <c r="P116" s="265">
        <f>+$P$4</f>
        <v>63993920.787194014</v>
      </c>
    </row>
    <row r="117" spans="2:16" ht="18" x14ac:dyDescent="0.25">
      <c r="B117" s="750" t="s">
        <v>102</v>
      </c>
      <c r="C117" s="734" t="s">
        <v>566</v>
      </c>
      <c r="D117" s="265">
        <f>+$D$5</f>
        <v>318442</v>
      </c>
      <c r="E117" s="265">
        <f>+$E$5</f>
        <v>325502</v>
      </c>
      <c r="F117" s="265">
        <f>+$F$5</f>
        <v>333412</v>
      </c>
      <c r="G117" s="265">
        <f>+$G$5</f>
        <v>341939.19999999995</v>
      </c>
      <c r="H117" s="265">
        <f>+$H$5</f>
        <v>349461</v>
      </c>
      <c r="I117" s="265">
        <f>+$I$5</f>
        <v>356972</v>
      </c>
      <c r="J117" s="265">
        <f>+$J$5</f>
        <v>364648</v>
      </c>
      <c r="K117" s="265">
        <f>+$K$5</f>
        <v>372488</v>
      </c>
      <c r="L117" s="265">
        <f>+$L$5</f>
        <v>380496.56146201264</v>
      </c>
      <c r="M117" s="265">
        <f>+$M$5</f>
        <v>388677.30848890479</v>
      </c>
      <c r="N117" s="265">
        <f>+$N$5</f>
        <v>397033.94310243073</v>
      </c>
      <c r="O117" s="265">
        <f>+$O$5</f>
        <v>405570.24691850279</v>
      </c>
      <c r="P117" s="265">
        <f>+$P$5</f>
        <v>414290.08285848069</v>
      </c>
    </row>
    <row r="118" spans="2:16" ht="18" x14ac:dyDescent="0.25">
      <c r="B118" s="750" t="s">
        <v>567</v>
      </c>
      <c r="C118" s="734" t="s">
        <v>566</v>
      </c>
      <c r="D118" s="264"/>
      <c r="E118" s="264"/>
      <c r="F118" s="264"/>
      <c r="G118" s="264"/>
      <c r="H118" s="264"/>
      <c r="I118" s="264"/>
      <c r="J118" s="264"/>
      <c r="K118" s="264"/>
      <c r="L118" s="264"/>
      <c r="M118" s="264"/>
      <c r="N118" s="264"/>
      <c r="O118" s="264"/>
      <c r="P118" s="264"/>
    </row>
    <row r="119" spans="2:16" ht="18" x14ac:dyDescent="0.25">
      <c r="B119" s="750" t="s">
        <v>568</v>
      </c>
      <c r="C119" s="734" t="s">
        <v>566</v>
      </c>
      <c r="D119" s="265">
        <f>+'EV PROG CCIALES'!H447</f>
        <v>0</v>
      </c>
      <c r="E119" s="265">
        <f>+'EV PROG CCIALES'!I447</f>
        <v>0</v>
      </c>
      <c r="F119" s="265">
        <f>+'EV PROG CCIALES'!J447</f>
        <v>0</v>
      </c>
      <c r="G119" s="265">
        <f>+'EV PROG CCIALES'!K447</f>
        <v>148997</v>
      </c>
      <c r="H119" s="265">
        <f>+'EV PROG CCIALES'!L447</f>
        <v>270439</v>
      </c>
      <c r="I119" s="265">
        <f>+'EV PROG CCIALES'!M447</f>
        <v>364678</v>
      </c>
      <c r="J119" s="265">
        <f>+'EV PROG CCIALES'!N447</f>
        <v>432060</v>
      </c>
      <c r="K119" s="265">
        <f>+'EV PROG CCIALES'!O447</f>
        <v>472926</v>
      </c>
      <c r="L119" s="265">
        <f>+'EV PROG CCIALES'!P447</f>
        <v>487610</v>
      </c>
      <c r="M119" s="265">
        <f>+'EV PROG CCIALES'!Q447</f>
        <v>476442</v>
      </c>
      <c r="N119" s="265">
        <f>+'EV PROG CCIALES'!R447</f>
        <v>439747</v>
      </c>
      <c r="O119" s="265">
        <f>+'EV PROG CCIALES'!S447</f>
        <v>377843</v>
      </c>
      <c r="P119" s="265">
        <f>+'EV PROG CCIALES'!T447</f>
        <v>291044</v>
      </c>
    </row>
    <row r="120" spans="2:16" ht="18" x14ac:dyDescent="0.25">
      <c r="B120" s="750" t="s">
        <v>569</v>
      </c>
      <c r="C120" s="734" t="s">
        <v>566</v>
      </c>
      <c r="D120" s="265">
        <f>+D115-D118</f>
        <v>73231212</v>
      </c>
      <c r="E120" s="265">
        <f>+E115-E118</f>
        <v>74430655.752000004</v>
      </c>
      <c r="F120" s="265">
        <f>+F115-F118</f>
        <v>76697929</v>
      </c>
      <c r="G120" s="265">
        <f t="shared" ref="G120:P120" si="48">+G115-G118</f>
        <v>79443376.444158807</v>
      </c>
      <c r="H120" s="265">
        <f t="shared" si="48"/>
        <v>81346804.018574134</v>
      </c>
      <c r="I120" s="265">
        <f t="shared" si="48"/>
        <v>83117762.153032988</v>
      </c>
      <c r="J120" s="265">
        <f t="shared" si="48"/>
        <v>84376813.900286376</v>
      </c>
      <c r="K120" s="265">
        <f t="shared" si="48"/>
        <v>85817253.249695092</v>
      </c>
      <c r="L120" s="265">
        <f t="shared" si="48"/>
        <v>87087721.932827741</v>
      </c>
      <c r="M120" s="265">
        <f t="shared" si="48"/>
        <v>87996585.401466116</v>
      </c>
      <c r="N120" s="265">
        <f t="shared" si="48"/>
        <v>89565016.865754709</v>
      </c>
      <c r="O120" s="265">
        <f t="shared" si="48"/>
        <v>91133448.330042839</v>
      </c>
      <c r="P120" s="265">
        <f t="shared" si="48"/>
        <v>92701879.794331446</v>
      </c>
    </row>
    <row r="121" spans="2:16" ht="18" x14ac:dyDescent="0.25">
      <c r="B121" s="750" t="s">
        <v>570</v>
      </c>
      <c r="C121" s="734" t="s">
        <v>566</v>
      </c>
      <c r="D121" s="265">
        <f>+D116+D119</f>
        <v>55779290</v>
      </c>
      <c r="E121" s="265">
        <f t="shared" ref="E121:P121" si="49">+E116+E119</f>
        <v>56646487</v>
      </c>
      <c r="F121" s="265">
        <f t="shared" si="49"/>
        <v>57114170</v>
      </c>
      <c r="G121" s="265">
        <f t="shared" si="49"/>
        <v>57530359.231400006</v>
      </c>
      <c r="H121" s="265">
        <f t="shared" si="49"/>
        <v>60002080</v>
      </c>
      <c r="I121" s="265">
        <f t="shared" si="49"/>
        <v>60465351</v>
      </c>
      <c r="J121" s="265">
        <f t="shared" si="49"/>
        <v>60985530</v>
      </c>
      <c r="K121" s="265">
        <f t="shared" si="49"/>
        <v>61589237</v>
      </c>
      <c r="L121" s="265">
        <f t="shared" si="49"/>
        <v>61960838.050212145</v>
      </c>
      <c r="M121" s="265">
        <f t="shared" si="49"/>
        <v>62579843.234457493</v>
      </c>
      <c r="N121" s="265">
        <f t="shared" si="49"/>
        <v>63173321.418702841</v>
      </c>
      <c r="O121" s="265">
        <f t="shared" si="49"/>
        <v>63741590.602948427</v>
      </c>
      <c r="P121" s="265">
        <f t="shared" si="49"/>
        <v>64284964.787194014</v>
      </c>
    </row>
    <row r="122" spans="2:16" ht="18" x14ac:dyDescent="0.25">
      <c r="B122" s="750" t="s">
        <v>571</v>
      </c>
      <c r="C122" s="734" t="s">
        <v>105</v>
      </c>
      <c r="D122" s="263">
        <f>IFERROR((D120-D121)/D120*100,0)</f>
        <v>23.831262003420072</v>
      </c>
      <c r="E122" s="263">
        <f>IFERROR((E120-E121)/E120*100,0)</f>
        <v>23.893607509325392</v>
      </c>
      <c r="F122" s="263">
        <f t="shared" ref="F122:P122" si="50">IFERROR((F120-F121)/F120*100,0)</f>
        <v>25.533621644464482</v>
      </c>
      <c r="G122" s="263">
        <f>IFERROR((G120-G121)/G120*100,0)</f>
        <v>27.583189679962285</v>
      </c>
      <c r="H122" s="263">
        <f t="shared" si="50"/>
        <v>26.239167323279766</v>
      </c>
      <c r="I122" s="263">
        <f t="shared" si="50"/>
        <v>27.253393939223606</v>
      </c>
      <c r="J122" s="263">
        <f t="shared" si="50"/>
        <v>27.722407162623362</v>
      </c>
      <c r="K122" s="263">
        <f t="shared" si="50"/>
        <v>28.232104072593557</v>
      </c>
      <c r="L122" s="263">
        <f t="shared" si="50"/>
        <v>28.85238392387436</v>
      </c>
      <c r="M122" s="263">
        <f t="shared" si="50"/>
        <v>28.883782309336237</v>
      </c>
      <c r="N122" s="263">
        <f t="shared" si="50"/>
        <v>29.466522053592964</v>
      </c>
      <c r="O122" s="263">
        <f t="shared" si="50"/>
        <v>30.056865211435742</v>
      </c>
      <c r="P122" s="263">
        <f t="shared" si="50"/>
        <v>30.654087134137143</v>
      </c>
    </row>
    <row r="123" spans="2:16" ht="18" x14ac:dyDescent="0.25">
      <c r="B123" s="750" t="s">
        <v>572</v>
      </c>
      <c r="C123" s="734" t="s">
        <v>573</v>
      </c>
      <c r="D123" s="266">
        <f>IFERROR(D120/(D117*12),0)</f>
        <v>19.163932521463877</v>
      </c>
      <c r="E123" s="266">
        <f t="shared" ref="E123:P123" si="51">IFERROR(E120/(E117*12),0)</f>
        <v>19.055350338861206</v>
      </c>
      <c r="F123" s="266">
        <f t="shared" si="51"/>
        <v>19.16995813987899</v>
      </c>
      <c r="G123" s="266">
        <f t="shared" si="51"/>
        <v>19.360989820256258</v>
      </c>
      <c r="H123" s="266">
        <f t="shared" si="51"/>
        <v>19.398159837238428</v>
      </c>
      <c r="I123" s="266">
        <f t="shared" si="51"/>
        <v>19.403427101899911</v>
      </c>
      <c r="J123" s="266">
        <f t="shared" si="51"/>
        <v>19.282708689906972</v>
      </c>
      <c r="K123" s="266">
        <f t="shared" si="51"/>
        <v>19.199109154678606</v>
      </c>
      <c r="L123" s="266">
        <f t="shared" si="51"/>
        <v>19.073260828386015</v>
      </c>
      <c r="M123" s="266">
        <f t="shared" si="51"/>
        <v>18.86667583442124</v>
      </c>
      <c r="N123" s="266">
        <f t="shared" si="51"/>
        <v>18.798774097644309</v>
      </c>
      <c r="O123" s="266">
        <f t="shared" si="51"/>
        <v>18.725372694880242</v>
      </c>
      <c r="P123" s="266">
        <f t="shared" si="51"/>
        <v>18.646733217040325</v>
      </c>
    </row>
    <row r="124" spans="2:16" ht="18" x14ac:dyDescent="0.25">
      <c r="B124" s="750" t="s">
        <v>574</v>
      </c>
      <c r="C124" s="734" t="s">
        <v>573</v>
      </c>
      <c r="D124" s="266">
        <f>IFERROR(D121/(D117*12),0)</f>
        <v>14.596925552115195</v>
      </c>
      <c r="E124" s="266">
        <f t="shared" ref="E124:P124" si="52">IFERROR(E121/(E117*12),0)</f>
        <v>14.502339719366804</v>
      </c>
      <c r="F124" s="266">
        <f t="shared" si="52"/>
        <v>14.275173559040066</v>
      </c>
      <c r="G124" s="266">
        <f t="shared" si="52"/>
        <v>14.020611274216783</v>
      </c>
      <c r="H124" s="266">
        <f t="shared" si="52"/>
        <v>14.308244219908183</v>
      </c>
      <c r="I124" s="266">
        <f t="shared" si="52"/>
        <v>14.11533467610905</v>
      </c>
      <c r="J124" s="266">
        <f t="shared" si="52"/>
        <v>13.937077674908405</v>
      </c>
      <c r="K124" s="266">
        <f t="shared" si="52"/>
        <v>13.778796677118905</v>
      </c>
      <c r="L124" s="266">
        <f t="shared" si="52"/>
        <v>13.570170387378143</v>
      </c>
      <c r="M124" s="266">
        <f t="shared" si="52"/>
        <v>13.417266257398863</v>
      </c>
      <c r="N124" s="266">
        <f t="shared" si="52"/>
        <v>13.259429182356827</v>
      </c>
      <c r="O124" s="266">
        <f t="shared" si="52"/>
        <v>13.097112663641095</v>
      </c>
      <c r="P124" s="266">
        <f t="shared" si="52"/>
        <v>12.930747369018691</v>
      </c>
    </row>
    <row r="125" spans="2:16" ht="18" x14ac:dyDescent="0.25">
      <c r="B125" s="750" t="s">
        <v>575</v>
      </c>
      <c r="C125" s="734" t="s">
        <v>573</v>
      </c>
      <c r="D125" s="266">
        <f>IFERROR(D123-D124,0)</f>
        <v>4.5670069693486823</v>
      </c>
      <c r="E125" s="266">
        <f t="shared" ref="E125:P125" si="53">IFERROR(E123-E124,0)</f>
        <v>4.5530106194944029</v>
      </c>
      <c r="F125" s="266">
        <f t="shared" si="53"/>
        <v>4.8947845808389232</v>
      </c>
      <c r="G125" s="266">
        <f t="shared" si="53"/>
        <v>5.3403785460394744</v>
      </c>
      <c r="H125" s="266">
        <f t="shared" si="53"/>
        <v>5.0899156173302451</v>
      </c>
      <c r="I125" s="266">
        <f t="shared" si="53"/>
        <v>5.288092425790861</v>
      </c>
      <c r="J125" s="266">
        <f t="shared" si="53"/>
        <v>5.3456310149985669</v>
      </c>
      <c r="K125" s="266">
        <f t="shared" si="53"/>
        <v>5.4203124775597011</v>
      </c>
      <c r="L125" s="266">
        <f t="shared" si="53"/>
        <v>5.5030904410078723</v>
      </c>
      <c r="M125" s="266">
        <f t="shared" si="53"/>
        <v>5.4494095770223776</v>
      </c>
      <c r="N125" s="266">
        <f t="shared" si="53"/>
        <v>5.5393449152874812</v>
      </c>
      <c r="O125" s="266">
        <f t="shared" si="53"/>
        <v>5.6282600312391473</v>
      </c>
      <c r="P125" s="266">
        <f t="shared" si="53"/>
        <v>5.7159858480216332</v>
      </c>
    </row>
    <row r="128" spans="2:16" ht="18" x14ac:dyDescent="0.25">
      <c r="B128" s="301" t="s">
        <v>1008</v>
      </c>
      <c r="C128" s="301" t="s">
        <v>556</v>
      </c>
      <c r="D128" s="750" t="s">
        <v>557</v>
      </c>
      <c r="E128" s="750" t="s">
        <v>558</v>
      </c>
      <c r="F128" s="750" t="s">
        <v>559</v>
      </c>
      <c r="G128" s="750" t="s">
        <v>560</v>
      </c>
      <c r="H128" s="750" t="s">
        <v>561</v>
      </c>
      <c r="I128" s="750" t="s">
        <v>562</v>
      </c>
      <c r="J128" s="750" t="s">
        <v>563</v>
      </c>
      <c r="K128" s="750" t="s">
        <v>564</v>
      </c>
      <c r="L128" s="750" t="s">
        <v>565</v>
      </c>
      <c r="M128" s="750" t="s">
        <v>1029</v>
      </c>
      <c r="N128" s="750" t="s">
        <v>1030</v>
      </c>
      <c r="O128" s="750" t="s">
        <v>1031</v>
      </c>
      <c r="P128" s="750" t="s">
        <v>1032</v>
      </c>
    </row>
    <row r="129" spans="2:16" ht="18" x14ac:dyDescent="0.25">
      <c r="B129" s="750" t="s">
        <v>870</v>
      </c>
      <c r="C129" s="734" t="s">
        <v>566</v>
      </c>
      <c r="D129" s="265">
        <f>+$D$3</f>
        <v>73231212</v>
      </c>
      <c r="E129" s="265">
        <f>+$E$3</f>
        <v>74430655.752000004</v>
      </c>
      <c r="F129" s="265">
        <f>+$F$3</f>
        <v>76697929</v>
      </c>
      <c r="G129" s="265">
        <f>+$G$3</f>
        <v>79443376.444158807</v>
      </c>
      <c r="H129" s="265">
        <f>+$H$3</f>
        <v>81346804.018574134</v>
      </c>
      <c r="I129" s="265">
        <f>+$I$3</f>
        <v>83117762.153032988</v>
      </c>
      <c r="J129" s="265">
        <f>+$J$3</f>
        <v>84376813.900286376</v>
      </c>
      <c r="K129" s="265">
        <f>+$K$3</f>
        <v>85817253.249695092</v>
      </c>
      <c r="L129" s="265">
        <f>+$L$3</f>
        <v>87087721.932827741</v>
      </c>
      <c r="M129" s="265">
        <f>+$M$3</f>
        <v>87996585.401466116</v>
      </c>
      <c r="N129" s="265">
        <f>+$N$3</f>
        <v>89565016.865754709</v>
      </c>
      <c r="O129" s="265">
        <f>+$O$3</f>
        <v>91133448.330042839</v>
      </c>
      <c r="P129" s="265">
        <f>+$P$3</f>
        <v>92701879.794331446</v>
      </c>
    </row>
    <row r="130" spans="2:16" ht="18" x14ac:dyDescent="0.25">
      <c r="B130" s="750" t="s">
        <v>871</v>
      </c>
      <c r="C130" s="734" t="s">
        <v>566</v>
      </c>
      <c r="D130" s="265">
        <f>+$D$4</f>
        <v>55779290</v>
      </c>
      <c r="E130" s="265">
        <f>+$E$4</f>
        <v>56646487</v>
      </c>
      <c r="F130" s="265">
        <f>+$F$4</f>
        <v>57114170</v>
      </c>
      <c r="G130" s="265">
        <f>+$G$4</f>
        <v>57381362.231400006</v>
      </c>
      <c r="H130" s="265">
        <f>+$H$4</f>
        <v>59731641</v>
      </c>
      <c r="I130" s="265">
        <f>+$I$4</f>
        <v>60100673</v>
      </c>
      <c r="J130" s="265">
        <f>+$J$4</f>
        <v>60553470</v>
      </c>
      <c r="K130" s="265">
        <f>+$K$4</f>
        <v>61116311</v>
      </c>
      <c r="L130" s="265">
        <f>+$L$4</f>
        <v>61473228.050212145</v>
      </c>
      <c r="M130" s="265">
        <f>+$M$4</f>
        <v>62103401.234457493</v>
      </c>
      <c r="N130" s="265">
        <f>+$N$4</f>
        <v>62733574.418702841</v>
      </c>
      <c r="O130" s="265">
        <f>+$O$4</f>
        <v>63363747.602948427</v>
      </c>
      <c r="P130" s="265">
        <f>+$P$4</f>
        <v>63993920.787194014</v>
      </c>
    </row>
    <row r="131" spans="2:16" ht="18" x14ac:dyDescent="0.25">
      <c r="B131" s="750" t="s">
        <v>102</v>
      </c>
      <c r="C131" s="734" t="s">
        <v>566</v>
      </c>
      <c r="D131" s="265">
        <f>+$D$5</f>
        <v>318442</v>
      </c>
      <c r="E131" s="265">
        <f>+$E$5</f>
        <v>325502</v>
      </c>
      <c r="F131" s="265">
        <f>+$F$5</f>
        <v>333412</v>
      </c>
      <c r="G131" s="265">
        <f>+$G$5</f>
        <v>341939.19999999995</v>
      </c>
      <c r="H131" s="265">
        <f>+$H$5</f>
        <v>349461</v>
      </c>
      <c r="I131" s="265">
        <f>+$I$5</f>
        <v>356972</v>
      </c>
      <c r="J131" s="265">
        <f>+$J$5</f>
        <v>364648</v>
      </c>
      <c r="K131" s="265">
        <f>+$K$5</f>
        <v>372488</v>
      </c>
      <c r="L131" s="265">
        <f>+$L$5</f>
        <v>380496.56146201264</v>
      </c>
      <c r="M131" s="265">
        <f>+$M$5</f>
        <v>388677.30848890479</v>
      </c>
      <c r="N131" s="265">
        <f>+$N$5</f>
        <v>397033.94310243073</v>
      </c>
      <c r="O131" s="265">
        <f>+$O$5</f>
        <v>405570.24691850279</v>
      </c>
      <c r="P131" s="265">
        <f>+$P$5</f>
        <v>414290.08285848069</v>
      </c>
    </row>
    <row r="132" spans="2:16" ht="18" x14ac:dyDescent="0.25">
      <c r="B132" s="750" t="s">
        <v>567</v>
      </c>
      <c r="C132" s="734" t="s">
        <v>566</v>
      </c>
      <c r="D132" s="264"/>
      <c r="E132" s="264"/>
      <c r="F132" s="264"/>
      <c r="G132" s="264"/>
      <c r="H132" s="264"/>
      <c r="I132" s="264"/>
      <c r="J132" s="264"/>
      <c r="K132" s="264"/>
      <c r="L132" s="264"/>
      <c r="M132" s="264"/>
      <c r="N132" s="264"/>
      <c r="O132" s="264"/>
      <c r="P132" s="264"/>
    </row>
    <row r="133" spans="2:16" ht="18" x14ac:dyDescent="0.25">
      <c r="B133" s="750" t="s">
        <v>568</v>
      </c>
      <c r="C133" s="734" t="s">
        <v>566</v>
      </c>
      <c r="D133" s="265">
        <f>+'EV PROG CCIALES'!H448</f>
        <v>0</v>
      </c>
      <c r="E133" s="265">
        <f>+'EV PROG CCIALES'!I448</f>
        <v>0</v>
      </c>
      <c r="F133" s="265">
        <f>+'EV PROG CCIALES'!J448</f>
        <v>0</v>
      </c>
      <c r="G133" s="265">
        <f>+'EV PROG CCIALES'!K448</f>
        <v>362448</v>
      </c>
      <c r="H133" s="265">
        <f>+'EV PROG CCIALES'!L448</f>
        <v>362448</v>
      </c>
      <c r="I133" s="265">
        <f>+'EV PROG CCIALES'!M448</f>
        <v>362448</v>
      </c>
      <c r="J133" s="265">
        <f>+'EV PROG CCIALES'!N448</f>
        <v>362448</v>
      </c>
      <c r="K133" s="265">
        <f>+'EV PROG CCIALES'!O448</f>
        <v>362448</v>
      </c>
      <c r="L133" s="265">
        <f>+'EV PROG CCIALES'!P448</f>
        <v>0</v>
      </c>
      <c r="M133" s="265">
        <f>+'EV PROG CCIALES'!Q448</f>
        <v>0</v>
      </c>
      <c r="N133" s="265">
        <f>+'EV PROG CCIALES'!R448</f>
        <v>0</v>
      </c>
      <c r="O133" s="265">
        <f>+'EV PROG CCIALES'!S448</f>
        <v>0</v>
      </c>
      <c r="P133" s="265">
        <f>+'EV PROG CCIALES'!T448</f>
        <v>0</v>
      </c>
    </row>
    <row r="134" spans="2:16" ht="18" x14ac:dyDescent="0.25">
      <c r="B134" s="750" t="s">
        <v>569</v>
      </c>
      <c r="C134" s="734" t="s">
        <v>566</v>
      </c>
      <c r="D134" s="265">
        <f>+D129-D132</f>
        <v>73231212</v>
      </c>
      <c r="E134" s="265">
        <f>+E129-E132</f>
        <v>74430655.752000004</v>
      </c>
      <c r="F134" s="265">
        <f>+F129-F132</f>
        <v>76697929</v>
      </c>
      <c r="G134" s="265">
        <f t="shared" ref="G134:P134" si="54">+G129-G132</f>
        <v>79443376.444158807</v>
      </c>
      <c r="H134" s="265">
        <f t="shared" si="54"/>
        <v>81346804.018574134</v>
      </c>
      <c r="I134" s="265">
        <f t="shared" si="54"/>
        <v>83117762.153032988</v>
      </c>
      <c r="J134" s="265">
        <f t="shared" si="54"/>
        <v>84376813.900286376</v>
      </c>
      <c r="K134" s="265">
        <f t="shared" si="54"/>
        <v>85817253.249695092</v>
      </c>
      <c r="L134" s="265">
        <f t="shared" si="54"/>
        <v>87087721.932827741</v>
      </c>
      <c r="M134" s="265">
        <f t="shared" si="54"/>
        <v>87996585.401466116</v>
      </c>
      <c r="N134" s="265">
        <f t="shared" si="54"/>
        <v>89565016.865754709</v>
      </c>
      <c r="O134" s="265">
        <f t="shared" si="54"/>
        <v>91133448.330042839</v>
      </c>
      <c r="P134" s="265">
        <f t="shared" si="54"/>
        <v>92701879.794331446</v>
      </c>
    </row>
    <row r="135" spans="2:16" ht="18" x14ac:dyDescent="0.25">
      <c r="B135" s="750" t="s">
        <v>570</v>
      </c>
      <c r="C135" s="734" t="s">
        <v>566</v>
      </c>
      <c r="D135" s="265">
        <f>+D130+D133</f>
        <v>55779290</v>
      </c>
      <c r="E135" s="265">
        <f t="shared" ref="E135:P135" si="55">+E130+E133</f>
        <v>56646487</v>
      </c>
      <c r="F135" s="265">
        <f t="shared" si="55"/>
        <v>57114170</v>
      </c>
      <c r="G135" s="265">
        <f t="shared" si="55"/>
        <v>57743810.231400006</v>
      </c>
      <c r="H135" s="265">
        <f t="shared" si="55"/>
        <v>60094089</v>
      </c>
      <c r="I135" s="265">
        <f t="shared" si="55"/>
        <v>60463121</v>
      </c>
      <c r="J135" s="265">
        <f t="shared" si="55"/>
        <v>60915918</v>
      </c>
      <c r="K135" s="265">
        <f t="shared" si="55"/>
        <v>61478759</v>
      </c>
      <c r="L135" s="265">
        <f t="shared" si="55"/>
        <v>61473228.050212145</v>
      </c>
      <c r="M135" s="265">
        <f t="shared" si="55"/>
        <v>62103401.234457493</v>
      </c>
      <c r="N135" s="265">
        <f t="shared" si="55"/>
        <v>62733574.418702841</v>
      </c>
      <c r="O135" s="265">
        <f t="shared" si="55"/>
        <v>63363747.602948427</v>
      </c>
      <c r="P135" s="265">
        <f t="shared" si="55"/>
        <v>63993920.787194014</v>
      </c>
    </row>
    <row r="136" spans="2:16" ht="18" x14ac:dyDescent="0.25">
      <c r="B136" s="750" t="s">
        <v>571</v>
      </c>
      <c r="C136" s="734" t="s">
        <v>105</v>
      </c>
      <c r="D136" s="263">
        <f>IFERROR((D134-D135)/D134*100,0)</f>
        <v>23.831262003420072</v>
      </c>
      <c r="E136" s="263">
        <f t="shared" ref="E136:P136" si="56">IFERROR((E134-E135)/E134*100,0)</f>
        <v>23.893607509325392</v>
      </c>
      <c r="F136" s="263">
        <f t="shared" si="56"/>
        <v>25.533621644464482</v>
      </c>
      <c r="G136" s="263">
        <f t="shared" si="56"/>
        <v>27.314506487537759</v>
      </c>
      <c r="H136" s="263">
        <f t="shared" si="56"/>
        <v>26.126060236762889</v>
      </c>
      <c r="I136" s="263">
        <f t="shared" si="56"/>
        <v>27.256076879599089</v>
      </c>
      <c r="J136" s="263">
        <f t="shared" si="56"/>
        <v>27.80490850011433</v>
      </c>
      <c r="K136" s="263">
        <f t="shared" si="56"/>
        <v>28.360840423171631</v>
      </c>
      <c r="L136" s="263">
        <f t="shared" si="56"/>
        <v>29.412290635380835</v>
      </c>
      <c r="M136" s="263">
        <f t="shared" si="56"/>
        <v>29.425214681770157</v>
      </c>
      <c r="N136" s="263">
        <f t="shared" si="56"/>
        <v>29.95750281303291</v>
      </c>
      <c r="O136" s="263">
        <f t="shared" si="56"/>
        <v>30.471469296899102</v>
      </c>
      <c r="P136" s="263">
        <f t="shared" si="56"/>
        <v>30.968044090183461</v>
      </c>
    </row>
    <row r="137" spans="2:16" ht="18" x14ac:dyDescent="0.25">
      <c r="B137" s="750" t="s">
        <v>572</v>
      </c>
      <c r="C137" s="734" t="s">
        <v>573</v>
      </c>
      <c r="D137" s="266">
        <f>IFERROR(D134/(D131*12),0)</f>
        <v>19.163932521463877</v>
      </c>
      <c r="E137" s="266">
        <f t="shared" ref="E137:P137" si="57">IFERROR(E134/(E131*12),0)</f>
        <v>19.055350338861206</v>
      </c>
      <c r="F137" s="266">
        <f t="shared" si="57"/>
        <v>19.16995813987899</v>
      </c>
      <c r="G137" s="266">
        <f t="shared" si="57"/>
        <v>19.360989820256258</v>
      </c>
      <c r="H137" s="266">
        <f t="shared" si="57"/>
        <v>19.398159837238428</v>
      </c>
      <c r="I137" s="266">
        <f t="shared" si="57"/>
        <v>19.403427101899911</v>
      </c>
      <c r="J137" s="266">
        <f t="shared" si="57"/>
        <v>19.282708689906972</v>
      </c>
      <c r="K137" s="266">
        <f t="shared" si="57"/>
        <v>19.199109154678606</v>
      </c>
      <c r="L137" s="266">
        <f t="shared" si="57"/>
        <v>19.073260828386015</v>
      </c>
      <c r="M137" s="266">
        <f t="shared" si="57"/>
        <v>18.86667583442124</v>
      </c>
      <c r="N137" s="266">
        <f t="shared" si="57"/>
        <v>18.798774097644309</v>
      </c>
      <c r="O137" s="266">
        <f t="shared" si="57"/>
        <v>18.725372694880242</v>
      </c>
      <c r="P137" s="266">
        <f t="shared" si="57"/>
        <v>18.646733217040325</v>
      </c>
    </row>
    <row r="138" spans="2:16" ht="18" x14ac:dyDescent="0.25">
      <c r="B138" s="750" t="s">
        <v>574</v>
      </c>
      <c r="C138" s="734" t="s">
        <v>573</v>
      </c>
      <c r="D138" s="266">
        <f>IFERROR(D135/(D131*12),0)</f>
        <v>14.596925552115195</v>
      </c>
      <c r="E138" s="266">
        <f t="shared" ref="E138:P138" si="58">IFERROR(E135/(E131*12),0)</f>
        <v>14.502339719366804</v>
      </c>
      <c r="F138" s="266">
        <f t="shared" si="58"/>
        <v>14.275173559040066</v>
      </c>
      <c r="G138" s="266">
        <f t="shared" si="58"/>
        <v>14.072630999750837</v>
      </c>
      <c r="H138" s="266">
        <f t="shared" si="58"/>
        <v>14.33018491333797</v>
      </c>
      <c r="I138" s="266">
        <f t="shared" si="58"/>
        <v>14.114814093729107</v>
      </c>
      <c r="J138" s="266">
        <f t="shared" si="58"/>
        <v>13.921169182334745</v>
      </c>
      <c r="K138" s="266">
        <f t="shared" si="58"/>
        <v>13.754080444649672</v>
      </c>
      <c r="L138" s="266">
        <f t="shared" si="58"/>
        <v>13.463377919896875</v>
      </c>
      <c r="M138" s="266">
        <f t="shared" si="58"/>
        <v>13.315115966829138</v>
      </c>
      <c r="N138" s="266">
        <f t="shared" si="58"/>
        <v>13.167130818526813</v>
      </c>
      <c r="O138" s="266">
        <f t="shared" si="58"/>
        <v>13.01947650342988</v>
      </c>
      <c r="P138" s="266">
        <f t="shared" si="58"/>
        <v>12.872204653008394</v>
      </c>
    </row>
    <row r="139" spans="2:16" ht="18" x14ac:dyDescent="0.25">
      <c r="B139" s="750" t="s">
        <v>575</v>
      </c>
      <c r="C139" s="734" t="s">
        <v>573</v>
      </c>
      <c r="D139" s="266">
        <f>IFERROR(D137-D138,0)</f>
        <v>4.5670069693486823</v>
      </c>
      <c r="E139" s="266">
        <f t="shared" ref="E139:P139" si="59">IFERROR(E137-E138,0)</f>
        <v>4.5530106194944029</v>
      </c>
      <c r="F139" s="266">
        <f t="shared" si="59"/>
        <v>4.8947845808389232</v>
      </c>
      <c r="G139" s="266">
        <f t="shared" si="59"/>
        <v>5.2883588205054206</v>
      </c>
      <c r="H139" s="266">
        <f t="shared" si="59"/>
        <v>5.0679749239004579</v>
      </c>
      <c r="I139" s="266">
        <f t="shared" si="59"/>
        <v>5.2886130081708043</v>
      </c>
      <c r="J139" s="266">
        <f t="shared" si="59"/>
        <v>5.3615395075722265</v>
      </c>
      <c r="K139" s="266">
        <f t="shared" si="59"/>
        <v>5.4450287100289341</v>
      </c>
      <c r="L139" s="266">
        <f t="shared" si="59"/>
        <v>5.6098829084891406</v>
      </c>
      <c r="M139" s="266">
        <f t="shared" si="59"/>
        <v>5.5515598675921023</v>
      </c>
      <c r="N139" s="266">
        <f t="shared" si="59"/>
        <v>5.6316432791174957</v>
      </c>
      <c r="O139" s="266">
        <f t="shared" si="59"/>
        <v>5.7058961914503623</v>
      </c>
      <c r="P139" s="266">
        <f t="shared" si="59"/>
        <v>5.7745285640319306</v>
      </c>
    </row>
    <row r="142" spans="2:16" ht="34.15" customHeight="1" x14ac:dyDescent="0.25">
      <c r="B142" s="1083" t="s">
        <v>1009</v>
      </c>
      <c r="C142" s="301" t="s">
        <v>556</v>
      </c>
      <c r="D142" s="750" t="s">
        <v>557</v>
      </c>
      <c r="E142" s="750" t="s">
        <v>558</v>
      </c>
      <c r="F142" s="750" t="s">
        <v>559</v>
      </c>
      <c r="G142" s="750" t="s">
        <v>560</v>
      </c>
      <c r="H142" s="750" t="s">
        <v>561</v>
      </c>
      <c r="I142" s="750" t="s">
        <v>562</v>
      </c>
      <c r="J142" s="750" t="s">
        <v>563</v>
      </c>
      <c r="K142" s="750" t="s">
        <v>564</v>
      </c>
      <c r="L142" s="750" t="s">
        <v>565</v>
      </c>
      <c r="M142" s="750" t="s">
        <v>1029</v>
      </c>
      <c r="N142" s="750" t="s">
        <v>1030</v>
      </c>
      <c r="O142" s="750" t="s">
        <v>1031</v>
      </c>
      <c r="P142" s="750" t="s">
        <v>1032</v>
      </c>
    </row>
    <row r="143" spans="2:16" ht="18" x14ac:dyDescent="0.25">
      <c r="B143" s="750" t="s">
        <v>870</v>
      </c>
      <c r="C143" s="734" t="s">
        <v>566</v>
      </c>
      <c r="D143" s="265">
        <f>+$D$3</f>
        <v>73231212</v>
      </c>
      <c r="E143" s="265">
        <f>+$E$3</f>
        <v>74430655.752000004</v>
      </c>
      <c r="F143" s="265">
        <f>+$F$3</f>
        <v>76697929</v>
      </c>
      <c r="G143" s="265">
        <f>+$G$3</f>
        <v>79443376.444158807</v>
      </c>
      <c r="H143" s="265">
        <f>+$H$3</f>
        <v>81346804.018574134</v>
      </c>
      <c r="I143" s="265">
        <f>+$I$3</f>
        <v>83117762.153032988</v>
      </c>
      <c r="J143" s="265">
        <f>+$J$3</f>
        <v>84376813.900286376</v>
      </c>
      <c r="K143" s="265">
        <f>+$K$3</f>
        <v>85817253.249695092</v>
      </c>
      <c r="L143" s="265">
        <f>+$L$3</f>
        <v>87087721.932827741</v>
      </c>
      <c r="M143" s="265">
        <f>+$M$3</f>
        <v>87996585.401466116</v>
      </c>
      <c r="N143" s="265">
        <f>+$N$3</f>
        <v>89565016.865754709</v>
      </c>
      <c r="O143" s="265">
        <f>+$O$3</f>
        <v>91133448.330042839</v>
      </c>
      <c r="P143" s="265">
        <f>+$P$3</f>
        <v>92701879.794331446</v>
      </c>
    </row>
    <row r="144" spans="2:16" ht="18" x14ac:dyDescent="0.25">
      <c r="B144" s="750" t="s">
        <v>871</v>
      </c>
      <c r="C144" s="734" t="s">
        <v>566</v>
      </c>
      <c r="D144" s="265">
        <f>+$D$4</f>
        <v>55779290</v>
      </c>
      <c r="E144" s="265">
        <f>+$E$4</f>
        <v>56646487</v>
      </c>
      <c r="F144" s="265">
        <f>+$F$4</f>
        <v>57114170</v>
      </c>
      <c r="G144" s="265">
        <f>+$G$4</f>
        <v>57381362.231400006</v>
      </c>
      <c r="H144" s="265">
        <f>+$H$4</f>
        <v>59731641</v>
      </c>
      <c r="I144" s="265">
        <f>+$I$4</f>
        <v>60100673</v>
      </c>
      <c r="J144" s="265">
        <f>+$J$4</f>
        <v>60553470</v>
      </c>
      <c r="K144" s="265">
        <f>+$K$4</f>
        <v>61116311</v>
      </c>
      <c r="L144" s="265">
        <f>+$L$4</f>
        <v>61473228.050212145</v>
      </c>
      <c r="M144" s="265">
        <f>+$M$4</f>
        <v>62103401.234457493</v>
      </c>
      <c r="N144" s="265">
        <f>+$N$4</f>
        <v>62733574.418702841</v>
      </c>
      <c r="O144" s="265">
        <f>+$O$4</f>
        <v>63363747.602948427</v>
      </c>
      <c r="P144" s="265">
        <f>+$P$4</f>
        <v>63993920.787194014</v>
      </c>
    </row>
    <row r="145" spans="2:16" ht="18" x14ac:dyDescent="0.25">
      <c r="B145" s="750" t="s">
        <v>102</v>
      </c>
      <c r="C145" s="734" t="s">
        <v>566</v>
      </c>
      <c r="D145" s="265">
        <f>+$D$5</f>
        <v>318442</v>
      </c>
      <c r="E145" s="265">
        <f>+$E$5</f>
        <v>325502</v>
      </c>
      <c r="F145" s="265">
        <f>+$F$5</f>
        <v>333412</v>
      </c>
      <c r="G145" s="265">
        <f>+$G$5</f>
        <v>341939.19999999995</v>
      </c>
      <c r="H145" s="265">
        <f>+$H$5</f>
        <v>349461</v>
      </c>
      <c r="I145" s="265">
        <f>+$I$5</f>
        <v>356972</v>
      </c>
      <c r="J145" s="265">
        <f>+$J$5</f>
        <v>364648</v>
      </c>
      <c r="K145" s="265">
        <f>+$K$5</f>
        <v>372488</v>
      </c>
      <c r="L145" s="265">
        <f>+$L$5</f>
        <v>380496.56146201264</v>
      </c>
      <c r="M145" s="265">
        <f>+$M$5</f>
        <v>388677.30848890479</v>
      </c>
      <c r="N145" s="265">
        <f>+$N$5</f>
        <v>397033.94310243073</v>
      </c>
      <c r="O145" s="265">
        <f>+$O$5</f>
        <v>405570.24691850279</v>
      </c>
      <c r="P145" s="265">
        <f>+$P$5</f>
        <v>414290.08285848069</v>
      </c>
    </row>
    <row r="146" spans="2:16" ht="18" x14ac:dyDescent="0.25">
      <c r="B146" s="750" t="s">
        <v>567</v>
      </c>
      <c r="C146" s="734" t="s">
        <v>566</v>
      </c>
      <c r="D146" s="264"/>
      <c r="E146" s="264"/>
      <c r="F146" s="264"/>
      <c r="G146" s="264"/>
      <c r="H146" s="264"/>
      <c r="I146" s="264"/>
      <c r="J146" s="264"/>
      <c r="K146" s="264"/>
      <c r="L146" s="264"/>
      <c r="M146" s="264"/>
      <c r="N146" s="264"/>
      <c r="O146" s="264"/>
      <c r="P146" s="264"/>
    </row>
    <row r="147" spans="2:16" ht="18" x14ac:dyDescent="0.25">
      <c r="B147" s="750" t="s">
        <v>568</v>
      </c>
      <c r="C147" s="734" t="s">
        <v>566</v>
      </c>
      <c r="D147" s="265">
        <f>+'EV PROG CCIALES'!H449</f>
        <v>0</v>
      </c>
      <c r="E147" s="265">
        <f>+'EV PROG CCIALES'!I449</f>
        <v>0</v>
      </c>
      <c r="F147" s="265">
        <f>+'EV PROG CCIALES'!J449</f>
        <v>0</v>
      </c>
      <c r="G147" s="265">
        <f>+'EV PROG CCIALES'!K449</f>
        <v>0</v>
      </c>
      <c r="H147" s="265">
        <f>+'EV PROG CCIALES'!L449</f>
        <v>0</v>
      </c>
      <c r="I147" s="265">
        <f>+'EV PROG CCIALES'!M449</f>
        <v>0</v>
      </c>
      <c r="J147" s="265">
        <f>+'EV PROG CCIALES'!N449</f>
        <v>0</v>
      </c>
      <c r="K147" s="265">
        <f>+'EV PROG CCIALES'!O449</f>
        <v>0</v>
      </c>
      <c r="L147" s="265">
        <f>+'EV PROG CCIALES'!P449</f>
        <v>0</v>
      </c>
      <c r="M147" s="265">
        <f>+'EV PROG CCIALES'!Q449</f>
        <v>0</v>
      </c>
      <c r="N147" s="265">
        <f>+'EV PROG CCIALES'!R449</f>
        <v>0</v>
      </c>
      <c r="O147" s="265">
        <f>+'EV PROG CCIALES'!S449</f>
        <v>0</v>
      </c>
      <c r="P147" s="265">
        <f>+'EV PROG CCIALES'!T449</f>
        <v>0</v>
      </c>
    </row>
    <row r="148" spans="2:16" ht="18" x14ac:dyDescent="0.25">
      <c r="B148" s="750" t="s">
        <v>569</v>
      </c>
      <c r="C148" s="734" t="s">
        <v>566</v>
      </c>
      <c r="D148" s="265">
        <f>+D143-D146</f>
        <v>73231212</v>
      </c>
      <c r="E148" s="265">
        <f>+E143-E146</f>
        <v>74430655.752000004</v>
      </c>
      <c r="F148" s="265">
        <f>+F143-F146</f>
        <v>76697929</v>
      </c>
      <c r="G148" s="265">
        <f t="shared" ref="G148:P148" si="60">+G143-G146</f>
        <v>79443376.444158807</v>
      </c>
      <c r="H148" s="265">
        <f t="shared" si="60"/>
        <v>81346804.018574134</v>
      </c>
      <c r="I148" s="265">
        <f t="shared" si="60"/>
        <v>83117762.153032988</v>
      </c>
      <c r="J148" s="265">
        <f t="shared" si="60"/>
        <v>84376813.900286376</v>
      </c>
      <c r="K148" s="265">
        <f t="shared" si="60"/>
        <v>85817253.249695092</v>
      </c>
      <c r="L148" s="265">
        <f t="shared" si="60"/>
        <v>87087721.932827741</v>
      </c>
      <c r="M148" s="265">
        <f t="shared" si="60"/>
        <v>87996585.401466116</v>
      </c>
      <c r="N148" s="265">
        <f t="shared" si="60"/>
        <v>89565016.865754709</v>
      </c>
      <c r="O148" s="265">
        <f t="shared" si="60"/>
        <v>91133448.330042839</v>
      </c>
      <c r="P148" s="265">
        <f t="shared" si="60"/>
        <v>92701879.794331446</v>
      </c>
    </row>
    <row r="149" spans="2:16" ht="18" x14ac:dyDescent="0.25">
      <c r="B149" s="750" t="s">
        <v>570</v>
      </c>
      <c r="C149" s="734" t="s">
        <v>566</v>
      </c>
      <c r="D149" s="265">
        <f>+D144+D147</f>
        <v>55779290</v>
      </c>
      <c r="E149" s="265">
        <f t="shared" ref="E149:P149" si="61">+E144+E147</f>
        <v>56646487</v>
      </c>
      <c r="F149" s="265">
        <f t="shared" si="61"/>
        <v>57114170</v>
      </c>
      <c r="G149" s="265">
        <f t="shared" si="61"/>
        <v>57381362.231400006</v>
      </c>
      <c r="H149" s="265">
        <f t="shared" si="61"/>
        <v>59731641</v>
      </c>
      <c r="I149" s="265">
        <f t="shared" si="61"/>
        <v>60100673</v>
      </c>
      <c r="J149" s="265">
        <f t="shared" si="61"/>
        <v>60553470</v>
      </c>
      <c r="K149" s="265">
        <f t="shared" si="61"/>
        <v>61116311</v>
      </c>
      <c r="L149" s="265">
        <f t="shared" si="61"/>
        <v>61473228.050212145</v>
      </c>
      <c r="M149" s="265">
        <f t="shared" si="61"/>
        <v>62103401.234457493</v>
      </c>
      <c r="N149" s="265">
        <f t="shared" si="61"/>
        <v>62733574.418702841</v>
      </c>
      <c r="O149" s="265">
        <f t="shared" si="61"/>
        <v>63363747.602948427</v>
      </c>
      <c r="P149" s="265">
        <f t="shared" si="61"/>
        <v>63993920.787194014</v>
      </c>
    </row>
    <row r="150" spans="2:16" ht="18" x14ac:dyDescent="0.25">
      <c r="B150" s="750" t="s">
        <v>571</v>
      </c>
      <c r="C150" s="734" t="s">
        <v>105</v>
      </c>
      <c r="D150" s="263">
        <f>IFERROR((D148-D149)/D148*100,0)</f>
        <v>23.831262003420072</v>
      </c>
      <c r="E150" s="263">
        <f t="shared" ref="E150:P150" si="62">IFERROR((E148-E149)/E148*100,0)</f>
        <v>23.893607509325392</v>
      </c>
      <c r="F150" s="263">
        <f t="shared" si="62"/>
        <v>25.533621644464482</v>
      </c>
      <c r="G150" s="263">
        <f t="shared" si="62"/>
        <v>27.770740872609203</v>
      </c>
      <c r="H150" s="263">
        <f t="shared" si="62"/>
        <v>26.571619228751363</v>
      </c>
      <c r="I150" s="263">
        <f t="shared" si="62"/>
        <v>27.692142517810904</v>
      </c>
      <c r="J150" s="263">
        <f t="shared" si="62"/>
        <v>28.234467265426716</v>
      </c>
      <c r="K150" s="263">
        <f t="shared" si="62"/>
        <v>28.783189060858057</v>
      </c>
      <c r="L150" s="263">
        <f t="shared" si="62"/>
        <v>29.412290635380835</v>
      </c>
      <c r="M150" s="263">
        <f t="shared" si="62"/>
        <v>29.425214681770157</v>
      </c>
      <c r="N150" s="263">
        <f t="shared" si="62"/>
        <v>29.95750281303291</v>
      </c>
      <c r="O150" s="263">
        <f t="shared" si="62"/>
        <v>30.471469296899102</v>
      </c>
      <c r="P150" s="263">
        <f t="shared" si="62"/>
        <v>30.968044090183461</v>
      </c>
    </row>
    <row r="151" spans="2:16" ht="18" x14ac:dyDescent="0.25">
      <c r="B151" s="750" t="s">
        <v>572</v>
      </c>
      <c r="C151" s="734" t="s">
        <v>573</v>
      </c>
      <c r="D151" s="266">
        <f>IFERROR(D148/(D145*12),0)</f>
        <v>19.163932521463877</v>
      </c>
      <c r="E151" s="266">
        <f t="shared" ref="E151:P151" si="63">IFERROR(E148/(E145*12),0)</f>
        <v>19.055350338861206</v>
      </c>
      <c r="F151" s="266">
        <f t="shared" si="63"/>
        <v>19.16995813987899</v>
      </c>
      <c r="G151" s="266">
        <f t="shared" si="63"/>
        <v>19.360989820256258</v>
      </c>
      <c r="H151" s="266">
        <f t="shared" si="63"/>
        <v>19.398159837238428</v>
      </c>
      <c r="I151" s="266">
        <f t="shared" si="63"/>
        <v>19.403427101899911</v>
      </c>
      <c r="J151" s="266">
        <f t="shared" si="63"/>
        <v>19.282708689906972</v>
      </c>
      <c r="K151" s="266">
        <f t="shared" si="63"/>
        <v>19.199109154678606</v>
      </c>
      <c r="L151" s="266">
        <f t="shared" si="63"/>
        <v>19.073260828386015</v>
      </c>
      <c r="M151" s="266">
        <f t="shared" si="63"/>
        <v>18.86667583442124</v>
      </c>
      <c r="N151" s="266">
        <f t="shared" si="63"/>
        <v>18.798774097644309</v>
      </c>
      <c r="O151" s="266">
        <f t="shared" si="63"/>
        <v>18.725372694880242</v>
      </c>
      <c r="P151" s="266">
        <f t="shared" si="63"/>
        <v>18.646733217040325</v>
      </c>
    </row>
    <row r="152" spans="2:16" ht="18" x14ac:dyDescent="0.25">
      <c r="B152" s="750" t="s">
        <v>574</v>
      </c>
      <c r="C152" s="734" t="s">
        <v>573</v>
      </c>
      <c r="D152" s="266">
        <f>IFERROR(D149/(D145*12),0)</f>
        <v>14.596925552115195</v>
      </c>
      <c r="E152" s="266">
        <f t="shared" ref="E152:P152" si="64">IFERROR(E149/(E145*12),0)</f>
        <v>14.502339719366804</v>
      </c>
      <c r="F152" s="266">
        <f t="shared" si="64"/>
        <v>14.275173559040066</v>
      </c>
      <c r="G152" s="266">
        <f t="shared" si="64"/>
        <v>13.984299506900646</v>
      </c>
      <c r="H152" s="266">
        <f t="shared" si="64"/>
        <v>14.243754667902856</v>
      </c>
      <c r="I152" s="266">
        <f t="shared" si="64"/>
        <v>14.030202415502243</v>
      </c>
      <c r="J152" s="266">
        <f t="shared" si="64"/>
        <v>13.838338616967595</v>
      </c>
      <c r="K152" s="266">
        <f t="shared" si="64"/>
        <v>13.672993268686955</v>
      </c>
      <c r="L152" s="266">
        <f t="shared" si="64"/>
        <v>13.463377919896875</v>
      </c>
      <c r="M152" s="266">
        <f t="shared" si="64"/>
        <v>13.315115966829138</v>
      </c>
      <c r="N152" s="266">
        <f t="shared" si="64"/>
        <v>13.167130818526813</v>
      </c>
      <c r="O152" s="266">
        <f t="shared" si="64"/>
        <v>13.01947650342988</v>
      </c>
      <c r="P152" s="266">
        <f t="shared" si="64"/>
        <v>12.872204653008394</v>
      </c>
    </row>
    <row r="153" spans="2:16" ht="18" x14ac:dyDescent="0.25">
      <c r="B153" s="750" t="s">
        <v>575</v>
      </c>
      <c r="C153" s="734" t="s">
        <v>573</v>
      </c>
      <c r="D153" s="266">
        <f>IFERROR(D151-D152,0)</f>
        <v>4.5670069693486823</v>
      </c>
      <c r="E153" s="266">
        <f t="shared" ref="E153:P153" si="65">IFERROR(E151-E152,0)</f>
        <v>4.5530106194944029</v>
      </c>
      <c r="F153" s="266">
        <f t="shared" si="65"/>
        <v>4.8947845808389232</v>
      </c>
      <c r="G153" s="266">
        <f t="shared" si="65"/>
        <v>5.3766903133556117</v>
      </c>
      <c r="H153" s="266">
        <f t="shared" si="65"/>
        <v>5.1544051693355719</v>
      </c>
      <c r="I153" s="266">
        <f t="shared" si="65"/>
        <v>5.373224686397668</v>
      </c>
      <c r="J153" s="266">
        <f t="shared" si="65"/>
        <v>5.4443700729393765</v>
      </c>
      <c r="K153" s="266">
        <f t="shared" si="65"/>
        <v>5.5261158859916506</v>
      </c>
      <c r="L153" s="266">
        <f t="shared" si="65"/>
        <v>5.6098829084891406</v>
      </c>
      <c r="M153" s="266">
        <f t="shared" si="65"/>
        <v>5.5515598675921023</v>
      </c>
      <c r="N153" s="266">
        <f t="shared" si="65"/>
        <v>5.6316432791174957</v>
      </c>
      <c r="O153" s="266">
        <f t="shared" si="65"/>
        <v>5.7058961914503623</v>
      </c>
      <c r="P153" s="266">
        <f t="shared" si="65"/>
        <v>5.7745285640319306</v>
      </c>
    </row>
    <row r="156" spans="2:16" ht="36" x14ac:dyDescent="0.25">
      <c r="B156" s="1083" t="s">
        <v>1010</v>
      </c>
      <c r="C156" s="301" t="s">
        <v>556</v>
      </c>
      <c r="D156" s="750" t="s">
        <v>557</v>
      </c>
      <c r="E156" s="750" t="s">
        <v>558</v>
      </c>
      <c r="F156" s="750" t="s">
        <v>559</v>
      </c>
      <c r="G156" s="750" t="s">
        <v>560</v>
      </c>
      <c r="H156" s="750" t="s">
        <v>561</v>
      </c>
      <c r="I156" s="750" t="s">
        <v>562</v>
      </c>
      <c r="J156" s="750" t="s">
        <v>563</v>
      </c>
      <c r="K156" s="750" t="s">
        <v>564</v>
      </c>
      <c r="L156" s="750" t="s">
        <v>565</v>
      </c>
      <c r="M156" s="750" t="s">
        <v>1029</v>
      </c>
      <c r="N156" s="750" t="s">
        <v>1030</v>
      </c>
      <c r="O156" s="750" t="s">
        <v>1031</v>
      </c>
      <c r="P156" s="750" t="s">
        <v>1032</v>
      </c>
    </row>
    <row r="157" spans="2:16" ht="18" x14ac:dyDescent="0.25">
      <c r="B157" s="750" t="s">
        <v>870</v>
      </c>
      <c r="C157" s="734" t="s">
        <v>566</v>
      </c>
      <c r="D157" s="265">
        <f>+$D$3</f>
        <v>73231212</v>
      </c>
      <c r="E157" s="265">
        <f>+$E$3</f>
        <v>74430655.752000004</v>
      </c>
      <c r="F157" s="265">
        <f>+$F$3</f>
        <v>76697929</v>
      </c>
      <c r="G157" s="265">
        <f>+$G$3</f>
        <v>79443376.444158807</v>
      </c>
      <c r="H157" s="265">
        <f>+$H$3</f>
        <v>81346804.018574134</v>
      </c>
      <c r="I157" s="265">
        <f>+$I$3</f>
        <v>83117762.153032988</v>
      </c>
      <c r="J157" s="265">
        <f>+$J$3</f>
        <v>84376813.900286376</v>
      </c>
      <c r="K157" s="265">
        <f>+$K$3</f>
        <v>85817253.249695092</v>
      </c>
      <c r="L157" s="265">
        <f>+$L$3</f>
        <v>87087721.932827741</v>
      </c>
      <c r="M157" s="265">
        <f>+$M$3</f>
        <v>87996585.401466116</v>
      </c>
      <c r="N157" s="265">
        <f>+$N$3</f>
        <v>89565016.865754709</v>
      </c>
      <c r="O157" s="265">
        <f>+$O$3</f>
        <v>91133448.330042839</v>
      </c>
      <c r="P157" s="265">
        <f>+$P$3</f>
        <v>92701879.794331446</v>
      </c>
    </row>
    <row r="158" spans="2:16" ht="18" x14ac:dyDescent="0.25">
      <c r="B158" s="750" t="s">
        <v>871</v>
      </c>
      <c r="C158" s="734" t="s">
        <v>566</v>
      </c>
      <c r="D158" s="265">
        <f>+$D$4</f>
        <v>55779290</v>
      </c>
      <c r="E158" s="265">
        <f>+$E$4</f>
        <v>56646487</v>
      </c>
      <c r="F158" s="265">
        <f>+$F$4</f>
        <v>57114170</v>
      </c>
      <c r="G158" s="265">
        <f>+$G$4</f>
        <v>57381362.231400006</v>
      </c>
      <c r="H158" s="265">
        <f>+$H$4</f>
        <v>59731641</v>
      </c>
      <c r="I158" s="265">
        <f>+$I$4</f>
        <v>60100673</v>
      </c>
      <c r="J158" s="265">
        <f>+$J$4</f>
        <v>60553470</v>
      </c>
      <c r="K158" s="265">
        <f>+$K$4</f>
        <v>61116311</v>
      </c>
      <c r="L158" s="265">
        <f>+$L$4</f>
        <v>61473228.050212145</v>
      </c>
      <c r="M158" s="265">
        <f>+$M$4</f>
        <v>62103401.234457493</v>
      </c>
      <c r="N158" s="265">
        <f>+$N$4</f>
        <v>62733574.418702841</v>
      </c>
      <c r="O158" s="265">
        <f>+$O$4</f>
        <v>63363747.602948427</v>
      </c>
      <c r="P158" s="265">
        <f>+$P$4</f>
        <v>63993920.787194014</v>
      </c>
    </row>
    <row r="159" spans="2:16" ht="18" x14ac:dyDescent="0.25">
      <c r="B159" s="750" t="s">
        <v>102</v>
      </c>
      <c r="C159" s="734" t="s">
        <v>566</v>
      </c>
      <c r="D159" s="265">
        <f>+$D$5</f>
        <v>318442</v>
      </c>
      <c r="E159" s="265">
        <f>+$E$5</f>
        <v>325502</v>
      </c>
      <c r="F159" s="265">
        <f>+$F$5</f>
        <v>333412</v>
      </c>
      <c r="G159" s="265">
        <f>+$G$5</f>
        <v>341939.19999999995</v>
      </c>
      <c r="H159" s="265">
        <f>+$H$5</f>
        <v>349461</v>
      </c>
      <c r="I159" s="265">
        <f>+$I$5</f>
        <v>356972</v>
      </c>
      <c r="J159" s="265">
        <f>+$J$5</f>
        <v>364648</v>
      </c>
      <c r="K159" s="265">
        <f>+$K$5</f>
        <v>372488</v>
      </c>
      <c r="L159" s="265">
        <f>+$L$5</f>
        <v>380496.56146201264</v>
      </c>
      <c r="M159" s="265">
        <f>+$M$5</f>
        <v>388677.30848890479</v>
      </c>
      <c r="N159" s="265">
        <f>+$N$5</f>
        <v>397033.94310243073</v>
      </c>
      <c r="O159" s="265">
        <f>+$O$5</f>
        <v>405570.24691850279</v>
      </c>
      <c r="P159" s="265">
        <f>+$P$5</f>
        <v>414290.08285848069</v>
      </c>
    </row>
    <row r="160" spans="2:16" ht="18" x14ac:dyDescent="0.25">
      <c r="B160" s="750" t="s">
        <v>567</v>
      </c>
      <c r="C160" s="734" t="s">
        <v>566</v>
      </c>
      <c r="D160" s="264"/>
      <c r="E160" s="264"/>
      <c r="F160" s="264"/>
      <c r="G160" s="264"/>
      <c r="H160" s="264"/>
      <c r="I160" s="264"/>
      <c r="J160" s="264"/>
      <c r="K160" s="264"/>
      <c r="L160" s="264"/>
      <c r="M160" s="264"/>
      <c r="N160" s="264"/>
      <c r="O160" s="264"/>
      <c r="P160" s="264"/>
    </row>
    <row r="161" spans="2:16" ht="18" x14ac:dyDescent="0.25">
      <c r="B161" s="750" t="s">
        <v>568</v>
      </c>
      <c r="C161" s="734" t="s">
        <v>566</v>
      </c>
      <c r="D161" s="265">
        <f>+'EV PROG CCIALES'!H450</f>
        <v>0</v>
      </c>
      <c r="E161" s="265">
        <f>+'EV PROG CCIALES'!I450</f>
        <v>0</v>
      </c>
      <c r="F161" s="265">
        <f>+'EV PROG CCIALES'!J450</f>
        <v>0</v>
      </c>
      <c r="G161" s="265">
        <f>+'EV PROG CCIALES'!K450</f>
        <v>22189.508158946323</v>
      </c>
      <c r="H161" s="265">
        <f>+'EV PROG CCIALES'!L450+PROG12[[#This Row],[2026]]</f>
        <v>44134.931728144235</v>
      </c>
      <c r="I161" s="265">
        <f>+'EV PROG CCIALES'!M450+PROG12[[#This Row],[2027]]</f>
        <v>65838.955638080966</v>
      </c>
      <c r="J161" s="265">
        <f>+'EV PROG CCIALES'!N450+PROG12[[#This Row],[2028]]</f>
        <v>87304.235285008384</v>
      </c>
      <c r="K161" s="265">
        <f>+'EV PROG CCIALES'!O450</f>
        <v>21229.161570811226</v>
      </c>
      <c r="L161" s="265">
        <f>+'EV PROG CCIALES'!P450</f>
        <v>0</v>
      </c>
      <c r="M161" s="265">
        <f>+'EV PROG CCIALES'!Q450</f>
        <v>0</v>
      </c>
      <c r="N161" s="265">
        <f>+'EV PROG CCIALES'!R450</f>
        <v>0</v>
      </c>
      <c r="O161" s="265">
        <f>+'EV PROG CCIALES'!S450</f>
        <v>0</v>
      </c>
      <c r="P161" s="265">
        <f>+'EV PROG CCIALES'!T450</f>
        <v>0</v>
      </c>
    </row>
    <row r="162" spans="2:16" ht="18" x14ac:dyDescent="0.25">
      <c r="B162" s="750" t="s">
        <v>569</v>
      </c>
      <c r="C162" s="734" t="s">
        <v>566</v>
      </c>
      <c r="D162" s="265">
        <f>+D157-D160</f>
        <v>73231212</v>
      </c>
      <c r="E162" s="265">
        <f>+E157-E160</f>
        <v>74430655.752000004</v>
      </c>
      <c r="F162" s="265">
        <f>+F157-F160</f>
        <v>76697929</v>
      </c>
      <c r="G162" s="265">
        <f t="shared" ref="G162:P162" si="66">+G157-G160</f>
        <v>79443376.444158807</v>
      </c>
      <c r="H162" s="265">
        <f t="shared" si="66"/>
        <v>81346804.018574134</v>
      </c>
      <c r="I162" s="265">
        <f t="shared" si="66"/>
        <v>83117762.153032988</v>
      </c>
      <c r="J162" s="265">
        <f t="shared" si="66"/>
        <v>84376813.900286376</v>
      </c>
      <c r="K162" s="265">
        <f t="shared" si="66"/>
        <v>85817253.249695092</v>
      </c>
      <c r="L162" s="265">
        <f t="shared" si="66"/>
        <v>87087721.932827741</v>
      </c>
      <c r="M162" s="265">
        <f t="shared" si="66"/>
        <v>87996585.401466116</v>
      </c>
      <c r="N162" s="265">
        <f t="shared" si="66"/>
        <v>89565016.865754709</v>
      </c>
      <c r="O162" s="265">
        <f t="shared" si="66"/>
        <v>91133448.330042839</v>
      </c>
      <c r="P162" s="265">
        <f t="shared" si="66"/>
        <v>92701879.794331446</v>
      </c>
    </row>
    <row r="163" spans="2:16" ht="18" x14ac:dyDescent="0.25">
      <c r="B163" s="750" t="s">
        <v>570</v>
      </c>
      <c r="C163" s="734" t="s">
        <v>566</v>
      </c>
      <c r="D163" s="265">
        <f>+D158+D161</f>
        <v>55779290</v>
      </c>
      <c r="E163" s="265">
        <f t="shared" ref="E163:P163" si="67">+E158+E161</f>
        <v>56646487</v>
      </c>
      <c r="F163" s="265">
        <f t="shared" si="67"/>
        <v>57114170</v>
      </c>
      <c r="G163" s="265">
        <f t="shared" si="67"/>
        <v>57403551.73955895</v>
      </c>
      <c r="H163" s="265">
        <f t="shared" si="67"/>
        <v>59775775.931728147</v>
      </c>
      <c r="I163" s="265">
        <f t="shared" si="67"/>
        <v>60166511.955638081</v>
      </c>
      <c r="J163" s="265">
        <f t="shared" si="67"/>
        <v>60640774.235285006</v>
      </c>
      <c r="K163" s="265">
        <f t="shared" si="67"/>
        <v>61137540.16157081</v>
      </c>
      <c r="L163" s="265">
        <f t="shared" si="67"/>
        <v>61473228.050212145</v>
      </c>
      <c r="M163" s="265">
        <f t="shared" si="67"/>
        <v>62103401.234457493</v>
      </c>
      <c r="N163" s="265">
        <f t="shared" si="67"/>
        <v>62733574.418702841</v>
      </c>
      <c r="O163" s="265">
        <f t="shared" si="67"/>
        <v>63363747.602948427</v>
      </c>
      <c r="P163" s="265">
        <f t="shared" si="67"/>
        <v>63993920.787194014</v>
      </c>
    </row>
    <row r="164" spans="2:16" ht="18" x14ac:dyDescent="0.25">
      <c r="B164" s="750" t="s">
        <v>571</v>
      </c>
      <c r="C164" s="734" t="s">
        <v>105</v>
      </c>
      <c r="D164" s="263">
        <f>IFERROR((D162-D163)/D162*100,0)</f>
        <v>23.831262003420072</v>
      </c>
      <c r="E164" s="263">
        <f t="shared" ref="E164:P164" si="68">IFERROR((E162-E163)/E162*100,0)</f>
        <v>23.893607509325392</v>
      </c>
      <c r="F164" s="263">
        <f t="shared" si="68"/>
        <v>25.533621644464482</v>
      </c>
      <c r="G164" s="263">
        <f t="shared" si="68"/>
        <v>27.742809647688844</v>
      </c>
      <c r="H164" s="263">
        <f t="shared" si="68"/>
        <v>26.517363954360906</v>
      </c>
      <c r="I164" s="263">
        <f t="shared" si="68"/>
        <v>27.612930862043676</v>
      </c>
      <c r="J164" s="263">
        <f t="shared" si="68"/>
        <v>28.130997803557513</v>
      </c>
      <c r="K164" s="263">
        <f t="shared" si="68"/>
        <v>28.758451422717808</v>
      </c>
      <c r="L164" s="263">
        <f t="shared" si="68"/>
        <v>29.412290635380835</v>
      </c>
      <c r="M164" s="263">
        <f t="shared" si="68"/>
        <v>29.425214681770157</v>
      </c>
      <c r="N164" s="263">
        <f t="shared" si="68"/>
        <v>29.95750281303291</v>
      </c>
      <c r="O164" s="263">
        <f t="shared" si="68"/>
        <v>30.471469296899102</v>
      </c>
      <c r="P164" s="263">
        <f t="shared" si="68"/>
        <v>30.968044090183461</v>
      </c>
    </row>
    <row r="165" spans="2:16" ht="18" x14ac:dyDescent="0.25">
      <c r="B165" s="750" t="s">
        <v>572</v>
      </c>
      <c r="C165" s="734" t="s">
        <v>573</v>
      </c>
      <c r="D165" s="266">
        <f>IFERROR(D162/(D159*12),0)</f>
        <v>19.163932521463877</v>
      </c>
      <c r="E165" s="266">
        <f t="shared" ref="E165:P165" si="69">IFERROR(E162/(E159*12),0)</f>
        <v>19.055350338861206</v>
      </c>
      <c r="F165" s="266">
        <f t="shared" si="69"/>
        <v>19.16995813987899</v>
      </c>
      <c r="G165" s="266">
        <f t="shared" si="69"/>
        <v>19.360989820256258</v>
      </c>
      <c r="H165" s="266">
        <f t="shared" si="69"/>
        <v>19.398159837238428</v>
      </c>
      <c r="I165" s="266">
        <f t="shared" si="69"/>
        <v>19.403427101899911</v>
      </c>
      <c r="J165" s="266">
        <f t="shared" si="69"/>
        <v>19.282708689906972</v>
      </c>
      <c r="K165" s="266">
        <f t="shared" si="69"/>
        <v>19.199109154678606</v>
      </c>
      <c r="L165" s="266">
        <f t="shared" si="69"/>
        <v>19.073260828386015</v>
      </c>
      <c r="M165" s="266">
        <f t="shared" si="69"/>
        <v>18.86667583442124</v>
      </c>
      <c r="N165" s="266">
        <f t="shared" si="69"/>
        <v>18.798774097644309</v>
      </c>
      <c r="O165" s="266">
        <f t="shared" si="69"/>
        <v>18.725372694880242</v>
      </c>
      <c r="P165" s="266">
        <f t="shared" si="69"/>
        <v>18.646733217040325</v>
      </c>
    </row>
    <row r="166" spans="2:16" ht="18" x14ac:dyDescent="0.25">
      <c r="B166" s="750" t="s">
        <v>574</v>
      </c>
      <c r="C166" s="734" t="s">
        <v>573</v>
      </c>
      <c r="D166" s="266">
        <f>IFERROR(D163/(D159*12),0)</f>
        <v>14.596925552115195</v>
      </c>
      <c r="E166" s="266">
        <f t="shared" ref="E166:P166" si="70">IFERROR(E163/(E159*12),0)</f>
        <v>14.502339719366804</v>
      </c>
      <c r="F166" s="266">
        <f t="shared" si="70"/>
        <v>14.275173559040066</v>
      </c>
      <c r="G166" s="266">
        <f t="shared" si="70"/>
        <v>13.989707268514149</v>
      </c>
      <c r="H166" s="266">
        <f t="shared" si="70"/>
        <v>14.25427919274925</v>
      </c>
      <c r="I166" s="266">
        <f t="shared" si="70"/>
        <v>14.045572191385244</v>
      </c>
      <c r="J166" s="266">
        <f t="shared" si="70"/>
        <v>13.858290331882849</v>
      </c>
      <c r="K166" s="266">
        <f t="shared" si="70"/>
        <v>13.677742674835791</v>
      </c>
      <c r="L166" s="266">
        <f t="shared" si="70"/>
        <v>13.463377919896875</v>
      </c>
      <c r="M166" s="266">
        <f t="shared" si="70"/>
        <v>13.315115966829138</v>
      </c>
      <c r="N166" s="266">
        <f t="shared" si="70"/>
        <v>13.167130818526813</v>
      </c>
      <c r="O166" s="266">
        <f t="shared" si="70"/>
        <v>13.01947650342988</v>
      </c>
      <c r="P166" s="266">
        <f t="shared" si="70"/>
        <v>12.872204653008394</v>
      </c>
    </row>
    <row r="167" spans="2:16" ht="18" x14ac:dyDescent="0.25">
      <c r="B167" s="750" t="s">
        <v>575</v>
      </c>
      <c r="C167" s="734" t="s">
        <v>573</v>
      </c>
      <c r="D167" s="266">
        <f>IFERROR(D165-D166,0)</f>
        <v>4.5670069693486823</v>
      </c>
      <c r="E167" s="266">
        <f t="shared" ref="E167:P167" si="71">IFERROR(E165-E166,0)</f>
        <v>4.5530106194944029</v>
      </c>
      <c r="F167" s="266">
        <f t="shared" si="71"/>
        <v>4.8947845808389232</v>
      </c>
      <c r="G167" s="266">
        <f t="shared" si="71"/>
        <v>5.3712825517421088</v>
      </c>
      <c r="H167" s="266">
        <f t="shared" si="71"/>
        <v>5.1438806444891778</v>
      </c>
      <c r="I167" s="266">
        <f t="shared" si="71"/>
        <v>5.3578549105146678</v>
      </c>
      <c r="J167" s="266">
        <f t="shared" si="71"/>
        <v>5.4244183580241234</v>
      </c>
      <c r="K167" s="266">
        <f t="shared" si="71"/>
        <v>5.5213664798428148</v>
      </c>
      <c r="L167" s="266">
        <f t="shared" si="71"/>
        <v>5.6098829084891406</v>
      </c>
      <c r="M167" s="266">
        <f t="shared" si="71"/>
        <v>5.5515598675921023</v>
      </c>
      <c r="N167" s="266">
        <f t="shared" si="71"/>
        <v>5.6316432791174957</v>
      </c>
      <c r="O167" s="266">
        <f t="shared" si="71"/>
        <v>5.7058961914503623</v>
      </c>
      <c r="P167" s="266">
        <f t="shared" si="71"/>
        <v>5.7745285640319306</v>
      </c>
    </row>
    <row r="170" spans="2:16" ht="18" x14ac:dyDescent="0.25">
      <c r="B170" s="1083" t="s">
        <v>1011</v>
      </c>
      <c r="C170" s="301" t="s">
        <v>556</v>
      </c>
      <c r="D170" s="750" t="s">
        <v>557</v>
      </c>
      <c r="E170" s="750" t="s">
        <v>558</v>
      </c>
      <c r="F170" s="750" t="s">
        <v>559</v>
      </c>
      <c r="G170" s="750" t="s">
        <v>560</v>
      </c>
      <c r="H170" s="750" t="s">
        <v>561</v>
      </c>
      <c r="I170" s="750" t="s">
        <v>562</v>
      </c>
      <c r="J170" s="750" t="s">
        <v>563</v>
      </c>
      <c r="K170" s="750" t="s">
        <v>564</v>
      </c>
      <c r="L170" s="750" t="s">
        <v>565</v>
      </c>
      <c r="M170" s="750" t="s">
        <v>1029</v>
      </c>
      <c r="N170" s="750" t="s">
        <v>1030</v>
      </c>
      <c r="O170" s="750" t="s">
        <v>1031</v>
      </c>
      <c r="P170" s="750" t="s">
        <v>1032</v>
      </c>
    </row>
    <row r="171" spans="2:16" ht="18" x14ac:dyDescent="0.25">
      <c r="B171" s="750" t="s">
        <v>870</v>
      </c>
      <c r="C171" s="734" t="s">
        <v>566</v>
      </c>
      <c r="D171" s="265">
        <f>+$D$3</f>
        <v>73231212</v>
      </c>
      <c r="E171" s="265">
        <f>+$E$3</f>
        <v>74430655.752000004</v>
      </c>
      <c r="F171" s="265">
        <f>+$F$3</f>
        <v>76697929</v>
      </c>
      <c r="G171" s="265">
        <f>+$G$3</f>
        <v>79443376.444158807</v>
      </c>
      <c r="H171" s="265">
        <f>+$H$3</f>
        <v>81346804.018574134</v>
      </c>
      <c r="I171" s="265">
        <f>+$I$3</f>
        <v>83117762.153032988</v>
      </c>
      <c r="J171" s="265">
        <f>+$J$3</f>
        <v>84376813.900286376</v>
      </c>
      <c r="K171" s="265">
        <f>+$K$3</f>
        <v>85817253.249695092</v>
      </c>
      <c r="L171" s="265">
        <f>+$L$3</f>
        <v>87087721.932827741</v>
      </c>
      <c r="M171" s="265">
        <f>+$M$3</f>
        <v>87996585.401466116</v>
      </c>
      <c r="N171" s="265">
        <f>+$N$3</f>
        <v>89565016.865754709</v>
      </c>
      <c r="O171" s="265">
        <f>+$O$3</f>
        <v>91133448.330042839</v>
      </c>
      <c r="P171" s="265">
        <f>+$P$3</f>
        <v>92701879.794331446</v>
      </c>
    </row>
    <row r="172" spans="2:16" ht="18" x14ac:dyDescent="0.25">
      <c r="B172" s="750" t="s">
        <v>871</v>
      </c>
      <c r="C172" s="734" t="s">
        <v>566</v>
      </c>
      <c r="D172" s="265">
        <f>+$D$4</f>
        <v>55779290</v>
      </c>
      <c r="E172" s="265">
        <f>+$E$4</f>
        <v>56646487</v>
      </c>
      <c r="F172" s="265">
        <f>+$F$4</f>
        <v>57114170</v>
      </c>
      <c r="G172" s="265">
        <f>+$G$4</f>
        <v>57381362.231400006</v>
      </c>
      <c r="H172" s="265">
        <f>+$H$4</f>
        <v>59731641</v>
      </c>
      <c r="I172" s="265">
        <f>+$I$4</f>
        <v>60100673</v>
      </c>
      <c r="J172" s="265">
        <f>+$J$4</f>
        <v>60553470</v>
      </c>
      <c r="K172" s="265">
        <f>+$K$4</f>
        <v>61116311</v>
      </c>
      <c r="L172" s="265">
        <f>+$L$4</f>
        <v>61473228.050212145</v>
      </c>
      <c r="M172" s="265">
        <f>+$M$4</f>
        <v>62103401.234457493</v>
      </c>
      <c r="N172" s="265">
        <f>+$N$4</f>
        <v>62733574.418702841</v>
      </c>
      <c r="O172" s="265">
        <f>+$O$4</f>
        <v>63363747.602948427</v>
      </c>
      <c r="P172" s="265">
        <f>+$P$4</f>
        <v>63993920.787194014</v>
      </c>
    </row>
    <row r="173" spans="2:16" ht="18" x14ac:dyDescent="0.25">
      <c r="B173" s="750" t="s">
        <v>102</v>
      </c>
      <c r="C173" s="734" t="s">
        <v>566</v>
      </c>
      <c r="D173" s="265">
        <f>+$D$5</f>
        <v>318442</v>
      </c>
      <c r="E173" s="265">
        <f>+$E$5</f>
        <v>325502</v>
      </c>
      <c r="F173" s="265">
        <f>+$F$5</f>
        <v>333412</v>
      </c>
      <c r="G173" s="265">
        <f>+$G$5</f>
        <v>341939.19999999995</v>
      </c>
      <c r="H173" s="265">
        <f>+$H$5</f>
        <v>349461</v>
      </c>
      <c r="I173" s="265">
        <f>+$I$5</f>
        <v>356972</v>
      </c>
      <c r="J173" s="265">
        <f>+$J$5</f>
        <v>364648</v>
      </c>
      <c r="K173" s="265">
        <f>+$K$5</f>
        <v>372488</v>
      </c>
      <c r="L173" s="265">
        <f>+$L$5</f>
        <v>380496.56146201264</v>
      </c>
      <c r="M173" s="265">
        <f>+$M$5</f>
        <v>388677.30848890479</v>
      </c>
      <c r="N173" s="265">
        <f>+$N$5</f>
        <v>397033.94310243073</v>
      </c>
      <c r="O173" s="265">
        <f>+$O$5</f>
        <v>405570.24691850279</v>
      </c>
      <c r="P173" s="265">
        <f>+$P$5</f>
        <v>414290.08285848069</v>
      </c>
    </row>
    <row r="174" spans="2:16" ht="18" x14ac:dyDescent="0.25">
      <c r="B174" s="750" t="s">
        <v>567</v>
      </c>
      <c r="C174" s="734" t="s">
        <v>566</v>
      </c>
      <c r="D174" s="264"/>
      <c r="E174" s="264"/>
      <c r="F174" s="264"/>
      <c r="G174" s="264"/>
      <c r="H174" s="264"/>
      <c r="I174" s="264"/>
      <c r="J174" s="264"/>
      <c r="K174" s="264"/>
      <c r="L174" s="264"/>
      <c r="M174" s="264"/>
      <c r="N174" s="264"/>
      <c r="O174" s="264"/>
      <c r="P174" s="264"/>
    </row>
    <row r="175" spans="2:16" ht="18" x14ac:dyDescent="0.25">
      <c r="B175" s="750" t="s">
        <v>568</v>
      </c>
      <c r="C175" s="734" t="s">
        <v>566</v>
      </c>
      <c r="D175" s="265">
        <f>+'EV PROG CCIALES'!H451</f>
        <v>0</v>
      </c>
      <c r="E175" s="265">
        <f>+'EV PROG CCIALES'!I451</f>
        <v>0</v>
      </c>
      <c r="F175" s="265">
        <f>+'EV PROG CCIALES'!J451</f>
        <v>0</v>
      </c>
      <c r="G175" s="265">
        <f>+'EV PROG CCIALES'!K451</f>
        <v>41452.800000000003</v>
      </c>
      <c r="H175" s="265">
        <f>+'EV PROG CCIALES'!L451+PROG13[[#This Row],[2026]]</f>
        <v>82905.600000000006</v>
      </c>
      <c r="I175" s="265">
        <f>+'EV PROG CCIALES'!M451+PROG13[[#This Row],[2027]]</f>
        <v>124358.40000000001</v>
      </c>
      <c r="J175" s="265">
        <f>+'EV PROG CCIALES'!N451+PROG13[[#This Row],[2028]]</f>
        <v>165811.20000000001</v>
      </c>
      <c r="K175" s="265">
        <f>+'EV PROG CCIALES'!O451</f>
        <v>41452.800000000003</v>
      </c>
      <c r="L175" s="265">
        <f>+'EV PROG CCIALES'!P451</f>
        <v>41452.800000000003</v>
      </c>
      <c r="M175" s="265">
        <f>+'EV PROG CCIALES'!Q451</f>
        <v>41452.800000000003</v>
      </c>
      <c r="N175" s="265">
        <f>+'EV PROG CCIALES'!R451</f>
        <v>41452.800000000003</v>
      </c>
      <c r="O175" s="265">
        <f>+'EV PROG CCIALES'!S451</f>
        <v>41452.800000000003</v>
      </c>
      <c r="P175" s="265">
        <f>+'EV PROG CCIALES'!T451</f>
        <v>41452.800000000003</v>
      </c>
    </row>
    <row r="176" spans="2:16" ht="18" x14ac:dyDescent="0.25">
      <c r="B176" s="750" t="s">
        <v>569</v>
      </c>
      <c r="C176" s="734" t="s">
        <v>566</v>
      </c>
      <c r="D176" s="265">
        <f>+D171-D174</f>
        <v>73231212</v>
      </c>
      <c r="E176" s="265">
        <f>+E171-E174</f>
        <v>74430655.752000004</v>
      </c>
      <c r="F176" s="265">
        <f>+F171-F174</f>
        <v>76697929</v>
      </c>
      <c r="G176" s="265">
        <f t="shared" ref="G176:P176" si="72">+G171-G174</f>
        <v>79443376.444158807</v>
      </c>
      <c r="H176" s="265">
        <f t="shared" si="72"/>
        <v>81346804.018574134</v>
      </c>
      <c r="I176" s="265">
        <f t="shared" si="72"/>
        <v>83117762.153032988</v>
      </c>
      <c r="J176" s="265">
        <f t="shared" si="72"/>
        <v>84376813.900286376</v>
      </c>
      <c r="K176" s="265">
        <f t="shared" si="72"/>
        <v>85817253.249695092</v>
      </c>
      <c r="L176" s="265">
        <f t="shared" si="72"/>
        <v>87087721.932827741</v>
      </c>
      <c r="M176" s="265">
        <f t="shared" si="72"/>
        <v>87996585.401466116</v>
      </c>
      <c r="N176" s="265">
        <f t="shared" si="72"/>
        <v>89565016.865754709</v>
      </c>
      <c r="O176" s="265">
        <f t="shared" si="72"/>
        <v>91133448.330042839</v>
      </c>
      <c r="P176" s="265">
        <f t="shared" si="72"/>
        <v>92701879.794331446</v>
      </c>
    </row>
    <row r="177" spans="2:16" ht="18" x14ac:dyDescent="0.25">
      <c r="B177" s="750" t="s">
        <v>570</v>
      </c>
      <c r="C177" s="734" t="s">
        <v>566</v>
      </c>
      <c r="D177" s="265">
        <f>+D172+D175</f>
        <v>55779290</v>
      </c>
      <c r="E177" s="265">
        <f t="shared" ref="E177:P177" si="73">+E172+E175</f>
        <v>56646487</v>
      </c>
      <c r="F177" s="265">
        <f t="shared" si="73"/>
        <v>57114170</v>
      </c>
      <c r="G177" s="265">
        <f t="shared" si="73"/>
        <v>57422815.031400003</v>
      </c>
      <c r="H177" s="265">
        <f t="shared" si="73"/>
        <v>59814546.600000001</v>
      </c>
      <c r="I177" s="265">
        <f t="shared" si="73"/>
        <v>60225031.399999999</v>
      </c>
      <c r="J177" s="265">
        <f t="shared" si="73"/>
        <v>60719281.200000003</v>
      </c>
      <c r="K177" s="265">
        <f t="shared" si="73"/>
        <v>61157763.799999997</v>
      </c>
      <c r="L177" s="265">
        <f t="shared" si="73"/>
        <v>61514680.850212142</v>
      </c>
      <c r="M177" s="265">
        <f t="shared" si="73"/>
        <v>62144854.03445749</v>
      </c>
      <c r="N177" s="265">
        <f t="shared" si="73"/>
        <v>62775027.218702838</v>
      </c>
      <c r="O177" s="265">
        <f t="shared" si="73"/>
        <v>63405200.402948424</v>
      </c>
      <c r="P177" s="265">
        <f t="shared" si="73"/>
        <v>64035373.587194011</v>
      </c>
    </row>
    <row r="178" spans="2:16" ht="18" x14ac:dyDescent="0.25">
      <c r="B178" s="750" t="s">
        <v>571</v>
      </c>
      <c r="C178" s="734" t="s">
        <v>105</v>
      </c>
      <c r="D178" s="263">
        <f>IFERROR((D176-D177)/D176*100,0)</f>
        <v>23.831262003420072</v>
      </c>
      <c r="E178" s="263">
        <f t="shared" ref="E178:P178" si="74">IFERROR((E176-E177)/E176*100,0)</f>
        <v>23.893607509325392</v>
      </c>
      <c r="F178" s="263">
        <f t="shared" si="74"/>
        <v>25.533621644464482</v>
      </c>
      <c r="G178" s="263">
        <f t="shared" si="74"/>
        <v>27.718561821497079</v>
      </c>
      <c r="H178" s="263">
        <f t="shared" si="74"/>
        <v>26.469702993688127</v>
      </c>
      <c r="I178" s="263">
        <f t="shared" si="74"/>
        <v>27.542525400147134</v>
      </c>
      <c r="J178" s="263">
        <f t="shared" si="74"/>
        <v>28.037954512295325</v>
      </c>
      <c r="K178" s="263">
        <f t="shared" si="74"/>
        <v>28.734885487357065</v>
      </c>
      <c r="L178" s="263">
        <f t="shared" si="74"/>
        <v>29.364691732711211</v>
      </c>
      <c r="M178" s="263">
        <f t="shared" si="74"/>
        <v>29.378107399355873</v>
      </c>
      <c r="N178" s="263">
        <f t="shared" si="74"/>
        <v>29.911220456985205</v>
      </c>
      <c r="O178" s="263">
        <f t="shared" si="74"/>
        <v>30.425983472803132</v>
      </c>
      <c r="P178" s="263">
        <f t="shared" si="74"/>
        <v>30.923327844847371</v>
      </c>
    </row>
    <row r="179" spans="2:16" ht="18" x14ac:dyDescent="0.25">
      <c r="B179" s="750" t="s">
        <v>572</v>
      </c>
      <c r="C179" s="734" t="s">
        <v>573</v>
      </c>
      <c r="D179" s="266">
        <f>IFERROR(D176/(D173*12),0)</f>
        <v>19.163932521463877</v>
      </c>
      <c r="E179" s="266">
        <f t="shared" ref="E179:P179" si="75">IFERROR(E176/(E173*12),0)</f>
        <v>19.055350338861206</v>
      </c>
      <c r="F179" s="266">
        <f t="shared" si="75"/>
        <v>19.16995813987899</v>
      </c>
      <c r="G179" s="266">
        <f t="shared" si="75"/>
        <v>19.360989820256258</v>
      </c>
      <c r="H179" s="266">
        <f t="shared" si="75"/>
        <v>19.398159837238428</v>
      </c>
      <c r="I179" s="266">
        <f t="shared" si="75"/>
        <v>19.403427101899911</v>
      </c>
      <c r="J179" s="266">
        <f t="shared" si="75"/>
        <v>19.282708689906972</v>
      </c>
      <c r="K179" s="266">
        <f t="shared" si="75"/>
        <v>19.199109154678606</v>
      </c>
      <c r="L179" s="266">
        <f t="shared" si="75"/>
        <v>19.073260828386015</v>
      </c>
      <c r="M179" s="266">
        <f t="shared" si="75"/>
        <v>18.86667583442124</v>
      </c>
      <c r="N179" s="266">
        <f t="shared" si="75"/>
        <v>18.798774097644309</v>
      </c>
      <c r="O179" s="266">
        <f t="shared" si="75"/>
        <v>18.725372694880242</v>
      </c>
      <c r="P179" s="266">
        <f t="shared" si="75"/>
        <v>18.646733217040325</v>
      </c>
    </row>
    <row r="180" spans="2:16" ht="18" x14ac:dyDescent="0.25">
      <c r="B180" s="750" t="s">
        <v>574</v>
      </c>
      <c r="C180" s="734" t="s">
        <v>573</v>
      </c>
      <c r="D180" s="266">
        <f>IFERROR(D177/(D173*12),0)</f>
        <v>14.596925552115195</v>
      </c>
      <c r="E180" s="266">
        <f t="shared" ref="E180:P180" si="76">IFERROR(E177/(E173*12),0)</f>
        <v>14.502339719366804</v>
      </c>
      <c r="F180" s="266">
        <f t="shared" si="76"/>
        <v>14.275173559040066</v>
      </c>
      <c r="G180" s="266">
        <f t="shared" si="76"/>
        <v>13.994401887674771</v>
      </c>
      <c r="H180" s="266">
        <f t="shared" si="76"/>
        <v>14.263524542080519</v>
      </c>
      <c r="I180" s="266">
        <f t="shared" si="76"/>
        <v>14.059233263860097</v>
      </c>
      <c r="J180" s="266">
        <f t="shared" si="76"/>
        <v>13.876231598692438</v>
      </c>
      <c r="K180" s="266">
        <f t="shared" si="76"/>
        <v>13.682267124489021</v>
      </c>
      <c r="L180" s="266">
        <f t="shared" si="76"/>
        <v>13.472456582754502</v>
      </c>
      <c r="M180" s="266">
        <f t="shared" si="76"/>
        <v>13.324003545096646</v>
      </c>
      <c r="N180" s="266">
        <f t="shared" si="76"/>
        <v>13.17583133408729</v>
      </c>
      <c r="O180" s="266">
        <f t="shared" si="76"/>
        <v>13.027993893515189</v>
      </c>
      <c r="P180" s="266">
        <f t="shared" si="76"/>
        <v>12.88054277198089</v>
      </c>
    </row>
    <row r="181" spans="2:16" ht="18" x14ac:dyDescent="0.25">
      <c r="B181" s="750" t="s">
        <v>575</v>
      </c>
      <c r="C181" s="734" t="s">
        <v>573</v>
      </c>
      <c r="D181" s="266">
        <f>IFERROR(D179-D180,0)</f>
        <v>4.5670069693486823</v>
      </c>
      <c r="E181" s="266">
        <f t="shared" ref="E181:P181" si="77">IFERROR(E179-E180,0)</f>
        <v>4.5530106194944029</v>
      </c>
      <c r="F181" s="266">
        <f t="shared" si="77"/>
        <v>4.8947845808389232</v>
      </c>
      <c r="G181" s="266">
        <f t="shared" si="77"/>
        <v>5.3665879325814867</v>
      </c>
      <c r="H181" s="266">
        <f t="shared" si="77"/>
        <v>5.1346352951579082</v>
      </c>
      <c r="I181" s="266">
        <f t="shared" si="77"/>
        <v>5.3441938380398142</v>
      </c>
      <c r="J181" s="266">
        <f t="shared" si="77"/>
        <v>5.4064770912145335</v>
      </c>
      <c r="K181" s="266">
        <f t="shared" si="77"/>
        <v>5.5168420301895846</v>
      </c>
      <c r="L181" s="266">
        <f t="shared" si="77"/>
        <v>5.6008042456315135</v>
      </c>
      <c r="M181" s="266">
        <f t="shared" si="77"/>
        <v>5.5426722893245941</v>
      </c>
      <c r="N181" s="266">
        <f t="shared" si="77"/>
        <v>5.6229427635570186</v>
      </c>
      <c r="O181" s="266">
        <f t="shared" si="77"/>
        <v>5.697378801365053</v>
      </c>
      <c r="P181" s="266">
        <f t="shared" si="77"/>
        <v>5.7661904450594346</v>
      </c>
    </row>
    <row r="184" spans="2:16" ht="36" x14ac:dyDescent="0.25">
      <c r="B184" s="1083" t="s">
        <v>1012</v>
      </c>
      <c r="C184" s="301" t="s">
        <v>556</v>
      </c>
      <c r="D184" s="750" t="s">
        <v>557</v>
      </c>
      <c r="E184" s="750" t="s">
        <v>558</v>
      </c>
      <c r="F184" s="750" t="s">
        <v>559</v>
      </c>
      <c r="G184" s="750" t="s">
        <v>560</v>
      </c>
      <c r="H184" s="750" t="s">
        <v>561</v>
      </c>
      <c r="I184" s="750" t="s">
        <v>562</v>
      </c>
      <c r="J184" s="750" t="s">
        <v>563</v>
      </c>
      <c r="K184" s="750" t="s">
        <v>564</v>
      </c>
      <c r="L184" s="750" t="s">
        <v>565</v>
      </c>
      <c r="M184" s="750" t="s">
        <v>1029</v>
      </c>
      <c r="N184" s="750" t="s">
        <v>1030</v>
      </c>
      <c r="O184" s="750" t="s">
        <v>1031</v>
      </c>
      <c r="P184" s="750" t="s">
        <v>1032</v>
      </c>
    </row>
    <row r="185" spans="2:16" ht="18" x14ac:dyDescent="0.25">
      <c r="B185" s="750" t="s">
        <v>870</v>
      </c>
      <c r="C185" s="734" t="s">
        <v>566</v>
      </c>
      <c r="D185" s="265">
        <f>+$D$3</f>
        <v>73231212</v>
      </c>
      <c r="E185" s="265">
        <f>+$E$3</f>
        <v>74430655.752000004</v>
      </c>
      <c r="F185" s="265">
        <f>+$F$3</f>
        <v>76697929</v>
      </c>
      <c r="G185" s="265">
        <f>+$G$3</f>
        <v>79443376.444158807</v>
      </c>
      <c r="H185" s="265">
        <f>+$H$3</f>
        <v>81346804.018574134</v>
      </c>
      <c r="I185" s="265">
        <f>+$I$3</f>
        <v>83117762.153032988</v>
      </c>
      <c r="J185" s="265">
        <f>+$J$3</f>
        <v>84376813.900286376</v>
      </c>
      <c r="K185" s="265">
        <f>+$K$3</f>
        <v>85817253.249695092</v>
      </c>
      <c r="L185" s="265">
        <f>+$L$3</f>
        <v>87087721.932827741</v>
      </c>
      <c r="M185" s="265">
        <f>+$M$3</f>
        <v>87996585.401466116</v>
      </c>
      <c r="N185" s="265">
        <f>+$N$3</f>
        <v>89565016.865754709</v>
      </c>
      <c r="O185" s="265">
        <f>+$O$3</f>
        <v>91133448.330042839</v>
      </c>
      <c r="P185" s="265">
        <f>+$P$3</f>
        <v>92701879.794331446</v>
      </c>
    </row>
    <row r="186" spans="2:16" ht="18" x14ac:dyDescent="0.25">
      <c r="B186" s="750" t="s">
        <v>871</v>
      </c>
      <c r="C186" s="734" t="s">
        <v>566</v>
      </c>
      <c r="D186" s="265">
        <f>+$D$4</f>
        <v>55779290</v>
      </c>
      <c r="E186" s="265">
        <f>+$E$4</f>
        <v>56646487</v>
      </c>
      <c r="F186" s="265">
        <f>+$F$4</f>
        <v>57114170</v>
      </c>
      <c r="G186" s="265">
        <f>+$G$4</f>
        <v>57381362.231400006</v>
      </c>
      <c r="H186" s="265">
        <f>+$H$4</f>
        <v>59731641</v>
      </c>
      <c r="I186" s="265">
        <f>+$I$4</f>
        <v>60100673</v>
      </c>
      <c r="J186" s="265">
        <f>+$J$4</f>
        <v>60553470</v>
      </c>
      <c r="K186" s="265">
        <f>+$K$4</f>
        <v>61116311</v>
      </c>
      <c r="L186" s="265">
        <f>+$L$4</f>
        <v>61473228.050212145</v>
      </c>
      <c r="M186" s="265">
        <f>+$M$4</f>
        <v>62103401.234457493</v>
      </c>
      <c r="N186" s="265">
        <f>+$N$4</f>
        <v>62733574.418702841</v>
      </c>
      <c r="O186" s="265">
        <f>+$O$4</f>
        <v>63363747.602948427</v>
      </c>
      <c r="P186" s="265">
        <f>+$P$4</f>
        <v>63993920.787194014</v>
      </c>
    </row>
    <row r="187" spans="2:16" ht="18" x14ac:dyDescent="0.25">
      <c r="B187" s="750" t="s">
        <v>102</v>
      </c>
      <c r="C187" s="734" t="s">
        <v>566</v>
      </c>
      <c r="D187" s="265">
        <f>+$D$5</f>
        <v>318442</v>
      </c>
      <c r="E187" s="265">
        <f>+$E$5</f>
        <v>325502</v>
      </c>
      <c r="F187" s="265">
        <f>+$F$5</f>
        <v>333412</v>
      </c>
      <c r="G187" s="265">
        <f>+$G$5</f>
        <v>341939.19999999995</v>
      </c>
      <c r="H187" s="265">
        <f>+$H$5</f>
        <v>349461</v>
      </c>
      <c r="I187" s="265">
        <f>+$I$5</f>
        <v>356972</v>
      </c>
      <c r="J187" s="265">
        <f>+$J$5</f>
        <v>364648</v>
      </c>
      <c r="K187" s="265">
        <f>+$K$5</f>
        <v>372488</v>
      </c>
      <c r="L187" s="265">
        <f>+$L$5</f>
        <v>380496.56146201264</v>
      </c>
      <c r="M187" s="265">
        <f>+$M$5</f>
        <v>388677.30848890479</v>
      </c>
      <c r="N187" s="265">
        <f>+$N$5</f>
        <v>397033.94310243073</v>
      </c>
      <c r="O187" s="265">
        <f>+$O$5</f>
        <v>405570.24691850279</v>
      </c>
      <c r="P187" s="265">
        <f>+$P$5</f>
        <v>414290.08285848069</v>
      </c>
    </row>
    <row r="188" spans="2:16" ht="18" x14ac:dyDescent="0.25">
      <c r="B188" s="750" t="s">
        <v>567</v>
      </c>
      <c r="C188" s="734" t="s">
        <v>566</v>
      </c>
      <c r="D188" s="264"/>
      <c r="E188" s="264"/>
      <c r="F188" s="264"/>
      <c r="G188" s="264"/>
      <c r="H188" s="264"/>
      <c r="I188" s="264"/>
      <c r="J188" s="264"/>
      <c r="K188" s="264"/>
      <c r="L188" s="264"/>
      <c r="M188" s="264"/>
      <c r="N188" s="264"/>
      <c r="O188" s="264"/>
      <c r="P188" s="264"/>
    </row>
    <row r="189" spans="2:16" ht="18" x14ac:dyDescent="0.25">
      <c r="B189" s="750" t="s">
        <v>568</v>
      </c>
      <c r="C189" s="734" t="s">
        <v>566</v>
      </c>
      <c r="D189" s="265">
        <f>+'EV PROG CCIALES'!H452</f>
        <v>0</v>
      </c>
      <c r="E189" s="265">
        <f>+'EV PROG CCIALES'!I452</f>
        <v>0</v>
      </c>
      <c r="F189" s="265">
        <f>+'EV PROG CCIALES'!J452</f>
        <v>0</v>
      </c>
      <c r="G189" s="265">
        <f>+'EV PROG CCIALES'!K452</f>
        <v>1528.8357599999999</v>
      </c>
      <c r="H189" s="265">
        <f>+'EV PROG CCIALES'!L452+PROG14[[#This Row],[2026]]</f>
        <v>3040.8543266399993</v>
      </c>
      <c r="I189" s="265">
        <f>+'EV PROG CCIALES'!M452+PROG14[[#This Row],[2027]]</f>
        <v>4536.2406890469592</v>
      </c>
      <c r="J189" s="265">
        <f>+'EV PROG CCIALES'!N452+PROG14[[#This Row],[2028]]</f>
        <v>6261.6673202041893</v>
      </c>
      <c r="K189" s="265">
        <f>+'EV PROG CCIALES'!O452</f>
        <v>1706.4469382145007</v>
      </c>
      <c r="L189" s="265">
        <f>+'EV PROG CCIALES'!P452</f>
        <v>0</v>
      </c>
      <c r="M189" s="265">
        <f>+'EV PROG CCIALES'!Q452</f>
        <v>0</v>
      </c>
      <c r="N189" s="265">
        <f>+'EV PROG CCIALES'!R452</f>
        <v>0</v>
      </c>
      <c r="O189" s="265">
        <f>+'EV PROG CCIALES'!S452</f>
        <v>0</v>
      </c>
      <c r="P189" s="265">
        <f>+'EV PROG CCIALES'!T452</f>
        <v>0</v>
      </c>
    </row>
    <row r="190" spans="2:16" ht="18" x14ac:dyDescent="0.25">
      <c r="B190" s="750" t="s">
        <v>569</v>
      </c>
      <c r="C190" s="734" t="s">
        <v>566</v>
      </c>
      <c r="D190" s="265">
        <f>+D185-D188</f>
        <v>73231212</v>
      </c>
      <c r="E190" s="265">
        <f>+E185-E188</f>
        <v>74430655.752000004</v>
      </c>
      <c r="F190" s="265">
        <f>+F185-F188</f>
        <v>76697929</v>
      </c>
      <c r="G190" s="265">
        <f t="shared" ref="G190:P190" si="78">+G185-G188</f>
        <v>79443376.444158807</v>
      </c>
      <c r="H190" s="265">
        <f t="shared" si="78"/>
        <v>81346804.018574134</v>
      </c>
      <c r="I190" s="265">
        <f t="shared" si="78"/>
        <v>83117762.153032988</v>
      </c>
      <c r="J190" s="265">
        <f t="shared" si="78"/>
        <v>84376813.900286376</v>
      </c>
      <c r="K190" s="265">
        <f t="shared" si="78"/>
        <v>85817253.249695092</v>
      </c>
      <c r="L190" s="265">
        <f t="shared" si="78"/>
        <v>87087721.932827741</v>
      </c>
      <c r="M190" s="265">
        <f t="shared" si="78"/>
        <v>87996585.401466116</v>
      </c>
      <c r="N190" s="265">
        <f t="shared" si="78"/>
        <v>89565016.865754709</v>
      </c>
      <c r="O190" s="265">
        <f t="shared" si="78"/>
        <v>91133448.330042839</v>
      </c>
      <c r="P190" s="265">
        <f t="shared" si="78"/>
        <v>92701879.794331446</v>
      </c>
    </row>
    <row r="191" spans="2:16" ht="18" x14ac:dyDescent="0.25">
      <c r="B191" s="750" t="s">
        <v>570</v>
      </c>
      <c r="C191" s="734" t="s">
        <v>566</v>
      </c>
      <c r="D191" s="265">
        <f>+D186+D189</f>
        <v>55779290</v>
      </c>
      <c r="E191" s="265">
        <f t="shared" ref="E191:P191" si="79">+E186+E189</f>
        <v>56646487</v>
      </c>
      <c r="F191" s="265">
        <f t="shared" si="79"/>
        <v>57114170</v>
      </c>
      <c r="G191" s="265">
        <f t="shared" si="79"/>
        <v>57382891.067160003</v>
      </c>
      <c r="H191" s="265">
        <f t="shared" si="79"/>
        <v>59734681.854326643</v>
      </c>
      <c r="I191" s="265">
        <f t="shared" si="79"/>
        <v>60105209.240689047</v>
      </c>
      <c r="J191" s="265">
        <f t="shared" si="79"/>
        <v>60559731.667320207</v>
      </c>
      <c r="K191" s="265">
        <f t="shared" si="79"/>
        <v>61118017.446938217</v>
      </c>
      <c r="L191" s="265">
        <f t="shared" si="79"/>
        <v>61473228.050212145</v>
      </c>
      <c r="M191" s="265">
        <f t="shared" si="79"/>
        <v>62103401.234457493</v>
      </c>
      <c r="N191" s="265">
        <f t="shared" si="79"/>
        <v>62733574.418702841</v>
      </c>
      <c r="O191" s="265">
        <f t="shared" si="79"/>
        <v>63363747.602948427</v>
      </c>
      <c r="P191" s="265">
        <f t="shared" si="79"/>
        <v>63993920.787194014</v>
      </c>
    </row>
    <row r="192" spans="2:16" ht="18" x14ac:dyDescent="0.25">
      <c r="B192" s="750" t="s">
        <v>571</v>
      </c>
      <c r="C192" s="734" t="s">
        <v>105</v>
      </c>
      <c r="D192" s="263">
        <f>IFERROR((D190-D191)/D190*100,0)</f>
        <v>23.831262003420072</v>
      </c>
      <c r="E192" s="263">
        <f t="shared" ref="E192:P192" si="80">IFERROR((E190-E191)/E190*100,0)</f>
        <v>23.893607509325392</v>
      </c>
      <c r="F192" s="263">
        <f t="shared" si="80"/>
        <v>25.533621644464482</v>
      </c>
      <c r="G192" s="263">
        <f t="shared" si="80"/>
        <v>27.768816438089388</v>
      </c>
      <c r="H192" s="263">
        <f t="shared" si="80"/>
        <v>26.567881092553726</v>
      </c>
      <c r="I192" s="263">
        <f t="shared" si="80"/>
        <v>27.686684910951019</v>
      </c>
      <c r="J192" s="263">
        <f t="shared" si="80"/>
        <v>28.227046189623113</v>
      </c>
      <c r="K192" s="263">
        <f t="shared" si="80"/>
        <v>28.781200594817026</v>
      </c>
      <c r="L192" s="263">
        <f t="shared" si="80"/>
        <v>29.412290635380835</v>
      </c>
      <c r="M192" s="263">
        <f t="shared" si="80"/>
        <v>29.425214681770157</v>
      </c>
      <c r="N192" s="263">
        <f t="shared" si="80"/>
        <v>29.95750281303291</v>
      </c>
      <c r="O192" s="263">
        <f t="shared" si="80"/>
        <v>30.471469296899102</v>
      </c>
      <c r="P192" s="263">
        <f t="shared" si="80"/>
        <v>30.968044090183461</v>
      </c>
    </row>
    <row r="193" spans="2:16" ht="18" x14ac:dyDescent="0.25">
      <c r="B193" s="750" t="s">
        <v>572</v>
      </c>
      <c r="C193" s="734" t="s">
        <v>573</v>
      </c>
      <c r="D193" s="266">
        <f>IFERROR(D190/(D187*12),0)</f>
        <v>19.163932521463877</v>
      </c>
      <c r="E193" s="266">
        <f t="shared" ref="E193:P193" si="81">IFERROR(E190/(E187*12),0)</f>
        <v>19.055350338861206</v>
      </c>
      <c r="F193" s="266">
        <f t="shared" si="81"/>
        <v>19.16995813987899</v>
      </c>
      <c r="G193" s="266">
        <f t="shared" si="81"/>
        <v>19.360989820256258</v>
      </c>
      <c r="H193" s="266">
        <f t="shared" si="81"/>
        <v>19.398159837238428</v>
      </c>
      <c r="I193" s="266">
        <f t="shared" si="81"/>
        <v>19.403427101899911</v>
      </c>
      <c r="J193" s="266">
        <f t="shared" si="81"/>
        <v>19.282708689906972</v>
      </c>
      <c r="K193" s="266">
        <f t="shared" si="81"/>
        <v>19.199109154678606</v>
      </c>
      <c r="L193" s="266">
        <f t="shared" si="81"/>
        <v>19.073260828386015</v>
      </c>
      <c r="M193" s="266">
        <f t="shared" si="81"/>
        <v>18.86667583442124</v>
      </c>
      <c r="N193" s="266">
        <f t="shared" si="81"/>
        <v>18.798774097644309</v>
      </c>
      <c r="O193" s="266">
        <f t="shared" si="81"/>
        <v>18.725372694880242</v>
      </c>
      <c r="P193" s="266">
        <f t="shared" si="81"/>
        <v>18.646733217040325</v>
      </c>
    </row>
    <row r="194" spans="2:16" ht="18" x14ac:dyDescent="0.25">
      <c r="B194" s="750" t="s">
        <v>574</v>
      </c>
      <c r="C194" s="734" t="s">
        <v>573</v>
      </c>
      <c r="D194" s="266">
        <f>IFERROR(D191/(D187*12),0)</f>
        <v>14.596925552115195</v>
      </c>
      <c r="E194" s="266">
        <f t="shared" ref="E194:P194" si="82">IFERROR(E191/(E187*12),0)</f>
        <v>14.502339719366804</v>
      </c>
      <c r="F194" s="266">
        <f t="shared" si="82"/>
        <v>14.275173559040066</v>
      </c>
      <c r="G194" s="266">
        <f t="shared" si="82"/>
        <v>13.984672096472124</v>
      </c>
      <c r="H194" s="266">
        <f t="shared" si="82"/>
        <v>14.244479797537409</v>
      </c>
      <c r="I194" s="266">
        <f t="shared" si="82"/>
        <v>14.031261378270809</v>
      </c>
      <c r="J194" s="266">
        <f t="shared" si="82"/>
        <v>13.839769601396462</v>
      </c>
      <c r="K194" s="266">
        <f t="shared" si="82"/>
        <v>13.673375036452677</v>
      </c>
      <c r="L194" s="266">
        <f t="shared" si="82"/>
        <v>13.463377919896875</v>
      </c>
      <c r="M194" s="266">
        <f t="shared" si="82"/>
        <v>13.315115966829138</v>
      </c>
      <c r="N194" s="266">
        <f t="shared" si="82"/>
        <v>13.167130818526813</v>
      </c>
      <c r="O194" s="266">
        <f t="shared" si="82"/>
        <v>13.01947650342988</v>
      </c>
      <c r="P194" s="266">
        <f t="shared" si="82"/>
        <v>12.872204653008394</v>
      </c>
    </row>
    <row r="195" spans="2:16" ht="18" x14ac:dyDescent="0.25">
      <c r="B195" s="750" t="s">
        <v>575</v>
      </c>
      <c r="C195" s="734" t="s">
        <v>573</v>
      </c>
      <c r="D195" s="266">
        <f>IFERROR(D193-D194,0)</f>
        <v>4.5670069693486823</v>
      </c>
      <c r="E195" s="266">
        <f t="shared" ref="E195:P195" si="83">IFERROR(E193-E194,0)</f>
        <v>4.5530106194944029</v>
      </c>
      <c r="F195" s="266">
        <f t="shared" si="83"/>
        <v>4.8947845808389232</v>
      </c>
      <c r="G195" s="266">
        <f t="shared" si="83"/>
        <v>5.3763177237841333</v>
      </c>
      <c r="H195" s="266">
        <f t="shared" si="83"/>
        <v>5.153680039701019</v>
      </c>
      <c r="I195" s="266">
        <f t="shared" si="83"/>
        <v>5.3721657236291023</v>
      </c>
      <c r="J195" s="266">
        <f t="shared" si="83"/>
        <v>5.44293908851051</v>
      </c>
      <c r="K195" s="266">
        <f t="shared" si="83"/>
        <v>5.5257341182259285</v>
      </c>
      <c r="L195" s="266">
        <f t="shared" si="83"/>
        <v>5.6098829084891406</v>
      </c>
      <c r="M195" s="266">
        <f t="shared" si="83"/>
        <v>5.5515598675921023</v>
      </c>
      <c r="N195" s="266">
        <f t="shared" si="83"/>
        <v>5.6316432791174957</v>
      </c>
      <c r="O195" s="266">
        <f t="shared" si="83"/>
        <v>5.7058961914503623</v>
      </c>
      <c r="P195" s="266">
        <f t="shared" si="83"/>
        <v>5.7745285640319306</v>
      </c>
    </row>
    <row r="198" spans="2:16" ht="36" x14ac:dyDescent="0.25">
      <c r="B198" s="1083" t="s">
        <v>1013</v>
      </c>
      <c r="C198" s="301" t="s">
        <v>556</v>
      </c>
      <c r="D198" s="750" t="s">
        <v>557</v>
      </c>
      <c r="E198" s="750" t="s">
        <v>558</v>
      </c>
      <c r="F198" s="750" t="s">
        <v>559</v>
      </c>
      <c r="G198" s="750" t="s">
        <v>560</v>
      </c>
      <c r="H198" s="750" t="s">
        <v>561</v>
      </c>
      <c r="I198" s="750" t="s">
        <v>562</v>
      </c>
      <c r="J198" s="750" t="s">
        <v>563</v>
      </c>
      <c r="K198" s="750" t="s">
        <v>564</v>
      </c>
      <c r="L198" s="750" t="s">
        <v>565</v>
      </c>
      <c r="M198" s="750" t="s">
        <v>1029</v>
      </c>
      <c r="N198" s="750" t="s">
        <v>1030</v>
      </c>
      <c r="O198" s="750" t="s">
        <v>1031</v>
      </c>
      <c r="P198" s="750" t="s">
        <v>1032</v>
      </c>
    </row>
    <row r="199" spans="2:16" ht="18" x14ac:dyDescent="0.25">
      <c r="B199" s="750" t="s">
        <v>870</v>
      </c>
      <c r="C199" s="734" t="s">
        <v>566</v>
      </c>
      <c r="D199" s="265">
        <f>+$D$3</f>
        <v>73231212</v>
      </c>
      <c r="E199" s="265">
        <f>+$E$3</f>
        <v>74430655.752000004</v>
      </c>
      <c r="F199" s="265">
        <f>+$F$3</f>
        <v>76697929</v>
      </c>
      <c r="G199" s="265">
        <f>+$G$3</f>
        <v>79443376.444158807</v>
      </c>
      <c r="H199" s="265">
        <f>+$H$3</f>
        <v>81346804.018574134</v>
      </c>
      <c r="I199" s="265">
        <f>+$I$3</f>
        <v>83117762.153032988</v>
      </c>
      <c r="J199" s="265">
        <f>+$J$3</f>
        <v>84376813.900286376</v>
      </c>
      <c r="K199" s="265">
        <f>+$K$3</f>
        <v>85817253.249695092</v>
      </c>
      <c r="L199" s="265">
        <f>+$L$3</f>
        <v>87087721.932827741</v>
      </c>
      <c r="M199" s="265">
        <f>+$M$3</f>
        <v>87996585.401466116</v>
      </c>
      <c r="N199" s="265">
        <f>+$N$3</f>
        <v>89565016.865754709</v>
      </c>
      <c r="O199" s="265">
        <f>+$O$3</f>
        <v>91133448.330042839</v>
      </c>
      <c r="P199" s="265">
        <f>+$P$3</f>
        <v>92701879.794331446</v>
      </c>
    </row>
    <row r="200" spans="2:16" ht="18" x14ac:dyDescent="0.25">
      <c r="B200" s="750" t="s">
        <v>871</v>
      </c>
      <c r="C200" s="734" t="s">
        <v>566</v>
      </c>
      <c r="D200" s="265">
        <f>+$D$4</f>
        <v>55779290</v>
      </c>
      <c r="E200" s="265">
        <f>+$E$4</f>
        <v>56646487</v>
      </c>
      <c r="F200" s="265">
        <f>+$F$4</f>
        <v>57114170</v>
      </c>
      <c r="G200" s="265">
        <f>+$G$4</f>
        <v>57381362.231400006</v>
      </c>
      <c r="H200" s="265">
        <f>+$H$4</f>
        <v>59731641</v>
      </c>
      <c r="I200" s="265">
        <f>+$I$4</f>
        <v>60100673</v>
      </c>
      <c r="J200" s="265">
        <f>+$J$4</f>
        <v>60553470</v>
      </c>
      <c r="K200" s="265">
        <f>+$K$4</f>
        <v>61116311</v>
      </c>
      <c r="L200" s="265">
        <f>+$L$4</f>
        <v>61473228.050212145</v>
      </c>
      <c r="M200" s="265">
        <f>+$M$4</f>
        <v>62103401.234457493</v>
      </c>
      <c r="N200" s="265">
        <f>+$N$4</f>
        <v>62733574.418702841</v>
      </c>
      <c r="O200" s="265">
        <f>+$O$4</f>
        <v>63363747.602948427</v>
      </c>
      <c r="P200" s="265">
        <f>+$P$4</f>
        <v>63993920.787194014</v>
      </c>
    </row>
    <row r="201" spans="2:16" ht="18" x14ac:dyDescent="0.25">
      <c r="B201" s="750" t="s">
        <v>102</v>
      </c>
      <c r="C201" s="734" t="s">
        <v>566</v>
      </c>
      <c r="D201" s="265">
        <f>+$D$5</f>
        <v>318442</v>
      </c>
      <c r="E201" s="265">
        <f>+$E$5</f>
        <v>325502</v>
      </c>
      <c r="F201" s="265">
        <f>+$F$5</f>
        <v>333412</v>
      </c>
      <c r="G201" s="265">
        <f>+$G$5</f>
        <v>341939.19999999995</v>
      </c>
      <c r="H201" s="265">
        <f>+$H$5</f>
        <v>349461</v>
      </c>
      <c r="I201" s="265">
        <f>+$I$5</f>
        <v>356972</v>
      </c>
      <c r="J201" s="265">
        <f>+$J$5</f>
        <v>364648</v>
      </c>
      <c r="K201" s="265">
        <f>+$K$5</f>
        <v>372488</v>
      </c>
      <c r="L201" s="265">
        <f>+$L$5</f>
        <v>380496.56146201264</v>
      </c>
      <c r="M201" s="265">
        <f>+$M$5</f>
        <v>388677.30848890479</v>
      </c>
      <c r="N201" s="265">
        <f>+$N$5</f>
        <v>397033.94310243073</v>
      </c>
      <c r="O201" s="265">
        <f>+$O$5</f>
        <v>405570.24691850279</v>
      </c>
      <c r="P201" s="265">
        <f>+$P$5</f>
        <v>414290.08285848069</v>
      </c>
    </row>
    <row r="202" spans="2:16" ht="18" x14ac:dyDescent="0.25">
      <c r="B202" s="750" t="s">
        <v>567</v>
      </c>
      <c r="C202" s="734" t="s">
        <v>566</v>
      </c>
      <c r="D202" s="264"/>
      <c r="E202" s="264"/>
      <c r="F202" s="264"/>
      <c r="G202" s="264"/>
      <c r="H202" s="264"/>
      <c r="I202" s="264"/>
      <c r="J202" s="264"/>
      <c r="K202" s="264"/>
      <c r="L202" s="264"/>
      <c r="M202" s="264"/>
      <c r="N202" s="264"/>
      <c r="O202" s="264"/>
      <c r="P202" s="264"/>
    </row>
    <row r="203" spans="2:16" ht="18" x14ac:dyDescent="0.25">
      <c r="B203" s="750" t="s">
        <v>568</v>
      </c>
      <c r="C203" s="734" t="s">
        <v>566</v>
      </c>
      <c r="D203" s="265">
        <f>+'EV PROG CCIALES'!H453</f>
        <v>0</v>
      </c>
      <c r="E203" s="265">
        <f>+'EV PROG CCIALES'!I453</f>
        <v>0</v>
      </c>
      <c r="F203" s="265">
        <f>+'EV PROG CCIALES'!J453</f>
        <v>0</v>
      </c>
      <c r="G203" s="265">
        <f>+'EV PROG CCIALES'!K453</f>
        <v>9552</v>
      </c>
      <c r="H203" s="265">
        <f>+'EV PROG CCIALES'!L453+PROG15[[#This Row],[2026]]</f>
        <v>19104</v>
      </c>
      <c r="I203" s="265">
        <f>+'EV PROG CCIALES'!M453+PROG15[[#This Row],[2027]]</f>
        <v>28656</v>
      </c>
      <c r="J203" s="265">
        <f>+'EV PROG CCIALES'!N453+PROG15[[#This Row],[2028]]</f>
        <v>38208</v>
      </c>
      <c r="K203" s="265">
        <f>+'EV PROG CCIALES'!O453</f>
        <v>9552</v>
      </c>
      <c r="L203" s="265">
        <f>+'EV PROG CCIALES'!P453</f>
        <v>0</v>
      </c>
      <c r="M203" s="265">
        <f>+'EV PROG CCIALES'!Q453</f>
        <v>0</v>
      </c>
      <c r="N203" s="265">
        <f>+'EV PROG CCIALES'!R453</f>
        <v>0</v>
      </c>
      <c r="O203" s="265">
        <f>+'EV PROG CCIALES'!S453</f>
        <v>0</v>
      </c>
      <c r="P203" s="265">
        <f>+'EV PROG CCIALES'!T453</f>
        <v>0</v>
      </c>
    </row>
    <row r="204" spans="2:16" ht="18" x14ac:dyDescent="0.25">
      <c r="B204" s="750" t="s">
        <v>569</v>
      </c>
      <c r="C204" s="734" t="s">
        <v>566</v>
      </c>
      <c r="D204" s="265">
        <f>+D199-D202</f>
        <v>73231212</v>
      </c>
      <c r="E204" s="265">
        <f>+E199-E202</f>
        <v>74430655.752000004</v>
      </c>
      <c r="F204" s="265">
        <f>+F199-F202</f>
        <v>76697929</v>
      </c>
      <c r="G204" s="265">
        <f t="shared" ref="G204:P204" si="84">+G199-G202</f>
        <v>79443376.444158807</v>
      </c>
      <c r="H204" s="265">
        <f t="shared" si="84"/>
        <v>81346804.018574134</v>
      </c>
      <c r="I204" s="265">
        <f t="shared" si="84"/>
        <v>83117762.153032988</v>
      </c>
      <c r="J204" s="265">
        <f t="shared" si="84"/>
        <v>84376813.900286376</v>
      </c>
      <c r="K204" s="265">
        <f t="shared" si="84"/>
        <v>85817253.249695092</v>
      </c>
      <c r="L204" s="265">
        <f t="shared" si="84"/>
        <v>87087721.932827741</v>
      </c>
      <c r="M204" s="265">
        <f t="shared" si="84"/>
        <v>87996585.401466116</v>
      </c>
      <c r="N204" s="265">
        <f t="shared" si="84"/>
        <v>89565016.865754709</v>
      </c>
      <c r="O204" s="265">
        <f t="shared" si="84"/>
        <v>91133448.330042839</v>
      </c>
      <c r="P204" s="265">
        <f t="shared" si="84"/>
        <v>92701879.794331446</v>
      </c>
    </row>
    <row r="205" spans="2:16" ht="18" x14ac:dyDescent="0.25">
      <c r="B205" s="750" t="s">
        <v>570</v>
      </c>
      <c r="C205" s="734" t="s">
        <v>566</v>
      </c>
      <c r="D205" s="265">
        <f>+D200+D203</f>
        <v>55779290</v>
      </c>
      <c r="E205" s="265">
        <f t="shared" ref="E205:P205" si="85">+E200+E203</f>
        <v>56646487</v>
      </c>
      <c r="F205" s="265">
        <f t="shared" si="85"/>
        <v>57114170</v>
      </c>
      <c r="G205" s="265">
        <f t="shared" si="85"/>
        <v>57390914.231400006</v>
      </c>
      <c r="H205" s="265">
        <f t="shared" si="85"/>
        <v>59750745</v>
      </c>
      <c r="I205" s="265">
        <f t="shared" si="85"/>
        <v>60129329</v>
      </c>
      <c r="J205" s="265">
        <f t="shared" si="85"/>
        <v>60591678</v>
      </c>
      <c r="K205" s="265">
        <f t="shared" si="85"/>
        <v>61125863</v>
      </c>
      <c r="L205" s="265">
        <f t="shared" si="85"/>
        <v>61473228.050212145</v>
      </c>
      <c r="M205" s="265">
        <f t="shared" si="85"/>
        <v>62103401.234457493</v>
      </c>
      <c r="N205" s="265">
        <f t="shared" si="85"/>
        <v>62733574.418702841</v>
      </c>
      <c r="O205" s="265">
        <f t="shared" si="85"/>
        <v>63363747.602948427</v>
      </c>
      <c r="P205" s="265">
        <f t="shared" si="85"/>
        <v>63993920.787194014</v>
      </c>
    </row>
    <row r="206" spans="2:16" ht="18" x14ac:dyDescent="0.25">
      <c r="B206" s="750" t="s">
        <v>571</v>
      </c>
      <c r="C206" s="734" t="s">
        <v>105</v>
      </c>
      <c r="D206" s="263">
        <f>IFERROR((D204-D205)/D204*100,0)</f>
        <v>23.831262003420072</v>
      </c>
      <c r="E206" s="263">
        <f t="shared" ref="E206:P206" si="86">IFERROR((E204-E205)/E204*100,0)</f>
        <v>23.893607509325392</v>
      </c>
      <c r="F206" s="263">
        <f t="shared" si="86"/>
        <v>25.533621644464482</v>
      </c>
      <c r="G206" s="263">
        <f t="shared" si="86"/>
        <v>27.758717214467339</v>
      </c>
      <c r="H206" s="263">
        <f t="shared" si="86"/>
        <v>26.548134593761112</v>
      </c>
      <c r="I206" s="263">
        <f t="shared" si="86"/>
        <v>27.657666132429839</v>
      </c>
      <c r="J206" s="263">
        <f t="shared" si="86"/>
        <v>28.18918468335962</v>
      </c>
      <c r="K206" s="263">
        <f t="shared" si="86"/>
        <v>28.772058431948032</v>
      </c>
      <c r="L206" s="263">
        <f t="shared" si="86"/>
        <v>29.412290635380835</v>
      </c>
      <c r="M206" s="263">
        <f t="shared" si="86"/>
        <v>29.425214681770157</v>
      </c>
      <c r="N206" s="263">
        <f t="shared" si="86"/>
        <v>29.95750281303291</v>
      </c>
      <c r="O206" s="263">
        <f t="shared" si="86"/>
        <v>30.471469296899102</v>
      </c>
      <c r="P206" s="263">
        <f t="shared" si="86"/>
        <v>30.968044090183461</v>
      </c>
    </row>
    <row r="207" spans="2:16" ht="18" x14ac:dyDescent="0.25">
      <c r="B207" s="750" t="s">
        <v>572</v>
      </c>
      <c r="C207" s="734" t="s">
        <v>573</v>
      </c>
      <c r="D207" s="266">
        <f>IFERROR(D204/(D201*12),0)</f>
        <v>19.163932521463877</v>
      </c>
      <c r="E207" s="266">
        <f t="shared" ref="E207:P207" si="87">IFERROR(E204/(E201*12),0)</f>
        <v>19.055350338861206</v>
      </c>
      <c r="F207" s="266">
        <f t="shared" si="87"/>
        <v>19.16995813987899</v>
      </c>
      <c r="G207" s="266">
        <f t="shared" si="87"/>
        <v>19.360989820256258</v>
      </c>
      <c r="H207" s="266">
        <f t="shared" si="87"/>
        <v>19.398159837238428</v>
      </c>
      <c r="I207" s="266">
        <f t="shared" si="87"/>
        <v>19.403427101899911</v>
      </c>
      <c r="J207" s="266">
        <f t="shared" si="87"/>
        <v>19.282708689906972</v>
      </c>
      <c r="K207" s="266">
        <f t="shared" si="87"/>
        <v>19.199109154678606</v>
      </c>
      <c r="L207" s="266">
        <f t="shared" si="87"/>
        <v>19.073260828386015</v>
      </c>
      <c r="M207" s="266">
        <f t="shared" si="87"/>
        <v>18.86667583442124</v>
      </c>
      <c r="N207" s="266">
        <f t="shared" si="87"/>
        <v>18.798774097644309</v>
      </c>
      <c r="O207" s="266">
        <f t="shared" si="87"/>
        <v>18.725372694880242</v>
      </c>
      <c r="P207" s="266">
        <f t="shared" si="87"/>
        <v>18.646733217040325</v>
      </c>
    </row>
    <row r="208" spans="2:16" ht="18" x14ac:dyDescent="0.25">
      <c r="B208" s="750" t="s">
        <v>574</v>
      </c>
      <c r="C208" s="734" t="s">
        <v>573</v>
      </c>
      <c r="D208" s="266">
        <f>IFERROR(D205/(D201*12),0)</f>
        <v>14.596925552115195</v>
      </c>
      <c r="E208" s="266">
        <f t="shared" ref="E208:P208" si="88">IFERROR(E205/(E201*12),0)</f>
        <v>14.502339719366804</v>
      </c>
      <c r="F208" s="266">
        <f t="shared" si="88"/>
        <v>14.275173559040066</v>
      </c>
      <c r="G208" s="266">
        <f t="shared" si="88"/>
        <v>13.986627406129514</v>
      </c>
      <c r="H208" s="266">
        <f t="shared" si="88"/>
        <v>14.248310254935458</v>
      </c>
      <c r="I208" s="266">
        <f t="shared" si="88"/>
        <v>14.036892015807028</v>
      </c>
      <c r="J208" s="266">
        <f t="shared" si="88"/>
        <v>13.847070325354863</v>
      </c>
      <c r="K208" s="266">
        <f t="shared" si="88"/>
        <v>13.675130250280993</v>
      </c>
      <c r="L208" s="266">
        <f t="shared" si="88"/>
        <v>13.463377919896875</v>
      </c>
      <c r="M208" s="266">
        <f t="shared" si="88"/>
        <v>13.315115966829138</v>
      </c>
      <c r="N208" s="266">
        <f t="shared" si="88"/>
        <v>13.167130818526813</v>
      </c>
      <c r="O208" s="266">
        <f t="shared" si="88"/>
        <v>13.01947650342988</v>
      </c>
      <c r="P208" s="266">
        <f t="shared" si="88"/>
        <v>12.872204653008394</v>
      </c>
    </row>
    <row r="209" spans="2:16" ht="18" x14ac:dyDescent="0.25">
      <c r="B209" s="750" t="s">
        <v>575</v>
      </c>
      <c r="C209" s="734" t="s">
        <v>573</v>
      </c>
      <c r="D209" s="266">
        <f>IFERROR(D207-D208,0)</f>
        <v>4.5670069693486823</v>
      </c>
      <c r="E209" s="266">
        <f t="shared" ref="E209:P209" si="89">IFERROR(E207-E208,0)</f>
        <v>4.5530106194944029</v>
      </c>
      <c r="F209" s="266">
        <f t="shared" si="89"/>
        <v>4.8947845808389232</v>
      </c>
      <c r="G209" s="266">
        <f t="shared" si="89"/>
        <v>5.3743624141267432</v>
      </c>
      <c r="H209" s="266">
        <f t="shared" si="89"/>
        <v>5.14984958230297</v>
      </c>
      <c r="I209" s="266">
        <f t="shared" si="89"/>
        <v>5.3665350860928829</v>
      </c>
      <c r="J209" s="266">
        <f t="shared" si="89"/>
        <v>5.4356383645521085</v>
      </c>
      <c r="K209" s="266">
        <f t="shared" si="89"/>
        <v>5.5239789043976124</v>
      </c>
      <c r="L209" s="266">
        <f t="shared" si="89"/>
        <v>5.6098829084891406</v>
      </c>
      <c r="M209" s="266">
        <f t="shared" si="89"/>
        <v>5.5515598675921023</v>
      </c>
      <c r="N209" s="266">
        <f t="shared" si="89"/>
        <v>5.6316432791174957</v>
      </c>
      <c r="O209" s="266">
        <f t="shared" si="89"/>
        <v>5.7058961914503623</v>
      </c>
      <c r="P209" s="266">
        <f t="shared" si="89"/>
        <v>5.7745285640319306</v>
      </c>
    </row>
    <row r="212" spans="2:16" ht="18" x14ac:dyDescent="0.25">
      <c r="B212" s="1083" t="s">
        <v>1014</v>
      </c>
      <c r="C212" s="301" t="s">
        <v>556</v>
      </c>
      <c r="D212" s="750" t="s">
        <v>557</v>
      </c>
      <c r="E212" s="750" t="s">
        <v>558</v>
      </c>
      <c r="F212" s="750" t="s">
        <v>559</v>
      </c>
      <c r="G212" s="750" t="s">
        <v>560</v>
      </c>
      <c r="H212" s="750" t="s">
        <v>561</v>
      </c>
      <c r="I212" s="750" t="s">
        <v>562</v>
      </c>
      <c r="J212" s="750" t="s">
        <v>563</v>
      </c>
      <c r="K212" s="750" t="s">
        <v>564</v>
      </c>
      <c r="L212" s="750" t="s">
        <v>565</v>
      </c>
      <c r="M212" s="750" t="s">
        <v>1029</v>
      </c>
      <c r="N212" s="750" t="s">
        <v>1030</v>
      </c>
      <c r="O212" s="750" t="s">
        <v>1031</v>
      </c>
      <c r="P212" s="750" t="s">
        <v>1032</v>
      </c>
    </row>
    <row r="213" spans="2:16" ht="18" x14ac:dyDescent="0.25">
      <c r="B213" s="750" t="s">
        <v>870</v>
      </c>
      <c r="C213" s="734" t="s">
        <v>566</v>
      </c>
      <c r="D213" s="265">
        <f>+$D$3</f>
        <v>73231212</v>
      </c>
      <c r="E213" s="265">
        <f>+$E$3</f>
        <v>74430655.752000004</v>
      </c>
      <c r="F213" s="265">
        <f>+$F$3</f>
        <v>76697929</v>
      </c>
      <c r="G213" s="265">
        <f>+$G$3</f>
        <v>79443376.444158807</v>
      </c>
      <c r="H213" s="265">
        <f>+$H$3</f>
        <v>81346804.018574134</v>
      </c>
      <c r="I213" s="265">
        <f>+$I$3</f>
        <v>83117762.153032988</v>
      </c>
      <c r="J213" s="265">
        <f>+$J$3</f>
        <v>84376813.900286376</v>
      </c>
      <c r="K213" s="265">
        <f>+$K$3</f>
        <v>85817253.249695092</v>
      </c>
      <c r="L213" s="265">
        <f>+$L$3</f>
        <v>87087721.932827741</v>
      </c>
      <c r="M213" s="265">
        <f>+$M$3</f>
        <v>87996585.401466116</v>
      </c>
      <c r="N213" s="265">
        <f>+$N$3</f>
        <v>89565016.865754709</v>
      </c>
      <c r="O213" s="265">
        <f>+$O$3</f>
        <v>91133448.330042839</v>
      </c>
      <c r="P213" s="265">
        <f>+$P$3</f>
        <v>92701879.794331446</v>
      </c>
    </row>
    <row r="214" spans="2:16" ht="18" x14ac:dyDescent="0.25">
      <c r="B214" s="750" t="s">
        <v>871</v>
      </c>
      <c r="C214" s="734" t="s">
        <v>566</v>
      </c>
      <c r="D214" s="265">
        <f>+$D$4</f>
        <v>55779290</v>
      </c>
      <c r="E214" s="265">
        <f>+$E$4</f>
        <v>56646487</v>
      </c>
      <c r="F214" s="265">
        <f>+$F$4</f>
        <v>57114170</v>
      </c>
      <c r="G214" s="265">
        <f>+$G$4</f>
        <v>57381362.231400006</v>
      </c>
      <c r="H214" s="265">
        <f>+$H$4</f>
        <v>59731641</v>
      </c>
      <c r="I214" s="265">
        <f>+$I$4</f>
        <v>60100673</v>
      </c>
      <c r="J214" s="265">
        <f>+$J$4</f>
        <v>60553470</v>
      </c>
      <c r="K214" s="265">
        <f>+$K$4</f>
        <v>61116311</v>
      </c>
      <c r="L214" s="265">
        <f>+$L$4</f>
        <v>61473228.050212145</v>
      </c>
      <c r="M214" s="265">
        <f>+$M$4</f>
        <v>62103401.234457493</v>
      </c>
      <c r="N214" s="265">
        <f>+$N$4</f>
        <v>62733574.418702841</v>
      </c>
      <c r="O214" s="265">
        <f>+$O$4</f>
        <v>63363747.602948427</v>
      </c>
      <c r="P214" s="265">
        <f>+$P$4</f>
        <v>63993920.787194014</v>
      </c>
    </row>
    <row r="215" spans="2:16" ht="18" x14ac:dyDescent="0.25">
      <c r="B215" s="750" t="s">
        <v>102</v>
      </c>
      <c r="C215" s="734" t="s">
        <v>566</v>
      </c>
      <c r="D215" s="265">
        <f>+$D$5</f>
        <v>318442</v>
      </c>
      <c r="E215" s="265">
        <f>+$E$5</f>
        <v>325502</v>
      </c>
      <c r="F215" s="265">
        <f>+$F$5</f>
        <v>333412</v>
      </c>
      <c r="G215" s="265">
        <f>+$G$5</f>
        <v>341939.19999999995</v>
      </c>
      <c r="H215" s="265">
        <f>+$H$5</f>
        <v>349461</v>
      </c>
      <c r="I215" s="265">
        <f>+$I$5</f>
        <v>356972</v>
      </c>
      <c r="J215" s="265">
        <f>+$J$5</f>
        <v>364648</v>
      </c>
      <c r="K215" s="265">
        <f>+$K$5</f>
        <v>372488</v>
      </c>
      <c r="L215" s="265">
        <f>+$L$5</f>
        <v>380496.56146201264</v>
      </c>
      <c r="M215" s="265">
        <f>+$M$5</f>
        <v>388677.30848890479</v>
      </c>
      <c r="N215" s="265">
        <f>+$N$5</f>
        <v>397033.94310243073</v>
      </c>
      <c r="O215" s="265">
        <f>+$O$5</f>
        <v>405570.24691850279</v>
      </c>
      <c r="P215" s="265">
        <f>+$P$5</f>
        <v>414290.08285848069</v>
      </c>
    </row>
    <row r="216" spans="2:16" ht="18" x14ac:dyDescent="0.25">
      <c r="B216" s="750" t="s">
        <v>567</v>
      </c>
      <c r="C216" s="734" t="s">
        <v>566</v>
      </c>
      <c r="D216" s="264"/>
      <c r="E216" s="264"/>
      <c r="F216" s="264"/>
      <c r="G216" s="264"/>
      <c r="H216" s="264"/>
      <c r="I216" s="264"/>
      <c r="J216" s="264"/>
      <c r="K216" s="264"/>
      <c r="L216" s="264"/>
      <c r="M216" s="264"/>
      <c r="N216" s="264"/>
      <c r="O216" s="264"/>
      <c r="P216" s="264"/>
    </row>
    <row r="217" spans="2:16" ht="18" x14ac:dyDescent="0.25">
      <c r="B217" s="750" t="s">
        <v>568</v>
      </c>
      <c r="C217" s="734" t="s">
        <v>566</v>
      </c>
      <c r="D217" s="265">
        <f>+'EV PROG CCIALES'!H454</f>
        <v>0</v>
      </c>
      <c r="E217" s="265">
        <f>+'EV PROG CCIALES'!I454</f>
        <v>0</v>
      </c>
      <c r="F217" s="265">
        <f>+'EV PROG CCIALES'!J454</f>
        <v>0</v>
      </c>
      <c r="G217" s="265">
        <f>+'EV PROG CCIALES'!K454</f>
        <v>193826.03975999999</v>
      </c>
      <c r="H217" s="265">
        <f>+'EV PROG CCIALES'!L454</f>
        <v>191693.95332263995</v>
      </c>
      <c r="I217" s="265">
        <f>+'EV PROG CCIALES'!M454</f>
        <v>189585.3198360909</v>
      </c>
      <c r="J217" s="265">
        <f>+'EV PROG CCIALES'!N454</f>
        <v>249999.84175719193</v>
      </c>
      <c r="K217" s="265">
        <f>+'EV PROG CCIALES'!O454</f>
        <v>247249.84349786278</v>
      </c>
      <c r="L217" s="265">
        <f>+'EV PROG CCIALES'!P454</f>
        <v>0</v>
      </c>
      <c r="M217" s="265">
        <f>+'EV PROG CCIALES'!Q454</f>
        <v>0</v>
      </c>
      <c r="N217" s="265">
        <f>+'EV PROG CCIALES'!R454</f>
        <v>0</v>
      </c>
      <c r="O217" s="265">
        <f>+'EV PROG CCIALES'!S454</f>
        <v>0</v>
      </c>
      <c r="P217" s="265">
        <f>+'EV PROG CCIALES'!T454</f>
        <v>0</v>
      </c>
    </row>
    <row r="218" spans="2:16" ht="18" x14ac:dyDescent="0.25">
      <c r="B218" s="750" t="s">
        <v>569</v>
      </c>
      <c r="C218" s="734" t="s">
        <v>566</v>
      </c>
      <c r="D218" s="265">
        <f>+D213-D216</f>
        <v>73231212</v>
      </c>
      <c r="E218" s="265">
        <f>+E213-E216</f>
        <v>74430655.752000004</v>
      </c>
      <c r="F218" s="265">
        <f>+F213-F216</f>
        <v>76697929</v>
      </c>
      <c r="G218" s="265">
        <f t="shared" ref="G218:P218" si="90">+G213-G216</f>
        <v>79443376.444158807</v>
      </c>
      <c r="H218" s="265">
        <f t="shared" si="90"/>
        <v>81346804.018574134</v>
      </c>
      <c r="I218" s="265">
        <f t="shared" si="90"/>
        <v>83117762.153032988</v>
      </c>
      <c r="J218" s="265">
        <f t="shared" si="90"/>
        <v>84376813.900286376</v>
      </c>
      <c r="K218" s="265">
        <f t="shared" si="90"/>
        <v>85817253.249695092</v>
      </c>
      <c r="L218" s="265">
        <f t="shared" si="90"/>
        <v>87087721.932827741</v>
      </c>
      <c r="M218" s="265">
        <f t="shared" si="90"/>
        <v>87996585.401466116</v>
      </c>
      <c r="N218" s="265">
        <f t="shared" si="90"/>
        <v>89565016.865754709</v>
      </c>
      <c r="O218" s="265">
        <f t="shared" si="90"/>
        <v>91133448.330042839</v>
      </c>
      <c r="P218" s="265">
        <f t="shared" si="90"/>
        <v>92701879.794331446</v>
      </c>
    </row>
    <row r="219" spans="2:16" ht="18" x14ac:dyDescent="0.25">
      <c r="B219" s="750" t="s">
        <v>570</v>
      </c>
      <c r="C219" s="734" t="s">
        <v>566</v>
      </c>
      <c r="D219" s="265">
        <f>+D214+D217</f>
        <v>55779290</v>
      </c>
      <c r="E219" s="265">
        <f t="shared" ref="E219:P219" si="91">+E214+E217</f>
        <v>56646487</v>
      </c>
      <c r="F219" s="265">
        <f t="shared" si="91"/>
        <v>57114170</v>
      </c>
      <c r="G219" s="265">
        <f t="shared" si="91"/>
        <v>57575188.271160007</v>
      </c>
      <c r="H219" s="265">
        <f t="shared" si="91"/>
        <v>59923334.953322642</v>
      </c>
      <c r="I219" s="265">
        <f t="shared" si="91"/>
        <v>60290258.319836088</v>
      </c>
      <c r="J219" s="265">
        <f t="shared" si="91"/>
        <v>60803469.841757193</v>
      </c>
      <c r="K219" s="265">
        <f t="shared" si="91"/>
        <v>61363560.843497865</v>
      </c>
      <c r="L219" s="265">
        <f t="shared" si="91"/>
        <v>61473228.050212145</v>
      </c>
      <c r="M219" s="265">
        <f t="shared" si="91"/>
        <v>62103401.234457493</v>
      </c>
      <c r="N219" s="265">
        <f t="shared" si="91"/>
        <v>62733574.418702841</v>
      </c>
      <c r="O219" s="265">
        <f t="shared" si="91"/>
        <v>63363747.602948427</v>
      </c>
      <c r="P219" s="265">
        <f t="shared" si="91"/>
        <v>63993920.787194014</v>
      </c>
    </row>
    <row r="220" spans="2:16" ht="18" x14ac:dyDescent="0.25">
      <c r="B220" s="750" t="s">
        <v>571</v>
      </c>
      <c r="C220" s="734" t="s">
        <v>105</v>
      </c>
      <c r="D220" s="263">
        <f t="shared" ref="D220:P220" si="92">IFERROR((D218-D219)/D218*100,0)</f>
        <v>23.831262003420072</v>
      </c>
      <c r="E220" s="263">
        <f t="shared" si="92"/>
        <v>23.893607509325392</v>
      </c>
      <c r="F220" s="263">
        <f t="shared" si="92"/>
        <v>25.533621644464482</v>
      </c>
      <c r="G220" s="263">
        <f t="shared" si="92"/>
        <v>27.52676075943231</v>
      </c>
      <c r="H220" s="263">
        <f t="shared" si="92"/>
        <v>26.335968971024126</v>
      </c>
      <c r="I220" s="263">
        <f t="shared" si="92"/>
        <v>27.464050092166637</v>
      </c>
      <c r="J220" s="263">
        <f t="shared" si="92"/>
        <v>27.938177526337217</v>
      </c>
      <c r="K220" s="263">
        <f t="shared" si="92"/>
        <v>28.495077015628102</v>
      </c>
      <c r="L220" s="263">
        <f t="shared" si="92"/>
        <v>29.412290635380835</v>
      </c>
      <c r="M220" s="263">
        <f t="shared" si="92"/>
        <v>29.425214681770157</v>
      </c>
      <c r="N220" s="263">
        <f t="shared" si="92"/>
        <v>29.95750281303291</v>
      </c>
      <c r="O220" s="263">
        <f t="shared" si="92"/>
        <v>30.471469296899102</v>
      </c>
      <c r="P220" s="263">
        <f t="shared" si="92"/>
        <v>30.968044090183461</v>
      </c>
    </row>
    <row r="221" spans="2:16" ht="18" x14ac:dyDescent="0.25">
      <c r="B221" s="750" t="s">
        <v>572</v>
      </c>
      <c r="C221" s="734" t="s">
        <v>573</v>
      </c>
      <c r="D221" s="266">
        <f t="shared" ref="D221:P221" si="93">IFERROR(D218/(D215*12),0)</f>
        <v>19.163932521463877</v>
      </c>
      <c r="E221" s="266">
        <f t="shared" si="93"/>
        <v>19.055350338861206</v>
      </c>
      <c r="F221" s="266">
        <f t="shared" si="93"/>
        <v>19.16995813987899</v>
      </c>
      <c r="G221" s="266">
        <f t="shared" si="93"/>
        <v>19.360989820256258</v>
      </c>
      <c r="H221" s="266">
        <f t="shared" si="93"/>
        <v>19.398159837238428</v>
      </c>
      <c r="I221" s="266">
        <f t="shared" si="93"/>
        <v>19.403427101899911</v>
      </c>
      <c r="J221" s="266">
        <f t="shared" si="93"/>
        <v>19.282708689906972</v>
      </c>
      <c r="K221" s="266">
        <f t="shared" si="93"/>
        <v>19.199109154678606</v>
      </c>
      <c r="L221" s="266">
        <f t="shared" si="93"/>
        <v>19.073260828386015</v>
      </c>
      <c r="M221" s="266">
        <f t="shared" si="93"/>
        <v>18.86667583442124</v>
      </c>
      <c r="N221" s="266">
        <f t="shared" si="93"/>
        <v>18.798774097644309</v>
      </c>
      <c r="O221" s="266">
        <f t="shared" si="93"/>
        <v>18.725372694880242</v>
      </c>
      <c r="P221" s="266">
        <f t="shared" si="93"/>
        <v>18.646733217040325</v>
      </c>
    </row>
    <row r="222" spans="2:16" ht="18" x14ac:dyDescent="0.25">
      <c r="B222" s="750" t="s">
        <v>574</v>
      </c>
      <c r="C222" s="734" t="s">
        <v>573</v>
      </c>
      <c r="D222" s="266">
        <f t="shared" ref="D222:P222" si="94">IFERROR(D219/(D215*12),0)</f>
        <v>14.596925552115195</v>
      </c>
      <c r="E222" s="266">
        <f t="shared" si="94"/>
        <v>14.502339719366804</v>
      </c>
      <c r="F222" s="266">
        <f t="shared" si="94"/>
        <v>14.275173559040066</v>
      </c>
      <c r="G222" s="266">
        <f t="shared" si="94"/>
        <v>14.031536471776272</v>
      </c>
      <c r="H222" s="266">
        <f t="shared" si="94"/>
        <v>14.289466481553649</v>
      </c>
      <c r="I222" s="266">
        <f t="shared" si="94"/>
        <v>14.074460163037084</v>
      </c>
      <c r="J222" s="266">
        <f t="shared" si="94"/>
        <v>13.895471304234309</v>
      </c>
      <c r="K222" s="266">
        <f t="shared" si="94"/>
        <v>13.728308214738432</v>
      </c>
      <c r="L222" s="266">
        <f t="shared" si="94"/>
        <v>13.463377919896875</v>
      </c>
      <c r="M222" s="266">
        <f t="shared" si="94"/>
        <v>13.315115966829138</v>
      </c>
      <c r="N222" s="266">
        <f t="shared" si="94"/>
        <v>13.167130818526813</v>
      </c>
      <c r="O222" s="266">
        <f t="shared" si="94"/>
        <v>13.01947650342988</v>
      </c>
      <c r="P222" s="266">
        <f t="shared" si="94"/>
        <v>12.872204653008394</v>
      </c>
    </row>
    <row r="223" spans="2:16" ht="18" x14ac:dyDescent="0.25">
      <c r="B223" s="750" t="s">
        <v>575</v>
      </c>
      <c r="C223" s="734" t="s">
        <v>573</v>
      </c>
      <c r="D223" s="266">
        <f>IFERROR(D221-D222,0)</f>
        <v>4.5670069693486823</v>
      </c>
      <c r="E223" s="266">
        <f t="shared" ref="E223:P223" si="95">IFERROR(E221-E222,0)</f>
        <v>4.5530106194944029</v>
      </c>
      <c r="F223" s="266">
        <f t="shared" si="95"/>
        <v>4.8947845808389232</v>
      </c>
      <c r="G223" s="266">
        <f t="shared" si="95"/>
        <v>5.3294533484799853</v>
      </c>
      <c r="H223" s="266">
        <f t="shared" si="95"/>
        <v>5.1086933556847782</v>
      </c>
      <c r="I223" s="266">
        <f t="shared" si="95"/>
        <v>5.3289669388628269</v>
      </c>
      <c r="J223" s="266">
        <f t="shared" si="95"/>
        <v>5.3872373856726625</v>
      </c>
      <c r="K223" s="266">
        <f t="shared" si="95"/>
        <v>5.4708009399401742</v>
      </c>
      <c r="L223" s="266">
        <f t="shared" si="95"/>
        <v>5.6098829084891406</v>
      </c>
      <c r="M223" s="266">
        <f t="shared" si="95"/>
        <v>5.5515598675921023</v>
      </c>
      <c r="N223" s="266">
        <f t="shared" si="95"/>
        <v>5.6316432791174957</v>
      </c>
      <c r="O223" s="266">
        <f t="shared" si="95"/>
        <v>5.7058961914503623</v>
      </c>
      <c r="P223" s="266">
        <f t="shared" si="95"/>
        <v>5.7745285640319306</v>
      </c>
    </row>
    <row r="226" spans="2:16" ht="18" x14ac:dyDescent="0.25">
      <c r="B226" s="301" t="s">
        <v>1015</v>
      </c>
      <c r="C226" s="301" t="s">
        <v>556</v>
      </c>
      <c r="D226" s="750" t="s">
        <v>557</v>
      </c>
      <c r="E226" s="750" t="s">
        <v>558</v>
      </c>
      <c r="F226" s="750" t="s">
        <v>559</v>
      </c>
      <c r="G226" s="750" t="s">
        <v>560</v>
      </c>
      <c r="H226" s="750" t="s">
        <v>561</v>
      </c>
      <c r="I226" s="750" t="s">
        <v>562</v>
      </c>
      <c r="J226" s="750" t="s">
        <v>563</v>
      </c>
      <c r="K226" s="750" t="s">
        <v>564</v>
      </c>
      <c r="L226" s="750" t="s">
        <v>565</v>
      </c>
      <c r="M226" s="750" t="s">
        <v>1029</v>
      </c>
      <c r="N226" s="750" t="s">
        <v>1030</v>
      </c>
      <c r="O226" s="750" t="s">
        <v>1031</v>
      </c>
      <c r="P226" s="750" t="s">
        <v>1032</v>
      </c>
    </row>
    <row r="227" spans="2:16" ht="18" x14ac:dyDescent="0.25">
      <c r="B227" s="750" t="s">
        <v>870</v>
      </c>
      <c r="C227" s="734" t="s">
        <v>566</v>
      </c>
      <c r="D227" s="265">
        <f>+$D$3</f>
        <v>73231212</v>
      </c>
      <c r="E227" s="265">
        <f>+$E$3</f>
        <v>74430655.752000004</v>
      </c>
      <c r="F227" s="265">
        <f>+$F$3</f>
        <v>76697929</v>
      </c>
      <c r="G227" s="265">
        <f>+$G$3</f>
        <v>79443376.444158807</v>
      </c>
      <c r="H227" s="265">
        <f>+$H$3</f>
        <v>81346804.018574134</v>
      </c>
      <c r="I227" s="265">
        <f>+$I$3</f>
        <v>83117762.153032988</v>
      </c>
      <c r="J227" s="265">
        <f>+$J$3</f>
        <v>84376813.900286376</v>
      </c>
      <c r="K227" s="265">
        <f>+$K$3</f>
        <v>85817253.249695092</v>
      </c>
      <c r="L227" s="265">
        <f>+$L$3</f>
        <v>87087721.932827741</v>
      </c>
      <c r="M227" s="265">
        <f>+$M$3</f>
        <v>87996585.401466116</v>
      </c>
      <c r="N227" s="265">
        <f>+$N$3</f>
        <v>89565016.865754709</v>
      </c>
      <c r="O227" s="265">
        <f>+$O$3</f>
        <v>91133448.330042839</v>
      </c>
      <c r="P227" s="265">
        <f>+$P$3</f>
        <v>92701879.794331446</v>
      </c>
    </row>
    <row r="228" spans="2:16" ht="18" x14ac:dyDescent="0.25">
      <c r="B228" s="750" t="s">
        <v>871</v>
      </c>
      <c r="C228" s="734" t="s">
        <v>566</v>
      </c>
      <c r="D228" s="265">
        <f>+$D$4</f>
        <v>55779290</v>
      </c>
      <c r="E228" s="265">
        <f>+$E$4</f>
        <v>56646487</v>
      </c>
      <c r="F228" s="265">
        <f>+$F$4</f>
        <v>57114170</v>
      </c>
      <c r="G228" s="265">
        <f>+$G$4</f>
        <v>57381362.231400006</v>
      </c>
      <c r="H228" s="265">
        <f>+$H$4</f>
        <v>59731641</v>
      </c>
      <c r="I228" s="265">
        <f>+$I$4</f>
        <v>60100673</v>
      </c>
      <c r="J228" s="265">
        <f>+$J$4</f>
        <v>60553470</v>
      </c>
      <c r="K228" s="265">
        <f>+$K$4</f>
        <v>61116311</v>
      </c>
      <c r="L228" s="265">
        <f>+$L$4</f>
        <v>61473228.050212145</v>
      </c>
      <c r="M228" s="265">
        <f>+$M$4</f>
        <v>62103401.234457493</v>
      </c>
      <c r="N228" s="265">
        <f>+$N$4</f>
        <v>62733574.418702841</v>
      </c>
      <c r="O228" s="265">
        <f>+$O$4</f>
        <v>63363747.602948427</v>
      </c>
      <c r="P228" s="265">
        <f>+$P$4</f>
        <v>63993920.787194014</v>
      </c>
    </row>
    <row r="229" spans="2:16" ht="18" x14ac:dyDescent="0.25">
      <c r="B229" s="750" t="s">
        <v>102</v>
      </c>
      <c r="C229" s="734" t="s">
        <v>566</v>
      </c>
      <c r="D229" s="265">
        <f>+$D$5</f>
        <v>318442</v>
      </c>
      <c r="E229" s="265">
        <f>+$E$5</f>
        <v>325502</v>
      </c>
      <c r="F229" s="265">
        <f>+$F$5</f>
        <v>333412</v>
      </c>
      <c r="G229" s="265">
        <f>+$G$5</f>
        <v>341939.19999999995</v>
      </c>
      <c r="H229" s="265">
        <f>+$H$5</f>
        <v>349461</v>
      </c>
      <c r="I229" s="265">
        <f>+$I$5</f>
        <v>356972</v>
      </c>
      <c r="J229" s="265">
        <f>+$J$5</f>
        <v>364648</v>
      </c>
      <c r="K229" s="265">
        <f>+$K$5</f>
        <v>372488</v>
      </c>
      <c r="L229" s="265">
        <f>+$L$5</f>
        <v>380496.56146201264</v>
      </c>
      <c r="M229" s="265">
        <f>+$M$5</f>
        <v>388677.30848890479</v>
      </c>
      <c r="N229" s="265">
        <f>+$N$5</f>
        <v>397033.94310243073</v>
      </c>
      <c r="O229" s="265">
        <f>+$O$5</f>
        <v>405570.24691850279</v>
      </c>
      <c r="P229" s="265">
        <f>+$P$5</f>
        <v>414290.08285848069</v>
      </c>
    </row>
    <row r="230" spans="2:16" ht="18" x14ac:dyDescent="0.25">
      <c r="B230" s="750" t="s">
        <v>567</v>
      </c>
      <c r="C230" s="734" t="s">
        <v>566</v>
      </c>
      <c r="D230" s="264"/>
      <c r="E230" s="264"/>
      <c r="F230" s="264"/>
      <c r="G230" s="264"/>
      <c r="H230" s="264"/>
      <c r="I230" s="264"/>
      <c r="J230" s="264"/>
      <c r="K230" s="264"/>
      <c r="L230" s="264"/>
      <c r="M230" s="264"/>
      <c r="N230" s="264"/>
      <c r="O230" s="264"/>
      <c r="P230" s="264"/>
    </row>
    <row r="231" spans="2:16" ht="18" x14ac:dyDescent="0.25">
      <c r="B231" s="750" t="s">
        <v>568</v>
      </c>
      <c r="C231" s="734" t="s">
        <v>566</v>
      </c>
      <c r="D231" s="265">
        <f>+'EV PROG CCIALES'!H455</f>
        <v>0</v>
      </c>
      <c r="E231" s="265">
        <f>+'EV PROG CCIALES'!I455</f>
        <v>0</v>
      </c>
      <c r="F231" s="265">
        <f>+'EV PROG CCIALES'!J455</f>
        <v>0</v>
      </c>
      <c r="G231" s="265">
        <f>+'EV PROG CCIALES'!K455</f>
        <v>147787.45680000001</v>
      </c>
      <c r="H231" s="265">
        <f>+'EV PROG CCIALES'!L455</f>
        <v>148681.82571959996</v>
      </c>
      <c r="I231" s="265">
        <f>+'EV PROG CCIALES'!M455</f>
        <v>147046.32563668437</v>
      </c>
      <c r="J231" s="265">
        <f>+'EV PROG CCIALES'!N455</f>
        <v>147893.71124204833</v>
      </c>
      <c r="K231" s="265">
        <f>+'EV PROG CCIALES'!O455</f>
        <v>148704.66175869221</v>
      </c>
      <c r="L231" s="265">
        <f>+'EV PROG CCIALES'!P455</f>
        <v>0</v>
      </c>
      <c r="M231" s="265">
        <f>+'EV PROG CCIALES'!Q455</f>
        <v>0</v>
      </c>
      <c r="N231" s="265">
        <f>+'EV PROG CCIALES'!R455</f>
        <v>0</v>
      </c>
      <c r="O231" s="265">
        <f>+'EV PROG CCIALES'!S455</f>
        <v>0</v>
      </c>
      <c r="P231" s="265">
        <f>+'EV PROG CCIALES'!T455</f>
        <v>0</v>
      </c>
    </row>
    <row r="232" spans="2:16" ht="18" x14ac:dyDescent="0.25">
      <c r="B232" s="750" t="s">
        <v>569</v>
      </c>
      <c r="C232" s="734" t="s">
        <v>566</v>
      </c>
      <c r="D232" s="265">
        <f>+D227-D230</f>
        <v>73231212</v>
      </c>
      <c r="E232" s="265">
        <f>+E227-E230</f>
        <v>74430655.752000004</v>
      </c>
      <c r="F232" s="265">
        <f>+F227-F230</f>
        <v>76697929</v>
      </c>
      <c r="G232" s="265">
        <f t="shared" ref="G232:P232" si="96">+G227-G230</f>
        <v>79443376.444158807</v>
      </c>
      <c r="H232" s="265">
        <f t="shared" si="96"/>
        <v>81346804.018574134</v>
      </c>
      <c r="I232" s="265">
        <f t="shared" si="96"/>
        <v>83117762.153032988</v>
      </c>
      <c r="J232" s="265">
        <f t="shared" si="96"/>
        <v>84376813.900286376</v>
      </c>
      <c r="K232" s="265">
        <f t="shared" si="96"/>
        <v>85817253.249695092</v>
      </c>
      <c r="L232" s="265">
        <f t="shared" si="96"/>
        <v>87087721.932827741</v>
      </c>
      <c r="M232" s="265">
        <f t="shared" si="96"/>
        <v>87996585.401466116</v>
      </c>
      <c r="N232" s="265">
        <f t="shared" si="96"/>
        <v>89565016.865754709</v>
      </c>
      <c r="O232" s="265">
        <f t="shared" si="96"/>
        <v>91133448.330042839</v>
      </c>
      <c r="P232" s="265">
        <f t="shared" si="96"/>
        <v>92701879.794331446</v>
      </c>
    </row>
    <row r="233" spans="2:16" ht="18" x14ac:dyDescent="0.25">
      <c r="B233" s="750" t="s">
        <v>570</v>
      </c>
      <c r="C233" s="734" t="s">
        <v>566</v>
      </c>
      <c r="D233" s="265">
        <f>+D228+D231</f>
        <v>55779290</v>
      </c>
      <c r="E233" s="265">
        <f t="shared" ref="E233:P233" si="97">+E228+E231</f>
        <v>56646487</v>
      </c>
      <c r="F233" s="265">
        <f t="shared" si="97"/>
        <v>57114170</v>
      </c>
      <c r="G233" s="265">
        <f t="shared" si="97"/>
        <v>57529149.688200004</v>
      </c>
      <c r="H233" s="265">
        <f t="shared" si="97"/>
        <v>59880322.825719602</v>
      </c>
      <c r="I233" s="265">
        <f t="shared" si="97"/>
        <v>60247719.325636685</v>
      </c>
      <c r="J233" s="265">
        <f t="shared" si="97"/>
        <v>60701363.71124205</v>
      </c>
      <c r="K233" s="265">
        <f t="shared" si="97"/>
        <v>61265015.661758691</v>
      </c>
      <c r="L233" s="265">
        <f t="shared" si="97"/>
        <v>61473228.050212145</v>
      </c>
      <c r="M233" s="265">
        <f t="shared" si="97"/>
        <v>62103401.234457493</v>
      </c>
      <c r="N233" s="265">
        <f t="shared" si="97"/>
        <v>62733574.418702841</v>
      </c>
      <c r="O233" s="265">
        <f t="shared" si="97"/>
        <v>63363747.602948427</v>
      </c>
      <c r="P233" s="265">
        <f t="shared" si="97"/>
        <v>63993920.787194014</v>
      </c>
    </row>
    <row r="234" spans="2:16" ht="18" x14ac:dyDescent="0.25">
      <c r="B234" s="750" t="s">
        <v>571</v>
      </c>
      <c r="C234" s="734" t="s">
        <v>105</v>
      </c>
      <c r="D234" s="263">
        <f>IFERROR((D232-D233)/D232*100,0)</f>
        <v>23.831262003420072</v>
      </c>
      <c r="E234" s="263">
        <f t="shared" ref="E234:P234" si="98">IFERROR((E232-E233)/E232*100,0)</f>
        <v>23.893607509325392</v>
      </c>
      <c r="F234" s="263">
        <f t="shared" si="98"/>
        <v>25.533621644464482</v>
      </c>
      <c r="G234" s="263">
        <f t="shared" si="98"/>
        <v>27.584712202360173</v>
      </c>
      <c r="H234" s="263">
        <f t="shared" si="98"/>
        <v>26.388843977143871</v>
      </c>
      <c r="I234" s="263">
        <f t="shared" si="98"/>
        <v>27.515229278296648</v>
      </c>
      <c r="J234" s="263">
        <f t="shared" si="98"/>
        <v>28.059189598013457</v>
      </c>
      <c r="K234" s="263">
        <f t="shared" si="98"/>
        <v>28.609908448711195</v>
      </c>
      <c r="L234" s="263">
        <f t="shared" si="98"/>
        <v>29.412290635380835</v>
      </c>
      <c r="M234" s="263">
        <f t="shared" si="98"/>
        <v>29.425214681770157</v>
      </c>
      <c r="N234" s="263">
        <f t="shared" si="98"/>
        <v>29.95750281303291</v>
      </c>
      <c r="O234" s="263">
        <f t="shared" si="98"/>
        <v>30.471469296899102</v>
      </c>
      <c r="P234" s="263">
        <f t="shared" si="98"/>
        <v>30.968044090183461</v>
      </c>
    </row>
    <row r="235" spans="2:16" ht="18" x14ac:dyDescent="0.25">
      <c r="B235" s="750" t="s">
        <v>572</v>
      </c>
      <c r="C235" s="734" t="s">
        <v>573</v>
      </c>
      <c r="D235" s="266">
        <f>IFERROR(D232/(D229*12),0)</f>
        <v>19.163932521463877</v>
      </c>
      <c r="E235" s="266">
        <f t="shared" ref="E235:P235" si="99">IFERROR(E232/(E229*12),0)</f>
        <v>19.055350338861206</v>
      </c>
      <c r="F235" s="266">
        <f t="shared" si="99"/>
        <v>19.16995813987899</v>
      </c>
      <c r="G235" s="266">
        <f t="shared" si="99"/>
        <v>19.360989820256258</v>
      </c>
      <c r="H235" s="266">
        <f t="shared" si="99"/>
        <v>19.398159837238428</v>
      </c>
      <c r="I235" s="266">
        <f t="shared" si="99"/>
        <v>19.403427101899911</v>
      </c>
      <c r="J235" s="266">
        <f t="shared" si="99"/>
        <v>19.282708689906972</v>
      </c>
      <c r="K235" s="266">
        <f t="shared" si="99"/>
        <v>19.199109154678606</v>
      </c>
      <c r="L235" s="266">
        <f t="shared" si="99"/>
        <v>19.073260828386015</v>
      </c>
      <c r="M235" s="266">
        <f t="shared" si="99"/>
        <v>18.86667583442124</v>
      </c>
      <c r="N235" s="266">
        <f t="shared" si="99"/>
        <v>18.798774097644309</v>
      </c>
      <c r="O235" s="266">
        <f t="shared" si="99"/>
        <v>18.725372694880242</v>
      </c>
      <c r="P235" s="266">
        <f t="shared" si="99"/>
        <v>18.646733217040325</v>
      </c>
    </row>
    <row r="236" spans="2:16" ht="18" x14ac:dyDescent="0.25">
      <c r="B236" s="750" t="s">
        <v>574</v>
      </c>
      <c r="C236" s="734" t="s">
        <v>573</v>
      </c>
      <c r="D236" s="266">
        <f>IFERROR(D233/(D229*12),0)</f>
        <v>14.596925552115195</v>
      </c>
      <c r="E236" s="266">
        <f t="shared" ref="E236:P236" si="100">IFERROR(E233/(E229*12),0)</f>
        <v>14.502339719366804</v>
      </c>
      <c r="F236" s="266">
        <f t="shared" si="100"/>
        <v>14.275173559040066</v>
      </c>
      <c r="G236" s="266">
        <f t="shared" si="100"/>
        <v>14.020316498810319</v>
      </c>
      <c r="H236" s="266">
        <f t="shared" si="100"/>
        <v>14.279209703352592</v>
      </c>
      <c r="I236" s="266">
        <f t="shared" si="100"/>
        <v>14.064529646965001</v>
      </c>
      <c r="J236" s="266">
        <f t="shared" si="100"/>
        <v>13.872136898973359</v>
      </c>
      <c r="K236" s="266">
        <f t="shared" si="100"/>
        <v>13.706261602556927</v>
      </c>
      <c r="L236" s="266">
        <f t="shared" si="100"/>
        <v>13.463377919896875</v>
      </c>
      <c r="M236" s="266">
        <f t="shared" si="100"/>
        <v>13.315115966829138</v>
      </c>
      <c r="N236" s="266">
        <f t="shared" si="100"/>
        <v>13.167130818526813</v>
      </c>
      <c r="O236" s="266">
        <f t="shared" si="100"/>
        <v>13.01947650342988</v>
      </c>
      <c r="P236" s="266">
        <f t="shared" si="100"/>
        <v>12.872204653008394</v>
      </c>
    </row>
    <row r="237" spans="2:16" ht="18" x14ac:dyDescent="0.25">
      <c r="B237" s="750" t="s">
        <v>575</v>
      </c>
      <c r="C237" s="734" t="s">
        <v>573</v>
      </c>
      <c r="D237" s="266">
        <f>IFERROR(D235-D236,0)</f>
        <v>4.5670069693486823</v>
      </c>
      <c r="E237" s="266">
        <f t="shared" ref="E237:P237" si="101">IFERROR(E235-E236,0)</f>
        <v>4.5530106194944029</v>
      </c>
      <c r="F237" s="266">
        <f t="shared" si="101"/>
        <v>4.8947845808389232</v>
      </c>
      <c r="G237" s="266">
        <f t="shared" si="101"/>
        <v>5.340673321445939</v>
      </c>
      <c r="H237" s="266">
        <f t="shared" si="101"/>
        <v>5.1189501338858356</v>
      </c>
      <c r="I237" s="266">
        <f t="shared" si="101"/>
        <v>5.3388974549349104</v>
      </c>
      <c r="J237" s="266">
        <f t="shared" si="101"/>
        <v>5.4105717909336128</v>
      </c>
      <c r="K237" s="266">
        <f t="shared" si="101"/>
        <v>5.4928475521216793</v>
      </c>
      <c r="L237" s="266">
        <f t="shared" si="101"/>
        <v>5.6098829084891406</v>
      </c>
      <c r="M237" s="266">
        <f t="shared" si="101"/>
        <v>5.5515598675921023</v>
      </c>
      <c r="N237" s="266">
        <f t="shared" si="101"/>
        <v>5.6316432791174957</v>
      </c>
      <c r="O237" s="266">
        <f t="shared" si="101"/>
        <v>5.7058961914503623</v>
      </c>
      <c r="P237" s="266">
        <f t="shared" si="101"/>
        <v>5.7745285640319306</v>
      </c>
    </row>
    <row r="240" spans="2:16" ht="18" x14ac:dyDescent="0.25">
      <c r="B240" s="301" t="s">
        <v>1016</v>
      </c>
      <c r="C240" s="301" t="s">
        <v>556</v>
      </c>
      <c r="D240" s="750" t="s">
        <v>557</v>
      </c>
      <c r="E240" s="750" t="s">
        <v>558</v>
      </c>
      <c r="F240" s="750" t="s">
        <v>559</v>
      </c>
      <c r="G240" s="750" t="s">
        <v>560</v>
      </c>
      <c r="H240" s="750" t="s">
        <v>561</v>
      </c>
      <c r="I240" s="750" t="s">
        <v>562</v>
      </c>
      <c r="J240" s="750" t="s">
        <v>563</v>
      </c>
      <c r="K240" s="750" t="s">
        <v>564</v>
      </c>
      <c r="L240" s="750" t="s">
        <v>565</v>
      </c>
      <c r="M240" s="750" t="s">
        <v>1029</v>
      </c>
      <c r="N240" s="750" t="s">
        <v>1030</v>
      </c>
      <c r="O240" s="750" t="s">
        <v>1031</v>
      </c>
      <c r="P240" s="750" t="s">
        <v>1032</v>
      </c>
    </row>
    <row r="241" spans="2:16" ht="18" x14ac:dyDescent="0.25">
      <c r="B241" s="750" t="s">
        <v>870</v>
      </c>
      <c r="C241" s="734" t="s">
        <v>566</v>
      </c>
      <c r="D241" s="265">
        <f>+$D$3</f>
        <v>73231212</v>
      </c>
      <c r="E241" s="265">
        <f>+$E$3</f>
        <v>74430655.752000004</v>
      </c>
      <c r="F241" s="265">
        <f>+$F$3</f>
        <v>76697929</v>
      </c>
      <c r="G241" s="265">
        <f>+$G$3</f>
        <v>79443376.444158807</v>
      </c>
      <c r="H241" s="265">
        <f>+$H$3</f>
        <v>81346804.018574134</v>
      </c>
      <c r="I241" s="265">
        <f>+$I$3</f>
        <v>83117762.153032988</v>
      </c>
      <c r="J241" s="265">
        <f>+$J$3</f>
        <v>84376813.900286376</v>
      </c>
      <c r="K241" s="265">
        <f>+$K$3</f>
        <v>85817253.249695092</v>
      </c>
      <c r="L241" s="265">
        <f>+$L$3</f>
        <v>87087721.932827741</v>
      </c>
      <c r="M241" s="265">
        <f>+$M$3</f>
        <v>87996585.401466116</v>
      </c>
      <c r="N241" s="265">
        <f>+$N$3</f>
        <v>89565016.865754709</v>
      </c>
      <c r="O241" s="265">
        <f>+$O$3</f>
        <v>91133448.330042839</v>
      </c>
      <c r="P241" s="265">
        <f>+$P$3</f>
        <v>92701879.794331446</v>
      </c>
    </row>
    <row r="242" spans="2:16" ht="18" x14ac:dyDescent="0.25">
      <c r="B242" s="750" t="s">
        <v>871</v>
      </c>
      <c r="C242" s="734" t="s">
        <v>566</v>
      </c>
      <c r="D242" s="265">
        <f>+$D$4</f>
        <v>55779290</v>
      </c>
      <c r="E242" s="265">
        <f>+$E$4</f>
        <v>56646487</v>
      </c>
      <c r="F242" s="265">
        <f>+$F$4</f>
        <v>57114170</v>
      </c>
      <c r="G242" s="265">
        <f>+$G$4</f>
        <v>57381362.231400006</v>
      </c>
      <c r="H242" s="265">
        <f>+$H$4</f>
        <v>59731641</v>
      </c>
      <c r="I242" s="265">
        <f>+$I$4</f>
        <v>60100673</v>
      </c>
      <c r="J242" s="265">
        <f>+$J$4</f>
        <v>60553470</v>
      </c>
      <c r="K242" s="265">
        <f>+$K$4</f>
        <v>61116311</v>
      </c>
      <c r="L242" s="265">
        <f>+$L$4</f>
        <v>61473228.050212145</v>
      </c>
      <c r="M242" s="265">
        <f>+$M$4</f>
        <v>62103401.234457493</v>
      </c>
      <c r="N242" s="265">
        <f>+$N$4</f>
        <v>62733574.418702841</v>
      </c>
      <c r="O242" s="265">
        <f>+$O$4</f>
        <v>63363747.602948427</v>
      </c>
      <c r="P242" s="265">
        <f>+$P$4</f>
        <v>63993920.787194014</v>
      </c>
    </row>
    <row r="243" spans="2:16" ht="18" x14ac:dyDescent="0.25">
      <c r="B243" s="750" t="s">
        <v>102</v>
      </c>
      <c r="C243" s="734" t="s">
        <v>566</v>
      </c>
      <c r="D243" s="265">
        <f>+$D$5</f>
        <v>318442</v>
      </c>
      <c r="E243" s="265">
        <f>+$E$5</f>
        <v>325502</v>
      </c>
      <c r="F243" s="265">
        <f>+$F$5</f>
        <v>333412</v>
      </c>
      <c r="G243" s="265">
        <f>+$G$5</f>
        <v>341939.19999999995</v>
      </c>
      <c r="H243" s="265">
        <f>+$H$5</f>
        <v>349461</v>
      </c>
      <c r="I243" s="265">
        <f>+$I$5</f>
        <v>356972</v>
      </c>
      <c r="J243" s="265">
        <f>+$J$5</f>
        <v>364648</v>
      </c>
      <c r="K243" s="265">
        <f>+$K$5</f>
        <v>372488</v>
      </c>
      <c r="L243" s="265">
        <f>+$L$5</f>
        <v>380496.56146201264</v>
      </c>
      <c r="M243" s="265">
        <f>+$M$5</f>
        <v>388677.30848890479</v>
      </c>
      <c r="N243" s="265">
        <f>+$N$5</f>
        <v>397033.94310243073</v>
      </c>
      <c r="O243" s="265">
        <f>+$O$5</f>
        <v>405570.24691850279</v>
      </c>
      <c r="P243" s="265">
        <f>+$P$5</f>
        <v>414290.08285848069</v>
      </c>
    </row>
    <row r="244" spans="2:16" ht="18" x14ac:dyDescent="0.25">
      <c r="B244" s="750" t="s">
        <v>567</v>
      </c>
      <c r="C244" s="734" t="s">
        <v>566</v>
      </c>
      <c r="D244" s="264"/>
      <c r="E244" s="264"/>
      <c r="F244" s="264"/>
      <c r="G244" s="264"/>
      <c r="H244" s="264"/>
      <c r="I244" s="264"/>
      <c r="J244" s="264"/>
      <c r="K244" s="264"/>
      <c r="L244" s="264"/>
      <c r="M244" s="264"/>
      <c r="N244" s="264"/>
      <c r="O244" s="264"/>
      <c r="P244" s="264"/>
    </row>
    <row r="245" spans="2:16" ht="18" x14ac:dyDescent="0.25">
      <c r="B245" s="750" t="s">
        <v>568</v>
      </c>
      <c r="C245" s="734" t="s">
        <v>566</v>
      </c>
      <c r="D245" s="265">
        <f>+'EV PROG CCIALES'!H456</f>
        <v>0</v>
      </c>
      <c r="E245" s="265">
        <f>+'EV PROG CCIALES'!I456</f>
        <v>0</v>
      </c>
      <c r="F245" s="265">
        <f>+'EV PROG CCIALES'!J456</f>
        <v>0</v>
      </c>
      <c r="G245" s="265">
        <f>+'EV PROG CCIALES'!K456</f>
        <v>0</v>
      </c>
      <c r="H245" s="265">
        <f>+'EV PROG CCIALES'!L456</f>
        <v>0</v>
      </c>
      <c r="I245" s="265">
        <f>+'EV PROG CCIALES'!M456</f>
        <v>0</v>
      </c>
      <c r="J245" s="265">
        <f>+'EV PROG CCIALES'!N456</f>
        <v>0</v>
      </c>
      <c r="K245" s="265">
        <f>+'EV PROG CCIALES'!O456</f>
        <v>0</v>
      </c>
      <c r="L245" s="265">
        <f>+'EV PROG CCIALES'!P456</f>
        <v>0</v>
      </c>
      <c r="M245" s="265">
        <f>+'EV PROG CCIALES'!Q456</f>
        <v>0</v>
      </c>
      <c r="N245" s="265">
        <f>+'EV PROG CCIALES'!R456</f>
        <v>0</v>
      </c>
      <c r="O245" s="265">
        <f>+'EV PROG CCIALES'!S456</f>
        <v>0</v>
      </c>
      <c r="P245" s="265">
        <f>+'EV PROG CCIALES'!T456</f>
        <v>0</v>
      </c>
    </row>
    <row r="246" spans="2:16" ht="18" x14ac:dyDescent="0.25">
      <c r="B246" s="750" t="s">
        <v>569</v>
      </c>
      <c r="C246" s="734" t="s">
        <v>566</v>
      </c>
      <c r="D246" s="265">
        <f>+D241-D244</f>
        <v>73231212</v>
      </c>
      <c r="E246" s="265">
        <f>+E241-E244</f>
        <v>74430655.752000004</v>
      </c>
      <c r="F246" s="265">
        <f>+F241-F244</f>
        <v>76697929</v>
      </c>
      <c r="G246" s="265">
        <f t="shared" ref="G246:P246" si="102">+G241-G244</f>
        <v>79443376.444158807</v>
      </c>
      <c r="H246" s="265">
        <f t="shared" si="102"/>
        <v>81346804.018574134</v>
      </c>
      <c r="I246" s="265">
        <f t="shared" si="102"/>
        <v>83117762.153032988</v>
      </c>
      <c r="J246" s="265">
        <f t="shared" si="102"/>
        <v>84376813.900286376</v>
      </c>
      <c r="K246" s="265">
        <f t="shared" si="102"/>
        <v>85817253.249695092</v>
      </c>
      <c r="L246" s="265">
        <f t="shared" si="102"/>
        <v>87087721.932827741</v>
      </c>
      <c r="M246" s="265">
        <f t="shared" si="102"/>
        <v>87996585.401466116</v>
      </c>
      <c r="N246" s="265">
        <f t="shared" si="102"/>
        <v>89565016.865754709</v>
      </c>
      <c r="O246" s="265">
        <f t="shared" si="102"/>
        <v>91133448.330042839</v>
      </c>
      <c r="P246" s="265">
        <f t="shared" si="102"/>
        <v>92701879.794331446</v>
      </c>
    </row>
    <row r="247" spans="2:16" ht="18" x14ac:dyDescent="0.25">
      <c r="B247" s="750" t="s">
        <v>570</v>
      </c>
      <c r="C247" s="734" t="s">
        <v>566</v>
      </c>
      <c r="D247" s="265">
        <f>+D242+D245</f>
        <v>55779290</v>
      </c>
      <c r="E247" s="265">
        <f t="shared" ref="E247:P247" si="103">+E242+E245</f>
        <v>56646487</v>
      </c>
      <c r="F247" s="265">
        <f t="shared" si="103"/>
        <v>57114170</v>
      </c>
      <c r="G247" s="265">
        <f t="shared" si="103"/>
        <v>57381362.231400006</v>
      </c>
      <c r="H247" s="265">
        <f t="shared" si="103"/>
        <v>59731641</v>
      </c>
      <c r="I247" s="265">
        <f t="shared" si="103"/>
        <v>60100673</v>
      </c>
      <c r="J247" s="265">
        <f t="shared" si="103"/>
        <v>60553470</v>
      </c>
      <c r="K247" s="265">
        <f t="shared" si="103"/>
        <v>61116311</v>
      </c>
      <c r="L247" s="265">
        <f t="shared" si="103"/>
        <v>61473228.050212145</v>
      </c>
      <c r="M247" s="265">
        <f t="shared" si="103"/>
        <v>62103401.234457493</v>
      </c>
      <c r="N247" s="265">
        <f t="shared" si="103"/>
        <v>62733574.418702841</v>
      </c>
      <c r="O247" s="265">
        <f t="shared" si="103"/>
        <v>63363747.602948427</v>
      </c>
      <c r="P247" s="265">
        <f t="shared" si="103"/>
        <v>63993920.787194014</v>
      </c>
    </row>
    <row r="248" spans="2:16" ht="18" x14ac:dyDescent="0.25">
      <c r="B248" s="750" t="s">
        <v>571</v>
      </c>
      <c r="C248" s="734" t="s">
        <v>105</v>
      </c>
      <c r="D248" s="263">
        <f>IFERROR((D246-D247)/D246*100,0)</f>
        <v>23.831262003420072</v>
      </c>
      <c r="E248" s="263">
        <f t="shared" ref="E248:P248" si="104">IFERROR((E246-E247)/E246*100,0)</f>
        <v>23.893607509325392</v>
      </c>
      <c r="F248" s="263">
        <f t="shared" si="104"/>
        <v>25.533621644464482</v>
      </c>
      <c r="G248" s="263">
        <f t="shared" si="104"/>
        <v>27.770740872609203</v>
      </c>
      <c r="H248" s="263">
        <f t="shared" si="104"/>
        <v>26.571619228751363</v>
      </c>
      <c r="I248" s="263">
        <f t="shared" si="104"/>
        <v>27.692142517810904</v>
      </c>
      <c r="J248" s="263">
        <f t="shared" si="104"/>
        <v>28.234467265426716</v>
      </c>
      <c r="K248" s="263">
        <f t="shared" si="104"/>
        <v>28.783189060858057</v>
      </c>
      <c r="L248" s="263">
        <f t="shared" si="104"/>
        <v>29.412290635380835</v>
      </c>
      <c r="M248" s="263">
        <f t="shared" si="104"/>
        <v>29.425214681770157</v>
      </c>
      <c r="N248" s="263">
        <f t="shared" si="104"/>
        <v>29.95750281303291</v>
      </c>
      <c r="O248" s="263">
        <f t="shared" si="104"/>
        <v>30.471469296899102</v>
      </c>
      <c r="P248" s="263">
        <f t="shared" si="104"/>
        <v>30.968044090183461</v>
      </c>
    </row>
    <row r="249" spans="2:16" ht="18" x14ac:dyDescent="0.25">
      <c r="B249" s="750" t="s">
        <v>572</v>
      </c>
      <c r="C249" s="734" t="s">
        <v>573</v>
      </c>
      <c r="D249" s="266">
        <f>IFERROR(D246/(D243*12),0)</f>
        <v>19.163932521463877</v>
      </c>
      <c r="E249" s="266">
        <f t="shared" ref="E249:P249" si="105">IFERROR(E246/(E243*12),0)</f>
        <v>19.055350338861206</v>
      </c>
      <c r="F249" s="266">
        <f t="shared" si="105"/>
        <v>19.16995813987899</v>
      </c>
      <c r="G249" s="266">
        <f t="shared" si="105"/>
        <v>19.360989820256258</v>
      </c>
      <c r="H249" s="266">
        <f t="shared" si="105"/>
        <v>19.398159837238428</v>
      </c>
      <c r="I249" s="266">
        <f t="shared" si="105"/>
        <v>19.403427101899911</v>
      </c>
      <c r="J249" s="266">
        <f t="shared" si="105"/>
        <v>19.282708689906972</v>
      </c>
      <c r="K249" s="266">
        <f t="shared" si="105"/>
        <v>19.199109154678606</v>
      </c>
      <c r="L249" s="266">
        <f t="shared" si="105"/>
        <v>19.073260828386015</v>
      </c>
      <c r="M249" s="266">
        <f t="shared" si="105"/>
        <v>18.86667583442124</v>
      </c>
      <c r="N249" s="266">
        <f t="shared" si="105"/>
        <v>18.798774097644309</v>
      </c>
      <c r="O249" s="266">
        <f t="shared" si="105"/>
        <v>18.725372694880242</v>
      </c>
      <c r="P249" s="266">
        <f t="shared" si="105"/>
        <v>18.646733217040325</v>
      </c>
    </row>
    <row r="250" spans="2:16" ht="18" x14ac:dyDescent="0.25">
      <c r="B250" s="750" t="s">
        <v>574</v>
      </c>
      <c r="C250" s="734" t="s">
        <v>573</v>
      </c>
      <c r="D250" s="266">
        <f>IFERROR(D247/(D243*12),0)</f>
        <v>14.596925552115195</v>
      </c>
      <c r="E250" s="266">
        <f t="shared" ref="E250:P250" si="106">IFERROR(E247/(E243*12),0)</f>
        <v>14.502339719366804</v>
      </c>
      <c r="F250" s="266">
        <f t="shared" si="106"/>
        <v>14.275173559040066</v>
      </c>
      <c r="G250" s="266">
        <f t="shared" si="106"/>
        <v>13.984299506900646</v>
      </c>
      <c r="H250" s="266">
        <f t="shared" si="106"/>
        <v>14.243754667902856</v>
      </c>
      <c r="I250" s="266">
        <f t="shared" si="106"/>
        <v>14.030202415502243</v>
      </c>
      <c r="J250" s="266">
        <f t="shared" si="106"/>
        <v>13.838338616967595</v>
      </c>
      <c r="K250" s="266">
        <f t="shared" si="106"/>
        <v>13.672993268686955</v>
      </c>
      <c r="L250" s="266">
        <f t="shared" si="106"/>
        <v>13.463377919896875</v>
      </c>
      <c r="M250" s="266">
        <f t="shared" si="106"/>
        <v>13.315115966829138</v>
      </c>
      <c r="N250" s="266">
        <f t="shared" si="106"/>
        <v>13.167130818526813</v>
      </c>
      <c r="O250" s="266">
        <f t="shared" si="106"/>
        <v>13.01947650342988</v>
      </c>
      <c r="P250" s="266">
        <f t="shared" si="106"/>
        <v>12.872204653008394</v>
      </c>
    </row>
    <row r="251" spans="2:16" ht="18" x14ac:dyDescent="0.25">
      <c r="B251" s="750" t="s">
        <v>575</v>
      </c>
      <c r="C251" s="734" t="s">
        <v>573</v>
      </c>
      <c r="D251" s="266">
        <f>IFERROR(D249-D250,0)</f>
        <v>4.5670069693486823</v>
      </c>
      <c r="E251" s="266">
        <f t="shared" ref="E251:P251" si="107">IFERROR(E249-E250,0)</f>
        <v>4.5530106194944029</v>
      </c>
      <c r="F251" s="266">
        <f t="shared" si="107"/>
        <v>4.8947845808389232</v>
      </c>
      <c r="G251" s="266">
        <f t="shared" si="107"/>
        <v>5.3766903133556117</v>
      </c>
      <c r="H251" s="266">
        <f t="shared" si="107"/>
        <v>5.1544051693355719</v>
      </c>
      <c r="I251" s="266">
        <f t="shared" si="107"/>
        <v>5.373224686397668</v>
      </c>
      <c r="J251" s="266">
        <f t="shared" si="107"/>
        <v>5.4443700729393765</v>
      </c>
      <c r="K251" s="266">
        <f t="shared" si="107"/>
        <v>5.5261158859916506</v>
      </c>
      <c r="L251" s="266">
        <f t="shared" si="107"/>
        <v>5.6098829084891406</v>
      </c>
      <c r="M251" s="266">
        <f t="shared" si="107"/>
        <v>5.5515598675921023</v>
      </c>
      <c r="N251" s="266">
        <f t="shared" si="107"/>
        <v>5.6316432791174957</v>
      </c>
      <c r="O251" s="266">
        <f t="shared" si="107"/>
        <v>5.7058961914503623</v>
      </c>
      <c r="P251" s="266">
        <f t="shared" si="107"/>
        <v>5.7745285640319306</v>
      </c>
    </row>
    <row r="254" spans="2:16" ht="18" x14ac:dyDescent="0.25">
      <c r="B254" s="1083" t="s">
        <v>1017</v>
      </c>
      <c r="C254" s="301" t="s">
        <v>556</v>
      </c>
      <c r="D254" s="750" t="s">
        <v>557</v>
      </c>
      <c r="E254" s="750" t="s">
        <v>558</v>
      </c>
      <c r="F254" s="750" t="s">
        <v>559</v>
      </c>
      <c r="G254" s="750" t="s">
        <v>560</v>
      </c>
      <c r="H254" s="750" t="s">
        <v>561</v>
      </c>
      <c r="I254" s="750" t="s">
        <v>562</v>
      </c>
      <c r="J254" s="750" t="s">
        <v>563</v>
      </c>
      <c r="K254" s="750" t="s">
        <v>564</v>
      </c>
      <c r="L254" s="750" t="s">
        <v>565</v>
      </c>
      <c r="M254" s="750" t="s">
        <v>1029</v>
      </c>
      <c r="N254" s="750" t="s">
        <v>1030</v>
      </c>
      <c r="O254" s="750" t="s">
        <v>1031</v>
      </c>
      <c r="P254" s="750" t="s">
        <v>1032</v>
      </c>
    </row>
    <row r="255" spans="2:16" ht="18" x14ac:dyDescent="0.25">
      <c r="B255" s="750" t="s">
        <v>870</v>
      </c>
      <c r="C255" s="734" t="s">
        <v>566</v>
      </c>
      <c r="D255" s="265">
        <f>+$D$3</f>
        <v>73231212</v>
      </c>
      <c r="E255" s="265">
        <f>+$E$3</f>
        <v>74430655.752000004</v>
      </c>
      <c r="F255" s="265">
        <f>+$F$3</f>
        <v>76697929</v>
      </c>
      <c r="G255" s="265">
        <f>+$G$3</f>
        <v>79443376.444158807</v>
      </c>
      <c r="H255" s="265">
        <f>+$H$3</f>
        <v>81346804.018574134</v>
      </c>
      <c r="I255" s="265">
        <f>+$I$3</f>
        <v>83117762.153032988</v>
      </c>
      <c r="J255" s="265">
        <f>+$J$3</f>
        <v>84376813.900286376</v>
      </c>
      <c r="K255" s="265">
        <f>+$K$3</f>
        <v>85817253.249695092</v>
      </c>
      <c r="L255" s="265">
        <f>+$L$3</f>
        <v>87087721.932827741</v>
      </c>
      <c r="M255" s="265">
        <f>+$M$3</f>
        <v>87996585.401466116</v>
      </c>
      <c r="N255" s="265">
        <f>+$N$3</f>
        <v>89565016.865754709</v>
      </c>
      <c r="O255" s="265">
        <f>+$O$3</f>
        <v>91133448.330042839</v>
      </c>
      <c r="P255" s="265">
        <f>+$P$3</f>
        <v>92701879.794331446</v>
      </c>
    </row>
    <row r="256" spans="2:16" ht="18" x14ac:dyDescent="0.25">
      <c r="B256" s="750" t="s">
        <v>871</v>
      </c>
      <c r="C256" s="734" t="s">
        <v>566</v>
      </c>
      <c r="D256" s="265">
        <f>+$D$4</f>
        <v>55779290</v>
      </c>
      <c r="E256" s="265">
        <f>+$E$4</f>
        <v>56646487</v>
      </c>
      <c r="F256" s="265">
        <f>+$F$4</f>
        <v>57114170</v>
      </c>
      <c r="G256" s="265">
        <f>+$G$4</f>
        <v>57381362.231400006</v>
      </c>
      <c r="H256" s="265">
        <f>+$H$4</f>
        <v>59731641</v>
      </c>
      <c r="I256" s="265">
        <f>+$I$4</f>
        <v>60100673</v>
      </c>
      <c r="J256" s="265">
        <f>+$J$4</f>
        <v>60553470</v>
      </c>
      <c r="K256" s="265">
        <f>+$K$4</f>
        <v>61116311</v>
      </c>
      <c r="L256" s="265">
        <f>+$L$4</f>
        <v>61473228.050212145</v>
      </c>
      <c r="M256" s="265">
        <f>+$M$4</f>
        <v>62103401.234457493</v>
      </c>
      <c r="N256" s="265">
        <f>+$N$4</f>
        <v>62733574.418702841</v>
      </c>
      <c r="O256" s="265">
        <f>+$O$4</f>
        <v>63363747.602948427</v>
      </c>
      <c r="P256" s="265">
        <f>+$P$4</f>
        <v>63993920.787194014</v>
      </c>
    </row>
    <row r="257" spans="2:25" ht="18" x14ac:dyDescent="0.25">
      <c r="B257" s="750" t="s">
        <v>102</v>
      </c>
      <c r="C257" s="734" t="s">
        <v>566</v>
      </c>
      <c r="D257" s="265">
        <f>+$D$5</f>
        <v>318442</v>
      </c>
      <c r="E257" s="265">
        <f>+$E$5</f>
        <v>325502</v>
      </c>
      <c r="F257" s="265">
        <f>+$F$5</f>
        <v>333412</v>
      </c>
      <c r="G257" s="265">
        <f>+$G$5</f>
        <v>341939.19999999995</v>
      </c>
      <c r="H257" s="265">
        <f>+$H$5</f>
        <v>349461</v>
      </c>
      <c r="I257" s="265">
        <f>+$I$5</f>
        <v>356972</v>
      </c>
      <c r="J257" s="265">
        <f>+$J$5</f>
        <v>364648</v>
      </c>
      <c r="K257" s="265">
        <f>+$K$5</f>
        <v>372488</v>
      </c>
      <c r="L257" s="265">
        <f>+$L$5</f>
        <v>380496.56146201264</v>
      </c>
      <c r="M257" s="265">
        <f>+$M$5</f>
        <v>388677.30848890479</v>
      </c>
      <c r="N257" s="265">
        <f>+$N$5</f>
        <v>397033.94310243073</v>
      </c>
      <c r="O257" s="265">
        <f>+$O$5</f>
        <v>405570.24691850279</v>
      </c>
      <c r="P257" s="265">
        <f>+$P$5</f>
        <v>414290.08285848069</v>
      </c>
    </row>
    <row r="258" spans="2:25" ht="18" x14ac:dyDescent="0.25">
      <c r="B258" s="750" t="s">
        <v>567</v>
      </c>
      <c r="C258" s="734" t="s">
        <v>566</v>
      </c>
      <c r="D258" s="264">
        <f>D104</f>
        <v>0</v>
      </c>
      <c r="E258" s="264">
        <f t="shared" ref="E258:P258" si="108">E104</f>
        <v>0</v>
      </c>
      <c r="F258" s="264">
        <f t="shared" si="108"/>
        <v>0</v>
      </c>
      <c r="G258" s="264">
        <f t="shared" si="108"/>
        <v>0</v>
      </c>
      <c r="H258" s="264">
        <f>H104+PROG19[[#This Row],[2026]]</f>
        <v>0</v>
      </c>
      <c r="I258" s="264">
        <f>I104+PROG19[[#This Row],[2027]]</f>
        <v>0</v>
      </c>
      <c r="J258" s="264">
        <f>J104+PROG19[[#This Row],[2028]]</f>
        <v>0</v>
      </c>
      <c r="K258" s="264">
        <f t="shared" si="108"/>
        <v>0</v>
      </c>
      <c r="L258" s="264">
        <f t="shared" si="108"/>
        <v>0</v>
      </c>
      <c r="M258" s="264">
        <f t="shared" si="108"/>
        <v>0</v>
      </c>
      <c r="N258" s="264">
        <f t="shared" si="108"/>
        <v>0</v>
      </c>
      <c r="O258" s="264">
        <f t="shared" si="108"/>
        <v>0</v>
      </c>
      <c r="P258" s="264">
        <f t="shared" si="108"/>
        <v>0</v>
      </c>
    </row>
    <row r="259" spans="2:25" s="743" customFormat="1" ht="18" x14ac:dyDescent="0.25">
      <c r="B259" s="741" t="s">
        <v>568</v>
      </c>
      <c r="C259" s="742" t="s">
        <v>566</v>
      </c>
      <c r="D259" s="1434">
        <f>+'EV PROG CCIALES'!H457</f>
        <v>0</v>
      </c>
      <c r="E259" s="1434">
        <f>+'EV PROG CCIALES'!I457</f>
        <v>0</v>
      </c>
      <c r="F259" s="1434">
        <f>+'EV PROG CCIALES'!J457</f>
        <v>0</v>
      </c>
      <c r="G259" s="1434">
        <f>+'EV PROG CCIALES'!K457</f>
        <v>0</v>
      </c>
      <c r="H259" s="1434">
        <f>+'EV PROG CCIALES'!L457</f>
        <v>0</v>
      </c>
      <c r="I259" s="1434">
        <f>+'EV PROG CCIALES'!M457</f>
        <v>0</v>
      </c>
      <c r="J259" s="1434">
        <f>+'EV PROG CCIALES'!N457</f>
        <v>0</v>
      </c>
      <c r="K259" s="1434">
        <f>+'EV PROG CCIALES'!O457</f>
        <v>0</v>
      </c>
      <c r="L259" s="1434">
        <f>+'EV PROG CCIALES'!P457</f>
        <v>0</v>
      </c>
      <c r="M259" s="1434">
        <f>+'EV PROG CCIALES'!Q457</f>
        <v>0</v>
      </c>
      <c r="N259" s="1434">
        <f>+'EV PROG CCIALES'!R457</f>
        <v>0</v>
      </c>
      <c r="O259" s="1434">
        <f>+'EV PROG CCIALES'!S457</f>
        <v>0</v>
      </c>
      <c r="P259" s="1434">
        <f>+'EV PROG CCIALES'!T457</f>
        <v>0</v>
      </c>
    </row>
    <row r="260" spans="2:25" ht="18" x14ac:dyDescent="0.25">
      <c r="B260" s="750" t="s">
        <v>569</v>
      </c>
      <c r="C260" s="734" t="s">
        <v>566</v>
      </c>
      <c r="D260" s="265">
        <f>+D255-D258</f>
        <v>73231212</v>
      </c>
      <c r="E260" s="265">
        <f>+E255-E258</f>
        <v>74430655.752000004</v>
      </c>
      <c r="F260" s="265">
        <f>+F255-F258</f>
        <v>76697929</v>
      </c>
      <c r="G260" s="265">
        <f t="shared" ref="G260:P260" si="109">+G255-G258</f>
        <v>79443376.444158807</v>
      </c>
      <c r="H260" s="265">
        <f t="shared" si="109"/>
        <v>81346804.018574134</v>
      </c>
      <c r="I260" s="265">
        <f t="shared" si="109"/>
        <v>83117762.153032988</v>
      </c>
      <c r="J260" s="265">
        <f t="shared" si="109"/>
        <v>84376813.900286376</v>
      </c>
      <c r="K260" s="265">
        <f t="shared" si="109"/>
        <v>85817253.249695092</v>
      </c>
      <c r="L260" s="265">
        <f t="shared" si="109"/>
        <v>87087721.932827741</v>
      </c>
      <c r="M260" s="265">
        <f t="shared" si="109"/>
        <v>87996585.401466116</v>
      </c>
      <c r="N260" s="265">
        <f t="shared" si="109"/>
        <v>89565016.865754709</v>
      </c>
      <c r="O260" s="265">
        <f t="shared" si="109"/>
        <v>91133448.330042839</v>
      </c>
      <c r="P260" s="265">
        <f t="shared" si="109"/>
        <v>92701879.794331446</v>
      </c>
    </row>
    <row r="261" spans="2:25" ht="18" x14ac:dyDescent="0.25">
      <c r="B261" s="750" t="s">
        <v>570</v>
      </c>
      <c r="C261" s="734" t="s">
        <v>566</v>
      </c>
      <c r="D261" s="265">
        <f>+D256+D259</f>
        <v>55779290</v>
      </c>
      <c r="E261" s="265">
        <f t="shared" ref="E261:P261" si="110">+E256+E259</f>
        <v>56646487</v>
      </c>
      <c r="F261" s="265">
        <f t="shared" si="110"/>
        <v>57114170</v>
      </c>
      <c r="G261" s="265">
        <f t="shared" si="110"/>
        <v>57381362.231400006</v>
      </c>
      <c r="H261" s="265">
        <f t="shared" si="110"/>
        <v>59731641</v>
      </c>
      <c r="I261" s="265">
        <f t="shared" si="110"/>
        <v>60100673</v>
      </c>
      <c r="J261" s="265">
        <f t="shared" si="110"/>
        <v>60553470</v>
      </c>
      <c r="K261" s="265">
        <f t="shared" si="110"/>
        <v>61116311</v>
      </c>
      <c r="L261" s="265">
        <f t="shared" si="110"/>
        <v>61473228.050212145</v>
      </c>
      <c r="M261" s="265">
        <f t="shared" si="110"/>
        <v>62103401.234457493</v>
      </c>
      <c r="N261" s="265">
        <f t="shared" si="110"/>
        <v>62733574.418702841</v>
      </c>
      <c r="O261" s="265">
        <f t="shared" si="110"/>
        <v>63363747.602948427</v>
      </c>
      <c r="P261" s="265">
        <f t="shared" si="110"/>
        <v>63993920.787194014</v>
      </c>
    </row>
    <row r="262" spans="2:25" ht="18" x14ac:dyDescent="0.25">
      <c r="B262" s="750" t="s">
        <v>571</v>
      </c>
      <c r="C262" s="734" t="s">
        <v>105</v>
      </c>
      <c r="D262" s="263">
        <f>IFERROR((D260-D261)/D260*100,0)</f>
        <v>23.831262003420072</v>
      </c>
      <c r="E262" s="263">
        <f t="shared" ref="E262:P262" si="111">IFERROR((E260-E261)/E260*100,0)</f>
        <v>23.893607509325392</v>
      </c>
      <c r="F262" s="263">
        <f t="shared" si="111"/>
        <v>25.533621644464482</v>
      </c>
      <c r="G262" s="263">
        <f t="shared" si="111"/>
        <v>27.770740872609203</v>
      </c>
      <c r="H262" s="263">
        <f t="shared" si="111"/>
        <v>26.571619228751363</v>
      </c>
      <c r="I262" s="263">
        <f t="shared" si="111"/>
        <v>27.692142517810904</v>
      </c>
      <c r="J262" s="263">
        <f t="shared" si="111"/>
        <v>28.234467265426716</v>
      </c>
      <c r="K262" s="263">
        <f t="shared" si="111"/>
        <v>28.783189060858057</v>
      </c>
      <c r="L262" s="263">
        <f t="shared" si="111"/>
        <v>29.412290635380835</v>
      </c>
      <c r="M262" s="263">
        <f t="shared" si="111"/>
        <v>29.425214681770157</v>
      </c>
      <c r="N262" s="263">
        <f t="shared" si="111"/>
        <v>29.95750281303291</v>
      </c>
      <c r="O262" s="263">
        <f t="shared" si="111"/>
        <v>30.471469296899102</v>
      </c>
      <c r="P262" s="263">
        <f t="shared" si="111"/>
        <v>30.968044090183461</v>
      </c>
    </row>
    <row r="263" spans="2:25" ht="18" x14ac:dyDescent="0.25">
      <c r="B263" s="750" t="s">
        <v>572</v>
      </c>
      <c r="C263" s="734" t="s">
        <v>573</v>
      </c>
      <c r="D263" s="266">
        <f>IFERROR(D260/(D257*12),0)</f>
        <v>19.163932521463877</v>
      </c>
      <c r="E263" s="266">
        <f t="shared" ref="E263:P263" si="112">IFERROR(E260/(E257*12),0)</f>
        <v>19.055350338861206</v>
      </c>
      <c r="F263" s="266">
        <f t="shared" si="112"/>
        <v>19.16995813987899</v>
      </c>
      <c r="G263" s="266">
        <f t="shared" si="112"/>
        <v>19.360989820256258</v>
      </c>
      <c r="H263" s="266">
        <f t="shared" si="112"/>
        <v>19.398159837238428</v>
      </c>
      <c r="I263" s="266">
        <f t="shared" si="112"/>
        <v>19.403427101899911</v>
      </c>
      <c r="J263" s="266">
        <f t="shared" si="112"/>
        <v>19.282708689906972</v>
      </c>
      <c r="K263" s="266">
        <f t="shared" si="112"/>
        <v>19.199109154678606</v>
      </c>
      <c r="L263" s="266">
        <f t="shared" si="112"/>
        <v>19.073260828386015</v>
      </c>
      <c r="M263" s="266">
        <f t="shared" si="112"/>
        <v>18.86667583442124</v>
      </c>
      <c r="N263" s="266">
        <f t="shared" si="112"/>
        <v>18.798774097644309</v>
      </c>
      <c r="O263" s="266">
        <f t="shared" si="112"/>
        <v>18.725372694880242</v>
      </c>
      <c r="P263" s="266">
        <f t="shared" si="112"/>
        <v>18.646733217040325</v>
      </c>
    </row>
    <row r="264" spans="2:25" ht="18" x14ac:dyDescent="0.25">
      <c r="B264" s="750" t="s">
        <v>574</v>
      </c>
      <c r="C264" s="734" t="s">
        <v>573</v>
      </c>
      <c r="D264" s="266">
        <f>IFERROR(D261/(D257*12),0)</f>
        <v>14.596925552115195</v>
      </c>
      <c r="E264" s="266">
        <f t="shared" ref="E264:P264" si="113">IFERROR(E261/(E257*12),0)</f>
        <v>14.502339719366804</v>
      </c>
      <c r="F264" s="266">
        <f t="shared" si="113"/>
        <v>14.275173559040066</v>
      </c>
      <c r="G264" s="266">
        <f t="shared" si="113"/>
        <v>13.984299506900646</v>
      </c>
      <c r="H264" s="266">
        <f t="shared" si="113"/>
        <v>14.243754667902856</v>
      </c>
      <c r="I264" s="266">
        <f t="shared" si="113"/>
        <v>14.030202415502243</v>
      </c>
      <c r="J264" s="266">
        <f t="shared" si="113"/>
        <v>13.838338616967595</v>
      </c>
      <c r="K264" s="266">
        <f t="shared" si="113"/>
        <v>13.672993268686955</v>
      </c>
      <c r="L264" s="266">
        <f t="shared" si="113"/>
        <v>13.463377919896875</v>
      </c>
      <c r="M264" s="266">
        <f t="shared" si="113"/>
        <v>13.315115966829138</v>
      </c>
      <c r="N264" s="266">
        <f t="shared" si="113"/>
        <v>13.167130818526813</v>
      </c>
      <c r="O264" s="266">
        <f t="shared" si="113"/>
        <v>13.01947650342988</v>
      </c>
      <c r="P264" s="266">
        <f t="shared" si="113"/>
        <v>12.872204653008394</v>
      </c>
    </row>
    <row r="265" spans="2:25" ht="18" x14ac:dyDescent="0.25">
      <c r="B265" s="750" t="s">
        <v>575</v>
      </c>
      <c r="C265" s="734" t="s">
        <v>573</v>
      </c>
      <c r="D265" s="266">
        <f>IFERROR(D263-D264,0)</f>
        <v>4.5670069693486823</v>
      </c>
      <c r="E265" s="266">
        <f t="shared" ref="E265:P265" si="114">IFERROR(E263-E264,0)</f>
        <v>4.5530106194944029</v>
      </c>
      <c r="F265" s="266">
        <f t="shared" si="114"/>
        <v>4.8947845808389232</v>
      </c>
      <c r="G265" s="266">
        <f t="shared" si="114"/>
        <v>5.3766903133556117</v>
      </c>
      <c r="H265" s="266">
        <f t="shared" si="114"/>
        <v>5.1544051693355719</v>
      </c>
      <c r="I265" s="266">
        <f t="shared" si="114"/>
        <v>5.373224686397668</v>
      </c>
      <c r="J265" s="266">
        <f t="shared" si="114"/>
        <v>5.4443700729393765</v>
      </c>
      <c r="K265" s="266">
        <f t="shared" si="114"/>
        <v>5.5261158859916506</v>
      </c>
      <c r="L265" s="266">
        <f t="shared" si="114"/>
        <v>5.6098829084891406</v>
      </c>
      <c r="M265" s="266">
        <f t="shared" si="114"/>
        <v>5.5515598675921023</v>
      </c>
      <c r="N265" s="266">
        <f t="shared" si="114"/>
        <v>5.6316432791174957</v>
      </c>
      <c r="O265" s="266">
        <f t="shared" si="114"/>
        <v>5.7058961914503623</v>
      </c>
      <c r="P265" s="266">
        <f t="shared" si="114"/>
        <v>5.7745285640319306</v>
      </c>
    </row>
    <row r="269" spans="2:25" x14ac:dyDescent="0.25">
      <c r="B269" s="734" t="s">
        <v>878</v>
      </c>
      <c r="C269" s="734" t="s">
        <v>879</v>
      </c>
      <c r="D269" s="338" t="s">
        <v>880</v>
      </c>
      <c r="F269" s="922" t="s">
        <v>912</v>
      </c>
      <c r="G269" s="923" t="s">
        <v>880</v>
      </c>
    </row>
    <row r="270" spans="2:25" x14ac:dyDescent="0.25">
      <c r="B270" s="734">
        <v>1</v>
      </c>
      <c r="C270" s="907">
        <f>+SUM($D$6:$P$6)</f>
        <v>0</v>
      </c>
      <c r="D270" s="906" t="s">
        <v>591</v>
      </c>
      <c r="F270" s="924">
        <f>+Alternativas!E6</f>
        <v>0.11526204334035925</v>
      </c>
      <c r="G270" s="925" t="s">
        <v>591</v>
      </c>
      <c r="T270" s="743"/>
      <c r="U270" s="743" t="s">
        <v>922</v>
      </c>
      <c r="V270" s="743" t="s">
        <v>923</v>
      </c>
      <c r="W270" s="743"/>
      <c r="X270" s="743"/>
    </row>
    <row r="271" spans="2:25" x14ac:dyDescent="0.25">
      <c r="B271" s="734">
        <v>2</v>
      </c>
      <c r="C271" s="907">
        <f>+SUM($D$20:$P$20)</f>
        <v>0</v>
      </c>
      <c r="D271" s="908" t="s">
        <v>593</v>
      </c>
      <c r="F271" s="924">
        <f>+Alternativas!E7</f>
        <v>0.16640808110957192</v>
      </c>
      <c r="G271" s="926" t="s">
        <v>593</v>
      </c>
      <c r="T271" s="743" t="s">
        <v>919</v>
      </c>
      <c r="U271" s="937">
        <f>SUM(C270:C272,C274:C275,D258:P258)</f>
        <v>30954813.77892122</v>
      </c>
      <c r="V271" s="937">
        <f>SUM(C278:C282,C283:C285,D259:P259)</f>
        <v>7672468.6355888825</v>
      </c>
      <c r="W271" s="937">
        <f>V271+U271</f>
        <v>38627282.414510101</v>
      </c>
      <c r="X271" s="743"/>
      <c r="Y271" s="338" t="s">
        <v>932</v>
      </c>
    </row>
    <row r="272" spans="2:25" x14ac:dyDescent="0.25">
      <c r="B272" s="734">
        <v>3</v>
      </c>
      <c r="C272" s="907">
        <f>+SUM($D$34:$P$34)</f>
        <v>11089674.200000001</v>
      </c>
      <c r="D272" s="906" t="s">
        <v>594</v>
      </c>
      <c r="F272" s="924">
        <f>+Alternativas!E8</f>
        <v>0.90203731211702365</v>
      </c>
      <c r="G272" s="925" t="s">
        <v>594</v>
      </c>
      <c r="T272" s="743" t="s">
        <v>920</v>
      </c>
      <c r="U272" s="937">
        <f>SUM(C270:C275,D258:P258)</f>
        <v>31045253.328921221</v>
      </c>
      <c r="V272" s="937">
        <f>+SUM(C278:C283,C284:C286,D259:P259)</f>
        <v>8412582.6167459078</v>
      </c>
      <c r="W272" s="937">
        <f>V272+U272</f>
        <v>39457835.945667133</v>
      </c>
      <c r="X272" s="938">
        <f>(W271-W272)/W271</f>
        <v>-2.1501733470254157E-2</v>
      </c>
      <c r="Y272" s="939" t="s">
        <v>933</v>
      </c>
    </row>
    <row r="273" spans="2:25" x14ac:dyDescent="0.25">
      <c r="B273" s="734">
        <v>4</v>
      </c>
      <c r="C273" s="907">
        <f>+SUM($D$48:$P$48)</f>
        <v>90439.55</v>
      </c>
      <c r="D273" s="908" t="s">
        <v>595</v>
      </c>
      <c r="F273" s="924">
        <f>+Alternativas!E9</f>
        <v>0.54020600102370975</v>
      </c>
      <c r="G273" s="926" t="s">
        <v>595</v>
      </c>
      <c r="T273" s="743" t="s">
        <v>921</v>
      </c>
      <c r="U273" s="937">
        <f>SUM(C273:C275,D258:P258)</f>
        <v>19955579.128921218</v>
      </c>
      <c r="V273" s="937">
        <f>+SUM(C278:C283,C284:C286,D259:P259)</f>
        <v>8412582.6167459078</v>
      </c>
      <c r="W273" s="937">
        <f>V273+U273</f>
        <v>28368161.745667126</v>
      </c>
      <c r="X273" s="938">
        <f>(W272-W273)/W272</f>
        <v>0.28105125215864163</v>
      </c>
      <c r="Y273" s="338" t="s">
        <v>897</v>
      </c>
    </row>
    <row r="274" spans="2:25" x14ac:dyDescent="0.25">
      <c r="B274" s="734">
        <v>5</v>
      </c>
      <c r="C274" s="907">
        <f>+SUM($D$62:$P$62)</f>
        <v>4325103.1812214684</v>
      </c>
      <c r="D274" s="906" t="s">
        <v>597</v>
      </c>
      <c r="F274" s="924">
        <f>+Alternativas!E10</f>
        <v>1.1681686399292148</v>
      </c>
      <c r="G274" s="925" t="s">
        <v>597</v>
      </c>
    </row>
    <row r="275" spans="2:25" x14ac:dyDescent="0.25">
      <c r="B275" s="734">
        <v>6</v>
      </c>
      <c r="C275" s="907">
        <f>+SUM($D$76:$P$76)</f>
        <v>15540036.397699751</v>
      </c>
      <c r="D275" s="908" t="s">
        <v>598</v>
      </c>
      <c r="F275" s="924">
        <f>+Alternativas!E11</f>
        <v>1.1268774281485505</v>
      </c>
      <c r="G275" s="926" t="s">
        <v>598</v>
      </c>
    </row>
    <row r="276" spans="2:25" x14ac:dyDescent="0.25">
      <c r="B276" s="734">
        <v>7</v>
      </c>
      <c r="C276" s="907">
        <f>+SUM($D$90:$P$90)</f>
        <v>33746125.593602784</v>
      </c>
      <c r="D276" s="906" t="s">
        <v>599</v>
      </c>
      <c r="F276" s="924">
        <f>+Alternativas!E12</f>
        <v>0.72441677711317143</v>
      </c>
      <c r="G276" s="925" t="s">
        <v>599</v>
      </c>
    </row>
    <row r="277" spans="2:25" x14ac:dyDescent="0.25">
      <c r="B277" s="734">
        <v>8</v>
      </c>
      <c r="C277" s="909" t="s">
        <v>896</v>
      </c>
      <c r="D277" s="908"/>
      <c r="F277" s="927" t="s">
        <v>896</v>
      </c>
      <c r="G277" s="926"/>
    </row>
    <row r="278" spans="2:25" x14ac:dyDescent="0.25">
      <c r="B278" s="734">
        <v>9</v>
      </c>
      <c r="C278" s="907">
        <f>+SUM($D$119:$P$119)</f>
        <v>3761786</v>
      </c>
      <c r="D278" s="906" t="s">
        <v>1018</v>
      </c>
      <c r="F278" s="924">
        <f>+Alternativas!E14</f>
        <v>0.87410292007352164</v>
      </c>
      <c r="G278" s="925" t="s">
        <v>1018</v>
      </c>
    </row>
    <row r="279" spans="2:25" x14ac:dyDescent="0.25">
      <c r="B279" s="734">
        <v>10</v>
      </c>
      <c r="C279" s="907">
        <f>+SUM($D$133:$P$133)</f>
        <v>1812240</v>
      </c>
      <c r="D279" s="908" t="s">
        <v>1019</v>
      </c>
      <c r="F279" s="924">
        <f>+Alternativas!E15</f>
        <v>1.1307103274557662</v>
      </c>
      <c r="G279" s="926" t="s">
        <v>1019</v>
      </c>
    </row>
    <row r="280" spans="2:25" x14ac:dyDescent="0.25">
      <c r="B280" s="734">
        <v>11</v>
      </c>
      <c r="C280" s="907">
        <f>+SUM($D$147:$P$147)</f>
        <v>0</v>
      </c>
      <c r="D280" s="906" t="s">
        <v>1020</v>
      </c>
      <c r="F280" s="924">
        <f>+Alternativas!E16</f>
        <v>0</v>
      </c>
      <c r="G280" s="925" t="s">
        <v>1020</v>
      </c>
    </row>
    <row r="281" spans="2:25" x14ac:dyDescent="0.25">
      <c r="B281" s="734">
        <v>12</v>
      </c>
      <c r="C281" s="907">
        <f>+SUM($D$161:$P$161)</f>
        <v>240696.79238099116</v>
      </c>
      <c r="D281" s="908" t="s">
        <v>1021</v>
      </c>
      <c r="F281" s="924">
        <f>+Alternativas!E17</f>
        <v>1.1321635867895297</v>
      </c>
      <c r="G281" s="926" t="s">
        <v>1021</v>
      </c>
    </row>
    <row r="282" spans="2:25" x14ac:dyDescent="0.25">
      <c r="B282" s="734">
        <v>13</v>
      </c>
      <c r="C282" s="907">
        <f>+SUM($D$175:$P$175)</f>
        <v>663244.80000000016</v>
      </c>
      <c r="D282" s="906" t="s">
        <v>1022</v>
      </c>
      <c r="F282" s="924">
        <f>+Alternativas!E18</f>
        <v>1.5784435279108595</v>
      </c>
      <c r="G282" s="925" t="s">
        <v>1022</v>
      </c>
    </row>
    <row r="283" spans="2:25" x14ac:dyDescent="0.25">
      <c r="B283" s="734">
        <v>14</v>
      </c>
      <c r="C283" s="988">
        <f>+SUM($D$189:$P$189)</f>
        <v>17074.045034105649</v>
      </c>
      <c r="D283" s="908" t="s">
        <v>1023</v>
      </c>
      <c r="F283" s="924">
        <f>+Alternativas!E19</f>
        <v>1.7016572181802765</v>
      </c>
      <c r="G283" s="926" t="s">
        <v>1023</v>
      </c>
    </row>
    <row r="284" spans="2:25" x14ac:dyDescent="0.25">
      <c r="B284" s="734">
        <v>15</v>
      </c>
      <c r="C284" s="907">
        <f>+SUM($D$203:$P$203)</f>
        <v>105072</v>
      </c>
      <c r="D284" s="906" t="s">
        <v>1024</v>
      </c>
      <c r="F284" s="924">
        <f>+Alternativas!E20</f>
        <v>1.029862557009561</v>
      </c>
      <c r="G284" s="925" t="s">
        <v>1024</v>
      </c>
    </row>
    <row r="285" spans="2:25" x14ac:dyDescent="0.25">
      <c r="B285" s="734">
        <v>16</v>
      </c>
      <c r="C285" s="907">
        <f>+SUM($D$217:$P$217)</f>
        <v>1072354.9981737854</v>
      </c>
      <c r="D285" s="908" t="s">
        <v>1025</v>
      </c>
      <c r="F285" s="924">
        <f>+Alternativas!E21</f>
        <v>2.9371731653855657</v>
      </c>
      <c r="G285" s="926" t="s">
        <v>1025</v>
      </c>
    </row>
    <row r="286" spans="2:25" x14ac:dyDescent="0.25">
      <c r="B286" s="734">
        <v>17</v>
      </c>
      <c r="C286" s="907">
        <f>+SUM($D$231:$P$231)</f>
        <v>740113.98115702497</v>
      </c>
      <c r="D286" s="906" t="s">
        <v>1026</v>
      </c>
      <c r="F286" s="924">
        <f>+Alternativas!E22</f>
        <v>1.995348708648444</v>
      </c>
      <c r="G286" s="925" t="s">
        <v>1026</v>
      </c>
    </row>
    <row r="287" spans="2:25" x14ac:dyDescent="0.25">
      <c r="B287" s="734">
        <v>18</v>
      </c>
      <c r="C287" s="907">
        <f>+SUM($D$245:$P$245)</f>
        <v>0</v>
      </c>
      <c r="D287" s="908" t="s">
        <v>1027</v>
      </c>
      <c r="F287" s="924">
        <f>+Alternativas!E23</f>
        <v>0</v>
      </c>
      <c r="G287" s="926" t="s">
        <v>1027</v>
      </c>
    </row>
    <row r="288" spans="2:25" x14ac:dyDescent="0.25">
      <c r="B288" s="734">
        <v>19</v>
      </c>
      <c r="C288" s="907">
        <f>+SUM($D$259:$P$259)+SUM($D$104:$P$104)</f>
        <v>0</v>
      </c>
      <c r="D288" s="908" t="s">
        <v>1028</v>
      </c>
      <c r="F288" s="924">
        <f>+Alternativas!E24</f>
        <v>0</v>
      </c>
      <c r="G288" s="925" t="s">
        <v>1028</v>
      </c>
    </row>
    <row r="290" spans="3:6" x14ac:dyDescent="0.25">
      <c r="C290" s="907">
        <f>SUM(C270:C276,D258:P258)</f>
        <v>64791378.922524005</v>
      </c>
      <c r="D290" s="962">
        <f>C290/10</f>
        <v>6479137.8922524005</v>
      </c>
      <c r="E290" s="751"/>
      <c r="F290" s="751"/>
    </row>
    <row r="291" spans="3:6" x14ac:dyDescent="0.25">
      <c r="C291" s="907">
        <f>SUM(C278:C288)-SUM(D258:P258)</f>
        <v>8412582.6167459078</v>
      </c>
      <c r="D291" s="962">
        <f>C291/10</f>
        <v>841258.26167459076</v>
      </c>
      <c r="E291" s="751"/>
    </row>
    <row r="293" spans="3:6" x14ac:dyDescent="0.25">
      <c r="C293" s="907">
        <f>SUM(C290:C291)</f>
        <v>73203961.539269909</v>
      </c>
      <c r="D293" s="751"/>
    </row>
    <row r="294" spans="3:6" x14ac:dyDescent="0.25">
      <c r="C294" s="907"/>
    </row>
    <row r="295" spans="3:6" x14ac:dyDescent="0.25">
      <c r="C295" s="907"/>
    </row>
  </sheetData>
  <phoneticPr fontId="9" type="noConversion"/>
  <pageMargins left="0.7" right="0.7" top="0.75" bottom="0.75" header="0.3" footer="0.3"/>
  <pageSetup orientation="portrait" r:id="rId1"/>
  <drawing r:id="rId2"/>
  <legacyDrawing r:id="rId3"/>
  <tableParts count="20">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39">
    <tabColor theme="7"/>
  </sheetPr>
  <dimension ref="A1:AV247"/>
  <sheetViews>
    <sheetView tabSelected="1" zoomScale="70" zoomScaleNormal="70" workbookViewId="0">
      <selection activeCell="I4" sqref="I4"/>
    </sheetView>
  </sheetViews>
  <sheetFormatPr baseColWidth="10" defaultColWidth="11" defaultRowHeight="15" x14ac:dyDescent="0.25"/>
  <cols>
    <col min="1" max="1" width="62.375" style="722" customWidth="1"/>
    <col min="2" max="2" width="19.625" style="722" customWidth="1"/>
    <col min="3" max="3" width="35.375" style="723" customWidth="1"/>
    <col min="4" max="4" width="33.25" style="724" customWidth="1"/>
    <col min="5" max="5" width="30.625" style="723" customWidth="1"/>
    <col min="6" max="6" width="5.125" style="722" customWidth="1"/>
    <col min="7" max="7" width="3.25" style="725" customWidth="1"/>
    <col min="8" max="8" width="70.25" style="726" customWidth="1"/>
    <col min="9" max="9" width="45.375" style="726" customWidth="1"/>
    <col min="10" max="10" width="17" style="726" customWidth="1"/>
    <col min="11" max="22" width="20" style="726" customWidth="1"/>
    <col min="23" max="23" width="12" style="726" customWidth="1"/>
    <col min="24" max="25" width="8.875" style="726" customWidth="1"/>
    <col min="26" max="26" width="9.125" style="726" customWidth="1"/>
    <col min="27" max="27" width="8.875" style="726" customWidth="1"/>
    <col min="28" max="28" width="3.25" style="726" hidden="1" customWidth="1"/>
    <col min="29" max="29" width="4" style="729" hidden="1" customWidth="1"/>
    <col min="30" max="30" width="5.875" style="729" hidden="1" customWidth="1"/>
    <col min="31" max="31" width="3" style="729" hidden="1" customWidth="1"/>
    <col min="32" max="40" width="4" style="729" hidden="1" customWidth="1"/>
    <col min="41" max="47" width="4" style="729" customWidth="1"/>
    <col min="48" max="48" width="4.75" style="729" customWidth="1"/>
    <col min="49" max="16384" width="11" style="726"/>
  </cols>
  <sheetData>
    <row r="1" spans="1:39" x14ac:dyDescent="0.25">
      <c r="H1" s="1859" t="s">
        <v>583</v>
      </c>
      <c r="I1" s="1859"/>
      <c r="J1" s="1859"/>
      <c r="K1" s="1859"/>
      <c r="L1" s="1859"/>
      <c r="M1" s="1859"/>
      <c r="N1" s="1859"/>
      <c r="O1" s="1859"/>
      <c r="P1" s="1859"/>
      <c r="Q1" s="1859"/>
      <c r="R1" s="1859"/>
      <c r="S1" s="1859"/>
      <c r="T1" s="1859"/>
      <c r="U1" s="1859"/>
      <c r="AB1" s="727"/>
      <c r="AC1" s="728">
        <v>1</v>
      </c>
      <c r="AD1" s="729">
        <v>2</v>
      </c>
      <c r="AE1" s="729">
        <v>3</v>
      </c>
      <c r="AF1" s="729">
        <v>5</v>
      </c>
      <c r="AG1" s="729">
        <v>6</v>
      </c>
      <c r="AH1" s="729">
        <v>9</v>
      </c>
      <c r="AI1" s="729">
        <v>10</v>
      </c>
      <c r="AJ1" s="729">
        <v>13</v>
      </c>
      <c r="AK1" s="729">
        <v>14</v>
      </c>
      <c r="AL1" s="729">
        <v>16</v>
      </c>
      <c r="AM1" s="729">
        <v>17</v>
      </c>
    </row>
    <row r="2" spans="1:39" ht="18.75" customHeight="1" x14ac:dyDescent="0.25">
      <c r="H2" s="1859"/>
      <c r="I2" s="1859"/>
      <c r="J2" s="1859"/>
      <c r="K2" s="1859"/>
      <c r="L2" s="1859"/>
      <c r="M2" s="1859"/>
      <c r="N2" s="1859"/>
      <c r="O2" s="1859"/>
      <c r="P2" s="1859"/>
      <c r="Q2" s="1859"/>
      <c r="R2" s="1859"/>
      <c r="S2" s="1859"/>
      <c r="T2" s="1859"/>
      <c r="U2" s="1859"/>
      <c r="AC2" s="729">
        <v>1</v>
      </c>
      <c r="AD2" s="747">
        <f>+COUNTIF($AC$1:$AU$1,AC2)</f>
        <v>1</v>
      </c>
    </row>
    <row r="3" spans="1:39" ht="15" customHeight="1" x14ac:dyDescent="0.25">
      <c r="H3" s="1852" t="s">
        <v>584</v>
      </c>
      <c r="I3" s="1852"/>
      <c r="P3" s="1860" t="s">
        <v>1049</v>
      </c>
      <c r="Q3" s="1860"/>
      <c r="R3" s="1860"/>
      <c r="S3" s="1862">
        <v>4</v>
      </c>
      <c r="AC3" s="729">
        <v>2</v>
      </c>
      <c r="AD3" s="747">
        <f t="shared" ref="AD3:AD20" si="0">+COUNTIF($AC$1:$AU$1,AC3)</f>
        <v>1</v>
      </c>
    </row>
    <row r="4" spans="1:39" x14ac:dyDescent="0.25">
      <c r="A4" s="737" t="s">
        <v>893</v>
      </c>
      <c r="B4" s="916" t="s">
        <v>1283</v>
      </c>
      <c r="D4" s="737" t="s">
        <v>903</v>
      </c>
      <c r="E4" s="1436">
        <v>1</v>
      </c>
      <c r="H4" s="730" t="s">
        <v>585</v>
      </c>
      <c r="I4" s="731" t="s">
        <v>1350</v>
      </c>
      <c r="J4" s="732" t="s">
        <v>586</v>
      </c>
      <c r="K4" s="745">
        <f>+SUM(IF($I$7="SI",C6,0),IF(Alternativas!$J$7="SI",C7,0),IF($K$7="SI",C8,0),IF(Alternativas!$L$7="SI",C9,0),IF(Alternativas!$M$7="SI",C10,0),IF(Alternativas!$N$7="SI",C11,0),IF(Alternativas!$O$7="SI",C12,0),IF(Alternativas!$P$7="SI",C13,0),IF(Alternativas!$Q$7="SI",C14,0),IF(Alternativas!$R$7="SI",C15,0),IF(Alternativas!$S$7="SI",C16,0),IF(Alternativas!$T$7="SI",C17,0),IF(Alternativas!$U$7="SI",C18,0),IF(Alternativas!$V$7="SI",C19,0),IF(Alternativas!$W$7="SI",C20,0),IF(Alternativas!$X$7="SI",C21,0),IF(Alternativas!$Y$7="SI",C22,0),IF(Alternativas!$Z$7="SI",C23,0),IF(Alternativas!$AA$7="SI",C24,0))</f>
        <v>35704391420.319641</v>
      </c>
      <c r="M4" s="733"/>
      <c r="O4" s="1693"/>
      <c r="P4" s="1860"/>
      <c r="Q4" s="1860"/>
      <c r="R4" s="1860"/>
      <c r="S4" s="1862"/>
      <c r="AC4" s="729">
        <v>3</v>
      </c>
      <c r="AD4" s="747">
        <f t="shared" si="0"/>
        <v>1</v>
      </c>
    </row>
    <row r="5" spans="1:39" x14ac:dyDescent="0.25">
      <c r="B5" s="734" t="s">
        <v>587</v>
      </c>
      <c r="C5" s="735" t="s">
        <v>588</v>
      </c>
      <c r="D5" s="736" t="s">
        <v>589</v>
      </c>
      <c r="E5" s="735" t="s">
        <v>667</v>
      </c>
      <c r="H5" s="730" t="s">
        <v>668</v>
      </c>
      <c r="I5" s="1712">
        <f>IFERROR(ROUND(VLOOKUP(I4,$A$37:$C$51,2,FALSE),2),"")</f>
        <v>1.1000000000000001</v>
      </c>
      <c r="J5" s="732" t="s">
        <v>590</v>
      </c>
      <c r="K5" s="745">
        <f>+SUM(IF($I$7="SI",D6,0),IF(Alternativas!$J$7="SI",D7,0),IF($K$7="SI",D8,0),IF(Alternativas!$L$7="SI",D9,0),IF(Alternativas!$M$7="SI",D10,0),IF(Alternativas!$N$7="SI",D11,0),IF(Alternativas!$O$7="SI",D12,0),IF(Alternativas!$P$7="SI",D13,0),IF(Alternativas!$Q$7="SI",D14,0),IF(Alternativas!$R$7="SI",D15,0),IF(Alternativas!$S$7="SI",D16,0),IF(Alternativas!$T$7="SI",D17,0),IF(Alternativas!$U$7="SI",D18,0),IF(Alternativas!$V$7="SI",D19,0),IF(Alternativas!$W$7="SI",D20,0),IF(Alternativas!$X$7="SI",D21,0),IF(Alternativas!$Y$7="SI",D22,0),IF(Alternativas!$Z$7="SI",D23,0),IF(Alternativas!$AA$7="SI",D24,0))</f>
        <v>32339526542.294743</v>
      </c>
      <c r="P5" s="1861"/>
      <c r="Q5" s="1861"/>
      <c r="R5" s="1861"/>
      <c r="S5" s="1863"/>
      <c r="AC5" s="729">
        <v>4</v>
      </c>
      <c r="AD5" s="747">
        <f t="shared" si="0"/>
        <v>0</v>
      </c>
    </row>
    <row r="6" spans="1:39" x14ac:dyDescent="0.25">
      <c r="A6" s="1084" t="s">
        <v>591</v>
      </c>
      <c r="B6" s="1087">
        <v>1</v>
      </c>
      <c r="C6" s="1088">
        <f>+'BC TÉCNICO P1'!C32</f>
        <v>97037803.679377079</v>
      </c>
      <c r="D6" s="1088">
        <f>+'BC TÉCNICO P1'!C34</f>
        <v>841888629.31080008</v>
      </c>
      <c r="E6" s="1089">
        <f>+IFERROR(PROGRAMAS[[#This Row],[VNA Ingresos]]/PROGRAMAS[[#This Row],[VNA Egresos+Inversión]],0)</f>
        <v>0.11526204334035925</v>
      </c>
      <c r="H6" s="1864" t="s">
        <v>592</v>
      </c>
      <c r="I6" s="738">
        <v>1</v>
      </c>
      <c r="J6" s="738">
        <v>2</v>
      </c>
      <c r="K6" s="738">
        <v>3</v>
      </c>
      <c r="L6" s="738">
        <v>4</v>
      </c>
      <c r="M6" s="738">
        <v>5</v>
      </c>
      <c r="N6" s="738">
        <v>6</v>
      </c>
      <c r="O6" s="738">
        <v>7</v>
      </c>
      <c r="P6" s="738">
        <v>8</v>
      </c>
      <c r="Q6" s="738">
        <v>9</v>
      </c>
      <c r="R6" s="738">
        <v>10</v>
      </c>
      <c r="S6" s="738">
        <v>11</v>
      </c>
      <c r="T6" s="738">
        <v>12</v>
      </c>
      <c r="U6" s="738">
        <v>13</v>
      </c>
      <c r="V6" s="738">
        <v>14</v>
      </c>
      <c r="W6" s="738">
        <v>15</v>
      </c>
      <c r="X6" s="738">
        <v>16</v>
      </c>
      <c r="Y6" s="738">
        <v>17</v>
      </c>
      <c r="Z6" s="738">
        <v>18</v>
      </c>
      <c r="AA6" s="738">
        <v>19</v>
      </c>
      <c r="AC6" s="729">
        <v>5</v>
      </c>
      <c r="AD6" s="747">
        <f t="shared" si="0"/>
        <v>1</v>
      </c>
    </row>
    <row r="7" spans="1:39" x14ac:dyDescent="0.25">
      <c r="A7" s="1084" t="s">
        <v>593</v>
      </c>
      <c r="B7" s="1087">
        <v>2</v>
      </c>
      <c r="C7" s="1088">
        <f>+'BC TÉCNICO P2'!C32</f>
        <v>640501509.6821388</v>
      </c>
      <c r="D7" s="1088">
        <f>+'BC TÉCNICO P2'!C34</f>
        <v>3848980803.1642323</v>
      </c>
      <c r="E7" s="1089">
        <f>+IFERROR(PROGRAMAS[[#This Row],[VNA Ingresos]]/PROGRAMAS[[#This Row],[VNA Egresos+Inversión]],0)</f>
        <v>0.16640808110957192</v>
      </c>
      <c r="H7" s="1864"/>
      <c r="I7" s="746" t="str">
        <f>+IF(AD2=1,"SI","")</f>
        <v>SI</v>
      </c>
      <c r="J7" s="746" t="str">
        <f>+IF(AD3=1,"SI","")</f>
        <v>SI</v>
      </c>
      <c r="K7" s="746" t="str">
        <f>+IF(AD4=1,"SI","")</f>
        <v>SI</v>
      </c>
      <c r="L7" s="746" t="str">
        <f>+IF(AD5=1,"SI","")</f>
        <v/>
      </c>
      <c r="M7" s="746" t="str">
        <f>+IF(AD6=1,"SI","")</f>
        <v>SI</v>
      </c>
      <c r="N7" s="746" t="str">
        <f>+IF(AD7=1,"SI","")</f>
        <v>SI</v>
      </c>
      <c r="O7" s="746" t="str">
        <f>+IF(AD8=1,"SI","")</f>
        <v/>
      </c>
      <c r="P7" s="961" t="str">
        <f>+IF(AD9=1,"SI","")</f>
        <v/>
      </c>
      <c r="Q7" s="746" t="str">
        <f>+IF(AD10=1,"SI","")</f>
        <v>SI</v>
      </c>
      <c r="R7" s="746" t="str">
        <f>+IF(AD11=1,"SI","")</f>
        <v>SI</v>
      </c>
      <c r="S7" s="746" t="str">
        <f>+IF(AD12=1,"SI","")</f>
        <v/>
      </c>
      <c r="T7" s="746" t="str">
        <f>+IF(AD13=1,"SI","")</f>
        <v/>
      </c>
      <c r="U7" s="746" t="str">
        <f>+IF(AD14=1,"SI","")</f>
        <v>SI</v>
      </c>
      <c r="V7" s="746" t="str">
        <f>+IF(AD15=1,"SI","")</f>
        <v>SI</v>
      </c>
      <c r="W7" s="746" t="str">
        <f>+IF(AD16=1,"SI","")</f>
        <v/>
      </c>
      <c r="X7" s="746" t="str">
        <f>+IF(AD17=1,"SI","")</f>
        <v>SI</v>
      </c>
      <c r="Y7" s="746" t="str">
        <f>+IF(AD18=1,"SI","")</f>
        <v>SI</v>
      </c>
      <c r="Z7" s="746" t="str">
        <f>+IF(AD19=1,"SI","")</f>
        <v/>
      </c>
      <c r="AA7" s="746" t="str">
        <f>+IF(AD20=1,"SI","")</f>
        <v/>
      </c>
      <c r="AC7" s="729">
        <v>6</v>
      </c>
      <c r="AD7" s="747">
        <f t="shared" si="0"/>
        <v>1</v>
      </c>
    </row>
    <row r="8" spans="1:39" x14ac:dyDescent="0.25">
      <c r="A8" s="1084" t="s">
        <v>594</v>
      </c>
      <c r="B8" s="1087">
        <v>3</v>
      </c>
      <c r="C8" s="1088">
        <f>+'BC TÉCNICO P3'!C32</f>
        <v>3062327798.1525245</v>
      </c>
      <c r="D8" s="1088">
        <f>+'BC TÉCNICO P3'!C34</f>
        <v>3394901471.387517</v>
      </c>
      <c r="E8" s="1089">
        <f>+IFERROR(PROGRAMAS[[#This Row],[VNA Ingresos]]/PROGRAMAS[[#This Row],[VNA Egresos+Inversión]],0)</f>
        <v>0.90203731211702365</v>
      </c>
      <c r="AC8" s="729">
        <v>7</v>
      </c>
      <c r="AD8" s="747">
        <f t="shared" si="0"/>
        <v>0</v>
      </c>
    </row>
    <row r="9" spans="1:39" ht="18" x14ac:dyDescent="0.25">
      <c r="A9" s="1084" t="s">
        <v>595</v>
      </c>
      <c r="B9" s="1087">
        <v>4</v>
      </c>
      <c r="C9" s="1088">
        <f>+'BC TÉCNICO P4'!C32</f>
        <v>67697118.033011258</v>
      </c>
      <c r="D9" s="1088">
        <f>+'BC TÉCNICO P4'!C34</f>
        <v>125317226.95549992</v>
      </c>
      <c r="E9" s="1089">
        <f>+IFERROR(PROGRAMAS[[#This Row],[VNA Ingresos]]/PROGRAMAS[[#This Row],[VNA Egresos+Inversión]],0)</f>
        <v>0.54020600102370975</v>
      </c>
      <c r="H9" s="740" t="s">
        <v>584</v>
      </c>
      <c r="I9" s="740" t="s">
        <v>596</v>
      </c>
      <c r="J9" s="741" t="s">
        <v>557</v>
      </c>
      <c r="K9" s="741" t="s">
        <v>558</v>
      </c>
      <c r="L9" s="741" t="s">
        <v>559</v>
      </c>
      <c r="M9" s="741" t="s">
        <v>560</v>
      </c>
      <c r="N9" s="741" t="s">
        <v>561</v>
      </c>
      <c r="O9" s="741" t="s">
        <v>562</v>
      </c>
      <c r="P9" s="741" t="s">
        <v>563</v>
      </c>
      <c r="Q9" s="741" t="s">
        <v>564</v>
      </c>
      <c r="R9" s="741" t="s">
        <v>565</v>
      </c>
      <c r="S9" s="741" t="s">
        <v>1029</v>
      </c>
      <c r="T9" s="741" t="s">
        <v>1030</v>
      </c>
      <c r="U9" s="741" t="s">
        <v>1031</v>
      </c>
      <c r="V9" s="741" t="s">
        <v>1032</v>
      </c>
      <c r="AC9">
        <v>8</v>
      </c>
      <c r="AD9" s="747">
        <f t="shared" si="0"/>
        <v>0</v>
      </c>
    </row>
    <row r="10" spans="1:39" ht="18" x14ac:dyDescent="0.25">
      <c r="A10" s="1084" t="s">
        <v>597</v>
      </c>
      <c r="B10" s="1087">
        <v>5</v>
      </c>
      <c r="C10" s="1088">
        <f>+'BC TÉCNICO P5'!C32</f>
        <v>1440941976.2528784</v>
      </c>
      <c r="D10" s="1088">
        <f>+'BC TÉCNICO P5'!C34</f>
        <v>1233505101.0616004</v>
      </c>
      <c r="E10" s="1089">
        <f>+IFERROR(PROGRAMAS[[#This Row],[VNA Ingresos]]/PROGRAMAS[[#This Row],[VNA Egresos+Inversión]],0)</f>
        <v>1.1681686399292148</v>
      </c>
      <c r="H10" s="741" t="s">
        <v>891</v>
      </c>
      <c r="I10" s="742" t="s">
        <v>566</v>
      </c>
      <c r="J10" s="265">
        <f>+'Consolidado Programas'!D3</f>
        <v>73231212</v>
      </c>
      <c r="K10" s="265">
        <f>+'Consolidado Programas'!E3</f>
        <v>74430655.752000004</v>
      </c>
      <c r="L10" s="265">
        <f>+'Consolidado Programas'!F3</f>
        <v>76697929</v>
      </c>
      <c r="M10" s="265">
        <f>+'Consolidado Programas'!G3</f>
        <v>79443376.444158807</v>
      </c>
      <c r="N10" s="265">
        <f>+'Consolidado Programas'!H3</f>
        <v>81346804.018574134</v>
      </c>
      <c r="O10" s="265">
        <f>+'Consolidado Programas'!I3</f>
        <v>83117762.153032988</v>
      </c>
      <c r="P10" s="265">
        <f>+'Consolidado Programas'!J3</f>
        <v>84376813.900286376</v>
      </c>
      <c r="Q10" s="265">
        <f>+'Consolidado Programas'!K3</f>
        <v>85817253.249695092</v>
      </c>
      <c r="R10" s="265">
        <f>+'Consolidado Programas'!L3</f>
        <v>87087721.932827741</v>
      </c>
      <c r="S10" s="265">
        <f>+'Consolidado Programas'!M3</f>
        <v>87996585.401466116</v>
      </c>
      <c r="T10" s="265">
        <f>+'Consolidado Programas'!N3</f>
        <v>89565016.865754709</v>
      </c>
      <c r="U10" s="265">
        <f>+'Consolidado Programas'!O3</f>
        <v>91133448.330042839</v>
      </c>
      <c r="V10" s="265">
        <f>+'Consolidado Programas'!P3</f>
        <v>92701879.794331446</v>
      </c>
      <c r="AC10">
        <v>9</v>
      </c>
      <c r="AD10" s="747">
        <f t="shared" si="0"/>
        <v>1</v>
      </c>
    </row>
    <row r="11" spans="1:39" ht="18" x14ac:dyDescent="0.25">
      <c r="A11" s="1084" t="s">
        <v>598</v>
      </c>
      <c r="B11" s="1087">
        <v>6</v>
      </c>
      <c r="C11" s="1088">
        <f>+'BC TÉCNICO P6'!C32</f>
        <v>6907648435.8447599</v>
      </c>
      <c r="D11" s="1088">
        <f>+'BC TÉCNICO P6'!C34</f>
        <v>6129902208.7912121</v>
      </c>
      <c r="E11" s="1089">
        <f>+IFERROR(PROGRAMAS[[#This Row],[VNA Ingresos]]/PROGRAMAS[[#This Row],[VNA Egresos+Inversión]],0)</f>
        <v>1.1268774281485505</v>
      </c>
      <c r="H11" s="741" t="s">
        <v>892</v>
      </c>
      <c r="I11" s="742" t="s">
        <v>566</v>
      </c>
      <c r="J11" s="265">
        <f>+'Consolidado Programas'!D4</f>
        <v>55779290</v>
      </c>
      <c r="K11" s="265">
        <f>+'Consolidado Programas'!E4</f>
        <v>56646487</v>
      </c>
      <c r="L11" s="265">
        <f>+'Consolidado Programas'!F4</f>
        <v>57114170</v>
      </c>
      <c r="M11" s="265">
        <f>+'Consolidado Programas'!G4</f>
        <v>57381362.231400006</v>
      </c>
      <c r="N11" s="265">
        <f>+'Consolidado Programas'!H4</f>
        <v>59731641</v>
      </c>
      <c r="O11" s="265">
        <f>+'Consolidado Programas'!I4</f>
        <v>60100673</v>
      </c>
      <c r="P11" s="265">
        <f>+'Consolidado Programas'!J4</f>
        <v>60553470</v>
      </c>
      <c r="Q11" s="265">
        <f>+'Consolidado Programas'!K4</f>
        <v>61116311</v>
      </c>
      <c r="R11" s="265">
        <f>+'Consolidado Programas'!L4</f>
        <v>61473228.050212145</v>
      </c>
      <c r="S11" s="265">
        <f>+'Consolidado Programas'!M4</f>
        <v>62103401.234457493</v>
      </c>
      <c r="T11" s="265">
        <f>+'Consolidado Programas'!N4</f>
        <v>62733574.418702841</v>
      </c>
      <c r="U11" s="265">
        <f>+'Consolidado Programas'!O4</f>
        <v>63363747.602948427</v>
      </c>
      <c r="V11" s="265">
        <f>+'Consolidado Programas'!P4</f>
        <v>63993920.787194014</v>
      </c>
      <c r="AC11">
        <v>10</v>
      </c>
      <c r="AD11" s="747">
        <f t="shared" si="0"/>
        <v>1</v>
      </c>
    </row>
    <row r="12" spans="1:39" ht="18" x14ac:dyDescent="0.25">
      <c r="A12" s="1084" t="s">
        <v>599</v>
      </c>
      <c r="B12" s="1087">
        <v>7</v>
      </c>
      <c r="C12" s="1088">
        <f>+'BC TÉCNICO P7'!C32</f>
        <v>14761179569.421179</v>
      </c>
      <c r="D12" s="1088">
        <f>+'BC TÉCNICO P7'!C34</f>
        <v>20376639575.142151</v>
      </c>
      <c r="E12" s="1089">
        <f>+IFERROR(PROGRAMAS[[#This Row],[VNA Ingresos]]/PROGRAMAS[[#This Row],[VNA Egresos+Inversión]],0)</f>
        <v>0.72441677711317143</v>
      </c>
      <c r="H12" s="741" t="s">
        <v>102</v>
      </c>
      <c r="I12" s="742" t="s">
        <v>566</v>
      </c>
      <c r="J12" s="265">
        <f>+'Consolidado Programas'!D5</f>
        <v>318442</v>
      </c>
      <c r="K12" s="265">
        <f>+'Consolidado Programas'!E5</f>
        <v>325502</v>
      </c>
      <c r="L12" s="265">
        <f>+'Consolidado Programas'!F5</f>
        <v>333412</v>
      </c>
      <c r="M12" s="265">
        <f>+'Consolidado Programas'!G5</f>
        <v>341939.19999999995</v>
      </c>
      <c r="N12" s="265">
        <f>+'Consolidado Programas'!H5</f>
        <v>349461</v>
      </c>
      <c r="O12" s="265">
        <f>+'Consolidado Programas'!I5</f>
        <v>356972</v>
      </c>
      <c r="P12" s="265">
        <f>+'Consolidado Programas'!J5</f>
        <v>364648</v>
      </c>
      <c r="Q12" s="265">
        <f>+'Consolidado Programas'!K5</f>
        <v>372488</v>
      </c>
      <c r="R12" s="265">
        <f>+'Consolidado Programas'!L5</f>
        <v>380496.56146201264</v>
      </c>
      <c r="S12" s="265">
        <f>+'Consolidado Programas'!M5</f>
        <v>388677.30848890479</v>
      </c>
      <c r="T12" s="265">
        <f>+'Consolidado Programas'!N5</f>
        <v>397033.94310243073</v>
      </c>
      <c r="U12" s="265">
        <f>+'Consolidado Programas'!O5</f>
        <v>405570.24691850279</v>
      </c>
      <c r="V12" s="265">
        <f>+'Consolidado Programas'!P5</f>
        <v>414290.08285848069</v>
      </c>
      <c r="AC12">
        <v>11</v>
      </c>
      <c r="AD12" s="747">
        <f t="shared" si="0"/>
        <v>0</v>
      </c>
    </row>
    <row r="13" spans="1:39" ht="18" x14ac:dyDescent="0.25">
      <c r="A13" s="1084" t="s">
        <v>600</v>
      </c>
      <c r="B13" s="1087">
        <v>8</v>
      </c>
      <c r="C13" s="1090" t="s">
        <v>896</v>
      </c>
      <c r="D13" s="1088"/>
      <c r="E13" s="1089"/>
      <c r="H13" s="741" t="s">
        <v>567</v>
      </c>
      <c r="I13" s="742" t="s">
        <v>566</v>
      </c>
      <c r="J13" s="293">
        <f>+SUM(IF($I$7="SI",'Consolidado Programas'!D6,0),IF(Alternativas!$J$7="SI",'Consolidado Programas'!D20,0),IF($K$7="SI",'Consolidado Programas'!D34,0),IF(Alternativas!$L$7="SI",'Consolidado Programas'!D48,0),IF(Alternativas!$M$7="SI",'Consolidado Programas'!D62,0),IF(Alternativas!$N$7="SI",'Consolidado Programas'!D76,0),IF(Alternativas!$O$7="SI",'Consolidado Programas'!D90,0),IF(Alternativas!$P$7="SI",'Consolidado Programas'!D104,0),IF(Alternativas!$Q$7="SI",'Consolidado Programas'!D118,0),IF(Alternativas!$R$7="SI",'Consolidado Programas'!D132,0),IF(Alternativas!$S$7="SI",'Consolidado Programas'!D146,0),IF(Alternativas!$T$7="SI",'Consolidado Programas'!D160,0),IF(Alternativas!$U$7="SI",'Consolidado Programas'!D174,0),IF(Alternativas!$V$7="SI",'Consolidado Programas'!D188,0),IF(Alternativas!$W$7="SI",'Consolidado Programas'!D202,0),IF(Alternativas!$X$7="SI",'Consolidado Programas'!D216,0),IF(Alternativas!$Y$7="SI",'Consolidado Programas'!D230,0),IF(Alternativas!$Z$7="SI",'Consolidado Programas'!D244,0),IF(Alternativas!$AA$7="SI",'Consolidado Programas'!D258,0))</f>
        <v>0</v>
      </c>
      <c r="K13" s="293">
        <f>+SUM(IF($I$7="SI",'Consolidado Programas'!E6,0),IF(Alternativas!$J$7="SI",'Consolidado Programas'!E20,0),IF($K$7="SI",'Consolidado Programas'!E34,0),IF(Alternativas!$L$7="SI",'Consolidado Programas'!E48,0),IF(Alternativas!$M$7="SI",'Consolidado Programas'!E62,0),IF(Alternativas!$N$7="SI",'Consolidado Programas'!E76,0),IF(Alternativas!$O$7="SI",'Consolidado Programas'!E90,0),IF(Alternativas!$P$7="SI",'Consolidado Programas'!E104,0),IF(Alternativas!$Q$7="SI",'Consolidado Programas'!E118,0),IF(Alternativas!$R$7="SI",'Consolidado Programas'!E132,0),IF(Alternativas!$S$7="SI",'Consolidado Programas'!E146,0),IF(Alternativas!$T$7="SI",'Consolidado Programas'!E160,0),IF(Alternativas!$U$7="SI",'Consolidado Programas'!E174,0),IF(Alternativas!$V$7="SI",'Consolidado Programas'!E188,0),IF(Alternativas!$W$7="SI",'Consolidado Programas'!E202,0),IF(Alternativas!$X$7="SI",'Consolidado Programas'!E216,0),IF(Alternativas!$Y$7="SI",'Consolidado Programas'!E230,0),IF(Alternativas!$Z$7="SI",'Consolidado Programas'!E244,0),IF(Alternativas!$AA$7="SI",'Consolidado Programas'!E258,0))</f>
        <v>0</v>
      </c>
      <c r="L13" s="293">
        <f>+SUM(IF($I$7="SI",'Consolidado Programas'!F6,0),IF(Alternativas!$J$7="SI",'Consolidado Programas'!F20,0),IF($K$7="SI",'Consolidado Programas'!F34,0),IF(Alternativas!$L$7="SI",'Consolidado Programas'!F48,0),IF(Alternativas!$M$7="SI",'Consolidado Programas'!F62,0),IF(Alternativas!$N$7="SI",'Consolidado Programas'!F76,0),IF(Alternativas!$O$7="SI",'Consolidado Programas'!F90,0),IF(Alternativas!$P$7="SI",'Consolidado Programas'!F104,0),IF(Alternativas!$Q$7="SI",'Consolidado Programas'!F118,0),IF(Alternativas!$R$7="SI",'Consolidado Programas'!F132,0),IF(Alternativas!$S$7="SI",'Consolidado Programas'!F146,0),IF(Alternativas!$T$7="SI",'Consolidado Programas'!F160,0),IF(Alternativas!$U$7="SI",'Consolidado Programas'!F174,0),IF(Alternativas!$V$7="SI",'Consolidado Programas'!F188,0),IF(Alternativas!$W$7="SI",'Consolidado Programas'!F202,0),IF(Alternativas!$X$7="SI",'Consolidado Programas'!F216,0),IF(Alternativas!$Y$7="SI",'Consolidado Programas'!F230,0),IF(Alternativas!$Z$7="SI",'Consolidado Programas'!F244,0),IF(Alternativas!$AA$7="SI",'Consolidado Programas'!F258,0))</f>
        <v>0</v>
      </c>
      <c r="M13" s="293">
        <f>+SUM(IF($I$7="SI",'Consolidado Programas'!G6,0),IF(Alternativas!$J$7="SI",'Consolidado Programas'!G20,0),IF($K$7="SI",'Consolidado Programas'!G34,0),IF(Alternativas!$L$7="SI",'Consolidado Programas'!G48,0),IF(Alternativas!$M$7="SI",'Consolidado Programas'!G62,0),IF(Alternativas!$N$7="SI",'Consolidado Programas'!G76,0),IF(Alternativas!$O$7="SI",'Consolidado Programas'!G90,0),IF(Alternativas!$P$7="SI",'Consolidado Programas'!G104,0),IF(Alternativas!$Q$7="SI",'Consolidado Programas'!G118,0),IF(Alternativas!$R$7="SI",'Consolidado Programas'!G132,0),IF(Alternativas!$S$7="SI",'Consolidado Programas'!G146,0),IF(Alternativas!$T$7="SI",'Consolidado Programas'!G160,0),IF(Alternativas!$U$7="SI",'Consolidado Programas'!G174,0),IF(Alternativas!$V$7="SI",'Consolidado Programas'!G188,0),IF(Alternativas!$W$7="SI",'Consolidado Programas'!G202,0),IF(Alternativas!$X$7="SI",'Consolidado Programas'!G216,0),IF(Alternativas!$Y$7="SI",'Consolidado Programas'!G230,0),IF(Alternativas!$Z$7="SI",'Consolidado Programas'!G244,0),IF(Alternativas!$AA$7="SI",'Consolidado Programas'!G258,0))</f>
        <v>847139.72604797326</v>
      </c>
      <c r="N13" s="293">
        <f>+SUM(IF($I$7="SI",'Consolidado Programas'!H6,0),IF(Alternativas!$J$7="SI",'Consolidado Programas'!H20,0),IF($K$7="SI",'Consolidado Programas'!H34,0),IF(Alternativas!$L$7="SI",'Consolidado Programas'!H48,0),IF(Alternativas!$M$7="SI",'Consolidado Programas'!H62,0),IF(Alternativas!$N$7="SI",'Consolidado Programas'!H76,0),IF(Alternativas!$O$7="SI",'Consolidado Programas'!H90,0),IF(Alternativas!$P$7="SI",'Consolidado Programas'!H104,0),IF(Alternativas!$Q$7="SI",'Consolidado Programas'!H118,0),IF(Alternativas!$R$7="SI",'Consolidado Programas'!H132,0),IF(Alternativas!$S$7="SI",'Consolidado Programas'!H146,0),IF(Alternativas!$T$7="SI",'Consolidado Programas'!H160,0),IF(Alternativas!$U$7="SI",'Consolidado Programas'!H174,0),IF(Alternativas!$V$7="SI",'Consolidado Programas'!H188,0),IF(Alternativas!$W$7="SI",'Consolidado Programas'!H202,0),IF(Alternativas!$X$7="SI",'Consolidado Programas'!H216,0),IF(Alternativas!$Y$7="SI",'Consolidado Programas'!H230,0),IF(Alternativas!$Z$7="SI",'Consolidado Programas'!H244,0),IF(Alternativas!$AA$7="SI",'Consolidado Programas'!H258,0))</f>
        <v>3412233.3046364491</v>
      </c>
      <c r="O13" s="293">
        <f>+SUM(IF($I$7="SI",'Consolidado Programas'!I6,0),IF(Alternativas!$J$7="SI",'Consolidado Programas'!I20,0),IF($K$7="SI",'Consolidado Programas'!I34,0),IF(Alternativas!$L$7="SI",'Consolidado Programas'!I48,0),IF(Alternativas!$M$7="SI",'Consolidado Programas'!I62,0),IF(Alternativas!$N$7="SI",'Consolidado Programas'!I76,0),IF(Alternativas!$O$7="SI",'Consolidado Programas'!I90,0),IF(Alternativas!$P$7="SI",'Consolidado Programas'!I104,0),IF(Alternativas!$Q$7="SI",'Consolidado Programas'!I118,0),IF(Alternativas!$R$7="SI",'Consolidado Programas'!I132,0),IF(Alternativas!$S$7="SI",'Consolidado Programas'!I146,0),IF(Alternativas!$T$7="SI",'Consolidado Programas'!I160,0),IF(Alternativas!$U$7="SI",'Consolidado Programas'!I174,0),IF(Alternativas!$V$7="SI",'Consolidado Programas'!I188,0),IF(Alternativas!$W$7="SI",'Consolidado Programas'!I202,0),IF(Alternativas!$X$7="SI",'Consolidado Programas'!I216,0),IF(Alternativas!$Y$7="SI",'Consolidado Programas'!I230,0),IF(Alternativas!$Z$7="SI",'Consolidado Programas'!I244,0),IF(Alternativas!$AA$7="SI",'Consolidado Programas'!I258,0))</f>
        <v>2924466.2989655468</v>
      </c>
      <c r="P13" s="293">
        <f>+SUM(IF($I$7="SI",'Consolidado Programas'!J6,0),IF(Alternativas!$J$7="SI",'Consolidado Programas'!J20,0),IF($K$7="SI",'Consolidado Programas'!J34,0),IF(Alternativas!$L$7="SI",'Consolidado Programas'!J48,0),IF(Alternativas!$M$7="SI",'Consolidado Programas'!J62,0),IF(Alternativas!$N$7="SI",'Consolidado Programas'!J76,0),IF(Alternativas!$O$7="SI",'Consolidado Programas'!J90,0),IF(Alternativas!$P$7="SI",'Consolidado Programas'!J104,0),IF(Alternativas!$Q$7="SI",'Consolidado Programas'!J118,0),IF(Alternativas!$R$7="SI",'Consolidado Programas'!J132,0),IF(Alternativas!$S$7="SI",'Consolidado Programas'!J146,0),IF(Alternativas!$T$7="SI",'Consolidado Programas'!J160,0),IF(Alternativas!$U$7="SI",'Consolidado Programas'!J174,0),IF(Alternativas!$V$7="SI",'Consolidado Programas'!J188,0),IF(Alternativas!$W$7="SI",'Consolidado Programas'!J202,0),IF(Alternativas!$X$7="SI",'Consolidado Programas'!J216,0),IF(Alternativas!$Y$7="SI",'Consolidado Programas'!J230,0),IF(Alternativas!$Z$7="SI",'Consolidado Programas'!J244,0),IF(Alternativas!$AA$7="SI",'Consolidado Programas'!J258,0))</f>
        <v>1933499.2702090975</v>
      </c>
      <c r="Q13" s="293">
        <f>+SUM(IF($I$7="SI",'Consolidado Programas'!K6,0),IF(Alternativas!$J$7="SI",'Consolidado Programas'!K20,0),IF($K$7="SI",'Consolidado Programas'!K34,0),IF(Alternativas!$L$7="SI",'Consolidado Programas'!K48,0),IF(Alternativas!$M$7="SI",'Consolidado Programas'!K62,0),IF(Alternativas!$N$7="SI",'Consolidado Programas'!K76,0),IF(Alternativas!$O$7="SI",'Consolidado Programas'!K90,0),IF(Alternativas!$P$7="SI",'Consolidado Programas'!K104,0),IF(Alternativas!$Q$7="SI",'Consolidado Programas'!K118,0),IF(Alternativas!$R$7="SI",'Consolidado Programas'!K132,0),IF(Alternativas!$S$7="SI",'Consolidado Programas'!K146,0),IF(Alternativas!$T$7="SI",'Consolidado Programas'!K160,0),IF(Alternativas!$U$7="SI",'Consolidado Programas'!K174,0),IF(Alternativas!$V$7="SI",'Consolidado Programas'!K188,0),IF(Alternativas!$W$7="SI",'Consolidado Programas'!K202,0),IF(Alternativas!$X$7="SI",'Consolidado Programas'!K216,0),IF(Alternativas!$Y$7="SI",'Consolidado Programas'!K230,0),IF(Alternativas!$Z$7="SI",'Consolidado Programas'!K244,0),IF(Alternativas!$AA$7="SI",'Consolidado Programas'!K258,0))</f>
        <v>2395237.5646942938</v>
      </c>
      <c r="R13" s="293">
        <f>+SUM(IF($I$7="SI",'Consolidado Programas'!L6,0),IF(Alternativas!$J$7="SI",'Consolidado Programas'!L20,0),IF($K$7="SI",'Consolidado Programas'!L34,0),IF(Alternativas!$L$7="SI",'Consolidado Programas'!L48,0),IF(Alternativas!$M$7="SI",'Consolidado Programas'!L62,0),IF(Alternativas!$N$7="SI",'Consolidado Programas'!L76,0),IF(Alternativas!$O$7="SI",'Consolidado Programas'!L90,0),IF(Alternativas!$P$7="SI",'Consolidado Programas'!L104,0),IF(Alternativas!$Q$7="SI",'Consolidado Programas'!L118,0),IF(Alternativas!$R$7="SI",'Consolidado Programas'!L132,0),IF(Alternativas!$S$7="SI",'Consolidado Programas'!L146,0),IF(Alternativas!$T$7="SI",'Consolidado Programas'!L160,0),IF(Alternativas!$U$7="SI",'Consolidado Programas'!L174,0),IF(Alternativas!$V$7="SI",'Consolidado Programas'!L188,0),IF(Alternativas!$W$7="SI",'Consolidado Programas'!L202,0),IF(Alternativas!$X$7="SI",'Consolidado Programas'!L216,0),IF(Alternativas!$Y$7="SI",'Consolidado Programas'!L230,0),IF(Alternativas!$Z$7="SI",'Consolidado Programas'!L244,0),IF(Alternativas!$AA$7="SI",'Consolidado Programas'!L258,0))</f>
        <v>2895103.8503575018</v>
      </c>
      <c r="S13" s="293">
        <f>+SUM(IF($I$7="SI",'Consolidado Programas'!M6,0),IF(Alternativas!$J$7="SI",'Consolidado Programas'!M20,0),IF($K$7="SI",'Consolidado Programas'!M34,0),IF(Alternativas!$L$7="SI",'Consolidado Programas'!M48,0),IF(Alternativas!$M$7="SI",'Consolidado Programas'!M62,0),IF(Alternativas!$N$7="SI",'Consolidado Programas'!M76,0),IF(Alternativas!$O$7="SI",'Consolidado Programas'!M90,0),IF(Alternativas!$P$7="SI",'Consolidado Programas'!M104,0),IF(Alternativas!$Q$7="SI",'Consolidado Programas'!M118,0),IF(Alternativas!$R$7="SI",'Consolidado Programas'!M132,0),IF(Alternativas!$S$7="SI",'Consolidado Programas'!M146,0),IF(Alternativas!$T$7="SI",'Consolidado Programas'!M160,0),IF(Alternativas!$U$7="SI",'Consolidado Programas'!M174,0),IF(Alternativas!$V$7="SI",'Consolidado Programas'!M188,0),IF(Alternativas!$W$7="SI",'Consolidado Programas'!M202,0),IF(Alternativas!$X$7="SI",'Consolidado Programas'!M216,0),IF(Alternativas!$Y$7="SI",'Consolidado Programas'!M230,0),IF(Alternativas!$Z$7="SI",'Consolidado Programas'!M244,0),IF(Alternativas!$AA$7="SI",'Consolidado Programas'!M258,0))</f>
        <v>3262817.1215118035</v>
      </c>
      <c r="T13" s="293">
        <f>+SUM(IF($I$7="SI",'Consolidado Programas'!N6,0),IF(Alternativas!$J$7="SI",'Consolidado Programas'!N20,0),IF($K$7="SI",'Consolidado Programas'!N34,0),IF(Alternativas!$L$7="SI",'Consolidado Programas'!N48,0),IF(Alternativas!$M$7="SI",'Consolidado Programas'!N62,0),IF(Alternativas!$N$7="SI",'Consolidado Programas'!N76,0),IF(Alternativas!$O$7="SI",'Consolidado Programas'!N90,0),IF(Alternativas!$P$7="SI",'Consolidado Programas'!N104,0),IF(Alternativas!$Q$7="SI",'Consolidado Programas'!N118,0),IF(Alternativas!$R$7="SI",'Consolidado Programas'!N132,0),IF(Alternativas!$S$7="SI",'Consolidado Programas'!N146,0),IF(Alternativas!$T$7="SI",'Consolidado Programas'!N160,0),IF(Alternativas!$U$7="SI",'Consolidado Programas'!N174,0),IF(Alternativas!$V$7="SI",'Consolidado Programas'!N188,0),IF(Alternativas!$W$7="SI",'Consolidado Programas'!N202,0),IF(Alternativas!$X$7="SI",'Consolidado Programas'!N216,0),IF(Alternativas!$Y$7="SI",'Consolidado Programas'!N230,0),IF(Alternativas!$Z$7="SI",'Consolidado Programas'!N244,0),IF(Alternativas!$AA$7="SI",'Consolidado Programas'!N258,0))</f>
        <v>3969065.224593054</v>
      </c>
      <c r="U13" s="293">
        <f>+SUM(IF($I$7="SI",'Consolidado Programas'!O6,0),IF(Alternativas!$J$7="SI",'Consolidado Programas'!O20,0),IF($K$7="SI",'Consolidado Programas'!O34,0),IF(Alternativas!$L$7="SI",'Consolidado Programas'!O48,0),IF(Alternativas!$M$7="SI",'Consolidado Programas'!O62,0),IF(Alternativas!$N$7="SI",'Consolidado Programas'!O76,0),IF(Alternativas!$O$7="SI",'Consolidado Programas'!O90,0),IF(Alternativas!$P$7="SI",'Consolidado Programas'!O104,0),IF(Alternativas!$Q$7="SI",'Consolidado Programas'!O118,0),IF(Alternativas!$R$7="SI",'Consolidado Programas'!O132,0),IF(Alternativas!$S$7="SI",'Consolidado Programas'!O146,0),IF(Alternativas!$T$7="SI",'Consolidado Programas'!O160,0),IF(Alternativas!$U$7="SI",'Consolidado Programas'!O174,0),IF(Alternativas!$V$7="SI",'Consolidado Programas'!O188,0),IF(Alternativas!$W$7="SI",'Consolidado Programas'!O202,0),IF(Alternativas!$X$7="SI",'Consolidado Programas'!O216,0),IF(Alternativas!$Y$7="SI",'Consolidado Programas'!O230,0),IF(Alternativas!$Z$7="SI",'Consolidado Programas'!O244,0),IF(Alternativas!$AA$7="SI",'Consolidado Programas'!O258,0))</f>
        <v>4391694.099934034</v>
      </c>
      <c r="V13" s="293">
        <f>+SUM(IF($I$7="SI",'Consolidado Programas'!P6,0),IF(Alternativas!$J$7="SI",'Consolidado Programas'!P20,0),IF($K$7="SI",'Consolidado Programas'!P34,0),IF(Alternativas!$L$7="SI",'Consolidado Programas'!P48,0),IF(Alternativas!$M$7="SI",'Consolidado Programas'!P62,0),IF(Alternativas!$N$7="SI",'Consolidado Programas'!P76,0),IF(Alternativas!$O$7="SI",'Consolidado Programas'!P90,0),IF(Alternativas!$P$7="SI",'Consolidado Programas'!P104,0),IF(Alternativas!$Q$7="SI",'Consolidado Programas'!P118,0),IF(Alternativas!$R$7="SI",'Consolidado Programas'!P132,0),IF(Alternativas!$S$7="SI",'Consolidado Programas'!P146,0),IF(Alternativas!$T$7="SI",'Consolidado Programas'!P160,0),IF(Alternativas!$U$7="SI",'Consolidado Programas'!P174,0),IF(Alternativas!$V$7="SI",'Consolidado Programas'!P188,0),IF(Alternativas!$W$7="SI",'Consolidado Programas'!P202,0),IF(Alternativas!$X$7="SI",'Consolidado Programas'!P216,0),IF(Alternativas!$Y$7="SI",'Consolidado Programas'!P230,0),IF(Alternativas!$Z$7="SI",'Consolidado Programas'!P244,0),IF(Alternativas!$AA$7="SI",'Consolidado Programas'!P258,0))</f>
        <v>4923557.3179714661</v>
      </c>
      <c r="AC13">
        <v>12</v>
      </c>
      <c r="AD13" s="747">
        <f t="shared" si="0"/>
        <v>0</v>
      </c>
    </row>
    <row r="14" spans="1:39" ht="18" x14ac:dyDescent="0.25">
      <c r="A14" s="1085" t="s">
        <v>1018</v>
      </c>
      <c r="B14" s="1091">
        <v>9</v>
      </c>
      <c r="C14" s="1088">
        <f>+'BC COMERCIAL P9'!C34</f>
        <v>6128579952.1618185</v>
      </c>
      <c r="D14" s="1088">
        <f>+'BC COMERCIAL P9'!C36</f>
        <v>7011279577.519702</v>
      </c>
      <c r="E14" s="1089">
        <f>+IFERROR(PROGRAMAS[[#This Row],[VNA Ingresos]]/PROGRAMAS[[#This Row],[VNA Egresos+Inversión]],0)</f>
        <v>0.87410292007352164</v>
      </c>
      <c r="H14" s="741" t="s">
        <v>568</v>
      </c>
      <c r="I14" s="742" t="s">
        <v>566</v>
      </c>
      <c r="J14" s="294">
        <f>+SUM(IF($I$7="SI",'Consolidado Programas'!D7,0),IF(Alternativas!$J$7="SI",'Consolidado Programas'!D21,0),IF($K$7="SI",'Consolidado Programas'!D35,0),IF(Alternativas!$L$7="SI",'Consolidado Programas'!D49,0),IF(Alternativas!$M$7="SI",'Consolidado Programas'!D63,0),IF(Alternativas!$N$7="SI",'Consolidado Programas'!D77,0),IF(Alternativas!$O$7="SI",'Consolidado Programas'!D91,0),IF(Alternativas!$P$7="SI",'Consolidado Programas'!D105,0),IF(Alternativas!$Q$7="SI",'Consolidado Programas'!D119,0),IF(Alternativas!$R$7="SI",'Consolidado Programas'!D133,0),IF(Alternativas!$S$7="SI",'Consolidado Programas'!D147,0),IF(Alternativas!$T$7="SI",'Consolidado Programas'!D161,0),IF(Alternativas!$U$7="SI",'Consolidado Programas'!D175,0),IF(Alternativas!$V$7="SI",'Consolidado Programas'!D189,0),IF(Alternativas!$W$7="SI",'Consolidado Programas'!D203,0),IF(Alternativas!$X$7="SI",'Consolidado Programas'!D217,0),IF(Alternativas!$Y$7="SI",'Consolidado Programas'!D231,0),IF(Alternativas!$Z$7="SI",'Consolidado Programas'!D245,0),IF(Alternativas!$AA$7="SI",'Consolidado Programas'!D259,0))</f>
        <v>0</v>
      </c>
      <c r="K14" s="294">
        <f>+SUM(IF($I$7="SI",'Consolidado Programas'!E7,0),IF(Alternativas!$J$7="SI",'Consolidado Programas'!E21,0),IF($K$7="SI",'Consolidado Programas'!E35,0),IF(Alternativas!$L$7="SI",'Consolidado Programas'!E49,0),IF(Alternativas!$M$7="SI",'Consolidado Programas'!E63,0),IF(Alternativas!$N$7="SI",'Consolidado Programas'!E77,0),IF(Alternativas!$O$7="SI",'Consolidado Programas'!E91,0),IF(Alternativas!$P$7="SI",'Consolidado Programas'!E105,0),IF(Alternativas!$Q$7="SI",'Consolidado Programas'!E119,0),IF(Alternativas!$R$7="SI",'Consolidado Programas'!E133,0),IF(Alternativas!$S$7="SI",'Consolidado Programas'!E147,0),IF(Alternativas!$T$7="SI",'Consolidado Programas'!E161,0),IF(Alternativas!$U$7="SI",'Consolidado Programas'!E175,0),IF(Alternativas!$V$7="SI",'Consolidado Programas'!E189,0),IF(Alternativas!$W$7="SI",'Consolidado Programas'!E203,0),IF(Alternativas!$X$7="SI",'Consolidado Programas'!E217,0),IF(Alternativas!$Y$7="SI",'Consolidado Programas'!E231,0),IF(Alternativas!$Z$7="SI",'Consolidado Programas'!E245,0),IF(Alternativas!$AA$7="SI",'Consolidado Programas'!E259,0))</f>
        <v>0</v>
      </c>
      <c r="L14" s="294">
        <f>+SUM(IF($I$7="SI",'Consolidado Programas'!F7,0),IF(Alternativas!$J$7="SI",'Consolidado Programas'!F21,0),IF($K$7="SI",'Consolidado Programas'!F35,0),IF(Alternativas!$L$7="SI",'Consolidado Programas'!F49,0),IF(Alternativas!$M$7="SI",'Consolidado Programas'!F63,0),IF(Alternativas!$N$7="SI",'Consolidado Programas'!F77,0),IF(Alternativas!$O$7="SI",'Consolidado Programas'!F91,0),IF(Alternativas!$P$7="SI",'Consolidado Programas'!F105,0),IF(Alternativas!$Q$7="SI",'Consolidado Programas'!F119,0),IF(Alternativas!$R$7="SI",'Consolidado Programas'!F133,0),IF(Alternativas!$S$7="SI",'Consolidado Programas'!F147,0),IF(Alternativas!$T$7="SI",'Consolidado Programas'!F161,0),IF(Alternativas!$U$7="SI",'Consolidado Programas'!F175,0),IF(Alternativas!$V$7="SI",'Consolidado Programas'!F189,0),IF(Alternativas!$W$7="SI",'Consolidado Programas'!F203,0),IF(Alternativas!$X$7="SI",'Consolidado Programas'!F217,0),IF(Alternativas!$Y$7="SI",'Consolidado Programas'!F231,0),IF(Alternativas!$Z$7="SI",'Consolidado Programas'!F245,0),IF(Alternativas!$AA$7="SI",'Consolidado Programas'!F259,0))</f>
        <v>0</v>
      </c>
      <c r="M14" s="294">
        <f>+SUM(IF($I$7="SI",'Consolidado Programas'!G7,0),IF(Alternativas!$J$7="SI",'Consolidado Programas'!G21,0),IF($K$7="SI",'Consolidado Programas'!G35,0),IF(Alternativas!$L$7="SI",'Consolidado Programas'!G49,0),IF(Alternativas!$M$7="SI",'Consolidado Programas'!G63,0),IF(Alternativas!$N$7="SI",'Consolidado Programas'!G77,0),IF(Alternativas!$O$7="SI",'Consolidado Programas'!G91,0),IF(Alternativas!$P$7="SI",'Consolidado Programas'!G105,0),IF(Alternativas!$Q$7="SI",'Consolidado Programas'!G119,0),IF(Alternativas!$R$7="SI",'Consolidado Programas'!G133,0),IF(Alternativas!$S$7="SI",'Consolidado Programas'!G147,0),IF(Alternativas!$T$7="SI",'Consolidado Programas'!G161,0),IF(Alternativas!$U$7="SI",'Consolidado Programas'!G175,0),IF(Alternativas!$V$7="SI",'Consolidado Programas'!G189,0),IF(Alternativas!$W$7="SI",'Consolidado Programas'!G203,0),IF(Alternativas!$X$7="SI",'Consolidado Programas'!G217,0),IF(Alternativas!$Y$7="SI",'Consolidado Programas'!G231,0),IF(Alternativas!$Z$7="SI",'Consolidado Programas'!G245,0),IF(Alternativas!$AA$7="SI",'Consolidado Programas'!G259,0))</f>
        <v>896040.13232000009</v>
      </c>
      <c r="N14" s="294">
        <f>+SUM(IF($I$7="SI",'Consolidado Programas'!H7,0),IF(Alternativas!$J$7="SI",'Consolidado Programas'!H21,0),IF($K$7="SI",'Consolidado Programas'!H35,0),IF(Alternativas!$L$7="SI",'Consolidado Programas'!H49,0),IF(Alternativas!$M$7="SI",'Consolidado Programas'!H63,0),IF(Alternativas!$N$7="SI",'Consolidado Programas'!H77,0),IF(Alternativas!$O$7="SI",'Consolidado Programas'!H91,0),IF(Alternativas!$P$7="SI",'Consolidado Programas'!H105,0),IF(Alternativas!$Q$7="SI",'Consolidado Programas'!H119,0),IF(Alternativas!$R$7="SI",'Consolidado Programas'!H133,0),IF(Alternativas!$S$7="SI",'Consolidado Programas'!H147,0),IF(Alternativas!$T$7="SI",'Consolidado Programas'!H161,0),IF(Alternativas!$U$7="SI",'Consolidado Programas'!H175,0),IF(Alternativas!$V$7="SI",'Consolidado Programas'!H189,0),IF(Alternativas!$W$7="SI",'Consolidado Programas'!H203,0),IF(Alternativas!$X$7="SI",'Consolidado Programas'!H217,0),IF(Alternativas!$Y$7="SI",'Consolidado Programas'!H231,0),IF(Alternativas!$Z$7="SI",'Consolidado Programas'!H245,0),IF(Alternativas!$AA$7="SI",'Consolidado Programas'!H259,0))</f>
        <v>1059209.2333688799</v>
      </c>
      <c r="O14" s="294">
        <f>+SUM(IF($I$7="SI",'Consolidado Programas'!I7,0),IF(Alternativas!$J$7="SI",'Consolidado Programas'!I21,0),IF($K$7="SI",'Consolidado Programas'!I35,0),IF(Alternativas!$L$7="SI",'Consolidado Programas'!I49,0),IF(Alternativas!$M$7="SI",'Consolidado Programas'!I63,0),IF(Alternativas!$N$7="SI",'Consolidado Programas'!I77,0),IF(Alternativas!$O$7="SI",'Consolidado Programas'!I91,0),IF(Alternativas!$P$7="SI",'Consolidado Programas'!I105,0),IF(Alternativas!$Q$7="SI",'Consolidado Programas'!I119,0),IF(Alternativas!$R$7="SI",'Consolidado Programas'!I133,0),IF(Alternativas!$S$7="SI",'Consolidado Programas'!I147,0),IF(Alternativas!$T$7="SI",'Consolidado Programas'!I161,0),IF(Alternativas!$U$7="SI",'Consolidado Programas'!I175,0),IF(Alternativas!$V$7="SI",'Consolidado Programas'!I189,0),IF(Alternativas!$W$7="SI",'Consolidado Programas'!I203,0),IF(Alternativas!$X$7="SI",'Consolidado Programas'!I217,0),IF(Alternativas!$Y$7="SI",'Consolidado Programas'!I231,0),IF(Alternativas!$Z$7="SI",'Consolidado Programas'!I245,0),IF(Alternativas!$AA$7="SI",'Consolidado Programas'!I259,0))</f>
        <v>1192652.2861618223</v>
      </c>
      <c r="P14" s="294">
        <f>+SUM(IF($I$7="SI",'Consolidado Programas'!J7,0),IF(Alternativas!$J$7="SI",'Consolidado Programas'!J21,0),IF($K$7="SI",'Consolidado Programas'!J35,0),IF(Alternativas!$L$7="SI",'Consolidado Programas'!J49,0),IF(Alternativas!$M$7="SI",'Consolidado Programas'!J63,0),IF(Alternativas!$N$7="SI",'Consolidado Programas'!J77,0),IF(Alternativas!$O$7="SI",'Consolidado Programas'!J91,0),IF(Alternativas!$P$7="SI",'Consolidado Programas'!J105,0),IF(Alternativas!$Q$7="SI",'Consolidado Programas'!J119,0),IF(Alternativas!$R$7="SI",'Consolidado Programas'!J133,0),IF(Alternativas!$S$7="SI",'Consolidado Programas'!J147,0),IF(Alternativas!$T$7="SI",'Consolidado Programas'!J161,0),IF(Alternativas!$U$7="SI",'Consolidado Programas'!J175,0),IF(Alternativas!$V$7="SI",'Consolidado Programas'!J189,0),IF(Alternativas!$W$7="SI",'Consolidado Programas'!J203,0),IF(Alternativas!$X$7="SI",'Consolidado Programas'!J217,0),IF(Alternativas!$Y$7="SI",'Consolidado Programas'!J231,0),IF(Alternativas!$Z$7="SI",'Consolidado Programas'!J245,0),IF(Alternativas!$AA$7="SI",'Consolidado Programas'!J259,0))</f>
        <v>1364474.4203194443</v>
      </c>
      <c r="Q14" s="294">
        <f>+SUM(IF($I$7="SI",'Consolidado Programas'!K7,0),IF(Alternativas!$J$7="SI",'Consolidado Programas'!K21,0),IF($K$7="SI",'Consolidado Programas'!K35,0),IF(Alternativas!$L$7="SI",'Consolidado Programas'!K49,0),IF(Alternativas!$M$7="SI",'Consolidado Programas'!K63,0),IF(Alternativas!$N$7="SI",'Consolidado Programas'!K77,0),IF(Alternativas!$O$7="SI",'Consolidado Programas'!K91,0),IF(Alternativas!$P$7="SI",'Consolidado Programas'!K105,0),IF(Alternativas!$Q$7="SI",'Consolidado Programas'!K119,0),IF(Alternativas!$R$7="SI",'Consolidado Programas'!K133,0),IF(Alternativas!$S$7="SI",'Consolidado Programas'!K147,0),IF(Alternativas!$T$7="SI",'Consolidado Programas'!K161,0),IF(Alternativas!$U$7="SI",'Consolidado Programas'!K175,0),IF(Alternativas!$V$7="SI",'Consolidado Programas'!K189,0),IF(Alternativas!$W$7="SI",'Consolidado Programas'!K203,0),IF(Alternativas!$X$7="SI",'Consolidado Programas'!K217,0),IF(Alternativas!$Y$7="SI",'Consolidado Programas'!K231,0),IF(Alternativas!$Z$7="SI",'Consolidado Programas'!K245,0),IF(Alternativas!$AA$7="SI",'Consolidado Programas'!K259,0))</f>
        <v>1274487.7521947694</v>
      </c>
      <c r="R14" s="294">
        <f>+SUM(IF($I$7="SI",'Consolidado Programas'!L7,0),IF(Alternativas!$J$7="SI",'Consolidado Programas'!L21,0),IF($K$7="SI",'Consolidado Programas'!L35,0),IF(Alternativas!$L$7="SI",'Consolidado Programas'!L49,0),IF(Alternativas!$M$7="SI",'Consolidado Programas'!L63,0),IF(Alternativas!$N$7="SI",'Consolidado Programas'!L77,0),IF(Alternativas!$O$7="SI",'Consolidado Programas'!L91,0),IF(Alternativas!$P$7="SI",'Consolidado Programas'!L105,0),IF(Alternativas!$Q$7="SI",'Consolidado Programas'!L119,0),IF(Alternativas!$R$7="SI",'Consolidado Programas'!L133,0),IF(Alternativas!$S$7="SI",'Consolidado Programas'!L147,0),IF(Alternativas!$T$7="SI",'Consolidado Programas'!L161,0),IF(Alternativas!$U$7="SI",'Consolidado Programas'!L175,0),IF(Alternativas!$V$7="SI",'Consolidado Programas'!L189,0),IF(Alternativas!$W$7="SI",'Consolidado Programas'!L203,0),IF(Alternativas!$X$7="SI",'Consolidado Programas'!L217,0),IF(Alternativas!$Y$7="SI",'Consolidado Programas'!L231,0),IF(Alternativas!$Z$7="SI",'Consolidado Programas'!L245,0),IF(Alternativas!$AA$7="SI",'Consolidado Programas'!L259,0))</f>
        <v>529062.80000000005</v>
      </c>
      <c r="S14" s="294">
        <f>+SUM(IF($I$7="SI",'Consolidado Programas'!M7,0),IF(Alternativas!$J$7="SI",'Consolidado Programas'!M21,0),IF($K$7="SI",'Consolidado Programas'!M35,0),IF(Alternativas!$L$7="SI",'Consolidado Programas'!M49,0),IF(Alternativas!$M$7="SI",'Consolidado Programas'!M63,0),IF(Alternativas!$N$7="SI",'Consolidado Programas'!M77,0),IF(Alternativas!$O$7="SI",'Consolidado Programas'!M91,0),IF(Alternativas!$P$7="SI",'Consolidado Programas'!M105,0),IF(Alternativas!$Q$7="SI",'Consolidado Programas'!M119,0),IF(Alternativas!$R$7="SI",'Consolidado Programas'!M133,0),IF(Alternativas!$S$7="SI",'Consolidado Programas'!M147,0),IF(Alternativas!$T$7="SI",'Consolidado Programas'!M161,0),IF(Alternativas!$U$7="SI",'Consolidado Programas'!M175,0),IF(Alternativas!$V$7="SI",'Consolidado Programas'!M189,0),IF(Alternativas!$W$7="SI",'Consolidado Programas'!M203,0),IF(Alternativas!$X$7="SI",'Consolidado Programas'!M217,0),IF(Alternativas!$Y$7="SI",'Consolidado Programas'!M231,0),IF(Alternativas!$Z$7="SI",'Consolidado Programas'!M245,0),IF(Alternativas!$AA$7="SI",'Consolidado Programas'!M259,0))</f>
        <v>517894.8</v>
      </c>
      <c r="T14" s="294">
        <f>+SUM(IF($I$7="SI",'Consolidado Programas'!N7,0),IF(Alternativas!$J$7="SI",'Consolidado Programas'!N21,0),IF($K$7="SI",'Consolidado Programas'!N35,0),IF(Alternativas!$L$7="SI",'Consolidado Programas'!N49,0),IF(Alternativas!$M$7="SI",'Consolidado Programas'!N63,0),IF(Alternativas!$N$7="SI",'Consolidado Programas'!N77,0),IF(Alternativas!$O$7="SI",'Consolidado Programas'!N91,0),IF(Alternativas!$P$7="SI",'Consolidado Programas'!N105,0),IF(Alternativas!$Q$7="SI",'Consolidado Programas'!N119,0),IF(Alternativas!$R$7="SI",'Consolidado Programas'!N133,0),IF(Alternativas!$S$7="SI",'Consolidado Programas'!N147,0),IF(Alternativas!$T$7="SI",'Consolidado Programas'!N161,0),IF(Alternativas!$U$7="SI",'Consolidado Programas'!N175,0),IF(Alternativas!$V$7="SI",'Consolidado Programas'!N189,0),IF(Alternativas!$W$7="SI",'Consolidado Programas'!N203,0),IF(Alternativas!$X$7="SI",'Consolidado Programas'!N217,0),IF(Alternativas!$Y$7="SI",'Consolidado Programas'!N231,0),IF(Alternativas!$Z$7="SI",'Consolidado Programas'!N245,0),IF(Alternativas!$AA$7="SI",'Consolidado Programas'!N259,0))</f>
        <v>481199.8</v>
      </c>
      <c r="U14" s="294">
        <f>+SUM(IF($I$7="SI",'Consolidado Programas'!O7,0),IF(Alternativas!$J$7="SI",'Consolidado Programas'!O21,0),IF($K$7="SI",'Consolidado Programas'!O35,0),IF(Alternativas!$L$7="SI",'Consolidado Programas'!O49,0),IF(Alternativas!$M$7="SI",'Consolidado Programas'!O63,0),IF(Alternativas!$N$7="SI",'Consolidado Programas'!O77,0),IF(Alternativas!$O$7="SI",'Consolidado Programas'!O91,0),IF(Alternativas!$P$7="SI",'Consolidado Programas'!O105,0),IF(Alternativas!$Q$7="SI",'Consolidado Programas'!O119,0),IF(Alternativas!$R$7="SI",'Consolidado Programas'!O133,0),IF(Alternativas!$S$7="SI",'Consolidado Programas'!O147,0),IF(Alternativas!$T$7="SI",'Consolidado Programas'!O161,0),IF(Alternativas!$U$7="SI",'Consolidado Programas'!O175,0),IF(Alternativas!$V$7="SI",'Consolidado Programas'!O189,0),IF(Alternativas!$W$7="SI",'Consolidado Programas'!O203,0),IF(Alternativas!$X$7="SI",'Consolidado Programas'!O217,0),IF(Alternativas!$Y$7="SI",'Consolidado Programas'!O231,0),IF(Alternativas!$Z$7="SI",'Consolidado Programas'!O245,0),IF(Alternativas!$AA$7="SI",'Consolidado Programas'!O259,0))</f>
        <v>419295.8</v>
      </c>
      <c r="V14" s="294">
        <f>+SUM(IF($I$7="SI",'Consolidado Programas'!P7,0),IF(Alternativas!$J$7="SI",'Consolidado Programas'!P21,0),IF($K$7="SI",'Consolidado Programas'!P35,0),IF(Alternativas!$L$7="SI",'Consolidado Programas'!P49,0),IF(Alternativas!$M$7="SI",'Consolidado Programas'!P63,0),IF(Alternativas!$N$7="SI",'Consolidado Programas'!P77,0),IF(Alternativas!$O$7="SI",'Consolidado Programas'!P91,0),IF(Alternativas!$P$7="SI",'Consolidado Programas'!P105,0),IF(Alternativas!$Q$7="SI",'Consolidado Programas'!P119,0),IF(Alternativas!$R$7="SI",'Consolidado Programas'!P133,0),IF(Alternativas!$S$7="SI",'Consolidado Programas'!P147,0),IF(Alternativas!$T$7="SI",'Consolidado Programas'!P161,0),IF(Alternativas!$U$7="SI",'Consolidado Programas'!P175,0),IF(Alternativas!$V$7="SI",'Consolidado Programas'!P189,0),IF(Alternativas!$W$7="SI",'Consolidado Programas'!P203,0),IF(Alternativas!$X$7="SI",'Consolidado Programas'!P217,0),IF(Alternativas!$Y$7="SI",'Consolidado Programas'!P231,0),IF(Alternativas!$Z$7="SI",'Consolidado Programas'!P245,0),IF(Alternativas!$AA$7="SI",'Consolidado Programas'!P259,0))</f>
        <v>332496.8</v>
      </c>
      <c r="AC14">
        <v>13</v>
      </c>
      <c r="AD14" s="747">
        <f t="shared" si="0"/>
        <v>1</v>
      </c>
    </row>
    <row r="15" spans="1:39" ht="18" x14ac:dyDescent="0.25">
      <c r="A15" s="1085" t="s">
        <v>1019</v>
      </c>
      <c r="B15" s="1091">
        <v>10</v>
      </c>
      <c r="C15" s="1088">
        <f>+'BC COMERCIAL P10'!C34</f>
        <v>4635315027.8751087</v>
      </c>
      <c r="D15" s="1088">
        <f>+'BC COMERCIAL P10'!C36</f>
        <v>4099471734.9978786</v>
      </c>
      <c r="E15" s="1089">
        <f>+IFERROR(PROGRAMAS[[#This Row],[VNA Ingresos]]/PROGRAMAS[[#This Row],[VNA Egresos+Inversión]],0)</f>
        <v>1.1307103274557662</v>
      </c>
      <c r="H15" s="741" t="s">
        <v>569</v>
      </c>
      <c r="I15" s="742" t="s">
        <v>566</v>
      </c>
      <c r="J15" s="295">
        <f t="shared" ref="J15:V15" si="1">+J10-J13</f>
        <v>73231212</v>
      </c>
      <c r="K15" s="295">
        <f t="shared" si="1"/>
        <v>74430655.752000004</v>
      </c>
      <c r="L15" s="295">
        <f>+L10-L13</f>
        <v>76697929</v>
      </c>
      <c r="M15" s="295">
        <f t="shared" si="1"/>
        <v>78596236.71811083</v>
      </c>
      <c r="N15" s="295">
        <f t="shared" si="1"/>
        <v>77934570.713937685</v>
      </c>
      <c r="O15" s="295">
        <f t="shared" si="1"/>
        <v>80193295.854067445</v>
      </c>
      <c r="P15" s="295">
        <f t="shared" si="1"/>
        <v>82443314.630077273</v>
      </c>
      <c r="Q15" s="295">
        <f t="shared" si="1"/>
        <v>83422015.685000792</v>
      </c>
      <c r="R15" s="295">
        <f t="shared" si="1"/>
        <v>84192618.082470238</v>
      </c>
      <c r="S15" s="295">
        <f t="shared" si="1"/>
        <v>84733768.279954314</v>
      </c>
      <c r="T15" s="295">
        <f t="shared" si="1"/>
        <v>85595951.64116165</v>
      </c>
      <c r="U15" s="295">
        <f t="shared" si="1"/>
        <v>86741754.230108798</v>
      </c>
      <c r="V15" s="295">
        <f t="shared" si="1"/>
        <v>87778322.476359978</v>
      </c>
      <c r="AC15">
        <v>14</v>
      </c>
      <c r="AD15" s="747">
        <f t="shared" si="0"/>
        <v>1</v>
      </c>
    </row>
    <row r="16" spans="1:39" ht="30" x14ac:dyDescent="0.25">
      <c r="A16" s="1085" t="s">
        <v>1020</v>
      </c>
      <c r="B16" s="1091">
        <v>11</v>
      </c>
      <c r="C16" s="1088">
        <f>+'BC COMERCIAL P11'!C34</f>
        <v>0</v>
      </c>
      <c r="D16" s="1088">
        <f>+'BC COMERCIAL P11'!C36</f>
        <v>0</v>
      </c>
      <c r="E16" s="1089">
        <f>+IFERROR(PROGRAMAS[[#This Row],[VNA Ingresos]]/PROGRAMAS[[#This Row],[VNA Egresos+Inversión]],0)</f>
        <v>0</v>
      </c>
      <c r="H16" s="741" t="s">
        <v>570</v>
      </c>
      <c r="I16" s="742" t="s">
        <v>566</v>
      </c>
      <c r="J16" s="295">
        <f>+J11+J14</f>
        <v>55779290</v>
      </c>
      <c r="K16" s="295">
        <f t="shared" ref="K16:V16" si="2">+K11+K14</f>
        <v>56646487</v>
      </c>
      <c r="L16" s="295">
        <f t="shared" si="2"/>
        <v>57114170</v>
      </c>
      <c r="M16" s="295">
        <f t="shared" si="2"/>
        <v>58277402.363720007</v>
      </c>
      <c r="N16" s="295">
        <f t="shared" si="2"/>
        <v>60790850.233368881</v>
      </c>
      <c r="O16" s="295">
        <f t="shared" si="2"/>
        <v>61293325.286161825</v>
      </c>
      <c r="P16" s="295">
        <f t="shared" si="2"/>
        <v>61917944.420319445</v>
      </c>
      <c r="Q16" s="295">
        <f t="shared" si="2"/>
        <v>62390798.75219477</v>
      </c>
      <c r="R16" s="295">
        <f t="shared" si="2"/>
        <v>62002290.850212142</v>
      </c>
      <c r="S16" s="295">
        <f t="shared" si="2"/>
        <v>62621296.03445749</v>
      </c>
      <c r="T16" s="295">
        <f t="shared" si="2"/>
        <v>63214774.218702838</v>
      </c>
      <c r="U16" s="295">
        <f t="shared" si="2"/>
        <v>63783043.402948424</v>
      </c>
      <c r="V16" s="295">
        <f t="shared" si="2"/>
        <v>64326417.587194011</v>
      </c>
      <c r="AC16">
        <v>15</v>
      </c>
      <c r="AD16" s="747">
        <f t="shared" si="0"/>
        <v>0</v>
      </c>
    </row>
    <row r="17" spans="1:30" ht="18" x14ac:dyDescent="0.25">
      <c r="A17" s="1085" t="s">
        <v>1021</v>
      </c>
      <c r="B17" s="1091">
        <v>12</v>
      </c>
      <c r="C17" s="1088">
        <f>+'BC COMERCIAL P12'!C34</f>
        <v>764796700.79905891</v>
      </c>
      <c r="D17" s="1088">
        <f>+'BC COMERCIAL P12'!C36</f>
        <v>675517840.109828</v>
      </c>
      <c r="E17" s="1089">
        <f>+IFERROR(PROGRAMAS[[#This Row],[VNA Ingresos]]/PROGRAMAS[[#This Row],[VNA Egresos+Inversión]],0)</f>
        <v>1.1321635867895297</v>
      </c>
      <c r="H17" s="741" t="s">
        <v>571</v>
      </c>
      <c r="I17" s="742" t="s">
        <v>105</v>
      </c>
      <c r="J17" s="296">
        <f>+(J15-J16)/J15*100</f>
        <v>23.831262003420072</v>
      </c>
      <c r="K17" s="296">
        <f t="shared" ref="K17:P17" si="3">+(K15-K16)/K15*100</f>
        <v>23.893607509325392</v>
      </c>
      <c r="L17" s="296">
        <f t="shared" si="3"/>
        <v>25.533621644464482</v>
      </c>
      <c r="M17" s="296">
        <f t="shared" si="3"/>
        <v>25.852172066794111</v>
      </c>
      <c r="N17" s="296">
        <f t="shared" si="3"/>
        <v>21.997581206285968</v>
      </c>
      <c r="O17" s="296">
        <f t="shared" si="3"/>
        <v>23.568018207281355</v>
      </c>
      <c r="P17" s="296">
        <f t="shared" si="3"/>
        <v>24.896342780315248</v>
      </c>
      <c r="Q17" s="296">
        <f t="shared" ref="Q17:V17" si="4">IFERROR((Q15-Q16)/Q15*100,"")</f>
        <v>25.210631462345994</v>
      </c>
      <c r="R17" s="296">
        <f t="shared" si="4"/>
        <v>26.356618593950515</v>
      </c>
      <c r="S17" s="296">
        <f t="shared" si="4"/>
        <v>26.096410786829161</v>
      </c>
      <c r="T17" s="296">
        <f t="shared" si="4"/>
        <v>26.14747192283809</v>
      </c>
      <c r="U17" s="296">
        <f t="shared" si="4"/>
        <v>26.467888539878309</v>
      </c>
      <c r="V17" s="296">
        <f t="shared" si="4"/>
        <v>26.7171942087204</v>
      </c>
      <c r="AC17">
        <v>16</v>
      </c>
      <c r="AD17" s="747">
        <f t="shared" si="0"/>
        <v>1</v>
      </c>
    </row>
    <row r="18" spans="1:30" ht="18" x14ac:dyDescent="0.25">
      <c r="A18" s="1085" t="s">
        <v>1022</v>
      </c>
      <c r="B18" s="1091">
        <v>13</v>
      </c>
      <c r="C18" s="1088">
        <f>+'BC COMERCIAL P13'!C34</f>
        <v>3776538594.4604583</v>
      </c>
      <c r="D18" s="1088">
        <f>+'BC COMERCIAL P13'!C36</f>
        <v>2392571243.5584412</v>
      </c>
      <c r="E18" s="1089">
        <f>+IFERROR(PROGRAMAS[[#This Row],[VNA Ingresos]]/PROGRAMAS[[#This Row],[VNA Egresos+Inversión]],0)</f>
        <v>1.5784435279108595</v>
      </c>
      <c r="H18" s="741" t="s">
        <v>572</v>
      </c>
      <c r="I18" s="742" t="s">
        <v>573</v>
      </c>
      <c r="J18" s="296">
        <f>+J15/(J12*12)</f>
        <v>19.163932521463877</v>
      </c>
      <c r="K18" s="296">
        <f t="shared" ref="K18:P18" si="5">+K15/(K12*12)</f>
        <v>19.055350338861206</v>
      </c>
      <c r="L18" s="296">
        <f t="shared" si="5"/>
        <v>19.16995813987899</v>
      </c>
      <c r="M18" s="296">
        <f t="shared" si="5"/>
        <v>19.154535055284398</v>
      </c>
      <c r="N18" s="296">
        <f t="shared" si="5"/>
        <v>18.584470254176594</v>
      </c>
      <c r="O18" s="296">
        <f t="shared" si="5"/>
        <v>18.720725027468877</v>
      </c>
      <c r="P18" s="296">
        <f t="shared" si="5"/>
        <v>18.840844373678468</v>
      </c>
      <c r="Q18" s="296">
        <f t="shared" ref="Q18:V18" si="6">IFERROR(Q15/(Q12*12),"")</f>
        <v>18.663244562017386</v>
      </c>
      <c r="R18" s="296">
        <f t="shared" si="6"/>
        <v>18.439198188583305</v>
      </c>
      <c r="S18" s="296">
        <f t="shared" si="6"/>
        <v>18.167120133961788</v>
      </c>
      <c r="T18" s="296">
        <f t="shared" si="6"/>
        <v>17.965708207110556</v>
      </c>
      <c r="U18" s="296">
        <f t="shared" si="6"/>
        <v>17.823002486245638</v>
      </c>
      <c r="V18" s="296">
        <f t="shared" si="6"/>
        <v>17.656372935342624</v>
      </c>
      <c r="AC18">
        <v>17</v>
      </c>
      <c r="AD18" s="747">
        <f t="shared" si="0"/>
        <v>1</v>
      </c>
    </row>
    <row r="19" spans="1:30" ht="30" customHeight="1" x14ac:dyDescent="0.25">
      <c r="A19" s="1085" t="s">
        <v>1023</v>
      </c>
      <c r="B19" s="1091">
        <v>14</v>
      </c>
      <c r="C19" s="1088">
        <f>+'BC COMERCIAL P14'!C34</f>
        <v>54223862.645839565</v>
      </c>
      <c r="D19" s="1088">
        <f>+'BC COMERCIAL P14'!C36</f>
        <v>31865326.38096505</v>
      </c>
      <c r="E19" s="1089">
        <f>+IFERROR(PROGRAMAS[[#This Row],[VNA Ingresos]]/PROGRAMAS[[#This Row],[VNA Egresos+Inversión]],0)</f>
        <v>1.7016572181802765</v>
      </c>
      <c r="H19" s="741" t="s">
        <v>574</v>
      </c>
      <c r="I19" s="742" t="s">
        <v>573</v>
      </c>
      <c r="J19" s="296">
        <f>+J16/(J12*12)</f>
        <v>14.596925552115195</v>
      </c>
      <c r="K19" s="296">
        <f t="shared" ref="K19:P19" si="7">+K16/(K12*12)</f>
        <v>14.502339719366804</v>
      </c>
      <c r="L19" s="296">
        <f t="shared" si="7"/>
        <v>14.275173559040066</v>
      </c>
      <c r="M19" s="296">
        <f t="shared" si="7"/>
        <v>14.20267169419788</v>
      </c>
      <c r="N19" s="296">
        <f t="shared" si="7"/>
        <v>14.496336318256038</v>
      </c>
      <c r="O19" s="296">
        <f t="shared" si="7"/>
        <v>14.308621144459936</v>
      </c>
      <c r="P19" s="296">
        <f t="shared" si="7"/>
        <v>14.150163175701737</v>
      </c>
      <c r="Q19" s="296">
        <f t="shared" ref="Q19:V19" si="8">IFERROR(Q16/(Q12*12),"")</f>
        <v>13.958122756570853</v>
      </c>
      <c r="R19" s="296">
        <f t="shared" si="8"/>
        <v>13.57924905023577</v>
      </c>
      <c r="S19" s="296">
        <f t="shared" si="8"/>
        <v>13.426153835666371</v>
      </c>
      <c r="T19" s="296">
        <f t="shared" si="8"/>
        <v>13.268129697917303</v>
      </c>
      <c r="U19" s="296">
        <f t="shared" si="8"/>
        <v>13.105630053726404</v>
      </c>
      <c r="V19" s="296">
        <f t="shared" si="8"/>
        <v>12.939085487991189</v>
      </c>
      <c r="AC19">
        <v>18</v>
      </c>
      <c r="AD19" s="747">
        <f t="shared" si="0"/>
        <v>0</v>
      </c>
    </row>
    <row r="20" spans="1:30" ht="18" x14ac:dyDescent="0.25">
      <c r="A20" s="1085" t="s">
        <v>1024</v>
      </c>
      <c r="B20" s="1091">
        <v>15</v>
      </c>
      <c r="C20" s="1088">
        <f>+'BC COMERCIAL P15'!C34</f>
        <v>122159672.96346797</v>
      </c>
      <c r="D20" s="1088">
        <f>+'BC COMERCIAL P15'!C36</f>
        <v>118617452.52510804</v>
      </c>
      <c r="E20" s="1089">
        <f>+IFERROR(PROGRAMAS[[#This Row],[VNA Ingresos]]/PROGRAMAS[[#This Row],[VNA Egresos+Inversión]],0)</f>
        <v>1.029862557009561</v>
      </c>
      <c r="H20" s="741" t="s">
        <v>575</v>
      </c>
      <c r="I20" s="742" t="s">
        <v>573</v>
      </c>
      <c r="J20" s="296">
        <f>+J18-J19</f>
        <v>4.5670069693486823</v>
      </c>
      <c r="K20" s="296">
        <f t="shared" ref="K20:P20" si="9">+K18-K19</f>
        <v>4.5530106194944029</v>
      </c>
      <c r="L20" s="296">
        <f t="shared" si="9"/>
        <v>4.8947845808389232</v>
      </c>
      <c r="M20" s="296">
        <f t="shared" si="9"/>
        <v>4.9518633610865184</v>
      </c>
      <c r="N20" s="296">
        <f t="shared" si="9"/>
        <v>4.0881339359205562</v>
      </c>
      <c r="O20" s="296">
        <f t="shared" si="9"/>
        <v>4.4121038830089407</v>
      </c>
      <c r="P20" s="296">
        <f t="shared" si="9"/>
        <v>4.6906811979767316</v>
      </c>
      <c r="Q20" s="296">
        <f t="shared" ref="Q20:V20" si="10">IFERROR(Q18-Q19,"")</f>
        <v>4.7051218054465327</v>
      </c>
      <c r="R20" s="296">
        <f t="shared" si="10"/>
        <v>4.8599491383475346</v>
      </c>
      <c r="S20" s="296">
        <f t="shared" si="10"/>
        <v>4.740966298295417</v>
      </c>
      <c r="T20" s="296">
        <f>IFERROR(T18-T19,"")</f>
        <v>4.6975785091932529</v>
      </c>
      <c r="U20" s="296">
        <f t="shared" si="10"/>
        <v>4.7173724325192339</v>
      </c>
      <c r="V20" s="296">
        <f t="shared" si="10"/>
        <v>4.7172874473514348</v>
      </c>
      <c r="AC20">
        <v>19</v>
      </c>
      <c r="AD20" s="747">
        <f t="shared" si="0"/>
        <v>0</v>
      </c>
    </row>
    <row r="21" spans="1:30" x14ac:dyDescent="0.25">
      <c r="A21" s="1085" t="s">
        <v>1025</v>
      </c>
      <c r="B21" s="1091">
        <v>16</v>
      </c>
      <c r="C21" s="1088">
        <f>+'BC COMERCIAL P16'!C34</f>
        <v>7068496961.0436354</v>
      </c>
      <c r="D21" s="1088">
        <f>+'BC COMERCIAL P16'!C36</f>
        <v>2406564599.0319901</v>
      </c>
      <c r="E21" s="1089">
        <f>+IFERROR(PROGRAMAS[[#This Row],[VNA Ingresos]]/PROGRAMAS[[#This Row],[VNA Egresos+Inversión]],0)</f>
        <v>2.9371731653855657</v>
      </c>
    </row>
    <row r="22" spans="1:30" x14ac:dyDescent="0.25">
      <c r="A22" s="1085" t="s">
        <v>1026</v>
      </c>
      <c r="B22" s="1091">
        <v>17</v>
      </c>
      <c r="C22" s="1088">
        <f>+'BC COMERCIAL P17'!C34</f>
        <v>1892779498.5211046</v>
      </c>
      <c r="D22" s="1088">
        <f>+'BC COMERCIAL P17'!C36</f>
        <v>948595847.09039903</v>
      </c>
      <c r="E22" s="1089">
        <f>+IFERROR(PROGRAMAS[[#This Row],[VNA Ingresos]]/PROGRAMAS[[#This Row],[VNA Egresos+Inversión]],0)</f>
        <v>1.995348708648444</v>
      </c>
      <c r="T22" s="1853" t="str">
        <f>+CONCATENATE("La ", H3, " la cual incorpora los programas ", I4, IF(AVERAGE(M20:V20)&lt;$S$3," CUMPLE "," NO CUMPLE "),"con las metas propuestas por la ESP")</f>
        <v>La ALTERNATIVA No. 1 la cual incorpora los programas 1, 2, 3, 5, 6, 9, 10, 13, 14, 16, 17 NO CUMPLE con las metas propuestas por la ESP</v>
      </c>
      <c r="U22" s="1853"/>
      <c r="V22" s="1853"/>
    </row>
    <row r="23" spans="1:30" x14ac:dyDescent="0.25">
      <c r="A23" s="1085" t="s">
        <v>1027</v>
      </c>
      <c r="B23" s="1091">
        <v>18</v>
      </c>
      <c r="C23" s="1088">
        <f>+'BC COMERCIAL P18'!C34</f>
        <v>0</v>
      </c>
      <c r="D23" s="1088">
        <f>+'BC COMERCIAL P18'!C36</f>
        <v>0</v>
      </c>
      <c r="E23" s="1089">
        <f>+IFERROR(PROGRAMAS[[#This Row],[VNA Ingresos]]/PROGRAMAS[[#This Row],[VNA Egresos+Inversión]],0)</f>
        <v>0</v>
      </c>
      <c r="T23" s="1853"/>
      <c r="U23" s="1853"/>
      <c r="V23" s="1853"/>
    </row>
    <row r="24" spans="1:30" ht="15.75" thickBot="1" x14ac:dyDescent="0.3">
      <c r="A24" s="1086" t="s">
        <v>1282</v>
      </c>
      <c r="B24" s="1091">
        <v>19</v>
      </c>
      <c r="C24" s="1088">
        <f>+'BC TÉCNICO P8'!C32+'BC COMERCIAL P19'!C34</f>
        <v>0</v>
      </c>
      <c r="D24" s="1088">
        <f>+'BC TÉCNICO P8'!C34+'BC COMERCIAL P19'!C36</f>
        <v>0</v>
      </c>
      <c r="E24" s="1089">
        <f>+IFERROR(PROGRAMAS[[#This Row],[VNA Ingresos]]/PROGRAMAS[[#This Row],[VNA Egresos+Inversión]],0)</f>
        <v>0</v>
      </c>
      <c r="T24" s="1853"/>
      <c r="U24" s="1853"/>
      <c r="V24" s="1853"/>
    </row>
    <row r="25" spans="1:30" ht="16.5" thickTop="1" thickBot="1" x14ac:dyDescent="0.3">
      <c r="T25" s="1853"/>
      <c r="U25" s="1853"/>
      <c r="V25" s="1853"/>
    </row>
    <row r="26" spans="1:30" x14ac:dyDescent="0.25">
      <c r="A26" s="1841" t="s">
        <v>881</v>
      </c>
      <c r="B26" s="1842"/>
      <c r="C26" s="1842"/>
      <c r="D26" s="1842"/>
      <c r="E26" s="1842"/>
      <c r="F26" s="1843"/>
      <c r="T26" s="1853"/>
      <c r="U26" s="1853"/>
      <c r="V26" s="1853"/>
      <c r="X26" t="s">
        <v>3405</v>
      </c>
    </row>
    <row r="27" spans="1:30" ht="15.75" thickBot="1" x14ac:dyDescent="0.3">
      <c r="A27" s="1844"/>
      <c r="B27" s="1845"/>
      <c r="C27" s="1845"/>
      <c r="D27" s="1845"/>
      <c r="E27" s="1845"/>
      <c r="F27" s="1846"/>
      <c r="T27" s="1853"/>
      <c r="U27" s="1853"/>
      <c r="V27" s="1853"/>
      <c r="X27" t="s">
        <v>3406</v>
      </c>
      <c r="Y27" t="str">
        <f>IF(COUNT($B$6:$B$24)&lt;18,"INCOMPLETA - el motor no podrá componer combinaciones","OK")</f>
        <v>OK</v>
      </c>
    </row>
    <row r="28" spans="1:30" x14ac:dyDescent="0.25">
      <c r="A28" s="1847" t="s">
        <v>882</v>
      </c>
      <c r="B28" s="1848"/>
      <c r="C28" s="1848"/>
      <c r="D28" s="1848"/>
      <c r="E28" s="1848"/>
      <c r="F28" s="1849"/>
      <c r="T28" s="1853"/>
      <c r="U28" s="1853"/>
      <c r="V28" s="1853"/>
      <c r="X28" t="s">
        <v>3407</v>
      </c>
      <c r="Y28" t="str">
        <f>IF(COUNT('Consolidado Programas'!$B$270:$B$288)&lt;18,"INCOMPLETA - no se podrá consultar el volumen recuperado","OK")</f>
        <v>OK</v>
      </c>
    </row>
    <row r="29" spans="1:30" x14ac:dyDescent="0.25">
      <c r="A29" s="1847"/>
      <c r="B29" s="1848"/>
      <c r="C29" s="1848"/>
      <c r="D29" s="1848"/>
      <c r="E29" s="1848"/>
      <c r="F29" s="1849"/>
      <c r="T29" s="1853"/>
      <c r="U29" s="1853"/>
      <c r="V29" s="1853"/>
      <c r="X29" t="s">
        <v>3408</v>
      </c>
      <c r="Y29" t="str">
        <f ca="1">IF(COUNT(INDIRECT("Registros!AI2:AI2000"))=0,"SIN EJECUTAR",IF(MAX(INDIRECT("Registros!AI2:AI2000"))=MIN(INDIRECT("Registros!AI2:AI2000")),"ALERTA: todas las combinaciones tienen el mismo B/C","OK"))</f>
        <v>OK</v>
      </c>
    </row>
    <row r="30" spans="1:30" x14ac:dyDescent="0.25">
      <c r="A30" s="1092" t="s">
        <v>883</v>
      </c>
      <c r="B30" s="1093" t="s">
        <v>884</v>
      </c>
      <c r="C30" s="1094" t="s">
        <v>885</v>
      </c>
      <c r="D30" s="1095" t="s">
        <v>886</v>
      </c>
      <c r="E30" s="1096"/>
      <c r="F30" s="910"/>
      <c r="T30" s="1853"/>
      <c r="U30" s="1853"/>
      <c r="V30" s="1853"/>
    </row>
    <row r="31" spans="1:30" x14ac:dyDescent="0.25">
      <c r="A31" s="1097" t="s">
        <v>887</v>
      </c>
      <c r="B31" s="1850" t="str">
        <f>IFERROR(INDEX($A$37:$A$51,MATCH(MAX($C$37:$C$51),$C$37:$C$51,0)),"")</f>
        <v>1, 2, 3, 4, 5, 6, 9, 10, 12, 13, 14, 15, 16, 17</v>
      </c>
      <c r="C31" s="1850"/>
      <c r="D31" s="1850"/>
      <c r="E31" s="1850"/>
      <c r="F31" s="911"/>
      <c r="T31" s="1853"/>
      <c r="U31" s="1853"/>
      <c r="V31" s="1853"/>
    </row>
    <row r="32" spans="1:30" x14ac:dyDescent="0.25">
      <c r="A32" s="912"/>
      <c r="B32" s="1098" t="s">
        <v>888</v>
      </c>
      <c r="C32" s="1713">
        <f>+IFERROR(VLOOKUP($B$31,$A$36:$E$51,4,FALSE),0)</f>
        <v>33258979061.885178</v>
      </c>
      <c r="D32" s="914"/>
      <c r="E32" s="914"/>
      <c r="F32" s="913"/>
      <c r="T32" s="1853"/>
      <c r="U32" s="1853"/>
      <c r="V32" s="1853"/>
    </row>
    <row r="33" spans="1:27" x14ac:dyDescent="0.25">
      <c r="A33" s="912"/>
      <c r="B33" s="1098" t="s">
        <v>889</v>
      </c>
      <c r="C33" s="1713">
        <f>+IFERROR(VLOOKUP($B$31,$A$36:$E$51,5,FALSE),0)</f>
        <v>36659044912.115173</v>
      </c>
      <c r="D33" s="914"/>
      <c r="E33" s="914"/>
      <c r="F33" s="913"/>
      <c r="T33" s="1853"/>
      <c r="U33" s="1853"/>
      <c r="V33" s="1853"/>
    </row>
    <row r="34" spans="1:27" x14ac:dyDescent="0.25">
      <c r="A34" s="912"/>
      <c r="B34" s="1098" t="s">
        <v>668</v>
      </c>
      <c r="C34" s="1714">
        <f>+IFERROR(C33/C32,0)</f>
        <v>1.1022300126502222</v>
      </c>
      <c r="D34" s="914"/>
      <c r="E34" s="914"/>
      <c r="F34" s="913"/>
      <c r="T34" s="1853"/>
      <c r="U34" s="1853"/>
      <c r="V34" s="1853"/>
    </row>
    <row r="35" spans="1:27" ht="15.75" thickBot="1" x14ac:dyDescent="0.3">
      <c r="A35" s="1099"/>
      <c r="B35" s="1100" t="s">
        <v>890</v>
      </c>
      <c r="C35" s="1101">
        <f>+IFERROR(VLOOKUP($B$31,$A$36:$E$51,3,FALSE),0)</f>
        <v>39457835.945667125</v>
      </c>
      <c r="D35" s="1102"/>
      <c r="E35" s="1102"/>
      <c r="F35" s="915"/>
      <c r="T35" s="1853"/>
      <c r="U35" s="1853"/>
      <c r="V35" s="1853"/>
    </row>
    <row r="36" spans="1:27" x14ac:dyDescent="0.25">
      <c r="A36" s="246" t="s">
        <v>1284</v>
      </c>
      <c r="B36" s="1711" t="s">
        <v>668</v>
      </c>
      <c r="C36" s="1711" t="s">
        <v>890</v>
      </c>
      <c r="D36" s="1710" t="s">
        <v>590</v>
      </c>
      <c r="E36" s="1710" t="s">
        <v>107</v>
      </c>
      <c r="F36" s="917"/>
      <c r="T36" s="1853"/>
      <c r="U36" s="1853"/>
      <c r="V36" s="1853"/>
    </row>
    <row r="37" spans="1:27" x14ac:dyDescent="0.25">
      <c r="A37" s="246" t="s">
        <v>1348</v>
      </c>
      <c r="B37" s="1711">
        <v>1.101282287059262</v>
      </c>
      <c r="C37" s="1711">
        <v>39094993.108252034</v>
      </c>
      <c r="D37" s="1710">
        <v>32432978442.869274</v>
      </c>
      <c r="E37" s="1710">
        <v>35717864675.706818</v>
      </c>
      <c r="F37" s="917"/>
      <c r="T37" s="1853"/>
      <c r="U37" s="1853"/>
      <c r="V37" s="1853"/>
    </row>
    <row r="38" spans="1:27" x14ac:dyDescent="0.25">
      <c r="A38" s="246" t="s">
        <v>1349</v>
      </c>
      <c r="B38" s="1711">
        <v>1.104046526158688</v>
      </c>
      <c r="C38" s="1711">
        <v>39245250.350633018</v>
      </c>
      <c r="D38" s="1710">
        <v>32983179056.023605</v>
      </c>
      <c r="E38" s="1710">
        <v>36414964258.472855</v>
      </c>
      <c r="F38" s="917"/>
      <c r="T38" s="1853"/>
      <c r="U38" s="1853"/>
      <c r="V38" s="1853"/>
    </row>
    <row r="39" spans="1:27" x14ac:dyDescent="0.25">
      <c r="A39" s="246" t="s">
        <v>1350</v>
      </c>
      <c r="B39" s="1711">
        <v>1.1040480562887713</v>
      </c>
      <c r="C39" s="1711">
        <v>39021627.603286132</v>
      </c>
      <c r="D39" s="1710">
        <v>32339526542.294743</v>
      </c>
      <c r="E39" s="1710">
        <v>35704391420.319641</v>
      </c>
      <c r="F39" s="917"/>
    </row>
    <row r="40" spans="1:27" x14ac:dyDescent="0.25">
      <c r="A40" s="246" t="s">
        <v>1351</v>
      </c>
      <c r="B40" s="1711">
        <v>1.1031894099354409</v>
      </c>
      <c r="C40" s="1711">
        <v>39109625.558252029</v>
      </c>
      <c r="D40" s="1710">
        <v>32426278668.438885</v>
      </c>
      <c r="E40" s="1710">
        <v>35772327230.637268</v>
      </c>
      <c r="F40" s="917"/>
    </row>
    <row r="41" spans="1:27" x14ac:dyDescent="0.25">
      <c r="A41" s="246" t="s">
        <v>1352</v>
      </c>
      <c r="B41" s="1711">
        <v>1.1019123630589469</v>
      </c>
      <c r="C41" s="1711">
        <v>39335689.900633022</v>
      </c>
      <c r="D41" s="1710">
        <v>33108496282.979103</v>
      </c>
      <c r="E41" s="1710">
        <v>36482661376.505867</v>
      </c>
      <c r="F41" s="917"/>
    </row>
    <row r="42" spans="1:27" x14ac:dyDescent="0.25">
      <c r="A42" s="246" t="s">
        <v>1353</v>
      </c>
      <c r="B42" s="1711">
        <v>1.1018715750677641</v>
      </c>
      <c r="C42" s="1711">
        <v>39112067.153286137</v>
      </c>
      <c r="D42" s="1710">
        <v>32464843769.25024</v>
      </c>
      <c r="E42" s="1710">
        <v>35772088538.352654</v>
      </c>
      <c r="F42" s="917"/>
    </row>
    <row r="43" spans="1:27" x14ac:dyDescent="0.25">
      <c r="A43" s="246" t="s">
        <v>1354</v>
      </c>
      <c r="B43" s="1711">
        <v>1.1010220347980286</v>
      </c>
      <c r="C43" s="1711">
        <v>39200065.108252034</v>
      </c>
      <c r="D43" s="1710">
        <v>32551595895.394382</v>
      </c>
      <c r="E43" s="1710">
        <v>35840024348.67028</v>
      </c>
      <c r="F43" s="917"/>
    </row>
    <row r="44" spans="1:27" x14ac:dyDescent="0.25">
      <c r="A44" s="246" t="s">
        <v>1355</v>
      </c>
      <c r="B44" s="1711">
        <v>1.1046233256180331</v>
      </c>
      <c r="C44" s="1711">
        <v>39262324.395667121</v>
      </c>
      <c r="D44" s="1710">
        <v>33015044382.404572</v>
      </c>
      <c r="E44" s="1710">
        <v>36469188121.118698</v>
      </c>
      <c r="F44" s="917"/>
    </row>
    <row r="45" spans="1:27" ht="21" x14ac:dyDescent="0.35">
      <c r="A45" s="246" t="s">
        <v>1356</v>
      </c>
      <c r="B45" s="1711">
        <v>1.1037806942593107</v>
      </c>
      <c r="C45" s="1711">
        <v>39350322.350633018</v>
      </c>
      <c r="D45" s="1710">
        <v>33101796508.548714</v>
      </c>
      <c r="E45" s="1710">
        <v>36537123931.436325</v>
      </c>
      <c r="F45" s="917"/>
      <c r="H45" s="1858" t="s">
        <v>894</v>
      </c>
      <c r="I45" s="1858"/>
      <c r="J45" s="1851" t="s">
        <v>895</v>
      </c>
      <c r="K45" s="1851"/>
      <c r="L45" s="1851"/>
      <c r="M45" s="1851"/>
      <c r="N45" s="1851"/>
      <c r="O45" s="1851"/>
      <c r="P45" s="1851"/>
      <c r="Q45" s="1851"/>
      <c r="R45" s="1851"/>
      <c r="S45" s="1851"/>
      <c r="T45" s="1851"/>
      <c r="U45" s="1851"/>
      <c r="V45" s="1851"/>
    </row>
    <row r="46" spans="1:27" x14ac:dyDescent="0.25">
      <c r="A46" s="246" t="s">
        <v>1357</v>
      </c>
      <c r="B46" s="1711">
        <v>1.1037769472894334</v>
      </c>
      <c r="C46" s="1711">
        <v>39126699.603286132</v>
      </c>
      <c r="D46" s="1710">
        <v>32458143994.819851</v>
      </c>
      <c r="E46" s="1710">
        <v>35826551093.283112</v>
      </c>
      <c r="F46" s="917"/>
      <c r="H46" s="730" t="s">
        <v>585</v>
      </c>
      <c r="I46" s="744" t="str">
        <f>+CONCATENATE(IF(I49="SI",I48 &amp; ", ",""),IF(J49="SI",J48&amp; ", ",""),IF(K49="SI",K48&amp; ", ",""),IF(L49="SI",L48&amp; ", ",""),IF(M49="SI",M48&amp; ", ",""),IF(N49="SI",N48&amp; ", ",""),IF(O49="SI",O48&amp; ", ",""),IF(P49="SI",P48&amp; ", ",""),IF(Q49="SI",Q48&amp; ", ",""),IF(R49="SI",R48&amp; ", ",""),IF(S49="SI",S48&amp; ", ",""),IF(T49="SI",T48&amp; ", ",""),IF(U49="SI",U48&amp; ", ",""),IF(V49="SI",V48&amp; ", ",""),IF(W49="SI",W48&amp; ", ",""),IF(X49="SI",X48&amp; ", ",""),IF(Y49="SI",Y48&amp; ", ",""),IF(Z49="SI",Z48&amp; ", ",""),IF(AA49="SI",AA48,""))</f>
        <v xml:space="preserve">1, 2, 3, 4, 5, 6, 7, 9, 10, 12, 13, 14, 15, 16, 17, </v>
      </c>
      <c r="J46" s="732" t="s">
        <v>586</v>
      </c>
      <c r="K46" s="745">
        <f>+SUM(IF($I$49="SI",C6,0),IF(Alternativas!$J$49="SI",C7,0),IF($K$49="SI",C8,0),IF(Alternativas!$L$49="SI",C9,0),IF(Alternativas!$M$49="SI",C10,0),IF(Alternativas!$N$49="SI",C11,0),IF(Alternativas!$O$49="SI",C12,0),IF(Alternativas!$P$49="SI",C13,0),IF(Alternativas!$Q$49="SI",C14,0),IF(Alternativas!$R$49="SI",C15,0),IF(Alternativas!$S$49="SI",C16,0),IF(Alternativas!$T$49="SI",C17,0),IF(Alternativas!$U$49="SI",C18,0),IF(Alternativas!$V$49="SI",C19,0),IF(Alternativas!$W$49="SI",C20,0),IF(Alternativas!$X$49="SI",C21,0),IF(Alternativas!$Y$49="SI",C22,0),IF(Alternativas!$Z$49="SI",C23,0),IF(Alternativas!$AA$49="SI",C24,0))</f>
        <v>51420224481.536354</v>
      </c>
    </row>
    <row r="47" spans="1:27" x14ac:dyDescent="0.25">
      <c r="A47" s="246" t="s">
        <v>1358</v>
      </c>
      <c r="B47" s="1711">
        <v>1.1024890334579915</v>
      </c>
      <c r="C47" s="1711">
        <v>39352763.945667125</v>
      </c>
      <c r="D47" s="1710">
        <v>33140361609.360069</v>
      </c>
      <c r="E47" s="1710">
        <v>36536885239.151711</v>
      </c>
      <c r="F47" s="917"/>
      <c r="H47" s="730" t="s">
        <v>668</v>
      </c>
      <c r="I47" s="1712">
        <f>+K46/K47</f>
        <v>0.95869546745636736</v>
      </c>
      <c r="J47" s="732" t="s">
        <v>590</v>
      </c>
      <c r="K47" s="745">
        <f>+SUM(IF($I$49="SI",D6,0),IF(Alternativas!$J$49="SI",D7,0),IF($K$49="SI",D8,0),IF(Alternativas!$L$49="SI",D9,0),IF(Alternativas!$M$49="SI",D10,0),IF(Alternativas!$N$49="SI",D11,0),IF(Alternativas!$O$49="SI",D12,0),IF(Alternativas!$P$49="SI",D13,0),IF(Alternativas!$Q$49="SI",D14,0),IF(Alternativas!$R$49="SI",D15,0),IF(Alternativas!$S$49="SI",D16,0),IF(Alternativas!$T$49="SI",D17,0),IF(Alternativas!$U$49="SI",D18,0),IF(Alternativas!$V$49="SI",D19,0),IF(Alternativas!$W$49="SI",D20,0),IF(Alternativas!$X$49="SI",D21,0),IF(Alternativas!$Y$49="SI",D22,0),IF(Alternativas!$Z$49="SI",D23,0),IF(Alternativas!$AA$49="SI",D24,0))</f>
        <v>53635618637.027321</v>
      </c>
    </row>
    <row r="48" spans="1:27" x14ac:dyDescent="0.25">
      <c r="A48" s="246" t="s">
        <v>1359</v>
      </c>
      <c r="B48" s="1711">
        <v>1.1016551525014326</v>
      </c>
      <c r="C48" s="1711">
        <v>39440761.900633022</v>
      </c>
      <c r="D48" s="1710">
        <v>33227113735.504211</v>
      </c>
      <c r="E48" s="1710">
        <v>36604821049.469337</v>
      </c>
      <c r="F48" s="917"/>
      <c r="H48" s="1857" t="s">
        <v>592</v>
      </c>
      <c r="I48" s="738">
        <v>1</v>
      </c>
      <c r="J48" s="738">
        <v>2</v>
      </c>
      <c r="K48" s="738">
        <v>3</v>
      </c>
      <c r="L48" s="738">
        <v>4</v>
      </c>
      <c r="M48" s="738">
        <v>5</v>
      </c>
      <c r="N48" s="738">
        <v>6</v>
      </c>
      <c r="O48" s="738">
        <v>7</v>
      </c>
      <c r="P48" s="738">
        <v>8</v>
      </c>
      <c r="Q48" s="738">
        <v>9</v>
      </c>
      <c r="R48" s="738">
        <v>10</v>
      </c>
      <c r="S48" s="738">
        <v>11</v>
      </c>
      <c r="T48" s="738">
        <v>12</v>
      </c>
      <c r="U48" s="738">
        <v>13</v>
      </c>
      <c r="V48" s="738">
        <v>14</v>
      </c>
      <c r="W48" s="738">
        <v>15</v>
      </c>
      <c r="X48" s="738">
        <v>16</v>
      </c>
      <c r="Y48" s="738">
        <v>17</v>
      </c>
      <c r="Z48" s="738">
        <v>18</v>
      </c>
      <c r="AA48" s="738">
        <v>19</v>
      </c>
    </row>
    <row r="49" spans="1:27" x14ac:dyDescent="0.25">
      <c r="A49" s="246" t="s">
        <v>1360</v>
      </c>
      <c r="B49" s="1711">
        <v>1.1016094320675851</v>
      </c>
      <c r="C49" s="1711">
        <v>39217139.153286137</v>
      </c>
      <c r="D49" s="1710">
        <v>32583461221.775349</v>
      </c>
      <c r="E49" s="1710">
        <v>35894248211.316124</v>
      </c>
      <c r="F49" s="917"/>
      <c r="H49" s="1857"/>
      <c r="I49" s="739" t="s">
        <v>207</v>
      </c>
      <c r="J49" s="739" t="s">
        <v>207</v>
      </c>
      <c r="K49" s="739" t="s">
        <v>207</v>
      </c>
      <c r="L49" s="739" t="s">
        <v>207</v>
      </c>
      <c r="M49" s="739" t="s">
        <v>207</v>
      </c>
      <c r="N49" s="739" t="s">
        <v>207</v>
      </c>
      <c r="O49" s="739" t="s">
        <v>207</v>
      </c>
      <c r="P49" s="961"/>
      <c r="Q49" s="739" t="s">
        <v>207</v>
      </c>
      <c r="R49" s="739" t="s">
        <v>207</v>
      </c>
      <c r="S49" s="739"/>
      <c r="T49" s="739" t="s">
        <v>207</v>
      </c>
      <c r="U49" s="739" t="s">
        <v>207</v>
      </c>
      <c r="V49" s="739" t="s">
        <v>207</v>
      </c>
      <c r="W49" s="739" t="s">
        <v>207</v>
      </c>
      <c r="X49" s="739" t="s">
        <v>207</v>
      </c>
      <c r="Y49" s="739" t="s">
        <v>207</v>
      </c>
      <c r="Z49" s="739"/>
      <c r="AA49" s="739"/>
    </row>
    <row r="50" spans="1:27" x14ac:dyDescent="0.25">
      <c r="A50" s="246" t="s">
        <v>1361</v>
      </c>
      <c r="B50" s="1711">
        <v>1.1043556844510125</v>
      </c>
      <c r="C50" s="1711">
        <v>39367396.395667121</v>
      </c>
      <c r="D50" s="1710">
        <v>33133661834.92968</v>
      </c>
      <c r="E50" s="1710">
        <v>36591347794.082161</v>
      </c>
      <c r="F50" s="917"/>
      <c r="H50" s="726" t="s">
        <v>601</v>
      </c>
      <c r="I50" s="734"/>
    </row>
    <row r="51" spans="1:27" ht="18" x14ac:dyDescent="0.25">
      <c r="A51" s="246" t="s">
        <v>3404</v>
      </c>
      <c r="B51" s="1711">
        <v>1.1022300126502222</v>
      </c>
      <c r="C51" s="1711">
        <v>39457835.945667125</v>
      </c>
      <c r="D51" s="1710">
        <v>33258979061.885178</v>
      </c>
      <c r="E51" s="1710">
        <v>36659044912.115173</v>
      </c>
      <c r="F51" s="917"/>
      <c r="H51" s="740" t="s">
        <v>602</v>
      </c>
      <c r="I51" s="740" t="s">
        <v>596</v>
      </c>
      <c r="J51" s="741" t="s">
        <v>557</v>
      </c>
      <c r="K51" s="741" t="s">
        <v>558</v>
      </c>
      <c r="L51" s="741" t="s">
        <v>559</v>
      </c>
      <c r="M51" s="741" t="s">
        <v>560</v>
      </c>
      <c r="N51" s="741" t="s">
        <v>561</v>
      </c>
      <c r="O51" s="741" t="s">
        <v>562</v>
      </c>
      <c r="P51" s="741" t="s">
        <v>563</v>
      </c>
      <c r="Q51" s="741" t="s">
        <v>564</v>
      </c>
      <c r="R51" s="741" t="s">
        <v>565</v>
      </c>
      <c r="S51" s="741" t="s">
        <v>1029</v>
      </c>
      <c r="T51" s="741" t="s">
        <v>1030</v>
      </c>
      <c r="U51" s="741" t="s">
        <v>1031</v>
      </c>
      <c r="V51" s="741" t="s">
        <v>1032</v>
      </c>
    </row>
    <row r="52" spans="1:27" ht="18" x14ac:dyDescent="0.25">
      <c r="A52" s="917"/>
      <c r="B52" s="917"/>
      <c r="C52" s="917"/>
      <c r="D52" s="917"/>
      <c r="E52" s="917"/>
      <c r="F52" s="917"/>
      <c r="H52" s="741" t="s">
        <v>891</v>
      </c>
      <c r="I52" s="742" t="s">
        <v>566</v>
      </c>
      <c r="J52" s="265">
        <f>+'Consolidado Programas'!D3</f>
        <v>73231212</v>
      </c>
      <c r="K52" s="265">
        <f>+'Consolidado Programas'!E3</f>
        <v>74430655.752000004</v>
      </c>
      <c r="L52" s="265">
        <f>+'Consolidado Programas'!F3</f>
        <v>76697929</v>
      </c>
      <c r="M52" s="265">
        <f>+'Consolidado Programas'!G3</f>
        <v>79443376.444158807</v>
      </c>
      <c r="N52" s="265">
        <f>+'Consolidado Programas'!H3</f>
        <v>81346804.018574134</v>
      </c>
      <c r="O52" s="265">
        <f>+'Consolidado Programas'!I3</f>
        <v>83117762.153032988</v>
      </c>
      <c r="P52" s="265">
        <f>+'Consolidado Programas'!J3</f>
        <v>84376813.900286376</v>
      </c>
      <c r="Q52" s="265">
        <f>+'Consolidado Programas'!K3</f>
        <v>85817253.249695092</v>
      </c>
      <c r="R52" s="265">
        <f>+'Consolidado Programas'!L3</f>
        <v>87087721.932827741</v>
      </c>
      <c r="S52" s="265">
        <f>+'Consolidado Programas'!M3</f>
        <v>87996585.401466116</v>
      </c>
      <c r="T52" s="265">
        <f>+'Consolidado Programas'!N3</f>
        <v>89565016.865754709</v>
      </c>
      <c r="U52" s="265">
        <f>+'Consolidado Programas'!O3</f>
        <v>91133448.330042839</v>
      </c>
      <c r="V52" s="265">
        <f>+'Consolidado Programas'!P3</f>
        <v>92701879.794331446</v>
      </c>
    </row>
    <row r="53" spans="1:27" ht="18" x14ac:dyDescent="0.25">
      <c r="A53" s="917"/>
      <c r="B53" s="917"/>
      <c r="C53" s="917"/>
      <c r="D53" s="917"/>
      <c r="E53" s="917"/>
      <c r="F53" s="917"/>
      <c r="H53" s="741" t="s">
        <v>892</v>
      </c>
      <c r="I53" s="742" t="s">
        <v>566</v>
      </c>
      <c r="J53" s="265">
        <f>+'Consolidado Programas'!D4</f>
        <v>55779290</v>
      </c>
      <c r="K53" s="265">
        <f>+'Consolidado Programas'!E4</f>
        <v>56646487</v>
      </c>
      <c r="L53" s="265">
        <f>+'Consolidado Programas'!F4</f>
        <v>57114170</v>
      </c>
      <c r="M53" s="265">
        <f>+'Consolidado Programas'!G4</f>
        <v>57381362.231400006</v>
      </c>
      <c r="N53" s="265">
        <f>+'Consolidado Programas'!H4</f>
        <v>59731641</v>
      </c>
      <c r="O53" s="265">
        <f>+'Consolidado Programas'!I4</f>
        <v>60100673</v>
      </c>
      <c r="P53" s="265">
        <f>+'Consolidado Programas'!J4</f>
        <v>60553470</v>
      </c>
      <c r="Q53" s="265">
        <f>+'Consolidado Programas'!K4</f>
        <v>61116311</v>
      </c>
      <c r="R53" s="265">
        <f>+'Consolidado Programas'!L4</f>
        <v>61473228.050212145</v>
      </c>
      <c r="S53" s="265">
        <f>+'Consolidado Programas'!M4</f>
        <v>62103401.234457493</v>
      </c>
      <c r="T53" s="265">
        <f>+'Consolidado Programas'!N4</f>
        <v>62733574.418702841</v>
      </c>
      <c r="U53" s="265">
        <f>+'Consolidado Programas'!O4</f>
        <v>63363747.602948427</v>
      </c>
      <c r="V53" s="265">
        <f>+'Consolidado Programas'!P4</f>
        <v>63993920.787194014</v>
      </c>
    </row>
    <row r="54" spans="1:27" ht="18" x14ac:dyDescent="0.25">
      <c r="A54" s="917"/>
      <c r="B54" s="917"/>
      <c r="C54" s="917"/>
      <c r="D54" s="917"/>
      <c r="E54" s="917"/>
      <c r="F54" s="917"/>
      <c r="H54" s="741" t="s">
        <v>102</v>
      </c>
      <c r="I54" s="742" t="s">
        <v>566</v>
      </c>
      <c r="J54" s="265">
        <f>+'Consolidado Programas'!D5</f>
        <v>318442</v>
      </c>
      <c r="K54" s="265">
        <f>+'Consolidado Programas'!E5</f>
        <v>325502</v>
      </c>
      <c r="L54" s="265">
        <f>+'Consolidado Programas'!F5</f>
        <v>333412</v>
      </c>
      <c r="M54" s="265">
        <f>+'Consolidado Programas'!G5</f>
        <v>341939.19999999995</v>
      </c>
      <c r="N54" s="265">
        <f>+'Consolidado Programas'!H5</f>
        <v>349461</v>
      </c>
      <c r="O54" s="265">
        <f>+'Consolidado Programas'!I5</f>
        <v>356972</v>
      </c>
      <c r="P54" s="265">
        <f>+'Consolidado Programas'!J5</f>
        <v>364648</v>
      </c>
      <c r="Q54" s="265">
        <f>+'Consolidado Programas'!K5</f>
        <v>372488</v>
      </c>
      <c r="R54" s="265">
        <f>+'Consolidado Programas'!L5</f>
        <v>380496.56146201264</v>
      </c>
      <c r="S54" s="265">
        <f>+'Consolidado Programas'!M5</f>
        <v>388677.30848890479</v>
      </c>
      <c r="T54" s="265">
        <f>+'Consolidado Programas'!N5</f>
        <v>397033.94310243073</v>
      </c>
      <c r="U54" s="265">
        <f>+'Consolidado Programas'!O5</f>
        <v>405570.24691850279</v>
      </c>
      <c r="V54" s="265">
        <f>+'Consolidado Programas'!P5</f>
        <v>414290.08285848069</v>
      </c>
    </row>
    <row r="55" spans="1:27" ht="18.75" thickBot="1" x14ac:dyDescent="0.3">
      <c r="A55" s="917"/>
      <c r="B55" s="928" t="s">
        <v>913</v>
      </c>
      <c r="C55" s="928" t="s">
        <v>914</v>
      </c>
      <c r="D55" s="928" t="s">
        <v>915</v>
      </c>
      <c r="E55" s="917"/>
      <c r="H55" s="741" t="s">
        <v>567</v>
      </c>
      <c r="I55" s="742" t="s">
        <v>566</v>
      </c>
      <c r="J55" s="293">
        <f>+SUM(IF($I$49="SI",'Consolidado Programas'!D6,0),IF(Alternativas!$J$49="SI",'Consolidado Programas'!D20,0),IF($K$49="SI",'Consolidado Programas'!D34,0),IF(Alternativas!$L$49="SI",'Consolidado Programas'!D48,0),IF(Alternativas!$M$49="SI",'Consolidado Programas'!D62,0),IF(Alternativas!$N$49="SI",'Consolidado Programas'!D76,0),IF(Alternativas!$O$49="SI",'Consolidado Programas'!D90,0),IF(Alternativas!$Q$49="SI",'Consolidado Programas'!D118,0),IF(Alternativas!$R$49="SI",'Consolidado Programas'!D132,0),IF(Alternativas!$S$49="SI",'Consolidado Programas'!D146,0),IF(Alternativas!$T$49="SI",'Consolidado Programas'!D160,0),IF(Alternativas!$U$49="SI",'Consolidado Programas'!D174,0),IF(Alternativas!$V$49="SI",'Consolidado Programas'!D188,0),IF(Alternativas!$W$49="SI",'Consolidado Programas'!D202,0),IF(Alternativas!$X$49="SI",'Consolidado Programas'!D216,0),IF(Alternativas!$Y$49="SI",'Consolidado Programas'!D230,0),IF(Alternativas!$Z$49="SI",'Consolidado Programas'!D244,0),IF(Alternativas!$AA$49="SI",'Consolidado Programas'!D258,0))</f>
        <v>0</v>
      </c>
      <c r="K55" s="293">
        <f>+SUM(IF($I$49="SI",'Consolidado Programas'!E6,0),IF(Alternativas!$J$49="SI",'Consolidado Programas'!E20,0),IF($K$49="SI",'Consolidado Programas'!E34,0),IF(Alternativas!$L$49="SI",'Consolidado Programas'!E48,0),IF(Alternativas!$M$49="SI",'Consolidado Programas'!E62,0),IF(Alternativas!$N$49="SI",'Consolidado Programas'!E76,0),IF(Alternativas!$O$49="SI",'Consolidado Programas'!E90,0),IF(Alternativas!$P$49="SI",'Consolidado Programas'!E104,0),IF(Alternativas!$Q$49="SI",'Consolidado Programas'!E118,0),IF(Alternativas!$R$49="SI",'Consolidado Programas'!E132,0),IF(Alternativas!$S$49="SI",'Consolidado Programas'!E146,0),IF(Alternativas!$T$49="SI",'Consolidado Programas'!E160,0),IF(Alternativas!$U$49="SI",'Consolidado Programas'!E174,0),IF(Alternativas!$V$49="SI",'Consolidado Programas'!E188,0),IF(Alternativas!$W$49="SI",'Consolidado Programas'!E202,0),IF(Alternativas!$X$49="SI",'Consolidado Programas'!E216,0),IF(Alternativas!$Y$49="SI",'Consolidado Programas'!E230,0),IF(Alternativas!$Z$49="SI",'Consolidado Programas'!E244,0),IF(Alternativas!$AA$49="SI",'Consolidado Programas'!E258,0))</f>
        <v>0</v>
      </c>
      <c r="L55" s="293">
        <f>+SUM(IF($I$49="SI",'Consolidado Programas'!F6,0),IF(Alternativas!$J$49="SI",'Consolidado Programas'!F20,0),IF($K$49="SI",'Consolidado Programas'!F34,0),IF(Alternativas!$L$49="SI",'Consolidado Programas'!F48,0),IF(Alternativas!$M$49="SI",'Consolidado Programas'!F62,0),IF(Alternativas!$N$49="SI",'Consolidado Programas'!F76,0),IF(Alternativas!$O$49="SI",'Consolidado Programas'!F90,0),IF(Alternativas!$P$49="SI",'Consolidado Programas'!F104,0),IF(Alternativas!$Q$49="SI",'Consolidado Programas'!F118,0),IF(Alternativas!$R$49="SI",'Consolidado Programas'!F132,0),IF(Alternativas!$S$49="SI",'Consolidado Programas'!F146,0),IF(Alternativas!$T$49="SI",'Consolidado Programas'!F160,0),IF(Alternativas!$U$49="SI",'Consolidado Programas'!F174,0),IF(Alternativas!$V$49="SI",'Consolidado Programas'!F188,0),IF(Alternativas!$W$49="SI",'Consolidado Programas'!F202,0),IF(Alternativas!$X$49="SI",'Consolidado Programas'!F216,0),IF(Alternativas!$Y$49="SI",'Consolidado Programas'!F230,0),IF(Alternativas!$Z$49="SI",'Consolidado Programas'!F244,0),IF(Alternativas!$AA$49="SI",'Consolidado Programas'!F258,0))</f>
        <v>0</v>
      </c>
      <c r="M55" s="293">
        <f>+SUM(IF($I$49="SI",'Consolidado Programas'!G6,0),IF(Alternativas!$J$49="SI",'Consolidado Programas'!G20,0),IF($K$49="SI",'Consolidado Programas'!G34,0),IF(Alternativas!$L$49="SI",'Consolidado Programas'!G48,0),IF(Alternativas!$M$49="SI",'Consolidado Programas'!G62,0),IF(Alternativas!$N$49="SI",'Consolidado Programas'!G76,0),IF(Alternativas!$O$49="SI",'Consolidado Programas'!G90,0),IF(Alternativas!$P$49="SI",'Consolidado Programas'!G104,0),IF(Alternativas!$Q$49="SI",'Consolidado Programas'!G118,0),IF(Alternativas!$R$49="SI",'Consolidado Programas'!G132,0),IF(Alternativas!$S$49="SI",'Consolidado Programas'!G146,0),IF(Alternativas!$T$49="SI",'Consolidado Programas'!G160,0),IF(Alternativas!$U$49="SI",'Consolidado Programas'!G174,0),IF(Alternativas!$V$49="SI",'Consolidado Programas'!G188,0),IF(Alternativas!$W$49="SI",'Consolidado Programas'!G202,0),IF(Alternativas!$X$49="SI",'Consolidado Programas'!G216,0),IF(Alternativas!$Y$49="SI",'Consolidado Programas'!G230,0),IF(Alternativas!$Z$49="SI",'Consolidado Programas'!G244,0),IF(Alternativas!$AA$49="SI",'Consolidado Programas'!G258,0))</f>
        <v>847139.72604797326</v>
      </c>
      <c r="N55" s="293">
        <f>+SUM(IF($I$49="SI",'Consolidado Programas'!H6,0),IF(Alternativas!$J$49="SI",'Consolidado Programas'!H20,0),IF($K$49="SI",'Consolidado Programas'!H34,0),IF(Alternativas!$L$49="SI",'Consolidado Programas'!H48,0),IF(Alternativas!$M$49="SI",'Consolidado Programas'!H62,0),IF(Alternativas!$N$49="SI",'Consolidado Programas'!H76,0),IF(Alternativas!$O$49="SI",'Consolidado Programas'!H90,0),IF(Alternativas!$P$49="SI",'Consolidado Programas'!H104,0),IF(Alternativas!$Q$49="SI",'Consolidado Programas'!H118,0),IF(Alternativas!$R$49="SI",'Consolidado Programas'!H132,0),IF(Alternativas!$S$49="SI",'Consolidado Programas'!H146,0),IF(Alternativas!$T$49="SI",'Consolidado Programas'!H160,0),IF(Alternativas!$U$49="SI",'Consolidado Programas'!H174,0),IF(Alternativas!$V$49="SI",'Consolidado Programas'!H188,0),IF(Alternativas!$W$49="SI",'Consolidado Programas'!H202,0),IF(Alternativas!$X$49="SI",'Consolidado Programas'!H216,0),IF(Alternativas!$Y$49="SI",'Consolidado Programas'!H230,0),IF(Alternativas!$Z$49="SI",'Consolidado Programas'!H244,0),IF(Alternativas!$AA$49="SI",'Consolidado Programas'!H258,0))</f>
        <v>4504035.1480943458</v>
      </c>
      <c r="O55" s="293">
        <f>+SUM(IF($I$49="SI",'Consolidado Programas'!I6,0),IF(Alternativas!$J$49="SI",'Consolidado Programas'!I20,0),IF($K$49="SI",'Consolidado Programas'!I34,0),IF(Alternativas!$L$49="SI",'Consolidado Programas'!I48,0),IF(Alternativas!$M$49="SI",'Consolidado Programas'!I62,0),IF(Alternativas!$N$49="SI",'Consolidado Programas'!I76,0),IF(Alternativas!$O$49="SI",'Consolidado Programas'!I90,0),IF(Alternativas!$P$49="SI",'Consolidado Programas'!I104,0),IF(Alternativas!$Q$49="SI",'Consolidado Programas'!I118,0),IF(Alternativas!$R$49="SI",'Consolidado Programas'!I132,0),IF(Alternativas!$S$49="SI",'Consolidado Programas'!I146,0),IF(Alternativas!$T$49="SI",'Consolidado Programas'!I160,0),IF(Alternativas!$U$49="SI",'Consolidado Programas'!I174,0),IF(Alternativas!$V$49="SI",'Consolidado Programas'!I188,0),IF(Alternativas!$W$49="SI",'Consolidado Programas'!I202,0),IF(Alternativas!$X$49="SI",'Consolidado Programas'!I216,0),IF(Alternativas!$Y$49="SI",'Consolidado Programas'!I230,0),IF(Alternativas!$Z$49="SI",'Consolidado Programas'!I244,0),IF(Alternativas!$AA$49="SI",'Consolidado Programas'!I258,0))</f>
        <v>5815352.9316229867</v>
      </c>
      <c r="P55" s="293">
        <f>+SUM(IF($I$49="SI",'Consolidado Programas'!J6,0),IF(Alternativas!$J$49="SI",'Consolidado Programas'!J20,0),IF($K$49="SI",'Consolidado Programas'!J34,0),IF(Alternativas!$L$49="SI",'Consolidado Programas'!J48,0),IF(Alternativas!$M$49="SI",'Consolidado Programas'!J62,0),IF(Alternativas!$N$49="SI",'Consolidado Programas'!J76,0),IF(Alternativas!$O$49="SI",'Consolidado Programas'!J90,0),IF(Alternativas!$P$49="SI",'Consolidado Programas'!J104,0),IF(Alternativas!$Q$49="SI",'Consolidado Programas'!J118,0),IF(Alternativas!$R$49="SI",'Consolidado Programas'!J132,0),IF(Alternativas!$S$49="SI",'Consolidado Programas'!J146,0),IF(Alternativas!$T$49="SI",'Consolidado Programas'!J160,0),IF(Alternativas!$U$49="SI",'Consolidado Programas'!J174,0),IF(Alternativas!$V$49="SI",'Consolidado Programas'!J188,0),IF(Alternativas!$W$49="SI",'Consolidado Programas'!J202,0),IF(Alternativas!$X$49="SI",'Consolidado Programas'!J216,0),IF(Alternativas!$Y$49="SI",'Consolidado Programas'!J230,0),IF(Alternativas!$Z$49="SI",'Consolidado Programas'!J244,0),IF(Alternativas!$AA$49="SI",'Consolidado Programas'!J258,0))</f>
        <v>6132607.6342735272</v>
      </c>
      <c r="Q55" s="293">
        <f>+SUM(IF($I$49="SI",'Consolidado Programas'!K6,0),IF(Alternativas!$J$49="SI",'Consolidado Programas'!K20,0),IF($K$49="SI",'Consolidado Programas'!K34,0),IF(Alternativas!$L$49="SI",'Consolidado Programas'!K48,0),IF(Alternativas!$M$49="SI",'Consolidado Programas'!K62,0),IF(Alternativas!$N$49="SI",'Consolidado Programas'!K76,0),IF(Alternativas!$O$49="SI",'Consolidado Programas'!K90,0),IF(Alternativas!$P$49="SI",'Consolidado Programas'!K104,0),IF(Alternativas!$Q$49="SI",'Consolidado Programas'!K118,0),IF(Alternativas!$R$49="SI",'Consolidado Programas'!K132,0),IF(Alternativas!$S$49="SI",'Consolidado Programas'!K146,0),IF(Alternativas!$T$49="SI",'Consolidado Programas'!K160,0),IF(Alternativas!$U$49="SI",'Consolidado Programas'!K174,0),IF(Alternativas!$V$49="SI",'Consolidado Programas'!K188,0),IF(Alternativas!$W$49="SI",'Consolidado Programas'!K202,0),IF(Alternativas!$X$49="SI",'Consolidado Programas'!K216,0),IF(Alternativas!$Y$49="SI",'Consolidado Programas'!K230,0),IF(Alternativas!$Z$49="SI",'Consolidado Programas'!K244,0),IF(Alternativas!$AA$49="SI",'Consolidado Programas'!K258,0))</f>
        <v>7586977.9863827638</v>
      </c>
      <c r="R55" s="293">
        <f>+SUM(IF($I$49="SI",'Consolidado Programas'!L6,0),IF(Alternativas!$J$49="SI",'Consolidado Programas'!L20,0),IF($K$49="SI",'Consolidado Programas'!L34,0),IF(Alternativas!$L$49="SI",'Consolidado Programas'!L48,0),IF(Alternativas!$M$49="SI",'Consolidado Programas'!L62,0),IF(Alternativas!$N$49="SI",'Consolidado Programas'!L76,0),IF(Alternativas!$O$49="SI",'Consolidado Programas'!L90,0),IF(Alternativas!$P$49="SI",'Consolidado Programas'!L104,0),IF(Alternativas!$Q$49="SI",'Consolidado Programas'!L118,0),IF(Alternativas!$R$49="SI",'Consolidado Programas'!L132,0),IF(Alternativas!$S$49="SI",'Consolidado Programas'!L146,0),IF(Alternativas!$T$49="SI",'Consolidado Programas'!L160,0),IF(Alternativas!$U$49="SI",'Consolidado Programas'!L174,0),IF(Alternativas!$V$49="SI",'Consolidado Programas'!L188,0),IF(Alternativas!$W$49="SI",'Consolidado Programas'!L202,0),IF(Alternativas!$X$49="SI",'Consolidado Programas'!L216,0),IF(Alternativas!$Y$49="SI",'Consolidado Programas'!L230,0),IF(Alternativas!$Z$49="SI",'Consolidado Programas'!L244,0),IF(Alternativas!$AA$49="SI",'Consolidado Programas'!L258,0))</f>
        <v>8911727.8208676614</v>
      </c>
      <c r="S55" s="293">
        <f>+SUM(IF($I$49="SI",'Consolidado Programas'!M6,0),IF(Alternativas!$J$49="SI",'Consolidado Programas'!M20,0),IF($K$49="SI",'Consolidado Programas'!M34,0),IF(Alternativas!$L$49="SI",'Consolidado Programas'!M48,0),IF(Alternativas!$M$49="SI",'Consolidado Programas'!M62,0),IF(Alternativas!$N$49="SI",'Consolidado Programas'!M76,0),IF(Alternativas!$O$49="SI",'Consolidado Programas'!M90,0),IF(Alternativas!$P$49="SI",'Consolidado Programas'!M104,0),IF(Alternativas!$Q$49="SI",'Consolidado Programas'!M118,0),IF(Alternativas!$R$49="SI",'Consolidado Programas'!M132,0),IF(Alternativas!$S$49="SI",'Consolidado Programas'!M146,0),IF(Alternativas!$T$49="SI",'Consolidado Programas'!M160,0),IF(Alternativas!$U$49="SI",'Consolidado Programas'!M174,0),IF(Alternativas!$V$49="SI",'Consolidado Programas'!M188,0),IF(Alternativas!$W$49="SI",'Consolidado Programas'!M202,0),IF(Alternativas!$X$49="SI",'Consolidado Programas'!M216,0),IF(Alternativas!$Y$49="SI",'Consolidado Programas'!M230,0),IF(Alternativas!$Z$49="SI",'Consolidado Programas'!M244,0),IF(Alternativas!$AA$49="SI",'Consolidado Programas'!M258,0))</f>
        <v>6880817.0318179</v>
      </c>
      <c r="T55" s="293">
        <f>+SUM(IF($I$49="SI",'Consolidado Programas'!N6,0),IF(Alternativas!$J$49="SI",'Consolidado Programas'!N20,0),IF($K$49="SI",'Consolidado Programas'!N34,0),IF(Alternativas!$L$49="SI",'Consolidado Programas'!N48,0),IF(Alternativas!$M$49="SI",'Consolidado Programas'!N62,0),IF(Alternativas!$N$49="SI",'Consolidado Programas'!N76,0),IF(Alternativas!$O$49="SI",'Consolidado Programas'!N90,0),IF(Alternativas!$P$49="SI",'Consolidado Programas'!N104,0),IF(Alternativas!$Q$49="SI",'Consolidado Programas'!N118,0),IF(Alternativas!$R$49="SI",'Consolidado Programas'!N132,0),IF(Alternativas!$S$49="SI",'Consolidado Programas'!N146,0),IF(Alternativas!$T$49="SI",'Consolidado Programas'!N160,0),IF(Alternativas!$U$49="SI",'Consolidado Programas'!N174,0),IF(Alternativas!$V$49="SI",'Consolidado Programas'!N188,0),IF(Alternativas!$W$49="SI",'Consolidado Programas'!N202,0),IF(Alternativas!$X$49="SI",'Consolidado Programas'!N216,0),IF(Alternativas!$Y$49="SI",'Consolidado Programas'!N230,0),IF(Alternativas!$Z$49="SI",'Consolidado Programas'!N244,0),IF(Alternativas!$AA$49="SI",'Consolidado Programas'!N258,0))</f>
        <v>7578533.2248991504</v>
      </c>
      <c r="U55" s="293">
        <f>+SUM(IF($I$49="SI",'Consolidado Programas'!O6,0),IF(Alternativas!$J$49="SI",'Consolidado Programas'!O20,0),IF($K$49="SI",'Consolidado Programas'!O34,0),IF(Alternativas!$L$49="SI",'Consolidado Programas'!O48,0),IF(Alternativas!$M$49="SI",'Consolidado Programas'!O62,0),IF(Alternativas!$N$49="SI",'Consolidado Programas'!O76,0),IF(Alternativas!$O$49="SI",'Consolidado Programas'!O90,0),IF(Alternativas!$P$49="SI",'Consolidado Programas'!O104,0),IF(Alternativas!$Q$49="SI",'Consolidado Programas'!O118,0),IF(Alternativas!$R$49="SI",'Consolidado Programas'!O132,0),IF(Alternativas!$S$49="SI",'Consolidado Programas'!O146,0),IF(Alternativas!$T$49="SI",'Consolidado Programas'!O160,0),IF(Alternativas!$U$49="SI",'Consolidado Programas'!O174,0),IF(Alternativas!$V$49="SI",'Consolidado Programas'!O188,0),IF(Alternativas!$W$49="SI",'Consolidado Programas'!O202,0),IF(Alternativas!$X$49="SI",'Consolidado Programas'!O216,0),IF(Alternativas!$Y$49="SI",'Consolidado Programas'!O230,0),IF(Alternativas!$Z$49="SI",'Consolidado Programas'!O244,0),IF(Alternativas!$AA$49="SI",'Consolidado Programas'!O258,0))</f>
        <v>8001162.10024013</v>
      </c>
      <c r="V55" s="293">
        <f>+SUM(IF($I$49="SI",'Consolidado Programas'!P6,0),IF(Alternativas!$J$49="SI",'Consolidado Programas'!P20,0),IF($K$49="SI",'Consolidado Programas'!P34,0),IF(Alternativas!$L$49="SI",'Consolidado Programas'!P48,0),IF(Alternativas!$M$49="SI",'Consolidado Programas'!P62,0),IF(Alternativas!$N$49="SI",'Consolidado Programas'!P76,0),IF(Alternativas!$O$49="SI",'Consolidado Programas'!P90,0),IF(Alternativas!$P$49="SI",'Consolidado Programas'!P104,0),IF(Alternativas!$Q$49="SI",'Consolidado Programas'!P118,0),IF(Alternativas!$R$49="SI",'Consolidado Programas'!P132,0),IF(Alternativas!$S$49="SI",'Consolidado Programas'!P146,0),IF(Alternativas!$T$49="SI",'Consolidado Programas'!P160,0),IF(Alternativas!$U$49="SI",'Consolidado Programas'!P174,0),IF(Alternativas!$V$49="SI",'Consolidado Programas'!P188,0),IF(Alternativas!$W$49="SI",'Consolidado Programas'!P202,0),IF(Alternativas!$X$49="SI",'Consolidado Programas'!P216,0),IF(Alternativas!$Y$49="SI",'Consolidado Programas'!P230,0),IF(Alternativas!$Z$49="SI",'Consolidado Programas'!P244,0),IF(Alternativas!$AA$49="SI",'Consolidado Programas'!P258,0))</f>
        <v>8533025.318277562</v>
      </c>
    </row>
    <row r="56" spans="1:27" ht="18" x14ac:dyDescent="0.25">
      <c r="A56" s="1854" t="s">
        <v>916</v>
      </c>
      <c r="B56" s="929" t="str">
        <f>+A6</f>
        <v>P.1 Macromedición</v>
      </c>
      <c r="C56" s="929" t="str">
        <f>+VLOOKUP(LARGE('Consolidado Programas'!$C$270:$C$276,1),'Consolidado Programas'!$C$270:$D$276,2,FALSE)</f>
        <v>P.7 Reposición de Redes</v>
      </c>
      <c r="D56" s="930" t="str">
        <f>+IF(LARGE('Consolidado Programas'!$F$270:$F$276,1)&gt;=1,VLOOKUP(LARGE('Consolidado Programas'!$F$270:$F$276,1),'Consolidado Programas'!$F$270:$G$276,2,FALSE),"")</f>
        <v>P.5 Atención de Daños</v>
      </c>
      <c r="E56" s="917"/>
      <c r="H56" s="741" t="s">
        <v>568</v>
      </c>
      <c r="I56" s="742" t="s">
        <v>566</v>
      </c>
      <c r="J56" s="294">
        <f>+SUM(IF($I$49="SI",'Consolidado Programas'!D7,0),IF(Alternativas!$J$49="SI",'Consolidado Programas'!D21,0),IF($K$49="SI",'Consolidado Programas'!D35,0),IF(Alternativas!$L$49="SI",'Consolidado Programas'!D49,0),IF(Alternativas!$M$49="SI",'Consolidado Programas'!D63,0),IF(Alternativas!$N$49="SI",'Consolidado Programas'!D77,0),IF(Alternativas!$O$49="SI",'Consolidado Programas'!D91,0),IF(Alternativas!$P$49="SI",'Consolidado Programas'!D105,0),IF(Alternativas!$Q$49="SI",'Consolidado Programas'!D119,0),IF(Alternativas!$R$49="SI",'Consolidado Programas'!D133,0),IF(Alternativas!$S$49="SI",'Consolidado Programas'!D147,0),IF(Alternativas!$T$49="SI",'Consolidado Programas'!D161,0),IF(Alternativas!$U$49="SI",'Consolidado Programas'!D175,0),IF(Alternativas!$V$49="SI",'Consolidado Programas'!D189,0),IF(Alternativas!$W$49="SI",'Consolidado Programas'!D203,0),IF(Alternativas!$X$49="SI",'Consolidado Programas'!D217,0),IF(Alternativas!$Y$49="SI",'Consolidado Programas'!D231,0),IF(Alternativas!$Z$49="SI",'Consolidado Programas'!D245,0),IF(Alternativas!$AA$49="SI",'Consolidado Programas'!D259,0))</f>
        <v>0</v>
      </c>
      <c r="K56" s="294">
        <f>+SUM(IF($I$49="SI",'Consolidado Programas'!E7,0),IF(Alternativas!$J$49="SI",'Consolidado Programas'!E21,0),IF($K$49="SI",'Consolidado Programas'!E35,0),IF(Alternativas!$L$49="SI",'Consolidado Programas'!E49,0),IF(Alternativas!$M$49="SI",'Consolidado Programas'!E63,0),IF(Alternativas!$N$49="SI",'Consolidado Programas'!E77,0),IF(Alternativas!$O$49="SI",'Consolidado Programas'!E91,0),IF(Alternativas!$P$49="SI",'Consolidado Programas'!E105,0),IF(Alternativas!$Q$49="SI",'Consolidado Programas'!E119,0),IF(Alternativas!$R$49="SI",'Consolidado Programas'!E133,0),IF(Alternativas!$S$49="SI",'Consolidado Programas'!E147,0),IF(Alternativas!$T$49="SI",'Consolidado Programas'!E161,0),IF(Alternativas!$U$49="SI",'Consolidado Programas'!E175,0),IF(Alternativas!$V$49="SI",'Consolidado Programas'!E189,0),IF(Alternativas!$W$49="SI",'Consolidado Programas'!E203,0),IF(Alternativas!$X$49="SI",'Consolidado Programas'!E217,0),IF(Alternativas!$Y$49="SI",'Consolidado Programas'!E231,0),IF(Alternativas!$Z$49="SI",'Consolidado Programas'!E245,0),IF(Alternativas!$AA$49="SI",'Consolidado Programas'!E259,0))</f>
        <v>0</v>
      </c>
      <c r="L56" s="294">
        <f>+SUM(IF($I$49="SI",'Consolidado Programas'!F7,0),IF(Alternativas!$J$49="SI",'Consolidado Programas'!F21,0),IF($K$49="SI",'Consolidado Programas'!F35,0),IF(Alternativas!$L$49="SI",'Consolidado Programas'!F49,0),IF(Alternativas!$M$49="SI",'Consolidado Programas'!F63,0),IF(Alternativas!$N$49="SI",'Consolidado Programas'!F77,0),IF(Alternativas!$O$49="SI",'Consolidado Programas'!F91,0),IF(Alternativas!$P$49="SI",'Consolidado Programas'!F105,0),IF(Alternativas!$Q$49="SI",'Consolidado Programas'!F119,0),IF(Alternativas!$R$49="SI",'Consolidado Programas'!F133,0),IF(Alternativas!$S$49="SI",'Consolidado Programas'!F147,0),IF(Alternativas!$T$49="SI",'Consolidado Programas'!F161,0),IF(Alternativas!$U$49="SI",'Consolidado Programas'!F175,0),IF(Alternativas!$V$49="SI",'Consolidado Programas'!F189,0),IF(Alternativas!$W$49="SI",'Consolidado Programas'!F203,0),IF(Alternativas!$X$49="SI",'Consolidado Programas'!F217,0),IF(Alternativas!$Y$49="SI",'Consolidado Programas'!F231,0),IF(Alternativas!$Z$49="SI",'Consolidado Programas'!F245,0),IF(Alternativas!$AA$49="SI",'Consolidado Programas'!F259,0))</f>
        <v>0</v>
      </c>
      <c r="M56" s="294">
        <f>+SUM(IF($I$49="SI",'Consolidado Programas'!G7,0),IF(Alternativas!$J$49="SI",'Consolidado Programas'!G21,0),IF($K$49="SI",'Consolidado Programas'!G35,0),IF(Alternativas!$L$49="SI",'Consolidado Programas'!G49,0),IF(Alternativas!$M$49="SI",'Consolidado Programas'!G63,0),IF(Alternativas!$N$49="SI",'Consolidado Programas'!G77,0),IF(Alternativas!$O$49="SI",'Consolidado Programas'!G91,0),IF(Alternativas!$P$49="SI",'Consolidado Programas'!G105,0),IF(Alternativas!$Q$49="SI",'Consolidado Programas'!G119,0),IF(Alternativas!$R$49="SI",'Consolidado Programas'!G133,0),IF(Alternativas!$S$49="SI",'Consolidado Programas'!G147,0),IF(Alternativas!$T$49="SI",'Consolidado Programas'!G161,0),IF(Alternativas!$U$49="SI",'Consolidado Programas'!G175,0),IF(Alternativas!$V$49="SI",'Consolidado Programas'!G189,0),IF(Alternativas!$W$49="SI",'Consolidado Programas'!G203,0),IF(Alternativas!$X$49="SI",'Consolidado Programas'!G217,0),IF(Alternativas!$Y$49="SI",'Consolidado Programas'!G231,0),IF(Alternativas!$Z$49="SI",'Consolidado Programas'!G245,0),IF(Alternativas!$AA$49="SI",'Consolidado Programas'!G259,0))</f>
        <v>927781.64047894638</v>
      </c>
      <c r="N56" s="294">
        <f>+SUM(IF($I$49="SI",'Consolidado Programas'!H7,0),IF(Alternativas!$J$49="SI",'Consolidado Programas'!H21,0),IF($K$49="SI",'Consolidado Programas'!H35,0),IF(Alternativas!$L$49="SI",'Consolidado Programas'!H49,0),IF(Alternativas!$M$49="SI",'Consolidado Programas'!H63,0),IF(Alternativas!$N$49="SI",'Consolidado Programas'!H77,0),IF(Alternativas!$O$49="SI",'Consolidado Programas'!H91,0),IF(Alternativas!$P$49="SI",'Consolidado Programas'!H105,0),IF(Alternativas!$Q$49="SI",'Consolidado Programas'!H119,0),IF(Alternativas!$R$49="SI",'Consolidado Programas'!H133,0),IF(Alternativas!$S$49="SI",'Consolidado Programas'!H147,0),IF(Alternativas!$T$49="SI",'Consolidado Programas'!H161,0),IF(Alternativas!$U$49="SI",'Consolidado Programas'!H175,0),IF(Alternativas!$V$49="SI",'Consolidado Programas'!H189,0),IF(Alternativas!$W$49="SI",'Consolidado Programas'!H203,0),IF(Alternativas!$X$49="SI",'Consolidado Programas'!H217,0),IF(Alternativas!$Y$49="SI",'Consolidado Programas'!H231,0),IF(Alternativas!$Z$49="SI",'Consolidado Programas'!H245,0),IF(Alternativas!$AA$49="SI",'Consolidado Programas'!H259,0))</f>
        <v>1122448.1650970241</v>
      </c>
      <c r="O56" s="294">
        <f>+SUM(IF($I$49="SI",'Consolidado Programas'!I7,0),IF(Alternativas!$J$49="SI",'Consolidado Programas'!I21,0),IF($K$49="SI",'Consolidado Programas'!I35,0),IF(Alternativas!$L$49="SI",'Consolidado Programas'!I49,0),IF(Alternativas!$M$49="SI",'Consolidado Programas'!I63,0),IF(Alternativas!$N$49="SI",'Consolidado Programas'!I77,0),IF(Alternativas!$O$49="SI",'Consolidado Programas'!I91,0),IF(Alternativas!$P$49="SI",'Consolidado Programas'!I105,0),IF(Alternativas!$Q$49="SI",'Consolidado Programas'!I119,0),IF(Alternativas!$R$49="SI",'Consolidado Programas'!I133,0),IF(Alternativas!$S$49="SI",'Consolidado Programas'!I147,0),IF(Alternativas!$T$49="SI",'Consolidado Programas'!I161,0),IF(Alternativas!$U$49="SI",'Consolidado Programas'!I175,0),IF(Alternativas!$V$49="SI",'Consolidado Programas'!I189,0),IF(Alternativas!$W$49="SI",'Consolidado Programas'!I203,0),IF(Alternativas!$X$49="SI",'Consolidado Programas'!I217,0),IF(Alternativas!$Y$49="SI",'Consolidado Programas'!I231,0),IF(Alternativas!$Z$49="SI",'Consolidado Programas'!I245,0),IF(Alternativas!$AA$49="SI",'Consolidado Programas'!I259,0))</f>
        <v>1287147.2417999031</v>
      </c>
      <c r="P56" s="294">
        <f>+SUM(IF($I$49="SI",'Consolidado Programas'!J7,0),IF(Alternativas!$J$49="SI",'Consolidado Programas'!J21,0),IF($K$49="SI",'Consolidado Programas'!J35,0),IF(Alternativas!$L$49="SI",'Consolidado Programas'!J49,0),IF(Alternativas!$M$49="SI",'Consolidado Programas'!J63,0),IF(Alternativas!$N$49="SI",'Consolidado Programas'!J77,0),IF(Alternativas!$O$49="SI",'Consolidado Programas'!J91,0),IF(Alternativas!$P$49="SI",'Consolidado Programas'!J105,0),IF(Alternativas!$Q$49="SI",'Consolidado Programas'!J119,0),IF(Alternativas!$R$49="SI",'Consolidado Programas'!J133,0),IF(Alternativas!$S$49="SI",'Consolidado Programas'!J147,0),IF(Alternativas!$T$49="SI",'Consolidado Programas'!J161,0),IF(Alternativas!$U$49="SI",'Consolidado Programas'!J175,0),IF(Alternativas!$V$49="SI",'Consolidado Programas'!J189,0),IF(Alternativas!$W$49="SI",'Consolidado Programas'!J203,0),IF(Alternativas!$X$49="SI",'Consolidado Programas'!J217,0),IF(Alternativas!$Y$49="SI",'Consolidado Programas'!J231,0),IF(Alternativas!$Z$49="SI",'Consolidado Programas'!J245,0),IF(Alternativas!$AA$49="SI",'Consolidado Programas'!J259,0))</f>
        <v>1489986.6556044526</v>
      </c>
      <c r="Q56" s="294">
        <f>+SUM(IF($I$49="SI",'Consolidado Programas'!K7,0),IF(Alternativas!$J$49="SI",'Consolidado Programas'!K21,0),IF($K$49="SI",'Consolidado Programas'!K35,0),IF(Alternativas!$L$49="SI",'Consolidado Programas'!K49,0),IF(Alternativas!$M$49="SI",'Consolidado Programas'!K63,0),IF(Alternativas!$N$49="SI",'Consolidado Programas'!K77,0),IF(Alternativas!$O$49="SI",'Consolidado Programas'!K91,0),IF(Alternativas!$P$49="SI",'Consolidado Programas'!K105,0),IF(Alternativas!$Q$49="SI",'Consolidado Programas'!K119,0),IF(Alternativas!$R$49="SI",'Consolidado Programas'!K133,0),IF(Alternativas!$S$49="SI",'Consolidado Programas'!K147,0),IF(Alternativas!$T$49="SI",'Consolidado Programas'!K161,0),IF(Alternativas!$U$49="SI",'Consolidado Programas'!K175,0),IF(Alternativas!$V$49="SI",'Consolidado Programas'!K189,0),IF(Alternativas!$W$49="SI",'Consolidado Programas'!K203,0),IF(Alternativas!$X$49="SI",'Consolidado Programas'!K217,0),IF(Alternativas!$Y$49="SI",'Consolidado Programas'!K231,0),IF(Alternativas!$Z$49="SI",'Consolidado Programas'!K245,0),IF(Alternativas!$AA$49="SI",'Consolidado Programas'!K259,0))</f>
        <v>1305268.9137655806</v>
      </c>
      <c r="R56" s="294">
        <f>+SUM(IF($I$49="SI",'Consolidado Programas'!L7,0),IF(Alternativas!$J$49="SI",'Consolidado Programas'!L21,0),IF($K$49="SI",'Consolidado Programas'!L35,0),IF(Alternativas!$L$49="SI",'Consolidado Programas'!L49,0),IF(Alternativas!$M$49="SI",'Consolidado Programas'!L63,0),IF(Alternativas!$N$49="SI",'Consolidado Programas'!L77,0),IF(Alternativas!$O$49="SI",'Consolidado Programas'!L91,0),IF(Alternativas!$P$49="SI",'Consolidado Programas'!L105,0),IF(Alternativas!$Q$49="SI",'Consolidado Programas'!L119,0),IF(Alternativas!$R$49="SI",'Consolidado Programas'!L133,0),IF(Alternativas!$S$49="SI",'Consolidado Programas'!L147,0),IF(Alternativas!$T$49="SI",'Consolidado Programas'!L161,0),IF(Alternativas!$U$49="SI",'Consolidado Programas'!L175,0),IF(Alternativas!$V$49="SI",'Consolidado Programas'!L189,0),IF(Alternativas!$W$49="SI",'Consolidado Programas'!L203,0),IF(Alternativas!$X$49="SI",'Consolidado Programas'!L217,0),IF(Alternativas!$Y$49="SI",'Consolidado Programas'!L231,0),IF(Alternativas!$Z$49="SI",'Consolidado Programas'!L245,0),IF(Alternativas!$AA$49="SI",'Consolidado Programas'!L259,0))</f>
        <v>529062.80000000005</v>
      </c>
      <c r="S56" s="294">
        <f>+SUM(IF($I$49="SI",'Consolidado Programas'!M7,0),IF(Alternativas!$J$49="SI",'Consolidado Programas'!M21,0),IF($K$49="SI",'Consolidado Programas'!M35,0),IF(Alternativas!$L$49="SI",'Consolidado Programas'!M49,0),IF(Alternativas!$M$49="SI",'Consolidado Programas'!M63,0),IF(Alternativas!$N$49="SI",'Consolidado Programas'!M77,0),IF(Alternativas!$O$49="SI",'Consolidado Programas'!M91,0),IF(Alternativas!$P$49="SI",'Consolidado Programas'!M105,0),IF(Alternativas!$Q$49="SI",'Consolidado Programas'!M119,0),IF(Alternativas!$R$49="SI",'Consolidado Programas'!M133,0),IF(Alternativas!$S$49="SI",'Consolidado Programas'!M147,0),IF(Alternativas!$T$49="SI",'Consolidado Programas'!M161,0),IF(Alternativas!$U$49="SI",'Consolidado Programas'!M175,0),IF(Alternativas!$V$49="SI",'Consolidado Programas'!M189,0),IF(Alternativas!$W$49="SI",'Consolidado Programas'!M203,0),IF(Alternativas!$X$49="SI",'Consolidado Programas'!M217,0),IF(Alternativas!$Y$49="SI",'Consolidado Programas'!M231,0),IF(Alternativas!$Z$49="SI",'Consolidado Programas'!M245,0),IF(Alternativas!$AA$49="SI",'Consolidado Programas'!M259,0))</f>
        <v>517894.8</v>
      </c>
      <c r="T56" s="294">
        <f>+SUM(IF($I$49="SI",'Consolidado Programas'!N7,0),IF(Alternativas!$J$49="SI",'Consolidado Programas'!N21,0),IF($K$49="SI",'Consolidado Programas'!N35,0),IF(Alternativas!$L$49="SI",'Consolidado Programas'!N49,0),IF(Alternativas!$M$49="SI",'Consolidado Programas'!N63,0),IF(Alternativas!$N$49="SI",'Consolidado Programas'!N77,0),IF(Alternativas!$O$49="SI",'Consolidado Programas'!N91,0),IF(Alternativas!$P$49="SI",'Consolidado Programas'!N105,0),IF(Alternativas!$Q$49="SI",'Consolidado Programas'!N119,0),IF(Alternativas!$R$49="SI",'Consolidado Programas'!N133,0),IF(Alternativas!$S$49="SI",'Consolidado Programas'!N147,0),IF(Alternativas!$T$49="SI",'Consolidado Programas'!N161,0),IF(Alternativas!$U$49="SI",'Consolidado Programas'!N175,0),IF(Alternativas!$V$49="SI",'Consolidado Programas'!N189,0),IF(Alternativas!$W$49="SI",'Consolidado Programas'!N203,0),IF(Alternativas!$X$49="SI",'Consolidado Programas'!N217,0),IF(Alternativas!$Y$49="SI",'Consolidado Programas'!N231,0),IF(Alternativas!$Z$49="SI",'Consolidado Programas'!N245,0),IF(Alternativas!$AA$49="SI",'Consolidado Programas'!N259,0))</f>
        <v>481199.8</v>
      </c>
      <c r="U56" s="294">
        <f>+SUM(IF($I$49="SI",'Consolidado Programas'!O7,0),IF(Alternativas!$J$49="SI",'Consolidado Programas'!O21,0),IF($K$49="SI",'Consolidado Programas'!O35,0),IF(Alternativas!$L$49="SI",'Consolidado Programas'!O49,0),IF(Alternativas!$M$49="SI",'Consolidado Programas'!O63,0),IF(Alternativas!$N$49="SI",'Consolidado Programas'!O77,0),IF(Alternativas!$O$49="SI",'Consolidado Programas'!O91,0),IF(Alternativas!$P$49="SI",'Consolidado Programas'!O105,0),IF(Alternativas!$Q$49="SI",'Consolidado Programas'!O119,0),IF(Alternativas!$R$49="SI",'Consolidado Programas'!O133,0),IF(Alternativas!$S$49="SI",'Consolidado Programas'!O147,0),IF(Alternativas!$T$49="SI",'Consolidado Programas'!O161,0),IF(Alternativas!$U$49="SI",'Consolidado Programas'!O175,0),IF(Alternativas!$V$49="SI",'Consolidado Programas'!O189,0),IF(Alternativas!$W$49="SI",'Consolidado Programas'!O203,0),IF(Alternativas!$X$49="SI",'Consolidado Programas'!O217,0),IF(Alternativas!$Y$49="SI",'Consolidado Programas'!O231,0),IF(Alternativas!$Z$49="SI",'Consolidado Programas'!O245,0),IF(Alternativas!$AA$49="SI",'Consolidado Programas'!O259,0))</f>
        <v>419295.8</v>
      </c>
      <c r="V56" s="294">
        <f>+SUM(IF($I$49="SI",'Consolidado Programas'!P7,0),IF(Alternativas!$J$49="SI",'Consolidado Programas'!P21,0),IF($K$49="SI",'Consolidado Programas'!P35,0),IF(Alternativas!$L$49="SI",'Consolidado Programas'!P49,0),IF(Alternativas!$M$49="SI",'Consolidado Programas'!P63,0),IF(Alternativas!$N$49="SI",'Consolidado Programas'!P77,0),IF(Alternativas!$O$49="SI",'Consolidado Programas'!P91,0),IF(Alternativas!$P$49="SI",'Consolidado Programas'!P105,0),IF(Alternativas!$Q$49="SI",'Consolidado Programas'!P119,0),IF(Alternativas!$R$49="SI",'Consolidado Programas'!P133,0),IF(Alternativas!$S$49="SI",'Consolidado Programas'!P147,0),IF(Alternativas!$T$49="SI",'Consolidado Programas'!P161,0),IF(Alternativas!$U$49="SI",'Consolidado Programas'!P175,0),IF(Alternativas!$V$49="SI",'Consolidado Programas'!P189,0),IF(Alternativas!$W$49="SI",'Consolidado Programas'!P203,0),IF(Alternativas!$X$49="SI",'Consolidado Programas'!P217,0),IF(Alternativas!$Y$49="SI",'Consolidado Programas'!P231,0),IF(Alternativas!$Z$49="SI",'Consolidado Programas'!P245,0),IF(Alternativas!$AA$49="SI",'Consolidado Programas'!P259,0))</f>
        <v>332496.8</v>
      </c>
      <c r="W56" s="936"/>
    </row>
    <row r="57" spans="1:27" ht="18" x14ac:dyDescent="0.25">
      <c r="A57" s="1855"/>
      <c r="B57" s="931" t="str">
        <f>+A7</f>
        <v>P.2 Sectorización</v>
      </c>
      <c r="C57" s="931" t="str">
        <f>+VLOOKUP(LARGE('Consolidado Programas'!$C$270:$C$276,2),'Consolidado Programas'!$C$270:$D$276,2,FALSE)</f>
        <v>P.6 Búsqueda Sistemática de Fugas</v>
      </c>
      <c r="D57" s="932" t="str">
        <f>+IF(LARGE('Consolidado Programas'!$F$270:$F$276,2)&gt;=1,VLOOKUP(LARGE('Consolidado Programas'!$F$270:$F$276,2),'Consolidado Programas'!$F$270:$G$276,2,FALSE),"")</f>
        <v>P.6 Búsqueda Sistemática de Fugas</v>
      </c>
      <c r="E57" s="917"/>
      <c r="H57" s="741" t="s">
        <v>569</v>
      </c>
      <c r="I57" s="742" t="s">
        <v>566</v>
      </c>
      <c r="J57" s="295">
        <f>+J52-J55</f>
        <v>73231212</v>
      </c>
      <c r="K57" s="295">
        <f>+K52-K55</f>
        <v>74430655.752000004</v>
      </c>
      <c r="L57" s="295">
        <f>+L52-L55</f>
        <v>76697929</v>
      </c>
      <c r="M57" s="295">
        <f t="shared" ref="M57:V57" si="11">+M52-M55</f>
        <v>78596236.71811083</v>
      </c>
      <c r="N57" s="295">
        <f t="shared" si="11"/>
        <v>76842768.870479792</v>
      </c>
      <c r="O57" s="295">
        <f t="shared" si="11"/>
        <v>77302409.221410006</v>
      </c>
      <c r="P57" s="295">
        <f t="shared" si="11"/>
        <v>78244206.266012847</v>
      </c>
      <c r="Q57" s="295">
        <f t="shared" si="11"/>
        <v>78230275.263312325</v>
      </c>
      <c r="R57" s="295">
        <f t="shared" si="11"/>
        <v>78175994.111960083</v>
      </c>
      <c r="S57" s="295">
        <f t="shared" si="11"/>
        <v>81115768.369648218</v>
      </c>
      <c r="T57" s="295">
        <f t="shared" si="11"/>
        <v>81986483.640855551</v>
      </c>
      <c r="U57" s="295">
        <f t="shared" si="11"/>
        <v>83132286.229802713</v>
      </c>
      <c r="V57" s="295">
        <f t="shared" si="11"/>
        <v>84168854.476053879</v>
      </c>
    </row>
    <row r="58" spans="1:27" ht="30.75" thickBot="1" x14ac:dyDescent="0.3">
      <c r="A58" s="1856"/>
      <c r="B58" s="933" t="str">
        <f>+A8</f>
        <v>P.3 Gestión del Plano de Presiones</v>
      </c>
      <c r="C58" s="933" t="str">
        <f>+VLOOKUP(LARGE('Consolidado Programas'!$C$270:$C$276,3),'Consolidado Programas'!$C$270:$D$276,2,FALSE)</f>
        <v>P.3 Gestión del Plano de Presiones</v>
      </c>
      <c r="D58" s="934" t="str">
        <f>+IF(LARGE('Consolidado Programas'!$F$270:$F$276,3)&gt;=1,VLOOKUP(LARGE('Consolidado Programas'!$F$270:$F$276,3),'Consolidado Programas'!$F$270:$G$276,2,FALSE),"")</f>
        <v/>
      </c>
      <c r="E58" s="917"/>
      <c r="H58" s="741" t="s">
        <v>570</v>
      </c>
      <c r="I58" s="742" t="s">
        <v>566</v>
      </c>
      <c r="J58" s="295">
        <f>+J53+J56</f>
        <v>55779290</v>
      </c>
      <c r="K58" s="295">
        <f t="shared" ref="K58:V58" si="12">+K53+K56</f>
        <v>56646487</v>
      </c>
      <c r="L58" s="295">
        <f t="shared" si="12"/>
        <v>57114170</v>
      </c>
      <c r="M58" s="295">
        <f t="shared" si="12"/>
        <v>58309143.871878952</v>
      </c>
      <c r="N58" s="295">
        <f t="shared" si="12"/>
        <v>60854089.165097021</v>
      </c>
      <c r="O58" s="295">
        <f t="shared" si="12"/>
        <v>61387820.241799906</v>
      </c>
      <c r="P58" s="295">
        <f t="shared" si="12"/>
        <v>62043456.655604452</v>
      </c>
      <c r="Q58" s="295">
        <f t="shared" si="12"/>
        <v>62421579.913765579</v>
      </c>
      <c r="R58" s="295">
        <f t="shared" si="12"/>
        <v>62002290.850212142</v>
      </c>
      <c r="S58" s="295">
        <f t="shared" si="12"/>
        <v>62621296.03445749</v>
      </c>
      <c r="T58" s="295">
        <f t="shared" si="12"/>
        <v>63214774.218702838</v>
      </c>
      <c r="U58" s="295">
        <f t="shared" si="12"/>
        <v>63783043.402948424</v>
      </c>
      <c r="V58" s="295">
        <f t="shared" si="12"/>
        <v>64326417.587194011</v>
      </c>
    </row>
    <row r="59" spans="1:27" ht="30" x14ac:dyDescent="0.25">
      <c r="A59" s="1854" t="s">
        <v>917</v>
      </c>
      <c r="B59" s="1076"/>
      <c r="C59" s="929" t="str">
        <f>+VLOOKUP(LARGE('Consolidado Programas'!$C$278:$C$288,1),'Consolidado Programas'!$C$278:$D$288,2,FALSE)</f>
        <v>P.9 Renovación de Medidores (Cambio Masivo)</v>
      </c>
      <c r="D59" s="1077" t="str">
        <f>+VLOOKUP(LARGE('Consolidado Programas'!$F$278:$F$288,1),'Consolidado Programas'!$F$278:$G$288,2,FALSE)</f>
        <v>P.16 Caracterización de Comunidades Ilegales</v>
      </c>
      <c r="E59" s="917"/>
      <c r="H59" s="741" t="s">
        <v>571</v>
      </c>
      <c r="I59" s="742" t="s">
        <v>105</v>
      </c>
      <c r="J59" s="296">
        <f>+(J57-J58)/J57*100</f>
        <v>23.831262003420072</v>
      </c>
      <c r="K59" s="296">
        <f t="shared" ref="K59:P59" si="13">+(K57-K58)/K57*100</f>
        <v>23.893607509325392</v>
      </c>
      <c r="L59" s="296">
        <f t="shared" si="13"/>
        <v>25.533621644464482</v>
      </c>
      <c r="M59" s="296">
        <f t="shared" si="13"/>
        <v>25.811786535012494</v>
      </c>
      <c r="N59" s="296">
        <f t="shared" si="13"/>
        <v>20.807006228955714</v>
      </c>
      <c r="O59" s="296">
        <f t="shared" si="13"/>
        <v>20.58744240949521</v>
      </c>
      <c r="P59" s="296">
        <f t="shared" si="13"/>
        <v>20.705366420779399</v>
      </c>
      <c r="Q59" s="296">
        <f t="shared" ref="Q59:V59" si="14">IFERROR((Q57-Q58)/Q57*100,"")</f>
        <v>20.207899430670359</v>
      </c>
      <c r="R59" s="296">
        <f t="shared" si="14"/>
        <v>20.688836062109683</v>
      </c>
      <c r="S59" s="296">
        <f t="shared" si="14"/>
        <v>22.800095107169032</v>
      </c>
      <c r="T59" s="296">
        <f t="shared" si="14"/>
        <v>22.896102611721698</v>
      </c>
      <c r="U59" s="296">
        <f t="shared" si="14"/>
        <v>23.275244437963785</v>
      </c>
      <c r="V59" s="296">
        <f t="shared" si="14"/>
        <v>23.57455974942021</v>
      </c>
      <c r="W59" s="733"/>
    </row>
    <row r="60" spans="1:27" ht="18" x14ac:dyDescent="0.25">
      <c r="A60" s="1855"/>
      <c r="B60" s="917"/>
      <c r="C60" s="931" t="str">
        <f>+VLOOKUP(LARGE('Consolidado Programas'!$C$278:$C$288,2),'Consolidado Programas'!$C$278:$D$288,2,FALSE)</f>
        <v>P.10 Gestión de Fraudes</v>
      </c>
      <c r="D60" s="1078" t="str">
        <f>+VLOOKUP(LARGE('Consolidado Programas'!$F$278:$F$288,2),'Consolidado Programas'!$F$278:$G$288,2,FALSE)</f>
        <v>P.17 Grandes Consumidores</v>
      </c>
      <c r="E60" s="917"/>
      <c r="H60" s="741" t="s">
        <v>572</v>
      </c>
      <c r="I60" s="1116" t="s">
        <v>573</v>
      </c>
      <c r="J60" s="296">
        <f>+J57/(J54*12)</f>
        <v>19.163932521463877</v>
      </c>
      <c r="K60" s="296">
        <f t="shared" ref="K60:P60" si="15">+K57/(K54*12)</f>
        <v>19.055350338861206</v>
      </c>
      <c r="L60" s="296">
        <f t="shared" si="15"/>
        <v>19.16995813987899</v>
      </c>
      <c r="M60" s="296">
        <f t="shared" si="15"/>
        <v>19.154535055284398</v>
      </c>
      <c r="N60" s="296">
        <f t="shared" si="15"/>
        <v>18.324116489508079</v>
      </c>
      <c r="O60" s="296">
        <f t="shared" si="15"/>
        <v>18.04586195869004</v>
      </c>
      <c r="P60" s="296">
        <f t="shared" si="15"/>
        <v>17.881218386410286</v>
      </c>
      <c r="Q60" s="296">
        <f t="shared" ref="Q60:V60" si="16">IFERROR(Q57/(Q54*12),"")</f>
        <v>17.501743962962639</v>
      </c>
      <c r="R60" s="296">
        <f t="shared" si="16"/>
        <v>17.121485016749812</v>
      </c>
      <c r="S60" s="296">
        <f t="shared" si="16"/>
        <v>17.39141240433467</v>
      </c>
      <c r="T60" s="296">
        <f t="shared" si="16"/>
        <v>17.208118068405692</v>
      </c>
      <c r="U60" s="296">
        <f t="shared" si="16"/>
        <v>17.081357845617084</v>
      </c>
      <c r="V60" s="296">
        <f t="shared" si="16"/>
        <v>16.930338177401637</v>
      </c>
    </row>
    <row r="61" spans="1:27" ht="30" customHeight="1" x14ac:dyDescent="0.25">
      <c r="A61" s="1855"/>
      <c r="B61" s="917"/>
      <c r="C61" s="931" t="str">
        <f>+VLOOKUP(LARGE('Consolidado Programas'!$C$278:$C$288,3),'Consolidado Programas'!$C$278:$D$288,2,FALSE)</f>
        <v>P.16 Caracterización de Comunidades Ilegales</v>
      </c>
      <c r="D61" s="1078" t="str">
        <f>+VLOOKUP(LARGE('Consolidado Programas'!$F$278:$F$288,3),'Consolidado Programas'!$F$278:$G$288,2,FALSE)</f>
        <v>P.14 Seguimiento y control medidores grandes diámetros</v>
      </c>
      <c r="E61" s="917"/>
      <c r="H61" s="741" t="s">
        <v>574</v>
      </c>
      <c r="I61" s="1116" t="s">
        <v>573</v>
      </c>
      <c r="J61" s="296">
        <f>+J58/(J54*12)</f>
        <v>14.596925552115195</v>
      </c>
      <c r="K61" s="296">
        <f t="shared" ref="K61:P61" si="17">+K58/(K54*12)</f>
        <v>14.502339719366804</v>
      </c>
      <c r="L61" s="296">
        <f t="shared" si="17"/>
        <v>14.275173559040066</v>
      </c>
      <c r="M61" s="296">
        <f t="shared" si="17"/>
        <v>14.210407355040253</v>
      </c>
      <c r="N61" s="296">
        <f t="shared" si="17"/>
        <v>14.511416430135032</v>
      </c>
      <c r="O61" s="296">
        <f t="shared" si="17"/>
        <v>14.330680520647723</v>
      </c>
      <c r="P61" s="296">
        <f t="shared" si="17"/>
        <v>14.178846599004258</v>
      </c>
      <c r="Q61" s="296">
        <f t="shared" ref="Q61:V61" si="18">IFERROR(Q58/(Q54*12),"")</f>
        <v>13.965009144313727</v>
      </c>
      <c r="R61" s="296">
        <f t="shared" si="18"/>
        <v>13.57924905023577</v>
      </c>
      <c r="S61" s="296">
        <f t="shared" si="18"/>
        <v>13.426153835666371</v>
      </c>
      <c r="T61" s="296">
        <f t="shared" si="18"/>
        <v>13.268129697917303</v>
      </c>
      <c r="U61" s="296">
        <f t="shared" si="18"/>
        <v>13.105630053726404</v>
      </c>
      <c r="V61" s="296">
        <f t="shared" si="18"/>
        <v>12.939085487991189</v>
      </c>
    </row>
    <row r="62" spans="1:27" ht="30" customHeight="1" x14ac:dyDescent="0.25">
      <c r="A62" s="1855"/>
      <c r="B62" s="917"/>
      <c r="C62" s="931"/>
      <c r="D62" s="1078" t="str">
        <f>+IF(LARGE('Consolidado Programas'!$F$278:$F$288,4)&gt;=1,VLOOKUP(LARGE('Consolidado Programas'!$F$278:$F$288,4),'Consolidado Programas'!$F$278:$G$288,2,FALSE),"")</f>
        <v>P.13 Seguimiento anomalías</v>
      </c>
      <c r="E62" s="917"/>
      <c r="H62" s="741" t="s">
        <v>575</v>
      </c>
      <c r="I62" s="1116" t="s">
        <v>573</v>
      </c>
      <c r="J62" s="749">
        <f>+J60-J61</f>
        <v>4.5670069693486823</v>
      </c>
      <c r="K62" s="749">
        <f t="shared" ref="K62:P62" si="19">+K60-K61</f>
        <v>4.5530106194944029</v>
      </c>
      <c r="L62" s="749">
        <f t="shared" si="19"/>
        <v>4.8947845808389232</v>
      </c>
      <c r="M62" s="749">
        <f t="shared" si="19"/>
        <v>4.9441277002441453</v>
      </c>
      <c r="N62" s="749">
        <f t="shared" si="19"/>
        <v>3.8127000593730465</v>
      </c>
      <c r="O62" s="749">
        <f t="shared" si="19"/>
        <v>3.7151814380423165</v>
      </c>
      <c r="P62" s="749">
        <f t="shared" si="19"/>
        <v>3.7023717874060278</v>
      </c>
      <c r="Q62" s="296">
        <f t="shared" ref="Q62:V62" si="20">IFERROR(Q60-Q61,"")</f>
        <v>3.5367348186489114</v>
      </c>
      <c r="R62" s="296">
        <f t="shared" si="20"/>
        <v>3.5422359665140419</v>
      </c>
      <c r="S62" s="296">
        <f t="shared" si="20"/>
        <v>3.9652585686682986</v>
      </c>
      <c r="T62" s="296">
        <f t="shared" si="20"/>
        <v>3.9399883704883898</v>
      </c>
      <c r="U62" s="296">
        <f t="shared" si="20"/>
        <v>3.9757277918906802</v>
      </c>
      <c r="V62" s="296">
        <f t="shared" si="20"/>
        <v>3.9912526894104481</v>
      </c>
    </row>
    <row r="63" spans="1:27" ht="30" customHeight="1" x14ac:dyDescent="0.25">
      <c r="A63" s="1855"/>
      <c r="B63" s="917"/>
      <c r="C63" s="917"/>
      <c r="D63" s="1078" t="str">
        <f>+IF(LARGE('Consolidado Programas'!$F$278:$F$288,5)&gt;=1,VLOOKUP(LARGE('Consolidado Programas'!$F$278:$F$288,5),'Consolidado Programas'!$F$278:$G$288,2,FALSE),"")</f>
        <v>P.12 Seguimiento Usuarios Consumo 0 e Inactivos</v>
      </c>
      <c r="E63" s="917"/>
      <c r="T63" s="1853" t="str">
        <f>+CONCATENATE("La ", H45, " la cual incorpora los programas ", I46, IF(AVERAGE(M62:V62)&lt;$S$3," CUMPLE "," NO CUMPLE "),"con las metas propuestas por la ESP")</f>
        <v>La ALTERNATIVA No. 2 la cual incorpora los programas 1, 2, 3, 4, 5, 6, 7, 9, 10, 12, 13, 14, 15, 16, 17,  CUMPLE con las metas propuestas por la ESP</v>
      </c>
      <c r="U63" s="1853"/>
      <c r="V63" s="1853"/>
    </row>
    <row r="64" spans="1:27" ht="30" customHeight="1" x14ac:dyDescent="0.25">
      <c r="A64" s="1855"/>
      <c r="B64" s="917"/>
      <c r="C64" s="917"/>
      <c r="D64" s="1078" t="str">
        <f>+IF(LARGE('Consolidado Programas'!$F$278:$F$288,6)&gt;=1,VLOOKUP(LARGE('Consolidado Programas'!$F$278:$F$288,6),'Consolidado Programas'!$F$278:$G$288,2,FALSE),"")</f>
        <v>P.10 Gestión de Fraudes</v>
      </c>
      <c r="E64" s="917"/>
      <c r="Q64" s="733"/>
      <c r="T64" s="1853"/>
      <c r="U64" s="1853"/>
      <c r="V64" s="1853"/>
    </row>
    <row r="65" spans="1:22" ht="30" customHeight="1" x14ac:dyDescent="0.25">
      <c r="A65" s="1855"/>
      <c r="B65" s="917"/>
      <c r="C65" s="917"/>
      <c r="D65" s="1078" t="str">
        <f>+IF(LARGE('Consolidado Programas'!$F$278:$F$288,7)&gt;=1,VLOOKUP(LARGE('Consolidado Programas'!$F$278:$F$288,7),'Consolidado Programas'!$F$278:$G$288,2,FALSE),"")</f>
        <v>P.15 Actualización Catastro de Usuarios y Georeferenciación</v>
      </c>
      <c r="E65" s="917"/>
      <c r="Q65" s="1137"/>
      <c r="R65" s="733"/>
      <c r="T65" s="1853"/>
      <c r="U65" s="1853"/>
      <c r="V65" s="1853"/>
    </row>
    <row r="66" spans="1:22" ht="30" customHeight="1" x14ac:dyDescent="0.25">
      <c r="A66" s="1855"/>
      <c r="B66" s="917"/>
      <c r="C66" s="917"/>
      <c r="D66" s="1078" t="str">
        <f>+IF(LARGE('Consolidado Programas'!$F$278:$F$288,8)&gt;=1,VLOOKUP(LARGE('Consolidado Programas'!$F$278:$F$288,8),'Consolidado Programas'!$F$278:$G$288,2,FALSE),"")</f>
        <v/>
      </c>
      <c r="E66" s="917"/>
      <c r="R66" s="1137"/>
      <c r="T66" s="1853"/>
      <c r="U66" s="1853"/>
      <c r="V66" s="1853"/>
    </row>
    <row r="67" spans="1:22" ht="30" customHeight="1" x14ac:dyDescent="0.25">
      <c r="A67" s="1855"/>
      <c r="B67" s="917"/>
      <c r="C67" s="917"/>
      <c r="D67" s="1078" t="str">
        <f>+IF(LARGE('Consolidado Programas'!$F$278:$F$288,9)&gt;=1,VLOOKUP(LARGE('Consolidado Programas'!$F$278:$F$288,9),'Consolidado Programas'!$F$278:$G$288,2,FALSE),"")</f>
        <v/>
      </c>
      <c r="E67" s="917"/>
      <c r="T67" s="1853"/>
      <c r="U67" s="1853"/>
      <c r="V67" s="1853"/>
    </row>
    <row r="68" spans="1:22" x14ac:dyDescent="0.25">
      <c r="A68" s="1855"/>
      <c r="B68" s="917"/>
      <c r="C68" s="917"/>
      <c r="D68" s="1078" t="str">
        <f>+IF(LARGE('Consolidado Programas'!$F$278:$F$288,10)&gt;=1,VLOOKUP(LARGE('Consolidado Programas'!$F$278:$F$288,10),'Consolidado Programas'!$F$278:$G$288,2,FALSE),"")</f>
        <v/>
      </c>
      <c r="E68" s="917"/>
      <c r="T68" s="1853"/>
      <c r="U68" s="1853"/>
      <c r="V68" s="1853"/>
    </row>
    <row r="69" spans="1:22" ht="15.75" thickBot="1" x14ac:dyDescent="0.3">
      <c r="A69" s="1856"/>
      <c r="B69" s="1079"/>
      <c r="C69" s="1079"/>
      <c r="D69" s="1080" t="str">
        <f>+IF(LARGE('Consolidado Programas'!$F$278:$F$288,11)&gt;=1,VLOOKUP(LARGE('Consolidado Programas'!$F$278:$F$288,11),'Consolidado Programas'!$F$278:$G$288,2,FALSE),"")</f>
        <v/>
      </c>
      <c r="E69" s="917"/>
      <c r="T69" s="1853"/>
      <c r="U69" s="1853"/>
      <c r="V69" s="1853"/>
    </row>
    <row r="70" spans="1:22" x14ac:dyDescent="0.25">
      <c r="A70" s="917"/>
      <c r="B70" s="917"/>
      <c r="C70" s="917"/>
      <c r="D70" s="917"/>
      <c r="E70" s="917"/>
      <c r="T70" s="1853"/>
      <c r="U70" s="1853"/>
      <c r="V70" s="1853"/>
    </row>
    <row r="71" spans="1:22" x14ac:dyDescent="0.25">
      <c r="A71" s="917"/>
      <c r="B71" s="917"/>
      <c r="C71" s="917"/>
      <c r="D71" s="917"/>
      <c r="E71" s="917"/>
      <c r="T71" s="1853"/>
      <c r="U71" s="1853"/>
      <c r="V71" s="1853"/>
    </row>
    <row r="72" spans="1:22" x14ac:dyDescent="0.25">
      <c r="A72" s="917"/>
      <c r="B72" s="917"/>
      <c r="C72" s="917"/>
      <c r="D72" s="917"/>
      <c r="E72" s="917"/>
      <c r="T72" s="1853"/>
      <c r="U72" s="1853"/>
      <c r="V72" s="1853"/>
    </row>
    <row r="73" spans="1:22" x14ac:dyDescent="0.25">
      <c r="A73" s="917"/>
      <c r="B73" s="917"/>
      <c r="C73" s="917"/>
      <c r="D73" s="917"/>
      <c r="E73" s="917"/>
      <c r="T73" s="1853"/>
      <c r="U73" s="1853"/>
      <c r="V73" s="1853"/>
    </row>
    <row r="74" spans="1:22" x14ac:dyDescent="0.25">
      <c r="A74" s="917"/>
      <c r="B74" s="917"/>
      <c r="C74" s="917"/>
      <c r="D74" s="917"/>
      <c r="E74" s="917"/>
      <c r="T74" s="1853"/>
      <c r="U74" s="1853"/>
      <c r="V74" s="1853"/>
    </row>
    <row r="75" spans="1:22" x14ac:dyDescent="0.25">
      <c r="A75" s="917"/>
      <c r="B75" s="917"/>
      <c r="C75" s="917"/>
      <c r="D75" s="917"/>
      <c r="E75" s="917"/>
      <c r="T75" s="1853"/>
      <c r="U75" s="1853"/>
      <c r="V75" s="1853"/>
    </row>
    <row r="76" spans="1:22" x14ac:dyDescent="0.25">
      <c r="A76" s="917"/>
      <c r="B76" s="917"/>
      <c r="C76" s="917"/>
      <c r="D76" s="917"/>
      <c r="E76" s="917"/>
      <c r="T76" s="1853"/>
      <c r="U76" s="1853"/>
      <c r="V76" s="1853"/>
    </row>
    <row r="77" spans="1:22" x14ac:dyDescent="0.25">
      <c r="A77" s="917"/>
      <c r="B77" s="917"/>
      <c r="C77" s="917"/>
      <c r="D77" s="917"/>
      <c r="E77" s="917"/>
      <c r="T77" s="1853"/>
      <c r="U77" s="1853"/>
      <c r="V77" s="1853"/>
    </row>
    <row r="78" spans="1:22" x14ac:dyDescent="0.25">
      <c r="A78" s="917"/>
      <c r="B78" s="917"/>
      <c r="C78" s="917"/>
      <c r="D78" s="917"/>
      <c r="E78" s="917"/>
      <c r="T78" s="1853"/>
      <c r="U78" s="1853"/>
      <c r="V78" s="1853"/>
    </row>
    <row r="79" spans="1:22" x14ac:dyDescent="0.25">
      <c r="A79" s="917"/>
      <c r="B79" s="917"/>
      <c r="C79" s="917"/>
      <c r="D79" s="917"/>
      <c r="E79" s="917"/>
      <c r="T79" s="1853"/>
      <c r="U79" s="1853"/>
      <c r="V79" s="1853"/>
    </row>
    <row r="80" spans="1:22" x14ac:dyDescent="0.25">
      <c r="A80" s="917"/>
      <c r="B80" s="917"/>
      <c r="C80" s="917"/>
      <c r="D80" s="917"/>
      <c r="E80" s="917"/>
    </row>
    <row r="81" spans="1:27" x14ac:dyDescent="0.25">
      <c r="A81" s="917"/>
      <c r="B81" s="917"/>
      <c r="C81" s="917"/>
      <c r="D81" s="917"/>
      <c r="E81" s="917"/>
    </row>
    <row r="82" spans="1:27" x14ac:dyDescent="0.25">
      <c r="A82" s="917"/>
      <c r="B82" s="917"/>
      <c r="C82" s="917"/>
      <c r="D82" s="917"/>
      <c r="E82" s="917"/>
    </row>
    <row r="83" spans="1:27" x14ac:dyDescent="0.25">
      <c r="A83" s="917"/>
      <c r="B83" s="917"/>
      <c r="C83" s="917"/>
      <c r="D83" s="917"/>
      <c r="E83" s="917"/>
    </row>
    <row r="84" spans="1:27" x14ac:dyDescent="0.25">
      <c r="A84" s="917"/>
      <c r="B84" s="917"/>
      <c r="C84" s="917"/>
      <c r="D84" s="917"/>
      <c r="E84" s="917"/>
    </row>
    <row r="85" spans="1:27" x14ac:dyDescent="0.25">
      <c r="A85" s="917"/>
      <c r="B85" s="917"/>
      <c r="C85" s="917"/>
      <c r="D85" s="917"/>
      <c r="E85" s="917"/>
    </row>
    <row r="86" spans="1:27" x14ac:dyDescent="0.25">
      <c r="A86" s="917"/>
      <c r="B86" s="917"/>
      <c r="C86" s="917"/>
      <c r="D86" s="917"/>
      <c r="E86" s="917"/>
    </row>
    <row r="87" spans="1:27" x14ac:dyDescent="0.25">
      <c r="A87" s="917"/>
      <c r="B87" s="917"/>
      <c r="C87" s="917"/>
      <c r="D87" s="917"/>
      <c r="E87" s="917"/>
      <c r="H87" s="1852" t="s">
        <v>733</v>
      </c>
      <c r="I87" s="1852"/>
    </row>
    <row r="88" spans="1:27" x14ac:dyDescent="0.25">
      <c r="A88" s="917"/>
      <c r="B88" s="917"/>
      <c r="C88" s="917"/>
      <c r="D88" s="917"/>
      <c r="E88" s="917"/>
      <c r="H88" s="730" t="s">
        <v>585</v>
      </c>
      <c r="I88" s="744" t="str">
        <f>+CONCATENATE(IF(I91="SI",I90 &amp; ", ",""),IF(J91="SI",J90&amp; ", ",""),IF(K91="SI",K90&amp; ", ",""),IF(L91="SI",L90&amp; ", ",""),IF(M91="SI",M90&amp; ", ",""),IF(N91="SI",N90&amp; ", ",""),IF(O91="SI",O90&amp; ", ",""),IF(P91="SI",P90&amp; ", ",""),IF(Q91="SI",Q90&amp; ", ",""),IF(R91="SI",R90&amp; ", ",""),IF(S91="SI",S90&amp; ", ",""),IF(T91="SI",T90&amp;", ",""),IF(U91="SI",U90&amp; ", ",""),IF(V91="SI",V90&amp; ", ",""),IF(W91="SI",W90&amp; ", ",""),IF(X91="SI",X90&amp; ", ",""),IF(Y91="SI",Y90&amp; ", ",""),IF(Z91="SI",Z90&amp; ", ",""),IF(AA91="SI",AA90,""))</f>
        <v/>
      </c>
      <c r="J88" s="732" t="s">
        <v>586</v>
      </c>
      <c r="K88" s="745">
        <f>+SUM(IF($I$91="SI",C6,0),IF(Alternativas!$J$91="SI",C7,0),IF($K$91="SI",C8,0),IF(Alternativas!$L$91="SI",C9,0),IF(Alternativas!$M$91="SI",C10,0),IF(Alternativas!$N$91="SI",C11,0),IF(Alternativas!$O$91="SI",C12,0),IF(Alternativas!$P$91="SI",C13,0),IF(Alternativas!$Q$91="SI",C14,0),IF(Alternativas!$R$91="SI",C15,0),IF(Alternativas!$S$91="SI",C16,0),IF(Alternativas!$T$91="SI",C17,0),IF(Alternativas!$U$91="SI",C18,0),IF(Alternativas!$V$91="SI",C19,0),IF(Alternativas!$W$91="SI",C20,0),IF(Alternativas!$X$91="SI",C21,0),IF(Alternativas!$Y$91="SI",C22,0),IF(Alternativas!$Z$91="SI",C23,0),IF(Alternativas!$AA$91="SI",C24,0))</f>
        <v>0</v>
      </c>
    </row>
    <row r="89" spans="1:27" x14ac:dyDescent="0.25">
      <c r="A89" s="917"/>
      <c r="B89" s="917"/>
      <c r="C89" s="917"/>
      <c r="D89" s="917"/>
      <c r="E89" s="917"/>
      <c r="H89" s="730" t="s">
        <v>668</v>
      </c>
      <c r="I89" s="748" t="str">
        <f>IFERROR(K88/K89,"")</f>
        <v/>
      </c>
      <c r="J89" s="732" t="s">
        <v>590</v>
      </c>
      <c r="K89" s="745">
        <f>+SUM(IF($I$91="SI",D6,0),IF(Alternativas!$J$91="SI",D7,0),IF($K$91="SI",D8,0),IF(Alternativas!$L$91="SI",D9,0),IF(Alternativas!$M$91="SI",D10,0),IF(Alternativas!$N$91="SI",D11,0),IF(Alternativas!$O$91="SI",D12,0),IF(Alternativas!$P$91="SI",D13,0),IF(Alternativas!$Q$91="SI",D14,0),IF(Alternativas!$R$91="SI",D15,0),IF(Alternativas!$S$91="SI",D16,0),IF(Alternativas!$T$91="SI",D17,0),IF(Alternativas!$U$91="SI",D18,0),IF(Alternativas!$V$91="SI",D19,0),IF(Alternativas!$W$91="SI",D20,0),IF(Alternativas!$X$91="SI",D21,0),IF(Alternativas!$Y$91="SI",D22,0),IF(Alternativas!$Z$91="SI",D23,0),IF(Alternativas!$AA$91="SI",D24,0))</f>
        <v>0</v>
      </c>
    </row>
    <row r="90" spans="1:27" x14ac:dyDescent="0.25">
      <c r="A90" s="917"/>
      <c r="B90" s="917"/>
      <c r="C90" s="917"/>
      <c r="D90" s="917"/>
      <c r="E90" s="917"/>
      <c r="H90" s="1857" t="s">
        <v>592</v>
      </c>
      <c r="I90" s="738">
        <v>1</v>
      </c>
      <c r="J90" s="738">
        <v>2</v>
      </c>
      <c r="K90" s="738">
        <v>3</v>
      </c>
      <c r="L90" s="738">
        <v>4</v>
      </c>
      <c r="M90" s="738">
        <v>5</v>
      </c>
      <c r="N90" s="738">
        <v>6</v>
      </c>
      <c r="O90" s="738">
        <v>7</v>
      </c>
      <c r="P90" s="738">
        <v>8</v>
      </c>
      <c r="Q90" s="738">
        <v>9</v>
      </c>
      <c r="R90" s="738">
        <v>10</v>
      </c>
      <c r="S90" s="738">
        <v>11</v>
      </c>
      <c r="T90" s="738">
        <v>12</v>
      </c>
      <c r="U90" s="738">
        <v>13</v>
      </c>
      <c r="V90" s="738">
        <v>14</v>
      </c>
      <c r="W90" s="738">
        <v>15</v>
      </c>
      <c r="X90" s="738">
        <v>16</v>
      </c>
      <c r="Y90" s="738">
        <v>17</v>
      </c>
      <c r="Z90" s="738">
        <v>18</v>
      </c>
      <c r="AA90" s="738">
        <v>19</v>
      </c>
    </row>
    <row r="91" spans="1:27" x14ac:dyDescent="0.25">
      <c r="A91" s="917"/>
      <c r="B91" s="917"/>
      <c r="C91" s="917"/>
      <c r="D91" s="917"/>
      <c r="E91" s="917"/>
      <c r="H91" s="1857"/>
      <c r="I91" s="739"/>
      <c r="J91" s="739"/>
      <c r="K91" s="739"/>
      <c r="L91" s="739"/>
      <c r="M91" s="739"/>
      <c r="N91" s="739"/>
      <c r="O91" s="739"/>
      <c r="P91" s="961"/>
      <c r="Q91" s="739"/>
      <c r="R91" s="739"/>
      <c r="S91" s="739"/>
      <c r="T91" s="739"/>
      <c r="U91" s="739"/>
      <c r="V91" s="739"/>
      <c r="W91" s="739"/>
      <c r="X91" s="739"/>
      <c r="Y91" s="739"/>
      <c r="Z91" s="739"/>
      <c r="AA91" s="739"/>
    </row>
    <row r="92" spans="1:27" x14ac:dyDescent="0.25">
      <c r="A92" s="917"/>
      <c r="B92" s="917"/>
      <c r="C92" s="917"/>
      <c r="D92" s="917"/>
      <c r="E92" s="917"/>
      <c r="H92" s="726" t="s">
        <v>601</v>
      </c>
      <c r="I92" s="734"/>
    </row>
    <row r="93" spans="1:27" ht="18" x14ac:dyDescent="0.25">
      <c r="A93" s="917"/>
      <c r="B93" s="917"/>
      <c r="C93" s="917"/>
      <c r="D93" s="917"/>
      <c r="E93" s="917"/>
      <c r="H93" s="740" t="s">
        <v>733</v>
      </c>
      <c r="I93" s="740" t="s">
        <v>596</v>
      </c>
      <c r="J93" s="741" t="s">
        <v>557</v>
      </c>
      <c r="K93" s="741" t="s">
        <v>558</v>
      </c>
      <c r="L93" s="741" t="s">
        <v>559</v>
      </c>
      <c r="M93" s="741" t="s">
        <v>560</v>
      </c>
      <c r="N93" s="741" t="s">
        <v>561</v>
      </c>
      <c r="O93" s="741" t="s">
        <v>562</v>
      </c>
      <c r="P93" s="741" t="s">
        <v>563</v>
      </c>
      <c r="Q93" s="741" t="s">
        <v>564</v>
      </c>
      <c r="R93" s="741" t="s">
        <v>565</v>
      </c>
      <c r="S93" s="741" t="s">
        <v>1029</v>
      </c>
      <c r="T93" s="741" t="s">
        <v>1030</v>
      </c>
      <c r="U93" s="741" t="s">
        <v>1031</v>
      </c>
      <c r="V93" s="741" t="s">
        <v>1032</v>
      </c>
    </row>
    <row r="94" spans="1:27" ht="18" x14ac:dyDescent="0.25">
      <c r="A94" s="917"/>
      <c r="B94" s="917"/>
      <c r="C94" s="917"/>
      <c r="D94" s="917"/>
      <c r="E94" s="917"/>
      <c r="H94" s="741" t="s">
        <v>891</v>
      </c>
      <c r="I94" s="742" t="s">
        <v>566</v>
      </c>
      <c r="J94" s="265">
        <f>+'Consolidado Programas'!D3</f>
        <v>73231212</v>
      </c>
      <c r="K94" s="265">
        <f>+'Consolidado Programas'!E3</f>
        <v>74430655.752000004</v>
      </c>
      <c r="L94" s="265">
        <f>+'Consolidado Programas'!F3</f>
        <v>76697929</v>
      </c>
      <c r="M94" s="265">
        <f>+'Consolidado Programas'!G3</f>
        <v>79443376.444158807</v>
      </c>
      <c r="N94" s="265">
        <f>+'Consolidado Programas'!H3</f>
        <v>81346804.018574134</v>
      </c>
      <c r="O94" s="265">
        <f>+'Consolidado Programas'!I3</f>
        <v>83117762.153032988</v>
      </c>
      <c r="P94" s="265">
        <f>+'Consolidado Programas'!J3</f>
        <v>84376813.900286376</v>
      </c>
      <c r="Q94" s="265">
        <f>+'Consolidado Programas'!K3</f>
        <v>85817253.249695092</v>
      </c>
      <c r="R94" s="265">
        <f>+'Consolidado Programas'!L3</f>
        <v>87087721.932827741</v>
      </c>
      <c r="S94" s="265">
        <f>+'Consolidado Programas'!M3</f>
        <v>87996585.401466116</v>
      </c>
      <c r="T94" s="265">
        <f>+'Consolidado Programas'!N3</f>
        <v>89565016.865754709</v>
      </c>
      <c r="U94" s="265">
        <f>+'Consolidado Programas'!O3</f>
        <v>91133448.330042839</v>
      </c>
      <c r="V94" s="265">
        <f>+'Consolidado Programas'!P3</f>
        <v>92701879.794331446</v>
      </c>
    </row>
    <row r="95" spans="1:27" ht="18" x14ac:dyDescent="0.25">
      <c r="A95" s="917"/>
      <c r="B95" s="917"/>
      <c r="C95" s="917"/>
      <c r="D95" s="917"/>
      <c r="E95" s="917"/>
      <c r="H95" s="741" t="s">
        <v>892</v>
      </c>
      <c r="I95" s="742" t="s">
        <v>566</v>
      </c>
      <c r="J95" s="265">
        <f>+'Consolidado Programas'!D4</f>
        <v>55779290</v>
      </c>
      <c r="K95" s="265">
        <f>+'Consolidado Programas'!E4</f>
        <v>56646487</v>
      </c>
      <c r="L95" s="265">
        <f>+'Consolidado Programas'!F4</f>
        <v>57114170</v>
      </c>
      <c r="M95" s="265">
        <f>+'Consolidado Programas'!G4</f>
        <v>57381362.231400006</v>
      </c>
      <c r="N95" s="265">
        <f>+'Consolidado Programas'!H4</f>
        <v>59731641</v>
      </c>
      <c r="O95" s="265">
        <f>+'Consolidado Programas'!I4</f>
        <v>60100673</v>
      </c>
      <c r="P95" s="265">
        <f>+'Consolidado Programas'!J4</f>
        <v>60553470</v>
      </c>
      <c r="Q95" s="265">
        <f>+'Consolidado Programas'!K4</f>
        <v>61116311</v>
      </c>
      <c r="R95" s="265">
        <f>+'Consolidado Programas'!L4</f>
        <v>61473228.050212145</v>
      </c>
      <c r="S95" s="265">
        <f>+'Consolidado Programas'!M4</f>
        <v>62103401.234457493</v>
      </c>
      <c r="T95" s="265">
        <f>+'Consolidado Programas'!N4</f>
        <v>62733574.418702841</v>
      </c>
      <c r="U95" s="265">
        <f>+'Consolidado Programas'!O4</f>
        <v>63363747.602948427</v>
      </c>
      <c r="V95" s="265">
        <f>+'Consolidado Programas'!P4</f>
        <v>63993920.787194014</v>
      </c>
    </row>
    <row r="96" spans="1:27" ht="18" x14ac:dyDescent="0.25">
      <c r="A96" s="917"/>
      <c r="B96" s="917"/>
      <c r="C96" s="917"/>
      <c r="D96" s="917"/>
      <c r="E96" s="917"/>
      <c r="H96" s="741" t="s">
        <v>102</v>
      </c>
      <c r="I96" s="742" t="s">
        <v>566</v>
      </c>
      <c r="J96" s="265">
        <f>+'Consolidado Programas'!D5</f>
        <v>318442</v>
      </c>
      <c r="K96" s="265">
        <f>+'Consolidado Programas'!E5</f>
        <v>325502</v>
      </c>
      <c r="L96" s="265">
        <f>+'Consolidado Programas'!F5</f>
        <v>333412</v>
      </c>
      <c r="M96" s="265">
        <f>+'Consolidado Programas'!G5</f>
        <v>341939.19999999995</v>
      </c>
      <c r="N96" s="265">
        <f>+'Consolidado Programas'!H5</f>
        <v>349461</v>
      </c>
      <c r="O96" s="265">
        <f>+'Consolidado Programas'!I5</f>
        <v>356972</v>
      </c>
      <c r="P96" s="265">
        <f>+'Consolidado Programas'!J5</f>
        <v>364648</v>
      </c>
      <c r="Q96" s="265">
        <f>+'Consolidado Programas'!K5</f>
        <v>372488</v>
      </c>
      <c r="R96" s="265">
        <f>+'Consolidado Programas'!L5</f>
        <v>380496.56146201264</v>
      </c>
      <c r="S96" s="265">
        <f>+'Consolidado Programas'!M5</f>
        <v>388677.30848890479</v>
      </c>
      <c r="T96" s="265">
        <f>+'Consolidado Programas'!N5</f>
        <v>397033.94310243073</v>
      </c>
      <c r="U96" s="265">
        <f>+'Consolidado Programas'!O5</f>
        <v>405570.24691850279</v>
      </c>
      <c r="V96" s="265">
        <f>+'Consolidado Programas'!P5</f>
        <v>414290.08285848069</v>
      </c>
    </row>
    <row r="97" spans="1:25" ht="18" x14ac:dyDescent="0.25">
      <c r="A97" s="917"/>
      <c r="B97" s="917"/>
      <c r="C97" s="917"/>
      <c r="D97" s="917"/>
      <c r="E97" s="917"/>
      <c r="H97" s="741" t="s">
        <v>567</v>
      </c>
      <c r="I97" s="742" t="s">
        <v>566</v>
      </c>
      <c r="J97" s="293">
        <f>+SUM(IF($I$91="SI",'Consolidado Programas'!D6,0),IF(Alternativas!$J$91="SI",'Consolidado Programas'!D20,0),IF($K$91="SI",'Consolidado Programas'!D34,0),IF(Alternativas!$L$91="SI",'Consolidado Programas'!D48,0),IF(Alternativas!$M$91="SI",'Consolidado Programas'!D62,0),IF(Alternativas!$N$91="SI",'Consolidado Programas'!D76,0),IF(Alternativas!$O$91="SI",'Consolidado Programas'!D90,0),IF(Alternativas!$P$91="SI",'Consolidado Programas'!D104,0),IF(Alternativas!$Q$91="SI",'Consolidado Programas'!D118,0),IF(Alternativas!$R$91="SI",'Consolidado Programas'!D132,0),IF(Alternativas!$S$91="SI",'Consolidado Programas'!D146,0),IF(Alternativas!$T$91="SI",'Consolidado Programas'!D160,0),IF(Alternativas!$U$91="SI",'Consolidado Programas'!D174,0),IF(Alternativas!$V$91="SI",'Consolidado Programas'!D188,0),IF(Alternativas!$W$91="SI",'Consolidado Programas'!D202,0),IF(Alternativas!$X$91="SI",'Consolidado Programas'!D216,0),IF(Alternativas!$Y$91="SI",'Consolidado Programas'!D230,0),IF(Alternativas!$Z$91="SI",'Consolidado Programas'!D244,0),IF(Alternativas!$AA$91="SI",'Consolidado Programas'!D258,0))</f>
        <v>0</v>
      </c>
      <c r="K97" s="293">
        <f>+SUM(IF($I$91="SI",'Consolidado Programas'!E6,0),IF(Alternativas!$J$91="SI",'Consolidado Programas'!E20,0),IF($K$91="SI",'Consolidado Programas'!E34,0),IF(Alternativas!$L$91="SI",'Consolidado Programas'!E48,0),IF(Alternativas!$M$91="SI",'Consolidado Programas'!E62,0),IF(Alternativas!$N$91="SI",'Consolidado Programas'!E76,0),IF(Alternativas!$O$91="SI",'Consolidado Programas'!E90,0),IF(Alternativas!$P$91="SI",'Consolidado Programas'!E104,0),IF(Alternativas!$Q$91="SI",'Consolidado Programas'!E118,0),IF(Alternativas!$R$91="SI",'Consolidado Programas'!E132,0),IF(Alternativas!$S$91="SI",'Consolidado Programas'!E146,0),IF(Alternativas!$T$91="SI",'Consolidado Programas'!E160,0),IF(Alternativas!$U$91="SI",'Consolidado Programas'!E174,0),IF(Alternativas!$V$91="SI",'Consolidado Programas'!E188,0),IF(Alternativas!$W$91="SI",'Consolidado Programas'!E202,0),IF(Alternativas!$X$91="SI",'Consolidado Programas'!E216,0),IF(Alternativas!$Y$91="SI",'Consolidado Programas'!E230,0),IF(Alternativas!$Z$91="SI",'Consolidado Programas'!E244,0),IF(Alternativas!$AA$91="SI",'Consolidado Programas'!E258,0))</f>
        <v>0</v>
      </c>
      <c r="L97" s="293">
        <f>+SUM(IF($I$91="SI",'Consolidado Programas'!F6,0),IF(Alternativas!$J$91="SI",'Consolidado Programas'!F20,0),IF($K$91="SI",'Consolidado Programas'!F34,0),IF(Alternativas!$L$91="SI",'Consolidado Programas'!F48,0),IF(Alternativas!$M$91="SI",'Consolidado Programas'!F62,0),IF(Alternativas!$N$91="SI",'Consolidado Programas'!F76,0),IF(Alternativas!$O$91="SI",'Consolidado Programas'!F90,0),IF(Alternativas!$P$91="SI",'Consolidado Programas'!F104,0),IF(Alternativas!$Q$91="SI",'Consolidado Programas'!F118,0),IF(Alternativas!$R$91="SI",'Consolidado Programas'!F132,0),IF(Alternativas!$S$91="SI",'Consolidado Programas'!F146,0),IF(Alternativas!$T$91="SI",'Consolidado Programas'!F160,0),IF(Alternativas!$U$91="SI",'Consolidado Programas'!F174,0),IF(Alternativas!$V$91="SI",'Consolidado Programas'!F188,0),IF(Alternativas!$W$91="SI",'Consolidado Programas'!F202,0),IF(Alternativas!$X$91="SI",'Consolidado Programas'!F216,0),IF(Alternativas!$Y$91="SI",'Consolidado Programas'!F230,0),IF(Alternativas!$Z$91="SI",'Consolidado Programas'!F244,0),IF(Alternativas!$AA$91="SI",'Consolidado Programas'!F258,0))</f>
        <v>0</v>
      </c>
      <c r="M97" s="293">
        <f>+SUM(IF($I$91="SI",'Consolidado Programas'!G6,0),IF(Alternativas!$J$91="SI",'Consolidado Programas'!G20,0),IF($K$91="SI",'Consolidado Programas'!G34,0),IF(Alternativas!$L$91="SI",'Consolidado Programas'!G48,0),IF(Alternativas!$M$91="SI",'Consolidado Programas'!G62,0),IF(Alternativas!$N$91="SI",'Consolidado Programas'!G76,0),IF(Alternativas!$O$91="SI",'Consolidado Programas'!G90,0),IF(Alternativas!$P$91="SI",'Consolidado Programas'!G104,0),IF(Alternativas!$Q$91="SI",'Consolidado Programas'!G118,0),IF(Alternativas!$R$91="SI",'Consolidado Programas'!G132,0),IF(Alternativas!$S$91="SI",'Consolidado Programas'!G146,0),IF(Alternativas!$T$91="SI",'Consolidado Programas'!G160,0),IF(Alternativas!$U$91="SI",'Consolidado Programas'!G174,0),IF(Alternativas!$V$91="SI",'Consolidado Programas'!G188,0),IF(Alternativas!$W$91="SI",'Consolidado Programas'!G202,0),IF(Alternativas!$X$91="SI",'Consolidado Programas'!G216,0),IF(Alternativas!$Y$91="SI",'Consolidado Programas'!G230,0),IF(Alternativas!$Z$91="SI",'Consolidado Programas'!G244,0),IF(Alternativas!$AA$91="SI",'Consolidado Programas'!G258,0))</f>
        <v>0</v>
      </c>
      <c r="N97" s="293">
        <f>+SUM(IF($I$91="SI",'Consolidado Programas'!H6,0),IF(Alternativas!$J$91="SI",'Consolidado Programas'!H20,0),IF($K$91="SI",'Consolidado Programas'!H34,0),IF(Alternativas!$L$91="SI",'Consolidado Programas'!H48,0),IF(Alternativas!$M$91="SI",'Consolidado Programas'!H62,0),IF(Alternativas!$N$91="SI",'Consolidado Programas'!H76,0),IF(Alternativas!$O$91="SI",'Consolidado Programas'!H90,0),IF(Alternativas!$P$91="SI",'Consolidado Programas'!H104,0),IF(Alternativas!$Q$91="SI",'Consolidado Programas'!H118,0),IF(Alternativas!$R$91="SI",'Consolidado Programas'!H132,0),IF(Alternativas!$S$91="SI",'Consolidado Programas'!H146,0),IF(Alternativas!$T$91="SI",'Consolidado Programas'!H160,0),IF(Alternativas!$U$91="SI",'Consolidado Programas'!H174,0),IF(Alternativas!$V$91="SI",'Consolidado Programas'!H188,0),IF(Alternativas!$W$91="SI",'Consolidado Programas'!H202,0),IF(Alternativas!$X$91="SI",'Consolidado Programas'!H216,0),IF(Alternativas!$Y$91="SI",'Consolidado Programas'!H230,0),IF(Alternativas!$Z$91="SI",'Consolidado Programas'!H244,0),IF(Alternativas!$AA$91="SI",'Consolidado Programas'!H258,0))</f>
        <v>0</v>
      </c>
      <c r="O97" s="293">
        <f>+SUM(IF($I$91="SI",'Consolidado Programas'!I6,0),IF(Alternativas!$J$91="SI",'Consolidado Programas'!I20,0),IF($K$91="SI",'Consolidado Programas'!I34,0),IF(Alternativas!$L$91="SI",'Consolidado Programas'!I48,0),IF(Alternativas!$M$91="SI",'Consolidado Programas'!I62,0),IF(Alternativas!$N$91="SI",'Consolidado Programas'!I76,0),IF(Alternativas!$O$91="SI",'Consolidado Programas'!I90,0),IF(Alternativas!$P$91="SI",'Consolidado Programas'!I104,0),IF(Alternativas!$Q$91="SI",'Consolidado Programas'!I118,0),IF(Alternativas!$R$91="SI",'Consolidado Programas'!I132,0),IF(Alternativas!$S$91="SI",'Consolidado Programas'!I146,0),IF(Alternativas!$T$91="SI",'Consolidado Programas'!I160,0),IF(Alternativas!$U$91="SI",'Consolidado Programas'!I174,0),IF(Alternativas!$V$91="SI",'Consolidado Programas'!I188,0),IF(Alternativas!$W$91="SI",'Consolidado Programas'!I202,0),IF(Alternativas!$X$91="SI",'Consolidado Programas'!I216,0),IF(Alternativas!$Y$91="SI",'Consolidado Programas'!I230,0),IF(Alternativas!$Z$91="SI",'Consolidado Programas'!I244,0),IF(Alternativas!$AA$91="SI",'Consolidado Programas'!I258,0))</f>
        <v>0</v>
      </c>
      <c r="P97" s="293">
        <f>+SUM(IF($I$91="SI",'Consolidado Programas'!J6,0),IF(Alternativas!$J$91="SI",'Consolidado Programas'!J20,0),IF($K$91="SI",'Consolidado Programas'!J34,0),IF(Alternativas!$L$91="SI",'Consolidado Programas'!J48,0),IF(Alternativas!$M$91="SI",'Consolidado Programas'!J62,0),IF(Alternativas!$N$91="SI",'Consolidado Programas'!J76,0),IF(Alternativas!$O$91="SI",'Consolidado Programas'!J90,0),IF(Alternativas!$P$91="SI",'Consolidado Programas'!J104,0),IF(Alternativas!$Q$91="SI",'Consolidado Programas'!J118,0),IF(Alternativas!$R$91="SI",'Consolidado Programas'!J132,0),IF(Alternativas!$S$91="SI",'Consolidado Programas'!J146,0),IF(Alternativas!$T$91="SI",'Consolidado Programas'!J160,0),IF(Alternativas!$U$91="SI",'Consolidado Programas'!J174,0),IF(Alternativas!$V$91="SI",'Consolidado Programas'!J188,0),IF(Alternativas!$W$91="SI",'Consolidado Programas'!J202,0),IF(Alternativas!$X$91="SI",'Consolidado Programas'!J216,0),IF(Alternativas!$Y$91="SI",'Consolidado Programas'!J230,0),IF(Alternativas!$Z$91="SI",'Consolidado Programas'!J244,0),IF(Alternativas!$AA$91="SI",'Consolidado Programas'!J258,0))</f>
        <v>0</v>
      </c>
      <c r="Q97" s="293">
        <f>+SUM(IF($I$91="SI",'Consolidado Programas'!K6,0),IF(Alternativas!$J$91="SI",'Consolidado Programas'!K20,0),IF($K$91="SI",'Consolidado Programas'!K34,0),IF(Alternativas!$L$91="SI",'Consolidado Programas'!K48,0),IF(Alternativas!$M$91="SI",'Consolidado Programas'!K62,0),IF(Alternativas!$N$91="SI",'Consolidado Programas'!K76,0),IF(Alternativas!$O$91="SI",'Consolidado Programas'!K90,0),IF(Alternativas!$P$91="SI",'Consolidado Programas'!K104,0),IF(Alternativas!$Q$91="SI",'Consolidado Programas'!K118,0),IF(Alternativas!$R$91="SI",'Consolidado Programas'!K132,0),IF(Alternativas!$S$91="SI",'Consolidado Programas'!K146,0),IF(Alternativas!$T$91="SI",'Consolidado Programas'!K160,0),IF(Alternativas!$U$91="SI",'Consolidado Programas'!K174,0),IF(Alternativas!$V$91="SI",'Consolidado Programas'!K188,0),IF(Alternativas!$W$91="SI",'Consolidado Programas'!K202,0),IF(Alternativas!$X$91="SI",'Consolidado Programas'!K216,0),IF(Alternativas!$Y$91="SI",'Consolidado Programas'!K230,0),IF(Alternativas!$Z$91="SI",'Consolidado Programas'!K244,0),IF(Alternativas!$AA$91="SI",'Consolidado Programas'!K258,0))</f>
        <v>0</v>
      </c>
      <c r="R97" s="293">
        <f>+SUM(IF($I$91="SI",'Consolidado Programas'!L6,0),IF(Alternativas!$J$91="SI",'Consolidado Programas'!L20,0),IF($K$91="SI",'Consolidado Programas'!L34,0),IF(Alternativas!$L$91="SI",'Consolidado Programas'!L48,0),IF(Alternativas!$M$91="SI",'Consolidado Programas'!L62,0),IF(Alternativas!$N$91="SI",'Consolidado Programas'!L76,0),IF(Alternativas!$O$91="SI",'Consolidado Programas'!L90,0),IF(Alternativas!$P$91="SI",'Consolidado Programas'!L104,0),IF(Alternativas!$Q$91="SI",'Consolidado Programas'!L118,0),IF(Alternativas!$R$91="SI",'Consolidado Programas'!L132,0),IF(Alternativas!$S$91="SI",'Consolidado Programas'!L146,0),IF(Alternativas!$T$91="SI",'Consolidado Programas'!L160,0),IF(Alternativas!$U$91="SI",'Consolidado Programas'!L174,0),IF(Alternativas!$V$91="SI",'Consolidado Programas'!L188,0),IF(Alternativas!$W$91="SI",'Consolidado Programas'!L202,0),IF(Alternativas!$X$91="SI",'Consolidado Programas'!L216,0),IF(Alternativas!$Y$91="SI",'Consolidado Programas'!L230,0),IF(Alternativas!$Z$91="SI",'Consolidado Programas'!L244,0),IF(Alternativas!$AA$91="SI",'Consolidado Programas'!L258,0))</f>
        <v>0</v>
      </c>
      <c r="S97" s="293">
        <f>+SUM(IF($I$91="SI",'Consolidado Programas'!M6,0),IF(Alternativas!$J$91="SI",'Consolidado Programas'!M20,0),IF($K$91="SI",'Consolidado Programas'!M34,0),IF(Alternativas!$L$91="SI",'Consolidado Programas'!M48,0),IF(Alternativas!$M$91="SI",'Consolidado Programas'!M62,0),IF(Alternativas!$N$91="SI",'Consolidado Programas'!M76,0),IF(Alternativas!$O$91="SI",'Consolidado Programas'!M90,0),IF(Alternativas!$P$91="SI",'Consolidado Programas'!M104,0),IF(Alternativas!$Q$91="SI",'Consolidado Programas'!M118,0),IF(Alternativas!$R$91="SI",'Consolidado Programas'!M132,0),IF(Alternativas!$S$91="SI",'Consolidado Programas'!M146,0),IF(Alternativas!$T$91="SI",'Consolidado Programas'!M160,0),IF(Alternativas!$U$91="SI",'Consolidado Programas'!M174,0),IF(Alternativas!$V$91="SI",'Consolidado Programas'!M188,0),IF(Alternativas!$W$91="SI",'Consolidado Programas'!M202,0),IF(Alternativas!$X$91="SI",'Consolidado Programas'!M216,0),IF(Alternativas!$Y$91="SI",'Consolidado Programas'!M230,0),IF(Alternativas!$Z$91="SI",'Consolidado Programas'!M244,0),IF(Alternativas!$AA$91="SI",'Consolidado Programas'!M258,0))</f>
        <v>0</v>
      </c>
      <c r="T97" s="293">
        <f>+SUM(IF($I$91="SI",'Consolidado Programas'!N6,0),IF(Alternativas!$J$91="SI",'Consolidado Programas'!N20,0),IF($K$91="SI",'Consolidado Programas'!N34,0),IF(Alternativas!$L$91="SI",'Consolidado Programas'!N48,0),IF(Alternativas!$M$91="SI",'Consolidado Programas'!N62,0),IF(Alternativas!$N$91="SI",'Consolidado Programas'!N76,0),IF(Alternativas!$O$91="SI",'Consolidado Programas'!N90,0),IF(Alternativas!$P$91="SI",'Consolidado Programas'!N104,0),IF(Alternativas!$Q$91="SI",'Consolidado Programas'!N118,0),IF(Alternativas!$R$91="SI",'Consolidado Programas'!N132,0),IF(Alternativas!$S$91="SI",'Consolidado Programas'!N146,0),IF(Alternativas!$T$91="SI",'Consolidado Programas'!N160,0),IF(Alternativas!$U$91="SI",'Consolidado Programas'!N174,0),IF(Alternativas!$V$91="SI",'Consolidado Programas'!N188,0),IF(Alternativas!$W$91="SI",'Consolidado Programas'!N202,0),IF(Alternativas!$X$91="SI",'Consolidado Programas'!N216,0),IF(Alternativas!$Y$91="SI",'Consolidado Programas'!N230,0),IF(Alternativas!$Z$91="SI",'Consolidado Programas'!N244,0),IF(Alternativas!$AA$91="SI",'Consolidado Programas'!N258,0))</f>
        <v>0</v>
      </c>
      <c r="U97" s="293">
        <f>+SUM(IF($I$91="SI",'Consolidado Programas'!O6,0),IF(Alternativas!$J$91="SI",'Consolidado Programas'!O20,0),IF($K$91="SI",'Consolidado Programas'!O34,0),IF(Alternativas!$L$91="SI",'Consolidado Programas'!O48,0),IF(Alternativas!$M$91="SI",'Consolidado Programas'!O62,0),IF(Alternativas!$N$91="SI",'Consolidado Programas'!O76,0),IF(Alternativas!$O$91="SI",'Consolidado Programas'!O90,0),IF(Alternativas!$P$91="SI",'Consolidado Programas'!O104,0),IF(Alternativas!$Q$91="SI",'Consolidado Programas'!O118,0),IF(Alternativas!$R$91="SI",'Consolidado Programas'!O132,0),IF(Alternativas!$S$91="SI",'Consolidado Programas'!O146,0),IF(Alternativas!$T$91="SI",'Consolidado Programas'!O160,0),IF(Alternativas!$U$91="SI",'Consolidado Programas'!O174,0),IF(Alternativas!$V$91="SI",'Consolidado Programas'!O188,0),IF(Alternativas!$W$91="SI",'Consolidado Programas'!O202,0),IF(Alternativas!$X$91="SI",'Consolidado Programas'!O216,0),IF(Alternativas!$Y$91="SI",'Consolidado Programas'!O230,0),IF(Alternativas!$Z$91="SI",'Consolidado Programas'!O244,0),IF(Alternativas!$AA$91="SI",'Consolidado Programas'!O258,0))</f>
        <v>0</v>
      </c>
      <c r="V97" s="293">
        <f>+SUM(IF($I$91="SI",'Consolidado Programas'!P6,0),IF(Alternativas!$J$91="SI",'Consolidado Programas'!P20,0),IF($K$91="SI",'Consolidado Programas'!P34,0),IF(Alternativas!$L$91="SI",'Consolidado Programas'!P48,0),IF(Alternativas!$M$91="SI",'Consolidado Programas'!P62,0),IF(Alternativas!$N$91="SI",'Consolidado Programas'!P76,0),IF(Alternativas!$O$91="SI",'Consolidado Programas'!P90,0),IF(Alternativas!$P$91="SI",'Consolidado Programas'!P104,0),IF(Alternativas!$Q$91="SI",'Consolidado Programas'!P118,0),IF(Alternativas!$R$91="SI",'Consolidado Programas'!P132,0),IF(Alternativas!$S$91="SI",'Consolidado Programas'!P146,0),IF(Alternativas!$T$91="SI",'Consolidado Programas'!P160,0),IF(Alternativas!$U$91="SI",'Consolidado Programas'!P174,0),IF(Alternativas!$V$91="SI",'Consolidado Programas'!P188,0),IF(Alternativas!$W$91="SI",'Consolidado Programas'!P202,0),IF(Alternativas!$X$91="SI",'Consolidado Programas'!P216,0),IF(Alternativas!$Y$91="SI",'Consolidado Programas'!P230,0),IF(Alternativas!$Z$91="SI",'Consolidado Programas'!P244,0),IF(Alternativas!$AA$91="SI",'Consolidado Programas'!P258,0))</f>
        <v>0</v>
      </c>
    </row>
    <row r="98" spans="1:25" ht="18" x14ac:dyDescent="0.25">
      <c r="A98" s="917"/>
      <c r="B98" s="917"/>
      <c r="C98" s="917"/>
      <c r="D98" s="917"/>
      <c r="E98" s="917"/>
      <c r="H98" s="741" t="s">
        <v>568</v>
      </c>
      <c r="I98" s="742" t="s">
        <v>566</v>
      </c>
      <c r="J98" s="294">
        <f>+SUM(IF($I$91="SI",'Consolidado Programas'!D7,0),IF(Alternativas!$J$91="SI",'Consolidado Programas'!D21,0),IF($K$91="SI",'Consolidado Programas'!D35,0),IF(Alternativas!$L$91="SI",'Consolidado Programas'!D49,0),IF(Alternativas!$M$91="SI",'Consolidado Programas'!D63,0),IF(Alternativas!$N$91="SI",'Consolidado Programas'!D77,0),IF(Alternativas!$O$91="SI",'Consolidado Programas'!D91,0),IF(Alternativas!$P$91="SI",'Consolidado Programas'!D105,0),IF(Alternativas!$Q$91="SI",'Consolidado Programas'!D119,0),IF(Alternativas!$R$91="SI",'Consolidado Programas'!D133,0),IF(Alternativas!$S$91="SI",'Consolidado Programas'!D147,0),IF(Alternativas!$T$91="SI",'Consolidado Programas'!D161,0),IF(Alternativas!$U$91="SI",'Consolidado Programas'!D175,0),IF(Alternativas!$V$91="SI",'Consolidado Programas'!D189,0),IF(Alternativas!$W$91="SI",'Consolidado Programas'!D203,0),IF(Alternativas!$X$91="SI",'Consolidado Programas'!D217,0),IF(Alternativas!$Y$91="SI",'Consolidado Programas'!D231,0),IF(Alternativas!$Z$91="SI",'Consolidado Programas'!D245,0),IF(Alternativas!$AA$91="SI",'Consolidado Programas'!D259,0))</f>
        <v>0</v>
      </c>
      <c r="K98" s="294">
        <f>+SUM(IF($I$91="SI",'Consolidado Programas'!E7,0),IF(Alternativas!$J$91="SI",'Consolidado Programas'!E21,0),IF($K$91="SI",'Consolidado Programas'!E35,0),IF(Alternativas!$L$91="SI",'Consolidado Programas'!E49,0),IF(Alternativas!$M$91="SI",'Consolidado Programas'!E63,0),IF(Alternativas!$N$91="SI",'Consolidado Programas'!E77,0),IF(Alternativas!$O$91="SI",'Consolidado Programas'!E91,0),IF(Alternativas!$P$91="SI",'Consolidado Programas'!E105,0),IF(Alternativas!$Q$91="SI",'Consolidado Programas'!E119,0),IF(Alternativas!$R$91="SI",'Consolidado Programas'!E133,0),IF(Alternativas!$S$91="SI",'Consolidado Programas'!E147,0),IF(Alternativas!$T$91="SI",'Consolidado Programas'!E161,0),IF(Alternativas!$U$91="SI",'Consolidado Programas'!E175,0),IF(Alternativas!$V$91="SI",'Consolidado Programas'!E189,0),IF(Alternativas!$W$91="SI",'Consolidado Programas'!E203,0),IF(Alternativas!$X$91="SI",'Consolidado Programas'!E217,0),IF(Alternativas!$Y$91="SI",'Consolidado Programas'!E231,0),IF(Alternativas!$Z$91="SI",'Consolidado Programas'!E245,0),IF(Alternativas!$AA$91="SI",'Consolidado Programas'!E259,0))</f>
        <v>0</v>
      </c>
      <c r="L98" s="294">
        <f>+SUM(IF($I$91="SI",'Consolidado Programas'!F7,0),IF(Alternativas!$J$91="SI",'Consolidado Programas'!F21,0),IF($K$91="SI",'Consolidado Programas'!F35,0),IF(Alternativas!$L$91="SI",'Consolidado Programas'!F49,0),IF(Alternativas!$M$91="SI",'Consolidado Programas'!F63,0),IF(Alternativas!$N$91="SI",'Consolidado Programas'!F77,0),IF(Alternativas!$O$91="SI",'Consolidado Programas'!F91,0),IF(Alternativas!$P$91="SI",'Consolidado Programas'!F105,0),IF(Alternativas!$Q$91="SI",'Consolidado Programas'!F119,0),IF(Alternativas!$R$91="SI",'Consolidado Programas'!F133,0),IF(Alternativas!$S$91="SI",'Consolidado Programas'!F147,0),IF(Alternativas!$T$91="SI",'Consolidado Programas'!F161,0),IF(Alternativas!$U$91="SI",'Consolidado Programas'!F175,0),IF(Alternativas!$V$91="SI",'Consolidado Programas'!F189,0),IF(Alternativas!$W$91="SI",'Consolidado Programas'!F203,0),IF(Alternativas!$X$91="SI",'Consolidado Programas'!F217,0),IF(Alternativas!$Y$91="SI",'Consolidado Programas'!F231,0),IF(Alternativas!$Z$91="SI",'Consolidado Programas'!F245,0),IF(Alternativas!$AA$91="SI",'Consolidado Programas'!F259,0))</f>
        <v>0</v>
      </c>
      <c r="M98" s="294">
        <f>+SUM(IF($I$91="SI",'Consolidado Programas'!G7,0),IF(Alternativas!$J$91="SI",'Consolidado Programas'!G21,0),IF($K$91="SI",'Consolidado Programas'!G35,0),IF(Alternativas!$L$91="SI",'Consolidado Programas'!G49,0),IF(Alternativas!$M$91="SI",'Consolidado Programas'!G63,0),IF(Alternativas!$N$91="SI",'Consolidado Programas'!G77,0),IF(Alternativas!$O$91="SI",'Consolidado Programas'!G91,0),IF(Alternativas!$P$91="SI",'Consolidado Programas'!G105,0),IF(Alternativas!$Q$91="SI",'Consolidado Programas'!G119,0),IF(Alternativas!$R$91="SI",'Consolidado Programas'!G133,0),IF(Alternativas!$S$91="SI",'Consolidado Programas'!G147,0),IF(Alternativas!$T$91="SI",'Consolidado Programas'!G161,0),IF(Alternativas!$U$91="SI",'Consolidado Programas'!G175,0),IF(Alternativas!$V$91="SI",'Consolidado Programas'!G189,0),IF(Alternativas!$W$91="SI",'Consolidado Programas'!G203,0),IF(Alternativas!$X$91="SI",'Consolidado Programas'!G217,0),IF(Alternativas!$Y$91="SI",'Consolidado Programas'!G231,0),IF(Alternativas!$Z$91="SI",'Consolidado Programas'!G245,0),IF(Alternativas!$AA$91="SI",'Consolidado Programas'!G259,0))</f>
        <v>0</v>
      </c>
      <c r="N98" s="294">
        <f>+SUM(IF($I$91="SI",'Consolidado Programas'!H7,0),IF(Alternativas!$J$91="SI",'Consolidado Programas'!H21,0),IF($K$91="SI",'Consolidado Programas'!H35,0),IF(Alternativas!$L$91="SI",'Consolidado Programas'!H49,0),IF(Alternativas!$M$91="SI",'Consolidado Programas'!H63,0),IF(Alternativas!$N$91="SI",'Consolidado Programas'!H77,0),IF(Alternativas!$O$91="SI",'Consolidado Programas'!H91,0),IF(Alternativas!$P$91="SI",'Consolidado Programas'!H105,0),IF(Alternativas!$Q$91="SI",'Consolidado Programas'!H119,0),IF(Alternativas!$R$91="SI",'Consolidado Programas'!H133,0),IF(Alternativas!$S$91="SI",'Consolidado Programas'!H147,0),IF(Alternativas!$T$91="SI",'Consolidado Programas'!H161,0),IF(Alternativas!$U$91="SI",'Consolidado Programas'!H175,0),IF(Alternativas!$V$91="SI",'Consolidado Programas'!H189,0),IF(Alternativas!$W$91="SI",'Consolidado Programas'!H203,0),IF(Alternativas!$X$91="SI",'Consolidado Programas'!H217,0),IF(Alternativas!$Y$91="SI",'Consolidado Programas'!H231,0),IF(Alternativas!$Z$91="SI",'Consolidado Programas'!H245,0),IF(Alternativas!$AA$91="SI",'Consolidado Programas'!H259,0))</f>
        <v>0</v>
      </c>
      <c r="O98" s="294">
        <f>+SUM(IF($I$91="SI",'Consolidado Programas'!I7,0),IF(Alternativas!$J$91="SI",'Consolidado Programas'!I21,0),IF($K$91="SI",'Consolidado Programas'!I35,0),IF(Alternativas!$L$91="SI",'Consolidado Programas'!I49,0),IF(Alternativas!$M$91="SI",'Consolidado Programas'!I63,0),IF(Alternativas!$N$91="SI",'Consolidado Programas'!I77,0),IF(Alternativas!$O$91="SI",'Consolidado Programas'!I91,0),IF(Alternativas!$P$91="SI",'Consolidado Programas'!I105,0),IF(Alternativas!$Q$91="SI",'Consolidado Programas'!I119,0),IF(Alternativas!$R$91="SI",'Consolidado Programas'!I133,0),IF(Alternativas!$S$91="SI",'Consolidado Programas'!I147,0),IF(Alternativas!$T$91="SI",'Consolidado Programas'!I161,0),IF(Alternativas!$U$91="SI",'Consolidado Programas'!I175,0),IF(Alternativas!$V$91="SI",'Consolidado Programas'!I189,0),IF(Alternativas!$W$91="SI",'Consolidado Programas'!I203,0),IF(Alternativas!$X$91="SI",'Consolidado Programas'!I217,0),IF(Alternativas!$Y$91="SI",'Consolidado Programas'!I231,0),IF(Alternativas!$Z$91="SI",'Consolidado Programas'!I245,0),IF(Alternativas!$AA$91="SI",'Consolidado Programas'!I259,0))</f>
        <v>0</v>
      </c>
      <c r="P98" s="294">
        <f>+SUM(IF($I$91="SI",'Consolidado Programas'!J7,0),IF(Alternativas!$J$91="SI",'Consolidado Programas'!J21,0),IF($K$91="SI",'Consolidado Programas'!J35,0),IF(Alternativas!$L$91="SI",'Consolidado Programas'!J49,0),IF(Alternativas!$M$91="SI",'Consolidado Programas'!J63,0),IF(Alternativas!$N$91="SI",'Consolidado Programas'!J77,0),IF(Alternativas!$O$91="SI",'Consolidado Programas'!J91,0),IF(Alternativas!$P$91="SI",'Consolidado Programas'!J105,0),IF(Alternativas!$Q$91="SI",'Consolidado Programas'!J119,0),IF(Alternativas!$R$91="SI",'Consolidado Programas'!J133,0),IF(Alternativas!$S$91="SI",'Consolidado Programas'!J147,0),IF(Alternativas!$T$91="SI",'Consolidado Programas'!J161,0),IF(Alternativas!$U$91="SI",'Consolidado Programas'!J175,0),IF(Alternativas!$V$91="SI",'Consolidado Programas'!J189,0),IF(Alternativas!$W$91="SI",'Consolidado Programas'!J203,0),IF(Alternativas!$X$91="SI",'Consolidado Programas'!J217,0),IF(Alternativas!$Y$91="SI",'Consolidado Programas'!J231,0),IF(Alternativas!$Z$91="SI",'Consolidado Programas'!J245,0),IF(Alternativas!$AA$91="SI",'Consolidado Programas'!J259,0))</f>
        <v>0</v>
      </c>
      <c r="Q98" s="294">
        <f>+SUM(IF($I$91="SI",'Consolidado Programas'!K7,0),IF(Alternativas!$J$91="SI",'Consolidado Programas'!K21,0),IF($K$91="SI",'Consolidado Programas'!K35,0),IF(Alternativas!$L$91="SI",'Consolidado Programas'!K49,0),IF(Alternativas!$M$91="SI",'Consolidado Programas'!K63,0),IF(Alternativas!$N$91="SI",'Consolidado Programas'!K77,0),IF(Alternativas!$O$91="SI",'Consolidado Programas'!K91,0),IF(Alternativas!$P$91="SI",'Consolidado Programas'!K105,0),IF(Alternativas!$Q$91="SI",'Consolidado Programas'!K119,0),IF(Alternativas!$R$91="SI",'Consolidado Programas'!K133,0),IF(Alternativas!$S$91="SI",'Consolidado Programas'!K147,0),IF(Alternativas!$T$91="SI",'Consolidado Programas'!K161,0),IF(Alternativas!$U$91="SI",'Consolidado Programas'!K175,0),IF(Alternativas!$V$91="SI",'Consolidado Programas'!K189,0),IF(Alternativas!$W$91="SI",'Consolidado Programas'!K203,0),IF(Alternativas!$X$91="SI",'Consolidado Programas'!K217,0),IF(Alternativas!$Y$91="SI",'Consolidado Programas'!K231,0),IF(Alternativas!$Z$91="SI",'Consolidado Programas'!K245,0),IF(Alternativas!$AA$91="SI",'Consolidado Programas'!K259,0))</f>
        <v>0</v>
      </c>
      <c r="R98" s="294">
        <f>+SUM(IF($I$91="SI",'Consolidado Programas'!L7,0),IF(Alternativas!$J$91="SI",'Consolidado Programas'!L21,0),IF($K$91="SI",'Consolidado Programas'!L35,0),IF(Alternativas!$L$91="SI",'Consolidado Programas'!L49,0),IF(Alternativas!$M$91="SI",'Consolidado Programas'!L63,0),IF(Alternativas!$N$91="SI",'Consolidado Programas'!L77,0),IF(Alternativas!$O$91="SI",'Consolidado Programas'!L91,0),IF(Alternativas!$P$91="SI",'Consolidado Programas'!L105,0),IF(Alternativas!$Q$91="SI",'Consolidado Programas'!L119,0),IF(Alternativas!$R$91="SI",'Consolidado Programas'!L133,0),IF(Alternativas!$S$91="SI",'Consolidado Programas'!L147,0),IF(Alternativas!$T$91="SI",'Consolidado Programas'!L161,0),IF(Alternativas!$U$91="SI",'Consolidado Programas'!L175,0),IF(Alternativas!$V$91="SI",'Consolidado Programas'!L189,0),IF(Alternativas!$W$91="SI",'Consolidado Programas'!L203,0),IF(Alternativas!$X$91="SI",'Consolidado Programas'!L217,0),IF(Alternativas!$Y$91="SI",'Consolidado Programas'!L231,0),IF(Alternativas!$Z$91="SI",'Consolidado Programas'!L245,0),IF(Alternativas!$AA$91="SI",'Consolidado Programas'!L259,0))</f>
        <v>0</v>
      </c>
      <c r="S98" s="294">
        <f>+SUM(IF($I$91="SI",'Consolidado Programas'!M7,0),IF(Alternativas!$J$91="SI",'Consolidado Programas'!M21,0),IF($K$91="SI",'Consolidado Programas'!M35,0),IF(Alternativas!$L$91="SI",'Consolidado Programas'!M49,0),IF(Alternativas!$M$91="SI",'Consolidado Programas'!M63,0),IF(Alternativas!$N$91="SI",'Consolidado Programas'!M77,0),IF(Alternativas!$O$91="SI",'Consolidado Programas'!M91,0),IF(Alternativas!$P$91="SI",'Consolidado Programas'!M105,0),IF(Alternativas!$Q$91="SI",'Consolidado Programas'!M119,0),IF(Alternativas!$R$91="SI",'Consolidado Programas'!M133,0),IF(Alternativas!$S$91="SI",'Consolidado Programas'!M147,0),IF(Alternativas!$T$91="SI",'Consolidado Programas'!M161,0),IF(Alternativas!$U$91="SI",'Consolidado Programas'!M175,0),IF(Alternativas!$V$91="SI",'Consolidado Programas'!M189,0),IF(Alternativas!$W$91="SI",'Consolidado Programas'!M203,0),IF(Alternativas!$X$91="SI",'Consolidado Programas'!M217,0),IF(Alternativas!$Y$91="SI",'Consolidado Programas'!M231,0),IF(Alternativas!$Z$91="SI",'Consolidado Programas'!M245,0),IF(Alternativas!$AA$91="SI",'Consolidado Programas'!M259,0))</f>
        <v>0</v>
      </c>
      <c r="T98" s="294">
        <f>+SUM(IF($I$91="SI",'Consolidado Programas'!N7,0),IF(Alternativas!$J$91="SI",'Consolidado Programas'!N21,0),IF($K$91="SI",'Consolidado Programas'!N35,0),IF(Alternativas!$L$91="SI",'Consolidado Programas'!N49,0),IF(Alternativas!$M$91="SI",'Consolidado Programas'!N63,0),IF(Alternativas!$N$91="SI",'Consolidado Programas'!N77,0),IF(Alternativas!$O$91="SI",'Consolidado Programas'!N91,0),IF(Alternativas!$P$91="SI",'Consolidado Programas'!N105,0),IF(Alternativas!$Q$91="SI",'Consolidado Programas'!N119,0),IF(Alternativas!$R$91="SI",'Consolidado Programas'!N133,0),IF(Alternativas!$S$91="SI",'Consolidado Programas'!N147,0),IF(Alternativas!$T$91="SI",'Consolidado Programas'!N161,0),IF(Alternativas!$U$91="SI",'Consolidado Programas'!N175,0),IF(Alternativas!$V$91="SI",'Consolidado Programas'!N189,0),IF(Alternativas!$W$91="SI",'Consolidado Programas'!N203,0),IF(Alternativas!$X$91="SI",'Consolidado Programas'!N217,0),IF(Alternativas!$Y$91="SI",'Consolidado Programas'!N231,0),IF(Alternativas!$Z$91="SI",'Consolidado Programas'!N245,0),IF(Alternativas!$AA$91="SI",'Consolidado Programas'!N259,0))</f>
        <v>0</v>
      </c>
      <c r="U98" s="294">
        <f>+SUM(IF($I$91="SI",'Consolidado Programas'!O7,0),IF(Alternativas!$J$91="SI",'Consolidado Programas'!O21,0),IF($K$91="SI",'Consolidado Programas'!O35,0),IF(Alternativas!$L$91="SI",'Consolidado Programas'!O49,0),IF(Alternativas!$M$91="SI",'Consolidado Programas'!O63,0),IF(Alternativas!$N$91="SI",'Consolidado Programas'!O77,0),IF(Alternativas!$O$91="SI",'Consolidado Programas'!O91,0),IF(Alternativas!$P$91="SI",'Consolidado Programas'!O105,0),IF(Alternativas!$Q$91="SI",'Consolidado Programas'!O119,0),IF(Alternativas!$R$91="SI",'Consolidado Programas'!O133,0),IF(Alternativas!$S$91="SI",'Consolidado Programas'!O147,0),IF(Alternativas!$T$91="SI",'Consolidado Programas'!O161,0),IF(Alternativas!$U$91="SI",'Consolidado Programas'!O175,0),IF(Alternativas!$V$91="SI",'Consolidado Programas'!O189,0),IF(Alternativas!$W$91="SI",'Consolidado Programas'!O203,0),IF(Alternativas!$X$91="SI",'Consolidado Programas'!O217,0),IF(Alternativas!$Y$91="SI",'Consolidado Programas'!O231,0),IF(Alternativas!$Z$91="SI",'Consolidado Programas'!O245,0),IF(Alternativas!$AA$91="SI",'Consolidado Programas'!O259,0))</f>
        <v>0</v>
      </c>
      <c r="V98" s="294">
        <f>+SUM(IF($I$91="SI",'Consolidado Programas'!P7,0),IF(Alternativas!$J$91="SI",'Consolidado Programas'!P21,0),IF($K$91="SI",'Consolidado Programas'!P35,0),IF(Alternativas!$L$91="SI",'Consolidado Programas'!P49,0),IF(Alternativas!$M$91="SI",'Consolidado Programas'!P63,0),IF(Alternativas!$N$91="SI",'Consolidado Programas'!P77,0),IF(Alternativas!$O$91="SI",'Consolidado Programas'!P91,0),IF(Alternativas!$P$91="SI",'Consolidado Programas'!P105,0),IF(Alternativas!$Q$91="SI",'Consolidado Programas'!P119,0),IF(Alternativas!$R$91="SI",'Consolidado Programas'!P133,0),IF(Alternativas!$S$91="SI",'Consolidado Programas'!P147,0),IF(Alternativas!$T$91="SI",'Consolidado Programas'!P161,0),IF(Alternativas!$U$91="SI",'Consolidado Programas'!P175,0),IF(Alternativas!$V$91="SI",'Consolidado Programas'!P189,0),IF(Alternativas!$W$91="SI",'Consolidado Programas'!P203,0),IF(Alternativas!$X$91="SI",'Consolidado Programas'!P217,0),IF(Alternativas!$Y$91="SI",'Consolidado Programas'!P231,0),IF(Alternativas!$Z$91="SI",'Consolidado Programas'!P245,0),IF(Alternativas!$AA$91="SI",'Consolidado Programas'!P259,0))</f>
        <v>0</v>
      </c>
    </row>
    <row r="99" spans="1:25" ht="18" x14ac:dyDescent="0.25">
      <c r="A99" s="917"/>
      <c r="B99" s="917"/>
      <c r="C99" s="917"/>
      <c r="D99" s="917"/>
      <c r="E99" s="917"/>
      <c r="H99" s="741" t="s">
        <v>569</v>
      </c>
      <c r="I99" s="742" t="s">
        <v>566</v>
      </c>
      <c r="J99" s="295">
        <f>+J94-J97</f>
        <v>73231212</v>
      </c>
      <c r="K99" s="295">
        <f>+K94-K97</f>
        <v>74430655.752000004</v>
      </c>
      <c r="L99" s="295">
        <f>+L94-L97</f>
        <v>76697929</v>
      </c>
      <c r="M99" s="295">
        <f t="shared" ref="M99:V99" si="21">+M94-M97</f>
        <v>79443376.444158807</v>
      </c>
      <c r="N99" s="295">
        <f t="shared" si="21"/>
        <v>81346804.018574134</v>
      </c>
      <c r="O99" s="295">
        <f t="shared" si="21"/>
        <v>83117762.153032988</v>
      </c>
      <c r="P99" s="295">
        <f t="shared" si="21"/>
        <v>84376813.900286376</v>
      </c>
      <c r="Q99" s="295">
        <f t="shared" si="21"/>
        <v>85817253.249695092</v>
      </c>
      <c r="R99" s="295">
        <f t="shared" si="21"/>
        <v>87087721.932827741</v>
      </c>
      <c r="S99" s="295">
        <f t="shared" si="21"/>
        <v>87996585.401466116</v>
      </c>
      <c r="T99" s="295">
        <f t="shared" si="21"/>
        <v>89565016.865754709</v>
      </c>
      <c r="U99" s="295">
        <f t="shared" si="21"/>
        <v>91133448.330042839</v>
      </c>
      <c r="V99" s="295">
        <f t="shared" si="21"/>
        <v>92701879.794331446</v>
      </c>
    </row>
    <row r="100" spans="1:25" ht="18" x14ac:dyDescent="0.25">
      <c r="A100" s="917"/>
      <c r="B100" s="917"/>
      <c r="C100" s="917"/>
      <c r="D100" s="917"/>
      <c r="E100" s="917"/>
      <c r="H100" s="741" t="s">
        <v>570</v>
      </c>
      <c r="I100" s="742" t="s">
        <v>566</v>
      </c>
      <c r="J100" s="295">
        <f>+J95+J98</f>
        <v>55779290</v>
      </c>
      <c r="K100" s="295">
        <f t="shared" ref="K100:V100" si="22">+K95+K98</f>
        <v>56646487</v>
      </c>
      <c r="L100" s="295">
        <f t="shared" si="22"/>
        <v>57114170</v>
      </c>
      <c r="M100" s="295">
        <f t="shared" si="22"/>
        <v>57381362.231400006</v>
      </c>
      <c r="N100" s="295">
        <f t="shared" si="22"/>
        <v>59731641</v>
      </c>
      <c r="O100" s="295">
        <f t="shared" si="22"/>
        <v>60100673</v>
      </c>
      <c r="P100" s="295">
        <f t="shared" si="22"/>
        <v>60553470</v>
      </c>
      <c r="Q100" s="295">
        <f t="shared" si="22"/>
        <v>61116311</v>
      </c>
      <c r="R100" s="295">
        <f t="shared" si="22"/>
        <v>61473228.050212145</v>
      </c>
      <c r="S100" s="295">
        <f t="shared" si="22"/>
        <v>62103401.234457493</v>
      </c>
      <c r="T100" s="295">
        <f t="shared" si="22"/>
        <v>62733574.418702841</v>
      </c>
      <c r="U100" s="295">
        <f t="shared" si="22"/>
        <v>63363747.602948427</v>
      </c>
      <c r="V100" s="295">
        <f t="shared" si="22"/>
        <v>63993920.787194014</v>
      </c>
    </row>
    <row r="101" spans="1:25" ht="18" x14ac:dyDescent="0.25">
      <c r="A101" s="917"/>
      <c r="B101" s="917"/>
      <c r="C101" s="917"/>
      <c r="D101" s="917"/>
      <c r="E101" s="917"/>
      <c r="H101" s="741" t="s">
        <v>571</v>
      </c>
      <c r="I101" s="742" t="s">
        <v>105</v>
      </c>
      <c r="J101" s="296">
        <f>+(J99-J100)/J99*100</f>
        <v>23.831262003420072</v>
      </c>
      <c r="K101" s="296">
        <f t="shared" ref="K101:P101" si="23">+(K99-K100)/K99*100</f>
        <v>23.893607509325392</v>
      </c>
      <c r="L101" s="296">
        <f>+(L99-L100)/L99*100</f>
        <v>25.533621644464482</v>
      </c>
      <c r="M101" s="296">
        <f t="shared" si="23"/>
        <v>27.770740872609203</v>
      </c>
      <c r="N101" s="296">
        <f t="shared" si="23"/>
        <v>26.571619228751363</v>
      </c>
      <c r="O101" s="296">
        <f t="shared" si="23"/>
        <v>27.692142517810904</v>
      </c>
      <c r="P101" s="296">
        <f t="shared" si="23"/>
        <v>28.234467265426716</v>
      </c>
      <c r="Q101" s="296">
        <f t="shared" ref="Q101:V101" si="24">IFERROR((Q99-Q100)/Q99*100,"")</f>
        <v>28.783189060858057</v>
      </c>
      <c r="R101" s="296">
        <f t="shared" si="24"/>
        <v>29.412290635380835</v>
      </c>
      <c r="S101" s="296">
        <f t="shared" si="24"/>
        <v>29.425214681770157</v>
      </c>
      <c r="T101" s="296">
        <f t="shared" si="24"/>
        <v>29.95750281303291</v>
      </c>
      <c r="U101" s="296">
        <f t="shared" si="24"/>
        <v>30.471469296899102</v>
      </c>
      <c r="V101" s="296">
        <f t="shared" si="24"/>
        <v>30.968044090183461</v>
      </c>
    </row>
    <row r="102" spans="1:25" ht="18" x14ac:dyDescent="0.25">
      <c r="A102" s="917"/>
      <c r="B102" s="917"/>
      <c r="C102" s="917"/>
      <c r="D102" s="917"/>
      <c r="E102" s="917"/>
      <c r="H102" s="741" t="s">
        <v>572</v>
      </c>
      <c r="I102" s="742" t="s">
        <v>573</v>
      </c>
      <c r="J102" s="296">
        <f>+J99/(J96*12)</f>
        <v>19.163932521463877</v>
      </c>
      <c r="K102" s="296">
        <f t="shared" ref="K102:P102" si="25">+K99/(K96*12)</f>
        <v>19.055350338861206</v>
      </c>
      <c r="L102" s="296">
        <f t="shared" si="25"/>
        <v>19.16995813987899</v>
      </c>
      <c r="M102" s="296">
        <f t="shared" si="25"/>
        <v>19.360989820256258</v>
      </c>
      <c r="N102" s="296">
        <f t="shared" si="25"/>
        <v>19.398159837238428</v>
      </c>
      <c r="O102" s="296">
        <f t="shared" si="25"/>
        <v>19.403427101899911</v>
      </c>
      <c r="P102" s="296">
        <f t="shared" si="25"/>
        <v>19.282708689906972</v>
      </c>
      <c r="Q102" s="296">
        <f t="shared" ref="Q102:V102" si="26">IFERROR(Q99/(Q96*12),"")</f>
        <v>19.199109154678606</v>
      </c>
      <c r="R102" s="296">
        <f t="shared" si="26"/>
        <v>19.073260828386015</v>
      </c>
      <c r="S102" s="296">
        <f t="shared" si="26"/>
        <v>18.86667583442124</v>
      </c>
      <c r="T102" s="296">
        <f t="shared" si="26"/>
        <v>18.798774097644309</v>
      </c>
      <c r="U102" s="296">
        <f t="shared" si="26"/>
        <v>18.725372694880242</v>
      </c>
      <c r="V102" s="296">
        <f t="shared" si="26"/>
        <v>18.646733217040325</v>
      </c>
    </row>
    <row r="103" spans="1:25" ht="18" x14ac:dyDescent="0.25">
      <c r="A103" s="917"/>
      <c r="B103" s="917"/>
      <c r="C103" s="917"/>
      <c r="D103" s="917"/>
      <c r="E103" s="917"/>
      <c r="H103" s="741" t="s">
        <v>574</v>
      </c>
      <c r="I103" s="742" t="s">
        <v>573</v>
      </c>
      <c r="J103" s="296">
        <f>+J100/(J96*12)</f>
        <v>14.596925552115195</v>
      </c>
      <c r="K103" s="296">
        <f t="shared" ref="K103:P103" si="27">+K100/(K96*12)</f>
        <v>14.502339719366804</v>
      </c>
      <c r="L103" s="296">
        <f t="shared" si="27"/>
        <v>14.275173559040066</v>
      </c>
      <c r="M103" s="296">
        <f t="shared" si="27"/>
        <v>13.984299506900646</v>
      </c>
      <c r="N103" s="296">
        <f t="shared" si="27"/>
        <v>14.243754667902856</v>
      </c>
      <c r="O103" s="296">
        <f t="shared" si="27"/>
        <v>14.030202415502243</v>
      </c>
      <c r="P103" s="296">
        <f t="shared" si="27"/>
        <v>13.838338616967595</v>
      </c>
      <c r="Q103" s="296">
        <f t="shared" ref="Q103:V103" si="28">IFERROR(Q100/(Q96*12),"")</f>
        <v>13.672993268686955</v>
      </c>
      <c r="R103" s="296">
        <f t="shared" si="28"/>
        <v>13.463377919896875</v>
      </c>
      <c r="S103" s="296">
        <f t="shared" si="28"/>
        <v>13.315115966829138</v>
      </c>
      <c r="T103" s="296">
        <f t="shared" si="28"/>
        <v>13.167130818526813</v>
      </c>
      <c r="U103" s="296">
        <f t="shared" si="28"/>
        <v>13.01947650342988</v>
      </c>
      <c r="V103" s="296">
        <f t="shared" si="28"/>
        <v>12.872204653008394</v>
      </c>
      <c r="Y103" s="733"/>
    </row>
    <row r="104" spans="1:25" ht="18" x14ac:dyDescent="0.25">
      <c r="A104" s="917"/>
      <c r="B104" s="917"/>
      <c r="C104" s="917"/>
      <c r="D104" s="917"/>
      <c r="E104" s="917"/>
      <c r="H104" s="741" t="s">
        <v>575</v>
      </c>
      <c r="I104" s="742" t="s">
        <v>573</v>
      </c>
      <c r="J104" s="749">
        <f t="shared" ref="J104:P104" si="29">+J102-J103</f>
        <v>4.5670069693486823</v>
      </c>
      <c r="K104" s="749">
        <f t="shared" si="29"/>
        <v>4.5530106194944029</v>
      </c>
      <c r="L104" s="749">
        <f t="shared" si="29"/>
        <v>4.8947845808389232</v>
      </c>
      <c r="M104" s="749">
        <f t="shared" si="29"/>
        <v>5.3766903133556117</v>
      </c>
      <c r="N104" s="749">
        <f t="shared" si="29"/>
        <v>5.1544051693355719</v>
      </c>
      <c r="O104" s="749">
        <f t="shared" si="29"/>
        <v>5.373224686397668</v>
      </c>
      <c r="P104" s="749">
        <f t="shared" si="29"/>
        <v>5.4443700729393765</v>
      </c>
      <c r="Q104" s="296">
        <f t="shared" ref="Q104:V104" si="30">IFERROR(Q102-Q103,"")</f>
        <v>5.5261158859916506</v>
      </c>
      <c r="R104" s="296">
        <f t="shared" si="30"/>
        <v>5.6098829084891406</v>
      </c>
      <c r="S104" s="296">
        <f t="shared" si="30"/>
        <v>5.5515598675921023</v>
      </c>
      <c r="T104" s="296">
        <f t="shared" si="30"/>
        <v>5.6316432791174957</v>
      </c>
      <c r="U104" s="296">
        <f t="shared" si="30"/>
        <v>5.7058961914503623</v>
      </c>
      <c r="V104" s="296">
        <f t="shared" si="30"/>
        <v>5.7745285640319306</v>
      </c>
    </row>
    <row r="105" spans="1:25" x14ac:dyDescent="0.25">
      <c r="A105" s="917"/>
      <c r="B105" s="917"/>
      <c r="C105" s="917"/>
      <c r="D105" s="917"/>
      <c r="E105" s="917"/>
      <c r="M105" s="936"/>
      <c r="T105" s="1853" t="str">
        <f>+CONCATENATE("La ", H87, " la cual incorpora los programas ", I88, IF(AVERAGE(M104:V104)&lt;$S$3," CUMPLE "," NO CUMPLE "),"con las metas propuestas por la ESP")</f>
        <v>La ALTERNATIVA No. 3 la cual incorpora los programas  NO CUMPLE con las metas propuestas por la ESP</v>
      </c>
      <c r="U105" s="1853"/>
      <c r="V105" s="1853"/>
    </row>
    <row r="106" spans="1:25" x14ac:dyDescent="0.25">
      <c r="A106" s="917"/>
      <c r="B106" s="917"/>
      <c r="C106" s="917"/>
      <c r="D106" s="917"/>
      <c r="E106" s="917"/>
      <c r="T106" s="1853"/>
      <c r="U106" s="1853"/>
      <c r="V106" s="1853"/>
    </row>
    <row r="107" spans="1:25" x14ac:dyDescent="0.25">
      <c r="A107" s="917"/>
      <c r="B107" s="917"/>
      <c r="C107" s="917"/>
      <c r="D107" s="917"/>
      <c r="E107" s="917"/>
      <c r="T107" s="1853"/>
      <c r="U107" s="1853"/>
      <c r="V107" s="1853"/>
    </row>
    <row r="108" spans="1:25" x14ac:dyDescent="0.25">
      <c r="A108" s="917"/>
      <c r="B108" s="917"/>
      <c r="C108" s="917"/>
      <c r="D108" s="917"/>
      <c r="E108" s="917"/>
      <c r="T108" s="1853"/>
      <c r="U108" s="1853"/>
      <c r="V108" s="1853"/>
    </row>
    <row r="109" spans="1:25" x14ac:dyDescent="0.25">
      <c r="A109" s="917"/>
      <c r="B109" s="917"/>
      <c r="C109" s="917"/>
      <c r="D109" s="917"/>
      <c r="E109" s="917"/>
      <c r="T109" s="1853"/>
      <c r="U109" s="1853"/>
      <c r="V109" s="1853"/>
    </row>
    <row r="110" spans="1:25" x14ac:dyDescent="0.25">
      <c r="A110" s="917"/>
      <c r="B110" s="917"/>
      <c r="C110" s="917"/>
      <c r="D110" s="917"/>
      <c r="E110" s="917"/>
      <c r="T110" s="1853"/>
      <c r="U110" s="1853"/>
      <c r="V110" s="1853"/>
    </row>
    <row r="111" spans="1:25" x14ac:dyDescent="0.25">
      <c r="A111" s="917"/>
      <c r="B111" s="917"/>
      <c r="C111" s="917"/>
      <c r="D111" s="917"/>
      <c r="E111" s="917"/>
      <c r="T111" s="1853"/>
      <c r="U111" s="1853"/>
      <c r="V111" s="1853"/>
    </row>
    <row r="112" spans="1:25" x14ac:dyDescent="0.25">
      <c r="A112" s="917"/>
      <c r="B112" s="917"/>
      <c r="C112" s="917"/>
      <c r="D112" s="917"/>
      <c r="E112" s="917"/>
      <c r="T112" s="1853"/>
      <c r="U112" s="1853"/>
      <c r="V112" s="1853"/>
    </row>
    <row r="113" spans="1:22" x14ac:dyDescent="0.25">
      <c r="A113" s="917"/>
      <c r="B113" s="917"/>
      <c r="C113" s="917"/>
      <c r="D113" s="917"/>
      <c r="E113" s="917"/>
      <c r="T113" s="1853"/>
      <c r="U113" s="1853"/>
      <c r="V113" s="1853"/>
    </row>
    <row r="114" spans="1:22" x14ac:dyDescent="0.25">
      <c r="A114" s="917"/>
      <c r="B114" s="917"/>
      <c r="C114" s="917"/>
      <c r="D114" s="917"/>
      <c r="E114" s="917"/>
      <c r="T114" s="1853"/>
      <c r="U114" s="1853"/>
      <c r="V114" s="1853"/>
    </row>
    <row r="115" spans="1:22" x14ac:dyDescent="0.25">
      <c r="A115" s="917"/>
      <c r="B115" s="917"/>
      <c r="C115" s="917"/>
      <c r="D115" s="917"/>
      <c r="E115" s="917"/>
      <c r="T115" s="1853"/>
      <c r="U115" s="1853"/>
      <c r="V115" s="1853"/>
    </row>
    <row r="116" spans="1:22" x14ac:dyDescent="0.25">
      <c r="A116" s="917"/>
      <c r="B116" s="917"/>
      <c r="C116" s="917"/>
      <c r="D116" s="917"/>
      <c r="E116" s="917"/>
      <c r="T116" s="1853"/>
      <c r="U116" s="1853"/>
      <c r="V116" s="1853"/>
    </row>
    <row r="117" spans="1:22" x14ac:dyDescent="0.25">
      <c r="A117" s="917"/>
      <c r="B117" s="917"/>
      <c r="C117" s="917"/>
      <c r="D117" s="917"/>
      <c r="E117" s="917"/>
      <c r="T117" s="1853"/>
      <c r="U117" s="1853"/>
      <c r="V117" s="1853"/>
    </row>
    <row r="118" spans="1:22" x14ac:dyDescent="0.25">
      <c r="A118" s="917"/>
      <c r="B118" s="917"/>
      <c r="C118" s="917"/>
      <c r="D118" s="917"/>
      <c r="E118" s="917"/>
      <c r="T118" s="1853"/>
      <c r="U118" s="1853"/>
      <c r="V118" s="1853"/>
    </row>
    <row r="119" spans="1:22" x14ac:dyDescent="0.25">
      <c r="A119" s="917"/>
      <c r="B119" s="917"/>
      <c r="C119" s="917"/>
      <c r="D119" s="917"/>
      <c r="E119" s="917"/>
      <c r="T119" s="1853"/>
      <c r="U119" s="1853"/>
      <c r="V119" s="1853"/>
    </row>
    <row r="120" spans="1:22" x14ac:dyDescent="0.25">
      <c r="A120" s="917"/>
      <c r="B120" s="917"/>
      <c r="C120" s="917"/>
      <c r="D120" s="917"/>
      <c r="E120" s="917"/>
      <c r="T120" s="1853"/>
      <c r="U120" s="1853"/>
      <c r="V120" s="1853"/>
    </row>
    <row r="121" spans="1:22" x14ac:dyDescent="0.25">
      <c r="A121" s="917"/>
      <c r="B121" s="917"/>
      <c r="C121" s="917"/>
      <c r="D121" s="917"/>
      <c r="E121" s="917"/>
      <c r="T121" s="1853"/>
      <c r="U121" s="1853"/>
      <c r="V121" s="1853"/>
    </row>
    <row r="122" spans="1:22" x14ac:dyDescent="0.25">
      <c r="A122" s="917"/>
      <c r="B122" s="917"/>
      <c r="C122" s="917"/>
      <c r="D122" s="917"/>
      <c r="E122" s="917"/>
    </row>
    <row r="123" spans="1:22" x14ac:dyDescent="0.25">
      <c r="A123" s="917"/>
      <c r="B123" s="917"/>
      <c r="C123" s="917"/>
      <c r="D123" s="917"/>
      <c r="E123" s="917"/>
    </row>
    <row r="124" spans="1:22" x14ac:dyDescent="0.25">
      <c r="A124" s="917"/>
      <c r="B124" s="917"/>
      <c r="C124" s="917"/>
      <c r="D124" s="917"/>
      <c r="E124" s="917"/>
    </row>
    <row r="125" spans="1:22" x14ac:dyDescent="0.25">
      <c r="A125" s="917"/>
      <c r="B125" s="917"/>
      <c r="C125" s="917"/>
      <c r="D125" s="917"/>
      <c r="E125" s="917"/>
    </row>
    <row r="126" spans="1:22" x14ac:dyDescent="0.25">
      <c r="A126" s="917"/>
      <c r="B126" s="917"/>
      <c r="C126" s="917"/>
      <c r="D126" s="917"/>
      <c r="E126" s="917"/>
    </row>
    <row r="127" spans="1:22" x14ac:dyDescent="0.25">
      <c r="A127" s="917"/>
      <c r="B127" s="917"/>
      <c r="C127" s="917"/>
      <c r="D127" s="917"/>
      <c r="E127" s="917"/>
    </row>
    <row r="128" spans="1:22" x14ac:dyDescent="0.25">
      <c r="A128" s="917"/>
      <c r="B128" s="917"/>
      <c r="C128" s="917"/>
      <c r="D128" s="917"/>
      <c r="E128" s="917"/>
    </row>
    <row r="129" spans="1:5" x14ac:dyDescent="0.25">
      <c r="A129" s="917"/>
      <c r="B129" s="917"/>
      <c r="C129" s="917"/>
      <c r="D129" s="917"/>
      <c r="E129" s="917"/>
    </row>
    <row r="130" spans="1:5" x14ac:dyDescent="0.25">
      <c r="A130" s="917"/>
      <c r="B130" s="917"/>
      <c r="C130" s="917"/>
      <c r="D130" s="917"/>
      <c r="E130" s="917"/>
    </row>
    <row r="131" spans="1:5" x14ac:dyDescent="0.25">
      <c r="A131" s="917"/>
      <c r="B131" s="917"/>
      <c r="C131" s="917"/>
      <c r="D131" s="917"/>
      <c r="E131" s="917"/>
    </row>
    <row r="132" spans="1:5" x14ac:dyDescent="0.25">
      <c r="A132" s="917"/>
      <c r="B132" s="917"/>
      <c r="C132" s="917"/>
      <c r="D132" s="917"/>
      <c r="E132" s="917"/>
    </row>
    <row r="133" spans="1:5" x14ac:dyDescent="0.25">
      <c r="A133" s="917"/>
      <c r="B133" s="917"/>
      <c r="C133" s="917"/>
      <c r="D133" s="917"/>
      <c r="E133" s="917"/>
    </row>
    <row r="134" spans="1:5" x14ac:dyDescent="0.25">
      <c r="A134" s="917"/>
      <c r="B134" s="917"/>
      <c r="C134" s="917"/>
      <c r="D134" s="917"/>
      <c r="E134" s="917"/>
    </row>
    <row r="135" spans="1:5" x14ac:dyDescent="0.25">
      <c r="A135" s="917"/>
      <c r="B135" s="917"/>
      <c r="C135" s="917"/>
      <c r="D135" s="917"/>
      <c r="E135" s="917"/>
    </row>
    <row r="136" spans="1:5" x14ac:dyDescent="0.25">
      <c r="A136" s="917"/>
      <c r="B136" s="917"/>
      <c r="C136" s="917"/>
      <c r="D136" s="917"/>
      <c r="E136" s="917"/>
    </row>
    <row r="137" spans="1:5" x14ac:dyDescent="0.25">
      <c r="A137" s="917"/>
      <c r="B137" s="917"/>
      <c r="C137" s="917"/>
      <c r="D137" s="917"/>
      <c r="E137" s="917"/>
    </row>
    <row r="138" spans="1:5" x14ac:dyDescent="0.25">
      <c r="A138" s="917"/>
      <c r="B138" s="917"/>
      <c r="C138" s="917"/>
      <c r="D138" s="917"/>
      <c r="E138" s="917"/>
    </row>
    <row r="139" spans="1:5" x14ac:dyDescent="0.25">
      <c r="A139" s="917"/>
      <c r="B139" s="917"/>
      <c r="C139" s="917"/>
      <c r="D139" s="917"/>
      <c r="E139" s="917"/>
    </row>
    <row r="140" spans="1:5" x14ac:dyDescent="0.25">
      <c r="A140" s="917"/>
      <c r="B140" s="917"/>
      <c r="C140" s="917"/>
      <c r="D140" s="917"/>
      <c r="E140" s="917"/>
    </row>
    <row r="141" spans="1:5" x14ac:dyDescent="0.25">
      <c r="A141" s="917"/>
      <c r="B141" s="917"/>
      <c r="C141" s="917"/>
      <c r="D141" s="917"/>
      <c r="E141" s="917"/>
    </row>
    <row r="142" spans="1:5" x14ac:dyDescent="0.25">
      <c r="A142" s="917"/>
      <c r="B142" s="917"/>
      <c r="C142" s="917"/>
      <c r="D142" s="917"/>
      <c r="E142" s="917"/>
    </row>
    <row r="143" spans="1:5" x14ac:dyDescent="0.25">
      <c r="A143" s="917"/>
      <c r="B143" s="917"/>
      <c r="C143" s="917"/>
      <c r="D143" s="917"/>
      <c r="E143" s="917"/>
    </row>
    <row r="144" spans="1:5" x14ac:dyDescent="0.25">
      <c r="A144" s="917"/>
      <c r="B144" s="917"/>
      <c r="C144" s="917"/>
      <c r="D144" s="917"/>
      <c r="E144" s="917"/>
    </row>
    <row r="145" spans="1:5" x14ac:dyDescent="0.25">
      <c r="A145" s="917"/>
      <c r="B145" s="917"/>
      <c r="C145" s="917"/>
      <c r="D145" s="917"/>
      <c r="E145" s="917"/>
    </row>
    <row r="146" spans="1:5" x14ac:dyDescent="0.25">
      <c r="A146" s="917"/>
      <c r="B146" s="917"/>
      <c r="C146" s="917"/>
      <c r="D146" s="917"/>
      <c r="E146" s="917"/>
    </row>
    <row r="147" spans="1:5" x14ac:dyDescent="0.25">
      <c r="A147" s="917"/>
      <c r="B147" s="917"/>
      <c r="C147" s="917"/>
      <c r="D147" s="917"/>
      <c r="E147" s="917"/>
    </row>
    <row r="148" spans="1:5" x14ac:dyDescent="0.25">
      <c r="A148" s="917"/>
      <c r="B148" s="917"/>
      <c r="C148" s="917"/>
      <c r="D148" s="917"/>
      <c r="E148" s="917"/>
    </row>
    <row r="149" spans="1:5" x14ac:dyDescent="0.25">
      <c r="A149" s="917"/>
      <c r="B149" s="917"/>
      <c r="C149" s="917"/>
      <c r="D149" s="917"/>
      <c r="E149" s="917"/>
    </row>
    <row r="150" spans="1:5" x14ac:dyDescent="0.25">
      <c r="A150" s="917"/>
      <c r="B150" s="917"/>
      <c r="C150" s="917"/>
      <c r="D150" s="917"/>
      <c r="E150" s="917"/>
    </row>
    <row r="151" spans="1:5" x14ac:dyDescent="0.25">
      <c r="A151" s="917"/>
      <c r="B151" s="917"/>
      <c r="C151" s="917"/>
      <c r="D151" s="917"/>
      <c r="E151" s="917"/>
    </row>
    <row r="152" spans="1:5" x14ac:dyDescent="0.25">
      <c r="A152" s="917"/>
      <c r="B152" s="917"/>
      <c r="C152" s="917"/>
      <c r="D152" s="917"/>
      <c r="E152" s="917"/>
    </row>
    <row r="153" spans="1:5" x14ac:dyDescent="0.25">
      <c r="A153" s="917"/>
      <c r="B153" s="917"/>
      <c r="C153" s="917"/>
      <c r="D153" s="917"/>
      <c r="E153" s="917"/>
    </row>
    <row r="154" spans="1:5" x14ac:dyDescent="0.25">
      <c r="A154" s="917"/>
      <c r="B154" s="917"/>
      <c r="C154" s="917"/>
      <c r="D154" s="917"/>
      <c r="E154" s="917"/>
    </row>
    <row r="155" spans="1:5" x14ac:dyDescent="0.25">
      <c r="A155" s="917"/>
      <c r="B155" s="917"/>
      <c r="C155" s="917"/>
      <c r="D155" s="917"/>
      <c r="E155" s="917"/>
    </row>
    <row r="156" spans="1:5" x14ac:dyDescent="0.25">
      <c r="A156" s="917"/>
      <c r="B156" s="917"/>
      <c r="C156" s="917"/>
      <c r="D156" s="917"/>
      <c r="E156" s="917"/>
    </row>
    <row r="157" spans="1:5" x14ac:dyDescent="0.25">
      <c r="A157" s="917"/>
      <c r="B157" s="917"/>
      <c r="C157" s="917"/>
      <c r="D157" s="917"/>
      <c r="E157" s="917"/>
    </row>
    <row r="158" spans="1:5" x14ac:dyDescent="0.25">
      <c r="A158" s="917"/>
      <c r="B158" s="917"/>
      <c r="C158" s="917"/>
      <c r="D158" s="917"/>
      <c r="E158" s="917"/>
    </row>
    <row r="159" spans="1:5" x14ac:dyDescent="0.25">
      <c r="A159" s="917"/>
      <c r="B159" s="917"/>
      <c r="C159" s="917"/>
      <c r="D159" s="917"/>
      <c r="E159" s="917"/>
    </row>
    <row r="160" spans="1:5" x14ac:dyDescent="0.25">
      <c r="A160" s="917"/>
      <c r="B160" s="917"/>
      <c r="C160" s="917"/>
      <c r="D160" s="917"/>
      <c r="E160" s="917"/>
    </row>
    <row r="161" spans="1:5" x14ac:dyDescent="0.25">
      <c r="A161" s="917"/>
      <c r="B161" s="917"/>
      <c r="C161" s="917"/>
      <c r="D161" s="917"/>
      <c r="E161" s="917"/>
    </row>
    <row r="162" spans="1:5" x14ac:dyDescent="0.25">
      <c r="A162" s="917"/>
      <c r="B162" s="917"/>
      <c r="C162" s="917"/>
      <c r="D162" s="917"/>
      <c r="E162" s="917"/>
    </row>
    <row r="163" spans="1:5" x14ac:dyDescent="0.25">
      <c r="A163" s="917"/>
      <c r="B163" s="917"/>
      <c r="C163" s="917"/>
      <c r="D163" s="917"/>
      <c r="E163" s="917"/>
    </row>
    <row r="164" spans="1:5" x14ac:dyDescent="0.25">
      <c r="A164" s="917"/>
      <c r="B164" s="917"/>
      <c r="C164" s="917"/>
      <c r="D164" s="917"/>
      <c r="E164" s="917"/>
    </row>
    <row r="165" spans="1:5" x14ac:dyDescent="0.25">
      <c r="A165" s="917"/>
      <c r="B165" s="917"/>
      <c r="C165" s="917"/>
      <c r="D165" s="917"/>
      <c r="E165" s="917"/>
    </row>
    <row r="166" spans="1:5" x14ac:dyDescent="0.25">
      <c r="A166" s="917"/>
      <c r="B166" s="917"/>
      <c r="C166" s="917"/>
      <c r="D166" s="917"/>
      <c r="E166" s="917"/>
    </row>
    <row r="167" spans="1:5" x14ac:dyDescent="0.25">
      <c r="A167" s="917"/>
      <c r="B167" s="917"/>
      <c r="C167" s="917"/>
      <c r="D167" s="917"/>
      <c r="E167" s="917"/>
    </row>
    <row r="168" spans="1:5" x14ac:dyDescent="0.25">
      <c r="A168" s="917"/>
      <c r="B168" s="917"/>
      <c r="C168" s="917"/>
      <c r="D168" s="917"/>
      <c r="E168" s="917"/>
    </row>
    <row r="169" spans="1:5" x14ac:dyDescent="0.25">
      <c r="A169" s="917"/>
      <c r="B169" s="917"/>
      <c r="C169" s="917"/>
      <c r="D169" s="917"/>
      <c r="E169" s="917"/>
    </row>
    <row r="170" spans="1:5" x14ac:dyDescent="0.25">
      <c r="A170" s="917"/>
      <c r="B170" s="917"/>
      <c r="C170" s="917"/>
      <c r="D170" s="917"/>
      <c r="E170" s="917"/>
    </row>
    <row r="171" spans="1:5" x14ac:dyDescent="0.25">
      <c r="A171" s="917"/>
      <c r="B171" s="917"/>
      <c r="C171" s="917"/>
      <c r="D171" s="917"/>
      <c r="E171" s="917"/>
    </row>
    <row r="172" spans="1:5" x14ac:dyDescent="0.25">
      <c r="A172" s="917"/>
      <c r="B172" s="917"/>
      <c r="C172" s="917"/>
      <c r="D172" s="917"/>
      <c r="E172" s="917"/>
    </row>
    <row r="173" spans="1:5" x14ac:dyDescent="0.25">
      <c r="A173" s="917"/>
      <c r="B173" s="917"/>
      <c r="C173" s="917"/>
      <c r="D173" s="917"/>
      <c r="E173" s="917"/>
    </row>
    <row r="174" spans="1:5" x14ac:dyDescent="0.25">
      <c r="A174" s="917"/>
      <c r="B174" s="917"/>
      <c r="C174" s="917"/>
      <c r="D174" s="917"/>
      <c r="E174" s="917"/>
    </row>
    <row r="175" spans="1:5" x14ac:dyDescent="0.25">
      <c r="A175" s="917"/>
      <c r="B175" s="917"/>
      <c r="C175" s="917"/>
      <c r="D175" s="917"/>
      <c r="E175" s="917"/>
    </row>
    <row r="176" spans="1:5" x14ac:dyDescent="0.25">
      <c r="A176" s="917"/>
      <c r="B176" s="917"/>
      <c r="C176" s="917"/>
      <c r="D176" s="917"/>
      <c r="E176" s="917"/>
    </row>
    <row r="177" spans="1:5" x14ac:dyDescent="0.25">
      <c r="A177" s="917"/>
      <c r="B177" s="917"/>
      <c r="C177" s="917"/>
      <c r="D177" s="917"/>
      <c r="E177" s="917"/>
    </row>
    <row r="178" spans="1:5" x14ac:dyDescent="0.25">
      <c r="A178" s="917"/>
      <c r="B178" s="917"/>
      <c r="C178" s="917"/>
      <c r="D178" s="917"/>
      <c r="E178" s="917"/>
    </row>
    <row r="179" spans="1:5" x14ac:dyDescent="0.25">
      <c r="A179" s="917"/>
      <c r="B179" s="917"/>
      <c r="C179" s="917"/>
      <c r="D179" s="917"/>
      <c r="E179" s="917"/>
    </row>
    <row r="180" spans="1:5" x14ac:dyDescent="0.25">
      <c r="A180" s="917"/>
      <c r="B180" s="917"/>
      <c r="C180" s="917"/>
      <c r="D180" s="917"/>
      <c r="E180" s="917"/>
    </row>
    <row r="181" spans="1:5" x14ac:dyDescent="0.25">
      <c r="A181" s="917"/>
      <c r="B181" s="917"/>
      <c r="C181" s="917"/>
      <c r="D181" s="917"/>
      <c r="E181" s="917"/>
    </row>
    <row r="182" spans="1:5" x14ac:dyDescent="0.25">
      <c r="A182" s="917"/>
      <c r="B182" s="917"/>
      <c r="C182" s="917"/>
      <c r="D182" s="917"/>
      <c r="E182" s="917"/>
    </row>
    <row r="183" spans="1:5" x14ac:dyDescent="0.25">
      <c r="A183" s="917"/>
      <c r="B183" s="917"/>
      <c r="C183" s="917"/>
      <c r="D183" s="917"/>
      <c r="E183" s="917"/>
    </row>
    <row r="184" spans="1:5" x14ac:dyDescent="0.25">
      <c r="A184" s="917"/>
      <c r="B184" s="917"/>
      <c r="C184" s="917"/>
      <c r="D184" s="917"/>
      <c r="E184" s="917"/>
    </row>
    <row r="185" spans="1:5" x14ac:dyDescent="0.25">
      <c r="A185" s="917"/>
      <c r="B185" s="917"/>
      <c r="C185" s="917"/>
      <c r="D185" s="917"/>
      <c r="E185" s="917"/>
    </row>
    <row r="186" spans="1:5" x14ac:dyDescent="0.25">
      <c r="A186" s="917"/>
      <c r="B186" s="917"/>
      <c r="C186" s="917"/>
      <c r="D186" s="917"/>
      <c r="E186" s="917"/>
    </row>
    <row r="187" spans="1:5" x14ac:dyDescent="0.25">
      <c r="A187" s="917"/>
      <c r="B187" s="917"/>
      <c r="C187" s="917"/>
      <c r="D187" s="917"/>
      <c r="E187" s="917"/>
    </row>
    <row r="188" spans="1:5" x14ac:dyDescent="0.25">
      <c r="A188" s="917"/>
      <c r="B188" s="917"/>
      <c r="C188" s="917"/>
      <c r="D188" s="917"/>
      <c r="E188" s="917"/>
    </row>
    <row r="189" spans="1:5" x14ac:dyDescent="0.25">
      <c r="A189" s="917"/>
      <c r="B189" s="917"/>
      <c r="C189" s="917"/>
      <c r="D189" s="917"/>
      <c r="E189" s="917"/>
    </row>
    <row r="190" spans="1:5" x14ac:dyDescent="0.25">
      <c r="A190" s="917"/>
      <c r="B190" s="917"/>
      <c r="C190" s="917"/>
      <c r="D190" s="917"/>
      <c r="E190" s="917"/>
    </row>
    <row r="191" spans="1:5" x14ac:dyDescent="0.25">
      <c r="A191" s="917"/>
      <c r="B191" s="917"/>
      <c r="C191" s="917"/>
      <c r="D191" s="917"/>
      <c r="E191" s="917"/>
    </row>
    <row r="192" spans="1:5" x14ac:dyDescent="0.25">
      <c r="A192" s="917"/>
      <c r="B192" s="917"/>
      <c r="C192" s="917"/>
      <c r="D192" s="917"/>
      <c r="E192" s="917"/>
    </row>
    <row r="193" spans="1:5" x14ac:dyDescent="0.25">
      <c r="A193" s="917"/>
      <c r="B193" s="917"/>
      <c r="C193" s="917"/>
      <c r="D193" s="917"/>
      <c r="E193" s="917"/>
    </row>
    <row r="194" spans="1:5" x14ac:dyDescent="0.25">
      <c r="A194" s="917"/>
      <c r="B194" s="917"/>
      <c r="C194" s="917"/>
      <c r="D194" s="917"/>
      <c r="E194" s="917"/>
    </row>
    <row r="195" spans="1:5" x14ac:dyDescent="0.25">
      <c r="A195" s="917"/>
      <c r="B195" s="917"/>
      <c r="C195" s="917"/>
      <c r="D195" s="917"/>
      <c r="E195" s="917"/>
    </row>
    <row r="196" spans="1:5" x14ac:dyDescent="0.25">
      <c r="A196" s="917"/>
      <c r="B196" s="917"/>
      <c r="C196" s="917"/>
      <c r="D196" s="917"/>
      <c r="E196" s="917"/>
    </row>
    <row r="197" spans="1:5" x14ac:dyDescent="0.25">
      <c r="A197" s="917"/>
      <c r="B197" s="917"/>
      <c r="C197" s="917"/>
      <c r="D197" s="917"/>
      <c r="E197" s="917"/>
    </row>
    <row r="198" spans="1:5" x14ac:dyDescent="0.25">
      <c r="A198" s="917"/>
      <c r="B198" s="917"/>
      <c r="C198" s="917"/>
      <c r="D198" s="917"/>
      <c r="E198" s="917"/>
    </row>
    <row r="199" spans="1:5" x14ac:dyDescent="0.25">
      <c r="A199" s="917"/>
      <c r="B199" s="917"/>
      <c r="C199" s="917"/>
      <c r="D199" s="917"/>
      <c r="E199" s="917"/>
    </row>
    <row r="200" spans="1:5" x14ac:dyDescent="0.25">
      <c r="A200" s="917"/>
      <c r="B200" s="917"/>
      <c r="C200" s="917"/>
      <c r="D200" s="917"/>
      <c r="E200" s="917"/>
    </row>
    <row r="201" spans="1:5" x14ac:dyDescent="0.25">
      <c r="A201" s="917"/>
      <c r="B201" s="917"/>
      <c r="C201" s="917"/>
      <c r="D201" s="917"/>
      <c r="E201" s="917"/>
    </row>
    <row r="202" spans="1:5" x14ac:dyDescent="0.25">
      <c r="A202" s="917"/>
      <c r="B202" s="917"/>
      <c r="C202" s="917"/>
      <c r="D202" s="917"/>
      <c r="E202" s="917"/>
    </row>
    <row r="203" spans="1:5" x14ac:dyDescent="0.25">
      <c r="A203" s="917"/>
      <c r="B203" s="917"/>
      <c r="C203" s="917"/>
      <c r="D203" s="917"/>
      <c r="E203" s="917"/>
    </row>
    <row r="204" spans="1:5" x14ac:dyDescent="0.25">
      <c r="A204" s="917"/>
      <c r="B204" s="917"/>
      <c r="C204" s="917"/>
      <c r="D204" s="917"/>
      <c r="E204" s="917"/>
    </row>
    <row r="205" spans="1:5" x14ac:dyDescent="0.25">
      <c r="A205" s="917"/>
      <c r="B205" s="917"/>
      <c r="C205" s="917"/>
      <c r="D205" s="917"/>
      <c r="E205" s="917"/>
    </row>
    <row r="206" spans="1:5" x14ac:dyDescent="0.25">
      <c r="A206" s="917"/>
      <c r="B206" s="917"/>
      <c r="C206" s="917"/>
      <c r="D206" s="917"/>
      <c r="E206" s="917"/>
    </row>
    <row r="207" spans="1:5" x14ac:dyDescent="0.25">
      <c r="A207" s="917"/>
      <c r="B207" s="917"/>
      <c r="C207" s="917"/>
      <c r="D207" s="917"/>
      <c r="E207" s="917"/>
    </row>
    <row r="208" spans="1:5" x14ac:dyDescent="0.25">
      <c r="A208" s="917"/>
      <c r="B208" s="917"/>
      <c r="C208" s="917"/>
      <c r="D208" s="917"/>
      <c r="E208" s="917"/>
    </row>
    <row r="209" spans="1:5" x14ac:dyDescent="0.25">
      <c r="A209" s="917"/>
      <c r="B209" s="917"/>
      <c r="C209" s="917"/>
      <c r="D209" s="917"/>
      <c r="E209" s="917"/>
    </row>
    <row r="210" spans="1:5" x14ac:dyDescent="0.25">
      <c r="A210" s="917"/>
      <c r="B210" s="917"/>
      <c r="C210" s="917"/>
      <c r="D210" s="917"/>
      <c r="E210" s="917"/>
    </row>
    <row r="211" spans="1:5" x14ac:dyDescent="0.25">
      <c r="A211" s="917"/>
      <c r="B211" s="917"/>
      <c r="C211" s="917"/>
      <c r="D211" s="917"/>
      <c r="E211" s="917"/>
    </row>
    <row r="212" spans="1:5" x14ac:dyDescent="0.25">
      <c r="A212" s="917"/>
      <c r="B212" s="917"/>
      <c r="C212" s="917"/>
      <c r="D212" s="917"/>
      <c r="E212" s="917"/>
    </row>
    <row r="213" spans="1:5" x14ac:dyDescent="0.25">
      <c r="A213" s="917"/>
      <c r="B213" s="917"/>
      <c r="C213" s="917"/>
      <c r="D213" s="917"/>
      <c r="E213" s="917"/>
    </row>
    <row r="214" spans="1:5" x14ac:dyDescent="0.25">
      <c r="A214" s="917"/>
      <c r="B214" s="917"/>
      <c r="C214" s="917"/>
      <c r="D214" s="917"/>
      <c r="E214" s="917"/>
    </row>
    <row r="215" spans="1:5" x14ac:dyDescent="0.25">
      <c r="A215" s="917"/>
      <c r="B215" s="917"/>
      <c r="C215" s="917"/>
      <c r="D215" s="917"/>
      <c r="E215" s="917"/>
    </row>
    <row r="216" spans="1:5" x14ac:dyDescent="0.25">
      <c r="A216" s="917"/>
      <c r="B216" s="917"/>
      <c r="C216" s="917"/>
      <c r="D216" s="917"/>
      <c r="E216" s="917"/>
    </row>
    <row r="217" spans="1:5" x14ac:dyDescent="0.25">
      <c r="A217" s="917"/>
      <c r="B217" s="917"/>
      <c r="C217" s="917"/>
      <c r="D217" s="917"/>
      <c r="E217" s="917"/>
    </row>
    <row r="218" spans="1:5" x14ac:dyDescent="0.25">
      <c r="A218" s="917"/>
      <c r="B218" s="917"/>
      <c r="C218" s="917"/>
      <c r="D218" s="917"/>
      <c r="E218" s="917"/>
    </row>
    <row r="219" spans="1:5" x14ac:dyDescent="0.25">
      <c r="A219" s="917"/>
      <c r="B219" s="917"/>
      <c r="C219" s="917"/>
      <c r="D219" s="917"/>
      <c r="E219" s="917"/>
    </row>
    <row r="220" spans="1:5" x14ac:dyDescent="0.25">
      <c r="A220" s="917"/>
      <c r="B220" s="917"/>
      <c r="C220" s="917"/>
      <c r="D220" s="917"/>
      <c r="E220" s="917"/>
    </row>
    <row r="221" spans="1:5" x14ac:dyDescent="0.25">
      <c r="A221" s="917"/>
      <c r="B221" s="917"/>
      <c r="C221" s="917"/>
      <c r="D221" s="917"/>
      <c r="E221" s="917"/>
    </row>
    <row r="222" spans="1:5" x14ac:dyDescent="0.25">
      <c r="A222" s="917"/>
      <c r="B222" s="917"/>
      <c r="C222" s="917"/>
      <c r="D222" s="917"/>
      <c r="E222" s="917"/>
    </row>
    <row r="223" spans="1:5" x14ac:dyDescent="0.25">
      <c r="A223" s="917"/>
      <c r="B223" s="917"/>
      <c r="C223" s="917"/>
      <c r="D223" s="917"/>
      <c r="E223" s="917"/>
    </row>
    <row r="224" spans="1:5" x14ac:dyDescent="0.25">
      <c r="A224" s="917"/>
      <c r="B224" s="917"/>
      <c r="C224" s="917"/>
      <c r="D224" s="917"/>
      <c r="E224" s="917"/>
    </row>
    <row r="225" spans="1:5" x14ac:dyDescent="0.25">
      <c r="A225" s="917"/>
      <c r="B225" s="917"/>
      <c r="C225" s="917"/>
      <c r="D225" s="917"/>
      <c r="E225" s="917"/>
    </row>
    <row r="226" spans="1:5" x14ac:dyDescent="0.25">
      <c r="A226" s="917"/>
      <c r="B226" s="917"/>
      <c r="C226" s="917"/>
      <c r="D226" s="917"/>
      <c r="E226" s="917"/>
    </row>
    <row r="227" spans="1:5" x14ac:dyDescent="0.25">
      <c r="A227" s="917"/>
      <c r="B227" s="917"/>
      <c r="C227" s="917"/>
      <c r="D227" s="917"/>
      <c r="E227" s="917"/>
    </row>
    <row r="228" spans="1:5" x14ac:dyDescent="0.25">
      <c r="A228" s="917"/>
      <c r="B228" s="917"/>
      <c r="C228" s="917"/>
      <c r="D228" s="917"/>
      <c r="E228" s="917"/>
    </row>
    <row r="229" spans="1:5" x14ac:dyDescent="0.25">
      <c r="A229" s="917"/>
      <c r="B229" s="917"/>
      <c r="C229" s="917"/>
      <c r="D229" s="917"/>
      <c r="E229" s="917"/>
    </row>
    <row r="230" spans="1:5" x14ac:dyDescent="0.25">
      <c r="A230" s="917"/>
      <c r="B230" s="917"/>
      <c r="C230" s="917"/>
      <c r="D230" s="917"/>
      <c r="E230" s="917"/>
    </row>
    <row r="231" spans="1:5" x14ac:dyDescent="0.25">
      <c r="A231" s="917"/>
      <c r="B231" s="917"/>
      <c r="C231" s="917"/>
      <c r="D231" s="917"/>
      <c r="E231" s="917"/>
    </row>
    <row r="232" spans="1:5" x14ac:dyDescent="0.25">
      <c r="A232" s="917"/>
      <c r="B232" s="917"/>
      <c r="C232" s="917"/>
      <c r="D232" s="917"/>
      <c r="E232" s="917"/>
    </row>
    <row r="233" spans="1:5" x14ac:dyDescent="0.25">
      <c r="A233" s="917"/>
      <c r="B233" s="917"/>
      <c r="C233" s="917"/>
      <c r="D233" s="917"/>
      <c r="E233" s="917"/>
    </row>
    <row r="234" spans="1:5" x14ac:dyDescent="0.25">
      <c r="A234" s="917"/>
      <c r="B234" s="917"/>
      <c r="C234" s="917"/>
      <c r="D234" s="917"/>
      <c r="E234" s="917"/>
    </row>
    <row r="235" spans="1:5" x14ac:dyDescent="0.25">
      <c r="A235" s="917"/>
      <c r="B235" s="917"/>
      <c r="C235" s="917"/>
      <c r="D235" s="917"/>
      <c r="E235" s="917"/>
    </row>
    <row r="236" spans="1:5" x14ac:dyDescent="0.25">
      <c r="A236" s="917"/>
      <c r="B236" s="917"/>
      <c r="C236" s="917"/>
      <c r="D236" s="917"/>
      <c r="E236" s="917"/>
    </row>
    <row r="237" spans="1:5" x14ac:dyDescent="0.25">
      <c r="A237" s="917"/>
      <c r="B237" s="917"/>
      <c r="C237" s="917"/>
      <c r="D237" s="917"/>
      <c r="E237" s="917"/>
    </row>
    <row r="238" spans="1:5" x14ac:dyDescent="0.25">
      <c r="A238" s="917"/>
      <c r="B238" s="917"/>
      <c r="C238" s="917"/>
      <c r="D238" s="917"/>
      <c r="E238" s="917"/>
    </row>
    <row r="239" spans="1:5" x14ac:dyDescent="0.25">
      <c r="A239" s="917"/>
      <c r="B239" s="917"/>
      <c r="C239" s="917"/>
      <c r="D239" s="917"/>
      <c r="E239" s="917"/>
    </row>
    <row r="240" spans="1:5" x14ac:dyDescent="0.25">
      <c r="A240" s="917"/>
      <c r="B240" s="917"/>
      <c r="C240" s="917"/>
      <c r="D240" s="917"/>
      <c r="E240" s="917"/>
    </row>
    <row r="241" spans="1:5" x14ac:dyDescent="0.25">
      <c r="A241" s="917"/>
      <c r="B241" s="917"/>
      <c r="C241" s="917"/>
      <c r="D241" s="917"/>
      <c r="E241" s="917"/>
    </row>
    <row r="242" spans="1:5" x14ac:dyDescent="0.25">
      <c r="A242" s="917"/>
      <c r="B242" s="917"/>
      <c r="C242" s="917"/>
      <c r="D242" s="917"/>
      <c r="E242" s="917"/>
    </row>
    <row r="243" spans="1:5" x14ac:dyDescent="0.25">
      <c r="A243" s="917"/>
      <c r="B243" s="917"/>
      <c r="C243" s="917"/>
      <c r="D243" s="917"/>
      <c r="E243" s="917"/>
    </row>
    <row r="244" spans="1:5" x14ac:dyDescent="0.25">
      <c r="A244" s="917"/>
      <c r="B244" s="917"/>
      <c r="C244" s="917"/>
      <c r="D244" s="917"/>
      <c r="E244" s="917"/>
    </row>
    <row r="245" spans="1:5" x14ac:dyDescent="0.25">
      <c r="A245" s="917"/>
      <c r="B245" s="917"/>
      <c r="C245" s="917"/>
      <c r="D245" s="917"/>
      <c r="E245" s="917"/>
    </row>
    <row r="246" spans="1:5" x14ac:dyDescent="0.25">
      <c r="A246" s="917"/>
      <c r="B246" s="917"/>
      <c r="C246" s="917"/>
      <c r="D246" s="917"/>
      <c r="E246" s="917"/>
    </row>
    <row r="247" spans="1:5" x14ac:dyDescent="0.25">
      <c r="A247" s="917"/>
      <c r="B247" s="917"/>
      <c r="C247" s="917"/>
      <c r="D247" s="917"/>
      <c r="E247" s="917"/>
    </row>
  </sheetData>
  <mergeCells count="18">
    <mergeCell ref="H1:U2"/>
    <mergeCell ref="H3:I3"/>
    <mergeCell ref="P3:R5"/>
    <mergeCell ref="S3:S5"/>
    <mergeCell ref="H6:H7"/>
    <mergeCell ref="H90:H91"/>
    <mergeCell ref="T105:V121"/>
    <mergeCell ref="H45:I45"/>
    <mergeCell ref="H48:H49"/>
    <mergeCell ref="T63:V79"/>
    <mergeCell ref="A26:F27"/>
    <mergeCell ref="A28:F29"/>
    <mergeCell ref="B31:E31"/>
    <mergeCell ref="J45:V45"/>
    <mergeCell ref="H87:I87"/>
    <mergeCell ref="T22:V38"/>
    <mergeCell ref="A56:A58"/>
    <mergeCell ref="A59:A69"/>
  </mergeCells>
  <phoneticPr fontId="9" type="noConversion"/>
  <conditionalFormatting sqref="J20:V20 J62:V62">
    <cfRule type="cellIs" dxfId="100" priority="54" operator="lessThan">
      <formula>$S$3</formula>
    </cfRule>
    <cfRule type="cellIs" dxfId="99" priority="55" operator="greaterThan">
      <formula>$S$3</formula>
    </cfRule>
  </conditionalFormatting>
  <conditionalFormatting sqref="J104:P104">
    <cfRule type="cellIs" dxfId="98" priority="52" operator="lessThan">
      <formula>$S$3</formula>
    </cfRule>
    <cfRule type="cellIs" dxfId="97" priority="53" operator="greaterThan">
      <formula>$S$3</formula>
    </cfRule>
  </conditionalFormatting>
  <conditionalFormatting sqref="C30">
    <cfRule type="colorScale" priority="51">
      <colorScale>
        <cfvo type="min"/>
        <cfvo type="percentile" val="50"/>
        <cfvo type="max"/>
        <color rgb="FFF8696B"/>
        <color rgb="FFFFEB84"/>
        <color rgb="FF63BE7B"/>
      </colorScale>
    </cfRule>
  </conditionalFormatting>
  <conditionalFormatting sqref="Q104:V104">
    <cfRule type="cellIs" dxfId="96" priority="30" operator="lessThan">
      <formula>$S$3</formula>
    </cfRule>
    <cfRule type="cellIs" dxfId="95" priority="31" operator="greaterThan">
      <formula>$S$3</formula>
    </cfRule>
  </conditionalFormatting>
  <dataValidations count="1">
    <dataValidation type="list" allowBlank="1" showInputMessage="1" showErrorMessage="1" sqref="I4" xr:uid="{6CC107DD-A4ED-4B8B-AA91-1DDEA9824A8C}">
      <formula1>A$37:A$51</formula1>
    </dataValidation>
  </dataValidations>
  <pageMargins left="0.7" right="0.7" top="0.75" bottom="0.75" header="0.3" footer="0.3"/>
  <pageSetup orientation="portrait" r:id="rId1"/>
  <ignoredErrors>
    <ignoredError sqref="J62:P62"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Formulario">
                <anchor moveWithCells="1" sizeWithCells="1">
                  <from>
                    <xdr:col>0</xdr:col>
                    <xdr:colOff>295275</xdr:colOff>
                    <xdr:row>0</xdr:row>
                    <xdr:rowOff>133350</xdr:rowOff>
                  </from>
                  <to>
                    <xdr:col>5</xdr:col>
                    <xdr:colOff>152400</xdr:colOff>
                    <xdr:row>2</xdr:row>
                    <xdr:rowOff>95250</xdr:rowOff>
                  </to>
                </anchor>
              </controlPr>
            </control>
          </mc:Choice>
        </mc:AlternateContent>
        <mc:AlternateContent xmlns:mc="http://schemas.openxmlformats.org/markup-compatibility/2006">
          <mc:Choice Requires="x14">
            <control shapeId="53250" r:id="rId5" name="Button 2">
              <controlPr defaultSize="0" print="0" autoFill="0" autoPict="0" macro="[0]!GRAFICA_ALT">
                <anchor moveWithCells="1" sizeWithCells="1">
                  <from>
                    <xdr:col>11</xdr:col>
                    <xdr:colOff>76200</xdr:colOff>
                    <xdr:row>2</xdr:row>
                    <xdr:rowOff>171450</xdr:rowOff>
                  </from>
                  <to>
                    <xdr:col>14</xdr:col>
                    <xdr:colOff>533400</xdr:colOff>
                    <xdr:row>4</xdr:row>
                    <xdr:rowOff>95250</xdr:rowOff>
                  </to>
                </anchor>
              </controlPr>
            </control>
          </mc:Choice>
        </mc:AlternateContent>
      </controls>
    </mc:Choice>
  </mc:AlternateContent>
  <tableParts count="4">
    <tablePart r:id="rId6"/>
    <tablePart r:id="rId7"/>
    <tablePart r:id="rId8"/>
    <tablePart r:id="rId9"/>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2">
    <tabColor rgb="FFFFC000"/>
  </sheetPr>
  <dimension ref="A1:M48"/>
  <sheetViews>
    <sheetView showGridLines="0" topLeftCell="B1" zoomScale="79" zoomScaleNormal="79" workbookViewId="0">
      <selection activeCell="D2" sqref="D2"/>
    </sheetView>
  </sheetViews>
  <sheetFormatPr baseColWidth="10" defaultColWidth="11.375" defaultRowHeight="12.75" x14ac:dyDescent="0.2"/>
  <cols>
    <col min="1" max="1" width="2.25" style="533" customWidth="1"/>
    <col min="2" max="2" width="73.375" style="533" bestFit="1" customWidth="1"/>
    <col min="3" max="3" width="21" style="533" customWidth="1"/>
    <col min="4" max="12" width="20.375" style="533" customWidth="1"/>
    <col min="13" max="13" width="17.5" style="533" customWidth="1"/>
    <col min="14" max="16384" width="11.375" style="533"/>
  </cols>
  <sheetData>
    <row r="1" spans="2:13" ht="17.25" customHeight="1" thickBot="1" x14ac:dyDescent="0.25">
      <c r="B1" s="646" t="s">
        <v>662</v>
      </c>
      <c r="C1" s="646"/>
    </row>
    <row r="2" spans="2:13" ht="14.25" customHeight="1" thickBot="1" x14ac:dyDescent="0.25">
      <c r="B2" s="1803" t="s">
        <v>237</v>
      </c>
      <c r="C2" s="1804"/>
    </row>
    <row r="3" spans="2:13" ht="14.1" customHeight="1" x14ac:dyDescent="0.2">
      <c r="B3" s="538" t="s">
        <v>537</v>
      </c>
      <c r="C3" s="196">
        <f>+PARÁMETROS!$C$8</f>
        <v>0.16276703160799988</v>
      </c>
    </row>
    <row r="4" spans="2:13" ht="14.1" customHeight="1" thickBot="1" x14ac:dyDescent="0.25">
      <c r="B4" s="569" t="s">
        <v>238</v>
      </c>
      <c r="C4" s="164">
        <f>+PARÁMETROS!$C$5</f>
        <v>0.35</v>
      </c>
    </row>
    <row r="5" spans="2:13" ht="21.75" customHeight="1" thickBot="1" x14ac:dyDescent="0.25">
      <c r="B5" s="647"/>
      <c r="C5" s="699">
        <v>0</v>
      </c>
      <c r="D5" s="699">
        <v>1</v>
      </c>
      <c r="E5" s="699">
        <v>2</v>
      </c>
      <c r="F5" s="699">
        <v>3</v>
      </c>
      <c r="G5" s="699">
        <v>4</v>
      </c>
      <c r="H5" s="699">
        <v>5</v>
      </c>
      <c r="I5" s="699">
        <v>6</v>
      </c>
      <c r="J5" s="699">
        <v>7</v>
      </c>
      <c r="K5" s="699">
        <v>8</v>
      </c>
      <c r="L5" s="699">
        <v>9</v>
      </c>
      <c r="M5" s="699">
        <v>10</v>
      </c>
    </row>
    <row r="6" spans="2:13" ht="15" customHeight="1" thickBot="1" x14ac:dyDescent="0.25">
      <c r="B6" s="649" t="s">
        <v>534</v>
      </c>
      <c r="C6" s="943">
        <v>2025</v>
      </c>
      <c r="D6" s="651">
        <v>2026</v>
      </c>
      <c r="E6" s="943">
        <v>2027</v>
      </c>
      <c r="F6" s="651">
        <v>2028</v>
      </c>
      <c r="G6" s="943">
        <v>2029</v>
      </c>
      <c r="H6" s="651">
        <v>2030</v>
      </c>
      <c r="I6" s="943">
        <v>2031</v>
      </c>
      <c r="J6" s="651">
        <v>2032</v>
      </c>
      <c r="K6" s="943">
        <v>2033</v>
      </c>
      <c r="L6" s="651">
        <v>2034</v>
      </c>
      <c r="M6" s="943">
        <v>2035</v>
      </c>
    </row>
    <row r="7" spans="2:13" ht="19.899999999999999" customHeight="1" x14ac:dyDescent="0.2">
      <c r="B7" s="564" t="s">
        <v>539</v>
      </c>
      <c r="C7" s="713">
        <f>+PARÁMETROS!C$15</f>
        <v>12027.92</v>
      </c>
      <c r="D7" s="202">
        <f>+C7*(1+PARÁMETROS!$C$9)</f>
        <v>12456.064156411199</v>
      </c>
      <c r="E7" s="202">
        <f>+D7*(1+PARÁMETROS!$C$9)</f>
        <v>12899.448472273829</v>
      </c>
      <c r="F7" s="202">
        <f>+E7*(1+PARÁMETROS!$C$9)</f>
        <v>13358.6154341701</v>
      </c>
      <c r="G7" s="202">
        <f>+F7*(1+PARÁMETROS!$C$9)</f>
        <v>13834.126838958657</v>
      </c>
      <c r="H7" s="202">
        <f>+G7*(1+PARÁMETROS!$C$9)</f>
        <v>14326.564481140471</v>
      </c>
      <c r="I7" s="202">
        <f>+H7*(1+PARÁMETROS!$C$9)</f>
        <v>14836.530864692118</v>
      </c>
      <c r="J7" s="202">
        <f>+I7*(1+PARÁMETROS!$C$9)</f>
        <v>15364.649940237377</v>
      </c>
      <c r="K7" s="202">
        <f>+J7*(1+PARÁMETROS!$C$9)</f>
        <v>15911.567868459075</v>
      </c>
      <c r="L7" s="202">
        <f>+K7*(1+PARÁMETROS!$C$9)</f>
        <v>16477.953810685241</v>
      </c>
      <c r="M7" s="203">
        <f>+L7*(1+PARÁMETROS!$C$9)</f>
        <v>17064.500747616858</v>
      </c>
    </row>
    <row r="8" spans="2:13" ht="20.25" customHeight="1" thickBot="1" x14ac:dyDescent="0.25">
      <c r="B8" s="675" t="s">
        <v>540</v>
      </c>
      <c r="C8" s="714">
        <f>+PARÁMETROS!$C$16</f>
        <v>3572.41</v>
      </c>
      <c r="D8" s="205">
        <f>+C8*(1+PARÁMETROS!$C$9)</f>
        <v>3699.5730062225994</v>
      </c>
      <c r="E8" s="205">
        <f>+D8*(1+PARÁMETROS!$C$9)</f>
        <v>3831.2624890118777</v>
      </c>
      <c r="F8" s="205">
        <f>+E8*(1+PARÁMETROS!$C$9)</f>
        <v>3967.6395721939957</v>
      </c>
      <c r="G8" s="205">
        <f>+F8*(1+PARÁMETROS!$C$9)</f>
        <v>4108.8711149362725</v>
      </c>
      <c r="H8" s="205">
        <f>+G8*(1+PARÁMETROS!$C$9)</f>
        <v>4255.129915901588</v>
      </c>
      <c r="I8" s="205">
        <f>+H8*(1+PARÁMETROS!$C$9)</f>
        <v>4406.5949246698319</v>
      </c>
      <c r="J8" s="205">
        <f>+I8*(1+PARÁMETROS!$C$9)</f>
        <v>4563.4514606850898</v>
      </c>
      <c r="K8" s="205">
        <f>+J8*(1+PARÁMETROS!$C$9)</f>
        <v>4725.8914399964315</v>
      </c>
      <c r="L8" s="205">
        <f>+K8*(1+PARÁMETROS!$C$9)</f>
        <v>4894.1136100697422</v>
      </c>
      <c r="M8" s="206">
        <f>+L8*(1+PARÁMETROS!$C$9)</f>
        <v>5068.323792957879</v>
      </c>
    </row>
    <row r="9" spans="2:13" ht="20.25" customHeight="1" x14ac:dyDescent="0.2">
      <c r="B9" s="564" t="s">
        <v>541</v>
      </c>
      <c r="C9" s="713">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700" t="s">
        <v>542</v>
      </c>
      <c r="C10" s="715">
        <f>+PARÁMETROS!$C$18</f>
        <v>0</v>
      </c>
      <c r="D10" s="709">
        <f>+C10*(1+PARÁMETROS!$C$9)</f>
        <v>0</v>
      </c>
      <c r="E10" s="709">
        <f>+D10*(1+PARÁMETROS!$C$9)</f>
        <v>0</v>
      </c>
      <c r="F10" s="709">
        <f>+E10*(1+PARÁMETROS!$C$9)</f>
        <v>0</v>
      </c>
      <c r="G10" s="709">
        <f>+F10*(1+PARÁMETROS!$C$9)</f>
        <v>0</v>
      </c>
      <c r="H10" s="709">
        <f>+G10*(1+PARÁMETROS!$C$9)</f>
        <v>0</v>
      </c>
      <c r="I10" s="709">
        <f>+H10*(1+PARÁMETROS!$C$9)</f>
        <v>0</v>
      </c>
      <c r="J10" s="709">
        <f>+I10*(1+PARÁMETROS!$C$9)</f>
        <v>0</v>
      </c>
      <c r="K10" s="709">
        <f>+J10*(1+PARÁMETROS!$C$9)</f>
        <v>0</v>
      </c>
      <c r="L10" s="709">
        <f>+K10*(1+PARÁMETROS!$C$9)</f>
        <v>0</v>
      </c>
      <c r="M10" s="710">
        <f>+L10*(1+PARÁMETROS!$C$9)</f>
        <v>0</v>
      </c>
    </row>
    <row r="11" spans="2:13" ht="20.25" customHeight="1" x14ac:dyDescent="0.2">
      <c r="B11" s="564" t="s">
        <v>240</v>
      </c>
      <c r="C11" s="713">
        <f>+PARÁMETROS!$C$13</f>
        <v>240.70071704065188</v>
      </c>
      <c r="D11" s="202">
        <f>+C11*(1+PARÁMETROS!$C$9)</f>
        <v>249.26866606633052</v>
      </c>
      <c r="E11" s="202">
        <f>+D11*(1+PARÁMETROS!$C$9)</f>
        <v>258.14159860601438</v>
      </c>
      <c r="F11" s="202">
        <f>+E11*(1+PARÁMETROS!$C$9)</f>
        <v>267.33037081017022</v>
      </c>
      <c r="G11" s="202">
        <f>+F11*(1+PARÁMETROS!$C$9)</f>
        <v>276.84622526327712</v>
      </c>
      <c r="H11" s="202">
        <f>+G11*(1+PARÁMETROS!$C$9)</f>
        <v>286.70080473927715</v>
      </c>
      <c r="I11" s="202">
        <f>+H11*(1+PARÁMETROS!$C$9)</f>
        <v>296.90616644666375</v>
      </c>
      <c r="J11" s="202">
        <f>+I11*(1+PARÁMETROS!$C$9)</f>
        <v>307.47479678063587</v>
      </c>
      <c r="K11" s="202">
        <f>+J11*(1+PARÁMETROS!$C$9)</f>
        <v>318.41962660036779</v>
      </c>
      <c r="L11" s="202">
        <f>+K11*(1+PARÁMETROS!$C$9)</f>
        <v>329.75404705008674</v>
      </c>
      <c r="M11" s="203">
        <f>+L11*(1+PARÁMETROS!$C$9)</f>
        <v>341.49192594331504</v>
      </c>
    </row>
    <row r="12" spans="2:13" ht="20.25" customHeight="1" thickBot="1" x14ac:dyDescent="0.25">
      <c r="B12" s="675" t="s">
        <v>241</v>
      </c>
      <c r="C12" s="714">
        <f>+PARÁMETROS!$C$12</f>
        <v>44.838664438044702</v>
      </c>
      <c r="D12" s="205">
        <f>+C12*(1+PARÁMETROS!$C$9)</f>
        <v>46.434735259968313</v>
      </c>
      <c r="E12" s="205">
        <f>+D12*(1+PARÁMETROS!$C$9)</f>
        <v>48.087619595419206</v>
      </c>
      <c r="F12" s="205">
        <f>+E12*(1+PARÁMETROS!$C$9)</f>
        <v>49.799339770271004</v>
      </c>
      <c r="G12" s="205">
        <f>+F12*(1+PARÁMETROS!$C$9)</f>
        <v>51.571990096825999</v>
      </c>
      <c r="H12" s="205">
        <f>+G12*(1+PARÁMETROS!$C$9)</f>
        <v>53.407739436234003</v>
      </c>
      <c r="I12" s="205">
        <f>+H12*(1+PARÁMETROS!$C$9)</f>
        <v>55.30883385212266</v>
      </c>
      <c r="J12" s="205">
        <f>+I12*(1+PARÁMETROS!$C$9)</f>
        <v>57.277599358686075</v>
      </c>
      <c r="K12" s="205">
        <f>+J12*(1+PARÁMETROS!$C$9)</f>
        <v>59.316444766593953</v>
      </c>
      <c r="L12" s="205">
        <f>+K12*(1+PARÁMETROS!$C$9)</f>
        <v>61.427864630203359</v>
      </c>
      <c r="M12" s="206">
        <f>+L12*(1+PARÁMETROS!$C$9)</f>
        <v>63.614442299679027</v>
      </c>
    </row>
    <row r="13" spans="2:13" ht="20.25" customHeight="1" thickBot="1" x14ac:dyDescent="0.25">
      <c r="B13" s="675" t="s">
        <v>875</v>
      </c>
      <c r="C13" s="714"/>
      <c r="D13" s="714"/>
      <c r="E13" s="714"/>
      <c r="F13" s="714"/>
      <c r="G13" s="714"/>
      <c r="H13" s="714"/>
      <c r="I13" s="714"/>
      <c r="J13" s="714"/>
      <c r="K13" s="714"/>
      <c r="L13" s="714"/>
      <c r="M13" s="714"/>
    </row>
    <row r="14" spans="2:13" ht="17.100000000000001" customHeight="1" thickBot="1" x14ac:dyDescent="0.25">
      <c r="B14" s="701" t="s">
        <v>876</v>
      </c>
      <c r="C14" s="753">
        <f>+IFERROR('RESUMEN FINANCIERO'!H155,0)</f>
        <v>105.23599229454329</v>
      </c>
      <c r="D14" s="753">
        <f>+IFERROR('RESUMEN FINANCIERO'!I155,0)</f>
        <v>108.98195794322092</v>
      </c>
      <c r="E14" s="753">
        <f>+IFERROR('RESUMEN FINANCIERO'!J155,0)</f>
        <v>112.86126446069369</v>
      </c>
      <c r="F14" s="753">
        <f>+IFERROR('RESUMEN FINANCIERO'!K155,0)</f>
        <v>116.87865822985952</v>
      </c>
      <c r="G14" s="753">
        <f>+IFERROR('RESUMEN FINANCIERO'!L155,0)</f>
        <v>121.03905458519745</v>
      </c>
      <c r="H14" s="753">
        <f>+IFERROR('RESUMEN FINANCIERO'!M155,0)</f>
        <v>125.34754382674447</v>
      </c>
      <c r="I14" s="753">
        <f>+IFERROR('RESUMEN FINANCIERO'!N155,0)</f>
        <v>129.80939744814512</v>
      </c>
      <c r="J14" s="753">
        <f>+IFERROR('RESUMEN FINANCIERO'!O155,0)</f>
        <v>134.43007458639363</v>
      </c>
      <c r="K14" s="753">
        <f>+IFERROR('RESUMEN FINANCIERO'!P155,0)</f>
        <v>139.21522870116047</v>
      </c>
      <c r="L14" s="753">
        <f>+IFERROR('RESUMEN FINANCIERO'!Q155,0)</f>
        <v>144.17071449187495</v>
      </c>
      <c r="M14" s="753">
        <f>+IFERROR('RESUMEN FINANCIERO'!R155,0)</f>
        <v>149.30259506102766</v>
      </c>
    </row>
    <row r="15" spans="2:13" ht="18" customHeight="1" thickBot="1" x14ac:dyDescent="0.25">
      <c r="B15" s="657"/>
      <c r="C15" s="752"/>
      <c r="F15" s="657"/>
    </row>
    <row r="16" spans="2:13" ht="16.5" customHeight="1" thickBot="1" x14ac:dyDescent="0.25">
      <c r="B16" s="658" t="s">
        <v>242</v>
      </c>
    </row>
    <row r="17" spans="1:13" ht="18" customHeight="1" thickBot="1" x14ac:dyDescent="0.25">
      <c r="A17" s="703"/>
      <c r="B17" s="659" t="s">
        <v>243</v>
      </c>
      <c r="C17" s="1865" t="str">
        <f>+CONCATENATE("Alternativa No 2: Programas Incluidos ",Alternativas!I46)</f>
        <v xml:space="preserve">Alternativa No 2: Programas Incluidos 1, 2, 3, 4, 5, 6, 7, 9, 10, 12, 13, 14, 15, 16, 17, </v>
      </c>
      <c r="D17" s="1866"/>
      <c r="E17" s="1866"/>
      <c r="F17" s="1866"/>
      <c r="G17" s="1866"/>
      <c r="H17" s="1866"/>
      <c r="I17" s="1866"/>
      <c r="J17" s="1866"/>
      <c r="K17" s="1866"/>
      <c r="L17" s="1866"/>
      <c r="M17" s="1867"/>
    </row>
    <row r="18" spans="1:13" ht="20.25" customHeight="1" thickBot="1" x14ac:dyDescent="0.25">
      <c r="B18" s="660" t="s">
        <v>244</v>
      </c>
      <c r="C18" s="704"/>
      <c r="D18" s="705"/>
      <c r="E18" s="705"/>
      <c r="F18" s="705"/>
      <c r="G18" s="705"/>
      <c r="H18" s="705"/>
      <c r="I18" s="705"/>
      <c r="J18" s="705"/>
      <c r="K18" s="705"/>
      <c r="L18" s="705"/>
      <c r="M18" s="706"/>
    </row>
    <row r="19" spans="1:13" ht="20.25" customHeight="1" thickBot="1" x14ac:dyDescent="0.25">
      <c r="B19" s="664"/>
      <c r="C19" s="699">
        <v>0</v>
      </c>
      <c r="D19" s="699">
        <v>1</v>
      </c>
      <c r="E19" s="699">
        <v>2</v>
      </c>
      <c r="F19" s="699">
        <v>3</v>
      </c>
      <c r="G19" s="699">
        <v>4</v>
      </c>
      <c r="H19" s="699">
        <v>5</v>
      </c>
      <c r="I19" s="699">
        <v>6</v>
      </c>
      <c r="J19" s="699">
        <v>7</v>
      </c>
      <c r="K19" s="699">
        <v>8</v>
      </c>
      <c r="L19" s="699">
        <v>9</v>
      </c>
      <c r="M19" s="699">
        <v>10</v>
      </c>
    </row>
    <row r="20" spans="1:13" ht="16.5" customHeight="1" thickBot="1" x14ac:dyDescent="0.25">
      <c r="B20" s="649" t="s">
        <v>545</v>
      </c>
      <c r="C20" s="943">
        <v>2025</v>
      </c>
      <c r="D20" s="651">
        <v>2026</v>
      </c>
      <c r="E20" s="943">
        <v>2027</v>
      </c>
      <c r="F20" s="651">
        <v>2028</v>
      </c>
      <c r="G20" s="943">
        <v>2029</v>
      </c>
      <c r="H20" s="651">
        <v>2030</v>
      </c>
      <c r="I20" s="943">
        <v>2031</v>
      </c>
      <c r="J20" s="651">
        <v>2032</v>
      </c>
      <c r="K20" s="943">
        <v>2033</v>
      </c>
      <c r="L20" s="651">
        <v>2034</v>
      </c>
      <c r="M20" s="943">
        <v>2035</v>
      </c>
    </row>
    <row r="21" spans="1:13" ht="16.149999999999999" customHeight="1" x14ac:dyDescent="0.2">
      <c r="A21" s="703"/>
      <c r="B21" s="960" t="s">
        <v>929</v>
      </c>
      <c r="C21" s="716">
        <f>'RESUMEN FINANCIERO'!H131</f>
        <v>0</v>
      </c>
      <c r="D21" s="717">
        <f>'RESUMEN FINANCIERO'!I131</f>
        <v>847139.72604797326</v>
      </c>
      <c r="E21" s="717">
        <f>'RESUMEN FINANCIERO'!J131</f>
        <v>4504035.1480943458</v>
      </c>
      <c r="F21" s="717">
        <f>'RESUMEN FINANCIERO'!K131</f>
        <v>5815352.9316229867</v>
      </c>
      <c r="G21" s="717">
        <f>'RESUMEN FINANCIERO'!L131</f>
        <v>6132607.6342735272</v>
      </c>
      <c r="H21" s="717">
        <f>'RESUMEN FINANCIERO'!M131</f>
        <v>7586977.9863827638</v>
      </c>
      <c r="I21" s="717">
        <f>'RESUMEN FINANCIERO'!N131</f>
        <v>8911727.8208676614</v>
      </c>
      <c r="J21" s="717">
        <f>'RESUMEN FINANCIERO'!O131</f>
        <v>6880817.0318179</v>
      </c>
      <c r="K21" s="717">
        <f>'RESUMEN FINANCIERO'!P131</f>
        <v>7580533.2248991504</v>
      </c>
      <c r="L21" s="717">
        <f>'RESUMEN FINANCIERO'!Q131</f>
        <v>8005162.10024013</v>
      </c>
      <c r="M21" s="718">
        <f>'RESUMEN FINANCIERO'!R131</f>
        <v>8539025.318277562</v>
      </c>
    </row>
    <row r="22" spans="1:13" ht="16.149999999999999" customHeight="1" x14ac:dyDescent="0.2">
      <c r="A22" s="703"/>
      <c r="B22" s="959" t="s">
        <v>930</v>
      </c>
      <c r="C22" s="954">
        <f>'RESUMEN FINANCIERO'!H132</f>
        <v>0</v>
      </c>
      <c r="D22" s="955">
        <f>'RESUMEN FINANCIERO'!I132</f>
        <v>927781.64047894638</v>
      </c>
      <c r="E22" s="955">
        <f>'RESUMEN FINANCIERO'!J132</f>
        <v>1313881.2166365557</v>
      </c>
      <c r="F22" s="955">
        <f>'RESUMEN FINANCIERO'!K132</f>
        <v>1665540.9159619883</v>
      </c>
      <c r="G22" s="955">
        <f>'RESUMEN FINANCIERO'!L132</f>
        <v>2050943.7535090505</v>
      </c>
      <c r="H22" s="955">
        <f>'RESUMEN FINANCIERO'!M132</f>
        <v>2362995.2047676453</v>
      </c>
      <c r="I22" s="955">
        <f>'RESUMEN FINANCIERO'!N132</f>
        <v>784086.8</v>
      </c>
      <c r="J22" s="955">
        <f>'RESUMEN FINANCIERO'!O132</f>
        <v>814371.6</v>
      </c>
      <c r="K22" s="955">
        <f>'RESUMEN FINANCIERO'!P132</f>
        <v>819129.39999999991</v>
      </c>
      <c r="L22" s="955">
        <f>'RESUMEN FINANCIERO'!Q132</f>
        <v>798678.2</v>
      </c>
      <c r="M22" s="956">
        <f>'RESUMEN FINANCIERO'!R132</f>
        <v>753332</v>
      </c>
    </row>
    <row r="23" spans="1:13" ht="16.149999999999999" customHeight="1" thickBot="1" x14ac:dyDescent="0.25">
      <c r="A23" s="703"/>
      <c r="B23" s="708" t="s">
        <v>544</v>
      </c>
      <c r="C23" s="940">
        <f>SUM('RESUMEN FINANCIERO'!H$136:H$141,'RESUMEN FINANCIERO'!H$143:H$144,'RESUMEN FINANCIERO'!H$146)</f>
        <v>0</v>
      </c>
      <c r="D23" s="941">
        <f>SUM('RESUMEN FINANCIERO'!I$136:I$141,'RESUMEN FINANCIERO'!I$143:I$144,'RESUMEN FINANCIERO'!I$146)</f>
        <v>1758</v>
      </c>
      <c r="E23" s="941">
        <f>SUM('RESUMEN FINANCIERO'!J$136:J$141,'RESUMEN FINANCIERO'!J$143:J$144,'RESUMEN FINANCIERO'!J$146)</f>
        <v>1758</v>
      </c>
      <c r="F23" s="941">
        <f>SUM('RESUMEN FINANCIERO'!K$136:K$141,'RESUMEN FINANCIERO'!K$143:K$144,'RESUMEN FINANCIERO'!K$146)</f>
        <v>1758</v>
      </c>
      <c r="G23" s="941">
        <f>SUM('RESUMEN FINANCIERO'!L$136:L$141,'RESUMEN FINANCIERO'!L$143:L$144,'RESUMEN FINANCIERO'!L$146)</f>
        <v>2344</v>
      </c>
      <c r="H23" s="941">
        <f>SUM('RESUMEN FINANCIERO'!M$136:M$141,'RESUMEN FINANCIERO'!M$143:M$144,'RESUMEN FINANCIERO'!M$146)</f>
        <v>2344</v>
      </c>
      <c r="I23" s="941">
        <f>SUM('RESUMEN FINANCIERO'!N$136:N$141,'RESUMEN FINANCIERO'!N$143:N$144,'RESUMEN FINANCIERO'!N$146)</f>
        <v>0</v>
      </c>
      <c r="J23" s="941">
        <f>SUM('RESUMEN FINANCIERO'!O$136:O$141,'RESUMEN FINANCIERO'!O$143:O$144,'RESUMEN FINANCIERO'!O$146)</f>
        <v>0</v>
      </c>
      <c r="K23" s="941">
        <f>SUM('RESUMEN FINANCIERO'!P$136:P$141,'RESUMEN FINANCIERO'!P$143:P$144,'RESUMEN FINANCIERO'!P$146)</f>
        <v>0</v>
      </c>
      <c r="L23" s="941">
        <f>SUM('RESUMEN FINANCIERO'!Q$136:Q$141,'RESUMEN FINANCIERO'!Q$143:Q$144,'RESUMEN FINANCIERO'!Q$146)</f>
        <v>0</v>
      </c>
      <c r="M23" s="942">
        <f>SUM('RESUMEN FINANCIERO'!R$136:R$141,'RESUMEN FINANCIERO'!R$143:R$144,'RESUMEN FINANCIERO'!R$146)</f>
        <v>0</v>
      </c>
    </row>
    <row r="24" spans="1:13" ht="16.149999999999999" customHeight="1" thickBot="1" x14ac:dyDescent="0.25">
      <c r="B24" s="664"/>
      <c r="C24" s="699">
        <v>0</v>
      </c>
      <c r="D24" s="699">
        <v>1</v>
      </c>
      <c r="E24" s="699">
        <v>2</v>
      </c>
      <c r="F24" s="699">
        <v>3</v>
      </c>
      <c r="G24" s="699">
        <v>4</v>
      </c>
      <c r="H24" s="699">
        <v>5</v>
      </c>
      <c r="I24" s="699">
        <v>6</v>
      </c>
      <c r="J24" s="699">
        <v>7</v>
      </c>
      <c r="K24" s="699">
        <v>8</v>
      </c>
      <c r="L24" s="699">
        <v>9</v>
      </c>
      <c r="M24" s="699">
        <v>10</v>
      </c>
    </row>
    <row r="25" spans="1:13" ht="16.5" customHeight="1" thickBot="1" x14ac:dyDescent="0.25">
      <c r="B25" s="952" t="s">
        <v>245</v>
      </c>
      <c r="C25" s="943">
        <v>2025</v>
      </c>
      <c r="D25" s="651">
        <v>2026</v>
      </c>
      <c r="E25" s="943">
        <v>2027</v>
      </c>
      <c r="F25" s="651">
        <v>2028</v>
      </c>
      <c r="G25" s="943">
        <v>2029</v>
      </c>
      <c r="H25" s="651">
        <v>2030</v>
      </c>
      <c r="I25" s="943">
        <v>2031</v>
      </c>
      <c r="J25" s="651">
        <v>2032</v>
      </c>
      <c r="K25" s="943">
        <v>2033</v>
      </c>
      <c r="L25" s="651">
        <v>2034</v>
      </c>
      <c r="M25" s="943">
        <v>2035</v>
      </c>
    </row>
    <row r="26" spans="1:13" ht="17.25" customHeight="1" x14ac:dyDescent="0.2">
      <c r="B26" s="974" t="s">
        <v>252</v>
      </c>
      <c r="C26" s="759">
        <f>+'RESUMEN FINANCIERO'!H49</f>
        <v>0</v>
      </c>
      <c r="D26" s="754">
        <f>+'RESUMEN FINANCIERO'!I49</f>
        <v>1866106791.6740956</v>
      </c>
      <c r="E26" s="754">
        <f>+'RESUMEN FINANCIERO'!J49</f>
        <v>10747610283.881596</v>
      </c>
      <c r="F26" s="754">
        <f>+'RESUMEN FINANCIERO'!K49</f>
        <v>8111648751.3740129</v>
      </c>
      <c r="G26" s="754">
        <f>+'RESUMEN FINANCIERO'!L49</f>
        <v>11006778378.669533</v>
      </c>
      <c r="H26" s="754">
        <f>+'RESUMEN FINANCIERO'!M49</f>
        <v>8966400126.1669369</v>
      </c>
      <c r="I26" s="754">
        <f>+'RESUMEN FINANCIERO'!N49</f>
        <v>12012638691.92614</v>
      </c>
      <c r="J26" s="754">
        <f>+'RESUMEN FINANCIERO'!O49</f>
        <v>1646683431.9581935</v>
      </c>
      <c r="K26" s="754">
        <f>+'RESUMEN FINANCIERO'!P49</f>
        <v>2934698403.2363982</v>
      </c>
      <c r="L26" s="754">
        <f>+'RESUMEN FINANCIERO'!Q49</f>
        <v>1856726314.1544595</v>
      </c>
      <c r="M26" s="755">
        <f>+'RESUMEN FINANCIERO'!R49</f>
        <v>1781765006.1673591</v>
      </c>
    </row>
    <row r="27" spans="1:13" ht="19.899999999999999" customHeight="1" x14ac:dyDescent="0.2">
      <c r="B27" s="975" t="s">
        <v>535</v>
      </c>
      <c r="C27" s="692">
        <f>(('RESUMEN FINANCIERO'!H186+'RESUMEN FINANCIERO'!H187)+((C21+C22)*C13)+((C21+C22)*C14))*PARÁMETROS!$C$6</f>
        <v>0</v>
      </c>
      <c r="D27" s="688">
        <f>(('RESUMEN FINANCIERO'!I186+'RESUMEN FINANCIERO'!I187)+((D21+D22)*D13)+((D21+D22)*D14))*PARÁMETROS!$C$6</f>
        <v>3876332416.8952055</v>
      </c>
      <c r="E27" s="688">
        <f>(('RESUMEN FINANCIERO'!J186+'RESUMEN FINANCIERO'!J187)+((E21+E22)*E13)+((E21+E22)*E14))*PARÁMETROS!$C$6</f>
        <v>7033112160.6246853</v>
      </c>
      <c r="F27" s="688">
        <f>(('RESUMEN FINANCIERO'!K186+'RESUMEN FINANCIERO'!K187)+((F21+F22)*F13)+((F21+F22)*F14))*PARÁMETROS!$C$6</f>
        <v>9251046288.2862854</v>
      </c>
      <c r="G27" s="688">
        <f>(('RESUMEN FINANCIERO'!L186+'RESUMEN FINANCIERO'!L187)+((G21+G22)*G13)+((G21+G22)*G14))*PARÁMETROS!$C$6</f>
        <v>11313909114.361141</v>
      </c>
      <c r="H27" s="688">
        <f>(('RESUMEN FINANCIERO'!M186+'RESUMEN FINANCIERO'!M187)+((H21+H22)*H13)+((H21+H22)*H14))*PARÁMETROS!$C$6</f>
        <v>13719872321.404989</v>
      </c>
      <c r="I27" s="688">
        <f>(('RESUMEN FINANCIERO'!N186+'RESUMEN FINANCIERO'!N187)+((I21+I22)*I13)+((I21+I22)*I14))*PARÁMETROS!$C$6</f>
        <v>7642146010.5717325</v>
      </c>
      <c r="J27" s="688">
        <f>(('RESUMEN FINANCIERO'!O186+'RESUMEN FINANCIERO'!O187)+((J21+J22)*J13)+((J21+J22)*J14))*PARÁMETROS!$C$6</f>
        <v>7042654107.2816181</v>
      </c>
      <c r="K27" s="688">
        <f>(('RESUMEN FINANCIERO'!P186+'RESUMEN FINANCIERO'!P187)+((K21+K22)*K13)+((K21+K22)*K14))*PARÁMETROS!$C$6</f>
        <v>7678209837.1132383</v>
      </c>
      <c r="L27" s="688">
        <f>(('RESUMEN FINANCIERO'!Q186+'RESUMEN FINANCIERO'!Q187)+((L21+L22)*L13)+((L21+L22)*L14))*PARÁMETROS!$C$6</f>
        <v>8075809542.7095947</v>
      </c>
      <c r="M27" s="689">
        <f>(('RESUMEN FINANCIERO'!R186+'RESUMEN FINANCIERO'!R187)+((M21+M22)*M13)+((M21+M22)*M14))*PARÁMETROS!$C$6</f>
        <v>8422653952.1204491</v>
      </c>
    </row>
    <row r="28" spans="1:13" ht="19.899999999999999" customHeight="1" x14ac:dyDescent="0.2">
      <c r="B28" s="653" t="s">
        <v>546</v>
      </c>
      <c r="C28" s="671"/>
      <c r="D28" s="756">
        <f>+'RESUMEN FINANCIERO'!H105</f>
        <v>0</v>
      </c>
      <c r="E28" s="757">
        <f>+'RESUMEN FINANCIERO'!I105</f>
        <v>52125971.197699368</v>
      </c>
      <c r="F28" s="757">
        <f>+'RESUMEN FINANCIERO'!J105</f>
        <v>314161790.39479846</v>
      </c>
      <c r="G28" s="757">
        <f>+'RESUMEN FINANCIERO'!K105</f>
        <v>506570628.24185073</v>
      </c>
      <c r="H28" s="757">
        <f>+'RESUMEN FINANCIERO'!L105</f>
        <v>770920502.72390234</v>
      </c>
      <c r="I28" s="757">
        <f>+'RESUMEN FINANCIERO'!M105</f>
        <v>969507935.73126245</v>
      </c>
      <c r="J28" s="757">
        <f>+'RESUMEN FINANCIERO'!N105</f>
        <v>1241392517.7736623</v>
      </c>
      <c r="K28" s="757">
        <f>+'RESUMEN FINANCIERO'!O105</f>
        <v>1278993573.7057407</v>
      </c>
      <c r="L28" s="757">
        <f>+'RESUMEN FINANCIERO'!P105</f>
        <v>1344209093.7776606</v>
      </c>
      <c r="M28" s="758">
        <f>+'RESUMEN FINANCIERO'!Q105</f>
        <v>1385719726.3029749</v>
      </c>
    </row>
    <row r="29" spans="1:13" ht="17.25" customHeight="1" x14ac:dyDescent="0.2">
      <c r="A29" s="703"/>
      <c r="B29" s="653" t="s">
        <v>247</v>
      </c>
      <c r="C29" s="760">
        <f>+'RESUMEN FINANCIERO'!H48</f>
        <v>0</v>
      </c>
      <c r="D29" s="757">
        <f>+'RESUMEN FINANCIERO'!I48</f>
        <v>4195383466.7273593</v>
      </c>
      <c r="E29" s="757">
        <f>+'RESUMEN FINANCIERO'!J48</f>
        <v>4685976791.2993298</v>
      </c>
      <c r="F29" s="757">
        <f>+'RESUMEN FINANCIERO'!K48</f>
        <v>5209503777.5369844</v>
      </c>
      <c r="G29" s="757">
        <f>+'RESUMEN FINANCIERO'!L48</f>
        <v>5863422696.5194654</v>
      </c>
      <c r="H29" s="757">
        <f>+'RESUMEN FINANCIERO'!M48</f>
        <v>6205210957.1178942</v>
      </c>
      <c r="I29" s="757">
        <f>+'RESUMEN FINANCIERO'!N48</f>
        <v>2946950608.3531809</v>
      </c>
      <c r="J29" s="757">
        <f>+'RESUMEN FINANCIERO'!O48</f>
        <v>3150586602.4160423</v>
      </c>
      <c r="K29" s="757">
        <f>+'RESUMEN FINANCIERO'!P48</f>
        <v>3304918367.2665477</v>
      </c>
      <c r="L29" s="757">
        <f>+'RESUMEN FINANCIERO'!Q48</f>
        <v>3464812941.6247921</v>
      </c>
      <c r="M29" s="758">
        <f>+'RESUMEN FINANCIERO'!R48</f>
        <v>3675916881.2516098</v>
      </c>
    </row>
    <row r="30" spans="1:13" ht="20.25" customHeight="1" x14ac:dyDescent="0.2">
      <c r="B30" s="653" t="s">
        <v>248</v>
      </c>
      <c r="C30" s="671"/>
      <c r="D30" s="672"/>
      <c r="E30" s="672"/>
      <c r="F30" s="672"/>
      <c r="G30" s="672"/>
      <c r="H30" s="672"/>
      <c r="I30" s="672"/>
      <c r="J30" s="672"/>
      <c r="K30" s="672"/>
      <c r="L30" s="672"/>
      <c r="M30" s="673"/>
    </row>
    <row r="31" spans="1:13" ht="20.25" customHeight="1" x14ac:dyDescent="0.2">
      <c r="B31" s="976" t="s">
        <v>531</v>
      </c>
      <c r="C31" s="691">
        <f>SUM(C28:C30)</f>
        <v>0</v>
      </c>
      <c r="D31" s="686">
        <f>SUM(D28:D30)</f>
        <v>4195383466.7273593</v>
      </c>
      <c r="E31" s="686">
        <f t="shared" ref="E31:M31" si="0">SUM(E28:E30)</f>
        <v>4738102762.4970293</v>
      </c>
      <c r="F31" s="686">
        <f>SUM(F28:F30)</f>
        <v>5523665567.9317827</v>
      </c>
      <c r="G31" s="686">
        <f t="shared" si="0"/>
        <v>6369993324.7613163</v>
      </c>
      <c r="H31" s="686">
        <f t="shared" si="0"/>
        <v>6976131459.8417969</v>
      </c>
      <c r="I31" s="686">
        <f t="shared" si="0"/>
        <v>3916458544.0844431</v>
      </c>
      <c r="J31" s="686">
        <f t="shared" si="0"/>
        <v>4391979120.1897049</v>
      </c>
      <c r="K31" s="686">
        <f t="shared" si="0"/>
        <v>4583911940.9722881</v>
      </c>
      <c r="L31" s="686">
        <f t="shared" si="0"/>
        <v>4809022035.4024525</v>
      </c>
      <c r="M31" s="687">
        <f t="shared" si="0"/>
        <v>5061636607.5545845</v>
      </c>
    </row>
    <row r="32" spans="1:13" ht="18" customHeight="1" x14ac:dyDescent="0.2">
      <c r="B32" s="653" t="s">
        <v>249</v>
      </c>
      <c r="C32" s="692">
        <f>C27-C31</f>
        <v>0</v>
      </c>
      <c r="D32" s="688">
        <f>D27-D31</f>
        <v>-319051049.8321538</v>
      </c>
      <c r="E32" s="688">
        <f t="shared" ref="E32:M32" si="1">E27-E31</f>
        <v>2295009398.127656</v>
      </c>
      <c r="F32" s="688">
        <f t="shared" si="1"/>
        <v>3727380720.3545027</v>
      </c>
      <c r="G32" s="688">
        <f t="shared" si="1"/>
        <v>4943915789.5998249</v>
      </c>
      <c r="H32" s="688">
        <f t="shared" si="1"/>
        <v>6743740861.5631924</v>
      </c>
      <c r="I32" s="688">
        <f t="shared" si="1"/>
        <v>3725687466.4872894</v>
      </c>
      <c r="J32" s="688">
        <f t="shared" si="1"/>
        <v>2650674987.0919132</v>
      </c>
      <c r="K32" s="688">
        <f t="shared" si="1"/>
        <v>3094297896.1409502</v>
      </c>
      <c r="L32" s="688">
        <f t="shared" si="1"/>
        <v>3266787507.3071423</v>
      </c>
      <c r="M32" s="689">
        <f t="shared" si="1"/>
        <v>3361017344.5658646</v>
      </c>
    </row>
    <row r="33" spans="2:13" ht="19.899999999999999" customHeight="1" thickBot="1" x14ac:dyDescent="0.25">
      <c r="B33" s="977" t="s">
        <v>250</v>
      </c>
      <c r="C33" s="693">
        <f>IF(C32&lt;0,0,(C32*$C$4))</f>
        <v>0</v>
      </c>
      <c r="D33" s="694">
        <f t="shared" ref="D33:M33" si="2">IF(D32&lt;0,0,(D32*$C$4))</f>
        <v>0</v>
      </c>
      <c r="E33" s="694">
        <f t="shared" si="2"/>
        <v>803253289.34467959</v>
      </c>
      <c r="F33" s="694">
        <f t="shared" si="2"/>
        <v>1304583252.1240759</v>
      </c>
      <c r="G33" s="694">
        <f t="shared" si="2"/>
        <v>1730370526.3599386</v>
      </c>
      <c r="H33" s="694">
        <f t="shared" si="2"/>
        <v>2360309301.5471172</v>
      </c>
      <c r="I33" s="694">
        <f t="shared" si="2"/>
        <v>1303990613.2705512</v>
      </c>
      <c r="J33" s="694">
        <f t="shared" si="2"/>
        <v>927736245.48216963</v>
      </c>
      <c r="K33" s="694">
        <f t="shared" si="2"/>
        <v>1083004263.6493325</v>
      </c>
      <c r="L33" s="694">
        <f t="shared" si="2"/>
        <v>1143375627.5574996</v>
      </c>
      <c r="M33" s="695">
        <f t="shared" si="2"/>
        <v>1176356070.5980525</v>
      </c>
    </row>
    <row r="34" spans="2:13" ht="19.899999999999999" customHeight="1" thickBot="1" x14ac:dyDescent="0.25">
      <c r="B34" s="978" t="s">
        <v>251</v>
      </c>
      <c r="C34" s="979">
        <f>+C27-C31-C33</f>
        <v>0</v>
      </c>
      <c r="D34" s="697">
        <f>+D27-D31-D33</f>
        <v>-319051049.8321538</v>
      </c>
      <c r="E34" s="697">
        <f t="shared" ref="E34:M34" si="3">+E27-E31-E33</f>
        <v>1491756108.7829764</v>
      </c>
      <c r="F34" s="697">
        <f t="shared" si="3"/>
        <v>2422797468.2304268</v>
      </c>
      <c r="G34" s="697">
        <f t="shared" si="3"/>
        <v>3213545263.2398863</v>
      </c>
      <c r="H34" s="697">
        <f t="shared" si="3"/>
        <v>4383431560.0160751</v>
      </c>
      <c r="I34" s="697">
        <f t="shared" si="3"/>
        <v>2421696853.2167382</v>
      </c>
      <c r="J34" s="697">
        <f t="shared" si="3"/>
        <v>1722938741.6097436</v>
      </c>
      <c r="K34" s="697">
        <f t="shared" si="3"/>
        <v>2011293632.4916177</v>
      </c>
      <c r="L34" s="697">
        <f t="shared" si="3"/>
        <v>2123411879.7496426</v>
      </c>
      <c r="M34" s="698">
        <f t="shared" si="3"/>
        <v>2184661273.9678121</v>
      </c>
    </row>
    <row r="35" spans="2:13" ht="13.5" thickBot="1" x14ac:dyDescent="0.25"/>
    <row r="36" spans="2:13" ht="13.5" thickBot="1" x14ac:dyDescent="0.25">
      <c r="B36" s="1762" t="s">
        <v>253</v>
      </c>
      <c r="C36" s="1794"/>
    </row>
    <row r="37" spans="2:13" ht="16.5" customHeight="1" x14ac:dyDescent="0.2">
      <c r="B37" s="652" t="s">
        <v>254</v>
      </c>
      <c r="C37" s="228">
        <f>+NPV($C$3,D27:M27)+C27</f>
        <v>38847807934.701164</v>
      </c>
    </row>
    <row r="38" spans="2:13" ht="19.899999999999999" customHeight="1" x14ac:dyDescent="0.2">
      <c r="B38" s="653" t="s">
        <v>255</v>
      </c>
      <c r="C38" s="229">
        <f>+NPV($C$3,D31:M31)+C31</f>
        <v>24235820382.819355</v>
      </c>
    </row>
    <row r="39" spans="2:13" ht="17.25" customHeight="1" thickBot="1" x14ac:dyDescent="0.25">
      <c r="B39" s="677" t="s">
        <v>256</v>
      </c>
      <c r="C39" s="230">
        <f>+C38+C26+NPV(C3,D26:M26)</f>
        <v>56373534147.520279</v>
      </c>
    </row>
    <row r="40" spans="2:13" ht="19.899999999999999" customHeight="1" thickBot="1" x14ac:dyDescent="0.25">
      <c r="B40" s="676" t="s">
        <v>253</v>
      </c>
      <c r="C40" s="225">
        <f>+C37/C39</f>
        <v>0.68911428957146503</v>
      </c>
    </row>
    <row r="41" spans="2:13" ht="13.5" thickBot="1" x14ac:dyDescent="0.25">
      <c r="C41" s="647"/>
    </row>
    <row r="42" spans="2:13" ht="13.5" thickBot="1" x14ac:dyDescent="0.25">
      <c r="B42" s="574" t="s">
        <v>532</v>
      </c>
      <c r="C42" s="195" t="str">
        <f>+IF(C40&lt;1,"Sin beneficio","Con beneficio")</f>
        <v>Sin beneficio</v>
      </c>
    </row>
    <row r="44" spans="2:13" ht="13.5" thickBot="1" x14ac:dyDescent="0.25"/>
    <row r="45" spans="2:13" x14ac:dyDescent="0.2">
      <c r="B45" s="550"/>
      <c r="C45" s="943">
        <v>2025</v>
      </c>
      <c r="D45" s="651">
        <v>2026</v>
      </c>
      <c r="E45" s="943">
        <v>2027</v>
      </c>
      <c r="F45" s="651">
        <v>2028</v>
      </c>
      <c r="G45" s="943">
        <v>2029</v>
      </c>
      <c r="H45" s="651">
        <v>2030</v>
      </c>
      <c r="I45" s="943">
        <v>2031</v>
      </c>
      <c r="J45" s="651">
        <v>2032</v>
      </c>
      <c r="K45" s="943">
        <v>2033</v>
      </c>
      <c r="L45" s="651">
        <v>2034</v>
      </c>
      <c r="M45" s="943">
        <v>2035</v>
      </c>
    </row>
    <row r="46" spans="2:13" x14ac:dyDescent="0.2">
      <c r="B46" s="550" t="s">
        <v>107</v>
      </c>
      <c r="C46" s="945">
        <f t="shared" ref="C46:M46" si="4">+C27/1000</f>
        <v>0</v>
      </c>
      <c r="D46" s="945">
        <f t="shared" si="4"/>
        <v>3876332.4168952056</v>
      </c>
      <c r="E46" s="945">
        <f t="shared" si="4"/>
        <v>7033112.1606246857</v>
      </c>
      <c r="F46" s="945">
        <f t="shared" si="4"/>
        <v>9251046.2882862855</v>
      </c>
      <c r="G46" s="945">
        <f t="shared" si="4"/>
        <v>11313909.114361141</v>
      </c>
      <c r="H46" s="945">
        <f t="shared" si="4"/>
        <v>13719872.32140499</v>
      </c>
      <c r="I46" s="945">
        <f t="shared" si="4"/>
        <v>7642146.0105717322</v>
      </c>
      <c r="J46" s="945">
        <f t="shared" si="4"/>
        <v>7042654.1072816178</v>
      </c>
      <c r="K46" s="945">
        <f t="shared" si="4"/>
        <v>7678209.8371132379</v>
      </c>
      <c r="L46" s="945">
        <f t="shared" si="4"/>
        <v>8075809.5427095946</v>
      </c>
      <c r="M46" s="945">
        <f t="shared" si="4"/>
        <v>8422653.9521204494</v>
      </c>
    </row>
    <row r="47" spans="2:13" x14ac:dyDescent="0.2">
      <c r="B47" s="550" t="s">
        <v>669</v>
      </c>
      <c r="C47" s="945">
        <f t="shared" ref="C47:M47" si="5">(C26+C31)/1000</f>
        <v>0</v>
      </c>
      <c r="D47" s="945">
        <f t="shared" si="5"/>
        <v>6061490.2584014554</v>
      </c>
      <c r="E47" s="945">
        <f t="shared" si="5"/>
        <v>15485713.046378624</v>
      </c>
      <c r="F47" s="945">
        <f t="shared" si="5"/>
        <v>13635314.319305796</v>
      </c>
      <c r="G47" s="945">
        <f t="shared" si="5"/>
        <v>17376771.703430846</v>
      </c>
      <c r="H47" s="945">
        <f t="shared" si="5"/>
        <v>15942531.586008733</v>
      </c>
      <c r="I47" s="945">
        <f t="shared" si="5"/>
        <v>15929097.236010581</v>
      </c>
      <c r="J47" s="945">
        <f t="shared" si="5"/>
        <v>6038662.5521478988</v>
      </c>
      <c r="K47" s="945">
        <f t="shared" si="5"/>
        <v>7518610.3442086866</v>
      </c>
      <c r="L47" s="945">
        <f t="shared" si="5"/>
        <v>6665748.3495569117</v>
      </c>
      <c r="M47" s="945">
        <f t="shared" si="5"/>
        <v>6843401.6137219435</v>
      </c>
    </row>
    <row r="48" spans="2:13" x14ac:dyDescent="0.2">
      <c r="B48" s="550"/>
      <c r="C48" s="946">
        <f>IFERROR(C46/C47,0)</f>
        <v>0</v>
      </c>
      <c r="D48" s="946">
        <f t="shared" ref="D48:M48" si="6">+D46/D47</f>
        <v>0.63950155022066757</v>
      </c>
      <c r="E48" s="946">
        <f t="shared" si="6"/>
        <v>0.45416779579739136</v>
      </c>
      <c r="F48" s="946">
        <f t="shared" si="6"/>
        <v>0.67846226875665283</v>
      </c>
      <c r="G48" s="946">
        <f t="shared" si="6"/>
        <v>0.65109384570710205</v>
      </c>
      <c r="H48" s="946">
        <f t="shared" si="6"/>
        <v>0.86058304149421516</v>
      </c>
      <c r="I48" s="946">
        <f t="shared" si="6"/>
        <v>0.47976014568454578</v>
      </c>
      <c r="J48" s="946">
        <f t="shared" si="6"/>
        <v>1.1662605827803059</v>
      </c>
      <c r="K48" s="946">
        <f t="shared" si="6"/>
        <v>1.0212272595064704</v>
      </c>
      <c r="L48" s="946">
        <f t="shared" si="6"/>
        <v>1.2115383178614016</v>
      </c>
      <c r="M48" s="946">
        <f t="shared" si="6"/>
        <v>1.2307700800771202</v>
      </c>
    </row>
  </sheetData>
  <mergeCells count="3">
    <mergeCell ref="B2:C2"/>
    <mergeCell ref="C17:M17"/>
    <mergeCell ref="B36:C36"/>
  </mergeCells>
  <conditionalFormatting sqref="C42">
    <cfRule type="containsText" dxfId="7" priority="1" operator="containsText" text="Sin beneficio">
      <formula>NOT(ISERROR(SEARCH("Sin beneficio",C42)))</formula>
    </cfRule>
    <cfRule type="containsText" dxfId="6" priority="2" operator="containsText" text="Con beneficio">
      <formula>NOT(ISERROR(SEARCH("Con beneficio",C42)))</formula>
    </cfRule>
    <cfRule type="containsText" dxfId="5" priority="3" operator="containsText" text="Co beneficio">
      <formula>NOT(ISERROR(SEARCH("Co beneficio",C42)))</formula>
    </cfRule>
    <cfRule type="containsText" dxfId="4" priority="4" operator="containsText" text="Acepta">
      <formula>NOT(ISERROR(SEARCH("Acepta",C42)))</formula>
    </cfRule>
    <cfRule type="containsText" dxfId="3" priority="5" operator="containsText" text="Rechaza">
      <formula>NOT(ISERROR(SEARCH("Rechaza",C42)))</formula>
    </cfRule>
    <cfRule type="cellIs" dxfId="2" priority="6" operator="greaterThan">
      <formula>$C$37&gt;1</formula>
    </cfRule>
    <cfRule type="cellIs" dxfId="1" priority="7" operator="lessThan">
      <formula>$C$37&lt;1</formula>
    </cfRule>
    <cfRule type="cellIs" dxfId="0" priority="8" operator="greaterThan">
      <formula>$C$37&gt;1</formula>
    </cfRule>
    <cfRule type="colorScale" priority="9">
      <colorScale>
        <cfvo type="formula" val="$C$37&lt;1"/>
        <cfvo type="formula" val="$C$37&gt;1"/>
        <color rgb="FFFF0000"/>
        <color rgb="FF00B050"/>
      </colorScale>
    </cfRule>
    <cfRule type="colorScale" priority="10">
      <colorScale>
        <cfvo type="formula" val="$C$37&lt;1"/>
        <cfvo type="formula" val="$C$37&gt;1"/>
        <color rgb="FFFF0000"/>
        <color rgb="FF00B050"/>
      </colorScale>
    </cfRule>
    <cfRule type="dataBar" priority="11">
      <dataBar>
        <cfvo type="min"/>
        <cfvo type="max"/>
        <color rgb="FF638EC6"/>
      </dataBar>
      <extLst>
        <ext xmlns:x14="http://schemas.microsoft.com/office/spreadsheetml/2009/9/main" uri="{B025F937-C7B1-47D3-B67F-A62EFF666E3E}">
          <x14:id>{860663CA-54C4-6348-B29D-EA3DF9658DD3}</x14:id>
        </ext>
      </extLst>
    </cfRule>
    <cfRule type="colorScale" priority="12">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860663CA-54C4-6348-B29D-EA3DF9658DD3}">
            <x14:dataBar minLength="0" maxLength="100" border="1" negativeBarBorderColorSameAsPositive="0">
              <x14:cfvo type="autoMin"/>
              <x14:cfvo type="autoMax"/>
              <x14:borderColor rgb="FF638EC6"/>
              <x14:negativeFillColor rgb="FFFF0000"/>
              <x14:negativeBorderColor rgb="FFFF0000"/>
              <x14:axisColor rgb="FF000000"/>
            </x14:dataBar>
          </x14:cfRule>
          <xm:sqref>C42</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1">
    <tabColor theme="2" tint="-0.249977111117893"/>
  </sheetPr>
  <dimension ref="B1:AF23"/>
  <sheetViews>
    <sheetView showGridLines="0" topLeftCell="B1" zoomScale="90" zoomScaleNormal="90" workbookViewId="0">
      <selection activeCell="C30" sqref="C30"/>
    </sheetView>
  </sheetViews>
  <sheetFormatPr baseColWidth="10" defaultColWidth="11" defaultRowHeight="15" x14ac:dyDescent="0.25"/>
  <cols>
    <col min="1" max="1" width="2.875" style="338" customWidth="1"/>
    <col min="2" max="2" width="28.375" style="338" bestFit="1" customWidth="1"/>
    <col min="3" max="3" width="30.375" style="338" customWidth="1"/>
    <col min="4" max="4" width="5.375" style="338" customWidth="1"/>
    <col min="5" max="6" width="11" style="338" customWidth="1"/>
    <col min="7" max="8" width="11" style="734" customWidth="1"/>
    <col min="9" max="10" width="11" style="338" customWidth="1"/>
    <col min="11" max="28" width="12" style="338" customWidth="1"/>
    <col min="29" max="30" width="11" style="338" customWidth="1"/>
    <col min="31" max="31" width="12.375" style="338" customWidth="1"/>
    <col min="32" max="32" width="11.75" style="338" customWidth="1"/>
    <col min="33" max="16384" width="11" style="338"/>
  </cols>
  <sheetData>
    <row r="1" spans="2:32" ht="23.45" customHeight="1" x14ac:dyDescent="0.25">
      <c r="B1" s="1900"/>
      <c r="C1" s="1900"/>
      <c r="D1" s="1900"/>
      <c r="E1" s="1900"/>
      <c r="F1" s="1900"/>
      <c r="G1" s="1900"/>
      <c r="H1" s="1900"/>
      <c r="I1" s="1900"/>
      <c r="J1" s="1900"/>
      <c r="K1" s="1900"/>
      <c r="L1" s="1900"/>
      <c r="M1" s="1900"/>
      <c r="N1" s="1900"/>
      <c r="O1" s="1900"/>
      <c r="P1" s="1900"/>
      <c r="Q1" s="1900"/>
      <c r="R1" s="1900"/>
      <c r="S1" s="1900"/>
      <c r="T1" s="1900"/>
      <c r="U1" s="1900"/>
      <c r="V1" s="1900"/>
      <c r="W1" s="1900"/>
      <c r="X1" s="1900"/>
      <c r="Y1" s="1900"/>
      <c r="Z1" s="1900"/>
      <c r="AA1" s="1900"/>
      <c r="AB1" s="1900"/>
      <c r="AC1" s="1900"/>
      <c r="AD1" s="1900"/>
      <c r="AE1" s="1900"/>
      <c r="AF1" s="1900"/>
    </row>
    <row r="2" spans="2:32" ht="23.45" customHeight="1" x14ac:dyDescent="0.25">
      <c r="B2" s="1900"/>
      <c r="C2" s="1900"/>
      <c r="D2" s="1900"/>
      <c r="E2" s="1900"/>
      <c r="F2" s="1900"/>
      <c r="G2" s="1900"/>
      <c r="H2" s="1900"/>
      <c r="I2" s="1900"/>
      <c r="J2" s="1900"/>
      <c r="K2" s="1900"/>
      <c r="L2" s="1900"/>
      <c r="M2" s="1900"/>
      <c r="N2" s="1900"/>
      <c r="O2" s="1900"/>
      <c r="P2" s="1900"/>
      <c r="Q2" s="1900"/>
      <c r="R2" s="1900"/>
      <c r="S2" s="1900"/>
      <c r="T2" s="1900"/>
      <c r="U2" s="1900"/>
      <c r="V2" s="1900"/>
      <c r="W2" s="1900"/>
      <c r="X2" s="1900"/>
      <c r="Y2" s="1900"/>
      <c r="Z2" s="1900"/>
      <c r="AA2" s="1900"/>
      <c r="AB2" s="1900"/>
      <c r="AC2" s="1900"/>
      <c r="AD2" s="1900"/>
      <c r="AE2" s="1900"/>
      <c r="AF2" s="1900"/>
    </row>
    <row r="3" spans="2:32" ht="21" x14ac:dyDescent="0.25">
      <c r="B3" s="1901" t="s">
        <v>898</v>
      </c>
      <c r="C3" s="1901"/>
      <c r="D3" s="1901"/>
      <c r="E3" s="1902">
        <v>2023</v>
      </c>
      <c r="F3" s="1902"/>
      <c r="G3" s="1902">
        <v>2024</v>
      </c>
      <c r="H3" s="1902"/>
      <c r="I3" s="1875">
        <f>+G3+1</f>
        <v>2025</v>
      </c>
      <c r="J3" s="1876"/>
      <c r="K3" s="1876"/>
      <c r="L3" s="1877"/>
      <c r="M3" s="1875">
        <f>+I3+1</f>
        <v>2026</v>
      </c>
      <c r="N3" s="1876"/>
      <c r="O3" s="1876"/>
      <c r="P3" s="1877"/>
      <c r="Q3" s="1875">
        <f>+M3+1</f>
        <v>2027</v>
      </c>
      <c r="R3" s="1876"/>
      <c r="S3" s="1876"/>
      <c r="T3" s="1877"/>
      <c r="U3" s="1875">
        <f>+Q3+1</f>
        <v>2028</v>
      </c>
      <c r="V3" s="1876"/>
      <c r="W3" s="1876"/>
      <c r="X3" s="1877"/>
      <c r="Y3" s="1875">
        <f>+U3+1</f>
        <v>2029</v>
      </c>
      <c r="Z3" s="1876"/>
      <c r="AA3" s="1876"/>
      <c r="AB3" s="1877"/>
      <c r="AC3" s="1875">
        <f>+Y3+1</f>
        <v>2030</v>
      </c>
      <c r="AD3" s="1876"/>
      <c r="AE3" s="1876"/>
      <c r="AF3" s="1877"/>
    </row>
    <row r="4" spans="2:32" x14ac:dyDescent="0.25">
      <c r="B4" s="1903" t="s">
        <v>649</v>
      </c>
      <c r="C4" s="1903"/>
      <c r="D4" s="763" t="s">
        <v>656</v>
      </c>
      <c r="E4" s="1904">
        <f>'Consolidado Programas'!D3</f>
        <v>73231212</v>
      </c>
      <c r="F4" s="1904"/>
      <c r="G4" s="1904">
        <f>'Consolidado Programas'!E3</f>
        <v>74430655.752000004</v>
      </c>
      <c r="H4" s="1904"/>
      <c r="I4" s="1880">
        <f>+'Consolidado Programas'!F3</f>
        <v>76697929</v>
      </c>
      <c r="J4" s="1881"/>
      <c r="K4" s="1881"/>
      <c r="L4" s="1882"/>
      <c r="M4" s="1880">
        <f>+'Consolidado Programas'!G3</f>
        <v>79443376.444158807</v>
      </c>
      <c r="N4" s="1881"/>
      <c r="O4" s="1881"/>
      <c r="P4" s="1882"/>
      <c r="Q4" s="1880">
        <f>+'Consolidado Programas'!H3</f>
        <v>81346804.018574134</v>
      </c>
      <c r="R4" s="1881"/>
      <c r="S4" s="1881"/>
      <c r="T4" s="1882"/>
      <c r="U4" s="1880">
        <f>+'Consolidado Programas'!I3</f>
        <v>83117762.153032988</v>
      </c>
      <c r="V4" s="1881"/>
      <c r="W4" s="1881"/>
      <c r="X4" s="1882"/>
      <c r="Y4" s="1880">
        <f>+'Consolidado Programas'!J3</f>
        <v>84376813.900286376</v>
      </c>
      <c r="Z4" s="1881"/>
      <c r="AA4" s="1881"/>
      <c r="AB4" s="1882"/>
      <c r="AC4" s="1880">
        <f>+'Consolidado Programas'!K3</f>
        <v>85817253.249695092</v>
      </c>
      <c r="AD4" s="1881"/>
      <c r="AE4" s="1881"/>
      <c r="AF4" s="1882"/>
    </row>
    <row r="5" spans="2:32" x14ac:dyDescent="0.25">
      <c r="B5" s="1905" t="s">
        <v>654</v>
      </c>
      <c r="C5" s="1906"/>
      <c r="D5" s="763" t="s">
        <v>656</v>
      </c>
      <c r="E5" s="1904">
        <f>'Consolidado Programas'!D4</f>
        <v>55779290</v>
      </c>
      <c r="F5" s="1904"/>
      <c r="G5" s="1904">
        <f>'Consolidado Programas'!E4</f>
        <v>56646487</v>
      </c>
      <c r="H5" s="1904"/>
      <c r="I5" s="1880">
        <f>+'Consolidado Programas'!F4</f>
        <v>57114170</v>
      </c>
      <c r="J5" s="1881"/>
      <c r="K5" s="1881"/>
      <c r="L5" s="1882"/>
      <c r="M5" s="1880">
        <f>+'Consolidado Programas'!G4</f>
        <v>57381362.231400006</v>
      </c>
      <c r="N5" s="1881"/>
      <c r="O5" s="1881"/>
      <c r="P5" s="1882"/>
      <c r="Q5" s="1880">
        <f>+'Consolidado Programas'!H4</f>
        <v>59731641</v>
      </c>
      <c r="R5" s="1881"/>
      <c r="S5" s="1881"/>
      <c r="T5" s="1882"/>
      <c r="U5" s="1880">
        <f>+'Consolidado Programas'!I4</f>
        <v>60100673</v>
      </c>
      <c r="V5" s="1881"/>
      <c r="W5" s="1881"/>
      <c r="X5" s="1882"/>
      <c r="Y5" s="1880">
        <f>+'Consolidado Programas'!J4</f>
        <v>60553470</v>
      </c>
      <c r="Z5" s="1881"/>
      <c r="AA5" s="1881"/>
      <c r="AB5" s="1882"/>
      <c r="AC5" s="1880">
        <f>+'Consolidado Programas'!K4</f>
        <v>61116311</v>
      </c>
      <c r="AD5" s="1881"/>
      <c r="AE5" s="1881"/>
      <c r="AF5" s="1882"/>
    </row>
    <row r="6" spans="2:32" x14ac:dyDescent="0.25">
      <c r="G6" s="907"/>
      <c r="J6" s="264"/>
      <c r="K6" s="264"/>
      <c r="L6" s="264"/>
      <c r="M6" s="264"/>
      <c r="N6" s="264"/>
      <c r="Q6" s="264"/>
    </row>
    <row r="7" spans="2:32" x14ac:dyDescent="0.25">
      <c r="B7" s="1900" t="s">
        <v>734</v>
      </c>
      <c r="C7" s="1900"/>
      <c r="D7" s="1900"/>
      <c r="E7" s="1900"/>
      <c r="F7" s="1900"/>
      <c r="G7" s="1900"/>
      <c r="H7" s="1900"/>
      <c r="I7" s="1900"/>
      <c r="J7" s="1900"/>
      <c r="K7" s="1900"/>
      <c r="L7" s="1900"/>
      <c r="M7" s="1900"/>
      <c r="N7" s="1900"/>
      <c r="O7" s="1900"/>
      <c r="P7" s="1900"/>
      <c r="Q7" s="1900"/>
      <c r="R7" s="1900"/>
      <c r="S7" s="1900"/>
      <c r="T7" s="1900"/>
      <c r="U7" s="1900"/>
      <c r="V7" s="1900"/>
      <c r="W7" s="1900"/>
      <c r="X7" s="1900"/>
      <c r="Y7" s="1900"/>
      <c r="Z7" s="1900"/>
      <c r="AA7" s="1900"/>
      <c r="AB7" s="1900"/>
      <c r="AC7" s="1900"/>
      <c r="AD7" s="1900"/>
      <c r="AE7" s="1900"/>
      <c r="AF7" s="1900"/>
    </row>
    <row r="8" spans="2:32" x14ac:dyDescent="0.25">
      <c r="B8" s="1900"/>
      <c r="C8" s="1900"/>
      <c r="D8" s="1900"/>
      <c r="E8" s="1900"/>
      <c r="F8" s="1900"/>
      <c r="G8" s="1900"/>
      <c r="H8" s="1900"/>
      <c r="I8" s="1900"/>
      <c r="J8" s="1900"/>
      <c r="K8" s="1900"/>
      <c r="L8" s="1900"/>
      <c r="M8" s="1900"/>
      <c r="N8" s="1900"/>
      <c r="O8" s="1900"/>
      <c r="P8" s="1900"/>
      <c r="Q8" s="1900"/>
      <c r="R8" s="1900"/>
      <c r="S8" s="1900"/>
      <c r="T8" s="1900"/>
      <c r="U8" s="1900"/>
      <c r="V8" s="1900"/>
      <c r="W8" s="1900"/>
      <c r="X8" s="1900"/>
      <c r="Y8" s="1900"/>
      <c r="Z8" s="1900"/>
      <c r="AA8" s="1900"/>
      <c r="AB8" s="1900"/>
      <c r="AC8" s="1900"/>
      <c r="AD8" s="1900"/>
      <c r="AE8" s="1900"/>
      <c r="AF8" s="1900"/>
    </row>
    <row r="9" spans="2:32" ht="21" customHeight="1" x14ac:dyDescent="0.25">
      <c r="B9" s="1887" t="s">
        <v>648</v>
      </c>
      <c r="C9" s="1888"/>
      <c r="D9" s="1889"/>
      <c r="E9" s="1893">
        <f>E3</f>
        <v>2023</v>
      </c>
      <c r="F9" s="1894"/>
      <c r="G9" s="1893">
        <f>G3</f>
        <v>2024</v>
      </c>
      <c r="H9" s="1894"/>
      <c r="I9" s="1875">
        <f>+I3</f>
        <v>2025</v>
      </c>
      <c r="J9" s="1876"/>
      <c r="K9" s="1876"/>
      <c r="L9" s="1877"/>
      <c r="M9" s="1875">
        <f>+M3</f>
        <v>2026</v>
      </c>
      <c r="N9" s="1876"/>
      <c r="O9" s="1876"/>
      <c r="P9" s="1877"/>
      <c r="Q9" s="1875">
        <f>+Q3</f>
        <v>2027</v>
      </c>
      <c r="R9" s="1876"/>
      <c r="S9" s="1876"/>
      <c r="T9" s="1877"/>
      <c r="U9" s="1875">
        <f>+U3</f>
        <v>2028</v>
      </c>
      <c r="V9" s="1876"/>
      <c r="W9" s="1876"/>
      <c r="X9" s="1877"/>
      <c r="Y9" s="1875">
        <f>+Y3</f>
        <v>2029</v>
      </c>
      <c r="Z9" s="1876"/>
      <c r="AA9" s="1876"/>
      <c r="AB9" s="1877"/>
      <c r="AC9" s="1875">
        <f>+AC3</f>
        <v>2030</v>
      </c>
      <c r="AD9" s="1876"/>
      <c r="AE9" s="1876"/>
      <c r="AF9" s="1877"/>
    </row>
    <row r="10" spans="2:32" s="986" customFormat="1" ht="21" customHeight="1" x14ac:dyDescent="0.25">
      <c r="B10" s="1890"/>
      <c r="C10" s="1891"/>
      <c r="D10" s="1892"/>
      <c r="E10" s="1895"/>
      <c r="F10" s="1896"/>
      <c r="G10" s="1895"/>
      <c r="H10" s="1896"/>
      <c r="I10" s="1878" t="s">
        <v>901</v>
      </c>
      <c r="J10" s="1879"/>
      <c r="K10" s="1878" t="s">
        <v>902</v>
      </c>
      <c r="L10" s="1879"/>
      <c r="M10" s="1878" t="s">
        <v>901</v>
      </c>
      <c r="N10" s="1879"/>
      <c r="O10" s="1878" t="s">
        <v>902</v>
      </c>
      <c r="P10" s="1879"/>
      <c r="Q10" s="1878" t="s">
        <v>901</v>
      </c>
      <c r="R10" s="1879"/>
      <c r="S10" s="1878" t="s">
        <v>902</v>
      </c>
      <c r="T10" s="1879"/>
      <c r="U10" s="1878" t="s">
        <v>901</v>
      </c>
      <c r="V10" s="1879"/>
      <c r="W10" s="1878" t="s">
        <v>902</v>
      </c>
      <c r="X10" s="1879"/>
      <c r="Y10" s="1878" t="s">
        <v>901</v>
      </c>
      <c r="Z10" s="1879"/>
      <c r="AA10" s="1878" t="s">
        <v>902</v>
      </c>
      <c r="AB10" s="1879"/>
      <c r="AC10" s="1878" t="s">
        <v>901</v>
      </c>
      <c r="AD10" s="1879"/>
      <c r="AE10" s="1878" t="s">
        <v>902</v>
      </c>
      <c r="AF10" s="1879"/>
    </row>
    <row r="11" spans="2:32" x14ac:dyDescent="0.25">
      <c r="B11" s="1897" t="s">
        <v>649</v>
      </c>
      <c r="C11" s="1897"/>
      <c r="D11" s="763" t="s">
        <v>656</v>
      </c>
      <c r="E11" s="1898">
        <f>+E4</f>
        <v>73231212</v>
      </c>
      <c r="F11" s="1898"/>
      <c r="G11" s="1898">
        <f>+G4</f>
        <v>74430655.752000004</v>
      </c>
      <c r="H11" s="1898"/>
      <c r="I11" s="1873">
        <f>+I4</f>
        <v>76697929</v>
      </c>
      <c r="J11" s="1874"/>
      <c r="K11" s="1873">
        <f>+I11-I19</f>
        <v>76697929</v>
      </c>
      <c r="L11" s="1874"/>
      <c r="M11" s="1873">
        <f>+M4</f>
        <v>79443376.444158807</v>
      </c>
      <c r="N11" s="1874"/>
      <c r="O11" s="1873">
        <f>+M11-M19</f>
        <v>78596236.71811083</v>
      </c>
      <c r="P11" s="1874"/>
      <c r="Q11" s="1873">
        <f>+Q4</f>
        <v>81346804.018574134</v>
      </c>
      <c r="R11" s="1874"/>
      <c r="S11" s="1873">
        <f>+Q11-Q19</f>
        <v>76842768.870479792</v>
      </c>
      <c r="T11" s="1874"/>
      <c r="U11" s="1873">
        <f>+U4</f>
        <v>83117762.153032988</v>
      </c>
      <c r="V11" s="1874"/>
      <c r="W11" s="1873">
        <f>+U11-U19</f>
        <v>77302409.221410006</v>
      </c>
      <c r="X11" s="1874"/>
      <c r="Y11" s="1873">
        <f>+Y4</f>
        <v>84376813.900286376</v>
      </c>
      <c r="Z11" s="1874"/>
      <c r="AA11" s="1873">
        <f>+Y11-Y19</f>
        <v>78244206.266012847</v>
      </c>
      <c r="AB11" s="1874"/>
      <c r="AC11" s="1873">
        <f>+AC4</f>
        <v>85817253.249695092</v>
      </c>
      <c r="AD11" s="1874"/>
      <c r="AE11" s="1873">
        <f>+AC11-AC19</f>
        <v>78230275.263312325</v>
      </c>
      <c r="AF11" s="1874"/>
    </row>
    <row r="12" spans="2:32" x14ac:dyDescent="0.25">
      <c r="B12" s="1899" t="s">
        <v>655</v>
      </c>
      <c r="C12" s="767" t="s">
        <v>654</v>
      </c>
      <c r="D12" s="763" t="s">
        <v>656</v>
      </c>
      <c r="E12" s="1898">
        <f>+E5</f>
        <v>55779290</v>
      </c>
      <c r="F12" s="1898"/>
      <c r="G12" s="1898">
        <f>+G5</f>
        <v>56646487</v>
      </c>
      <c r="H12" s="1898"/>
      <c r="I12" s="1873">
        <f>+I5</f>
        <v>57114170</v>
      </c>
      <c r="J12" s="1874"/>
      <c r="K12" s="1873">
        <f>+I12+I20</f>
        <v>57114170</v>
      </c>
      <c r="L12" s="1874"/>
      <c r="M12" s="1873">
        <f>+M5</f>
        <v>57381362.231400006</v>
      </c>
      <c r="N12" s="1874"/>
      <c r="O12" s="1873">
        <f>+M12+M20</f>
        <v>58309143.871878952</v>
      </c>
      <c r="P12" s="1874"/>
      <c r="Q12" s="1873">
        <f>+Q5</f>
        <v>59731641</v>
      </c>
      <c r="R12" s="1874"/>
      <c r="S12" s="1873">
        <f>+Q12+Q20</f>
        <v>60854089.165097021</v>
      </c>
      <c r="T12" s="1874"/>
      <c r="U12" s="1873">
        <f>+U5</f>
        <v>60100673</v>
      </c>
      <c r="V12" s="1874"/>
      <c r="W12" s="1873">
        <f>+U12+U20</f>
        <v>61387820.241799906</v>
      </c>
      <c r="X12" s="1874"/>
      <c r="Y12" s="1873">
        <f>+Y5</f>
        <v>60553470</v>
      </c>
      <c r="Z12" s="1874"/>
      <c r="AA12" s="1873">
        <f>+Y12+Y20</f>
        <v>62043456.655604452</v>
      </c>
      <c r="AB12" s="1874"/>
      <c r="AC12" s="1873">
        <f>+AC5</f>
        <v>61116311</v>
      </c>
      <c r="AD12" s="1874"/>
      <c r="AE12" s="1873">
        <f>+AC12+AC20</f>
        <v>62421579.913765579</v>
      </c>
      <c r="AF12" s="1874"/>
    </row>
    <row r="13" spans="2:32" x14ac:dyDescent="0.25">
      <c r="B13" s="1899"/>
      <c r="C13" s="764" t="s">
        <v>650</v>
      </c>
      <c r="D13" s="763" t="s">
        <v>656</v>
      </c>
      <c r="E13" s="765">
        <v>20232294.760999981</v>
      </c>
      <c r="F13" s="768">
        <f>+E13/E$16</f>
        <v>0.16176155381302409</v>
      </c>
      <c r="G13" s="765">
        <v>546262.29908918426</v>
      </c>
      <c r="H13" s="768">
        <f>+G13/G$16</f>
        <v>3.1545794389955403E-2</v>
      </c>
      <c r="I13" s="1883">
        <f>+J13*I16</f>
        <v>6848500.4540607361</v>
      </c>
      <c r="J13" s="1870">
        <f>+H14+H13</f>
        <v>0.34970306027871034</v>
      </c>
      <c r="K13" s="1868">
        <f>+I13-I20</f>
        <v>6848500.4540607361</v>
      </c>
      <c r="L13" s="1870">
        <f>+K13/K16</f>
        <v>0.34970306027871029</v>
      </c>
      <c r="M13" s="1883">
        <f>+N13*M16</f>
        <v>7715153.886114154</v>
      </c>
      <c r="N13" s="1870">
        <f>+L13</f>
        <v>0.34970306027871029</v>
      </c>
      <c r="O13" s="1868">
        <f>+M13-M20</f>
        <v>6787372.2456352077</v>
      </c>
      <c r="P13" s="1870">
        <f>+O13/O16</f>
        <v>0.33456603649822075</v>
      </c>
      <c r="Q13" s="1883">
        <f>+R13*Q16</f>
        <v>7231699.4193872651</v>
      </c>
      <c r="R13" s="1870">
        <f>+P13</f>
        <v>0.33456603649822075</v>
      </c>
      <c r="S13" s="1868">
        <f>+Q13-Q20</f>
        <v>6109251.2542902408</v>
      </c>
      <c r="T13" s="1870">
        <f>+S13/S16</f>
        <v>0.38209854514963448</v>
      </c>
      <c r="U13" s="1883">
        <f>+V13*U16</f>
        <v>8794796.278953338</v>
      </c>
      <c r="V13" s="1870">
        <f>+T13</f>
        <v>0.38209854514963448</v>
      </c>
      <c r="W13" s="1868">
        <f>+U13-U20</f>
        <v>7507649.0371534349</v>
      </c>
      <c r="X13" s="1870">
        <f>+W13/W16</f>
        <v>0.47174633581629394</v>
      </c>
      <c r="Y13" s="1883">
        <f>+Z13*Y16</f>
        <v>11238575.191851554</v>
      </c>
      <c r="Z13" s="1870">
        <f>+X13</f>
        <v>0.47174633581629394</v>
      </c>
      <c r="AA13" s="1868">
        <f>+Y13-Y20</f>
        <v>9748588.5362471025</v>
      </c>
      <c r="AB13" s="1870">
        <f>+AA13/AA16</f>
        <v>0.60173688074186304</v>
      </c>
      <c r="AC13" s="1883">
        <f>+AD13*AC16</f>
        <v>14863467.940716421</v>
      </c>
      <c r="AD13" s="1870">
        <f>+AB13</f>
        <v>0.60173688074186304</v>
      </c>
      <c r="AE13" s="1868">
        <f>+AC13-AC20</f>
        <v>13558199.02695084</v>
      </c>
      <c r="AF13" s="1870">
        <f>+AE13/AE16</f>
        <v>0.8576418690578137</v>
      </c>
    </row>
    <row r="14" spans="2:32" x14ac:dyDescent="0.25">
      <c r="B14" s="1885" t="s">
        <v>651</v>
      </c>
      <c r="C14" s="764" t="s">
        <v>652</v>
      </c>
      <c r="D14" s="763" t="s">
        <v>656</v>
      </c>
      <c r="E14" s="765">
        <v>27535267</v>
      </c>
      <c r="F14" s="768">
        <f>+E14/E$16</f>
        <v>0.22015038962176234</v>
      </c>
      <c r="G14" s="765">
        <v>5509365.7616579002</v>
      </c>
      <c r="H14" s="768">
        <f>+G14/G$16</f>
        <v>0.31815726588875493</v>
      </c>
      <c r="I14" s="1884"/>
      <c r="J14" s="1871"/>
      <c r="K14" s="1869"/>
      <c r="L14" s="1871"/>
      <c r="M14" s="1884"/>
      <c r="N14" s="1871"/>
      <c r="O14" s="1869"/>
      <c r="P14" s="1871"/>
      <c r="Q14" s="1884"/>
      <c r="R14" s="1871"/>
      <c r="S14" s="1869"/>
      <c r="T14" s="1871"/>
      <c r="U14" s="1884"/>
      <c r="V14" s="1871"/>
      <c r="W14" s="1869"/>
      <c r="X14" s="1871"/>
      <c r="Y14" s="1884"/>
      <c r="Z14" s="1871"/>
      <c r="AA14" s="1869"/>
      <c r="AB14" s="1871"/>
      <c r="AC14" s="1884"/>
      <c r="AD14" s="1871"/>
      <c r="AE14" s="1869"/>
      <c r="AF14" s="1871"/>
    </row>
    <row r="15" spans="2:32" x14ac:dyDescent="0.25">
      <c r="B15" s="1885"/>
      <c r="C15" s="764" t="s">
        <v>653</v>
      </c>
      <c r="D15" s="763" t="s">
        <v>656</v>
      </c>
      <c r="E15" s="765">
        <v>77307243</v>
      </c>
      <c r="F15" s="768">
        <f>+E15/E$16</f>
        <v>0.61808805656521359</v>
      </c>
      <c r="G15" s="765">
        <v>11260857.691252917</v>
      </c>
      <c r="H15" s="768">
        <f>+G15/G$16</f>
        <v>0.65029693972128977</v>
      </c>
      <c r="I15" s="769">
        <f>+J15*I16</f>
        <v>12735258.545939267</v>
      </c>
      <c r="J15" s="768">
        <f>+H15</f>
        <v>0.65029693972128977</v>
      </c>
      <c r="K15" s="919">
        <f>+I15-I19</f>
        <v>12735258.545939267</v>
      </c>
      <c r="L15" s="768">
        <f>+K15/K16</f>
        <v>0.65029693972128966</v>
      </c>
      <c r="M15" s="769">
        <f>+N15*M16</f>
        <v>14346860.326644646</v>
      </c>
      <c r="N15" s="768">
        <f>+L15</f>
        <v>0.65029693972128966</v>
      </c>
      <c r="O15" s="919">
        <f>+M15-M19</f>
        <v>13499720.600596672</v>
      </c>
      <c r="P15" s="768">
        <f>+O15/O16</f>
        <v>0.6654339635017793</v>
      </c>
      <c r="Q15" s="769">
        <f>+R15*Q16</f>
        <v>14383463.599186869</v>
      </c>
      <c r="R15" s="768">
        <f>+P15</f>
        <v>0.6654339635017793</v>
      </c>
      <c r="S15" s="919">
        <f>+Q15-Q19</f>
        <v>9879428.4510925226</v>
      </c>
      <c r="T15" s="768">
        <f>+S15/S16</f>
        <v>0.61790145485036541</v>
      </c>
      <c r="U15" s="769">
        <f>+V15*U16</f>
        <v>14222292.874079648</v>
      </c>
      <c r="V15" s="768">
        <f>+T15</f>
        <v>0.61790145485036541</v>
      </c>
      <c r="W15" s="919">
        <f>+U15-U19</f>
        <v>8406939.9424566627</v>
      </c>
      <c r="X15" s="768">
        <f>+W15/W16</f>
        <v>0.52825366418370612</v>
      </c>
      <c r="Y15" s="769">
        <f>+Z15*Y16</f>
        <v>12584768.708434824</v>
      </c>
      <c r="Z15" s="768">
        <f>+X15</f>
        <v>0.52825366418370612</v>
      </c>
      <c r="AA15" s="919">
        <f>+Y15-Y19</f>
        <v>6452161.0741612967</v>
      </c>
      <c r="AB15" s="768">
        <f>+AA15/AA16</f>
        <v>0.39826311925813701</v>
      </c>
      <c r="AC15" s="769">
        <f>+AD15*AC16</f>
        <v>9837474.3089786712</v>
      </c>
      <c r="AD15" s="768">
        <f>+AB15</f>
        <v>0.39826311925813701</v>
      </c>
      <c r="AE15" s="919">
        <f>+AC15-AC19</f>
        <v>2250496.3225959074</v>
      </c>
      <c r="AF15" s="768">
        <f>+AE15/AE16</f>
        <v>0.1423581309421863</v>
      </c>
    </row>
    <row r="16" spans="2:32" x14ac:dyDescent="0.25">
      <c r="B16" s="1885" t="s">
        <v>657</v>
      </c>
      <c r="C16" s="1885"/>
      <c r="D16" s="763" t="s">
        <v>656</v>
      </c>
      <c r="E16" s="1898">
        <f>+SUM(E13:E15)</f>
        <v>125074804.76099998</v>
      </c>
      <c r="F16" s="1898"/>
      <c r="G16" s="1898">
        <f>+SUM(G13:G15)</f>
        <v>17316485.752</v>
      </c>
      <c r="H16" s="1898"/>
      <c r="I16" s="1873">
        <f>+I11-I12</f>
        <v>19583759</v>
      </c>
      <c r="J16" s="1874"/>
      <c r="K16" s="1873">
        <f>+SUM(K13:K15)</f>
        <v>19583759.000000004</v>
      </c>
      <c r="L16" s="1874"/>
      <c r="M16" s="1873">
        <f>+M11-M12</f>
        <v>22062014.212758802</v>
      </c>
      <c r="N16" s="1874"/>
      <c r="O16" s="1873">
        <f>+SUM(O13:O15)</f>
        <v>20287092.846231878</v>
      </c>
      <c r="P16" s="1874"/>
      <c r="Q16" s="1873">
        <f>+Q11-Q12</f>
        <v>21615163.018574134</v>
      </c>
      <c r="R16" s="1874"/>
      <c r="S16" s="1873">
        <f>+SUM(S13:S15)</f>
        <v>15988679.705382764</v>
      </c>
      <c r="T16" s="1874"/>
      <c r="U16" s="1873">
        <f>+U11-U12</f>
        <v>23017089.153032988</v>
      </c>
      <c r="V16" s="1874"/>
      <c r="W16" s="1873">
        <f>+SUM(W13:W15)</f>
        <v>15914588.979610097</v>
      </c>
      <c r="X16" s="1874"/>
      <c r="Y16" s="1873">
        <f>+Y11-Y12</f>
        <v>23823343.900286376</v>
      </c>
      <c r="Z16" s="1874"/>
      <c r="AA16" s="1873">
        <f>+SUM(AA13:AA15)</f>
        <v>16200749.610408399</v>
      </c>
      <c r="AB16" s="1874"/>
      <c r="AC16" s="1873">
        <f>+AC11-AC12</f>
        <v>24700942.249695092</v>
      </c>
      <c r="AD16" s="1874"/>
      <c r="AE16" s="1873">
        <f>+SUM(AE13:AE15)</f>
        <v>15808695.349546747</v>
      </c>
      <c r="AF16" s="1874"/>
    </row>
    <row r="17" spans="2:32" x14ac:dyDescent="0.25">
      <c r="B17" s="1908" t="s">
        <v>104</v>
      </c>
      <c r="C17" s="1908"/>
      <c r="D17" s="766" t="s">
        <v>105</v>
      </c>
      <c r="E17" s="1872">
        <f>+(E11-E12)/E11</f>
        <v>0.23831262003420073</v>
      </c>
      <c r="F17" s="1872"/>
      <c r="G17" s="1872">
        <f>+(G11-G12)/G11</f>
        <v>0.2389360750932539</v>
      </c>
      <c r="H17" s="1872"/>
      <c r="I17" s="1872">
        <f>+(I11-I12)/I11</f>
        <v>0.25533621644464483</v>
      </c>
      <c r="J17" s="1872"/>
      <c r="K17" s="1872">
        <f>+(K11-K12)/K11</f>
        <v>0.25533621644464483</v>
      </c>
      <c r="L17" s="1872"/>
      <c r="M17" s="1872">
        <f>+(M11-M12)/M11</f>
        <v>0.27770740872609201</v>
      </c>
      <c r="N17" s="1872"/>
      <c r="O17" s="1872">
        <f>+(O11-O12)/O11</f>
        <v>0.25811786535012493</v>
      </c>
      <c r="P17" s="1872"/>
      <c r="Q17" s="1872">
        <f>+(Q11-Q12)/Q11</f>
        <v>0.26571619228751364</v>
      </c>
      <c r="R17" s="1872"/>
      <c r="S17" s="1872">
        <f>+(S11-S12)/S11</f>
        <v>0.20807006228955713</v>
      </c>
      <c r="T17" s="1872"/>
      <c r="U17" s="1872">
        <f>+(U11-U12)/U11</f>
        <v>0.27692142517810903</v>
      </c>
      <c r="V17" s="1872"/>
      <c r="W17" s="1872">
        <f>+(W11-W12)/W11</f>
        <v>0.2058744240949521</v>
      </c>
      <c r="X17" s="1872"/>
      <c r="Y17" s="1872">
        <f>+(Y11-Y12)/Y11</f>
        <v>0.28234467265426716</v>
      </c>
      <c r="Z17" s="1872"/>
      <c r="AA17" s="1872">
        <f>+(AA11-AA12)/AA11</f>
        <v>0.207053664207794</v>
      </c>
      <c r="AB17" s="1872"/>
      <c r="AC17" s="1872">
        <f>+(AC11-AC12)/AC11</f>
        <v>0.28783189060858055</v>
      </c>
      <c r="AD17" s="1872"/>
      <c r="AE17" s="1872">
        <f>+(AE11-AE12)/AE11</f>
        <v>0.20207899430670359</v>
      </c>
      <c r="AF17" s="1872"/>
    </row>
    <row r="18" spans="2:32" x14ac:dyDescent="0.25">
      <c r="B18" s="1908" t="s">
        <v>908</v>
      </c>
      <c r="C18" s="1908"/>
      <c r="F18" s="264"/>
      <c r="H18" s="907"/>
      <c r="I18" s="264"/>
      <c r="J18" s="264"/>
      <c r="K18" s="1909">
        <f>+Alternativas!L62</f>
        <v>4.8947845808389232</v>
      </c>
      <c r="L18" s="1909"/>
      <c r="M18" s="264"/>
      <c r="N18" s="264"/>
      <c r="O18" s="1909">
        <f>+Alternativas!M62</f>
        <v>4.9441277002441453</v>
      </c>
      <c r="P18" s="1909"/>
      <c r="Q18" s="264"/>
      <c r="R18" s="264"/>
      <c r="S18" s="1909">
        <f>+Alternativas!N62</f>
        <v>3.8127000593730465</v>
      </c>
      <c r="T18" s="1909"/>
      <c r="U18" s="264"/>
      <c r="V18" s="264"/>
      <c r="W18" s="1909">
        <f>+Alternativas!O62</f>
        <v>3.7151814380423165</v>
      </c>
      <c r="X18" s="1909"/>
      <c r="Y18" s="264"/>
      <c r="Z18" s="264"/>
      <c r="AA18" s="1909">
        <f>+Alternativas!P62</f>
        <v>3.7023717874060278</v>
      </c>
      <c r="AB18" s="1909"/>
      <c r="AC18" s="264"/>
      <c r="AD18" s="264"/>
      <c r="AE18" s="1909">
        <f>+Alternativas!Q62</f>
        <v>3.5367348186489114</v>
      </c>
      <c r="AF18" s="1909"/>
    </row>
    <row r="19" spans="2:32" x14ac:dyDescent="0.25">
      <c r="B19" s="1897" t="s">
        <v>899</v>
      </c>
      <c r="C19" s="1897"/>
      <c r="D19" s="763" t="s">
        <v>656</v>
      </c>
      <c r="E19" s="1907" t="s">
        <v>658</v>
      </c>
      <c r="F19" s="1907"/>
      <c r="G19" s="1907" t="s">
        <v>658</v>
      </c>
      <c r="H19" s="1907"/>
      <c r="I19" s="1873">
        <f>+Alternativas!L55</f>
        <v>0</v>
      </c>
      <c r="J19" s="1886"/>
      <c r="K19" s="1886"/>
      <c r="L19" s="1874"/>
      <c r="M19" s="1873">
        <f>+Alternativas!M55</f>
        <v>847139.72604797326</v>
      </c>
      <c r="N19" s="1886"/>
      <c r="O19" s="1886"/>
      <c r="P19" s="1874"/>
      <c r="Q19" s="1873">
        <f>+Alternativas!N55</f>
        <v>4504035.1480943458</v>
      </c>
      <c r="R19" s="1886"/>
      <c r="S19" s="1886"/>
      <c r="T19" s="1874"/>
      <c r="U19" s="1873">
        <f>+Alternativas!O55</f>
        <v>5815352.9316229867</v>
      </c>
      <c r="V19" s="1886"/>
      <c r="W19" s="1886"/>
      <c r="X19" s="1874"/>
      <c r="Y19" s="1873">
        <f>+Alternativas!P55</f>
        <v>6132607.6342735272</v>
      </c>
      <c r="Z19" s="1886"/>
      <c r="AA19" s="1886"/>
      <c r="AB19" s="1874"/>
      <c r="AC19" s="1873">
        <f>+Alternativas!Q55</f>
        <v>7586977.9863827638</v>
      </c>
      <c r="AD19" s="1886"/>
      <c r="AE19" s="1886"/>
      <c r="AF19" s="1874"/>
    </row>
    <row r="20" spans="2:32" x14ac:dyDescent="0.25">
      <c r="B20" s="1899" t="s">
        <v>900</v>
      </c>
      <c r="C20" s="1899"/>
      <c r="D20" s="763" t="s">
        <v>656</v>
      </c>
      <c r="E20" s="1907" t="s">
        <v>658</v>
      </c>
      <c r="F20" s="1907"/>
      <c r="G20" s="1907" t="s">
        <v>658</v>
      </c>
      <c r="H20" s="1907"/>
      <c r="I20" s="1873">
        <f>+Alternativas!L56</f>
        <v>0</v>
      </c>
      <c r="J20" s="1886"/>
      <c r="K20" s="1886"/>
      <c r="L20" s="1874"/>
      <c r="M20" s="1873">
        <f>+Alternativas!M56</f>
        <v>927781.64047894638</v>
      </c>
      <c r="N20" s="1886"/>
      <c r="O20" s="1886"/>
      <c r="P20" s="1874"/>
      <c r="Q20" s="1873">
        <f>+Alternativas!N56</f>
        <v>1122448.1650970241</v>
      </c>
      <c r="R20" s="1886"/>
      <c r="S20" s="1886"/>
      <c r="T20" s="1874"/>
      <c r="U20" s="1873">
        <f>+Alternativas!O56</f>
        <v>1287147.2417999031</v>
      </c>
      <c r="V20" s="1886"/>
      <c r="W20" s="1886"/>
      <c r="X20" s="1874"/>
      <c r="Y20" s="1873">
        <f>+Alternativas!P56</f>
        <v>1489986.6556044526</v>
      </c>
      <c r="Z20" s="1886"/>
      <c r="AA20" s="1886"/>
      <c r="AB20" s="1874"/>
      <c r="AC20" s="1873">
        <f>+Alternativas!Q56</f>
        <v>1305268.9137655806</v>
      </c>
      <c r="AD20" s="1886"/>
      <c r="AE20" s="1886"/>
      <c r="AF20" s="1874"/>
    </row>
    <row r="21" spans="2:32" x14ac:dyDescent="0.25">
      <c r="M21" s="264"/>
      <c r="N21" s="918"/>
      <c r="O21" s="918"/>
      <c r="P21" s="918"/>
      <c r="Q21" s="264"/>
      <c r="R21" s="918"/>
      <c r="S21" s="918"/>
      <c r="T21" s="918"/>
      <c r="U21" s="264"/>
      <c r="V21" s="918"/>
      <c r="W21" s="918"/>
      <c r="X21" s="918"/>
      <c r="Y21" s="264"/>
      <c r="Z21" s="918"/>
      <c r="AA21" s="918"/>
      <c r="AB21" s="918"/>
      <c r="AC21" s="264"/>
      <c r="AD21" s="918"/>
      <c r="AE21" s="918"/>
      <c r="AF21" s="918"/>
    </row>
    <row r="22" spans="2:32" x14ac:dyDescent="0.25">
      <c r="G22" s="907">
        <f>G12+G13+G14+G15</f>
        <v>73962972.752000004</v>
      </c>
      <c r="H22" s="907"/>
      <c r="J22" s="264"/>
      <c r="K22" s="264"/>
      <c r="L22" s="264"/>
      <c r="M22" s="264"/>
      <c r="N22" s="918"/>
      <c r="O22" s="918"/>
      <c r="P22" s="918"/>
      <c r="Q22" s="264"/>
      <c r="R22" s="918"/>
      <c r="S22" s="918"/>
      <c r="T22" s="918"/>
      <c r="U22" s="264"/>
      <c r="V22" s="918"/>
      <c r="W22" s="918"/>
      <c r="X22" s="918"/>
      <c r="Y22" s="264"/>
      <c r="Z22" s="918"/>
      <c r="AA22" s="918"/>
      <c r="AB22" s="918"/>
      <c r="AC22" s="264"/>
      <c r="AD22" s="918"/>
      <c r="AE22" s="918"/>
      <c r="AF22" s="918"/>
    </row>
    <row r="23" spans="2:32" x14ac:dyDescent="0.25">
      <c r="E23" s="264"/>
      <c r="H23" s="907"/>
    </row>
  </sheetData>
  <mergeCells count="160">
    <mergeCell ref="B18:C18"/>
    <mergeCell ref="K18:L18"/>
    <mergeCell ref="O18:P18"/>
    <mergeCell ref="S18:T18"/>
    <mergeCell ref="W18:X18"/>
    <mergeCell ref="AA18:AB18"/>
    <mergeCell ref="AE18:AF18"/>
    <mergeCell ref="Q19:T19"/>
    <mergeCell ref="U19:X19"/>
    <mergeCell ref="Y19:AB19"/>
    <mergeCell ref="AC19:AF19"/>
    <mergeCell ref="S17:T17"/>
    <mergeCell ref="U13:U14"/>
    <mergeCell ref="V13:V14"/>
    <mergeCell ref="Y13:Y14"/>
    <mergeCell ref="Z13:Z14"/>
    <mergeCell ref="AC13:AC14"/>
    <mergeCell ref="AD13:AD14"/>
    <mergeCell ref="X13:X14"/>
    <mergeCell ref="K16:L16"/>
    <mergeCell ref="W16:X16"/>
    <mergeCell ref="N13:N14"/>
    <mergeCell ref="K13:K14"/>
    <mergeCell ref="L13:L14"/>
    <mergeCell ref="AE16:AF16"/>
    <mergeCell ref="S16:T16"/>
    <mergeCell ref="B19:C19"/>
    <mergeCell ref="B20:C20"/>
    <mergeCell ref="E19:F19"/>
    <mergeCell ref="G19:H19"/>
    <mergeCell ref="E20:F20"/>
    <mergeCell ref="G20:H20"/>
    <mergeCell ref="B17:C17"/>
    <mergeCell ref="E17:F17"/>
    <mergeCell ref="G17:H17"/>
    <mergeCell ref="I17:J17"/>
    <mergeCell ref="M17:N17"/>
    <mergeCell ref="Q17:R17"/>
    <mergeCell ref="U17:V17"/>
    <mergeCell ref="Y17:Z17"/>
    <mergeCell ref="AC17:AD17"/>
    <mergeCell ref="Q20:T20"/>
    <mergeCell ref="U20:X20"/>
    <mergeCell ref="Y20:AB20"/>
    <mergeCell ref="AC20:AF20"/>
    <mergeCell ref="W17:X17"/>
    <mergeCell ref="AA16:AB16"/>
    <mergeCell ref="AA17:AB17"/>
    <mergeCell ref="B1:AF2"/>
    <mergeCell ref="I16:J16"/>
    <mergeCell ref="M16:N16"/>
    <mergeCell ref="B3:D3"/>
    <mergeCell ref="G3:H3"/>
    <mergeCell ref="E3:F3"/>
    <mergeCell ref="B4:C4"/>
    <mergeCell ref="E4:F4"/>
    <mergeCell ref="E5:F5"/>
    <mergeCell ref="B5:C5"/>
    <mergeCell ref="G4:H4"/>
    <mergeCell ref="G5:H5"/>
    <mergeCell ref="AC5:AF5"/>
    <mergeCell ref="U11:V11"/>
    <mergeCell ref="Y11:Z11"/>
    <mergeCell ref="AC11:AD11"/>
    <mergeCell ref="B7:AF8"/>
    <mergeCell ref="B16:C16"/>
    <mergeCell ref="E16:F16"/>
    <mergeCell ref="G16:H16"/>
    <mergeCell ref="Q16:R16"/>
    <mergeCell ref="U16:V16"/>
    <mergeCell ref="Y16:Z16"/>
    <mergeCell ref="AC16:AD16"/>
    <mergeCell ref="M11:N11"/>
    <mergeCell ref="B9:D10"/>
    <mergeCell ref="E9:F10"/>
    <mergeCell ref="G9:H10"/>
    <mergeCell ref="I9:L9"/>
    <mergeCell ref="I10:J10"/>
    <mergeCell ref="K10:L10"/>
    <mergeCell ref="K11:L11"/>
    <mergeCell ref="K12:L12"/>
    <mergeCell ref="B11:C11"/>
    <mergeCell ref="E11:F11"/>
    <mergeCell ref="G11:H11"/>
    <mergeCell ref="B12:B13"/>
    <mergeCell ref="E12:F12"/>
    <mergeCell ref="G12:H12"/>
    <mergeCell ref="I12:J12"/>
    <mergeCell ref="B14:B15"/>
    <mergeCell ref="I13:I14"/>
    <mergeCell ref="J13:J14"/>
    <mergeCell ref="I11:J11"/>
    <mergeCell ref="AC3:AF3"/>
    <mergeCell ref="AC4:AF4"/>
    <mergeCell ref="K17:L17"/>
    <mergeCell ref="I19:L19"/>
    <mergeCell ref="I20:L20"/>
    <mergeCell ref="I3:L3"/>
    <mergeCell ref="I4:L4"/>
    <mergeCell ref="I5:L5"/>
    <mergeCell ref="M9:P9"/>
    <mergeCell ref="M10:N10"/>
    <mergeCell ref="O10:P10"/>
    <mergeCell ref="O11:P11"/>
    <mergeCell ref="O12:P12"/>
    <mergeCell ref="O13:O14"/>
    <mergeCell ref="P13:P14"/>
    <mergeCell ref="O16:P16"/>
    <mergeCell ref="O17:P17"/>
    <mergeCell ref="M19:P19"/>
    <mergeCell ref="M20:P20"/>
    <mergeCell ref="M3:P3"/>
    <mergeCell ref="AE12:AF12"/>
    <mergeCell ref="M4:P4"/>
    <mergeCell ref="M5:P5"/>
    <mergeCell ref="M12:N12"/>
    <mergeCell ref="M13:M14"/>
    <mergeCell ref="Q3:T3"/>
    <mergeCell ref="Q4:T4"/>
    <mergeCell ref="Q5:T5"/>
    <mergeCell ref="U3:X3"/>
    <mergeCell ref="Y3:AB3"/>
    <mergeCell ref="U4:X4"/>
    <mergeCell ref="Y4:AB4"/>
    <mergeCell ref="U5:X5"/>
    <mergeCell ref="Y5:AB5"/>
    <mergeCell ref="Y9:AB9"/>
    <mergeCell ref="W11:X11"/>
    <mergeCell ref="Y12:Z12"/>
    <mergeCell ref="Q13:Q14"/>
    <mergeCell ref="R13:R14"/>
    <mergeCell ref="S13:S14"/>
    <mergeCell ref="T13:T14"/>
    <mergeCell ref="W13:W14"/>
    <mergeCell ref="AA13:AA14"/>
    <mergeCell ref="AB13:AB14"/>
    <mergeCell ref="AE13:AE14"/>
    <mergeCell ref="AF13:AF14"/>
    <mergeCell ref="AE17:AF17"/>
    <mergeCell ref="AC12:AD12"/>
    <mergeCell ref="AC9:AF9"/>
    <mergeCell ref="Q10:R10"/>
    <mergeCell ref="S10:T10"/>
    <mergeCell ref="U10:V10"/>
    <mergeCell ref="W10:X10"/>
    <mergeCell ref="Y10:Z10"/>
    <mergeCell ref="AA10:AB10"/>
    <mergeCell ref="AC10:AD10"/>
    <mergeCell ref="AE10:AF10"/>
    <mergeCell ref="Q9:T9"/>
    <mergeCell ref="U9:X9"/>
    <mergeCell ref="Q12:R12"/>
    <mergeCell ref="Q11:R11"/>
    <mergeCell ref="U12:V12"/>
    <mergeCell ref="S11:T11"/>
    <mergeCell ref="S12:T12"/>
    <mergeCell ref="W12:X12"/>
    <mergeCell ref="AA11:AB11"/>
    <mergeCell ref="AA12:AB12"/>
    <mergeCell ref="AE11:AF11"/>
  </mergeCells>
  <conditionalFormatting sqref="M16:N16 Q16:R16 E16:J16 U16:V16 Y16:Z16 AC16:AD16">
    <cfRule type="colorScale" priority="1981">
      <colorScale>
        <cfvo type="min"/>
        <cfvo type="percentile" val="50"/>
        <cfvo type="max"/>
        <color rgb="FFF8696B"/>
        <color rgb="FFFFEB84"/>
        <color rgb="FF63BE7B"/>
      </colorScale>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872D9-7F25-47D6-85BE-CB047E0BD1CF}">
  <sheetPr codeName="Hoja42">
    <tabColor rgb="FFFFC000"/>
  </sheetPr>
  <dimension ref="A1:T106"/>
  <sheetViews>
    <sheetView zoomScale="90" zoomScaleNormal="90" workbookViewId="0">
      <selection activeCell="D59" sqref="D59"/>
    </sheetView>
  </sheetViews>
  <sheetFormatPr baseColWidth="10" defaultColWidth="11" defaultRowHeight="15" x14ac:dyDescent="0.25"/>
  <cols>
    <col min="1" max="1" width="14.125" style="152" customWidth="1"/>
    <col min="2" max="2" width="88.625" customWidth="1"/>
    <col min="3" max="3" width="21.625" customWidth="1"/>
    <col min="4" max="4" width="17.5" customWidth="1"/>
    <col min="5" max="5" width="18" customWidth="1"/>
    <col min="6" max="6" width="18.25" customWidth="1"/>
    <col min="7" max="7" width="23.5" customWidth="1"/>
    <col min="8" max="8" width="19.625" customWidth="1"/>
    <col min="9" max="9" width="20.875" customWidth="1"/>
    <col min="10" max="10" width="21.875" customWidth="1"/>
    <col min="11" max="11" width="20.125" customWidth="1"/>
    <col min="12" max="12" width="21" customWidth="1"/>
    <col min="13" max="13" width="29.875" customWidth="1"/>
    <col min="14" max="14" width="17.375" bestFit="1" customWidth="1"/>
    <col min="15" max="15" width="17.25" bestFit="1" customWidth="1"/>
    <col min="16" max="16" width="11.125" bestFit="1" customWidth="1"/>
    <col min="17" max="17" width="12.125" bestFit="1" customWidth="1"/>
  </cols>
  <sheetData>
    <row r="1" spans="1:13" x14ac:dyDescent="0.25">
      <c r="B1" s="1289" t="s">
        <v>12</v>
      </c>
      <c r="C1" s="1290">
        <f>+PARÁMETROS!$C$9</f>
        <v>3.559586E-2</v>
      </c>
      <c r="D1" s="1291">
        <f t="shared" ref="D1:M1" si="0">+C1</f>
        <v>3.559586E-2</v>
      </c>
      <c r="E1" s="1291">
        <f t="shared" si="0"/>
        <v>3.559586E-2</v>
      </c>
      <c r="F1" s="1291">
        <f t="shared" si="0"/>
        <v>3.559586E-2</v>
      </c>
      <c r="G1" s="1291">
        <f t="shared" si="0"/>
        <v>3.559586E-2</v>
      </c>
      <c r="H1" s="1291">
        <f t="shared" si="0"/>
        <v>3.559586E-2</v>
      </c>
      <c r="I1" s="1291">
        <f t="shared" si="0"/>
        <v>3.559586E-2</v>
      </c>
      <c r="J1" s="1291">
        <f t="shared" si="0"/>
        <v>3.559586E-2</v>
      </c>
      <c r="K1" s="1291">
        <f t="shared" si="0"/>
        <v>3.559586E-2</v>
      </c>
      <c r="L1" s="1291">
        <f t="shared" si="0"/>
        <v>3.559586E-2</v>
      </c>
      <c r="M1" s="1291">
        <f t="shared" si="0"/>
        <v>3.559586E-2</v>
      </c>
    </row>
    <row r="2" spans="1:13" ht="15.75" thickBot="1" x14ac:dyDescent="0.3">
      <c r="B2" s="1292" t="s">
        <v>1101</v>
      </c>
      <c r="C2" s="1293">
        <f>+PARÁMETROS!$C$8</f>
        <v>0.16276703160799988</v>
      </c>
      <c r="E2" s="1072"/>
      <c r="F2" s="1072"/>
    </row>
    <row r="3" spans="1:13" ht="15.75" thickBot="1" x14ac:dyDescent="0.3">
      <c r="C3" s="1294">
        <v>0</v>
      </c>
      <c r="D3" s="1294">
        <v>1</v>
      </c>
      <c r="E3" s="1294">
        <f>+D3+1</f>
        <v>2</v>
      </c>
      <c r="F3" s="1294">
        <f t="shared" ref="F3:M3" si="1">+E3+1</f>
        <v>3</v>
      </c>
      <c r="G3" s="1294">
        <f t="shared" si="1"/>
        <v>4</v>
      </c>
      <c r="H3" s="1294">
        <f t="shared" si="1"/>
        <v>5</v>
      </c>
      <c r="I3" s="1294">
        <f t="shared" si="1"/>
        <v>6</v>
      </c>
      <c r="J3" s="1294">
        <f t="shared" si="1"/>
        <v>7</v>
      </c>
      <c r="K3" s="1294">
        <f t="shared" si="1"/>
        <v>8</v>
      </c>
      <c r="L3" s="1294">
        <f t="shared" si="1"/>
        <v>9</v>
      </c>
      <c r="M3" s="1294">
        <f t="shared" si="1"/>
        <v>10</v>
      </c>
    </row>
    <row r="4" spans="1:13" ht="17.100000000000001" customHeight="1" thickBot="1" x14ac:dyDescent="0.3">
      <c r="B4" s="1295" t="s">
        <v>1102</v>
      </c>
      <c r="C4" s="1296">
        <f>+'RESUMEN FINANCIERO'!$H$2</f>
        <v>2025</v>
      </c>
      <c r="D4" s="1296">
        <f t="shared" ref="D4:M4" si="2">+C4+1</f>
        <v>2026</v>
      </c>
      <c r="E4" s="1296">
        <f t="shared" si="2"/>
        <v>2027</v>
      </c>
      <c r="F4" s="1296">
        <f t="shared" si="2"/>
        <v>2028</v>
      </c>
      <c r="G4" s="1296">
        <f t="shared" si="2"/>
        <v>2029</v>
      </c>
      <c r="H4" s="1296">
        <f t="shared" si="2"/>
        <v>2030</v>
      </c>
      <c r="I4" s="1296">
        <f t="shared" si="2"/>
        <v>2031</v>
      </c>
      <c r="J4" s="1296">
        <f t="shared" si="2"/>
        <v>2032</v>
      </c>
      <c r="K4" s="1296">
        <f t="shared" si="2"/>
        <v>2033</v>
      </c>
      <c r="L4" s="1296">
        <f t="shared" si="2"/>
        <v>2034</v>
      </c>
      <c r="M4" s="1297">
        <f t="shared" si="2"/>
        <v>2035</v>
      </c>
    </row>
    <row r="5" spans="1:13" x14ac:dyDescent="0.25">
      <c r="A5" s="1298" t="s">
        <v>1103</v>
      </c>
      <c r="B5" s="1299" t="s">
        <v>1104</v>
      </c>
      <c r="C5" s="1300"/>
      <c r="D5" s="1437">
        <f>+PARÁMETROS!C15</f>
        <v>12027.92</v>
      </c>
      <c r="E5" s="1437">
        <f t="shared" ref="E5:M6" si="3">D5*(1+E$1)</f>
        <v>12456.064156411199</v>
      </c>
      <c r="F5" s="1437">
        <f t="shared" si="3"/>
        <v>12899.448472273829</v>
      </c>
      <c r="G5" s="1437">
        <f t="shared" si="3"/>
        <v>13358.6154341701</v>
      </c>
      <c r="H5" s="1437">
        <f t="shared" si="3"/>
        <v>13834.126838958657</v>
      </c>
      <c r="I5" s="1437">
        <f t="shared" si="3"/>
        <v>14326.564481140471</v>
      </c>
      <c r="J5" s="1437">
        <f t="shared" si="3"/>
        <v>14836.530864692118</v>
      </c>
      <c r="K5" s="1437">
        <f t="shared" si="3"/>
        <v>15364.649940237377</v>
      </c>
      <c r="L5" s="1437">
        <f t="shared" si="3"/>
        <v>15911.567868459075</v>
      </c>
      <c r="M5" s="1437">
        <f t="shared" si="3"/>
        <v>16477.953810685241</v>
      </c>
    </row>
    <row r="6" spans="1:13" ht="17.25" x14ac:dyDescent="0.25">
      <c r="A6" s="1298" t="s">
        <v>1103</v>
      </c>
      <c r="B6" s="1301" t="s">
        <v>1105</v>
      </c>
      <c r="C6" s="1302"/>
      <c r="D6" s="1303">
        <f>+PARÁMETROS!C16</f>
        <v>3572.41</v>
      </c>
      <c r="E6" s="1303">
        <f t="shared" si="3"/>
        <v>3699.5730062225994</v>
      </c>
      <c r="F6" s="1303">
        <f t="shared" si="3"/>
        <v>3831.2624890118777</v>
      </c>
      <c r="G6" s="1303">
        <f t="shared" si="3"/>
        <v>3967.6395721939957</v>
      </c>
      <c r="H6" s="1303">
        <f t="shared" si="3"/>
        <v>4108.8711149362725</v>
      </c>
      <c r="I6" s="1303">
        <f t="shared" si="3"/>
        <v>4255.129915901588</v>
      </c>
      <c r="J6" s="1303">
        <f t="shared" si="3"/>
        <v>4406.5949246698319</v>
      </c>
      <c r="K6" s="1303">
        <f t="shared" si="3"/>
        <v>4563.4514606850898</v>
      </c>
      <c r="L6" s="1303">
        <f t="shared" si="3"/>
        <v>4725.8914399964315</v>
      </c>
      <c r="M6" s="1303">
        <f t="shared" si="3"/>
        <v>4894.1136100697422</v>
      </c>
    </row>
    <row r="7" spans="1:13" x14ac:dyDescent="0.25">
      <c r="A7" s="1298" t="s">
        <v>1103</v>
      </c>
      <c r="B7" s="1301" t="s">
        <v>1106</v>
      </c>
      <c r="C7" s="1304"/>
      <c r="D7" s="1304">
        <f>+'CMO PPERDIDAS'!H24</f>
        <v>52.268200994790469</v>
      </c>
      <c r="E7" s="1303">
        <f>+'CMO PPERDIDAS'!I24</f>
        <v>54.128732559852885</v>
      </c>
      <c r="F7" s="1303">
        <f>+'CMO PPERDIDAS'!J24</f>
        <v>56.055491346030848</v>
      </c>
      <c r="G7" s="1303">
        <f>+'CMO PPERDIDAS'!K24</f>
        <v>58.050834768215367</v>
      </c>
      <c r="H7" s="1303">
        <f>+'CMO PPERDIDAS'!L24</f>
        <v>60.117204155507892</v>
      </c>
      <c r="I7" s="1303">
        <f>+'CMO PPERDIDAS'!M24</f>
        <v>62.257127738218763</v>
      </c>
      <c r="J7" s="1303">
        <f>+'CMO PPERDIDAS'!N24</f>
        <v>64.473223741190509</v>
      </c>
      <c r="K7" s="1303">
        <f>+'CMO PPERDIDAS'!O24</f>
        <v>66.768203587230602</v>
      </c>
      <c r="L7" s="1303">
        <f>+'CMO PPERDIDAS'!P24</f>
        <v>69.144875214573162</v>
      </c>
      <c r="M7" s="1303">
        <f>+'CMO PPERDIDAS'!Q24</f>
        <v>71.606146512428566</v>
      </c>
    </row>
    <row r="8" spans="1:13" ht="17.25" x14ac:dyDescent="0.25">
      <c r="A8" s="1298" t="s">
        <v>1103</v>
      </c>
      <c r="B8" s="1301" t="s">
        <v>1107</v>
      </c>
      <c r="C8" s="1304"/>
      <c r="D8" s="1304">
        <f>+'CMI POIR PPERDIDAS'!K759</f>
        <v>52.967791299752825</v>
      </c>
      <c r="E8" s="1304">
        <f>+'CMI POIR PPERDIDAS'!L759</f>
        <v>54.853225383368041</v>
      </c>
      <c r="F8" s="1304">
        <f>+'CMI POIR PPERDIDAS'!M759</f>
        <v>56.805773114662848</v>
      </c>
      <c r="G8" s="1304">
        <f>+'CMI POIR PPERDIDAS'!N759</f>
        <v>58.827823461644151</v>
      </c>
      <c r="H8" s="1304">
        <f>+'CMI POIR PPERDIDAS'!O759</f>
        <v>60.921850429689549</v>
      </c>
      <c r="I8" s="1304">
        <f>+'CMI POIR PPERDIDAS'!P759</f>
        <v>63.090416088525707</v>
      </c>
      <c r="J8" s="1304">
        <f>+'CMI POIR PPERDIDAS'!Q759</f>
        <v>65.336173706954611</v>
      </c>
      <c r="K8" s="1304">
        <f>+'CMI POIR PPERDIDAS'!R759</f>
        <v>67.661870999163042</v>
      </c>
      <c r="L8" s="1304">
        <f>+'CMI POIR PPERDIDAS'!S759</f>
        <v>70.070353486587308</v>
      </c>
      <c r="M8" s="1304">
        <f>+'CMI POIR PPERDIDAS'!T759</f>
        <v>72.564567979446366</v>
      </c>
    </row>
    <row r="9" spans="1:13" ht="18" thickBot="1" x14ac:dyDescent="0.3">
      <c r="A9" s="1298" t="s">
        <v>1103</v>
      </c>
      <c r="B9" s="1305" t="s">
        <v>1108</v>
      </c>
      <c r="C9" s="1306"/>
      <c r="D9" s="1306"/>
      <c r="E9" s="1306"/>
      <c r="F9" s="1306"/>
      <c r="G9" s="1306"/>
      <c r="H9" s="1306"/>
      <c r="I9" s="1306"/>
      <c r="J9" s="1306"/>
      <c r="K9" s="1306"/>
      <c r="L9" s="1306"/>
      <c r="M9" s="1306"/>
    </row>
    <row r="10" spans="1:13" x14ac:dyDescent="0.25">
      <c r="A10" s="1298" t="s">
        <v>1103</v>
      </c>
      <c r="B10" s="1299" t="s">
        <v>240</v>
      </c>
      <c r="C10" s="1307"/>
      <c r="D10" s="1307">
        <f>+PARÁMETROS!C13</f>
        <v>240.70071704065188</v>
      </c>
      <c r="E10" s="1307">
        <f t="shared" ref="D10:M13" si="4">D10*(1+E$1)</f>
        <v>249.26866606633052</v>
      </c>
      <c r="F10" s="1307">
        <f t="shared" si="4"/>
        <v>258.14159860601438</v>
      </c>
      <c r="G10" s="1307">
        <f t="shared" si="4"/>
        <v>267.33037081017022</v>
      </c>
      <c r="H10" s="1307">
        <f t="shared" si="4"/>
        <v>276.84622526327712</v>
      </c>
      <c r="I10" s="1307">
        <f t="shared" si="4"/>
        <v>286.70080473927715</v>
      </c>
      <c r="J10" s="1307">
        <f t="shared" si="4"/>
        <v>296.90616644666375</v>
      </c>
      <c r="K10" s="1307">
        <f t="shared" si="4"/>
        <v>307.47479678063587</v>
      </c>
      <c r="L10" s="1307">
        <f t="shared" si="4"/>
        <v>318.41962660036779</v>
      </c>
      <c r="M10" s="1307">
        <f t="shared" si="4"/>
        <v>329.75404705008674</v>
      </c>
    </row>
    <row r="11" spans="1:13" ht="15.75" thickBot="1" x14ac:dyDescent="0.3">
      <c r="A11" s="1298" t="s">
        <v>1103</v>
      </c>
      <c r="B11" s="1308" t="s">
        <v>241</v>
      </c>
      <c r="C11" s="1309"/>
      <c r="D11" s="1309">
        <f>+PARÁMETROS!C12</f>
        <v>44.838664438044702</v>
      </c>
      <c r="E11" s="1309">
        <f t="shared" si="4"/>
        <v>46.434735259968313</v>
      </c>
      <c r="F11" s="1309">
        <f t="shared" si="4"/>
        <v>48.087619595419206</v>
      </c>
      <c r="G11" s="1309">
        <f t="shared" si="4"/>
        <v>49.799339770271004</v>
      </c>
      <c r="H11" s="1309">
        <f t="shared" si="4"/>
        <v>51.571990096825999</v>
      </c>
      <c r="I11" s="1309">
        <f t="shared" si="4"/>
        <v>53.407739436234003</v>
      </c>
      <c r="J11" s="1309">
        <f t="shared" si="4"/>
        <v>55.30883385212266</v>
      </c>
      <c r="K11" s="1309">
        <f t="shared" si="4"/>
        <v>57.277599358686075</v>
      </c>
      <c r="L11" s="1309">
        <f t="shared" si="4"/>
        <v>59.316444766593953</v>
      </c>
      <c r="M11" s="1309">
        <f t="shared" si="4"/>
        <v>61.427864630203359</v>
      </c>
    </row>
    <row r="12" spans="1:13" x14ac:dyDescent="0.25">
      <c r="A12" s="1298" t="s">
        <v>1109</v>
      </c>
      <c r="B12" s="1310" t="s">
        <v>1104</v>
      </c>
      <c r="C12" s="1311"/>
      <c r="D12" s="1311">
        <f t="shared" si="4"/>
        <v>0</v>
      </c>
      <c r="E12" s="1311">
        <f t="shared" si="4"/>
        <v>0</v>
      </c>
      <c r="F12" s="1311">
        <f t="shared" si="4"/>
        <v>0</v>
      </c>
      <c r="G12" s="1311">
        <f t="shared" si="4"/>
        <v>0</v>
      </c>
      <c r="H12" s="1311">
        <f t="shared" si="4"/>
        <v>0</v>
      </c>
      <c r="I12" s="1311">
        <f t="shared" si="4"/>
        <v>0</v>
      </c>
      <c r="J12" s="1311">
        <f t="shared" si="4"/>
        <v>0</v>
      </c>
      <c r="K12" s="1311">
        <f t="shared" si="4"/>
        <v>0</v>
      </c>
      <c r="L12" s="1311">
        <f t="shared" si="4"/>
        <v>0</v>
      </c>
      <c r="M12" s="1311">
        <f t="shared" si="4"/>
        <v>0</v>
      </c>
    </row>
    <row r="13" spans="1:13" ht="17.25" x14ac:dyDescent="0.25">
      <c r="A13" s="1298" t="s">
        <v>1109</v>
      </c>
      <c r="B13" s="1301" t="s">
        <v>1105</v>
      </c>
      <c r="C13" s="1302"/>
      <c r="D13" s="1302">
        <f t="shared" si="4"/>
        <v>0</v>
      </c>
      <c r="E13" s="1302">
        <f t="shared" si="4"/>
        <v>0</v>
      </c>
      <c r="F13" s="1302">
        <f t="shared" si="4"/>
        <v>0</v>
      </c>
      <c r="G13" s="1302">
        <f t="shared" si="4"/>
        <v>0</v>
      </c>
      <c r="H13" s="1302">
        <f t="shared" si="4"/>
        <v>0</v>
      </c>
      <c r="I13" s="1302">
        <f t="shared" si="4"/>
        <v>0</v>
      </c>
      <c r="J13" s="1302">
        <f t="shared" si="4"/>
        <v>0</v>
      </c>
      <c r="K13" s="1302">
        <f t="shared" si="4"/>
        <v>0</v>
      </c>
      <c r="L13" s="1302">
        <f t="shared" si="4"/>
        <v>0</v>
      </c>
      <c r="M13" s="1302">
        <f t="shared" si="4"/>
        <v>0</v>
      </c>
    </row>
    <row r="14" spans="1:13" ht="17.25" x14ac:dyDescent="0.25">
      <c r="A14" s="1298" t="s">
        <v>1109</v>
      </c>
      <c r="B14" s="1301" t="s">
        <v>1110</v>
      </c>
      <c r="C14" s="1304"/>
      <c r="D14" s="1304"/>
      <c r="E14" s="1304"/>
      <c r="F14" s="1304"/>
      <c r="G14" s="1304"/>
      <c r="H14" s="1304"/>
      <c r="I14" s="1304"/>
      <c r="J14" s="1304"/>
      <c r="K14" s="1304"/>
      <c r="L14" s="1304"/>
      <c r="M14" s="1304"/>
    </row>
    <row r="15" spans="1:13" ht="18" thickBot="1" x14ac:dyDescent="0.3">
      <c r="A15" s="1298" t="s">
        <v>1109</v>
      </c>
      <c r="B15" s="1308" t="s">
        <v>1108</v>
      </c>
      <c r="C15" s="1309"/>
      <c r="D15" s="1309"/>
      <c r="E15" s="1312"/>
      <c r="F15" s="1312"/>
      <c r="G15" s="1312"/>
      <c r="H15" s="1312"/>
      <c r="I15" s="1312"/>
      <c r="J15" s="1312"/>
      <c r="K15" s="1312"/>
      <c r="L15" s="1312"/>
      <c r="M15" s="1312"/>
    </row>
    <row r="16" spans="1:13" ht="15.75" thickBot="1" x14ac:dyDescent="0.3">
      <c r="B16" s="1295" t="s">
        <v>1111</v>
      </c>
      <c r="C16" s="1297">
        <f>+C4</f>
        <v>2025</v>
      </c>
      <c r="D16" s="1297">
        <f t="shared" ref="D16:M16" si="5">+C16+1</f>
        <v>2026</v>
      </c>
      <c r="E16" s="1297">
        <f t="shared" si="5"/>
        <v>2027</v>
      </c>
      <c r="F16" s="1297">
        <f t="shared" si="5"/>
        <v>2028</v>
      </c>
      <c r="G16" s="1297">
        <f t="shared" si="5"/>
        <v>2029</v>
      </c>
      <c r="H16" s="1297">
        <f t="shared" si="5"/>
        <v>2030</v>
      </c>
      <c r="I16" s="1297">
        <f t="shared" si="5"/>
        <v>2031</v>
      </c>
      <c r="J16" s="1297">
        <f t="shared" si="5"/>
        <v>2032</v>
      </c>
      <c r="K16" s="1297">
        <f t="shared" si="5"/>
        <v>2033</v>
      </c>
      <c r="L16" s="1297">
        <f t="shared" si="5"/>
        <v>2034</v>
      </c>
      <c r="M16" s="1297">
        <f t="shared" si="5"/>
        <v>2035</v>
      </c>
    </row>
    <row r="17" spans="1:15" x14ac:dyDescent="0.25">
      <c r="A17" s="152" t="s">
        <v>1103</v>
      </c>
      <c r="B17" s="1310" t="s">
        <v>1112</v>
      </c>
      <c r="C17" s="1313"/>
      <c r="D17" s="1313"/>
      <c r="E17" s="1313"/>
      <c r="F17" s="1313"/>
      <c r="G17" s="1313"/>
      <c r="H17" s="1313"/>
      <c r="I17" s="1313"/>
      <c r="J17" s="1313"/>
      <c r="K17" s="1313"/>
      <c r="L17" s="1313"/>
      <c r="M17" s="1313"/>
    </row>
    <row r="18" spans="1:15" x14ac:dyDescent="0.25">
      <c r="A18" s="152" t="s">
        <v>1103</v>
      </c>
      <c r="B18" s="1301" t="s">
        <v>1113</v>
      </c>
      <c r="C18" s="1313"/>
      <c r="D18" s="1313">
        <f>+'RESUMEN FINANCIERO'!I148</f>
        <v>1758</v>
      </c>
      <c r="E18" s="1313">
        <f>+'RESUMEN FINANCIERO'!J148</f>
        <v>1758</v>
      </c>
      <c r="F18" s="1313">
        <f>+'RESUMEN FINANCIERO'!K148</f>
        <v>1758</v>
      </c>
      <c r="G18" s="1313">
        <f>+'RESUMEN FINANCIERO'!L148</f>
        <v>2344</v>
      </c>
      <c r="H18" s="1313">
        <f>+'RESUMEN FINANCIERO'!M148</f>
        <v>2344</v>
      </c>
      <c r="I18" s="1313">
        <f>+'RESUMEN FINANCIERO'!N148</f>
        <v>0</v>
      </c>
      <c r="J18" s="1313">
        <f>+'RESUMEN FINANCIERO'!O148</f>
        <v>0</v>
      </c>
      <c r="K18" s="1313">
        <f>+'RESUMEN FINANCIERO'!P148</f>
        <v>0</v>
      </c>
      <c r="L18" s="1313">
        <f>+'RESUMEN FINANCIERO'!Q148</f>
        <v>0</v>
      </c>
      <c r="M18" s="1313">
        <f>+'RESUMEN FINANCIERO'!R148</f>
        <v>0</v>
      </c>
    </row>
    <row r="19" spans="1:15" ht="17.25" x14ac:dyDescent="0.25">
      <c r="A19" s="152" t="s">
        <v>1103</v>
      </c>
      <c r="B19" s="1301" t="s">
        <v>1114</v>
      </c>
      <c r="C19" s="1313"/>
      <c r="D19" s="1313">
        <f>+'EV PROG CCIALES'!K112</f>
        <v>57381362.231400006</v>
      </c>
      <c r="E19" s="1313">
        <f>+'EV PROG CCIALES'!L112</f>
        <v>59731641</v>
      </c>
      <c r="F19" s="1313">
        <f>+'EV PROG CCIALES'!M112</f>
        <v>60100673</v>
      </c>
      <c r="G19" s="1313">
        <f>+'EV PROG CCIALES'!N112</f>
        <v>60553470</v>
      </c>
      <c r="H19" s="1313">
        <f>+'EV PROG CCIALES'!O112</f>
        <v>61116311</v>
      </c>
      <c r="I19" s="1313">
        <f>+'EV PROG CCIALES'!P112</f>
        <v>61473228.050212145</v>
      </c>
      <c r="J19" s="1313">
        <f>+'EV PROG CCIALES'!Q112</f>
        <v>62103401.234457493</v>
      </c>
      <c r="K19" s="1313">
        <f>+'EV PROG CCIALES'!R112</f>
        <v>62733574.418702841</v>
      </c>
      <c r="L19" s="1313">
        <f>+'EV PROG CCIALES'!S112</f>
        <v>63363747.602948427</v>
      </c>
      <c r="M19" s="1313">
        <f>+'EV PROG CCIALES'!T112</f>
        <v>63993920.787194014</v>
      </c>
    </row>
    <row r="20" spans="1:15" ht="17.25" x14ac:dyDescent="0.25">
      <c r="A20" s="152" t="s">
        <v>1103</v>
      </c>
      <c r="B20" s="1301" t="s">
        <v>1115</v>
      </c>
      <c r="C20" s="1313"/>
      <c r="D20" s="1313">
        <f>+'RESUMEN FINANCIERO'!I132</f>
        <v>927781.64047894638</v>
      </c>
      <c r="E20" s="1313">
        <f>+'RESUMEN FINANCIERO'!J132</f>
        <v>1313881.2166365557</v>
      </c>
      <c r="F20" s="1313">
        <f>+'RESUMEN FINANCIERO'!K132</f>
        <v>1665540.9159619883</v>
      </c>
      <c r="G20" s="1313">
        <f>+'RESUMEN FINANCIERO'!L132</f>
        <v>2050943.7535090505</v>
      </c>
      <c r="H20" s="1313">
        <f>+'RESUMEN FINANCIERO'!M132</f>
        <v>2362995.2047676453</v>
      </c>
      <c r="I20" s="1313">
        <f>+'RESUMEN FINANCIERO'!N132</f>
        <v>784086.8</v>
      </c>
      <c r="J20" s="1313">
        <f>+'RESUMEN FINANCIERO'!O132</f>
        <v>814371.6</v>
      </c>
      <c r="K20" s="1313">
        <f>+'RESUMEN FINANCIERO'!P132</f>
        <v>819129.39999999991</v>
      </c>
      <c r="L20" s="1313">
        <f>+'RESUMEN FINANCIERO'!Q132</f>
        <v>798678.2</v>
      </c>
      <c r="M20" s="1313">
        <f>+'RESUMEN FINANCIERO'!R132</f>
        <v>753332</v>
      </c>
      <c r="O20" s="1314"/>
    </row>
    <row r="21" spans="1:15" ht="17.25" x14ac:dyDescent="0.25">
      <c r="A21" s="152" t="s">
        <v>1103</v>
      </c>
      <c r="B21" s="1301" t="s">
        <v>1116</v>
      </c>
      <c r="C21" s="1313"/>
      <c r="D21" s="1313">
        <f>+'RESUMEN FINANCIERO'!I131</f>
        <v>847139.72604797326</v>
      </c>
      <c r="E21" s="1313">
        <f>+'RESUMEN FINANCIERO'!J131</f>
        <v>4504035.1480943458</v>
      </c>
      <c r="F21" s="1313">
        <f>+'RESUMEN FINANCIERO'!K131</f>
        <v>5815352.9316229867</v>
      </c>
      <c r="G21" s="1313">
        <f>+'RESUMEN FINANCIERO'!L131</f>
        <v>6132607.6342735272</v>
      </c>
      <c r="H21" s="1313">
        <f>+'RESUMEN FINANCIERO'!M131</f>
        <v>7586977.9863827638</v>
      </c>
      <c r="I21" s="1313">
        <f>+'RESUMEN FINANCIERO'!N131</f>
        <v>8911727.8208676614</v>
      </c>
      <c r="J21" s="1313">
        <f>+'RESUMEN FINANCIERO'!O131</f>
        <v>6880817.0318179</v>
      </c>
      <c r="K21" s="1313">
        <f>+'RESUMEN FINANCIERO'!P131</f>
        <v>7580533.2248991504</v>
      </c>
      <c r="L21" s="1313">
        <f>+'RESUMEN FINANCIERO'!Q131</f>
        <v>8005162.10024013</v>
      </c>
      <c r="M21" s="1313">
        <f>+'RESUMEN FINANCIERO'!R131</f>
        <v>8539025.318277562</v>
      </c>
      <c r="O21" s="265"/>
    </row>
    <row r="22" spans="1:15" x14ac:dyDescent="0.25">
      <c r="A22" s="152" t="s">
        <v>1109</v>
      </c>
      <c r="B22" s="1301" t="s">
        <v>1113</v>
      </c>
      <c r="C22" s="1313"/>
      <c r="D22" s="1313">
        <f t="shared" ref="D22:M22" si="6">+D18</f>
        <v>1758</v>
      </c>
      <c r="E22" s="1313">
        <f t="shared" si="6"/>
        <v>1758</v>
      </c>
      <c r="F22" s="1313">
        <f t="shared" si="6"/>
        <v>1758</v>
      </c>
      <c r="G22" s="1313">
        <f t="shared" si="6"/>
        <v>2344</v>
      </c>
      <c r="H22" s="1313">
        <f t="shared" si="6"/>
        <v>2344</v>
      </c>
      <c r="I22" s="1313">
        <f t="shared" si="6"/>
        <v>0</v>
      </c>
      <c r="J22" s="1313">
        <f t="shared" si="6"/>
        <v>0</v>
      </c>
      <c r="K22" s="1313">
        <f t="shared" si="6"/>
        <v>0</v>
      </c>
      <c r="L22" s="1313">
        <f t="shared" si="6"/>
        <v>0</v>
      </c>
      <c r="M22" s="1313">
        <f t="shared" si="6"/>
        <v>0</v>
      </c>
      <c r="O22" s="1314"/>
    </row>
    <row r="23" spans="1:15" ht="15.75" thickBot="1" x14ac:dyDescent="0.3">
      <c r="A23" s="152" t="s">
        <v>1109</v>
      </c>
      <c r="B23" s="1308" t="s">
        <v>1117</v>
      </c>
      <c r="C23" s="1315"/>
      <c r="D23" s="1315">
        <f t="shared" ref="D23:M23" si="7">+D20</f>
        <v>927781.64047894638</v>
      </c>
      <c r="E23" s="1315">
        <f t="shared" si="7"/>
        <v>1313881.2166365557</v>
      </c>
      <c r="F23" s="1315">
        <f t="shared" si="7"/>
        <v>1665540.9159619883</v>
      </c>
      <c r="G23" s="1315">
        <f t="shared" si="7"/>
        <v>2050943.7535090505</v>
      </c>
      <c r="H23" s="1315">
        <f t="shared" si="7"/>
        <v>2362995.2047676453</v>
      </c>
      <c r="I23" s="1315">
        <f t="shared" si="7"/>
        <v>784086.8</v>
      </c>
      <c r="J23" s="1315">
        <f t="shared" si="7"/>
        <v>814371.6</v>
      </c>
      <c r="K23" s="1315">
        <f t="shared" si="7"/>
        <v>819129.39999999991</v>
      </c>
      <c r="L23" s="1315">
        <f t="shared" si="7"/>
        <v>798678.2</v>
      </c>
      <c r="M23" s="1315">
        <f t="shared" si="7"/>
        <v>753332</v>
      </c>
      <c r="O23" s="1314"/>
    </row>
    <row r="24" spans="1:15" ht="15.75" thickBot="1" x14ac:dyDescent="0.3">
      <c r="C24" s="265"/>
      <c r="D24" s="265"/>
      <c r="E24" s="265"/>
      <c r="F24" s="265"/>
      <c r="G24" s="265"/>
      <c r="H24" s="265"/>
      <c r="I24" s="265"/>
      <c r="J24" s="265"/>
      <c r="K24" s="265"/>
      <c r="L24" s="265"/>
      <c r="M24" s="265"/>
    </row>
    <row r="25" spans="1:15" ht="17.100000000000001" customHeight="1" thickBot="1" x14ac:dyDescent="0.3">
      <c r="B25" s="1910" t="s">
        <v>362</v>
      </c>
      <c r="C25" s="1296">
        <f>+C4</f>
        <v>2025</v>
      </c>
      <c r="D25" s="1296">
        <f t="shared" ref="D25:M25" si="8">+C25+1</f>
        <v>2026</v>
      </c>
      <c r="E25" s="1296">
        <f t="shared" si="8"/>
        <v>2027</v>
      </c>
      <c r="F25" s="1296">
        <f t="shared" si="8"/>
        <v>2028</v>
      </c>
      <c r="G25" s="1296">
        <f t="shared" si="8"/>
        <v>2029</v>
      </c>
      <c r="H25" s="1296">
        <f t="shared" si="8"/>
        <v>2030</v>
      </c>
      <c r="I25" s="1296">
        <f t="shared" si="8"/>
        <v>2031</v>
      </c>
      <c r="J25" s="1296">
        <f t="shared" si="8"/>
        <v>2032</v>
      </c>
      <c r="K25" s="1296">
        <f t="shared" si="8"/>
        <v>2033</v>
      </c>
      <c r="L25" s="1296">
        <f t="shared" si="8"/>
        <v>2034</v>
      </c>
      <c r="M25" s="1297">
        <f t="shared" si="8"/>
        <v>2035</v>
      </c>
    </row>
    <row r="26" spans="1:15" ht="15.75" hidden="1" thickBot="1" x14ac:dyDescent="0.3">
      <c r="B26" s="1911"/>
      <c r="C26" s="1316">
        <v>2022</v>
      </c>
      <c r="D26" s="1316">
        <v>2023</v>
      </c>
      <c r="E26" s="1316">
        <v>2024</v>
      </c>
      <c r="F26" s="1316">
        <v>2025</v>
      </c>
      <c r="G26" s="1316">
        <v>2026</v>
      </c>
      <c r="H26" s="1316">
        <v>2027</v>
      </c>
      <c r="I26" s="1316">
        <v>2028</v>
      </c>
      <c r="J26" s="1316">
        <v>2029</v>
      </c>
      <c r="K26" s="1316">
        <v>2030</v>
      </c>
      <c r="L26" s="1316">
        <v>2031</v>
      </c>
      <c r="M26" s="1316">
        <v>2032</v>
      </c>
    </row>
    <row r="27" spans="1:15" s="158" customFormat="1" ht="15.75" thickBot="1" x14ac:dyDescent="0.3">
      <c r="A27" s="1114"/>
      <c r="B27" s="1317" t="s">
        <v>1118</v>
      </c>
      <c r="C27" s="1318">
        <f t="shared" ref="C27:M27" si="9">SUM(C28:C36)</f>
        <v>0</v>
      </c>
      <c r="D27" s="1318">
        <f t="shared" si="9"/>
        <v>9471.7821088258625</v>
      </c>
      <c r="E27" s="1318">
        <f t="shared" si="9"/>
        <v>11535.557778073922</v>
      </c>
      <c r="F27" s="1318">
        <f t="shared" si="9"/>
        <v>13374.814669159074</v>
      </c>
      <c r="G27" s="1318">
        <f t="shared" si="9"/>
        <v>15485.838070121394</v>
      </c>
      <c r="H27" s="1318">
        <f t="shared" si="9"/>
        <v>17425.145143662554</v>
      </c>
      <c r="I27" s="1318">
        <f t="shared" si="9"/>
        <v>11140.192701065942</v>
      </c>
      <c r="J27" s="1318">
        <f t="shared" si="9"/>
        <v>11755.923939775452</v>
      </c>
      <c r="K27" s="1318">
        <f t="shared" si="9"/>
        <v>12281.451971435308</v>
      </c>
      <c r="L27" s="1318">
        <f t="shared" si="9"/>
        <v>12706.853250870463</v>
      </c>
      <c r="M27" s="1319">
        <f t="shared" si="9"/>
        <v>13021.550089816859</v>
      </c>
      <c r="N27" s="1320"/>
    </row>
    <row r="28" spans="1:15" x14ac:dyDescent="0.25">
      <c r="A28" s="1298" t="s">
        <v>1103</v>
      </c>
      <c r="B28" s="1321" t="s">
        <v>1104</v>
      </c>
      <c r="C28" s="1322">
        <f>(C5*C18*12/1000000)</f>
        <v>0</v>
      </c>
      <c r="D28" s="1348">
        <f>(D5*D18/1000000)</f>
        <v>21.145083360000001</v>
      </c>
      <c r="E28" s="1322">
        <f t="shared" ref="E28:M28" si="10">(E5*E18/1000000)</f>
        <v>21.897760786970888</v>
      </c>
      <c r="F28" s="1322">
        <f t="shared" si="10"/>
        <v>22.677230414257391</v>
      </c>
      <c r="G28" s="1322">
        <f t="shared" si="10"/>
        <v>31.312594577694714</v>
      </c>
      <c r="H28" s="1322">
        <f t="shared" si="10"/>
        <v>32.427193310519094</v>
      </c>
      <c r="I28" s="1322">
        <f t="shared" si="10"/>
        <v>0</v>
      </c>
      <c r="J28" s="1322">
        <f t="shared" si="10"/>
        <v>0</v>
      </c>
      <c r="K28" s="1322">
        <f t="shared" si="10"/>
        <v>0</v>
      </c>
      <c r="L28" s="1322">
        <f t="shared" si="10"/>
        <v>0</v>
      </c>
      <c r="M28" s="1322">
        <f t="shared" si="10"/>
        <v>0</v>
      </c>
      <c r="O28" s="265"/>
    </row>
    <row r="29" spans="1:15" x14ac:dyDescent="0.25">
      <c r="A29" s="1298" t="s">
        <v>1103</v>
      </c>
      <c r="B29" s="1323" t="s">
        <v>1119</v>
      </c>
      <c r="C29" s="1324">
        <f>(C20*C6/1000000)</f>
        <v>0</v>
      </c>
      <c r="D29" s="1324">
        <f>(D20*D6/1000000)</f>
        <v>3314.4164102633931</v>
      </c>
      <c r="E29" s="1324">
        <f t="shared" ref="E29:M29" si="11">(E20*E6/1000000)</f>
        <v>4860.7994824515081</v>
      </c>
      <c r="F29" s="1324">
        <f t="shared" si="11"/>
        <v>6381.1244352396498</v>
      </c>
      <c r="G29" s="1324">
        <f t="shared" si="11"/>
        <v>8137.4055967665972</v>
      </c>
      <c r="H29" s="1324">
        <f t="shared" si="11"/>
        <v>9709.2427416027003</v>
      </c>
      <c r="I29" s="1324">
        <f t="shared" si="11"/>
        <v>3336.3911993435454</v>
      </c>
      <c r="J29" s="1324">
        <f t="shared" si="11"/>
        <v>3588.6057593552505</v>
      </c>
      <c r="K29" s="1324">
        <f t="shared" si="11"/>
        <v>3738.0572569201008</v>
      </c>
      <c r="L29" s="1324">
        <f t="shared" si="11"/>
        <v>3774.4664686917577</v>
      </c>
      <c r="M29" s="1324">
        <f t="shared" si="11"/>
        <v>3686.8923941010589</v>
      </c>
    </row>
    <row r="30" spans="1:15" x14ac:dyDescent="0.25">
      <c r="A30" s="1298" t="s">
        <v>1103</v>
      </c>
      <c r="B30" s="1323" t="s">
        <v>1106</v>
      </c>
      <c r="C30" s="1324">
        <f>(C7*(C19+C20))/1000000</f>
        <v>0</v>
      </c>
      <c r="D30" s="1324">
        <f t="shared" ref="D30:M30" si="12">(D7*(D19+D20))/1000000</f>
        <v>3047.7140517295243</v>
      </c>
      <c r="E30" s="1324">
        <f t="shared" si="12"/>
        <v>3304.3167460408777</v>
      </c>
      <c r="F30" s="1324">
        <f t="shared" si="12"/>
        <v>3462.3354696432971</v>
      </c>
      <c r="G30" s="1324">
        <f t="shared" si="12"/>
        <v>3634.2384785659438</v>
      </c>
      <c r="H30" s="1324">
        <f t="shared" si="12"/>
        <v>3816.1984107620156</v>
      </c>
      <c r="I30" s="1324">
        <f t="shared" si="12"/>
        <v>3875.9616032681611</v>
      </c>
      <c r="J30" s="1324">
        <f t="shared" si="12"/>
        <v>4056.5116452533762</v>
      </c>
      <c r="K30" s="1324">
        <f t="shared" si="12"/>
        <v>4243.2998670861189</v>
      </c>
      <c r="L30" s="1324">
        <f t="shared" si="12"/>
        <v>4436.5029256091784</v>
      </c>
      <c r="M30" s="1324">
        <f t="shared" si="12"/>
        <v>4636.3012693570636</v>
      </c>
    </row>
    <row r="31" spans="1:15" x14ac:dyDescent="0.25">
      <c r="A31" s="1298" t="s">
        <v>1103</v>
      </c>
      <c r="B31" s="1323" t="s">
        <v>1120</v>
      </c>
      <c r="C31" s="1324">
        <f>(C8*(C19+C20))/1000000</f>
        <v>0</v>
      </c>
      <c r="D31" s="1324">
        <f t="shared" ref="D31:M31" si="13">(D8*(D19+D20))/1000000</f>
        <v>3088.5065634729458</v>
      </c>
      <c r="E31" s="1324">
        <f t="shared" si="13"/>
        <v>3348.5437887945659</v>
      </c>
      <c r="F31" s="1324">
        <f t="shared" si="13"/>
        <v>3508.6775338618677</v>
      </c>
      <c r="G31" s="1324">
        <f t="shared" si="13"/>
        <v>3682.8814002111576</v>
      </c>
      <c r="H31" s="1324">
        <f t="shared" si="13"/>
        <v>3867.2767979873179</v>
      </c>
      <c r="I31" s="1324">
        <f t="shared" si="13"/>
        <v>3927.8398984542346</v>
      </c>
      <c r="J31" s="1324">
        <f t="shared" si="13"/>
        <v>4110.8065351668247</v>
      </c>
      <c r="K31" s="1324">
        <f t="shared" si="13"/>
        <v>4300.0948474290881</v>
      </c>
      <c r="L31" s="1324">
        <f t="shared" si="13"/>
        <v>4495.8838565695269</v>
      </c>
      <c r="M31" s="1324">
        <f t="shared" si="13"/>
        <v>4698.3564263587377</v>
      </c>
    </row>
    <row r="32" spans="1:15" ht="18" thickBot="1" x14ac:dyDescent="0.3">
      <c r="A32" s="1298" t="s">
        <v>1103</v>
      </c>
      <c r="B32" s="1325" t="s">
        <v>1108</v>
      </c>
      <c r="C32" s="1326"/>
      <c r="D32" s="1326"/>
      <c r="E32" s="1326"/>
      <c r="F32" s="1326"/>
      <c r="G32" s="1326"/>
      <c r="H32" s="1326"/>
      <c r="I32" s="1326"/>
      <c r="J32" s="1326"/>
      <c r="K32" s="1326"/>
      <c r="L32" s="1326"/>
      <c r="M32" s="1326"/>
    </row>
    <row r="33" spans="1:20" x14ac:dyDescent="0.25">
      <c r="A33" s="1298" t="s">
        <v>1109</v>
      </c>
      <c r="B33" s="1327" t="s">
        <v>1104</v>
      </c>
      <c r="C33" s="1322">
        <f>(C12*C22*12/1000000)</f>
        <v>0</v>
      </c>
      <c r="D33" s="1322">
        <f t="shared" ref="D33:M33" si="14">(D12*D22*12/1000000)</f>
        <v>0</v>
      </c>
      <c r="E33" s="1322">
        <f t="shared" si="14"/>
        <v>0</v>
      </c>
      <c r="F33" s="1322">
        <f t="shared" si="14"/>
        <v>0</v>
      </c>
      <c r="G33" s="1322">
        <f t="shared" si="14"/>
        <v>0</v>
      </c>
      <c r="H33" s="1322">
        <f t="shared" si="14"/>
        <v>0</v>
      </c>
      <c r="I33" s="1322">
        <f t="shared" si="14"/>
        <v>0</v>
      </c>
      <c r="J33" s="1322">
        <f t="shared" si="14"/>
        <v>0</v>
      </c>
      <c r="K33" s="1322">
        <f t="shared" si="14"/>
        <v>0</v>
      </c>
      <c r="L33" s="1322">
        <f t="shared" si="14"/>
        <v>0</v>
      </c>
      <c r="M33" s="1322">
        <f t="shared" si="14"/>
        <v>0</v>
      </c>
      <c r="O33" s="265"/>
      <c r="Q33" s="265"/>
    </row>
    <row r="34" spans="1:20" x14ac:dyDescent="0.25">
      <c r="A34" s="1298" t="s">
        <v>1109</v>
      </c>
      <c r="B34" s="1328" t="s">
        <v>1119</v>
      </c>
      <c r="C34" s="1324">
        <f>(C23*C13/1000000)</f>
        <v>0</v>
      </c>
      <c r="D34" s="1324">
        <f t="shared" ref="D34:M34" si="15">(D23*D13/1000000)</f>
        <v>0</v>
      </c>
      <c r="E34" s="1324">
        <f t="shared" si="15"/>
        <v>0</v>
      </c>
      <c r="F34" s="1324">
        <f t="shared" si="15"/>
        <v>0</v>
      </c>
      <c r="G34" s="1324">
        <f t="shared" si="15"/>
        <v>0</v>
      </c>
      <c r="H34" s="1324">
        <f t="shared" si="15"/>
        <v>0</v>
      </c>
      <c r="I34" s="1324">
        <f t="shared" si="15"/>
        <v>0</v>
      </c>
      <c r="J34" s="1324">
        <f t="shared" si="15"/>
        <v>0</v>
      </c>
      <c r="K34" s="1324">
        <f t="shared" si="15"/>
        <v>0</v>
      </c>
      <c r="L34" s="1324">
        <f t="shared" si="15"/>
        <v>0</v>
      </c>
      <c r="M34" s="1324">
        <f t="shared" si="15"/>
        <v>0</v>
      </c>
    </row>
    <row r="35" spans="1:20" ht="17.25" x14ac:dyDescent="0.25">
      <c r="A35" s="1298" t="s">
        <v>1109</v>
      </c>
      <c r="B35" s="1328" t="s">
        <v>1110</v>
      </c>
      <c r="C35" s="1324"/>
      <c r="D35" s="1324"/>
      <c r="E35" s="1324"/>
      <c r="F35" s="1324"/>
      <c r="G35" s="1324"/>
      <c r="H35" s="1324"/>
      <c r="I35" s="1324"/>
      <c r="J35" s="1324"/>
      <c r="K35" s="1324"/>
      <c r="L35" s="1324"/>
      <c r="M35" s="1324"/>
    </row>
    <row r="36" spans="1:20" ht="18" thickBot="1" x14ac:dyDescent="0.3">
      <c r="A36" s="1298" t="s">
        <v>1109</v>
      </c>
      <c r="B36" s="1328" t="s">
        <v>1108</v>
      </c>
      <c r="C36" s="1326"/>
      <c r="D36" s="1326"/>
      <c r="E36" s="1326"/>
      <c r="F36" s="1326"/>
      <c r="G36" s="1326"/>
      <c r="H36" s="1326"/>
      <c r="I36" s="1326"/>
      <c r="J36" s="1326"/>
      <c r="K36" s="1326"/>
      <c r="L36" s="1326"/>
      <c r="M36" s="1326"/>
    </row>
    <row r="37" spans="1:20" s="158" customFormat="1" ht="15.75" thickBot="1" x14ac:dyDescent="0.3">
      <c r="A37" s="1114"/>
      <c r="B37" s="1329" t="s">
        <v>1121</v>
      </c>
      <c r="C37" s="1330">
        <f t="shared" ref="C37:M37" si="16">+C38+C44</f>
        <v>0</v>
      </c>
      <c r="D37" s="1330">
        <f t="shared" si="16"/>
        <v>3953.491713325589</v>
      </c>
      <c r="E37" s="1330">
        <f t="shared" si="16"/>
        <v>3777.6293845403852</v>
      </c>
      <c r="F37" s="1330">
        <f t="shared" si="16"/>
        <v>4521.3057460450927</v>
      </c>
      <c r="G37" s="1330">
        <f t="shared" si="16"/>
        <v>5645.6799051015714</v>
      </c>
      <c r="H37" s="1330">
        <f t="shared" si="16"/>
        <v>6186.2475101513228</v>
      </c>
      <c r="I37" s="1330">
        <f t="shared" si="16"/>
        <v>3107.4308673413047</v>
      </c>
      <c r="J37" s="1330">
        <f t="shared" si="16"/>
        <v>4313.6590859687822</v>
      </c>
      <c r="K37" s="1330">
        <f t="shared" si="16"/>
        <v>4293.1077559247015</v>
      </c>
      <c r="L37" s="1330">
        <f t="shared" si="16"/>
        <v>4395.3170608490618</v>
      </c>
      <c r="M37" s="1330">
        <f t="shared" si="16"/>
        <v>4473.6936998147321</v>
      </c>
    </row>
    <row r="38" spans="1:20" x14ac:dyDescent="0.25">
      <c r="A38" s="1298" t="s">
        <v>1103</v>
      </c>
      <c r="B38" s="1321" t="s">
        <v>1122</v>
      </c>
      <c r="C38" s="1331">
        <f t="shared" ref="C38:M38" si="17">SUM(C39:C43)</f>
        <v>0</v>
      </c>
      <c r="D38" s="1331">
        <f t="shared" si="17"/>
        <v>3953.491713325589</v>
      </c>
      <c r="E38" s="1331">
        <f t="shared" si="17"/>
        <v>3354.1182783146314</v>
      </c>
      <c r="F38" s="1331">
        <f t="shared" si="17"/>
        <v>3428.6727957206626</v>
      </c>
      <c r="G38" s="1331">
        <f t="shared" si="17"/>
        <v>3918.5906123588975</v>
      </c>
      <c r="H38" s="1331">
        <f t="shared" si="17"/>
        <v>3713.5091868536783</v>
      </c>
      <c r="I38" s="1331">
        <f t="shared" si="17"/>
        <v>-84.004166890520082</v>
      </c>
      <c r="J38" s="1331">
        <f t="shared" si="17"/>
        <v>727.05962949840568</v>
      </c>
      <c r="K38" s="1331">
        <f t="shared" si="17"/>
        <v>539.90070947084087</v>
      </c>
      <c r="L38" s="1331">
        <f t="shared" si="17"/>
        <v>440.97445922438874</v>
      </c>
      <c r="M38" s="1331">
        <f t="shared" si="17"/>
        <v>335.60463336139537</v>
      </c>
    </row>
    <row r="39" spans="1:20" x14ac:dyDescent="0.25">
      <c r="A39" s="1298"/>
      <c r="B39" s="1332" t="s">
        <v>1123</v>
      </c>
      <c r="C39" s="1324">
        <f>-C21*SUM(C10:C11)/1000000</f>
        <v>0</v>
      </c>
      <c r="D39" s="1324">
        <f t="shared" ref="D39:M39" si="18">-D21*SUM(D10:D11)/1000000</f>
        <v>-241.89175340177073</v>
      </c>
      <c r="E39" s="1324">
        <f t="shared" si="18"/>
        <v>-1331.8585129846981</v>
      </c>
      <c r="F39" s="1324">
        <f t="shared" si="18"/>
        <v>-1780.830981816322</v>
      </c>
      <c r="G39" s="1324">
        <f t="shared" si="18"/>
        <v>-1944.832084160568</v>
      </c>
      <c r="H39" s="1324">
        <f t="shared" si="18"/>
        <v>-2491.7017702642161</v>
      </c>
      <c r="I39" s="1324">
        <f t="shared" si="18"/>
        <v>-3030.9547752437011</v>
      </c>
      <c r="J39" s="1324">
        <f t="shared" si="18"/>
        <v>-2423.5269729176366</v>
      </c>
      <c r="K39" s="1324">
        <f t="shared" si="18"/>
        <v>-2765.0176577957068</v>
      </c>
      <c r="L39" s="1324">
        <f t="shared" si="18"/>
        <v>-3023.8384824004033</v>
      </c>
      <c r="M39" s="1324">
        <f t="shared" si="18"/>
        <v>-3340.3122478902146</v>
      </c>
    </row>
    <row r="40" spans="1:20" ht="15.75" thickBot="1" x14ac:dyDescent="0.3">
      <c r="A40" s="1298"/>
      <c r="B40" s="1333" t="s">
        <v>1124</v>
      </c>
      <c r="C40" s="1324">
        <f>+'RESUMEN FINANCIERO'!H48/1000000</f>
        <v>0</v>
      </c>
      <c r="D40" s="1324">
        <f>+'RESUMEN FINANCIERO'!I48/1000000</f>
        <v>4195.3834667273595</v>
      </c>
      <c r="E40" s="1324">
        <f>+'RESUMEN FINANCIERO'!J48/1000000</f>
        <v>4685.9767912993293</v>
      </c>
      <c r="F40" s="1324">
        <f>+'RESUMEN FINANCIERO'!K48/1000000</f>
        <v>5209.5037775369847</v>
      </c>
      <c r="G40" s="1324">
        <f>+'RESUMEN FINANCIERO'!L48/1000000</f>
        <v>5863.4226965194657</v>
      </c>
      <c r="H40" s="1324">
        <f>+'RESUMEN FINANCIERO'!M48/1000000</f>
        <v>6205.2109571178944</v>
      </c>
      <c r="I40" s="1324">
        <f>+'RESUMEN FINANCIERO'!N48/1000000</f>
        <v>2946.950608353181</v>
      </c>
      <c r="J40" s="1324">
        <f>+'RESUMEN FINANCIERO'!O48/1000000</f>
        <v>3150.5866024160423</v>
      </c>
      <c r="K40" s="1324">
        <f>+'RESUMEN FINANCIERO'!P48/1000000</f>
        <v>3304.9183672665476</v>
      </c>
      <c r="L40" s="1324">
        <f>+'RESUMEN FINANCIERO'!Q48/1000000</f>
        <v>3464.8129416247921</v>
      </c>
      <c r="M40" s="1324">
        <f>+'RESUMEN FINANCIERO'!R48/1000000</f>
        <v>3675.91688125161</v>
      </c>
      <c r="O40" s="1334"/>
      <c r="P40" s="1334"/>
      <c r="Q40" s="1334"/>
      <c r="R40" s="1334"/>
    </row>
    <row r="41" spans="1:20" hidden="1" x14ac:dyDescent="0.25">
      <c r="A41" s="1298"/>
      <c r="B41" s="1333" t="s">
        <v>1125</v>
      </c>
      <c r="C41" s="1324"/>
      <c r="D41" s="1324"/>
      <c r="E41" s="1324"/>
      <c r="F41" s="1324"/>
      <c r="G41" s="1324"/>
      <c r="H41" s="1324"/>
      <c r="I41" s="1324"/>
      <c r="J41" s="1324"/>
      <c r="K41" s="1324"/>
      <c r="L41" s="1324"/>
      <c r="M41" s="1324"/>
      <c r="O41" s="265"/>
      <c r="P41" s="265"/>
      <c r="Q41" s="265"/>
      <c r="R41" s="265"/>
      <c r="S41" s="265"/>
      <c r="T41" s="265"/>
    </row>
    <row r="42" spans="1:20" ht="15.75" hidden="1" thickBot="1" x14ac:dyDescent="0.3">
      <c r="A42" s="1298"/>
      <c r="B42" s="1335" t="s">
        <v>1126</v>
      </c>
      <c r="C42" s="1336"/>
      <c r="D42" s="1336"/>
      <c r="E42" s="1336"/>
      <c r="F42" s="1336"/>
      <c r="G42" s="1336"/>
      <c r="H42" s="1336"/>
      <c r="I42" s="1336"/>
      <c r="J42" s="1336"/>
      <c r="K42" s="1336"/>
      <c r="L42" s="1336"/>
      <c r="M42" s="1336"/>
    </row>
    <row r="43" spans="1:20" ht="15.75" thickBot="1" x14ac:dyDescent="0.3">
      <c r="A43" s="1298" t="s">
        <v>1103</v>
      </c>
      <c r="B43" s="1337" t="s">
        <v>1127</v>
      </c>
      <c r="C43" s="1338"/>
      <c r="D43" s="1338"/>
      <c r="E43" s="1338"/>
      <c r="F43" s="1338"/>
      <c r="G43" s="1338"/>
      <c r="H43" s="1338"/>
      <c r="I43" s="1338"/>
      <c r="J43" s="1338"/>
      <c r="K43" s="1338"/>
      <c r="L43" s="1338"/>
      <c r="M43" s="1338"/>
    </row>
    <row r="44" spans="1:20" ht="15.75" thickBot="1" x14ac:dyDescent="0.3">
      <c r="A44" s="1298" t="s">
        <v>1103</v>
      </c>
      <c r="B44" s="1335" t="s">
        <v>1128</v>
      </c>
      <c r="C44" s="1322">
        <f>('CMI POIR PPERDIDAS'!G129/PARÁMETROS!$C$4*((1+PARÁMETROS!$C$10)^C3/1000000))</f>
        <v>0</v>
      </c>
      <c r="D44" s="1322">
        <f>('CMI POIR PPERDIDAS'!H129/PARÁMETROS!$C$4*((1+PARÁMETROS!$C$10)^D3/1000000))</f>
        <v>0</v>
      </c>
      <c r="E44" s="1348">
        <f>('CMI POIR PPERDIDAS'!I129/PARÁMETROS!$C$4*((1+PARÁMETROS!$C$10)^E3/1000000))</f>
        <v>423.51110622575402</v>
      </c>
      <c r="F44" s="1348">
        <f>('CMI POIR PPERDIDAS'!J129/PARÁMETROS!$C$4*((1+PARÁMETROS!$C$10)^F3/1000000))</f>
        <v>1092.6329503244299</v>
      </c>
      <c r="G44" s="1348">
        <f>('CMI POIR PPERDIDAS'!K129/PARÁMETROS!$C$4*((1+PARÁMETROS!$C$10)^G3/1000000))</f>
        <v>1727.0892927426739</v>
      </c>
      <c r="H44" s="1348">
        <f>('CMI POIR PPERDIDAS'!L129/PARÁMETROS!$C$4*((1+PARÁMETROS!$C$10)^H3/1000000))</f>
        <v>2472.7383232976445</v>
      </c>
      <c r="I44" s="1348">
        <f>('CMI POIR PPERDIDAS'!M129/PARÁMETROS!$C$4*((1+PARÁMETROS!$C$10)^I3/1000000))</f>
        <v>3191.4350342318248</v>
      </c>
      <c r="J44" s="1348">
        <f>('CMI POIR PPERDIDAS'!N129/PARÁMETROS!$C$4*((1+PARÁMETROS!$C$10)^J3/1000000))</f>
        <v>3586.5994564703765</v>
      </c>
      <c r="K44" s="1348">
        <f>('CMI POIR PPERDIDAS'!O129/PARÁMETROS!$C$4*((1+PARÁMETROS!$C$10)^K3/1000000))</f>
        <v>3753.2070464538606</v>
      </c>
      <c r="L44" s="1348">
        <f>('CMI POIR PPERDIDAS'!P129/PARÁMETROS!$C$4*((1+PARÁMETROS!$C$10)^L3/1000000))</f>
        <v>3954.3426016246726</v>
      </c>
      <c r="M44" s="1348">
        <f>('CMI POIR PPERDIDAS'!Q129/PARÁMETROS!$C$4*((1+PARÁMETROS!$C$10)^M3/1000000))</f>
        <v>4138.0890664533372</v>
      </c>
    </row>
    <row r="45" spans="1:20" ht="15.75" thickBot="1" x14ac:dyDescent="0.3">
      <c r="A45" s="1298" t="s">
        <v>1103</v>
      </c>
      <c r="B45" s="1339" t="s">
        <v>1129</v>
      </c>
      <c r="C45" s="1330">
        <f>+SUM(C28:C32)-SUM(C39:C44)</f>
        <v>0</v>
      </c>
      <c r="D45" s="1330">
        <f t="shared" ref="D45:M45" si="19">+SUM(D28:D32)-SUM(D39:D44)</f>
        <v>5518.290395500273</v>
      </c>
      <c r="E45" s="1330">
        <f t="shared" si="19"/>
        <v>7757.928393533537</v>
      </c>
      <c r="F45" s="1330">
        <f t="shared" si="19"/>
        <v>8853.5089231139809</v>
      </c>
      <c r="G45" s="1330">
        <f t="shared" si="19"/>
        <v>9840.1581650198223</v>
      </c>
      <c r="H45" s="1330">
        <f t="shared" si="19"/>
        <v>11238.897633511231</v>
      </c>
      <c r="I45" s="1330">
        <f t="shared" si="19"/>
        <v>8032.7618337246367</v>
      </c>
      <c r="J45" s="1330">
        <f t="shared" si="19"/>
        <v>7442.2648538066696</v>
      </c>
      <c r="K45" s="1330">
        <f t="shared" si="19"/>
        <v>7988.3442155106068</v>
      </c>
      <c r="L45" s="1330">
        <f t="shared" si="19"/>
        <v>8311.5361900214011</v>
      </c>
      <c r="M45" s="1330">
        <f t="shared" si="19"/>
        <v>8547.8563900021272</v>
      </c>
      <c r="O45" s="265"/>
      <c r="P45" s="265"/>
      <c r="Q45" s="265"/>
      <c r="R45" s="265"/>
    </row>
    <row r="46" spans="1:20" ht="15.75" thickBot="1" x14ac:dyDescent="0.3">
      <c r="A46" s="1298" t="s">
        <v>1103</v>
      </c>
      <c r="B46" s="1337" t="s">
        <v>1130</v>
      </c>
      <c r="C46" s="1322"/>
      <c r="D46" s="1348">
        <f>+'BC COMERCIAL P16'!D24/1000000</f>
        <v>717.07358459912416</v>
      </c>
      <c r="E46" s="1348">
        <f>+'BC COMERCIAL P16'!E24/1000000</f>
        <v>1468.8597054708489</v>
      </c>
      <c r="F46" s="1348">
        <f>+'BC COMERCIAL P16'!F24/1000000</f>
        <v>2256.6186518661889</v>
      </c>
      <c r="G46" s="1348">
        <f>+'BC COMERCIAL P16'!G24/1000000</f>
        <v>3338.4556677379856</v>
      </c>
      <c r="H46" s="1348">
        <f>+'BC COMERCIAL P16'!H24/1000000</f>
        <v>4471.340874521401</v>
      </c>
      <c r="I46" s="1348">
        <f>+'BC COMERCIAL P16'!I24/1000000</f>
        <v>0</v>
      </c>
      <c r="J46" s="1348">
        <f>+'BC COMERCIAL P16'!J24/1000000</f>
        <v>0</v>
      </c>
      <c r="K46" s="1348">
        <f>+'BC COMERCIAL P16'!K24/1000000</f>
        <v>0</v>
      </c>
      <c r="L46" s="1348">
        <f>+'BC COMERCIAL P16'!L24/1000000</f>
        <v>0</v>
      </c>
      <c r="M46" s="1348">
        <f>+'BC COMERCIAL P16'!M24/1000000</f>
        <v>0</v>
      </c>
    </row>
    <row r="47" spans="1:20" s="158" customFormat="1" ht="15.75" thickBot="1" x14ac:dyDescent="0.3">
      <c r="A47" s="1298" t="s">
        <v>1103</v>
      </c>
      <c r="B47" s="1339" t="s">
        <v>1131</v>
      </c>
      <c r="C47" s="1330">
        <f t="shared" ref="C47:M47" si="20">+C45+C46</f>
        <v>0</v>
      </c>
      <c r="D47" s="1330">
        <f t="shared" si="20"/>
        <v>6235.3639800993969</v>
      </c>
      <c r="E47" s="1330">
        <f t="shared" si="20"/>
        <v>9226.788099004385</v>
      </c>
      <c r="F47" s="1330">
        <f t="shared" si="20"/>
        <v>11110.12757498017</v>
      </c>
      <c r="G47" s="1330">
        <f t="shared" si="20"/>
        <v>13178.613832757808</v>
      </c>
      <c r="H47" s="1330">
        <f t="shared" si="20"/>
        <v>15710.238508032631</v>
      </c>
      <c r="I47" s="1330">
        <f t="shared" si="20"/>
        <v>8032.7618337246367</v>
      </c>
      <c r="J47" s="1330">
        <f t="shared" si="20"/>
        <v>7442.2648538066696</v>
      </c>
      <c r="K47" s="1330">
        <f t="shared" si="20"/>
        <v>7988.3442155106068</v>
      </c>
      <c r="L47" s="1330">
        <f t="shared" si="20"/>
        <v>8311.5361900214011</v>
      </c>
      <c r="M47" s="1330">
        <f t="shared" si="20"/>
        <v>8547.8563900021272</v>
      </c>
      <c r="N47" s="1340"/>
      <c r="O47" s="1341"/>
    </row>
    <row r="48" spans="1:20" ht="15.75" thickBot="1" x14ac:dyDescent="0.3">
      <c r="A48" s="1298" t="s">
        <v>1109</v>
      </c>
      <c r="B48" s="1337" t="s">
        <v>1122</v>
      </c>
      <c r="C48" s="1322"/>
      <c r="D48" s="1322"/>
      <c r="E48" s="1322"/>
      <c r="F48" s="1322"/>
      <c r="G48" s="1322"/>
      <c r="H48" s="1322"/>
      <c r="I48" s="1322"/>
      <c r="J48" s="1322"/>
      <c r="K48" s="1322"/>
      <c r="L48" s="1322"/>
      <c r="M48" s="1322"/>
    </row>
    <row r="49" spans="1:15" ht="15.75" thickBot="1" x14ac:dyDescent="0.3">
      <c r="A49" s="1298" t="s">
        <v>1109</v>
      </c>
      <c r="B49" s="1337" t="s">
        <v>1127</v>
      </c>
      <c r="C49" s="1322"/>
      <c r="D49" s="1322"/>
      <c r="E49" s="1322"/>
      <c r="F49" s="1322"/>
      <c r="G49" s="1322"/>
      <c r="H49" s="1322"/>
      <c r="I49" s="1322"/>
      <c r="J49" s="1322"/>
      <c r="K49" s="1322"/>
      <c r="L49" s="1322"/>
      <c r="M49" s="1322"/>
    </row>
    <row r="50" spans="1:15" ht="15.75" thickBot="1" x14ac:dyDescent="0.3">
      <c r="A50" s="1298" t="s">
        <v>1109</v>
      </c>
      <c r="B50" s="1337" t="s">
        <v>1128</v>
      </c>
      <c r="C50" s="1322"/>
      <c r="D50" s="1322"/>
      <c r="E50" s="1322"/>
      <c r="F50" s="1322"/>
      <c r="G50" s="1322"/>
      <c r="H50" s="1322"/>
      <c r="I50" s="1322"/>
      <c r="J50" s="1322"/>
      <c r="K50" s="1322"/>
      <c r="L50" s="1322"/>
      <c r="M50" s="1322"/>
    </row>
    <row r="51" spans="1:15" ht="15.75" thickBot="1" x14ac:dyDescent="0.3">
      <c r="A51" s="1298" t="s">
        <v>1109</v>
      </c>
      <c r="B51" s="1339" t="s">
        <v>1132</v>
      </c>
      <c r="C51" s="1330">
        <f t="shared" ref="C51:M51" si="21">+SUM(C33:C36)-SUM(C48:C50)</f>
        <v>0</v>
      </c>
      <c r="D51" s="1330">
        <f t="shared" si="21"/>
        <v>0</v>
      </c>
      <c r="E51" s="1330">
        <f t="shared" si="21"/>
        <v>0</v>
      </c>
      <c r="F51" s="1330">
        <f t="shared" si="21"/>
        <v>0</v>
      </c>
      <c r="G51" s="1330">
        <f t="shared" si="21"/>
        <v>0</v>
      </c>
      <c r="H51" s="1330">
        <f t="shared" si="21"/>
        <v>0</v>
      </c>
      <c r="I51" s="1330">
        <f t="shared" si="21"/>
        <v>0</v>
      </c>
      <c r="J51" s="1330">
        <f t="shared" si="21"/>
        <v>0</v>
      </c>
      <c r="K51" s="1330">
        <f t="shared" si="21"/>
        <v>0</v>
      </c>
      <c r="L51" s="1330">
        <f t="shared" si="21"/>
        <v>0</v>
      </c>
      <c r="M51" s="1330">
        <f t="shared" si="21"/>
        <v>0</v>
      </c>
    </row>
    <row r="52" spans="1:15" ht="15.75" thickBot="1" x14ac:dyDescent="0.3">
      <c r="A52" s="1298" t="s">
        <v>1109</v>
      </c>
      <c r="B52" s="1337" t="s">
        <v>1130</v>
      </c>
      <c r="C52" s="1322"/>
      <c r="D52" s="1348"/>
      <c r="E52" s="1348"/>
      <c r="F52" s="1348"/>
      <c r="G52" s="1348"/>
      <c r="H52" s="1348"/>
      <c r="I52" s="1322"/>
      <c r="J52" s="1322"/>
      <c r="K52" s="1322"/>
      <c r="L52" s="1322"/>
      <c r="M52" s="1322"/>
    </row>
    <row r="53" spans="1:15" s="158" customFormat="1" ht="15.75" thickBot="1" x14ac:dyDescent="0.3">
      <c r="A53" s="1298" t="s">
        <v>1109</v>
      </c>
      <c r="B53" s="1339" t="s">
        <v>1133</v>
      </c>
      <c r="C53" s="1319">
        <f t="shared" ref="C53:M53" si="22">+C51+C52</f>
        <v>0</v>
      </c>
      <c r="D53" s="1319">
        <f t="shared" si="22"/>
        <v>0</v>
      </c>
      <c r="E53" s="1319">
        <f t="shared" si="22"/>
        <v>0</v>
      </c>
      <c r="F53" s="1319">
        <f t="shared" si="22"/>
        <v>0</v>
      </c>
      <c r="G53" s="1319">
        <f t="shared" si="22"/>
        <v>0</v>
      </c>
      <c r="H53" s="1319">
        <f t="shared" si="22"/>
        <v>0</v>
      </c>
      <c r="I53" s="1319">
        <f t="shared" si="22"/>
        <v>0</v>
      </c>
      <c r="J53" s="1319">
        <f t="shared" si="22"/>
        <v>0</v>
      </c>
      <c r="K53" s="1319">
        <f t="shared" si="22"/>
        <v>0</v>
      </c>
      <c r="L53" s="1319">
        <f t="shared" si="22"/>
        <v>0</v>
      </c>
      <c r="M53" s="1319">
        <f t="shared" si="22"/>
        <v>0</v>
      </c>
      <c r="N53" s="1340"/>
      <c r="O53" s="1341"/>
    </row>
    <row r="54" spans="1:15" s="152" customFormat="1" ht="15.75" thickBot="1" x14ac:dyDescent="0.3"/>
    <row r="55" spans="1:15" ht="17.100000000000001" customHeight="1" thickBot="1" x14ac:dyDescent="0.3">
      <c r="B55" s="1342" t="s">
        <v>1134</v>
      </c>
      <c r="C55" s="1296">
        <f>+C4</f>
        <v>2025</v>
      </c>
      <c r="D55" s="1296">
        <f t="shared" ref="D55:M55" si="23">+C55+1</f>
        <v>2026</v>
      </c>
      <c r="E55" s="1296">
        <f t="shared" si="23"/>
        <v>2027</v>
      </c>
      <c r="F55" s="1296">
        <f t="shared" si="23"/>
        <v>2028</v>
      </c>
      <c r="G55" s="1296">
        <f t="shared" si="23"/>
        <v>2029</v>
      </c>
      <c r="H55" s="1296">
        <f t="shared" si="23"/>
        <v>2030</v>
      </c>
      <c r="I55" s="1296">
        <f t="shared" si="23"/>
        <v>2031</v>
      </c>
      <c r="J55" s="1296">
        <f t="shared" si="23"/>
        <v>2032</v>
      </c>
      <c r="K55" s="1296">
        <f t="shared" si="23"/>
        <v>2033</v>
      </c>
      <c r="L55" s="1296">
        <f t="shared" si="23"/>
        <v>2034</v>
      </c>
      <c r="M55" s="1297">
        <f t="shared" si="23"/>
        <v>2035</v>
      </c>
    </row>
    <row r="56" spans="1:15" s="158" customFormat="1" ht="15.75" thickBot="1" x14ac:dyDescent="0.3">
      <c r="A56" s="1114"/>
      <c r="B56" s="1339" t="s">
        <v>1135</v>
      </c>
      <c r="C56" s="1343">
        <f>+C47+C53</f>
        <v>0</v>
      </c>
      <c r="D56" s="1343">
        <f t="shared" ref="D56:M56" si="24">+D47+D53</f>
        <v>6235.3639800993969</v>
      </c>
      <c r="E56" s="1343">
        <f t="shared" si="24"/>
        <v>9226.788099004385</v>
      </c>
      <c r="F56" s="1343">
        <f t="shared" si="24"/>
        <v>11110.12757498017</v>
      </c>
      <c r="G56" s="1343">
        <f t="shared" si="24"/>
        <v>13178.613832757808</v>
      </c>
      <c r="H56" s="1343">
        <f t="shared" si="24"/>
        <v>15710.238508032631</v>
      </c>
      <c r="I56" s="1343">
        <f t="shared" si="24"/>
        <v>8032.7618337246367</v>
      </c>
      <c r="J56" s="1343">
        <f t="shared" si="24"/>
        <v>7442.2648538066696</v>
      </c>
      <c r="K56" s="1343">
        <f t="shared" si="24"/>
        <v>7988.3442155106068</v>
      </c>
      <c r="L56" s="1343">
        <f t="shared" si="24"/>
        <v>8311.5361900214011</v>
      </c>
      <c r="M56" s="1344">
        <f t="shared" si="24"/>
        <v>8547.8563900021272</v>
      </c>
    </row>
    <row r="57" spans="1:15" x14ac:dyDescent="0.25">
      <c r="A57" s="1345"/>
      <c r="B57" s="1346" t="s">
        <v>1136</v>
      </c>
      <c r="C57" s="1347">
        <f t="shared" ref="C57:M57" si="25">+C44+C50</f>
        <v>0</v>
      </c>
      <c r="D57" s="1347">
        <f t="shared" si="25"/>
        <v>0</v>
      </c>
      <c r="E57" s="1347">
        <f t="shared" si="25"/>
        <v>423.51110622575402</v>
      </c>
      <c r="F57" s="1347">
        <f t="shared" si="25"/>
        <v>1092.6329503244299</v>
      </c>
      <c r="G57" s="1347">
        <f t="shared" si="25"/>
        <v>1727.0892927426739</v>
      </c>
      <c r="H57" s="1347">
        <f t="shared" si="25"/>
        <v>2472.7383232976445</v>
      </c>
      <c r="I57" s="1347">
        <f t="shared" si="25"/>
        <v>3191.4350342318248</v>
      </c>
      <c r="J57" s="1347">
        <f t="shared" si="25"/>
        <v>3586.5994564703765</v>
      </c>
      <c r="K57" s="1347">
        <f t="shared" si="25"/>
        <v>3753.2070464538606</v>
      </c>
      <c r="L57" s="1347">
        <f t="shared" si="25"/>
        <v>3954.3426016246726</v>
      </c>
      <c r="M57" s="1348">
        <f t="shared" si="25"/>
        <v>4138.0890664533372</v>
      </c>
    </row>
    <row r="58" spans="1:15" x14ac:dyDescent="0.25">
      <c r="B58" s="1349" t="s">
        <v>1137</v>
      </c>
      <c r="C58" s="1350">
        <f>-C27*(1-PARÁMETROS!$C$6)</f>
        <v>0</v>
      </c>
      <c r="D58" s="1350">
        <f>-D27*(1-PARÁMETROS!$C$6)</f>
        <v>0</v>
      </c>
      <c r="E58" s="1350">
        <f>-E27*(1-PARÁMETROS!$C$6)</f>
        <v>0</v>
      </c>
      <c r="F58" s="1350">
        <f>-F27*(1-PARÁMETROS!$C$6)</f>
        <v>0</v>
      </c>
      <c r="G58" s="1350">
        <f>-G27*(1-PARÁMETROS!$C$6)</f>
        <v>0</v>
      </c>
      <c r="H58" s="1350">
        <f>-H27*(1-PARÁMETROS!$C$6)</f>
        <v>0</v>
      </c>
      <c r="I58" s="1350">
        <f>-I27*(1-PARÁMETROS!$C$6)</f>
        <v>0</v>
      </c>
      <c r="J58" s="1350">
        <f>-J27*(1-PARÁMETROS!$C$6)</f>
        <v>0</v>
      </c>
      <c r="K58" s="1350">
        <f>-K27*(1-PARÁMETROS!$C$6)</f>
        <v>0</v>
      </c>
      <c r="L58" s="1350">
        <f>-L27*(1-PARÁMETROS!$C$6)</f>
        <v>0</v>
      </c>
      <c r="M58" s="1351">
        <f>-M27*(1-PARÁMETROS!$C$6)</f>
        <v>0</v>
      </c>
    </row>
    <row r="59" spans="1:15" ht="15.75" thickBot="1" x14ac:dyDescent="0.3">
      <c r="B59" s="1352" t="s">
        <v>1138</v>
      </c>
      <c r="C59" s="1353">
        <f>+'RESUMEN FINANCIERO'!H49/1000000</f>
        <v>0</v>
      </c>
      <c r="D59" s="1353">
        <f>+'RESUMEN FINANCIERO'!I49/1000000</f>
        <v>1866.1067916740956</v>
      </c>
      <c r="E59" s="1353">
        <f>+'RESUMEN FINANCIERO'!J49/1000000</f>
        <v>10747.610283881595</v>
      </c>
      <c r="F59" s="1353">
        <f>+'RESUMEN FINANCIERO'!K49/1000000</f>
        <v>8111.648751374013</v>
      </c>
      <c r="G59" s="1353">
        <f>+'RESUMEN FINANCIERO'!L49/1000000</f>
        <v>11006.778378669533</v>
      </c>
      <c r="H59" s="1353">
        <f>+'RESUMEN FINANCIERO'!M49/1000000</f>
        <v>8966.4001261669364</v>
      </c>
      <c r="I59" s="1353">
        <f>+'RESUMEN FINANCIERO'!N49/1000000</f>
        <v>12012.63869192614</v>
      </c>
      <c r="J59" s="1353">
        <f>+'RESUMEN FINANCIERO'!O49/1000000</f>
        <v>1646.6834319581935</v>
      </c>
      <c r="K59" s="1353">
        <f>+'RESUMEN FINANCIERO'!P49/1000000</f>
        <v>2934.698403236398</v>
      </c>
      <c r="L59" s="1353">
        <f>+'RESUMEN FINANCIERO'!Q49/1000000</f>
        <v>1856.7263141544595</v>
      </c>
      <c r="M59" s="1353">
        <f>+'RESUMEN FINANCIERO'!R49/1000000</f>
        <v>1781.7650061673592</v>
      </c>
    </row>
    <row r="60" spans="1:15" ht="15.75" thickBot="1" x14ac:dyDescent="0.3">
      <c r="B60" s="152"/>
      <c r="C60" s="152"/>
      <c r="D60" s="152"/>
      <c r="E60" s="152"/>
      <c r="F60" s="152"/>
      <c r="G60" s="152"/>
      <c r="H60" s="152"/>
      <c r="I60" s="152"/>
      <c r="J60" s="152"/>
      <c r="K60" s="152"/>
      <c r="L60" s="152"/>
      <c r="M60" s="152"/>
    </row>
    <row r="61" spans="1:15" ht="17.100000000000001" customHeight="1" thickBot="1" x14ac:dyDescent="0.3">
      <c r="B61" s="1354" t="s">
        <v>362</v>
      </c>
      <c r="C61" s="1296">
        <f>+C4</f>
        <v>2025</v>
      </c>
      <c r="D61" s="1296">
        <f t="shared" ref="D61:M61" si="26">+C61+1</f>
        <v>2026</v>
      </c>
      <c r="E61" s="1296">
        <f t="shared" si="26"/>
        <v>2027</v>
      </c>
      <c r="F61" s="1296">
        <f t="shared" si="26"/>
        <v>2028</v>
      </c>
      <c r="G61" s="1296">
        <f t="shared" si="26"/>
        <v>2029</v>
      </c>
      <c r="H61" s="1296">
        <f t="shared" si="26"/>
        <v>2030</v>
      </c>
      <c r="I61" s="1296">
        <f t="shared" si="26"/>
        <v>2031</v>
      </c>
      <c r="J61" s="1296">
        <f t="shared" si="26"/>
        <v>2032</v>
      </c>
      <c r="K61" s="1296">
        <f t="shared" si="26"/>
        <v>2033</v>
      </c>
      <c r="L61" s="1296">
        <f t="shared" si="26"/>
        <v>2034</v>
      </c>
      <c r="M61" s="1297">
        <f t="shared" si="26"/>
        <v>2035</v>
      </c>
    </row>
    <row r="62" spans="1:15" s="158" customFormat="1" ht="15.75" thickBot="1" x14ac:dyDescent="0.3">
      <c r="A62" s="1114"/>
      <c r="B62" s="1355" t="s">
        <v>1139</v>
      </c>
      <c r="C62" s="1356">
        <f>+C56+C57+C58-C59</f>
        <v>0</v>
      </c>
      <c r="D62" s="1357">
        <f>+D56+D57+D58-D59</f>
        <v>4369.2571884253011</v>
      </c>
      <c r="E62" s="1357">
        <f>+E56+E57+E58-E59</f>
        <v>-1097.3110786514553</v>
      </c>
      <c r="F62" s="1357">
        <f t="shared" ref="F62:M62" si="27">+F56+F57+F58-F59</f>
        <v>4091.1117739305873</v>
      </c>
      <c r="G62" s="1357">
        <f t="shared" si="27"/>
        <v>3898.9247468309495</v>
      </c>
      <c r="H62" s="1357">
        <f t="shared" si="27"/>
        <v>9216.5767051633411</v>
      </c>
      <c r="I62" s="1357">
        <f t="shared" si="27"/>
        <v>-788.44182396967881</v>
      </c>
      <c r="J62" s="1357">
        <f t="shared" si="27"/>
        <v>9382.1808783188517</v>
      </c>
      <c r="K62" s="1357">
        <f t="shared" si="27"/>
        <v>8806.8528587280689</v>
      </c>
      <c r="L62" s="1357">
        <f t="shared" si="27"/>
        <v>10409.152477491614</v>
      </c>
      <c r="M62" s="1358">
        <f t="shared" si="27"/>
        <v>10904.180450288106</v>
      </c>
      <c r="N62" s="1359">
        <f>+'BC TOTAL PROGRAMAS'!N28/1000000</f>
        <v>101530.96937384919</v>
      </c>
      <c r="O62" s="1360" t="s">
        <v>1140</v>
      </c>
    </row>
    <row r="63" spans="1:15" s="158" customFormat="1" ht="15.75" thickBot="1" x14ac:dyDescent="0.3">
      <c r="A63" s="1114"/>
      <c r="B63" s="1361" t="s">
        <v>1141</v>
      </c>
      <c r="C63" s="1362">
        <f>+C62</f>
        <v>0</v>
      </c>
      <c r="D63" s="1363">
        <f t="shared" ref="D63:M63" si="28">+C63+D62</f>
        <v>4369.2571884253011</v>
      </c>
      <c r="E63" s="1363">
        <f t="shared" si="28"/>
        <v>3271.9461097738458</v>
      </c>
      <c r="F63" s="1363">
        <f t="shared" si="28"/>
        <v>7363.0578837044332</v>
      </c>
      <c r="G63" s="1363">
        <f t="shared" si="28"/>
        <v>11261.982630535382</v>
      </c>
      <c r="H63" s="1363">
        <f t="shared" si="28"/>
        <v>20478.559335698723</v>
      </c>
      <c r="I63" s="1363">
        <f t="shared" si="28"/>
        <v>19690.117511729044</v>
      </c>
      <c r="J63" s="1363">
        <f t="shared" si="28"/>
        <v>29072.298390047894</v>
      </c>
      <c r="K63" s="1363">
        <f t="shared" si="28"/>
        <v>37879.151248775961</v>
      </c>
      <c r="L63" s="1363">
        <f t="shared" si="28"/>
        <v>48288.303726267579</v>
      </c>
      <c r="M63" s="1364">
        <f t="shared" si="28"/>
        <v>59192.484176555685</v>
      </c>
      <c r="N63" s="1365"/>
    </row>
    <row r="64" spans="1:15" s="158" customFormat="1" ht="15.75" thickBot="1" x14ac:dyDescent="0.3">
      <c r="A64" s="1114"/>
      <c r="B64" s="1366" t="s">
        <v>1142</v>
      </c>
      <c r="C64" s="1367" t="b">
        <f>C63&gt;0</f>
        <v>0</v>
      </c>
      <c r="D64" s="1367" t="b">
        <f t="shared" ref="D64:M64" si="29">D63&gt;=0</f>
        <v>1</v>
      </c>
      <c r="E64" s="1367" t="b">
        <f t="shared" si="29"/>
        <v>1</v>
      </c>
      <c r="F64" s="1367" t="b">
        <f t="shared" si="29"/>
        <v>1</v>
      </c>
      <c r="G64" s="1367" t="b">
        <f t="shared" si="29"/>
        <v>1</v>
      </c>
      <c r="H64" s="1367" t="b">
        <f t="shared" si="29"/>
        <v>1</v>
      </c>
      <c r="I64" s="1367" t="b">
        <f t="shared" si="29"/>
        <v>1</v>
      </c>
      <c r="J64" s="1367" t="b">
        <f t="shared" si="29"/>
        <v>1</v>
      </c>
      <c r="K64" s="1367" t="b">
        <f t="shared" si="29"/>
        <v>1</v>
      </c>
      <c r="L64" s="1367" t="b">
        <f t="shared" si="29"/>
        <v>1</v>
      </c>
      <c r="M64" s="1367" t="b">
        <f t="shared" si="29"/>
        <v>1</v>
      </c>
      <c r="N64" s="1365"/>
    </row>
    <row r="65" spans="1:15" s="158" customFormat="1" ht="15.75" thickBot="1" x14ac:dyDescent="0.3">
      <c r="A65" s="1114"/>
      <c r="B65" s="1368" t="s">
        <v>1143</v>
      </c>
      <c r="C65" s="1369">
        <f>IFERROR(MATCH(TRUE,D64:M64,0),"N.A.")</f>
        <v>1</v>
      </c>
      <c r="D65" s="1369" cm="1">
        <f t="array" ref="D65">IFERROR(INDEX(D61:M61,C65),"No se alcanza en el horizonte")</f>
        <v>2026</v>
      </c>
      <c r="E65"/>
      <c r="F65"/>
      <c r="G65"/>
      <c r="H65"/>
      <c r="I65"/>
      <c r="J65"/>
      <c r="K65"/>
      <c r="L65"/>
      <c r="M65"/>
      <c r="N65" s="1365"/>
    </row>
    <row r="66" spans="1:15" ht="15.75" thickBot="1" x14ac:dyDescent="0.3">
      <c r="B66" s="1370" t="s">
        <v>1285</v>
      </c>
      <c r="C66" s="1371" t="str">
        <f>IFERROR(IRR(D62:N62,-0.3),"N.A.")</f>
        <v>N.A.</v>
      </c>
      <c r="D66" s="1715">
        <f>IFERROR(MIRR(D62:N62,$C$2,$C$2),"N.A.")</f>
        <v>0.67362754725779284</v>
      </c>
      <c r="N66" s="266">
        <f>+'RESUMEN FINANCIERO'!P221/1000000</f>
        <v>60133.776540249652</v>
      </c>
      <c r="O66" s="266">
        <f>+'BC TOTAL TÉCNICO'!N22/1000000</f>
        <v>92880.328787087157</v>
      </c>
    </row>
    <row r="67" spans="1:15" ht="15.75" thickBot="1" x14ac:dyDescent="0.3">
      <c r="B67" s="1370" t="s">
        <v>1144</v>
      </c>
      <c r="C67" s="1372">
        <f>NPV($C$2,D62:N62)</f>
        <v>42019.111307637126</v>
      </c>
      <c r="N67" s="1445">
        <f>+'BC TOTAL TÉCNICO'!N22+'BC TOTAL COMERCIAL'!N24/1000000</f>
        <v>92880337437.727737</v>
      </c>
    </row>
    <row r="68" spans="1:15" ht="15.75" thickBot="1" x14ac:dyDescent="0.3"/>
    <row r="69" spans="1:15" ht="15.75" thickBot="1" x14ac:dyDescent="0.3">
      <c r="B69" s="1354" t="s">
        <v>1145</v>
      </c>
      <c r="C69" s="1296">
        <f>+C4</f>
        <v>2025</v>
      </c>
      <c r="D69" s="1296">
        <f t="shared" ref="D69:M69" si="30">+C69+1</f>
        <v>2026</v>
      </c>
      <c r="E69" s="1296">
        <f t="shared" si="30"/>
        <v>2027</v>
      </c>
      <c r="F69" s="1296">
        <f t="shared" si="30"/>
        <v>2028</v>
      </c>
      <c r="G69" s="1296">
        <f t="shared" si="30"/>
        <v>2029</v>
      </c>
      <c r="H69" s="1296">
        <f t="shared" si="30"/>
        <v>2030</v>
      </c>
      <c r="I69" s="1296">
        <f t="shared" si="30"/>
        <v>2031</v>
      </c>
      <c r="J69" s="1296">
        <f t="shared" si="30"/>
        <v>2032</v>
      </c>
      <c r="K69" s="1296">
        <f t="shared" si="30"/>
        <v>2033</v>
      </c>
      <c r="L69" s="1296">
        <f t="shared" si="30"/>
        <v>2034</v>
      </c>
      <c r="M69" s="1297">
        <f t="shared" si="30"/>
        <v>2035</v>
      </c>
    </row>
    <row r="70" spans="1:15" x14ac:dyDescent="0.25">
      <c r="B70" s="1346" t="s">
        <v>1146</v>
      </c>
      <c r="C70" s="1373">
        <f t="shared" ref="C70:M70" si="31">+C27</f>
        <v>0</v>
      </c>
      <c r="D70" s="1374">
        <f t="shared" si="31"/>
        <v>9471.7821088258625</v>
      </c>
      <c r="E70" s="1374">
        <f t="shared" si="31"/>
        <v>11535.557778073922</v>
      </c>
      <c r="F70" s="1374">
        <f t="shared" si="31"/>
        <v>13374.814669159074</v>
      </c>
      <c r="G70" s="1374">
        <f t="shared" si="31"/>
        <v>15485.838070121394</v>
      </c>
      <c r="H70" s="1374">
        <f t="shared" si="31"/>
        <v>17425.145143662554</v>
      </c>
      <c r="I70" s="1374">
        <f t="shared" si="31"/>
        <v>11140.192701065942</v>
      </c>
      <c r="J70" s="1374">
        <f t="shared" si="31"/>
        <v>11755.923939775452</v>
      </c>
      <c r="K70" s="1374">
        <f t="shared" si="31"/>
        <v>12281.451971435308</v>
      </c>
      <c r="L70" s="1374">
        <f t="shared" si="31"/>
        <v>12706.853250870463</v>
      </c>
      <c r="M70" s="1375">
        <f t="shared" si="31"/>
        <v>13021.550089816859</v>
      </c>
    </row>
    <row r="71" spans="1:15" ht="15.75" thickBot="1" x14ac:dyDescent="0.3">
      <c r="B71" s="1349" t="s">
        <v>1147</v>
      </c>
      <c r="C71" s="1376">
        <f t="shared" ref="C71:M71" si="32">IF(C37&lt;0,0,C37)</f>
        <v>0</v>
      </c>
      <c r="D71" s="1377">
        <f t="shared" si="32"/>
        <v>3953.491713325589</v>
      </c>
      <c r="E71" s="1377">
        <f t="shared" si="32"/>
        <v>3777.6293845403852</v>
      </c>
      <c r="F71" s="1377">
        <f t="shared" si="32"/>
        <v>4521.3057460450927</v>
      </c>
      <c r="G71" s="1377">
        <f t="shared" si="32"/>
        <v>5645.6799051015714</v>
      </c>
      <c r="H71" s="1377">
        <f t="shared" si="32"/>
        <v>6186.2475101513228</v>
      </c>
      <c r="I71" s="1377">
        <f t="shared" si="32"/>
        <v>3107.4308673413047</v>
      </c>
      <c r="J71" s="1377">
        <f t="shared" si="32"/>
        <v>4313.6590859687822</v>
      </c>
      <c r="K71" s="1377">
        <f t="shared" si="32"/>
        <v>4293.1077559247015</v>
      </c>
      <c r="L71" s="1377">
        <f t="shared" si="32"/>
        <v>4395.3170608490618</v>
      </c>
      <c r="M71" s="1378">
        <f t="shared" si="32"/>
        <v>4473.6936998147321</v>
      </c>
    </row>
    <row r="72" spans="1:15" ht="15.75" thickBot="1" x14ac:dyDescent="0.3">
      <c r="B72" s="1349" t="s">
        <v>1148</v>
      </c>
      <c r="C72" s="1379">
        <f>NPV($C$2,C70:M70)</f>
        <v>51843.305661148624</v>
      </c>
    </row>
    <row r="73" spans="1:15" ht="15.75" thickBot="1" x14ac:dyDescent="0.3">
      <c r="B73" s="1349" t="s">
        <v>1149</v>
      </c>
      <c r="C73" s="1379">
        <f>NPV($C$2,C71:M71)</f>
        <v>18261.350365688937</v>
      </c>
    </row>
    <row r="74" spans="1:15" ht="15.75" thickBot="1" x14ac:dyDescent="0.3">
      <c r="B74" s="1349" t="s">
        <v>1150</v>
      </c>
      <c r="C74" s="1380">
        <f>+C72/C73</f>
        <v>2.8389634185299064</v>
      </c>
    </row>
    <row r="75" spans="1:15" ht="15.75" thickBot="1" x14ac:dyDescent="0.3"/>
    <row r="76" spans="1:15" ht="15.75" thickBot="1" x14ac:dyDescent="0.3">
      <c r="B76" s="1354" t="s">
        <v>1151</v>
      </c>
      <c r="C76" s="1296">
        <f>+C4</f>
        <v>2025</v>
      </c>
      <c r="D76" s="1296">
        <f t="shared" ref="D76:M76" si="33">+C76+1</f>
        <v>2026</v>
      </c>
      <c r="E76" s="1296">
        <f t="shared" si="33"/>
        <v>2027</v>
      </c>
      <c r="F76" s="1296">
        <f t="shared" si="33"/>
        <v>2028</v>
      </c>
      <c r="G76" s="1296">
        <f t="shared" si="33"/>
        <v>2029</v>
      </c>
      <c r="H76" s="1296">
        <f t="shared" si="33"/>
        <v>2030</v>
      </c>
      <c r="I76" s="1296">
        <f t="shared" si="33"/>
        <v>2031</v>
      </c>
      <c r="J76" s="1296">
        <f t="shared" si="33"/>
        <v>2032</v>
      </c>
      <c r="K76" s="1296">
        <f t="shared" si="33"/>
        <v>2033</v>
      </c>
      <c r="L76" s="1296">
        <f t="shared" si="33"/>
        <v>2034</v>
      </c>
      <c r="M76" s="1297">
        <f t="shared" si="33"/>
        <v>2035</v>
      </c>
    </row>
    <row r="77" spans="1:15" x14ac:dyDescent="0.25">
      <c r="B77" s="1346" t="s">
        <v>1152</v>
      </c>
      <c r="C77" s="1373">
        <f t="shared" ref="C77:M77" si="34">IF(C37&lt;0,C27-C37,C27)</f>
        <v>0</v>
      </c>
      <c r="D77" s="1374">
        <f t="shared" si="34"/>
        <v>9471.7821088258625</v>
      </c>
      <c r="E77" s="1374">
        <f t="shared" si="34"/>
        <v>11535.557778073922</v>
      </c>
      <c r="F77" s="1374">
        <f t="shared" si="34"/>
        <v>13374.814669159074</v>
      </c>
      <c r="G77" s="1374">
        <f t="shared" si="34"/>
        <v>15485.838070121394</v>
      </c>
      <c r="H77" s="1374">
        <f t="shared" si="34"/>
        <v>17425.145143662554</v>
      </c>
      <c r="I77" s="1374">
        <f t="shared" si="34"/>
        <v>11140.192701065942</v>
      </c>
      <c r="J77" s="1374">
        <f t="shared" si="34"/>
        <v>11755.923939775452</v>
      </c>
      <c r="K77" s="1374">
        <f t="shared" si="34"/>
        <v>12281.451971435308</v>
      </c>
      <c r="L77" s="1374">
        <f t="shared" si="34"/>
        <v>12706.853250870463</v>
      </c>
      <c r="M77" s="1375">
        <f t="shared" si="34"/>
        <v>13021.550089816859</v>
      </c>
    </row>
    <row r="78" spans="1:15" ht="15.75" thickBot="1" x14ac:dyDescent="0.3">
      <c r="B78" s="1349" t="s">
        <v>1147</v>
      </c>
      <c r="C78" s="1376">
        <f t="shared" ref="C78:M78" si="35">IF(C37&lt;0,0,C37)</f>
        <v>0</v>
      </c>
      <c r="D78" s="1377">
        <f t="shared" si="35"/>
        <v>3953.491713325589</v>
      </c>
      <c r="E78" s="1377">
        <f t="shared" si="35"/>
        <v>3777.6293845403852</v>
      </c>
      <c r="F78" s="1377">
        <f t="shared" si="35"/>
        <v>4521.3057460450927</v>
      </c>
      <c r="G78" s="1377">
        <f t="shared" si="35"/>
        <v>5645.6799051015714</v>
      </c>
      <c r="H78" s="1377">
        <f t="shared" si="35"/>
        <v>6186.2475101513228</v>
      </c>
      <c r="I78" s="1377">
        <f t="shared" si="35"/>
        <v>3107.4308673413047</v>
      </c>
      <c r="J78" s="1377">
        <f t="shared" si="35"/>
        <v>4313.6590859687822</v>
      </c>
      <c r="K78" s="1377">
        <f t="shared" si="35"/>
        <v>4293.1077559247015</v>
      </c>
      <c r="L78" s="1377">
        <f t="shared" si="35"/>
        <v>4395.3170608490618</v>
      </c>
      <c r="M78" s="1378">
        <f t="shared" si="35"/>
        <v>4473.6936998147321</v>
      </c>
    </row>
    <row r="79" spans="1:15" ht="15.75" thickBot="1" x14ac:dyDescent="0.3">
      <c r="B79" s="1349" t="s">
        <v>1148</v>
      </c>
      <c r="C79" s="1379">
        <f>NPV($C$2,C77:M77)</f>
        <v>51843.305661148624</v>
      </c>
    </row>
    <row r="80" spans="1:15" ht="15.75" thickBot="1" x14ac:dyDescent="0.3">
      <c r="B80" s="1349" t="s">
        <v>1149</v>
      </c>
      <c r="C80" s="1379">
        <f>NPV($C$2,C78:M78)</f>
        <v>18261.350365688937</v>
      </c>
    </row>
    <row r="81" spans="2:14" ht="15.75" thickBot="1" x14ac:dyDescent="0.3">
      <c r="B81" s="1349" t="s">
        <v>1150</v>
      </c>
      <c r="C81" s="1380">
        <f>+C79/C80</f>
        <v>2.8389634185299064</v>
      </c>
      <c r="I81" s="266"/>
      <c r="J81" s="266"/>
      <c r="K81" s="266"/>
      <c r="L81" s="266"/>
      <c r="M81" s="266"/>
    </row>
    <row r="83" spans="2:14" ht="15.75" thickBot="1" x14ac:dyDescent="0.3"/>
    <row r="84" spans="2:14" ht="15.75" thickBot="1" x14ac:dyDescent="0.3">
      <c r="B84" s="1354" t="s">
        <v>1153</v>
      </c>
      <c r="C84" s="1381">
        <f>+C4</f>
        <v>2025</v>
      </c>
      <c r="D84" s="1296">
        <f t="shared" ref="D84:M84" si="36">+C84+1</f>
        <v>2026</v>
      </c>
      <c r="E84" s="1296">
        <f t="shared" si="36"/>
        <v>2027</v>
      </c>
      <c r="F84" s="1296">
        <f t="shared" si="36"/>
        <v>2028</v>
      </c>
      <c r="G84" s="1296">
        <f t="shared" si="36"/>
        <v>2029</v>
      </c>
      <c r="H84" s="1296">
        <f t="shared" si="36"/>
        <v>2030</v>
      </c>
      <c r="I84" s="1296">
        <f t="shared" si="36"/>
        <v>2031</v>
      </c>
      <c r="J84" s="1296">
        <f t="shared" si="36"/>
        <v>2032</v>
      </c>
      <c r="K84" s="1296">
        <f t="shared" si="36"/>
        <v>2033</v>
      </c>
      <c r="L84" s="1296">
        <f t="shared" si="36"/>
        <v>2034</v>
      </c>
      <c r="M84" s="1297">
        <f t="shared" si="36"/>
        <v>2035</v>
      </c>
    </row>
    <row r="85" spans="2:14" x14ac:dyDescent="0.25">
      <c r="B85" s="1382" t="s">
        <v>1146</v>
      </c>
      <c r="C85" s="1375">
        <f t="shared" ref="C85:M85" si="37">+C27</f>
        <v>0</v>
      </c>
      <c r="D85" s="1375">
        <f t="shared" si="37"/>
        <v>9471.7821088258625</v>
      </c>
      <c r="E85" s="1375">
        <f t="shared" si="37"/>
        <v>11535.557778073922</v>
      </c>
      <c r="F85" s="1375">
        <f t="shared" si="37"/>
        <v>13374.814669159074</v>
      </c>
      <c r="G85" s="1375">
        <f t="shared" si="37"/>
        <v>15485.838070121394</v>
      </c>
      <c r="H85" s="1375">
        <f t="shared" si="37"/>
        <v>17425.145143662554</v>
      </c>
      <c r="I85" s="1375">
        <f t="shared" si="37"/>
        <v>11140.192701065942</v>
      </c>
      <c r="J85" s="1375">
        <f t="shared" si="37"/>
        <v>11755.923939775452</v>
      </c>
      <c r="K85" s="1375">
        <f t="shared" si="37"/>
        <v>12281.451971435308</v>
      </c>
      <c r="L85" s="1375">
        <f t="shared" si="37"/>
        <v>12706.853250870463</v>
      </c>
      <c r="M85" s="1375">
        <f t="shared" si="37"/>
        <v>13021.550089816859</v>
      </c>
    </row>
    <row r="86" spans="2:14" x14ac:dyDescent="0.25">
      <c r="B86" s="1383" t="s">
        <v>1147</v>
      </c>
      <c r="C86" s="1384">
        <f t="shared" ref="C86:M86" si="38">IF(C37&lt;0,0,C37)</f>
        <v>0</v>
      </c>
      <c r="D86" s="1384">
        <f t="shared" si="38"/>
        <v>3953.491713325589</v>
      </c>
      <c r="E86" s="1384">
        <f t="shared" si="38"/>
        <v>3777.6293845403852</v>
      </c>
      <c r="F86" s="1384">
        <f t="shared" si="38"/>
        <v>4521.3057460450927</v>
      </c>
      <c r="G86" s="1384">
        <f t="shared" si="38"/>
        <v>5645.6799051015714</v>
      </c>
      <c r="H86" s="1384">
        <f t="shared" si="38"/>
        <v>6186.2475101513228</v>
      </c>
      <c r="I86" s="1384">
        <f t="shared" si="38"/>
        <v>3107.4308673413047</v>
      </c>
      <c r="J86" s="1384">
        <f t="shared" si="38"/>
        <v>4313.6590859687822</v>
      </c>
      <c r="K86" s="1384">
        <f t="shared" si="38"/>
        <v>4293.1077559247015</v>
      </c>
      <c r="L86" s="1384">
        <f t="shared" si="38"/>
        <v>4395.3170608490618</v>
      </c>
      <c r="M86" s="1384">
        <f t="shared" si="38"/>
        <v>4473.6936998147321</v>
      </c>
    </row>
    <row r="87" spans="2:14" x14ac:dyDescent="0.25">
      <c r="B87" s="1383" t="s">
        <v>1154</v>
      </c>
      <c r="C87" s="1384">
        <f t="shared" ref="C87:M87" si="39">+C59</f>
        <v>0</v>
      </c>
      <c r="D87" s="1384">
        <f t="shared" si="39"/>
        <v>1866.1067916740956</v>
      </c>
      <c r="E87" s="1384">
        <f t="shared" si="39"/>
        <v>10747.610283881595</v>
      </c>
      <c r="F87" s="1384">
        <f t="shared" si="39"/>
        <v>8111.648751374013</v>
      </c>
      <c r="G87" s="1384">
        <f t="shared" si="39"/>
        <v>11006.778378669533</v>
      </c>
      <c r="H87" s="1384">
        <f t="shared" si="39"/>
        <v>8966.4001261669364</v>
      </c>
      <c r="I87" s="1384">
        <f t="shared" si="39"/>
        <v>12012.63869192614</v>
      </c>
      <c r="J87" s="1384">
        <f t="shared" si="39"/>
        <v>1646.6834319581935</v>
      </c>
      <c r="K87" s="1384">
        <f t="shared" si="39"/>
        <v>2934.698403236398</v>
      </c>
      <c r="L87" s="1384">
        <f t="shared" si="39"/>
        <v>1856.7263141544595</v>
      </c>
      <c r="M87" s="1384">
        <f t="shared" si="39"/>
        <v>1781.7650061673592</v>
      </c>
    </row>
    <row r="88" spans="2:14" ht="15.75" thickBot="1" x14ac:dyDescent="0.3">
      <c r="B88" s="1383" t="s">
        <v>1155</v>
      </c>
      <c r="C88" s="1378">
        <f t="shared" ref="C88:M88" si="40">SUM(C86:C87)</f>
        <v>0</v>
      </c>
      <c r="D88" s="1378">
        <f t="shared" si="40"/>
        <v>5819.5985049996843</v>
      </c>
      <c r="E88" s="1378">
        <f t="shared" si="40"/>
        <v>14525.23966842198</v>
      </c>
      <c r="F88" s="1378">
        <f t="shared" si="40"/>
        <v>12632.954497419105</v>
      </c>
      <c r="G88" s="1378">
        <f t="shared" si="40"/>
        <v>16652.458283771106</v>
      </c>
      <c r="H88" s="1378">
        <f t="shared" si="40"/>
        <v>15152.647636318259</v>
      </c>
      <c r="I88" s="1378">
        <f t="shared" si="40"/>
        <v>15120.069559267446</v>
      </c>
      <c r="J88" s="1378">
        <f t="shared" si="40"/>
        <v>5960.3425179269761</v>
      </c>
      <c r="K88" s="1378">
        <f t="shared" si="40"/>
        <v>7227.8061591610995</v>
      </c>
      <c r="L88" s="1378">
        <f t="shared" si="40"/>
        <v>6252.0433750035209</v>
      </c>
      <c r="M88" s="1378">
        <f t="shared" si="40"/>
        <v>6255.4587059820915</v>
      </c>
    </row>
    <row r="89" spans="2:14" ht="15.75" thickBot="1" x14ac:dyDescent="0.3">
      <c r="B89" s="1349" t="s">
        <v>1148</v>
      </c>
      <c r="C89" s="1379">
        <f>NPV($C$2,C85:M85)</f>
        <v>51843.305661148624</v>
      </c>
    </row>
    <row r="90" spans="2:14" ht="15.75" thickBot="1" x14ac:dyDescent="0.3">
      <c r="B90" s="1349" t="s">
        <v>1156</v>
      </c>
      <c r="C90" s="1379">
        <f>NPV($C$2,C88:M88)</f>
        <v>45900.34673477021</v>
      </c>
    </row>
    <row r="91" spans="2:14" ht="15.75" thickBot="1" x14ac:dyDescent="0.3">
      <c r="B91" s="1352" t="s">
        <v>1150</v>
      </c>
      <c r="C91" s="1380">
        <f>+C89/C90</f>
        <v>1.12947525125941</v>
      </c>
      <c r="N91" s="265"/>
    </row>
    <row r="92" spans="2:14" ht="15.75" thickBot="1" x14ac:dyDescent="0.3"/>
    <row r="93" spans="2:14" ht="15.75" thickBot="1" x14ac:dyDescent="0.3">
      <c r="B93" s="1354" t="s">
        <v>1157</v>
      </c>
      <c r="C93" s="1296">
        <f>+C4</f>
        <v>2025</v>
      </c>
      <c r="D93" s="1296">
        <f t="shared" ref="D93:M93" si="41">+C93+1</f>
        <v>2026</v>
      </c>
      <c r="E93" s="1296">
        <f t="shared" si="41"/>
        <v>2027</v>
      </c>
      <c r="F93" s="1296">
        <f t="shared" si="41"/>
        <v>2028</v>
      </c>
      <c r="G93" s="1296">
        <f t="shared" si="41"/>
        <v>2029</v>
      </c>
      <c r="H93" s="1296">
        <f t="shared" si="41"/>
        <v>2030</v>
      </c>
      <c r="I93" s="1296">
        <f t="shared" si="41"/>
        <v>2031</v>
      </c>
      <c r="J93" s="1296">
        <f t="shared" si="41"/>
        <v>2032</v>
      </c>
      <c r="K93" s="1296">
        <f t="shared" si="41"/>
        <v>2033</v>
      </c>
      <c r="L93" s="1296">
        <f t="shared" si="41"/>
        <v>2034</v>
      </c>
      <c r="M93" s="1297">
        <f t="shared" si="41"/>
        <v>2035</v>
      </c>
    </row>
    <row r="94" spans="2:14" x14ac:dyDescent="0.25">
      <c r="B94" s="1346" t="s">
        <v>1152</v>
      </c>
      <c r="C94" s="1375">
        <f t="shared" ref="C94:M94" si="42">IF(C37&lt;0,C27-C37,C27)</f>
        <v>0</v>
      </c>
      <c r="D94" s="1375">
        <f t="shared" si="42"/>
        <v>9471.7821088258625</v>
      </c>
      <c r="E94" s="1375">
        <f t="shared" si="42"/>
        <v>11535.557778073922</v>
      </c>
      <c r="F94" s="1375">
        <f t="shared" si="42"/>
        <v>13374.814669159074</v>
      </c>
      <c r="G94" s="1375">
        <f t="shared" si="42"/>
        <v>15485.838070121394</v>
      </c>
      <c r="H94" s="1375">
        <f t="shared" si="42"/>
        <v>17425.145143662554</v>
      </c>
      <c r="I94" s="1375">
        <f t="shared" si="42"/>
        <v>11140.192701065942</v>
      </c>
      <c r="J94" s="1375">
        <f t="shared" si="42"/>
        <v>11755.923939775452</v>
      </c>
      <c r="K94" s="1375">
        <f t="shared" si="42"/>
        <v>12281.451971435308</v>
      </c>
      <c r="L94" s="1375">
        <f t="shared" si="42"/>
        <v>12706.853250870463</v>
      </c>
      <c r="M94" s="1375">
        <f t="shared" si="42"/>
        <v>13021.550089816859</v>
      </c>
    </row>
    <row r="95" spans="2:14" x14ac:dyDescent="0.25">
      <c r="B95" s="1349" t="s">
        <v>1147</v>
      </c>
      <c r="C95" s="1384">
        <f t="shared" ref="C95:M95" si="43">IF(C37&lt;0,0,C37)</f>
        <v>0</v>
      </c>
      <c r="D95" s="1384">
        <f t="shared" si="43"/>
        <v>3953.491713325589</v>
      </c>
      <c r="E95" s="1384">
        <f t="shared" si="43"/>
        <v>3777.6293845403852</v>
      </c>
      <c r="F95" s="1384">
        <f t="shared" si="43"/>
        <v>4521.3057460450927</v>
      </c>
      <c r="G95" s="1384">
        <f t="shared" si="43"/>
        <v>5645.6799051015714</v>
      </c>
      <c r="H95" s="1384">
        <f t="shared" si="43"/>
        <v>6186.2475101513228</v>
      </c>
      <c r="I95" s="1384">
        <f t="shared" si="43"/>
        <v>3107.4308673413047</v>
      </c>
      <c r="J95" s="1384">
        <f t="shared" si="43"/>
        <v>4313.6590859687822</v>
      </c>
      <c r="K95" s="1384">
        <f t="shared" si="43"/>
        <v>4293.1077559247015</v>
      </c>
      <c r="L95" s="1384">
        <f t="shared" si="43"/>
        <v>4395.3170608490618</v>
      </c>
      <c r="M95" s="1384">
        <f t="shared" si="43"/>
        <v>4473.6936998147321</v>
      </c>
    </row>
    <row r="96" spans="2:14" x14ac:dyDescent="0.25">
      <c r="B96" s="1383" t="s">
        <v>1154</v>
      </c>
      <c r="C96" s="1384">
        <f t="shared" ref="C96:M96" si="44">+C59</f>
        <v>0</v>
      </c>
      <c r="D96" s="1384">
        <f t="shared" si="44"/>
        <v>1866.1067916740956</v>
      </c>
      <c r="E96" s="1384">
        <f t="shared" si="44"/>
        <v>10747.610283881595</v>
      </c>
      <c r="F96" s="1384">
        <f t="shared" si="44"/>
        <v>8111.648751374013</v>
      </c>
      <c r="G96" s="1384">
        <f t="shared" si="44"/>
        <v>11006.778378669533</v>
      </c>
      <c r="H96" s="1384">
        <f t="shared" si="44"/>
        <v>8966.4001261669364</v>
      </c>
      <c r="I96" s="1384">
        <f t="shared" si="44"/>
        <v>12012.63869192614</v>
      </c>
      <c r="J96" s="1384">
        <f t="shared" si="44"/>
        <v>1646.6834319581935</v>
      </c>
      <c r="K96" s="1384">
        <f t="shared" si="44"/>
        <v>2934.698403236398</v>
      </c>
      <c r="L96" s="1384">
        <f t="shared" si="44"/>
        <v>1856.7263141544595</v>
      </c>
      <c r="M96" s="1384">
        <f t="shared" si="44"/>
        <v>1781.7650061673592</v>
      </c>
    </row>
    <row r="97" spans="2:13" ht="15.75" thickBot="1" x14ac:dyDescent="0.3">
      <c r="B97" s="1383" t="s">
        <v>1155</v>
      </c>
      <c r="C97" s="1378">
        <f t="shared" ref="C97:M97" si="45">SUM(C95:C96)</f>
        <v>0</v>
      </c>
      <c r="D97" s="1378">
        <f t="shared" si="45"/>
        <v>5819.5985049996843</v>
      </c>
      <c r="E97" s="1378">
        <f t="shared" si="45"/>
        <v>14525.23966842198</v>
      </c>
      <c r="F97" s="1378">
        <f t="shared" si="45"/>
        <v>12632.954497419105</v>
      </c>
      <c r="G97" s="1378">
        <f t="shared" si="45"/>
        <v>16652.458283771106</v>
      </c>
      <c r="H97" s="1378">
        <f t="shared" si="45"/>
        <v>15152.647636318259</v>
      </c>
      <c r="I97" s="1378">
        <f t="shared" si="45"/>
        <v>15120.069559267446</v>
      </c>
      <c r="J97" s="1378">
        <f t="shared" si="45"/>
        <v>5960.3425179269761</v>
      </c>
      <c r="K97" s="1378">
        <f t="shared" si="45"/>
        <v>7227.8061591610995</v>
      </c>
      <c r="L97" s="1378">
        <f t="shared" si="45"/>
        <v>6252.0433750035209</v>
      </c>
      <c r="M97" s="1378">
        <f t="shared" si="45"/>
        <v>6255.4587059820915</v>
      </c>
    </row>
    <row r="98" spans="2:13" ht="15.75" thickBot="1" x14ac:dyDescent="0.3">
      <c r="B98" s="1349" t="s">
        <v>1148</v>
      </c>
      <c r="C98" s="1379">
        <f>NPV($C$2,C94:M94)</f>
        <v>51843.305661148624</v>
      </c>
    </row>
    <row r="99" spans="2:13" ht="15.75" thickBot="1" x14ac:dyDescent="0.3">
      <c r="B99" s="1349" t="s">
        <v>1156</v>
      </c>
      <c r="C99" s="1379">
        <f>NPV($C$2,C97:M97)</f>
        <v>45900.34673477021</v>
      </c>
    </row>
    <row r="100" spans="2:13" ht="15.75" thickBot="1" x14ac:dyDescent="0.3">
      <c r="B100" s="1352" t="s">
        <v>1150</v>
      </c>
      <c r="C100" s="1380">
        <f>+C98/C99</f>
        <v>1.12947525125941</v>
      </c>
      <c r="I100" s="266"/>
      <c r="J100" s="266"/>
      <c r="K100" s="266"/>
      <c r="L100" s="266"/>
      <c r="M100" s="266"/>
    </row>
    <row r="103" spans="2:13" x14ac:dyDescent="0.25">
      <c r="D103" s="265"/>
    </row>
    <row r="104" spans="2:13" x14ac:dyDescent="0.25">
      <c r="D104" s="265"/>
    </row>
    <row r="105" spans="2:13" x14ac:dyDescent="0.25">
      <c r="D105" s="265"/>
    </row>
    <row r="106" spans="2:13" x14ac:dyDescent="0.25">
      <c r="D106" s="265"/>
    </row>
  </sheetData>
  <mergeCells count="1">
    <mergeCell ref="B25:B26"/>
  </mergeCells>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40120-AD82-4278-9E03-18D71FC2CAD6}">
  <sheetPr codeName="Hoja45"/>
  <dimension ref="B2:B23"/>
  <sheetViews>
    <sheetView showGridLines="0" workbookViewId="0">
      <selection activeCell="B23" sqref="B23"/>
    </sheetView>
  </sheetViews>
  <sheetFormatPr baseColWidth="10" defaultRowHeight="15" x14ac:dyDescent="0.25"/>
  <cols>
    <col min="1" max="1" width="4" customWidth="1"/>
    <col min="2" max="2" width="113.375" customWidth="1"/>
  </cols>
  <sheetData>
    <row r="2" spans="2:2" ht="23.25" x14ac:dyDescent="0.35">
      <c r="B2" s="1723" t="s">
        <v>3409</v>
      </c>
    </row>
    <row r="4" spans="2:2" ht="15.75" x14ac:dyDescent="0.25">
      <c r="B4" s="1721" t="s">
        <v>1362</v>
      </c>
    </row>
    <row r="5" spans="2:2" ht="44.1" customHeight="1" x14ac:dyDescent="0.25">
      <c r="B5" s="1722" t="s">
        <v>3410</v>
      </c>
    </row>
    <row r="7" spans="2:2" ht="15.75" x14ac:dyDescent="0.25">
      <c r="B7" s="1721" t="s">
        <v>3411</v>
      </c>
    </row>
    <row r="8" spans="2:2" ht="57.95" customHeight="1" x14ac:dyDescent="0.25">
      <c r="B8" s="1722" t="s">
        <v>3412</v>
      </c>
    </row>
    <row r="10" spans="2:2" ht="15.75" x14ac:dyDescent="0.25">
      <c r="B10" s="1721" t="s">
        <v>3413</v>
      </c>
    </row>
    <row r="11" spans="2:2" ht="45.95" customHeight="1" x14ac:dyDescent="0.25">
      <c r="B11" s="1722" t="s">
        <v>3414</v>
      </c>
    </row>
    <row r="13" spans="2:2" ht="15.75" x14ac:dyDescent="0.25">
      <c r="B13" s="1721" t="s">
        <v>3415</v>
      </c>
    </row>
    <row r="14" spans="2:2" ht="45.95" customHeight="1" x14ac:dyDescent="0.25">
      <c r="B14" s="1722" t="s">
        <v>3416</v>
      </c>
    </row>
    <row r="16" spans="2:2" ht="15.75" x14ac:dyDescent="0.25">
      <c r="B16" s="1721" t="s">
        <v>3417</v>
      </c>
    </row>
    <row r="17" spans="2:2" ht="57.95" customHeight="1" x14ac:dyDescent="0.25">
      <c r="B17" s="1722" t="s">
        <v>3418</v>
      </c>
    </row>
    <row r="19" spans="2:2" ht="15.75" x14ac:dyDescent="0.25">
      <c r="B19" s="1721" t="s">
        <v>3419</v>
      </c>
    </row>
    <row r="20" spans="2:2" ht="45.95" customHeight="1" x14ac:dyDescent="0.25">
      <c r="B20" s="1722" t="s">
        <v>3422</v>
      </c>
    </row>
    <row r="22" spans="2:2" ht="15.75" x14ac:dyDescent="0.25">
      <c r="B22" s="1721" t="s">
        <v>3420</v>
      </c>
    </row>
    <row r="23" spans="2:2" ht="45.95" customHeight="1" x14ac:dyDescent="0.25">
      <c r="B23" s="1722" t="s">
        <v>3421</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D43B6-D6F5-4A8D-A81A-6E0139008D87}">
  <dimension ref="A1:BU2048"/>
  <sheetViews>
    <sheetView topLeftCell="C4" workbookViewId="0"/>
  </sheetViews>
  <sheetFormatPr baseColWidth="10" defaultRowHeight="15" x14ac:dyDescent="0.25"/>
  <cols>
    <col min="1" max="2" width="0" hidden="1" customWidth="1"/>
    <col min="4" max="6" width="4.125" hidden="1" customWidth="1"/>
    <col min="7" max="15" width="4.625" hidden="1" customWidth="1"/>
    <col min="16" max="17" width="5.625" hidden="1" customWidth="1"/>
    <col min="18" max="20" width="14.125" hidden="1" customWidth="1"/>
    <col min="21" max="29" width="13.5" hidden="1" customWidth="1"/>
    <col min="30" max="31" width="14.5" hidden="1" customWidth="1"/>
    <col min="32" max="34" width="21.625" hidden="1" customWidth="1"/>
    <col min="35" max="43" width="20.875" hidden="1" customWidth="1"/>
    <col min="44" max="45" width="22" hidden="1" customWidth="1"/>
    <col min="46" max="48" width="14.5" hidden="1" customWidth="1"/>
    <col min="49" max="57" width="13.875" hidden="1" customWidth="1"/>
    <col min="58" max="59" width="14.875" hidden="1" customWidth="1"/>
    <col min="60" max="61" width="18.625" style="81" bestFit="1" customWidth="1"/>
    <col min="62" max="62" width="17.125" style="266" bestFit="1" customWidth="1"/>
    <col min="63" max="63" width="11.875" style="266" bestFit="1" customWidth="1"/>
    <col min="64" max="64" width="11.875" hidden="1" customWidth="1"/>
    <col min="65" max="65" width="18.625" hidden="1" customWidth="1"/>
    <col min="66" max="66" width="30.25" hidden="1" customWidth="1"/>
    <col min="67" max="67" width="11.875" hidden="1" customWidth="1"/>
    <col min="69" max="69" width="33.75" bestFit="1" customWidth="1"/>
    <col min="70" max="70" width="11.875" style="266" bestFit="1" customWidth="1"/>
    <col min="71" max="71" width="13.125" style="266" bestFit="1" customWidth="1"/>
    <col min="72" max="73" width="18.625" style="81" bestFit="1" customWidth="1"/>
  </cols>
  <sheetData>
    <row r="1" spans="1:73" x14ac:dyDescent="0.25">
      <c r="A1" t="s">
        <v>1286</v>
      </c>
      <c r="C1" s="246" t="s">
        <v>1287</v>
      </c>
      <c r="D1" s="246" t="s">
        <v>1288</v>
      </c>
      <c r="E1" s="246" t="s">
        <v>1289</v>
      </c>
      <c r="F1" s="246" t="s">
        <v>1290</v>
      </c>
      <c r="G1" s="246" t="s">
        <v>1291</v>
      </c>
      <c r="H1" s="246" t="s">
        <v>1305</v>
      </c>
      <c r="I1" s="246" t="s">
        <v>1309</v>
      </c>
      <c r="J1" s="246" t="s">
        <v>1313</v>
      </c>
      <c r="K1" s="246" t="s">
        <v>1317</v>
      </c>
      <c r="L1" s="246" t="s">
        <v>1321</v>
      </c>
      <c r="M1" s="246" t="s">
        <v>1325</v>
      </c>
      <c r="N1" s="246" t="s">
        <v>1329</v>
      </c>
      <c r="O1" s="246" t="s">
        <v>1333</v>
      </c>
      <c r="P1" s="246" t="s">
        <v>1337</v>
      </c>
      <c r="Q1" s="246" t="s">
        <v>1341</v>
      </c>
      <c r="R1" s="246" t="s">
        <v>1292</v>
      </c>
      <c r="S1" s="246" t="s">
        <v>1293</v>
      </c>
      <c r="T1" s="246" t="s">
        <v>1294</v>
      </c>
      <c r="U1" s="246" t="s">
        <v>1295</v>
      </c>
      <c r="V1" s="246" t="s">
        <v>1306</v>
      </c>
      <c r="W1" s="246" t="s">
        <v>1310</v>
      </c>
      <c r="X1" s="246" t="s">
        <v>1314</v>
      </c>
      <c r="Y1" s="246" t="s">
        <v>1318</v>
      </c>
      <c r="Z1" s="246" t="s">
        <v>1322</v>
      </c>
      <c r="AA1" s="246" t="s">
        <v>1326</v>
      </c>
      <c r="AB1" s="246" t="s">
        <v>1330</v>
      </c>
      <c r="AC1" s="246" t="s">
        <v>1334</v>
      </c>
      <c r="AD1" s="246" t="s">
        <v>1338</v>
      </c>
      <c r="AE1" s="246" t="s">
        <v>1342</v>
      </c>
      <c r="AF1" s="246" t="s">
        <v>1296</v>
      </c>
      <c r="AG1" s="246" t="s">
        <v>1297</v>
      </c>
      <c r="AH1" s="246" t="s">
        <v>1298</v>
      </c>
      <c r="AI1" s="246" t="s">
        <v>1299</v>
      </c>
      <c r="AJ1" s="246" t="s">
        <v>1307</v>
      </c>
      <c r="AK1" s="246" t="s">
        <v>1311</v>
      </c>
      <c r="AL1" s="246" t="s">
        <v>1315</v>
      </c>
      <c r="AM1" s="246" t="s">
        <v>1319</v>
      </c>
      <c r="AN1" s="246" t="s">
        <v>1323</v>
      </c>
      <c r="AO1" s="246" t="s">
        <v>1327</v>
      </c>
      <c r="AP1" s="246" t="s">
        <v>1331</v>
      </c>
      <c r="AQ1" s="246" t="s">
        <v>1335</v>
      </c>
      <c r="AR1" s="246" t="s">
        <v>1339</v>
      </c>
      <c r="AS1" s="246" t="s">
        <v>1343</v>
      </c>
      <c r="AT1" s="246" t="s">
        <v>1300</v>
      </c>
      <c r="AU1" s="246" t="s">
        <v>1301</v>
      </c>
      <c r="AV1" s="246" t="s">
        <v>1302</v>
      </c>
      <c r="AW1" s="246" t="s">
        <v>1303</v>
      </c>
      <c r="AX1" s="246" t="s">
        <v>1308</v>
      </c>
      <c r="AY1" s="246" t="s">
        <v>1312</v>
      </c>
      <c r="AZ1" s="246" t="s">
        <v>1316</v>
      </c>
      <c r="BA1" s="246" t="s">
        <v>1320</v>
      </c>
      <c r="BB1" s="246" t="s">
        <v>1324</v>
      </c>
      <c r="BC1" s="246" t="s">
        <v>1328</v>
      </c>
      <c r="BD1" s="246" t="s">
        <v>1332</v>
      </c>
      <c r="BE1" s="246" t="s">
        <v>1336</v>
      </c>
      <c r="BF1" s="246" t="s">
        <v>1340</v>
      </c>
      <c r="BG1" s="246" t="s">
        <v>1344</v>
      </c>
      <c r="BH1" s="1710" t="s">
        <v>107</v>
      </c>
      <c r="BI1" s="1710" t="s">
        <v>590</v>
      </c>
      <c r="BJ1" s="1711" t="s">
        <v>1304</v>
      </c>
      <c r="BK1" s="1711" t="s">
        <v>667</v>
      </c>
      <c r="BL1" t="s">
        <v>1345</v>
      </c>
      <c r="BM1" t="s">
        <v>1347</v>
      </c>
      <c r="BN1" t="s">
        <v>3403</v>
      </c>
      <c r="BO1" t="s">
        <v>1346</v>
      </c>
      <c r="BQ1" s="246" t="s">
        <v>1284</v>
      </c>
      <c r="BR1" s="1711" t="s">
        <v>668</v>
      </c>
      <c r="BS1" s="1711" t="s">
        <v>890</v>
      </c>
      <c r="BT1" s="1710" t="s">
        <v>590</v>
      </c>
      <c r="BU1" s="1710" t="s">
        <v>107</v>
      </c>
    </row>
    <row r="2" spans="1:73" x14ac:dyDescent="0.25">
      <c r="A2">
        <v>11</v>
      </c>
      <c r="C2" s="246">
        <v>4</v>
      </c>
      <c r="D2" s="246">
        <v>1</v>
      </c>
      <c r="E2" s="246">
        <v>2</v>
      </c>
      <c r="F2" s="246">
        <v>3</v>
      </c>
      <c r="G2" s="246">
        <v>4</v>
      </c>
      <c r="H2" s="246"/>
      <c r="I2" s="246"/>
      <c r="J2" s="246"/>
      <c r="K2" s="246"/>
      <c r="L2" s="246"/>
      <c r="M2" s="246"/>
      <c r="N2" s="246"/>
      <c r="O2" s="246"/>
      <c r="P2" s="246"/>
      <c r="Q2" s="246"/>
      <c r="R2" s="246">
        <f>IFERROR(VLOOKUP(D2,PROGRAMAS[],2,FALSE),0)</f>
        <v>97037803.679377079</v>
      </c>
      <c r="S2" s="246">
        <f>IFERROR(VLOOKUP(E2,PROGRAMAS[],2,FALSE),0)</f>
        <v>640501509.6821388</v>
      </c>
      <c r="T2" s="246">
        <f>IFERROR(VLOOKUP(F2,PROGRAMAS[],2,FALSE),0)</f>
        <v>3062327798.1525245</v>
      </c>
      <c r="U2" s="246">
        <f>IFERROR(VLOOKUP(G2,PROGRAMAS[],2,FALSE),0)</f>
        <v>67697118.033011258</v>
      </c>
      <c r="V2" s="246">
        <f>IFERROR(VLOOKUP(H2,PROGRAMAS[],2,FALSE),0)</f>
        <v>0</v>
      </c>
      <c r="W2" s="246">
        <f>IFERROR(VLOOKUP(I2,PROGRAMAS[],2,FALSE),0)</f>
        <v>0</v>
      </c>
      <c r="X2" s="246">
        <f>IFERROR(VLOOKUP(J2,PROGRAMAS[],2,FALSE),0)</f>
        <v>0</v>
      </c>
      <c r="Y2" s="246">
        <f>IFERROR(VLOOKUP(K2,PROGRAMAS[],2,FALSE),0)</f>
        <v>0</v>
      </c>
      <c r="Z2" s="246">
        <f>IFERROR(VLOOKUP(L2,PROGRAMAS[],2,FALSE),0)</f>
        <v>0</v>
      </c>
      <c r="AA2" s="246">
        <f>IFERROR(VLOOKUP(M2,PROGRAMAS[],2,FALSE),0)</f>
        <v>0</v>
      </c>
      <c r="AB2" s="246">
        <f>IFERROR(VLOOKUP(N2,PROGRAMAS[],2,FALSE),0)</f>
        <v>0</v>
      </c>
      <c r="AC2" s="246">
        <f>IFERROR(VLOOKUP(O2,PROGRAMAS[],2,FALSE),0)</f>
        <v>0</v>
      </c>
      <c r="AD2" s="246">
        <f>IFERROR(VLOOKUP(P2,PROGRAMAS[],2,FALSE),0)</f>
        <v>0</v>
      </c>
      <c r="AE2" s="246">
        <f>IFERROR(VLOOKUP(Q2,PROGRAMAS[],2,FALSE),0)</f>
        <v>0</v>
      </c>
      <c r="AF2" s="246">
        <f>IFERROR(VLOOKUP(D2,PROGRAMAS[],3,FALSE),0)</f>
        <v>841888629.31080008</v>
      </c>
      <c r="AG2" s="246">
        <f>IFERROR(VLOOKUP(E2,PROGRAMAS[],3,FALSE),0)</f>
        <v>3848980803.1642323</v>
      </c>
      <c r="AH2" s="246">
        <f>IFERROR(VLOOKUP(F2,PROGRAMAS[],3,FALSE),0)</f>
        <v>3394901471.387517</v>
      </c>
      <c r="AI2" s="246">
        <f>IFERROR(VLOOKUP(G2,PROGRAMAS[],3,FALSE),0)</f>
        <v>125317226.95549992</v>
      </c>
      <c r="AJ2" s="246">
        <f>IFERROR(VLOOKUP(H2,PROGRAMAS[],3,FALSE),0)</f>
        <v>0</v>
      </c>
      <c r="AK2" s="246">
        <f>IFERROR(VLOOKUP(I2,PROGRAMAS[],3,FALSE),0)</f>
        <v>0</v>
      </c>
      <c r="AL2" s="246">
        <f>IFERROR(VLOOKUP(J2,PROGRAMAS[],3,FALSE),0)</f>
        <v>0</v>
      </c>
      <c r="AM2" s="246">
        <f>IFERROR(VLOOKUP(K2,PROGRAMAS[],3,FALSE),0)</f>
        <v>0</v>
      </c>
      <c r="AN2" s="246">
        <f>IFERROR(VLOOKUP(L2,PROGRAMAS[],3,FALSE),0)</f>
        <v>0</v>
      </c>
      <c r="AO2" s="246">
        <f>IFERROR(VLOOKUP(M2,PROGRAMAS[],3,FALSE),0)</f>
        <v>0</v>
      </c>
      <c r="AP2" s="246">
        <f>IFERROR(VLOOKUP(N2,PROGRAMAS[],3,FALSE),0)</f>
        <v>0</v>
      </c>
      <c r="AQ2" s="246">
        <f>IFERROR(VLOOKUP(O2,PROGRAMAS[],3,FALSE),0)</f>
        <v>0</v>
      </c>
      <c r="AR2" s="246">
        <f>IFERROR(VLOOKUP(P2,PROGRAMAS[],3,FALSE),0)</f>
        <v>0</v>
      </c>
      <c r="AS2" s="246">
        <f>IFERROR(VLOOKUP(Q2,PROGRAMAS[],3,FALSE),0)</f>
        <v>0</v>
      </c>
      <c r="AT2" s="246">
        <f>IFERROR(VLOOKUP(D2,VOL_REC[],2,FALSE),0)</f>
        <v>0</v>
      </c>
      <c r="AU2" s="246">
        <f>IFERROR(VLOOKUP(E2,VOL_REC[],2,FALSE),0)</f>
        <v>0</v>
      </c>
      <c r="AV2" s="246">
        <f>IFERROR(VLOOKUP(F2,VOL_REC[],2,FALSE),0)</f>
        <v>11089674.200000001</v>
      </c>
      <c r="AW2" s="246">
        <f>IFERROR(VLOOKUP(G2,VOL_REC[],2,FALSE),0)</f>
        <v>90439.55</v>
      </c>
      <c r="AX2" s="246">
        <f>IFERROR(VLOOKUP(H2,VOL_REC[],2,FALSE),0)</f>
        <v>0</v>
      </c>
      <c r="AY2" s="246">
        <f>IFERROR(VLOOKUP(I2,VOL_REC[],2,FALSE),0)</f>
        <v>0</v>
      </c>
      <c r="AZ2" s="246">
        <f>IFERROR(VLOOKUP(J2,VOL_REC[],2,FALSE),0)</f>
        <v>0</v>
      </c>
      <c r="BA2" s="246">
        <f>IFERROR(VLOOKUP(K2,VOL_REC[],2,FALSE),0)</f>
        <v>0</v>
      </c>
      <c r="BB2" s="246">
        <f>IFERROR(VLOOKUP(L2,VOL_REC[],2,FALSE),0)</f>
        <v>0</v>
      </c>
      <c r="BC2" s="246">
        <f>IFERROR(VLOOKUP(M2,VOL_REC[],2,FALSE),0)</f>
        <v>0</v>
      </c>
      <c r="BD2" s="246">
        <f>IFERROR(VLOOKUP(N2,VOL_REC[],2,FALSE),0)</f>
        <v>0</v>
      </c>
      <c r="BE2" s="246">
        <f>IFERROR(VLOOKUP(O2,VOL_REC[],2,FALSE),0)</f>
        <v>0</v>
      </c>
      <c r="BF2" s="246">
        <f>IFERROR(VLOOKUP(P2,VOL_REC[],2,FALSE),0)</f>
        <v>0</v>
      </c>
      <c r="BG2" s="246">
        <f>IFERROR(VLOOKUP(Q2,VOL_REC[],2,FALSE),0)</f>
        <v>0</v>
      </c>
      <c r="BH2" s="1710">
        <f t="shared" ref="BH2:BH65" si="0">SUM(R2:AE2)</f>
        <v>3867564229.5470519</v>
      </c>
      <c r="BI2" s="1710">
        <f t="shared" ref="BI2:BI65" si="1">SUM(AF2:AS2)</f>
        <v>8211088130.8180494</v>
      </c>
      <c r="BJ2" s="1711">
        <f t="shared" ref="BJ2:BJ65" si="2">SUM(AT2:BG2)</f>
        <v>11180113.750000002</v>
      </c>
      <c r="BK2" s="1711">
        <f t="shared" ref="BK2:BK65" si="3">IFERROR(BH2/BI2,0)</f>
        <v>0.47101725957991109</v>
      </c>
      <c r="BM2" t="s">
        <v>3399</v>
      </c>
      <c r="BN2">
        <f>IFERROR(LARGE(BO:BO,15),0)</f>
        <v>39021627.603286132</v>
      </c>
      <c r="BQ2" s="246" t="s">
        <v>1348</v>
      </c>
      <c r="BR2" s="1711">
        <v>1.101282287059262</v>
      </c>
      <c r="BS2" s="1711">
        <v>39094993.108252034</v>
      </c>
      <c r="BT2" s="1710">
        <v>32432978442.869274</v>
      </c>
      <c r="BU2" s="1710">
        <v>35717864675.706818</v>
      </c>
    </row>
    <row r="3" spans="1:73" x14ac:dyDescent="0.25">
      <c r="A3">
        <v>4</v>
      </c>
      <c r="C3" s="246">
        <v>5</v>
      </c>
      <c r="D3" s="246">
        <v>1</v>
      </c>
      <c r="E3" s="246">
        <v>2</v>
      </c>
      <c r="F3" s="246">
        <v>3</v>
      </c>
      <c r="G3" s="246">
        <v>5</v>
      </c>
      <c r="H3" s="246"/>
      <c r="I3" s="246"/>
      <c r="J3" s="246"/>
      <c r="K3" s="246"/>
      <c r="L3" s="246"/>
      <c r="M3" s="246"/>
      <c r="N3" s="246"/>
      <c r="O3" s="246"/>
      <c r="P3" s="246"/>
      <c r="Q3" s="246"/>
      <c r="R3" s="246">
        <f>IFERROR(VLOOKUP(D3,PROGRAMAS[],2,FALSE),0)</f>
        <v>97037803.679377079</v>
      </c>
      <c r="S3" s="246">
        <f>IFERROR(VLOOKUP(E3,PROGRAMAS[],2,FALSE),0)</f>
        <v>640501509.6821388</v>
      </c>
      <c r="T3" s="246">
        <f>IFERROR(VLOOKUP(F3,PROGRAMAS[],2,FALSE),0)</f>
        <v>3062327798.1525245</v>
      </c>
      <c r="U3" s="246">
        <f>IFERROR(VLOOKUP(G3,PROGRAMAS[],2,FALSE),0)</f>
        <v>1440941976.2528784</v>
      </c>
      <c r="V3" s="246">
        <f>IFERROR(VLOOKUP(H3,PROGRAMAS[],2,FALSE),0)</f>
        <v>0</v>
      </c>
      <c r="W3" s="246">
        <f>IFERROR(VLOOKUP(I3,PROGRAMAS[],2,FALSE),0)</f>
        <v>0</v>
      </c>
      <c r="X3" s="246">
        <f>IFERROR(VLOOKUP(J3,PROGRAMAS[],2,FALSE),0)</f>
        <v>0</v>
      </c>
      <c r="Y3" s="246">
        <f>IFERROR(VLOOKUP(K3,PROGRAMAS[],2,FALSE),0)</f>
        <v>0</v>
      </c>
      <c r="Z3" s="246">
        <f>IFERROR(VLOOKUP(L3,PROGRAMAS[],2,FALSE),0)</f>
        <v>0</v>
      </c>
      <c r="AA3" s="246">
        <f>IFERROR(VLOOKUP(M3,PROGRAMAS[],2,FALSE),0)</f>
        <v>0</v>
      </c>
      <c r="AB3" s="246">
        <f>IFERROR(VLOOKUP(N3,PROGRAMAS[],2,FALSE),0)</f>
        <v>0</v>
      </c>
      <c r="AC3" s="246">
        <f>IFERROR(VLOOKUP(O3,PROGRAMAS[],2,FALSE),0)</f>
        <v>0</v>
      </c>
      <c r="AD3" s="246">
        <f>IFERROR(VLOOKUP(P3,PROGRAMAS[],2,FALSE),0)</f>
        <v>0</v>
      </c>
      <c r="AE3" s="246">
        <f>IFERROR(VLOOKUP(Q3,PROGRAMAS[],2,FALSE),0)</f>
        <v>0</v>
      </c>
      <c r="AF3" s="246">
        <f>IFERROR(VLOOKUP(D3,PROGRAMAS[],3,FALSE),0)</f>
        <v>841888629.31080008</v>
      </c>
      <c r="AG3" s="246">
        <f>IFERROR(VLOOKUP(E3,PROGRAMAS[],3,FALSE),0)</f>
        <v>3848980803.1642323</v>
      </c>
      <c r="AH3" s="246">
        <f>IFERROR(VLOOKUP(F3,PROGRAMAS[],3,FALSE),0)</f>
        <v>3394901471.387517</v>
      </c>
      <c r="AI3" s="246">
        <f>IFERROR(VLOOKUP(G3,PROGRAMAS[],3,FALSE),0)</f>
        <v>1233505101.0616004</v>
      </c>
      <c r="AJ3" s="246">
        <f>IFERROR(VLOOKUP(H3,PROGRAMAS[],3,FALSE),0)</f>
        <v>0</v>
      </c>
      <c r="AK3" s="246">
        <f>IFERROR(VLOOKUP(I3,PROGRAMAS[],3,FALSE),0)</f>
        <v>0</v>
      </c>
      <c r="AL3" s="246">
        <f>IFERROR(VLOOKUP(J3,PROGRAMAS[],3,FALSE),0)</f>
        <v>0</v>
      </c>
      <c r="AM3" s="246">
        <f>IFERROR(VLOOKUP(K3,PROGRAMAS[],3,FALSE),0)</f>
        <v>0</v>
      </c>
      <c r="AN3" s="246">
        <f>IFERROR(VLOOKUP(L3,PROGRAMAS[],3,FALSE),0)</f>
        <v>0</v>
      </c>
      <c r="AO3" s="246">
        <f>IFERROR(VLOOKUP(M3,PROGRAMAS[],3,FALSE),0)</f>
        <v>0</v>
      </c>
      <c r="AP3" s="246">
        <f>IFERROR(VLOOKUP(N3,PROGRAMAS[],3,FALSE),0)</f>
        <v>0</v>
      </c>
      <c r="AQ3" s="246">
        <f>IFERROR(VLOOKUP(O3,PROGRAMAS[],3,FALSE),0)</f>
        <v>0</v>
      </c>
      <c r="AR3" s="246">
        <f>IFERROR(VLOOKUP(P3,PROGRAMAS[],3,FALSE),0)</f>
        <v>0</v>
      </c>
      <c r="AS3" s="246">
        <f>IFERROR(VLOOKUP(Q3,PROGRAMAS[],3,FALSE),0)</f>
        <v>0</v>
      </c>
      <c r="AT3" s="246">
        <f>IFERROR(VLOOKUP(D3,VOL_REC[],2,FALSE),0)</f>
        <v>0</v>
      </c>
      <c r="AU3" s="246">
        <f>IFERROR(VLOOKUP(E3,VOL_REC[],2,FALSE),0)</f>
        <v>0</v>
      </c>
      <c r="AV3" s="246">
        <f>IFERROR(VLOOKUP(F3,VOL_REC[],2,FALSE),0)</f>
        <v>11089674.200000001</v>
      </c>
      <c r="AW3" s="246">
        <f>IFERROR(VLOOKUP(G3,VOL_REC[],2,FALSE),0)</f>
        <v>4325103.1812214684</v>
      </c>
      <c r="AX3" s="246">
        <f>IFERROR(VLOOKUP(H3,VOL_REC[],2,FALSE),0)</f>
        <v>0</v>
      </c>
      <c r="AY3" s="246">
        <f>IFERROR(VLOOKUP(I3,VOL_REC[],2,FALSE),0)</f>
        <v>0</v>
      </c>
      <c r="AZ3" s="246">
        <f>IFERROR(VLOOKUP(J3,VOL_REC[],2,FALSE),0)</f>
        <v>0</v>
      </c>
      <c r="BA3" s="246">
        <f>IFERROR(VLOOKUP(K3,VOL_REC[],2,FALSE),0)</f>
        <v>0</v>
      </c>
      <c r="BB3" s="246">
        <f>IFERROR(VLOOKUP(L3,VOL_REC[],2,FALSE),0)</f>
        <v>0</v>
      </c>
      <c r="BC3" s="246">
        <f>IFERROR(VLOOKUP(M3,VOL_REC[],2,FALSE),0)</f>
        <v>0</v>
      </c>
      <c r="BD3" s="246">
        <f>IFERROR(VLOOKUP(N3,VOL_REC[],2,FALSE),0)</f>
        <v>0</v>
      </c>
      <c r="BE3" s="246">
        <f>IFERROR(VLOOKUP(O3,VOL_REC[],2,FALSE),0)</f>
        <v>0</v>
      </c>
      <c r="BF3" s="246">
        <f>IFERROR(VLOOKUP(P3,VOL_REC[],2,FALSE),0)</f>
        <v>0</v>
      </c>
      <c r="BG3" s="246">
        <f>IFERROR(VLOOKUP(Q3,VOL_REC[],2,FALSE),0)</f>
        <v>0</v>
      </c>
      <c r="BH3" s="1710">
        <f t="shared" si="0"/>
        <v>5240809087.7669191</v>
      </c>
      <c r="BI3" s="1710">
        <f t="shared" si="1"/>
        <v>9319276004.9241505</v>
      </c>
      <c r="BJ3" s="1711">
        <f t="shared" si="2"/>
        <v>15414777.381221469</v>
      </c>
      <c r="BK3" s="1711">
        <f t="shared" si="3"/>
        <v>0.56236225700341558</v>
      </c>
      <c r="BM3" t="s">
        <v>3399</v>
      </c>
      <c r="BQ3" s="246" t="s">
        <v>1349</v>
      </c>
      <c r="BR3" s="1711">
        <v>1.104046526158688</v>
      </c>
      <c r="BS3" s="1711">
        <v>39245250.350633018</v>
      </c>
      <c r="BT3" s="1710">
        <v>32983179056.023605</v>
      </c>
      <c r="BU3" s="1710">
        <v>36414964258.472855</v>
      </c>
    </row>
    <row r="4" spans="1:73" x14ac:dyDescent="0.25">
      <c r="A4">
        <v>5</v>
      </c>
      <c r="C4" s="246">
        <v>6</v>
      </c>
      <c r="D4" s="246">
        <v>1</v>
      </c>
      <c r="E4" s="246">
        <v>2</v>
      </c>
      <c r="F4" s="246">
        <v>3</v>
      </c>
      <c r="G4" s="246">
        <v>6</v>
      </c>
      <c r="H4" s="246"/>
      <c r="I4" s="246"/>
      <c r="J4" s="246"/>
      <c r="K4" s="246"/>
      <c r="L4" s="246"/>
      <c r="M4" s="246"/>
      <c r="N4" s="246"/>
      <c r="O4" s="246"/>
      <c r="P4" s="246"/>
      <c r="Q4" s="246"/>
      <c r="R4" s="246">
        <f>IFERROR(VLOOKUP(D4,PROGRAMAS[],2,FALSE),0)</f>
        <v>97037803.679377079</v>
      </c>
      <c r="S4" s="246">
        <f>IFERROR(VLOOKUP(E4,PROGRAMAS[],2,FALSE),0)</f>
        <v>640501509.6821388</v>
      </c>
      <c r="T4" s="246">
        <f>IFERROR(VLOOKUP(F4,PROGRAMAS[],2,FALSE),0)</f>
        <v>3062327798.1525245</v>
      </c>
      <c r="U4" s="246">
        <f>IFERROR(VLOOKUP(G4,PROGRAMAS[],2,FALSE),0)</f>
        <v>6907648435.8447599</v>
      </c>
      <c r="V4" s="246">
        <f>IFERROR(VLOOKUP(H4,PROGRAMAS[],2,FALSE),0)</f>
        <v>0</v>
      </c>
      <c r="W4" s="246">
        <f>IFERROR(VLOOKUP(I4,PROGRAMAS[],2,FALSE),0)</f>
        <v>0</v>
      </c>
      <c r="X4" s="246">
        <f>IFERROR(VLOOKUP(J4,PROGRAMAS[],2,FALSE),0)</f>
        <v>0</v>
      </c>
      <c r="Y4" s="246">
        <f>IFERROR(VLOOKUP(K4,PROGRAMAS[],2,FALSE),0)</f>
        <v>0</v>
      </c>
      <c r="Z4" s="246">
        <f>IFERROR(VLOOKUP(L4,PROGRAMAS[],2,FALSE),0)</f>
        <v>0</v>
      </c>
      <c r="AA4" s="246">
        <f>IFERROR(VLOOKUP(M4,PROGRAMAS[],2,FALSE),0)</f>
        <v>0</v>
      </c>
      <c r="AB4" s="246">
        <f>IFERROR(VLOOKUP(N4,PROGRAMAS[],2,FALSE),0)</f>
        <v>0</v>
      </c>
      <c r="AC4" s="246">
        <f>IFERROR(VLOOKUP(O4,PROGRAMAS[],2,FALSE),0)</f>
        <v>0</v>
      </c>
      <c r="AD4" s="246">
        <f>IFERROR(VLOOKUP(P4,PROGRAMAS[],2,FALSE),0)</f>
        <v>0</v>
      </c>
      <c r="AE4" s="246">
        <f>IFERROR(VLOOKUP(Q4,PROGRAMAS[],2,FALSE),0)</f>
        <v>0</v>
      </c>
      <c r="AF4" s="246">
        <f>IFERROR(VLOOKUP(D4,PROGRAMAS[],3,FALSE),0)</f>
        <v>841888629.31080008</v>
      </c>
      <c r="AG4" s="246">
        <f>IFERROR(VLOOKUP(E4,PROGRAMAS[],3,FALSE),0)</f>
        <v>3848980803.1642323</v>
      </c>
      <c r="AH4" s="246">
        <f>IFERROR(VLOOKUP(F4,PROGRAMAS[],3,FALSE),0)</f>
        <v>3394901471.387517</v>
      </c>
      <c r="AI4" s="246">
        <f>IFERROR(VLOOKUP(G4,PROGRAMAS[],3,FALSE),0)</f>
        <v>6129902208.7912121</v>
      </c>
      <c r="AJ4" s="246">
        <f>IFERROR(VLOOKUP(H4,PROGRAMAS[],3,FALSE),0)</f>
        <v>0</v>
      </c>
      <c r="AK4" s="246">
        <f>IFERROR(VLOOKUP(I4,PROGRAMAS[],3,FALSE),0)</f>
        <v>0</v>
      </c>
      <c r="AL4" s="246">
        <f>IFERROR(VLOOKUP(J4,PROGRAMAS[],3,FALSE),0)</f>
        <v>0</v>
      </c>
      <c r="AM4" s="246">
        <f>IFERROR(VLOOKUP(K4,PROGRAMAS[],3,FALSE),0)</f>
        <v>0</v>
      </c>
      <c r="AN4" s="246">
        <f>IFERROR(VLOOKUP(L4,PROGRAMAS[],3,FALSE),0)</f>
        <v>0</v>
      </c>
      <c r="AO4" s="246">
        <f>IFERROR(VLOOKUP(M4,PROGRAMAS[],3,FALSE),0)</f>
        <v>0</v>
      </c>
      <c r="AP4" s="246">
        <f>IFERROR(VLOOKUP(N4,PROGRAMAS[],3,FALSE),0)</f>
        <v>0</v>
      </c>
      <c r="AQ4" s="246">
        <f>IFERROR(VLOOKUP(O4,PROGRAMAS[],3,FALSE),0)</f>
        <v>0</v>
      </c>
      <c r="AR4" s="246">
        <f>IFERROR(VLOOKUP(P4,PROGRAMAS[],3,FALSE),0)</f>
        <v>0</v>
      </c>
      <c r="AS4" s="246">
        <f>IFERROR(VLOOKUP(Q4,PROGRAMAS[],3,FALSE),0)</f>
        <v>0</v>
      </c>
      <c r="AT4" s="246">
        <f>IFERROR(VLOOKUP(D4,VOL_REC[],2,FALSE),0)</f>
        <v>0</v>
      </c>
      <c r="AU4" s="246">
        <f>IFERROR(VLOOKUP(E4,VOL_REC[],2,FALSE),0)</f>
        <v>0</v>
      </c>
      <c r="AV4" s="246">
        <f>IFERROR(VLOOKUP(F4,VOL_REC[],2,FALSE),0)</f>
        <v>11089674.200000001</v>
      </c>
      <c r="AW4" s="246">
        <f>IFERROR(VLOOKUP(G4,VOL_REC[],2,FALSE),0)</f>
        <v>15540036.397699751</v>
      </c>
      <c r="AX4" s="246">
        <f>IFERROR(VLOOKUP(H4,VOL_REC[],2,FALSE),0)</f>
        <v>0</v>
      </c>
      <c r="AY4" s="246">
        <f>IFERROR(VLOOKUP(I4,VOL_REC[],2,FALSE),0)</f>
        <v>0</v>
      </c>
      <c r="AZ4" s="246">
        <f>IFERROR(VLOOKUP(J4,VOL_REC[],2,FALSE),0)</f>
        <v>0</v>
      </c>
      <c r="BA4" s="246">
        <f>IFERROR(VLOOKUP(K4,VOL_REC[],2,FALSE),0)</f>
        <v>0</v>
      </c>
      <c r="BB4" s="246">
        <f>IFERROR(VLOOKUP(L4,VOL_REC[],2,FALSE),0)</f>
        <v>0</v>
      </c>
      <c r="BC4" s="246">
        <f>IFERROR(VLOOKUP(M4,VOL_REC[],2,FALSE),0)</f>
        <v>0</v>
      </c>
      <c r="BD4" s="246">
        <f>IFERROR(VLOOKUP(N4,VOL_REC[],2,FALSE),0)</f>
        <v>0</v>
      </c>
      <c r="BE4" s="246">
        <f>IFERROR(VLOOKUP(O4,VOL_REC[],2,FALSE),0)</f>
        <v>0</v>
      </c>
      <c r="BF4" s="246">
        <f>IFERROR(VLOOKUP(P4,VOL_REC[],2,FALSE),0)</f>
        <v>0</v>
      </c>
      <c r="BG4" s="246">
        <f>IFERROR(VLOOKUP(Q4,VOL_REC[],2,FALSE),0)</f>
        <v>0</v>
      </c>
      <c r="BH4" s="1710">
        <f t="shared" si="0"/>
        <v>10707515547.358801</v>
      </c>
      <c r="BI4" s="1710">
        <f t="shared" si="1"/>
        <v>14215673112.653763</v>
      </c>
      <c r="BJ4" s="1711">
        <f t="shared" si="2"/>
        <v>26629710.597699754</v>
      </c>
      <c r="BK4" s="1711">
        <f t="shared" si="3"/>
        <v>0.75321903243735577</v>
      </c>
      <c r="BM4" t="s">
        <v>3400</v>
      </c>
      <c r="BN4">
        <f>COUNT(BO:BO)</f>
        <v>988</v>
      </c>
      <c r="BQ4" s="246" t="s">
        <v>1350</v>
      </c>
      <c r="BR4" s="1711">
        <v>1.1040480562887713</v>
      </c>
      <c r="BS4" s="1711">
        <v>39021627.603286132</v>
      </c>
      <c r="BT4" s="1710">
        <v>32339526542.294743</v>
      </c>
      <c r="BU4" s="1710">
        <v>35704391420.319641</v>
      </c>
    </row>
    <row r="5" spans="1:73" x14ac:dyDescent="0.25">
      <c r="A5">
        <v>6</v>
      </c>
      <c r="C5" s="246">
        <v>9</v>
      </c>
      <c r="D5" s="246">
        <v>1</v>
      </c>
      <c r="E5" s="246">
        <v>2</v>
      </c>
      <c r="F5" s="246">
        <v>3</v>
      </c>
      <c r="G5" s="246">
        <v>9</v>
      </c>
      <c r="H5" s="246"/>
      <c r="I5" s="246"/>
      <c r="J5" s="246"/>
      <c r="K5" s="246"/>
      <c r="L5" s="246"/>
      <c r="M5" s="246"/>
      <c r="N5" s="246"/>
      <c r="O5" s="246"/>
      <c r="P5" s="246"/>
      <c r="Q5" s="246"/>
      <c r="R5" s="246">
        <f>IFERROR(VLOOKUP(D5,PROGRAMAS[],2,FALSE),0)</f>
        <v>97037803.679377079</v>
      </c>
      <c r="S5" s="246">
        <f>IFERROR(VLOOKUP(E5,PROGRAMAS[],2,FALSE),0)</f>
        <v>640501509.6821388</v>
      </c>
      <c r="T5" s="246">
        <f>IFERROR(VLOOKUP(F5,PROGRAMAS[],2,FALSE),0)</f>
        <v>3062327798.1525245</v>
      </c>
      <c r="U5" s="246">
        <f>IFERROR(VLOOKUP(G5,PROGRAMAS[],2,FALSE),0)</f>
        <v>6128579952.1618185</v>
      </c>
      <c r="V5" s="246">
        <f>IFERROR(VLOOKUP(H5,PROGRAMAS[],2,FALSE),0)</f>
        <v>0</v>
      </c>
      <c r="W5" s="246">
        <f>IFERROR(VLOOKUP(I5,PROGRAMAS[],2,FALSE),0)</f>
        <v>0</v>
      </c>
      <c r="X5" s="246">
        <f>IFERROR(VLOOKUP(J5,PROGRAMAS[],2,FALSE),0)</f>
        <v>0</v>
      </c>
      <c r="Y5" s="246">
        <f>IFERROR(VLOOKUP(K5,PROGRAMAS[],2,FALSE),0)</f>
        <v>0</v>
      </c>
      <c r="Z5" s="246">
        <f>IFERROR(VLOOKUP(L5,PROGRAMAS[],2,FALSE),0)</f>
        <v>0</v>
      </c>
      <c r="AA5" s="246">
        <f>IFERROR(VLOOKUP(M5,PROGRAMAS[],2,FALSE),0)</f>
        <v>0</v>
      </c>
      <c r="AB5" s="246">
        <f>IFERROR(VLOOKUP(N5,PROGRAMAS[],2,FALSE),0)</f>
        <v>0</v>
      </c>
      <c r="AC5" s="246">
        <f>IFERROR(VLOOKUP(O5,PROGRAMAS[],2,FALSE),0)</f>
        <v>0</v>
      </c>
      <c r="AD5" s="246">
        <f>IFERROR(VLOOKUP(P5,PROGRAMAS[],2,FALSE),0)</f>
        <v>0</v>
      </c>
      <c r="AE5" s="246">
        <f>IFERROR(VLOOKUP(Q5,PROGRAMAS[],2,FALSE),0)</f>
        <v>0</v>
      </c>
      <c r="AF5" s="246">
        <f>IFERROR(VLOOKUP(D5,PROGRAMAS[],3,FALSE),0)</f>
        <v>841888629.31080008</v>
      </c>
      <c r="AG5" s="246">
        <f>IFERROR(VLOOKUP(E5,PROGRAMAS[],3,FALSE),0)</f>
        <v>3848980803.1642323</v>
      </c>
      <c r="AH5" s="246">
        <f>IFERROR(VLOOKUP(F5,PROGRAMAS[],3,FALSE),0)</f>
        <v>3394901471.387517</v>
      </c>
      <c r="AI5" s="246">
        <f>IFERROR(VLOOKUP(G5,PROGRAMAS[],3,FALSE),0)</f>
        <v>7011279577.519702</v>
      </c>
      <c r="AJ5" s="246">
        <f>IFERROR(VLOOKUP(H5,PROGRAMAS[],3,FALSE),0)</f>
        <v>0</v>
      </c>
      <c r="AK5" s="246">
        <f>IFERROR(VLOOKUP(I5,PROGRAMAS[],3,FALSE),0)</f>
        <v>0</v>
      </c>
      <c r="AL5" s="246">
        <f>IFERROR(VLOOKUP(J5,PROGRAMAS[],3,FALSE),0)</f>
        <v>0</v>
      </c>
      <c r="AM5" s="246">
        <f>IFERROR(VLOOKUP(K5,PROGRAMAS[],3,FALSE),0)</f>
        <v>0</v>
      </c>
      <c r="AN5" s="246">
        <f>IFERROR(VLOOKUP(L5,PROGRAMAS[],3,FALSE),0)</f>
        <v>0</v>
      </c>
      <c r="AO5" s="246">
        <f>IFERROR(VLOOKUP(M5,PROGRAMAS[],3,FALSE),0)</f>
        <v>0</v>
      </c>
      <c r="AP5" s="246">
        <f>IFERROR(VLOOKUP(N5,PROGRAMAS[],3,FALSE),0)</f>
        <v>0</v>
      </c>
      <c r="AQ5" s="246">
        <f>IFERROR(VLOOKUP(O5,PROGRAMAS[],3,FALSE),0)</f>
        <v>0</v>
      </c>
      <c r="AR5" s="246">
        <f>IFERROR(VLOOKUP(P5,PROGRAMAS[],3,FALSE),0)</f>
        <v>0</v>
      </c>
      <c r="AS5" s="246">
        <f>IFERROR(VLOOKUP(Q5,PROGRAMAS[],3,FALSE),0)</f>
        <v>0</v>
      </c>
      <c r="AT5" s="246">
        <f>IFERROR(VLOOKUP(D5,VOL_REC[],2,FALSE),0)</f>
        <v>0</v>
      </c>
      <c r="AU5" s="246">
        <f>IFERROR(VLOOKUP(E5,VOL_REC[],2,FALSE),0)</f>
        <v>0</v>
      </c>
      <c r="AV5" s="246">
        <f>IFERROR(VLOOKUP(F5,VOL_REC[],2,FALSE),0)</f>
        <v>11089674.200000001</v>
      </c>
      <c r="AW5" s="246">
        <f>IFERROR(VLOOKUP(G5,VOL_REC[],2,FALSE),0)</f>
        <v>3761786</v>
      </c>
      <c r="AX5" s="246">
        <f>IFERROR(VLOOKUP(H5,VOL_REC[],2,FALSE),0)</f>
        <v>0</v>
      </c>
      <c r="AY5" s="246">
        <f>IFERROR(VLOOKUP(I5,VOL_REC[],2,FALSE),0)</f>
        <v>0</v>
      </c>
      <c r="AZ5" s="246">
        <f>IFERROR(VLOOKUP(J5,VOL_REC[],2,FALSE),0)</f>
        <v>0</v>
      </c>
      <c r="BA5" s="246">
        <f>IFERROR(VLOOKUP(K5,VOL_REC[],2,FALSE),0)</f>
        <v>0</v>
      </c>
      <c r="BB5" s="246">
        <f>IFERROR(VLOOKUP(L5,VOL_REC[],2,FALSE),0)</f>
        <v>0</v>
      </c>
      <c r="BC5" s="246">
        <f>IFERROR(VLOOKUP(M5,VOL_REC[],2,FALSE),0)</f>
        <v>0</v>
      </c>
      <c r="BD5" s="246">
        <f>IFERROR(VLOOKUP(N5,VOL_REC[],2,FALSE),0)</f>
        <v>0</v>
      </c>
      <c r="BE5" s="246">
        <f>IFERROR(VLOOKUP(O5,VOL_REC[],2,FALSE),0)</f>
        <v>0</v>
      </c>
      <c r="BF5" s="246">
        <f>IFERROR(VLOOKUP(P5,VOL_REC[],2,FALSE),0)</f>
        <v>0</v>
      </c>
      <c r="BG5" s="246">
        <f>IFERROR(VLOOKUP(Q5,VOL_REC[],2,FALSE),0)</f>
        <v>0</v>
      </c>
      <c r="BH5" s="1710">
        <f t="shared" si="0"/>
        <v>9928447063.6758595</v>
      </c>
      <c r="BI5" s="1710">
        <f t="shared" si="1"/>
        <v>15097050481.382252</v>
      </c>
      <c r="BJ5" s="1711">
        <f t="shared" si="2"/>
        <v>14851460.200000001</v>
      </c>
      <c r="BK5" s="1711">
        <f t="shared" si="3"/>
        <v>0.65764150924179954</v>
      </c>
      <c r="BM5" t="s">
        <v>3401</v>
      </c>
      <c r="BN5">
        <f>COUNT(BL:BL)</f>
        <v>988</v>
      </c>
      <c r="BQ5" s="246" t="s">
        <v>1351</v>
      </c>
      <c r="BR5" s="1711">
        <v>1.1031894099354409</v>
      </c>
      <c r="BS5" s="1711">
        <v>39109625.558252029</v>
      </c>
      <c r="BT5" s="1710">
        <v>32426278668.438885</v>
      </c>
      <c r="BU5" s="1710">
        <v>35772327230.637268</v>
      </c>
    </row>
    <row r="6" spans="1:73" x14ac:dyDescent="0.25">
      <c r="A6">
        <v>9</v>
      </c>
      <c r="C6" s="246">
        <v>10</v>
      </c>
      <c r="D6" s="246">
        <v>1</v>
      </c>
      <c r="E6" s="246">
        <v>2</v>
      </c>
      <c r="F6" s="246">
        <v>3</v>
      </c>
      <c r="G6" s="246">
        <v>10</v>
      </c>
      <c r="H6" s="246"/>
      <c r="I6" s="246"/>
      <c r="J6" s="246"/>
      <c r="K6" s="246"/>
      <c r="L6" s="246"/>
      <c r="M6" s="246"/>
      <c r="N6" s="246"/>
      <c r="O6" s="246"/>
      <c r="P6" s="246"/>
      <c r="Q6" s="246"/>
      <c r="R6" s="246">
        <f>IFERROR(VLOOKUP(D6,PROGRAMAS[],2,FALSE),0)</f>
        <v>97037803.679377079</v>
      </c>
      <c r="S6" s="246">
        <f>IFERROR(VLOOKUP(E6,PROGRAMAS[],2,FALSE),0)</f>
        <v>640501509.6821388</v>
      </c>
      <c r="T6" s="246">
        <f>IFERROR(VLOOKUP(F6,PROGRAMAS[],2,FALSE),0)</f>
        <v>3062327798.1525245</v>
      </c>
      <c r="U6" s="246">
        <f>IFERROR(VLOOKUP(G6,PROGRAMAS[],2,FALSE),0)</f>
        <v>4635315027.8751087</v>
      </c>
      <c r="V6" s="246">
        <f>IFERROR(VLOOKUP(H6,PROGRAMAS[],2,FALSE),0)</f>
        <v>0</v>
      </c>
      <c r="W6" s="246">
        <f>IFERROR(VLOOKUP(I6,PROGRAMAS[],2,FALSE),0)</f>
        <v>0</v>
      </c>
      <c r="X6" s="246">
        <f>IFERROR(VLOOKUP(J6,PROGRAMAS[],2,FALSE),0)</f>
        <v>0</v>
      </c>
      <c r="Y6" s="246">
        <f>IFERROR(VLOOKUP(K6,PROGRAMAS[],2,FALSE),0)</f>
        <v>0</v>
      </c>
      <c r="Z6" s="246">
        <f>IFERROR(VLOOKUP(L6,PROGRAMAS[],2,FALSE),0)</f>
        <v>0</v>
      </c>
      <c r="AA6" s="246">
        <f>IFERROR(VLOOKUP(M6,PROGRAMAS[],2,FALSE),0)</f>
        <v>0</v>
      </c>
      <c r="AB6" s="246">
        <f>IFERROR(VLOOKUP(N6,PROGRAMAS[],2,FALSE),0)</f>
        <v>0</v>
      </c>
      <c r="AC6" s="246">
        <f>IFERROR(VLOOKUP(O6,PROGRAMAS[],2,FALSE),0)</f>
        <v>0</v>
      </c>
      <c r="AD6" s="246">
        <f>IFERROR(VLOOKUP(P6,PROGRAMAS[],2,FALSE),0)</f>
        <v>0</v>
      </c>
      <c r="AE6" s="246">
        <f>IFERROR(VLOOKUP(Q6,PROGRAMAS[],2,FALSE),0)</f>
        <v>0</v>
      </c>
      <c r="AF6" s="246">
        <f>IFERROR(VLOOKUP(D6,PROGRAMAS[],3,FALSE),0)</f>
        <v>841888629.31080008</v>
      </c>
      <c r="AG6" s="246">
        <f>IFERROR(VLOOKUP(E6,PROGRAMAS[],3,FALSE),0)</f>
        <v>3848980803.1642323</v>
      </c>
      <c r="AH6" s="246">
        <f>IFERROR(VLOOKUP(F6,PROGRAMAS[],3,FALSE),0)</f>
        <v>3394901471.387517</v>
      </c>
      <c r="AI6" s="246">
        <f>IFERROR(VLOOKUP(G6,PROGRAMAS[],3,FALSE),0)</f>
        <v>4099471734.9978786</v>
      </c>
      <c r="AJ6" s="246">
        <f>IFERROR(VLOOKUP(H6,PROGRAMAS[],3,FALSE),0)</f>
        <v>0</v>
      </c>
      <c r="AK6" s="246">
        <f>IFERROR(VLOOKUP(I6,PROGRAMAS[],3,FALSE),0)</f>
        <v>0</v>
      </c>
      <c r="AL6" s="246">
        <f>IFERROR(VLOOKUP(J6,PROGRAMAS[],3,FALSE),0)</f>
        <v>0</v>
      </c>
      <c r="AM6" s="246">
        <f>IFERROR(VLOOKUP(K6,PROGRAMAS[],3,FALSE),0)</f>
        <v>0</v>
      </c>
      <c r="AN6" s="246">
        <f>IFERROR(VLOOKUP(L6,PROGRAMAS[],3,FALSE),0)</f>
        <v>0</v>
      </c>
      <c r="AO6" s="246">
        <f>IFERROR(VLOOKUP(M6,PROGRAMAS[],3,FALSE),0)</f>
        <v>0</v>
      </c>
      <c r="AP6" s="246">
        <f>IFERROR(VLOOKUP(N6,PROGRAMAS[],3,FALSE),0)</f>
        <v>0</v>
      </c>
      <c r="AQ6" s="246">
        <f>IFERROR(VLOOKUP(O6,PROGRAMAS[],3,FALSE),0)</f>
        <v>0</v>
      </c>
      <c r="AR6" s="246">
        <f>IFERROR(VLOOKUP(P6,PROGRAMAS[],3,FALSE),0)</f>
        <v>0</v>
      </c>
      <c r="AS6" s="246">
        <f>IFERROR(VLOOKUP(Q6,PROGRAMAS[],3,FALSE),0)</f>
        <v>0</v>
      </c>
      <c r="AT6" s="246">
        <f>IFERROR(VLOOKUP(D6,VOL_REC[],2,FALSE),0)</f>
        <v>0</v>
      </c>
      <c r="AU6" s="246">
        <f>IFERROR(VLOOKUP(E6,VOL_REC[],2,FALSE),0)</f>
        <v>0</v>
      </c>
      <c r="AV6" s="246">
        <f>IFERROR(VLOOKUP(F6,VOL_REC[],2,FALSE),0)</f>
        <v>11089674.200000001</v>
      </c>
      <c r="AW6" s="246">
        <f>IFERROR(VLOOKUP(G6,VOL_REC[],2,FALSE),0)</f>
        <v>1812240</v>
      </c>
      <c r="AX6" s="246">
        <f>IFERROR(VLOOKUP(H6,VOL_REC[],2,FALSE),0)</f>
        <v>0</v>
      </c>
      <c r="AY6" s="246">
        <f>IFERROR(VLOOKUP(I6,VOL_REC[],2,FALSE),0)</f>
        <v>0</v>
      </c>
      <c r="AZ6" s="246">
        <f>IFERROR(VLOOKUP(J6,VOL_REC[],2,FALSE),0)</f>
        <v>0</v>
      </c>
      <c r="BA6" s="246">
        <f>IFERROR(VLOOKUP(K6,VOL_REC[],2,FALSE),0)</f>
        <v>0</v>
      </c>
      <c r="BB6" s="246">
        <f>IFERROR(VLOOKUP(L6,VOL_REC[],2,FALSE),0)</f>
        <v>0</v>
      </c>
      <c r="BC6" s="246">
        <f>IFERROR(VLOOKUP(M6,VOL_REC[],2,FALSE),0)</f>
        <v>0</v>
      </c>
      <c r="BD6" s="246">
        <f>IFERROR(VLOOKUP(N6,VOL_REC[],2,FALSE),0)</f>
        <v>0</v>
      </c>
      <c r="BE6" s="246">
        <f>IFERROR(VLOOKUP(O6,VOL_REC[],2,FALSE),0)</f>
        <v>0</v>
      </c>
      <c r="BF6" s="246">
        <f>IFERROR(VLOOKUP(P6,VOL_REC[],2,FALSE),0)</f>
        <v>0</v>
      </c>
      <c r="BG6" s="246">
        <f>IFERROR(VLOOKUP(Q6,VOL_REC[],2,FALSE),0)</f>
        <v>0</v>
      </c>
      <c r="BH6" s="1710">
        <f t="shared" si="0"/>
        <v>8435182139.3891487</v>
      </c>
      <c r="BI6" s="1710">
        <f t="shared" si="1"/>
        <v>12185242638.860428</v>
      </c>
      <c r="BJ6" s="1711">
        <f t="shared" si="2"/>
        <v>12901914.200000001</v>
      </c>
      <c r="BK6" s="1711">
        <f t="shared" si="3"/>
        <v>0.69224572619409186</v>
      </c>
      <c r="BM6" t="s">
        <v>3402</v>
      </c>
      <c r="BN6">
        <f>IFERROR(ROUND(LARGE(BK:BK,15),3),0)</f>
        <v>1.1910000000000001</v>
      </c>
      <c r="BQ6" s="246" t="s">
        <v>1352</v>
      </c>
      <c r="BR6" s="1711">
        <v>1.1019123630589469</v>
      </c>
      <c r="BS6" s="1711">
        <v>39335689.900633022</v>
      </c>
      <c r="BT6" s="1710">
        <v>33108496282.979103</v>
      </c>
      <c r="BU6" s="1710">
        <v>36482661376.505867</v>
      </c>
    </row>
    <row r="7" spans="1:73" x14ac:dyDescent="0.25">
      <c r="A7">
        <v>10</v>
      </c>
      <c r="C7" s="246">
        <v>12</v>
      </c>
      <c r="D7" s="246">
        <v>1</v>
      </c>
      <c r="E7" s="246">
        <v>2</v>
      </c>
      <c r="F7" s="246">
        <v>3</v>
      </c>
      <c r="G7" s="246">
        <v>12</v>
      </c>
      <c r="H7" s="246"/>
      <c r="I7" s="246"/>
      <c r="J7" s="246"/>
      <c r="K7" s="246"/>
      <c r="L7" s="246"/>
      <c r="M7" s="246"/>
      <c r="N7" s="246"/>
      <c r="O7" s="246"/>
      <c r="P7" s="246"/>
      <c r="Q7" s="246"/>
      <c r="R7" s="246">
        <f>IFERROR(VLOOKUP(D7,PROGRAMAS[],2,FALSE),0)</f>
        <v>97037803.679377079</v>
      </c>
      <c r="S7" s="246">
        <f>IFERROR(VLOOKUP(E7,PROGRAMAS[],2,FALSE),0)</f>
        <v>640501509.6821388</v>
      </c>
      <c r="T7" s="246">
        <f>IFERROR(VLOOKUP(F7,PROGRAMAS[],2,FALSE),0)</f>
        <v>3062327798.1525245</v>
      </c>
      <c r="U7" s="246">
        <f>IFERROR(VLOOKUP(G7,PROGRAMAS[],2,FALSE),0)</f>
        <v>764796700.79905891</v>
      </c>
      <c r="V7" s="246">
        <f>IFERROR(VLOOKUP(H7,PROGRAMAS[],2,FALSE),0)</f>
        <v>0</v>
      </c>
      <c r="W7" s="246">
        <f>IFERROR(VLOOKUP(I7,PROGRAMAS[],2,FALSE),0)</f>
        <v>0</v>
      </c>
      <c r="X7" s="246">
        <f>IFERROR(VLOOKUP(J7,PROGRAMAS[],2,FALSE),0)</f>
        <v>0</v>
      </c>
      <c r="Y7" s="246">
        <f>IFERROR(VLOOKUP(K7,PROGRAMAS[],2,FALSE),0)</f>
        <v>0</v>
      </c>
      <c r="Z7" s="246">
        <f>IFERROR(VLOOKUP(L7,PROGRAMAS[],2,FALSE),0)</f>
        <v>0</v>
      </c>
      <c r="AA7" s="246">
        <f>IFERROR(VLOOKUP(M7,PROGRAMAS[],2,FALSE),0)</f>
        <v>0</v>
      </c>
      <c r="AB7" s="246">
        <f>IFERROR(VLOOKUP(N7,PROGRAMAS[],2,FALSE),0)</f>
        <v>0</v>
      </c>
      <c r="AC7" s="246">
        <f>IFERROR(VLOOKUP(O7,PROGRAMAS[],2,FALSE),0)</f>
        <v>0</v>
      </c>
      <c r="AD7" s="246">
        <f>IFERROR(VLOOKUP(P7,PROGRAMAS[],2,FALSE),0)</f>
        <v>0</v>
      </c>
      <c r="AE7" s="246">
        <f>IFERROR(VLOOKUP(Q7,PROGRAMAS[],2,FALSE),0)</f>
        <v>0</v>
      </c>
      <c r="AF7" s="246">
        <f>IFERROR(VLOOKUP(D7,PROGRAMAS[],3,FALSE),0)</f>
        <v>841888629.31080008</v>
      </c>
      <c r="AG7" s="246">
        <f>IFERROR(VLOOKUP(E7,PROGRAMAS[],3,FALSE),0)</f>
        <v>3848980803.1642323</v>
      </c>
      <c r="AH7" s="246">
        <f>IFERROR(VLOOKUP(F7,PROGRAMAS[],3,FALSE),0)</f>
        <v>3394901471.387517</v>
      </c>
      <c r="AI7" s="246">
        <f>IFERROR(VLOOKUP(G7,PROGRAMAS[],3,FALSE),0)</f>
        <v>675517840.109828</v>
      </c>
      <c r="AJ7" s="246">
        <f>IFERROR(VLOOKUP(H7,PROGRAMAS[],3,FALSE),0)</f>
        <v>0</v>
      </c>
      <c r="AK7" s="246">
        <f>IFERROR(VLOOKUP(I7,PROGRAMAS[],3,FALSE),0)</f>
        <v>0</v>
      </c>
      <c r="AL7" s="246">
        <f>IFERROR(VLOOKUP(J7,PROGRAMAS[],3,FALSE),0)</f>
        <v>0</v>
      </c>
      <c r="AM7" s="246">
        <f>IFERROR(VLOOKUP(K7,PROGRAMAS[],3,FALSE),0)</f>
        <v>0</v>
      </c>
      <c r="AN7" s="246">
        <f>IFERROR(VLOOKUP(L7,PROGRAMAS[],3,FALSE),0)</f>
        <v>0</v>
      </c>
      <c r="AO7" s="246">
        <f>IFERROR(VLOOKUP(M7,PROGRAMAS[],3,FALSE),0)</f>
        <v>0</v>
      </c>
      <c r="AP7" s="246">
        <f>IFERROR(VLOOKUP(N7,PROGRAMAS[],3,FALSE),0)</f>
        <v>0</v>
      </c>
      <c r="AQ7" s="246">
        <f>IFERROR(VLOOKUP(O7,PROGRAMAS[],3,FALSE),0)</f>
        <v>0</v>
      </c>
      <c r="AR7" s="246">
        <f>IFERROR(VLOOKUP(P7,PROGRAMAS[],3,FALSE),0)</f>
        <v>0</v>
      </c>
      <c r="AS7" s="246">
        <f>IFERROR(VLOOKUP(Q7,PROGRAMAS[],3,FALSE),0)</f>
        <v>0</v>
      </c>
      <c r="AT7" s="246">
        <f>IFERROR(VLOOKUP(D7,VOL_REC[],2,FALSE),0)</f>
        <v>0</v>
      </c>
      <c r="AU7" s="246">
        <f>IFERROR(VLOOKUP(E7,VOL_REC[],2,FALSE),0)</f>
        <v>0</v>
      </c>
      <c r="AV7" s="246">
        <f>IFERROR(VLOOKUP(F7,VOL_REC[],2,FALSE),0)</f>
        <v>11089674.200000001</v>
      </c>
      <c r="AW7" s="246">
        <f>IFERROR(VLOOKUP(G7,VOL_REC[],2,FALSE),0)</f>
        <v>240696.79238099116</v>
      </c>
      <c r="AX7" s="246">
        <f>IFERROR(VLOOKUP(H7,VOL_REC[],2,FALSE),0)</f>
        <v>0</v>
      </c>
      <c r="AY7" s="246">
        <f>IFERROR(VLOOKUP(I7,VOL_REC[],2,FALSE),0)</f>
        <v>0</v>
      </c>
      <c r="AZ7" s="246">
        <f>IFERROR(VLOOKUP(J7,VOL_REC[],2,FALSE),0)</f>
        <v>0</v>
      </c>
      <c r="BA7" s="246">
        <f>IFERROR(VLOOKUP(K7,VOL_REC[],2,FALSE),0)</f>
        <v>0</v>
      </c>
      <c r="BB7" s="246">
        <f>IFERROR(VLOOKUP(L7,VOL_REC[],2,FALSE),0)</f>
        <v>0</v>
      </c>
      <c r="BC7" s="246">
        <f>IFERROR(VLOOKUP(M7,VOL_REC[],2,FALSE),0)</f>
        <v>0</v>
      </c>
      <c r="BD7" s="246">
        <f>IFERROR(VLOOKUP(N7,VOL_REC[],2,FALSE),0)</f>
        <v>0</v>
      </c>
      <c r="BE7" s="246">
        <f>IFERROR(VLOOKUP(O7,VOL_REC[],2,FALSE),0)</f>
        <v>0</v>
      </c>
      <c r="BF7" s="246">
        <f>IFERROR(VLOOKUP(P7,VOL_REC[],2,FALSE),0)</f>
        <v>0</v>
      </c>
      <c r="BG7" s="246">
        <f>IFERROR(VLOOKUP(Q7,VOL_REC[],2,FALSE),0)</f>
        <v>0</v>
      </c>
      <c r="BH7" s="1710">
        <f t="shared" si="0"/>
        <v>4564663812.3130989</v>
      </c>
      <c r="BI7" s="1710">
        <f t="shared" si="1"/>
        <v>8761288743.9723778</v>
      </c>
      <c r="BJ7" s="1711">
        <f t="shared" si="2"/>
        <v>11330370.992380992</v>
      </c>
      <c r="BK7" s="1711">
        <f t="shared" si="3"/>
        <v>0.52100369542705827</v>
      </c>
      <c r="BQ7" s="246" t="s">
        <v>1353</v>
      </c>
      <c r="BR7" s="1711">
        <v>1.1018715750677641</v>
      </c>
      <c r="BS7" s="1711">
        <v>39112067.153286137</v>
      </c>
      <c r="BT7" s="1710">
        <v>32464843769.25024</v>
      </c>
      <c r="BU7" s="1710">
        <v>35772088538.352654</v>
      </c>
    </row>
    <row r="8" spans="1:73" x14ac:dyDescent="0.25">
      <c r="A8">
        <v>12</v>
      </c>
      <c r="C8" s="246">
        <v>13</v>
      </c>
      <c r="D8" s="246">
        <v>1</v>
      </c>
      <c r="E8" s="246">
        <v>2</v>
      </c>
      <c r="F8" s="246">
        <v>3</v>
      </c>
      <c r="G8" s="246">
        <v>13</v>
      </c>
      <c r="H8" s="246"/>
      <c r="I8" s="246"/>
      <c r="J8" s="246"/>
      <c r="K8" s="246"/>
      <c r="L8" s="246"/>
      <c r="M8" s="246"/>
      <c r="N8" s="246"/>
      <c r="O8" s="246"/>
      <c r="P8" s="246"/>
      <c r="Q8" s="246"/>
      <c r="R8" s="246">
        <f>IFERROR(VLOOKUP(D8,PROGRAMAS[],2,FALSE),0)</f>
        <v>97037803.679377079</v>
      </c>
      <c r="S8" s="246">
        <f>IFERROR(VLOOKUP(E8,PROGRAMAS[],2,FALSE),0)</f>
        <v>640501509.6821388</v>
      </c>
      <c r="T8" s="246">
        <f>IFERROR(VLOOKUP(F8,PROGRAMAS[],2,FALSE),0)</f>
        <v>3062327798.1525245</v>
      </c>
      <c r="U8" s="246">
        <f>IFERROR(VLOOKUP(G8,PROGRAMAS[],2,FALSE),0)</f>
        <v>3776538594.4604583</v>
      </c>
      <c r="V8" s="246">
        <f>IFERROR(VLOOKUP(H8,PROGRAMAS[],2,FALSE),0)</f>
        <v>0</v>
      </c>
      <c r="W8" s="246">
        <f>IFERROR(VLOOKUP(I8,PROGRAMAS[],2,FALSE),0)</f>
        <v>0</v>
      </c>
      <c r="X8" s="246">
        <f>IFERROR(VLOOKUP(J8,PROGRAMAS[],2,FALSE),0)</f>
        <v>0</v>
      </c>
      <c r="Y8" s="246">
        <f>IFERROR(VLOOKUP(K8,PROGRAMAS[],2,FALSE),0)</f>
        <v>0</v>
      </c>
      <c r="Z8" s="246">
        <f>IFERROR(VLOOKUP(L8,PROGRAMAS[],2,FALSE),0)</f>
        <v>0</v>
      </c>
      <c r="AA8" s="246">
        <f>IFERROR(VLOOKUP(M8,PROGRAMAS[],2,FALSE),0)</f>
        <v>0</v>
      </c>
      <c r="AB8" s="246">
        <f>IFERROR(VLOOKUP(N8,PROGRAMAS[],2,FALSE),0)</f>
        <v>0</v>
      </c>
      <c r="AC8" s="246">
        <f>IFERROR(VLOOKUP(O8,PROGRAMAS[],2,FALSE),0)</f>
        <v>0</v>
      </c>
      <c r="AD8" s="246">
        <f>IFERROR(VLOOKUP(P8,PROGRAMAS[],2,FALSE),0)</f>
        <v>0</v>
      </c>
      <c r="AE8" s="246">
        <f>IFERROR(VLOOKUP(Q8,PROGRAMAS[],2,FALSE),0)</f>
        <v>0</v>
      </c>
      <c r="AF8" s="246">
        <f>IFERROR(VLOOKUP(D8,PROGRAMAS[],3,FALSE),0)</f>
        <v>841888629.31080008</v>
      </c>
      <c r="AG8" s="246">
        <f>IFERROR(VLOOKUP(E8,PROGRAMAS[],3,FALSE),0)</f>
        <v>3848980803.1642323</v>
      </c>
      <c r="AH8" s="246">
        <f>IFERROR(VLOOKUP(F8,PROGRAMAS[],3,FALSE),0)</f>
        <v>3394901471.387517</v>
      </c>
      <c r="AI8" s="246">
        <f>IFERROR(VLOOKUP(G8,PROGRAMAS[],3,FALSE),0)</f>
        <v>2392571243.5584412</v>
      </c>
      <c r="AJ8" s="246">
        <f>IFERROR(VLOOKUP(H8,PROGRAMAS[],3,FALSE),0)</f>
        <v>0</v>
      </c>
      <c r="AK8" s="246">
        <f>IFERROR(VLOOKUP(I8,PROGRAMAS[],3,FALSE),0)</f>
        <v>0</v>
      </c>
      <c r="AL8" s="246">
        <f>IFERROR(VLOOKUP(J8,PROGRAMAS[],3,FALSE),0)</f>
        <v>0</v>
      </c>
      <c r="AM8" s="246">
        <f>IFERROR(VLOOKUP(K8,PROGRAMAS[],3,FALSE),0)</f>
        <v>0</v>
      </c>
      <c r="AN8" s="246">
        <f>IFERROR(VLOOKUP(L8,PROGRAMAS[],3,FALSE),0)</f>
        <v>0</v>
      </c>
      <c r="AO8" s="246">
        <f>IFERROR(VLOOKUP(M8,PROGRAMAS[],3,FALSE),0)</f>
        <v>0</v>
      </c>
      <c r="AP8" s="246">
        <f>IFERROR(VLOOKUP(N8,PROGRAMAS[],3,FALSE),0)</f>
        <v>0</v>
      </c>
      <c r="AQ8" s="246">
        <f>IFERROR(VLOOKUP(O8,PROGRAMAS[],3,FALSE),0)</f>
        <v>0</v>
      </c>
      <c r="AR8" s="246">
        <f>IFERROR(VLOOKUP(P8,PROGRAMAS[],3,FALSE),0)</f>
        <v>0</v>
      </c>
      <c r="AS8" s="246">
        <f>IFERROR(VLOOKUP(Q8,PROGRAMAS[],3,FALSE),0)</f>
        <v>0</v>
      </c>
      <c r="AT8" s="246">
        <f>IFERROR(VLOOKUP(D8,VOL_REC[],2,FALSE),0)</f>
        <v>0</v>
      </c>
      <c r="AU8" s="246">
        <f>IFERROR(VLOOKUP(E8,VOL_REC[],2,FALSE),0)</f>
        <v>0</v>
      </c>
      <c r="AV8" s="246">
        <f>IFERROR(VLOOKUP(F8,VOL_REC[],2,FALSE),0)</f>
        <v>11089674.200000001</v>
      </c>
      <c r="AW8" s="246">
        <f>IFERROR(VLOOKUP(G8,VOL_REC[],2,FALSE),0)</f>
        <v>663244.80000000016</v>
      </c>
      <c r="AX8" s="246">
        <f>IFERROR(VLOOKUP(H8,VOL_REC[],2,FALSE),0)</f>
        <v>0</v>
      </c>
      <c r="AY8" s="246">
        <f>IFERROR(VLOOKUP(I8,VOL_REC[],2,FALSE),0)</f>
        <v>0</v>
      </c>
      <c r="AZ8" s="246">
        <f>IFERROR(VLOOKUP(J8,VOL_REC[],2,FALSE),0)</f>
        <v>0</v>
      </c>
      <c r="BA8" s="246">
        <f>IFERROR(VLOOKUP(K8,VOL_REC[],2,FALSE),0)</f>
        <v>0</v>
      </c>
      <c r="BB8" s="246">
        <f>IFERROR(VLOOKUP(L8,VOL_REC[],2,FALSE),0)</f>
        <v>0</v>
      </c>
      <c r="BC8" s="246">
        <f>IFERROR(VLOOKUP(M8,VOL_REC[],2,FALSE),0)</f>
        <v>0</v>
      </c>
      <c r="BD8" s="246">
        <f>IFERROR(VLOOKUP(N8,VOL_REC[],2,FALSE),0)</f>
        <v>0</v>
      </c>
      <c r="BE8" s="246">
        <f>IFERROR(VLOOKUP(O8,VOL_REC[],2,FALSE),0)</f>
        <v>0</v>
      </c>
      <c r="BF8" s="246">
        <f>IFERROR(VLOOKUP(P8,VOL_REC[],2,FALSE),0)</f>
        <v>0</v>
      </c>
      <c r="BG8" s="246">
        <f>IFERROR(VLOOKUP(Q8,VOL_REC[],2,FALSE),0)</f>
        <v>0</v>
      </c>
      <c r="BH8" s="1710">
        <f t="shared" si="0"/>
        <v>7576405705.9744987</v>
      </c>
      <c r="BI8" s="1710">
        <f t="shared" si="1"/>
        <v>10478342147.42099</v>
      </c>
      <c r="BJ8" s="1711">
        <f t="shared" si="2"/>
        <v>11752919.000000002</v>
      </c>
      <c r="BK8" s="1711">
        <f t="shared" si="3"/>
        <v>0.72305385712560089</v>
      </c>
      <c r="BQ8" s="246" t="s">
        <v>1354</v>
      </c>
      <c r="BR8" s="1711">
        <v>1.1010220347980286</v>
      </c>
      <c r="BS8" s="1711">
        <v>39200065.108252034</v>
      </c>
      <c r="BT8" s="1710">
        <v>32551595895.394382</v>
      </c>
      <c r="BU8" s="1710">
        <v>35840024348.67028</v>
      </c>
    </row>
    <row r="9" spans="1:73" x14ac:dyDescent="0.25">
      <c r="A9">
        <v>13</v>
      </c>
      <c r="C9" s="246">
        <v>14</v>
      </c>
      <c r="D9" s="246">
        <v>1</v>
      </c>
      <c r="E9" s="246">
        <v>2</v>
      </c>
      <c r="F9" s="246">
        <v>3</v>
      </c>
      <c r="G9" s="246">
        <v>14</v>
      </c>
      <c r="H9" s="246"/>
      <c r="I9" s="246"/>
      <c r="J9" s="246"/>
      <c r="K9" s="246"/>
      <c r="L9" s="246"/>
      <c r="M9" s="246"/>
      <c r="N9" s="246"/>
      <c r="O9" s="246"/>
      <c r="P9" s="246"/>
      <c r="Q9" s="246"/>
      <c r="R9" s="246">
        <f>IFERROR(VLOOKUP(D9,PROGRAMAS[],2,FALSE),0)</f>
        <v>97037803.679377079</v>
      </c>
      <c r="S9" s="246">
        <f>IFERROR(VLOOKUP(E9,PROGRAMAS[],2,FALSE),0)</f>
        <v>640501509.6821388</v>
      </c>
      <c r="T9" s="246">
        <f>IFERROR(VLOOKUP(F9,PROGRAMAS[],2,FALSE),0)</f>
        <v>3062327798.1525245</v>
      </c>
      <c r="U9" s="246">
        <f>IFERROR(VLOOKUP(G9,PROGRAMAS[],2,FALSE),0)</f>
        <v>54223862.645839565</v>
      </c>
      <c r="V9" s="246">
        <f>IFERROR(VLOOKUP(H9,PROGRAMAS[],2,FALSE),0)</f>
        <v>0</v>
      </c>
      <c r="W9" s="246">
        <f>IFERROR(VLOOKUP(I9,PROGRAMAS[],2,FALSE),0)</f>
        <v>0</v>
      </c>
      <c r="X9" s="246">
        <f>IFERROR(VLOOKUP(J9,PROGRAMAS[],2,FALSE),0)</f>
        <v>0</v>
      </c>
      <c r="Y9" s="246">
        <f>IFERROR(VLOOKUP(K9,PROGRAMAS[],2,FALSE),0)</f>
        <v>0</v>
      </c>
      <c r="Z9" s="246">
        <f>IFERROR(VLOOKUP(L9,PROGRAMAS[],2,FALSE),0)</f>
        <v>0</v>
      </c>
      <c r="AA9" s="246">
        <f>IFERROR(VLOOKUP(M9,PROGRAMAS[],2,FALSE),0)</f>
        <v>0</v>
      </c>
      <c r="AB9" s="246">
        <f>IFERROR(VLOOKUP(N9,PROGRAMAS[],2,FALSE),0)</f>
        <v>0</v>
      </c>
      <c r="AC9" s="246">
        <f>IFERROR(VLOOKUP(O9,PROGRAMAS[],2,FALSE),0)</f>
        <v>0</v>
      </c>
      <c r="AD9" s="246">
        <f>IFERROR(VLOOKUP(P9,PROGRAMAS[],2,FALSE),0)</f>
        <v>0</v>
      </c>
      <c r="AE9" s="246">
        <f>IFERROR(VLOOKUP(Q9,PROGRAMAS[],2,FALSE),0)</f>
        <v>0</v>
      </c>
      <c r="AF9" s="246">
        <f>IFERROR(VLOOKUP(D9,PROGRAMAS[],3,FALSE),0)</f>
        <v>841888629.31080008</v>
      </c>
      <c r="AG9" s="246">
        <f>IFERROR(VLOOKUP(E9,PROGRAMAS[],3,FALSE),0)</f>
        <v>3848980803.1642323</v>
      </c>
      <c r="AH9" s="246">
        <f>IFERROR(VLOOKUP(F9,PROGRAMAS[],3,FALSE),0)</f>
        <v>3394901471.387517</v>
      </c>
      <c r="AI9" s="246">
        <f>IFERROR(VLOOKUP(G9,PROGRAMAS[],3,FALSE),0)</f>
        <v>31865326.38096505</v>
      </c>
      <c r="AJ9" s="246">
        <f>IFERROR(VLOOKUP(H9,PROGRAMAS[],3,FALSE),0)</f>
        <v>0</v>
      </c>
      <c r="AK9" s="246">
        <f>IFERROR(VLOOKUP(I9,PROGRAMAS[],3,FALSE),0)</f>
        <v>0</v>
      </c>
      <c r="AL9" s="246">
        <f>IFERROR(VLOOKUP(J9,PROGRAMAS[],3,FALSE),0)</f>
        <v>0</v>
      </c>
      <c r="AM9" s="246">
        <f>IFERROR(VLOOKUP(K9,PROGRAMAS[],3,FALSE),0)</f>
        <v>0</v>
      </c>
      <c r="AN9" s="246">
        <f>IFERROR(VLOOKUP(L9,PROGRAMAS[],3,FALSE),0)</f>
        <v>0</v>
      </c>
      <c r="AO9" s="246">
        <f>IFERROR(VLOOKUP(M9,PROGRAMAS[],3,FALSE),0)</f>
        <v>0</v>
      </c>
      <c r="AP9" s="246">
        <f>IFERROR(VLOOKUP(N9,PROGRAMAS[],3,FALSE),0)</f>
        <v>0</v>
      </c>
      <c r="AQ9" s="246">
        <f>IFERROR(VLOOKUP(O9,PROGRAMAS[],3,FALSE),0)</f>
        <v>0</v>
      </c>
      <c r="AR9" s="246">
        <f>IFERROR(VLOOKUP(P9,PROGRAMAS[],3,FALSE),0)</f>
        <v>0</v>
      </c>
      <c r="AS9" s="246">
        <f>IFERROR(VLOOKUP(Q9,PROGRAMAS[],3,FALSE),0)</f>
        <v>0</v>
      </c>
      <c r="AT9" s="246">
        <f>IFERROR(VLOOKUP(D9,VOL_REC[],2,FALSE),0)</f>
        <v>0</v>
      </c>
      <c r="AU9" s="246">
        <f>IFERROR(VLOOKUP(E9,VOL_REC[],2,FALSE),0)</f>
        <v>0</v>
      </c>
      <c r="AV9" s="246">
        <f>IFERROR(VLOOKUP(F9,VOL_REC[],2,FALSE),0)</f>
        <v>11089674.200000001</v>
      </c>
      <c r="AW9" s="246">
        <f>IFERROR(VLOOKUP(G9,VOL_REC[],2,FALSE),0)</f>
        <v>17074.045034105649</v>
      </c>
      <c r="AX9" s="246">
        <f>IFERROR(VLOOKUP(H9,VOL_REC[],2,FALSE),0)</f>
        <v>0</v>
      </c>
      <c r="AY9" s="246">
        <f>IFERROR(VLOOKUP(I9,VOL_REC[],2,FALSE),0)</f>
        <v>0</v>
      </c>
      <c r="AZ9" s="246">
        <f>IFERROR(VLOOKUP(J9,VOL_REC[],2,FALSE),0)</f>
        <v>0</v>
      </c>
      <c r="BA9" s="246">
        <f>IFERROR(VLOOKUP(K9,VOL_REC[],2,FALSE),0)</f>
        <v>0</v>
      </c>
      <c r="BB9" s="246">
        <f>IFERROR(VLOOKUP(L9,VOL_REC[],2,FALSE),0)</f>
        <v>0</v>
      </c>
      <c r="BC9" s="246">
        <f>IFERROR(VLOOKUP(M9,VOL_REC[],2,FALSE),0)</f>
        <v>0</v>
      </c>
      <c r="BD9" s="246">
        <f>IFERROR(VLOOKUP(N9,VOL_REC[],2,FALSE),0)</f>
        <v>0</v>
      </c>
      <c r="BE9" s="246">
        <f>IFERROR(VLOOKUP(O9,VOL_REC[],2,FALSE),0)</f>
        <v>0</v>
      </c>
      <c r="BF9" s="246">
        <f>IFERROR(VLOOKUP(P9,VOL_REC[],2,FALSE),0)</f>
        <v>0</v>
      </c>
      <c r="BG9" s="246">
        <f>IFERROR(VLOOKUP(Q9,VOL_REC[],2,FALSE),0)</f>
        <v>0</v>
      </c>
      <c r="BH9" s="1710">
        <f t="shared" si="0"/>
        <v>3854090974.1598802</v>
      </c>
      <c r="BI9" s="1710">
        <f t="shared" si="1"/>
        <v>8117636230.243515</v>
      </c>
      <c r="BJ9" s="1711">
        <f t="shared" si="2"/>
        <v>11106748.245034106</v>
      </c>
      <c r="BK9" s="1711">
        <f t="shared" si="3"/>
        <v>0.47477995623909153</v>
      </c>
      <c r="BQ9" s="246" t="s">
        <v>1355</v>
      </c>
      <c r="BR9" s="1711">
        <v>1.1046233256180331</v>
      </c>
      <c r="BS9" s="1711">
        <v>39262324.395667121</v>
      </c>
      <c r="BT9" s="1710">
        <v>33015044382.404572</v>
      </c>
      <c r="BU9" s="1710">
        <v>36469188121.118698</v>
      </c>
    </row>
    <row r="10" spans="1:73" x14ac:dyDescent="0.25">
      <c r="A10">
        <v>14</v>
      </c>
      <c r="C10" s="246">
        <v>15</v>
      </c>
      <c r="D10" s="246">
        <v>1</v>
      </c>
      <c r="E10" s="246">
        <v>2</v>
      </c>
      <c r="F10" s="246">
        <v>3</v>
      </c>
      <c r="G10" s="246">
        <v>15</v>
      </c>
      <c r="H10" s="246"/>
      <c r="I10" s="246"/>
      <c r="J10" s="246"/>
      <c r="K10" s="246"/>
      <c r="L10" s="246"/>
      <c r="M10" s="246"/>
      <c r="N10" s="246"/>
      <c r="O10" s="246"/>
      <c r="P10" s="246"/>
      <c r="Q10" s="246"/>
      <c r="R10" s="246">
        <f>IFERROR(VLOOKUP(D10,PROGRAMAS[],2,FALSE),0)</f>
        <v>97037803.679377079</v>
      </c>
      <c r="S10" s="246">
        <f>IFERROR(VLOOKUP(E10,PROGRAMAS[],2,FALSE),0)</f>
        <v>640501509.6821388</v>
      </c>
      <c r="T10" s="246">
        <f>IFERROR(VLOOKUP(F10,PROGRAMAS[],2,FALSE),0)</f>
        <v>3062327798.1525245</v>
      </c>
      <c r="U10" s="246">
        <f>IFERROR(VLOOKUP(G10,PROGRAMAS[],2,FALSE),0)</f>
        <v>122159672.96346797</v>
      </c>
      <c r="V10" s="246">
        <f>IFERROR(VLOOKUP(H10,PROGRAMAS[],2,FALSE),0)</f>
        <v>0</v>
      </c>
      <c r="W10" s="246">
        <f>IFERROR(VLOOKUP(I10,PROGRAMAS[],2,FALSE),0)</f>
        <v>0</v>
      </c>
      <c r="X10" s="246">
        <f>IFERROR(VLOOKUP(J10,PROGRAMAS[],2,FALSE),0)</f>
        <v>0</v>
      </c>
      <c r="Y10" s="246">
        <f>IFERROR(VLOOKUP(K10,PROGRAMAS[],2,FALSE),0)</f>
        <v>0</v>
      </c>
      <c r="Z10" s="246">
        <f>IFERROR(VLOOKUP(L10,PROGRAMAS[],2,FALSE),0)</f>
        <v>0</v>
      </c>
      <c r="AA10" s="246">
        <f>IFERROR(VLOOKUP(M10,PROGRAMAS[],2,FALSE),0)</f>
        <v>0</v>
      </c>
      <c r="AB10" s="246">
        <f>IFERROR(VLOOKUP(N10,PROGRAMAS[],2,FALSE),0)</f>
        <v>0</v>
      </c>
      <c r="AC10" s="246">
        <f>IFERROR(VLOOKUP(O10,PROGRAMAS[],2,FALSE),0)</f>
        <v>0</v>
      </c>
      <c r="AD10" s="246">
        <f>IFERROR(VLOOKUP(P10,PROGRAMAS[],2,FALSE),0)</f>
        <v>0</v>
      </c>
      <c r="AE10" s="246">
        <f>IFERROR(VLOOKUP(Q10,PROGRAMAS[],2,FALSE),0)</f>
        <v>0</v>
      </c>
      <c r="AF10" s="246">
        <f>IFERROR(VLOOKUP(D10,PROGRAMAS[],3,FALSE),0)</f>
        <v>841888629.31080008</v>
      </c>
      <c r="AG10" s="246">
        <f>IFERROR(VLOOKUP(E10,PROGRAMAS[],3,FALSE),0)</f>
        <v>3848980803.1642323</v>
      </c>
      <c r="AH10" s="246">
        <f>IFERROR(VLOOKUP(F10,PROGRAMAS[],3,FALSE),0)</f>
        <v>3394901471.387517</v>
      </c>
      <c r="AI10" s="246">
        <f>IFERROR(VLOOKUP(G10,PROGRAMAS[],3,FALSE),0)</f>
        <v>118617452.52510804</v>
      </c>
      <c r="AJ10" s="246">
        <f>IFERROR(VLOOKUP(H10,PROGRAMAS[],3,FALSE),0)</f>
        <v>0</v>
      </c>
      <c r="AK10" s="246">
        <f>IFERROR(VLOOKUP(I10,PROGRAMAS[],3,FALSE),0)</f>
        <v>0</v>
      </c>
      <c r="AL10" s="246">
        <f>IFERROR(VLOOKUP(J10,PROGRAMAS[],3,FALSE),0)</f>
        <v>0</v>
      </c>
      <c r="AM10" s="246">
        <f>IFERROR(VLOOKUP(K10,PROGRAMAS[],3,FALSE),0)</f>
        <v>0</v>
      </c>
      <c r="AN10" s="246">
        <f>IFERROR(VLOOKUP(L10,PROGRAMAS[],3,FALSE),0)</f>
        <v>0</v>
      </c>
      <c r="AO10" s="246">
        <f>IFERROR(VLOOKUP(M10,PROGRAMAS[],3,FALSE),0)</f>
        <v>0</v>
      </c>
      <c r="AP10" s="246">
        <f>IFERROR(VLOOKUP(N10,PROGRAMAS[],3,FALSE),0)</f>
        <v>0</v>
      </c>
      <c r="AQ10" s="246">
        <f>IFERROR(VLOOKUP(O10,PROGRAMAS[],3,FALSE),0)</f>
        <v>0</v>
      </c>
      <c r="AR10" s="246">
        <f>IFERROR(VLOOKUP(P10,PROGRAMAS[],3,FALSE),0)</f>
        <v>0</v>
      </c>
      <c r="AS10" s="246">
        <f>IFERROR(VLOOKUP(Q10,PROGRAMAS[],3,FALSE),0)</f>
        <v>0</v>
      </c>
      <c r="AT10" s="246">
        <f>IFERROR(VLOOKUP(D10,VOL_REC[],2,FALSE),0)</f>
        <v>0</v>
      </c>
      <c r="AU10" s="246">
        <f>IFERROR(VLOOKUP(E10,VOL_REC[],2,FALSE),0)</f>
        <v>0</v>
      </c>
      <c r="AV10" s="246">
        <f>IFERROR(VLOOKUP(F10,VOL_REC[],2,FALSE),0)</f>
        <v>11089674.200000001</v>
      </c>
      <c r="AW10" s="246">
        <f>IFERROR(VLOOKUP(G10,VOL_REC[],2,FALSE),0)</f>
        <v>105072</v>
      </c>
      <c r="AX10" s="246">
        <f>IFERROR(VLOOKUP(H10,VOL_REC[],2,FALSE),0)</f>
        <v>0</v>
      </c>
      <c r="AY10" s="246">
        <f>IFERROR(VLOOKUP(I10,VOL_REC[],2,FALSE),0)</f>
        <v>0</v>
      </c>
      <c r="AZ10" s="246">
        <f>IFERROR(VLOOKUP(J10,VOL_REC[],2,FALSE),0)</f>
        <v>0</v>
      </c>
      <c r="BA10" s="246">
        <f>IFERROR(VLOOKUP(K10,VOL_REC[],2,FALSE),0)</f>
        <v>0</v>
      </c>
      <c r="BB10" s="246">
        <f>IFERROR(VLOOKUP(L10,VOL_REC[],2,FALSE),0)</f>
        <v>0</v>
      </c>
      <c r="BC10" s="246">
        <f>IFERROR(VLOOKUP(M10,VOL_REC[],2,FALSE),0)</f>
        <v>0</v>
      </c>
      <c r="BD10" s="246">
        <f>IFERROR(VLOOKUP(N10,VOL_REC[],2,FALSE),0)</f>
        <v>0</v>
      </c>
      <c r="BE10" s="246">
        <f>IFERROR(VLOOKUP(O10,VOL_REC[],2,FALSE),0)</f>
        <v>0</v>
      </c>
      <c r="BF10" s="246">
        <f>IFERROR(VLOOKUP(P10,VOL_REC[],2,FALSE),0)</f>
        <v>0</v>
      </c>
      <c r="BG10" s="246">
        <f>IFERROR(VLOOKUP(Q10,VOL_REC[],2,FALSE),0)</f>
        <v>0</v>
      </c>
      <c r="BH10" s="1710">
        <f t="shared" si="0"/>
        <v>3922026784.4775085</v>
      </c>
      <c r="BI10" s="1710">
        <f t="shared" si="1"/>
        <v>8204388356.3876581</v>
      </c>
      <c r="BJ10" s="1711">
        <f t="shared" si="2"/>
        <v>11194746.200000001</v>
      </c>
      <c r="BK10" s="1711">
        <f t="shared" si="3"/>
        <v>0.47804011878886155</v>
      </c>
      <c r="BQ10" s="246" t="s">
        <v>1356</v>
      </c>
      <c r="BR10" s="1711">
        <v>1.1037806942593107</v>
      </c>
      <c r="BS10" s="1711">
        <v>39350322.350633018</v>
      </c>
      <c r="BT10" s="1710">
        <v>33101796508.548714</v>
      </c>
      <c r="BU10" s="1710">
        <v>36537123931.436325</v>
      </c>
    </row>
    <row r="11" spans="1:73" x14ac:dyDescent="0.25">
      <c r="A11">
        <v>15</v>
      </c>
      <c r="C11" s="246">
        <v>16</v>
      </c>
      <c r="D11" s="246">
        <v>1</v>
      </c>
      <c r="E11" s="246">
        <v>2</v>
      </c>
      <c r="F11" s="246">
        <v>3</v>
      </c>
      <c r="G11" s="246">
        <v>16</v>
      </c>
      <c r="H11" s="246"/>
      <c r="I11" s="246"/>
      <c r="J11" s="246"/>
      <c r="K11" s="246"/>
      <c r="L11" s="246"/>
      <c r="M11" s="246"/>
      <c r="N11" s="246"/>
      <c r="O11" s="246"/>
      <c r="P11" s="246"/>
      <c r="Q11" s="246"/>
      <c r="R11" s="246">
        <f>IFERROR(VLOOKUP(D11,PROGRAMAS[],2,FALSE),0)</f>
        <v>97037803.679377079</v>
      </c>
      <c r="S11" s="246">
        <f>IFERROR(VLOOKUP(E11,PROGRAMAS[],2,FALSE),0)</f>
        <v>640501509.6821388</v>
      </c>
      <c r="T11" s="246">
        <f>IFERROR(VLOOKUP(F11,PROGRAMAS[],2,FALSE),0)</f>
        <v>3062327798.1525245</v>
      </c>
      <c r="U11" s="246">
        <f>IFERROR(VLOOKUP(G11,PROGRAMAS[],2,FALSE),0)</f>
        <v>7068496961.0436354</v>
      </c>
      <c r="V11" s="246">
        <f>IFERROR(VLOOKUP(H11,PROGRAMAS[],2,FALSE),0)</f>
        <v>0</v>
      </c>
      <c r="W11" s="246">
        <f>IFERROR(VLOOKUP(I11,PROGRAMAS[],2,FALSE),0)</f>
        <v>0</v>
      </c>
      <c r="X11" s="246">
        <f>IFERROR(VLOOKUP(J11,PROGRAMAS[],2,FALSE),0)</f>
        <v>0</v>
      </c>
      <c r="Y11" s="246">
        <f>IFERROR(VLOOKUP(K11,PROGRAMAS[],2,FALSE),0)</f>
        <v>0</v>
      </c>
      <c r="Z11" s="246">
        <f>IFERROR(VLOOKUP(L11,PROGRAMAS[],2,FALSE),0)</f>
        <v>0</v>
      </c>
      <c r="AA11" s="246">
        <f>IFERROR(VLOOKUP(M11,PROGRAMAS[],2,FALSE),0)</f>
        <v>0</v>
      </c>
      <c r="AB11" s="246">
        <f>IFERROR(VLOOKUP(N11,PROGRAMAS[],2,FALSE),0)</f>
        <v>0</v>
      </c>
      <c r="AC11" s="246">
        <f>IFERROR(VLOOKUP(O11,PROGRAMAS[],2,FALSE),0)</f>
        <v>0</v>
      </c>
      <c r="AD11" s="246">
        <f>IFERROR(VLOOKUP(P11,PROGRAMAS[],2,FALSE),0)</f>
        <v>0</v>
      </c>
      <c r="AE11" s="246">
        <f>IFERROR(VLOOKUP(Q11,PROGRAMAS[],2,FALSE),0)</f>
        <v>0</v>
      </c>
      <c r="AF11" s="246">
        <f>IFERROR(VLOOKUP(D11,PROGRAMAS[],3,FALSE),0)</f>
        <v>841888629.31080008</v>
      </c>
      <c r="AG11" s="246">
        <f>IFERROR(VLOOKUP(E11,PROGRAMAS[],3,FALSE),0)</f>
        <v>3848980803.1642323</v>
      </c>
      <c r="AH11" s="246">
        <f>IFERROR(VLOOKUP(F11,PROGRAMAS[],3,FALSE),0)</f>
        <v>3394901471.387517</v>
      </c>
      <c r="AI11" s="246">
        <f>IFERROR(VLOOKUP(G11,PROGRAMAS[],3,FALSE),0)</f>
        <v>2406564599.0319901</v>
      </c>
      <c r="AJ11" s="246">
        <f>IFERROR(VLOOKUP(H11,PROGRAMAS[],3,FALSE),0)</f>
        <v>0</v>
      </c>
      <c r="AK11" s="246">
        <f>IFERROR(VLOOKUP(I11,PROGRAMAS[],3,FALSE),0)</f>
        <v>0</v>
      </c>
      <c r="AL11" s="246">
        <f>IFERROR(VLOOKUP(J11,PROGRAMAS[],3,FALSE),0)</f>
        <v>0</v>
      </c>
      <c r="AM11" s="246">
        <f>IFERROR(VLOOKUP(K11,PROGRAMAS[],3,FALSE),0)</f>
        <v>0</v>
      </c>
      <c r="AN11" s="246">
        <f>IFERROR(VLOOKUP(L11,PROGRAMAS[],3,FALSE),0)</f>
        <v>0</v>
      </c>
      <c r="AO11" s="246">
        <f>IFERROR(VLOOKUP(M11,PROGRAMAS[],3,FALSE),0)</f>
        <v>0</v>
      </c>
      <c r="AP11" s="246">
        <f>IFERROR(VLOOKUP(N11,PROGRAMAS[],3,FALSE),0)</f>
        <v>0</v>
      </c>
      <c r="AQ11" s="246">
        <f>IFERROR(VLOOKUP(O11,PROGRAMAS[],3,FALSE),0)</f>
        <v>0</v>
      </c>
      <c r="AR11" s="246">
        <f>IFERROR(VLOOKUP(P11,PROGRAMAS[],3,FALSE),0)</f>
        <v>0</v>
      </c>
      <c r="AS11" s="246">
        <f>IFERROR(VLOOKUP(Q11,PROGRAMAS[],3,FALSE),0)</f>
        <v>0</v>
      </c>
      <c r="AT11" s="246">
        <f>IFERROR(VLOOKUP(D11,VOL_REC[],2,FALSE),0)</f>
        <v>0</v>
      </c>
      <c r="AU11" s="246">
        <f>IFERROR(VLOOKUP(E11,VOL_REC[],2,FALSE),0)</f>
        <v>0</v>
      </c>
      <c r="AV11" s="246">
        <f>IFERROR(VLOOKUP(F11,VOL_REC[],2,FALSE),0)</f>
        <v>11089674.200000001</v>
      </c>
      <c r="AW11" s="246">
        <f>IFERROR(VLOOKUP(G11,VOL_REC[],2,FALSE),0)</f>
        <v>1072354.9981737854</v>
      </c>
      <c r="AX11" s="246">
        <f>IFERROR(VLOOKUP(H11,VOL_REC[],2,FALSE),0)</f>
        <v>0</v>
      </c>
      <c r="AY11" s="246">
        <f>IFERROR(VLOOKUP(I11,VOL_REC[],2,FALSE),0)</f>
        <v>0</v>
      </c>
      <c r="AZ11" s="246">
        <f>IFERROR(VLOOKUP(J11,VOL_REC[],2,FALSE),0)</f>
        <v>0</v>
      </c>
      <c r="BA11" s="246">
        <f>IFERROR(VLOOKUP(K11,VOL_REC[],2,FALSE),0)</f>
        <v>0</v>
      </c>
      <c r="BB11" s="246">
        <f>IFERROR(VLOOKUP(L11,VOL_REC[],2,FALSE),0)</f>
        <v>0</v>
      </c>
      <c r="BC11" s="246">
        <f>IFERROR(VLOOKUP(M11,VOL_REC[],2,FALSE),0)</f>
        <v>0</v>
      </c>
      <c r="BD11" s="246">
        <f>IFERROR(VLOOKUP(N11,VOL_REC[],2,FALSE),0)</f>
        <v>0</v>
      </c>
      <c r="BE11" s="246">
        <f>IFERROR(VLOOKUP(O11,VOL_REC[],2,FALSE),0)</f>
        <v>0</v>
      </c>
      <c r="BF11" s="246">
        <f>IFERROR(VLOOKUP(P11,VOL_REC[],2,FALSE),0)</f>
        <v>0</v>
      </c>
      <c r="BG11" s="246">
        <f>IFERROR(VLOOKUP(Q11,VOL_REC[],2,FALSE),0)</f>
        <v>0</v>
      </c>
      <c r="BH11" s="1710">
        <f t="shared" si="0"/>
        <v>10868364072.557676</v>
      </c>
      <c r="BI11" s="1710">
        <f t="shared" si="1"/>
        <v>10492335502.894539</v>
      </c>
      <c r="BJ11" s="1711">
        <f t="shared" si="2"/>
        <v>12162029.198173787</v>
      </c>
      <c r="BK11" s="1711">
        <f t="shared" si="3"/>
        <v>1.0358384050490381</v>
      </c>
      <c r="BL11">
        <f>BJ11</f>
        <v>12162029.198173787</v>
      </c>
      <c r="BO11">
        <f>BL11</f>
        <v>12162029.198173787</v>
      </c>
      <c r="BQ11" s="246" t="s">
        <v>1357</v>
      </c>
      <c r="BR11" s="1711">
        <v>1.1037769472894334</v>
      </c>
      <c r="BS11" s="1711">
        <v>39126699.603286132</v>
      </c>
      <c r="BT11" s="1710">
        <v>32458143994.819851</v>
      </c>
      <c r="BU11" s="1710">
        <v>35826551093.283112</v>
      </c>
    </row>
    <row r="12" spans="1:73" x14ac:dyDescent="0.25">
      <c r="A12">
        <v>16</v>
      </c>
      <c r="C12" s="246">
        <v>17</v>
      </c>
      <c r="D12" s="246">
        <v>1</v>
      </c>
      <c r="E12" s="246">
        <v>2</v>
      </c>
      <c r="F12" s="246">
        <v>3</v>
      </c>
      <c r="G12" s="246">
        <v>17</v>
      </c>
      <c r="H12" s="246"/>
      <c r="I12" s="246"/>
      <c r="J12" s="246"/>
      <c r="K12" s="246"/>
      <c r="L12" s="246"/>
      <c r="M12" s="246"/>
      <c r="N12" s="246"/>
      <c r="O12" s="246"/>
      <c r="P12" s="246"/>
      <c r="Q12" s="246"/>
      <c r="R12" s="246">
        <f>IFERROR(VLOOKUP(D12,PROGRAMAS[],2,FALSE),0)</f>
        <v>97037803.679377079</v>
      </c>
      <c r="S12" s="246">
        <f>IFERROR(VLOOKUP(E12,PROGRAMAS[],2,FALSE),0)</f>
        <v>640501509.6821388</v>
      </c>
      <c r="T12" s="246">
        <f>IFERROR(VLOOKUP(F12,PROGRAMAS[],2,FALSE),0)</f>
        <v>3062327798.1525245</v>
      </c>
      <c r="U12" s="246">
        <f>IFERROR(VLOOKUP(G12,PROGRAMAS[],2,FALSE),0)</f>
        <v>1892779498.5211046</v>
      </c>
      <c r="V12" s="246">
        <f>IFERROR(VLOOKUP(H12,PROGRAMAS[],2,FALSE),0)</f>
        <v>0</v>
      </c>
      <c r="W12" s="246">
        <f>IFERROR(VLOOKUP(I12,PROGRAMAS[],2,FALSE),0)</f>
        <v>0</v>
      </c>
      <c r="X12" s="246">
        <f>IFERROR(VLOOKUP(J12,PROGRAMAS[],2,FALSE),0)</f>
        <v>0</v>
      </c>
      <c r="Y12" s="246">
        <f>IFERROR(VLOOKUP(K12,PROGRAMAS[],2,FALSE),0)</f>
        <v>0</v>
      </c>
      <c r="Z12" s="246">
        <f>IFERROR(VLOOKUP(L12,PROGRAMAS[],2,FALSE),0)</f>
        <v>0</v>
      </c>
      <c r="AA12" s="246">
        <f>IFERROR(VLOOKUP(M12,PROGRAMAS[],2,FALSE),0)</f>
        <v>0</v>
      </c>
      <c r="AB12" s="246">
        <f>IFERROR(VLOOKUP(N12,PROGRAMAS[],2,FALSE),0)</f>
        <v>0</v>
      </c>
      <c r="AC12" s="246">
        <f>IFERROR(VLOOKUP(O12,PROGRAMAS[],2,FALSE),0)</f>
        <v>0</v>
      </c>
      <c r="AD12" s="246">
        <f>IFERROR(VLOOKUP(P12,PROGRAMAS[],2,FALSE),0)</f>
        <v>0</v>
      </c>
      <c r="AE12" s="246">
        <f>IFERROR(VLOOKUP(Q12,PROGRAMAS[],2,FALSE),0)</f>
        <v>0</v>
      </c>
      <c r="AF12" s="246">
        <f>IFERROR(VLOOKUP(D12,PROGRAMAS[],3,FALSE),0)</f>
        <v>841888629.31080008</v>
      </c>
      <c r="AG12" s="246">
        <f>IFERROR(VLOOKUP(E12,PROGRAMAS[],3,FALSE),0)</f>
        <v>3848980803.1642323</v>
      </c>
      <c r="AH12" s="246">
        <f>IFERROR(VLOOKUP(F12,PROGRAMAS[],3,FALSE),0)</f>
        <v>3394901471.387517</v>
      </c>
      <c r="AI12" s="246">
        <f>IFERROR(VLOOKUP(G12,PROGRAMAS[],3,FALSE),0)</f>
        <v>948595847.09039903</v>
      </c>
      <c r="AJ12" s="246">
        <f>IFERROR(VLOOKUP(H12,PROGRAMAS[],3,FALSE),0)</f>
        <v>0</v>
      </c>
      <c r="AK12" s="246">
        <f>IFERROR(VLOOKUP(I12,PROGRAMAS[],3,FALSE),0)</f>
        <v>0</v>
      </c>
      <c r="AL12" s="246">
        <f>IFERROR(VLOOKUP(J12,PROGRAMAS[],3,FALSE),0)</f>
        <v>0</v>
      </c>
      <c r="AM12" s="246">
        <f>IFERROR(VLOOKUP(K12,PROGRAMAS[],3,FALSE),0)</f>
        <v>0</v>
      </c>
      <c r="AN12" s="246">
        <f>IFERROR(VLOOKUP(L12,PROGRAMAS[],3,FALSE),0)</f>
        <v>0</v>
      </c>
      <c r="AO12" s="246">
        <f>IFERROR(VLOOKUP(M12,PROGRAMAS[],3,FALSE),0)</f>
        <v>0</v>
      </c>
      <c r="AP12" s="246">
        <f>IFERROR(VLOOKUP(N12,PROGRAMAS[],3,FALSE),0)</f>
        <v>0</v>
      </c>
      <c r="AQ12" s="246">
        <f>IFERROR(VLOOKUP(O12,PROGRAMAS[],3,FALSE),0)</f>
        <v>0</v>
      </c>
      <c r="AR12" s="246">
        <f>IFERROR(VLOOKUP(P12,PROGRAMAS[],3,FALSE),0)</f>
        <v>0</v>
      </c>
      <c r="AS12" s="246">
        <f>IFERROR(VLOOKUP(Q12,PROGRAMAS[],3,FALSE),0)</f>
        <v>0</v>
      </c>
      <c r="AT12" s="246">
        <f>IFERROR(VLOOKUP(D12,VOL_REC[],2,FALSE),0)</f>
        <v>0</v>
      </c>
      <c r="AU12" s="246">
        <f>IFERROR(VLOOKUP(E12,VOL_REC[],2,FALSE),0)</f>
        <v>0</v>
      </c>
      <c r="AV12" s="246">
        <f>IFERROR(VLOOKUP(F12,VOL_REC[],2,FALSE),0)</f>
        <v>11089674.200000001</v>
      </c>
      <c r="AW12" s="246">
        <f>IFERROR(VLOOKUP(G12,VOL_REC[],2,FALSE),0)</f>
        <v>740113.98115702497</v>
      </c>
      <c r="AX12" s="246">
        <f>IFERROR(VLOOKUP(H12,VOL_REC[],2,FALSE),0)</f>
        <v>0</v>
      </c>
      <c r="AY12" s="246">
        <f>IFERROR(VLOOKUP(I12,VOL_REC[],2,FALSE),0)</f>
        <v>0</v>
      </c>
      <c r="AZ12" s="246">
        <f>IFERROR(VLOOKUP(J12,VOL_REC[],2,FALSE),0)</f>
        <v>0</v>
      </c>
      <c r="BA12" s="246">
        <f>IFERROR(VLOOKUP(K12,VOL_REC[],2,FALSE),0)</f>
        <v>0</v>
      </c>
      <c r="BB12" s="246">
        <f>IFERROR(VLOOKUP(L12,VOL_REC[],2,FALSE),0)</f>
        <v>0</v>
      </c>
      <c r="BC12" s="246">
        <f>IFERROR(VLOOKUP(M12,VOL_REC[],2,FALSE),0)</f>
        <v>0</v>
      </c>
      <c r="BD12" s="246">
        <f>IFERROR(VLOOKUP(N12,VOL_REC[],2,FALSE),0)</f>
        <v>0</v>
      </c>
      <c r="BE12" s="246">
        <f>IFERROR(VLOOKUP(O12,VOL_REC[],2,FALSE),0)</f>
        <v>0</v>
      </c>
      <c r="BF12" s="246">
        <f>IFERROR(VLOOKUP(P12,VOL_REC[],2,FALSE),0)</f>
        <v>0</v>
      </c>
      <c r="BG12" s="246">
        <f>IFERROR(VLOOKUP(Q12,VOL_REC[],2,FALSE),0)</f>
        <v>0</v>
      </c>
      <c r="BH12" s="1710">
        <f t="shared" si="0"/>
        <v>5692646610.0351448</v>
      </c>
      <c r="BI12" s="1710">
        <f t="shared" si="1"/>
        <v>9034366750.9529495</v>
      </c>
      <c r="BJ12" s="1711">
        <f t="shared" si="2"/>
        <v>11829788.181157026</v>
      </c>
      <c r="BK12" s="1711">
        <f t="shared" si="3"/>
        <v>0.63011019664822454</v>
      </c>
      <c r="BQ12" s="246" t="s">
        <v>1358</v>
      </c>
      <c r="BR12" s="1711">
        <v>1.1024890334579915</v>
      </c>
      <c r="BS12" s="1711">
        <v>39352763.945667125</v>
      </c>
      <c r="BT12" s="1710">
        <v>33140361609.360069</v>
      </c>
      <c r="BU12" s="1710">
        <v>36536885239.151711</v>
      </c>
    </row>
    <row r="13" spans="1:73" x14ac:dyDescent="0.25">
      <c r="A13">
        <v>17</v>
      </c>
      <c r="C13" s="246" t="s">
        <v>1363</v>
      </c>
      <c r="D13" s="246">
        <v>1</v>
      </c>
      <c r="E13" s="246">
        <v>2</v>
      </c>
      <c r="F13" s="246">
        <v>3</v>
      </c>
      <c r="G13" s="246">
        <v>4</v>
      </c>
      <c r="H13" s="246">
        <v>5</v>
      </c>
      <c r="I13" s="246"/>
      <c r="J13" s="246"/>
      <c r="K13" s="246"/>
      <c r="L13" s="246"/>
      <c r="M13" s="246"/>
      <c r="N13" s="246"/>
      <c r="O13" s="246"/>
      <c r="P13" s="246"/>
      <c r="Q13" s="246"/>
      <c r="R13" s="246">
        <f>IFERROR(VLOOKUP(D13,PROGRAMAS[],2,FALSE),0)</f>
        <v>97037803.679377079</v>
      </c>
      <c r="S13" s="246">
        <f>IFERROR(VLOOKUP(E13,PROGRAMAS[],2,FALSE),0)</f>
        <v>640501509.6821388</v>
      </c>
      <c r="T13" s="246">
        <f>IFERROR(VLOOKUP(F13,PROGRAMAS[],2,FALSE),0)</f>
        <v>3062327798.1525245</v>
      </c>
      <c r="U13" s="246">
        <f>IFERROR(VLOOKUP(G13,PROGRAMAS[],2,FALSE),0)</f>
        <v>67697118.033011258</v>
      </c>
      <c r="V13" s="246">
        <f>IFERROR(VLOOKUP(H13,PROGRAMAS[],2,FALSE),0)</f>
        <v>1440941976.2528784</v>
      </c>
      <c r="W13" s="246">
        <f>IFERROR(VLOOKUP(I13,PROGRAMAS[],2,FALSE),0)</f>
        <v>0</v>
      </c>
      <c r="X13" s="246">
        <f>IFERROR(VLOOKUP(J13,PROGRAMAS[],2,FALSE),0)</f>
        <v>0</v>
      </c>
      <c r="Y13" s="246">
        <f>IFERROR(VLOOKUP(K13,PROGRAMAS[],2,FALSE),0)</f>
        <v>0</v>
      </c>
      <c r="Z13" s="246">
        <f>IFERROR(VLOOKUP(L13,PROGRAMAS[],2,FALSE),0)</f>
        <v>0</v>
      </c>
      <c r="AA13" s="246">
        <f>IFERROR(VLOOKUP(M13,PROGRAMAS[],2,FALSE),0)</f>
        <v>0</v>
      </c>
      <c r="AB13" s="246">
        <f>IFERROR(VLOOKUP(N13,PROGRAMAS[],2,FALSE),0)</f>
        <v>0</v>
      </c>
      <c r="AC13" s="246">
        <f>IFERROR(VLOOKUP(O13,PROGRAMAS[],2,FALSE),0)</f>
        <v>0</v>
      </c>
      <c r="AD13" s="246">
        <f>IFERROR(VLOOKUP(P13,PROGRAMAS[],2,FALSE),0)</f>
        <v>0</v>
      </c>
      <c r="AE13" s="246">
        <f>IFERROR(VLOOKUP(Q13,PROGRAMAS[],2,FALSE),0)</f>
        <v>0</v>
      </c>
      <c r="AF13" s="246">
        <f>IFERROR(VLOOKUP(D13,PROGRAMAS[],3,FALSE),0)</f>
        <v>841888629.31080008</v>
      </c>
      <c r="AG13" s="246">
        <f>IFERROR(VLOOKUP(E13,PROGRAMAS[],3,FALSE),0)</f>
        <v>3848980803.1642323</v>
      </c>
      <c r="AH13" s="246">
        <f>IFERROR(VLOOKUP(F13,PROGRAMAS[],3,FALSE),0)</f>
        <v>3394901471.387517</v>
      </c>
      <c r="AI13" s="246">
        <f>IFERROR(VLOOKUP(G13,PROGRAMAS[],3,FALSE),0)</f>
        <v>125317226.95549992</v>
      </c>
      <c r="AJ13" s="246">
        <f>IFERROR(VLOOKUP(H13,PROGRAMAS[],3,FALSE),0)</f>
        <v>1233505101.0616004</v>
      </c>
      <c r="AK13" s="246">
        <f>IFERROR(VLOOKUP(I13,PROGRAMAS[],3,FALSE),0)</f>
        <v>0</v>
      </c>
      <c r="AL13" s="246">
        <f>IFERROR(VLOOKUP(J13,PROGRAMAS[],3,FALSE),0)</f>
        <v>0</v>
      </c>
      <c r="AM13" s="246">
        <f>IFERROR(VLOOKUP(K13,PROGRAMAS[],3,FALSE),0)</f>
        <v>0</v>
      </c>
      <c r="AN13" s="246">
        <f>IFERROR(VLOOKUP(L13,PROGRAMAS[],3,FALSE),0)</f>
        <v>0</v>
      </c>
      <c r="AO13" s="246">
        <f>IFERROR(VLOOKUP(M13,PROGRAMAS[],3,FALSE),0)</f>
        <v>0</v>
      </c>
      <c r="AP13" s="246">
        <f>IFERROR(VLOOKUP(N13,PROGRAMAS[],3,FALSE),0)</f>
        <v>0</v>
      </c>
      <c r="AQ13" s="246">
        <f>IFERROR(VLOOKUP(O13,PROGRAMAS[],3,FALSE),0)</f>
        <v>0</v>
      </c>
      <c r="AR13" s="246">
        <f>IFERROR(VLOOKUP(P13,PROGRAMAS[],3,FALSE),0)</f>
        <v>0</v>
      </c>
      <c r="AS13" s="246">
        <f>IFERROR(VLOOKUP(Q13,PROGRAMAS[],3,FALSE),0)</f>
        <v>0</v>
      </c>
      <c r="AT13" s="246">
        <f>IFERROR(VLOOKUP(D13,VOL_REC[],2,FALSE),0)</f>
        <v>0</v>
      </c>
      <c r="AU13" s="246">
        <f>IFERROR(VLOOKUP(E13,VOL_REC[],2,FALSE),0)</f>
        <v>0</v>
      </c>
      <c r="AV13" s="246">
        <f>IFERROR(VLOOKUP(F13,VOL_REC[],2,FALSE),0)</f>
        <v>11089674.200000001</v>
      </c>
      <c r="AW13" s="246">
        <f>IFERROR(VLOOKUP(G13,VOL_REC[],2,FALSE),0)</f>
        <v>90439.55</v>
      </c>
      <c r="AX13" s="246">
        <f>IFERROR(VLOOKUP(H13,VOL_REC[],2,FALSE),0)</f>
        <v>4325103.1812214684</v>
      </c>
      <c r="AY13" s="246">
        <f>IFERROR(VLOOKUP(I13,VOL_REC[],2,FALSE),0)</f>
        <v>0</v>
      </c>
      <c r="AZ13" s="246">
        <f>IFERROR(VLOOKUP(J13,VOL_REC[],2,FALSE),0)</f>
        <v>0</v>
      </c>
      <c r="BA13" s="246">
        <f>IFERROR(VLOOKUP(K13,VOL_REC[],2,FALSE),0)</f>
        <v>0</v>
      </c>
      <c r="BB13" s="246">
        <f>IFERROR(VLOOKUP(L13,VOL_REC[],2,FALSE),0)</f>
        <v>0</v>
      </c>
      <c r="BC13" s="246">
        <f>IFERROR(VLOOKUP(M13,VOL_REC[],2,FALSE),0)</f>
        <v>0</v>
      </c>
      <c r="BD13" s="246">
        <f>IFERROR(VLOOKUP(N13,VOL_REC[],2,FALSE),0)</f>
        <v>0</v>
      </c>
      <c r="BE13" s="246">
        <f>IFERROR(VLOOKUP(O13,VOL_REC[],2,FALSE),0)</f>
        <v>0</v>
      </c>
      <c r="BF13" s="246">
        <f>IFERROR(VLOOKUP(P13,VOL_REC[],2,FALSE),0)</f>
        <v>0</v>
      </c>
      <c r="BG13" s="246">
        <f>IFERROR(VLOOKUP(Q13,VOL_REC[],2,FALSE),0)</f>
        <v>0</v>
      </c>
      <c r="BH13" s="1710">
        <f t="shared" si="0"/>
        <v>5308506205.7999306</v>
      </c>
      <c r="BI13" s="1710">
        <f t="shared" si="1"/>
        <v>9444593231.8796501</v>
      </c>
      <c r="BJ13" s="1711">
        <f t="shared" si="2"/>
        <v>15505216.93122147</v>
      </c>
      <c r="BK13" s="1711">
        <f t="shared" si="3"/>
        <v>0.56206827286975058</v>
      </c>
      <c r="BQ13" s="246" t="s">
        <v>1359</v>
      </c>
      <c r="BR13" s="1711">
        <v>1.1016551525014326</v>
      </c>
      <c r="BS13" s="1711">
        <v>39440761.900633022</v>
      </c>
      <c r="BT13" s="1710">
        <v>33227113735.504211</v>
      </c>
      <c r="BU13" s="1710">
        <v>36604821049.469337</v>
      </c>
    </row>
    <row r="14" spans="1:73" x14ac:dyDescent="0.25">
      <c r="C14" s="246" t="s">
        <v>1364</v>
      </c>
      <c r="D14" s="246">
        <v>1</v>
      </c>
      <c r="E14" s="246">
        <v>2</v>
      </c>
      <c r="F14" s="246">
        <v>3</v>
      </c>
      <c r="G14" s="246">
        <v>4</v>
      </c>
      <c r="H14" s="246">
        <v>6</v>
      </c>
      <c r="I14" s="246"/>
      <c r="J14" s="246"/>
      <c r="K14" s="246"/>
      <c r="L14" s="246"/>
      <c r="M14" s="246"/>
      <c r="N14" s="246"/>
      <c r="O14" s="246"/>
      <c r="P14" s="246"/>
      <c r="Q14" s="246"/>
      <c r="R14" s="246">
        <f>IFERROR(VLOOKUP(D14,PROGRAMAS[],2,FALSE),0)</f>
        <v>97037803.679377079</v>
      </c>
      <c r="S14" s="246">
        <f>IFERROR(VLOOKUP(E14,PROGRAMAS[],2,FALSE),0)</f>
        <v>640501509.6821388</v>
      </c>
      <c r="T14" s="246">
        <f>IFERROR(VLOOKUP(F14,PROGRAMAS[],2,FALSE),0)</f>
        <v>3062327798.1525245</v>
      </c>
      <c r="U14" s="246">
        <f>IFERROR(VLOOKUP(G14,PROGRAMAS[],2,FALSE),0)</f>
        <v>67697118.033011258</v>
      </c>
      <c r="V14" s="246">
        <f>IFERROR(VLOOKUP(H14,PROGRAMAS[],2,FALSE),0)</f>
        <v>6907648435.8447599</v>
      </c>
      <c r="W14" s="246">
        <f>IFERROR(VLOOKUP(I14,PROGRAMAS[],2,FALSE),0)</f>
        <v>0</v>
      </c>
      <c r="X14" s="246">
        <f>IFERROR(VLOOKUP(J14,PROGRAMAS[],2,FALSE),0)</f>
        <v>0</v>
      </c>
      <c r="Y14" s="246">
        <f>IFERROR(VLOOKUP(K14,PROGRAMAS[],2,FALSE),0)</f>
        <v>0</v>
      </c>
      <c r="Z14" s="246">
        <f>IFERROR(VLOOKUP(L14,PROGRAMAS[],2,FALSE),0)</f>
        <v>0</v>
      </c>
      <c r="AA14" s="246">
        <f>IFERROR(VLOOKUP(M14,PROGRAMAS[],2,FALSE),0)</f>
        <v>0</v>
      </c>
      <c r="AB14" s="246">
        <f>IFERROR(VLOOKUP(N14,PROGRAMAS[],2,FALSE),0)</f>
        <v>0</v>
      </c>
      <c r="AC14" s="246">
        <f>IFERROR(VLOOKUP(O14,PROGRAMAS[],2,FALSE),0)</f>
        <v>0</v>
      </c>
      <c r="AD14" s="246">
        <f>IFERROR(VLOOKUP(P14,PROGRAMAS[],2,FALSE),0)</f>
        <v>0</v>
      </c>
      <c r="AE14" s="246">
        <f>IFERROR(VLOOKUP(Q14,PROGRAMAS[],2,FALSE),0)</f>
        <v>0</v>
      </c>
      <c r="AF14" s="246">
        <f>IFERROR(VLOOKUP(D14,PROGRAMAS[],3,FALSE),0)</f>
        <v>841888629.31080008</v>
      </c>
      <c r="AG14" s="246">
        <f>IFERROR(VLOOKUP(E14,PROGRAMAS[],3,FALSE),0)</f>
        <v>3848980803.1642323</v>
      </c>
      <c r="AH14" s="246">
        <f>IFERROR(VLOOKUP(F14,PROGRAMAS[],3,FALSE),0)</f>
        <v>3394901471.387517</v>
      </c>
      <c r="AI14" s="246">
        <f>IFERROR(VLOOKUP(G14,PROGRAMAS[],3,FALSE),0)</f>
        <v>125317226.95549992</v>
      </c>
      <c r="AJ14" s="246">
        <f>IFERROR(VLOOKUP(H14,PROGRAMAS[],3,FALSE),0)</f>
        <v>6129902208.7912121</v>
      </c>
      <c r="AK14" s="246">
        <f>IFERROR(VLOOKUP(I14,PROGRAMAS[],3,FALSE),0)</f>
        <v>0</v>
      </c>
      <c r="AL14" s="246">
        <f>IFERROR(VLOOKUP(J14,PROGRAMAS[],3,FALSE),0)</f>
        <v>0</v>
      </c>
      <c r="AM14" s="246">
        <f>IFERROR(VLOOKUP(K14,PROGRAMAS[],3,FALSE),0)</f>
        <v>0</v>
      </c>
      <c r="AN14" s="246">
        <f>IFERROR(VLOOKUP(L14,PROGRAMAS[],3,FALSE),0)</f>
        <v>0</v>
      </c>
      <c r="AO14" s="246">
        <f>IFERROR(VLOOKUP(M14,PROGRAMAS[],3,FALSE),0)</f>
        <v>0</v>
      </c>
      <c r="AP14" s="246">
        <f>IFERROR(VLOOKUP(N14,PROGRAMAS[],3,FALSE),0)</f>
        <v>0</v>
      </c>
      <c r="AQ14" s="246">
        <f>IFERROR(VLOOKUP(O14,PROGRAMAS[],3,FALSE),0)</f>
        <v>0</v>
      </c>
      <c r="AR14" s="246">
        <f>IFERROR(VLOOKUP(P14,PROGRAMAS[],3,FALSE),0)</f>
        <v>0</v>
      </c>
      <c r="AS14" s="246">
        <f>IFERROR(VLOOKUP(Q14,PROGRAMAS[],3,FALSE),0)</f>
        <v>0</v>
      </c>
      <c r="AT14" s="246">
        <f>IFERROR(VLOOKUP(D14,VOL_REC[],2,FALSE),0)</f>
        <v>0</v>
      </c>
      <c r="AU14" s="246">
        <f>IFERROR(VLOOKUP(E14,VOL_REC[],2,FALSE),0)</f>
        <v>0</v>
      </c>
      <c r="AV14" s="246">
        <f>IFERROR(VLOOKUP(F14,VOL_REC[],2,FALSE),0)</f>
        <v>11089674.200000001</v>
      </c>
      <c r="AW14" s="246">
        <f>IFERROR(VLOOKUP(G14,VOL_REC[],2,FALSE),0)</f>
        <v>90439.55</v>
      </c>
      <c r="AX14" s="246">
        <f>IFERROR(VLOOKUP(H14,VOL_REC[],2,FALSE),0)</f>
        <v>15540036.397699751</v>
      </c>
      <c r="AY14" s="246">
        <f>IFERROR(VLOOKUP(I14,VOL_REC[],2,FALSE),0)</f>
        <v>0</v>
      </c>
      <c r="AZ14" s="246">
        <f>IFERROR(VLOOKUP(J14,VOL_REC[],2,FALSE),0)</f>
        <v>0</v>
      </c>
      <c r="BA14" s="246">
        <f>IFERROR(VLOOKUP(K14,VOL_REC[],2,FALSE),0)</f>
        <v>0</v>
      </c>
      <c r="BB14" s="246">
        <f>IFERROR(VLOOKUP(L14,VOL_REC[],2,FALSE),0)</f>
        <v>0</v>
      </c>
      <c r="BC14" s="246">
        <f>IFERROR(VLOOKUP(M14,VOL_REC[],2,FALSE),0)</f>
        <v>0</v>
      </c>
      <c r="BD14" s="246">
        <f>IFERROR(VLOOKUP(N14,VOL_REC[],2,FALSE),0)</f>
        <v>0</v>
      </c>
      <c r="BE14" s="246">
        <f>IFERROR(VLOOKUP(O14,VOL_REC[],2,FALSE),0)</f>
        <v>0</v>
      </c>
      <c r="BF14" s="246">
        <f>IFERROR(VLOOKUP(P14,VOL_REC[],2,FALSE),0)</f>
        <v>0</v>
      </c>
      <c r="BG14" s="246">
        <f>IFERROR(VLOOKUP(Q14,VOL_REC[],2,FALSE),0)</f>
        <v>0</v>
      </c>
      <c r="BH14" s="1710">
        <f t="shared" si="0"/>
        <v>10775212665.391811</v>
      </c>
      <c r="BI14" s="1710">
        <f t="shared" si="1"/>
        <v>14340990339.609261</v>
      </c>
      <c r="BJ14" s="1711">
        <f t="shared" si="2"/>
        <v>26720150.147699751</v>
      </c>
      <c r="BK14" s="1711">
        <f t="shared" si="3"/>
        <v>0.75135764059690435</v>
      </c>
      <c r="BQ14" s="246" t="s">
        <v>1360</v>
      </c>
      <c r="BR14" s="1711">
        <v>1.1016094320675851</v>
      </c>
      <c r="BS14" s="1711">
        <v>39217139.153286137</v>
      </c>
      <c r="BT14" s="1710">
        <v>32583461221.775349</v>
      </c>
      <c r="BU14" s="1710">
        <v>35894248211.316124</v>
      </c>
    </row>
    <row r="15" spans="1:73" x14ac:dyDescent="0.25">
      <c r="C15" s="246" t="s">
        <v>1365</v>
      </c>
      <c r="D15" s="246">
        <v>1</v>
      </c>
      <c r="E15" s="246">
        <v>2</v>
      </c>
      <c r="F15" s="246">
        <v>3</v>
      </c>
      <c r="G15" s="246">
        <v>4</v>
      </c>
      <c r="H15" s="246">
        <v>9</v>
      </c>
      <c r="I15" s="246"/>
      <c r="J15" s="246"/>
      <c r="K15" s="246"/>
      <c r="L15" s="246"/>
      <c r="M15" s="246"/>
      <c r="N15" s="246"/>
      <c r="O15" s="246"/>
      <c r="P15" s="246"/>
      <c r="Q15" s="246"/>
      <c r="R15" s="246">
        <f>IFERROR(VLOOKUP(D15,PROGRAMAS[],2,FALSE),0)</f>
        <v>97037803.679377079</v>
      </c>
      <c r="S15" s="246">
        <f>IFERROR(VLOOKUP(E15,PROGRAMAS[],2,FALSE),0)</f>
        <v>640501509.6821388</v>
      </c>
      <c r="T15" s="246">
        <f>IFERROR(VLOOKUP(F15,PROGRAMAS[],2,FALSE),0)</f>
        <v>3062327798.1525245</v>
      </c>
      <c r="U15" s="246">
        <f>IFERROR(VLOOKUP(G15,PROGRAMAS[],2,FALSE),0)</f>
        <v>67697118.033011258</v>
      </c>
      <c r="V15" s="246">
        <f>IFERROR(VLOOKUP(H15,PROGRAMAS[],2,FALSE),0)</f>
        <v>6128579952.1618185</v>
      </c>
      <c r="W15" s="246">
        <f>IFERROR(VLOOKUP(I15,PROGRAMAS[],2,FALSE),0)</f>
        <v>0</v>
      </c>
      <c r="X15" s="246">
        <f>IFERROR(VLOOKUP(J15,PROGRAMAS[],2,FALSE),0)</f>
        <v>0</v>
      </c>
      <c r="Y15" s="246">
        <f>IFERROR(VLOOKUP(K15,PROGRAMAS[],2,FALSE),0)</f>
        <v>0</v>
      </c>
      <c r="Z15" s="246">
        <f>IFERROR(VLOOKUP(L15,PROGRAMAS[],2,FALSE),0)</f>
        <v>0</v>
      </c>
      <c r="AA15" s="246">
        <f>IFERROR(VLOOKUP(M15,PROGRAMAS[],2,FALSE),0)</f>
        <v>0</v>
      </c>
      <c r="AB15" s="246">
        <f>IFERROR(VLOOKUP(N15,PROGRAMAS[],2,FALSE),0)</f>
        <v>0</v>
      </c>
      <c r="AC15" s="246">
        <f>IFERROR(VLOOKUP(O15,PROGRAMAS[],2,FALSE),0)</f>
        <v>0</v>
      </c>
      <c r="AD15" s="246">
        <f>IFERROR(VLOOKUP(P15,PROGRAMAS[],2,FALSE),0)</f>
        <v>0</v>
      </c>
      <c r="AE15" s="246">
        <f>IFERROR(VLOOKUP(Q15,PROGRAMAS[],2,FALSE),0)</f>
        <v>0</v>
      </c>
      <c r="AF15" s="246">
        <f>IFERROR(VLOOKUP(D15,PROGRAMAS[],3,FALSE),0)</f>
        <v>841888629.31080008</v>
      </c>
      <c r="AG15" s="246">
        <f>IFERROR(VLOOKUP(E15,PROGRAMAS[],3,FALSE),0)</f>
        <v>3848980803.1642323</v>
      </c>
      <c r="AH15" s="246">
        <f>IFERROR(VLOOKUP(F15,PROGRAMAS[],3,FALSE),0)</f>
        <v>3394901471.387517</v>
      </c>
      <c r="AI15" s="246">
        <f>IFERROR(VLOOKUP(G15,PROGRAMAS[],3,FALSE),0)</f>
        <v>125317226.95549992</v>
      </c>
      <c r="AJ15" s="246">
        <f>IFERROR(VLOOKUP(H15,PROGRAMAS[],3,FALSE),0)</f>
        <v>7011279577.519702</v>
      </c>
      <c r="AK15" s="246">
        <f>IFERROR(VLOOKUP(I15,PROGRAMAS[],3,FALSE),0)</f>
        <v>0</v>
      </c>
      <c r="AL15" s="246">
        <f>IFERROR(VLOOKUP(J15,PROGRAMAS[],3,FALSE),0)</f>
        <v>0</v>
      </c>
      <c r="AM15" s="246">
        <f>IFERROR(VLOOKUP(K15,PROGRAMAS[],3,FALSE),0)</f>
        <v>0</v>
      </c>
      <c r="AN15" s="246">
        <f>IFERROR(VLOOKUP(L15,PROGRAMAS[],3,FALSE),0)</f>
        <v>0</v>
      </c>
      <c r="AO15" s="246">
        <f>IFERROR(VLOOKUP(M15,PROGRAMAS[],3,FALSE),0)</f>
        <v>0</v>
      </c>
      <c r="AP15" s="246">
        <f>IFERROR(VLOOKUP(N15,PROGRAMAS[],3,FALSE),0)</f>
        <v>0</v>
      </c>
      <c r="AQ15" s="246">
        <f>IFERROR(VLOOKUP(O15,PROGRAMAS[],3,FALSE),0)</f>
        <v>0</v>
      </c>
      <c r="AR15" s="246">
        <f>IFERROR(VLOOKUP(P15,PROGRAMAS[],3,FALSE),0)</f>
        <v>0</v>
      </c>
      <c r="AS15" s="246">
        <f>IFERROR(VLOOKUP(Q15,PROGRAMAS[],3,FALSE),0)</f>
        <v>0</v>
      </c>
      <c r="AT15" s="246">
        <f>IFERROR(VLOOKUP(D15,VOL_REC[],2,FALSE),0)</f>
        <v>0</v>
      </c>
      <c r="AU15" s="246">
        <f>IFERROR(VLOOKUP(E15,VOL_REC[],2,FALSE),0)</f>
        <v>0</v>
      </c>
      <c r="AV15" s="246">
        <f>IFERROR(VLOOKUP(F15,VOL_REC[],2,FALSE),0)</f>
        <v>11089674.200000001</v>
      </c>
      <c r="AW15" s="246">
        <f>IFERROR(VLOOKUP(G15,VOL_REC[],2,FALSE),0)</f>
        <v>90439.55</v>
      </c>
      <c r="AX15" s="246">
        <f>IFERROR(VLOOKUP(H15,VOL_REC[],2,FALSE),0)</f>
        <v>3761786</v>
      </c>
      <c r="AY15" s="246">
        <f>IFERROR(VLOOKUP(I15,VOL_REC[],2,FALSE),0)</f>
        <v>0</v>
      </c>
      <c r="AZ15" s="246">
        <f>IFERROR(VLOOKUP(J15,VOL_REC[],2,FALSE),0)</f>
        <v>0</v>
      </c>
      <c r="BA15" s="246">
        <f>IFERROR(VLOOKUP(K15,VOL_REC[],2,FALSE),0)</f>
        <v>0</v>
      </c>
      <c r="BB15" s="246">
        <f>IFERROR(VLOOKUP(L15,VOL_REC[],2,FALSE),0)</f>
        <v>0</v>
      </c>
      <c r="BC15" s="246">
        <f>IFERROR(VLOOKUP(M15,VOL_REC[],2,FALSE),0)</f>
        <v>0</v>
      </c>
      <c r="BD15" s="246">
        <f>IFERROR(VLOOKUP(N15,VOL_REC[],2,FALSE),0)</f>
        <v>0</v>
      </c>
      <c r="BE15" s="246">
        <f>IFERROR(VLOOKUP(O15,VOL_REC[],2,FALSE),0)</f>
        <v>0</v>
      </c>
      <c r="BF15" s="246">
        <f>IFERROR(VLOOKUP(P15,VOL_REC[],2,FALSE),0)</f>
        <v>0</v>
      </c>
      <c r="BG15" s="246">
        <f>IFERROR(VLOOKUP(Q15,VOL_REC[],2,FALSE),0)</f>
        <v>0</v>
      </c>
      <c r="BH15" s="1710">
        <f t="shared" si="0"/>
        <v>9996144181.7088699</v>
      </c>
      <c r="BI15" s="1710">
        <f t="shared" si="1"/>
        <v>15222367708.337751</v>
      </c>
      <c r="BJ15" s="1711">
        <f t="shared" si="2"/>
        <v>14941899.750000002</v>
      </c>
      <c r="BK15" s="1711">
        <f t="shared" si="3"/>
        <v>0.65667472848088404</v>
      </c>
      <c r="BQ15" s="246" t="s">
        <v>1361</v>
      </c>
      <c r="BR15" s="1711">
        <v>1.1043556844510125</v>
      </c>
      <c r="BS15" s="1711">
        <v>39367396.395667121</v>
      </c>
      <c r="BT15" s="1710">
        <v>33133661834.92968</v>
      </c>
      <c r="BU15" s="1710">
        <v>36591347794.082161</v>
      </c>
    </row>
    <row r="16" spans="1:73" x14ac:dyDescent="0.25">
      <c r="C16" s="246" t="s">
        <v>1366</v>
      </c>
      <c r="D16" s="246">
        <v>1</v>
      </c>
      <c r="E16" s="246">
        <v>2</v>
      </c>
      <c r="F16" s="246">
        <v>3</v>
      </c>
      <c r="G16" s="246">
        <v>4</v>
      </c>
      <c r="H16" s="246">
        <v>10</v>
      </c>
      <c r="I16" s="246"/>
      <c r="J16" s="246"/>
      <c r="K16" s="246"/>
      <c r="L16" s="246"/>
      <c r="M16" s="246"/>
      <c r="N16" s="246"/>
      <c r="O16" s="246"/>
      <c r="P16" s="246"/>
      <c r="Q16" s="246"/>
      <c r="R16" s="246">
        <f>IFERROR(VLOOKUP(D16,PROGRAMAS[],2,FALSE),0)</f>
        <v>97037803.679377079</v>
      </c>
      <c r="S16" s="246">
        <f>IFERROR(VLOOKUP(E16,PROGRAMAS[],2,FALSE),0)</f>
        <v>640501509.6821388</v>
      </c>
      <c r="T16" s="246">
        <f>IFERROR(VLOOKUP(F16,PROGRAMAS[],2,FALSE),0)</f>
        <v>3062327798.1525245</v>
      </c>
      <c r="U16" s="246">
        <f>IFERROR(VLOOKUP(G16,PROGRAMAS[],2,FALSE),0)</f>
        <v>67697118.033011258</v>
      </c>
      <c r="V16" s="246">
        <f>IFERROR(VLOOKUP(H16,PROGRAMAS[],2,FALSE),0)</f>
        <v>4635315027.8751087</v>
      </c>
      <c r="W16" s="246">
        <f>IFERROR(VLOOKUP(I16,PROGRAMAS[],2,FALSE),0)</f>
        <v>0</v>
      </c>
      <c r="X16" s="246">
        <f>IFERROR(VLOOKUP(J16,PROGRAMAS[],2,FALSE),0)</f>
        <v>0</v>
      </c>
      <c r="Y16" s="246">
        <f>IFERROR(VLOOKUP(K16,PROGRAMAS[],2,FALSE),0)</f>
        <v>0</v>
      </c>
      <c r="Z16" s="246">
        <f>IFERROR(VLOOKUP(L16,PROGRAMAS[],2,FALSE),0)</f>
        <v>0</v>
      </c>
      <c r="AA16" s="246">
        <f>IFERROR(VLOOKUP(M16,PROGRAMAS[],2,FALSE),0)</f>
        <v>0</v>
      </c>
      <c r="AB16" s="246">
        <f>IFERROR(VLOOKUP(N16,PROGRAMAS[],2,FALSE),0)</f>
        <v>0</v>
      </c>
      <c r="AC16" s="246">
        <f>IFERROR(VLOOKUP(O16,PROGRAMAS[],2,FALSE),0)</f>
        <v>0</v>
      </c>
      <c r="AD16" s="246">
        <f>IFERROR(VLOOKUP(P16,PROGRAMAS[],2,FALSE),0)</f>
        <v>0</v>
      </c>
      <c r="AE16" s="246">
        <f>IFERROR(VLOOKUP(Q16,PROGRAMAS[],2,FALSE),0)</f>
        <v>0</v>
      </c>
      <c r="AF16" s="246">
        <f>IFERROR(VLOOKUP(D16,PROGRAMAS[],3,FALSE),0)</f>
        <v>841888629.31080008</v>
      </c>
      <c r="AG16" s="246">
        <f>IFERROR(VLOOKUP(E16,PROGRAMAS[],3,FALSE),0)</f>
        <v>3848980803.1642323</v>
      </c>
      <c r="AH16" s="246">
        <f>IFERROR(VLOOKUP(F16,PROGRAMAS[],3,FALSE),0)</f>
        <v>3394901471.387517</v>
      </c>
      <c r="AI16" s="246">
        <f>IFERROR(VLOOKUP(G16,PROGRAMAS[],3,FALSE),0)</f>
        <v>125317226.95549992</v>
      </c>
      <c r="AJ16" s="246">
        <f>IFERROR(VLOOKUP(H16,PROGRAMAS[],3,FALSE),0)</f>
        <v>4099471734.9978786</v>
      </c>
      <c r="AK16" s="246">
        <f>IFERROR(VLOOKUP(I16,PROGRAMAS[],3,FALSE),0)</f>
        <v>0</v>
      </c>
      <c r="AL16" s="246">
        <f>IFERROR(VLOOKUP(J16,PROGRAMAS[],3,FALSE),0)</f>
        <v>0</v>
      </c>
      <c r="AM16" s="246">
        <f>IFERROR(VLOOKUP(K16,PROGRAMAS[],3,FALSE),0)</f>
        <v>0</v>
      </c>
      <c r="AN16" s="246">
        <f>IFERROR(VLOOKUP(L16,PROGRAMAS[],3,FALSE),0)</f>
        <v>0</v>
      </c>
      <c r="AO16" s="246">
        <f>IFERROR(VLOOKUP(M16,PROGRAMAS[],3,FALSE),0)</f>
        <v>0</v>
      </c>
      <c r="AP16" s="246">
        <f>IFERROR(VLOOKUP(N16,PROGRAMAS[],3,FALSE),0)</f>
        <v>0</v>
      </c>
      <c r="AQ16" s="246">
        <f>IFERROR(VLOOKUP(O16,PROGRAMAS[],3,FALSE),0)</f>
        <v>0</v>
      </c>
      <c r="AR16" s="246">
        <f>IFERROR(VLOOKUP(P16,PROGRAMAS[],3,FALSE),0)</f>
        <v>0</v>
      </c>
      <c r="AS16" s="246">
        <f>IFERROR(VLOOKUP(Q16,PROGRAMAS[],3,FALSE),0)</f>
        <v>0</v>
      </c>
      <c r="AT16" s="246">
        <f>IFERROR(VLOOKUP(D16,VOL_REC[],2,FALSE),0)</f>
        <v>0</v>
      </c>
      <c r="AU16" s="246">
        <f>IFERROR(VLOOKUP(E16,VOL_REC[],2,FALSE),0)</f>
        <v>0</v>
      </c>
      <c r="AV16" s="246">
        <f>IFERROR(VLOOKUP(F16,VOL_REC[],2,FALSE),0)</f>
        <v>11089674.200000001</v>
      </c>
      <c r="AW16" s="246">
        <f>IFERROR(VLOOKUP(G16,VOL_REC[],2,FALSE),0)</f>
        <v>90439.55</v>
      </c>
      <c r="AX16" s="246">
        <f>IFERROR(VLOOKUP(H16,VOL_REC[],2,FALSE),0)</f>
        <v>1812240</v>
      </c>
      <c r="AY16" s="246">
        <f>IFERROR(VLOOKUP(I16,VOL_REC[],2,FALSE),0)</f>
        <v>0</v>
      </c>
      <c r="AZ16" s="246">
        <f>IFERROR(VLOOKUP(J16,VOL_REC[],2,FALSE),0)</f>
        <v>0</v>
      </c>
      <c r="BA16" s="246">
        <f>IFERROR(VLOOKUP(K16,VOL_REC[],2,FALSE),0)</f>
        <v>0</v>
      </c>
      <c r="BB16" s="246">
        <f>IFERROR(VLOOKUP(L16,VOL_REC[],2,FALSE),0)</f>
        <v>0</v>
      </c>
      <c r="BC16" s="246">
        <f>IFERROR(VLOOKUP(M16,VOL_REC[],2,FALSE),0)</f>
        <v>0</v>
      </c>
      <c r="BD16" s="246">
        <f>IFERROR(VLOOKUP(N16,VOL_REC[],2,FALSE),0)</f>
        <v>0</v>
      </c>
      <c r="BE16" s="246">
        <f>IFERROR(VLOOKUP(O16,VOL_REC[],2,FALSE),0)</f>
        <v>0</v>
      </c>
      <c r="BF16" s="246">
        <f>IFERROR(VLOOKUP(P16,VOL_REC[],2,FALSE),0)</f>
        <v>0</v>
      </c>
      <c r="BG16" s="246">
        <f>IFERROR(VLOOKUP(Q16,VOL_REC[],2,FALSE),0)</f>
        <v>0</v>
      </c>
      <c r="BH16" s="1710">
        <f t="shared" si="0"/>
        <v>8502879257.4221611</v>
      </c>
      <c r="BI16" s="1710">
        <f t="shared" si="1"/>
        <v>12310559865.815928</v>
      </c>
      <c r="BJ16" s="1711">
        <f t="shared" si="2"/>
        <v>12992353.750000002</v>
      </c>
      <c r="BK16" s="1711">
        <f t="shared" si="3"/>
        <v>0.69069801455846314</v>
      </c>
      <c r="BQ16" s="246" t="s">
        <v>3404</v>
      </c>
      <c r="BR16" s="1711">
        <v>1.1022300126502222</v>
      </c>
      <c r="BS16" s="1711">
        <v>39457835.945667125</v>
      </c>
      <c r="BT16" s="1710">
        <v>33258979061.885178</v>
      </c>
      <c r="BU16" s="1710">
        <v>36659044912.115173</v>
      </c>
    </row>
    <row r="17" spans="3:67" x14ac:dyDescent="0.25">
      <c r="C17" s="246" t="s">
        <v>1367</v>
      </c>
      <c r="D17" s="246">
        <v>1</v>
      </c>
      <c r="E17" s="246">
        <v>2</v>
      </c>
      <c r="F17" s="246">
        <v>3</v>
      </c>
      <c r="G17" s="246">
        <v>4</v>
      </c>
      <c r="H17" s="246">
        <v>12</v>
      </c>
      <c r="I17" s="246"/>
      <c r="J17" s="246"/>
      <c r="K17" s="246"/>
      <c r="L17" s="246"/>
      <c r="M17" s="246"/>
      <c r="N17" s="246"/>
      <c r="O17" s="246"/>
      <c r="P17" s="246"/>
      <c r="Q17" s="246"/>
      <c r="R17" s="246">
        <f>IFERROR(VLOOKUP(D17,PROGRAMAS[],2,FALSE),0)</f>
        <v>97037803.679377079</v>
      </c>
      <c r="S17" s="246">
        <f>IFERROR(VLOOKUP(E17,PROGRAMAS[],2,FALSE),0)</f>
        <v>640501509.6821388</v>
      </c>
      <c r="T17" s="246">
        <f>IFERROR(VLOOKUP(F17,PROGRAMAS[],2,FALSE),0)</f>
        <v>3062327798.1525245</v>
      </c>
      <c r="U17" s="246">
        <f>IFERROR(VLOOKUP(G17,PROGRAMAS[],2,FALSE),0)</f>
        <v>67697118.033011258</v>
      </c>
      <c r="V17" s="246">
        <f>IFERROR(VLOOKUP(H17,PROGRAMAS[],2,FALSE),0)</f>
        <v>764796700.79905891</v>
      </c>
      <c r="W17" s="246">
        <f>IFERROR(VLOOKUP(I17,PROGRAMAS[],2,FALSE),0)</f>
        <v>0</v>
      </c>
      <c r="X17" s="246">
        <f>IFERROR(VLOOKUP(J17,PROGRAMAS[],2,FALSE),0)</f>
        <v>0</v>
      </c>
      <c r="Y17" s="246">
        <f>IFERROR(VLOOKUP(K17,PROGRAMAS[],2,FALSE),0)</f>
        <v>0</v>
      </c>
      <c r="Z17" s="246">
        <f>IFERROR(VLOOKUP(L17,PROGRAMAS[],2,FALSE),0)</f>
        <v>0</v>
      </c>
      <c r="AA17" s="246">
        <f>IFERROR(VLOOKUP(M17,PROGRAMAS[],2,FALSE),0)</f>
        <v>0</v>
      </c>
      <c r="AB17" s="246">
        <f>IFERROR(VLOOKUP(N17,PROGRAMAS[],2,FALSE),0)</f>
        <v>0</v>
      </c>
      <c r="AC17" s="246">
        <f>IFERROR(VLOOKUP(O17,PROGRAMAS[],2,FALSE),0)</f>
        <v>0</v>
      </c>
      <c r="AD17" s="246">
        <f>IFERROR(VLOOKUP(P17,PROGRAMAS[],2,FALSE),0)</f>
        <v>0</v>
      </c>
      <c r="AE17" s="246">
        <f>IFERROR(VLOOKUP(Q17,PROGRAMAS[],2,FALSE),0)</f>
        <v>0</v>
      </c>
      <c r="AF17" s="246">
        <f>IFERROR(VLOOKUP(D17,PROGRAMAS[],3,FALSE),0)</f>
        <v>841888629.31080008</v>
      </c>
      <c r="AG17" s="246">
        <f>IFERROR(VLOOKUP(E17,PROGRAMAS[],3,FALSE),0)</f>
        <v>3848980803.1642323</v>
      </c>
      <c r="AH17" s="246">
        <f>IFERROR(VLOOKUP(F17,PROGRAMAS[],3,FALSE),0)</f>
        <v>3394901471.387517</v>
      </c>
      <c r="AI17" s="246">
        <f>IFERROR(VLOOKUP(G17,PROGRAMAS[],3,FALSE),0)</f>
        <v>125317226.95549992</v>
      </c>
      <c r="AJ17" s="246">
        <f>IFERROR(VLOOKUP(H17,PROGRAMAS[],3,FALSE),0)</f>
        <v>675517840.109828</v>
      </c>
      <c r="AK17" s="246">
        <f>IFERROR(VLOOKUP(I17,PROGRAMAS[],3,FALSE),0)</f>
        <v>0</v>
      </c>
      <c r="AL17" s="246">
        <f>IFERROR(VLOOKUP(J17,PROGRAMAS[],3,FALSE),0)</f>
        <v>0</v>
      </c>
      <c r="AM17" s="246">
        <f>IFERROR(VLOOKUP(K17,PROGRAMAS[],3,FALSE),0)</f>
        <v>0</v>
      </c>
      <c r="AN17" s="246">
        <f>IFERROR(VLOOKUP(L17,PROGRAMAS[],3,FALSE),0)</f>
        <v>0</v>
      </c>
      <c r="AO17" s="246">
        <f>IFERROR(VLOOKUP(M17,PROGRAMAS[],3,FALSE),0)</f>
        <v>0</v>
      </c>
      <c r="AP17" s="246">
        <f>IFERROR(VLOOKUP(N17,PROGRAMAS[],3,FALSE),0)</f>
        <v>0</v>
      </c>
      <c r="AQ17" s="246">
        <f>IFERROR(VLOOKUP(O17,PROGRAMAS[],3,FALSE),0)</f>
        <v>0</v>
      </c>
      <c r="AR17" s="246">
        <f>IFERROR(VLOOKUP(P17,PROGRAMAS[],3,FALSE),0)</f>
        <v>0</v>
      </c>
      <c r="AS17" s="246">
        <f>IFERROR(VLOOKUP(Q17,PROGRAMAS[],3,FALSE),0)</f>
        <v>0</v>
      </c>
      <c r="AT17" s="246">
        <f>IFERROR(VLOOKUP(D17,VOL_REC[],2,FALSE),0)</f>
        <v>0</v>
      </c>
      <c r="AU17" s="246">
        <f>IFERROR(VLOOKUP(E17,VOL_REC[],2,FALSE),0)</f>
        <v>0</v>
      </c>
      <c r="AV17" s="246">
        <f>IFERROR(VLOOKUP(F17,VOL_REC[],2,FALSE),0)</f>
        <v>11089674.200000001</v>
      </c>
      <c r="AW17" s="246">
        <f>IFERROR(VLOOKUP(G17,VOL_REC[],2,FALSE),0)</f>
        <v>90439.55</v>
      </c>
      <c r="AX17" s="246">
        <f>IFERROR(VLOOKUP(H17,VOL_REC[],2,FALSE),0)</f>
        <v>240696.79238099116</v>
      </c>
      <c r="AY17" s="246">
        <f>IFERROR(VLOOKUP(I17,VOL_REC[],2,FALSE),0)</f>
        <v>0</v>
      </c>
      <c r="AZ17" s="246">
        <f>IFERROR(VLOOKUP(J17,VOL_REC[],2,FALSE),0)</f>
        <v>0</v>
      </c>
      <c r="BA17" s="246">
        <f>IFERROR(VLOOKUP(K17,VOL_REC[],2,FALSE),0)</f>
        <v>0</v>
      </c>
      <c r="BB17" s="246">
        <f>IFERROR(VLOOKUP(L17,VOL_REC[],2,FALSE),0)</f>
        <v>0</v>
      </c>
      <c r="BC17" s="246">
        <f>IFERROR(VLOOKUP(M17,VOL_REC[],2,FALSE),0)</f>
        <v>0</v>
      </c>
      <c r="BD17" s="246">
        <f>IFERROR(VLOOKUP(N17,VOL_REC[],2,FALSE),0)</f>
        <v>0</v>
      </c>
      <c r="BE17" s="246">
        <f>IFERROR(VLOOKUP(O17,VOL_REC[],2,FALSE),0)</f>
        <v>0</v>
      </c>
      <c r="BF17" s="246">
        <f>IFERROR(VLOOKUP(P17,VOL_REC[],2,FALSE),0)</f>
        <v>0</v>
      </c>
      <c r="BG17" s="246">
        <f>IFERROR(VLOOKUP(Q17,VOL_REC[],2,FALSE),0)</f>
        <v>0</v>
      </c>
      <c r="BH17" s="1710">
        <f t="shared" si="0"/>
        <v>4632360930.3461113</v>
      </c>
      <c r="BI17" s="1710">
        <f t="shared" si="1"/>
        <v>8886605970.9278774</v>
      </c>
      <c r="BJ17" s="1711">
        <f t="shared" si="2"/>
        <v>11420810.542380992</v>
      </c>
      <c r="BK17" s="1711">
        <f t="shared" si="3"/>
        <v>0.52127448268784138</v>
      </c>
    </row>
    <row r="18" spans="3:67" x14ac:dyDescent="0.25">
      <c r="C18" s="246" t="s">
        <v>1368</v>
      </c>
      <c r="D18" s="246">
        <v>1</v>
      </c>
      <c r="E18" s="246">
        <v>2</v>
      </c>
      <c r="F18" s="246">
        <v>3</v>
      </c>
      <c r="G18" s="246">
        <v>4</v>
      </c>
      <c r="H18" s="246">
        <v>13</v>
      </c>
      <c r="I18" s="246"/>
      <c r="J18" s="246"/>
      <c r="K18" s="246"/>
      <c r="L18" s="246"/>
      <c r="M18" s="246"/>
      <c r="N18" s="246"/>
      <c r="O18" s="246"/>
      <c r="P18" s="246"/>
      <c r="Q18" s="246"/>
      <c r="R18" s="246">
        <f>IFERROR(VLOOKUP(D18,PROGRAMAS[],2,FALSE),0)</f>
        <v>97037803.679377079</v>
      </c>
      <c r="S18" s="246">
        <f>IFERROR(VLOOKUP(E18,PROGRAMAS[],2,FALSE),0)</f>
        <v>640501509.6821388</v>
      </c>
      <c r="T18" s="246">
        <f>IFERROR(VLOOKUP(F18,PROGRAMAS[],2,FALSE),0)</f>
        <v>3062327798.1525245</v>
      </c>
      <c r="U18" s="246">
        <f>IFERROR(VLOOKUP(G18,PROGRAMAS[],2,FALSE),0)</f>
        <v>67697118.033011258</v>
      </c>
      <c r="V18" s="246">
        <f>IFERROR(VLOOKUP(H18,PROGRAMAS[],2,FALSE),0)</f>
        <v>3776538594.4604583</v>
      </c>
      <c r="W18" s="246">
        <f>IFERROR(VLOOKUP(I18,PROGRAMAS[],2,FALSE),0)</f>
        <v>0</v>
      </c>
      <c r="X18" s="246">
        <f>IFERROR(VLOOKUP(J18,PROGRAMAS[],2,FALSE),0)</f>
        <v>0</v>
      </c>
      <c r="Y18" s="246">
        <f>IFERROR(VLOOKUP(K18,PROGRAMAS[],2,FALSE),0)</f>
        <v>0</v>
      </c>
      <c r="Z18" s="246">
        <f>IFERROR(VLOOKUP(L18,PROGRAMAS[],2,FALSE),0)</f>
        <v>0</v>
      </c>
      <c r="AA18" s="246">
        <f>IFERROR(VLOOKUP(M18,PROGRAMAS[],2,FALSE),0)</f>
        <v>0</v>
      </c>
      <c r="AB18" s="246">
        <f>IFERROR(VLOOKUP(N18,PROGRAMAS[],2,FALSE),0)</f>
        <v>0</v>
      </c>
      <c r="AC18" s="246">
        <f>IFERROR(VLOOKUP(O18,PROGRAMAS[],2,FALSE),0)</f>
        <v>0</v>
      </c>
      <c r="AD18" s="246">
        <f>IFERROR(VLOOKUP(P18,PROGRAMAS[],2,FALSE),0)</f>
        <v>0</v>
      </c>
      <c r="AE18" s="246">
        <f>IFERROR(VLOOKUP(Q18,PROGRAMAS[],2,FALSE),0)</f>
        <v>0</v>
      </c>
      <c r="AF18" s="246">
        <f>IFERROR(VLOOKUP(D18,PROGRAMAS[],3,FALSE),0)</f>
        <v>841888629.31080008</v>
      </c>
      <c r="AG18" s="246">
        <f>IFERROR(VLOOKUP(E18,PROGRAMAS[],3,FALSE),0)</f>
        <v>3848980803.1642323</v>
      </c>
      <c r="AH18" s="246">
        <f>IFERROR(VLOOKUP(F18,PROGRAMAS[],3,FALSE),0)</f>
        <v>3394901471.387517</v>
      </c>
      <c r="AI18" s="246">
        <f>IFERROR(VLOOKUP(G18,PROGRAMAS[],3,FALSE),0)</f>
        <v>125317226.95549992</v>
      </c>
      <c r="AJ18" s="246">
        <f>IFERROR(VLOOKUP(H18,PROGRAMAS[],3,FALSE),0)</f>
        <v>2392571243.5584412</v>
      </c>
      <c r="AK18" s="246">
        <f>IFERROR(VLOOKUP(I18,PROGRAMAS[],3,FALSE),0)</f>
        <v>0</v>
      </c>
      <c r="AL18" s="246">
        <f>IFERROR(VLOOKUP(J18,PROGRAMAS[],3,FALSE),0)</f>
        <v>0</v>
      </c>
      <c r="AM18" s="246">
        <f>IFERROR(VLOOKUP(K18,PROGRAMAS[],3,FALSE),0)</f>
        <v>0</v>
      </c>
      <c r="AN18" s="246">
        <f>IFERROR(VLOOKUP(L18,PROGRAMAS[],3,FALSE),0)</f>
        <v>0</v>
      </c>
      <c r="AO18" s="246">
        <f>IFERROR(VLOOKUP(M18,PROGRAMAS[],3,FALSE),0)</f>
        <v>0</v>
      </c>
      <c r="AP18" s="246">
        <f>IFERROR(VLOOKUP(N18,PROGRAMAS[],3,FALSE),0)</f>
        <v>0</v>
      </c>
      <c r="AQ18" s="246">
        <f>IFERROR(VLOOKUP(O18,PROGRAMAS[],3,FALSE),0)</f>
        <v>0</v>
      </c>
      <c r="AR18" s="246">
        <f>IFERROR(VLOOKUP(P18,PROGRAMAS[],3,FALSE),0)</f>
        <v>0</v>
      </c>
      <c r="AS18" s="246">
        <f>IFERROR(VLOOKUP(Q18,PROGRAMAS[],3,FALSE),0)</f>
        <v>0</v>
      </c>
      <c r="AT18" s="246">
        <f>IFERROR(VLOOKUP(D18,VOL_REC[],2,FALSE),0)</f>
        <v>0</v>
      </c>
      <c r="AU18" s="246">
        <f>IFERROR(VLOOKUP(E18,VOL_REC[],2,FALSE),0)</f>
        <v>0</v>
      </c>
      <c r="AV18" s="246">
        <f>IFERROR(VLOOKUP(F18,VOL_REC[],2,FALSE),0)</f>
        <v>11089674.200000001</v>
      </c>
      <c r="AW18" s="246">
        <f>IFERROR(VLOOKUP(G18,VOL_REC[],2,FALSE),0)</f>
        <v>90439.55</v>
      </c>
      <c r="AX18" s="246">
        <f>IFERROR(VLOOKUP(H18,VOL_REC[],2,FALSE),0)</f>
        <v>663244.80000000016</v>
      </c>
      <c r="AY18" s="246">
        <f>IFERROR(VLOOKUP(I18,VOL_REC[],2,FALSE),0)</f>
        <v>0</v>
      </c>
      <c r="AZ18" s="246">
        <f>IFERROR(VLOOKUP(J18,VOL_REC[],2,FALSE),0)</f>
        <v>0</v>
      </c>
      <c r="BA18" s="246">
        <f>IFERROR(VLOOKUP(K18,VOL_REC[],2,FALSE),0)</f>
        <v>0</v>
      </c>
      <c r="BB18" s="246">
        <f>IFERROR(VLOOKUP(L18,VOL_REC[],2,FALSE),0)</f>
        <v>0</v>
      </c>
      <c r="BC18" s="246">
        <f>IFERROR(VLOOKUP(M18,VOL_REC[],2,FALSE),0)</f>
        <v>0</v>
      </c>
      <c r="BD18" s="246">
        <f>IFERROR(VLOOKUP(N18,VOL_REC[],2,FALSE),0)</f>
        <v>0</v>
      </c>
      <c r="BE18" s="246">
        <f>IFERROR(VLOOKUP(O18,VOL_REC[],2,FALSE),0)</f>
        <v>0</v>
      </c>
      <c r="BF18" s="246">
        <f>IFERROR(VLOOKUP(P18,VOL_REC[],2,FALSE),0)</f>
        <v>0</v>
      </c>
      <c r="BG18" s="246">
        <f>IFERROR(VLOOKUP(Q18,VOL_REC[],2,FALSE),0)</f>
        <v>0</v>
      </c>
      <c r="BH18" s="1710">
        <f t="shared" si="0"/>
        <v>7644102824.0075102</v>
      </c>
      <c r="BI18" s="1710">
        <f t="shared" si="1"/>
        <v>10603659374.376492</v>
      </c>
      <c r="BJ18" s="1711">
        <f t="shared" si="2"/>
        <v>11843358.550000003</v>
      </c>
      <c r="BK18" s="1711">
        <f t="shared" si="3"/>
        <v>0.72089290631867298</v>
      </c>
    </row>
    <row r="19" spans="3:67" x14ac:dyDescent="0.25">
      <c r="C19" s="246" t="s">
        <v>1369</v>
      </c>
      <c r="D19" s="246">
        <v>1</v>
      </c>
      <c r="E19" s="246">
        <v>2</v>
      </c>
      <c r="F19" s="246">
        <v>3</v>
      </c>
      <c r="G19" s="246">
        <v>4</v>
      </c>
      <c r="H19" s="246">
        <v>14</v>
      </c>
      <c r="I19" s="246"/>
      <c r="J19" s="246"/>
      <c r="K19" s="246"/>
      <c r="L19" s="246"/>
      <c r="M19" s="246"/>
      <c r="N19" s="246"/>
      <c r="O19" s="246"/>
      <c r="P19" s="246"/>
      <c r="Q19" s="246"/>
      <c r="R19" s="246">
        <f>IFERROR(VLOOKUP(D19,PROGRAMAS[],2,FALSE),0)</f>
        <v>97037803.679377079</v>
      </c>
      <c r="S19" s="246">
        <f>IFERROR(VLOOKUP(E19,PROGRAMAS[],2,FALSE),0)</f>
        <v>640501509.6821388</v>
      </c>
      <c r="T19" s="246">
        <f>IFERROR(VLOOKUP(F19,PROGRAMAS[],2,FALSE),0)</f>
        <v>3062327798.1525245</v>
      </c>
      <c r="U19" s="246">
        <f>IFERROR(VLOOKUP(G19,PROGRAMAS[],2,FALSE),0)</f>
        <v>67697118.033011258</v>
      </c>
      <c r="V19" s="246">
        <f>IFERROR(VLOOKUP(H19,PROGRAMAS[],2,FALSE),0)</f>
        <v>54223862.645839565</v>
      </c>
      <c r="W19" s="246">
        <f>IFERROR(VLOOKUP(I19,PROGRAMAS[],2,FALSE),0)</f>
        <v>0</v>
      </c>
      <c r="X19" s="246">
        <f>IFERROR(VLOOKUP(J19,PROGRAMAS[],2,FALSE),0)</f>
        <v>0</v>
      </c>
      <c r="Y19" s="246">
        <f>IFERROR(VLOOKUP(K19,PROGRAMAS[],2,FALSE),0)</f>
        <v>0</v>
      </c>
      <c r="Z19" s="246">
        <f>IFERROR(VLOOKUP(L19,PROGRAMAS[],2,FALSE),0)</f>
        <v>0</v>
      </c>
      <c r="AA19" s="246">
        <f>IFERROR(VLOOKUP(M19,PROGRAMAS[],2,FALSE),0)</f>
        <v>0</v>
      </c>
      <c r="AB19" s="246">
        <f>IFERROR(VLOOKUP(N19,PROGRAMAS[],2,FALSE),0)</f>
        <v>0</v>
      </c>
      <c r="AC19" s="246">
        <f>IFERROR(VLOOKUP(O19,PROGRAMAS[],2,FALSE),0)</f>
        <v>0</v>
      </c>
      <c r="AD19" s="246">
        <f>IFERROR(VLOOKUP(P19,PROGRAMAS[],2,FALSE),0)</f>
        <v>0</v>
      </c>
      <c r="AE19" s="246">
        <f>IFERROR(VLOOKUP(Q19,PROGRAMAS[],2,FALSE),0)</f>
        <v>0</v>
      </c>
      <c r="AF19" s="246">
        <f>IFERROR(VLOOKUP(D19,PROGRAMAS[],3,FALSE),0)</f>
        <v>841888629.31080008</v>
      </c>
      <c r="AG19" s="246">
        <f>IFERROR(VLOOKUP(E19,PROGRAMAS[],3,FALSE),0)</f>
        <v>3848980803.1642323</v>
      </c>
      <c r="AH19" s="246">
        <f>IFERROR(VLOOKUP(F19,PROGRAMAS[],3,FALSE),0)</f>
        <v>3394901471.387517</v>
      </c>
      <c r="AI19" s="246">
        <f>IFERROR(VLOOKUP(G19,PROGRAMAS[],3,FALSE),0)</f>
        <v>125317226.95549992</v>
      </c>
      <c r="AJ19" s="246">
        <f>IFERROR(VLOOKUP(H19,PROGRAMAS[],3,FALSE),0)</f>
        <v>31865326.38096505</v>
      </c>
      <c r="AK19" s="246">
        <f>IFERROR(VLOOKUP(I19,PROGRAMAS[],3,FALSE),0)</f>
        <v>0</v>
      </c>
      <c r="AL19" s="246">
        <f>IFERROR(VLOOKUP(J19,PROGRAMAS[],3,FALSE),0)</f>
        <v>0</v>
      </c>
      <c r="AM19" s="246">
        <f>IFERROR(VLOOKUP(K19,PROGRAMAS[],3,FALSE),0)</f>
        <v>0</v>
      </c>
      <c r="AN19" s="246">
        <f>IFERROR(VLOOKUP(L19,PROGRAMAS[],3,FALSE),0)</f>
        <v>0</v>
      </c>
      <c r="AO19" s="246">
        <f>IFERROR(VLOOKUP(M19,PROGRAMAS[],3,FALSE),0)</f>
        <v>0</v>
      </c>
      <c r="AP19" s="246">
        <f>IFERROR(VLOOKUP(N19,PROGRAMAS[],3,FALSE),0)</f>
        <v>0</v>
      </c>
      <c r="AQ19" s="246">
        <f>IFERROR(VLOOKUP(O19,PROGRAMAS[],3,FALSE),0)</f>
        <v>0</v>
      </c>
      <c r="AR19" s="246">
        <f>IFERROR(VLOOKUP(P19,PROGRAMAS[],3,FALSE),0)</f>
        <v>0</v>
      </c>
      <c r="AS19" s="246">
        <f>IFERROR(VLOOKUP(Q19,PROGRAMAS[],3,FALSE),0)</f>
        <v>0</v>
      </c>
      <c r="AT19" s="246">
        <f>IFERROR(VLOOKUP(D19,VOL_REC[],2,FALSE),0)</f>
        <v>0</v>
      </c>
      <c r="AU19" s="246">
        <f>IFERROR(VLOOKUP(E19,VOL_REC[],2,FALSE),0)</f>
        <v>0</v>
      </c>
      <c r="AV19" s="246">
        <f>IFERROR(VLOOKUP(F19,VOL_REC[],2,FALSE),0)</f>
        <v>11089674.200000001</v>
      </c>
      <c r="AW19" s="246">
        <f>IFERROR(VLOOKUP(G19,VOL_REC[],2,FALSE),0)</f>
        <v>90439.55</v>
      </c>
      <c r="AX19" s="246">
        <f>IFERROR(VLOOKUP(H19,VOL_REC[],2,FALSE),0)</f>
        <v>17074.045034105649</v>
      </c>
      <c r="AY19" s="246">
        <f>IFERROR(VLOOKUP(I19,VOL_REC[],2,FALSE),0)</f>
        <v>0</v>
      </c>
      <c r="AZ19" s="246">
        <f>IFERROR(VLOOKUP(J19,VOL_REC[],2,FALSE),0)</f>
        <v>0</v>
      </c>
      <c r="BA19" s="246">
        <f>IFERROR(VLOOKUP(K19,VOL_REC[],2,FALSE),0)</f>
        <v>0</v>
      </c>
      <c r="BB19" s="246">
        <f>IFERROR(VLOOKUP(L19,VOL_REC[],2,FALSE),0)</f>
        <v>0</v>
      </c>
      <c r="BC19" s="246">
        <f>IFERROR(VLOOKUP(M19,VOL_REC[],2,FALSE),0)</f>
        <v>0</v>
      </c>
      <c r="BD19" s="246">
        <f>IFERROR(VLOOKUP(N19,VOL_REC[],2,FALSE),0)</f>
        <v>0</v>
      </c>
      <c r="BE19" s="246">
        <f>IFERROR(VLOOKUP(O19,VOL_REC[],2,FALSE),0)</f>
        <v>0</v>
      </c>
      <c r="BF19" s="246">
        <f>IFERROR(VLOOKUP(P19,VOL_REC[],2,FALSE),0)</f>
        <v>0</v>
      </c>
      <c r="BG19" s="246">
        <f>IFERROR(VLOOKUP(Q19,VOL_REC[],2,FALSE),0)</f>
        <v>0</v>
      </c>
      <c r="BH19" s="1710">
        <f t="shared" si="0"/>
        <v>3921788092.1928916</v>
      </c>
      <c r="BI19" s="1710">
        <f t="shared" si="1"/>
        <v>8242953457.1990147</v>
      </c>
      <c r="BJ19" s="1711">
        <f t="shared" si="2"/>
        <v>11197187.795034107</v>
      </c>
      <c r="BK19" s="1711">
        <f t="shared" si="3"/>
        <v>0.47577462526708592</v>
      </c>
    </row>
    <row r="20" spans="3:67" x14ac:dyDescent="0.25">
      <c r="C20" s="246" t="s">
        <v>1370</v>
      </c>
      <c r="D20" s="246">
        <v>1</v>
      </c>
      <c r="E20" s="246">
        <v>2</v>
      </c>
      <c r="F20" s="246">
        <v>3</v>
      </c>
      <c r="G20" s="246">
        <v>4</v>
      </c>
      <c r="H20" s="246">
        <v>15</v>
      </c>
      <c r="I20" s="246"/>
      <c r="J20" s="246"/>
      <c r="K20" s="246"/>
      <c r="L20" s="246"/>
      <c r="M20" s="246"/>
      <c r="N20" s="246"/>
      <c r="O20" s="246"/>
      <c r="P20" s="246"/>
      <c r="Q20" s="246"/>
      <c r="R20" s="246">
        <f>IFERROR(VLOOKUP(D20,PROGRAMAS[],2,FALSE),0)</f>
        <v>97037803.679377079</v>
      </c>
      <c r="S20" s="246">
        <f>IFERROR(VLOOKUP(E20,PROGRAMAS[],2,FALSE),0)</f>
        <v>640501509.6821388</v>
      </c>
      <c r="T20" s="246">
        <f>IFERROR(VLOOKUP(F20,PROGRAMAS[],2,FALSE),0)</f>
        <v>3062327798.1525245</v>
      </c>
      <c r="U20" s="246">
        <f>IFERROR(VLOOKUP(G20,PROGRAMAS[],2,FALSE),0)</f>
        <v>67697118.033011258</v>
      </c>
      <c r="V20" s="246">
        <f>IFERROR(VLOOKUP(H20,PROGRAMAS[],2,FALSE),0)</f>
        <v>122159672.96346797</v>
      </c>
      <c r="W20" s="246">
        <f>IFERROR(VLOOKUP(I20,PROGRAMAS[],2,FALSE),0)</f>
        <v>0</v>
      </c>
      <c r="X20" s="246">
        <f>IFERROR(VLOOKUP(J20,PROGRAMAS[],2,FALSE),0)</f>
        <v>0</v>
      </c>
      <c r="Y20" s="246">
        <f>IFERROR(VLOOKUP(K20,PROGRAMAS[],2,FALSE),0)</f>
        <v>0</v>
      </c>
      <c r="Z20" s="246">
        <f>IFERROR(VLOOKUP(L20,PROGRAMAS[],2,FALSE),0)</f>
        <v>0</v>
      </c>
      <c r="AA20" s="246">
        <f>IFERROR(VLOOKUP(M20,PROGRAMAS[],2,FALSE),0)</f>
        <v>0</v>
      </c>
      <c r="AB20" s="246">
        <f>IFERROR(VLOOKUP(N20,PROGRAMAS[],2,FALSE),0)</f>
        <v>0</v>
      </c>
      <c r="AC20" s="246">
        <f>IFERROR(VLOOKUP(O20,PROGRAMAS[],2,FALSE),0)</f>
        <v>0</v>
      </c>
      <c r="AD20" s="246">
        <f>IFERROR(VLOOKUP(P20,PROGRAMAS[],2,FALSE),0)</f>
        <v>0</v>
      </c>
      <c r="AE20" s="246">
        <f>IFERROR(VLOOKUP(Q20,PROGRAMAS[],2,FALSE),0)</f>
        <v>0</v>
      </c>
      <c r="AF20" s="246">
        <f>IFERROR(VLOOKUP(D20,PROGRAMAS[],3,FALSE),0)</f>
        <v>841888629.31080008</v>
      </c>
      <c r="AG20" s="246">
        <f>IFERROR(VLOOKUP(E20,PROGRAMAS[],3,FALSE),0)</f>
        <v>3848980803.1642323</v>
      </c>
      <c r="AH20" s="246">
        <f>IFERROR(VLOOKUP(F20,PROGRAMAS[],3,FALSE),0)</f>
        <v>3394901471.387517</v>
      </c>
      <c r="AI20" s="246">
        <f>IFERROR(VLOOKUP(G20,PROGRAMAS[],3,FALSE),0)</f>
        <v>125317226.95549992</v>
      </c>
      <c r="AJ20" s="246">
        <f>IFERROR(VLOOKUP(H20,PROGRAMAS[],3,FALSE),0)</f>
        <v>118617452.52510804</v>
      </c>
      <c r="AK20" s="246">
        <f>IFERROR(VLOOKUP(I20,PROGRAMAS[],3,FALSE),0)</f>
        <v>0</v>
      </c>
      <c r="AL20" s="246">
        <f>IFERROR(VLOOKUP(J20,PROGRAMAS[],3,FALSE),0)</f>
        <v>0</v>
      </c>
      <c r="AM20" s="246">
        <f>IFERROR(VLOOKUP(K20,PROGRAMAS[],3,FALSE),0)</f>
        <v>0</v>
      </c>
      <c r="AN20" s="246">
        <f>IFERROR(VLOOKUP(L20,PROGRAMAS[],3,FALSE),0)</f>
        <v>0</v>
      </c>
      <c r="AO20" s="246">
        <f>IFERROR(VLOOKUP(M20,PROGRAMAS[],3,FALSE),0)</f>
        <v>0</v>
      </c>
      <c r="AP20" s="246">
        <f>IFERROR(VLOOKUP(N20,PROGRAMAS[],3,FALSE),0)</f>
        <v>0</v>
      </c>
      <c r="AQ20" s="246">
        <f>IFERROR(VLOOKUP(O20,PROGRAMAS[],3,FALSE),0)</f>
        <v>0</v>
      </c>
      <c r="AR20" s="246">
        <f>IFERROR(VLOOKUP(P20,PROGRAMAS[],3,FALSE),0)</f>
        <v>0</v>
      </c>
      <c r="AS20" s="246">
        <f>IFERROR(VLOOKUP(Q20,PROGRAMAS[],3,FALSE),0)</f>
        <v>0</v>
      </c>
      <c r="AT20" s="246">
        <f>IFERROR(VLOOKUP(D20,VOL_REC[],2,FALSE),0)</f>
        <v>0</v>
      </c>
      <c r="AU20" s="246">
        <f>IFERROR(VLOOKUP(E20,VOL_REC[],2,FALSE),0)</f>
        <v>0</v>
      </c>
      <c r="AV20" s="246">
        <f>IFERROR(VLOOKUP(F20,VOL_REC[],2,FALSE),0)</f>
        <v>11089674.200000001</v>
      </c>
      <c r="AW20" s="246">
        <f>IFERROR(VLOOKUP(G20,VOL_REC[],2,FALSE),0)</f>
        <v>90439.55</v>
      </c>
      <c r="AX20" s="246">
        <f>IFERROR(VLOOKUP(H20,VOL_REC[],2,FALSE),0)</f>
        <v>105072</v>
      </c>
      <c r="AY20" s="246">
        <f>IFERROR(VLOOKUP(I20,VOL_REC[],2,FALSE),0)</f>
        <v>0</v>
      </c>
      <c r="AZ20" s="246">
        <f>IFERROR(VLOOKUP(J20,VOL_REC[],2,FALSE),0)</f>
        <v>0</v>
      </c>
      <c r="BA20" s="246">
        <f>IFERROR(VLOOKUP(K20,VOL_REC[],2,FALSE),0)</f>
        <v>0</v>
      </c>
      <c r="BB20" s="246">
        <f>IFERROR(VLOOKUP(L20,VOL_REC[],2,FALSE),0)</f>
        <v>0</v>
      </c>
      <c r="BC20" s="246">
        <f>IFERROR(VLOOKUP(M20,VOL_REC[],2,FALSE),0)</f>
        <v>0</v>
      </c>
      <c r="BD20" s="246">
        <f>IFERROR(VLOOKUP(N20,VOL_REC[],2,FALSE),0)</f>
        <v>0</v>
      </c>
      <c r="BE20" s="246">
        <f>IFERROR(VLOOKUP(O20,VOL_REC[],2,FALSE),0)</f>
        <v>0</v>
      </c>
      <c r="BF20" s="246">
        <f>IFERROR(VLOOKUP(P20,VOL_REC[],2,FALSE),0)</f>
        <v>0</v>
      </c>
      <c r="BG20" s="246">
        <f>IFERROR(VLOOKUP(Q20,VOL_REC[],2,FALSE),0)</f>
        <v>0</v>
      </c>
      <c r="BH20" s="1710">
        <f t="shared" si="0"/>
        <v>3989723902.51052</v>
      </c>
      <c r="BI20" s="1710">
        <f t="shared" si="1"/>
        <v>8329705583.3431578</v>
      </c>
      <c r="BJ20" s="1711">
        <f t="shared" si="2"/>
        <v>11285185.750000002</v>
      </c>
      <c r="BK20" s="1711">
        <f t="shared" si="3"/>
        <v>0.47897538065315748</v>
      </c>
    </row>
    <row r="21" spans="3:67" x14ac:dyDescent="0.25">
      <c r="C21" s="246" t="s">
        <v>1371</v>
      </c>
      <c r="D21" s="246">
        <v>1</v>
      </c>
      <c r="E21" s="246">
        <v>2</v>
      </c>
      <c r="F21" s="246">
        <v>3</v>
      </c>
      <c r="G21" s="246">
        <v>4</v>
      </c>
      <c r="H21" s="246">
        <v>16</v>
      </c>
      <c r="I21" s="246"/>
      <c r="J21" s="246"/>
      <c r="K21" s="246"/>
      <c r="L21" s="246"/>
      <c r="M21" s="246"/>
      <c r="N21" s="246"/>
      <c r="O21" s="246"/>
      <c r="P21" s="246"/>
      <c r="Q21" s="246"/>
      <c r="R21" s="246">
        <f>IFERROR(VLOOKUP(D21,PROGRAMAS[],2,FALSE),0)</f>
        <v>97037803.679377079</v>
      </c>
      <c r="S21" s="246">
        <f>IFERROR(VLOOKUP(E21,PROGRAMAS[],2,FALSE),0)</f>
        <v>640501509.6821388</v>
      </c>
      <c r="T21" s="246">
        <f>IFERROR(VLOOKUP(F21,PROGRAMAS[],2,FALSE),0)</f>
        <v>3062327798.1525245</v>
      </c>
      <c r="U21" s="246">
        <f>IFERROR(VLOOKUP(G21,PROGRAMAS[],2,FALSE),0)</f>
        <v>67697118.033011258</v>
      </c>
      <c r="V21" s="246">
        <f>IFERROR(VLOOKUP(H21,PROGRAMAS[],2,FALSE),0)</f>
        <v>7068496961.0436354</v>
      </c>
      <c r="W21" s="246">
        <f>IFERROR(VLOOKUP(I21,PROGRAMAS[],2,FALSE),0)</f>
        <v>0</v>
      </c>
      <c r="X21" s="246">
        <f>IFERROR(VLOOKUP(J21,PROGRAMAS[],2,FALSE),0)</f>
        <v>0</v>
      </c>
      <c r="Y21" s="246">
        <f>IFERROR(VLOOKUP(K21,PROGRAMAS[],2,FALSE),0)</f>
        <v>0</v>
      </c>
      <c r="Z21" s="246">
        <f>IFERROR(VLOOKUP(L21,PROGRAMAS[],2,FALSE),0)</f>
        <v>0</v>
      </c>
      <c r="AA21" s="246">
        <f>IFERROR(VLOOKUP(M21,PROGRAMAS[],2,FALSE),0)</f>
        <v>0</v>
      </c>
      <c r="AB21" s="246">
        <f>IFERROR(VLOOKUP(N21,PROGRAMAS[],2,FALSE),0)</f>
        <v>0</v>
      </c>
      <c r="AC21" s="246">
        <f>IFERROR(VLOOKUP(O21,PROGRAMAS[],2,FALSE),0)</f>
        <v>0</v>
      </c>
      <c r="AD21" s="246">
        <f>IFERROR(VLOOKUP(P21,PROGRAMAS[],2,FALSE),0)</f>
        <v>0</v>
      </c>
      <c r="AE21" s="246">
        <f>IFERROR(VLOOKUP(Q21,PROGRAMAS[],2,FALSE),0)</f>
        <v>0</v>
      </c>
      <c r="AF21" s="246">
        <f>IFERROR(VLOOKUP(D21,PROGRAMAS[],3,FALSE),0)</f>
        <v>841888629.31080008</v>
      </c>
      <c r="AG21" s="246">
        <f>IFERROR(VLOOKUP(E21,PROGRAMAS[],3,FALSE),0)</f>
        <v>3848980803.1642323</v>
      </c>
      <c r="AH21" s="246">
        <f>IFERROR(VLOOKUP(F21,PROGRAMAS[],3,FALSE),0)</f>
        <v>3394901471.387517</v>
      </c>
      <c r="AI21" s="246">
        <f>IFERROR(VLOOKUP(G21,PROGRAMAS[],3,FALSE),0)</f>
        <v>125317226.95549992</v>
      </c>
      <c r="AJ21" s="246">
        <f>IFERROR(VLOOKUP(H21,PROGRAMAS[],3,FALSE),0)</f>
        <v>2406564599.0319901</v>
      </c>
      <c r="AK21" s="246">
        <f>IFERROR(VLOOKUP(I21,PROGRAMAS[],3,FALSE),0)</f>
        <v>0</v>
      </c>
      <c r="AL21" s="246">
        <f>IFERROR(VLOOKUP(J21,PROGRAMAS[],3,FALSE),0)</f>
        <v>0</v>
      </c>
      <c r="AM21" s="246">
        <f>IFERROR(VLOOKUP(K21,PROGRAMAS[],3,FALSE),0)</f>
        <v>0</v>
      </c>
      <c r="AN21" s="246">
        <f>IFERROR(VLOOKUP(L21,PROGRAMAS[],3,FALSE),0)</f>
        <v>0</v>
      </c>
      <c r="AO21" s="246">
        <f>IFERROR(VLOOKUP(M21,PROGRAMAS[],3,FALSE),0)</f>
        <v>0</v>
      </c>
      <c r="AP21" s="246">
        <f>IFERROR(VLOOKUP(N21,PROGRAMAS[],3,FALSE),0)</f>
        <v>0</v>
      </c>
      <c r="AQ21" s="246">
        <f>IFERROR(VLOOKUP(O21,PROGRAMAS[],3,FALSE),0)</f>
        <v>0</v>
      </c>
      <c r="AR21" s="246">
        <f>IFERROR(VLOOKUP(P21,PROGRAMAS[],3,FALSE),0)</f>
        <v>0</v>
      </c>
      <c r="AS21" s="246">
        <f>IFERROR(VLOOKUP(Q21,PROGRAMAS[],3,FALSE),0)</f>
        <v>0</v>
      </c>
      <c r="AT21" s="246">
        <f>IFERROR(VLOOKUP(D21,VOL_REC[],2,FALSE),0)</f>
        <v>0</v>
      </c>
      <c r="AU21" s="246">
        <f>IFERROR(VLOOKUP(E21,VOL_REC[],2,FALSE),0)</f>
        <v>0</v>
      </c>
      <c r="AV21" s="246">
        <f>IFERROR(VLOOKUP(F21,VOL_REC[],2,FALSE),0)</f>
        <v>11089674.200000001</v>
      </c>
      <c r="AW21" s="246">
        <f>IFERROR(VLOOKUP(G21,VOL_REC[],2,FALSE),0)</f>
        <v>90439.55</v>
      </c>
      <c r="AX21" s="246">
        <f>IFERROR(VLOOKUP(H21,VOL_REC[],2,FALSE),0)</f>
        <v>1072354.9981737854</v>
      </c>
      <c r="AY21" s="246">
        <f>IFERROR(VLOOKUP(I21,VOL_REC[],2,FALSE),0)</f>
        <v>0</v>
      </c>
      <c r="AZ21" s="246">
        <f>IFERROR(VLOOKUP(J21,VOL_REC[],2,FALSE),0)</f>
        <v>0</v>
      </c>
      <c r="BA21" s="246">
        <f>IFERROR(VLOOKUP(K21,VOL_REC[],2,FALSE),0)</f>
        <v>0</v>
      </c>
      <c r="BB21" s="246">
        <f>IFERROR(VLOOKUP(L21,VOL_REC[],2,FALSE),0)</f>
        <v>0</v>
      </c>
      <c r="BC21" s="246">
        <f>IFERROR(VLOOKUP(M21,VOL_REC[],2,FALSE),0)</f>
        <v>0</v>
      </c>
      <c r="BD21" s="246">
        <f>IFERROR(VLOOKUP(N21,VOL_REC[],2,FALSE),0)</f>
        <v>0</v>
      </c>
      <c r="BE21" s="246">
        <f>IFERROR(VLOOKUP(O21,VOL_REC[],2,FALSE),0)</f>
        <v>0</v>
      </c>
      <c r="BF21" s="246">
        <f>IFERROR(VLOOKUP(P21,VOL_REC[],2,FALSE),0)</f>
        <v>0</v>
      </c>
      <c r="BG21" s="246">
        <f>IFERROR(VLOOKUP(Q21,VOL_REC[],2,FALSE),0)</f>
        <v>0</v>
      </c>
      <c r="BH21" s="1710">
        <f t="shared" si="0"/>
        <v>10936061190.590687</v>
      </c>
      <c r="BI21" s="1710">
        <f t="shared" si="1"/>
        <v>10617652729.85004</v>
      </c>
      <c r="BJ21" s="1711">
        <f t="shared" si="2"/>
        <v>12252468.748173788</v>
      </c>
      <c r="BK21" s="1711">
        <f t="shared" si="3"/>
        <v>1.0299885924735026</v>
      </c>
      <c r="BL21">
        <f>BJ21</f>
        <v>12252468.748173788</v>
      </c>
      <c r="BO21">
        <f>BL21</f>
        <v>12252468.748173788</v>
      </c>
    </row>
    <row r="22" spans="3:67" x14ac:dyDescent="0.25">
      <c r="C22" s="246" t="s">
        <v>1372</v>
      </c>
      <c r="D22" s="246">
        <v>1</v>
      </c>
      <c r="E22" s="246">
        <v>2</v>
      </c>
      <c r="F22" s="246">
        <v>3</v>
      </c>
      <c r="G22" s="246">
        <v>4</v>
      </c>
      <c r="H22" s="246">
        <v>17</v>
      </c>
      <c r="I22" s="246"/>
      <c r="J22" s="246"/>
      <c r="K22" s="246"/>
      <c r="L22" s="246"/>
      <c r="M22" s="246"/>
      <c r="N22" s="246"/>
      <c r="O22" s="246"/>
      <c r="P22" s="246"/>
      <c r="Q22" s="246"/>
      <c r="R22" s="246">
        <f>IFERROR(VLOOKUP(D22,PROGRAMAS[],2,FALSE),0)</f>
        <v>97037803.679377079</v>
      </c>
      <c r="S22" s="246">
        <f>IFERROR(VLOOKUP(E22,PROGRAMAS[],2,FALSE),0)</f>
        <v>640501509.6821388</v>
      </c>
      <c r="T22" s="246">
        <f>IFERROR(VLOOKUP(F22,PROGRAMAS[],2,FALSE),0)</f>
        <v>3062327798.1525245</v>
      </c>
      <c r="U22" s="246">
        <f>IFERROR(VLOOKUP(G22,PROGRAMAS[],2,FALSE),0)</f>
        <v>67697118.033011258</v>
      </c>
      <c r="V22" s="246">
        <f>IFERROR(VLOOKUP(H22,PROGRAMAS[],2,FALSE),0)</f>
        <v>1892779498.5211046</v>
      </c>
      <c r="W22" s="246">
        <f>IFERROR(VLOOKUP(I22,PROGRAMAS[],2,FALSE),0)</f>
        <v>0</v>
      </c>
      <c r="X22" s="246">
        <f>IFERROR(VLOOKUP(J22,PROGRAMAS[],2,FALSE),0)</f>
        <v>0</v>
      </c>
      <c r="Y22" s="246">
        <f>IFERROR(VLOOKUP(K22,PROGRAMAS[],2,FALSE),0)</f>
        <v>0</v>
      </c>
      <c r="Z22" s="246">
        <f>IFERROR(VLOOKUP(L22,PROGRAMAS[],2,FALSE),0)</f>
        <v>0</v>
      </c>
      <c r="AA22" s="246">
        <f>IFERROR(VLOOKUP(M22,PROGRAMAS[],2,FALSE),0)</f>
        <v>0</v>
      </c>
      <c r="AB22" s="246">
        <f>IFERROR(VLOOKUP(N22,PROGRAMAS[],2,FALSE),0)</f>
        <v>0</v>
      </c>
      <c r="AC22" s="246">
        <f>IFERROR(VLOOKUP(O22,PROGRAMAS[],2,FALSE),0)</f>
        <v>0</v>
      </c>
      <c r="AD22" s="246">
        <f>IFERROR(VLOOKUP(P22,PROGRAMAS[],2,FALSE),0)</f>
        <v>0</v>
      </c>
      <c r="AE22" s="246">
        <f>IFERROR(VLOOKUP(Q22,PROGRAMAS[],2,FALSE),0)</f>
        <v>0</v>
      </c>
      <c r="AF22" s="246">
        <f>IFERROR(VLOOKUP(D22,PROGRAMAS[],3,FALSE),0)</f>
        <v>841888629.31080008</v>
      </c>
      <c r="AG22" s="246">
        <f>IFERROR(VLOOKUP(E22,PROGRAMAS[],3,FALSE),0)</f>
        <v>3848980803.1642323</v>
      </c>
      <c r="AH22" s="246">
        <f>IFERROR(VLOOKUP(F22,PROGRAMAS[],3,FALSE),0)</f>
        <v>3394901471.387517</v>
      </c>
      <c r="AI22" s="246">
        <f>IFERROR(VLOOKUP(G22,PROGRAMAS[],3,FALSE),0)</f>
        <v>125317226.95549992</v>
      </c>
      <c r="AJ22" s="246">
        <f>IFERROR(VLOOKUP(H22,PROGRAMAS[],3,FALSE),0)</f>
        <v>948595847.09039903</v>
      </c>
      <c r="AK22" s="246">
        <f>IFERROR(VLOOKUP(I22,PROGRAMAS[],3,FALSE),0)</f>
        <v>0</v>
      </c>
      <c r="AL22" s="246">
        <f>IFERROR(VLOOKUP(J22,PROGRAMAS[],3,FALSE),0)</f>
        <v>0</v>
      </c>
      <c r="AM22" s="246">
        <f>IFERROR(VLOOKUP(K22,PROGRAMAS[],3,FALSE),0)</f>
        <v>0</v>
      </c>
      <c r="AN22" s="246">
        <f>IFERROR(VLOOKUP(L22,PROGRAMAS[],3,FALSE),0)</f>
        <v>0</v>
      </c>
      <c r="AO22" s="246">
        <f>IFERROR(VLOOKUP(M22,PROGRAMAS[],3,FALSE),0)</f>
        <v>0</v>
      </c>
      <c r="AP22" s="246">
        <f>IFERROR(VLOOKUP(N22,PROGRAMAS[],3,FALSE),0)</f>
        <v>0</v>
      </c>
      <c r="AQ22" s="246">
        <f>IFERROR(VLOOKUP(O22,PROGRAMAS[],3,FALSE),0)</f>
        <v>0</v>
      </c>
      <c r="AR22" s="246">
        <f>IFERROR(VLOOKUP(P22,PROGRAMAS[],3,FALSE),0)</f>
        <v>0</v>
      </c>
      <c r="AS22" s="246">
        <f>IFERROR(VLOOKUP(Q22,PROGRAMAS[],3,FALSE),0)</f>
        <v>0</v>
      </c>
      <c r="AT22" s="246">
        <f>IFERROR(VLOOKUP(D22,VOL_REC[],2,FALSE),0)</f>
        <v>0</v>
      </c>
      <c r="AU22" s="246">
        <f>IFERROR(VLOOKUP(E22,VOL_REC[],2,FALSE),0)</f>
        <v>0</v>
      </c>
      <c r="AV22" s="246">
        <f>IFERROR(VLOOKUP(F22,VOL_REC[],2,FALSE),0)</f>
        <v>11089674.200000001</v>
      </c>
      <c r="AW22" s="246">
        <f>IFERROR(VLOOKUP(G22,VOL_REC[],2,FALSE),0)</f>
        <v>90439.55</v>
      </c>
      <c r="AX22" s="246">
        <f>IFERROR(VLOOKUP(H22,VOL_REC[],2,FALSE),0)</f>
        <v>740113.98115702497</v>
      </c>
      <c r="AY22" s="246">
        <f>IFERROR(VLOOKUP(I22,VOL_REC[],2,FALSE),0)</f>
        <v>0</v>
      </c>
      <c r="AZ22" s="246">
        <f>IFERROR(VLOOKUP(J22,VOL_REC[],2,FALSE),0)</f>
        <v>0</v>
      </c>
      <c r="BA22" s="246">
        <f>IFERROR(VLOOKUP(K22,VOL_REC[],2,FALSE),0)</f>
        <v>0</v>
      </c>
      <c r="BB22" s="246">
        <f>IFERROR(VLOOKUP(L22,VOL_REC[],2,FALSE),0)</f>
        <v>0</v>
      </c>
      <c r="BC22" s="246">
        <f>IFERROR(VLOOKUP(M22,VOL_REC[],2,FALSE),0)</f>
        <v>0</v>
      </c>
      <c r="BD22" s="246">
        <f>IFERROR(VLOOKUP(N22,VOL_REC[],2,FALSE),0)</f>
        <v>0</v>
      </c>
      <c r="BE22" s="246">
        <f>IFERROR(VLOOKUP(O22,VOL_REC[],2,FALSE),0)</f>
        <v>0</v>
      </c>
      <c r="BF22" s="246">
        <f>IFERROR(VLOOKUP(P22,VOL_REC[],2,FALSE),0)</f>
        <v>0</v>
      </c>
      <c r="BG22" s="246">
        <f>IFERROR(VLOOKUP(Q22,VOL_REC[],2,FALSE),0)</f>
        <v>0</v>
      </c>
      <c r="BH22" s="1710">
        <f t="shared" si="0"/>
        <v>5760343728.0681562</v>
      </c>
      <c r="BI22" s="1710">
        <f t="shared" si="1"/>
        <v>9159683977.9084492</v>
      </c>
      <c r="BJ22" s="1711">
        <f t="shared" si="2"/>
        <v>11920227.731157027</v>
      </c>
      <c r="BK22" s="1711">
        <f t="shared" si="3"/>
        <v>0.62888018210683849</v>
      </c>
    </row>
    <row r="23" spans="3:67" x14ac:dyDescent="0.25">
      <c r="C23" s="246" t="s">
        <v>1373</v>
      </c>
      <c r="D23" s="246">
        <v>1</v>
      </c>
      <c r="E23" s="246">
        <v>2</v>
      </c>
      <c r="F23" s="246">
        <v>3</v>
      </c>
      <c r="G23" s="246">
        <v>5</v>
      </c>
      <c r="H23" s="246">
        <v>6</v>
      </c>
      <c r="I23" s="246"/>
      <c r="J23" s="246"/>
      <c r="K23" s="246"/>
      <c r="L23" s="246"/>
      <c r="M23" s="246"/>
      <c r="N23" s="246"/>
      <c r="O23" s="246"/>
      <c r="P23" s="246"/>
      <c r="Q23" s="246"/>
      <c r="R23" s="246">
        <f>IFERROR(VLOOKUP(D23,PROGRAMAS[],2,FALSE),0)</f>
        <v>97037803.679377079</v>
      </c>
      <c r="S23" s="246">
        <f>IFERROR(VLOOKUP(E23,PROGRAMAS[],2,FALSE),0)</f>
        <v>640501509.6821388</v>
      </c>
      <c r="T23" s="246">
        <f>IFERROR(VLOOKUP(F23,PROGRAMAS[],2,FALSE),0)</f>
        <v>3062327798.1525245</v>
      </c>
      <c r="U23" s="246">
        <f>IFERROR(VLOOKUP(G23,PROGRAMAS[],2,FALSE),0)</f>
        <v>1440941976.2528784</v>
      </c>
      <c r="V23" s="246">
        <f>IFERROR(VLOOKUP(H23,PROGRAMAS[],2,FALSE),0)</f>
        <v>6907648435.8447599</v>
      </c>
      <c r="W23" s="246">
        <f>IFERROR(VLOOKUP(I23,PROGRAMAS[],2,FALSE),0)</f>
        <v>0</v>
      </c>
      <c r="X23" s="246">
        <f>IFERROR(VLOOKUP(J23,PROGRAMAS[],2,FALSE),0)</f>
        <v>0</v>
      </c>
      <c r="Y23" s="246">
        <f>IFERROR(VLOOKUP(K23,PROGRAMAS[],2,FALSE),0)</f>
        <v>0</v>
      </c>
      <c r="Z23" s="246">
        <f>IFERROR(VLOOKUP(L23,PROGRAMAS[],2,FALSE),0)</f>
        <v>0</v>
      </c>
      <c r="AA23" s="246">
        <f>IFERROR(VLOOKUP(M23,PROGRAMAS[],2,FALSE),0)</f>
        <v>0</v>
      </c>
      <c r="AB23" s="246">
        <f>IFERROR(VLOOKUP(N23,PROGRAMAS[],2,FALSE),0)</f>
        <v>0</v>
      </c>
      <c r="AC23" s="246">
        <f>IFERROR(VLOOKUP(O23,PROGRAMAS[],2,FALSE),0)</f>
        <v>0</v>
      </c>
      <c r="AD23" s="246">
        <f>IFERROR(VLOOKUP(P23,PROGRAMAS[],2,FALSE),0)</f>
        <v>0</v>
      </c>
      <c r="AE23" s="246">
        <f>IFERROR(VLOOKUP(Q23,PROGRAMAS[],2,FALSE),0)</f>
        <v>0</v>
      </c>
      <c r="AF23" s="246">
        <f>IFERROR(VLOOKUP(D23,PROGRAMAS[],3,FALSE),0)</f>
        <v>841888629.31080008</v>
      </c>
      <c r="AG23" s="246">
        <f>IFERROR(VLOOKUP(E23,PROGRAMAS[],3,FALSE),0)</f>
        <v>3848980803.1642323</v>
      </c>
      <c r="AH23" s="246">
        <f>IFERROR(VLOOKUP(F23,PROGRAMAS[],3,FALSE),0)</f>
        <v>3394901471.387517</v>
      </c>
      <c r="AI23" s="246">
        <f>IFERROR(VLOOKUP(G23,PROGRAMAS[],3,FALSE),0)</f>
        <v>1233505101.0616004</v>
      </c>
      <c r="AJ23" s="246">
        <f>IFERROR(VLOOKUP(H23,PROGRAMAS[],3,FALSE),0)</f>
        <v>6129902208.7912121</v>
      </c>
      <c r="AK23" s="246">
        <f>IFERROR(VLOOKUP(I23,PROGRAMAS[],3,FALSE),0)</f>
        <v>0</v>
      </c>
      <c r="AL23" s="246">
        <f>IFERROR(VLOOKUP(J23,PROGRAMAS[],3,FALSE),0)</f>
        <v>0</v>
      </c>
      <c r="AM23" s="246">
        <f>IFERROR(VLOOKUP(K23,PROGRAMAS[],3,FALSE),0)</f>
        <v>0</v>
      </c>
      <c r="AN23" s="246">
        <f>IFERROR(VLOOKUP(L23,PROGRAMAS[],3,FALSE),0)</f>
        <v>0</v>
      </c>
      <c r="AO23" s="246">
        <f>IFERROR(VLOOKUP(M23,PROGRAMAS[],3,FALSE),0)</f>
        <v>0</v>
      </c>
      <c r="AP23" s="246">
        <f>IFERROR(VLOOKUP(N23,PROGRAMAS[],3,FALSE),0)</f>
        <v>0</v>
      </c>
      <c r="AQ23" s="246">
        <f>IFERROR(VLOOKUP(O23,PROGRAMAS[],3,FALSE),0)</f>
        <v>0</v>
      </c>
      <c r="AR23" s="246">
        <f>IFERROR(VLOOKUP(P23,PROGRAMAS[],3,FALSE),0)</f>
        <v>0</v>
      </c>
      <c r="AS23" s="246">
        <f>IFERROR(VLOOKUP(Q23,PROGRAMAS[],3,FALSE),0)</f>
        <v>0</v>
      </c>
      <c r="AT23" s="246">
        <f>IFERROR(VLOOKUP(D23,VOL_REC[],2,FALSE),0)</f>
        <v>0</v>
      </c>
      <c r="AU23" s="246">
        <f>IFERROR(VLOOKUP(E23,VOL_REC[],2,FALSE),0)</f>
        <v>0</v>
      </c>
      <c r="AV23" s="246">
        <f>IFERROR(VLOOKUP(F23,VOL_REC[],2,FALSE),0)</f>
        <v>11089674.200000001</v>
      </c>
      <c r="AW23" s="246">
        <f>IFERROR(VLOOKUP(G23,VOL_REC[],2,FALSE),0)</f>
        <v>4325103.1812214684</v>
      </c>
      <c r="AX23" s="246">
        <f>IFERROR(VLOOKUP(H23,VOL_REC[],2,FALSE),0)</f>
        <v>15540036.397699751</v>
      </c>
      <c r="AY23" s="246">
        <f>IFERROR(VLOOKUP(I23,VOL_REC[],2,FALSE),0)</f>
        <v>0</v>
      </c>
      <c r="AZ23" s="246">
        <f>IFERROR(VLOOKUP(J23,VOL_REC[],2,FALSE),0)</f>
        <v>0</v>
      </c>
      <c r="BA23" s="246">
        <f>IFERROR(VLOOKUP(K23,VOL_REC[],2,FALSE),0)</f>
        <v>0</v>
      </c>
      <c r="BB23" s="246">
        <f>IFERROR(VLOOKUP(L23,VOL_REC[],2,FALSE),0)</f>
        <v>0</v>
      </c>
      <c r="BC23" s="246">
        <f>IFERROR(VLOOKUP(M23,VOL_REC[],2,FALSE),0)</f>
        <v>0</v>
      </c>
      <c r="BD23" s="246">
        <f>IFERROR(VLOOKUP(N23,VOL_REC[],2,FALSE),0)</f>
        <v>0</v>
      </c>
      <c r="BE23" s="246">
        <f>IFERROR(VLOOKUP(O23,VOL_REC[],2,FALSE),0)</f>
        <v>0</v>
      </c>
      <c r="BF23" s="246">
        <f>IFERROR(VLOOKUP(P23,VOL_REC[],2,FALSE),0)</f>
        <v>0</v>
      </c>
      <c r="BG23" s="246">
        <f>IFERROR(VLOOKUP(Q23,VOL_REC[],2,FALSE),0)</f>
        <v>0</v>
      </c>
      <c r="BH23" s="1710">
        <f t="shared" si="0"/>
        <v>12148457523.611679</v>
      </c>
      <c r="BI23" s="1710">
        <f t="shared" si="1"/>
        <v>15449178213.715363</v>
      </c>
      <c r="BJ23" s="1711">
        <f t="shared" si="2"/>
        <v>30954813.77892122</v>
      </c>
      <c r="BK23" s="1711">
        <f t="shared" si="3"/>
        <v>0.78634975631432658</v>
      </c>
    </row>
    <row r="24" spans="3:67" x14ac:dyDescent="0.25">
      <c r="C24" s="246" t="s">
        <v>1374</v>
      </c>
      <c r="D24" s="246">
        <v>1</v>
      </c>
      <c r="E24" s="246">
        <v>2</v>
      </c>
      <c r="F24" s="246">
        <v>3</v>
      </c>
      <c r="G24" s="246">
        <v>5</v>
      </c>
      <c r="H24" s="246">
        <v>9</v>
      </c>
      <c r="I24" s="246"/>
      <c r="J24" s="246"/>
      <c r="K24" s="246"/>
      <c r="L24" s="246"/>
      <c r="M24" s="246"/>
      <c r="N24" s="246"/>
      <c r="O24" s="246"/>
      <c r="P24" s="246"/>
      <c r="Q24" s="246"/>
      <c r="R24" s="246">
        <f>IFERROR(VLOOKUP(D24,PROGRAMAS[],2,FALSE),0)</f>
        <v>97037803.679377079</v>
      </c>
      <c r="S24" s="246">
        <f>IFERROR(VLOOKUP(E24,PROGRAMAS[],2,FALSE),0)</f>
        <v>640501509.6821388</v>
      </c>
      <c r="T24" s="246">
        <f>IFERROR(VLOOKUP(F24,PROGRAMAS[],2,FALSE),0)</f>
        <v>3062327798.1525245</v>
      </c>
      <c r="U24" s="246">
        <f>IFERROR(VLOOKUP(G24,PROGRAMAS[],2,FALSE),0)</f>
        <v>1440941976.2528784</v>
      </c>
      <c r="V24" s="246">
        <f>IFERROR(VLOOKUP(H24,PROGRAMAS[],2,FALSE),0)</f>
        <v>6128579952.1618185</v>
      </c>
      <c r="W24" s="246">
        <f>IFERROR(VLOOKUP(I24,PROGRAMAS[],2,FALSE),0)</f>
        <v>0</v>
      </c>
      <c r="X24" s="246">
        <f>IFERROR(VLOOKUP(J24,PROGRAMAS[],2,FALSE),0)</f>
        <v>0</v>
      </c>
      <c r="Y24" s="246">
        <f>IFERROR(VLOOKUP(K24,PROGRAMAS[],2,FALSE),0)</f>
        <v>0</v>
      </c>
      <c r="Z24" s="246">
        <f>IFERROR(VLOOKUP(L24,PROGRAMAS[],2,FALSE),0)</f>
        <v>0</v>
      </c>
      <c r="AA24" s="246">
        <f>IFERROR(VLOOKUP(M24,PROGRAMAS[],2,FALSE),0)</f>
        <v>0</v>
      </c>
      <c r="AB24" s="246">
        <f>IFERROR(VLOOKUP(N24,PROGRAMAS[],2,FALSE),0)</f>
        <v>0</v>
      </c>
      <c r="AC24" s="246">
        <f>IFERROR(VLOOKUP(O24,PROGRAMAS[],2,FALSE),0)</f>
        <v>0</v>
      </c>
      <c r="AD24" s="246">
        <f>IFERROR(VLOOKUP(P24,PROGRAMAS[],2,FALSE),0)</f>
        <v>0</v>
      </c>
      <c r="AE24" s="246">
        <f>IFERROR(VLOOKUP(Q24,PROGRAMAS[],2,FALSE),0)</f>
        <v>0</v>
      </c>
      <c r="AF24" s="246">
        <f>IFERROR(VLOOKUP(D24,PROGRAMAS[],3,FALSE),0)</f>
        <v>841888629.31080008</v>
      </c>
      <c r="AG24" s="246">
        <f>IFERROR(VLOOKUP(E24,PROGRAMAS[],3,FALSE),0)</f>
        <v>3848980803.1642323</v>
      </c>
      <c r="AH24" s="246">
        <f>IFERROR(VLOOKUP(F24,PROGRAMAS[],3,FALSE),0)</f>
        <v>3394901471.387517</v>
      </c>
      <c r="AI24" s="246">
        <f>IFERROR(VLOOKUP(G24,PROGRAMAS[],3,FALSE),0)</f>
        <v>1233505101.0616004</v>
      </c>
      <c r="AJ24" s="246">
        <f>IFERROR(VLOOKUP(H24,PROGRAMAS[],3,FALSE),0)</f>
        <v>7011279577.519702</v>
      </c>
      <c r="AK24" s="246">
        <f>IFERROR(VLOOKUP(I24,PROGRAMAS[],3,FALSE),0)</f>
        <v>0</v>
      </c>
      <c r="AL24" s="246">
        <f>IFERROR(VLOOKUP(J24,PROGRAMAS[],3,FALSE),0)</f>
        <v>0</v>
      </c>
      <c r="AM24" s="246">
        <f>IFERROR(VLOOKUP(K24,PROGRAMAS[],3,FALSE),0)</f>
        <v>0</v>
      </c>
      <c r="AN24" s="246">
        <f>IFERROR(VLOOKUP(L24,PROGRAMAS[],3,FALSE),0)</f>
        <v>0</v>
      </c>
      <c r="AO24" s="246">
        <f>IFERROR(VLOOKUP(M24,PROGRAMAS[],3,FALSE),0)</f>
        <v>0</v>
      </c>
      <c r="AP24" s="246">
        <f>IFERROR(VLOOKUP(N24,PROGRAMAS[],3,FALSE),0)</f>
        <v>0</v>
      </c>
      <c r="AQ24" s="246">
        <f>IFERROR(VLOOKUP(O24,PROGRAMAS[],3,FALSE),0)</f>
        <v>0</v>
      </c>
      <c r="AR24" s="246">
        <f>IFERROR(VLOOKUP(P24,PROGRAMAS[],3,FALSE),0)</f>
        <v>0</v>
      </c>
      <c r="AS24" s="246">
        <f>IFERROR(VLOOKUP(Q24,PROGRAMAS[],3,FALSE),0)</f>
        <v>0</v>
      </c>
      <c r="AT24" s="246">
        <f>IFERROR(VLOOKUP(D24,VOL_REC[],2,FALSE),0)</f>
        <v>0</v>
      </c>
      <c r="AU24" s="246">
        <f>IFERROR(VLOOKUP(E24,VOL_REC[],2,FALSE),0)</f>
        <v>0</v>
      </c>
      <c r="AV24" s="246">
        <f>IFERROR(VLOOKUP(F24,VOL_REC[],2,FALSE),0)</f>
        <v>11089674.200000001</v>
      </c>
      <c r="AW24" s="246">
        <f>IFERROR(VLOOKUP(G24,VOL_REC[],2,FALSE),0)</f>
        <v>4325103.1812214684</v>
      </c>
      <c r="AX24" s="246">
        <f>IFERROR(VLOOKUP(H24,VOL_REC[],2,FALSE),0)</f>
        <v>3761786</v>
      </c>
      <c r="AY24" s="246">
        <f>IFERROR(VLOOKUP(I24,VOL_REC[],2,FALSE),0)</f>
        <v>0</v>
      </c>
      <c r="AZ24" s="246">
        <f>IFERROR(VLOOKUP(J24,VOL_REC[],2,FALSE),0)</f>
        <v>0</v>
      </c>
      <c r="BA24" s="246">
        <f>IFERROR(VLOOKUP(K24,VOL_REC[],2,FALSE),0)</f>
        <v>0</v>
      </c>
      <c r="BB24" s="246">
        <f>IFERROR(VLOOKUP(L24,VOL_REC[],2,FALSE),0)</f>
        <v>0</v>
      </c>
      <c r="BC24" s="246">
        <f>IFERROR(VLOOKUP(M24,VOL_REC[],2,FALSE),0)</f>
        <v>0</v>
      </c>
      <c r="BD24" s="246">
        <f>IFERROR(VLOOKUP(N24,VOL_REC[],2,FALSE),0)</f>
        <v>0</v>
      </c>
      <c r="BE24" s="246">
        <f>IFERROR(VLOOKUP(O24,VOL_REC[],2,FALSE),0)</f>
        <v>0</v>
      </c>
      <c r="BF24" s="246">
        <f>IFERROR(VLOOKUP(P24,VOL_REC[],2,FALSE),0)</f>
        <v>0</v>
      </c>
      <c r="BG24" s="246">
        <f>IFERROR(VLOOKUP(Q24,VOL_REC[],2,FALSE),0)</f>
        <v>0</v>
      </c>
      <c r="BH24" s="1710">
        <f t="shared" si="0"/>
        <v>11369389039.928738</v>
      </c>
      <c r="BI24" s="1710">
        <f t="shared" si="1"/>
        <v>16330555582.443851</v>
      </c>
      <c r="BJ24" s="1711">
        <f t="shared" si="2"/>
        <v>19176563.381221469</v>
      </c>
      <c r="BK24" s="1711">
        <f t="shared" si="3"/>
        <v>0.69620344406110646</v>
      </c>
    </row>
    <row r="25" spans="3:67" x14ac:dyDescent="0.25">
      <c r="C25" s="246" t="s">
        <v>1375</v>
      </c>
      <c r="D25" s="246">
        <v>1</v>
      </c>
      <c r="E25" s="246">
        <v>2</v>
      </c>
      <c r="F25" s="246">
        <v>3</v>
      </c>
      <c r="G25" s="246">
        <v>5</v>
      </c>
      <c r="H25" s="246">
        <v>10</v>
      </c>
      <c r="I25" s="246"/>
      <c r="J25" s="246"/>
      <c r="K25" s="246"/>
      <c r="L25" s="246"/>
      <c r="M25" s="246"/>
      <c r="N25" s="246"/>
      <c r="O25" s="246"/>
      <c r="P25" s="246"/>
      <c r="Q25" s="246"/>
      <c r="R25" s="246">
        <f>IFERROR(VLOOKUP(D25,PROGRAMAS[],2,FALSE),0)</f>
        <v>97037803.679377079</v>
      </c>
      <c r="S25" s="246">
        <f>IFERROR(VLOOKUP(E25,PROGRAMAS[],2,FALSE),0)</f>
        <v>640501509.6821388</v>
      </c>
      <c r="T25" s="246">
        <f>IFERROR(VLOOKUP(F25,PROGRAMAS[],2,FALSE),0)</f>
        <v>3062327798.1525245</v>
      </c>
      <c r="U25" s="246">
        <f>IFERROR(VLOOKUP(G25,PROGRAMAS[],2,FALSE),0)</f>
        <v>1440941976.2528784</v>
      </c>
      <c r="V25" s="246">
        <f>IFERROR(VLOOKUP(H25,PROGRAMAS[],2,FALSE),0)</f>
        <v>4635315027.8751087</v>
      </c>
      <c r="W25" s="246">
        <f>IFERROR(VLOOKUP(I25,PROGRAMAS[],2,FALSE),0)</f>
        <v>0</v>
      </c>
      <c r="X25" s="246">
        <f>IFERROR(VLOOKUP(J25,PROGRAMAS[],2,FALSE),0)</f>
        <v>0</v>
      </c>
      <c r="Y25" s="246">
        <f>IFERROR(VLOOKUP(K25,PROGRAMAS[],2,FALSE),0)</f>
        <v>0</v>
      </c>
      <c r="Z25" s="246">
        <f>IFERROR(VLOOKUP(L25,PROGRAMAS[],2,FALSE),0)</f>
        <v>0</v>
      </c>
      <c r="AA25" s="246">
        <f>IFERROR(VLOOKUP(M25,PROGRAMAS[],2,FALSE),0)</f>
        <v>0</v>
      </c>
      <c r="AB25" s="246">
        <f>IFERROR(VLOOKUP(N25,PROGRAMAS[],2,FALSE),0)</f>
        <v>0</v>
      </c>
      <c r="AC25" s="246">
        <f>IFERROR(VLOOKUP(O25,PROGRAMAS[],2,FALSE),0)</f>
        <v>0</v>
      </c>
      <c r="AD25" s="246">
        <f>IFERROR(VLOOKUP(P25,PROGRAMAS[],2,FALSE),0)</f>
        <v>0</v>
      </c>
      <c r="AE25" s="246">
        <f>IFERROR(VLOOKUP(Q25,PROGRAMAS[],2,FALSE),0)</f>
        <v>0</v>
      </c>
      <c r="AF25" s="246">
        <f>IFERROR(VLOOKUP(D25,PROGRAMAS[],3,FALSE),0)</f>
        <v>841888629.31080008</v>
      </c>
      <c r="AG25" s="246">
        <f>IFERROR(VLOOKUP(E25,PROGRAMAS[],3,FALSE),0)</f>
        <v>3848980803.1642323</v>
      </c>
      <c r="AH25" s="246">
        <f>IFERROR(VLOOKUP(F25,PROGRAMAS[],3,FALSE),0)</f>
        <v>3394901471.387517</v>
      </c>
      <c r="AI25" s="246">
        <f>IFERROR(VLOOKUP(G25,PROGRAMAS[],3,FALSE),0)</f>
        <v>1233505101.0616004</v>
      </c>
      <c r="AJ25" s="246">
        <f>IFERROR(VLOOKUP(H25,PROGRAMAS[],3,FALSE),0)</f>
        <v>4099471734.9978786</v>
      </c>
      <c r="AK25" s="246">
        <f>IFERROR(VLOOKUP(I25,PROGRAMAS[],3,FALSE),0)</f>
        <v>0</v>
      </c>
      <c r="AL25" s="246">
        <f>IFERROR(VLOOKUP(J25,PROGRAMAS[],3,FALSE),0)</f>
        <v>0</v>
      </c>
      <c r="AM25" s="246">
        <f>IFERROR(VLOOKUP(K25,PROGRAMAS[],3,FALSE),0)</f>
        <v>0</v>
      </c>
      <c r="AN25" s="246">
        <f>IFERROR(VLOOKUP(L25,PROGRAMAS[],3,FALSE),0)</f>
        <v>0</v>
      </c>
      <c r="AO25" s="246">
        <f>IFERROR(VLOOKUP(M25,PROGRAMAS[],3,FALSE),0)</f>
        <v>0</v>
      </c>
      <c r="AP25" s="246">
        <f>IFERROR(VLOOKUP(N25,PROGRAMAS[],3,FALSE),0)</f>
        <v>0</v>
      </c>
      <c r="AQ25" s="246">
        <f>IFERROR(VLOOKUP(O25,PROGRAMAS[],3,FALSE),0)</f>
        <v>0</v>
      </c>
      <c r="AR25" s="246">
        <f>IFERROR(VLOOKUP(P25,PROGRAMAS[],3,FALSE),0)</f>
        <v>0</v>
      </c>
      <c r="AS25" s="246">
        <f>IFERROR(VLOOKUP(Q25,PROGRAMAS[],3,FALSE),0)</f>
        <v>0</v>
      </c>
      <c r="AT25" s="246">
        <f>IFERROR(VLOOKUP(D25,VOL_REC[],2,FALSE),0)</f>
        <v>0</v>
      </c>
      <c r="AU25" s="246">
        <f>IFERROR(VLOOKUP(E25,VOL_REC[],2,FALSE),0)</f>
        <v>0</v>
      </c>
      <c r="AV25" s="246">
        <f>IFERROR(VLOOKUP(F25,VOL_REC[],2,FALSE),0)</f>
        <v>11089674.200000001</v>
      </c>
      <c r="AW25" s="246">
        <f>IFERROR(VLOOKUP(G25,VOL_REC[],2,FALSE),0)</f>
        <v>4325103.1812214684</v>
      </c>
      <c r="AX25" s="246">
        <f>IFERROR(VLOOKUP(H25,VOL_REC[],2,FALSE),0)</f>
        <v>1812240</v>
      </c>
      <c r="AY25" s="246">
        <f>IFERROR(VLOOKUP(I25,VOL_REC[],2,FALSE),0)</f>
        <v>0</v>
      </c>
      <c r="AZ25" s="246">
        <f>IFERROR(VLOOKUP(J25,VOL_REC[],2,FALSE),0)</f>
        <v>0</v>
      </c>
      <c r="BA25" s="246">
        <f>IFERROR(VLOOKUP(K25,VOL_REC[],2,FALSE),0)</f>
        <v>0</v>
      </c>
      <c r="BB25" s="246">
        <f>IFERROR(VLOOKUP(L25,VOL_REC[],2,FALSE),0)</f>
        <v>0</v>
      </c>
      <c r="BC25" s="246">
        <f>IFERROR(VLOOKUP(M25,VOL_REC[],2,FALSE),0)</f>
        <v>0</v>
      </c>
      <c r="BD25" s="246">
        <f>IFERROR(VLOOKUP(N25,VOL_REC[],2,FALSE),0)</f>
        <v>0</v>
      </c>
      <c r="BE25" s="246">
        <f>IFERROR(VLOOKUP(O25,VOL_REC[],2,FALSE),0)</f>
        <v>0</v>
      </c>
      <c r="BF25" s="246">
        <f>IFERROR(VLOOKUP(P25,VOL_REC[],2,FALSE),0)</f>
        <v>0</v>
      </c>
      <c r="BG25" s="246">
        <f>IFERROR(VLOOKUP(Q25,VOL_REC[],2,FALSE),0)</f>
        <v>0</v>
      </c>
      <c r="BH25" s="1710">
        <f t="shared" si="0"/>
        <v>9876124115.6420288</v>
      </c>
      <c r="BI25" s="1710">
        <f t="shared" si="1"/>
        <v>13418747739.922029</v>
      </c>
      <c r="BJ25" s="1711">
        <f t="shared" si="2"/>
        <v>17227017.381221469</v>
      </c>
      <c r="BK25" s="1711">
        <f t="shared" si="3"/>
        <v>0.73599446886236897</v>
      </c>
    </row>
    <row r="26" spans="3:67" x14ac:dyDescent="0.25">
      <c r="C26" s="246" t="s">
        <v>1376</v>
      </c>
      <c r="D26" s="246">
        <v>1</v>
      </c>
      <c r="E26" s="246">
        <v>2</v>
      </c>
      <c r="F26" s="246">
        <v>3</v>
      </c>
      <c r="G26" s="246">
        <v>5</v>
      </c>
      <c r="H26" s="246">
        <v>12</v>
      </c>
      <c r="I26" s="246"/>
      <c r="J26" s="246"/>
      <c r="K26" s="246"/>
      <c r="L26" s="246"/>
      <c r="M26" s="246"/>
      <c r="N26" s="246"/>
      <c r="O26" s="246"/>
      <c r="P26" s="246"/>
      <c r="Q26" s="246"/>
      <c r="R26" s="246">
        <f>IFERROR(VLOOKUP(D26,PROGRAMAS[],2,FALSE),0)</f>
        <v>97037803.679377079</v>
      </c>
      <c r="S26" s="246">
        <f>IFERROR(VLOOKUP(E26,PROGRAMAS[],2,FALSE),0)</f>
        <v>640501509.6821388</v>
      </c>
      <c r="T26" s="246">
        <f>IFERROR(VLOOKUP(F26,PROGRAMAS[],2,FALSE),0)</f>
        <v>3062327798.1525245</v>
      </c>
      <c r="U26" s="246">
        <f>IFERROR(VLOOKUP(G26,PROGRAMAS[],2,FALSE),0)</f>
        <v>1440941976.2528784</v>
      </c>
      <c r="V26" s="246">
        <f>IFERROR(VLOOKUP(H26,PROGRAMAS[],2,FALSE),0)</f>
        <v>764796700.79905891</v>
      </c>
      <c r="W26" s="246">
        <f>IFERROR(VLOOKUP(I26,PROGRAMAS[],2,FALSE),0)</f>
        <v>0</v>
      </c>
      <c r="X26" s="246">
        <f>IFERROR(VLOOKUP(J26,PROGRAMAS[],2,FALSE),0)</f>
        <v>0</v>
      </c>
      <c r="Y26" s="246">
        <f>IFERROR(VLOOKUP(K26,PROGRAMAS[],2,FALSE),0)</f>
        <v>0</v>
      </c>
      <c r="Z26" s="246">
        <f>IFERROR(VLOOKUP(L26,PROGRAMAS[],2,FALSE),0)</f>
        <v>0</v>
      </c>
      <c r="AA26" s="246">
        <f>IFERROR(VLOOKUP(M26,PROGRAMAS[],2,FALSE),0)</f>
        <v>0</v>
      </c>
      <c r="AB26" s="246">
        <f>IFERROR(VLOOKUP(N26,PROGRAMAS[],2,FALSE),0)</f>
        <v>0</v>
      </c>
      <c r="AC26" s="246">
        <f>IFERROR(VLOOKUP(O26,PROGRAMAS[],2,FALSE),0)</f>
        <v>0</v>
      </c>
      <c r="AD26" s="246">
        <f>IFERROR(VLOOKUP(P26,PROGRAMAS[],2,FALSE),0)</f>
        <v>0</v>
      </c>
      <c r="AE26" s="246">
        <f>IFERROR(VLOOKUP(Q26,PROGRAMAS[],2,FALSE),0)</f>
        <v>0</v>
      </c>
      <c r="AF26" s="246">
        <f>IFERROR(VLOOKUP(D26,PROGRAMAS[],3,FALSE),0)</f>
        <v>841888629.31080008</v>
      </c>
      <c r="AG26" s="246">
        <f>IFERROR(VLOOKUP(E26,PROGRAMAS[],3,FALSE),0)</f>
        <v>3848980803.1642323</v>
      </c>
      <c r="AH26" s="246">
        <f>IFERROR(VLOOKUP(F26,PROGRAMAS[],3,FALSE),0)</f>
        <v>3394901471.387517</v>
      </c>
      <c r="AI26" s="246">
        <f>IFERROR(VLOOKUP(G26,PROGRAMAS[],3,FALSE),0)</f>
        <v>1233505101.0616004</v>
      </c>
      <c r="AJ26" s="246">
        <f>IFERROR(VLOOKUP(H26,PROGRAMAS[],3,FALSE),0)</f>
        <v>675517840.109828</v>
      </c>
      <c r="AK26" s="246">
        <f>IFERROR(VLOOKUP(I26,PROGRAMAS[],3,FALSE),0)</f>
        <v>0</v>
      </c>
      <c r="AL26" s="246">
        <f>IFERROR(VLOOKUP(J26,PROGRAMAS[],3,FALSE),0)</f>
        <v>0</v>
      </c>
      <c r="AM26" s="246">
        <f>IFERROR(VLOOKUP(K26,PROGRAMAS[],3,FALSE),0)</f>
        <v>0</v>
      </c>
      <c r="AN26" s="246">
        <f>IFERROR(VLOOKUP(L26,PROGRAMAS[],3,FALSE),0)</f>
        <v>0</v>
      </c>
      <c r="AO26" s="246">
        <f>IFERROR(VLOOKUP(M26,PROGRAMAS[],3,FALSE),0)</f>
        <v>0</v>
      </c>
      <c r="AP26" s="246">
        <f>IFERROR(VLOOKUP(N26,PROGRAMAS[],3,FALSE),0)</f>
        <v>0</v>
      </c>
      <c r="AQ26" s="246">
        <f>IFERROR(VLOOKUP(O26,PROGRAMAS[],3,FALSE),0)</f>
        <v>0</v>
      </c>
      <c r="AR26" s="246">
        <f>IFERROR(VLOOKUP(P26,PROGRAMAS[],3,FALSE),0)</f>
        <v>0</v>
      </c>
      <c r="AS26" s="246">
        <f>IFERROR(VLOOKUP(Q26,PROGRAMAS[],3,FALSE),0)</f>
        <v>0</v>
      </c>
      <c r="AT26" s="246">
        <f>IFERROR(VLOOKUP(D26,VOL_REC[],2,FALSE),0)</f>
        <v>0</v>
      </c>
      <c r="AU26" s="246">
        <f>IFERROR(VLOOKUP(E26,VOL_REC[],2,FALSE),0)</f>
        <v>0</v>
      </c>
      <c r="AV26" s="246">
        <f>IFERROR(VLOOKUP(F26,VOL_REC[],2,FALSE),0)</f>
        <v>11089674.200000001</v>
      </c>
      <c r="AW26" s="246">
        <f>IFERROR(VLOOKUP(G26,VOL_REC[],2,FALSE),0)</f>
        <v>4325103.1812214684</v>
      </c>
      <c r="AX26" s="246">
        <f>IFERROR(VLOOKUP(H26,VOL_REC[],2,FALSE),0)</f>
        <v>240696.79238099116</v>
      </c>
      <c r="AY26" s="246">
        <f>IFERROR(VLOOKUP(I26,VOL_REC[],2,FALSE),0)</f>
        <v>0</v>
      </c>
      <c r="AZ26" s="246">
        <f>IFERROR(VLOOKUP(J26,VOL_REC[],2,FALSE),0)</f>
        <v>0</v>
      </c>
      <c r="BA26" s="246">
        <f>IFERROR(VLOOKUP(K26,VOL_REC[],2,FALSE),0)</f>
        <v>0</v>
      </c>
      <c r="BB26" s="246">
        <f>IFERROR(VLOOKUP(L26,VOL_REC[],2,FALSE),0)</f>
        <v>0</v>
      </c>
      <c r="BC26" s="246">
        <f>IFERROR(VLOOKUP(M26,VOL_REC[],2,FALSE),0)</f>
        <v>0</v>
      </c>
      <c r="BD26" s="246">
        <f>IFERROR(VLOOKUP(N26,VOL_REC[],2,FALSE),0)</f>
        <v>0</v>
      </c>
      <c r="BE26" s="246">
        <f>IFERROR(VLOOKUP(O26,VOL_REC[],2,FALSE),0)</f>
        <v>0</v>
      </c>
      <c r="BF26" s="246">
        <f>IFERROR(VLOOKUP(P26,VOL_REC[],2,FALSE),0)</f>
        <v>0</v>
      </c>
      <c r="BG26" s="246">
        <f>IFERROR(VLOOKUP(Q26,VOL_REC[],2,FALSE),0)</f>
        <v>0</v>
      </c>
      <c r="BH26" s="1710">
        <f t="shared" si="0"/>
        <v>6005605788.5659781</v>
      </c>
      <c r="BI26" s="1710">
        <f t="shared" si="1"/>
        <v>9994793845.0339775</v>
      </c>
      <c r="BJ26" s="1711">
        <f t="shared" si="2"/>
        <v>15655474.17360246</v>
      </c>
      <c r="BK26" s="1711">
        <f t="shared" si="3"/>
        <v>0.60087340286162372</v>
      </c>
    </row>
    <row r="27" spans="3:67" x14ac:dyDescent="0.25">
      <c r="C27" s="246" t="s">
        <v>1377</v>
      </c>
      <c r="D27" s="246">
        <v>1</v>
      </c>
      <c r="E27" s="246">
        <v>2</v>
      </c>
      <c r="F27" s="246">
        <v>3</v>
      </c>
      <c r="G27" s="246">
        <v>5</v>
      </c>
      <c r="H27" s="246">
        <v>13</v>
      </c>
      <c r="I27" s="246"/>
      <c r="J27" s="246"/>
      <c r="K27" s="246"/>
      <c r="L27" s="246"/>
      <c r="M27" s="246"/>
      <c r="N27" s="246"/>
      <c r="O27" s="246"/>
      <c r="P27" s="246"/>
      <c r="Q27" s="246"/>
      <c r="R27" s="246">
        <f>IFERROR(VLOOKUP(D27,PROGRAMAS[],2,FALSE),0)</f>
        <v>97037803.679377079</v>
      </c>
      <c r="S27" s="246">
        <f>IFERROR(VLOOKUP(E27,PROGRAMAS[],2,FALSE),0)</f>
        <v>640501509.6821388</v>
      </c>
      <c r="T27" s="246">
        <f>IFERROR(VLOOKUP(F27,PROGRAMAS[],2,FALSE),0)</f>
        <v>3062327798.1525245</v>
      </c>
      <c r="U27" s="246">
        <f>IFERROR(VLOOKUP(G27,PROGRAMAS[],2,FALSE),0)</f>
        <v>1440941976.2528784</v>
      </c>
      <c r="V27" s="246">
        <f>IFERROR(VLOOKUP(H27,PROGRAMAS[],2,FALSE),0)</f>
        <v>3776538594.4604583</v>
      </c>
      <c r="W27" s="246">
        <f>IFERROR(VLOOKUP(I27,PROGRAMAS[],2,FALSE),0)</f>
        <v>0</v>
      </c>
      <c r="X27" s="246">
        <f>IFERROR(VLOOKUP(J27,PROGRAMAS[],2,FALSE),0)</f>
        <v>0</v>
      </c>
      <c r="Y27" s="246">
        <f>IFERROR(VLOOKUP(K27,PROGRAMAS[],2,FALSE),0)</f>
        <v>0</v>
      </c>
      <c r="Z27" s="246">
        <f>IFERROR(VLOOKUP(L27,PROGRAMAS[],2,FALSE),0)</f>
        <v>0</v>
      </c>
      <c r="AA27" s="246">
        <f>IFERROR(VLOOKUP(M27,PROGRAMAS[],2,FALSE),0)</f>
        <v>0</v>
      </c>
      <c r="AB27" s="246">
        <f>IFERROR(VLOOKUP(N27,PROGRAMAS[],2,FALSE),0)</f>
        <v>0</v>
      </c>
      <c r="AC27" s="246">
        <f>IFERROR(VLOOKUP(O27,PROGRAMAS[],2,FALSE),0)</f>
        <v>0</v>
      </c>
      <c r="AD27" s="246">
        <f>IFERROR(VLOOKUP(P27,PROGRAMAS[],2,FALSE),0)</f>
        <v>0</v>
      </c>
      <c r="AE27" s="246">
        <f>IFERROR(VLOOKUP(Q27,PROGRAMAS[],2,FALSE),0)</f>
        <v>0</v>
      </c>
      <c r="AF27" s="246">
        <f>IFERROR(VLOOKUP(D27,PROGRAMAS[],3,FALSE),0)</f>
        <v>841888629.31080008</v>
      </c>
      <c r="AG27" s="246">
        <f>IFERROR(VLOOKUP(E27,PROGRAMAS[],3,FALSE),0)</f>
        <v>3848980803.1642323</v>
      </c>
      <c r="AH27" s="246">
        <f>IFERROR(VLOOKUP(F27,PROGRAMAS[],3,FALSE),0)</f>
        <v>3394901471.387517</v>
      </c>
      <c r="AI27" s="246">
        <f>IFERROR(VLOOKUP(G27,PROGRAMAS[],3,FALSE),0)</f>
        <v>1233505101.0616004</v>
      </c>
      <c r="AJ27" s="246">
        <f>IFERROR(VLOOKUP(H27,PROGRAMAS[],3,FALSE),0)</f>
        <v>2392571243.5584412</v>
      </c>
      <c r="AK27" s="246">
        <f>IFERROR(VLOOKUP(I27,PROGRAMAS[],3,FALSE),0)</f>
        <v>0</v>
      </c>
      <c r="AL27" s="246">
        <f>IFERROR(VLOOKUP(J27,PROGRAMAS[],3,FALSE),0)</f>
        <v>0</v>
      </c>
      <c r="AM27" s="246">
        <f>IFERROR(VLOOKUP(K27,PROGRAMAS[],3,FALSE),0)</f>
        <v>0</v>
      </c>
      <c r="AN27" s="246">
        <f>IFERROR(VLOOKUP(L27,PROGRAMAS[],3,FALSE),0)</f>
        <v>0</v>
      </c>
      <c r="AO27" s="246">
        <f>IFERROR(VLOOKUP(M27,PROGRAMAS[],3,FALSE),0)</f>
        <v>0</v>
      </c>
      <c r="AP27" s="246">
        <f>IFERROR(VLOOKUP(N27,PROGRAMAS[],3,FALSE),0)</f>
        <v>0</v>
      </c>
      <c r="AQ27" s="246">
        <f>IFERROR(VLOOKUP(O27,PROGRAMAS[],3,FALSE),0)</f>
        <v>0</v>
      </c>
      <c r="AR27" s="246">
        <f>IFERROR(VLOOKUP(P27,PROGRAMAS[],3,FALSE),0)</f>
        <v>0</v>
      </c>
      <c r="AS27" s="246">
        <f>IFERROR(VLOOKUP(Q27,PROGRAMAS[],3,FALSE),0)</f>
        <v>0</v>
      </c>
      <c r="AT27" s="246">
        <f>IFERROR(VLOOKUP(D27,VOL_REC[],2,FALSE),0)</f>
        <v>0</v>
      </c>
      <c r="AU27" s="246">
        <f>IFERROR(VLOOKUP(E27,VOL_REC[],2,FALSE),0)</f>
        <v>0</v>
      </c>
      <c r="AV27" s="246">
        <f>IFERROR(VLOOKUP(F27,VOL_REC[],2,FALSE),0)</f>
        <v>11089674.200000001</v>
      </c>
      <c r="AW27" s="246">
        <f>IFERROR(VLOOKUP(G27,VOL_REC[],2,FALSE),0)</f>
        <v>4325103.1812214684</v>
      </c>
      <c r="AX27" s="246">
        <f>IFERROR(VLOOKUP(H27,VOL_REC[],2,FALSE),0)</f>
        <v>663244.80000000016</v>
      </c>
      <c r="AY27" s="246">
        <f>IFERROR(VLOOKUP(I27,VOL_REC[],2,FALSE),0)</f>
        <v>0</v>
      </c>
      <c r="AZ27" s="246">
        <f>IFERROR(VLOOKUP(J27,VOL_REC[],2,FALSE),0)</f>
        <v>0</v>
      </c>
      <c r="BA27" s="246">
        <f>IFERROR(VLOOKUP(K27,VOL_REC[],2,FALSE),0)</f>
        <v>0</v>
      </c>
      <c r="BB27" s="246">
        <f>IFERROR(VLOOKUP(L27,VOL_REC[],2,FALSE),0)</f>
        <v>0</v>
      </c>
      <c r="BC27" s="246">
        <f>IFERROR(VLOOKUP(M27,VOL_REC[],2,FALSE),0)</f>
        <v>0</v>
      </c>
      <c r="BD27" s="246">
        <f>IFERROR(VLOOKUP(N27,VOL_REC[],2,FALSE),0)</f>
        <v>0</v>
      </c>
      <c r="BE27" s="246">
        <f>IFERROR(VLOOKUP(O27,VOL_REC[],2,FALSE),0)</f>
        <v>0</v>
      </c>
      <c r="BF27" s="246">
        <f>IFERROR(VLOOKUP(P27,VOL_REC[],2,FALSE),0)</f>
        <v>0</v>
      </c>
      <c r="BG27" s="246">
        <f>IFERROR(VLOOKUP(Q27,VOL_REC[],2,FALSE),0)</f>
        <v>0</v>
      </c>
      <c r="BH27" s="1710">
        <f t="shared" si="0"/>
        <v>9017347682.2273769</v>
      </c>
      <c r="BI27" s="1710">
        <f t="shared" si="1"/>
        <v>11711847248.482592</v>
      </c>
      <c r="BJ27" s="1711">
        <f t="shared" si="2"/>
        <v>16078022.18122147</v>
      </c>
      <c r="BK27" s="1711">
        <f t="shared" si="3"/>
        <v>0.76993385338044606</v>
      </c>
    </row>
    <row r="28" spans="3:67" x14ac:dyDescent="0.25">
      <c r="C28" s="246" t="s">
        <v>1378</v>
      </c>
      <c r="D28" s="246">
        <v>1</v>
      </c>
      <c r="E28" s="246">
        <v>2</v>
      </c>
      <c r="F28" s="246">
        <v>3</v>
      </c>
      <c r="G28" s="246">
        <v>5</v>
      </c>
      <c r="H28" s="246">
        <v>14</v>
      </c>
      <c r="I28" s="246"/>
      <c r="J28" s="246"/>
      <c r="K28" s="246"/>
      <c r="L28" s="246"/>
      <c r="M28" s="246"/>
      <c r="N28" s="246"/>
      <c r="O28" s="246"/>
      <c r="P28" s="246"/>
      <c r="Q28" s="246"/>
      <c r="R28" s="246">
        <f>IFERROR(VLOOKUP(D28,PROGRAMAS[],2,FALSE),0)</f>
        <v>97037803.679377079</v>
      </c>
      <c r="S28" s="246">
        <f>IFERROR(VLOOKUP(E28,PROGRAMAS[],2,FALSE),0)</f>
        <v>640501509.6821388</v>
      </c>
      <c r="T28" s="246">
        <f>IFERROR(VLOOKUP(F28,PROGRAMAS[],2,FALSE),0)</f>
        <v>3062327798.1525245</v>
      </c>
      <c r="U28" s="246">
        <f>IFERROR(VLOOKUP(G28,PROGRAMAS[],2,FALSE),0)</f>
        <v>1440941976.2528784</v>
      </c>
      <c r="V28" s="246">
        <f>IFERROR(VLOOKUP(H28,PROGRAMAS[],2,FALSE),0)</f>
        <v>54223862.645839565</v>
      </c>
      <c r="W28" s="246">
        <f>IFERROR(VLOOKUP(I28,PROGRAMAS[],2,FALSE),0)</f>
        <v>0</v>
      </c>
      <c r="X28" s="246">
        <f>IFERROR(VLOOKUP(J28,PROGRAMAS[],2,FALSE),0)</f>
        <v>0</v>
      </c>
      <c r="Y28" s="246">
        <f>IFERROR(VLOOKUP(K28,PROGRAMAS[],2,FALSE),0)</f>
        <v>0</v>
      </c>
      <c r="Z28" s="246">
        <f>IFERROR(VLOOKUP(L28,PROGRAMAS[],2,FALSE),0)</f>
        <v>0</v>
      </c>
      <c r="AA28" s="246">
        <f>IFERROR(VLOOKUP(M28,PROGRAMAS[],2,FALSE),0)</f>
        <v>0</v>
      </c>
      <c r="AB28" s="246">
        <f>IFERROR(VLOOKUP(N28,PROGRAMAS[],2,FALSE),0)</f>
        <v>0</v>
      </c>
      <c r="AC28" s="246">
        <f>IFERROR(VLOOKUP(O28,PROGRAMAS[],2,FALSE),0)</f>
        <v>0</v>
      </c>
      <c r="AD28" s="246">
        <f>IFERROR(VLOOKUP(P28,PROGRAMAS[],2,FALSE),0)</f>
        <v>0</v>
      </c>
      <c r="AE28" s="246">
        <f>IFERROR(VLOOKUP(Q28,PROGRAMAS[],2,FALSE),0)</f>
        <v>0</v>
      </c>
      <c r="AF28" s="246">
        <f>IFERROR(VLOOKUP(D28,PROGRAMAS[],3,FALSE),0)</f>
        <v>841888629.31080008</v>
      </c>
      <c r="AG28" s="246">
        <f>IFERROR(VLOOKUP(E28,PROGRAMAS[],3,FALSE),0)</f>
        <v>3848980803.1642323</v>
      </c>
      <c r="AH28" s="246">
        <f>IFERROR(VLOOKUP(F28,PROGRAMAS[],3,FALSE),0)</f>
        <v>3394901471.387517</v>
      </c>
      <c r="AI28" s="246">
        <f>IFERROR(VLOOKUP(G28,PROGRAMAS[],3,FALSE),0)</f>
        <v>1233505101.0616004</v>
      </c>
      <c r="AJ28" s="246">
        <f>IFERROR(VLOOKUP(H28,PROGRAMAS[],3,FALSE),0)</f>
        <v>31865326.38096505</v>
      </c>
      <c r="AK28" s="246">
        <f>IFERROR(VLOOKUP(I28,PROGRAMAS[],3,FALSE),0)</f>
        <v>0</v>
      </c>
      <c r="AL28" s="246">
        <f>IFERROR(VLOOKUP(J28,PROGRAMAS[],3,FALSE),0)</f>
        <v>0</v>
      </c>
      <c r="AM28" s="246">
        <f>IFERROR(VLOOKUP(K28,PROGRAMAS[],3,FALSE),0)</f>
        <v>0</v>
      </c>
      <c r="AN28" s="246">
        <f>IFERROR(VLOOKUP(L28,PROGRAMAS[],3,FALSE),0)</f>
        <v>0</v>
      </c>
      <c r="AO28" s="246">
        <f>IFERROR(VLOOKUP(M28,PROGRAMAS[],3,FALSE),0)</f>
        <v>0</v>
      </c>
      <c r="AP28" s="246">
        <f>IFERROR(VLOOKUP(N28,PROGRAMAS[],3,FALSE),0)</f>
        <v>0</v>
      </c>
      <c r="AQ28" s="246">
        <f>IFERROR(VLOOKUP(O28,PROGRAMAS[],3,FALSE),0)</f>
        <v>0</v>
      </c>
      <c r="AR28" s="246">
        <f>IFERROR(VLOOKUP(P28,PROGRAMAS[],3,FALSE),0)</f>
        <v>0</v>
      </c>
      <c r="AS28" s="246">
        <f>IFERROR(VLOOKUP(Q28,PROGRAMAS[],3,FALSE),0)</f>
        <v>0</v>
      </c>
      <c r="AT28" s="246">
        <f>IFERROR(VLOOKUP(D28,VOL_REC[],2,FALSE),0)</f>
        <v>0</v>
      </c>
      <c r="AU28" s="246">
        <f>IFERROR(VLOOKUP(E28,VOL_REC[],2,FALSE),0)</f>
        <v>0</v>
      </c>
      <c r="AV28" s="246">
        <f>IFERROR(VLOOKUP(F28,VOL_REC[],2,FALSE),0)</f>
        <v>11089674.200000001</v>
      </c>
      <c r="AW28" s="246">
        <f>IFERROR(VLOOKUP(G28,VOL_REC[],2,FALSE),0)</f>
        <v>4325103.1812214684</v>
      </c>
      <c r="AX28" s="246">
        <f>IFERROR(VLOOKUP(H28,VOL_REC[],2,FALSE),0)</f>
        <v>17074.045034105649</v>
      </c>
      <c r="AY28" s="246">
        <f>IFERROR(VLOOKUP(I28,VOL_REC[],2,FALSE),0)</f>
        <v>0</v>
      </c>
      <c r="AZ28" s="246">
        <f>IFERROR(VLOOKUP(J28,VOL_REC[],2,FALSE),0)</f>
        <v>0</v>
      </c>
      <c r="BA28" s="246">
        <f>IFERROR(VLOOKUP(K28,VOL_REC[],2,FALSE),0)</f>
        <v>0</v>
      </c>
      <c r="BB28" s="246">
        <f>IFERROR(VLOOKUP(L28,VOL_REC[],2,FALSE),0)</f>
        <v>0</v>
      </c>
      <c r="BC28" s="246">
        <f>IFERROR(VLOOKUP(M28,VOL_REC[],2,FALSE),0)</f>
        <v>0</v>
      </c>
      <c r="BD28" s="246">
        <f>IFERROR(VLOOKUP(N28,VOL_REC[],2,FALSE),0)</f>
        <v>0</v>
      </c>
      <c r="BE28" s="246">
        <f>IFERROR(VLOOKUP(O28,VOL_REC[],2,FALSE),0)</f>
        <v>0</v>
      </c>
      <c r="BF28" s="246">
        <f>IFERROR(VLOOKUP(P28,VOL_REC[],2,FALSE),0)</f>
        <v>0</v>
      </c>
      <c r="BG28" s="246">
        <f>IFERROR(VLOOKUP(Q28,VOL_REC[],2,FALSE),0)</f>
        <v>0</v>
      </c>
      <c r="BH28" s="1710">
        <f t="shared" si="0"/>
        <v>5295032950.4127588</v>
      </c>
      <c r="BI28" s="1710">
        <f t="shared" si="1"/>
        <v>9351141331.3051147</v>
      </c>
      <c r="BJ28" s="1711">
        <f t="shared" si="2"/>
        <v>15431851.426255574</v>
      </c>
      <c r="BK28" s="1711">
        <f t="shared" si="3"/>
        <v>0.56624456446684301</v>
      </c>
    </row>
    <row r="29" spans="3:67" x14ac:dyDescent="0.25">
      <c r="C29" s="246" t="s">
        <v>1379</v>
      </c>
      <c r="D29" s="246">
        <v>1</v>
      </c>
      <c r="E29" s="246">
        <v>2</v>
      </c>
      <c r="F29" s="246">
        <v>3</v>
      </c>
      <c r="G29" s="246">
        <v>5</v>
      </c>
      <c r="H29" s="246">
        <v>15</v>
      </c>
      <c r="I29" s="246"/>
      <c r="J29" s="246"/>
      <c r="K29" s="246"/>
      <c r="L29" s="246"/>
      <c r="M29" s="246"/>
      <c r="N29" s="246"/>
      <c r="O29" s="246"/>
      <c r="P29" s="246"/>
      <c r="Q29" s="246"/>
      <c r="R29" s="246">
        <f>IFERROR(VLOOKUP(D29,PROGRAMAS[],2,FALSE),0)</f>
        <v>97037803.679377079</v>
      </c>
      <c r="S29" s="246">
        <f>IFERROR(VLOOKUP(E29,PROGRAMAS[],2,FALSE),0)</f>
        <v>640501509.6821388</v>
      </c>
      <c r="T29" s="246">
        <f>IFERROR(VLOOKUP(F29,PROGRAMAS[],2,FALSE),0)</f>
        <v>3062327798.1525245</v>
      </c>
      <c r="U29" s="246">
        <f>IFERROR(VLOOKUP(G29,PROGRAMAS[],2,FALSE),0)</f>
        <v>1440941976.2528784</v>
      </c>
      <c r="V29" s="246">
        <f>IFERROR(VLOOKUP(H29,PROGRAMAS[],2,FALSE),0)</f>
        <v>122159672.96346797</v>
      </c>
      <c r="W29" s="246">
        <f>IFERROR(VLOOKUP(I29,PROGRAMAS[],2,FALSE),0)</f>
        <v>0</v>
      </c>
      <c r="X29" s="246">
        <f>IFERROR(VLOOKUP(J29,PROGRAMAS[],2,FALSE),0)</f>
        <v>0</v>
      </c>
      <c r="Y29" s="246">
        <f>IFERROR(VLOOKUP(K29,PROGRAMAS[],2,FALSE),0)</f>
        <v>0</v>
      </c>
      <c r="Z29" s="246">
        <f>IFERROR(VLOOKUP(L29,PROGRAMAS[],2,FALSE),0)</f>
        <v>0</v>
      </c>
      <c r="AA29" s="246">
        <f>IFERROR(VLOOKUP(M29,PROGRAMAS[],2,FALSE),0)</f>
        <v>0</v>
      </c>
      <c r="AB29" s="246">
        <f>IFERROR(VLOOKUP(N29,PROGRAMAS[],2,FALSE),0)</f>
        <v>0</v>
      </c>
      <c r="AC29" s="246">
        <f>IFERROR(VLOOKUP(O29,PROGRAMAS[],2,FALSE),0)</f>
        <v>0</v>
      </c>
      <c r="AD29" s="246">
        <f>IFERROR(VLOOKUP(P29,PROGRAMAS[],2,FALSE),0)</f>
        <v>0</v>
      </c>
      <c r="AE29" s="246">
        <f>IFERROR(VLOOKUP(Q29,PROGRAMAS[],2,FALSE),0)</f>
        <v>0</v>
      </c>
      <c r="AF29" s="246">
        <f>IFERROR(VLOOKUP(D29,PROGRAMAS[],3,FALSE),0)</f>
        <v>841888629.31080008</v>
      </c>
      <c r="AG29" s="246">
        <f>IFERROR(VLOOKUP(E29,PROGRAMAS[],3,FALSE),0)</f>
        <v>3848980803.1642323</v>
      </c>
      <c r="AH29" s="246">
        <f>IFERROR(VLOOKUP(F29,PROGRAMAS[],3,FALSE),0)</f>
        <v>3394901471.387517</v>
      </c>
      <c r="AI29" s="246">
        <f>IFERROR(VLOOKUP(G29,PROGRAMAS[],3,FALSE),0)</f>
        <v>1233505101.0616004</v>
      </c>
      <c r="AJ29" s="246">
        <f>IFERROR(VLOOKUP(H29,PROGRAMAS[],3,FALSE),0)</f>
        <v>118617452.52510804</v>
      </c>
      <c r="AK29" s="246">
        <f>IFERROR(VLOOKUP(I29,PROGRAMAS[],3,FALSE),0)</f>
        <v>0</v>
      </c>
      <c r="AL29" s="246">
        <f>IFERROR(VLOOKUP(J29,PROGRAMAS[],3,FALSE),0)</f>
        <v>0</v>
      </c>
      <c r="AM29" s="246">
        <f>IFERROR(VLOOKUP(K29,PROGRAMAS[],3,FALSE),0)</f>
        <v>0</v>
      </c>
      <c r="AN29" s="246">
        <f>IFERROR(VLOOKUP(L29,PROGRAMAS[],3,FALSE),0)</f>
        <v>0</v>
      </c>
      <c r="AO29" s="246">
        <f>IFERROR(VLOOKUP(M29,PROGRAMAS[],3,FALSE),0)</f>
        <v>0</v>
      </c>
      <c r="AP29" s="246">
        <f>IFERROR(VLOOKUP(N29,PROGRAMAS[],3,FALSE),0)</f>
        <v>0</v>
      </c>
      <c r="AQ29" s="246">
        <f>IFERROR(VLOOKUP(O29,PROGRAMAS[],3,FALSE),0)</f>
        <v>0</v>
      </c>
      <c r="AR29" s="246">
        <f>IFERROR(VLOOKUP(P29,PROGRAMAS[],3,FALSE),0)</f>
        <v>0</v>
      </c>
      <c r="AS29" s="246">
        <f>IFERROR(VLOOKUP(Q29,PROGRAMAS[],3,FALSE),0)</f>
        <v>0</v>
      </c>
      <c r="AT29" s="246">
        <f>IFERROR(VLOOKUP(D29,VOL_REC[],2,FALSE),0)</f>
        <v>0</v>
      </c>
      <c r="AU29" s="246">
        <f>IFERROR(VLOOKUP(E29,VOL_REC[],2,FALSE),0)</f>
        <v>0</v>
      </c>
      <c r="AV29" s="246">
        <f>IFERROR(VLOOKUP(F29,VOL_REC[],2,FALSE),0)</f>
        <v>11089674.200000001</v>
      </c>
      <c r="AW29" s="246">
        <f>IFERROR(VLOOKUP(G29,VOL_REC[],2,FALSE),0)</f>
        <v>4325103.1812214684</v>
      </c>
      <c r="AX29" s="246">
        <f>IFERROR(VLOOKUP(H29,VOL_REC[],2,FALSE),0)</f>
        <v>105072</v>
      </c>
      <c r="AY29" s="246">
        <f>IFERROR(VLOOKUP(I29,VOL_REC[],2,FALSE),0)</f>
        <v>0</v>
      </c>
      <c r="AZ29" s="246">
        <f>IFERROR(VLOOKUP(J29,VOL_REC[],2,FALSE),0)</f>
        <v>0</v>
      </c>
      <c r="BA29" s="246">
        <f>IFERROR(VLOOKUP(K29,VOL_REC[],2,FALSE),0)</f>
        <v>0</v>
      </c>
      <c r="BB29" s="246">
        <f>IFERROR(VLOOKUP(L29,VOL_REC[],2,FALSE),0)</f>
        <v>0</v>
      </c>
      <c r="BC29" s="246">
        <f>IFERROR(VLOOKUP(M29,VOL_REC[],2,FALSE),0)</f>
        <v>0</v>
      </c>
      <c r="BD29" s="246">
        <f>IFERROR(VLOOKUP(N29,VOL_REC[],2,FALSE),0)</f>
        <v>0</v>
      </c>
      <c r="BE29" s="246">
        <f>IFERROR(VLOOKUP(O29,VOL_REC[],2,FALSE),0)</f>
        <v>0</v>
      </c>
      <c r="BF29" s="246">
        <f>IFERROR(VLOOKUP(P29,VOL_REC[],2,FALSE),0)</f>
        <v>0</v>
      </c>
      <c r="BG29" s="246">
        <f>IFERROR(VLOOKUP(Q29,VOL_REC[],2,FALSE),0)</f>
        <v>0</v>
      </c>
      <c r="BH29" s="1710">
        <f t="shared" si="0"/>
        <v>5362968760.7303867</v>
      </c>
      <c r="BI29" s="1710">
        <f t="shared" si="1"/>
        <v>9437893457.4492588</v>
      </c>
      <c r="BJ29" s="1711">
        <f t="shared" si="2"/>
        <v>15519849.381221469</v>
      </c>
      <c r="BK29" s="1711">
        <f t="shared" si="3"/>
        <v>0.5682379002167518</v>
      </c>
    </row>
    <row r="30" spans="3:67" x14ac:dyDescent="0.25">
      <c r="C30" s="246" t="s">
        <v>1380</v>
      </c>
      <c r="D30" s="246">
        <v>1</v>
      </c>
      <c r="E30" s="246">
        <v>2</v>
      </c>
      <c r="F30" s="246">
        <v>3</v>
      </c>
      <c r="G30" s="246">
        <v>5</v>
      </c>
      <c r="H30" s="246">
        <v>16</v>
      </c>
      <c r="I30" s="246"/>
      <c r="J30" s="246"/>
      <c r="K30" s="246"/>
      <c r="L30" s="246"/>
      <c r="M30" s="246"/>
      <c r="N30" s="246"/>
      <c r="O30" s="246"/>
      <c r="P30" s="246"/>
      <c r="Q30" s="246"/>
      <c r="R30" s="246">
        <f>IFERROR(VLOOKUP(D30,PROGRAMAS[],2,FALSE),0)</f>
        <v>97037803.679377079</v>
      </c>
      <c r="S30" s="246">
        <f>IFERROR(VLOOKUP(E30,PROGRAMAS[],2,FALSE),0)</f>
        <v>640501509.6821388</v>
      </c>
      <c r="T30" s="246">
        <f>IFERROR(VLOOKUP(F30,PROGRAMAS[],2,FALSE),0)</f>
        <v>3062327798.1525245</v>
      </c>
      <c r="U30" s="246">
        <f>IFERROR(VLOOKUP(G30,PROGRAMAS[],2,FALSE),0)</f>
        <v>1440941976.2528784</v>
      </c>
      <c r="V30" s="246">
        <f>IFERROR(VLOOKUP(H30,PROGRAMAS[],2,FALSE),0)</f>
        <v>7068496961.0436354</v>
      </c>
      <c r="W30" s="246">
        <f>IFERROR(VLOOKUP(I30,PROGRAMAS[],2,FALSE),0)</f>
        <v>0</v>
      </c>
      <c r="X30" s="246">
        <f>IFERROR(VLOOKUP(J30,PROGRAMAS[],2,FALSE),0)</f>
        <v>0</v>
      </c>
      <c r="Y30" s="246">
        <f>IFERROR(VLOOKUP(K30,PROGRAMAS[],2,FALSE),0)</f>
        <v>0</v>
      </c>
      <c r="Z30" s="246">
        <f>IFERROR(VLOOKUP(L30,PROGRAMAS[],2,FALSE),0)</f>
        <v>0</v>
      </c>
      <c r="AA30" s="246">
        <f>IFERROR(VLOOKUP(M30,PROGRAMAS[],2,FALSE),0)</f>
        <v>0</v>
      </c>
      <c r="AB30" s="246">
        <f>IFERROR(VLOOKUP(N30,PROGRAMAS[],2,FALSE),0)</f>
        <v>0</v>
      </c>
      <c r="AC30" s="246">
        <f>IFERROR(VLOOKUP(O30,PROGRAMAS[],2,FALSE),0)</f>
        <v>0</v>
      </c>
      <c r="AD30" s="246">
        <f>IFERROR(VLOOKUP(P30,PROGRAMAS[],2,FALSE),0)</f>
        <v>0</v>
      </c>
      <c r="AE30" s="246">
        <f>IFERROR(VLOOKUP(Q30,PROGRAMAS[],2,FALSE),0)</f>
        <v>0</v>
      </c>
      <c r="AF30" s="246">
        <f>IFERROR(VLOOKUP(D30,PROGRAMAS[],3,FALSE),0)</f>
        <v>841888629.31080008</v>
      </c>
      <c r="AG30" s="246">
        <f>IFERROR(VLOOKUP(E30,PROGRAMAS[],3,FALSE),0)</f>
        <v>3848980803.1642323</v>
      </c>
      <c r="AH30" s="246">
        <f>IFERROR(VLOOKUP(F30,PROGRAMAS[],3,FALSE),0)</f>
        <v>3394901471.387517</v>
      </c>
      <c r="AI30" s="246">
        <f>IFERROR(VLOOKUP(G30,PROGRAMAS[],3,FALSE),0)</f>
        <v>1233505101.0616004</v>
      </c>
      <c r="AJ30" s="246">
        <f>IFERROR(VLOOKUP(H30,PROGRAMAS[],3,FALSE),0)</f>
        <v>2406564599.0319901</v>
      </c>
      <c r="AK30" s="246">
        <f>IFERROR(VLOOKUP(I30,PROGRAMAS[],3,FALSE),0)</f>
        <v>0</v>
      </c>
      <c r="AL30" s="246">
        <f>IFERROR(VLOOKUP(J30,PROGRAMAS[],3,FALSE),0)</f>
        <v>0</v>
      </c>
      <c r="AM30" s="246">
        <f>IFERROR(VLOOKUP(K30,PROGRAMAS[],3,FALSE),0)</f>
        <v>0</v>
      </c>
      <c r="AN30" s="246">
        <f>IFERROR(VLOOKUP(L30,PROGRAMAS[],3,FALSE),0)</f>
        <v>0</v>
      </c>
      <c r="AO30" s="246">
        <f>IFERROR(VLOOKUP(M30,PROGRAMAS[],3,FALSE),0)</f>
        <v>0</v>
      </c>
      <c r="AP30" s="246">
        <f>IFERROR(VLOOKUP(N30,PROGRAMAS[],3,FALSE),0)</f>
        <v>0</v>
      </c>
      <c r="AQ30" s="246">
        <f>IFERROR(VLOOKUP(O30,PROGRAMAS[],3,FALSE),0)</f>
        <v>0</v>
      </c>
      <c r="AR30" s="246">
        <f>IFERROR(VLOOKUP(P30,PROGRAMAS[],3,FALSE),0)</f>
        <v>0</v>
      </c>
      <c r="AS30" s="246">
        <f>IFERROR(VLOOKUP(Q30,PROGRAMAS[],3,FALSE),0)</f>
        <v>0</v>
      </c>
      <c r="AT30" s="246">
        <f>IFERROR(VLOOKUP(D30,VOL_REC[],2,FALSE),0)</f>
        <v>0</v>
      </c>
      <c r="AU30" s="246">
        <f>IFERROR(VLOOKUP(E30,VOL_REC[],2,FALSE),0)</f>
        <v>0</v>
      </c>
      <c r="AV30" s="246">
        <f>IFERROR(VLOOKUP(F30,VOL_REC[],2,FALSE),0)</f>
        <v>11089674.200000001</v>
      </c>
      <c r="AW30" s="246">
        <f>IFERROR(VLOOKUP(G30,VOL_REC[],2,FALSE),0)</f>
        <v>4325103.1812214684</v>
      </c>
      <c r="AX30" s="246">
        <f>IFERROR(VLOOKUP(H30,VOL_REC[],2,FALSE),0)</f>
        <v>1072354.9981737854</v>
      </c>
      <c r="AY30" s="246">
        <f>IFERROR(VLOOKUP(I30,VOL_REC[],2,FALSE),0)</f>
        <v>0</v>
      </c>
      <c r="AZ30" s="246">
        <f>IFERROR(VLOOKUP(J30,VOL_REC[],2,FALSE),0)</f>
        <v>0</v>
      </c>
      <c r="BA30" s="246">
        <f>IFERROR(VLOOKUP(K30,VOL_REC[],2,FALSE),0)</f>
        <v>0</v>
      </c>
      <c r="BB30" s="246">
        <f>IFERROR(VLOOKUP(L30,VOL_REC[],2,FALSE),0)</f>
        <v>0</v>
      </c>
      <c r="BC30" s="246">
        <f>IFERROR(VLOOKUP(M30,VOL_REC[],2,FALSE),0)</f>
        <v>0</v>
      </c>
      <c r="BD30" s="246">
        <f>IFERROR(VLOOKUP(N30,VOL_REC[],2,FALSE),0)</f>
        <v>0</v>
      </c>
      <c r="BE30" s="246">
        <f>IFERROR(VLOOKUP(O30,VOL_REC[],2,FALSE),0)</f>
        <v>0</v>
      </c>
      <c r="BF30" s="246">
        <f>IFERROR(VLOOKUP(P30,VOL_REC[],2,FALSE),0)</f>
        <v>0</v>
      </c>
      <c r="BG30" s="246">
        <f>IFERROR(VLOOKUP(Q30,VOL_REC[],2,FALSE),0)</f>
        <v>0</v>
      </c>
      <c r="BH30" s="1710">
        <f t="shared" si="0"/>
        <v>12309306048.810555</v>
      </c>
      <c r="BI30" s="1710">
        <f t="shared" si="1"/>
        <v>11725840603.956141</v>
      </c>
      <c r="BJ30" s="1711">
        <f t="shared" si="2"/>
        <v>16487132.379395254</v>
      </c>
      <c r="BK30" s="1711">
        <f t="shared" si="3"/>
        <v>1.0497589439052719</v>
      </c>
      <c r="BL30">
        <f>BJ30</f>
        <v>16487132.379395254</v>
      </c>
      <c r="BO30">
        <f>BL30</f>
        <v>16487132.379395254</v>
      </c>
    </row>
    <row r="31" spans="3:67" x14ac:dyDescent="0.25">
      <c r="C31" s="246" t="s">
        <v>1381</v>
      </c>
      <c r="D31" s="246">
        <v>1</v>
      </c>
      <c r="E31" s="246">
        <v>2</v>
      </c>
      <c r="F31" s="246">
        <v>3</v>
      </c>
      <c r="G31" s="246">
        <v>5</v>
      </c>
      <c r="H31" s="246">
        <v>17</v>
      </c>
      <c r="I31" s="246"/>
      <c r="J31" s="246"/>
      <c r="K31" s="246"/>
      <c r="L31" s="246"/>
      <c r="M31" s="246"/>
      <c r="N31" s="246"/>
      <c r="O31" s="246"/>
      <c r="P31" s="246"/>
      <c r="Q31" s="246"/>
      <c r="R31" s="246">
        <f>IFERROR(VLOOKUP(D31,PROGRAMAS[],2,FALSE),0)</f>
        <v>97037803.679377079</v>
      </c>
      <c r="S31" s="246">
        <f>IFERROR(VLOOKUP(E31,PROGRAMAS[],2,FALSE),0)</f>
        <v>640501509.6821388</v>
      </c>
      <c r="T31" s="246">
        <f>IFERROR(VLOOKUP(F31,PROGRAMAS[],2,FALSE),0)</f>
        <v>3062327798.1525245</v>
      </c>
      <c r="U31" s="246">
        <f>IFERROR(VLOOKUP(G31,PROGRAMAS[],2,FALSE),0)</f>
        <v>1440941976.2528784</v>
      </c>
      <c r="V31" s="246">
        <f>IFERROR(VLOOKUP(H31,PROGRAMAS[],2,FALSE),0)</f>
        <v>1892779498.5211046</v>
      </c>
      <c r="W31" s="246">
        <f>IFERROR(VLOOKUP(I31,PROGRAMAS[],2,FALSE),0)</f>
        <v>0</v>
      </c>
      <c r="X31" s="246">
        <f>IFERROR(VLOOKUP(J31,PROGRAMAS[],2,FALSE),0)</f>
        <v>0</v>
      </c>
      <c r="Y31" s="246">
        <f>IFERROR(VLOOKUP(K31,PROGRAMAS[],2,FALSE),0)</f>
        <v>0</v>
      </c>
      <c r="Z31" s="246">
        <f>IFERROR(VLOOKUP(L31,PROGRAMAS[],2,FALSE),0)</f>
        <v>0</v>
      </c>
      <c r="AA31" s="246">
        <f>IFERROR(VLOOKUP(M31,PROGRAMAS[],2,FALSE),0)</f>
        <v>0</v>
      </c>
      <c r="AB31" s="246">
        <f>IFERROR(VLOOKUP(N31,PROGRAMAS[],2,FALSE),0)</f>
        <v>0</v>
      </c>
      <c r="AC31" s="246">
        <f>IFERROR(VLOOKUP(O31,PROGRAMAS[],2,FALSE),0)</f>
        <v>0</v>
      </c>
      <c r="AD31" s="246">
        <f>IFERROR(VLOOKUP(P31,PROGRAMAS[],2,FALSE),0)</f>
        <v>0</v>
      </c>
      <c r="AE31" s="246">
        <f>IFERROR(VLOOKUP(Q31,PROGRAMAS[],2,FALSE),0)</f>
        <v>0</v>
      </c>
      <c r="AF31" s="246">
        <f>IFERROR(VLOOKUP(D31,PROGRAMAS[],3,FALSE),0)</f>
        <v>841888629.31080008</v>
      </c>
      <c r="AG31" s="246">
        <f>IFERROR(VLOOKUP(E31,PROGRAMAS[],3,FALSE),0)</f>
        <v>3848980803.1642323</v>
      </c>
      <c r="AH31" s="246">
        <f>IFERROR(VLOOKUP(F31,PROGRAMAS[],3,FALSE),0)</f>
        <v>3394901471.387517</v>
      </c>
      <c r="AI31" s="246">
        <f>IFERROR(VLOOKUP(G31,PROGRAMAS[],3,FALSE),0)</f>
        <v>1233505101.0616004</v>
      </c>
      <c r="AJ31" s="246">
        <f>IFERROR(VLOOKUP(H31,PROGRAMAS[],3,FALSE),0)</f>
        <v>948595847.09039903</v>
      </c>
      <c r="AK31" s="246">
        <f>IFERROR(VLOOKUP(I31,PROGRAMAS[],3,FALSE),0)</f>
        <v>0</v>
      </c>
      <c r="AL31" s="246">
        <f>IFERROR(VLOOKUP(J31,PROGRAMAS[],3,FALSE),0)</f>
        <v>0</v>
      </c>
      <c r="AM31" s="246">
        <f>IFERROR(VLOOKUP(K31,PROGRAMAS[],3,FALSE),0)</f>
        <v>0</v>
      </c>
      <c r="AN31" s="246">
        <f>IFERROR(VLOOKUP(L31,PROGRAMAS[],3,FALSE),0)</f>
        <v>0</v>
      </c>
      <c r="AO31" s="246">
        <f>IFERROR(VLOOKUP(M31,PROGRAMAS[],3,FALSE),0)</f>
        <v>0</v>
      </c>
      <c r="AP31" s="246">
        <f>IFERROR(VLOOKUP(N31,PROGRAMAS[],3,FALSE),0)</f>
        <v>0</v>
      </c>
      <c r="AQ31" s="246">
        <f>IFERROR(VLOOKUP(O31,PROGRAMAS[],3,FALSE),0)</f>
        <v>0</v>
      </c>
      <c r="AR31" s="246">
        <f>IFERROR(VLOOKUP(P31,PROGRAMAS[],3,FALSE),0)</f>
        <v>0</v>
      </c>
      <c r="AS31" s="246">
        <f>IFERROR(VLOOKUP(Q31,PROGRAMAS[],3,FALSE),0)</f>
        <v>0</v>
      </c>
      <c r="AT31" s="246">
        <f>IFERROR(VLOOKUP(D31,VOL_REC[],2,FALSE),0)</f>
        <v>0</v>
      </c>
      <c r="AU31" s="246">
        <f>IFERROR(VLOOKUP(E31,VOL_REC[],2,FALSE),0)</f>
        <v>0</v>
      </c>
      <c r="AV31" s="246">
        <f>IFERROR(VLOOKUP(F31,VOL_REC[],2,FALSE),0)</f>
        <v>11089674.200000001</v>
      </c>
      <c r="AW31" s="246">
        <f>IFERROR(VLOOKUP(G31,VOL_REC[],2,FALSE),0)</f>
        <v>4325103.1812214684</v>
      </c>
      <c r="AX31" s="246">
        <f>IFERROR(VLOOKUP(H31,VOL_REC[],2,FALSE),0)</f>
        <v>740113.98115702497</v>
      </c>
      <c r="AY31" s="246">
        <f>IFERROR(VLOOKUP(I31,VOL_REC[],2,FALSE),0)</f>
        <v>0</v>
      </c>
      <c r="AZ31" s="246">
        <f>IFERROR(VLOOKUP(J31,VOL_REC[],2,FALSE),0)</f>
        <v>0</v>
      </c>
      <c r="BA31" s="246">
        <f>IFERROR(VLOOKUP(K31,VOL_REC[],2,FALSE),0)</f>
        <v>0</v>
      </c>
      <c r="BB31" s="246">
        <f>IFERROR(VLOOKUP(L31,VOL_REC[],2,FALSE),0)</f>
        <v>0</v>
      </c>
      <c r="BC31" s="246">
        <f>IFERROR(VLOOKUP(M31,VOL_REC[],2,FALSE),0)</f>
        <v>0</v>
      </c>
      <c r="BD31" s="246">
        <f>IFERROR(VLOOKUP(N31,VOL_REC[],2,FALSE),0)</f>
        <v>0</v>
      </c>
      <c r="BE31" s="246">
        <f>IFERROR(VLOOKUP(O31,VOL_REC[],2,FALSE),0)</f>
        <v>0</v>
      </c>
      <c r="BF31" s="246">
        <f>IFERROR(VLOOKUP(P31,VOL_REC[],2,FALSE),0)</f>
        <v>0</v>
      </c>
      <c r="BG31" s="246">
        <f>IFERROR(VLOOKUP(Q31,VOL_REC[],2,FALSE),0)</f>
        <v>0</v>
      </c>
      <c r="BH31" s="1710">
        <f t="shared" si="0"/>
        <v>7133588586.2880239</v>
      </c>
      <c r="BI31" s="1710">
        <f t="shared" si="1"/>
        <v>10267871852.014549</v>
      </c>
      <c r="BJ31" s="1711">
        <f t="shared" si="2"/>
        <v>16154891.362378495</v>
      </c>
      <c r="BK31" s="1711">
        <f t="shared" si="3"/>
        <v>0.69474850184153969</v>
      </c>
    </row>
    <row r="32" spans="3:67" x14ac:dyDescent="0.25">
      <c r="C32" s="246" t="s">
        <v>1382</v>
      </c>
      <c r="D32" s="246">
        <v>1</v>
      </c>
      <c r="E32" s="246">
        <v>2</v>
      </c>
      <c r="F32" s="246">
        <v>3</v>
      </c>
      <c r="G32" s="246">
        <v>6</v>
      </c>
      <c r="H32" s="246">
        <v>9</v>
      </c>
      <c r="I32" s="246"/>
      <c r="J32" s="246"/>
      <c r="K32" s="246"/>
      <c r="L32" s="246"/>
      <c r="M32" s="246"/>
      <c r="N32" s="246"/>
      <c r="O32" s="246"/>
      <c r="P32" s="246"/>
      <c r="Q32" s="246"/>
      <c r="R32" s="246">
        <f>IFERROR(VLOOKUP(D32,PROGRAMAS[],2,FALSE),0)</f>
        <v>97037803.679377079</v>
      </c>
      <c r="S32" s="246">
        <f>IFERROR(VLOOKUP(E32,PROGRAMAS[],2,FALSE),0)</f>
        <v>640501509.6821388</v>
      </c>
      <c r="T32" s="246">
        <f>IFERROR(VLOOKUP(F32,PROGRAMAS[],2,FALSE),0)</f>
        <v>3062327798.1525245</v>
      </c>
      <c r="U32" s="246">
        <f>IFERROR(VLOOKUP(G32,PROGRAMAS[],2,FALSE),0)</f>
        <v>6907648435.8447599</v>
      </c>
      <c r="V32" s="246">
        <f>IFERROR(VLOOKUP(H32,PROGRAMAS[],2,FALSE),0)</f>
        <v>6128579952.1618185</v>
      </c>
      <c r="W32" s="246">
        <f>IFERROR(VLOOKUP(I32,PROGRAMAS[],2,FALSE),0)</f>
        <v>0</v>
      </c>
      <c r="X32" s="246">
        <f>IFERROR(VLOOKUP(J32,PROGRAMAS[],2,FALSE),0)</f>
        <v>0</v>
      </c>
      <c r="Y32" s="246">
        <f>IFERROR(VLOOKUP(K32,PROGRAMAS[],2,FALSE),0)</f>
        <v>0</v>
      </c>
      <c r="Z32" s="246">
        <f>IFERROR(VLOOKUP(L32,PROGRAMAS[],2,FALSE),0)</f>
        <v>0</v>
      </c>
      <c r="AA32" s="246">
        <f>IFERROR(VLOOKUP(M32,PROGRAMAS[],2,FALSE),0)</f>
        <v>0</v>
      </c>
      <c r="AB32" s="246">
        <f>IFERROR(VLOOKUP(N32,PROGRAMAS[],2,FALSE),0)</f>
        <v>0</v>
      </c>
      <c r="AC32" s="246">
        <f>IFERROR(VLOOKUP(O32,PROGRAMAS[],2,FALSE),0)</f>
        <v>0</v>
      </c>
      <c r="AD32" s="246">
        <f>IFERROR(VLOOKUP(P32,PROGRAMAS[],2,FALSE),0)</f>
        <v>0</v>
      </c>
      <c r="AE32" s="246">
        <f>IFERROR(VLOOKUP(Q32,PROGRAMAS[],2,FALSE),0)</f>
        <v>0</v>
      </c>
      <c r="AF32" s="246">
        <f>IFERROR(VLOOKUP(D32,PROGRAMAS[],3,FALSE),0)</f>
        <v>841888629.31080008</v>
      </c>
      <c r="AG32" s="246">
        <f>IFERROR(VLOOKUP(E32,PROGRAMAS[],3,FALSE),0)</f>
        <v>3848980803.1642323</v>
      </c>
      <c r="AH32" s="246">
        <f>IFERROR(VLOOKUP(F32,PROGRAMAS[],3,FALSE),0)</f>
        <v>3394901471.387517</v>
      </c>
      <c r="AI32" s="246">
        <f>IFERROR(VLOOKUP(G32,PROGRAMAS[],3,FALSE),0)</f>
        <v>6129902208.7912121</v>
      </c>
      <c r="AJ32" s="246">
        <f>IFERROR(VLOOKUP(H32,PROGRAMAS[],3,FALSE),0)</f>
        <v>7011279577.519702</v>
      </c>
      <c r="AK32" s="246">
        <f>IFERROR(VLOOKUP(I32,PROGRAMAS[],3,FALSE),0)</f>
        <v>0</v>
      </c>
      <c r="AL32" s="246">
        <f>IFERROR(VLOOKUP(J32,PROGRAMAS[],3,FALSE),0)</f>
        <v>0</v>
      </c>
      <c r="AM32" s="246">
        <f>IFERROR(VLOOKUP(K32,PROGRAMAS[],3,FALSE),0)</f>
        <v>0</v>
      </c>
      <c r="AN32" s="246">
        <f>IFERROR(VLOOKUP(L32,PROGRAMAS[],3,FALSE),0)</f>
        <v>0</v>
      </c>
      <c r="AO32" s="246">
        <f>IFERROR(VLOOKUP(M32,PROGRAMAS[],3,FALSE),0)</f>
        <v>0</v>
      </c>
      <c r="AP32" s="246">
        <f>IFERROR(VLOOKUP(N32,PROGRAMAS[],3,FALSE),0)</f>
        <v>0</v>
      </c>
      <c r="AQ32" s="246">
        <f>IFERROR(VLOOKUP(O32,PROGRAMAS[],3,FALSE),0)</f>
        <v>0</v>
      </c>
      <c r="AR32" s="246">
        <f>IFERROR(VLOOKUP(P32,PROGRAMAS[],3,FALSE),0)</f>
        <v>0</v>
      </c>
      <c r="AS32" s="246">
        <f>IFERROR(VLOOKUP(Q32,PROGRAMAS[],3,FALSE),0)</f>
        <v>0</v>
      </c>
      <c r="AT32" s="246">
        <f>IFERROR(VLOOKUP(D32,VOL_REC[],2,FALSE),0)</f>
        <v>0</v>
      </c>
      <c r="AU32" s="246">
        <f>IFERROR(VLOOKUP(E32,VOL_REC[],2,FALSE),0)</f>
        <v>0</v>
      </c>
      <c r="AV32" s="246">
        <f>IFERROR(VLOOKUP(F32,VOL_REC[],2,FALSE),0)</f>
        <v>11089674.200000001</v>
      </c>
      <c r="AW32" s="246">
        <f>IFERROR(VLOOKUP(G32,VOL_REC[],2,FALSE),0)</f>
        <v>15540036.397699751</v>
      </c>
      <c r="AX32" s="246">
        <f>IFERROR(VLOOKUP(H32,VOL_REC[],2,FALSE),0)</f>
        <v>3761786</v>
      </c>
      <c r="AY32" s="246">
        <f>IFERROR(VLOOKUP(I32,VOL_REC[],2,FALSE),0)</f>
        <v>0</v>
      </c>
      <c r="AZ32" s="246">
        <f>IFERROR(VLOOKUP(J32,VOL_REC[],2,FALSE),0)</f>
        <v>0</v>
      </c>
      <c r="BA32" s="246">
        <f>IFERROR(VLOOKUP(K32,VOL_REC[],2,FALSE),0)</f>
        <v>0</v>
      </c>
      <c r="BB32" s="246">
        <f>IFERROR(VLOOKUP(L32,VOL_REC[],2,FALSE),0)</f>
        <v>0</v>
      </c>
      <c r="BC32" s="246">
        <f>IFERROR(VLOOKUP(M32,VOL_REC[],2,FALSE),0)</f>
        <v>0</v>
      </c>
      <c r="BD32" s="246">
        <f>IFERROR(VLOOKUP(N32,VOL_REC[],2,FALSE),0)</f>
        <v>0</v>
      </c>
      <c r="BE32" s="246">
        <f>IFERROR(VLOOKUP(O32,VOL_REC[],2,FALSE),0)</f>
        <v>0</v>
      </c>
      <c r="BF32" s="246">
        <f>IFERROR(VLOOKUP(P32,VOL_REC[],2,FALSE),0)</f>
        <v>0</v>
      </c>
      <c r="BG32" s="246">
        <f>IFERROR(VLOOKUP(Q32,VOL_REC[],2,FALSE),0)</f>
        <v>0</v>
      </c>
      <c r="BH32" s="1710">
        <f t="shared" si="0"/>
        <v>16836095499.520618</v>
      </c>
      <c r="BI32" s="1710">
        <f t="shared" si="1"/>
        <v>21226952690.173466</v>
      </c>
      <c r="BJ32" s="1711">
        <f t="shared" si="2"/>
        <v>30391496.597699754</v>
      </c>
      <c r="BK32" s="1711">
        <f t="shared" si="3"/>
        <v>0.79314707792770012</v>
      </c>
    </row>
    <row r="33" spans="3:67" x14ac:dyDescent="0.25">
      <c r="C33" s="246" t="s">
        <v>1383</v>
      </c>
      <c r="D33" s="246">
        <v>1</v>
      </c>
      <c r="E33" s="246">
        <v>2</v>
      </c>
      <c r="F33" s="246">
        <v>3</v>
      </c>
      <c r="G33" s="246">
        <v>6</v>
      </c>
      <c r="H33" s="246">
        <v>10</v>
      </c>
      <c r="I33" s="246"/>
      <c r="J33" s="246"/>
      <c r="K33" s="246"/>
      <c r="L33" s="246"/>
      <c r="M33" s="246"/>
      <c r="N33" s="246"/>
      <c r="O33" s="246"/>
      <c r="P33" s="246"/>
      <c r="Q33" s="246"/>
      <c r="R33" s="246">
        <f>IFERROR(VLOOKUP(D33,PROGRAMAS[],2,FALSE),0)</f>
        <v>97037803.679377079</v>
      </c>
      <c r="S33" s="246">
        <f>IFERROR(VLOOKUP(E33,PROGRAMAS[],2,FALSE),0)</f>
        <v>640501509.6821388</v>
      </c>
      <c r="T33" s="246">
        <f>IFERROR(VLOOKUP(F33,PROGRAMAS[],2,FALSE),0)</f>
        <v>3062327798.1525245</v>
      </c>
      <c r="U33" s="246">
        <f>IFERROR(VLOOKUP(G33,PROGRAMAS[],2,FALSE),0)</f>
        <v>6907648435.8447599</v>
      </c>
      <c r="V33" s="246">
        <f>IFERROR(VLOOKUP(H33,PROGRAMAS[],2,FALSE),0)</f>
        <v>4635315027.8751087</v>
      </c>
      <c r="W33" s="246">
        <f>IFERROR(VLOOKUP(I33,PROGRAMAS[],2,FALSE),0)</f>
        <v>0</v>
      </c>
      <c r="X33" s="246">
        <f>IFERROR(VLOOKUP(J33,PROGRAMAS[],2,FALSE),0)</f>
        <v>0</v>
      </c>
      <c r="Y33" s="246">
        <f>IFERROR(VLOOKUP(K33,PROGRAMAS[],2,FALSE),0)</f>
        <v>0</v>
      </c>
      <c r="Z33" s="246">
        <f>IFERROR(VLOOKUP(L33,PROGRAMAS[],2,FALSE),0)</f>
        <v>0</v>
      </c>
      <c r="AA33" s="246">
        <f>IFERROR(VLOOKUP(M33,PROGRAMAS[],2,FALSE),0)</f>
        <v>0</v>
      </c>
      <c r="AB33" s="246">
        <f>IFERROR(VLOOKUP(N33,PROGRAMAS[],2,FALSE),0)</f>
        <v>0</v>
      </c>
      <c r="AC33" s="246">
        <f>IFERROR(VLOOKUP(O33,PROGRAMAS[],2,FALSE),0)</f>
        <v>0</v>
      </c>
      <c r="AD33" s="246">
        <f>IFERROR(VLOOKUP(P33,PROGRAMAS[],2,FALSE),0)</f>
        <v>0</v>
      </c>
      <c r="AE33" s="246">
        <f>IFERROR(VLOOKUP(Q33,PROGRAMAS[],2,FALSE),0)</f>
        <v>0</v>
      </c>
      <c r="AF33" s="246">
        <f>IFERROR(VLOOKUP(D33,PROGRAMAS[],3,FALSE),0)</f>
        <v>841888629.31080008</v>
      </c>
      <c r="AG33" s="246">
        <f>IFERROR(VLOOKUP(E33,PROGRAMAS[],3,FALSE),0)</f>
        <v>3848980803.1642323</v>
      </c>
      <c r="AH33" s="246">
        <f>IFERROR(VLOOKUP(F33,PROGRAMAS[],3,FALSE),0)</f>
        <v>3394901471.387517</v>
      </c>
      <c r="AI33" s="246">
        <f>IFERROR(VLOOKUP(G33,PROGRAMAS[],3,FALSE),0)</f>
        <v>6129902208.7912121</v>
      </c>
      <c r="AJ33" s="246">
        <f>IFERROR(VLOOKUP(H33,PROGRAMAS[],3,FALSE),0)</f>
        <v>4099471734.9978786</v>
      </c>
      <c r="AK33" s="246">
        <f>IFERROR(VLOOKUP(I33,PROGRAMAS[],3,FALSE),0)</f>
        <v>0</v>
      </c>
      <c r="AL33" s="246">
        <f>IFERROR(VLOOKUP(J33,PROGRAMAS[],3,FALSE),0)</f>
        <v>0</v>
      </c>
      <c r="AM33" s="246">
        <f>IFERROR(VLOOKUP(K33,PROGRAMAS[],3,FALSE),0)</f>
        <v>0</v>
      </c>
      <c r="AN33" s="246">
        <f>IFERROR(VLOOKUP(L33,PROGRAMAS[],3,FALSE),0)</f>
        <v>0</v>
      </c>
      <c r="AO33" s="246">
        <f>IFERROR(VLOOKUP(M33,PROGRAMAS[],3,FALSE),0)</f>
        <v>0</v>
      </c>
      <c r="AP33" s="246">
        <f>IFERROR(VLOOKUP(N33,PROGRAMAS[],3,FALSE),0)</f>
        <v>0</v>
      </c>
      <c r="AQ33" s="246">
        <f>IFERROR(VLOOKUP(O33,PROGRAMAS[],3,FALSE),0)</f>
        <v>0</v>
      </c>
      <c r="AR33" s="246">
        <f>IFERROR(VLOOKUP(P33,PROGRAMAS[],3,FALSE),0)</f>
        <v>0</v>
      </c>
      <c r="AS33" s="246">
        <f>IFERROR(VLOOKUP(Q33,PROGRAMAS[],3,FALSE),0)</f>
        <v>0</v>
      </c>
      <c r="AT33" s="246">
        <f>IFERROR(VLOOKUP(D33,VOL_REC[],2,FALSE),0)</f>
        <v>0</v>
      </c>
      <c r="AU33" s="246">
        <f>IFERROR(VLOOKUP(E33,VOL_REC[],2,FALSE),0)</f>
        <v>0</v>
      </c>
      <c r="AV33" s="246">
        <f>IFERROR(VLOOKUP(F33,VOL_REC[],2,FALSE),0)</f>
        <v>11089674.200000001</v>
      </c>
      <c r="AW33" s="246">
        <f>IFERROR(VLOOKUP(G33,VOL_REC[],2,FALSE),0)</f>
        <v>15540036.397699751</v>
      </c>
      <c r="AX33" s="246">
        <f>IFERROR(VLOOKUP(H33,VOL_REC[],2,FALSE),0)</f>
        <v>1812240</v>
      </c>
      <c r="AY33" s="246">
        <f>IFERROR(VLOOKUP(I33,VOL_REC[],2,FALSE),0)</f>
        <v>0</v>
      </c>
      <c r="AZ33" s="246">
        <f>IFERROR(VLOOKUP(J33,VOL_REC[],2,FALSE),0)</f>
        <v>0</v>
      </c>
      <c r="BA33" s="246">
        <f>IFERROR(VLOOKUP(K33,VOL_REC[],2,FALSE),0)</f>
        <v>0</v>
      </c>
      <c r="BB33" s="246">
        <f>IFERROR(VLOOKUP(L33,VOL_REC[],2,FALSE),0)</f>
        <v>0</v>
      </c>
      <c r="BC33" s="246">
        <f>IFERROR(VLOOKUP(M33,VOL_REC[],2,FALSE),0)</f>
        <v>0</v>
      </c>
      <c r="BD33" s="246">
        <f>IFERROR(VLOOKUP(N33,VOL_REC[],2,FALSE),0)</f>
        <v>0</v>
      </c>
      <c r="BE33" s="246">
        <f>IFERROR(VLOOKUP(O33,VOL_REC[],2,FALSE),0)</f>
        <v>0</v>
      </c>
      <c r="BF33" s="246">
        <f>IFERROR(VLOOKUP(P33,VOL_REC[],2,FALSE),0)</f>
        <v>0</v>
      </c>
      <c r="BG33" s="246">
        <f>IFERROR(VLOOKUP(Q33,VOL_REC[],2,FALSE),0)</f>
        <v>0</v>
      </c>
      <c r="BH33" s="1710">
        <f t="shared" si="0"/>
        <v>15342830575.23391</v>
      </c>
      <c r="BI33" s="1710">
        <f t="shared" si="1"/>
        <v>18315144847.651642</v>
      </c>
      <c r="BJ33" s="1711">
        <f t="shared" si="2"/>
        <v>28441950.597699754</v>
      </c>
      <c r="BK33" s="1711">
        <f t="shared" si="3"/>
        <v>0.8377127619168766</v>
      </c>
    </row>
    <row r="34" spans="3:67" x14ac:dyDescent="0.25">
      <c r="C34" s="246" t="s">
        <v>1384</v>
      </c>
      <c r="D34" s="246">
        <v>1</v>
      </c>
      <c r="E34" s="246">
        <v>2</v>
      </c>
      <c r="F34" s="246">
        <v>3</v>
      </c>
      <c r="G34" s="246">
        <v>6</v>
      </c>
      <c r="H34" s="246">
        <v>12</v>
      </c>
      <c r="I34" s="246"/>
      <c r="J34" s="246"/>
      <c r="K34" s="246"/>
      <c r="L34" s="246"/>
      <c r="M34" s="246"/>
      <c r="N34" s="246"/>
      <c r="O34" s="246"/>
      <c r="P34" s="246"/>
      <c r="Q34" s="246"/>
      <c r="R34" s="246">
        <f>IFERROR(VLOOKUP(D34,PROGRAMAS[],2,FALSE),0)</f>
        <v>97037803.679377079</v>
      </c>
      <c r="S34" s="246">
        <f>IFERROR(VLOOKUP(E34,PROGRAMAS[],2,FALSE),0)</f>
        <v>640501509.6821388</v>
      </c>
      <c r="T34" s="246">
        <f>IFERROR(VLOOKUP(F34,PROGRAMAS[],2,FALSE),0)</f>
        <v>3062327798.1525245</v>
      </c>
      <c r="U34" s="246">
        <f>IFERROR(VLOOKUP(G34,PROGRAMAS[],2,FALSE),0)</f>
        <v>6907648435.8447599</v>
      </c>
      <c r="V34" s="246">
        <f>IFERROR(VLOOKUP(H34,PROGRAMAS[],2,FALSE),0)</f>
        <v>764796700.79905891</v>
      </c>
      <c r="W34" s="246">
        <f>IFERROR(VLOOKUP(I34,PROGRAMAS[],2,FALSE),0)</f>
        <v>0</v>
      </c>
      <c r="X34" s="246">
        <f>IFERROR(VLOOKUP(J34,PROGRAMAS[],2,FALSE),0)</f>
        <v>0</v>
      </c>
      <c r="Y34" s="246">
        <f>IFERROR(VLOOKUP(K34,PROGRAMAS[],2,FALSE),0)</f>
        <v>0</v>
      </c>
      <c r="Z34" s="246">
        <f>IFERROR(VLOOKUP(L34,PROGRAMAS[],2,FALSE),0)</f>
        <v>0</v>
      </c>
      <c r="AA34" s="246">
        <f>IFERROR(VLOOKUP(M34,PROGRAMAS[],2,FALSE),0)</f>
        <v>0</v>
      </c>
      <c r="AB34" s="246">
        <f>IFERROR(VLOOKUP(N34,PROGRAMAS[],2,FALSE),0)</f>
        <v>0</v>
      </c>
      <c r="AC34" s="246">
        <f>IFERROR(VLOOKUP(O34,PROGRAMAS[],2,FALSE),0)</f>
        <v>0</v>
      </c>
      <c r="AD34" s="246">
        <f>IFERROR(VLOOKUP(P34,PROGRAMAS[],2,FALSE),0)</f>
        <v>0</v>
      </c>
      <c r="AE34" s="246">
        <f>IFERROR(VLOOKUP(Q34,PROGRAMAS[],2,FALSE),0)</f>
        <v>0</v>
      </c>
      <c r="AF34" s="246">
        <f>IFERROR(VLOOKUP(D34,PROGRAMAS[],3,FALSE),0)</f>
        <v>841888629.31080008</v>
      </c>
      <c r="AG34" s="246">
        <f>IFERROR(VLOOKUP(E34,PROGRAMAS[],3,FALSE),0)</f>
        <v>3848980803.1642323</v>
      </c>
      <c r="AH34" s="246">
        <f>IFERROR(VLOOKUP(F34,PROGRAMAS[],3,FALSE),0)</f>
        <v>3394901471.387517</v>
      </c>
      <c r="AI34" s="246">
        <f>IFERROR(VLOOKUP(G34,PROGRAMAS[],3,FALSE),0)</f>
        <v>6129902208.7912121</v>
      </c>
      <c r="AJ34" s="246">
        <f>IFERROR(VLOOKUP(H34,PROGRAMAS[],3,FALSE),0)</f>
        <v>675517840.109828</v>
      </c>
      <c r="AK34" s="246">
        <f>IFERROR(VLOOKUP(I34,PROGRAMAS[],3,FALSE),0)</f>
        <v>0</v>
      </c>
      <c r="AL34" s="246">
        <f>IFERROR(VLOOKUP(J34,PROGRAMAS[],3,FALSE),0)</f>
        <v>0</v>
      </c>
      <c r="AM34" s="246">
        <f>IFERROR(VLOOKUP(K34,PROGRAMAS[],3,FALSE),0)</f>
        <v>0</v>
      </c>
      <c r="AN34" s="246">
        <f>IFERROR(VLOOKUP(L34,PROGRAMAS[],3,FALSE),0)</f>
        <v>0</v>
      </c>
      <c r="AO34" s="246">
        <f>IFERROR(VLOOKUP(M34,PROGRAMAS[],3,FALSE),0)</f>
        <v>0</v>
      </c>
      <c r="AP34" s="246">
        <f>IFERROR(VLOOKUP(N34,PROGRAMAS[],3,FALSE),0)</f>
        <v>0</v>
      </c>
      <c r="AQ34" s="246">
        <f>IFERROR(VLOOKUP(O34,PROGRAMAS[],3,FALSE),0)</f>
        <v>0</v>
      </c>
      <c r="AR34" s="246">
        <f>IFERROR(VLOOKUP(P34,PROGRAMAS[],3,FALSE),0)</f>
        <v>0</v>
      </c>
      <c r="AS34" s="246">
        <f>IFERROR(VLOOKUP(Q34,PROGRAMAS[],3,FALSE),0)</f>
        <v>0</v>
      </c>
      <c r="AT34" s="246">
        <f>IFERROR(VLOOKUP(D34,VOL_REC[],2,FALSE),0)</f>
        <v>0</v>
      </c>
      <c r="AU34" s="246">
        <f>IFERROR(VLOOKUP(E34,VOL_REC[],2,FALSE),0)</f>
        <v>0</v>
      </c>
      <c r="AV34" s="246">
        <f>IFERROR(VLOOKUP(F34,VOL_REC[],2,FALSE),0)</f>
        <v>11089674.200000001</v>
      </c>
      <c r="AW34" s="246">
        <f>IFERROR(VLOOKUP(G34,VOL_REC[],2,FALSE),0)</f>
        <v>15540036.397699751</v>
      </c>
      <c r="AX34" s="246">
        <f>IFERROR(VLOOKUP(H34,VOL_REC[],2,FALSE),0)</f>
        <v>240696.79238099116</v>
      </c>
      <c r="AY34" s="246">
        <f>IFERROR(VLOOKUP(I34,VOL_REC[],2,FALSE),0)</f>
        <v>0</v>
      </c>
      <c r="AZ34" s="246">
        <f>IFERROR(VLOOKUP(J34,VOL_REC[],2,FALSE),0)</f>
        <v>0</v>
      </c>
      <c r="BA34" s="246">
        <f>IFERROR(VLOOKUP(K34,VOL_REC[],2,FALSE),0)</f>
        <v>0</v>
      </c>
      <c r="BB34" s="246">
        <f>IFERROR(VLOOKUP(L34,VOL_REC[],2,FALSE),0)</f>
        <v>0</v>
      </c>
      <c r="BC34" s="246">
        <f>IFERROR(VLOOKUP(M34,VOL_REC[],2,FALSE),0)</f>
        <v>0</v>
      </c>
      <c r="BD34" s="246">
        <f>IFERROR(VLOOKUP(N34,VOL_REC[],2,FALSE),0)</f>
        <v>0</v>
      </c>
      <c r="BE34" s="246">
        <f>IFERROR(VLOOKUP(O34,VOL_REC[],2,FALSE),0)</f>
        <v>0</v>
      </c>
      <c r="BF34" s="246">
        <f>IFERROR(VLOOKUP(P34,VOL_REC[],2,FALSE),0)</f>
        <v>0</v>
      </c>
      <c r="BG34" s="246">
        <f>IFERROR(VLOOKUP(Q34,VOL_REC[],2,FALSE),0)</f>
        <v>0</v>
      </c>
      <c r="BH34" s="1710">
        <f t="shared" si="0"/>
        <v>11472312248.15786</v>
      </c>
      <c r="BI34" s="1710">
        <f t="shared" si="1"/>
        <v>14891190952.763592</v>
      </c>
      <c r="BJ34" s="1711">
        <f t="shared" si="2"/>
        <v>26870407.390080746</v>
      </c>
      <c r="BK34" s="1711">
        <f t="shared" si="3"/>
        <v>0.77040931679334645</v>
      </c>
    </row>
    <row r="35" spans="3:67" x14ac:dyDescent="0.25">
      <c r="C35" s="246" t="s">
        <v>1385</v>
      </c>
      <c r="D35" s="246">
        <v>1</v>
      </c>
      <c r="E35" s="246">
        <v>2</v>
      </c>
      <c r="F35" s="246">
        <v>3</v>
      </c>
      <c r="G35" s="246">
        <v>6</v>
      </c>
      <c r="H35" s="246">
        <v>13</v>
      </c>
      <c r="I35" s="246"/>
      <c r="J35" s="246"/>
      <c r="K35" s="246"/>
      <c r="L35" s="246"/>
      <c r="M35" s="246"/>
      <c r="N35" s="246"/>
      <c r="O35" s="246"/>
      <c r="P35" s="246"/>
      <c r="Q35" s="246"/>
      <c r="R35" s="246">
        <f>IFERROR(VLOOKUP(D35,PROGRAMAS[],2,FALSE),0)</f>
        <v>97037803.679377079</v>
      </c>
      <c r="S35" s="246">
        <f>IFERROR(VLOOKUP(E35,PROGRAMAS[],2,FALSE),0)</f>
        <v>640501509.6821388</v>
      </c>
      <c r="T35" s="246">
        <f>IFERROR(VLOOKUP(F35,PROGRAMAS[],2,FALSE),0)</f>
        <v>3062327798.1525245</v>
      </c>
      <c r="U35" s="246">
        <f>IFERROR(VLOOKUP(G35,PROGRAMAS[],2,FALSE),0)</f>
        <v>6907648435.8447599</v>
      </c>
      <c r="V35" s="246">
        <f>IFERROR(VLOOKUP(H35,PROGRAMAS[],2,FALSE),0)</f>
        <v>3776538594.4604583</v>
      </c>
      <c r="W35" s="246">
        <f>IFERROR(VLOOKUP(I35,PROGRAMAS[],2,FALSE),0)</f>
        <v>0</v>
      </c>
      <c r="X35" s="246">
        <f>IFERROR(VLOOKUP(J35,PROGRAMAS[],2,FALSE),0)</f>
        <v>0</v>
      </c>
      <c r="Y35" s="246">
        <f>IFERROR(VLOOKUP(K35,PROGRAMAS[],2,FALSE),0)</f>
        <v>0</v>
      </c>
      <c r="Z35" s="246">
        <f>IFERROR(VLOOKUP(L35,PROGRAMAS[],2,FALSE),0)</f>
        <v>0</v>
      </c>
      <c r="AA35" s="246">
        <f>IFERROR(VLOOKUP(M35,PROGRAMAS[],2,FALSE),0)</f>
        <v>0</v>
      </c>
      <c r="AB35" s="246">
        <f>IFERROR(VLOOKUP(N35,PROGRAMAS[],2,FALSE),0)</f>
        <v>0</v>
      </c>
      <c r="AC35" s="246">
        <f>IFERROR(VLOOKUP(O35,PROGRAMAS[],2,FALSE),0)</f>
        <v>0</v>
      </c>
      <c r="AD35" s="246">
        <f>IFERROR(VLOOKUP(P35,PROGRAMAS[],2,FALSE),0)</f>
        <v>0</v>
      </c>
      <c r="AE35" s="246">
        <f>IFERROR(VLOOKUP(Q35,PROGRAMAS[],2,FALSE),0)</f>
        <v>0</v>
      </c>
      <c r="AF35" s="246">
        <f>IFERROR(VLOOKUP(D35,PROGRAMAS[],3,FALSE),0)</f>
        <v>841888629.31080008</v>
      </c>
      <c r="AG35" s="246">
        <f>IFERROR(VLOOKUP(E35,PROGRAMAS[],3,FALSE),0)</f>
        <v>3848980803.1642323</v>
      </c>
      <c r="AH35" s="246">
        <f>IFERROR(VLOOKUP(F35,PROGRAMAS[],3,FALSE),0)</f>
        <v>3394901471.387517</v>
      </c>
      <c r="AI35" s="246">
        <f>IFERROR(VLOOKUP(G35,PROGRAMAS[],3,FALSE),0)</f>
        <v>6129902208.7912121</v>
      </c>
      <c r="AJ35" s="246">
        <f>IFERROR(VLOOKUP(H35,PROGRAMAS[],3,FALSE),0)</f>
        <v>2392571243.5584412</v>
      </c>
      <c r="AK35" s="246">
        <f>IFERROR(VLOOKUP(I35,PROGRAMAS[],3,FALSE),0)</f>
        <v>0</v>
      </c>
      <c r="AL35" s="246">
        <f>IFERROR(VLOOKUP(J35,PROGRAMAS[],3,FALSE),0)</f>
        <v>0</v>
      </c>
      <c r="AM35" s="246">
        <f>IFERROR(VLOOKUP(K35,PROGRAMAS[],3,FALSE),0)</f>
        <v>0</v>
      </c>
      <c r="AN35" s="246">
        <f>IFERROR(VLOOKUP(L35,PROGRAMAS[],3,FALSE),0)</f>
        <v>0</v>
      </c>
      <c r="AO35" s="246">
        <f>IFERROR(VLOOKUP(M35,PROGRAMAS[],3,FALSE),0)</f>
        <v>0</v>
      </c>
      <c r="AP35" s="246">
        <f>IFERROR(VLOOKUP(N35,PROGRAMAS[],3,FALSE),0)</f>
        <v>0</v>
      </c>
      <c r="AQ35" s="246">
        <f>IFERROR(VLOOKUP(O35,PROGRAMAS[],3,FALSE),0)</f>
        <v>0</v>
      </c>
      <c r="AR35" s="246">
        <f>IFERROR(VLOOKUP(P35,PROGRAMAS[],3,FALSE),0)</f>
        <v>0</v>
      </c>
      <c r="AS35" s="246">
        <f>IFERROR(VLOOKUP(Q35,PROGRAMAS[],3,FALSE),0)</f>
        <v>0</v>
      </c>
      <c r="AT35" s="246">
        <f>IFERROR(VLOOKUP(D35,VOL_REC[],2,FALSE),0)</f>
        <v>0</v>
      </c>
      <c r="AU35" s="246">
        <f>IFERROR(VLOOKUP(E35,VOL_REC[],2,FALSE),0)</f>
        <v>0</v>
      </c>
      <c r="AV35" s="246">
        <f>IFERROR(VLOOKUP(F35,VOL_REC[],2,FALSE),0)</f>
        <v>11089674.200000001</v>
      </c>
      <c r="AW35" s="246">
        <f>IFERROR(VLOOKUP(G35,VOL_REC[],2,FALSE),0)</f>
        <v>15540036.397699751</v>
      </c>
      <c r="AX35" s="246">
        <f>IFERROR(VLOOKUP(H35,VOL_REC[],2,FALSE),0)</f>
        <v>663244.80000000016</v>
      </c>
      <c r="AY35" s="246">
        <f>IFERROR(VLOOKUP(I35,VOL_REC[],2,FALSE),0)</f>
        <v>0</v>
      </c>
      <c r="AZ35" s="246">
        <f>IFERROR(VLOOKUP(J35,VOL_REC[],2,FALSE),0)</f>
        <v>0</v>
      </c>
      <c r="BA35" s="246">
        <f>IFERROR(VLOOKUP(K35,VOL_REC[],2,FALSE),0)</f>
        <v>0</v>
      </c>
      <c r="BB35" s="246">
        <f>IFERROR(VLOOKUP(L35,VOL_REC[],2,FALSE),0)</f>
        <v>0</v>
      </c>
      <c r="BC35" s="246">
        <f>IFERROR(VLOOKUP(M35,VOL_REC[],2,FALSE),0)</f>
        <v>0</v>
      </c>
      <c r="BD35" s="246">
        <f>IFERROR(VLOOKUP(N35,VOL_REC[],2,FALSE),0)</f>
        <v>0</v>
      </c>
      <c r="BE35" s="246">
        <f>IFERROR(VLOOKUP(O35,VOL_REC[],2,FALSE),0)</f>
        <v>0</v>
      </c>
      <c r="BF35" s="246">
        <f>IFERROR(VLOOKUP(P35,VOL_REC[],2,FALSE),0)</f>
        <v>0</v>
      </c>
      <c r="BG35" s="246">
        <f>IFERROR(VLOOKUP(Q35,VOL_REC[],2,FALSE),0)</f>
        <v>0</v>
      </c>
      <c r="BH35" s="1710">
        <f t="shared" si="0"/>
        <v>14484054141.81926</v>
      </c>
      <c r="BI35" s="1710">
        <f t="shared" si="1"/>
        <v>16608244356.212204</v>
      </c>
      <c r="BJ35" s="1711">
        <f t="shared" si="2"/>
        <v>27292955.397699755</v>
      </c>
      <c r="BK35" s="1711">
        <f t="shared" si="3"/>
        <v>0.8721002552206305</v>
      </c>
    </row>
    <row r="36" spans="3:67" x14ac:dyDescent="0.25">
      <c r="C36" s="246" t="s">
        <v>1386</v>
      </c>
      <c r="D36" s="246">
        <v>1</v>
      </c>
      <c r="E36" s="246">
        <v>2</v>
      </c>
      <c r="F36" s="246">
        <v>3</v>
      </c>
      <c r="G36" s="246">
        <v>6</v>
      </c>
      <c r="H36" s="246">
        <v>14</v>
      </c>
      <c r="I36" s="246"/>
      <c r="J36" s="246"/>
      <c r="K36" s="246"/>
      <c r="L36" s="246"/>
      <c r="M36" s="246"/>
      <c r="N36" s="246"/>
      <c r="O36" s="246"/>
      <c r="P36" s="246"/>
      <c r="Q36" s="246"/>
      <c r="R36" s="246">
        <f>IFERROR(VLOOKUP(D36,PROGRAMAS[],2,FALSE),0)</f>
        <v>97037803.679377079</v>
      </c>
      <c r="S36" s="246">
        <f>IFERROR(VLOOKUP(E36,PROGRAMAS[],2,FALSE),0)</f>
        <v>640501509.6821388</v>
      </c>
      <c r="T36" s="246">
        <f>IFERROR(VLOOKUP(F36,PROGRAMAS[],2,FALSE),0)</f>
        <v>3062327798.1525245</v>
      </c>
      <c r="U36" s="246">
        <f>IFERROR(VLOOKUP(G36,PROGRAMAS[],2,FALSE),0)</f>
        <v>6907648435.8447599</v>
      </c>
      <c r="V36" s="246">
        <f>IFERROR(VLOOKUP(H36,PROGRAMAS[],2,FALSE),0)</f>
        <v>54223862.645839565</v>
      </c>
      <c r="W36" s="246">
        <f>IFERROR(VLOOKUP(I36,PROGRAMAS[],2,FALSE),0)</f>
        <v>0</v>
      </c>
      <c r="X36" s="246">
        <f>IFERROR(VLOOKUP(J36,PROGRAMAS[],2,FALSE),0)</f>
        <v>0</v>
      </c>
      <c r="Y36" s="246">
        <f>IFERROR(VLOOKUP(K36,PROGRAMAS[],2,FALSE),0)</f>
        <v>0</v>
      </c>
      <c r="Z36" s="246">
        <f>IFERROR(VLOOKUP(L36,PROGRAMAS[],2,FALSE),0)</f>
        <v>0</v>
      </c>
      <c r="AA36" s="246">
        <f>IFERROR(VLOOKUP(M36,PROGRAMAS[],2,FALSE),0)</f>
        <v>0</v>
      </c>
      <c r="AB36" s="246">
        <f>IFERROR(VLOOKUP(N36,PROGRAMAS[],2,FALSE),0)</f>
        <v>0</v>
      </c>
      <c r="AC36" s="246">
        <f>IFERROR(VLOOKUP(O36,PROGRAMAS[],2,FALSE),0)</f>
        <v>0</v>
      </c>
      <c r="AD36" s="246">
        <f>IFERROR(VLOOKUP(P36,PROGRAMAS[],2,FALSE),0)</f>
        <v>0</v>
      </c>
      <c r="AE36" s="246">
        <f>IFERROR(VLOOKUP(Q36,PROGRAMAS[],2,FALSE),0)</f>
        <v>0</v>
      </c>
      <c r="AF36" s="246">
        <f>IFERROR(VLOOKUP(D36,PROGRAMAS[],3,FALSE),0)</f>
        <v>841888629.31080008</v>
      </c>
      <c r="AG36" s="246">
        <f>IFERROR(VLOOKUP(E36,PROGRAMAS[],3,FALSE),0)</f>
        <v>3848980803.1642323</v>
      </c>
      <c r="AH36" s="246">
        <f>IFERROR(VLOOKUP(F36,PROGRAMAS[],3,FALSE),0)</f>
        <v>3394901471.387517</v>
      </c>
      <c r="AI36" s="246">
        <f>IFERROR(VLOOKUP(G36,PROGRAMAS[],3,FALSE),0)</f>
        <v>6129902208.7912121</v>
      </c>
      <c r="AJ36" s="246">
        <f>IFERROR(VLOOKUP(H36,PROGRAMAS[],3,FALSE),0)</f>
        <v>31865326.38096505</v>
      </c>
      <c r="AK36" s="246">
        <f>IFERROR(VLOOKUP(I36,PROGRAMAS[],3,FALSE),0)</f>
        <v>0</v>
      </c>
      <c r="AL36" s="246">
        <f>IFERROR(VLOOKUP(J36,PROGRAMAS[],3,FALSE),0)</f>
        <v>0</v>
      </c>
      <c r="AM36" s="246">
        <f>IFERROR(VLOOKUP(K36,PROGRAMAS[],3,FALSE),0)</f>
        <v>0</v>
      </c>
      <c r="AN36" s="246">
        <f>IFERROR(VLOOKUP(L36,PROGRAMAS[],3,FALSE),0)</f>
        <v>0</v>
      </c>
      <c r="AO36" s="246">
        <f>IFERROR(VLOOKUP(M36,PROGRAMAS[],3,FALSE),0)</f>
        <v>0</v>
      </c>
      <c r="AP36" s="246">
        <f>IFERROR(VLOOKUP(N36,PROGRAMAS[],3,FALSE),0)</f>
        <v>0</v>
      </c>
      <c r="AQ36" s="246">
        <f>IFERROR(VLOOKUP(O36,PROGRAMAS[],3,FALSE),0)</f>
        <v>0</v>
      </c>
      <c r="AR36" s="246">
        <f>IFERROR(VLOOKUP(P36,PROGRAMAS[],3,FALSE),0)</f>
        <v>0</v>
      </c>
      <c r="AS36" s="246">
        <f>IFERROR(VLOOKUP(Q36,PROGRAMAS[],3,FALSE),0)</f>
        <v>0</v>
      </c>
      <c r="AT36" s="246">
        <f>IFERROR(VLOOKUP(D36,VOL_REC[],2,FALSE),0)</f>
        <v>0</v>
      </c>
      <c r="AU36" s="246">
        <f>IFERROR(VLOOKUP(E36,VOL_REC[],2,FALSE),0)</f>
        <v>0</v>
      </c>
      <c r="AV36" s="246">
        <f>IFERROR(VLOOKUP(F36,VOL_REC[],2,FALSE),0)</f>
        <v>11089674.200000001</v>
      </c>
      <c r="AW36" s="246">
        <f>IFERROR(VLOOKUP(G36,VOL_REC[],2,FALSE),0)</f>
        <v>15540036.397699751</v>
      </c>
      <c r="AX36" s="246">
        <f>IFERROR(VLOOKUP(H36,VOL_REC[],2,FALSE),0)</f>
        <v>17074.045034105649</v>
      </c>
      <c r="AY36" s="246">
        <f>IFERROR(VLOOKUP(I36,VOL_REC[],2,FALSE),0)</f>
        <v>0</v>
      </c>
      <c r="AZ36" s="246">
        <f>IFERROR(VLOOKUP(J36,VOL_REC[],2,FALSE),0)</f>
        <v>0</v>
      </c>
      <c r="BA36" s="246">
        <f>IFERROR(VLOOKUP(K36,VOL_REC[],2,FALSE),0)</f>
        <v>0</v>
      </c>
      <c r="BB36" s="246">
        <f>IFERROR(VLOOKUP(L36,VOL_REC[],2,FALSE),0)</f>
        <v>0</v>
      </c>
      <c r="BC36" s="246">
        <f>IFERROR(VLOOKUP(M36,VOL_REC[],2,FALSE),0)</f>
        <v>0</v>
      </c>
      <c r="BD36" s="246">
        <f>IFERROR(VLOOKUP(N36,VOL_REC[],2,FALSE),0)</f>
        <v>0</v>
      </c>
      <c r="BE36" s="246">
        <f>IFERROR(VLOOKUP(O36,VOL_REC[],2,FALSE),0)</f>
        <v>0</v>
      </c>
      <c r="BF36" s="246">
        <f>IFERROR(VLOOKUP(P36,VOL_REC[],2,FALSE),0)</f>
        <v>0</v>
      </c>
      <c r="BG36" s="246">
        <f>IFERROR(VLOOKUP(Q36,VOL_REC[],2,FALSE),0)</f>
        <v>0</v>
      </c>
      <c r="BH36" s="1710">
        <f t="shared" si="0"/>
        <v>10761739410.004641</v>
      </c>
      <c r="BI36" s="1710">
        <f t="shared" si="1"/>
        <v>14247538439.034727</v>
      </c>
      <c r="BJ36" s="1711">
        <f t="shared" si="2"/>
        <v>26646784.642733861</v>
      </c>
      <c r="BK36" s="1711">
        <f t="shared" si="3"/>
        <v>0.75534026148124922</v>
      </c>
    </row>
    <row r="37" spans="3:67" x14ac:dyDescent="0.25">
      <c r="C37" s="246" t="s">
        <v>1387</v>
      </c>
      <c r="D37" s="246">
        <v>1</v>
      </c>
      <c r="E37" s="246">
        <v>2</v>
      </c>
      <c r="F37" s="246">
        <v>3</v>
      </c>
      <c r="G37" s="246">
        <v>6</v>
      </c>
      <c r="H37" s="246">
        <v>15</v>
      </c>
      <c r="I37" s="246"/>
      <c r="J37" s="246"/>
      <c r="K37" s="246"/>
      <c r="L37" s="246"/>
      <c r="M37" s="246"/>
      <c r="N37" s="246"/>
      <c r="O37" s="246"/>
      <c r="P37" s="246"/>
      <c r="Q37" s="246"/>
      <c r="R37" s="246">
        <f>IFERROR(VLOOKUP(D37,PROGRAMAS[],2,FALSE),0)</f>
        <v>97037803.679377079</v>
      </c>
      <c r="S37" s="246">
        <f>IFERROR(VLOOKUP(E37,PROGRAMAS[],2,FALSE),0)</f>
        <v>640501509.6821388</v>
      </c>
      <c r="T37" s="246">
        <f>IFERROR(VLOOKUP(F37,PROGRAMAS[],2,FALSE),0)</f>
        <v>3062327798.1525245</v>
      </c>
      <c r="U37" s="246">
        <f>IFERROR(VLOOKUP(G37,PROGRAMAS[],2,FALSE),0)</f>
        <v>6907648435.8447599</v>
      </c>
      <c r="V37" s="246">
        <f>IFERROR(VLOOKUP(H37,PROGRAMAS[],2,FALSE),0)</f>
        <v>122159672.96346797</v>
      </c>
      <c r="W37" s="246">
        <f>IFERROR(VLOOKUP(I37,PROGRAMAS[],2,FALSE),0)</f>
        <v>0</v>
      </c>
      <c r="X37" s="246">
        <f>IFERROR(VLOOKUP(J37,PROGRAMAS[],2,FALSE),0)</f>
        <v>0</v>
      </c>
      <c r="Y37" s="246">
        <f>IFERROR(VLOOKUP(K37,PROGRAMAS[],2,FALSE),0)</f>
        <v>0</v>
      </c>
      <c r="Z37" s="246">
        <f>IFERROR(VLOOKUP(L37,PROGRAMAS[],2,FALSE),0)</f>
        <v>0</v>
      </c>
      <c r="AA37" s="246">
        <f>IFERROR(VLOOKUP(M37,PROGRAMAS[],2,FALSE),0)</f>
        <v>0</v>
      </c>
      <c r="AB37" s="246">
        <f>IFERROR(VLOOKUP(N37,PROGRAMAS[],2,FALSE),0)</f>
        <v>0</v>
      </c>
      <c r="AC37" s="246">
        <f>IFERROR(VLOOKUP(O37,PROGRAMAS[],2,FALSE),0)</f>
        <v>0</v>
      </c>
      <c r="AD37" s="246">
        <f>IFERROR(VLOOKUP(P37,PROGRAMAS[],2,FALSE),0)</f>
        <v>0</v>
      </c>
      <c r="AE37" s="246">
        <f>IFERROR(VLOOKUP(Q37,PROGRAMAS[],2,FALSE),0)</f>
        <v>0</v>
      </c>
      <c r="AF37" s="246">
        <f>IFERROR(VLOOKUP(D37,PROGRAMAS[],3,FALSE),0)</f>
        <v>841888629.31080008</v>
      </c>
      <c r="AG37" s="246">
        <f>IFERROR(VLOOKUP(E37,PROGRAMAS[],3,FALSE),0)</f>
        <v>3848980803.1642323</v>
      </c>
      <c r="AH37" s="246">
        <f>IFERROR(VLOOKUP(F37,PROGRAMAS[],3,FALSE),0)</f>
        <v>3394901471.387517</v>
      </c>
      <c r="AI37" s="246">
        <f>IFERROR(VLOOKUP(G37,PROGRAMAS[],3,FALSE),0)</f>
        <v>6129902208.7912121</v>
      </c>
      <c r="AJ37" s="246">
        <f>IFERROR(VLOOKUP(H37,PROGRAMAS[],3,FALSE),0)</f>
        <v>118617452.52510804</v>
      </c>
      <c r="AK37" s="246">
        <f>IFERROR(VLOOKUP(I37,PROGRAMAS[],3,FALSE),0)</f>
        <v>0</v>
      </c>
      <c r="AL37" s="246">
        <f>IFERROR(VLOOKUP(J37,PROGRAMAS[],3,FALSE),0)</f>
        <v>0</v>
      </c>
      <c r="AM37" s="246">
        <f>IFERROR(VLOOKUP(K37,PROGRAMAS[],3,FALSE),0)</f>
        <v>0</v>
      </c>
      <c r="AN37" s="246">
        <f>IFERROR(VLOOKUP(L37,PROGRAMAS[],3,FALSE),0)</f>
        <v>0</v>
      </c>
      <c r="AO37" s="246">
        <f>IFERROR(VLOOKUP(M37,PROGRAMAS[],3,FALSE),0)</f>
        <v>0</v>
      </c>
      <c r="AP37" s="246">
        <f>IFERROR(VLOOKUP(N37,PROGRAMAS[],3,FALSE),0)</f>
        <v>0</v>
      </c>
      <c r="AQ37" s="246">
        <f>IFERROR(VLOOKUP(O37,PROGRAMAS[],3,FALSE),0)</f>
        <v>0</v>
      </c>
      <c r="AR37" s="246">
        <f>IFERROR(VLOOKUP(P37,PROGRAMAS[],3,FALSE),0)</f>
        <v>0</v>
      </c>
      <c r="AS37" s="246">
        <f>IFERROR(VLOOKUP(Q37,PROGRAMAS[],3,FALSE),0)</f>
        <v>0</v>
      </c>
      <c r="AT37" s="246">
        <f>IFERROR(VLOOKUP(D37,VOL_REC[],2,FALSE),0)</f>
        <v>0</v>
      </c>
      <c r="AU37" s="246">
        <f>IFERROR(VLOOKUP(E37,VOL_REC[],2,FALSE),0)</f>
        <v>0</v>
      </c>
      <c r="AV37" s="246">
        <f>IFERROR(VLOOKUP(F37,VOL_REC[],2,FALSE),0)</f>
        <v>11089674.200000001</v>
      </c>
      <c r="AW37" s="246">
        <f>IFERROR(VLOOKUP(G37,VOL_REC[],2,FALSE),0)</f>
        <v>15540036.397699751</v>
      </c>
      <c r="AX37" s="246">
        <f>IFERROR(VLOOKUP(H37,VOL_REC[],2,FALSE),0)</f>
        <v>105072</v>
      </c>
      <c r="AY37" s="246">
        <f>IFERROR(VLOOKUP(I37,VOL_REC[],2,FALSE),0)</f>
        <v>0</v>
      </c>
      <c r="AZ37" s="246">
        <f>IFERROR(VLOOKUP(J37,VOL_REC[],2,FALSE),0)</f>
        <v>0</v>
      </c>
      <c r="BA37" s="246">
        <f>IFERROR(VLOOKUP(K37,VOL_REC[],2,FALSE),0)</f>
        <v>0</v>
      </c>
      <c r="BB37" s="246">
        <f>IFERROR(VLOOKUP(L37,VOL_REC[],2,FALSE),0)</f>
        <v>0</v>
      </c>
      <c r="BC37" s="246">
        <f>IFERROR(VLOOKUP(M37,VOL_REC[],2,FALSE),0)</f>
        <v>0</v>
      </c>
      <c r="BD37" s="246">
        <f>IFERROR(VLOOKUP(N37,VOL_REC[],2,FALSE),0)</f>
        <v>0</v>
      </c>
      <c r="BE37" s="246">
        <f>IFERROR(VLOOKUP(O37,VOL_REC[],2,FALSE),0)</f>
        <v>0</v>
      </c>
      <c r="BF37" s="246">
        <f>IFERROR(VLOOKUP(P37,VOL_REC[],2,FALSE),0)</f>
        <v>0</v>
      </c>
      <c r="BG37" s="246">
        <f>IFERROR(VLOOKUP(Q37,VOL_REC[],2,FALSE),0)</f>
        <v>0</v>
      </c>
      <c r="BH37" s="1710">
        <f t="shared" si="0"/>
        <v>10829675220.322269</v>
      </c>
      <c r="BI37" s="1710">
        <f t="shared" si="1"/>
        <v>14334290565.178871</v>
      </c>
      <c r="BJ37" s="1711">
        <f t="shared" si="2"/>
        <v>26734782.597699754</v>
      </c>
      <c r="BK37" s="1711">
        <f t="shared" si="3"/>
        <v>0.75550828072579468</v>
      </c>
    </row>
    <row r="38" spans="3:67" x14ac:dyDescent="0.25">
      <c r="C38" s="246" t="s">
        <v>1388</v>
      </c>
      <c r="D38" s="246">
        <v>1</v>
      </c>
      <c r="E38" s="246">
        <v>2</v>
      </c>
      <c r="F38" s="246">
        <v>3</v>
      </c>
      <c r="G38" s="246">
        <v>6</v>
      </c>
      <c r="H38" s="246">
        <v>16</v>
      </c>
      <c r="I38" s="246"/>
      <c r="J38" s="246"/>
      <c r="K38" s="246"/>
      <c r="L38" s="246"/>
      <c r="M38" s="246"/>
      <c r="N38" s="246"/>
      <c r="O38" s="246"/>
      <c r="P38" s="246"/>
      <c r="Q38" s="246"/>
      <c r="R38" s="246">
        <f>IFERROR(VLOOKUP(D38,PROGRAMAS[],2,FALSE),0)</f>
        <v>97037803.679377079</v>
      </c>
      <c r="S38" s="246">
        <f>IFERROR(VLOOKUP(E38,PROGRAMAS[],2,FALSE),0)</f>
        <v>640501509.6821388</v>
      </c>
      <c r="T38" s="246">
        <f>IFERROR(VLOOKUP(F38,PROGRAMAS[],2,FALSE),0)</f>
        <v>3062327798.1525245</v>
      </c>
      <c r="U38" s="246">
        <f>IFERROR(VLOOKUP(G38,PROGRAMAS[],2,FALSE),0)</f>
        <v>6907648435.8447599</v>
      </c>
      <c r="V38" s="246">
        <f>IFERROR(VLOOKUP(H38,PROGRAMAS[],2,FALSE),0)</f>
        <v>7068496961.0436354</v>
      </c>
      <c r="W38" s="246">
        <f>IFERROR(VLOOKUP(I38,PROGRAMAS[],2,FALSE),0)</f>
        <v>0</v>
      </c>
      <c r="X38" s="246">
        <f>IFERROR(VLOOKUP(J38,PROGRAMAS[],2,FALSE),0)</f>
        <v>0</v>
      </c>
      <c r="Y38" s="246">
        <f>IFERROR(VLOOKUP(K38,PROGRAMAS[],2,FALSE),0)</f>
        <v>0</v>
      </c>
      <c r="Z38" s="246">
        <f>IFERROR(VLOOKUP(L38,PROGRAMAS[],2,FALSE),0)</f>
        <v>0</v>
      </c>
      <c r="AA38" s="246">
        <f>IFERROR(VLOOKUP(M38,PROGRAMAS[],2,FALSE),0)</f>
        <v>0</v>
      </c>
      <c r="AB38" s="246">
        <f>IFERROR(VLOOKUP(N38,PROGRAMAS[],2,FALSE),0)</f>
        <v>0</v>
      </c>
      <c r="AC38" s="246">
        <f>IFERROR(VLOOKUP(O38,PROGRAMAS[],2,FALSE),0)</f>
        <v>0</v>
      </c>
      <c r="AD38" s="246">
        <f>IFERROR(VLOOKUP(P38,PROGRAMAS[],2,FALSE),0)</f>
        <v>0</v>
      </c>
      <c r="AE38" s="246">
        <f>IFERROR(VLOOKUP(Q38,PROGRAMAS[],2,FALSE),0)</f>
        <v>0</v>
      </c>
      <c r="AF38" s="246">
        <f>IFERROR(VLOOKUP(D38,PROGRAMAS[],3,FALSE),0)</f>
        <v>841888629.31080008</v>
      </c>
      <c r="AG38" s="246">
        <f>IFERROR(VLOOKUP(E38,PROGRAMAS[],3,FALSE),0)</f>
        <v>3848980803.1642323</v>
      </c>
      <c r="AH38" s="246">
        <f>IFERROR(VLOOKUP(F38,PROGRAMAS[],3,FALSE),0)</f>
        <v>3394901471.387517</v>
      </c>
      <c r="AI38" s="246">
        <f>IFERROR(VLOOKUP(G38,PROGRAMAS[],3,FALSE),0)</f>
        <v>6129902208.7912121</v>
      </c>
      <c r="AJ38" s="246">
        <f>IFERROR(VLOOKUP(H38,PROGRAMAS[],3,FALSE),0)</f>
        <v>2406564599.0319901</v>
      </c>
      <c r="AK38" s="246">
        <f>IFERROR(VLOOKUP(I38,PROGRAMAS[],3,FALSE),0)</f>
        <v>0</v>
      </c>
      <c r="AL38" s="246">
        <f>IFERROR(VLOOKUP(J38,PROGRAMAS[],3,FALSE),0)</f>
        <v>0</v>
      </c>
      <c r="AM38" s="246">
        <f>IFERROR(VLOOKUP(K38,PROGRAMAS[],3,FALSE),0)</f>
        <v>0</v>
      </c>
      <c r="AN38" s="246">
        <f>IFERROR(VLOOKUP(L38,PROGRAMAS[],3,FALSE),0)</f>
        <v>0</v>
      </c>
      <c r="AO38" s="246">
        <f>IFERROR(VLOOKUP(M38,PROGRAMAS[],3,FALSE),0)</f>
        <v>0</v>
      </c>
      <c r="AP38" s="246">
        <f>IFERROR(VLOOKUP(N38,PROGRAMAS[],3,FALSE),0)</f>
        <v>0</v>
      </c>
      <c r="AQ38" s="246">
        <f>IFERROR(VLOOKUP(O38,PROGRAMAS[],3,FALSE),0)</f>
        <v>0</v>
      </c>
      <c r="AR38" s="246">
        <f>IFERROR(VLOOKUP(P38,PROGRAMAS[],3,FALSE),0)</f>
        <v>0</v>
      </c>
      <c r="AS38" s="246">
        <f>IFERROR(VLOOKUP(Q38,PROGRAMAS[],3,FALSE),0)</f>
        <v>0</v>
      </c>
      <c r="AT38" s="246">
        <f>IFERROR(VLOOKUP(D38,VOL_REC[],2,FALSE),0)</f>
        <v>0</v>
      </c>
      <c r="AU38" s="246">
        <f>IFERROR(VLOOKUP(E38,VOL_REC[],2,FALSE),0)</f>
        <v>0</v>
      </c>
      <c r="AV38" s="246">
        <f>IFERROR(VLOOKUP(F38,VOL_REC[],2,FALSE),0)</f>
        <v>11089674.200000001</v>
      </c>
      <c r="AW38" s="246">
        <f>IFERROR(VLOOKUP(G38,VOL_REC[],2,FALSE),0)</f>
        <v>15540036.397699751</v>
      </c>
      <c r="AX38" s="246">
        <f>IFERROR(VLOOKUP(H38,VOL_REC[],2,FALSE),0)</f>
        <v>1072354.9981737854</v>
      </c>
      <c r="AY38" s="246">
        <f>IFERROR(VLOOKUP(I38,VOL_REC[],2,FALSE),0)</f>
        <v>0</v>
      </c>
      <c r="AZ38" s="246">
        <f>IFERROR(VLOOKUP(J38,VOL_REC[],2,FALSE),0)</f>
        <v>0</v>
      </c>
      <c r="BA38" s="246">
        <f>IFERROR(VLOOKUP(K38,VOL_REC[],2,FALSE),0)</f>
        <v>0</v>
      </c>
      <c r="BB38" s="246">
        <f>IFERROR(VLOOKUP(L38,VOL_REC[],2,FALSE),0)</f>
        <v>0</v>
      </c>
      <c r="BC38" s="246">
        <f>IFERROR(VLOOKUP(M38,VOL_REC[],2,FALSE),0)</f>
        <v>0</v>
      </c>
      <c r="BD38" s="246">
        <f>IFERROR(VLOOKUP(N38,VOL_REC[],2,FALSE),0)</f>
        <v>0</v>
      </c>
      <c r="BE38" s="246">
        <f>IFERROR(VLOOKUP(O38,VOL_REC[],2,FALSE),0)</f>
        <v>0</v>
      </c>
      <c r="BF38" s="246">
        <f>IFERROR(VLOOKUP(P38,VOL_REC[],2,FALSE),0)</f>
        <v>0</v>
      </c>
      <c r="BG38" s="246">
        <f>IFERROR(VLOOKUP(Q38,VOL_REC[],2,FALSE),0)</f>
        <v>0</v>
      </c>
      <c r="BH38" s="1710">
        <f t="shared" si="0"/>
        <v>17776012508.402435</v>
      </c>
      <c r="BI38" s="1710">
        <f t="shared" si="1"/>
        <v>16622237711.685753</v>
      </c>
      <c r="BJ38" s="1711">
        <f t="shared" si="2"/>
        <v>27702065.595873538</v>
      </c>
      <c r="BK38" s="1711">
        <f t="shared" si="3"/>
        <v>1.0694115206826549</v>
      </c>
      <c r="BL38">
        <f>BJ38</f>
        <v>27702065.595873538</v>
      </c>
      <c r="BO38">
        <f>BL38</f>
        <v>27702065.595873538</v>
      </c>
    </row>
    <row r="39" spans="3:67" x14ac:dyDescent="0.25">
      <c r="C39" s="246" t="s">
        <v>1389</v>
      </c>
      <c r="D39" s="246">
        <v>1</v>
      </c>
      <c r="E39" s="246">
        <v>2</v>
      </c>
      <c r="F39" s="246">
        <v>3</v>
      </c>
      <c r="G39" s="246">
        <v>6</v>
      </c>
      <c r="H39" s="246">
        <v>17</v>
      </c>
      <c r="I39" s="246"/>
      <c r="J39" s="246"/>
      <c r="K39" s="246"/>
      <c r="L39" s="246"/>
      <c r="M39" s="246"/>
      <c r="N39" s="246"/>
      <c r="O39" s="246"/>
      <c r="P39" s="246"/>
      <c r="Q39" s="246"/>
      <c r="R39" s="246">
        <f>IFERROR(VLOOKUP(D39,PROGRAMAS[],2,FALSE),0)</f>
        <v>97037803.679377079</v>
      </c>
      <c r="S39" s="246">
        <f>IFERROR(VLOOKUP(E39,PROGRAMAS[],2,FALSE),0)</f>
        <v>640501509.6821388</v>
      </c>
      <c r="T39" s="246">
        <f>IFERROR(VLOOKUP(F39,PROGRAMAS[],2,FALSE),0)</f>
        <v>3062327798.1525245</v>
      </c>
      <c r="U39" s="246">
        <f>IFERROR(VLOOKUP(G39,PROGRAMAS[],2,FALSE),0)</f>
        <v>6907648435.8447599</v>
      </c>
      <c r="V39" s="246">
        <f>IFERROR(VLOOKUP(H39,PROGRAMAS[],2,FALSE),0)</f>
        <v>1892779498.5211046</v>
      </c>
      <c r="W39" s="246">
        <f>IFERROR(VLOOKUP(I39,PROGRAMAS[],2,FALSE),0)</f>
        <v>0</v>
      </c>
      <c r="X39" s="246">
        <f>IFERROR(VLOOKUP(J39,PROGRAMAS[],2,FALSE),0)</f>
        <v>0</v>
      </c>
      <c r="Y39" s="246">
        <f>IFERROR(VLOOKUP(K39,PROGRAMAS[],2,FALSE),0)</f>
        <v>0</v>
      </c>
      <c r="Z39" s="246">
        <f>IFERROR(VLOOKUP(L39,PROGRAMAS[],2,FALSE),0)</f>
        <v>0</v>
      </c>
      <c r="AA39" s="246">
        <f>IFERROR(VLOOKUP(M39,PROGRAMAS[],2,FALSE),0)</f>
        <v>0</v>
      </c>
      <c r="AB39" s="246">
        <f>IFERROR(VLOOKUP(N39,PROGRAMAS[],2,FALSE),0)</f>
        <v>0</v>
      </c>
      <c r="AC39" s="246">
        <f>IFERROR(VLOOKUP(O39,PROGRAMAS[],2,FALSE),0)</f>
        <v>0</v>
      </c>
      <c r="AD39" s="246">
        <f>IFERROR(VLOOKUP(P39,PROGRAMAS[],2,FALSE),0)</f>
        <v>0</v>
      </c>
      <c r="AE39" s="246">
        <f>IFERROR(VLOOKUP(Q39,PROGRAMAS[],2,FALSE),0)</f>
        <v>0</v>
      </c>
      <c r="AF39" s="246">
        <f>IFERROR(VLOOKUP(D39,PROGRAMAS[],3,FALSE),0)</f>
        <v>841888629.31080008</v>
      </c>
      <c r="AG39" s="246">
        <f>IFERROR(VLOOKUP(E39,PROGRAMAS[],3,FALSE),0)</f>
        <v>3848980803.1642323</v>
      </c>
      <c r="AH39" s="246">
        <f>IFERROR(VLOOKUP(F39,PROGRAMAS[],3,FALSE),0)</f>
        <v>3394901471.387517</v>
      </c>
      <c r="AI39" s="246">
        <f>IFERROR(VLOOKUP(G39,PROGRAMAS[],3,FALSE),0)</f>
        <v>6129902208.7912121</v>
      </c>
      <c r="AJ39" s="246">
        <f>IFERROR(VLOOKUP(H39,PROGRAMAS[],3,FALSE),0)</f>
        <v>948595847.09039903</v>
      </c>
      <c r="AK39" s="246">
        <f>IFERROR(VLOOKUP(I39,PROGRAMAS[],3,FALSE),0)</f>
        <v>0</v>
      </c>
      <c r="AL39" s="246">
        <f>IFERROR(VLOOKUP(J39,PROGRAMAS[],3,FALSE),0)</f>
        <v>0</v>
      </c>
      <c r="AM39" s="246">
        <f>IFERROR(VLOOKUP(K39,PROGRAMAS[],3,FALSE),0)</f>
        <v>0</v>
      </c>
      <c r="AN39" s="246">
        <f>IFERROR(VLOOKUP(L39,PROGRAMAS[],3,FALSE),0)</f>
        <v>0</v>
      </c>
      <c r="AO39" s="246">
        <f>IFERROR(VLOOKUP(M39,PROGRAMAS[],3,FALSE),0)</f>
        <v>0</v>
      </c>
      <c r="AP39" s="246">
        <f>IFERROR(VLOOKUP(N39,PROGRAMAS[],3,FALSE),0)</f>
        <v>0</v>
      </c>
      <c r="AQ39" s="246">
        <f>IFERROR(VLOOKUP(O39,PROGRAMAS[],3,FALSE),0)</f>
        <v>0</v>
      </c>
      <c r="AR39" s="246">
        <f>IFERROR(VLOOKUP(P39,PROGRAMAS[],3,FALSE),0)</f>
        <v>0</v>
      </c>
      <c r="AS39" s="246">
        <f>IFERROR(VLOOKUP(Q39,PROGRAMAS[],3,FALSE),0)</f>
        <v>0</v>
      </c>
      <c r="AT39" s="246">
        <f>IFERROR(VLOOKUP(D39,VOL_REC[],2,FALSE),0)</f>
        <v>0</v>
      </c>
      <c r="AU39" s="246">
        <f>IFERROR(VLOOKUP(E39,VOL_REC[],2,FALSE),0)</f>
        <v>0</v>
      </c>
      <c r="AV39" s="246">
        <f>IFERROR(VLOOKUP(F39,VOL_REC[],2,FALSE),0)</f>
        <v>11089674.200000001</v>
      </c>
      <c r="AW39" s="246">
        <f>IFERROR(VLOOKUP(G39,VOL_REC[],2,FALSE),0)</f>
        <v>15540036.397699751</v>
      </c>
      <c r="AX39" s="246">
        <f>IFERROR(VLOOKUP(H39,VOL_REC[],2,FALSE),0)</f>
        <v>740113.98115702497</v>
      </c>
      <c r="AY39" s="246">
        <f>IFERROR(VLOOKUP(I39,VOL_REC[],2,FALSE),0)</f>
        <v>0</v>
      </c>
      <c r="AZ39" s="246">
        <f>IFERROR(VLOOKUP(J39,VOL_REC[],2,FALSE),0)</f>
        <v>0</v>
      </c>
      <c r="BA39" s="246">
        <f>IFERROR(VLOOKUP(K39,VOL_REC[],2,FALSE),0)</f>
        <v>0</v>
      </c>
      <c r="BB39" s="246">
        <f>IFERROR(VLOOKUP(L39,VOL_REC[],2,FALSE),0)</f>
        <v>0</v>
      </c>
      <c r="BC39" s="246">
        <f>IFERROR(VLOOKUP(M39,VOL_REC[],2,FALSE),0)</f>
        <v>0</v>
      </c>
      <c r="BD39" s="246">
        <f>IFERROR(VLOOKUP(N39,VOL_REC[],2,FALSE),0)</f>
        <v>0</v>
      </c>
      <c r="BE39" s="246">
        <f>IFERROR(VLOOKUP(O39,VOL_REC[],2,FALSE),0)</f>
        <v>0</v>
      </c>
      <c r="BF39" s="246">
        <f>IFERROR(VLOOKUP(P39,VOL_REC[],2,FALSE),0)</f>
        <v>0</v>
      </c>
      <c r="BG39" s="246">
        <f>IFERROR(VLOOKUP(Q39,VOL_REC[],2,FALSE),0)</f>
        <v>0</v>
      </c>
      <c r="BH39" s="1710">
        <f t="shared" si="0"/>
        <v>12600295045.879906</v>
      </c>
      <c r="BI39" s="1710">
        <f t="shared" si="1"/>
        <v>15164268959.744162</v>
      </c>
      <c r="BJ39" s="1711">
        <f t="shared" si="2"/>
        <v>27369824.578856777</v>
      </c>
      <c r="BK39" s="1711">
        <f t="shared" si="3"/>
        <v>0.83092004496420424</v>
      </c>
    </row>
    <row r="40" spans="3:67" x14ac:dyDescent="0.25">
      <c r="C40" s="246" t="s">
        <v>1390</v>
      </c>
      <c r="D40" s="246">
        <v>1</v>
      </c>
      <c r="E40" s="246">
        <v>2</v>
      </c>
      <c r="F40" s="246">
        <v>3</v>
      </c>
      <c r="G40" s="246">
        <v>9</v>
      </c>
      <c r="H40" s="246">
        <v>10</v>
      </c>
      <c r="I40" s="246"/>
      <c r="J40" s="246"/>
      <c r="K40" s="246"/>
      <c r="L40" s="246"/>
      <c r="M40" s="246"/>
      <c r="N40" s="246"/>
      <c r="O40" s="246"/>
      <c r="P40" s="246"/>
      <c r="Q40" s="246"/>
      <c r="R40" s="246">
        <f>IFERROR(VLOOKUP(D40,PROGRAMAS[],2,FALSE),0)</f>
        <v>97037803.679377079</v>
      </c>
      <c r="S40" s="246">
        <f>IFERROR(VLOOKUP(E40,PROGRAMAS[],2,FALSE),0)</f>
        <v>640501509.6821388</v>
      </c>
      <c r="T40" s="246">
        <f>IFERROR(VLOOKUP(F40,PROGRAMAS[],2,FALSE),0)</f>
        <v>3062327798.1525245</v>
      </c>
      <c r="U40" s="246">
        <f>IFERROR(VLOOKUP(G40,PROGRAMAS[],2,FALSE),0)</f>
        <v>6128579952.1618185</v>
      </c>
      <c r="V40" s="246">
        <f>IFERROR(VLOOKUP(H40,PROGRAMAS[],2,FALSE),0)</f>
        <v>4635315027.8751087</v>
      </c>
      <c r="W40" s="246">
        <f>IFERROR(VLOOKUP(I40,PROGRAMAS[],2,FALSE),0)</f>
        <v>0</v>
      </c>
      <c r="X40" s="246">
        <f>IFERROR(VLOOKUP(J40,PROGRAMAS[],2,FALSE),0)</f>
        <v>0</v>
      </c>
      <c r="Y40" s="246">
        <f>IFERROR(VLOOKUP(K40,PROGRAMAS[],2,FALSE),0)</f>
        <v>0</v>
      </c>
      <c r="Z40" s="246">
        <f>IFERROR(VLOOKUP(L40,PROGRAMAS[],2,FALSE),0)</f>
        <v>0</v>
      </c>
      <c r="AA40" s="246">
        <f>IFERROR(VLOOKUP(M40,PROGRAMAS[],2,FALSE),0)</f>
        <v>0</v>
      </c>
      <c r="AB40" s="246">
        <f>IFERROR(VLOOKUP(N40,PROGRAMAS[],2,FALSE),0)</f>
        <v>0</v>
      </c>
      <c r="AC40" s="246">
        <f>IFERROR(VLOOKUP(O40,PROGRAMAS[],2,FALSE),0)</f>
        <v>0</v>
      </c>
      <c r="AD40" s="246">
        <f>IFERROR(VLOOKUP(P40,PROGRAMAS[],2,FALSE),0)</f>
        <v>0</v>
      </c>
      <c r="AE40" s="246">
        <f>IFERROR(VLOOKUP(Q40,PROGRAMAS[],2,FALSE),0)</f>
        <v>0</v>
      </c>
      <c r="AF40" s="246">
        <f>IFERROR(VLOOKUP(D40,PROGRAMAS[],3,FALSE),0)</f>
        <v>841888629.31080008</v>
      </c>
      <c r="AG40" s="246">
        <f>IFERROR(VLOOKUP(E40,PROGRAMAS[],3,FALSE),0)</f>
        <v>3848980803.1642323</v>
      </c>
      <c r="AH40" s="246">
        <f>IFERROR(VLOOKUP(F40,PROGRAMAS[],3,FALSE),0)</f>
        <v>3394901471.387517</v>
      </c>
      <c r="AI40" s="246">
        <f>IFERROR(VLOOKUP(G40,PROGRAMAS[],3,FALSE),0)</f>
        <v>7011279577.519702</v>
      </c>
      <c r="AJ40" s="246">
        <f>IFERROR(VLOOKUP(H40,PROGRAMAS[],3,FALSE),0)</f>
        <v>4099471734.9978786</v>
      </c>
      <c r="AK40" s="246">
        <f>IFERROR(VLOOKUP(I40,PROGRAMAS[],3,FALSE),0)</f>
        <v>0</v>
      </c>
      <c r="AL40" s="246">
        <f>IFERROR(VLOOKUP(J40,PROGRAMAS[],3,FALSE),0)</f>
        <v>0</v>
      </c>
      <c r="AM40" s="246">
        <f>IFERROR(VLOOKUP(K40,PROGRAMAS[],3,FALSE),0)</f>
        <v>0</v>
      </c>
      <c r="AN40" s="246">
        <f>IFERROR(VLOOKUP(L40,PROGRAMAS[],3,FALSE),0)</f>
        <v>0</v>
      </c>
      <c r="AO40" s="246">
        <f>IFERROR(VLOOKUP(M40,PROGRAMAS[],3,FALSE),0)</f>
        <v>0</v>
      </c>
      <c r="AP40" s="246">
        <f>IFERROR(VLOOKUP(N40,PROGRAMAS[],3,FALSE),0)</f>
        <v>0</v>
      </c>
      <c r="AQ40" s="246">
        <f>IFERROR(VLOOKUP(O40,PROGRAMAS[],3,FALSE),0)</f>
        <v>0</v>
      </c>
      <c r="AR40" s="246">
        <f>IFERROR(VLOOKUP(P40,PROGRAMAS[],3,FALSE),0)</f>
        <v>0</v>
      </c>
      <c r="AS40" s="246">
        <f>IFERROR(VLOOKUP(Q40,PROGRAMAS[],3,FALSE),0)</f>
        <v>0</v>
      </c>
      <c r="AT40" s="246">
        <f>IFERROR(VLOOKUP(D40,VOL_REC[],2,FALSE),0)</f>
        <v>0</v>
      </c>
      <c r="AU40" s="246">
        <f>IFERROR(VLOOKUP(E40,VOL_REC[],2,FALSE),0)</f>
        <v>0</v>
      </c>
      <c r="AV40" s="246">
        <f>IFERROR(VLOOKUP(F40,VOL_REC[],2,FALSE),0)</f>
        <v>11089674.200000001</v>
      </c>
      <c r="AW40" s="246">
        <f>IFERROR(VLOOKUP(G40,VOL_REC[],2,FALSE),0)</f>
        <v>3761786</v>
      </c>
      <c r="AX40" s="246">
        <f>IFERROR(VLOOKUP(H40,VOL_REC[],2,FALSE),0)</f>
        <v>1812240</v>
      </c>
      <c r="AY40" s="246">
        <f>IFERROR(VLOOKUP(I40,VOL_REC[],2,FALSE),0)</f>
        <v>0</v>
      </c>
      <c r="AZ40" s="246">
        <f>IFERROR(VLOOKUP(J40,VOL_REC[],2,FALSE),0)</f>
        <v>0</v>
      </c>
      <c r="BA40" s="246">
        <f>IFERROR(VLOOKUP(K40,VOL_REC[],2,FALSE),0)</f>
        <v>0</v>
      </c>
      <c r="BB40" s="246">
        <f>IFERROR(VLOOKUP(L40,VOL_REC[],2,FALSE),0)</f>
        <v>0</v>
      </c>
      <c r="BC40" s="246">
        <f>IFERROR(VLOOKUP(M40,VOL_REC[],2,FALSE),0)</f>
        <v>0</v>
      </c>
      <c r="BD40" s="246">
        <f>IFERROR(VLOOKUP(N40,VOL_REC[],2,FALSE),0)</f>
        <v>0</v>
      </c>
      <c r="BE40" s="246">
        <f>IFERROR(VLOOKUP(O40,VOL_REC[],2,FALSE),0)</f>
        <v>0</v>
      </c>
      <c r="BF40" s="246">
        <f>IFERROR(VLOOKUP(P40,VOL_REC[],2,FALSE),0)</f>
        <v>0</v>
      </c>
      <c r="BG40" s="246">
        <f>IFERROR(VLOOKUP(Q40,VOL_REC[],2,FALSE),0)</f>
        <v>0</v>
      </c>
      <c r="BH40" s="1710">
        <f t="shared" si="0"/>
        <v>14563762091.550968</v>
      </c>
      <c r="BI40" s="1710">
        <f t="shared" si="1"/>
        <v>19196522216.380131</v>
      </c>
      <c r="BJ40" s="1711">
        <f t="shared" si="2"/>
        <v>16663700.200000001</v>
      </c>
      <c r="BK40" s="1711">
        <f t="shared" si="3"/>
        <v>0.75866669636252704</v>
      </c>
    </row>
    <row r="41" spans="3:67" x14ac:dyDescent="0.25">
      <c r="C41" s="246" t="s">
        <v>1391</v>
      </c>
      <c r="D41" s="246">
        <v>1</v>
      </c>
      <c r="E41" s="246">
        <v>2</v>
      </c>
      <c r="F41" s="246">
        <v>3</v>
      </c>
      <c r="G41" s="246">
        <v>9</v>
      </c>
      <c r="H41" s="246">
        <v>12</v>
      </c>
      <c r="I41" s="246"/>
      <c r="J41" s="246"/>
      <c r="K41" s="246"/>
      <c r="L41" s="246"/>
      <c r="M41" s="246"/>
      <c r="N41" s="246"/>
      <c r="O41" s="246"/>
      <c r="P41" s="246"/>
      <c r="Q41" s="246"/>
      <c r="R41" s="246">
        <f>IFERROR(VLOOKUP(D41,PROGRAMAS[],2,FALSE),0)</f>
        <v>97037803.679377079</v>
      </c>
      <c r="S41" s="246">
        <f>IFERROR(VLOOKUP(E41,PROGRAMAS[],2,FALSE),0)</f>
        <v>640501509.6821388</v>
      </c>
      <c r="T41" s="246">
        <f>IFERROR(VLOOKUP(F41,PROGRAMAS[],2,FALSE),0)</f>
        <v>3062327798.1525245</v>
      </c>
      <c r="U41" s="246">
        <f>IFERROR(VLOOKUP(G41,PROGRAMAS[],2,FALSE),0)</f>
        <v>6128579952.1618185</v>
      </c>
      <c r="V41" s="246">
        <f>IFERROR(VLOOKUP(H41,PROGRAMAS[],2,FALSE),0)</f>
        <v>764796700.79905891</v>
      </c>
      <c r="W41" s="246">
        <f>IFERROR(VLOOKUP(I41,PROGRAMAS[],2,FALSE),0)</f>
        <v>0</v>
      </c>
      <c r="X41" s="246">
        <f>IFERROR(VLOOKUP(J41,PROGRAMAS[],2,FALSE),0)</f>
        <v>0</v>
      </c>
      <c r="Y41" s="246">
        <f>IFERROR(VLOOKUP(K41,PROGRAMAS[],2,FALSE),0)</f>
        <v>0</v>
      </c>
      <c r="Z41" s="246">
        <f>IFERROR(VLOOKUP(L41,PROGRAMAS[],2,FALSE),0)</f>
        <v>0</v>
      </c>
      <c r="AA41" s="246">
        <f>IFERROR(VLOOKUP(M41,PROGRAMAS[],2,FALSE),0)</f>
        <v>0</v>
      </c>
      <c r="AB41" s="246">
        <f>IFERROR(VLOOKUP(N41,PROGRAMAS[],2,FALSE),0)</f>
        <v>0</v>
      </c>
      <c r="AC41" s="246">
        <f>IFERROR(VLOOKUP(O41,PROGRAMAS[],2,FALSE),0)</f>
        <v>0</v>
      </c>
      <c r="AD41" s="246">
        <f>IFERROR(VLOOKUP(P41,PROGRAMAS[],2,FALSE),0)</f>
        <v>0</v>
      </c>
      <c r="AE41" s="246">
        <f>IFERROR(VLOOKUP(Q41,PROGRAMAS[],2,FALSE),0)</f>
        <v>0</v>
      </c>
      <c r="AF41" s="246">
        <f>IFERROR(VLOOKUP(D41,PROGRAMAS[],3,FALSE),0)</f>
        <v>841888629.31080008</v>
      </c>
      <c r="AG41" s="246">
        <f>IFERROR(VLOOKUP(E41,PROGRAMAS[],3,FALSE),0)</f>
        <v>3848980803.1642323</v>
      </c>
      <c r="AH41" s="246">
        <f>IFERROR(VLOOKUP(F41,PROGRAMAS[],3,FALSE),0)</f>
        <v>3394901471.387517</v>
      </c>
      <c r="AI41" s="246">
        <f>IFERROR(VLOOKUP(G41,PROGRAMAS[],3,FALSE),0)</f>
        <v>7011279577.519702</v>
      </c>
      <c r="AJ41" s="246">
        <f>IFERROR(VLOOKUP(H41,PROGRAMAS[],3,FALSE),0)</f>
        <v>675517840.109828</v>
      </c>
      <c r="AK41" s="246">
        <f>IFERROR(VLOOKUP(I41,PROGRAMAS[],3,FALSE),0)</f>
        <v>0</v>
      </c>
      <c r="AL41" s="246">
        <f>IFERROR(VLOOKUP(J41,PROGRAMAS[],3,FALSE),0)</f>
        <v>0</v>
      </c>
      <c r="AM41" s="246">
        <f>IFERROR(VLOOKUP(K41,PROGRAMAS[],3,FALSE),0)</f>
        <v>0</v>
      </c>
      <c r="AN41" s="246">
        <f>IFERROR(VLOOKUP(L41,PROGRAMAS[],3,FALSE),0)</f>
        <v>0</v>
      </c>
      <c r="AO41" s="246">
        <f>IFERROR(VLOOKUP(M41,PROGRAMAS[],3,FALSE),0)</f>
        <v>0</v>
      </c>
      <c r="AP41" s="246">
        <f>IFERROR(VLOOKUP(N41,PROGRAMAS[],3,FALSE),0)</f>
        <v>0</v>
      </c>
      <c r="AQ41" s="246">
        <f>IFERROR(VLOOKUP(O41,PROGRAMAS[],3,FALSE),0)</f>
        <v>0</v>
      </c>
      <c r="AR41" s="246">
        <f>IFERROR(VLOOKUP(P41,PROGRAMAS[],3,FALSE),0)</f>
        <v>0</v>
      </c>
      <c r="AS41" s="246">
        <f>IFERROR(VLOOKUP(Q41,PROGRAMAS[],3,FALSE),0)</f>
        <v>0</v>
      </c>
      <c r="AT41" s="246">
        <f>IFERROR(VLOOKUP(D41,VOL_REC[],2,FALSE),0)</f>
        <v>0</v>
      </c>
      <c r="AU41" s="246">
        <f>IFERROR(VLOOKUP(E41,VOL_REC[],2,FALSE),0)</f>
        <v>0</v>
      </c>
      <c r="AV41" s="246">
        <f>IFERROR(VLOOKUP(F41,VOL_REC[],2,FALSE),0)</f>
        <v>11089674.200000001</v>
      </c>
      <c r="AW41" s="246">
        <f>IFERROR(VLOOKUP(G41,VOL_REC[],2,FALSE),0)</f>
        <v>3761786</v>
      </c>
      <c r="AX41" s="246">
        <f>IFERROR(VLOOKUP(H41,VOL_REC[],2,FALSE),0)</f>
        <v>240696.79238099116</v>
      </c>
      <c r="AY41" s="246">
        <f>IFERROR(VLOOKUP(I41,VOL_REC[],2,FALSE),0)</f>
        <v>0</v>
      </c>
      <c r="AZ41" s="246">
        <f>IFERROR(VLOOKUP(J41,VOL_REC[],2,FALSE),0)</f>
        <v>0</v>
      </c>
      <c r="BA41" s="246">
        <f>IFERROR(VLOOKUP(K41,VOL_REC[],2,FALSE),0)</f>
        <v>0</v>
      </c>
      <c r="BB41" s="246">
        <f>IFERROR(VLOOKUP(L41,VOL_REC[],2,FALSE),0)</f>
        <v>0</v>
      </c>
      <c r="BC41" s="246">
        <f>IFERROR(VLOOKUP(M41,VOL_REC[],2,FALSE),0)</f>
        <v>0</v>
      </c>
      <c r="BD41" s="246">
        <f>IFERROR(VLOOKUP(N41,VOL_REC[],2,FALSE),0)</f>
        <v>0</v>
      </c>
      <c r="BE41" s="246">
        <f>IFERROR(VLOOKUP(O41,VOL_REC[],2,FALSE),0)</f>
        <v>0</v>
      </c>
      <c r="BF41" s="246">
        <f>IFERROR(VLOOKUP(P41,VOL_REC[],2,FALSE),0)</f>
        <v>0</v>
      </c>
      <c r="BG41" s="246">
        <f>IFERROR(VLOOKUP(Q41,VOL_REC[],2,FALSE),0)</f>
        <v>0</v>
      </c>
      <c r="BH41" s="1710">
        <f t="shared" si="0"/>
        <v>10693243764.474918</v>
      </c>
      <c r="BI41" s="1710">
        <f t="shared" si="1"/>
        <v>15772568321.492081</v>
      </c>
      <c r="BJ41" s="1711">
        <f t="shared" si="2"/>
        <v>15092156.992380992</v>
      </c>
      <c r="BK41" s="1711">
        <f t="shared" si="3"/>
        <v>0.67796465017710827</v>
      </c>
    </row>
    <row r="42" spans="3:67" x14ac:dyDescent="0.25">
      <c r="C42" s="246" t="s">
        <v>1392</v>
      </c>
      <c r="D42" s="246">
        <v>1</v>
      </c>
      <c r="E42" s="246">
        <v>2</v>
      </c>
      <c r="F42" s="246">
        <v>3</v>
      </c>
      <c r="G42" s="246">
        <v>9</v>
      </c>
      <c r="H42" s="246">
        <v>13</v>
      </c>
      <c r="I42" s="246"/>
      <c r="J42" s="246"/>
      <c r="K42" s="246"/>
      <c r="L42" s="246"/>
      <c r="M42" s="246"/>
      <c r="N42" s="246"/>
      <c r="O42" s="246"/>
      <c r="P42" s="246"/>
      <c r="Q42" s="246"/>
      <c r="R42" s="246">
        <f>IFERROR(VLOOKUP(D42,PROGRAMAS[],2,FALSE),0)</f>
        <v>97037803.679377079</v>
      </c>
      <c r="S42" s="246">
        <f>IFERROR(VLOOKUP(E42,PROGRAMAS[],2,FALSE),0)</f>
        <v>640501509.6821388</v>
      </c>
      <c r="T42" s="246">
        <f>IFERROR(VLOOKUP(F42,PROGRAMAS[],2,FALSE),0)</f>
        <v>3062327798.1525245</v>
      </c>
      <c r="U42" s="246">
        <f>IFERROR(VLOOKUP(G42,PROGRAMAS[],2,FALSE),0)</f>
        <v>6128579952.1618185</v>
      </c>
      <c r="V42" s="246">
        <f>IFERROR(VLOOKUP(H42,PROGRAMAS[],2,FALSE),0)</f>
        <v>3776538594.4604583</v>
      </c>
      <c r="W42" s="246">
        <f>IFERROR(VLOOKUP(I42,PROGRAMAS[],2,FALSE),0)</f>
        <v>0</v>
      </c>
      <c r="X42" s="246">
        <f>IFERROR(VLOOKUP(J42,PROGRAMAS[],2,FALSE),0)</f>
        <v>0</v>
      </c>
      <c r="Y42" s="246">
        <f>IFERROR(VLOOKUP(K42,PROGRAMAS[],2,FALSE),0)</f>
        <v>0</v>
      </c>
      <c r="Z42" s="246">
        <f>IFERROR(VLOOKUP(L42,PROGRAMAS[],2,FALSE),0)</f>
        <v>0</v>
      </c>
      <c r="AA42" s="246">
        <f>IFERROR(VLOOKUP(M42,PROGRAMAS[],2,FALSE),0)</f>
        <v>0</v>
      </c>
      <c r="AB42" s="246">
        <f>IFERROR(VLOOKUP(N42,PROGRAMAS[],2,FALSE),0)</f>
        <v>0</v>
      </c>
      <c r="AC42" s="246">
        <f>IFERROR(VLOOKUP(O42,PROGRAMAS[],2,FALSE),0)</f>
        <v>0</v>
      </c>
      <c r="AD42" s="246">
        <f>IFERROR(VLOOKUP(P42,PROGRAMAS[],2,FALSE),0)</f>
        <v>0</v>
      </c>
      <c r="AE42" s="246">
        <f>IFERROR(VLOOKUP(Q42,PROGRAMAS[],2,FALSE),0)</f>
        <v>0</v>
      </c>
      <c r="AF42" s="246">
        <f>IFERROR(VLOOKUP(D42,PROGRAMAS[],3,FALSE),0)</f>
        <v>841888629.31080008</v>
      </c>
      <c r="AG42" s="246">
        <f>IFERROR(VLOOKUP(E42,PROGRAMAS[],3,FALSE),0)</f>
        <v>3848980803.1642323</v>
      </c>
      <c r="AH42" s="246">
        <f>IFERROR(VLOOKUP(F42,PROGRAMAS[],3,FALSE),0)</f>
        <v>3394901471.387517</v>
      </c>
      <c r="AI42" s="246">
        <f>IFERROR(VLOOKUP(G42,PROGRAMAS[],3,FALSE),0)</f>
        <v>7011279577.519702</v>
      </c>
      <c r="AJ42" s="246">
        <f>IFERROR(VLOOKUP(H42,PROGRAMAS[],3,FALSE),0)</f>
        <v>2392571243.5584412</v>
      </c>
      <c r="AK42" s="246">
        <f>IFERROR(VLOOKUP(I42,PROGRAMAS[],3,FALSE),0)</f>
        <v>0</v>
      </c>
      <c r="AL42" s="246">
        <f>IFERROR(VLOOKUP(J42,PROGRAMAS[],3,FALSE),0)</f>
        <v>0</v>
      </c>
      <c r="AM42" s="246">
        <f>IFERROR(VLOOKUP(K42,PROGRAMAS[],3,FALSE),0)</f>
        <v>0</v>
      </c>
      <c r="AN42" s="246">
        <f>IFERROR(VLOOKUP(L42,PROGRAMAS[],3,FALSE),0)</f>
        <v>0</v>
      </c>
      <c r="AO42" s="246">
        <f>IFERROR(VLOOKUP(M42,PROGRAMAS[],3,FALSE),0)</f>
        <v>0</v>
      </c>
      <c r="AP42" s="246">
        <f>IFERROR(VLOOKUP(N42,PROGRAMAS[],3,FALSE),0)</f>
        <v>0</v>
      </c>
      <c r="AQ42" s="246">
        <f>IFERROR(VLOOKUP(O42,PROGRAMAS[],3,FALSE),0)</f>
        <v>0</v>
      </c>
      <c r="AR42" s="246">
        <f>IFERROR(VLOOKUP(P42,PROGRAMAS[],3,FALSE),0)</f>
        <v>0</v>
      </c>
      <c r="AS42" s="246">
        <f>IFERROR(VLOOKUP(Q42,PROGRAMAS[],3,FALSE),0)</f>
        <v>0</v>
      </c>
      <c r="AT42" s="246">
        <f>IFERROR(VLOOKUP(D42,VOL_REC[],2,FALSE),0)</f>
        <v>0</v>
      </c>
      <c r="AU42" s="246">
        <f>IFERROR(VLOOKUP(E42,VOL_REC[],2,FALSE),0)</f>
        <v>0</v>
      </c>
      <c r="AV42" s="246">
        <f>IFERROR(VLOOKUP(F42,VOL_REC[],2,FALSE),0)</f>
        <v>11089674.200000001</v>
      </c>
      <c r="AW42" s="246">
        <f>IFERROR(VLOOKUP(G42,VOL_REC[],2,FALSE),0)</f>
        <v>3761786</v>
      </c>
      <c r="AX42" s="246">
        <f>IFERROR(VLOOKUP(H42,VOL_REC[],2,FALSE),0)</f>
        <v>663244.80000000016</v>
      </c>
      <c r="AY42" s="246">
        <f>IFERROR(VLOOKUP(I42,VOL_REC[],2,FALSE),0)</f>
        <v>0</v>
      </c>
      <c r="AZ42" s="246">
        <f>IFERROR(VLOOKUP(J42,VOL_REC[],2,FALSE),0)</f>
        <v>0</v>
      </c>
      <c r="BA42" s="246">
        <f>IFERROR(VLOOKUP(K42,VOL_REC[],2,FALSE),0)</f>
        <v>0</v>
      </c>
      <c r="BB42" s="246">
        <f>IFERROR(VLOOKUP(L42,VOL_REC[],2,FALSE),0)</f>
        <v>0</v>
      </c>
      <c r="BC42" s="246">
        <f>IFERROR(VLOOKUP(M42,VOL_REC[],2,FALSE),0)</f>
        <v>0</v>
      </c>
      <c r="BD42" s="246">
        <f>IFERROR(VLOOKUP(N42,VOL_REC[],2,FALSE),0)</f>
        <v>0</v>
      </c>
      <c r="BE42" s="246">
        <f>IFERROR(VLOOKUP(O42,VOL_REC[],2,FALSE),0)</f>
        <v>0</v>
      </c>
      <c r="BF42" s="246">
        <f>IFERROR(VLOOKUP(P42,VOL_REC[],2,FALSE),0)</f>
        <v>0</v>
      </c>
      <c r="BG42" s="246">
        <f>IFERROR(VLOOKUP(Q42,VOL_REC[],2,FALSE),0)</f>
        <v>0</v>
      </c>
      <c r="BH42" s="1710">
        <f t="shared" si="0"/>
        <v>13704985658.136318</v>
      </c>
      <c r="BI42" s="1710">
        <f t="shared" si="1"/>
        <v>17489621724.940693</v>
      </c>
      <c r="BJ42" s="1711">
        <f t="shared" si="2"/>
        <v>15514705.000000002</v>
      </c>
      <c r="BK42" s="1711">
        <f t="shared" si="3"/>
        <v>0.78360675111644196</v>
      </c>
    </row>
    <row r="43" spans="3:67" x14ac:dyDescent="0.25">
      <c r="C43" s="246" t="s">
        <v>1393</v>
      </c>
      <c r="D43" s="246">
        <v>1</v>
      </c>
      <c r="E43" s="246">
        <v>2</v>
      </c>
      <c r="F43" s="246">
        <v>3</v>
      </c>
      <c r="G43" s="246">
        <v>9</v>
      </c>
      <c r="H43" s="246">
        <v>14</v>
      </c>
      <c r="I43" s="246"/>
      <c r="J43" s="246"/>
      <c r="K43" s="246"/>
      <c r="L43" s="246"/>
      <c r="M43" s="246"/>
      <c r="N43" s="246"/>
      <c r="O43" s="246"/>
      <c r="P43" s="246"/>
      <c r="Q43" s="246"/>
      <c r="R43" s="246">
        <f>IFERROR(VLOOKUP(D43,PROGRAMAS[],2,FALSE),0)</f>
        <v>97037803.679377079</v>
      </c>
      <c r="S43" s="246">
        <f>IFERROR(VLOOKUP(E43,PROGRAMAS[],2,FALSE),0)</f>
        <v>640501509.6821388</v>
      </c>
      <c r="T43" s="246">
        <f>IFERROR(VLOOKUP(F43,PROGRAMAS[],2,FALSE),0)</f>
        <v>3062327798.1525245</v>
      </c>
      <c r="U43" s="246">
        <f>IFERROR(VLOOKUP(G43,PROGRAMAS[],2,FALSE),0)</f>
        <v>6128579952.1618185</v>
      </c>
      <c r="V43" s="246">
        <f>IFERROR(VLOOKUP(H43,PROGRAMAS[],2,FALSE),0)</f>
        <v>54223862.645839565</v>
      </c>
      <c r="W43" s="246">
        <f>IFERROR(VLOOKUP(I43,PROGRAMAS[],2,FALSE),0)</f>
        <v>0</v>
      </c>
      <c r="X43" s="246">
        <f>IFERROR(VLOOKUP(J43,PROGRAMAS[],2,FALSE),0)</f>
        <v>0</v>
      </c>
      <c r="Y43" s="246">
        <f>IFERROR(VLOOKUP(K43,PROGRAMAS[],2,FALSE),0)</f>
        <v>0</v>
      </c>
      <c r="Z43" s="246">
        <f>IFERROR(VLOOKUP(L43,PROGRAMAS[],2,FALSE),0)</f>
        <v>0</v>
      </c>
      <c r="AA43" s="246">
        <f>IFERROR(VLOOKUP(M43,PROGRAMAS[],2,FALSE),0)</f>
        <v>0</v>
      </c>
      <c r="AB43" s="246">
        <f>IFERROR(VLOOKUP(N43,PROGRAMAS[],2,FALSE),0)</f>
        <v>0</v>
      </c>
      <c r="AC43" s="246">
        <f>IFERROR(VLOOKUP(O43,PROGRAMAS[],2,FALSE),0)</f>
        <v>0</v>
      </c>
      <c r="AD43" s="246">
        <f>IFERROR(VLOOKUP(P43,PROGRAMAS[],2,FALSE),0)</f>
        <v>0</v>
      </c>
      <c r="AE43" s="246">
        <f>IFERROR(VLOOKUP(Q43,PROGRAMAS[],2,FALSE),0)</f>
        <v>0</v>
      </c>
      <c r="AF43" s="246">
        <f>IFERROR(VLOOKUP(D43,PROGRAMAS[],3,FALSE),0)</f>
        <v>841888629.31080008</v>
      </c>
      <c r="AG43" s="246">
        <f>IFERROR(VLOOKUP(E43,PROGRAMAS[],3,FALSE),0)</f>
        <v>3848980803.1642323</v>
      </c>
      <c r="AH43" s="246">
        <f>IFERROR(VLOOKUP(F43,PROGRAMAS[],3,FALSE),0)</f>
        <v>3394901471.387517</v>
      </c>
      <c r="AI43" s="246">
        <f>IFERROR(VLOOKUP(G43,PROGRAMAS[],3,FALSE),0)</f>
        <v>7011279577.519702</v>
      </c>
      <c r="AJ43" s="246">
        <f>IFERROR(VLOOKUP(H43,PROGRAMAS[],3,FALSE),0)</f>
        <v>31865326.38096505</v>
      </c>
      <c r="AK43" s="246">
        <f>IFERROR(VLOOKUP(I43,PROGRAMAS[],3,FALSE),0)</f>
        <v>0</v>
      </c>
      <c r="AL43" s="246">
        <f>IFERROR(VLOOKUP(J43,PROGRAMAS[],3,FALSE),0)</f>
        <v>0</v>
      </c>
      <c r="AM43" s="246">
        <f>IFERROR(VLOOKUP(K43,PROGRAMAS[],3,FALSE),0)</f>
        <v>0</v>
      </c>
      <c r="AN43" s="246">
        <f>IFERROR(VLOOKUP(L43,PROGRAMAS[],3,FALSE),0)</f>
        <v>0</v>
      </c>
      <c r="AO43" s="246">
        <f>IFERROR(VLOOKUP(M43,PROGRAMAS[],3,FALSE),0)</f>
        <v>0</v>
      </c>
      <c r="AP43" s="246">
        <f>IFERROR(VLOOKUP(N43,PROGRAMAS[],3,FALSE),0)</f>
        <v>0</v>
      </c>
      <c r="AQ43" s="246">
        <f>IFERROR(VLOOKUP(O43,PROGRAMAS[],3,FALSE),0)</f>
        <v>0</v>
      </c>
      <c r="AR43" s="246">
        <f>IFERROR(VLOOKUP(P43,PROGRAMAS[],3,FALSE),0)</f>
        <v>0</v>
      </c>
      <c r="AS43" s="246">
        <f>IFERROR(VLOOKUP(Q43,PROGRAMAS[],3,FALSE),0)</f>
        <v>0</v>
      </c>
      <c r="AT43" s="246">
        <f>IFERROR(VLOOKUP(D43,VOL_REC[],2,FALSE),0)</f>
        <v>0</v>
      </c>
      <c r="AU43" s="246">
        <f>IFERROR(VLOOKUP(E43,VOL_REC[],2,FALSE),0)</f>
        <v>0</v>
      </c>
      <c r="AV43" s="246">
        <f>IFERROR(VLOOKUP(F43,VOL_REC[],2,FALSE),0)</f>
        <v>11089674.200000001</v>
      </c>
      <c r="AW43" s="246">
        <f>IFERROR(VLOOKUP(G43,VOL_REC[],2,FALSE),0)</f>
        <v>3761786</v>
      </c>
      <c r="AX43" s="246">
        <f>IFERROR(VLOOKUP(H43,VOL_REC[],2,FALSE),0)</f>
        <v>17074.045034105649</v>
      </c>
      <c r="AY43" s="246">
        <f>IFERROR(VLOOKUP(I43,VOL_REC[],2,FALSE),0)</f>
        <v>0</v>
      </c>
      <c r="AZ43" s="246">
        <f>IFERROR(VLOOKUP(J43,VOL_REC[],2,FALSE),0)</f>
        <v>0</v>
      </c>
      <c r="BA43" s="246">
        <f>IFERROR(VLOOKUP(K43,VOL_REC[],2,FALSE),0)</f>
        <v>0</v>
      </c>
      <c r="BB43" s="246">
        <f>IFERROR(VLOOKUP(L43,VOL_REC[],2,FALSE),0)</f>
        <v>0</v>
      </c>
      <c r="BC43" s="246">
        <f>IFERROR(VLOOKUP(M43,VOL_REC[],2,FALSE),0)</f>
        <v>0</v>
      </c>
      <c r="BD43" s="246">
        <f>IFERROR(VLOOKUP(N43,VOL_REC[],2,FALSE),0)</f>
        <v>0</v>
      </c>
      <c r="BE43" s="246">
        <f>IFERROR(VLOOKUP(O43,VOL_REC[],2,FALSE),0)</f>
        <v>0</v>
      </c>
      <c r="BF43" s="246">
        <f>IFERROR(VLOOKUP(P43,VOL_REC[],2,FALSE),0)</f>
        <v>0</v>
      </c>
      <c r="BG43" s="246">
        <f>IFERROR(VLOOKUP(Q43,VOL_REC[],2,FALSE),0)</f>
        <v>0</v>
      </c>
      <c r="BH43" s="1710">
        <f t="shared" si="0"/>
        <v>9982670926.3216991</v>
      </c>
      <c r="BI43" s="1710">
        <f t="shared" si="1"/>
        <v>15128915807.763216</v>
      </c>
      <c r="BJ43" s="1711">
        <f t="shared" si="2"/>
        <v>14868534.245034106</v>
      </c>
      <c r="BK43" s="1711">
        <f t="shared" si="3"/>
        <v>0.65984047060392892</v>
      </c>
    </row>
    <row r="44" spans="3:67" x14ac:dyDescent="0.25">
      <c r="C44" s="246" t="s">
        <v>1394</v>
      </c>
      <c r="D44" s="246">
        <v>1</v>
      </c>
      <c r="E44" s="246">
        <v>2</v>
      </c>
      <c r="F44" s="246">
        <v>3</v>
      </c>
      <c r="G44" s="246">
        <v>9</v>
      </c>
      <c r="H44" s="246">
        <v>15</v>
      </c>
      <c r="I44" s="246"/>
      <c r="J44" s="246"/>
      <c r="K44" s="246"/>
      <c r="L44" s="246"/>
      <c r="M44" s="246"/>
      <c r="N44" s="246"/>
      <c r="O44" s="246"/>
      <c r="P44" s="246"/>
      <c r="Q44" s="246"/>
      <c r="R44" s="246">
        <f>IFERROR(VLOOKUP(D44,PROGRAMAS[],2,FALSE),0)</f>
        <v>97037803.679377079</v>
      </c>
      <c r="S44" s="246">
        <f>IFERROR(VLOOKUP(E44,PROGRAMAS[],2,FALSE),0)</f>
        <v>640501509.6821388</v>
      </c>
      <c r="T44" s="246">
        <f>IFERROR(VLOOKUP(F44,PROGRAMAS[],2,FALSE),0)</f>
        <v>3062327798.1525245</v>
      </c>
      <c r="U44" s="246">
        <f>IFERROR(VLOOKUP(G44,PROGRAMAS[],2,FALSE),0)</f>
        <v>6128579952.1618185</v>
      </c>
      <c r="V44" s="246">
        <f>IFERROR(VLOOKUP(H44,PROGRAMAS[],2,FALSE),0)</f>
        <v>122159672.96346797</v>
      </c>
      <c r="W44" s="246">
        <f>IFERROR(VLOOKUP(I44,PROGRAMAS[],2,FALSE),0)</f>
        <v>0</v>
      </c>
      <c r="X44" s="246">
        <f>IFERROR(VLOOKUP(J44,PROGRAMAS[],2,FALSE),0)</f>
        <v>0</v>
      </c>
      <c r="Y44" s="246">
        <f>IFERROR(VLOOKUP(K44,PROGRAMAS[],2,FALSE),0)</f>
        <v>0</v>
      </c>
      <c r="Z44" s="246">
        <f>IFERROR(VLOOKUP(L44,PROGRAMAS[],2,FALSE),0)</f>
        <v>0</v>
      </c>
      <c r="AA44" s="246">
        <f>IFERROR(VLOOKUP(M44,PROGRAMAS[],2,FALSE),0)</f>
        <v>0</v>
      </c>
      <c r="AB44" s="246">
        <f>IFERROR(VLOOKUP(N44,PROGRAMAS[],2,FALSE),0)</f>
        <v>0</v>
      </c>
      <c r="AC44" s="246">
        <f>IFERROR(VLOOKUP(O44,PROGRAMAS[],2,FALSE),0)</f>
        <v>0</v>
      </c>
      <c r="AD44" s="246">
        <f>IFERROR(VLOOKUP(P44,PROGRAMAS[],2,FALSE),0)</f>
        <v>0</v>
      </c>
      <c r="AE44" s="246">
        <f>IFERROR(VLOOKUP(Q44,PROGRAMAS[],2,FALSE),0)</f>
        <v>0</v>
      </c>
      <c r="AF44" s="246">
        <f>IFERROR(VLOOKUP(D44,PROGRAMAS[],3,FALSE),0)</f>
        <v>841888629.31080008</v>
      </c>
      <c r="AG44" s="246">
        <f>IFERROR(VLOOKUP(E44,PROGRAMAS[],3,FALSE),0)</f>
        <v>3848980803.1642323</v>
      </c>
      <c r="AH44" s="246">
        <f>IFERROR(VLOOKUP(F44,PROGRAMAS[],3,FALSE),0)</f>
        <v>3394901471.387517</v>
      </c>
      <c r="AI44" s="246">
        <f>IFERROR(VLOOKUP(G44,PROGRAMAS[],3,FALSE),0)</f>
        <v>7011279577.519702</v>
      </c>
      <c r="AJ44" s="246">
        <f>IFERROR(VLOOKUP(H44,PROGRAMAS[],3,FALSE),0)</f>
        <v>118617452.52510804</v>
      </c>
      <c r="AK44" s="246">
        <f>IFERROR(VLOOKUP(I44,PROGRAMAS[],3,FALSE),0)</f>
        <v>0</v>
      </c>
      <c r="AL44" s="246">
        <f>IFERROR(VLOOKUP(J44,PROGRAMAS[],3,FALSE),0)</f>
        <v>0</v>
      </c>
      <c r="AM44" s="246">
        <f>IFERROR(VLOOKUP(K44,PROGRAMAS[],3,FALSE),0)</f>
        <v>0</v>
      </c>
      <c r="AN44" s="246">
        <f>IFERROR(VLOOKUP(L44,PROGRAMAS[],3,FALSE),0)</f>
        <v>0</v>
      </c>
      <c r="AO44" s="246">
        <f>IFERROR(VLOOKUP(M44,PROGRAMAS[],3,FALSE),0)</f>
        <v>0</v>
      </c>
      <c r="AP44" s="246">
        <f>IFERROR(VLOOKUP(N44,PROGRAMAS[],3,FALSE),0)</f>
        <v>0</v>
      </c>
      <c r="AQ44" s="246">
        <f>IFERROR(VLOOKUP(O44,PROGRAMAS[],3,FALSE),0)</f>
        <v>0</v>
      </c>
      <c r="AR44" s="246">
        <f>IFERROR(VLOOKUP(P44,PROGRAMAS[],3,FALSE),0)</f>
        <v>0</v>
      </c>
      <c r="AS44" s="246">
        <f>IFERROR(VLOOKUP(Q44,PROGRAMAS[],3,FALSE),0)</f>
        <v>0</v>
      </c>
      <c r="AT44" s="246">
        <f>IFERROR(VLOOKUP(D44,VOL_REC[],2,FALSE),0)</f>
        <v>0</v>
      </c>
      <c r="AU44" s="246">
        <f>IFERROR(VLOOKUP(E44,VOL_REC[],2,FALSE),0)</f>
        <v>0</v>
      </c>
      <c r="AV44" s="246">
        <f>IFERROR(VLOOKUP(F44,VOL_REC[],2,FALSE),0)</f>
        <v>11089674.200000001</v>
      </c>
      <c r="AW44" s="246">
        <f>IFERROR(VLOOKUP(G44,VOL_REC[],2,FALSE),0)</f>
        <v>3761786</v>
      </c>
      <c r="AX44" s="246">
        <f>IFERROR(VLOOKUP(H44,VOL_REC[],2,FALSE),0)</f>
        <v>105072</v>
      </c>
      <c r="AY44" s="246">
        <f>IFERROR(VLOOKUP(I44,VOL_REC[],2,FALSE),0)</f>
        <v>0</v>
      </c>
      <c r="AZ44" s="246">
        <f>IFERROR(VLOOKUP(J44,VOL_REC[],2,FALSE),0)</f>
        <v>0</v>
      </c>
      <c r="BA44" s="246">
        <f>IFERROR(VLOOKUP(K44,VOL_REC[],2,FALSE),0)</f>
        <v>0</v>
      </c>
      <c r="BB44" s="246">
        <f>IFERROR(VLOOKUP(L44,VOL_REC[],2,FALSE),0)</f>
        <v>0</v>
      </c>
      <c r="BC44" s="246">
        <f>IFERROR(VLOOKUP(M44,VOL_REC[],2,FALSE),0)</f>
        <v>0</v>
      </c>
      <c r="BD44" s="246">
        <f>IFERROR(VLOOKUP(N44,VOL_REC[],2,FALSE),0)</f>
        <v>0</v>
      </c>
      <c r="BE44" s="246">
        <f>IFERROR(VLOOKUP(O44,VOL_REC[],2,FALSE),0)</f>
        <v>0</v>
      </c>
      <c r="BF44" s="246">
        <f>IFERROR(VLOOKUP(P44,VOL_REC[],2,FALSE),0)</f>
        <v>0</v>
      </c>
      <c r="BG44" s="246">
        <f>IFERROR(VLOOKUP(Q44,VOL_REC[],2,FALSE),0)</f>
        <v>0</v>
      </c>
      <c r="BH44" s="1710">
        <f t="shared" si="0"/>
        <v>10050606736.639328</v>
      </c>
      <c r="BI44" s="1710">
        <f t="shared" si="1"/>
        <v>15215667933.90736</v>
      </c>
      <c r="BJ44" s="1711">
        <f t="shared" si="2"/>
        <v>14956532.200000001</v>
      </c>
      <c r="BK44" s="1711">
        <f t="shared" si="3"/>
        <v>0.66054324925441166</v>
      </c>
    </row>
    <row r="45" spans="3:67" x14ac:dyDescent="0.25">
      <c r="C45" s="246" t="s">
        <v>1395</v>
      </c>
      <c r="D45" s="246">
        <v>1</v>
      </c>
      <c r="E45" s="246">
        <v>2</v>
      </c>
      <c r="F45" s="246">
        <v>3</v>
      </c>
      <c r="G45" s="246">
        <v>9</v>
      </c>
      <c r="H45" s="246">
        <v>16</v>
      </c>
      <c r="I45" s="246"/>
      <c r="J45" s="246"/>
      <c r="K45" s="246"/>
      <c r="L45" s="246"/>
      <c r="M45" s="246"/>
      <c r="N45" s="246"/>
      <c r="O45" s="246"/>
      <c r="P45" s="246"/>
      <c r="Q45" s="246"/>
      <c r="R45" s="246">
        <f>IFERROR(VLOOKUP(D45,PROGRAMAS[],2,FALSE),0)</f>
        <v>97037803.679377079</v>
      </c>
      <c r="S45" s="246">
        <f>IFERROR(VLOOKUP(E45,PROGRAMAS[],2,FALSE),0)</f>
        <v>640501509.6821388</v>
      </c>
      <c r="T45" s="246">
        <f>IFERROR(VLOOKUP(F45,PROGRAMAS[],2,FALSE),0)</f>
        <v>3062327798.1525245</v>
      </c>
      <c r="U45" s="246">
        <f>IFERROR(VLOOKUP(G45,PROGRAMAS[],2,FALSE),0)</f>
        <v>6128579952.1618185</v>
      </c>
      <c r="V45" s="246">
        <f>IFERROR(VLOOKUP(H45,PROGRAMAS[],2,FALSE),0)</f>
        <v>7068496961.0436354</v>
      </c>
      <c r="W45" s="246">
        <f>IFERROR(VLOOKUP(I45,PROGRAMAS[],2,FALSE),0)</f>
        <v>0</v>
      </c>
      <c r="X45" s="246">
        <f>IFERROR(VLOOKUP(J45,PROGRAMAS[],2,FALSE),0)</f>
        <v>0</v>
      </c>
      <c r="Y45" s="246">
        <f>IFERROR(VLOOKUP(K45,PROGRAMAS[],2,FALSE),0)</f>
        <v>0</v>
      </c>
      <c r="Z45" s="246">
        <f>IFERROR(VLOOKUP(L45,PROGRAMAS[],2,FALSE),0)</f>
        <v>0</v>
      </c>
      <c r="AA45" s="246">
        <f>IFERROR(VLOOKUP(M45,PROGRAMAS[],2,FALSE),0)</f>
        <v>0</v>
      </c>
      <c r="AB45" s="246">
        <f>IFERROR(VLOOKUP(N45,PROGRAMAS[],2,FALSE),0)</f>
        <v>0</v>
      </c>
      <c r="AC45" s="246">
        <f>IFERROR(VLOOKUP(O45,PROGRAMAS[],2,FALSE),0)</f>
        <v>0</v>
      </c>
      <c r="AD45" s="246">
        <f>IFERROR(VLOOKUP(P45,PROGRAMAS[],2,FALSE),0)</f>
        <v>0</v>
      </c>
      <c r="AE45" s="246">
        <f>IFERROR(VLOOKUP(Q45,PROGRAMAS[],2,FALSE),0)</f>
        <v>0</v>
      </c>
      <c r="AF45" s="246">
        <f>IFERROR(VLOOKUP(D45,PROGRAMAS[],3,FALSE),0)</f>
        <v>841888629.31080008</v>
      </c>
      <c r="AG45" s="246">
        <f>IFERROR(VLOOKUP(E45,PROGRAMAS[],3,FALSE),0)</f>
        <v>3848980803.1642323</v>
      </c>
      <c r="AH45" s="246">
        <f>IFERROR(VLOOKUP(F45,PROGRAMAS[],3,FALSE),0)</f>
        <v>3394901471.387517</v>
      </c>
      <c r="AI45" s="246">
        <f>IFERROR(VLOOKUP(G45,PROGRAMAS[],3,FALSE),0)</f>
        <v>7011279577.519702</v>
      </c>
      <c r="AJ45" s="246">
        <f>IFERROR(VLOOKUP(H45,PROGRAMAS[],3,FALSE),0)</f>
        <v>2406564599.0319901</v>
      </c>
      <c r="AK45" s="246">
        <f>IFERROR(VLOOKUP(I45,PROGRAMAS[],3,FALSE),0)</f>
        <v>0</v>
      </c>
      <c r="AL45" s="246">
        <f>IFERROR(VLOOKUP(J45,PROGRAMAS[],3,FALSE),0)</f>
        <v>0</v>
      </c>
      <c r="AM45" s="246">
        <f>IFERROR(VLOOKUP(K45,PROGRAMAS[],3,FALSE),0)</f>
        <v>0</v>
      </c>
      <c r="AN45" s="246">
        <f>IFERROR(VLOOKUP(L45,PROGRAMAS[],3,FALSE),0)</f>
        <v>0</v>
      </c>
      <c r="AO45" s="246">
        <f>IFERROR(VLOOKUP(M45,PROGRAMAS[],3,FALSE),0)</f>
        <v>0</v>
      </c>
      <c r="AP45" s="246">
        <f>IFERROR(VLOOKUP(N45,PROGRAMAS[],3,FALSE),0)</f>
        <v>0</v>
      </c>
      <c r="AQ45" s="246">
        <f>IFERROR(VLOOKUP(O45,PROGRAMAS[],3,FALSE),0)</f>
        <v>0</v>
      </c>
      <c r="AR45" s="246">
        <f>IFERROR(VLOOKUP(P45,PROGRAMAS[],3,FALSE),0)</f>
        <v>0</v>
      </c>
      <c r="AS45" s="246">
        <f>IFERROR(VLOOKUP(Q45,PROGRAMAS[],3,FALSE),0)</f>
        <v>0</v>
      </c>
      <c r="AT45" s="246">
        <f>IFERROR(VLOOKUP(D45,VOL_REC[],2,FALSE),0)</f>
        <v>0</v>
      </c>
      <c r="AU45" s="246">
        <f>IFERROR(VLOOKUP(E45,VOL_REC[],2,FALSE),0)</f>
        <v>0</v>
      </c>
      <c r="AV45" s="246">
        <f>IFERROR(VLOOKUP(F45,VOL_REC[],2,FALSE),0)</f>
        <v>11089674.200000001</v>
      </c>
      <c r="AW45" s="246">
        <f>IFERROR(VLOOKUP(G45,VOL_REC[],2,FALSE),0)</f>
        <v>3761786</v>
      </c>
      <c r="AX45" s="246">
        <f>IFERROR(VLOOKUP(H45,VOL_REC[],2,FALSE),0)</f>
        <v>1072354.9981737854</v>
      </c>
      <c r="AY45" s="246">
        <f>IFERROR(VLOOKUP(I45,VOL_REC[],2,FALSE),0)</f>
        <v>0</v>
      </c>
      <c r="AZ45" s="246">
        <f>IFERROR(VLOOKUP(J45,VOL_REC[],2,FALSE),0)</f>
        <v>0</v>
      </c>
      <c r="BA45" s="246">
        <f>IFERROR(VLOOKUP(K45,VOL_REC[],2,FALSE),0)</f>
        <v>0</v>
      </c>
      <c r="BB45" s="246">
        <f>IFERROR(VLOOKUP(L45,VOL_REC[],2,FALSE),0)</f>
        <v>0</v>
      </c>
      <c r="BC45" s="246">
        <f>IFERROR(VLOOKUP(M45,VOL_REC[],2,FALSE),0)</f>
        <v>0</v>
      </c>
      <c r="BD45" s="246">
        <f>IFERROR(VLOOKUP(N45,VOL_REC[],2,FALSE),0)</f>
        <v>0</v>
      </c>
      <c r="BE45" s="246">
        <f>IFERROR(VLOOKUP(O45,VOL_REC[],2,FALSE),0)</f>
        <v>0</v>
      </c>
      <c r="BF45" s="246">
        <f>IFERROR(VLOOKUP(P45,VOL_REC[],2,FALSE),0)</f>
        <v>0</v>
      </c>
      <c r="BG45" s="246">
        <f>IFERROR(VLOOKUP(Q45,VOL_REC[],2,FALSE),0)</f>
        <v>0</v>
      </c>
      <c r="BH45" s="1710">
        <f t="shared" si="0"/>
        <v>16996944024.719494</v>
      </c>
      <c r="BI45" s="1710">
        <f t="shared" si="1"/>
        <v>17503615080.414242</v>
      </c>
      <c r="BJ45" s="1711">
        <f t="shared" si="2"/>
        <v>15923815.198173787</v>
      </c>
      <c r="BK45" s="1711">
        <f t="shared" si="3"/>
        <v>0.97105334793029752</v>
      </c>
    </row>
    <row r="46" spans="3:67" x14ac:dyDescent="0.25">
      <c r="C46" s="246" t="s">
        <v>1396</v>
      </c>
      <c r="D46" s="246">
        <v>1</v>
      </c>
      <c r="E46" s="246">
        <v>2</v>
      </c>
      <c r="F46" s="246">
        <v>3</v>
      </c>
      <c r="G46" s="246">
        <v>9</v>
      </c>
      <c r="H46" s="246">
        <v>17</v>
      </c>
      <c r="I46" s="246"/>
      <c r="J46" s="246"/>
      <c r="K46" s="246"/>
      <c r="L46" s="246"/>
      <c r="M46" s="246"/>
      <c r="N46" s="246"/>
      <c r="O46" s="246"/>
      <c r="P46" s="246"/>
      <c r="Q46" s="246"/>
      <c r="R46" s="246">
        <f>IFERROR(VLOOKUP(D46,PROGRAMAS[],2,FALSE),0)</f>
        <v>97037803.679377079</v>
      </c>
      <c r="S46" s="246">
        <f>IFERROR(VLOOKUP(E46,PROGRAMAS[],2,FALSE),0)</f>
        <v>640501509.6821388</v>
      </c>
      <c r="T46" s="246">
        <f>IFERROR(VLOOKUP(F46,PROGRAMAS[],2,FALSE),0)</f>
        <v>3062327798.1525245</v>
      </c>
      <c r="U46" s="246">
        <f>IFERROR(VLOOKUP(G46,PROGRAMAS[],2,FALSE),0)</f>
        <v>6128579952.1618185</v>
      </c>
      <c r="V46" s="246">
        <f>IFERROR(VLOOKUP(H46,PROGRAMAS[],2,FALSE),0)</f>
        <v>1892779498.5211046</v>
      </c>
      <c r="W46" s="246">
        <f>IFERROR(VLOOKUP(I46,PROGRAMAS[],2,FALSE),0)</f>
        <v>0</v>
      </c>
      <c r="X46" s="246">
        <f>IFERROR(VLOOKUP(J46,PROGRAMAS[],2,FALSE),0)</f>
        <v>0</v>
      </c>
      <c r="Y46" s="246">
        <f>IFERROR(VLOOKUP(K46,PROGRAMAS[],2,FALSE),0)</f>
        <v>0</v>
      </c>
      <c r="Z46" s="246">
        <f>IFERROR(VLOOKUP(L46,PROGRAMAS[],2,FALSE),0)</f>
        <v>0</v>
      </c>
      <c r="AA46" s="246">
        <f>IFERROR(VLOOKUP(M46,PROGRAMAS[],2,FALSE),0)</f>
        <v>0</v>
      </c>
      <c r="AB46" s="246">
        <f>IFERROR(VLOOKUP(N46,PROGRAMAS[],2,FALSE),0)</f>
        <v>0</v>
      </c>
      <c r="AC46" s="246">
        <f>IFERROR(VLOOKUP(O46,PROGRAMAS[],2,FALSE),0)</f>
        <v>0</v>
      </c>
      <c r="AD46" s="246">
        <f>IFERROR(VLOOKUP(P46,PROGRAMAS[],2,FALSE),0)</f>
        <v>0</v>
      </c>
      <c r="AE46" s="246">
        <f>IFERROR(VLOOKUP(Q46,PROGRAMAS[],2,FALSE),0)</f>
        <v>0</v>
      </c>
      <c r="AF46" s="246">
        <f>IFERROR(VLOOKUP(D46,PROGRAMAS[],3,FALSE),0)</f>
        <v>841888629.31080008</v>
      </c>
      <c r="AG46" s="246">
        <f>IFERROR(VLOOKUP(E46,PROGRAMAS[],3,FALSE),0)</f>
        <v>3848980803.1642323</v>
      </c>
      <c r="AH46" s="246">
        <f>IFERROR(VLOOKUP(F46,PROGRAMAS[],3,FALSE),0)</f>
        <v>3394901471.387517</v>
      </c>
      <c r="AI46" s="246">
        <f>IFERROR(VLOOKUP(G46,PROGRAMAS[],3,FALSE),0)</f>
        <v>7011279577.519702</v>
      </c>
      <c r="AJ46" s="246">
        <f>IFERROR(VLOOKUP(H46,PROGRAMAS[],3,FALSE),0)</f>
        <v>948595847.09039903</v>
      </c>
      <c r="AK46" s="246">
        <f>IFERROR(VLOOKUP(I46,PROGRAMAS[],3,FALSE),0)</f>
        <v>0</v>
      </c>
      <c r="AL46" s="246">
        <f>IFERROR(VLOOKUP(J46,PROGRAMAS[],3,FALSE),0)</f>
        <v>0</v>
      </c>
      <c r="AM46" s="246">
        <f>IFERROR(VLOOKUP(K46,PROGRAMAS[],3,FALSE),0)</f>
        <v>0</v>
      </c>
      <c r="AN46" s="246">
        <f>IFERROR(VLOOKUP(L46,PROGRAMAS[],3,FALSE),0)</f>
        <v>0</v>
      </c>
      <c r="AO46" s="246">
        <f>IFERROR(VLOOKUP(M46,PROGRAMAS[],3,FALSE),0)</f>
        <v>0</v>
      </c>
      <c r="AP46" s="246">
        <f>IFERROR(VLOOKUP(N46,PROGRAMAS[],3,FALSE),0)</f>
        <v>0</v>
      </c>
      <c r="AQ46" s="246">
        <f>IFERROR(VLOOKUP(O46,PROGRAMAS[],3,FALSE),0)</f>
        <v>0</v>
      </c>
      <c r="AR46" s="246">
        <f>IFERROR(VLOOKUP(P46,PROGRAMAS[],3,FALSE),0)</f>
        <v>0</v>
      </c>
      <c r="AS46" s="246">
        <f>IFERROR(VLOOKUP(Q46,PROGRAMAS[],3,FALSE),0)</f>
        <v>0</v>
      </c>
      <c r="AT46" s="246">
        <f>IFERROR(VLOOKUP(D46,VOL_REC[],2,FALSE),0)</f>
        <v>0</v>
      </c>
      <c r="AU46" s="246">
        <f>IFERROR(VLOOKUP(E46,VOL_REC[],2,FALSE),0)</f>
        <v>0</v>
      </c>
      <c r="AV46" s="246">
        <f>IFERROR(VLOOKUP(F46,VOL_REC[],2,FALSE),0)</f>
        <v>11089674.200000001</v>
      </c>
      <c r="AW46" s="246">
        <f>IFERROR(VLOOKUP(G46,VOL_REC[],2,FALSE),0)</f>
        <v>3761786</v>
      </c>
      <c r="AX46" s="246">
        <f>IFERROR(VLOOKUP(H46,VOL_REC[],2,FALSE),0)</f>
        <v>740113.98115702497</v>
      </c>
      <c r="AY46" s="246">
        <f>IFERROR(VLOOKUP(I46,VOL_REC[],2,FALSE),0)</f>
        <v>0</v>
      </c>
      <c r="AZ46" s="246">
        <f>IFERROR(VLOOKUP(J46,VOL_REC[],2,FALSE),0)</f>
        <v>0</v>
      </c>
      <c r="BA46" s="246">
        <f>IFERROR(VLOOKUP(K46,VOL_REC[],2,FALSE),0)</f>
        <v>0</v>
      </c>
      <c r="BB46" s="246">
        <f>IFERROR(VLOOKUP(L46,VOL_REC[],2,FALSE),0)</f>
        <v>0</v>
      </c>
      <c r="BC46" s="246">
        <f>IFERROR(VLOOKUP(M46,VOL_REC[],2,FALSE),0)</f>
        <v>0</v>
      </c>
      <c r="BD46" s="246">
        <f>IFERROR(VLOOKUP(N46,VOL_REC[],2,FALSE),0)</f>
        <v>0</v>
      </c>
      <c r="BE46" s="246">
        <f>IFERROR(VLOOKUP(O46,VOL_REC[],2,FALSE),0)</f>
        <v>0</v>
      </c>
      <c r="BF46" s="246">
        <f>IFERROR(VLOOKUP(P46,VOL_REC[],2,FALSE),0)</f>
        <v>0</v>
      </c>
      <c r="BG46" s="246">
        <f>IFERROR(VLOOKUP(Q46,VOL_REC[],2,FALSE),0)</f>
        <v>0</v>
      </c>
      <c r="BH46" s="1710">
        <f t="shared" si="0"/>
        <v>11821226562.196964</v>
      </c>
      <c r="BI46" s="1710">
        <f t="shared" si="1"/>
        <v>16045646328.472651</v>
      </c>
      <c r="BJ46" s="1711">
        <f t="shared" si="2"/>
        <v>15591574.181157026</v>
      </c>
      <c r="BK46" s="1711">
        <f t="shared" si="3"/>
        <v>0.73672486107464896</v>
      </c>
    </row>
    <row r="47" spans="3:67" x14ac:dyDescent="0.25">
      <c r="C47" s="246" t="s">
        <v>1397</v>
      </c>
      <c r="D47" s="246">
        <v>1</v>
      </c>
      <c r="E47" s="246">
        <v>2</v>
      </c>
      <c r="F47" s="246">
        <v>3</v>
      </c>
      <c r="G47" s="246">
        <v>10</v>
      </c>
      <c r="H47" s="246">
        <v>12</v>
      </c>
      <c r="I47" s="246"/>
      <c r="J47" s="246"/>
      <c r="K47" s="246"/>
      <c r="L47" s="246"/>
      <c r="M47" s="246"/>
      <c r="N47" s="246"/>
      <c r="O47" s="246"/>
      <c r="P47" s="246"/>
      <c r="Q47" s="246"/>
      <c r="R47" s="246">
        <f>IFERROR(VLOOKUP(D47,PROGRAMAS[],2,FALSE),0)</f>
        <v>97037803.679377079</v>
      </c>
      <c r="S47" s="246">
        <f>IFERROR(VLOOKUP(E47,PROGRAMAS[],2,FALSE),0)</f>
        <v>640501509.6821388</v>
      </c>
      <c r="T47" s="246">
        <f>IFERROR(VLOOKUP(F47,PROGRAMAS[],2,FALSE),0)</f>
        <v>3062327798.1525245</v>
      </c>
      <c r="U47" s="246">
        <f>IFERROR(VLOOKUP(G47,PROGRAMAS[],2,FALSE),0)</f>
        <v>4635315027.8751087</v>
      </c>
      <c r="V47" s="246">
        <f>IFERROR(VLOOKUP(H47,PROGRAMAS[],2,FALSE),0)</f>
        <v>764796700.79905891</v>
      </c>
      <c r="W47" s="246">
        <f>IFERROR(VLOOKUP(I47,PROGRAMAS[],2,FALSE),0)</f>
        <v>0</v>
      </c>
      <c r="X47" s="246">
        <f>IFERROR(VLOOKUP(J47,PROGRAMAS[],2,FALSE),0)</f>
        <v>0</v>
      </c>
      <c r="Y47" s="246">
        <f>IFERROR(VLOOKUP(K47,PROGRAMAS[],2,FALSE),0)</f>
        <v>0</v>
      </c>
      <c r="Z47" s="246">
        <f>IFERROR(VLOOKUP(L47,PROGRAMAS[],2,FALSE),0)</f>
        <v>0</v>
      </c>
      <c r="AA47" s="246">
        <f>IFERROR(VLOOKUP(M47,PROGRAMAS[],2,FALSE),0)</f>
        <v>0</v>
      </c>
      <c r="AB47" s="246">
        <f>IFERROR(VLOOKUP(N47,PROGRAMAS[],2,FALSE),0)</f>
        <v>0</v>
      </c>
      <c r="AC47" s="246">
        <f>IFERROR(VLOOKUP(O47,PROGRAMAS[],2,FALSE),0)</f>
        <v>0</v>
      </c>
      <c r="AD47" s="246">
        <f>IFERROR(VLOOKUP(P47,PROGRAMAS[],2,FALSE),0)</f>
        <v>0</v>
      </c>
      <c r="AE47" s="246">
        <f>IFERROR(VLOOKUP(Q47,PROGRAMAS[],2,FALSE),0)</f>
        <v>0</v>
      </c>
      <c r="AF47" s="246">
        <f>IFERROR(VLOOKUP(D47,PROGRAMAS[],3,FALSE),0)</f>
        <v>841888629.31080008</v>
      </c>
      <c r="AG47" s="246">
        <f>IFERROR(VLOOKUP(E47,PROGRAMAS[],3,FALSE),0)</f>
        <v>3848980803.1642323</v>
      </c>
      <c r="AH47" s="246">
        <f>IFERROR(VLOOKUP(F47,PROGRAMAS[],3,FALSE),0)</f>
        <v>3394901471.387517</v>
      </c>
      <c r="AI47" s="246">
        <f>IFERROR(VLOOKUP(G47,PROGRAMAS[],3,FALSE),0)</f>
        <v>4099471734.9978786</v>
      </c>
      <c r="AJ47" s="246">
        <f>IFERROR(VLOOKUP(H47,PROGRAMAS[],3,FALSE),0)</f>
        <v>675517840.109828</v>
      </c>
      <c r="AK47" s="246">
        <f>IFERROR(VLOOKUP(I47,PROGRAMAS[],3,FALSE),0)</f>
        <v>0</v>
      </c>
      <c r="AL47" s="246">
        <f>IFERROR(VLOOKUP(J47,PROGRAMAS[],3,FALSE),0)</f>
        <v>0</v>
      </c>
      <c r="AM47" s="246">
        <f>IFERROR(VLOOKUP(K47,PROGRAMAS[],3,FALSE),0)</f>
        <v>0</v>
      </c>
      <c r="AN47" s="246">
        <f>IFERROR(VLOOKUP(L47,PROGRAMAS[],3,FALSE),0)</f>
        <v>0</v>
      </c>
      <c r="AO47" s="246">
        <f>IFERROR(VLOOKUP(M47,PROGRAMAS[],3,FALSE),0)</f>
        <v>0</v>
      </c>
      <c r="AP47" s="246">
        <f>IFERROR(VLOOKUP(N47,PROGRAMAS[],3,FALSE),0)</f>
        <v>0</v>
      </c>
      <c r="AQ47" s="246">
        <f>IFERROR(VLOOKUP(O47,PROGRAMAS[],3,FALSE),0)</f>
        <v>0</v>
      </c>
      <c r="AR47" s="246">
        <f>IFERROR(VLOOKUP(P47,PROGRAMAS[],3,FALSE),0)</f>
        <v>0</v>
      </c>
      <c r="AS47" s="246">
        <f>IFERROR(VLOOKUP(Q47,PROGRAMAS[],3,FALSE),0)</f>
        <v>0</v>
      </c>
      <c r="AT47" s="246">
        <f>IFERROR(VLOOKUP(D47,VOL_REC[],2,FALSE),0)</f>
        <v>0</v>
      </c>
      <c r="AU47" s="246">
        <f>IFERROR(VLOOKUP(E47,VOL_REC[],2,FALSE),0)</f>
        <v>0</v>
      </c>
      <c r="AV47" s="246">
        <f>IFERROR(VLOOKUP(F47,VOL_REC[],2,FALSE),0)</f>
        <v>11089674.200000001</v>
      </c>
      <c r="AW47" s="246">
        <f>IFERROR(VLOOKUP(G47,VOL_REC[],2,FALSE),0)</f>
        <v>1812240</v>
      </c>
      <c r="AX47" s="246">
        <f>IFERROR(VLOOKUP(H47,VOL_REC[],2,FALSE),0)</f>
        <v>240696.79238099116</v>
      </c>
      <c r="AY47" s="246">
        <f>IFERROR(VLOOKUP(I47,VOL_REC[],2,FALSE),0)</f>
        <v>0</v>
      </c>
      <c r="AZ47" s="246">
        <f>IFERROR(VLOOKUP(J47,VOL_REC[],2,FALSE),0)</f>
        <v>0</v>
      </c>
      <c r="BA47" s="246">
        <f>IFERROR(VLOOKUP(K47,VOL_REC[],2,FALSE),0)</f>
        <v>0</v>
      </c>
      <c r="BB47" s="246">
        <f>IFERROR(VLOOKUP(L47,VOL_REC[],2,FALSE),0)</f>
        <v>0</v>
      </c>
      <c r="BC47" s="246">
        <f>IFERROR(VLOOKUP(M47,VOL_REC[],2,FALSE),0)</f>
        <v>0</v>
      </c>
      <c r="BD47" s="246">
        <f>IFERROR(VLOOKUP(N47,VOL_REC[],2,FALSE),0)</f>
        <v>0</v>
      </c>
      <c r="BE47" s="246">
        <f>IFERROR(VLOOKUP(O47,VOL_REC[],2,FALSE),0)</f>
        <v>0</v>
      </c>
      <c r="BF47" s="246">
        <f>IFERROR(VLOOKUP(P47,VOL_REC[],2,FALSE),0)</f>
        <v>0</v>
      </c>
      <c r="BG47" s="246">
        <f>IFERROR(VLOOKUP(Q47,VOL_REC[],2,FALSE),0)</f>
        <v>0</v>
      </c>
      <c r="BH47" s="1710">
        <f t="shared" si="0"/>
        <v>9199978840.1882076</v>
      </c>
      <c r="BI47" s="1710">
        <f t="shared" si="1"/>
        <v>12860760478.970257</v>
      </c>
      <c r="BJ47" s="1711">
        <f t="shared" si="2"/>
        <v>13142610.992380992</v>
      </c>
      <c r="BK47" s="1711">
        <f t="shared" si="3"/>
        <v>0.71535263060313503</v>
      </c>
    </row>
    <row r="48" spans="3:67" x14ac:dyDescent="0.25">
      <c r="C48" s="246" t="s">
        <v>1398</v>
      </c>
      <c r="D48" s="246">
        <v>1</v>
      </c>
      <c r="E48" s="246">
        <v>2</v>
      </c>
      <c r="F48" s="246">
        <v>3</v>
      </c>
      <c r="G48" s="246">
        <v>10</v>
      </c>
      <c r="H48" s="246">
        <v>13</v>
      </c>
      <c r="I48" s="246"/>
      <c r="J48" s="246"/>
      <c r="K48" s="246"/>
      <c r="L48" s="246"/>
      <c r="M48" s="246"/>
      <c r="N48" s="246"/>
      <c r="O48" s="246"/>
      <c r="P48" s="246"/>
      <c r="Q48" s="246"/>
      <c r="R48" s="246">
        <f>IFERROR(VLOOKUP(D48,PROGRAMAS[],2,FALSE),0)</f>
        <v>97037803.679377079</v>
      </c>
      <c r="S48" s="246">
        <f>IFERROR(VLOOKUP(E48,PROGRAMAS[],2,FALSE),0)</f>
        <v>640501509.6821388</v>
      </c>
      <c r="T48" s="246">
        <f>IFERROR(VLOOKUP(F48,PROGRAMAS[],2,FALSE),0)</f>
        <v>3062327798.1525245</v>
      </c>
      <c r="U48" s="246">
        <f>IFERROR(VLOOKUP(G48,PROGRAMAS[],2,FALSE),0)</f>
        <v>4635315027.8751087</v>
      </c>
      <c r="V48" s="246">
        <f>IFERROR(VLOOKUP(H48,PROGRAMAS[],2,FALSE),0)</f>
        <v>3776538594.4604583</v>
      </c>
      <c r="W48" s="246">
        <f>IFERROR(VLOOKUP(I48,PROGRAMAS[],2,FALSE),0)</f>
        <v>0</v>
      </c>
      <c r="X48" s="246">
        <f>IFERROR(VLOOKUP(J48,PROGRAMAS[],2,FALSE),0)</f>
        <v>0</v>
      </c>
      <c r="Y48" s="246">
        <f>IFERROR(VLOOKUP(K48,PROGRAMAS[],2,FALSE),0)</f>
        <v>0</v>
      </c>
      <c r="Z48" s="246">
        <f>IFERROR(VLOOKUP(L48,PROGRAMAS[],2,FALSE),0)</f>
        <v>0</v>
      </c>
      <c r="AA48" s="246">
        <f>IFERROR(VLOOKUP(M48,PROGRAMAS[],2,FALSE),0)</f>
        <v>0</v>
      </c>
      <c r="AB48" s="246">
        <f>IFERROR(VLOOKUP(N48,PROGRAMAS[],2,FALSE),0)</f>
        <v>0</v>
      </c>
      <c r="AC48" s="246">
        <f>IFERROR(VLOOKUP(O48,PROGRAMAS[],2,FALSE),0)</f>
        <v>0</v>
      </c>
      <c r="AD48" s="246">
        <f>IFERROR(VLOOKUP(P48,PROGRAMAS[],2,FALSE),0)</f>
        <v>0</v>
      </c>
      <c r="AE48" s="246">
        <f>IFERROR(VLOOKUP(Q48,PROGRAMAS[],2,FALSE),0)</f>
        <v>0</v>
      </c>
      <c r="AF48" s="246">
        <f>IFERROR(VLOOKUP(D48,PROGRAMAS[],3,FALSE),0)</f>
        <v>841888629.31080008</v>
      </c>
      <c r="AG48" s="246">
        <f>IFERROR(VLOOKUP(E48,PROGRAMAS[],3,FALSE),0)</f>
        <v>3848980803.1642323</v>
      </c>
      <c r="AH48" s="246">
        <f>IFERROR(VLOOKUP(F48,PROGRAMAS[],3,FALSE),0)</f>
        <v>3394901471.387517</v>
      </c>
      <c r="AI48" s="246">
        <f>IFERROR(VLOOKUP(G48,PROGRAMAS[],3,FALSE),0)</f>
        <v>4099471734.9978786</v>
      </c>
      <c r="AJ48" s="246">
        <f>IFERROR(VLOOKUP(H48,PROGRAMAS[],3,FALSE),0)</f>
        <v>2392571243.5584412</v>
      </c>
      <c r="AK48" s="246">
        <f>IFERROR(VLOOKUP(I48,PROGRAMAS[],3,FALSE),0)</f>
        <v>0</v>
      </c>
      <c r="AL48" s="246">
        <f>IFERROR(VLOOKUP(J48,PROGRAMAS[],3,FALSE),0)</f>
        <v>0</v>
      </c>
      <c r="AM48" s="246">
        <f>IFERROR(VLOOKUP(K48,PROGRAMAS[],3,FALSE),0)</f>
        <v>0</v>
      </c>
      <c r="AN48" s="246">
        <f>IFERROR(VLOOKUP(L48,PROGRAMAS[],3,FALSE),0)</f>
        <v>0</v>
      </c>
      <c r="AO48" s="246">
        <f>IFERROR(VLOOKUP(M48,PROGRAMAS[],3,FALSE),0)</f>
        <v>0</v>
      </c>
      <c r="AP48" s="246">
        <f>IFERROR(VLOOKUP(N48,PROGRAMAS[],3,FALSE),0)</f>
        <v>0</v>
      </c>
      <c r="AQ48" s="246">
        <f>IFERROR(VLOOKUP(O48,PROGRAMAS[],3,FALSE),0)</f>
        <v>0</v>
      </c>
      <c r="AR48" s="246">
        <f>IFERROR(VLOOKUP(P48,PROGRAMAS[],3,FALSE),0)</f>
        <v>0</v>
      </c>
      <c r="AS48" s="246">
        <f>IFERROR(VLOOKUP(Q48,PROGRAMAS[],3,FALSE),0)</f>
        <v>0</v>
      </c>
      <c r="AT48" s="246">
        <f>IFERROR(VLOOKUP(D48,VOL_REC[],2,FALSE),0)</f>
        <v>0</v>
      </c>
      <c r="AU48" s="246">
        <f>IFERROR(VLOOKUP(E48,VOL_REC[],2,FALSE),0)</f>
        <v>0</v>
      </c>
      <c r="AV48" s="246">
        <f>IFERROR(VLOOKUP(F48,VOL_REC[],2,FALSE),0)</f>
        <v>11089674.200000001</v>
      </c>
      <c r="AW48" s="246">
        <f>IFERROR(VLOOKUP(G48,VOL_REC[],2,FALSE),0)</f>
        <v>1812240</v>
      </c>
      <c r="AX48" s="246">
        <f>IFERROR(VLOOKUP(H48,VOL_REC[],2,FALSE),0)</f>
        <v>663244.80000000016</v>
      </c>
      <c r="AY48" s="246">
        <f>IFERROR(VLOOKUP(I48,VOL_REC[],2,FALSE),0)</f>
        <v>0</v>
      </c>
      <c r="AZ48" s="246">
        <f>IFERROR(VLOOKUP(J48,VOL_REC[],2,FALSE),0)</f>
        <v>0</v>
      </c>
      <c r="BA48" s="246">
        <f>IFERROR(VLOOKUP(K48,VOL_REC[],2,FALSE),0)</f>
        <v>0</v>
      </c>
      <c r="BB48" s="246">
        <f>IFERROR(VLOOKUP(L48,VOL_REC[],2,FALSE),0)</f>
        <v>0</v>
      </c>
      <c r="BC48" s="246">
        <f>IFERROR(VLOOKUP(M48,VOL_REC[],2,FALSE),0)</f>
        <v>0</v>
      </c>
      <c r="BD48" s="246">
        <f>IFERROR(VLOOKUP(N48,VOL_REC[],2,FALSE),0)</f>
        <v>0</v>
      </c>
      <c r="BE48" s="246">
        <f>IFERROR(VLOOKUP(O48,VOL_REC[],2,FALSE),0)</f>
        <v>0</v>
      </c>
      <c r="BF48" s="246">
        <f>IFERROR(VLOOKUP(P48,VOL_REC[],2,FALSE),0)</f>
        <v>0</v>
      </c>
      <c r="BG48" s="246">
        <f>IFERROR(VLOOKUP(Q48,VOL_REC[],2,FALSE),0)</f>
        <v>0</v>
      </c>
      <c r="BH48" s="1710">
        <f t="shared" si="0"/>
        <v>12211720733.849607</v>
      </c>
      <c r="BI48" s="1710">
        <f t="shared" si="1"/>
        <v>14577813882.418869</v>
      </c>
      <c r="BJ48" s="1711">
        <f t="shared" si="2"/>
        <v>13565159.000000002</v>
      </c>
      <c r="BK48" s="1711">
        <f t="shared" si="3"/>
        <v>0.83769218295324677</v>
      </c>
    </row>
    <row r="49" spans="3:67" x14ac:dyDescent="0.25">
      <c r="C49" s="246" t="s">
        <v>1399</v>
      </c>
      <c r="D49" s="246">
        <v>1</v>
      </c>
      <c r="E49" s="246">
        <v>2</v>
      </c>
      <c r="F49" s="246">
        <v>3</v>
      </c>
      <c r="G49" s="246">
        <v>10</v>
      </c>
      <c r="H49" s="246">
        <v>14</v>
      </c>
      <c r="I49" s="246"/>
      <c r="J49" s="246"/>
      <c r="K49" s="246"/>
      <c r="L49" s="246"/>
      <c r="M49" s="246"/>
      <c r="N49" s="246"/>
      <c r="O49" s="246"/>
      <c r="P49" s="246"/>
      <c r="Q49" s="246"/>
      <c r="R49" s="246">
        <f>IFERROR(VLOOKUP(D49,PROGRAMAS[],2,FALSE),0)</f>
        <v>97037803.679377079</v>
      </c>
      <c r="S49" s="246">
        <f>IFERROR(VLOOKUP(E49,PROGRAMAS[],2,FALSE),0)</f>
        <v>640501509.6821388</v>
      </c>
      <c r="T49" s="246">
        <f>IFERROR(VLOOKUP(F49,PROGRAMAS[],2,FALSE),0)</f>
        <v>3062327798.1525245</v>
      </c>
      <c r="U49" s="246">
        <f>IFERROR(VLOOKUP(G49,PROGRAMAS[],2,FALSE),0)</f>
        <v>4635315027.8751087</v>
      </c>
      <c r="V49" s="246">
        <f>IFERROR(VLOOKUP(H49,PROGRAMAS[],2,FALSE),0)</f>
        <v>54223862.645839565</v>
      </c>
      <c r="W49" s="246">
        <f>IFERROR(VLOOKUP(I49,PROGRAMAS[],2,FALSE),0)</f>
        <v>0</v>
      </c>
      <c r="X49" s="246">
        <f>IFERROR(VLOOKUP(J49,PROGRAMAS[],2,FALSE),0)</f>
        <v>0</v>
      </c>
      <c r="Y49" s="246">
        <f>IFERROR(VLOOKUP(K49,PROGRAMAS[],2,FALSE),0)</f>
        <v>0</v>
      </c>
      <c r="Z49" s="246">
        <f>IFERROR(VLOOKUP(L49,PROGRAMAS[],2,FALSE),0)</f>
        <v>0</v>
      </c>
      <c r="AA49" s="246">
        <f>IFERROR(VLOOKUP(M49,PROGRAMAS[],2,FALSE),0)</f>
        <v>0</v>
      </c>
      <c r="AB49" s="246">
        <f>IFERROR(VLOOKUP(N49,PROGRAMAS[],2,FALSE),0)</f>
        <v>0</v>
      </c>
      <c r="AC49" s="246">
        <f>IFERROR(VLOOKUP(O49,PROGRAMAS[],2,FALSE),0)</f>
        <v>0</v>
      </c>
      <c r="AD49" s="246">
        <f>IFERROR(VLOOKUP(P49,PROGRAMAS[],2,FALSE),0)</f>
        <v>0</v>
      </c>
      <c r="AE49" s="246">
        <f>IFERROR(VLOOKUP(Q49,PROGRAMAS[],2,FALSE),0)</f>
        <v>0</v>
      </c>
      <c r="AF49" s="246">
        <f>IFERROR(VLOOKUP(D49,PROGRAMAS[],3,FALSE),0)</f>
        <v>841888629.31080008</v>
      </c>
      <c r="AG49" s="246">
        <f>IFERROR(VLOOKUP(E49,PROGRAMAS[],3,FALSE),0)</f>
        <v>3848980803.1642323</v>
      </c>
      <c r="AH49" s="246">
        <f>IFERROR(VLOOKUP(F49,PROGRAMAS[],3,FALSE),0)</f>
        <v>3394901471.387517</v>
      </c>
      <c r="AI49" s="246">
        <f>IFERROR(VLOOKUP(G49,PROGRAMAS[],3,FALSE),0)</f>
        <v>4099471734.9978786</v>
      </c>
      <c r="AJ49" s="246">
        <f>IFERROR(VLOOKUP(H49,PROGRAMAS[],3,FALSE),0)</f>
        <v>31865326.38096505</v>
      </c>
      <c r="AK49" s="246">
        <f>IFERROR(VLOOKUP(I49,PROGRAMAS[],3,FALSE),0)</f>
        <v>0</v>
      </c>
      <c r="AL49" s="246">
        <f>IFERROR(VLOOKUP(J49,PROGRAMAS[],3,FALSE),0)</f>
        <v>0</v>
      </c>
      <c r="AM49" s="246">
        <f>IFERROR(VLOOKUP(K49,PROGRAMAS[],3,FALSE),0)</f>
        <v>0</v>
      </c>
      <c r="AN49" s="246">
        <f>IFERROR(VLOOKUP(L49,PROGRAMAS[],3,FALSE),0)</f>
        <v>0</v>
      </c>
      <c r="AO49" s="246">
        <f>IFERROR(VLOOKUP(M49,PROGRAMAS[],3,FALSE),0)</f>
        <v>0</v>
      </c>
      <c r="AP49" s="246">
        <f>IFERROR(VLOOKUP(N49,PROGRAMAS[],3,FALSE),0)</f>
        <v>0</v>
      </c>
      <c r="AQ49" s="246">
        <f>IFERROR(VLOOKUP(O49,PROGRAMAS[],3,FALSE),0)</f>
        <v>0</v>
      </c>
      <c r="AR49" s="246">
        <f>IFERROR(VLOOKUP(P49,PROGRAMAS[],3,FALSE),0)</f>
        <v>0</v>
      </c>
      <c r="AS49" s="246">
        <f>IFERROR(VLOOKUP(Q49,PROGRAMAS[],3,FALSE),0)</f>
        <v>0</v>
      </c>
      <c r="AT49" s="246">
        <f>IFERROR(VLOOKUP(D49,VOL_REC[],2,FALSE),0)</f>
        <v>0</v>
      </c>
      <c r="AU49" s="246">
        <f>IFERROR(VLOOKUP(E49,VOL_REC[],2,FALSE),0)</f>
        <v>0</v>
      </c>
      <c r="AV49" s="246">
        <f>IFERROR(VLOOKUP(F49,VOL_REC[],2,FALSE),0)</f>
        <v>11089674.200000001</v>
      </c>
      <c r="AW49" s="246">
        <f>IFERROR(VLOOKUP(G49,VOL_REC[],2,FALSE),0)</f>
        <v>1812240</v>
      </c>
      <c r="AX49" s="246">
        <f>IFERROR(VLOOKUP(H49,VOL_REC[],2,FALSE),0)</f>
        <v>17074.045034105649</v>
      </c>
      <c r="AY49" s="246">
        <f>IFERROR(VLOOKUP(I49,VOL_REC[],2,FALSE),0)</f>
        <v>0</v>
      </c>
      <c r="AZ49" s="246">
        <f>IFERROR(VLOOKUP(J49,VOL_REC[],2,FALSE),0)</f>
        <v>0</v>
      </c>
      <c r="BA49" s="246">
        <f>IFERROR(VLOOKUP(K49,VOL_REC[],2,FALSE),0)</f>
        <v>0</v>
      </c>
      <c r="BB49" s="246">
        <f>IFERROR(VLOOKUP(L49,VOL_REC[],2,FALSE),0)</f>
        <v>0</v>
      </c>
      <c r="BC49" s="246">
        <f>IFERROR(VLOOKUP(M49,VOL_REC[],2,FALSE),0)</f>
        <v>0</v>
      </c>
      <c r="BD49" s="246">
        <f>IFERROR(VLOOKUP(N49,VOL_REC[],2,FALSE),0)</f>
        <v>0</v>
      </c>
      <c r="BE49" s="246">
        <f>IFERROR(VLOOKUP(O49,VOL_REC[],2,FALSE),0)</f>
        <v>0</v>
      </c>
      <c r="BF49" s="246">
        <f>IFERROR(VLOOKUP(P49,VOL_REC[],2,FALSE),0)</f>
        <v>0</v>
      </c>
      <c r="BG49" s="246">
        <f>IFERROR(VLOOKUP(Q49,VOL_REC[],2,FALSE),0)</f>
        <v>0</v>
      </c>
      <c r="BH49" s="1710">
        <f t="shared" si="0"/>
        <v>8489406002.0349884</v>
      </c>
      <c r="BI49" s="1710">
        <f t="shared" si="1"/>
        <v>12217107965.241392</v>
      </c>
      <c r="BJ49" s="1711">
        <f t="shared" si="2"/>
        <v>12918988.245034106</v>
      </c>
      <c r="BK49" s="1711">
        <f t="shared" si="3"/>
        <v>0.69487852822353691</v>
      </c>
    </row>
    <row r="50" spans="3:67" x14ac:dyDescent="0.25">
      <c r="C50" s="246" t="s">
        <v>1400</v>
      </c>
      <c r="D50" s="246">
        <v>1</v>
      </c>
      <c r="E50" s="246">
        <v>2</v>
      </c>
      <c r="F50" s="246">
        <v>3</v>
      </c>
      <c r="G50" s="246">
        <v>10</v>
      </c>
      <c r="H50" s="246">
        <v>15</v>
      </c>
      <c r="I50" s="246"/>
      <c r="J50" s="246"/>
      <c r="K50" s="246"/>
      <c r="L50" s="246"/>
      <c r="M50" s="246"/>
      <c r="N50" s="246"/>
      <c r="O50" s="246"/>
      <c r="P50" s="246"/>
      <c r="Q50" s="246"/>
      <c r="R50" s="246">
        <f>IFERROR(VLOOKUP(D50,PROGRAMAS[],2,FALSE),0)</f>
        <v>97037803.679377079</v>
      </c>
      <c r="S50" s="246">
        <f>IFERROR(VLOOKUP(E50,PROGRAMAS[],2,FALSE),0)</f>
        <v>640501509.6821388</v>
      </c>
      <c r="T50" s="246">
        <f>IFERROR(VLOOKUP(F50,PROGRAMAS[],2,FALSE),0)</f>
        <v>3062327798.1525245</v>
      </c>
      <c r="U50" s="246">
        <f>IFERROR(VLOOKUP(G50,PROGRAMAS[],2,FALSE),0)</f>
        <v>4635315027.8751087</v>
      </c>
      <c r="V50" s="246">
        <f>IFERROR(VLOOKUP(H50,PROGRAMAS[],2,FALSE),0)</f>
        <v>122159672.96346797</v>
      </c>
      <c r="W50" s="246">
        <f>IFERROR(VLOOKUP(I50,PROGRAMAS[],2,FALSE),0)</f>
        <v>0</v>
      </c>
      <c r="X50" s="246">
        <f>IFERROR(VLOOKUP(J50,PROGRAMAS[],2,FALSE),0)</f>
        <v>0</v>
      </c>
      <c r="Y50" s="246">
        <f>IFERROR(VLOOKUP(K50,PROGRAMAS[],2,FALSE),0)</f>
        <v>0</v>
      </c>
      <c r="Z50" s="246">
        <f>IFERROR(VLOOKUP(L50,PROGRAMAS[],2,FALSE),0)</f>
        <v>0</v>
      </c>
      <c r="AA50" s="246">
        <f>IFERROR(VLOOKUP(M50,PROGRAMAS[],2,FALSE),0)</f>
        <v>0</v>
      </c>
      <c r="AB50" s="246">
        <f>IFERROR(VLOOKUP(N50,PROGRAMAS[],2,FALSE),0)</f>
        <v>0</v>
      </c>
      <c r="AC50" s="246">
        <f>IFERROR(VLOOKUP(O50,PROGRAMAS[],2,FALSE),0)</f>
        <v>0</v>
      </c>
      <c r="AD50" s="246">
        <f>IFERROR(VLOOKUP(P50,PROGRAMAS[],2,FALSE),0)</f>
        <v>0</v>
      </c>
      <c r="AE50" s="246">
        <f>IFERROR(VLOOKUP(Q50,PROGRAMAS[],2,FALSE),0)</f>
        <v>0</v>
      </c>
      <c r="AF50" s="246">
        <f>IFERROR(VLOOKUP(D50,PROGRAMAS[],3,FALSE),0)</f>
        <v>841888629.31080008</v>
      </c>
      <c r="AG50" s="246">
        <f>IFERROR(VLOOKUP(E50,PROGRAMAS[],3,FALSE),0)</f>
        <v>3848980803.1642323</v>
      </c>
      <c r="AH50" s="246">
        <f>IFERROR(VLOOKUP(F50,PROGRAMAS[],3,FALSE),0)</f>
        <v>3394901471.387517</v>
      </c>
      <c r="AI50" s="246">
        <f>IFERROR(VLOOKUP(G50,PROGRAMAS[],3,FALSE),0)</f>
        <v>4099471734.9978786</v>
      </c>
      <c r="AJ50" s="246">
        <f>IFERROR(VLOOKUP(H50,PROGRAMAS[],3,FALSE),0)</f>
        <v>118617452.52510804</v>
      </c>
      <c r="AK50" s="246">
        <f>IFERROR(VLOOKUP(I50,PROGRAMAS[],3,FALSE),0)</f>
        <v>0</v>
      </c>
      <c r="AL50" s="246">
        <f>IFERROR(VLOOKUP(J50,PROGRAMAS[],3,FALSE),0)</f>
        <v>0</v>
      </c>
      <c r="AM50" s="246">
        <f>IFERROR(VLOOKUP(K50,PROGRAMAS[],3,FALSE),0)</f>
        <v>0</v>
      </c>
      <c r="AN50" s="246">
        <f>IFERROR(VLOOKUP(L50,PROGRAMAS[],3,FALSE),0)</f>
        <v>0</v>
      </c>
      <c r="AO50" s="246">
        <f>IFERROR(VLOOKUP(M50,PROGRAMAS[],3,FALSE),0)</f>
        <v>0</v>
      </c>
      <c r="AP50" s="246">
        <f>IFERROR(VLOOKUP(N50,PROGRAMAS[],3,FALSE),0)</f>
        <v>0</v>
      </c>
      <c r="AQ50" s="246">
        <f>IFERROR(VLOOKUP(O50,PROGRAMAS[],3,FALSE),0)</f>
        <v>0</v>
      </c>
      <c r="AR50" s="246">
        <f>IFERROR(VLOOKUP(P50,PROGRAMAS[],3,FALSE),0)</f>
        <v>0</v>
      </c>
      <c r="AS50" s="246">
        <f>IFERROR(VLOOKUP(Q50,PROGRAMAS[],3,FALSE),0)</f>
        <v>0</v>
      </c>
      <c r="AT50" s="246">
        <f>IFERROR(VLOOKUP(D50,VOL_REC[],2,FALSE),0)</f>
        <v>0</v>
      </c>
      <c r="AU50" s="246">
        <f>IFERROR(VLOOKUP(E50,VOL_REC[],2,FALSE),0)</f>
        <v>0</v>
      </c>
      <c r="AV50" s="246">
        <f>IFERROR(VLOOKUP(F50,VOL_REC[],2,FALSE),0)</f>
        <v>11089674.200000001</v>
      </c>
      <c r="AW50" s="246">
        <f>IFERROR(VLOOKUP(G50,VOL_REC[],2,FALSE),0)</f>
        <v>1812240</v>
      </c>
      <c r="AX50" s="246">
        <f>IFERROR(VLOOKUP(H50,VOL_REC[],2,FALSE),0)</f>
        <v>105072</v>
      </c>
      <c r="AY50" s="246">
        <f>IFERROR(VLOOKUP(I50,VOL_REC[],2,FALSE),0)</f>
        <v>0</v>
      </c>
      <c r="AZ50" s="246">
        <f>IFERROR(VLOOKUP(J50,VOL_REC[],2,FALSE),0)</f>
        <v>0</v>
      </c>
      <c r="BA50" s="246">
        <f>IFERROR(VLOOKUP(K50,VOL_REC[],2,FALSE),0)</f>
        <v>0</v>
      </c>
      <c r="BB50" s="246">
        <f>IFERROR(VLOOKUP(L50,VOL_REC[],2,FALSE),0)</f>
        <v>0</v>
      </c>
      <c r="BC50" s="246">
        <f>IFERROR(VLOOKUP(M50,VOL_REC[],2,FALSE),0)</f>
        <v>0</v>
      </c>
      <c r="BD50" s="246">
        <f>IFERROR(VLOOKUP(N50,VOL_REC[],2,FALSE),0)</f>
        <v>0</v>
      </c>
      <c r="BE50" s="246">
        <f>IFERROR(VLOOKUP(O50,VOL_REC[],2,FALSE),0)</f>
        <v>0</v>
      </c>
      <c r="BF50" s="246">
        <f>IFERROR(VLOOKUP(P50,VOL_REC[],2,FALSE),0)</f>
        <v>0</v>
      </c>
      <c r="BG50" s="246">
        <f>IFERROR(VLOOKUP(Q50,VOL_REC[],2,FALSE),0)</f>
        <v>0</v>
      </c>
      <c r="BH50" s="1710">
        <f t="shared" si="0"/>
        <v>8557341812.3526163</v>
      </c>
      <c r="BI50" s="1710">
        <f t="shared" si="1"/>
        <v>12303860091.385536</v>
      </c>
      <c r="BJ50" s="1711">
        <f t="shared" si="2"/>
        <v>13006986.200000001</v>
      </c>
      <c r="BK50" s="1711">
        <f t="shared" si="3"/>
        <v>0.6955005785821623</v>
      </c>
    </row>
    <row r="51" spans="3:67" x14ac:dyDescent="0.25">
      <c r="C51" s="246" t="s">
        <v>1401</v>
      </c>
      <c r="D51" s="246">
        <v>1</v>
      </c>
      <c r="E51" s="246">
        <v>2</v>
      </c>
      <c r="F51" s="246">
        <v>3</v>
      </c>
      <c r="G51" s="246">
        <v>10</v>
      </c>
      <c r="H51" s="246">
        <v>16</v>
      </c>
      <c r="I51" s="246"/>
      <c r="J51" s="246"/>
      <c r="K51" s="246"/>
      <c r="L51" s="246"/>
      <c r="M51" s="246"/>
      <c r="N51" s="246"/>
      <c r="O51" s="246"/>
      <c r="P51" s="246"/>
      <c r="Q51" s="246"/>
      <c r="R51" s="246">
        <f>IFERROR(VLOOKUP(D51,PROGRAMAS[],2,FALSE),0)</f>
        <v>97037803.679377079</v>
      </c>
      <c r="S51" s="246">
        <f>IFERROR(VLOOKUP(E51,PROGRAMAS[],2,FALSE),0)</f>
        <v>640501509.6821388</v>
      </c>
      <c r="T51" s="246">
        <f>IFERROR(VLOOKUP(F51,PROGRAMAS[],2,FALSE),0)</f>
        <v>3062327798.1525245</v>
      </c>
      <c r="U51" s="246">
        <f>IFERROR(VLOOKUP(G51,PROGRAMAS[],2,FALSE),0)</f>
        <v>4635315027.8751087</v>
      </c>
      <c r="V51" s="246">
        <f>IFERROR(VLOOKUP(H51,PROGRAMAS[],2,FALSE),0)</f>
        <v>7068496961.0436354</v>
      </c>
      <c r="W51" s="246">
        <f>IFERROR(VLOOKUP(I51,PROGRAMAS[],2,FALSE),0)</f>
        <v>0</v>
      </c>
      <c r="X51" s="246">
        <f>IFERROR(VLOOKUP(J51,PROGRAMAS[],2,FALSE),0)</f>
        <v>0</v>
      </c>
      <c r="Y51" s="246">
        <f>IFERROR(VLOOKUP(K51,PROGRAMAS[],2,FALSE),0)</f>
        <v>0</v>
      </c>
      <c r="Z51" s="246">
        <f>IFERROR(VLOOKUP(L51,PROGRAMAS[],2,FALSE),0)</f>
        <v>0</v>
      </c>
      <c r="AA51" s="246">
        <f>IFERROR(VLOOKUP(M51,PROGRAMAS[],2,FALSE),0)</f>
        <v>0</v>
      </c>
      <c r="AB51" s="246">
        <f>IFERROR(VLOOKUP(N51,PROGRAMAS[],2,FALSE),0)</f>
        <v>0</v>
      </c>
      <c r="AC51" s="246">
        <f>IFERROR(VLOOKUP(O51,PROGRAMAS[],2,FALSE),0)</f>
        <v>0</v>
      </c>
      <c r="AD51" s="246">
        <f>IFERROR(VLOOKUP(P51,PROGRAMAS[],2,FALSE),0)</f>
        <v>0</v>
      </c>
      <c r="AE51" s="246">
        <f>IFERROR(VLOOKUP(Q51,PROGRAMAS[],2,FALSE),0)</f>
        <v>0</v>
      </c>
      <c r="AF51" s="246">
        <f>IFERROR(VLOOKUP(D51,PROGRAMAS[],3,FALSE),0)</f>
        <v>841888629.31080008</v>
      </c>
      <c r="AG51" s="246">
        <f>IFERROR(VLOOKUP(E51,PROGRAMAS[],3,FALSE),0)</f>
        <v>3848980803.1642323</v>
      </c>
      <c r="AH51" s="246">
        <f>IFERROR(VLOOKUP(F51,PROGRAMAS[],3,FALSE),0)</f>
        <v>3394901471.387517</v>
      </c>
      <c r="AI51" s="246">
        <f>IFERROR(VLOOKUP(G51,PROGRAMAS[],3,FALSE),0)</f>
        <v>4099471734.9978786</v>
      </c>
      <c r="AJ51" s="246">
        <f>IFERROR(VLOOKUP(H51,PROGRAMAS[],3,FALSE),0)</f>
        <v>2406564599.0319901</v>
      </c>
      <c r="AK51" s="246">
        <f>IFERROR(VLOOKUP(I51,PROGRAMAS[],3,FALSE),0)</f>
        <v>0</v>
      </c>
      <c r="AL51" s="246">
        <f>IFERROR(VLOOKUP(J51,PROGRAMAS[],3,FALSE),0)</f>
        <v>0</v>
      </c>
      <c r="AM51" s="246">
        <f>IFERROR(VLOOKUP(K51,PROGRAMAS[],3,FALSE),0)</f>
        <v>0</v>
      </c>
      <c r="AN51" s="246">
        <f>IFERROR(VLOOKUP(L51,PROGRAMAS[],3,FALSE),0)</f>
        <v>0</v>
      </c>
      <c r="AO51" s="246">
        <f>IFERROR(VLOOKUP(M51,PROGRAMAS[],3,FALSE),0)</f>
        <v>0</v>
      </c>
      <c r="AP51" s="246">
        <f>IFERROR(VLOOKUP(N51,PROGRAMAS[],3,FALSE),0)</f>
        <v>0</v>
      </c>
      <c r="AQ51" s="246">
        <f>IFERROR(VLOOKUP(O51,PROGRAMAS[],3,FALSE),0)</f>
        <v>0</v>
      </c>
      <c r="AR51" s="246">
        <f>IFERROR(VLOOKUP(P51,PROGRAMAS[],3,FALSE),0)</f>
        <v>0</v>
      </c>
      <c r="AS51" s="246">
        <f>IFERROR(VLOOKUP(Q51,PROGRAMAS[],3,FALSE),0)</f>
        <v>0</v>
      </c>
      <c r="AT51" s="246">
        <f>IFERROR(VLOOKUP(D51,VOL_REC[],2,FALSE),0)</f>
        <v>0</v>
      </c>
      <c r="AU51" s="246">
        <f>IFERROR(VLOOKUP(E51,VOL_REC[],2,FALSE),0)</f>
        <v>0</v>
      </c>
      <c r="AV51" s="246">
        <f>IFERROR(VLOOKUP(F51,VOL_REC[],2,FALSE),0)</f>
        <v>11089674.200000001</v>
      </c>
      <c r="AW51" s="246">
        <f>IFERROR(VLOOKUP(G51,VOL_REC[],2,FALSE),0)</f>
        <v>1812240</v>
      </c>
      <c r="AX51" s="246">
        <f>IFERROR(VLOOKUP(H51,VOL_REC[],2,FALSE),0)</f>
        <v>1072354.9981737854</v>
      </c>
      <c r="AY51" s="246">
        <f>IFERROR(VLOOKUP(I51,VOL_REC[],2,FALSE),0)</f>
        <v>0</v>
      </c>
      <c r="AZ51" s="246">
        <f>IFERROR(VLOOKUP(J51,VOL_REC[],2,FALSE),0)</f>
        <v>0</v>
      </c>
      <c r="BA51" s="246">
        <f>IFERROR(VLOOKUP(K51,VOL_REC[],2,FALSE),0)</f>
        <v>0</v>
      </c>
      <c r="BB51" s="246">
        <f>IFERROR(VLOOKUP(L51,VOL_REC[],2,FALSE),0)</f>
        <v>0</v>
      </c>
      <c r="BC51" s="246">
        <f>IFERROR(VLOOKUP(M51,VOL_REC[],2,FALSE),0)</f>
        <v>0</v>
      </c>
      <c r="BD51" s="246">
        <f>IFERROR(VLOOKUP(N51,VOL_REC[],2,FALSE),0)</f>
        <v>0</v>
      </c>
      <c r="BE51" s="246">
        <f>IFERROR(VLOOKUP(O51,VOL_REC[],2,FALSE),0)</f>
        <v>0</v>
      </c>
      <c r="BF51" s="246">
        <f>IFERROR(VLOOKUP(P51,VOL_REC[],2,FALSE),0)</f>
        <v>0</v>
      </c>
      <c r="BG51" s="246">
        <f>IFERROR(VLOOKUP(Q51,VOL_REC[],2,FALSE),0)</f>
        <v>0</v>
      </c>
      <c r="BH51" s="1710">
        <f t="shared" si="0"/>
        <v>15503679100.432785</v>
      </c>
      <c r="BI51" s="1710">
        <f t="shared" si="1"/>
        <v>14591807237.892418</v>
      </c>
      <c r="BJ51" s="1711">
        <f t="shared" si="2"/>
        <v>13974269.198173787</v>
      </c>
      <c r="BK51" s="1711">
        <f t="shared" si="3"/>
        <v>1.0624920441775294</v>
      </c>
      <c r="BL51">
        <f>BJ51</f>
        <v>13974269.198173787</v>
      </c>
      <c r="BO51">
        <f>BL51</f>
        <v>13974269.198173787</v>
      </c>
    </row>
    <row r="52" spans="3:67" x14ac:dyDescent="0.25">
      <c r="C52" s="246" t="s">
        <v>1402</v>
      </c>
      <c r="D52" s="246">
        <v>1</v>
      </c>
      <c r="E52" s="246">
        <v>2</v>
      </c>
      <c r="F52" s="246">
        <v>3</v>
      </c>
      <c r="G52" s="246">
        <v>10</v>
      </c>
      <c r="H52" s="246">
        <v>17</v>
      </c>
      <c r="I52" s="246"/>
      <c r="J52" s="246"/>
      <c r="K52" s="246"/>
      <c r="L52" s="246"/>
      <c r="M52" s="246"/>
      <c r="N52" s="246"/>
      <c r="O52" s="246"/>
      <c r="P52" s="246"/>
      <c r="Q52" s="246"/>
      <c r="R52" s="246">
        <f>IFERROR(VLOOKUP(D52,PROGRAMAS[],2,FALSE),0)</f>
        <v>97037803.679377079</v>
      </c>
      <c r="S52" s="246">
        <f>IFERROR(VLOOKUP(E52,PROGRAMAS[],2,FALSE),0)</f>
        <v>640501509.6821388</v>
      </c>
      <c r="T52" s="246">
        <f>IFERROR(VLOOKUP(F52,PROGRAMAS[],2,FALSE),0)</f>
        <v>3062327798.1525245</v>
      </c>
      <c r="U52" s="246">
        <f>IFERROR(VLOOKUP(G52,PROGRAMAS[],2,FALSE),0)</f>
        <v>4635315027.8751087</v>
      </c>
      <c r="V52" s="246">
        <f>IFERROR(VLOOKUP(H52,PROGRAMAS[],2,FALSE),0)</f>
        <v>1892779498.5211046</v>
      </c>
      <c r="W52" s="246">
        <f>IFERROR(VLOOKUP(I52,PROGRAMAS[],2,FALSE),0)</f>
        <v>0</v>
      </c>
      <c r="X52" s="246">
        <f>IFERROR(VLOOKUP(J52,PROGRAMAS[],2,FALSE),0)</f>
        <v>0</v>
      </c>
      <c r="Y52" s="246">
        <f>IFERROR(VLOOKUP(K52,PROGRAMAS[],2,FALSE),0)</f>
        <v>0</v>
      </c>
      <c r="Z52" s="246">
        <f>IFERROR(VLOOKUP(L52,PROGRAMAS[],2,FALSE),0)</f>
        <v>0</v>
      </c>
      <c r="AA52" s="246">
        <f>IFERROR(VLOOKUP(M52,PROGRAMAS[],2,FALSE),0)</f>
        <v>0</v>
      </c>
      <c r="AB52" s="246">
        <f>IFERROR(VLOOKUP(N52,PROGRAMAS[],2,FALSE),0)</f>
        <v>0</v>
      </c>
      <c r="AC52" s="246">
        <f>IFERROR(VLOOKUP(O52,PROGRAMAS[],2,FALSE),0)</f>
        <v>0</v>
      </c>
      <c r="AD52" s="246">
        <f>IFERROR(VLOOKUP(P52,PROGRAMAS[],2,FALSE),0)</f>
        <v>0</v>
      </c>
      <c r="AE52" s="246">
        <f>IFERROR(VLOOKUP(Q52,PROGRAMAS[],2,FALSE),0)</f>
        <v>0</v>
      </c>
      <c r="AF52" s="246">
        <f>IFERROR(VLOOKUP(D52,PROGRAMAS[],3,FALSE),0)</f>
        <v>841888629.31080008</v>
      </c>
      <c r="AG52" s="246">
        <f>IFERROR(VLOOKUP(E52,PROGRAMAS[],3,FALSE),0)</f>
        <v>3848980803.1642323</v>
      </c>
      <c r="AH52" s="246">
        <f>IFERROR(VLOOKUP(F52,PROGRAMAS[],3,FALSE),0)</f>
        <v>3394901471.387517</v>
      </c>
      <c r="AI52" s="246">
        <f>IFERROR(VLOOKUP(G52,PROGRAMAS[],3,FALSE),0)</f>
        <v>4099471734.9978786</v>
      </c>
      <c r="AJ52" s="246">
        <f>IFERROR(VLOOKUP(H52,PROGRAMAS[],3,FALSE),0)</f>
        <v>948595847.09039903</v>
      </c>
      <c r="AK52" s="246">
        <f>IFERROR(VLOOKUP(I52,PROGRAMAS[],3,FALSE),0)</f>
        <v>0</v>
      </c>
      <c r="AL52" s="246">
        <f>IFERROR(VLOOKUP(J52,PROGRAMAS[],3,FALSE),0)</f>
        <v>0</v>
      </c>
      <c r="AM52" s="246">
        <f>IFERROR(VLOOKUP(K52,PROGRAMAS[],3,FALSE),0)</f>
        <v>0</v>
      </c>
      <c r="AN52" s="246">
        <f>IFERROR(VLOOKUP(L52,PROGRAMAS[],3,FALSE),0)</f>
        <v>0</v>
      </c>
      <c r="AO52" s="246">
        <f>IFERROR(VLOOKUP(M52,PROGRAMAS[],3,FALSE),0)</f>
        <v>0</v>
      </c>
      <c r="AP52" s="246">
        <f>IFERROR(VLOOKUP(N52,PROGRAMAS[],3,FALSE),0)</f>
        <v>0</v>
      </c>
      <c r="AQ52" s="246">
        <f>IFERROR(VLOOKUP(O52,PROGRAMAS[],3,FALSE),0)</f>
        <v>0</v>
      </c>
      <c r="AR52" s="246">
        <f>IFERROR(VLOOKUP(P52,PROGRAMAS[],3,FALSE),0)</f>
        <v>0</v>
      </c>
      <c r="AS52" s="246">
        <f>IFERROR(VLOOKUP(Q52,PROGRAMAS[],3,FALSE),0)</f>
        <v>0</v>
      </c>
      <c r="AT52" s="246">
        <f>IFERROR(VLOOKUP(D52,VOL_REC[],2,FALSE),0)</f>
        <v>0</v>
      </c>
      <c r="AU52" s="246">
        <f>IFERROR(VLOOKUP(E52,VOL_REC[],2,FALSE),0)</f>
        <v>0</v>
      </c>
      <c r="AV52" s="246">
        <f>IFERROR(VLOOKUP(F52,VOL_REC[],2,FALSE),0)</f>
        <v>11089674.200000001</v>
      </c>
      <c r="AW52" s="246">
        <f>IFERROR(VLOOKUP(G52,VOL_REC[],2,FALSE),0)</f>
        <v>1812240</v>
      </c>
      <c r="AX52" s="246">
        <f>IFERROR(VLOOKUP(H52,VOL_REC[],2,FALSE),0)</f>
        <v>740113.98115702497</v>
      </c>
      <c r="AY52" s="246">
        <f>IFERROR(VLOOKUP(I52,VOL_REC[],2,FALSE),0)</f>
        <v>0</v>
      </c>
      <c r="AZ52" s="246">
        <f>IFERROR(VLOOKUP(J52,VOL_REC[],2,FALSE),0)</f>
        <v>0</v>
      </c>
      <c r="BA52" s="246">
        <f>IFERROR(VLOOKUP(K52,VOL_REC[],2,FALSE),0)</f>
        <v>0</v>
      </c>
      <c r="BB52" s="246">
        <f>IFERROR(VLOOKUP(L52,VOL_REC[],2,FALSE),0)</f>
        <v>0</v>
      </c>
      <c r="BC52" s="246">
        <f>IFERROR(VLOOKUP(M52,VOL_REC[],2,FALSE),0)</f>
        <v>0</v>
      </c>
      <c r="BD52" s="246">
        <f>IFERROR(VLOOKUP(N52,VOL_REC[],2,FALSE),0)</f>
        <v>0</v>
      </c>
      <c r="BE52" s="246">
        <f>IFERROR(VLOOKUP(O52,VOL_REC[],2,FALSE),0)</f>
        <v>0</v>
      </c>
      <c r="BF52" s="246">
        <f>IFERROR(VLOOKUP(P52,VOL_REC[],2,FALSE),0)</f>
        <v>0</v>
      </c>
      <c r="BG52" s="246">
        <f>IFERROR(VLOOKUP(Q52,VOL_REC[],2,FALSE),0)</f>
        <v>0</v>
      </c>
      <c r="BH52" s="1710">
        <f t="shared" si="0"/>
        <v>10327961637.910254</v>
      </c>
      <c r="BI52" s="1710">
        <f t="shared" si="1"/>
        <v>13133838485.950827</v>
      </c>
      <c r="BJ52" s="1711">
        <f t="shared" si="2"/>
        <v>13642028.181157026</v>
      </c>
      <c r="BK52" s="1711">
        <f t="shared" si="3"/>
        <v>0.786362771931298</v>
      </c>
    </row>
    <row r="53" spans="3:67" x14ac:dyDescent="0.25">
      <c r="C53" s="246" t="s">
        <v>1403</v>
      </c>
      <c r="D53" s="246">
        <v>1</v>
      </c>
      <c r="E53" s="246">
        <v>2</v>
      </c>
      <c r="F53" s="246">
        <v>3</v>
      </c>
      <c r="G53" s="246">
        <v>12</v>
      </c>
      <c r="H53" s="246">
        <v>13</v>
      </c>
      <c r="I53" s="246"/>
      <c r="J53" s="246"/>
      <c r="K53" s="246"/>
      <c r="L53" s="246"/>
      <c r="M53" s="246"/>
      <c r="N53" s="246"/>
      <c r="O53" s="246"/>
      <c r="P53" s="246"/>
      <c r="Q53" s="246"/>
      <c r="R53" s="246">
        <f>IFERROR(VLOOKUP(D53,PROGRAMAS[],2,FALSE),0)</f>
        <v>97037803.679377079</v>
      </c>
      <c r="S53" s="246">
        <f>IFERROR(VLOOKUP(E53,PROGRAMAS[],2,FALSE),0)</f>
        <v>640501509.6821388</v>
      </c>
      <c r="T53" s="246">
        <f>IFERROR(VLOOKUP(F53,PROGRAMAS[],2,FALSE),0)</f>
        <v>3062327798.1525245</v>
      </c>
      <c r="U53" s="246">
        <f>IFERROR(VLOOKUP(G53,PROGRAMAS[],2,FALSE),0)</f>
        <v>764796700.79905891</v>
      </c>
      <c r="V53" s="246">
        <f>IFERROR(VLOOKUP(H53,PROGRAMAS[],2,FALSE),0)</f>
        <v>3776538594.4604583</v>
      </c>
      <c r="W53" s="246">
        <f>IFERROR(VLOOKUP(I53,PROGRAMAS[],2,FALSE),0)</f>
        <v>0</v>
      </c>
      <c r="X53" s="246">
        <f>IFERROR(VLOOKUP(J53,PROGRAMAS[],2,FALSE),0)</f>
        <v>0</v>
      </c>
      <c r="Y53" s="246">
        <f>IFERROR(VLOOKUP(K53,PROGRAMAS[],2,FALSE),0)</f>
        <v>0</v>
      </c>
      <c r="Z53" s="246">
        <f>IFERROR(VLOOKUP(L53,PROGRAMAS[],2,FALSE),0)</f>
        <v>0</v>
      </c>
      <c r="AA53" s="246">
        <f>IFERROR(VLOOKUP(M53,PROGRAMAS[],2,FALSE),0)</f>
        <v>0</v>
      </c>
      <c r="AB53" s="246">
        <f>IFERROR(VLOOKUP(N53,PROGRAMAS[],2,FALSE),0)</f>
        <v>0</v>
      </c>
      <c r="AC53" s="246">
        <f>IFERROR(VLOOKUP(O53,PROGRAMAS[],2,FALSE),0)</f>
        <v>0</v>
      </c>
      <c r="AD53" s="246">
        <f>IFERROR(VLOOKUP(P53,PROGRAMAS[],2,FALSE),0)</f>
        <v>0</v>
      </c>
      <c r="AE53" s="246">
        <f>IFERROR(VLOOKUP(Q53,PROGRAMAS[],2,FALSE),0)</f>
        <v>0</v>
      </c>
      <c r="AF53" s="246">
        <f>IFERROR(VLOOKUP(D53,PROGRAMAS[],3,FALSE),0)</f>
        <v>841888629.31080008</v>
      </c>
      <c r="AG53" s="246">
        <f>IFERROR(VLOOKUP(E53,PROGRAMAS[],3,FALSE),0)</f>
        <v>3848980803.1642323</v>
      </c>
      <c r="AH53" s="246">
        <f>IFERROR(VLOOKUP(F53,PROGRAMAS[],3,FALSE),0)</f>
        <v>3394901471.387517</v>
      </c>
      <c r="AI53" s="246">
        <f>IFERROR(VLOOKUP(G53,PROGRAMAS[],3,FALSE),0)</f>
        <v>675517840.109828</v>
      </c>
      <c r="AJ53" s="246">
        <f>IFERROR(VLOOKUP(H53,PROGRAMAS[],3,FALSE),0)</f>
        <v>2392571243.5584412</v>
      </c>
      <c r="AK53" s="246">
        <f>IFERROR(VLOOKUP(I53,PROGRAMAS[],3,FALSE),0)</f>
        <v>0</v>
      </c>
      <c r="AL53" s="246">
        <f>IFERROR(VLOOKUP(J53,PROGRAMAS[],3,FALSE),0)</f>
        <v>0</v>
      </c>
      <c r="AM53" s="246">
        <f>IFERROR(VLOOKUP(K53,PROGRAMAS[],3,FALSE),0)</f>
        <v>0</v>
      </c>
      <c r="AN53" s="246">
        <f>IFERROR(VLOOKUP(L53,PROGRAMAS[],3,FALSE),0)</f>
        <v>0</v>
      </c>
      <c r="AO53" s="246">
        <f>IFERROR(VLOOKUP(M53,PROGRAMAS[],3,FALSE),0)</f>
        <v>0</v>
      </c>
      <c r="AP53" s="246">
        <f>IFERROR(VLOOKUP(N53,PROGRAMAS[],3,FALSE),0)</f>
        <v>0</v>
      </c>
      <c r="AQ53" s="246">
        <f>IFERROR(VLOOKUP(O53,PROGRAMAS[],3,FALSE),0)</f>
        <v>0</v>
      </c>
      <c r="AR53" s="246">
        <f>IFERROR(VLOOKUP(P53,PROGRAMAS[],3,FALSE),0)</f>
        <v>0</v>
      </c>
      <c r="AS53" s="246">
        <f>IFERROR(VLOOKUP(Q53,PROGRAMAS[],3,FALSE),0)</f>
        <v>0</v>
      </c>
      <c r="AT53" s="246">
        <f>IFERROR(VLOOKUP(D53,VOL_REC[],2,FALSE),0)</f>
        <v>0</v>
      </c>
      <c r="AU53" s="246">
        <f>IFERROR(VLOOKUP(E53,VOL_REC[],2,FALSE),0)</f>
        <v>0</v>
      </c>
      <c r="AV53" s="246">
        <f>IFERROR(VLOOKUP(F53,VOL_REC[],2,FALSE),0)</f>
        <v>11089674.200000001</v>
      </c>
      <c r="AW53" s="246">
        <f>IFERROR(VLOOKUP(G53,VOL_REC[],2,FALSE),0)</f>
        <v>240696.79238099116</v>
      </c>
      <c r="AX53" s="246">
        <f>IFERROR(VLOOKUP(H53,VOL_REC[],2,FALSE),0)</f>
        <v>663244.80000000016</v>
      </c>
      <c r="AY53" s="246">
        <f>IFERROR(VLOOKUP(I53,VOL_REC[],2,FALSE),0)</f>
        <v>0</v>
      </c>
      <c r="AZ53" s="246">
        <f>IFERROR(VLOOKUP(J53,VOL_REC[],2,FALSE),0)</f>
        <v>0</v>
      </c>
      <c r="BA53" s="246">
        <f>IFERROR(VLOOKUP(K53,VOL_REC[],2,FALSE),0)</f>
        <v>0</v>
      </c>
      <c r="BB53" s="246">
        <f>IFERROR(VLOOKUP(L53,VOL_REC[],2,FALSE),0)</f>
        <v>0</v>
      </c>
      <c r="BC53" s="246">
        <f>IFERROR(VLOOKUP(M53,VOL_REC[],2,FALSE),0)</f>
        <v>0</v>
      </c>
      <c r="BD53" s="246">
        <f>IFERROR(VLOOKUP(N53,VOL_REC[],2,FALSE),0)</f>
        <v>0</v>
      </c>
      <c r="BE53" s="246">
        <f>IFERROR(VLOOKUP(O53,VOL_REC[],2,FALSE),0)</f>
        <v>0</v>
      </c>
      <c r="BF53" s="246">
        <f>IFERROR(VLOOKUP(P53,VOL_REC[],2,FALSE),0)</f>
        <v>0</v>
      </c>
      <c r="BG53" s="246">
        <f>IFERROR(VLOOKUP(Q53,VOL_REC[],2,FALSE),0)</f>
        <v>0</v>
      </c>
      <c r="BH53" s="1710">
        <f t="shared" si="0"/>
        <v>8341202406.7735577</v>
      </c>
      <c r="BI53" s="1710">
        <f t="shared" si="1"/>
        <v>11153859987.530819</v>
      </c>
      <c r="BJ53" s="1711">
        <f t="shared" si="2"/>
        <v>11993615.792380992</v>
      </c>
      <c r="BK53" s="1711">
        <f t="shared" si="3"/>
        <v>0.74783101241170302</v>
      </c>
    </row>
    <row r="54" spans="3:67" x14ac:dyDescent="0.25">
      <c r="C54" s="246" t="s">
        <v>1404</v>
      </c>
      <c r="D54" s="246">
        <v>1</v>
      </c>
      <c r="E54" s="246">
        <v>2</v>
      </c>
      <c r="F54" s="246">
        <v>3</v>
      </c>
      <c r="G54" s="246">
        <v>12</v>
      </c>
      <c r="H54" s="246">
        <v>14</v>
      </c>
      <c r="I54" s="246"/>
      <c r="J54" s="246"/>
      <c r="K54" s="246"/>
      <c r="L54" s="246"/>
      <c r="M54" s="246"/>
      <c r="N54" s="246"/>
      <c r="O54" s="246"/>
      <c r="P54" s="246"/>
      <c r="Q54" s="246"/>
      <c r="R54" s="246">
        <f>IFERROR(VLOOKUP(D54,PROGRAMAS[],2,FALSE),0)</f>
        <v>97037803.679377079</v>
      </c>
      <c r="S54" s="246">
        <f>IFERROR(VLOOKUP(E54,PROGRAMAS[],2,FALSE),0)</f>
        <v>640501509.6821388</v>
      </c>
      <c r="T54" s="246">
        <f>IFERROR(VLOOKUP(F54,PROGRAMAS[],2,FALSE),0)</f>
        <v>3062327798.1525245</v>
      </c>
      <c r="U54" s="246">
        <f>IFERROR(VLOOKUP(G54,PROGRAMAS[],2,FALSE),0)</f>
        <v>764796700.79905891</v>
      </c>
      <c r="V54" s="246">
        <f>IFERROR(VLOOKUP(H54,PROGRAMAS[],2,FALSE),0)</f>
        <v>54223862.645839565</v>
      </c>
      <c r="W54" s="246">
        <f>IFERROR(VLOOKUP(I54,PROGRAMAS[],2,FALSE),0)</f>
        <v>0</v>
      </c>
      <c r="X54" s="246">
        <f>IFERROR(VLOOKUP(J54,PROGRAMAS[],2,FALSE),0)</f>
        <v>0</v>
      </c>
      <c r="Y54" s="246">
        <f>IFERROR(VLOOKUP(K54,PROGRAMAS[],2,FALSE),0)</f>
        <v>0</v>
      </c>
      <c r="Z54" s="246">
        <f>IFERROR(VLOOKUP(L54,PROGRAMAS[],2,FALSE),0)</f>
        <v>0</v>
      </c>
      <c r="AA54" s="246">
        <f>IFERROR(VLOOKUP(M54,PROGRAMAS[],2,FALSE),0)</f>
        <v>0</v>
      </c>
      <c r="AB54" s="246">
        <f>IFERROR(VLOOKUP(N54,PROGRAMAS[],2,FALSE),0)</f>
        <v>0</v>
      </c>
      <c r="AC54" s="246">
        <f>IFERROR(VLOOKUP(O54,PROGRAMAS[],2,FALSE),0)</f>
        <v>0</v>
      </c>
      <c r="AD54" s="246">
        <f>IFERROR(VLOOKUP(P54,PROGRAMAS[],2,FALSE),0)</f>
        <v>0</v>
      </c>
      <c r="AE54" s="246">
        <f>IFERROR(VLOOKUP(Q54,PROGRAMAS[],2,FALSE),0)</f>
        <v>0</v>
      </c>
      <c r="AF54" s="246">
        <f>IFERROR(VLOOKUP(D54,PROGRAMAS[],3,FALSE),0)</f>
        <v>841888629.31080008</v>
      </c>
      <c r="AG54" s="246">
        <f>IFERROR(VLOOKUP(E54,PROGRAMAS[],3,FALSE),0)</f>
        <v>3848980803.1642323</v>
      </c>
      <c r="AH54" s="246">
        <f>IFERROR(VLOOKUP(F54,PROGRAMAS[],3,FALSE),0)</f>
        <v>3394901471.387517</v>
      </c>
      <c r="AI54" s="246">
        <f>IFERROR(VLOOKUP(G54,PROGRAMAS[],3,FALSE),0)</f>
        <v>675517840.109828</v>
      </c>
      <c r="AJ54" s="246">
        <f>IFERROR(VLOOKUP(H54,PROGRAMAS[],3,FALSE),0)</f>
        <v>31865326.38096505</v>
      </c>
      <c r="AK54" s="246">
        <f>IFERROR(VLOOKUP(I54,PROGRAMAS[],3,FALSE),0)</f>
        <v>0</v>
      </c>
      <c r="AL54" s="246">
        <f>IFERROR(VLOOKUP(J54,PROGRAMAS[],3,FALSE),0)</f>
        <v>0</v>
      </c>
      <c r="AM54" s="246">
        <f>IFERROR(VLOOKUP(K54,PROGRAMAS[],3,FALSE),0)</f>
        <v>0</v>
      </c>
      <c r="AN54" s="246">
        <f>IFERROR(VLOOKUP(L54,PROGRAMAS[],3,FALSE),0)</f>
        <v>0</v>
      </c>
      <c r="AO54" s="246">
        <f>IFERROR(VLOOKUP(M54,PROGRAMAS[],3,FALSE),0)</f>
        <v>0</v>
      </c>
      <c r="AP54" s="246">
        <f>IFERROR(VLOOKUP(N54,PROGRAMAS[],3,FALSE),0)</f>
        <v>0</v>
      </c>
      <c r="AQ54" s="246">
        <f>IFERROR(VLOOKUP(O54,PROGRAMAS[],3,FALSE),0)</f>
        <v>0</v>
      </c>
      <c r="AR54" s="246">
        <f>IFERROR(VLOOKUP(P54,PROGRAMAS[],3,FALSE),0)</f>
        <v>0</v>
      </c>
      <c r="AS54" s="246">
        <f>IFERROR(VLOOKUP(Q54,PROGRAMAS[],3,FALSE),0)</f>
        <v>0</v>
      </c>
      <c r="AT54" s="246">
        <f>IFERROR(VLOOKUP(D54,VOL_REC[],2,FALSE),0)</f>
        <v>0</v>
      </c>
      <c r="AU54" s="246">
        <f>IFERROR(VLOOKUP(E54,VOL_REC[],2,FALSE),0)</f>
        <v>0</v>
      </c>
      <c r="AV54" s="246">
        <f>IFERROR(VLOOKUP(F54,VOL_REC[],2,FALSE),0)</f>
        <v>11089674.200000001</v>
      </c>
      <c r="AW54" s="246">
        <f>IFERROR(VLOOKUP(G54,VOL_REC[],2,FALSE),0)</f>
        <v>240696.79238099116</v>
      </c>
      <c r="AX54" s="246">
        <f>IFERROR(VLOOKUP(H54,VOL_REC[],2,FALSE),0)</f>
        <v>17074.045034105649</v>
      </c>
      <c r="AY54" s="246">
        <f>IFERROR(VLOOKUP(I54,VOL_REC[],2,FALSE),0)</f>
        <v>0</v>
      </c>
      <c r="AZ54" s="246">
        <f>IFERROR(VLOOKUP(J54,VOL_REC[],2,FALSE),0)</f>
        <v>0</v>
      </c>
      <c r="BA54" s="246">
        <f>IFERROR(VLOOKUP(K54,VOL_REC[],2,FALSE),0)</f>
        <v>0</v>
      </c>
      <c r="BB54" s="246">
        <f>IFERROR(VLOOKUP(L54,VOL_REC[],2,FALSE),0)</f>
        <v>0</v>
      </c>
      <c r="BC54" s="246">
        <f>IFERROR(VLOOKUP(M54,VOL_REC[],2,FALSE),0)</f>
        <v>0</v>
      </c>
      <c r="BD54" s="246">
        <f>IFERROR(VLOOKUP(N54,VOL_REC[],2,FALSE),0)</f>
        <v>0</v>
      </c>
      <c r="BE54" s="246">
        <f>IFERROR(VLOOKUP(O54,VOL_REC[],2,FALSE),0)</f>
        <v>0</v>
      </c>
      <c r="BF54" s="246">
        <f>IFERROR(VLOOKUP(P54,VOL_REC[],2,FALSE),0)</f>
        <v>0</v>
      </c>
      <c r="BG54" s="246">
        <f>IFERROR(VLOOKUP(Q54,VOL_REC[],2,FALSE),0)</f>
        <v>0</v>
      </c>
      <c r="BH54" s="1710">
        <f t="shared" si="0"/>
        <v>4618887674.9589386</v>
      </c>
      <c r="BI54" s="1710">
        <f t="shared" si="1"/>
        <v>8793154070.3533421</v>
      </c>
      <c r="BJ54" s="1711">
        <f t="shared" si="2"/>
        <v>11347445.037415097</v>
      </c>
      <c r="BK54" s="1711">
        <f t="shared" si="3"/>
        <v>0.52528224093466092</v>
      </c>
    </row>
    <row r="55" spans="3:67" x14ac:dyDescent="0.25">
      <c r="C55" s="246" t="s">
        <v>1405</v>
      </c>
      <c r="D55" s="246">
        <v>1</v>
      </c>
      <c r="E55" s="246">
        <v>2</v>
      </c>
      <c r="F55" s="246">
        <v>3</v>
      </c>
      <c r="G55" s="246">
        <v>12</v>
      </c>
      <c r="H55" s="246">
        <v>15</v>
      </c>
      <c r="I55" s="246"/>
      <c r="J55" s="246"/>
      <c r="K55" s="246"/>
      <c r="L55" s="246"/>
      <c r="M55" s="246"/>
      <c r="N55" s="246"/>
      <c r="O55" s="246"/>
      <c r="P55" s="246"/>
      <c r="Q55" s="246"/>
      <c r="R55" s="246">
        <f>IFERROR(VLOOKUP(D55,PROGRAMAS[],2,FALSE),0)</f>
        <v>97037803.679377079</v>
      </c>
      <c r="S55" s="246">
        <f>IFERROR(VLOOKUP(E55,PROGRAMAS[],2,FALSE),0)</f>
        <v>640501509.6821388</v>
      </c>
      <c r="T55" s="246">
        <f>IFERROR(VLOOKUP(F55,PROGRAMAS[],2,FALSE),0)</f>
        <v>3062327798.1525245</v>
      </c>
      <c r="U55" s="246">
        <f>IFERROR(VLOOKUP(G55,PROGRAMAS[],2,FALSE),0)</f>
        <v>764796700.79905891</v>
      </c>
      <c r="V55" s="246">
        <f>IFERROR(VLOOKUP(H55,PROGRAMAS[],2,FALSE),0)</f>
        <v>122159672.96346797</v>
      </c>
      <c r="W55" s="246">
        <f>IFERROR(VLOOKUP(I55,PROGRAMAS[],2,FALSE),0)</f>
        <v>0</v>
      </c>
      <c r="X55" s="246">
        <f>IFERROR(VLOOKUP(J55,PROGRAMAS[],2,FALSE),0)</f>
        <v>0</v>
      </c>
      <c r="Y55" s="246">
        <f>IFERROR(VLOOKUP(K55,PROGRAMAS[],2,FALSE),0)</f>
        <v>0</v>
      </c>
      <c r="Z55" s="246">
        <f>IFERROR(VLOOKUP(L55,PROGRAMAS[],2,FALSE),0)</f>
        <v>0</v>
      </c>
      <c r="AA55" s="246">
        <f>IFERROR(VLOOKUP(M55,PROGRAMAS[],2,FALSE),0)</f>
        <v>0</v>
      </c>
      <c r="AB55" s="246">
        <f>IFERROR(VLOOKUP(N55,PROGRAMAS[],2,FALSE),0)</f>
        <v>0</v>
      </c>
      <c r="AC55" s="246">
        <f>IFERROR(VLOOKUP(O55,PROGRAMAS[],2,FALSE),0)</f>
        <v>0</v>
      </c>
      <c r="AD55" s="246">
        <f>IFERROR(VLOOKUP(P55,PROGRAMAS[],2,FALSE),0)</f>
        <v>0</v>
      </c>
      <c r="AE55" s="246">
        <f>IFERROR(VLOOKUP(Q55,PROGRAMAS[],2,FALSE),0)</f>
        <v>0</v>
      </c>
      <c r="AF55" s="246">
        <f>IFERROR(VLOOKUP(D55,PROGRAMAS[],3,FALSE),0)</f>
        <v>841888629.31080008</v>
      </c>
      <c r="AG55" s="246">
        <f>IFERROR(VLOOKUP(E55,PROGRAMAS[],3,FALSE),0)</f>
        <v>3848980803.1642323</v>
      </c>
      <c r="AH55" s="246">
        <f>IFERROR(VLOOKUP(F55,PROGRAMAS[],3,FALSE),0)</f>
        <v>3394901471.387517</v>
      </c>
      <c r="AI55" s="246">
        <f>IFERROR(VLOOKUP(G55,PROGRAMAS[],3,FALSE),0)</f>
        <v>675517840.109828</v>
      </c>
      <c r="AJ55" s="246">
        <f>IFERROR(VLOOKUP(H55,PROGRAMAS[],3,FALSE),0)</f>
        <v>118617452.52510804</v>
      </c>
      <c r="AK55" s="246">
        <f>IFERROR(VLOOKUP(I55,PROGRAMAS[],3,FALSE),0)</f>
        <v>0</v>
      </c>
      <c r="AL55" s="246">
        <f>IFERROR(VLOOKUP(J55,PROGRAMAS[],3,FALSE),0)</f>
        <v>0</v>
      </c>
      <c r="AM55" s="246">
        <f>IFERROR(VLOOKUP(K55,PROGRAMAS[],3,FALSE),0)</f>
        <v>0</v>
      </c>
      <c r="AN55" s="246">
        <f>IFERROR(VLOOKUP(L55,PROGRAMAS[],3,FALSE),0)</f>
        <v>0</v>
      </c>
      <c r="AO55" s="246">
        <f>IFERROR(VLOOKUP(M55,PROGRAMAS[],3,FALSE),0)</f>
        <v>0</v>
      </c>
      <c r="AP55" s="246">
        <f>IFERROR(VLOOKUP(N55,PROGRAMAS[],3,FALSE),0)</f>
        <v>0</v>
      </c>
      <c r="AQ55" s="246">
        <f>IFERROR(VLOOKUP(O55,PROGRAMAS[],3,FALSE),0)</f>
        <v>0</v>
      </c>
      <c r="AR55" s="246">
        <f>IFERROR(VLOOKUP(P55,PROGRAMAS[],3,FALSE),0)</f>
        <v>0</v>
      </c>
      <c r="AS55" s="246">
        <f>IFERROR(VLOOKUP(Q55,PROGRAMAS[],3,FALSE),0)</f>
        <v>0</v>
      </c>
      <c r="AT55" s="246">
        <f>IFERROR(VLOOKUP(D55,VOL_REC[],2,FALSE),0)</f>
        <v>0</v>
      </c>
      <c r="AU55" s="246">
        <f>IFERROR(VLOOKUP(E55,VOL_REC[],2,FALSE),0)</f>
        <v>0</v>
      </c>
      <c r="AV55" s="246">
        <f>IFERROR(VLOOKUP(F55,VOL_REC[],2,FALSE),0)</f>
        <v>11089674.200000001</v>
      </c>
      <c r="AW55" s="246">
        <f>IFERROR(VLOOKUP(G55,VOL_REC[],2,FALSE),0)</f>
        <v>240696.79238099116</v>
      </c>
      <c r="AX55" s="246">
        <f>IFERROR(VLOOKUP(H55,VOL_REC[],2,FALSE),0)</f>
        <v>105072</v>
      </c>
      <c r="AY55" s="246">
        <f>IFERROR(VLOOKUP(I55,VOL_REC[],2,FALSE),0)</f>
        <v>0</v>
      </c>
      <c r="AZ55" s="246">
        <f>IFERROR(VLOOKUP(J55,VOL_REC[],2,FALSE),0)</f>
        <v>0</v>
      </c>
      <c r="BA55" s="246">
        <f>IFERROR(VLOOKUP(K55,VOL_REC[],2,FALSE),0)</f>
        <v>0</v>
      </c>
      <c r="BB55" s="246">
        <f>IFERROR(VLOOKUP(L55,VOL_REC[],2,FALSE),0)</f>
        <v>0</v>
      </c>
      <c r="BC55" s="246">
        <f>IFERROR(VLOOKUP(M55,VOL_REC[],2,FALSE),0)</f>
        <v>0</v>
      </c>
      <c r="BD55" s="246">
        <f>IFERROR(VLOOKUP(N55,VOL_REC[],2,FALSE),0)</f>
        <v>0</v>
      </c>
      <c r="BE55" s="246">
        <f>IFERROR(VLOOKUP(O55,VOL_REC[],2,FALSE),0)</f>
        <v>0</v>
      </c>
      <c r="BF55" s="246">
        <f>IFERROR(VLOOKUP(P55,VOL_REC[],2,FALSE),0)</f>
        <v>0</v>
      </c>
      <c r="BG55" s="246">
        <f>IFERROR(VLOOKUP(Q55,VOL_REC[],2,FALSE),0)</f>
        <v>0</v>
      </c>
      <c r="BH55" s="1710">
        <f t="shared" si="0"/>
        <v>4686823485.2765665</v>
      </c>
      <c r="BI55" s="1710">
        <f t="shared" si="1"/>
        <v>8879906196.4974861</v>
      </c>
      <c r="BJ55" s="1711">
        <f t="shared" si="2"/>
        <v>11435442.992380992</v>
      </c>
      <c r="BK55" s="1711">
        <f t="shared" si="3"/>
        <v>0.52780101293470838</v>
      </c>
    </row>
    <row r="56" spans="3:67" x14ac:dyDescent="0.25">
      <c r="C56" s="246" t="s">
        <v>1406</v>
      </c>
      <c r="D56" s="246">
        <v>1</v>
      </c>
      <c r="E56" s="246">
        <v>2</v>
      </c>
      <c r="F56" s="246">
        <v>3</v>
      </c>
      <c r="G56" s="246">
        <v>12</v>
      </c>
      <c r="H56" s="246">
        <v>16</v>
      </c>
      <c r="I56" s="246"/>
      <c r="J56" s="246"/>
      <c r="K56" s="246"/>
      <c r="L56" s="246"/>
      <c r="M56" s="246"/>
      <c r="N56" s="246"/>
      <c r="O56" s="246"/>
      <c r="P56" s="246"/>
      <c r="Q56" s="246"/>
      <c r="R56" s="246">
        <f>IFERROR(VLOOKUP(D56,PROGRAMAS[],2,FALSE),0)</f>
        <v>97037803.679377079</v>
      </c>
      <c r="S56" s="246">
        <f>IFERROR(VLOOKUP(E56,PROGRAMAS[],2,FALSE),0)</f>
        <v>640501509.6821388</v>
      </c>
      <c r="T56" s="246">
        <f>IFERROR(VLOOKUP(F56,PROGRAMAS[],2,FALSE),0)</f>
        <v>3062327798.1525245</v>
      </c>
      <c r="U56" s="246">
        <f>IFERROR(VLOOKUP(G56,PROGRAMAS[],2,FALSE),0)</f>
        <v>764796700.79905891</v>
      </c>
      <c r="V56" s="246">
        <f>IFERROR(VLOOKUP(H56,PROGRAMAS[],2,FALSE),0)</f>
        <v>7068496961.0436354</v>
      </c>
      <c r="W56" s="246">
        <f>IFERROR(VLOOKUP(I56,PROGRAMAS[],2,FALSE),0)</f>
        <v>0</v>
      </c>
      <c r="X56" s="246">
        <f>IFERROR(VLOOKUP(J56,PROGRAMAS[],2,FALSE),0)</f>
        <v>0</v>
      </c>
      <c r="Y56" s="246">
        <f>IFERROR(VLOOKUP(K56,PROGRAMAS[],2,FALSE),0)</f>
        <v>0</v>
      </c>
      <c r="Z56" s="246">
        <f>IFERROR(VLOOKUP(L56,PROGRAMAS[],2,FALSE),0)</f>
        <v>0</v>
      </c>
      <c r="AA56" s="246">
        <f>IFERROR(VLOOKUP(M56,PROGRAMAS[],2,FALSE),0)</f>
        <v>0</v>
      </c>
      <c r="AB56" s="246">
        <f>IFERROR(VLOOKUP(N56,PROGRAMAS[],2,FALSE),0)</f>
        <v>0</v>
      </c>
      <c r="AC56" s="246">
        <f>IFERROR(VLOOKUP(O56,PROGRAMAS[],2,FALSE),0)</f>
        <v>0</v>
      </c>
      <c r="AD56" s="246">
        <f>IFERROR(VLOOKUP(P56,PROGRAMAS[],2,FALSE),0)</f>
        <v>0</v>
      </c>
      <c r="AE56" s="246">
        <f>IFERROR(VLOOKUP(Q56,PROGRAMAS[],2,FALSE),0)</f>
        <v>0</v>
      </c>
      <c r="AF56" s="246">
        <f>IFERROR(VLOOKUP(D56,PROGRAMAS[],3,FALSE),0)</f>
        <v>841888629.31080008</v>
      </c>
      <c r="AG56" s="246">
        <f>IFERROR(VLOOKUP(E56,PROGRAMAS[],3,FALSE),0)</f>
        <v>3848980803.1642323</v>
      </c>
      <c r="AH56" s="246">
        <f>IFERROR(VLOOKUP(F56,PROGRAMAS[],3,FALSE),0)</f>
        <v>3394901471.387517</v>
      </c>
      <c r="AI56" s="246">
        <f>IFERROR(VLOOKUP(G56,PROGRAMAS[],3,FALSE),0)</f>
        <v>675517840.109828</v>
      </c>
      <c r="AJ56" s="246">
        <f>IFERROR(VLOOKUP(H56,PROGRAMAS[],3,FALSE),0)</f>
        <v>2406564599.0319901</v>
      </c>
      <c r="AK56" s="246">
        <f>IFERROR(VLOOKUP(I56,PROGRAMAS[],3,FALSE),0)</f>
        <v>0</v>
      </c>
      <c r="AL56" s="246">
        <f>IFERROR(VLOOKUP(J56,PROGRAMAS[],3,FALSE),0)</f>
        <v>0</v>
      </c>
      <c r="AM56" s="246">
        <f>IFERROR(VLOOKUP(K56,PROGRAMAS[],3,FALSE),0)</f>
        <v>0</v>
      </c>
      <c r="AN56" s="246">
        <f>IFERROR(VLOOKUP(L56,PROGRAMAS[],3,FALSE),0)</f>
        <v>0</v>
      </c>
      <c r="AO56" s="246">
        <f>IFERROR(VLOOKUP(M56,PROGRAMAS[],3,FALSE),0)</f>
        <v>0</v>
      </c>
      <c r="AP56" s="246">
        <f>IFERROR(VLOOKUP(N56,PROGRAMAS[],3,FALSE),0)</f>
        <v>0</v>
      </c>
      <c r="AQ56" s="246">
        <f>IFERROR(VLOOKUP(O56,PROGRAMAS[],3,FALSE),0)</f>
        <v>0</v>
      </c>
      <c r="AR56" s="246">
        <f>IFERROR(VLOOKUP(P56,PROGRAMAS[],3,FALSE),0)</f>
        <v>0</v>
      </c>
      <c r="AS56" s="246">
        <f>IFERROR(VLOOKUP(Q56,PROGRAMAS[],3,FALSE),0)</f>
        <v>0</v>
      </c>
      <c r="AT56" s="246">
        <f>IFERROR(VLOOKUP(D56,VOL_REC[],2,FALSE),0)</f>
        <v>0</v>
      </c>
      <c r="AU56" s="246">
        <f>IFERROR(VLOOKUP(E56,VOL_REC[],2,FALSE),0)</f>
        <v>0</v>
      </c>
      <c r="AV56" s="246">
        <f>IFERROR(VLOOKUP(F56,VOL_REC[],2,FALSE),0)</f>
        <v>11089674.200000001</v>
      </c>
      <c r="AW56" s="246">
        <f>IFERROR(VLOOKUP(G56,VOL_REC[],2,FALSE),0)</f>
        <v>240696.79238099116</v>
      </c>
      <c r="AX56" s="246">
        <f>IFERROR(VLOOKUP(H56,VOL_REC[],2,FALSE),0)</f>
        <v>1072354.9981737854</v>
      </c>
      <c r="AY56" s="246">
        <f>IFERROR(VLOOKUP(I56,VOL_REC[],2,FALSE),0)</f>
        <v>0</v>
      </c>
      <c r="AZ56" s="246">
        <f>IFERROR(VLOOKUP(J56,VOL_REC[],2,FALSE),0)</f>
        <v>0</v>
      </c>
      <c r="BA56" s="246">
        <f>IFERROR(VLOOKUP(K56,VOL_REC[],2,FALSE),0)</f>
        <v>0</v>
      </c>
      <c r="BB56" s="246">
        <f>IFERROR(VLOOKUP(L56,VOL_REC[],2,FALSE),0)</f>
        <v>0</v>
      </c>
      <c r="BC56" s="246">
        <f>IFERROR(VLOOKUP(M56,VOL_REC[],2,FALSE),0)</f>
        <v>0</v>
      </c>
      <c r="BD56" s="246">
        <f>IFERROR(VLOOKUP(N56,VOL_REC[],2,FALSE),0)</f>
        <v>0</v>
      </c>
      <c r="BE56" s="246">
        <f>IFERROR(VLOOKUP(O56,VOL_REC[],2,FALSE),0)</f>
        <v>0</v>
      </c>
      <c r="BF56" s="246">
        <f>IFERROR(VLOOKUP(P56,VOL_REC[],2,FALSE),0)</f>
        <v>0</v>
      </c>
      <c r="BG56" s="246">
        <f>IFERROR(VLOOKUP(Q56,VOL_REC[],2,FALSE),0)</f>
        <v>0</v>
      </c>
      <c r="BH56" s="1710">
        <f t="shared" si="0"/>
        <v>11633160773.356735</v>
      </c>
      <c r="BI56" s="1710">
        <f t="shared" si="1"/>
        <v>11167853343.004368</v>
      </c>
      <c r="BJ56" s="1711">
        <f t="shared" si="2"/>
        <v>12402725.990554776</v>
      </c>
      <c r="BK56" s="1711">
        <f t="shared" si="3"/>
        <v>1.0416648944126616</v>
      </c>
      <c r="BL56">
        <f>BJ56</f>
        <v>12402725.990554776</v>
      </c>
      <c r="BO56">
        <f>BL56</f>
        <v>12402725.990554776</v>
      </c>
    </row>
    <row r="57" spans="3:67" x14ac:dyDescent="0.25">
      <c r="C57" s="246" t="s">
        <v>1407</v>
      </c>
      <c r="D57" s="246">
        <v>1</v>
      </c>
      <c r="E57" s="246">
        <v>2</v>
      </c>
      <c r="F57" s="246">
        <v>3</v>
      </c>
      <c r="G57" s="246">
        <v>12</v>
      </c>
      <c r="H57" s="246">
        <v>17</v>
      </c>
      <c r="I57" s="246"/>
      <c r="J57" s="246"/>
      <c r="K57" s="246"/>
      <c r="L57" s="246"/>
      <c r="M57" s="246"/>
      <c r="N57" s="246"/>
      <c r="O57" s="246"/>
      <c r="P57" s="246"/>
      <c r="Q57" s="246"/>
      <c r="R57" s="246">
        <f>IFERROR(VLOOKUP(D57,PROGRAMAS[],2,FALSE),0)</f>
        <v>97037803.679377079</v>
      </c>
      <c r="S57" s="246">
        <f>IFERROR(VLOOKUP(E57,PROGRAMAS[],2,FALSE),0)</f>
        <v>640501509.6821388</v>
      </c>
      <c r="T57" s="246">
        <f>IFERROR(VLOOKUP(F57,PROGRAMAS[],2,FALSE),0)</f>
        <v>3062327798.1525245</v>
      </c>
      <c r="U57" s="246">
        <f>IFERROR(VLOOKUP(G57,PROGRAMAS[],2,FALSE),0)</f>
        <v>764796700.79905891</v>
      </c>
      <c r="V57" s="246">
        <f>IFERROR(VLOOKUP(H57,PROGRAMAS[],2,FALSE),0)</f>
        <v>1892779498.5211046</v>
      </c>
      <c r="W57" s="246">
        <f>IFERROR(VLOOKUP(I57,PROGRAMAS[],2,FALSE),0)</f>
        <v>0</v>
      </c>
      <c r="X57" s="246">
        <f>IFERROR(VLOOKUP(J57,PROGRAMAS[],2,FALSE),0)</f>
        <v>0</v>
      </c>
      <c r="Y57" s="246">
        <f>IFERROR(VLOOKUP(K57,PROGRAMAS[],2,FALSE),0)</f>
        <v>0</v>
      </c>
      <c r="Z57" s="246">
        <f>IFERROR(VLOOKUP(L57,PROGRAMAS[],2,FALSE),0)</f>
        <v>0</v>
      </c>
      <c r="AA57" s="246">
        <f>IFERROR(VLOOKUP(M57,PROGRAMAS[],2,FALSE),0)</f>
        <v>0</v>
      </c>
      <c r="AB57" s="246">
        <f>IFERROR(VLOOKUP(N57,PROGRAMAS[],2,FALSE),0)</f>
        <v>0</v>
      </c>
      <c r="AC57" s="246">
        <f>IFERROR(VLOOKUP(O57,PROGRAMAS[],2,FALSE),0)</f>
        <v>0</v>
      </c>
      <c r="AD57" s="246">
        <f>IFERROR(VLOOKUP(P57,PROGRAMAS[],2,FALSE),0)</f>
        <v>0</v>
      </c>
      <c r="AE57" s="246">
        <f>IFERROR(VLOOKUP(Q57,PROGRAMAS[],2,FALSE),0)</f>
        <v>0</v>
      </c>
      <c r="AF57" s="246">
        <f>IFERROR(VLOOKUP(D57,PROGRAMAS[],3,FALSE),0)</f>
        <v>841888629.31080008</v>
      </c>
      <c r="AG57" s="246">
        <f>IFERROR(VLOOKUP(E57,PROGRAMAS[],3,FALSE),0)</f>
        <v>3848980803.1642323</v>
      </c>
      <c r="AH57" s="246">
        <f>IFERROR(VLOOKUP(F57,PROGRAMAS[],3,FALSE),0)</f>
        <v>3394901471.387517</v>
      </c>
      <c r="AI57" s="246">
        <f>IFERROR(VLOOKUP(G57,PROGRAMAS[],3,FALSE),0)</f>
        <v>675517840.109828</v>
      </c>
      <c r="AJ57" s="246">
        <f>IFERROR(VLOOKUP(H57,PROGRAMAS[],3,FALSE),0)</f>
        <v>948595847.09039903</v>
      </c>
      <c r="AK57" s="246">
        <f>IFERROR(VLOOKUP(I57,PROGRAMAS[],3,FALSE),0)</f>
        <v>0</v>
      </c>
      <c r="AL57" s="246">
        <f>IFERROR(VLOOKUP(J57,PROGRAMAS[],3,FALSE),0)</f>
        <v>0</v>
      </c>
      <c r="AM57" s="246">
        <f>IFERROR(VLOOKUP(K57,PROGRAMAS[],3,FALSE),0)</f>
        <v>0</v>
      </c>
      <c r="AN57" s="246">
        <f>IFERROR(VLOOKUP(L57,PROGRAMAS[],3,FALSE),0)</f>
        <v>0</v>
      </c>
      <c r="AO57" s="246">
        <f>IFERROR(VLOOKUP(M57,PROGRAMAS[],3,FALSE),0)</f>
        <v>0</v>
      </c>
      <c r="AP57" s="246">
        <f>IFERROR(VLOOKUP(N57,PROGRAMAS[],3,FALSE),0)</f>
        <v>0</v>
      </c>
      <c r="AQ57" s="246">
        <f>IFERROR(VLOOKUP(O57,PROGRAMAS[],3,FALSE),0)</f>
        <v>0</v>
      </c>
      <c r="AR57" s="246">
        <f>IFERROR(VLOOKUP(P57,PROGRAMAS[],3,FALSE),0)</f>
        <v>0</v>
      </c>
      <c r="AS57" s="246">
        <f>IFERROR(VLOOKUP(Q57,PROGRAMAS[],3,FALSE),0)</f>
        <v>0</v>
      </c>
      <c r="AT57" s="246">
        <f>IFERROR(VLOOKUP(D57,VOL_REC[],2,FALSE),0)</f>
        <v>0</v>
      </c>
      <c r="AU57" s="246">
        <f>IFERROR(VLOOKUP(E57,VOL_REC[],2,FALSE),0)</f>
        <v>0</v>
      </c>
      <c r="AV57" s="246">
        <f>IFERROR(VLOOKUP(F57,VOL_REC[],2,FALSE),0)</f>
        <v>11089674.200000001</v>
      </c>
      <c r="AW57" s="246">
        <f>IFERROR(VLOOKUP(G57,VOL_REC[],2,FALSE),0)</f>
        <v>240696.79238099116</v>
      </c>
      <c r="AX57" s="246">
        <f>IFERROR(VLOOKUP(H57,VOL_REC[],2,FALSE),0)</f>
        <v>740113.98115702497</v>
      </c>
      <c r="AY57" s="246">
        <f>IFERROR(VLOOKUP(I57,VOL_REC[],2,FALSE),0)</f>
        <v>0</v>
      </c>
      <c r="AZ57" s="246">
        <f>IFERROR(VLOOKUP(J57,VOL_REC[],2,FALSE),0)</f>
        <v>0</v>
      </c>
      <c r="BA57" s="246">
        <f>IFERROR(VLOOKUP(K57,VOL_REC[],2,FALSE),0)</f>
        <v>0</v>
      </c>
      <c r="BB57" s="246">
        <f>IFERROR(VLOOKUP(L57,VOL_REC[],2,FALSE),0)</f>
        <v>0</v>
      </c>
      <c r="BC57" s="246">
        <f>IFERROR(VLOOKUP(M57,VOL_REC[],2,FALSE),0)</f>
        <v>0</v>
      </c>
      <c r="BD57" s="246">
        <f>IFERROR(VLOOKUP(N57,VOL_REC[],2,FALSE),0)</f>
        <v>0</v>
      </c>
      <c r="BE57" s="246">
        <f>IFERROR(VLOOKUP(O57,VOL_REC[],2,FALSE),0)</f>
        <v>0</v>
      </c>
      <c r="BF57" s="246">
        <f>IFERROR(VLOOKUP(P57,VOL_REC[],2,FALSE),0)</f>
        <v>0</v>
      </c>
      <c r="BG57" s="246">
        <f>IFERROR(VLOOKUP(Q57,VOL_REC[],2,FALSE),0)</f>
        <v>0</v>
      </c>
      <c r="BH57" s="1710">
        <f t="shared" si="0"/>
        <v>6457443310.8342037</v>
      </c>
      <c r="BI57" s="1710">
        <f t="shared" si="1"/>
        <v>9709884591.0627766</v>
      </c>
      <c r="BJ57" s="1711">
        <f t="shared" si="2"/>
        <v>12070484.973538017</v>
      </c>
      <c r="BK57" s="1711">
        <f t="shared" si="3"/>
        <v>0.66503811144962499</v>
      </c>
    </row>
    <row r="58" spans="3:67" x14ac:dyDescent="0.25">
      <c r="C58" s="246" t="s">
        <v>1408</v>
      </c>
      <c r="D58" s="246">
        <v>1</v>
      </c>
      <c r="E58" s="246">
        <v>2</v>
      </c>
      <c r="F58" s="246">
        <v>3</v>
      </c>
      <c r="G58" s="246">
        <v>13</v>
      </c>
      <c r="H58" s="246">
        <v>14</v>
      </c>
      <c r="I58" s="246"/>
      <c r="J58" s="246"/>
      <c r="K58" s="246"/>
      <c r="L58" s="246"/>
      <c r="M58" s="246"/>
      <c r="N58" s="246"/>
      <c r="O58" s="246"/>
      <c r="P58" s="246"/>
      <c r="Q58" s="246"/>
      <c r="R58" s="246">
        <f>IFERROR(VLOOKUP(D58,PROGRAMAS[],2,FALSE),0)</f>
        <v>97037803.679377079</v>
      </c>
      <c r="S58" s="246">
        <f>IFERROR(VLOOKUP(E58,PROGRAMAS[],2,FALSE),0)</f>
        <v>640501509.6821388</v>
      </c>
      <c r="T58" s="246">
        <f>IFERROR(VLOOKUP(F58,PROGRAMAS[],2,FALSE),0)</f>
        <v>3062327798.1525245</v>
      </c>
      <c r="U58" s="246">
        <f>IFERROR(VLOOKUP(G58,PROGRAMAS[],2,FALSE),0)</f>
        <v>3776538594.4604583</v>
      </c>
      <c r="V58" s="246">
        <f>IFERROR(VLOOKUP(H58,PROGRAMAS[],2,FALSE),0)</f>
        <v>54223862.645839565</v>
      </c>
      <c r="W58" s="246">
        <f>IFERROR(VLOOKUP(I58,PROGRAMAS[],2,FALSE),0)</f>
        <v>0</v>
      </c>
      <c r="X58" s="246">
        <f>IFERROR(VLOOKUP(J58,PROGRAMAS[],2,FALSE),0)</f>
        <v>0</v>
      </c>
      <c r="Y58" s="246">
        <f>IFERROR(VLOOKUP(K58,PROGRAMAS[],2,FALSE),0)</f>
        <v>0</v>
      </c>
      <c r="Z58" s="246">
        <f>IFERROR(VLOOKUP(L58,PROGRAMAS[],2,FALSE),0)</f>
        <v>0</v>
      </c>
      <c r="AA58" s="246">
        <f>IFERROR(VLOOKUP(M58,PROGRAMAS[],2,FALSE),0)</f>
        <v>0</v>
      </c>
      <c r="AB58" s="246">
        <f>IFERROR(VLOOKUP(N58,PROGRAMAS[],2,FALSE),0)</f>
        <v>0</v>
      </c>
      <c r="AC58" s="246">
        <f>IFERROR(VLOOKUP(O58,PROGRAMAS[],2,FALSE),0)</f>
        <v>0</v>
      </c>
      <c r="AD58" s="246">
        <f>IFERROR(VLOOKUP(P58,PROGRAMAS[],2,FALSE),0)</f>
        <v>0</v>
      </c>
      <c r="AE58" s="246">
        <f>IFERROR(VLOOKUP(Q58,PROGRAMAS[],2,FALSE),0)</f>
        <v>0</v>
      </c>
      <c r="AF58" s="246">
        <f>IFERROR(VLOOKUP(D58,PROGRAMAS[],3,FALSE),0)</f>
        <v>841888629.31080008</v>
      </c>
      <c r="AG58" s="246">
        <f>IFERROR(VLOOKUP(E58,PROGRAMAS[],3,FALSE),0)</f>
        <v>3848980803.1642323</v>
      </c>
      <c r="AH58" s="246">
        <f>IFERROR(VLOOKUP(F58,PROGRAMAS[],3,FALSE),0)</f>
        <v>3394901471.387517</v>
      </c>
      <c r="AI58" s="246">
        <f>IFERROR(VLOOKUP(G58,PROGRAMAS[],3,FALSE),0)</f>
        <v>2392571243.5584412</v>
      </c>
      <c r="AJ58" s="246">
        <f>IFERROR(VLOOKUP(H58,PROGRAMAS[],3,FALSE),0)</f>
        <v>31865326.38096505</v>
      </c>
      <c r="AK58" s="246">
        <f>IFERROR(VLOOKUP(I58,PROGRAMAS[],3,FALSE),0)</f>
        <v>0</v>
      </c>
      <c r="AL58" s="246">
        <f>IFERROR(VLOOKUP(J58,PROGRAMAS[],3,FALSE),0)</f>
        <v>0</v>
      </c>
      <c r="AM58" s="246">
        <f>IFERROR(VLOOKUP(K58,PROGRAMAS[],3,FALSE),0)</f>
        <v>0</v>
      </c>
      <c r="AN58" s="246">
        <f>IFERROR(VLOOKUP(L58,PROGRAMAS[],3,FALSE),0)</f>
        <v>0</v>
      </c>
      <c r="AO58" s="246">
        <f>IFERROR(VLOOKUP(M58,PROGRAMAS[],3,FALSE),0)</f>
        <v>0</v>
      </c>
      <c r="AP58" s="246">
        <f>IFERROR(VLOOKUP(N58,PROGRAMAS[],3,FALSE),0)</f>
        <v>0</v>
      </c>
      <c r="AQ58" s="246">
        <f>IFERROR(VLOOKUP(O58,PROGRAMAS[],3,FALSE),0)</f>
        <v>0</v>
      </c>
      <c r="AR58" s="246">
        <f>IFERROR(VLOOKUP(P58,PROGRAMAS[],3,FALSE),0)</f>
        <v>0</v>
      </c>
      <c r="AS58" s="246">
        <f>IFERROR(VLOOKUP(Q58,PROGRAMAS[],3,FALSE),0)</f>
        <v>0</v>
      </c>
      <c r="AT58" s="246">
        <f>IFERROR(VLOOKUP(D58,VOL_REC[],2,FALSE),0)</f>
        <v>0</v>
      </c>
      <c r="AU58" s="246">
        <f>IFERROR(VLOOKUP(E58,VOL_REC[],2,FALSE),0)</f>
        <v>0</v>
      </c>
      <c r="AV58" s="246">
        <f>IFERROR(VLOOKUP(F58,VOL_REC[],2,FALSE),0)</f>
        <v>11089674.200000001</v>
      </c>
      <c r="AW58" s="246">
        <f>IFERROR(VLOOKUP(G58,VOL_REC[],2,FALSE),0)</f>
        <v>663244.80000000016</v>
      </c>
      <c r="AX58" s="246">
        <f>IFERROR(VLOOKUP(H58,VOL_REC[],2,FALSE),0)</f>
        <v>17074.045034105649</v>
      </c>
      <c r="AY58" s="246">
        <f>IFERROR(VLOOKUP(I58,VOL_REC[],2,FALSE),0)</f>
        <v>0</v>
      </c>
      <c r="AZ58" s="246">
        <f>IFERROR(VLOOKUP(J58,VOL_REC[],2,FALSE),0)</f>
        <v>0</v>
      </c>
      <c r="BA58" s="246">
        <f>IFERROR(VLOOKUP(K58,VOL_REC[],2,FALSE),0)</f>
        <v>0</v>
      </c>
      <c r="BB58" s="246">
        <f>IFERROR(VLOOKUP(L58,VOL_REC[],2,FALSE),0)</f>
        <v>0</v>
      </c>
      <c r="BC58" s="246">
        <f>IFERROR(VLOOKUP(M58,VOL_REC[],2,FALSE),0)</f>
        <v>0</v>
      </c>
      <c r="BD58" s="246">
        <f>IFERROR(VLOOKUP(N58,VOL_REC[],2,FALSE),0)</f>
        <v>0</v>
      </c>
      <c r="BE58" s="246">
        <f>IFERROR(VLOOKUP(O58,VOL_REC[],2,FALSE),0)</f>
        <v>0</v>
      </c>
      <c r="BF58" s="246">
        <f>IFERROR(VLOOKUP(P58,VOL_REC[],2,FALSE),0)</f>
        <v>0</v>
      </c>
      <c r="BG58" s="246">
        <f>IFERROR(VLOOKUP(Q58,VOL_REC[],2,FALSE),0)</f>
        <v>0</v>
      </c>
      <c r="BH58" s="1710">
        <f t="shared" si="0"/>
        <v>7630629568.6203384</v>
      </c>
      <c r="BI58" s="1710">
        <f t="shared" si="1"/>
        <v>10510207473.801954</v>
      </c>
      <c r="BJ58" s="1711">
        <f t="shared" si="2"/>
        <v>11769993.045034107</v>
      </c>
      <c r="BK58" s="1711">
        <f t="shared" si="3"/>
        <v>0.72602083142893847</v>
      </c>
    </row>
    <row r="59" spans="3:67" x14ac:dyDescent="0.25">
      <c r="C59" s="246" t="s">
        <v>1409</v>
      </c>
      <c r="D59" s="246">
        <v>1</v>
      </c>
      <c r="E59" s="246">
        <v>2</v>
      </c>
      <c r="F59" s="246">
        <v>3</v>
      </c>
      <c r="G59" s="246">
        <v>13</v>
      </c>
      <c r="H59" s="246">
        <v>15</v>
      </c>
      <c r="I59" s="246"/>
      <c r="J59" s="246"/>
      <c r="K59" s="246"/>
      <c r="L59" s="246"/>
      <c r="M59" s="246"/>
      <c r="N59" s="246"/>
      <c r="O59" s="246"/>
      <c r="P59" s="246"/>
      <c r="Q59" s="246"/>
      <c r="R59" s="246">
        <f>IFERROR(VLOOKUP(D59,PROGRAMAS[],2,FALSE),0)</f>
        <v>97037803.679377079</v>
      </c>
      <c r="S59" s="246">
        <f>IFERROR(VLOOKUP(E59,PROGRAMAS[],2,FALSE),0)</f>
        <v>640501509.6821388</v>
      </c>
      <c r="T59" s="246">
        <f>IFERROR(VLOOKUP(F59,PROGRAMAS[],2,FALSE),0)</f>
        <v>3062327798.1525245</v>
      </c>
      <c r="U59" s="246">
        <f>IFERROR(VLOOKUP(G59,PROGRAMAS[],2,FALSE),0)</f>
        <v>3776538594.4604583</v>
      </c>
      <c r="V59" s="246">
        <f>IFERROR(VLOOKUP(H59,PROGRAMAS[],2,FALSE),0)</f>
        <v>122159672.96346797</v>
      </c>
      <c r="W59" s="246">
        <f>IFERROR(VLOOKUP(I59,PROGRAMAS[],2,FALSE),0)</f>
        <v>0</v>
      </c>
      <c r="X59" s="246">
        <f>IFERROR(VLOOKUP(J59,PROGRAMAS[],2,FALSE),0)</f>
        <v>0</v>
      </c>
      <c r="Y59" s="246">
        <f>IFERROR(VLOOKUP(K59,PROGRAMAS[],2,FALSE),0)</f>
        <v>0</v>
      </c>
      <c r="Z59" s="246">
        <f>IFERROR(VLOOKUP(L59,PROGRAMAS[],2,FALSE),0)</f>
        <v>0</v>
      </c>
      <c r="AA59" s="246">
        <f>IFERROR(VLOOKUP(M59,PROGRAMAS[],2,FALSE),0)</f>
        <v>0</v>
      </c>
      <c r="AB59" s="246">
        <f>IFERROR(VLOOKUP(N59,PROGRAMAS[],2,FALSE),0)</f>
        <v>0</v>
      </c>
      <c r="AC59" s="246">
        <f>IFERROR(VLOOKUP(O59,PROGRAMAS[],2,FALSE),0)</f>
        <v>0</v>
      </c>
      <c r="AD59" s="246">
        <f>IFERROR(VLOOKUP(P59,PROGRAMAS[],2,FALSE),0)</f>
        <v>0</v>
      </c>
      <c r="AE59" s="246">
        <f>IFERROR(VLOOKUP(Q59,PROGRAMAS[],2,FALSE),0)</f>
        <v>0</v>
      </c>
      <c r="AF59" s="246">
        <f>IFERROR(VLOOKUP(D59,PROGRAMAS[],3,FALSE),0)</f>
        <v>841888629.31080008</v>
      </c>
      <c r="AG59" s="246">
        <f>IFERROR(VLOOKUP(E59,PROGRAMAS[],3,FALSE),0)</f>
        <v>3848980803.1642323</v>
      </c>
      <c r="AH59" s="246">
        <f>IFERROR(VLOOKUP(F59,PROGRAMAS[],3,FALSE),0)</f>
        <v>3394901471.387517</v>
      </c>
      <c r="AI59" s="246">
        <f>IFERROR(VLOOKUP(G59,PROGRAMAS[],3,FALSE),0)</f>
        <v>2392571243.5584412</v>
      </c>
      <c r="AJ59" s="246">
        <f>IFERROR(VLOOKUP(H59,PROGRAMAS[],3,FALSE),0)</f>
        <v>118617452.52510804</v>
      </c>
      <c r="AK59" s="246">
        <f>IFERROR(VLOOKUP(I59,PROGRAMAS[],3,FALSE),0)</f>
        <v>0</v>
      </c>
      <c r="AL59" s="246">
        <f>IFERROR(VLOOKUP(J59,PROGRAMAS[],3,FALSE),0)</f>
        <v>0</v>
      </c>
      <c r="AM59" s="246">
        <f>IFERROR(VLOOKUP(K59,PROGRAMAS[],3,FALSE),0)</f>
        <v>0</v>
      </c>
      <c r="AN59" s="246">
        <f>IFERROR(VLOOKUP(L59,PROGRAMAS[],3,FALSE),0)</f>
        <v>0</v>
      </c>
      <c r="AO59" s="246">
        <f>IFERROR(VLOOKUP(M59,PROGRAMAS[],3,FALSE),0)</f>
        <v>0</v>
      </c>
      <c r="AP59" s="246">
        <f>IFERROR(VLOOKUP(N59,PROGRAMAS[],3,FALSE),0)</f>
        <v>0</v>
      </c>
      <c r="AQ59" s="246">
        <f>IFERROR(VLOOKUP(O59,PROGRAMAS[],3,FALSE),0)</f>
        <v>0</v>
      </c>
      <c r="AR59" s="246">
        <f>IFERROR(VLOOKUP(P59,PROGRAMAS[],3,FALSE),0)</f>
        <v>0</v>
      </c>
      <c r="AS59" s="246">
        <f>IFERROR(VLOOKUP(Q59,PROGRAMAS[],3,FALSE),0)</f>
        <v>0</v>
      </c>
      <c r="AT59" s="246">
        <f>IFERROR(VLOOKUP(D59,VOL_REC[],2,FALSE),0)</f>
        <v>0</v>
      </c>
      <c r="AU59" s="246">
        <f>IFERROR(VLOOKUP(E59,VOL_REC[],2,FALSE),0)</f>
        <v>0</v>
      </c>
      <c r="AV59" s="246">
        <f>IFERROR(VLOOKUP(F59,VOL_REC[],2,FALSE),0)</f>
        <v>11089674.200000001</v>
      </c>
      <c r="AW59" s="246">
        <f>IFERROR(VLOOKUP(G59,VOL_REC[],2,FALSE),0)</f>
        <v>663244.80000000016</v>
      </c>
      <c r="AX59" s="246">
        <f>IFERROR(VLOOKUP(H59,VOL_REC[],2,FALSE),0)</f>
        <v>105072</v>
      </c>
      <c r="AY59" s="246">
        <f>IFERROR(VLOOKUP(I59,VOL_REC[],2,FALSE),0)</f>
        <v>0</v>
      </c>
      <c r="AZ59" s="246">
        <f>IFERROR(VLOOKUP(J59,VOL_REC[],2,FALSE),0)</f>
        <v>0</v>
      </c>
      <c r="BA59" s="246">
        <f>IFERROR(VLOOKUP(K59,VOL_REC[],2,FALSE),0)</f>
        <v>0</v>
      </c>
      <c r="BB59" s="246">
        <f>IFERROR(VLOOKUP(L59,VOL_REC[],2,FALSE),0)</f>
        <v>0</v>
      </c>
      <c r="BC59" s="246">
        <f>IFERROR(VLOOKUP(M59,VOL_REC[],2,FALSE),0)</f>
        <v>0</v>
      </c>
      <c r="BD59" s="246">
        <f>IFERROR(VLOOKUP(N59,VOL_REC[],2,FALSE),0)</f>
        <v>0</v>
      </c>
      <c r="BE59" s="246">
        <f>IFERROR(VLOOKUP(O59,VOL_REC[],2,FALSE),0)</f>
        <v>0</v>
      </c>
      <c r="BF59" s="246">
        <f>IFERROR(VLOOKUP(P59,VOL_REC[],2,FALSE),0)</f>
        <v>0</v>
      </c>
      <c r="BG59" s="246">
        <f>IFERROR(VLOOKUP(Q59,VOL_REC[],2,FALSE),0)</f>
        <v>0</v>
      </c>
      <c r="BH59" s="1710">
        <f t="shared" si="0"/>
        <v>7698565378.9379663</v>
      </c>
      <c r="BI59" s="1710">
        <f t="shared" si="1"/>
        <v>10596959599.946098</v>
      </c>
      <c r="BJ59" s="1711">
        <f t="shared" si="2"/>
        <v>11857991.000000002</v>
      </c>
      <c r="BK59" s="1711">
        <f t="shared" si="3"/>
        <v>0.72648813146151137</v>
      </c>
    </row>
    <row r="60" spans="3:67" x14ac:dyDescent="0.25">
      <c r="C60" s="246" t="s">
        <v>1410</v>
      </c>
      <c r="D60" s="246">
        <v>1</v>
      </c>
      <c r="E60" s="246">
        <v>2</v>
      </c>
      <c r="F60" s="246">
        <v>3</v>
      </c>
      <c r="G60" s="246">
        <v>13</v>
      </c>
      <c r="H60" s="246">
        <v>16</v>
      </c>
      <c r="I60" s="246"/>
      <c r="J60" s="246"/>
      <c r="K60" s="246"/>
      <c r="L60" s="246"/>
      <c r="M60" s="246"/>
      <c r="N60" s="246"/>
      <c r="O60" s="246"/>
      <c r="P60" s="246"/>
      <c r="Q60" s="246"/>
      <c r="R60" s="246">
        <f>IFERROR(VLOOKUP(D60,PROGRAMAS[],2,FALSE),0)</f>
        <v>97037803.679377079</v>
      </c>
      <c r="S60" s="246">
        <f>IFERROR(VLOOKUP(E60,PROGRAMAS[],2,FALSE),0)</f>
        <v>640501509.6821388</v>
      </c>
      <c r="T60" s="246">
        <f>IFERROR(VLOOKUP(F60,PROGRAMAS[],2,FALSE),0)</f>
        <v>3062327798.1525245</v>
      </c>
      <c r="U60" s="246">
        <f>IFERROR(VLOOKUP(G60,PROGRAMAS[],2,FALSE),0)</f>
        <v>3776538594.4604583</v>
      </c>
      <c r="V60" s="246">
        <f>IFERROR(VLOOKUP(H60,PROGRAMAS[],2,FALSE),0)</f>
        <v>7068496961.0436354</v>
      </c>
      <c r="W60" s="246">
        <f>IFERROR(VLOOKUP(I60,PROGRAMAS[],2,FALSE),0)</f>
        <v>0</v>
      </c>
      <c r="X60" s="246">
        <f>IFERROR(VLOOKUP(J60,PROGRAMAS[],2,FALSE),0)</f>
        <v>0</v>
      </c>
      <c r="Y60" s="246">
        <f>IFERROR(VLOOKUP(K60,PROGRAMAS[],2,FALSE),0)</f>
        <v>0</v>
      </c>
      <c r="Z60" s="246">
        <f>IFERROR(VLOOKUP(L60,PROGRAMAS[],2,FALSE),0)</f>
        <v>0</v>
      </c>
      <c r="AA60" s="246">
        <f>IFERROR(VLOOKUP(M60,PROGRAMAS[],2,FALSE),0)</f>
        <v>0</v>
      </c>
      <c r="AB60" s="246">
        <f>IFERROR(VLOOKUP(N60,PROGRAMAS[],2,FALSE),0)</f>
        <v>0</v>
      </c>
      <c r="AC60" s="246">
        <f>IFERROR(VLOOKUP(O60,PROGRAMAS[],2,FALSE),0)</f>
        <v>0</v>
      </c>
      <c r="AD60" s="246">
        <f>IFERROR(VLOOKUP(P60,PROGRAMAS[],2,FALSE),0)</f>
        <v>0</v>
      </c>
      <c r="AE60" s="246">
        <f>IFERROR(VLOOKUP(Q60,PROGRAMAS[],2,FALSE),0)</f>
        <v>0</v>
      </c>
      <c r="AF60" s="246">
        <f>IFERROR(VLOOKUP(D60,PROGRAMAS[],3,FALSE),0)</f>
        <v>841888629.31080008</v>
      </c>
      <c r="AG60" s="246">
        <f>IFERROR(VLOOKUP(E60,PROGRAMAS[],3,FALSE),0)</f>
        <v>3848980803.1642323</v>
      </c>
      <c r="AH60" s="246">
        <f>IFERROR(VLOOKUP(F60,PROGRAMAS[],3,FALSE),0)</f>
        <v>3394901471.387517</v>
      </c>
      <c r="AI60" s="246">
        <f>IFERROR(VLOOKUP(G60,PROGRAMAS[],3,FALSE),0)</f>
        <v>2392571243.5584412</v>
      </c>
      <c r="AJ60" s="246">
        <f>IFERROR(VLOOKUP(H60,PROGRAMAS[],3,FALSE),0)</f>
        <v>2406564599.0319901</v>
      </c>
      <c r="AK60" s="246">
        <f>IFERROR(VLOOKUP(I60,PROGRAMAS[],3,FALSE),0)</f>
        <v>0</v>
      </c>
      <c r="AL60" s="246">
        <f>IFERROR(VLOOKUP(J60,PROGRAMAS[],3,FALSE),0)</f>
        <v>0</v>
      </c>
      <c r="AM60" s="246">
        <f>IFERROR(VLOOKUP(K60,PROGRAMAS[],3,FALSE),0)</f>
        <v>0</v>
      </c>
      <c r="AN60" s="246">
        <f>IFERROR(VLOOKUP(L60,PROGRAMAS[],3,FALSE),0)</f>
        <v>0</v>
      </c>
      <c r="AO60" s="246">
        <f>IFERROR(VLOOKUP(M60,PROGRAMAS[],3,FALSE),0)</f>
        <v>0</v>
      </c>
      <c r="AP60" s="246">
        <f>IFERROR(VLOOKUP(N60,PROGRAMAS[],3,FALSE),0)</f>
        <v>0</v>
      </c>
      <c r="AQ60" s="246">
        <f>IFERROR(VLOOKUP(O60,PROGRAMAS[],3,FALSE),0)</f>
        <v>0</v>
      </c>
      <c r="AR60" s="246">
        <f>IFERROR(VLOOKUP(P60,PROGRAMAS[],3,FALSE),0)</f>
        <v>0</v>
      </c>
      <c r="AS60" s="246">
        <f>IFERROR(VLOOKUP(Q60,PROGRAMAS[],3,FALSE),0)</f>
        <v>0</v>
      </c>
      <c r="AT60" s="246">
        <f>IFERROR(VLOOKUP(D60,VOL_REC[],2,FALSE),0)</f>
        <v>0</v>
      </c>
      <c r="AU60" s="246">
        <f>IFERROR(VLOOKUP(E60,VOL_REC[],2,FALSE),0)</f>
        <v>0</v>
      </c>
      <c r="AV60" s="246">
        <f>IFERROR(VLOOKUP(F60,VOL_REC[],2,FALSE),0)</f>
        <v>11089674.200000001</v>
      </c>
      <c r="AW60" s="246">
        <f>IFERROR(VLOOKUP(G60,VOL_REC[],2,FALSE),0)</f>
        <v>663244.80000000016</v>
      </c>
      <c r="AX60" s="246">
        <f>IFERROR(VLOOKUP(H60,VOL_REC[],2,FALSE),0)</f>
        <v>1072354.9981737854</v>
      </c>
      <c r="AY60" s="246">
        <f>IFERROR(VLOOKUP(I60,VOL_REC[],2,FALSE),0)</f>
        <v>0</v>
      </c>
      <c r="AZ60" s="246">
        <f>IFERROR(VLOOKUP(J60,VOL_REC[],2,FALSE),0)</f>
        <v>0</v>
      </c>
      <c r="BA60" s="246">
        <f>IFERROR(VLOOKUP(K60,VOL_REC[],2,FALSE),0)</f>
        <v>0</v>
      </c>
      <c r="BB60" s="246">
        <f>IFERROR(VLOOKUP(L60,VOL_REC[],2,FALSE),0)</f>
        <v>0</v>
      </c>
      <c r="BC60" s="246">
        <f>IFERROR(VLOOKUP(M60,VOL_REC[],2,FALSE),0)</f>
        <v>0</v>
      </c>
      <c r="BD60" s="246">
        <f>IFERROR(VLOOKUP(N60,VOL_REC[],2,FALSE),0)</f>
        <v>0</v>
      </c>
      <c r="BE60" s="246">
        <f>IFERROR(VLOOKUP(O60,VOL_REC[],2,FALSE),0)</f>
        <v>0</v>
      </c>
      <c r="BF60" s="246">
        <f>IFERROR(VLOOKUP(P60,VOL_REC[],2,FALSE),0)</f>
        <v>0</v>
      </c>
      <c r="BG60" s="246">
        <f>IFERROR(VLOOKUP(Q60,VOL_REC[],2,FALSE),0)</f>
        <v>0</v>
      </c>
      <c r="BH60" s="1710">
        <f t="shared" si="0"/>
        <v>14644902667.018135</v>
      </c>
      <c r="BI60" s="1710">
        <f t="shared" si="1"/>
        <v>12884906746.45298</v>
      </c>
      <c r="BJ60" s="1711">
        <f t="shared" si="2"/>
        <v>12825273.998173788</v>
      </c>
      <c r="BK60" s="1711">
        <f t="shared" si="3"/>
        <v>1.1365936094997082</v>
      </c>
      <c r="BL60">
        <f>BJ60</f>
        <v>12825273.998173788</v>
      </c>
      <c r="BO60">
        <f>BL60</f>
        <v>12825273.998173788</v>
      </c>
    </row>
    <row r="61" spans="3:67" x14ac:dyDescent="0.25">
      <c r="C61" s="246" t="s">
        <v>1411</v>
      </c>
      <c r="D61" s="246">
        <v>1</v>
      </c>
      <c r="E61" s="246">
        <v>2</v>
      </c>
      <c r="F61" s="246">
        <v>3</v>
      </c>
      <c r="G61" s="246">
        <v>13</v>
      </c>
      <c r="H61" s="246">
        <v>17</v>
      </c>
      <c r="I61" s="246"/>
      <c r="J61" s="246"/>
      <c r="K61" s="246"/>
      <c r="L61" s="246"/>
      <c r="M61" s="246"/>
      <c r="N61" s="246"/>
      <c r="O61" s="246"/>
      <c r="P61" s="246"/>
      <c r="Q61" s="246"/>
      <c r="R61" s="246">
        <f>IFERROR(VLOOKUP(D61,PROGRAMAS[],2,FALSE),0)</f>
        <v>97037803.679377079</v>
      </c>
      <c r="S61" s="246">
        <f>IFERROR(VLOOKUP(E61,PROGRAMAS[],2,FALSE),0)</f>
        <v>640501509.6821388</v>
      </c>
      <c r="T61" s="246">
        <f>IFERROR(VLOOKUP(F61,PROGRAMAS[],2,FALSE),0)</f>
        <v>3062327798.1525245</v>
      </c>
      <c r="U61" s="246">
        <f>IFERROR(VLOOKUP(G61,PROGRAMAS[],2,FALSE),0)</f>
        <v>3776538594.4604583</v>
      </c>
      <c r="V61" s="246">
        <f>IFERROR(VLOOKUP(H61,PROGRAMAS[],2,FALSE),0)</f>
        <v>1892779498.5211046</v>
      </c>
      <c r="W61" s="246">
        <f>IFERROR(VLOOKUP(I61,PROGRAMAS[],2,FALSE),0)</f>
        <v>0</v>
      </c>
      <c r="X61" s="246">
        <f>IFERROR(VLOOKUP(J61,PROGRAMAS[],2,FALSE),0)</f>
        <v>0</v>
      </c>
      <c r="Y61" s="246">
        <f>IFERROR(VLOOKUP(K61,PROGRAMAS[],2,FALSE),0)</f>
        <v>0</v>
      </c>
      <c r="Z61" s="246">
        <f>IFERROR(VLOOKUP(L61,PROGRAMAS[],2,FALSE),0)</f>
        <v>0</v>
      </c>
      <c r="AA61" s="246">
        <f>IFERROR(VLOOKUP(M61,PROGRAMAS[],2,FALSE),0)</f>
        <v>0</v>
      </c>
      <c r="AB61" s="246">
        <f>IFERROR(VLOOKUP(N61,PROGRAMAS[],2,FALSE),0)</f>
        <v>0</v>
      </c>
      <c r="AC61" s="246">
        <f>IFERROR(VLOOKUP(O61,PROGRAMAS[],2,FALSE),0)</f>
        <v>0</v>
      </c>
      <c r="AD61" s="246">
        <f>IFERROR(VLOOKUP(P61,PROGRAMAS[],2,FALSE),0)</f>
        <v>0</v>
      </c>
      <c r="AE61" s="246">
        <f>IFERROR(VLOOKUP(Q61,PROGRAMAS[],2,FALSE),0)</f>
        <v>0</v>
      </c>
      <c r="AF61" s="246">
        <f>IFERROR(VLOOKUP(D61,PROGRAMAS[],3,FALSE),0)</f>
        <v>841888629.31080008</v>
      </c>
      <c r="AG61" s="246">
        <f>IFERROR(VLOOKUP(E61,PROGRAMAS[],3,FALSE),0)</f>
        <v>3848980803.1642323</v>
      </c>
      <c r="AH61" s="246">
        <f>IFERROR(VLOOKUP(F61,PROGRAMAS[],3,FALSE),0)</f>
        <v>3394901471.387517</v>
      </c>
      <c r="AI61" s="246">
        <f>IFERROR(VLOOKUP(G61,PROGRAMAS[],3,FALSE),0)</f>
        <v>2392571243.5584412</v>
      </c>
      <c r="AJ61" s="246">
        <f>IFERROR(VLOOKUP(H61,PROGRAMAS[],3,FALSE),0)</f>
        <v>948595847.09039903</v>
      </c>
      <c r="AK61" s="246">
        <f>IFERROR(VLOOKUP(I61,PROGRAMAS[],3,FALSE),0)</f>
        <v>0</v>
      </c>
      <c r="AL61" s="246">
        <f>IFERROR(VLOOKUP(J61,PROGRAMAS[],3,FALSE),0)</f>
        <v>0</v>
      </c>
      <c r="AM61" s="246">
        <f>IFERROR(VLOOKUP(K61,PROGRAMAS[],3,FALSE),0)</f>
        <v>0</v>
      </c>
      <c r="AN61" s="246">
        <f>IFERROR(VLOOKUP(L61,PROGRAMAS[],3,FALSE),0)</f>
        <v>0</v>
      </c>
      <c r="AO61" s="246">
        <f>IFERROR(VLOOKUP(M61,PROGRAMAS[],3,FALSE),0)</f>
        <v>0</v>
      </c>
      <c r="AP61" s="246">
        <f>IFERROR(VLOOKUP(N61,PROGRAMAS[],3,FALSE),0)</f>
        <v>0</v>
      </c>
      <c r="AQ61" s="246">
        <f>IFERROR(VLOOKUP(O61,PROGRAMAS[],3,FALSE),0)</f>
        <v>0</v>
      </c>
      <c r="AR61" s="246">
        <f>IFERROR(VLOOKUP(P61,PROGRAMAS[],3,FALSE),0)</f>
        <v>0</v>
      </c>
      <c r="AS61" s="246">
        <f>IFERROR(VLOOKUP(Q61,PROGRAMAS[],3,FALSE),0)</f>
        <v>0</v>
      </c>
      <c r="AT61" s="246">
        <f>IFERROR(VLOOKUP(D61,VOL_REC[],2,FALSE),0)</f>
        <v>0</v>
      </c>
      <c r="AU61" s="246">
        <f>IFERROR(VLOOKUP(E61,VOL_REC[],2,FALSE),0)</f>
        <v>0</v>
      </c>
      <c r="AV61" s="246">
        <f>IFERROR(VLOOKUP(F61,VOL_REC[],2,FALSE),0)</f>
        <v>11089674.200000001</v>
      </c>
      <c r="AW61" s="246">
        <f>IFERROR(VLOOKUP(G61,VOL_REC[],2,FALSE),0)</f>
        <v>663244.80000000016</v>
      </c>
      <c r="AX61" s="246">
        <f>IFERROR(VLOOKUP(H61,VOL_REC[],2,FALSE),0)</f>
        <v>740113.98115702497</v>
      </c>
      <c r="AY61" s="246">
        <f>IFERROR(VLOOKUP(I61,VOL_REC[],2,FALSE),0)</f>
        <v>0</v>
      </c>
      <c r="AZ61" s="246">
        <f>IFERROR(VLOOKUP(J61,VOL_REC[],2,FALSE),0)</f>
        <v>0</v>
      </c>
      <c r="BA61" s="246">
        <f>IFERROR(VLOOKUP(K61,VOL_REC[],2,FALSE),0)</f>
        <v>0</v>
      </c>
      <c r="BB61" s="246">
        <f>IFERROR(VLOOKUP(L61,VOL_REC[],2,FALSE),0)</f>
        <v>0</v>
      </c>
      <c r="BC61" s="246">
        <f>IFERROR(VLOOKUP(M61,VOL_REC[],2,FALSE),0)</f>
        <v>0</v>
      </c>
      <c r="BD61" s="246">
        <f>IFERROR(VLOOKUP(N61,VOL_REC[],2,FALSE),0)</f>
        <v>0</v>
      </c>
      <c r="BE61" s="246">
        <f>IFERROR(VLOOKUP(O61,VOL_REC[],2,FALSE),0)</f>
        <v>0</v>
      </c>
      <c r="BF61" s="246">
        <f>IFERROR(VLOOKUP(P61,VOL_REC[],2,FALSE),0)</f>
        <v>0</v>
      </c>
      <c r="BG61" s="246">
        <f>IFERROR(VLOOKUP(Q61,VOL_REC[],2,FALSE),0)</f>
        <v>0</v>
      </c>
      <c r="BH61" s="1710">
        <f t="shared" si="0"/>
        <v>9469185204.4956036</v>
      </c>
      <c r="BI61" s="1710">
        <f t="shared" si="1"/>
        <v>11426937994.511389</v>
      </c>
      <c r="BJ61" s="1711">
        <f t="shared" si="2"/>
        <v>12493032.981157027</v>
      </c>
      <c r="BK61" s="1711">
        <f t="shared" si="3"/>
        <v>0.82867214375748455</v>
      </c>
    </row>
    <row r="62" spans="3:67" x14ac:dyDescent="0.25">
      <c r="C62" s="246" t="s">
        <v>1412</v>
      </c>
      <c r="D62" s="246">
        <v>1</v>
      </c>
      <c r="E62" s="246">
        <v>2</v>
      </c>
      <c r="F62" s="246">
        <v>3</v>
      </c>
      <c r="G62" s="246">
        <v>14</v>
      </c>
      <c r="H62" s="246">
        <v>15</v>
      </c>
      <c r="I62" s="246"/>
      <c r="J62" s="246"/>
      <c r="K62" s="246"/>
      <c r="L62" s="246"/>
      <c r="M62" s="246"/>
      <c r="N62" s="246"/>
      <c r="O62" s="246"/>
      <c r="P62" s="246"/>
      <c r="Q62" s="246"/>
      <c r="R62" s="246">
        <f>IFERROR(VLOOKUP(D62,PROGRAMAS[],2,FALSE),0)</f>
        <v>97037803.679377079</v>
      </c>
      <c r="S62" s="246">
        <f>IFERROR(VLOOKUP(E62,PROGRAMAS[],2,FALSE),0)</f>
        <v>640501509.6821388</v>
      </c>
      <c r="T62" s="246">
        <f>IFERROR(VLOOKUP(F62,PROGRAMAS[],2,FALSE),0)</f>
        <v>3062327798.1525245</v>
      </c>
      <c r="U62" s="246">
        <f>IFERROR(VLOOKUP(G62,PROGRAMAS[],2,FALSE),0)</f>
        <v>54223862.645839565</v>
      </c>
      <c r="V62" s="246">
        <f>IFERROR(VLOOKUP(H62,PROGRAMAS[],2,FALSE),0)</f>
        <v>122159672.96346797</v>
      </c>
      <c r="W62" s="246">
        <f>IFERROR(VLOOKUP(I62,PROGRAMAS[],2,FALSE),0)</f>
        <v>0</v>
      </c>
      <c r="X62" s="246">
        <f>IFERROR(VLOOKUP(J62,PROGRAMAS[],2,FALSE),0)</f>
        <v>0</v>
      </c>
      <c r="Y62" s="246">
        <f>IFERROR(VLOOKUP(K62,PROGRAMAS[],2,FALSE),0)</f>
        <v>0</v>
      </c>
      <c r="Z62" s="246">
        <f>IFERROR(VLOOKUP(L62,PROGRAMAS[],2,FALSE),0)</f>
        <v>0</v>
      </c>
      <c r="AA62" s="246">
        <f>IFERROR(VLOOKUP(M62,PROGRAMAS[],2,FALSE),0)</f>
        <v>0</v>
      </c>
      <c r="AB62" s="246">
        <f>IFERROR(VLOOKUP(N62,PROGRAMAS[],2,FALSE),0)</f>
        <v>0</v>
      </c>
      <c r="AC62" s="246">
        <f>IFERROR(VLOOKUP(O62,PROGRAMAS[],2,FALSE),0)</f>
        <v>0</v>
      </c>
      <c r="AD62" s="246">
        <f>IFERROR(VLOOKUP(P62,PROGRAMAS[],2,FALSE),0)</f>
        <v>0</v>
      </c>
      <c r="AE62" s="246">
        <f>IFERROR(VLOOKUP(Q62,PROGRAMAS[],2,FALSE),0)</f>
        <v>0</v>
      </c>
      <c r="AF62" s="246">
        <f>IFERROR(VLOOKUP(D62,PROGRAMAS[],3,FALSE),0)</f>
        <v>841888629.31080008</v>
      </c>
      <c r="AG62" s="246">
        <f>IFERROR(VLOOKUP(E62,PROGRAMAS[],3,FALSE),0)</f>
        <v>3848980803.1642323</v>
      </c>
      <c r="AH62" s="246">
        <f>IFERROR(VLOOKUP(F62,PROGRAMAS[],3,FALSE),0)</f>
        <v>3394901471.387517</v>
      </c>
      <c r="AI62" s="246">
        <f>IFERROR(VLOOKUP(G62,PROGRAMAS[],3,FALSE),0)</f>
        <v>31865326.38096505</v>
      </c>
      <c r="AJ62" s="246">
        <f>IFERROR(VLOOKUP(H62,PROGRAMAS[],3,FALSE),0)</f>
        <v>118617452.52510804</v>
      </c>
      <c r="AK62" s="246">
        <f>IFERROR(VLOOKUP(I62,PROGRAMAS[],3,FALSE),0)</f>
        <v>0</v>
      </c>
      <c r="AL62" s="246">
        <f>IFERROR(VLOOKUP(J62,PROGRAMAS[],3,FALSE),0)</f>
        <v>0</v>
      </c>
      <c r="AM62" s="246">
        <f>IFERROR(VLOOKUP(K62,PROGRAMAS[],3,FALSE),0)</f>
        <v>0</v>
      </c>
      <c r="AN62" s="246">
        <f>IFERROR(VLOOKUP(L62,PROGRAMAS[],3,FALSE),0)</f>
        <v>0</v>
      </c>
      <c r="AO62" s="246">
        <f>IFERROR(VLOOKUP(M62,PROGRAMAS[],3,FALSE),0)</f>
        <v>0</v>
      </c>
      <c r="AP62" s="246">
        <f>IFERROR(VLOOKUP(N62,PROGRAMAS[],3,FALSE),0)</f>
        <v>0</v>
      </c>
      <c r="AQ62" s="246">
        <f>IFERROR(VLOOKUP(O62,PROGRAMAS[],3,FALSE),0)</f>
        <v>0</v>
      </c>
      <c r="AR62" s="246">
        <f>IFERROR(VLOOKUP(P62,PROGRAMAS[],3,FALSE),0)</f>
        <v>0</v>
      </c>
      <c r="AS62" s="246">
        <f>IFERROR(VLOOKUP(Q62,PROGRAMAS[],3,FALSE),0)</f>
        <v>0</v>
      </c>
      <c r="AT62" s="246">
        <f>IFERROR(VLOOKUP(D62,VOL_REC[],2,FALSE),0)</f>
        <v>0</v>
      </c>
      <c r="AU62" s="246">
        <f>IFERROR(VLOOKUP(E62,VOL_REC[],2,FALSE),0)</f>
        <v>0</v>
      </c>
      <c r="AV62" s="246">
        <f>IFERROR(VLOOKUP(F62,VOL_REC[],2,FALSE),0)</f>
        <v>11089674.200000001</v>
      </c>
      <c r="AW62" s="246">
        <f>IFERROR(VLOOKUP(G62,VOL_REC[],2,FALSE),0)</f>
        <v>17074.045034105649</v>
      </c>
      <c r="AX62" s="246">
        <f>IFERROR(VLOOKUP(H62,VOL_REC[],2,FALSE),0)</f>
        <v>105072</v>
      </c>
      <c r="AY62" s="246">
        <f>IFERROR(VLOOKUP(I62,VOL_REC[],2,FALSE),0)</f>
        <v>0</v>
      </c>
      <c r="AZ62" s="246">
        <f>IFERROR(VLOOKUP(J62,VOL_REC[],2,FALSE),0)</f>
        <v>0</v>
      </c>
      <c r="BA62" s="246">
        <f>IFERROR(VLOOKUP(K62,VOL_REC[],2,FALSE),0)</f>
        <v>0</v>
      </c>
      <c r="BB62" s="246">
        <f>IFERROR(VLOOKUP(L62,VOL_REC[],2,FALSE),0)</f>
        <v>0</v>
      </c>
      <c r="BC62" s="246">
        <f>IFERROR(VLOOKUP(M62,VOL_REC[],2,FALSE),0)</f>
        <v>0</v>
      </c>
      <c r="BD62" s="246">
        <f>IFERROR(VLOOKUP(N62,VOL_REC[],2,FALSE),0)</f>
        <v>0</v>
      </c>
      <c r="BE62" s="246">
        <f>IFERROR(VLOOKUP(O62,VOL_REC[],2,FALSE),0)</f>
        <v>0</v>
      </c>
      <c r="BF62" s="246">
        <f>IFERROR(VLOOKUP(P62,VOL_REC[],2,FALSE),0)</f>
        <v>0</v>
      </c>
      <c r="BG62" s="246">
        <f>IFERROR(VLOOKUP(Q62,VOL_REC[],2,FALSE),0)</f>
        <v>0</v>
      </c>
      <c r="BH62" s="1710">
        <f t="shared" si="0"/>
        <v>3976250647.1233482</v>
      </c>
      <c r="BI62" s="1710">
        <f t="shared" si="1"/>
        <v>8236253682.7686234</v>
      </c>
      <c r="BJ62" s="1711">
        <f t="shared" si="2"/>
        <v>11211820.245034106</v>
      </c>
      <c r="BK62" s="1711">
        <f t="shared" si="3"/>
        <v>0.48277418353956386</v>
      </c>
    </row>
    <row r="63" spans="3:67" x14ac:dyDescent="0.25">
      <c r="C63" s="246" t="s">
        <v>1413</v>
      </c>
      <c r="D63" s="246">
        <v>1</v>
      </c>
      <c r="E63" s="246">
        <v>2</v>
      </c>
      <c r="F63" s="246">
        <v>3</v>
      </c>
      <c r="G63" s="246">
        <v>14</v>
      </c>
      <c r="H63" s="246">
        <v>16</v>
      </c>
      <c r="I63" s="246"/>
      <c r="J63" s="246"/>
      <c r="K63" s="246"/>
      <c r="L63" s="246"/>
      <c r="M63" s="246"/>
      <c r="N63" s="246"/>
      <c r="O63" s="246"/>
      <c r="P63" s="246"/>
      <c r="Q63" s="246"/>
      <c r="R63" s="246">
        <f>IFERROR(VLOOKUP(D63,PROGRAMAS[],2,FALSE),0)</f>
        <v>97037803.679377079</v>
      </c>
      <c r="S63" s="246">
        <f>IFERROR(VLOOKUP(E63,PROGRAMAS[],2,FALSE),0)</f>
        <v>640501509.6821388</v>
      </c>
      <c r="T63" s="246">
        <f>IFERROR(VLOOKUP(F63,PROGRAMAS[],2,FALSE),0)</f>
        <v>3062327798.1525245</v>
      </c>
      <c r="U63" s="246">
        <f>IFERROR(VLOOKUP(G63,PROGRAMAS[],2,FALSE),0)</f>
        <v>54223862.645839565</v>
      </c>
      <c r="V63" s="246">
        <f>IFERROR(VLOOKUP(H63,PROGRAMAS[],2,FALSE),0)</f>
        <v>7068496961.0436354</v>
      </c>
      <c r="W63" s="246">
        <f>IFERROR(VLOOKUP(I63,PROGRAMAS[],2,FALSE),0)</f>
        <v>0</v>
      </c>
      <c r="X63" s="246">
        <f>IFERROR(VLOOKUP(J63,PROGRAMAS[],2,FALSE),0)</f>
        <v>0</v>
      </c>
      <c r="Y63" s="246">
        <f>IFERROR(VLOOKUP(K63,PROGRAMAS[],2,FALSE),0)</f>
        <v>0</v>
      </c>
      <c r="Z63" s="246">
        <f>IFERROR(VLOOKUP(L63,PROGRAMAS[],2,FALSE),0)</f>
        <v>0</v>
      </c>
      <c r="AA63" s="246">
        <f>IFERROR(VLOOKUP(M63,PROGRAMAS[],2,FALSE),0)</f>
        <v>0</v>
      </c>
      <c r="AB63" s="246">
        <f>IFERROR(VLOOKUP(N63,PROGRAMAS[],2,FALSE),0)</f>
        <v>0</v>
      </c>
      <c r="AC63" s="246">
        <f>IFERROR(VLOOKUP(O63,PROGRAMAS[],2,FALSE),0)</f>
        <v>0</v>
      </c>
      <c r="AD63" s="246">
        <f>IFERROR(VLOOKUP(P63,PROGRAMAS[],2,FALSE),0)</f>
        <v>0</v>
      </c>
      <c r="AE63" s="246">
        <f>IFERROR(VLOOKUP(Q63,PROGRAMAS[],2,FALSE),0)</f>
        <v>0</v>
      </c>
      <c r="AF63" s="246">
        <f>IFERROR(VLOOKUP(D63,PROGRAMAS[],3,FALSE),0)</f>
        <v>841888629.31080008</v>
      </c>
      <c r="AG63" s="246">
        <f>IFERROR(VLOOKUP(E63,PROGRAMAS[],3,FALSE),0)</f>
        <v>3848980803.1642323</v>
      </c>
      <c r="AH63" s="246">
        <f>IFERROR(VLOOKUP(F63,PROGRAMAS[],3,FALSE),0)</f>
        <v>3394901471.387517</v>
      </c>
      <c r="AI63" s="246">
        <f>IFERROR(VLOOKUP(G63,PROGRAMAS[],3,FALSE),0)</f>
        <v>31865326.38096505</v>
      </c>
      <c r="AJ63" s="246">
        <f>IFERROR(VLOOKUP(H63,PROGRAMAS[],3,FALSE),0)</f>
        <v>2406564599.0319901</v>
      </c>
      <c r="AK63" s="246">
        <f>IFERROR(VLOOKUP(I63,PROGRAMAS[],3,FALSE),0)</f>
        <v>0</v>
      </c>
      <c r="AL63" s="246">
        <f>IFERROR(VLOOKUP(J63,PROGRAMAS[],3,FALSE),0)</f>
        <v>0</v>
      </c>
      <c r="AM63" s="246">
        <f>IFERROR(VLOOKUP(K63,PROGRAMAS[],3,FALSE),0)</f>
        <v>0</v>
      </c>
      <c r="AN63" s="246">
        <f>IFERROR(VLOOKUP(L63,PROGRAMAS[],3,FALSE),0)</f>
        <v>0</v>
      </c>
      <c r="AO63" s="246">
        <f>IFERROR(VLOOKUP(M63,PROGRAMAS[],3,FALSE),0)</f>
        <v>0</v>
      </c>
      <c r="AP63" s="246">
        <f>IFERROR(VLOOKUP(N63,PROGRAMAS[],3,FALSE),0)</f>
        <v>0</v>
      </c>
      <c r="AQ63" s="246">
        <f>IFERROR(VLOOKUP(O63,PROGRAMAS[],3,FALSE),0)</f>
        <v>0</v>
      </c>
      <c r="AR63" s="246">
        <f>IFERROR(VLOOKUP(P63,PROGRAMAS[],3,FALSE),0)</f>
        <v>0</v>
      </c>
      <c r="AS63" s="246">
        <f>IFERROR(VLOOKUP(Q63,PROGRAMAS[],3,FALSE),0)</f>
        <v>0</v>
      </c>
      <c r="AT63" s="246">
        <f>IFERROR(VLOOKUP(D63,VOL_REC[],2,FALSE),0)</f>
        <v>0</v>
      </c>
      <c r="AU63" s="246">
        <f>IFERROR(VLOOKUP(E63,VOL_REC[],2,FALSE),0)</f>
        <v>0</v>
      </c>
      <c r="AV63" s="246">
        <f>IFERROR(VLOOKUP(F63,VOL_REC[],2,FALSE),0)</f>
        <v>11089674.200000001</v>
      </c>
      <c r="AW63" s="246">
        <f>IFERROR(VLOOKUP(G63,VOL_REC[],2,FALSE),0)</f>
        <v>17074.045034105649</v>
      </c>
      <c r="AX63" s="246">
        <f>IFERROR(VLOOKUP(H63,VOL_REC[],2,FALSE),0)</f>
        <v>1072354.9981737854</v>
      </c>
      <c r="AY63" s="246">
        <f>IFERROR(VLOOKUP(I63,VOL_REC[],2,FALSE),0)</f>
        <v>0</v>
      </c>
      <c r="AZ63" s="246">
        <f>IFERROR(VLOOKUP(J63,VOL_REC[],2,FALSE),0)</f>
        <v>0</v>
      </c>
      <c r="BA63" s="246">
        <f>IFERROR(VLOOKUP(K63,VOL_REC[],2,FALSE),0)</f>
        <v>0</v>
      </c>
      <c r="BB63" s="246">
        <f>IFERROR(VLOOKUP(L63,VOL_REC[],2,FALSE),0)</f>
        <v>0</v>
      </c>
      <c r="BC63" s="246">
        <f>IFERROR(VLOOKUP(M63,VOL_REC[],2,FALSE),0)</f>
        <v>0</v>
      </c>
      <c r="BD63" s="246">
        <f>IFERROR(VLOOKUP(N63,VOL_REC[],2,FALSE),0)</f>
        <v>0</v>
      </c>
      <c r="BE63" s="246">
        <f>IFERROR(VLOOKUP(O63,VOL_REC[],2,FALSE),0)</f>
        <v>0</v>
      </c>
      <c r="BF63" s="246">
        <f>IFERROR(VLOOKUP(P63,VOL_REC[],2,FALSE),0)</f>
        <v>0</v>
      </c>
      <c r="BG63" s="246">
        <f>IFERROR(VLOOKUP(Q63,VOL_REC[],2,FALSE),0)</f>
        <v>0</v>
      </c>
      <c r="BH63" s="1710">
        <f t="shared" si="0"/>
        <v>10922587935.203516</v>
      </c>
      <c r="BI63" s="1710">
        <f t="shared" si="1"/>
        <v>10524200829.275505</v>
      </c>
      <c r="BJ63" s="1711">
        <f t="shared" si="2"/>
        <v>12179103.243207891</v>
      </c>
      <c r="BK63" s="1711">
        <f t="shared" si="3"/>
        <v>1.0378543808114917</v>
      </c>
      <c r="BL63">
        <f>BJ63</f>
        <v>12179103.243207891</v>
      </c>
      <c r="BO63">
        <f>BL63</f>
        <v>12179103.243207891</v>
      </c>
    </row>
    <row r="64" spans="3:67" x14ac:dyDescent="0.25">
      <c r="C64" s="246" t="s">
        <v>1414</v>
      </c>
      <c r="D64" s="246">
        <v>1</v>
      </c>
      <c r="E64" s="246">
        <v>2</v>
      </c>
      <c r="F64" s="246">
        <v>3</v>
      </c>
      <c r="G64" s="246">
        <v>14</v>
      </c>
      <c r="H64" s="246">
        <v>17</v>
      </c>
      <c r="I64" s="246"/>
      <c r="J64" s="246"/>
      <c r="K64" s="246"/>
      <c r="L64" s="246"/>
      <c r="M64" s="246"/>
      <c r="N64" s="246"/>
      <c r="O64" s="246"/>
      <c r="P64" s="246"/>
      <c r="Q64" s="246"/>
      <c r="R64" s="246">
        <f>IFERROR(VLOOKUP(D64,PROGRAMAS[],2,FALSE),0)</f>
        <v>97037803.679377079</v>
      </c>
      <c r="S64" s="246">
        <f>IFERROR(VLOOKUP(E64,PROGRAMAS[],2,FALSE),0)</f>
        <v>640501509.6821388</v>
      </c>
      <c r="T64" s="246">
        <f>IFERROR(VLOOKUP(F64,PROGRAMAS[],2,FALSE),0)</f>
        <v>3062327798.1525245</v>
      </c>
      <c r="U64" s="246">
        <f>IFERROR(VLOOKUP(G64,PROGRAMAS[],2,FALSE),0)</f>
        <v>54223862.645839565</v>
      </c>
      <c r="V64" s="246">
        <f>IFERROR(VLOOKUP(H64,PROGRAMAS[],2,FALSE),0)</f>
        <v>1892779498.5211046</v>
      </c>
      <c r="W64" s="246">
        <f>IFERROR(VLOOKUP(I64,PROGRAMAS[],2,FALSE),0)</f>
        <v>0</v>
      </c>
      <c r="X64" s="246">
        <f>IFERROR(VLOOKUP(J64,PROGRAMAS[],2,FALSE),0)</f>
        <v>0</v>
      </c>
      <c r="Y64" s="246">
        <f>IFERROR(VLOOKUP(K64,PROGRAMAS[],2,FALSE),0)</f>
        <v>0</v>
      </c>
      <c r="Z64" s="246">
        <f>IFERROR(VLOOKUP(L64,PROGRAMAS[],2,FALSE),0)</f>
        <v>0</v>
      </c>
      <c r="AA64" s="246">
        <f>IFERROR(VLOOKUP(M64,PROGRAMAS[],2,FALSE),0)</f>
        <v>0</v>
      </c>
      <c r="AB64" s="246">
        <f>IFERROR(VLOOKUP(N64,PROGRAMAS[],2,FALSE),0)</f>
        <v>0</v>
      </c>
      <c r="AC64" s="246">
        <f>IFERROR(VLOOKUP(O64,PROGRAMAS[],2,FALSE),0)</f>
        <v>0</v>
      </c>
      <c r="AD64" s="246">
        <f>IFERROR(VLOOKUP(P64,PROGRAMAS[],2,FALSE),0)</f>
        <v>0</v>
      </c>
      <c r="AE64" s="246">
        <f>IFERROR(VLOOKUP(Q64,PROGRAMAS[],2,FALSE),0)</f>
        <v>0</v>
      </c>
      <c r="AF64" s="246">
        <f>IFERROR(VLOOKUP(D64,PROGRAMAS[],3,FALSE),0)</f>
        <v>841888629.31080008</v>
      </c>
      <c r="AG64" s="246">
        <f>IFERROR(VLOOKUP(E64,PROGRAMAS[],3,FALSE),0)</f>
        <v>3848980803.1642323</v>
      </c>
      <c r="AH64" s="246">
        <f>IFERROR(VLOOKUP(F64,PROGRAMAS[],3,FALSE),0)</f>
        <v>3394901471.387517</v>
      </c>
      <c r="AI64" s="246">
        <f>IFERROR(VLOOKUP(G64,PROGRAMAS[],3,FALSE),0)</f>
        <v>31865326.38096505</v>
      </c>
      <c r="AJ64" s="246">
        <f>IFERROR(VLOOKUP(H64,PROGRAMAS[],3,FALSE),0)</f>
        <v>948595847.09039903</v>
      </c>
      <c r="AK64" s="246">
        <f>IFERROR(VLOOKUP(I64,PROGRAMAS[],3,FALSE),0)</f>
        <v>0</v>
      </c>
      <c r="AL64" s="246">
        <f>IFERROR(VLOOKUP(J64,PROGRAMAS[],3,FALSE),0)</f>
        <v>0</v>
      </c>
      <c r="AM64" s="246">
        <f>IFERROR(VLOOKUP(K64,PROGRAMAS[],3,FALSE),0)</f>
        <v>0</v>
      </c>
      <c r="AN64" s="246">
        <f>IFERROR(VLOOKUP(L64,PROGRAMAS[],3,FALSE),0)</f>
        <v>0</v>
      </c>
      <c r="AO64" s="246">
        <f>IFERROR(VLOOKUP(M64,PROGRAMAS[],3,FALSE),0)</f>
        <v>0</v>
      </c>
      <c r="AP64" s="246">
        <f>IFERROR(VLOOKUP(N64,PROGRAMAS[],3,FALSE),0)</f>
        <v>0</v>
      </c>
      <c r="AQ64" s="246">
        <f>IFERROR(VLOOKUP(O64,PROGRAMAS[],3,FALSE),0)</f>
        <v>0</v>
      </c>
      <c r="AR64" s="246">
        <f>IFERROR(VLOOKUP(P64,PROGRAMAS[],3,FALSE),0)</f>
        <v>0</v>
      </c>
      <c r="AS64" s="246">
        <f>IFERROR(VLOOKUP(Q64,PROGRAMAS[],3,FALSE),0)</f>
        <v>0</v>
      </c>
      <c r="AT64" s="246">
        <f>IFERROR(VLOOKUP(D64,VOL_REC[],2,FALSE),0)</f>
        <v>0</v>
      </c>
      <c r="AU64" s="246">
        <f>IFERROR(VLOOKUP(E64,VOL_REC[],2,FALSE),0)</f>
        <v>0</v>
      </c>
      <c r="AV64" s="246">
        <f>IFERROR(VLOOKUP(F64,VOL_REC[],2,FALSE),0)</f>
        <v>11089674.200000001</v>
      </c>
      <c r="AW64" s="246">
        <f>IFERROR(VLOOKUP(G64,VOL_REC[],2,FALSE),0)</f>
        <v>17074.045034105649</v>
      </c>
      <c r="AX64" s="246">
        <f>IFERROR(VLOOKUP(H64,VOL_REC[],2,FALSE),0)</f>
        <v>740113.98115702497</v>
      </c>
      <c r="AY64" s="246">
        <f>IFERROR(VLOOKUP(I64,VOL_REC[],2,FALSE),0)</f>
        <v>0</v>
      </c>
      <c r="AZ64" s="246">
        <f>IFERROR(VLOOKUP(J64,VOL_REC[],2,FALSE),0)</f>
        <v>0</v>
      </c>
      <c r="BA64" s="246">
        <f>IFERROR(VLOOKUP(K64,VOL_REC[],2,FALSE),0)</f>
        <v>0</v>
      </c>
      <c r="BB64" s="246">
        <f>IFERROR(VLOOKUP(L64,VOL_REC[],2,FALSE),0)</f>
        <v>0</v>
      </c>
      <c r="BC64" s="246">
        <f>IFERROR(VLOOKUP(M64,VOL_REC[],2,FALSE),0)</f>
        <v>0</v>
      </c>
      <c r="BD64" s="246">
        <f>IFERROR(VLOOKUP(N64,VOL_REC[],2,FALSE),0)</f>
        <v>0</v>
      </c>
      <c r="BE64" s="246">
        <f>IFERROR(VLOOKUP(O64,VOL_REC[],2,FALSE),0)</f>
        <v>0</v>
      </c>
      <c r="BF64" s="246">
        <f>IFERROR(VLOOKUP(P64,VOL_REC[],2,FALSE),0)</f>
        <v>0</v>
      </c>
      <c r="BG64" s="246">
        <f>IFERROR(VLOOKUP(Q64,VOL_REC[],2,FALSE),0)</f>
        <v>0</v>
      </c>
      <c r="BH64" s="1710">
        <f t="shared" si="0"/>
        <v>5746870472.6809845</v>
      </c>
      <c r="BI64" s="1710">
        <f t="shared" si="1"/>
        <v>9066232077.3339138</v>
      </c>
      <c r="BJ64" s="1711">
        <f t="shared" si="2"/>
        <v>11846862.226191131</v>
      </c>
      <c r="BK64" s="1711">
        <f t="shared" si="3"/>
        <v>0.63387639138959184</v>
      </c>
    </row>
    <row r="65" spans="3:67" x14ac:dyDescent="0.25">
      <c r="C65" s="246" t="s">
        <v>1415</v>
      </c>
      <c r="D65" s="246">
        <v>1</v>
      </c>
      <c r="E65" s="246">
        <v>2</v>
      </c>
      <c r="F65" s="246">
        <v>3</v>
      </c>
      <c r="G65" s="246">
        <v>15</v>
      </c>
      <c r="H65" s="246">
        <v>16</v>
      </c>
      <c r="I65" s="246"/>
      <c r="J65" s="246"/>
      <c r="K65" s="246"/>
      <c r="L65" s="246"/>
      <c r="M65" s="246"/>
      <c r="N65" s="246"/>
      <c r="O65" s="246"/>
      <c r="P65" s="246"/>
      <c r="Q65" s="246"/>
      <c r="R65" s="246">
        <f>IFERROR(VLOOKUP(D65,PROGRAMAS[],2,FALSE),0)</f>
        <v>97037803.679377079</v>
      </c>
      <c r="S65" s="246">
        <f>IFERROR(VLOOKUP(E65,PROGRAMAS[],2,FALSE),0)</f>
        <v>640501509.6821388</v>
      </c>
      <c r="T65" s="246">
        <f>IFERROR(VLOOKUP(F65,PROGRAMAS[],2,FALSE),0)</f>
        <v>3062327798.1525245</v>
      </c>
      <c r="U65" s="246">
        <f>IFERROR(VLOOKUP(G65,PROGRAMAS[],2,FALSE),0)</f>
        <v>122159672.96346797</v>
      </c>
      <c r="V65" s="246">
        <f>IFERROR(VLOOKUP(H65,PROGRAMAS[],2,FALSE),0)</f>
        <v>7068496961.0436354</v>
      </c>
      <c r="W65" s="246">
        <f>IFERROR(VLOOKUP(I65,PROGRAMAS[],2,FALSE),0)</f>
        <v>0</v>
      </c>
      <c r="X65" s="246">
        <f>IFERROR(VLOOKUP(J65,PROGRAMAS[],2,FALSE),0)</f>
        <v>0</v>
      </c>
      <c r="Y65" s="246">
        <f>IFERROR(VLOOKUP(K65,PROGRAMAS[],2,FALSE),0)</f>
        <v>0</v>
      </c>
      <c r="Z65" s="246">
        <f>IFERROR(VLOOKUP(L65,PROGRAMAS[],2,FALSE),0)</f>
        <v>0</v>
      </c>
      <c r="AA65" s="246">
        <f>IFERROR(VLOOKUP(M65,PROGRAMAS[],2,FALSE),0)</f>
        <v>0</v>
      </c>
      <c r="AB65" s="246">
        <f>IFERROR(VLOOKUP(N65,PROGRAMAS[],2,FALSE),0)</f>
        <v>0</v>
      </c>
      <c r="AC65" s="246">
        <f>IFERROR(VLOOKUP(O65,PROGRAMAS[],2,FALSE),0)</f>
        <v>0</v>
      </c>
      <c r="AD65" s="246">
        <f>IFERROR(VLOOKUP(P65,PROGRAMAS[],2,FALSE),0)</f>
        <v>0</v>
      </c>
      <c r="AE65" s="246">
        <f>IFERROR(VLOOKUP(Q65,PROGRAMAS[],2,FALSE),0)</f>
        <v>0</v>
      </c>
      <c r="AF65" s="246">
        <f>IFERROR(VLOOKUP(D65,PROGRAMAS[],3,FALSE),0)</f>
        <v>841888629.31080008</v>
      </c>
      <c r="AG65" s="246">
        <f>IFERROR(VLOOKUP(E65,PROGRAMAS[],3,FALSE),0)</f>
        <v>3848980803.1642323</v>
      </c>
      <c r="AH65" s="246">
        <f>IFERROR(VLOOKUP(F65,PROGRAMAS[],3,FALSE),0)</f>
        <v>3394901471.387517</v>
      </c>
      <c r="AI65" s="246">
        <f>IFERROR(VLOOKUP(G65,PROGRAMAS[],3,FALSE),0)</f>
        <v>118617452.52510804</v>
      </c>
      <c r="AJ65" s="246">
        <f>IFERROR(VLOOKUP(H65,PROGRAMAS[],3,FALSE),0)</f>
        <v>2406564599.0319901</v>
      </c>
      <c r="AK65" s="246">
        <f>IFERROR(VLOOKUP(I65,PROGRAMAS[],3,FALSE),0)</f>
        <v>0</v>
      </c>
      <c r="AL65" s="246">
        <f>IFERROR(VLOOKUP(J65,PROGRAMAS[],3,FALSE),0)</f>
        <v>0</v>
      </c>
      <c r="AM65" s="246">
        <f>IFERROR(VLOOKUP(K65,PROGRAMAS[],3,FALSE),0)</f>
        <v>0</v>
      </c>
      <c r="AN65" s="246">
        <f>IFERROR(VLOOKUP(L65,PROGRAMAS[],3,FALSE),0)</f>
        <v>0</v>
      </c>
      <c r="AO65" s="246">
        <f>IFERROR(VLOOKUP(M65,PROGRAMAS[],3,FALSE),0)</f>
        <v>0</v>
      </c>
      <c r="AP65" s="246">
        <f>IFERROR(VLOOKUP(N65,PROGRAMAS[],3,FALSE),0)</f>
        <v>0</v>
      </c>
      <c r="AQ65" s="246">
        <f>IFERROR(VLOOKUP(O65,PROGRAMAS[],3,FALSE),0)</f>
        <v>0</v>
      </c>
      <c r="AR65" s="246">
        <f>IFERROR(VLOOKUP(P65,PROGRAMAS[],3,FALSE),0)</f>
        <v>0</v>
      </c>
      <c r="AS65" s="246">
        <f>IFERROR(VLOOKUP(Q65,PROGRAMAS[],3,FALSE),0)</f>
        <v>0</v>
      </c>
      <c r="AT65" s="246">
        <f>IFERROR(VLOOKUP(D65,VOL_REC[],2,FALSE),0)</f>
        <v>0</v>
      </c>
      <c r="AU65" s="246">
        <f>IFERROR(VLOOKUP(E65,VOL_REC[],2,FALSE),0)</f>
        <v>0</v>
      </c>
      <c r="AV65" s="246">
        <f>IFERROR(VLOOKUP(F65,VOL_REC[],2,FALSE),0)</f>
        <v>11089674.200000001</v>
      </c>
      <c r="AW65" s="246">
        <f>IFERROR(VLOOKUP(G65,VOL_REC[],2,FALSE),0)</f>
        <v>105072</v>
      </c>
      <c r="AX65" s="246">
        <f>IFERROR(VLOOKUP(H65,VOL_REC[],2,FALSE),0)</f>
        <v>1072354.9981737854</v>
      </c>
      <c r="AY65" s="246">
        <f>IFERROR(VLOOKUP(I65,VOL_REC[],2,FALSE),0)</f>
        <v>0</v>
      </c>
      <c r="AZ65" s="246">
        <f>IFERROR(VLOOKUP(J65,VOL_REC[],2,FALSE),0)</f>
        <v>0</v>
      </c>
      <c r="BA65" s="246">
        <f>IFERROR(VLOOKUP(K65,VOL_REC[],2,FALSE),0)</f>
        <v>0</v>
      </c>
      <c r="BB65" s="246">
        <f>IFERROR(VLOOKUP(L65,VOL_REC[],2,FALSE),0)</f>
        <v>0</v>
      </c>
      <c r="BC65" s="246">
        <f>IFERROR(VLOOKUP(M65,VOL_REC[],2,FALSE),0)</f>
        <v>0</v>
      </c>
      <c r="BD65" s="246">
        <f>IFERROR(VLOOKUP(N65,VOL_REC[],2,FALSE),0)</f>
        <v>0</v>
      </c>
      <c r="BE65" s="246">
        <f>IFERROR(VLOOKUP(O65,VOL_REC[],2,FALSE),0)</f>
        <v>0</v>
      </c>
      <c r="BF65" s="246">
        <f>IFERROR(VLOOKUP(P65,VOL_REC[],2,FALSE),0)</f>
        <v>0</v>
      </c>
      <c r="BG65" s="246">
        <f>IFERROR(VLOOKUP(Q65,VOL_REC[],2,FALSE),0)</f>
        <v>0</v>
      </c>
      <c r="BH65" s="1710">
        <f t="shared" si="0"/>
        <v>10990523745.521145</v>
      </c>
      <c r="BI65" s="1710">
        <f t="shared" si="1"/>
        <v>10610952955.419647</v>
      </c>
      <c r="BJ65" s="1711">
        <f t="shared" si="2"/>
        <v>12267101.198173787</v>
      </c>
      <c r="BK65" s="1711">
        <f t="shared" si="3"/>
        <v>1.035771602390116</v>
      </c>
      <c r="BL65">
        <f>BJ65</f>
        <v>12267101.198173787</v>
      </c>
      <c r="BO65">
        <f>BL65</f>
        <v>12267101.198173787</v>
      </c>
    </row>
    <row r="66" spans="3:67" x14ac:dyDescent="0.25">
      <c r="C66" s="246" t="s">
        <v>1416</v>
      </c>
      <c r="D66" s="246">
        <v>1</v>
      </c>
      <c r="E66" s="246">
        <v>2</v>
      </c>
      <c r="F66" s="246">
        <v>3</v>
      </c>
      <c r="G66" s="246">
        <v>15</v>
      </c>
      <c r="H66" s="246">
        <v>17</v>
      </c>
      <c r="I66" s="246"/>
      <c r="J66" s="246"/>
      <c r="K66" s="246"/>
      <c r="L66" s="246"/>
      <c r="M66" s="246"/>
      <c r="N66" s="246"/>
      <c r="O66" s="246"/>
      <c r="P66" s="246"/>
      <c r="Q66" s="246"/>
      <c r="R66" s="246">
        <f>IFERROR(VLOOKUP(D66,PROGRAMAS[],2,FALSE),0)</f>
        <v>97037803.679377079</v>
      </c>
      <c r="S66" s="246">
        <f>IFERROR(VLOOKUP(E66,PROGRAMAS[],2,FALSE),0)</f>
        <v>640501509.6821388</v>
      </c>
      <c r="T66" s="246">
        <f>IFERROR(VLOOKUP(F66,PROGRAMAS[],2,FALSE),0)</f>
        <v>3062327798.1525245</v>
      </c>
      <c r="U66" s="246">
        <f>IFERROR(VLOOKUP(G66,PROGRAMAS[],2,FALSE),0)</f>
        <v>122159672.96346797</v>
      </c>
      <c r="V66" s="246">
        <f>IFERROR(VLOOKUP(H66,PROGRAMAS[],2,FALSE),0)</f>
        <v>1892779498.5211046</v>
      </c>
      <c r="W66" s="246">
        <f>IFERROR(VLOOKUP(I66,PROGRAMAS[],2,FALSE),0)</f>
        <v>0</v>
      </c>
      <c r="X66" s="246">
        <f>IFERROR(VLOOKUP(J66,PROGRAMAS[],2,FALSE),0)</f>
        <v>0</v>
      </c>
      <c r="Y66" s="246">
        <f>IFERROR(VLOOKUP(K66,PROGRAMAS[],2,FALSE),0)</f>
        <v>0</v>
      </c>
      <c r="Z66" s="246">
        <f>IFERROR(VLOOKUP(L66,PROGRAMAS[],2,FALSE),0)</f>
        <v>0</v>
      </c>
      <c r="AA66" s="246">
        <f>IFERROR(VLOOKUP(M66,PROGRAMAS[],2,FALSE),0)</f>
        <v>0</v>
      </c>
      <c r="AB66" s="246">
        <f>IFERROR(VLOOKUP(N66,PROGRAMAS[],2,FALSE),0)</f>
        <v>0</v>
      </c>
      <c r="AC66" s="246">
        <f>IFERROR(VLOOKUP(O66,PROGRAMAS[],2,FALSE),0)</f>
        <v>0</v>
      </c>
      <c r="AD66" s="246">
        <f>IFERROR(VLOOKUP(P66,PROGRAMAS[],2,FALSE),0)</f>
        <v>0</v>
      </c>
      <c r="AE66" s="246">
        <f>IFERROR(VLOOKUP(Q66,PROGRAMAS[],2,FALSE),0)</f>
        <v>0</v>
      </c>
      <c r="AF66" s="246">
        <f>IFERROR(VLOOKUP(D66,PROGRAMAS[],3,FALSE),0)</f>
        <v>841888629.31080008</v>
      </c>
      <c r="AG66" s="246">
        <f>IFERROR(VLOOKUP(E66,PROGRAMAS[],3,FALSE),0)</f>
        <v>3848980803.1642323</v>
      </c>
      <c r="AH66" s="246">
        <f>IFERROR(VLOOKUP(F66,PROGRAMAS[],3,FALSE),0)</f>
        <v>3394901471.387517</v>
      </c>
      <c r="AI66" s="246">
        <f>IFERROR(VLOOKUP(G66,PROGRAMAS[],3,FALSE),0)</f>
        <v>118617452.52510804</v>
      </c>
      <c r="AJ66" s="246">
        <f>IFERROR(VLOOKUP(H66,PROGRAMAS[],3,FALSE),0)</f>
        <v>948595847.09039903</v>
      </c>
      <c r="AK66" s="246">
        <f>IFERROR(VLOOKUP(I66,PROGRAMAS[],3,FALSE),0)</f>
        <v>0</v>
      </c>
      <c r="AL66" s="246">
        <f>IFERROR(VLOOKUP(J66,PROGRAMAS[],3,FALSE),0)</f>
        <v>0</v>
      </c>
      <c r="AM66" s="246">
        <f>IFERROR(VLOOKUP(K66,PROGRAMAS[],3,FALSE),0)</f>
        <v>0</v>
      </c>
      <c r="AN66" s="246">
        <f>IFERROR(VLOOKUP(L66,PROGRAMAS[],3,FALSE),0)</f>
        <v>0</v>
      </c>
      <c r="AO66" s="246">
        <f>IFERROR(VLOOKUP(M66,PROGRAMAS[],3,FALSE),0)</f>
        <v>0</v>
      </c>
      <c r="AP66" s="246">
        <f>IFERROR(VLOOKUP(N66,PROGRAMAS[],3,FALSE),0)</f>
        <v>0</v>
      </c>
      <c r="AQ66" s="246">
        <f>IFERROR(VLOOKUP(O66,PROGRAMAS[],3,FALSE),0)</f>
        <v>0</v>
      </c>
      <c r="AR66" s="246">
        <f>IFERROR(VLOOKUP(P66,PROGRAMAS[],3,FALSE),0)</f>
        <v>0</v>
      </c>
      <c r="AS66" s="246">
        <f>IFERROR(VLOOKUP(Q66,PROGRAMAS[],3,FALSE),0)</f>
        <v>0</v>
      </c>
      <c r="AT66" s="246">
        <f>IFERROR(VLOOKUP(D66,VOL_REC[],2,FALSE),0)</f>
        <v>0</v>
      </c>
      <c r="AU66" s="246">
        <f>IFERROR(VLOOKUP(E66,VOL_REC[],2,FALSE),0)</f>
        <v>0</v>
      </c>
      <c r="AV66" s="246">
        <f>IFERROR(VLOOKUP(F66,VOL_REC[],2,FALSE),0)</f>
        <v>11089674.200000001</v>
      </c>
      <c r="AW66" s="246">
        <f>IFERROR(VLOOKUP(G66,VOL_REC[],2,FALSE),0)</f>
        <v>105072</v>
      </c>
      <c r="AX66" s="246">
        <f>IFERROR(VLOOKUP(H66,VOL_REC[],2,FALSE),0)</f>
        <v>740113.98115702497</v>
      </c>
      <c r="AY66" s="246">
        <f>IFERROR(VLOOKUP(I66,VOL_REC[],2,FALSE),0)</f>
        <v>0</v>
      </c>
      <c r="AZ66" s="246">
        <f>IFERROR(VLOOKUP(J66,VOL_REC[],2,FALSE),0)</f>
        <v>0</v>
      </c>
      <c r="BA66" s="246">
        <f>IFERROR(VLOOKUP(K66,VOL_REC[],2,FALSE),0)</f>
        <v>0</v>
      </c>
      <c r="BB66" s="246">
        <f>IFERROR(VLOOKUP(L66,VOL_REC[],2,FALSE),0)</f>
        <v>0</v>
      </c>
      <c r="BC66" s="246">
        <f>IFERROR(VLOOKUP(M66,VOL_REC[],2,FALSE),0)</f>
        <v>0</v>
      </c>
      <c r="BD66" s="246">
        <f>IFERROR(VLOOKUP(N66,VOL_REC[],2,FALSE),0)</f>
        <v>0</v>
      </c>
      <c r="BE66" s="246">
        <f>IFERROR(VLOOKUP(O66,VOL_REC[],2,FALSE),0)</f>
        <v>0</v>
      </c>
      <c r="BF66" s="246">
        <f>IFERROR(VLOOKUP(P66,VOL_REC[],2,FALSE),0)</f>
        <v>0</v>
      </c>
      <c r="BG66" s="246">
        <f>IFERROR(VLOOKUP(Q66,VOL_REC[],2,FALSE),0)</f>
        <v>0</v>
      </c>
      <c r="BH66" s="1710">
        <f t="shared" ref="BH66:BH129" si="4">SUM(R66:AE66)</f>
        <v>5814806282.9986134</v>
      </c>
      <c r="BI66" s="1710">
        <f t="shared" ref="BI66:BI129" si="5">SUM(AF66:AS66)</f>
        <v>9152984203.4780579</v>
      </c>
      <c r="BJ66" s="1711">
        <f t="shared" ref="BJ66:BJ129" si="6">SUM(AT66:BG66)</f>
        <v>11934860.181157026</v>
      </c>
      <c r="BK66" s="1711">
        <f t="shared" ref="BK66:BK129" si="7">IFERROR(BH66/BI66,0)</f>
        <v>0.63529075913722599</v>
      </c>
    </row>
    <row r="67" spans="3:67" x14ac:dyDescent="0.25">
      <c r="C67" s="246" t="s">
        <v>1417</v>
      </c>
      <c r="D67" s="246">
        <v>1</v>
      </c>
      <c r="E67" s="246">
        <v>2</v>
      </c>
      <c r="F67" s="246">
        <v>3</v>
      </c>
      <c r="G67" s="246">
        <v>16</v>
      </c>
      <c r="H67" s="246">
        <v>17</v>
      </c>
      <c r="I67" s="246"/>
      <c r="J67" s="246"/>
      <c r="K67" s="246"/>
      <c r="L67" s="246"/>
      <c r="M67" s="246"/>
      <c r="N67" s="246"/>
      <c r="O67" s="246"/>
      <c r="P67" s="246"/>
      <c r="Q67" s="246"/>
      <c r="R67" s="246">
        <f>IFERROR(VLOOKUP(D67,PROGRAMAS[],2,FALSE),0)</f>
        <v>97037803.679377079</v>
      </c>
      <c r="S67" s="246">
        <f>IFERROR(VLOOKUP(E67,PROGRAMAS[],2,FALSE),0)</f>
        <v>640501509.6821388</v>
      </c>
      <c r="T67" s="246">
        <f>IFERROR(VLOOKUP(F67,PROGRAMAS[],2,FALSE),0)</f>
        <v>3062327798.1525245</v>
      </c>
      <c r="U67" s="246">
        <f>IFERROR(VLOOKUP(G67,PROGRAMAS[],2,FALSE),0)</f>
        <v>7068496961.0436354</v>
      </c>
      <c r="V67" s="246">
        <f>IFERROR(VLOOKUP(H67,PROGRAMAS[],2,FALSE),0)</f>
        <v>1892779498.5211046</v>
      </c>
      <c r="W67" s="246">
        <f>IFERROR(VLOOKUP(I67,PROGRAMAS[],2,FALSE),0)</f>
        <v>0</v>
      </c>
      <c r="X67" s="246">
        <f>IFERROR(VLOOKUP(J67,PROGRAMAS[],2,FALSE),0)</f>
        <v>0</v>
      </c>
      <c r="Y67" s="246">
        <f>IFERROR(VLOOKUP(K67,PROGRAMAS[],2,FALSE),0)</f>
        <v>0</v>
      </c>
      <c r="Z67" s="246">
        <f>IFERROR(VLOOKUP(L67,PROGRAMAS[],2,FALSE),0)</f>
        <v>0</v>
      </c>
      <c r="AA67" s="246">
        <f>IFERROR(VLOOKUP(M67,PROGRAMAS[],2,FALSE),0)</f>
        <v>0</v>
      </c>
      <c r="AB67" s="246">
        <f>IFERROR(VLOOKUP(N67,PROGRAMAS[],2,FALSE),0)</f>
        <v>0</v>
      </c>
      <c r="AC67" s="246">
        <f>IFERROR(VLOOKUP(O67,PROGRAMAS[],2,FALSE),0)</f>
        <v>0</v>
      </c>
      <c r="AD67" s="246">
        <f>IFERROR(VLOOKUP(P67,PROGRAMAS[],2,FALSE),0)</f>
        <v>0</v>
      </c>
      <c r="AE67" s="246">
        <f>IFERROR(VLOOKUP(Q67,PROGRAMAS[],2,FALSE),0)</f>
        <v>0</v>
      </c>
      <c r="AF67" s="246">
        <f>IFERROR(VLOOKUP(D67,PROGRAMAS[],3,FALSE),0)</f>
        <v>841888629.31080008</v>
      </c>
      <c r="AG67" s="246">
        <f>IFERROR(VLOOKUP(E67,PROGRAMAS[],3,FALSE),0)</f>
        <v>3848980803.1642323</v>
      </c>
      <c r="AH67" s="246">
        <f>IFERROR(VLOOKUP(F67,PROGRAMAS[],3,FALSE),0)</f>
        <v>3394901471.387517</v>
      </c>
      <c r="AI67" s="246">
        <f>IFERROR(VLOOKUP(G67,PROGRAMAS[],3,FALSE),0)</f>
        <v>2406564599.0319901</v>
      </c>
      <c r="AJ67" s="246">
        <f>IFERROR(VLOOKUP(H67,PROGRAMAS[],3,FALSE),0)</f>
        <v>948595847.09039903</v>
      </c>
      <c r="AK67" s="246">
        <f>IFERROR(VLOOKUP(I67,PROGRAMAS[],3,FALSE),0)</f>
        <v>0</v>
      </c>
      <c r="AL67" s="246">
        <f>IFERROR(VLOOKUP(J67,PROGRAMAS[],3,FALSE),0)</f>
        <v>0</v>
      </c>
      <c r="AM67" s="246">
        <f>IFERROR(VLOOKUP(K67,PROGRAMAS[],3,FALSE),0)</f>
        <v>0</v>
      </c>
      <c r="AN67" s="246">
        <f>IFERROR(VLOOKUP(L67,PROGRAMAS[],3,FALSE),0)</f>
        <v>0</v>
      </c>
      <c r="AO67" s="246">
        <f>IFERROR(VLOOKUP(M67,PROGRAMAS[],3,FALSE),0)</f>
        <v>0</v>
      </c>
      <c r="AP67" s="246">
        <f>IFERROR(VLOOKUP(N67,PROGRAMAS[],3,FALSE),0)</f>
        <v>0</v>
      </c>
      <c r="AQ67" s="246">
        <f>IFERROR(VLOOKUP(O67,PROGRAMAS[],3,FALSE),0)</f>
        <v>0</v>
      </c>
      <c r="AR67" s="246">
        <f>IFERROR(VLOOKUP(P67,PROGRAMAS[],3,FALSE),0)</f>
        <v>0</v>
      </c>
      <c r="AS67" s="246">
        <f>IFERROR(VLOOKUP(Q67,PROGRAMAS[],3,FALSE),0)</f>
        <v>0</v>
      </c>
      <c r="AT67" s="246">
        <f>IFERROR(VLOOKUP(D67,VOL_REC[],2,FALSE),0)</f>
        <v>0</v>
      </c>
      <c r="AU67" s="246">
        <f>IFERROR(VLOOKUP(E67,VOL_REC[],2,FALSE),0)</f>
        <v>0</v>
      </c>
      <c r="AV67" s="246">
        <f>IFERROR(VLOOKUP(F67,VOL_REC[],2,FALSE),0)</f>
        <v>11089674.200000001</v>
      </c>
      <c r="AW67" s="246">
        <f>IFERROR(VLOOKUP(G67,VOL_REC[],2,FALSE),0)</f>
        <v>1072354.9981737854</v>
      </c>
      <c r="AX67" s="246">
        <f>IFERROR(VLOOKUP(H67,VOL_REC[],2,FALSE),0)</f>
        <v>740113.98115702497</v>
      </c>
      <c r="AY67" s="246">
        <f>IFERROR(VLOOKUP(I67,VOL_REC[],2,FALSE),0)</f>
        <v>0</v>
      </c>
      <c r="AZ67" s="246">
        <f>IFERROR(VLOOKUP(J67,VOL_REC[],2,FALSE),0)</f>
        <v>0</v>
      </c>
      <c r="BA67" s="246">
        <f>IFERROR(VLOOKUP(K67,VOL_REC[],2,FALSE),0)</f>
        <v>0</v>
      </c>
      <c r="BB67" s="246">
        <f>IFERROR(VLOOKUP(L67,VOL_REC[],2,FALSE),0)</f>
        <v>0</v>
      </c>
      <c r="BC67" s="246">
        <f>IFERROR(VLOOKUP(M67,VOL_REC[],2,FALSE),0)</f>
        <v>0</v>
      </c>
      <c r="BD67" s="246">
        <f>IFERROR(VLOOKUP(N67,VOL_REC[],2,FALSE),0)</f>
        <v>0</v>
      </c>
      <c r="BE67" s="246">
        <f>IFERROR(VLOOKUP(O67,VOL_REC[],2,FALSE),0)</f>
        <v>0</v>
      </c>
      <c r="BF67" s="246">
        <f>IFERROR(VLOOKUP(P67,VOL_REC[],2,FALSE),0)</f>
        <v>0</v>
      </c>
      <c r="BG67" s="246">
        <f>IFERROR(VLOOKUP(Q67,VOL_REC[],2,FALSE),0)</f>
        <v>0</v>
      </c>
      <c r="BH67" s="1710">
        <f t="shared" si="4"/>
        <v>12761143571.078781</v>
      </c>
      <c r="BI67" s="1710">
        <f t="shared" si="5"/>
        <v>11440931349.984938</v>
      </c>
      <c r="BJ67" s="1711">
        <f t="shared" si="6"/>
        <v>12902143.179330813</v>
      </c>
      <c r="BK67" s="1711">
        <f t="shared" si="7"/>
        <v>1.1153937717750209</v>
      </c>
      <c r="BL67">
        <f>BJ67</f>
        <v>12902143.179330813</v>
      </c>
      <c r="BO67">
        <f>BL67</f>
        <v>12902143.179330813</v>
      </c>
    </row>
    <row r="68" spans="3:67" x14ac:dyDescent="0.25">
      <c r="C68" s="246" t="s">
        <v>1418</v>
      </c>
      <c r="D68" s="246">
        <v>1</v>
      </c>
      <c r="E68" s="246">
        <v>2</v>
      </c>
      <c r="F68" s="246">
        <v>3</v>
      </c>
      <c r="G68" s="246">
        <v>4</v>
      </c>
      <c r="H68" s="246">
        <v>5</v>
      </c>
      <c r="I68" s="246">
        <v>6</v>
      </c>
      <c r="J68" s="246"/>
      <c r="K68" s="246"/>
      <c r="L68" s="246"/>
      <c r="M68" s="246"/>
      <c r="N68" s="246"/>
      <c r="O68" s="246"/>
      <c r="P68" s="246"/>
      <c r="Q68" s="246"/>
      <c r="R68" s="246">
        <f>IFERROR(VLOOKUP(D68,PROGRAMAS[],2,FALSE),0)</f>
        <v>97037803.679377079</v>
      </c>
      <c r="S68" s="246">
        <f>IFERROR(VLOOKUP(E68,PROGRAMAS[],2,FALSE),0)</f>
        <v>640501509.6821388</v>
      </c>
      <c r="T68" s="246">
        <f>IFERROR(VLOOKUP(F68,PROGRAMAS[],2,FALSE),0)</f>
        <v>3062327798.1525245</v>
      </c>
      <c r="U68" s="246">
        <f>IFERROR(VLOOKUP(G68,PROGRAMAS[],2,FALSE),0)</f>
        <v>67697118.033011258</v>
      </c>
      <c r="V68" s="246">
        <f>IFERROR(VLOOKUP(H68,PROGRAMAS[],2,FALSE),0)</f>
        <v>1440941976.2528784</v>
      </c>
      <c r="W68" s="246">
        <f>IFERROR(VLOOKUP(I68,PROGRAMAS[],2,FALSE),0)</f>
        <v>6907648435.8447599</v>
      </c>
      <c r="X68" s="246">
        <f>IFERROR(VLOOKUP(J68,PROGRAMAS[],2,FALSE),0)</f>
        <v>0</v>
      </c>
      <c r="Y68" s="246">
        <f>IFERROR(VLOOKUP(K68,PROGRAMAS[],2,FALSE),0)</f>
        <v>0</v>
      </c>
      <c r="Z68" s="246">
        <f>IFERROR(VLOOKUP(L68,PROGRAMAS[],2,FALSE),0)</f>
        <v>0</v>
      </c>
      <c r="AA68" s="246">
        <f>IFERROR(VLOOKUP(M68,PROGRAMAS[],2,FALSE),0)</f>
        <v>0</v>
      </c>
      <c r="AB68" s="246">
        <f>IFERROR(VLOOKUP(N68,PROGRAMAS[],2,FALSE),0)</f>
        <v>0</v>
      </c>
      <c r="AC68" s="246">
        <f>IFERROR(VLOOKUP(O68,PROGRAMAS[],2,FALSE),0)</f>
        <v>0</v>
      </c>
      <c r="AD68" s="246">
        <f>IFERROR(VLOOKUP(P68,PROGRAMAS[],2,FALSE),0)</f>
        <v>0</v>
      </c>
      <c r="AE68" s="246">
        <f>IFERROR(VLOOKUP(Q68,PROGRAMAS[],2,FALSE),0)</f>
        <v>0</v>
      </c>
      <c r="AF68" s="246">
        <f>IFERROR(VLOOKUP(D68,PROGRAMAS[],3,FALSE),0)</f>
        <v>841888629.31080008</v>
      </c>
      <c r="AG68" s="246">
        <f>IFERROR(VLOOKUP(E68,PROGRAMAS[],3,FALSE),0)</f>
        <v>3848980803.1642323</v>
      </c>
      <c r="AH68" s="246">
        <f>IFERROR(VLOOKUP(F68,PROGRAMAS[],3,FALSE),0)</f>
        <v>3394901471.387517</v>
      </c>
      <c r="AI68" s="246">
        <f>IFERROR(VLOOKUP(G68,PROGRAMAS[],3,FALSE),0)</f>
        <v>125317226.95549992</v>
      </c>
      <c r="AJ68" s="246">
        <f>IFERROR(VLOOKUP(H68,PROGRAMAS[],3,FALSE),0)</f>
        <v>1233505101.0616004</v>
      </c>
      <c r="AK68" s="246">
        <f>IFERROR(VLOOKUP(I68,PROGRAMAS[],3,FALSE),0)</f>
        <v>6129902208.7912121</v>
      </c>
      <c r="AL68" s="246">
        <f>IFERROR(VLOOKUP(J68,PROGRAMAS[],3,FALSE),0)</f>
        <v>0</v>
      </c>
      <c r="AM68" s="246">
        <f>IFERROR(VLOOKUP(K68,PROGRAMAS[],3,FALSE),0)</f>
        <v>0</v>
      </c>
      <c r="AN68" s="246">
        <f>IFERROR(VLOOKUP(L68,PROGRAMAS[],3,FALSE),0)</f>
        <v>0</v>
      </c>
      <c r="AO68" s="246">
        <f>IFERROR(VLOOKUP(M68,PROGRAMAS[],3,FALSE),0)</f>
        <v>0</v>
      </c>
      <c r="AP68" s="246">
        <f>IFERROR(VLOOKUP(N68,PROGRAMAS[],3,FALSE),0)</f>
        <v>0</v>
      </c>
      <c r="AQ68" s="246">
        <f>IFERROR(VLOOKUP(O68,PROGRAMAS[],3,FALSE),0)</f>
        <v>0</v>
      </c>
      <c r="AR68" s="246">
        <f>IFERROR(VLOOKUP(P68,PROGRAMAS[],3,FALSE),0)</f>
        <v>0</v>
      </c>
      <c r="AS68" s="246">
        <f>IFERROR(VLOOKUP(Q68,PROGRAMAS[],3,FALSE),0)</f>
        <v>0</v>
      </c>
      <c r="AT68" s="246">
        <f>IFERROR(VLOOKUP(D68,VOL_REC[],2,FALSE),0)</f>
        <v>0</v>
      </c>
      <c r="AU68" s="246">
        <f>IFERROR(VLOOKUP(E68,VOL_REC[],2,FALSE),0)</f>
        <v>0</v>
      </c>
      <c r="AV68" s="246">
        <f>IFERROR(VLOOKUP(F68,VOL_REC[],2,FALSE),0)</f>
        <v>11089674.200000001</v>
      </c>
      <c r="AW68" s="246">
        <f>IFERROR(VLOOKUP(G68,VOL_REC[],2,FALSE),0)</f>
        <v>90439.55</v>
      </c>
      <c r="AX68" s="246">
        <f>IFERROR(VLOOKUP(H68,VOL_REC[],2,FALSE),0)</f>
        <v>4325103.1812214684</v>
      </c>
      <c r="AY68" s="246">
        <f>IFERROR(VLOOKUP(I68,VOL_REC[],2,FALSE),0)</f>
        <v>15540036.397699751</v>
      </c>
      <c r="AZ68" s="246">
        <f>IFERROR(VLOOKUP(J68,VOL_REC[],2,FALSE),0)</f>
        <v>0</v>
      </c>
      <c r="BA68" s="246">
        <f>IFERROR(VLOOKUP(K68,VOL_REC[],2,FALSE),0)</f>
        <v>0</v>
      </c>
      <c r="BB68" s="246">
        <f>IFERROR(VLOOKUP(L68,VOL_REC[],2,FALSE),0)</f>
        <v>0</v>
      </c>
      <c r="BC68" s="246">
        <f>IFERROR(VLOOKUP(M68,VOL_REC[],2,FALSE),0)</f>
        <v>0</v>
      </c>
      <c r="BD68" s="246">
        <f>IFERROR(VLOOKUP(N68,VOL_REC[],2,FALSE),0)</f>
        <v>0</v>
      </c>
      <c r="BE68" s="246">
        <f>IFERROR(VLOOKUP(O68,VOL_REC[],2,FALSE),0)</f>
        <v>0</v>
      </c>
      <c r="BF68" s="246">
        <f>IFERROR(VLOOKUP(P68,VOL_REC[],2,FALSE),0)</f>
        <v>0</v>
      </c>
      <c r="BG68" s="246">
        <f>IFERROR(VLOOKUP(Q68,VOL_REC[],2,FALSE),0)</f>
        <v>0</v>
      </c>
      <c r="BH68" s="1710">
        <f t="shared" si="4"/>
        <v>12216154641.644691</v>
      </c>
      <c r="BI68" s="1710">
        <f t="shared" si="5"/>
        <v>15574495440.670862</v>
      </c>
      <c r="BJ68" s="1711">
        <f t="shared" si="6"/>
        <v>31045253.328921221</v>
      </c>
      <c r="BK68" s="1711">
        <f t="shared" si="7"/>
        <v>0.78436920721962644</v>
      </c>
    </row>
    <row r="69" spans="3:67" x14ac:dyDescent="0.25">
      <c r="C69" s="246" t="s">
        <v>1419</v>
      </c>
      <c r="D69" s="246">
        <v>1</v>
      </c>
      <c r="E69" s="246">
        <v>2</v>
      </c>
      <c r="F69" s="246">
        <v>3</v>
      </c>
      <c r="G69" s="246">
        <v>4</v>
      </c>
      <c r="H69" s="246">
        <v>5</v>
      </c>
      <c r="I69" s="246">
        <v>9</v>
      </c>
      <c r="J69" s="246"/>
      <c r="K69" s="246"/>
      <c r="L69" s="246"/>
      <c r="M69" s="246"/>
      <c r="N69" s="246"/>
      <c r="O69" s="246"/>
      <c r="P69" s="246"/>
      <c r="Q69" s="246"/>
      <c r="R69" s="246">
        <f>IFERROR(VLOOKUP(D69,PROGRAMAS[],2,FALSE),0)</f>
        <v>97037803.679377079</v>
      </c>
      <c r="S69" s="246">
        <f>IFERROR(VLOOKUP(E69,PROGRAMAS[],2,FALSE),0)</f>
        <v>640501509.6821388</v>
      </c>
      <c r="T69" s="246">
        <f>IFERROR(VLOOKUP(F69,PROGRAMAS[],2,FALSE),0)</f>
        <v>3062327798.1525245</v>
      </c>
      <c r="U69" s="246">
        <f>IFERROR(VLOOKUP(G69,PROGRAMAS[],2,FALSE),0)</f>
        <v>67697118.033011258</v>
      </c>
      <c r="V69" s="246">
        <f>IFERROR(VLOOKUP(H69,PROGRAMAS[],2,FALSE),0)</f>
        <v>1440941976.2528784</v>
      </c>
      <c r="W69" s="246">
        <f>IFERROR(VLOOKUP(I69,PROGRAMAS[],2,FALSE),0)</f>
        <v>6128579952.1618185</v>
      </c>
      <c r="X69" s="246">
        <f>IFERROR(VLOOKUP(J69,PROGRAMAS[],2,FALSE),0)</f>
        <v>0</v>
      </c>
      <c r="Y69" s="246">
        <f>IFERROR(VLOOKUP(K69,PROGRAMAS[],2,FALSE),0)</f>
        <v>0</v>
      </c>
      <c r="Z69" s="246">
        <f>IFERROR(VLOOKUP(L69,PROGRAMAS[],2,FALSE),0)</f>
        <v>0</v>
      </c>
      <c r="AA69" s="246">
        <f>IFERROR(VLOOKUP(M69,PROGRAMAS[],2,FALSE),0)</f>
        <v>0</v>
      </c>
      <c r="AB69" s="246">
        <f>IFERROR(VLOOKUP(N69,PROGRAMAS[],2,FALSE),0)</f>
        <v>0</v>
      </c>
      <c r="AC69" s="246">
        <f>IFERROR(VLOOKUP(O69,PROGRAMAS[],2,FALSE),0)</f>
        <v>0</v>
      </c>
      <c r="AD69" s="246">
        <f>IFERROR(VLOOKUP(P69,PROGRAMAS[],2,FALSE),0)</f>
        <v>0</v>
      </c>
      <c r="AE69" s="246">
        <f>IFERROR(VLOOKUP(Q69,PROGRAMAS[],2,FALSE),0)</f>
        <v>0</v>
      </c>
      <c r="AF69" s="246">
        <f>IFERROR(VLOOKUP(D69,PROGRAMAS[],3,FALSE),0)</f>
        <v>841888629.31080008</v>
      </c>
      <c r="AG69" s="246">
        <f>IFERROR(VLOOKUP(E69,PROGRAMAS[],3,FALSE),0)</f>
        <v>3848980803.1642323</v>
      </c>
      <c r="AH69" s="246">
        <f>IFERROR(VLOOKUP(F69,PROGRAMAS[],3,FALSE),0)</f>
        <v>3394901471.387517</v>
      </c>
      <c r="AI69" s="246">
        <f>IFERROR(VLOOKUP(G69,PROGRAMAS[],3,FALSE),0)</f>
        <v>125317226.95549992</v>
      </c>
      <c r="AJ69" s="246">
        <f>IFERROR(VLOOKUP(H69,PROGRAMAS[],3,FALSE),0)</f>
        <v>1233505101.0616004</v>
      </c>
      <c r="AK69" s="246">
        <f>IFERROR(VLOOKUP(I69,PROGRAMAS[],3,FALSE),0)</f>
        <v>7011279577.519702</v>
      </c>
      <c r="AL69" s="246">
        <f>IFERROR(VLOOKUP(J69,PROGRAMAS[],3,FALSE),0)</f>
        <v>0</v>
      </c>
      <c r="AM69" s="246">
        <f>IFERROR(VLOOKUP(K69,PROGRAMAS[],3,FALSE),0)</f>
        <v>0</v>
      </c>
      <c r="AN69" s="246">
        <f>IFERROR(VLOOKUP(L69,PROGRAMAS[],3,FALSE),0)</f>
        <v>0</v>
      </c>
      <c r="AO69" s="246">
        <f>IFERROR(VLOOKUP(M69,PROGRAMAS[],3,FALSE),0)</f>
        <v>0</v>
      </c>
      <c r="AP69" s="246">
        <f>IFERROR(VLOOKUP(N69,PROGRAMAS[],3,FALSE),0)</f>
        <v>0</v>
      </c>
      <c r="AQ69" s="246">
        <f>IFERROR(VLOOKUP(O69,PROGRAMAS[],3,FALSE),0)</f>
        <v>0</v>
      </c>
      <c r="AR69" s="246">
        <f>IFERROR(VLOOKUP(P69,PROGRAMAS[],3,FALSE),0)</f>
        <v>0</v>
      </c>
      <c r="AS69" s="246">
        <f>IFERROR(VLOOKUP(Q69,PROGRAMAS[],3,FALSE),0)</f>
        <v>0</v>
      </c>
      <c r="AT69" s="246">
        <f>IFERROR(VLOOKUP(D69,VOL_REC[],2,FALSE),0)</f>
        <v>0</v>
      </c>
      <c r="AU69" s="246">
        <f>IFERROR(VLOOKUP(E69,VOL_REC[],2,FALSE),0)</f>
        <v>0</v>
      </c>
      <c r="AV69" s="246">
        <f>IFERROR(VLOOKUP(F69,VOL_REC[],2,FALSE),0)</f>
        <v>11089674.200000001</v>
      </c>
      <c r="AW69" s="246">
        <f>IFERROR(VLOOKUP(G69,VOL_REC[],2,FALSE),0)</f>
        <v>90439.55</v>
      </c>
      <c r="AX69" s="246">
        <f>IFERROR(VLOOKUP(H69,VOL_REC[],2,FALSE),0)</f>
        <v>4325103.1812214684</v>
      </c>
      <c r="AY69" s="246">
        <f>IFERROR(VLOOKUP(I69,VOL_REC[],2,FALSE),0)</f>
        <v>3761786</v>
      </c>
      <c r="AZ69" s="246">
        <f>IFERROR(VLOOKUP(J69,VOL_REC[],2,FALSE),0)</f>
        <v>0</v>
      </c>
      <c r="BA69" s="246">
        <f>IFERROR(VLOOKUP(K69,VOL_REC[],2,FALSE),0)</f>
        <v>0</v>
      </c>
      <c r="BB69" s="246">
        <f>IFERROR(VLOOKUP(L69,VOL_REC[],2,FALSE),0)</f>
        <v>0</v>
      </c>
      <c r="BC69" s="246">
        <f>IFERROR(VLOOKUP(M69,VOL_REC[],2,FALSE),0)</f>
        <v>0</v>
      </c>
      <c r="BD69" s="246">
        <f>IFERROR(VLOOKUP(N69,VOL_REC[],2,FALSE),0)</f>
        <v>0</v>
      </c>
      <c r="BE69" s="246">
        <f>IFERROR(VLOOKUP(O69,VOL_REC[],2,FALSE),0)</f>
        <v>0</v>
      </c>
      <c r="BF69" s="246">
        <f>IFERROR(VLOOKUP(P69,VOL_REC[],2,FALSE),0)</f>
        <v>0</v>
      </c>
      <c r="BG69" s="246">
        <f>IFERROR(VLOOKUP(Q69,VOL_REC[],2,FALSE),0)</f>
        <v>0</v>
      </c>
      <c r="BH69" s="1710">
        <f t="shared" si="4"/>
        <v>11437086157.96175</v>
      </c>
      <c r="BI69" s="1710">
        <f t="shared" si="5"/>
        <v>16455872809.399353</v>
      </c>
      <c r="BJ69" s="1711">
        <f t="shared" si="6"/>
        <v>19267002.93122147</v>
      </c>
      <c r="BK69" s="1711">
        <f t="shared" si="7"/>
        <v>0.69501546897160349</v>
      </c>
    </row>
    <row r="70" spans="3:67" x14ac:dyDescent="0.25">
      <c r="C70" s="246" t="s">
        <v>1420</v>
      </c>
      <c r="D70" s="246">
        <v>1</v>
      </c>
      <c r="E70" s="246">
        <v>2</v>
      </c>
      <c r="F70" s="246">
        <v>3</v>
      </c>
      <c r="G70" s="246">
        <v>4</v>
      </c>
      <c r="H70" s="246">
        <v>5</v>
      </c>
      <c r="I70" s="246">
        <v>10</v>
      </c>
      <c r="J70" s="246"/>
      <c r="K70" s="246"/>
      <c r="L70" s="246"/>
      <c r="M70" s="246"/>
      <c r="N70" s="246"/>
      <c r="O70" s="246"/>
      <c r="P70" s="246"/>
      <c r="Q70" s="246"/>
      <c r="R70" s="246">
        <f>IFERROR(VLOOKUP(D70,PROGRAMAS[],2,FALSE),0)</f>
        <v>97037803.679377079</v>
      </c>
      <c r="S70" s="246">
        <f>IFERROR(VLOOKUP(E70,PROGRAMAS[],2,FALSE),0)</f>
        <v>640501509.6821388</v>
      </c>
      <c r="T70" s="246">
        <f>IFERROR(VLOOKUP(F70,PROGRAMAS[],2,FALSE),0)</f>
        <v>3062327798.1525245</v>
      </c>
      <c r="U70" s="246">
        <f>IFERROR(VLOOKUP(G70,PROGRAMAS[],2,FALSE),0)</f>
        <v>67697118.033011258</v>
      </c>
      <c r="V70" s="246">
        <f>IFERROR(VLOOKUP(H70,PROGRAMAS[],2,FALSE),0)</f>
        <v>1440941976.2528784</v>
      </c>
      <c r="W70" s="246">
        <f>IFERROR(VLOOKUP(I70,PROGRAMAS[],2,FALSE),0)</f>
        <v>4635315027.8751087</v>
      </c>
      <c r="X70" s="246">
        <f>IFERROR(VLOOKUP(J70,PROGRAMAS[],2,FALSE),0)</f>
        <v>0</v>
      </c>
      <c r="Y70" s="246">
        <f>IFERROR(VLOOKUP(K70,PROGRAMAS[],2,FALSE),0)</f>
        <v>0</v>
      </c>
      <c r="Z70" s="246">
        <f>IFERROR(VLOOKUP(L70,PROGRAMAS[],2,FALSE),0)</f>
        <v>0</v>
      </c>
      <c r="AA70" s="246">
        <f>IFERROR(VLOOKUP(M70,PROGRAMAS[],2,FALSE),0)</f>
        <v>0</v>
      </c>
      <c r="AB70" s="246">
        <f>IFERROR(VLOOKUP(N70,PROGRAMAS[],2,FALSE),0)</f>
        <v>0</v>
      </c>
      <c r="AC70" s="246">
        <f>IFERROR(VLOOKUP(O70,PROGRAMAS[],2,FALSE),0)</f>
        <v>0</v>
      </c>
      <c r="AD70" s="246">
        <f>IFERROR(VLOOKUP(P70,PROGRAMAS[],2,FALSE),0)</f>
        <v>0</v>
      </c>
      <c r="AE70" s="246">
        <f>IFERROR(VLOOKUP(Q70,PROGRAMAS[],2,FALSE),0)</f>
        <v>0</v>
      </c>
      <c r="AF70" s="246">
        <f>IFERROR(VLOOKUP(D70,PROGRAMAS[],3,FALSE),0)</f>
        <v>841888629.31080008</v>
      </c>
      <c r="AG70" s="246">
        <f>IFERROR(VLOOKUP(E70,PROGRAMAS[],3,FALSE),0)</f>
        <v>3848980803.1642323</v>
      </c>
      <c r="AH70" s="246">
        <f>IFERROR(VLOOKUP(F70,PROGRAMAS[],3,FALSE),0)</f>
        <v>3394901471.387517</v>
      </c>
      <c r="AI70" s="246">
        <f>IFERROR(VLOOKUP(G70,PROGRAMAS[],3,FALSE),0)</f>
        <v>125317226.95549992</v>
      </c>
      <c r="AJ70" s="246">
        <f>IFERROR(VLOOKUP(H70,PROGRAMAS[],3,FALSE),0)</f>
        <v>1233505101.0616004</v>
      </c>
      <c r="AK70" s="246">
        <f>IFERROR(VLOOKUP(I70,PROGRAMAS[],3,FALSE),0)</f>
        <v>4099471734.9978786</v>
      </c>
      <c r="AL70" s="246">
        <f>IFERROR(VLOOKUP(J70,PROGRAMAS[],3,FALSE),0)</f>
        <v>0</v>
      </c>
      <c r="AM70" s="246">
        <f>IFERROR(VLOOKUP(K70,PROGRAMAS[],3,FALSE),0)</f>
        <v>0</v>
      </c>
      <c r="AN70" s="246">
        <f>IFERROR(VLOOKUP(L70,PROGRAMAS[],3,FALSE),0)</f>
        <v>0</v>
      </c>
      <c r="AO70" s="246">
        <f>IFERROR(VLOOKUP(M70,PROGRAMAS[],3,FALSE),0)</f>
        <v>0</v>
      </c>
      <c r="AP70" s="246">
        <f>IFERROR(VLOOKUP(N70,PROGRAMAS[],3,FALSE),0)</f>
        <v>0</v>
      </c>
      <c r="AQ70" s="246">
        <f>IFERROR(VLOOKUP(O70,PROGRAMAS[],3,FALSE),0)</f>
        <v>0</v>
      </c>
      <c r="AR70" s="246">
        <f>IFERROR(VLOOKUP(P70,PROGRAMAS[],3,FALSE),0)</f>
        <v>0</v>
      </c>
      <c r="AS70" s="246">
        <f>IFERROR(VLOOKUP(Q70,PROGRAMAS[],3,FALSE),0)</f>
        <v>0</v>
      </c>
      <c r="AT70" s="246">
        <f>IFERROR(VLOOKUP(D70,VOL_REC[],2,FALSE),0)</f>
        <v>0</v>
      </c>
      <c r="AU70" s="246">
        <f>IFERROR(VLOOKUP(E70,VOL_REC[],2,FALSE),0)</f>
        <v>0</v>
      </c>
      <c r="AV70" s="246">
        <f>IFERROR(VLOOKUP(F70,VOL_REC[],2,FALSE),0)</f>
        <v>11089674.200000001</v>
      </c>
      <c r="AW70" s="246">
        <f>IFERROR(VLOOKUP(G70,VOL_REC[],2,FALSE),0)</f>
        <v>90439.55</v>
      </c>
      <c r="AX70" s="246">
        <f>IFERROR(VLOOKUP(H70,VOL_REC[],2,FALSE),0)</f>
        <v>4325103.1812214684</v>
      </c>
      <c r="AY70" s="246">
        <f>IFERROR(VLOOKUP(I70,VOL_REC[],2,FALSE),0)</f>
        <v>1812240</v>
      </c>
      <c r="AZ70" s="246">
        <f>IFERROR(VLOOKUP(J70,VOL_REC[],2,FALSE),0)</f>
        <v>0</v>
      </c>
      <c r="BA70" s="246">
        <f>IFERROR(VLOOKUP(K70,VOL_REC[],2,FALSE),0)</f>
        <v>0</v>
      </c>
      <c r="BB70" s="246">
        <f>IFERROR(VLOOKUP(L70,VOL_REC[],2,FALSE),0)</f>
        <v>0</v>
      </c>
      <c r="BC70" s="246">
        <f>IFERROR(VLOOKUP(M70,VOL_REC[],2,FALSE),0)</f>
        <v>0</v>
      </c>
      <c r="BD70" s="246">
        <f>IFERROR(VLOOKUP(N70,VOL_REC[],2,FALSE),0)</f>
        <v>0</v>
      </c>
      <c r="BE70" s="246">
        <f>IFERROR(VLOOKUP(O70,VOL_REC[],2,FALSE),0)</f>
        <v>0</v>
      </c>
      <c r="BF70" s="246">
        <f>IFERROR(VLOOKUP(P70,VOL_REC[],2,FALSE),0)</f>
        <v>0</v>
      </c>
      <c r="BG70" s="246">
        <f>IFERROR(VLOOKUP(Q70,VOL_REC[],2,FALSE),0)</f>
        <v>0</v>
      </c>
      <c r="BH70" s="1710">
        <f t="shared" si="4"/>
        <v>9943821233.6750393</v>
      </c>
      <c r="BI70" s="1710">
        <f t="shared" si="5"/>
        <v>13544064966.877529</v>
      </c>
      <c r="BJ70" s="1711">
        <f t="shared" si="6"/>
        <v>17317456.93122147</v>
      </c>
      <c r="BK70" s="1711">
        <f t="shared" si="7"/>
        <v>0.73418292499282833</v>
      </c>
    </row>
    <row r="71" spans="3:67" x14ac:dyDescent="0.25">
      <c r="C71" s="246" t="s">
        <v>1421</v>
      </c>
      <c r="D71" s="246">
        <v>1</v>
      </c>
      <c r="E71" s="246">
        <v>2</v>
      </c>
      <c r="F71" s="246">
        <v>3</v>
      </c>
      <c r="G71" s="246">
        <v>4</v>
      </c>
      <c r="H71" s="246">
        <v>5</v>
      </c>
      <c r="I71" s="246">
        <v>12</v>
      </c>
      <c r="J71" s="246"/>
      <c r="K71" s="246"/>
      <c r="L71" s="246"/>
      <c r="M71" s="246"/>
      <c r="N71" s="246"/>
      <c r="O71" s="246"/>
      <c r="P71" s="246"/>
      <c r="Q71" s="246"/>
      <c r="R71" s="246">
        <f>IFERROR(VLOOKUP(D71,PROGRAMAS[],2,FALSE),0)</f>
        <v>97037803.679377079</v>
      </c>
      <c r="S71" s="246">
        <f>IFERROR(VLOOKUP(E71,PROGRAMAS[],2,FALSE),0)</f>
        <v>640501509.6821388</v>
      </c>
      <c r="T71" s="246">
        <f>IFERROR(VLOOKUP(F71,PROGRAMAS[],2,FALSE),0)</f>
        <v>3062327798.1525245</v>
      </c>
      <c r="U71" s="246">
        <f>IFERROR(VLOOKUP(G71,PROGRAMAS[],2,FALSE),0)</f>
        <v>67697118.033011258</v>
      </c>
      <c r="V71" s="246">
        <f>IFERROR(VLOOKUP(H71,PROGRAMAS[],2,FALSE),0)</f>
        <v>1440941976.2528784</v>
      </c>
      <c r="W71" s="246">
        <f>IFERROR(VLOOKUP(I71,PROGRAMAS[],2,FALSE),0)</f>
        <v>764796700.79905891</v>
      </c>
      <c r="X71" s="246">
        <f>IFERROR(VLOOKUP(J71,PROGRAMAS[],2,FALSE),0)</f>
        <v>0</v>
      </c>
      <c r="Y71" s="246">
        <f>IFERROR(VLOOKUP(K71,PROGRAMAS[],2,FALSE),0)</f>
        <v>0</v>
      </c>
      <c r="Z71" s="246">
        <f>IFERROR(VLOOKUP(L71,PROGRAMAS[],2,FALSE),0)</f>
        <v>0</v>
      </c>
      <c r="AA71" s="246">
        <f>IFERROR(VLOOKUP(M71,PROGRAMAS[],2,FALSE),0)</f>
        <v>0</v>
      </c>
      <c r="AB71" s="246">
        <f>IFERROR(VLOOKUP(N71,PROGRAMAS[],2,FALSE),0)</f>
        <v>0</v>
      </c>
      <c r="AC71" s="246">
        <f>IFERROR(VLOOKUP(O71,PROGRAMAS[],2,FALSE),0)</f>
        <v>0</v>
      </c>
      <c r="AD71" s="246">
        <f>IFERROR(VLOOKUP(P71,PROGRAMAS[],2,FALSE),0)</f>
        <v>0</v>
      </c>
      <c r="AE71" s="246">
        <f>IFERROR(VLOOKUP(Q71,PROGRAMAS[],2,FALSE),0)</f>
        <v>0</v>
      </c>
      <c r="AF71" s="246">
        <f>IFERROR(VLOOKUP(D71,PROGRAMAS[],3,FALSE),0)</f>
        <v>841888629.31080008</v>
      </c>
      <c r="AG71" s="246">
        <f>IFERROR(VLOOKUP(E71,PROGRAMAS[],3,FALSE),0)</f>
        <v>3848980803.1642323</v>
      </c>
      <c r="AH71" s="246">
        <f>IFERROR(VLOOKUP(F71,PROGRAMAS[],3,FALSE),0)</f>
        <v>3394901471.387517</v>
      </c>
      <c r="AI71" s="246">
        <f>IFERROR(VLOOKUP(G71,PROGRAMAS[],3,FALSE),0)</f>
        <v>125317226.95549992</v>
      </c>
      <c r="AJ71" s="246">
        <f>IFERROR(VLOOKUP(H71,PROGRAMAS[],3,FALSE),0)</f>
        <v>1233505101.0616004</v>
      </c>
      <c r="AK71" s="246">
        <f>IFERROR(VLOOKUP(I71,PROGRAMAS[],3,FALSE),0)</f>
        <v>675517840.109828</v>
      </c>
      <c r="AL71" s="246">
        <f>IFERROR(VLOOKUP(J71,PROGRAMAS[],3,FALSE),0)</f>
        <v>0</v>
      </c>
      <c r="AM71" s="246">
        <f>IFERROR(VLOOKUP(K71,PROGRAMAS[],3,FALSE),0)</f>
        <v>0</v>
      </c>
      <c r="AN71" s="246">
        <f>IFERROR(VLOOKUP(L71,PROGRAMAS[],3,FALSE),0)</f>
        <v>0</v>
      </c>
      <c r="AO71" s="246">
        <f>IFERROR(VLOOKUP(M71,PROGRAMAS[],3,FALSE),0)</f>
        <v>0</v>
      </c>
      <c r="AP71" s="246">
        <f>IFERROR(VLOOKUP(N71,PROGRAMAS[],3,FALSE),0)</f>
        <v>0</v>
      </c>
      <c r="AQ71" s="246">
        <f>IFERROR(VLOOKUP(O71,PROGRAMAS[],3,FALSE),0)</f>
        <v>0</v>
      </c>
      <c r="AR71" s="246">
        <f>IFERROR(VLOOKUP(P71,PROGRAMAS[],3,FALSE),0)</f>
        <v>0</v>
      </c>
      <c r="AS71" s="246">
        <f>IFERROR(VLOOKUP(Q71,PROGRAMAS[],3,FALSE),0)</f>
        <v>0</v>
      </c>
      <c r="AT71" s="246">
        <f>IFERROR(VLOOKUP(D71,VOL_REC[],2,FALSE),0)</f>
        <v>0</v>
      </c>
      <c r="AU71" s="246">
        <f>IFERROR(VLOOKUP(E71,VOL_REC[],2,FALSE),0)</f>
        <v>0</v>
      </c>
      <c r="AV71" s="246">
        <f>IFERROR(VLOOKUP(F71,VOL_REC[],2,FALSE),0)</f>
        <v>11089674.200000001</v>
      </c>
      <c r="AW71" s="246">
        <f>IFERROR(VLOOKUP(G71,VOL_REC[],2,FALSE),0)</f>
        <v>90439.55</v>
      </c>
      <c r="AX71" s="246">
        <f>IFERROR(VLOOKUP(H71,VOL_REC[],2,FALSE),0)</f>
        <v>4325103.1812214684</v>
      </c>
      <c r="AY71" s="246">
        <f>IFERROR(VLOOKUP(I71,VOL_REC[],2,FALSE),0)</f>
        <v>240696.79238099116</v>
      </c>
      <c r="AZ71" s="246">
        <f>IFERROR(VLOOKUP(J71,VOL_REC[],2,FALSE),0)</f>
        <v>0</v>
      </c>
      <c r="BA71" s="246">
        <f>IFERROR(VLOOKUP(K71,VOL_REC[],2,FALSE),0)</f>
        <v>0</v>
      </c>
      <c r="BB71" s="246">
        <f>IFERROR(VLOOKUP(L71,VOL_REC[],2,FALSE),0)</f>
        <v>0</v>
      </c>
      <c r="BC71" s="246">
        <f>IFERROR(VLOOKUP(M71,VOL_REC[],2,FALSE),0)</f>
        <v>0</v>
      </c>
      <c r="BD71" s="246">
        <f>IFERROR(VLOOKUP(N71,VOL_REC[],2,FALSE),0)</f>
        <v>0</v>
      </c>
      <c r="BE71" s="246">
        <f>IFERROR(VLOOKUP(O71,VOL_REC[],2,FALSE),0)</f>
        <v>0</v>
      </c>
      <c r="BF71" s="246">
        <f>IFERROR(VLOOKUP(P71,VOL_REC[],2,FALSE),0)</f>
        <v>0</v>
      </c>
      <c r="BG71" s="246">
        <f>IFERROR(VLOOKUP(Q71,VOL_REC[],2,FALSE),0)</f>
        <v>0</v>
      </c>
      <c r="BH71" s="1710">
        <f t="shared" si="4"/>
        <v>6073302906.5989895</v>
      </c>
      <c r="BI71" s="1710">
        <f t="shared" si="5"/>
        <v>10120111071.989479</v>
      </c>
      <c r="BJ71" s="1711">
        <f t="shared" si="6"/>
        <v>15745913.723602461</v>
      </c>
      <c r="BK71" s="1711">
        <f t="shared" si="7"/>
        <v>0.60012215907478761</v>
      </c>
    </row>
    <row r="72" spans="3:67" x14ac:dyDescent="0.25">
      <c r="C72" s="246" t="s">
        <v>1422</v>
      </c>
      <c r="D72" s="246">
        <v>1</v>
      </c>
      <c r="E72" s="246">
        <v>2</v>
      </c>
      <c r="F72" s="246">
        <v>3</v>
      </c>
      <c r="G72" s="246">
        <v>4</v>
      </c>
      <c r="H72" s="246">
        <v>5</v>
      </c>
      <c r="I72" s="246">
        <v>13</v>
      </c>
      <c r="J72" s="246"/>
      <c r="K72" s="246"/>
      <c r="L72" s="246"/>
      <c r="M72" s="246"/>
      <c r="N72" s="246"/>
      <c r="O72" s="246"/>
      <c r="P72" s="246"/>
      <c r="Q72" s="246"/>
      <c r="R72" s="246">
        <f>IFERROR(VLOOKUP(D72,PROGRAMAS[],2,FALSE),0)</f>
        <v>97037803.679377079</v>
      </c>
      <c r="S72" s="246">
        <f>IFERROR(VLOOKUP(E72,PROGRAMAS[],2,FALSE),0)</f>
        <v>640501509.6821388</v>
      </c>
      <c r="T72" s="246">
        <f>IFERROR(VLOOKUP(F72,PROGRAMAS[],2,FALSE),0)</f>
        <v>3062327798.1525245</v>
      </c>
      <c r="U72" s="246">
        <f>IFERROR(VLOOKUP(G72,PROGRAMAS[],2,FALSE),0)</f>
        <v>67697118.033011258</v>
      </c>
      <c r="V72" s="246">
        <f>IFERROR(VLOOKUP(H72,PROGRAMAS[],2,FALSE),0)</f>
        <v>1440941976.2528784</v>
      </c>
      <c r="W72" s="246">
        <f>IFERROR(VLOOKUP(I72,PROGRAMAS[],2,FALSE),0)</f>
        <v>3776538594.4604583</v>
      </c>
      <c r="X72" s="246">
        <f>IFERROR(VLOOKUP(J72,PROGRAMAS[],2,FALSE),0)</f>
        <v>0</v>
      </c>
      <c r="Y72" s="246">
        <f>IFERROR(VLOOKUP(K72,PROGRAMAS[],2,FALSE),0)</f>
        <v>0</v>
      </c>
      <c r="Z72" s="246">
        <f>IFERROR(VLOOKUP(L72,PROGRAMAS[],2,FALSE),0)</f>
        <v>0</v>
      </c>
      <c r="AA72" s="246">
        <f>IFERROR(VLOOKUP(M72,PROGRAMAS[],2,FALSE),0)</f>
        <v>0</v>
      </c>
      <c r="AB72" s="246">
        <f>IFERROR(VLOOKUP(N72,PROGRAMAS[],2,FALSE),0)</f>
        <v>0</v>
      </c>
      <c r="AC72" s="246">
        <f>IFERROR(VLOOKUP(O72,PROGRAMAS[],2,FALSE),0)</f>
        <v>0</v>
      </c>
      <c r="AD72" s="246">
        <f>IFERROR(VLOOKUP(P72,PROGRAMAS[],2,FALSE),0)</f>
        <v>0</v>
      </c>
      <c r="AE72" s="246">
        <f>IFERROR(VLOOKUP(Q72,PROGRAMAS[],2,FALSE),0)</f>
        <v>0</v>
      </c>
      <c r="AF72" s="246">
        <f>IFERROR(VLOOKUP(D72,PROGRAMAS[],3,FALSE),0)</f>
        <v>841888629.31080008</v>
      </c>
      <c r="AG72" s="246">
        <f>IFERROR(VLOOKUP(E72,PROGRAMAS[],3,FALSE),0)</f>
        <v>3848980803.1642323</v>
      </c>
      <c r="AH72" s="246">
        <f>IFERROR(VLOOKUP(F72,PROGRAMAS[],3,FALSE),0)</f>
        <v>3394901471.387517</v>
      </c>
      <c r="AI72" s="246">
        <f>IFERROR(VLOOKUP(G72,PROGRAMAS[],3,FALSE),0)</f>
        <v>125317226.95549992</v>
      </c>
      <c r="AJ72" s="246">
        <f>IFERROR(VLOOKUP(H72,PROGRAMAS[],3,FALSE),0)</f>
        <v>1233505101.0616004</v>
      </c>
      <c r="AK72" s="246">
        <f>IFERROR(VLOOKUP(I72,PROGRAMAS[],3,FALSE),0)</f>
        <v>2392571243.5584412</v>
      </c>
      <c r="AL72" s="246">
        <f>IFERROR(VLOOKUP(J72,PROGRAMAS[],3,FALSE),0)</f>
        <v>0</v>
      </c>
      <c r="AM72" s="246">
        <f>IFERROR(VLOOKUP(K72,PROGRAMAS[],3,FALSE),0)</f>
        <v>0</v>
      </c>
      <c r="AN72" s="246">
        <f>IFERROR(VLOOKUP(L72,PROGRAMAS[],3,FALSE),0)</f>
        <v>0</v>
      </c>
      <c r="AO72" s="246">
        <f>IFERROR(VLOOKUP(M72,PROGRAMAS[],3,FALSE),0)</f>
        <v>0</v>
      </c>
      <c r="AP72" s="246">
        <f>IFERROR(VLOOKUP(N72,PROGRAMAS[],3,FALSE),0)</f>
        <v>0</v>
      </c>
      <c r="AQ72" s="246">
        <f>IFERROR(VLOOKUP(O72,PROGRAMAS[],3,FALSE),0)</f>
        <v>0</v>
      </c>
      <c r="AR72" s="246">
        <f>IFERROR(VLOOKUP(P72,PROGRAMAS[],3,FALSE),0)</f>
        <v>0</v>
      </c>
      <c r="AS72" s="246">
        <f>IFERROR(VLOOKUP(Q72,PROGRAMAS[],3,FALSE),0)</f>
        <v>0</v>
      </c>
      <c r="AT72" s="246">
        <f>IFERROR(VLOOKUP(D72,VOL_REC[],2,FALSE),0)</f>
        <v>0</v>
      </c>
      <c r="AU72" s="246">
        <f>IFERROR(VLOOKUP(E72,VOL_REC[],2,FALSE),0)</f>
        <v>0</v>
      </c>
      <c r="AV72" s="246">
        <f>IFERROR(VLOOKUP(F72,VOL_REC[],2,FALSE),0)</f>
        <v>11089674.200000001</v>
      </c>
      <c r="AW72" s="246">
        <f>IFERROR(VLOOKUP(G72,VOL_REC[],2,FALSE),0)</f>
        <v>90439.55</v>
      </c>
      <c r="AX72" s="246">
        <f>IFERROR(VLOOKUP(H72,VOL_REC[],2,FALSE),0)</f>
        <v>4325103.1812214684</v>
      </c>
      <c r="AY72" s="246">
        <f>IFERROR(VLOOKUP(I72,VOL_REC[],2,FALSE),0)</f>
        <v>663244.80000000016</v>
      </c>
      <c r="AZ72" s="246">
        <f>IFERROR(VLOOKUP(J72,VOL_REC[],2,FALSE),0)</f>
        <v>0</v>
      </c>
      <c r="BA72" s="246">
        <f>IFERROR(VLOOKUP(K72,VOL_REC[],2,FALSE),0)</f>
        <v>0</v>
      </c>
      <c r="BB72" s="246">
        <f>IFERROR(VLOOKUP(L72,VOL_REC[],2,FALSE),0)</f>
        <v>0</v>
      </c>
      <c r="BC72" s="246">
        <f>IFERROR(VLOOKUP(M72,VOL_REC[],2,FALSE),0)</f>
        <v>0</v>
      </c>
      <c r="BD72" s="246">
        <f>IFERROR(VLOOKUP(N72,VOL_REC[],2,FALSE),0)</f>
        <v>0</v>
      </c>
      <c r="BE72" s="246">
        <f>IFERROR(VLOOKUP(O72,VOL_REC[],2,FALSE),0)</f>
        <v>0</v>
      </c>
      <c r="BF72" s="246">
        <f>IFERROR(VLOOKUP(P72,VOL_REC[],2,FALSE),0)</f>
        <v>0</v>
      </c>
      <c r="BG72" s="246">
        <f>IFERROR(VLOOKUP(Q72,VOL_REC[],2,FALSE),0)</f>
        <v>0</v>
      </c>
      <c r="BH72" s="1710">
        <f t="shared" si="4"/>
        <v>9085044800.2603893</v>
      </c>
      <c r="BI72" s="1710">
        <f t="shared" si="5"/>
        <v>11837164475.438091</v>
      </c>
      <c r="BJ72" s="1711">
        <f t="shared" si="6"/>
        <v>16168461.731221471</v>
      </c>
      <c r="BK72" s="1711">
        <f t="shared" si="7"/>
        <v>0.76750177959524835</v>
      </c>
    </row>
    <row r="73" spans="3:67" x14ac:dyDescent="0.25">
      <c r="C73" s="246" t="s">
        <v>1423</v>
      </c>
      <c r="D73" s="246">
        <v>1</v>
      </c>
      <c r="E73" s="246">
        <v>2</v>
      </c>
      <c r="F73" s="246">
        <v>3</v>
      </c>
      <c r="G73" s="246">
        <v>4</v>
      </c>
      <c r="H73" s="246">
        <v>5</v>
      </c>
      <c r="I73" s="246">
        <v>14</v>
      </c>
      <c r="J73" s="246"/>
      <c r="K73" s="246"/>
      <c r="L73" s="246"/>
      <c r="M73" s="246"/>
      <c r="N73" s="246"/>
      <c r="O73" s="246"/>
      <c r="P73" s="246"/>
      <c r="Q73" s="246"/>
      <c r="R73" s="246">
        <f>IFERROR(VLOOKUP(D73,PROGRAMAS[],2,FALSE),0)</f>
        <v>97037803.679377079</v>
      </c>
      <c r="S73" s="246">
        <f>IFERROR(VLOOKUP(E73,PROGRAMAS[],2,FALSE),0)</f>
        <v>640501509.6821388</v>
      </c>
      <c r="T73" s="246">
        <f>IFERROR(VLOOKUP(F73,PROGRAMAS[],2,FALSE),0)</f>
        <v>3062327798.1525245</v>
      </c>
      <c r="U73" s="246">
        <f>IFERROR(VLOOKUP(G73,PROGRAMAS[],2,FALSE),0)</f>
        <v>67697118.033011258</v>
      </c>
      <c r="V73" s="246">
        <f>IFERROR(VLOOKUP(H73,PROGRAMAS[],2,FALSE),0)</f>
        <v>1440941976.2528784</v>
      </c>
      <c r="W73" s="246">
        <f>IFERROR(VLOOKUP(I73,PROGRAMAS[],2,FALSE),0)</f>
        <v>54223862.645839565</v>
      </c>
      <c r="X73" s="246">
        <f>IFERROR(VLOOKUP(J73,PROGRAMAS[],2,FALSE),0)</f>
        <v>0</v>
      </c>
      <c r="Y73" s="246">
        <f>IFERROR(VLOOKUP(K73,PROGRAMAS[],2,FALSE),0)</f>
        <v>0</v>
      </c>
      <c r="Z73" s="246">
        <f>IFERROR(VLOOKUP(L73,PROGRAMAS[],2,FALSE),0)</f>
        <v>0</v>
      </c>
      <c r="AA73" s="246">
        <f>IFERROR(VLOOKUP(M73,PROGRAMAS[],2,FALSE),0)</f>
        <v>0</v>
      </c>
      <c r="AB73" s="246">
        <f>IFERROR(VLOOKUP(N73,PROGRAMAS[],2,FALSE),0)</f>
        <v>0</v>
      </c>
      <c r="AC73" s="246">
        <f>IFERROR(VLOOKUP(O73,PROGRAMAS[],2,FALSE),0)</f>
        <v>0</v>
      </c>
      <c r="AD73" s="246">
        <f>IFERROR(VLOOKUP(P73,PROGRAMAS[],2,FALSE),0)</f>
        <v>0</v>
      </c>
      <c r="AE73" s="246">
        <f>IFERROR(VLOOKUP(Q73,PROGRAMAS[],2,FALSE),0)</f>
        <v>0</v>
      </c>
      <c r="AF73" s="246">
        <f>IFERROR(VLOOKUP(D73,PROGRAMAS[],3,FALSE),0)</f>
        <v>841888629.31080008</v>
      </c>
      <c r="AG73" s="246">
        <f>IFERROR(VLOOKUP(E73,PROGRAMAS[],3,FALSE),0)</f>
        <v>3848980803.1642323</v>
      </c>
      <c r="AH73" s="246">
        <f>IFERROR(VLOOKUP(F73,PROGRAMAS[],3,FALSE),0)</f>
        <v>3394901471.387517</v>
      </c>
      <c r="AI73" s="246">
        <f>IFERROR(VLOOKUP(G73,PROGRAMAS[],3,FALSE),0)</f>
        <v>125317226.95549992</v>
      </c>
      <c r="AJ73" s="246">
        <f>IFERROR(VLOOKUP(H73,PROGRAMAS[],3,FALSE),0)</f>
        <v>1233505101.0616004</v>
      </c>
      <c r="AK73" s="246">
        <f>IFERROR(VLOOKUP(I73,PROGRAMAS[],3,FALSE),0)</f>
        <v>31865326.38096505</v>
      </c>
      <c r="AL73" s="246">
        <f>IFERROR(VLOOKUP(J73,PROGRAMAS[],3,FALSE),0)</f>
        <v>0</v>
      </c>
      <c r="AM73" s="246">
        <f>IFERROR(VLOOKUP(K73,PROGRAMAS[],3,FALSE),0)</f>
        <v>0</v>
      </c>
      <c r="AN73" s="246">
        <f>IFERROR(VLOOKUP(L73,PROGRAMAS[],3,FALSE),0)</f>
        <v>0</v>
      </c>
      <c r="AO73" s="246">
        <f>IFERROR(VLOOKUP(M73,PROGRAMAS[],3,FALSE),0)</f>
        <v>0</v>
      </c>
      <c r="AP73" s="246">
        <f>IFERROR(VLOOKUP(N73,PROGRAMAS[],3,FALSE),0)</f>
        <v>0</v>
      </c>
      <c r="AQ73" s="246">
        <f>IFERROR(VLOOKUP(O73,PROGRAMAS[],3,FALSE),0)</f>
        <v>0</v>
      </c>
      <c r="AR73" s="246">
        <f>IFERROR(VLOOKUP(P73,PROGRAMAS[],3,FALSE),0)</f>
        <v>0</v>
      </c>
      <c r="AS73" s="246">
        <f>IFERROR(VLOOKUP(Q73,PROGRAMAS[],3,FALSE),0)</f>
        <v>0</v>
      </c>
      <c r="AT73" s="246">
        <f>IFERROR(VLOOKUP(D73,VOL_REC[],2,FALSE),0)</f>
        <v>0</v>
      </c>
      <c r="AU73" s="246">
        <f>IFERROR(VLOOKUP(E73,VOL_REC[],2,FALSE),0)</f>
        <v>0</v>
      </c>
      <c r="AV73" s="246">
        <f>IFERROR(VLOOKUP(F73,VOL_REC[],2,FALSE),0)</f>
        <v>11089674.200000001</v>
      </c>
      <c r="AW73" s="246">
        <f>IFERROR(VLOOKUP(G73,VOL_REC[],2,FALSE),0)</f>
        <v>90439.55</v>
      </c>
      <c r="AX73" s="246">
        <f>IFERROR(VLOOKUP(H73,VOL_REC[],2,FALSE),0)</f>
        <v>4325103.1812214684</v>
      </c>
      <c r="AY73" s="246">
        <f>IFERROR(VLOOKUP(I73,VOL_REC[],2,FALSE),0)</f>
        <v>17074.045034105649</v>
      </c>
      <c r="AZ73" s="246">
        <f>IFERROR(VLOOKUP(J73,VOL_REC[],2,FALSE),0)</f>
        <v>0</v>
      </c>
      <c r="BA73" s="246">
        <f>IFERROR(VLOOKUP(K73,VOL_REC[],2,FALSE),0)</f>
        <v>0</v>
      </c>
      <c r="BB73" s="246">
        <f>IFERROR(VLOOKUP(L73,VOL_REC[],2,FALSE),0)</f>
        <v>0</v>
      </c>
      <c r="BC73" s="246">
        <f>IFERROR(VLOOKUP(M73,VOL_REC[],2,FALSE),0)</f>
        <v>0</v>
      </c>
      <c r="BD73" s="246">
        <f>IFERROR(VLOOKUP(N73,VOL_REC[],2,FALSE),0)</f>
        <v>0</v>
      </c>
      <c r="BE73" s="246">
        <f>IFERROR(VLOOKUP(O73,VOL_REC[],2,FALSE),0)</f>
        <v>0</v>
      </c>
      <c r="BF73" s="246">
        <f>IFERROR(VLOOKUP(P73,VOL_REC[],2,FALSE),0)</f>
        <v>0</v>
      </c>
      <c r="BG73" s="246">
        <f>IFERROR(VLOOKUP(Q73,VOL_REC[],2,FALSE),0)</f>
        <v>0</v>
      </c>
      <c r="BH73" s="1710">
        <f t="shared" si="4"/>
        <v>5362730068.4457703</v>
      </c>
      <c r="BI73" s="1710">
        <f t="shared" si="5"/>
        <v>9476458558.2606144</v>
      </c>
      <c r="BJ73" s="1711">
        <f t="shared" si="6"/>
        <v>15522290.976255575</v>
      </c>
      <c r="BK73" s="1711">
        <f t="shared" si="7"/>
        <v>0.56590022902290715</v>
      </c>
    </row>
    <row r="74" spans="3:67" x14ac:dyDescent="0.25">
      <c r="C74" s="246" t="s">
        <v>1424</v>
      </c>
      <c r="D74" s="246">
        <v>1</v>
      </c>
      <c r="E74" s="246">
        <v>2</v>
      </c>
      <c r="F74" s="246">
        <v>3</v>
      </c>
      <c r="G74" s="246">
        <v>4</v>
      </c>
      <c r="H74" s="246">
        <v>5</v>
      </c>
      <c r="I74" s="246">
        <v>15</v>
      </c>
      <c r="J74" s="246"/>
      <c r="K74" s="246"/>
      <c r="L74" s="246"/>
      <c r="M74" s="246"/>
      <c r="N74" s="246"/>
      <c r="O74" s="246"/>
      <c r="P74" s="246"/>
      <c r="Q74" s="246"/>
      <c r="R74" s="246">
        <f>IFERROR(VLOOKUP(D74,PROGRAMAS[],2,FALSE),0)</f>
        <v>97037803.679377079</v>
      </c>
      <c r="S74" s="246">
        <f>IFERROR(VLOOKUP(E74,PROGRAMAS[],2,FALSE),0)</f>
        <v>640501509.6821388</v>
      </c>
      <c r="T74" s="246">
        <f>IFERROR(VLOOKUP(F74,PROGRAMAS[],2,FALSE),0)</f>
        <v>3062327798.1525245</v>
      </c>
      <c r="U74" s="246">
        <f>IFERROR(VLOOKUP(G74,PROGRAMAS[],2,FALSE),0)</f>
        <v>67697118.033011258</v>
      </c>
      <c r="V74" s="246">
        <f>IFERROR(VLOOKUP(H74,PROGRAMAS[],2,FALSE),0)</f>
        <v>1440941976.2528784</v>
      </c>
      <c r="W74" s="246">
        <f>IFERROR(VLOOKUP(I74,PROGRAMAS[],2,FALSE),0)</f>
        <v>122159672.96346797</v>
      </c>
      <c r="X74" s="246">
        <f>IFERROR(VLOOKUP(J74,PROGRAMAS[],2,FALSE),0)</f>
        <v>0</v>
      </c>
      <c r="Y74" s="246">
        <f>IFERROR(VLOOKUP(K74,PROGRAMAS[],2,FALSE),0)</f>
        <v>0</v>
      </c>
      <c r="Z74" s="246">
        <f>IFERROR(VLOOKUP(L74,PROGRAMAS[],2,FALSE),0)</f>
        <v>0</v>
      </c>
      <c r="AA74" s="246">
        <f>IFERROR(VLOOKUP(M74,PROGRAMAS[],2,FALSE),0)</f>
        <v>0</v>
      </c>
      <c r="AB74" s="246">
        <f>IFERROR(VLOOKUP(N74,PROGRAMAS[],2,FALSE),0)</f>
        <v>0</v>
      </c>
      <c r="AC74" s="246">
        <f>IFERROR(VLOOKUP(O74,PROGRAMAS[],2,FALSE),0)</f>
        <v>0</v>
      </c>
      <c r="AD74" s="246">
        <f>IFERROR(VLOOKUP(P74,PROGRAMAS[],2,FALSE),0)</f>
        <v>0</v>
      </c>
      <c r="AE74" s="246">
        <f>IFERROR(VLOOKUP(Q74,PROGRAMAS[],2,FALSE),0)</f>
        <v>0</v>
      </c>
      <c r="AF74" s="246">
        <f>IFERROR(VLOOKUP(D74,PROGRAMAS[],3,FALSE),0)</f>
        <v>841888629.31080008</v>
      </c>
      <c r="AG74" s="246">
        <f>IFERROR(VLOOKUP(E74,PROGRAMAS[],3,FALSE),0)</f>
        <v>3848980803.1642323</v>
      </c>
      <c r="AH74" s="246">
        <f>IFERROR(VLOOKUP(F74,PROGRAMAS[],3,FALSE),0)</f>
        <v>3394901471.387517</v>
      </c>
      <c r="AI74" s="246">
        <f>IFERROR(VLOOKUP(G74,PROGRAMAS[],3,FALSE),0)</f>
        <v>125317226.95549992</v>
      </c>
      <c r="AJ74" s="246">
        <f>IFERROR(VLOOKUP(H74,PROGRAMAS[],3,FALSE),0)</f>
        <v>1233505101.0616004</v>
      </c>
      <c r="AK74" s="246">
        <f>IFERROR(VLOOKUP(I74,PROGRAMAS[],3,FALSE),0)</f>
        <v>118617452.52510804</v>
      </c>
      <c r="AL74" s="246">
        <f>IFERROR(VLOOKUP(J74,PROGRAMAS[],3,FALSE),0)</f>
        <v>0</v>
      </c>
      <c r="AM74" s="246">
        <f>IFERROR(VLOOKUP(K74,PROGRAMAS[],3,FALSE),0)</f>
        <v>0</v>
      </c>
      <c r="AN74" s="246">
        <f>IFERROR(VLOOKUP(L74,PROGRAMAS[],3,FALSE),0)</f>
        <v>0</v>
      </c>
      <c r="AO74" s="246">
        <f>IFERROR(VLOOKUP(M74,PROGRAMAS[],3,FALSE),0)</f>
        <v>0</v>
      </c>
      <c r="AP74" s="246">
        <f>IFERROR(VLOOKUP(N74,PROGRAMAS[],3,FALSE),0)</f>
        <v>0</v>
      </c>
      <c r="AQ74" s="246">
        <f>IFERROR(VLOOKUP(O74,PROGRAMAS[],3,FALSE),0)</f>
        <v>0</v>
      </c>
      <c r="AR74" s="246">
        <f>IFERROR(VLOOKUP(P74,PROGRAMAS[],3,FALSE),0)</f>
        <v>0</v>
      </c>
      <c r="AS74" s="246">
        <f>IFERROR(VLOOKUP(Q74,PROGRAMAS[],3,FALSE),0)</f>
        <v>0</v>
      </c>
      <c r="AT74" s="246">
        <f>IFERROR(VLOOKUP(D74,VOL_REC[],2,FALSE),0)</f>
        <v>0</v>
      </c>
      <c r="AU74" s="246">
        <f>IFERROR(VLOOKUP(E74,VOL_REC[],2,FALSE),0)</f>
        <v>0</v>
      </c>
      <c r="AV74" s="246">
        <f>IFERROR(VLOOKUP(F74,VOL_REC[],2,FALSE),0)</f>
        <v>11089674.200000001</v>
      </c>
      <c r="AW74" s="246">
        <f>IFERROR(VLOOKUP(G74,VOL_REC[],2,FALSE),0)</f>
        <v>90439.55</v>
      </c>
      <c r="AX74" s="246">
        <f>IFERROR(VLOOKUP(H74,VOL_REC[],2,FALSE),0)</f>
        <v>4325103.1812214684</v>
      </c>
      <c r="AY74" s="246">
        <f>IFERROR(VLOOKUP(I74,VOL_REC[],2,FALSE),0)</f>
        <v>105072</v>
      </c>
      <c r="AZ74" s="246">
        <f>IFERROR(VLOOKUP(J74,VOL_REC[],2,FALSE),0)</f>
        <v>0</v>
      </c>
      <c r="BA74" s="246">
        <f>IFERROR(VLOOKUP(K74,VOL_REC[],2,FALSE),0)</f>
        <v>0</v>
      </c>
      <c r="BB74" s="246">
        <f>IFERROR(VLOOKUP(L74,VOL_REC[],2,FALSE),0)</f>
        <v>0</v>
      </c>
      <c r="BC74" s="246">
        <f>IFERROR(VLOOKUP(M74,VOL_REC[],2,FALSE),0)</f>
        <v>0</v>
      </c>
      <c r="BD74" s="246">
        <f>IFERROR(VLOOKUP(N74,VOL_REC[],2,FALSE),0)</f>
        <v>0</v>
      </c>
      <c r="BE74" s="246">
        <f>IFERROR(VLOOKUP(O74,VOL_REC[],2,FALSE),0)</f>
        <v>0</v>
      </c>
      <c r="BF74" s="246">
        <f>IFERROR(VLOOKUP(P74,VOL_REC[],2,FALSE),0)</f>
        <v>0</v>
      </c>
      <c r="BG74" s="246">
        <f>IFERROR(VLOOKUP(Q74,VOL_REC[],2,FALSE),0)</f>
        <v>0</v>
      </c>
      <c r="BH74" s="1710">
        <f t="shared" si="4"/>
        <v>5430665878.7633982</v>
      </c>
      <c r="BI74" s="1710">
        <f t="shared" si="5"/>
        <v>9563210684.4047585</v>
      </c>
      <c r="BJ74" s="1711">
        <f t="shared" si="6"/>
        <v>15610288.93122147</v>
      </c>
      <c r="BK74" s="1711">
        <f t="shared" si="7"/>
        <v>0.56787056753015774</v>
      </c>
    </row>
    <row r="75" spans="3:67" x14ac:dyDescent="0.25">
      <c r="C75" s="246" t="s">
        <v>1425</v>
      </c>
      <c r="D75" s="246">
        <v>1</v>
      </c>
      <c r="E75" s="246">
        <v>2</v>
      </c>
      <c r="F75" s="246">
        <v>3</v>
      </c>
      <c r="G75" s="246">
        <v>4</v>
      </c>
      <c r="H75" s="246">
        <v>5</v>
      </c>
      <c r="I75" s="246">
        <v>16</v>
      </c>
      <c r="J75" s="246"/>
      <c r="K75" s="246"/>
      <c r="L75" s="246"/>
      <c r="M75" s="246"/>
      <c r="N75" s="246"/>
      <c r="O75" s="246"/>
      <c r="P75" s="246"/>
      <c r="Q75" s="246"/>
      <c r="R75" s="246">
        <f>IFERROR(VLOOKUP(D75,PROGRAMAS[],2,FALSE),0)</f>
        <v>97037803.679377079</v>
      </c>
      <c r="S75" s="246">
        <f>IFERROR(VLOOKUP(E75,PROGRAMAS[],2,FALSE),0)</f>
        <v>640501509.6821388</v>
      </c>
      <c r="T75" s="246">
        <f>IFERROR(VLOOKUP(F75,PROGRAMAS[],2,FALSE),0)</f>
        <v>3062327798.1525245</v>
      </c>
      <c r="U75" s="246">
        <f>IFERROR(VLOOKUP(G75,PROGRAMAS[],2,FALSE),0)</f>
        <v>67697118.033011258</v>
      </c>
      <c r="V75" s="246">
        <f>IFERROR(VLOOKUP(H75,PROGRAMAS[],2,FALSE),0)</f>
        <v>1440941976.2528784</v>
      </c>
      <c r="W75" s="246">
        <f>IFERROR(VLOOKUP(I75,PROGRAMAS[],2,FALSE),0)</f>
        <v>7068496961.0436354</v>
      </c>
      <c r="X75" s="246">
        <f>IFERROR(VLOOKUP(J75,PROGRAMAS[],2,FALSE),0)</f>
        <v>0</v>
      </c>
      <c r="Y75" s="246">
        <f>IFERROR(VLOOKUP(K75,PROGRAMAS[],2,FALSE),0)</f>
        <v>0</v>
      </c>
      <c r="Z75" s="246">
        <f>IFERROR(VLOOKUP(L75,PROGRAMAS[],2,FALSE),0)</f>
        <v>0</v>
      </c>
      <c r="AA75" s="246">
        <f>IFERROR(VLOOKUP(M75,PROGRAMAS[],2,FALSE),0)</f>
        <v>0</v>
      </c>
      <c r="AB75" s="246">
        <f>IFERROR(VLOOKUP(N75,PROGRAMAS[],2,FALSE),0)</f>
        <v>0</v>
      </c>
      <c r="AC75" s="246">
        <f>IFERROR(VLOOKUP(O75,PROGRAMAS[],2,FALSE),0)</f>
        <v>0</v>
      </c>
      <c r="AD75" s="246">
        <f>IFERROR(VLOOKUP(P75,PROGRAMAS[],2,FALSE),0)</f>
        <v>0</v>
      </c>
      <c r="AE75" s="246">
        <f>IFERROR(VLOOKUP(Q75,PROGRAMAS[],2,FALSE),0)</f>
        <v>0</v>
      </c>
      <c r="AF75" s="246">
        <f>IFERROR(VLOOKUP(D75,PROGRAMAS[],3,FALSE),0)</f>
        <v>841888629.31080008</v>
      </c>
      <c r="AG75" s="246">
        <f>IFERROR(VLOOKUP(E75,PROGRAMAS[],3,FALSE),0)</f>
        <v>3848980803.1642323</v>
      </c>
      <c r="AH75" s="246">
        <f>IFERROR(VLOOKUP(F75,PROGRAMAS[],3,FALSE),0)</f>
        <v>3394901471.387517</v>
      </c>
      <c r="AI75" s="246">
        <f>IFERROR(VLOOKUP(G75,PROGRAMAS[],3,FALSE),0)</f>
        <v>125317226.95549992</v>
      </c>
      <c r="AJ75" s="246">
        <f>IFERROR(VLOOKUP(H75,PROGRAMAS[],3,FALSE),0)</f>
        <v>1233505101.0616004</v>
      </c>
      <c r="AK75" s="246">
        <f>IFERROR(VLOOKUP(I75,PROGRAMAS[],3,FALSE),0)</f>
        <v>2406564599.0319901</v>
      </c>
      <c r="AL75" s="246">
        <f>IFERROR(VLOOKUP(J75,PROGRAMAS[],3,FALSE),0)</f>
        <v>0</v>
      </c>
      <c r="AM75" s="246">
        <f>IFERROR(VLOOKUP(K75,PROGRAMAS[],3,FALSE),0)</f>
        <v>0</v>
      </c>
      <c r="AN75" s="246">
        <f>IFERROR(VLOOKUP(L75,PROGRAMAS[],3,FALSE),0)</f>
        <v>0</v>
      </c>
      <c r="AO75" s="246">
        <f>IFERROR(VLOOKUP(M75,PROGRAMAS[],3,FALSE),0)</f>
        <v>0</v>
      </c>
      <c r="AP75" s="246">
        <f>IFERROR(VLOOKUP(N75,PROGRAMAS[],3,FALSE),0)</f>
        <v>0</v>
      </c>
      <c r="AQ75" s="246">
        <f>IFERROR(VLOOKUP(O75,PROGRAMAS[],3,FALSE),0)</f>
        <v>0</v>
      </c>
      <c r="AR75" s="246">
        <f>IFERROR(VLOOKUP(P75,PROGRAMAS[],3,FALSE),0)</f>
        <v>0</v>
      </c>
      <c r="AS75" s="246">
        <f>IFERROR(VLOOKUP(Q75,PROGRAMAS[],3,FALSE),0)</f>
        <v>0</v>
      </c>
      <c r="AT75" s="246">
        <f>IFERROR(VLOOKUP(D75,VOL_REC[],2,FALSE),0)</f>
        <v>0</v>
      </c>
      <c r="AU75" s="246">
        <f>IFERROR(VLOOKUP(E75,VOL_REC[],2,FALSE),0)</f>
        <v>0</v>
      </c>
      <c r="AV75" s="246">
        <f>IFERROR(VLOOKUP(F75,VOL_REC[],2,FALSE),0)</f>
        <v>11089674.200000001</v>
      </c>
      <c r="AW75" s="246">
        <f>IFERROR(VLOOKUP(G75,VOL_REC[],2,FALSE),0)</f>
        <v>90439.55</v>
      </c>
      <c r="AX75" s="246">
        <f>IFERROR(VLOOKUP(H75,VOL_REC[],2,FALSE),0)</f>
        <v>4325103.1812214684</v>
      </c>
      <c r="AY75" s="246">
        <f>IFERROR(VLOOKUP(I75,VOL_REC[],2,FALSE),0)</f>
        <v>1072354.9981737854</v>
      </c>
      <c r="AZ75" s="246">
        <f>IFERROR(VLOOKUP(J75,VOL_REC[],2,FALSE),0)</f>
        <v>0</v>
      </c>
      <c r="BA75" s="246">
        <f>IFERROR(VLOOKUP(K75,VOL_REC[],2,FALSE),0)</f>
        <v>0</v>
      </c>
      <c r="BB75" s="246">
        <f>IFERROR(VLOOKUP(L75,VOL_REC[],2,FALSE),0)</f>
        <v>0</v>
      </c>
      <c r="BC75" s="246">
        <f>IFERROR(VLOOKUP(M75,VOL_REC[],2,FALSE),0)</f>
        <v>0</v>
      </c>
      <c r="BD75" s="246">
        <f>IFERROR(VLOOKUP(N75,VOL_REC[],2,FALSE),0)</f>
        <v>0</v>
      </c>
      <c r="BE75" s="246">
        <f>IFERROR(VLOOKUP(O75,VOL_REC[],2,FALSE),0)</f>
        <v>0</v>
      </c>
      <c r="BF75" s="246">
        <f>IFERROR(VLOOKUP(P75,VOL_REC[],2,FALSE),0)</f>
        <v>0</v>
      </c>
      <c r="BG75" s="246">
        <f>IFERROR(VLOOKUP(Q75,VOL_REC[],2,FALSE),0)</f>
        <v>0</v>
      </c>
      <c r="BH75" s="1710">
        <f t="shared" si="4"/>
        <v>12377003166.843567</v>
      </c>
      <c r="BI75" s="1710">
        <f t="shared" si="5"/>
        <v>11851157830.91164</v>
      </c>
      <c r="BJ75" s="1711">
        <f t="shared" si="6"/>
        <v>16577571.929395255</v>
      </c>
      <c r="BK75" s="1711">
        <f t="shared" si="7"/>
        <v>1.0443707984852209</v>
      </c>
      <c r="BL75">
        <f>BJ75</f>
        <v>16577571.929395255</v>
      </c>
      <c r="BO75">
        <f>BL75</f>
        <v>16577571.929395255</v>
      </c>
    </row>
    <row r="76" spans="3:67" x14ac:dyDescent="0.25">
      <c r="C76" s="246" t="s">
        <v>1426</v>
      </c>
      <c r="D76" s="246">
        <v>1</v>
      </c>
      <c r="E76" s="246">
        <v>2</v>
      </c>
      <c r="F76" s="246">
        <v>3</v>
      </c>
      <c r="G76" s="246">
        <v>4</v>
      </c>
      <c r="H76" s="246">
        <v>5</v>
      </c>
      <c r="I76" s="246">
        <v>17</v>
      </c>
      <c r="J76" s="246"/>
      <c r="K76" s="246"/>
      <c r="L76" s="246"/>
      <c r="M76" s="246"/>
      <c r="N76" s="246"/>
      <c r="O76" s="246"/>
      <c r="P76" s="246"/>
      <c r="Q76" s="246"/>
      <c r="R76" s="246">
        <f>IFERROR(VLOOKUP(D76,PROGRAMAS[],2,FALSE),0)</f>
        <v>97037803.679377079</v>
      </c>
      <c r="S76" s="246">
        <f>IFERROR(VLOOKUP(E76,PROGRAMAS[],2,FALSE),0)</f>
        <v>640501509.6821388</v>
      </c>
      <c r="T76" s="246">
        <f>IFERROR(VLOOKUP(F76,PROGRAMAS[],2,FALSE),0)</f>
        <v>3062327798.1525245</v>
      </c>
      <c r="U76" s="246">
        <f>IFERROR(VLOOKUP(G76,PROGRAMAS[],2,FALSE),0)</f>
        <v>67697118.033011258</v>
      </c>
      <c r="V76" s="246">
        <f>IFERROR(VLOOKUP(H76,PROGRAMAS[],2,FALSE),0)</f>
        <v>1440941976.2528784</v>
      </c>
      <c r="W76" s="246">
        <f>IFERROR(VLOOKUP(I76,PROGRAMAS[],2,FALSE),0)</f>
        <v>1892779498.5211046</v>
      </c>
      <c r="X76" s="246">
        <f>IFERROR(VLOOKUP(J76,PROGRAMAS[],2,FALSE),0)</f>
        <v>0</v>
      </c>
      <c r="Y76" s="246">
        <f>IFERROR(VLOOKUP(K76,PROGRAMAS[],2,FALSE),0)</f>
        <v>0</v>
      </c>
      <c r="Z76" s="246">
        <f>IFERROR(VLOOKUP(L76,PROGRAMAS[],2,FALSE),0)</f>
        <v>0</v>
      </c>
      <c r="AA76" s="246">
        <f>IFERROR(VLOOKUP(M76,PROGRAMAS[],2,FALSE),0)</f>
        <v>0</v>
      </c>
      <c r="AB76" s="246">
        <f>IFERROR(VLOOKUP(N76,PROGRAMAS[],2,FALSE),0)</f>
        <v>0</v>
      </c>
      <c r="AC76" s="246">
        <f>IFERROR(VLOOKUP(O76,PROGRAMAS[],2,FALSE),0)</f>
        <v>0</v>
      </c>
      <c r="AD76" s="246">
        <f>IFERROR(VLOOKUP(P76,PROGRAMAS[],2,FALSE),0)</f>
        <v>0</v>
      </c>
      <c r="AE76" s="246">
        <f>IFERROR(VLOOKUP(Q76,PROGRAMAS[],2,FALSE),0)</f>
        <v>0</v>
      </c>
      <c r="AF76" s="246">
        <f>IFERROR(VLOOKUP(D76,PROGRAMAS[],3,FALSE),0)</f>
        <v>841888629.31080008</v>
      </c>
      <c r="AG76" s="246">
        <f>IFERROR(VLOOKUP(E76,PROGRAMAS[],3,FALSE),0)</f>
        <v>3848980803.1642323</v>
      </c>
      <c r="AH76" s="246">
        <f>IFERROR(VLOOKUP(F76,PROGRAMAS[],3,FALSE),0)</f>
        <v>3394901471.387517</v>
      </c>
      <c r="AI76" s="246">
        <f>IFERROR(VLOOKUP(G76,PROGRAMAS[],3,FALSE),0)</f>
        <v>125317226.95549992</v>
      </c>
      <c r="AJ76" s="246">
        <f>IFERROR(VLOOKUP(H76,PROGRAMAS[],3,FALSE),0)</f>
        <v>1233505101.0616004</v>
      </c>
      <c r="AK76" s="246">
        <f>IFERROR(VLOOKUP(I76,PROGRAMAS[],3,FALSE),0)</f>
        <v>948595847.09039903</v>
      </c>
      <c r="AL76" s="246">
        <f>IFERROR(VLOOKUP(J76,PROGRAMAS[],3,FALSE),0)</f>
        <v>0</v>
      </c>
      <c r="AM76" s="246">
        <f>IFERROR(VLOOKUP(K76,PROGRAMAS[],3,FALSE),0)</f>
        <v>0</v>
      </c>
      <c r="AN76" s="246">
        <f>IFERROR(VLOOKUP(L76,PROGRAMAS[],3,FALSE),0)</f>
        <v>0</v>
      </c>
      <c r="AO76" s="246">
        <f>IFERROR(VLOOKUP(M76,PROGRAMAS[],3,FALSE),0)</f>
        <v>0</v>
      </c>
      <c r="AP76" s="246">
        <f>IFERROR(VLOOKUP(N76,PROGRAMAS[],3,FALSE),0)</f>
        <v>0</v>
      </c>
      <c r="AQ76" s="246">
        <f>IFERROR(VLOOKUP(O76,PROGRAMAS[],3,FALSE),0)</f>
        <v>0</v>
      </c>
      <c r="AR76" s="246">
        <f>IFERROR(VLOOKUP(P76,PROGRAMAS[],3,FALSE),0)</f>
        <v>0</v>
      </c>
      <c r="AS76" s="246">
        <f>IFERROR(VLOOKUP(Q76,PROGRAMAS[],3,FALSE),0)</f>
        <v>0</v>
      </c>
      <c r="AT76" s="246">
        <f>IFERROR(VLOOKUP(D76,VOL_REC[],2,FALSE),0)</f>
        <v>0</v>
      </c>
      <c r="AU76" s="246">
        <f>IFERROR(VLOOKUP(E76,VOL_REC[],2,FALSE),0)</f>
        <v>0</v>
      </c>
      <c r="AV76" s="246">
        <f>IFERROR(VLOOKUP(F76,VOL_REC[],2,FALSE),0)</f>
        <v>11089674.200000001</v>
      </c>
      <c r="AW76" s="246">
        <f>IFERROR(VLOOKUP(G76,VOL_REC[],2,FALSE),0)</f>
        <v>90439.55</v>
      </c>
      <c r="AX76" s="246">
        <f>IFERROR(VLOOKUP(H76,VOL_REC[],2,FALSE),0)</f>
        <v>4325103.1812214684</v>
      </c>
      <c r="AY76" s="246">
        <f>IFERROR(VLOOKUP(I76,VOL_REC[],2,FALSE),0)</f>
        <v>740113.98115702497</v>
      </c>
      <c r="AZ76" s="246">
        <f>IFERROR(VLOOKUP(J76,VOL_REC[],2,FALSE),0)</f>
        <v>0</v>
      </c>
      <c r="BA76" s="246">
        <f>IFERROR(VLOOKUP(K76,VOL_REC[],2,FALSE),0)</f>
        <v>0</v>
      </c>
      <c r="BB76" s="246">
        <f>IFERROR(VLOOKUP(L76,VOL_REC[],2,FALSE),0)</f>
        <v>0</v>
      </c>
      <c r="BC76" s="246">
        <f>IFERROR(VLOOKUP(M76,VOL_REC[],2,FALSE),0)</f>
        <v>0</v>
      </c>
      <c r="BD76" s="246">
        <f>IFERROR(VLOOKUP(N76,VOL_REC[],2,FALSE),0)</f>
        <v>0</v>
      </c>
      <c r="BE76" s="246">
        <f>IFERROR(VLOOKUP(O76,VOL_REC[],2,FALSE),0)</f>
        <v>0</v>
      </c>
      <c r="BF76" s="246">
        <f>IFERROR(VLOOKUP(P76,VOL_REC[],2,FALSE),0)</f>
        <v>0</v>
      </c>
      <c r="BG76" s="246">
        <f>IFERROR(VLOOKUP(Q76,VOL_REC[],2,FALSE),0)</f>
        <v>0</v>
      </c>
      <c r="BH76" s="1710">
        <f t="shared" si="4"/>
        <v>7201285704.3210354</v>
      </c>
      <c r="BI76" s="1710">
        <f t="shared" si="5"/>
        <v>10393189078.970049</v>
      </c>
      <c r="BJ76" s="1711">
        <f t="shared" si="6"/>
        <v>16245330.912378496</v>
      </c>
      <c r="BK76" s="1711">
        <f t="shared" si="7"/>
        <v>0.69288508556939221</v>
      </c>
    </row>
    <row r="77" spans="3:67" x14ac:dyDescent="0.25">
      <c r="C77" s="246" t="s">
        <v>1427</v>
      </c>
      <c r="D77" s="246">
        <v>1</v>
      </c>
      <c r="E77" s="246">
        <v>2</v>
      </c>
      <c r="F77" s="246">
        <v>3</v>
      </c>
      <c r="G77" s="246">
        <v>4</v>
      </c>
      <c r="H77" s="246">
        <v>6</v>
      </c>
      <c r="I77" s="246">
        <v>9</v>
      </c>
      <c r="J77" s="246"/>
      <c r="K77" s="246"/>
      <c r="L77" s="246"/>
      <c r="M77" s="246"/>
      <c r="N77" s="246"/>
      <c r="O77" s="246"/>
      <c r="P77" s="246"/>
      <c r="Q77" s="246"/>
      <c r="R77" s="246">
        <f>IFERROR(VLOOKUP(D77,PROGRAMAS[],2,FALSE),0)</f>
        <v>97037803.679377079</v>
      </c>
      <c r="S77" s="246">
        <f>IFERROR(VLOOKUP(E77,PROGRAMAS[],2,FALSE),0)</f>
        <v>640501509.6821388</v>
      </c>
      <c r="T77" s="246">
        <f>IFERROR(VLOOKUP(F77,PROGRAMAS[],2,FALSE),0)</f>
        <v>3062327798.1525245</v>
      </c>
      <c r="U77" s="246">
        <f>IFERROR(VLOOKUP(G77,PROGRAMAS[],2,FALSE),0)</f>
        <v>67697118.033011258</v>
      </c>
      <c r="V77" s="246">
        <f>IFERROR(VLOOKUP(H77,PROGRAMAS[],2,FALSE),0)</f>
        <v>6907648435.8447599</v>
      </c>
      <c r="W77" s="246">
        <f>IFERROR(VLOOKUP(I77,PROGRAMAS[],2,FALSE),0)</f>
        <v>6128579952.1618185</v>
      </c>
      <c r="X77" s="246">
        <f>IFERROR(VLOOKUP(J77,PROGRAMAS[],2,FALSE),0)</f>
        <v>0</v>
      </c>
      <c r="Y77" s="246">
        <f>IFERROR(VLOOKUP(K77,PROGRAMAS[],2,FALSE),0)</f>
        <v>0</v>
      </c>
      <c r="Z77" s="246">
        <f>IFERROR(VLOOKUP(L77,PROGRAMAS[],2,FALSE),0)</f>
        <v>0</v>
      </c>
      <c r="AA77" s="246">
        <f>IFERROR(VLOOKUP(M77,PROGRAMAS[],2,FALSE),0)</f>
        <v>0</v>
      </c>
      <c r="AB77" s="246">
        <f>IFERROR(VLOOKUP(N77,PROGRAMAS[],2,FALSE),0)</f>
        <v>0</v>
      </c>
      <c r="AC77" s="246">
        <f>IFERROR(VLOOKUP(O77,PROGRAMAS[],2,FALSE),0)</f>
        <v>0</v>
      </c>
      <c r="AD77" s="246">
        <f>IFERROR(VLOOKUP(P77,PROGRAMAS[],2,FALSE),0)</f>
        <v>0</v>
      </c>
      <c r="AE77" s="246">
        <f>IFERROR(VLOOKUP(Q77,PROGRAMAS[],2,FALSE),0)</f>
        <v>0</v>
      </c>
      <c r="AF77" s="246">
        <f>IFERROR(VLOOKUP(D77,PROGRAMAS[],3,FALSE),0)</f>
        <v>841888629.31080008</v>
      </c>
      <c r="AG77" s="246">
        <f>IFERROR(VLOOKUP(E77,PROGRAMAS[],3,FALSE),0)</f>
        <v>3848980803.1642323</v>
      </c>
      <c r="AH77" s="246">
        <f>IFERROR(VLOOKUP(F77,PROGRAMAS[],3,FALSE),0)</f>
        <v>3394901471.387517</v>
      </c>
      <c r="AI77" s="246">
        <f>IFERROR(VLOOKUP(G77,PROGRAMAS[],3,FALSE),0)</f>
        <v>125317226.95549992</v>
      </c>
      <c r="AJ77" s="246">
        <f>IFERROR(VLOOKUP(H77,PROGRAMAS[],3,FALSE),0)</f>
        <v>6129902208.7912121</v>
      </c>
      <c r="AK77" s="246">
        <f>IFERROR(VLOOKUP(I77,PROGRAMAS[],3,FALSE),0)</f>
        <v>7011279577.519702</v>
      </c>
      <c r="AL77" s="246">
        <f>IFERROR(VLOOKUP(J77,PROGRAMAS[],3,FALSE),0)</f>
        <v>0</v>
      </c>
      <c r="AM77" s="246">
        <f>IFERROR(VLOOKUP(K77,PROGRAMAS[],3,FALSE),0)</f>
        <v>0</v>
      </c>
      <c r="AN77" s="246">
        <f>IFERROR(VLOOKUP(L77,PROGRAMAS[],3,FALSE),0)</f>
        <v>0</v>
      </c>
      <c r="AO77" s="246">
        <f>IFERROR(VLOOKUP(M77,PROGRAMAS[],3,FALSE),0)</f>
        <v>0</v>
      </c>
      <c r="AP77" s="246">
        <f>IFERROR(VLOOKUP(N77,PROGRAMAS[],3,FALSE),0)</f>
        <v>0</v>
      </c>
      <c r="AQ77" s="246">
        <f>IFERROR(VLOOKUP(O77,PROGRAMAS[],3,FALSE),0)</f>
        <v>0</v>
      </c>
      <c r="AR77" s="246">
        <f>IFERROR(VLOOKUP(P77,PROGRAMAS[],3,FALSE),0)</f>
        <v>0</v>
      </c>
      <c r="AS77" s="246">
        <f>IFERROR(VLOOKUP(Q77,PROGRAMAS[],3,FALSE),0)</f>
        <v>0</v>
      </c>
      <c r="AT77" s="246">
        <f>IFERROR(VLOOKUP(D77,VOL_REC[],2,FALSE),0)</f>
        <v>0</v>
      </c>
      <c r="AU77" s="246">
        <f>IFERROR(VLOOKUP(E77,VOL_REC[],2,FALSE),0)</f>
        <v>0</v>
      </c>
      <c r="AV77" s="246">
        <f>IFERROR(VLOOKUP(F77,VOL_REC[],2,FALSE),0)</f>
        <v>11089674.200000001</v>
      </c>
      <c r="AW77" s="246">
        <f>IFERROR(VLOOKUP(G77,VOL_REC[],2,FALSE),0)</f>
        <v>90439.55</v>
      </c>
      <c r="AX77" s="246">
        <f>IFERROR(VLOOKUP(H77,VOL_REC[],2,FALSE),0)</f>
        <v>15540036.397699751</v>
      </c>
      <c r="AY77" s="246">
        <f>IFERROR(VLOOKUP(I77,VOL_REC[],2,FALSE),0)</f>
        <v>3761786</v>
      </c>
      <c r="AZ77" s="246">
        <f>IFERROR(VLOOKUP(J77,VOL_REC[],2,FALSE),0)</f>
        <v>0</v>
      </c>
      <c r="BA77" s="246">
        <f>IFERROR(VLOOKUP(K77,VOL_REC[],2,FALSE),0)</f>
        <v>0</v>
      </c>
      <c r="BB77" s="246">
        <f>IFERROR(VLOOKUP(L77,VOL_REC[],2,FALSE),0)</f>
        <v>0</v>
      </c>
      <c r="BC77" s="246">
        <f>IFERROR(VLOOKUP(M77,VOL_REC[],2,FALSE),0)</f>
        <v>0</v>
      </c>
      <c r="BD77" s="246">
        <f>IFERROR(VLOOKUP(N77,VOL_REC[],2,FALSE),0)</f>
        <v>0</v>
      </c>
      <c r="BE77" s="246">
        <f>IFERROR(VLOOKUP(O77,VOL_REC[],2,FALSE),0)</f>
        <v>0</v>
      </c>
      <c r="BF77" s="246">
        <f>IFERROR(VLOOKUP(P77,VOL_REC[],2,FALSE),0)</f>
        <v>0</v>
      </c>
      <c r="BG77" s="246">
        <f>IFERROR(VLOOKUP(Q77,VOL_REC[],2,FALSE),0)</f>
        <v>0</v>
      </c>
      <c r="BH77" s="1710">
        <f t="shared" si="4"/>
        <v>16903792617.553631</v>
      </c>
      <c r="BI77" s="1710">
        <f t="shared" si="5"/>
        <v>21352269917.128963</v>
      </c>
      <c r="BJ77" s="1711">
        <f t="shared" si="6"/>
        <v>30481936.147699751</v>
      </c>
      <c r="BK77" s="1711">
        <f t="shared" si="7"/>
        <v>0.79166255780577555</v>
      </c>
    </row>
    <row r="78" spans="3:67" x14ac:dyDescent="0.25">
      <c r="C78" s="246" t="s">
        <v>1428</v>
      </c>
      <c r="D78" s="246">
        <v>1</v>
      </c>
      <c r="E78" s="246">
        <v>2</v>
      </c>
      <c r="F78" s="246">
        <v>3</v>
      </c>
      <c r="G78" s="246">
        <v>4</v>
      </c>
      <c r="H78" s="246">
        <v>6</v>
      </c>
      <c r="I78" s="246">
        <v>10</v>
      </c>
      <c r="J78" s="246"/>
      <c r="K78" s="246"/>
      <c r="L78" s="246"/>
      <c r="M78" s="246"/>
      <c r="N78" s="246"/>
      <c r="O78" s="246"/>
      <c r="P78" s="246"/>
      <c r="Q78" s="246"/>
      <c r="R78" s="246">
        <f>IFERROR(VLOOKUP(D78,PROGRAMAS[],2,FALSE),0)</f>
        <v>97037803.679377079</v>
      </c>
      <c r="S78" s="246">
        <f>IFERROR(VLOOKUP(E78,PROGRAMAS[],2,FALSE),0)</f>
        <v>640501509.6821388</v>
      </c>
      <c r="T78" s="246">
        <f>IFERROR(VLOOKUP(F78,PROGRAMAS[],2,FALSE),0)</f>
        <v>3062327798.1525245</v>
      </c>
      <c r="U78" s="246">
        <f>IFERROR(VLOOKUP(G78,PROGRAMAS[],2,FALSE),0)</f>
        <v>67697118.033011258</v>
      </c>
      <c r="V78" s="246">
        <f>IFERROR(VLOOKUP(H78,PROGRAMAS[],2,FALSE),0)</f>
        <v>6907648435.8447599</v>
      </c>
      <c r="W78" s="246">
        <f>IFERROR(VLOOKUP(I78,PROGRAMAS[],2,FALSE),0)</f>
        <v>4635315027.8751087</v>
      </c>
      <c r="X78" s="246">
        <f>IFERROR(VLOOKUP(J78,PROGRAMAS[],2,FALSE),0)</f>
        <v>0</v>
      </c>
      <c r="Y78" s="246">
        <f>IFERROR(VLOOKUP(K78,PROGRAMAS[],2,FALSE),0)</f>
        <v>0</v>
      </c>
      <c r="Z78" s="246">
        <f>IFERROR(VLOOKUP(L78,PROGRAMAS[],2,FALSE),0)</f>
        <v>0</v>
      </c>
      <c r="AA78" s="246">
        <f>IFERROR(VLOOKUP(M78,PROGRAMAS[],2,FALSE),0)</f>
        <v>0</v>
      </c>
      <c r="AB78" s="246">
        <f>IFERROR(VLOOKUP(N78,PROGRAMAS[],2,FALSE),0)</f>
        <v>0</v>
      </c>
      <c r="AC78" s="246">
        <f>IFERROR(VLOOKUP(O78,PROGRAMAS[],2,FALSE),0)</f>
        <v>0</v>
      </c>
      <c r="AD78" s="246">
        <f>IFERROR(VLOOKUP(P78,PROGRAMAS[],2,FALSE),0)</f>
        <v>0</v>
      </c>
      <c r="AE78" s="246">
        <f>IFERROR(VLOOKUP(Q78,PROGRAMAS[],2,FALSE),0)</f>
        <v>0</v>
      </c>
      <c r="AF78" s="246">
        <f>IFERROR(VLOOKUP(D78,PROGRAMAS[],3,FALSE),0)</f>
        <v>841888629.31080008</v>
      </c>
      <c r="AG78" s="246">
        <f>IFERROR(VLOOKUP(E78,PROGRAMAS[],3,FALSE),0)</f>
        <v>3848980803.1642323</v>
      </c>
      <c r="AH78" s="246">
        <f>IFERROR(VLOOKUP(F78,PROGRAMAS[],3,FALSE),0)</f>
        <v>3394901471.387517</v>
      </c>
      <c r="AI78" s="246">
        <f>IFERROR(VLOOKUP(G78,PROGRAMAS[],3,FALSE),0)</f>
        <v>125317226.95549992</v>
      </c>
      <c r="AJ78" s="246">
        <f>IFERROR(VLOOKUP(H78,PROGRAMAS[],3,FALSE),0)</f>
        <v>6129902208.7912121</v>
      </c>
      <c r="AK78" s="246">
        <f>IFERROR(VLOOKUP(I78,PROGRAMAS[],3,FALSE),0)</f>
        <v>4099471734.9978786</v>
      </c>
      <c r="AL78" s="246">
        <f>IFERROR(VLOOKUP(J78,PROGRAMAS[],3,FALSE),0)</f>
        <v>0</v>
      </c>
      <c r="AM78" s="246">
        <f>IFERROR(VLOOKUP(K78,PROGRAMAS[],3,FALSE),0)</f>
        <v>0</v>
      </c>
      <c r="AN78" s="246">
        <f>IFERROR(VLOOKUP(L78,PROGRAMAS[],3,FALSE),0)</f>
        <v>0</v>
      </c>
      <c r="AO78" s="246">
        <f>IFERROR(VLOOKUP(M78,PROGRAMAS[],3,FALSE),0)</f>
        <v>0</v>
      </c>
      <c r="AP78" s="246">
        <f>IFERROR(VLOOKUP(N78,PROGRAMAS[],3,FALSE),0)</f>
        <v>0</v>
      </c>
      <c r="AQ78" s="246">
        <f>IFERROR(VLOOKUP(O78,PROGRAMAS[],3,FALSE),0)</f>
        <v>0</v>
      </c>
      <c r="AR78" s="246">
        <f>IFERROR(VLOOKUP(P78,PROGRAMAS[],3,FALSE),0)</f>
        <v>0</v>
      </c>
      <c r="AS78" s="246">
        <f>IFERROR(VLOOKUP(Q78,PROGRAMAS[],3,FALSE),0)</f>
        <v>0</v>
      </c>
      <c r="AT78" s="246">
        <f>IFERROR(VLOOKUP(D78,VOL_REC[],2,FALSE),0)</f>
        <v>0</v>
      </c>
      <c r="AU78" s="246">
        <f>IFERROR(VLOOKUP(E78,VOL_REC[],2,FALSE),0)</f>
        <v>0</v>
      </c>
      <c r="AV78" s="246">
        <f>IFERROR(VLOOKUP(F78,VOL_REC[],2,FALSE),0)</f>
        <v>11089674.200000001</v>
      </c>
      <c r="AW78" s="246">
        <f>IFERROR(VLOOKUP(G78,VOL_REC[],2,FALSE),0)</f>
        <v>90439.55</v>
      </c>
      <c r="AX78" s="246">
        <f>IFERROR(VLOOKUP(H78,VOL_REC[],2,FALSE),0)</f>
        <v>15540036.397699751</v>
      </c>
      <c r="AY78" s="246">
        <f>IFERROR(VLOOKUP(I78,VOL_REC[],2,FALSE),0)</f>
        <v>1812240</v>
      </c>
      <c r="AZ78" s="246">
        <f>IFERROR(VLOOKUP(J78,VOL_REC[],2,FALSE),0)</f>
        <v>0</v>
      </c>
      <c r="BA78" s="246">
        <f>IFERROR(VLOOKUP(K78,VOL_REC[],2,FALSE),0)</f>
        <v>0</v>
      </c>
      <c r="BB78" s="246">
        <f>IFERROR(VLOOKUP(L78,VOL_REC[],2,FALSE),0)</f>
        <v>0</v>
      </c>
      <c r="BC78" s="246">
        <f>IFERROR(VLOOKUP(M78,VOL_REC[],2,FALSE),0)</f>
        <v>0</v>
      </c>
      <c r="BD78" s="246">
        <f>IFERROR(VLOOKUP(N78,VOL_REC[],2,FALSE),0)</f>
        <v>0</v>
      </c>
      <c r="BE78" s="246">
        <f>IFERROR(VLOOKUP(O78,VOL_REC[],2,FALSE),0)</f>
        <v>0</v>
      </c>
      <c r="BF78" s="246">
        <f>IFERROR(VLOOKUP(P78,VOL_REC[],2,FALSE),0)</f>
        <v>0</v>
      </c>
      <c r="BG78" s="246">
        <f>IFERROR(VLOOKUP(Q78,VOL_REC[],2,FALSE),0)</f>
        <v>0</v>
      </c>
      <c r="BH78" s="1710">
        <f t="shared" si="4"/>
        <v>15410527693.26692</v>
      </c>
      <c r="BI78" s="1710">
        <f t="shared" si="5"/>
        <v>18440462074.60714</v>
      </c>
      <c r="BJ78" s="1711">
        <f t="shared" si="6"/>
        <v>28532390.147699751</v>
      </c>
      <c r="BK78" s="1711">
        <f t="shared" si="7"/>
        <v>0.83569097297662098</v>
      </c>
    </row>
    <row r="79" spans="3:67" x14ac:dyDescent="0.25">
      <c r="C79" s="246" t="s">
        <v>1429</v>
      </c>
      <c r="D79" s="246">
        <v>1</v>
      </c>
      <c r="E79" s="246">
        <v>2</v>
      </c>
      <c r="F79" s="246">
        <v>3</v>
      </c>
      <c r="G79" s="246">
        <v>4</v>
      </c>
      <c r="H79" s="246">
        <v>6</v>
      </c>
      <c r="I79" s="246">
        <v>12</v>
      </c>
      <c r="J79" s="246"/>
      <c r="K79" s="246"/>
      <c r="L79" s="246"/>
      <c r="M79" s="246"/>
      <c r="N79" s="246"/>
      <c r="O79" s="246"/>
      <c r="P79" s="246"/>
      <c r="Q79" s="246"/>
      <c r="R79" s="246">
        <f>IFERROR(VLOOKUP(D79,PROGRAMAS[],2,FALSE),0)</f>
        <v>97037803.679377079</v>
      </c>
      <c r="S79" s="246">
        <f>IFERROR(VLOOKUP(E79,PROGRAMAS[],2,FALSE),0)</f>
        <v>640501509.6821388</v>
      </c>
      <c r="T79" s="246">
        <f>IFERROR(VLOOKUP(F79,PROGRAMAS[],2,FALSE),0)</f>
        <v>3062327798.1525245</v>
      </c>
      <c r="U79" s="246">
        <f>IFERROR(VLOOKUP(G79,PROGRAMAS[],2,FALSE),0)</f>
        <v>67697118.033011258</v>
      </c>
      <c r="V79" s="246">
        <f>IFERROR(VLOOKUP(H79,PROGRAMAS[],2,FALSE),0)</f>
        <v>6907648435.8447599</v>
      </c>
      <c r="W79" s="246">
        <f>IFERROR(VLOOKUP(I79,PROGRAMAS[],2,FALSE),0)</f>
        <v>764796700.79905891</v>
      </c>
      <c r="X79" s="246">
        <f>IFERROR(VLOOKUP(J79,PROGRAMAS[],2,FALSE),0)</f>
        <v>0</v>
      </c>
      <c r="Y79" s="246">
        <f>IFERROR(VLOOKUP(K79,PROGRAMAS[],2,FALSE),0)</f>
        <v>0</v>
      </c>
      <c r="Z79" s="246">
        <f>IFERROR(VLOOKUP(L79,PROGRAMAS[],2,FALSE),0)</f>
        <v>0</v>
      </c>
      <c r="AA79" s="246">
        <f>IFERROR(VLOOKUP(M79,PROGRAMAS[],2,FALSE),0)</f>
        <v>0</v>
      </c>
      <c r="AB79" s="246">
        <f>IFERROR(VLOOKUP(N79,PROGRAMAS[],2,FALSE),0)</f>
        <v>0</v>
      </c>
      <c r="AC79" s="246">
        <f>IFERROR(VLOOKUP(O79,PROGRAMAS[],2,FALSE),0)</f>
        <v>0</v>
      </c>
      <c r="AD79" s="246">
        <f>IFERROR(VLOOKUP(P79,PROGRAMAS[],2,FALSE),0)</f>
        <v>0</v>
      </c>
      <c r="AE79" s="246">
        <f>IFERROR(VLOOKUP(Q79,PROGRAMAS[],2,FALSE),0)</f>
        <v>0</v>
      </c>
      <c r="AF79" s="246">
        <f>IFERROR(VLOOKUP(D79,PROGRAMAS[],3,FALSE),0)</f>
        <v>841888629.31080008</v>
      </c>
      <c r="AG79" s="246">
        <f>IFERROR(VLOOKUP(E79,PROGRAMAS[],3,FALSE),0)</f>
        <v>3848980803.1642323</v>
      </c>
      <c r="AH79" s="246">
        <f>IFERROR(VLOOKUP(F79,PROGRAMAS[],3,FALSE),0)</f>
        <v>3394901471.387517</v>
      </c>
      <c r="AI79" s="246">
        <f>IFERROR(VLOOKUP(G79,PROGRAMAS[],3,FALSE),0)</f>
        <v>125317226.95549992</v>
      </c>
      <c r="AJ79" s="246">
        <f>IFERROR(VLOOKUP(H79,PROGRAMAS[],3,FALSE),0)</f>
        <v>6129902208.7912121</v>
      </c>
      <c r="AK79" s="246">
        <f>IFERROR(VLOOKUP(I79,PROGRAMAS[],3,FALSE),0)</f>
        <v>675517840.109828</v>
      </c>
      <c r="AL79" s="246">
        <f>IFERROR(VLOOKUP(J79,PROGRAMAS[],3,FALSE),0)</f>
        <v>0</v>
      </c>
      <c r="AM79" s="246">
        <f>IFERROR(VLOOKUP(K79,PROGRAMAS[],3,FALSE),0)</f>
        <v>0</v>
      </c>
      <c r="AN79" s="246">
        <f>IFERROR(VLOOKUP(L79,PROGRAMAS[],3,FALSE),0)</f>
        <v>0</v>
      </c>
      <c r="AO79" s="246">
        <f>IFERROR(VLOOKUP(M79,PROGRAMAS[],3,FALSE),0)</f>
        <v>0</v>
      </c>
      <c r="AP79" s="246">
        <f>IFERROR(VLOOKUP(N79,PROGRAMAS[],3,FALSE),0)</f>
        <v>0</v>
      </c>
      <c r="AQ79" s="246">
        <f>IFERROR(VLOOKUP(O79,PROGRAMAS[],3,FALSE),0)</f>
        <v>0</v>
      </c>
      <c r="AR79" s="246">
        <f>IFERROR(VLOOKUP(P79,PROGRAMAS[],3,FALSE),0)</f>
        <v>0</v>
      </c>
      <c r="AS79" s="246">
        <f>IFERROR(VLOOKUP(Q79,PROGRAMAS[],3,FALSE),0)</f>
        <v>0</v>
      </c>
      <c r="AT79" s="246">
        <f>IFERROR(VLOOKUP(D79,VOL_REC[],2,FALSE),0)</f>
        <v>0</v>
      </c>
      <c r="AU79" s="246">
        <f>IFERROR(VLOOKUP(E79,VOL_REC[],2,FALSE),0)</f>
        <v>0</v>
      </c>
      <c r="AV79" s="246">
        <f>IFERROR(VLOOKUP(F79,VOL_REC[],2,FALSE),0)</f>
        <v>11089674.200000001</v>
      </c>
      <c r="AW79" s="246">
        <f>IFERROR(VLOOKUP(G79,VOL_REC[],2,FALSE),0)</f>
        <v>90439.55</v>
      </c>
      <c r="AX79" s="246">
        <f>IFERROR(VLOOKUP(H79,VOL_REC[],2,FALSE),0)</f>
        <v>15540036.397699751</v>
      </c>
      <c r="AY79" s="246">
        <f>IFERROR(VLOOKUP(I79,VOL_REC[],2,FALSE),0)</f>
        <v>240696.79238099116</v>
      </c>
      <c r="AZ79" s="246">
        <f>IFERROR(VLOOKUP(J79,VOL_REC[],2,FALSE),0)</f>
        <v>0</v>
      </c>
      <c r="BA79" s="246">
        <f>IFERROR(VLOOKUP(K79,VOL_REC[],2,FALSE),0)</f>
        <v>0</v>
      </c>
      <c r="BB79" s="246">
        <f>IFERROR(VLOOKUP(L79,VOL_REC[],2,FALSE),0)</f>
        <v>0</v>
      </c>
      <c r="BC79" s="246">
        <f>IFERROR(VLOOKUP(M79,VOL_REC[],2,FALSE),0)</f>
        <v>0</v>
      </c>
      <c r="BD79" s="246">
        <f>IFERROR(VLOOKUP(N79,VOL_REC[],2,FALSE),0)</f>
        <v>0</v>
      </c>
      <c r="BE79" s="246">
        <f>IFERROR(VLOOKUP(O79,VOL_REC[],2,FALSE),0)</f>
        <v>0</v>
      </c>
      <c r="BF79" s="246">
        <f>IFERROR(VLOOKUP(P79,VOL_REC[],2,FALSE),0)</f>
        <v>0</v>
      </c>
      <c r="BG79" s="246">
        <f>IFERROR(VLOOKUP(Q79,VOL_REC[],2,FALSE),0)</f>
        <v>0</v>
      </c>
      <c r="BH79" s="1710">
        <f t="shared" si="4"/>
        <v>11540009366.19087</v>
      </c>
      <c r="BI79" s="1710">
        <f t="shared" si="5"/>
        <v>15016508179.71909</v>
      </c>
      <c r="BJ79" s="1711">
        <f t="shared" si="6"/>
        <v>26960846.940080743</v>
      </c>
      <c r="BK79" s="1711">
        <f t="shared" si="7"/>
        <v>0.76848820165639509</v>
      </c>
    </row>
    <row r="80" spans="3:67" x14ac:dyDescent="0.25">
      <c r="C80" s="246" t="s">
        <v>1430</v>
      </c>
      <c r="D80" s="246">
        <v>1</v>
      </c>
      <c r="E80" s="246">
        <v>2</v>
      </c>
      <c r="F80" s="246">
        <v>3</v>
      </c>
      <c r="G80" s="246">
        <v>4</v>
      </c>
      <c r="H80" s="246">
        <v>6</v>
      </c>
      <c r="I80" s="246">
        <v>13</v>
      </c>
      <c r="J80" s="246"/>
      <c r="K80" s="246"/>
      <c r="L80" s="246"/>
      <c r="M80" s="246"/>
      <c r="N80" s="246"/>
      <c r="O80" s="246"/>
      <c r="P80" s="246"/>
      <c r="Q80" s="246"/>
      <c r="R80" s="246">
        <f>IFERROR(VLOOKUP(D80,PROGRAMAS[],2,FALSE),0)</f>
        <v>97037803.679377079</v>
      </c>
      <c r="S80" s="246">
        <f>IFERROR(VLOOKUP(E80,PROGRAMAS[],2,FALSE),0)</f>
        <v>640501509.6821388</v>
      </c>
      <c r="T80" s="246">
        <f>IFERROR(VLOOKUP(F80,PROGRAMAS[],2,FALSE),0)</f>
        <v>3062327798.1525245</v>
      </c>
      <c r="U80" s="246">
        <f>IFERROR(VLOOKUP(G80,PROGRAMAS[],2,FALSE),0)</f>
        <v>67697118.033011258</v>
      </c>
      <c r="V80" s="246">
        <f>IFERROR(VLOOKUP(H80,PROGRAMAS[],2,FALSE),0)</f>
        <v>6907648435.8447599</v>
      </c>
      <c r="W80" s="246">
        <f>IFERROR(VLOOKUP(I80,PROGRAMAS[],2,FALSE),0)</f>
        <v>3776538594.4604583</v>
      </c>
      <c r="X80" s="246">
        <f>IFERROR(VLOOKUP(J80,PROGRAMAS[],2,FALSE),0)</f>
        <v>0</v>
      </c>
      <c r="Y80" s="246">
        <f>IFERROR(VLOOKUP(K80,PROGRAMAS[],2,FALSE),0)</f>
        <v>0</v>
      </c>
      <c r="Z80" s="246">
        <f>IFERROR(VLOOKUP(L80,PROGRAMAS[],2,FALSE),0)</f>
        <v>0</v>
      </c>
      <c r="AA80" s="246">
        <f>IFERROR(VLOOKUP(M80,PROGRAMAS[],2,FALSE),0)</f>
        <v>0</v>
      </c>
      <c r="AB80" s="246">
        <f>IFERROR(VLOOKUP(N80,PROGRAMAS[],2,FALSE),0)</f>
        <v>0</v>
      </c>
      <c r="AC80" s="246">
        <f>IFERROR(VLOOKUP(O80,PROGRAMAS[],2,FALSE),0)</f>
        <v>0</v>
      </c>
      <c r="AD80" s="246">
        <f>IFERROR(VLOOKUP(P80,PROGRAMAS[],2,FALSE),0)</f>
        <v>0</v>
      </c>
      <c r="AE80" s="246">
        <f>IFERROR(VLOOKUP(Q80,PROGRAMAS[],2,FALSE),0)</f>
        <v>0</v>
      </c>
      <c r="AF80" s="246">
        <f>IFERROR(VLOOKUP(D80,PROGRAMAS[],3,FALSE),0)</f>
        <v>841888629.31080008</v>
      </c>
      <c r="AG80" s="246">
        <f>IFERROR(VLOOKUP(E80,PROGRAMAS[],3,FALSE),0)</f>
        <v>3848980803.1642323</v>
      </c>
      <c r="AH80" s="246">
        <f>IFERROR(VLOOKUP(F80,PROGRAMAS[],3,FALSE),0)</f>
        <v>3394901471.387517</v>
      </c>
      <c r="AI80" s="246">
        <f>IFERROR(VLOOKUP(G80,PROGRAMAS[],3,FALSE),0)</f>
        <v>125317226.95549992</v>
      </c>
      <c r="AJ80" s="246">
        <f>IFERROR(VLOOKUP(H80,PROGRAMAS[],3,FALSE),0)</f>
        <v>6129902208.7912121</v>
      </c>
      <c r="AK80" s="246">
        <f>IFERROR(VLOOKUP(I80,PROGRAMAS[],3,FALSE),0)</f>
        <v>2392571243.5584412</v>
      </c>
      <c r="AL80" s="246">
        <f>IFERROR(VLOOKUP(J80,PROGRAMAS[],3,FALSE),0)</f>
        <v>0</v>
      </c>
      <c r="AM80" s="246">
        <f>IFERROR(VLOOKUP(K80,PROGRAMAS[],3,FALSE),0)</f>
        <v>0</v>
      </c>
      <c r="AN80" s="246">
        <f>IFERROR(VLOOKUP(L80,PROGRAMAS[],3,FALSE),0)</f>
        <v>0</v>
      </c>
      <c r="AO80" s="246">
        <f>IFERROR(VLOOKUP(M80,PROGRAMAS[],3,FALSE),0)</f>
        <v>0</v>
      </c>
      <c r="AP80" s="246">
        <f>IFERROR(VLOOKUP(N80,PROGRAMAS[],3,FALSE),0)</f>
        <v>0</v>
      </c>
      <c r="AQ80" s="246">
        <f>IFERROR(VLOOKUP(O80,PROGRAMAS[],3,FALSE),0)</f>
        <v>0</v>
      </c>
      <c r="AR80" s="246">
        <f>IFERROR(VLOOKUP(P80,PROGRAMAS[],3,FALSE),0)</f>
        <v>0</v>
      </c>
      <c r="AS80" s="246">
        <f>IFERROR(VLOOKUP(Q80,PROGRAMAS[],3,FALSE),0)</f>
        <v>0</v>
      </c>
      <c r="AT80" s="246">
        <f>IFERROR(VLOOKUP(D80,VOL_REC[],2,FALSE),0)</f>
        <v>0</v>
      </c>
      <c r="AU80" s="246">
        <f>IFERROR(VLOOKUP(E80,VOL_REC[],2,FALSE),0)</f>
        <v>0</v>
      </c>
      <c r="AV80" s="246">
        <f>IFERROR(VLOOKUP(F80,VOL_REC[],2,FALSE),0)</f>
        <v>11089674.200000001</v>
      </c>
      <c r="AW80" s="246">
        <f>IFERROR(VLOOKUP(G80,VOL_REC[],2,FALSE),0)</f>
        <v>90439.55</v>
      </c>
      <c r="AX80" s="246">
        <f>IFERROR(VLOOKUP(H80,VOL_REC[],2,FALSE),0)</f>
        <v>15540036.397699751</v>
      </c>
      <c r="AY80" s="246">
        <f>IFERROR(VLOOKUP(I80,VOL_REC[],2,FALSE),0)</f>
        <v>663244.80000000016</v>
      </c>
      <c r="AZ80" s="246">
        <f>IFERROR(VLOOKUP(J80,VOL_REC[],2,FALSE),0)</f>
        <v>0</v>
      </c>
      <c r="BA80" s="246">
        <f>IFERROR(VLOOKUP(K80,VOL_REC[],2,FALSE),0)</f>
        <v>0</v>
      </c>
      <c r="BB80" s="246">
        <f>IFERROR(VLOOKUP(L80,VOL_REC[],2,FALSE),0)</f>
        <v>0</v>
      </c>
      <c r="BC80" s="246">
        <f>IFERROR(VLOOKUP(M80,VOL_REC[],2,FALSE),0)</f>
        <v>0</v>
      </c>
      <c r="BD80" s="246">
        <f>IFERROR(VLOOKUP(N80,VOL_REC[],2,FALSE),0)</f>
        <v>0</v>
      </c>
      <c r="BE80" s="246">
        <f>IFERROR(VLOOKUP(O80,VOL_REC[],2,FALSE),0)</f>
        <v>0</v>
      </c>
      <c r="BF80" s="246">
        <f>IFERROR(VLOOKUP(P80,VOL_REC[],2,FALSE),0)</f>
        <v>0</v>
      </c>
      <c r="BG80" s="246">
        <f>IFERROR(VLOOKUP(Q80,VOL_REC[],2,FALSE),0)</f>
        <v>0</v>
      </c>
      <c r="BH80" s="1710">
        <f t="shared" si="4"/>
        <v>14551751259.85227</v>
      </c>
      <c r="BI80" s="1710">
        <f t="shared" si="5"/>
        <v>16733561583.167702</v>
      </c>
      <c r="BJ80" s="1711">
        <f t="shared" si="6"/>
        <v>27383394.947699752</v>
      </c>
      <c r="BK80" s="1711">
        <f t="shared" si="7"/>
        <v>0.86961470739677349</v>
      </c>
    </row>
    <row r="81" spans="3:67" x14ac:dyDescent="0.25">
      <c r="C81" s="246" t="s">
        <v>1431</v>
      </c>
      <c r="D81" s="246">
        <v>1</v>
      </c>
      <c r="E81" s="246">
        <v>2</v>
      </c>
      <c r="F81" s="246">
        <v>3</v>
      </c>
      <c r="G81" s="246">
        <v>4</v>
      </c>
      <c r="H81" s="246">
        <v>6</v>
      </c>
      <c r="I81" s="246">
        <v>14</v>
      </c>
      <c r="J81" s="246"/>
      <c r="K81" s="246"/>
      <c r="L81" s="246"/>
      <c r="M81" s="246"/>
      <c r="N81" s="246"/>
      <c r="O81" s="246"/>
      <c r="P81" s="246"/>
      <c r="Q81" s="246"/>
      <c r="R81" s="246">
        <f>IFERROR(VLOOKUP(D81,PROGRAMAS[],2,FALSE),0)</f>
        <v>97037803.679377079</v>
      </c>
      <c r="S81" s="246">
        <f>IFERROR(VLOOKUP(E81,PROGRAMAS[],2,FALSE),0)</f>
        <v>640501509.6821388</v>
      </c>
      <c r="T81" s="246">
        <f>IFERROR(VLOOKUP(F81,PROGRAMAS[],2,FALSE),0)</f>
        <v>3062327798.1525245</v>
      </c>
      <c r="U81" s="246">
        <f>IFERROR(VLOOKUP(G81,PROGRAMAS[],2,FALSE),0)</f>
        <v>67697118.033011258</v>
      </c>
      <c r="V81" s="246">
        <f>IFERROR(VLOOKUP(H81,PROGRAMAS[],2,FALSE),0)</f>
        <v>6907648435.8447599</v>
      </c>
      <c r="W81" s="246">
        <f>IFERROR(VLOOKUP(I81,PROGRAMAS[],2,FALSE),0)</f>
        <v>54223862.645839565</v>
      </c>
      <c r="X81" s="246">
        <f>IFERROR(VLOOKUP(J81,PROGRAMAS[],2,FALSE),0)</f>
        <v>0</v>
      </c>
      <c r="Y81" s="246">
        <f>IFERROR(VLOOKUP(K81,PROGRAMAS[],2,FALSE),0)</f>
        <v>0</v>
      </c>
      <c r="Z81" s="246">
        <f>IFERROR(VLOOKUP(L81,PROGRAMAS[],2,FALSE),0)</f>
        <v>0</v>
      </c>
      <c r="AA81" s="246">
        <f>IFERROR(VLOOKUP(M81,PROGRAMAS[],2,FALSE),0)</f>
        <v>0</v>
      </c>
      <c r="AB81" s="246">
        <f>IFERROR(VLOOKUP(N81,PROGRAMAS[],2,FALSE),0)</f>
        <v>0</v>
      </c>
      <c r="AC81" s="246">
        <f>IFERROR(VLOOKUP(O81,PROGRAMAS[],2,FALSE),0)</f>
        <v>0</v>
      </c>
      <c r="AD81" s="246">
        <f>IFERROR(VLOOKUP(P81,PROGRAMAS[],2,FALSE),0)</f>
        <v>0</v>
      </c>
      <c r="AE81" s="246">
        <f>IFERROR(VLOOKUP(Q81,PROGRAMAS[],2,FALSE),0)</f>
        <v>0</v>
      </c>
      <c r="AF81" s="246">
        <f>IFERROR(VLOOKUP(D81,PROGRAMAS[],3,FALSE),0)</f>
        <v>841888629.31080008</v>
      </c>
      <c r="AG81" s="246">
        <f>IFERROR(VLOOKUP(E81,PROGRAMAS[],3,FALSE),0)</f>
        <v>3848980803.1642323</v>
      </c>
      <c r="AH81" s="246">
        <f>IFERROR(VLOOKUP(F81,PROGRAMAS[],3,FALSE),0)</f>
        <v>3394901471.387517</v>
      </c>
      <c r="AI81" s="246">
        <f>IFERROR(VLOOKUP(G81,PROGRAMAS[],3,FALSE),0)</f>
        <v>125317226.95549992</v>
      </c>
      <c r="AJ81" s="246">
        <f>IFERROR(VLOOKUP(H81,PROGRAMAS[],3,FALSE),0)</f>
        <v>6129902208.7912121</v>
      </c>
      <c r="AK81" s="246">
        <f>IFERROR(VLOOKUP(I81,PROGRAMAS[],3,FALSE),0)</f>
        <v>31865326.38096505</v>
      </c>
      <c r="AL81" s="246">
        <f>IFERROR(VLOOKUP(J81,PROGRAMAS[],3,FALSE),0)</f>
        <v>0</v>
      </c>
      <c r="AM81" s="246">
        <f>IFERROR(VLOOKUP(K81,PROGRAMAS[],3,FALSE),0)</f>
        <v>0</v>
      </c>
      <c r="AN81" s="246">
        <f>IFERROR(VLOOKUP(L81,PROGRAMAS[],3,FALSE),0)</f>
        <v>0</v>
      </c>
      <c r="AO81" s="246">
        <f>IFERROR(VLOOKUP(M81,PROGRAMAS[],3,FALSE),0)</f>
        <v>0</v>
      </c>
      <c r="AP81" s="246">
        <f>IFERROR(VLOOKUP(N81,PROGRAMAS[],3,FALSE),0)</f>
        <v>0</v>
      </c>
      <c r="AQ81" s="246">
        <f>IFERROR(VLOOKUP(O81,PROGRAMAS[],3,FALSE),0)</f>
        <v>0</v>
      </c>
      <c r="AR81" s="246">
        <f>IFERROR(VLOOKUP(P81,PROGRAMAS[],3,FALSE),0)</f>
        <v>0</v>
      </c>
      <c r="AS81" s="246">
        <f>IFERROR(VLOOKUP(Q81,PROGRAMAS[],3,FALSE),0)</f>
        <v>0</v>
      </c>
      <c r="AT81" s="246">
        <f>IFERROR(VLOOKUP(D81,VOL_REC[],2,FALSE),0)</f>
        <v>0</v>
      </c>
      <c r="AU81" s="246">
        <f>IFERROR(VLOOKUP(E81,VOL_REC[],2,FALSE),0)</f>
        <v>0</v>
      </c>
      <c r="AV81" s="246">
        <f>IFERROR(VLOOKUP(F81,VOL_REC[],2,FALSE),0)</f>
        <v>11089674.200000001</v>
      </c>
      <c r="AW81" s="246">
        <f>IFERROR(VLOOKUP(G81,VOL_REC[],2,FALSE),0)</f>
        <v>90439.55</v>
      </c>
      <c r="AX81" s="246">
        <f>IFERROR(VLOOKUP(H81,VOL_REC[],2,FALSE),0)</f>
        <v>15540036.397699751</v>
      </c>
      <c r="AY81" s="246">
        <f>IFERROR(VLOOKUP(I81,VOL_REC[],2,FALSE),0)</f>
        <v>17074.045034105649</v>
      </c>
      <c r="AZ81" s="246">
        <f>IFERROR(VLOOKUP(J81,VOL_REC[],2,FALSE),0)</f>
        <v>0</v>
      </c>
      <c r="BA81" s="246">
        <f>IFERROR(VLOOKUP(K81,VOL_REC[],2,FALSE),0)</f>
        <v>0</v>
      </c>
      <c r="BB81" s="246">
        <f>IFERROR(VLOOKUP(L81,VOL_REC[],2,FALSE),0)</f>
        <v>0</v>
      </c>
      <c r="BC81" s="246">
        <f>IFERROR(VLOOKUP(M81,VOL_REC[],2,FALSE),0)</f>
        <v>0</v>
      </c>
      <c r="BD81" s="246">
        <f>IFERROR(VLOOKUP(N81,VOL_REC[],2,FALSE),0)</f>
        <v>0</v>
      </c>
      <c r="BE81" s="246">
        <f>IFERROR(VLOOKUP(O81,VOL_REC[],2,FALSE),0)</f>
        <v>0</v>
      </c>
      <c r="BF81" s="246">
        <f>IFERROR(VLOOKUP(P81,VOL_REC[],2,FALSE),0)</f>
        <v>0</v>
      </c>
      <c r="BG81" s="246">
        <f>IFERROR(VLOOKUP(Q81,VOL_REC[],2,FALSE),0)</f>
        <v>0</v>
      </c>
      <c r="BH81" s="1710">
        <f t="shared" si="4"/>
        <v>10829436528.037651</v>
      </c>
      <c r="BI81" s="1710">
        <f t="shared" si="5"/>
        <v>14372855665.990225</v>
      </c>
      <c r="BJ81" s="1711">
        <f t="shared" si="6"/>
        <v>26737224.192733858</v>
      </c>
      <c r="BK81" s="1711">
        <f t="shared" si="7"/>
        <v>0.75346450139778476</v>
      </c>
    </row>
    <row r="82" spans="3:67" x14ac:dyDescent="0.25">
      <c r="C82" s="246" t="s">
        <v>1432</v>
      </c>
      <c r="D82" s="246">
        <v>1</v>
      </c>
      <c r="E82" s="246">
        <v>2</v>
      </c>
      <c r="F82" s="246">
        <v>3</v>
      </c>
      <c r="G82" s="246">
        <v>4</v>
      </c>
      <c r="H82" s="246">
        <v>6</v>
      </c>
      <c r="I82" s="246">
        <v>15</v>
      </c>
      <c r="J82" s="246"/>
      <c r="K82" s="246"/>
      <c r="L82" s="246"/>
      <c r="M82" s="246"/>
      <c r="N82" s="246"/>
      <c r="O82" s="246"/>
      <c r="P82" s="246"/>
      <c r="Q82" s="246"/>
      <c r="R82" s="246">
        <f>IFERROR(VLOOKUP(D82,PROGRAMAS[],2,FALSE),0)</f>
        <v>97037803.679377079</v>
      </c>
      <c r="S82" s="246">
        <f>IFERROR(VLOOKUP(E82,PROGRAMAS[],2,FALSE),0)</f>
        <v>640501509.6821388</v>
      </c>
      <c r="T82" s="246">
        <f>IFERROR(VLOOKUP(F82,PROGRAMAS[],2,FALSE),0)</f>
        <v>3062327798.1525245</v>
      </c>
      <c r="U82" s="246">
        <f>IFERROR(VLOOKUP(G82,PROGRAMAS[],2,FALSE),0)</f>
        <v>67697118.033011258</v>
      </c>
      <c r="V82" s="246">
        <f>IFERROR(VLOOKUP(H82,PROGRAMAS[],2,FALSE),0)</f>
        <v>6907648435.8447599</v>
      </c>
      <c r="W82" s="246">
        <f>IFERROR(VLOOKUP(I82,PROGRAMAS[],2,FALSE),0)</f>
        <v>122159672.96346797</v>
      </c>
      <c r="X82" s="246">
        <f>IFERROR(VLOOKUP(J82,PROGRAMAS[],2,FALSE),0)</f>
        <v>0</v>
      </c>
      <c r="Y82" s="246">
        <f>IFERROR(VLOOKUP(K82,PROGRAMAS[],2,FALSE),0)</f>
        <v>0</v>
      </c>
      <c r="Z82" s="246">
        <f>IFERROR(VLOOKUP(L82,PROGRAMAS[],2,FALSE),0)</f>
        <v>0</v>
      </c>
      <c r="AA82" s="246">
        <f>IFERROR(VLOOKUP(M82,PROGRAMAS[],2,FALSE),0)</f>
        <v>0</v>
      </c>
      <c r="AB82" s="246">
        <f>IFERROR(VLOOKUP(N82,PROGRAMAS[],2,FALSE),0)</f>
        <v>0</v>
      </c>
      <c r="AC82" s="246">
        <f>IFERROR(VLOOKUP(O82,PROGRAMAS[],2,FALSE),0)</f>
        <v>0</v>
      </c>
      <c r="AD82" s="246">
        <f>IFERROR(VLOOKUP(P82,PROGRAMAS[],2,FALSE),0)</f>
        <v>0</v>
      </c>
      <c r="AE82" s="246">
        <f>IFERROR(VLOOKUP(Q82,PROGRAMAS[],2,FALSE),0)</f>
        <v>0</v>
      </c>
      <c r="AF82" s="246">
        <f>IFERROR(VLOOKUP(D82,PROGRAMAS[],3,FALSE),0)</f>
        <v>841888629.31080008</v>
      </c>
      <c r="AG82" s="246">
        <f>IFERROR(VLOOKUP(E82,PROGRAMAS[],3,FALSE),0)</f>
        <v>3848980803.1642323</v>
      </c>
      <c r="AH82" s="246">
        <f>IFERROR(VLOOKUP(F82,PROGRAMAS[],3,FALSE),0)</f>
        <v>3394901471.387517</v>
      </c>
      <c r="AI82" s="246">
        <f>IFERROR(VLOOKUP(G82,PROGRAMAS[],3,FALSE),0)</f>
        <v>125317226.95549992</v>
      </c>
      <c r="AJ82" s="246">
        <f>IFERROR(VLOOKUP(H82,PROGRAMAS[],3,FALSE),0)</f>
        <v>6129902208.7912121</v>
      </c>
      <c r="AK82" s="246">
        <f>IFERROR(VLOOKUP(I82,PROGRAMAS[],3,FALSE),0)</f>
        <v>118617452.52510804</v>
      </c>
      <c r="AL82" s="246">
        <f>IFERROR(VLOOKUP(J82,PROGRAMAS[],3,FALSE),0)</f>
        <v>0</v>
      </c>
      <c r="AM82" s="246">
        <f>IFERROR(VLOOKUP(K82,PROGRAMAS[],3,FALSE),0)</f>
        <v>0</v>
      </c>
      <c r="AN82" s="246">
        <f>IFERROR(VLOOKUP(L82,PROGRAMAS[],3,FALSE),0)</f>
        <v>0</v>
      </c>
      <c r="AO82" s="246">
        <f>IFERROR(VLOOKUP(M82,PROGRAMAS[],3,FALSE),0)</f>
        <v>0</v>
      </c>
      <c r="AP82" s="246">
        <f>IFERROR(VLOOKUP(N82,PROGRAMAS[],3,FALSE),0)</f>
        <v>0</v>
      </c>
      <c r="AQ82" s="246">
        <f>IFERROR(VLOOKUP(O82,PROGRAMAS[],3,FALSE),0)</f>
        <v>0</v>
      </c>
      <c r="AR82" s="246">
        <f>IFERROR(VLOOKUP(P82,PROGRAMAS[],3,FALSE),0)</f>
        <v>0</v>
      </c>
      <c r="AS82" s="246">
        <f>IFERROR(VLOOKUP(Q82,PROGRAMAS[],3,FALSE),0)</f>
        <v>0</v>
      </c>
      <c r="AT82" s="246">
        <f>IFERROR(VLOOKUP(D82,VOL_REC[],2,FALSE),0)</f>
        <v>0</v>
      </c>
      <c r="AU82" s="246">
        <f>IFERROR(VLOOKUP(E82,VOL_REC[],2,FALSE),0)</f>
        <v>0</v>
      </c>
      <c r="AV82" s="246">
        <f>IFERROR(VLOOKUP(F82,VOL_REC[],2,FALSE),0)</f>
        <v>11089674.200000001</v>
      </c>
      <c r="AW82" s="246">
        <f>IFERROR(VLOOKUP(G82,VOL_REC[],2,FALSE),0)</f>
        <v>90439.55</v>
      </c>
      <c r="AX82" s="246">
        <f>IFERROR(VLOOKUP(H82,VOL_REC[],2,FALSE),0)</f>
        <v>15540036.397699751</v>
      </c>
      <c r="AY82" s="246">
        <f>IFERROR(VLOOKUP(I82,VOL_REC[],2,FALSE),0)</f>
        <v>105072</v>
      </c>
      <c r="AZ82" s="246">
        <f>IFERROR(VLOOKUP(J82,VOL_REC[],2,FALSE),0)</f>
        <v>0</v>
      </c>
      <c r="BA82" s="246">
        <f>IFERROR(VLOOKUP(K82,VOL_REC[],2,FALSE),0)</f>
        <v>0</v>
      </c>
      <c r="BB82" s="246">
        <f>IFERROR(VLOOKUP(L82,VOL_REC[],2,FALSE),0)</f>
        <v>0</v>
      </c>
      <c r="BC82" s="246">
        <f>IFERROR(VLOOKUP(M82,VOL_REC[],2,FALSE),0)</f>
        <v>0</v>
      </c>
      <c r="BD82" s="246">
        <f>IFERROR(VLOOKUP(N82,VOL_REC[],2,FALSE),0)</f>
        <v>0</v>
      </c>
      <c r="BE82" s="246">
        <f>IFERROR(VLOOKUP(O82,VOL_REC[],2,FALSE),0)</f>
        <v>0</v>
      </c>
      <c r="BF82" s="246">
        <f>IFERROR(VLOOKUP(P82,VOL_REC[],2,FALSE),0)</f>
        <v>0</v>
      </c>
      <c r="BG82" s="246">
        <f>IFERROR(VLOOKUP(Q82,VOL_REC[],2,FALSE),0)</f>
        <v>0</v>
      </c>
      <c r="BH82" s="1710">
        <f t="shared" si="4"/>
        <v>10897372338.35528</v>
      </c>
      <c r="BI82" s="1710">
        <f t="shared" si="5"/>
        <v>14459607792.134369</v>
      </c>
      <c r="BJ82" s="1711">
        <f t="shared" si="6"/>
        <v>26825222.147699751</v>
      </c>
      <c r="BK82" s="1711">
        <f t="shared" si="7"/>
        <v>0.75364231831261375</v>
      </c>
    </row>
    <row r="83" spans="3:67" x14ac:dyDescent="0.25">
      <c r="C83" s="246" t="s">
        <v>1433</v>
      </c>
      <c r="D83" s="246">
        <v>1</v>
      </c>
      <c r="E83" s="246">
        <v>2</v>
      </c>
      <c r="F83" s="246">
        <v>3</v>
      </c>
      <c r="G83" s="246">
        <v>4</v>
      </c>
      <c r="H83" s="246">
        <v>6</v>
      </c>
      <c r="I83" s="246">
        <v>16</v>
      </c>
      <c r="J83" s="246"/>
      <c r="K83" s="246"/>
      <c r="L83" s="246"/>
      <c r="M83" s="246"/>
      <c r="N83" s="246"/>
      <c r="O83" s="246"/>
      <c r="P83" s="246"/>
      <c r="Q83" s="246"/>
      <c r="R83" s="246">
        <f>IFERROR(VLOOKUP(D83,PROGRAMAS[],2,FALSE),0)</f>
        <v>97037803.679377079</v>
      </c>
      <c r="S83" s="246">
        <f>IFERROR(VLOOKUP(E83,PROGRAMAS[],2,FALSE),0)</f>
        <v>640501509.6821388</v>
      </c>
      <c r="T83" s="246">
        <f>IFERROR(VLOOKUP(F83,PROGRAMAS[],2,FALSE),0)</f>
        <v>3062327798.1525245</v>
      </c>
      <c r="U83" s="246">
        <f>IFERROR(VLOOKUP(G83,PROGRAMAS[],2,FALSE),0)</f>
        <v>67697118.033011258</v>
      </c>
      <c r="V83" s="246">
        <f>IFERROR(VLOOKUP(H83,PROGRAMAS[],2,FALSE),0)</f>
        <v>6907648435.8447599</v>
      </c>
      <c r="W83" s="246">
        <f>IFERROR(VLOOKUP(I83,PROGRAMAS[],2,FALSE),0)</f>
        <v>7068496961.0436354</v>
      </c>
      <c r="X83" s="246">
        <f>IFERROR(VLOOKUP(J83,PROGRAMAS[],2,FALSE),0)</f>
        <v>0</v>
      </c>
      <c r="Y83" s="246">
        <f>IFERROR(VLOOKUP(K83,PROGRAMAS[],2,FALSE),0)</f>
        <v>0</v>
      </c>
      <c r="Z83" s="246">
        <f>IFERROR(VLOOKUP(L83,PROGRAMAS[],2,FALSE),0)</f>
        <v>0</v>
      </c>
      <c r="AA83" s="246">
        <f>IFERROR(VLOOKUP(M83,PROGRAMAS[],2,FALSE),0)</f>
        <v>0</v>
      </c>
      <c r="AB83" s="246">
        <f>IFERROR(VLOOKUP(N83,PROGRAMAS[],2,FALSE),0)</f>
        <v>0</v>
      </c>
      <c r="AC83" s="246">
        <f>IFERROR(VLOOKUP(O83,PROGRAMAS[],2,FALSE),0)</f>
        <v>0</v>
      </c>
      <c r="AD83" s="246">
        <f>IFERROR(VLOOKUP(P83,PROGRAMAS[],2,FALSE),0)</f>
        <v>0</v>
      </c>
      <c r="AE83" s="246">
        <f>IFERROR(VLOOKUP(Q83,PROGRAMAS[],2,FALSE),0)</f>
        <v>0</v>
      </c>
      <c r="AF83" s="246">
        <f>IFERROR(VLOOKUP(D83,PROGRAMAS[],3,FALSE),0)</f>
        <v>841888629.31080008</v>
      </c>
      <c r="AG83" s="246">
        <f>IFERROR(VLOOKUP(E83,PROGRAMAS[],3,FALSE),0)</f>
        <v>3848980803.1642323</v>
      </c>
      <c r="AH83" s="246">
        <f>IFERROR(VLOOKUP(F83,PROGRAMAS[],3,FALSE),0)</f>
        <v>3394901471.387517</v>
      </c>
      <c r="AI83" s="246">
        <f>IFERROR(VLOOKUP(G83,PROGRAMAS[],3,FALSE),0)</f>
        <v>125317226.95549992</v>
      </c>
      <c r="AJ83" s="246">
        <f>IFERROR(VLOOKUP(H83,PROGRAMAS[],3,FALSE),0)</f>
        <v>6129902208.7912121</v>
      </c>
      <c r="AK83" s="246">
        <f>IFERROR(VLOOKUP(I83,PROGRAMAS[],3,FALSE),0)</f>
        <v>2406564599.0319901</v>
      </c>
      <c r="AL83" s="246">
        <f>IFERROR(VLOOKUP(J83,PROGRAMAS[],3,FALSE),0)</f>
        <v>0</v>
      </c>
      <c r="AM83" s="246">
        <f>IFERROR(VLOOKUP(K83,PROGRAMAS[],3,FALSE),0)</f>
        <v>0</v>
      </c>
      <c r="AN83" s="246">
        <f>IFERROR(VLOOKUP(L83,PROGRAMAS[],3,FALSE),0)</f>
        <v>0</v>
      </c>
      <c r="AO83" s="246">
        <f>IFERROR(VLOOKUP(M83,PROGRAMAS[],3,FALSE),0)</f>
        <v>0</v>
      </c>
      <c r="AP83" s="246">
        <f>IFERROR(VLOOKUP(N83,PROGRAMAS[],3,FALSE),0)</f>
        <v>0</v>
      </c>
      <c r="AQ83" s="246">
        <f>IFERROR(VLOOKUP(O83,PROGRAMAS[],3,FALSE),0)</f>
        <v>0</v>
      </c>
      <c r="AR83" s="246">
        <f>IFERROR(VLOOKUP(P83,PROGRAMAS[],3,FALSE),0)</f>
        <v>0</v>
      </c>
      <c r="AS83" s="246">
        <f>IFERROR(VLOOKUP(Q83,PROGRAMAS[],3,FALSE),0)</f>
        <v>0</v>
      </c>
      <c r="AT83" s="246">
        <f>IFERROR(VLOOKUP(D83,VOL_REC[],2,FALSE),0)</f>
        <v>0</v>
      </c>
      <c r="AU83" s="246">
        <f>IFERROR(VLOOKUP(E83,VOL_REC[],2,FALSE),0)</f>
        <v>0</v>
      </c>
      <c r="AV83" s="246">
        <f>IFERROR(VLOOKUP(F83,VOL_REC[],2,FALSE),0)</f>
        <v>11089674.200000001</v>
      </c>
      <c r="AW83" s="246">
        <f>IFERROR(VLOOKUP(G83,VOL_REC[],2,FALSE),0)</f>
        <v>90439.55</v>
      </c>
      <c r="AX83" s="246">
        <f>IFERROR(VLOOKUP(H83,VOL_REC[],2,FALSE),0)</f>
        <v>15540036.397699751</v>
      </c>
      <c r="AY83" s="246">
        <f>IFERROR(VLOOKUP(I83,VOL_REC[],2,FALSE),0)</f>
        <v>1072354.9981737854</v>
      </c>
      <c r="AZ83" s="246">
        <f>IFERROR(VLOOKUP(J83,VOL_REC[],2,FALSE),0)</f>
        <v>0</v>
      </c>
      <c r="BA83" s="246">
        <f>IFERROR(VLOOKUP(K83,VOL_REC[],2,FALSE),0)</f>
        <v>0</v>
      </c>
      <c r="BB83" s="246">
        <f>IFERROR(VLOOKUP(L83,VOL_REC[],2,FALSE),0)</f>
        <v>0</v>
      </c>
      <c r="BC83" s="246">
        <f>IFERROR(VLOOKUP(M83,VOL_REC[],2,FALSE),0)</f>
        <v>0</v>
      </c>
      <c r="BD83" s="246">
        <f>IFERROR(VLOOKUP(N83,VOL_REC[],2,FALSE),0)</f>
        <v>0</v>
      </c>
      <c r="BE83" s="246">
        <f>IFERROR(VLOOKUP(O83,VOL_REC[],2,FALSE),0)</f>
        <v>0</v>
      </c>
      <c r="BF83" s="246">
        <f>IFERROR(VLOOKUP(P83,VOL_REC[],2,FALSE),0)</f>
        <v>0</v>
      </c>
      <c r="BG83" s="246">
        <f>IFERROR(VLOOKUP(Q83,VOL_REC[],2,FALSE),0)</f>
        <v>0</v>
      </c>
      <c r="BH83" s="1710">
        <f t="shared" si="4"/>
        <v>17843709626.435448</v>
      </c>
      <c r="BI83" s="1710">
        <f t="shared" si="5"/>
        <v>16747554938.641251</v>
      </c>
      <c r="BJ83" s="1711">
        <f t="shared" si="6"/>
        <v>27792505.145873535</v>
      </c>
      <c r="BK83" s="1711">
        <f t="shared" si="7"/>
        <v>1.0654516251363395</v>
      </c>
      <c r="BL83">
        <f>BJ83</f>
        <v>27792505.145873535</v>
      </c>
      <c r="BO83">
        <f>BL83</f>
        <v>27792505.145873535</v>
      </c>
    </row>
    <row r="84" spans="3:67" x14ac:dyDescent="0.25">
      <c r="C84" s="246" t="s">
        <v>1434</v>
      </c>
      <c r="D84" s="246">
        <v>1</v>
      </c>
      <c r="E84" s="246">
        <v>2</v>
      </c>
      <c r="F84" s="246">
        <v>3</v>
      </c>
      <c r="G84" s="246">
        <v>4</v>
      </c>
      <c r="H84" s="246">
        <v>6</v>
      </c>
      <c r="I84" s="246">
        <v>17</v>
      </c>
      <c r="J84" s="246"/>
      <c r="K84" s="246"/>
      <c r="L84" s="246"/>
      <c r="M84" s="246"/>
      <c r="N84" s="246"/>
      <c r="O84" s="246"/>
      <c r="P84" s="246"/>
      <c r="Q84" s="246"/>
      <c r="R84" s="246">
        <f>IFERROR(VLOOKUP(D84,PROGRAMAS[],2,FALSE),0)</f>
        <v>97037803.679377079</v>
      </c>
      <c r="S84" s="246">
        <f>IFERROR(VLOOKUP(E84,PROGRAMAS[],2,FALSE),0)</f>
        <v>640501509.6821388</v>
      </c>
      <c r="T84" s="246">
        <f>IFERROR(VLOOKUP(F84,PROGRAMAS[],2,FALSE),0)</f>
        <v>3062327798.1525245</v>
      </c>
      <c r="U84" s="246">
        <f>IFERROR(VLOOKUP(G84,PROGRAMAS[],2,FALSE),0)</f>
        <v>67697118.033011258</v>
      </c>
      <c r="V84" s="246">
        <f>IFERROR(VLOOKUP(H84,PROGRAMAS[],2,FALSE),0)</f>
        <v>6907648435.8447599</v>
      </c>
      <c r="W84" s="246">
        <f>IFERROR(VLOOKUP(I84,PROGRAMAS[],2,FALSE),0)</f>
        <v>1892779498.5211046</v>
      </c>
      <c r="X84" s="246">
        <f>IFERROR(VLOOKUP(J84,PROGRAMAS[],2,FALSE),0)</f>
        <v>0</v>
      </c>
      <c r="Y84" s="246">
        <f>IFERROR(VLOOKUP(K84,PROGRAMAS[],2,FALSE),0)</f>
        <v>0</v>
      </c>
      <c r="Z84" s="246">
        <f>IFERROR(VLOOKUP(L84,PROGRAMAS[],2,FALSE),0)</f>
        <v>0</v>
      </c>
      <c r="AA84" s="246">
        <f>IFERROR(VLOOKUP(M84,PROGRAMAS[],2,FALSE),0)</f>
        <v>0</v>
      </c>
      <c r="AB84" s="246">
        <f>IFERROR(VLOOKUP(N84,PROGRAMAS[],2,FALSE),0)</f>
        <v>0</v>
      </c>
      <c r="AC84" s="246">
        <f>IFERROR(VLOOKUP(O84,PROGRAMAS[],2,FALSE),0)</f>
        <v>0</v>
      </c>
      <c r="AD84" s="246">
        <f>IFERROR(VLOOKUP(P84,PROGRAMAS[],2,FALSE),0)</f>
        <v>0</v>
      </c>
      <c r="AE84" s="246">
        <f>IFERROR(VLOOKUP(Q84,PROGRAMAS[],2,FALSE),0)</f>
        <v>0</v>
      </c>
      <c r="AF84" s="246">
        <f>IFERROR(VLOOKUP(D84,PROGRAMAS[],3,FALSE),0)</f>
        <v>841888629.31080008</v>
      </c>
      <c r="AG84" s="246">
        <f>IFERROR(VLOOKUP(E84,PROGRAMAS[],3,FALSE),0)</f>
        <v>3848980803.1642323</v>
      </c>
      <c r="AH84" s="246">
        <f>IFERROR(VLOOKUP(F84,PROGRAMAS[],3,FALSE),0)</f>
        <v>3394901471.387517</v>
      </c>
      <c r="AI84" s="246">
        <f>IFERROR(VLOOKUP(G84,PROGRAMAS[],3,FALSE),0)</f>
        <v>125317226.95549992</v>
      </c>
      <c r="AJ84" s="246">
        <f>IFERROR(VLOOKUP(H84,PROGRAMAS[],3,FALSE),0)</f>
        <v>6129902208.7912121</v>
      </c>
      <c r="AK84" s="246">
        <f>IFERROR(VLOOKUP(I84,PROGRAMAS[],3,FALSE),0)</f>
        <v>948595847.09039903</v>
      </c>
      <c r="AL84" s="246">
        <f>IFERROR(VLOOKUP(J84,PROGRAMAS[],3,FALSE),0)</f>
        <v>0</v>
      </c>
      <c r="AM84" s="246">
        <f>IFERROR(VLOOKUP(K84,PROGRAMAS[],3,FALSE),0)</f>
        <v>0</v>
      </c>
      <c r="AN84" s="246">
        <f>IFERROR(VLOOKUP(L84,PROGRAMAS[],3,FALSE),0)</f>
        <v>0</v>
      </c>
      <c r="AO84" s="246">
        <f>IFERROR(VLOOKUP(M84,PROGRAMAS[],3,FALSE),0)</f>
        <v>0</v>
      </c>
      <c r="AP84" s="246">
        <f>IFERROR(VLOOKUP(N84,PROGRAMAS[],3,FALSE),0)</f>
        <v>0</v>
      </c>
      <c r="AQ84" s="246">
        <f>IFERROR(VLOOKUP(O84,PROGRAMAS[],3,FALSE),0)</f>
        <v>0</v>
      </c>
      <c r="AR84" s="246">
        <f>IFERROR(VLOOKUP(P84,PROGRAMAS[],3,FALSE),0)</f>
        <v>0</v>
      </c>
      <c r="AS84" s="246">
        <f>IFERROR(VLOOKUP(Q84,PROGRAMAS[],3,FALSE),0)</f>
        <v>0</v>
      </c>
      <c r="AT84" s="246">
        <f>IFERROR(VLOOKUP(D84,VOL_REC[],2,FALSE),0)</f>
        <v>0</v>
      </c>
      <c r="AU84" s="246">
        <f>IFERROR(VLOOKUP(E84,VOL_REC[],2,FALSE),0)</f>
        <v>0</v>
      </c>
      <c r="AV84" s="246">
        <f>IFERROR(VLOOKUP(F84,VOL_REC[],2,FALSE),0)</f>
        <v>11089674.200000001</v>
      </c>
      <c r="AW84" s="246">
        <f>IFERROR(VLOOKUP(G84,VOL_REC[],2,FALSE),0)</f>
        <v>90439.55</v>
      </c>
      <c r="AX84" s="246">
        <f>IFERROR(VLOOKUP(H84,VOL_REC[],2,FALSE),0)</f>
        <v>15540036.397699751</v>
      </c>
      <c r="AY84" s="246">
        <f>IFERROR(VLOOKUP(I84,VOL_REC[],2,FALSE),0)</f>
        <v>740113.98115702497</v>
      </c>
      <c r="AZ84" s="246">
        <f>IFERROR(VLOOKUP(J84,VOL_REC[],2,FALSE),0)</f>
        <v>0</v>
      </c>
      <c r="BA84" s="246">
        <f>IFERROR(VLOOKUP(K84,VOL_REC[],2,FALSE),0)</f>
        <v>0</v>
      </c>
      <c r="BB84" s="246">
        <f>IFERROR(VLOOKUP(L84,VOL_REC[],2,FALSE),0)</f>
        <v>0</v>
      </c>
      <c r="BC84" s="246">
        <f>IFERROR(VLOOKUP(M84,VOL_REC[],2,FALSE),0)</f>
        <v>0</v>
      </c>
      <c r="BD84" s="246">
        <f>IFERROR(VLOOKUP(N84,VOL_REC[],2,FALSE),0)</f>
        <v>0</v>
      </c>
      <c r="BE84" s="246">
        <f>IFERROR(VLOOKUP(O84,VOL_REC[],2,FALSE),0)</f>
        <v>0</v>
      </c>
      <c r="BF84" s="246">
        <f>IFERROR(VLOOKUP(P84,VOL_REC[],2,FALSE),0)</f>
        <v>0</v>
      </c>
      <c r="BG84" s="246">
        <f>IFERROR(VLOOKUP(Q84,VOL_REC[],2,FALSE),0)</f>
        <v>0</v>
      </c>
      <c r="BH84" s="1710">
        <f t="shared" si="4"/>
        <v>12667992163.912916</v>
      </c>
      <c r="BI84" s="1710">
        <f t="shared" si="5"/>
        <v>15289586186.699659</v>
      </c>
      <c r="BJ84" s="1711">
        <f t="shared" si="6"/>
        <v>27460264.128856774</v>
      </c>
      <c r="BK84" s="1711">
        <f t="shared" si="7"/>
        <v>0.82853728081488198</v>
      </c>
    </row>
    <row r="85" spans="3:67" x14ac:dyDescent="0.25">
      <c r="C85" s="246" t="s">
        <v>1435</v>
      </c>
      <c r="D85" s="246">
        <v>1</v>
      </c>
      <c r="E85" s="246">
        <v>2</v>
      </c>
      <c r="F85" s="246">
        <v>3</v>
      </c>
      <c r="G85" s="246">
        <v>4</v>
      </c>
      <c r="H85" s="246">
        <v>9</v>
      </c>
      <c r="I85" s="246">
        <v>10</v>
      </c>
      <c r="J85" s="246"/>
      <c r="K85" s="246"/>
      <c r="L85" s="246"/>
      <c r="M85" s="246"/>
      <c r="N85" s="246"/>
      <c r="O85" s="246"/>
      <c r="P85" s="246"/>
      <c r="Q85" s="246"/>
      <c r="R85" s="246">
        <f>IFERROR(VLOOKUP(D85,PROGRAMAS[],2,FALSE),0)</f>
        <v>97037803.679377079</v>
      </c>
      <c r="S85" s="246">
        <f>IFERROR(VLOOKUP(E85,PROGRAMAS[],2,FALSE),0)</f>
        <v>640501509.6821388</v>
      </c>
      <c r="T85" s="246">
        <f>IFERROR(VLOOKUP(F85,PROGRAMAS[],2,FALSE),0)</f>
        <v>3062327798.1525245</v>
      </c>
      <c r="U85" s="246">
        <f>IFERROR(VLOOKUP(G85,PROGRAMAS[],2,FALSE),0)</f>
        <v>67697118.033011258</v>
      </c>
      <c r="V85" s="246">
        <f>IFERROR(VLOOKUP(H85,PROGRAMAS[],2,FALSE),0)</f>
        <v>6128579952.1618185</v>
      </c>
      <c r="W85" s="246">
        <f>IFERROR(VLOOKUP(I85,PROGRAMAS[],2,FALSE),0)</f>
        <v>4635315027.8751087</v>
      </c>
      <c r="X85" s="246">
        <f>IFERROR(VLOOKUP(J85,PROGRAMAS[],2,FALSE),0)</f>
        <v>0</v>
      </c>
      <c r="Y85" s="246">
        <f>IFERROR(VLOOKUP(K85,PROGRAMAS[],2,FALSE),0)</f>
        <v>0</v>
      </c>
      <c r="Z85" s="246">
        <f>IFERROR(VLOOKUP(L85,PROGRAMAS[],2,FALSE),0)</f>
        <v>0</v>
      </c>
      <c r="AA85" s="246">
        <f>IFERROR(VLOOKUP(M85,PROGRAMAS[],2,FALSE),0)</f>
        <v>0</v>
      </c>
      <c r="AB85" s="246">
        <f>IFERROR(VLOOKUP(N85,PROGRAMAS[],2,FALSE),0)</f>
        <v>0</v>
      </c>
      <c r="AC85" s="246">
        <f>IFERROR(VLOOKUP(O85,PROGRAMAS[],2,FALSE),0)</f>
        <v>0</v>
      </c>
      <c r="AD85" s="246">
        <f>IFERROR(VLOOKUP(P85,PROGRAMAS[],2,FALSE),0)</f>
        <v>0</v>
      </c>
      <c r="AE85" s="246">
        <f>IFERROR(VLOOKUP(Q85,PROGRAMAS[],2,FALSE),0)</f>
        <v>0</v>
      </c>
      <c r="AF85" s="246">
        <f>IFERROR(VLOOKUP(D85,PROGRAMAS[],3,FALSE),0)</f>
        <v>841888629.31080008</v>
      </c>
      <c r="AG85" s="246">
        <f>IFERROR(VLOOKUP(E85,PROGRAMAS[],3,FALSE),0)</f>
        <v>3848980803.1642323</v>
      </c>
      <c r="AH85" s="246">
        <f>IFERROR(VLOOKUP(F85,PROGRAMAS[],3,FALSE),0)</f>
        <v>3394901471.387517</v>
      </c>
      <c r="AI85" s="246">
        <f>IFERROR(VLOOKUP(G85,PROGRAMAS[],3,FALSE),0)</f>
        <v>125317226.95549992</v>
      </c>
      <c r="AJ85" s="246">
        <f>IFERROR(VLOOKUP(H85,PROGRAMAS[],3,FALSE),0)</f>
        <v>7011279577.519702</v>
      </c>
      <c r="AK85" s="246">
        <f>IFERROR(VLOOKUP(I85,PROGRAMAS[],3,FALSE),0)</f>
        <v>4099471734.9978786</v>
      </c>
      <c r="AL85" s="246">
        <f>IFERROR(VLOOKUP(J85,PROGRAMAS[],3,FALSE),0)</f>
        <v>0</v>
      </c>
      <c r="AM85" s="246">
        <f>IFERROR(VLOOKUP(K85,PROGRAMAS[],3,FALSE),0)</f>
        <v>0</v>
      </c>
      <c r="AN85" s="246">
        <f>IFERROR(VLOOKUP(L85,PROGRAMAS[],3,FALSE),0)</f>
        <v>0</v>
      </c>
      <c r="AO85" s="246">
        <f>IFERROR(VLOOKUP(M85,PROGRAMAS[],3,FALSE),0)</f>
        <v>0</v>
      </c>
      <c r="AP85" s="246">
        <f>IFERROR(VLOOKUP(N85,PROGRAMAS[],3,FALSE),0)</f>
        <v>0</v>
      </c>
      <c r="AQ85" s="246">
        <f>IFERROR(VLOOKUP(O85,PROGRAMAS[],3,FALSE),0)</f>
        <v>0</v>
      </c>
      <c r="AR85" s="246">
        <f>IFERROR(VLOOKUP(P85,PROGRAMAS[],3,FALSE),0)</f>
        <v>0</v>
      </c>
      <c r="AS85" s="246">
        <f>IFERROR(VLOOKUP(Q85,PROGRAMAS[],3,FALSE),0)</f>
        <v>0</v>
      </c>
      <c r="AT85" s="246">
        <f>IFERROR(VLOOKUP(D85,VOL_REC[],2,FALSE),0)</f>
        <v>0</v>
      </c>
      <c r="AU85" s="246">
        <f>IFERROR(VLOOKUP(E85,VOL_REC[],2,FALSE),0)</f>
        <v>0</v>
      </c>
      <c r="AV85" s="246">
        <f>IFERROR(VLOOKUP(F85,VOL_REC[],2,FALSE),0)</f>
        <v>11089674.200000001</v>
      </c>
      <c r="AW85" s="246">
        <f>IFERROR(VLOOKUP(G85,VOL_REC[],2,FALSE),0)</f>
        <v>90439.55</v>
      </c>
      <c r="AX85" s="246">
        <f>IFERROR(VLOOKUP(H85,VOL_REC[],2,FALSE),0)</f>
        <v>3761786</v>
      </c>
      <c r="AY85" s="246">
        <f>IFERROR(VLOOKUP(I85,VOL_REC[],2,FALSE),0)</f>
        <v>1812240</v>
      </c>
      <c r="AZ85" s="246">
        <f>IFERROR(VLOOKUP(J85,VOL_REC[],2,FALSE),0)</f>
        <v>0</v>
      </c>
      <c r="BA85" s="246">
        <f>IFERROR(VLOOKUP(K85,VOL_REC[],2,FALSE),0)</f>
        <v>0</v>
      </c>
      <c r="BB85" s="246">
        <f>IFERROR(VLOOKUP(L85,VOL_REC[],2,FALSE),0)</f>
        <v>0</v>
      </c>
      <c r="BC85" s="246">
        <f>IFERROR(VLOOKUP(M85,VOL_REC[],2,FALSE),0)</f>
        <v>0</v>
      </c>
      <c r="BD85" s="246">
        <f>IFERROR(VLOOKUP(N85,VOL_REC[],2,FALSE),0)</f>
        <v>0</v>
      </c>
      <c r="BE85" s="246">
        <f>IFERROR(VLOOKUP(O85,VOL_REC[],2,FALSE),0)</f>
        <v>0</v>
      </c>
      <c r="BF85" s="246">
        <f>IFERROR(VLOOKUP(P85,VOL_REC[],2,FALSE),0)</f>
        <v>0</v>
      </c>
      <c r="BG85" s="246">
        <f>IFERROR(VLOOKUP(Q85,VOL_REC[],2,FALSE),0)</f>
        <v>0</v>
      </c>
      <c r="BH85" s="1710">
        <f t="shared" si="4"/>
        <v>14631459209.583979</v>
      </c>
      <c r="BI85" s="1710">
        <f t="shared" si="5"/>
        <v>19321839443.335629</v>
      </c>
      <c r="BJ85" s="1711">
        <f t="shared" si="6"/>
        <v>16754139.750000002</v>
      </c>
      <c r="BK85" s="1711">
        <f t="shared" si="7"/>
        <v>0.75724980804716147</v>
      </c>
    </row>
    <row r="86" spans="3:67" x14ac:dyDescent="0.25">
      <c r="C86" s="246" t="s">
        <v>1436</v>
      </c>
      <c r="D86" s="246">
        <v>1</v>
      </c>
      <c r="E86" s="246">
        <v>2</v>
      </c>
      <c r="F86" s="246">
        <v>3</v>
      </c>
      <c r="G86" s="246">
        <v>4</v>
      </c>
      <c r="H86" s="246">
        <v>9</v>
      </c>
      <c r="I86" s="246">
        <v>12</v>
      </c>
      <c r="J86" s="246"/>
      <c r="K86" s="246"/>
      <c r="L86" s="246"/>
      <c r="M86" s="246"/>
      <c r="N86" s="246"/>
      <c r="O86" s="246"/>
      <c r="P86" s="246"/>
      <c r="Q86" s="246"/>
      <c r="R86" s="246">
        <f>IFERROR(VLOOKUP(D86,PROGRAMAS[],2,FALSE),0)</f>
        <v>97037803.679377079</v>
      </c>
      <c r="S86" s="246">
        <f>IFERROR(VLOOKUP(E86,PROGRAMAS[],2,FALSE),0)</f>
        <v>640501509.6821388</v>
      </c>
      <c r="T86" s="246">
        <f>IFERROR(VLOOKUP(F86,PROGRAMAS[],2,FALSE),0)</f>
        <v>3062327798.1525245</v>
      </c>
      <c r="U86" s="246">
        <f>IFERROR(VLOOKUP(G86,PROGRAMAS[],2,FALSE),0)</f>
        <v>67697118.033011258</v>
      </c>
      <c r="V86" s="246">
        <f>IFERROR(VLOOKUP(H86,PROGRAMAS[],2,FALSE),0)</f>
        <v>6128579952.1618185</v>
      </c>
      <c r="W86" s="246">
        <f>IFERROR(VLOOKUP(I86,PROGRAMAS[],2,FALSE),0)</f>
        <v>764796700.79905891</v>
      </c>
      <c r="X86" s="246">
        <f>IFERROR(VLOOKUP(J86,PROGRAMAS[],2,FALSE),0)</f>
        <v>0</v>
      </c>
      <c r="Y86" s="246">
        <f>IFERROR(VLOOKUP(K86,PROGRAMAS[],2,FALSE),0)</f>
        <v>0</v>
      </c>
      <c r="Z86" s="246">
        <f>IFERROR(VLOOKUP(L86,PROGRAMAS[],2,FALSE),0)</f>
        <v>0</v>
      </c>
      <c r="AA86" s="246">
        <f>IFERROR(VLOOKUP(M86,PROGRAMAS[],2,FALSE),0)</f>
        <v>0</v>
      </c>
      <c r="AB86" s="246">
        <f>IFERROR(VLOOKUP(N86,PROGRAMAS[],2,FALSE),0)</f>
        <v>0</v>
      </c>
      <c r="AC86" s="246">
        <f>IFERROR(VLOOKUP(O86,PROGRAMAS[],2,FALSE),0)</f>
        <v>0</v>
      </c>
      <c r="AD86" s="246">
        <f>IFERROR(VLOOKUP(P86,PROGRAMAS[],2,FALSE),0)</f>
        <v>0</v>
      </c>
      <c r="AE86" s="246">
        <f>IFERROR(VLOOKUP(Q86,PROGRAMAS[],2,FALSE),0)</f>
        <v>0</v>
      </c>
      <c r="AF86" s="246">
        <f>IFERROR(VLOOKUP(D86,PROGRAMAS[],3,FALSE),0)</f>
        <v>841888629.31080008</v>
      </c>
      <c r="AG86" s="246">
        <f>IFERROR(VLOOKUP(E86,PROGRAMAS[],3,FALSE),0)</f>
        <v>3848980803.1642323</v>
      </c>
      <c r="AH86" s="246">
        <f>IFERROR(VLOOKUP(F86,PROGRAMAS[],3,FALSE),0)</f>
        <v>3394901471.387517</v>
      </c>
      <c r="AI86" s="246">
        <f>IFERROR(VLOOKUP(G86,PROGRAMAS[],3,FALSE),0)</f>
        <v>125317226.95549992</v>
      </c>
      <c r="AJ86" s="246">
        <f>IFERROR(VLOOKUP(H86,PROGRAMAS[],3,FALSE),0)</f>
        <v>7011279577.519702</v>
      </c>
      <c r="AK86" s="246">
        <f>IFERROR(VLOOKUP(I86,PROGRAMAS[],3,FALSE),0)</f>
        <v>675517840.109828</v>
      </c>
      <c r="AL86" s="246">
        <f>IFERROR(VLOOKUP(J86,PROGRAMAS[],3,FALSE),0)</f>
        <v>0</v>
      </c>
      <c r="AM86" s="246">
        <f>IFERROR(VLOOKUP(K86,PROGRAMAS[],3,FALSE),0)</f>
        <v>0</v>
      </c>
      <c r="AN86" s="246">
        <f>IFERROR(VLOOKUP(L86,PROGRAMAS[],3,FALSE),0)</f>
        <v>0</v>
      </c>
      <c r="AO86" s="246">
        <f>IFERROR(VLOOKUP(M86,PROGRAMAS[],3,FALSE),0)</f>
        <v>0</v>
      </c>
      <c r="AP86" s="246">
        <f>IFERROR(VLOOKUP(N86,PROGRAMAS[],3,FALSE),0)</f>
        <v>0</v>
      </c>
      <c r="AQ86" s="246">
        <f>IFERROR(VLOOKUP(O86,PROGRAMAS[],3,FALSE),0)</f>
        <v>0</v>
      </c>
      <c r="AR86" s="246">
        <f>IFERROR(VLOOKUP(P86,PROGRAMAS[],3,FALSE),0)</f>
        <v>0</v>
      </c>
      <c r="AS86" s="246">
        <f>IFERROR(VLOOKUP(Q86,PROGRAMAS[],3,FALSE),0)</f>
        <v>0</v>
      </c>
      <c r="AT86" s="246">
        <f>IFERROR(VLOOKUP(D86,VOL_REC[],2,FALSE),0)</f>
        <v>0</v>
      </c>
      <c r="AU86" s="246">
        <f>IFERROR(VLOOKUP(E86,VOL_REC[],2,FALSE),0)</f>
        <v>0</v>
      </c>
      <c r="AV86" s="246">
        <f>IFERROR(VLOOKUP(F86,VOL_REC[],2,FALSE),0)</f>
        <v>11089674.200000001</v>
      </c>
      <c r="AW86" s="246">
        <f>IFERROR(VLOOKUP(G86,VOL_REC[],2,FALSE),0)</f>
        <v>90439.55</v>
      </c>
      <c r="AX86" s="246">
        <f>IFERROR(VLOOKUP(H86,VOL_REC[],2,FALSE),0)</f>
        <v>3761786</v>
      </c>
      <c r="AY86" s="246">
        <f>IFERROR(VLOOKUP(I86,VOL_REC[],2,FALSE),0)</f>
        <v>240696.79238099116</v>
      </c>
      <c r="AZ86" s="246">
        <f>IFERROR(VLOOKUP(J86,VOL_REC[],2,FALSE),0)</f>
        <v>0</v>
      </c>
      <c r="BA86" s="246">
        <f>IFERROR(VLOOKUP(K86,VOL_REC[],2,FALSE),0)</f>
        <v>0</v>
      </c>
      <c r="BB86" s="246">
        <f>IFERROR(VLOOKUP(L86,VOL_REC[],2,FALSE),0)</f>
        <v>0</v>
      </c>
      <c r="BC86" s="246">
        <f>IFERROR(VLOOKUP(M86,VOL_REC[],2,FALSE),0)</f>
        <v>0</v>
      </c>
      <c r="BD86" s="246">
        <f>IFERROR(VLOOKUP(N86,VOL_REC[],2,FALSE),0)</f>
        <v>0</v>
      </c>
      <c r="BE86" s="246">
        <f>IFERROR(VLOOKUP(O86,VOL_REC[],2,FALSE),0)</f>
        <v>0</v>
      </c>
      <c r="BF86" s="246">
        <f>IFERROR(VLOOKUP(P86,VOL_REC[],2,FALSE),0)</f>
        <v>0</v>
      </c>
      <c r="BG86" s="246">
        <f>IFERROR(VLOOKUP(Q86,VOL_REC[],2,FALSE),0)</f>
        <v>0</v>
      </c>
      <c r="BH86" s="1710">
        <f t="shared" si="4"/>
        <v>10760940882.507929</v>
      </c>
      <c r="BI86" s="1710">
        <f t="shared" si="5"/>
        <v>15897885548.447578</v>
      </c>
      <c r="BJ86" s="1711">
        <f t="shared" si="6"/>
        <v>15182596.542380992</v>
      </c>
      <c r="BK86" s="1711">
        <f t="shared" si="7"/>
        <v>0.67687874904588996</v>
      </c>
    </row>
    <row r="87" spans="3:67" x14ac:dyDescent="0.25">
      <c r="C87" s="246" t="s">
        <v>1437</v>
      </c>
      <c r="D87" s="246">
        <v>1</v>
      </c>
      <c r="E87" s="246">
        <v>2</v>
      </c>
      <c r="F87" s="246">
        <v>3</v>
      </c>
      <c r="G87" s="246">
        <v>4</v>
      </c>
      <c r="H87" s="246">
        <v>9</v>
      </c>
      <c r="I87" s="246">
        <v>13</v>
      </c>
      <c r="J87" s="246"/>
      <c r="K87" s="246"/>
      <c r="L87" s="246"/>
      <c r="M87" s="246"/>
      <c r="N87" s="246"/>
      <c r="O87" s="246"/>
      <c r="P87" s="246"/>
      <c r="Q87" s="246"/>
      <c r="R87" s="246">
        <f>IFERROR(VLOOKUP(D87,PROGRAMAS[],2,FALSE),0)</f>
        <v>97037803.679377079</v>
      </c>
      <c r="S87" s="246">
        <f>IFERROR(VLOOKUP(E87,PROGRAMAS[],2,FALSE),0)</f>
        <v>640501509.6821388</v>
      </c>
      <c r="T87" s="246">
        <f>IFERROR(VLOOKUP(F87,PROGRAMAS[],2,FALSE),0)</f>
        <v>3062327798.1525245</v>
      </c>
      <c r="U87" s="246">
        <f>IFERROR(VLOOKUP(G87,PROGRAMAS[],2,FALSE),0)</f>
        <v>67697118.033011258</v>
      </c>
      <c r="V87" s="246">
        <f>IFERROR(VLOOKUP(H87,PROGRAMAS[],2,FALSE),0)</f>
        <v>6128579952.1618185</v>
      </c>
      <c r="W87" s="246">
        <f>IFERROR(VLOOKUP(I87,PROGRAMAS[],2,FALSE),0)</f>
        <v>3776538594.4604583</v>
      </c>
      <c r="X87" s="246">
        <f>IFERROR(VLOOKUP(J87,PROGRAMAS[],2,FALSE),0)</f>
        <v>0</v>
      </c>
      <c r="Y87" s="246">
        <f>IFERROR(VLOOKUP(K87,PROGRAMAS[],2,FALSE),0)</f>
        <v>0</v>
      </c>
      <c r="Z87" s="246">
        <f>IFERROR(VLOOKUP(L87,PROGRAMAS[],2,FALSE),0)</f>
        <v>0</v>
      </c>
      <c r="AA87" s="246">
        <f>IFERROR(VLOOKUP(M87,PROGRAMAS[],2,FALSE),0)</f>
        <v>0</v>
      </c>
      <c r="AB87" s="246">
        <f>IFERROR(VLOOKUP(N87,PROGRAMAS[],2,FALSE),0)</f>
        <v>0</v>
      </c>
      <c r="AC87" s="246">
        <f>IFERROR(VLOOKUP(O87,PROGRAMAS[],2,FALSE),0)</f>
        <v>0</v>
      </c>
      <c r="AD87" s="246">
        <f>IFERROR(VLOOKUP(P87,PROGRAMAS[],2,FALSE),0)</f>
        <v>0</v>
      </c>
      <c r="AE87" s="246">
        <f>IFERROR(VLOOKUP(Q87,PROGRAMAS[],2,FALSE),0)</f>
        <v>0</v>
      </c>
      <c r="AF87" s="246">
        <f>IFERROR(VLOOKUP(D87,PROGRAMAS[],3,FALSE),0)</f>
        <v>841888629.31080008</v>
      </c>
      <c r="AG87" s="246">
        <f>IFERROR(VLOOKUP(E87,PROGRAMAS[],3,FALSE),0)</f>
        <v>3848980803.1642323</v>
      </c>
      <c r="AH87" s="246">
        <f>IFERROR(VLOOKUP(F87,PROGRAMAS[],3,FALSE),0)</f>
        <v>3394901471.387517</v>
      </c>
      <c r="AI87" s="246">
        <f>IFERROR(VLOOKUP(G87,PROGRAMAS[],3,FALSE),0)</f>
        <v>125317226.95549992</v>
      </c>
      <c r="AJ87" s="246">
        <f>IFERROR(VLOOKUP(H87,PROGRAMAS[],3,FALSE),0)</f>
        <v>7011279577.519702</v>
      </c>
      <c r="AK87" s="246">
        <f>IFERROR(VLOOKUP(I87,PROGRAMAS[],3,FALSE),0)</f>
        <v>2392571243.5584412</v>
      </c>
      <c r="AL87" s="246">
        <f>IFERROR(VLOOKUP(J87,PROGRAMAS[],3,FALSE),0)</f>
        <v>0</v>
      </c>
      <c r="AM87" s="246">
        <f>IFERROR(VLOOKUP(K87,PROGRAMAS[],3,FALSE),0)</f>
        <v>0</v>
      </c>
      <c r="AN87" s="246">
        <f>IFERROR(VLOOKUP(L87,PROGRAMAS[],3,FALSE),0)</f>
        <v>0</v>
      </c>
      <c r="AO87" s="246">
        <f>IFERROR(VLOOKUP(M87,PROGRAMAS[],3,FALSE),0)</f>
        <v>0</v>
      </c>
      <c r="AP87" s="246">
        <f>IFERROR(VLOOKUP(N87,PROGRAMAS[],3,FALSE),0)</f>
        <v>0</v>
      </c>
      <c r="AQ87" s="246">
        <f>IFERROR(VLOOKUP(O87,PROGRAMAS[],3,FALSE),0)</f>
        <v>0</v>
      </c>
      <c r="AR87" s="246">
        <f>IFERROR(VLOOKUP(P87,PROGRAMAS[],3,FALSE),0)</f>
        <v>0</v>
      </c>
      <c r="AS87" s="246">
        <f>IFERROR(VLOOKUP(Q87,PROGRAMAS[],3,FALSE),0)</f>
        <v>0</v>
      </c>
      <c r="AT87" s="246">
        <f>IFERROR(VLOOKUP(D87,VOL_REC[],2,FALSE),0)</f>
        <v>0</v>
      </c>
      <c r="AU87" s="246">
        <f>IFERROR(VLOOKUP(E87,VOL_REC[],2,FALSE),0)</f>
        <v>0</v>
      </c>
      <c r="AV87" s="246">
        <f>IFERROR(VLOOKUP(F87,VOL_REC[],2,FALSE),0)</f>
        <v>11089674.200000001</v>
      </c>
      <c r="AW87" s="246">
        <f>IFERROR(VLOOKUP(G87,VOL_REC[],2,FALSE),0)</f>
        <v>90439.55</v>
      </c>
      <c r="AX87" s="246">
        <f>IFERROR(VLOOKUP(H87,VOL_REC[],2,FALSE),0)</f>
        <v>3761786</v>
      </c>
      <c r="AY87" s="246">
        <f>IFERROR(VLOOKUP(I87,VOL_REC[],2,FALSE),0)</f>
        <v>663244.80000000016</v>
      </c>
      <c r="AZ87" s="246">
        <f>IFERROR(VLOOKUP(J87,VOL_REC[],2,FALSE),0)</f>
        <v>0</v>
      </c>
      <c r="BA87" s="246">
        <f>IFERROR(VLOOKUP(K87,VOL_REC[],2,FALSE),0)</f>
        <v>0</v>
      </c>
      <c r="BB87" s="246">
        <f>IFERROR(VLOOKUP(L87,VOL_REC[],2,FALSE),0)</f>
        <v>0</v>
      </c>
      <c r="BC87" s="246">
        <f>IFERROR(VLOOKUP(M87,VOL_REC[],2,FALSE),0)</f>
        <v>0</v>
      </c>
      <c r="BD87" s="246">
        <f>IFERROR(VLOOKUP(N87,VOL_REC[],2,FALSE),0)</f>
        <v>0</v>
      </c>
      <c r="BE87" s="246">
        <f>IFERROR(VLOOKUP(O87,VOL_REC[],2,FALSE),0)</f>
        <v>0</v>
      </c>
      <c r="BF87" s="246">
        <f>IFERROR(VLOOKUP(P87,VOL_REC[],2,FALSE),0)</f>
        <v>0</v>
      </c>
      <c r="BG87" s="246">
        <f>IFERROR(VLOOKUP(Q87,VOL_REC[],2,FALSE),0)</f>
        <v>0</v>
      </c>
      <c r="BH87" s="1710">
        <f t="shared" si="4"/>
        <v>13772682776.169329</v>
      </c>
      <c r="BI87" s="1710">
        <f t="shared" si="5"/>
        <v>17614938951.896194</v>
      </c>
      <c r="BJ87" s="1711">
        <f t="shared" si="6"/>
        <v>15605144.550000003</v>
      </c>
      <c r="BK87" s="1711">
        <f t="shared" si="7"/>
        <v>0.78187513529172581</v>
      </c>
    </row>
    <row r="88" spans="3:67" x14ac:dyDescent="0.25">
      <c r="C88" s="246" t="s">
        <v>1438</v>
      </c>
      <c r="D88" s="246">
        <v>1</v>
      </c>
      <c r="E88" s="246">
        <v>2</v>
      </c>
      <c r="F88" s="246">
        <v>3</v>
      </c>
      <c r="G88" s="246">
        <v>4</v>
      </c>
      <c r="H88" s="246">
        <v>9</v>
      </c>
      <c r="I88" s="246">
        <v>14</v>
      </c>
      <c r="J88" s="246"/>
      <c r="K88" s="246"/>
      <c r="L88" s="246"/>
      <c r="M88" s="246"/>
      <c r="N88" s="246"/>
      <c r="O88" s="246"/>
      <c r="P88" s="246"/>
      <c r="Q88" s="246"/>
      <c r="R88" s="246">
        <f>IFERROR(VLOOKUP(D88,PROGRAMAS[],2,FALSE),0)</f>
        <v>97037803.679377079</v>
      </c>
      <c r="S88" s="246">
        <f>IFERROR(VLOOKUP(E88,PROGRAMAS[],2,FALSE),0)</f>
        <v>640501509.6821388</v>
      </c>
      <c r="T88" s="246">
        <f>IFERROR(VLOOKUP(F88,PROGRAMAS[],2,FALSE),0)</f>
        <v>3062327798.1525245</v>
      </c>
      <c r="U88" s="246">
        <f>IFERROR(VLOOKUP(G88,PROGRAMAS[],2,FALSE),0)</f>
        <v>67697118.033011258</v>
      </c>
      <c r="V88" s="246">
        <f>IFERROR(VLOOKUP(H88,PROGRAMAS[],2,FALSE),0)</f>
        <v>6128579952.1618185</v>
      </c>
      <c r="W88" s="246">
        <f>IFERROR(VLOOKUP(I88,PROGRAMAS[],2,FALSE),0)</f>
        <v>54223862.645839565</v>
      </c>
      <c r="X88" s="246">
        <f>IFERROR(VLOOKUP(J88,PROGRAMAS[],2,FALSE),0)</f>
        <v>0</v>
      </c>
      <c r="Y88" s="246">
        <f>IFERROR(VLOOKUP(K88,PROGRAMAS[],2,FALSE),0)</f>
        <v>0</v>
      </c>
      <c r="Z88" s="246">
        <f>IFERROR(VLOOKUP(L88,PROGRAMAS[],2,FALSE),0)</f>
        <v>0</v>
      </c>
      <c r="AA88" s="246">
        <f>IFERROR(VLOOKUP(M88,PROGRAMAS[],2,FALSE),0)</f>
        <v>0</v>
      </c>
      <c r="AB88" s="246">
        <f>IFERROR(VLOOKUP(N88,PROGRAMAS[],2,FALSE),0)</f>
        <v>0</v>
      </c>
      <c r="AC88" s="246">
        <f>IFERROR(VLOOKUP(O88,PROGRAMAS[],2,FALSE),0)</f>
        <v>0</v>
      </c>
      <c r="AD88" s="246">
        <f>IFERROR(VLOOKUP(P88,PROGRAMAS[],2,FALSE),0)</f>
        <v>0</v>
      </c>
      <c r="AE88" s="246">
        <f>IFERROR(VLOOKUP(Q88,PROGRAMAS[],2,FALSE),0)</f>
        <v>0</v>
      </c>
      <c r="AF88" s="246">
        <f>IFERROR(VLOOKUP(D88,PROGRAMAS[],3,FALSE),0)</f>
        <v>841888629.31080008</v>
      </c>
      <c r="AG88" s="246">
        <f>IFERROR(VLOOKUP(E88,PROGRAMAS[],3,FALSE),0)</f>
        <v>3848980803.1642323</v>
      </c>
      <c r="AH88" s="246">
        <f>IFERROR(VLOOKUP(F88,PROGRAMAS[],3,FALSE),0)</f>
        <v>3394901471.387517</v>
      </c>
      <c r="AI88" s="246">
        <f>IFERROR(VLOOKUP(G88,PROGRAMAS[],3,FALSE),0)</f>
        <v>125317226.95549992</v>
      </c>
      <c r="AJ88" s="246">
        <f>IFERROR(VLOOKUP(H88,PROGRAMAS[],3,FALSE),0)</f>
        <v>7011279577.519702</v>
      </c>
      <c r="AK88" s="246">
        <f>IFERROR(VLOOKUP(I88,PROGRAMAS[],3,FALSE),0)</f>
        <v>31865326.38096505</v>
      </c>
      <c r="AL88" s="246">
        <f>IFERROR(VLOOKUP(J88,PROGRAMAS[],3,FALSE),0)</f>
        <v>0</v>
      </c>
      <c r="AM88" s="246">
        <f>IFERROR(VLOOKUP(K88,PROGRAMAS[],3,FALSE),0)</f>
        <v>0</v>
      </c>
      <c r="AN88" s="246">
        <f>IFERROR(VLOOKUP(L88,PROGRAMAS[],3,FALSE),0)</f>
        <v>0</v>
      </c>
      <c r="AO88" s="246">
        <f>IFERROR(VLOOKUP(M88,PROGRAMAS[],3,FALSE),0)</f>
        <v>0</v>
      </c>
      <c r="AP88" s="246">
        <f>IFERROR(VLOOKUP(N88,PROGRAMAS[],3,FALSE),0)</f>
        <v>0</v>
      </c>
      <c r="AQ88" s="246">
        <f>IFERROR(VLOOKUP(O88,PROGRAMAS[],3,FALSE),0)</f>
        <v>0</v>
      </c>
      <c r="AR88" s="246">
        <f>IFERROR(VLOOKUP(P88,PROGRAMAS[],3,FALSE),0)</f>
        <v>0</v>
      </c>
      <c r="AS88" s="246">
        <f>IFERROR(VLOOKUP(Q88,PROGRAMAS[],3,FALSE),0)</f>
        <v>0</v>
      </c>
      <c r="AT88" s="246">
        <f>IFERROR(VLOOKUP(D88,VOL_REC[],2,FALSE),0)</f>
        <v>0</v>
      </c>
      <c r="AU88" s="246">
        <f>IFERROR(VLOOKUP(E88,VOL_REC[],2,FALSE),0)</f>
        <v>0</v>
      </c>
      <c r="AV88" s="246">
        <f>IFERROR(VLOOKUP(F88,VOL_REC[],2,FALSE),0)</f>
        <v>11089674.200000001</v>
      </c>
      <c r="AW88" s="246">
        <f>IFERROR(VLOOKUP(G88,VOL_REC[],2,FALSE),0)</f>
        <v>90439.55</v>
      </c>
      <c r="AX88" s="246">
        <f>IFERROR(VLOOKUP(H88,VOL_REC[],2,FALSE),0)</f>
        <v>3761786</v>
      </c>
      <c r="AY88" s="246">
        <f>IFERROR(VLOOKUP(I88,VOL_REC[],2,FALSE),0)</f>
        <v>17074.045034105649</v>
      </c>
      <c r="AZ88" s="246">
        <f>IFERROR(VLOOKUP(J88,VOL_REC[],2,FALSE),0)</f>
        <v>0</v>
      </c>
      <c r="BA88" s="246">
        <f>IFERROR(VLOOKUP(K88,VOL_REC[],2,FALSE),0)</f>
        <v>0</v>
      </c>
      <c r="BB88" s="246">
        <f>IFERROR(VLOOKUP(L88,VOL_REC[],2,FALSE),0)</f>
        <v>0</v>
      </c>
      <c r="BC88" s="246">
        <f>IFERROR(VLOOKUP(M88,VOL_REC[],2,FALSE),0)</f>
        <v>0</v>
      </c>
      <c r="BD88" s="246">
        <f>IFERROR(VLOOKUP(N88,VOL_REC[],2,FALSE),0)</f>
        <v>0</v>
      </c>
      <c r="BE88" s="246">
        <f>IFERROR(VLOOKUP(O88,VOL_REC[],2,FALSE),0)</f>
        <v>0</v>
      </c>
      <c r="BF88" s="246">
        <f>IFERROR(VLOOKUP(P88,VOL_REC[],2,FALSE),0)</f>
        <v>0</v>
      </c>
      <c r="BG88" s="246">
        <f>IFERROR(VLOOKUP(Q88,VOL_REC[],2,FALSE),0)</f>
        <v>0</v>
      </c>
      <c r="BH88" s="1710">
        <f t="shared" si="4"/>
        <v>10050368044.35471</v>
      </c>
      <c r="BI88" s="1710">
        <f t="shared" si="5"/>
        <v>15254233034.718716</v>
      </c>
      <c r="BJ88" s="1711">
        <f t="shared" si="6"/>
        <v>14958973.795034107</v>
      </c>
      <c r="BK88" s="1711">
        <f t="shared" si="7"/>
        <v>0.65885764439811678</v>
      </c>
    </row>
    <row r="89" spans="3:67" x14ac:dyDescent="0.25">
      <c r="C89" s="246" t="s">
        <v>1439</v>
      </c>
      <c r="D89" s="246">
        <v>1</v>
      </c>
      <c r="E89" s="246">
        <v>2</v>
      </c>
      <c r="F89" s="246">
        <v>3</v>
      </c>
      <c r="G89" s="246">
        <v>4</v>
      </c>
      <c r="H89" s="246">
        <v>9</v>
      </c>
      <c r="I89" s="246">
        <v>15</v>
      </c>
      <c r="J89" s="246"/>
      <c r="K89" s="246"/>
      <c r="L89" s="246"/>
      <c r="M89" s="246"/>
      <c r="N89" s="246"/>
      <c r="O89" s="246"/>
      <c r="P89" s="246"/>
      <c r="Q89" s="246"/>
      <c r="R89" s="246">
        <f>IFERROR(VLOOKUP(D89,PROGRAMAS[],2,FALSE),0)</f>
        <v>97037803.679377079</v>
      </c>
      <c r="S89" s="246">
        <f>IFERROR(VLOOKUP(E89,PROGRAMAS[],2,FALSE),0)</f>
        <v>640501509.6821388</v>
      </c>
      <c r="T89" s="246">
        <f>IFERROR(VLOOKUP(F89,PROGRAMAS[],2,FALSE),0)</f>
        <v>3062327798.1525245</v>
      </c>
      <c r="U89" s="246">
        <f>IFERROR(VLOOKUP(G89,PROGRAMAS[],2,FALSE),0)</f>
        <v>67697118.033011258</v>
      </c>
      <c r="V89" s="246">
        <f>IFERROR(VLOOKUP(H89,PROGRAMAS[],2,FALSE),0)</f>
        <v>6128579952.1618185</v>
      </c>
      <c r="W89" s="246">
        <f>IFERROR(VLOOKUP(I89,PROGRAMAS[],2,FALSE),0)</f>
        <v>122159672.96346797</v>
      </c>
      <c r="X89" s="246">
        <f>IFERROR(VLOOKUP(J89,PROGRAMAS[],2,FALSE),0)</f>
        <v>0</v>
      </c>
      <c r="Y89" s="246">
        <f>IFERROR(VLOOKUP(K89,PROGRAMAS[],2,FALSE),0)</f>
        <v>0</v>
      </c>
      <c r="Z89" s="246">
        <f>IFERROR(VLOOKUP(L89,PROGRAMAS[],2,FALSE),0)</f>
        <v>0</v>
      </c>
      <c r="AA89" s="246">
        <f>IFERROR(VLOOKUP(M89,PROGRAMAS[],2,FALSE),0)</f>
        <v>0</v>
      </c>
      <c r="AB89" s="246">
        <f>IFERROR(VLOOKUP(N89,PROGRAMAS[],2,FALSE),0)</f>
        <v>0</v>
      </c>
      <c r="AC89" s="246">
        <f>IFERROR(VLOOKUP(O89,PROGRAMAS[],2,FALSE),0)</f>
        <v>0</v>
      </c>
      <c r="AD89" s="246">
        <f>IFERROR(VLOOKUP(P89,PROGRAMAS[],2,FALSE),0)</f>
        <v>0</v>
      </c>
      <c r="AE89" s="246">
        <f>IFERROR(VLOOKUP(Q89,PROGRAMAS[],2,FALSE),0)</f>
        <v>0</v>
      </c>
      <c r="AF89" s="246">
        <f>IFERROR(VLOOKUP(D89,PROGRAMAS[],3,FALSE),0)</f>
        <v>841888629.31080008</v>
      </c>
      <c r="AG89" s="246">
        <f>IFERROR(VLOOKUP(E89,PROGRAMAS[],3,FALSE),0)</f>
        <v>3848980803.1642323</v>
      </c>
      <c r="AH89" s="246">
        <f>IFERROR(VLOOKUP(F89,PROGRAMAS[],3,FALSE),0)</f>
        <v>3394901471.387517</v>
      </c>
      <c r="AI89" s="246">
        <f>IFERROR(VLOOKUP(G89,PROGRAMAS[],3,FALSE),0)</f>
        <v>125317226.95549992</v>
      </c>
      <c r="AJ89" s="246">
        <f>IFERROR(VLOOKUP(H89,PROGRAMAS[],3,FALSE),0)</f>
        <v>7011279577.519702</v>
      </c>
      <c r="AK89" s="246">
        <f>IFERROR(VLOOKUP(I89,PROGRAMAS[],3,FALSE),0)</f>
        <v>118617452.52510804</v>
      </c>
      <c r="AL89" s="246">
        <f>IFERROR(VLOOKUP(J89,PROGRAMAS[],3,FALSE),0)</f>
        <v>0</v>
      </c>
      <c r="AM89" s="246">
        <f>IFERROR(VLOOKUP(K89,PROGRAMAS[],3,FALSE),0)</f>
        <v>0</v>
      </c>
      <c r="AN89" s="246">
        <f>IFERROR(VLOOKUP(L89,PROGRAMAS[],3,FALSE),0)</f>
        <v>0</v>
      </c>
      <c r="AO89" s="246">
        <f>IFERROR(VLOOKUP(M89,PROGRAMAS[],3,FALSE),0)</f>
        <v>0</v>
      </c>
      <c r="AP89" s="246">
        <f>IFERROR(VLOOKUP(N89,PROGRAMAS[],3,FALSE),0)</f>
        <v>0</v>
      </c>
      <c r="AQ89" s="246">
        <f>IFERROR(VLOOKUP(O89,PROGRAMAS[],3,FALSE),0)</f>
        <v>0</v>
      </c>
      <c r="AR89" s="246">
        <f>IFERROR(VLOOKUP(P89,PROGRAMAS[],3,FALSE),0)</f>
        <v>0</v>
      </c>
      <c r="AS89" s="246">
        <f>IFERROR(VLOOKUP(Q89,PROGRAMAS[],3,FALSE),0)</f>
        <v>0</v>
      </c>
      <c r="AT89" s="246">
        <f>IFERROR(VLOOKUP(D89,VOL_REC[],2,FALSE),0)</f>
        <v>0</v>
      </c>
      <c r="AU89" s="246">
        <f>IFERROR(VLOOKUP(E89,VOL_REC[],2,FALSE),0)</f>
        <v>0</v>
      </c>
      <c r="AV89" s="246">
        <f>IFERROR(VLOOKUP(F89,VOL_REC[],2,FALSE),0)</f>
        <v>11089674.200000001</v>
      </c>
      <c r="AW89" s="246">
        <f>IFERROR(VLOOKUP(G89,VOL_REC[],2,FALSE),0)</f>
        <v>90439.55</v>
      </c>
      <c r="AX89" s="246">
        <f>IFERROR(VLOOKUP(H89,VOL_REC[],2,FALSE),0)</f>
        <v>3761786</v>
      </c>
      <c r="AY89" s="246">
        <f>IFERROR(VLOOKUP(I89,VOL_REC[],2,FALSE),0)</f>
        <v>105072</v>
      </c>
      <c r="AZ89" s="246">
        <f>IFERROR(VLOOKUP(J89,VOL_REC[],2,FALSE),0)</f>
        <v>0</v>
      </c>
      <c r="BA89" s="246">
        <f>IFERROR(VLOOKUP(K89,VOL_REC[],2,FALSE),0)</f>
        <v>0</v>
      </c>
      <c r="BB89" s="246">
        <f>IFERROR(VLOOKUP(L89,VOL_REC[],2,FALSE),0)</f>
        <v>0</v>
      </c>
      <c r="BC89" s="246">
        <f>IFERROR(VLOOKUP(M89,VOL_REC[],2,FALSE),0)</f>
        <v>0</v>
      </c>
      <c r="BD89" s="246">
        <f>IFERROR(VLOOKUP(N89,VOL_REC[],2,FALSE),0)</f>
        <v>0</v>
      </c>
      <c r="BE89" s="246">
        <f>IFERROR(VLOOKUP(O89,VOL_REC[],2,FALSE),0)</f>
        <v>0</v>
      </c>
      <c r="BF89" s="246">
        <f>IFERROR(VLOOKUP(P89,VOL_REC[],2,FALSE),0)</f>
        <v>0</v>
      </c>
      <c r="BG89" s="246">
        <f>IFERROR(VLOOKUP(Q89,VOL_REC[],2,FALSE),0)</f>
        <v>0</v>
      </c>
      <c r="BH89" s="1710">
        <f t="shared" si="4"/>
        <v>10118303854.672338</v>
      </c>
      <c r="BI89" s="1710">
        <f t="shared" si="5"/>
        <v>15340985160.86286</v>
      </c>
      <c r="BJ89" s="1711">
        <f t="shared" si="6"/>
        <v>15046971.750000002</v>
      </c>
      <c r="BK89" s="1711">
        <f t="shared" si="7"/>
        <v>0.65956024000894287</v>
      </c>
    </row>
    <row r="90" spans="3:67" x14ac:dyDescent="0.25">
      <c r="C90" s="246" t="s">
        <v>1440</v>
      </c>
      <c r="D90" s="246">
        <v>1</v>
      </c>
      <c r="E90" s="246">
        <v>2</v>
      </c>
      <c r="F90" s="246">
        <v>3</v>
      </c>
      <c r="G90" s="246">
        <v>4</v>
      </c>
      <c r="H90" s="246">
        <v>9</v>
      </c>
      <c r="I90" s="246">
        <v>16</v>
      </c>
      <c r="J90" s="246"/>
      <c r="K90" s="246"/>
      <c r="L90" s="246"/>
      <c r="M90" s="246"/>
      <c r="N90" s="246"/>
      <c r="O90" s="246"/>
      <c r="P90" s="246"/>
      <c r="Q90" s="246"/>
      <c r="R90" s="246">
        <f>IFERROR(VLOOKUP(D90,PROGRAMAS[],2,FALSE),0)</f>
        <v>97037803.679377079</v>
      </c>
      <c r="S90" s="246">
        <f>IFERROR(VLOOKUP(E90,PROGRAMAS[],2,FALSE),0)</f>
        <v>640501509.6821388</v>
      </c>
      <c r="T90" s="246">
        <f>IFERROR(VLOOKUP(F90,PROGRAMAS[],2,FALSE),0)</f>
        <v>3062327798.1525245</v>
      </c>
      <c r="U90" s="246">
        <f>IFERROR(VLOOKUP(G90,PROGRAMAS[],2,FALSE),0)</f>
        <v>67697118.033011258</v>
      </c>
      <c r="V90" s="246">
        <f>IFERROR(VLOOKUP(H90,PROGRAMAS[],2,FALSE),0)</f>
        <v>6128579952.1618185</v>
      </c>
      <c r="W90" s="246">
        <f>IFERROR(VLOOKUP(I90,PROGRAMAS[],2,FALSE),0)</f>
        <v>7068496961.0436354</v>
      </c>
      <c r="X90" s="246">
        <f>IFERROR(VLOOKUP(J90,PROGRAMAS[],2,FALSE),0)</f>
        <v>0</v>
      </c>
      <c r="Y90" s="246">
        <f>IFERROR(VLOOKUP(K90,PROGRAMAS[],2,FALSE),0)</f>
        <v>0</v>
      </c>
      <c r="Z90" s="246">
        <f>IFERROR(VLOOKUP(L90,PROGRAMAS[],2,FALSE),0)</f>
        <v>0</v>
      </c>
      <c r="AA90" s="246">
        <f>IFERROR(VLOOKUP(M90,PROGRAMAS[],2,FALSE),0)</f>
        <v>0</v>
      </c>
      <c r="AB90" s="246">
        <f>IFERROR(VLOOKUP(N90,PROGRAMAS[],2,FALSE),0)</f>
        <v>0</v>
      </c>
      <c r="AC90" s="246">
        <f>IFERROR(VLOOKUP(O90,PROGRAMAS[],2,FALSE),0)</f>
        <v>0</v>
      </c>
      <c r="AD90" s="246">
        <f>IFERROR(VLOOKUP(P90,PROGRAMAS[],2,FALSE),0)</f>
        <v>0</v>
      </c>
      <c r="AE90" s="246">
        <f>IFERROR(VLOOKUP(Q90,PROGRAMAS[],2,FALSE),0)</f>
        <v>0</v>
      </c>
      <c r="AF90" s="246">
        <f>IFERROR(VLOOKUP(D90,PROGRAMAS[],3,FALSE),0)</f>
        <v>841888629.31080008</v>
      </c>
      <c r="AG90" s="246">
        <f>IFERROR(VLOOKUP(E90,PROGRAMAS[],3,FALSE),0)</f>
        <v>3848980803.1642323</v>
      </c>
      <c r="AH90" s="246">
        <f>IFERROR(VLOOKUP(F90,PROGRAMAS[],3,FALSE),0)</f>
        <v>3394901471.387517</v>
      </c>
      <c r="AI90" s="246">
        <f>IFERROR(VLOOKUP(G90,PROGRAMAS[],3,FALSE),0)</f>
        <v>125317226.95549992</v>
      </c>
      <c r="AJ90" s="246">
        <f>IFERROR(VLOOKUP(H90,PROGRAMAS[],3,FALSE),0)</f>
        <v>7011279577.519702</v>
      </c>
      <c r="AK90" s="246">
        <f>IFERROR(VLOOKUP(I90,PROGRAMAS[],3,FALSE),0)</f>
        <v>2406564599.0319901</v>
      </c>
      <c r="AL90" s="246">
        <f>IFERROR(VLOOKUP(J90,PROGRAMAS[],3,FALSE),0)</f>
        <v>0</v>
      </c>
      <c r="AM90" s="246">
        <f>IFERROR(VLOOKUP(K90,PROGRAMAS[],3,FALSE),0)</f>
        <v>0</v>
      </c>
      <c r="AN90" s="246">
        <f>IFERROR(VLOOKUP(L90,PROGRAMAS[],3,FALSE),0)</f>
        <v>0</v>
      </c>
      <c r="AO90" s="246">
        <f>IFERROR(VLOOKUP(M90,PROGRAMAS[],3,FALSE),0)</f>
        <v>0</v>
      </c>
      <c r="AP90" s="246">
        <f>IFERROR(VLOOKUP(N90,PROGRAMAS[],3,FALSE),0)</f>
        <v>0</v>
      </c>
      <c r="AQ90" s="246">
        <f>IFERROR(VLOOKUP(O90,PROGRAMAS[],3,FALSE),0)</f>
        <v>0</v>
      </c>
      <c r="AR90" s="246">
        <f>IFERROR(VLOOKUP(P90,PROGRAMAS[],3,FALSE),0)</f>
        <v>0</v>
      </c>
      <c r="AS90" s="246">
        <f>IFERROR(VLOOKUP(Q90,PROGRAMAS[],3,FALSE),0)</f>
        <v>0</v>
      </c>
      <c r="AT90" s="246">
        <f>IFERROR(VLOOKUP(D90,VOL_REC[],2,FALSE),0)</f>
        <v>0</v>
      </c>
      <c r="AU90" s="246">
        <f>IFERROR(VLOOKUP(E90,VOL_REC[],2,FALSE),0)</f>
        <v>0</v>
      </c>
      <c r="AV90" s="246">
        <f>IFERROR(VLOOKUP(F90,VOL_REC[],2,FALSE),0)</f>
        <v>11089674.200000001</v>
      </c>
      <c r="AW90" s="246">
        <f>IFERROR(VLOOKUP(G90,VOL_REC[],2,FALSE),0)</f>
        <v>90439.55</v>
      </c>
      <c r="AX90" s="246">
        <f>IFERROR(VLOOKUP(H90,VOL_REC[],2,FALSE),0)</f>
        <v>3761786</v>
      </c>
      <c r="AY90" s="246">
        <f>IFERROR(VLOOKUP(I90,VOL_REC[],2,FALSE),0)</f>
        <v>1072354.9981737854</v>
      </c>
      <c r="AZ90" s="246">
        <f>IFERROR(VLOOKUP(J90,VOL_REC[],2,FALSE),0)</f>
        <v>0</v>
      </c>
      <c r="BA90" s="246">
        <f>IFERROR(VLOOKUP(K90,VOL_REC[],2,FALSE),0)</f>
        <v>0</v>
      </c>
      <c r="BB90" s="246">
        <f>IFERROR(VLOOKUP(L90,VOL_REC[],2,FALSE),0)</f>
        <v>0</v>
      </c>
      <c r="BC90" s="246">
        <f>IFERROR(VLOOKUP(M90,VOL_REC[],2,FALSE),0)</f>
        <v>0</v>
      </c>
      <c r="BD90" s="246">
        <f>IFERROR(VLOOKUP(N90,VOL_REC[],2,FALSE),0)</f>
        <v>0</v>
      </c>
      <c r="BE90" s="246">
        <f>IFERROR(VLOOKUP(O90,VOL_REC[],2,FALSE),0)</f>
        <v>0</v>
      </c>
      <c r="BF90" s="246">
        <f>IFERROR(VLOOKUP(P90,VOL_REC[],2,FALSE),0)</f>
        <v>0</v>
      </c>
      <c r="BG90" s="246">
        <f>IFERROR(VLOOKUP(Q90,VOL_REC[],2,FALSE),0)</f>
        <v>0</v>
      </c>
      <c r="BH90" s="1710">
        <f t="shared" si="4"/>
        <v>17064641142.752506</v>
      </c>
      <c r="BI90" s="1710">
        <f t="shared" si="5"/>
        <v>17628932307.369743</v>
      </c>
      <c r="BJ90" s="1711">
        <f t="shared" si="6"/>
        <v>16014254.748173788</v>
      </c>
      <c r="BK90" s="1711">
        <f t="shared" si="7"/>
        <v>0.96799062162253946</v>
      </c>
    </row>
    <row r="91" spans="3:67" x14ac:dyDescent="0.25">
      <c r="C91" s="246" t="s">
        <v>1441</v>
      </c>
      <c r="D91" s="246">
        <v>1</v>
      </c>
      <c r="E91" s="246">
        <v>2</v>
      </c>
      <c r="F91" s="246">
        <v>3</v>
      </c>
      <c r="G91" s="246">
        <v>4</v>
      </c>
      <c r="H91" s="246">
        <v>9</v>
      </c>
      <c r="I91" s="246">
        <v>17</v>
      </c>
      <c r="J91" s="246"/>
      <c r="K91" s="246"/>
      <c r="L91" s="246"/>
      <c r="M91" s="246"/>
      <c r="N91" s="246"/>
      <c r="O91" s="246"/>
      <c r="P91" s="246"/>
      <c r="Q91" s="246"/>
      <c r="R91" s="246">
        <f>IFERROR(VLOOKUP(D91,PROGRAMAS[],2,FALSE),0)</f>
        <v>97037803.679377079</v>
      </c>
      <c r="S91" s="246">
        <f>IFERROR(VLOOKUP(E91,PROGRAMAS[],2,FALSE),0)</f>
        <v>640501509.6821388</v>
      </c>
      <c r="T91" s="246">
        <f>IFERROR(VLOOKUP(F91,PROGRAMAS[],2,FALSE),0)</f>
        <v>3062327798.1525245</v>
      </c>
      <c r="U91" s="246">
        <f>IFERROR(VLOOKUP(G91,PROGRAMAS[],2,FALSE),0)</f>
        <v>67697118.033011258</v>
      </c>
      <c r="V91" s="246">
        <f>IFERROR(VLOOKUP(H91,PROGRAMAS[],2,FALSE),0)</f>
        <v>6128579952.1618185</v>
      </c>
      <c r="W91" s="246">
        <f>IFERROR(VLOOKUP(I91,PROGRAMAS[],2,FALSE),0)</f>
        <v>1892779498.5211046</v>
      </c>
      <c r="X91" s="246">
        <f>IFERROR(VLOOKUP(J91,PROGRAMAS[],2,FALSE),0)</f>
        <v>0</v>
      </c>
      <c r="Y91" s="246">
        <f>IFERROR(VLOOKUP(K91,PROGRAMAS[],2,FALSE),0)</f>
        <v>0</v>
      </c>
      <c r="Z91" s="246">
        <f>IFERROR(VLOOKUP(L91,PROGRAMAS[],2,FALSE),0)</f>
        <v>0</v>
      </c>
      <c r="AA91" s="246">
        <f>IFERROR(VLOOKUP(M91,PROGRAMAS[],2,FALSE),0)</f>
        <v>0</v>
      </c>
      <c r="AB91" s="246">
        <f>IFERROR(VLOOKUP(N91,PROGRAMAS[],2,FALSE),0)</f>
        <v>0</v>
      </c>
      <c r="AC91" s="246">
        <f>IFERROR(VLOOKUP(O91,PROGRAMAS[],2,FALSE),0)</f>
        <v>0</v>
      </c>
      <c r="AD91" s="246">
        <f>IFERROR(VLOOKUP(P91,PROGRAMAS[],2,FALSE),0)</f>
        <v>0</v>
      </c>
      <c r="AE91" s="246">
        <f>IFERROR(VLOOKUP(Q91,PROGRAMAS[],2,FALSE),0)</f>
        <v>0</v>
      </c>
      <c r="AF91" s="246">
        <f>IFERROR(VLOOKUP(D91,PROGRAMAS[],3,FALSE),0)</f>
        <v>841888629.31080008</v>
      </c>
      <c r="AG91" s="246">
        <f>IFERROR(VLOOKUP(E91,PROGRAMAS[],3,FALSE),0)</f>
        <v>3848980803.1642323</v>
      </c>
      <c r="AH91" s="246">
        <f>IFERROR(VLOOKUP(F91,PROGRAMAS[],3,FALSE),0)</f>
        <v>3394901471.387517</v>
      </c>
      <c r="AI91" s="246">
        <f>IFERROR(VLOOKUP(G91,PROGRAMAS[],3,FALSE),0)</f>
        <v>125317226.95549992</v>
      </c>
      <c r="AJ91" s="246">
        <f>IFERROR(VLOOKUP(H91,PROGRAMAS[],3,FALSE),0)</f>
        <v>7011279577.519702</v>
      </c>
      <c r="AK91" s="246">
        <f>IFERROR(VLOOKUP(I91,PROGRAMAS[],3,FALSE),0)</f>
        <v>948595847.09039903</v>
      </c>
      <c r="AL91" s="246">
        <f>IFERROR(VLOOKUP(J91,PROGRAMAS[],3,FALSE),0)</f>
        <v>0</v>
      </c>
      <c r="AM91" s="246">
        <f>IFERROR(VLOOKUP(K91,PROGRAMAS[],3,FALSE),0)</f>
        <v>0</v>
      </c>
      <c r="AN91" s="246">
        <f>IFERROR(VLOOKUP(L91,PROGRAMAS[],3,FALSE),0)</f>
        <v>0</v>
      </c>
      <c r="AO91" s="246">
        <f>IFERROR(VLOOKUP(M91,PROGRAMAS[],3,FALSE),0)</f>
        <v>0</v>
      </c>
      <c r="AP91" s="246">
        <f>IFERROR(VLOOKUP(N91,PROGRAMAS[],3,FALSE),0)</f>
        <v>0</v>
      </c>
      <c r="AQ91" s="246">
        <f>IFERROR(VLOOKUP(O91,PROGRAMAS[],3,FALSE),0)</f>
        <v>0</v>
      </c>
      <c r="AR91" s="246">
        <f>IFERROR(VLOOKUP(P91,PROGRAMAS[],3,FALSE),0)</f>
        <v>0</v>
      </c>
      <c r="AS91" s="246">
        <f>IFERROR(VLOOKUP(Q91,PROGRAMAS[],3,FALSE),0)</f>
        <v>0</v>
      </c>
      <c r="AT91" s="246">
        <f>IFERROR(VLOOKUP(D91,VOL_REC[],2,FALSE),0)</f>
        <v>0</v>
      </c>
      <c r="AU91" s="246">
        <f>IFERROR(VLOOKUP(E91,VOL_REC[],2,FALSE),0)</f>
        <v>0</v>
      </c>
      <c r="AV91" s="246">
        <f>IFERROR(VLOOKUP(F91,VOL_REC[],2,FALSE),0)</f>
        <v>11089674.200000001</v>
      </c>
      <c r="AW91" s="246">
        <f>IFERROR(VLOOKUP(G91,VOL_REC[],2,FALSE),0)</f>
        <v>90439.55</v>
      </c>
      <c r="AX91" s="246">
        <f>IFERROR(VLOOKUP(H91,VOL_REC[],2,FALSE),0)</f>
        <v>3761786</v>
      </c>
      <c r="AY91" s="246">
        <f>IFERROR(VLOOKUP(I91,VOL_REC[],2,FALSE),0)</f>
        <v>740113.98115702497</v>
      </c>
      <c r="AZ91" s="246">
        <f>IFERROR(VLOOKUP(J91,VOL_REC[],2,FALSE),0)</f>
        <v>0</v>
      </c>
      <c r="BA91" s="246">
        <f>IFERROR(VLOOKUP(K91,VOL_REC[],2,FALSE),0)</f>
        <v>0</v>
      </c>
      <c r="BB91" s="246">
        <f>IFERROR(VLOOKUP(L91,VOL_REC[],2,FALSE),0)</f>
        <v>0</v>
      </c>
      <c r="BC91" s="246">
        <f>IFERROR(VLOOKUP(M91,VOL_REC[],2,FALSE),0)</f>
        <v>0</v>
      </c>
      <c r="BD91" s="246">
        <f>IFERROR(VLOOKUP(N91,VOL_REC[],2,FALSE),0)</f>
        <v>0</v>
      </c>
      <c r="BE91" s="246">
        <f>IFERROR(VLOOKUP(O91,VOL_REC[],2,FALSE),0)</f>
        <v>0</v>
      </c>
      <c r="BF91" s="246">
        <f>IFERROR(VLOOKUP(P91,VOL_REC[],2,FALSE),0)</f>
        <v>0</v>
      </c>
      <c r="BG91" s="246">
        <f>IFERROR(VLOOKUP(Q91,VOL_REC[],2,FALSE),0)</f>
        <v>0</v>
      </c>
      <c r="BH91" s="1710">
        <f t="shared" si="4"/>
        <v>11888923680.229975</v>
      </c>
      <c r="BI91" s="1710">
        <f t="shared" si="5"/>
        <v>16170963555.42815</v>
      </c>
      <c r="BJ91" s="1711">
        <f t="shared" si="6"/>
        <v>15682013.731157027</v>
      </c>
      <c r="BK91" s="1711">
        <f t="shared" si="7"/>
        <v>0.73520193397747091</v>
      </c>
    </row>
    <row r="92" spans="3:67" x14ac:dyDescent="0.25">
      <c r="C92" s="246" t="s">
        <v>1442</v>
      </c>
      <c r="D92" s="246">
        <v>1</v>
      </c>
      <c r="E92" s="246">
        <v>2</v>
      </c>
      <c r="F92" s="246">
        <v>3</v>
      </c>
      <c r="G92" s="246">
        <v>4</v>
      </c>
      <c r="H92" s="246">
        <v>10</v>
      </c>
      <c r="I92" s="246">
        <v>12</v>
      </c>
      <c r="J92" s="246"/>
      <c r="K92" s="246"/>
      <c r="L92" s="246"/>
      <c r="M92" s="246"/>
      <c r="N92" s="246"/>
      <c r="O92" s="246"/>
      <c r="P92" s="246"/>
      <c r="Q92" s="246"/>
      <c r="R92" s="246">
        <f>IFERROR(VLOOKUP(D92,PROGRAMAS[],2,FALSE),0)</f>
        <v>97037803.679377079</v>
      </c>
      <c r="S92" s="246">
        <f>IFERROR(VLOOKUP(E92,PROGRAMAS[],2,FALSE),0)</f>
        <v>640501509.6821388</v>
      </c>
      <c r="T92" s="246">
        <f>IFERROR(VLOOKUP(F92,PROGRAMAS[],2,FALSE),0)</f>
        <v>3062327798.1525245</v>
      </c>
      <c r="U92" s="246">
        <f>IFERROR(VLOOKUP(G92,PROGRAMAS[],2,FALSE),0)</f>
        <v>67697118.033011258</v>
      </c>
      <c r="V92" s="246">
        <f>IFERROR(VLOOKUP(H92,PROGRAMAS[],2,FALSE),0)</f>
        <v>4635315027.8751087</v>
      </c>
      <c r="W92" s="246">
        <f>IFERROR(VLOOKUP(I92,PROGRAMAS[],2,FALSE),0)</f>
        <v>764796700.79905891</v>
      </c>
      <c r="X92" s="246">
        <f>IFERROR(VLOOKUP(J92,PROGRAMAS[],2,FALSE),0)</f>
        <v>0</v>
      </c>
      <c r="Y92" s="246">
        <f>IFERROR(VLOOKUP(K92,PROGRAMAS[],2,FALSE),0)</f>
        <v>0</v>
      </c>
      <c r="Z92" s="246">
        <f>IFERROR(VLOOKUP(L92,PROGRAMAS[],2,FALSE),0)</f>
        <v>0</v>
      </c>
      <c r="AA92" s="246">
        <f>IFERROR(VLOOKUP(M92,PROGRAMAS[],2,FALSE),0)</f>
        <v>0</v>
      </c>
      <c r="AB92" s="246">
        <f>IFERROR(VLOOKUP(N92,PROGRAMAS[],2,FALSE),0)</f>
        <v>0</v>
      </c>
      <c r="AC92" s="246">
        <f>IFERROR(VLOOKUP(O92,PROGRAMAS[],2,FALSE),0)</f>
        <v>0</v>
      </c>
      <c r="AD92" s="246">
        <f>IFERROR(VLOOKUP(P92,PROGRAMAS[],2,FALSE),0)</f>
        <v>0</v>
      </c>
      <c r="AE92" s="246">
        <f>IFERROR(VLOOKUP(Q92,PROGRAMAS[],2,FALSE),0)</f>
        <v>0</v>
      </c>
      <c r="AF92" s="246">
        <f>IFERROR(VLOOKUP(D92,PROGRAMAS[],3,FALSE),0)</f>
        <v>841888629.31080008</v>
      </c>
      <c r="AG92" s="246">
        <f>IFERROR(VLOOKUP(E92,PROGRAMAS[],3,FALSE),0)</f>
        <v>3848980803.1642323</v>
      </c>
      <c r="AH92" s="246">
        <f>IFERROR(VLOOKUP(F92,PROGRAMAS[],3,FALSE),0)</f>
        <v>3394901471.387517</v>
      </c>
      <c r="AI92" s="246">
        <f>IFERROR(VLOOKUP(G92,PROGRAMAS[],3,FALSE),0)</f>
        <v>125317226.95549992</v>
      </c>
      <c r="AJ92" s="246">
        <f>IFERROR(VLOOKUP(H92,PROGRAMAS[],3,FALSE),0)</f>
        <v>4099471734.9978786</v>
      </c>
      <c r="AK92" s="246">
        <f>IFERROR(VLOOKUP(I92,PROGRAMAS[],3,FALSE),0)</f>
        <v>675517840.109828</v>
      </c>
      <c r="AL92" s="246">
        <f>IFERROR(VLOOKUP(J92,PROGRAMAS[],3,FALSE),0)</f>
        <v>0</v>
      </c>
      <c r="AM92" s="246">
        <f>IFERROR(VLOOKUP(K92,PROGRAMAS[],3,FALSE),0)</f>
        <v>0</v>
      </c>
      <c r="AN92" s="246">
        <f>IFERROR(VLOOKUP(L92,PROGRAMAS[],3,FALSE),0)</f>
        <v>0</v>
      </c>
      <c r="AO92" s="246">
        <f>IFERROR(VLOOKUP(M92,PROGRAMAS[],3,FALSE),0)</f>
        <v>0</v>
      </c>
      <c r="AP92" s="246">
        <f>IFERROR(VLOOKUP(N92,PROGRAMAS[],3,FALSE),0)</f>
        <v>0</v>
      </c>
      <c r="AQ92" s="246">
        <f>IFERROR(VLOOKUP(O92,PROGRAMAS[],3,FALSE),0)</f>
        <v>0</v>
      </c>
      <c r="AR92" s="246">
        <f>IFERROR(VLOOKUP(P92,PROGRAMAS[],3,FALSE),0)</f>
        <v>0</v>
      </c>
      <c r="AS92" s="246">
        <f>IFERROR(VLOOKUP(Q92,PROGRAMAS[],3,FALSE),0)</f>
        <v>0</v>
      </c>
      <c r="AT92" s="246">
        <f>IFERROR(VLOOKUP(D92,VOL_REC[],2,FALSE),0)</f>
        <v>0</v>
      </c>
      <c r="AU92" s="246">
        <f>IFERROR(VLOOKUP(E92,VOL_REC[],2,FALSE),0)</f>
        <v>0</v>
      </c>
      <c r="AV92" s="246">
        <f>IFERROR(VLOOKUP(F92,VOL_REC[],2,FALSE),0)</f>
        <v>11089674.200000001</v>
      </c>
      <c r="AW92" s="246">
        <f>IFERROR(VLOOKUP(G92,VOL_REC[],2,FALSE),0)</f>
        <v>90439.55</v>
      </c>
      <c r="AX92" s="246">
        <f>IFERROR(VLOOKUP(H92,VOL_REC[],2,FALSE),0)</f>
        <v>1812240</v>
      </c>
      <c r="AY92" s="246">
        <f>IFERROR(VLOOKUP(I92,VOL_REC[],2,FALSE),0)</f>
        <v>240696.79238099116</v>
      </c>
      <c r="AZ92" s="246">
        <f>IFERROR(VLOOKUP(J92,VOL_REC[],2,FALSE),0)</f>
        <v>0</v>
      </c>
      <c r="BA92" s="246">
        <f>IFERROR(VLOOKUP(K92,VOL_REC[],2,FALSE),0)</f>
        <v>0</v>
      </c>
      <c r="BB92" s="246">
        <f>IFERROR(VLOOKUP(L92,VOL_REC[],2,FALSE),0)</f>
        <v>0</v>
      </c>
      <c r="BC92" s="246">
        <f>IFERROR(VLOOKUP(M92,VOL_REC[],2,FALSE),0)</f>
        <v>0</v>
      </c>
      <c r="BD92" s="246">
        <f>IFERROR(VLOOKUP(N92,VOL_REC[],2,FALSE),0)</f>
        <v>0</v>
      </c>
      <c r="BE92" s="246">
        <f>IFERROR(VLOOKUP(O92,VOL_REC[],2,FALSE),0)</f>
        <v>0</v>
      </c>
      <c r="BF92" s="246">
        <f>IFERROR(VLOOKUP(P92,VOL_REC[],2,FALSE),0)</f>
        <v>0</v>
      </c>
      <c r="BG92" s="246">
        <f>IFERROR(VLOOKUP(Q92,VOL_REC[],2,FALSE),0)</f>
        <v>0</v>
      </c>
      <c r="BH92" s="1710">
        <f t="shared" si="4"/>
        <v>9267675958.22122</v>
      </c>
      <c r="BI92" s="1710">
        <f t="shared" si="5"/>
        <v>12986077705.925755</v>
      </c>
      <c r="BJ92" s="1711">
        <f t="shared" si="6"/>
        <v>13233050.542380992</v>
      </c>
      <c r="BK92" s="1711">
        <f t="shared" si="7"/>
        <v>0.71366244435702331</v>
      </c>
    </row>
    <row r="93" spans="3:67" x14ac:dyDescent="0.25">
      <c r="C93" s="246" t="s">
        <v>1443</v>
      </c>
      <c r="D93" s="246">
        <v>1</v>
      </c>
      <c r="E93" s="246">
        <v>2</v>
      </c>
      <c r="F93" s="246">
        <v>3</v>
      </c>
      <c r="G93" s="246">
        <v>4</v>
      </c>
      <c r="H93" s="246">
        <v>10</v>
      </c>
      <c r="I93" s="246">
        <v>13</v>
      </c>
      <c r="J93" s="246"/>
      <c r="K93" s="246"/>
      <c r="L93" s="246"/>
      <c r="M93" s="246"/>
      <c r="N93" s="246"/>
      <c r="O93" s="246"/>
      <c r="P93" s="246"/>
      <c r="Q93" s="246"/>
      <c r="R93" s="246">
        <f>IFERROR(VLOOKUP(D93,PROGRAMAS[],2,FALSE),0)</f>
        <v>97037803.679377079</v>
      </c>
      <c r="S93" s="246">
        <f>IFERROR(VLOOKUP(E93,PROGRAMAS[],2,FALSE),0)</f>
        <v>640501509.6821388</v>
      </c>
      <c r="T93" s="246">
        <f>IFERROR(VLOOKUP(F93,PROGRAMAS[],2,FALSE),0)</f>
        <v>3062327798.1525245</v>
      </c>
      <c r="U93" s="246">
        <f>IFERROR(VLOOKUP(G93,PROGRAMAS[],2,FALSE),0)</f>
        <v>67697118.033011258</v>
      </c>
      <c r="V93" s="246">
        <f>IFERROR(VLOOKUP(H93,PROGRAMAS[],2,FALSE),0)</f>
        <v>4635315027.8751087</v>
      </c>
      <c r="W93" s="246">
        <f>IFERROR(VLOOKUP(I93,PROGRAMAS[],2,FALSE),0)</f>
        <v>3776538594.4604583</v>
      </c>
      <c r="X93" s="246">
        <f>IFERROR(VLOOKUP(J93,PROGRAMAS[],2,FALSE),0)</f>
        <v>0</v>
      </c>
      <c r="Y93" s="246">
        <f>IFERROR(VLOOKUP(K93,PROGRAMAS[],2,FALSE),0)</f>
        <v>0</v>
      </c>
      <c r="Z93" s="246">
        <f>IFERROR(VLOOKUP(L93,PROGRAMAS[],2,FALSE),0)</f>
        <v>0</v>
      </c>
      <c r="AA93" s="246">
        <f>IFERROR(VLOOKUP(M93,PROGRAMAS[],2,FALSE),0)</f>
        <v>0</v>
      </c>
      <c r="AB93" s="246">
        <f>IFERROR(VLOOKUP(N93,PROGRAMAS[],2,FALSE),0)</f>
        <v>0</v>
      </c>
      <c r="AC93" s="246">
        <f>IFERROR(VLOOKUP(O93,PROGRAMAS[],2,FALSE),0)</f>
        <v>0</v>
      </c>
      <c r="AD93" s="246">
        <f>IFERROR(VLOOKUP(P93,PROGRAMAS[],2,FALSE),0)</f>
        <v>0</v>
      </c>
      <c r="AE93" s="246">
        <f>IFERROR(VLOOKUP(Q93,PROGRAMAS[],2,FALSE),0)</f>
        <v>0</v>
      </c>
      <c r="AF93" s="246">
        <f>IFERROR(VLOOKUP(D93,PROGRAMAS[],3,FALSE),0)</f>
        <v>841888629.31080008</v>
      </c>
      <c r="AG93" s="246">
        <f>IFERROR(VLOOKUP(E93,PROGRAMAS[],3,FALSE),0)</f>
        <v>3848980803.1642323</v>
      </c>
      <c r="AH93" s="246">
        <f>IFERROR(VLOOKUP(F93,PROGRAMAS[],3,FALSE),0)</f>
        <v>3394901471.387517</v>
      </c>
      <c r="AI93" s="246">
        <f>IFERROR(VLOOKUP(G93,PROGRAMAS[],3,FALSE),0)</f>
        <v>125317226.95549992</v>
      </c>
      <c r="AJ93" s="246">
        <f>IFERROR(VLOOKUP(H93,PROGRAMAS[],3,FALSE),0)</f>
        <v>4099471734.9978786</v>
      </c>
      <c r="AK93" s="246">
        <f>IFERROR(VLOOKUP(I93,PROGRAMAS[],3,FALSE),0)</f>
        <v>2392571243.5584412</v>
      </c>
      <c r="AL93" s="246">
        <f>IFERROR(VLOOKUP(J93,PROGRAMAS[],3,FALSE),0)</f>
        <v>0</v>
      </c>
      <c r="AM93" s="246">
        <f>IFERROR(VLOOKUP(K93,PROGRAMAS[],3,FALSE),0)</f>
        <v>0</v>
      </c>
      <c r="AN93" s="246">
        <f>IFERROR(VLOOKUP(L93,PROGRAMAS[],3,FALSE),0)</f>
        <v>0</v>
      </c>
      <c r="AO93" s="246">
        <f>IFERROR(VLOOKUP(M93,PROGRAMAS[],3,FALSE),0)</f>
        <v>0</v>
      </c>
      <c r="AP93" s="246">
        <f>IFERROR(VLOOKUP(N93,PROGRAMAS[],3,FALSE),0)</f>
        <v>0</v>
      </c>
      <c r="AQ93" s="246">
        <f>IFERROR(VLOOKUP(O93,PROGRAMAS[],3,FALSE),0)</f>
        <v>0</v>
      </c>
      <c r="AR93" s="246">
        <f>IFERROR(VLOOKUP(P93,PROGRAMAS[],3,FALSE),0)</f>
        <v>0</v>
      </c>
      <c r="AS93" s="246">
        <f>IFERROR(VLOOKUP(Q93,PROGRAMAS[],3,FALSE),0)</f>
        <v>0</v>
      </c>
      <c r="AT93" s="246">
        <f>IFERROR(VLOOKUP(D93,VOL_REC[],2,FALSE),0)</f>
        <v>0</v>
      </c>
      <c r="AU93" s="246">
        <f>IFERROR(VLOOKUP(E93,VOL_REC[],2,FALSE),0)</f>
        <v>0</v>
      </c>
      <c r="AV93" s="246">
        <f>IFERROR(VLOOKUP(F93,VOL_REC[],2,FALSE),0)</f>
        <v>11089674.200000001</v>
      </c>
      <c r="AW93" s="246">
        <f>IFERROR(VLOOKUP(G93,VOL_REC[],2,FALSE),0)</f>
        <v>90439.55</v>
      </c>
      <c r="AX93" s="246">
        <f>IFERROR(VLOOKUP(H93,VOL_REC[],2,FALSE),0)</f>
        <v>1812240</v>
      </c>
      <c r="AY93" s="246">
        <f>IFERROR(VLOOKUP(I93,VOL_REC[],2,FALSE),0)</f>
        <v>663244.80000000016</v>
      </c>
      <c r="AZ93" s="246">
        <f>IFERROR(VLOOKUP(J93,VOL_REC[],2,FALSE),0)</f>
        <v>0</v>
      </c>
      <c r="BA93" s="246">
        <f>IFERROR(VLOOKUP(K93,VOL_REC[],2,FALSE),0)</f>
        <v>0</v>
      </c>
      <c r="BB93" s="246">
        <f>IFERROR(VLOOKUP(L93,VOL_REC[],2,FALSE),0)</f>
        <v>0</v>
      </c>
      <c r="BC93" s="246">
        <f>IFERROR(VLOOKUP(M93,VOL_REC[],2,FALSE),0)</f>
        <v>0</v>
      </c>
      <c r="BD93" s="246">
        <f>IFERROR(VLOOKUP(N93,VOL_REC[],2,FALSE),0)</f>
        <v>0</v>
      </c>
      <c r="BE93" s="246">
        <f>IFERROR(VLOOKUP(O93,VOL_REC[],2,FALSE),0)</f>
        <v>0</v>
      </c>
      <c r="BF93" s="246">
        <f>IFERROR(VLOOKUP(P93,VOL_REC[],2,FALSE),0)</f>
        <v>0</v>
      </c>
      <c r="BG93" s="246">
        <f>IFERROR(VLOOKUP(Q93,VOL_REC[],2,FALSE),0)</f>
        <v>0</v>
      </c>
      <c r="BH93" s="1710">
        <f t="shared" si="4"/>
        <v>12279417851.88262</v>
      </c>
      <c r="BI93" s="1710">
        <f t="shared" si="5"/>
        <v>14703131109.374369</v>
      </c>
      <c r="BJ93" s="1711">
        <f t="shared" si="6"/>
        <v>13655598.550000003</v>
      </c>
      <c r="BK93" s="1711">
        <f t="shared" si="7"/>
        <v>0.83515665884619317</v>
      </c>
    </row>
    <row r="94" spans="3:67" x14ac:dyDescent="0.25">
      <c r="C94" s="246" t="s">
        <v>1444</v>
      </c>
      <c r="D94" s="246">
        <v>1</v>
      </c>
      <c r="E94" s="246">
        <v>2</v>
      </c>
      <c r="F94" s="246">
        <v>3</v>
      </c>
      <c r="G94" s="246">
        <v>4</v>
      </c>
      <c r="H94" s="246">
        <v>10</v>
      </c>
      <c r="I94" s="246">
        <v>14</v>
      </c>
      <c r="J94" s="246"/>
      <c r="K94" s="246"/>
      <c r="L94" s="246"/>
      <c r="M94" s="246"/>
      <c r="N94" s="246"/>
      <c r="O94" s="246"/>
      <c r="P94" s="246"/>
      <c r="Q94" s="246"/>
      <c r="R94" s="246">
        <f>IFERROR(VLOOKUP(D94,PROGRAMAS[],2,FALSE),0)</f>
        <v>97037803.679377079</v>
      </c>
      <c r="S94" s="246">
        <f>IFERROR(VLOOKUP(E94,PROGRAMAS[],2,FALSE),0)</f>
        <v>640501509.6821388</v>
      </c>
      <c r="T94" s="246">
        <f>IFERROR(VLOOKUP(F94,PROGRAMAS[],2,FALSE),0)</f>
        <v>3062327798.1525245</v>
      </c>
      <c r="U94" s="246">
        <f>IFERROR(VLOOKUP(G94,PROGRAMAS[],2,FALSE),0)</f>
        <v>67697118.033011258</v>
      </c>
      <c r="V94" s="246">
        <f>IFERROR(VLOOKUP(H94,PROGRAMAS[],2,FALSE),0)</f>
        <v>4635315027.8751087</v>
      </c>
      <c r="W94" s="246">
        <f>IFERROR(VLOOKUP(I94,PROGRAMAS[],2,FALSE),0)</f>
        <v>54223862.645839565</v>
      </c>
      <c r="X94" s="246">
        <f>IFERROR(VLOOKUP(J94,PROGRAMAS[],2,FALSE),0)</f>
        <v>0</v>
      </c>
      <c r="Y94" s="246">
        <f>IFERROR(VLOOKUP(K94,PROGRAMAS[],2,FALSE),0)</f>
        <v>0</v>
      </c>
      <c r="Z94" s="246">
        <f>IFERROR(VLOOKUP(L94,PROGRAMAS[],2,FALSE),0)</f>
        <v>0</v>
      </c>
      <c r="AA94" s="246">
        <f>IFERROR(VLOOKUP(M94,PROGRAMAS[],2,FALSE),0)</f>
        <v>0</v>
      </c>
      <c r="AB94" s="246">
        <f>IFERROR(VLOOKUP(N94,PROGRAMAS[],2,FALSE),0)</f>
        <v>0</v>
      </c>
      <c r="AC94" s="246">
        <f>IFERROR(VLOOKUP(O94,PROGRAMAS[],2,FALSE),0)</f>
        <v>0</v>
      </c>
      <c r="AD94" s="246">
        <f>IFERROR(VLOOKUP(P94,PROGRAMAS[],2,FALSE),0)</f>
        <v>0</v>
      </c>
      <c r="AE94" s="246">
        <f>IFERROR(VLOOKUP(Q94,PROGRAMAS[],2,FALSE),0)</f>
        <v>0</v>
      </c>
      <c r="AF94" s="246">
        <f>IFERROR(VLOOKUP(D94,PROGRAMAS[],3,FALSE),0)</f>
        <v>841888629.31080008</v>
      </c>
      <c r="AG94" s="246">
        <f>IFERROR(VLOOKUP(E94,PROGRAMAS[],3,FALSE),0)</f>
        <v>3848980803.1642323</v>
      </c>
      <c r="AH94" s="246">
        <f>IFERROR(VLOOKUP(F94,PROGRAMAS[],3,FALSE),0)</f>
        <v>3394901471.387517</v>
      </c>
      <c r="AI94" s="246">
        <f>IFERROR(VLOOKUP(G94,PROGRAMAS[],3,FALSE),0)</f>
        <v>125317226.95549992</v>
      </c>
      <c r="AJ94" s="246">
        <f>IFERROR(VLOOKUP(H94,PROGRAMAS[],3,FALSE),0)</f>
        <v>4099471734.9978786</v>
      </c>
      <c r="AK94" s="246">
        <f>IFERROR(VLOOKUP(I94,PROGRAMAS[],3,FALSE),0)</f>
        <v>31865326.38096505</v>
      </c>
      <c r="AL94" s="246">
        <f>IFERROR(VLOOKUP(J94,PROGRAMAS[],3,FALSE),0)</f>
        <v>0</v>
      </c>
      <c r="AM94" s="246">
        <f>IFERROR(VLOOKUP(K94,PROGRAMAS[],3,FALSE),0)</f>
        <v>0</v>
      </c>
      <c r="AN94" s="246">
        <f>IFERROR(VLOOKUP(L94,PROGRAMAS[],3,FALSE),0)</f>
        <v>0</v>
      </c>
      <c r="AO94" s="246">
        <f>IFERROR(VLOOKUP(M94,PROGRAMAS[],3,FALSE),0)</f>
        <v>0</v>
      </c>
      <c r="AP94" s="246">
        <f>IFERROR(VLOOKUP(N94,PROGRAMAS[],3,FALSE),0)</f>
        <v>0</v>
      </c>
      <c r="AQ94" s="246">
        <f>IFERROR(VLOOKUP(O94,PROGRAMAS[],3,FALSE),0)</f>
        <v>0</v>
      </c>
      <c r="AR94" s="246">
        <f>IFERROR(VLOOKUP(P94,PROGRAMAS[],3,FALSE),0)</f>
        <v>0</v>
      </c>
      <c r="AS94" s="246">
        <f>IFERROR(VLOOKUP(Q94,PROGRAMAS[],3,FALSE),0)</f>
        <v>0</v>
      </c>
      <c r="AT94" s="246">
        <f>IFERROR(VLOOKUP(D94,VOL_REC[],2,FALSE),0)</f>
        <v>0</v>
      </c>
      <c r="AU94" s="246">
        <f>IFERROR(VLOOKUP(E94,VOL_REC[],2,FALSE),0)</f>
        <v>0</v>
      </c>
      <c r="AV94" s="246">
        <f>IFERROR(VLOOKUP(F94,VOL_REC[],2,FALSE),0)</f>
        <v>11089674.200000001</v>
      </c>
      <c r="AW94" s="246">
        <f>IFERROR(VLOOKUP(G94,VOL_REC[],2,FALSE),0)</f>
        <v>90439.55</v>
      </c>
      <c r="AX94" s="246">
        <f>IFERROR(VLOOKUP(H94,VOL_REC[],2,FALSE),0)</f>
        <v>1812240</v>
      </c>
      <c r="AY94" s="246">
        <f>IFERROR(VLOOKUP(I94,VOL_REC[],2,FALSE),0)</f>
        <v>17074.045034105649</v>
      </c>
      <c r="AZ94" s="246">
        <f>IFERROR(VLOOKUP(J94,VOL_REC[],2,FALSE),0)</f>
        <v>0</v>
      </c>
      <c r="BA94" s="246">
        <f>IFERROR(VLOOKUP(K94,VOL_REC[],2,FALSE),0)</f>
        <v>0</v>
      </c>
      <c r="BB94" s="246">
        <f>IFERROR(VLOOKUP(L94,VOL_REC[],2,FALSE),0)</f>
        <v>0</v>
      </c>
      <c r="BC94" s="246">
        <f>IFERROR(VLOOKUP(M94,VOL_REC[],2,FALSE),0)</f>
        <v>0</v>
      </c>
      <c r="BD94" s="246">
        <f>IFERROR(VLOOKUP(N94,VOL_REC[],2,FALSE),0)</f>
        <v>0</v>
      </c>
      <c r="BE94" s="246">
        <f>IFERROR(VLOOKUP(O94,VOL_REC[],2,FALSE),0)</f>
        <v>0</v>
      </c>
      <c r="BF94" s="246">
        <f>IFERROR(VLOOKUP(P94,VOL_REC[],2,FALSE),0)</f>
        <v>0</v>
      </c>
      <c r="BG94" s="246">
        <f>IFERROR(VLOOKUP(Q94,VOL_REC[],2,FALSE),0)</f>
        <v>0</v>
      </c>
      <c r="BH94" s="1710">
        <f t="shared" si="4"/>
        <v>8557103120.0680008</v>
      </c>
      <c r="BI94" s="1710">
        <f t="shared" si="5"/>
        <v>12342425192.196892</v>
      </c>
      <c r="BJ94" s="1711">
        <f t="shared" si="6"/>
        <v>13009427.795034107</v>
      </c>
      <c r="BK94" s="1711">
        <f t="shared" si="7"/>
        <v>0.69330808060947036</v>
      </c>
    </row>
    <row r="95" spans="3:67" x14ac:dyDescent="0.25">
      <c r="C95" s="246" t="s">
        <v>1445</v>
      </c>
      <c r="D95" s="246">
        <v>1</v>
      </c>
      <c r="E95" s="246">
        <v>2</v>
      </c>
      <c r="F95" s="246">
        <v>3</v>
      </c>
      <c r="G95" s="246">
        <v>4</v>
      </c>
      <c r="H95" s="246">
        <v>10</v>
      </c>
      <c r="I95" s="246">
        <v>15</v>
      </c>
      <c r="J95" s="246"/>
      <c r="K95" s="246"/>
      <c r="L95" s="246"/>
      <c r="M95" s="246"/>
      <c r="N95" s="246"/>
      <c r="O95" s="246"/>
      <c r="P95" s="246"/>
      <c r="Q95" s="246"/>
      <c r="R95" s="246">
        <f>IFERROR(VLOOKUP(D95,PROGRAMAS[],2,FALSE),0)</f>
        <v>97037803.679377079</v>
      </c>
      <c r="S95" s="246">
        <f>IFERROR(VLOOKUP(E95,PROGRAMAS[],2,FALSE),0)</f>
        <v>640501509.6821388</v>
      </c>
      <c r="T95" s="246">
        <f>IFERROR(VLOOKUP(F95,PROGRAMAS[],2,FALSE),0)</f>
        <v>3062327798.1525245</v>
      </c>
      <c r="U95" s="246">
        <f>IFERROR(VLOOKUP(G95,PROGRAMAS[],2,FALSE),0)</f>
        <v>67697118.033011258</v>
      </c>
      <c r="V95" s="246">
        <f>IFERROR(VLOOKUP(H95,PROGRAMAS[],2,FALSE),0)</f>
        <v>4635315027.8751087</v>
      </c>
      <c r="W95" s="246">
        <f>IFERROR(VLOOKUP(I95,PROGRAMAS[],2,FALSE),0)</f>
        <v>122159672.96346797</v>
      </c>
      <c r="X95" s="246">
        <f>IFERROR(VLOOKUP(J95,PROGRAMAS[],2,FALSE),0)</f>
        <v>0</v>
      </c>
      <c r="Y95" s="246">
        <f>IFERROR(VLOOKUP(K95,PROGRAMAS[],2,FALSE),0)</f>
        <v>0</v>
      </c>
      <c r="Z95" s="246">
        <f>IFERROR(VLOOKUP(L95,PROGRAMAS[],2,FALSE),0)</f>
        <v>0</v>
      </c>
      <c r="AA95" s="246">
        <f>IFERROR(VLOOKUP(M95,PROGRAMAS[],2,FALSE),0)</f>
        <v>0</v>
      </c>
      <c r="AB95" s="246">
        <f>IFERROR(VLOOKUP(N95,PROGRAMAS[],2,FALSE),0)</f>
        <v>0</v>
      </c>
      <c r="AC95" s="246">
        <f>IFERROR(VLOOKUP(O95,PROGRAMAS[],2,FALSE),0)</f>
        <v>0</v>
      </c>
      <c r="AD95" s="246">
        <f>IFERROR(VLOOKUP(P95,PROGRAMAS[],2,FALSE),0)</f>
        <v>0</v>
      </c>
      <c r="AE95" s="246">
        <f>IFERROR(VLOOKUP(Q95,PROGRAMAS[],2,FALSE),0)</f>
        <v>0</v>
      </c>
      <c r="AF95" s="246">
        <f>IFERROR(VLOOKUP(D95,PROGRAMAS[],3,FALSE),0)</f>
        <v>841888629.31080008</v>
      </c>
      <c r="AG95" s="246">
        <f>IFERROR(VLOOKUP(E95,PROGRAMAS[],3,FALSE),0)</f>
        <v>3848980803.1642323</v>
      </c>
      <c r="AH95" s="246">
        <f>IFERROR(VLOOKUP(F95,PROGRAMAS[],3,FALSE),0)</f>
        <v>3394901471.387517</v>
      </c>
      <c r="AI95" s="246">
        <f>IFERROR(VLOOKUP(G95,PROGRAMAS[],3,FALSE),0)</f>
        <v>125317226.95549992</v>
      </c>
      <c r="AJ95" s="246">
        <f>IFERROR(VLOOKUP(H95,PROGRAMAS[],3,FALSE),0)</f>
        <v>4099471734.9978786</v>
      </c>
      <c r="AK95" s="246">
        <f>IFERROR(VLOOKUP(I95,PROGRAMAS[],3,FALSE),0)</f>
        <v>118617452.52510804</v>
      </c>
      <c r="AL95" s="246">
        <f>IFERROR(VLOOKUP(J95,PROGRAMAS[],3,FALSE),0)</f>
        <v>0</v>
      </c>
      <c r="AM95" s="246">
        <f>IFERROR(VLOOKUP(K95,PROGRAMAS[],3,FALSE),0)</f>
        <v>0</v>
      </c>
      <c r="AN95" s="246">
        <f>IFERROR(VLOOKUP(L95,PROGRAMAS[],3,FALSE),0)</f>
        <v>0</v>
      </c>
      <c r="AO95" s="246">
        <f>IFERROR(VLOOKUP(M95,PROGRAMAS[],3,FALSE),0)</f>
        <v>0</v>
      </c>
      <c r="AP95" s="246">
        <f>IFERROR(VLOOKUP(N95,PROGRAMAS[],3,FALSE),0)</f>
        <v>0</v>
      </c>
      <c r="AQ95" s="246">
        <f>IFERROR(VLOOKUP(O95,PROGRAMAS[],3,FALSE),0)</f>
        <v>0</v>
      </c>
      <c r="AR95" s="246">
        <f>IFERROR(VLOOKUP(P95,PROGRAMAS[],3,FALSE),0)</f>
        <v>0</v>
      </c>
      <c r="AS95" s="246">
        <f>IFERROR(VLOOKUP(Q95,PROGRAMAS[],3,FALSE),0)</f>
        <v>0</v>
      </c>
      <c r="AT95" s="246">
        <f>IFERROR(VLOOKUP(D95,VOL_REC[],2,FALSE),0)</f>
        <v>0</v>
      </c>
      <c r="AU95" s="246">
        <f>IFERROR(VLOOKUP(E95,VOL_REC[],2,FALSE),0)</f>
        <v>0</v>
      </c>
      <c r="AV95" s="246">
        <f>IFERROR(VLOOKUP(F95,VOL_REC[],2,FALSE),0)</f>
        <v>11089674.200000001</v>
      </c>
      <c r="AW95" s="246">
        <f>IFERROR(VLOOKUP(G95,VOL_REC[],2,FALSE),0)</f>
        <v>90439.55</v>
      </c>
      <c r="AX95" s="246">
        <f>IFERROR(VLOOKUP(H95,VOL_REC[],2,FALSE),0)</f>
        <v>1812240</v>
      </c>
      <c r="AY95" s="246">
        <f>IFERROR(VLOOKUP(I95,VOL_REC[],2,FALSE),0)</f>
        <v>105072</v>
      </c>
      <c r="AZ95" s="246">
        <f>IFERROR(VLOOKUP(J95,VOL_REC[],2,FALSE),0)</f>
        <v>0</v>
      </c>
      <c r="BA95" s="246">
        <f>IFERROR(VLOOKUP(K95,VOL_REC[],2,FALSE),0)</f>
        <v>0</v>
      </c>
      <c r="BB95" s="246">
        <f>IFERROR(VLOOKUP(L95,VOL_REC[],2,FALSE),0)</f>
        <v>0</v>
      </c>
      <c r="BC95" s="246">
        <f>IFERROR(VLOOKUP(M95,VOL_REC[],2,FALSE),0)</f>
        <v>0</v>
      </c>
      <c r="BD95" s="246">
        <f>IFERROR(VLOOKUP(N95,VOL_REC[],2,FALSE),0)</f>
        <v>0</v>
      </c>
      <c r="BE95" s="246">
        <f>IFERROR(VLOOKUP(O95,VOL_REC[],2,FALSE),0)</f>
        <v>0</v>
      </c>
      <c r="BF95" s="246">
        <f>IFERROR(VLOOKUP(P95,VOL_REC[],2,FALSE),0)</f>
        <v>0</v>
      </c>
      <c r="BG95" s="246">
        <f>IFERROR(VLOOKUP(Q95,VOL_REC[],2,FALSE),0)</f>
        <v>0</v>
      </c>
      <c r="BH95" s="1710">
        <f t="shared" si="4"/>
        <v>8625038930.3856297</v>
      </c>
      <c r="BI95" s="1710">
        <f t="shared" si="5"/>
        <v>12429177318.341036</v>
      </c>
      <c r="BJ95" s="1711">
        <f t="shared" si="6"/>
        <v>13097425.750000002</v>
      </c>
      <c r="BK95" s="1711">
        <f t="shared" si="7"/>
        <v>0.69393482042115096</v>
      </c>
    </row>
    <row r="96" spans="3:67" x14ac:dyDescent="0.25">
      <c r="C96" s="246" t="s">
        <v>1446</v>
      </c>
      <c r="D96" s="246">
        <v>1</v>
      </c>
      <c r="E96" s="246">
        <v>2</v>
      </c>
      <c r="F96" s="246">
        <v>3</v>
      </c>
      <c r="G96" s="246">
        <v>4</v>
      </c>
      <c r="H96" s="246">
        <v>10</v>
      </c>
      <c r="I96" s="246">
        <v>16</v>
      </c>
      <c r="J96" s="246"/>
      <c r="K96" s="246"/>
      <c r="L96" s="246"/>
      <c r="M96" s="246"/>
      <c r="N96" s="246"/>
      <c r="O96" s="246"/>
      <c r="P96" s="246"/>
      <c r="Q96" s="246"/>
      <c r="R96" s="246">
        <f>IFERROR(VLOOKUP(D96,PROGRAMAS[],2,FALSE),0)</f>
        <v>97037803.679377079</v>
      </c>
      <c r="S96" s="246">
        <f>IFERROR(VLOOKUP(E96,PROGRAMAS[],2,FALSE),0)</f>
        <v>640501509.6821388</v>
      </c>
      <c r="T96" s="246">
        <f>IFERROR(VLOOKUP(F96,PROGRAMAS[],2,FALSE),0)</f>
        <v>3062327798.1525245</v>
      </c>
      <c r="U96" s="246">
        <f>IFERROR(VLOOKUP(G96,PROGRAMAS[],2,FALSE),0)</f>
        <v>67697118.033011258</v>
      </c>
      <c r="V96" s="246">
        <f>IFERROR(VLOOKUP(H96,PROGRAMAS[],2,FALSE),0)</f>
        <v>4635315027.8751087</v>
      </c>
      <c r="W96" s="246">
        <f>IFERROR(VLOOKUP(I96,PROGRAMAS[],2,FALSE),0)</f>
        <v>7068496961.0436354</v>
      </c>
      <c r="X96" s="246">
        <f>IFERROR(VLOOKUP(J96,PROGRAMAS[],2,FALSE),0)</f>
        <v>0</v>
      </c>
      <c r="Y96" s="246">
        <f>IFERROR(VLOOKUP(K96,PROGRAMAS[],2,FALSE),0)</f>
        <v>0</v>
      </c>
      <c r="Z96" s="246">
        <f>IFERROR(VLOOKUP(L96,PROGRAMAS[],2,FALSE),0)</f>
        <v>0</v>
      </c>
      <c r="AA96" s="246">
        <f>IFERROR(VLOOKUP(M96,PROGRAMAS[],2,FALSE),0)</f>
        <v>0</v>
      </c>
      <c r="AB96" s="246">
        <f>IFERROR(VLOOKUP(N96,PROGRAMAS[],2,FALSE),0)</f>
        <v>0</v>
      </c>
      <c r="AC96" s="246">
        <f>IFERROR(VLOOKUP(O96,PROGRAMAS[],2,FALSE),0)</f>
        <v>0</v>
      </c>
      <c r="AD96" s="246">
        <f>IFERROR(VLOOKUP(P96,PROGRAMAS[],2,FALSE),0)</f>
        <v>0</v>
      </c>
      <c r="AE96" s="246">
        <f>IFERROR(VLOOKUP(Q96,PROGRAMAS[],2,FALSE),0)</f>
        <v>0</v>
      </c>
      <c r="AF96" s="246">
        <f>IFERROR(VLOOKUP(D96,PROGRAMAS[],3,FALSE),0)</f>
        <v>841888629.31080008</v>
      </c>
      <c r="AG96" s="246">
        <f>IFERROR(VLOOKUP(E96,PROGRAMAS[],3,FALSE),0)</f>
        <v>3848980803.1642323</v>
      </c>
      <c r="AH96" s="246">
        <f>IFERROR(VLOOKUP(F96,PROGRAMAS[],3,FALSE),0)</f>
        <v>3394901471.387517</v>
      </c>
      <c r="AI96" s="246">
        <f>IFERROR(VLOOKUP(G96,PROGRAMAS[],3,FALSE),0)</f>
        <v>125317226.95549992</v>
      </c>
      <c r="AJ96" s="246">
        <f>IFERROR(VLOOKUP(H96,PROGRAMAS[],3,FALSE),0)</f>
        <v>4099471734.9978786</v>
      </c>
      <c r="AK96" s="246">
        <f>IFERROR(VLOOKUP(I96,PROGRAMAS[],3,FALSE),0)</f>
        <v>2406564599.0319901</v>
      </c>
      <c r="AL96" s="246">
        <f>IFERROR(VLOOKUP(J96,PROGRAMAS[],3,FALSE),0)</f>
        <v>0</v>
      </c>
      <c r="AM96" s="246">
        <f>IFERROR(VLOOKUP(K96,PROGRAMAS[],3,FALSE),0)</f>
        <v>0</v>
      </c>
      <c r="AN96" s="246">
        <f>IFERROR(VLOOKUP(L96,PROGRAMAS[],3,FALSE),0)</f>
        <v>0</v>
      </c>
      <c r="AO96" s="246">
        <f>IFERROR(VLOOKUP(M96,PROGRAMAS[],3,FALSE),0)</f>
        <v>0</v>
      </c>
      <c r="AP96" s="246">
        <f>IFERROR(VLOOKUP(N96,PROGRAMAS[],3,FALSE),0)</f>
        <v>0</v>
      </c>
      <c r="AQ96" s="246">
        <f>IFERROR(VLOOKUP(O96,PROGRAMAS[],3,FALSE),0)</f>
        <v>0</v>
      </c>
      <c r="AR96" s="246">
        <f>IFERROR(VLOOKUP(P96,PROGRAMAS[],3,FALSE),0)</f>
        <v>0</v>
      </c>
      <c r="AS96" s="246">
        <f>IFERROR(VLOOKUP(Q96,PROGRAMAS[],3,FALSE),0)</f>
        <v>0</v>
      </c>
      <c r="AT96" s="246">
        <f>IFERROR(VLOOKUP(D96,VOL_REC[],2,FALSE),0)</f>
        <v>0</v>
      </c>
      <c r="AU96" s="246">
        <f>IFERROR(VLOOKUP(E96,VOL_REC[],2,FALSE),0)</f>
        <v>0</v>
      </c>
      <c r="AV96" s="246">
        <f>IFERROR(VLOOKUP(F96,VOL_REC[],2,FALSE),0)</f>
        <v>11089674.200000001</v>
      </c>
      <c r="AW96" s="246">
        <f>IFERROR(VLOOKUP(G96,VOL_REC[],2,FALSE),0)</f>
        <v>90439.55</v>
      </c>
      <c r="AX96" s="246">
        <f>IFERROR(VLOOKUP(H96,VOL_REC[],2,FALSE),0)</f>
        <v>1812240</v>
      </c>
      <c r="AY96" s="246">
        <f>IFERROR(VLOOKUP(I96,VOL_REC[],2,FALSE),0)</f>
        <v>1072354.9981737854</v>
      </c>
      <c r="AZ96" s="246">
        <f>IFERROR(VLOOKUP(J96,VOL_REC[],2,FALSE),0)</f>
        <v>0</v>
      </c>
      <c r="BA96" s="246">
        <f>IFERROR(VLOOKUP(K96,VOL_REC[],2,FALSE),0)</f>
        <v>0</v>
      </c>
      <c r="BB96" s="246">
        <f>IFERROR(VLOOKUP(L96,VOL_REC[],2,FALSE),0)</f>
        <v>0</v>
      </c>
      <c r="BC96" s="246">
        <f>IFERROR(VLOOKUP(M96,VOL_REC[],2,FALSE),0)</f>
        <v>0</v>
      </c>
      <c r="BD96" s="246">
        <f>IFERROR(VLOOKUP(N96,VOL_REC[],2,FALSE),0)</f>
        <v>0</v>
      </c>
      <c r="BE96" s="246">
        <f>IFERROR(VLOOKUP(O96,VOL_REC[],2,FALSE),0)</f>
        <v>0</v>
      </c>
      <c r="BF96" s="246">
        <f>IFERROR(VLOOKUP(P96,VOL_REC[],2,FALSE),0)</f>
        <v>0</v>
      </c>
      <c r="BG96" s="246">
        <f>IFERROR(VLOOKUP(Q96,VOL_REC[],2,FALSE),0)</f>
        <v>0</v>
      </c>
      <c r="BH96" s="1710">
        <f t="shared" si="4"/>
        <v>15571376218.465797</v>
      </c>
      <c r="BI96" s="1710">
        <f t="shared" si="5"/>
        <v>14717124464.847918</v>
      </c>
      <c r="BJ96" s="1711">
        <f t="shared" si="6"/>
        <v>14064708.748173788</v>
      </c>
      <c r="BK96" s="1711">
        <f t="shared" si="7"/>
        <v>1.0580447461498523</v>
      </c>
      <c r="BL96">
        <f>BJ96</f>
        <v>14064708.748173788</v>
      </c>
      <c r="BO96">
        <f>BL96</f>
        <v>14064708.748173788</v>
      </c>
    </row>
    <row r="97" spans="3:67" x14ac:dyDescent="0.25">
      <c r="C97" s="246" t="s">
        <v>1447</v>
      </c>
      <c r="D97" s="246">
        <v>1</v>
      </c>
      <c r="E97" s="246">
        <v>2</v>
      </c>
      <c r="F97" s="246">
        <v>3</v>
      </c>
      <c r="G97" s="246">
        <v>4</v>
      </c>
      <c r="H97" s="246">
        <v>10</v>
      </c>
      <c r="I97" s="246">
        <v>17</v>
      </c>
      <c r="J97" s="246"/>
      <c r="K97" s="246"/>
      <c r="L97" s="246"/>
      <c r="M97" s="246"/>
      <c r="N97" s="246"/>
      <c r="O97" s="246"/>
      <c r="P97" s="246"/>
      <c r="Q97" s="246"/>
      <c r="R97" s="246">
        <f>IFERROR(VLOOKUP(D97,PROGRAMAS[],2,FALSE),0)</f>
        <v>97037803.679377079</v>
      </c>
      <c r="S97" s="246">
        <f>IFERROR(VLOOKUP(E97,PROGRAMAS[],2,FALSE),0)</f>
        <v>640501509.6821388</v>
      </c>
      <c r="T97" s="246">
        <f>IFERROR(VLOOKUP(F97,PROGRAMAS[],2,FALSE),0)</f>
        <v>3062327798.1525245</v>
      </c>
      <c r="U97" s="246">
        <f>IFERROR(VLOOKUP(G97,PROGRAMAS[],2,FALSE),0)</f>
        <v>67697118.033011258</v>
      </c>
      <c r="V97" s="246">
        <f>IFERROR(VLOOKUP(H97,PROGRAMAS[],2,FALSE),0)</f>
        <v>4635315027.8751087</v>
      </c>
      <c r="W97" s="246">
        <f>IFERROR(VLOOKUP(I97,PROGRAMAS[],2,FALSE),0)</f>
        <v>1892779498.5211046</v>
      </c>
      <c r="X97" s="246">
        <f>IFERROR(VLOOKUP(J97,PROGRAMAS[],2,FALSE),0)</f>
        <v>0</v>
      </c>
      <c r="Y97" s="246">
        <f>IFERROR(VLOOKUP(K97,PROGRAMAS[],2,FALSE),0)</f>
        <v>0</v>
      </c>
      <c r="Z97" s="246">
        <f>IFERROR(VLOOKUP(L97,PROGRAMAS[],2,FALSE),0)</f>
        <v>0</v>
      </c>
      <c r="AA97" s="246">
        <f>IFERROR(VLOOKUP(M97,PROGRAMAS[],2,FALSE),0)</f>
        <v>0</v>
      </c>
      <c r="AB97" s="246">
        <f>IFERROR(VLOOKUP(N97,PROGRAMAS[],2,FALSE),0)</f>
        <v>0</v>
      </c>
      <c r="AC97" s="246">
        <f>IFERROR(VLOOKUP(O97,PROGRAMAS[],2,FALSE),0)</f>
        <v>0</v>
      </c>
      <c r="AD97" s="246">
        <f>IFERROR(VLOOKUP(P97,PROGRAMAS[],2,FALSE),0)</f>
        <v>0</v>
      </c>
      <c r="AE97" s="246">
        <f>IFERROR(VLOOKUP(Q97,PROGRAMAS[],2,FALSE),0)</f>
        <v>0</v>
      </c>
      <c r="AF97" s="246">
        <f>IFERROR(VLOOKUP(D97,PROGRAMAS[],3,FALSE),0)</f>
        <v>841888629.31080008</v>
      </c>
      <c r="AG97" s="246">
        <f>IFERROR(VLOOKUP(E97,PROGRAMAS[],3,FALSE),0)</f>
        <v>3848980803.1642323</v>
      </c>
      <c r="AH97" s="246">
        <f>IFERROR(VLOOKUP(F97,PROGRAMAS[],3,FALSE),0)</f>
        <v>3394901471.387517</v>
      </c>
      <c r="AI97" s="246">
        <f>IFERROR(VLOOKUP(G97,PROGRAMAS[],3,FALSE),0)</f>
        <v>125317226.95549992</v>
      </c>
      <c r="AJ97" s="246">
        <f>IFERROR(VLOOKUP(H97,PROGRAMAS[],3,FALSE),0)</f>
        <v>4099471734.9978786</v>
      </c>
      <c r="AK97" s="246">
        <f>IFERROR(VLOOKUP(I97,PROGRAMAS[],3,FALSE),0)</f>
        <v>948595847.09039903</v>
      </c>
      <c r="AL97" s="246">
        <f>IFERROR(VLOOKUP(J97,PROGRAMAS[],3,FALSE),0)</f>
        <v>0</v>
      </c>
      <c r="AM97" s="246">
        <f>IFERROR(VLOOKUP(K97,PROGRAMAS[],3,FALSE),0)</f>
        <v>0</v>
      </c>
      <c r="AN97" s="246">
        <f>IFERROR(VLOOKUP(L97,PROGRAMAS[],3,FALSE),0)</f>
        <v>0</v>
      </c>
      <c r="AO97" s="246">
        <f>IFERROR(VLOOKUP(M97,PROGRAMAS[],3,FALSE),0)</f>
        <v>0</v>
      </c>
      <c r="AP97" s="246">
        <f>IFERROR(VLOOKUP(N97,PROGRAMAS[],3,FALSE),0)</f>
        <v>0</v>
      </c>
      <c r="AQ97" s="246">
        <f>IFERROR(VLOOKUP(O97,PROGRAMAS[],3,FALSE),0)</f>
        <v>0</v>
      </c>
      <c r="AR97" s="246">
        <f>IFERROR(VLOOKUP(P97,PROGRAMAS[],3,FALSE),0)</f>
        <v>0</v>
      </c>
      <c r="AS97" s="246">
        <f>IFERROR(VLOOKUP(Q97,PROGRAMAS[],3,FALSE),0)</f>
        <v>0</v>
      </c>
      <c r="AT97" s="246">
        <f>IFERROR(VLOOKUP(D97,VOL_REC[],2,FALSE),0)</f>
        <v>0</v>
      </c>
      <c r="AU97" s="246">
        <f>IFERROR(VLOOKUP(E97,VOL_REC[],2,FALSE),0)</f>
        <v>0</v>
      </c>
      <c r="AV97" s="246">
        <f>IFERROR(VLOOKUP(F97,VOL_REC[],2,FALSE),0)</f>
        <v>11089674.200000001</v>
      </c>
      <c r="AW97" s="246">
        <f>IFERROR(VLOOKUP(G97,VOL_REC[],2,FALSE),0)</f>
        <v>90439.55</v>
      </c>
      <c r="AX97" s="246">
        <f>IFERROR(VLOOKUP(H97,VOL_REC[],2,FALSE),0)</f>
        <v>1812240</v>
      </c>
      <c r="AY97" s="246">
        <f>IFERROR(VLOOKUP(I97,VOL_REC[],2,FALSE),0)</f>
        <v>740113.98115702497</v>
      </c>
      <c r="AZ97" s="246">
        <f>IFERROR(VLOOKUP(J97,VOL_REC[],2,FALSE),0)</f>
        <v>0</v>
      </c>
      <c r="BA97" s="246">
        <f>IFERROR(VLOOKUP(K97,VOL_REC[],2,FALSE),0)</f>
        <v>0</v>
      </c>
      <c r="BB97" s="246">
        <f>IFERROR(VLOOKUP(L97,VOL_REC[],2,FALSE),0)</f>
        <v>0</v>
      </c>
      <c r="BC97" s="246">
        <f>IFERROR(VLOOKUP(M97,VOL_REC[],2,FALSE),0)</f>
        <v>0</v>
      </c>
      <c r="BD97" s="246">
        <f>IFERROR(VLOOKUP(N97,VOL_REC[],2,FALSE),0)</f>
        <v>0</v>
      </c>
      <c r="BE97" s="246">
        <f>IFERROR(VLOOKUP(O97,VOL_REC[],2,FALSE),0)</f>
        <v>0</v>
      </c>
      <c r="BF97" s="246">
        <f>IFERROR(VLOOKUP(P97,VOL_REC[],2,FALSE),0)</f>
        <v>0</v>
      </c>
      <c r="BG97" s="246">
        <f>IFERROR(VLOOKUP(Q97,VOL_REC[],2,FALSE),0)</f>
        <v>0</v>
      </c>
      <c r="BH97" s="1710">
        <f t="shared" si="4"/>
        <v>10395658755.943266</v>
      </c>
      <c r="BI97" s="1710">
        <f t="shared" si="5"/>
        <v>13259155712.906326</v>
      </c>
      <c r="BJ97" s="1711">
        <f t="shared" si="6"/>
        <v>13732467.731157027</v>
      </c>
      <c r="BK97" s="1711">
        <f t="shared" si="7"/>
        <v>0.78403625246094955</v>
      </c>
    </row>
    <row r="98" spans="3:67" x14ac:dyDescent="0.25">
      <c r="C98" s="246" t="s">
        <v>1448</v>
      </c>
      <c r="D98" s="246">
        <v>1</v>
      </c>
      <c r="E98" s="246">
        <v>2</v>
      </c>
      <c r="F98" s="246">
        <v>3</v>
      </c>
      <c r="G98" s="246">
        <v>4</v>
      </c>
      <c r="H98" s="246">
        <v>12</v>
      </c>
      <c r="I98" s="246">
        <v>13</v>
      </c>
      <c r="J98" s="246"/>
      <c r="K98" s="246"/>
      <c r="L98" s="246"/>
      <c r="M98" s="246"/>
      <c r="N98" s="246"/>
      <c r="O98" s="246"/>
      <c r="P98" s="246"/>
      <c r="Q98" s="246"/>
      <c r="R98" s="246">
        <f>IFERROR(VLOOKUP(D98,PROGRAMAS[],2,FALSE),0)</f>
        <v>97037803.679377079</v>
      </c>
      <c r="S98" s="246">
        <f>IFERROR(VLOOKUP(E98,PROGRAMAS[],2,FALSE),0)</f>
        <v>640501509.6821388</v>
      </c>
      <c r="T98" s="246">
        <f>IFERROR(VLOOKUP(F98,PROGRAMAS[],2,FALSE),0)</f>
        <v>3062327798.1525245</v>
      </c>
      <c r="U98" s="246">
        <f>IFERROR(VLOOKUP(G98,PROGRAMAS[],2,FALSE),0)</f>
        <v>67697118.033011258</v>
      </c>
      <c r="V98" s="246">
        <f>IFERROR(VLOOKUP(H98,PROGRAMAS[],2,FALSE),0)</f>
        <v>764796700.79905891</v>
      </c>
      <c r="W98" s="246">
        <f>IFERROR(VLOOKUP(I98,PROGRAMAS[],2,FALSE),0)</f>
        <v>3776538594.4604583</v>
      </c>
      <c r="X98" s="246">
        <f>IFERROR(VLOOKUP(J98,PROGRAMAS[],2,FALSE),0)</f>
        <v>0</v>
      </c>
      <c r="Y98" s="246">
        <f>IFERROR(VLOOKUP(K98,PROGRAMAS[],2,FALSE),0)</f>
        <v>0</v>
      </c>
      <c r="Z98" s="246">
        <f>IFERROR(VLOOKUP(L98,PROGRAMAS[],2,FALSE),0)</f>
        <v>0</v>
      </c>
      <c r="AA98" s="246">
        <f>IFERROR(VLOOKUP(M98,PROGRAMAS[],2,FALSE),0)</f>
        <v>0</v>
      </c>
      <c r="AB98" s="246">
        <f>IFERROR(VLOOKUP(N98,PROGRAMAS[],2,FALSE),0)</f>
        <v>0</v>
      </c>
      <c r="AC98" s="246">
        <f>IFERROR(VLOOKUP(O98,PROGRAMAS[],2,FALSE),0)</f>
        <v>0</v>
      </c>
      <c r="AD98" s="246">
        <f>IFERROR(VLOOKUP(P98,PROGRAMAS[],2,FALSE),0)</f>
        <v>0</v>
      </c>
      <c r="AE98" s="246">
        <f>IFERROR(VLOOKUP(Q98,PROGRAMAS[],2,FALSE),0)</f>
        <v>0</v>
      </c>
      <c r="AF98" s="246">
        <f>IFERROR(VLOOKUP(D98,PROGRAMAS[],3,FALSE),0)</f>
        <v>841888629.31080008</v>
      </c>
      <c r="AG98" s="246">
        <f>IFERROR(VLOOKUP(E98,PROGRAMAS[],3,FALSE),0)</f>
        <v>3848980803.1642323</v>
      </c>
      <c r="AH98" s="246">
        <f>IFERROR(VLOOKUP(F98,PROGRAMAS[],3,FALSE),0)</f>
        <v>3394901471.387517</v>
      </c>
      <c r="AI98" s="246">
        <f>IFERROR(VLOOKUP(G98,PROGRAMAS[],3,FALSE),0)</f>
        <v>125317226.95549992</v>
      </c>
      <c r="AJ98" s="246">
        <f>IFERROR(VLOOKUP(H98,PROGRAMAS[],3,FALSE),0)</f>
        <v>675517840.109828</v>
      </c>
      <c r="AK98" s="246">
        <f>IFERROR(VLOOKUP(I98,PROGRAMAS[],3,FALSE),0)</f>
        <v>2392571243.5584412</v>
      </c>
      <c r="AL98" s="246">
        <f>IFERROR(VLOOKUP(J98,PROGRAMAS[],3,FALSE),0)</f>
        <v>0</v>
      </c>
      <c r="AM98" s="246">
        <f>IFERROR(VLOOKUP(K98,PROGRAMAS[],3,FALSE),0)</f>
        <v>0</v>
      </c>
      <c r="AN98" s="246">
        <f>IFERROR(VLOOKUP(L98,PROGRAMAS[],3,FALSE),0)</f>
        <v>0</v>
      </c>
      <c r="AO98" s="246">
        <f>IFERROR(VLOOKUP(M98,PROGRAMAS[],3,FALSE),0)</f>
        <v>0</v>
      </c>
      <c r="AP98" s="246">
        <f>IFERROR(VLOOKUP(N98,PROGRAMAS[],3,FALSE),0)</f>
        <v>0</v>
      </c>
      <c r="AQ98" s="246">
        <f>IFERROR(VLOOKUP(O98,PROGRAMAS[],3,FALSE),0)</f>
        <v>0</v>
      </c>
      <c r="AR98" s="246">
        <f>IFERROR(VLOOKUP(P98,PROGRAMAS[],3,FALSE),0)</f>
        <v>0</v>
      </c>
      <c r="AS98" s="246">
        <f>IFERROR(VLOOKUP(Q98,PROGRAMAS[],3,FALSE),0)</f>
        <v>0</v>
      </c>
      <c r="AT98" s="246">
        <f>IFERROR(VLOOKUP(D98,VOL_REC[],2,FALSE),0)</f>
        <v>0</v>
      </c>
      <c r="AU98" s="246">
        <f>IFERROR(VLOOKUP(E98,VOL_REC[],2,FALSE),0)</f>
        <v>0</v>
      </c>
      <c r="AV98" s="246">
        <f>IFERROR(VLOOKUP(F98,VOL_REC[],2,FALSE),0)</f>
        <v>11089674.200000001</v>
      </c>
      <c r="AW98" s="246">
        <f>IFERROR(VLOOKUP(G98,VOL_REC[],2,FALSE),0)</f>
        <v>90439.55</v>
      </c>
      <c r="AX98" s="246">
        <f>IFERROR(VLOOKUP(H98,VOL_REC[],2,FALSE),0)</f>
        <v>240696.79238099116</v>
      </c>
      <c r="AY98" s="246">
        <f>IFERROR(VLOOKUP(I98,VOL_REC[],2,FALSE),0)</f>
        <v>663244.80000000016</v>
      </c>
      <c r="AZ98" s="246">
        <f>IFERROR(VLOOKUP(J98,VOL_REC[],2,FALSE),0)</f>
        <v>0</v>
      </c>
      <c r="BA98" s="246">
        <f>IFERROR(VLOOKUP(K98,VOL_REC[],2,FALSE),0)</f>
        <v>0</v>
      </c>
      <c r="BB98" s="246">
        <f>IFERROR(VLOOKUP(L98,VOL_REC[],2,FALSE),0)</f>
        <v>0</v>
      </c>
      <c r="BC98" s="246">
        <f>IFERROR(VLOOKUP(M98,VOL_REC[],2,FALSE),0)</f>
        <v>0</v>
      </c>
      <c r="BD98" s="246">
        <f>IFERROR(VLOOKUP(N98,VOL_REC[],2,FALSE),0)</f>
        <v>0</v>
      </c>
      <c r="BE98" s="246">
        <f>IFERROR(VLOOKUP(O98,VOL_REC[],2,FALSE),0)</f>
        <v>0</v>
      </c>
      <c r="BF98" s="246">
        <f>IFERROR(VLOOKUP(P98,VOL_REC[],2,FALSE),0)</f>
        <v>0</v>
      </c>
      <c r="BG98" s="246">
        <f>IFERROR(VLOOKUP(Q98,VOL_REC[],2,FALSE),0)</f>
        <v>0</v>
      </c>
      <c r="BH98" s="1710">
        <f t="shared" si="4"/>
        <v>8408899524.8065701</v>
      </c>
      <c r="BI98" s="1710">
        <f t="shared" si="5"/>
        <v>11279177214.486319</v>
      </c>
      <c r="BJ98" s="1711">
        <f t="shared" si="6"/>
        <v>12084055.342380993</v>
      </c>
      <c r="BK98" s="1711">
        <f t="shared" si="7"/>
        <v>0.74552419603857889</v>
      </c>
    </row>
    <row r="99" spans="3:67" x14ac:dyDescent="0.25">
      <c r="C99" s="246" t="s">
        <v>1449</v>
      </c>
      <c r="D99" s="246">
        <v>1</v>
      </c>
      <c r="E99" s="246">
        <v>2</v>
      </c>
      <c r="F99" s="246">
        <v>3</v>
      </c>
      <c r="G99" s="246">
        <v>4</v>
      </c>
      <c r="H99" s="246">
        <v>12</v>
      </c>
      <c r="I99" s="246">
        <v>14</v>
      </c>
      <c r="J99" s="246"/>
      <c r="K99" s="246"/>
      <c r="L99" s="246"/>
      <c r="M99" s="246"/>
      <c r="N99" s="246"/>
      <c r="O99" s="246"/>
      <c r="P99" s="246"/>
      <c r="Q99" s="246"/>
      <c r="R99" s="246">
        <f>IFERROR(VLOOKUP(D99,PROGRAMAS[],2,FALSE),0)</f>
        <v>97037803.679377079</v>
      </c>
      <c r="S99" s="246">
        <f>IFERROR(VLOOKUP(E99,PROGRAMAS[],2,FALSE),0)</f>
        <v>640501509.6821388</v>
      </c>
      <c r="T99" s="246">
        <f>IFERROR(VLOOKUP(F99,PROGRAMAS[],2,FALSE),0)</f>
        <v>3062327798.1525245</v>
      </c>
      <c r="U99" s="246">
        <f>IFERROR(VLOOKUP(G99,PROGRAMAS[],2,FALSE),0)</f>
        <v>67697118.033011258</v>
      </c>
      <c r="V99" s="246">
        <f>IFERROR(VLOOKUP(H99,PROGRAMAS[],2,FALSE),0)</f>
        <v>764796700.79905891</v>
      </c>
      <c r="W99" s="246">
        <f>IFERROR(VLOOKUP(I99,PROGRAMAS[],2,FALSE),0)</f>
        <v>54223862.645839565</v>
      </c>
      <c r="X99" s="246">
        <f>IFERROR(VLOOKUP(J99,PROGRAMAS[],2,FALSE),0)</f>
        <v>0</v>
      </c>
      <c r="Y99" s="246">
        <f>IFERROR(VLOOKUP(K99,PROGRAMAS[],2,FALSE),0)</f>
        <v>0</v>
      </c>
      <c r="Z99" s="246">
        <f>IFERROR(VLOOKUP(L99,PROGRAMAS[],2,FALSE),0)</f>
        <v>0</v>
      </c>
      <c r="AA99" s="246">
        <f>IFERROR(VLOOKUP(M99,PROGRAMAS[],2,FALSE),0)</f>
        <v>0</v>
      </c>
      <c r="AB99" s="246">
        <f>IFERROR(VLOOKUP(N99,PROGRAMAS[],2,FALSE),0)</f>
        <v>0</v>
      </c>
      <c r="AC99" s="246">
        <f>IFERROR(VLOOKUP(O99,PROGRAMAS[],2,FALSE),0)</f>
        <v>0</v>
      </c>
      <c r="AD99" s="246">
        <f>IFERROR(VLOOKUP(P99,PROGRAMAS[],2,FALSE),0)</f>
        <v>0</v>
      </c>
      <c r="AE99" s="246">
        <f>IFERROR(VLOOKUP(Q99,PROGRAMAS[],2,FALSE),0)</f>
        <v>0</v>
      </c>
      <c r="AF99" s="246">
        <f>IFERROR(VLOOKUP(D99,PROGRAMAS[],3,FALSE),0)</f>
        <v>841888629.31080008</v>
      </c>
      <c r="AG99" s="246">
        <f>IFERROR(VLOOKUP(E99,PROGRAMAS[],3,FALSE),0)</f>
        <v>3848980803.1642323</v>
      </c>
      <c r="AH99" s="246">
        <f>IFERROR(VLOOKUP(F99,PROGRAMAS[],3,FALSE),0)</f>
        <v>3394901471.387517</v>
      </c>
      <c r="AI99" s="246">
        <f>IFERROR(VLOOKUP(G99,PROGRAMAS[],3,FALSE),0)</f>
        <v>125317226.95549992</v>
      </c>
      <c r="AJ99" s="246">
        <f>IFERROR(VLOOKUP(H99,PROGRAMAS[],3,FALSE),0)</f>
        <v>675517840.109828</v>
      </c>
      <c r="AK99" s="246">
        <f>IFERROR(VLOOKUP(I99,PROGRAMAS[],3,FALSE),0)</f>
        <v>31865326.38096505</v>
      </c>
      <c r="AL99" s="246">
        <f>IFERROR(VLOOKUP(J99,PROGRAMAS[],3,FALSE),0)</f>
        <v>0</v>
      </c>
      <c r="AM99" s="246">
        <f>IFERROR(VLOOKUP(K99,PROGRAMAS[],3,FALSE),0)</f>
        <v>0</v>
      </c>
      <c r="AN99" s="246">
        <f>IFERROR(VLOOKUP(L99,PROGRAMAS[],3,FALSE),0)</f>
        <v>0</v>
      </c>
      <c r="AO99" s="246">
        <f>IFERROR(VLOOKUP(M99,PROGRAMAS[],3,FALSE),0)</f>
        <v>0</v>
      </c>
      <c r="AP99" s="246">
        <f>IFERROR(VLOOKUP(N99,PROGRAMAS[],3,FALSE),0)</f>
        <v>0</v>
      </c>
      <c r="AQ99" s="246">
        <f>IFERROR(VLOOKUP(O99,PROGRAMAS[],3,FALSE),0)</f>
        <v>0</v>
      </c>
      <c r="AR99" s="246">
        <f>IFERROR(VLOOKUP(P99,PROGRAMAS[],3,FALSE),0)</f>
        <v>0</v>
      </c>
      <c r="AS99" s="246">
        <f>IFERROR(VLOOKUP(Q99,PROGRAMAS[],3,FALSE),0)</f>
        <v>0</v>
      </c>
      <c r="AT99" s="246">
        <f>IFERROR(VLOOKUP(D99,VOL_REC[],2,FALSE),0)</f>
        <v>0</v>
      </c>
      <c r="AU99" s="246">
        <f>IFERROR(VLOOKUP(E99,VOL_REC[],2,FALSE),0)</f>
        <v>0</v>
      </c>
      <c r="AV99" s="246">
        <f>IFERROR(VLOOKUP(F99,VOL_REC[],2,FALSE),0)</f>
        <v>11089674.200000001</v>
      </c>
      <c r="AW99" s="246">
        <f>IFERROR(VLOOKUP(G99,VOL_REC[],2,FALSE),0)</f>
        <v>90439.55</v>
      </c>
      <c r="AX99" s="246">
        <f>IFERROR(VLOOKUP(H99,VOL_REC[],2,FALSE),0)</f>
        <v>240696.79238099116</v>
      </c>
      <c r="AY99" s="246">
        <f>IFERROR(VLOOKUP(I99,VOL_REC[],2,FALSE),0)</f>
        <v>17074.045034105649</v>
      </c>
      <c r="AZ99" s="246">
        <f>IFERROR(VLOOKUP(J99,VOL_REC[],2,FALSE),0)</f>
        <v>0</v>
      </c>
      <c r="BA99" s="246">
        <f>IFERROR(VLOOKUP(K99,VOL_REC[],2,FALSE),0)</f>
        <v>0</v>
      </c>
      <c r="BB99" s="246">
        <f>IFERROR(VLOOKUP(L99,VOL_REC[],2,FALSE),0)</f>
        <v>0</v>
      </c>
      <c r="BC99" s="246">
        <f>IFERROR(VLOOKUP(M99,VOL_REC[],2,FALSE),0)</f>
        <v>0</v>
      </c>
      <c r="BD99" s="246">
        <f>IFERROR(VLOOKUP(N99,VOL_REC[],2,FALSE),0)</f>
        <v>0</v>
      </c>
      <c r="BE99" s="246">
        <f>IFERROR(VLOOKUP(O99,VOL_REC[],2,FALSE),0)</f>
        <v>0</v>
      </c>
      <c r="BF99" s="246">
        <f>IFERROR(VLOOKUP(P99,VOL_REC[],2,FALSE),0)</f>
        <v>0</v>
      </c>
      <c r="BG99" s="246">
        <f>IFERROR(VLOOKUP(Q99,VOL_REC[],2,FALSE),0)</f>
        <v>0</v>
      </c>
      <c r="BH99" s="1710">
        <f t="shared" si="4"/>
        <v>4686584792.991951</v>
      </c>
      <c r="BI99" s="1710">
        <f t="shared" si="5"/>
        <v>8918471297.3088417</v>
      </c>
      <c r="BJ99" s="1711">
        <f t="shared" si="6"/>
        <v>11437884.587415097</v>
      </c>
      <c r="BK99" s="1711">
        <f t="shared" si="7"/>
        <v>0.52549194102425745</v>
      </c>
    </row>
    <row r="100" spans="3:67" x14ac:dyDescent="0.25">
      <c r="C100" s="246" t="s">
        <v>1450</v>
      </c>
      <c r="D100" s="246">
        <v>1</v>
      </c>
      <c r="E100" s="246">
        <v>2</v>
      </c>
      <c r="F100" s="246">
        <v>3</v>
      </c>
      <c r="G100" s="246">
        <v>4</v>
      </c>
      <c r="H100" s="246">
        <v>12</v>
      </c>
      <c r="I100" s="246">
        <v>15</v>
      </c>
      <c r="J100" s="246"/>
      <c r="K100" s="246"/>
      <c r="L100" s="246"/>
      <c r="M100" s="246"/>
      <c r="N100" s="246"/>
      <c r="O100" s="246"/>
      <c r="P100" s="246"/>
      <c r="Q100" s="246"/>
      <c r="R100" s="246">
        <f>IFERROR(VLOOKUP(D100,PROGRAMAS[],2,FALSE),0)</f>
        <v>97037803.679377079</v>
      </c>
      <c r="S100" s="246">
        <f>IFERROR(VLOOKUP(E100,PROGRAMAS[],2,FALSE),0)</f>
        <v>640501509.6821388</v>
      </c>
      <c r="T100" s="246">
        <f>IFERROR(VLOOKUP(F100,PROGRAMAS[],2,FALSE),0)</f>
        <v>3062327798.1525245</v>
      </c>
      <c r="U100" s="246">
        <f>IFERROR(VLOOKUP(G100,PROGRAMAS[],2,FALSE),0)</f>
        <v>67697118.033011258</v>
      </c>
      <c r="V100" s="246">
        <f>IFERROR(VLOOKUP(H100,PROGRAMAS[],2,FALSE),0)</f>
        <v>764796700.79905891</v>
      </c>
      <c r="W100" s="246">
        <f>IFERROR(VLOOKUP(I100,PROGRAMAS[],2,FALSE),0)</f>
        <v>122159672.96346797</v>
      </c>
      <c r="X100" s="246">
        <f>IFERROR(VLOOKUP(J100,PROGRAMAS[],2,FALSE),0)</f>
        <v>0</v>
      </c>
      <c r="Y100" s="246">
        <f>IFERROR(VLOOKUP(K100,PROGRAMAS[],2,FALSE),0)</f>
        <v>0</v>
      </c>
      <c r="Z100" s="246">
        <f>IFERROR(VLOOKUP(L100,PROGRAMAS[],2,FALSE),0)</f>
        <v>0</v>
      </c>
      <c r="AA100" s="246">
        <f>IFERROR(VLOOKUP(M100,PROGRAMAS[],2,FALSE),0)</f>
        <v>0</v>
      </c>
      <c r="AB100" s="246">
        <f>IFERROR(VLOOKUP(N100,PROGRAMAS[],2,FALSE),0)</f>
        <v>0</v>
      </c>
      <c r="AC100" s="246">
        <f>IFERROR(VLOOKUP(O100,PROGRAMAS[],2,FALSE),0)</f>
        <v>0</v>
      </c>
      <c r="AD100" s="246">
        <f>IFERROR(VLOOKUP(P100,PROGRAMAS[],2,FALSE),0)</f>
        <v>0</v>
      </c>
      <c r="AE100" s="246">
        <f>IFERROR(VLOOKUP(Q100,PROGRAMAS[],2,FALSE),0)</f>
        <v>0</v>
      </c>
      <c r="AF100" s="246">
        <f>IFERROR(VLOOKUP(D100,PROGRAMAS[],3,FALSE),0)</f>
        <v>841888629.31080008</v>
      </c>
      <c r="AG100" s="246">
        <f>IFERROR(VLOOKUP(E100,PROGRAMAS[],3,FALSE),0)</f>
        <v>3848980803.1642323</v>
      </c>
      <c r="AH100" s="246">
        <f>IFERROR(VLOOKUP(F100,PROGRAMAS[],3,FALSE),0)</f>
        <v>3394901471.387517</v>
      </c>
      <c r="AI100" s="246">
        <f>IFERROR(VLOOKUP(G100,PROGRAMAS[],3,FALSE),0)</f>
        <v>125317226.95549992</v>
      </c>
      <c r="AJ100" s="246">
        <f>IFERROR(VLOOKUP(H100,PROGRAMAS[],3,FALSE),0)</f>
        <v>675517840.109828</v>
      </c>
      <c r="AK100" s="246">
        <f>IFERROR(VLOOKUP(I100,PROGRAMAS[],3,FALSE),0)</f>
        <v>118617452.52510804</v>
      </c>
      <c r="AL100" s="246">
        <f>IFERROR(VLOOKUP(J100,PROGRAMAS[],3,FALSE),0)</f>
        <v>0</v>
      </c>
      <c r="AM100" s="246">
        <f>IFERROR(VLOOKUP(K100,PROGRAMAS[],3,FALSE),0)</f>
        <v>0</v>
      </c>
      <c r="AN100" s="246">
        <f>IFERROR(VLOOKUP(L100,PROGRAMAS[],3,FALSE),0)</f>
        <v>0</v>
      </c>
      <c r="AO100" s="246">
        <f>IFERROR(VLOOKUP(M100,PROGRAMAS[],3,FALSE),0)</f>
        <v>0</v>
      </c>
      <c r="AP100" s="246">
        <f>IFERROR(VLOOKUP(N100,PROGRAMAS[],3,FALSE),0)</f>
        <v>0</v>
      </c>
      <c r="AQ100" s="246">
        <f>IFERROR(VLOOKUP(O100,PROGRAMAS[],3,FALSE),0)</f>
        <v>0</v>
      </c>
      <c r="AR100" s="246">
        <f>IFERROR(VLOOKUP(P100,PROGRAMAS[],3,FALSE),0)</f>
        <v>0</v>
      </c>
      <c r="AS100" s="246">
        <f>IFERROR(VLOOKUP(Q100,PROGRAMAS[],3,FALSE),0)</f>
        <v>0</v>
      </c>
      <c r="AT100" s="246">
        <f>IFERROR(VLOOKUP(D100,VOL_REC[],2,FALSE),0)</f>
        <v>0</v>
      </c>
      <c r="AU100" s="246">
        <f>IFERROR(VLOOKUP(E100,VOL_REC[],2,FALSE),0)</f>
        <v>0</v>
      </c>
      <c r="AV100" s="246">
        <f>IFERROR(VLOOKUP(F100,VOL_REC[],2,FALSE),0)</f>
        <v>11089674.200000001</v>
      </c>
      <c r="AW100" s="246">
        <f>IFERROR(VLOOKUP(G100,VOL_REC[],2,FALSE),0)</f>
        <v>90439.55</v>
      </c>
      <c r="AX100" s="246">
        <f>IFERROR(VLOOKUP(H100,VOL_REC[],2,FALSE),0)</f>
        <v>240696.79238099116</v>
      </c>
      <c r="AY100" s="246">
        <f>IFERROR(VLOOKUP(I100,VOL_REC[],2,FALSE),0)</f>
        <v>105072</v>
      </c>
      <c r="AZ100" s="246">
        <f>IFERROR(VLOOKUP(J100,VOL_REC[],2,FALSE),0)</f>
        <v>0</v>
      </c>
      <c r="BA100" s="246">
        <f>IFERROR(VLOOKUP(K100,VOL_REC[],2,FALSE),0)</f>
        <v>0</v>
      </c>
      <c r="BB100" s="246">
        <f>IFERROR(VLOOKUP(L100,VOL_REC[],2,FALSE),0)</f>
        <v>0</v>
      </c>
      <c r="BC100" s="246">
        <f>IFERROR(VLOOKUP(M100,VOL_REC[],2,FALSE),0)</f>
        <v>0</v>
      </c>
      <c r="BD100" s="246">
        <f>IFERROR(VLOOKUP(N100,VOL_REC[],2,FALSE),0)</f>
        <v>0</v>
      </c>
      <c r="BE100" s="246">
        <f>IFERROR(VLOOKUP(O100,VOL_REC[],2,FALSE),0)</f>
        <v>0</v>
      </c>
      <c r="BF100" s="246">
        <f>IFERROR(VLOOKUP(P100,VOL_REC[],2,FALSE),0)</f>
        <v>0</v>
      </c>
      <c r="BG100" s="246">
        <f>IFERROR(VLOOKUP(Q100,VOL_REC[],2,FALSE),0)</f>
        <v>0</v>
      </c>
      <c r="BH100" s="1710">
        <f t="shared" si="4"/>
        <v>4754520603.3095789</v>
      </c>
      <c r="BI100" s="1710">
        <f t="shared" si="5"/>
        <v>9005223423.4529858</v>
      </c>
      <c r="BJ100" s="1711">
        <f t="shared" si="6"/>
        <v>11525882.542380992</v>
      </c>
      <c r="BK100" s="1711">
        <f t="shared" si="7"/>
        <v>0.52797364148978476</v>
      </c>
    </row>
    <row r="101" spans="3:67" x14ac:dyDescent="0.25">
      <c r="C101" s="246" t="s">
        <v>1451</v>
      </c>
      <c r="D101" s="246">
        <v>1</v>
      </c>
      <c r="E101" s="246">
        <v>2</v>
      </c>
      <c r="F101" s="246">
        <v>3</v>
      </c>
      <c r="G101" s="246">
        <v>4</v>
      </c>
      <c r="H101" s="246">
        <v>12</v>
      </c>
      <c r="I101" s="246">
        <v>16</v>
      </c>
      <c r="J101" s="246"/>
      <c r="K101" s="246"/>
      <c r="L101" s="246"/>
      <c r="M101" s="246"/>
      <c r="N101" s="246"/>
      <c r="O101" s="246"/>
      <c r="P101" s="246"/>
      <c r="Q101" s="246"/>
      <c r="R101" s="246">
        <f>IFERROR(VLOOKUP(D101,PROGRAMAS[],2,FALSE),0)</f>
        <v>97037803.679377079</v>
      </c>
      <c r="S101" s="246">
        <f>IFERROR(VLOOKUP(E101,PROGRAMAS[],2,FALSE),0)</f>
        <v>640501509.6821388</v>
      </c>
      <c r="T101" s="246">
        <f>IFERROR(VLOOKUP(F101,PROGRAMAS[],2,FALSE),0)</f>
        <v>3062327798.1525245</v>
      </c>
      <c r="U101" s="246">
        <f>IFERROR(VLOOKUP(G101,PROGRAMAS[],2,FALSE),0)</f>
        <v>67697118.033011258</v>
      </c>
      <c r="V101" s="246">
        <f>IFERROR(VLOOKUP(H101,PROGRAMAS[],2,FALSE),0)</f>
        <v>764796700.79905891</v>
      </c>
      <c r="W101" s="246">
        <f>IFERROR(VLOOKUP(I101,PROGRAMAS[],2,FALSE),0)</f>
        <v>7068496961.0436354</v>
      </c>
      <c r="X101" s="246">
        <f>IFERROR(VLOOKUP(J101,PROGRAMAS[],2,FALSE),0)</f>
        <v>0</v>
      </c>
      <c r="Y101" s="246">
        <f>IFERROR(VLOOKUP(K101,PROGRAMAS[],2,FALSE),0)</f>
        <v>0</v>
      </c>
      <c r="Z101" s="246">
        <f>IFERROR(VLOOKUP(L101,PROGRAMAS[],2,FALSE),0)</f>
        <v>0</v>
      </c>
      <c r="AA101" s="246">
        <f>IFERROR(VLOOKUP(M101,PROGRAMAS[],2,FALSE),0)</f>
        <v>0</v>
      </c>
      <c r="AB101" s="246">
        <f>IFERROR(VLOOKUP(N101,PROGRAMAS[],2,FALSE),0)</f>
        <v>0</v>
      </c>
      <c r="AC101" s="246">
        <f>IFERROR(VLOOKUP(O101,PROGRAMAS[],2,FALSE),0)</f>
        <v>0</v>
      </c>
      <c r="AD101" s="246">
        <f>IFERROR(VLOOKUP(P101,PROGRAMAS[],2,FALSE),0)</f>
        <v>0</v>
      </c>
      <c r="AE101" s="246">
        <f>IFERROR(VLOOKUP(Q101,PROGRAMAS[],2,FALSE),0)</f>
        <v>0</v>
      </c>
      <c r="AF101" s="246">
        <f>IFERROR(VLOOKUP(D101,PROGRAMAS[],3,FALSE),0)</f>
        <v>841888629.31080008</v>
      </c>
      <c r="AG101" s="246">
        <f>IFERROR(VLOOKUP(E101,PROGRAMAS[],3,FALSE),0)</f>
        <v>3848980803.1642323</v>
      </c>
      <c r="AH101" s="246">
        <f>IFERROR(VLOOKUP(F101,PROGRAMAS[],3,FALSE),0)</f>
        <v>3394901471.387517</v>
      </c>
      <c r="AI101" s="246">
        <f>IFERROR(VLOOKUP(G101,PROGRAMAS[],3,FALSE),0)</f>
        <v>125317226.95549992</v>
      </c>
      <c r="AJ101" s="246">
        <f>IFERROR(VLOOKUP(H101,PROGRAMAS[],3,FALSE),0)</f>
        <v>675517840.109828</v>
      </c>
      <c r="AK101" s="246">
        <f>IFERROR(VLOOKUP(I101,PROGRAMAS[],3,FALSE),0)</f>
        <v>2406564599.0319901</v>
      </c>
      <c r="AL101" s="246">
        <f>IFERROR(VLOOKUP(J101,PROGRAMAS[],3,FALSE),0)</f>
        <v>0</v>
      </c>
      <c r="AM101" s="246">
        <f>IFERROR(VLOOKUP(K101,PROGRAMAS[],3,FALSE),0)</f>
        <v>0</v>
      </c>
      <c r="AN101" s="246">
        <f>IFERROR(VLOOKUP(L101,PROGRAMAS[],3,FALSE),0)</f>
        <v>0</v>
      </c>
      <c r="AO101" s="246">
        <f>IFERROR(VLOOKUP(M101,PROGRAMAS[],3,FALSE),0)</f>
        <v>0</v>
      </c>
      <c r="AP101" s="246">
        <f>IFERROR(VLOOKUP(N101,PROGRAMAS[],3,FALSE),0)</f>
        <v>0</v>
      </c>
      <c r="AQ101" s="246">
        <f>IFERROR(VLOOKUP(O101,PROGRAMAS[],3,FALSE),0)</f>
        <v>0</v>
      </c>
      <c r="AR101" s="246">
        <f>IFERROR(VLOOKUP(P101,PROGRAMAS[],3,FALSE),0)</f>
        <v>0</v>
      </c>
      <c r="AS101" s="246">
        <f>IFERROR(VLOOKUP(Q101,PROGRAMAS[],3,FALSE),0)</f>
        <v>0</v>
      </c>
      <c r="AT101" s="246">
        <f>IFERROR(VLOOKUP(D101,VOL_REC[],2,FALSE),0)</f>
        <v>0</v>
      </c>
      <c r="AU101" s="246">
        <f>IFERROR(VLOOKUP(E101,VOL_REC[],2,FALSE),0)</f>
        <v>0</v>
      </c>
      <c r="AV101" s="246">
        <f>IFERROR(VLOOKUP(F101,VOL_REC[],2,FALSE),0)</f>
        <v>11089674.200000001</v>
      </c>
      <c r="AW101" s="246">
        <f>IFERROR(VLOOKUP(G101,VOL_REC[],2,FALSE),0)</f>
        <v>90439.55</v>
      </c>
      <c r="AX101" s="246">
        <f>IFERROR(VLOOKUP(H101,VOL_REC[],2,FALSE),0)</f>
        <v>240696.79238099116</v>
      </c>
      <c r="AY101" s="246">
        <f>IFERROR(VLOOKUP(I101,VOL_REC[],2,FALSE),0)</f>
        <v>1072354.9981737854</v>
      </c>
      <c r="AZ101" s="246">
        <f>IFERROR(VLOOKUP(J101,VOL_REC[],2,FALSE),0)</f>
        <v>0</v>
      </c>
      <c r="BA101" s="246">
        <f>IFERROR(VLOOKUP(K101,VOL_REC[],2,FALSE),0)</f>
        <v>0</v>
      </c>
      <c r="BB101" s="246">
        <f>IFERROR(VLOOKUP(L101,VOL_REC[],2,FALSE),0)</f>
        <v>0</v>
      </c>
      <c r="BC101" s="246">
        <f>IFERROR(VLOOKUP(M101,VOL_REC[],2,FALSE),0)</f>
        <v>0</v>
      </c>
      <c r="BD101" s="246">
        <f>IFERROR(VLOOKUP(N101,VOL_REC[],2,FALSE),0)</f>
        <v>0</v>
      </c>
      <c r="BE101" s="246">
        <f>IFERROR(VLOOKUP(O101,VOL_REC[],2,FALSE),0)</f>
        <v>0</v>
      </c>
      <c r="BF101" s="246">
        <f>IFERROR(VLOOKUP(P101,VOL_REC[],2,FALSE),0)</f>
        <v>0</v>
      </c>
      <c r="BG101" s="246">
        <f>IFERROR(VLOOKUP(Q101,VOL_REC[],2,FALSE),0)</f>
        <v>0</v>
      </c>
      <c r="BH101" s="1710">
        <f t="shared" si="4"/>
        <v>11700857891.389748</v>
      </c>
      <c r="BI101" s="1710">
        <f t="shared" si="5"/>
        <v>11293170569.959867</v>
      </c>
      <c r="BJ101" s="1711">
        <f t="shared" si="6"/>
        <v>12493165.540554777</v>
      </c>
      <c r="BK101" s="1711">
        <f t="shared" si="7"/>
        <v>1.0361003421407926</v>
      </c>
      <c r="BL101">
        <f>BJ101</f>
        <v>12493165.540554777</v>
      </c>
      <c r="BO101">
        <f>BL101</f>
        <v>12493165.540554777</v>
      </c>
    </row>
    <row r="102" spans="3:67" x14ac:dyDescent="0.25">
      <c r="C102" s="246" t="s">
        <v>1452</v>
      </c>
      <c r="D102" s="246">
        <v>1</v>
      </c>
      <c r="E102" s="246">
        <v>2</v>
      </c>
      <c r="F102" s="246">
        <v>3</v>
      </c>
      <c r="G102" s="246">
        <v>4</v>
      </c>
      <c r="H102" s="246">
        <v>12</v>
      </c>
      <c r="I102" s="246">
        <v>17</v>
      </c>
      <c r="J102" s="246"/>
      <c r="K102" s="246"/>
      <c r="L102" s="246"/>
      <c r="M102" s="246"/>
      <c r="N102" s="246"/>
      <c r="O102" s="246"/>
      <c r="P102" s="246"/>
      <c r="Q102" s="246"/>
      <c r="R102" s="246">
        <f>IFERROR(VLOOKUP(D102,PROGRAMAS[],2,FALSE),0)</f>
        <v>97037803.679377079</v>
      </c>
      <c r="S102" s="246">
        <f>IFERROR(VLOOKUP(E102,PROGRAMAS[],2,FALSE),0)</f>
        <v>640501509.6821388</v>
      </c>
      <c r="T102" s="246">
        <f>IFERROR(VLOOKUP(F102,PROGRAMAS[],2,FALSE),0)</f>
        <v>3062327798.1525245</v>
      </c>
      <c r="U102" s="246">
        <f>IFERROR(VLOOKUP(G102,PROGRAMAS[],2,FALSE),0)</f>
        <v>67697118.033011258</v>
      </c>
      <c r="V102" s="246">
        <f>IFERROR(VLOOKUP(H102,PROGRAMAS[],2,FALSE),0)</f>
        <v>764796700.79905891</v>
      </c>
      <c r="W102" s="246">
        <f>IFERROR(VLOOKUP(I102,PROGRAMAS[],2,FALSE),0)</f>
        <v>1892779498.5211046</v>
      </c>
      <c r="X102" s="246">
        <f>IFERROR(VLOOKUP(J102,PROGRAMAS[],2,FALSE),0)</f>
        <v>0</v>
      </c>
      <c r="Y102" s="246">
        <f>IFERROR(VLOOKUP(K102,PROGRAMAS[],2,FALSE),0)</f>
        <v>0</v>
      </c>
      <c r="Z102" s="246">
        <f>IFERROR(VLOOKUP(L102,PROGRAMAS[],2,FALSE),0)</f>
        <v>0</v>
      </c>
      <c r="AA102" s="246">
        <f>IFERROR(VLOOKUP(M102,PROGRAMAS[],2,FALSE),0)</f>
        <v>0</v>
      </c>
      <c r="AB102" s="246">
        <f>IFERROR(VLOOKUP(N102,PROGRAMAS[],2,FALSE),0)</f>
        <v>0</v>
      </c>
      <c r="AC102" s="246">
        <f>IFERROR(VLOOKUP(O102,PROGRAMAS[],2,FALSE),0)</f>
        <v>0</v>
      </c>
      <c r="AD102" s="246">
        <f>IFERROR(VLOOKUP(P102,PROGRAMAS[],2,FALSE),0)</f>
        <v>0</v>
      </c>
      <c r="AE102" s="246">
        <f>IFERROR(VLOOKUP(Q102,PROGRAMAS[],2,FALSE),0)</f>
        <v>0</v>
      </c>
      <c r="AF102" s="246">
        <f>IFERROR(VLOOKUP(D102,PROGRAMAS[],3,FALSE),0)</f>
        <v>841888629.31080008</v>
      </c>
      <c r="AG102" s="246">
        <f>IFERROR(VLOOKUP(E102,PROGRAMAS[],3,FALSE),0)</f>
        <v>3848980803.1642323</v>
      </c>
      <c r="AH102" s="246">
        <f>IFERROR(VLOOKUP(F102,PROGRAMAS[],3,FALSE),0)</f>
        <v>3394901471.387517</v>
      </c>
      <c r="AI102" s="246">
        <f>IFERROR(VLOOKUP(G102,PROGRAMAS[],3,FALSE),0)</f>
        <v>125317226.95549992</v>
      </c>
      <c r="AJ102" s="246">
        <f>IFERROR(VLOOKUP(H102,PROGRAMAS[],3,FALSE),0)</f>
        <v>675517840.109828</v>
      </c>
      <c r="AK102" s="246">
        <f>IFERROR(VLOOKUP(I102,PROGRAMAS[],3,FALSE),0)</f>
        <v>948595847.09039903</v>
      </c>
      <c r="AL102" s="246">
        <f>IFERROR(VLOOKUP(J102,PROGRAMAS[],3,FALSE),0)</f>
        <v>0</v>
      </c>
      <c r="AM102" s="246">
        <f>IFERROR(VLOOKUP(K102,PROGRAMAS[],3,FALSE),0)</f>
        <v>0</v>
      </c>
      <c r="AN102" s="246">
        <f>IFERROR(VLOOKUP(L102,PROGRAMAS[],3,FALSE),0)</f>
        <v>0</v>
      </c>
      <c r="AO102" s="246">
        <f>IFERROR(VLOOKUP(M102,PROGRAMAS[],3,FALSE),0)</f>
        <v>0</v>
      </c>
      <c r="AP102" s="246">
        <f>IFERROR(VLOOKUP(N102,PROGRAMAS[],3,FALSE),0)</f>
        <v>0</v>
      </c>
      <c r="AQ102" s="246">
        <f>IFERROR(VLOOKUP(O102,PROGRAMAS[],3,FALSE),0)</f>
        <v>0</v>
      </c>
      <c r="AR102" s="246">
        <f>IFERROR(VLOOKUP(P102,PROGRAMAS[],3,FALSE),0)</f>
        <v>0</v>
      </c>
      <c r="AS102" s="246">
        <f>IFERROR(VLOOKUP(Q102,PROGRAMAS[],3,FALSE),0)</f>
        <v>0</v>
      </c>
      <c r="AT102" s="246">
        <f>IFERROR(VLOOKUP(D102,VOL_REC[],2,FALSE),0)</f>
        <v>0</v>
      </c>
      <c r="AU102" s="246">
        <f>IFERROR(VLOOKUP(E102,VOL_REC[],2,FALSE),0)</f>
        <v>0</v>
      </c>
      <c r="AV102" s="246">
        <f>IFERROR(VLOOKUP(F102,VOL_REC[],2,FALSE),0)</f>
        <v>11089674.200000001</v>
      </c>
      <c r="AW102" s="246">
        <f>IFERROR(VLOOKUP(G102,VOL_REC[],2,FALSE),0)</f>
        <v>90439.55</v>
      </c>
      <c r="AX102" s="246">
        <f>IFERROR(VLOOKUP(H102,VOL_REC[],2,FALSE),0)</f>
        <v>240696.79238099116</v>
      </c>
      <c r="AY102" s="246">
        <f>IFERROR(VLOOKUP(I102,VOL_REC[],2,FALSE),0)</f>
        <v>740113.98115702497</v>
      </c>
      <c r="AZ102" s="246">
        <f>IFERROR(VLOOKUP(J102,VOL_REC[],2,FALSE),0)</f>
        <v>0</v>
      </c>
      <c r="BA102" s="246">
        <f>IFERROR(VLOOKUP(K102,VOL_REC[],2,FALSE),0)</f>
        <v>0</v>
      </c>
      <c r="BB102" s="246">
        <f>IFERROR(VLOOKUP(L102,VOL_REC[],2,FALSE),0)</f>
        <v>0</v>
      </c>
      <c r="BC102" s="246">
        <f>IFERROR(VLOOKUP(M102,VOL_REC[],2,FALSE),0)</f>
        <v>0</v>
      </c>
      <c r="BD102" s="246">
        <f>IFERROR(VLOOKUP(N102,VOL_REC[],2,FALSE),0)</f>
        <v>0</v>
      </c>
      <c r="BE102" s="246">
        <f>IFERROR(VLOOKUP(O102,VOL_REC[],2,FALSE),0)</f>
        <v>0</v>
      </c>
      <c r="BF102" s="246">
        <f>IFERROR(VLOOKUP(P102,VOL_REC[],2,FALSE),0)</f>
        <v>0</v>
      </c>
      <c r="BG102" s="246">
        <f>IFERROR(VLOOKUP(Q102,VOL_REC[],2,FALSE),0)</f>
        <v>0</v>
      </c>
      <c r="BH102" s="1710">
        <f t="shared" si="4"/>
        <v>6525140428.8672161</v>
      </c>
      <c r="BI102" s="1710">
        <f t="shared" si="5"/>
        <v>9835201818.0182762</v>
      </c>
      <c r="BJ102" s="1711">
        <f t="shared" si="6"/>
        <v>12160924.523538018</v>
      </c>
      <c r="BK102" s="1711">
        <f t="shared" si="7"/>
        <v>0.66344753769190934</v>
      </c>
    </row>
    <row r="103" spans="3:67" x14ac:dyDescent="0.25">
      <c r="C103" s="246" t="s">
        <v>1453</v>
      </c>
      <c r="D103" s="246">
        <v>1</v>
      </c>
      <c r="E103" s="246">
        <v>2</v>
      </c>
      <c r="F103" s="246">
        <v>3</v>
      </c>
      <c r="G103" s="246">
        <v>4</v>
      </c>
      <c r="H103" s="246">
        <v>13</v>
      </c>
      <c r="I103" s="246">
        <v>14</v>
      </c>
      <c r="J103" s="246"/>
      <c r="K103" s="246"/>
      <c r="L103" s="246"/>
      <c r="M103" s="246"/>
      <c r="N103" s="246"/>
      <c r="O103" s="246"/>
      <c r="P103" s="246"/>
      <c r="Q103" s="246"/>
      <c r="R103" s="246">
        <f>IFERROR(VLOOKUP(D103,PROGRAMAS[],2,FALSE),0)</f>
        <v>97037803.679377079</v>
      </c>
      <c r="S103" s="246">
        <f>IFERROR(VLOOKUP(E103,PROGRAMAS[],2,FALSE),0)</f>
        <v>640501509.6821388</v>
      </c>
      <c r="T103" s="246">
        <f>IFERROR(VLOOKUP(F103,PROGRAMAS[],2,FALSE),0)</f>
        <v>3062327798.1525245</v>
      </c>
      <c r="U103" s="246">
        <f>IFERROR(VLOOKUP(G103,PROGRAMAS[],2,FALSE),0)</f>
        <v>67697118.033011258</v>
      </c>
      <c r="V103" s="246">
        <f>IFERROR(VLOOKUP(H103,PROGRAMAS[],2,FALSE),0)</f>
        <v>3776538594.4604583</v>
      </c>
      <c r="W103" s="246">
        <f>IFERROR(VLOOKUP(I103,PROGRAMAS[],2,FALSE),0)</f>
        <v>54223862.645839565</v>
      </c>
      <c r="X103" s="246">
        <f>IFERROR(VLOOKUP(J103,PROGRAMAS[],2,FALSE),0)</f>
        <v>0</v>
      </c>
      <c r="Y103" s="246">
        <f>IFERROR(VLOOKUP(K103,PROGRAMAS[],2,FALSE),0)</f>
        <v>0</v>
      </c>
      <c r="Z103" s="246">
        <f>IFERROR(VLOOKUP(L103,PROGRAMAS[],2,FALSE),0)</f>
        <v>0</v>
      </c>
      <c r="AA103" s="246">
        <f>IFERROR(VLOOKUP(M103,PROGRAMAS[],2,FALSE),0)</f>
        <v>0</v>
      </c>
      <c r="AB103" s="246">
        <f>IFERROR(VLOOKUP(N103,PROGRAMAS[],2,FALSE),0)</f>
        <v>0</v>
      </c>
      <c r="AC103" s="246">
        <f>IFERROR(VLOOKUP(O103,PROGRAMAS[],2,FALSE),0)</f>
        <v>0</v>
      </c>
      <c r="AD103" s="246">
        <f>IFERROR(VLOOKUP(P103,PROGRAMAS[],2,FALSE),0)</f>
        <v>0</v>
      </c>
      <c r="AE103" s="246">
        <f>IFERROR(VLOOKUP(Q103,PROGRAMAS[],2,FALSE),0)</f>
        <v>0</v>
      </c>
      <c r="AF103" s="246">
        <f>IFERROR(VLOOKUP(D103,PROGRAMAS[],3,FALSE),0)</f>
        <v>841888629.31080008</v>
      </c>
      <c r="AG103" s="246">
        <f>IFERROR(VLOOKUP(E103,PROGRAMAS[],3,FALSE),0)</f>
        <v>3848980803.1642323</v>
      </c>
      <c r="AH103" s="246">
        <f>IFERROR(VLOOKUP(F103,PROGRAMAS[],3,FALSE),0)</f>
        <v>3394901471.387517</v>
      </c>
      <c r="AI103" s="246">
        <f>IFERROR(VLOOKUP(G103,PROGRAMAS[],3,FALSE),0)</f>
        <v>125317226.95549992</v>
      </c>
      <c r="AJ103" s="246">
        <f>IFERROR(VLOOKUP(H103,PROGRAMAS[],3,FALSE),0)</f>
        <v>2392571243.5584412</v>
      </c>
      <c r="AK103" s="246">
        <f>IFERROR(VLOOKUP(I103,PROGRAMAS[],3,FALSE),0)</f>
        <v>31865326.38096505</v>
      </c>
      <c r="AL103" s="246">
        <f>IFERROR(VLOOKUP(J103,PROGRAMAS[],3,FALSE),0)</f>
        <v>0</v>
      </c>
      <c r="AM103" s="246">
        <f>IFERROR(VLOOKUP(K103,PROGRAMAS[],3,FALSE),0)</f>
        <v>0</v>
      </c>
      <c r="AN103" s="246">
        <f>IFERROR(VLOOKUP(L103,PROGRAMAS[],3,FALSE),0)</f>
        <v>0</v>
      </c>
      <c r="AO103" s="246">
        <f>IFERROR(VLOOKUP(M103,PROGRAMAS[],3,FALSE),0)</f>
        <v>0</v>
      </c>
      <c r="AP103" s="246">
        <f>IFERROR(VLOOKUP(N103,PROGRAMAS[],3,FALSE),0)</f>
        <v>0</v>
      </c>
      <c r="AQ103" s="246">
        <f>IFERROR(VLOOKUP(O103,PROGRAMAS[],3,FALSE),0)</f>
        <v>0</v>
      </c>
      <c r="AR103" s="246">
        <f>IFERROR(VLOOKUP(P103,PROGRAMAS[],3,FALSE),0)</f>
        <v>0</v>
      </c>
      <c r="AS103" s="246">
        <f>IFERROR(VLOOKUP(Q103,PROGRAMAS[],3,FALSE),0)</f>
        <v>0</v>
      </c>
      <c r="AT103" s="246">
        <f>IFERROR(VLOOKUP(D103,VOL_REC[],2,FALSE),0)</f>
        <v>0</v>
      </c>
      <c r="AU103" s="246">
        <f>IFERROR(VLOOKUP(E103,VOL_REC[],2,FALSE),0)</f>
        <v>0</v>
      </c>
      <c r="AV103" s="246">
        <f>IFERROR(VLOOKUP(F103,VOL_REC[],2,FALSE),0)</f>
        <v>11089674.200000001</v>
      </c>
      <c r="AW103" s="246">
        <f>IFERROR(VLOOKUP(G103,VOL_REC[],2,FALSE),0)</f>
        <v>90439.55</v>
      </c>
      <c r="AX103" s="246">
        <f>IFERROR(VLOOKUP(H103,VOL_REC[],2,FALSE),0)</f>
        <v>663244.80000000016</v>
      </c>
      <c r="AY103" s="246">
        <f>IFERROR(VLOOKUP(I103,VOL_REC[],2,FALSE),0)</f>
        <v>17074.045034105649</v>
      </c>
      <c r="AZ103" s="246">
        <f>IFERROR(VLOOKUP(J103,VOL_REC[],2,FALSE),0)</f>
        <v>0</v>
      </c>
      <c r="BA103" s="246">
        <f>IFERROR(VLOOKUP(K103,VOL_REC[],2,FALSE),0)</f>
        <v>0</v>
      </c>
      <c r="BB103" s="246">
        <f>IFERROR(VLOOKUP(L103,VOL_REC[],2,FALSE),0)</f>
        <v>0</v>
      </c>
      <c r="BC103" s="246">
        <f>IFERROR(VLOOKUP(M103,VOL_REC[],2,FALSE),0)</f>
        <v>0</v>
      </c>
      <c r="BD103" s="246">
        <f>IFERROR(VLOOKUP(N103,VOL_REC[],2,FALSE),0)</f>
        <v>0</v>
      </c>
      <c r="BE103" s="246">
        <f>IFERROR(VLOOKUP(O103,VOL_REC[],2,FALSE),0)</f>
        <v>0</v>
      </c>
      <c r="BF103" s="246">
        <f>IFERROR(VLOOKUP(P103,VOL_REC[],2,FALSE),0)</f>
        <v>0</v>
      </c>
      <c r="BG103" s="246">
        <f>IFERROR(VLOOKUP(Q103,VOL_REC[],2,FALSE),0)</f>
        <v>0</v>
      </c>
      <c r="BH103" s="1710">
        <f t="shared" si="4"/>
        <v>7698326686.6533499</v>
      </c>
      <c r="BI103" s="1710">
        <f t="shared" si="5"/>
        <v>10635524700.757456</v>
      </c>
      <c r="BJ103" s="1711">
        <f t="shared" si="6"/>
        <v>11860432.595034108</v>
      </c>
      <c r="BK103" s="1711">
        <f t="shared" si="7"/>
        <v>0.72383139555917531</v>
      </c>
    </row>
    <row r="104" spans="3:67" x14ac:dyDescent="0.25">
      <c r="C104" s="246" t="s">
        <v>1454</v>
      </c>
      <c r="D104" s="246">
        <v>1</v>
      </c>
      <c r="E104" s="246">
        <v>2</v>
      </c>
      <c r="F104" s="246">
        <v>3</v>
      </c>
      <c r="G104" s="246">
        <v>4</v>
      </c>
      <c r="H104" s="246">
        <v>13</v>
      </c>
      <c r="I104" s="246">
        <v>15</v>
      </c>
      <c r="J104" s="246"/>
      <c r="K104" s="246"/>
      <c r="L104" s="246"/>
      <c r="M104" s="246"/>
      <c r="N104" s="246"/>
      <c r="O104" s="246"/>
      <c r="P104" s="246"/>
      <c r="Q104" s="246"/>
      <c r="R104" s="246">
        <f>IFERROR(VLOOKUP(D104,PROGRAMAS[],2,FALSE),0)</f>
        <v>97037803.679377079</v>
      </c>
      <c r="S104" s="246">
        <f>IFERROR(VLOOKUP(E104,PROGRAMAS[],2,FALSE),0)</f>
        <v>640501509.6821388</v>
      </c>
      <c r="T104" s="246">
        <f>IFERROR(VLOOKUP(F104,PROGRAMAS[],2,FALSE),0)</f>
        <v>3062327798.1525245</v>
      </c>
      <c r="U104" s="246">
        <f>IFERROR(VLOOKUP(G104,PROGRAMAS[],2,FALSE),0)</f>
        <v>67697118.033011258</v>
      </c>
      <c r="V104" s="246">
        <f>IFERROR(VLOOKUP(H104,PROGRAMAS[],2,FALSE),0)</f>
        <v>3776538594.4604583</v>
      </c>
      <c r="W104" s="246">
        <f>IFERROR(VLOOKUP(I104,PROGRAMAS[],2,FALSE),0)</f>
        <v>122159672.96346797</v>
      </c>
      <c r="X104" s="246">
        <f>IFERROR(VLOOKUP(J104,PROGRAMAS[],2,FALSE),0)</f>
        <v>0</v>
      </c>
      <c r="Y104" s="246">
        <f>IFERROR(VLOOKUP(K104,PROGRAMAS[],2,FALSE),0)</f>
        <v>0</v>
      </c>
      <c r="Z104" s="246">
        <f>IFERROR(VLOOKUP(L104,PROGRAMAS[],2,FALSE),0)</f>
        <v>0</v>
      </c>
      <c r="AA104" s="246">
        <f>IFERROR(VLOOKUP(M104,PROGRAMAS[],2,FALSE),0)</f>
        <v>0</v>
      </c>
      <c r="AB104" s="246">
        <f>IFERROR(VLOOKUP(N104,PROGRAMAS[],2,FALSE),0)</f>
        <v>0</v>
      </c>
      <c r="AC104" s="246">
        <f>IFERROR(VLOOKUP(O104,PROGRAMAS[],2,FALSE),0)</f>
        <v>0</v>
      </c>
      <c r="AD104" s="246">
        <f>IFERROR(VLOOKUP(P104,PROGRAMAS[],2,FALSE),0)</f>
        <v>0</v>
      </c>
      <c r="AE104" s="246">
        <f>IFERROR(VLOOKUP(Q104,PROGRAMAS[],2,FALSE),0)</f>
        <v>0</v>
      </c>
      <c r="AF104" s="246">
        <f>IFERROR(VLOOKUP(D104,PROGRAMAS[],3,FALSE),0)</f>
        <v>841888629.31080008</v>
      </c>
      <c r="AG104" s="246">
        <f>IFERROR(VLOOKUP(E104,PROGRAMAS[],3,FALSE),0)</f>
        <v>3848980803.1642323</v>
      </c>
      <c r="AH104" s="246">
        <f>IFERROR(VLOOKUP(F104,PROGRAMAS[],3,FALSE),0)</f>
        <v>3394901471.387517</v>
      </c>
      <c r="AI104" s="246">
        <f>IFERROR(VLOOKUP(G104,PROGRAMAS[],3,FALSE),0)</f>
        <v>125317226.95549992</v>
      </c>
      <c r="AJ104" s="246">
        <f>IFERROR(VLOOKUP(H104,PROGRAMAS[],3,FALSE),0)</f>
        <v>2392571243.5584412</v>
      </c>
      <c r="AK104" s="246">
        <f>IFERROR(VLOOKUP(I104,PROGRAMAS[],3,FALSE),0)</f>
        <v>118617452.52510804</v>
      </c>
      <c r="AL104" s="246">
        <f>IFERROR(VLOOKUP(J104,PROGRAMAS[],3,FALSE),0)</f>
        <v>0</v>
      </c>
      <c r="AM104" s="246">
        <f>IFERROR(VLOOKUP(K104,PROGRAMAS[],3,FALSE),0)</f>
        <v>0</v>
      </c>
      <c r="AN104" s="246">
        <f>IFERROR(VLOOKUP(L104,PROGRAMAS[],3,FALSE),0)</f>
        <v>0</v>
      </c>
      <c r="AO104" s="246">
        <f>IFERROR(VLOOKUP(M104,PROGRAMAS[],3,FALSE),0)</f>
        <v>0</v>
      </c>
      <c r="AP104" s="246">
        <f>IFERROR(VLOOKUP(N104,PROGRAMAS[],3,FALSE),0)</f>
        <v>0</v>
      </c>
      <c r="AQ104" s="246">
        <f>IFERROR(VLOOKUP(O104,PROGRAMAS[],3,FALSE),0)</f>
        <v>0</v>
      </c>
      <c r="AR104" s="246">
        <f>IFERROR(VLOOKUP(P104,PROGRAMAS[],3,FALSE),0)</f>
        <v>0</v>
      </c>
      <c r="AS104" s="246">
        <f>IFERROR(VLOOKUP(Q104,PROGRAMAS[],3,FALSE),0)</f>
        <v>0</v>
      </c>
      <c r="AT104" s="246">
        <f>IFERROR(VLOOKUP(D104,VOL_REC[],2,FALSE),0)</f>
        <v>0</v>
      </c>
      <c r="AU104" s="246">
        <f>IFERROR(VLOOKUP(E104,VOL_REC[],2,FALSE),0)</f>
        <v>0</v>
      </c>
      <c r="AV104" s="246">
        <f>IFERROR(VLOOKUP(F104,VOL_REC[],2,FALSE),0)</f>
        <v>11089674.200000001</v>
      </c>
      <c r="AW104" s="246">
        <f>IFERROR(VLOOKUP(G104,VOL_REC[],2,FALSE),0)</f>
        <v>90439.55</v>
      </c>
      <c r="AX104" s="246">
        <f>IFERROR(VLOOKUP(H104,VOL_REC[],2,FALSE),0)</f>
        <v>663244.80000000016</v>
      </c>
      <c r="AY104" s="246">
        <f>IFERROR(VLOOKUP(I104,VOL_REC[],2,FALSE),0)</f>
        <v>105072</v>
      </c>
      <c r="AZ104" s="246">
        <f>IFERROR(VLOOKUP(J104,VOL_REC[],2,FALSE),0)</f>
        <v>0</v>
      </c>
      <c r="BA104" s="246">
        <f>IFERROR(VLOOKUP(K104,VOL_REC[],2,FALSE),0)</f>
        <v>0</v>
      </c>
      <c r="BB104" s="246">
        <f>IFERROR(VLOOKUP(L104,VOL_REC[],2,FALSE),0)</f>
        <v>0</v>
      </c>
      <c r="BC104" s="246">
        <f>IFERROR(VLOOKUP(M104,VOL_REC[],2,FALSE),0)</f>
        <v>0</v>
      </c>
      <c r="BD104" s="246">
        <f>IFERROR(VLOOKUP(N104,VOL_REC[],2,FALSE),0)</f>
        <v>0</v>
      </c>
      <c r="BE104" s="246">
        <f>IFERROR(VLOOKUP(O104,VOL_REC[],2,FALSE),0)</f>
        <v>0</v>
      </c>
      <c r="BF104" s="246">
        <f>IFERROR(VLOOKUP(P104,VOL_REC[],2,FALSE),0)</f>
        <v>0</v>
      </c>
      <c r="BG104" s="246">
        <f>IFERROR(VLOOKUP(Q104,VOL_REC[],2,FALSE),0)</f>
        <v>0</v>
      </c>
      <c r="BH104" s="1710">
        <f t="shared" si="4"/>
        <v>7766262496.9709778</v>
      </c>
      <c r="BI104" s="1710">
        <f t="shared" si="5"/>
        <v>10722276826.9016</v>
      </c>
      <c r="BJ104" s="1711">
        <f t="shared" si="6"/>
        <v>11948430.550000003</v>
      </c>
      <c r="BK104" s="1711">
        <f t="shared" si="7"/>
        <v>0.72431094835062027</v>
      </c>
    </row>
    <row r="105" spans="3:67" x14ac:dyDescent="0.25">
      <c r="C105" s="246" t="s">
        <v>1455</v>
      </c>
      <c r="D105" s="246">
        <v>1</v>
      </c>
      <c r="E105" s="246">
        <v>2</v>
      </c>
      <c r="F105" s="246">
        <v>3</v>
      </c>
      <c r="G105" s="246">
        <v>4</v>
      </c>
      <c r="H105" s="246">
        <v>13</v>
      </c>
      <c r="I105" s="246">
        <v>16</v>
      </c>
      <c r="J105" s="246"/>
      <c r="K105" s="246"/>
      <c r="L105" s="246"/>
      <c r="M105" s="246"/>
      <c r="N105" s="246"/>
      <c r="O105" s="246"/>
      <c r="P105" s="246"/>
      <c r="Q105" s="246"/>
      <c r="R105" s="246">
        <f>IFERROR(VLOOKUP(D105,PROGRAMAS[],2,FALSE),0)</f>
        <v>97037803.679377079</v>
      </c>
      <c r="S105" s="246">
        <f>IFERROR(VLOOKUP(E105,PROGRAMAS[],2,FALSE),0)</f>
        <v>640501509.6821388</v>
      </c>
      <c r="T105" s="246">
        <f>IFERROR(VLOOKUP(F105,PROGRAMAS[],2,FALSE),0)</f>
        <v>3062327798.1525245</v>
      </c>
      <c r="U105" s="246">
        <f>IFERROR(VLOOKUP(G105,PROGRAMAS[],2,FALSE),0)</f>
        <v>67697118.033011258</v>
      </c>
      <c r="V105" s="246">
        <f>IFERROR(VLOOKUP(H105,PROGRAMAS[],2,FALSE),0)</f>
        <v>3776538594.4604583</v>
      </c>
      <c r="W105" s="246">
        <f>IFERROR(VLOOKUP(I105,PROGRAMAS[],2,FALSE),0)</f>
        <v>7068496961.0436354</v>
      </c>
      <c r="X105" s="246">
        <f>IFERROR(VLOOKUP(J105,PROGRAMAS[],2,FALSE),0)</f>
        <v>0</v>
      </c>
      <c r="Y105" s="246">
        <f>IFERROR(VLOOKUP(K105,PROGRAMAS[],2,FALSE),0)</f>
        <v>0</v>
      </c>
      <c r="Z105" s="246">
        <f>IFERROR(VLOOKUP(L105,PROGRAMAS[],2,FALSE),0)</f>
        <v>0</v>
      </c>
      <c r="AA105" s="246">
        <f>IFERROR(VLOOKUP(M105,PROGRAMAS[],2,FALSE),0)</f>
        <v>0</v>
      </c>
      <c r="AB105" s="246">
        <f>IFERROR(VLOOKUP(N105,PROGRAMAS[],2,FALSE),0)</f>
        <v>0</v>
      </c>
      <c r="AC105" s="246">
        <f>IFERROR(VLOOKUP(O105,PROGRAMAS[],2,FALSE),0)</f>
        <v>0</v>
      </c>
      <c r="AD105" s="246">
        <f>IFERROR(VLOOKUP(P105,PROGRAMAS[],2,FALSE),0)</f>
        <v>0</v>
      </c>
      <c r="AE105" s="246">
        <f>IFERROR(VLOOKUP(Q105,PROGRAMAS[],2,FALSE),0)</f>
        <v>0</v>
      </c>
      <c r="AF105" s="246">
        <f>IFERROR(VLOOKUP(D105,PROGRAMAS[],3,FALSE),0)</f>
        <v>841888629.31080008</v>
      </c>
      <c r="AG105" s="246">
        <f>IFERROR(VLOOKUP(E105,PROGRAMAS[],3,FALSE),0)</f>
        <v>3848980803.1642323</v>
      </c>
      <c r="AH105" s="246">
        <f>IFERROR(VLOOKUP(F105,PROGRAMAS[],3,FALSE),0)</f>
        <v>3394901471.387517</v>
      </c>
      <c r="AI105" s="246">
        <f>IFERROR(VLOOKUP(G105,PROGRAMAS[],3,FALSE),0)</f>
        <v>125317226.95549992</v>
      </c>
      <c r="AJ105" s="246">
        <f>IFERROR(VLOOKUP(H105,PROGRAMAS[],3,FALSE),0)</f>
        <v>2392571243.5584412</v>
      </c>
      <c r="AK105" s="246">
        <f>IFERROR(VLOOKUP(I105,PROGRAMAS[],3,FALSE),0)</f>
        <v>2406564599.0319901</v>
      </c>
      <c r="AL105" s="246">
        <f>IFERROR(VLOOKUP(J105,PROGRAMAS[],3,FALSE),0)</f>
        <v>0</v>
      </c>
      <c r="AM105" s="246">
        <f>IFERROR(VLOOKUP(K105,PROGRAMAS[],3,FALSE),0)</f>
        <v>0</v>
      </c>
      <c r="AN105" s="246">
        <f>IFERROR(VLOOKUP(L105,PROGRAMAS[],3,FALSE),0)</f>
        <v>0</v>
      </c>
      <c r="AO105" s="246">
        <f>IFERROR(VLOOKUP(M105,PROGRAMAS[],3,FALSE),0)</f>
        <v>0</v>
      </c>
      <c r="AP105" s="246">
        <f>IFERROR(VLOOKUP(N105,PROGRAMAS[],3,FALSE),0)</f>
        <v>0</v>
      </c>
      <c r="AQ105" s="246">
        <f>IFERROR(VLOOKUP(O105,PROGRAMAS[],3,FALSE),0)</f>
        <v>0</v>
      </c>
      <c r="AR105" s="246">
        <f>IFERROR(VLOOKUP(P105,PROGRAMAS[],3,FALSE),0)</f>
        <v>0</v>
      </c>
      <c r="AS105" s="246">
        <f>IFERROR(VLOOKUP(Q105,PROGRAMAS[],3,FALSE),0)</f>
        <v>0</v>
      </c>
      <c r="AT105" s="246">
        <f>IFERROR(VLOOKUP(D105,VOL_REC[],2,FALSE),0)</f>
        <v>0</v>
      </c>
      <c r="AU105" s="246">
        <f>IFERROR(VLOOKUP(E105,VOL_REC[],2,FALSE),0)</f>
        <v>0</v>
      </c>
      <c r="AV105" s="246">
        <f>IFERROR(VLOOKUP(F105,VOL_REC[],2,FALSE),0)</f>
        <v>11089674.200000001</v>
      </c>
      <c r="AW105" s="246">
        <f>IFERROR(VLOOKUP(G105,VOL_REC[],2,FALSE),0)</f>
        <v>90439.55</v>
      </c>
      <c r="AX105" s="246">
        <f>IFERROR(VLOOKUP(H105,VOL_REC[],2,FALSE),0)</f>
        <v>663244.80000000016</v>
      </c>
      <c r="AY105" s="246">
        <f>IFERROR(VLOOKUP(I105,VOL_REC[],2,FALSE),0)</f>
        <v>1072354.9981737854</v>
      </c>
      <c r="AZ105" s="246">
        <f>IFERROR(VLOOKUP(J105,VOL_REC[],2,FALSE),0)</f>
        <v>0</v>
      </c>
      <c r="BA105" s="246">
        <f>IFERROR(VLOOKUP(K105,VOL_REC[],2,FALSE),0)</f>
        <v>0</v>
      </c>
      <c r="BB105" s="246">
        <f>IFERROR(VLOOKUP(L105,VOL_REC[],2,FALSE),0)</f>
        <v>0</v>
      </c>
      <c r="BC105" s="246">
        <f>IFERROR(VLOOKUP(M105,VOL_REC[],2,FALSE),0)</f>
        <v>0</v>
      </c>
      <c r="BD105" s="246">
        <f>IFERROR(VLOOKUP(N105,VOL_REC[],2,FALSE),0)</f>
        <v>0</v>
      </c>
      <c r="BE105" s="246">
        <f>IFERROR(VLOOKUP(O105,VOL_REC[],2,FALSE),0)</f>
        <v>0</v>
      </c>
      <c r="BF105" s="246">
        <f>IFERROR(VLOOKUP(P105,VOL_REC[],2,FALSE),0)</f>
        <v>0</v>
      </c>
      <c r="BG105" s="246">
        <f>IFERROR(VLOOKUP(Q105,VOL_REC[],2,FALSE),0)</f>
        <v>0</v>
      </c>
      <c r="BH105" s="1710">
        <f t="shared" si="4"/>
        <v>14712599785.051146</v>
      </c>
      <c r="BI105" s="1710">
        <f t="shared" si="5"/>
        <v>13010223973.408482</v>
      </c>
      <c r="BJ105" s="1711">
        <f t="shared" si="6"/>
        <v>12915713.548173789</v>
      </c>
      <c r="BK105" s="1711">
        <f t="shared" si="7"/>
        <v>1.1308490780114271</v>
      </c>
      <c r="BL105">
        <f>BJ105</f>
        <v>12915713.548173789</v>
      </c>
      <c r="BO105">
        <f>BL105</f>
        <v>12915713.548173789</v>
      </c>
    </row>
    <row r="106" spans="3:67" x14ac:dyDescent="0.25">
      <c r="C106" s="246" t="s">
        <v>1456</v>
      </c>
      <c r="D106" s="246">
        <v>1</v>
      </c>
      <c r="E106" s="246">
        <v>2</v>
      </c>
      <c r="F106" s="246">
        <v>3</v>
      </c>
      <c r="G106" s="246">
        <v>4</v>
      </c>
      <c r="H106" s="246">
        <v>13</v>
      </c>
      <c r="I106" s="246">
        <v>17</v>
      </c>
      <c r="J106" s="246"/>
      <c r="K106" s="246"/>
      <c r="L106" s="246"/>
      <c r="M106" s="246"/>
      <c r="N106" s="246"/>
      <c r="O106" s="246"/>
      <c r="P106" s="246"/>
      <c r="Q106" s="246"/>
      <c r="R106" s="246">
        <f>IFERROR(VLOOKUP(D106,PROGRAMAS[],2,FALSE),0)</f>
        <v>97037803.679377079</v>
      </c>
      <c r="S106" s="246">
        <f>IFERROR(VLOOKUP(E106,PROGRAMAS[],2,FALSE),0)</f>
        <v>640501509.6821388</v>
      </c>
      <c r="T106" s="246">
        <f>IFERROR(VLOOKUP(F106,PROGRAMAS[],2,FALSE),0)</f>
        <v>3062327798.1525245</v>
      </c>
      <c r="U106" s="246">
        <f>IFERROR(VLOOKUP(G106,PROGRAMAS[],2,FALSE),0)</f>
        <v>67697118.033011258</v>
      </c>
      <c r="V106" s="246">
        <f>IFERROR(VLOOKUP(H106,PROGRAMAS[],2,FALSE),0)</f>
        <v>3776538594.4604583</v>
      </c>
      <c r="W106" s="246">
        <f>IFERROR(VLOOKUP(I106,PROGRAMAS[],2,FALSE),0)</f>
        <v>1892779498.5211046</v>
      </c>
      <c r="X106" s="246">
        <f>IFERROR(VLOOKUP(J106,PROGRAMAS[],2,FALSE),0)</f>
        <v>0</v>
      </c>
      <c r="Y106" s="246">
        <f>IFERROR(VLOOKUP(K106,PROGRAMAS[],2,FALSE),0)</f>
        <v>0</v>
      </c>
      <c r="Z106" s="246">
        <f>IFERROR(VLOOKUP(L106,PROGRAMAS[],2,FALSE),0)</f>
        <v>0</v>
      </c>
      <c r="AA106" s="246">
        <f>IFERROR(VLOOKUP(M106,PROGRAMAS[],2,FALSE),0)</f>
        <v>0</v>
      </c>
      <c r="AB106" s="246">
        <f>IFERROR(VLOOKUP(N106,PROGRAMAS[],2,FALSE),0)</f>
        <v>0</v>
      </c>
      <c r="AC106" s="246">
        <f>IFERROR(VLOOKUP(O106,PROGRAMAS[],2,FALSE),0)</f>
        <v>0</v>
      </c>
      <c r="AD106" s="246">
        <f>IFERROR(VLOOKUP(P106,PROGRAMAS[],2,FALSE),0)</f>
        <v>0</v>
      </c>
      <c r="AE106" s="246">
        <f>IFERROR(VLOOKUP(Q106,PROGRAMAS[],2,FALSE),0)</f>
        <v>0</v>
      </c>
      <c r="AF106" s="246">
        <f>IFERROR(VLOOKUP(D106,PROGRAMAS[],3,FALSE),0)</f>
        <v>841888629.31080008</v>
      </c>
      <c r="AG106" s="246">
        <f>IFERROR(VLOOKUP(E106,PROGRAMAS[],3,FALSE),0)</f>
        <v>3848980803.1642323</v>
      </c>
      <c r="AH106" s="246">
        <f>IFERROR(VLOOKUP(F106,PROGRAMAS[],3,FALSE),0)</f>
        <v>3394901471.387517</v>
      </c>
      <c r="AI106" s="246">
        <f>IFERROR(VLOOKUP(G106,PROGRAMAS[],3,FALSE),0)</f>
        <v>125317226.95549992</v>
      </c>
      <c r="AJ106" s="246">
        <f>IFERROR(VLOOKUP(H106,PROGRAMAS[],3,FALSE),0)</f>
        <v>2392571243.5584412</v>
      </c>
      <c r="AK106" s="246">
        <f>IFERROR(VLOOKUP(I106,PROGRAMAS[],3,FALSE),0)</f>
        <v>948595847.09039903</v>
      </c>
      <c r="AL106" s="246">
        <f>IFERROR(VLOOKUP(J106,PROGRAMAS[],3,FALSE),0)</f>
        <v>0</v>
      </c>
      <c r="AM106" s="246">
        <f>IFERROR(VLOOKUP(K106,PROGRAMAS[],3,FALSE),0)</f>
        <v>0</v>
      </c>
      <c r="AN106" s="246">
        <f>IFERROR(VLOOKUP(L106,PROGRAMAS[],3,FALSE),0)</f>
        <v>0</v>
      </c>
      <c r="AO106" s="246">
        <f>IFERROR(VLOOKUP(M106,PROGRAMAS[],3,FALSE),0)</f>
        <v>0</v>
      </c>
      <c r="AP106" s="246">
        <f>IFERROR(VLOOKUP(N106,PROGRAMAS[],3,FALSE),0)</f>
        <v>0</v>
      </c>
      <c r="AQ106" s="246">
        <f>IFERROR(VLOOKUP(O106,PROGRAMAS[],3,FALSE),0)</f>
        <v>0</v>
      </c>
      <c r="AR106" s="246">
        <f>IFERROR(VLOOKUP(P106,PROGRAMAS[],3,FALSE),0)</f>
        <v>0</v>
      </c>
      <c r="AS106" s="246">
        <f>IFERROR(VLOOKUP(Q106,PROGRAMAS[],3,FALSE),0)</f>
        <v>0</v>
      </c>
      <c r="AT106" s="246">
        <f>IFERROR(VLOOKUP(D106,VOL_REC[],2,FALSE),0)</f>
        <v>0</v>
      </c>
      <c r="AU106" s="246">
        <f>IFERROR(VLOOKUP(E106,VOL_REC[],2,FALSE),0)</f>
        <v>0</v>
      </c>
      <c r="AV106" s="246">
        <f>IFERROR(VLOOKUP(F106,VOL_REC[],2,FALSE),0)</f>
        <v>11089674.200000001</v>
      </c>
      <c r="AW106" s="246">
        <f>IFERROR(VLOOKUP(G106,VOL_REC[],2,FALSE),0)</f>
        <v>90439.55</v>
      </c>
      <c r="AX106" s="246">
        <f>IFERROR(VLOOKUP(H106,VOL_REC[],2,FALSE),0)</f>
        <v>663244.80000000016</v>
      </c>
      <c r="AY106" s="246">
        <f>IFERROR(VLOOKUP(I106,VOL_REC[],2,FALSE),0)</f>
        <v>740113.98115702497</v>
      </c>
      <c r="AZ106" s="246">
        <f>IFERROR(VLOOKUP(J106,VOL_REC[],2,FALSE),0)</f>
        <v>0</v>
      </c>
      <c r="BA106" s="246">
        <f>IFERROR(VLOOKUP(K106,VOL_REC[],2,FALSE),0)</f>
        <v>0</v>
      </c>
      <c r="BB106" s="246">
        <f>IFERROR(VLOOKUP(L106,VOL_REC[],2,FALSE),0)</f>
        <v>0</v>
      </c>
      <c r="BC106" s="246">
        <f>IFERROR(VLOOKUP(M106,VOL_REC[],2,FALSE),0)</f>
        <v>0</v>
      </c>
      <c r="BD106" s="246">
        <f>IFERROR(VLOOKUP(N106,VOL_REC[],2,FALSE),0)</f>
        <v>0</v>
      </c>
      <c r="BE106" s="246">
        <f>IFERROR(VLOOKUP(O106,VOL_REC[],2,FALSE),0)</f>
        <v>0</v>
      </c>
      <c r="BF106" s="246">
        <f>IFERROR(VLOOKUP(P106,VOL_REC[],2,FALSE),0)</f>
        <v>0</v>
      </c>
      <c r="BG106" s="246">
        <f>IFERROR(VLOOKUP(Q106,VOL_REC[],2,FALSE),0)</f>
        <v>0</v>
      </c>
      <c r="BH106" s="1710">
        <f t="shared" si="4"/>
        <v>9536882322.528614</v>
      </c>
      <c r="BI106" s="1710">
        <f t="shared" si="5"/>
        <v>11552255221.46689</v>
      </c>
      <c r="BJ106" s="1711">
        <f t="shared" si="6"/>
        <v>12583472.531157028</v>
      </c>
      <c r="BK106" s="1711">
        <f t="shared" si="7"/>
        <v>0.82554290393504937</v>
      </c>
    </row>
    <row r="107" spans="3:67" x14ac:dyDescent="0.25">
      <c r="C107" s="246" t="s">
        <v>1457</v>
      </c>
      <c r="D107" s="246">
        <v>1</v>
      </c>
      <c r="E107" s="246">
        <v>2</v>
      </c>
      <c r="F107" s="246">
        <v>3</v>
      </c>
      <c r="G107" s="246">
        <v>4</v>
      </c>
      <c r="H107" s="246">
        <v>14</v>
      </c>
      <c r="I107" s="246">
        <v>15</v>
      </c>
      <c r="J107" s="246"/>
      <c r="K107" s="246"/>
      <c r="L107" s="246"/>
      <c r="M107" s="246"/>
      <c r="N107" s="246"/>
      <c r="O107" s="246"/>
      <c r="P107" s="246"/>
      <c r="Q107" s="246"/>
      <c r="R107" s="246">
        <f>IFERROR(VLOOKUP(D107,PROGRAMAS[],2,FALSE),0)</f>
        <v>97037803.679377079</v>
      </c>
      <c r="S107" s="246">
        <f>IFERROR(VLOOKUP(E107,PROGRAMAS[],2,FALSE),0)</f>
        <v>640501509.6821388</v>
      </c>
      <c r="T107" s="246">
        <f>IFERROR(VLOOKUP(F107,PROGRAMAS[],2,FALSE),0)</f>
        <v>3062327798.1525245</v>
      </c>
      <c r="U107" s="246">
        <f>IFERROR(VLOOKUP(G107,PROGRAMAS[],2,FALSE),0)</f>
        <v>67697118.033011258</v>
      </c>
      <c r="V107" s="246">
        <f>IFERROR(VLOOKUP(H107,PROGRAMAS[],2,FALSE),0)</f>
        <v>54223862.645839565</v>
      </c>
      <c r="W107" s="246">
        <f>IFERROR(VLOOKUP(I107,PROGRAMAS[],2,FALSE),0)</f>
        <v>122159672.96346797</v>
      </c>
      <c r="X107" s="246">
        <f>IFERROR(VLOOKUP(J107,PROGRAMAS[],2,FALSE),0)</f>
        <v>0</v>
      </c>
      <c r="Y107" s="246">
        <f>IFERROR(VLOOKUP(K107,PROGRAMAS[],2,FALSE),0)</f>
        <v>0</v>
      </c>
      <c r="Z107" s="246">
        <f>IFERROR(VLOOKUP(L107,PROGRAMAS[],2,FALSE),0)</f>
        <v>0</v>
      </c>
      <c r="AA107" s="246">
        <f>IFERROR(VLOOKUP(M107,PROGRAMAS[],2,FALSE),0)</f>
        <v>0</v>
      </c>
      <c r="AB107" s="246">
        <f>IFERROR(VLOOKUP(N107,PROGRAMAS[],2,FALSE),0)</f>
        <v>0</v>
      </c>
      <c r="AC107" s="246">
        <f>IFERROR(VLOOKUP(O107,PROGRAMAS[],2,FALSE),0)</f>
        <v>0</v>
      </c>
      <c r="AD107" s="246">
        <f>IFERROR(VLOOKUP(P107,PROGRAMAS[],2,FALSE),0)</f>
        <v>0</v>
      </c>
      <c r="AE107" s="246">
        <f>IFERROR(VLOOKUP(Q107,PROGRAMAS[],2,FALSE),0)</f>
        <v>0</v>
      </c>
      <c r="AF107" s="246">
        <f>IFERROR(VLOOKUP(D107,PROGRAMAS[],3,FALSE),0)</f>
        <v>841888629.31080008</v>
      </c>
      <c r="AG107" s="246">
        <f>IFERROR(VLOOKUP(E107,PROGRAMAS[],3,FALSE),0)</f>
        <v>3848980803.1642323</v>
      </c>
      <c r="AH107" s="246">
        <f>IFERROR(VLOOKUP(F107,PROGRAMAS[],3,FALSE),0)</f>
        <v>3394901471.387517</v>
      </c>
      <c r="AI107" s="246">
        <f>IFERROR(VLOOKUP(G107,PROGRAMAS[],3,FALSE),0)</f>
        <v>125317226.95549992</v>
      </c>
      <c r="AJ107" s="246">
        <f>IFERROR(VLOOKUP(H107,PROGRAMAS[],3,FALSE),0)</f>
        <v>31865326.38096505</v>
      </c>
      <c r="AK107" s="246">
        <f>IFERROR(VLOOKUP(I107,PROGRAMAS[],3,FALSE),0)</f>
        <v>118617452.52510804</v>
      </c>
      <c r="AL107" s="246">
        <f>IFERROR(VLOOKUP(J107,PROGRAMAS[],3,FALSE),0)</f>
        <v>0</v>
      </c>
      <c r="AM107" s="246">
        <f>IFERROR(VLOOKUP(K107,PROGRAMAS[],3,FALSE),0)</f>
        <v>0</v>
      </c>
      <c r="AN107" s="246">
        <f>IFERROR(VLOOKUP(L107,PROGRAMAS[],3,FALSE),0)</f>
        <v>0</v>
      </c>
      <c r="AO107" s="246">
        <f>IFERROR(VLOOKUP(M107,PROGRAMAS[],3,FALSE),0)</f>
        <v>0</v>
      </c>
      <c r="AP107" s="246">
        <f>IFERROR(VLOOKUP(N107,PROGRAMAS[],3,FALSE),0)</f>
        <v>0</v>
      </c>
      <c r="AQ107" s="246">
        <f>IFERROR(VLOOKUP(O107,PROGRAMAS[],3,FALSE),0)</f>
        <v>0</v>
      </c>
      <c r="AR107" s="246">
        <f>IFERROR(VLOOKUP(P107,PROGRAMAS[],3,FALSE),0)</f>
        <v>0</v>
      </c>
      <c r="AS107" s="246">
        <f>IFERROR(VLOOKUP(Q107,PROGRAMAS[],3,FALSE),0)</f>
        <v>0</v>
      </c>
      <c r="AT107" s="246">
        <f>IFERROR(VLOOKUP(D107,VOL_REC[],2,FALSE),0)</f>
        <v>0</v>
      </c>
      <c r="AU107" s="246">
        <f>IFERROR(VLOOKUP(E107,VOL_REC[],2,FALSE),0)</f>
        <v>0</v>
      </c>
      <c r="AV107" s="246">
        <f>IFERROR(VLOOKUP(F107,VOL_REC[],2,FALSE),0)</f>
        <v>11089674.200000001</v>
      </c>
      <c r="AW107" s="246">
        <f>IFERROR(VLOOKUP(G107,VOL_REC[],2,FALSE),0)</f>
        <v>90439.55</v>
      </c>
      <c r="AX107" s="246">
        <f>IFERROR(VLOOKUP(H107,VOL_REC[],2,FALSE),0)</f>
        <v>17074.045034105649</v>
      </c>
      <c r="AY107" s="246">
        <f>IFERROR(VLOOKUP(I107,VOL_REC[],2,FALSE),0)</f>
        <v>105072</v>
      </c>
      <c r="AZ107" s="246">
        <f>IFERROR(VLOOKUP(J107,VOL_REC[],2,FALSE),0)</f>
        <v>0</v>
      </c>
      <c r="BA107" s="246">
        <f>IFERROR(VLOOKUP(K107,VOL_REC[],2,FALSE),0)</f>
        <v>0</v>
      </c>
      <c r="BB107" s="246">
        <f>IFERROR(VLOOKUP(L107,VOL_REC[],2,FALSE),0)</f>
        <v>0</v>
      </c>
      <c r="BC107" s="246">
        <f>IFERROR(VLOOKUP(M107,VOL_REC[],2,FALSE),0)</f>
        <v>0</v>
      </c>
      <c r="BD107" s="246">
        <f>IFERROR(VLOOKUP(N107,VOL_REC[],2,FALSE),0)</f>
        <v>0</v>
      </c>
      <c r="BE107" s="246">
        <f>IFERROR(VLOOKUP(O107,VOL_REC[],2,FALSE),0)</f>
        <v>0</v>
      </c>
      <c r="BF107" s="246">
        <f>IFERROR(VLOOKUP(P107,VOL_REC[],2,FALSE),0)</f>
        <v>0</v>
      </c>
      <c r="BG107" s="246">
        <f>IFERROR(VLOOKUP(Q107,VOL_REC[],2,FALSE),0)</f>
        <v>0</v>
      </c>
      <c r="BH107" s="1710">
        <f t="shared" si="4"/>
        <v>4043947765.1563597</v>
      </c>
      <c r="BI107" s="1710">
        <f t="shared" si="5"/>
        <v>8361570909.724123</v>
      </c>
      <c r="BJ107" s="1711">
        <f t="shared" si="6"/>
        <v>11302259.795034107</v>
      </c>
      <c r="BK107" s="1711">
        <f t="shared" si="7"/>
        <v>0.48363493042359229</v>
      </c>
    </row>
    <row r="108" spans="3:67" x14ac:dyDescent="0.25">
      <c r="C108" s="246" t="s">
        <v>1458</v>
      </c>
      <c r="D108" s="246">
        <v>1</v>
      </c>
      <c r="E108" s="246">
        <v>2</v>
      </c>
      <c r="F108" s="246">
        <v>3</v>
      </c>
      <c r="G108" s="246">
        <v>4</v>
      </c>
      <c r="H108" s="246">
        <v>14</v>
      </c>
      <c r="I108" s="246">
        <v>16</v>
      </c>
      <c r="J108" s="246"/>
      <c r="K108" s="246"/>
      <c r="L108" s="246"/>
      <c r="M108" s="246"/>
      <c r="N108" s="246"/>
      <c r="O108" s="246"/>
      <c r="P108" s="246"/>
      <c r="Q108" s="246"/>
      <c r="R108" s="246">
        <f>IFERROR(VLOOKUP(D108,PROGRAMAS[],2,FALSE),0)</f>
        <v>97037803.679377079</v>
      </c>
      <c r="S108" s="246">
        <f>IFERROR(VLOOKUP(E108,PROGRAMAS[],2,FALSE),0)</f>
        <v>640501509.6821388</v>
      </c>
      <c r="T108" s="246">
        <f>IFERROR(VLOOKUP(F108,PROGRAMAS[],2,FALSE),0)</f>
        <v>3062327798.1525245</v>
      </c>
      <c r="U108" s="246">
        <f>IFERROR(VLOOKUP(G108,PROGRAMAS[],2,FALSE),0)</f>
        <v>67697118.033011258</v>
      </c>
      <c r="V108" s="246">
        <f>IFERROR(VLOOKUP(H108,PROGRAMAS[],2,FALSE),0)</f>
        <v>54223862.645839565</v>
      </c>
      <c r="W108" s="246">
        <f>IFERROR(VLOOKUP(I108,PROGRAMAS[],2,FALSE),0)</f>
        <v>7068496961.0436354</v>
      </c>
      <c r="X108" s="246">
        <f>IFERROR(VLOOKUP(J108,PROGRAMAS[],2,FALSE),0)</f>
        <v>0</v>
      </c>
      <c r="Y108" s="246">
        <f>IFERROR(VLOOKUP(K108,PROGRAMAS[],2,FALSE),0)</f>
        <v>0</v>
      </c>
      <c r="Z108" s="246">
        <f>IFERROR(VLOOKUP(L108,PROGRAMAS[],2,FALSE),0)</f>
        <v>0</v>
      </c>
      <c r="AA108" s="246">
        <f>IFERROR(VLOOKUP(M108,PROGRAMAS[],2,FALSE),0)</f>
        <v>0</v>
      </c>
      <c r="AB108" s="246">
        <f>IFERROR(VLOOKUP(N108,PROGRAMAS[],2,FALSE),0)</f>
        <v>0</v>
      </c>
      <c r="AC108" s="246">
        <f>IFERROR(VLOOKUP(O108,PROGRAMAS[],2,FALSE),0)</f>
        <v>0</v>
      </c>
      <c r="AD108" s="246">
        <f>IFERROR(VLOOKUP(P108,PROGRAMAS[],2,FALSE),0)</f>
        <v>0</v>
      </c>
      <c r="AE108" s="246">
        <f>IFERROR(VLOOKUP(Q108,PROGRAMAS[],2,FALSE),0)</f>
        <v>0</v>
      </c>
      <c r="AF108" s="246">
        <f>IFERROR(VLOOKUP(D108,PROGRAMAS[],3,FALSE),0)</f>
        <v>841888629.31080008</v>
      </c>
      <c r="AG108" s="246">
        <f>IFERROR(VLOOKUP(E108,PROGRAMAS[],3,FALSE),0)</f>
        <v>3848980803.1642323</v>
      </c>
      <c r="AH108" s="246">
        <f>IFERROR(VLOOKUP(F108,PROGRAMAS[],3,FALSE),0)</f>
        <v>3394901471.387517</v>
      </c>
      <c r="AI108" s="246">
        <f>IFERROR(VLOOKUP(G108,PROGRAMAS[],3,FALSE),0)</f>
        <v>125317226.95549992</v>
      </c>
      <c r="AJ108" s="246">
        <f>IFERROR(VLOOKUP(H108,PROGRAMAS[],3,FALSE),0)</f>
        <v>31865326.38096505</v>
      </c>
      <c r="AK108" s="246">
        <f>IFERROR(VLOOKUP(I108,PROGRAMAS[],3,FALSE),0)</f>
        <v>2406564599.0319901</v>
      </c>
      <c r="AL108" s="246">
        <f>IFERROR(VLOOKUP(J108,PROGRAMAS[],3,FALSE),0)</f>
        <v>0</v>
      </c>
      <c r="AM108" s="246">
        <f>IFERROR(VLOOKUP(K108,PROGRAMAS[],3,FALSE),0)</f>
        <v>0</v>
      </c>
      <c r="AN108" s="246">
        <f>IFERROR(VLOOKUP(L108,PROGRAMAS[],3,FALSE),0)</f>
        <v>0</v>
      </c>
      <c r="AO108" s="246">
        <f>IFERROR(VLOOKUP(M108,PROGRAMAS[],3,FALSE),0)</f>
        <v>0</v>
      </c>
      <c r="AP108" s="246">
        <f>IFERROR(VLOOKUP(N108,PROGRAMAS[],3,FALSE),0)</f>
        <v>0</v>
      </c>
      <c r="AQ108" s="246">
        <f>IFERROR(VLOOKUP(O108,PROGRAMAS[],3,FALSE),0)</f>
        <v>0</v>
      </c>
      <c r="AR108" s="246">
        <f>IFERROR(VLOOKUP(P108,PROGRAMAS[],3,FALSE),0)</f>
        <v>0</v>
      </c>
      <c r="AS108" s="246">
        <f>IFERROR(VLOOKUP(Q108,PROGRAMAS[],3,FALSE),0)</f>
        <v>0</v>
      </c>
      <c r="AT108" s="246">
        <f>IFERROR(VLOOKUP(D108,VOL_REC[],2,FALSE),0)</f>
        <v>0</v>
      </c>
      <c r="AU108" s="246">
        <f>IFERROR(VLOOKUP(E108,VOL_REC[],2,FALSE),0)</f>
        <v>0</v>
      </c>
      <c r="AV108" s="246">
        <f>IFERROR(VLOOKUP(F108,VOL_REC[],2,FALSE),0)</f>
        <v>11089674.200000001</v>
      </c>
      <c r="AW108" s="246">
        <f>IFERROR(VLOOKUP(G108,VOL_REC[],2,FALSE),0)</f>
        <v>90439.55</v>
      </c>
      <c r="AX108" s="246">
        <f>IFERROR(VLOOKUP(H108,VOL_REC[],2,FALSE),0)</f>
        <v>17074.045034105649</v>
      </c>
      <c r="AY108" s="246">
        <f>IFERROR(VLOOKUP(I108,VOL_REC[],2,FALSE),0)</f>
        <v>1072354.9981737854</v>
      </c>
      <c r="AZ108" s="246">
        <f>IFERROR(VLOOKUP(J108,VOL_REC[],2,FALSE),0)</f>
        <v>0</v>
      </c>
      <c r="BA108" s="246">
        <f>IFERROR(VLOOKUP(K108,VOL_REC[],2,FALSE),0)</f>
        <v>0</v>
      </c>
      <c r="BB108" s="246">
        <f>IFERROR(VLOOKUP(L108,VOL_REC[],2,FALSE),0)</f>
        <v>0</v>
      </c>
      <c r="BC108" s="246">
        <f>IFERROR(VLOOKUP(M108,VOL_REC[],2,FALSE),0)</f>
        <v>0</v>
      </c>
      <c r="BD108" s="246">
        <f>IFERROR(VLOOKUP(N108,VOL_REC[],2,FALSE),0)</f>
        <v>0</v>
      </c>
      <c r="BE108" s="246">
        <f>IFERROR(VLOOKUP(O108,VOL_REC[],2,FALSE),0)</f>
        <v>0</v>
      </c>
      <c r="BF108" s="246">
        <f>IFERROR(VLOOKUP(P108,VOL_REC[],2,FALSE),0)</f>
        <v>0</v>
      </c>
      <c r="BG108" s="246">
        <f>IFERROR(VLOOKUP(Q108,VOL_REC[],2,FALSE),0)</f>
        <v>0</v>
      </c>
      <c r="BH108" s="1710">
        <f t="shared" si="4"/>
        <v>10990285053.236526</v>
      </c>
      <c r="BI108" s="1710">
        <f t="shared" si="5"/>
        <v>10649518056.231005</v>
      </c>
      <c r="BJ108" s="1711">
        <f t="shared" si="6"/>
        <v>12269542.793207891</v>
      </c>
      <c r="BK108" s="1711">
        <f t="shared" si="7"/>
        <v>1.0319983491465268</v>
      </c>
      <c r="BL108">
        <f>BJ108</f>
        <v>12269542.793207891</v>
      </c>
      <c r="BO108">
        <f>BL108</f>
        <v>12269542.793207891</v>
      </c>
    </row>
    <row r="109" spans="3:67" x14ac:dyDescent="0.25">
      <c r="C109" s="246" t="s">
        <v>1459</v>
      </c>
      <c r="D109" s="246">
        <v>1</v>
      </c>
      <c r="E109" s="246">
        <v>2</v>
      </c>
      <c r="F109" s="246">
        <v>3</v>
      </c>
      <c r="G109" s="246">
        <v>4</v>
      </c>
      <c r="H109" s="246">
        <v>14</v>
      </c>
      <c r="I109" s="246">
        <v>17</v>
      </c>
      <c r="J109" s="246"/>
      <c r="K109" s="246"/>
      <c r="L109" s="246"/>
      <c r="M109" s="246"/>
      <c r="N109" s="246"/>
      <c r="O109" s="246"/>
      <c r="P109" s="246"/>
      <c r="Q109" s="246"/>
      <c r="R109" s="246">
        <f>IFERROR(VLOOKUP(D109,PROGRAMAS[],2,FALSE),0)</f>
        <v>97037803.679377079</v>
      </c>
      <c r="S109" s="246">
        <f>IFERROR(VLOOKUP(E109,PROGRAMAS[],2,FALSE),0)</f>
        <v>640501509.6821388</v>
      </c>
      <c r="T109" s="246">
        <f>IFERROR(VLOOKUP(F109,PROGRAMAS[],2,FALSE),0)</f>
        <v>3062327798.1525245</v>
      </c>
      <c r="U109" s="246">
        <f>IFERROR(VLOOKUP(G109,PROGRAMAS[],2,FALSE),0)</f>
        <v>67697118.033011258</v>
      </c>
      <c r="V109" s="246">
        <f>IFERROR(VLOOKUP(H109,PROGRAMAS[],2,FALSE),0)</f>
        <v>54223862.645839565</v>
      </c>
      <c r="W109" s="246">
        <f>IFERROR(VLOOKUP(I109,PROGRAMAS[],2,FALSE),0)</f>
        <v>1892779498.5211046</v>
      </c>
      <c r="X109" s="246">
        <f>IFERROR(VLOOKUP(J109,PROGRAMAS[],2,FALSE),0)</f>
        <v>0</v>
      </c>
      <c r="Y109" s="246">
        <f>IFERROR(VLOOKUP(K109,PROGRAMAS[],2,FALSE),0)</f>
        <v>0</v>
      </c>
      <c r="Z109" s="246">
        <f>IFERROR(VLOOKUP(L109,PROGRAMAS[],2,FALSE),0)</f>
        <v>0</v>
      </c>
      <c r="AA109" s="246">
        <f>IFERROR(VLOOKUP(M109,PROGRAMAS[],2,FALSE),0)</f>
        <v>0</v>
      </c>
      <c r="AB109" s="246">
        <f>IFERROR(VLOOKUP(N109,PROGRAMAS[],2,FALSE),0)</f>
        <v>0</v>
      </c>
      <c r="AC109" s="246">
        <f>IFERROR(VLOOKUP(O109,PROGRAMAS[],2,FALSE),0)</f>
        <v>0</v>
      </c>
      <c r="AD109" s="246">
        <f>IFERROR(VLOOKUP(P109,PROGRAMAS[],2,FALSE),0)</f>
        <v>0</v>
      </c>
      <c r="AE109" s="246">
        <f>IFERROR(VLOOKUP(Q109,PROGRAMAS[],2,FALSE),0)</f>
        <v>0</v>
      </c>
      <c r="AF109" s="246">
        <f>IFERROR(VLOOKUP(D109,PROGRAMAS[],3,FALSE),0)</f>
        <v>841888629.31080008</v>
      </c>
      <c r="AG109" s="246">
        <f>IFERROR(VLOOKUP(E109,PROGRAMAS[],3,FALSE),0)</f>
        <v>3848980803.1642323</v>
      </c>
      <c r="AH109" s="246">
        <f>IFERROR(VLOOKUP(F109,PROGRAMAS[],3,FALSE),0)</f>
        <v>3394901471.387517</v>
      </c>
      <c r="AI109" s="246">
        <f>IFERROR(VLOOKUP(G109,PROGRAMAS[],3,FALSE),0)</f>
        <v>125317226.95549992</v>
      </c>
      <c r="AJ109" s="246">
        <f>IFERROR(VLOOKUP(H109,PROGRAMAS[],3,FALSE),0)</f>
        <v>31865326.38096505</v>
      </c>
      <c r="AK109" s="246">
        <f>IFERROR(VLOOKUP(I109,PROGRAMAS[],3,FALSE),0)</f>
        <v>948595847.09039903</v>
      </c>
      <c r="AL109" s="246">
        <f>IFERROR(VLOOKUP(J109,PROGRAMAS[],3,FALSE),0)</f>
        <v>0</v>
      </c>
      <c r="AM109" s="246">
        <f>IFERROR(VLOOKUP(K109,PROGRAMAS[],3,FALSE),0)</f>
        <v>0</v>
      </c>
      <c r="AN109" s="246">
        <f>IFERROR(VLOOKUP(L109,PROGRAMAS[],3,FALSE),0)</f>
        <v>0</v>
      </c>
      <c r="AO109" s="246">
        <f>IFERROR(VLOOKUP(M109,PROGRAMAS[],3,FALSE),0)</f>
        <v>0</v>
      </c>
      <c r="AP109" s="246">
        <f>IFERROR(VLOOKUP(N109,PROGRAMAS[],3,FALSE),0)</f>
        <v>0</v>
      </c>
      <c r="AQ109" s="246">
        <f>IFERROR(VLOOKUP(O109,PROGRAMAS[],3,FALSE),0)</f>
        <v>0</v>
      </c>
      <c r="AR109" s="246">
        <f>IFERROR(VLOOKUP(P109,PROGRAMAS[],3,FALSE),0)</f>
        <v>0</v>
      </c>
      <c r="AS109" s="246">
        <f>IFERROR(VLOOKUP(Q109,PROGRAMAS[],3,FALSE),0)</f>
        <v>0</v>
      </c>
      <c r="AT109" s="246">
        <f>IFERROR(VLOOKUP(D109,VOL_REC[],2,FALSE),0)</f>
        <v>0</v>
      </c>
      <c r="AU109" s="246">
        <f>IFERROR(VLOOKUP(E109,VOL_REC[],2,FALSE),0)</f>
        <v>0</v>
      </c>
      <c r="AV109" s="246">
        <f>IFERROR(VLOOKUP(F109,VOL_REC[],2,FALSE),0)</f>
        <v>11089674.200000001</v>
      </c>
      <c r="AW109" s="246">
        <f>IFERROR(VLOOKUP(G109,VOL_REC[],2,FALSE),0)</f>
        <v>90439.55</v>
      </c>
      <c r="AX109" s="246">
        <f>IFERROR(VLOOKUP(H109,VOL_REC[],2,FALSE),0)</f>
        <v>17074.045034105649</v>
      </c>
      <c r="AY109" s="246">
        <f>IFERROR(VLOOKUP(I109,VOL_REC[],2,FALSE),0)</f>
        <v>740113.98115702497</v>
      </c>
      <c r="AZ109" s="246">
        <f>IFERROR(VLOOKUP(J109,VOL_REC[],2,FALSE),0)</f>
        <v>0</v>
      </c>
      <c r="BA109" s="246">
        <f>IFERROR(VLOOKUP(K109,VOL_REC[],2,FALSE),0)</f>
        <v>0</v>
      </c>
      <c r="BB109" s="246">
        <f>IFERROR(VLOOKUP(L109,VOL_REC[],2,FALSE),0)</f>
        <v>0</v>
      </c>
      <c r="BC109" s="246">
        <f>IFERROR(VLOOKUP(M109,VOL_REC[],2,FALSE),0)</f>
        <v>0</v>
      </c>
      <c r="BD109" s="246">
        <f>IFERROR(VLOOKUP(N109,VOL_REC[],2,FALSE),0)</f>
        <v>0</v>
      </c>
      <c r="BE109" s="246">
        <f>IFERROR(VLOOKUP(O109,VOL_REC[],2,FALSE),0)</f>
        <v>0</v>
      </c>
      <c r="BF109" s="246">
        <f>IFERROR(VLOOKUP(P109,VOL_REC[],2,FALSE),0)</f>
        <v>0</v>
      </c>
      <c r="BG109" s="246">
        <f>IFERROR(VLOOKUP(Q109,VOL_REC[],2,FALSE),0)</f>
        <v>0</v>
      </c>
      <c r="BH109" s="1710">
        <f t="shared" si="4"/>
        <v>5814567590.7139959</v>
      </c>
      <c r="BI109" s="1710">
        <f t="shared" si="5"/>
        <v>9191549304.2894135</v>
      </c>
      <c r="BJ109" s="1711">
        <f t="shared" si="6"/>
        <v>11937301.776191132</v>
      </c>
      <c r="BK109" s="1711">
        <f t="shared" si="7"/>
        <v>0.63259929291795414</v>
      </c>
    </row>
    <row r="110" spans="3:67" x14ac:dyDescent="0.25">
      <c r="C110" s="246" t="s">
        <v>1460</v>
      </c>
      <c r="D110" s="246">
        <v>1</v>
      </c>
      <c r="E110" s="246">
        <v>2</v>
      </c>
      <c r="F110" s="246">
        <v>3</v>
      </c>
      <c r="G110" s="246">
        <v>4</v>
      </c>
      <c r="H110" s="246">
        <v>15</v>
      </c>
      <c r="I110" s="246">
        <v>16</v>
      </c>
      <c r="J110" s="246"/>
      <c r="K110" s="246"/>
      <c r="L110" s="246"/>
      <c r="M110" s="246"/>
      <c r="N110" s="246"/>
      <c r="O110" s="246"/>
      <c r="P110" s="246"/>
      <c r="Q110" s="246"/>
      <c r="R110" s="246">
        <f>IFERROR(VLOOKUP(D110,PROGRAMAS[],2,FALSE),0)</f>
        <v>97037803.679377079</v>
      </c>
      <c r="S110" s="246">
        <f>IFERROR(VLOOKUP(E110,PROGRAMAS[],2,FALSE),0)</f>
        <v>640501509.6821388</v>
      </c>
      <c r="T110" s="246">
        <f>IFERROR(VLOOKUP(F110,PROGRAMAS[],2,FALSE),0)</f>
        <v>3062327798.1525245</v>
      </c>
      <c r="U110" s="246">
        <f>IFERROR(VLOOKUP(G110,PROGRAMAS[],2,FALSE),0)</f>
        <v>67697118.033011258</v>
      </c>
      <c r="V110" s="246">
        <f>IFERROR(VLOOKUP(H110,PROGRAMAS[],2,FALSE),0)</f>
        <v>122159672.96346797</v>
      </c>
      <c r="W110" s="246">
        <f>IFERROR(VLOOKUP(I110,PROGRAMAS[],2,FALSE),0)</f>
        <v>7068496961.0436354</v>
      </c>
      <c r="X110" s="246">
        <f>IFERROR(VLOOKUP(J110,PROGRAMAS[],2,FALSE),0)</f>
        <v>0</v>
      </c>
      <c r="Y110" s="246">
        <f>IFERROR(VLOOKUP(K110,PROGRAMAS[],2,FALSE),0)</f>
        <v>0</v>
      </c>
      <c r="Z110" s="246">
        <f>IFERROR(VLOOKUP(L110,PROGRAMAS[],2,FALSE),0)</f>
        <v>0</v>
      </c>
      <c r="AA110" s="246">
        <f>IFERROR(VLOOKUP(M110,PROGRAMAS[],2,FALSE),0)</f>
        <v>0</v>
      </c>
      <c r="AB110" s="246">
        <f>IFERROR(VLOOKUP(N110,PROGRAMAS[],2,FALSE),0)</f>
        <v>0</v>
      </c>
      <c r="AC110" s="246">
        <f>IFERROR(VLOOKUP(O110,PROGRAMAS[],2,FALSE),0)</f>
        <v>0</v>
      </c>
      <c r="AD110" s="246">
        <f>IFERROR(VLOOKUP(P110,PROGRAMAS[],2,FALSE),0)</f>
        <v>0</v>
      </c>
      <c r="AE110" s="246">
        <f>IFERROR(VLOOKUP(Q110,PROGRAMAS[],2,FALSE),0)</f>
        <v>0</v>
      </c>
      <c r="AF110" s="246">
        <f>IFERROR(VLOOKUP(D110,PROGRAMAS[],3,FALSE),0)</f>
        <v>841888629.31080008</v>
      </c>
      <c r="AG110" s="246">
        <f>IFERROR(VLOOKUP(E110,PROGRAMAS[],3,FALSE),0)</f>
        <v>3848980803.1642323</v>
      </c>
      <c r="AH110" s="246">
        <f>IFERROR(VLOOKUP(F110,PROGRAMAS[],3,FALSE),0)</f>
        <v>3394901471.387517</v>
      </c>
      <c r="AI110" s="246">
        <f>IFERROR(VLOOKUP(G110,PROGRAMAS[],3,FALSE),0)</f>
        <v>125317226.95549992</v>
      </c>
      <c r="AJ110" s="246">
        <f>IFERROR(VLOOKUP(H110,PROGRAMAS[],3,FALSE),0)</f>
        <v>118617452.52510804</v>
      </c>
      <c r="AK110" s="246">
        <f>IFERROR(VLOOKUP(I110,PROGRAMAS[],3,FALSE),0)</f>
        <v>2406564599.0319901</v>
      </c>
      <c r="AL110" s="246">
        <f>IFERROR(VLOOKUP(J110,PROGRAMAS[],3,FALSE),0)</f>
        <v>0</v>
      </c>
      <c r="AM110" s="246">
        <f>IFERROR(VLOOKUP(K110,PROGRAMAS[],3,FALSE),0)</f>
        <v>0</v>
      </c>
      <c r="AN110" s="246">
        <f>IFERROR(VLOOKUP(L110,PROGRAMAS[],3,FALSE),0)</f>
        <v>0</v>
      </c>
      <c r="AO110" s="246">
        <f>IFERROR(VLOOKUP(M110,PROGRAMAS[],3,FALSE),0)</f>
        <v>0</v>
      </c>
      <c r="AP110" s="246">
        <f>IFERROR(VLOOKUP(N110,PROGRAMAS[],3,FALSE),0)</f>
        <v>0</v>
      </c>
      <c r="AQ110" s="246">
        <f>IFERROR(VLOOKUP(O110,PROGRAMAS[],3,FALSE),0)</f>
        <v>0</v>
      </c>
      <c r="AR110" s="246">
        <f>IFERROR(VLOOKUP(P110,PROGRAMAS[],3,FALSE),0)</f>
        <v>0</v>
      </c>
      <c r="AS110" s="246">
        <f>IFERROR(VLOOKUP(Q110,PROGRAMAS[],3,FALSE),0)</f>
        <v>0</v>
      </c>
      <c r="AT110" s="246">
        <f>IFERROR(VLOOKUP(D110,VOL_REC[],2,FALSE),0)</f>
        <v>0</v>
      </c>
      <c r="AU110" s="246">
        <f>IFERROR(VLOOKUP(E110,VOL_REC[],2,FALSE),0)</f>
        <v>0</v>
      </c>
      <c r="AV110" s="246">
        <f>IFERROR(VLOOKUP(F110,VOL_REC[],2,FALSE),0)</f>
        <v>11089674.200000001</v>
      </c>
      <c r="AW110" s="246">
        <f>IFERROR(VLOOKUP(G110,VOL_REC[],2,FALSE),0)</f>
        <v>90439.55</v>
      </c>
      <c r="AX110" s="246">
        <f>IFERROR(VLOOKUP(H110,VOL_REC[],2,FALSE),0)</f>
        <v>105072</v>
      </c>
      <c r="AY110" s="246">
        <f>IFERROR(VLOOKUP(I110,VOL_REC[],2,FALSE),0)</f>
        <v>1072354.9981737854</v>
      </c>
      <c r="AZ110" s="246">
        <f>IFERROR(VLOOKUP(J110,VOL_REC[],2,FALSE),0)</f>
        <v>0</v>
      </c>
      <c r="BA110" s="246">
        <f>IFERROR(VLOOKUP(K110,VOL_REC[],2,FALSE),0)</f>
        <v>0</v>
      </c>
      <c r="BB110" s="246">
        <f>IFERROR(VLOOKUP(L110,VOL_REC[],2,FALSE),0)</f>
        <v>0</v>
      </c>
      <c r="BC110" s="246">
        <f>IFERROR(VLOOKUP(M110,VOL_REC[],2,FALSE),0)</f>
        <v>0</v>
      </c>
      <c r="BD110" s="246">
        <f>IFERROR(VLOOKUP(N110,VOL_REC[],2,FALSE),0)</f>
        <v>0</v>
      </c>
      <c r="BE110" s="246">
        <f>IFERROR(VLOOKUP(O110,VOL_REC[],2,FALSE),0)</f>
        <v>0</v>
      </c>
      <c r="BF110" s="246">
        <f>IFERROR(VLOOKUP(P110,VOL_REC[],2,FALSE),0)</f>
        <v>0</v>
      </c>
      <c r="BG110" s="246">
        <f>IFERROR(VLOOKUP(Q110,VOL_REC[],2,FALSE),0)</f>
        <v>0</v>
      </c>
      <c r="BH110" s="1710">
        <f t="shared" si="4"/>
        <v>11058220863.554155</v>
      </c>
      <c r="BI110" s="1710">
        <f t="shared" si="5"/>
        <v>10736270182.375149</v>
      </c>
      <c r="BJ110" s="1711">
        <f t="shared" si="6"/>
        <v>12357540.748173788</v>
      </c>
      <c r="BK110" s="1711">
        <f t="shared" si="7"/>
        <v>1.0299871999968413</v>
      </c>
      <c r="BL110">
        <f>BJ110</f>
        <v>12357540.748173788</v>
      </c>
      <c r="BO110">
        <f>BL110</f>
        <v>12357540.748173788</v>
      </c>
    </row>
    <row r="111" spans="3:67" x14ac:dyDescent="0.25">
      <c r="C111" s="246" t="s">
        <v>1461</v>
      </c>
      <c r="D111" s="246">
        <v>1</v>
      </c>
      <c r="E111" s="246">
        <v>2</v>
      </c>
      <c r="F111" s="246">
        <v>3</v>
      </c>
      <c r="G111" s="246">
        <v>4</v>
      </c>
      <c r="H111" s="246">
        <v>15</v>
      </c>
      <c r="I111" s="246">
        <v>17</v>
      </c>
      <c r="J111" s="246"/>
      <c r="K111" s="246"/>
      <c r="L111" s="246"/>
      <c r="M111" s="246"/>
      <c r="N111" s="246"/>
      <c r="O111" s="246"/>
      <c r="P111" s="246"/>
      <c r="Q111" s="246"/>
      <c r="R111" s="246">
        <f>IFERROR(VLOOKUP(D111,PROGRAMAS[],2,FALSE),0)</f>
        <v>97037803.679377079</v>
      </c>
      <c r="S111" s="246">
        <f>IFERROR(VLOOKUP(E111,PROGRAMAS[],2,FALSE),0)</f>
        <v>640501509.6821388</v>
      </c>
      <c r="T111" s="246">
        <f>IFERROR(VLOOKUP(F111,PROGRAMAS[],2,FALSE),0)</f>
        <v>3062327798.1525245</v>
      </c>
      <c r="U111" s="246">
        <f>IFERROR(VLOOKUP(G111,PROGRAMAS[],2,FALSE),0)</f>
        <v>67697118.033011258</v>
      </c>
      <c r="V111" s="246">
        <f>IFERROR(VLOOKUP(H111,PROGRAMAS[],2,FALSE),0)</f>
        <v>122159672.96346797</v>
      </c>
      <c r="W111" s="246">
        <f>IFERROR(VLOOKUP(I111,PROGRAMAS[],2,FALSE),0)</f>
        <v>1892779498.5211046</v>
      </c>
      <c r="X111" s="246">
        <f>IFERROR(VLOOKUP(J111,PROGRAMAS[],2,FALSE),0)</f>
        <v>0</v>
      </c>
      <c r="Y111" s="246">
        <f>IFERROR(VLOOKUP(K111,PROGRAMAS[],2,FALSE),0)</f>
        <v>0</v>
      </c>
      <c r="Z111" s="246">
        <f>IFERROR(VLOOKUP(L111,PROGRAMAS[],2,FALSE),0)</f>
        <v>0</v>
      </c>
      <c r="AA111" s="246">
        <f>IFERROR(VLOOKUP(M111,PROGRAMAS[],2,FALSE),0)</f>
        <v>0</v>
      </c>
      <c r="AB111" s="246">
        <f>IFERROR(VLOOKUP(N111,PROGRAMAS[],2,FALSE),0)</f>
        <v>0</v>
      </c>
      <c r="AC111" s="246">
        <f>IFERROR(VLOOKUP(O111,PROGRAMAS[],2,FALSE),0)</f>
        <v>0</v>
      </c>
      <c r="AD111" s="246">
        <f>IFERROR(VLOOKUP(P111,PROGRAMAS[],2,FALSE),0)</f>
        <v>0</v>
      </c>
      <c r="AE111" s="246">
        <f>IFERROR(VLOOKUP(Q111,PROGRAMAS[],2,FALSE),0)</f>
        <v>0</v>
      </c>
      <c r="AF111" s="246">
        <f>IFERROR(VLOOKUP(D111,PROGRAMAS[],3,FALSE),0)</f>
        <v>841888629.31080008</v>
      </c>
      <c r="AG111" s="246">
        <f>IFERROR(VLOOKUP(E111,PROGRAMAS[],3,FALSE),0)</f>
        <v>3848980803.1642323</v>
      </c>
      <c r="AH111" s="246">
        <f>IFERROR(VLOOKUP(F111,PROGRAMAS[],3,FALSE),0)</f>
        <v>3394901471.387517</v>
      </c>
      <c r="AI111" s="246">
        <f>IFERROR(VLOOKUP(G111,PROGRAMAS[],3,FALSE),0)</f>
        <v>125317226.95549992</v>
      </c>
      <c r="AJ111" s="246">
        <f>IFERROR(VLOOKUP(H111,PROGRAMAS[],3,FALSE),0)</f>
        <v>118617452.52510804</v>
      </c>
      <c r="AK111" s="246">
        <f>IFERROR(VLOOKUP(I111,PROGRAMAS[],3,FALSE),0)</f>
        <v>948595847.09039903</v>
      </c>
      <c r="AL111" s="246">
        <f>IFERROR(VLOOKUP(J111,PROGRAMAS[],3,FALSE),0)</f>
        <v>0</v>
      </c>
      <c r="AM111" s="246">
        <f>IFERROR(VLOOKUP(K111,PROGRAMAS[],3,FALSE),0)</f>
        <v>0</v>
      </c>
      <c r="AN111" s="246">
        <f>IFERROR(VLOOKUP(L111,PROGRAMAS[],3,FALSE),0)</f>
        <v>0</v>
      </c>
      <c r="AO111" s="246">
        <f>IFERROR(VLOOKUP(M111,PROGRAMAS[],3,FALSE),0)</f>
        <v>0</v>
      </c>
      <c r="AP111" s="246">
        <f>IFERROR(VLOOKUP(N111,PROGRAMAS[],3,FALSE),0)</f>
        <v>0</v>
      </c>
      <c r="AQ111" s="246">
        <f>IFERROR(VLOOKUP(O111,PROGRAMAS[],3,FALSE),0)</f>
        <v>0</v>
      </c>
      <c r="AR111" s="246">
        <f>IFERROR(VLOOKUP(P111,PROGRAMAS[],3,FALSE),0)</f>
        <v>0</v>
      </c>
      <c r="AS111" s="246">
        <f>IFERROR(VLOOKUP(Q111,PROGRAMAS[],3,FALSE),0)</f>
        <v>0</v>
      </c>
      <c r="AT111" s="246">
        <f>IFERROR(VLOOKUP(D111,VOL_REC[],2,FALSE),0)</f>
        <v>0</v>
      </c>
      <c r="AU111" s="246">
        <f>IFERROR(VLOOKUP(E111,VOL_REC[],2,FALSE),0)</f>
        <v>0</v>
      </c>
      <c r="AV111" s="246">
        <f>IFERROR(VLOOKUP(F111,VOL_REC[],2,FALSE),0)</f>
        <v>11089674.200000001</v>
      </c>
      <c r="AW111" s="246">
        <f>IFERROR(VLOOKUP(G111,VOL_REC[],2,FALSE),0)</f>
        <v>90439.55</v>
      </c>
      <c r="AX111" s="246">
        <f>IFERROR(VLOOKUP(H111,VOL_REC[],2,FALSE),0)</f>
        <v>105072</v>
      </c>
      <c r="AY111" s="246">
        <f>IFERROR(VLOOKUP(I111,VOL_REC[],2,FALSE),0)</f>
        <v>740113.98115702497</v>
      </c>
      <c r="AZ111" s="246">
        <f>IFERROR(VLOOKUP(J111,VOL_REC[],2,FALSE),0)</f>
        <v>0</v>
      </c>
      <c r="BA111" s="246">
        <f>IFERROR(VLOOKUP(K111,VOL_REC[],2,FALSE),0)</f>
        <v>0</v>
      </c>
      <c r="BB111" s="246">
        <f>IFERROR(VLOOKUP(L111,VOL_REC[],2,FALSE),0)</f>
        <v>0</v>
      </c>
      <c r="BC111" s="246">
        <f>IFERROR(VLOOKUP(M111,VOL_REC[],2,FALSE),0)</f>
        <v>0</v>
      </c>
      <c r="BD111" s="246">
        <f>IFERROR(VLOOKUP(N111,VOL_REC[],2,FALSE),0)</f>
        <v>0</v>
      </c>
      <c r="BE111" s="246">
        <f>IFERROR(VLOOKUP(O111,VOL_REC[],2,FALSE),0)</f>
        <v>0</v>
      </c>
      <c r="BF111" s="246">
        <f>IFERROR(VLOOKUP(P111,VOL_REC[],2,FALSE),0)</f>
        <v>0</v>
      </c>
      <c r="BG111" s="246">
        <f>IFERROR(VLOOKUP(Q111,VOL_REC[],2,FALSE),0)</f>
        <v>0</v>
      </c>
      <c r="BH111" s="1710">
        <f t="shared" si="4"/>
        <v>5882503401.0316248</v>
      </c>
      <c r="BI111" s="1710">
        <f t="shared" si="5"/>
        <v>9278301430.4335575</v>
      </c>
      <c r="BJ111" s="1711">
        <f t="shared" si="6"/>
        <v>12025299.731157027</v>
      </c>
      <c r="BK111" s="1711">
        <f t="shared" si="7"/>
        <v>0.63400649840245016</v>
      </c>
    </row>
    <row r="112" spans="3:67" x14ac:dyDescent="0.25">
      <c r="C112" s="246" t="s">
        <v>1462</v>
      </c>
      <c r="D112" s="246">
        <v>1</v>
      </c>
      <c r="E112" s="246">
        <v>2</v>
      </c>
      <c r="F112" s="246">
        <v>3</v>
      </c>
      <c r="G112" s="246">
        <v>4</v>
      </c>
      <c r="H112" s="246">
        <v>16</v>
      </c>
      <c r="I112" s="246">
        <v>17</v>
      </c>
      <c r="J112" s="246"/>
      <c r="K112" s="246"/>
      <c r="L112" s="246"/>
      <c r="M112" s="246"/>
      <c r="N112" s="246"/>
      <c r="O112" s="246"/>
      <c r="P112" s="246"/>
      <c r="Q112" s="246"/>
      <c r="R112" s="246">
        <f>IFERROR(VLOOKUP(D112,PROGRAMAS[],2,FALSE),0)</f>
        <v>97037803.679377079</v>
      </c>
      <c r="S112" s="246">
        <f>IFERROR(VLOOKUP(E112,PROGRAMAS[],2,FALSE),0)</f>
        <v>640501509.6821388</v>
      </c>
      <c r="T112" s="246">
        <f>IFERROR(VLOOKUP(F112,PROGRAMAS[],2,FALSE),0)</f>
        <v>3062327798.1525245</v>
      </c>
      <c r="U112" s="246">
        <f>IFERROR(VLOOKUP(G112,PROGRAMAS[],2,FALSE),0)</f>
        <v>67697118.033011258</v>
      </c>
      <c r="V112" s="246">
        <f>IFERROR(VLOOKUP(H112,PROGRAMAS[],2,FALSE),0)</f>
        <v>7068496961.0436354</v>
      </c>
      <c r="W112" s="246">
        <f>IFERROR(VLOOKUP(I112,PROGRAMAS[],2,FALSE),0)</f>
        <v>1892779498.5211046</v>
      </c>
      <c r="X112" s="246">
        <f>IFERROR(VLOOKUP(J112,PROGRAMAS[],2,FALSE),0)</f>
        <v>0</v>
      </c>
      <c r="Y112" s="246">
        <f>IFERROR(VLOOKUP(K112,PROGRAMAS[],2,FALSE),0)</f>
        <v>0</v>
      </c>
      <c r="Z112" s="246">
        <f>IFERROR(VLOOKUP(L112,PROGRAMAS[],2,FALSE),0)</f>
        <v>0</v>
      </c>
      <c r="AA112" s="246">
        <f>IFERROR(VLOOKUP(M112,PROGRAMAS[],2,FALSE),0)</f>
        <v>0</v>
      </c>
      <c r="AB112" s="246">
        <f>IFERROR(VLOOKUP(N112,PROGRAMAS[],2,FALSE),0)</f>
        <v>0</v>
      </c>
      <c r="AC112" s="246">
        <f>IFERROR(VLOOKUP(O112,PROGRAMAS[],2,FALSE),0)</f>
        <v>0</v>
      </c>
      <c r="AD112" s="246">
        <f>IFERROR(VLOOKUP(P112,PROGRAMAS[],2,FALSE),0)</f>
        <v>0</v>
      </c>
      <c r="AE112" s="246">
        <f>IFERROR(VLOOKUP(Q112,PROGRAMAS[],2,FALSE),0)</f>
        <v>0</v>
      </c>
      <c r="AF112" s="246">
        <f>IFERROR(VLOOKUP(D112,PROGRAMAS[],3,FALSE),0)</f>
        <v>841888629.31080008</v>
      </c>
      <c r="AG112" s="246">
        <f>IFERROR(VLOOKUP(E112,PROGRAMAS[],3,FALSE),0)</f>
        <v>3848980803.1642323</v>
      </c>
      <c r="AH112" s="246">
        <f>IFERROR(VLOOKUP(F112,PROGRAMAS[],3,FALSE),0)</f>
        <v>3394901471.387517</v>
      </c>
      <c r="AI112" s="246">
        <f>IFERROR(VLOOKUP(G112,PROGRAMAS[],3,FALSE),0)</f>
        <v>125317226.95549992</v>
      </c>
      <c r="AJ112" s="246">
        <f>IFERROR(VLOOKUP(H112,PROGRAMAS[],3,FALSE),0)</f>
        <v>2406564599.0319901</v>
      </c>
      <c r="AK112" s="246">
        <f>IFERROR(VLOOKUP(I112,PROGRAMAS[],3,FALSE),0)</f>
        <v>948595847.09039903</v>
      </c>
      <c r="AL112" s="246">
        <f>IFERROR(VLOOKUP(J112,PROGRAMAS[],3,FALSE),0)</f>
        <v>0</v>
      </c>
      <c r="AM112" s="246">
        <f>IFERROR(VLOOKUP(K112,PROGRAMAS[],3,FALSE),0)</f>
        <v>0</v>
      </c>
      <c r="AN112" s="246">
        <f>IFERROR(VLOOKUP(L112,PROGRAMAS[],3,FALSE),0)</f>
        <v>0</v>
      </c>
      <c r="AO112" s="246">
        <f>IFERROR(VLOOKUP(M112,PROGRAMAS[],3,FALSE),0)</f>
        <v>0</v>
      </c>
      <c r="AP112" s="246">
        <f>IFERROR(VLOOKUP(N112,PROGRAMAS[],3,FALSE),0)</f>
        <v>0</v>
      </c>
      <c r="AQ112" s="246">
        <f>IFERROR(VLOOKUP(O112,PROGRAMAS[],3,FALSE),0)</f>
        <v>0</v>
      </c>
      <c r="AR112" s="246">
        <f>IFERROR(VLOOKUP(P112,PROGRAMAS[],3,FALSE),0)</f>
        <v>0</v>
      </c>
      <c r="AS112" s="246">
        <f>IFERROR(VLOOKUP(Q112,PROGRAMAS[],3,FALSE),0)</f>
        <v>0</v>
      </c>
      <c r="AT112" s="246">
        <f>IFERROR(VLOOKUP(D112,VOL_REC[],2,FALSE),0)</f>
        <v>0</v>
      </c>
      <c r="AU112" s="246">
        <f>IFERROR(VLOOKUP(E112,VOL_REC[],2,FALSE),0)</f>
        <v>0</v>
      </c>
      <c r="AV112" s="246">
        <f>IFERROR(VLOOKUP(F112,VOL_REC[],2,FALSE),0)</f>
        <v>11089674.200000001</v>
      </c>
      <c r="AW112" s="246">
        <f>IFERROR(VLOOKUP(G112,VOL_REC[],2,FALSE),0)</f>
        <v>90439.55</v>
      </c>
      <c r="AX112" s="246">
        <f>IFERROR(VLOOKUP(H112,VOL_REC[],2,FALSE),0)</f>
        <v>1072354.9981737854</v>
      </c>
      <c r="AY112" s="246">
        <f>IFERROR(VLOOKUP(I112,VOL_REC[],2,FALSE),0)</f>
        <v>740113.98115702497</v>
      </c>
      <c r="AZ112" s="246">
        <f>IFERROR(VLOOKUP(J112,VOL_REC[],2,FALSE),0)</f>
        <v>0</v>
      </c>
      <c r="BA112" s="246">
        <f>IFERROR(VLOOKUP(K112,VOL_REC[],2,FALSE),0)</f>
        <v>0</v>
      </c>
      <c r="BB112" s="246">
        <f>IFERROR(VLOOKUP(L112,VOL_REC[],2,FALSE),0)</f>
        <v>0</v>
      </c>
      <c r="BC112" s="246">
        <f>IFERROR(VLOOKUP(M112,VOL_REC[],2,FALSE),0)</f>
        <v>0</v>
      </c>
      <c r="BD112" s="246">
        <f>IFERROR(VLOOKUP(N112,VOL_REC[],2,FALSE),0)</f>
        <v>0</v>
      </c>
      <c r="BE112" s="246">
        <f>IFERROR(VLOOKUP(O112,VOL_REC[],2,FALSE),0)</f>
        <v>0</v>
      </c>
      <c r="BF112" s="246">
        <f>IFERROR(VLOOKUP(P112,VOL_REC[],2,FALSE),0)</f>
        <v>0</v>
      </c>
      <c r="BG112" s="246">
        <f>IFERROR(VLOOKUP(Q112,VOL_REC[],2,FALSE),0)</f>
        <v>0</v>
      </c>
      <c r="BH112" s="1710">
        <f t="shared" si="4"/>
        <v>12828840689.111792</v>
      </c>
      <c r="BI112" s="1710">
        <f t="shared" si="5"/>
        <v>11566248576.940439</v>
      </c>
      <c r="BJ112" s="1711">
        <f t="shared" si="6"/>
        <v>12992582.729330814</v>
      </c>
      <c r="BK112" s="1711">
        <f t="shared" si="7"/>
        <v>1.1091617652666201</v>
      </c>
      <c r="BL112">
        <f>BJ112</f>
        <v>12992582.729330814</v>
      </c>
      <c r="BO112">
        <f>BL112</f>
        <v>12992582.729330814</v>
      </c>
    </row>
    <row r="113" spans="3:67" x14ac:dyDescent="0.25">
      <c r="C113" s="246" t="s">
        <v>1463</v>
      </c>
      <c r="D113" s="246">
        <v>1</v>
      </c>
      <c r="E113" s="246">
        <v>2</v>
      </c>
      <c r="F113" s="246">
        <v>3</v>
      </c>
      <c r="G113" s="246">
        <v>5</v>
      </c>
      <c r="H113" s="246">
        <v>6</v>
      </c>
      <c r="I113" s="246">
        <v>9</v>
      </c>
      <c r="J113" s="246"/>
      <c r="K113" s="246"/>
      <c r="L113" s="246"/>
      <c r="M113" s="246"/>
      <c r="N113" s="246"/>
      <c r="O113" s="246"/>
      <c r="P113" s="246"/>
      <c r="Q113" s="246"/>
      <c r="R113" s="246">
        <f>IFERROR(VLOOKUP(D113,PROGRAMAS[],2,FALSE),0)</f>
        <v>97037803.679377079</v>
      </c>
      <c r="S113" s="246">
        <f>IFERROR(VLOOKUP(E113,PROGRAMAS[],2,FALSE),0)</f>
        <v>640501509.6821388</v>
      </c>
      <c r="T113" s="246">
        <f>IFERROR(VLOOKUP(F113,PROGRAMAS[],2,FALSE),0)</f>
        <v>3062327798.1525245</v>
      </c>
      <c r="U113" s="246">
        <f>IFERROR(VLOOKUP(G113,PROGRAMAS[],2,FALSE),0)</f>
        <v>1440941976.2528784</v>
      </c>
      <c r="V113" s="246">
        <f>IFERROR(VLOOKUP(H113,PROGRAMAS[],2,FALSE),0)</f>
        <v>6907648435.8447599</v>
      </c>
      <c r="W113" s="246">
        <f>IFERROR(VLOOKUP(I113,PROGRAMAS[],2,FALSE),0)</f>
        <v>6128579952.1618185</v>
      </c>
      <c r="X113" s="246">
        <f>IFERROR(VLOOKUP(J113,PROGRAMAS[],2,FALSE),0)</f>
        <v>0</v>
      </c>
      <c r="Y113" s="246">
        <f>IFERROR(VLOOKUP(K113,PROGRAMAS[],2,FALSE),0)</f>
        <v>0</v>
      </c>
      <c r="Z113" s="246">
        <f>IFERROR(VLOOKUP(L113,PROGRAMAS[],2,FALSE),0)</f>
        <v>0</v>
      </c>
      <c r="AA113" s="246">
        <f>IFERROR(VLOOKUP(M113,PROGRAMAS[],2,FALSE),0)</f>
        <v>0</v>
      </c>
      <c r="AB113" s="246">
        <f>IFERROR(VLOOKUP(N113,PROGRAMAS[],2,FALSE),0)</f>
        <v>0</v>
      </c>
      <c r="AC113" s="246">
        <f>IFERROR(VLOOKUP(O113,PROGRAMAS[],2,FALSE),0)</f>
        <v>0</v>
      </c>
      <c r="AD113" s="246">
        <f>IFERROR(VLOOKUP(P113,PROGRAMAS[],2,FALSE),0)</f>
        <v>0</v>
      </c>
      <c r="AE113" s="246">
        <f>IFERROR(VLOOKUP(Q113,PROGRAMAS[],2,FALSE),0)</f>
        <v>0</v>
      </c>
      <c r="AF113" s="246">
        <f>IFERROR(VLOOKUP(D113,PROGRAMAS[],3,FALSE),0)</f>
        <v>841888629.31080008</v>
      </c>
      <c r="AG113" s="246">
        <f>IFERROR(VLOOKUP(E113,PROGRAMAS[],3,FALSE),0)</f>
        <v>3848980803.1642323</v>
      </c>
      <c r="AH113" s="246">
        <f>IFERROR(VLOOKUP(F113,PROGRAMAS[],3,FALSE),0)</f>
        <v>3394901471.387517</v>
      </c>
      <c r="AI113" s="246">
        <f>IFERROR(VLOOKUP(G113,PROGRAMAS[],3,FALSE),0)</f>
        <v>1233505101.0616004</v>
      </c>
      <c r="AJ113" s="246">
        <f>IFERROR(VLOOKUP(H113,PROGRAMAS[],3,FALSE),0)</f>
        <v>6129902208.7912121</v>
      </c>
      <c r="AK113" s="246">
        <f>IFERROR(VLOOKUP(I113,PROGRAMAS[],3,FALSE),0)</f>
        <v>7011279577.519702</v>
      </c>
      <c r="AL113" s="246">
        <f>IFERROR(VLOOKUP(J113,PROGRAMAS[],3,FALSE),0)</f>
        <v>0</v>
      </c>
      <c r="AM113" s="246">
        <f>IFERROR(VLOOKUP(K113,PROGRAMAS[],3,FALSE),0)</f>
        <v>0</v>
      </c>
      <c r="AN113" s="246">
        <f>IFERROR(VLOOKUP(L113,PROGRAMAS[],3,FALSE),0)</f>
        <v>0</v>
      </c>
      <c r="AO113" s="246">
        <f>IFERROR(VLOOKUP(M113,PROGRAMAS[],3,FALSE),0)</f>
        <v>0</v>
      </c>
      <c r="AP113" s="246">
        <f>IFERROR(VLOOKUP(N113,PROGRAMAS[],3,FALSE),0)</f>
        <v>0</v>
      </c>
      <c r="AQ113" s="246">
        <f>IFERROR(VLOOKUP(O113,PROGRAMAS[],3,FALSE),0)</f>
        <v>0</v>
      </c>
      <c r="AR113" s="246">
        <f>IFERROR(VLOOKUP(P113,PROGRAMAS[],3,FALSE),0)</f>
        <v>0</v>
      </c>
      <c r="AS113" s="246">
        <f>IFERROR(VLOOKUP(Q113,PROGRAMAS[],3,FALSE),0)</f>
        <v>0</v>
      </c>
      <c r="AT113" s="246">
        <f>IFERROR(VLOOKUP(D113,VOL_REC[],2,FALSE),0)</f>
        <v>0</v>
      </c>
      <c r="AU113" s="246">
        <f>IFERROR(VLOOKUP(E113,VOL_REC[],2,FALSE),0)</f>
        <v>0</v>
      </c>
      <c r="AV113" s="246">
        <f>IFERROR(VLOOKUP(F113,VOL_REC[],2,FALSE),0)</f>
        <v>11089674.200000001</v>
      </c>
      <c r="AW113" s="246">
        <f>IFERROR(VLOOKUP(G113,VOL_REC[],2,FALSE),0)</f>
        <v>4325103.1812214684</v>
      </c>
      <c r="AX113" s="246">
        <f>IFERROR(VLOOKUP(H113,VOL_REC[],2,FALSE),0)</f>
        <v>15540036.397699751</v>
      </c>
      <c r="AY113" s="246">
        <f>IFERROR(VLOOKUP(I113,VOL_REC[],2,FALSE),0)</f>
        <v>3761786</v>
      </c>
      <c r="AZ113" s="246">
        <f>IFERROR(VLOOKUP(J113,VOL_REC[],2,FALSE),0)</f>
        <v>0</v>
      </c>
      <c r="BA113" s="246">
        <f>IFERROR(VLOOKUP(K113,VOL_REC[],2,FALSE),0)</f>
        <v>0</v>
      </c>
      <c r="BB113" s="246">
        <f>IFERROR(VLOOKUP(L113,VOL_REC[],2,FALSE),0)</f>
        <v>0</v>
      </c>
      <c r="BC113" s="246">
        <f>IFERROR(VLOOKUP(M113,VOL_REC[],2,FALSE),0)</f>
        <v>0</v>
      </c>
      <c r="BD113" s="246">
        <f>IFERROR(VLOOKUP(N113,VOL_REC[],2,FALSE),0)</f>
        <v>0</v>
      </c>
      <c r="BE113" s="246">
        <f>IFERROR(VLOOKUP(O113,VOL_REC[],2,FALSE),0)</f>
        <v>0</v>
      </c>
      <c r="BF113" s="246">
        <f>IFERROR(VLOOKUP(P113,VOL_REC[],2,FALSE),0)</f>
        <v>0</v>
      </c>
      <c r="BG113" s="246">
        <f>IFERROR(VLOOKUP(Q113,VOL_REC[],2,FALSE),0)</f>
        <v>0</v>
      </c>
      <c r="BH113" s="1710">
        <f t="shared" si="4"/>
        <v>18277037475.773499</v>
      </c>
      <c r="BI113" s="1710">
        <f t="shared" si="5"/>
        <v>22460457791.235065</v>
      </c>
      <c r="BJ113" s="1711">
        <f t="shared" si="6"/>
        <v>34716599.778921217</v>
      </c>
      <c r="BK113" s="1711">
        <f t="shared" si="7"/>
        <v>0.81374287406136048</v>
      </c>
    </row>
    <row r="114" spans="3:67" x14ac:dyDescent="0.25">
      <c r="C114" s="246" t="s">
        <v>1464</v>
      </c>
      <c r="D114" s="246">
        <v>1</v>
      </c>
      <c r="E114" s="246">
        <v>2</v>
      </c>
      <c r="F114" s="246">
        <v>3</v>
      </c>
      <c r="G114" s="246">
        <v>5</v>
      </c>
      <c r="H114" s="246">
        <v>6</v>
      </c>
      <c r="I114" s="246">
        <v>10</v>
      </c>
      <c r="J114" s="246"/>
      <c r="K114" s="246"/>
      <c r="L114" s="246"/>
      <c r="M114" s="246"/>
      <c r="N114" s="246"/>
      <c r="O114" s="246"/>
      <c r="P114" s="246"/>
      <c r="Q114" s="246"/>
      <c r="R114" s="246">
        <f>IFERROR(VLOOKUP(D114,PROGRAMAS[],2,FALSE),0)</f>
        <v>97037803.679377079</v>
      </c>
      <c r="S114" s="246">
        <f>IFERROR(VLOOKUP(E114,PROGRAMAS[],2,FALSE),0)</f>
        <v>640501509.6821388</v>
      </c>
      <c r="T114" s="246">
        <f>IFERROR(VLOOKUP(F114,PROGRAMAS[],2,FALSE),0)</f>
        <v>3062327798.1525245</v>
      </c>
      <c r="U114" s="246">
        <f>IFERROR(VLOOKUP(G114,PROGRAMAS[],2,FALSE),0)</f>
        <v>1440941976.2528784</v>
      </c>
      <c r="V114" s="246">
        <f>IFERROR(VLOOKUP(H114,PROGRAMAS[],2,FALSE),0)</f>
        <v>6907648435.8447599</v>
      </c>
      <c r="W114" s="246">
        <f>IFERROR(VLOOKUP(I114,PROGRAMAS[],2,FALSE),0)</f>
        <v>4635315027.8751087</v>
      </c>
      <c r="X114" s="246">
        <f>IFERROR(VLOOKUP(J114,PROGRAMAS[],2,FALSE),0)</f>
        <v>0</v>
      </c>
      <c r="Y114" s="246">
        <f>IFERROR(VLOOKUP(K114,PROGRAMAS[],2,FALSE),0)</f>
        <v>0</v>
      </c>
      <c r="Z114" s="246">
        <f>IFERROR(VLOOKUP(L114,PROGRAMAS[],2,FALSE),0)</f>
        <v>0</v>
      </c>
      <c r="AA114" s="246">
        <f>IFERROR(VLOOKUP(M114,PROGRAMAS[],2,FALSE),0)</f>
        <v>0</v>
      </c>
      <c r="AB114" s="246">
        <f>IFERROR(VLOOKUP(N114,PROGRAMAS[],2,FALSE),0)</f>
        <v>0</v>
      </c>
      <c r="AC114" s="246">
        <f>IFERROR(VLOOKUP(O114,PROGRAMAS[],2,FALSE),0)</f>
        <v>0</v>
      </c>
      <c r="AD114" s="246">
        <f>IFERROR(VLOOKUP(P114,PROGRAMAS[],2,FALSE),0)</f>
        <v>0</v>
      </c>
      <c r="AE114" s="246">
        <f>IFERROR(VLOOKUP(Q114,PROGRAMAS[],2,FALSE),0)</f>
        <v>0</v>
      </c>
      <c r="AF114" s="246">
        <f>IFERROR(VLOOKUP(D114,PROGRAMAS[],3,FALSE),0)</f>
        <v>841888629.31080008</v>
      </c>
      <c r="AG114" s="246">
        <f>IFERROR(VLOOKUP(E114,PROGRAMAS[],3,FALSE),0)</f>
        <v>3848980803.1642323</v>
      </c>
      <c r="AH114" s="246">
        <f>IFERROR(VLOOKUP(F114,PROGRAMAS[],3,FALSE),0)</f>
        <v>3394901471.387517</v>
      </c>
      <c r="AI114" s="246">
        <f>IFERROR(VLOOKUP(G114,PROGRAMAS[],3,FALSE),0)</f>
        <v>1233505101.0616004</v>
      </c>
      <c r="AJ114" s="246">
        <f>IFERROR(VLOOKUP(H114,PROGRAMAS[],3,FALSE),0)</f>
        <v>6129902208.7912121</v>
      </c>
      <c r="AK114" s="246">
        <f>IFERROR(VLOOKUP(I114,PROGRAMAS[],3,FALSE),0)</f>
        <v>4099471734.9978786</v>
      </c>
      <c r="AL114" s="246">
        <f>IFERROR(VLOOKUP(J114,PROGRAMAS[],3,FALSE),0)</f>
        <v>0</v>
      </c>
      <c r="AM114" s="246">
        <f>IFERROR(VLOOKUP(K114,PROGRAMAS[],3,FALSE),0)</f>
        <v>0</v>
      </c>
      <c r="AN114" s="246">
        <f>IFERROR(VLOOKUP(L114,PROGRAMAS[],3,FALSE),0)</f>
        <v>0</v>
      </c>
      <c r="AO114" s="246">
        <f>IFERROR(VLOOKUP(M114,PROGRAMAS[],3,FALSE),0)</f>
        <v>0</v>
      </c>
      <c r="AP114" s="246">
        <f>IFERROR(VLOOKUP(N114,PROGRAMAS[],3,FALSE),0)</f>
        <v>0</v>
      </c>
      <c r="AQ114" s="246">
        <f>IFERROR(VLOOKUP(O114,PROGRAMAS[],3,FALSE),0)</f>
        <v>0</v>
      </c>
      <c r="AR114" s="246">
        <f>IFERROR(VLOOKUP(P114,PROGRAMAS[],3,FALSE),0)</f>
        <v>0</v>
      </c>
      <c r="AS114" s="246">
        <f>IFERROR(VLOOKUP(Q114,PROGRAMAS[],3,FALSE),0)</f>
        <v>0</v>
      </c>
      <c r="AT114" s="246">
        <f>IFERROR(VLOOKUP(D114,VOL_REC[],2,FALSE),0)</f>
        <v>0</v>
      </c>
      <c r="AU114" s="246">
        <f>IFERROR(VLOOKUP(E114,VOL_REC[],2,FALSE),0)</f>
        <v>0</v>
      </c>
      <c r="AV114" s="246">
        <f>IFERROR(VLOOKUP(F114,VOL_REC[],2,FALSE),0)</f>
        <v>11089674.200000001</v>
      </c>
      <c r="AW114" s="246">
        <f>IFERROR(VLOOKUP(G114,VOL_REC[],2,FALSE),0)</f>
        <v>4325103.1812214684</v>
      </c>
      <c r="AX114" s="246">
        <f>IFERROR(VLOOKUP(H114,VOL_REC[],2,FALSE),0)</f>
        <v>15540036.397699751</v>
      </c>
      <c r="AY114" s="246">
        <f>IFERROR(VLOOKUP(I114,VOL_REC[],2,FALSE),0)</f>
        <v>1812240</v>
      </c>
      <c r="AZ114" s="246">
        <f>IFERROR(VLOOKUP(J114,VOL_REC[],2,FALSE),0)</f>
        <v>0</v>
      </c>
      <c r="BA114" s="246">
        <f>IFERROR(VLOOKUP(K114,VOL_REC[],2,FALSE),0)</f>
        <v>0</v>
      </c>
      <c r="BB114" s="246">
        <f>IFERROR(VLOOKUP(L114,VOL_REC[],2,FALSE),0)</f>
        <v>0</v>
      </c>
      <c r="BC114" s="246">
        <f>IFERROR(VLOOKUP(M114,VOL_REC[],2,FALSE),0)</f>
        <v>0</v>
      </c>
      <c r="BD114" s="246">
        <f>IFERROR(VLOOKUP(N114,VOL_REC[],2,FALSE),0)</f>
        <v>0</v>
      </c>
      <c r="BE114" s="246">
        <f>IFERROR(VLOOKUP(O114,VOL_REC[],2,FALSE),0)</f>
        <v>0</v>
      </c>
      <c r="BF114" s="246">
        <f>IFERROR(VLOOKUP(P114,VOL_REC[],2,FALSE),0)</f>
        <v>0</v>
      </c>
      <c r="BG114" s="246">
        <f>IFERROR(VLOOKUP(Q114,VOL_REC[],2,FALSE),0)</f>
        <v>0</v>
      </c>
      <c r="BH114" s="1710">
        <f t="shared" si="4"/>
        <v>16783772551.486788</v>
      </c>
      <c r="BI114" s="1710">
        <f t="shared" si="5"/>
        <v>19548649948.713242</v>
      </c>
      <c r="BJ114" s="1711">
        <f t="shared" si="6"/>
        <v>32767053.77892122</v>
      </c>
      <c r="BK114" s="1711">
        <f t="shared" si="7"/>
        <v>0.85856427914560685</v>
      </c>
    </row>
    <row r="115" spans="3:67" x14ac:dyDescent="0.25">
      <c r="C115" s="246" t="s">
        <v>1465</v>
      </c>
      <c r="D115" s="246">
        <v>1</v>
      </c>
      <c r="E115" s="246">
        <v>2</v>
      </c>
      <c r="F115" s="246">
        <v>3</v>
      </c>
      <c r="G115" s="246">
        <v>5</v>
      </c>
      <c r="H115" s="246">
        <v>6</v>
      </c>
      <c r="I115" s="246">
        <v>12</v>
      </c>
      <c r="J115" s="246"/>
      <c r="K115" s="246"/>
      <c r="L115" s="246"/>
      <c r="M115" s="246"/>
      <c r="N115" s="246"/>
      <c r="O115" s="246"/>
      <c r="P115" s="246"/>
      <c r="Q115" s="246"/>
      <c r="R115" s="246">
        <f>IFERROR(VLOOKUP(D115,PROGRAMAS[],2,FALSE),0)</f>
        <v>97037803.679377079</v>
      </c>
      <c r="S115" s="246">
        <f>IFERROR(VLOOKUP(E115,PROGRAMAS[],2,FALSE),0)</f>
        <v>640501509.6821388</v>
      </c>
      <c r="T115" s="246">
        <f>IFERROR(VLOOKUP(F115,PROGRAMAS[],2,FALSE),0)</f>
        <v>3062327798.1525245</v>
      </c>
      <c r="U115" s="246">
        <f>IFERROR(VLOOKUP(G115,PROGRAMAS[],2,FALSE),0)</f>
        <v>1440941976.2528784</v>
      </c>
      <c r="V115" s="246">
        <f>IFERROR(VLOOKUP(H115,PROGRAMAS[],2,FALSE),0)</f>
        <v>6907648435.8447599</v>
      </c>
      <c r="W115" s="246">
        <f>IFERROR(VLOOKUP(I115,PROGRAMAS[],2,FALSE),0)</f>
        <v>764796700.79905891</v>
      </c>
      <c r="X115" s="246">
        <f>IFERROR(VLOOKUP(J115,PROGRAMAS[],2,FALSE),0)</f>
        <v>0</v>
      </c>
      <c r="Y115" s="246">
        <f>IFERROR(VLOOKUP(K115,PROGRAMAS[],2,FALSE),0)</f>
        <v>0</v>
      </c>
      <c r="Z115" s="246">
        <f>IFERROR(VLOOKUP(L115,PROGRAMAS[],2,FALSE),0)</f>
        <v>0</v>
      </c>
      <c r="AA115" s="246">
        <f>IFERROR(VLOOKUP(M115,PROGRAMAS[],2,FALSE),0)</f>
        <v>0</v>
      </c>
      <c r="AB115" s="246">
        <f>IFERROR(VLOOKUP(N115,PROGRAMAS[],2,FALSE),0)</f>
        <v>0</v>
      </c>
      <c r="AC115" s="246">
        <f>IFERROR(VLOOKUP(O115,PROGRAMAS[],2,FALSE),0)</f>
        <v>0</v>
      </c>
      <c r="AD115" s="246">
        <f>IFERROR(VLOOKUP(P115,PROGRAMAS[],2,FALSE),0)</f>
        <v>0</v>
      </c>
      <c r="AE115" s="246">
        <f>IFERROR(VLOOKUP(Q115,PROGRAMAS[],2,FALSE),0)</f>
        <v>0</v>
      </c>
      <c r="AF115" s="246">
        <f>IFERROR(VLOOKUP(D115,PROGRAMAS[],3,FALSE),0)</f>
        <v>841888629.31080008</v>
      </c>
      <c r="AG115" s="246">
        <f>IFERROR(VLOOKUP(E115,PROGRAMAS[],3,FALSE),0)</f>
        <v>3848980803.1642323</v>
      </c>
      <c r="AH115" s="246">
        <f>IFERROR(VLOOKUP(F115,PROGRAMAS[],3,FALSE),0)</f>
        <v>3394901471.387517</v>
      </c>
      <c r="AI115" s="246">
        <f>IFERROR(VLOOKUP(G115,PROGRAMAS[],3,FALSE),0)</f>
        <v>1233505101.0616004</v>
      </c>
      <c r="AJ115" s="246">
        <f>IFERROR(VLOOKUP(H115,PROGRAMAS[],3,FALSE),0)</f>
        <v>6129902208.7912121</v>
      </c>
      <c r="AK115" s="246">
        <f>IFERROR(VLOOKUP(I115,PROGRAMAS[],3,FALSE),0)</f>
        <v>675517840.109828</v>
      </c>
      <c r="AL115" s="246">
        <f>IFERROR(VLOOKUP(J115,PROGRAMAS[],3,FALSE),0)</f>
        <v>0</v>
      </c>
      <c r="AM115" s="246">
        <f>IFERROR(VLOOKUP(K115,PROGRAMAS[],3,FALSE),0)</f>
        <v>0</v>
      </c>
      <c r="AN115" s="246">
        <f>IFERROR(VLOOKUP(L115,PROGRAMAS[],3,FALSE),0)</f>
        <v>0</v>
      </c>
      <c r="AO115" s="246">
        <f>IFERROR(VLOOKUP(M115,PROGRAMAS[],3,FALSE),0)</f>
        <v>0</v>
      </c>
      <c r="AP115" s="246">
        <f>IFERROR(VLOOKUP(N115,PROGRAMAS[],3,FALSE),0)</f>
        <v>0</v>
      </c>
      <c r="AQ115" s="246">
        <f>IFERROR(VLOOKUP(O115,PROGRAMAS[],3,FALSE),0)</f>
        <v>0</v>
      </c>
      <c r="AR115" s="246">
        <f>IFERROR(VLOOKUP(P115,PROGRAMAS[],3,FALSE),0)</f>
        <v>0</v>
      </c>
      <c r="AS115" s="246">
        <f>IFERROR(VLOOKUP(Q115,PROGRAMAS[],3,FALSE),0)</f>
        <v>0</v>
      </c>
      <c r="AT115" s="246">
        <f>IFERROR(VLOOKUP(D115,VOL_REC[],2,FALSE),0)</f>
        <v>0</v>
      </c>
      <c r="AU115" s="246">
        <f>IFERROR(VLOOKUP(E115,VOL_REC[],2,FALSE),0)</f>
        <v>0</v>
      </c>
      <c r="AV115" s="246">
        <f>IFERROR(VLOOKUP(F115,VOL_REC[],2,FALSE),0)</f>
        <v>11089674.200000001</v>
      </c>
      <c r="AW115" s="246">
        <f>IFERROR(VLOOKUP(G115,VOL_REC[],2,FALSE),0)</f>
        <v>4325103.1812214684</v>
      </c>
      <c r="AX115" s="246">
        <f>IFERROR(VLOOKUP(H115,VOL_REC[],2,FALSE),0)</f>
        <v>15540036.397699751</v>
      </c>
      <c r="AY115" s="246">
        <f>IFERROR(VLOOKUP(I115,VOL_REC[],2,FALSE),0)</f>
        <v>240696.79238099116</v>
      </c>
      <c r="AZ115" s="246">
        <f>IFERROR(VLOOKUP(J115,VOL_REC[],2,FALSE),0)</f>
        <v>0</v>
      </c>
      <c r="BA115" s="246">
        <f>IFERROR(VLOOKUP(K115,VOL_REC[],2,FALSE),0)</f>
        <v>0</v>
      </c>
      <c r="BB115" s="246">
        <f>IFERROR(VLOOKUP(L115,VOL_REC[],2,FALSE),0)</f>
        <v>0</v>
      </c>
      <c r="BC115" s="246">
        <f>IFERROR(VLOOKUP(M115,VOL_REC[],2,FALSE),0)</f>
        <v>0</v>
      </c>
      <c r="BD115" s="246">
        <f>IFERROR(VLOOKUP(N115,VOL_REC[],2,FALSE),0)</f>
        <v>0</v>
      </c>
      <c r="BE115" s="246">
        <f>IFERROR(VLOOKUP(O115,VOL_REC[],2,FALSE),0)</f>
        <v>0</v>
      </c>
      <c r="BF115" s="246">
        <f>IFERROR(VLOOKUP(P115,VOL_REC[],2,FALSE),0)</f>
        <v>0</v>
      </c>
      <c r="BG115" s="246">
        <f>IFERROR(VLOOKUP(Q115,VOL_REC[],2,FALSE),0)</f>
        <v>0</v>
      </c>
      <c r="BH115" s="1710">
        <f t="shared" si="4"/>
        <v>12913254224.410738</v>
      </c>
      <c r="BI115" s="1710">
        <f t="shared" si="5"/>
        <v>16124696053.825191</v>
      </c>
      <c r="BJ115" s="1711">
        <f t="shared" si="6"/>
        <v>31195510.571302213</v>
      </c>
      <c r="BK115" s="1711">
        <f t="shared" si="7"/>
        <v>0.80083706268357124</v>
      </c>
    </row>
    <row r="116" spans="3:67" x14ac:dyDescent="0.25">
      <c r="C116" s="246" t="s">
        <v>1466</v>
      </c>
      <c r="D116" s="246">
        <v>1</v>
      </c>
      <c r="E116" s="246">
        <v>2</v>
      </c>
      <c r="F116" s="246">
        <v>3</v>
      </c>
      <c r="G116" s="246">
        <v>5</v>
      </c>
      <c r="H116" s="246">
        <v>6</v>
      </c>
      <c r="I116" s="246">
        <v>13</v>
      </c>
      <c r="J116" s="246"/>
      <c r="K116" s="246"/>
      <c r="L116" s="246"/>
      <c r="M116" s="246"/>
      <c r="N116" s="246"/>
      <c r="O116" s="246"/>
      <c r="P116" s="246"/>
      <c r="Q116" s="246"/>
      <c r="R116" s="246">
        <f>IFERROR(VLOOKUP(D116,PROGRAMAS[],2,FALSE),0)</f>
        <v>97037803.679377079</v>
      </c>
      <c r="S116" s="246">
        <f>IFERROR(VLOOKUP(E116,PROGRAMAS[],2,FALSE),0)</f>
        <v>640501509.6821388</v>
      </c>
      <c r="T116" s="246">
        <f>IFERROR(VLOOKUP(F116,PROGRAMAS[],2,FALSE),0)</f>
        <v>3062327798.1525245</v>
      </c>
      <c r="U116" s="246">
        <f>IFERROR(VLOOKUP(G116,PROGRAMAS[],2,FALSE),0)</f>
        <v>1440941976.2528784</v>
      </c>
      <c r="V116" s="246">
        <f>IFERROR(VLOOKUP(H116,PROGRAMAS[],2,FALSE),0)</f>
        <v>6907648435.8447599</v>
      </c>
      <c r="W116" s="246">
        <f>IFERROR(VLOOKUP(I116,PROGRAMAS[],2,FALSE),0)</f>
        <v>3776538594.4604583</v>
      </c>
      <c r="X116" s="246">
        <f>IFERROR(VLOOKUP(J116,PROGRAMAS[],2,FALSE),0)</f>
        <v>0</v>
      </c>
      <c r="Y116" s="246">
        <f>IFERROR(VLOOKUP(K116,PROGRAMAS[],2,FALSE),0)</f>
        <v>0</v>
      </c>
      <c r="Z116" s="246">
        <f>IFERROR(VLOOKUP(L116,PROGRAMAS[],2,FALSE),0)</f>
        <v>0</v>
      </c>
      <c r="AA116" s="246">
        <f>IFERROR(VLOOKUP(M116,PROGRAMAS[],2,FALSE),0)</f>
        <v>0</v>
      </c>
      <c r="AB116" s="246">
        <f>IFERROR(VLOOKUP(N116,PROGRAMAS[],2,FALSE),0)</f>
        <v>0</v>
      </c>
      <c r="AC116" s="246">
        <f>IFERROR(VLOOKUP(O116,PROGRAMAS[],2,FALSE),0)</f>
        <v>0</v>
      </c>
      <c r="AD116" s="246">
        <f>IFERROR(VLOOKUP(P116,PROGRAMAS[],2,FALSE),0)</f>
        <v>0</v>
      </c>
      <c r="AE116" s="246">
        <f>IFERROR(VLOOKUP(Q116,PROGRAMAS[],2,FALSE),0)</f>
        <v>0</v>
      </c>
      <c r="AF116" s="246">
        <f>IFERROR(VLOOKUP(D116,PROGRAMAS[],3,FALSE),0)</f>
        <v>841888629.31080008</v>
      </c>
      <c r="AG116" s="246">
        <f>IFERROR(VLOOKUP(E116,PROGRAMAS[],3,FALSE),0)</f>
        <v>3848980803.1642323</v>
      </c>
      <c r="AH116" s="246">
        <f>IFERROR(VLOOKUP(F116,PROGRAMAS[],3,FALSE),0)</f>
        <v>3394901471.387517</v>
      </c>
      <c r="AI116" s="246">
        <f>IFERROR(VLOOKUP(G116,PROGRAMAS[],3,FALSE),0)</f>
        <v>1233505101.0616004</v>
      </c>
      <c r="AJ116" s="246">
        <f>IFERROR(VLOOKUP(H116,PROGRAMAS[],3,FALSE),0)</f>
        <v>6129902208.7912121</v>
      </c>
      <c r="AK116" s="246">
        <f>IFERROR(VLOOKUP(I116,PROGRAMAS[],3,FALSE),0)</f>
        <v>2392571243.5584412</v>
      </c>
      <c r="AL116" s="246">
        <f>IFERROR(VLOOKUP(J116,PROGRAMAS[],3,FALSE),0)</f>
        <v>0</v>
      </c>
      <c r="AM116" s="246">
        <f>IFERROR(VLOOKUP(K116,PROGRAMAS[],3,FALSE),0)</f>
        <v>0</v>
      </c>
      <c r="AN116" s="246">
        <f>IFERROR(VLOOKUP(L116,PROGRAMAS[],3,FALSE),0)</f>
        <v>0</v>
      </c>
      <c r="AO116" s="246">
        <f>IFERROR(VLOOKUP(M116,PROGRAMAS[],3,FALSE),0)</f>
        <v>0</v>
      </c>
      <c r="AP116" s="246">
        <f>IFERROR(VLOOKUP(N116,PROGRAMAS[],3,FALSE),0)</f>
        <v>0</v>
      </c>
      <c r="AQ116" s="246">
        <f>IFERROR(VLOOKUP(O116,PROGRAMAS[],3,FALSE),0)</f>
        <v>0</v>
      </c>
      <c r="AR116" s="246">
        <f>IFERROR(VLOOKUP(P116,PROGRAMAS[],3,FALSE),0)</f>
        <v>0</v>
      </c>
      <c r="AS116" s="246">
        <f>IFERROR(VLOOKUP(Q116,PROGRAMAS[],3,FALSE),0)</f>
        <v>0</v>
      </c>
      <c r="AT116" s="246">
        <f>IFERROR(VLOOKUP(D116,VOL_REC[],2,FALSE),0)</f>
        <v>0</v>
      </c>
      <c r="AU116" s="246">
        <f>IFERROR(VLOOKUP(E116,VOL_REC[],2,FALSE),0)</f>
        <v>0</v>
      </c>
      <c r="AV116" s="246">
        <f>IFERROR(VLOOKUP(F116,VOL_REC[],2,FALSE),0)</f>
        <v>11089674.200000001</v>
      </c>
      <c r="AW116" s="246">
        <f>IFERROR(VLOOKUP(G116,VOL_REC[],2,FALSE),0)</f>
        <v>4325103.1812214684</v>
      </c>
      <c r="AX116" s="246">
        <f>IFERROR(VLOOKUP(H116,VOL_REC[],2,FALSE),0)</f>
        <v>15540036.397699751</v>
      </c>
      <c r="AY116" s="246">
        <f>IFERROR(VLOOKUP(I116,VOL_REC[],2,FALSE),0)</f>
        <v>663244.80000000016</v>
      </c>
      <c r="AZ116" s="246">
        <f>IFERROR(VLOOKUP(J116,VOL_REC[],2,FALSE),0)</f>
        <v>0</v>
      </c>
      <c r="BA116" s="246">
        <f>IFERROR(VLOOKUP(K116,VOL_REC[],2,FALSE),0)</f>
        <v>0</v>
      </c>
      <c r="BB116" s="246">
        <f>IFERROR(VLOOKUP(L116,VOL_REC[],2,FALSE),0)</f>
        <v>0</v>
      </c>
      <c r="BC116" s="246">
        <f>IFERROR(VLOOKUP(M116,VOL_REC[],2,FALSE),0)</f>
        <v>0</v>
      </c>
      <c r="BD116" s="246">
        <f>IFERROR(VLOOKUP(N116,VOL_REC[],2,FALSE),0)</f>
        <v>0</v>
      </c>
      <c r="BE116" s="246">
        <f>IFERROR(VLOOKUP(O116,VOL_REC[],2,FALSE),0)</f>
        <v>0</v>
      </c>
      <c r="BF116" s="246">
        <f>IFERROR(VLOOKUP(P116,VOL_REC[],2,FALSE),0)</f>
        <v>0</v>
      </c>
      <c r="BG116" s="246">
        <f>IFERROR(VLOOKUP(Q116,VOL_REC[],2,FALSE),0)</f>
        <v>0</v>
      </c>
      <c r="BH116" s="1710">
        <f t="shared" si="4"/>
        <v>15924996118.072138</v>
      </c>
      <c r="BI116" s="1710">
        <f t="shared" si="5"/>
        <v>17841749457.273804</v>
      </c>
      <c r="BJ116" s="1711">
        <f t="shared" si="6"/>
        <v>31618058.578921221</v>
      </c>
      <c r="BK116" s="1711">
        <f t="shared" si="7"/>
        <v>0.89256920439378573</v>
      </c>
    </row>
    <row r="117" spans="3:67" x14ac:dyDescent="0.25">
      <c r="C117" s="246" t="s">
        <v>1467</v>
      </c>
      <c r="D117" s="246">
        <v>1</v>
      </c>
      <c r="E117" s="246">
        <v>2</v>
      </c>
      <c r="F117" s="246">
        <v>3</v>
      </c>
      <c r="G117" s="246">
        <v>5</v>
      </c>
      <c r="H117" s="246">
        <v>6</v>
      </c>
      <c r="I117" s="246">
        <v>14</v>
      </c>
      <c r="J117" s="246"/>
      <c r="K117" s="246"/>
      <c r="L117" s="246"/>
      <c r="M117" s="246"/>
      <c r="N117" s="246"/>
      <c r="O117" s="246"/>
      <c r="P117" s="246"/>
      <c r="Q117" s="246"/>
      <c r="R117" s="246">
        <f>IFERROR(VLOOKUP(D117,PROGRAMAS[],2,FALSE),0)</f>
        <v>97037803.679377079</v>
      </c>
      <c r="S117" s="246">
        <f>IFERROR(VLOOKUP(E117,PROGRAMAS[],2,FALSE),0)</f>
        <v>640501509.6821388</v>
      </c>
      <c r="T117" s="246">
        <f>IFERROR(VLOOKUP(F117,PROGRAMAS[],2,FALSE),0)</f>
        <v>3062327798.1525245</v>
      </c>
      <c r="U117" s="246">
        <f>IFERROR(VLOOKUP(G117,PROGRAMAS[],2,FALSE),0)</f>
        <v>1440941976.2528784</v>
      </c>
      <c r="V117" s="246">
        <f>IFERROR(VLOOKUP(H117,PROGRAMAS[],2,FALSE),0)</f>
        <v>6907648435.8447599</v>
      </c>
      <c r="W117" s="246">
        <f>IFERROR(VLOOKUP(I117,PROGRAMAS[],2,FALSE),0)</f>
        <v>54223862.645839565</v>
      </c>
      <c r="X117" s="246">
        <f>IFERROR(VLOOKUP(J117,PROGRAMAS[],2,FALSE),0)</f>
        <v>0</v>
      </c>
      <c r="Y117" s="246">
        <f>IFERROR(VLOOKUP(K117,PROGRAMAS[],2,FALSE),0)</f>
        <v>0</v>
      </c>
      <c r="Z117" s="246">
        <f>IFERROR(VLOOKUP(L117,PROGRAMAS[],2,FALSE),0)</f>
        <v>0</v>
      </c>
      <c r="AA117" s="246">
        <f>IFERROR(VLOOKUP(M117,PROGRAMAS[],2,FALSE),0)</f>
        <v>0</v>
      </c>
      <c r="AB117" s="246">
        <f>IFERROR(VLOOKUP(N117,PROGRAMAS[],2,FALSE),0)</f>
        <v>0</v>
      </c>
      <c r="AC117" s="246">
        <f>IFERROR(VLOOKUP(O117,PROGRAMAS[],2,FALSE),0)</f>
        <v>0</v>
      </c>
      <c r="AD117" s="246">
        <f>IFERROR(VLOOKUP(P117,PROGRAMAS[],2,FALSE),0)</f>
        <v>0</v>
      </c>
      <c r="AE117" s="246">
        <f>IFERROR(VLOOKUP(Q117,PROGRAMAS[],2,FALSE),0)</f>
        <v>0</v>
      </c>
      <c r="AF117" s="246">
        <f>IFERROR(VLOOKUP(D117,PROGRAMAS[],3,FALSE),0)</f>
        <v>841888629.31080008</v>
      </c>
      <c r="AG117" s="246">
        <f>IFERROR(VLOOKUP(E117,PROGRAMAS[],3,FALSE),0)</f>
        <v>3848980803.1642323</v>
      </c>
      <c r="AH117" s="246">
        <f>IFERROR(VLOOKUP(F117,PROGRAMAS[],3,FALSE),0)</f>
        <v>3394901471.387517</v>
      </c>
      <c r="AI117" s="246">
        <f>IFERROR(VLOOKUP(G117,PROGRAMAS[],3,FALSE),0)</f>
        <v>1233505101.0616004</v>
      </c>
      <c r="AJ117" s="246">
        <f>IFERROR(VLOOKUP(H117,PROGRAMAS[],3,FALSE),0)</f>
        <v>6129902208.7912121</v>
      </c>
      <c r="AK117" s="246">
        <f>IFERROR(VLOOKUP(I117,PROGRAMAS[],3,FALSE),0)</f>
        <v>31865326.38096505</v>
      </c>
      <c r="AL117" s="246">
        <f>IFERROR(VLOOKUP(J117,PROGRAMAS[],3,FALSE),0)</f>
        <v>0</v>
      </c>
      <c r="AM117" s="246">
        <f>IFERROR(VLOOKUP(K117,PROGRAMAS[],3,FALSE),0)</f>
        <v>0</v>
      </c>
      <c r="AN117" s="246">
        <f>IFERROR(VLOOKUP(L117,PROGRAMAS[],3,FALSE),0)</f>
        <v>0</v>
      </c>
      <c r="AO117" s="246">
        <f>IFERROR(VLOOKUP(M117,PROGRAMAS[],3,FALSE),0)</f>
        <v>0</v>
      </c>
      <c r="AP117" s="246">
        <f>IFERROR(VLOOKUP(N117,PROGRAMAS[],3,FALSE),0)</f>
        <v>0</v>
      </c>
      <c r="AQ117" s="246">
        <f>IFERROR(VLOOKUP(O117,PROGRAMAS[],3,FALSE),0)</f>
        <v>0</v>
      </c>
      <c r="AR117" s="246">
        <f>IFERROR(VLOOKUP(P117,PROGRAMAS[],3,FALSE),0)</f>
        <v>0</v>
      </c>
      <c r="AS117" s="246">
        <f>IFERROR(VLOOKUP(Q117,PROGRAMAS[],3,FALSE),0)</f>
        <v>0</v>
      </c>
      <c r="AT117" s="246">
        <f>IFERROR(VLOOKUP(D117,VOL_REC[],2,FALSE),0)</f>
        <v>0</v>
      </c>
      <c r="AU117" s="246">
        <f>IFERROR(VLOOKUP(E117,VOL_REC[],2,FALSE),0)</f>
        <v>0</v>
      </c>
      <c r="AV117" s="246">
        <f>IFERROR(VLOOKUP(F117,VOL_REC[],2,FALSE),0)</f>
        <v>11089674.200000001</v>
      </c>
      <c r="AW117" s="246">
        <f>IFERROR(VLOOKUP(G117,VOL_REC[],2,FALSE),0)</f>
        <v>4325103.1812214684</v>
      </c>
      <c r="AX117" s="246">
        <f>IFERROR(VLOOKUP(H117,VOL_REC[],2,FALSE),0)</f>
        <v>15540036.397699751</v>
      </c>
      <c r="AY117" s="246">
        <f>IFERROR(VLOOKUP(I117,VOL_REC[],2,FALSE),0)</f>
        <v>17074.045034105649</v>
      </c>
      <c r="AZ117" s="246">
        <f>IFERROR(VLOOKUP(J117,VOL_REC[],2,FALSE),0)</f>
        <v>0</v>
      </c>
      <c r="BA117" s="246">
        <f>IFERROR(VLOOKUP(K117,VOL_REC[],2,FALSE),0)</f>
        <v>0</v>
      </c>
      <c r="BB117" s="246">
        <f>IFERROR(VLOOKUP(L117,VOL_REC[],2,FALSE),0)</f>
        <v>0</v>
      </c>
      <c r="BC117" s="246">
        <f>IFERROR(VLOOKUP(M117,VOL_REC[],2,FALSE),0)</f>
        <v>0</v>
      </c>
      <c r="BD117" s="246">
        <f>IFERROR(VLOOKUP(N117,VOL_REC[],2,FALSE),0)</f>
        <v>0</v>
      </c>
      <c r="BE117" s="246">
        <f>IFERROR(VLOOKUP(O117,VOL_REC[],2,FALSE),0)</f>
        <v>0</v>
      </c>
      <c r="BF117" s="246">
        <f>IFERROR(VLOOKUP(P117,VOL_REC[],2,FALSE),0)</f>
        <v>0</v>
      </c>
      <c r="BG117" s="246">
        <f>IFERROR(VLOOKUP(Q117,VOL_REC[],2,FALSE),0)</f>
        <v>0</v>
      </c>
      <c r="BH117" s="1710">
        <f t="shared" si="4"/>
        <v>12202681386.257519</v>
      </c>
      <c r="BI117" s="1710">
        <f t="shared" si="5"/>
        <v>15481043540.096327</v>
      </c>
      <c r="BJ117" s="1711">
        <f t="shared" si="6"/>
        <v>30971887.823955327</v>
      </c>
      <c r="BK117" s="1711">
        <f t="shared" si="7"/>
        <v>0.78823377472275946</v>
      </c>
    </row>
    <row r="118" spans="3:67" x14ac:dyDescent="0.25">
      <c r="C118" s="246" t="s">
        <v>1468</v>
      </c>
      <c r="D118" s="246">
        <v>1</v>
      </c>
      <c r="E118" s="246">
        <v>2</v>
      </c>
      <c r="F118" s="246">
        <v>3</v>
      </c>
      <c r="G118" s="246">
        <v>5</v>
      </c>
      <c r="H118" s="246">
        <v>6</v>
      </c>
      <c r="I118" s="246">
        <v>15</v>
      </c>
      <c r="J118" s="246"/>
      <c r="K118" s="246"/>
      <c r="L118" s="246"/>
      <c r="M118" s="246"/>
      <c r="N118" s="246"/>
      <c r="O118" s="246"/>
      <c r="P118" s="246"/>
      <c r="Q118" s="246"/>
      <c r="R118" s="246">
        <f>IFERROR(VLOOKUP(D118,PROGRAMAS[],2,FALSE),0)</f>
        <v>97037803.679377079</v>
      </c>
      <c r="S118" s="246">
        <f>IFERROR(VLOOKUP(E118,PROGRAMAS[],2,FALSE),0)</f>
        <v>640501509.6821388</v>
      </c>
      <c r="T118" s="246">
        <f>IFERROR(VLOOKUP(F118,PROGRAMAS[],2,FALSE),0)</f>
        <v>3062327798.1525245</v>
      </c>
      <c r="U118" s="246">
        <f>IFERROR(VLOOKUP(G118,PROGRAMAS[],2,FALSE),0)</f>
        <v>1440941976.2528784</v>
      </c>
      <c r="V118" s="246">
        <f>IFERROR(VLOOKUP(H118,PROGRAMAS[],2,FALSE),0)</f>
        <v>6907648435.8447599</v>
      </c>
      <c r="W118" s="246">
        <f>IFERROR(VLOOKUP(I118,PROGRAMAS[],2,FALSE),0)</f>
        <v>122159672.96346797</v>
      </c>
      <c r="X118" s="246">
        <f>IFERROR(VLOOKUP(J118,PROGRAMAS[],2,FALSE),0)</f>
        <v>0</v>
      </c>
      <c r="Y118" s="246">
        <f>IFERROR(VLOOKUP(K118,PROGRAMAS[],2,FALSE),0)</f>
        <v>0</v>
      </c>
      <c r="Z118" s="246">
        <f>IFERROR(VLOOKUP(L118,PROGRAMAS[],2,FALSE),0)</f>
        <v>0</v>
      </c>
      <c r="AA118" s="246">
        <f>IFERROR(VLOOKUP(M118,PROGRAMAS[],2,FALSE),0)</f>
        <v>0</v>
      </c>
      <c r="AB118" s="246">
        <f>IFERROR(VLOOKUP(N118,PROGRAMAS[],2,FALSE),0)</f>
        <v>0</v>
      </c>
      <c r="AC118" s="246">
        <f>IFERROR(VLOOKUP(O118,PROGRAMAS[],2,FALSE),0)</f>
        <v>0</v>
      </c>
      <c r="AD118" s="246">
        <f>IFERROR(VLOOKUP(P118,PROGRAMAS[],2,FALSE),0)</f>
        <v>0</v>
      </c>
      <c r="AE118" s="246">
        <f>IFERROR(VLOOKUP(Q118,PROGRAMAS[],2,FALSE),0)</f>
        <v>0</v>
      </c>
      <c r="AF118" s="246">
        <f>IFERROR(VLOOKUP(D118,PROGRAMAS[],3,FALSE),0)</f>
        <v>841888629.31080008</v>
      </c>
      <c r="AG118" s="246">
        <f>IFERROR(VLOOKUP(E118,PROGRAMAS[],3,FALSE),0)</f>
        <v>3848980803.1642323</v>
      </c>
      <c r="AH118" s="246">
        <f>IFERROR(VLOOKUP(F118,PROGRAMAS[],3,FALSE),0)</f>
        <v>3394901471.387517</v>
      </c>
      <c r="AI118" s="246">
        <f>IFERROR(VLOOKUP(G118,PROGRAMAS[],3,FALSE),0)</f>
        <v>1233505101.0616004</v>
      </c>
      <c r="AJ118" s="246">
        <f>IFERROR(VLOOKUP(H118,PROGRAMAS[],3,FALSE),0)</f>
        <v>6129902208.7912121</v>
      </c>
      <c r="AK118" s="246">
        <f>IFERROR(VLOOKUP(I118,PROGRAMAS[],3,FALSE),0)</f>
        <v>118617452.52510804</v>
      </c>
      <c r="AL118" s="246">
        <f>IFERROR(VLOOKUP(J118,PROGRAMAS[],3,FALSE),0)</f>
        <v>0</v>
      </c>
      <c r="AM118" s="246">
        <f>IFERROR(VLOOKUP(K118,PROGRAMAS[],3,FALSE),0)</f>
        <v>0</v>
      </c>
      <c r="AN118" s="246">
        <f>IFERROR(VLOOKUP(L118,PROGRAMAS[],3,FALSE),0)</f>
        <v>0</v>
      </c>
      <c r="AO118" s="246">
        <f>IFERROR(VLOOKUP(M118,PROGRAMAS[],3,FALSE),0)</f>
        <v>0</v>
      </c>
      <c r="AP118" s="246">
        <f>IFERROR(VLOOKUP(N118,PROGRAMAS[],3,FALSE),0)</f>
        <v>0</v>
      </c>
      <c r="AQ118" s="246">
        <f>IFERROR(VLOOKUP(O118,PROGRAMAS[],3,FALSE),0)</f>
        <v>0</v>
      </c>
      <c r="AR118" s="246">
        <f>IFERROR(VLOOKUP(P118,PROGRAMAS[],3,FALSE),0)</f>
        <v>0</v>
      </c>
      <c r="AS118" s="246">
        <f>IFERROR(VLOOKUP(Q118,PROGRAMAS[],3,FALSE),0)</f>
        <v>0</v>
      </c>
      <c r="AT118" s="246">
        <f>IFERROR(VLOOKUP(D118,VOL_REC[],2,FALSE),0)</f>
        <v>0</v>
      </c>
      <c r="AU118" s="246">
        <f>IFERROR(VLOOKUP(E118,VOL_REC[],2,FALSE),0)</f>
        <v>0</v>
      </c>
      <c r="AV118" s="246">
        <f>IFERROR(VLOOKUP(F118,VOL_REC[],2,FALSE),0)</f>
        <v>11089674.200000001</v>
      </c>
      <c r="AW118" s="246">
        <f>IFERROR(VLOOKUP(G118,VOL_REC[],2,FALSE),0)</f>
        <v>4325103.1812214684</v>
      </c>
      <c r="AX118" s="246">
        <f>IFERROR(VLOOKUP(H118,VOL_REC[],2,FALSE),0)</f>
        <v>15540036.397699751</v>
      </c>
      <c r="AY118" s="246">
        <f>IFERROR(VLOOKUP(I118,VOL_REC[],2,FALSE),0)</f>
        <v>105072</v>
      </c>
      <c r="AZ118" s="246">
        <f>IFERROR(VLOOKUP(J118,VOL_REC[],2,FALSE),0)</f>
        <v>0</v>
      </c>
      <c r="BA118" s="246">
        <f>IFERROR(VLOOKUP(K118,VOL_REC[],2,FALSE),0)</f>
        <v>0</v>
      </c>
      <c r="BB118" s="246">
        <f>IFERROR(VLOOKUP(L118,VOL_REC[],2,FALSE),0)</f>
        <v>0</v>
      </c>
      <c r="BC118" s="246">
        <f>IFERROR(VLOOKUP(M118,VOL_REC[],2,FALSE),0)</f>
        <v>0</v>
      </c>
      <c r="BD118" s="246">
        <f>IFERROR(VLOOKUP(N118,VOL_REC[],2,FALSE),0)</f>
        <v>0</v>
      </c>
      <c r="BE118" s="246">
        <f>IFERROR(VLOOKUP(O118,VOL_REC[],2,FALSE),0)</f>
        <v>0</v>
      </c>
      <c r="BF118" s="246">
        <f>IFERROR(VLOOKUP(P118,VOL_REC[],2,FALSE),0)</f>
        <v>0</v>
      </c>
      <c r="BG118" s="246">
        <f>IFERROR(VLOOKUP(Q118,VOL_REC[],2,FALSE),0)</f>
        <v>0</v>
      </c>
      <c r="BH118" s="1710">
        <f t="shared" si="4"/>
        <v>12270617196.575148</v>
      </c>
      <c r="BI118" s="1710">
        <f t="shared" si="5"/>
        <v>15567795666.240471</v>
      </c>
      <c r="BJ118" s="1711">
        <f t="shared" si="6"/>
        <v>31059885.77892122</v>
      </c>
      <c r="BK118" s="1711">
        <f t="shared" si="7"/>
        <v>0.78820518072347157</v>
      </c>
    </row>
    <row r="119" spans="3:67" x14ac:dyDescent="0.25">
      <c r="C119" s="246" t="s">
        <v>1469</v>
      </c>
      <c r="D119" s="246">
        <v>1</v>
      </c>
      <c r="E119" s="246">
        <v>2</v>
      </c>
      <c r="F119" s="246">
        <v>3</v>
      </c>
      <c r="G119" s="246">
        <v>5</v>
      </c>
      <c r="H119" s="246">
        <v>6</v>
      </c>
      <c r="I119" s="246">
        <v>16</v>
      </c>
      <c r="J119" s="246"/>
      <c r="K119" s="246"/>
      <c r="L119" s="246"/>
      <c r="M119" s="246"/>
      <c r="N119" s="246"/>
      <c r="O119" s="246"/>
      <c r="P119" s="246"/>
      <c r="Q119" s="246"/>
      <c r="R119" s="246">
        <f>IFERROR(VLOOKUP(D119,PROGRAMAS[],2,FALSE),0)</f>
        <v>97037803.679377079</v>
      </c>
      <c r="S119" s="246">
        <f>IFERROR(VLOOKUP(E119,PROGRAMAS[],2,FALSE),0)</f>
        <v>640501509.6821388</v>
      </c>
      <c r="T119" s="246">
        <f>IFERROR(VLOOKUP(F119,PROGRAMAS[],2,FALSE),0)</f>
        <v>3062327798.1525245</v>
      </c>
      <c r="U119" s="246">
        <f>IFERROR(VLOOKUP(G119,PROGRAMAS[],2,FALSE),0)</f>
        <v>1440941976.2528784</v>
      </c>
      <c r="V119" s="246">
        <f>IFERROR(VLOOKUP(H119,PROGRAMAS[],2,FALSE),0)</f>
        <v>6907648435.8447599</v>
      </c>
      <c r="W119" s="246">
        <f>IFERROR(VLOOKUP(I119,PROGRAMAS[],2,FALSE),0)</f>
        <v>7068496961.0436354</v>
      </c>
      <c r="X119" s="246">
        <f>IFERROR(VLOOKUP(J119,PROGRAMAS[],2,FALSE),0)</f>
        <v>0</v>
      </c>
      <c r="Y119" s="246">
        <f>IFERROR(VLOOKUP(K119,PROGRAMAS[],2,FALSE),0)</f>
        <v>0</v>
      </c>
      <c r="Z119" s="246">
        <f>IFERROR(VLOOKUP(L119,PROGRAMAS[],2,FALSE),0)</f>
        <v>0</v>
      </c>
      <c r="AA119" s="246">
        <f>IFERROR(VLOOKUP(M119,PROGRAMAS[],2,FALSE),0)</f>
        <v>0</v>
      </c>
      <c r="AB119" s="246">
        <f>IFERROR(VLOOKUP(N119,PROGRAMAS[],2,FALSE),0)</f>
        <v>0</v>
      </c>
      <c r="AC119" s="246">
        <f>IFERROR(VLOOKUP(O119,PROGRAMAS[],2,FALSE),0)</f>
        <v>0</v>
      </c>
      <c r="AD119" s="246">
        <f>IFERROR(VLOOKUP(P119,PROGRAMAS[],2,FALSE),0)</f>
        <v>0</v>
      </c>
      <c r="AE119" s="246">
        <f>IFERROR(VLOOKUP(Q119,PROGRAMAS[],2,FALSE),0)</f>
        <v>0</v>
      </c>
      <c r="AF119" s="246">
        <f>IFERROR(VLOOKUP(D119,PROGRAMAS[],3,FALSE),0)</f>
        <v>841888629.31080008</v>
      </c>
      <c r="AG119" s="246">
        <f>IFERROR(VLOOKUP(E119,PROGRAMAS[],3,FALSE),0)</f>
        <v>3848980803.1642323</v>
      </c>
      <c r="AH119" s="246">
        <f>IFERROR(VLOOKUP(F119,PROGRAMAS[],3,FALSE),0)</f>
        <v>3394901471.387517</v>
      </c>
      <c r="AI119" s="246">
        <f>IFERROR(VLOOKUP(G119,PROGRAMAS[],3,FALSE),0)</f>
        <v>1233505101.0616004</v>
      </c>
      <c r="AJ119" s="246">
        <f>IFERROR(VLOOKUP(H119,PROGRAMAS[],3,FALSE),0)</f>
        <v>6129902208.7912121</v>
      </c>
      <c r="AK119" s="246">
        <f>IFERROR(VLOOKUP(I119,PROGRAMAS[],3,FALSE),0)</f>
        <v>2406564599.0319901</v>
      </c>
      <c r="AL119" s="246">
        <f>IFERROR(VLOOKUP(J119,PROGRAMAS[],3,FALSE),0)</f>
        <v>0</v>
      </c>
      <c r="AM119" s="246">
        <f>IFERROR(VLOOKUP(K119,PROGRAMAS[],3,FALSE),0)</f>
        <v>0</v>
      </c>
      <c r="AN119" s="246">
        <f>IFERROR(VLOOKUP(L119,PROGRAMAS[],3,FALSE),0)</f>
        <v>0</v>
      </c>
      <c r="AO119" s="246">
        <f>IFERROR(VLOOKUP(M119,PROGRAMAS[],3,FALSE),0)</f>
        <v>0</v>
      </c>
      <c r="AP119" s="246">
        <f>IFERROR(VLOOKUP(N119,PROGRAMAS[],3,FALSE),0)</f>
        <v>0</v>
      </c>
      <c r="AQ119" s="246">
        <f>IFERROR(VLOOKUP(O119,PROGRAMAS[],3,FALSE),0)</f>
        <v>0</v>
      </c>
      <c r="AR119" s="246">
        <f>IFERROR(VLOOKUP(P119,PROGRAMAS[],3,FALSE),0)</f>
        <v>0</v>
      </c>
      <c r="AS119" s="246">
        <f>IFERROR(VLOOKUP(Q119,PROGRAMAS[],3,FALSE),0)</f>
        <v>0</v>
      </c>
      <c r="AT119" s="246">
        <f>IFERROR(VLOOKUP(D119,VOL_REC[],2,FALSE),0)</f>
        <v>0</v>
      </c>
      <c r="AU119" s="246">
        <f>IFERROR(VLOOKUP(E119,VOL_REC[],2,FALSE),0)</f>
        <v>0</v>
      </c>
      <c r="AV119" s="246">
        <f>IFERROR(VLOOKUP(F119,VOL_REC[],2,FALSE),0)</f>
        <v>11089674.200000001</v>
      </c>
      <c r="AW119" s="246">
        <f>IFERROR(VLOOKUP(G119,VOL_REC[],2,FALSE),0)</f>
        <v>4325103.1812214684</v>
      </c>
      <c r="AX119" s="246">
        <f>IFERROR(VLOOKUP(H119,VOL_REC[],2,FALSE),0)</f>
        <v>15540036.397699751</v>
      </c>
      <c r="AY119" s="246">
        <f>IFERROR(VLOOKUP(I119,VOL_REC[],2,FALSE),0)</f>
        <v>1072354.9981737854</v>
      </c>
      <c r="AZ119" s="246">
        <f>IFERROR(VLOOKUP(J119,VOL_REC[],2,FALSE),0)</f>
        <v>0</v>
      </c>
      <c r="BA119" s="246">
        <f>IFERROR(VLOOKUP(K119,VOL_REC[],2,FALSE),0)</f>
        <v>0</v>
      </c>
      <c r="BB119" s="246">
        <f>IFERROR(VLOOKUP(L119,VOL_REC[],2,FALSE),0)</f>
        <v>0</v>
      </c>
      <c r="BC119" s="246">
        <f>IFERROR(VLOOKUP(M119,VOL_REC[],2,FALSE),0)</f>
        <v>0</v>
      </c>
      <c r="BD119" s="246">
        <f>IFERROR(VLOOKUP(N119,VOL_REC[],2,FALSE),0)</f>
        <v>0</v>
      </c>
      <c r="BE119" s="246">
        <f>IFERROR(VLOOKUP(O119,VOL_REC[],2,FALSE),0)</f>
        <v>0</v>
      </c>
      <c r="BF119" s="246">
        <f>IFERROR(VLOOKUP(P119,VOL_REC[],2,FALSE),0)</f>
        <v>0</v>
      </c>
      <c r="BG119" s="246">
        <f>IFERROR(VLOOKUP(Q119,VOL_REC[],2,FALSE),0)</f>
        <v>0</v>
      </c>
      <c r="BH119" s="1710">
        <f t="shared" si="4"/>
        <v>19216954484.655315</v>
      </c>
      <c r="BI119" s="1710">
        <f t="shared" si="5"/>
        <v>17855742812.747353</v>
      </c>
      <c r="BJ119" s="1711">
        <f t="shared" si="6"/>
        <v>32027168.777095005</v>
      </c>
      <c r="BK119" s="1711">
        <f t="shared" si="7"/>
        <v>1.0762338305486896</v>
      </c>
      <c r="BL119">
        <f>BJ119</f>
        <v>32027168.777095005</v>
      </c>
      <c r="BO119">
        <f>BL119</f>
        <v>32027168.777095005</v>
      </c>
    </row>
    <row r="120" spans="3:67" x14ac:dyDescent="0.25">
      <c r="C120" s="246" t="s">
        <v>1470</v>
      </c>
      <c r="D120" s="246">
        <v>1</v>
      </c>
      <c r="E120" s="246">
        <v>2</v>
      </c>
      <c r="F120" s="246">
        <v>3</v>
      </c>
      <c r="G120" s="246">
        <v>5</v>
      </c>
      <c r="H120" s="246">
        <v>6</v>
      </c>
      <c r="I120" s="246">
        <v>17</v>
      </c>
      <c r="J120" s="246"/>
      <c r="K120" s="246"/>
      <c r="L120" s="246"/>
      <c r="M120" s="246"/>
      <c r="N120" s="246"/>
      <c r="O120" s="246"/>
      <c r="P120" s="246"/>
      <c r="Q120" s="246"/>
      <c r="R120" s="246">
        <f>IFERROR(VLOOKUP(D120,PROGRAMAS[],2,FALSE),0)</f>
        <v>97037803.679377079</v>
      </c>
      <c r="S120" s="246">
        <f>IFERROR(VLOOKUP(E120,PROGRAMAS[],2,FALSE),0)</f>
        <v>640501509.6821388</v>
      </c>
      <c r="T120" s="246">
        <f>IFERROR(VLOOKUP(F120,PROGRAMAS[],2,FALSE),0)</f>
        <v>3062327798.1525245</v>
      </c>
      <c r="U120" s="246">
        <f>IFERROR(VLOOKUP(G120,PROGRAMAS[],2,FALSE),0)</f>
        <v>1440941976.2528784</v>
      </c>
      <c r="V120" s="246">
        <f>IFERROR(VLOOKUP(H120,PROGRAMAS[],2,FALSE),0)</f>
        <v>6907648435.8447599</v>
      </c>
      <c r="W120" s="246">
        <f>IFERROR(VLOOKUP(I120,PROGRAMAS[],2,FALSE),0)</f>
        <v>1892779498.5211046</v>
      </c>
      <c r="X120" s="246">
        <f>IFERROR(VLOOKUP(J120,PROGRAMAS[],2,FALSE),0)</f>
        <v>0</v>
      </c>
      <c r="Y120" s="246">
        <f>IFERROR(VLOOKUP(K120,PROGRAMAS[],2,FALSE),0)</f>
        <v>0</v>
      </c>
      <c r="Z120" s="246">
        <f>IFERROR(VLOOKUP(L120,PROGRAMAS[],2,FALSE),0)</f>
        <v>0</v>
      </c>
      <c r="AA120" s="246">
        <f>IFERROR(VLOOKUP(M120,PROGRAMAS[],2,FALSE),0)</f>
        <v>0</v>
      </c>
      <c r="AB120" s="246">
        <f>IFERROR(VLOOKUP(N120,PROGRAMAS[],2,FALSE),0)</f>
        <v>0</v>
      </c>
      <c r="AC120" s="246">
        <f>IFERROR(VLOOKUP(O120,PROGRAMAS[],2,FALSE),0)</f>
        <v>0</v>
      </c>
      <c r="AD120" s="246">
        <f>IFERROR(VLOOKUP(P120,PROGRAMAS[],2,FALSE),0)</f>
        <v>0</v>
      </c>
      <c r="AE120" s="246">
        <f>IFERROR(VLOOKUP(Q120,PROGRAMAS[],2,FALSE),0)</f>
        <v>0</v>
      </c>
      <c r="AF120" s="246">
        <f>IFERROR(VLOOKUP(D120,PROGRAMAS[],3,FALSE),0)</f>
        <v>841888629.31080008</v>
      </c>
      <c r="AG120" s="246">
        <f>IFERROR(VLOOKUP(E120,PROGRAMAS[],3,FALSE),0)</f>
        <v>3848980803.1642323</v>
      </c>
      <c r="AH120" s="246">
        <f>IFERROR(VLOOKUP(F120,PROGRAMAS[],3,FALSE),0)</f>
        <v>3394901471.387517</v>
      </c>
      <c r="AI120" s="246">
        <f>IFERROR(VLOOKUP(G120,PROGRAMAS[],3,FALSE),0)</f>
        <v>1233505101.0616004</v>
      </c>
      <c r="AJ120" s="246">
        <f>IFERROR(VLOOKUP(H120,PROGRAMAS[],3,FALSE),0)</f>
        <v>6129902208.7912121</v>
      </c>
      <c r="AK120" s="246">
        <f>IFERROR(VLOOKUP(I120,PROGRAMAS[],3,FALSE),0)</f>
        <v>948595847.09039903</v>
      </c>
      <c r="AL120" s="246">
        <f>IFERROR(VLOOKUP(J120,PROGRAMAS[],3,FALSE),0)</f>
        <v>0</v>
      </c>
      <c r="AM120" s="246">
        <f>IFERROR(VLOOKUP(K120,PROGRAMAS[],3,FALSE),0)</f>
        <v>0</v>
      </c>
      <c r="AN120" s="246">
        <f>IFERROR(VLOOKUP(L120,PROGRAMAS[],3,FALSE),0)</f>
        <v>0</v>
      </c>
      <c r="AO120" s="246">
        <f>IFERROR(VLOOKUP(M120,PROGRAMAS[],3,FALSE),0)</f>
        <v>0</v>
      </c>
      <c r="AP120" s="246">
        <f>IFERROR(VLOOKUP(N120,PROGRAMAS[],3,FALSE),0)</f>
        <v>0</v>
      </c>
      <c r="AQ120" s="246">
        <f>IFERROR(VLOOKUP(O120,PROGRAMAS[],3,FALSE),0)</f>
        <v>0</v>
      </c>
      <c r="AR120" s="246">
        <f>IFERROR(VLOOKUP(P120,PROGRAMAS[],3,FALSE),0)</f>
        <v>0</v>
      </c>
      <c r="AS120" s="246">
        <f>IFERROR(VLOOKUP(Q120,PROGRAMAS[],3,FALSE),0)</f>
        <v>0</v>
      </c>
      <c r="AT120" s="246">
        <f>IFERROR(VLOOKUP(D120,VOL_REC[],2,FALSE),0)</f>
        <v>0</v>
      </c>
      <c r="AU120" s="246">
        <f>IFERROR(VLOOKUP(E120,VOL_REC[],2,FALSE),0)</f>
        <v>0</v>
      </c>
      <c r="AV120" s="246">
        <f>IFERROR(VLOOKUP(F120,VOL_REC[],2,FALSE),0)</f>
        <v>11089674.200000001</v>
      </c>
      <c r="AW120" s="246">
        <f>IFERROR(VLOOKUP(G120,VOL_REC[],2,FALSE),0)</f>
        <v>4325103.1812214684</v>
      </c>
      <c r="AX120" s="246">
        <f>IFERROR(VLOOKUP(H120,VOL_REC[],2,FALSE),0)</f>
        <v>15540036.397699751</v>
      </c>
      <c r="AY120" s="246">
        <f>IFERROR(VLOOKUP(I120,VOL_REC[],2,FALSE),0)</f>
        <v>740113.98115702497</v>
      </c>
      <c r="AZ120" s="246">
        <f>IFERROR(VLOOKUP(J120,VOL_REC[],2,FALSE),0)</f>
        <v>0</v>
      </c>
      <c r="BA120" s="246">
        <f>IFERROR(VLOOKUP(K120,VOL_REC[],2,FALSE),0)</f>
        <v>0</v>
      </c>
      <c r="BB120" s="246">
        <f>IFERROR(VLOOKUP(L120,VOL_REC[],2,FALSE),0)</f>
        <v>0</v>
      </c>
      <c r="BC120" s="246">
        <f>IFERROR(VLOOKUP(M120,VOL_REC[],2,FALSE),0)</f>
        <v>0</v>
      </c>
      <c r="BD120" s="246">
        <f>IFERROR(VLOOKUP(N120,VOL_REC[],2,FALSE),0)</f>
        <v>0</v>
      </c>
      <c r="BE120" s="246">
        <f>IFERROR(VLOOKUP(O120,VOL_REC[],2,FALSE),0)</f>
        <v>0</v>
      </c>
      <c r="BF120" s="246">
        <f>IFERROR(VLOOKUP(P120,VOL_REC[],2,FALSE),0)</f>
        <v>0</v>
      </c>
      <c r="BG120" s="246">
        <f>IFERROR(VLOOKUP(Q120,VOL_REC[],2,FALSE),0)</f>
        <v>0</v>
      </c>
      <c r="BH120" s="1710">
        <f t="shared" si="4"/>
        <v>14041237022.132784</v>
      </c>
      <c r="BI120" s="1710">
        <f t="shared" si="5"/>
        <v>16397774060.805761</v>
      </c>
      <c r="BJ120" s="1711">
        <f t="shared" si="6"/>
        <v>31694927.760078244</v>
      </c>
      <c r="BK120" s="1711">
        <f t="shared" si="7"/>
        <v>0.85628921157624605</v>
      </c>
    </row>
    <row r="121" spans="3:67" x14ac:dyDescent="0.25">
      <c r="C121" s="246" t="s">
        <v>1471</v>
      </c>
      <c r="D121" s="246">
        <v>1</v>
      </c>
      <c r="E121" s="246">
        <v>2</v>
      </c>
      <c r="F121" s="246">
        <v>3</v>
      </c>
      <c r="G121" s="246">
        <v>5</v>
      </c>
      <c r="H121" s="246">
        <v>9</v>
      </c>
      <c r="I121" s="246">
        <v>10</v>
      </c>
      <c r="J121" s="246"/>
      <c r="K121" s="246"/>
      <c r="L121" s="246"/>
      <c r="M121" s="246"/>
      <c r="N121" s="246"/>
      <c r="O121" s="246"/>
      <c r="P121" s="246"/>
      <c r="Q121" s="246"/>
      <c r="R121" s="246">
        <f>IFERROR(VLOOKUP(D121,PROGRAMAS[],2,FALSE),0)</f>
        <v>97037803.679377079</v>
      </c>
      <c r="S121" s="246">
        <f>IFERROR(VLOOKUP(E121,PROGRAMAS[],2,FALSE),0)</f>
        <v>640501509.6821388</v>
      </c>
      <c r="T121" s="246">
        <f>IFERROR(VLOOKUP(F121,PROGRAMAS[],2,FALSE),0)</f>
        <v>3062327798.1525245</v>
      </c>
      <c r="U121" s="246">
        <f>IFERROR(VLOOKUP(G121,PROGRAMAS[],2,FALSE),0)</f>
        <v>1440941976.2528784</v>
      </c>
      <c r="V121" s="246">
        <f>IFERROR(VLOOKUP(H121,PROGRAMAS[],2,FALSE),0)</f>
        <v>6128579952.1618185</v>
      </c>
      <c r="W121" s="246">
        <f>IFERROR(VLOOKUP(I121,PROGRAMAS[],2,FALSE),0)</f>
        <v>4635315027.8751087</v>
      </c>
      <c r="X121" s="246">
        <f>IFERROR(VLOOKUP(J121,PROGRAMAS[],2,FALSE),0)</f>
        <v>0</v>
      </c>
      <c r="Y121" s="246">
        <f>IFERROR(VLOOKUP(K121,PROGRAMAS[],2,FALSE),0)</f>
        <v>0</v>
      </c>
      <c r="Z121" s="246">
        <f>IFERROR(VLOOKUP(L121,PROGRAMAS[],2,FALSE),0)</f>
        <v>0</v>
      </c>
      <c r="AA121" s="246">
        <f>IFERROR(VLOOKUP(M121,PROGRAMAS[],2,FALSE),0)</f>
        <v>0</v>
      </c>
      <c r="AB121" s="246">
        <f>IFERROR(VLOOKUP(N121,PROGRAMAS[],2,FALSE),0)</f>
        <v>0</v>
      </c>
      <c r="AC121" s="246">
        <f>IFERROR(VLOOKUP(O121,PROGRAMAS[],2,FALSE),0)</f>
        <v>0</v>
      </c>
      <c r="AD121" s="246">
        <f>IFERROR(VLOOKUP(P121,PROGRAMAS[],2,FALSE),0)</f>
        <v>0</v>
      </c>
      <c r="AE121" s="246">
        <f>IFERROR(VLOOKUP(Q121,PROGRAMAS[],2,FALSE),0)</f>
        <v>0</v>
      </c>
      <c r="AF121" s="246">
        <f>IFERROR(VLOOKUP(D121,PROGRAMAS[],3,FALSE),0)</f>
        <v>841888629.31080008</v>
      </c>
      <c r="AG121" s="246">
        <f>IFERROR(VLOOKUP(E121,PROGRAMAS[],3,FALSE),0)</f>
        <v>3848980803.1642323</v>
      </c>
      <c r="AH121" s="246">
        <f>IFERROR(VLOOKUP(F121,PROGRAMAS[],3,FALSE),0)</f>
        <v>3394901471.387517</v>
      </c>
      <c r="AI121" s="246">
        <f>IFERROR(VLOOKUP(G121,PROGRAMAS[],3,FALSE),0)</f>
        <v>1233505101.0616004</v>
      </c>
      <c r="AJ121" s="246">
        <f>IFERROR(VLOOKUP(H121,PROGRAMAS[],3,FALSE),0)</f>
        <v>7011279577.519702</v>
      </c>
      <c r="AK121" s="246">
        <f>IFERROR(VLOOKUP(I121,PROGRAMAS[],3,FALSE),0)</f>
        <v>4099471734.9978786</v>
      </c>
      <c r="AL121" s="246">
        <f>IFERROR(VLOOKUP(J121,PROGRAMAS[],3,FALSE),0)</f>
        <v>0</v>
      </c>
      <c r="AM121" s="246">
        <f>IFERROR(VLOOKUP(K121,PROGRAMAS[],3,FALSE),0)</f>
        <v>0</v>
      </c>
      <c r="AN121" s="246">
        <f>IFERROR(VLOOKUP(L121,PROGRAMAS[],3,FALSE),0)</f>
        <v>0</v>
      </c>
      <c r="AO121" s="246">
        <f>IFERROR(VLOOKUP(M121,PROGRAMAS[],3,FALSE),0)</f>
        <v>0</v>
      </c>
      <c r="AP121" s="246">
        <f>IFERROR(VLOOKUP(N121,PROGRAMAS[],3,FALSE),0)</f>
        <v>0</v>
      </c>
      <c r="AQ121" s="246">
        <f>IFERROR(VLOOKUP(O121,PROGRAMAS[],3,FALSE),0)</f>
        <v>0</v>
      </c>
      <c r="AR121" s="246">
        <f>IFERROR(VLOOKUP(P121,PROGRAMAS[],3,FALSE),0)</f>
        <v>0</v>
      </c>
      <c r="AS121" s="246">
        <f>IFERROR(VLOOKUP(Q121,PROGRAMAS[],3,FALSE),0)</f>
        <v>0</v>
      </c>
      <c r="AT121" s="246">
        <f>IFERROR(VLOOKUP(D121,VOL_REC[],2,FALSE),0)</f>
        <v>0</v>
      </c>
      <c r="AU121" s="246">
        <f>IFERROR(VLOOKUP(E121,VOL_REC[],2,FALSE),0)</f>
        <v>0</v>
      </c>
      <c r="AV121" s="246">
        <f>IFERROR(VLOOKUP(F121,VOL_REC[],2,FALSE),0)</f>
        <v>11089674.200000001</v>
      </c>
      <c r="AW121" s="246">
        <f>IFERROR(VLOOKUP(G121,VOL_REC[],2,FALSE),0)</f>
        <v>4325103.1812214684</v>
      </c>
      <c r="AX121" s="246">
        <f>IFERROR(VLOOKUP(H121,VOL_REC[],2,FALSE),0)</f>
        <v>3761786</v>
      </c>
      <c r="AY121" s="246">
        <f>IFERROR(VLOOKUP(I121,VOL_REC[],2,FALSE),0)</f>
        <v>1812240</v>
      </c>
      <c r="AZ121" s="246">
        <f>IFERROR(VLOOKUP(J121,VOL_REC[],2,FALSE),0)</f>
        <v>0</v>
      </c>
      <c r="BA121" s="246">
        <f>IFERROR(VLOOKUP(K121,VOL_REC[],2,FALSE),0)</f>
        <v>0</v>
      </c>
      <c r="BB121" s="246">
        <f>IFERROR(VLOOKUP(L121,VOL_REC[],2,FALSE),0)</f>
        <v>0</v>
      </c>
      <c r="BC121" s="246">
        <f>IFERROR(VLOOKUP(M121,VOL_REC[],2,FALSE),0)</f>
        <v>0</v>
      </c>
      <c r="BD121" s="246">
        <f>IFERROR(VLOOKUP(N121,VOL_REC[],2,FALSE),0)</f>
        <v>0</v>
      </c>
      <c r="BE121" s="246">
        <f>IFERROR(VLOOKUP(O121,VOL_REC[],2,FALSE),0)</f>
        <v>0</v>
      </c>
      <c r="BF121" s="246">
        <f>IFERROR(VLOOKUP(P121,VOL_REC[],2,FALSE),0)</f>
        <v>0</v>
      </c>
      <c r="BG121" s="246">
        <f>IFERROR(VLOOKUP(Q121,VOL_REC[],2,FALSE),0)</f>
        <v>0</v>
      </c>
      <c r="BH121" s="1710">
        <f t="shared" si="4"/>
        <v>16004704067.803846</v>
      </c>
      <c r="BI121" s="1710">
        <f t="shared" si="5"/>
        <v>20430027317.44173</v>
      </c>
      <c r="BJ121" s="1711">
        <f t="shared" si="6"/>
        <v>20988803.381221469</v>
      </c>
      <c r="BK121" s="1711">
        <f t="shared" si="7"/>
        <v>0.78339122210277945</v>
      </c>
    </row>
    <row r="122" spans="3:67" x14ac:dyDescent="0.25">
      <c r="C122" s="246" t="s">
        <v>1472</v>
      </c>
      <c r="D122" s="246">
        <v>1</v>
      </c>
      <c r="E122" s="246">
        <v>2</v>
      </c>
      <c r="F122" s="246">
        <v>3</v>
      </c>
      <c r="G122" s="246">
        <v>5</v>
      </c>
      <c r="H122" s="246">
        <v>9</v>
      </c>
      <c r="I122" s="246">
        <v>12</v>
      </c>
      <c r="J122" s="246"/>
      <c r="K122" s="246"/>
      <c r="L122" s="246"/>
      <c r="M122" s="246"/>
      <c r="N122" s="246"/>
      <c r="O122" s="246"/>
      <c r="P122" s="246"/>
      <c r="Q122" s="246"/>
      <c r="R122" s="246">
        <f>IFERROR(VLOOKUP(D122,PROGRAMAS[],2,FALSE),0)</f>
        <v>97037803.679377079</v>
      </c>
      <c r="S122" s="246">
        <f>IFERROR(VLOOKUP(E122,PROGRAMAS[],2,FALSE),0)</f>
        <v>640501509.6821388</v>
      </c>
      <c r="T122" s="246">
        <f>IFERROR(VLOOKUP(F122,PROGRAMAS[],2,FALSE),0)</f>
        <v>3062327798.1525245</v>
      </c>
      <c r="U122" s="246">
        <f>IFERROR(VLOOKUP(G122,PROGRAMAS[],2,FALSE),0)</f>
        <v>1440941976.2528784</v>
      </c>
      <c r="V122" s="246">
        <f>IFERROR(VLOOKUP(H122,PROGRAMAS[],2,FALSE),0)</f>
        <v>6128579952.1618185</v>
      </c>
      <c r="W122" s="246">
        <f>IFERROR(VLOOKUP(I122,PROGRAMAS[],2,FALSE),0)</f>
        <v>764796700.79905891</v>
      </c>
      <c r="X122" s="246">
        <f>IFERROR(VLOOKUP(J122,PROGRAMAS[],2,FALSE),0)</f>
        <v>0</v>
      </c>
      <c r="Y122" s="246">
        <f>IFERROR(VLOOKUP(K122,PROGRAMAS[],2,FALSE),0)</f>
        <v>0</v>
      </c>
      <c r="Z122" s="246">
        <f>IFERROR(VLOOKUP(L122,PROGRAMAS[],2,FALSE),0)</f>
        <v>0</v>
      </c>
      <c r="AA122" s="246">
        <f>IFERROR(VLOOKUP(M122,PROGRAMAS[],2,FALSE),0)</f>
        <v>0</v>
      </c>
      <c r="AB122" s="246">
        <f>IFERROR(VLOOKUP(N122,PROGRAMAS[],2,FALSE),0)</f>
        <v>0</v>
      </c>
      <c r="AC122" s="246">
        <f>IFERROR(VLOOKUP(O122,PROGRAMAS[],2,FALSE),0)</f>
        <v>0</v>
      </c>
      <c r="AD122" s="246">
        <f>IFERROR(VLOOKUP(P122,PROGRAMAS[],2,FALSE),0)</f>
        <v>0</v>
      </c>
      <c r="AE122" s="246">
        <f>IFERROR(VLOOKUP(Q122,PROGRAMAS[],2,FALSE),0)</f>
        <v>0</v>
      </c>
      <c r="AF122" s="246">
        <f>IFERROR(VLOOKUP(D122,PROGRAMAS[],3,FALSE),0)</f>
        <v>841888629.31080008</v>
      </c>
      <c r="AG122" s="246">
        <f>IFERROR(VLOOKUP(E122,PROGRAMAS[],3,FALSE),0)</f>
        <v>3848980803.1642323</v>
      </c>
      <c r="AH122" s="246">
        <f>IFERROR(VLOOKUP(F122,PROGRAMAS[],3,FALSE),0)</f>
        <v>3394901471.387517</v>
      </c>
      <c r="AI122" s="246">
        <f>IFERROR(VLOOKUP(G122,PROGRAMAS[],3,FALSE),0)</f>
        <v>1233505101.0616004</v>
      </c>
      <c r="AJ122" s="246">
        <f>IFERROR(VLOOKUP(H122,PROGRAMAS[],3,FALSE),0)</f>
        <v>7011279577.519702</v>
      </c>
      <c r="AK122" s="246">
        <f>IFERROR(VLOOKUP(I122,PROGRAMAS[],3,FALSE),0)</f>
        <v>675517840.109828</v>
      </c>
      <c r="AL122" s="246">
        <f>IFERROR(VLOOKUP(J122,PROGRAMAS[],3,FALSE),0)</f>
        <v>0</v>
      </c>
      <c r="AM122" s="246">
        <f>IFERROR(VLOOKUP(K122,PROGRAMAS[],3,FALSE),0)</f>
        <v>0</v>
      </c>
      <c r="AN122" s="246">
        <f>IFERROR(VLOOKUP(L122,PROGRAMAS[],3,FALSE),0)</f>
        <v>0</v>
      </c>
      <c r="AO122" s="246">
        <f>IFERROR(VLOOKUP(M122,PROGRAMAS[],3,FALSE),0)</f>
        <v>0</v>
      </c>
      <c r="AP122" s="246">
        <f>IFERROR(VLOOKUP(N122,PROGRAMAS[],3,FALSE),0)</f>
        <v>0</v>
      </c>
      <c r="AQ122" s="246">
        <f>IFERROR(VLOOKUP(O122,PROGRAMAS[],3,FALSE),0)</f>
        <v>0</v>
      </c>
      <c r="AR122" s="246">
        <f>IFERROR(VLOOKUP(P122,PROGRAMAS[],3,FALSE),0)</f>
        <v>0</v>
      </c>
      <c r="AS122" s="246">
        <f>IFERROR(VLOOKUP(Q122,PROGRAMAS[],3,FALSE),0)</f>
        <v>0</v>
      </c>
      <c r="AT122" s="246">
        <f>IFERROR(VLOOKUP(D122,VOL_REC[],2,FALSE),0)</f>
        <v>0</v>
      </c>
      <c r="AU122" s="246">
        <f>IFERROR(VLOOKUP(E122,VOL_REC[],2,FALSE),0)</f>
        <v>0</v>
      </c>
      <c r="AV122" s="246">
        <f>IFERROR(VLOOKUP(F122,VOL_REC[],2,FALSE),0)</f>
        <v>11089674.200000001</v>
      </c>
      <c r="AW122" s="246">
        <f>IFERROR(VLOOKUP(G122,VOL_REC[],2,FALSE),0)</f>
        <v>4325103.1812214684</v>
      </c>
      <c r="AX122" s="246">
        <f>IFERROR(VLOOKUP(H122,VOL_REC[],2,FALSE),0)</f>
        <v>3761786</v>
      </c>
      <c r="AY122" s="246">
        <f>IFERROR(VLOOKUP(I122,VOL_REC[],2,FALSE),0)</f>
        <v>240696.79238099116</v>
      </c>
      <c r="AZ122" s="246">
        <f>IFERROR(VLOOKUP(J122,VOL_REC[],2,FALSE),0)</f>
        <v>0</v>
      </c>
      <c r="BA122" s="246">
        <f>IFERROR(VLOOKUP(K122,VOL_REC[],2,FALSE),0)</f>
        <v>0</v>
      </c>
      <c r="BB122" s="246">
        <f>IFERROR(VLOOKUP(L122,VOL_REC[],2,FALSE),0)</f>
        <v>0</v>
      </c>
      <c r="BC122" s="246">
        <f>IFERROR(VLOOKUP(M122,VOL_REC[],2,FALSE),0)</f>
        <v>0</v>
      </c>
      <c r="BD122" s="246">
        <f>IFERROR(VLOOKUP(N122,VOL_REC[],2,FALSE),0)</f>
        <v>0</v>
      </c>
      <c r="BE122" s="246">
        <f>IFERROR(VLOOKUP(O122,VOL_REC[],2,FALSE),0)</f>
        <v>0</v>
      </c>
      <c r="BF122" s="246">
        <f>IFERROR(VLOOKUP(P122,VOL_REC[],2,FALSE),0)</f>
        <v>0</v>
      </c>
      <c r="BG122" s="246">
        <f>IFERROR(VLOOKUP(Q122,VOL_REC[],2,FALSE),0)</f>
        <v>0</v>
      </c>
      <c r="BH122" s="1710">
        <f t="shared" si="4"/>
        <v>12134185740.727797</v>
      </c>
      <c r="BI122" s="1710">
        <f t="shared" si="5"/>
        <v>17006073422.55368</v>
      </c>
      <c r="BJ122" s="1711">
        <f t="shared" si="6"/>
        <v>19417260.173602462</v>
      </c>
      <c r="BK122" s="1711">
        <f t="shared" si="7"/>
        <v>0.71352071928816196</v>
      </c>
    </row>
    <row r="123" spans="3:67" x14ac:dyDescent="0.25">
      <c r="C123" s="246" t="s">
        <v>1473</v>
      </c>
      <c r="D123" s="246">
        <v>1</v>
      </c>
      <c r="E123" s="246">
        <v>2</v>
      </c>
      <c r="F123" s="246">
        <v>3</v>
      </c>
      <c r="G123" s="246">
        <v>5</v>
      </c>
      <c r="H123" s="246">
        <v>9</v>
      </c>
      <c r="I123" s="246">
        <v>13</v>
      </c>
      <c r="J123" s="246"/>
      <c r="K123" s="246"/>
      <c r="L123" s="246"/>
      <c r="M123" s="246"/>
      <c r="N123" s="246"/>
      <c r="O123" s="246"/>
      <c r="P123" s="246"/>
      <c r="Q123" s="246"/>
      <c r="R123" s="246">
        <f>IFERROR(VLOOKUP(D123,PROGRAMAS[],2,FALSE),0)</f>
        <v>97037803.679377079</v>
      </c>
      <c r="S123" s="246">
        <f>IFERROR(VLOOKUP(E123,PROGRAMAS[],2,FALSE),0)</f>
        <v>640501509.6821388</v>
      </c>
      <c r="T123" s="246">
        <f>IFERROR(VLOOKUP(F123,PROGRAMAS[],2,FALSE),0)</f>
        <v>3062327798.1525245</v>
      </c>
      <c r="U123" s="246">
        <f>IFERROR(VLOOKUP(G123,PROGRAMAS[],2,FALSE),0)</f>
        <v>1440941976.2528784</v>
      </c>
      <c r="V123" s="246">
        <f>IFERROR(VLOOKUP(H123,PROGRAMAS[],2,FALSE),0)</f>
        <v>6128579952.1618185</v>
      </c>
      <c r="W123" s="246">
        <f>IFERROR(VLOOKUP(I123,PROGRAMAS[],2,FALSE),0)</f>
        <v>3776538594.4604583</v>
      </c>
      <c r="X123" s="246">
        <f>IFERROR(VLOOKUP(J123,PROGRAMAS[],2,FALSE),0)</f>
        <v>0</v>
      </c>
      <c r="Y123" s="246">
        <f>IFERROR(VLOOKUP(K123,PROGRAMAS[],2,FALSE),0)</f>
        <v>0</v>
      </c>
      <c r="Z123" s="246">
        <f>IFERROR(VLOOKUP(L123,PROGRAMAS[],2,FALSE),0)</f>
        <v>0</v>
      </c>
      <c r="AA123" s="246">
        <f>IFERROR(VLOOKUP(M123,PROGRAMAS[],2,FALSE),0)</f>
        <v>0</v>
      </c>
      <c r="AB123" s="246">
        <f>IFERROR(VLOOKUP(N123,PROGRAMAS[],2,FALSE),0)</f>
        <v>0</v>
      </c>
      <c r="AC123" s="246">
        <f>IFERROR(VLOOKUP(O123,PROGRAMAS[],2,FALSE),0)</f>
        <v>0</v>
      </c>
      <c r="AD123" s="246">
        <f>IFERROR(VLOOKUP(P123,PROGRAMAS[],2,FALSE),0)</f>
        <v>0</v>
      </c>
      <c r="AE123" s="246">
        <f>IFERROR(VLOOKUP(Q123,PROGRAMAS[],2,FALSE),0)</f>
        <v>0</v>
      </c>
      <c r="AF123" s="246">
        <f>IFERROR(VLOOKUP(D123,PROGRAMAS[],3,FALSE),0)</f>
        <v>841888629.31080008</v>
      </c>
      <c r="AG123" s="246">
        <f>IFERROR(VLOOKUP(E123,PROGRAMAS[],3,FALSE),0)</f>
        <v>3848980803.1642323</v>
      </c>
      <c r="AH123" s="246">
        <f>IFERROR(VLOOKUP(F123,PROGRAMAS[],3,FALSE),0)</f>
        <v>3394901471.387517</v>
      </c>
      <c r="AI123" s="246">
        <f>IFERROR(VLOOKUP(G123,PROGRAMAS[],3,FALSE),0)</f>
        <v>1233505101.0616004</v>
      </c>
      <c r="AJ123" s="246">
        <f>IFERROR(VLOOKUP(H123,PROGRAMAS[],3,FALSE),0)</f>
        <v>7011279577.519702</v>
      </c>
      <c r="AK123" s="246">
        <f>IFERROR(VLOOKUP(I123,PROGRAMAS[],3,FALSE),0)</f>
        <v>2392571243.5584412</v>
      </c>
      <c r="AL123" s="246">
        <f>IFERROR(VLOOKUP(J123,PROGRAMAS[],3,FALSE),0)</f>
        <v>0</v>
      </c>
      <c r="AM123" s="246">
        <f>IFERROR(VLOOKUP(K123,PROGRAMAS[],3,FALSE),0)</f>
        <v>0</v>
      </c>
      <c r="AN123" s="246">
        <f>IFERROR(VLOOKUP(L123,PROGRAMAS[],3,FALSE),0)</f>
        <v>0</v>
      </c>
      <c r="AO123" s="246">
        <f>IFERROR(VLOOKUP(M123,PROGRAMAS[],3,FALSE),0)</f>
        <v>0</v>
      </c>
      <c r="AP123" s="246">
        <f>IFERROR(VLOOKUP(N123,PROGRAMAS[],3,FALSE),0)</f>
        <v>0</v>
      </c>
      <c r="AQ123" s="246">
        <f>IFERROR(VLOOKUP(O123,PROGRAMAS[],3,FALSE),0)</f>
        <v>0</v>
      </c>
      <c r="AR123" s="246">
        <f>IFERROR(VLOOKUP(P123,PROGRAMAS[],3,FALSE),0)</f>
        <v>0</v>
      </c>
      <c r="AS123" s="246">
        <f>IFERROR(VLOOKUP(Q123,PROGRAMAS[],3,FALSE),0)</f>
        <v>0</v>
      </c>
      <c r="AT123" s="246">
        <f>IFERROR(VLOOKUP(D123,VOL_REC[],2,FALSE),0)</f>
        <v>0</v>
      </c>
      <c r="AU123" s="246">
        <f>IFERROR(VLOOKUP(E123,VOL_REC[],2,FALSE),0)</f>
        <v>0</v>
      </c>
      <c r="AV123" s="246">
        <f>IFERROR(VLOOKUP(F123,VOL_REC[],2,FALSE),0)</f>
        <v>11089674.200000001</v>
      </c>
      <c r="AW123" s="246">
        <f>IFERROR(VLOOKUP(G123,VOL_REC[],2,FALSE),0)</f>
        <v>4325103.1812214684</v>
      </c>
      <c r="AX123" s="246">
        <f>IFERROR(VLOOKUP(H123,VOL_REC[],2,FALSE),0)</f>
        <v>3761786</v>
      </c>
      <c r="AY123" s="246">
        <f>IFERROR(VLOOKUP(I123,VOL_REC[],2,FALSE),0)</f>
        <v>663244.80000000016</v>
      </c>
      <c r="AZ123" s="246">
        <f>IFERROR(VLOOKUP(J123,VOL_REC[],2,FALSE),0)</f>
        <v>0</v>
      </c>
      <c r="BA123" s="246">
        <f>IFERROR(VLOOKUP(K123,VOL_REC[],2,FALSE),0)</f>
        <v>0</v>
      </c>
      <c r="BB123" s="246">
        <f>IFERROR(VLOOKUP(L123,VOL_REC[],2,FALSE),0)</f>
        <v>0</v>
      </c>
      <c r="BC123" s="246">
        <f>IFERROR(VLOOKUP(M123,VOL_REC[],2,FALSE),0)</f>
        <v>0</v>
      </c>
      <c r="BD123" s="246">
        <f>IFERROR(VLOOKUP(N123,VOL_REC[],2,FALSE),0)</f>
        <v>0</v>
      </c>
      <c r="BE123" s="246">
        <f>IFERROR(VLOOKUP(O123,VOL_REC[],2,FALSE),0)</f>
        <v>0</v>
      </c>
      <c r="BF123" s="246">
        <f>IFERROR(VLOOKUP(P123,VOL_REC[],2,FALSE),0)</f>
        <v>0</v>
      </c>
      <c r="BG123" s="246">
        <f>IFERROR(VLOOKUP(Q123,VOL_REC[],2,FALSE),0)</f>
        <v>0</v>
      </c>
      <c r="BH123" s="1710">
        <f t="shared" si="4"/>
        <v>15145927634.389196</v>
      </c>
      <c r="BI123" s="1710">
        <f t="shared" si="5"/>
        <v>18723126826.002293</v>
      </c>
      <c r="BJ123" s="1711">
        <f t="shared" si="6"/>
        <v>19839808.18122147</v>
      </c>
      <c r="BK123" s="1711">
        <f t="shared" si="7"/>
        <v>0.80894221222466134</v>
      </c>
    </row>
    <row r="124" spans="3:67" x14ac:dyDescent="0.25">
      <c r="C124" s="246" t="s">
        <v>1474</v>
      </c>
      <c r="D124" s="246">
        <v>1</v>
      </c>
      <c r="E124" s="246">
        <v>2</v>
      </c>
      <c r="F124" s="246">
        <v>3</v>
      </c>
      <c r="G124" s="246">
        <v>5</v>
      </c>
      <c r="H124" s="246">
        <v>9</v>
      </c>
      <c r="I124" s="246">
        <v>14</v>
      </c>
      <c r="J124" s="246"/>
      <c r="K124" s="246"/>
      <c r="L124" s="246"/>
      <c r="M124" s="246"/>
      <c r="N124" s="246"/>
      <c r="O124" s="246"/>
      <c r="P124" s="246"/>
      <c r="Q124" s="246"/>
      <c r="R124" s="246">
        <f>IFERROR(VLOOKUP(D124,PROGRAMAS[],2,FALSE),0)</f>
        <v>97037803.679377079</v>
      </c>
      <c r="S124" s="246">
        <f>IFERROR(VLOOKUP(E124,PROGRAMAS[],2,FALSE),0)</f>
        <v>640501509.6821388</v>
      </c>
      <c r="T124" s="246">
        <f>IFERROR(VLOOKUP(F124,PROGRAMAS[],2,FALSE),0)</f>
        <v>3062327798.1525245</v>
      </c>
      <c r="U124" s="246">
        <f>IFERROR(VLOOKUP(G124,PROGRAMAS[],2,FALSE),0)</f>
        <v>1440941976.2528784</v>
      </c>
      <c r="V124" s="246">
        <f>IFERROR(VLOOKUP(H124,PROGRAMAS[],2,FALSE),0)</f>
        <v>6128579952.1618185</v>
      </c>
      <c r="W124" s="246">
        <f>IFERROR(VLOOKUP(I124,PROGRAMAS[],2,FALSE),0)</f>
        <v>54223862.645839565</v>
      </c>
      <c r="X124" s="246">
        <f>IFERROR(VLOOKUP(J124,PROGRAMAS[],2,FALSE),0)</f>
        <v>0</v>
      </c>
      <c r="Y124" s="246">
        <f>IFERROR(VLOOKUP(K124,PROGRAMAS[],2,FALSE),0)</f>
        <v>0</v>
      </c>
      <c r="Z124" s="246">
        <f>IFERROR(VLOOKUP(L124,PROGRAMAS[],2,FALSE),0)</f>
        <v>0</v>
      </c>
      <c r="AA124" s="246">
        <f>IFERROR(VLOOKUP(M124,PROGRAMAS[],2,FALSE),0)</f>
        <v>0</v>
      </c>
      <c r="AB124" s="246">
        <f>IFERROR(VLOOKUP(N124,PROGRAMAS[],2,FALSE),0)</f>
        <v>0</v>
      </c>
      <c r="AC124" s="246">
        <f>IFERROR(VLOOKUP(O124,PROGRAMAS[],2,FALSE),0)</f>
        <v>0</v>
      </c>
      <c r="AD124" s="246">
        <f>IFERROR(VLOOKUP(P124,PROGRAMAS[],2,FALSE),0)</f>
        <v>0</v>
      </c>
      <c r="AE124" s="246">
        <f>IFERROR(VLOOKUP(Q124,PROGRAMAS[],2,FALSE),0)</f>
        <v>0</v>
      </c>
      <c r="AF124" s="246">
        <f>IFERROR(VLOOKUP(D124,PROGRAMAS[],3,FALSE),0)</f>
        <v>841888629.31080008</v>
      </c>
      <c r="AG124" s="246">
        <f>IFERROR(VLOOKUP(E124,PROGRAMAS[],3,FALSE),0)</f>
        <v>3848980803.1642323</v>
      </c>
      <c r="AH124" s="246">
        <f>IFERROR(VLOOKUP(F124,PROGRAMAS[],3,FALSE),0)</f>
        <v>3394901471.387517</v>
      </c>
      <c r="AI124" s="246">
        <f>IFERROR(VLOOKUP(G124,PROGRAMAS[],3,FALSE),0)</f>
        <v>1233505101.0616004</v>
      </c>
      <c r="AJ124" s="246">
        <f>IFERROR(VLOOKUP(H124,PROGRAMAS[],3,FALSE),0)</f>
        <v>7011279577.519702</v>
      </c>
      <c r="AK124" s="246">
        <f>IFERROR(VLOOKUP(I124,PROGRAMAS[],3,FALSE),0)</f>
        <v>31865326.38096505</v>
      </c>
      <c r="AL124" s="246">
        <f>IFERROR(VLOOKUP(J124,PROGRAMAS[],3,FALSE),0)</f>
        <v>0</v>
      </c>
      <c r="AM124" s="246">
        <f>IFERROR(VLOOKUP(K124,PROGRAMAS[],3,FALSE),0)</f>
        <v>0</v>
      </c>
      <c r="AN124" s="246">
        <f>IFERROR(VLOOKUP(L124,PROGRAMAS[],3,FALSE),0)</f>
        <v>0</v>
      </c>
      <c r="AO124" s="246">
        <f>IFERROR(VLOOKUP(M124,PROGRAMAS[],3,FALSE),0)</f>
        <v>0</v>
      </c>
      <c r="AP124" s="246">
        <f>IFERROR(VLOOKUP(N124,PROGRAMAS[],3,FALSE),0)</f>
        <v>0</v>
      </c>
      <c r="AQ124" s="246">
        <f>IFERROR(VLOOKUP(O124,PROGRAMAS[],3,FALSE),0)</f>
        <v>0</v>
      </c>
      <c r="AR124" s="246">
        <f>IFERROR(VLOOKUP(P124,PROGRAMAS[],3,FALSE),0)</f>
        <v>0</v>
      </c>
      <c r="AS124" s="246">
        <f>IFERROR(VLOOKUP(Q124,PROGRAMAS[],3,FALSE),0)</f>
        <v>0</v>
      </c>
      <c r="AT124" s="246">
        <f>IFERROR(VLOOKUP(D124,VOL_REC[],2,FALSE),0)</f>
        <v>0</v>
      </c>
      <c r="AU124" s="246">
        <f>IFERROR(VLOOKUP(E124,VOL_REC[],2,FALSE),0)</f>
        <v>0</v>
      </c>
      <c r="AV124" s="246">
        <f>IFERROR(VLOOKUP(F124,VOL_REC[],2,FALSE),0)</f>
        <v>11089674.200000001</v>
      </c>
      <c r="AW124" s="246">
        <f>IFERROR(VLOOKUP(G124,VOL_REC[],2,FALSE),0)</f>
        <v>4325103.1812214684</v>
      </c>
      <c r="AX124" s="246">
        <f>IFERROR(VLOOKUP(H124,VOL_REC[],2,FALSE),0)</f>
        <v>3761786</v>
      </c>
      <c r="AY124" s="246">
        <f>IFERROR(VLOOKUP(I124,VOL_REC[],2,FALSE),0)</f>
        <v>17074.045034105649</v>
      </c>
      <c r="AZ124" s="246">
        <f>IFERROR(VLOOKUP(J124,VOL_REC[],2,FALSE),0)</f>
        <v>0</v>
      </c>
      <c r="BA124" s="246">
        <f>IFERROR(VLOOKUP(K124,VOL_REC[],2,FALSE),0)</f>
        <v>0</v>
      </c>
      <c r="BB124" s="246">
        <f>IFERROR(VLOOKUP(L124,VOL_REC[],2,FALSE),0)</f>
        <v>0</v>
      </c>
      <c r="BC124" s="246">
        <f>IFERROR(VLOOKUP(M124,VOL_REC[],2,FALSE),0)</f>
        <v>0</v>
      </c>
      <c r="BD124" s="246">
        <f>IFERROR(VLOOKUP(N124,VOL_REC[],2,FALSE),0)</f>
        <v>0</v>
      </c>
      <c r="BE124" s="246">
        <f>IFERROR(VLOOKUP(O124,VOL_REC[],2,FALSE),0)</f>
        <v>0</v>
      </c>
      <c r="BF124" s="246">
        <f>IFERROR(VLOOKUP(P124,VOL_REC[],2,FALSE),0)</f>
        <v>0</v>
      </c>
      <c r="BG124" s="246">
        <f>IFERROR(VLOOKUP(Q124,VOL_REC[],2,FALSE),0)</f>
        <v>0</v>
      </c>
      <c r="BH124" s="1710">
        <f t="shared" si="4"/>
        <v>11423612902.574577</v>
      </c>
      <c r="BI124" s="1710">
        <f t="shared" si="5"/>
        <v>16362420908.824816</v>
      </c>
      <c r="BJ124" s="1711">
        <f t="shared" si="6"/>
        <v>19193637.426255576</v>
      </c>
      <c r="BK124" s="1711">
        <f t="shared" si="7"/>
        <v>0.69816153527828084</v>
      </c>
    </row>
    <row r="125" spans="3:67" x14ac:dyDescent="0.25">
      <c r="C125" s="246" t="s">
        <v>1475</v>
      </c>
      <c r="D125" s="246">
        <v>1</v>
      </c>
      <c r="E125" s="246">
        <v>2</v>
      </c>
      <c r="F125" s="246">
        <v>3</v>
      </c>
      <c r="G125" s="246">
        <v>5</v>
      </c>
      <c r="H125" s="246">
        <v>9</v>
      </c>
      <c r="I125" s="246">
        <v>15</v>
      </c>
      <c r="J125" s="246"/>
      <c r="K125" s="246"/>
      <c r="L125" s="246"/>
      <c r="M125" s="246"/>
      <c r="N125" s="246"/>
      <c r="O125" s="246"/>
      <c r="P125" s="246"/>
      <c r="Q125" s="246"/>
      <c r="R125" s="246">
        <f>IFERROR(VLOOKUP(D125,PROGRAMAS[],2,FALSE),0)</f>
        <v>97037803.679377079</v>
      </c>
      <c r="S125" s="246">
        <f>IFERROR(VLOOKUP(E125,PROGRAMAS[],2,FALSE),0)</f>
        <v>640501509.6821388</v>
      </c>
      <c r="T125" s="246">
        <f>IFERROR(VLOOKUP(F125,PROGRAMAS[],2,FALSE),0)</f>
        <v>3062327798.1525245</v>
      </c>
      <c r="U125" s="246">
        <f>IFERROR(VLOOKUP(G125,PROGRAMAS[],2,FALSE),0)</f>
        <v>1440941976.2528784</v>
      </c>
      <c r="V125" s="246">
        <f>IFERROR(VLOOKUP(H125,PROGRAMAS[],2,FALSE),0)</f>
        <v>6128579952.1618185</v>
      </c>
      <c r="W125" s="246">
        <f>IFERROR(VLOOKUP(I125,PROGRAMAS[],2,FALSE),0)</f>
        <v>122159672.96346797</v>
      </c>
      <c r="X125" s="246">
        <f>IFERROR(VLOOKUP(J125,PROGRAMAS[],2,FALSE),0)</f>
        <v>0</v>
      </c>
      <c r="Y125" s="246">
        <f>IFERROR(VLOOKUP(K125,PROGRAMAS[],2,FALSE),0)</f>
        <v>0</v>
      </c>
      <c r="Z125" s="246">
        <f>IFERROR(VLOOKUP(L125,PROGRAMAS[],2,FALSE),0)</f>
        <v>0</v>
      </c>
      <c r="AA125" s="246">
        <f>IFERROR(VLOOKUP(M125,PROGRAMAS[],2,FALSE),0)</f>
        <v>0</v>
      </c>
      <c r="AB125" s="246">
        <f>IFERROR(VLOOKUP(N125,PROGRAMAS[],2,FALSE),0)</f>
        <v>0</v>
      </c>
      <c r="AC125" s="246">
        <f>IFERROR(VLOOKUP(O125,PROGRAMAS[],2,FALSE),0)</f>
        <v>0</v>
      </c>
      <c r="AD125" s="246">
        <f>IFERROR(VLOOKUP(P125,PROGRAMAS[],2,FALSE),0)</f>
        <v>0</v>
      </c>
      <c r="AE125" s="246">
        <f>IFERROR(VLOOKUP(Q125,PROGRAMAS[],2,FALSE),0)</f>
        <v>0</v>
      </c>
      <c r="AF125" s="246">
        <f>IFERROR(VLOOKUP(D125,PROGRAMAS[],3,FALSE),0)</f>
        <v>841888629.31080008</v>
      </c>
      <c r="AG125" s="246">
        <f>IFERROR(VLOOKUP(E125,PROGRAMAS[],3,FALSE),0)</f>
        <v>3848980803.1642323</v>
      </c>
      <c r="AH125" s="246">
        <f>IFERROR(VLOOKUP(F125,PROGRAMAS[],3,FALSE),0)</f>
        <v>3394901471.387517</v>
      </c>
      <c r="AI125" s="246">
        <f>IFERROR(VLOOKUP(G125,PROGRAMAS[],3,FALSE),0)</f>
        <v>1233505101.0616004</v>
      </c>
      <c r="AJ125" s="246">
        <f>IFERROR(VLOOKUP(H125,PROGRAMAS[],3,FALSE),0)</f>
        <v>7011279577.519702</v>
      </c>
      <c r="AK125" s="246">
        <f>IFERROR(VLOOKUP(I125,PROGRAMAS[],3,FALSE),0)</f>
        <v>118617452.52510804</v>
      </c>
      <c r="AL125" s="246">
        <f>IFERROR(VLOOKUP(J125,PROGRAMAS[],3,FALSE),0)</f>
        <v>0</v>
      </c>
      <c r="AM125" s="246">
        <f>IFERROR(VLOOKUP(K125,PROGRAMAS[],3,FALSE),0)</f>
        <v>0</v>
      </c>
      <c r="AN125" s="246">
        <f>IFERROR(VLOOKUP(L125,PROGRAMAS[],3,FALSE),0)</f>
        <v>0</v>
      </c>
      <c r="AO125" s="246">
        <f>IFERROR(VLOOKUP(M125,PROGRAMAS[],3,FALSE),0)</f>
        <v>0</v>
      </c>
      <c r="AP125" s="246">
        <f>IFERROR(VLOOKUP(N125,PROGRAMAS[],3,FALSE),0)</f>
        <v>0</v>
      </c>
      <c r="AQ125" s="246">
        <f>IFERROR(VLOOKUP(O125,PROGRAMAS[],3,FALSE),0)</f>
        <v>0</v>
      </c>
      <c r="AR125" s="246">
        <f>IFERROR(VLOOKUP(P125,PROGRAMAS[],3,FALSE),0)</f>
        <v>0</v>
      </c>
      <c r="AS125" s="246">
        <f>IFERROR(VLOOKUP(Q125,PROGRAMAS[],3,FALSE),0)</f>
        <v>0</v>
      </c>
      <c r="AT125" s="246">
        <f>IFERROR(VLOOKUP(D125,VOL_REC[],2,FALSE),0)</f>
        <v>0</v>
      </c>
      <c r="AU125" s="246">
        <f>IFERROR(VLOOKUP(E125,VOL_REC[],2,FALSE),0)</f>
        <v>0</v>
      </c>
      <c r="AV125" s="246">
        <f>IFERROR(VLOOKUP(F125,VOL_REC[],2,FALSE),0)</f>
        <v>11089674.200000001</v>
      </c>
      <c r="AW125" s="246">
        <f>IFERROR(VLOOKUP(G125,VOL_REC[],2,FALSE),0)</f>
        <v>4325103.1812214684</v>
      </c>
      <c r="AX125" s="246">
        <f>IFERROR(VLOOKUP(H125,VOL_REC[],2,FALSE),0)</f>
        <v>3761786</v>
      </c>
      <c r="AY125" s="246">
        <f>IFERROR(VLOOKUP(I125,VOL_REC[],2,FALSE),0)</f>
        <v>105072</v>
      </c>
      <c r="AZ125" s="246">
        <f>IFERROR(VLOOKUP(J125,VOL_REC[],2,FALSE),0)</f>
        <v>0</v>
      </c>
      <c r="BA125" s="246">
        <f>IFERROR(VLOOKUP(K125,VOL_REC[],2,FALSE),0)</f>
        <v>0</v>
      </c>
      <c r="BB125" s="246">
        <f>IFERROR(VLOOKUP(L125,VOL_REC[],2,FALSE),0)</f>
        <v>0</v>
      </c>
      <c r="BC125" s="246">
        <f>IFERROR(VLOOKUP(M125,VOL_REC[],2,FALSE),0)</f>
        <v>0</v>
      </c>
      <c r="BD125" s="246">
        <f>IFERROR(VLOOKUP(N125,VOL_REC[],2,FALSE),0)</f>
        <v>0</v>
      </c>
      <c r="BE125" s="246">
        <f>IFERROR(VLOOKUP(O125,VOL_REC[],2,FALSE),0)</f>
        <v>0</v>
      </c>
      <c r="BF125" s="246">
        <f>IFERROR(VLOOKUP(P125,VOL_REC[],2,FALSE),0)</f>
        <v>0</v>
      </c>
      <c r="BG125" s="246">
        <f>IFERROR(VLOOKUP(Q125,VOL_REC[],2,FALSE),0)</f>
        <v>0</v>
      </c>
      <c r="BH125" s="1710">
        <f t="shared" si="4"/>
        <v>11491548712.892206</v>
      </c>
      <c r="BI125" s="1710">
        <f t="shared" si="5"/>
        <v>16449173034.96896</v>
      </c>
      <c r="BJ125" s="1711">
        <f t="shared" si="6"/>
        <v>19281635.381221469</v>
      </c>
      <c r="BK125" s="1711">
        <f t="shared" si="7"/>
        <v>0.69860950994086801</v>
      </c>
    </row>
    <row r="126" spans="3:67" x14ac:dyDescent="0.25">
      <c r="C126" s="246" t="s">
        <v>1476</v>
      </c>
      <c r="D126" s="246">
        <v>1</v>
      </c>
      <c r="E126" s="246">
        <v>2</v>
      </c>
      <c r="F126" s="246">
        <v>3</v>
      </c>
      <c r="G126" s="246">
        <v>5</v>
      </c>
      <c r="H126" s="246">
        <v>9</v>
      </c>
      <c r="I126" s="246">
        <v>16</v>
      </c>
      <c r="J126" s="246"/>
      <c r="K126" s="246"/>
      <c r="L126" s="246"/>
      <c r="M126" s="246"/>
      <c r="N126" s="246"/>
      <c r="O126" s="246"/>
      <c r="P126" s="246"/>
      <c r="Q126" s="246"/>
      <c r="R126" s="246">
        <f>IFERROR(VLOOKUP(D126,PROGRAMAS[],2,FALSE),0)</f>
        <v>97037803.679377079</v>
      </c>
      <c r="S126" s="246">
        <f>IFERROR(VLOOKUP(E126,PROGRAMAS[],2,FALSE),0)</f>
        <v>640501509.6821388</v>
      </c>
      <c r="T126" s="246">
        <f>IFERROR(VLOOKUP(F126,PROGRAMAS[],2,FALSE),0)</f>
        <v>3062327798.1525245</v>
      </c>
      <c r="U126" s="246">
        <f>IFERROR(VLOOKUP(G126,PROGRAMAS[],2,FALSE),0)</f>
        <v>1440941976.2528784</v>
      </c>
      <c r="V126" s="246">
        <f>IFERROR(VLOOKUP(H126,PROGRAMAS[],2,FALSE),0)</f>
        <v>6128579952.1618185</v>
      </c>
      <c r="W126" s="246">
        <f>IFERROR(VLOOKUP(I126,PROGRAMAS[],2,FALSE),0)</f>
        <v>7068496961.0436354</v>
      </c>
      <c r="X126" s="246">
        <f>IFERROR(VLOOKUP(J126,PROGRAMAS[],2,FALSE),0)</f>
        <v>0</v>
      </c>
      <c r="Y126" s="246">
        <f>IFERROR(VLOOKUP(K126,PROGRAMAS[],2,FALSE),0)</f>
        <v>0</v>
      </c>
      <c r="Z126" s="246">
        <f>IFERROR(VLOOKUP(L126,PROGRAMAS[],2,FALSE),0)</f>
        <v>0</v>
      </c>
      <c r="AA126" s="246">
        <f>IFERROR(VLOOKUP(M126,PROGRAMAS[],2,FALSE),0)</f>
        <v>0</v>
      </c>
      <c r="AB126" s="246">
        <f>IFERROR(VLOOKUP(N126,PROGRAMAS[],2,FALSE),0)</f>
        <v>0</v>
      </c>
      <c r="AC126" s="246">
        <f>IFERROR(VLOOKUP(O126,PROGRAMAS[],2,FALSE),0)</f>
        <v>0</v>
      </c>
      <c r="AD126" s="246">
        <f>IFERROR(VLOOKUP(P126,PROGRAMAS[],2,FALSE),0)</f>
        <v>0</v>
      </c>
      <c r="AE126" s="246">
        <f>IFERROR(VLOOKUP(Q126,PROGRAMAS[],2,FALSE),0)</f>
        <v>0</v>
      </c>
      <c r="AF126" s="246">
        <f>IFERROR(VLOOKUP(D126,PROGRAMAS[],3,FALSE),0)</f>
        <v>841888629.31080008</v>
      </c>
      <c r="AG126" s="246">
        <f>IFERROR(VLOOKUP(E126,PROGRAMAS[],3,FALSE),0)</f>
        <v>3848980803.1642323</v>
      </c>
      <c r="AH126" s="246">
        <f>IFERROR(VLOOKUP(F126,PROGRAMAS[],3,FALSE),0)</f>
        <v>3394901471.387517</v>
      </c>
      <c r="AI126" s="246">
        <f>IFERROR(VLOOKUP(G126,PROGRAMAS[],3,FALSE),0)</f>
        <v>1233505101.0616004</v>
      </c>
      <c r="AJ126" s="246">
        <f>IFERROR(VLOOKUP(H126,PROGRAMAS[],3,FALSE),0)</f>
        <v>7011279577.519702</v>
      </c>
      <c r="AK126" s="246">
        <f>IFERROR(VLOOKUP(I126,PROGRAMAS[],3,FALSE),0)</f>
        <v>2406564599.0319901</v>
      </c>
      <c r="AL126" s="246">
        <f>IFERROR(VLOOKUP(J126,PROGRAMAS[],3,FALSE),0)</f>
        <v>0</v>
      </c>
      <c r="AM126" s="246">
        <f>IFERROR(VLOOKUP(K126,PROGRAMAS[],3,FALSE),0)</f>
        <v>0</v>
      </c>
      <c r="AN126" s="246">
        <f>IFERROR(VLOOKUP(L126,PROGRAMAS[],3,FALSE),0)</f>
        <v>0</v>
      </c>
      <c r="AO126" s="246">
        <f>IFERROR(VLOOKUP(M126,PROGRAMAS[],3,FALSE),0)</f>
        <v>0</v>
      </c>
      <c r="AP126" s="246">
        <f>IFERROR(VLOOKUP(N126,PROGRAMAS[],3,FALSE),0)</f>
        <v>0</v>
      </c>
      <c r="AQ126" s="246">
        <f>IFERROR(VLOOKUP(O126,PROGRAMAS[],3,FALSE),0)</f>
        <v>0</v>
      </c>
      <c r="AR126" s="246">
        <f>IFERROR(VLOOKUP(P126,PROGRAMAS[],3,FALSE),0)</f>
        <v>0</v>
      </c>
      <c r="AS126" s="246">
        <f>IFERROR(VLOOKUP(Q126,PROGRAMAS[],3,FALSE),0)</f>
        <v>0</v>
      </c>
      <c r="AT126" s="246">
        <f>IFERROR(VLOOKUP(D126,VOL_REC[],2,FALSE),0)</f>
        <v>0</v>
      </c>
      <c r="AU126" s="246">
        <f>IFERROR(VLOOKUP(E126,VOL_REC[],2,FALSE),0)</f>
        <v>0</v>
      </c>
      <c r="AV126" s="246">
        <f>IFERROR(VLOOKUP(F126,VOL_REC[],2,FALSE),0)</f>
        <v>11089674.200000001</v>
      </c>
      <c r="AW126" s="246">
        <f>IFERROR(VLOOKUP(G126,VOL_REC[],2,FALSE),0)</f>
        <v>4325103.1812214684</v>
      </c>
      <c r="AX126" s="246">
        <f>IFERROR(VLOOKUP(H126,VOL_REC[],2,FALSE),0)</f>
        <v>3761786</v>
      </c>
      <c r="AY126" s="246">
        <f>IFERROR(VLOOKUP(I126,VOL_REC[],2,FALSE),0)</f>
        <v>1072354.9981737854</v>
      </c>
      <c r="AZ126" s="246">
        <f>IFERROR(VLOOKUP(J126,VOL_REC[],2,FALSE),0)</f>
        <v>0</v>
      </c>
      <c r="BA126" s="246">
        <f>IFERROR(VLOOKUP(K126,VOL_REC[],2,FALSE),0)</f>
        <v>0</v>
      </c>
      <c r="BB126" s="246">
        <f>IFERROR(VLOOKUP(L126,VOL_REC[],2,FALSE),0)</f>
        <v>0</v>
      </c>
      <c r="BC126" s="246">
        <f>IFERROR(VLOOKUP(M126,VOL_REC[],2,FALSE),0)</f>
        <v>0</v>
      </c>
      <c r="BD126" s="246">
        <f>IFERROR(VLOOKUP(N126,VOL_REC[],2,FALSE),0)</f>
        <v>0</v>
      </c>
      <c r="BE126" s="246">
        <f>IFERROR(VLOOKUP(O126,VOL_REC[],2,FALSE),0)</f>
        <v>0</v>
      </c>
      <c r="BF126" s="246">
        <f>IFERROR(VLOOKUP(P126,VOL_REC[],2,FALSE),0)</f>
        <v>0</v>
      </c>
      <c r="BG126" s="246">
        <f>IFERROR(VLOOKUP(Q126,VOL_REC[],2,FALSE),0)</f>
        <v>0</v>
      </c>
      <c r="BH126" s="1710">
        <f t="shared" si="4"/>
        <v>18437886000.972374</v>
      </c>
      <c r="BI126" s="1710">
        <f t="shared" si="5"/>
        <v>18737120181.475842</v>
      </c>
      <c r="BJ126" s="1711">
        <f t="shared" si="6"/>
        <v>20248918.379395254</v>
      </c>
      <c r="BK126" s="1711">
        <f t="shared" si="7"/>
        <v>0.98402987344878645</v>
      </c>
    </row>
    <row r="127" spans="3:67" x14ac:dyDescent="0.25">
      <c r="C127" s="246" t="s">
        <v>1477</v>
      </c>
      <c r="D127" s="246">
        <v>1</v>
      </c>
      <c r="E127" s="246">
        <v>2</v>
      </c>
      <c r="F127" s="246">
        <v>3</v>
      </c>
      <c r="G127" s="246">
        <v>5</v>
      </c>
      <c r="H127" s="246">
        <v>9</v>
      </c>
      <c r="I127" s="246">
        <v>17</v>
      </c>
      <c r="J127" s="246"/>
      <c r="K127" s="246"/>
      <c r="L127" s="246"/>
      <c r="M127" s="246"/>
      <c r="N127" s="246"/>
      <c r="O127" s="246"/>
      <c r="P127" s="246"/>
      <c r="Q127" s="246"/>
      <c r="R127" s="246">
        <f>IFERROR(VLOOKUP(D127,PROGRAMAS[],2,FALSE),0)</f>
        <v>97037803.679377079</v>
      </c>
      <c r="S127" s="246">
        <f>IFERROR(VLOOKUP(E127,PROGRAMAS[],2,FALSE),0)</f>
        <v>640501509.6821388</v>
      </c>
      <c r="T127" s="246">
        <f>IFERROR(VLOOKUP(F127,PROGRAMAS[],2,FALSE),0)</f>
        <v>3062327798.1525245</v>
      </c>
      <c r="U127" s="246">
        <f>IFERROR(VLOOKUP(G127,PROGRAMAS[],2,FALSE),0)</f>
        <v>1440941976.2528784</v>
      </c>
      <c r="V127" s="246">
        <f>IFERROR(VLOOKUP(H127,PROGRAMAS[],2,FALSE),0)</f>
        <v>6128579952.1618185</v>
      </c>
      <c r="W127" s="246">
        <f>IFERROR(VLOOKUP(I127,PROGRAMAS[],2,FALSE),0)</f>
        <v>1892779498.5211046</v>
      </c>
      <c r="X127" s="246">
        <f>IFERROR(VLOOKUP(J127,PROGRAMAS[],2,FALSE),0)</f>
        <v>0</v>
      </c>
      <c r="Y127" s="246">
        <f>IFERROR(VLOOKUP(K127,PROGRAMAS[],2,FALSE),0)</f>
        <v>0</v>
      </c>
      <c r="Z127" s="246">
        <f>IFERROR(VLOOKUP(L127,PROGRAMAS[],2,FALSE),0)</f>
        <v>0</v>
      </c>
      <c r="AA127" s="246">
        <f>IFERROR(VLOOKUP(M127,PROGRAMAS[],2,FALSE),0)</f>
        <v>0</v>
      </c>
      <c r="AB127" s="246">
        <f>IFERROR(VLOOKUP(N127,PROGRAMAS[],2,FALSE),0)</f>
        <v>0</v>
      </c>
      <c r="AC127" s="246">
        <f>IFERROR(VLOOKUP(O127,PROGRAMAS[],2,FALSE),0)</f>
        <v>0</v>
      </c>
      <c r="AD127" s="246">
        <f>IFERROR(VLOOKUP(P127,PROGRAMAS[],2,FALSE),0)</f>
        <v>0</v>
      </c>
      <c r="AE127" s="246">
        <f>IFERROR(VLOOKUP(Q127,PROGRAMAS[],2,FALSE),0)</f>
        <v>0</v>
      </c>
      <c r="AF127" s="246">
        <f>IFERROR(VLOOKUP(D127,PROGRAMAS[],3,FALSE),0)</f>
        <v>841888629.31080008</v>
      </c>
      <c r="AG127" s="246">
        <f>IFERROR(VLOOKUP(E127,PROGRAMAS[],3,FALSE),0)</f>
        <v>3848980803.1642323</v>
      </c>
      <c r="AH127" s="246">
        <f>IFERROR(VLOOKUP(F127,PROGRAMAS[],3,FALSE),0)</f>
        <v>3394901471.387517</v>
      </c>
      <c r="AI127" s="246">
        <f>IFERROR(VLOOKUP(G127,PROGRAMAS[],3,FALSE),0)</f>
        <v>1233505101.0616004</v>
      </c>
      <c r="AJ127" s="246">
        <f>IFERROR(VLOOKUP(H127,PROGRAMAS[],3,FALSE),0)</f>
        <v>7011279577.519702</v>
      </c>
      <c r="AK127" s="246">
        <f>IFERROR(VLOOKUP(I127,PROGRAMAS[],3,FALSE),0)</f>
        <v>948595847.09039903</v>
      </c>
      <c r="AL127" s="246">
        <f>IFERROR(VLOOKUP(J127,PROGRAMAS[],3,FALSE),0)</f>
        <v>0</v>
      </c>
      <c r="AM127" s="246">
        <f>IFERROR(VLOOKUP(K127,PROGRAMAS[],3,FALSE),0)</f>
        <v>0</v>
      </c>
      <c r="AN127" s="246">
        <f>IFERROR(VLOOKUP(L127,PROGRAMAS[],3,FALSE),0)</f>
        <v>0</v>
      </c>
      <c r="AO127" s="246">
        <f>IFERROR(VLOOKUP(M127,PROGRAMAS[],3,FALSE),0)</f>
        <v>0</v>
      </c>
      <c r="AP127" s="246">
        <f>IFERROR(VLOOKUP(N127,PROGRAMAS[],3,FALSE),0)</f>
        <v>0</v>
      </c>
      <c r="AQ127" s="246">
        <f>IFERROR(VLOOKUP(O127,PROGRAMAS[],3,FALSE),0)</f>
        <v>0</v>
      </c>
      <c r="AR127" s="246">
        <f>IFERROR(VLOOKUP(P127,PROGRAMAS[],3,FALSE),0)</f>
        <v>0</v>
      </c>
      <c r="AS127" s="246">
        <f>IFERROR(VLOOKUP(Q127,PROGRAMAS[],3,FALSE),0)</f>
        <v>0</v>
      </c>
      <c r="AT127" s="246">
        <f>IFERROR(VLOOKUP(D127,VOL_REC[],2,FALSE),0)</f>
        <v>0</v>
      </c>
      <c r="AU127" s="246">
        <f>IFERROR(VLOOKUP(E127,VOL_REC[],2,FALSE),0)</f>
        <v>0</v>
      </c>
      <c r="AV127" s="246">
        <f>IFERROR(VLOOKUP(F127,VOL_REC[],2,FALSE),0)</f>
        <v>11089674.200000001</v>
      </c>
      <c r="AW127" s="246">
        <f>IFERROR(VLOOKUP(G127,VOL_REC[],2,FALSE),0)</f>
        <v>4325103.1812214684</v>
      </c>
      <c r="AX127" s="246">
        <f>IFERROR(VLOOKUP(H127,VOL_REC[],2,FALSE),0)</f>
        <v>3761786</v>
      </c>
      <c r="AY127" s="246">
        <f>IFERROR(VLOOKUP(I127,VOL_REC[],2,FALSE),0)</f>
        <v>740113.98115702497</v>
      </c>
      <c r="AZ127" s="246">
        <f>IFERROR(VLOOKUP(J127,VOL_REC[],2,FALSE),0)</f>
        <v>0</v>
      </c>
      <c r="BA127" s="246">
        <f>IFERROR(VLOOKUP(K127,VOL_REC[],2,FALSE),0)</f>
        <v>0</v>
      </c>
      <c r="BB127" s="246">
        <f>IFERROR(VLOOKUP(L127,VOL_REC[],2,FALSE),0)</f>
        <v>0</v>
      </c>
      <c r="BC127" s="246">
        <f>IFERROR(VLOOKUP(M127,VOL_REC[],2,FALSE),0)</f>
        <v>0</v>
      </c>
      <c r="BD127" s="246">
        <f>IFERROR(VLOOKUP(N127,VOL_REC[],2,FALSE),0)</f>
        <v>0</v>
      </c>
      <c r="BE127" s="246">
        <f>IFERROR(VLOOKUP(O127,VOL_REC[],2,FALSE),0)</f>
        <v>0</v>
      </c>
      <c r="BF127" s="246">
        <f>IFERROR(VLOOKUP(P127,VOL_REC[],2,FALSE),0)</f>
        <v>0</v>
      </c>
      <c r="BG127" s="246">
        <f>IFERROR(VLOOKUP(Q127,VOL_REC[],2,FALSE),0)</f>
        <v>0</v>
      </c>
      <c r="BH127" s="1710">
        <f t="shared" si="4"/>
        <v>13262168538.449842</v>
      </c>
      <c r="BI127" s="1710">
        <f t="shared" si="5"/>
        <v>17279151429.534252</v>
      </c>
      <c r="BJ127" s="1711">
        <f t="shared" si="6"/>
        <v>19916677.362378493</v>
      </c>
      <c r="BK127" s="1711">
        <f t="shared" si="7"/>
        <v>0.76752429611685602</v>
      </c>
    </row>
    <row r="128" spans="3:67" x14ac:dyDescent="0.25">
      <c r="C128" s="246" t="s">
        <v>1478</v>
      </c>
      <c r="D128" s="246">
        <v>1</v>
      </c>
      <c r="E128" s="246">
        <v>2</v>
      </c>
      <c r="F128" s="246">
        <v>3</v>
      </c>
      <c r="G128" s="246">
        <v>5</v>
      </c>
      <c r="H128" s="246">
        <v>10</v>
      </c>
      <c r="I128" s="246">
        <v>12</v>
      </c>
      <c r="J128" s="246"/>
      <c r="K128" s="246"/>
      <c r="L128" s="246"/>
      <c r="M128" s="246"/>
      <c r="N128" s="246"/>
      <c r="O128" s="246"/>
      <c r="P128" s="246"/>
      <c r="Q128" s="246"/>
      <c r="R128" s="246">
        <f>IFERROR(VLOOKUP(D128,PROGRAMAS[],2,FALSE),0)</f>
        <v>97037803.679377079</v>
      </c>
      <c r="S128" s="246">
        <f>IFERROR(VLOOKUP(E128,PROGRAMAS[],2,FALSE),0)</f>
        <v>640501509.6821388</v>
      </c>
      <c r="T128" s="246">
        <f>IFERROR(VLOOKUP(F128,PROGRAMAS[],2,FALSE),0)</f>
        <v>3062327798.1525245</v>
      </c>
      <c r="U128" s="246">
        <f>IFERROR(VLOOKUP(G128,PROGRAMAS[],2,FALSE),0)</f>
        <v>1440941976.2528784</v>
      </c>
      <c r="V128" s="246">
        <f>IFERROR(VLOOKUP(H128,PROGRAMAS[],2,FALSE),0)</f>
        <v>4635315027.8751087</v>
      </c>
      <c r="W128" s="246">
        <f>IFERROR(VLOOKUP(I128,PROGRAMAS[],2,FALSE),0)</f>
        <v>764796700.79905891</v>
      </c>
      <c r="X128" s="246">
        <f>IFERROR(VLOOKUP(J128,PROGRAMAS[],2,FALSE),0)</f>
        <v>0</v>
      </c>
      <c r="Y128" s="246">
        <f>IFERROR(VLOOKUP(K128,PROGRAMAS[],2,FALSE),0)</f>
        <v>0</v>
      </c>
      <c r="Z128" s="246">
        <f>IFERROR(VLOOKUP(L128,PROGRAMAS[],2,FALSE),0)</f>
        <v>0</v>
      </c>
      <c r="AA128" s="246">
        <f>IFERROR(VLOOKUP(M128,PROGRAMAS[],2,FALSE),0)</f>
        <v>0</v>
      </c>
      <c r="AB128" s="246">
        <f>IFERROR(VLOOKUP(N128,PROGRAMAS[],2,FALSE),0)</f>
        <v>0</v>
      </c>
      <c r="AC128" s="246">
        <f>IFERROR(VLOOKUP(O128,PROGRAMAS[],2,FALSE),0)</f>
        <v>0</v>
      </c>
      <c r="AD128" s="246">
        <f>IFERROR(VLOOKUP(P128,PROGRAMAS[],2,FALSE),0)</f>
        <v>0</v>
      </c>
      <c r="AE128" s="246">
        <f>IFERROR(VLOOKUP(Q128,PROGRAMAS[],2,FALSE),0)</f>
        <v>0</v>
      </c>
      <c r="AF128" s="246">
        <f>IFERROR(VLOOKUP(D128,PROGRAMAS[],3,FALSE),0)</f>
        <v>841888629.31080008</v>
      </c>
      <c r="AG128" s="246">
        <f>IFERROR(VLOOKUP(E128,PROGRAMAS[],3,FALSE),0)</f>
        <v>3848980803.1642323</v>
      </c>
      <c r="AH128" s="246">
        <f>IFERROR(VLOOKUP(F128,PROGRAMAS[],3,FALSE),0)</f>
        <v>3394901471.387517</v>
      </c>
      <c r="AI128" s="246">
        <f>IFERROR(VLOOKUP(G128,PROGRAMAS[],3,FALSE),0)</f>
        <v>1233505101.0616004</v>
      </c>
      <c r="AJ128" s="246">
        <f>IFERROR(VLOOKUP(H128,PROGRAMAS[],3,FALSE),0)</f>
        <v>4099471734.9978786</v>
      </c>
      <c r="AK128" s="246">
        <f>IFERROR(VLOOKUP(I128,PROGRAMAS[],3,FALSE),0)</f>
        <v>675517840.109828</v>
      </c>
      <c r="AL128" s="246">
        <f>IFERROR(VLOOKUP(J128,PROGRAMAS[],3,FALSE),0)</f>
        <v>0</v>
      </c>
      <c r="AM128" s="246">
        <f>IFERROR(VLOOKUP(K128,PROGRAMAS[],3,FALSE),0)</f>
        <v>0</v>
      </c>
      <c r="AN128" s="246">
        <f>IFERROR(VLOOKUP(L128,PROGRAMAS[],3,FALSE),0)</f>
        <v>0</v>
      </c>
      <c r="AO128" s="246">
        <f>IFERROR(VLOOKUP(M128,PROGRAMAS[],3,FALSE),0)</f>
        <v>0</v>
      </c>
      <c r="AP128" s="246">
        <f>IFERROR(VLOOKUP(N128,PROGRAMAS[],3,FALSE),0)</f>
        <v>0</v>
      </c>
      <c r="AQ128" s="246">
        <f>IFERROR(VLOOKUP(O128,PROGRAMAS[],3,FALSE),0)</f>
        <v>0</v>
      </c>
      <c r="AR128" s="246">
        <f>IFERROR(VLOOKUP(P128,PROGRAMAS[],3,FALSE),0)</f>
        <v>0</v>
      </c>
      <c r="AS128" s="246">
        <f>IFERROR(VLOOKUP(Q128,PROGRAMAS[],3,FALSE),0)</f>
        <v>0</v>
      </c>
      <c r="AT128" s="246">
        <f>IFERROR(VLOOKUP(D128,VOL_REC[],2,FALSE),0)</f>
        <v>0</v>
      </c>
      <c r="AU128" s="246">
        <f>IFERROR(VLOOKUP(E128,VOL_REC[],2,FALSE),0)</f>
        <v>0</v>
      </c>
      <c r="AV128" s="246">
        <f>IFERROR(VLOOKUP(F128,VOL_REC[],2,FALSE),0)</f>
        <v>11089674.200000001</v>
      </c>
      <c r="AW128" s="246">
        <f>IFERROR(VLOOKUP(G128,VOL_REC[],2,FALSE),0)</f>
        <v>4325103.1812214684</v>
      </c>
      <c r="AX128" s="246">
        <f>IFERROR(VLOOKUP(H128,VOL_REC[],2,FALSE),0)</f>
        <v>1812240</v>
      </c>
      <c r="AY128" s="246">
        <f>IFERROR(VLOOKUP(I128,VOL_REC[],2,FALSE),0)</f>
        <v>240696.79238099116</v>
      </c>
      <c r="AZ128" s="246">
        <f>IFERROR(VLOOKUP(J128,VOL_REC[],2,FALSE),0)</f>
        <v>0</v>
      </c>
      <c r="BA128" s="246">
        <f>IFERROR(VLOOKUP(K128,VOL_REC[],2,FALSE),0)</f>
        <v>0</v>
      </c>
      <c r="BB128" s="246">
        <f>IFERROR(VLOOKUP(L128,VOL_REC[],2,FALSE),0)</f>
        <v>0</v>
      </c>
      <c r="BC128" s="246">
        <f>IFERROR(VLOOKUP(M128,VOL_REC[],2,FALSE),0)</f>
        <v>0</v>
      </c>
      <c r="BD128" s="246">
        <f>IFERROR(VLOOKUP(N128,VOL_REC[],2,FALSE),0)</f>
        <v>0</v>
      </c>
      <c r="BE128" s="246">
        <f>IFERROR(VLOOKUP(O128,VOL_REC[],2,FALSE),0)</f>
        <v>0</v>
      </c>
      <c r="BF128" s="246">
        <f>IFERROR(VLOOKUP(P128,VOL_REC[],2,FALSE),0)</f>
        <v>0</v>
      </c>
      <c r="BG128" s="246">
        <f>IFERROR(VLOOKUP(Q128,VOL_REC[],2,FALSE),0)</f>
        <v>0</v>
      </c>
      <c r="BH128" s="1710">
        <f t="shared" si="4"/>
        <v>10640920816.441088</v>
      </c>
      <c r="BI128" s="1710">
        <f t="shared" si="5"/>
        <v>14094265580.031857</v>
      </c>
      <c r="BJ128" s="1711">
        <f t="shared" si="6"/>
        <v>17467714.173602462</v>
      </c>
      <c r="BK128" s="1711">
        <f t="shared" si="7"/>
        <v>0.7549822838244713</v>
      </c>
    </row>
    <row r="129" spans="3:67" x14ac:dyDescent="0.25">
      <c r="C129" s="246" t="s">
        <v>1479</v>
      </c>
      <c r="D129" s="246">
        <v>1</v>
      </c>
      <c r="E129" s="246">
        <v>2</v>
      </c>
      <c r="F129" s="246">
        <v>3</v>
      </c>
      <c r="G129" s="246">
        <v>5</v>
      </c>
      <c r="H129" s="246">
        <v>10</v>
      </c>
      <c r="I129" s="246">
        <v>13</v>
      </c>
      <c r="J129" s="246"/>
      <c r="K129" s="246"/>
      <c r="L129" s="246"/>
      <c r="M129" s="246"/>
      <c r="N129" s="246"/>
      <c r="O129" s="246"/>
      <c r="P129" s="246"/>
      <c r="Q129" s="246"/>
      <c r="R129" s="246">
        <f>IFERROR(VLOOKUP(D129,PROGRAMAS[],2,FALSE),0)</f>
        <v>97037803.679377079</v>
      </c>
      <c r="S129" s="246">
        <f>IFERROR(VLOOKUP(E129,PROGRAMAS[],2,FALSE),0)</f>
        <v>640501509.6821388</v>
      </c>
      <c r="T129" s="246">
        <f>IFERROR(VLOOKUP(F129,PROGRAMAS[],2,FALSE),0)</f>
        <v>3062327798.1525245</v>
      </c>
      <c r="U129" s="246">
        <f>IFERROR(VLOOKUP(G129,PROGRAMAS[],2,FALSE),0)</f>
        <v>1440941976.2528784</v>
      </c>
      <c r="V129" s="246">
        <f>IFERROR(VLOOKUP(H129,PROGRAMAS[],2,FALSE),0)</f>
        <v>4635315027.8751087</v>
      </c>
      <c r="W129" s="246">
        <f>IFERROR(VLOOKUP(I129,PROGRAMAS[],2,FALSE),0)</f>
        <v>3776538594.4604583</v>
      </c>
      <c r="X129" s="246">
        <f>IFERROR(VLOOKUP(J129,PROGRAMAS[],2,FALSE),0)</f>
        <v>0</v>
      </c>
      <c r="Y129" s="246">
        <f>IFERROR(VLOOKUP(K129,PROGRAMAS[],2,FALSE),0)</f>
        <v>0</v>
      </c>
      <c r="Z129" s="246">
        <f>IFERROR(VLOOKUP(L129,PROGRAMAS[],2,FALSE),0)</f>
        <v>0</v>
      </c>
      <c r="AA129" s="246">
        <f>IFERROR(VLOOKUP(M129,PROGRAMAS[],2,FALSE),0)</f>
        <v>0</v>
      </c>
      <c r="AB129" s="246">
        <f>IFERROR(VLOOKUP(N129,PROGRAMAS[],2,FALSE),0)</f>
        <v>0</v>
      </c>
      <c r="AC129" s="246">
        <f>IFERROR(VLOOKUP(O129,PROGRAMAS[],2,FALSE),0)</f>
        <v>0</v>
      </c>
      <c r="AD129" s="246">
        <f>IFERROR(VLOOKUP(P129,PROGRAMAS[],2,FALSE),0)</f>
        <v>0</v>
      </c>
      <c r="AE129" s="246">
        <f>IFERROR(VLOOKUP(Q129,PROGRAMAS[],2,FALSE),0)</f>
        <v>0</v>
      </c>
      <c r="AF129" s="246">
        <f>IFERROR(VLOOKUP(D129,PROGRAMAS[],3,FALSE),0)</f>
        <v>841888629.31080008</v>
      </c>
      <c r="AG129" s="246">
        <f>IFERROR(VLOOKUP(E129,PROGRAMAS[],3,FALSE),0)</f>
        <v>3848980803.1642323</v>
      </c>
      <c r="AH129" s="246">
        <f>IFERROR(VLOOKUP(F129,PROGRAMAS[],3,FALSE),0)</f>
        <v>3394901471.387517</v>
      </c>
      <c r="AI129" s="246">
        <f>IFERROR(VLOOKUP(G129,PROGRAMAS[],3,FALSE),0)</f>
        <v>1233505101.0616004</v>
      </c>
      <c r="AJ129" s="246">
        <f>IFERROR(VLOOKUP(H129,PROGRAMAS[],3,FALSE),0)</f>
        <v>4099471734.9978786</v>
      </c>
      <c r="AK129" s="246">
        <f>IFERROR(VLOOKUP(I129,PROGRAMAS[],3,FALSE),0)</f>
        <v>2392571243.5584412</v>
      </c>
      <c r="AL129" s="246">
        <f>IFERROR(VLOOKUP(J129,PROGRAMAS[],3,FALSE),0)</f>
        <v>0</v>
      </c>
      <c r="AM129" s="246">
        <f>IFERROR(VLOOKUP(K129,PROGRAMAS[],3,FALSE),0)</f>
        <v>0</v>
      </c>
      <c r="AN129" s="246">
        <f>IFERROR(VLOOKUP(L129,PROGRAMAS[],3,FALSE),0)</f>
        <v>0</v>
      </c>
      <c r="AO129" s="246">
        <f>IFERROR(VLOOKUP(M129,PROGRAMAS[],3,FALSE),0)</f>
        <v>0</v>
      </c>
      <c r="AP129" s="246">
        <f>IFERROR(VLOOKUP(N129,PROGRAMAS[],3,FALSE),0)</f>
        <v>0</v>
      </c>
      <c r="AQ129" s="246">
        <f>IFERROR(VLOOKUP(O129,PROGRAMAS[],3,FALSE),0)</f>
        <v>0</v>
      </c>
      <c r="AR129" s="246">
        <f>IFERROR(VLOOKUP(P129,PROGRAMAS[],3,FALSE),0)</f>
        <v>0</v>
      </c>
      <c r="AS129" s="246">
        <f>IFERROR(VLOOKUP(Q129,PROGRAMAS[],3,FALSE),0)</f>
        <v>0</v>
      </c>
      <c r="AT129" s="246">
        <f>IFERROR(VLOOKUP(D129,VOL_REC[],2,FALSE),0)</f>
        <v>0</v>
      </c>
      <c r="AU129" s="246">
        <f>IFERROR(VLOOKUP(E129,VOL_REC[],2,FALSE),0)</f>
        <v>0</v>
      </c>
      <c r="AV129" s="246">
        <f>IFERROR(VLOOKUP(F129,VOL_REC[],2,FALSE),0)</f>
        <v>11089674.200000001</v>
      </c>
      <c r="AW129" s="246">
        <f>IFERROR(VLOOKUP(G129,VOL_REC[],2,FALSE),0)</f>
        <v>4325103.1812214684</v>
      </c>
      <c r="AX129" s="246">
        <f>IFERROR(VLOOKUP(H129,VOL_REC[],2,FALSE),0)</f>
        <v>1812240</v>
      </c>
      <c r="AY129" s="246">
        <f>IFERROR(VLOOKUP(I129,VOL_REC[],2,FALSE),0)</f>
        <v>663244.80000000016</v>
      </c>
      <c r="AZ129" s="246">
        <f>IFERROR(VLOOKUP(J129,VOL_REC[],2,FALSE),0)</f>
        <v>0</v>
      </c>
      <c r="BA129" s="246">
        <f>IFERROR(VLOOKUP(K129,VOL_REC[],2,FALSE),0)</f>
        <v>0</v>
      </c>
      <c r="BB129" s="246">
        <f>IFERROR(VLOOKUP(L129,VOL_REC[],2,FALSE),0)</f>
        <v>0</v>
      </c>
      <c r="BC129" s="246">
        <f>IFERROR(VLOOKUP(M129,VOL_REC[],2,FALSE),0)</f>
        <v>0</v>
      </c>
      <c r="BD129" s="246">
        <f>IFERROR(VLOOKUP(N129,VOL_REC[],2,FALSE),0)</f>
        <v>0</v>
      </c>
      <c r="BE129" s="246">
        <f>IFERROR(VLOOKUP(O129,VOL_REC[],2,FALSE),0)</f>
        <v>0</v>
      </c>
      <c r="BF129" s="246">
        <f>IFERROR(VLOOKUP(P129,VOL_REC[],2,FALSE),0)</f>
        <v>0</v>
      </c>
      <c r="BG129" s="246">
        <f>IFERROR(VLOOKUP(Q129,VOL_REC[],2,FALSE),0)</f>
        <v>0</v>
      </c>
      <c r="BH129" s="1710">
        <f t="shared" si="4"/>
        <v>13652662710.102488</v>
      </c>
      <c r="BI129" s="1710">
        <f t="shared" si="5"/>
        <v>15811318983.480471</v>
      </c>
      <c r="BJ129" s="1711">
        <f t="shared" si="6"/>
        <v>17890262.18122147</v>
      </c>
      <c r="BK129" s="1711">
        <f t="shared" si="7"/>
        <v>0.86347399128223723</v>
      </c>
    </row>
    <row r="130" spans="3:67" x14ac:dyDescent="0.25">
      <c r="C130" s="246" t="s">
        <v>1480</v>
      </c>
      <c r="D130" s="246">
        <v>1</v>
      </c>
      <c r="E130" s="246">
        <v>2</v>
      </c>
      <c r="F130" s="246">
        <v>3</v>
      </c>
      <c r="G130" s="246">
        <v>5</v>
      </c>
      <c r="H130" s="246">
        <v>10</v>
      </c>
      <c r="I130" s="246">
        <v>14</v>
      </c>
      <c r="J130" s="246"/>
      <c r="K130" s="246"/>
      <c r="L130" s="246"/>
      <c r="M130" s="246"/>
      <c r="N130" s="246"/>
      <c r="O130" s="246"/>
      <c r="P130" s="246"/>
      <c r="Q130" s="246"/>
      <c r="R130" s="246">
        <f>IFERROR(VLOOKUP(D130,PROGRAMAS[],2,FALSE),0)</f>
        <v>97037803.679377079</v>
      </c>
      <c r="S130" s="246">
        <f>IFERROR(VLOOKUP(E130,PROGRAMAS[],2,FALSE),0)</f>
        <v>640501509.6821388</v>
      </c>
      <c r="T130" s="246">
        <f>IFERROR(VLOOKUP(F130,PROGRAMAS[],2,FALSE),0)</f>
        <v>3062327798.1525245</v>
      </c>
      <c r="U130" s="246">
        <f>IFERROR(VLOOKUP(G130,PROGRAMAS[],2,FALSE),0)</f>
        <v>1440941976.2528784</v>
      </c>
      <c r="V130" s="246">
        <f>IFERROR(VLOOKUP(H130,PROGRAMAS[],2,FALSE),0)</f>
        <v>4635315027.8751087</v>
      </c>
      <c r="W130" s="246">
        <f>IFERROR(VLOOKUP(I130,PROGRAMAS[],2,FALSE),0)</f>
        <v>54223862.645839565</v>
      </c>
      <c r="X130" s="246">
        <f>IFERROR(VLOOKUP(J130,PROGRAMAS[],2,FALSE),0)</f>
        <v>0</v>
      </c>
      <c r="Y130" s="246">
        <f>IFERROR(VLOOKUP(K130,PROGRAMAS[],2,FALSE),0)</f>
        <v>0</v>
      </c>
      <c r="Z130" s="246">
        <f>IFERROR(VLOOKUP(L130,PROGRAMAS[],2,FALSE),0)</f>
        <v>0</v>
      </c>
      <c r="AA130" s="246">
        <f>IFERROR(VLOOKUP(M130,PROGRAMAS[],2,FALSE),0)</f>
        <v>0</v>
      </c>
      <c r="AB130" s="246">
        <f>IFERROR(VLOOKUP(N130,PROGRAMAS[],2,FALSE),0)</f>
        <v>0</v>
      </c>
      <c r="AC130" s="246">
        <f>IFERROR(VLOOKUP(O130,PROGRAMAS[],2,FALSE),0)</f>
        <v>0</v>
      </c>
      <c r="AD130" s="246">
        <f>IFERROR(VLOOKUP(P130,PROGRAMAS[],2,FALSE),0)</f>
        <v>0</v>
      </c>
      <c r="AE130" s="246">
        <f>IFERROR(VLOOKUP(Q130,PROGRAMAS[],2,FALSE),0)</f>
        <v>0</v>
      </c>
      <c r="AF130" s="246">
        <f>IFERROR(VLOOKUP(D130,PROGRAMAS[],3,FALSE),0)</f>
        <v>841888629.31080008</v>
      </c>
      <c r="AG130" s="246">
        <f>IFERROR(VLOOKUP(E130,PROGRAMAS[],3,FALSE),0)</f>
        <v>3848980803.1642323</v>
      </c>
      <c r="AH130" s="246">
        <f>IFERROR(VLOOKUP(F130,PROGRAMAS[],3,FALSE),0)</f>
        <v>3394901471.387517</v>
      </c>
      <c r="AI130" s="246">
        <f>IFERROR(VLOOKUP(G130,PROGRAMAS[],3,FALSE),0)</f>
        <v>1233505101.0616004</v>
      </c>
      <c r="AJ130" s="246">
        <f>IFERROR(VLOOKUP(H130,PROGRAMAS[],3,FALSE),0)</f>
        <v>4099471734.9978786</v>
      </c>
      <c r="AK130" s="246">
        <f>IFERROR(VLOOKUP(I130,PROGRAMAS[],3,FALSE),0)</f>
        <v>31865326.38096505</v>
      </c>
      <c r="AL130" s="246">
        <f>IFERROR(VLOOKUP(J130,PROGRAMAS[],3,FALSE),0)</f>
        <v>0</v>
      </c>
      <c r="AM130" s="246">
        <f>IFERROR(VLOOKUP(K130,PROGRAMAS[],3,FALSE),0)</f>
        <v>0</v>
      </c>
      <c r="AN130" s="246">
        <f>IFERROR(VLOOKUP(L130,PROGRAMAS[],3,FALSE),0)</f>
        <v>0</v>
      </c>
      <c r="AO130" s="246">
        <f>IFERROR(VLOOKUP(M130,PROGRAMAS[],3,FALSE),0)</f>
        <v>0</v>
      </c>
      <c r="AP130" s="246">
        <f>IFERROR(VLOOKUP(N130,PROGRAMAS[],3,FALSE),0)</f>
        <v>0</v>
      </c>
      <c r="AQ130" s="246">
        <f>IFERROR(VLOOKUP(O130,PROGRAMAS[],3,FALSE),0)</f>
        <v>0</v>
      </c>
      <c r="AR130" s="246">
        <f>IFERROR(VLOOKUP(P130,PROGRAMAS[],3,FALSE),0)</f>
        <v>0</v>
      </c>
      <c r="AS130" s="246">
        <f>IFERROR(VLOOKUP(Q130,PROGRAMAS[],3,FALSE),0)</f>
        <v>0</v>
      </c>
      <c r="AT130" s="246">
        <f>IFERROR(VLOOKUP(D130,VOL_REC[],2,FALSE),0)</f>
        <v>0</v>
      </c>
      <c r="AU130" s="246">
        <f>IFERROR(VLOOKUP(E130,VOL_REC[],2,FALSE),0)</f>
        <v>0</v>
      </c>
      <c r="AV130" s="246">
        <f>IFERROR(VLOOKUP(F130,VOL_REC[],2,FALSE),0)</f>
        <v>11089674.200000001</v>
      </c>
      <c r="AW130" s="246">
        <f>IFERROR(VLOOKUP(G130,VOL_REC[],2,FALSE),0)</f>
        <v>4325103.1812214684</v>
      </c>
      <c r="AX130" s="246">
        <f>IFERROR(VLOOKUP(H130,VOL_REC[],2,FALSE),0)</f>
        <v>1812240</v>
      </c>
      <c r="AY130" s="246">
        <f>IFERROR(VLOOKUP(I130,VOL_REC[],2,FALSE),0)</f>
        <v>17074.045034105649</v>
      </c>
      <c r="AZ130" s="246">
        <f>IFERROR(VLOOKUP(J130,VOL_REC[],2,FALSE),0)</f>
        <v>0</v>
      </c>
      <c r="BA130" s="246">
        <f>IFERROR(VLOOKUP(K130,VOL_REC[],2,FALSE),0)</f>
        <v>0</v>
      </c>
      <c r="BB130" s="246">
        <f>IFERROR(VLOOKUP(L130,VOL_REC[],2,FALSE),0)</f>
        <v>0</v>
      </c>
      <c r="BC130" s="246">
        <f>IFERROR(VLOOKUP(M130,VOL_REC[],2,FALSE),0)</f>
        <v>0</v>
      </c>
      <c r="BD130" s="246">
        <f>IFERROR(VLOOKUP(N130,VOL_REC[],2,FALSE),0)</f>
        <v>0</v>
      </c>
      <c r="BE130" s="246">
        <f>IFERROR(VLOOKUP(O130,VOL_REC[],2,FALSE),0)</f>
        <v>0</v>
      </c>
      <c r="BF130" s="246">
        <f>IFERROR(VLOOKUP(P130,VOL_REC[],2,FALSE),0)</f>
        <v>0</v>
      </c>
      <c r="BG130" s="246">
        <f>IFERROR(VLOOKUP(Q130,VOL_REC[],2,FALSE),0)</f>
        <v>0</v>
      </c>
      <c r="BH130" s="1710">
        <f t="shared" ref="BH130:BH193" si="8">SUM(R130:AE130)</f>
        <v>9930347978.2878685</v>
      </c>
      <c r="BI130" s="1710">
        <f t="shared" ref="BI130:BI193" si="9">SUM(AF130:AS130)</f>
        <v>13450613066.302994</v>
      </c>
      <c r="BJ130" s="1711">
        <f t="shared" ref="BJ130:BJ193" si="10">SUM(AT130:BG130)</f>
        <v>17244091.426255576</v>
      </c>
      <c r="BK130" s="1711">
        <f t="shared" ref="BK130:BK193" si="11">IFERROR(BH130/BI130,0)</f>
        <v>0.73828218307504268</v>
      </c>
    </row>
    <row r="131" spans="3:67" x14ac:dyDescent="0.25">
      <c r="C131" s="246" t="s">
        <v>1481</v>
      </c>
      <c r="D131" s="246">
        <v>1</v>
      </c>
      <c r="E131" s="246">
        <v>2</v>
      </c>
      <c r="F131" s="246">
        <v>3</v>
      </c>
      <c r="G131" s="246">
        <v>5</v>
      </c>
      <c r="H131" s="246">
        <v>10</v>
      </c>
      <c r="I131" s="246">
        <v>15</v>
      </c>
      <c r="J131" s="246"/>
      <c r="K131" s="246"/>
      <c r="L131" s="246"/>
      <c r="M131" s="246"/>
      <c r="N131" s="246"/>
      <c r="O131" s="246"/>
      <c r="P131" s="246"/>
      <c r="Q131" s="246"/>
      <c r="R131" s="246">
        <f>IFERROR(VLOOKUP(D131,PROGRAMAS[],2,FALSE),0)</f>
        <v>97037803.679377079</v>
      </c>
      <c r="S131" s="246">
        <f>IFERROR(VLOOKUP(E131,PROGRAMAS[],2,FALSE),0)</f>
        <v>640501509.6821388</v>
      </c>
      <c r="T131" s="246">
        <f>IFERROR(VLOOKUP(F131,PROGRAMAS[],2,FALSE),0)</f>
        <v>3062327798.1525245</v>
      </c>
      <c r="U131" s="246">
        <f>IFERROR(VLOOKUP(G131,PROGRAMAS[],2,FALSE),0)</f>
        <v>1440941976.2528784</v>
      </c>
      <c r="V131" s="246">
        <f>IFERROR(VLOOKUP(H131,PROGRAMAS[],2,FALSE),0)</f>
        <v>4635315027.8751087</v>
      </c>
      <c r="W131" s="246">
        <f>IFERROR(VLOOKUP(I131,PROGRAMAS[],2,FALSE),0)</f>
        <v>122159672.96346797</v>
      </c>
      <c r="X131" s="246">
        <f>IFERROR(VLOOKUP(J131,PROGRAMAS[],2,FALSE),0)</f>
        <v>0</v>
      </c>
      <c r="Y131" s="246">
        <f>IFERROR(VLOOKUP(K131,PROGRAMAS[],2,FALSE),0)</f>
        <v>0</v>
      </c>
      <c r="Z131" s="246">
        <f>IFERROR(VLOOKUP(L131,PROGRAMAS[],2,FALSE),0)</f>
        <v>0</v>
      </c>
      <c r="AA131" s="246">
        <f>IFERROR(VLOOKUP(M131,PROGRAMAS[],2,FALSE),0)</f>
        <v>0</v>
      </c>
      <c r="AB131" s="246">
        <f>IFERROR(VLOOKUP(N131,PROGRAMAS[],2,FALSE),0)</f>
        <v>0</v>
      </c>
      <c r="AC131" s="246">
        <f>IFERROR(VLOOKUP(O131,PROGRAMAS[],2,FALSE),0)</f>
        <v>0</v>
      </c>
      <c r="AD131" s="246">
        <f>IFERROR(VLOOKUP(P131,PROGRAMAS[],2,FALSE),0)</f>
        <v>0</v>
      </c>
      <c r="AE131" s="246">
        <f>IFERROR(VLOOKUP(Q131,PROGRAMAS[],2,FALSE),0)</f>
        <v>0</v>
      </c>
      <c r="AF131" s="246">
        <f>IFERROR(VLOOKUP(D131,PROGRAMAS[],3,FALSE),0)</f>
        <v>841888629.31080008</v>
      </c>
      <c r="AG131" s="246">
        <f>IFERROR(VLOOKUP(E131,PROGRAMAS[],3,FALSE),0)</f>
        <v>3848980803.1642323</v>
      </c>
      <c r="AH131" s="246">
        <f>IFERROR(VLOOKUP(F131,PROGRAMAS[],3,FALSE),0)</f>
        <v>3394901471.387517</v>
      </c>
      <c r="AI131" s="246">
        <f>IFERROR(VLOOKUP(G131,PROGRAMAS[],3,FALSE),0)</f>
        <v>1233505101.0616004</v>
      </c>
      <c r="AJ131" s="246">
        <f>IFERROR(VLOOKUP(H131,PROGRAMAS[],3,FALSE),0)</f>
        <v>4099471734.9978786</v>
      </c>
      <c r="AK131" s="246">
        <f>IFERROR(VLOOKUP(I131,PROGRAMAS[],3,FALSE),0)</f>
        <v>118617452.52510804</v>
      </c>
      <c r="AL131" s="246">
        <f>IFERROR(VLOOKUP(J131,PROGRAMAS[],3,FALSE),0)</f>
        <v>0</v>
      </c>
      <c r="AM131" s="246">
        <f>IFERROR(VLOOKUP(K131,PROGRAMAS[],3,FALSE),0)</f>
        <v>0</v>
      </c>
      <c r="AN131" s="246">
        <f>IFERROR(VLOOKUP(L131,PROGRAMAS[],3,FALSE),0)</f>
        <v>0</v>
      </c>
      <c r="AO131" s="246">
        <f>IFERROR(VLOOKUP(M131,PROGRAMAS[],3,FALSE),0)</f>
        <v>0</v>
      </c>
      <c r="AP131" s="246">
        <f>IFERROR(VLOOKUP(N131,PROGRAMAS[],3,FALSE),0)</f>
        <v>0</v>
      </c>
      <c r="AQ131" s="246">
        <f>IFERROR(VLOOKUP(O131,PROGRAMAS[],3,FALSE),0)</f>
        <v>0</v>
      </c>
      <c r="AR131" s="246">
        <f>IFERROR(VLOOKUP(P131,PROGRAMAS[],3,FALSE),0)</f>
        <v>0</v>
      </c>
      <c r="AS131" s="246">
        <f>IFERROR(VLOOKUP(Q131,PROGRAMAS[],3,FALSE),0)</f>
        <v>0</v>
      </c>
      <c r="AT131" s="246">
        <f>IFERROR(VLOOKUP(D131,VOL_REC[],2,FALSE),0)</f>
        <v>0</v>
      </c>
      <c r="AU131" s="246">
        <f>IFERROR(VLOOKUP(E131,VOL_REC[],2,FALSE),0)</f>
        <v>0</v>
      </c>
      <c r="AV131" s="246">
        <f>IFERROR(VLOOKUP(F131,VOL_REC[],2,FALSE),0)</f>
        <v>11089674.200000001</v>
      </c>
      <c r="AW131" s="246">
        <f>IFERROR(VLOOKUP(G131,VOL_REC[],2,FALSE),0)</f>
        <v>4325103.1812214684</v>
      </c>
      <c r="AX131" s="246">
        <f>IFERROR(VLOOKUP(H131,VOL_REC[],2,FALSE),0)</f>
        <v>1812240</v>
      </c>
      <c r="AY131" s="246">
        <f>IFERROR(VLOOKUP(I131,VOL_REC[],2,FALSE),0)</f>
        <v>105072</v>
      </c>
      <c r="AZ131" s="246">
        <f>IFERROR(VLOOKUP(J131,VOL_REC[],2,FALSE),0)</f>
        <v>0</v>
      </c>
      <c r="BA131" s="246">
        <f>IFERROR(VLOOKUP(K131,VOL_REC[],2,FALSE),0)</f>
        <v>0</v>
      </c>
      <c r="BB131" s="246">
        <f>IFERROR(VLOOKUP(L131,VOL_REC[],2,FALSE),0)</f>
        <v>0</v>
      </c>
      <c r="BC131" s="246">
        <f>IFERROR(VLOOKUP(M131,VOL_REC[],2,FALSE),0)</f>
        <v>0</v>
      </c>
      <c r="BD131" s="246">
        <f>IFERROR(VLOOKUP(N131,VOL_REC[],2,FALSE),0)</f>
        <v>0</v>
      </c>
      <c r="BE131" s="246">
        <f>IFERROR(VLOOKUP(O131,VOL_REC[],2,FALSE),0)</f>
        <v>0</v>
      </c>
      <c r="BF131" s="246">
        <f>IFERROR(VLOOKUP(P131,VOL_REC[],2,FALSE),0)</f>
        <v>0</v>
      </c>
      <c r="BG131" s="246">
        <f>IFERROR(VLOOKUP(Q131,VOL_REC[],2,FALSE),0)</f>
        <v>0</v>
      </c>
      <c r="BH131" s="1710">
        <f t="shared" si="8"/>
        <v>9998283788.6054974</v>
      </c>
      <c r="BI131" s="1710">
        <f t="shared" si="9"/>
        <v>13537365192.447138</v>
      </c>
      <c r="BJ131" s="1711">
        <f t="shared" si="10"/>
        <v>17332089.381221469</v>
      </c>
      <c r="BK131" s="1711">
        <f t="shared" si="11"/>
        <v>0.73856940744893329</v>
      </c>
    </row>
    <row r="132" spans="3:67" x14ac:dyDescent="0.25">
      <c r="C132" s="246" t="s">
        <v>1482</v>
      </c>
      <c r="D132" s="246">
        <v>1</v>
      </c>
      <c r="E132" s="246">
        <v>2</v>
      </c>
      <c r="F132" s="246">
        <v>3</v>
      </c>
      <c r="G132" s="246">
        <v>5</v>
      </c>
      <c r="H132" s="246">
        <v>10</v>
      </c>
      <c r="I132" s="246">
        <v>16</v>
      </c>
      <c r="J132" s="246"/>
      <c r="K132" s="246"/>
      <c r="L132" s="246"/>
      <c r="M132" s="246"/>
      <c r="N132" s="246"/>
      <c r="O132" s="246"/>
      <c r="P132" s="246"/>
      <c r="Q132" s="246"/>
      <c r="R132" s="246">
        <f>IFERROR(VLOOKUP(D132,PROGRAMAS[],2,FALSE),0)</f>
        <v>97037803.679377079</v>
      </c>
      <c r="S132" s="246">
        <f>IFERROR(VLOOKUP(E132,PROGRAMAS[],2,FALSE),0)</f>
        <v>640501509.6821388</v>
      </c>
      <c r="T132" s="246">
        <f>IFERROR(VLOOKUP(F132,PROGRAMAS[],2,FALSE),0)</f>
        <v>3062327798.1525245</v>
      </c>
      <c r="U132" s="246">
        <f>IFERROR(VLOOKUP(G132,PROGRAMAS[],2,FALSE),0)</f>
        <v>1440941976.2528784</v>
      </c>
      <c r="V132" s="246">
        <f>IFERROR(VLOOKUP(H132,PROGRAMAS[],2,FALSE),0)</f>
        <v>4635315027.8751087</v>
      </c>
      <c r="W132" s="246">
        <f>IFERROR(VLOOKUP(I132,PROGRAMAS[],2,FALSE),0)</f>
        <v>7068496961.0436354</v>
      </c>
      <c r="X132" s="246">
        <f>IFERROR(VLOOKUP(J132,PROGRAMAS[],2,FALSE),0)</f>
        <v>0</v>
      </c>
      <c r="Y132" s="246">
        <f>IFERROR(VLOOKUP(K132,PROGRAMAS[],2,FALSE),0)</f>
        <v>0</v>
      </c>
      <c r="Z132" s="246">
        <f>IFERROR(VLOOKUP(L132,PROGRAMAS[],2,FALSE),0)</f>
        <v>0</v>
      </c>
      <c r="AA132" s="246">
        <f>IFERROR(VLOOKUP(M132,PROGRAMAS[],2,FALSE),0)</f>
        <v>0</v>
      </c>
      <c r="AB132" s="246">
        <f>IFERROR(VLOOKUP(N132,PROGRAMAS[],2,FALSE),0)</f>
        <v>0</v>
      </c>
      <c r="AC132" s="246">
        <f>IFERROR(VLOOKUP(O132,PROGRAMAS[],2,FALSE),0)</f>
        <v>0</v>
      </c>
      <c r="AD132" s="246">
        <f>IFERROR(VLOOKUP(P132,PROGRAMAS[],2,FALSE),0)</f>
        <v>0</v>
      </c>
      <c r="AE132" s="246">
        <f>IFERROR(VLOOKUP(Q132,PROGRAMAS[],2,FALSE),0)</f>
        <v>0</v>
      </c>
      <c r="AF132" s="246">
        <f>IFERROR(VLOOKUP(D132,PROGRAMAS[],3,FALSE),0)</f>
        <v>841888629.31080008</v>
      </c>
      <c r="AG132" s="246">
        <f>IFERROR(VLOOKUP(E132,PROGRAMAS[],3,FALSE),0)</f>
        <v>3848980803.1642323</v>
      </c>
      <c r="AH132" s="246">
        <f>IFERROR(VLOOKUP(F132,PROGRAMAS[],3,FALSE),0)</f>
        <v>3394901471.387517</v>
      </c>
      <c r="AI132" s="246">
        <f>IFERROR(VLOOKUP(G132,PROGRAMAS[],3,FALSE),0)</f>
        <v>1233505101.0616004</v>
      </c>
      <c r="AJ132" s="246">
        <f>IFERROR(VLOOKUP(H132,PROGRAMAS[],3,FALSE),0)</f>
        <v>4099471734.9978786</v>
      </c>
      <c r="AK132" s="246">
        <f>IFERROR(VLOOKUP(I132,PROGRAMAS[],3,FALSE),0)</f>
        <v>2406564599.0319901</v>
      </c>
      <c r="AL132" s="246">
        <f>IFERROR(VLOOKUP(J132,PROGRAMAS[],3,FALSE),0)</f>
        <v>0</v>
      </c>
      <c r="AM132" s="246">
        <f>IFERROR(VLOOKUP(K132,PROGRAMAS[],3,FALSE),0)</f>
        <v>0</v>
      </c>
      <c r="AN132" s="246">
        <f>IFERROR(VLOOKUP(L132,PROGRAMAS[],3,FALSE),0)</f>
        <v>0</v>
      </c>
      <c r="AO132" s="246">
        <f>IFERROR(VLOOKUP(M132,PROGRAMAS[],3,FALSE),0)</f>
        <v>0</v>
      </c>
      <c r="AP132" s="246">
        <f>IFERROR(VLOOKUP(N132,PROGRAMAS[],3,FALSE),0)</f>
        <v>0</v>
      </c>
      <c r="AQ132" s="246">
        <f>IFERROR(VLOOKUP(O132,PROGRAMAS[],3,FALSE),0)</f>
        <v>0</v>
      </c>
      <c r="AR132" s="246">
        <f>IFERROR(VLOOKUP(P132,PROGRAMAS[],3,FALSE),0)</f>
        <v>0</v>
      </c>
      <c r="AS132" s="246">
        <f>IFERROR(VLOOKUP(Q132,PROGRAMAS[],3,FALSE),0)</f>
        <v>0</v>
      </c>
      <c r="AT132" s="246">
        <f>IFERROR(VLOOKUP(D132,VOL_REC[],2,FALSE),0)</f>
        <v>0</v>
      </c>
      <c r="AU132" s="246">
        <f>IFERROR(VLOOKUP(E132,VOL_REC[],2,FALSE),0)</f>
        <v>0</v>
      </c>
      <c r="AV132" s="246">
        <f>IFERROR(VLOOKUP(F132,VOL_REC[],2,FALSE),0)</f>
        <v>11089674.200000001</v>
      </c>
      <c r="AW132" s="246">
        <f>IFERROR(VLOOKUP(G132,VOL_REC[],2,FALSE),0)</f>
        <v>4325103.1812214684</v>
      </c>
      <c r="AX132" s="246">
        <f>IFERROR(VLOOKUP(H132,VOL_REC[],2,FALSE),0)</f>
        <v>1812240</v>
      </c>
      <c r="AY132" s="246">
        <f>IFERROR(VLOOKUP(I132,VOL_REC[],2,FALSE),0)</f>
        <v>1072354.9981737854</v>
      </c>
      <c r="AZ132" s="246">
        <f>IFERROR(VLOOKUP(J132,VOL_REC[],2,FALSE),0)</f>
        <v>0</v>
      </c>
      <c r="BA132" s="246">
        <f>IFERROR(VLOOKUP(K132,VOL_REC[],2,FALSE),0)</f>
        <v>0</v>
      </c>
      <c r="BB132" s="246">
        <f>IFERROR(VLOOKUP(L132,VOL_REC[],2,FALSE),0)</f>
        <v>0</v>
      </c>
      <c r="BC132" s="246">
        <f>IFERROR(VLOOKUP(M132,VOL_REC[],2,FALSE),0)</f>
        <v>0</v>
      </c>
      <c r="BD132" s="246">
        <f>IFERROR(VLOOKUP(N132,VOL_REC[],2,FALSE),0)</f>
        <v>0</v>
      </c>
      <c r="BE132" s="246">
        <f>IFERROR(VLOOKUP(O132,VOL_REC[],2,FALSE),0)</f>
        <v>0</v>
      </c>
      <c r="BF132" s="246">
        <f>IFERROR(VLOOKUP(P132,VOL_REC[],2,FALSE),0)</f>
        <v>0</v>
      </c>
      <c r="BG132" s="246">
        <f>IFERROR(VLOOKUP(Q132,VOL_REC[],2,FALSE),0)</f>
        <v>0</v>
      </c>
      <c r="BH132" s="1710">
        <f t="shared" si="8"/>
        <v>16944621076.685665</v>
      </c>
      <c r="BI132" s="1710">
        <f t="shared" si="9"/>
        <v>15825312338.95402</v>
      </c>
      <c r="BJ132" s="1711">
        <f t="shared" si="10"/>
        <v>18299372.379395254</v>
      </c>
      <c r="BK132" s="1711">
        <f t="shared" si="11"/>
        <v>1.0707290139845433</v>
      </c>
      <c r="BL132">
        <f>BJ132</f>
        <v>18299372.379395254</v>
      </c>
      <c r="BO132">
        <f>BL132</f>
        <v>18299372.379395254</v>
      </c>
    </row>
    <row r="133" spans="3:67" x14ac:dyDescent="0.25">
      <c r="C133" s="246" t="s">
        <v>1483</v>
      </c>
      <c r="D133" s="246">
        <v>1</v>
      </c>
      <c r="E133" s="246">
        <v>2</v>
      </c>
      <c r="F133" s="246">
        <v>3</v>
      </c>
      <c r="G133" s="246">
        <v>5</v>
      </c>
      <c r="H133" s="246">
        <v>10</v>
      </c>
      <c r="I133" s="246">
        <v>17</v>
      </c>
      <c r="J133" s="246"/>
      <c r="K133" s="246"/>
      <c r="L133" s="246"/>
      <c r="M133" s="246"/>
      <c r="N133" s="246"/>
      <c r="O133" s="246"/>
      <c r="P133" s="246"/>
      <c r="Q133" s="246"/>
      <c r="R133" s="246">
        <f>IFERROR(VLOOKUP(D133,PROGRAMAS[],2,FALSE),0)</f>
        <v>97037803.679377079</v>
      </c>
      <c r="S133" s="246">
        <f>IFERROR(VLOOKUP(E133,PROGRAMAS[],2,FALSE),0)</f>
        <v>640501509.6821388</v>
      </c>
      <c r="T133" s="246">
        <f>IFERROR(VLOOKUP(F133,PROGRAMAS[],2,FALSE),0)</f>
        <v>3062327798.1525245</v>
      </c>
      <c r="U133" s="246">
        <f>IFERROR(VLOOKUP(G133,PROGRAMAS[],2,FALSE),0)</f>
        <v>1440941976.2528784</v>
      </c>
      <c r="V133" s="246">
        <f>IFERROR(VLOOKUP(H133,PROGRAMAS[],2,FALSE),0)</f>
        <v>4635315027.8751087</v>
      </c>
      <c r="W133" s="246">
        <f>IFERROR(VLOOKUP(I133,PROGRAMAS[],2,FALSE),0)</f>
        <v>1892779498.5211046</v>
      </c>
      <c r="X133" s="246">
        <f>IFERROR(VLOOKUP(J133,PROGRAMAS[],2,FALSE),0)</f>
        <v>0</v>
      </c>
      <c r="Y133" s="246">
        <f>IFERROR(VLOOKUP(K133,PROGRAMAS[],2,FALSE),0)</f>
        <v>0</v>
      </c>
      <c r="Z133" s="246">
        <f>IFERROR(VLOOKUP(L133,PROGRAMAS[],2,FALSE),0)</f>
        <v>0</v>
      </c>
      <c r="AA133" s="246">
        <f>IFERROR(VLOOKUP(M133,PROGRAMAS[],2,FALSE),0)</f>
        <v>0</v>
      </c>
      <c r="AB133" s="246">
        <f>IFERROR(VLOOKUP(N133,PROGRAMAS[],2,FALSE),0)</f>
        <v>0</v>
      </c>
      <c r="AC133" s="246">
        <f>IFERROR(VLOOKUP(O133,PROGRAMAS[],2,FALSE),0)</f>
        <v>0</v>
      </c>
      <c r="AD133" s="246">
        <f>IFERROR(VLOOKUP(P133,PROGRAMAS[],2,FALSE),0)</f>
        <v>0</v>
      </c>
      <c r="AE133" s="246">
        <f>IFERROR(VLOOKUP(Q133,PROGRAMAS[],2,FALSE),0)</f>
        <v>0</v>
      </c>
      <c r="AF133" s="246">
        <f>IFERROR(VLOOKUP(D133,PROGRAMAS[],3,FALSE),0)</f>
        <v>841888629.31080008</v>
      </c>
      <c r="AG133" s="246">
        <f>IFERROR(VLOOKUP(E133,PROGRAMAS[],3,FALSE),0)</f>
        <v>3848980803.1642323</v>
      </c>
      <c r="AH133" s="246">
        <f>IFERROR(VLOOKUP(F133,PROGRAMAS[],3,FALSE),0)</f>
        <v>3394901471.387517</v>
      </c>
      <c r="AI133" s="246">
        <f>IFERROR(VLOOKUP(G133,PROGRAMAS[],3,FALSE),0)</f>
        <v>1233505101.0616004</v>
      </c>
      <c r="AJ133" s="246">
        <f>IFERROR(VLOOKUP(H133,PROGRAMAS[],3,FALSE),0)</f>
        <v>4099471734.9978786</v>
      </c>
      <c r="AK133" s="246">
        <f>IFERROR(VLOOKUP(I133,PROGRAMAS[],3,FALSE),0)</f>
        <v>948595847.09039903</v>
      </c>
      <c r="AL133" s="246">
        <f>IFERROR(VLOOKUP(J133,PROGRAMAS[],3,FALSE),0)</f>
        <v>0</v>
      </c>
      <c r="AM133" s="246">
        <f>IFERROR(VLOOKUP(K133,PROGRAMAS[],3,FALSE),0)</f>
        <v>0</v>
      </c>
      <c r="AN133" s="246">
        <f>IFERROR(VLOOKUP(L133,PROGRAMAS[],3,FALSE),0)</f>
        <v>0</v>
      </c>
      <c r="AO133" s="246">
        <f>IFERROR(VLOOKUP(M133,PROGRAMAS[],3,FALSE),0)</f>
        <v>0</v>
      </c>
      <c r="AP133" s="246">
        <f>IFERROR(VLOOKUP(N133,PROGRAMAS[],3,FALSE),0)</f>
        <v>0</v>
      </c>
      <c r="AQ133" s="246">
        <f>IFERROR(VLOOKUP(O133,PROGRAMAS[],3,FALSE),0)</f>
        <v>0</v>
      </c>
      <c r="AR133" s="246">
        <f>IFERROR(VLOOKUP(P133,PROGRAMAS[],3,FALSE),0)</f>
        <v>0</v>
      </c>
      <c r="AS133" s="246">
        <f>IFERROR(VLOOKUP(Q133,PROGRAMAS[],3,FALSE),0)</f>
        <v>0</v>
      </c>
      <c r="AT133" s="246">
        <f>IFERROR(VLOOKUP(D133,VOL_REC[],2,FALSE),0)</f>
        <v>0</v>
      </c>
      <c r="AU133" s="246">
        <f>IFERROR(VLOOKUP(E133,VOL_REC[],2,FALSE),0)</f>
        <v>0</v>
      </c>
      <c r="AV133" s="246">
        <f>IFERROR(VLOOKUP(F133,VOL_REC[],2,FALSE),0)</f>
        <v>11089674.200000001</v>
      </c>
      <c r="AW133" s="246">
        <f>IFERROR(VLOOKUP(G133,VOL_REC[],2,FALSE),0)</f>
        <v>4325103.1812214684</v>
      </c>
      <c r="AX133" s="246">
        <f>IFERROR(VLOOKUP(H133,VOL_REC[],2,FALSE),0)</f>
        <v>1812240</v>
      </c>
      <c r="AY133" s="246">
        <f>IFERROR(VLOOKUP(I133,VOL_REC[],2,FALSE),0)</f>
        <v>740113.98115702497</v>
      </c>
      <c r="AZ133" s="246">
        <f>IFERROR(VLOOKUP(J133,VOL_REC[],2,FALSE),0)</f>
        <v>0</v>
      </c>
      <c r="BA133" s="246">
        <f>IFERROR(VLOOKUP(K133,VOL_REC[],2,FALSE),0)</f>
        <v>0</v>
      </c>
      <c r="BB133" s="246">
        <f>IFERROR(VLOOKUP(L133,VOL_REC[],2,FALSE),0)</f>
        <v>0</v>
      </c>
      <c r="BC133" s="246">
        <f>IFERROR(VLOOKUP(M133,VOL_REC[],2,FALSE),0)</f>
        <v>0</v>
      </c>
      <c r="BD133" s="246">
        <f>IFERROR(VLOOKUP(N133,VOL_REC[],2,FALSE),0)</f>
        <v>0</v>
      </c>
      <c r="BE133" s="246">
        <f>IFERROR(VLOOKUP(O133,VOL_REC[],2,FALSE),0)</f>
        <v>0</v>
      </c>
      <c r="BF133" s="246">
        <f>IFERROR(VLOOKUP(P133,VOL_REC[],2,FALSE),0)</f>
        <v>0</v>
      </c>
      <c r="BG133" s="246">
        <f>IFERROR(VLOOKUP(Q133,VOL_REC[],2,FALSE),0)</f>
        <v>0</v>
      </c>
      <c r="BH133" s="1710">
        <f t="shared" si="8"/>
        <v>11768903614.163134</v>
      </c>
      <c r="BI133" s="1710">
        <f t="shared" si="9"/>
        <v>14367343587.012428</v>
      </c>
      <c r="BJ133" s="1711">
        <f t="shared" si="10"/>
        <v>17967131.362378493</v>
      </c>
      <c r="BK133" s="1711">
        <f t="shared" si="11"/>
        <v>0.81914263015202105</v>
      </c>
    </row>
    <row r="134" spans="3:67" x14ac:dyDescent="0.25">
      <c r="C134" s="246" t="s">
        <v>1484</v>
      </c>
      <c r="D134" s="246">
        <v>1</v>
      </c>
      <c r="E134" s="246">
        <v>2</v>
      </c>
      <c r="F134" s="246">
        <v>3</v>
      </c>
      <c r="G134" s="246">
        <v>5</v>
      </c>
      <c r="H134" s="246">
        <v>12</v>
      </c>
      <c r="I134" s="246">
        <v>13</v>
      </c>
      <c r="J134" s="246"/>
      <c r="K134" s="246"/>
      <c r="L134" s="246"/>
      <c r="M134" s="246"/>
      <c r="N134" s="246"/>
      <c r="O134" s="246"/>
      <c r="P134" s="246"/>
      <c r="Q134" s="246"/>
      <c r="R134" s="246">
        <f>IFERROR(VLOOKUP(D134,PROGRAMAS[],2,FALSE),0)</f>
        <v>97037803.679377079</v>
      </c>
      <c r="S134" s="246">
        <f>IFERROR(VLOOKUP(E134,PROGRAMAS[],2,FALSE),0)</f>
        <v>640501509.6821388</v>
      </c>
      <c r="T134" s="246">
        <f>IFERROR(VLOOKUP(F134,PROGRAMAS[],2,FALSE),0)</f>
        <v>3062327798.1525245</v>
      </c>
      <c r="U134" s="246">
        <f>IFERROR(VLOOKUP(G134,PROGRAMAS[],2,FALSE),0)</f>
        <v>1440941976.2528784</v>
      </c>
      <c r="V134" s="246">
        <f>IFERROR(VLOOKUP(H134,PROGRAMAS[],2,FALSE),0)</f>
        <v>764796700.79905891</v>
      </c>
      <c r="W134" s="246">
        <f>IFERROR(VLOOKUP(I134,PROGRAMAS[],2,FALSE),0)</f>
        <v>3776538594.4604583</v>
      </c>
      <c r="X134" s="246">
        <f>IFERROR(VLOOKUP(J134,PROGRAMAS[],2,FALSE),0)</f>
        <v>0</v>
      </c>
      <c r="Y134" s="246">
        <f>IFERROR(VLOOKUP(K134,PROGRAMAS[],2,FALSE),0)</f>
        <v>0</v>
      </c>
      <c r="Z134" s="246">
        <f>IFERROR(VLOOKUP(L134,PROGRAMAS[],2,FALSE),0)</f>
        <v>0</v>
      </c>
      <c r="AA134" s="246">
        <f>IFERROR(VLOOKUP(M134,PROGRAMAS[],2,FALSE),0)</f>
        <v>0</v>
      </c>
      <c r="AB134" s="246">
        <f>IFERROR(VLOOKUP(N134,PROGRAMAS[],2,FALSE),0)</f>
        <v>0</v>
      </c>
      <c r="AC134" s="246">
        <f>IFERROR(VLOOKUP(O134,PROGRAMAS[],2,FALSE),0)</f>
        <v>0</v>
      </c>
      <c r="AD134" s="246">
        <f>IFERROR(VLOOKUP(P134,PROGRAMAS[],2,FALSE),0)</f>
        <v>0</v>
      </c>
      <c r="AE134" s="246">
        <f>IFERROR(VLOOKUP(Q134,PROGRAMAS[],2,FALSE),0)</f>
        <v>0</v>
      </c>
      <c r="AF134" s="246">
        <f>IFERROR(VLOOKUP(D134,PROGRAMAS[],3,FALSE),0)</f>
        <v>841888629.31080008</v>
      </c>
      <c r="AG134" s="246">
        <f>IFERROR(VLOOKUP(E134,PROGRAMAS[],3,FALSE),0)</f>
        <v>3848980803.1642323</v>
      </c>
      <c r="AH134" s="246">
        <f>IFERROR(VLOOKUP(F134,PROGRAMAS[],3,FALSE),0)</f>
        <v>3394901471.387517</v>
      </c>
      <c r="AI134" s="246">
        <f>IFERROR(VLOOKUP(G134,PROGRAMAS[],3,FALSE),0)</f>
        <v>1233505101.0616004</v>
      </c>
      <c r="AJ134" s="246">
        <f>IFERROR(VLOOKUP(H134,PROGRAMAS[],3,FALSE),0)</f>
        <v>675517840.109828</v>
      </c>
      <c r="AK134" s="246">
        <f>IFERROR(VLOOKUP(I134,PROGRAMAS[],3,FALSE),0)</f>
        <v>2392571243.5584412</v>
      </c>
      <c r="AL134" s="246">
        <f>IFERROR(VLOOKUP(J134,PROGRAMAS[],3,FALSE),0)</f>
        <v>0</v>
      </c>
      <c r="AM134" s="246">
        <f>IFERROR(VLOOKUP(K134,PROGRAMAS[],3,FALSE),0)</f>
        <v>0</v>
      </c>
      <c r="AN134" s="246">
        <f>IFERROR(VLOOKUP(L134,PROGRAMAS[],3,FALSE),0)</f>
        <v>0</v>
      </c>
      <c r="AO134" s="246">
        <f>IFERROR(VLOOKUP(M134,PROGRAMAS[],3,FALSE),0)</f>
        <v>0</v>
      </c>
      <c r="AP134" s="246">
        <f>IFERROR(VLOOKUP(N134,PROGRAMAS[],3,FALSE),0)</f>
        <v>0</v>
      </c>
      <c r="AQ134" s="246">
        <f>IFERROR(VLOOKUP(O134,PROGRAMAS[],3,FALSE),0)</f>
        <v>0</v>
      </c>
      <c r="AR134" s="246">
        <f>IFERROR(VLOOKUP(P134,PROGRAMAS[],3,FALSE),0)</f>
        <v>0</v>
      </c>
      <c r="AS134" s="246">
        <f>IFERROR(VLOOKUP(Q134,PROGRAMAS[],3,FALSE),0)</f>
        <v>0</v>
      </c>
      <c r="AT134" s="246">
        <f>IFERROR(VLOOKUP(D134,VOL_REC[],2,FALSE),0)</f>
        <v>0</v>
      </c>
      <c r="AU134" s="246">
        <f>IFERROR(VLOOKUP(E134,VOL_REC[],2,FALSE),0)</f>
        <v>0</v>
      </c>
      <c r="AV134" s="246">
        <f>IFERROR(VLOOKUP(F134,VOL_REC[],2,FALSE),0)</f>
        <v>11089674.200000001</v>
      </c>
      <c r="AW134" s="246">
        <f>IFERROR(VLOOKUP(G134,VOL_REC[],2,FALSE),0)</f>
        <v>4325103.1812214684</v>
      </c>
      <c r="AX134" s="246">
        <f>IFERROR(VLOOKUP(H134,VOL_REC[],2,FALSE),0)</f>
        <v>240696.79238099116</v>
      </c>
      <c r="AY134" s="246">
        <f>IFERROR(VLOOKUP(I134,VOL_REC[],2,FALSE),0)</f>
        <v>663244.80000000016</v>
      </c>
      <c r="AZ134" s="246">
        <f>IFERROR(VLOOKUP(J134,VOL_REC[],2,FALSE),0)</f>
        <v>0</v>
      </c>
      <c r="BA134" s="246">
        <f>IFERROR(VLOOKUP(K134,VOL_REC[],2,FALSE),0)</f>
        <v>0</v>
      </c>
      <c r="BB134" s="246">
        <f>IFERROR(VLOOKUP(L134,VOL_REC[],2,FALSE),0)</f>
        <v>0</v>
      </c>
      <c r="BC134" s="246">
        <f>IFERROR(VLOOKUP(M134,VOL_REC[],2,FALSE),0)</f>
        <v>0</v>
      </c>
      <c r="BD134" s="246">
        <f>IFERROR(VLOOKUP(N134,VOL_REC[],2,FALSE),0)</f>
        <v>0</v>
      </c>
      <c r="BE134" s="246">
        <f>IFERROR(VLOOKUP(O134,VOL_REC[],2,FALSE),0)</f>
        <v>0</v>
      </c>
      <c r="BF134" s="246">
        <f>IFERROR(VLOOKUP(P134,VOL_REC[],2,FALSE),0)</f>
        <v>0</v>
      </c>
      <c r="BG134" s="246">
        <f>IFERROR(VLOOKUP(Q134,VOL_REC[],2,FALSE),0)</f>
        <v>0</v>
      </c>
      <c r="BH134" s="1710">
        <f t="shared" si="8"/>
        <v>9782144383.0264359</v>
      </c>
      <c r="BI134" s="1710">
        <f t="shared" si="9"/>
        <v>12387365088.592419</v>
      </c>
      <c r="BJ134" s="1711">
        <f t="shared" si="10"/>
        <v>16318718.973602461</v>
      </c>
      <c r="BK134" s="1711">
        <f t="shared" si="11"/>
        <v>0.78968725899867576</v>
      </c>
    </row>
    <row r="135" spans="3:67" x14ac:dyDescent="0.25">
      <c r="C135" s="246" t="s">
        <v>1485</v>
      </c>
      <c r="D135" s="246">
        <v>1</v>
      </c>
      <c r="E135" s="246">
        <v>2</v>
      </c>
      <c r="F135" s="246">
        <v>3</v>
      </c>
      <c r="G135" s="246">
        <v>5</v>
      </c>
      <c r="H135" s="246">
        <v>12</v>
      </c>
      <c r="I135" s="246">
        <v>14</v>
      </c>
      <c r="J135" s="246"/>
      <c r="K135" s="246"/>
      <c r="L135" s="246"/>
      <c r="M135" s="246"/>
      <c r="N135" s="246"/>
      <c r="O135" s="246"/>
      <c r="P135" s="246"/>
      <c r="Q135" s="246"/>
      <c r="R135" s="246">
        <f>IFERROR(VLOOKUP(D135,PROGRAMAS[],2,FALSE),0)</f>
        <v>97037803.679377079</v>
      </c>
      <c r="S135" s="246">
        <f>IFERROR(VLOOKUP(E135,PROGRAMAS[],2,FALSE),0)</f>
        <v>640501509.6821388</v>
      </c>
      <c r="T135" s="246">
        <f>IFERROR(VLOOKUP(F135,PROGRAMAS[],2,FALSE),0)</f>
        <v>3062327798.1525245</v>
      </c>
      <c r="U135" s="246">
        <f>IFERROR(VLOOKUP(G135,PROGRAMAS[],2,FALSE),0)</f>
        <v>1440941976.2528784</v>
      </c>
      <c r="V135" s="246">
        <f>IFERROR(VLOOKUP(H135,PROGRAMAS[],2,FALSE),0)</f>
        <v>764796700.79905891</v>
      </c>
      <c r="W135" s="246">
        <f>IFERROR(VLOOKUP(I135,PROGRAMAS[],2,FALSE),0)</f>
        <v>54223862.645839565</v>
      </c>
      <c r="X135" s="246">
        <f>IFERROR(VLOOKUP(J135,PROGRAMAS[],2,FALSE),0)</f>
        <v>0</v>
      </c>
      <c r="Y135" s="246">
        <f>IFERROR(VLOOKUP(K135,PROGRAMAS[],2,FALSE),0)</f>
        <v>0</v>
      </c>
      <c r="Z135" s="246">
        <f>IFERROR(VLOOKUP(L135,PROGRAMAS[],2,FALSE),0)</f>
        <v>0</v>
      </c>
      <c r="AA135" s="246">
        <f>IFERROR(VLOOKUP(M135,PROGRAMAS[],2,FALSE),0)</f>
        <v>0</v>
      </c>
      <c r="AB135" s="246">
        <f>IFERROR(VLOOKUP(N135,PROGRAMAS[],2,FALSE),0)</f>
        <v>0</v>
      </c>
      <c r="AC135" s="246">
        <f>IFERROR(VLOOKUP(O135,PROGRAMAS[],2,FALSE),0)</f>
        <v>0</v>
      </c>
      <c r="AD135" s="246">
        <f>IFERROR(VLOOKUP(P135,PROGRAMAS[],2,FALSE),0)</f>
        <v>0</v>
      </c>
      <c r="AE135" s="246">
        <f>IFERROR(VLOOKUP(Q135,PROGRAMAS[],2,FALSE),0)</f>
        <v>0</v>
      </c>
      <c r="AF135" s="246">
        <f>IFERROR(VLOOKUP(D135,PROGRAMAS[],3,FALSE),0)</f>
        <v>841888629.31080008</v>
      </c>
      <c r="AG135" s="246">
        <f>IFERROR(VLOOKUP(E135,PROGRAMAS[],3,FALSE),0)</f>
        <v>3848980803.1642323</v>
      </c>
      <c r="AH135" s="246">
        <f>IFERROR(VLOOKUP(F135,PROGRAMAS[],3,FALSE),0)</f>
        <v>3394901471.387517</v>
      </c>
      <c r="AI135" s="246">
        <f>IFERROR(VLOOKUP(G135,PROGRAMAS[],3,FALSE),0)</f>
        <v>1233505101.0616004</v>
      </c>
      <c r="AJ135" s="246">
        <f>IFERROR(VLOOKUP(H135,PROGRAMAS[],3,FALSE),0)</f>
        <v>675517840.109828</v>
      </c>
      <c r="AK135" s="246">
        <f>IFERROR(VLOOKUP(I135,PROGRAMAS[],3,FALSE),0)</f>
        <v>31865326.38096505</v>
      </c>
      <c r="AL135" s="246">
        <f>IFERROR(VLOOKUP(J135,PROGRAMAS[],3,FALSE),0)</f>
        <v>0</v>
      </c>
      <c r="AM135" s="246">
        <f>IFERROR(VLOOKUP(K135,PROGRAMAS[],3,FALSE),0)</f>
        <v>0</v>
      </c>
      <c r="AN135" s="246">
        <f>IFERROR(VLOOKUP(L135,PROGRAMAS[],3,FALSE),0)</f>
        <v>0</v>
      </c>
      <c r="AO135" s="246">
        <f>IFERROR(VLOOKUP(M135,PROGRAMAS[],3,FALSE),0)</f>
        <v>0</v>
      </c>
      <c r="AP135" s="246">
        <f>IFERROR(VLOOKUP(N135,PROGRAMAS[],3,FALSE),0)</f>
        <v>0</v>
      </c>
      <c r="AQ135" s="246">
        <f>IFERROR(VLOOKUP(O135,PROGRAMAS[],3,FALSE),0)</f>
        <v>0</v>
      </c>
      <c r="AR135" s="246">
        <f>IFERROR(VLOOKUP(P135,PROGRAMAS[],3,FALSE),0)</f>
        <v>0</v>
      </c>
      <c r="AS135" s="246">
        <f>IFERROR(VLOOKUP(Q135,PROGRAMAS[],3,FALSE),0)</f>
        <v>0</v>
      </c>
      <c r="AT135" s="246">
        <f>IFERROR(VLOOKUP(D135,VOL_REC[],2,FALSE),0)</f>
        <v>0</v>
      </c>
      <c r="AU135" s="246">
        <f>IFERROR(VLOOKUP(E135,VOL_REC[],2,FALSE),0)</f>
        <v>0</v>
      </c>
      <c r="AV135" s="246">
        <f>IFERROR(VLOOKUP(F135,VOL_REC[],2,FALSE),0)</f>
        <v>11089674.200000001</v>
      </c>
      <c r="AW135" s="246">
        <f>IFERROR(VLOOKUP(G135,VOL_REC[],2,FALSE),0)</f>
        <v>4325103.1812214684</v>
      </c>
      <c r="AX135" s="246">
        <f>IFERROR(VLOOKUP(H135,VOL_REC[],2,FALSE),0)</f>
        <v>240696.79238099116</v>
      </c>
      <c r="AY135" s="246">
        <f>IFERROR(VLOOKUP(I135,VOL_REC[],2,FALSE),0)</f>
        <v>17074.045034105649</v>
      </c>
      <c r="AZ135" s="246">
        <f>IFERROR(VLOOKUP(J135,VOL_REC[],2,FALSE),0)</f>
        <v>0</v>
      </c>
      <c r="BA135" s="246">
        <f>IFERROR(VLOOKUP(K135,VOL_REC[],2,FALSE),0)</f>
        <v>0</v>
      </c>
      <c r="BB135" s="246">
        <f>IFERROR(VLOOKUP(L135,VOL_REC[],2,FALSE),0)</f>
        <v>0</v>
      </c>
      <c r="BC135" s="246">
        <f>IFERROR(VLOOKUP(M135,VOL_REC[],2,FALSE),0)</f>
        <v>0</v>
      </c>
      <c r="BD135" s="246">
        <f>IFERROR(VLOOKUP(N135,VOL_REC[],2,FALSE),0)</f>
        <v>0</v>
      </c>
      <c r="BE135" s="246">
        <f>IFERROR(VLOOKUP(O135,VOL_REC[],2,FALSE),0)</f>
        <v>0</v>
      </c>
      <c r="BF135" s="246">
        <f>IFERROR(VLOOKUP(P135,VOL_REC[],2,FALSE),0)</f>
        <v>0</v>
      </c>
      <c r="BG135" s="246">
        <f>IFERROR(VLOOKUP(Q135,VOL_REC[],2,FALSE),0)</f>
        <v>0</v>
      </c>
      <c r="BH135" s="1710">
        <f t="shared" si="8"/>
        <v>6059829651.2118177</v>
      </c>
      <c r="BI135" s="1710">
        <f t="shared" si="9"/>
        <v>10026659171.414942</v>
      </c>
      <c r="BJ135" s="1711">
        <f t="shared" si="10"/>
        <v>15672548.218636565</v>
      </c>
      <c r="BK135" s="1711">
        <f t="shared" si="11"/>
        <v>0.60437176008613314</v>
      </c>
    </row>
    <row r="136" spans="3:67" x14ac:dyDescent="0.25">
      <c r="C136" s="246" t="s">
        <v>1486</v>
      </c>
      <c r="D136" s="246">
        <v>1</v>
      </c>
      <c r="E136" s="246">
        <v>2</v>
      </c>
      <c r="F136" s="246">
        <v>3</v>
      </c>
      <c r="G136" s="246">
        <v>5</v>
      </c>
      <c r="H136" s="246">
        <v>12</v>
      </c>
      <c r="I136" s="246">
        <v>15</v>
      </c>
      <c r="J136" s="246"/>
      <c r="K136" s="246"/>
      <c r="L136" s="246"/>
      <c r="M136" s="246"/>
      <c r="N136" s="246"/>
      <c r="O136" s="246"/>
      <c r="P136" s="246"/>
      <c r="Q136" s="246"/>
      <c r="R136" s="246">
        <f>IFERROR(VLOOKUP(D136,PROGRAMAS[],2,FALSE),0)</f>
        <v>97037803.679377079</v>
      </c>
      <c r="S136" s="246">
        <f>IFERROR(VLOOKUP(E136,PROGRAMAS[],2,FALSE),0)</f>
        <v>640501509.6821388</v>
      </c>
      <c r="T136" s="246">
        <f>IFERROR(VLOOKUP(F136,PROGRAMAS[],2,FALSE),0)</f>
        <v>3062327798.1525245</v>
      </c>
      <c r="U136" s="246">
        <f>IFERROR(VLOOKUP(G136,PROGRAMAS[],2,FALSE),0)</f>
        <v>1440941976.2528784</v>
      </c>
      <c r="V136" s="246">
        <f>IFERROR(VLOOKUP(H136,PROGRAMAS[],2,FALSE),0)</f>
        <v>764796700.79905891</v>
      </c>
      <c r="W136" s="246">
        <f>IFERROR(VLOOKUP(I136,PROGRAMAS[],2,FALSE),0)</f>
        <v>122159672.96346797</v>
      </c>
      <c r="X136" s="246">
        <f>IFERROR(VLOOKUP(J136,PROGRAMAS[],2,FALSE),0)</f>
        <v>0</v>
      </c>
      <c r="Y136" s="246">
        <f>IFERROR(VLOOKUP(K136,PROGRAMAS[],2,FALSE),0)</f>
        <v>0</v>
      </c>
      <c r="Z136" s="246">
        <f>IFERROR(VLOOKUP(L136,PROGRAMAS[],2,FALSE),0)</f>
        <v>0</v>
      </c>
      <c r="AA136" s="246">
        <f>IFERROR(VLOOKUP(M136,PROGRAMAS[],2,FALSE),0)</f>
        <v>0</v>
      </c>
      <c r="AB136" s="246">
        <f>IFERROR(VLOOKUP(N136,PROGRAMAS[],2,FALSE),0)</f>
        <v>0</v>
      </c>
      <c r="AC136" s="246">
        <f>IFERROR(VLOOKUP(O136,PROGRAMAS[],2,FALSE),0)</f>
        <v>0</v>
      </c>
      <c r="AD136" s="246">
        <f>IFERROR(VLOOKUP(P136,PROGRAMAS[],2,FALSE),0)</f>
        <v>0</v>
      </c>
      <c r="AE136" s="246">
        <f>IFERROR(VLOOKUP(Q136,PROGRAMAS[],2,FALSE),0)</f>
        <v>0</v>
      </c>
      <c r="AF136" s="246">
        <f>IFERROR(VLOOKUP(D136,PROGRAMAS[],3,FALSE),0)</f>
        <v>841888629.31080008</v>
      </c>
      <c r="AG136" s="246">
        <f>IFERROR(VLOOKUP(E136,PROGRAMAS[],3,FALSE),0)</f>
        <v>3848980803.1642323</v>
      </c>
      <c r="AH136" s="246">
        <f>IFERROR(VLOOKUP(F136,PROGRAMAS[],3,FALSE),0)</f>
        <v>3394901471.387517</v>
      </c>
      <c r="AI136" s="246">
        <f>IFERROR(VLOOKUP(G136,PROGRAMAS[],3,FALSE),0)</f>
        <v>1233505101.0616004</v>
      </c>
      <c r="AJ136" s="246">
        <f>IFERROR(VLOOKUP(H136,PROGRAMAS[],3,FALSE),0)</f>
        <v>675517840.109828</v>
      </c>
      <c r="AK136" s="246">
        <f>IFERROR(VLOOKUP(I136,PROGRAMAS[],3,FALSE),0)</f>
        <v>118617452.52510804</v>
      </c>
      <c r="AL136" s="246">
        <f>IFERROR(VLOOKUP(J136,PROGRAMAS[],3,FALSE),0)</f>
        <v>0</v>
      </c>
      <c r="AM136" s="246">
        <f>IFERROR(VLOOKUP(K136,PROGRAMAS[],3,FALSE),0)</f>
        <v>0</v>
      </c>
      <c r="AN136" s="246">
        <f>IFERROR(VLOOKUP(L136,PROGRAMAS[],3,FALSE),0)</f>
        <v>0</v>
      </c>
      <c r="AO136" s="246">
        <f>IFERROR(VLOOKUP(M136,PROGRAMAS[],3,FALSE),0)</f>
        <v>0</v>
      </c>
      <c r="AP136" s="246">
        <f>IFERROR(VLOOKUP(N136,PROGRAMAS[],3,FALSE),0)</f>
        <v>0</v>
      </c>
      <c r="AQ136" s="246">
        <f>IFERROR(VLOOKUP(O136,PROGRAMAS[],3,FALSE),0)</f>
        <v>0</v>
      </c>
      <c r="AR136" s="246">
        <f>IFERROR(VLOOKUP(P136,PROGRAMAS[],3,FALSE),0)</f>
        <v>0</v>
      </c>
      <c r="AS136" s="246">
        <f>IFERROR(VLOOKUP(Q136,PROGRAMAS[],3,FALSE),0)</f>
        <v>0</v>
      </c>
      <c r="AT136" s="246">
        <f>IFERROR(VLOOKUP(D136,VOL_REC[],2,FALSE),0)</f>
        <v>0</v>
      </c>
      <c r="AU136" s="246">
        <f>IFERROR(VLOOKUP(E136,VOL_REC[],2,FALSE),0)</f>
        <v>0</v>
      </c>
      <c r="AV136" s="246">
        <f>IFERROR(VLOOKUP(F136,VOL_REC[],2,FALSE),0)</f>
        <v>11089674.200000001</v>
      </c>
      <c r="AW136" s="246">
        <f>IFERROR(VLOOKUP(G136,VOL_REC[],2,FALSE),0)</f>
        <v>4325103.1812214684</v>
      </c>
      <c r="AX136" s="246">
        <f>IFERROR(VLOOKUP(H136,VOL_REC[],2,FALSE),0)</f>
        <v>240696.79238099116</v>
      </c>
      <c r="AY136" s="246">
        <f>IFERROR(VLOOKUP(I136,VOL_REC[],2,FALSE),0)</f>
        <v>105072</v>
      </c>
      <c r="AZ136" s="246">
        <f>IFERROR(VLOOKUP(J136,VOL_REC[],2,FALSE),0)</f>
        <v>0</v>
      </c>
      <c r="BA136" s="246">
        <f>IFERROR(VLOOKUP(K136,VOL_REC[],2,FALSE),0)</f>
        <v>0</v>
      </c>
      <c r="BB136" s="246">
        <f>IFERROR(VLOOKUP(L136,VOL_REC[],2,FALSE),0)</f>
        <v>0</v>
      </c>
      <c r="BC136" s="246">
        <f>IFERROR(VLOOKUP(M136,VOL_REC[],2,FALSE),0)</f>
        <v>0</v>
      </c>
      <c r="BD136" s="246">
        <f>IFERROR(VLOOKUP(N136,VOL_REC[],2,FALSE),0)</f>
        <v>0</v>
      </c>
      <c r="BE136" s="246">
        <f>IFERROR(VLOOKUP(O136,VOL_REC[],2,FALSE),0)</f>
        <v>0</v>
      </c>
      <c r="BF136" s="246">
        <f>IFERROR(VLOOKUP(P136,VOL_REC[],2,FALSE),0)</f>
        <v>0</v>
      </c>
      <c r="BG136" s="246">
        <f>IFERROR(VLOOKUP(Q136,VOL_REC[],2,FALSE),0)</f>
        <v>0</v>
      </c>
      <c r="BH136" s="1710">
        <f t="shared" si="8"/>
        <v>6127765461.5294456</v>
      </c>
      <c r="BI136" s="1710">
        <f t="shared" si="9"/>
        <v>10113411297.559086</v>
      </c>
      <c r="BJ136" s="1711">
        <f t="shared" si="10"/>
        <v>15760546.17360246</v>
      </c>
      <c r="BK136" s="1711">
        <f t="shared" si="11"/>
        <v>0.60590490006160502</v>
      </c>
    </row>
    <row r="137" spans="3:67" x14ac:dyDescent="0.25">
      <c r="C137" s="246" t="s">
        <v>1487</v>
      </c>
      <c r="D137" s="246">
        <v>1</v>
      </c>
      <c r="E137" s="246">
        <v>2</v>
      </c>
      <c r="F137" s="246">
        <v>3</v>
      </c>
      <c r="G137" s="246">
        <v>5</v>
      </c>
      <c r="H137" s="246">
        <v>12</v>
      </c>
      <c r="I137" s="246">
        <v>16</v>
      </c>
      <c r="J137" s="246"/>
      <c r="K137" s="246"/>
      <c r="L137" s="246"/>
      <c r="M137" s="246"/>
      <c r="N137" s="246"/>
      <c r="O137" s="246"/>
      <c r="P137" s="246"/>
      <c r="Q137" s="246"/>
      <c r="R137" s="246">
        <f>IFERROR(VLOOKUP(D137,PROGRAMAS[],2,FALSE),0)</f>
        <v>97037803.679377079</v>
      </c>
      <c r="S137" s="246">
        <f>IFERROR(VLOOKUP(E137,PROGRAMAS[],2,FALSE),0)</f>
        <v>640501509.6821388</v>
      </c>
      <c r="T137" s="246">
        <f>IFERROR(VLOOKUP(F137,PROGRAMAS[],2,FALSE),0)</f>
        <v>3062327798.1525245</v>
      </c>
      <c r="U137" s="246">
        <f>IFERROR(VLOOKUP(G137,PROGRAMAS[],2,FALSE),0)</f>
        <v>1440941976.2528784</v>
      </c>
      <c r="V137" s="246">
        <f>IFERROR(VLOOKUP(H137,PROGRAMAS[],2,FALSE),0)</f>
        <v>764796700.79905891</v>
      </c>
      <c r="W137" s="246">
        <f>IFERROR(VLOOKUP(I137,PROGRAMAS[],2,FALSE),0)</f>
        <v>7068496961.0436354</v>
      </c>
      <c r="X137" s="246">
        <f>IFERROR(VLOOKUP(J137,PROGRAMAS[],2,FALSE),0)</f>
        <v>0</v>
      </c>
      <c r="Y137" s="246">
        <f>IFERROR(VLOOKUP(K137,PROGRAMAS[],2,FALSE),0)</f>
        <v>0</v>
      </c>
      <c r="Z137" s="246">
        <f>IFERROR(VLOOKUP(L137,PROGRAMAS[],2,FALSE),0)</f>
        <v>0</v>
      </c>
      <c r="AA137" s="246">
        <f>IFERROR(VLOOKUP(M137,PROGRAMAS[],2,FALSE),0)</f>
        <v>0</v>
      </c>
      <c r="AB137" s="246">
        <f>IFERROR(VLOOKUP(N137,PROGRAMAS[],2,FALSE),0)</f>
        <v>0</v>
      </c>
      <c r="AC137" s="246">
        <f>IFERROR(VLOOKUP(O137,PROGRAMAS[],2,FALSE),0)</f>
        <v>0</v>
      </c>
      <c r="AD137" s="246">
        <f>IFERROR(VLOOKUP(P137,PROGRAMAS[],2,FALSE),0)</f>
        <v>0</v>
      </c>
      <c r="AE137" s="246">
        <f>IFERROR(VLOOKUP(Q137,PROGRAMAS[],2,FALSE),0)</f>
        <v>0</v>
      </c>
      <c r="AF137" s="246">
        <f>IFERROR(VLOOKUP(D137,PROGRAMAS[],3,FALSE),0)</f>
        <v>841888629.31080008</v>
      </c>
      <c r="AG137" s="246">
        <f>IFERROR(VLOOKUP(E137,PROGRAMAS[],3,FALSE),0)</f>
        <v>3848980803.1642323</v>
      </c>
      <c r="AH137" s="246">
        <f>IFERROR(VLOOKUP(F137,PROGRAMAS[],3,FALSE),0)</f>
        <v>3394901471.387517</v>
      </c>
      <c r="AI137" s="246">
        <f>IFERROR(VLOOKUP(G137,PROGRAMAS[],3,FALSE),0)</f>
        <v>1233505101.0616004</v>
      </c>
      <c r="AJ137" s="246">
        <f>IFERROR(VLOOKUP(H137,PROGRAMAS[],3,FALSE),0)</f>
        <v>675517840.109828</v>
      </c>
      <c r="AK137" s="246">
        <f>IFERROR(VLOOKUP(I137,PROGRAMAS[],3,FALSE),0)</f>
        <v>2406564599.0319901</v>
      </c>
      <c r="AL137" s="246">
        <f>IFERROR(VLOOKUP(J137,PROGRAMAS[],3,FALSE),0)</f>
        <v>0</v>
      </c>
      <c r="AM137" s="246">
        <f>IFERROR(VLOOKUP(K137,PROGRAMAS[],3,FALSE),0)</f>
        <v>0</v>
      </c>
      <c r="AN137" s="246">
        <f>IFERROR(VLOOKUP(L137,PROGRAMAS[],3,FALSE),0)</f>
        <v>0</v>
      </c>
      <c r="AO137" s="246">
        <f>IFERROR(VLOOKUP(M137,PROGRAMAS[],3,FALSE),0)</f>
        <v>0</v>
      </c>
      <c r="AP137" s="246">
        <f>IFERROR(VLOOKUP(N137,PROGRAMAS[],3,FALSE),0)</f>
        <v>0</v>
      </c>
      <c r="AQ137" s="246">
        <f>IFERROR(VLOOKUP(O137,PROGRAMAS[],3,FALSE),0)</f>
        <v>0</v>
      </c>
      <c r="AR137" s="246">
        <f>IFERROR(VLOOKUP(P137,PROGRAMAS[],3,FALSE),0)</f>
        <v>0</v>
      </c>
      <c r="AS137" s="246">
        <f>IFERROR(VLOOKUP(Q137,PROGRAMAS[],3,FALSE),0)</f>
        <v>0</v>
      </c>
      <c r="AT137" s="246">
        <f>IFERROR(VLOOKUP(D137,VOL_REC[],2,FALSE),0)</f>
        <v>0</v>
      </c>
      <c r="AU137" s="246">
        <f>IFERROR(VLOOKUP(E137,VOL_REC[],2,FALSE),0)</f>
        <v>0</v>
      </c>
      <c r="AV137" s="246">
        <f>IFERROR(VLOOKUP(F137,VOL_REC[],2,FALSE),0)</f>
        <v>11089674.200000001</v>
      </c>
      <c r="AW137" s="246">
        <f>IFERROR(VLOOKUP(G137,VOL_REC[],2,FALSE),0)</f>
        <v>4325103.1812214684</v>
      </c>
      <c r="AX137" s="246">
        <f>IFERROR(VLOOKUP(H137,VOL_REC[],2,FALSE),0)</f>
        <v>240696.79238099116</v>
      </c>
      <c r="AY137" s="246">
        <f>IFERROR(VLOOKUP(I137,VOL_REC[],2,FALSE),0)</f>
        <v>1072354.9981737854</v>
      </c>
      <c r="AZ137" s="246">
        <f>IFERROR(VLOOKUP(J137,VOL_REC[],2,FALSE),0)</f>
        <v>0</v>
      </c>
      <c r="BA137" s="246">
        <f>IFERROR(VLOOKUP(K137,VOL_REC[],2,FALSE),0)</f>
        <v>0</v>
      </c>
      <c r="BB137" s="246">
        <f>IFERROR(VLOOKUP(L137,VOL_REC[],2,FALSE),0)</f>
        <v>0</v>
      </c>
      <c r="BC137" s="246">
        <f>IFERROR(VLOOKUP(M137,VOL_REC[],2,FALSE),0)</f>
        <v>0</v>
      </c>
      <c r="BD137" s="246">
        <f>IFERROR(VLOOKUP(N137,VOL_REC[],2,FALSE),0)</f>
        <v>0</v>
      </c>
      <c r="BE137" s="246">
        <f>IFERROR(VLOOKUP(O137,VOL_REC[],2,FALSE),0)</f>
        <v>0</v>
      </c>
      <c r="BF137" s="246">
        <f>IFERROR(VLOOKUP(P137,VOL_REC[],2,FALSE),0)</f>
        <v>0</v>
      </c>
      <c r="BG137" s="246">
        <f>IFERROR(VLOOKUP(Q137,VOL_REC[],2,FALSE),0)</f>
        <v>0</v>
      </c>
      <c r="BH137" s="1710">
        <f t="shared" si="8"/>
        <v>13074102749.609613</v>
      </c>
      <c r="BI137" s="1710">
        <f t="shared" si="9"/>
        <v>12401358444.065968</v>
      </c>
      <c r="BJ137" s="1711">
        <f t="shared" si="10"/>
        <v>16727829.171776246</v>
      </c>
      <c r="BK137" s="1711">
        <f t="shared" si="11"/>
        <v>1.0542476300945525</v>
      </c>
      <c r="BL137">
        <f>BJ137</f>
        <v>16727829.171776246</v>
      </c>
      <c r="BO137">
        <f>BL137</f>
        <v>16727829.171776246</v>
      </c>
    </row>
    <row r="138" spans="3:67" x14ac:dyDescent="0.25">
      <c r="C138" s="246" t="s">
        <v>1488</v>
      </c>
      <c r="D138" s="246">
        <v>1</v>
      </c>
      <c r="E138" s="246">
        <v>2</v>
      </c>
      <c r="F138" s="246">
        <v>3</v>
      </c>
      <c r="G138" s="246">
        <v>5</v>
      </c>
      <c r="H138" s="246">
        <v>12</v>
      </c>
      <c r="I138" s="246">
        <v>17</v>
      </c>
      <c r="J138" s="246"/>
      <c r="K138" s="246"/>
      <c r="L138" s="246"/>
      <c r="M138" s="246"/>
      <c r="N138" s="246"/>
      <c r="O138" s="246"/>
      <c r="P138" s="246"/>
      <c r="Q138" s="246"/>
      <c r="R138" s="246">
        <f>IFERROR(VLOOKUP(D138,PROGRAMAS[],2,FALSE),0)</f>
        <v>97037803.679377079</v>
      </c>
      <c r="S138" s="246">
        <f>IFERROR(VLOOKUP(E138,PROGRAMAS[],2,FALSE),0)</f>
        <v>640501509.6821388</v>
      </c>
      <c r="T138" s="246">
        <f>IFERROR(VLOOKUP(F138,PROGRAMAS[],2,FALSE),0)</f>
        <v>3062327798.1525245</v>
      </c>
      <c r="U138" s="246">
        <f>IFERROR(VLOOKUP(G138,PROGRAMAS[],2,FALSE),0)</f>
        <v>1440941976.2528784</v>
      </c>
      <c r="V138" s="246">
        <f>IFERROR(VLOOKUP(H138,PROGRAMAS[],2,FALSE),0)</f>
        <v>764796700.79905891</v>
      </c>
      <c r="W138" s="246">
        <f>IFERROR(VLOOKUP(I138,PROGRAMAS[],2,FALSE),0)</f>
        <v>1892779498.5211046</v>
      </c>
      <c r="X138" s="246">
        <f>IFERROR(VLOOKUP(J138,PROGRAMAS[],2,FALSE),0)</f>
        <v>0</v>
      </c>
      <c r="Y138" s="246">
        <f>IFERROR(VLOOKUP(K138,PROGRAMAS[],2,FALSE),0)</f>
        <v>0</v>
      </c>
      <c r="Z138" s="246">
        <f>IFERROR(VLOOKUP(L138,PROGRAMAS[],2,FALSE),0)</f>
        <v>0</v>
      </c>
      <c r="AA138" s="246">
        <f>IFERROR(VLOOKUP(M138,PROGRAMAS[],2,FALSE),0)</f>
        <v>0</v>
      </c>
      <c r="AB138" s="246">
        <f>IFERROR(VLOOKUP(N138,PROGRAMAS[],2,FALSE),0)</f>
        <v>0</v>
      </c>
      <c r="AC138" s="246">
        <f>IFERROR(VLOOKUP(O138,PROGRAMAS[],2,FALSE),0)</f>
        <v>0</v>
      </c>
      <c r="AD138" s="246">
        <f>IFERROR(VLOOKUP(P138,PROGRAMAS[],2,FALSE),0)</f>
        <v>0</v>
      </c>
      <c r="AE138" s="246">
        <f>IFERROR(VLOOKUP(Q138,PROGRAMAS[],2,FALSE),0)</f>
        <v>0</v>
      </c>
      <c r="AF138" s="246">
        <f>IFERROR(VLOOKUP(D138,PROGRAMAS[],3,FALSE),0)</f>
        <v>841888629.31080008</v>
      </c>
      <c r="AG138" s="246">
        <f>IFERROR(VLOOKUP(E138,PROGRAMAS[],3,FALSE),0)</f>
        <v>3848980803.1642323</v>
      </c>
      <c r="AH138" s="246">
        <f>IFERROR(VLOOKUP(F138,PROGRAMAS[],3,FALSE),0)</f>
        <v>3394901471.387517</v>
      </c>
      <c r="AI138" s="246">
        <f>IFERROR(VLOOKUP(G138,PROGRAMAS[],3,FALSE),0)</f>
        <v>1233505101.0616004</v>
      </c>
      <c r="AJ138" s="246">
        <f>IFERROR(VLOOKUP(H138,PROGRAMAS[],3,FALSE),0)</f>
        <v>675517840.109828</v>
      </c>
      <c r="AK138" s="246">
        <f>IFERROR(VLOOKUP(I138,PROGRAMAS[],3,FALSE),0)</f>
        <v>948595847.09039903</v>
      </c>
      <c r="AL138" s="246">
        <f>IFERROR(VLOOKUP(J138,PROGRAMAS[],3,FALSE),0)</f>
        <v>0</v>
      </c>
      <c r="AM138" s="246">
        <f>IFERROR(VLOOKUP(K138,PROGRAMAS[],3,FALSE),0)</f>
        <v>0</v>
      </c>
      <c r="AN138" s="246">
        <f>IFERROR(VLOOKUP(L138,PROGRAMAS[],3,FALSE),0)</f>
        <v>0</v>
      </c>
      <c r="AO138" s="246">
        <f>IFERROR(VLOOKUP(M138,PROGRAMAS[],3,FALSE),0)</f>
        <v>0</v>
      </c>
      <c r="AP138" s="246">
        <f>IFERROR(VLOOKUP(N138,PROGRAMAS[],3,FALSE),0)</f>
        <v>0</v>
      </c>
      <c r="AQ138" s="246">
        <f>IFERROR(VLOOKUP(O138,PROGRAMAS[],3,FALSE),0)</f>
        <v>0</v>
      </c>
      <c r="AR138" s="246">
        <f>IFERROR(VLOOKUP(P138,PROGRAMAS[],3,FALSE),0)</f>
        <v>0</v>
      </c>
      <c r="AS138" s="246">
        <f>IFERROR(VLOOKUP(Q138,PROGRAMAS[],3,FALSE),0)</f>
        <v>0</v>
      </c>
      <c r="AT138" s="246">
        <f>IFERROR(VLOOKUP(D138,VOL_REC[],2,FALSE),0)</f>
        <v>0</v>
      </c>
      <c r="AU138" s="246">
        <f>IFERROR(VLOOKUP(E138,VOL_REC[],2,FALSE),0)</f>
        <v>0</v>
      </c>
      <c r="AV138" s="246">
        <f>IFERROR(VLOOKUP(F138,VOL_REC[],2,FALSE),0)</f>
        <v>11089674.200000001</v>
      </c>
      <c r="AW138" s="246">
        <f>IFERROR(VLOOKUP(G138,VOL_REC[],2,FALSE),0)</f>
        <v>4325103.1812214684</v>
      </c>
      <c r="AX138" s="246">
        <f>IFERROR(VLOOKUP(H138,VOL_REC[],2,FALSE),0)</f>
        <v>240696.79238099116</v>
      </c>
      <c r="AY138" s="246">
        <f>IFERROR(VLOOKUP(I138,VOL_REC[],2,FALSE),0)</f>
        <v>740113.98115702497</v>
      </c>
      <c r="AZ138" s="246">
        <f>IFERROR(VLOOKUP(J138,VOL_REC[],2,FALSE),0)</f>
        <v>0</v>
      </c>
      <c r="BA138" s="246">
        <f>IFERROR(VLOOKUP(K138,VOL_REC[],2,FALSE),0)</f>
        <v>0</v>
      </c>
      <c r="BB138" s="246">
        <f>IFERROR(VLOOKUP(L138,VOL_REC[],2,FALSE),0)</f>
        <v>0</v>
      </c>
      <c r="BC138" s="246">
        <f>IFERROR(VLOOKUP(M138,VOL_REC[],2,FALSE),0)</f>
        <v>0</v>
      </c>
      <c r="BD138" s="246">
        <f>IFERROR(VLOOKUP(N138,VOL_REC[],2,FALSE),0)</f>
        <v>0</v>
      </c>
      <c r="BE138" s="246">
        <f>IFERROR(VLOOKUP(O138,VOL_REC[],2,FALSE),0)</f>
        <v>0</v>
      </c>
      <c r="BF138" s="246">
        <f>IFERROR(VLOOKUP(P138,VOL_REC[],2,FALSE),0)</f>
        <v>0</v>
      </c>
      <c r="BG138" s="246">
        <f>IFERROR(VLOOKUP(Q138,VOL_REC[],2,FALSE),0)</f>
        <v>0</v>
      </c>
      <c r="BH138" s="1710">
        <f t="shared" si="8"/>
        <v>7898385287.0870829</v>
      </c>
      <c r="BI138" s="1710">
        <f t="shared" si="9"/>
        <v>10943389692.124376</v>
      </c>
      <c r="BJ138" s="1711">
        <f t="shared" si="10"/>
        <v>16395588.154759485</v>
      </c>
      <c r="BK138" s="1711">
        <f t="shared" si="11"/>
        <v>0.7217494313275995</v>
      </c>
    </row>
    <row r="139" spans="3:67" x14ac:dyDescent="0.25">
      <c r="C139" s="246" t="s">
        <v>1489</v>
      </c>
      <c r="D139" s="246">
        <v>1</v>
      </c>
      <c r="E139" s="246">
        <v>2</v>
      </c>
      <c r="F139" s="246">
        <v>3</v>
      </c>
      <c r="G139" s="246">
        <v>5</v>
      </c>
      <c r="H139" s="246">
        <v>13</v>
      </c>
      <c r="I139" s="246">
        <v>14</v>
      </c>
      <c r="J139" s="246"/>
      <c r="K139" s="246"/>
      <c r="L139" s="246"/>
      <c r="M139" s="246"/>
      <c r="N139" s="246"/>
      <c r="O139" s="246"/>
      <c r="P139" s="246"/>
      <c r="Q139" s="246"/>
      <c r="R139" s="246">
        <f>IFERROR(VLOOKUP(D139,PROGRAMAS[],2,FALSE),0)</f>
        <v>97037803.679377079</v>
      </c>
      <c r="S139" s="246">
        <f>IFERROR(VLOOKUP(E139,PROGRAMAS[],2,FALSE),0)</f>
        <v>640501509.6821388</v>
      </c>
      <c r="T139" s="246">
        <f>IFERROR(VLOOKUP(F139,PROGRAMAS[],2,FALSE),0)</f>
        <v>3062327798.1525245</v>
      </c>
      <c r="U139" s="246">
        <f>IFERROR(VLOOKUP(G139,PROGRAMAS[],2,FALSE),0)</f>
        <v>1440941976.2528784</v>
      </c>
      <c r="V139" s="246">
        <f>IFERROR(VLOOKUP(H139,PROGRAMAS[],2,FALSE),0)</f>
        <v>3776538594.4604583</v>
      </c>
      <c r="W139" s="246">
        <f>IFERROR(VLOOKUP(I139,PROGRAMAS[],2,FALSE),0)</f>
        <v>54223862.645839565</v>
      </c>
      <c r="X139" s="246">
        <f>IFERROR(VLOOKUP(J139,PROGRAMAS[],2,FALSE),0)</f>
        <v>0</v>
      </c>
      <c r="Y139" s="246">
        <f>IFERROR(VLOOKUP(K139,PROGRAMAS[],2,FALSE),0)</f>
        <v>0</v>
      </c>
      <c r="Z139" s="246">
        <f>IFERROR(VLOOKUP(L139,PROGRAMAS[],2,FALSE),0)</f>
        <v>0</v>
      </c>
      <c r="AA139" s="246">
        <f>IFERROR(VLOOKUP(M139,PROGRAMAS[],2,FALSE),0)</f>
        <v>0</v>
      </c>
      <c r="AB139" s="246">
        <f>IFERROR(VLOOKUP(N139,PROGRAMAS[],2,FALSE),0)</f>
        <v>0</v>
      </c>
      <c r="AC139" s="246">
        <f>IFERROR(VLOOKUP(O139,PROGRAMAS[],2,FALSE),0)</f>
        <v>0</v>
      </c>
      <c r="AD139" s="246">
        <f>IFERROR(VLOOKUP(P139,PROGRAMAS[],2,FALSE),0)</f>
        <v>0</v>
      </c>
      <c r="AE139" s="246">
        <f>IFERROR(VLOOKUP(Q139,PROGRAMAS[],2,FALSE),0)</f>
        <v>0</v>
      </c>
      <c r="AF139" s="246">
        <f>IFERROR(VLOOKUP(D139,PROGRAMAS[],3,FALSE),0)</f>
        <v>841888629.31080008</v>
      </c>
      <c r="AG139" s="246">
        <f>IFERROR(VLOOKUP(E139,PROGRAMAS[],3,FALSE),0)</f>
        <v>3848980803.1642323</v>
      </c>
      <c r="AH139" s="246">
        <f>IFERROR(VLOOKUP(F139,PROGRAMAS[],3,FALSE),0)</f>
        <v>3394901471.387517</v>
      </c>
      <c r="AI139" s="246">
        <f>IFERROR(VLOOKUP(G139,PROGRAMAS[],3,FALSE),0)</f>
        <v>1233505101.0616004</v>
      </c>
      <c r="AJ139" s="246">
        <f>IFERROR(VLOOKUP(H139,PROGRAMAS[],3,FALSE),0)</f>
        <v>2392571243.5584412</v>
      </c>
      <c r="AK139" s="246">
        <f>IFERROR(VLOOKUP(I139,PROGRAMAS[],3,FALSE),0)</f>
        <v>31865326.38096505</v>
      </c>
      <c r="AL139" s="246">
        <f>IFERROR(VLOOKUP(J139,PROGRAMAS[],3,FALSE),0)</f>
        <v>0</v>
      </c>
      <c r="AM139" s="246">
        <f>IFERROR(VLOOKUP(K139,PROGRAMAS[],3,FALSE),0)</f>
        <v>0</v>
      </c>
      <c r="AN139" s="246">
        <f>IFERROR(VLOOKUP(L139,PROGRAMAS[],3,FALSE),0)</f>
        <v>0</v>
      </c>
      <c r="AO139" s="246">
        <f>IFERROR(VLOOKUP(M139,PROGRAMAS[],3,FALSE),0)</f>
        <v>0</v>
      </c>
      <c r="AP139" s="246">
        <f>IFERROR(VLOOKUP(N139,PROGRAMAS[],3,FALSE),0)</f>
        <v>0</v>
      </c>
      <c r="AQ139" s="246">
        <f>IFERROR(VLOOKUP(O139,PROGRAMAS[],3,FALSE),0)</f>
        <v>0</v>
      </c>
      <c r="AR139" s="246">
        <f>IFERROR(VLOOKUP(P139,PROGRAMAS[],3,FALSE),0)</f>
        <v>0</v>
      </c>
      <c r="AS139" s="246">
        <f>IFERROR(VLOOKUP(Q139,PROGRAMAS[],3,FALSE),0)</f>
        <v>0</v>
      </c>
      <c r="AT139" s="246">
        <f>IFERROR(VLOOKUP(D139,VOL_REC[],2,FALSE),0)</f>
        <v>0</v>
      </c>
      <c r="AU139" s="246">
        <f>IFERROR(VLOOKUP(E139,VOL_REC[],2,FALSE),0)</f>
        <v>0</v>
      </c>
      <c r="AV139" s="246">
        <f>IFERROR(VLOOKUP(F139,VOL_REC[],2,FALSE),0)</f>
        <v>11089674.200000001</v>
      </c>
      <c r="AW139" s="246">
        <f>IFERROR(VLOOKUP(G139,VOL_REC[],2,FALSE),0)</f>
        <v>4325103.1812214684</v>
      </c>
      <c r="AX139" s="246">
        <f>IFERROR(VLOOKUP(H139,VOL_REC[],2,FALSE),0)</f>
        <v>663244.80000000016</v>
      </c>
      <c r="AY139" s="246">
        <f>IFERROR(VLOOKUP(I139,VOL_REC[],2,FALSE),0)</f>
        <v>17074.045034105649</v>
      </c>
      <c r="AZ139" s="246">
        <f>IFERROR(VLOOKUP(J139,VOL_REC[],2,FALSE),0)</f>
        <v>0</v>
      </c>
      <c r="BA139" s="246">
        <f>IFERROR(VLOOKUP(K139,VOL_REC[],2,FALSE),0)</f>
        <v>0</v>
      </c>
      <c r="BB139" s="246">
        <f>IFERROR(VLOOKUP(L139,VOL_REC[],2,FALSE),0)</f>
        <v>0</v>
      </c>
      <c r="BC139" s="246">
        <f>IFERROR(VLOOKUP(M139,VOL_REC[],2,FALSE),0)</f>
        <v>0</v>
      </c>
      <c r="BD139" s="246">
        <f>IFERROR(VLOOKUP(N139,VOL_REC[],2,FALSE),0)</f>
        <v>0</v>
      </c>
      <c r="BE139" s="246">
        <f>IFERROR(VLOOKUP(O139,VOL_REC[],2,FALSE),0)</f>
        <v>0</v>
      </c>
      <c r="BF139" s="246">
        <f>IFERROR(VLOOKUP(P139,VOL_REC[],2,FALSE),0)</f>
        <v>0</v>
      </c>
      <c r="BG139" s="246">
        <f>IFERROR(VLOOKUP(Q139,VOL_REC[],2,FALSE),0)</f>
        <v>0</v>
      </c>
      <c r="BH139" s="1710">
        <f t="shared" si="8"/>
        <v>9071571544.8732166</v>
      </c>
      <c r="BI139" s="1710">
        <f t="shared" si="9"/>
        <v>11743712574.863556</v>
      </c>
      <c r="BJ139" s="1711">
        <f t="shared" si="10"/>
        <v>16095096.226255575</v>
      </c>
      <c r="BK139" s="1711">
        <f t="shared" si="11"/>
        <v>0.77246198653483433</v>
      </c>
    </row>
    <row r="140" spans="3:67" x14ac:dyDescent="0.25">
      <c r="C140" s="246" t="s">
        <v>1490</v>
      </c>
      <c r="D140" s="246">
        <v>1</v>
      </c>
      <c r="E140" s="246">
        <v>2</v>
      </c>
      <c r="F140" s="246">
        <v>3</v>
      </c>
      <c r="G140" s="246">
        <v>5</v>
      </c>
      <c r="H140" s="246">
        <v>13</v>
      </c>
      <c r="I140" s="246">
        <v>15</v>
      </c>
      <c r="J140" s="246"/>
      <c r="K140" s="246"/>
      <c r="L140" s="246"/>
      <c r="M140" s="246"/>
      <c r="N140" s="246"/>
      <c r="O140" s="246"/>
      <c r="P140" s="246"/>
      <c r="Q140" s="246"/>
      <c r="R140" s="246">
        <f>IFERROR(VLOOKUP(D140,PROGRAMAS[],2,FALSE),0)</f>
        <v>97037803.679377079</v>
      </c>
      <c r="S140" s="246">
        <f>IFERROR(VLOOKUP(E140,PROGRAMAS[],2,FALSE),0)</f>
        <v>640501509.6821388</v>
      </c>
      <c r="T140" s="246">
        <f>IFERROR(VLOOKUP(F140,PROGRAMAS[],2,FALSE),0)</f>
        <v>3062327798.1525245</v>
      </c>
      <c r="U140" s="246">
        <f>IFERROR(VLOOKUP(G140,PROGRAMAS[],2,FALSE),0)</f>
        <v>1440941976.2528784</v>
      </c>
      <c r="V140" s="246">
        <f>IFERROR(VLOOKUP(H140,PROGRAMAS[],2,FALSE),0)</f>
        <v>3776538594.4604583</v>
      </c>
      <c r="W140" s="246">
        <f>IFERROR(VLOOKUP(I140,PROGRAMAS[],2,FALSE),0)</f>
        <v>122159672.96346797</v>
      </c>
      <c r="X140" s="246">
        <f>IFERROR(VLOOKUP(J140,PROGRAMAS[],2,FALSE),0)</f>
        <v>0</v>
      </c>
      <c r="Y140" s="246">
        <f>IFERROR(VLOOKUP(K140,PROGRAMAS[],2,FALSE),0)</f>
        <v>0</v>
      </c>
      <c r="Z140" s="246">
        <f>IFERROR(VLOOKUP(L140,PROGRAMAS[],2,FALSE),0)</f>
        <v>0</v>
      </c>
      <c r="AA140" s="246">
        <f>IFERROR(VLOOKUP(M140,PROGRAMAS[],2,FALSE),0)</f>
        <v>0</v>
      </c>
      <c r="AB140" s="246">
        <f>IFERROR(VLOOKUP(N140,PROGRAMAS[],2,FALSE),0)</f>
        <v>0</v>
      </c>
      <c r="AC140" s="246">
        <f>IFERROR(VLOOKUP(O140,PROGRAMAS[],2,FALSE),0)</f>
        <v>0</v>
      </c>
      <c r="AD140" s="246">
        <f>IFERROR(VLOOKUP(P140,PROGRAMAS[],2,FALSE),0)</f>
        <v>0</v>
      </c>
      <c r="AE140" s="246">
        <f>IFERROR(VLOOKUP(Q140,PROGRAMAS[],2,FALSE),0)</f>
        <v>0</v>
      </c>
      <c r="AF140" s="246">
        <f>IFERROR(VLOOKUP(D140,PROGRAMAS[],3,FALSE),0)</f>
        <v>841888629.31080008</v>
      </c>
      <c r="AG140" s="246">
        <f>IFERROR(VLOOKUP(E140,PROGRAMAS[],3,FALSE),0)</f>
        <v>3848980803.1642323</v>
      </c>
      <c r="AH140" s="246">
        <f>IFERROR(VLOOKUP(F140,PROGRAMAS[],3,FALSE),0)</f>
        <v>3394901471.387517</v>
      </c>
      <c r="AI140" s="246">
        <f>IFERROR(VLOOKUP(G140,PROGRAMAS[],3,FALSE),0)</f>
        <v>1233505101.0616004</v>
      </c>
      <c r="AJ140" s="246">
        <f>IFERROR(VLOOKUP(H140,PROGRAMAS[],3,FALSE),0)</f>
        <v>2392571243.5584412</v>
      </c>
      <c r="AK140" s="246">
        <f>IFERROR(VLOOKUP(I140,PROGRAMAS[],3,FALSE),0)</f>
        <v>118617452.52510804</v>
      </c>
      <c r="AL140" s="246">
        <f>IFERROR(VLOOKUP(J140,PROGRAMAS[],3,FALSE),0)</f>
        <v>0</v>
      </c>
      <c r="AM140" s="246">
        <f>IFERROR(VLOOKUP(K140,PROGRAMAS[],3,FALSE),0)</f>
        <v>0</v>
      </c>
      <c r="AN140" s="246">
        <f>IFERROR(VLOOKUP(L140,PROGRAMAS[],3,FALSE),0)</f>
        <v>0</v>
      </c>
      <c r="AO140" s="246">
        <f>IFERROR(VLOOKUP(M140,PROGRAMAS[],3,FALSE),0)</f>
        <v>0</v>
      </c>
      <c r="AP140" s="246">
        <f>IFERROR(VLOOKUP(N140,PROGRAMAS[],3,FALSE),0)</f>
        <v>0</v>
      </c>
      <c r="AQ140" s="246">
        <f>IFERROR(VLOOKUP(O140,PROGRAMAS[],3,FALSE),0)</f>
        <v>0</v>
      </c>
      <c r="AR140" s="246">
        <f>IFERROR(VLOOKUP(P140,PROGRAMAS[],3,FALSE),0)</f>
        <v>0</v>
      </c>
      <c r="AS140" s="246">
        <f>IFERROR(VLOOKUP(Q140,PROGRAMAS[],3,FALSE),0)</f>
        <v>0</v>
      </c>
      <c r="AT140" s="246">
        <f>IFERROR(VLOOKUP(D140,VOL_REC[],2,FALSE),0)</f>
        <v>0</v>
      </c>
      <c r="AU140" s="246">
        <f>IFERROR(VLOOKUP(E140,VOL_REC[],2,FALSE),0)</f>
        <v>0</v>
      </c>
      <c r="AV140" s="246">
        <f>IFERROR(VLOOKUP(F140,VOL_REC[],2,FALSE),0)</f>
        <v>11089674.200000001</v>
      </c>
      <c r="AW140" s="246">
        <f>IFERROR(VLOOKUP(G140,VOL_REC[],2,FALSE),0)</f>
        <v>4325103.1812214684</v>
      </c>
      <c r="AX140" s="246">
        <f>IFERROR(VLOOKUP(H140,VOL_REC[],2,FALSE),0)</f>
        <v>663244.80000000016</v>
      </c>
      <c r="AY140" s="246">
        <f>IFERROR(VLOOKUP(I140,VOL_REC[],2,FALSE),0)</f>
        <v>105072</v>
      </c>
      <c r="AZ140" s="246">
        <f>IFERROR(VLOOKUP(J140,VOL_REC[],2,FALSE),0)</f>
        <v>0</v>
      </c>
      <c r="BA140" s="246">
        <f>IFERROR(VLOOKUP(K140,VOL_REC[],2,FALSE),0)</f>
        <v>0</v>
      </c>
      <c r="BB140" s="246">
        <f>IFERROR(VLOOKUP(L140,VOL_REC[],2,FALSE),0)</f>
        <v>0</v>
      </c>
      <c r="BC140" s="246">
        <f>IFERROR(VLOOKUP(M140,VOL_REC[],2,FALSE),0)</f>
        <v>0</v>
      </c>
      <c r="BD140" s="246">
        <f>IFERROR(VLOOKUP(N140,VOL_REC[],2,FALSE),0)</f>
        <v>0</v>
      </c>
      <c r="BE140" s="246">
        <f>IFERROR(VLOOKUP(O140,VOL_REC[],2,FALSE),0)</f>
        <v>0</v>
      </c>
      <c r="BF140" s="246">
        <f>IFERROR(VLOOKUP(P140,VOL_REC[],2,FALSE),0)</f>
        <v>0</v>
      </c>
      <c r="BG140" s="246">
        <f>IFERROR(VLOOKUP(Q140,VOL_REC[],2,FALSE),0)</f>
        <v>0</v>
      </c>
      <c r="BH140" s="1710">
        <f t="shared" si="8"/>
        <v>9139507355.1908455</v>
      </c>
      <c r="BI140" s="1710">
        <f t="shared" si="9"/>
        <v>11830464701.0077</v>
      </c>
      <c r="BJ140" s="1711">
        <f t="shared" si="10"/>
        <v>16183094.18122147</v>
      </c>
      <c r="BK140" s="1711">
        <f t="shared" si="11"/>
        <v>0.77254001310805287</v>
      </c>
    </row>
    <row r="141" spans="3:67" x14ac:dyDescent="0.25">
      <c r="C141" s="246" t="s">
        <v>1491</v>
      </c>
      <c r="D141" s="246">
        <v>1</v>
      </c>
      <c r="E141" s="246">
        <v>2</v>
      </c>
      <c r="F141" s="246">
        <v>3</v>
      </c>
      <c r="G141" s="246">
        <v>5</v>
      </c>
      <c r="H141" s="246">
        <v>13</v>
      </c>
      <c r="I141" s="246">
        <v>16</v>
      </c>
      <c r="J141" s="246"/>
      <c r="K141" s="246"/>
      <c r="L141" s="246"/>
      <c r="M141" s="246"/>
      <c r="N141" s="246"/>
      <c r="O141" s="246"/>
      <c r="P141" s="246"/>
      <c r="Q141" s="246"/>
      <c r="R141" s="246">
        <f>IFERROR(VLOOKUP(D141,PROGRAMAS[],2,FALSE),0)</f>
        <v>97037803.679377079</v>
      </c>
      <c r="S141" s="246">
        <f>IFERROR(VLOOKUP(E141,PROGRAMAS[],2,FALSE),0)</f>
        <v>640501509.6821388</v>
      </c>
      <c r="T141" s="246">
        <f>IFERROR(VLOOKUP(F141,PROGRAMAS[],2,FALSE),0)</f>
        <v>3062327798.1525245</v>
      </c>
      <c r="U141" s="246">
        <f>IFERROR(VLOOKUP(G141,PROGRAMAS[],2,FALSE),0)</f>
        <v>1440941976.2528784</v>
      </c>
      <c r="V141" s="246">
        <f>IFERROR(VLOOKUP(H141,PROGRAMAS[],2,FALSE),0)</f>
        <v>3776538594.4604583</v>
      </c>
      <c r="W141" s="246">
        <f>IFERROR(VLOOKUP(I141,PROGRAMAS[],2,FALSE),0)</f>
        <v>7068496961.0436354</v>
      </c>
      <c r="X141" s="246">
        <f>IFERROR(VLOOKUP(J141,PROGRAMAS[],2,FALSE),0)</f>
        <v>0</v>
      </c>
      <c r="Y141" s="246">
        <f>IFERROR(VLOOKUP(K141,PROGRAMAS[],2,FALSE),0)</f>
        <v>0</v>
      </c>
      <c r="Z141" s="246">
        <f>IFERROR(VLOOKUP(L141,PROGRAMAS[],2,FALSE),0)</f>
        <v>0</v>
      </c>
      <c r="AA141" s="246">
        <f>IFERROR(VLOOKUP(M141,PROGRAMAS[],2,FALSE),0)</f>
        <v>0</v>
      </c>
      <c r="AB141" s="246">
        <f>IFERROR(VLOOKUP(N141,PROGRAMAS[],2,FALSE),0)</f>
        <v>0</v>
      </c>
      <c r="AC141" s="246">
        <f>IFERROR(VLOOKUP(O141,PROGRAMAS[],2,FALSE),0)</f>
        <v>0</v>
      </c>
      <c r="AD141" s="246">
        <f>IFERROR(VLOOKUP(P141,PROGRAMAS[],2,FALSE),0)</f>
        <v>0</v>
      </c>
      <c r="AE141" s="246">
        <f>IFERROR(VLOOKUP(Q141,PROGRAMAS[],2,FALSE),0)</f>
        <v>0</v>
      </c>
      <c r="AF141" s="246">
        <f>IFERROR(VLOOKUP(D141,PROGRAMAS[],3,FALSE),0)</f>
        <v>841888629.31080008</v>
      </c>
      <c r="AG141" s="246">
        <f>IFERROR(VLOOKUP(E141,PROGRAMAS[],3,FALSE),0)</f>
        <v>3848980803.1642323</v>
      </c>
      <c r="AH141" s="246">
        <f>IFERROR(VLOOKUP(F141,PROGRAMAS[],3,FALSE),0)</f>
        <v>3394901471.387517</v>
      </c>
      <c r="AI141" s="246">
        <f>IFERROR(VLOOKUP(G141,PROGRAMAS[],3,FALSE),0)</f>
        <v>1233505101.0616004</v>
      </c>
      <c r="AJ141" s="246">
        <f>IFERROR(VLOOKUP(H141,PROGRAMAS[],3,FALSE),0)</f>
        <v>2392571243.5584412</v>
      </c>
      <c r="AK141" s="246">
        <f>IFERROR(VLOOKUP(I141,PROGRAMAS[],3,FALSE),0)</f>
        <v>2406564599.0319901</v>
      </c>
      <c r="AL141" s="246">
        <f>IFERROR(VLOOKUP(J141,PROGRAMAS[],3,FALSE),0)</f>
        <v>0</v>
      </c>
      <c r="AM141" s="246">
        <f>IFERROR(VLOOKUP(K141,PROGRAMAS[],3,FALSE),0)</f>
        <v>0</v>
      </c>
      <c r="AN141" s="246">
        <f>IFERROR(VLOOKUP(L141,PROGRAMAS[],3,FALSE),0)</f>
        <v>0</v>
      </c>
      <c r="AO141" s="246">
        <f>IFERROR(VLOOKUP(M141,PROGRAMAS[],3,FALSE),0)</f>
        <v>0</v>
      </c>
      <c r="AP141" s="246">
        <f>IFERROR(VLOOKUP(N141,PROGRAMAS[],3,FALSE),0)</f>
        <v>0</v>
      </c>
      <c r="AQ141" s="246">
        <f>IFERROR(VLOOKUP(O141,PROGRAMAS[],3,FALSE),0)</f>
        <v>0</v>
      </c>
      <c r="AR141" s="246">
        <f>IFERROR(VLOOKUP(P141,PROGRAMAS[],3,FALSE),0)</f>
        <v>0</v>
      </c>
      <c r="AS141" s="246">
        <f>IFERROR(VLOOKUP(Q141,PROGRAMAS[],3,FALSE),0)</f>
        <v>0</v>
      </c>
      <c r="AT141" s="246">
        <f>IFERROR(VLOOKUP(D141,VOL_REC[],2,FALSE),0)</f>
        <v>0</v>
      </c>
      <c r="AU141" s="246">
        <f>IFERROR(VLOOKUP(E141,VOL_REC[],2,FALSE),0)</f>
        <v>0</v>
      </c>
      <c r="AV141" s="246">
        <f>IFERROR(VLOOKUP(F141,VOL_REC[],2,FALSE),0)</f>
        <v>11089674.200000001</v>
      </c>
      <c r="AW141" s="246">
        <f>IFERROR(VLOOKUP(G141,VOL_REC[],2,FALSE),0)</f>
        <v>4325103.1812214684</v>
      </c>
      <c r="AX141" s="246">
        <f>IFERROR(VLOOKUP(H141,VOL_REC[],2,FALSE),0)</f>
        <v>663244.80000000016</v>
      </c>
      <c r="AY141" s="246">
        <f>IFERROR(VLOOKUP(I141,VOL_REC[],2,FALSE),0)</f>
        <v>1072354.9981737854</v>
      </c>
      <c r="AZ141" s="246">
        <f>IFERROR(VLOOKUP(J141,VOL_REC[],2,FALSE),0)</f>
        <v>0</v>
      </c>
      <c r="BA141" s="246">
        <f>IFERROR(VLOOKUP(K141,VOL_REC[],2,FALSE),0)</f>
        <v>0</v>
      </c>
      <c r="BB141" s="246">
        <f>IFERROR(VLOOKUP(L141,VOL_REC[],2,FALSE),0)</f>
        <v>0</v>
      </c>
      <c r="BC141" s="246">
        <f>IFERROR(VLOOKUP(M141,VOL_REC[],2,FALSE),0)</f>
        <v>0</v>
      </c>
      <c r="BD141" s="246">
        <f>IFERROR(VLOOKUP(N141,VOL_REC[],2,FALSE),0)</f>
        <v>0</v>
      </c>
      <c r="BE141" s="246">
        <f>IFERROR(VLOOKUP(O141,VOL_REC[],2,FALSE),0)</f>
        <v>0</v>
      </c>
      <c r="BF141" s="246">
        <f>IFERROR(VLOOKUP(P141,VOL_REC[],2,FALSE),0)</f>
        <v>0</v>
      </c>
      <c r="BG141" s="246">
        <f>IFERROR(VLOOKUP(Q141,VOL_REC[],2,FALSE),0)</f>
        <v>0</v>
      </c>
      <c r="BH141" s="1710">
        <f t="shared" si="8"/>
        <v>16085844643.271011</v>
      </c>
      <c r="BI141" s="1710">
        <f t="shared" si="9"/>
        <v>14118411847.514582</v>
      </c>
      <c r="BJ141" s="1711">
        <f t="shared" si="10"/>
        <v>17150377.179395255</v>
      </c>
      <c r="BK141" s="1711">
        <f t="shared" si="11"/>
        <v>1.1393522739671869</v>
      </c>
      <c r="BL141">
        <f>BJ141</f>
        <v>17150377.179395255</v>
      </c>
      <c r="BO141">
        <f>BL141</f>
        <v>17150377.179395255</v>
      </c>
    </row>
    <row r="142" spans="3:67" x14ac:dyDescent="0.25">
      <c r="C142" s="246" t="s">
        <v>1492</v>
      </c>
      <c r="D142" s="246">
        <v>1</v>
      </c>
      <c r="E142" s="246">
        <v>2</v>
      </c>
      <c r="F142" s="246">
        <v>3</v>
      </c>
      <c r="G142" s="246">
        <v>5</v>
      </c>
      <c r="H142" s="246">
        <v>13</v>
      </c>
      <c r="I142" s="246">
        <v>17</v>
      </c>
      <c r="J142" s="246"/>
      <c r="K142" s="246"/>
      <c r="L142" s="246"/>
      <c r="M142" s="246"/>
      <c r="N142" s="246"/>
      <c r="O142" s="246"/>
      <c r="P142" s="246"/>
      <c r="Q142" s="246"/>
      <c r="R142" s="246">
        <f>IFERROR(VLOOKUP(D142,PROGRAMAS[],2,FALSE),0)</f>
        <v>97037803.679377079</v>
      </c>
      <c r="S142" s="246">
        <f>IFERROR(VLOOKUP(E142,PROGRAMAS[],2,FALSE),0)</f>
        <v>640501509.6821388</v>
      </c>
      <c r="T142" s="246">
        <f>IFERROR(VLOOKUP(F142,PROGRAMAS[],2,FALSE),0)</f>
        <v>3062327798.1525245</v>
      </c>
      <c r="U142" s="246">
        <f>IFERROR(VLOOKUP(G142,PROGRAMAS[],2,FALSE),0)</f>
        <v>1440941976.2528784</v>
      </c>
      <c r="V142" s="246">
        <f>IFERROR(VLOOKUP(H142,PROGRAMAS[],2,FALSE),0)</f>
        <v>3776538594.4604583</v>
      </c>
      <c r="W142" s="246">
        <f>IFERROR(VLOOKUP(I142,PROGRAMAS[],2,FALSE),0)</f>
        <v>1892779498.5211046</v>
      </c>
      <c r="X142" s="246">
        <f>IFERROR(VLOOKUP(J142,PROGRAMAS[],2,FALSE),0)</f>
        <v>0</v>
      </c>
      <c r="Y142" s="246">
        <f>IFERROR(VLOOKUP(K142,PROGRAMAS[],2,FALSE),0)</f>
        <v>0</v>
      </c>
      <c r="Z142" s="246">
        <f>IFERROR(VLOOKUP(L142,PROGRAMAS[],2,FALSE),0)</f>
        <v>0</v>
      </c>
      <c r="AA142" s="246">
        <f>IFERROR(VLOOKUP(M142,PROGRAMAS[],2,FALSE),0)</f>
        <v>0</v>
      </c>
      <c r="AB142" s="246">
        <f>IFERROR(VLOOKUP(N142,PROGRAMAS[],2,FALSE),0)</f>
        <v>0</v>
      </c>
      <c r="AC142" s="246">
        <f>IFERROR(VLOOKUP(O142,PROGRAMAS[],2,FALSE),0)</f>
        <v>0</v>
      </c>
      <c r="AD142" s="246">
        <f>IFERROR(VLOOKUP(P142,PROGRAMAS[],2,FALSE),0)</f>
        <v>0</v>
      </c>
      <c r="AE142" s="246">
        <f>IFERROR(VLOOKUP(Q142,PROGRAMAS[],2,FALSE),0)</f>
        <v>0</v>
      </c>
      <c r="AF142" s="246">
        <f>IFERROR(VLOOKUP(D142,PROGRAMAS[],3,FALSE),0)</f>
        <v>841888629.31080008</v>
      </c>
      <c r="AG142" s="246">
        <f>IFERROR(VLOOKUP(E142,PROGRAMAS[],3,FALSE),0)</f>
        <v>3848980803.1642323</v>
      </c>
      <c r="AH142" s="246">
        <f>IFERROR(VLOOKUP(F142,PROGRAMAS[],3,FALSE),0)</f>
        <v>3394901471.387517</v>
      </c>
      <c r="AI142" s="246">
        <f>IFERROR(VLOOKUP(G142,PROGRAMAS[],3,FALSE),0)</f>
        <v>1233505101.0616004</v>
      </c>
      <c r="AJ142" s="246">
        <f>IFERROR(VLOOKUP(H142,PROGRAMAS[],3,FALSE),0)</f>
        <v>2392571243.5584412</v>
      </c>
      <c r="AK142" s="246">
        <f>IFERROR(VLOOKUP(I142,PROGRAMAS[],3,FALSE),0)</f>
        <v>948595847.09039903</v>
      </c>
      <c r="AL142" s="246">
        <f>IFERROR(VLOOKUP(J142,PROGRAMAS[],3,FALSE),0)</f>
        <v>0</v>
      </c>
      <c r="AM142" s="246">
        <f>IFERROR(VLOOKUP(K142,PROGRAMAS[],3,FALSE),0)</f>
        <v>0</v>
      </c>
      <c r="AN142" s="246">
        <f>IFERROR(VLOOKUP(L142,PROGRAMAS[],3,FALSE),0)</f>
        <v>0</v>
      </c>
      <c r="AO142" s="246">
        <f>IFERROR(VLOOKUP(M142,PROGRAMAS[],3,FALSE),0)</f>
        <v>0</v>
      </c>
      <c r="AP142" s="246">
        <f>IFERROR(VLOOKUP(N142,PROGRAMAS[],3,FALSE),0)</f>
        <v>0</v>
      </c>
      <c r="AQ142" s="246">
        <f>IFERROR(VLOOKUP(O142,PROGRAMAS[],3,FALSE),0)</f>
        <v>0</v>
      </c>
      <c r="AR142" s="246">
        <f>IFERROR(VLOOKUP(P142,PROGRAMAS[],3,FALSE),0)</f>
        <v>0</v>
      </c>
      <c r="AS142" s="246">
        <f>IFERROR(VLOOKUP(Q142,PROGRAMAS[],3,FALSE),0)</f>
        <v>0</v>
      </c>
      <c r="AT142" s="246">
        <f>IFERROR(VLOOKUP(D142,VOL_REC[],2,FALSE),0)</f>
        <v>0</v>
      </c>
      <c r="AU142" s="246">
        <f>IFERROR(VLOOKUP(E142,VOL_REC[],2,FALSE),0)</f>
        <v>0</v>
      </c>
      <c r="AV142" s="246">
        <f>IFERROR(VLOOKUP(F142,VOL_REC[],2,FALSE),0)</f>
        <v>11089674.200000001</v>
      </c>
      <c r="AW142" s="246">
        <f>IFERROR(VLOOKUP(G142,VOL_REC[],2,FALSE),0)</f>
        <v>4325103.1812214684</v>
      </c>
      <c r="AX142" s="246">
        <f>IFERROR(VLOOKUP(H142,VOL_REC[],2,FALSE),0)</f>
        <v>663244.80000000016</v>
      </c>
      <c r="AY142" s="246">
        <f>IFERROR(VLOOKUP(I142,VOL_REC[],2,FALSE),0)</f>
        <v>740113.98115702497</v>
      </c>
      <c r="AZ142" s="246">
        <f>IFERROR(VLOOKUP(J142,VOL_REC[],2,FALSE),0)</f>
        <v>0</v>
      </c>
      <c r="BA142" s="246">
        <f>IFERROR(VLOOKUP(K142,VOL_REC[],2,FALSE),0)</f>
        <v>0</v>
      </c>
      <c r="BB142" s="246">
        <f>IFERROR(VLOOKUP(L142,VOL_REC[],2,FALSE),0)</f>
        <v>0</v>
      </c>
      <c r="BC142" s="246">
        <f>IFERROR(VLOOKUP(M142,VOL_REC[],2,FALSE),0)</f>
        <v>0</v>
      </c>
      <c r="BD142" s="246">
        <f>IFERROR(VLOOKUP(N142,VOL_REC[],2,FALSE),0)</f>
        <v>0</v>
      </c>
      <c r="BE142" s="246">
        <f>IFERROR(VLOOKUP(O142,VOL_REC[],2,FALSE),0)</f>
        <v>0</v>
      </c>
      <c r="BF142" s="246">
        <f>IFERROR(VLOOKUP(P142,VOL_REC[],2,FALSE),0)</f>
        <v>0</v>
      </c>
      <c r="BG142" s="246">
        <f>IFERROR(VLOOKUP(Q142,VOL_REC[],2,FALSE),0)</f>
        <v>0</v>
      </c>
      <c r="BH142" s="1710">
        <f t="shared" si="8"/>
        <v>10910127180.748482</v>
      </c>
      <c r="BI142" s="1710">
        <f t="shared" si="9"/>
        <v>12660443095.57299</v>
      </c>
      <c r="BJ142" s="1711">
        <f t="shared" si="10"/>
        <v>16818136.162378494</v>
      </c>
      <c r="BK142" s="1711">
        <f t="shared" si="11"/>
        <v>0.86174923724142438</v>
      </c>
    </row>
    <row r="143" spans="3:67" x14ac:dyDescent="0.25">
      <c r="C143" s="246" t="s">
        <v>1493</v>
      </c>
      <c r="D143" s="246">
        <v>1</v>
      </c>
      <c r="E143" s="246">
        <v>2</v>
      </c>
      <c r="F143" s="246">
        <v>3</v>
      </c>
      <c r="G143" s="246">
        <v>5</v>
      </c>
      <c r="H143" s="246">
        <v>14</v>
      </c>
      <c r="I143" s="246">
        <v>15</v>
      </c>
      <c r="J143" s="246"/>
      <c r="K143" s="246"/>
      <c r="L143" s="246"/>
      <c r="M143" s="246"/>
      <c r="N143" s="246"/>
      <c r="O143" s="246"/>
      <c r="P143" s="246"/>
      <c r="Q143" s="246"/>
      <c r="R143" s="246">
        <f>IFERROR(VLOOKUP(D143,PROGRAMAS[],2,FALSE),0)</f>
        <v>97037803.679377079</v>
      </c>
      <c r="S143" s="246">
        <f>IFERROR(VLOOKUP(E143,PROGRAMAS[],2,FALSE),0)</f>
        <v>640501509.6821388</v>
      </c>
      <c r="T143" s="246">
        <f>IFERROR(VLOOKUP(F143,PROGRAMAS[],2,FALSE),0)</f>
        <v>3062327798.1525245</v>
      </c>
      <c r="U143" s="246">
        <f>IFERROR(VLOOKUP(G143,PROGRAMAS[],2,FALSE),0)</f>
        <v>1440941976.2528784</v>
      </c>
      <c r="V143" s="246">
        <f>IFERROR(VLOOKUP(H143,PROGRAMAS[],2,FALSE),0)</f>
        <v>54223862.645839565</v>
      </c>
      <c r="W143" s="246">
        <f>IFERROR(VLOOKUP(I143,PROGRAMAS[],2,FALSE),0)</f>
        <v>122159672.96346797</v>
      </c>
      <c r="X143" s="246">
        <f>IFERROR(VLOOKUP(J143,PROGRAMAS[],2,FALSE),0)</f>
        <v>0</v>
      </c>
      <c r="Y143" s="246">
        <f>IFERROR(VLOOKUP(K143,PROGRAMAS[],2,FALSE),0)</f>
        <v>0</v>
      </c>
      <c r="Z143" s="246">
        <f>IFERROR(VLOOKUP(L143,PROGRAMAS[],2,FALSE),0)</f>
        <v>0</v>
      </c>
      <c r="AA143" s="246">
        <f>IFERROR(VLOOKUP(M143,PROGRAMAS[],2,FALSE),0)</f>
        <v>0</v>
      </c>
      <c r="AB143" s="246">
        <f>IFERROR(VLOOKUP(N143,PROGRAMAS[],2,FALSE),0)</f>
        <v>0</v>
      </c>
      <c r="AC143" s="246">
        <f>IFERROR(VLOOKUP(O143,PROGRAMAS[],2,FALSE),0)</f>
        <v>0</v>
      </c>
      <c r="AD143" s="246">
        <f>IFERROR(VLOOKUP(P143,PROGRAMAS[],2,FALSE),0)</f>
        <v>0</v>
      </c>
      <c r="AE143" s="246">
        <f>IFERROR(VLOOKUP(Q143,PROGRAMAS[],2,FALSE),0)</f>
        <v>0</v>
      </c>
      <c r="AF143" s="246">
        <f>IFERROR(VLOOKUP(D143,PROGRAMAS[],3,FALSE),0)</f>
        <v>841888629.31080008</v>
      </c>
      <c r="AG143" s="246">
        <f>IFERROR(VLOOKUP(E143,PROGRAMAS[],3,FALSE),0)</f>
        <v>3848980803.1642323</v>
      </c>
      <c r="AH143" s="246">
        <f>IFERROR(VLOOKUP(F143,PROGRAMAS[],3,FALSE),0)</f>
        <v>3394901471.387517</v>
      </c>
      <c r="AI143" s="246">
        <f>IFERROR(VLOOKUP(G143,PROGRAMAS[],3,FALSE),0)</f>
        <v>1233505101.0616004</v>
      </c>
      <c r="AJ143" s="246">
        <f>IFERROR(VLOOKUP(H143,PROGRAMAS[],3,FALSE),0)</f>
        <v>31865326.38096505</v>
      </c>
      <c r="AK143" s="246">
        <f>IFERROR(VLOOKUP(I143,PROGRAMAS[],3,FALSE),0)</f>
        <v>118617452.52510804</v>
      </c>
      <c r="AL143" s="246">
        <f>IFERROR(VLOOKUP(J143,PROGRAMAS[],3,FALSE),0)</f>
        <v>0</v>
      </c>
      <c r="AM143" s="246">
        <f>IFERROR(VLOOKUP(K143,PROGRAMAS[],3,FALSE),0)</f>
        <v>0</v>
      </c>
      <c r="AN143" s="246">
        <f>IFERROR(VLOOKUP(L143,PROGRAMAS[],3,FALSE),0)</f>
        <v>0</v>
      </c>
      <c r="AO143" s="246">
        <f>IFERROR(VLOOKUP(M143,PROGRAMAS[],3,FALSE),0)</f>
        <v>0</v>
      </c>
      <c r="AP143" s="246">
        <f>IFERROR(VLOOKUP(N143,PROGRAMAS[],3,FALSE),0)</f>
        <v>0</v>
      </c>
      <c r="AQ143" s="246">
        <f>IFERROR(VLOOKUP(O143,PROGRAMAS[],3,FALSE),0)</f>
        <v>0</v>
      </c>
      <c r="AR143" s="246">
        <f>IFERROR(VLOOKUP(P143,PROGRAMAS[],3,FALSE),0)</f>
        <v>0</v>
      </c>
      <c r="AS143" s="246">
        <f>IFERROR(VLOOKUP(Q143,PROGRAMAS[],3,FALSE),0)</f>
        <v>0</v>
      </c>
      <c r="AT143" s="246">
        <f>IFERROR(VLOOKUP(D143,VOL_REC[],2,FALSE),0)</f>
        <v>0</v>
      </c>
      <c r="AU143" s="246">
        <f>IFERROR(VLOOKUP(E143,VOL_REC[],2,FALSE),0)</f>
        <v>0</v>
      </c>
      <c r="AV143" s="246">
        <f>IFERROR(VLOOKUP(F143,VOL_REC[],2,FALSE),0)</f>
        <v>11089674.200000001</v>
      </c>
      <c r="AW143" s="246">
        <f>IFERROR(VLOOKUP(G143,VOL_REC[],2,FALSE),0)</f>
        <v>4325103.1812214684</v>
      </c>
      <c r="AX143" s="246">
        <f>IFERROR(VLOOKUP(H143,VOL_REC[],2,FALSE),0)</f>
        <v>17074.045034105649</v>
      </c>
      <c r="AY143" s="246">
        <f>IFERROR(VLOOKUP(I143,VOL_REC[],2,FALSE),0)</f>
        <v>105072</v>
      </c>
      <c r="AZ143" s="246">
        <f>IFERROR(VLOOKUP(J143,VOL_REC[],2,FALSE),0)</f>
        <v>0</v>
      </c>
      <c r="BA143" s="246">
        <f>IFERROR(VLOOKUP(K143,VOL_REC[],2,FALSE),0)</f>
        <v>0</v>
      </c>
      <c r="BB143" s="246">
        <f>IFERROR(VLOOKUP(L143,VOL_REC[],2,FALSE),0)</f>
        <v>0</v>
      </c>
      <c r="BC143" s="246">
        <f>IFERROR(VLOOKUP(M143,VOL_REC[],2,FALSE),0)</f>
        <v>0</v>
      </c>
      <c r="BD143" s="246">
        <f>IFERROR(VLOOKUP(N143,VOL_REC[],2,FALSE),0)</f>
        <v>0</v>
      </c>
      <c r="BE143" s="246">
        <f>IFERROR(VLOOKUP(O143,VOL_REC[],2,FALSE),0)</f>
        <v>0</v>
      </c>
      <c r="BF143" s="246">
        <f>IFERROR(VLOOKUP(P143,VOL_REC[],2,FALSE),0)</f>
        <v>0</v>
      </c>
      <c r="BG143" s="246">
        <f>IFERROR(VLOOKUP(Q143,VOL_REC[],2,FALSE),0)</f>
        <v>0</v>
      </c>
      <c r="BH143" s="1710">
        <f t="shared" si="8"/>
        <v>5417192623.3762264</v>
      </c>
      <c r="BI143" s="1710">
        <f t="shared" si="9"/>
        <v>9469758783.8302231</v>
      </c>
      <c r="BJ143" s="1711">
        <f t="shared" si="10"/>
        <v>15536923.426255574</v>
      </c>
      <c r="BK143" s="1711">
        <f t="shared" si="11"/>
        <v>0.57205180691890234</v>
      </c>
    </row>
    <row r="144" spans="3:67" x14ac:dyDescent="0.25">
      <c r="C144" s="246" t="s">
        <v>1494</v>
      </c>
      <c r="D144" s="246">
        <v>1</v>
      </c>
      <c r="E144" s="246">
        <v>2</v>
      </c>
      <c r="F144" s="246">
        <v>3</v>
      </c>
      <c r="G144" s="246">
        <v>5</v>
      </c>
      <c r="H144" s="246">
        <v>14</v>
      </c>
      <c r="I144" s="246">
        <v>16</v>
      </c>
      <c r="J144" s="246"/>
      <c r="K144" s="246"/>
      <c r="L144" s="246"/>
      <c r="M144" s="246"/>
      <c r="N144" s="246"/>
      <c r="O144" s="246"/>
      <c r="P144" s="246"/>
      <c r="Q144" s="246"/>
      <c r="R144" s="246">
        <f>IFERROR(VLOOKUP(D144,PROGRAMAS[],2,FALSE),0)</f>
        <v>97037803.679377079</v>
      </c>
      <c r="S144" s="246">
        <f>IFERROR(VLOOKUP(E144,PROGRAMAS[],2,FALSE),0)</f>
        <v>640501509.6821388</v>
      </c>
      <c r="T144" s="246">
        <f>IFERROR(VLOOKUP(F144,PROGRAMAS[],2,FALSE),0)</f>
        <v>3062327798.1525245</v>
      </c>
      <c r="U144" s="246">
        <f>IFERROR(VLOOKUP(G144,PROGRAMAS[],2,FALSE),0)</f>
        <v>1440941976.2528784</v>
      </c>
      <c r="V144" s="246">
        <f>IFERROR(VLOOKUP(H144,PROGRAMAS[],2,FALSE),0)</f>
        <v>54223862.645839565</v>
      </c>
      <c r="W144" s="246">
        <f>IFERROR(VLOOKUP(I144,PROGRAMAS[],2,FALSE),0)</f>
        <v>7068496961.0436354</v>
      </c>
      <c r="X144" s="246">
        <f>IFERROR(VLOOKUP(J144,PROGRAMAS[],2,FALSE),0)</f>
        <v>0</v>
      </c>
      <c r="Y144" s="246">
        <f>IFERROR(VLOOKUP(K144,PROGRAMAS[],2,FALSE),0)</f>
        <v>0</v>
      </c>
      <c r="Z144" s="246">
        <f>IFERROR(VLOOKUP(L144,PROGRAMAS[],2,FALSE),0)</f>
        <v>0</v>
      </c>
      <c r="AA144" s="246">
        <f>IFERROR(VLOOKUP(M144,PROGRAMAS[],2,FALSE),0)</f>
        <v>0</v>
      </c>
      <c r="AB144" s="246">
        <f>IFERROR(VLOOKUP(N144,PROGRAMAS[],2,FALSE),0)</f>
        <v>0</v>
      </c>
      <c r="AC144" s="246">
        <f>IFERROR(VLOOKUP(O144,PROGRAMAS[],2,FALSE),0)</f>
        <v>0</v>
      </c>
      <c r="AD144" s="246">
        <f>IFERROR(VLOOKUP(P144,PROGRAMAS[],2,FALSE),0)</f>
        <v>0</v>
      </c>
      <c r="AE144" s="246">
        <f>IFERROR(VLOOKUP(Q144,PROGRAMAS[],2,FALSE),0)</f>
        <v>0</v>
      </c>
      <c r="AF144" s="246">
        <f>IFERROR(VLOOKUP(D144,PROGRAMAS[],3,FALSE),0)</f>
        <v>841888629.31080008</v>
      </c>
      <c r="AG144" s="246">
        <f>IFERROR(VLOOKUP(E144,PROGRAMAS[],3,FALSE),0)</f>
        <v>3848980803.1642323</v>
      </c>
      <c r="AH144" s="246">
        <f>IFERROR(VLOOKUP(F144,PROGRAMAS[],3,FALSE),0)</f>
        <v>3394901471.387517</v>
      </c>
      <c r="AI144" s="246">
        <f>IFERROR(VLOOKUP(G144,PROGRAMAS[],3,FALSE),0)</f>
        <v>1233505101.0616004</v>
      </c>
      <c r="AJ144" s="246">
        <f>IFERROR(VLOOKUP(H144,PROGRAMAS[],3,FALSE),0)</f>
        <v>31865326.38096505</v>
      </c>
      <c r="AK144" s="246">
        <f>IFERROR(VLOOKUP(I144,PROGRAMAS[],3,FALSE),0)</f>
        <v>2406564599.0319901</v>
      </c>
      <c r="AL144" s="246">
        <f>IFERROR(VLOOKUP(J144,PROGRAMAS[],3,FALSE),0)</f>
        <v>0</v>
      </c>
      <c r="AM144" s="246">
        <f>IFERROR(VLOOKUP(K144,PROGRAMAS[],3,FALSE),0)</f>
        <v>0</v>
      </c>
      <c r="AN144" s="246">
        <f>IFERROR(VLOOKUP(L144,PROGRAMAS[],3,FALSE),0)</f>
        <v>0</v>
      </c>
      <c r="AO144" s="246">
        <f>IFERROR(VLOOKUP(M144,PROGRAMAS[],3,FALSE),0)</f>
        <v>0</v>
      </c>
      <c r="AP144" s="246">
        <f>IFERROR(VLOOKUP(N144,PROGRAMAS[],3,FALSE),0)</f>
        <v>0</v>
      </c>
      <c r="AQ144" s="246">
        <f>IFERROR(VLOOKUP(O144,PROGRAMAS[],3,FALSE),0)</f>
        <v>0</v>
      </c>
      <c r="AR144" s="246">
        <f>IFERROR(VLOOKUP(P144,PROGRAMAS[],3,FALSE),0)</f>
        <v>0</v>
      </c>
      <c r="AS144" s="246">
        <f>IFERROR(VLOOKUP(Q144,PROGRAMAS[],3,FALSE),0)</f>
        <v>0</v>
      </c>
      <c r="AT144" s="246">
        <f>IFERROR(VLOOKUP(D144,VOL_REC[],2,FALSE),0)</f>
        <v>0</v>
      </c>
      <c r="AU144" s="246">
        <f>IFERROR(VLOOKUP(E144,VOL_REC[],2,FALSE),0)</f>
        <v>0</v>
      </c>
      <c r="AV144" s="246">
        <f>IFERROR(VLOOKUP(F144,VOL_REC[],2,FALSE),0)</f>
        <v>11089674.200000001</v>
      </c>
      <c r="AW144" s="246">
        <f>IFERROR(VLOOKUP(G144,VOL_REC[],2,FALSE),0)</f>
        <v>4325103.1812214684</v>
      </c>
      <c r="AX144" s="246">
        <f>IFERROR(VLOOKUP(H144,VOL_REC[],2,FALSE),0)</f>
        <v>17074.045034105649</v>
      </c>
      <c r="AY144" s="246">
        <f>IFERROR(VLOOKUP(I144,VOL_REC[],2,FALSE),0)</f>
        <v>1072354.9981737854</v>
      </c>
      <c r="AZ144" s="246">
        <f>IFERROR(VLOOKUP(J144,VOL_REC[],2,FALSE),0)</f>
        <v>0</v>
      </c>
      <c r="BA144" s="246">
        <f>IFERROR(VLOOKUP(K144,VOL_REC[],2,FALSE),0)</f>
        <v>0</v>
      </c>
      <c r="BB144" s="246">
        <f>IFERROR(VLOOKUP(L144,VOL_REC[],2,FALSE),0)</f>
        <v>0</v>
      </c>
      <c r="BC144" s="246">
        <f>IFERROR(VLOOKUP(M144,VOL_REC[],2,FALSE),0)</f>
        <v>0</v>
      </c>
      <c r="BD144" s="246">
        <f>IFERROR(VLOOKUP(N144,VOL_REC[],2,FALSE),0)</f>
        <v>0</v>
      </c>
      <c r="BE144" s="246">
        <f>IFERROR(VLOOKUP(O144,VOL_REC[],2,FALSE),0)</f>
        <v>0</v>
      </c>
      <c r="BF144" s="246">
        <f>IFERROR(VLOOKUP(P144,VOL_REC[],2,FALSE),0)</f>
        <v>0</v>
      </c>
      <c r="BG144" s="246">
        <f>IFERROR(VLOOKUP(Q144,VOL_REC[],2,FALSE),0)</f>
        <v>0</v>
      </c>
      <c r="BH144" s="1710">
        <f t="shared" si="8"/>
        <v>12363529911.456394</v>
      </c>
      <c r="BI144" s="1710">
        <f t="shared" si="9"/>
        <v>11757705930.337105</v>
      </c>
      <c r="BJ144" s="1711">
        <f t="shared" si="10"/>
        <v>16504206.424429361</v>
      </c>
      <c r="BK144" s="1711">
        <f t="shared" si="11"/>
        <v>1.0515256959740886</v>
      </c>
      <c r="BL144">
        <f>BJ144</f>
        <v>16504206.424429361</v>
      </c>
      <c r="BO144">
        <f>BL144</f>
        <v>16504206.424429361</v>
      </c>
    </row>
    <row r="145" spans="3:67" x14ac:dyDescent="0.25">
      <c r="C145" s="246" t="s">
        <v>1495</v>
      </c>
      <c r="D145" s="246">
        <v>1</v>
      </c>
      <c r="E145" s="246">
        <v>2</v>
      </c>
      <c r="F145" s="246">
        <v>3</v>
      </c>
      <c r="G145" s="246">
        <v>5</v>
      </c>
      <c r="H145" s="246">
        <v>14</v>
      </c>
      <c r="I145" s="246">
        <v>17</v>
      </c>
      <c r="J145" s="246"/>
      <c r="K145" s="246"/>
      <c r="L145" s="246"/>
      <c r="M145" s="246"/>
      <c r="N145" s="246"/>
      <c r="O145" s="246"/>
      <c r="P145" s="246"/>
      <c r="Q145" s="246"/>
      <c r="R145" s="246">
        <f>IFERROR(VLOOKUP(D145,PROGRAMAS[],2,FALSE),0)</f>
        <v>97037803.679377079</v>
      </c>
      <c r="S145" s="246">
        <f>IFERROR(VLOOKUP(E145,PROGRAMAS[],2,FALSE),0)</f>
        <v>640501509.6821388</v>
      </c>
      <c r="T145" s="246">
        <f>IFERROR(VLOOKUP(F145,PROGRAMAS[],2,FALSE),0)</f>
        <v>3062327798.1525245</v>
      </c>
      <c r="U145" s="246">
        <f>IFERROR(VLOOKUP(G145,PROGRAMAS[],2,FALSE),0)</f>
        <v>1440941976.2528784</v>
      </c>
      <c r="V145" s="246">
        <f>IFERROR(VLOOKUP(H145,PROGRAMAS[],2,FALSE),0)</f>
        <v>54223862.645839565</v>
      </c>
      <c r="W145" s="246">
        <f>IFERROR(VLOOKUP(I145,PROGRAMAS[],2,FALSE),0)</f>
        <v>1892779498.5211046</v>
      </c>
      <c r="X145" s="246">
        <f>IFERROR(VLOOKUP(J145,PROGRAMAS[],2,FALSE),0)</f>
        <v>0</v>
      </c>
      <c r="Y145" s="246">
        <f>IFERROR(VLOOKUP(K145,PROGRAMAS[],2,FALSE),0)</f>
        <v>0</v>
      </c>
      <c r="Z145" s="246">
        <f>IFERROR(VLOOKUP(L145,PROGRAMAS[],2,FALSE),0)</f>
        <v>0</v>
      </c>
      <c r="AA145" s="246">
        <f>IFERROR(VLOOKUP(M145,PROGRAMAS[],2,FALSE),0)</f>
        <v>0</v>
      </c>
      <c r="AB145" s="246">
        <f>IFERROR(VLOOKUP(N145,PROGRAMAS[],2,FALSE),0)</f>
        <v>0</v>
      </c>
      <c r="AC145" s="246">
        <f>IFERROR(VLOOKUP(O145,PROGRAMAS[],2,FALSE),0)</f>
        <v>0</v>
      </c>
      <c r="AD145" s="246">
        <f>IFERROR(VLOOKUP(P145,PROGRAMAS[],2,FALSE),0)</f>
        <v>0</v>
      </c>
      <c r="AE145" s="246">
        <f>IFERROR(VLOOKUP(Q145,PROGRAMAS[],2,FALSE),0)</f>
        <v>0</v>
      </c>
      <c r="AF145" s="246">
        <f>IFERROR(VLOOKUP(D145,PROGRAMAS[],3,FALSE),0)</f>
        <v>841888629.31080008</v>
      </c>
      <c r="AG145" s="246">
        <f>IFERROR(VLOOKUP(E145,PROGRAMAS[],3,FALSE),0)</f>
        <v>3848980803.1642323</v>
      </c>
      <c r="AH145" s="246">
        <f>IFERROR(VLOOKUP(F145,PROGRAMAS[],3,FALSE),0)</f>
        <v>3394901471.387517</v>
      </c>
      <c r="AI145" s="246">
        <f>IFERROR(VLOOKUP(G145,PROGRAMAS[],3,FALSE),0)</f>
        <v>1233505101.0616004</v>
      </c>
      <c r="AJ145" s="246">
        <f>IFERROR(VLOOKUP(H145,PROGRAMAS[],3,FALSE),0)</f>
        <v>31865326.38096505</v>
      </c>
      <c r="AK145" s="246">
        <f>IFERROR(VLOOKUP(I145,PROGRAMAS[],3,FALSE),0)</f>
        <v>948595847.09039903</v>
      </c>
      <c r="AL145" s="246">
        <f>IFERROR(VLOOKUP(J145,PROGRAMAS[],3,FALSE),0)</f>
        <v>0</v>
      </c>
      <c r="AM145" s="246">
        <f>IFERROR(VLOOKUP(K145,PROGRAMAS[],3,FALSE),0)</f>
        <v>0</v>
      </c>
      <c r="AN145" s="246">
        <f>IFERROR(VLOOKUP(L145,PROGRAMAS[],3,FALSE),0)</f>
        <v>0</v>
      </c>
      <c r="AO145" s="246">
        <f>IFERROR(VLOOKUP(M145,PROGRAMAS[],3,FALSE),0)</f>
        <v>0</v>
      </c>
      <c r="AP145" s="246">
        <f>IFERROR(VLOOKUP(N145,PROGRAMAS[],3,FALSE),0)</f>
        <v>0</v>
      </c>
      <c r="AQ145" s="246">
        <f>IFERROR(VLOOKUP(O145,PROGRAMAS[],3,FALSE),0)</f>
        <v>0</v>
      </c>
      <c r="AR145" s="246">
        <f>IFERROR(VLOOKUP(P145,PROGRAMAS[],3,FALSE),0)</f>
        <v>0</v>
      </c>
      <c r="AS145" s="246">
        <f>IFERROR(VLOOKUP(Q145,PROGRAMAS[],3,FALSE),0)</f>
        <v>0</v>
      </c>
      <c r="AT145" s="246">
        <f>IFERROR(VLOOKUP(D145,VOL_REC[],2,FALSE),0)</f>
        <v>0</v>
      </c>
      <c r="AU145" s="246">
        <f>IFERROR(VLOOKUP(E145,VOL_REC[],2,FALSE),0)</f>
        <v>0</v>
      </c>
      <c r="AV145" s="246">
        <f>IFERROR(VLOOKUP(F145,VOL_REC[],2,FALSE),0)</f>
        <v>11089674.200000001</v>
      </c>
      <c r="AW145" s="246">
        <f>IFERROR(VLOOKUP(G145,VOL_REC[],2,FALSE),0)</f>
        <v>4325103.1812214684</v>
      </c>
      <c r="AX145" s="246">
        <f>IFERROR(VLOOKUP(H145,VOL_REC[],2,FALSE),0)</f>
        <v>17074.045034105649</v>
      </c>
      <c r="AY145" s="246">
        <f>IFERROR(VLOOKUP(I145,VOL_REC[],2,FALSE),0)</f>
        <v>740113.98115702497</v>
      </c>
      <c r="AZ145" s="246">
        <f>IFERROR(VLOOKUP(J145,VOL_REC[],2,FALSE),0)</f>
        <v>0</v>
      </c>
      <c r="BA145" s="246">
        <f>IFERROR(VLOOKUP(K145,VOL_REC[],2,FALSE),0)</f>
        <v>0</v>
      </c>
      <c r="BB145" s="246">
        <f>IFERROR(VLOOKUP(L145,VOL_REC[],2,FALSE),0)</f>
        <v>0</v>
      </c>
      <c r="BC145" s="246">
        <f>IFERROR(VLOOKUP(M145,VOL_REC[],2,FALSE),0)</f>
        <v>0</v>
      </c>
      <c r="BD145" s="246">
        <f>IFERROR(VLOOKUP(N145,VOL_REC[],2,FALSE),0)</f>
        <v>0</v>
      </c>
      <c r="BE145" s="246">
        <f>IFERROR(VLOOKUP(O145,VOL_REC[],2,FALSE),0)</f>
        <v>0</v>
      </c>
      <c r="BF145" s="246">
        <f>IFERROR(VLOOKUP(P145,VOL_REC[],2,FALSE),0)</f>
        <v>0</v>
      </c>
      <c r="BG145" s="246">
        <f>IFERROR(VLOOKUP(Q145,VOL_REC[],2,FALSE),0)</f>
        <v>0</v>
      </c>
      <c r="BH145" s="1710">
        <f t="shared" si="8"/>
        <v>7187812448.9338636</v>
      </c>
      <c r="BI145" s="1710">
        <f t="shared" si="9"/>
        <v>10299737178.395514</v>
      </c>
      <c r="BJ145" s="1711">
        <f t="shared" si="10"/>
        <v>16171965.4074126</v>
      </c>
      <c r="BK145" s="1711">
        <f t="shared" si="11"/>
        <v>0.69786367597911625</v>
      </c>
    </row>
    <row r="146" spans="3:67" x14ac:dyDescent="0.25">
      <c r="C146" s="246" t="s">
        <v>1496</v>
      </c>
      <c r="D146" s="246">
        <v>1</v>
      </c>
      <c r="E146" s="246">
        <v>2</v>
      </c>
      <c r="F146" s="246">
        <v>3</v>
      </c>
      <c r="G146" s="246">
        <v>5</v>
      </c>
      <c r="H146" s="246">
        <v>15</v>
      </c>
      <c r="I146" s="246">
        <v>16</v>
      </c>
      <c r="J146" s="246"/>
      <c r="K146" s="246"/>
      <c r="L146" s="246"/>
      <c r="M146" s="246"/>
      <c r="N146" s="246"/>
      <c r="O146" s="246"/>
      <c r="P146" s="246"/>
      <c r="Q146" s="246"/>
      <c r="R146" s="246">
        <f>IFERROR(VLOOKUP(D146,PROGRAMAS[],2,FALSE),0)</f>
        <v>97037803.679377079</v>
      </c>
      <c r="S146" s="246">
        <f>IFERROR(VLOOKUP(E146,PROGRAMAS[],2,FALSE),0)</f>
        <v>640501509.6821388</v>
      </c>
      <c r="T146" s="246">
        <f>IFERROR(VLOOKUP(F146,PROGRAMAS[],2,FALSE),0)</f>
        <v>3062327798.1525245</v>
      </c>
      <c r="U146" s="246">
        <f>IFERROR(VLOOKUP(G146,PROGRAMAS[],2,FALSE),0)</f>
        <v>1440941976.2528784</v>
      </c>
      <c r="V146" s="246">
        <f>IFERROR(VLOOKUP(H146,PROGRAMAS[],2,FALSE),0)</f>
        <v>122159672.96346797</v>
      </c>
      <c r="W146" s="246">
        <f>IFERROR(VLOOKUP(I146,PROGRAMAS[],2,FALSE),0)</f>
        <v>7068496961.0436354</v>
      </c>
      <c r="X146" s="246">
        <f>IFERROR(VLOOKUP(J146,PROGRAMAS[],2,FALSE),0)</f>
        <v>0</v>
      </c>
      <c r="Y146" s="246">
        <f>IFERROR(VLOOKUP(K146,PROGRAMAS[],2,FALSE),0)</f>
        <v>0</v>
      </c>
      <c r="Z146" s="246">
        <f>IFERROR(VLOOKUP(L146,PROGRAMAS[],2,FALSE),0)</f>
        <v>0</v>
      </c>
      <c r="AA146" s="246">
        <f>IFERROR(VLOOKUP(M146,PROGRAMAS[],2,FALSE),0)</f>
        <v>0</v>
      </c>
      <c r="AB146" s="246">
        <f>IFERROR(VLOOKUP(N146,PROGRAMAS[],2,FALSE),0)</f>
        <v>0</v>
      </c>
      <c r="AC146" s="246">
        <f>IFERROR(VLOOKUP(O146,PROGRAMAS[],2,FALSE),0)</f>
        <v>0</v>
      </c>
      <c r="AD146" s="246">
        <f>IFERROR(VLOOKUP(P146,PROGRAMAS[],2,FALSE),0)</f>
        <v>0</v>
      </c>
      <c r="AE146" s="246">
        <f>IFERROR(VLOOKUP(Q146,PROGRAMAS[],2,FALSE),0)</f>
        <v>0</v>
      </c>
      <c r="AF146" s="246">
        <f>IFERROR(VLOOKUP(D146,PROGRAMAS[],3,FALSE),0)</f>
        <v>841888629.31080008</v>
      </c>
      <c r="AG146" s="246">
        <f>IFERROR(VLOOKUP(E146,PROGRAMAS[],3,FALSE),0)</f>
        <v>3848980803.1642323</v>
      </c>
      <c r="AH146" s="246">
        <f>IFERROR(VLOOKUP(F146,PROGRAMAS[],3,FALSE),0)</f>
        <v>3394901471.387517</v>
      </c>
      <c r="AI146" s="246">
        <f>IFERROR(VLOOKUP(G146,PROGRAMAS[],3,FALSE),0)</f>
        <v>1233505101.0616004</v>
      </c>
      <c r="AJ146" s="246">
        <f>IFERROR(VLOOKUP(H146,PROGRAMAS[],3,FALSE),0)</f>
        <v>118617452.52510804</v>
      </c>
      <c r="AK146" s="246">
        <f>IFERROR(VLOOKUP(I146,PROGRAMAS[],3,FALSE),0)</f>
        <v>2406564599.0319901</v>
      </c>
      <c r="AL146" s="246">
        <f>IFERROR(VLOOKUP(J146,PROGRAMAS[],3,FALSE),0)</f>
        <v>0</v>
      </c>
      <c r="AM146" s="246">
        <f>IFERROR(VLOOKUP(K146,PROGRAMAS[],3,FALSE),0)</f>
        <v>0</v>
      </c>
      <c r="AN146" s="246">
        <f>IFERROR(VLOOKUP(L146,PROGRAMAS[],3,FALSE),0)</f>
        <v>0</v>
      </c>
      <c r="AO146" s="246">
        <f>IFERROR(VLOOKUP(M146,PROGRAMAS[],3,FALSE),0)</f>
        <v>0</v>
      </c>
      <c r="AP146" s="246">
        <f>IFERROR(VLOOKUP(N146,PROGRAMAS[],3,FALSE),0)</f>
        <v>0</v>
      </c>
      <c r="AQ146" s="246">
        <f>IFERROR(VLOOKUP(O146,PROGRAMAS[],3,FALSE),0)</f>
        <v>0</v>
      </c>
      <c r="AR146" s="246">
        <f>IFERROR(VLOOKUP(P146,PROGRAMAS[],3,FALSE),0)</f>
        <v>0</v>
      </c>
      <c r="AS146" s="246">
        <f>IFERROR(VLOOKUP(Q146,PROGRAMAS[],3,FALSE),0)</f>
        <v>0</v>
      </c>
      <c r="AT146" s="246">
        <f>IFERROR(VLOOKUP(D146,VOL_REC[],2,FALSE),0)</f>
        <v>0</v>
      </c>
      <c r="AU146" s="246">
        <f>IFERROR(VLOOKUP(E146,VOL_REC[],2,FALSE),0)</f>
        <v>0</v>
      </c>
      <c r="AV146" s="246">
        <f>IFERROR(VLOOKUP(F146,VOL_REC[],2,FALSE),0)</f>
        <v>11089674.200000001</v>
      </c>
      <c r="AW146" s="246">
        <f>IFERROR(VLOOKUP(G146,VOL_REC[],2,FALSE),0)</f>
        <v>4325103.1812214684</v>
      </c>
      <c r="AX146" s="246">
        <f>IFERROR(VLOOKUP(H146,VOL_REC[],2,FALSE),0)</f>
        <v>105072</v>
      </c>
      <c r="AY146" s="246">
        <f>IFERROR(VLOOKUP(I146,VOL_REC[],2,FALSE),0)</f>
        <v>1072354.9981737854</v>
      </c>
      <c r="AZ146" s="246">
        <f>IFERROR(VLOOKUP(J146,VOL_REC[],2,FALSE),0)</f>
        <v>0</v>
      </c>
      <c r="BA146" s="246">
        <f>IFERROR(VLOOKUP(K146,VOL_REC[],2,FALSE),0)</f>
        <v>0</v>
      </c>
      <c r="BB146" s="246">
        <f>IFERROR(VLOOKUP(L146,VOL_REC[],2,FALSE),0)</f>
        <v>0</v>
      </c>
      <c r="BC146" s="246">
        <f>IFERROR(VLOOKUP(M146,VOL_REC[],2,FALSE),0)</f>
        <v>0</v>
      </c>
      <c r="BD146" s="246">
        <f>IFERROR(VLOOKUP(N146,VOL_REC[],2,FALSE),0)</f>
        <v>0</v>
      </c>
      <c r="BE146" s="246">
        <f>IFERROR(VLOOKUP(O146,VOL_REC[],2,FALSE),0)</f>
        <v>0</v>
      </c>
      <c r="BF146" s="246">
        <f>IFERROR(VLOOKUP(P146,VOL_REC[],2,FALSE),0)</f>
        <v>0</v>
      </c>
      <c r="BG146" s="246">
        <f>IFERROR(VLOOKUP(Q146,VOL_REC[],2,FALSE),0)</f>
        <v>0</v>
      </c>
      <c r="BH146" s="1710">
        <f t="shared" si="8"/>
        <v>12431465721.774021</v>
      </c>
      <c r="BI146" s="1710">
        <f t="shared" si="9"/>
        <v>11844458056.481249</v>
      </c>
      <c r="BJ146" s="1711">
        <f t="shared" si="10"/>
        <v>16592204.379395254</v>
      </c>
      <c r="BK146" s="1711">
        <f t="shared" si="11"/>
        <v>1.0495596896450288</v>
      </c>
      <c r="BL146">
        <f>BJ146</f>
        <v>16592204.379395254</v>
      </c>
      <c r="BO146">
        <f>BL146</f>
        <v>16592204.379395254</v>
      </c>
    </row>
    <row r="147" spans="3:67" x14ac:dyDescent="0.25">
      <c r="C147" s="246" t="s">
        <v>1497</v>
      </c>
      <c r="D147" s="246">
        <v>1</v>
      </c>
      <c r="E147" s="246">
        <v>2</v>
      </c>
      <c r="F147" s="246">
        <v>3</v>
      </c>
      <c r="G147" s="246">
        <v>5</v>
      </c>
      <c r="H147" s="246">
        <v>15</v>
      </c>
      <c r="I147" s="246">
        <v>17</v>
      </c>
      <c r="J147" s="246"/>
      <c r="K147" s="246"/>
      <c r="L147" s="246"/>
      <c r="M147" s="246"/>
      <c r="N147" s="246"/>
      <c r="O147" s="246"/>
      <c r="P147" s="246"/>
      <c r="Q147" s="246"/>
      <c r="R147" s="246">
        <f>IFERROR(VLOOKUP(D147,PROGRAMAS[],2,FALSE),0)</f>
        <v>97037803.679377079</v>
      </c>
      <c r="S147" s="246">
        <f>IFERROR(VLOOKUP(E147,PROGRAMAS[],2,FALSE),0)</f>
        <v>640501509.6821388</v>
      </c>
      <c r="T147" s="246">
        <f>IFERROR(VLOOKUP(F147,PROGRAMAS[],2,FALSE),0)</f>
        <v>3062327798.1525245</v>
      </c>
      <c r="U147" s="246">
        <f>IFERROR(VLOOKUP(G147,PROGRAMAS[],2,FALSE),0)</f>
        <v>1440941976.2528784</v>
      </c>
      <c r="V147" s="246">
        <f>IFERROR(VLOOKUP(H147,PROGRAMAS[],2,FALSE),0)</f>
        <v>122159672.96346797</v>
      </c>
      <c r="W147" s="246">
        <f>IFERROR(VLOOKUP(I147,PROGRAMAS[],2,FALSE),0)</f>
        <v>1892779498.5211046</v>
      </c>
      <c r="X147" s="246">
        <f>IFERROR(VLOOKUP(J147,PROGRAMAS[],2,FALSE),0)</f>
        <v>0</v>
      </c>
      <c r="Y147" s="246">
        <f>IFERROR(VLOOKUP(K147,PROGRAMAS[],2,FALSE),0)</f>
        <v>0</v>
      </c>
      <c r="Z147" s="246">
        <f>IFERROR(VLOOKUP(L147,PROGRAMAS[],2,FALSE),0)</f>
        <v>0</v>
      </c>
      <c r="AA147" s="246">
        <f>IFERROR(VLOOKUP(M147,PROGRAMAS[],2,FALSE),0)</f>
        <v>0</v>
      </c>
      <c r="AB147" s="246">
        <f>IFERROR(VLOOKUP(N147,PROGRAMAS[],2,FALSE),0)</f>
        <v>0</v>
      </c>
      <c r="AC147" s="246">
        <f>IFERROR(VLOOKUP(O147,PROGRAMAS[],2,FALSE),0)</f>
        <v>0</v>
      </c>
      <c r="AD147" s="246">
        <f>IFERROR(VLOOKUP(P147,PROGRAMAS[],2,FALSE),0)</f>
        <v>0</v>
      </c>
      <c r="AE147" s="246">
        <f>IFERROR(VLOOKUP(Q147,PROGRAMAS[],2,FALSE),0)</f>
        <v>0</v>
      </c>
      <c r="AF147" s="246">
        <f>IFERROR(VLOOKUP(D147,PROGRAMAS[],3,FALSE),0)</f>
        <v>841888629.31080008</v>
      </c>
      <c r="AG147" s="246">
        <f>IFERROR(VLOOKUP(E147,PROGRAMAS[],3,FALSE),0)</f>
        <v>3848980803.1642323</v>
      </c>
      <c r="AH147" s="246">
        <f>IFERROR(VLOOKUP(F147,PROGRAMAS[],3,FALSE),0)</f>
        <v>3394901471.387517</v>
      </c>
      <c r="AI147" s="246">
        <f>IFERROR(VLOOKUP(G147,PROGRAMAS[],3,FALSE),0)</f>
        <v>1233505101.0616004</v>
      </c>
      <c r="AJ147" s="246">
        <f>IFERROR(VLOOKUP(H147,PROGRAMAS[],3,FALSE),0)</f>
        <v>118617452.52510804</v>
      </c>
      <c r="AK147" s="246">
        <f>IFERROR(VLOOKUP(I147,PROGRAMAS[],3,FALSE),0)</f>
        <v>948595847.09039903</v>
      </c>
      <c r="AL147" s="246">
        <f>IFERROR(VLOOKUP(J147,PROGRAMAS[],3,FALSE),0)</f>
        <v>0</v>
      </c>
      <c r="AM147" s="246">
        <f>IFERROR(VLOOKUP(K147,PROGRAMAS[],3,FALSE),0)</f>
        <v>0</v>
      </c>
      <c r="AN147" s="246">
        <f>IFERROR(VLOOKUP(L147,PROGRAMAS[],3,FALSE),0)</f>
        <v>0</v>
      </c>
      <c r="AO147" s="246">
        <f>IFERROR(VLOOKUP(M147,PROGRAMAS[],3,FALSE),0)</f>
        <v>0</v>
      </c>
      <c r="AP147" s="246">
        <f>IFERROR(VLOOKUP(N147,PROGRAMAS[],3,FALSE),0)</f>
        <v>0</v>
      </c>
      <c r="AQ147" s="246">
        <f>IFERROR(VLOOKUP(O147,PROGRAMAS[],3,FALSE),0)</f>
        <v>0</v>
      </c>
      <c r="AR147" s="246">
        <f>IFERROR(VLOOKUP(P147,PROGRAMAS[],3,FALSE),0)</f>
        <v>0</v>
      </c>
      <c r="AS147" s="246">
        <f>IFERROR(VLOOKUP(Q147,PROGRAMAS[],3,FALSE),0)</f>
        <v>0</v>
      </c>
      <c r="AT147" s="246">
        <f>IFERROR(VLOOKUP(D147,VOL_REC[],2,FALSE),0)</f>
        <v>0</v>
      </c>
      <c r="AU147" s="246">
        <f>IFERROR(VLOOKUP(E147,VOL_REC[],2,FALSE),0)</f>
        <v>0</v>
      </c>
      <c r="AV147" s="246">
        <f>IFERROR(VLOOKUP(F147,VOL_REC[],2,FALSE),0)</f>
        <v>11089674.200000001</v>
      </c>
      <c r="AW147" s="246">
        <f>IFERROR(VLOOKUP(G147,VOL_REC[],2,FALSE),0)</f>
        <v>4325103.1812214684</v>
      </c>
      <c r="AX147" s="246">
        <f>IFERROR(VLOOKUP(H147,VOL_REC[],2,FALSE),0)</f>
        <v>105072</v>
      </c>
      <c r="AY147" s="246">
        <f>IFERROR(VLOOKUP(I147,VOL_REC[],2,FALSE),0)</f>
        <v>740113.98115702497</v>
      </c>
      <c r="AZ147" s="246">
        <f>IFERROR(VLOOKUP(J147,VOL_REC[],2,FALSE),0)</f>
        <v>0</v>
      </c>
      <c r="BA147" s="246">
        <f>IFERROR(VLOOKUP(K147,VOL_REC[],2,FALSE),0)</f>
        <v>0</v>
      </c>
      <c r="BB147" s="246">
        <f>IFERROR(VLOOKUP(L147,VOL_REC[],2,FALSE),0)</f>
        <v>0</v>
      </c>
      <c r="BC147" s="246">
        <f>IFERROR(VLOOKUP(M147,VOL_REC[],2,FALSE),0)</f>
        <v>0</v>
      </c>
      <c r="BD147" s="246">
        <f>IFERROR(VLOOKUP(N147,VOL_REC[],2,FALSE),0)</f>
        <v>0</v>
      </c>
      <c r="BE147" s="246">
        <f>IFERROR(VLOOKUP(O147,VOL_REC[],2,FALSE),0)</f>
        <v>0</v>
      </c>
      <c r="BF147" s="246">
        <f>IFERROR(VLOOKUP(P147,VOL_REC[],2,FALSE),0)</f>
        <v>0</v>
      </c>
      <c r="BG147" s="246">
        <f>IFERROR(VLOOKUP(Q147,VOL_REC[],2,FALSE),0)</f>
        <v>0</v>
      </c>
      <c r="BH147" s="1710">
        <f t="shared" si="8"/>
        <v>7255748259.2514915</v>
      </c>
      <c r="BI147" s="1710">
        <f t="shared" si="9"/>
        <v>10386489304.539658</v>
      </c>
      <c r="BJ147" s="1711">
        <f t="shared" si="10"/>
        <v>16259963.362378495</v>
      </c>
      <c r="BK147" s="1711">
        <f t="shared" si="11"/>
        <v>0.69857562517107652</v>
      </c>
    </row>
    <row r="148" spans="3:67" x14ac:dyDescent="0.25">
      <c r="C148" s="246" t="s">
        <v>1498</v>
      </c>
      <c r="D148" s="246">
        <v>1</v>
      </c>
      <c r="E148" s="246">
        <v>2</v>
      </c>
      <c r="F148" s="246">
        <v>3</v>
      </c>
      <c r="G148" s="246">
        <v>5</v>
      </c>
      <c r="H148" s="246">
        <v>16</v>
      </c>
      <c r="I148" s="246">
        <v>17</v>
      </c>
      <c r="J148" s="246"/>
      <c r="K148" s="246"/>
      <c r="L148" s="246"/>
      <c r="M148" s="246"/>
      <c r="N148" s="246"/>
      <c r="O148" s="246"/>
      <c r="P148" s="246"/>
      <c r="Q148" s="246"/>
      <c r="R148" s="246">
        <f>IFERROR(VLOOKUP(D148,PROGRAMAS[],2,FALSE),0)</f>
        <v>97037803.679377079</v>
      </c>
      <c r="S148" s="246">
        <f>IFERROR(VLOOKUP(E148,PROGRAMAS[],2,FALSE),0)</f>
        <v>640501509.6821388</v>
      </c>
      <c r="T148" s="246">
        <f>IFERROR(VLOOKUP(F148,PROGRAMAS[],2,FALSE),0)</f>
        <v>3062327798.1525245</v>
      </c>
      <c r="U148" s="246">
        <f>IFERROR(VLOOKUP(G148,PROGRAMAS[],2,FALSE),0)</f>
        <v>1440941976.2528784</v>
      </c>
      <c r="V148" s="246">
        <f>IFERROR(VLOOKUP(H148,PROGRAMAS[],2,FALSE),0)</f>
        <v>7068496961.0436354</v>
      </c>
      <c r="W148" s="246">
        <f>IFERROR(VLOOKUP(I148,PROGRAMAS[],2,FALSE),0)</f>
        <v>1892779498.5211046</v>
      </c>
      <c r="X148" s="246">
        <f>IFERROR(VLOOKUP(J148,PROGRAMAS[],2,FALSE),0)</f>
        <v>0</v>
      </c>
      <c r="Y148" s="246">
        <f>IFERROR(VLOOKUP(K148,PROGRAMAS[],2,FALSE),0)</f>
        <v>0</v>
      </c>
      <c r="Z148" s="246">
        <f>IFERROR(VLOOKUP(L148,PROGRAMAS[],2,FALSE),0)</f>
        <v>0</v>
      </c>
      <c r="AA148" s="246">
        <f>IFERROR(VLOOKUP(M148,PROGRAMAS[],2,FALSE),0)</f>
        <v>0</v>
      </c>
      <c r="AB148" s="246">
        <f>IFERROR(VLOOKUP(N148,PROGRAMAS[],2,FALSE),0)</f>
        <v>0</v>
      </c>
      <c r="AC148" s="246">
        <f>IFERROR(VLOOKUP(O148,PROGRAMAS[],2,FALSE),0)</f>
        <v>0</v>
      </c>
      <c r="AD148" s="246">
        <f>IFERROR(VLOOKUP(P148,PROGRAMAS[],2,FALSE),0)</f>
        <v>0</v>
      </c>
      <c r="AE148" s="246">
        <f>IFERROR(VLOOKUP(Q148,PROGRAMAS[],2,FALSE),0)</f>
        <v>0</v>
      </c>
      <c r="AF148" s="246">
        <f>IFERROR(VLOOKUP(D148,PROGRAMAS[],3,FALSE),0)</f>
        <v>841888629.31080008</v>
      </c>
      <c r="AG148" s="246">
        <f>IFERROR(VLOOKUP(E148,PROGRAMAS[],3,FALSE),0)</f>
        <v>3848980803.1642323</v>
      </c>
      <c r="AH148" s="246">
        <f>IFERROR(VLOOKUP(F148,PROGRAMAS[],3,FALSE),0)</f>
        <v>3394901471.387517</v>
      </c>
      <c r="AI148" s="246">
        <f>IFERROR(VLOOKUP(G148,PROGRAMAS[],3,FALSE),0)</f>
        <v>1233505101.0616004</v>
      </c>
      <c r="AJ148" s="246">
        <f>IFERROR(VLOOKUP(H148,PROGRAMAS[],3,FALSE),0)</f>
        <v>2406564599.0319901</v>
      </c>
      <c r="AK148" s="246">
        <f>IFERROR(VLOOKUP(I148,PROGRAMAS[],3,FALSE),0)</f>
        <v>948595847.09039903</v>
      </c>
      <c r="AL148" s="246">
        <f>IFERROR(VLOOKUP(J148,PROGRAMAS[],3,FALSE),0)</f>
        <v>0</v>
      </c>
      <c r="AM148" s="246">
        <f>IFERROR(VLOOKUP(K148,PROGRAMAS[],3,FALSE),0)</f>
        <v>0</v>
      </c>
      <c r="AN148" s="246">
        <f>IFERROR(VLOOKUP(L148,PROGRAMAS[],3,FALSE),0)</f>
        <v>0</v>
      </c>
      <c r="AO148" s="246">
        <f>IFERROR(VLOOKUP(M148,PROGRAMAS[],3,FALSE),0)</f>
        <v>0</v>
      </c>
      <c r="AP148" s="246">
        <f>IFERROR(VLOOKUP(N148,PROGRAMAS[],3,FALSE),0)</f>
        <v>0</v>
      </c>
      <c r="AQ148" s="246">
        <f>IFERROR(VLOOKUP(O148,PROGRAMAS[],3,FALSE),0)</f>
        <v>0</v>
      </c>
      <c r="AR148" s="246">
        <f>IFERROR(VLOOKUP(P148,PROGRAMAS[],3,FALSE),0)</f>
        <v>0</v>
      </c>
      <c r="AS148" s="246">
        <f>IFERROR(VLOOKUP(Q148,PROGRAMAS[],3,FALSE),0)</f>
        <v>0</v>
      </c>
      <c r="AT148" s="246">
        <f>IFERROR(VLOOKUP(D148,VOL_REC[],2,FALSE),0)</f>
        <v>0</v>
      </c>
      <c r="AU148" s="246">
        <f>IFERROR(VLOOKUP(E148,VOL_REC[],2,FALSE),0)</f>
        <v>0</v>
      </c>
      <c r="AV148" s="246">
        <f>IFERROR(VLOOKUP(F148,VOL_REC[],2,FALSE),0)</f>
        <v>11089674.200000001</v>
      </c>
      <c r="AW148" s="246">
        <f>IFERROR(VLOOKUP(G148,VOL_REC[],2,FALSE),0)</f>
        <v>4325103.1812214684</v>
      </c>
      <c r="AX148" s="246">
        <f>IFERROR(VLOOKUP(H148,VOL_REC[],2,FALSE),0)</f>
        <v>1072354.9981737854</v>
      </c>
      <c r="AY148" s="246">
        <f>IFERROR(VLOOKUP(I148,VOL_REC[],2,FALSE),0)</f>
        <v>740113.98115702497</v>
      </c>
      <c r="AZ148" s="246">
        <f>IFERROR(VLOOKUP(J148,VOL_REC[],2,FALSE),0)</f>
        <v>0</v>
      </c>
      <c r="BA148" s="246">
        <f>IFERROR(VLOOKUP(K148,VOL_REC[],2,FALSE),0)</f>
        <v>0</v>
      </c>
      <c r="BB148" s="246">
        <f>IFERROR(VLOOKUP(L148,VOL_REC[],2,FALSE),0)</f>
        <v>0</v>
      </c>
      <c r="BC148" s="246">
        <f>IFERROR(VLOOKUP(M148,VOL_REC[],2,FALSE),0)</f>
        <v>0</v>
      </c>
      <c r="BD148" s="246">
        <f>IFERROR(VLOOKUP(N148,VOL_REC[],2,FALSE),0)</f>
        <v>0</v>
      </c>
      <c r="BE148" s="246">
        <f>IFERROR(VLOOKUP(O148,VOL_REC[],2,FALSE),0)</f>
        <v>0</v>
      </c>
      <c r="BF148" s="246">
        <f>IFERROR(VLOOKUP(P148,VOL_REC[],2,FALSE),0)</f>
        <v>0</v>
      </c>
      <c r="BG148" s="246">
        <f>IFERROR(VLOOKUP(Q148,VOL_REC[],2,FALSE),0)</f>
        <v>0</v>
      </c>
      <c r="BH148" s="1710">
        <f t="shared" si="8"/>
        <v>14202085547.331659</v>
      </c>
      <c r="BI148" s="1710">
        <f t="shared" si="9"/>
        <v>12674436451.046539</v>
      </c>
      <c r="BJ148" s="1711">
        <f t="shared" si="10"/>
        <v>17227246.360552277</v>
      </c>
      <c r="BK148" s="1711">
        <f t="shared" si="11"/>
        <v>1.1205299424700639</v>
      </c>
      <c r="BL148">
        <f>BJ148</f>
        <v>17227246.360552277</v>
      </c>
      <c r="BO148">
        <f>BL148</f>
        <v>17227246.360552277</v>
      </c>
    </row>
    <row r="149" spans="3:67" x14ac:dyDescent="0.25">
      <c r="C149" s="246" t="s">
        <v>1499</v>
      </c>
      <c r="D149" s="246">
        <v>1</v>
      </c>
      <c r="E149" s="246">
        <v>2</v>
      </c>
      <c r="F149" s="246">
        <v>3</v>
      </c>
      <c r="G149" s="246">
        <v>6</v>
      </c>
      <c r="H149" s="246">
        <v>9</v>
      </c>
      <c r="I149" s="246">
        <v>10</v>
      </c>
      <c r="J149" s="246"/>
      <c r="K149" s="246"/>
      <c r="L149" s="246"/>
      <c r="M149" s="246"/>
      <c r="N149" s="246"/>
      <c r="O149" s="246"/>
      <c r="P149" s="246"/>
      <c r="Q149" s="246"/>
      <c r="R149" s="246">
        <f>IFERROR(VLOOKUP(D149,PROGRAMAS[],2,FALSE),0)</f>
        <v>97037803.679377079</v>
      </c>
      <c r="S149" s="246">
        <f>IFERROR(VLOOKUP(E149,PROGRAMAS[],2,FALSE),0)</f>
        <v>640501509.6821388</v>
      </c>
      <c r="T149" s="246">
        <f>IFERROR(VLOOKUP(F149,PROGRAMAS[],2,FALSE),0)</f>
        <v>3062327798.1525245</v>
      </c>
      <c r="U149" s="246">
        <f>IFERROR(VLOOKUP(G149,PROGRAMAS[],2,FALSE),0)</f>
        <v>6907648435.8447599</v>
      </c>
      <c r="V149" s="246">
        <f>IFERROR(VLOOKUP(H149,PROGRAMAS[],2,FALSE),0)</f>
        <v>6128579952.1618185</v>
      </c>
      <c r="W149" s="246">
        <f>IFERROR(VLOOKUP(I149,PROGRAMAS[],2,FALSE),0)</f>
        <v>4635315027.8751087</v>
      </c>
      <c r="X149" s="246">
        <f>IFERROR(VLOOKUP(J149,PROGRAMAS[],2,FALSE),0)</f>
        <v>0</v>
      </c>
      <c r="Y149" s="246">
        <f>IFERROR(VLOOKUP(K149,PROGRAMAS[],2,FALSE),0)</f>
        <v>0</v>
      </c>
      <c r="Z149" s="246">
        <f>IFERROR(VLOOKUP(L149,PROGRAMAS[],2,FALSE),0)</f>
        <v>0</v>
      </c>
      <c r="AA149" s="246">
        <f>IFERROR(VLOOKUP(M149,PROGRAMAS[],2,FALSE),0)</f>
        <v>0</v>
      </c>
      <c r="AB149" s="246">
        <f>IFERROR(VLOOKUP(N149,PROGRAMAS[],2,FALSE),0)</f>
        <v>0</v>
      </c>
      <c r="AC149" s="246">
        <f>IFERROR(VLOOKUP(O149,PROGRAMAS[],2,FALSE),0)</f>
        <v>0</v>
      </c>
      <c r="AD149" s="246">
        <f>IFERROR(VLOOKUP(P149,PROGRAMAS[],2,FALSE),0)</f>
        <v>0</v>
      </c>
      <c r="AE149" s="246">
        <f>IFERROR(VLOOKUP(Q149,PROGRAMAS[],2,FALSE),0)</f>
        <v>0</v>
      </c>
      <c r="AF149" s="246">
        <f>IFERROR(VLOOKUP(D149,PROGRAMAS[],3,FALSE),0)</f>
        <v>841888629.31080008</v>
      </c>
      <c r="AG149" s="246">
        <f>IFERROR(VLOOKUP(E149,PROGRAMAS[],3,FALSE),0)</f>
        <v>3848980803.1642323</v>
      </c>
      <c r="AH149" s="246">
        <f>IFERROR(VLOOKUP(F149,PROGRAMAS[],3,FALSE),0)</f>
        <v>3394901471.387517</v>
      </c>
      <c r="AI149" s="246">
        <f>IFERROR(VLOOKUP(G149,PROGRAMAS[],3,FALSE),0)</f>
        <v>6129902208.7912121</v>
      </c>
      <c r="AJ149" s="246">
        <f>IFERROR(VLOOKUP(H149,PROGRAMAS[],3,FALSE),0)</f>
        <v>7011279577.519702</v>
      </c>
      <c r="AK149" s="246">
        <f>IFERROR(VLOOKUP(I149,PROGRAMAS[],3,FALSE),0)</f>
        <v>4099471734.9978786</v>
      </c>
      <c r="AL149" s="246">
        <f>IFERROR(VLOOKUP(J149,PROGRAMAS[],3,FALSE),0)</f>
        <v>0</v>
      </c>
      <c r="AM149" s="246">
        <f>IFERROR(VLOOKUP(K149,PROGRAMAS[],3,FALSE),0)</f>
        <v>0</v>
      </c>
      <c r="AN149" s="246">
        <f>IFERROR(VLOOKUP(L149,PROGRAMAS[],3,FALSE),0)</f>
        <v>0</v>
      </c>
      <c r="AO149" s="246">
        <f>IFERROR(VLOOKUP(M149,PROGRAMAS[],3,FALSE),0)</f>
        <v>0</v>
      </c>
      <c r="AP149" s="246">
        <f>IFERROR(VLOOKUP(N149,PROGRAMAS[],3,FALSE),0)</f>
        <v>0</v>
      </c>
      <c r="AQ149" s="246">
        <f>IFERROR(VLOOKUP(O149,PROGRAMAS[],3,FALSE),0)</f>
        <v>0</v>
      </c>
      <c r="AR149" s="246">
        <f>IFERROR(VLOOKUP(P149,PROGRAMAS[],3,FALSE),0)</f>
        <v>0</v>
      </c>
      <c r="AS149" s="246">
        <f>IFERROR(VLOOKUP(Q149,PROGRAMAS[],3,FALSE),0)</f>
        <v>0</v>
      </c>
      <c r="AT149" s="246">
        <f>IFERROR(VLOOKUP(D149,VOL_REC[],2,FALSE),0)</f>
        <v>0</v>
      </c>
      <c r="AU149" s="246">
        <f>IFERROR(VLOOKUP(E149,VOL_REC[],2,FALSE),0)</f>
        <v>0</v>
      </c>
      <c r="AV149" s="246">
        <f>IFERROR(VLOOKUP(F149,VOL_REC[],2,FALSE),0)</f>
        <v>11089674.200000001</v>
      </c>
      <c r="AW149" s="246">
        <f>IFERROR(VLOOKUP(G149,VOL_REC[],2,FALSE),0)</f>
        <v>15540036.397699751</v>
      </c>
      <c r="AX149" s="246">
        <f>IFERROR(VLOOKUP(H149,VOL_REC[],2,FALSE),0)</f>
        <v>3761786</v>
      </c>
      <c r="AY149" s="246">
        <f>IFERROR(VLOOKUP(I149,VOL_REC[],2,FALSE),0)</f>
        <v>1812240</v>
      </c>
      <c r="AZ149" s="246">
        <f>IFERROR(VLOOKUP(J149,VOL_REC[],2,FALSE),0)</f>
        <v>0</v>
      </c>
      <c r="BA149" s="246">
        <f>IFERROR(VLOOKUP(K149,VOL_REC[],2,FALSE),0)</f>
        <v>0</v>
      </c>
      <c r="BB149" s="246">
        <f>IFERROR(VLOOKUP(L149,VOL_REC[],2,FALSE),0)</f>
        <v>0</v>
      </c>
      <c r="BC149" s="246">
        <f>IFERROR(VLOOKUP(M149,VOL_REC[],2,FALSE),0)</f>
        <v>0</v>
      </c>
      <c r="BD149" s="246">
        <f>IFERROR(VLOOKUP(N149,VOL_REC[],2,FALSE),0)</f>
        <v>0</v>
      </c>
      <c r="BE149" s="246">
        <f>IFERROR(VLOOKUP(O149,VOL_REC[],2,FALSE),0)</f>
        <v>0</v>
      </c>
      <c r="BF149" s="246">
        <f>IFERROR(VLOOKUP(P149,VOL_REC[],2,FALSE),0)</f>
        <v>0</v>
      </c>
      <c r="BG149" s="246">
        <f>IFERROR(VLOOKUP(Q149,VOL_REC[],2,FALSE),0)</f>
        <v>0</v>
      </c>
      <c r="BH149" s="1710">
        <f t="shared" si="8"/>
        <v>21471410527.395729</v>
      </c>
      <c r="BI149" s="1710">
        <f t="shared" si="9"/>
        <v>25326424425.171345</v>
      </c>
      <c r="BJ149" s="1711">
        <f t="shared" si="10"/>
        <v>32203736.597699754</v>
      </c>
      <c r="BK149" s="1711">
        <f t="shared" si="11"/>
        <v>0.84778688720290862</v>
      </c>
    </row>
    <row r="150" spans="3:67" x14ac:dyDescent="0.25">
      <c r="C150" s="246" t="s">
        <v>1500</v>
      </c>
      <c r="D150" s="246">
        <v>1</v>
      </c>
      <c r="E150" s="246">
        <v>2</v>
      </c>
      <c r="F150" s="246">
        <v>3</v>
      </c>
      <c r="G150" s="246">
        <v>6</v>
      </c>
      <c r="H150" s="246">
        <v>9</v>
      </c>
      <c r="I150" s="246">
        <v>12</v>
      </c>
      <c r="J150" s="246"/>
      <c r="K150" s="246"/>
      <c r="L150" s="246"/>
      <c r="M150" s="246"/>
      <c r="N150" s="246"/>
      <c r="O150" s="246"/>
      <c r="P150" s="246"/>
      <c r="Q150" s="246"/>
      <c r="R150" s="246">
        <f>IFERROR(VLOOKUP(D150,PROGRAMAS[],2,FALSE),0)</f>
        <v>97037803.679377079</v>
      </c>
      <c r="S150" s="246">
        <f>IFERROR(VLOOKUP(E150,PROGRAMAS[],2,FALSE),0)</f>
        <v>640501509.6821388</v>
      </c>
      <c r="T150" s="246">
        <f>IFERROR(VLOOKUP(F150,PROGRAMAS[],2,FALSE),0)</f>
        <v>3062327798.1525245</v>
      </c>
      <c r="U150" s="246">
        <f>IFERROR(VLOOKUP(G150,PROGRAMAS[],2,FALSE),0)</f>
        <v>6907648435.8447599</v>
      </c>
      <c r="V150" s="246">
        <f>IFERROR(VLOOKUP(H150,PROGRAMAS[],2,FALSE),0)</f>
        <v>6128579952.1618185</v>
      </c>
      <c r="W150" s="246">
        <f>IFERROR(VLOOKUP(I150,PROGRAMAS[],2,FALSE),0)</f>
        <v>764796700.79905891</v>
      </c>
      <c r="X150" s="246">
        <f>IFERROR(VLOOKUP(J150,PROGRAMAS[],2,FALSE),0)</f>
        <v>0</v>
      </c>
      <c r="Y150" s="246">
        <f>IFERROR(VLOOKUP(K150,PROGRAMAS[],2,FALSE),0)</f>
        <v>0</v>
      </c>
      <c r="Z150" s="246">
        <f>IFERROR(VLOOKUP(L150,PROGRAMAS[],2,FALSE),0)</f>
        <v>0</v>
      </c>
      <c r="AA150" s="246">
        <f>IFERROR(VLOOKUP(M150,PROGRAMAS[],2,FALSE),0)</f>
        <v>0</v>
      </c>
      <c r="AB150" s="246">
        <f>IFERROR(VLOOKUP(N150,PROGRAMAS[],2,FALSE),0)</f>
        <v>0</v>
      </c>
      <c r="AC150" s="246">
        <f>IFERROR(VLOOKUP(O150,PROGRAMAS[],2,FALSE),0)</f>
        <v>0</v>
      </c>
      <c r="AD150" s="246">
        <f>IFERROR(VLOOKUP(P150,PROGRAMAS[],2,FALSE),0)</f>
        <v>0</v>
      </c>
      <c r="AE150" s="246">
        <f>IFERROR(VLOOKUP(Q150,PROGRAMAS[],2,FALSE),0)</f>
        <v>0</v>
      </c>
      <c r="AF150" s="246">
        <f>IFERROR(VLOOKUP(D150,PROGRAMAS[],3,FALSE),0)</f>
        <v>841888629.31080008</v>
      </c>
      <c r="AG150" s="246">
        <f>IFERROR(VLOOKUP(E150,PROGRAMAS[],3,FALSE),0)</f>
        <v>3848980803.1642323</v>
      </c>
      <c r="AH150" s="246">
        <f>IFERROR(VLOOKUP(F150,PROGRAMAS[],3,FALSE),0)</f>
        <v>3394901471.387517</v>
      </c>
      <c r="AI150" s="246">
        <f>IFERROR(VLOOKUP(G150,PROGRAMAS[],3,FALSE),0)</f>
        <v>6129902208.7912121</v>
      </c>
      <c r="AJ150" s="246">
        <f>IFERROR(VLOOKUP(H150,PROGRAMAS[],3,FALSE),0)</f>
        <v>7011279577.519702</v>
      </c>
      <c r="AK150" s="246">
        <f>IFERROR(VLOOKUP(I150,PROGRAMAS[],3,FALSE),0)</f>
        <v>675517840.109828</v>
      </c>
      <c r="AL150" s="246">
        <f>IFERROR(VLOOKUP(J150,PROGRAMAS[],3,FALSE),0)</f>
        <v>0</v>
      </c>
      <c r="AM150" s="246">
        <f>IFERROR(VLOOKUP(K150,PROGRAMAS[],3,FALSE),0)</f>
        <v>0</v>
      </c>
      <c r="AN150" s="246">
        <f>IFERROR(VLOOKUP(L150,PROGRAMAS[],3,FALSE),0)</f>
        <v>0</v>
      </c>
      <c r="AO150" s="246">
        <f>IFERROR(VLOOKUP(M150,PROGRAMAS[],3,FALSE),0)</f>
        <v>0</v>
      </c>
      <c r="AP150" s="246">
        <f>IFERROR(VLOOKUP(N150,PROGRAMAS[],3,FALSE),0)</f>
        <v>0</v>
      </c>
      <c r="AQ150" s="246">
        <f>IFERROR(VLOOKUP(O150,PROGRAMAS[],3,FALSE),0)</f>
        <v>0</v>
      </c>
      <c r="AR150" s="246">
        <f>IFERROR(VLOOKUP(P150,PROGRAMAS[],3,FALSE),0)</f>
        <v>0</v>
      </c>
      <c r="AS150" s="246">
        <f>IFERROR(VLOOKUP(Q150,PROGRAMAS[],3,FALSE),0)</f>
        <v>0</v>
      </c>
      <c r="AT150" s="246">
        <f>IFERROR(VLOOKUP(D150,VOL_REC[],2,FALSE),0)</f>
        <v>0</v>
      </c>
      <c r="AU150" s="246">
        <f>IFERROR(VLOOKUP(E150,VOL_REC[],2,FALSE),0)</f>
        <v>0</v>
      </c>
      <c r="AV150" s="246">
        <f>IFERROR(VLOOKUP(F150,VOL_REC[],2,FALSE),0)</f>
        <v>11089674.200000001</v>
      </c>
      <c r="AW150" s="246">
        <f>IFERROR(VLOOKUP(G150,VOL_REC[],2,FALSE),0)</f>
        <v>15540036.397699751</v>
      </c>
      <c r="AX150" s="246">
        <f>IFERROR(VLOOKUP(H150,VOL_REC[],2,FALSE),0)</f>
        <v>3761786</v>
      </c>
      <c r="AY150" s="246">
        <f>IFERROR(VLOOKUP(I150,VOL_REC[],2,FALSE),0)</f>
        <v>240696.79238099116</v>
      </c>
      <c r="AZ150" s="246">
        <f>IFERROR(VLOOKUP(J150,VOL_REC[],2,FALSE),0)</f>
        <v>0</v>
      </c>
      <c r="BA150" s="246">
        <f>IFERROR(VLOOKUP(K150,VOL_REC[],2,FALSE),0)</f>
        <v>0</v>
      </c>
      <c r="BB150" s="246">
        <f>IFERROR(VLOOKUP(L150,VOL_REC[],2,FALSE),0)</f>
        <v>0</v>
      </c>
      <c r="BC150" s="246">
        <f>IFERROR(VLOOKUP(M150,VOL_REC[],2,FALSE),0)</f>
        <v>0</v>
      </c>
      <c r="BD150" s="246">
        <f>IFERROR(VLOOKUP(N150,VOL_REC[],2,FALSE),0)</f>
        <v>0</v>
      </c>
      <c r="BE150" s="246">
        <f>IFERROR(VLOOKUP(O150,VOL_REC[],2,FALSE),0)</f>
        <v>0</v>
      </c>
      <c r="BF150" s="246">
        <f>IFERROR(VLOOKUP(P150,VOL_REC[],2,FALSE),0)</f>
        <v>0</v>
      </c>
      <c r="BG150" s="246">
        <f>IFERROR(VLOOKUP(Q150,VOL_REC[],2,FALSE),0)</f>
        <v>0</v>
      </c>
      <c r="BH150" s="1710">
        <f t="shared" si="8"/>
        <v>17600892200.319679</v>
      </c>
      <c r="BI150" s="1710">
        <f t="shared" si="9"/>
        <v>21902470530.283295</v>
      </c>
      <c r="BJ150" s="1711">
        <f t="shared" si="10"/>
        <v>30632193.390080746</v>
      </c>
      <c r="BK150" s="1711">
        <f t="shared" si="11"/>
        <v>0.80360305363652618</v>
      </c>
    </row>
    <row r="151" spans="3:67" x14ac:dyDescent="0.25">
      <c r="C151" s="246" t="s">
        <v>1501</v>
      </c>
      <c r="D151" s="246">
        <v>1</v>
      </c>
      <c r="E151" s="246">
        <v>2</v>
      </c>
      <c r="F151" s="246">
        <v>3</v>
      </c>
      <c r="G151" s="246">
        <v>6</v>
      </c>
      <c r="H151" s="246">
        <v>9</v>
      </c>
      <c r="I151" s="246">
        <v>13</v>
      </c>
      <c r="J151" s="246"/>
      <c r="K151" s="246"/>
      <c r="L151" s="246"/>
      <c r="M151" s="246"/>
      <c r="N151" s="246"/>
      <c r="O151" s="246"/>
      <c r="P151" s="246"/>
      <c r="Q151" s="246"/>
      <c r="R151" s="246">
        <f>IFERROR(VLOOKUP(D151,PROGRAMAS[],2,FALSE),0)</f>
        <v>97037803.679377079</v>
      </c>
      <c r="S151" s="246">
        <f>IFERROR(VLOOKUP(E151,PROGRAMAS[],2,FALSE),0)</f>
        <v>640501509.6821388</v>
      </c>
      <c r="T151" s="246">
        <f>IFERROR(VLOOKUP(F151,PROGRAMAS[],2,FALSE),0)</f>
        <v>3062327798.1525245</v>
      </c>
      <c r="U151" s="246">
        <f>IFERROR(VLOOKUP(G151,PROGRAMAS[],2,FALSE),0)</f>
        <v>6907648435.8447599</v>
      </c>
      <c r="V151" s="246">
        <f>IFERROR(VLOOKUP(H151,PROGRAMAS[],2,FALSE),0)</f>
        <v>6128579952.1618185</v>
      </c>
      <c r="W151" s="246">
        <f>IFERROR(VLOOKUP(I151,PROGRAMAS[],2,FALSE),0)</f>
        <v>3776538594.4604583</v>
      </c>
      <c r="X151" s="246">
        <f>IFERROR(VLOOKUP(J151,PROGRAMAS[],2,FALSE),0)</f>
        <v>0</v>
      </c>
      <c r="Y151" s="246">
        <f>IFERROR(VLOOKUP(K151,PROGRAMAS[],2,FALSE),0)</f>
        <v>0</v>
      </c>
      <c r="Z151" s="246">
        <f>IFERROR(VLOOKUP(L151,PROGRAMAS[],2,FALSE),0)</f>
        <v>0</v>
      </c>
      <c r="AA151" s="246">
        <f>IFERROR(VLOOKUP(M151,PROGRAMAS[],2,FALSE),0)</f>
        <v>0</v>
      </c>
      <c r="AB151" s="246">
        <f>IFERROR(VLOOKUP(N151,PROGRAMAS[],2,FALSE),0)</f>
        <v>0</v>
      </c>
      <c r="AC151" s="246">
        <f>IFERROR(VLOOKUP(O151,PROGRAMAS[],2,FALSE),0)</f>
        <v>0</v>
      </c>
      <c r="AD151" s="246">
        <f>IFERROR(VLOOKUP(P151,PROGRAMAS[],2,FALSE),0)</f>
        <v>0</v>
      </c>
      <c r="AE151" s="246">
        <f>IFERROR(VLOOKUP(Q151,PROGRAMAS[],2,FALSE),0)</f>
        <v>0</v>
      </c>
      <c r="AF151" s="246">
        <f>IFERROR(VLOOKUP(D151,PROGRAMAS[],3,FALSE),0)</f>
        <v>841888629.31080008</v>
      </c>
      <c r="AG151" s="246">
        <f>IFERROR(VLOOKUP(E151,PROGRAMAS[],3,FALSE),0)</f>
        <v>3848980803.1642323</v>
      </c>
      <c r="AH151" s="246">
        <f>IFERROR(VLOOKUP(F151,PROGRAMAS[],3,FALSE),0)</f>
        <v>3394901471.387517</v>
      </c>
      <c r="AI151" s="246">
        <f>IFERROR(VLOOKUP(G151,PROGRAMAS[],3,FALSE),0)</f>
        <v>6129902208.7912121</v>
      </c>
      <c r="AJ151" s="246">
        <f>IFERROR(VLOOKUP(H151,PROGRAMAS[],3,FALSE),0)</f>
        <v>7011279577.519702</v>
      </c>
      <c r="AK151" s="246">
        <f>IFERROR(VLOOKUP(I151,PROGRAMAS[],3,FALSE),0)</f>
        <v>2392571243.5584412</v>
      </c>
      <c r="AL151" s="246">
        <f>IFERROR(VLOOKUP(J151,PROGRAMAS[],3,FALSE),0)</f>
        <v>0</v>
      </c>
      <c r="AM151" s="246">
        <f>IFERROR(VLOOKUP(K151,PROGRAMAS[],3,FALSE),0)</f>
        <v>0</v>
      </c>
      <c r="AN151" s="246">
        <f>IFERROR(VLOOKUP(L151,PROGRAMAS[],3,FALSE),0)</f>
        <v>0</v>
      </c>
      <c r="AO151" s="246">
        <f>IFERROR(VLOOKUP(M151,PROGRAMAS[],3,FALSE),0)</f>
        <v>0</v>
      </c>
      <c r="AP151" s="246">
        <f>IFERROR(VLOOKUP(N151,PROGRAMAS[],3,FALSE),0)</f>
        <v>0</v>
      </c>
      <c r="AQ151" s="246">
        <f>IFERROR(VLOOKUP(O151,PROGRAMAS[],3,FALSE),0)</f>
        <v>0</v>
      </c>
      <c r="AR151" s="246">
        <f>IFERROR(VLOOKUP(P151,PROGRAMAS[],3,FALSE),0)</f>
        <v>0</v>
      </c>
      <c r="AS151" s="246">
        <f>IFERROR(VLOOKUP(Q151,PROGRAMAS[],3,FALSE),0)</f>
        <v>0</v>
      </c>
      <c r="AT151" s="246">
        <f>IFERROR(VLOOKUP(D151,VOL_REC[],2,FALSE),0)</f>
        <v>0</v>
      </c>
      <c r="AU151" s="246">
        <f>IFERROR(VLOOKUP(E151,VOL_REC[],2,FALSE),0)</f>
        <v>0</v>
      </c>
      <c r="AV151" s="246">
        <f>IFERROR(VLOOKUP(F151,VOL_REC[],2,FALSE),0)</f>
        <v>11089674.200000001</v>
      </c>
      <c r="AW151" s="246">
        <f>IFERROR(VLOOKUP(G151,VOL_REC[],2,FALSE),0)</f>
        <v>15540036.397699751</v>
      </c>
      <c r="AX151" s="246">
        <f>IFERROR(VLOOKUP(H151,VOL_REC[],2,FALSE),0)</f>
        <v>3761786</v>
      </c>
      <c r="AY151" s="246">
        <f>IFERROR(VLOOKUP(I151,VOL_REC[],2,FALSE),0)</f>
        <v>663244.80000000016</v>
      </c>
      <c r="AZ151" s="246">
        <f>IFERROR(VLOOKUP(J151,VOL_REC[],2,FALSE),0)</f>
        <v>0</v>
      </c>
      <c r="BA151" s="246">
        <f>IFERROR(VLOOKUP(K151,VOL_REC[],2,FALSE),0)</f>
        <v>0</v>
      </c>
      <c r="BB151" s="246">
        <f>IFERROR(VLOOKUP(L151,VOL_REC[],2,FALSE),0)</f>
        <v>0</v>
      </c>
      <c r="BC151" s="246">
        <f>IFERROR(VLOOKUP(M151,VOL_REC[],2,FALSE),0)</f>
        <v>0</v>
      </c>
      <c r="BD151" s="246">
        <f>IFERROR(VLOOKUP(N151,VOL_REC[],2,FALSE),0)</f>
        <v>0</v>
      </c>
      <c r="BE151" s="246">
        <f>IFERROR(VLOOKUP(O151,VOL_REC[],2,FALSE),0)</f>
        <v>0</v>
      </c>
      <c r="BF151" s="246">
        <f>IFERROR(VLOOKUP(P151,VOL_REC[],2,FALSE),0)</f>
        <v>0</v>
      </c>
      <c r="BG151" s="246">
        <f>IFERROR(VLOOKUP(Q151,VOL_REC[],2,FALSE),0)</f>
        <v>0</v>
      </c>
      <c r="BH151" s="1710">
        <f t="shared" si="8"/>
        <v>20612634093.981075</v>
      </c>
      <c r="BI151" s="1710">
        <f t="shared" si="9"/>
        <v>23619523933.731907</v>
      </c>
      <c r="BJ151" s="1711">
        <f t="shared" si="10"/>
        <v>31054741.397699755</v>
      </c>
      <c r="BK151" s="1711">
        <f t="shared" si="11"/>
        <v>0.8726947313507627</v>
      </c>
    </row>
    <row r="152" spans="3:67" x14ac:dyDescent="0.25">
      <c r="C152" s="246" t="s">
        <v>1502</v>
      </c>
      <c r="D152" s="246">
        <v>1</v>
      </c>
      <c r="E152" s="246">
        <v>2</v>
      </c>
      <c r="F152" s="246">
        <v>3</v>
      </c>
      <c r="G152" s="246">
        <v>6</v>
      </c>
      <c r="H152" s="246">
        <v>9</v>
      </c>
      <c r="I152" s="246">
        <v>14</v>
      </c>
      <c r="J152" s="246"/>
      <c r="K152" s="246"/>
      <c r="L152" s="246"/>
      <c r="M152" s="246"/>
      <c r="N152" s="246"/>
      <c r="O152" s="246"/>
      <c r="P152" s="246"/>
      <c r="Q152" s="246"/>
      <c r="R152" s="246">
        <f>IFERROR(VLOOKUP(D152,PROGRAMAS[],2,FALSE),0)</f>
        <v>97037803.679377079</v>
      </c>
      <c r="S152" s="246">
        <f>IFERROR(VLOOKUP(E152,PROGRAMAS[],2,FALSE),0)</f>
        <v>640501509.6821388</v>
      </c>
      <c r="T152" s="246">
        <f>IFERROR(VLOOKUP(F152,PROGRAMAS[],2,FALSE),0)</f>
        <v>3062327798.1525245</v>
      </c>
      <c r="U152" s="246">
        <f>IFERROR(VLOOKUP(G152,PROGRAMAS[],2,FALSE),0)</f>
        <v>6907648435.8447599</v>
      </c>
      <c r="V152" s="246">
        <f>IFERROR(VLOOKUP(H152,PROGRAMAS[],2,FALSE),0)</f>
        <v>6128579952.1618185</v>
      </c>
      <c r="W152" s="246">
        <f>IFERROR(VLOOKUP(I152,PROGRAMAS[],2,FALSE),0)</f>
        <v>54223862.645839565</v>
      </c>
      <c r="X152" s="246">
        <f>IFERROR(VLOOKUP(J152,PROGRAMAS[],2,FALSE),0)</f>
        <v>0</v>
      </c>
      <c r="Y152" s="246">
        <f>IFERROR(VLOOKUP(K152,PROGRAMAS[],2,FALSE),0)</f>
        <v>0</v>
      </c>
      <c r="Z152" s="246">
        <f>IFERROR(VLOOKUP(L152,PROGRAMAS[],2,FALSE),0)</f>
        <v>0</v>
      </c>
      <c r="AA152" s="246">
        <f>IFERROR(VLOOKUP(M152,PROGRAMAS[],2,FALSE),0)</f>
        <v>0</v>
      </c>
      <c r="AB152" s="246">
        <f>IFERROR(VLOOKUP(N152,PROGRAMAS[],2,FALSE),0)</f>
        <v>0</v>
      </c>
      <c r="AC152" s="246">
        <f>IFERROR(VLOOKUP(O152,PROGRAMAS[],2,FALSE),0)</f>
        <v>0</v>
      </c>
      <c r="AD152" s="246">
        <f>IFERROR(VLOOKUP(P152,PROGRAMAS[],2,FALSE),0)</f>
        <v>0</v>
      </c>
      <c r="AE152" s="246">
        <f>IFERROR(VLOOKUP(Q152,PROGRAMAS[],2,FALSE),0)</f>
        <v>0</v>
      </c>
      <c r="AF152" s="246">
        <f>IFERROR(VLOOKUP(D152,PROGRAMAS[],3,FALSE),0)</f>
        <v>841888629.31080008</v>
      </c>
      <c r="AG152" s="246">
        <f>IFERROR(VLOOKUP(E152,PROGRAMAS[],3,FALSE),0)</f>
        <v>3848980803.1642323</v>
      </c>
      <c r="AH152" s="246">
        <f>IFERROR(VLOOKUP(F152,PROGRAMAS[],3,FALSE),0)</f>
        <v>3394901471.387517</v>
      </c>
      <c r="AI152" s="246">
        <f>IFERROR(VLOOKUP(G152,PROGRAMAS[],3,FALSE),0)</f>
        <v>6129902208.7912121</v>
      </c>
      <c r="AJ152" s="246">
        <f>IFERROR(VLOOKUP(H152,PROGRAMAS[],3,FALSE),0)</f>
        <v>7011279577.519702</v>
      </c>
      <c r="AK152" s="246">
        <f>IFERROR(VLOOKUP(I152,PROGRAMAS[],3,FALSE),0)</f>
        <v>31865326.38096505</v>
      </c>
      <c r="AL152" s="246">
        <f>IFERROR(VLOOKUP(J152,PROGRAMAS[],3,FALSE),0)</f>
        <v>0</v>
      </c>
      <c r="AM152" s="246">
        <f>IFERROR(VLOOKUP(K152,PROGRAMAS[],3,FALSE),0)</f>
        <v>0</v>
      </c>
      <c r="AN152" s="246">
        <f>IFERROR(VLOOKUP(L152,PROGRAMAS[],3,FALSE),0)</f>
        <v>0</v>
      </c>
      <c r="AO152" s="246">
        <f>IFERROR(VLOOKUP(M152,PROGRAMAS[],3,FALSE),0)</f>
        <v>0</v>
      </c>
      <c r="AP152" s="246">
        <f>IFERROR(VLOOKUP(N152,PROGRAMAS[],3,FALSE),0)</f>
        <v>0</v>
      </c>
      <c r="AQ152" s="246">
        <f>IFERROR(VLOOKUP(O152,PROGRAMAS[],3,FALSE),0)</f>
        <v>0</v>
      </c>
      <c r="AR152" s="246">
        <f>IFERROR(VLOOKUP(P152,PROGRAMAS[],3,FALSE),0)</f>
        <v>0</v>
      </c>
      <c r="AS152" s="246">
        <f>IFERROR(VLOOKUP(Q152,PROGRAMAS[],3,FALSE),0)</f>
        <v>0</v>
      </c>
      <c r="AT152" s="246">
        <f>IFERROR(VLOOKUP(D152,VOL_REC[],2,FALSE),0)</f>
        <v>0</v>
      </c>
      <c r="AU152" s="246">
        <f>IFERROR(VLOOKUP(E152,VOL_REC[],2,FALSE),0)</f>
        <v>0</v>
      </c>
      <c r="AV152" s="246">
        <f>IFERROR(VLOOKUP(F152,VOL_REC[],2,FALSE),0)</f>
        <v>11089674.200000001</v>
      </c>
      <c r="AW152" s="246">
        <f>IFERROR(VLOOKUP(G152,VOL_REC[],2,FALSE),0)</f>
        <v>15540036.397699751</v>
      </c>
      <c r="AX152" s="246">
        <f>IFERROR(VLOOKUP(H152,VOL_REC[],2,FALSE),0)</f>
        <v>3761786</v>
      </c>
      <c r="AY152" s="246">
        <f>IFERROR(VLOOKUP(I152,VOL_REC[],2,FALSE),0)</f>
        <v>17074.045034105649</v>
      </c>
      <c r="AZ152" s="246">
        <f>IFERROR(VLOOKUP(J152,VOL_REC[],2,FALSE),0)</f>
        <v>0</v>
      </c>
      <c r="BA152" s="246">
        <f>IFERROR(VLOOKUP(K152,VOL_REC[],2,FALSE),0)</f>
        <v>0</v>
      </c>
      <c r="BB152" s="246">
        <f>IFERROR(VLOOKUP(L152,VOL_REC[],2,FALSE),0)</f>
        <v>0</v>
      </c>
      <c r="BC152" s="246">
        <f>IFERROR(VLOOKUP(M152,VOL_REC[],2,FALSE),0)</f>
        <v>0</v>
      </c>
      <c r="BD152" s="246">
        <f>IFERROR(VLOOKUP(N152,VOL_REC[],2,FALSE),0)</f>
        <v>0</v>
      </c>
      <c r="BE152" s="246">
        <f>IFERROR(VLOOKUP(O152,VOL_REC[],2,FALSE),0)</f>
        <v>0</v>
      </c>
      <c r="BF152" s="246">
        <f>IFERROR(VLOOKUP(P152,VOL_REC[],2,FALSE),0)</f>
        <v>0</v>
      </c>
      <c r="BG152" s="246">
        <f>IFERROR(VLOOKUP(Q152,VOL_REC[],2,FALSE),0)</f>
        <v>0</v>
      </c>
      <c r="BH152" s="1710">
        <f t="shared" si="8"/>
        <v>16890319362.166458</v>
      </c>
      <c r="BI152" s="1710">
        <f t="shared" si="9"/>
        <v>21258818016.554432</v>
      </c>
      <c r="BJ152" s="1711">
        <f t="shared" si="10"/>
        <v>30408570.642733861</v>
      </c>
      <c r="BK152" s="1711">
        <f t="shared" si="11"/>
        <v>0.7945088644633872</v>
      </c>
    </row>
    <row r="153" spans="3:67" x14ac:dyDescent="0.25">
      <c r="C153" s="246" t="s">
        <v>1503</v>
      </c>
      <c r="D153" s="246">
        <v>1</v>
      </c>
      <c r="E153" s="246">
        <v>2</v>
      </c>
      <c r="F153" s="246">
        <v>3</v>
      </c>
      <c r="G153" s="246">
        <v>6</v>
      </c>
      <c r="H153" s="246">
        <v>9</v>
      </c>
      <c r="I153" s="246">
        <v>15</v>
      </c>
      <c r="J153" s="246"/>
      <c r="K153" s="246"/>
      <c r="L153" s="246"/>
      <c r="M153" s="246"/>
      <c r="N153" s="246"/>
      <c r="O153" s="246"/>
      <c r="P153" s="246"/>
      <c r="Q153" s="246"/>
      <c r="R153" s="246">
        <f>IFERROR(VLOOKUP(D153,PROGRAMAS[],2,FALSE),0)</f>
        <v>97037803.679377079</v>
      </c>
      <c r="S153" s="246">
        <f>IFERROR(VLOOKUP(E153,PROGRAMAS[],2,FALSE),0)</f>
        <v>640501509.6821388</v>
      </c>
      <c r="T153" s="246">
        <f>IFERROR(VLOOKUP(F153,PROGRAMAS[],2,FALSE),0)</f>
        <v>3062327798.1525245</v>
      </c>
      <c r="U153" s="246">
        <f>IFERROR(VLOOKUP(G153,PROGRAMAS[],2,FALSE),0)</f>
        <v>6907648435.8447599</v>
      </c>
      <c r="V153" s="246">
        <f>IFERROR(VLOOKUP(H153,PROGRAMAS[],2,FALSE),0)</f>
        <v>6128579952.1618185</v>
      </c>
      <c r="W153" s="246">
        <f>IFERROR(VLOOKUP(I153,PROGRAMAS[],2,FALSE),0)</f>
        <v>122159672.96346797</v>
      </c>
      <c r="X153" s="246">
        <f>IFERROR(VLOOKUP(J153,PROGRAMAS[],2,FALSE),0)</f>
        <v>0</v>
      </c>
      <c r="Y153" s="246">
        <f>IFERROR(VLOOKUP(K153,PROGRAMAS[],2,FALSE),0)</f>
        <v>0</v>
      </c>
      <c r="Z153" s="246">
        <f>IFERROR(VLOOKUP(L153,PROGRAMAS[],2,FALSE),0)</f>
        <v>0</v>
      </c>
      <c r="AA153" s="246">
        <f>IFERROR(VLOOKUP(M153,PROGRAMAS[],2,FALSE),0)</f>
        <v>0</v>
      </c>
      <c r="AB153" s="246">
        <f>IFERROR(VLOOKUP(N153,PROGRAMAS[],2,FALSE),0)</f>
        <v>0</v>
      </c>
      <c r="AC153" s="246">
        <f>IFERROR(VLOOKUP(O153,PROGRAMAS[],2,FALSE),0)</f>
        <v>0</v>
      </c>
      <c r="AD153" s="246">
        <f>IFERROR(VLOOKUP(P153,PROGRAMAS[],2,FALSE),0)</f>
        <v>0</v>
      </c>
      <c r="AE153" s="246">
        <f>IFERROR(VLOOKUP(Q153,PROGRAMAS[],2,FALSE),0)</f>
        <v>0</v>
      </c>
      <c r="AF153" s="246">
        <f>IFERROR(VLOOKUP(D153,PROGRAMAS[],3,FALSE),0)</f>
        <v>841888629.31080008</v>
      </c>
      <c r="AG153" s="246">
        <f>IFERROR(VLOOKUP(E153,PROGRAMAS[],3,FALSE),0)</f>
        <v>3848980803.1642323</v>
      </c>
      <c r="AH153" s="246">
        <f>IFERROR(VLOOKUP(F153,PROGRAMAS[],3,FALSE),0)</f>
        <v>3394901471.387517</v>
      </c>
      <c r="AI153" s="246">
        <f>IFERROR(VLOOKUP(G153,PROGRAMAS[],3,FALSE),0)</f>
        <v>6129902208.7912121</v>
      </c>
      <c r="AJ153" s="246">
        <f>IFERROR(VLOOKUP(H153,PROGRAMAS[],3,FALSE),0)</f>
        <v>7011279577.519702</v>
      </c>
      <c r="AK153" s="246">
        <f>IFERROR(VLOOKUP(I153,PROGRAMAS[],3,FALSE),0)</f>
        <v>118617452.52510804</v>
      </c>
      <c r="AL153" s="246">
        <f>IFERROR(VLOOKUP(J153,PROGRAMAS[],3,FALSE),0)</f>
        <v>0</v>
      </c>
      <c r="AM153" s="246">
        <f>IFERROR(VLOOKUP(K153,PROGRAMAS[],3,FALSE),0)</f>
        <v>0</v>
      </c>
      <c r="AN153" s="246">
        <f>IFERROR(VLOOKUP(L153,PROGRAMAS[],3,FALSE),0)</f>
        <v>0</v>
      </c>
      <c r="AO153" s="246">
        <f>IFERROR(VLOOKUP(M153,PROGRAMAS[],3,FALSE),0)</f>
        <v>0</v>
      </c>
      <c r="AP153" s="246">
        <f>IFERROR(VLOOKUP(N153,PROGRAMAS[],3,FALSE),0)</f>
        <v>0</v>
      </c>
      <c r="AQ153" s="246">
        <f>IFERROR(VLOOKUP(O153,PROGRAMAS[],3,FALSE),0)</f>
        <v>0</v>
      </c>
      <c r="AR153" s="246">
        <f>IFERROR(VLOOKUP(P153,PROGRAMAS[],3,FALSE),0)</f>
        <v>0</v>
      </c>
      <c r="AS153" s="246">
        <f>IFERROR(VLOOKUP(Q153,PROGRAMAS[],3,FALSE),0)</f>
        <v>0</v>
      </c>
      <c r="AT153" s="246">
        <f>IFERROR(VLOOKUP(D153,VOL_REC[],2,FALSE),0)</f>
        <v>0</v>
      </c>
      <c r="AU153" s="246">
        <f>IFERROR(VLOOKUP(E153,VOL_REC[],2,FALSE),0)</f>
        <v>0</v>
      </c>
      <c r="AV153" s="246">
        <f>IFERROR(VLOOKUP(F153,VOL_REC[],2,FALSE),0)</f>
        <v>11089674.200000001</v>
      </c>
      <c r="AW153" s="246">
        <f>IFERROR(VLOOKUP(G153,VOL_REC[],2,FALSE),0)</f>
        <v>15540036.397699751</v>
      </c>
      <c r="AX153" s="246">
        <f>IFERROR(VLOOKUP(H153,VOL_REC[],2,FALSE),0)</f>
        <v>3761786</v>
      </c>
      <c r="AY153" s="246">
        <f>IFERROR(VLOOKUP(I153,VOL_REC[],2,FALSE),0)</f>
        <v>105072</v>
      </c>
      <c r="AZ153" s="246">
        <f>IFERROR(VLOOKUP(J153,VOL_REC[],2,FALSE),0)</f>
        <v>0</v>
      </c>
      <c r="BA153" s="246">
        <f>IFERROR(VLOOKUP(K153,VOL_REC[],2,FALSE),0)</f>
        <v>0</v>
      </c>
      <c r="BB153" s="246">
        <f>IFERROR(VLOOKUP(L153,VOL_REC[],2,FALSE),0)</f>
        <v>0</v>
      </c>
      <c r="BC153" s="246">
        <f>IFERROR(VLOOKUP(M153,VOL_REC[],2,FALSE),0)</f>
        <v>0</v>
      </c>
      <c r="BD153" s="246">
        <f>IFERROR(VLOOKUP(N153,VOL_REC[],2,FALSE),0)</f>
        <v>0</v>
      </c>
      <c r="BE153" s="246">
        <f>IFERROR(VLOOKUP(O153,VOL_REC[],2,FALSE),0)</f>
        <v>0</v>
      </c>
      <c r="BF153" s="246">
        <f>IFERROR(VLOOKUP(P153,VOL_REC[],2,FALSE),0)</f>
        <v>0</v>
      </c>
      <c r="BG153" s="246">
        <f>IFERROR(VLOOKUP(Q153,VOL_REC[],2,FALSE),0)</f>
        <v>0</v>
      </c>
      <c r="BH153" s="1710">
        <f t="shared" si="8"/>
        <v>16958255172.484087</v>
      </c>
      <c r="BI153" s="1710">
        <f t="shared" si="9"/>
        <v>21345570142.698574</v>
      </c>
      <c r="BJ153" s="1711">
        <f t="shared" si="10"/>
        <v>30496568.597699754</v>
      </c>
      <c r="BK153" s="1711">
        <f t="shared" si="11"/>
        <v>0.79446250716731481</v>
      </c>
    </row>
    <row r="154" spans="3:67" x14ac:dyDescent="0.25">
      <c r="C154" s="246" t="s">
        <v>1504</v>
      </c>
      <c r="D154" s="246">
        <v>1</v>
      </c>
      <c r="E154" s="246">
        <v>2</v>
      </c>
      <c r="F154" s="246">
        <v>3</v>
      </c>
      <c r="G154" s="246">
        <v>6</v>
      </c>
      <c r="H154" s="246">
        <v>9</v>
      </c>
      <c r="I154" s="246">
        <v>16</v>
      </c>
      <c r="J154" s="246"/>
      <c r="K154" s="246"/>
      <c r="L154" s="246"/>
      <c r="M154" s="246"/>
      <c r="N154" s="246"/>
      <c r="O154" s="246"/>
      <c r="P154" s="246"/>
      <c r="Q154" s="246"/>
      <c r="R154" s="246">
        <f>IFERROR(VLOOKUP(D154,PROGRAMAS[],2,FALSE),0)</f>
        <v>97037803.679377079</v>
      </c>
      <c r="S154" s="246">
        <f>IFERROR(VLOOKUP(E154,PROGRAMAS[],2,FALSE),0)</f>
        <v>640501509.6821388</v>
      </c>
      <c r="T154" s="246">
        <f>IFERROR(VLOOKUP(F154,PROGRAMAS[],2,FALSE),0)</f>
        <v>3062327798.1525245</v>
      </c>
      <c r="U154" s="246">
        <f>IFERROR(VLOOKUP(G154,PROGRAMAS[],2,FALSE),0)</f>
        <v>6907648435.8447599</v>
      </c>
      <c r="V154" s="246">
        <f>IFERROR(VLOOKUP(H154,PROGRAMAS[],2,FALSE),0)</f>
        <v>6128579952.1618185</v>
      </c>
      <c r="W154" s="246">
        <f>IFERROR(VLOOKUP(I154,PROGRAMAS[],2,FALSE),0)</f>
        <v>7068496961.0436354</v>
      </c>
      <c r="X154" s="246">
        <f>IFERROR(VLOOKUP(J154,PROGRAMAS[],2,FALSE),0)</f>
        <v>0</v>
      </c>
      <c r="Y154" s="246">
        <f>IFERROR(VLOOKUP(K154,PROGRAMAS[],2,FALSE),0)</f>
        <v>0</v>
      </c>
      <c r="Z154" s="246">
        <f>IFERROR(VLOOKUP(L154,PROGRAMAS[],2,FALSE),0)</f>
        <v>0</v>
      </c>
      <c r="AA154" s="246">
        <f>IFERROR(VLOOKUP(M154,PROGRAMAS[],2,FALSE),0)</f>
        <v>0</v>
      </c>
      <c r="AB154" s="246">
        <f>IFERROR(VLOOKUP(N154,PROGRAMAS[],2,FALSE),0)</f>
        <v>0</v>
      </c>
      <c r="AC154" s="246">
        <f>IFERROR(VLOOKUP(O154,PROGRAMAS[],2,FALSE),0)</f>
        <v>0</v>
      </c>
      <c r="AD154" s="246">
        <f>IFERROR(VLOOKUP(P154,PROGRAMAS[],2,FALSE),0)</f>
        <v>0</v>
      </c>
      <c r="AE154" s="246">
        <f>IFERROR(VLOOKUP(Q154,PROGRAMAS[],2,FALSE),0)</f>
        <v>0</v>
      </c>
      <c r="AF154" s="246">
        <f>IFERROR(VLOOKUP(D154,PROGRAMAS[],3,FALSE),0)</f>
        <v>841888629.31080008</v>
      </c>
      <c r="AG154" s="246">
        <f>IFERROR(VLOOKUP(E154,PROGRAMAS[],3,FALSE),0)</f>
        <v>3848980803.1642323</v>
      </c>
      <c r="AH154" s="246">
        <f>IFERROR(VLOOKUP(F154,PROGRAMAS[],3,FALSE),0)</f>
        <v>3394901471.387517</v>
      </c>
      <c r="AI154" s="246">
        <f>IFERROR(VLOOKUP(G154,PROGRAMAS[],3,FALSE),0)</f>
        <v>6129902208.7912121</v>
      </c>
      <c r="AJ154" s="246">
        <f>IFERROR(VLOOKUP(H154,PROGRAMAS[],3,FALSE),0)</f>
        <v>7011279577.519702</v>
      </c>
      <c r="AK154" s="246">
        <f>IFERROR(VLOOKUP(I154,PROGRAMAS[],3,FALSE),0)</f>
        <v>2406564599.0319901</v>
      </c>
      <c r="AL154" s="246">
        <f>IFERROR(VLOOKUP(J154,PROGRAMAS[],3,FALSE),0)</f>
        <v>0</v>
      </c>
      <c r="AM154" s="246">
        <f>IFERROR(VLOOKUP(K154,PROGRAMAS[],3,FALSE),0)</f>
        <v>0</v>
      </c>
      <c r="AN154" s="246">
        <f>IFERROR(VLOOKUP(L154,PROGRAMAS[],3,FALSE),0)</f>
        <v>0</v>
      </c>
      <c r="AO154" s="246">
        <f>IFERROR(VLOOKUP(M154,PROGRAMAS[],3,FALSE),0)</f>
        <v>0</v>
      </c>
      <c r="AP154" s="246">
        <f>IFERROR(VLOOKUP(N154,PROGRAMAS[],3,FALSE),0)</f>
        <v>0</v>
      </c>
      <c r="AQ154" s="246">
        <f>IFERROR(VLOOKUP(O154,PROGRAMAS[],3,FALSE),0)</f>
        <v>0</v>
      </c>
      <c r="AR154" s="246">
        <f>IFERROR(VLOOKUP(P154,PROGRAMAS[],3,FALSE),0)</f>
        <v>0</v>
      </c>
      <c r="AS154" s="246">
        <f>IFERROR(VLOOKUP(Q154,PROGRAMAS[],3,FALSE),0)</f>
        <v>0</v>
      </c>
      <c r="AT154" s="246">
        <f>IFERROR(VLOOKUP(D154,VOL_REC[],2,FALSE),0)</f>
        <v>0</v>
      </c>
      <c r="AU154" s="246">
        <f>IFERROR(VLOOKUP(E154,VOL_REC[],2,FALSE),0)</f>
        <v>0</v>
      </c>
      <c r="AV154" s="246">
        <f>IFERROR(VLOOKUP(F154,VOL_REC[],2,FALSE),0)</f>
        <v>11089674.200000001</v>
      </c>
      <c r="AW154" s="246">
        <f>IFERROR(VLOOKUP(G154,VOL_REC[],2,FALSE),0)</f>
        <v>15540036.397699751</v>
      </c>
      <c r="AX154" s="246">
        <f>IFERROR(VLOOKUP(H154,VOL_REC[],2,FALSE),0)</f>
        <v>3761786</v>
      </c>
      <c r="AY154" s="246">
        <f>IFERROR(VLOOKUP(I154,VOL_REC[],2,FALSE),0)</f>
        <v>1072354.9981737854</v>
      </c>
      <c r="AZ154" s="246">
        <f>IFERROR(VLOOKUP(J154,VOL_REC[],2,FALSE),0)</f>
        <v>0</v>
      </c>
      <c r="BA154" s="246">
        <f>IFERROR(VLOOKUP(K154,VOL_REC[],2,FALSE),0)</f>
        <v>0</v>
      </c>
      <c r="BB154" s="246">
        <f>IFERROR(VLOOKUP(L154,VOL_REC[],2,FALSE),0)</f>
        <v>0</v>
      </c>
      <c r="BC154" s="246">
        <f>IFERROR(VLOOKUP(M154,VOL_REC[],2,FALSE),0)</f>
        <v>0</v>
      </c>
      <c r="BD154" s="246">
        <f>IFERROR(VLOOKUP(N154,VOL_REC[],2,FALSE),0)</f>
        <v>0</v>
      </c>
      <c r="BE154" s="246">
        <f>IFERROR(VLOOKUP(O154,VOL_REC[],2,FALSE),0)</f>
        <v>0</v>
      </c>
      <c r="BF154" s="246">
        <f>IFERROR(VLOOKUP(P154,VOL_REC[],2,FALSE),0)</f>
        <v>0</v>
      </c>
      <c r="BG154" s="246">
        <f>IFERROR(VLOOKUP(Q154,VOL_REC[],2,FALSE),0)</f>
        <v>0</v>
      </c>
      <c r="BH154" s="1710">
        <f t="shared" si="8"/>
        <v>23904592460.564255</v>
      </c>
      <c r="BI154" s="1710">
        <f t="shared" si="9"/>
        <v>23633517289.205456</v>
      </c>
      <c r="BJ154" s="1711">
        <f t="shared" si="10"/>
        <v>31463851.595873538</v>
      </c>
      <c r="BK154" s="1711">
        <f t="shared" si="11"/>
        <v>1.0114699461803178</v>
      </c>
      <c r="BL154">
        <f>BJ154</f>
        <v>31463851.595873538</v>
      </c>
      <c r="BO154">
        <f>BL154</f>
        <v>31463851.595873538</v>
      </c>
    </row>
    <row r="155" spans="3:67" x14ac:dyDescent="0.25">
      <c r="C155" s="246" t="s">
        <v>1505</v>
      </c>
      <c r="D155" s="246">
        <v>1</v>
      </c>
      <c r="E155" s="246">
        <v>2</v>
      </c>
      <c r="F155" s="246">
        <v>3</v>
      </c>
      <c r="G155" s="246">
        <v>6</v>
      </c>
      <c r="H155" s="246">
        <v>9</v>
      </c>
      <c r="I155" s="246">
        <v>17</v>
      </c>
      <c r="J155" s="246"/>
      <c r="K155" s="246"/>
      <c r="L155" s="246"/>
      <c r="M155" s="246"/>
      <c r="N155" s="246"/>
      <c r="O155" s="246"/>
      <c r="P155" s="246"/>
      <c r="Q155" s="246"/>
      <c r="R155" s="246">
        <f>IFERROR(VLOOKUP(D155,PROGRAMAS[],2,FALSE),0)</f>
        <v>97037803.679377079</v>
      </c>
      <c r="S155" s="246">
        <f>IFERROR(VLOOKUP(E155,PROGRAMAS[],2,FALSE),0)</f>
        <v>640501509.6821388</v>
      </c>
      <c r="T155" s="246">
        <f>IFERROR(VLOOKUP(F155,PROGRAMAS[],2,FALSE),0)</f>
        <v>3062327798.1525245</v>
      </c>
      <c r="U155" s="246">
        <f>IFERROR(VLOOKUP(G155,PROGRAMAS[],2,FALSE),0)</f>
        <v>6907648435.8447599</v>
      </c>
      <c r="V155" s="246">
        <f>IFERROR(VLOOKUP(H155,PROGRAMAS[],2,FALSE),0)</f>
        <v>6128579952.1618185</v>
      </c>
      <c r="W155" s="246">
        <f>IFERROR(VLOOKUP(I155,PROGRAMAS[],2,FALSE),0)</f>
        <v>1892779498.5211046</v>
      </c>
      <c r="X155" s="246">
        <f>IFERROR(VLOOKUP(J155,PROGRAMAS[],2,FALSE),0)</f>
        <v>0</v>
      </c>
      <c r="Y155" s="246">
        <f>IFERROR(VLOOKUP(K155,PROGRAMAS[],2,FALSE),0)</f>
        <v>0</v>
      </c>
      <c r="Z155" s="246">
        <f>IFERROR(VLOOKUP(L155,PROGRAMAS[],2,FALSE),0)</f>
        <v>0</v>
      </c>
      <c r="AA155" s="246">
        <f>IFERROR(VLOOKUP(M155,PROGRAMAS[],2,FALSE),0)</f>
        <v>0</v>
      </c>
      <c r="AB155" s="246">
        <f>IFERROR(VLOOKUP(N155,PROGRAMAS[],2,FALSE),0)</f>
        <v>0</v>
      </c>
      <c r="AC155" s="246">
        <f>IFERROR(VLOOKUP(O155,PROGRAMAS[],2,FALSE),0)</f>
        <v>0</v>
      </c>
      <c r="AD155" s="246">
        <f>IFERROR(VLOOKUP(P155,PROGRAMAS[],2,FALSE),0)</f>
        <v>0</v>
      </c>
      <c r="AE155" s="246">
        <f>IFERROR(VLOOKUP(Q155,PROGRAMAS[],2,FALSE),0)</f>
        <v>0</v>
      </c>
      <c r="AF155" s="246">
        <f>IFERROR(VLOOKUP(D155,PROGRAMAS[],3,FALSE),0)</f>
        <v>841888629.31080008</v>
      </c>
      <c r="AG155" s="246">
        <f>IFERROR(VLOOKUP(E155,PROGRAMAS[],3,FALSE),0)</f>
        <v>3848980803.1642323</v>
      </c>
      <c r="AH155" s="246">
        <f>IFERROR(VLOOKUP(F155,PROGRAMAS[],3,FALSE),0)</f>
        <v>3394901471.387517</v>
      </c>
      <c r="AI155" s="246">
        <f>IFERROR(VLOOKUP(G155,PROGRAMAS[],3,FALSE),0)</f>
        <v>6129902208.7912121</v>
      </c>
      <c r="AJ155" s="246">
        <f>IFERROR(VLOOKUP(H155,PROGRAMAS[],3,FALSE),0)</f>
        <v>7011279577.519702</v>
      </c>
      <c r="AK155" s="246">
        <f>IFERROR(VLOOKUP(I155,PROGRAMAS[],3,FALSE),0)</f>
        <v>948595847.09039903</v>
      </c>
      <c r="AL155" s="246">
        <f>IFERROR(VLOOKUP(J155,PROGRAMAS[],3,FALSE),0)</f>
        <v>0</v>
      </c>
      <c r="AM155" s="246">
        <f>IFERROR(VLOOKUP(K155,PROGRAMAS[],3,FALSE),0)</f>
        <v>0</v>
      </c>
      <c r="AN155" s="246">
        <f>IFERROR(VLOOKUP(L155,PROGRAMAS[],3,FALSE),0)</f>
        <v>0</v>
      </c>
      <c r="AO155" s="246">
        <f>IFERROR(VLOOKUP(M155,PROGRAMAS[],3,FALSE),0)</f>
        <v>0</v>
      </c>
      <c r="AP155" s="246">
        <f>IFERROR(VLOOKUP(N155,PROGRAMAS[],3,FALSE),0)</f>
        <v>0</v>
      </c>
      <c r="AQ155" s="246">
        <f>IFERROR(VLOOKUP(O155,PROGRAMAS[],3,FALSE),0)</f>
        <v>0</v>
      </c>
      <c r="AR155" s="246">
        <f>IFERROR(VLOOKUP(P155,PROGRAMAS[],3,FALSE),0)</f>
        <v>0</v>
      </c>
      <c r="AS155" s="246">
        <f>IFERROR(VLOOKUP(Q155,PROGRAMAS[],3,FALSE),0)</f>
        <v>0</v>
      </c>
      <c r="AT155" s="246">
        <f>IFERROR(VLOOKUP(D155,VOL_REC[],2,FALSE),0)</f>
        <v>0</v>
      </c>
      <c r="AU155" s="246">
        <f>IFERROR(VLOOKUP(E155,VOL_REC[],2,FALSE),0)</f>
        <v>0</v>
      </c>
      <c r="AV155" s="246">
        <f>IFERROR(VLOOKUP(F155,VOL_REC[],2,FALSE),0)</f>
        <v>11089674.200000001</v>
      </c>
      <c r="AW155" s="246">
        <f>IFERROR(VLOOKUP(G155,VOL_REC[],2,FALSE),0)</f>
        <v>15540036.397699751</v>
      </c>
      <c r="AX155" s="246">
        <f>IFERROR(VLOOKUP(H155,VOL_REC[],2,FALSE),0)</f>
        <v>3761786</v>
      </c>
      <c r="AY155" s="246">
        <f>IFERROR(VLOOKUP(I155,VOL_REC[],2,FALSE),0)</f>
        <v>740113.98115702497</v>
      </c>
      <c r="AZ155" s="246">
        <f>IFERROR(VLOOKUP(J155,VOL_REC[],2,FALSE),0)</f>
        <v>0</v>
      </c>
      <c r="BA155" s="246">
        <f>IFERROR(VLOOKUP(K155,VOL_REC[],2,FALSE),0)</f>
        <v>0</v>
      </c>
      <c r="BB155" s="246">
        <f>IFERROR(VLOOKUP(L155,VOL_REC[],2,FALSE),0)</f>
        <v>0</v>
      </c>
      <c r="BC155" s="246">
        <f>IFERROR(VLOOKUP(M155,VOL_REC[],2,FALSE),0)</f>
        <v>0</v>
      </c>
      <c r="BD155" s="246">
        <f>IFERROR(VLOOKUP(N155,VOL_REC[],2,FALSE),0)</f>
        <v>0</v>
      </c>
      <c r="BE155" s="246">
        <f>IFERROR(VLOOKUP(O155,VOL_REC[],2,FALSE),0)</f>
        <v>0</v>
      </c>
      <c r="BF155" s="246">
        <f>IFERROR(VLOOKUP(P155,VOL_REC[],2,FALSE),0)</f>
        <v>0</v>
      </c>
      <c r="BG155" s="246">
        <f>IFERROR(VLOOKUP(Q155,VOL_REC[],2,FALSE),0)</f>
        <v>0</v>
      </c>
      <c r="BH155" s="1710">
        <f t="shared" si="8"/>
        <v>18728874998.041721</v>
      </c>
      <c r="BI155" s="1710">
        <f t="shared" si="9"/>
        <v>22175548537.263866</v>
      </c>
      <c r="BJ155" s="1711">
        <f t="shared" si="10"/>
        <v>31131610.578856777</v>
      </c>
      <c r="BK155" s="1711">
        <f t="shared" si="11"/>
        <v>0.84457324546311252</v>
      </c>
    </row>
    <row r="156" spans="3:67" x14ac:dyDescent="0.25">
      <c r="C156" s="246" t="s">
        <v>1506</v>
      </c>
      <c r="D156" s="246">
        <v>1</v>
      </c>
      <c r="E156" s="246">
        <v>2</v>
      </c>
      <c r="F156" s="246">
        <v>3</v>
      </c>
      <c r="G156" s="246">
        <v>6</v>
      </c>
      <c r="H156" s="246">
        <v>10</v>
      </c>
      <c r="I156" s="246">
        <v>12</v>
      </c>
      <c r="J156" s="246"/>
      <c r="K156" s="246"/>
      <c r="L156" s="246"/>
      <c r="M156" s="246"/>
      <c r="N156" s="246"/>
      <c r="O156" s="246"/>
      <c r="P156" s="246"/>
      <c r="Q156" s="246"/>
      <c r="R156" s="246">
        <f>IFERROR(VLOOKUP(D156,PROGRAMAS[],2,FALSE),0)</f>
        <v>97037803.679377079</v>
      </c>
      <c r="S156" s="246">
        <f>IFERROR(VLOOKUP(E156,PROGRAMAS[],2,FALSE),0)</f>
        <v>640501509.6821388</v>
      </c>
      <c r="T156" s="246">
        <f>IFERROR(VLOOKUP(F156,PROGRAMAS[],2,FALSE),0)</f>
        <v>3062327798.1525245</v>
      </c>
      <c r="U156" s="246">
        <f>IFERROR(VLOOKUP(G156,PROGRAMAS[],2,FALSE),0)</f>
        <v>6907648435.8447599</v>
      </c>
      <c r="V156" s="246">
        <f>IFERROR(VLOOKUP(H156,PROGRAMAS[],2,FALSE),0)</f>
        <v>4635315027.8751087</v>
      </c>
      <c r="W156" s="246">
        <f>IFERROR(VLOOKUP(I156,PROGRAMAS[],2,FALSE),0)</f>
        <v>764796700.79905891</v>
      </c>
      <c r="X156" s="246">
        <f>IFERROR(VLOOKUP(J156,PROGRAMAS[],2,FALSE),0)</f>
        <v>0</v>
      </c>
      <c r="Y156" s="246">
        <f>IFERROR(VLOOKUP(K156,PROGRAMAS[],2,FALSE),0)</f>
        <v>0</v>
      </c>
      <c r="Z156" s="246">
        <f>IFERROR(VLOOKUP(L156,PROGRAMAS[],2,FALSE),0)</f>
        <v>0</v>
      </c>
      <c r="AA156" s="246">
        <f>IFERROR(VLOOKUP(M156,PROGRAMAS[],2,FALSE),0)</f>
        <v>0</v>
      </c>
      <c r="AB156" s="246">
        <f>IFERROR(VLOOKUP(N156,PROGRAMAS[],2,FALSE),0)</f>
        <v>0</v>
      </c>
      <c r="AC156" s="246">
        <f>IFERROR(VLOOKUP(O156,PROGRAMAS[],2,FALSE),0)</f>
        <v>0</v>
      </c>
      <c r="AD156" s="246">
        <f>IFERROR(VLOOKUP(P156,PROGRAMAS[],2,FALSE),0)</f>
        <v>0</v>
      </c>
      <c r="AE156" s="246">
        <f>IFERROR(VLOOKUP(Q156,PROGRAMAS[],2,FALSE),0)</f>
        <v>0</v>
      </c>
      <c r="AF156" s="246">
        <f>IFERROR(VLOOKUP(D156,PROGRAMAS[],3,FALSE),0)</f>
        <v>841888629.31080008</v>
      </c>
      <c r="AG156" s="246">
        <f>IFERROR(VLOOKUP(E156,PROGRAMAS[],3,FALSE),0)</f>
        <v>3848980803.1642323</v>
      </c>
      <c r="AH156" s="246">
        <f>IFERROR(VLOOKUP(F156,PROGRAMAS[],3,FALSE),0)</f>
        <v>3394901471.387517</v>
      </c>
      <c r="AI156" s="246">
        <f>IFERROR(VLOOKUP(G156,PROGRAMAS[],3,FALSE),0)</f>
        <v>6129902208.7912121</v>
      </c>
      <c r="AJ156" s="246">
        <f>IFERROR(VLOOKUP(H156,PROGRAMAS[],3,FALSE),0)</f>
        <v>4099471734.9978786</v>
      </c>
      <c r="AK156" s="246">
        <f>IFERROR(VLOOKUP(I156,PROGRAMAS[],3,FALSE),0)</f>
        <v>675517840.109828</v>
      </c>
      <c r="AL156" s="246">
        <f>IFERROR(VLOOKUP(J156,PROGRAMAS[],3,FALSE),0)</f>
        <v>0</v>
      </c>
      <c r="AM156" s="246">
        <f>IFERROR(VLOOKUP(K156,PROGRAMAS[],3,FALSE),0)</f>
        <v>0</v>
      </c>
      <c r="AN156" s="246">
        <f>IFERROR(VLOOKUP(L156,PROGRAMAS[],3,FALSE),0)</f>
        <v>0</v>
      </c>
      <c r="AO156" s="246">
        <f>IFERROR(VLOOKUP(M156,PROGRAMAS[],3,FALSE),0)</f>
        <v>0</v>
      </c>
      <c r="AP156" s="246">
        <f>IFERROR(VLOOKUP(N156,PROGRAMAS[],3,FALSE),0)</f>
        <v>0</v>
      </c>
      <c r="AQ156" s="246">
        <f>IFERROR(VLOOKUP(O156,PROGRAMAS[],3,FALSE),0)</f>
        <v>0</v>
      </c>
      <c r="AR156" s="246">
        <f>IFERROR(VLOOKUP(P156,PROGRAMAS[],3,FALSE),0)</f>
        <v>0</v>
      </c>
      <c r="AS156" s="246">
        <f>IFERROR(VLOOKUP(Q156,PROGRAMAS[],3,FALSE),0)</f>
        <v>0</v>
      </c>
      <c r="AT156" s="246">
        <f>IFERROR(VLOOKUP(D156,VOL_REC[],2,FALSE),0)</f>
        <v>0</v>
      </c>
      <c r="AU156" s="246">
        <f>IFERROR(VLOOKUP(E156,VOL_REC[],2,FALSE),0)</f>
        <v>0</v>
      </c>
      <c r="AV156" s="246">
        <f>IFERROR(VLOOKUP(F156,VOL_REC[],2,FALSE),0)</f>
        <v>11089674.200000001</v>
      </c>
      <c r="AW156" s="246">
        <f>IFERROR(VLOOKUP(G156,VOL_REC[],2,FALSE),0)</f>
        <v>15540036.397699751</v>
      </c>
      <c r="AX156" s="246">
        <f>IFERROR(VLOOKUP(H156,VOL_REC[],2,FALSE),0)</f>
        <v>1812240</v>
      </c>
      <c r="AY156" s="246">
        <f>IFERROR(VLOOKUP(I156,VOL_REC[],2,FALSE),0)</f>
        <v>240696.79238099116</v>
      </c>
      <c r="AZ156" s="246">
        <f>IFERROR(VLOOKUP(J156,VOL_REC[],2,FALSE),0)</f>
        <v>0</v>
      </c>
      <c r="BA156" s="246">
        <f>IFERROR(VLOOKUP(K156,VOL_REC[],2,FALSE),0)</f>
        <v>0</v>
      </c>
      <c r="BB156" s="246">
        <f>IFERROR(VLOOKUP(L156,VOL_REC[],2,FALSE),0)</f>
        <v>0</v>
      </c>
      <c r="BC156" s="246">
        <f>IFERROR(VLOOKUP(M156,VOL_REC[],2,FALSE),0)</f>
        <v>0</v>
      </c>
      <c r="BD156" s="246">
        <f>IFERROR(VLOOKUP(N156,VOL_REC[],2,FALSE),0)</f>
        <v>0</v>
      </c>
      <c r="BE156" s="246">
        <f>IFERROR(VLOOKUP(O156,VOL_REC[],2,FALSE),0)</f>
        <v>0</v>
      </c>
      <c r="BF156" s="246">
        <f>IFERROR(VLOOKUP(P156,VOL_REC[],2,FALSE),0)</f>
        <v>0</v>
      </c>
      <c r="BG156" s="246">
        <f>IFERROR(VLOOKUP(Q156,VOL_REC[],2,FALSE),0)</f>
        <v>0</v>
      </c>
      <c r="BH156" s="1710">
        <f t="shared" si="8"/>
        <v>16107627276.032969</v>
      </c>
      <c r="BI156" s="1710">
        <f t="shared" si="9"/>
        <v>18990662687.761471</v>
      </c>
      <c r="BJ156" s="1711">
        <f t="shared" si="10"/>
        <v>28682647.390080746</v>
      </c>
      <c r="BK156" s="1711">
        <f t="shared" si="11"/>
        <v>0.84818668736681457</v>
      </c>
    </row>
    <row r="157" spans="3:67" x14ac:dyDescent="0.25">
      <c r="C157" s="246" t="s">
        <v>1507</v>
      </c>
      <c r="D157" s="246">
        <v>1</v>
      </c>
      <c r="E157" s="246">
        <v>2</v>
      </c>
      <c r="F157" s="246">
        <v>3</v>
      </c>
      <c r="G157" s="246">
        <v>6</v>
      </c>
      <c r="H157" s="246">
        <v>10</v>
      </c>
      <c r="I157" s="246">
        <v>13</v>
      </c>
      <c r="J157" s="246"/>
      <c r="K157" s="246"/>
      <c r="L157" s="246"/>
      <c r="M157" s="246"/>
      <c r="N157" s="246"/>
      <c r="O157" s="246"/>
      <c r="P157" s="246"/>
      <c r="Q157" s="246"/>
      <c r="R157" s="246">
        <f>IFERROR(VLOOKUP(D157,PROGRAMAS[],2,FALSE),0)</f>
        <v>97037803.679377079</v>
      </c>
      <c r="S157" s="246">
        <f>IFERROR(VLOOKUP(E157,PROGRAMAS[],2,FALSE),0)</f>
        <v>640501509.6821388</v>
      </c>
      <c r="T157" s="246">
        <f>IFERROR(VLOOKUP(F157,PROGRAMAS[],2,FALSE),0)</f>
        <v>3062327798.1525245</v>
      </c>
      <c r="U157" s="246">
        <f>IFERROR(VLOOKUP(G157,PROGRAMAS[],2,FALSE),0)</f>
        <v>6907648435.8447599</v>
      </c>
      <c r="V157" s="246">
        <f>IFERROR(VLOOKUP(H157,PROGRAMAS[],2,FALSE),0)</f>
        <v>4635315027.8751087</v>
      </c>
      <c r="W157" s="246">
        <f>IFERROR(VLOOKUP(I157,PROGRAMAS[],2,FALSE),0)</f>
        <v>3776538594.4604583</v>
      </c>
      <c r="X157" s="246">
        <f>IFERROR(VLOOKUP(J157,PROGRAMAS[],2,FALSE),0)</f>
        <v>0</v>
      </c>
      <c r="Y157" s="246">
        <f>IFERROR(VLOOKUP(K157,PROGRAMAS[],2,FALSE),0)</f>
        <v>0</v>
      </c>
      <c r="Z157" s="246">
        <f>IFERROR(VLOOKUP(L157,PROGRAMAS[],2,FALSE),0)</f>
        <v>0</v>
      </c>
      <c r="AA157" s="246">
        <f>IFERROR(VLOOKUP(M157,PROGRAMAS[],2,FALSE),0)</f>
        <v>0</v>
      </c>
      <c r="AB157" s="246">
        <f>IFERROR(VLOOKUP(N157,PROGRAMAS[],2,FALSE),0)</f>
        <v>0</v>
      </c>
      <c r="AC157" s="246">
        <f>IFERROR(VLOOKUP(O157,PROGRAMAS[],2,FALSE),0)</f>
        <v>0</v>
      </c>
      <c r="AD157" s="246">
        <f>IFERROR(VLOOKUP(P157,PROGRAMAS[],2,FALSE),0)</f>
        <v>0</v>
      </c>
      <c r="AE157" s="246">
        <f>IFERROR(VLOOKUP(Q157,PROGRAMAS[],2,FALSE),0)</f>
        <v>0</v>
      </c>
      <c r="AF157" s="246">
        <f>IFERROR(VLOOKUP(D157,PROGRAMAS[],3,FALSE),0)</f>
        <v>841888629.31080008</v>
      </c>
      <c r="AG157" s="246">
        <f>IFERROR(VLOOKUP(E157,PROGRAMAS[],3,FALSE),0)</f>
        <v>3848980803.1642323</v>
      </c>
      <c r="AH157" s="246">
        <f>IFERROR(VLOOKUP(F157,PROGRAMAS[],3,FALSE),0)</f>
        <v>3394901471.387517</v>
      </c>
      <c r="AI157" s="246">
        <f>IFERROR(VLOOKUP(G157,PROGRAMAS[],3,FALSE),0)</f>
        <v>6129902208.7912121</v>
      </c>
      <c r="AJ157" s="246">
        <f>IFERROR(VLOOKUP(H157,PROGRAMAS[],3,FALSE),0)</f>
        <v>4099471734.9978786</v>
      </c>
      <c r="AK157" s="246">
        <f>IFERROR(VLOOKUP(I157,PROGRAMAS[],3,FALSE),0)</f>
        <v>2392571243.5584412</v>
      </c>
      <c r="AL157" s="246">
        <f>IFERROR(VLOOKUP(J157,PROGRAMAS[],3,FALSE),0)</f>
        <v>0</v>
      </c>
      <c r="AM157" s="246">
        <f>IFERROR(VLOOKUP(K157,PROGRAMAS[],3,FALSE),0)</f>
        <v>0</v>
      </c>
      <c r="AN157" s="246">
        <f>IFERROR(VLOOKUP(L157,PROGRAMAS[],3,FALSE),0)</f>
        <v>0</v>
      </c>
      <c r="AO157" s="246">
        <f>IFERROR(VLOOKUP(M157,PROGRAMAS[],3,FALSE),0)</f>
        <v>0</v>
      </c>
      <c r="AP157" s="246">
        <f>IFERROR(VLOOKUP(N157,PROGRAMAS[],3,FALSE),0)</f>
        <v>0</v>
      </c>
      <c r="AQ157" s="246">
        <f>IFERROR(VLOOKUP(O157,PROGRAMAS[],3,FALSE),0)</f>
        <v>0</v>
      </c>
      <c r="AR157" s="246">
        <f>IFERROR(VLOOKUP(P157,PROGRAMAS[],3,FALSE),0)</f>
        <v>0</v>
      </c>
      <c r="AS157" s="246">
        <f>IFERROR(VLOOKUP(Q157,PROGRAMAS[],3,FALSE),0)</f>
        <v>0</v>
      </c>
      <c r="AT157" s="246">
        <f>IFERROR(VLOOKUP(D157,VOL_REC[],2,FALSE),0)</f>
        <v>0</v>
      </c>
      <c r="AU157" s="246">
        <f>IFERROR(VLOOKUP(E157,VOL_REC[],2,FALSE),0)</f>
        <v>0</v>
      </c>
      <c r="AV157" s="246">
        <f>IFERROR(VLOOKUP(F157,VOL_REC[],2,FALSE),0)</f>
        <v>11089674.200000001</v>
      </c>
      <c r="AW157" s="246">
        <f>IFERROR(VLOOKUP(G157,VOL_REC[],2,FALSE),0)</f>
        <v>15540036.397699751</v>
      </c>
      <c r="AX157" s="246">
        <f>IFERROR(VLOOKUP(H157,VOL_REC[],2,FALSE),0)</f>
        <v>1812240</v>
      </c>
      <c r="AY157" s="246">
        <f>IFERROR(VLOOKUP(I157,VOL_REC[],2,FALSE),0)</f>
        <v>663244.80000000016</v>
      </c>
      <c r="AZ157" s="246">
        <f>IFERROR(VLOOKUP(J157,VOL_REC[],2,FALSE),0)</f>
        <v>0</v>
      </c>
      <c r="BA157" s="246">
        <f>IFERROR(VLOOKUP(K157,VOL_REC[],2,FALSE),0)</f>
        <v>0</v>
      </c>
      <c r="BB157" s="246">
        <f>IFERROR(VLOOKUP(L157,VOL_REC[],2,FALSE),0)</f>
        <v>0</v>
      </c>
      <c r="BC157" s="246">
        <f>IFERROR(VLOOKUP(M157,VOL_REC[],2,FALSE),0)</f>
        <v>0</v>
      </c>
      <c r="BD157" s="246">
        <f>IFERROR(VLOOKUP(N157,VOL_REC[],2,FALSE),0)</f>
        <v>0</v>
      </c>
      <c r="BE157" s="246">
        <f>IFERROR(VLOOKUP(O157,VOL_REC[],2,FALSE),0)</f>
        <v>0</v>
      </c>
      <c r="BF157" s="246">
        <f>IFERROR(VLOOKUP(P157,VOL_REC[],2,FALSE),0)</f>
        <v>0</v>
      </c>
      <c r="BG157" s="246">
        <f>IFERROR(VLOOKUP(Q157,VOL_REC[],2,FALSE),0)</f>
        <v>0</v>
      </c>
      <c r="BH157" s="1710">
        <f t="shared" si="8"/>
        <v>19119369169.694366</v>
      </c>
      <c r="BI157" s="1710">
        <f t="shared" si="9"/>
        <v>20707716091.210083</v>
      </c>
      <c r="BJ157" s="1711">
        <f t="shared" si="10"/>
        <v>29105195.397699755</v>
      </c>
      <c r="BK157" s="1711">
        <f t="shared" si="11"/>
        <v>0.92329685637374892</v>
      </c>
    </row>
    <row r="158" spans="3:67" x14ac:dyDescent="0.25">
      <c r="C158" s="246" t="s">
        <v>1508</v>
      </c>
      <c r="D158" s="246">
        <v>1</v>
      </c>
      <c r="E158" s="246">
        <v>2</v>
      </c>
      <c r="F158" s="246">
        <v>3</v>
      </c>
      <c r="G158" s="246">
        <v>6</v>
      </c>
      <c r="H158" s="246">
        <v>10</v>
      </c>
      <c r="I158" s="246">
        <v>14</v>
      </c>
      <c r="J158" s="246"/>
      <c r="K158" s="246"/>
      <c r="L158" s="246"/>
      <c r="M158" s="246"/>
      <c r="N158" s="246"/>
      <c r="O158" s="246"/>
      <c r="P158" s="246"/>
      <c r="Q158" s="246"/>
      <c r="R158" s="246">
        <f>IFERROR(VLOOKUP(D158,PROGRAMAS[],2,FALSE),0)</f>
        <v>97037803.679377079</v>
      </c>
      <c r="S158" s="246">
        <f>IFERROR(VLOOKUP(E158,PROGRAMAS[],2,FALSE),0)</f>
        <v>640501509.6821388</v>
      </c>
      <c r="T158" s="246">
        <f>IFERROR(VLOOKUP(F158,PROGRAMAS[],2,FALSE),0)</f>
        <v>3062327798.1525245</v>
      </c>
      <c r="U158" s="246">
        <f>IFERROR(VLOOKUP(G158,PROGRAMAS[],2,FALSE),0)</f>
        <v>6907648435.8447599</v>
      </c>
      <c r="V158" s="246">
        <f>IFERROR(VLOOKUP(H158,PROGRAMAS[],2,FALSE),0)</f>
        <v>4635315027.8751087</v>
      </c>
      <c r="W158" s="246">
        <f>IFERROR(VLOOKUP(I158,PROGRAMAS[],2,FALSE),0)</f>
        <v>54223862.645839565</v>
      </c>
      <c r="X158" s="246">
        <f>IFERROR(VLOOKUP(J158,PROGRAMAS[],2,FALSE),0)</f>
        <v>0</v>
      </c>
      <c r="Y158" s="246">
        <f>IFERROR(VLOOKUP(K158,PROGRAMAS[],2,FALSE),0)</f>
        <v>0</v>
      </c>
      <c r="Z158" s="246">
        <f>IFERROR(VLOOKUP(L158,PROGRAMAS[],2,FALSE),0)</f>
        <v>0</v>
      </c>
      <c r="AA158" s="246">
        <f>IFERROR(VLOOKUP(M158,PROGRAMAS[],2,FALSE),0)</f>
        <v>0</v>
      </c>
      <c r="AB158" s="246">
        <f>IFERROR(VLOOKUP(N158,PROGRAMAS[],2,FALSE),0)</f>
        <v>0</v>
      </c>
      <c r="AC158" s="246">
        <f>IFERROR(VLOOKUP(O158,PROGRAMAS[],2,FALSE),0)</f>
        <v>0</v>
      </c>
      <c r="AD158" s="246">
        <f>IFERROR(VLOOKUP(P158,PROGRAMAS[],2,FALSE),0)</f>
        <v>0</v>
      </c>
      <c r="AE158" s="246">
        <f>IFERROR(VLOOKUP(Q158,PROGRAMAS[],2,FALSE),0)</f>
        <v>0</v>
      </c>
      <c r="AF158" s="246">
        <f>IFERROR(VLOOKUP(D158,PROGRAMAS[],3,FALSE),0)</f>
        <v>841888629.31080008</v>
      </c>
      <c r="AG158" s="246">
        <f>IFERROR(VLOOKUP(E158,PROGRAMAS[],3,FALSE),0)</f>
        <v>3848980803.1642323</v>
      </c>
      <c r="AH158" s="246">
        <f>IFERROR(VLOOKUP(F158,PROGRAMAS[],3,FALSE),0)</f>
        <v>3394901471.387517</v>
      </c>
      <c r="AI158" s="246">
        <f>IFERROR(VLOOKUP(G158,PROGRAMAS[],3,FALSE),0)</f>
        <v>6129902208.7912121</v>
      </c>
      <c r="AJ158" s="246">
        <f>IFERROR(VLOOKUP(H158,PROGRAMAS[],3,FALSE),0)</f>
        <v>4099471734.9978786</v>
      </c>
      <c r="AK158" s="246">
        <f>IFERROR(VLOOKUP(I158,PROGRAMAS[],3,FALSE),0)</f>
        <v>31865326.38096505</v>
      </c>
      <c r="AL158" s="246">
        <f>IFERROR(VLOOKUP(J158,PROGRAMAS[],3,FALSE),0)</f>
        <v>0</v>
      </c>
      <c r="AM158" s="246">
        <f>IFERROR(VLOOKUP(K158,PROGRAMAS[],3,FALSE),0)</f>
        <v>0</v>
      </c>
      <c r="AN158" s="246">
        <f>IFERROR(VLOOKUP(L158,PROGRAMAS[],3,FALSE),0)</f>
        <v>0</v>
      </c>
      <c r="AO158" s="246">
        <f>IFERROR(VLOOKUP(M158,PROGRAMAS[],3,FALSE),0)</f>
        <v>0</v>
      </c>
      <c r="AP158" s="246">
        <f>IFERROR(VLOOKUP(N158,PROGRAMAS[],3,FALSE),0)</f>
        <v>0</v>
      </c>
      <c r="AQ158" s="246">
        <f>IFERROR(VLOOKUP(O158,PROGRAMAS[],3,FALSE),0)</f>
        <v>0</v>
      </c>
      <c r="AR158" s="246">
        <f>IFERROR(VLOOKUP(P158,PROGRAMAS[],3,FALSE),0)</f>
        <v>0</v>
      </c>
      <c r="AS158" s="246">
        <f>IFERROR(VLOOKUP(Q158,PROGRAMAS[],3,FALSE),0)</f>
        <v>0</v>
      </c>
      <c r="AT158" s="246">
        <f>IFERROR(VLOOKUP(D158,VOL_REC[],2,FALSE),0)</f>
        <v>0</v>
      </c>
      <c r="AU158" s="246">
        <f>IFERROR(VLOOKUP(E158,VOL_REC[],2,FALSE),0)</f>
        <v>0</v>
      </c>
      <c r="AV158" s="246">
        <f>IFERROR(VLOOKUP(F158,VOL_REC[],2,FALSE),0)</f>
        <v>11089674.200000001</v>
      </c>
      <c r="AW158" s="246">
        <f>IFERROR(VLOOKUP(G158,VOL_REC[],2,FALSE),0)</f>
        <v>15540036.397699751</v>
      </c>
      <c r="AX158" s="246">
        <f>IFERROR(VLOOKUP(H158,VOL_REC[],2,FALSE),0)</f>
        <v>1812240</v>
      </c>
      <c r="AY158" s="246">
        <f>IFERROR(VLOOKUP(I158,VOL_REC[],2,FALSE),0)</f>
        <v>17074.045034105649</v>
      </c>
      <c r="AZ158" s="246">
        <f>IFERROR(VLOOKUP(J158,VOL_REC[],2,FALSE),0)</f>
        <v>0</v>
      </c>
      <c r="BA158" s="246">
        <f>IFERROR(VLOOKUP(K158,VOL_REC[],2,FALSE),0)</f>
        <v>0</v>
      </c>
      <c r="BB158" s="246">
        <f>IFERROR(VLOOKUP(L158,VOL_REC[],2,FALSE),0)</f>
        <v>0</v>
      </c>
      <c r="BC158" s="246">
        <f>IFERROR(VLOOKUP(M158,VOL_REC[],2,FALSE),0)</f>
        <v>0</v>
      </c>
      <c r="BD158" s="246">
        <f>IFERROR(VLOOKUP(N158,VOL_REC[],2,FALSE),0)</f>
        <v>0</v>
      </c>
      <c r="BE158" s="246">
        <f>IFERROR(VLOOKUP(O158,VOL_REC[],2,FALSE),0)</f>
        <v>0</v>
      </c>
      <c r="BF158" s="246">
        <f>IFERROR(VLOOKUP(P158,VOL_REC[],2,FALSE),0)</f>
        <v>0</v>
      </c>
      <c r="BG158" s="246">
        <f>IFERROR(VLOOKUP(Q158,VOL_REC[],2,FALSE),0)</f>
        <v>0</v>
      </c>
      <c r="BH158" s="1710">
        <f t="shared" si="8"/>
        <v>15397054437.879749</v>
      </c>
      <c r="BI158" s="1710">
        <f t="shared" si="9"/>
        <v>18347010174.032608</v>
      </c>
      <c r="BJ158" s="1711">
        <f t="shared" si="10"/>
        <v>28459024.642733861</v>
      </c>
      <c r="BK158" s="1711">
        <f t="shared" si="11"/>
        <v>0.83921327190802619</v>
      </c>
    </row>
    <row r="159" spans="3:67" x14ac:dyDescent="0.25">
      <c r="C159" s="246" t="s">
        <v>1509</v>
      </c>
      <c r="D159" s="246">
        <v>1</v>
      </c>
      <c r="E159" s="246">
        <v>2</v>
      </c>
      <c r="F159" s="246">
        <v>3</v>
      </c>
      <c r="G159" s="246">
        <v>6</v>
      </c>
      <c r="H159" s="246">
        <v>10</v>
      </c>
      <c r="I159" s="246">
        <v>15</v>
      </c>
      <c r="J159" s="246"/>
      <c r="K159" s="246"/>
      <c r="L159" s="246"/>
      <c r="M159" s="246"/>
      <c r="N159" s="246"/>
      <c r="O159" s="246"/>
      <c r="P159" s="246"/>
      <c r="Q159" s="246"/>
      <c r="R159" s="246">
        <f>IFERROR(VLOOKUP(D159,PROGRAMAS[],2,FALSE),0)</f>
        <v>97037803.679377079</v>
      </c>
      <c r="S159" s="246">
        <f>IFERROR(VLOOKUP(E159,PROGRAMAS[],2,FALSE),0)</f>
        <v>640501509.6821388</v>
      </c>
      <c r="T159" s="246">
        <f>IFERROR(VLOOKUP(F159,PROGRAMAS[],2,FALSE),0)</f>
        <v>3062327798.1525245</v>
      </c>
      <c r="U159" s="246">
        <f>IFERROR(VLOOKUP(G159,PROGRAMAS[],2,FALSE),0)</f>
        <v>6907648435.8447599</v>
      </c>
      <c r="V159" s="246">
        <f>IFERROR(VLOOKUP(H159,PROGRAMAS[],2,FALSE),0)</f>
        <v>4635315027.8751087</v>
      </c>
      <c r="W159" s="246">
        <f>IFERROR(VLOOKUP(I159,PROGRAMAS[],2,FALSE),0)</f>
        <v>122159672.96346797</v>
      </c>
      <c r="X159" s="246">
        <f>IFERROR(VLOOKUP(J159,PROGRAMAS[],2,FALSE),0)</f>
        <v>0</v>
      </c>
      <c r="Y159" s="246">
        <f>IFERROR(VLOOKUP(K159,PROGRAMAS[],2,FALSE),0)</f>
        <v>0</v>
      </c>
      <c r="Z159" s="246">
        <f>IFERROR(VLOOKUP(L159,PROGRAMAS[],2,FALSE),0)</f>
        <v>0</v>
      </c>
      <c r="AA159" s="246">
        <f>IFERROR(VLOOKUP(M159,PROGRAMAS[],2,FALSE),0)</f>
        <v>0</v>
      </c>
      <c r="AB159" s="246">
        <f>IFERROR(VLOOKUP(N159,PROGRAMAS[],2,FALSE),0)</f>
        <v>0</v>
      </c>
      <c r="AC159" s="246">
        <f>IFERROR(VLOOKUP(O159,PROGRAMAS[],2,FALSE),0)</f>
        <v>0</v>
      </c>
      <c r="AD159" s="246">
        <f>IFERROR(VLOOKUP(P159,PROGRAMAS[],2,FALSE),0)</f>
        <v>0</v>
      </c>
      <c r="AE159" s="246">
        <f>IFERROR(VLOOKUP(Q159,PROGRAMAS[],2,FALSE),0)</f>
        <v>0</v>
      </c>
      <c r="AF159" s="246">
        <f>IFERROR(VLOOKUP(D159,PROGRAMAS[],3,FALSE),0)</f>
        <v>841888629.31080008</v>
      </c>
      <c r="AG159" s="246">
        <f>IFERROR(VLOOKUP(E159,PROGRAMAS[],3,FALSE),0)</f>
        <v>3848980803.1642323</v>
      </c>
      <c r="AH159" s="246">
        <f>IFERROR(VLOOKUP(F159,PROGRAMAS[],3,FALSE),0)</f>
        <v>3394901471.387517</v>
      </c>
      <c r="AI159" s="246">
        <f>IFERROR(VLOOKUP(G159,PROGRAMAS[],3,FALSE),0)</f>
        <v>6129902208.7912121</v>
      </c>
      <c r="AJ159" s="246">
        <f>IFERROR(VLOOKUP(H159,PROGRAMAS[],3,FALSE),0)</f>
        <v>4099471734.9978786</v>
      </c>
      <c r="AK159" s="246">
        <f>IFERROR(VLOOKUP(I159,PROGRAMAS[],3,FALSE),0)</f>
        <v>118617452.52510804</v>
      </c>
      <c r="AL159" s="246">
        <f>IFERROR(VLOOKUP(J159,PROGRAMAS[],3,FALSE),0)</f>
        <v>0</v>
      </c>
      <c r="AM159" s="246">
        <f>IFERROR(VLOOKUP(K159,PROGRAMAS[],3,FALSE),0)</f>
        <v>0</v>
      </c>
      <c r="AN159" s="246">
        <f>IFERROR(VLOOKUP(L159,PROGRAMAS[],3,FALSE),0)</f>
        <v>0</v>
      </c>
      <c r="AO159" s="246">
        <f>IFERROR(VLOOKUP(M159,PROGRAMAS[],3,FALSE),0)</f>
        <v>0</v>
      </c>
      <c r="AP159" s="246">
        <f>IFERROR(VLOOKUP(N159,PROGRAMAS[],3,FALSE),0)</f>
        <v>0</v>
      </c>
      <c r="AQ159" s="246">
        <f>IFERROR(VLOOKUP(O159,PROGRAMAS[],3,FALSE),0)</f>
        <v>0</v>
      </c>
      <c r="AR159" s="246">
        <f>IFERROR(VLOOKUP(P159,PROGRAMAS[],3,FALSE),0)</f>
        <v>0</v>
      </c>
      <c r="AS159" s="246">
        <f>IFERROR(VLOOKUP(Q159,PROGRAMAS[],3,FALSE),0)</f>
        <v>0</v>
      </c>
      <c r="AT159" s="246">
        <f>IFERROR(VLOOKUP(D159,VOL_REC[],2,FALSE),0)</f>
        <v>0</v>
      </c>
      <c r="AU159" s="246">
        <f>IFERROR(VLOOKUP(E159,VOL_REC[],2,FALSE),0)</f>
        <v>0</v>
      </c>
      <c r="AV159" s="246">
        <f>IFERROR(VLOOKUP(F159,VOL_REC[],2,FALSE),0)</f>
        <v>11089674.200000001</v>
      </c>
      <c r="AW159" s="246">
        <f>IFERROR(VLOOKUP(G159,VOL_REC[],2,FALSE),0)</f>
        <v>15540036.397699751</v>
      </c>
      <c r="AX159" s="246">
        <f>IFERROR(VLOOKUP(H159,VOL_REC[],2,FALSE),0)</f>
        <v>1812240</v>
      </c>
      <c r="AY159" s="246">
        <f>IFERROR(VLOOKUP(I159,VOL_REC[],2,FALSE),0)</f>
        <v>105072</v>
      </c>
      <c r="AZ159" s="246">
        <f>IFERROR(VLOOKUP(J159,VOL_REC[],2,FALSE),0)</f>
        <v>0</v>
      </c>
      <c r="BA159" s="246">
        <f>IFERROR(VLOOKUP(K159,VOL_REC[],2,FALSE),0)</f>
        <v>0</v>
      </c>
      <c r="BB159" s="246">
        <f>IFERROR(VLOOKUP(L159,VOL_REC[],2,FALSE),0)</f>
        <v>0</v>
      </c>
      <c r="BC159" s="246">
        <f>IFERROR(VLOOKUP(M159,VOL_REC[],2,FALSE),0)</f>
        <v>0</v>
      </c>
      <c r="BD159" s="246">
        <f>IFERROR(VLOOKUP(N159,VOL_REC[],2,FALSE),0)</f>
        <v>0</v>
      </c>
      <c r="BE159" s="246">
        <f>IFERROR(VLOOKUP(O159,VOL_REC[],2,FALSE),0)</f>
        <v>0</v>
      </c>
      <c r="BF159" s="246">
        <f>IFERROR(VLOOKUP(P159,VOL_REC[],2,FALSE),0)</f>
        <v>0</v>
      </c>
      <c r="BG159" s="246">
        <f>IFERROR(VLOOKUP(Q159,VOL_REC[],2,FALSE),0)</f>
        <v>0</v>
      </c>
      <c r="BH159" s="1710">
        <f t="shared" si="8"/>
        <v>15464990248.197378</v>
      </c>
      <c r="BI159" s="1710">
        <f t="shared" si="9"/>
        <v>18433762300.17675</v>
      </c>
      <c r="BJ159" s="1711">
        <f t="shared" si="10"/>
        <v>28547022.597699754</v>
      </c>
      <c r="BK159" s="1711">
        <f t="shared" si="11"/>
        <v>0.8389492061557664</v>
      </c>
    </row>
    <row r="160" spans="3:67" x14ac:dyDescent="0.25">
      <c r="C160" s="246" t="s">
        <v>1510</v>
      </c>
      <c r="D160" s="246">
        <v>1</v>
      </c>
      <c r="E160" s="246">
        <v>2</v>
      </c>
      <c r="F160" s="246">
        <v>3</v>
      </c>
      <c r="G160" s="246">
        <v>6</v>
      </c>
      <c r="H160" s="246">
        <v>10</v>
      </c>
      <c r="I160" s="246">
        <v>16</v>
      </c>
      <c r="J160" s="246"/>
      <c r="K160" s="246"/>
      <c r="L160" s="246"/>
      <c r="M160" s="246"/>
      <c r="N160" s="246"/>
      <c r="O160" s="246"/>
      <c r="P160" s="246"/>
      <c r="Q160" s="246"/>
      <c r="R160" s="246">
        <f>IFERROR(VLOOKUP(D160,PROGRAMAS[],2,FALSE),0)</f>
        <v>97037803.679377079</v>
      </c>
      <c r="S160" s="246">
        <f>IFERROR(VLOOKUP(E160,PROGRAMAS[],2,FALSE),0)</f>
        <v>640501509.6821388</v>
      </c>
      <c r="T160" s="246">
        <f>IFERROR(VLOOKUP(F160,PROGRAMAS[],2,FALSE),0)</f>
        <v>3062327798.1525245</v>
      </c>
      <c r="U160" s="246">
        <f>IFERROR(VLOOKUP(G160,PROGRAMAS[],2,FALSE),0)</f>
        <v>6907648435.8447599</v>
      </c>
      <c r="V160" s="246">
        <f>IFERROR(VLOOKUP(H160,PROGRAMAS[],2,FALSE),0)</f>
        <v>4635315027.8751087</v>
      </c>
      <c r="W160" s="246">
        <f>IFERROR(VLOOKUP(I160,PROGRAMAS[],2,FALSE),0)</f>
        <v>7068496961.0436354</v>
      </c>
      <c r="X160" s="246">
        <f>IFERROR(VLOOKUP(J160,PROGRAMAS[],2,FALSE),0)</f>
        <v>0</v>
      </c>
      <c r="Y160" s="246">
        <f>IFERROR(VLOOKUP(K160,PROGRAMAS[],2,FALSE),0)</f>
        <v>0</v>
      </c>
      <c r="Z160" s="246">
        <f>IFERROR(VLOOKUP(L160,PROGRAMAS[],2,FALSE),0)</f>
        <v>0</v>
      </c>
      <c r="AA160" s="246">
        <f>IFERROR(VLOOKUP(M160,PROGRAMAS[],2,FALSE),0)</f>
        <v>0</v>
      </c>
      <c r="AB160" s="246">
        <f>IFERROR(VLOOKUP(N160,PROGRAMAS[],2,FALSE),0)</f>
        <v>0</v>
      </c>
      <c r="AC160" s="246">
        <f>IFERROR(VLOOKUP(O160,PROGRAMAS[],2,FALSE),0)</f>
        <v>0</v>
      </c>
      <c r="AD160" s="246">
        <f>IFERROR(VLOOKUP(P160,PROGRAMAS[],2,FALSE),0)</f>
        <v>0</v>
      </c>
      <c r="AE160" s="246">
        <f>IFERROR(VLOOKUP(Q160,PROGRAMAS[],2,FALSE),0)</f>
        <v>0</v>
      </c>
      <c r="AF160" s="246">
        <f>IFERROR(VLOOKUP(D160,PROGRAMAS[],3,FALSE),0)</f>
        <v>841888629.31080008</v>
      </c>
      <c r="AG160" s="246">
        <f>IFERROR(VLOOKUP(E160,PROGRAMAS[],3,FALSE),0)</f>
        <v>3848980803.1642323</v>
      </c>
      <c r="AH160" s="246">
        <f>IFERROR(VLOOKUP(F160,PROGRAMAS[],3,FALSE),0)</f>
        <v>3394901471.387517</v>
      </c>
      <c r="AI160" s="246">
        <f>IFERROR(VLOOKUP(G160,PROGRAMAS[],3,FALSE),0)</f>
        <v>6129902208.7912121</v>
      </c>
      <c r="AJ160" s="246">
        <f>IFERROR(VLOOKUP(H160,PROGRAMAS[],3,FALSE),0)</f>
        <v>4099471734.9978786</v>
      </c>
      <c r="AK160" s="246">
        <f>IFERROR(VLOOKUP(I160,PROGRAMAS[],3,FALSE),0)</f>
        <v>2406564599.0319901</v>
      </c>
      <c r="AL160" s="246">
        <f>IFERROR(VLOOKUP(J160,PROGRAMAS[],3,FALSE),0)</f>
        <v>0</v>
      </c>
      <c r="AM160" s="246">
        <f>IFERROR(VLOOKUP(K160,PROGRAMAS[],3,FALSE),0)</f>
        <v>0</v>
      </c>
      <c r="AN160" s="246">
        <f>IFERROR(VLOOKUP(L160,PROGRAMAS[],3,FALSE),0)</f>
        <v>0</v>
      </c>
      <c r="AO160" s="246">
        <f>IFERROR(VLOOKUP(M160,PROGRAMAS[],3,FALSE),0)</f>
        <v>0</v>
      </c>
      <c r="AP160" s="246">
        <f>IFERROR(VLOOKUP(N160,PROGRAMAS[],3,FALSE),0)</f>
        <v>0</v>
      </c>
      <c r="AQ160" s="246">
        <f>IFERROR(VLOOKUP(O160,PROGRAMAS[],3,FALSE),0)</f>
        <v>0</v>
      </c>
      <c r="AR160" s="246">
        <f>IFERROR(VLOOKUP(P160,PROGRAMAS[],3,FALSE),0)</f>
        <v>0</v>
      </c>
      <c r="AS160" s="246">
        <f>IFERROR(VLOOKUP(Q160,PROGRAMAS[],3,FALSE),0)</f>
        <v>0</v>
      </c>
      <c r="AT160" s="246">
        <f>IFERROR(VLOOKUP(D160,VOL_REC[],2,FALSE),0)</f>
        <v>0</v>
      </c>
      <c r="AU160" s="246">
        <f>IFERROR(VLOOKUP(E160,VOL_REC[],2,FALSE),0)</f>
        <v>0</v>
      </c>
      <c r="AV160" s="246">
        <f>IFERROR(VLOOKUP(F160,VOL_REC[],2,FALSE),0)</f>
        <v>11089674.200000001</v>
      </c>
      <c r="AW160" s="246">
        <f>IFERROR(VLOOKUP(G160,VOL_REC[],2,FALSE),0)</f>
        <v>15540036.397699751</v>
      </c>
      <c r="AX160" s="246">
        <f>IFERROR(VLOOKUP(H160,VOL_REC[],2,FALSE),0)</f>
        <v>1812240</v>
      </c>
      <c r="AY160" s="246">
        <f>IFERROR(VLOOKUP(I160,VOL_REC[],2,FALSE),0)</f>
        <v>1072354.9981737854</v>
      </c>
      <c r="AZ160" s="246">
        <f>IFERROR(VLOOKUP(J160,VOL_REC[],2,FALSE),0)</f>
        <v>0</v>
      </c>
      <c r="BA160" s="246">
        <f>IFERROR(VLOOKUP(K160,VOL_REC[],2,FALSE),0)</f>
        <v>0</v>
      </c>
      <c r="BB160" s="246">
        <f>IFERROR(VLOOKUP(L160,VOL_REC[],2,FALSE),0)</f>
        <v>0</v>
      </c>
      <c r="BC160" s="246">
        <f>IFERROR(VLOOKUP(M160,VOL_REC[],2,FALSE),0)</f>
        <v>0</v>
      </c>
      <c r="BD160" s="246">
        <f>IFERROR(VLOOKUP(N160,VOL_REC[],2,FALSE),0)</f>
        <v>0</v>
      </c>
      <c r="BE160" s="246">
        <f>IFERROR(VLOOKUP(O160,VOL_REC[],2,FALSE),0)</f>
        <v>0</v>
      </c>
      <c r="BF160" s="246">
        <f>IFERROR(VLOOKUP(P160,VOL_REC[],2,FALSE),0)</f>
        <v>0</v>
      </c>
      <c r="BG160" s="246">
        <f>IFERROR(VLOOKUP(Q160,VOL_REC[],2,FALSE),0)</f>
        <v>0</v>
      </c>
      <c r="BH160" s="1710">
        <f t="shared" si="8"/>
        <v>22411327536.277546</v>
      </c>
      <c r="BI160" s="1710">
        <f t="shared" si="9"/>
        <v>20721709446.683632</v>
      </c>
      <c r="BJ160" s="1711">
        <f t="shared" si="10"/>
        <v>29514305.595873538</v>
      </c>
      <c r="BK160" s="1711">
        <f t="shared" si="11"/>
        <v>1.0815385474804216</v>
      </c>
      <c r="BL160">
        <f>BJ160</f>
        <v>29514305.595873538</v>
      </c>
      <c r="BO160">
        <f>BL160</f>
        <v>29514305.595873538</v>
      </c>
    </row>
    <row r="161" spans="3:67" x14ac:dyDescent="0.25">
      <c r="C161" s="246" t="s">
        <v>1511</v>
      </c>
      <c r="D161" s="246">
        <v>1</v>
      </c>
      <c r="E161" s="246">
        <v>2</v>
      </c>
      <c r="F161" s="246">
        <v>3</v>
      </c>
      <c r="G161" s="246">
        <v>6</v>
      </c>
      <c r="H161" s="246">
        <v>10</v>
      </c>
      <c r="I161" s="246">
        <v>17</v>
      </c>
      <c r="J161" s="246"/>
      <c r="K161" s="246"/>
      <c r="L161" s="246"/>
      <c r="M161" s="246"/>
      <c r="N161" s="246"/>
      <c r="O161" s="246"/>
      <c r="P161" s="246"/>
      <c r="Q161" s="246"/>
      <c r="R161" s="246">
        <f>IFERROR(VLOOKUP(D161,PROGRAMAS[],2,FALSE),0)</f>
        <v>97037803.679377079</v>
      </c>
      <c r="S161" s="246">
        <f>IFERROR(VLOOKUP(E161,PROGRAMAS[],2,FALSE),0)</f>
        <v>640501509.6821388</v>
      </c>
      <c r="T161" s="246">
        <f>IFERROR(VLOOKUP(F161,PROGRAMAS[],2,FALSE),0)</f>
        <v>3062327798.1525245</v>
      </c>
      <c r="U161" s="246">
        <f>IFERROR(VLOOKUP(G161,PROGRAMAS[],2,FALSE),0)</f>
        <v>6907648435.8447599</v>
      </c>
      <c r="V161" s="246">
        <f>IFERROR(VLOOKUP(H161,PROGRAMAS[],2,FALSE),0)</f>
        <v>4635315027.8751087</v>
      </c>
      <c r="W161" s="246">
        <f>IFERROR(VLOOKUP(I161,PROGRAMAS[],2,FALSE),0)</f>
        <v>1892779498.5211046</v>
      </c>
      <c r="X161" s="246">
        <f>IFERROR(VLOOKUP(J161,PROGRAMAS[],2,FALSE),0)</f>
        <v>0</v>
      </c>
      <c r="Y161" s="246">
        <f>IFERROR(VLOOKUP(K161,PROGRAMAS[],2,FALSE),0)</f>
        <v>0</v>
      </c>
      <c r="Z161" s="246">
        <f>IFERROR(VLOOKUP(L161,PROGRAMAS[],2,FALSE),0)</f>
        <v>0</v>
      </c>
      <c r="AA161" s="246">
        <f>IFERROR(VLOOKUP(M161,PROGRAMAS[],2,FALSE),0)</f>
        <v>0</v>
      </c>
      <c r="AB161" s="246">
        <f>IFERROR(VLOOKUP(N161,PROGRAMAS[],2,FALSE),0)</f>
        <v>0</v>
      </c>
      <c r="AC161" s="246">
        <f>IFERROR(VLOOKUP(O161,PROGRAMAS[],2,FALSE),0)</f>
        <v>0</v>
      </c>
      <c r="AD161" s="246">
        <f>IFERROR(VLOOKUP(P161,PROGRAMAS[],2,FALSE),0)</f>
        <v>0</v>
      </c>
      <c r="AE161" s="246">
        <f>IFERROR(VLOOKUP(Q161,PROGRAMAS[],2,FALSE),0)</f>
        <v>0</v>
      </c>
      <c r="AF161" s="246">
        <f>IFERROR(VLOOKUP(D161,PROGRAMAS[],3,FALSE),0)</f>
        <v>841888629.31080008</v>
      </c>
      <c r="AG161" s="246">
        <f>IFERROR(VLOOKUP(E161,PROGRAMAS[],3,FALSE),0)</f>
        <v>3848980803.1642323</v>
      </c>
      <c r="AH161" s="246">
        <f>IFERROR(VLOOKUP(F161,PROGRAMAS[],3,FALSE),0)</f>
        <v>3394901471.387517</v>
      </c>
      <c r="AI161" s="246">
        <f>IFERROR(VLOOKUP(G161,PROGRAMAS[],3,FALSE),0)</f>
        <v>6129902208.7912121</v>
      </c>
      <c r="AJ161" s="246">
        <f>IFERROR(VLOOKUP(H161,PROGRAMAS[],3,FALSE),0)</f>
        <v>4099471734.9978786</v>
      </c>
      <c r="AK161" s="246">
        <f>IFERROR(VLOOKUP(I161,PROGRAMAS[],3,FALSE),0)</f>
        <v>948595847.09039903</v>
      </c>
      <c r="AL161" s="246">
        <f>IFERROR(VLOOKUP(J161,PROGRAMAS[],3,FALSE),0)</f>
        <v>0</v>
      </c>
      <c r="AM161" s="246">
        <f>IFERROR(VLOOKUP(K161,PROGRAMAS[],3,FALSE),0)</f>
        <v>0</v>
      </c>
      <c r="AN161" s="246">
        <f>IFERROR(VLOOKUP(L161,PROGRAMAS[],3,FALSE),0)</f>
        <v>0</v>
      </c>
      <c r="AO161" s="246">
        <f>IFERROR(VLOOKUP(M161,PROGRAMAS[],3,FALSE),0)</f>
        <v>0</v>
      </c>
      <c r="AP161" s="246">
        <f>IFERROR(VLOOKUP(N161,PROGRAMAS[],3,FALSE),0)</f>
        <v>0</v>
      </c>
      <c r="AQ161" s="246">
        <f>IFERROR(VLOOKUP(O161,PROGRAMAS[],3,FALSE),0)</f>
        <v>0</v>
      </c>
      <c r="AR161" s="246">
        <f>IFERROR(VLOOKUP(P161,PROGRAMAS[],3,FALSE),0)</f>
        <v>0</v>
      </c>
      <c r="AS161" s="246">
        <f>IFERROR(VLOOKUP(Q161,PROGRAMAS[],3,FALSE),0)</f>
        <v>0</v>
      </c>
      <c r="AT161" s="246">
        <f>IFERROR(VLOOKUP(D161,VOL_REC[],2,FALSE),0)</f>
        <v>0</v>
      </c>
      <c r="AU161" s="246">
        <f>IFERROR(VLOOKUP(E161,VOL_REC[],2,FALSE),0)</f>
        <v>0</v>
      </c>
      <c r="AV161" s="246">
        <f>IFERROR(VLOOKUP(F161,VOL_REC[],2,FALSE),0)</f>
        <v>11089674.200000001</v>
      </c>
      <c r="AW161" s="246">
        <f>IFERROR(VLOOKUP(G161,VOL_REC[],2,FALSE),0)</f>
        <v>15540036.397699751</v>
      </c>
      <c r="AX161" s="246">
        <f>IFERROR(VLOOKUP(H161,VOL_REC[],2,FALSE),0)</f>
        <v>1812240</v>
      </c>
      <c r="AY161" s="246">
        <f>IFERROR(VLOOKUP(I161,VOL_REC[],2,FALSE),0)</f>
        <v>740113.98115702497</v>
      </c>
      <c r="AZ161" s="246">
        <f>IFERROR(VLOOKUP(J161,VOL_REC[],2,FALSE),0)</f>
        <v>0</v>
      </c>
      <c r="BA161" s="246">
        <f>IFERROR(VLOOKUP(K161,VOL_REC[],2,FALSE),0)</f>
        <v>0</v>
      </c>
      <c r="BB161" s="246">
        <f>IFERROR(VLOOKUP(L161,VOL_REC[],2,FALSE),0)</f>
        <v>0</v>
      </c>
      <c r="BC161" s="246">
        <f>IFERROR(VLOOKUP(M161,VOL_REC[],2,FALSE),0)</f>
        <v>0</v>
      </c>
      <c r="BD161" s="246">
        <f>IFERROR(VLOOKUP(N161,VOL_REC[],2,FALSE),0)</f>
        <v>0</v>
      </c>
      <c r="BE161" s="246">
        <f>IFERROR(VLOOKUP(O161,VOL_REC[],2,FALSE),0)</f>
        <v>0</v>
      </c>
      <c r="BF161" s="246">
        <f>IFERROR(VLOOKUP(P161,VOL_REC[],2,FALSE),0)</f>
        <v>0</v>
      </c>
      <c r="BG161" s="246">
        <f>IFERROR(VLOOKUP(Q161,VOL_REC[],2,FALSE),0)</f>
        <v>0</v>
      </c>
      <c r="BH161" s="1710">
        <f t="shared" si="8"/>
        <v>17235610073.755013</v>
      </c>
      <c r="BI161" s="1710">
        <f t="shared" si="9"/>
        <v>19263740694.742043</v>
      </c>
      <c r="BJ161" s="1711">
        <f t="shared" si="10"/>
        <v>29182064.578856777</v>
      </c>
      <c r="BK161" s="1711">
        <f t="shared" si="11"/>
        <v>0.89471771588263749</v>
      </c>
    </row>
    <row r="162" spans="3:67" x14ac:dyDescent="0.25">
      <c r="C162" s="246" t="s">
        <v>1512</v>
      </c>
      <c r="D162" s="246">
        <v>1</v>
      </c>
      <c r="E162" s="246">
        <v>2</v>
      </c>
      <c r="F162" s="246">
        <v>3</v>
      </c>
      <c r="G162" s="246">
        <v>6</v>
      </c>
      <c r="H162" s="246">
        <v>12</v>
      </c>
      <c r="I162" s="246">
        <v>13</v>
      </c>
      <c r="J162" s="246"/>
      <c r="K162" s="246"/>
      <c r="L162" s="246"/>
      <c r="M162" s="246"/>
      <c r="N162" s="246"/>
      <c r="O162" s="246"/>
      <c r="P162" s="246"/>
      <c r="Q162" s="246"/>
      <c r="R162" s="246">
        <f>IFERROR(VLOOKUP(D162,PROGRAMAS[],2,FALSE),0)</f>
        <v>97037803.679377079</v>
      </c>
      <c r="S162" s="246">
        <f>IFERROR(VLOOKUP(E162,PROGRAMAS[],2,FALSE),0)</f>
        <v>640501509.6821388</v>
      </c>
      <c r="T162" s="246">
        <f>IFERROR(VLOOKUP(F162,PROGRAMAS[],2,FALSE),0)</f>
        <v>3062327798.1525245</v>
      </c>
      <c r="U162" s="246">
        <f>IFERROR(VLOOKUP(G162,PROGRAMAS[],2,FALSE),0)</f>
        <v>6907648435.8447599</v>
      </c>
      <c r="V162" s="246">
        <f>IFERROR(VLOOKUP(H162,PROGRAMAS[],2,FALSE),0)</f>
        <v>764796700.79905891</v>
      </c>
      <c r="W162" s="246">
        <f>IFERROR(VLOOKUP(I162,PROGRAMAS[],2,FALSE),0)</f>
        <v>3776538594.4604583</v>
      </c>
      <c r="X162" s="246">
        <f>IFERROR(VLOOKUP(J162,PROGRAMAS[],2,FALSE),0)</f>
        <v>0</v>
      </c>
      <c r="Y162" s="246">
        <f>IFERROR(VLOOKUP(K162,PROGRAMAS[],2,FALSE),0)</f>
        <v>0</v>
      </c>
      <c r="Z162" s="246">
        <f>IFERROR(VLOOKUP(L162,PROGRAMAS[],2,FALSE),0)</f>
        <v>0</v>
      </c>
      <c r="AA162" s="246">
        <f>IFERROR(VLOOKUP(M162,PROGRAMAS[],2,FALSE),0)</f>
        <v>0</v>
      </c>
      <c r="AB162" s="246">
        <f>IFERROR(VLOOKUP(N162,PROGRAMAS[],2,FALSE),0)</f>
        <v>0</v>
      </c>
      <c r="AC162" s="246">
        <f>IFERROR(VLOOKUP(O162,PROGRAMAS[],2,FALSE),0)</f>
        <v>0</v>
      </c>
      <c r="AD162" s="246">
        <f>IFERROR(VLOOKUP(P162,PROGRAMAS[],2,FALSE),0)</f>
        <v>0</v>
      </c>
      <c r="AE162" s="246">
        <f>IFERROR(VLOOKUP(Q162,PROGRAMAS[],2,FALSE),0)</f>
        <v>0</v>
      </c>
      <c r="AF162" s="246">
        <f>IFERROR(VLOOKUP(D162,PROGRAMAS[],3,FALSE),0)</f>
        <v>841888629.31080008</v>
      </c>
      <c r="AG162" s="246">
        <f>IFERROR(VLOOKUP(E162,PROGRAMAS[],3,FALSE),0)</f>
        <v>3848980803.1642323</v>
      </c>
      <c r="AH162" s="246">
        <f>IFERROR(VLOOKUP(F162,PROGRAMAS[],3,FALSE),0)</f>
        <v>3394901471.387517</v>
      </c>
      <c r="AI162" s="246">
        <f>IFERROR(VLOOKUP(G162,PROGRAMAS[],3,FALSE),0)</f>
        <v>6129902208.7912121</v>
      </c>
      <c r="AJ162" s="246">
        <f>IFERROR(VLOOKUP(H162,PROGRAMAS[],3,FALSE),0)</f>
        <v>675517840.109828</v>
      </c>
      <c r="AK162" s="246">
        <f>IFERROR(VLOOKUP(I162,PROGRAMAS[],3,FALSE),0)</f>
        <v>2392571243.5584412</v>
      </c>
      <c r="AL162" s="246">
        <f>IFERROR(VLOOKUP(J162,PROGRAMAS[],3,FALSE),0)</f>
        <v>0</v>
      </c>
      <c r="AM162" s="246">
        <f>IFERROR(VLOOKUP(K162,PROGRAMAS[],3,FALSE),0)</f>
        <v>0</v>
      </c>
      <c r="AN162" s="246">
        <f>IFERROR(VLOOKUP(L162,PROGRAMAS[],3,FALSE),0)</f>
        <v>0</v>
      </c>
      <c r="AO162" s="246">
        <f>IFERROR(VLOOKUP(M162,PROGRAMAS[],3,FALSE),0)</f>
        <v>0</v>
      </c>
      <c r="AP162" s="246">
        <f>IFERROR(VLOOKUP(N162,PROGRAMAS[],3,FALSE),0)</f>
        <v>0</v>
      </c>
      <c r="AQ162" s="246">
        <f>IFERROR(VLOOKUP(O162,PROGRAMAS[],3,FALSE),0)</f>
        <v>0</v>
      </c>
      <c r="AR162" s="246">
        <f>IFERROR(VLOOKUP(P162,PROGRAMAS[],3,FALSE),0)</f>
        <v>0</v>
      </c>
      <c r="AS162" s="246">
        <f>IFERROR(VLOOKUP(Q162,PROGRAMAS[],3,FALSE),0)</f>
        <v>0</v>
      </c>
      <c r="AT162" s="246">
        <f>IFERROR(VLOOKUP(D162,VOL_REC[],2,FALSE),0)</f>
        <v>0</v>
      </c>
      <c r="AU162" s="246">
        <f>IFERROR(VLOOKUP(E162,VOL_REC[],2,FALSE),0)</f>
        <v>0</v>
      </c>
      <c r="AV162" s="246">
        <f>IFERROR(VLOOKUP(F162,VOL_REC[],2,FALSE),0)</f>
        <v>11089674.200000001</v>
      </c>
      <c r="AW162" s="246">
        <f>IFERROR(VLOOKUP(G162,VOL_REC[],2,FALSE),0)</f>
        <v>15540036.397699751</v>
      </c>
      <c r="AX162" s="246">
        <f>IFERROR(VLOOKUP(H162,VOL_REC[],2,FALSE),0)</f>
        <v>240696.79238099116</v>
      </c>
      <c r="AY162" s="246">
        <f>IFERROR(VLOOKUP(I162,VOL_REC[],2,FALSE),0)</f>
        <v>663244.80000000016</v>
      </c>
      <c r="AZ162" s="246">
        <f>IFERROR(VLOOKUP(J162,VOL_REC[],2,FALSE),0)</f>
        <v>0</v>
      </c>
      <c r="BA162" s="246">
        <f>IFERROR(VLOOKUP(K162,VOL_REC[],2,FALSE),0)</f>
        <v>0</v>
      </c>
      <c r="BB162" s="246">
        <f>IFERROR(VLOOKUP(L162,VOL_REC[],2,FALSE),0)</f>
        <v>0</v>
      </c>
      <c r="BC162" s="246">
        <f>IFERROR(VLOOKUP(M162,VOL_REC[],2,FALSE),0)</f>
        <v>0</v>
      </c>
      <c r="BD162" s="246">
        <f>IFERROR(VLOOKUP(N162,VOL_REC[],2,FALSE),0)</f>
        <v>0</v>
      </c>
      <c r="BE162" s="246">
        <f>IFERROR(VLOOKUP(O162,VOL_REC[],2,FALSE),0)</f>
        <v>0</v>
      </c>
      <c r="BF162" s="246">
        <f>IFERROR(VLOOKUP(P162,VOL_REC[],2,FALSE),0)</f>
        <v>0</v>
      </c>
      <c r="BG162" s="246">
        <f>IFERROR(VLOOKUP(Q162,VOL_REC[],2,FALSE),0)</f>
        <v>0</v>
      </c>
      <c r="BH162" s="1710">
        <f t="shared" si="8"/>
        <v>15248850842.618319</v>
      </c>
      <c r="BI162" s="1710">
        <f t="shared" si="9"/>
        <v>17283762196.322033</v>
      </c>
      <c r="BJ162" s="1711">
        <f t="shared" si="10"/>
        <v>27533652.190080747</v>
      </c>
      <c r="BK162" s="1711">
        <f t="shared" si="11"/>
        <v>0.88226455961441419</v>
      </c>
    </row>
    <row r="163" spans="3:67" x14ac:dyDescent="0.25">
      <c r="C163" s="246" t="s">
        <v>1513</v>
      </c>
      <c r="D163" s="246">
        <v>1</v>
      </c>
      <c r="E163" s="246">
        <v>2</v>
      </c>
      <c r="F163" s="246">
        <v>3</v>
      </c>
      <c r="G163" s="246">
        <v>6</v>
      </c>
      <c r="H163" s="246">
        <v>12</v>
      </c>
      <c r="I163" s="246">
        <v>14</v>
      </c>
      <c r="J163" s="246"/>
      <c r="K163" s="246"/>
      <c r="L163" s="246"/>
      <c r="M163" s="246"/>
      <c r="N163" s="246"/>
      <c r="O163" s="246"/>
      <c r="P163" s="246"/>
      <c r="Q163" s="246"/>
      <c r="R163" s="246">
        <f>IFERROR(VLOOKUP(D163,PROGRAMAS[],2,FALSE),0)</f>
        <v>97037803.679377079</v>
      </c>
      <c r="S163" s="246">
        <f>IFERROR(VLOOKUP(E163,PROGRAMAS[],2,FALSE),0)</f>
        <v>640501509.6821388</v>
      </c>
      <c r="T163" s="246">
        <f>IFERROR(VLOOKUP(F163,PROGRAMAS[],2,FALSE),0)</f>
        <v>3062327798.1525245</v>
      </c>
      <c r="U163" s="246">
        <f>IFERROR(VLOOKUP(G163,PROGRAMAS[],2,FALSE),0)</f>
        <v>6907648435.8447599</v>
      </c>
      <c r="V163" s="246">
        <f>IFERROR(VLOOKUP(H163,PROGRAMAS[],2,FALSE),0)</f>
        <v>764796700.79905891</v>
      </c>
      <c r="W163" s="246">
        <f>IFERROR(VLOOKUP(I163,PROGRAMAS[],2,FALSE),0)</f>
        <v>54223862.645839565</v>
      </c>
      <c r="X163" s="246">
        <f>IFERROR(VLOOKUP(J163,PROGRAMAS[],2,FALSE),0)</f>
        <v>0</v>
      </c>
      <c r="Y163" s="246">
        <f>IFERROR(VLOOKUP(K163,PROGRAMAS[],2,FALSE),0)</f>
        <v>0</v>
      </c>
      <c r="Z163" s="246">
        <f>IFERROR(VLOOKUP(L163,PROGRAMAS[],2,FALSE),0)</f>
        <v>0</v>
      </c>
      <c r="AA163" s="246">
        <f>IFERROR(VLOOKUP(M163,PROGRAMAS[],2,FALSE),0)</f>
        <v>0</v>
      </c>
      <c r="AB163" s="246">
        <f>IFERROR(VLOOKUP(N163,PROGRAMAS[],2,FALSE),0)</f>
        <v>0</v>
      </c>
      <c r="AC163" s="246">
        <f>IFERROR(VLOOKUP(O163,PROGRAMAS[],2,FALSE),0)</f>
        <v>0</v>
      </c>
      <c r="AD163" s="246">
        <f>IFERROR(VLOOKUP(P163,PROGRAMAS[],2,FALSE),0)</f>
        <v>0</v>
      </c>
      <c r="AE163" s="246">
        <f>IFERROR(VLOOKUP(Q163,PROGRAMAS[],2,FALSE),0)</f>
        <v>0</v>
      </c>
      <c r="AF163" s="246">
        <f>IFERROR(VLOOKUP(D163,PROGRAMAS[],3,FALSE),0)</f>
        <v>841888629.31080008</v>
      </c>
      <c r="AG163" s="246">
        <f>IFERROR(VLOOKUP(E163,PROGRAMAS[],3,FALSE),0)</f>
        <v>3848980803.1642323</v>
      </c>
      <c r="AH163" s="246">
        <f>IFERROR(VLOOKUP(F163,PROGRAMAS[],3,FALSE),0)</f>
        <v>3394901471.387517</v>
      </c>
      <c r="AI163" s="246">
        <f>IFERROR(VLOOKUP(G163,PROGRAMAS[],3,FALSE),0)</f>
        <v>6129902208.7912121</v>
      </c>
      <c r="AJ163" s="246">
        <f>IFERROR(VLOOKUP(H163,PROGRAMAS[],3,FALSE),0)</f>
        <v>675517840.109828</v>
      </c>
      <c r="AK163" s="246">
        <f>IFERROR(VLOOKUP(I163,PROGRAMAS[],3,FALSE),0)</f>
        <v>31865326.38096505</v>
      </c>
      <c r="AL163" s="246">
        <f>IFERROR(VLOOKUP(J163,PROGRAMAS[],3,FALSE),0)</f>
        <v>0</v>
      </c>
      <c r="AM163" s="246">
        <f>IFERROR(VLOOKUP(K163,PROGRAMAS[],3,FALSE),0)</f>
        <v>0</v>
      </c>
      <c r="AN163" s="246">
        <f>IFERROR(VLOOKUP(L163,PROGRAMAS[],3,FALSE),0)</f>
        <v>0</v>
      </c>
      <c r="AO163" s="246">
        <f>IFERROR(VLOOKUP(M163,PROGRAMAS[],3,FALSE),0)</f>
        <v>0</v>
      </c>
      <c r="AP163" s="246">
        <f>IFERROR(VLOOKUP(N163,PROGRAMAS[],3,FALSE),0)</f>
        <v>0</v>
      </c>
      <c r="AQ163" s="246">
        <f>IFERROR(VLOOKUP(O163,PROGRAMAS[],3,FALSE),0)</f>
        <v>0</v>
      </c>
      <c r="AR163" s="246">
        <f>IFERROR(VLOOKUP(P163,PROGRAMAS[],3,FALSE),0)</f>
        <v>0</v>
      </c>
      <c r="AS163" s="246">
        <f>IFERROR(VLOOKUP(Q163,PROGRAMAS[],3,FALSE),0)</f>
        <v>0</v>
      </c>
      <c r="AT163" s="246">
        <f>IFERROR(VLOOKUP(D163,VOL_REC[],2,FALSE),0)</f>
        <v>0</v>
      </c>
      <c r="AU163" s="246">
        <f>IFERROR(VLOOKUP(E163,VOL_REC[],2,FALSE),0)</f>
        <v>0</v>
      </c>
      <c r="AV163" s="246">
        <f>IFERROR(VLOOKUP(F163,VOL_REC[],2,FALSE),0)</f>
        <v>11089674.200000001</v>
      </c>
      <c r="AW163" s="246">
        <f>IFERROR(VLOOKUP(G163,VOL_REC[],2,FALSE),0)</f>
        <v>15540036.397699751</v>
      </c>
      <c r="AX163" s="246">
        <f>IFERROR(VLOOKUP(H163,VOL_REC[],2,FALSE),0)</f>
        <v>240696.79238099116</v>
      </c>
      <c r="AY163" s="246">
        <f>IFERROR(VLOOKUP(I163,VOL_REC[],2,FALSE),0)</f>
        <v>17074.045034105649</v>
      </c>
      <c r="AZ163" s="246">
        <f>IFERROR(VLOOKUP(J163,VOL_REC[],2,FALSE),0)</f>
        <v>0</v>
      </c>
      <c r="BA163" s="246">
        <f>IFERROR(VLOOKUP(K163,VOL_REC[],2,FALSE),0)</f>
        <v>0</v>
      </c>
      <c r="BB163" s="246">
        <f>IFERROR(VLOOKUP(L163,VOL_REC[],2,FALSE),0)</f>
        <v>0</v>
      </c>
      <c r="BC163" s="246">
        <f>IFERROR(VLOOKUP(M163,VOL_REC[],2,FALSE),0)</f>
        <v>0</v>
      </c>
      <c r="BD163" s="246">
        <f>IFERROR(VLOOKUP(N163,VOL_REC[],2,FALSE),0)</f>
        <v>0</v>
      </c>
      <c r="BE163" s="246">
        <f>IFERROR(VLOOKUP(O163,VOL_REC[],2,FALSE),0)</f>
        <v>0</v>
      </c>
      <c r="BF163" s="246">
        <f>IFERROR(VLOOKUP(P163,VOL_REC[],2,FALSE),0)</f>
        <v>0</v>
      </c>
      <c r="BG163" s="246">
        <f>IFERROR(VLOOKUP(Q163,VOL_REC[],2,FALSE),0)</f>
        <v>0</v>
      </c>
      <c r="BH163" s="1710">
        <f t="shared" si="8"/>
        <v>11526536110.803699</v>
      </c>
      <c r="BI163" s="1710">
        <f t="shared" si="9"/>
        <v>14923056279.144556</v>
      </c>
      <c r="BJ163" s="1711">
        <f t="shared" si="10"/>
        <v>26887481.435114853</v>
      </c>
      <c r="BK163" s="1711">
        <f t="shared" si="11"/>
        <v>0.77239781819441367</v>
      </c>
    </row>
    <row r="164" spans="3:67" x14ac:dyDescent="0.25">
      <c r="C164" s="246" t="s">
        <v>1514</v>
      </c>
      <c r="D164" s="246">
        <v>1</v>
      </c>
      <c r="E164" s="246">
        <v>2</v>
      </c>
      <c r="F164" s="246">
        <v>3</v>
      </c>
      <c r="G164" s="246">
        <v>6</v>
      </c>
      <c r="H164" s="246">
        <v>12</v>
      </c>
      <c r="I164" s="246">
        <v>15</v>
      </c>
      <c r="J164" s="246"/>
      <c r="K164" s="246"/>
      <c r="L164" s="246"/>
      <c r="M164" s="246"/>
      <c r="N164" s="246"/>
      <c r="O164" s="246"/>
      <c r="P164" s="246"/>
      <c r="Q164" s="246"/>
      <c r="R164" s="246">
        <f>IFERROR(VLOOKUP(D164,PROGRAMAS[],2,FALSE),0)</f>
        <v>97037803.679377079</v>
      </c>
      <c r="S164" s="246">
        <f>IFERROR(VLOOKUP(E164,PROGRAMAS[],2,FALSE),0)</f>
        <v>640501509.6821388</v>
      </c>
      <c r="T164" s="246">
        <f>IFERROR(VLOOKUP(F164,PROGRAMAS[],2,FALSE),0)</f>
        <v>3062327798.1525245</v>
      </c>
      <c r="U164" s="246">
        <f>IFERROR(VLOOKUP(G164,PROGRAMAS[],2,FALSE),0)</f>
        <v>6907648435.8447599</v>
      </c>
      <c r="V164" s="246">
        <f>IFERROR(VLOOKUP(H164,PROGRAMAS[],2,FALSE),0)</f>
        <v>764796700.79905891</v>
      </c>
      <c r="W164" s="246">
        <f>IFERROR(VLOOKUP(I164,PROGRAMAS[],2,FALSE),0)</f>
        <v>122159672.96346797</v>
      </c>
      <c r="X164" s="246">
        <f>IFERROR(VLOOKUP(J164,PROGRAMAS[],2,FALSE),0)</f>
        <v>0</v>
      </c>
      <c r="Y164" s="246">
        <f>IFERROR(VLOOKUP(K164,PROGRAMAS[],2,FALSE),0)</f>
        <v>0</v>
      </c>
      <c r="Z164" s="246">
        <f>IFERROR(VLOOKUP(L164,PROGRAMAS[],2,FALSE),0)</f>
        <v>0</v>
      </c>
      <c r="AA164" s="246">
        <f>IFERROR(VLOOKUP(M164,PROGRAMAS[],2,FALSE),0)</f>
        <v>0</v>
      </c>
      <c r="AB164" s="246">
        <f>IFERROR(VLOOKUP(N164,PROGRAMAS[],2,FALSE),0)</f>
        <v>0</v>
      </c>
      <c r="AC164" s="246">
        <f>IFERROR(VLOOKUP(O164,PROGRAMAS[],2,FALSE),0)</f>
        <v>0</v>
      </c>
      <c r="AD164" s="246">
        <f>IFERROR(VLOOKUP(P164,PROGRAMAS[],2,FALSE),0)</f>
        <v>0</v>
      </c>
      <c r="AE164" s="246">
        <f>IFERROR(VLOOKUP(Q164,PROGRAMAS[],2,FALSE),0)</f>
        <v>0</v>
      </c>
      <c r="AF164" s="246">
        <f>IFERROR(VLOOKUP(D164,PROGRAMAS[],3,FALSE),0)</f>
        <v>841888629.31080008</v>
      </c>
      <c r="AG164" s="246">
        <f>IFERROR(VLOOKUP(E164,PROGRAMAS[],3,FALSE),0)</f>
        <v>3848980803.1642323</v>
      </c>
      <c r="AH164" s="246">
        <f>IFERROR(VLOOKUP(F164,PROGRAMAS[],3,FALSE),0)</f>
        <v>3394901471.387517</v>
      </c>
      <c r="AI164" s="246">
        <f>IFERROR(VLOOKUP(G164,PROGRAMAS[],3,FALSE),0)</f>
        <v>6129902208.7912121</v>
      </c>
      <c r="AJ164" s="246">
        <f>IFERROR(VLOOKUP(H164,PROGRAMAS[],3,FALSE),0)</f>
        <v>675517840.109828</v>
      </c>
      <c r="AK164" s="246">
        <f>IFERROR(VLOOKUP(I164,PROGRAMAS[],3,FALSE),0)</f>
        <v>118617452.52510804</v>
      </c>
      <c r="AL164" s="246">
        <f>IFERROR(VLOOKUP(J164,PROGRAMAS[],3,FALSE),0)</f>
        <v>0</v>
      </c>
      <c r="AM164" s="246">
        <f>IFERROR(VLOOKUP(K164,PROGRAMAS[],3,FALSE),0)</f>
        <v>0</v>
      </c>
      <c r="AN164" s="246">
        <f>IFERROR(VLOOKUP(L164,PROGRAMAS[],3,FALSE),0)</f>
        <v>0</v>
      </c>
      <c r="AO164" s="246">
        <f>IFERROR(VLOOKUP(M164,PROGRAMAS[],3,FALSE),0)</f>
        <v>0</v>
      </c>
      <c r="AP164" s="246">
        <f>IFERROR(VLOOKUP(N164,PROGRAMAS[],3,FALSE),0)</f>
        <v>0</v>
      </c>
      <c r="AQ164" s="246">
        <f>IFERROR(VLOOKUP(O164,PROGRAMAS[],3,FALSE),0)</f>
        <v>0</v>
      </c>
      <c r="AR164" s="246">
        <f>IFERROR(VLOOKUP(P164,PROGRAMAS[],3,FALSE),0)</f>
        <v>0</v>
      </c>
      <c r="AS164" s="246">
        <f>IFERROR(VLOOKUP(Q164,PROGRAMAS[],3,FALSE),0)</f>
        <v>0</v>
      </c>
      <c r="AT164" s="246">
        <f>IFERROR(VLOOKUP(D164,VOL_REC[],2,FALSE),0)</f>
        <v>0</v>
      </c>
      <c r="AU164" s="246">
        <f>IFERROR(VLOOKUP(E164,VOL_REC[],2,FALSE),0)</f>
        <v>0</v>
      </c>
      <c r="AV164" s="246">
        <f>IFERROR(VLOOKUP(F164,VOL_REC[],2,FALSE),0)</f>
        <v>11089674.200000001</v>
      </c>
      <c r="AW164" s="246">
        <f>IFERROR(VLOOKUP(G164,VOL_REC[],2,FALSE),0)</f>
        <v>15540036.397699751</v>
      </c>
      <c r="AX164" s="246">
        <f>IFERROR(VLOOKUP(H164,VOL_REC[],2,FALSE),0)</f>
        <v>240696.79238099116</v>
      </c>
      <c r="AY164" s="246">
        <f>IFERROR(VLOOKUP(I164,VOL_REC[],2,FALSE),0)</f>
        <v>105072</v>
      </c>
      <c r="AZ164" s="246">
        <f>IFERROR(VLOOKUP(J164,VOL_REC[],2,FALSE),0)</f>
        <v>0</v>
      </c>
      <c r="BA164" s="246">
        <f>IFERROR(VLOOKUP(K164,VOL_REC[],2,FALSE),0)</f>
        <v>0</v>
      </c>
      <c r="BB164" s="246">
        <f>IFERROR(VLOOKUP(L164,VOL_REC[],2,FALSE),0)</f>
        <v>0</v>
      </c>
      <c r="BC164" s="246">
        <f>IFERROR(VLOOKUP(M164,VOL_REC[],2,FALSE),0)</f>
        <v>0</v>
      </c>
      <c r="BD164" s="246">
        <f>IFERROR(VLOOKUP(N164,VOL_REC[],2,FALSE),0)</f>
        <v>0</v>
      </c>
      <c r="BE164" s="246">
        <f>IFERROR(VLOOKUP(O164,VOL_REC[],2,FALSE),0)</f>
        <v>0</v>
      </c>
      <c r="BF164" s="246">
        <f>IFERROR(VLOOKUP(P164,VOL_REC[],2,FALSE),0)</f>
        <v>0</v>
      </c>
      <c r="BG164" s="246">
        <f>IFERROR(VLOOKUP(Q164,VOL_REC[],2,FALSE),0)</f>
        <v>0</v>
      </c>
      <c r="BH164" s="1710">
        <f t="shared" si="8"/>
        <v>11594471921.121328</v>
      </c>
      <c r="BI164" s="1710">
        <f t="shared" si="9"/>
        <v>15009808405.2887</v>
      </c>
      <c r="BJ164" s="1711">
        <f t="shared" si="10"/>
        <v>26975479.390080746</v>
      </c>
      <c r="BK164" s="1711">
        <f t="shared" si="11"/>
        <v>0.77245968822866662</v>
      </c>
    </row>
    <row r="165" spans="3:67" x14ac:dyDescent="0.25">
      <c r="C165" s="246" t="s">
        <v>1515</v>
      </c>
      <c r="D165" s="246">
        <v>1</v>
      </c>
      <c r="E165" s="246">
        <v>2</v>
      </c>
      <c r="F165" s="246">
        <v>3</v>
      </c>
      <c r="G165" s="246">
        <v>6</v>
      </c>
      <c r="H165" s="246">
        <v>12</v>
      </c>
      <c r="I165" s="246">
        <v>16</v>
      </c>
      <c r="J165" s="246"/>
      <c r="K165" s="246"/>
      <c r="L165" s="246"/>
      <c r="M165" s="246"/>
      <c r="N165" s="246"/>
      <c r="O165" s="246"/>
      <c r="P165" s="246"/>
      <c r="Q165" s="246"/>
      <c r="R165" s="246">
        <f>IFERROR(VLOOKUP(D165,PROGRAMAS[],2,FALSE),0)</f>
        <v>97037803.679377079</v>
      </c>
      <c r="S165" s="246">
        <f>IFERROR(VLOOKUP(E165,PROGRAMAS[],2,FALSE),0)</f>
        <v>640501509.6821388</v>
      </c>
      <c r="T165" s="246">
        <f>IFERROR(VLOOKUP(F165,PROGRAMAS[],2,FALSE),0)</f>
        <v>3062327798.1525245</v>
      </c>
      <c r="U165" s="246">
        <f>IFERROR(VLOOKUP(G165,PROGRAMAS[],2,FALSE),0)</f>
        <v>6907648435.8447599</v>
      </c>
      <c r="V165" s="246">
        <f>IFERROR(VLOOKUP(H165,PROGRAMAS[],2,FALSE),0)</f>
        <v>764796700.79905891</v>
      </c>
      <c r="W165" s="246">
        <f>IFERROR(VLOOKUP(I165,PROGRAMAS[],2,FALSE),0)</f>
        <v>7068496961.0436354</v>
      </c>
      <c r="X165" s="246">
        <f>IFERROR(VLOOKUP(J165,PROGRAMAS[],2,FALSE),0)</f>
        <v>0</v>
      </c>
      <c r="Y165" s="246">
        <f>IFERROR(VLOOKUP(K165,PROGRAMAS[],2,FALSE),0)</f>
        <v>0</v>
      </c>
      <c r="Z165" s="246">
        <f>IFERROR(VLOOKUP(L165,PROGRAMAS[],2,FALSE),0)</f>
        <v>0</v>
      </c>
      <c r="AA165" s="246">
        <f>IFERROR(VLOOKUP(M165,PROGRAMAS[],2,FALSE),0)</f>
        <v>0</v>
      </c>
      <c r="AB165" s="246">
        <f>IFERROR(VLOOKUP(N165,PROGRAMAS[],2,FALSE),0)</f>
        <v>0</v>
      </c>
      <c r="AC165" s="246">
        <f>IFERROR(VLOOKUP(O165,PROGRAMAS[],2,FALSE),0)</f>
        <v>0</v>
      </c>
      <c r="AD165" s="246">
        <f>IFERROR(VLOOKUP(P165,PROGRAMAS[],2,FALSE),0)</f>
        <v>0</v>
      </c>
      <c r="AE165" s="246">
        <f>IFERROR(VLOOKUP(Q165,PROGRAMAS[],2,FALSE),0)</f>
        <v>0</v>
      </c>
      <c r="AF165" s="246">
        <f>IFERROR(VLOOKUP(D165,PROGRAMAS[],3,FALSE),0)</f>
        <v>841888629.31080008</v>
      </c>
      <c r="AG165" s="246">
        <f>IFERROR(VLOOKUP(E165,PROGRAMAS[],3,FALSE),0)</f>
        <v>3848980803.1642323</v>
      </c>
      <c r="AH165" s="246">
        <f>IFERROR(VLOOKUP(F165,PROGRAMAS[],3,FALSE),0)</f>
        <v>3394901471.387517</v>
      </c>
      <c r="AI165" s="246">
        <f>IFERROR(VLOOKUP(G165,PROGRAMAS[],3,FALSE),0)</f>
        <v>6129902208.7912121</v>
      </c>
      <c r="AJ165" s="246">
        <f>IFERROR(VLOOKUP(H165,PROGRAMAS[],3,FALSE),0)</f>
        <v>675517840.109828</v>
      </c>
      <c r="AK165" s="246">
        <f>IFERROR(VLOOKUP(I165,PROGRAMAS[],3,FALSE),0)</f>
        <v>2406564599.0319901</v>
      </c>
      <c r="AL165" s="246">
        <f>IFERROR(VLOOKUP(J165,PROGRAMAS[],3,FALSE),0)</f>
        <v>0</v>
      </c>
      <c r="AM165" s="246">
        <f>IFERROR(VLOOKUP(K165,PROGRAMAS[],3,FALSE),0)</f>
        <v>0</v>
      </c>
      <c r="AN165" s="246">
        <f>IFERROR(VLOOKUP(L165,PROGRAMAS[],3,FALSE),0)</f>
        <v>0</v>
      </c>
      <c r="AO165" s="246">
        <f>IFERROR(VLOOKUP(M165,PROGRAMAS[],3,FALSE),0)</f>
        <v>0</v>
      </c>
      <c r="AP165" s="246">
        <f>IFERROR(VLOOKUP(N165,PROGRAMAS[],3,FALSE),0)</f>
        <v>0</v>
      </c>
      <c r="AQ165" s="246">
        <f>IFERROR(VLOOKUP(O165,PROGRAMAS[],3,FALSE),0)</f>
        <v>0</v>
      </c>
      <c r="AR165" s="246">
        <f>IFERROR(VLOOKUP(P165,PROGRAMAS[],3,FALSE),0)</f>
        <v>0</v>
      </c>
      <c r="AS165" s="246">
        <f>IFERROR(VLOOKUP(Q165,PROGRAMAS[],3,FALSE),0)</f>
        <v>0</v>
      </c>
      <c r="AT165" s="246">
        <f>IFERROR(VLOOKUP(D165,VOL_REC[],2,FALSE),0)</f>
        <v>0</v>
      </c>
      <c r="AU165" s="246">
        <f>IFERROR(VLOOKUP(E165,VOL_REC[],2,FALSE),0)</f>
        <v>0</v>
      </c>
      <c r="AV165" s="246">
        <f>IFERROR(VLOOKUP(F165,VOL_REC[],2,FALSE),0)</f>
        <v>11089674.200000001</v>
      </c>
      <c r="AW165" s="246">
        <f>IFERROR(VLOOKUP(G165,VOL_REC[],2,FALSE),0)</f>
        <v>15540036.397699751</v>
      </c>
      <c r="AX165" s="246">
        <f>IFERROR(VLOOKUP(H165,VOL_REC[],2,FALSE),0)</f>
        <v>240696.79238099116</v>
      </c>
      <c r="AY165" s="246">
        <f>IFERROR(VLOOKUP(I165,VOL_REC[],2,FALSE),0)</f>
        <v>1072354.9981737854</v>
      </c>
      <c r="AZ165" s="246">
        <f>IFERROR(VLOOKUP(J165,VOL_REC[],2,FALSE),0)</f>
        <v>0</v>
      </c>
      <c r="BA165" s="246">
        <f>IFERROR(VLOOKUP(K165,VOL_REC[],2,FALSE),0)</f>
        <v>0</v>
      </c>
      <c r="BB165" s="246">
        <f>IFERROR(VLOOKUP(L165,VOL_REC[],2,FALSE),0)</f>
        <v>0</v>
      </c>
      <c r="BC165" s="246">
        <f>IFERROR(VLOOKUP(M165,VOL_REC[],2,FALSE),0)</f>
        <v>0</v>
      </c>
      <c r="BD165" s="246">
        <f>IFERROR(VLOOKUP(N165,VOL_REC[],2,FALSE),0)</f>
        <v>0</v>
      </c>
      <c r="BE165" s="246">
        <f>IFERROR(VLOOKUP(O165,VOL_REC[],2,FALSE),0)</f>
        <v>0</v>
      </c>
      <c r="BF165" s="246">
        <f>IFERROR(VLOOKUP(P165,VOL_REC[],2,FALSE),0)</f>
        <v>0</v>
      </c>
      <c r="BG165" s="246">
        <f>IFERROR(VLOOKUP(Q165,VOL_REC[],2,FALSE),0)</f>
        <v>0</v>
      </c>
      <c r="BH165" s="1710">
        <f t="shared" si="8"/>
        <v>18540809209.201496</v>
      </c>
      <c r="BI165" s="1710">
        <f t="shared" si="9"/>
        <v>17297755551.795582</v>
      </c>
      <c r="BJ165" s="1711">
        <f t="shared" si="10"/>
        <v>27942762.388254531</v>
      </c>
      <c r="BK165" s="1711">
        <f t="shared" si="11"/>
        <v>1.0718621357368459</v>
      </c>
      <c r="BL165">
        <f>BJ165</f>
        <v>27942762.388254531</v>
      </c>
      <c r="BO165">
        <f>BL165</f>
        <v>27942762.388254531</v>
      </c>
    </row>
    <row r="166" spans="3:67" x14ac:dyDescent="0.25">
      <c r="C166" s="246" t="s">
        <v>1516</v>
      </c>
      <c r="D166" s="246">
        <v>1</v>
      </c>
      <c r="E166" s="246">
        <v>2</v>
      </c>
      <c r="F166" s="246">
        <v>3</v>
      </c>
      <c r="G166" s="246">
        <v>6</v>
      </c>
      <c r="H166" s="246">
        <v>12</v>
      </c>
      <c r="I166" s="246">
        <v>17</v>
      </c>
      <c r="J166" s="246"/>
      <c r="K166" s="246"/>
      <c r="L166" s="246"/>
      <c r="M166" s="246"/>
      <c r="N166" s="246"/>
      <c r="O166" s="246"/>
      <c r="P166" s="246"/>
      <c r="Q166" s="246"/>
      <c r="R166" s="246">
        <f>IFERROR(VLOOKUP(D166,PROGRAMAS[],2,FALSE),0)</f>
        <v>97037803.679377079</v>
      </c>
      <c r="S166" s="246">
        <f>IFERROR(VLOOKUP(E166,PROGRAMAS[],2,FALSE),0)</f>
        <v>640501509.6821388</v>
      </c>
      <c r="T166" s="246">
        <f>IFERROR(VLOOKUP(F166,PROGRAMAS[],2,FALSE),0)</f>
        <v>3062327798.1525245</v>
      </c>
      <c r="U166" s="246">
        <f>IFERROR(VLOOKUP(G166,PROGRAMAS[],2,FALSE),0)</f>
        <v>6907648435.8447599</v>
      </c>
      <c r="V166" s="246">
        <f>IFERROR(VLOOKUP(H166,PROGRAMAS[],2,FALSE),0)</f>
        <v>764796700.79905891</v>
      </c>
      <c r="W166" s="246">
        <f>IFERROR(VLOOKUP(I166,PROGRAMAS[],2,FALSE),0)</f>
        <v>1892779498.5211046</v>
      </c>
      <c r="X166" s="246">
        <f>IFERROR(VLOOKUP(J166,PROGRAMAS[],2,FALSE),0)</f>
        <v>0</v>
      </c>
      <c r="Y166" s="246">
        <f>IFERROR(VLOOKUP(K166,PROGRAMAS[],2,FALSE),0)</f>
        <v>0</v>
      </c>
      <c r="Z166" s="246">
        <f>IFERROR(VLOOKUP(L166,PROGRAMAS[],2,FALSE),0)</f>
        <v>0</v>
      </c>
      <c r="AA166" s="246">
        <f>IFERROR(VLOOKUP(M166,PROGRAMAS[],2,FALSE),0)</f>
        <v>0</v>
      </c>
      <c r="AB166" s="246">
        <f>IFERROR(VLOOKUP(N166,PROGRAMAS[],2,FALSE),0)</f>
        <v>0</v>
      </c>
      <c r="AC166" s="246">
        <f>IFERROR(VLOOKUP(O166,PROGRAMAS[],2,FALSE),0)</f>
        <v>0</v>
      </c>
      <c r="AD166" s="246">
        <f>IFERROR(VLOOKUP(P166,PROGRAMAS[],2,FALSE),0)</f>
        <v>0</v>
      </c>
      <c r="AE166" s="246">
        <f>IFERROR(VLOOKUP(Q166,PROGRAMAS[],2,FALSE),0)</f>
        <v>0</v>
      </c>
      <c r="AF166" s="246">
        <f>IFERROR(VLOOKUP(D166,PROGRAMAS[],3,FALSE),0)</f>
        <v>841888629.31080008</v>
      </c>
      <c r="AG166" s="246">
        <f>IFERROR(VLOOKUP(E166,PROGRAMAS[],3,FALSE),0)</f>
        <v>3848980803.1642323</v>
      </c>
      <c r="AH166" s="246">
        <f>IFERROR(VLOOKUP(F166,PROGRAMAS[],3,FALSE),0)</f>
        <v>3394901471.387517</v>
      </c>
      <c r="AI166" s="246">
        <f>IFERROR(VLOOKUP(G166,PROGRAMAS[],3,FALSE),0)</f>
        <v>6129902208.7912121</v>
      </c>
      <c r="AJ166" s="246">
        <f>IFERROR(VLOOKUP(H166,PROGRAMAS[],3,FALSE),0)</f>
        <v>675517840.109828</v>
      </c>
      <c r="AK166" s="246">
        <f>IFERROR(VLOOKUP(I166,PROGRAMAS[],3,FALSE),0)</f>
        <v>948595847.09039903</v>
      </c>
      <c r="AL166" s="246">
        <f>IFERROR(VLOOKUP(J166,PROGRAMAS[],3,FALSE),0)</f>
        <v>0</v>
      </c>
      <c r="AM166" s="246">
        <f>IFERROR(VLOOKUP(K166,PROGRAMAS[],3,FALSE),0)</f>
        <v>0</v>
      </c>
      <c r="AN166" s="246">
        <f>IFERROR(VLOOKUP(L166,PROGRAMAS[],3,FALSE),0)</f>
        <v>0</v>
      </c>
      <c r="AO166" s="246">
        <f>IFERROR(VLOOKUP(M166,PROGRAMAS[],3,FALSE),0)</f>
        <v>0</v>
      </c>
      <c r="AP166" s="246">
        <f>IFERROR(VLOOKUP(N166,PROGRAMAS[],3,FALSE),0)</f>
        <v>0</v>
      </c>
      <c r="AQ166" s="246">
        <f>IFERROR(VLOOKUP(O166,PROGRAMAS[],3,FALSE),0)</f>
        <v>0</v>
      </c>
      <c r="AR166" s="246">
        <f>IFERROR(VLOOKUP(P166,PROGRAMAS[],3,FALSE),0)</f>
        <v>0</v>
      </c>
      <c r="AS166" s="246">
        <f>IFERROR(VLOOKUP(Q166,PROGRAMAS[],3,FALSE),0)</f>
        <v>0</v>
      </c>
      <c r="AT166" s="246">
        <f>IFERROR(VLOOKUP(D166,VOL_REC[],2,FALSE),0)</f>
        <v>0</v>
      </c>
      <c r="AU166" s="246">
        <f>IFERROR(VLOOKUP(E166,VOL_REC[],2,FALSE),0)</f>
        <v>0</v>
      </c>
      <c r="AV166" s="246">
        <f>IFERROR(VLOOKUP(F166,VOL_REC[],2,FALSE),0)</f>
        <v>11089674.200000001</v>
      </c>
      <c r="AW166" s="246">
        <f>IFERROR(VLOOKUP(G166,VOL_REC[],2,FALSE),0)</f>
        <v>15540036.397699751</v>
      </c>
      <c r="AX166" s="246">
        <f>IFERROR(VLOOKUP(H166,VOL_REC[],2,FALSE),0)</f>
        <v>240696.79238099116</v>
      </c>
      <c r="AY166" s="246">
        <f>IFERROR(VLOOKUP(I166,VOL_REC[],2,FALSE),0)</f>
        <v>740113.98115702497</v>
      </c>
      <c r="AZ166" s="246">
        <f>IFERROR(VLOOKUP(J166,VOL_REC[],2,FALSE),0)</f>
        <v>0</v>
      </c>
      <c r="BA166" s="246">
        <f>IFERROR(VLOOKUP(K166,VOL_REC[],2,FALSE),0)</f>
        <v>0</v>
      </c>
      <c r="BB166" s="246">
        <f>IFERROR(VLOOKUP(L166,VOL_REC[],2,FALSE),0)</f>
        <v>0</v>
      </c>
      <c r="BC166" s="246">
        <f>IFERROR(VLOOKUP(M166,VOL_REC[],2,FALSE),0)</f>
        <v>0</v>
      </c>
      <c r="BD166" s="246">
        <f>IFERROR(VLOOKUP(N166,VOL_REC[],2,FALSE),0)</f>
        <v>0</v>
      </c>
      <c r="BE166" s="246">
        <f>IFERROR(VLOOKUP(O166,VOL_REC[],2,FALSE),0)</f>
        <v>0</v>
      </c>
      <c r="BF166" s="246">
        <f>IFERROR(VLOOKUP(P166,VOL_REC[],2,FALSE),0)</f>
        <v>0</v>
      </c>
      <c r="BG166" s="246">
        <f>IFERROR(VLOOKUP(Q166,VOL_REC[],2,FALSE),0)</f>
        <v>0</v>
      </c>
      <c r="BH166" s="1710">
        <f t="shared" si="8"/>
        <v>13365091746.678965</v>
      </c>
      <c r="BI166" s="1710">
        <f t="shared" si="9"/>
        <v>15839786799.853991</v>
      </c>
      <c r="BJ166" s="1711">
        <f t="shared" si="10"/>
        <v>27610521.37123777</v>
      </c>
      <c r="BK166" s="1711">
        <f t="shared" si="11"/>
        <v>0.84376714886100379</v>
      </c>
    </row>
    <row r="167" spans="3:67" x14ac:dyDescent="0.25">
      <c r="C167" s="246" t="s">
        <v>1517</v>
      </c>
      <c r="D167" s="246">
        <v>1</v>
      </c>
      <c r="E167" s="246">
        <v>2</v>
      </c>
      <c r="F167" s="246">
        <v>3</v>
      </c>
      <c r="G167" s="246">
        <v>6</v>
      </c>
      <c r="H167" s="246">
        <v>13</v>
      </c>
      <c r="I167" s="246">
        <v>14</v>
      </c>
      <c r="J167" s="246"/>
      <c r="K167" s="246"/>
      <c r="L167" s="246"/>
      <c r="M167" s="246"/>
      <c r="N167" s="246"/>
      <c r="O167" s="246"/>
      <c r="P167" s="246"/>
      <c r="Q167" s="246"/>
      <c r="R167" s="246">
        <f>IFERROR(VLOOKUP(D167,PROGRAMAS[],2,FALSE),0)</f>
        <v>97037803.679377079</v>
      </c>
      <c r="S167" s="246">
        <f>IFERROR(VLOOKUP(E167,PROGRAMAS[],2,FALSE),0)</f>
        <v>640501509.6821388</v>
      </c>
      <c r="T167" s="246">
        <f>IFERROR(VLOOKUP(F167,PROGRAMAS[],2,FALSE),0)</f>
        <v>3062327798.1525245</v>
      </c>
      <c r="U167" s="246">
        <f>IFERROR(VLOOKUP(G167,PROGRAMAS[],2,FALSE),0)</f>
        <v>6907648435.8447599</v>
      </c>
      <c r="V167" s="246">
        <f>IFERROR(VLOOKUP(H167,PROGRAMAS[],2,FALSE),0)</f>
        <v>3776538594.4604583</v>
      </c>
      <c r="W167" s="246">
        <f>IFERROR(VLOOKUP(I167,PROGRAMAS[],2,FALSE),0)</f>
        <v>54223862.645839565</v>
      </c>
      <c r="X167" s="246">
        <f>IFERROR(VLOOKUP(J167,PROGRAMAS[],2,FALSE),0)</f>
        <v>0</v>
      </c>
      <c r="Y167" s="246">
        <f>IFERROR(VLOOKUP(K167,PROGRAMAS[],2,FALSE),0)</f>
        <v>0</v>
      </c>
      <c r="Z167" s="246">
        <f>IFERROR(VLOOKUP(L167,PROGRAMAS[],2,FALSE),0)</f>
        <v>0</v>
      </c>
      <c r="AA167" s="246">
        <f>IFERROR(VLOOKUP(M167,PROGRAMAS[],2,FALSE),0)</f>
        <v>0</v>
      </c>
      <c r="AB167" s="246">
        <f>IFERROR(VLOOKUP(N167,PROGRAMAS[],2,FALSE),0)</f>
        <v>0</v>
      </c>
      <c r="AC167" s="246">
        <f>IFERROR(VLOOKUP(O167,PROGRAMAS[],2,FALSE),0)</f>
        <v>0</v>
      </c>
      <c r="AD167" s="246">
        <f>IFERROR(VLOOKUP(P167,PROGRAMAS[],2,FALSE),0)</f>
        <v>0</v>
      </c>
      <c r="AE167" s="246">
        <f>IFERROR(VLOOKUP(Q167,PROGRAMAS[],2,FALSE),0)</f>
        <v>0</v>
      </c>
      <c r="AF167" s="246">
        <f>IFERROR(VLOOKUP(D167,PROGRAMAS[],3,FALSE),0)</f>
        <v>841888629.31080008</v>
      </c>
      <c r="AG167" s="246">
        <f>IFERROR(VLOOKUP(E167,PROGRAMAS[],3,FALSE),0)</f>
        <v>3848980803.1642323</v>
      </c>
      <c r="AH167" s="246">
        <f>IFERROR(VLOOKUP(F167,PROGRAMAS[],3,FALSE),0)</f>
        <v>3394901471.387517</v>
      </c>
      <c r="AI167" s="246">
        <f>IFERROR(VLOOKUP(G167,PROGRAMAS[],3,FALSE),0)</f>
        <v>6129902208.7912121</v>
      </c>
      <c r="AJ167" s="246">
        <f>IFERROR(VLOOKUP(H167,PROGRAMAS[],3,FALSE),0)</f>
        <v>2392571243.5584412</v>
      </c>
      <c r="AK167" s="246">
        <f>IFERROR(VLOOKUP(I167,PROGRAMAS[],3,FALSE),0)</f>
        <v>31865326.38096505</v>
      </c>
      <c r="AL167" s="246">
        <f>IFERROR(VLOOKUP(J167,PROGRAMAS[],3,FALSE),0)</f>
        <v>0</v>
      </c>
      <c r="AM167" s="246">
        <f>IFERROR(VLOOKUP(K167,PROGRAMAS[],3,FALSE),0)</f>
        <v>0</v>
      </c>
      <c r="AN167" s="246">
        <f>IFERROR(VLOOKUP(L167,PROGRAMAS[],3,FALSE),0)</f>
        <v>0</v>
      </c>
      <c r="AO167" s="246">
        <f>IFERROR(VLOOKUP(M167,PROGRAMAS[],3,FALSE),0)</f>
        <v>0</v>
      </c>
      <c r="AP167" s="246">
        <f>IFERROR(VLOOKUP(N167,PROGRAMAS[],3,FALSE),0)</f>
        <v>0</v>
      </c>
      <c r="AQ167" s="246">
        <f>IFERROR(VLOOKUP(O167,PROGRAMAS[],3,FALSE),0)</f>
        <v>0</v>
      </c>
      <c r="AR167" s="246">
        <f>IFERROR(VLOOKUP(P167,PROGRAMAS[],3,FALSE),0)</f>
        <v>0</v>
      </c>
      <c r="AS167" s="246">
        <f>IFERROR(VLOOKUP(Q167,PROGRAMAS[],3,FALSE),0)</f>
        <v>0</v>
      </c>
      <c r="AT167" s="246">
        <f>IFERROR(VLOOKUP(D167,VOL_REC[],2,FALSE),0)</f>
        <v>0</v>
      </c>
      <c r="AU167" s="246">
        <f>IFERROR(VLOOKUP(E167,VOL_REC[],2,FALSE),0)</f>
        <v>0</v>
      </c>
      <c r="AV167" s="246">
        <f>IFERROR(VLOOKUP(F167,VOL_REC[],2,FALSE),0)</f>
        <v>11089674.200000001</v>
      </c>
      <c r="AW167" s="246">
        <f>IFERROR(VLOOKUP(G167,VOL_REC[],2,FALSE),0)</f>
        <v>15540036.397699751</v>
      </c>
      <c r="AX167" s="246">
        <f>IFERROR(VLOOKUP(H167,VOL_REC[],2,FALSE),0)</f>
        <v>663244.80000000016</v>
      </c>
      <c r="AY167" s="246">
        <f>IFERROR(VLOOKUP(I167,VOL_REC[],2,FALSE),0)</f>
        <v>17074.045034105649</v>
      </c>
      <c r="AZ167" s="246">
        <f>IFERROR(VLOOKUP(J167,VOL_REC[],2,FALSE),0)</f>
        <v>0</v>
      </c>
      <c r="BA167" s="246">
        <f>IFERROR(VLOOKUP(K167,VOL_REC[],2,FALSE),0)</f>
        <v>0</v>
      </c>
      <c r="BB167" s="246">
        <f>IFERROR(VLOOKUP(L167,VOL_REC[],2,FALSE),0)</f>
        <v>0</v>
      </c>
      <c r="BC167" s="246">
        <f>IFERROR(VLOOKUP(M167,VOL_REC[],2,FALSE),0)</f>
        <v>0</v>
      </c>
      <c r="BD167" s="246">
        <f>IFERROR(VLOOKUP(N167,VOL_REC[],2,FALSE),0)</f>
        <v>0</v>
      </c>
      <c r="BE167" s="246">
        <f>IFERROR(VLOOKUP(O167,VOL_REC[],2,FALSE),0)</f>
        <v>0</v>
      </c>
      <c r="BF167" s="246">
        <f>IFERROR(VLOOKUP(P167,VOL_REC[],2,FALSE),0)</f>
        <v>0</v>
      </c>
      <c r="BG167" s="246">
        <f>IFERROR(VLOOKUP(Q167,VOL_REC[],2,FALSE),0)</f>
        <v>0</v>
      </c>
      <c r="BH167" s="1710">
        <f t="shared" si="8"/>
        <v>14538278004.465099</v>
      </c>
      <c r="BI167" s="1710">
        <f t="shared" si="9"/>
        <v>16640109682.593168</v>
      </c>
      <c r="BJ167" s="1711">
        <f t="shared" si="10"/>
        <v>27310029.442733862</v>
      </c>
      <c r="BK167" s="1711">
        <f t="shared" si="11"/>
        <v>0.87368883269280695</v>
      </c>
    </row>
    <row r="168" spans="3:67" x14ac:dyDescent="0.25">
      <c r="C168" s="246" t="s">
        <v>1518</v>
      </c>
      <c r="D168" s="246">
        <v>1</v>
      </c>
      <c r="E168" s="246">
        <v>2</v>
      </c>
      <c r="F168" s="246">
        <v>3</v>
      </c>
      <c r="G168" s="246">
        <v>6</v>
      </c>
      <c r="H168" s="246">
        <v>13</v>
      </c>
      <c r="I168" s="246">
        <v>15</v>
      </c>
      <c r="J168" s="246"/>
      <c r="K168" s="246"/>
      <c r="L168" s="246"/>
      <c r="M168" s="246"/>
      <c r="N168" s="246"/>
      <c r="O168" s="246"/>
      <c r="P168" s="246"/>
      <c r="Q168" s="246"/>
      <c r="R168" s="246">
        <f>IFERROR(VLOOKUP(D168,PROGRAMAS[],2,FALSE),0)</f>
        <v>97037803.679377079</v>
      </c>
      <c r="S168" s="246">
        <f>IFERROR(VLOOKUP(E168,PROGRAMAS[],2,FALSE),0)</f>
        <v>640501509.6821388</v>
      </c>
      <c r="T168" s="246">
        <f>IFERROR(VLOOKUP(F168,PROGRAMAS[],2,FALSE),0)</f>
        <v>3062327798.1525245</v>
      </c>
      <c r="U168" s="246">
        <f>IFERROR(VLOOKUP(G168,PROGRAMAS[],2,FALSE),0)</f>
        <v>6907648435.8447599</v>
      </c>
      <c r="V168" s="246">
        <f>IFERROR(VLOOKUP(H168,PROGRAMAS[],2,FALSE),0)</f>
        <v>3776538594.4604583</v>
      </c>
      <c r="W168" s="246">
        <f>IFERROR(VLOOKUP(I168,PROGRAMAS[],2,FALSE),0)</f>
        <v>122159672.96346797</v>
      </c>
      <c r="X168" s="246">
        <f>IFERROR(VLOOKUP(J168,PROGRAMAS[],2,FALSE),0)</f>
        <v>0</v>
      </c>
      <c r="Y168" s="246">
        <f>IFERROR(VLOOKUP(K168,PROGRAMAS[],2,FALSE),0)</f>
        <v>0</v>
      </c>
      <c r="Z168" s="246">
        <f>IFERROR(VLOOKUP(L168,PROGRAMAS[],2,FALSE),0)</f>
        <v>0</v>
      </c>
      <c r="AA168" s="246">
        <f>IFERROR(VLOOKUP(M168,PROGRAMAS[],2,FALSE),0)</f>
        <v>0</v>
      </c>
      <c r="AB168" s="246">
        <f>IFERROR(VLOOKUP(N168,PROGRAMAS[],2,FALSE),0)</f>
        <v>0</v>
      </c>
      <c r="AC168" s="246">
        <f>IFERROR(VLOOKUP(O168,PROGRAMAS[],2,FALSE),0)</f>
        <v>0</v>
      </c>
      <c r="AD168" s="246">
        <f>IFERROR(VLOOKUP(P168,PROGRAMAS[],2,FALSE),0)</f>
        <v>0</v>
      </c>
      <c r="AE168" s="246">
        <f>IFERROR(VLOOKUP(Q168,PROGRAMAS[],2,FALSE),0)</f>
        <v>0</v>
      </c>
      <c r="AF168" s="246">
        <f>IFERROR(VLOOKUP(D168,PROGRAMAS[],3,FALSE),0)</f>
        <v>841888629.31080008</v>
      </c>
      <c r="AG168" s="246">
        <f>IFERROR(VLOOKUP(E168,PROGRAMAS[],3,FALSE),0)</f>
        <v>3848980803.1642323</v>
      </c>
      <c r="AH168" s="246">
        <f>IFERROR(VLOOKUP(F168,PROGRAMAS[],3,FALSE),0)</f>
        <v>3394901471.387517</v>
      </c>
      <c r="AI168" s="246">
        <f>IFERROR(VLOOKUP(G168,PROGRAMAS[],3,FALSE),0)</f>
        <v>6129902208.7912121</v>
      </c>
      <c r="AJ168" s="246">
        <f>IFERROR(VLOOKUP(H168,PROGRAMAS[],3,FALSE),0)</f>
        <v>2392571243.5584412</v>
      </c>
      <c r="AK168" s="246">
        <f>IFERROR(VLOOKUP(I168,PROGRAMAS[],3,FALSE),0)</f>
        <v>118617452.52510804</v>
      </c>
      <c r="AL168" s="246">
        <f>IFERROR(VLOOKUP(J168,PROGRAMAS[],3,FALSE),0)</f>
        <v>0</v>
      </c>
      <c r="AM168" s="246">
        <f>IFERROR(VLOOKUP(K168,PROGRAMAS[],3,FALSE),0)</f>
        <v>0</v>
      </c>
      <c r="AN168" s="246">
        <f>IFERROR(VLOOKUP(L168,PROGRAMAS[],3,FALSE),0)</f>
        <v>0</v>
      </c>
      <c r="AO168" s="246">
        <f>IFERROR(VLOOKUP(M168,PROGRAMAS[],3,FALSE),0)</f>
        <v>0</v>
      </c>
      <c r="AP168" s="246">
        <f>IFERROR(VLOOKUP(N168,PROGRAMAS[],3,FALSE),0)</f>
        <v>0</v>
      </c>
      <c r="AQ168" s="246">
        <f>IFERROR(VLOOKUP(O168,PROGRAMAS[],3,FALSE),0)</f>
        <v>0</v>
      </c>
      <c r="AR168" s="246">
        <f>IFERROR(VLOOKUP(P168,PROGRAMAS[],3,FALSE),0)</f>
        <v>0</v>
      </c>
      <c r="AS168" s="246">
        <f>IFERROR(VLOOKUP(Q168,PROGRAMAS[],3,FALSE),0)</f>
        <v>0</v>
      </c>
      <c r="AT168" s="246">
        <f>IFERROR(VLOOKUP(D168,VOL_REC[],2,FALSE),0)</f>
        <v>0</v>
      </c>
      <c r="AU168" s="246">
        <f>IFERROR(VLOOKUP(E168,VOL_REC[],2,FALSE),0)</f>
        <v>0</v>
      </c>
      <c r="AV168" s="246">
        <f>IFERROR(VLOOKUP(F168,VOL_REC[],2,FALSE),0)</f>
        <v>11089674.200000001</v>
      </c>
      <c r="AW168" s="246">
        <f>IFERROR(VLOOKUP(G168,VOL_REC[],2,FALSE),0)</f>
        <v>15540036.397699751</v>
      </c>
      <c r="AX168" s="246">
        <f>IFERROR(VLOOKUP(H168,VOL_REC[],2,FALSE),0)</f>
        <v>663244.80000000016</v>
      </c>
      <c r="AY168" s="246">
        <f>IFERROR(VLOOKUP(I168,VOL_REC[],2,FALSE),0)</f>
        <v>105072</v>
      </c>
      <c r="AZ168" s="246">
        <f>IFERROR(VLOOKUP(J168,VOL_REC[],2,FALSE),0)</f>
        <v>0</v>
      </c>
      <c r="BA168" s="246">
        <f>IFERROR(VLOOKUP(K168,VOL_REC[],2,FALSE),0)</f>
        <v>0</v>
      </c>
      <c r="BB168" s="246">
        <f>IFERROR(VLOOKUP(L168,VOL_REC[],2,FALSE),0)</f>
        <v>0</v>
      </c>
      <c r="BC168" s="246">
        <f>IFERROR(VLOOKUP(M168,VOL_REC[],2,FALSE),0)</f>
        <v>0</v>
      </c>
      <c r="BD168" s="246">
        <f>IFERROR(VLOOKUP(N168,VOL_REC[],2,FALSE),0)</f>
        <v>0</v>
      </c>
      <c r="BE168" s="246">
        <f>IFERROR(VLOOKUP(O168,VOL_REC[],2,FALSE),0)</f>
        <v>0</v>
      </c>
      <c r="BF168" s="246">
        <f>IFERROR(VLOOKUP(P168,VOL_REC[],2,FALSE),0)</f>
        <v>0</v>
      </c>
      <c r="BG168" s="246">
        <f>IFERROR(VLOOKUP(Q168,VOL_REC[],2,FALSE),0)</f>
        <v>0</v>
      </c>
      <c r="BH168" s="1710">
        <f t="shared" si="8"/>
        <v>14606213814.782728</v>
      </c>
      <c r="BI168" s="1710">
        <f t="shared" si="9"/>
        <v>16726861808.737312</v>
      </c>
      <c r="BJ168" s="1711">
        <f t="shared" si="10"/>
        <v>27398027.397699755</v>
      </c>
      <c r="BK168" s="1711">
        <f t="shared" si="11"/>
        <v>0.87321901632218546</v>
      </c>
    </row>
    <row r="169" spans="3:67" x14ac:dyDescent="0.25">
      <c r="C169" s="246" t="s">
        <v>1519</v>
      </c>
      <c r="D169" s="246">
        <v>1</v>
      </c>
      <c r="E169" s="246">
        <v>2</v>
      </c>
      <c r="F169" s="246">
        <v>3</v>
      </c>
      <c r="G169" s="246">
        <v>6</v>
      </c>
      <c r="H169" s="246">
        <v>13</v>
      </c>
      <c r="I169" s="246">
        <v>16</v>
      </c>
      <c r="J169" s="246"/>
      <c r="K169" s="246"/>
      <c r="L169" s="246"/>
      <c r="M169" s="246"/>
      <c r="N169" s="246"/>
      <c r="O169" s="246"/>
      <c r="P169" s="246"/>
      <c r="Q169" s="246"/>
      <c r="R169" s="246">
        <f>IFERROR(VLOOKUP(D169,PROGRAMAS[],2,FALSE),0)</f>
        <v>97037803.679377079</v>
      </c>
      <c r="S169" s="246">
        <f>IFERROR(VLOOKUP(E169,PROGRAMAS[],2,FALSE),0)</f>
        <v>640501509.6821388</v>
      </c>
      <c r="T169" s="246">
        <f>IFERROR(VLOOKUP(F169,PROGRAMAS[],2,FALSE),0)</f>
        <v>3062327798.1525245</v>
      </c>
      <c r="U169" s="246">
        <f>IFERROR(VLOOKUP(G169,PROGRAMAS[],2,FALSE),0)</f>
        <v>6907648435.8447599</v>
      </c>
      <c r="V169" s="246">
        <f>IFERROR(VLOOKUP(H169,PROGRAMAS[],2,FALSE),0)</f>
        <v>3776538594.4604583</v>
      </c>
      <c r="W169" s="246">
        <f>IFERROR(VLOOKUP(I169,PROGRAMAS[],2,FALSE),0)</f>
        <v>7068496961.0436354</v>
      </c>
      <c r="X169" s="246">
        <f>IFERROR(VLOOKUP(J169,PROGRAMAS[],2,FALSE),0)</f>
        <v>0</v>
      </c>
      <c r="Y169" s="246">
        <f>IFERROR(VLOOKUP(K169,PROGRAMAS[],2,FALSE),0)</f>
        <v>0</v>
      </c>
      <c r="Z169" s="246">
        <f>IFERROR(VLOOKUP(L169,PROGRAMAS[],2,FALSE),0)</f>
        <v>0</v>
      </c>
      <c r="AA169" s="246">
        <f>IFERROR(VLOOKUP(M169,PROGRAMAS[],2,FALSE),0)</f>
        <v>0</v>
      </c>
      <c r="AB169" s="246">
        <f>IFERROR(VLOOKUP(N169,PROGRAMAS[],2,FALSE),0)</f>
        <v>0</v>
      </c>
      <c r="AC169" s="246">
        <f>IFERROR(VLOOKUP(O169,PROGRAMAS[],2,FALSE),0)</f>
        <v>0</v>
      </c>
      <c r="AD169" s="246">
        <f>IFERROR(VLOOKUP(P169,PROGRAMAS[],2,FALSE),0)</f>
        <v>0</v>
      </c>
      <c r="AE169" s="246">
        <f>IFERROR(VLOOKUP(Q169,PROGRAMAS[],2,FALSE),0)</f>
        <v>0</v>
      </c>
      <c r="AF169" s="246">
        <f>IFERROR(VLOOKUP(D169,PROGRAMAS[],3,FALSE),0)</f>
        <v>841888629.31080008</v>
      </c>
      <c r="AG169" s="246">
        <f>IFERROR(VLOOKUP(E169,PROGRAMAS[],3,FALSE),0)</f>
        <v>3848980803.1642323</v>
      </c>
      <c r="AH169" s="246">
        <f>IFERROR(VLOOKUP(F169,PROGRAMAS[],3,FALSE),0)</f>
        <v>3394901471.387517</v>
      </c>
      <c r="AI169" s="246">
        <f>IFERROR(VLOOKUP(G169,PROGRAMAS[],3,FALSE),0)</f>
        <v>6129902208.7912121</v>
      </c>
      <c r="AJ169" s="246">
        <f>IFERROR(VLOOKUP(H169,PROGRAMAS[],3,FALSE),0)</f>
        <v>2392571243.5584412</v>
      </c>
      <c r="AK169" s="246">
        <f>IFERROR(VLOOKUP(I169,PROGRAMAS[],3,FALSE),0)</f>
        <v>2406564599.0319901</v>
      </c>
      <c r="AL169" s="246">
        <f>IFERROR(VLOOKUP(J169,PROGRAMAS[],3,FALSE),0)</f>
        <v>0</v>
      </c>
      <c r="AM169" s="246">
        <f>IFERROR(VLOOKUP(K169,PROGRAMAS[],3,FALSE),0)</f>
        <v>0</v>
      </c>
      <c r="AN169" s="246">
        <f>IFERROR(VLOOKUP(L169,PROGRAMAS[],3,FALSE),0)</f>
        <v>0</v>
      </c>
      <c r="AO169" s="246">
        <f>IFERROR(VLOOKUP(M169,PROGRAMAS[],3,FALSE),0)</f>
        <v>0</v>
      </c>
      <c r="AP169" s="246">
        <f>IFERROR(VLOOKUP(N169,PROGRAMAS[],3,FALSE),0)</f>
        <v>0</v>
      </c>
      <c r="AQ169" s="246">
        <f>IFERROR(VLOOKUP(O169,PROGRAMAS[],3,FALSE),0)</f>
        <v>0</v>
      </c>
      <c r="AR169" s="246">
        <f>IFERROR(VLOOKUP(P169,PROGRAMAS[],3,FALSE),0)</f>
        <v>0</v>
      </c>
      <c r="AS169" s="246">
        <f>IFERROR(VLOOKUP(Q169,PROGRAMAS[],3,FALSE),0)</f>
        <v>0</v>
      </c>
      <c r="AT169" s="246">
        <f>IFERROR(VLOOKUP(D169,VOL_REC[],2,FALSE),0)</f>
        <v>0</v>
      </c>
      <c r="AU169" s="246">
        <f>IFERROR(VLOOKUP(E169,VOL_REC[],2,FALSE),0)</f>
        <v>0</v>
      </c>
      <c r="AV169" s="246">
        <f>IFERROR(VLOOKUP(F169,VOL_REC[],2,FALSE),0)</f>
        <v>11089674.200000001</v>
      </c>
      <c r="AW169" s="246">
        <f>IFERROR(VLOOKUP(G169,VOL_REC[],2,FALSE),0)</f>
        <v>15540036.397699751</v>
      </c>
      <c r="AX169" s="246">
        <f>IFERROR(VLOOKUP(H169,VOL_REC[],2,FALSE),0)</f>
        <v>663244.80000000016</v>
      </c>
      <c r="AY169" s="246">
        <f>IFERROR(VLOOKUP(I169,VOL_REC[],2,FALSE),0)</f>
        <v>1072354.9981737854</v>
      </c>
      <c r="AZ169" s="246">
        <f>IFERROR(VLOOKUP(J169,VOL_REC[],2,FALSE),0)</f>
        <v>0</v>
      </c>
      <c r="BA169" s="246">
        <f>IFERROR(VLOOKUP(K169,VOL_REC[],2,FALSE),0)</f>
        <v>0</v>
      </c>
      <c r="BB169" s="246">
        <f>IFERROR(VLOOKUP(L169,VOL_REC[],2,FALSE),0)</f>
        <v>0</v>
      </c>
      <c r="BC169" s="246">
        <f>IFERROR(VLOOKUP(M169,VOL_REC[],2,FALSE),0)</f>
        <v>0</v>
      </c>
      <c r="BD169" s="246">
        <f>IFERROR(VLOOKUP(N169,VOL_REC[],2,FALSE),0)</f>
        <v>0</v>
      </c>
      <c r="BE169" s="246">
        <f>IFERROR(VLOOKUP(O169,VOL_REC[],2,FALSE),0)</f>
        <v>0</v>
      </c>
      <c r="BF169" s="246">
        <f>IFERROR(VLOOKUP(P169,VOL_REC[],2,FALSE),0)</f>
        <v>0</v>
      </c>
      <c r="BG169" s="246">
        <f>IFERROR(VLOOKUP(Q169,VOL_REC[],2,FALSE),0)</f>
        <v>0</v>
      </c>
      <c r="BH169" s="1710">
        <f t="shared" si="8"/>
        <v>21552551102.862896</v>
      </c>
      <c r="BI169" s="1710">
        <f t="shared" si="9"/>
        <v>19014808955.244194</v>
      </c>
      <c r="BJ169" s="1711">
        <f t="shared" si="10"/>
        <v>28365310.395873539</v>
      </c>
      <c r="BK169" s="1711">
        <f t="shared" si="11"/>
        <v>1.1334613539158807</v>
      </c>
      <c r="BL169">
        <f>BJ169</f>
        <v>28365310.395873539</v>
      </c>
      <c r="BO169">
        <f>BL169</f>
        <v>28365310.395873539</v>
      </c>
    </row>
    <row r="170" spans="3:67" x14ac:dyDescent="0.25">
      <c r="C170" s="246" t="s">
        <v>1520</v>
      </c>
      <c r="D170" s="246">
        <v>1</v>
      </c>
      <c r="E170" s="246">
        <v>2</v>
      </c>
      <c r="F170" s="246">
        <v>3</v>
      </c>
      <c r="G170" s="246">
        <v>6</v>
      </c>
      <c r="H170" s="246">
        <v>13</v>
      </c>
      <c r="I170" s="246">
        <v>17</v>
      </c>
      <c r="J170" s="246"/>
      <c r="K170" s="246"/>
      <c r="L170" s="246"/>
      <c r="M170" s="246"/>
      <c r="N170" s="246"/>
      <c r="O170" s="246"/>
      <c r="P170" s="246"/>
      <c r="Q170" s="246"/>
      <c r="R170" s="246">
        <f>IFERROR(VLOOKUP(D170,PROGRAMAS[],2,FALSE),0)</f>
        <v>97037803.679377079</v>
      </c>
      <c r="S170" s="246">
        <f>IFERROR(VLOOKUP(E170,PROGRAMAS[],2,FALSE),0)</f>
        <v>640501509.6821388</v>
      </c>
      <c r="T170" s="246">
        <f>IFERROR(VLOOKUP(F170,PROGRAMAS[],2,FALSE),0)</f>
        <v>3062327798.1525245</v>
      </c>
      <c r="U170" s="246">
        <f>IFERROR(VLOOKUP(G170,PROGRAMAS[],2,FALSE),0)</f>
        <v>6907648435.8447599</v>
      </c>
      <c r="V170" s="246">
        <f>IFERROR(VLOOKUP(H170,PROGRAMAS[],2,FALSE),0)</f>
        <v>3776538594.4604583</v>
      </c>
      <c r="W170" s="246">
        <f>IFERROR(VLOOKUP(I170,PROGRAMAS[],2,FALSE),0)</f>
        <v>1892779498.5211046</v>
      </c>
      <c r="X170" s="246">
        <f>IFERROR(VLOOKUP(J170,PROGRAMAS[],2,FALSE),0)</f>
        <v>0</v>
      </c>
      <c r="Y170" s="246">
        <f>IFERROR(VLOOKUP(K170,PROGRAMAS[],2,FALSE),0)</f>
        <v>0</v>
      </c>
      <c r="Z170" s="246">
        <f>IFERROR(VLOOKUP(L170,PROGRAMAS[],2,FALSE),0)</f>
        <v>0</v>
      </c>
      <c r="AA170" s="246">
        <f>IFERROR(VLOOKUP(M170,PROGRAMAS[],2,FALSE),0)</f>
        <v>0</v>
      </c>
      <c r="AB170" s="246">
        <f>IFERROR(VLOOKUP(N170,PROGRAMAS[],2,FALSE),0)</f>
        <v>0</v>
      </c>
      <c r="AC170" s="246">
        <f>IFERROR(VLOOKUP(O170,PROGRAMAS[],2,FALSE),0)</f>
        <v>0</v>
      </c>
      <c r="AD170" s="246">
        <f>IFERROR(VLOOKUP(P170,PROGRAMAS[],2,FALSE),0)</f>
        <v>0</v>
      </c>
      <c r="AE170" s="246">
        <f>IFERROR(VLOOKUP(Q170,PROGRAMAS[],2,FALSE),0)</f>
        <v>0</v>
      </c>
      <c r="AF170" s="246">
        <f>IFERROR(VLOOKUP(D170,PROGRAMAS[],3,FALSE),0)</f>
        <v>841888629.31080008</v>
      </c>
      <c r="AG170" s="246">
        <f>IFERROR(VLOOKUP(E170,PROGRAMAS[],3,FALSE),0)</f>
        <v>3848980803.1642323</v>
      </c>
      <c r="AH170" s="246">
        <f>IFERROR(VLOOKUP(F170,PROGRAMAS[],3,FALSE),0)</f>
        <v>3394901471.387517</v>
      </c>
      <c r="AI170" s="246">
        <f>IFERROR(VLOOKUP(G170,PROGRAMAS[],3,FALSE),0)</f>
        <v>6129902208.7912121</v>
      </c>
      <c r="AJ170" s="246">
        <f>IFERROR(VLOOKUP(H170,PROGRAMAS[],3,FALSE),0)</f>
        <v>2392571243.5584412</v>
      </c>
      <c r="AK170" s="246">
        <f>IFERROR(VLOOKUP(I170,PROGRAMAS[],3,FALSE),0)</f>
        <v>948595847.09039903</v>
      </c>
      <c r="AL170" s="246">
        <f>IFERROR(VLOOKUP(J170,PROGRAMAS[],3,FALSE),0)</f>
        <v>0</v>
      </c>
      <c r="AM170" s="246">
        <f>IFERROR(VLOOKUP(K170,PROGRAMAS[],3,FALSE),0)</f>
        <v>0</v>
      </c>
      <c r="AN170" s="246">
        <f>IFERROR(VLOOKUP(L170,PROGRAMAS[],3,FALSE),0)</f>
        <v>0</v>
      </c>
      <c r="AO170" s="246">
        <f>IFERROR(VLOOKUP(M170,PROGRAMAS[],3,FALSE),0)</f>
        <v>0</v>
      </c>
      <c r="AP170" s="246">
        <f>IFERROR(VLOOKUP(N170,PROGRAMAS[],3,FALSE),0)</f>
        <v>0</v>
      </c>
      <c r="AQ170" s="246">
        <f>IFERROR(VLOOKUP(O170,PROGRAMAS[],3,FALSE),0)</f>
        <v>0</v>
      </c>
      <c r="AR170" s="246">
        <f>IFERROR(VLOOKUP(P170,PROGRAMAS[],3,FALSE),0)</f>
        <v>0</v>
      </c>
      <c r="AS170" s="246">
        <f>IFERROR(VLOOKUP(Q170,PROGRAMAS[],3,FALSE),0)</f>
        <v>0</v>
      </c>
      <c r="AT170" s="246">
        <f>IFERROR(VLOOKUP(D170,VOL_REC[],2,FALSE),0)</f>
        <v>0</v>
      </c>
      <c r="AU170" s="246">
        <f>IFERROR(VLOOKUP(E170,VOL_REC[],2,FALSE),0)</f>
        <v>0</v>
      </c>
      <c r="AV170" s="246">
        <f>IFERROR(VLOOKUP(F170,VOL_REC[],2,FALSE),0)</f>
        <v>11089674.200000001</v>
      </c>
      <c r="AW170" s="246">
        <f>IFERROR(VLOOKUP(G170,VOL_REC[],2,FALSE),0)</f>
        <v>15540036.397699751</v>
      </c>
      <c r="AX170" s="246">
        <f>IFERROR(VLOOKUP(H170,VOL_REC[],2,FALSE),0)</f>
        <v>663244.80000000016</v>
      </c>
      <c r="AY170" s="246">
        <f>IFERROR(VLOOKUP(I170,VOL_REC[],2,FALSE),0)</f>
        <v>740113.98115702497</v>
      </c>
      <c r="AZ170" s="246">
        <f>IFERROR(VLOOKUP(J170,VOL_REC[],2,FALSE),0)</f>
        <v>0</v>
      </c>
      <c r="BA170" s="246">
        <f>IFERROR(VLOOKUP(K170,VOL_REC[],2,FALSE),0)</f>
        <v>0</v>
      </c>
      <c r="BB170" s="246">
        <f>IFERROR(VLOOKUP(L170,VOL_REC[],2,FALSE),0)</f>
        <v>0</v>
      </c>
      <c r="BC170" s="246">
        <f>IFERROR(VLOOKUP(M170,VOL_REC[],2,FALSE),0)</f>
        <v>0</v>
      </c>
      <c r="BD170" s="246">
        <f>IFERROR(VLOOKUP(N170,VOL_REC[],2,FALSE),0)</f>
        <v>0</v>
      </c>
      <c r="BE170" s="246">
        <f>IFERROR(VLOOKUP(O170,VOL_REC[],2,FALSE),0)</f>
        <v>0</v>
      </c>
      <c r="BF170" s="246">
        <f>IFERROR(VLOOKUP(P170,VOL_REC[],2,FALSE),0)</f>
        <v>0</v>
      </c>
      <c r="BG170" s="246">
        <f>IFERROR(VLOOKUP(Q170,VOL_REC[],2,FALSE),0)</f>
        <v>0</v>
      </c>
      <c r="BH170" s="1710">
        <f t="shared" si="8"/>
        <v>16376833640.340364</v>
      </c>
      <c r="BI170" s="1710">
        <f t="shared" si="9"/>
        <v>17556840203.302605</v>
      </c>
      <c r="BJ170" s="1711">
        <f t="shared" si="10"/>
        <v>28033069.378856778</v>
      </c>
      <c r="BK170" s="1711">
        <f t="shared" si="11"/>
        <v>0.93278935450239675</v>
      </c>
    </row>
    <row r="171" spans="3:67" x14ac:dyDescent="0.25">
      <c r="C171" s="246" t="s">
        <v>1521</v>
      </c>
      <c r="D171" s="246">
        <v>1</v>
      </c>
      <c r="E171" s="246">
        <v>2</v>
      </c>
      <c r="F171" s="246">
        <v>3</v>
      </c>
      <c r="G171" s="246">
        <v>6</v>
      </c>
      <c r="H171" s="246">
        <v>14</v>
      </c>
      <c r="I171" s="246">
        <v>15</v>
      </c>
      <c r="J171" s="246"/>
      <c r="K171" s="246"/>
      <c r="L171" s="246"/>
      <c r="M171" s="246"/>
      <c r="N171" s="246"/>
      <c r="O171" s="246"/>
      <c r="P171" s="246"/>
      <c r="Q171" s="246"/>
      <c r="R171" s="246">
        <f>IFERROR(VLOOKUP(D171,PROGRAMAS[],2,FALSE),0)</f>
        <v>97037803.679377079</v>
      </c>
      <c r="S171" s="246">
        <f>IFERROR(VLOOKUP(E171,PROGRAMAS[],2,FALSE),0)</f>
        <v>640501509.6821388</v>
      </c>
      <c r="T171" s="246">
        <f>IFERROR(VLOOKUP(F171,PROGRAMAS[],2,FALSE),0)</f>
        <v>3062327798.1525245</v>
      </c>
      <c r="U171" s="246">
        <f>IFERROR(VLOOKUP(G171,PROGRAMAS[],2,FALSE),0)</f>
        <v>6907648435.8447599</v>
      </c>
      <c r="V171" s="246">
        <f>IFERROR(VLOOKUP(H171,PROGRAMAS[],2,FALSE),0)</f>
        <v>54223862.645839565</v>
      </c>
      <c r="W171" s="246">
        <f>IFERROR(VLOOKUP(I171,PROGRAMAS[],2,FALSE),0)</f>
        <v>122159672.96346797</v>
      </c>
      <c r="X171" s="246">
        <f>IFERROR(VLOOKUP(J171,PROGRAMAS[],2,FALSE),0)</f>
        <v>0</v>
      </c>
      <c r="Y171" s="246">
        <f>IFERROR(VLOOKUP(K171,PROGRAMAS[],2,FALSE),0)</f>
        <v>0</v>
      </c>
      <c r="Z171" s="246">
        <f>IFERROR(VLOOKUP(L171,PROGRAMAS[],2,FALSE),0)</f>
        <v>0</v>
      </c>
      <c r="AA171" s="246">
        <f>IFERROR(VLOOKUP(M171,PROGRAMAS[],2,FALSE),0)</f>
        <v>0</v>
      </c>
      <c r="AB171" s="246">
        <f>IFERROR(VLOOKUP(N171,PROGRAMAS[],2,FALSE),0)</f>
        <v>0</v>
      </c>
      <c r="AC171" s="246">
        <f>IFERROR(VLOOKUP(O171,PROGRAMAS[],2,FALSE),0)</f>
        <v>0</v>
      </c>
      <c r="AD171" s="246">
        <f>IFERROR(VLOOKUP(P171,PROGRAMAS[],2,FALSE),0)</f>
        <v>0</v>
      </c>
      <c r="AE171" s="246">
        <f>IFERROR(VLOOKUP(Q171,PROGRAMAS[],2,FALSE),0)</f>
        <v>0</v>
      </c>
      <c r="AF171" s="246">
        <f>IFERROR(VLOOKUP(D171,PROGRAMAS[],3,FALSE),0)</f>
        <v>841888629.31080008</v>
      </c>
      <c r="AG171" s="246">
        <f>IFERROR(VLOOKUP(E171,PROGRAMAS[],3,FALSE),0)</f>
        <v>3848980803.1642323</v>
      </c>
      <c r="AH171" s="246">
        <f>IFERROR(VLOOKUP(F171,PROGRAMAS[],3,FALSE),0)</f>
        <v>3394901471.387517</v>
      </c>
      <c r="AI171" s="246">
        <f>IFERROR(VLOOKUP(G171,PROGRAMAS[],3,FALSE),0)</f>
        <v>6129902208.7912121</v>
      </c>
      <c r="AJ171" s="246">
        <f>IFERROR(VLOOKUP(H171,PROGRAMAS[],3,FALSE),0)</f>
        <v>31865326.38096505</v>
      </c>
      <c r="AK171" s="246">
        <f>IFERROR(VLOOKUP(I171,PROGRAMAS[],3,FALSE),0)</f>
        <v>118617452.52510804</v>
      </c>
      <c r="AL171" s="246">
        <f>IFERROR(VLOOKUP(J171,PROGRAMAS[],3,FALSE),0)</f>
        <v>0</v>
      </c>
      <c r="AM171" s="246">
        <f>IFERROR(VLOOKUP(K171,PROGRAMAS[],3,FALSE),0)</f>
        <v>0</v>
      </c>
      <c r="AN171" s="246">
        <f>IFERROR(VLOOKUP(L171,PROGRAMAS[],3,FALSE),0)</f>
        <v>0</v>
      </c>
      <c r="AO171" s="246">
        <f>IFERROR(VLOOKUP(M171,PROGRAMAS[],3,FALSE),0)</f>
        <v>0</v>
      </c>
      <c r="AP171" s="246">
        <f>IFERROR(VLOOKUP(N171,PROGRAMAS[],3,FALSE),0)</f>
        <v>0</v>
      </c>
      <c r="AQ171" s="246">
        <f>IFERROR(VLOOKUP(O171,PROGRAMAS[],3,FALSE),0)</f>
        <v>0</v>
      </c>
      <c r="AR171" s="246">
        <f>IFERROR(VLOOKUP(P171,PROGRAMAS[],3,FALSE),0)</f>
        <v>0</v>
      </c>
      <c r="AS171" s="246">
        <f>IFERROR(VLOOKUP(Q171,PROGRAMAS[],3,FALSE),0)</f>
        <v>0</v>
      </c>
      <c r="AT171" s="246">
        <f>IFERROR(VLOOKUP(D171,VOL_REC[],2,FALSE),0)</f>
        <v>0</v>
      </c>
      <c r="AU171" s="246">
        <f>IFERROR(VLOOKUP(E171,VOL_REC[],2,FALSE),0)</f>
        <v>0</v>
      </c>
      <c r="AV171" s="246">
        <f>IFERROR(VLOOKUP(F171,VOL_REC[],2,FALSE),0)</f>
        <v>11089674.200000001</v>
      </c>
      <c r="AW171" s="246">
        <f>IFERROR(VLOOKUP(G171,VOL_REC[],2,FALSE),0)</f>
        <v>15540036.397699751</v>
      </c>
      <c r="AX171" s="246">
        <f>IFERROR(VLOOKUP(H171,VOL_REC[],2,FALSE),0)</f>
        <v>17074.045034105649</v>
      </c>
      <c r="AY171" s="246">
        <f>IFERROR(VLOOKUP(I171,VOL_REC[],2,FALSE),0)</f>
        <v>105072</v>
      </c>
      <c r="AZ171" s="246">
        <f>IFERROR(VLOOKUP(J171,VOL_REC[],2,FALSE),0)</f>
        <v>0</v>
      </c>
      <c r="BA171" s="246">
        <f>IFERROR(VLOOKUP(K171,VOL_REC[],2,FALSE),0)</f>
        <v>0</v>
      </c>
      <c r="BB171" s="246">
        <f>IFERROR(VLOOKUP(L171,VOL_REC[],2,FALSE),0)</f>
        <v>0</v>
      </c>
      <c r="BC171" s="246">
        <f>IFERROR(VLOOKUP(M171,VOL_REC[],2,FALSE),0)</f>
        <v>0</v>
      </c>
      <c r="BD171" s="246">
        <f>IFERROR(VLOOKUP(N171,VOL_REC[],2,FALSE),0)</f>
        <v>0</v>
      </c>
      <c r="BE171" s="246">
        <f>IFERROR(VLOOKUP(O171,VOL_REC[],2,FALSE),0)</f>
        <v>0</v>
      </c>
      <c r="BF171" s="246">
        <f>IFERROR(VLOOKUP(P171,VOL_REC[],2,FALSE),0)</f>
        <v>0</v>
      </c>
      <c r="BG171" s="246">
        <f>IFERROR(VLOOKUP(Q171,VOL_REC[],2,FALSE),0)</f>
        <v>0</v>
      </c>
      <c r="BH171" s="1710">
        <f t="shared" si="8"/>
        <v>10883899082.968109</v>
      </c>
      <c r="BI171" s="1710">
        <f t="shared" si="9"/>
        <v>14366155891.559835</v>
      </c>
      <c r="BJ171" s="1711">
        <f t="shared" si="10"/>
        <v>26751856.642733861</v>
      </c>
      <c r="BK171" s="1711">
        <f t="shared" si="11"/>
        <v>0.75760691761408749</v>
      </c>
    </row>
    <row r="172" spans="3:67" x14ac:dyDescent="0.25">
      <c r="C172" s="246" t="s">
        <v>1522</v>
      </c>
      <c r="D172" s="246">
        <v>1</v>
      </c>
      <c r="E172" s="246">
        <v>2</v>
      </c>
      <c r="F172" s="246">
        <v>3</v>
      </c>
      <c r="G172" s="246">
        <v>6</v>
      </c>
      <c r="H172" s="246">
        <v>14</v>
      </c>
      <c r="I172" s="246">
        <v>16</v>
      </c>
      <c r="J172" s="246"/>
      <c r="K172" s="246"/>
      <c r="L172" s="246"/>
      <c r="M172" s="246"/>
      <c r="N172" s="246"/>
      <c r="O172" s="246"/>
      <c r="P172" s="246"/>
      <c r="Q172" s="246"/>
      <c r="R172" s="246">
        <f>IFERROR(VLOOKUP(D172,PROGRAMAS[],2,FALSE),0)</f>
        <v>97037803.679377079</v>
      </c>
      <c r="S172" s="246">
        <f>IFERROR(VLOOKUP(E172,PROGRAMAS[],2,FALSE),0)</f>
        <v>640501509.6821388</v>
      </c>
      <c r="T172" s="246">
        <f>IFERROR(VLOOKUP(F172,PROGRAMAS[],2,FALSE),0)</f>
        <v>3062327798.1525245</v>
      </c>
      <c r="U172" s="246">
        <f>IFERROR(VLOOKUP(G172,PROGRAMAS[],2,FALSE),0)</f>
        <v>6907648435.8447599</v>
      </c>
      <c r="V172" s="246">
        <f>IFERROR(VLOOKUP(H172,PROGRAMAS[],2,FALSE),0)</f>
        <v>54223862.645839565</v>
      </c>
      <c r="W172" s="246">
        <f>IFERROR(VLOOKUP(I172,PROGRAMAS[],2,FALSE),0)</f>
        <v>7068496961.0436354</v>
      </c>
      <c r="X172" s="246">
        <f>IFERROR(VLOOKUP(J172,PROGRAMAS[],2,FALSE),0)</f>
        <v>0</v>
      </c>
      <c r="Y172" s="246">
        <f>IFERROR(VLOOKUP(K172,PROGRAMAS[],2,FALSE),0)</f>
        <v>0</v>
      </c>
      <c r="Z172" s="246">
        <f>IFERROR(VLOOKUP(L172,PROGRAMAS[],2,FALSE),0)</f>
        <v>0</v>
      </c>
      <c r="AA172" s="246">
        <f>IFERROR(VLOOKUP(M172,PROGRAMAS[],2,FALSE),0)</f>
        <v>0</v>
      </c>
      <c r="AB172" s="246">
        <f>IFERROR(VLOOKUP(N172,PROGRAMAS[],2,FALSE),0)</f>
        <v>0</v>
      </c>
      <c r="AC172" s="246">
        <f>IFERROR(VLOOKUP(O172,PROGRAMAS[],2,FALSE),0)</f>
        <v>0</v>
      </c>
      <c r="AD172" s="246">
        <f>IFERROR(VLOOKUP(P172,PROGRAMAS[],2,FALSE),0)</f>
        <v>0</v>
      </c>
      <c r="AE172" s="246">
        <f>IFERROR(VLOOKUP(Q172,PROGRAMAS[],2,FALSE),0)</f>
        <v>0</v>
      </c>
      <c r="AF172" s="246">
        <f>IFERROR(VLOOKUP(D172,PROGRAMAS[],3,FALSE),0)</f>
        <v>841888629.31080008</v>
      </c>
      <c r="AG172" s="246">
        <f>IFERROR(VLOOKUP(E172,PROGRAMAS[],3,FALSE),0)</f>
        <v>3848980803.1642323</v>
      </c>
      <c r="AH172" s="246">
        <f>IFERROR(VLOOKUP(F172,PROGRAMAS[],3,FALSE),0)</f>
        <v>3394901471.387517</v>
      </c>
      <c r="AI172" s="246">
        <f>IFERROR(VLOOKUP(G172,PROGRAMAS[],3,FALSE),0)</f>
        <v>6129902208.7912121</v>
      </c>
      <c r="AJ172" s="246">
        <f>IFERROR(VLOOKUP(H172,PROGRAMAS[],3,FALSE),0)</f>
        <v>31865326.38096505</v>
      </c>
      <c r="AK172" s="246">
        <f>IFERROR(VLOOKUP(I172,PROGRAMAS[],3,FALSE),0)</f>
        <v>2406564599.0319901</v>
      </c>
      <c r="AL172" s="246">
        <f>IFERROR(VLOOKUP(J172,PROGRAMAS[],3,FALSE),0)</f>
        <v>0</v>
      </c>
      <c r="AM172" s="246">
        <f>IFERROR(VLOOKUP(K172,PROGRAMAS[],3,FALSE),0)</f>
        <v>0</v>
      </c>
      <c r="AN172" s="246">
        <f>IFERROR(VLOOKUP(L172,PROGRAMAS[],3,FALSE),0)</f>
        <v>0</v>
      </c>
      <c r="AO172" s="246">
        <f>IFERROR(VLOOKUP(M172,PROGRAMAS[],3,FALSE),0)</f>
        <v>0</v>
      </c>
      <c r="AP172" s="246">
        <f>IFERROR(VLOOKUP(N172,PROGRAMAS[],3,FALSE),0)</f>
        <v>0</v>
      </c>
      <c r="AQ172" s="246">
        <f>IFERROR(VLOOKUP(O172,PROGRAMAS[],3,FALSE),0)</f>
        <v>0</v>
      </c>
      <c r="AR172" s="246">
        <f>IFERROR(VLOOKUP(P172,PROGRAMAS[],3,FALSE),0)</f>
        <v>0</v>
      </c>
      <c r="AS172" s="246">
        <f>IFERROR(VLOOKUP(Q172,PROGRAMAS[],3,FALSE),0)</f>
        <v>0</v>
      </c>
      <c r="AT172" s="246">
        <f>IFERROR(VLOOKUP(D172,VOL_REC[],2,FALSE),0)</f>
        <v>0</v>
      </c>
      <c r="AU172" s="246">
        <f>IFERROR(VLOOKUP(E172,VOL_REC[],2,FALSE),0)</f>
        <v>0</v>
      </c>
      <c r="AV172" s="246">
        <f>IFERROR(VLOOKUP(F172,VOL_REC[],2,FALSE),0)</f>
        <v>11089674.200000001</v>
      </c>
      <c r="AW172" s="246">
        <f>IFERROR(VLOOKUP(G172,VOL_REC[],2,FALSE),0)</f>
        <v>15540036.397699751</v>
      </c>
      <c r="AX172" s="246">
        <f>IFERROR(VLOOKUP(H172,VOL_REC[],2,FALSE),0)</f>
        <v>17074.045034105649</v>
      </c>
      <c r="AY172" s="246">
        <f>IFERROR(VLOOKUP(I172,VOL_REC[],2,FALSE),0)</f>
        <v>1072354.9981737854</v>
      </c>
      <c r="AZ172" s="246">
        <f>IFERROR(VLOOKUP(J172,VOL_REC[],2,FALSE),0)</f>
        <v>0</v>
      </c>
      <c r="BA172" s="246">
        <f>IFERROR(VLOOKUP(K172,VOL_REC[],2,FALSE),0)</f>
        <v>0</v>
      </c>
      <c r="BB172" s="246">
        <f>IFERROR(VLOOKUP(L172,VOL_REC[],2,FALSE),0)</f>
        <v>0</v>
      </c>
      <c r="BC172" s="246">
        <f>IFERROR(VLOOKUP(M172,VOL_REC[],2,FALSE),0)</f>
        <v>0</v>
      </c>
      <c r="BD172" s="246">
        <f>IFERROR(VLOOKUP(N172,VOL_REC[],2,FALSE),0)</f>
        <v>0</v>
      </c>
      <c r="BE172" s="246">
        <f>IFERROR(VLOOKUP(O172,VOL_REC[],2,FALSE),0)</f>
        <v>0</v>
      </c>
      <c r="BF172" s="246">
        <f>IFERROR(VLOOKUP(P172,VOL_REC[],2,FALSE),0)</f>
        <v>0</v>
      </c>
      <c r="BG172" s="246">
        <f>IFERROR(VLOOKUP(Q172,VOL_REC[],2,FALSE),0)</f>
        <v>0</v>
      </c>
      <c r="BH172" s="1710">
        <f t="shared" si="8"/>
        <v>17830236371.048275</v>
      </c>
      <c r="BI172" s="1710">
        <f t="shared" si="9"/>
        <v>16654103038.066717</v>
      </c>
      <c r="BJ172" s="1711">
        <f t="shared" si="10"/>
        <v>27719139.640907645</v>
      </c>
      <c r="BK172" s="1711">
        <f t="shared" si="11"/>
        <v>1.0706212355173521</v>
      </c>
      <c r="BL172">
        <f>BJ172</f>
        <v>27719139.640907645</v>
      </c>
      <c r="BO172">
        <f>BL172</f>
        <v>27719139.640907645</v>
      </c>
    </row>
    <row r="173" spans="3:67" x14ac:dyDescent="0.25">
      <c r="C173" s="246" t="s">
        <v>1523</v>
      </c>
      <c r="D173" s="246">
        <v>1</v>
      </c>
      <c r="E173" s="246">
        <v>2</v>
      </c>
      <c r="F173" s="246">
        <v>3</v>
      </c>
      <c r="G173" s="246">
        <v>6</v>
      </c>
      <c r="H173" s="246">
        <v>14</v>
      </c>
      <c r="I173" s="246">
        <v>17</v>
      </c>
      <c r="J173" s="246"/>
      <c r="K173" s="246"/>
      <c r="L173" s="246"/>
      <c r="M173" s="246"/>
      <c r="N173" s="246"/>
      <c r="O173" s="246"/>
      <c r="P173" s="246"/>
      <c r="Q173" s="246"/>
      <c r="R173" s="246">
        <f>IFERROR(VLOOKUP(D173,PROGRAMAS[],2,FALSE),0)</f>
        <v>97037803.679377079</v>
      </c>
      <c r="S173" s="246">
        <f>IFERROR(VLOOKUP(E173,PROGRAMAS[],2,FALSE),0)</f>
        <v>640501509.6821388</v>
      </c>
      <c r="T173" s="246">
        <f>IFERROR(VLOOKUP(F173,PROGRAMAS[],2,FALSE),0)</f>
        <v>3062327798.1525245</v>
      </c>
      <c r="U173" s="246">
        <f>IFERROR(VLOOKUP(G173,PROGRAMAS[],2,FALSE),0)</f>
        <v>6907648435.8447599</v>
      </c>
      <c r="V173" s="246">
        <f>IFERROR(VLOOKUP(H173,PROGRAMAS[],2,FALSE),0)</f>
        <v>54223862.645839565</v>
      </c>
      <c r="W173" s="246">
        <f>IFERROR(VLOOKUP(I173,PROGRAMAS[],2,FALSE),0)</f>
        <v>1892779498.5211046</v>
      </c>
      <c r="X173" s="246">
        <f>IFERROR(VLOOKUP(J173,PROGRAMAS[],2,FALSE),0)</f>
        <v>0</v>
      </c>
      <c r="Y173" s="246">
        <f>IFERROR(VLOOKUP(K173,PROGRAMAS[],2,FALSE),0)</f>
        <v>0</v>
      </c>
      <c r="Z173" s="246">
        <f>IFERROR(VLOOKUP(L173,PROGRAMAS[],2,FALSE),0)</f>
        <v>0</v>
      </c>
      <c r="AA173" s="246">
        <f>IFERROR(VLOOKUP(M173,PROGRAMAS[],2,FALSE),0)</f>
        <v>0</v>
      </c>
      <c r="AB173" s="246">
        <f>IFERROR(VLOOKUP(N173,PROGRAMAS[],2,FALSE),0)</f>
        <v>0</v>
      </c>
      <c r="AC173" s="246">
        <f>IFERROR(VLOOKUP(O173,PROGRAMAS[],2,FALSE),0)</f>
        <v>0</v>
      </c>
      <c r="AD173" s="246">
        <f>IFERROR(VLOOKUP(P173,PROGRAMAS[],2,FALSE),0)</f>
        <v>0</v>
      </c>
      <c r="AE173" s="246">
        <f>IFERROR(VLOOKUP(Q173,PROGRAMAS[],2,FALSE),0)</f>
        <v>0</v>
      </c>
      <c r="AF173" s="246">
        <f>IFERROR(VLOOKUP(D173,PROGRAMAS[],3,FALSE),0)</f>
        <v>841888629.31080008</v>
      </c>
      <c r="AG173" s="246">
        <f>IFERROR(VLOOKUP(E173,PROGRAMAS[],3,FALSE),0)</f>
        <v>3848980803.1642323</v>
      </c>
      <c r="AH173" s="246">
        <f>IFERROR(VLOOKUP(F173,PROGRAMAS[],3,FALSE),0)</f>
        <v>3394901471.387517</v>
      </c>
      <c r="AI173" s="246">
        <f>IFERROR(VLOOKUP(G173,PROGRAMAS[],3,FALSE),0)</f>
        <v>6129902208.7912121</v>
      </c>
      <c r="AJ173" s="246">
        <f>IFERROR(VLOOKUP(H173,PROGRAMAS[],3,FALSE),0)</f>
        <v>31865326.38096505</v>
      </c>
      <c r="AK173" s="246">
        <f>IFERROR(VLOOKUP(I173,PROGRAMAS[],3,FALSE),0)</f>
        <v>948595847.09039903</v>
      </c>
      <c r="AL173" s="246">
        <f>IFERROR(VLOOKUP(J173,PROGRAMAS[],3,FALSE),0)</f>
        <v>0</v>
      </c>
      <c r="AM173" s="246">
        <f>IFERROR(VLOOKUP(K173,PROGRAMAS[],3,FALSE),0)</f>
        <v>0</v>
      </c>
      <c r="AN173" s="246">
        <f>IFERROR(VLOOKUP(L173,PROGRAMAS[],3,FALSE),0)</f>
        <v>0</v>
      </c>
      <c r="AO173" s="246">
        <f>IFERROR(VLOOKUP(M173,PROGRAMAS[],3,FALSE),0)</f>
        <v>0</v>
      </c>
      <c r="AP173" s="246">
        <f>IFERROR(VLOOKUP(N173,PROGRAMAS[],3,FALSE),0)</f>
        <v>0</v>
      </c>
      <c r="AQ173" s="246">
        <f>IFERROR(VLOOKUP(O173,PROGRAMAS[],3,FALSE),0)</f>
        <v>0</v>
      </c>
      <c r="AR173" s="246">
        <f>IFERROR(VLOOKUP(P173,PROGRAMAS[],3,FALSE),0)</f>
        <v>0</v>
      </c>
      <c r="AS173" s="246">
        <f>IFERROR(VLOOKUP(Q173,PROGRAMAS[],3,FALSE),0)</f>
        <v>0</v>
      </c>
      <c r="AT173" s="246">
        <f>IFERROR(VLOOKUP(D173,VOL_REC[],2,FALSE),0)</f>
        <v>0</v>
      </c>
      <c r="AU173" s="246">
        <f>IFERROR(VLOOKUP(E173,VOL_REC[],2,FALSE),0)</f>
        <v>0</v>
      </c>
      <c r="AV173" s="246">
        <f>IFERROR(VLOOKUP(F173,VOL_REC[],2,FALSE),0)</f>
        <v>11089674.200000001</v>
      </c>
      <c r="AW173" s="246">
        <f>IFERROR(VLOOKUP(G173,VOL_REC[],2,FALSE),0)</f>
        <v>15540036.397699751</v>
      </c>
      <c r="AX173" s="246">
        <f>IFERROR(VLOOKUP(H173,VOL_REC[],2,FALSE),0)</f>
        <v>17074.045034105649</v>
      </c>
      <c r="AY173" s="246">
        <f>IFERROR(VLOOKUP(I173,VOL_REC[],2,FALSE),0)</f>
        <v>740113.98115702497</v>
      </c>
      <c r="AZ173" s="246">
        <f>IFERROR(VLOOKUP(J173,VOL_REC[],2,FALSE),0)</f>
        <v>0</v>
      </c>
      <c r="BA173" s="246">
        <f>IFERROR(VLOOKUP(K173,VOL_REC[],2,FALSE),0)</f>
        <v>0</v>
      </c>
      <c r="BB173" s="246">
        <f>IFERROR(VLOOKUP(L173,VOL_REC[],2,FALSE),0)</f>
        <v>0</v>
      </c>
      <c r="BC173" s="246">
        <f>IFERROR(VLOOKUP(M173,VOL_REC[],2,FALSE),0)</f>
        <v>0</v>
      </c>
      <c r="BD173" s="246">
        <f>IFERROR(VLOOKUP(N173,VOL_REC[],2,FALSE),0)</f>
        <v>0</v>
      </c>
      <c r="BE173" s="246">
        <f>IFERROR(VLOOKUP(O173,VOL_REC[],2,FALSE),0)</f>
        <v>0</v>
      </c>
      <c r="BF173" s="246">
        <f>IFERROR(VLOOKUP(P173,VOL_REC[],2,FALSE),0)</f>
        <v>0</v>
      </c>
      <c r="BG173" s="246">
        <f>IFERROR(VLOOKUP(Q173,VOL_REC[],2,FALSE),0)</f>
        <v>0</v>
      </c>
      <c r="BH173" s="1710">
        <f t="shared" si="8"/>
        <v>12654518908.525745</v>
      </c>
      <c r="BI173" s="1710">
        <f t="shared" si="9"/>
        <v>15196134286.125126</v>
      </c>
      <c r="BJ173" s="1711">
        <f t="shared" si="10"/>
        <v>27386898.623890884</v>
      </c>
      <c r="BK173" s="1711">
        <f t="shared" si="11"/>
        <v>0.83274592539498615</v>
      </c>
    </row>
    <row r="174" spans="3:67" x14ac:dyDescent="0.25">
      <c r="C174" s="246" t="s">
        <v>1524</v>
      </c>
      <c r="D174" s="246">
        <v>1</v>
      </c>
      <c r="E174" s="246">
        <v>2</v>
      </c>
      <c r="F174" s="246">
        <v>3</v>
      </c>
      <c r="G174" s="246">
        <v>6</v>
      </c>
      <c r="H174" s="246">
        <v>15</v>
      </c>
      <c r="I174" s="246">
        <v>16</v>
      </c>
      <c r="J174" s="246"/>
      <c r="K174" s="246"/>
      <c r="L174" s="246"/>
      <c r="M174" s="246"/>
      <c r="N174" s="246"/>
      <c r="O174" s="246"/>
      <c r="P174" s="246"/>
      <c r="Q174" s="246"/>
      <c r="R174" s="246">
        <f>IFERROR(VLOOKUP(D174,PROGRAMAS[],2,FALSE),0)</f>
        <v>97037803.679377079</v>
      </c>
      <c r="S174" s="246">
        <f>IFERROR(VLOOKUP(E174,PROGRAMAS[],2,FALSE),0)</f>
        <v>640501509.6821388</v>
      </c>
      <c r="T174" s="246">
        <f>IFERROR(VLOOKUP(F174,PROGRAMAS[],2,FALSE),0)</f>
        <v>3062327798.1525245</v>
      </c>
      <c r="U174" s="246">
        <f>IFERROR(VLOOKUP(G174,PROGRAMAS[],2,FALSE),0)</f>
        <v>6907648435.8447599</v>
      </c>
      <c r="V174" s="246">
        <f>IFERROR(VLOOKUP(H174,PROGRAMAS[],2,FALSE),0)</f>
        <v>122159672.96346797</v>
      </c>
      <c r="W174" s="246">
        <f>IFERROR(VLOOKUP(I174,PROGRAMAS[],2,FALSE),0)</f>
        <v>7068496961.0436354</v>
      </c>
      <c r="X174" s="246">
        <f>IFERROR(VLOOKUP(J174,PROGRAMAS[],2,FALSE),0)</f>
        <v>0</v>
      </c>
      <c r="Y174" s="246">
        <f>IFERROR(VLOOKUP(K174,PROGRAMAS[],2,FALSE),0)</f>
        <v>0</v>
      </c>
      <c r="Z174" s="246">
        <f>IFERROR(VLOOKUP(L174,PROGRAMAS[],2,FALSE),0)</f>
        <v>0</v>
      </c>
      <c r="AA174" s="246">
        <f>IFERROR(VLOOKUP(M174,PROGRAMAS[],2,FALSE),0)</f>
        <v>0</v>
      </c>
      <c r="AB174" s="246">
        <f>IFERROR(VLOOKUP(N174,PROGRAMAS[],2,FALSE),0)</f>
        <v>0</v>
      </c>
      <c r="AC174" s="246">
        <f>IFERROR(VLOOKUP(O174,PROGRAMAS[],2,FALSE),0)</f>
        <v>0</v>
      </c>
      <c r="AD174" s="246">
        <f>IFERROR(VLOOKUP(P174,PROGRAMAS[],2,FALSE),0)</f>
        <v>0</v>
      </c>
      <c r="AE174" s="246">
        <f>IFERROR(VLOOKUP(Q174,PROGRAMAS[],2,FALSE),0)</f>
        <v>0</v>
      </c>
      <c r="AF174" s="246">
        <f>IFERROR(VLOOKUP(D174,PROGRAMAS[],3,FALSE),0)</f>
        <v>841888629.31080008</v>
      </c>
      <c r="AG174" s="246">
        <f>IFERROR(VLOOKUP(E174,PROGRAMAS[],3,FALSE),0)</f>
        <v>3848980803.1642323</v>
      </c>
      <c r="AH174" s="246">
        <f>IFERROR(VLOOKUP(F174,PROGRAMAS[],3,FALSE),0)</f>
        <v>3394901471.387517</v>
      </c>
      <c r="AI174" s="246">
        <f>IFERROR(VLOOKUP(G174,PROGRAMAS[],3,FALSE),0)</f>
        <v>6129902208.7912121</v>
      </c>
      <c r="AJ174" s="246">
        <f>IFERROR(VLOOKUP(H174,PROGRAMAS[],3,FALSE),0)</f>
        <v>118617452.52510804</v>
      </c>
      <c r="AK174" s="246">
        <f>IFERROR(VLOOKUP(I174,PROGRAMAS[],3,FALSE),0)</f>
        <v>2406564599.0319901</v>
      </c>
      <c r="AL174" s="246">
        <f>IFERROR(VLOOKUP(J174,PROGRAMAS[],3,FALSE),0)</f>
        <v>0</v>
      </c>
      <c r="AM174" s="246">
        <f>IFERROR(VLOOKUP(K174,PROGRAMAS[],3,FALSE),0)</f>
        <v>0</v>
      </c>
      <c r="AN174" s="246">
        <f>IFERROR(VLOOKUP(L174,PROGRAMAS[],3,FALSE),0)</f>
        <v>0</v>
      </c>
      <c r="AO174" s="246">
        <f>IFERROR(VLOOKUP(M174,PROGRAMAS[],3,FALSE),0)</f>
        <v>0</v>
      </c>
      <c r="AP174" s="246">
        <f>IFERROR(VLOOKUP(N174,PROGRAMAS[],3,FALSE),0)</f>
        <v>0</v>
      </c>
      <c r="AQ174" s="246">
        <f>IFERROR(VLOOKUP(O174,PROGRAMAS[],3,FALSE),0)</f>
        <v>0</v>
      </c>
      <c r="AR174" s="246">
        <f>IFERROR(VLOOKUP(P174,PROGRAMAS[],3,FALSE),0)</f>
        <v>0</v>
      </c>
      <c r="AS174" s="246">
        <f>IFERROR(VLOOKUP(Q174,PROGRAMAS[],3,FALSE),0)</f>
        <v>0</v>
      </c>
      <c r="AT174" s="246">
        <f>IFERROR(VLOOKUP(D174,VOL_REC[],2,FALSE),0)</f>
        <v>0</v>
      </c>
      <c r="AU174" s="246">
        <f>IFERROR(VLOOKUP(E174,VOL_REC[],2,FALSE),0)</f>
        <v>0</v>
      </c>
      <c r="AV174" s="246">
        <f>IFERROR(VLOOKUP(F174,VOL_REC[],2,FALSE),0)</f>
        <v>11089674.200000001</v>
      </c>
      <c r="AW174" s="246">
        <f>IFERROR(VLOOKUP(G174,VOL_REC[],2,FALSE),0)</f>
        <v>15540036.397699751</v>
      </c>
      <c r="AX174" s="246">
        <f>IFERROR(VLOOKUP(H174,VOL_REC[],2,FALSE),0)</f>
        <v>105072</v>
      </c>
      <c r="AY174" s="246">
        <f>IFERROR(VLOOKUP(I174,VOL_REC[],2,FALSE),0)</f>
        <v>1072354.9981737854</v>
      </c>
      <c r="AZ174" s="246">
        <f>IFERROR(VLOOKUP(J174,VOL_REC[],2,FALSE),0)</f>
        <v>0</v>
      </c>
      <c r="BA174" s="246">
        <f>IFERROR(VLOOKUP(K174,VOL_REC[],2,FALSE),0)</f>
        <v>0</v>
      </c>
      <c r="BB174" s="246">
        <f>IFERROR(VLOOKUP(L174,VOL_REC[],2,FALSE),0)</f>
        <v>0</v>
      </c>
      <c r="BC174" s="246">
        <f>IFERROR(VLOOKUP(M174,VOL_REC[],2,FALSE),0)</f>
        <v>0</v>
      </c>
      <c r="BD174" s="246">
        <f>IFERROR(VLOOKUP(N174,VOL_REC[],2,FALSE),0)</f>
        <v>0</v>
      </c>
      <c r="BE174" s="246">
        <f>IFERROR(VLOOKUP(O174,VOL_REC[],2,FALSE),0)</f>
        <v>0</v>
      </c>
      <c r="BF174" s="246">
        <f>IFERROR(VLOOKUP(P174,VOL_REC[],2,FALSE),0)</f>
        <v>0</v>
      </c>
      <c r="BG174" s="246">
        <f>IFERROR(VLOOKUP(Q174,VOL_REC[],2,FALSE),0)</f>
        <v>0</v>
      </c>
      <c r="BH174" s="1710">
        <f t="shared" si="8"/>
        <v>17898172181.365906</v>
      </c>
      <c r="BI174" s="1710">
        <f t="shared" si="9"/>
        <v>16740855164.210861</v>
      </c>
      <c r="BJ174" s="1711">
        <f t="shared" si="10"/>
        <v>27807137.595873538</v>
      </c>
      <c r="BK174" s="1711">
        <f t="shared" si="11"/>
        <v>1.0691312962093593</v>
      </c>
      <c r="BL174">
        <f>BJ174</f>
        <v>27807137.595873538</v>
      </c>
      <c r="BO174">
        <f>BL174</f>
        <v>27807137.595873538</v>
      </c>
    </row>
    <row r="175" spans="3:67" x14ac:dyDescent="0.25">
      <c r="C175" s="246" t="s">
        <v>1525</v>
      </c>
      <c r="D175" s="246">
        <v>1</v>
      </c>
      <c r="E175" s="246">
        <v>2</v>
      </c>
      <c r="F175" s="246">
        <v>3</v>
      </c>
      <c r="G175" s="246">
        <v>6</v>
      </c>
      <c r="H175" s="246">
        <v>15</v>
      </c>
      <c r="I175" s="246">
        <v>17</v>
      </c>
      <c r="J175" s="246"/>
      <c r="K175" s="246"/>
      <c r="L175" s="246"/>
      <c r="M175" s="246"/>
      <c r="N175" s="246"/>
      <c r="O175" s="246"/>
      <c r="P175" s="246"/>
      <c r="Q175" s="246"/>
      <c r="R175" s="246">
        <f>IFERROR(VLOOKUP(D175,PROGRAMAS[],2,FALSE),0)</f>
        <v>97037803.679377079</v>
      </c>
      <c r="S175" s="246">
        <f>IFERROR(VLOOKUP(E175,PROGRAMAS[],2,FALSE),0)</f>
        <v>640501509.6821388</v>
      </c>
      <c r="T175" s="246">
        <f>IFERROR(VLOOKUP(F175,PROGRAMAS[],2,FALSE),0)</f>
        <v>3062327798.1525245</v>
      </c>
      <c r="U175" s="246">
        <f>IFERROR(VLOOKUP(G175,PROGRAMAS[],2,FALSE),0)</f>
        <v>6907648435.8447599</v>
      </c>
      <c r="V175" s="246">
        <f>IFERROR(VLOOKUP(H175,PROGRAMAS[],2,FALSE),0)</f>
        <v>122159672.96346797</v>
      </c>
      <c r="W175" s="246">
        <f>IFERROR(VLOOKUP(I175,PROGRAMAS[],2,FALSE),0)</f>
        <v>1892779498.5211046</v>
      </c>
      <c r="X175" s="246">
        <f>IFERROR(VLOOKUP(J175,PROGRAMAS[],2,FALSE),0)</f>
        <v>0</v>
      </c>
      <c r="Y175" s="246">
        <f>IFERROR(VLOOKUP(K175,PROGRAMAS[],2,FALSE),0)</f>
        <v>0</v>
      </c>
      <c r="Z175" s="246">
        <f>IFERROR(VLOOKUP(L175,PROGRAMAS[],2,FALSE),0)</f>
        <v>0</v>
      </c>
      <c r="AA175" s="246">
        <f>IFERROR(VLOOKUP(M175,PROGRAMAS[],2,FALSE),0)</f>
        <v>0</v>
      </c>
      <c r="AB175" s="246">
        <f>IFERROR(VLOOKUP(N175,PROGRAMAS[],2,FALSE),0)</f>
        <v>0</v>
      </c>
      <c r="AC175" s="246">
        <f>IFERROR(VLOOKUP(O175,PROGRAMAS[],2,FALSE),0)</f>
        <v>0</v>
      </c>
      <c r="AD175" s="246">
        <f>IFERROR(VLOOKUP(P175,PROGRAMAS[],2,FALSE),0)</f>
        <v>0</v>
      </c>
      <c r="AE175" s="246">
        <f>IFERROR(VLOOKUP(Q175,PROGRAMAS[],2,FALSE),0)</f>
        <v>0</v>
      </c>
      <c r="AF175" s="246">
        <f>IFERROR(VLOOKUP(D175,PROGRAMAS[],3,FALSE),0)</f>
        <v>841888629.31080008</v>
      </c>
      <c r="AG175" s="246">
        <f>IFERROR(VLOOKUP(E175,PROGRAMAS[],3,FALSE),0)</f>
        <v>3848980803.1642323</v>
      </c>
      <c r="AH175" s="246">
        <f>IFERROR(VLOOKUP(F175,PROGRAMAS[],3,FALSE),0)</f>
        <v>3394901471.387517</v>
      </c>
      <c r="AI175" s="246">
        <f>IFERROR(VLOOKUP(G175,PROGRAMAS[],3,FALSE),0)</f>
        <v>6129902208.7912121</v>
      </c>
      <c r="AJ175" s="246">
        <f>IFERROR(VLOOKUP(H175,PROGRAMAS[],3,FALSE),0)</f>
        <v>118617452.52510804</v>
      </c>
      <c r="AK175" s="246">
        <f>IFERROR(VLOOKUP(I175,PROGRAMAS[],3,FALSE),0)</f>
        <v>948595847.09039903</v>
      </c>
      <c r="AL175" s="246">
        <f>IFERROR(VLOOKUP(J175,PROGRAMAS[],3,FALSE),0)</f>
        <v>0</v>
      </c>
      <c r="AM175" s="246">
        <f>IFERROR(VLOOKUP(K175,PROGRAMAS[],3,FALSE),0)</f>
        <v>0</v>
      </c>
      <c r="AN175" s="246">
        <f>IFERROR(VLOOKUP(L175,PROGRAMAS[],3,FALSE),0)</f>
        <v>0</v>
      </c>
      <c r="AO175" s="246">
        <f>IFERROR(VLOOKUP(M175,PROGRAMAS[],3,FALSE),0)</f>
        <v>0</v>
      </c>
      <c r="AP175" s="246">
        <f>IFERROR(VLOOKUP(N175,PROGRAMAS[],3,FALSE),0)</f>
        <v>0</v>
      </c>
      <c r="AQ175" s="246">
        <f>IFERROR(VLOOKUP(O175,PROGRAMAS[],3,FALSE),0)</f>
        <v>0</v>
      </c>
      <c r="AR175" s="246">
        <f>IFERROR(VLOOKUP(P175,PROGRAMAS[],3,FALSE),0)</f>
        <v>0</v>
      </c>
      <c r="AS175" s="246">
        <f>IFERROR(VLOOKUP(Q175,PROGRAMAS[],3,FALSE),0)</f>
        <v>0</v>
      </c>
      <c r="AT175" s="246">
        <f>IFERROR(VLOOKUP(D175,VOL_REC[],2,FALSE),0)</f>
        <v>0</v>
      </c>
      <c r="AU175" s="246">
        <f>IFERROR(VLOOKUP(E175,VOL_REC[],2,FALSE),0)</f>
        <v>0</v>
      </c>
      <c r="AV175" s="246">
        <f>IFERROR(VLOOKUP(F175,VOL_REC[],2,FALSE),0)</f>
        <v>11089674.200000001</v>
      </c>
      <c r="AW175" s="246">
        <f>IFERROR(VLOOKUP(G175,VOL_REC[],2,FALSE),0)</f>
        <v>15540036.397699751</v>
      </c>
      <c r="AX175" s="246">
        <f>IFERROR(VLOOKUP(H175,VOL_REC[],2,FALSE),0)</f>
        <v>105072</v>
      </c>
      <c r="AY175" s="246">
        <f>IFERROR(VLOOKUP(I175,VOL_REC[],2,FALSE),0)</f>
        <v>740113.98115702497</v>
      </c>
      <c r="AZ175" s="246">
        <f>IFERROR(VLOOKUP(J175,VOL_REC[],2,FALSE),0)</f>
        <v>0</v>
      </c>
      <c r="BA175" s="246">
        <f>IFERROR(VLOOKUP(K175,VOL_REC[],2,FALSE),0)</f>
        <v>0</v>
      </c>
      <c r="BB175" s="246">
        <f>IFERROR(VLOOKUP(L175,VOL_REC[],2,FALSE),0)</f>
        <v>0</v>
      </c>
      <c r="BC175" s="246">
        <f>IFERROR(VLOOKUP(M175,VOL_REC[],2,FALSE),0)</f>
        <v>0</v>
      </c>
      <c r="BD175" s="246">
        <f>IFERROR(VLOOKUP(N175,VOL_REC[],2,FALSE),0)</f>
        <v>0</v>
      </c>
      <c r="BE175" s="246">
        <f>IFERROR(VLOOKUP(O175,VOL_REC[],2,FALSE),0)</f>
        <v>0</v>
      </c>
      <c r="BF175" s="246">
        <f>IFERROR(VLOOKUP(P175,VOL_REC[],2,FALSE),0)</f>
        <v>0</v>
      </c>
      <c r="BG175" s="246">
        <f>IFERROR(VLOOKUP(Q175,VOL_REC[],2,FALSE),0)</f>
        <v>0</v>
      </c>
      <c r="BH175" s="1710">
        <f t="shared" si="8"/>
        <v>12722454718.843374</v>
      </c>
      <c r="BI175" s="1710">
        <f t="shared" si="9"/>
        <v>15282886412.26927</v>
      </c>
      <c r="BJ175" s="1711">
        <f t="shared" si="10"/>
        <v>27474896.578856777</v>
      </c>
      <c r="BK175" s="1711">
        <f t="shared" si="11"/>
        <v>0.83246412854509255</v>
      </c>
    </row>
    <row r="176" spans="3:67" x14ac:dyDescent="0.25">
      <c r="C176" s="246" t="s">
        <v>1526</v>
      </c>
      <c r="D176" s="246">
        <v>1</v>
      </c>
      <c r="E176" s="246">
        <v>2</v>
      </c>
      <c r="F176" s="246">
        <v>3</v>
      </c>
      <c r="G176" s="246">
        <v>6</v>
      </c>
      <c r="H176" s="246">
        <v>16</v>
      </c>
      <c r="I176" s="246">
        <v>17</v>
      </c>
      <c r="J176" s="246"/>
      <c r="K176" s="246"/>
      <c r="L176" s="246"/>
      <c r="M176" s="246"/>
      <c r="N176" s="246"/>
      <c r="O176" s="246"/>
      <c r="P176" s="246"/>
      <c r="Q176" s="246"/>
      <c r="R176" s="246">
        <f>IFERROR(VLOOKUP(D176,PROGRAMAS[],2,FALSE),0)</f>
        <v>97037803.679377079</v>
      </c>
      <c r="S176" s="246">
        <f>IFERROR(VLOOKUP(E176,PROGRAMAS[],2,FALSE),0)</f>
        <v>640501509.6821388</v>
      </c>
      <c r="T176" s="246">
        <f>IFERROR(VLOOKUP(F176,PROGRAMAS[],2,FALSE),0)</f>
        <v>3062327798.1525245</v>
      </c>
      <c r="U176" s="246">
        <f>IFERROR(VLOOKUP(G176,PROGRAMAS[],2,FALSE),0)</f>
        <v>6907648435.8447599</v>
      </c>
      <c r="V176" s="246">
        <f>IFERROR(VLOOKUP(H176,PROGRAMAS[],2,FALSE),0)</f>
        <v>7068496961.0436354</v>
      </c>
      <c r="W176" s="246">
        <f>IFERROR(VLOOKUP(I176,PROGRAMAS[],2,FALSE),0)</f>
        <v>1892779498.5211046</v>
      </c>
      <c r="X176" s="246">
        <f>IFERROR(VLOOKUP(J176,PROGRAMAS[],2,FALSE),0)</f>
        <v>0</v>
      </c>
      <c r="Y176" s="246">
        <f>IFERROR(VLOOKUP(K176,PROGRAMAS[],2,FALSE),0)</f>
        <v>0</v>
      </c>
      <c r="Z176" s="246">
        <f>IFERROR(VLOOKUP(L176,PROGRAMAS[],2,FALSE),0)</f>
        <v>0</v>
      </c>
      <c r="AA176" s="246">
        <f>IFERROR(VLOOKUP(M176,PROGRAMAS[],2,FALSE),0)</f>
        <v>0</v>
      </c>
      <c r="AB176" s="246">
        <f>IFERROR(VLOOKUP(N176,PROGRAMAS[],2,FALSE),0)</f>
        <v>0</v>
      </c>
      <c r="AC176" s="246">
        <f>IFERROR(VLOOKUP(O176,PROGRAMAS[],2,FALSE),0)</f>
        <v>0</v>
      </c>
      <c r="AD176" s="246">
        <f>IFERROR(VLOOKUP(P176,PROGRAMAS[],2,FALSE),0)</f>
        <v>0</v>
      </c>
      <c r="AE176" s="246">
        <f>IFERROR(VLOOKUP(Q176,PROGRAMAS[],2,FALSE),0)</f>
        <v>0</v>
      </c>
      <c r="AF176" s="246">
        <f>IFERROR(VLOOKUP(D176,PROGRAMAS[],3,FALSE),0)</f>
        <v>841888629.31080008</v>
      </c>
      <c r="AG176" s="246">
        <f>IFERROR(VLOOKUP(E176,PROGRAMAS[],3,FALSE),0)</f>
        <v>3848980803.1642323</v>
      </c>
      <c r="AH176" s="246">
        <f>IFERROR(VLOOKUP(F176,PROGRAMAS[],3,FALSE),0)</f>
        <v>3394901471.387517</v>
      </c>
      <c r="AI176" s="246">
        <f>IFERROR(VLOOKUP(G176,PROGRAMAS[],3,FALSE),0)</f>
        <v>6129902208.7912121</v>
      </c>
      <c r="AJ176" s="246">
        <f>IFERROR(VLOOKUP(H176,PROGRAMAS[],3,FALSE),0)</f>
        <v>2406564599.0319901</v>
      </c>
      <c r="AK176" s="246">
        <f>IFERROR(VLOOKUP(I176,PROGRAMAS[],3,FALSE),0)</f>
        <v>948595847.09039903</v>
      </c>
      <c r="AL176" s="246">
        <f>IFERROR(VLOOKUP(J176,PROGRAMAS[],3,FALSE),0)</f>
        <v>0</v>
      </c>
      <c r="AM176" s="246">
        <f>IFERROR(VLOOKUP(K176,PROGRAMAS[],3,FALSE),0)</f>
        <v>0</v>
      </c>
      <c r="AN176" s="246">
        <f>IFERROR(VLOOKUP(L176,PROGRAMAS[],3,FALSE),0)</f>
        <v>0</v>
      </c>
      <c r="AO176" s="246">
        <f>IFERROR(VLOOKUP(M176,PROGRAMAS[],3,FALSE),0)</f>
        <v>0</v>
      </c>
      <c r="AP176" s="246">
        <f>IFERROR(VLOOKUP(N176,PROGRAMAS[],3,FALSE),0)</f>
        <v>0</v>
      </c>
      <c r="AQ176" s="246">
        <f>IFERROR(VLOOKUP(O176,PROGRAMAS[],3,FALSE),0)</f>
        <v>0</v>
      </c>
      <c r="AR176" s="246">
        <f>IFERROR(VLOOKUP(P176,PROGRAMAS[],3,FALSE),0)</f>
        <v>0</v>
      </c>
      <c r="AS176" s="246">
        <f>IFERROR(VLOOKUP(Q176,PROGRAMAS[],3,FALSE),0)</f>
        <v>0</v>
      </c>
      <c r="AT176" s="246">
        <f>IFERROR(VLOOKUP(D176,VOL_REC[],2,FALSE),0)</f>
        <v>0</v>
      </c>
      <c r="AU176" s="246">
        <f>IFERROR(VLOOKUP(E176,VOL_REC[],2,FALSE),0)</f>
        <v>0</v>
      </c>
      <c r="AV176" s="246">
        <f>IFERROR(VLOOKUP(F176,VOL_REC[],2,FALSE),0)</f>
        <v>11089674.200000001</v>
      </c>
      <c r="AW176" s="246">
        <f>IFERROR(VLOOKUP(G176,VOL_REC[],2,FALSE),0)</f>
        <v>15540036.397699751</v>
      </c>
      <c r="AX176" s="246">
        <f>IFERROR(VLOOKUP(H176,VOL_REC[],2,FALSE),0)</f>
        <v>1072354.9981737854</v>
      </c>
      <c r="AY176" s="246">
        <f>IFERROR(VLOOKUP(I176,VOL_REC[],2,FALSE),0)</f>
        <v>740113.98115702497</v>
      </c>
      <c r="AZ176" s="246">
        <f>IFERROR(VLOOKUP(J176,VOL_REC[],2,FALSE),0)</f>
        <v>0</v>
      </c>
      <c r="BA176" s="246">
        <f>IFERROR(VLOOKUP(K176,VOL_REC[],2,FALSE),0)</f>
        <v>0</v>
      </c>
      <c r="BB176" s="246">
        <f>IFERROR(VLOOKUP(L176,VOL_REC[],2,FALSE),0)</f>
        <v>0</v>
      </c>
      <c r="BC176" s="246">
        <f>IFERROR(VLOOKUP(M176,VOL_REC[],2,FALSE),0)</f>
        <v>0</v>
      </c>
      <c r="BD176" s="246">
        <f>IFERROR(VLOOKUP(N176,VOL_REC[],2,FALSE),0)</f>
        <v>0</v>
      </c>
      <c r="BE176" s="246">
        <f>IFERROR(VLOOKUP(O176,VOL_REC[],2,FALSE),0)</f>
        <v>0</v>
      </c>
      <c r="BF176" s="246">
        <f>IFERROR(VLOOKUP(P176,VOL_REC[],2,FALSE),0)</f>
        <v>0</v>
      </c>
      <c r="BG176" s="246">
        <f>IFERROR(VLOOKUP(Q176,VOL_REC[],2,FALSE),0)</f>
        <v>0</v>
      </c>
      <c r="BH176" s="1710">
        <f t="shared" si="8"/>
        <v>19668792006.923538</v>
      </c>
      <c r="BI176" s="1710">
        <f t="shared" si="9"/>
        <v>17570833558.776154</v>
      </c>
      <c r="BJ176" s="1711">
        <f t="shared" si="10"/>
        <v>28442179.577030562</v>
      </c>
      <c r="BK176" s="1711">
        <f t="shared" si="11"/>
        <v>1.1194000524294712</v>
      </c>
      <c r="BL176">
        <f>BJ176</f>
        <v>28442179.577030562</v>
      </c>
      <c r="BO176">
        <f>BL176</f>
        <v>28442179.577030562</v>
      </c>
    </row>
    <row r="177" spans="3:67" x14ac:dyDescent="0.25">
      <c r="C177" s="246" t="s">
        <v>1527</v>
      </c>
      <c r="D177" s="246">
        <v>1</v>
      </c>
      <c r="E177" s="246">
        <v>2</v>
      </c>
      <c r="F177" s="246">
        <v>3</v>
      </c>
      <c r="G177" s="246">
        <v>9</v>
      </c>
      <c r="H177" s="246">
        <v>10</v>
      </c>
      <c r="I177" s="246">
        <v>12</v>
      </c>
      <c r="J177" s="246"/>
      <c r="K177" s="246"/>
      <c r="L177" s="246"/>
      <c r="M177" s="246"/>
      <c r="N177" s="246"/>
      <c r="O177" s="246"/>
      <c r="P177" s="246"/>
      <c r="Q177" s="246"/>
      <c r="R177" s="246">
        <f>IFERROR(VLOOKUP(D177,PROGRAMAS[],2,FALSE),0)</f>
        <v>97037803.679377079</v>
      </c>
      <c r="S177" s="246">
        <f>IFERROR(VLOOKUP(E177,PROGRAMAS[],2,FALSE),0)</f>
        <v>640501509.6821388</v>
      </c>
      <c r="T177" s="246">
        <f>IFERROR(VLOOKUP(F177,PROGRAMAS[],2,FALSE),0)</f>
        <v>3062327798.1525245</v>
      </c>
      <c r="U177" s="246">
        <f>IFERROR(VLOOKUP(G177,PROGRAMAS[],2,FALSE),0)</f>
        <v>6128579952.1618185</v>
      </c>
      <c r="V177" s="246">
        <f>IFERROR(VLOOKUP(H177,PROGRAMAS[],2,FALSE),0)</f>
        <v>4635315027.8751087</v>
      </c>
      <c r="W177" s="246">
        <f>IFERROR(VLOOKUP(I177,PROGRAMAS[],2,FALSE),0)</f>
        <v>764796700.79905891</v>
      </c>
      <c r="X177" s="246">
        <f>IFERROR(VLOOKUP(J177,PROGRAMAS[],2,FALSE),0)</f>
        <v>0</v>
      </c>
      <c r="Y177" s="246">
        <f>IFERROR(VLOOKUP(K177,PROGRAMAS[],2,FALSE),0)</f>
        <v>0</v>
      </c>
      <c r="Z177" s="246">
        <f>IFERROR(VLOOKUP(L177,PROGRAMAS[],2,FALSE),0)</f>
        <v>0</v>
      </c>
      <c r="AA177" s="246">
        <f>IFERROR(VLOOKUP(M177,PROGRAMAS[],2,FALSE),0)</f>
        <v>0</v>
      </c>
      <c r="AB177" s="246">
        <f>IFERROR(VLOOKUP(N177,PROGRAMAS[],2,FALSE),0)</f>
        <v>0</v>
      </c>
      <c r="AC177" s="246">
        <f>IFERROR(VLOOKUP(O177,PROGRAMAS[],2,FALSE),0)</f>
        <v>0</v>
      </c>
      <c r="AD177" s="246">
        <f>IFERROR(VLOOKUP(P177,PROGRAMAS[],2,FALSE),0)</f>
        <v>0</v>
      </c>
      <c r="AE177" s="246">
        <f>IFERROR(VLOOKUP(Q177,PROGRAMAS[],2,FALSE),0)</f>
        <v>0</v>
      </c>
      <c r="AF177" s="246">
        <f>IFERROR(VLOOKUP(D177,PROGRAMAS[],3,FALSE),0)</f>
        <v>841888629.31080008</v>
      </c>
      <c r="AG177" s="246">
        <f>IFERROR(VLOOKUP(E177,PROGRAMAS[],3,FALSE),0)</f>
        <v>3848980803.1642323</v>
      </c>
      <c r="AH177" s="246">
        <f>IFERROR(VLOOKUP(F177,PROGRAMAS[],3,FALSE),0)</f>
        <v>3394901471.387517</v>
      </c>
      <c r="AI177" s="246">
        <f>IFERROR(VLOOKUP(G177,PROGRAMAS[],3,FALSE),0)</f>
        <v>7011279577.519702</v>
      </c>
      <c r="AJ177" s="246">
        <f>IFERROR(VLOOKUP(H177,PROGRAMAS[],3,FALSE),0)</f>
        <v>4099471734.9978786</v>
      </c>
      <c r="AK177" s="246">
        <f>IFERROR(VLOOKUP(I177,PROGRAMAS[],3,FALSE),0)</f>
        <v>675517840.109828</v>
      </c>
      <c r="AL177" s="246">
        <f>IFERROR(VLOOKUP(J177,PROGRAMAS[],3,FALSE),0)</f>
        <v>0</v>
      </c>
      <c r="AM177" s="246">
        <f>IFERROR(VLOOKUP(K177,PROGRAMAS[],3,FALSE),0)</f>
        <v>0</v>
      </c>
      <c r="AN177" s="246">
        <f>IFERROR(VLOOKUP(L177,PROGRAMAS[],3,FALSE),0)</f>
        <v>0</v>
      </c>
      <c r="AO177" s="246">
        <f>IFERROR(VLOOKUP(M177,PROGRAMAS[],3,FALSE),0)</f>
        <v>0</v>
      </c>
      <c r="AP177" s="246">
        <f>IFERROR(VLOOKUP(N177,PROGRAMAS[],3,FALSE),0)</f>
        <v>0</v>
      </c>
      <c r="AQ177" s="246">
        <f>IFERROR(VLOOKUP(O177,PROGRAMAS[],3,FALSE),0)</f>
        <v>0</v>
      </c>
      <c r="AR177" s="246">
        <f>IFERROR(VLOOKUP(P177,PROGRAMAS[],3,FALSE),0)</f>
        <v>0</v>
      </c>
      <c r="AS177" s="246">
        <f>IFERROR(VLOOKUP(Q177,PROGRAMAS[],3,FALSE),0)</f>
        <v>0</v>
      </c>
      <c r="AT177" s="246">
        <f>IFERROR(VLOOKUP(D177,VOL_REC[],2,FALSE),0)</f>
        <v>0</v>
      </c>
      <c r="AU177" s="246">
        <f>IFERROR(VLOOKUP(E177,VOL_REC[],2,FALSE),0)</f>
        <v>0</v>
      </c>
      <c r="AV177" s="246">
        <f>IFERROR(VLOOKUP(F177,VOL_REC[],2,FALSE),0)</f>
        <v>11089674.200000001</v>
      </c>
      <c r="AW177" s="246">
        <f>IFERROR(VLOOKUP(G177,VOL_REC[],2,FALSE),0)</f>
        <v>3761786</v>
      </c>
      <c r="AX177" s="246">
        <f>IFERROR(VLOOKUP(H177,VOL_REC[],2,FALSE),0)</f>
        <v>1812240</v>
      </c>
      <c r="AY177" s="246">
        <f>IFERROR(VLOOKUP(I177,VOL_REC[],2,FALSE),0)</f>
        <v>240696.79238099116</v>
      </c>
      <c r="AZ177" s="246">
        <f>IFERROR(VLOOKUP(J177,VOL_REC[],2,FALSE),0)</f>
        <v>0</v>
      </c>
      <c r="BA177" s="246">
        <f>IFERROR(VLOOKUP(K177,VOL_REC[],2,FALSE),0)</f>
        <v>0</v>
      </c>
      <c r="BB177" s="246">
        <f>IFERROR(VLOOKUP(L177,VOL_REC[],2,FALSE),0)</f>
        <v>0</v>
      </c>
      <c r="BC177" s="246">
        <f>IFERROR(VLOOKUP(M177,VOL_REC[],2,FALSE),0)</f>
        <v>0</v>
      </c>
      <c r="BD177" s="246">
        <f>IFERROR(VLOOKUP(N177,VOL_REC[],2,FALSE),0)</f>
        <v>0</v>
      </c>
      <c r="BE177" s="246">
        <f>IFERROR(VLOOKUP(O177,VOL_REC[],2,FALSE),0)</f>
        <v>0</v>
      </c>
      <c r="BF177" s="246">
        <f>IFERROR(VLOOKUP(P177,VOL_REC[],2,FALSE),0)</f>
        <v>0</v>
      </c>
      <c r="BG177" s="246">
        <f>IFERROR(VLOOKUP(Q177,VOL_REC[],2,FALSE),0)</f>
        <v>0</v>
      </c>
      <c r="BH177" s="1710">
        <f t="shared" si="8"/>
        <v>15328558792.350027</v>
      </c>
      <c r="BI177" s="1710">
        <f t="shared" si="9"/>
        <v>19872040056.48996</v>
      </c>
      <c r="BJ177" s="1711">
        <f t="shared" si="10"/>
        <v>16904396.992380992</v>
      </c>
      <c r="BK177" s="1711">
        <f t="shared" si="11"/>
        <v>0.77136311867205154</v>
      </c>
    </row>
    <row r="178" spans="3:67" x14ac:dyDescent="0.25">
      <c r="C178" s="246" t="s">
        <v>1528</v>
      </c>
      <c r="D178" s="246">
        <v>1</v>
      </c>
      <c r="E178" s="246">
        <v>2</v>
      </c>
      <c r="F178" s="246">
        <v>3</v>
      </c>
      <c r="G178" s="246">
        <v>9</v>
      </c>
      <c r="H178" s="246">
        <v>10</v>
      </c>
      <c r="I178" s="246">
        <v>13</v>
      </c>
      <c r="J178" s="246"/>
      <c r="K178" s="246"/>
      <c r="L178" s="246"/>
      <c r="M178" s="246"/>
      <c r="N178" s="246"/>
      <c r="O178" s="246"/>
      <c r="P178" s="246"/>
      <c r="Q178" s="246"/>
      <c r="R178" s="246">
        <f>IFERROR(VLOOKUP(D178,PROGRAMAS[],2,FALSE),0)</f>
        <v>97037803.679377079</v>
      </c>
      <c r="S178" s="246">
        <f>IFERROR(VLOOKUP(E178,PROGRAMAS[],2,FALSE),0)</f>
        <v>640501509.6821388</v>
      </c>
      <c r="T178" s="246">
        <f>IFERROR(VLOOKUP(F178,PROGRAMAS[],2,FALSE),0)</f>
        <v>3062327798.1525245</v>
      </c>
      <c r="U178" s="246">
        <f>IFERROR(VLOOKUP(G178,PROGRAMAS[],2,FALSE),0)</f>
        <v>6128579952.1618185</v>
      </c>
      <c r="V178" s="246">
        <f>IFERROR(VLOOKUP(H178,PROGRAMAS[],2,FALSE),0)</f>
        <v>4635315027.8751087</v>
      </c>
      <c r="W178" s="246">
        <f>IFERROR(VLOOKUP(I178,PROGRAMAS[],2,FALSE),0)</f>
        <v>3776538594.4604583</v>
      </c>
      <c r="X178" s="246">
        <f>IFERROR(VLOOKUP(J178,PROGRAMAS[],2,FALSE),0)</f>
        <v>0</v>
      </c>
      <c r="Y178" s="246">
        <f>IFERROR(VLOOKUP(K178,PROGRAMAS[],2,FALSE),0)</f>
        <v>0</v>
      </c>
      <c r="Z178" s="246">
        <f>IFERROR(VLOOKUP(L178,PROGRAMAS[],2,FALSE),0)</f>
        <v>0</v>
      </c>
      <c r="AA178" s="246">
        <f>IFERROR(VLOOKUP(M178,PROGRAMAS[],2,FALSE),0)</f>
        <v>0</v>
      </c>
      <c r="AB178" s="246">
        <f>IFERROR(VLOOKUP(N178,PROGRAMAS[],2,FALSE),0)</f>
        <v>0</v>
      </c>
      <c r="AC178" s="246">
        <f>IFERROR(VLOOKUP(O178,PROGRAMAS[],2,FALSE),0)</f>
        <v>0</v>
      </c>
      <c r="AD178" s="246">
        <f>IFERROR(VLOOKUP(P178,PROGRAMAS[],2,FALSE),0)</f>
        <v>0</v>
      </c>
      <c r="AE178" s="246">
        <f>IFERROR(VLOOKUP(Q178,PROGRAMAS[],2,FALSE),0)</f>
        <v>0</v>
      </c>
      <c r="AF178" s="246">
        <f>IFERROR(VLOOKUP(D178,PROGRAMAS[],3,FALSE),0)</f>
        <v>841888629.31080008</v>
      </c>
      <c r="AG178" s="246">
        <f>IFERROR(VLOOKUP(E178,PROGRAMAS[],3,FALSE),0)</f>
        <v>3848980803.1642323</v>
      </c>
      <c r="AH178" s="246">
        <f>IFERROR(VLOOKUP(F178,PROGRAMAS[],3,FALSE),0)</f>
        <v>3394901471.387517</v>
      </c>
      <c r="AI178" s="246">
        <f>IFERROR(VLOOKUP(G178,PROGRAMAS[],3,FALSE),0)</f>
        <v>7011279577.519702</v>
      </c>
      <c r="AJ178" s="246">
        <f>IFERROR(VLOOKUP(H178,PROGRAMAS[],3,FALSE),0)</f>
        <v>4099471734.9978786</v>
      </c>
      <c r="AK178" s="246">
        <f>IFERROR(VLOOKUP(I178,PROGRAMAS[],3,FALSE),0)</f>
        <v>2392571243.5584412</v>
      </c>
      <c r="AL178" s="246">
        <f>IFERROR(VLOOKUP(J178,PROGRAMAS[],3,FALSE),0)</f>
        <v>0</v>
      </c>
      <c r="AM178" s="246">
        <f>IFERROR(VLOOKUP(K178,PROGRAMAS[],3,FALSE),0)</f>
        <v>0</v>
      </c>
      <c r="AN178" s="246">
        <f>IFERROR(VLOOKUP(L178,PROGRAMAS[],3,FALSE),0)</f>
        <v>0</v>
      </c>
      <c r="AO178" s="246">
        <f>IFERROR(VLOOKUP(M178,PROGRAMAS[],3,FALSE),0)</f>
        <v>0</v>
      </c>
      <c r="AP178" s="246">
        <f>IFERROR(VLOOKUP(N178,PROGRAMAS[],3,FALSE),0)</f>
        <v>0</v>
      </c>
      <c r="AQ178" s="246">
        <f>IFERROR(VLOOKUP(O178,PROGRAMAS[],3,FALSE),0)</f>
        <v>0</v>
      </c>
      <c r="AR178" s="246">
        <f>IFERROR(VLOOKUP(P178,PROGRAMAS[],3,FALSE),0)</f>
        <v>0</v>
      </c>
      <c r="AS178" s="246">
        <f>IFERROR(VLOOKUP(Q178,PROGRAMAS[],3,FALSE),0)</f>
        <v>0</v>
      </c>
      <c r="AT178" s="246">
        <f>IFERROR(VLOOKUP(D178,VOL_REC[],2,FALSE),0)</f>
        <v>0</v>
      </c>
      <c r="AU178" s="246">
        <f>IFERROR(VLOOKUP(E178,VOL_REC[],2,FALSE),0)</f>
        <v>0</v>
      </c>
      <c r="AV178" s="246">
        <f>IFERROR(VLOOKUP(F178,VOL_REC[],2,FALSE),0)</f>
        <v>11089674.200000001</v>
      </c>
      <c r="AW178" s="246">
        <f>IFERROR(VLOOKUP(G178,VOL_REC[],2,FALSE),0)</f>
        <v>3761786</v>
      </c>
      <c r="AX178" s="246">
        <f>IFERROR(VLOOKUP(H178,VOL_REC[],2,FALSE),0)</f>
        <v>1812240</v>
      </c>
      <c r="AY178" s="246">
        <f>IFERROR(VLOOKUP(I178,VOL_REC[],2,FALSE),0)</f>
        <v>663244.80000000016</v>
      </c>
      <c r="AZ178" s="246">
        <f>IFERROR(VLOOKUP(J178,VOL_REC[],2,FALSE),0)</f>
        <v>0</v>
      </c>
      <c r="BA178" s="246">
        <f>IFERROR(VLOOKUP(K178,VOL_REC[],2,FALSE),0)</f>
        <v>0</v>
      </c>
      <c r="BB178" s="246">
        <f>IFERROR(VLOOKUP(L178,VOL_REC[],2,FALSE),0)</f>
        <v>0</v>
      </c>
      <c r="BC178" s="246">
        <f>IFERROR(VLOOKUP(M178,VOL_REC[],2,FALSE),0)</f>
        <v>0</v>
      </c>
      <c r="BD178" s="246">
        <f>IFERROR(VLOOKUP(N178,VOL_REC[],2,FALSE),0)</f>
        <v>0</v>
      </c>
      <c r="BE178" s="246">
        <f>IFERROR(VLOOKUP(O178,VOL_REC[],2,FALSE),0)</f>
        <v>0</v>
      </c>
      <c r="BF178" s="246">
        <f>IFERROR(VLOOKUP(P178,VOL_REC[],2,FALSE),0)</f>
        <v>0</v>
      </c>
      <c r="BG178" s="246">
        <f>IFERROR(VLOOKUP(Q178,VOL_REC[],2,FALSE),0)</f>
        <v>0</v>
      </c>
      <c r="BH178" s="1710">
        <f t="shared" si="8"/>
        <v>18340300686.011425</v>
      </c>
      <c r="BI178" s="1710">
        <f t="shared" si="9"/>
        <v>21589093459.938572</v>
      </c>
      <c r="BJ178" s="1711">
        <f t="shared" si="10"/>
        <v>17326945</v>
      </c>
      <c r="BK178" s="1711">
        <f t="shared" si="11"/>
        <v>0.84951694336051153</v>
      </c>
    </row>
    <row r="179" spans="3:67" x14ac:dyDescent="0.25">
      <c r="C179" s="246" t="s">
        <v>1529</v>
      </c>
      <c r="D179" s="246">
        <v>1</v>
      </c>
      <c r="E179" s="246">
        <v>2</v>
      </c>
      <c r="F179" s="246">
        <v>3</v>
      </c>
      <c r="G179" s="246">
        <v>9</v>
      </c>
      <c r="H179" s="246">
        <v>10</v>
      </c>
      <c r="I179" s="246">
        <v>14</v>
      </c>
      <c r="J179" s="246"/>
      <c r="K179" s="246"/>
      <c r="L179" s="246"/>
      <c r="M179" s="246"/>
      <c r="N179" s="246"/>
      <c r="O179" s="246"/>
      <c r="P179" s="246"/>
      <c r="Q179" s="246"/>
      <c r="R179" s="246">
        <f>IFERROR(VLOOKUP(D179,PROGRAMAS[],2,FALSE),0)</f>
        <v>97037803.679377079</v>
      </c>
      <c r="S179" s="246">
        <f>IFERROR(VLOOKUP(E179,PROGRAMAS[],2,FALSE),0)</f>
        <v>640501509.6821388</v>
      </c>
      <c r="T179" s="246">
        <f>IFERROR(VLOOKUP(F179,PROGRAMAS[],2,FALSE),0)</f>
        <v>3062327798.1525245</v>
      </c>
      <c r="U179" s="246">
        <f>IFERROR(VLOOKUP(G179,PROGRAMAS[],2,FALSE),0)</f>
        <v>6128579952.1618185</v>
      </c>
      <c r="V179" s="246">
        <f>IFERROR(VLOOKUP(H179,PROGRAMAS[],2,FALSE),0)</f>
        <v>4635315027.8751087</v>
      </c>
      <c r="W179" s="246">
        <f>IFERROR(VLOOKUP(I179,PROGRAMAS[],2,FALSE),0)</f>
        <v>54223862.645839565</v>
      </c>
      <c r="X179" s="246">
        <f>IFERROR(VLOOKUP(J179,PROGRAMAS[],2,FALSE),0)</f>
        <v>0</v>
      </c>
      <c r="Y179" s="246">
        <f>IFERROR(VLOOKUP(K179,PROGRAMAS[],2,FALSE),0)</f>
        <v>0</v>
      </c>
      <c r="Z179" s="246">
        <f>IFERROR(VLOOKUP(L179,PROGRAMAS[],2,FALSE),0)</f>
        <v>0</v>
      </c>
      <c r="AA179" s="246">
        <f>IFERROR(VLOOKUP(M179,PROGRAMAS[],2,FALSE),0)</f>
        <v>0</v>
      </c>
      <c r="AB179" s="246">
        <f>IFERROR(VLOOKUP(N179,PROGRAMAS[],2,FALSE),0)</f>
        <v>0</v>
      </c>
      <c r="AC179" s="246">
        <f>IFERROR(VLOOKUP(O179,PROGRAMAS[],2,FALSE),0)</f>
        <v>0</v>
      </c>
      <c r="AD179" s="246">
        <f>IFERROR(VLOOKUP(P179,PROGRAMAS[],2,FALSE),0)</f>
        <v>0</v>
      </c>
      <c r="AE179" s="246">
        <f>IFERROR(VLOOKUP(Q179,PROGRAMAS[],2,FALSE),0)</f>
        <v>0</v>
      </c>
      <c r="AF179" s="246">
        <f>IFERROR(VLOOKUP(D179,PROGRAMAS[],3,FALSE),0)</f>
        <v>841888629.31080008</v>
      </c>
      <c r="AG179" s="246">
        <f>IFERROR(VLOOKUP(E179,PROGRAMAS[],3,FALSE),0)</f>
        <v>3848980803.1642323</v>
      </c>
      <c r="AH179" s="246">
        <f>IFERROR(VLOOKUP(F179,PROGRAMAS[],3,FALSE),0)</f>
        <v>3394901471.387517</v>
      </c>
      <c r="AI179" s="246">
        <f>IFERROR(VLOOKUP(G179,PROGRAMAS[],3,FALSE),0)</f>
        <v>7011279577.519702</v>
      </c>
      <c r="AJ179" s="246">
        <f>IFERROR(VLOOKUP(H179,PROGRAMAS[],3,FALSE),0)</f>
        <v>4099471734.9978786</v>
      </c>
      <c r="AK179" s="246">
        <f>IFERROR(VLOOKUP(I179,PROGRAMAS[],3,FALSE),0)</f>
        <v>31865326.38096505</v>
      </c>
      <c r="AL179" s="246">
        <f>IFERROR(VLOOKUP(J179,PROGRAMAS[],3,FALSE),0)</f>
        <v>0</v>
      </c>
      <c r="AM179" s="246">
        <f>IFERROR(VLOOKUP(K179,PROGRAMAS[],3,FALSE),0)</f>
        <v>0</v>
      </c>
      <c r="AN179" s="246">
        <f>IFERROR(VLOOKUP(L179,PROGRAMAS[],3,FALSE),0)</f>
        <v>0</v>
      </c>
      <c r="AO179" s="246">
        <f>IFERROR(VLOOKUP(M179,PROGRAMAS[],3,FALSE),0)</f>
        <v>0</v>
      </c>
      <c r="AP179" s="246">
        <f>IFERROR(VLOOKUP(N179,PROGRAMAS[],3,FALSE),0)</f>
        <v>0</v>
      </c>
      <c r="AQ179" s="246">
        <f>IFERROR(VLOOKUP(O179,PROGRAMAS[],3,FALSE),0)</f>
        <v>0</v>
      </c>
      <c r="AR179" s="246">
        <f>IFERROR(VLOOKUP(P179,PROGRAMAS[],3,FALSE),0)</f>
        <v>0</v>
      </c>
      <c r="AS179" s="246">
        <f>IFERROR(VLOOKUP(Q179,PROGRAMAS[],3,FALSE),0)</f>
        <v>0</v>
      </c>
      <c r="AT179" s="246">
        <f>IFERROR(VLOOKUP(D179,VOL_REC[],2,FALSE),0)</f>
        <v>0</v>
      </c>
      <c r="AU179" s="246">
        <f>IFERROR(VLOOKUP(E179,VOL_REC[],2,FALSE),0)</f>
        <v>0</v>
      </c>
      <c r="AV179" s="246">
        <f>IFERROR(VLOOKUP(F179,VOL_REC[],2,FALSE),0)</f>
        <v>11089674.200000001</v>
      </c>
      <c r="AW179" s="246">
        <f>IFERROR(VLOOKUP(G179,VOL_REC[],2,FALSE),0)</f>
        <v>3761786</v>
      </c>
      <c r="AX179" s="246">
        <f>IFERROR(VLOOKUP(H179,VOL_REC[],2,FALSE),0)</f>
        <v>1812240</v>
      </c>
      <c r="AY179" s="246">
        <f>IFERROR(VLOOKUP(I179,VOL_REC[],2,FALSE),0)</f>
        <v>17074.045034105649</v>
      </c>
      <c r="AZ179" s="246">
        <f>IFERROR(VLOOKUP(J179,VOL_REC[],2,FALSE),0)</f>
        <v>0</v>
      </c>
      <c r="BA179" s="246">
        <f>IFERROR(VLOOKUP(K179,VOL_REC[],2,FALSE),0)</f>
        <v>0</v>
      </c>
      <c r="BB179" s="246">
        <f>IFERROR(VLOOKUP(L179,VOL_REC[],2,FALSE),0)</f>
        <v>0</v>
      </c>
      <c r="BC179" s="246">
        <f>IFERROR(VLOOKUP(M179,VOL_REC[],2,FALSE),0)</f>
        <v>0</v>
      </c>
      <c r="BD179" s="246">
        <f>IFERROR(VLOOKUP(N179,VOL_REC[],2,FALSE),0)</f>
        <v>0</v>
      </c>
      <c r="BE179" s="246">
        <f>IFERROR(VLOOKUP(O179,VOL_REC[],2,FALSE),0)</f>
        <v>0</v>
      </c>
      <c r="BF179" s="246">
        <f>IFERROR(VLOOKUP(P179,VOL_REC[],2,FALSE),0)</f>
        <v>0</v>
      </c>
      <c r="BG179" s="246">
        <f>IFERROR(VLOOKUP(Q179,VOL_REC[],2,FALSE),0)</f>
        <v>0</v>
      </c>
      <c r="BH179" s="1710">
        <f t="shared" si="8"/>
        <v>14617985954.196808</v>
      </c>
      <c r="BI179" s="1710">
        <f t="shared" si="9"/>
        <v>19228387542.761097</v>
      </c>
      <c r="BJ179" s="1711">
        <f t="shared" si="10"/>
        <v>16680774.245034106</v>
      </c>
      <c r="BK179" s="1711">
        <f t="shared" si="11"/>
        <v>0.76022942234176238</v>
      </c>
    </row>
    <row r="180" spans="3:67" x14ac:dyDescent="0.25">
      <c r="C180" s="246" t="s">
        <v>1530</v>
      </c>
      <c r="D180" s="246">
        <v>1</v>
      </c>
      <c r="E180" s="246">
        <v>2</v>
      </c>
      <c r="F180" s="246">
        <v>3</v>
      </c>
      <c r="G180" s="246">
        <v>9</v>
      </c>
      <c r="H180" s="246">
        <v>10</v>
      </c>
      <c r="I180" s="246">
        <v>15</v>
      </c>
      <c r="J180" s="246"/>
      <c r="K180" s="246"/>
      <c r="L180" s="246"/>
      <c r="M180" s="246"/>
      <c r="N180" s="246"/>
      <c r="O180" s="246"/>
      <c r="P180" s="246"/>
      <c r="Q180" s="246"/>
      <c r="R180" s="246">
        <f>IFERROR(VLOOKUP(D180,PROGRAMAS[],2,FALSE),0)</f>
        <v>97037803.679377079</v>
      </c>
      <c r="S180" s="246">
        <f>IFERROR(VLOOKUP(E180,PROGRAMAS[],2,FALSE),0)</f>
        <v>640501509.6821388</v>
      </c>
      <c r="T180" s="246">
        <f>IFERROR(VLOOKUP(F180,PROGRAMAS[],2,FALSE),0)</f>
        <v>3062327798.1525245</v>
      </c>
      <c r="U180" s="246">
        <f>IFERROR(VLOOKUP(G180,PROGRAMAS[],2,FALSE),0)</f>
        <v>6128579952.1618185</v>
      </c>
      <c r="V180" s="246">
        <f>IFERROR(VLOOKUP(H180,PROGRAMAS[],2,FALSE),0)</f>
        <v>4635315027.8751087</v>
      </c>
      <c r="W180" s="246">
        <f>IFERROR(VLOOKUP(I180,PROGRAMAS[],2,FALSE),0)</f>
        <v>122159672.96346797</v>
      </c>
      <c r="X180" s="246">
        <f>IFERROR(VLOOKUP(J180,PROGRAMAS[],2,FALSE),0)</f>
        <v>0</v>
      </c>
      <c r="Y180" s="246">
        <f>IFERROR(VLOOKUP(K180,PROGRAMAS[],2,FALSE),0)</f>
        <v>0</v>
      </c>
      <c r="Z180" s="246">
        <f>IFERROR(VLOOKUP(L180,PROGRAMAS[],2,FALSE),0)</f>
        <v>0</v>
      </c>
      <c r="AA180" s="246">
        <f>IFERROR(VLOOKUP(M180,PROGRAMAS[],2,FALSE),0)</f>
        <v>0</v>
      </c>
      <c r="AB180" s="246">
        <f>IFERROR(VLOOKUP(N180,PROGRAMAS[],2,FALSE),0)</f>
        <v>0</v>
      </c>
      <c r="AC180" s="246">
        <f>IFERROR(VLOOKUP(O180,PROGRAMAS[],2,FALSE),0)</f>
        <v>0</v>
      </c>
      <c r="AD180" s="246">
        <f>IFERROR(VLOOKUP(P180,PROGRAMAS[],2,FALSE),0)</f>
        <v>0</v>
      </c>
      <c r="AE180" s="246">
        <f>IFERROR(VLOOKUP(Q180,PROGRAMAS[],2,FALSE),0)</f>
        <v>0</v>
      </c>
      <c r="AF180" s="246">
        <f>IFERROR(VLOOKUP(D180,PROGRAMAS[],3,FALSE),0)</f>
        <v>841888629.31080008</v>
      </c>
      <c r="AG180" s="246">
        <f>IFERROR(VLOOKUP(E180,PROGRAMAS[],3,FALSE),0)</f>
        <v>3848980803.1642323</v>
      </c>
      <c r="AH180" s="246">
        <f>IFERROR(VLOOKUP(F180,PROGRAMAS[],3,FALSE),0)</f>
        <v>3394901471.387517</v>
      </c>
      <c r="AI180" s="246">
        <f>IFERROR(VLOOKUP(G180,PROGRAMAS[],3,FALSE),0)</f>
        <v>7011279577.519702</v>
      </c>
      <c r="AJ180" s="246">
        <f>IFERROR(VLOOKUP(H180,PROGRAMAS[],3,FALSE),0)</f>
        <v>4099471734.9978786</v>
      </c>
      <c r="AK180" s="246">
        <f>IFERROR(VLOOKUP(I180,PROGRAMAS[],3,FALSE),0)</f>
        <v>118617452.52510804</v>
      </c>
      <c r="AL180" s="246">
        <f>IFERROR(VLOOKUP(J180,PROGRAMAS[],3,FALSE),0)</f>
        <v>0</v>
      </c>
      <c r="AM180" s="246">
        <f>IFERROR(VLOOKUP(K180,PROGRAMAS[],3,FALSE),0)</f>
        <v>0</v>
      </c>
      <c r="AN180" s="246">
        <f>IFERROR(VLOOKUP(L180,PROGRAMAS[],3,FALSE),0)</f>
        <v>0</v>
      </c>
      <c r="AO180" s="246">
        <f>IFERROR(VLOOKUP(M180,PROGRAMAS[],3,FALSE),0)</f>
        <v>0</v>
      </c>
      <c r="AP180" s="246">
        <f>IFERROR(VLOOKUP(N180,PROGRAMAS[],3,FALSE),0)</f>
        <v>0</v>
      </c>
      <c r="AQ180" s="246">
        <f>IFERROR(VLOOKUP(O180,PROGRAMAS[],3,FALSE),0)</f>
        <v>0</v>
      </c>
      <c r="AR180" s="246">
        <f>IFERROR(VLOOKUP(P180,PROGRAMAS[],3,FALSE),0)</f>
        <v>0</v>
      </c>
      <c r="AS180" s="246">
        <f>IFERROR(VLOOKUP(Q180,PROGRAMAS[],3,FALSE),0)</f>
        <v>0</v>
      </c>
      <c r="AT180" s="246">
        <f>IFERROR(VLOOKUP(D180,VOL_REC[],2,FALSE),0)</f>
        <v>0</v>
      </c>
      <c r="AU180" s="246">
        <f>IFERROR(VLOOKUP(E180,VOL_REC[],2,FALSE),0)</f>
        <v>0</v>
      </c>
      <c r="AV180" s="246">
        <f>IFERROR(VLOOKUP(F180,VOL_REC[],2,FALSE),0)</f>
        <v>11089674.200000001</v>
      </c>
      <c r="AW180" s="246">
        <f>IFERROR(VLOOKUP(G180,VOL_REC[],2,FALSE),0)</f>
        <v>3761786</v>
      </c>
      <c r="AX180" s="246">
        <f>IFERROR(VLOOKUP(H180,VOL_REC[],2,FALSE),0)</f>
        <v>1812240</v>
      </c>
      <c r="AY180" s="246">
        <f>IFERROR(VLOOKUP(I180,VOL_REC[],2,FALSE),0)</f>
        <v>105072</v>
      </c>
      <c r="AZ180" s="246">
        <f>IFERROR(VLOOKUP(J180,VOL_REC[],2,FALSE),0)</f>
        <v>0</v>
      </c>
      <c r="BA180" s="246">
        <f>IFERROR(VLOOKUP(K180,VOL_REC[],2,FALSE),0)</f>
        <v>0</v>
      </c>
      <c r="BB180" s="246">
        <f>IFERROR(VLOOKUP(L180,VOL_REC[],2,FALSE),0)</f>
        <v>0</v>
      </c>
      <c r="BC180" s="246">
        <f>IFERROR(VLOOKUP(M180,VOL_REC[],2,FALSE),0)</f>
        <v>0</v>
      </c>
      <c r="BD180" s="246">
        <f>IFERROR(VLOOKUP(N180,VOL_REC[],2,FALSE),0)</f>
        <v>0</v>
      </c>
      <c r="BE180" s="246">
        <f>IFERROR(VLOOKUP(O180,VOL_REC[],2,FALSE),0)</f>
        <v>0</v>
      </c>
      <c r="BF180" s="246">
        <f>IFERROR(VLOOKUP(P180,VOL_REC[],2,FALSE),0)</f>
        <v>0</v>
      </c>
      <c r="BG180" s="246">
        <f>IFERROR(VLOOKUP(Q180,VOL_REC[],2,FALSE),0)</f>
        <v>0</v>
      </c>
      <c r="BH180" s="1710">
        <f t="shared" si="8"/>
        <v>14685921764.514437</v>
      </c>
      <c r="BI180" s="1710">
        <f t="shared" si="9"/>
        <v>19315139668.905239</v>
      </c>
      <c r="BJ180" s="1711">
        <f t="shared" si="10"/>
        <v>16768772.200000001</v>
      </c>
      <c r="BK180" s="1711">
        <f t="shared" si="11"/>
        <v>0.76033215478927052</v>
      </c>
    </row>
    <row r="181" spans="3:67" x14ac:dyDescent="0.25">
      <c r="C181" s="246" t="s">
        <v>1531</v>
      </c>
      <c r="D181" s="246">
        <v>1</v>
      </c>
      <c r="E181" s="246">
        <v>2</v>
      </c>
      <c r="F181" s="246">
        <v>3</v>
      </c>
      <c r="G181" s="246">
        <v>9</v>
      </c>
      <c r="H181" s="246">
        <v>10</v>
      </c>
      <c r="I181" s="246">
        <v>16</v>
      </c>
      <c r="J181" s="246"/>
      <c r="K181" s="246"/>
      <c r="L181" s="246"/>
      <c r="M181" s="246"/>
      <c r="N181" s="246"/>
      <c r="O181" s="246"/>
      <c r="P181" s="246"/>
      <c r="Q181" s="246"/>
      <c r="R181" s="246">
        <f>IFERROR(VLOOKUP(D181,PROGRAMAS[],2,FALSE),0)</f>
        <v>97037803.679377079</v>
      </c>
      <c r="S181" s="246">
        <f>IFERROR(VLOOKUP(E181,PROGRAMAS[],2,FALSE),0)</f>
        <v>640501509.6821388</v>
      </c>
      <c r="T181" s="246">
        <f>IFERROR(VLOOKUP(F181,PROGRAMAS[],2,FALSE),0)</f>
        <v>3062327798.1525245</v>
      </c>
      <c r="U181" s="246">
        <f>IFERROR(VLOOKUP(G181,PROGRAMAS[],2,FALSE),0)</f>
        <v>6128579952.1618185</v>
      </c>
      <c r="V181" s="246">
        <f>IFERROR(VLOOKUP(H181,PROGRAMAS[],2,FALSE),0)</f>
        <v>4635315027.8751087</v>
      </c>
      <c r="W181" s="246">
        <f>IFERROR(VLOOKUP(I181,PROGRAMAS[],2,FALSE),0)</f>
        <v>7068496961.0436354</v>
      </c>
      <c r="X181" s="246">
        <f>IFERROR(VLOOKUP(J181,PROGRAMAS[],2,FALSE),0)</f>
        <v>0</v>
      </c>
      <c r="Y181" s="246">
        <f>IFERROR(VLOOKUP(K181,PROGRAMAS[],2,FALSE),0)</f>
        <v>0</v>
      </c>
      <c r="Z181" s="246">
        <f>IFERROR(VLOOKUP(L181,PROGRAMAS[],2,FALSE),0)</f>
        <v>0</v>
      </c>
      <c r="AA181" s="246">
        <f>IFERROR(VLOOKUP(M181,PROGRAMAS[],2,FALSE),0)</f>
        <v>0</v>
      </c>
      <c r="AB181" s="246">
        <f>IFERROR(VLOOKUP(N181,PROGRAMAS[],2,FALSE),0)</f>
        <v>0</v>
      </c>
      <c r="AC181" s="246">
        <f>IFERROR(VLOOKUP(O181,PROGRAMAS[],2,FALSE),0)</f>
        <v>0</v>
      </c>
      <c r="AD181" s="246">
        <f>IFERROR(VLOOKUP(P181,PROGRAMAS[],2,FALSE),0)</f>
        <v>0</v>
      </c>
      <c r="AE181" s="246">
        <f>IFERROR(VLOOKUP(Q181,PROGRAMAS[],2,FALSE),0)</f>
        <v>0</v>
      </c>
      <c r="AF181" s="246">
        <f>IFERROR(VLOOKUP(D181,PROGRAMAS[],3,FALSE),0)</f>
        <v>841888629.31080008</v>
      </c>
      <c r="AG181" s="246">
        <f>IFERROR(VLOOKUP(E181,PROGRAMAS[],3,FALSE),0)</f>
        <v>3848980803.1642323</v>
      </c>
      <c r="AH181" s="246">
        <f>IFERROR(VLOOKUP(F181,PROGRAMAS[],3,FALSE),0)</f>
        <v>3394901471.387517</v>
      </c>
      <c r="AI181" s="246">
        <f>IFERROR(VLOOKUP(G181,PROGRAMAS[],3,FALSE),0)</f>
        <v>7011279577.519702</v>
      </c>
      <c r="AJ181" s="246">
        <f>IFERROR(VLOOKUP(H181,PROGRAMAS[],3,FALSE),0)</f>
        <v>4099471734.9978786</v>
      </c>
      <c r="AK181" s="246">
        <f>IFERROR(VLOOKUP(I181,PROGRAMAS[],3,FALSE),0)</f>
        <v>2406564599.0319901</v>
      </c>
      <c r="AL181" s="246">
        <f>IFERROR(VLOOKUP(J181,PROGRAMAS[],3,FALSE),0)</f>
        <v>0</v>
      </c>
      <c r="AM181" s="246">
        <f>IFERROR(VLOOKUP(K181,PROGRAMAS[],3,FALSE),0)</f>
        <v>0</v>
      </c>
      <c r="AN181" s="246">
        <f>IFERROR(VLOOKUP(L181,PROGRAMAS[],3,FALSE),0)</f>
        <v>0</v>
      </c>
      <c r="AO181" s="246">
        <f>IFERROR(VLOOKUP(M181,PROGRAMAS[],3,FALSE),0)</f>
        <v>0</v>
      </c>
      <c r="AP181" s="246">
        <f>IFERROR(VLOOKUP(N181,PROGRAMAS[],3,FALSE),0)</f>
        <v>0</v>
      </c>
      <c r="AQ181" s="246">
        <f>IFERROR(VLOOKUP(O181,PROGRAMAS[],3,FALSE),0)</f>
        <v>0</v>
      </c>
      <c r="AR181" s="246">
        <f>IFERROR(VLOOKUP(P181,PROGRAMAS[],3,FALSE),0)</f>
        <v>0</v>
      </c>
      <c r="AS181" s="246">
        <f>IFERROR(VLOOKUP(Q181,PROGRAMAS[],3,FALSE),0)</f>
        <v>0</v>
      </c>
      <c r="AT181" s="246">
        <f>IFERROR(VLOOKUP(D181,VOL_REC[],2,FALSE),0)</f>
        <v>0</v>
      </c>
      <c r="AU181" s="246">
        <f>IFERROR(VLOOKUP(E181,VOL_REC[],2,FALSE),0)</f>
        <v>0</v>
      </c>
      <c r="AV181" s="246">
        <f>IFERROR(VLOOKUP(F181,VOL_REC[],2,FALSE),0)</f>
        <v>11089674.200000001</v>
      </c>
      <c r="AW181" s="246">
        <f>IFERROR(VLOOKUP(G181,VOL_REC[],2,FALSE),0)</f>
        <v>3761786</v>
      </c>
      <c r="AX181" s="246">
        <f>IFERROR(VLOOKUP(H181,VOL_REC[],2,FALSE),0)</f>
        <v>1812240</v>
      </c>
      <c r="AY181" s="246">
        <f>IFERROR(VLOOKUP(I181,VOL_REC[],2,FALSE),0)</f>
        <v>1072354.9981737854</v>
      </c>
      <c r="AZ181" s="246">
        <f>IFERROR(VLOOKUP(J181,VOL_REC[],2,FALSE),0)</f>
        <v>0</v>
      </c>
      <c r="BA181" s="246">
        <f>IFERROR(VLOOKUP(K181,VOL_REC[],2,FALSE),0)</f>
        <v>0</v>
      </c>
      <c r="BB181" s="246">
        <f>IFERROR(VLOOKUP(L181,VOL_REC[],2,FALSE),0)</f>
        <v>0</v>
      </c>
      <c r="BC181" s="246">
        <f>IFERROR(VLOOKUP(M181,VOL_REC[],2,FALSE),0)</f>
        <v>0</v>
      </c>
      <c r="BD181" s="246">
        <f>IFERROR(VLOOKUP(N181,VOL_REC[],2,FALSE),0)</f>
        <v>0</v>
      </c>
      <c r="BE181" s="246">
        <f>IFERROR(VLOOKUP(O181,VOL_REC[],2,FALSE),0)</f>
        <v>0</v>
      </c>
      <c r="BF181" s="246">
        <f>IFERROR(VLOOKUP(P181,VOL_REC[],2,FALSE),0)</f>
        <v>0</v>
      </c>
      <c r="BG181" s="246">
        <f>IFERROR(VLOOKUP(Q181,VOL_REC[],2,FALSE),0)</f>
        <v>0</v>
      </c>
      <c r="BH181" s="1710">
        <f t="shared" si="8"/>
        <v>21632259052.594604</v>
      </c>
      <c r="BI181" s="1710">
        <f t="shared" si="9"/>
        <v>21603086815.412121</v>
      </c>
      <c r="BJ181" s="1711">
        <f t="shared" si="10"/>
        <v>17736055.198173787</v>
      </c>
      <c r="BK181" s="1711">
        <f t="shared" si="11"/>
        <v>1.0013503735568785</v>
      </c>
      <c r="BL181">
        <f>BJ181</f>
        <v>17736055.198173787</v>
      </c>
      <c r="BO181">
        <f>BL181</f>
        <v>17736055.198173787</v>
      </c>
    </row>
    <row r="182" spans="3:67" x14ac:dyDescent="0.25">
      <c r="C182" s="246" t="s">
        <v>1532</v>
      </c>
      <c r="D182" s="246">
        <v>1</v>
      </c>
      <c r="E182" s="246">
        <v>2</v>
      </c>
      <c r="F182" s="246">
        <v>3</v>
      </c>
      <c r="G182" s="246">
        <v>9</v>
      </c>
      <c r="H182" s="246">
        <v>10</v>
      </c>
      <c r="I182" s="246">
        <v>17</v>
      </c>
      <c r="J182" s="246"/>
      <c r="K182" s="246"/>
      <c r="L182" s="246"/>
      <c r="M182" s="246"/>
      <c r="N182" s="246"/>
      <c r="O182" s="246"/>
      <c r="P182" s="246"/>
      <c r="Q182" s="246"/>
      <c r="R182" s="246">
        <f>IFERROR(VLOOKUP(D182,PROGRAMAS[],2,FALSE),0)</f>
        <v>97037803.679377079</v>
      </c>
      <c r="S182" s="246">
        <f>IFERROR(VLOOKUP(E182,PROGRAMAS[],2,FALSE),0)</f>
        <v>640501509.6821388</v>
      </c>
      <c r="T182" s="246">
        <f>IFERROR(VLOOKUP(F182,PROGRAMAS[],2,FALSE),0)</f>
        <v>3062327798.1525245</v>
      </c>
      <c r="U182" s="246">
        <f>IFERROR(VLOOKUP(G182,PROGRAMAS[],2,FALSE),0)</f>
        <v>6128579952.1618185</v>
      </c>
      <c r="V182" s="246">
        <f>IFERROR(VLOOKUP(H182,PROGRAMAS[],2,FALSE),0)</f>
        <v>4635315027.8751087</v>
      </c>
      <c r="W182" s="246">
        <f>IFERROR(VLOOKUP(I182,PROGRAMAS[],2,FALSE),0)</f>
        <v>1892779498.5211046</v>
      </c>
      <c r="X182" s="246">
        <f>IFERROR(VLOOKUP(J182,PROGRAMAS[],2,FALSE),0)</f>
        <v>0</v>
      </c>
      <c r="Y182" s="246">
        <f>IFERROR(VLOOKUP(K182,PROGRAMAS[],2,FALSE),0)</f>
        <v>0</v>
      </c>
      <c r="Z182" s="246">
        <f>IFERROR(VLOOKUP(L182,PROGRAMAS[],2,FALSE),0)</f>
        <v>0</v>
      </c>
      <c r="AA182" s="246">
        <f>IFERROR(VLOOKUP(M182,PROGRAMAS[],2,FALSE),0)</f>
        <v>0</v>
      </c>
      <c r="AB182" s="246">
        <f>IFERROR(VLOOKUP(N182,PROGRAMAS[],2,FALSE),0)</f>
        <v>0</v>
      </c>
      <c r="AC182" s="246">
        <f>IFERROR(VLOOKUP(O182,PROGRAMAS[],2,FALSE),0)</f>
        <v>0</v>
      </c>
      <c r="AD182" s="246">
        <f>IFERROR(VLOOKUP(P182,PROGRAMAS[],2,FALSE),0)</f>
        <v>0</v>
      </c>
      <c r="AE182" s="246">
        <f>IFERROR(VLOOKUP(Q182,PROGRAMAS[],2,FALSE),0)</f>
        <v>0</v>
      </c>
      <c r="AF182" s="246">
        <f>IFERROR(VLOOKUP(D182,PROGRAMAS[],3,FALSE),0)</f>
        <v>841888629.31080008</v>
      </c>
      <c r="AG182" s="246">
        <f>IFERROR(VLOOKUP(E182,PROGRAMAS[],3,FALSE),0)</f>
        <v>3848980803.1642323</v>
      </c>
      <c r="AH182" s="246">
        <f>IFERROR(VLOOKUP(F182,PROGRAMAS[],3,FALSE),0)</f>
        <v>3394901471.387517</v>
      </c>
      <c r="AI182" s="246">
        <f>IFERROR(VLOOKUP(G182,PROGRAMAS[],3,FALSE),0)</f>
        <v>7011279577.519702</v>
      </c>
      <c r="AJ182" s="246">
        <f>IFERROR(VLOOKUP(H182,PROGRAMAS[],3,FALSE),0)</f>
        <v>4099471734.9978786</v>
      </c>
      <c r="AK182" s="246">
        <f>IFERROR(VLOOKUP(I182,PROGRAMAS[],3,FALSE),0)</f>
        <v>948595847.09039903</v>
      </c>
      <c r="AL182" s="246">
        <f>IFERROR(VLOOKUP(J182,PROGRAMAS[],3,FALSE),0)</f>
        <v>0</v>
      </c>
      <c r="AM182" s="246">
        <f>IFERROR(VLOOKUP(K182,PROGRAMAS[],3,FALSE),0)</f>
        <v>0</v>
      </c>
      <c r="AN182" s="246">
        <f>IFERROR(VLOOKUP(L182,PROGRAMAS[],3,FALSE),0)</f>
        <v>0</v>
      </c>
      <c r="AO182" s="246">
        <f>IFERROR(VLOOKUP(M182,PROGRAMAS[],3,FALSE),0)</f>
        <v>0</v>
      </c>
      <c r="AP182" s="246">
        <f>IFERROR(VLOOKUP(N182,PROGRAMAS[],3,FALSE),0)</f>
        <v>0</v>
      </c>
      <c r="AQ182" s="246">
        <f>IFERROR(VLOOKUP(O182,PROGRAMAS[],3,FALSE),0)</f>
        <v>0</v>
      </c>
      <c r="AR182" s="246">
        <f>IFERROR(VLOOKUP(P182,PROGRAMAS[],3,FALSE),0)</f>
        <v>0</v>
      </c>
      <c r="AS182" s="246">
        <f>IFERROR(VLOOKUP(Q182,PROGRAMAS[],3,FALSE),0)</f>
        <v>0</v>
      </c>
      <c r="AT182" s="246">
        <f>IFERROR(VLOOKUP(D182,VOL_REC[],2,FALSE),0)</f>
        <v>0</v>
      </c>
      <c r="AU182" s="246">
        <f>IFERROR(VLOOKUP(E182,VOL_REC[],2,FALSE),0)</f>
        <v>0</v>
      </c>
      <c r="AV182" s="246">
        <f>IFERROR(VLOOKUP(F182,VOL_REC[],2,FALSE),0)</f>
        <v>11089674.200000001</v>
      </c>
      <c r="AW182" s="246">
        <f>IFERROR(VLOOKUP(G182,VOL_REC[],2,FALSE),0)</f>
        <v>3761786</v>
      </c>
      <c r="AX182" s="246">
        <f>IFERROR(VLOOKUP(H182,VOL_REC[],2,FALSE),0)</f>
        <v>1812240</v>
      </c>
      <c r="AY182" s="246">
        <f>IFERROR(VLOOKUP(I182,VOL_REC[],2,FALSE),0)</f>
        <v>740113.98115702497</v>
      </c>
      <c r="AZ182" s="246">
        <f>IFERROR(VLOOKUP(J182,VOL_REC[],2,FALSE),0)</f>
        <v>0</v>
      </c>
      <c r="BA182" s="246">
        <f>IFERROR(VLOOKUP(K182,VOL_REC[],2,FALSE),0)</f>
        <v>0</v>
      </c>
      <c r="BB182" s="246">
        <f>IFERROR(VLOOKUP(L182,VOL_REC[],2,FALSE),0)</f>
        <v>0</v>
      </c>
      <c r="BC182" s="246">
        <f>IFERROR(VLOOKUP(M182,VOL_REC[],2,FALSE),0)</f>
        <v>0</v>
      </c>
      <c r="BD182" s="246">
        <f>IFERROR(VLOOKUP(N182,VOL_REC[],2,FALSE),0)</f>
        <v>0</v>
      </c>
      <c r="BE182" s="246">
        <f>IFERROR(VLOOKUP(O182,VOL_REC[],2,FALSE),0)</f>
        <v>0</v>
      </c>
      <c r="BF182" s="246">
        <f>IFERROR(VLOOKUP(P182,VOL_REC[],2,FALSE),0)</f>
        <v>0</v>
      </c>
      <c r="BG182" s="246">
        <f>IFERROR(VLOOKUP(Q182,VOL_REC[],2,FALSE),0)</f>
        <v>0</v>
      </c>
      <c r="BH182" s="1710">
        <f t="shared" si="8"/>
        <v>16456541590.072073</v>
      </c>
      <c r="BI182" s="1710">
        <f t="shared" si="9"/>
        <v>20145118063.470531</v>
      </c>
      <c r="BJ182" s="1711">
        <f t="shared" si="10"/>
        <v>17403814.181157026</v>
      </c>
      <c r="BK182" s="1711">
        <f t="shared" si="11"/>
        <v>0.81689973413027472</v>
      </c>
    </row>
    <row r="183" spans="3:67" x14ac:dyDescent="0.25">
      <c r="C183" s="246" t="s">
        <v>1533</v>
      </c>
      <c r="D183" s="246">
        <v>1</v>
      </c>
      <c r="E183" s="246">
        <v>2</v>
      </c>
      <c r="F183" s="246">
        <v>3</v>
      </c>
      <c r="G183" s="246">
        <v>9</v>
      </c>
      <c r="H183" s="246">
        <v>12</v>
      </c>
      <c r="I183" s="246">
        <v>13</v>
      </c>
      <c r="J183" s="246"/>
      <c r="K183" s="246"/>
      <c r="L183" s="246"/>
      <c r="M183" s="246"/>
      <c r="N183" s="246"/>
      <c r="O183" s="246"/>
      <c r="P183" s="246"/>
      <c r="Q183" s="246"/>
      <c r="R183" s="246">
        <f>IFERROR(VLOOKUP(D183,PROGRAMAS[],2,FALSE),0)</f>
        <v>97037803.679377079</v>
      </c>
      <c r="S183" s="246">
        <f>IFERROR(VLOOKUP(E183,PROGRAMAS[],2,FALSE),0)</f>
        <v>640501509.6821388</v>
      </c>
      <c r="T183" s="246">
        <f>IFERROR(VLOOKUP(F183,PROGRAMAS[],2,FALSE),0)</f>
        <v>3062327798.1525245</v>
      </c>
      <c r="U183" s="246">
        <f>IFERROR(VLOOKUP(G183,PROGRAMAS[],2,FALSE),0)</f>
        <v>6128579952.1618185</v>
      </c>
      <c r="V183" s="246">
        <f>IFERROR(VLOOKUP(H183,PROGRAMAS[],2,FALSE),0)</f>
        <v>764796700.79905891</v>
      </c>
      <c r="W183" s="246">
        <f>IFERROR(VLOOKUP(I183,PROGRAMAS[],2,FALSE),0)</f>
        <v>3776538594.4604583</v>
      </c>
      <c r="X183" s="246">
        <f>IFERROR(VLOOKUP(J183,PROGRAMAS[],2,FALSE),0)</f>
        <v>0</v>
      </c>
      <c r="Y183" s="246">
        <f>IFERROR(VLOOKUP(K183,PROGRAMAS[],2,FALSE),0)</f>
        <v>0</v>
      </c>
      <c r="Z183" s="246">
        <f>IFERROR(VLOOKUP(L183,PROGRAMAS[],2,FALSE),0)</f>
        <v>0</v>
      </c>
      <c r="AA183" s="246">
        <f>IFERROR(VLOOKUP(M183,PROGRAMAS[],2,FALSE),0)</f>
        <v>0</v>
      </c>
      <c r="AB183" s="246">
        <f>IFERROR(VLOOKUP(N183,PROGRAMAS[],2,FALSE),0)</f>
        <v>0</v>
      </c>
      <c r="AC183" s="246">
        <f>IFERROR(VLOOKUP(O183,PROGRAMAS[],2,FALSE),0)</f>
        <v>0</v>
      </c>
      <c r="AD183" s="246">
        <f>IFERROR(VLOOKUP(P183,PROGRAMAS[],2,FALSE),0)</f>
        <v>0</v>
      </c>
      <c r="AE183" s="246">
        <f>IFERROR(VLOOKUP(Q183,PROGRAMAS[],2,FALSE),0)</f>
        <v>0</v>
      </c>
      <c r="AF183" s="246">
        <f>IFERROR(VLOOKUP(D183,PROGRAMAS[],3,FALSE),0)</f>
        <v>841888629.31080008</v>
      </c>
      <c r="AG183" s="246">
        <f>IFERROR(VLOOKUP(E183,PROGRAMAS[],3,FALSE),0)</f>
        <v>3848980803.1642323</v>
      </c>
      <c r="AH183" s="246">
        <f>IFERROR(VLOOKUP(F183,PROGRAMAS[],3,FALSE),0)</f>
        <v>3394901471.387517</v>
      </c>
      <c r="AI183" s="246">
        <f>IFERROR(VLOOKUP(G183,PROGRAMAS[],3,FALSE),0)</f>
        <v>7011279577.519702</v>
      </c>
      <c r="AJ183" s="246">
        <f>IFERROR(VLOOKUP(H183,PROGRAMAS[],3,FALSE),0)</f>
        <v>675517840.109828</v>
      </c>
      <c r="AK183" s="246">
        <f>IFERROR(VLOOKUP(I183,PROGRAMAS[],3,FALSE),0)</f>
        <v>2392571243.5584412</v>
      </c>
      <c r="AL183" s="246">
        <f>IFERROR(VLOOKUP(J183,PROGRAMAS[],3,FALSE),0)</f>
        <v>0</v>
      </c>
      <c r="AM183" s="246">
        <f>IFERROR(VLOOKUP(K183,PROGRAMAS[],3,FALSE),0)</f>
        <v>0</v>
      </c>
      <c r="AN183" s="246">
        <f>IFERROR(VLOOKUP(L183,PROGRAMAS[],3,FALSE),0)</f>
        <v>0</v>
      </c>
      <c r="AO183" s="246">
        <f>IFERROR(VLOOKUP(M183,PROGRAMAS[],3,FALSE),0)</f>
        <v>0</v>
      </c>
      <c r="AP183" s="246">
        <f>IFERROR(VLOOKUP(N183,PROGRAMAS[],3,FALSE),0)</f>
        <v>0</v>
      </c>
      <c r="AQ183" s="246">
        <f>IFERROR(VLOOKUP(O183,PROGRAMAS[],3,FALSE),0)</f>
        <v>0</v>
      </c>
      <c r="AR183" s="246">
        <f>IFERROR(VLOOKUP(P183,PROGRAMAS[],3,FALSE),0)</f>
        <v>0</v>
      </c>
      <c r="AS183" s="246">
        <f>IFERROR(VLOOKUP(Q183,PROGRAMAS[],3,FALSE),0)</f>
        <v>0</v>
      </c>
      <c r="AT183" s="246">
        <f>IFERROR(VLOOKUP(D183,VOL_REC[],2,FALSE),0)</f>
        <v>0</v>
      </c>
      <c r="AU183" s="246">
        <f>IFERROR(VLOOKUP(E183,VOL_REC[],2,FALSE),0)</f>
        <v>0</v>
      </c>
      <c r="AV183" s="246">
        <f>IFERROR(VLOOKUP(F183,VOL_REC[],2,FALSE),0)</f>
        <v>11089674.200000001</v>
      </c>
      <c r="AW183" s="246">
        <f>IFERROR(VLOOKUP(G183,VOL_REC[],2,FALSE),0)</f>
        <v>3761786</v>
      </c>
      <c r="AX183" s="246">
        <f>IFERROR(VLOOKUP(H183,VOL_REC[],2,FALSE),0)</f>
        <v>240696.79238099116</v>
      </c>
      <c r="AY183" s="246">
        <f>IFERROR(VLOOKUP(I183,VOL_REC[],2,FALSE),0)</f>
        <v>663244.80000000016</v>
      </c>
      <c r="AZ183" s="246">
        <f>IFERROR(VLOOKUP(J183,VOL_REC[],2,FALSE),0)</f>
        <v>0</v>
      </c>
      <c r="BA183" s="246">
        <f>IFERROR(VLOOKUP(K183,VOL_REC[],2,FALSE),0)</f>
        <v>0</v>
      </c>
      <c r="BB183" s="246">
        <f>IFERROR(VLOOKUP(L183,VOL_REC[],2,FALSE),0)</f>
        <v>0</v>
      </c>
      <c r="BC183" s="246">
        <f>IFERROR(VLOOKUP(M183,VOL_REC[],2,FALSE),0)</f>
        <v>0</v>
      </c>
      <c r="BD183" s="246">
        <f>IFERROR(VLOOKUP(N183,VOL_REC[],2,FALSE),0)</f>
        <v>0</v>
      </c>
      <c r="BE183" s="246">
        <f>IFERROR(VLOOKUP(O183,VOL_REC[],2,FALSE),0)</f>
        <v>0</v>
      </c>
      <c r="BF183" s="246">
        <f>IFERROR(VLOOKUP(P183,VOL_REC[],2,FALSE),0)</f>
        <v>0</v>
      </c>
      <c r="BG183" s="246">
        <f>IFERROR(VLOOKUP(Q183,VOL_REC[],2,FALSE),0)</f>
        <v>0</v>
      </c>
      <c r="BH183" s="1710">
        <f t="shared" si="8"/>
        <v>14469782358.935377</v>
      </c>
      <c r="BI183" s="1710">
        <f t="shared" si="9"/>
        <v>18165139565.050522</v>
      </c>
      <c r="BJ183" s="1711">
        <f t="shared" si="10"/>
        <v>15755401.792380992</v>
      </c>
      <c r="BK183" s="1711">
        <f t="shared" si="11"/>
        <v>0.79656874130353716</v>
      </c>
    </row>
    <row r="184" spans="3:67" x14ac:dyDescent="0.25">
      <c r="C184" s="246" t="s">
        <v>1534</v>
      </c>
      <c r="D184" s="246">
        <v>1</v>
      </c>
      <c r="E184" s="246">
        <v>2</v>
      </c>
      <c r="F184" s="246">
        <v>3</v>
      </c>
      <c r="G184" s="246">
        <v>9</v>
      </c>
      <c r="H184" s="246">
        <v>12</v>
      </c>
      <c r="I184" s="246">
        <v>14</v>
      </c>
      <c r="J184" s="246"/>
      <c r="K184" s="246"/>
      <c r="L184" s="246"/>
      <c r="M184" s="246"/>
      <c r="N184" s="246"/>
      <c r="O184" s="246"/>
      <c r="P184" s="246"/>
      <c r="Q184" s="246"/>
      <c r="R184" s="246">
        <f>IFERROR(VLOOKUP(D184,PROGRAMAS[],2,FALSE),0)</f>
        <v>97037803.679377079</v>
      </c>
      <c r="S184" s="246">
        <f>IFERROR(VLOOKUP(E184,PROGRAMAS[],2,FALSE),0)</f>
        <v>640501509.6821388</v>
      </c>
      <c r="T184" s="246">
        <f>IFERROR(VLOOKUP(F184,PROGRAMAS[],2,FALSE),0)</f>
        <v>3062327798.1525245</v>
      </c>
      <c r="U184" s="246">
        <f>IFERROR(VLOOKUP(G184,PROGRAMAS[],2,FALSE),0)</f>
        <v>6128579952.1618185</v>
      </c>
      <c r="V184" s="246">
        <f>IFERROR(VLOOKUP(H184,PROGRAMAS[],2,FALSE),0)</f>
        <v>764796700.79905891</v>
      </c>
      <c r="W184" s="246">
        <f>IFERROR(VLOOKUP(I184,PROGRAMAS[],2,FALSE),0)</f>
        <v>54223862.645839565</v>
      </c>
      <c r="X184" s="246">
        <f>IFERROR(VLOOKUP(J184,PROGRAMAS[],2,FALSE),0)</f>
        <v>0</v>
      </c>
      <c r="Y184" s="246">
        <f>IFERROR(VLOOKUP(K184,PROGRAMAS[],2,FALSE),0)</f>
        <v>0</v>
      </c>
      <c r="Z184" s="246">
        <f>IFERROR(VLOOKUP(L184,PROGRAMAS[],2,FALSE),0)</f>
        <v>0</v>
      </c>
      <c r="AA184" s="246">
        <f>IFERROR(VLOOKUP(M184,PROGRAMAS[],2,FALSE),0)</f>
        <v>0</v>
      </c>
      <c r="AB184" s="246">
        <f>IFERROR(VLOOKUP(N184,PROGRAMAS[],2,FALSE),0)</f>
        <v>0</v>
      </c>
      <c r="AC184" s="246">
        <f>IFERROR(VLOOKUP(O184,PROGRAMAS[],2,FALSE),0)</f>
        <v>0</v>
      </c>
      <c r="AD184" s="246">
        <f>IFERROR(VLOOKUP(P184,PROGRAMAS[],2,FALSE),0)</f>
        <v>0</v>
      </c>
      <c r="AE184" s="246">
        <f>IFERROR(VLOOKUP(Q184,PROGRAMAS[],2,FALSE),0)</f>
        <v>0</v>
      </c>
      <c r="AF184" s="246">
        <f>IFERROR(VLOOKUP(D184,PROGRAMAS[],3,FALSE),0)</f>
        <v>841888629.31080008</v>
      </c>
      <c r="AG184" s="246">
        <f>IFERROR(VLOOKUP(E184,PROGRAMAS[],3,FALSE),0)</f>
        <v>3848980803.1642323</v>
      </c>
      <c r="AH184" s="246">
        <f>IFERROR(VLOOKUP(F184,PROGRAMAS[],3,FALSE),0)</f>
        <v>3394901471.387517</v>
      </c>
      <c r="AI184" s="246">
        <f>IFERROR(VLOOKUP(G184,PROGRAMAS[],3,FALSE),0)</f>
        <v>7011279577.519702</v>
      </c>
      <c r="AJ184" s="246">
        <f>IFERROR(VLOOKUP(H184,PROGRAMAS[],3,FALSE),0)</f>
        <v>675517840.109828</v>
      </c>
      <c r="AK184" s="246">
        <f>IFERROR(VLOOKUP(I184,PROGRAMAS[],3,FALSE),0)</f>
        <v>31865326.38096505</v>
      </c>
      <c r="AL184" s="246">
        <f>IFERROR(VLOOKUP(J184,PROGRAMAS[],3,FALSE),0)</f>
        <v>0</v>
      </c>
      <c r="AM184" s="246">
        <f>IFERROR(VLOOKUP(K184,PROGRAMAS[],3,FALSE),0)</f>
        <v>0</v>
      </c>
      <c r="AN184" s="246">
        <f>IFERROR(VLOOKUP(L184,PROGRAMAS[],3,FALSE),0)</f>
        <v>0</v>
      </c>
      <c r="AO184" s="246">
        <f>IFERROR(VLOOKUP(M184,PROGRAMAS[],3,FALSE),0)</f>
        <v>0</v>
      </c>
      <c r="AP184" s="246">
        <f>IFERROR(VLOOKUP(N184,PROGRAMAS[],3,FALSE),0)</f>
        <v>0</v>
      </c>
      <c r="AQ184" s="246">
        <f>IFERROR(VLOOKUP(O184,PROGRAMAS[],3,FALSE),0)</f>
        <v>0</v>
      </c>
      <c r="AR184" s="246">
        <f>IFERROR(VLOOKUP(P184,PROGRAMAS[],3,FALSE),0)</f>
        <v>0</v>
      </c>
      <c r="AS184" s="246">
        <f>IFERROR(VLOOKUP(Q184,PROGRAMAS[],3,FALSE),0)</f>
        <v>0</v>
      </c>
      <c r="AT184" s="246">
        <f>IFERROR(VLOOKUP(D184,VOL_REC[],2,FALSE),0)</f>
        <v>0</v>
      </c>
      <c r="AU184" s="246">
        <f>IFERROR(VLOOKUP(E184,VOL_REC[],2,FALSE),0)</f>
        <v>0</v>
      </c>
      <c r="AV184" s="246">
        <f>IFERROR(VLOOKUP(F184,VOL_REC[],2,FALSE),0)</f>
        <v>11089674.200000001</v>
      </c>
      <c r="AW184" s="246">
        <f>IFERROR(VLOOKUP(G184,VOL_REC[],2,FALSE),0)</f>
        <v>3761786</v>
      </c>
      <c r="AX184" s="246">
        <f>IFERROR(VLOOKUP(H184,VOL_REC[],2,FALSE),0)</f>
        <v>240696.79238099116</v>
      </c>
      <c r="AY184" s="246">
        <f>IFERROR(VLOOKUP(I184,VOL_REC[],2,FALSE),0)</f>
        <v>17074.045034105649</v>
      </c>
      <c r="AZ184" s="246">
        <f>IFERROR(VLOOKUP(J184,VOL_REC[],2,FALSE),0)</f>
        <v>0</v>
      </c>
      <c r="BA184" s="246">
        <f>IFERROR(VLOOKUP(K184,VOL_REC[],2,FALSE),0)</f>
        <v>0</v>
      </c>
      <c r="BB184" s="246">
        <f>IFERROR(VLOOKUP(L184,VOL_REC[],2,FALSE),0)</f>
        <v>0</v>
      </c>
      <c r="BC184" s="246">
        <f>IFERROR(VLOOKUP(M184,VOL_REC[],2,FALSE),0)</f>
        <v>0</v>
      </c>
      <c r="BD184" s="246">
        <f>IFERROR(VLOOKUP(N184,VOL_REC[],2,FALSE),0)</f>
        <v>0</v>
      </c>
      <c r="BE184" s="246">
        <f>IFERROR(VLOOKUP(O184,VOL_REC[],2,FALSE),0)</f>
        <v>0</v>
      </c>
      <c r="BF184" s="246">
        <f>IFERROR(VLOOKUP(P184,VOL_REC[],2,FALSE),0)</f>
        <v>0</v>
      </c>
      <c r="BG184" s="246">
        <f>IFERROR(VLOOKUP(Q184,VOL_REC[],2,FALSE),0)</f>
        <v>0</v>
      </c>
      <c r="BH184" s="1710">
        <f t="shared" si="8"/>
        <v>10747467627.120758</v>
      </c>
      <c r="BI184" s="1710">
        <f t="shared" si="9"/>
        <v>15804433647.873045</v>
      </c>
      <c r="BJ184" s="1711">
        <f t="shared" si="10"/>
        <v>15109231.037415097</v>
      </c>
      <c r="BK184" s="1711">
        <f t="shared" si="11"/>
        <v>0.6800286468074197</v>
      </c>
    </row>
    <row r="185" spans="3:67" x14ac:dyDescent="0.25">
      <c r="C185" s="246" t="s">
        <v>1535</v>
      </c>
      <c r="D185" s="246">
        <v>1</v>
      </c>
      <c r="E185" s="246">
        <v>2</v>
      </c>
      <c r="F185" s="246">
        <v>3</v>
      </c>
      <c r="G185" s="246">
        <v>9</v>
      </c>
      <c r="H185" s="246">
        <v>12</v>
      </c>
      <c r="I185" s="246">
        <v>15</v>
      </c>
      <c r="J185" s="246"/>
      <c r="K185" s="246"/>
      <c r="L185" s="246"/>
      <c r="M185" s="246"/>
      <c r="N185" s="246"/>
      <c r="O185" s="246"/>
      <c r="P185" s="246"/>
      <c r="Q185" s="246"/>
      <c r="R185" s="246">
        <f>IFERROR(VLOOKUP(D185,PROGRAMAS[],2,FALSE),0)</f>
        <v>97037803.679377079</v>
      </c>
      <c r="S185" s="246">
        <f>IFERROR(VLOOKUP(E185,PROGRAMAS[],2,FALSE),0)</f>
        <v>640501509.6821388</v>
      </c>
      <c r="T185" s="246">
        <f>IFERROR(VLOOKUP(F185,PROGRAMAS[],2,FALSE),0)</f>
        <v>3062327798.1525245</v>
      </c>
      <c r="U185" s="246">
        <f>IFERROR(VLOOKUP(G185,PROGRAMAS[],2,FALSE),0)</f>
        <v>6128579952.1618185</v>
      </c>
      <c r="V185" s="246">
        <f>IFERROR(VLOOKUP(H185,PROGRAMAS[],2,FALSE),0)</f>
        <v>764796700.79905891</v>
      </c>
      <c r="W185" s="246">
        <f>IFERROR(VLOOKUP(I185,PROGRAMAS[],2,FALSE),0)</f>
        <v>122159672.96346797</v>
      </c>
      <c r="X185" s="246">
        <f>IFERROR(VLOOKUP(J185,PROGRAMAS[],2,FALSE),0)</f>
        <v>0</v>
      </c>
      <c r="Y185" s="246">
        <f>IFERROR(VLOOKUP(K185,PROGRAMAS[],2,FALSE),0)</f>
        <v>0</v>
      </c>
      <c r="Z185" s="246">
        <f>IFERROR(VLOOKUP(L185,PROGRAMAS[],2,FALSE),0)</f>
        <v>0</v>
      </c>
      <c r="AA185" s="246">
        <f>IFERROR(VLOOKUP(M185,PROGRAMAS[],2,FALSE),0)</f>
        <v>0</v>
      </c>
      <c r="AB185" s="246">
        <f>IFERROR(VLOOKUP(N185,PROGRAMAS[],2,FALSE),0)</f>
        <v>0</v>
      </c>
      <c r="AC185" s="246">
        <f>IFERROR(VLOOKUP(O185,PROGRAMAS[],2,FALSE),0)</f>
        <v>0</v>
      </c>
      <c r="AD185" s="246">
        <f>IFERROR(VLOOKUP(P185,PROGRAMAS[],2,FALSE),0)</f>
        <v>0</v>
      </c>
      <c r="AE185" s="246">
        <f>IFERROR(VLOOKUP(Q185,PROGRAMAS[],2,FALSE),0)</f>
        <v>0</v>
      </c>
      <c r="AF185" s="246">
        <f>IFERROR(VLOOKUP(D185,PROGRAMAS[],3,FALSE),0)</f>
        <v>841888629.31080008</v>
      </c>
      <c r="AG185" s="246">
        <f>IFERROR(VLOOKUP(E185,PROGRAMAS[],3,FALSE),0)</f>
        <v>3848980803.1642323</v>
      </c>
      <c r="AH185" s="246">
        <f>IFERROR(VLOOKUP(F185,PROGRAMAS[],3,FALSE),0)</f>
        <v>3394901471.387517</v>
      </c>
      <c r="AI185" s="246">
        <f>IFERROR(VLOOKUP(G185,PROGRAMAS[],3,FALSE),0)</f>
        <v>7011279577.519702</v>
      </c>
      <c r="AJ185" s="246">
        <f>IFERROR(VLOOKUP(H185,PROGRAMAS[],3,FALSE),0)</f>
        <v>675517840.109828</v>
      </c>
      <c r="AK185" s="246">
        <f>IFERROR(VLOOKUP(I185,PROGRAMAS[],3,FALSE),0)</f>
        <v>118617452.52510804</v>
      </c>
      <c r="AL185" s="246">
        <f>IFERROR(VLOOKUP(J185,PROGRAMAS[],3,FALSE),0)</f>
        <v>0</v>
      </c>
      <c r="AM185" s="246">
        <f>IFERROR(VLOOKUP(K185,PROGRAMAS[],3,FALSE),0)</f>
        <v>0</v>
      </c>
      <c r="AN185" s="246">
        <f>IFERROR(VLOOKUP(L185,PROGRAMAS[],3,FALSE),0)</f>
        <v>0</v>
      </c>
      <c r="AO185" s="246">
        <f>IFERROR(VLOOKUP(M185,PROGRAMAS[],3,FALSE),0)</f>
        <v>0</v>
      </c>
      <c r="AP185" s="246">
        <f>IFERROR(VLOOKUP(N185,PROGRAMAS[],3,FALSE),0)</f>
        <v>0</v>
      </c>
      <c r="AQ185" s="246">
        <f>IFERROR(VLOOKUP(O185,PROGRAMAS[],3,FALSE),0)</f>
        <v>0</v>
      </c>
      <c r="AR185" s="246">
        <f>IFERROR(VLOOKUP(P185,PROGRAMAS[],3,FALSE),0)</f>
        <v>0</v>
      </c>
      <c r="AS185" s="246">
        <f>IFERROR(VLOOKUP(Q185,PROGRAMAS[],3,FALSE),0)</f>
        <v>0</v>
      </c>
      <c r="AT185" s="246">
        <f>IFERROR(VLOOKUP(D185,VOL_REC[],2,FALSE),0)</f>
        <v>0</v>
      </c>
      <c r="AU185" s="246">
        <f>IFERROR(VLOOKUP(E185,VOL_REC[],2,FALSE),0)</f>
        <v>0</v>
      </c>
      <c r="AV185" s="246">
        <f>IFERROR(VLOOKUP(F185,VOL_REC[],2,FALSE),0)</f>
        <v>11089674.200000001</v>
      </c>
      <c r="AW185" s="246">
        <f>IFERROR(VLOOKUP(G185,VOL_REC[],2,FALSE),0)</f>
        <v>3761786</v>
      </c>
      <c r="AX185" s="246">
        <f>IFERROR(VLOOKUP(H185,VOL_REC[],2,FALSE),0)</f>
        <v>240696.79238099116</v>
      </c>
      <c r="AY185" s="246">
        <f>IFERROR(VLOOKUP(I185,VOL_REC[],2,FALSE),0)</f>
        <v>105072</v>
      </c>
      <c r="AZ185" s="246">
        <f>IFERROR(VLOOKUP(J185,VOL_REC[],2,FALSE),0)</f>
        <v>0</v>
      </c>
      <c r="BA185" s="246">
        <f>IFERROR(VLOOKUP(K185,VOL_REC[],2,FALSE),0)</f>
        <v>0</v>
      </c>
      <c r="BB185" s="246">
        <f>IFERROR(VLOOKUP(L185,VOL_REC[],2,FALSE),0)</f>
        <v>0</v>
      </c>
      <c r="BC185" s="246">
        <f>IFERROR(VLOOKUP(M185,VOL_REC[],2,FALSE),0)</f>
        <v>0</v>
      </c>
      <c r="BD185" s="246">
        <f>IFERROR(VLOOKUP(N185,VOL_REC[],2,FALSE),0)</f>
        <v>0</v>
      </c>
      <c r="BE185" s="246">
        <f>IFERROR(VLOOKUP(O185,VOL_REC[],2,FALSE),0)</f>
        <v>0</v>
      </c>
      <c r="BF185" s="246">
        <f>IFERROR(VLOOKUP(P185,VOL_REC[],2,FALSE),0)</f>
        <v>0</v>
      </c>
      <c r="BG185" s="246">
        <f>IFERROR(VLOOKUP(Q185,VOL_REC[],2,FALSE),0)</f>
        <v>0</v>
      </c>
      <c r="BH185" s="1710">
        <f t="shared" si="8"/>
        <v>10815403437.438387</v>
      </c>
      <c r="BI185" s="1710">
        <f t="shared" si="9"/>
        <v>15891185774.017189</v>
      </c>
      <c r="BJ185" s="1711">
        <f t="shared" si="10"/>
        <v>15197228.992380992</v>
      </c>
      <c r="BK185" s="1711">
        <f t="shared" si="11"/>
        <v>0.68059134108935171</v>
      </c>
    </row>
    <row r="186" spans="3:67" x14ac:dyDescent="0.25">
      <c r="C186" s="246" t="s">
        <v>1536</v>
      </c>
      <c r="D186" s="246">
        <v>1</v>
      </c>
      <c r="E186" s="246">
        <v>2</v>
      </c>
      <c r="F186" s="246">
        <v>3</v>
      </c>
      <c r="G186" s="246">
        <v>9</v>
      </c>
      <c r="H186" s="246">
        <v>12</v>
      </c>
      <c r="I186" s="246">
        <v>16</v>
      </c>
      <c r="J186" s="246"/>
      <c r="K186" s="246"/>
      <c r="L186" s="246"/>
      <c r="M186" s="246"/>
      <c r="N186" s="246"/>
      <c r="O186" s="246"/>
      <c r="P186" s="246"/>
      <c r="Q186" s="246"/>
      <c r="R186" s="246">
        <f>IFERROR(VLOOKUP(D186,PROGRAMAS[],2,FALSE),0)</f>
        <v>97037803.679377079</v>
      </c>
      <c r="S186" s="246">
        <f>IFERROR(VLOOKUP(E186,PROGRAMAS[],2,FALSE),0)</f>
        <v>640501509.6821388</v>
      </c>
      <c r="T186" s="246">
        <f>IFERROR(VLOOKUP(F186,PROGRAMAS[],2,FALSE),0)</f>
        <v>3062327798.1525245</v>
      </c>
      <c r="U186" s="246">
        <f>IFERROR(VLOOKUP(G186,PROGRAMAS[],2,FALSE),0)</f>
        <v>6128579952.1618185</v>
      </c>
      <c r="V186" s="246">
        <f>IFERROR(VLOOKUP(H186,PROGRAMAS[],2,FALSE),0)</f>
        <v>764796700.79905891</v>
      </c>
      <c r="W186" s="246">
        <f>IFERROR(VLOOKUP(I186,PROGRAMAS[],2,FALSE),0)</f>
        <v>7068496961.0436354</v>
      </c>
      <c r="X186" s="246">
        <f>IFERROR(VLOOKUP(J186,PROGRAMAS[],2,FALSE),0)</f>
        <v>0</v>
      </c>
      <c r="Y186" s="246">
        <f>IFERROR(VLOOKUP(K186,PROGRAMAS[],2,FALSE),0)</f>
        <v>0</v>
      </c>
      <c r="Z186" s="246">
        <f>IFERROR(VLOOKUP(L186,PROGRAMAS[],2,FALSE),0)</f>
        <v>0</v>
      </c>
      <c r="AA186" s="246">
        <f>IFERROR(VLOOKUP(M186,PROGRAMAS[],2,FALSE),0)</f>
        <v>0</v>
      </c>
      <c r="AB186" s="246">
        <f>IFERROR(VLOOKUP(N186,PROGRAMAS[],2,FALSE),0)</f>
        <v>0</v>
      </c>
      <c r="AC186" s="246">
        <f>IFERROR(VLOOKUP(O186,PROGRAMAS[],2,FALSE),0)</f>
        <v>0</v>
      </c>
      <c r="AD186" s="246">
        <f>IFERROR(VLOOKUP(P186,PROGRAMAS[],2,FALSE),0)</f>
        <v>0</v>
      </c>
      <c r="AE186" s="246">
        <f>IFERROR(VLOOKUP(Q186,PROGRAMAS[],2,FALSE),0)</f>
        <v>0</v>
      </c>
      <c r="AF186" s="246">
        <f>IFERROR(VLOOKUP(D186,PROGRAMAS[],3,FALSE),0)</f>
        <v>841888629.31080008</v>
      </c>
      <c r="AG186" s="246">
        <f>IFERROR(VLOOKUP(E186,PROGRAMAS[],3,FALSE),0)</f>
        <v>3848980803.1642323</v>
      </c>
      <c r="AH186" s="246">
        <f>IFERROR(VLOOKUP(F186,PROGRAMAS[],3,FALSE),0)</f>
        <v>3394901471.387517</v>
      </c>
      <c r="AI186" s="246">
        <f>IFERROR(VLOOKUP(G186,PROGRAMAS[],3,FALSE),0)</f>
        <v>7011279577.519702</v>
      </c>
      <c r="AJ186" s="246">
        <f>IFERROR(VLOOKUP(H186,PROGRAMAS[],3,FALSE),0)</f>
        <v>675517840.109828</v>
      </c>
      <c r="AK186" s="246">
        <f>IFERROR(VLOOKUP(I186,PROGRAMAS[],3,FALSE),0)</f>
        <v>2406564599.0319901</v>
      </c>
      <c r="AL186" s="246">
        <f>IFERROR(VLOOKUP(J186,PROGRAMAS[],3,FALSE),0)</f>
        <v>0</v>
      </c>
      <c r="AM186" s="246">
        <f>IFERROR(VLOOKUP(K186,PROGRAMAS[],3,FALSE),0)</f>
        <v>0</v>
      </c>
      <c r="AN186" s="246">
        <f>IFERROR(VLOOKUP(L186,PROGRAMAS[],3,FALSE),0)</f>
        <v>0</v>
      </c>
      <c r="AO186" s="246">
        <f>IFERROR(VLOOKUP(M186,PROGRAMAS[],3,FALSE),0)</f>
        <v>0</v>
      </c>
      <c r="AP186" s="246">
        <f>IFERROR(VLOOKUP(N186,PROGRAMAS[],3,FALSE),0)</f>
        <v>0</v>
      </c>
      <c r="AQ186" s="246">
        <f>IFERROR(VLOOKUP(O186,PROGRAMAS[],3,FALSE),0)</f>
        <v>0</v>
      </c>
      <c r="AR186" s="246">
        <f>IFERROR(VLOOKUP(P186,PROGRAMAS[],3,FALSE),0)</f>
        <v>0</v>
      </c>
      <c r="AS186" s="246">
        <f>IFERROR(VLOOKUP(Q186,PROGRAMAS[],3,FALSE),0)</f>
        <v>0</v>
      </c>
      <c r="AT186" s="246">
        <f>IFERROR(VLOOKUP(D186,VOL_REC[],2,FALSE),0)</f>
        <v>0</v>
      </c>
      <c r="AU186" s="246">
        <f>IFERROR(VLOOKUP(E186,VOL_REC[],2,FALSE),0)</f>
        <v>0</v>
      </c>
      <c r="AV186" s="246">
        <f>IFERROR(VLOOKUP(F186,VOL_REC[],2,FALSE),0)</f>
        <v>11089674.200000001</v>
      </c>
      <c r="AW186" s="246">
        <f>IFERROR(VLOOKUP(G186,VOL_REC[],2,FALSE),0)</f>
        <v>3761786</v>
      </c>
      <c r="AX186" s="246">
        <f>IFERROR(VLOOKUP(H186,VOL_REC[],2,FALSE),0)</f>
        <v>240696.79238099116</v>
      </c>
      <c r="AY186" s="246">
        <f>IFERROR(VLOOKUP(I186,VOL_REC[],2,FALSE),0)</f>
        <v>1072354.9981737854</v>
      </c>
      <c r="AZ186" s="246">
        <f>IFERROR(VLOOKUP(J186,VOL_REC[],2,FALSE),0)</f>
        <v>0</v>
      </c>
      <c r="BA186" s="246">
        <f>IFERROR(VLOOKUP(K186,VOL_REC[],2,FALSE),0)</f>
        <v>0</v>
      </c>
      <c r="BB186" s="246">
        <f>IFERROR(VLOOKUP(L186,VOL_REC[],2,FALSE),0)</f>
        <v>0</v>
      </c>
      <c r="BC186" s="246">
        <f>IFERROR(VLOOKUP(M186,VOL_REC[],2,FALSE),0)</f>
        <v>0</v>
      </c>
      <c r="BD186" s="246">
        <f>IFERROR(VLOOKUP(N186,VOL_REC[],2,FALSE),0)</f>
        <v>0</v>
      </c>
      <c r="BE186" s="246">
        <f>IFERROR(VLOOKUP(O186,VOL_REC[],2,FALSE),0)</f>
        <v>0</v>
      </c>
      <c r="BF186" s="246">
        <f>IFERROR(VLOOKUP(P186,VOL_REC[],2,FALSE),0)</f>
        <v>0</v>
      </c>
      <c r="BG186" s="246">
        <f>IFERROR(VLOOKUP(Q186,VOL_REC[],2,FALSE),0)</f>
        <v>0</v>
      </c>
      <c r="BH186" s="1710">
        <f t="shared" si="8"/>
        <v>17761740725.518555</v>
      </c>
      <c r="BI186" s="1710">
        <f t="shared" si="9"/>
        <v>18179132920.524071</v>
      </c>
      <c r="BJ186" s="1711">
        <f t="shared" si="10"/>
        <v>16164511.990554776</v>
      </c>
      <c r="BK186" s="1711">
        <f t="shared" si="11"/>
        <v>0.97704003833239572</v>
      </c>
    </row>
    <row r="187" spans="3:67" x14ac:dyDescent="0.25">
      <c r="C187" s="246" t="s">
        <v>1537</v>
      </c>
      <c r="D187" s="246">
        <v>1</v>
      </c>
      <c r="E187" s="246">
        <v>2</v>
      </c>
      <c r="F187" s="246">
        <v>3</v>
      </c>
      <c r="G187" s="246">
        <v>9</v>
      </c>
      <c r="H187" s="246">
        <v>12</v>
      </c>
      <c r="I187" s="246">
        <v>17</v>
      </c>
      <c r="J187" s="246"/>
      <c r="K187" s="246"/>
      <c r="L187" s="246"/>
      <c r="M187" s="246"/>
      <c r="N187" s="246"/>
      <c r="O187" s="246"/>
      <c r="P187" s="246"/>
      <c r="Q187" s="246"/>
      <c r="R187" s="246">
        <f>IFERROR(VLOOKUP(D187,PROGRAMAS[],2,FALSE),0)</f>
        <v>97037803.679377079</v>
      </c>
      <c r="S187" s="246">
        <f>IFERROR(VLOOKUP(E187,PROGRAMAS[],2,FALSE),0)</f>
        <v>640501509.6821388</v>
      </c>
      <c r="T187" s="246">
        <f>IFERROR(VLOOKUP(F187,PROGRAMAS[],2,FALSE),0)</f>
        <v>3062327798.1525245</v>
      </c>
      <c r="U187" s="246">
        <f>IFERROR(VLOOKUP(G187,PROGRAMAS[],2,FALSE),0)</f>
        <v>6128579952.1618185</v>
      </c>
      <c r="V187" s="246">
        <f>IFERROR(VLOOKUP(H187,PROGRAMAS[],2,FALSE),0)</f>
        <v>764796700.79905891</v>
      </c>
      <c r="W187" s="246">
        <f>IFERROR(VLOOKUP(I187,PROGRAMAS[],2,FALSE),0)</f>
        <v>1892779498.5211046</v>
      </c>
      <c r="X187" s="246">
        <f>IFERROR(VLOOKUP(J187,PROGRAMAS[],2,FALSE),0)</f>
        <v>0</v>
      </c>
      <c r="Y187" s="246">
        <f>IFERROR(VLOOKUP(K187,PROGRAMAS[],2,FALSE),0)</f>
        <v>0</v>
      </c>
      <c r="Z187" s="246">
        <f>IFERROR(VLOOKUP(L187,PROGRAMAS[],2,FALSE),0)</f>
        <v>0</v>
      </c>
      <c r="AA187" s="246">
        <f>IFERROR(VLOOKUP(M187,PROGRAMAS[],2,FALSE),0)</f>
        <v>0</v>
      </c>
      <c r="AB187" s="246">
        <f>IFERROR(VLOOKUP(N187,PROGRAMAS[],2,FALSE),0)</f>
        <v>0</v>
      </c>
      <c r="AC187" s="246">
        <f>IFERROR(VLOOKUP(O187,PROGRAMAS[],2,FALSE),0)</f>
        <v>0</v>
      </c>
      <c r="AD187" s="246">
        <f>IFERROR(VLOOKUP(P187,PROGRAMAS[],2,FALSE),0)</f>
        <v>0</v>
      </c>
      <c r="AE187" s="246">
        <f>IFERROR(VLOOKUP(Q187,PROGRAMAS[],2,FALSE),0)</f>
        <v>0</v>
      </c>
      <c r="AF187" s="246">
        <f>IFERROR(VLOOKUP(D187,PROGRAMAS[],3,FALSE),0)</f>
        <v>841888629.31080008</v>
      </c>
      <c r="AG187" s="246">
        <f>IFERROR(VLOOKUP(E187,PROGRAMAS[],3,FALSE),0)</f>
        <v>3848980803.1642323</v>
      </c>
      <c r="AH187" s="246">
        <f>IFERROR(VLOOKUP(F187,PROGRAMAS[],3,FALSE),0)</f>
        <v>3394901471.387517</v>
      </c>
      <c r="AI187" s="246">
        <f>IFERROR(VLOOKUP(G187,PROGRAMAS[],3,FALSE),0)</f>
        <v>7011279577.519702</v>
      </c>
      <c r="AJ187" s="246">
        <f>IFERROR(VLOOKUP(H187,PROGRAMAS[],3,FALSE),0)</f>
        <v>675517840.109828</v>
      </c>
      <c r="AK187" s="246">
        <f>IFERROR(VLOOKUP(I187,PROGRAMAS[],3,FALSE),0)</f>
        <v>948595847.09039903</v>
      </c>
      <c r="AL187" s="246">
        <f>IFERROR(VLOOKUP(J187,PROGRAMAS[],3,FALSE),0)</f>
        <v>0</v>
      </c>
      <c r="AM187" s="246">
        <f>IFERROR(VLOOKUP(K187,PROGRAMAS[],3,FALSE),0)</f>
        <v>0</v>
      </c>
      <c r="AN187" s="246">
        <f>IFERROR(VLOOKUP(L187,PROGRAMAS[],3,FALSE),0)</f>
        <v>0</v>
      </c>
      <c r="AO187" s="246">
        <f>IFERROR(VLOOKUP(M187,PROGRAMAS[],3,FALSE),0)</f>
        <v>0</v>
      </c>
      <c r="AP187" s="246">
        <f>IFERROR(VLOOKUP(N187,PROGRAMAS[],3,FALSE),0)</f>
        <v>0</v>
      </c>
      <c r="AQ187" s="246">
        <f>IFERROR(VLOOKUP(O187,PROGRAMAS[],3,FALSE),0)</f>
        <v>0</v>
      </c>
      <c r="AR187" s="246">
        <f>IFERROR(VLOOKUP(P187,PROGRAMAS[],3,FALSE),0)</f>
        <v>0</v>
      </c>
      <c r="AS187" s="246">
        <f>IFERROR(VLOOKUP(Q187,PROGRAMAS[],3,FALSE),0)</f>
        <v>0</v>
      </c>
      <c r="AT187" s="246">
        <f>IFERROR(VLOOKUP(D187,VOL_REC[],2,FALSE),0)</f>
        <v>0</v>
      </c>
      <c r="AU187" s="246">
        <f>IFERROR(VLOOKUP(E187,VOL_REC[],2,FALSE),0)</f>
        <v>0</v>
      </c>
      <c r="AV187" s="246">
        <f>IFERROR(VLOOKUP(F187,VOL_REC[],2,FALSE),0)</f>
        <v>11089674.200000001</v>
      </c>
      <c r="AW187" s="246">
        <f>IFERROR(VLOOKUP(G187,VOL_REC[],2,FALSE),0)</f>
        <v>3761786</v>
      </c>
      <c r="AX187" s="246">
        <f>IFERROR(VLOOKUP(H187,VOL_REC[],2,FALSE),0)</f>
        <v>240696.79238099116</v>
      </c>
      <c r="AY187" s="246">
        <f>IFERROR(VLOOKUP(I187,VOL_REC[],2,FALSE),0)</f>
        <v>740113.98115702497</v>
      </c>
      <c r="AZ187" s="246">
        <f>IFERROR(VLOOKUP(J187,VOL_REC[],2,FALSE),0)</f>
        <v>0</v>
      </c>
      <c r="BA187" s="246">
        <f>IFERROR(VLOOKUP(K187,VOL_REC[],2,FALSE),0)</f>
        <v>0</v>
      </c>
      <c r="BB187" s="246">
        <f>IFERROR(VLOOKUP(L187,VOL_REC[],2,FALSE),0)</f>
        <v>0</v>
      </c>
      <c r="BC187" s="246">
        <f>IFERROR(VLOOKUP(M187,VOL_REC[],2,FALSE),0)</f>
        <v>0</v>
      </c>
      <c r="BD187" s="246">
        <f>IFERROR(VLOOKUP(N187,VOL_REC[],2,FALSE),0)</f>
        <v>0</v>
      </c>
      <c r="BE187" s="246">
        <f>IFERROR(VLOOKUP(O187,VOL_REC[],2,FALSE),0)</f>
        <v>0</v>
      </c>
      <c r="BF187" s="246">
        <f>IFERROR(VLOOKUP(P187,VOL_REC[],2,FALSE),0)</f>
        <v>0</v>
      </c>
      <c r="BG187" s="246">
        <f>IFERROR(VLOOKUP(Q187,VOL_REC[],2,FALSE),0)</f>
        <v>0</v>
      </c>
      <c r="BH187" s="1710">
        <f t="shared" si="8"/>
        <v>12586023262.996023</v>
      </c>
      <c r="BI187" s="1710">
        <f t="shared" si="9"/>
        <v>16721164168.582479</v>
      </c>
      <c r="BJ187" s="1711">
        <f t="shared" si="10"/>
        <v>15832270.973538017</v>
      </c>
      <c r="BK187" s="1711">
        <f t="shared" si="11"/>
        <v>0.7527001790128941</v>
      </c>
    </row>
    <row r="188" spans="3:67" x14ac:dyDescent="0.25">
      <c r="C188" s="246" t="s">
        <v>1538</v>
      </c>
      <c r="D188" s="246">
        <v>1</v>
      </c>
      <c r="E188" s="246">
        <v>2</v>
      </c>
      <c r="F188" s="246">
        <v>3</v>
      </c>
      <c r="G188" s="246">
        <v>9</v>
      </c>
      <c r="H188" s="246">
        <v>13</v>
      </c>
      <c r="I188" s="246">
        <v>14</v>
      </c>
      <c r="J188" s="246"/>
      <c r="K188" s="246"/>
      <c r="L188" s="246"/>
      <c r="M188" s="246"/>
      <c r="N188" s="246"/>
      <c r="O188" s="246"/>
      <c r="P188" s="246"/>
      <c r="Q188" s="246"/>
      <c r="R188" s="246">
        <f>IFERROR(VLOOKUP(D188,PROGRAMAS[],2,FALSE),0)</f>
        <v>97037803.679377079</v>
      </c>
      <c r="S188" s="246">
        <f>IFERROR(VLOOKUP(E188,PROGRAMAS[],2,FALSE),0)</f>
        <v>640501509.6821388</v>
      </c>
      <c r="T188" s="246">
        <f>IFERROR(VLOOKUP(F188,PROGRAMAS[],2,FALSE),0)</f>
        <v>3062327798.1525245</v>
      </c>
      <c r="U188" s="246">
        <f>IFERROR(VLOOKUP(G188,PROGRAMAS[],2,FALSE),0)</f>
        <v>6128579952.1618185</v>
      </c>
      <c r="V188" s="246">
        <f>IFERROR(VLOOKUP(H188,PROGRAMAS[],2,FALSE),0)</f>
        <v>3776538594.4604583</v>
      </c>
      <c r="W188" s="246">
        <f>IFERROR(VLOOKUP(I188,PROGRAMAS[],2,FALSE),0)</f>
        <v>54223862.645839565</v>
      </c>
      <c r="X188" s="246">
        <f>IFERROR(VLOOKUP(J188,PROGRAMAS[],2,FALSE),0)</f>
        <v>0</v>
      </c>
      <c r="Y188" s="246">
        <f>IFERROR(VLOOKUP(K188,PROGRAMAS[],2,FALSE),0)</f>
        <v>0</v>
      </c>
      <c r="Z188" s="246">
        <f>IFERROR(VLOOKUP(L188,PROGRAMAS[],2,FALSE),0)</f>
        <v>0</v>
      </c>
      <c r="AA188" s="246">
        <f>IFERROR(VLOOKUP(M188,PROGRAMAS[],2,FALSE),0)</f>
        <v>0</v>
      </c>
      <c r="AB188" s="246">
        <f>IFERROR(VLOOKUP(N188,PROGRAMAS[],2,FALSE),0)</f>
        <v>0</v>
      </c>
      <c r="AC188" s="246">
        <f>IFERROR(VLOOKUP(O188,PROGRAMAS[],2,FALSE),0)</f>
        <v>0</v>
      </c>
      <c r="AD188" s="246">
        <f>IFERROR(VLOOKUP(P188,PROGRAMAS[],2,FALSE),0)</f>
        <v>0</v>
      </c>
      <c r="AE188" s="246">
        <f>IFERROR(VLOOKUP(Q188,PROGRAMAS[],2,FALSE),0)</f>
        <v>0</v>
      </c>
      <c r="AF188" s="246">
        <f>IFERROR(VLOOKUP(D188,PROGRAMAS[],3,FALSE),0)</f>
        <v>841888629.31080008</v>
      </c>
      <c r="AG188" s="246">
        <f>IFERROR(VLOOKUP(E188,PROGRAMAS[],3,FALSE),0)</f>
        <v>3848980803.1642323</v>
      </c>
      <c r="AH188" s="246">
        <f>IFERROR(VLOOKUP(F188,PROGRAMAS[],3,FALSE),0)</f>
        <v>3394901471.387517</v>
      </c>
      <c r="AI188" s="246">
        <f>IFERROR(VLOOKUP(G188,PROGRAMAS[],3,FALSE),0)</f>
        <v>7011279577.519702</v>
      </c>
      <c r="AJ188" s="246">
        <f>IFERROR(VLOOKUP(H188,PROGRAMAS[],3,FALSE),0)</f>
        <v>2392571243.5584412</v>
      </c>
      <c r="AK188" s="246">
        <f>IFERROR(VLOOKUP(I188,PROGRAMAS[],3,FALSE),0)</f>
        <v>31865326.38096505</v>
      </c>
      <c r="AL188" s="246">
        <f>IFERROR(VLOOKUP(J188,PROGRAMAS[],3,FALSE),0)</f>
        <v>0</v>
      </c>
      <c r="AM188" s="246">
        <f>IFERROR(VLOOKUP(K188,PROGRAMAS[],3,FALSE),0)</f>
        <v>0</v>
      </c>
      <c r="AN188" s="246">
        <f>IFERROR(VLOOKUP(L188,PROGRAMAS[],3,FALSE),0)</f>
        <v>0</v>
      </c>
      <c r="AO188" s="246">
        <f>IFERROR(VLOOKUP(M188,PROGRAMAS[],3,FALSE),0)</f>
        <v>0</v>
      </c>
      <c r="AP188" s="246">
        <f>IFERROR(VLOOKUP(N188,PROGRAMAS[],3,FALSE),0)</f>
        <v>0</v>
      </c>
      <c r="AQ188" s="246">
        <f>IFERROR(VLOOKUP(O188,PROGRAMAS[],3,FALSE),0)</f>
        <v>0</v>
      </c>
      <c r="AR188" s="246">
        <f>IFERROR(VLOOKUP(P188,PROGRAMAS[],3,FALSE),0)</f>
        <v>0</v>
      </c>
      <c r="AS188" s="246">
        <f>IFERROR(VLOOKUP(Q188,PROGRAMAS[],3,FALSE),0)</f>
        <v>0</v>
      </c>
      <c r="AT188" s="246">
        <f>IFERROR(VLOOKUP(D188,VOL_REC[],2,FALSE),0)</f>
        <v>0</v>
      </c>
      <c r="AU188" s="246">
        <f>IFERROR(VLOOKUP(E188,VOL_REC[],2,FALSE),0)</f>
        <v>0</v>
      </c>
      <c r="AV188" s="246">
        <f>IFERROR(VLOOKUP(F188,VOL_REC[],2,FALSE),0)</f>
        <v>11089674.200000001</v>
      </c>
      <c r="AW188" s="246">
        <f>IFERROR(VLOOKUP(G188,VOL_REC[],2,FALSE),0)</f>
        <v>3761786</v>
      </c>
      <c r="AX188" s="246">
        <f>IFERROR(VLOOKUP(H188,VOL_REC[],2,FALSE),0)</f>
        <v>663244.80000000016</v>
      </c>
      <c r="AY188" s="246">
        <f>IFERROR(VLOOKUP(I188,VOL_REC[],2,FALSE),0)</f>
        <v>17074.045034105649</v>
      </c>
      <c r="AZ188" s="246">
        <f>IFERROR(VLOOKUP(J188,VOL_REC[],2,FALSE),0)</f>
        <v>0</v>
      </c>
      <c r="BA188" s="246">
        <f>IFERROR(VLOOKUP(K188,VOL_REC[],2,FALSE),0)</f>
        <v>0</v>
      </c>
      <c r="BB188" s="246">
        <f>IFERROR(VLOOKUP(L188,VOL_REC[],2,FALSE),0)</f>
        <v>0</v>
      </c>
      <c r="BC188" s="246">
        <f>IFERROR(VLOOKUP(M188,VOL_REC[],2,FALSE),0)</f>
        <v>0</v>
      </c>
      <c r="BD188" s="246">
        <f>IFERROR(VLOOKUP(N188,VOL_REC[],2,FALSE),0)</f>
        <v>0</v>
      </c>
      <c r="BE188" s="246">
        <f>IFERROR(VLOOKUP(O188,VOL_REC[],2,FALSE),0)</f>
        <v>0</v>
      </c>
      <c r="BF188" s="246">
        <f>IFERROR(VLOOKUP(P188,VOL_REC[],2,FALSE),0)</f>
        <v>0</v>
      </c>
      <c r="BG188" s="246">
        <f>IFERROR(VLOOKUP(Q188,VOL_REC[],2,FALSE),0)</f>
        <v>0</v>
      </c>
      <c r="BH188" s="1710">
        <f t="shared" si="8"/>
        <v>13759209520.782158</v>
      </c>
      <c r="BI188" s="1710">
        <f t="shared" si="9"/>
        <v>17521487051.321659</v>
      </c>
      <c r="BJ188" s="1711">
        <f t="shared" si="10"/>
        <v>15531779.045034107</v>
      </c>
      <c r="BK188" s="1711">
        <f t="shared" si="11"/>
        <v>0.78527635699415654</v>
      </c>
    </row>
    <row r="189" spans="3:67" x14ac:dyDescent="0.25">
      <c r="C189" s="246" t="s">
        <v>1539</v>
      </c>
      <c r="D189" s="246">
        <v>1</v>
      </c>
      <c r="E189" s="246">
        <v>2</v>
      </c>
      <c r="F189" s="246">
        <v>3</v>
      </c>
      <c r="G189" s="246">
        <v>9</v>
      </c>
      <c r="H189" s="246">
        <v>13</v>
      </c>
      <c r="I189" s="246">
        <v>15</v>
      </c>
      <c r="J189" s="246"/>
      <c r="K189" s="246"/>
      <c r="L189" s="246"/>
      <c r="M189" s="246"/>
      <c r="N189" s="246"/>
      <c r="O189" s="246"/>
      <c r="P189" s="246"/>
      <c r="Q189" s="246"/>
      <c r="R189" s="246">
        <f>IFERROR(VLOOKUP(D189,PROGRAMAS[],2,FALSE),0)</f>
        <v>97037803.679377079</v>
      </c>
      <c r="S189" s="246">
        <f>IFERROR(VLOOKUP(E189,PROGRAMAS[],2,FALSE),0)</f>
        <v>640501509.6821388</v>
      </c>
      <c r="T189" s="246">
        <f>IFERROR(VLOOKUP(F189,PROGRAMAS[],2,FALSE),0)</f>
        <v>3062327798.1525245</v>
      </c>
      <c r="U189" s="246">
        <f>IFERROR(VLOOKUP(G189,PROGRAMAS[],2,FALSE),0)</f>
        <v>6128579952.1618185</v>
      </c>
      <c r="V189" s="246">
        <f>IFERROR(VLOOKUP(H189,PROGRAMAS[],2,FALSE),0)</f>
        <v>3776538594.4604583</v>
      </c>
      <c r="W189" s="246">
        <f>IFERROR(VLOOKUP(I189,PROGRAMAS[],2,FALSE),0)</f>
        <v>122159672.96346797</v>
      </c>
      <c r="X189" s="246">
        <f>IFERROR(VLOOKUP(J189,PROGRAMAS[],2,FALSE),0)</f>
        <v>0</v>
      </c>
      <c r="Y189" s="246">
        <f>IFERROR(VLOOKUP(K189,PROGRAMAS[],2,FALSE),0)</f>
        <v>0</v>
      </c>
      <c r="Z189" s="246">
        <f>IFERROR(VLOOKUP(L189,PROGRAMAS[],2,FALSE),0)</f>
        <v>0</v>
      </c>
      <c r="AA189" s="246">
        <f>IFERROR(VLOOKUP(M189,PROGRAMAS[],2,FALSE),0)</f>
        <v>0</v>
      </c>
      <c r="AB189" s="246">
        <f>IFERROR(VLOOKUP(N189,PROGRAMAS[],2,FALSE),0)</f>
        <v>0</v>
      </c>
      <c r="AC189" s="246">
        <f>IFERROR(VLOOKUP(O189,PROGRAMAS[],2,FALSE),0)</f>
        <v>0</v>
      </c>
      <c r="AD189" s="246">
        <f>IFERROR(VLOOKUP(P189,PROGRAMAS[],2,FALSE),0)</f>
        <v>0</v>
      </c>
      <c r="AE189" s="246">
        <f>IFERROR(VLOOKUP(Q189,PROGRAMAS[],2,FALSE),0)</f>
        <v>0</v>
      </c>
      <c r="AF189" s="246">
        <f>IFERROR(VLOOKUP(D189,PROGRAMAS[],3,FALSE),0)</f>
        <v>841888629.31080008</v>
      </c>
      <c r="AG189" s="246">
        <f>IFERROR(VLOOKUP(E189,PROGRAMAS[],3,FALSE),0)</f>
        <v>3848980803.1642323</v>
      </c>
      <c r="AH189" s="246">
        <f>IFERROR(VLOOKUP(F189,PROGRAMAS[],3,FALSE),0)</f>
        <v>3394901471.387517</v>
      </c>
      <c r="AI189" s="246">
        <f>IFERROR(VLOOKUP(G189,PROGRAMAS[],3,FALSE),0)</f>
        <v>7011279577.519702</v>
      </c>
      <c r="AJ189" s="246">
        <f>IFERROR(VLOOKUP(H189,PROGRAMAS[],3,FALSE),0)</f>
        <v>2392571243.5584412</v>
      </c>
      <c r="AK189" s="246">
        <f>IFERROR(VLOOKUP(I189,PROGRAMAS[],3,FALSE),0)</f>
        <v>118617452.52510804</v>
      </c>
      <c r="AL189" s="246">
        <f>IFERROR(VLOOKUP(J189,PROGRAMAS[],3,FALSE),0)</f>
        <v>0</v>
      </c>
      <c r="AM189" s="246">
        <f>IFERROR(VLOOKUP(K189,PROGRAMAS[],3,FALSE),0)</f>
        <v>0</v>
      </c>
      <c r="AN189" s="246">
        <f>IFERROR(VLOOKUP(L189,PROGRAMAS[],3,FALSE),0)</f>
        <v>0</v>
      </c>
      <c r="AO189" s="246">
        <f>IFERROR(VLOOKUP(M189,PROGRAMAS[],3,FALSE),0)</f>
        <v>0</v>
      </c>
      <c r="AP189" s="246">
        <f>IFERROR(VLOOKUP(N189,PROGRAMAS[],3,FALSE),0)</f>
        <v>0</v>
      </c>
      <c r="AQ189" s="246">
        <f>IFERROR(VLOOKUP(O189,PROGRAMAS[],3,FALSE),0)</f>
        <v>0</v>
      </c>
      <c r="AR189" s="246">
        <f>IFERROR(VLOOKUP(P189,PROGRAMAS[],3,FALSE),0)</f>
        <v>0</v>
      </c>
      <c r="AS189" s="246">
        <f>IFERROR(VLOOKUP(Q189,PROGRAMAS[],3,FALSE),0)</f>
        <v>0</v>
      </c>
      <c r="AT189" s="246">
        <f>IFERROR(VLOOKUP(D189,VOL_REC[],2,FALSE),0)</f>
        <v>0</v>
      </c>
      <c r="AU189" s="246">
        <f>IFERROR(VLOOKUP(E189,VOL_REC[],2,FALSE),0)</f>
        <v>0</v>
      </c>
      <c r="AV189" s="246">
        <f>IFERROR(VLOOKUP(F189,VOL_REC[],2,FALSE),0)</f>
        <v>11089674.200000001</v>
      </c>
      <c r="AW189" s="246">
        <f>IFERROR(VLOOKUP(G189,VOL_REC[],2,FALSE),0)</f>
        <v>3761786</v>
      </c>
      <c r="AX189" s="246">
        <f>IFERROR(VLOOKUP(H189,VOL_REC[],2,FALSE),0)</f>
        <v>663244.80000000016</v>
      </c>
      <c r="AY189" s="246">
        <f>IFERROR(VLOOKUP(I189,VOL_REC[],2,FALSE),0)</f>
        <v>105072</v>
      </c>
      <c r="AZ189" s="246">
        <f>IFERROR(VLOOKUP(J189,VOL_REC[],2,FALSE),0)</f>
        <v>0</v>
      </c>
      <c r="BA189" s="246">
        <f>IFERROR(VLOOKUP(K189,VOL_REC[],2,FALSE),0)</f>
        <v>0</v>
      </c>
      <c r="BB189" s="246">
        <f>IFERROR(VLOOKUP(L189,VOL_REC[],2,FALSE),0)</f>
        <v>0</v>
      </c>
      <c r="BC189" s="246">
        <f>IFERROR(VLOOKUP(M189,VOL_REC[],2,FALSE),0)</f>
        <v>0</v>
      </c>
      <c r="BD189" s="246">
        <f>IFERROR(VLOOKUP(N189,VOL_REC[],2,FALSE),0)</f>
        <v>0</v>
      </c>
      <c r="BE189" s="246">
        <f>IFERROR(VLOOKUP(O189,VOL_REC[],2,FALSE),0)</f>
        <v>0</v>
      </c>
      <c r="BF189" s="246">
        <f>IFERROR(VLOOKUP(P189,VOL_REC[],2,FALSE),0)</f>
        <v>0</v>
      </c>
      <c r="BG189" s="246">
        <f>IFERROR(VLOOKUP(Q189,VOL_REC[],2,FALSE),0)</f>
        <v>0</v>
      </c>
      <c r="BH189" s="1710">
        <f t="shared" si="8"/>
        <v>13827145331.099787</v>
      </c>
      <c r="BI189" s="1710">
        <f t="shared" si="9"/>
        <v>17608239177.465801</v>
      </c>
      <c r="BJ189" s="1711">
        <f t="shared" si="10"/>
        <v>15619777.000000002</v>
      </c>
      <c r="BK189" s="1711">
        <f t="shared" si="11"/>
        <v>0.78526564704976964</v>
      </c>
    </row>
    <row r="190" spans="3:67" x14ac:dyDescent="0.25">
      <c r="C190" s="246" t="s">
        <v>1540</v>
      </c>
      <c r="D190" s="246">
        <v>1</v>
      </c>
      <c r="E190" s="246">
        <v>2</v>
      </c>
      <c r="F190" s="246">
        <v>3</v>
      </c>
      <c r="G190" s="246">
        <v>9</v>
      </c>
      <c r="H190" s="246">
        <v>13</v>
      </c>
      <c r="I190" s="246">
        <v>16</v>
      </c>
      <c r="J190" s="246"/>
      <c r="K190" s="246"/>
      <c r="L190" s="246"/>
      <c r="M190" s="246"/>
      <c r="N190" s="246"/>
      <c r="O190" s="246"/>
      <c r="P190" s="246"/>
      <c r="Q190" s="246"/>
      <c r="R190" s="246">
        <f>IFERROR(VLOOKUP(D190,PROGRAMAS[],2,FALSE),0)</f>
        <v>97037803.679377079</v>
      </c>
      <c r="S190" s="246">
        <f>IFERROR(VLOOKUP(E190,PROGRAMAS[],2,FALSE),0)</f>
        <v>640501509.6821388</v>
      </c>
      <c r="T190" s="246">
        <f>IFERROR(VLOOKUP(F190,PROGRAMAS[],2,FALSE),0)</f>
        <v>3062327798.1525245</v>
      </c>
      <c r="U190" s="246">
        <f>IFERROR(VLOOKUP(G190,PROGRAMAS[],2,FALSE),0)</f>
        <v>6128579952.1618185</v>
      </c>
      <c r="V190" s="246">
        <f>IFERROR(VLOOKUP(H190,PROGRAMAS[],2,FALSE),0)</f>
        <v>3776538594.4604583</v>
      </c>
      <c r="W190" s="246">
        <f>IFERROR(VLOOKUP(I190,PROGRAMAS[],2,FALSE),0)</f>
        <v>7068496961.0436354</v>
      </c>
      <c r="X190" s="246">
        <f>IFERROR(VLOOKUP(J190,PROGRAMAS[],2,FALSE),0)</f>
        <v>0</v>
      </c>
      <c r="Y190" s="246">
        <f>IFERROR(VLOOKUP(K190,PROGRAMAS[],2,FALSE),0)</f>
        <v>0</v>
      </c>
      <c r="Z190" s="246">
        <f>IFERROR(VLOOKUP(L190,PROGRAMAS[],2,FALSE),0)</f>
        <v>0</v>
      </c>
      <c r="AA190" s="246">
        <f>IFERROR(VLOOKUP(M190,PROGRAMAS[],2,FALSE),0)</f>
        <v>0</v>
      </c>
      <c r="AB190" s="246">
        <f>IFERROR(VLOOKUP(N190,PROGRAMAS[],2,FALSE),0)</f>
        <v>0</v>
      </c>
      <c r="AC190" s="246">
        <f>IFERROR(VLOOKUP(O190,PROGRAMAS[],2,FALSE),0)</f>
        <v>0</v>
      </c>
      <c r="AD190" s="246">
        <f>IFERROR(VLOOKUP(P190,PROGRAMAS[],2,FALSE),0)</f>
        <v>0</v>
      </c>
      <c r="AE190" s="246">
        <f>IFERROR(VLOOKUP(Q190,PROGRAMAS[],2,FALSE),0)</f>
        <v>0</v>
      </c>
      <c r="AF190" s="246">
        <f>IFERROR(VLOOKUP(D190,PROGRAMAS[],3,FALSE),0)</f>
        <v>841888629.31080008</v>
      </c>
      <c r="AG190" s="246">
        <f>IFERROR(VLOOKUP(E190,PROGRAMAS[],3,FALSE),0)</f>
        <v>3848980803.1642323</v>
      </c>
      <c r="AH190" s="246">
        <f>IFERROR(VLOOKUP(F190,PROGRAMAS[],3,FALSE),0)</f>
        <v>3394901471.387517</v>
      </c>
      <c r="AI190" s="246">
        <f>IFERROR(VLOOKUP(G190,PROGRAMAS[],3,FALSE),0)</f>
        <v>7011279577.519702</v>
      </c>
      <c r="AJ190" s="246">
        <f>IFERROR(VLOOKUP(H190,PROGRAMAS[],3,FALSE),0)</f>
        <v>2392571243.5584412</v>
      </c>
      <c r="AK190" s="246">
        <f>IFERROR(VLOOKUP(I190,PROGRAMAS[],3,FALSE),0)</f>
        <v>2406564599.0319901</v>
      </c>
      <c r="AL190" s="246">
        <f>IFERROR(VLOOKUP(J190,PROGRAMAS[],3,FALSE),0)</f>
        <v>0</v>
      </c>
      <c r="AM190" s="246">
        <f>IFERROR(VLOOKUP(K190,PROGRAMAS[],3,FALSE),0)</f>
        <v>0</v>
      </c>
      <c r="AN190" s="246">
        <f>IFERROR(VLOOKUP(L190,PROGRAMAS[],3,FALSE),0)</f>
        <v>0</v>
      </c>
      <c r="AO190" s="246">
        <f>IFERROR(VLOOKUP(M190,PROGRAMAS[],3,FALSE),0)</f>
        <v>0</v>
      </c>
      <c r="AP190" s="246">
        <f>IFERROR(VLOOKUP(N190,PROGRAMAS[],3,FALSE),0)</f>
        <v>0</v>
      </c>
      <c r="AQ190" s="246">
        <f>IFERROR(VLOOKUP(O190,PROGRAMAS[],3,FALSE),0)</f>
        <v>0</v>
      </c>
      <c r="AR190" s="246">
        <f>IFERROR(VLOOKUP(P190,PROGRAMAS[],3,FALSE),0)</f>
        <v>0</v>
      </c>
      <c r="AS190" s="246">
        <f>IFERROR(VLOOKUP(Q190,PROGRAMAS[],3,FALSE),0)</f>
        <v>0</v>
      </c>
      <c r="AT190" s="246">
        <f>IFERROR(VLOOKUP(D190,VOL_REC[],2,FALSE),0)</f>
        <v>0</v>
      </c>
      <c r="AU190" s="246">
        <f>IFERROR(VLOOKUP(E190,VOL_REC[],2,FALSE),0)</f>
        <v>0</v>
      </c>
      <c r="AV190" s="246">
        <f>IFERROR(VLOOKUP(F190,VOL_REC[],2,FALSE),0)</f>
        <v>11089674.200000001</v>
      </c>
      <c r="AW190" s="246">
        <f>IFERROR(VLOOKUP(G190,VOL_REC[],2,FALSE),0)</f>
        <v>3761786</v>
      </c>
      <c r="AX190" s="246">
        <f>IFERROR(VLOOKUP(H190,VOL_REC[],2,FALSE),0)</f>
        <v>663244.80000000016</v>
      </c>
      <c r="AY190" s="246">
        <f>IFERROR(VLOOKUP(I190,VOL_REC[],2,FALSE),0)</f>
        <v>1072354.9981737854</v>
      </c>
      <c r="AZ190" s="246">
        <f>IFERROR(VLOOKUP(J190,VOL_REC[],2,FALSE),0)</f>
        <v>0</v>
      </c>
      <c r="BA190" s="246">
        <f>IFERROR(VLOOKUP(K190,VOL_REC[],2,FALSE),0)</f>
        <v>0</v>
      </c>
      <c r="BB190" s="246">
        <f>IFERROR(VLOOKUP(L190,VOL_REC[],2,FALSE),0)</f>
        <v>0</v>
      </c>
      <c r="BC190" s="246">
        <f>IFERROR(VLOOKUP(M190,VOL_REC[],2,FALSE),0)</f>
        <v>0</v>
      </c>
      <c r="BD190" s="246">
        <f>IFERROR(VLOOKUP(N190,VOL_REC[],2,FALSE),0)</f>
        <v>0</v>
      </c>
      <c r="BE190" s="246">
        <f>IFERROR(VLOOKUP(O190,VOL_REC[],2,FALSE),0)</f>
        <v>0</v>
      </c>
      <c r="BF190" s="246">
        <f>IFERROR(VLOOKUP(P190,VOL_REC[],2,FALSE),0)</f>
        <v>0</v>
      </c>
      <c r="BG190" s="246">
        <f>IFERROR(VLOOKUP(Q190,VOL_REC[],2,FALSE),0)</f>
        <v>0</v>
      </c>
      <c r="BH190" s="1710">
        <f t="shared" si="8"/>
        <v>20773482619.179955</v>
      </c>
      <c r="BI190" s="1710">
        <f t="shared" si="9"/>
        <v>19896186323.972683</v>
      </c>
      <c r="BJ190" s="1711">
        <f t="shared" si="10"/>
        <v>16587059.998173788</v>
      </c>
      <c r="BK190" s="1711">
        <f t="shared" si="11"/>
        <v>1.0440936911688561</v>
      </c>
      <c r="BL190">
        <f>BJ190</f>
        <v>16587059.998173788</v>
      </c>
      <c r="BO190">
        <f>BL190</f>
        <v>16587059.998173788</v>
      </c>
    </row>
    <row r="191" spans="3:67" x14ac:dyDescent="0.25">
      <c r="C191" s="246" t="s">
        <v>1541</v>
      </c>
      <c r="D191" s="246">
        <v>1</v>
      </c>
      <c r="E191" s="246">
        <v>2</v>
      </c>
      <c r="F191" s="246">
        <v>3</v>
      </c>
      <c r="G191" s="246">
        <v>9</v>
      </c>
      <c r="H191" s="246">
        <v>13</v>
      </c>
      <c r="I191" s="246">
        <v>17</v>
      </c>
      <c r="J191" s="246"/>
      <c r="K191" s="246"/>
      <c r="L191" s="246"/>
      <c r="M191" s="246"/>
      <c r="N191" s="246"/>
      <c r="O191" s="246"/>
      <c r="P191" s="246"/>
      <c r="Q191" s="246"/>
      <c r="R191" s="246">
        <f>IFERROR(VLOOKUP(D191,PROGRAMAS[],2,FALSE),0)</f>
        <v>97037803.679377079</v>
      </c>
      <c r="S191" s="246">
        <f>IFERROR(VLOOKUP(E191,PROGRAMAS[],2,FALSE),0)</f>
        <v>640501509.6821388</v>
      </c>
      <c r="T191" s="246">
        <f>IFERROR(VLOOKUP(F191,PROGRAMAS[],2,FALSE),0)</f>
        <v>3062327798.1525245</v>
      </c>
      <c r="U191" s="246">
        <f>IFERROR(VLOOKUP(G191,PROGRAMAS[],2,FALSE),0)</f>
        <v>6128579952.1618185</v>
      </c>
      <c r="V191" s="246">
        <f>IFERROR(VLOOKUP(H191,PROGRAMAS[],2,FALSE),0)</f>
        <v>3776538594.4604583</v>
      </c>
      <c r="W191" s="246">
        <f>IFERROR(VLOOKUP(I191,PROGRAMAS[],2,FALSE),0)</f>
        <v>1892779498.5211046</v>
      </c>
      <c r="X191" s="246">
        <f>IFERROR(VLOOKUP(J191,PROGRAMAS[],2,FALSE),0)</f>
        <v>0</v>
      </c>
      <c r="Y191" s="246">
        <f>IFERROR(VLOOKUP(K191,PROGRAMAS[],2,FALSE),0)</f>
        <v>0</v>
      </c>
      <c r="Z191" s="246">
        <f>IFERROR(VLOOKUP(L191,PROGRAMAS[],2,FALSE),0)</f>
        <v>0</v>
      </c>
      <c r="AA191" s="246">
        <f>IFERROR(VLOOKUP(M191,PROGRAMAS[],2,FALSE),0)</f>
        <v>0</v>
      </c>
      <c r="AB191" s="246">
        <f>IFERROR(VLOOKUP(N191,PROGRAMAS[],2,FALSE),0)</f>
        <v>0</v>
      </c>
      <c r="AC191" s="246">
        <f>IFERROR(VLOOKUP(O191,PROGRAMAS[],2,FALSE),0)</f>
        <v>0</v>
      </c>
      <c r="AD191" s="246">
        <f>IFERROR(VLOOKUP(P191,PROGRAMAS[],2,FALSE),0)</f>
        <v>0</v>
      </c>
      <c r="AE191" s="246">
        <f>IFERROR(VLOOKUP(Q191,PROGRAMAS[],2,FALSE),0)</f>
        <v>0</v>
      </c>
      <c r="AF191" s="246">
        <f>IFERROR(VLOOKUP(D191,PROGRAMAS[],3,FALSE),0)</f>
        <v>841888629.31080008</v>
      </c>
      <c r="AG191" s="246">
        <f>IFERROR(VLOOKUP(E191,PROGRAMAS[],3,FALSE),0)</f>
        <v>3848980803.1642323</v>
      </c>
      <c r="AH191" s="246">
        <f>IFERROR(VLOOKUP(F191,PROGRAMAS[],3,FALSE),0)</f>
        <v>3394901471.387517</v>
      </c>
      <c r="AI191" s="246">
        <f>IFERROR(VLOOKUP(G191,PROGRAMAS[],3,FALSE),0)</f>
        <v>7011279577.519702</v>
      </c>
      <c r="AJ191" s="246">
        <f>IFERROR(VLOOKUP(H191,PROGRAMAS[],3,FALSE),0)</f>
        <v>2392571243.5584412</v>
      </c>
      <c r="AK191" s="246">
        <f>IFERROR(VLOOKUP(I191,PROGRAMAS[],3,FALSE),0)</f>
        <v>948595847.09039903</v>
      </c>
      <c r="AL191" s="246">
        <f>IFERROR(VLOOKUP(J191,PROGRAMAS[],3,FALSE),0)</f>
        <v>0</v>
      </c>
      <c r="AM191" s="246">
        <f>IFERROR(VLOOKUP(K191,PROGRAMAS[],3,FALSE),0)</f>
        <v>0</v>
      </c>
      <c r="AN191" s="246">
        <f>IFERROR(VLOOKUP(L191,PROGRAMAS[],3,FALSE),0)</f>
        <v>0</v>
      </c>
      <c r="AO191" s="246">
        <f>IFERROR(VLOOKUP(M191,PROGRAMAS[],3,FALSE),0)</f>
        <v>0</v>
      </c>
      <c r="AP191" s="246">
        <f>IFERROR(VLOOKUP(N191,PROGRAMAS[],3,FALSE),0)</f>
        <v>0</v>
      </c>
      <c r="AQ191" s="246">
        <f>IFERROR(VLOOKUP(O191,PROGRAMAS[],3,FALSE),0)</f>
        <v>0</v>
      </c>
      <c r="AR191" s="246">
        <f>IFERROR(VLOOKUP(P191,PROGRAMAS[],3,FALSE),0)</f>
        <v>0</v>
      </c>
      <c r="AS191" s="246">
        <f>IFERROR(VLOOKUP(Q191,PROGRAMAS[],3,FALSE),0)</f>
        <v>0</v>
      </c>
      <c r="AT191" s="246">
        <f>IFERROR(VLOOKUP(D191,VOL_REC[],2,FALSE),0)</f>
        <v>0</v>
      </c>
      <c r="AU191" s="246">
        <f>IFERROR(VLOOKUP(E191,VOL_REC[],2,FALSE),0)</f>
        <v>0</v>
      </c>
      <c r="AV191" s="246">
        <f>IFERROR(VLOOKUP(F191,VOL_REC[],2,FALSE),0)</f>
        <v>11089674.200000001</v>
      </c>
      <c r="AW191" s="246">
        <f>IFERROR(VLOOKUP(G191,VOL_REC[],2,FALSE),0)</f>
        <v>3761786</v>
      </c>
      <c r="AX191" s="246">
        <f>IFERROR(VLOOKUP(H191,VOL_REC[],2,FALSE),0)</f>
        <v>663244.80000000016</v>
      </c>
      <c r="AY191" s="246">
        <f>IFERROR(VLOOKUP(I191,VOL_REC[],2,FALSE),0)</f>
        <v>740113.98115702497</v>
      </c>
      <c r="AZ191" s="246">
        <f>IFERROR(VLOOKUP(J191,VOL_REC[],2,FALSE),0)</f>
        <v>0</v>
      </c>
      <c r="BA191" s="246">
        <f>IFERROR(VLOOKUP(K191,VOL_REC[],2,FALSE),0)</f>
        <v>0</v>
      </c>
      <c r="BB191" s="246">
        <f>IFERROR(VLOOKUP(L191,VOL_REC[],2,FALSE),0)</f>
        <v>0</v>
      </c>
      <c r="BC191" s="246">
        <f>IFERROR(VLOOKUP(M191,VOL_REC[],2,FALSE),0)</f>
        <v>0</v>
      </c>
      <c r="BD191" s="246">
        <f>IFERROR(VLOOKUP(N191,VOL_REC[],2,FALSE),0)</f>
        <v>0</v>
      </c>
      <c r="BE191" s="246">
        <f>IFERROR(VLOOKUP(O191,VOL_REC[],2,FALSE),0)</f>
        <v>0</v>
      </c>
      <c r="BF191" s="246">
        <f>IFERROR(VLOOKUP(P191,VOL_REC[],2,FALSE),0)</f>
        <v>0</v>
      </c>
      <c r="BG191" s="246">
        <f>IFERROR(VLOOKUP(Q191,VOL_REC[],2,FALSE),0)</f>
        <v>0</v>
      </c>
      <c r="BH191" s="1710">
        <f t="shared" si="8"/>
        <v>15597765156.657423</v>
      </c>
      <c r="BI191" s="1710">
        <f t="shared" si="9"/>
        <v>18438217572.031094</v>
      </c>
      <c r="BJ191" s="1711">
        <f t="shared" si="10"/>
        <v>16254818.981157027</v>
      </c>
      <c r="BK191" s="1711">
        <f t="shared" si="11"/>
        <v>0.84594755950367195</v>
      </c>
    </row>
    <row r="192" spans="3:67" x14ac:dyDescent="0.25">
      <c r="C192" s="246" t="s">
        <v>1542</v>
      </c>
      <c r="D192" s="246">
        <v>1</v>
      </c>
      <c r="E192" s="246">
        <v>2</v>
      </c>
      <c r="F192" s="246">
        <v>3</v>
      </c>
      <c r="G192" s="246">
        <v>9</v>
      </c>
      <c r="H192" s="246">
        <v>14</v>
      </c>
      <c r="I192" s="246">
        <v>15</v>
      </c>
      <c r="J192" s="246"/>
      <c r="K192" s="246"/>
      <c r="L192" s="246"/>
      <c r="M192" s="246"/>
      <c r="N192" s="246"/>
      <c r="O192" s="246"/>
      <c r="P192" s="246"/>
      <c r="Q192" s="246"/>
      <c r="R192" s="246">
        <f>IFERROR(VLOOKUP(D192,PROGRAMAS[],2,FALSE),0)</f>
        <v>97037803.679377079</v>
      </c>
      <c r="S192" s="246">
        <f>IFERROR(VLOOKUP(E192,PROGRAMAS[],2,FALSE),0)</f>
        <v>640501509.6821388</v>
      </c>
      <c r="T192" s="246">
        <f>IFERROR(VLOOKUP(F192,PROGRAMAS[],2,FALSE),0)</f>
        <v>3062327798.1525245</v>
      </c>
      <c r="U192" s="246">
        <f>IFERROR(VLOOKUP(G192,PROGRAMAS[],2,FALSE),0)</f>
        <v>6128579952.1618185</v>
      </c>
      <c r="V192" s="246">
        <f>IFERROR(VLOOKUP(H192,PROGRAMAS[],2,FALSE),0)</f>
        <v>54223862.645839565</v>
      </c>
      <c r="W192" s="246">
        <f>IFERROR(VLOOKUP(I192,PROGRAMAS[],2,FALSE),0)</f>
        <v>122159672.96346797</v>
      </c>
      <c r="X192" s="246">
        <f>IFERROR(VLOOKUP(J192,PROGRAMAS[],2,FALSE),0)</f>
        <v>0</v>
      </c>
      <c r="Y192" s="246">
        <f>IFERROR(VLOOKUP(K192,PROGRAMAS[],2,FALSE),0)</f>
        <v>0</v>
      </c>
      <c r="Z192" s="246">
        <f>IFERROR(VLOOKUP(L192,PROGRAMAS[],2,FALSE),0)</f>
        <v>0</v>
      </c>
      <c r="AA192" s="246">
        <f>IFERROR(VLOOKUP(M192,PROGRAMAS[],2,FALSE),0)</f>
        <v>0</v>
      </c>
      <c r="AB192" s="246">
        <f>IFERROR(VLOOKUP(N192,PROGRAMAS[],2,FALSE),0)</f>
        <v>0</v>
      </c>
      <c r="AC192" s="246">
        <f>IFERROR(VLOOKUP(O192,PROGRAMAS[],2,FALSE),0)</f>
        <v>0</v>
      </c>
      <c r="AD192" s="246">
        <f>IFERROR(VLOOKUP(P192,PROGRAMAS[],2,FALSE),0)</f>
        <v>0</v>
      </c>
      <c r="AE192" s="246">
        <f>IFERROR(VLOOKUP(Q192,PROGRAMAS[],2,FALSE),0)</f>
        <v>0</v>
      </c>
      <c r="AF192" s="246">
        <f>IFERROR(VLOOKUP(D192,PROGRAMAS[],3,FALSE),0)</f>
        <v>841888629.31080008</v>
      </c>
      <c r="AG192" s="246">
        <f>IFERROR(VLOOKUP(E192,PROGRAMAS[],3,FALSE),0)</f>
        <v>3848980803.1642323</v>
      </c>
      <c r="AH192" s="246">
        <f>IFERROR(VLOOKUP(F192,PROGRAMAS[],3,FALSE),0)</f>
        <v>3394901471.387517</v>
      </c>
      <c r="AI192" s="246">
        <f>IFERROR(VLOOKUP(G192,PROGRAMAS[],3,FALSE),0)</f>
        <v>7011279577.519702</v>
      </c>
      <c r="AJ192" s="246">
        <f>IFERROR(VLOOKUP(H192,PROGRAMAS[],3,FALSE),0)</f>
        <v>31865326.38096505</v>
      </c>
      <c r="AK192" s="246">
        <f>IFERROR(VLOOKUP(I192,PROGRAMAS[],3,FALSE),0)</f>
        <v>118617452.52510804</v>
      </c>
      <c r="AL192" s="246">
        <f>IFERROR(VLOOKUP(J192,PROGRAMAS[],3,FALSE),0)</f>
        <v>0</v>
      </c>
      <c r="AM192" s="246">
        <f>IFERROR(VLOOKUP(K192,PROGRAMAS[],3,FALSE),0)</f>
        <v>0</v>
      </c>
      <c r="AN192" s="246">
        <f>IFERROR(VLOOKUP(L192,PROGRAMAS[],3,FALSE),0)</f>
        <v>0</v>
      </c>
      <c r="AO192" s="246">
        <f>IFERROR(VLOOKUP(M192,PROGRAMAS[],3,FALSE),0)</f>
        <v>0</v>
      </c>
      <c r="AP192" s="246">
        <f>IFERROR(VLOOKUP(N192,PROGRAMAS[],3,FALSE),0)</f>
        <v>0</v>
      </c>
      <c r="AQ192" s="246">
        <f>IFERROR(VLOOKUP(O192,PROGRAMAS[],3,FALSE),0)</f>
        <v>0</v>
      </c>
      <c r="AR192" s="246">
        <f>IFERROR(VLOOKUP(P192,PROGRAMAS[],3,FALSE),0)</f>
        <v>0</v>
      </c>
      <c r="AS192" s="246">
        <f>IFERROR(VLOOKUP(Q192,PROGRAMAS[],3,FALSE),0)</f>
        <v>0</v>
      </c>
      <c r="AT192" s="246">
        <f>IFERROR(VLOOKUP(D192,VOL_REC[],2,FALSE),0)</f>
        <v>0</v>
      </c>
      <c r="AU192" s="246">
        <f>IFERROR(VLOOKUP(E192,VOL_REC[],2,FALSE),0)</f>
        <v>0</v>
      </c>
      <c r="AV192" s="246">
        <f>IFERROR(VLOOKUP(F192,VOL_REC[],2,FALSE),0)</f>
        <v>11089674.200000001</v>
      </c>
      <c r="AW192" s="246">
        <f>IFERROR(VLOOKUP(G192,VOL_REC[],2,FALSE),0)</f>
        <v>3761786</v>
      </c>
      <c r="AX192" s="246">
        <f>IFERROR(VLOOKUP(H192,VOL_REC[],2,FALSE),0)</f>
        <v>17074.045034105649</v>
      </c>
      <c r="AY192" s="246">
        <f>IFERROR(VLOOKUP(I192,VOL_REC[],2,FALSE),0)</f>
        <v>105072</v>
      </c>
      <c r="AZ192" s="246">
        <f>IFERROR(VLOOKUP(J192,VOL_REC[],2,FALSE),0)</f>
        <v>0</v>
      </c>
      <c r="BA192" s="246">
        <f>IFERROR(VLOOKUP(K192,VOL_REC[],2,FALSE),0)</f>
        <v>0</v>
      </c>
      <c r="BB192" s="246">
        <f>IFERROR(VLOOKUP(L192,VOL_REC[],2,FALSE),0)</f>
        <v>0</v>
      </c>
      <c r="BC192" s="246">
        <f>IFERROR(VLOOKUP(M192,VOL_REC[],2,FALSE),0)</f>
        <v>0</v>
      </c>
      <c r="BD192" s="246">
        <f>IFERROR(VLOOKUP(N192,VOL_REC[],2,FALSE),0)</f>
        <v>0</v>
      </c>
      <c r="BE192" s="246">
        <f>IFERROR(VLOOKUP(O192,VOL_REC[],2,FALSE),0)</f>
        <v>0</v>
      </c>
      <c r="BF192" s="246">
        <f>IFERROR(VLOOKUP(P192,VOL_REC[],2,FALSE),0)</f>
        <v>0</v>
      </c>
      <c r="BG192" s="246">
        <f>IFERROR(VLOOKUP(Q192,VOL_REC[],2,FALSE),0)</f>
        <v>0</v>
      </c>
      <c r="BH192" s="1710">
        <f t="shared" si="8"/>
        <v>10104830599.285168</v>
      </c>
      <c r="BI192" s="1710">
        <f t="shared" si="9"/>
        <v>15247533260.288324</v>
      </c>
      <c r="BJ192" s="1711">
        <f t="shared" si="10"/>
        <v>14973606.245034106</v>
      </c>
      <c r="BK192" s="1711">
        <f t="shared" si="11"/>
        <v>0.66271903964970202</v>
      </c>
    </row>
    <row r="193" spans="3:67" x14ac:dyDescent="0.25">
      <c r="C193" s="246" t="s">
        <v>1543</v>
      </c>
      <c r="D193" s="246">
        <v>1</v>
      </c>
      <c r="E193" s="246">
        <v>2</v>
      </c>
      <c r="F193" s="246">
        <v>3</v>
      </c>
      <c r="G193" s="246">
        <v>9</v>
      </c>
      <c r="H193" s="246">
        <v>14</v>
      </c>
      <c r="I193" s="246">
        <v>16</v>
      </c>
      <c r="J193" s="246"/>
      <c r="K193" s="246"/>
      <c r="L193" s="246"/>
      <c r="M193" s="246"/>
      <c r="N193" s="246"/>
      <c r="O193" s="246"/>
      <c r="P193" s="246"/>
      <c r="Q193" s="246"/>
      <c r="R193" s="246">
        <f>IFERROR(VLOOKUP(D193,PROGRAMAS[],2,FALSE),0)</f>
        <v>97037803.679377079</v>
      </c>
      <c r="S193" s="246">
        <f>IFERROR(VLOOKUP(E193,PROGRAMAS[],2,FALSE),0)</f>
        <v>640501509.6821388</v>
      </c>
      <c r="T193" s="246">
        <f>IFERROR(VLOOKUP(F193,PROGRAMAS[],2,FALSE),0)</f>
        <v>3062327798.1525245</v>
      </c>
      <c r="U193" s="246">
        <f>IFERROR(VLOOKUP(G193,PROGRAMAS[],2,FALSE),0)</f>
        <v>6128579952.1618185</v>
      </c>
      <c r="V193" s="246">
        <f>IFERROR(VLOOKUP(H193,PROGRAMAS[],2,FALSE),0)</f>
        <v>54223862.645839565</v>
      </c>
      <c r="W193" s="246">
        <f>IFERROR(VLOOKUP(I193,PROGRAMAS[],2,FALSE),0)</f>
        <v>7068496961.0436354</v>
      </c>
      <c r="X193" s="246">
        <f>IFERROR(VLOOKUP(J193,PROGRAMAS[],2,FALSE),0)</f>
        <v>0</v>
      </c>
      <c r="Y193" s="246">
        <f>IFERROR(VLOOKUP(K193,PROGRAMAS[],2,FALSE),0)</f>
        <v>0</v>
      </c>
      <c r="Z193" s="246">
        <f>IFERROR(VLOOKUP(L193,PROGRAMAS[],2,FALSE),0)</f>
        <v>0</v>
      </c>
      <c r="AA193" s="246">
        <f>IFERROR(VLOOKUP(M193,PROGRAMAS[],2,FALSE),0)</f>
        <v>0</v>
      </c>
      <c r="AB193" s="246">
        <f>IFERROR(VLOOKUP(N193,PROGRAMAS[],2,FALSE),0)</f>
        <v>0</v>
      </c>
      <c r="AC193" s="246">
        <f>IFERROR(VLOOKUP(O193,PROGRAMAS[],2,FALSE),0)</f>
        <v>0</v>
      </c>
      <c r="AD193" s="246">
        <f>IFERROR(VLOOKUP(P193,PROGRAMAS[],2,FALSE),0)</f>
        <v>0</v>
      </c>
      <c r="AE193" s="246">
        <f>IFERROR(VLOOKUP(Q193,PROGRAMAS[],2,FALSE),0)</f>
        <v>0</v>
      </c>
      <c r="AF193" s="246">
        <f>IFERROR(VLOOKUP(D193,PROGRAMAS[],3,FALSE),0)</f>
        <v>841888629.31080008</v>
      </c>
      <c r="AG193" s="246">
        <f>IFERROR(VLOOKUP(E193,PROGRAMAS[],3,FALSE),0)</f>
        <v>3848980803.1642323</v>
      </c>
      <c r="AH193" s="246">
        <f>IFERROR(VLOOKUP(F193,PROGRAMAS[],3,FALSE),0)</f>
        <v>3394901471.387517</v>
      </c>
      <c r="AI193" s="246">
        <f>IFERROR(VLOOKUP(G193,PROGRAMAS[],3,FALSE),0)</f>
        <v>7011279577.519702</v>
      </c>
      <c r="AJ193" s="246">
        <f>IFERROR(VLOOKUP(H193,PROGRAMAS[],3,FALSE),0)</f>
        <v>31865326.38096505</v>
      </c>
      <c r="AK193" s="246">
        <f>IFERROR(VLOOKUP(I193,PROGRAMAS[],3,FALSE),0)</f>
        <v>2406564599.0319901</v>
      </c>
      <c r="AL193" s="246">
        <f>IFERROR(VLOOKUP(J193,PROGRAMAS[],3,FALSE),0)</f>
        <v>0</v>
      </c>
      <c r="AM193" s="246">
        <f>IFERROR(VLOOKUP(K193,PROGRAMAS[],3,FALSE),0)</f>
        <v>0</v>
      </c>
      <c r="AN193" s="246">
        <f>IFERROR(VLOOKUP(L193,PROGRAMAS[],3,FALSE),0)</f>
        <v>0</v>
      </c>
      <c r="AO193" s="246">
        <f>IFERROR(VLOOKUP(M193,PROGRAMAS[],3,FALSE),0)</f>
        <v>0</v>
      </c>
      <c r="AP193" s="246">
        <f>IFERROR(VLOOKUP(N193,PROGRAMAS[],3,FALSE),0)</f>
        <v>0</v>
      </c>
      <c r="AQ193" s="246">
        <f>IFERROR(VLOOKUP(O193,PROGRAMAS[],3,FALSE),0)</f>
        <v>0</v>
      </c>
      <c r="AR193" s="246">
        <f>IFERROR(VLOOKUP(P193,PROGRAMAS[],3,FALSE),0)</f>
        <v>0</v>
      </c>
      <c r="AS193" s="246">
        <f>IFERROR(VLOOKUP(Q193,PROGRAMAS[],3,FALSE),0)</f>
        <v>0</v>
      </c>
      <c r="AT193" s="246">
        <f>IFERROR(VLOOKUP(D193,VOL_REC[],2,FALSE),0)</f>
        <v>0</v>
      </c>
      <c r="AU193" s="246">
        <f>IFERROR(VLOOKUP(E193,VOL_REC[],2,FALSE),0)</f>
        <v>0</v>
      </c>
      <c r="AV193" s="246">
        <f>IFERROR(VLOOKUP(F193,VOL_REC[],2,FALSE),0)</f>
        <v>11089674.200000001</v>
      </c>
      <c r="AW193" s="246">
        <f>IFERROR(VLOOKUP(G193,VOL_REC[],2,FALSE),0)</f>
        <v>3761786</v>
      </c>
      <c r="AX193" s="246">
        <f>IFERROR(VLOOKUP(H193,VOL_REC[],2,FALSE),0)</f>
        <v>17074.045034105649</v>
      </c>
      <c r="AY193" s="246">
        <f>IFERROR(VLOOKUP(I193,VOL_REC[],2,FALSE),0)</f>
        <v>1072354.9981737854</v>
      </c>
      <c r="AZ193" s="246">
        <f>IFERROR(VLOOKUP(J193,VOL_REC[],2,FALSE),0)</f>
        <v>0</v>
      </c>
      <c r="BA193" s="246">
        <f>IFERROR(VLOOKUP(K193,VOL_REC[],2,FALSE),0)</f>
        <v>0</v>
      </c>
      <c r="BB193" s="246">
        <f>IFERROR(VLOOKUP(L193,VOL_REC[],2,FALSE),0)</f>
        <v>0</v>
      </c>
      <c r="BC193" s="246">
        <f>IFERROR(VLOOKUP(M193,VOL_REC[],2,FALSE),0)</f>
        <v>0</v>
      </c>
      <c r="BD193" s="246">
        <f>IFERROR(VLOOKUP(N193,VOL_REC[],2,FALSE),0)</f>
        <v>0</v>
      </c>
      <c r="BE193" s="246">
        <f>IFERROR(VLOOKUP(O193,VOL_REC[],2,FALSE),0)</f>
        <v>0</v>
      </c>
      <c r="BF193" s="246">
        <f>IFERROR(VLOOKUP(P193,VOL_REC[],2,FALSE),0)</f>
        <v>0</v>
      </c>
      <c r="BG193" s="246">
        <f>IFERROR(VLOOKUP(Q193,VOL_REC[],2,FALSE),0)</f>
        <v>0</v>
      </c>
      <c r="BH193" s="1710">
        <f t="shared" si="8"/>
        <v>17051167887.365334</v>
      </c>
      <c r="BI193" s="1710">
        <f t="shared" si="9"/>
        <v>17535480406.795204</v>
      </c>
      <c r="BJ193" s="1711">
        <f t="shared" si="10"/>
        <v>15940889.243207891</v>
      </c>
      <c r="BK193" s="1711">
        <f t="shared" si="11"/>
        <v>0.97238099509140374</v>
      </c>
    </row>
    <row r="194" spans="3:67" x14ac:dyDescent="0.25">
      <c r="C194" s="246" t="s">
        <v>1544</v>
      </c>
      <c r="D194" s="246">
        <v>1</v>
      </c>
      <c r="E194" s="246">
        <v>2</v>
      </c>
      <c r="F194" s="246">
        <v>3</v>
      </c>
      <c r="G194" s="246">
        <v>9</v>
      </c>
      <c r="H194" s="246">
        <v>14</v>
      </c>
      <c r="I194" s="246">
        <v>17</v>
      </c>
      <c r="J194" s="246"/>
      <c r="K194" s="246"/>
      <c r="L194" s="246"/>
      <c r="M194" s="246"/>
      <c r="N194" s="246"/>
      <c r="O194" s="246"/>
      <c r="P194" s="246"/>
      <c r="Q194" s="246"/>
      <c r="R194" s="246">
        <f>IFERROR(VLOOKUP(D194,PROGRAMAS[],2,FALSE),0)</f>
        <v>97037803.679377079</v>
      </c>
      <c r="S194" s="246">
        <f>IFERROR(VLOOKUP(E194,PROGRAMAS[],2,FALSE),0)</f>
        <v>640501509.6821388</v>
      </c>
      <c r="T194" s="246">
        <f>IFERROR(VLOOKUP(F194,PROGRAMAS[],2,FALSE),0)</f>
        <v>3062327798.1525245</v>
      </c>
      <c r="U194" s="246">
        <f>IFERROR(VLOOKUP(G194,PROGRAMAS[],2,FALSE),0)</f>
        <v>6128579952.1618185</v>
      </c>
      <c r="V194" s="246">
        <f>IFERROR(VLOOKUP(H194,PROGRAMAS[],2,FALSE),0)</f>
        <v>54223862.645839565</v>
      </c>
      <c r="W194" s="246">
        <f>IFERROR(VLOOKUP(I194,PROGRAMAS[],2,FALSE),0)</f>
        <v>1892779498.5211046</v>
      </c>
      <c r="X194" s="246">
        <f>IFERROR(VLOOKUP(J194,PROGRAMAS[],2,FALSE),0)</f>
        <v>0</v>
      </c>
      <c r="Y194" s="246">
        <f>IFERROR(VLOOKUP(K194,PROGRAMAS[],2,FALSE),0)</f>
        <v>0</v>
      </c>
      <c r="Z194" s="246">
        <f>IFERROR(VLOOKUP(L194,PROGRAMAS[],2,FALSE),0)</f>
        <v>0</v>
      </c>
      <c r="AA194" s="246">
        <f>IFERROR(VLOOKUP(M194,PROGRAMAS[],2,FALSE),0)</f>
        <v>0</v>
      </c>
      <c r="AB194" s="246">
        <f>IFERROR(VLOOKUP(N194,PROGRAMAS[],2,FALSE),0)</f>
        <v>0</v>
      </c>
      <c r="AC194" s="246">
        <f>IFERROR(VLOOKUP(O194,PROGRAMAS[],2,FALSE),0)</f>
        <v>0</v>
      </c>
      <c r="AD194" s="246">
        <f>IFERROR(VLOOKUP(P194,PROGRAMAS[],2,FALSE),0)</f>
        <v>0</v>
      </c>
      <c r="AE194" s="246">
        <f>IFERROR(VLOOKUP(Q194,PROGRAMAS[],2,FALSE),0)</f>
        <v>0</v>
      </c>
      <c r="AF194" s="246">
        <f>IFERROR(VLOOKUP(D194,PROGRAMAS[],3,FALSE),0)</f>
        <v>841888629.31080008</v>
      </c>
      <c r="AG194" s="246">
        <f>IFERROR(VLOOKUP(E194,PROGRAMAS[],3,FALSE),0)</f>
        <v>3848980803.1642323</v>
      </c>
      <c r="AH194" s="246">
        <f>IFERROR(VLOOKUP(F194,PROGRAMAS[],3,FALSE),0)</f>
        <v>3394901471.387517</v>
      </c>
      <c r="AI194" s="246">
        <f>IFERROR(VLOOKUP(G194,PROGRAMAS[],3,FALSE),0)</f>
        <v>7011279577.519702</v>
      </c>
      <c r="AJ194" s="246">
        <f>IFERROR(VLOOKUP(H194,PROGRAMAS[],3,FALSE),0)</f>
        <v>31865326.38096505</v>
      </c>
      <c r="AK194" s="246">
        <f>IFERROR(VLOOKUP(I194,PROGRAMAS[],3,FALSE),0)</f>
        <v>948595847.09039903</v>
      </c>
      <c r="AL194" s="246">
        <f>IFERROR(VLOOKUP(J194,PROGRAMAS[],3,FALSE),0)</f>
        <v>0</v>
      </c>
      <c r="AM194" s="246">
        <f>IFERROR(VLOOKUP(K194,PROGRAMAS[],3,FALSE),0)</f>
        <v>0</v>
      </c>
      <c r="AN194" s="246">
        <f>IFERROR(VLOOKUP(L194,PROGRAMAS[],3,FALSE),0)</f>
        <v>0</v>
      </c>
      <c r="AO194" s="246">
        <f>IFERROR(VLOOKUP(M194,PROGRAMAS[],3,FALSE),0)</f>
        <v>0</v>
      </c>
      <c r="AP194" s="246">
        <f>IFERROR(VLOOKUP(N194,PROGRAMAS[],3,FALSE),0)</f>
        <v>0</v>
      </c>
      <c r="AQ194" s="246">
        <f>IFERROR(VLOOKUP(O194,PROGRAMAS[],3,FALSE),0)</f>
        <v>0</v>
      </c>
      <c r="AR194" s="246">
        <f>IFERROR(VLOOKUP(P194,PROGRAMAS[],3,FALSE),0)</f>
        <v>0</v>
      </c>
      <c r="AS194" s="246">
        <f>IFERROR(VLOOKUP(Q194,PROGRAMAS[],3,FALSE),0)</f>
        <v>0</v>
      </c>
      <c r="AT194" s="246">
        <f>IFERROR(VLOOKUP(D194,VOL_REC[],2,FALSE),0)</f>
        <v>0</v>
      </c>
      <c r="AU194" s="246">
        <f>IFERROR(VLOOKUP(E194,VOL_REC[],2,FALSE),0)</f>
        <v>0</v>
      </c>
      <c r="AV194" s="246">
        <f>IFERROR(VLOOKUP(F194,VOL_REC[],2,FALSE),0)</f>
        <v>11089674.200000001</v>
      </c>
      <c r="AW194" s="246">
        <f>IFERROR(VLOOKUP(G194,VOL_REC[],2,FALSE),0)</f>
        <v>3761786</v>
      </c>
      <c r="AX194" s="246">
        <f>IFERROR(VLOOKUP(H194,VOL_REC[],2,FALSE),0)</f>
        <v>17074.045034105649</v>
      </c>
      <c r="AY194" s="246">
        <f>IFERROR(VLOOKUP(I194,VOL_REC[],2,FALSE),0)</f>
        <v>740113.98115702497</v>
      </c>
      <c r="AZ194" s="246">
        <f>IFERROR(VLOOKUP(J194,VOL_REC[],2,FALSE),0)</f>
        <v>0</v>
      </c>
      <c r="BA194" s="246">
        <f>IFERROR(VLOOKUP(K194,VOL_REC[],2,FALSE),0)</f>
        <v>0</v>
      </c>
      <c r="BB194" s="246">
        <f>IFERROR(VLOOKUP(L194,VOL_REC[],2,FALSE),0)</f>
        <v>0</v>
      </c>
      <c r="BC194" s="246">
        <f>IFERROR(VLOOKUP(M194,VOL_REC[],2,FALSE),0)</f>
        <v>0</v>
      </c>
      <c r="BD194" s="246">
        <f>IFERROR(VLOOKUP(N194,VOL_REC[],2,FALSE),0)</f>
        <v>0</v>
      </c>
      <c r="BE194" s="246">
        <f>IFERROR(VLOOKUP(O194,VOL_REC[],2,FALSE),0)</f>
        <v>0</v>
      </c>
      <c r="BF194" s="246">
        <f>IFERROR(VLOOKUP(P194,VOL_REC[],2,FALSE),0)</f>
        <v>0</v>
      </c>
      <c r="BG194" s="246">
        <f>IFERROR(VLOOKUP(Q194,VOL_REC[],2,FALSE),0)</f>
        <v>0</v>
      </c>
      <c r="BH194" s="1710">
        <f t="shared" ref="BH194:BH257" si="12">SUM(R194:AE194)</f>
        <v>11875450424.842804</v>
      </c>
      <c r="BI194" s="1710">
        <f t="shared" ref="BI194:BI257" si="13">SUM(AF194:AS194)</f>
        <v>16077511654.853615</v>
      </c>
      <c r="BJ194" s="1711">
        <f t="shared" ref="BJ194:BJ257" si="14">SUM(AT194:BG194)</f>
        <v>15608648.226191131</v>
      </c>
      <c r="BK194" s="1711">
        <f t="shared" ref="BK194:BK257" si="15">IFERROR(BH194/BI194,0)</f>
        <v>0.73863733889800931</v>
      </c>
    </row>
    <row r="195" spans="3:67" x14ac:dyDescent="0.25">
      <c r="C195" s="246" t="s">
        <v>1545</v>
      </c>
      <c r="D195" s="246">
        <v>1</v>
      </c>
      <c r="E195" s="246">
        <v>2</v>
      </c>
      <c r="F195" s="246">
        <v>3</v>
      </c>
      <c r="G195" s="246">
        <v>9</v>
      </c>
      <c r="H195" s="246">
        <v>15</v>
      </c>
      <c r="I195" s="246">
        <v>16</v>
      </c>
      <c r="J195" s="246"/>
      <c r="K195" s="246"/>
      <c r="L195" s="246"/>
      <c r="M195" s="246"/>
      <c r="N195" s="246"/>
      <c r="O195" s="246"/>
      <c r="P195" s="246"/>
      <c r="Q195" s="246"/>
      <c r="R195" s="246">
        <f>IFERROR(VLOOKUP(D195,PROGRAMAS[],2,FALSE),0)</f>
        <v>97037803.679377079</v>
      </c>
      <c r="S195" s="246">
        <f>IFERROR(VLOOKUP(E195,PROGRAMAS[],2,FALSE),0)</f>
        <v>640501509.6821388</v>
      </c>
      <c r="T195" s="246">
        <f>IFERROR(VLOOKUP(F195,PROGRAMAS[],2,FALSE),0)</f>
        <v>3062327798.1525245</v>
      </c>
      <c r="U195" s="246">
        <f>IFERROR(VLOOKUP(G195,PROGRAMAS[],2,FALSE),0)</f>
        <v>6128579952.1618185</v>
      </c>
      <c r="V195" s="246">
        <f>IFERROR(VLOOKUP(H195,PROGRAMAS[],2,FALSE),0)</f>
        <v>122159672.96346797</v>
      </c>
      <c r="W195" s="246">
        <f>IFERROR(VLOOKUP(I195,PROGRAMAS[],2,FALSE),0)</f>
        <v>7068496961.0436354</v>
      </c>
      <c r="X195" s="246">
        <f>IFERROR(VLOOKUP(J195,PROGRAMAS[],2,FALSE),0)</f>
        <v>0</v>
      </c>
      <c r="Y195" s="246">
        <f>IFERROR(VLOOKUP(K195,PROGRAMAS[],2,FALSE),0)</f>
        <v>0</v>
      </c>
      <c r="Z195" s="246">
        <f>IFERROR(VLOOKUP(L195,PROGRAMAS[],2,FALSE),0)</f>
        <v>0</v>
      </c>
      <c r="AA195" s="246">
        <f>IFERROR(VLOOKUP(M195,PROGRAMAS[],2,FALSE),0)</f>
        <v>0</v>
      </c>
      <c r="AB195" s="246">
        <f>IFERROR(VLOOKUP(N195,PROGRAMAS[],2,FALSE),0)</f>
        <v>0</v>
      </c>
      <c r="AC195" s="246">
        <f>IFERROR(VLOOKUP(O195,PROGRAMAS[],2,FALSE),0)</f>
        <v>0</v>
      </c>
      <c r="AD195" s="246">
        <f>IFERROR(VLOOKUP(P195,PROGRAMAS[],2,FALSE),0)</f>
        <v>0</v>
      </c>
      <c r="AE195" s="246">
        <f>IFERROR(VLOOKUP(Q195,PROGRAMAS[],2,FALSE),0)</f>
        <v>0</v>
      </c>
      <c r="AF195" s="246">
        <f>IFERROR(VLOOKUP(D195,PROGRAMAS[],3,FALSE),0)</f>
        <v>841888629.31080008</v>
      </c>
      <c r="AG195" s="246">
        <f>IFERROR(VLOOKUP(E195,PROGRAMAS[],3,FALSE),0)</f>
        <v>3848980803.1642323</v>
      </c>
      <c r="AH195" s="246">
        <f>IFERROR(VLOOKUP(F195,PROGRAMAS[],3,FALSE),0)</f>
        <v>3394901471.387517</v>
      </c>
      <c r="AI195" s="246">
        <f>IFERROR(VLOOKUP(G195,PROGRAMAS[],3,FALSE),0)</f>
        <v>7011279577.519702</v>
      </c>
      <c r="AJ195" s="246">
        <f>IFERROR(VLOOKUP(H195,PROGRAMAS[],3,FALSE),0)</f>
        <v>118617452.52510804</v>
      </c>
      <c r="AK195" s="246">
        <f>IFERROR(VLOOKUP(I195,PROGRAMAS[],3,FALSE),0)</f>
        <v>2406564599.0319901</v>
      </c>
      <c r="AL195" s="246">
        <f>IFERROR(VLOOKUP(J195,PROGRAMAS[],3,FALSE),0)</f>
        <v>0</v>
      </c>
      <c r="AM195" s="246">
        <f>IFERROR(VLOOKUP(K195,PROGRAMAS[],3,FALSE),0)</f>
        <v>0</v>
      </c>
      <c r="AN195" s="246">
        <f>IFERROR(VLOOKUP(L195,PROGRAMAS[],3,FALSE),0)</f>
        <v>0</v>
      </c>
      <c r="AO195" s="246">
        <f>IFERROR(VLOOKUP(M195,PROGRAMAS[],3,FALSE),0)</f>
        <v>0</v>
      </c>
      <c r="AP195" s="246">
        <f>IFERROR(VLOOKUP(N195,PROGRAMAS[],3,FALSE),0)</f>
        <v>0</v>
      </c>
      <c r="AQ195" s="246">
        <f>IFERROR(VLOOKUP(O195,PROGRAMAS[],3,FALSE),0)</f>
        <v>0</v>
      </c>
      <c r="AR195" s="246">
        <f>IFERROR(VLOOKUP(P195,PROGRAMAS[],3,FALSE),0)</f>
        <v>0</v>
      </c>
      <c r="AS195" s="246">
        <f>IFERROR(VLOOKUP(Q195,PROGRAMAS[],3,FALSE),0)</f>
        <v>0</v>
      </c>
      <c r="AT195" s="246">
        <f>IFERROR(VLOOKUP(D195,VOL_REC[],2,FALSE),0)</f>
        <v>0</v>
      </c>
      <c r="AU195" s="246">
        <f>IFERROR(VLOOKUP(E195,VOL_REC[],2,FALSE),0)</f>
        <v>0</v>
      </c>
      <c r="AV195" s="246">
        <f>IFERROR(VLOOKUP(F195,VOL_REC[],2,FALSE),0)</f>
        <v>11089674.200000001</v>
      </c>
      <c r="AW195" s="246">
        <f>IFERROR(VLOOKUP(G195,VOL_REC[],2,FALSE),0)</f>
        <v>3761786</v>
      </c>
      <c r="AX195" s="246">
        <f>IFERROR(VLOOKUP(H195,VOL_REC[],2,FALSE),0)</f>
        <v>105072</v>
      </c>
      <c r="AY195" s="246">
        <f>IFERROR(VLOOKUP(I195,VOL_REC[],2,FALSE),0)</f>
        <v>1072354.9981737854</v>
      </c>
      <c r="AZ195" s="246">
        <f>IFERROR(VLOOKUP(J195,VOL_REC[],2,FALSE),0)</f>
        <v>0</v>
      </c>
      <c r="BA195" s="246">
        <f>IFERROR(VLOOKUP(K195,VOL_REC[],2,FALSE),0)</f>
        <v>0</v>
      </c>
      <c r="BB195" s="246">
        <f>IFERROR(VLOOKUP(L195,VOL_REC[],2,FALSE),0)</f>
        <v>0</v>
      </c>
      <c r="BC195" s="246">
        <f>IFERROR(VLOOKUP(M195,VOL_REC[],2,FALSE),0)</f>
        <v>0</v>
      </c>
      <c r="BD195" s="246">
        <f>IFERROR(VLOOKUP(N195,VOL_REC[],2,FALSE),0)</f>
        <v>0</v>
      </c>
      <c r="BE195" s="246">
        <f>IFERROR(VLOOKUP(O195,VOL_REC[],2,FALSE),0)</f>
        <v>0</v>
      </c>
      <c r="BF195" s="246">
        <f>IFERROR(VLOOKUP(P195,VOL_REC[],2,FALSE),0)</f>
        <v>0</v>
      </c>
      <c r="BG195" s="246">
        <f>IFERROR(VLOOKUP(Q195,VOL_REC[],2,FALSE),0)</f>
        <v>0</v>
      </c>
      <c r="BH195" s="1710">
        <f t="shared" si="12"/>
        <v>17119103697.682964</v>
      </c>
      <c r="BI195" s="1710">
        <f t="shared" si="13"/>
        <v>17622232532.93935</v>
      </c>
      <c r="BJ195" s="1711">
        <f t="shared" si="14"/>
        <v>16028887.198173787</v>
      </c>
      <c r="BK195" s="1711">
        <f t="shared" si="15"/>
        <v>0.9714492000763274</v>
      </c>
    </row>
    <row r="196" spans="3:67" x14ac:dyDescent="0.25">
      <c r="C196" s="246" t="s">
        <v>1546</v>
      </c>
      <c r="D196" s="246">
        <v>1</v>
      </c>
      <c r="E196" s="246">
        <v>2</v>
      </c>
      <c r="F196" s="246">
        <v>3</v>
      </c>
      <c r="G196" s="246">
        <v>9</v>
      </c>
      <c r="H196" s="246">
        <v>15</v>
      </c>
      <c r="I196" s="246">
        <v>17</v>
      </c>
      <c r="J196" s="246"/>
      <c r="K196" s="246"/>
      <c r="L196" s="246"/>
      <c r="M196" s="246"/>
      <c r="N196" s="246"/>
      <c r="O196" s="246"/>
      <c r="P196" s="246"/>
      <c r="Q196" s="246"/>
      <c r="R196" s="246">
        <f>IFERROR(VLOOKUP(D196,PROGRAMAS[],2,FALSE),0)</f>
        <v>97037803.679377079</v>
      </c>
      <c r="S196" s="246">
        <f>IFERROR(VLOOKUP(E196,PROGRAMAS[],2,FALSE),0)</f>
        <v>640501509.6821388</v>
      </c>
      <c r="T196" s="246">
        <f>IFERROR(VLOOKUP(F196,PROGRAMAS[],2,FALSE),0)</f>
        <v>3062327798.1525245</v>
      </c>
      <c r="U196" s="246">
        <f>IFERROR(VLOOKUP(G196,PROGRAMAS[],2,FALSE),0)</f>
        <v>6128579952.1618185</v>
      </c>
      <c r="V196" s="246">
        <f>IFERROR(VLOOKUP(H196,PROGRAMAS[],2,FALSE),0)</f>
        <v>122159672.96346797</v>
      </c>
      <c r="W196" s="246">
        <f>IFERROR(VLOOKUP(I196,PROGRAMAS[],2,FALSE),0)</f>
        <v>1892779498.5211046</v>
      </c>
      <c r="X196" s="246">
        <f>IFERROR(VLOOKUP(J196,PROGRAMAS[],2,FALSE),0)</f>
        <v>0</v>
      </c>
      <c r="Y196" s="246">
        <f>IFERROR(VLOOKUP(K196,PROGRAMAS[],2,FALSE),0)</f>
        <v>0</v>
      </c>
      <c r="Z196" s="246">
        <f>IFERROR(VLOOKUP(L196,PROGRAMAS[],2,FALSE),0)</f>
        <v>0</v>
      </c>
      <c r="AA196" s="246">
        <f>IFERROR(VLOOKUP(M196,PROGRAMAS[],2,FALSE),0)</f>
        <v>0</v>
      </c>
      <c r="AB196" s="246">
        <f>IFERROR(VLOOKUP(N196,PROGRAMAS[],2,FALSE),0)</f>
        <v>0</v>
      </c>
      <c r="AC196" s="246">
        <f>IFERROR(VLOOKUP(O196,PROGRAMAS[],2,FALSE),0)</f>
        <v>0</v>
      </c>
      <c r="AD196" s="246">
        <f>IFERROR(VLOOKUP(P196,PROGRAMAS[],2,FALSE),0)</f>
        <v>0</v>
      </c>
      <c r="AE196" s="246">
        <f>IFERROR(VLOOKUP(Q196,PROGRAMAS[],2,FALSE),0)</f>
        <v>0</v>
      </c>
      <c r="AF196" s="246">
        <f>IFERROR(VLOOKUP(D196,PROGRAMAS[],3,FALSE),0)</f>
        <v>841888629.31080008</v>
      </c>
      <c r="AG196" s="246">
        <f>IFERROR(VLOOKUP(E196,PROGRAMAS[],3,FALSE),0)</f>
        <v>3848980803.1642323</v>
      </c>
      <c r="AH196" s="246">
        <f>IFERROR(VLOOKUP(F196,PROGRAMAS[],3,FALSE),0)</f>
        <v>3394901471.387517</v>
      </c>
      <c r="AI196" s="246">
        <f>IFERROR(VLOOKUP(G196,PROGRAMAS[],3,FALSE),0)</f>
        <v>7011279577.519702</v>
      </c>
      <c r="AJ196" s="246">
        <f>IFERROR(VLOOKUP(H196,PROGRAMAS[],3,FALSE),0)</f>
        <v>118617452.52510804</v>
      </c>
      <c r="AK196" s="246">
        <f>IFERROR(VLOOKUP(I196,PROGRAMAS[],3,FALSE),0)</f>
        <v>948595847.09039903</v>
      </c>
      <c r="AL196" s="246">
        <f>IFERROR(VLOOKUP(J196,PROGRAMAS[],3,FALSE),0)</f>
        <v>0</v>
      </c>
      <c r="AM196" s="246">
        <f>IFERROR(VLOOKUP(K196,PROGRAMAS[],3,FALSE),0)</f>
        <v>0</v>
      </c>
      <c r="AN196" s="246">
        <f>IFERROR(VLOOKUP(L196,PROGRAMAS[],3,FALSE),0)</f>
        <v>0</v>
      </c>
      <c r="AO196" s="246">
        <f>IFERROR(VLOOKUP(M196,PROGRAMAS[],3,FALSE),0)</f>
        <v>0</v>
      </c>
      <c r="AP196" s="246">
        <f>IFERROR(VLOOKUP(N196,PROGRAMAS[],3,FALSE),0)</f>
        <v>0</v>
      </c>
      <c r="AQ196" s="246">
        <f>IFERROR(VLOOKUP(O196,PROGRAMAS[],3,FALSE),0)</f>
        <v>0</v>
      </c>
      <c r="AR196" s="246">
        <f>IFERROR(VLOOKUP(P196,PROGRAMAS[],3,FALSE),0)</f>
        <v>0</v>
      </c>
      <c r="AS196" s="246">
        <f>IFERROR(VLOOKUP(Q196,PROGRAMAS[],3,FALSE),0)</f>
        <v>0</v>
      </c>
      <c r="AT196" s="246">
        <f>IFERROR(VLOOKUP(D196,VOL_REC[],2,FALSE),0)</f>
        <v>0</v>
      </c>
      <c r="AU196" s="246">
        <f>IFERROR(VLOOKUP(E196,VOL_REC[],2,FALSE),0)</f>
        <v>0</v>
      </c>
      <c r="AV196" s="246">
        <f>IFERROR(VLOOKUP(F196,VOL_REC[],2,FALSE),0)</f>
        <v>11089674.200000001</v>
      </c>
      <c r="AW196" s="246">
        <f>IFERROR(VLOOKUP(G196,VOL_REC[],2,FALSE),0)</f>
        <v>3761786</v>
      </c>
      <c r="AX196" s="246">
        <f>IFERROR(VLOOKUP(H196,VOL_REC[],2,FALSE),0)</f>
        <v>105072</v>
      </c>
      <c r="AY196" s="246">
        <f>IFERROR(VLOOKUP(I196,VOL_REC[],2,FALSE),0)</f>
        <v>740113.98115702497</v>
      </c>
      <c r="AZ196" s="246">
        <f>IFERROR(VLOOKUP(J196,VOL_REC[],2,FALSE),0)</f>
        <v>0</v>
      </c>
      <c r="BA196" s="246">
        <f>IFERROR(VLOOKUP(K196,VOL_REC[],2,FALSE),0)</f>
        <v>0</v>
      </c>
      <c r="BB196" s="246">
        <f>IFERROR(VLOOKUP(L196,VOL_REC[],2,FALSE),0)</f>
        <v>0</v>
      </c>
      <c r="BC196" s="246">
        <f>IFERROR(VLOOKUP(M196,VOL_REC[],2,FALSE),0)</f>
        <v>0</v>
      </c>
      <c r="BD196" s="246">
        <f>IFERROR(VLOOKUP(N196,VOL_REC[],2,FALSE),0)</f>
        <v>0</v>
      </c>
      <c r="BE196" s="246">
        <f>IFERROR(VLOOKUP(O196,VOL_REC[],2,FALSE),0)</f>
        <v>0</v>
      </c>
      <c r="BF196" s="246">
        <f>IFERROR(VLOOKUP(P196,VOL_REC[],2,FALSE),0)</f>
        <v>0</v>
      </c>
      <c r="BG196" s="246">
        <f>IFERROR(VLOOKUP(Q196,VOL_REC[],2,FALSE),0)</f>
        <v>0</v>
      </c>
      <c r="BH196" s="1710">
        <f t="shared" si="12"/>
        <v>11943386235.160433</v>
      </c>
      <c r="BI196" s="1710">
        <f t="shared" si="13"/>
        <v>16164263780.997759</v>
      </c>
      <c r="BJ196" s="1711">
        <f t="shared" si="14"/>
        <v>15696646.181157026</v>
      </c>
      <c r="BK196" s="1711">
        <f t="shared" si="15"/>
        <v>0.7388759795667732</v>
      </c>
    </row>
    <row r="197" spans="3:67" x14ac:dyDescent="0.25">
      <c r="C197" s="246" t="s">
        <v>1547</v>
      </c>
      <c r="D197" s="246">
        <v>1</v>
      </c>
      <c r="E197" s="246">
        <v>2</v>
      </c>
      <c r="F197" s="246">
        <v>3</v>
      </c>
      <c r="G197" s="246">
        <v>9</v>
      </c>
      <c r="H197" s="246">
        <v>16</v>
      </c>
      <c r="I197" s="246">
        <v>17</v>
      </c>
      <c r="J197" s="246"/>
      <c r="K197" s="246"/>
      <c r="L197" s="246"/>
      <c r="M197" s="246"/>
      <c r="N197" s="246"/>
      <c r="O197" s="246"/>
      <c r="P197" s="246"/>
      <c r="Q197" s="246"/>
      <c r="R197" s="246">
        <f>IFERROR(VLOOKUP(D197,PROGRAMAS[],2,FALSE),0)</f>
        <v>97037803.679377079</v>
      </c>
      <c r="S197" s="246">
        <f>IFERROR(VLOOKUP(E197,PROGRAMAS[],2,FALSE),0)</f>
        <v>640501509.6821388</v>
      </c>
      <c r="T197" s="246">
        <f>IFERROR(VLOOKUP(F197,PROGRAMAS[],2,FALSE),0)</f>
        <v>3062327798.1525245</v>
      </c>
      <c r="U197" s="246">
        <f>IFERROR(VLOOKUP(G197,PROGRAMAS[],2,FALSE),0)</f>
        <v>6128579952.1618185</v>
      </c>
      <c r="V197" s="246">
        <f>IFERROR(VLOOKUP(H197,PROGRAMAS[],2,FALSE),0)</f>
        <v>7068496961.0436354</v>
      </c>
      <c r="W197" s="246">
        <f>IFERROR(VLOOKUP(I197,PROGRAMAS[],2,FALSE),0)</f>
        <v>1892779498.5211046</v>
      </c>
      <c r="X197" s="246">
        <f>IFERROR(VLOOKUP(J197,PROGRAMAS[],2,FALSE),0)</f>
        <v>0</v>
      </c>
      <c r="Y197" s="246">
        <f>IFERROR(VLOOKUP(K197,PROGRAMAS[],2,FALSE),0)</f>
        <v>0</v>
      </c>
      <c r="Z197" s="246">
        <f>IFERROR(VLOOKUP(L197,PROGRAMAS[],2,FALSE),0)</f>
        <v>0</v>
      </c>
      <c r="AA197" s="246">
        <f>IFERROR(VLOOKUP(M197,PROGRAMAS[],2,FALSE),0)</f>
        <v>0</v>
      </c>
      <c r="AB197" s="246">
        <f>IFERROR(VLOOKUP(N197,PROGRAMAS[],2,FALSE),0)</f>
        <v>0</v>
      </c>
      <c r="AC197" s="246">
        <f>IFERROR(VLOOKUP(O197,PROGRAMAS[],2,FALSE),0)</f>
        <v>0</v>
      </c>
      <c r="AD197" s="246">
        <f>IFERROR(VLOOKUP(P197,PROGRAMAS[],2,FALSE),0)</f>
        <v>0</v>
      </c>
      <c r="AE197" s="246">
        <f>IFERROR(VLOOKUP(Q197,PROGRAMAS[],2,FALSE),0)</f>
        <v>0</v>
      </c>
      <c r="AF197" s="246">
        <f>IFERROR(VLOOKUP(D197,PROGRAMAS[],3,FALSE),0)</f>
        <v>841888629.31080008</v>
      </c>
      <c r="AG197" s="246">
        <f>IFERROR(VLOOKUP(E197,PROGRAMAS[],3,FALSE),0)</f>
        <v>3848980803.1642323</v>
      </c>
      <c r="AH197" s="246">
        <f>IFERROR(VLOOKUP(F197,PROGRAMAS[],3,FALSE),0)</f>
        <v>3394901471.387517</v>
      </c>
      <c r="AI197" s="246">
        <f>IFERROR(VLOOKUP(G197,PROGRAMAS[],3,FALSE),0)</f>
        <v>7011279577.519702</v>
      </c>
      <c r="AJ197" s="246">
        <f>IFERROR(VLOOKUP(H197,PROGRAMAS[],3,FALSE),0)</f>
        <v>2406564599.0319901</v>
      </c>
      <c r="AK197" s="246">
        <f>IFERROR(VLOOKUP(I197,PROGRAMAS[],3,FALSE),0)</f>
        <v>948595847.09039903</v>
      </c>
      <c r="AL197" s="246">
        <f>IFERROR(VLOOKUP(J197,PROGRAMAS[],3,FALSE),0)</f>
        <v>0</v>
      </c>
      <c r="AM197" s="246">
        <f>IFERROR(VLOOKUP(K197,PROGRAMAS[],3,FALSE),0)</f>
        <v>0</v>
      </c>
      <c r="AN197" s="246">
        <f>IFERROR(VLOOKUP(L197,PROGRAMAS[],3,FALSE),0)</f>
        <v>0</v>
      </c>
      <c r="AO197" s="246">
        <f>IFERROR(VLOOKUP(M197,PROGRAMAS[],3,FALSE),0)</f>
        <v>0</v>
      </c>
      <c r="AP197" s="246">
        <f>IFERROR(VLOOKUP(N197,PROGRAMAS[],3,FALSE),0)</f>
        <v>0</v>
      </c>
      <c r="AQ197" s="246">
        <f>IFERROR(VLOOKUP(O197,PROGRAMAS[],3,FALSE),0)</f>
        <v>0</v>
      </c>
      <c r="AR197" s="246">
        <f>IFERROR(VLOOKUP(P197,PROGRAMAS[],3,FALSE),0)</f>
        <v>0</v>
      </c>
      <c r="AS197" s="246">
        <f>IFERROR(VLOOKUP(Q197,PROGRAMAS[],3,FALSE),0)</f>
        <v>0</v>
      </c>
      <c r="AT197" s="246">
        <f>IFERROR(VLOOKUP(D197,VOL_REC[],2,FALSE),0)</f>
        <v>0</v>
      </c>
      <c r="AU197" s="246">
        <f>IFERROR(VLOOKUP(E197,VOL_REC[],2,FALSE),0)</f>
        <v>0</v>
      </c>
      <c r="AV197" s="246">
        <f>IFERROR(VLOOKUP(F197,VOL_REC[],2,FALSE),0)</f>
        <v>11089674.200000001</v>
      </c>
      <c r="AW197" s="246">
        <f>IFERROR(VLOOKUP(G197,VOL_REC[],2,FALSE),0)</f>
        <v>3761786</v>
      </c>
      <c r="AX197" s="246">
        <f>IFERROR(VLOOKUP(H197,VOL_REC[],2,FALSE),0)</f>
        <v>1072354.9981737854</v>
      </c>
      <c r="AY197" s="246">
        <f>IFERROR(VLOOKUP(I197,VOL_REC[],2,FALSE),0)</f>
        <v>740113.98115702497</v>
      </c>
      <c r="AZ197" s="246">
        <f>IFERROR(VLOOKUP(J197,VOL_REC[],2,FALSE),0)</f>
        <v>0</v>
      </c>
      <c r="BA197" s="246">
        <f>IFERROR(VLOOKUP(K197,VOL_REC[],2,FALSE),0)</f>
        <v>0</v>
      </c>
      <c r="BB197" s="246">
        <f>IFERROR(VLOOKUP(L197,VOL_REC[],2,FALSE),0)</f>
        <v>0</v>
      </c>
      <c r="BC197" s="246">
        <f>IFERROR(VLOOKUP(M197,VOL_REC[],2,FALSE),0)</f>
        <v>0</v>
      </c>
      <c r="BD197" s="246">
        <f>IFERROR(VLOOKUP(N197,VOL_REC[],2,FALSE),0)</f>
        <v>0</v>
      </c>
      <c r="BE197" s="246">
        <f>IFERROR(VLOOKUP(O197,VOL_REC[],2,FALSE),0)</f>
        <v>0</v>
      </c>
      <c r="BF197" s="246">
        <f>IFERROR(VLOOKUP(P197,VOL_REC[],2,FALSE),0)</f>
        <v>0</v>
      </c>
      <c r="BG197" s="246">
        <f>IFERROR(VLOOKUP(Q197,VOL_REC[],2,FALSE),0)</f>
        <v>0</v>
      </c>
      <c r="BH197" s="1710">
        <f t="shared" si="12"/>
        <v>18889723523.240597</v>
      </c>
      <c r="BI197" s="1710">
        <f t="shared" si="13"/>
        <v>18452210927.504642</v>
      </c>
      <c r="BJ197" s="1711">
        <f t="shared" si="14"/>
        <v>16663929.179330813</v>
      </c>
      <c r="BK197" s="1711">
        <f t="shared" si="15"/>
        <v>1.0237105785022109</v>
      </c>
      <c r="BL197">
        <f>BJ197</f>
        <v>16663929.179330813</v>
      </c>
      <c r="BO197">
        <f>BL197</f>
        <v>16663929.179330813</v>
      </c>
    </row>
    <row r="198" spans="3:67" x14ac:dyDescent="0.25">
      <c r="C198" s="246" t="s">
        <v>1548</v>
      </c>
      <c r="D198" s="246">
        <v>1</v>
      </c>
      <c r="E198" s="246">
        <v>2</v>
      </c>
      <c r="F198" s="246">
        <v>3</v>
      </c>
      <c r="G198" s="246">
        <v>10</v>
      </c>
      <c r="H198" s="246">
        <v>12</v>
      </c>
      <c r="I198" s="246">
        <v>13</v>
      </c>
      <c r="J198" s="246"/>
      <c r="K198" s="246"/>
      <c r="L198" s="246"/>
      <c r="M198" s="246"/>
      <c r="N198" s="246"/>
      <c r="O198" s="246"/>
      <c r="P198" s="246"/>
      <c r="Q198" s="246"/>
      <c r="R198" s="246">
        <f>IFERROR(VLOOKUP(D198,PROGRAMAS[],2,FALSE),0)</f>
        <v>97037803.679377079</v>
      </c>
      <c r="S198" s="246">
        <f>IFERROR(VLOOKUP(E198,PROGRAMAS[],2,FALSE),0)</f>
        <v>640501509.6821388</v>
      </c>
      <c r="T198" s="246">
        <f>IFERROR(VLOOKUP(F198,PROGRAMAS[],2,FALSE),0)</f>
        <v>3062327798.1525245</v>
      </c>
      <c r="U198" s="246">
        <f>IFERROR(VLOOKUP(G198,PROGRAMAS[],2,FALSE),0)</f>
        <v>4635315027.8751087</v>
      </c>
      <c r="V198" s="246">
        <f>IFERROR(VLOOKUP(H198,PROGRAMAS[],2,FALSE),0)</f>
        <v>764796700.79905891</v>
      </c>
      <c r="W198" s="246">
        <f>IFERROR(VLOOKUP(I198,PROGRAMAS[],2,FALSE),0)</f>
        <v>3776538594.4604583</v>
      </c>
      <c r="X198" s="246">
        <f>IFERROR(VLOOKUP(J198,PROGRAMAS[],2,FALSE),0)</f>
        <v>0</v>
      </c>
      <c r="Y198" s="246">
        <f>IFERROR(VLOOKUP(K198,PROGRAMAS[],2,FALSE),0)</f>
        <v>0</v>
      </c>
      <c r="Z198" s="246">
        <f>IFERROR(VLOOKUP(L198,PROGRAMAS[],2,FALSE),0)</f>
        <v>0</v>
      </c>
      <c r="AA198" s="246">
        <f>IFERROR(VLOOKUP(M198,PROGRAMAS[],2,FALSE),0)</f>
        <v>0</v>
      </c>
      <c r="AB198" s="246">
        <f>IFERROR(VLOOKUP(N198,PROGRAMAS[],2,FALSE),0)</f>
        <v>0</v>
      </c>
      <c r="AC198" s="246">
        <f>IFERROR(VLOOKUP(O198,PROGRAMAS[],2,FALSE),0)</f>
        <v>0</v>
      </c>
      <c r="AD198" s="246">
        <f>IFERROR(VLOOKUP(P198,PROGRAMAS[],2,FALSE),0)</f>
        <v>0</v>
      </c>
      <c r="AE198" s="246">
        <f>IFERROR(VLOOKUP(Q198,PROGRAMAS[],2,FALSE),0)</f>
        <v>0</v>
      </c>
      <c r="AF198" s="246">
        <f>IFERROR(VLOOKUP(D198,PROGRAMAS[],3,FALSE),0)</f>
        <v>841888629.31080008</v>
      </c>
      <c r="AG198" s="246">
        <f>IFERROR(VLOOKUP(E198,PROGRAMAS[],3,FALSE),0)</f>
        <v>3848980803.1642323</v>
      </c>
      <c r="AH198" s="246">
        <f>IFERROR(VLOOKUP(F198,PROGRAMAS[],3,FALSE),0)</f>
        <v>3394901471.387517</v>
      </c>
      <c r="AI198" s="246">
        <f>IFERROR(VLOOKUP(G198,PROGRAMAS[],3,FALSE),0)</f>
        <v>4099471734.9978786</v>
      </c>
      <c r="AJ198" s="246">
        <f>IFERROR(VLOOKUP(H198,PROGRAMAS[],3,FALSE),0)</f>
        <v>675517840.109828</v>
      </c>
      <c r="AK198" s="246">
        <f>IFERROR(VLOOKUP(I198,PROGRAMAS[],3,FALSE),0)</f>
        <v>2392571243.5584412</v>
      </c>
      <c r="AL198" s="246">
        <f>IFERROR(VLOOKUP(J198,PROGRAMAS[],3,FALSE),0)</f>
        <v>0</v>
      </c>
      <c r="AM198" s="246">
        <f>IFERROR(VLOOKUP(K198,PROGRAMAS[],3,FALSE),0)</f>
        <v>0</v>
      </c>
      <c r="AN198" s="246">
        <f>IFERROR(VLOOKUP(L198,PROGRAMAS[],3,FALSE),0)</f>
        <v>0</v>
      </c>
      <c r="AO198" s="246">
        <f>IFERROR(VLOOKUP(M198,PROGRAMAS[],3,FALSE),0)</f>
        <v>0</v>
      </c>
      <c r="AP198" s="246">
        <f>IFERROR(VLOOKUP(N198,PROGRAMAS[],3,FALSE),0)</f>
        <v>0</v>
      </c>
      <c r="AQ198" s="246">
        <f>IFERROR(VLOOKUP(O198,PROGRAMAS[],3,FALSE),0)</f>
        <v>0</v>
      </c>
      <c r="AR198" s="246">
        <f>IFERROR(VLOOKUP(P198,PROGRAMAS[],3,FALSE),0)</f>
        <v>0</v>
      </c>
      <c r="AS198" s="246">
        <f>IFERROR(VLOOKUP(Q198,PROGRAMAS[],3,FALSE),0)</f>
        <v>0</v>
      </c>
      <c r="AT198" s="246">
        <f>IFERROR(VLOOKUP(D198,VOL_REC[],2,FALSE),0)</f>
        <v>0</v>
      </c>
      <c r="AU198" s="246">
        <f>IFERROR(VLOOKUP(E198,VOL_REC[],2,FALSE),0)</f>
        <v>0</v>
      </c>
      <c r="AV198" s="246">
        <f>IFERROR(VLOOKUP(F198,VOL_REC[],2,FALSE),0)</f>
        <v>11089674.200000001</v>
      </c>
      <c r="AW198" s="246">
        <f>IFERROR(VLOOKUP(G198,VOL_REC[],2,FALSE),0)</f>
        <v>1812240</v>
      </c>
      <c r="AX198" s="246">
        <f>IFERROR(VLOOKUP(H198,VOL_REC[],2,FALSE),0)</f>
        <v>240696.79238099116</v>
      </c>
      <c r="AY198" s="246">
        <f>IFERROR(VLOOKUP(I198,VOL_REC[],2,FALSE),0)</f>
        <v>663244.80000000016</v>
      </c>
      <c r="AZ198" s="246">
        <f>IFERROR(VLOOKUP(J198,VOL_REC[],2,FALSE),0)</f>
        <v>0</v>
      </c>
      <c r="BA198" s="246">
        <f>IFERROR(VLOOKUP(K198,VOL_REC[],2,FALSE),0)</f>
        <v>0</v>
      </c>
      <c r="BB198" s="246">
        <f>IFERROR(VLOOKUP(L198,VOL_REC[],2,FALSE),0)</f>
        <v>0</v>
      </c>
      <c r="BC198" s="246">
        <f>IFERROR(VLOOKUP(M198,VOL_REC[],2,FALSE),0)</f>
        <v>0</v>
      </c>
      <c r="BD198" s="246">
        <f>IFERROR(VLOOKUP(N198,VOL_REC[],2,FALSE),0)</f>
        <v>0</v>
      </c>
      <c r="BE198" s="246">
        <f>IFERROR(VLOOKUP(O198,VOL_REC[],2,FALSE),0)</f>
        <v>0</v>
      </c>
      <c r="BF198" s="246">
        <f>IFERROR(VLOOKUP(P198,VOL_REC[],2,FALSE),0)</f>
        <v>0</v>
      </c>
      <c r="BG198" s="246">
        <f>IFERROR(VLOOKUP(Q198,VOL_REC[],2,FALSE),0)</f>
        <v>0</v>
      </c>
      <c r="BH198" s="1710">
        <f t="shared" si="12"/>
        <v>12976517434.648666</v>
      </c>
      <c r="BI198" s="1710">
        <f t="shared" si="13"/>
        <v>15253331722.528698</v>
      </c>
      <c r="BJ198" s="1711">
        <f t="shared" si="14"/>
        <v>13805855.792380992</v>
      </c>
      <c r="BK198" s="1711">
        <f t="shared" si="15"/>
        <v>0.85073331326576684</v>
      </c>
    </row>
    <row r="199" spans="3:67" x14ac:dyDescent="0.25">
      <c r="C199" s="246" t="s">
        <v>1549</v>
      </c>
      <c r="D199" s="246">
        <v>1</v>
      </c>
      <c r="E199" s="246">
        <v>2</v>
      </c>
      <c r="F199" s="246">
        <v>3</v>
      </c>
      <c r="G199" s="246">
        <v>10</v>
      </c>
      <c r="H199" s="246">
        <v>12</v>
      </c>
      <c r="I199" s="246">
        <v>14</v>
      </c>
      <c r="J199" s="246"/>
      <c r="K199" s="246"/>
      <c r="L199" s="246"/>
      <c r="M199" s="246"/>
      <c r="N199" s="246"/>
      <c r="O199" s="246"/>
      <c r="P199" s="246"/>
      <c r="Q199" s="246"/>
      <c r="R199" s="246">
        <f>IFERROR(VLOOKUP(D199,PROGRAMAS[],2,FALSE),0)</f>
        <v>97037803.679377079</v>
      </c>
      <c r="S199" s="246">
        <f>IFERROR(VLOOKUP(E199,PROGRAMAS[],2,FALSE),0)</f>
        <v>640501509.6821388</v>
      </c>
      <c r="T199" s="246">
        <f>IFERROR(VLOOKUP(F199,PROGRAMAS[],2,FALSE),0)</f>
        <v>3062327798.1525245</v>
      </c>
      <c r="U199" s="246">
        <f>IFERROR(VLOOKUP(G199,PROGRAMAS[],2,FALSE),0)</f>
        <v>4635315027.8751087</v>
      </c>
      <c r="V199" s="246">
        <f>IFERROR(VLOOKUP(H199,PROGRAMAS[],2,FALSE),0)</f>
        <v>764796700.79905891</v>
      </c>
      <c r="W199" s="246">
        <f>IFERROR(VLOOKUP(I199,PROGRAMAS[],2,FALSE),0)</f>
        <v>54223862.645839565</v>
      </c>
      <c r="X199" s="246">
        <f>IFERROR(VLOOKUP(J199,PROGRAMAS[],2,FALSE),0)</f>
        <v>0</v>
      </c>
      <c r="Y199" s="246">
        <f>IFERROR(VLOOKUP(K199,PROGRAMAS[],2,FALSE),0)</f>
        <v>0</v>
      </c>
      <c r="Z199" s="246">
        <f>IFERROR(VLOOKUP(L199,PROGRAMAS[],2,FALSE),0)</f>
        <v>0</v>
      </c>
      <c r="AA199" s="246">
        <f>IFERROR(VLOOKUP(M199,PROGRAMAS[],2,FALSE),0)</f>
        <v>0</v>
      </c>
      <c r="AB199" s="246">
        <f>IFERROR(VLOOKUP(N199,PROGRAMAS[],2,FALSE),0)</f>
        <v>0</v>
      </c>
      <c r="AC199" s="246">
        <f>IFERROR(VLOOKUP(O199,PROGRAMAS[],2,FALSE),0)</f>
        <v>0</v>
      </c>
      <c r="AD199" s="246">
        <f>IFERROR(VLOOKUP(P199,PROGRAMAS[],2,FALSE),0)</f>
        <v>0</v>
      </c>
      <c r="AE199" s="246">
        <f>IFERROR(VLOOKUP(Q199,PROGRAMAS[],2,FALSE),0)</f>
        <v>0</v>
      </c>
      <c r="AF199" s="246">
        <f>IFERROR(VLOOKUP(D199,PROGRAMAS[],3,FALSE),0)</f>
        <v>841888629.31080008</v>
      </c>
      <c r="AG199" s="246">
        <f>IFERROR(VLOOKUP(E199,PROGRAMAS[],3,FALSE),0)</f>
        <v>3848980803.1642323</v>
      </c>
      <c r="AH199" s="246">
        <f>IFERROR(VLOOKUP(F199,PROGRAMAS[],3,FALSE),0)</f>
        <v>3394901471.387517</v>
      </c>
      <c r="AI199" s="246">
        <f>IFERROR(VLOOKUP(G199,PROGRAMAS[],3,FALSE),0)</f>
        <v>4099471734.9978786</v>
      </c>
      <c r="AJ199" s="246">
        <f>IFERROR(VLOOKUP(H199,PROGRAMAS[],3,FALSE),0)</f>
        <v>675517840.109828</v>
      </c>
      <c r="AK199" s="246">
        <f>IFERROR(VLOOKUP(I199,PROGRAMAS[],3,FALSE),0)</f>
        <v>31865326.38096505</v>
      </c>
      <c r="AL199" s="246">
        <f>IFERROR(VLOOKUP(J199,PROGRAMAS[],3,FALSE),0)</f>
        <v>0</v>
      </c>
      <c r="AM199" s="246">
        <f>IFERROR(VLOOKUP(K199,PROGRAMAS[],3,FALSE),0)</f>
        <v>0</v>
      </c>
      <c r="AN199" s="246">
        <f>IFERROR(VLOOKUP(L199,PROGRAMAS[],3,FALSE),0)</f>
        <v>0</v>
      </c>
      <c r="AO199" s="246">
        <f>IFERROR(VLOOKUP(M199,PROGRAMAS[],3,FALSE),0)</f>
        <v>0</v>
      </c>
      <c r="AP199" s="246">
        <f>IFERROR(VLOOKUP(N199,PROGRAMAS[],3,FALSE),0)</f>
        <v>0</v>
      </c>
      <c r="AQ199" s="246">
        <f>IFERROR(VLOOKUP(O199,PROGRAMAS[],3,FALSE),0)</f>
        <v>0</v>
      </c>
      <c r="AR199" s="246">
        <f>IFERROR(VLOOKUP(P199,PROGRAMAS[],3,FALSE),0)</f>
        <v>0</v>
      </c>
      <c r="AS199" s="246">
        <f>IFERROR(VLOOKUP(Q199,PROGRAMAS[],3,FALSE),0)</f>
        <v>0</v>
      </c>
      <c r="AT199" s="246">
        <f>IFERROR(VLOOKUP(D199,VOL_REC[],2,FALSE),0)</f>
        <v>0</v>
      </c>
      <c r="AU199" s="246">
        <f>IFERROR(VLOOKUP(E199,VOL_REC[],2,FALSE),0)</f>
        <v>0</v>
      </c>
      <c r="AV199" s="246">
        <f>IFERROR(VLOOKUP(F199,VOL_REC[],2,FALSE),0)</f>
        <v>11089674.200000001</v>
      </c>
      <c r="AW199" s="246">
        <f>IFERROR(VLOOKUP(G199,VOL_REC[],2,FALSE),0)</f>
        <v>1812240</v>
      </c>
      <c r="AX199" s="246">
        <f>IFERROR(VLOOKUP(H199,VOL_REC[],2,FALSE),0)</f>
        <v>240696.79238099116</v>
      </c>
      <c r="AY199" s="246">
        <f>IFERROR(VLOOKUP(I199,VOL_REC[],2,FALSE),0)</f>
        <v>17074.045034105649</v>
      </c>
      <c r="AZ199" s="246">
        <f>IFERROR(VLOOKUP(J199,VOL_REC[],2,FALSE),0)</f>
        <v>0</v>
      </c>
      <c r="BA199" s="246">
        <f>IFERROR(VLOOKUP(K199,VOL_REC[],2,FALSE),0)</f>
        <v>0</v>
      </c>
      <c r="BB199" s="246">
        <f>IFERROR(VLOOKUP(L199,VOL_REC[],2,FALSE),0)</f>
        <v>0</v>
      </c>
      <c r="BC199" s="246">
        <f>IFERROR(VLOOKUP(M199,VOL_REC[],2,FALSE),0)</f>
        <v>0</v>
      </c>
      <c r="BD199" s="246">
        <f>IFERROR(VLOOKUP(N199,VOL_REC[],2,FALSE),0)</f>
        <v>0</v>
      </c>
      <c r="BE199" s="246">
        <f>IFERROR(VLOOKUP(O199,VOL_REC[],2,FALSE),0)</f>
        <v>0</v>
      </c>
      <c r="BF199" s="246">
        <f>IFERROR(VLOOKUP(P199,VOL_REC[],2,FALSE),0)</f>
        <v>0</v>
      </c>
      <c r="BG199" s="246">
        <f>IFERROR(VLOOKUP(Q199,VOL_REC[],2,FALSE),0)</f>
        <v>0</v>
      </c>
      <c r="BH199" s="1710">
        <f t="shared" si="12"/>
        <v>9254202702.8340473</v>
      </c>
      <c r="BI199" s="1710">
        <f t="shared" si="13"/>
        <v>12892625805.351221</v>
      </c>
      <c r="BJ199" s="1711">
        <f t="shared" si="14"/>
        <v>13159685.037415097</v>
      </c>
      <c r="BK199" s="1711">
        <f t="shared" si="15"/>
        <v>0.71779037432335868</v>
      </c>
    </row>
    <row r="200" spans="3:67" x14ac:dyDescent="0.25">
      <c r="C200" s="246" t="s">
        <v>1550</v>
      </c>
      <c r="D200" s="246">
        <v>1</v>
      </c>
      <c r="E200" s="246">
        <v>2</v>
      </c>
      <c r="F200" s="246">
        <v>3</v>
      </c>
      <c r="G200" s="246">
        <v>10</v>
      </c>
      <c r="H200" s="246">
        <v>12</v>
      </c>
      <c r="I200" s="246">
        <v>15</v>
      </c>
      <c r="J200" s="246"/>
      <c r="K200" s="246"/>
      <c r="L200" s="246"/>
      <c r="M200" s="246"/>
      <c r="N200" s="246"/>
      <c r="O200" s="246"/>
      <c r="P200" s="246"/>
      <c r="Q200" s="246"/>
      <c r="R200" s="246">
        <f>IFERROR(VLOOKUP(D200,PROGRAMAS[],2,FALSE),0)</f>
        <v>97037803.679377079</v>
      </c>
      <c r="S200" s="246">
        <f>IFERROR(VLOOKUP(E200,PROGRAMAS[],2,FALSE),0)</f>
        <v>640501509.6821388</v>
      </c>
      <c r="T200" s="246">
        <f>IFERROR(VLOOKUP(F200,PROGRAMAS[],2,FALSE),0)</f>
        <v>3062327798.1525245</v>
      </c>
      <c r="U200" s="246">
        <f>IFERROR(VLOOKUP(G200,PROGRAMAS[],2,FALSE),0)</f>
        <v>4635315027.8751087</v>
      </c>
      <c r="V200" s="246">
        <f>IFERROR(VLOOKUP(H200,PROGRAMAS[],2,FALSE),0)</f>
        <v>764796700.79905891</v>
      </c>
      <c r="W200" s="246">
        <f>IFERROR(VLOOKUP(I200,PROGRAMAS[],2,FALSE),0)</f>
        <v>122159672.96346797</v>
      </c>
      <c r="X200" s="246">
        <f>IFERROR(VLOOKUP(J200,PROGRAMAS[],2,FALSE),0)</f>
        <v>0</v>
      </c>
      <c r="Y200" s="246">
        <f>IFERROR(VLOOKUP(K200,PROGRAMAS[],2,FALSE),0)</f>
        <v>0</v>
      </c>
      <c r="Z200" s="246">
        <f>IFERROR(VLOOKUP(L200,PROGRAMAS[],2,FALSE),0)</f>
        <v>0</v>
      </c>
      <c r="AA200" s="246">
        <f>IFERROR(VLOOKUP(M200,PROGRAMAS[],2,FALSE),0)</f>
        <v>0</v>
      </c>
      <c r="AB200" s="246">
        <f>IFERROR(VLOOKUP(N200,PROGRAMAS[],2,FALSE),0)</f>
        <v>0</v>
      </c>
      <c r="AC200" s="246">
        <f>IFERROR(VLOOKUP(O200,PROGRAMAS[],2,FALSE),0)</f>
        <v>0</v>
      </c>
      <c r="AD200" s="246">
        <f>IFERROR(VLOOKUP(P200,PROGRAMAS[],2,FALSE),0)</f>
        <v>0</v>
      </c>
      <c r="AE200" s="246">
        <f>IFERROR(VLOOKUP(Q200,PROGRAMAS[],2,FALSE),0)</f>
        <v>0</v>
      </c>
      <c r="AF200" s="246">
        <f>IFERROR(VLOOKUP(D200,PROGRAMAS[],3,FALSE),0)</f>
        <v>841888629.31080008</v>
      </c>
      <c r="AG200" s="246">
        <f>IFERROR(VLOOKUP(E200,PROGRAMAS[],3,FALSE),0)</f>
        <v>3848980803.1642323</v>
      </c>
      <c r="AH200" s="246">
        <f>IFERROR(VLOOKUP(F200,PROGRAMAS[],3,FALSE),0)</f>
        <v>3394901471.387517</v>
      </c>
      <c r="AI200" s="246">
        <f>IFERROR(VLOOKUP(G200,PROGRAMAS[],3,FALSE),0)</f>
        <v>4099471734.9978786</v>
      </c>
      <c r="AJ200" s="246">
        <f>IFERROR(VLOOKUP(H200,PROGRAMAS[],3,FALSE),0)</f>
        <v>675517840.109828</v>
      </c>
      <c r="AK200" s="246">
        <f>IFERROR(VLOOKUP(I200,PROGRAMAS[],3,FALSE),0)</f>
        <v>118617452.52510804</v>
      </c>
      <c r="AL200" s="246">
        <f>IFERROR(VLOOKUP(J200,PROGRAMAS[],3,FALSE),0)</f>
        <v>0</v>
      </c>
      <c r="AM200" s="246">
        <f>IFERROR(VLOOKUP(K200,PROGRAMAS[],3,FALSE),0)</f>
        <v>0</v>
      </c>
      <c r="AN200" s="246">
        <f>IFERROR(VLOOKUP(L200,PROGRAMAS[],3,FALSE),0)</f>
        <v>0</v>
      </c>
      <c r="AO200" s="246">
        <f>IFERROR(VLOOKUP(M200,PROGRAMAS[],3,FALSE),0)</f>
        <v>0</v>
      </c>
      <c r="AP200" s="246">
        <f>IFERROR(VLOOKUP(N200,PROGRAMAS[],3,FALSE),0)</f>
        <v>0</v>
      </c>
      <c r="AQ200" s="246">
        <f>IFERROR(VLOOKUP(O200,PROGRAMAS[],3,FALSE),0)</f>
        <v>0</v>
      </c>
      <c r="AR200" s="246">
        <f>IFERROR(VLOOKUP(P200,PROGRAMAS[],3,FALSE),0)</f>
        <v>0</v>
      </c>
      <c r="AS200" s="246">
        <f>IFERROR(VLOOKUP(Q200,PROGRAMAS[],3,FALSE),0)</f>
        <v>0</v>
      </c>
      <c r="AT200" s="246">
        <f>IFERROR(VLOOKUP(D200,VOL_REC[],2,FALSE),0)</f>
        <v>0</v>
      </c>
      <c r="AU200" s="246">
        <f>IFERROR(VLOOKUP(E200,VOL_REC[],2,FALSE),0)</f>
        <v>0</v>
      </c>
      <c r="AV200" s="246">
        <f>IFERROR(VLOOKUP(F200,VOL_REC[],2,FALSE),0)</f>
        <v>11089674.200000001</v>
      </c>
      <c r="AW200" s="246">
        <f>IFERROR(VLOOKUP(G200,VOL_REC[],2,FALSE),0)</f>
        <v>1812240</v>
      </c>
      <c r="AX200" s="246">
        <f>IFERROR(VLOOKUP(H200,VOL_REC[],2,FALSE),0)</f>
        <v>240696.79238099116</v>
      </c>
      <c r="AY200" s="246">
        <f>IFERROR(VLOOKUP(I200,VOL_REC[],2,FALSE),0)</f>
        <v>105072</v>
      </c>
      <c r="AZ200" s="246">
        <f>IFERROR(VLOOKUP(J200,VOL_REC[],2,FALSE),0)</f>
        <v>0</v>
      </c>
      <c r="BA200" s="246">
        <f>IFERROR(VLOOKUP(K200,VOL_REC[],2,FALSE),0)</f>
        <v>0</v>
      </c>
      <c r="BB200" s="246">
        <f>IFERROR(VLOOKUP(L200,VOL_REC[],2,FALSE),0)</f>
        <v>0</v>
      </c>
      <c r="BC200" s="246">
        <f>IFERROR(VLOOKUP(M200,VOL_REC[],2,FALSE),0)</f>
        <v>0</v>
      </c>
      <c r="BD200" s="246">
        <f>IFERROR(VLOOKUP(N200,VOL_REC[],2,FALSE),0)</f>
        <v>0</v>
      </c>
      <c r="BE200" s="246">
        <f>IFERROR(VLOOKUP(O200,VOL_REC[],2,FALSE),0)</f>
        <v>0</v>
      </c>
      <c r="BF200" s="246">
        <f>IFERROR(VLOOKUP(P200,VOL_REC[],2,FALSE),0)</f>
        <v>0</v>
      </c>
      <c r="BG200" s="246">
        <f>IFERROR(VLOOKUP(Q200,VOL_REC[],2,FALSE),0)</f>
        <v>0</v>
      </c>
      <c r="BH200" s="1710">
        <f t="shared" si="12"/>
        <v>9322138513.1516762</v>
      </c>
      <c r="BI200" s="1710">
        <f t="shared" si="13"/>
        <v>12979377931.495365</v>
      </c>
      <c r="BJ200" s="1711">
        <f t="shared" si="14"/>
        <v>13247682.992380992</v>
      </c>
      <c r="BK200" s="1711">
        <f t="shared" si="15"/>
        <v>0.71822691059259913</v>
      </c>
    </row>
    <row r="201" spans="3:67" x14ac:dyDescent="0.25">
      <c r="C201" s="246" t="s">
        <v>1551</v>
      </c>
      <c r="D201" s="246">
        <v>1</v>
      </c>
      <c r="E201" s="246">
        <v>2</v>
      </c>
      <c r="F201" s="246">
        <v>3</v>
      </c>
      <c r="G201" s="246">
        <v>10</v>
      </c>
      <c r="H201" s="246">
        <v>12</v>
      </c>
      <c r="I201" s="246">
        <v>16</v>
      </c>
      <c r="J201" s="246"/>
      <c r="K201" s="246"/>
      <c r="L201" s="246"/>
      <c r="M201" s="246"/>
      <c r="N201" s="246"/>
      <c r="O201" s="246"/>
      <c r="P201" s="246"/>
      <c r="Q201" s="246"/>
      <c r="R201" s="246">
        <f>IFERROR(VLOOKUP(D201,PROGRAMAS[],2,FALSE),0)</f>
        <v>97037803.679377079</v>
      </c>
      <c r="S201" s="246">
        <f>IFERROR(VLOOKUP(E201,PROGRAMAS[],2,FALSE),0)</f>
        <v>640501509.6821388</v>
      </c>
      <c r="T201" s="246">
        <f>IFERROR(VLOOKUP(F201,PROGRAMAS[],2,FALSE),0)</f>
        <v>3062327798.1525245</v>
      </c>
      <c r="U201" s="246">
        <f>IFERROR(VLOOKUP(G201,PROGRAMAS[],2,FALSE),0)</f>
        <v>4635315027.8751087</v>
      </c>
      <c r="V201" s="246">
        <f>IFERROR(VLOOKUP(H201,PROGRAMAS[],2,FALSE),0)</f>
        <v>764796700.79905891</v>
      </c>
      <c r="W201" s="246">
        <f>IFERROR(VLOOKUP(I201,PROGRAMAS[],2,FALSE),0)</f>
        <v>7068496961.0436354</v>
      </c>
      <c r="X201" s="246">
        <f>IFERROR(VLOOKUP(J201,PROGRAMAS[],2,FALSE),0)</f>
        <v>0</v>
      </c>
      <c r="Y201" s="246">
        <f>IFERROR(VLOOKUP(K201,PROGRAMAS[],2,FALSE),0)</f>
        <v>0</v>
      </c>
      <c r="Z201" s="246">
        <f>IFERROR(VLOOKUP(L201,PROGRAMAS[],2,FALSE),0)</f>
        <v>0</v>
      </c>
      <c r="AA201" s="246">
        <f>IFERROR(VLOOKUP(M201,PROGRAMAS[],2,FALSE),0)</f>
        <v>0</v>
      </c>
      <c r="AB201" s="246">
        <f>IFERROR(VLOOKUP(N201,PROGRAMAS[],2,FALSE),0)</f>
        <v>0</v>
      </c>
      <c r="AC201" s="246">
        <f>IFERROR(VLOOKUP(O201,PROGRAMAS[],2,FALSE),0)</f>
        <v>0</v>
      </c>
      <c r="AD201" s="246">
        <f>IFERROR(VLOOKUP(P201,PROGRAMAS[],2,FALSE),0)</f>
        <v>0</v>
      </c>
      <c r="AE201" s="246">
        <f>IFERROR(VLOOKUP(Q201,PROGRAMAS[],2,FALSE),0)</f>
        <v>0</v>
      </c>
      <c r="AF201" s="246">
        <f>IFERROR(VLOOKUP(D201,PROGRAMAS[],3,FALSE),0)</f>
        <v>841888629.31080008</v>
      </c>
      <c r="AG201" s="246">
        <f>IFERROR(VLOOKUP(E201,PROGRAMAS[],3,FALSE),0)</f>
        <v>3848980803.1642323</v>
      </c>
      <c r="AH201" s="246">
        <f>IFERROR(VLOOKUP(F201,PROGRAMAS[],3,FALSE),0)</f>
        <v>3394901471.387517</v>
      </c>
      <c r="AI201" s="246">
        <f>IFERROR(VLOOKUP(G201,PROGRAMAS[],3,FALSE),0)</f>
        <v>4099471734.9978786</v>
      </c>
      <c r="AJ201" s="246">
        <f>IFERROR(VLOOKUP(H201,PROGRAMAS[],3,FALSE),0)</f>
        <v>675517840.109828</v>
      </c>
      <c r="AK201" s="246">
        <f>IFERROR(VLOOKUP(I201,PROGRAMAS[],3,FALSE),0)</f>
        <v>2406564599.0319901</v>
      </c>
      <c r="AL201" s="246">
        <f>IFERROR(VLOOKUP(J201,PROGRAMAS[],3,FALSE),0)</f>
        <v>0</v>
      </c>
      <c r="AM201" s="246">
        <f>IFERROR(VLOOKUP(K201,PROGRAMAS[],3,FALSE),0)</f>
        <v>0</v>
      </c>
      <c r="AN201" s="246">
        <f>IFERROR(VLOOKUP(L201,PROGRAMAS[],3,FALSE),0)</f>
        <v>0</v>
      </c>
      <c r="AO201" s="246">
        <f>IFERROR(VLOOKUP(M201,PROGRAMAS[],3,FALSE),0)</f>
        <v>0</v>
      </c>
      <c r="AP201" s="246">
        <f>IFERROR(VLOOKUP(N201,PROGRAMAS[],3,FALSE),0)</f>
        <v>0</v>
      </c>
      <c r="AQ201" s="246">
        <f>IFERROR(VLOOKUP(O201,PROGRAMAS[],3,FALSE),0)</f>
        <v>0</v>
      </c>
      <c r="AR201" s="246">
        <f>IFERROR(VLOOKUP(P201,PROGRAMAS[],3,FALSE),0)</f>
        <v>0</v>
      </c>
      <c r="AS201" s="246">
        <f>IFERROR(VLOOKUP(Q201,PROGRAMAS[],3,FALSE),0)</f>
        <v>0</v>
      </c>
      <c r="AT201" s="246">
        <f>IFERROR(VLOOKUP(D201,VOL_REC[],2,FALSE),0)</f>
        <v>0</v>
      </c>
      <c r="AU201" s="246">
        <f>IFERROR(VLOOKUP(E201,VOL_REC[],2,FALSE),0)</f>
        <v>0</v>
      </c>
      <c r="AV201" s="246">
        <f>IFERROR(VLOOKUP(F201,VOL_REC[],2,FALSE),0)</f>
        <v>11089674.200000001</v>
      </c>
      <c r="AW201" s="246">
        <f>IFERROR(VLOOKUP(G201,VOL_REC[],2,FALSE),0)</f>
        <v>1812240</v>
      </c>
      <c r="AX201" s="246">
        <f>IFERROR(VLOOKUP(H201,VOL_REC[],2,FALSE),0)</f>
        <v>240696.79238099116</v>
      </c>
      <c r="AY201" s="246">
        <f>IFERROR(VLOOKUP(I201,VOL_REC[],2,FALSE),0)</f>
        <v>1072354.9981737854</v>
      </c>
      <c r="AZ201" s="246">
        <f>IFERROR(VLOOKUP(J201,VOL_REC[],2,FALSE),0)</f>
        <v>0</v>
      </c>
      <c r="BA201" s="246">
        <f>IFERROR(VLOOKUP(K201,VOL_REC[],2,FALSE),0)</f>
        <v>0</v>
      </c>
      <c r="BB201" s="246">
        <f>IFERROR(VLOOKUP(L201,VOL_REC[],2,FALSE),0)</f>
        <v>0</v>
      </c>
      <c r="BC201" s="246">
        <f>IFERROR(VLOOKUP(M201,VOL_REC[],2,FALSE),0)</f>
        <v>0</v>
      </c>
      <c r="BD201" s="246">
        <f>IFERROR(VLOOKUP(N201,VOL_REC[],2,FALSE),0)</f>
        <v>0</v>
      </c>
      <c r="BE201" s="246">
        <f>IFERROR(VLOOKUP(O201,VOL_REC[],2,FALSE),0)</f>
        <v>0</v>
      </c>
      <c r="BF201" s="246">
        <f>IFERROR(VLOOKUP(P201,VOL_REC[],2,FALSE),0)</f>
        <v>0</v>
      </c>
      <c r="BG201" s="246">
        <f>IFERROR(VLOOKUP(Q201,VOL_REC[],2,FALSE),0)</f>
        <v>0</v>
      </c>
      <c r="BH201" s="1710">
        <f t="shared" si="12"/>
        <v>16268475801.231842</v>
      </c>
      <c r="BI201" s="1710">
        <f t="shared" si="13"/>
        <v>15267325078.002247</v>
      </c>
      <c r="BJ201" s="1711">
        <f t="shared" si="14"/>
        <v>14214965.990554776</v>
      </c>
      <c r="BK201" s="1711">
        <f t="shared" si="15"/>
        <v>1.0655747302238354</v>
      </c>
      <c r="BL201">
        <f>BJ201</f>
        <v>14214965.990554776</v>
      </c>
      <c r="BO201">
        <f>BL201</f>
        <v>14214965.990554776</v>
      </c>
    </row>
    <row r="202" spans="3:67" x14ac:dyDescent="0.25">
      <c r="C202" s="246" t="s">
        <v>1552</v>
      </c>
      <c r="D202" s="246">
        <v>1</v>
      </c>
      <c r="E202" s="246">
        <v>2</v>
      </c>
      <c r="F202" s="246">
        <v>3</v>
      </c>
      <c r="G202" s="246">
        <v>10</v>
      </c>
      <c r="H202" s="246">
        <v>12</v>
      </c>
      <c r="I202" s="246">
        <v>17</v>
      </c>
      <c r="J202" s="246"/>
      <c r="K202" s="246"/>
      <c r="L202" s="246"/>
      <c r="M202" s="246"/>
      <c r="N202" s="246"/>
      <c r="O202" s="246"/>
      <c r="P202" s="246"/>
      <c r="Q202" s="246"/>
      <c r="R202" s="246">
        <f>IFERROR(VLOOKUP(D202,PROGRAMAS[],2,FALSE),0)</f>
        <v>97037803.679377079</v>
      </c>
      <c r="S202" s="246">
        <f>IFERROR(VLOOKUP(E202,PROGRAMAS[],2,FALSE),0)</f>
        <v>640501509.6821388</v>
      </c>
      <c r="T202" s="246">
        <f>IFERROR(VLOOKUP(F202,PROGRAMAS[],2,FALSE),0)</f>
        <v>3062327798.1525245</v>
      </c>
      <c r="U202" s="246">
        <f>IFERROR(VLOOKUP(G202,PROGRAMAS[],2,FALSE),0)</f>
        <v>4635315027.8751087</v>
      </c>
      <c r="V202" s="246">
        <f>IFERROR(VLOOKUP(H202,PROGRAMAS[],2,FALSE),0)</f>
        <v>764796700.79905891</v>
      </c>
      <c r="W202" s="246">
        <f>IFERROR(VLOOKUP(I202,PROGRAMAS[],2,FALSE),0)</f>
        <v>1892779498.5211046</v>
      </c>
      <c r="X202" s="246">
        <f>IFERROR(VLOOKUP(J202,PROGRAMAS[],2,FALSE),0)</f>
        <v>0</v>
      </c>
      <c r="Y202" s="246">
        <f>IFERROR(VLOOKUP(K202,PROGRAMAS[],2,FALSE),0)</f>
        <v>0</v>
      </c>
      <c r="Z202" s="246">
        <f>IFERROR(VLOOKUP(L202,PROGRAMAS[],2,FALSE),0)</f>
        <v>0</v>
      </c>
      <c r="AA202" s="246">
        <f>IFERROR(VLOOKUP(M202,PROGRAMAS[],2,FALSE),0)</f>
        <v>0</v>
      </c>
      <c r="AB202" s="246">
        <f>IFERROR(VLOOKUP(N202,PROGRAMAS[],2,FALSE),0)</f>
        <v>0</v>
      </c>
      <c r="AC202" s="246">
        <f>IFERROR(VLOOKUP(O202,PROGRAMAS[],2,FALSE),0)</f>
        <v>0</v>
      </c>
      <c r="AD202" s="246">
        <f>IFERROR(VLOOKUP(P202,PROGRAMAS[],2,FALSE),0)</f>
        <v>0</v>
      </c>
      <c r="AE202" s="246">
        <f>IFERROR(VLOOKUP(Q202,PROGRAMAS[],2,FALSE),0)</f>
        <v>0</v>
      </c>
      <c r="AF202" s="246">
        <f>IFERROR(VLOOKUP(D202,PROGRAMAS[],3,FALSE),0)</f>
        <v>841888629.31080008</v>
      </c>
      <c r="AG202" s="246">
        <f>IFERROR(VLOOKUP(E202,PROGRAMAS[],3,FALSE),0)</f>
        <v>3848980803.1642323</v>
      </c>
      <c r="AH202" s="246">
        <f>IFERROR(VLOOKUP(F202,PROGRAMAS[],3,FALSE),0)</f>
        <v>3394901471.387517</v>
      </c>
      <c r="AI202" s="246">
        <f>IFERROR(VLOOKUP(G202,PROGRAMAS[],3,FALSE),0)</f>
        <v>4099471734.9978786</v>
      </c>
      <c r="AJ202" s="246">
        <f>IFERROR(VLOOKUP(H202,PROGRAMAS[],3,FALSE),0)</f>
        <v>675517840.109828</v>
      </c>
      <c r="AK202" s="246">
        <f>IFERROR(VLOOKUP(I202,PROGRAMAS[],3,FALSE),0)</f>
        <v>948595847.09039903</v>
      </c>
      <c r="AL202" s="246">
        <f>IFERROR(VLOOKUP(J202,PROGRAMAS[],3,FALSE),0)</f>
        <v>0</v>
      </c>
      <c r="AM202" s="246">
        <f>IFERROR(VLOOKUP(K202,PROGRAMAS[],3,FALSE),0)</f>
        <v>0</v>
      </c>
      <c r="AN202" s="246">
        <f>IFERROR(VLOOKUP(L202,PROGRAMAS[],3,FALSE),0)</f>
        <v>0</v>
      </c>
      <c r="AO202" s="246">
        <f>IFERROR(VLOOKUP(M202,PROGRAMAS[],3,FALSE),0)</f>
        <v>0</v>
      </c>
      <c r="AP202" s="246">
        <f>IFERROR(VLOOKUP(N202,PROGRAMAS[],3,FALSE),0)</f>
        <v>0</v>
      </c>
      <c r="AQ202" s="246">
        <f>IFERROR(VLOOKUP(O202,PROGRAMAS[],3,FALSE),0)</f>
        <v>0</v>
      </c>
      <c r="AR202" s="246">
        <f>IFERROR(VLOOKUP(P202,PROGRAMAS[],3,FALSE),0)</f>
        <v>0</v>
      </c>
      <c r="AS202" s="246">
        <f>IFERROR(VLOOKUP(Q202,PROGRAMAS[],3,FALSE),0)</f>
        <v>0</v>
      </c>
      <c r="AT202" s="246">
        <f>IFERROR(VLOOKUP(D202,VOL_REC[],2,FALSE),0)</f>
        <v>0</v>
      </c>
      <c r="AU202" s="246">
        <f>IFERROR(VLOOKUP(E202,VOL_REC[],2,FALSE),0)</f>
        <v>0</v>
      </c>
      <c r="AV202" s="246">
        <f>IFERROR(VLOOKUP(F202,VOL_REC[],2,FALSE),0)</f>
        <v>11089674.200000001</v>
      </c>
      <c r="AW202" s="246">
        <f>IFERROR(VLOOKUP(G202,VOL_REC[],2,FALSE),0)</f>
        <v>1812240</v>
      </c>
      <c r="AX202" s="246">
        <f>IFERROR(VLOOKUP(H202,VOL_REC[],2,FALSE),0)</f>
        <v>240696.79238099116</v>
      </c>
      <c r="AY202" s="246">
        <f>IFERROR(VLOOKUP(I202,VOL_REC[],2,FALSE),0)</f>
        <v>740113.98115702497</v>
      </c>
      <c r="AZ202" s="246">
        <f>IFERROR(VLOOKUP(J202,VOL_REC[],2,FALSE),0)</f>
        <v>0</v>
      </c>
      <c r="BA202" s="246">
        <f>IFERROR(VLOOKUP(K202,VOL_REC[],2,FALSE),0)</f>
        <v>0</v>
      </c>
      <c r="BB202" s="246">
        <f>IFERROR(VLOOKUP(L202,VOL_REC[],2,FALSE),0)</f>
        <v>0</v>
      </c>
      <c r="BC202" s="246">
        <f>IFERROR(VLOOKUP(M202,VOL_REC[],2,FALSE),0)</f>
        <v>0</v>
      </c>
      <c r="BD202" s="246">
        <f>IFERROR(VLOOKUP(N202,VOL_REC[],2,FALSE),0)</f>
        <v>0</v>
      </c>
      <c r="BE202" s="246">
        <f>IFERROR(VLOOKUP(O202,VOL_REC[],2,FALSE),0)</f>
        <v>0</v>
      </c>
      <c r="BF202" s="246">
        <f>IFERROR(VLOOKUP(P202,VOL_REC[],2,FALSE),0)</f>
        <v>0</v>
      </c>
      <c r="BG202" s="246">
        <f>IFERROR(VLOOKUP(Q202,VOL_REC[],2,FALSE),0)</f>
        <v>0</v>
      </c>
      <c r="BH202" s="1710">
        <f t="shared" si="12"/>
        <v>11092758338.709312</v>
      </c>
      <c r="BI202" s="1710">
        <f t="shared" si="13"/>
        <v>13809356326.060656</v>
      </c>
      <c r="BJ202" s="1711">
        <f t="shared" si="14"/>
        <v>13882724.973538017</v>
      </c>
      <c r="BK202" s="1711">
        <f t="shared" si="15"/>
        <v>0.80327844953753202</v>
      </c>
    </row>
    <row r="203" spans="3:67" x14ac:dyDescent="0.25">
      <c r="C203" s="246" t="s">
        <v>1553</v>
      </c>
      <c r="D203" s="246">
        <v>1</v>
      </c>
      <c r="E203" s="246">
        <v>2</v>
      </c>
      <c r="F203" s="246">
        <v>3</v>
      </c>
      <c r="G203" s="246">
        <v>10</v>
      </c>
      <c r="H203" s="246">
        <v>13</v>
      </c>
      <c r="I203" s="246">
        <v>14</v>
      </c>
      <c r="J203" s="246"/>
      <c r="K203" s="246"/>
      <c r="L203" s="246"/>
      <c r="M203" s="246"/>
      <c r="N203" s="246"/>
      <c r="O203" s="246"/>
      <c r="P203" s="246"/>
      <c r="Q203" s="246"/>
      <c r="R203" s="246">
        <f>IFERROR(VLOOKUP(D203,PROGRAMAS[],2,FALSE),0)</f>
        <v>97037803.679377079</v>
      </c>
      <c r="S203" s="246">
        <f>IFERROR(VLOOKUP(E203,PROGRAMAS[],2,FALSE),0)</f>
        <v>640501509.6821388</v>
      </c>
      <c r="T203" s="246">
        <f>IFERROR(VLOOKUP(F203,PROGRAMAS[],2,FALSE),0)</f>
        <v>3062327798.1525245</v>
      </c>
      <c r="U203" s="246">
        <f>IFERROR(VLOOKUP(G203,PROGRAMAS[],2,FALSE),0)</f>
        <v>4635315027.8751087</v>
      </c>
      <c r="V203" s="246">
        <f>IFERROR(VLOOKUP(H203,PROGRAMAS[],2,FALSE),0)</f>
        <v>3776538594.4604583</v>
      </c>
      <c r="W203" s="246">
        <f>IFERROR(VLOOKUP(I203,PROGRAMAS[],2,FALSE),0)</f>
        <v>54223862.645839565</v>
      </c>
      <c r="X203" s="246">
        <f>IFERROR(VLOOKUP(J203,PROGRAMAS[],2,FALSE),0)</f>
        <v>0</v>
      </c>
      <c r="Y203" s="246">
        <f>IFERROR(VLOOKUP(K203,PROGRAMAS[],2,FALSE),0)</f>
        <v>0</v>
      </c>
      <c r="Z203" s="246">
        <f>IFERROR(VLOOKUP(L203,PROGRAMAS[],2,FALSE),0)</f>
        <v>0</v>
      </c>
      <c r="AA203" s="246">
        <f>IFERROR(VLOOKUP(M203,PROGRAMAS[],2,FALSE),0)</f>
        <v>0</v>
      </c>
      <c r="AB203" s="246">
        <f>IFERROR(VLOOKUP(N203,PROGRAMAS[],2,FALSE),0)</f>
        <v>0</v>
      </c>
      <c r="AC203" s="246">
        <f>IFERROR(VLOOKUP(O203,PROGRAMAS[],2,FALSE),0)</f>
        <v>0</v>
      </c>
      <c r="AD203" s="246">
        <f>IFERROR(VLOOKUP(P203,PROGRAMAS[],2,FALSE),0)</f>
        <v>0</v>
      </c>
      <c r="AE203" s="246">
        <f>IFERROR(VLOOKUP(Q203,PROGRAMAS[],2,FALSE),0)</f>
        <v>0</v>
      </c>
      <c r="AF203" s="246">
        <f>IFERROR(VLOOKUP(D203,PROGRAMAS[],3,FALSE),0)</f>
        <v>841888629.31080008</v>
      </c>
      <c r="AG203" s="246">
        <f>IFERROR(VLOOKUP(E203,PROGRAMAS[],3,FALSE),0)</f>
        <v>3848980803.1642323</v>
      </c>
      <c r="AH203" s="246">
        <f>IFERROR(VLOOKUP(F203,PROGRAMAS[],3,FALSE),0)</f>
        <v>3394901471.387517</v>
      </c>
      <c r="AI203" s="246">
        <f>IFERROR(VLOOKUP(G203,PROGRAMAS[],3,FALSE),0)</f>
        <v>4099471734.9978786</v>
      </c>
      <c r="AJ203" s="246">
        <f>IFERROR(VLOOKUP(H203,PROGRAMAS[],3,FALSE),0)</f>
        <v>2392571243.5584412</v>
      </c>
      <c r="AK203" s="246">
        <f>IFERROR(VLOOKUP(I203,PROGRAMAS[],3,FALSE),0)</f>
        <v>31865326.38096505</v>
      </c>
      <c r="AL203" s="246">
        <f>IFERROR(VLOOKUP(J203,PROGRAMAS[],3,FALSE),0)</f>
        <v>0</v>
      </c>
      <c r="AM203" s="246">
        <f>IFERROR(VLOOKUP(K203,PROGRAMAS[],3,FALSE),0)</f>
        <v>0</v>
      </c>
      <c r="AN203" s="246">
        <f>IFERROR(VLOOKUP(L203,PROGRAMAS[],3,FALSE),0)</f>
        <v>0</v>
      </c>
      <c r="AO203" s="246">
        <f>IFERROR(VLOOKUP(M203,PROGRAMAS[],3,FALSE),0)</f>
        <v>0</v>
      </c>
      <c r="AP203" s="246">
        <f>IFERROR(VLOOKUP(N203,PROGRAMAS[],3,FALSE),0)</f>
        <v>0</v>
      </c>
      <c r="AQ203" s="246">
        <f>IFERROR(VLOOKUP(O203,PROGRAMAS[],3,FALSE),0)</f>
        <v>0</v>
      </c>
      <c r="AR203" s="246">
        <f>IFERROR(VLOOKUP(P203,PROGRAMAS[],3,FALSE),0)</f>
        <v>0</v>
      </c>
      <c r="AS203" s="246">
        <f>IFERROR(VLOOKUP(Q203,PROGRAMAS[],3,FALSE),0)</f>
        <v>0</v>
      </c>
      <c r="AT203" s="246">
        <f>IFERROR(VLOOKUP(D203,VOL_REC[],2,FALSE),0)</f>
        <v>0</v>
      </c>
      <c r="AU203" s="246">
        <f>IFERROR(VLOOKUP(E203,VOL_REC[],2,FALSE),0)</f>
        <v>0</v>
      </c>
      <c r="AV203" s="246">
        <f>IFERROR(VLOOKUP(F203,VOL_REC[],2,FALSE),0)</f>
        <v>11089674.200000001</v>
      </c>
      <c r="AW203" s="246">
        <f>IFERROR(VLOOKUP(G203,VOL_REC[],2,FALSE),0)</f>
        <v>1812240</v>
      </c>
      <c r="AX203" s="246">
        <f>IFERROR(VLOOKUP(H203,VOL_REC[],2,FALSE),0)</f>
        <v>663244.80000000016</v>
      </c>
      <c r="AY203" s="246">
        <f>IFERROR(VLOOKUP(I203,VOL_REC[],2,FALSE),0)</f>
        <v>17074.045034105649</v>
      </c>
      <c r="AZ203" s="246">
        <f>IFERROR(VLOOKUP(J203,VOL_REC[],2,FALSE),0)</f>
        <v>0</v>
      </c>
      <c r="BA203" s="246">
        <f>IFERROR(VLOOKUP(K203,VOL_REC[],2,FALSE),0)</f>
        <v>0</v>
      </c>
      <c r="BB203" s="246">
        <f>IFERROR(VLOOKUP(L203,VOL_REC[],2,FALSE),0)</f>
        <v>0</v>
      </c>
      <c r="BC203" s="246">
        <f>IFERROR(VLOOKUP(M203,VOL_REC[],2,FALSE),0)</f>
        <v>0</v>
      </c>
      <c r="BD203" s="246">
        <f>IFERROR(VLOOKUP(N203,VOL_REC[],2,FALSE),0)</f>
        <v>0</v>
      </c>
      <c r="BE203" s="246">
        <f>IFERROR(VLOOKUP(O203,VOL_REC[],2,FALSE),0)</f>
        <v>0</v>
      </c>
      <c r="BF203" s="246">
        <f>IFERROR(VLOOKUP(P203,VOL_REC[],2,FALSE),0)</f>
        <v>0</v>
      </c>
      <c r="BG203" s="246">
        <f>IFERROR(VLOOKUP(Q203,VOL_REC[],2,FALSE),0)</f>
        <v>0</v>
      </c>
      <c r="BH203" s="1710">
        <f t="shared" si="12"/>
        <v>12265944596.495447</v>
      </c>
      <c r="BI203" s="1710">
        <f t="shared" si="13"/>
        <v>14609679208.799833</v>
      </c>
      <c r="BJ203" s="1711">
        <f t="shared" si="14"/>
        <v>13582233.045034107</v>
      </c>
      <c r="BK203" s="1711">
        <f t="shared" si="15"/>
        <v>0.83957658626120368</v>
      </c>
    </row>
    <row r="204" spans="3:67" x14ac:dyDescent="0.25">
      <c r="C204" s="246" t="s">
        <v>1554</v>
      </c>
      <c r="D204" s="246">
        <v>1</v>
      </c>
      <c r="E204" s="246">
        <v>2</v>
      </c>
      <c r="F204" s="246">
        <v>3</v>
      </c>
      <c r="G204" s="246">
        <v>10</v>
      </c>
      <c r="H204" s="246">
        <v>13</v>
      </c>
      <c r="I204" s="246">
        <v>15</v>
      </c>
      <c r="J204" s="246"/>
      <c r="K204" s="246"/>
      <c r="L204" s="246"/>
      <c r="M204" s="246"/>
      <c r="N204" s="246"/>
      <c r="O204" s="246"/>
      <c r="P204" s="246"/>
      <c r="Q204" s="246"/>
      <c r="R204" s="246">
        <f>IFERROR(VLOOKUP(D204,PROGRAMAS[],2,FALSE),0)</f>
        <v>97037803.679377079</v>
      </c>
      <c r="S204" s="246">
        <f>IFERROR(VLOOKUP(E204,PROGRAMAS[],2,FALSE),0)</f>
        <v>640501509.6821388</v>
      </c>
      <c r="T204" s="246">
        <f>IFERROR(VLOOKUP(F204,PROGRAMAS[],2,FALSE),0)</f>
        <v>3062327798.1525245</v>
      </c>
      <c r="U204" s="246">
        <f>IFERROR(VLOOKUP(G204,PROGRAMAS[],2,FALSE),0)</f>
        <v>4635315027.8751087</v>
      </c>
      <c r="V204" s="246">
        <f>IFERROR(VLOOKUP(H204,PROGRAMAS[],2,FALSE),0)</f>
        <v>3776538594.4604583</v>
      </c>
      <c r="W204" s="246">
        <f>IFERROR(VLOOKUP(I204,PROGRAMAS[],2,FALSE),0)</f>
        <v>122159672.96346797</v>
      </c>
      <c r="X204" s="246">
        <f>IFERROR(VLOOKUP(J204,PROGRAMAS[],2,FALSE),0)</f>
        <v>0</v>
      </c>
      <c r="Y204" s="246">
        <f>IFERROR(VLOOKUP(K204,PROGRAMAS[],2,FALSE),0)</f>
        <v>0</v>
      </c>
      <c r="Z204" s="246">
        <f>IFERROR(VLOOKUP(L204,PROGRAMAS[],2,FALSE),0)</f>
        <v>0</v>
      </c>
      <c r="AA204" s="246">
        <f>IFERROR(VLOOKUP(M204,PROGRAMAS[],2,FALSE),0)</f>
        <v>0</v>
      </c>
      <c r="AB204" s="246">
        <f>IFERROR(VLOOKUP(N204,PROGRAMAS[],2,FALSE),0)</f>
        <v>0</v>
      </c>
      <c r="AC204" s="246">
        <f>IFERROR(VLOOKUP(O204,PROGRAMAS[],2,FALSE),0)</f>
        <v>0</v>
      </c>
      <c r="AD204" s="246">
        <f>IFERROR(VLOOKUP(P204,PROGRAMAS[],2,FALSE),0)</f>
        <v>0</v>
      </c>
      <c r="AE204" s="246">
        <f>IFERROR(VLOOKUP(Q204,PROGRAMAS[],2,FALSE),0)</f>
        <v>0</v>
      </c>
      <c r="AF204" s="246">
        <f>IFERROR(VLOOKUP(D204,PROGRAMAS[],3,FALSE),0)</f>
        <v>841888629.31080008</v>
      </c>
      <c r="AG204" s="246">
        <f>IFERROR(VLOOKUP(E204,PROGRAMAS[],3,FALSE),0)</f>
        <v>3848980803.1642323</v>
      </c>
      <c r="AH204" s="246">
        <f>IFERROR(VLOOKUP(F204,PROGRAMAS[],3,FALSE),0)</f>
        <v>3394901471.387517</v>
      </c>
      <c r="AI204" s="246">
        <f>IFERROR(VLOOKUP(G204,PROGRAMAS[],3,FALSE),0)</f>
        <v>4099471734.9978786</v>
      </c>
      <c r="AJ204" s="246">
        <f>IFERROR(VLOOKUP(H204,PROGRAMAS[],3,FALSE),0)</f>
        <v>2392571243.5584412</v>
      </c>
      <c r="AK204" s="246">
        <f>IFERROR(VLOOKUP(I204,PROGRAMAS[],3,FALSE),0)</f>
        <v>118617452.52510804</v>
      </c>
      <c r="AL204" s="246">
        <f>IFERROR(VLOOKUP(J204,PROGRAMAS[],3,FALSE),0)</f>
        <v>0</v>
      </c>
      <c r="AM204" s="246">
        <f>IFERROR(VLOOKUP(K204,PROGRAMAS[],3,FALSE),0)</f>
        <v>0</v>
      </c>
      <c r="AN204" s="246">
        <f>IFERROR(VLOOKUP(L204,PROGRAMAS[],3,FALSE),0)</f>
        <v>0</v>
      </c>
      <c r="AO204" s="246">
        <f>IFERROR(VLOOKUP(M204,PROGRAMAS[],3,FALSE),0)</f>
        <v>0</v>
      </c>
      <c r="AP204" s="246">
        <f>IFERROR(VLOOKUP(N204,PROGRAMAS[],3,FALSE),0)</f>
        <v>0</v>
      </c>
      <c r="AQ204" s="246">
        <f>IFERROR(VLOOKUP(O204,PROGRAMAS[],3,FALSE),0)</f>
        <v>0</v>
      </c>
      <c r="AR204" s="246">
        <f>IFERROR(VLOOKUP(P204,PROGRAMAS[],3,FALSE),0)</f>
        <v>0</v>
      </c>
      <c r="AS204" s="246">
        <f>IFERROR(VLOOKUP(Q204,PROGRAMAS[],3,FALSE),0)</f>
        <v>0</v>
      </c>
      <c r="AT204" s="246">
        <f>IFERROR(VLOOKUP(D204,VOL_REC[],2,FALSE),0)</f>
        <v>0</v>
      </c>
      <c r="AU204" s="246">
        <f>IFERROR(VLOOKUP(E204,VOL_REC[],2,FALSE),0)</f>
        <v>0</v>
      </c>
      <c r="AV204" s="246">
        <f>IFERROR(VLOOKUP(F204,VOL_REC[],2,FALSE),0)</f>
        <v>11089674.200000001</v>
      </c>
      <c r="AW204" s="246">
        <f>IFERROR(VLOOKUP(G204,VOL_REC[],2,FALSE),0)</f>
        <v>1812240</v>
      </c>
      <c r="AX204" s="246">
        <f>IFERROR(VLOOKUP(H204,VOL_REC[],2,FALSE),0)</f>
        <v>663244.80000000016</v>
      </c>
      <c r="AY204" s="246">
        <f>IFERROR(VLOOKUP(I204,VOL_REC[],2,FALSE),0)</f>
        <v>105072</v>
      </c>
      <c r="AZ204" s="246">
        <f>IFERROR(VLOOKUP(J204,VOL_REC[],2,FALSE),0)</f>
        <v>0</v>
      </c>
      <c r="BA204" s="246">
        <f>IFERROR(VLOOKUP(K204,VOL_REC[],2,FALSE),0)</f>
        <v>0</v>
      </c>
      <c r="BB204" s="246">
        <f>IFERROR(VLOOKUP(L204,VOL_REC[],2,FALSE),0)</f>
        <v>0</v>
      </c>
      <c r="BC204" s="246">
        <f>IFERROR(VLOOKUP(M204,VOL_REC[],2,FALSE),0)</f>
        <v>0</v>
      </c>
      <c r="BD204" s="246">
        <f>IFERROR(VLOOKUP(N204,VOL_REC[],2,FALSE),0)</f>
        <v>0</v>
      </c>
      <c r="BE204" s="246">
        <f>IFERROR(VLOOKUP(O204,VOL_REC[],2,FALSE),0)</f>
        <v>0</v>
      </c>
      <c r="BF204" s="246">
        <f>IFERROR(VLOOKUP(P204,VOL_REC[],2,FALSE),0)</f>
        <v>0</v>
      </c>
      <c r="BG204" s="246">
        <f>IFERROR(VLOOKUP(Q204,VOL_REC[],2,FALSE),0)</f>
        <v>0</v>
      </c>
      <c r="BH204" s="1710">
        <f t="shared" si="12"/>
        <v>12333880406.813076</v>
      </c>
      <c r="BI204" s="1710">
        <f t="shared" si="13"/>
        <v>14696431334.943977</v>
      </c>
      <c r="BJ204" s="1711">
        <f t="shared" si="14"/>
        <v>13670231.000000002</v>
      </c>
      <c r="BK204" s="1711">
        <f t="shared" si="15"/>
        <v>0.83924322345429392</v>
      </c>
    </row>
    <row r="205" spans="3:67" x14ac:dyDescent="0.25">
      <c r="C205" s="246" t="s">
        <v>1555</v>
      </c>
      <c r="D205" s="246">
        <v>1</v>
      </c>
      <c r="E205" s="246">
        <v>2</v>
      </c>
      <c r="F205" s="246">
        <v>3</v>
      </c>
      <c r="G205" s="246">
        <v>10</v>
      </c>
      <c r="H205" s="246">
        <v>13</v>
      </c>
      <c r="I205" s="246">
        <v>16</v>
      </c>
      <c r="J205" s="246"/>
      <c r="K205" s="246"/>
      <c r="L205" s="246"/>
      <c r="M205" s="246"/>
      <c r="N205" s="246"/>
      <c r="O205" s="246"/>
      <c r="P205" s="246"/>
      <c r="Q205" s="246"/>
      <c r="R205" s="246">
        <f>IFERROR(VLOOKUP(D205,PROGRAMAS[],2,FALSE),0)</f>
        <v>97037803.679377079</v>
      </c>
      <c r="S205" s="246">
        <f>IFERROR(VLOOKUP(E205,PROGRAMAS[],2,FALSE),0)</f>
        <v>640501509.6821388</v>
      </c>
      <c r="T205" s="246">
        <f>IFERROR(VLOOKUP(F205,PROGRAMAS[],2,FALSE),0)</f>
        <v>3062327798.1525245</v>
      </c>
      <c r="U205" s="246">
        <f>IFERROR(VLOOKUP(G205,PROGRAMAS[],2,FALSE),0)</f>
        <v>4635315027.8751087</v>
      </c>
      <c r="V205" s="246">
        <f>IFERROR(VLOOKUP(H205,PROGRAMAS[],2,FALSE),0)</f>
        <v>3776538594.4604583</v>
      </c>
      <c r="W205" s="246">
        <f>IFERROR(VLOOKUP(I205,PROGRAMAS[],2,FALSE),0)</f>
        <v>7068496961.0436354</v>
      </c>
      <c r="X205" s="246">
        <f>IFERROR(VLOOKUP(J205,PROGRAMAS[],2,FALSE),0)</f>
        <v>0</v>
      </c>
      <c r="Y205" s="246">
        <f>IFERROR(VLOOKUP(K205,PROGRAMAS[],2,FALSE),0)</f>
        <v>0</v>
      </c>
      <c r="Z205" s="246">
        <f>IFERROR(VLOOKUP(L205,PROGRAMAS[],2,FALSE),0)</f>
        <v>0</v>
      </c>
      <c r="AA205" s="246">
        <f>IFERROR(VLOOKUP(M205,PROGRAMAS[],2,FALSE),0)</f>
        <v>0</v>
      </c>
      <c r="AB205" s="246">
        <f>IFERROR(VLOOKUP(N205,PROGRAMAS[],2,FALSE),0)</f>
        <v>0</v>
      </c>
      <c r="AC205" s="246">
        <f>IFERROR(VLOOKUP(O205,PROGRAMAS[],2,FALSE),0)</f>
        <v>0</v>
      </c>
      <c r="AD205" s="246">
        <f>IFERROR(VLOOKUP(P205,PROGRAMAS[],2,FALSE),0)</f>
        <v>0</v>
      </c>
      <c r="AE205" s="246">
        <f>IFERROR(VLOOKUP(Q205,PROGRAMAS[],2,FALSE),0)</f>
        <v>0</v>
      </c>
      <c r="AF205" s="246">
        <f>IFERROR(VLOOKUP(D205,PROGRAMAS[],3,FALSE),0)</f>
        <v>841888629.31080008</v>
      </c>
      <c r="AG205" s="246">
        <f>IFERROR(VLOOKUP(E205,PROGRAMAS[],3,FALSE),0)</f>
        <v>3848980803.1642323</v>
      </c>
      <c r="AH205" s="246">
        <f>IFERROR(VLOOKUP(F205,PROGRAMAS[],3,FALSE),0)</f>
        <v>3394901471.387517</v>
      </c>
      <c r="AI205" s="246">
        <f>IFERROR(VLOOKUP(G205,PROGRAMAS[],3,FALSE),0)</f>
        <v>4099471734.9978786</v>
      </c>
      <c r="AJ205" s="246">
        <f>IFERROR(VLOOKUP(H205,PROGRAMAS[],3,FALSE),0)</f>
        <v>2392571243.5584412</v>
      </c>
      <c r="AK205" s="246">
        <f>IFERROR(VLOOKUP(I205,PROGRAMAS[],3,FALSE),0)</f>
        <v>2406564599.0319901</v>
      </c>
      <c r="AL205" s="246">
        <f>IFERROR(VLOOKUP(J205,PROGRAMAS[],3,FALSE),0)</f>
        <v>0</v>
      </c>
      <c r="AM205" s="246">
        <f>IFERROR(VLOOKUP(K205,PROGRAMAS[],3,FALSE),0)</f>
        <v>0</v>
      </c>
      <c r="AN205" s="246">
        <f>IFERROR(VLOOKUP(L205,PROGRAMAS[],3,FALSE),0)</f>
        <v>0</v>
      </c>
      <c r="AO205" s="246">
        <f>IFERROR(VLOOKUP(M205,PROGRAMAS[],3,FALSE),0)</f>
        <v>0</v>
      </c>
      <c r="AP205" s="246">
        <f>IFERROR(VLOOKUP(N205,PROGRAMAS[],3,FALSE),0)</f>
        <v>0</v>
      </c>
      <c r="AQ205" s="246">
        <f>IFERROR(VLOOKUP(O205,PROGRAMAS[],3,FALSE),0)</f>
        <v>0</v>
      </c>
      <c r="AR205" s="246">
        <f>IFERROR(VLOOKUP(P205,PROGRAMAS[],3,FALSE),0)</f>
        <v>0</v>
      </c>
      <c r="AS205" s="246">
        <f>IFERROR(VLOOKUP(Q205,PROGRAMAS[],3,FALSE),0)</f>
        <v>0</v>
      </c>
      <c r="AT205" s="246">
        <f>IFERROR(VLOOKUP(D205,VOL_REC[],2,FALSE),0)</f>
        <v>0</v>
      </c>
      <c r="AU205" s="246">
        <f>IFERROR(VLOOKUP(E205,VOL_REC[],2,FALSE),0)</f>
        <v>0</v>
      </c>
      <c r="AV205" s="246">
        <f>IFERROR(VLOOKUP(F205,VOL_REC[],2,FALSE),0)</f>
        <v>11089674.200000001</v>
      </c>
      <c r="AW205" s="246">
        <f>IFERROR(VLOOKUP(G205,VOL_REC[],2,FALSE),0)</f>
        <v>1812240</v>
      </c>
      <c r="AX205" s="246">
        <f>IFERROR(VLOOKUP(H205,VOL_REC[],2,FALSE),0)</f>
        <v>663244.80000000016</v>
      </c>
      <c r="AY205" s="246">
        <f>IFERROR(VLOOKUP(I205,VOL_REC[],2,FALSE),0)</f>
        <v>1072354.9981737854</v>
      </c>
      <c r="AZ205" s="246">
        <f>IFERROR(VLOOKUP(J205,VOL_REC[],2,FALSE),0)</f>
        <v>0</v>
      </c>
      <c r="BA205" s="246">
        <f>IFERROR(VLOOKUP(K205,VOL_REC[],2,FALSE),0)</f>
        <v>0</v>
      </c>
      <c r="BB205" s="246">
        <f>IFERROR(VLOOKUP(L205,VOL_REC[],2,FALSE),0)</f>
        <v>0</v>
      </c>
      <c r="BC205" s="246">
        <f>IFERROR(VLOOKUP(M205,VOL_REC[],2,FALSE),0)</f>
        <v>0</v>
      </c>
      <c r="BD205" s="246">
        <f>IFERROR(VLOOKUP(N205,VOL_REC[],2,FALSE),0)</f>
        <v>0</v>
      </c>
      <c r="BE205" s="246">
        <f>IFERROR(VLOOKUP(O205,VOL_REC[],2,FALSE),0)</f>
        <v>0</v>
      </c>
      <c r="BF205" s="246">
        <f>IFERROR(VLOOKUP(P205,VOL_REC[],2,FALSE),0)</f>
        <v>0</v>
      </c>
      <c r="BG205" s="246">
        <f>IFERROR(VLOOKUP(Q205,VOL_REC[],2,FALSE),0)</f>
        <v>0</v>
      </c>
      <c r="BH205" s="1710">
        <f t="shared" si="12"/>
        <v>19280217694.893242</v>
      </c>
      <c r="BI205" s="1710">
        <f t="shared" si="13"/>
        <v>16984378481.450859</v>
      </c>
      <c r="BJ205" s="1711">
        <f t="shared" si="14"/>
        <v>14637513.998173788</v>
      </c>
      <c r="BK205" s="1711">
        <f t="shared" si="15"/>
        <v>1.13517357823542</v>
      </c>
      <c r="BL205">
        <f>BJ205</f>
        <v>14637513.998173788</v>
      </c>
      <c r="BO205">
        <f>BL205</f>
        <v>14637513.998173788</v>
      </c>
    </row>
    <row r="206" spans="3:67" x14ac:dyDescent="0.25">
      <c r="C206" s="246" t="s">
        <v>1556</v>
      </c>
      <c r="D206" s="246">
        <v>1</v>
      </c>
      <c r="E206" s="246">
        <v>2</v>
      </c>
      <c r="F206" s="246">
        <v>3</v>
      </c>
      <c r="G206" s="246">
        <v>10</v>
      </c>
      <c r="H206" s="246">
        <v>13</v>
      </c>
      <c r="I206" s="246">
        <v>17</v>
      </c>
      <c r="J206" s="246"/>
      <c r="K206" s="246"/>
      <c r="L206" s="246"/>
      <c r="M206" s="246"/>
      <c r="N206" s="246"/>
      <c r="O206" s="246"/>
      <c r="P206" s="246"/>
      <c r="Q206" s="246"/>
      <c r="R206" s="246">
        <f>IFERROR(VLOOKUP(D206,PROGRAMAS[],2,FALSE),0)</f>
        <v>97037803.679377079</v>
      </c>
      <c r="S206" s="246">
        <f>IFERROR(VLOOKUP(E206,PROGRAMAS[],2,FALSE),0)</f>
        <v>640501509.6821388</v>
      </c>
      <c r="T206" s="246">
        <f>IFERROR(VLOOKUP(F206,PROGRAMAS[],2,FALSE),0)</f>
        <v>3062327798.1525245</v>
      </c>
      <c r="U206" s="246">
        <f>IFERROR(VLOOKUP(G206,PROGRAMAS[],2,FALSE),0)</f>
        <v>4635315027.8751087</v>
      </c>
      <c r="V206" s="246">
        <f>IFERROR(VLOOKUP(H206,PROGRAMAS[],2,FALSE),0)</f>
        <v>3776538594.4604583</v>
      </c>
      <c r="W206" s="246">
        <f>IFERROR(VLOOKUP(I206,PROGRAMAS[],2,FALSE),0)</f>
        <v>1892779498.5211046</v>
      </c>
      <c r="X206" s="246">
        <f>IFERROR(VLOOKUP(J206,PROGRAMAS[],2,FALSE),0)</f>
        <v>0</v>
      </c>
      <c r="Y206" s="246">
        <f>IFERROR(VLOOKUP(K206,PROGRAMAS[],2,FALSE),0)</f>
        <v>0</v>
      </c>
      <c r="Z206" s="246">
        <f>IFERROR(VLOOKUP(L206,PROGRAMAS[],2,FALSE),0)</f>
        <v>0</v>
      </c>
      <c r="AA206" s="246">
        <f>IFERROR(VLOOKUP(M206,PROGRAMAS[],2,FALSE),0)</f>
        <v>0</v>
      </c>
      <c r="AB206" s="246">
        <f>IFERROR(VLOOKUP(N206,PROGRAMAS[],2,FALSE),0)</f>
        <v>0</v>
      </c>
      <c r="AC206" s="246">
        <f>IFERROR(VLOOKUP(O206,PROGRAMAS[],2,FALSE),0)</f>
        <v>0</v>
      </c>
      <c r="AD206" s="246">
        <f>IFERROR(VLOOKUP(P206,PROGRAMAS[],2,FALSE),0)</f>
        <v>0</v>
      </c>
      <c r="AE206" s="246">
        <f>IFERROR(VLOOKUP(Q206,PROGRAMAS[],2,FALSE),0)</f>
        <v>0</v>
      </c>
      <c r="AF206" s="246">
        <f>IFERROR(VLOOKUP(D206,PROGRAMAS[],3,FALSE),0)</f>
        <v>841888629.31080008</v>
      </c>
      <c r="AG206" s="246">
        <f>IFERROR(VLOOKUP(E206,PROGRAMAS[],3,FALSE),0)</f>
        <v>3848980803.1642323</v>
      </c>
      <c r="AH206" s="246">
        <f>IFERROR(VLOOKUP(F206,PROGRAMAS[],3,FALSE),0)</f>
        <v>3394901471.387517</v>
      </c>
      <c r="AI206" s="246">
        <f>IFERROR(VLOOKUP(G206,PROGRAMAS[],3,FALSE),0)</f>
        <v>4099471734.9978786</v>
      </c>
      <c r="AJ206" s="246">
        <f>IFERROR(VLOOKUP(H206,PROGRAMAS[],3,FALSE),0)</f>
        <v>2392571243.5584412</v>
      </c>
      <c r="AK206" s="246">
        <f>IFERROR(VLOOKUP(I206,PROGRAMAS[],3,FALSE),0)</f>
        <v>948595847.09039903</v>
      </c>
      <c r="AL206" s="246">
        <f>IFERROR(VLOOKUP(J206,PROGRAMAS[],3,FALSE),0)</f>
        <v>0</v>
      </c>
      <c r="AM206" s="246">
        <f>IFERROR(VLOOKUP(K206,PROGRAMAS[],3,FALSE),0)</f>
        <v>0</v>
      </c>
      <c r="AN206" s="246">
        <f>IFERROR(VLOOKUP(L206,PROGRAMAS[],3,FALSE),0)</f>
        <v>0</v>
      </c>
      <c r="AO206" s="246">
        <f>IFERROR(VLOOKUP(M206,PROGRAMAS[],3,FALSE),0)</f>
        <v>0</v>
      </c>
      <c r="AP206" s="246">
        <f>IFERROR(VLOOKUP(N206,PROGRAMAS[],3,FALSE),0)</f>
        <v>0</v>
      </c>
      <c r="AQ206" s="246">
        <f>IFERROR(VLOOKUP(O206,PROGRAMAS[],3,FALSE),0)</f>
        <v>0</v>
      </c>
      <c r="AR206" s="246">
        <f>IFERROR(VLOOKUP(P206,PROGRAMAS[],3,FALSE),0)</f>
        <v>0</v>
      </c>
      <c r="AS206" s="246">
        <f>IFERROR(VLOOKUP(Q206,PROGRAMAS[],3,FALSE),0)</f>
        <v>0</v>
      </c>
      <c r="AT206" s="246">
        <f>IFERROR(VLOOKUP(D206,VOL_REC[],2,FALSE),0)</f>
        <v>0</v>
      </c>
      <c r="AU206" s="246">
        <f>IFERROR(VLOOKUP(E206,VOL_REC[],2,FALSE),0)</f>
        <v>0</v>
      </c>
      <c r="AV206" s="246">
        <f>IFERROR(VLOOKUP(F206,VOL_REC[],2,FALSE),0)</f>
        <v>11089674.200000001</v>
      </c>
      <c r="AW206" s="246">
        <f>IFERROR(VLOOKUP(G206,VOL_REC[],2,FALSE),0)</f>
        <v>1812240</v>
      </c>
      <c r="AX206" s="246">
        <f>IFERROR(VLOOKUP(H206,VOL_REC[],2,FALSE),0)</f>
        <v>663244.80000000016</v>
      </c>
      <c r="AY206" s="246">
        <f>IFERROR(VLOOKUP(I206,VOL_REC[],2,FALSE),0)</f>
        <v>740113.98115702497</v>
      </c>
      <c r="AZ206" s="246">
        <f>IFERROR(VLOOKUP(J206,VOL_REC[],2,FALSE),0)</f>
        <v>0</v>
      </c>
      <c r="BA206" s="246">
        <f>IFERROR(VLOOKUP(K206,VOL_REC[],2,FALSE),0)</f>
        <v>0</v>
      </c>
      <c r="BB206" s="246">
        <f>IFERROR(VLOOKUP(L206,VOL_REC[],2,FALSE),0)</f>
        <v>0</v>
      </c>
      <c r="BC206" s="246">
        <f>IFERROR(VLOOKUP(M206,VOL_REC[],2,FALSE),0)</f>
        <v>0</v>
      </c>
      <c r="BD206" s="246">
        <f>IFERROR(VLOOKUP(N206,VOL_REC[],2,FALSE),0)</f>
        <v>0</v>
      </c>
      <c r="BE206" s="246">
        <f>IFERROR(VLOOKUP(O206,VOL_REC[],2,FALSE),0)</f>
        <v>0</v>
      </c>
      <c r="BF206" s="246">
        <f>IFERROR(VLOOKUP(P206,VOL_REC[],2,FALSE),0)</f>
        <v>0</v>
      </c>
      <c r="BG206" s="246">
        <f>IFERROR(VLOOKUP(Q206,VOL_REC[],2,FALSE),0)</f>
        <v>0</v>
      </c>
      <c r="BH206" s="1710">
        <f t="shared" si="12"/>
        <v>14104500232.370712</v>
      </c>
      <c r="BI206" s="1710">
        <f t="shared" si="13"/>
        <v>15526409729.509268</v>
      </c>
      <c r="BJ206" s="1711">
        <f t="shared" si="14"/>
        <v>14305272.981157027</v>
      </c>
      <c r="BK206" s="1711">
        <f t="shared" si="15"/>
        <v>0.90841994241359647</v>
      </c>
    </row>
    <row r="207" spans="3:67" x14ac:dyDescent="0.25">
      <c r="C207" s="246" t="s">
        <v>1557</v>
      </c>
      <c r="D207" s="246">
        <v>1</v>
      </c>
      <c r="E207" s="246">
        <v>2</v>
      </c>
      <c r="F207" s="246">
        <v>3</v>
      </c>
      <c r="G207" s="246">
        <v>10</v>
      </c>
      <c r="H207" s="246">
        <v>14</v>
      </c>
      <c r="I207" s="246">
        <v>15</v>
      </c>
      <c r="J207" s="246"/>
      <c r="K207" s="246"/>
      <c r="L207" s="246"/>
      <c r="M207" s="246"/>
      <c r="N207" s="246"/>
      <c r="O207" s="246"/>
      <c r="P207" s="246"/>
      <c r="Q207" s="246"/>
      <c r="R207" s="246">
        <f>IFERROR(VLOOKUP(D207,PROGRAMAS[],2,FALSE),0)</f>
        <v>97037803.679377079</v>
      </c>
      <c r="S207" s="246">
        <f>IFERROR(VLOOKUP(E207,PROGRAMAS[],2,FALSE),0)</f>
        <v>640501509.6821388</v>
      </c>
      <c r="T207" s="246">
        <f>IFERROR(VLOOKUP(F207,PROGRAMAS[],2,FALSE),0)</f>
        <v>3062327798.1525245</v>
      </c>
      <c r="U207" s="246">
        <f>IFERROR(VLOOKUP(G207,PROGRAMAS[],2,FALSE),0)</f>
        <v>4635315027.8751087</v>
      </c>
      <c r="V207" s="246">
        <f>IFERROR(VLOOKUP(H207,PROGRAMAS[],2,FALSE),0)</f>
        <v>54223862.645839565</v>
      </c>
      <c r="W207" s="246">
        <f>IFERROR(VLOOKUP(I207,PROGRAMAS[],2,FALSE),0)</f>
        <v>122159672.96346797</v>
      </c>
      <c r="X207" s="246">
        <f>IFERROR(VLOOKUP(J207,PROGRAMAS[],2,FALSE),0)</f>
        <v>0</v>
      </c>
      <c r="Y207" s="246">
        <f>IFERROR(VLOOKUP(K207,PROGRAMAS[],2,FALSE),0)</f>
        <v>0</v>
      </c>
      <c r="Z207" s="246">
        <f>IFERROR(VLOOKUP(L207,PROGRAMAS[],2,FALSE),0)</f>
        <v>0</v>
      </c>
      <c r="AA207" s="246">
        <f>IFERROR(VLOOKUP(M207,PROGRAMAS[],2,FALSE),0)</f>
        <v>0</v>
      </c>
      <c r="AB207" s="246">
        <f>IFERROR(VLOOKUP(N207,PROGRAMAS[],2,FALSE),0)</f>
        <v>0</v>
      </c>
      <c r="AC207" s="246">
        <f>IFERROR(VLOOKUP(O207,PROGRAMAS[],2,FALSE),0)</f>
        <v>0</v>
      </c>
      <c r="AD207" s="246">
        <f>IFERROR(VLOOKUP(P207,PROGRAMAS[],2,FALSE),0)</f>
        <v>0</v>
      </c>
      <c r="AE207" s="246">
        <f>IFERROR(VLOOKUP(Q207,PROGRAMAS[],2,FALSE),0)</f>
        <v>0</v>
      </c>
      <c r="AF207" s="246">
        <f>IFERROR(VLOOKUP(D207,PROGRAMAS[],3,FALSE),0)</f>
        <v>841888629.31080008</v>
      </c>
      <c r="AG207" s="246">
        <f>IFERROR(VLOOKUP(E207,PROGRAMAS[],3,FALSE),0)</f>
        <v>3848980803.1642323</v>
      </c>
      <c r="AH207" s="246">
        <f>IFERROR(VLOOKUP(F207,PROGRAMAS[],3,FALSE),0)</f>
        <v>3394901471.387517</v>
      </c>
      <c r="AI207" s="246">
        <f>IFERROR(VLOOKUP(G207,PROGRAMAS[],3,FALSE),0)</f>
        <v>4099471734.9978786</v>
      </c>
      <c r="AJ207" s="246">
        <f>IFERROR(VLOOKUP(H207,PROGRAMAS[],3,FALSE),0)</f>
        <v>31865326.38096505</v>
      </c>
      <c r="AK207" s="246">
        <f>IFERROR(VLOOKUP(I207,PROGRAMAS[],3,FALSE),0)</f>
        <v>118617452.52510804</v>
      </c>
      <c r="AL207" s="246">
        <f>IFERROR(VLOOKUP(J207,PROGRAMAS[],3,FALSE),0)</f>
        <v>0</v>
      </c>
      <c r="AM207" s="246">
        <f>IFERROR(VLOOKUP(K207,PROGRAMAS[],3,FALSE),0)</f>
        <v>0</v>
      </c>
      <c r="AN207" s="246">
        <f>IFERROR(VLOOKUP(L207,PROGRAMAS[],3,FALSE),0)</f>
        <v>0</v>
      </c>
      <c r="AO207" s="246">
        <f>IFERROR(VLOOKUP(M207,PROGRAMAS[],3,FALSE),0)</f>
        <v>0</v>
      </c>
      <c r="AP207" s="246">
        <f>IFERROR(VLOOKUP(N207,PROGRAMAS[],3,FALSE),0)</f>
        <v>0</v>
      </c>
      <c r="AQ207" s="246">
        <f>IFERROR(VLOOKUP(O207,PROGRAMAS[],3,FALSE),0)</f>
        <v>0</v>
      </c>
      <c r="AR207" s="246">
        <f>IFERROR(VLOOKUP(P207,PROGRAMAS[],3,FALSE),0)</f>
        <v>0</v>
      </c>
      <c r="AS207" s="246">
        <f>IFERROR(VLOOKUP(Q207,PROGRAMAS[],3,FALSE),0)</f>
        <v>0</v>
      </c>
      <c r="AT207" s="246">
        <f>IFERROR(VLOOKUP(D207,VOL_REC[],2,FALSE),0)</f>
        <v>0</v>
      </c>
      <c r="AU207" s="246">
        <f>IFERROR(VLOOKUP(E207,VOL_REC[],2,FALSE),0)</f>
        <v>0</v>
      </c>
      <c r="AV207" s="246">
        <f>IFERROR(VLOOKUP(F207,VOL_REC[],2,FALSE),0)</f>
        <v>11089674.200000001</v>
      </c>
      <c r="AW207" s="246">
        <f>IFERROR(VLOOKUP(G207,VOL_REC[],2,FALSE),0)</f>
        <v>1812240</v>
      </c>
      <c r="AX207" s="246">
        <f>IFERROR(VLOOKUP(H207,VOL_REC[],2,FALSE),0)</f>
        <v>17074.045034105649</v>
      </c>
      <c r="AY207" s="246">
        <f>IFERROR(VLOOKUP(I207,VOL_REC[],2,FALSE),0)</f>
        <v>105072</v>
      </c>
      <c r="AZ207" s="246">
        <f>IFERROR(VLOOKUP(J207,VOL_REC[],2,FALSE),0)</f>
        <v>0</v>
      </c>
      <c r="BA207" s="246">
        <f>IFERROR(VLOOKUP(K207,VOL_REC[],2,FALSE),0)</f>
        <v>0</v>
      </c>
      <c r="BB207" s="246">
        <f>IFERROR(VLOOKUP(L207,VOL_REC[],2,FALSE),0)</f>
        <v>0</v>
      </c>
      <c r="BC207" s="246">
        <f>IFERROR(VLOOKUP(M207,VOL_REC[],2,FALSE),0)</f>
        <v>0</v>
      </c>
      <c r="BD207" s="246">
        <f>IFERROR(VLOOKUP(N207,VOL_REC[],2,FALSE),0)</f>
        <v>0</v>
      </c>
      <c r="BE207" s="246">
        <f>IFERROR(VLOOKUP(O207,VOL_REC[],2,FALSE),0)</f>
        <v>0</v>
      </c>
      <c r="BF207" s="246">
        <f>IFERROR(VLOOKUP(P207,VOL_REC[],2,FALSE),0)</f>
        <v>0</v>
      </c>
      <c r="BG207" s="246">
        <f>IFERROR(VLOOKUP(Q207,VOL_REC[],2,FALSE),0)</f>
        <v>0</v>
      </c>
      <c r="BH207" s="1710">
        <f t="shared" si="12"/>
        <v>8611565674.998457</v>
      </c>
      <c r="BI207" s="1710">
        <f t="shared" si="13"/>
        <v>12335725417.7665</v>
      </c>
      <c r="BJ207" s="1711">
        <f t="shared" si="14"/>
        <v>13024060.245034106</v>
      </c>
      <c r="BK207" s="1711">
        <f t="shared" si="15"/>
        <v>0.69809965635224569</v>
      </c>
    </row>
    <row r="208" spans="3:67" x14ac:dyDescent="0.25">
      <c r="C208" s="246" t="s">
        <v>1558</v>
      </c>
      <c r="D208" s="246">
        <v>1</v>
      </c>
      <c r="E208" s="246">
        <v>2</v>
      </c>
      <c r="F208" s="246">
        <v>3</v>
      </c>
      <c r="G208" s="246">
        <v>10</v>
      </c>
      <c r="H208" s="246">
        <v>14</v>
      </c>
      <c r="I208" s="246">
        <v>16</v>
      </c>
      <c r="J208" s="246"/>
      <c r="K208" s="246"/>
      <c r="L208" s="246"/>
      <c r="M208" s="246"/>
      <c r="N208" s="246"/>
      <c r="O208" s="246"/>
      <c r="P208" s="246"/>
      <c r="Q208" s="246"/>
      <c r="R208" s="246">
        <f>IFERROR(VLOOKUP(D208,PROGRAMAS[],2,FALSE),0)</f>
        <v>97037803.679377079</v>
      </c>
      <c r="S208" s="246">
        <f>IFERROR(VLOOKUP(E208,PROGRAMAS[],2,FALSE),0)</f>
        <v>640501509.6821388</v>
      </c>
      <c r="T208" s="246">
        <f>IFERROR(VLOOKUP(F208,PROGRAMAS[],2,FALSE),0)</f>
        <v>3062327798.1525245</v>
      </c>
      <c r="U208" s="246">
        <f>IFERROR(VLOOKUP(G208,PROGRAMAS[],2,FALSE),0)</f>
        <v>4635315027.8751087</v>
      </c>
      <c r="V208" s="246">
        <f>IFERROR(VLOOKUP(H208,PROGRAMAS[],2,FALSE),0)</f>
        <v>54223862.645839565</v>
      </c>
      <c r="W208" s="246">
        <f>IFERROR(VLOOKUP(I208,PROGRAMAS[],2,FALSE),0)</f>
        <v>7068496961.0436354</v>
      </c>
      <c r="X208" s="246">
        <f>IFERROR(VLOOKUP(J208,PROGRAMAS[],2,FALSE),0)</f>
        <v>0</v>
      </c>
      <c r="Y208" s="246">
        <f>IFERROR(VLOOKUP(K208,PROGRAMAS[],2,FALSE),0)</f>
        <v>0</v>
      </c>
      <c r="Z208" s="246">
        <f>IFERROR(VLOOKUP(L208,PROGRAMAS[],2,FALSE),0)</f>
        <v>0</v>
      </c>
      <c r="AA208" s="246">
        <f>IFERROR(VLOOKUP(M208,PROGRAMAS[],2,FALSE),0)</f>
        <v>0</v>
      </c>
      <c r="AB208" s="246">
        <f>IFERROR(VLOOKUP(N208,PROGRAMAS[],2,FALSE),0)</f>
        <v>0</v>
      </c>
      <c r="AC208" s="246">
        <f>IFERROR(VLOOKUP(O208,PROGRAMAS[],2,FALSE),0)</f>
        <v>0</v>
      </c>
      <c r="AD208" s="246">
        <f>IFERROR(VLOOKUP(P208,PROGRAMAS[],2,FALSE),0)</f>
        <v>0</v>
      </c>
      <c r="AE208" s="246">
        <f>IFERROR(VLOOKUP(Q208,PROGRAMAS[],2,FALSE),0)</f>
        <v>0</v>
      </c>
      <c r="AF208" s="246">
        <f>IFERROR(VLOOKUP(D208,PROGRAMAS[],3,FALSE),0)</f>
        <v>841888629.31080008</v>
      </c>
      <c r="AG208" s="246">
        <f>IFERROR(VLOOKUP(E208,PROGRAMAS[],3,FALSE),0)</f>
        <v>3848980803.1642323</v>
      </c>
      <c r="AH208" s="246">
        <f>IFERROR(VLOOKUP(F208,PROGRAMAS[],3,FALSE),0)</f>
        <v>3394901471.387517</v>
      </c>
      <c r="AI208" s="246">
        <f>IFERROR(VLOOKUP(G208,PROGRAMAS[],3,FALSE),0)</f>
        <v>4099471734.9978786</v>
      </c>
      <c r="AJ208" s="246">
        <f>IFERROR(VLOOKUP(H208,PROGRAMAS[],3,FALSE),0)</f>
        <v>31865326.38096505</v>
      </c>
      <c r="AK208" s="246">
        <f>IFERROR(VLOOKUP(I208,PROGRAMAS[],3,FALSE),0)</f>
        <v>2406564599.0319901</v>
      </c>
      <c r="AL208" s="246">
        <f>IFERROR(VLOOKUP(J208,PROGRAMAS[],3,FALSE),0)</f>
        <v>0</v>
      </c>
      <c r="AM208" s="246">
        <f>IFERROR(VLOOKUP(K208,PROGRAMAS[],3,FALSE),0)</f>
        <v>0</v>
      </c>
      <c r="AN208" s="246">
        <f>IFERROR(VLOOKUP(L208,PROGRAMAS[],3,FALSE),0)</f>
        <v>0</v>
      </c>
      <c r="AO208" s="246">
        <f>IFERROR(VLOOKUP(M208,PROGRAMAS[],3,FALSE),0)</f>
        <v>0</v>
      </c>
      <c r="AP208" s="246">
        <f>IFERROR(VLOOKUP(N208,PROGRAMAS[],3,FALSE),0)</f>
        <v>0</v>
      </c>
      <c r="AQ208" s="246">
        <f>IFERROR(VLOOKUP(O208,PROGRAMAS[],3,FALSE),0)</f>
        <v>0</v>
      </c>
      <c r="AR208" s="246">
        <f>IFERROR(VLOOKUP(P208,PROGRAMAS[],3,FALSE),0)</f>
        <v>0</v>
      </c>
      <c r="AS208" s="246">
        <f>IFERROR(VLOOKUP(Q208,PROGRAMAS[],3,FALSE),0)</f>
        <v>0</v>
      </c>
      <c r="AT208" s="246">
        <f>IFERROR(VLOOKUP(D208,VOL_REC[],2,FALSE),0)</f>
        <v>0</v>
      </c>
      <c r="AU208" s="246">
        <f>IFERROR(VLOOKUP(E208,VOL_REC[],2,FALSE),0)</f>
        <v>0</v>
      </c>
      <c r="AV208" s="246">
        <f>IFERROR(VLOOKUP(F208,VOL_REC[],2,FALSE),0)</f>
        <v>11089674.200000001</v>
      </c>
      <c r="AW208" s="246">
        <f>IFERROR(VLOOKUP(G208,VOL_REC[],2,FALSE),0)</f>
        <v>1812240</v>
      </c>
      <c r="AX208" s="246">
        <f>IFERROR(VLOOKUP(H208,VOL_REC[],2,FALSE),0)</f>
        <v>17074.045034105649</v>
      </c>
      <c r="AY208" s="246">
        <f>IFERROR(VLOOKUP(I208,VOL_REC[],2,FALSE),0)</f>
        <v>1072354.9981737854</v>
      </c>
      <c r="AZ208" s="246">
        <f>IFERROR(VLOOKUP(J208,VOL_REC[],2,FALSE),0)</f>
        <v>0</v>
      </c>
      <c r="BA208" s="246">
        <f>IFERROR(VLOOKUP(K208,VOL_REC[],2,FALSE),0)</f>
        <v>0</v>
      </c>
      <c r="BB208" s="246">
        <f>IFERROR(VLOOKUP(L208,VOL_REC[],2,FALSE),0)</f>
        <v>0</v>
      </c>
      <c r="BC208" s="246">
        <f>IFERROR(VLOOKUP(M208,VOL_REC[],2,FALSE),0)</f>
        <v>0</v>
      </c>
      <c r="BD208" s="246">
        <f>IFERROR(VLOOKUP(N208,VOL_REC[],2,FALSE),0)</f>
        <v>0</v>
      </c>
      <c r="BE208" s="246">
        <f>IFERROR(VLOOKUP(O208,VOL_REC[],2,FALSE),0)</f>
        <v>0</v>
      </c>
      <c r="BF208" s="246">
        <f>IFERROR(VLOOKUP(P208,VOL_REC[],2,FALSE),0)</f>
        <v>0</v>
      </c>
      <c r="BG208" s="246">
        <f>IFERROR(VLOOKUP(Q208,VOL_REC[],2,FALSE),0)</f>
        <v>0</v>
      </c>
      <c r="BH208" s="1710">
        <f t="shared" si="12"/>
        <v>15557902963.078625</v>
      </c>
      <c r="BI208" s="1710">
        <f t="shared" si="13"/>
        <v>14623672564.273382</v>
      </c>
      <c r="BJ208" s="1711">
        <f t="shared" si="14"/>
        <v>13991343.243207891</v>
      </c>
      <c r="BK208" s="1711">
        <f t="shared" si="15"/>
        <v>1.0638848001211152</v>
      </c>
      <c r="BL208">
        <f>BJ208</f>
        <v>13991343.243207891</v>
      </c>
      <c r="BO208">
        <f>BL208</f>
        <v>13991343.243207891</v>
      </c>
    </row>
    <row r="209" spans="3:67" x14ac:dyDescent="0.25">
      <c r="C209" s="246" t="s">
        <v>1559</v>
      </c>
      <c r="D209" s="246">
        <v>1</v>
      </c>
      <c r="E209" s="246">
        <v>2</v>
      </c>
      <c r="F209" s="246">
        <v>3</v>
      </c>
      <c r="G209" s="246">
        <v>10</v>
      </c>
      <c r="H209" s="246">
        <v>14</v>
      </c>
      <c r="I209" s="246">
        <v>17</v>
      </c>
      <c r="J209" s="246"/>
      <c r="K209" s="246"/>
      <c r="L209" s="246"/>
      <c r="M209" s="246"/>
      <c r="N209" s="246"/>
      <c r="O209" s="246"/>
      <c r="P209" s="246"/>
      <c r="Q209" s="246"/>
      <c r="R209" s="246">
        <f>IFERROR(VLOOKUP(D209,PROGRAMAS[],2,FALSE),0)</f>
        <v>97037803.679377079</v>
      </c>
      <c r="S209" s="246">
        <f>IFERROR(VLOOKUP(E209,PROGRAMAS[],2,FALSE),0)</f>
        <v>640501509.6821388</v>
      </c>
      <c r="T209" s="246">
        <f>IFERROR(VLOOKUP(F209,PROGRAMAS[],2,FALSE),0)</f>
        <v>3062327798.1525245</v>
      </c>
      <c r="U209" s="246">
        <f>IFERROR(VLOOKUP(G209,PROGRAMAS[],2,FALSE),0)</f>
        <v>4635315027.8751087</v>
      </c>
      <c r="V209" s="246">
        <f>IFERROR(VLOOKUP(H209,PROGRAMAS[],2,FALSE),0)</f>
        <v>54223862.645839565</v>
      </c>
      <c r="W209" s="246">
        <f>IFERROR(VLOOKUP(I209,PROGRAMAS[],2,FALSE),0)</f>
        <v>1892779498.5211046</v>
      </c>
      <c r="X209" s="246">
        <f>IFERROR(VLOOKUP(J209,PROGRAMAS[],2,FALSE),0)</f>
        <v>0</v>
      </c>
      <c r="Y209" s="246">
        <f>IFERROR(VLOOKUP(K209,PROGRAMAS[],2,FALSE),0)</f>
        <v>0</v>
      </c>
      <c r="Z209" s="246">
        <f>IFERROR(VLOOKUP(L209,PROGRAMAS[],2,FALSE),0)</f>
        <v>0</v>
      </c>
      <c r="AA209" s="246">
        <f>IFERROR(VLOOKUP(M209,PROGRAMAS[],2,FALSE),0)</f>
        <v>0</v>
      </c>
      <c r="AB209" s="246">
        <f>IFERROR(VLOOKUP(N209,PROGRAMAS[],2,FALSE),0)</f>
        <v>0</v>
      </c>
      <c r="AC209" s="246">
        <f>IFERROR(VLOOKUP(O209,PROGRAMAS[],2,FALSE),0)</f>
        <v>0</v>
      </c>
      <c r="AD209" s="246">
        <f>IFERROR(VLOOKUP(P209,PROGRAMAS[],2,FALSE),0)</f>
        <v>0</v>
      </c>
      <c r="AE209" s="246">
        <f>IFERROR(VLOOKUP(Q209,PROGRAMAS[],2,FALSE),0)</f>
        <v>0</v>
      </c>
      <c r="AF209" s="246">
        <f>IFERROR(VLOOKUP(D209,PROGRAMAS[],3,FALSE),0)</f>
        <v>841888629.31080008</v>
      </c>
      <c r="AG209" s="246">
        <f>IFERROR(VLOOKUP(E209,PROGRAMAS[],3,FALSE),0)</f>
        <v>3848980803.1642323</v>
      </c>
      <c r="AH209" s="246">
        <f>IFERROR(VLOOKUP(F209,PROGRAMAS[],3,FALSE),0)</f>
        <v>3394901471.387517</v>
      </c>
      <c r="AI209" s="246">
        <f>IFERROR(VLOOKUP(G209,PROGRAMAS[],3,FALSE),0)</f>
        <v>4099471734.9978786</v>
      </c>
      <c r="AJ209" s="246">
        <f>IFERROR(VLOOKUP(H209,PROGRAMAS[],3,FALSE),0)</f>
        <v>31865326.38096505</v>
      </c>
      <c r="AK209" s="246">
        <f>IFERROR(VLOOKUP(I209,PROGRAMAS[],3,FALSE),0)</f>
        <v>948595847.09039903</v>
      </c>
      <c r="AL209" s="246">
        <f>IFERROR(VLOOKUP(J209,PROGRAMAS[],3,FALSE),0)</f>
        <v>0</v>
      </c>
      <c r="AM209" s="246">
        <f>IFERROR(VLOOKUP(K209,PROGRAMAS[],3,FALSE),0)</f>
        <v>0</v>
      </c>
      <c r="AN209" s="246">
        <f>IFERROR(VLOOKUP(L209,PROGRAMAS[],3,FALSE),0)</f>
        <v>0</v>
      </c>
      <c r="AO209" s="246">
        <f>IFERROR(VLOOKUP(M209,PROGRAMAS[],3,FALSE),0)</f>
        <v>0</v>
      </c>
      <c r="AP209" s="246">
        <f>IFERROR(VLOOKUP(N209,PROGRAMAS[],3,FALSE),0)</f>
        <v>0</v>
      </c>
      <c r="AQ209" s="246">
        <f>IFERROR(VLOOKUP(O209,PROGRAMAS[],3,FALSE),0)</f>
        <v>0</v>
      </c>
      <c r="AR209" s="246">
        <f>IFERROR(VLOOKUP(P209,PROGRAMAS[],3,FALSE),0)</f>
        <v>0</v>
      </c>
      <c r="AS209" s="246">
        <f>IFERROR(VLOOKUP(Q209,PROGRAMAS[],3,FALSE),0)</f>
        <v>0</v>
      </c>
      <c r="AT209" s="246">
        <f>IFERROR(VLOOKUP(D209,VOL_REC[],2,FALSE),0)</f>
        <v>0</v>
      </c>
      <c r="AU209" s="246">
        <f>IFERROR(VLOOKUP(E209,VOL_REC[],2,FALSE),0)</f>
        <v>0</v>
      </c>
      <c r="AV209" s="246">
        <f>IFERROR(VLOOKUP(F209,VOL_REC[],2,FALSE),0)</f>
        <v>11089674.200000001</v>
      </c>
      <c r="AW209" s="246">
        <f>IFERROR(VLOOKUP(G209,VOL_REC[],2,FALSE),0)</f>
        <v>1812240</v>
      </c>
      <c r="AX209" s="246">
        <f>IFERROR(VLOOKUP(H209,VOL_REC[],2,FALSE),0)</f>
        <v>17074.045034105649</v>
      </c>
      <c r="AY209" s="246">
        <f>IFERROR(VLOOKUP(I209,VOL_REC[],2,FALSE),0)</f>
        <v>740113.98115702497</v>
      </c>
      <c r="AZ209" s="246">
        <f>IFERROR(VLOOKUP(J209,VOL_REC[],2,FALSE),0)</f>
        <v>0</v>
      </c>
      <c r="BA209" s="246">
        <f>IFERROR(VLOOKUP(K209,VOL_REC[],2,FALSE),0)</f>
        <v>0</v>
      </c>
      <c r="BB209" s="246">
        <f>IFERROR(VLOOKUP(L209,VOL_REC[],2,FALSE),0)</f>
        <v>0</v>
      </c>
      <c r="BC209" s="246">
        <f>IFERROR(VLOOKUP(M209,VOL_REC[],2,FALSE),0)</f>
        <v>0</v>
      </c>
      <c r="BD209" s="246">
        <f>IFERROR(VLOOKUP(N209,VOL_REC[],2,FALSE),0)</f>
        <v>0</v>
      </c>
      <c r="BE209" s="246">
        <f>IFERROR(VLOOKUP(O209,VOL_REC[],2,FALSE),0)</f>
        <v>0</v>
      </c>
      <c r="BF209" s="246">
        <f>IFERROR(VLOOKUP(P209,VOL_REC[],2,FALSE),0)</f>
        <v>0</v>
      </c>
      <c r="BG209" s="246">
        <f>IFERROR(VLOOKUP(Q209,VOL_REC[],2,FALSE),0)</f>
        <v>0</v>
      </c>
      <c r="BH209" s="1710">
        <f t="shared" si="12"/>
        <v>10382185500.556093</v>
      </c>
      <c r="BI209" s="1710">
        <f t="shared" si="13"/>
        <v>13165703812.331791</v>
      </c>
      <c r="BJ209" s="1711">
        <f t="shared" si="14"/>
        <v>13659102.226191131</v>
      </c>
      <c r="BK209" s="1711">
        <f t="shared" si="15"/>
        <v>0.78857808504179727</v>
      </c>
    </row>
    <row r="210" spans="3:67" x14ac:dyDescent="0.25">
      <c r="C210" s="246" t="s">
        <v>1560</v>
      </c>
      <c r="D210" s="246">
        <v>1</v>
      </c>
      <c r="E210" s="246">
        <v>2</v>
      </c>
      <c r="F210" s="246">
        <v>3</v>
      </c>
      <c r="G210" s="246">
        <v>10</v>
      </c>
      <c r="H210" s="246">
        <v>15</v>
      </c>
      <c r="I210" s="246">
        <v>16</v>
      </c>
      <c r="J210" s="246"/>
      <c r="K210" s="246"/>
      <c r="L210" s="246"/>
      <c r="M210" s="246"/>
      <c r="N210" s="246"/>
      <c r="O210" s="246"/>
      <c r="P210" s="246"/>
      <c r="Q210" s="246"/>
      <c r="R210" s="246">
        <f>IFERROR(VLOOKUP(D210,PROGRAMAS[],2,FALSE),0)</f>
        <v>97037803.679377079</v>
      </c>
      <c r="S210" s="246">
        <f>IFERROR(VLOOKUP(E210,PROGRAMAS[],2,FALSE),0)</f>
        <v>640501509.6821388</v>
      </c>
      <c r="T210" s="246">
        <f>IFERROR(VLOOKUP(F210,PROGRAMAS[],2,FALSE),0)</f>
        <v>3062327798.1525245</v>
      </c>
      <c r="U210" s="246">
        <f>IFERROR(VLOOKUP(G210,PROGRAMAS[],2,FALSE),0)</f>
        <v>4635315027.8751087</v>
      </c>
      <c r="V210" s="246">
        <f>IFERROR(VLOOKUP(H210,PROGRAMAS[],2,FALSE),0)</f>
        <v>122159672.96346797</v>
      </c>
      <c r="W210" s="246">
        <f>IFERROR(VLOOKUP(I210,PROGRAMAS[],2,FALSE),0)</f>
        <v>7068496961.0436354</v>
      </c>
      <c r="X210" s="246">
        <f>IFERROR(VLOOKUP(J210,PROGRAMAS[],2,FALSE),0)</f>
        <v>0</v>
      </c>
      <c r="Y210" s="246">
        <f>IFERROR(VLOOKUP(K210,PROGRAMAS[],2,FALSE),0)</f>
        <v>0</v>
      </c>
      <c r="Z210" s="246">
        <f>IFERROR(VLOOKUP(L210,PROGRAMAS[],2,FALSE),0)</f>
        <v>0</v>
      </c>
      <c r="AA210" s="246">
        <f>IFERROR(VLOOKUP(M210,PROGRAMAS[],2,FALSE),0)</f>
        <v>0</v>
      </c>
      <c r="AB210" s="246">
        <f>IFERROR(VLOOKUP(N210,PROGRAMAS[],2,FALSE),0)</f>
        <v>0</v>
      </c>
      <c r="AC210" s="246">
        <f>IFERROR(VLOOKUP(O210,PROGRAMAS[],2,FALSE),0)</f>
        <v>0</v>
      </c>
      <c r="AD210" s="246">
        <f>IFERROR(VLOOKUP(P210,PROGRAMAS[],2,FALSE),0)</f>
        <v>0</v>
      </c>
      <c r="AE210" s="246">
        <f>IFERROR(VLOOKUP(Q210,PROGRAMAS[],2,FALSE),0)</f>
        <v>0</v>
      </c>
      <c r="AF210" s="246">
        <f>IFERROR(VLOOKUP(D210,PROGRAMAS[],3,FALSE),0)</f>
        <v>841888629.31080008</v>
      </c>
      <c r="AG210" s="246">
        <f>IFERROR(VLOOKUP(E210,PROGRAMAS[],3,FALSE),0)</f>
        <v>3848980803.1642323</v>
      </c>
      <c r="AH210" s="246">
        <f>IFERROR(VLOOKUP(F210,PROGRAMAS[],3,FALSE),0)</f>
        <v>3394901471.387517</v>
      </c>
      <c r="AI210" s="246">
        <f>IFERROR(VLOOKUP(G210,PROGRAMAS[],3,FALSE),0)</f>
        <v>4099471734.9978786</v>
      </c>
      <c r="AJ210" s="246">
        <f>IFERROR(VLOOKUP(H210,PROGRAMAS[],3,FALSE),0)</f>
        <v>118617452.52510804</v>
      </c>
      <c r="AK210" s="246">
        <f>IFERROR(VLOOKUP(I210,PROGRAMAS[],3,FALSE),0)</f>
        <v>2406564599.0319901</v>
      </c>
      <c r="AL210" s="246">
        <f>IFERROR(VLOOKUP(J210,PROGRAMAS[],3,FALSE),0)</f>
        <v>0</v>
      </c>
      <c r="AM210" s="246">
        <f>IFERROR(VLOOKUP(K210,PROGRAMAS[],3,FALSE),0)</f>
        <v>0</v>
      </c>
      <c r="AN210" s="246">
        <f>IFERROR(VLOOKUP(L210,PROGRAMAS[],3,FALSE),0)</f>
        <v>0</v>
      </c>
      <c r="AO210" s="246">
        <f>IFERROR(VLOOKUP(M210,PROGRAMAS[],3,FALSE),0)</f>
        <v>0</v>
      </c>
      <c r="AP210" s="246">
        <f>IFERROR(VLOOKUP(N210,PROGRAMAS[],3,FALSE),0)</f>
        <v>0</v>
      </c>
      <c r="AQ210" s="246">
        <f>IFERROR(VLOOKUP(O210,PROGRAMAS[],3,FALSE),0)</f>
        <v>0</v>
      </c>
      <c r="AR210" s="246">
        <f>IFERROR(VLOOKUP(P210,PROGRAMAS[],3,FALSE),0)</f>
        <v>0</v>
      </c>
      <c r="AS210" s="246">
        <f>IFERROR(VLOOKUP(Q210,PROGRAMAS[],3,FALSE),0)</f>
        <v>0</v>
      </c>
      <c r="AT210" s="246">
        <f>IFERROR(VLOOKUP(D210,VOL_REC[],2,FALSE),0)</f>
        <v>0</v>
      </c>
      <c r="AU210" s="246">
        <f>IFERROR(VLOOKUP(E210,VOL_REC[],2,FALSE),0)</f>
        <v>0</v>
      </c>
      <c r="AV210" s="246">
        <f>IFERROR(VLOOKUP(F210,VOL_REC[],2,FALSE),0)</f>
        <v>11089674.200000001</v>
      </c>
      <c r="AW210" s="246">
        <f>IFERROR(VLOOKUP(G210,VOL_REC[],2,FALSE),0)</f>
        <v>1812240</v>
      </c>
      <c r="AX210" s="246">
        <f>IFERROR(VLOOKUP(H210,VOL_REC[],2,FALSE),0)</f>
        <v>105072</v>
      </c>
      <c r="AY210" s="246">
        <f>IFERROR(VLOOKUP(I210,VOL_REC[],2,FALSE),0)</f>
        <v>1072354.9981737854</v>
      </c>
      <c r="AZ210" s="246">
        <f>IFERROR(VLOOKUP(J210,VOL_REC[],2,FALSE),0)</f>
        <v>0</v>
      </c>
      <c r="BA210" s="246">
        <f>IFERROR(VLOOKUP(K210,VOL_REC[],2,FALSE),0)</f>
        <v>0</v>
      </c>
      <c r="BB210" s="246">
        <f>IFERROR(VLOOKUP(L210,VOL_REC[],2,FALSE),0)</f>
        <v>0</v>
      </c>
      <c r="BC210" s="246">
        <f>IFERROR(VLOOKUP(M210,VOL_REC[],2,FALSE),0)</f>
        <v>0</v>
      </c>
      <c r="BD210" s="246">
        <f>IFERROR(VLOOKUP(N210,VOL_REC[],2,FALSE),0)</f>
        <v>0</v>
      </c>
      <c r="BE210" s="246">
        <f>IFERROR(VLOOKUP(O210,VOL_REC[],2,FALSE),0)</f>
        <v>0</v>
      </c>
      <c r="BF210" s="246">
        <f>IFERROR(VLOOKUP(P210,VOL_REC[],2,FALSE),0)</f>
        <v>0</v>
      </c>
      <c r="BG210" s="246">
        <f>IFERROR(VLOOKUP(Q210,VOL_REC[],2,FALSE),0)</f>
        <v>0</v>
      </c>
      <c r="BH210" s="1710">
        <f t="shared" si="12"/>
        <v>15625838773.396252</v>
      </c>
      <c r="BI210" s="1710">
        <f t="shared" si="13"/>
        <v>14710424690.417526</v>
      </c>
      <c r="BJ210" s="1711">
        <f t="shared" si="14"/>
        <v>14079341.198173787</v>
      </c>
      <c r="BK210" s="1711">
        <f t="shared" si="15"/>
        <v>1.062228936434108</v>
      </c>
      <c r="BL210">
        <f>BJ210</f>
        <v>14079341.198173787</v>
      </c>
      <c r="BO210">
        <f>BL210</f>
        <v>14079341.198173787</v>
      </c>
    </row>
    <row r="211" spans="3:67" x14ac:dyDescent="0.25">
      <c r="C211" s="246" t="s">
        <v>1561</v>
      </c>
      <c r="D211" s="246">
        <v>1</v>
      </c>
      <c r="E211" s="246">
        <v>2</v>
      </c>
      <c r="F211" s="246">
        <v>3</v>
      </c>
      <c r="G211" s="246">
        <v>10</v>
      </c>
      <c r="H211" s="246">
        <v>15</v>
      </c>
      <c r="I211" s="246">
        <v>17</v>
      </c>
      <c r="J211" s="246"/>
      <c r="K211" s="246"/>
      <c r="L211" s="246"/>
      <c r="M211" s="246"/>
      <c r="N211" s="246"/>
      <c r="O211" s="246"/>
      <c r="P211" s="246"/>
      <c r="Q211" s="246"/>
      <c r="R211" s="246">
        <f>IFERROR(VLOOKUP(D211,PROGRAMAS[],2,FALSE),0)</f>
        <v>97037803.679377079</v>
      </c>
      <c r="S211" s="246">
        <f>IFERROR(VLOOKUP(E211,PROGRAMAS[],2,FALSE),0)</f>
        <v>640501509.6821388</v>
      </c>
      <c r="T211" s="246">
        <f>IFERROR(VLOOKUP(F211,PROGRAMAS[],2,FALSE),0)</f>
        <v>3062327798.1525245</v>
      </c>
      <c r="U211" s="246">
        <f>IFERROR(VLOOKUP(G211,PROGRAMAS[],2,FALSE),0)</f>
        <v>4635315027.8751087</v>
      </c>
      <c r="V211" s="246">
        <f>IFERROR(VLOOKUP(H211,PROGRAMAS[],2,FALSE),0)</f>
        <v>122159672.96346797</v>
      </c>
      <c r="W211" s="246">
        <f>IFERROR(VLOOKUP(I211,PROGRAMAS[],2,FALSE),0)</f>
        <v>1892779498.5211046</v>
      </c>
      <c r="X211" s="246">
        <f>IFERROR(VLOOKUP(J211,PROGRAMAS[],2,FALSE),0)</f>
        <v>0</v>
      </c>
      <c r="Y211" s="246">
        <f>IFERROR(VLOOKUP(K211,PROGRAMAS[],2,FALSE),0)</f>
        <v>0</v>
      </c>
      <c r="Z211" s="246">
        <f>IFERROR(VLOOKUP(L211,PROGRAMAS[],2,FALSE),0)</f>
        <v>0</v>
      </c>
      <c r="AA211" s="246">
        <f>IFERROR(VLOOKUP(M211,PROGRAMAS[],2,FALSE),0)</f>
        <v>0</v>
      </c>
      <c r="AB211" s="246">
        <f>IFERROR(VLOOKUP(N211,PROGRAMAS[],2,FALSE),0)</f>
        <v>0</v>
      </c>
      <c r="AC211" s="246">
        <f>IFERROR(VLOOKUP(O211,PROGRAMAS[],2,FALSE),0)</f>
        <v>0</v>
      </c>
      <c r="AD211" s="246">
        <f>IFERROR(VLOOKUP(P211,PROGRAMAS[],2,FALSE),0)</f>
        <v>0</v>
      </c>
      <c r="AE211" s="246">
        <f>IFERROR(VLOOKUP(Q211,PROGRAMAS[],2,FALSE),0)</f>
        <v>0</v>
      </c>
      <c r="AF211" s="246">
        <f>IFERROR(VLOOKUP(D211,PROGRAMAS[],3,FALSE),0)</f>
        <v>841888629.31080008</v>
      </c>
      <c r="AG211" s="246">
        <f>IFERROR(VLOOKUP(E211,PROGRAMAS[],3,FALSE),0)</f>
        <v>3848980803.1642323</v>
      </c>
      <c r="AH211" s="246">
        <f>IFERROR(VLOOKUP(F211,PROGRAMAS[],3,FALSE),0)</f>
        <v>3394901471.387517</v>
      </c>
      <c r="AI211" s="246">
        <f>IFERROR(VLOOKUP(G211,PROGRAMAS[],3,FALSE),0)</f>
        <v>4099471734.9978786</v>
      </c>
      <c r="AJ211" s="246">
        <f>IFERROR(VLOOKUP(H211,PROGRAMAS[],3,FALSE),0)</f>
        <v>118617452.52510804</v>
      </c>
      <c r="AK211" s="246">
        <f>IFERROR(VLOOKUP(I211,PROGRAMAS[],3,FALSE),0)</f>
        <v>948595847.09039903</v>
      </c>
      <c r="AL211" s="246">
        <f>IFERROR(VLOOKUP(J211,PROGRAMAS[],3,FALSE),0)</f>
        <v>0</v>
      </c>
      <c r="AM211" s="246">
        <f>IFERROR(VLOOKUP(K211,PROGRAMAS[],3,FALSE),0)</f>
        <v>0</v>
      </c>
      <c r="AN211" s="246">
        <f>IFERROR(VLOOKUP(L211,PROGRAMAS[],3,FALSE),0)</f>
        <v>0</v>
      </c>
      <c r="AO211" s="246">
        <f>IFERROR(VLOOKUP(M211,PROGRAMAS[],3,FALSE),0)</f>
        <v>0</v>
      </c>
      <c r="AP211" s="246">
        <f>IFERROR(VLOOKUP(N211,PROGRAMAS[],3,FALSE),0)</f>
        <v>0</v>
      </c>
      <c r="AQ211" s="246">
        <f>IFERROR(VLOOKUP(O211,PROGRAMAS[],3,FALSE),0)</f>
        <v>0</v>
      </c>
      <c r="AR211" s="246">
        <f>IFERROR(VLOOKUP(P211,PROGRAMAS[],3,FALSE),0)</f>
        <v>0</v>
      </c>
      <c r="AS211" s="246">
        <f>IFERROR(VLOOKUP(Q211,PROGRAMAS[],3,FALSE),0)</f>
        <v>0</v>
      </c>
      <c r="AT211" s="246">
        <f>IFERROR(VLOOKUP(D211,VOL_REC[],2,FALSE),0)</f>
        <v>0</v>
      </c>
      <c r="AU211" s="246">
        <f>IFERROR(VLOOKUP(E211,VOL_REC[],2,FALSE),0)</f>
        <v>0</v>
      </c>
      <c r="AV211" s="246">
        <f>IFERROR(VLOOKUP(F211,VOL_REC[],2,FALSE),0)</f>
        <v>11089674.200000001</v>
      </c>
      <c r="AW211" s="246">
        <f>IFERROR(VLOOKUP(G211,VOL_REC[],2,FALSE),0)</f>
        <v>1812240</v>
      </c>
      <c r="AX211" s="246">
        <f>IFERROR(VLOOKUP(H211,VOL_REC[],2,FALSE),0)</f>
        <v>105072</v>
      </c>
      <c r="AY211" s="246">
        <f>IFERROR(VLOOKUP(I211,VOL_REC[],2,FALSE),0)</f>
        <v>740113.98115702497</v>
      </c>
      <c r="AZ211" s="246">
        <f>IFERROR(VLOOKUP(J211,VOL_REC[],2,FALSE),0)</f>
        <v>0</v>
      </c>
      <c r="BA211" s="246">
        <f>IFERROR(VLOOKUP(K211,VOL_REC[],2,FALSE),0)</f>
        <v>0</v>
      </c>
      <c r="BB211" s="246">
        <f>IFERROR(VLOOKUP(L211,VOL_REC[],2,FALSE),0)</f>
        <v>0</v>
      </c>
      <c r="BC211" s="246">
        <f>IFERROR(VLOOKUP(M211,VOL_REC[],2,FALSE),0)</f>
        <v>0</v>
      </c>
      <c r="BD211" s="246">
        <f>IFERROR(VLOOKUP(N211,VOL_REC[],2,FALSE),0)</f>
        <v>0</v>
      </c>
      <c r="BE211" s="246">
        <f>IFERROR(VLOOKUP(O211,VOL_REC[],2,FALSE),0)</f>
        <v>0</v>
      </c>
      <c r="BF211" s="246">
        <f>IFERROR(VLOOKUP(P211,VOL_REC[],2,FALSE),0)</f>
        <v>0</v>
      </c>
      <c r="BG211" s="246">
        <f>IFERROR(VLOOKUP(Q211,VOL_REC[],2,FALSE),0)</f>
        <v>0</v>
      </c>
      <c r="BH211" s="1710">
        <f t="shared" si="12"/>
        <v>10450121310.87372</v>
      </c>
      <c r="BI211" s="1710">
        <f t="shared" si="13"/>
        <v>13252455938.475935</v>
      </c>
      <c r="BJ211" s="1711">
        <f t="shared" si="14"/>
        <v>13747100.181157026</v>
      </c>
      <c r="BK211" s="1711">
        <f t="shared" si="15"/>
        <v>0.78854224148248775</v>
      </c>
    </row>
    <row r="212" spans="3:67" x14ac:dyDescent="0.25">
      <c r="C212" s="246" t="s">
        <v>1562</v>
      </c>
      <c r="D212" s="246">
        <v>1</v>
      </c>
      <c r="E212" s="246">
        <v>2</v>
      </c>
      <c r="F212" s="246">
        <v>3</v>
      </c>
      <c r="G212" s="246">
        <v>10</v>
      </c>
      <c r="H212" s="246">
        <v>16</v>
      </c>
      <c r="I212" s="246">
        <v>17</v>
      </c>
      <c r="J212" s="246"/>
      <c r="K212" s="246"/>
      <c r="L212" s="246"/>
      <c r="M212" s="246"/>
      <c r="N212" s="246"/>
      <c r="O212" s="246"/>
      <c r="P212" s="246"/>
      <c r="Q212" s="246"/>
      <c r="R212" s="246">
        <f>IFERROR(VLOOKUP(D212,PROGRAMAS[],2,FALSE),0)</f>
        <v>97037803.679377079</v>
      </c>
      <c r="S212" s="246">
        <f>IFERROR(VLOOKUP(E212,PROGRAMAS[],2,FALSE),0)</f>
        <v>640501509.6821388</v>
      </c>
      <c r="T212" s="246">
        <f>IFERROR(VLOOKUP(F212,PROGRAMAS[],2,FALSE),0)</f>
        <v>3062327798.1525245</v>
      </c>
      <c r="U212" s="246">
        <f>IFERROR(VLOOKUP(G212,PROGRAMAS[],2,FALSE),0)</f>
        <v>4635315027.8751087</v>
      </c>
      <c r="V212" s="246">
        <f>IFERROR(VLOOKUP(H212,PROGRAMAS[],2,FALSE),0)</f>
        <v>7068496961.0436354</v>
      </c>
      <c r="W212" s="246">
        <f>IFERROR(VLOOKUP(I212,PROGRAMAS[],2,FALSE),0)</f>
        <v>1892779498.5211046</v>
      </c>
      <c r="X212" s="246">
        <f>IFERROR(VLOOKUP(J212,PROGRAMAS[],2,FALSE),0)</f>
        <v>0</v>
      </c>
      <c r="Y212" s="246">
        <f>IFERROR(VLOOKUP(K212,PROGRAMAS[],2,FALSE),0)</f>
        <v>0</v>
      </c>
      <c r="Z212" s="246">
        <f>IFERROR(VLOOKUP(L212,PROGRAMAS[],2,FALSE),0)</f>
        <v>0</v>
      </c>
      <c r="AA212" s="246">
        <f>IFERROR(VLOOKUP(M212,PROGRAMAS[],2,FALSE),0)</f>
        <v>0</v>
      </c>
      <c r="AB212" s="246">
        <f>IFERROR(VLOOKUP(N212,PROGRAMAS[],2,FALSE),0)</f>
        <v>0</v>
      </c>
      <c r="AC212" s="246">
        <f>IFERROR(VLOOKUP(O212,PROGRAMAS[],2,FALSE),0)</f>
        <v>0</v>
      </c>
      <c r="AD212" s="246">
        <f>IFERROR(VLOOKUP(P212,PROGRAMAS[],2,FALSE),0)</f>
        <v>0</v>
      </c>
      <c r="AE212" s="246">
        <f>IFERROR(VLOOKUP(Q212,PROGRAMAS[],2,FALSE),0)</f>
        <v>0</v>
      </c>
      <c r="AF212" s="246">
        <f>IFERROR(VLOOKUP(D212,PROGRAMAS[],3,FALSE),0)</f>
        <v>841888629.31080008</v>
      </c>
      <c r="AG212" s="246">
        <f>IFERROR(VLOOKUP(E212,PROGRAMAS[],3,FALSE),0)</f>
        <v>3848980803.1642323</v>
      </c>
      <c r="AH212" s="246">
        <f>IFERROR(VLOOKUP(F212,PROGRAMAS[],3,FALSE),0)</f>
        <v>3394901471.387517</v>
      </c>
      <c r="AI212" s="246">
        <f>IFERROR(VLOOKUP(G212,PROGRAMAS[],3,FALSE),0)</f>
        <v>4099471734.9978786</v>
      </c>
      <c r="AJ212" s="246">
        <f>IFERROR(VLOOKUP(H212,PROGRAMAS[],3,FALSE),0)</f>
        <v>2406564599.0319901</v>
      </c>
      <c r="AK212" s="246">
        <f>IFERROR(VLOOKUP(I212,PROGRAMAS[],3,FALSE),0)</f>
        <v>948595847.09039903</v>
      </c>
      <c r="AL212" s="246">
        <f>IFERROR(VLOOKUP(J212,PROGRAMAS[],3,FALSE),0)</f>
        <v>0</v>
      </c>
      <c r="AM212" s="246">
        <f>IFERROR(VLOOKUP(K212,PROGRAMAS[],3,FALSE),0)</f>
        <v>0</v>
      </c>
      <c r="AN212" s="246">
        <f>IFERROR(VLOOKUP(L212,PROGRAMAS[],3,FALSE),0)</f>
        <v>0</v>
      </c>
      <c r="AO212" s="246">
        <f>IFERROR(VLOOKUP(M212,PROGRAMAS[],3,FALSE),0)</f>
        <v>0</v>
      </c>
      <c r="AP212" s="246">
        <f>IFERROR(VLOOKUP(N212,PROGRAMAS[],3,FALSE),0)</f>
        <v>0</v>
      </c>
      <c r="AQ212" s="246">
        <f>IFERROR(VLOOKUP(O212,PROGRAMAS[],3,FALSE),0)</f>
        <v>0</v>
      </c>
      <c r="AR212" s="246">
        <f>IFERROR(VLOOKUP(P212,PROGRAMAS[],3,FALSE),0)</f>
        <v>0</v>
      </c>
      <c r="AS212" s="246">
        <f>IFERROR(VLOOKUP(Q212,PROGRAMAS[],3,FALSE),0)</f>
        <v>0</v>
      </c>
      <c r="AT212" s="246">
        <f>IFERROR(VLOOKUP(D212,VOL_REC[],2,FALSE),0)</f>
        <v>0</v>
      </c>
      <c r="AU212" s="246">
        <f>IFERROR(VLOOKUP(E212,VOL_REC[],2,FALSE),0)</f>
        <v>0</v>
      </c>
      <c r="AV212" s="246">
        <f>IFERROR(VLOOKUP(F212,VOL_REC[],2,FALSE),0)</f>
        <v>11089674.200000001</v>
      </c>
      <c r="AW212" s="246">
        <f>IFERROR(VLOOKUP(G212,VOL_REC[],2,FALSE),0)</f>
        <v>1812240</v>
      </c>
      <c r="AX212" s="246">
        <f>IFERROR(VLOOKUP(H212,VOL_REC[],2,FALSE),0)</f>
        <v>1072354.9981737854</v>
      </c>
      <c r="AY212" s="246">
        <f>IFERROR(VLOOKUP(I212,VOL_REC[],2,FALSE),0)</f>
        <v>740113.98115702497</v>
      </c>
      <c r="AZ212" s="246">
        <f>IFERROR(VLOOKUP(J212,VOL_REC[],2,FALSE),0)</f>
        <v>0</v>
      </c>
      <c r="BA212" s="246">
        <f>IFERROR(VLOOKUP(K212,VOL_REC[],2,FALSE),0)</f>
        <v>0</v>
      </c>
      <c r="BB212" s="246">
        <f>IFERROR(VLOOKUP(L212,VOL_REC[],2,FALSE),0)</f>
        <v>0</v>
      </c>
      <c r="BC212" s="246">
        <f>IFERROR(VLOOKUP(M212,VOL_REC[],2,FALSE),0)</f>
        <v>0</v>
      </c>
      <c r="BD212" s="246">
        <f>IFERROR(VLOOKUP(N212,VOL_REC[],2,FALSE),0)</f>
        <v>0</v>
      </c>
      <c r="BE212" s="246">
        <f>IFERROR(VLOOKUP(O212,VOL_REC[],2,FALSE),0)</f>
        <v>0</v>
      </c>
      <c r="BF212" s="246">
        <f>IFERROR(VLOOKUP(P212,VOL_REC[],2,FALSE),0)</f>
        <v>0</v>
      </c>
      <c r="BG212" s="246">
        <f>IFERROR(VLOOKUP(Q212,VOL_REC[],2,FALSE),0)</f>
        <v>0</v>
      </c>
      <c r="BH212" s="1710">
        <f t="shared" si="12"/>
        <v>17396458598.953888</v>
      </c>
      <c r="BI212" s="1710">
        <f t="shared" si="13"/>
        <v>15540403084.982817</v>
      </c>
      <c r="BJ212" s="1711">
        <f t="shared" si="14"/>
        <v>14714383.179330813</v>
      </c>
      <c r="BK212" s="1711">
        <f t="shared" si="15"/>
        <v>1.1194341938121692</v>
      </c>
      <c r="BL212">
        <f>BJ212</f>
        <v>14714383.179330813</v>
      </c>
      <c r="BO212">
        <f>BL212</f>
        <v>14714383.179330813</v>
      </c>
    </row>
    <row r="213" spans="3:67" x14ac:dyDescent="0.25">
      <c r="C213" s="246" t="s">
        <v>1563</v>
      </c>
      <c r="D213" s="246">
        <v>1</v>
      </c>
      <c r="E213" s="246">
        <v>2</v>
      </c>
      <c r="F213" s="246">
        <v>3</v>
      </c>
      <c r="G213" s="246">
        <v>12</v>
      </c>
      <c r="H213" s="246">
        <v>13</v>
      </c>
      <c r="I213" s="246">
        <v>14</v>
      </c>
      <c r="J213" s="246"/>
      <c r="K213" s="246"/>
      <c r="L213" s="246"/>
      <c r="M213" s="246"/>
      <c r="N213" s="246"/>
      <c r="O213" s="246"/>
      <c r="P213" s="246"/>
      <c r="Q213" s="246"/>
      <c r="R213" s="246">
        <f>IFERROR(VLOOKUP(D213,PROGRAMAS[],2,FALSE),0)</f>
        <v>97037803.679377079</v>
      </c>
      <c r="S213" s="246">
        <f>IFERROR(VLOOKUP(E213,PROGRAMAS[],2,FALSE),0)</f>
        <v>640501509.6821388</v>
      </c>
      <c r="T213" s="246">
        <f>IFERROR(VLOOKUP(F213,PROGRAMAS[],2,FALSE),0)</f>
        <v>3062327798.1525245</v>
      </c>
      <c r="U213" s="246">
        <f>IFERROR(VLOOKUP(G213,PROGRAMAS[],2,FALSE),0)</f>
        <v>764796700.79905891</v>
      </c>
      <c r="V213" s="246">
        <f>IFERROR(VLOOKUP(H213,PROGRAMAS[],2,FALSE),0)</f>
        <v>3776538594.4604583</v>
      </c>
      <c r="W213" s="246">
        <f>IFERROR(VLOOKUP(I213,PROGRAMAS[],2,FALSE),0)</f>
        <v>54223862.645839565</v>
      </c>
      <c r="X213" s="246">
        <f>IFERROR(VLOOKUP(J213,PROGRAMAS[],2,FALSE),0)</f>
        <v>0</v>
      </c>
      <c r="Y213" s="246">
        <f>IFERROR(VLOOKUP(K213,PROGRAMAS[],2,FALSE),0)</f>
        <v>0</v>
      </c>
      <c r="Z213" s="246">
        <f>IFERROR(VLOOKUP(L213,PROGRAMAS[],2,FALSE),0)</f>
        <v>0</v>
      </c>
      <c r="AA213" s="246">
        <f>IFERROR(VLOOKUP(M213,PROGRAMAS[],2,FALSE),0)</f>
        <v>0</v>
      </c>
      <c r="AB213" s="246">
        <f>IFERROR(VLOOKUP(N213,PROGRAMAS[],2,FALSE),0)</f>
        <v>0</v>
      </c>
      <c r="AC213" s="246">
        <f>IFERROR(VLOOKUP(O213,PROGRAMAS[],2,FALSE),0)</f>
        <v>0</v>
      </c>
      <c r="AD213" s="246">
        <f>IFERROR(VLOOKUP(P213,PROGRAMAS[],2,FALSE),0)</f>
        <v>0</v>
      </c>
      <c r="AE213" s="246">
        <f>IFERROR(VLOOKUP(Q213,PROGRAMAS[],2,FALSE),0)</f>
        <v>0</v>
      </c>
      <c r="AF213" s="246">
        <f>IFERROR(VLOOKUP(D213,PROGRAMAS[],3,FALSE),0)</f>
        <v>841888629.31080008</v>
      </c>
      <c r="AG213" s="246">
        <f>IFERROR(VLOOKUP(E213,PROGRAMAS[],3,FALSE),0)</f>
        <v>3848980803.1642323</v>
      </c>
      <c r="AH213" s="246">
        <f>IFERROR(VLOOKUP(F213,PROGRAMAS[],3,FALSE),0)</f>
        <v>3394901471.387517</v>
      </c>
      <c r="AI213" s="246">
        <f>IFERROR(VLOOKUP(G213,PROGRAMAS[],3,FALSE),0)</f>
        <v>675517840.109828</v>
      </c>
      <c r="AJ213" s="246">
        <f>IFERROR(VLOOKUP(H213,PROGRAMAS[],3,FALSE),0)</f>
        <v>2392571243.5584412</v>
      </c>
      <c r="AK213" s="246">
        <f>IFERROR(VLOOKUP(I213,PROGRAMAS[],3,FALSE),0)</f>
        <v>31865326.38096505</v>
      </c>
      <c r="AL213" s="246">
        <f>IFERROR(VLOOKUP(J213,PROGRAMAS[],3,FALSE),0)</f>
        <v>0</v>
      </c>
      <c r="AM213" s="246">
        <f>IFERROR(VLOOKUP(K213,PROGRAMAS[],3,FALSE),0)</f>
        <v>0</v>
      </c>
      <c r="AN213" s="246">
        <f>IFERROR(VLOOKUP(L213,PROGRAMAS[],3,FALSE),0)</f>
        <v>0</v>
      </c>
      <c r="AO213" s="246">
        <f>IFERROR(VLOOKUP(M213,PROGRAMAS[],3,FALSE),0)</f>
        <v>0</v>
      </c>
      <c r="AP213" s="246">
        <f>IFERROR(VLOOKUP(N213,PROGRAMAS[],3,FALSE),0)</f>
        <v>0</v>
      </c>
      <c r="AQ213" s="246">
        <f>IFERROR(VLOOKUP(O213,PROGRAMAS[],3,FALSE),0)</f>
        <v>0</v>
      </c>
      <c r="AR213" s="246">
        <f>IFERROR(VLOOKUP(P213,PROGRAMAS[],3,FALSE),0)</f>
        <v>0</v>
      </c>
      <c r="AS213" s="246">
        <f>IFERROR(VLOOKUP(Q213,PROGRAMAS[],3,FALSE),0)</f>
        <v>0</v>
      </c>
      <c r="AT213" s="246">
        <f>IFERROR(VLOOKUP(D213,VOL_REC[],2,FALSE),0)</f>
        <v>0</v>
      </c>
      <c r="AU213" s="246">
        <f>IFERROR(VLOOKUP(E213,VOL_REC[],2,FALSE),0)</f>
        <v>0</v>
      </c>
      <c r="AV213" s="246">
        <f>IFERROR(VLOOKUP(F213,VOL_REC[],2,FALSE),0)</f>
        <v>11089674.200000001</v>
      </c>
      <c r="AW213" s="246">
        <f>IFERROR(VLOOKUP(G213,VOL_REC[],2,FALSE),0)</f>
        <v>240696.79238099116</v>
      </c>
      <c r="AX213" s="246">
        <f>IFERROR(VLOOKUP(H213,VOL_REC[],2,FALSE),0)</f>
        <v>663244.80000000016</v>
      </c>
      <c r="AY213" s="246">
        <f>IFERROR(VLOOKUP(I213,VOL_REC[],2,FALSE),0)</f>
        <v>17074.045034105649</v>
      </c>
      <c r="AZ213" s="246">
        <f>IFERROR(VLOOKUP(J213,VOL_REC[],2,FALSE),0)</f>
        <v>0</v>
      </c>
      <c r="BA213" s="246">
        <f>IFERROR(VLOOKUP(K213,VOL_REC[],2,FALSE),0)</f>
        <v>0</v>
      </c>
      <c r="BB213" s="246">
        <f>IFERROR(VLOOKUP(L213,VOL_REC[],2,FALSE),0)</f>
        <v>0</v>
      </c>
      <c r="BC213" s="246">
        <f>IFERROR(VLOOKUP(M213,VOL_REC[],2,FALSE),0)</f>
        <v>0</v>
      </c>
      <c r="BD213" s="246">
        <f>IFERROR(VLOOKUP(N213,VOL_REC[],2,FALSE),0)</f>
        <v>0</v>
      </c>
      <c r="BE213" s="246">
        <f>IFERROR(VLOOKUP(O213,VOL_REC[],2,FALSE),0)</f>
        <v>0</v>
      </c>
      <c r="BF213" s="246">
        <f>IFERROR(VLOOKUP(P213,VOL_REC[],2,FALSE),0)</f>
        <v>0</v>
      </c>
      <c r="BG213" s="246">
        <f>IFERROR(VLOOKUP(Q213,VOL_REC[],2,FALSE),0)</f>
        <v>0</v>
      </c>
      <c r="BH213" s="1710">
        <f t="shared" si="12"/>
        <v>8395426269.4193974</v>
      </c>
      <c r="BI213" s="1710">
        <f t="shared" si="13"/>
        <v>11185725313.911783</v>
      </c>
      <c r="BJ213" s="1711">
        <f t="shared" si="14"/>
        <v>12010689.837415097</v>
      </c>
      <c r="BK213" s="1711">
        <f t="shared" si="15"/>
        <v>0.75054822408144894</v>
      </c>
    </row>
    <row r="214" spans="3:67" x14ac:dyDescent="0.25">
      <c r="C214" s="246" t="s">
        <v>1564</v>
      </c>
      <c r="D214" s="246">
        <v>1</v>
      </c>
      <c r="E214" s="246">
        <v>2</v>
      </c>
      <c r="F214" s="246">
        <v>3</v>
      </c>
      <c r="G214" s="246">
        <v>12</v>
      </c>
      <c r="H214" s="246">
        <v>13</v>
      </c>
      <c r="I214" s="246">
        <v>15</v>
      </c>
      <c r="J214" s="246"/>
      <c r="K214" s="246"/>
      <c r="L214" s="246"/>
      <c r="M214" s="246"/>
      <c r="N214" s="246"/>
      <c r="O214" s="246"/>
      <c r="P214" s="246"/>
      <c r="Q214" s="246"/>
      <c r="R214" s="246">
        <f>IFERROR(VLOOKUP(D214,PROGRAMAS[],2,FALSE),0)</f>
        <v>97037803.679377079</v>
      </c>
      <c r="S214" s="246">
        <f>IFERROR(VLOOKUP(E214,PROGRAMAS[],2,FALSE),0)</f>
        <v>640501509.6821388</v>
      </c>
      <c r="T214" s="246">
        <f>IFERROR(VLOOKUP(F214,PROGRAMAS[],2,FALSE),0)</f>
        <v>3062327798.1525245</v>
      </c>
      <c r="U214" s="246">
        <f>IFERROR(VLOOKUP(G214,PROGRAMAS[],2,FALSE),0)</f>
        <v>764796700.79905891</v>
      </c>
      <c r="V214" s="246">
        <f>IFERROR(VLOOKUP(H214,PROGRAMAS[],2,FALSE),0)</f>
        <v>3776538594.4604583</v>
      </c>
      <c r="W214" s="246">
        <f>IFERROR(VLOOKUP(I214,PROGRAMAS[],2,FALSE),0)</f>
        <v>122159672.96346797</v>
      </c>
      <c r="X214" s="246">
        <f>IFERROR(VLOOKUP(J214,PROGRAMAS[],2,FALSE),0)</f>
        <v>0</v>
      </c>
      <c r="Y214" s="246">
        <f>IFERROR(VLOOKUP(K214,PROGRAMAS[],2,FALSE),0)</f>
        <v>0</v>
      </c>
      <c r="Z214" s="246">
        <f>IFERROR(VLOOKUP(L214,PROGRAMAS[],2,FALSE),0)</f>
        <v>0</v>
      </c>
      <c r="AA214" s="246">
        <f>IFERROR(VLOOKUP(M214,PROGRAMAS[],2,FALSE),0)</f>
        <v>0</v>
      </c>
      <c r="AB214" s="246">
        <f>IFERROR(VLOOKUP(N214,PROGRAMAS[],2,FALSE),0)</f>
        <v>0</v>
      </c>
      <c r="AC214" s="246">
        <f>IFERROR(VLOOKUP(O214,PROGRAMAS[],2,FALSE),0)</f>
        <v>0</v>
      </c>
      <c r="AD214" s="246">
        <f>IFERROR(VLOOKUP(P214,PROGRAMAS[],2,FALSE),0)</f>
        <v>0</v>
      </c>
      <c r="AE214" s="246">
        <f>IFERROR(VLOOKUP(Q214,PROGRAMAS[],2,FALSE),0)</f>
        <v>0</v>
      </c>
      <c r="AF214" s="246">
        <f>IFERROR(VLOOKUP(D214,PROGRAMAS[],3,FALSE),0)</f>
        <v>841888629.31080008</v>
      </c>
      <c r="AG214" s="246">
        <f>IFERROR(VLOOKUP(E214,PROGRAMAS[],3,FALSE),0)</f>
        <v>3848980803.1642323</v>
      </c>
      <c r="AH214" s="246">
        <f>IFERROR(VLOOKUP(F214,PROGRAMAS[],3,FALSE),0)</f>
        <v>3394901471.387517</v>
      </c>
      <c r="AI214" s="246">
        <f>IFERROR(VLOOKUP(G214,PROGRAMAS[],3,FALSE),0)</f>
        <v>675517840.109828</v>
      </c>
      <c r="AJ214" s="246">
        <f>IFERROR(VLOOKUP(H214,PROGRAMAS[],3,FALSE),0)</f>
        <v>2392571243.5584412</v>
      </c>
      <c r="AK214" s="246">
        <f>IFERROR(VLOOKUP(I214,PROGRAMAS[],3,FALSE),0)</f>
        <v>118617452.52510804</v>
      </c>
      <c r="AL214" s="246">
        <f>IFERROR(VLOOKUP(J214,PROGRAMAS[],3,FALSE),0)</f>
        <v>0</v>
      </c>
      <c r="AM214" s="246">
        <f>IFERROR(VLOOKUP(K214,PROGRAMAS[],3,FALSE),0)</f>
        <v>0</v>
      </c>
      <c r="AN214" s="246">
        <f>IFERROR(VLOOKUP(L214,PROGRAMAS[],3,FALSE),0)</f>
        <v>0</v>
      </c>
      <c r="AO214" s="246">
        <f>IFERROR(VLOOKUP(M214,PROGRAMAS[],3,FALSE),0)</f>
        <v>0</v>
      </c>
      <c r="AP214" s="246">
        <f>IFERROR(VLOOKUP(N214,PROGRAMAS[],3,FALSE),0)</f>
        <v>0</v>
      </c>
      <c r="AQ214" s="246">
        <f>IFERROR(VLOOKUP(O214,PROGRAMAS[],3,FALSE),0)</f>
        <v>0</v>
      </c>
      <c r="AR214" s="246">
        <f>IFERROR(VLOOKUP(P214,PROGRAMAS[],3,FALSE),0)</f>
        <v>0</v>
      </c>
      <c r="AS214" s="246">
        <f>IFERROR(VLOOKUP(Q214,PROGRAMAS[],3,FALSE),0)</f>
        <v>0</v>
      </c>
      <c r="AT214" s="246">
        <f>IFERROR(VLOOKUP(D214,VOL_REC[],2,FALSE),0)</f>
        <v>0</v>
      </c>
      <c r="AU214" s="246">
        <f>IFERROR(VLOOKUP(E214,VOL_REC[],2,FALSE),0)</f>
        <v>0</v>
      </c>
      <c r="AV214" s="246">
        <f>IFERROR(VLOOKUP(F214,VOL_REC[],2,FALSE),0)</f>
        <v>11089674.200000001</v>
      </c>
      <c r="AW214" s="246">
        <f>IFERROR(VLOOKUP(G214,VOL_REC[],2,FALSE),0)</f>
        <v>240696.79238099116</v>
      </c>
      <c r="AX214" s="246">
        <f>IFERROR(VLOOKUP(H214,VOL_REC[],2,FALSE),0)</f>
        <v>663244.80000000016</v>
      </c>
      <c r="AY214" s="246">
        <f>IFERROR(VLOOKUP(I214,VOL_REC[],2,FALSE),0)</f>
        <v>105072</v>
      </c>
      <c r="AZ214" s="246">
        <f>IFERROR(VLOOKUP(J214,VOL_REC[],2,FALSE),0)</f>
        <v>0</v>
      </c>
      <c r="BA214" s="246">
        <f>IFERROR(VLOOKUP(K214,VOL_REC[],2,FALSE),0)</f>
        <v>0</v>
      </c>
      <c r="BB214" s="246">
        <f>IFERROR(VLOOKUP(L214,VOL_REC[],2,FALSE),0)</f>
        <v>0</v>
      </c>
      <c r="BC214" s="246">
        <f>IFERROR(VLOOKUP(M214,VOL_REC[],2,FALSE),0)</f>
        <v>0</v>
      </c>
      <c r="BD214" s="246">
        <f>IFERROR(VLOOKUP(N214,VOL_REC[],2,FALSE),0)</f>
        <v>0</v>
      </c>
      <c r="BE214" s="246">
        <f>IFERROR(VLOOKUP(O214,VOL_REC[],2,FALSE),0)</f>
        <v>0</v>
      </c>
      <c r="BF214" s="246">
        <f>IFERROR(VLOOKUP(P214,VOL_REC[],2,FALSE),0)</f>
        <v>0</v>
      </c>
      <c r="BG214" s="246">
        <f>IFERROR(VLOOKUP(Q214,VOL_REC[],2,FALSE),0)</f>
        <v>0</v>
      </c>
      <c r="BH214" s="1710">
        <f t="shared" si="12"/>
        <v>8463362079.7370253</v>
      </c>
      <c r="BI214" s="1710">
        <f t="shared" si="13"/>
        <v>11272477440.055927</v>
      </c>
      <c r="BJ214" s="1711">
        <f t="shared" si="14"/>
        <v>12098687.792380992</v>
      </c>
      <c r="BK214" s="1711">
        <f t="shared" si="15"/>
        <v>0.75079875961100484</v>
      </c>
    </row>
    <row r="215" spans="3:67" x14ac:dyDescent="0.25">
      <c r="C215" s="246" t="s">
        <v>1565</v>
      </c>
      <c r="D215" s="246">
        <v>1</v>
      </c>
      <c r="E215" s="246">
        <v>2</v>
      </c>
      <c r="F215" s="246">
        <v>3</v>
      </c>
      <c r="G215" s="246">
        <v>12</v>
      </c>
      <c r="H215" s="246">
        <v>13</v>
      </c>
      <c r="I215" s="246">
        <v>16</v>
      </c>
      <c r="J215" s="246"/>
      <c r="K215" s="246"/>
      <c r="L215" s="246"/>
      <c r="M215" s="246"/>
      <c r="N215" s="246"/>
      <c r="O215" s="246"/>
      <c r="P215" s="246"/>
      <c r="Q215" s="246"/>
      <c r="R215" s="246">
        <f>IFERROR(VLOOKUP(D215,PROGRAMAS[],2,FALSE),0)</f>
        <v>97037803.679377079</v>
      </c>
      <c r="S215" s="246">
        <f>IFERROR(VLOOKUP(E215,PROGRAMAS[],2,FALSE),0)</f>
        <v>640501509.6821388</v>
      </c>
      <c r="T215" s="246">
        <f>IFERROR(VLOOKUP(F215,PROGRAMAS[],2,FALSE),0)</f>
        <v>3062327798.1525245</v>
      </c>
      <c r="U215" s="246">
        <f>IFERROR(VLOOKUP(G215,PROGRAMAS[],2,FALSE),0)</f>
        <v>764796700.79905891</v>
      </c>
      <c r="V215" s="246">
        <f>IFERROR(VLOOKUP(H215,PROGRAMAS[],2,FALSE),0)</f>
        <v>3776538594.4604583</v>
      </c>
      <c r="W215" s="246">
        <f>IFERROR(VLOOKUP(I215,PROGRAMAS[],2,FALSE),0)</f>
        <v>7068496961.0436354</v>
      </c>
      <c r="X215" s="246">
        <f>IFERROR(VLOOKUP(J215,PROGRAMAS[],2,FALSE),0)</f>
        <v>0</v>
      </c>
      <c r="Y215" s="246">
        <f>IFERROR(VLOOKUP(K215,PROGRAMAS[],2,FALSE),0)</f>
        <v>0</v>
      </c>
      <c r="Z215" s="246">
        <f>IFERROR(VLOOKUP(L215,PROGRAMAS[],2,FALSE),0)</f>
        <v>0</v>
      </c>
      <c r="AA215" s="246">
        <f>IFERROR(VLOOKUP(M215,PROGRAMAS[],2,FALSE),0)</f>
        <v>0</v>
      </c>
      <c r="AB215" s="246">
        <f>IFERROR(VLOOKUP(N215,PROGRAMAS[],2,FALSE),0)</f>
        <v>0</v>
      </c>
      <c r="AC215" s="246">
        <f>IFERROR(VLOOKUP(O215,PROGRAMAS[],2,FALSE),0)</f>
        <v>0</v>
      </c>
      <c r="AD215" s="246">
        <f>IFERROR(VLOOKUP(P215,PROGRAMAS[],2,FALSE),0)</f>
        <v>0</v>
      </c>
      <c r="AE215" s="246">
        <f>IFERROR(VLOOKUP(Q215,PROGRAMAS[],2,FALSE),0)</f>
        <v>0</v>
      </c>
      <c r="AF215" s="246">
        <f>IFERROR(VLOOKUP(D215,PROGRAMAS[],3,FALSE),0)</f>
        <v>841888629.31080008</v>
      </c>
      <c r="AG215" s="246">
        <f>IFERROR(VLOOKUP(E215,PROGRAMAS[],3,FALSE),0)</f>
        <v>3848980803.1642323</v>
      </c>
      <c r="AH215" s="246">
        <f>IFERROR(VLOOKUP(F215,PROGRAMAS[],3,FALSE),0)</f>
        <v>3394901471.387517</v>
      </c>
      <c r="AI215" s="246">
        <f>IFERROR(VLOOKUP(G215,PROGRAMAS[],3,FALSE),0)</f>
        <v>675517840.109828</v>
      </c>
      <c r="AJ215" s="246">
        <f>IFERROR(VLOOKUP(H215,PROGRAMAS[],3,FALSE),0)</f>
        <v>2392571243.5584412</v>
      </c>
      <c r="AK215" s="246">
        <f>IFERROR(VLOOKUP(I215,PROGRAMAS[],3,FALSE),0)</f>
        <v>2406564599.0319901</v>
      </c>
      <c r="AL215" s="246">
        <f>IFERROR(VLOOKUP(J215,PROGRAMAS[],3,FALSE),0)</f>
        <v>0</v>
      </c>
      <c r="AM215" s="246">
        <f>IFERROR(VLOOKUP(K215,PROGRAMAS[],3,FALSE),0)</f>
        <v>0</v>
      </c>
      <c r="AN215" s="246">
        <f>IFERROR(VLOOKUP(L215,PROGRAMAS[],3,FALSE),0)</f>
        <v>0</v>
      </c>
      <c r="AO215" s="246">
        <f>IFERROR(VLOOKUP(M215,PROGRAMAS[],3,FALSE),0)</f>
        <v>0</v>
      </c>
      <c r="AP215" s="246">
        <f>IFERROR(VLOOKUP(N215,PROGRAMAS[],3,FALSE),0)</f>
        <v>0</v>
      </c>
      <c r="AQ215" s="246">
        <f>IFERROR(VLOOKUP(O215,PROGRAMAS[],3,FALSE),0)</f>
        <v>0</v>
      </c>
      <c r="AR215" s="246">
        <f>IFERROR(VLOOKUP(P215,PROGRAMAS[],3,FALSE),0)</f>
        <v>0</v>
      </c>
      <c r="AS215" s="246">
        <f>IFERROR(VLOOKUP(Q215,PROGRAMAS[],3,FALSE),0)</f>
        <v>0</v>
      </c>
      <c r="AT215" s="246">
        <f>IFERROR(VLOOKUP(D215,VOL_REC[],2,FALSE),0)</f>
        <v>0</v>
      </c>
      <c r="AU215" s="246">
        <f>IFERROR(VLOOKUP(E215,VOL_REC[],2,FALSE),0)</f>
        <v>0</v>
      </c>
      <c r="AV215" s="246">
        <f>IFERROR(VLOOKUP(F215,VOL_REC[],2,FALSE),0)</f>
        <v>11089674.200000001</v>
      </c>
      <c r="AW215" s="246">
        <f>IFERROR(VLOOKUP(G215,VOL_REC[],2,FALSE),0)</f>
        <v>240696.79238099116</v>
      </c>
      <c r="AX215" s="246">
        <f>IFERROR(VLOOKUP(H215,VOL_REC[],2,FALSE),0)</f>
        <v>663244.80000000016</v>
      </c>
      <c r="AY215" s="246">
        <f>IFERROR(VLOOKUP(I215,VOL_REC[],2,FALSE),0)</f>
        <v>1072354.9981737854</v>
      </c>
      <c r="AZ215" s="246">
        <f>IFERROR(VLOOKUP(J215,VOL_REC[],2,FALSE),0)</f>
        <v>0</v>
      </c>
      <c r="BA215" s="246">
        <f>IFERROR(VLOOKUP(K215,VOL_REC[],2,FALSE),0)</f>
        <v>0</v>
      </c>
      <c r="BB215" s="246">
        <f>IFERROR(VLOOKUP(L215,VOL_REC[],2,FALSE),0)</f>
        <v>0</v>
      </c>
      <c r="BC215" s="246">
        <f>IFERROR(VLOOKUP(M215,VOL_REC[],2,FALSE),0)</f>
        <v>0</v>
      </c>
      <c r="BD215" s="246">
        <f>IFERROR(VLOOKUP(N215,VOL_REC[],2,FALSE),0)</f>
        <v>0</v>
      </c>
      <c r="BE215" s="246">
        <f>IFERROR(VLOOKUP(O215,VOL_REC[],2,FALSE),0)</f>
        <v>0</v>
      </c>
      <c r="BF215" s="246">
        <f>IFERROR(VLOOKUP(P215,VOL_REC[],2,FALSE),0)</f>
        <v>0</v>
      </c>
      <c r="BG215" s="246">
        <f>IFERROR(VLOOKUP(Q215,VOL_REC[],2,FALSE),0)</f>
        <v>0</v>
      </c>
      <c r="BH215" s="1710">
        <f t="shared" si="12"/>
        <v>15409699367.817192</v>
      </c>
      <c r="BI215" s="1710">
        <f t="shared" si="13"/>
        <v>13560424586.562809</v>
      </c>
      <c r="BJ215" s="1711">
        <f t="shared" si="14"/>
        <v>13065970.790554777</v>
      </c>
      <c r="BK215" s="1711">
        <f t="shared" si="15"/>
        <v>1.1363729261904418</v>
      </c>
      <c r="BL215">
        <f>BJ215</f>
        <v>13065970.790554777</v>
      </c>
      <c r="BO215">
        <f>BL215</f>
        <v>13065970.790554777</v>
      </c>
    </row>
    <row r="216" spans="3:67" x14ac:dyDescent="0.25">
      <c r="C216" s="246" t="s">
        <v>1566</v>
      </c>
      <c r="D216" s="246">
        <v>1</v>
      </c>
      <c r="E216" s="246">
        <v>2</v>
      </c>
      <c r="F216" s="246">
        <v>3</v>
      </c>
      <c r="G216" s="246">
        <v>12</v>
      </c>
      <c r="H216" s="246">
        <v>13</v>
      </c>
      <c r="I216" s="246">
        <v>17</v>
      </c>
      <c r="J216" s="246"/>
      <c r="K216" s="246"/>
      <c r="L216" s="246"/>
      <c r="M216" s="246"/>
      <c r="N216" s="246"/>
      <c r="O216" s="246"/>
      <c r="P216" s="246"/>
      <c r="Q216" s="246"/>
      <c r="R216" s="246">
        <f>IFERROR(VLOOKUP(D216,PROGRAMAS[],2,FALSE),0)</f>
        <v>97037803.679377079</v>
      </c>
      <c r="S216" s="246">
        <f>IFERROR(VLOOKUP(E216,PROGRAMAS[],2,FALSE),0)</f>
        <v>640501509.6821388</v>
      </c>
      <c r="T216" s="246">
        <f>IFERROR(VLOOKUP(F216,PROGRAMAS[],2,FALSE),0)</f>
        <v>3062327798.1525245</v>
      </c>
      <c r="U216" s="246">
        <f>IFERROR(VLOOKUP(G216,PROGRAMAS[],2,FALSE),0)</f>
        <v>764796700.79905891</v>
      </c>
      <c r="V216" s="246">
        <f>IFERROR(VLOOKUP(H216,PROGRAMAS[],2,FALSE),0)</f>
        <v>3776538594.4604583</v>
      </c>
      <c r="W216" s="246">
        <f>IFERROR(VLOOKUP(I216,PROGRAMAS[],2,FALSE),0)</f>
        <v>1892779498.5211046</v>
      </c>
      <c r="X216" s="246">
        <f>IFERROR(VLOOKUP(J216,PROGRAMAS[],2,FALSE),0)</f>
        <v>0</v>
      </c>
      <c r="Y216" s="246">
        <f>IFERROR(VLOOKUP(K216,PROGRAMAS[],2,FALSE),0)</f>
        <v>0</v>
      </c>
      <c r="Z216" s="246">
        <f>IFERROR(VLOOKUP(L216,PROGRAMAS[],2,FALSE),0)</f>
        <v>0</v>
      </c>
      <c r="AA216" s="246">
        <f>IFERROR(VLOOKUP(M216,PROGRAMAS[],2,FALSE),0)</f>
        <v>0</v>
      </c>
      <c r="AB216" s="246">
        <f>IFERROR(VLOOKUP(N216,PROGRAMAS[],2,FALSE),0)</f>
        <v>0</v>
      </c>
      <c r="AC216" s="246">
        <f>IFERROR(VLOOKUP(O216,PROGRAMAS[],2,FALSE),0)</f>
        <v>0</v>
      </c>
      <c r="AD216" s="246">
        <f>IFERROR(VLOOKUP(P216,PROGRAMAS[],2,FALSE),0)</f>
        <v>0</v>
      </c>
      <c r="AE216" s="246">
        <f>IFERROR(VLOOKUP(Q216,PROGRAMAS[],2,FALSE),0)</f>
        <v>0</v>
      </c>
      <c r="AF216" s="246">
        <f>IFERROR(VLOOKUP(D216,PROGRAMAS[],3,FALSE),0)</f>
        <v>841888629.31080008</v>
      </c>
      <c r="AG216" s="246">
        <f>IFERROR(VLOOKUP(E216,PROGRAMAS[],3,FALSE),0)</f>
        <v>3848980803.1642323</v>
      </c>
      <c r="AH216" s="246">
        <f>IFERROR(VLOOKUP(F216,PROGRAMAS[],3,FALSE),0)</f>
        <v>3394901471.387517</v>
      </c>
      <c r="AI216" s="246">
        <f>IFERROR(VLOOKUP(G216,PROGRAMAS[],3,FALSE),0)</f>
        <v>675517840.109828</v>
      </c>
      <c r="AJ216" s="246">
        <f>IFERROR(VLOOKUP(H216,PROGRAMAS[],3,FALSE),0)</f>
        <v>2392571243.5584412</v>
      </c>
      <c r="AK216" s="246">
        <f>IFERROR(VLOOKUP(I216,PROGRAMAS[],3,FALSE),0)</f>
        <v>948595847.09039903</v>
      </c>
      <c r="AL216" s="246">
        <f>IFERROR(VLOOKUP(J216,PROGRAMAS[],3,FALSE),0)</f>
        <v>0</v>
      </c>
      <c r="AM216" s="246">
        <f>IFERROR(VLOOKUP(K216,PROGRAMAS[],3,FALSE),0)</f>
        <v>0</v>
      </c>
      <c r="AN216" s="246">
        <f>IFERROR(VLOOKUP(L216,PROGRAMAS[],3,FALSE),0)</f>
        <v>0</v>
      </c>
      <c r="AO216" s="246">
        <f>IFERROR(VLOOKUP(M216,PROGRAMAS[],3,FALSE),0)</f>
        <v>0</v>
      </c>
      <c r="AP216" s="246">
        <f>IFERROR(VLOOKUP(N216,PROGRAMAS[],3,FALSE),0)</f>
        <v>0</v>
      </c>
      <c r="AQ216" s="246">
        <f>IFERROR(VLOOKUP(O216,PROGRAMAS[],3,FALSE),0)</f>
        <v>0</v>
      </c>
      <c r="AR216" s="246">
        <f>IFERROR(VLOOKUP(P216,PROGRAMAS[],3,FALSE),0)</f>
        <v>0</v>
      </c>
      <c r="AS216" s="246">
        <f>IFERROR(VLOOKUP(Q216,PROGRAMAS[],3,FALSE),0)</f>
        <v>0</v>
      </c>
      <c r="AT216" s="246">
        <f>IFERROR(VLOOKUP(D216,VOL_REC[],2,FALSE),0)</f>
        <v>0</v>
      </c>
      <c r="AU216" s="246">
        <f>IFERROR(VLOOKUP(E216,VOL_REC[],2,FALSE),0)</f>
        <v>0</v>
      </c>
      <c r="AV216" s="246">
        <f>IFERROR(VLOOKUP(F216,VOL_REC[],2,FALSE),0)</f>
        <v>11089674.200000001</v>
      </c>
      <c r="AW216" s="246">
        <f>IFERROR(VLOOKUP(G216,VOL_REC[],2,FALSE),0)</f>
        <v>240696.79238099116</v>
      </c>
      <c r="AX216" s="246">
        <f>IFERROR(VLOOKUP(H216,VOL_REC[],2,FALSE),0)</f>
        <v>663244.80000000016</v>
      </c>
      <c r="AY216" s="246">
        <f>IFERROR(VLOOKUP(I216,VOL_REC[],2,FALSE),0)</f>
        <v>740113.98115702497</v>
      </c>
      <c r="AZ216" s="246">
        <f>IFERROR(VLOOKUP(J216,VOL_REC[],2,FALSE),0)</f>
        <v>0</v>
      </c>
      <c r="BA216" s="246">
        <f>IFERROR(VLOOKUP(K216,VOL_REC[],2,FALSE),0)</f>
        <v>0</v>
      </c>
      <c r="BB216" s="246">
        <f>IFERROR(VLOOKUP(L216,VOL_REC[],2,FALSE),0)</f>
        <v>0</v>
      </c>
      <c r="BC216" s="246">
        <f>IFERROR(VLOOKUP(M216,VOL_REC[],2,FALSE),0)</f>
        <v>0</v>
      </c>
      <c r="BD216" s="246">
        <f>IFERROR(VLOOKUP(N216,VOL_REC[],2,FALSE),0)</f>
        <v>0</v>
      </c>
      <c r="BE216" s="246">
        <f>IFERROR(VLOOKUP(O216,VOL_REC[],2,FALSE),0)</f>
        <v>0</v>
      </c>
      <c r="BF216" s="246">
        <f>IFERROR(VLOOKUP(P216,VOL_REC[],2,FALSE),0)</f>
        <v>0</v>
      </c>
      <c r="BG216" s="246">
        <f>IFERROR(VLOOKUP(Q216,VOL_REC[],2,FALSE),0)</f>
        <v>0</v>
      </c>
      <c r="BH216" s="1710">
        <f t="shared" si="12"/>
        <v>10233981905.294662</v>
      </c>
      <c r="BI216" s="1710">
        <f t="shared" si="13"/>
        <v>12102455834.621218</v>
      </c>
      <c r="BJ216" s="1711">
        <f t="shared" si="14"/>
        <v>12733729.773538018</v>
      </c>
      <c r="BK216" s="1711">
        <f t="shared" si="15"/>
        <v>0.84561200182350971</v>
      </c>
    </row>
    <row r="217" spans="3:67" x14ac:dyDescent="0.25">
      <c r="C217" s="246" t="s">
        <v>1567</v>
      </c>
      <c r="D217" s="246">
        <v>1</v>
      </c>
      <c r="E217" s="246">
        <v>2</v>
      </c>
      <c r="F217" s="246">
        <v>3</v>
      </c>
      <c r="G217" s="246">
        <v>12</v>
      </c>
      <c r="H217" s="246">
        <v>14</v>
      </c>
      <c r="I217" s="246">
        <v>15</v>
      </c>
      <c r="J217" s="246"/>
      <c r="K217" s="246"/>
      <c r="L217" s="246"/>
      <c r="M217" s="246"/>
      <c r="N217" s="246"/>
      <c r="O217" s="246"/>
      <c r="P217" s="246"/>
      <c r="Q217" s="246"/>
      <c r="R217" s="246">
        <f>IFERROR(VLOOKUP(D217,PROGRAMAS[],2,FALSE),0)</f>
        <v>97037803.679377079</v>
      </c>
      <c r="S217" s="246">
        <f>IFERROR(VLOOKUP(E217,PROGRAMAS[],2,FALSE),0)</f>
        <v>640501509.6821388</v>
      </c>
      <c r="T217" s="246">
        <f>IFERROR(VLOOKUP(F217,PROGRAMAS[],2,FALSE),0)</f>
        <v>3062327798.1525245</v>
      </c>
      <c r="U217" s="246">
        <f>IFERROR(VLOOKUP(G217,PROGRAMAS[],2,FALSE),0)</f>
        <v>764796700.79905891</v>
      </c>
      <c r="V217" s="246">
        <f>IFERROR(VLOOKUP(H217,PROGRAMAS[],2,FALSE),0)</f>
        <v>54223862.645839565</v>
      </c>
      <c r="W217" s="246">
        <f>IFERROR(VLOOKUP(I217,PROGRAMAS[],2,FALSE),0)</f>
        <v>122159672.96346797</v>
      </c>
      <c r="X217" s="246">
        <f>IFERROR(VLOOKUP(J217,PROGRAMAS[],2,FALSE),0)</f>
        <v>0</v>
      </c>
      <c r="Y217" s="246">
        <f>IFERROR(VLOOKUP(K217,PROGRAMAS[],2,FALSE),0)</f>
        <v>0</v>
      </c>
      <c r="Z217" s="246">
        <f>IFERROR(VLOOKUP(L217,PROGRAMAS[],2,FALSE),0)</f>
        <v>0</v>
      </c>
      <c r="AA217" s="246">
        <f>IFERROR(VLOOKUP(M217,PROGRAMAS[],2,FALSE),0)</f>
        <v>0</v>
      </c>
      <c r="AB217" s="246">
        <f>IFERROR(VLOOKUP(N217,PROGRAMAS[],2,FALSE),0)</f>
        <v>0</v>
      </c>
      <c r="AC217" s="246">
        <f>IFERROR(VLOOKUP(O217,PROGRAMAS[],2,FALSE),0)</f>
        <v>0</v>
      </c>
      <c r="AD217" s="246">
        <f>IFERROR(VLOOKUP(P217,PROGRAMAS[],2,FALSE),0)</f>
        <v>0</v>
      </c>
      <c r="AE217" s="246">
        <f>IFERROR(VLOOKUP(Q217,PROGRAMAS[],2,FALSE),0)</f>
        <v>0</v>
      </c>
      <c r="AF217" s="246">
        <f>IFERROR(VLOOKUP(D217,PROGRAMAS[],3,FALSE),0)</f>
        <v>841888629.31080008</v>
      </c>
      <c r="AG217" s="246">
        <f>IFERROR(VLOOKUP(E217,PROGRAMAS[],3,FALSE),0)</f>
        <v>3848980803.1642323</v>
      </c>
      <c r="AH217" s="246">
        <f>IFERROR(VLOOKUP(F217,PROGRAMAS[],3,FALSE),0)</f>
        <v>3394901471.387517</v>
      </c>
      <c r="AI217" s="246">
        <f>IFERROR(VLOOKUP(G217,PROGRAMAS[],3,FALSE),0)</f>
        <v>675517840.109828</v>
      </c>
      <c r="AJ217" s="246">
        <f>IFERROR(VLOOKUP(H217,PROGRAMAS[],3,FALSE),0)</f>
        <v>31865326.38096505</v>
      </c>
      <c r="AK217" s="246">
        <f>IFERROR(VLOOKUP(I217,PROGRAMAS[],3,FALSE),0)</f>
        <v>118617452.52510804</v>
      </c>
      <c r="AL217" s="246">
        <f>IFERROR(VLOOKUP(J217,PROGRAMAS[],3,FALSE),0)</f>
        <v>0</v>
      </c>
      <c r="AM217" s="246">
        <f>IFERROR(VLOOKUP(K217,PROGRAMAS[],3,FALSE),0)</f>
        <v>0</v>
      </c>
      <c r="AN217" s="246">
        <f>IFERROR(VLOOKUP(L217,PROGRAMAS[],3,FALSE),0)</f>
        <v>0</v>
      </c>
      <c r="AO217" s="246">
        <f>IFERROR(VLOOKUP(M217,PROGRAMAS[],3,FALSE),0)</f>
        <v>0</v>
      </c>
      <c r="AP217" s="246">
        <f>IFERROR(VLOOKUP(N217,PROGRAMAS[],3,FALSE),0)</f>
        <v>0</v>
      </c>
      <c r="AQ217" s="246">
        <f>IFERROR(VLOOKUP(O217,PROGRAMAS[],3,FALSE),0)</f>
        <v>0</v>
      </c>
      <c r="AR217" s="246">
        <f>IFERROR(VLOOKUP(P217,PROGRAMAS[],3,FALSE),0)</f>
        <v>0</v>
      </c>
      <c r="AS217" s="246">
        <f>IFERROR(VLOOKUP(Q217,PROGRAMAS[],3,FALSE),0)</f>
        <v>0</v>
      </c>
      <c r="AT217" s="246">
        <f>IFERROR(VLOOKUP(D217,VOL_REC[],2,FALSE),0)</f>
        <v>0</v>
      </c>
      <c r="AU217" s="246">
        <f>IFERROR(VLOOKUP(E217,VOL_REC[],2,FALSE),0)</f>
        <v>0</v>
      </c>
      <c r="AV217" s="246">
        <f>IFERROR(VLOOKUP(F217,VOL_REC[],2,FALSE),0)</f>
        <v>11089674.200000001</v>
      </c>
      <c r="AW217" s="246">
        <f>IFERROR(VLOOKUP(G217,VOL_REC[],2,FALSE),0)</f>
        <v>240696.79238099116</v>
      </c>
      <c r="AX217" s="246">
        <f>IFERROR(VLOOKUP(H217,VOL_REC[],2,FALSE),0)</f>
        <v>17074.045034105649</v>
      </c>
      <c r="AY217" s="246">
        <f>IFERROR(VLOOKUP(I217,VOL_REC[],2,FALSE),0)</f>
        <v>105072</v>
      </c>
      <c r="AZ217" s="246">
        <f>IFERROR(VLOOKUP(J217,VOL_REC[],2,FALSE),0)</f>
        <v>0</v>
      </c>
      <c r="BA217" s="246">
        <f>IFERROR(VLOOKUP(K217,VOL_REC[],2,FALSE),0)</f>
        <v>0</v>
      </c>
      <c r="BB217" s="246">
        <f>IFERROR(VLOOKUP(L217,VOL_REC[],2,FALSE),0)</f>
        <v>0</v>
      </c>
      <c r="BC217" s="246">
        <f>IFERROR(VLOOKUP(M217,VOL_REC[],2,FALSE),0)</f>
        <v>0</v>
      </c>
      <c r="BD217" s="246">
        <f>IFERROR(VLOOKUP(N217,VOL_REC[],2,FALSE),0)</f>
        <v>0</v>
      </c>
      <c r="BE217" s="246">
        <f>IFERROR(VLOOKUP(O217,VOL_REC[],2,FALSE),0)</f>
        <v>0</v>
      </c>
      <c r="BF217" s="246">
        <f>IFERROR(VLOOKUP(P217,VOL_REC[],2,FALSE),0)</f>
        <v>0</v>
      </c>
      <c r="BG217" s="246">
        <f>IFERROR(VLOOKUP(Q217,VOL_REC[],2,FALSE),0)</f>
        <v>0</v>
      </c>
      <c r="BH217" s="1710">
        <f t="shared" si="12"/>
        <v>4741047347.9224062</v>
      </c>
      <c r="BI217" s="1710">
        <f t="shared" si="13"/>
        <v>8911771522.8784504</v>
      </c>
      <c r="BJ217" s="1711">
        <f t="shared" si="14"/>
        <v>11452517.037415097</v>
      </c>
      <c r="BK217" s="1711">
        <f t="shared" si="15"/>
        <v>0.53199830535950221</v>
      </c>
    </row>
    <row r="218" spans="3:67" x14ac:dyDescent="0.25">
      <c r="C218" s="246" t="s">
        <v>1568</v>
      </c>
      <c r="D218" s="246">
        <v>1</v>
      </c>
      <c r="E218" s="246">
        <v>2</v>
      </c>
      <c r="F218" s="246">
        <v>3</v>
      </c>
      <c r="G218" s="246">
        <v>12</v>
      </c>
      <c r="H218" s="246">
        <v>14</v>
      </c>
      <c r="I218" s="246">
        <v>16</v>
      </c>
      <c r="J218" s="246"/>
      <c r="K218" s="246"/>
      <c r="L218" s="246"/>
      <c r="M218" s="246"/>
      <c r="N218" s="246"/>
      <c r="O218" s="246"/>
      <c r="P218" s="246"/>
      <c r="Q218" s="246"/>
      <c r="R218" s="246">
        <f>IFERROR(VLOOKUP(D218,PROGRAMAS[],2,FALSE),0)</f>
        <v>97037803.679377079</v>
      </c>
      <c r="S218" s="246">
        <f>IFERROR(VLOOKUP(E218,PROGRAMAS[],2,FALSE),0)</f>
        <v>640501509.6821388</v>
      </c>
      <c r="T218" s="246">
        <f>IFERROR(VLOOKUP(F218,PROGRAMAS[],2,FALSE),0)</f>
        <v>3062327798.1525245</v>
      </c>
      <c r="U218" s="246">
        <f>IFERROR(VLOOKUP(G218,PROGRAMAS[],2,FALSE),0)</f>
        <v>764796700.79905891</v>
      </c>
      <c r="V218" s="246">
        <f>IFERROR(VLOOKUP(H218,PROGRAMAS[],2,FALSE),0)</f>
        <v>54223862.645839565</v>
      </c>
      <c r="W218" s="246">
        <f>IFERROR(VLOOKUP(I218,PROGRAMAS[],2,FALSE),0)</f>
        <v>7068496961.0436354</v>
      </c>
      <c r="X218" s="246">
        <f>IFERROR(VLOOKUP(J218,PROGRAMAS[],2,FALSE),0)</f>
        <v>0</v>
      </c>
      <c r="Y218" s="246">
        <f>IFERROR(VLOOKUP(K218,PROGRAMAS[],2,FALSE),0)</f>
        <v>0</v>
      </c>
      <c r="Z218" s="246">
        <f>IFERROR(VLOOKUP(L218,PROGRAMAS[],2,FALSE),0)</f>
        <v>0</v>
      </c>
      <c r="AA218" s="246">
        <f>IFERROR(VLOOKUP(M218,PROGRAMAS[],2,FALSE),0)</f>
        <v>0</v>
      </c>
      <c r="AB218" s="246">
        <f>IFERROR(VLOOKUP(N218,PROGRAMAS[],2,FALSE),0)</f>
        <v>0</v>
      </c>
      <c r="AC218" s="246">
        <f>IFERROR(VLOOKUP(O218,PROGRAMAS[],2,FALSE),0)</f>
        <v>0</v>
      </c>
      <c r="AD218" s="246">
        <f>IFERROR(VLOOKUP(P218,PROGRAMAS[],2,FALSE),0)</f>
        <v>0</v>
      </c>
      <c r="AE218" s="246">
        <f>IFERROR(VLOOKUP(Q218,PROGRAMAS[],2,FALSE),0)</f>
        <v>0</v>
      </c>
      <c r="AF218" s="246">
        <f>IFERROR(VLOOKUP(D218,PROGRAMAS[],3,FALSE),0)</f>
        <v>841888629.31080008</v>
      </c>
      <c r="AG218" s="246">
        <f>IFERROR(VLOOKUP(E218,PROGRAMAS[],3,FALSE),0)</f>
        <v>3848980803.1642323</v>
      </c>
      <c r="AH218" s="246">
        <f>IFERROR(VLOOKUP(F218,PROGRAMAS[],3,FALSE),0)</f>
        <v>3394901471.387517</v>
      </c>
      <c r="AI218" s="246">
        <f>IFERROR(VLOOKUP(G218,PROGRAMAS[],3,FALSE),0)</f>
        <v>675517840.109828</v>
      </c>
      <c r="AJ218" s="246">
        <f>IFERROR(VLOOKUP(H218,PROGRAMAS[],3,FALSE),0)</f>
        <v>31865326.38096505</v>
      </c>
      <c r="AK218" s="246">
        <f>IFERROR(VLOOKUP(I218,PROGRAMAS[],3,FALSE),0)</f>
        <v>2406564599.0319901</v>
      </c>
      <c r="AL218" s="246">
        <f>IFERROR(VLOOKUP(J218,PROGRAMAS[],3,FALSE),0)</f>
        <v>0</v>
      </c>
      <c r="AM218" s="246">
        <f>IFERROR(VLOOKUP(K218,PROGRAMAS[],3,FALSE),0)</f>
        <v>0</v>
      </c>
      <c r="AN218" s="246">
        <f>IFERROR(VLOOKUP(L218,PROGRAMAS[],3,FALSE),0)</f>
        <v>0</v>
      </c>
      <c r="AO218" s="246">
        <f>IFERROR(VLOOKUP(M218,PROGRAMAS[],3,FALSE),0)</f>
        <v>0</v>
      </c>
      <c r="AP218" s="246">
        <f>IFERROR(VLOOKUP(N218,PROGRAMAS[],3,FALSE),0)</f>
        <v>0</v>
      </c>
      <c r="AQ218" s="246">
        <f>IFERROR(VLOOKUP(O218,PROGRAMAS[],3,FALSE),0)</f>
        <v>0</v>
      </c>
      <c r="AR218" s="246">
        <f>IFERROR(VLOOKUP(P218,PROGRAMAS[],3,FALSE),0)</f>
        <v>0</v>
      </c>
      <c r="AS218" s="246">
        <f>IFERROR(VLOOKUP(Q218,PROGRAMAS[],3,FALSE),0)</f>
        <v>0</v>
      </c>
      <c r="AT218" s="246">
        <f>IFERROR(VLOOKUP(D218,VOL_REC[],2,FALSE),0)</f>
        <v>0</v>
      </c>
      <c r="AU218" s="246">
        <f>IFERROR(VLOOKUP(E218,VOL_REC[],2,FALSE),0)</f>
        <v>0</v>
      </c>
      <c r="AV218" s="246">
        <f>IFERROR(VLOOKUP(F218,VOL_REC[],2,FALSE),0)</f>
        <v>11089674.200000001</v>
      </c>
      <c r="AW218" s="246">
        <f>IFERROR(VLOOKUP(G218,VOL_REC[],2,FALSE),0)</f>
        <v>240696.79238099116</v>
      </c>
      <c r="AX218" s="246">
        <f>IFERROR(VLOOKUP(H218,VOL_REC[],2,FALSE),0)</f>
        <v>17074.045034105649</v>
      </c>
      <c r="AY218" s="246">
        <f>IFERROR(VLOOKUP(I218,VOL_REC[],2,FALSE),0)</f>
        <v>1072354.9981737854</v>
      </c>
      <c r="AZ218" s="246">
        <f>IFERROR(VLOOKUP(J218,VOL_REC[],2,FALSE),0)</f>
        <v>0</v>
      </c>
      <c r="BA218" s="246">
        <f>IFERROR(VLOOKUP(K218,VOL_REC[],2,FALSE),0)</f>
        <v>0</v>
      </c>
      <c r="BB218" s="246">
        <f>IFERROR(VLOOKUP(L218,VOL_REC[],2,FALSE),0)</f>
        <v>0</v>
      </c>
      <c r="BC218" s="246">
        <f>IFERROR(VLOOKUP(M218,VOL_REC[],2,FALSE),0)</f>
        <v>0</v>
      </c>
      <c r="BD218" s="246">
        <f>IFERROR(VLOOKUP(N218,VOL_REC[],2,FALSE),0)</f>
        <v>0</v>
      </c>
      <c r="BE218" s="246">
        <f>IFERROR(VLOOKUP(O218,VOL_REC[],2,FALSE),0)</f>
        <v>0</v>
      </c>
      <c r="BF218" s="246">
        <f>IFERROR(VLOOKUP(P218,VOL_REC[],2,FALSE),0)</f>
        <v>0</v>
      </c>
      <c r="BG218" s="246">
        <f>IFERROR(VLOOKUP(Q218,VOL_REC[],2,FALSE),0)</f>
        <v>0</v>
      </c>
      <c r="BH218" s="1710">
        <f t="shared" si="12"/>
        <v>11687384636.002575</v>
      </c>
      <c r="BI218" s="1710">
        <f t="shared" si="13"/>
        <v>11199718669.385332</v>
      </c>
      <c r="BJ218" s="1711">
        <f t="shared" si="14"/>
        <v>12419800.035588883</v>
      </c>
      <c r="BK218" s="1711">
        <f t="shared" si="15"/>
        <v>1.0435426979027864</v>
      </c>
      <c r="BL218">
        <f>BJ218</f>
        <v>12419800.035588883</v>
      </c>
      <c r="BO218">
        <f>BL218</f>
        <v>12419800.035588883</v>
      </c>
    </row>
    <row r="219" spans="3:67" x14ac:dyDescent="0.25">
      <c r="C219" s="246" t="s">
        <v>1569</v>
      </c>
      <c r="D219" s="246">
        <v>1</v>
      </c>
      <c r="E219" s="246">
        <v>2</v>
      </c>
      <c r="F219" s="246">
        <v>3</v>
      </c>
      <c r="G219" s="246">
        <v>12</v>
      </c>
      <c r="H219" s="246">
        <v>14</v>
      </c>
      <c r="I219" s="246">
        <v>17</v>
      </c>
      <c r="J219" s="246"/>
      <c r="K219" s="246"/>
      <c r="L219" s="246"/>
      <c r="M219" s="246"/>
      <c r="N219" s="246"/>
      <c r="O219" s="246"/>
      <c r="P219" s="246"/>
      <c r="Q219" s="246"/>
      <c r="R219" s="246">
        <f>IFERROR(VLOOKUP(D219,PROGRAMAS[],2,FALSE),0)</f>
        <v>97037803.679377079</v>
      </c>
      <c r="S219" s="246">
        <f>IFERROR(VLOOKUP(E219,PROGRAMAS[],2,FALSE),0)</f>
        <v>640501509.6821388</v>
      </c>
      <c r="T219" s="246">
        <f>IFERROR(VLOOKUP(F219,PROGRAMAS[],2,FALSE),0)</f>
        <v>3062327798.1525245</v>
      </c>
      <c r="U219" s="246">
        <f>IFERROR(VLOOKUP(G219,PROGRAMAS[],2,FALSE),0)</f>
        <v>764796700.79905891</v>
      </c>
      <c r="V219" s="246">
        <f>IFERROR(VLOOKUP(H219,PROGRAMAS[],2,FALSE),0)</f>
        <v>54223862.645839565</v>
      </c>
      <c r="W219" s="246">
        <f>IFERROR(VLOOKUP(I219,PROGRAMAS[],2,FALSE),0)</f>
        <v>1892779498.5211046</v>
      </c>
      <c r="X219" s="246">
        <f>IFERROR(VLOOKUP(J219,PROGRAMAS[],2,FALSE),0)</f>
        <v>0</v>
      </c>
      <c r="Y219" s="246">
        <f>IFERROR(VLOOKUP(K219,PROGRAMAS[],2,FALSE),0)</f>
        <v>0</v>
      </c>
      <c r="Z219" s="246">
        <f>IFERROR(VLOOKUP(L219,PROGRAMAS[],2,FALSE),0)</f>
        <v>0</v>
      </c>
      <c r="AA219" s="246">
        <f>IFERROR(VLOOKUP(M219,PROGRAMAS[],2,FALSE),0)</f>
        <v>0</v>
      </c>
      <c r="AB219" s="246">
        <f>IFERROR(VLOOKUP(N219,PROGRAMAS[],2,FALSE),0)</f>
        <v>0</v>
      </c>
      <c r="AC219" s="246">
        <f>IFERROR(VLOOKUP(O219,PROGRAMAS[],2,FALSE),0)</f>
        <v>0</v>
      </c>
      <c r="AD219" s="246">
        <f>IFERROR(VLOOKUP(P219,PROGRAMAS[],2,FALSE),0)</f>
        <v>0</v>
      </c>
      <c r="AE219" s="246">
        <f>IFERROR(VLOOKUP(Q219,PROGRAMAS[],2,FALSE),0)</f>
        <v>0</v>
      </c>
      <c r="AF219" s="246">
        <f>IFERROR(VLOOKUP(D219,PROGRAMAS[],3,FALSE),0)</f>
        <v>841888629.31080008</v>
      </c>
      <c r="AG219" s="246">
        <f>IFERROR(VLOOKUP(E219,PROGRAMAS[],3,FALSE),0)</f>
        <v>3848980803.1642323</v>
      </c>
      <c r="AH219" s="246">
        <f>IFERROR(VLOOKUP(F219,PROGRAMAS[],3,FALSE),0)</f>
        <v>3394901471.387517</v>
      </c>
      <c r="AI219" s="246">
        <f>IFERROR(VLOOKUP(G219,PROGRAMAS[],3,FALSE),0)</f>
        <v>675517840.109828</v>
      </c>
      <c r="AJ219" s="246">
        <f>IFERROR(VLOOKUP(H219,PROGRAMAS[],3,FALSE),0)</f>
        <v>31865326.38096505</v>
      </c>
      <c r="AK219" s="246">
        <f>IFERROR(VLOOKUP(I219,PROGRAMAS[],3,FALSE),0)</f>
        <v>948595847.09039903</v>
      </c>
      <c r="AL219" s="246">
        <f>IFERROR(VLOOKUP(J219,PROGRAMAS[],3,FALSE),0)</f>
        <v>0</v>
      </c>
      <c r="AM219" s="246">
        <f>IFERROR(VLOOKUP(K219,PROGRAMAS[],3,FALSE),0)</f>
        <v>0</v>
      </c>
      <c r="AN219" s="246">
        <f>IFERROR(VLOOKUP(L219,PROGRAMAS[],3,FALSE),0)</f>
        <v>0</v>
      </c>
      <c r="AO219" s="246">
        <f>IFERROR(VLOOKUP(M219,PROGRAMAS[],3,FALSE),0)</f>
        <v>0</v>
      </c>
      <c r="AP219" s="246">
        <f>IFERROR(VLOOKUP(N219,PROGRAMAS[],3,FALSE),0)</f>
        <v>0</v>
      </c>
      <c r="AQ219" s="246">
        <f>IFERROR(VLOOKUP(O219,PROGRAMAS[],3,FALSE),0)</f>
        <v>0</v>
      </c>
      <c r="AR219" s="246">
        <f>IFERROR(VLOOKUP(P219,PROGRAMAS[],3,FALSE),0)</f>
        <v>0</v>
      </c>
      <c r="AS219" s="246">
        <f>IFERROR(VLOOKUP(Q219,PROGRAMAS[],3,FALSE),0)</f>
        <v>0</v>
      </c>
      <c r="AT219" s="246">
        <f>IFERROR(VLOOKUP(D219,VOL_REC[],2,FALSE),0)</f>
        <v>0</v>
      </c>
      <c r="AU219" s="246">
        <f>IFERROR(VLOOKUP(E219,VOL_REC[],2,FALSE),0)</f>
        <v>0</v>
      </c>
      <c r="AV219" s="246">
        <f>IFERROR(VLOOKUP(F219,VOL_REC[],2,FALSE),0)</f>
        <v>11089674.200000001</v>
      </c>
      <c r="AW219" s="246">
        <f>IFERROR(VLOOKUP(G219,VOL_REC[],2,FALSE),0)</f>
        <v>240696.79238099116</v>
      </c>
      <c r="AX219" s="246">
        <f>IFERROR(VLOOKUP(H219,VOL_REC[],2,FALSE),0)</f>
        <v>17074.045034105649</v>
      </c>
      <c r="AY219" s="246">
        <f>IFERROR(VLOOKUP(I219,VOL_REC[],2,FALSE),0)</f>
        <v>740113.98115702497</v>
      </c>
      <c r="AZ219" s="246">
        <f>IFERROR(VLOOKUP(J219,VOL_REC[],2,FALSE),0)</f>
        <v>0</v>
      </c>
      <c r="BA219" s="246">
        <f>IFERROR(VLOOKUP(K219,VOL_REC[],2,FALSE),0)</f>
        <v>0</v>
      </c>
      <c r="BB219" s="246">
        <f>IFERROR(VLOOKUP(L219,VOL_REC[],2,FALSE),0)</f>
        <v>0</v>
      </c>
      <c r="BC219" s="246">
        <f>IFERROR(VLOOKUP(M219,VOL_REC[],2,FALSE),0)</f>
        <v>0</v>
      </c>
      <c r="BD219" s="246">
        <f>IFERROR(VLOOKUP(N219,VOL_REC[],2,FALSE),0)</f>
        <v>0</v>
      </c>
      <c r="BE219" s="246">
        <f>IFERROR(VLOOKUP(O219,VOL_REC[],2,FALSE),0)</f>
        <v>0</v>
      </c>
      <c r="BF219" s="246">
        <f>IFERROR(VLOOKUP(P219,VOL_REC[],2,FALSE),0)</f>
        <v>0</v>
      </c>
      <c r="BG219" s="246">
        <f>IFERROR(VLOOKUP(Q219,VOL_REC[],2,FALSE),0)</f>
        <v>0</v>
      </c>
      <c r="BH219" s="1710">
        <f t="shared" si="12"/>
        <v>6511667173.4800434</v>
      </c>
      <c r="BI219" s="1710">
        <f t="shared" si="13"/>
        <v>9741749917.4437408</v>
      </c>
      <c r="BJ219" s="1711">
        <f t="shared" si="14"/>
        <v>12087559.018572122</v>
      </c>
      <c r="BK219" s="1711">
        <f t="shared" si="15"/>
        <v>0.668428899187829</v>
      </c>
    </row>
    <row r="220" spans="3:67" x14ac:dyDescent="0.25">
      <c r="C220" s="246" t="s">
        <v>1570</v>
      </c>
      <c r="D220" s="246">
        <v>1</v>
      </c>
      <c r="E220" s="246">
        <v>2</v>
      </c>
      <c r="F220" s="246">
        <v>3</v>
      </c>
      <c r="G220" s="246">
        <v>12</v>
      </c>
      <c r="H220" s="246">
        <v>15</v>
      </c>
      <c r="I220" s="246">
        <v>16</v>
      </c>
      <c r="J220" s="246"/>
      <c r="K220" s="246"/>
      <c r="L220" s="246"/>
      <c r="M220" s="246"/>
      <c r="N220" s="246"/>
      <c r="O220" s="246"/>
      <c r="P220" s="246"/>
      <c r="Q220" s="246"/>
      <c r="R220" s="246">
        <f>IFERROR(VLOOKUP(D220,PROGRAMAS[],2,FALSE),0)</f>
        <v>97037803.679377079</v>
      </c>
      <c r="S220" s="246">
        <f>IFERROR(VLOOKUP(E220,PROGRAMAS[],2,FALSE),0)</f>
        <v>640501509.6821388</v>
      </c>
      <c r="T220" s="246">
        <f>IFERROR(VLOOKUP(F220,PROGRAMAS[],2,FALSE),0)</f>
        <v>3062327798.1525245</v>
      </c>
      <c r="U220" s="246">
        <f>IFERROR(VLOOKUP(G220,PROGRAMAS[],2,FALSE),0)</f>
        <v>764796700.79905891</v>
      </c>
      <c r="V220" s="246">
        <f>IFERROR(VLOOKUP(H220,PROGRAMAS[],2,FALSE),0)</f>
        <v>122159672.96346797</v>
      </c>
      <c r="W220" s="246">
        <f>IFERROR(VLOOKUP(I220,PROGRAMAS[],2,FALSE),0)</f>
        <v>7068496961.0436354</v>
      </c>
      <c r="X220" s="246">
        <f>IFERROR(VLOOKUP(J220,PROGRAMAS[],2,FALSE),0)</f>
        <v>0</v>
      </c>
      <c r="Y220" s="246">
        <f>IFERROR(VLOOKUP(K220,PROGRAMAS[],2,FALSE),0)</f>
        <v>0</v>
      </c>
      <c r="Z220" s="246">
        <f>IFERROR(VLOOKUP(L220,PROGRAMAS[],2,FALSE),0)</f>
        <v>0</v>
      </c>
      <c r="AA220" s="246">
        <f>IFERROR(VLOOKUP(M220,PROGRAMAS[],2,FALSE),0)</f>
        <v>0</v>
      </c>
      <c r="AB220" s="246">
        <f>IFERROR(VLOOKUP(N220,PROGRAMAS[],2,FALSE),0)</f>
        <v>0</v>
      </c>
      <c r="AC220" s="246">
        <f>IFERROR(VLOOKUP(O220,PROGRAMAS[],2,FALSE),0)</f>
        <v>0</v>
      </c>
      <c r="AD220" s="246">
        <f>IFERROR(VLOOKUP(P220,PROGRAMAS[],2,FALSE),0)</f>
        <v>0</v>
      </c>
      <c r="AE220" s="246">
        <f>IFERROR(VLOOKUP(Q220,PROGRAMAS[],2,FALSE),0)</f>
        <v>0</v>
      </c>
      <c r="AF220" s="246">
        <f>IFERROR(VLOOKUP(D220,PROGRAMAS[],3,FALSE),0)</f>
        <v>841888629.31080008</v>
      </c>
      <c r="AG220" s="246">
        <f>IFERROR(VLOOKUP(E220,PROGRAMAS[],3,FALSE),0)</f>
        <v>3848980803.1642323</v>
      </c>
      <c r="AH220" s="246">
        <f>IFERROR(VLOOKUP(F220,PROGRAMAS[],3,FALSE),0)</f>
        <v>3394901471.387517</v>
      </c>
      <c r="AI220" s="246">
        <f>IFERROR(VLOOKUP(G220,PROGRAMAS[],3,FALSE),0)</f>
        <v>675517840.109828</v>
      </c>
      <c r="AJ220" s="246">
        <f>IFERROR(VLOOKUP(H220,PROGRAMAS[],3,FALSE),0)</f>
        <v>118617452.52510804</v>
      </c>
      <c r="AK220" s="246">
        <f>IFERROR(VLOOKUP(I220,PROGRAMAS[],3,FALSE),0)</f>
        <v>2406564599.0319901</v>
      </c>
      <c r="AL220" s="246">
        <f>IFERROR(VLOOKUP(J220,PROGRAMAS[],3,FALSE),0)</f>
        <v>0</v>
      </c>
      <c r="AM220" s="246">
        <f>IFERROR(VLOOKUP(K220,PROGRAMAS[],3,FALSE),0)</f>
        <v>0</v>
      </c>
      <c r="AN220" s="246">
        <f>IFERROR(VLOOKUP(L220,PROGRAMAS[],3,FALSE),0)</f>
        <v>0</v>
      </c>
      <c r="AO220" s="246">
        <f>IFERROR(VLOOKUP(M220,PROGRAMAS[],3,FALSE),0)</f>
        <v>0</v>
      </c>
      <c r="AP220" s="246">
        <f>IFERROR(VLOOKUP(N220,PROGRAMAS[],3,FALSE),0)</f>
        <v>0</v>
      </c>
      <c r="AQ220" s="246">
        <f>IFERROR(VLOOKUP(O220,PROGRAMAS[],3,FALSE),0)</f>
        <v>0</v>
      </c>
      <c r="AR220" s="246">
        <f>IFERROR(VLOOKUP(P220,PROGRAMAS[],3,FALSE),0)</f>
        <v>0</v>
      </c>
      <c r="AS220" s="246">
        <f>IFERROR(VLOOKUP(Q220,PROGRAMAS[],3,FALSE),0)</f>
        <v>0</v>
      </c>
      <c r="AT220" s="246">
        <f>IFERROR(VLOOKUP(D220,VOL_REC[],2,FALSE),0)</f>
        <v>0</v>
      </c>
      <c r="AU220" s="246">
        <f>IFERROR(VLOOKUP(E220,VOL_REC[],2,FALSE),0)</f>
        <v>0</v>
      </c>
      <c r="AV220" s="246">
        <f>IFERROR(VLOOKUP(F220,VOL_REC[],2,FALSE),0)</f>
        <v>11089674.200000001</v>
      </c>
      <c r="AW220" s="246">
        <f>IFERROR(VLOOKUP(G220,VOL_REC[],2,FALSE),0)</f>
        <v>240696.79238099116</v>
      </c>
      <c r="AX220" s="246">
        <f>IFERROR(VLOOKUP(H220,VOL_REC[],2,FALSE),0)</f>
        <v>105072</v>
      </c>
      <c r="AY220" s="246">
        <f>IFERROR(VLOOKUP(I220,VOL_REC[],2,FALSE),0)</f>
        <v>1072354.9981737854</v>
      </c>
      <c r="AZ220" s="246">
        <f>IFERROR(VLOOKUP(J220,VOL_REC[],2,FALSE),0)</f>
        <v>0</v>
      </c>
      <c r="BA220" s="246">
        <f>IFERROR(VLOOKUP(K220,VOL_REC[],2,FALSE),0)</f>
        <v>0</v>
      </c>
      <c r="BB220" s="246">
        <f>IFERROR(VLOOKUP(L220,VOL_REC[],2,FALSE),0)</f>
        <v>0</v>
      </c>
      <c r="BC220" s="246">
        <f>IFERROR(VLOOKUP(M220,VOL_REC[],2,FALSE),0)</f>
        <v>0</v>
      </c>
      <c r="BD220" s="246">
        <f>IFERROR(VLOOKUP(N220,VOL_REC[],2,FALSE),0)</f>
        <v>0</v>
      </c>
      <c r="BE220" s="246">
        <f>IFERROR(VLOOKUP(O220,VOL_REC[],2,FALSE),0)</f>
        <v>0</v>
      </c>
      <c r="BF220" s="246">
        <f>IFERROR(VLOOKUP(P220,VOL_REC[],2,FALSE),0)</f>
        <v>0</v>
      </c>
      <c r="BG220" s="246">
        <f>IFERROR(VLOOKUP(Q220,VOL_REC[],2,FALSE),0)</f>
        <v>0</v>
      </c>
      <c r="BH220" s="1710">
        <f t="shared" si="12"/>
        <v>11755320446.320202</v>
      </c>
      <c r="BI220" s="1710">
        <f t="shared" si="13"/>
        <v>11286470795.529476</v>
      </c>
      <c r="BJ220" s="1711">
        <f t="shared" si="14"/>
        <v>12507797.990554776</v>
      </c>
      <c r="BK220" s="1711">
        <f t="shared" si="15"/>
        <v>1.041540855355461</v>
      </c>
      <c r="BL220">
        <f>BJ220</f>
        <v>12507797.990554776</v>
      </c>
      <c r="BO220">
        <f>BL220</f>
        <v>12507797.990554776</v>
      </c>
    </row>
    <row r="221" spans="3:67" x14ac:dyDescent="0.25">
      <c r="C221" s="246" t="s">
        <v>1571</v>
      </c>
      <c r="D221" s="246">
        <v>1</v>
      </c>
      <c r="E221" s="246">
        <v>2</v>
      </c>
      <c r="F221" s="246">
        <v>3</v>
      </c>
      <c r="G221" s="246">
        <v>12</v>
      </c>
      <c r="H221" s="246">
        <v>15</v>
      </c>
      <c r="I221" s="246">
        <v>17</v>
      </c>
      <c r="J221" s="246"/>
      <c r="K221" s="246"/>
      <c r="L221" s="246"/>
      <c r="M221" s="246"/>
      <c r="N221" s="246"/>
      <c r="O221" s="246"/>
      <c r="P221" s="246"/>
      <c r="Q221" s="246"/>
      <c r="R221" s="246">
        <f>IFERROR(VLOOKUP(D221,PROGRAMAS[],2,FALSE),0)</f>
        <v>97037803.679377079</v>
      </c>
      <c r="S221" s="246">
        <f>IFERROR(VLOOKUP(E221,PROGRAMAS[],2,FALSE),0)</f>
        <v>640501509.6821388</v>
      </c>
      <c r="T221" s="246">
        <f>IFERROR(VLOOKUP(F221,PROGRAMAS[],2,FALSE),0)</f>
        <v>3062327798.1525245</v>
      </c>
      <c r="U221" s="246">
        <f>IFERROR(VLOOKUP(G221,PROGRAMAS[],2,FALSE),0)</f>
        <v>764796700.79905891</v>
      </c>
      <c r="V221" s="246">
        <f>IFERROR(VLOOKUP(H221,PROGRAMAS[],2,FALSE),0)</f>
        <v>122159672.96346797</v>
      </c>
      <c r="W221" s="246">
        <f>IFERROR(VLOOKUP(I221,PROGRAMAS[],2,FALSE),0)</f>
        <v>1892779498.5211046</v>
      </c>
      <c r="X221" s="246">
        <f>IFERROR(VLOOKUP(J221,PROGRAMAS[],2,FALSE),0)</f>
        <v>0</v>
      </c>
      <c r="Y221" s="246">
        <f>IFERROR(VLOOKUP(K221,PROGRAMAS[],2,FALSE),0)</f>
        <v>0</v>
      </c>
      <c r="Z221" s="246">
        <f>IFERROR(VLOOKUP(L221,PROGRAMAS[],2,FALSE),0)</f>
        <v>0</v>
      </c>
      <c r="AA221" s="246">
        <f>IFERROR(VLOOKUP(M221,PROGRAMAS[],2,FALSE),0)</f>
        <v>0</v>
      </c>
      <c r="AB221" s="246">
        <f>IFERROR(VLOOKUP(N221,PROGRAMAS[],2,FALSE),0)</f>
        <v>0</v>
      </c>
      <c r="AC221" s="246">
        <f>IFERROR(VLOOKUP(O221,PROGRAMAS[],2,FALSE),0)</f>
        <v>0</v>
      </c>
      <c r="AD221" s="246">
        <f>IFERROR(VLOOKUP(P221,PROGRAMAS[],2,FALSE),0)</f>
        <v>0</v>
      </c>
      <c r="AE221" s="246">
        <f>IFERROR(VLOOKUP(Q221,PROGRAMAS[],2,FALSE),0)</f>
        <v>0</v>
      </c>
      <c r="AF221" s="246">
        <f>IFERROR(VLOOKUP(D221,PROGRAMAS[],3,FALSE),0)</f>
        <v>841888629.31080008</v>
      </c>
      <c r="AG221" s="246">
        <f>IFERROR(VLOOKUP(E221,PROGRAMAS[],3,FALSE),0)</f>
        <v>3848980803.1642323</v>
      </c>
      <c r="AH221" s="246">
        <f>IFERROR(VLOOKUP(F221,PROGRAMAS[],3,FALSE),0)</f>
        <v>3394901471.387517</v>
      </c>
      <c r="AI221" s="246">
        <f>IFERROR(VLOOKUP(G221,PROGRAMAS[],3,FALSE),0)</f>
        <v>675517840.109828</v>
      </c>
      <c r="AJ221" s="246">
        <f>IFERROR(VLOOKUP(H221,PROGRAMAS[],3,FALSE),0)</f>
        <v>118617452.52510804</v>
      </c>
      <c r="AK221" s="246">
        <f>IFERROR(VLOOKUP(I221,PROGRAMAS[],3,FALSE),0)</f>
        <v>948595847.09039903</v>
      </c>
      <c r="AL221" s="246">
        <f>IFERROR(VLOOKUP(J221,PROGRAMAS[],3,FALSE),0)</f>
        <v>0</v>
      </c>
      <c r="AM221" s="246">
        <f>IFERROR(VLOOKUP(K221,PROGRAMAS[],3,FALSE),0)</f>
        <v>0</v>
      </c>
      <c r="AN221" s="246">
        <f>IFERROR(VLOOKUP(L221,PROGRAMAS[],3,FALSE),0)</f>
        <v>0</v>
      </c>
      <c r="AO221" s="246">
        <f>IFERROR(VLOOKUP(M221,PROGRAMAS[],3,FALSE),0)</f>
        <v>0</v>
      </c>
      <c r="AP221" s="246">
        <f>IFERROR(VLOOKUP(N221,PROGRAMAS[],3,FALSE),0)</f>
        <v>0</v>
      </c>
      <c r="AQ221" s="246">
        <f>IFERROR(VLOOKUP(O221,PROGRAMAS[],3,FALSE),0)</f>
        <v>0</v>
      </c>
      <c r="AR221" s="246">
        <f>IFERROR(VLOOKUP(P221,PROGRAMAS[],3,FALSE),0)</f>
        <v>0</v>
      </c>
      <c r="AS221" s="246">
        <f>IFERROR(VLOOKUP(Q221,PROGRAMAS[],3,FALSE),0)</f>
        <v>0</v>
      </c>
      <c r="AT221" s="246">
        <f>IFERROR(VLOOKUP(D221,VOL_REC[],2,FALSE),0)</f>
        <v>0</v>
      </c>
      <c r="AU221" s="246">
        <f>IFERROR(VLOOKUP(E221,VOL_REC[],2,FALSE),0)</f>
        <v>0</v>
      </c>
      <c r="AV221" s="246">
        <f>IFERROR(VLOOKUP(F221,VOL_REC[],2,FALSE),0)</f>
        <v>11089674.200000001</v>
      </c>
      <c r="AW221" s="246">
        <f>IFERROR(VLOOKUP(G221,VOL_REC[],2,FALSE),0)</f>
        <v>240696.79238099116</v>
      </c>
      <c r="AX221" s="246">
        <f>IFERROR(VLOOKUP(H221,VOL_REC[],2,FALSE),0)</f>
        <v>105072</v>
      </c>
      <c r="AY221" s="246">
        <f>IFERROR(VLOOKUP(I221,VOL_REC[],2,FALSE),0)</f>
        <v>740113.98115702497</v>
      </c>
      <c r="AZ221" s="246">
        <f>IFERROR(VLOOKUP(J221,VOL_REC[],2,FALSE),0)</f>
        <v>0</v>
      </c>
      <c r="BA221" s="246">
        <f>IFERROR(VLOOKUP(K221,VOL_REC[],2,FALSE),0)</f>
        <v>0</v>
      </c>
      <c r="BB221" s="246">
        <f>IFERROR(VLOOKUP(L221,VOL_REC[],2,FALSE),0)</f>
        <v>0</v>
      </c>
      <c r="BC221" s="246">
        <f>IFERROR(VLOOKUP(M221,VOL_REC[],2,FALSE),0)</f>
        <v>0</v>
      </c>
      <c r="BD221" s="246">
        <f>IFERROR(VLOOKUP(N221,VOL_REC[],2,FALSE),0)</f>
        <v>0</v>
      </c>
      <c r="BE221" s="246">
        <f>IFERROR(VLOOKUP(O221,VOL_REC[],2,FALSE),0)</f>
        <v>0</v>
      </c>
      <c r="BF221" s="246">
        <f>IFERROR(VLOOKUP(P221,VOL_REC[],2,FALSE),0)</f>
        <v>0</v>
      </c>
      <c r="BG221" s="246">
        <f>IFERROR(VLOOKUP(Q221,VOL_REC[],2,FALSE),0)</f>
        <v>0</v>
      </c>
      <c r="BH221" s="1710">
        <f t="shared" si="12"/>
        <v>6579602983.7976713</v>
      </c>
      <c r="BI221" s="1710">
        <f t="shared" si="13"/>
        <v>9828502043.5878849</v>
      </c>
      <c r="BJ221" s="1711">
        <f t="shared" si="14"/>
        <v>12175556.973538017</v>
      </c>
      <c r="BK221" s="1711">
        <f t="shared" si="15"/>
        <v>0.66944107602747105</v>
      </c>
    </row>
    <row r="222" spans="3:67" x14ac:dyDescent="0.25">
      <c r="C222" s="246" t="s">
        <v>1572</v>
      </c>
      <c r="D222" s="246">
        <v>1</v>
      </c>
      <c r="E222" s="246">
        <v>2</v>
      </c>
      <c r="F222" s="246">
        <v>3</v>
      </c>
      <c r="G222" s="246">
        <v>12</v>
      </c>
      <c r="H222" s="246">
        <v>16</v>
      </c>
      <c r="I222" s="246">
        <v>17</v>
      </c>
      <c r="J222" s="246"/>
      <c r="K222" s="246"/>
      <c r="L222" s="246"/>
      <c r="M222" s="246"/>
      <c r="N222" s="246"/>
      <c r="O222" s="246"/>
      <c r="P222" s="246"/>
      <c r="Q222" s="246"/>
      <c r="R222" s="246">
        <f>IFERROR(VLOOKUP(D222,PROGRAMAS[],2,FALSE),0)</f>
        <v>97037803.679377079</v>
      </c>
      <c r="S222" s="246">
        <f>IFERROR(VLOOKUP(E222,PROGRAMAS[],2,FALSE),0)</f>
        <v>640501509.6821388</v>
      </c>
      <c r="T222" s="246">
        <f>IFERROR(VLOOKUP(F222,PROGRAMAS[],2,FALSE),0)</f>
        <v>3062327798.1525245</v>
      </c>
      <c r="U222" s="246">
        <f>IFERROR(VLOOKUP(G222,PROGRAMAS[],2,FALSE),0)</f>
        <v>764796700.79905891</v>
      </c>
      <c r="V222" s="246">
        <f>IFERROR(VLOOKUP(H222,PROGRAMAS[],2,FALSE),0)</f>
        <v>7068496961.0436354</v>
      </c>
      <c r="W222" s="246">
        <f>IFERROR(VLOOKUP(I222,PROGRAMAS[],2,FALSE),0)</f>
        <v>1892779498.5211046</v>
      </c>
      <c r="X222" s="246">
        <f>IFERROR(VLOOKUP(J222,PROGRAMAS[],2,FALSE),0)</f>
        <v>0</v>
      </c>
      <c r="Y222" s="246">
        <f>IFERROR(VLOOKUP(K222,PROGRAMAS[],2,FALSE),0)</f>
        <v>0</v>
      </c>
      <c r="Z222" s="246">
        <f>IFERROR(VLOOKUP(L222,PROGRAMAS[],2,FALSE),0)</f>
        <v>0</v>
      </c>
      <c r="AA222" s="246">
        <f>IFERROR(VLOOKUP(M222,PROGRAMAS[],2,FALSE),0)</f>
        <v>0</v>
      </c>
      <c r="AB222" s="246">
        <f>IFERROR(VLOOKUP(N222,PROGRAMAS[],2,FALSE),0)</f>
        <v>0</v>
      </c>
      <c r="AC222" s="246">
        <f>IFERROR(VLOOKUP(O222,PROGRAMAS[],2,FALSE),0)</f>
        <v>0</v>
      </c>
      <c r="AD222" s="246">
        <f>IFERROR(VLOOKUP(P222,PROGRAMAS[],2,FALSE),0)</f>
        <v>0</v>
      </c>
      <c r="AE222" s="246">
        <f>IFERROR(VLOOKUP(Q222,PROGRAMAS[],2,FALSE),0)</f>
        <v>0</v>
      </c>
      <c r="AF222" s="246">
        <f>IFERROR(VLOOKUP(D222,PROGRAMAS[],3,FALSE),0)</f>
        <v>841888629.31080008</v>
      </c>
      <c r="AG222" s="246">
        <f>IFERROR(VLOOKUP(E222,PROGRAMAS[],3,FALSE),0)</f>
        <v>3848980803.1642323</v>
      </c>
      <c r="AH222" s="246">
        <f>IFERROR(VLOOKUP(F222,PROGRAMAS[],3,FALSE),0)</f>
        <v>3394901471.387517</v>
      </c>
      <c r="AI222" s="246">
        <f>IFERROR(VLOOKUP(G222,PROGRAMAS[],3,FALSE),0)</f>
        <v>675517840.109828</v>
      </c>
      <c r="AJ222" s="246">
        <f>IFERROR(VLOOKUP(H222,PROGRAMAS[],3,FALSE),0)</f>
        <v>2406564599.0319901</v>
      </c>
      <c r="AK222" s="246">
        <f>IFERROR(VLOOKUP(I222,PROGRAMAS[],3,FALSE),0)</f>
        <v>948595847.09039903</v>
      </c>
      <c r="AL222" s="246">
        <f>IFERROR(VLOOKUP(J222,PROGRAMAS[],3,FALSE),0)</f>
        <v>0</v>
      </c>
      <c r="AM222" s="246">
        <f>IFERROR(VLOOKUP(K222,PROGRAMAS[],3,FALSE),0)</f>
        <v>0</v>
      </c>
      <c r="AN222" s="246">
        <f>IFERROR(VLOOKUP(L222,PROGRAMAS[],3,FALSE),0)</f>
        <v>0</v>
      </c>
      <c r="AO222" s="246">
        <f>IFERROR(VLOOKUP(M222,PROGRAMAS[],3,FALSE),0)</f>
        <v>0</v>
      </c>
      <c r="AP222" s="246">
        <f>IFERROR(VLOOKUP(N222,PROGRAMAS[],3,FALSE),0)</f>
        <v>0</v>
      </c>
      <c r="AQ222" s="246">
        <f>IFERROR(VLOOKUP(O222,PROGRAMAS[],3,FALSE),0)</f>
        <v>0</v>
      </c>
      <c r="AR222" s="246">
        <f>IFERROR(VLOOKUP(P222,PROGRAMAS[],3,FALSE),0)</f>
        <v>0</v>
      </c>
      <c r="AS222" s="246">
        <f>IFERROR(VLOOKUP(Q222,PROGRAMAS[],3,FALSE),0)</f>
        <v>0</v>
      </c>
      <c r="AT222" s="246">
        <f>IFERROR(VLOOKUP(D222,VOL_REC[],2,FALSE),0)</f>
        <v>0</v>
      </c>
      <c r="AU222" s="246">
        <f>IFERROR(VLOOKUP(E222,VOL_REC[],2,FALSE),0)</f>
        <v>0</v>
      </c>
      <c r="AV222" s="246">
        <f>IFERROR(VLOOKUP(F222,VOL_REC[],2,FALSE),0)</f>
        <v>11089674.200000001</v>
      </c>
      <c r="AW222" s="246">
        <f>IFERROR(VLOOKUP(G222,VOL_REC[],2,FALSE),0)</f>
        <v>240696.79238099116</v>
      </c>
      <c r="AX222" s="246">
        <f>IFERROR(VLOOKUP(H222,VOL_REC[],2,FALSE),0)</f>
        <v>1072354.9981737854</v>
      </c>
      <c r="AY222" s="246">
        <f>IFERROR(VLOOKUP(I222,VOL_REC[],2,FALSE),0)</f>
        <v>740113.98115702497</v>
      </c>
      <c r="AZ222" s="246">
        <f>IFERROR(VLOOKUP(J222,VOL_REC[],2,FALSE),0)</f>
        <v>0</v>
      </c>
      <c r="BA222" s="246">
        <f>IFERROR(VLOOKUP(K222,VOL_REC[],2,FALSE),0)</f>
        <v>0</v>
      </c>
      <c r="BB222" s="246">
        <f>IFERROR(VLOOKUP(L222,VOL_REC[],2,FALSE),0)</f>
        <v>0</v>
      </c>
      <c r="BC222" s="246">
        <f>IFERROR(VLOOKUP(M222,VOL_REC[],2,FALSE),0)</f>
        <v>0</v>
      </c>
      <c r="BD222" s="246">
        <f>IFERROR(VLOOKUP(N222,VOL_REC[],2,FALSE),0)</f>
        <v>0</v>
      </c>
      <c r="BE222" s="246">
        <f>IFERROR(VLOOKUP(O222,VOL_REC[],2,FALSE),0)</f>
        <v>0</v>
      </c>
      <c r="BF222" s="246">
        <f>IFERROR(VLOOKUP(P222,VOL_REC[],2,FALSE),0)</f>
        <v>0</v>
      </c>
      <c r="BG222" s="246">
        <f>IFERROR(VLOOKUP(Q222,VOL_REC[],2,FALSE),0)</f>
        <v>0</v>
      </c>
      <c r="BH222" s="1710">
        <f t="shared" si="12"/>
        <v>13525940271.87784</v>
      </c>
      <c r="BI222" s="1710">
        <f t="shared" si="13"/>
        <v>12116449190.094767</v>
      </c>
      <c r="BJ222" s="1711">
        <f t="shared" si="14"/>
        <v>13142839.971711801</v>
      </c>
      <c r="BK222" s="1711">
        <f t="shared" si="15"/>
        <v>1.1163287246675648</v>
      </c>
      <c r="BL222">
        <f>BJ222</f>
        <v>13142839.971711801</v>
      </c>
      <c r="BO222">
        <f>BL222</f>
        <v>13142839.971711801</v>
      </c>
    </row>
    <row r="223" spans="3:67" x14ac:dyDescent="0.25">
      <c r="C223" s="246" t="s">
        <v>1573</v>
      </c>
      <c r="D223" s="246">
        <v>1</v>
      </c>
      <c r="E223" s="246">
        <v>2</v>
      </c>
      <c r="F223" s="246">
        <v>3</v>
      </c>
      <c r="G223" s="246">
        <v>13</v>
      </c>
      <c r="H223" s="246">
        <v>14</v>
      </c>
      <c r="I223" s="246">
        <v>15</v>
      </c>
      <c r="J223" s="246"/>
      <c r="K223" s="246"/>
      <c r="L223" s="246"/>
      <c r="M223" s="246"/>
      <c r="N223" s="246"/>
      <c r="O223" s="246"/>
      <c r="P223" s="246"/>
      <c r="Q223" s="246"/>
      <c r="R223" s="246">
        <f>IFERROR(VLOOKUP(D223,PROGRAMAS[],2,FALSE),0)</f>
        <v>97037803.679377079</v>
      </c>
      <c r="S223" s="246">
        <f>IFERROR(VLOOKUP(E223,PROGRAMAS[],2,FALSE),0)</f>
        <v>640501509.6821388</v>
      </c>
      <c r="T223" s="246">
        <f>IFERROR(VLOOKUP(F223,PROGRAMAS[],2,FALSE),0)</f>
        <v>3062327798.1525245</v>
      </c>
      <c r="U223" s="246">
        <f>IFERROR(VLOOKUP(G223,PROGRAMAS[],2,FALSE),0)</f>
        <v>3776538594.4604583</v>
      </c>
      <c r="V223" s="246">
        <f>IFERROR(VLOOKUP(H223,PROGRAMAS[],2,FALSE),0)</f>
        <v>54223862.645839565</v>
      </c>
      <c r="W223" s="246">
        <f>IFERROR(VLOOKUP(I223,PROGRAMAS[],2,FALSE),0)</f>
        <v>122159672.96346797</v>
      </c>
      <c r="X223" s="246">
        <f>IFERROR(VLOOKUP(J223,PROGRAMAS[],2,FALSE),0)</f>
        <v>0</v>
      </c>
      <c r="Y223" s="246">
        <f>IFERROR(VLOOKUP(K223,PROGRAMAS[],2,FALSE),0)</f>
        <v>0</v>
      </c>
      <c r="Z223" s="246">
        <f>IFERROR(VLOOKUP(L223,PROGRAMAS[],2,FALSE),0)</f>
        <v>0</v>
      </c>
      <c r="AA223" s="246">
        <f>IFERROR(VLOOKUP(M223,PROGRAMAS[],2,FALSE),0)</f>
        <v>0</v>
      </c>
      <c r="AB223" s="246">
        <f>IFERROR(VLOOKUP(N223,PROGRAMAS[],2,FALSE),0)</f>
        <v>0</v>
      </c>
      <c r="AC223" s="246">
        <f>IFERROR(VLOOKUP(O223,PROGRAMAS[],2,FALSE),0)</f>
        <v>0</v>
      </c>
      <c r="AD223" s="246">
        <f>IFERROR(VLOOKUP(P223,PROGRAMAS[],2,FALSE),0)</f>
        <v>0</v>
      </c>
      <c r="AE223" s="246">
        <f>IFERROR(VLOOKUP(Q223,PROGRAMAS[],2,FALSE),0)</f>
        <v>0</v>
      </c>
      <c r="AF223" s="246">
        <f>IFERROR(VLOOKUP(D223,PROGRAMAS[],3,FALSE),0)</f>
        <v>841888629.31080008</v>
      </c>
      <c r="AG223" s="246">
        <f>IFERROR(VLOOKUP(E223,PROGRAMAS[],3,FALSE),0)</f>
        <v>3848980803.1642323</v>
      </c>
      <c r="AH223" s="246">
        <f>IFERROR(VLOOKUP(F223,PROGRAMAS[],3,FALSE),0)</f>
        <v>3394901471.387517</v>
      </c>
      <c r="AI223" s="246">
        <f>IFERROR(VLOOKUP(G223,PROGRAMAS[],3,FALSE),0)</f>
        <v>2392571243.5584412</v>
      </c>
      <c r="AJ223" s="246">
        <f>IFERROR(VLOOKUP(H223,PROGRAMAS[],3,FALSE),0)</f>
        <v>31865326.38096505</v>
      </c>
      <c r="AK223" s="246">
        <f>IFERROR(VLOOKUP(I223,PROGRAMAS[],3,FALSE),0)</f>
        <v>118617452.52510804</v>
      </c>
      <c r="AL223" s="246">
        <f>IFERROR(VLOOKUP(J223,PROGRAMAS[],3,FALSE),0)</f>
        <v>0</v>
      </c>
      <c r="AM223" s="246">
        <f>IFERROR(VLOOKUP(K223,PROGRAMAS[],3,FALSE),0)</f>
        <v>0</v>
      </c>
      <c r="AN223" s="246">
        <f>IFERROR(VLOOKUP(L223,PROGRAMAS[],3,FALSE),0)</f>
        <v>0</v>
      </c>
      <c r="AO223" s="246">
        <f>IFERROR(VLOOKUP(M223,PROGRAMAS[],3,FALSE),0)</f>
        <v>0</v>
      </c>
      <c r="AP223" s="246">
        <f>IFERROR(VLOOKUP(N223,PROGRAMAS[],3,FALSE),0)</f>
        <v>0</v>
      </c>
      <c r="AQ223" s="246">
        <f>IFERROR(VLOOKUP(O223,PROGRAMAS[],3,FALSE),0)</f>
        <v>0</v>
      </c>
      <c r="AR223" s="246">
        <f>IFERROR(VLOOKUP(P223,PROGRAMAS[],3,FALSE),0)</f>
        <v>0</v>
      </c>
      <c r="AS223" s="246">
        <f>IFERROR(VLOOKUP(Q223,PROGRAMAS[],3,FALSE),0)</f>
        <v>0</v>
      </c>
      <c r="AT223" s="246">
        <f>IFERROR(VLOOKUP(D223,VOL_REC[],2,FALSE),0)</f>
        <v>0</v>
      </c>
      <c r="AU223" s="246">
        <f>IFERROR(VLOOKUP(E223,VOL_REC[],2,FALSE),0)</f>
        <v>0</v>
      </c>
      <c r="AV223" s="246">
        <f>IFERROR(VLOOKUP(F223,VOL_REC[],2,FALSE),0)</f>
        <v>11089674.200000001</v>
      </c>
      <c r="AW223" s="246">
        <f>IFERROR(VLOOKUP(G223,VOL_REC[],2,FALSE),0)</f>
        <v>663244.80000000016</v>
      </c>
      <c r="AX223" s="246">
        <f>IFERROR(VLOOKUP(H223,VOL_REC[],2,FALSE),0)</f>
        <v>17074.045034105649</v>
      </c>
      <c r="AY223" s="246">
        <f>IFERROR(VLOOKUP(I223,VOL_REC[],2,FALSE),0)</f>
        <v>105072</v>
      </c>
      <c r="AZ223" s="246">
        <f>IFERROR(VLOOKUP(J223,VOL_REC[],2,FALSE),0)</f>
        <v>0</v>
      </c>
      <c r="BA223" s="246">
        <f>IFERROR(VLOOKUP(K223,VOL_REC[],2,FALSE),0)</f>
        <v>0</v>
      </c>
      <c r="BB223" s="246">
        <f>IFERROR(VLOOKUP(L223,VOL_REC[],2,FALSE),0)</f>
        <v>0</v>
      </c>
      <c r="BC223" s="246">
        <f>IFERROR(VLOOKUP(M223,VOL_REC[],2,FALSE),0)</f>
        <v>0</v>
      </c>
      <c r="BD223" s="246">
        <f>IFERROR(VLOOKUP(N223,VOL_REC[],2,FALSE),0)</f>
        <v>0</v>
      </c>
      <c r="BE223" s="246">
        <f>IFERROR(VLOOKUP(O223,VOL_REC[],2,FALSE),0)</f>
        <v>0</v>
      </c>
      <c r="BF223" s="246">
        <f>IFERROR(VLOOKUP(P223,VOL_REC[],2,FALSE),0)</f>
        <v>0</v>
      </c>
      <c r="BG223" s="246">
        <f>IFERROR(VLOOKUP(Q223,VOL_REC[],2,FALSE),0)</f>
        <v>0</v>
      </c>
      <c r="BH223" s="1710">
        <f t="shared" si="12"/>
        <v>7752789241.583806</v>
      </c>
      <c r="BI223" s="1710">
        <f t="shared" si="13"/>
        <v>10628824926.327063</v>
      </c>
      <c r="BJ223" s="1711">
        <f t="shared" si="14"/>
        <v>11875065.045034107</v>
      </c>
      <c r="BK223" s="1711">
        <f t="shared" si="15"/>
        <v>0.72941169840708719</v>
      </c>
    </row>
    <row r="224" spans="3:67" x14ac:dyDescent="0.25">
      <c r="C224" s="246" t="s">
        <v>1574</v>
      </c>
      <c r="D224" s="246">
        <v>1</v>
      </c>
      <c r="E224" s="246">
        <v>2</v>
      </c>
      <c r="F224" s="246">
        <v>3</v>
      </c>
      <c r="G224" s="246">
        <v>13</v>
      </c>
      <c r="H224" s="246">
        <v>14</v>
      </c>
      <c r="I224" s="246">
        <v>16</v>
      </c>
      <c r="J224" s="246"/>
      <c r="K224" s="246"/>
      <c r="L224" s="246"/>
      <c r="M224" s="246"/>
      <c r="N224" s="246"/>
      <c r="O224" s="246"/>
      <c r="P224" s="246"/>
      <c r="Q224" s="246"/>
      <c r="R224" s="246">
        <f>IFERROR(VLOOKUP(D224,PROGRAMAS[],2,FALSE),0)</f>
        <v>97037803.679377079</v>
      </c>
      <c r="S224" s="246">
        <f>IFERROR(VLOOKUP(E224,PROGRAMAS[],2,FALSE),0)</f>
        <v>640501509.6821388</v>
      </c>
      <c r="T224" s="246">
        <f>IFERROR(VLOOKUP(F224,PROGRAMAS[],2,FALSE),0)</f>
        <v>3062327798.1525245</v>
      </c>
      <c r="U224" s="246">
        <f>IFERROR(VLOOKUP(G224,PROGRAMAS[],2,FALSE),0)</f>
        <v>3776538594.4604583</v>
      </c>
      <c r="V224" s="246">
        <f>IFERROR(VLOOKUP(H224,PROGRAMAS[],2,FALSE),0)</f>
        <v>54223862.645839565</v>
      </c>
      <c r="W224" s="246">
        <f>IFERROR(VLOOKUP(I224,PROGRAMAS[],2,FALSE),0)</f>
        <v>7068496961.0436354</v>
      </c>
      <c r="X224" s="246">
        <f>IFERROR(VLOOKUP(J224,PROGRAMAS[],2,FALSE),0)</f>
        <v>0</v>
      </c>
      <c r="Y224" s="246">
        <f>IFERROR(VLOOKUP(K224,PROGRAMAS[],2,FALSE),0)</f>
        <v>0</v>
      </c>
      <c r="Z224" s="246">
        <f>IFERROR(VLOOKUP(L224,PROGRAMAS[],2,FALSE),0)</f>
        <v>0</v>
      </c>
      <c r="AA224" s="246">
        <f>IFERROR(VLOOKUP(M224,PROGRAMAS[],2,FALSE),0)</f>
        <v>0</v>
      </c>
      <c r="AB224" s="246">
        <f>IFERROR(VLOOKUP(N224,PROGRAMAS[],2,FALSE),0)</f>
        <v>0</v>
      </c>
      <c r="AC224" s="246">
        <f>IFERROR(VLOOKUP(O224,PROGRAMAS[],2,FALSE),0)</f>
        <v>0</v>
      </c>
      <c r="AD224" s="246">
        <f>IFERROR(VLOOKUP(P224,PROGRAMAS[],2,FALSE),0)</f>
        <v>0</v>
      </c>
      <c r="AE224" s="246">
        <f>IFERROR(VLOOKUP(Q224,PROGRAMAS[],2,FALSE),0)</f>
        <v>0</v>
      </c>
      <c r="AF224" s="246">
        <f>IFERROR(VLOOKUP(D224,PROGRAMAS[],3,FALSE),0)</f>
        <v>841888629.31080008</v>
      </c>
      <c r="AG224" s="246">
        <f>IFERROR(VLOOKUP(E224,PROGRAMAS[],3,FALSE),0)</f>
        <v>3848980803.1642323</v>
      </c>
      <c r="AH224" s="246">
        <f>IFERROR(VLOOKUP(F224,PROGRAMAS[],3,FALSE),0)</f>
        <v>3394901471.387517</v>
      </c>
      <c r="AI224" s="246">
        <f>IFERROR(VLOOKUP(G224,PROGRAMAS[],3,FALSE),0)</f>
        <v>2392571243.5584412</v>
      </c>
      <c r="AJ224" s="246">
        <f>IFERROR(VLOOKUP(H224,PROGRAMAS[],3,FALSE),0)</f>
        <v>31865326.38096505</v>
      </c>
      <c r="AK224" s="246">
        <f>IFERROR(VLOOKUP(I224,PROGRAMAS[],3,FALSE),0)</f>
        <v>2406564599.0319901</v>
      </c>
      <c r="AL224" s="246">
        <f>IFERROR(VLOOKUP(J224,PROGRAMAS[],3,FALSE),0)</f>
        <v>0</v>
      </c>
      <c r="AM224" s="246">
        <f>IFERROR(VLOOKUP(K224,PROGRAMAS[],3,FALSE),0)</f>
        <v>0</v>
      </c>
      <c r="AN224" s="246">
        <f>IFERROR(VLOOKUP(L224,PROGRAMAS[],3,FALSE),0)</f>
        <v>0</v>
      </c>
      <c r="AO224" s="246">
        <f>IFERROR(VLOOKUP(M224,PROGRAMAS[],3,FALSE),0)</f>
        <v>0</v>
      </c>
      <c r="AP224" s="246">
        <f>IFERROR(VLOOKUP(N224,PROGRAMAS[],3,FALSE),0)</f>
        <v>0</v>
      </c>
      <c r="AQ224" s="246">
        <f>IFERROR(VLOOKUP(O224,PROGRAMAS[],3,FALSE),0)</f>
        <v>0</v>
      </c>
      <c r="AR224" s="246">
        <f>IFERROR(VLOOKUP(P224,PROGRAMAS[],3,FALSE),0)</f>
        <v>0</v>
      </c>
      <c r="AS224" s="246">
        <f>IFERROR(VLOOKUP(Q224,PROGRAMAS[],3,FALSE),0)</f>
        <v>0</v>
      </c>
      <c r="AT224" s="246">
        <f>IFERROR(VLOOKUP(D224,VOL_REC[],2,FALSE),0)</f>
        <v>0</v>
      </c>
      <c r="AU224" s="246">
        <f>IFERROR(VLOOKUP(E224,VOL_REC[],2,FALSE),0)</f>
        <v>0</v>
      </c>
      <c r="AV224" s="246">
        <f>IFERROR(VLOOKUP(F224,VOL_REC[],2,FALSE),0)</f>
        <v>11089674.200000001</v>
      </c>
      <c r="AW224" s="246">
        <f>IFERROR(VLOOKUP(G224,VOL_REC[],2,FALSE),0)</f>
        <v>663244.80000000016</v>
      </c>
      <c r="AX224" s="246">
        <f>IFERROR(VLOOKUP(H224,VOL_REC[],2,FALSE),0)</f>
        <v>17074.045034105649</v>
      </c>
      <c r="AY224" s="246">
        <f>IFERROR(VLOOKUP(I224,VOL_REC[],2,FALSE),0)</f>
        <v>1072354.9981737854</v>
      </c>
      <c r="AZ224" s="246">
        <f>IFERROR(VLOOKUP(J224,VOL_REC[],2,FALSE),0)</f>
        <v>0</v>
      </c>
      <c r="BA224" s="246">
        <f>IFERROR(VLOOKUP(K224,VOL_REC[],2,FALSE),0)</f>
        <v>0</v>
      </c>
      <c r="BB224" s="246">
        <f>IFERROR(VLOOKUP(L224,VOL_REC[],2,FALSE),0)</f>
        <v>0</v>
      </c>
      <c r="BC224" s="246">
        <f>IFERROR(VLOOKUP(M224,VOL_REC[],2,FALSE),0)</f>
        <v>0</v>
      </c>
      <c r="BD224" s="246">
        <f>IFERROR(VLOOKUP(N224,VOL_REC[],2,FALSE),0)</f>
        <v>0</v>
      </c>
      <c r="BE224" s="246">
        <f>IFERROR(VLOOKUP(O224,VOL_REC[],2,FALSE),0)</f>
        <v>0</v>
      </c>
      <c r="BF224" s="246">
        <f>IFERROR(VLOOKUP(P224,VOL_REC[],2,FALSE),0)</f>
        <v>0</v>
      </c>
      <c r="BG224" s="246">
        <f>IFERROR(VLOOKUP(Q224,VOL_REC[],2,FALSE),0)</f>
        <v>0</v>
      </c>
      <c r="BH224" s="1710">
        <f t="shared" si="12"/>
        <v>14699126529.663975</v>
      </c>
      <c r="BI224" s="1710">
        <f t="shared" si="13"/>
        <v>12916772072.833944</v>
      </c>
      <c r="BJ224" s="1711">
        <f t="shared" si="14"/>
        <v>12842348.043207891</v>
      </c>
      <c r="BK224" s="1711">
        <f t="shared" si="15"/>
        <v>1.1379876060969296</v>
      </c>
      <c r="BL224">
        <f>BJ224</f>
        <v>12842348.043207891</v>
      </c>
      <c r="BO224">
        <f>BL224</f>
        <v>12842348.043207891</v>
      </c>
    </row>
    <row r="225" spans="3:67" x14ac:dyDescent="0.25">
      <c r="C225" s="246" t="s">
        <v>1575</v>
      </c>
      <c r="D225" s="246">
        <v>1</v>
      </c>
      <c r="E225" s="246">
        <v>2</v>
      </c>
      <c r="F225" s="246">
        <v>3</v>
      </c>
      <c r="G225" s="246">
        <v>13</v>
      </c>
      <c r="H225" s="246">
        <v>14</v>
      </c>
      <c r="I225" s="246">
        <v>17</v>
      </c>
      <c r="J225" s="246"/>
      <c r="K225" s="246"/>
      <c r="L225" s="246"/>
      <c r="M225" s="246"/>
      <c r="N225" s="246"/>
      <c r="O225" s="246"/>
      <c r="P225" s="246"/>
      <c r="Q225" s="246"/>
      <c r="R225" s="246">
        <f>IFERROR(VLOOKUP(D225,PROGRAMAS[],2,FALSE),0)</f>
        <v>97037803.679377079</v>
      </c>
      <c r="S225" s="246">
        <f>IFERROR(VLOOKUP(E225,PROGRAMAS[],2,FALSE),0)</f>
        <v>640501509.6821388</v>
      </c>
      <c r="T225" s="246">
        <f>IFERROR(VLOOKUP(F225,PROGRAMAS[],2,FALSE),0)</f>
        <v>3062327798.1525245</v>
      </c>
      <c r="U225" s="246">
        <f>IFERROR(VLOOKUP(G225,PROGRAMAS[],2,FALSE),0)</f>
        <v>3776538594.4604583</v>
      </c>
      <c r="V225" s="246">
        <f>IFERROR(VLOOKUP(H225,PROGRAMAS[],2,FALSE),0)</f>
        <v>54223862.645839565</v>
      </c>
      <c r="W225" s="246">
        <f>IFERROR(VLOOKUP(I225,PROGRAMAS[],2,FALSE),0)</f>
        <v>1892779498.5211046</v>
      </c>
      <c r="X225" s="246">
        <f>IFERROR(VLOOKUP(J225,PROGRAMAS[],2,FALSE),0)</f>
        <v>0</v>
      </c>
      <c r="Y225" s="246">
        <f>IFERROR(VLOOKUP(K225,PROGRAMAS[],2,FALSE),0)</f>
        <v>0</v>
      </c>
      <c r="Z225" s="246">
        <f>IFERROR(VLOOKUP(L225,PROGRAMAS[],2,FALSE),0)</f>
        <v>0</v>
      </c>
      <c r="AA225" s="246">
        <f>IFERROR(VLOOKUP(M225,PROGRAMAS[],2,FALSE),0)</f>
        <v>0</v>
      </c>
      <c r="AB225" s="246">
        <f>IFERROR(VLOOKUP(N225,PROGRAMAS[],2,FALSE),0)</f>
        <v>0</v>
      </c>
      <c r="AC225" s="246">
        <f>IFERROR(VLOOKUP(O225,PROGRAMAS[],2,FALSE),0)</f>
        <v>0</v>
      </c>
      <c r="AD225" s="246">
        <f>IFERROR(VLOOKUP(P225,PROGRAMAS[],2,FALSE),0)</f>
        <v>0</v>
      </c>
      <c r="AE225" s="246">
        <f>IFERROR(VLOOKUP(Q225,PROGRAMAS[],2,FALSE),0)</f>
        <v>0</v>
      </c>
      <c r="AF225" s="246">
        <f>IFERROR(VLOOKUP(D225,PROGRAMAS[],3,FALSE),0)</f>
        <v>841888629.31080008</v>
      </c>
      <c r="AG225" s="246">
        <f>IFERROR(VLOOKUP(E225,PROGRAMAS[],3,FALSE),0)</f>
        <v>3848980803.1642323</v>
      </c>
      <c r="AH225" s="246">
        <f>IFERROR(VLOOKUP(F225,PROGRAMAS[],3,FALSE),0)</f>
        <v>3394901471.387517</v>
      </c>
      <c r="AI225" s="246">
        <f>IFERROR(VLOOKUP(G225,PROGRAMAS[],3,FALSE),0)</f>
        <v>2392571243.5584412</v>
      </c>
      <c r="AJ225" s="246">
        <f>IFERROR(VLOOKUP(H225,PROGRAMAS[],3,FALSE),0)</f>
        <v>31865326.38096505</v>
      </c>
      <c r="AK225" s="246">
        <f>IFERROR(VLOOKUP(I225,PROGRAMAS[],3,FALSE),0)</f>
        <v>948595847.09039903</v>
      </c>
      <c r="AL225" s="246">
        <f>IFERROR(VLOOKUP(J225,PROGRAMAS[],3,FALSE),0)</f>
        <v>0</v>
      </c>
      <c r="AM225" s="246">
        <f>IFERROR(VLOOKUP(K225,PROGRAMAS[],3,FALSE),0)</f>
        <v>0</v>
      </c>
      <c r="AN225" s="246">
        <f>IFERROR(VLOOKUP(L225,PROGRAMAS[],3,FALSE),0)</f>
        <v>0</v>
      </c>
      <c r="AO225" s="246">
        <f>IFERROR(VLOOKUP(M225,PROGRAMAS[],3,FALSE),0)</f>
        <v>0</v>
      </c>
      <c r="AP225" s="246">
        <f>IFERROR(VLOOKUP(N225,PROGRAMAS[],3,FALSE),0)</f>
        <v>0</v>
      </c>
      <c r="AQ225" s="246">
        <f>IFERROR(VLOOKUP(O225,PROGRAMAS[],3,FALSE),0)</f>
        <v>0</v>
      </c>
      <c r="AR225" s="246">
        <f>IFERROR(VLOOKUP(P225,PROGRAMAS[],3,FALSE),0)</f>
        <v>0</v>
      </c>
      <c r="AS225" s="246">
        <f>IFERROR(VLOOKUP(Q225,PROGRAMAS[],3,FALSE),0)</f>
        <v>0</v>
      </c>
      <c r="AT225" s="246">
        <f>IFERROR(VLOOKUP(D225,VOL_REC[],2,FALSE),0)</f>
        <v>0</v>
      </c>
      <c r="AU225" s="246">
        <f>IFERROR(VLOOKUP(E225,VOL_REC[],2,FALSE),0)</f>
        <v>0</v>
      </c>
      <c r="AV225" s="246">
        <f>IFERROR(VLOOKUP(F225,VOL_REC[],2,FALSE),0)</f>
        <v>11089674.200000001</v>
      </c>
      <c r="AW225" s="246">
        <f>IFERROR(VLOOKUP(G225,VOL_REC[],2,FALSE),0)</f>
        <v>663244.80000000016</v>
      </c>
      <c r="AX225" s="246">
        <f>IFERROR(VLOOKUP(H225,VOL_REC[],2,FALSE),0)</f>
        <v>17074.045034105649</v>
      </c>
      <c r="AY225" s="246">
        <f>IFERROR(VLOOKUP(I225,VOL_REC[],2,FALSE),0)</f>
        <v>740113.98115702497</v>
      </c>
      <c r="AZ225" s="246">
        <f>IFERROR(VLOOKUP(J225,VOL_REC[],2,FALSE),0)</f>
        <v>0</v>
      </c>
      <c r="BA225" s="246">
        <f>IFERROR(VLOOKUP(K225,VOL_REC[],2,FALSE),0)</f>
        <v>0</v>
      </c>
      <c r="BB225" s="246">
        <f>IFERROR(VLOOKUP(L225,VOL_REC[],2,FALSE),0)</f>
        <v>0</v>
      </c>
      <c r="BC225" s="246">
        <f>IFERROR(VLOOKUP(M225,VOL_REC[],2,FALSE),0)</f>
        <v>0</v>
      </c>
      <c r="BD225" s="246">
        <f>IFERROR(VLOOKUP(N225,VOL_REC[],2,FALSE),0)</f>
        <v>0</v>
      </c>
      <c r="BE225" s="246">
        <f>IFERROR(VLOOKUP(O225,VOL_REC[],2,FALSE),0)</f>
        <v>0</v>
      </c>
      <c r="BF225" s="246">
        <f>IFERROR(VLOOKUP(P225,VOL_REC[],2,FALSE),0)</f>
        <v>0</v>
      </c>
      <c r="BG225" s="246">
        <f>IFERROR(VLOOKUP(Q225,VOL_REC[],2,FALSE),0)</f>
        <v>0</v>
      </c>
      <c r="BH225" s="1710">
        <f t="shared" si="12"/>
        <v>9523409067.1414433</v>
      </c>
      <c r="BI225" s="1710">
        <f t="shared" si="13"/>
        <v>11458803320.892353</v>
      </c>
      <c r="BJ225" s="1711">
        <f t="shared" si="14"/>
        <v>12510107.026191132</v>
      </c>
      <c r="BK225" s="1711">
        <f t="shared" si="15"/>
        <v>0.83109979292321157</v>
      </c>
    </row>
    <row r="226" spans="3:67" x14ac:dyDescent="0.25">
      <c r="C226" s="246" t="s">
        <v>1576</v>
      </c>
      <c r="D226" s="246">
        <v>1</v>
      </c>
      <c r="E226" s="246">
        <v>2</v>
      </c>
      <c r="F226" s="246">
        <v>3</v>
      </c>
      <c r="G226" s="246">
        <v>13</v>
      </c>
      <c r="H226" s="246">
        <v>15</v>
      </c>
      <c r="I226" s="246">
        <v>16</v>
      </c>
      <c r="J226" s="246"/>
      <c r="K226" s="246"/>
      <c r="L226" s="246"/>
      <c r="M226" s="246"/>
      <c r="N226" s="246"/>
      <c r="O226" s="246"/>
      <c r="P226" s="246"/>
      <c r="Q226" s="246"/>
      <c r="R226" s="246">
        <f>IFERROR(VLOOKUP(D226,PROGRAMAS[],2,FALSE),0)</f>
        <v>97037803.679377079</v>
      </c>
      <c r="S226" s="246">
        <f>IFERROR(VLOOKUP(E226,PROGRAMAS[],2,FALSE),0)</f>
        <v>640501509.6821388</v>
      </c>
      <c r="T226" s="246">
        <f>IFERROR(VLOOKUP(F226,PROGRAMAS[],2,FALSE),0)</f>
        <v>3062327798.1525245</v>
      </c>
      <c r="U226" s="246">
        <f>IFERROR(VLOOKUP(G226,PROGRAMAS[],2,FALSE),0)</f>
        <v>3776538594.4604583</v>
      </c>
      <c r="V226" s="246">
        <f>IFERROR(VLOOKUP(H226,PROGRAMAS[],2,FALSE),0)</f>
        <v>122159672.96346797</v>
      </c>
      <c r="W226" s="246">
        <f>IFERROR(VLOOKUP(I226,PROGRAMAS[],2,FALSE),0)</f>
        <v>7068496961.0436354</v>
      </c>
      <c r="X226" s="246">
        <f>IFERROR(VLOOKUP(J226,PROGRAMAS[],2,FALSE),0)</f>
        <v>0</v>
      </c>
      <c r="Y226" s="246">
        <f>IFERROR(VLOOKUP(K226,PROGRAMAS[],2,FALSE),0)</f>
        <v>0</v>
      </c>
      <c r="Z226" s="246">
        <f>IFERROR(VLOOKUP(L226,PROGRAMAS[],2,FALSE),0)</f>
        <v>0</v>
      </c>
      <c r="AA226" s="246">
        <f>IFERROR(VLOOKUP(M226,PROGRAMAS[],2,FALSE),0)</f>
        <v>0</v>
      </c>
      <c r="AB226" s="246">
        <f>IFERROR(VLOOKUP(N226,PROGRAMAS[],2,FALSE),0)</f>
        <v>0</v>
      </c>
      <c r="AC226" s="246">
        <f>IFERROR(VLOOKUP(O226,PROGRAMAS[],2,FALSE),0)</f>
        <v>0</v>
      </c>
      <c r="AD226" s="246">
        <f>IFERROR(VLOOKUP(P226,PROGRAMAS[],2,FALSE),0)</f>
        <v>0</v>
      </c>
      <c r="AE226" s="246">
        <f>IFERROR(VLOOKUP(Q226,PROGRAMAS[],2,FALSE),0)</f>
        <v>0</v>
      </c>
      <c r="AF226" s="246">
        <f>IFERROR(VLOOKUP(D226,PROGRAMAS[],3,FALSE),0)</f>
        <v>841888629.31080008</v>
      </c>
      <c r="AG226" s="246">
        <f>IFERROR(VLOOKUP(E226,PROGRAMAS[],3,FALSE),0)</f>
        <v>3848980803.1642323</v>
      </c>
      <c r="AH226" s="246">
        <f>IFERROR(VLOOKUP(F226,PROGRAMAS[],3,FALSE),0)</f>
        <v>3394901471.387517</v>
      </c>
      <c r="AI226" s="246">
        <f>IFERROR(VLOOKUP(G226,PROGRAMAS[],3,FALSE),0)</f>
        <v>2392571243.5584412</v>
      </c>
      <c r="AJ226" s="246">
        <f>IFERROR(VLOOKUP(H226,PROGRAMAS[],3,FALSE),0)</f>
        <v>118617452.52510804</v>
      </c>
      <c r="AK226" s="246">
        <f>IFERROR(VLOOKUP(I226,PROGRAMAS[],3,FALSE),0)</f>
        <v>2406564599.0319901</v>
      </c>
      <c r="AL226" s="246">
        <f>IFERROR(VLOOKUP(J226,PROGRAMAS[],3,FALSE),0)</f>
        <v>0</v>
      </c>
      <c r="AM226" s="246">
        <f>IFERROR(VLOOKUP(K226,PROGRAMAS[],3,FALSE),0)</f>
        <v>0</v>
      </c>
      <c r="AN226" s="246">
        <f>IFERROR(VLOOKUP(L226,PROGRAMAS[],3,FALSE),0)</f>
        <v>0</v>
      </c>
      <c r="AO226" s="246">
        <f>IFERROR(VLOOKUP(M226,PROGRAMAS[],3,FALSE),0)</f>
        <v>0</v>
      </c>
      <c r="AP226" s="246">
        <f>IFERROR(VLOOKUP(N226,PROGRAMAS[],3,FALSE),0)</f>
        <v>0</v>
      </c>
      <c r="AQ226" s="246">
        <f>IFERROR(VLOOKUP(O226,PROGRAMAS[],3,FALSE),0)</f>
        <v>0</v>
      </c>
      <c r="AR226" s="246">
        <f>IFERROR(VLOOKUP(P226,PROGRAMAS[],3,FALSE),0)</f>
        <v>0</v>
      </c>
      <c r="AS226" s="246">
        <f>IFERROR(VLOOKUP(Q226,PROGRAMAS[],3,FALSE),0)</f>
        <v>0</v>
      </c>
      <c r="AT226" s="246">
        <f>IFERROR(VLOOKUP(D226,VOL_REC[],2,FALSE),0)</f>
        <v>0</v>
      </c>
      <c r="AU226" s="246">
        <f>IFERROR(VLOOKUP(E226,VOL_REC[],2,FALSE),0)</f>
        <v>0</v>
      </c>
      <c r="AV226" s="246">
        <f>IFERROR(VLOOKUP(F226,VOL_REC[],2,FALSE),0)</f>
        <v>11089674.200000001</v>
      </c>
      <c r="AW226" s="246">
        <f>IFERROR(VLOOKUP(G226,VOL_REC[],2,FALSE),0)</f>
        <v>663244.80000000016</v>
      </c>
      <c r="AX226" s="246">
        <f>IFERROR(VLOOKUP(H226,VOL_REC[],2,FALSE),0)</f>
        <v>105072</v>
      </c>
      <c r="AY226" s="246">
        <f>IFERROR(VLOOKUP(I226,VOL_REC[],2,FALSE),0)</f>
        <v>1072354.9981737854</v>
      </c>
      <c r="AZ226" s="246">
        <f>IFERROR(VLOOKUP(J226,VOL_REC[],2,FALSE),0)</f>
        <v>0</v>
      </c>
      <c r="BA226" s="246">
        <f>IFERROR(VLOOKUP(K226,VOL_REC[],2,FALSE),0)</f>
        <v>0</v>
      </c>
      <c r="BB226" s="246">
        <f>IFERROR(VLOOKUP(L226,VOL_REC[],2,FALSE),0)</f>
        <v>0</v>
      </c>
      <c r="BC226" s="246">
        <f>IFERROR(VLOOKUP(M226,VOL_REC[],2,FALSE),0)</f>
        <v>0</v>
      </c>
      <c r="BD226" s="246">
        <f>IFERROR(VLOOKUP(N226,VOL_REC[],2,FALSE),0)</f>
        <v>0</v>
      </c>
      <c r="BE226" s="246">
        <f>IFERROR(VLOOKUP(O226,VOL_REC[],2,FALSE),0)</f>
        <v>0</v>
      </c>
      <c r="BF226" s="246">
        <f>IFERROR(VLOOKUP(P226,VOL_REC[],2,FALSE),0)</f>
        <v>0</v>
      </c>
      <c r="BG226" s="246">
        <f>IFERROR(VLOOKUP(Q226,VOL_REC[],2,FALSE),0)</f>
        <v>0</v>
      </c>
      <c r="BH226" s="1710">
        <f t="shared" si="12"/>
        <v>14767062339.981602</v>
      </c>
      <c r="BI226" s="1710">
        <f t="shared" si="13"/>
        <v>13003524198.978088</v>
      </c>
      <c r="BJ226" s="1711">
        <f t="shared" si="14"/>
        <v>12930345.998173788</v>
      </c>
      <c r="BK226" s="1711">
        <f t="shared" si="15"/>
        <v>1.1356200145451418</v>
      </c>
      <c r="BL226">
        <f>BJ226</f>
        <v>12930345.998173788</v>
      </c>
      <c r="BO226">
        <f>BL226</f>
        <v>12930345.998173788</v>
      </c>
    </row>
    <row r="227" spans="3:67" x14ac:dyDescent="0.25">
      <c r="C227" s="246" t="s">
        <v>1577</v>
      </c>
      <c r="D227" s="246">
        <v>1</v>
      </c>
      <c r="E227" s="246">
        <v>2</v>
      </c>
      <c r="F227" s="246">
        <v>3</v>
      </c>
      <c r="G227" s="246">
        <v>13</v>
      </c>
      <c r="H227" s="246">
        <v>15</v>
      </c>
      <c r="I227" s="246">
        <v>17</v>
      </c>
      <c r="J227" s="246"/>
      <c r="K227" s="246"/>
      <c r="L227" s="246"/>
      <c r="M227" s="246"/>
      <c r="N227" s="246"/>
      <c r="O227" s="246"/>
      <c r="P227" s="246"/>
      <c r="Q227" s="246"/>
      <c r="R227" s="246">
        <f>IFERROR(VLOOKUP(D227,PROGRAMAS[],2,FALSE),0)</f>
        <v>97037803.679377079</v>
      </c>
      <c r="S227" s="246">
        <f>IFERROR(VLOOKUP(E227,PROGRAMAS[],2,FALSE),0)</f>
        <v>640501509.6821388</v>
      </c>
      <c r="T227" s="246">
        <f>IFERROR(VLOOKUP(F227,PROGRAMAS[],2,FALSE),0)</f>
        <v>3062327798.1525245</v>
      </c>
      <c r="U227" s="246">
        <f>IFERROR(VLOOKUP(G227,PROGRAMAS[],2,FALSE),0)</f>
        <v>3776538594.4604583</v>
      </c>
      <c r="V227" s="246">
        <f>IFERROR(VLOOKUP(H227,PROGRAMAS[],2,FALSE),0)</f>
        <v>122159672.96346797</v>
      </c>
      <c r="W227" s="246">
        <f>IFERROR(VLOOKUP(I227,PROGRAMAS[],2,FALSE),0)</f>
        <v>1892779498.5211046</v>
      </c>
      <c r="X227" s="246">
        <f>IFERROR(VLOOKUP(J227,PROGRAMAS[],2,FALSE),0)</f>
        <v>0</v>
      </c>
      <c r="Y227" s="246">
        <f>IFERROR(VLOOKUP(K227,PROGRAMAS[],2,FALSE),0)</f>
        <v>0</v>
      </c>
      <c r="Z227" s="246">
        <f>IFERROR(VLOOKUP(L227,PROGRAMAS[],2,FALSE),0)</f>
        <v>0</v>
      </c>
      <c r="AA227" s="246">
        <f>IFERROR(VLOOKUP(M227,PROGRAMAS[],2,FALSE),0)</f>
        <v>0</v>
      </c>
      <c r="AB227" s="246">
        <f>IFERROR(VLOOKUP(N227,PROGRAMAS[],2,FALSE),0)</f>
        <v>0</v>
      </c>
      <c r="AC227" s="246">
        <f>IFERROR(VLOOKUP(O227,PROGRAMAS[],2,FALSE),0)</f>
        <v>0</v>
      </c>
      <c r="AD227" s="246">
        <f>IFERROR(VLOOKUP(P227,PROGRAMAS[],2,FALSE),0)</f>
        <v>0</v>
      </c>
      <c r="AE227" s="246">
        <f>IFERROR(VLOOKUP(Q227,PROGRAMAS[],2,FALSE),0)</f>
        <v>0</v>
      </c>
      <c r="AF227" s="246">
        <f>IFERROR(VLOOKUP(D227,PROGRAMAS[],3,FALSE),0)</f>
        <v>841888629.31080008</v>
      </c>
      <c r="AG227" s="246">
        <f>IFERROR(VLOOKUP(E227,PROGRAMAS[],3,FALSE),0)</f>
        <v>3848980803.1642323</v>
      </c>
      <c r="AH227" s="246">
        <f>IFERROR(VLOOKUP(F227,PROGRAMAS[],3,FALSE),0)</f>
        <v>3394901471.387517</v>
      </c>
      <c r="AI227" s="246">
        <f>IFERROR(VLOOKUP(G227,PROGRAMAS[],3,FALSE),0)</f>
        <v>2392571243.5584412</v>
      </c>
      <c r="AJ227" s="246">
        <f>IFERROR(VLOOKUP(H227,PROGRAMAS[],3,FALSE),0)</f>
        <v>118617452.52510804</v>
      </c>
      <c r="AK227" s="246">
        <f>IFERROR(VLOOKUP(I227,PROGRAMAS[],3,FALSE),0)</f>
        <v>948595847.09039903</v>
      </c>
      <c r="AL227" s="246">
        <f>IFERROR(VLOOKUP(J227,PROGRAMAS[],3,FALSE),0)</f>
        <v>0</v>
      </c>
      <c r="AM227" s="246">
        <f>IFERROR(VLOOKUP(K227,PROGRAMAS[],3,FALSE),0)</f>
        <v>0</v>
      </c>
      <c r="AN227" s="246">
        <f>IFERROR(VLOOKUP(L227,PROGRAMAS[],3,FALSE),0)</f>
        <v>0</v>
      </c>
      <c r="AO227" s="246">
        <f>IFERROR(VLOOKUP(M227,PROGRAMAS[],3,FALSE),0)</f>
        <v>0</v>
      </c>
      <c r="AP227" s="246">
        <f>IFERROR(VLOOKUP(N227,PROGRAMAS[],3,FALSE),0)</f>
        <v>0</v>
      </c>
      <c r="AQ227" s="246">
        <f>IFERROR(VLOOKUP(O227,PROGRAMAS[],3,FALSE),0)</f>
        <v>0</v>
      </c>
      <c r="AR227" s="246">
        <f>IFERROR(VLOOKUP(P227,PROGRAMAS[],3,FALSE),0)</f>
        <v>0</v>
      </c>
      <c r="AS227" s="246">
        <f>IFERROR(VLOOKUP(Q227,PROGRAMAS[],3,FALSE),0)</f>
        <v>0</v>
      </c>
      <c r="AT227" s="246">
        <f>IFERROR(VLOOKUP(D227,VOL_REC[],2,FALSE),0)</f>
        <v>0</v>
      </c>
      <c r="AU227" s="246">
        <f>IFERROR(VLOOKUP(E227,VOL_REC[],2,FALSE),0)</f>
        <v>0</v>
      </c>
      <c r="AV227" s="246">
        <f>IFERROR(VLOOKUP(F227,VOL_REC[],2,FALSE),0)</f>
        <v>11089674.200000001</v>
      </c>
      <c r="AW227" s="246">
        <f>IFERROR(VLOOKUP(G227,VOL_REC[],2,FALSE),0)</f>
        <v>663244.80000000016</v>
      </c>
      <c r="AX227" s="246">
        <f>IFERROR(VLOOKUP(H227,VOL_REC[],2,FALSE),0)</f>
        <v>105072</v>
      </c>
      <c r="AY227" s="246">
        <f>IFERROR(VLOOKUP(I227,VOL_REC[],2,FALSE),0)</f>
        <v>740113.98115702497</v>
      </c>
      <c r="AZ227" s="246">
        <f>IFERROR(VLOOKUP(J227,VOL_REC[],2,FALSE),0)</f>
        <v>0</v>
      </c>
      <c r="BA227" s="246">
        <f>IFERROR(VLOOKUP(K227,VOL_REC[],2,FALSE),0)</f>
        <v>0</v>
      </c>
      <c r="BB227" s="246">
        <f>IFERROR(VLOOKUP(L227,VOL_REC[],2,FALSE),0)</f>
        <v>0</v>
      </c>
      <c r="BC227" s="246">
        <f>IFERROR(VLOOKUP(M227,VOL_REC[],2,FALSE),0)</f>
        <v>0</v>
      </c>
      <c r="BD227" s="246">
        <f>IFERROR(VLOOKUP(N227,VOL_REC[],2,FALSE),0)</f>
        <v>0</v>
      </c>
      <c r="BE227" s="246">
        <f>IFERROR(VLOOKUP(O227,VOL_REC[],2,FALSE),0)</f>
        <v>0</v>
      </c>
      <c r="BF227" s="246">
        <f>IFERROR(VLOOKUP(P227,VOL_REC[],2,FALSE),0)</f>
        <v>0</v>
      </c>
      <c r="BG227" s="246">
        <f>IFERROR(VLOOKUP(Q227,VOL_REC[],2,FALSE),0)</f>
        <v>0</v>
      </c>
      <c r="BH227" s="1710">
        <f t="shared" si="12"/>
        <v>9591344877.4590702</v>
      </c>
      <c r="BI227" s="1710">
        <f t="shared" si="13"/>
        <v>11545555447.036497</v>
      </c>
      <c r="BJ227" s="1711">
        <f t="shared" si="14"/>
        <v>12598104.981157027</v>
      </c>
      <c r="BK227" s="1711">
        <f t="shared" si="15"/>
        <v>0.83073914645838609</v>
      </c>
    </row>
    <row r="228" spans="3:67" x14ac:dyDescent="0.25">
      <c r="C228" s="246" t="s">
        <v>1578</v>
      </c>
      <c r="D228" s="246">
        <v>1</v>
      </c>
      <c r="E228" s="246">
        <v>2</v>
      </c>
      <c r="F228" s="246">
        <v>3</v>
      </c>
      <c r="G228" s="246">
        <v>13</v>
      </c>
      <c r="H228" s="246">
        <v>16</v>
      </c>
      <c r="I228" s="246">
        <v>17</v>
      </c>
      <c r="J228" s="246"/>
      <c r="K228" s="246"/>
      <c r="L228" s="246"/>
      <c r="M228" s="246"/>
      <c r="N228" s="246"/>
      <c r="O228" s="246"/>
      <c r="P228" s="246"/>
      <c r="Q228" s="246"/>
      <c r="R228" s="246">
        <f>IFERROR(VLOOKUP(D228,PROGRAMAS[],2,FALSE),0)</f>
        <v>97037803.679377079</v>
      </c>
      <c r="S228" s="246">
        <f>IFERROR(VLOOKUP(E228,PROGRAMAS[],2,FALSE),0)</f>
        <v>640501509.6821388</v>
      </c>
      <c r="T228" s="246">
        <f>IFERROR(VLOOKUP(F228,PROGRAMAS[],2,FALSE),0)</f>
        <v>3062327798.1525245</v>
      </c>
      <c r="U228" s="246">
        <f>IFERROR(VLOOKUP(G228,PROGRAMAS[],2,FALSE),0)</f>
        <v>3776538594.4604583</v>
      </c>
      <c r="V228" s="246">
        <f>IFERROR(VLOOKUP(H228,PROGRAMAS[],2,FALSE),0)</f>
        <v>7068496961.0436354</v>
      </c>
      <c r="W228" s="246">
        <f>IFERROR(VLOOKUP(I228,PROGRAMAS[],2,FALSE),0)</f>
        <v>1892779498.5211046</v>
      </c>
      <c r="X228" s="246">
        <f>IFERROR(VLOOKUP(J228,PROGRAMAS[],2,FALSE),0)</f>
        <v>0</v>
      </c>
      <c r="Y228" s="246">
        <f>IFERROR(VLOOKUP(K228,PROGRAMAS[],2,FALSE),0)</f>
        <v>0</v>
      </c>
      <c r="Z228" s="246">
        <f>IFERROR(VLOOKUP(L228,PROGRAMAS[],2,FALSE),0)</f>
        <v>0</v>
      </c>
      <c r="AA228" s="246">
        <f>IFERROR(VLOOKUP(M228,PROGRAMAS[],2,FALSE),0)</f>
        <v>0</v>
      </c>
      <c r="AB228" s="246">
        <f>IFERROR(VLOOKUP(N228,PROGRAMAS[],2,FALSE),0)</f>
        <v>0</v>
      </c>
      <c r="AC228" s="246">
        <f>IFERROR(VLOOKUP(O228,PROGRAMAS[],2,FALSE),0)</f>
        <v>0</v>
      </c>
      <c r="AD228" s="246">
        <f>IFERROR(VLOOKUP(P228,PROGRAMAS[],2,FALSE),0)</f>
        <v>0</v>
      </c>
      <c r="AE228" s="246">
        <f>IFERROR(VLOOKUP(Q228,PROGRAMAS[],2,FALSE),0)</f>
        <v>0</v>
      </c>
      <c r="AF228" s="246">
        <f>IFERROR(VLOOKUP(D228,PROGRAMAS[],3,FALSE),0)</f>
        <v>841888629.31080008</v>
      </c>
      <c r="AG228" s="246">
        <f>IFERROR(VLOOKUP(E228,PROGRAMAS[],3,FALSE),0)</f>
        <v>3848980803.1642323</v>
      </c>
      <c r="AH228" s="246">
        <f>IFERROR(VLOOKUP(F228,PROGRAMAS[],3,FALSE),0)</f>
        <v>3394901471.387517</v>
      </c>
      <c r="AI228" s="246">
        <f>IFERROR(VLOOKUP(G228,PROGRAMAS[],3,FALSE),0)</f>
        <v>2392571243.5584412</v>
      </c>
      <c r="AJ228" s="246">
        <f>IFERROR(VLOOKUP(H228,PROGRAMAS[],3,FALSE),0)</f>
        <v>2406564599.0319901</v>
      </c>
      <c r="AK228" s="246">
        <f>IFERROR(VLOOKUP(I228,PROGRAMAS[],3,FALSE),0)</f>
        <v>948595847.09039903</v>
      </c>
      <c r="AL228" s="246">
        <f>IFERROR(VLOOKUP(J228,PROGRAMAS[],3,FALSE),0)</f>
        <v>0</v>
      </c>
      <c r="AM228" s="246">
        <f>IFERROR(VLOOKUP(K228,PROGRAMAS[],3,FALSE),0)</f>
        <v>0</v>
      </c>
      <c r="AN228" s="246">
        <f>IFERROR(VLOOKUP(L228,PROGRAMAS[],3,FALSE),0)</f>
        <v>0</v>
      </c>
      <c r="AO228" s="246">
        <f>IFERROR(VLOOKUP(M228,PROGRAMAS[],3,FALSE),0)</f>
        <v>0</v>
      </c>
      <c r="AP228" s="246">
        <f>IFERROR(VLOOKUP(N228,PROGRAMAS[],3,FALSE),0)</f>
        <v>0</v>
      </c>
      <c r="AQ228" s="246">
        <f>IFERROR(VLOOKUP(O228,PROGRAMAS[],3,FALSE),0)</f>
        <v>0</v>
      </c>
      <c r="AR228" s="246">
        <f>IFERROR(VLOOKUP(P228,PROGRAMAS[],3,FALSE),0)</f>
        <v>0</v>
      </c>
      <c r="AS228" s="246">
        <f>IFERROR(VLOOKUP(Q228,PROGRAMAS[],3,FALSE),0)</f>
        <v>0</v>
      </c>
      <c r="AT228" s="246">
        <f>IFERROR(VLOOKUP(D228,VOL_REC[],2,FALSE),0)</f>
        <v>0</v>
      </c>
      <c r="AU228" s="246">
        <f>IFERROR(VLOOKUP(E228,VOL_REC[],2,FALSE),0)</f>
        <v>0</v>
      </c>
      <c r="AV228" s="246">
        <f>IFERROR(VLOOKUP(F228,VOL_REC[],2,FALSE),0)</f>
        <v>11089674.200000001</v>
      </c>
      <c r="AW228" s="246">
        <f>IFERROR(VLOOKUP(G228,VOL_REC[],2,FALSE),0)</f>
        <v>663244.80000000016</v>
      </c>
      <c r="AX228" s="246">
        <f>IFERROR(VLOOKUP(H228,VOL_REC[],2,FALSE),0)</f>
        <v>1072354.9981737854</v>
      </c>
      <c r="AY228" s="246">
        <f>IFERROR(VLOOKUP(I228,VOL_REC[],2,FALSE),0)</f>
        <v>740113.98115702497</v>
      </c>
      <c r="AZ228" s="246">
        <f>IFERROR(VLOOKUP(J228,VOL_REC[],2,FALSE),0)</f>
        <v>0</v>
      </c>
      <c r="BA228" s="246">
        <f>IFERROR(VLOOKUP(K228,VOL_REC[],2,FALSE),0)</f>
        <v>0</v>
      </c>
      <c r="BB228" s="246">
        <f>IFERROR(VLOOKUP(L228,VOL_REC[],2,FALSE),0)</f>
        <v>0</v>
      </c>
      <c r="BC228" s="246">
        <f>IFERROR(VLOOKUP(M228,VOL_REC[],2,FALSE),0)</f>
        <v>0</v>
      </c>
      <c r="BD228" s="246">
        <f>IFERROR(VLOOKUP(N228,VOL_REC[],2,FALSE),0)</f>
        <v>0</v>
      </c>
      <c r="BE228" s="246">
        <f>IFERROR(VLOOKUP(O228,VOL_REC[],2,FALSE),0)</f>
        <v>0</v>
      </c>
      <c r="BF228" s="246">
        <f>IFERROR(VLOOKUP(P228,VOL_REC[],2,FALSE),0)</f>
        <v>0</v>
      </c>
      <c r="BG228" s="246">
        <f>IFERROR(VLOOKUP(Q228,VOL_REC[],2,FALSE),0)</f>
        <v>0</v>
      </c>
      <c r="BH228" s="1710">
        <f t="shared" si="12"/>
        <v>16537682165.53924</v>
      </c>
      <c r="BI228" s="1710">
        <f t="shared" si="13"/>
        <v>13833502593.543379</v>
      </c>
      <c r="BJ228" s="1711">
        <f t="shared" si="14"/>
        <v>13565387.979330814</v>
      </c>
      <c r="BK228" s="1711">
        <f t="shared" si="15"/>
        <v>1.1954804687901677</v>
      </c>
      <c r="BL228">
        <f>BJ228</f>
        <v>13565387.979330814</v>
      </c>
      <c r="BO228">
        <f>BL228</f>
        <v>13565387.979330814</v>
      </c>
    </row>
    <row r="229" spans="3:67" x14ac:dyDescent="0.25">
      <c r="C229" s="246" t="s">
        <v>1579</v>
      </c>
      <c r="D229" s="246">
        <v>1</v>
      </c>
      <c r="E229" s="246">
        <v>2</v>
      </c>
      <c r="F229" s="246">
        <v>3</v>
      </c>
      <c r="G229" s="246">
        <v>14</v>
      </c>
      <c r="H229" s="246">
        <v>15</v>
      </c>
      <c r="I229" s="246">
        <v>16</v>
      </c>
      <c r="J229" s="246"/>
      <c r="K229" s="246"/>
      <c r="L229" s="246"/>
      <c r="M229" s="246"/>
      <c r="N229" s="246"/>
      <c r="O229" s="246"/>
      <c r="P229" s="246"/>
      <c r="Q229" s="246"/>
      <c r="R229" s="246">
        <f>IFERROR(VLOOKUP(D229,PROGRAMAS[],2,FALSE),0)</f>
        <v>97037803.679377079</v>
      </c>
      <c r="S229" s="246">
        <f>IFERROR(VLOOKUP(E229,PROGRAMAS[],2,FALSE),0)</f>
        <v>640501509.6821388</v>
      </c>
      <c r="T229" s="246">
        <f>IFERROR(VLOOKUP(F229,PROGRAMAS[],2,FALSE),0)</f>
        <v>3062327798.1525245</v>
      </c>
      <c r="U229" s="246">
        <f>IFERROR(VLOOKUP(G229,PROGRAMAS[],2,FALSE),0)</f>
        <v>54223862.645839565</v>
      </c>
      <c r="V229" s="246">
        <f>IFERROR(VLOOKUP(H229,PROGRAMAS[],2,FALSE),0)</f>
        <v>122159672.96346797</v>
      </c>
      <c r="W229" s="246">
        <f>IFERROR(VLOOKUP(I229,PROGRAMAS[],2,FALSE),0)</f>
        <v>7068496961.0436354</v>
      </c>
      <c r="X229" s="246">
        <f>IFERROR(VLOOKUP(J229,PROGRAMAS[],2,FALSE),0)</f>
        <v>0</v>
      </c>
      <c r="Y229" s="246">
        <f>IFERROR(VLOOKUP(K229,PROGRAMAS[],2,FALSE),0)</f>
        <v>0</v>
      </c>
      <c r="Z229" s="246">
        <f>IFERROR(VLOOKUP(L229,PROGRAMAS[],2,FALSE),0)</f>
        <v>0</v>
      </c>
      <c r="AA229" s="246">
        <f>IFERROR(VLOOKUP(M229,PROGRAMAS[],2,FALSE),0)</f>
        <v>0</v>
      </c>
      <c r="AB229" s="246">
        <f>IFERROR(VLOOKUP(N229,PROGRAMAS[],2,FALSE),0)</f>
        <v>0</v>
      </c>
      <c r="AC229" s="246">
        <f>IFERROR(VLOOKUP(O229,PROGRAMAS[],2,FALSE),0)</f>
        <v>0</v>
      </c>
      <c r="AD229" s="246">
        <f>IFERROR(VLOOKUP(P229,PROGRAMAS[],2,FALSE),0)</f>
        <v>0</v>
      </c>
      <c r="AE229" s="246">
        <f>IFERROR(VLOOKUP(Q229,PROGRAMAS[],2,FALSE),0)</f>
        <v>0</v>
      </c>
      <c r="AF229" s="246">
        <f>IFERROR(VLOOKUP(D229,PROGRAMAS[],3,FALSE),0)</f>
        <v>841888629.31080008</v>
      </c>
      <c r="AG229" s="246">
        <f>IFERROR(VLOOKUP(E229,PROGRAMAS[],3,FALSE),0)</f>
        <v>3848980803.1642323</v>
      </c>
      <c r="AH229" s="246">
        <f>IFERROR(VLOOKUP(F229,PROGRAMAS[],3,FALSE),0)</f>
        <v>3394901471.387517</v>
      </c>
      <c r="AI229" s="246">
        <f>IFERROR(VLOOKUP(G229,PROGRAMAS[],3,FALSE),0)</f>
        <v>31865326.38096505</v>
      </c>
      <c r="AJ229" s="246">
        <f>IFERROR(VLOOKUP(H229,PROGRAMAS[],3,FALSE),0)</f>
        <v>118617452.52510804</v>
      </c>
      <c r="AK229" s="246">
        <f>IFERROR(VLOOKUP(I229,PROGRAMAS[],3,FALSE),0)</f>
        <v>2406564599.0319901</v>
      </c>
      <c r="AL229" s="246">
        <f>IFERROR(VLOOKUP(J229,PROGRAMAS[],3,FALSE),0)</f>
        <v>0</v>
      </c>
      <c r="AM229" s="246">
        <f>IFERROR(VLOOKUP(K229,PROGRAMAS[],3,FALSE),0)</f>
        <v>0</v>
      </c>
      <c r="AN229" s="246">
        <f>IFERROR(VLOOKUP(L229,PROGRAMAS[],3,FALSE),0)</f>
        <v>0</v>
      </c>
      <c r="AO229" s="246">
        <f>IFERROR(VLOOKUP(M229,PROGRAMAS[],3,FALSE),0)</f>
        <v>0</v>
      </c>
      <c r="AP229" s="246">
        <f>IFERROR(VLOOKUP(N229,PROGRAMAS[],3,FALSE),0)</f>
        <v>0</v>
      </c>
      <c r="AQ229" s="246">
        <f>IFERROR(VLOOKUP(O229,PROGRAMAS[],3,FALSE),0)</f>
        <v>0</v>
      </c>
      <c r="AR229" s="246">
        <f>IFERROR(VLOOKUP(P229,PROGRAMAS[],3,FALSE),0)</f>
        <v>0</v>
      </c>
      <c r="AS229" s="246">
        <f>IFERROR(VLOOKUP(Q229,PROGRAMAS[],3,FALSE),0)</f>
        <v>0</v>
      </c>
      <c r="AT229" s="246">
        <f>IFERROR(VLOOKUP(D229,VOL_REC[],2,FALSE),0)</f>
        <v>0</v>
      </c>
      <c r="AU229" s="246">
        <f>IFERROR(VLOOKUP(E229,VOL_REC[],2,FALSE),0)</f>
        <v>0</v>
      </c>
      <c r="AV229" s="246">
        <f>IFERROR(VLOOKUP(F229,VOL_REC[],2,FALSE),0)</f>
        <v>11089674.200000001</v>
      </c>
      <c r="AW229" s="246">
        <f>IFERROR(VLOOKUP(G229,VOL_REC[],2,FALSE),0)</f>
        <v>17074.045034105649</v>
      </c>
      <c r="AX229" s="246">
        <f>IFERROR(VLOOKUP(H229,VOL_REC[],2,FALSE),0)</f>
        <v>105072</v>
      </c>
      <c r="AY229" s="246">
        <f>IFERROR(VLOOKUP(I229,VOL_REC[],2,FALSE),0)</f>
        <v>1072354.9981737854</v>
      </c>
      <c r="AZ229" s="246">
        <f>IFERROR(VLOOKUP(J229,VOL_REC[],2,FALSE),0)</f>
        <v>0</v>
      </c>
      <c r="BA229" s="246">
        <f>IFERROR(VLOOKUP(K229,VOL_REC[],2,FALSE),0)</f>
        <v>0</v>
      </c>
      <c r="BB229" s="246">
        <f>IFERROR(VLOOKUP(L229,VOL_REC[],2,FALSE),0)</f>
        <v>0</v>
      </c>
      <c r="BC229" s="246">
        <f>IFERROR(VLOOKUP(M229,VOL_REC[],2,FALSE),0)</f>
        <v>0</v>
      </c>
      <c r="BD229" s="246">
        <f>IFERROR(VLOOKUP(N229,VOL_REC[],2,FALSE),0)</f>
        <v>0</v>
      </c>
      <c r="BE229" s="246">
        <f>IFERROR(VLOOKUP(O229,VOL_REC[],2,FALSE),0)</f>
        <v>0</v>
      </c>
      <c r="BF229" s="246">
        <f>IFERROR(VLOOKUP(P229,VOL_REC[],2,FALSE),0)</f>
        <v>0</v>
      </c>
      <c r="BG229" s="246">
        <f>IFERROR(VLOOKUP(Q229,VOL_REC[],2,FALSE),0)</f>
        <v>0</v>
      </c>
      <c r="BH229" s="1710">
        <f t="shared" si="12"/>
        <v>11044747608.166985</v>
      </c>
      <c r="BI229" s="1710">
        <f t="shared" si="13"/>
        <v>10642818281.800613</v>
      </c>
      <c r="BJ229" s="1711">
        <f t="shared" si="14"/>
        <v>12284175.243207891</v>
      </c>
      <c r="BK229" s="1711">
        <f t="shared" si="15"/>
        <v>1.0377653095001798</v>
      </c>
      <c r="BL229">
        <f>BJ229</f>
        <v>12284175.243207891</v>
      </c>
      <c r="BO229">
        <f>BL229</f>
        <v>12284175.243207891</v>
      </c>
    </row>
    <row r="230" spans="3:67" x14ac:dyDescent="0.25">
      <c r="C230" s="246" t="s">
        <v>1580</v>
      </c>
      <c r="D230" s="246">
        <v>1</v>
      </c>
      <c r="E230" s="246">
        <v>2</v>
      </c>
      <c r="F230" s="246">
        <v>3</v>
      </c>
      <c r="G230" s="246">
        <v>14</v>
      </c>
      <c r="H230" s="246">
        <v>15</v>
      </c>
      <c r="I230" s="246">
        <v>17</v>
      </c>
      <c r="J230" s="246"/>
      <c r="K230" s="246"/>
      <c r="L230" s="246"/>
      <c r="M230" s="246"/>
      <c r="N230" s="246"/>
      <c r="O230" s="246"/>
      <c r="P230" s="246"/>
      <c r="Q230" s="246"/>
      <c r="R230" s="246">
        <f>IFERROR(VLOOKUP(D230,PROGRAMAS[],2,FALSE),0)</f>
        <v>97037803.679377079</v>
      </c>
      <c r="S230" s="246">
        <f>IFERROR(VLOOKUP(E230,PROGRAMAS[],2,FALSE),0)</f>
        <v>640501509.6821388</v>
      </c>
      <c r="T230" s="246">
        <f>IFERROR(VLOOKUP(F230,PROGRAMAS[],2,FALSE),0)</f>
        <v>3062327798.1525245</v>
      </c>
      <c r="U230" s="246">
        <f>IFERROR(VLOOKUP(G230,PROGRAMAS[],2,FALSE),0)</f>
        <v>54223862.645839565</v>
      </c>
      <c r="V230" s="246">
        <f>IFERROR(VLOOKUP(H230,PROGRAMAS[],2,FALSE),0)</f>
        <v>122159672.96346797</v>
      </c>
      <c r="W230" s="246">
        <f>IFERROR(VLOOKUP(I230,PROGRAMAS[],2,FALSE),0)</f>
        <v>1892779498.5211046</v>
      </c>
      <c r="X230" s="246">
        <f>IFERROR(VLOOKUP(J230,PROGRAMAS[],2,FALSE),0)</f>
        <v>0</v>
      </c>
      <c r="Y230" s="246">
        <f>IFERROR(VLOOKUP(K230,PROGRAMAS[],2,FALSE),0)</f>
        <v>0</v>
      </c>
      <c r="Z230" s="246">
        <f>IFERROR(VLOOKUP(L230,PROGRAMAS[],2,FALSE),0)</f>
        <v>0</v>
      </c>
      <c r="AA230" s="246">
        <f>IFERROR(VLOOKUP(M230,PROGRAMAS[],2,FALSE),0)</f>
        <v>0</v>
      </c>
      <c r="AB230" s="246">
        <f>IFERROR(VLOOKUP(N230,PROGRAMAS[],2,FALSE),0)</f>
        <v>0</v>
      </c>
      <c r="AC230" s="246">
        <f>IFERROR(VLOOKUP(O230,PROGRAMAS[],2,FALSE),0)</f>
        <v>0</v>
      </c>
      <c r="AD230" s="246">
        <f>IFERROR(VLOOKUP(P230,PROGRAMAS[],2,FALSE),0)</f>
        <v>0</v>
      </c>
      <c r="AE230" s="246">
        <f>IFERROR(VLOOKUP(Q230,PROGRAMAS[],2,FALSE),0)</f>
        <v>0</v>
      </c>
      <c r="AF230" s="246">
        <f>IFERROR(VLOOKUP(D230,PROGRAMAS[],3,FALSE),0)</f>
        <v>841888629.31080008</v>
      </c>
      <c r="AG230" s="246">
        <f>IFERROR(VLOOKUP(E230,PROGRAMAS[],3,FALSE),0)</f>
        <v>3848980803.1642323</v>
      </c>
      <c r="AH230" s="246">
        <f>IFERROR(VLOOKUP(F230,PROGRAMAS[],3,FALSE),0)</f>
        <v>3394901471.387517</v>
      </c>
      <c r="AI230" s="246">
        <f>IFERROR(VLOOKUP(G230,PROGRAMAS[],3,FALSE),0)</f>
        <v>31865326.38096505</v>
      </c>
      <c r="AJ230" s="246">
        <f>IFERROR(VLOOKUP(H230,PROGRAMAS[],3,FALSE),0)</f>
        <v>118617452.52510804</v>
      </c>
      <c r="AK230" s="246">
        <f>IFERROR(VLOOKUP(I230,PROGRAMAS[],3,FALSE),0)</f>
        <v>948595847.09039903</v>
      </c>
      <c r="AL230" s="246">
        <f>IFERROR(VLOOKUP(J230,PROGRAMAS[],3,FALSE),0)</f>
        <v>0</v>
      </c>
      <c r="AM230" s="246">
        <f>IFERROR(VLOOKUP(K230,PROGRAMAS[],3,FALSE),0)</f>
        <v>0</v>
      </c>
      <c r="AN230" s="246">
        <f>IFERROR(VLOOKUP(L230,PROGRAMAS[],3,FALSE),0)</f>
        <v>0</v>
      </c>
      <c r="AO230" s="246">
        <f>IFERROR(VLOOKUP(M230,PROGRAMAS[],3,FALSE),0)</f>
        <v>0</v>
      </c>
      <c r="AP230" s="246">
        <f>IFERROR(VLOOKUP(N230,PROGRAMAS[],3,FALSE),0)</f>
        <v>0</v>
      </c>
      <c r="AQ230" s="246">
        <f>IFERROR(VLOOKUP(O230,PROGRAMAS[],3,FALSE),0)</f>
        <v>0</v>
      </c>
      <c r="AR230" s="246">
        <f>IFERROR(VLOOKUP(P230,PROGRAMAS[],3,FALSE),0)</f>
        <v>0</v>
      </c>
      <c r="AS230" s="246">
        <f>IFERROR(VLOOKUP(Q230,PROGRAMAS[],3,FALSE),0)</f>
        <v>0</v>
      </c>
      <c r="AT230" s="246">
        <f>IFERROR(VLOOKUP(D230,VOL_REC[],2,FALSE),0)</f>
        <v>0</v>
      </c>
      <c r="AU230" s="246">
        <f>IFERROR(VLOOKUP(E230,VOL_REC[],2,FALSE),0)</f>
        <v>0</v>
      </c>
      <c r="AV230" s="246">
        <f>IFERROR(VLOOKUP(F230,VOL_REC[],2,FALSE),0)</f>
        <v>11089674.200000001</v>
      </c>
      <c r="AW230" s="246">
        <f>IFERROR(VLOOKUP(G230,VOL_REC[],2,FALSE),0)</f>
        <v>17074.045034105649</v>
      </c>
      <c r="AX230" s="246">
        <f>IFERROR(VLOOKUP(H230,VOL_REC[],2,FALSE),0)</f>
        <v>105072</v>
      </c>
      <c r="AY230" s="246">
        <f>IFERROR(VLOOKUP(I230,VOL_REC[],2,FALSE),0)</f>
        <v>740113.98115702497</v>
      </c>
      <c r="AZ230" s="246">
        <f>IFERROR(VLOOKUP(J230,VOL_REC[],2,FALSE),0)</f>
        <v>0</v>
      </c>
      <c r="BA230" s="246">
        <f>IFERROR(VLOOKUP(K230,VOL_REC[],2,FALSE),0)</f>
        <v>0</v>
      </c>
      <c r="BB230" s="246">
        <f>IFERROR(VLOOKUP(L230,VOL_REC[],2,FALSE),0)</f>
        <v>0</v>
      </c>
      <c r="BC230" s="246">
        <f>IFERROR(VLOOKUP(M230,VOL_REC[],2,FALSE),0)</f>
        <v>0</v>
      </c>
      <c r="BD230" s="246">
        <f>IFERROR(VLOOKUP(N230,VOL_REC[],2,FALSE),0)</f>
        <v>0</v>
      </c>
      <c r="BE230" s="246">
        <f>IFERROR(VLOOKUP(O230,VOL_REC[],2,FALSE),0)</f>
        <v>0</v>
      </c>
      <c r="BF230" s="246">
        <f>IFERROR(VLOOKUP(P230,VOL_REC[],2,FALSE),0)</f>
        <v>0</v>
      </c>
      <c r="BG230" s="246">
        <f>IFERROR(VLOOKUP(Q230,VOL_REC[],2,FALSE),0)</f>
        <v>0</v>
      </c>
      <c r="BH230" s="1710">
        <f t="shared" si="12"/>
        <v>5869030145.644453</v>
      </c>
      <c r="BI230" s="1710">
        <f t="shared" si="13"/>
        <v>9184849529.8590221</v>
      </c>
      <c r="BJ230" s="1711">
        <f t="shared" si="14"/>
        <v>11951934.226191131</v>
      </c>
      <c r="BK230" s="1711">
        <f t="shared" si="15"/>
        <v>0.6389903423637836</v>
      </c>
    </row>
    <row r="231" spans="3:67" x14ac:dyDescent="0.25">
      <c r="C231" s="246" t="s">
        <v>1581</v>
      </c>
      <c r="D231" s="246">
        <v>1</v>
      </c>
      <c r="E231" s="246">
        <v>2</v>
      </c>
      <c r="F231" s="246">
        <v>3</v>
      </c>
      <c r="G231" s="246">
        <v>14</v>
      </c>
      <c r="H231" s="246">
        <v>16</v>
      </c>
      <c r="I231" s="246">
        <v>17</v>
      </c>
      <c r="J231" s="246"/>
      <c r="K231" s="246"/>
      <c r="L231" s="246"/>
      <c r="M231" s="246"/>
      <c r="N231" s="246"/>
      <c r="O231" s="246"/>
      <c r="P231" s="246"/>
      <c r="Q231" s="246"/>
      <c r="R231" s="246">
        <f>IFERROR(VLOOKUP(D231,PROGRAMAS[],2,FALSE),0)</f>
        <v>97037803.679377079</v>
      </c>
      <c r="S231" s="246">
        <f>IFERROR(VLOOKUP(E231,PROGRAMAS[],2,FALSE),0)</f>
        <v>640501509.6821388</v>
      </c>
      <c r="T231" s="246">
        <f>IFERROR(VLOOKUP(F231,PROGRAMAS[],2,FALSE),0)</f>
        <v>3062327798.1525245</v>
      </c>
      <c r="U231" s="246">
        <f>IFERROR(VLOOKUP(G231,PROGRAMAS[],2,FALSE),0)</f>
        <v>54223862.645839565</v>
      </c>
      <c r="V231" s="246">
        <f>IFERROR(VLOOKUP(H231,PROGRAMAS[],2,FALSE),0)</f>
        <v>7068496961.0436354</v>
      </c>
      <c r="W231" s="246">
        <f>IFERROR(VLOOKUP(I231,PROGRAMAS[],2,FALSE),0)</f>
        <v>1892779498.5211046</v>
      </c>
      <c r="X231" s="246">
        <f>IFERROR(VLOOKUP(J231,PROGRAMAS[],2,FALSE),0)</f>
        <v>0</v>
      </c>
      <c r="Y231" s="246">
        <f>IFERROR(VLOOKUP(K231,PROGRAMAS[],2,FALSE),0)</f>
        <v>0</v>
      </c>
      <c r="Z231" s="246">
        <f>IFERROR(VLOOKUP(L231,PROGRAMAS[],2,FALSE),0)</f>
        <v>0</v>
      </c>
      <c r="AA231" s="246">
        <f>IFERROR(VLOOKUP(M231,PROGRAMAS[],2,FALSE),0)</f>
        <v>0</v>
      </c>
      <c r="AB231" s="246">
        <f>IFERROR(VLOOKUP(N231,PROGRAMAS[],2,FALSE),0)</f>
        <v>0</v>
      </c>
      <c r="AC231" s="246">
        <f>IFERROR(VLOOKUP(O231,PROGRAMAS[],2,FALSE),0)</f>
        <v>0</v>
      </c>
      <c r="AD231" s="246">
        <f>IFERROR(VLOOKUP(P231,PROGRAMAS[],2,FALSE),0)</f>
        <v>0</v>
      </c>
      <c r="AE231" s="246">
        <f>IFERROR(VLOOKUP(Q231,PROGRAMAS[],2,FALSE),0)</f>
        <v>0</v>
      </c>
      <c r="AF231" s="246">
        <f>IFERROR(VLOOKUP(D231,PROGRAMAS[],3,FALSE),0)</f>
        <v>841888629.31080008</v>
      </c>
      <c r="AG231" s="246">
        <f>IFERROR(VLOOKUP(E231,PROGRAMAS[],3,FALSE),0)</f>
        <v>3848980803.1642323</v>
      </c>
      <c r="AH231" s="246">
        <f>IFERROR(VLOOKUP(F231,PROGRAMAS[],3,FALSE),0)</f>
        <v>3394901471.387517</v>
      </c>
      <c r="AI231" s="246">
        <f>IFERROR(VLOOKUP(G231,PROGRAMAS[],3,FALSE),0)</f>
        <v>31865326.38096505</v>
      </c>
      <c r="AJ231" s="246">
        <f>IFERROR(VLOOKUP(H231,PROGRAMAS[],3,FALSE),0)</f>
        <v>2406564599.0319901</v>
      </c>
      <c r="AK231" s="246">
        <f>IFERROR(VLOOKUP(I231,PROGRAMAS[],3,FALSE),0)</f>
        <v>948595847.09039903</v>
      </c>
      <c r="AL231" s="246">
        <f>IFERROR(VLOOKUP(J231,PROGRAMAS[],3,FALSE),0)</f>
        <v>0</v>
      </c>
      <c r="AM231" s="246">
        <f>IFERROR(VLOOKUP(K231,PROGRAMAS[],3,FALSE),0)</f>
        <v>0</v>
      </c>
      <c r="AN231" s="246">
        <f>IFERROR(VLOOKUP(L231,PROGRAMAS[],3,FALSE),0)</f>
        <v>0</v>
      </c>
      <c r="AO231" s="246">
        <f>IFERROR(VLOOKUP(M231,PROGRAMAS[],3,FALSE),0)</f>
        <v>0</v>
      </c>
      <c r="AP231" s="246">
        <f>IFERROR(VLOOKUP(N231,PROGRAMAS[],3,FALSE),0)</f>
        <v>0</v>
      </c>
      <c r="AQ231" s="246">
        <f>IFERROR(VLOOKUP(O231,PROGRAMAS[],3,FALSE),0)</f>
        <v>0</v>
      </c>
      <c r="AR231" s="246">
        <f>IFERROR(VLOOKUP(P231,PROGRAMAS[],3,FALSE),0)</f>
        <v>0</v>
      </c>
      <c r="AS231" s="246">
        <f>IFERROR(VLOOKUP(Q231,PROGRAMAS[],3,FALSE),0)</f>
        <v>0</v>
      </c>
      <c r="AT231" s="246">
        <f>IFERROR(VLOOKUP(D231,VOL_REC[],2,FALSE),0)</f>
        <v>0</v>
      </c>
      <c r="AU231" s="246">
        <f>IFERROR(VLOOKUP(E231,VOL_REC[],2,FALSE),0)</f>
        <v>0</v>
      </c>
      <c r="AV231" s="246">
        <f>IFERROR(VLOOKUP(F231,VOL_REC[],2,FALSE),0)</f>
        <v>11089674.200000001</v>
      </c>
      <c r="AW231" s="246">
        <f>IFERROR(VLOOKUP(G231,VOL_REC[],2,FALSE),0)</f>
        <v>17074.045034105649</v>
      </c>
      <c r="AX231" s="246">
        <f>IFERROR(VLOOKUP(H231,VOL_REC[],2,FALSE),0)</f>
        <v>1072354.9981737854</v>
      </c>
      <c r="AY231" s="246">
        <f>IFERROR(VLOOKUP(I231,VOL_REC[],2,FALSE),0)</f>
        <v>740113.98115702497</v>
      </c>
      <c r="AZ231" s="246">
        <f>IFERROR(VLOOKUP(J231,VOL_REC[],2,FALSE),0)</f>
        <v>0</v>
      </c>
      <c r="BA231" s="246">
        <f>IFERROR(VLOOKUP(K231,VOL_REC[],2,FALSE),0)</f>
        <v>0</v>
      </c>
      <c r="BB231" s="246">
        <f>IFERROR(VLOOKUP(L231,VOL_REC[],2,FALSE),0)</f>
        <v>0</v>
      </c>
      <c r="BC231" s="246">
        <f>IFERROR(VLOOKUP(M231,VOL_REC[],2,FALSE),0)</f>
        <v>0</v>
      </c>
      <c r="BD231" s="246">
        <f>IFERROR(VLOOKUP(N231,VOL_REC[],2,FALSE),0)</f>
        <v>0</v>
      </c>
      <c r="BE231" s="246">
        <f>IFERROR(VLOOKUP(O231,VOL_REC[],2,FALSE),0)</f>
        <v>0</v>
      </c>
      <c r="BF231" s="246">
        <f>IFERROR(VLOOKUP(P231,VOL_REC[],2,FALSE),0)</f>
        <v>0</v>
      </c>
      <c r="BG231" s="246">
        <f>IFERROR(VLOOKUP(Q231,VOL_REC[],2,FALSE),0)</f>
        <v>0</v>
      </c>
      <c r="BH231" s="1710">
        <f t="shared" si="12"/>
        <v>12815367433.724621</v>
      </c>
      <c r="BI231" s="1710">
        <f t="shared" si="13"/>
        <v>11472796676.365904</v>
      </c>
      <c r="BJ231" s="1711">
        <f t="shared" si="14"/>
        <v>12919217.224364916</v>
      </c>
      <c r="BK231" s="1711">
        <f t="shared" si="15"/>
        <v>1.1170220997748901</v>
      </c>
      <c r="BL231">
        <f>BJ231</f>
        <v>12919217.224364916</v>
      </c>
      <c r="BO231">
        <f>BL231</f>
        <v>12919217.224364916</v>
      </c>
    </row>
    <row r="232" spans="3:67" x14ac:dyDescent="0.25">
      <c r="C232" s="246" t="s">
        <v>1582</v>
      </c>
      <c r="D232" s="246">
        <v>1</v>
      </c>
      <c r="E232" s="246">
        <v>2</v>
      </c>
      <c r="F232" s="246">
        <v>3</v>
      </c>
      <c r="G232" s="246">
        <v>15</v>
      </c>
      <c r="H232" s="246">
        <v>16</v>
      </c>
      <c r="I232" s="246">
        <v>17</v>
      </c>
      <c r="J232" s="246"/>
      <c r="K232" s="246"/>
      <c r="L232" s="246"/>
      <c r="M232" s="246"/>
      <c r="N232" s="246"/>
      <c r="O232" s="246"/>
      <c r="P232" s="246"/>
      <c r="Q232" s="246"/>
      <c r="R232" s="246">
        <f>IFERROR(VLOOKUP(D232,PROGRAMAS[],2,FALSE),0)</f>
        <v>97037803.679377079</v>
      </c>
      <c r="S232" s="246">
        <f>IFERROR(VLOOKUP(E232,PROGRAMAS[],2,FALSE),0)</f>
        <v>640501509.6821388</v>
      </c>
      <c r="T232" s="246">
        <f>IFERROR(VLOOKUP(F232,PROGRAMAS[],2,FALSE),0)</f>
        <v>3062327798.1525245</v>
      </c>
      <c r="U232" s="246">
        <f>IFERROR(VLOOKUP(G232,PROGRAMAS[],2,FALSE),0)</f>
        <v>122159672.96346797</v>
      </c>
      <c r="V232" s="246">
        <f>IFERROR(VLOOKUP(H232,PROGRAMAS[],2,FALSE),0)</f>
        <v>7068496961.0436354</v>
      </c>
      <c r="W232" s="246">
        <f>IFERROR(VLOOKUP(I232,PROGRAMAS[],2,FALSE),0)</f>
        <v>1892779498.5211046</v>
      </c>
      <c r="X232" s="246">
        <f>IFERROR(VLOOKUP(J232,PROGRAMAS[],2,FALSE),0)</f>
        <v>0</v>
      </c>
      <c r="Y232" s="246">
        <f>IFERROR(VLOOKUP(K232,PROGRAMAS[],2,FALSE),0)</f>
        <v>0</v>
      </c>
      <c r="Z232" s="246">
        <f>IFERROR(VLOOKUP(L232,PROGRAMAS[],2,FALSE),0)</f>
        <v>0</v>
      </c>
      <c r="AA232" s="246">
        <f>IFERROR(VLOOKUP(M232,PROGRAMAS[],2,FALSE),0)</f>
        <v>0</v>
      </c>
      <c r="AB232" s="246">
        <f>IFERROR(VLOOKUP(N232,PROGRAMAS[],2,FALSE),0)</f>
        <v>0</v>
      </c>
      <c r="AC232" s="246">
        <f>IFERROR(VLOOKUP(O232,PROGRAMAS[],2,FALSE),0)</f>
        <v>0</v>
      </c>
      <c r="AD232" s="246">
        <f>IFERROR(VLOOKUP(P232,PROGRAMAS[],2,FALSE),0)</f>
        <v>0</v>
      </c>
      <c r="AE232" s="246">
        <f>IFERROR(VLOOKUP(Q232,PROGRAMAS[],2,FALSE),0)</f>
        <v>0</v>
      </c>
      <c r="AF232" s="246">
        <f>IFERROR(VLOOKUP(D232,PROGRAMAS[],3,FALSE),0)</f>
        <v>841888629.31080008</v>
      </c>
      <c r="AG232" s="246">
        <f>IFERROR(VLOOKUP(E232,PROGRAMAS[],3,FALSE),0)</f>
        <v>3848980803.1642323</v>
      </c>
      <c r="AH232" s="246">
        <f>IFERROR(VLOOKUP(F232,PROGRAMAS[],3,FALSE),0)</f>
        <v>3394901471.387517</v>
      </c>
      <c r="AI232" s="246">
        <f>IFERROR(VLOOKUP(G232,PROGRAMAS[],3,FALSE),0)</f>
        <v>118617452.52510804</v>
      </c>
      <c r="AJ232" s="246">
        <f>IFERROR(VLOOKUP(H232,PROGRAMAS[],3,FALSE),0)</f>
        <v>2406564599.0319901</v>
      </c>
      <c r="AK232" s="246">
        <f>IFERROR(VLOOKUP(I232,PROGRAMAS[],3,FALSE),0)</f>
        <v>948595847.09039903</v>
      </c>
      <c r="AL232" s="246">
        <f>IFERROR(VLOOKUP(J232,PROGRAMAS[],3,FALSE),0)</f>
        <v>0</v>
      </c>
      <c r="AM232" s="246">
        <f>IFERROR(VLOOKUP(K232,PROGRAMAS[],3,FALSE),0)</f>
        <v>0</v>
      </c>
      <c r="AN232" s="246">
        <f>IFERROR(VLOOKUP(L232,PROGRAMAS[],3,FALSE),0)</f>
        <v>0</v>
      </c>
      <c r="AO232" s="246">
        <f>IFERROR(VLOOKUP(M232,PROGRAMAS[],3,FALSE),0)</f>
        <v>0</v>
      </c>
      <c r="AP232" s="246">
        <f>IFERROR(VLOOKUP(N232,PROGRAMAS[],3,FALSE),0)</f>
        <v>0</v>
      </c>
      <c r="AQ232" s="246">
        <f>IFERROR(VLOOKUP(O232,PROGRAMAS[],3,FALSE),0)</f>
        <v>0</v>
      </c>
      <c r="AR232" s="246">
        <f>IFERROR(VLOOKUP(P232,PROGRAMAS[],3,FALSE),0)</f>
        <v>0</v>
      </c>
      <c r="AS232" s="246">
        <f>IFERROR(VLOOKUP(Q232,PROGRAMAS[],3,FALSE),0)</f>
        <v>0</v>
      </c>
      <c r="AT232" s="246">
        <f>IFERROR(VLOOKUP(D232,VOL_REC[],2,FALSE),0)</f>
        <v>0</v>
      </c>
      <c r="AU232" s="246">
        <f>IFERROR(VLOOKUP(E232,VOL_REC[],2,FALSE),0)</f>
        <v>0</v>
      </c>
      <c r="AV232" s="246">
        <f>IFERROR(VLOOKUP(F232,VOL_REC[],2,FALSE),0)</f>
        <v>11089674.200000001</v>
      </c>
      <c r="AW232" s="246">
        <f>IFERROR(VLOOKUP(G232,VOL_REC[],2,FALSE),0)</f>
        <v>105072</v>
      </c>
      <c r="AX232" s="246">
        <f>IFERROR(VLOOKUP(H232,VOL_REC[],2,FALSE),0)</f>
        <v>1072354.9981737854</v>
      </c>
      <c r="AY232" s="246">
        <f>IFERROR(VLOOKUP(I232,VOL_REC[],2,FALSE),0)</f>
        <v>740113.98115702497</v>
      </c>
      <c r="AZ232" s="246">
        <f>IFERROR(VLOOKUP(J232,VOL_REC[],2,FALSE),0)</f>
        <v>0</v>
      </c>
      <c r="BA232" s="246">
        <f>IFERROR(VLOOKUP(K232,VOL_REC[],2,FALSE),0)</f>
        <v>0</v>
      </c>
      <c r="BB232" s="246">
        <f>IFERROR(VLOOKUP(L232,VOL_REC[],2,FALSE),0)</f>
        <v>0</v>
      </c>
      <c r="BC232" s="246">
        <f>IFERROR(VLOOKUP(M232,VOL_REC[],2,FALSE),0)</f>
        <v>0</v>
      </c>
      <c r="BD232" s="246">
        <f>IFERROR(VLOOKUP(N232,VOL_REC[],2,FALSE),0)</f>
        <v>0</v>
      </c>
      <c r="BE232" s="246">
        <f>IFERROR(VLOOKUP(O232,VOL_REC[],2,FALSE),0)</f>
        <v>0</v>
      </c>
      <c r="BF232" s="246">
        <f>IFERROR(VLOOKUP(P232,VOL_REC[],2,FALSE),0)</f>
        <v>0</v>
      </c>
      <c r="BG232" s="246">
        <f>IFERROR(VLOOKUP(Q232,VOL_REC[],2,FALSE),0)</f>
        <v>0</v>
      </c>
      <c r="BH232" s="1710">
        <f t="shared" si="12"/>
        <v>12883303244.04225</v>
      </c>
      <c r="BI232" s="1710">
        <f t="shared" si="13"/>
        <v>11559548802.510046</v>
      </c>
      <c r="BJ232" s="1711">
        <f t="shared" si="14"/>
        <v>13007215.179330813</v>
      </c>
      <c r="BK232" s="1711">
        <f t="shared" si="15"/>
        <v>1.114516099559592</v>
      </c>
      <c r="BL232">
        <f>BJ232</f>
        <v>13007215.179330813</v>
      </c>
      <c r="BO232">
        <f>BL232</f>
        <v>13007215.179330813</v>
      </c>
    </row>
    <row r="233" spans="3:67" x14ac:dyDescent="0.25">
      <c r="C233" s="246" t="s">
        <v>1583</v>
      </c>
      <c r="D233" s="246">
        <v>1</v>
      </c>
      <c r="E233" s="246">
        <v>2</v>
      </c>
      <c r="F233" s="246">
        <v>3</v>
      </c>
      <c r="G233" s="246">
        <v>4</v>
      </c>
      <c r="H233" s="246">
        <v>5</v>
      </c>
      <c r="I233" s="246">
        <v>6</v>
      </c>
      <c r="J233" s="246">
        <v>9</v>
      </c>
      <c r="K233" s="246"/>
      <c r="L233" s="246"/>
      <c r="M233" s="246"/>
      <c r="N233" s="246"/>
      <c r="O233" s="246"/>
      <c r="P233" s="246"/>
      <c r="Q233" s="246"/>
      <c r="R233" s="246">
        <f>IFERROR(VLOOKUP(D233,PROGRAMAS[],2,FALSE),0)</f>
        <v>97037803.679377079</v>
      </c>
      <c r="S233" s="246">
        <f>IFERROR(VLOOKUP(E233,PROGRAMAS[],2,FALSE),0)</f>
        <v>640501509.6821388</v>
      </c>
      <c r="T233" s="246">
        <f>IFERROR(VLOOKUP(F233,PROGRAMAS[],2,FALSE),0)</f>
        <v>3062327798.1525245</v>
      </c>
      <c r="U233" s="246">
        <f>IFERROR(VLOOKUP(G233,PROGRAMAS[],2,FALSE),0)</f>
        <v>67697118.033011258</v>
      </c>
      <c r="V233" s="246">
        <f>IFERROR(VLOOKUP(H233,PROGRAMAS[],2,FALSE),0)</f>
        <v>1440941976.2528784</v>
      </c>
      <c r="W233" s="246">
        <f>IFERROR(VLOOKUP(I233,PROGRAMAS[],2,FALSE),0)</f>
        <v>6907648435.8447599</v>
      </c>
      <c r="X233" s="246">
        <f>IFERROR(VLOOKUP(J233,PROGRAMAS[],2,FALSE),0)</f>
        <v>6128579952.1618185</v>
      </c>
      <c r="Y233" s="246">
        <f>IFERROR(VLOOKUP(K233,PROGRAMAS[],2,FALSE),0)</f>
        <v>0</v>
      </c>
      <c r="Z233" s="246">
        <f>IFERROR(VLOOKUP(L233,PROGRAMAS[],2,FALSE),0)</f>
        <v>0</v>
      </c>
      <c r="AA233" s="246">
        <f>IFERROR(VLOOKUP(M233,PROGRAMAS[],2,FALSE),0)</f>
        <v>0</v>
      </c>
      <c r="AB233" s="246">
        <f>IFERROR(VLOOKUP(N233,PROGRAMAS[],2,FALSE),0)</f>
        <v>0</v>
      </c>
      <c r="AC233" s="246">
        <f>IFERROR(VLOOKUP(O233,PROGRAMAS[],2,FALSE),0)</f>
        <v>0</v>
      </c>
      <c r="AD233" s="246">
        <f>IFERROR(VLOOKUP(P233,PROGRAMAS[],2,FALSE),0)</f>
        <v>0</v>
      </c>
      <c r="AE233" s="246">
        <f>IFERROR(VLOOKUP(Q233,PROGRAMAS[],2,FALSE),0)</f>
        <v>0</v>
      </c>
      <c r="AF233" s="246">
        <f>IFERROR(VLOOKUP(D233,PROGRAMAS[],3,FALSE),0)</f>
        <v>841888629.31080008</v>
      </c>
      <c r="AG233" s="246">
        <f>IFERROR(VLOOKUP(E233,PROGRAMAS[],3,FALSE),0)</f>
        <v>3848980803.1642323</v>
      </c>
      <c r="AH233" s="246">
        <f>IFERROR(VLOOKUP(F233,PROGRAMAS[],3,FALSE),0)</f>
        <v>3394901471.387517</v>
      </c>
      <c r="AI233" s="246">
        <f>IFERROR(VLOOKUP(G233,PROGRAMAS[],3,FALSE),0)</f>
        <v>125317226.95549992</v>
      </c>
      <c r="AJ233" s="246">
        <f>IFERROR(VLOOKUP(H233,PROGRAMAS[],3,FALSE),0)</f>
        <v>1233505101.0616004</v>
      </c>
      <c r="AK233" s="246">
        <f>IFERROR(VLOOKUP(I233,PROGRAMAS[],3,FALSE),0)</f>
        <v>6129902208.7912121</v>
      </c>
      <c r="AL233" s="246">
        <f>IFERROR(VLOOKUP(J233,PROGRAMAS[],3,FALSE),0)</f>
        <v>7011279577.519702</v>
      </c>
      <c r="AM233" s="246">
        <f>IFERROR(VLOOKUP(K233,PROGRAMAS[],3,FALSE),0)</f>
        <v>0</v>
      </c>
      <c r="AN233" s="246">
        <f>IFERROR(VLOOKUP(L233,PROGRAMAS[],3,FALSE),0)</f>
        <v>0</v>
      </c>
      <c r="AO233" s="246">
        <f>IFERROR(VLOOKUP(M233,PROGRAMAS[],3,FALSE),0)</f>
        <v>0</v>
      </c>
      <c r="AP233" s="246">
        <f>IFERROR(VLOOKUP(N233,PROGRAMAS[],3,FALSE),0)</f>
        <v>0</v>
      </c>
      <c r="AQ233" s="246">
        <f>IFERROR(VLOOKUP(O233,PROGRAMAS[],3,FALSE),0)</f>
        <v>0</v>
      </c>
      <c r="AR233" s="246">
        <f>IFERROR(VLOOKUP(P233,PROGRAMAS[],3,FALSE),0)</f>
        <v>0</v>
      </c>
      <c r="AS233" s="246">
        <f>IFERROR(VLOOKUP(Q233,PROGRAMAS[],3,FALSE),0)</f>
        <v>0</v>
      </c>
      <c r="AT233" s="246">
        <f>IFERROR(VLOOKUP(D233,VOL_REC[],2,FALSE),0)</f>
        <v>0</v>
      </c>
      <c r="AU233" s="246">
        <f>IFERROR(VLOOKUP(E233,VOL_REC[],2,FALSE),0)</f>
        <v>0</v>
      </c>
      <c r="AV233" s="246">
        <f>IFERROR(VLOOKUP(F233,VOL_REC[],2,FALSE),0)</f>
        <v>11089674.200000001</v>
      </c>
      <c r="AW233" s="246">
        <f>IFERROR(VLOOKUP(G233,VOL_REC[],2,FALSE),0)</f>
        <v>90439.55</v>
      </c>
      <c r="AX233" s="246">
        <f>IFERROR(VLOOKUP(H233,VOL_REC[],2,FALSE),0)</f>
        <v>4325103.1812214684</v>
      </c>
      <c r="AY233" s="246">
        <f>IFERROR(VLOOKUP(I233,VOL_REC[],2,FALSE),0)</f>
        <v>15540036.397699751</v>
      </c>
      <c r="AZ233" s="246">
        <f>IFERROR(VLOOKUP(J233,VOL_REC[],2,FALSE),0)</f>
        <v>3761786</v>
      </c>
      <c r="BA233" s="246">
        <f>IFERROR(VLOOKUP(K233,VOL_REC[],2,FALSE),0)</f>
        <v>0</v>
      </c>
      <c r="BB233" s="246">
        <f>IFERROR(VLOOKUP(L233,VOL_REC[],2,FALSE),0)</f>
        <v>0</v>
      </c>
      <c r="BC233" s="246">
        <f>IFERROR(VLOOKUP(M233,VOL_REC[],2,FALSE),0)</f>
        <v>0</v>
      </c>
      <c r="BD233" s="246">
        <f>IFERROR(VLOOKUP(N233,VOL_REC[],2,FALSE),0)</f>
        <v>0</v>
      </c>
      <c r="BE233" s="246">
        <f>IFERROR(VLOOKUP(O233,VOL_REC[],2,FALSE),0)</f>
        <v>0</v>
      </c>
      <c r="BF233" s="246">
        <f>IFERROR(VLOOKUP(P233,VOL_REC[],2,FALSE),0)</f>
        <v>0</v>
      </c>
      <c r="BG233" s="246">
        <f>IFERROR(VLOOKUP(Q233,VOL_REC[],2,FALSE),0)</f>
        <v>0</v>
      </c>
      <c r="BH233" s="1710">
        <f t="shared" si="12"/>
        <v>18344734593.806511</v>
      </c>
      <c r="BI233" s="1710">
        <f t="shared" si="13"/>
        <v>22585775018.190563</v>
      </c>
      <c r="BJ233" s="1711">
        <f t="shared" si="14"/>
        <v>34807039.328921221</v>
      </c>
      <c r="BK233" s="1711">
        <f t="shared" si="15"/>
        <v>0.81222515406408136</v>
      </c>
    </row>
    <row r="234" spans="3:67" x14ac:dyDescent="0.25">
      <c r="C234" s="246" t="s">
        <v>1584</v>
      </c>
      <c r="D234" s="246">
        <v>1</v>
      </c>
      <c r="E234" s="246">
        <v>2</v>
      </c>
      <c r="F234" s="246">
        <v>3</v>
      </c>
      <c r="G234" s="246">
        <v>4</v>
      </c>
      <c r="H234" s="246">
        <v>5</v>
      </c>
      <c r="I234" s="246">
        <v>6</v>
      </c>
      <c r="J234" s="246">
        <v>10</v>
      </c>
      <c r="K234" s="246"/>
      <c r="L234" s="246"/>
      <c r="M234" s="246"/>
      <c r="N234" s="246"/>
      <c r="O234" s="246"/>
      <c r="P234" s="246"/>
      <c r="Q234" s="246"/>
      <c r="R234" s="246">
        <f>IFERROR(VLOOKUP(D234,PROGRAMAS[],2,FALSE),0)</f>
        <v>97037803.679377079</v>
      </c>
      <c r="S234" s="246">
        <f>IFERROR(VLOOKUP(E234,PROGRAMAS[],2,FALSE),0)</f>
        <v>640501509.6821388</v>
      </c>
      <c r="T234" s="246">
        <f>IFERROR(VLOOKUP(F234,PROGRAMAS[],2,FALSE),0)</f>
        <v>3062327798.1525245</v>
      </c>
      <c r="U234" s="246">
        <f>IFERROR(VLOOKUP(G234,PROGRAMAS[],2,FALSE),0)</f>
        <v>67697118.033011258</v>
      </c>
      <c r="V234" s="246">
        <f>IFERROR(VLOOKUP(H234,PROGRAMAS[],2,FALSE),0)</f>
        <v>1440941976.2528784</v>
      </c>
      <c r="W234" s="246">
        <f>IFERROR(VLOOKUP(I234,PROGRAMAS[],2,FALSE),0)</f>
        <v>6907648435.8447599</v>
      </c>
      <c r="X234" s="246">
        <f>IFERROR(VLOOKUP(J234,PROGRAMAS[],2,FALSE),0)</f>
        <v>4635315027.8751087</v>
      </c>
      <c r="Y234" s="246">
        <f>IFERROR(VLOOKUP(K234,PROGRAMAS[],2,FALSE),0)</f>
        <v>0</v>
      </c>
      <c r="Z234" s="246">
        <f>IFERROR(VLOOKUP(L234,PROGRAMAS[],2,FALSE),0)</f>
        <v>0</v>
      </c>
      <c r="AA234" s="246">
        <f>IFERROR(VLOOKUP(M234,PROGRAMAS[],2,FALSE),0)</f>
        <v>0</v>
      </c>
      <c r="AB234" s="246">
        <f>IFERROR(VLOOKUP(N234,PROGRAMAS[],2,FALSE),0)</f>
        <v>0</v>
      </c>
      <c r="AC234" s="246">
        <f>IFERROR(VLOOKUP(O234,PROGRAMAS[],2,FALSE),0)</f>
        <v>0</v>
      </c>
      <c r="AD234" s="246">
        <f>IFERROR(VLOOKUP(P234,PROGRAMAS[],2,FALSE),0)</f>
        <v>0</v>
      </c>
      <c r="AE234" s="246">
        <f>IFERROR(VLOOKUP(Q234,PROGRAMAS[],2,FALSE),0)</f>
        <v>0</v>
      </c>
      <c r="AF234" s="246">
        <f>IFERROR(VLOOKUP(D234,PROGRAMAS[],3,FALSE),0)</f>
        <v>841888629.31080008</v>
      </c>
      <c r="AG234" s="246">
        <f>IFERROR(VLOOKUP(E234,PROGRAMAS[],3,FALSE),0)</f>
        <v>3848980803.1642323</v>
      </c>
      <c r="AH234" s="246">
        <f>IFERROR(VLOOKUP(F234,PROGRAMAS[],3,FALSE),0)</f>
        <v>3394901471.387517</v>
      </c>
      <c r="AI234" s="246">
        <f>IFERROR(VLOOKUP(G234,PROGRAMAS[],3,FALSE),0)</f>
        <v>125317226.95549992</v>
      </c>
      <c r="AJ234" s="246">
        <f>IFERROR(VLOOKUP(H234,PROGRAMAS[],3,FALSE),0)</f>
        <v>1233505101.0616004</v>
      </c>
      <c r="AK234" s="246">
        <f>IFERROR(VLOOKUP(I234,PROGRAMAS[],3,FALSE),0)</f>
        <v>6129902208.7912121</v>
      </c>
      <c r="AL234" s="246">
        <f>IFERROR(VLOOKUP(J234,PROGRAMAS[],3,FALSE),0)</f>
        <v>4099471734.9978786</v>
      </c>
      <c r="AM234" s="246">
        <f>IFERROR(VLOOKUP(K234,PROGRAMAS[],3,FALSE),0)</f>
        <v>0</v>
      </c>
      <c r="AN234" s="246">
        <f>IFERROR(VLOOKUP(L234,PROGRAMAS[],3,FALSE),0)</f>
        <v>0</v>
      </c>
      <c r="AO234" s="246">
        <f>IFERROR(VLOOKUP(M234,PROGRAMAS[],3,FALSE),0)</f>
        <v>0</v>
      </c>
      <c r="AP234" s="246">
        <f>IFERROR(VLOOKUP(N234,PROGRAMAS[],3,FALSE),0)</f>
        <v>0</v>
      </c>
      <c r="AQ234" s="246">
        <f>IFERROR(VLOOKUP(O234,PROGRAMAS[],3,FALSE),0)</f>
        <v>0</v>
      </c>
      <c r="AR234" s="246">
        <f>IFERROR(VLOOKUP(P234,PROGRAMAS[],3,FALSE),0)</f>
        <v>0</v>
      </c>
      <c r="AS234" s="246">
        <f>IFERROR(VLOOKUP(Q234,PROGRAMAS[],3,FALSE),0)</f>
        <v>0</v>
      </c>
      <c r="AT234" s="246">
        <f>IFERROR(VLOOKUP(D234,VOL_REC[],2,FALSE),0)</f>
        <v>0</v>
      </c>
      <c r="AU234" s="246">
        <f>IFERROR(VLOOKUP(E234,VOL_REC[],2,FALSE),0)</f>
        <v>0</v>
      </c>
      <c r="AV234" s="246">
        <f>IFERROR(VLOOKUP(F234,VOL_REC[],2,FALSE),0)</f>
        <v>11089674.200000001</v>
      </c>
      <c r="AW234" s="246">
        <f>IFERROR(VLOOKUP(G234,VOL_REC[],2,FALSE),0)</f>
        <v>90439.55</v>
      </c>
      <c r="AX234" s="246">
        <f>IFERROR(VLOOKUP(H234,VOL_REC[],2,FALSE),0)</f>
        <v>4325103.1812214684</v>
      </c>
      <c r="AY234" s="246">
        <f>IFERROR(VLOOKUP(I234,VOL_REC[],2,FALSE),0)</f>
        <v>15540036.397699751</v>
      </c>
      <c r="AZ234" s="246">
        <f>IFERROR(VLOOKUP(J234,VOL_REC[],2,FALSE),0)</f>
        <v>1812240</v>
      </c>
      <c r="BA234" s="246">
        <f>IFERROR(VLOOKUP(K234,VOL_REC[],2,FALSE),0)</f>
        <v>0</v>
      </c>
      <c r="BB234" s="246">
        <f>IFERROR(VLOOKUP(L234,VOL_REC[],2,FALSE),0)</f>
        <v>0</v>
      </c>
      <c r="BC234" s="246">
        <f>IFERROR(VLOOKUP(M234,VOL_REC[],2,FALSE),0)</f>
        <v>0</v>
      </c>
      <c r="BD234" s="246">
        <f>IFERROR(VLOOKUP(N234,VOL_REC[],2,FALSE),0)</f>
        <v>0</v>
      </c>
      <c r="BE234" s="246">
        <f>IFERROR(VLOOKUP(O234,VOL_REC[],2,FALSE),0)</f>
        <v>0</v>
      </c>
      <c r="BF234" s="246">
        <f>IFERROR(VLOOKUP(P234,VOL_REC[],2,FALSE),0)</f>
        <v>0</v>
      </c>
      <c r="BG234" s="246">
        <f>IFERROR(VLOOKUP(Q234,VOL_REC[],2,FALSE),0)</f>
        <v>0</v>
      </c>
      <c r="BH234" s="1710">
        <f t="shared" si="12"/>
        <v>16851469669.5198</v>
      </c>
      <c r="BI234" s="1710">
        <f t="shared" si="13"/>
        <v>19673967175.668739</v>
      </c>
      <c r="BJ234" s="1711">
        <f t="shared" si="14"/>
        <v>32857493.328921221</v>
      </c>
      <c r="BK234" s="1711">
        <f t="shared" si="15"/>
        <v>0.85653643309725613</v>
      </c>
    </row>
    <row r="235" spans="3:67" x14ac:dyDescent="0.25">
      <c r="C235" s="246" t="s">
        <v>1585</v>
      </c>
      <c r="D235" s="246">
        <v>1</v>
      </c>
      <c r="E235" s="246">
        <v>2</v>
      </c>
      <c r="F235" s="246">
        <v>3</v>
      </c>
      <c r="G235" s="246">
        <v>4</v>
      </c>
      <c r="H235" s="246">
        <v>5</v>
      </c>
      <c r="I235" s="246">
        <v>6</v>
      </c>
      <c r="J235" s="246">
        <v>12</v>
      </c>
      <c r="K235" s="246"/>
      <c r="L235" s="246"/>
      <c r="M235" s="246"/>
      <c r="N235" s="246"/>
      <c r="O235" s="246"/>
      <c r="P235" s="246"/>
      <c r="Q235" s="246"/>
      <c r="R235" s="246">
        <f>IFERROR(VLOOKUP(D235,PROGRAMAS[],2,FALSE),0)</f>
        <v>97037803.679377079</v>
      </c>
      <c r="S235" s="246">
        <f>IFERROR(VLOOKUP(E235,PROGRAMAS[],2,FALSE),0)</f>
        <v>640501509.6821388</v>
      </c>
      <c r="T235" s="246">
        <f>IFERROR(VLOOKUP(F235,PROGRAMAS[],2,FALSE),0)</f>
        <v>3062327798.1525245</v>
      </c>
      <c r="U235" s="246">
        <f>IFERROR(VLOOKUP(G235,PROGRAMAS[],2,FALSE),0)</f>
        <v>67697118.033011258</v>
      </c>
      <c r="V235" s="246">
        <f>IFERROR(VLOOKUP(H235,PROGRAMAS[],2,FALSE),0)</f>
        <v>1440941976.2528784</v>
      </c>
      <c r="W235" s="246">
        <f>IFERROR(VLOOKUP(I235,PROGRAMAS[],2,FALSE),0)</f>
        <v>6907648435.8447599</v>
      </c>
      <c r="X235" s="246">
        <f>IFERROR(VLOOKUP(J235,PROGRAMAS[],2,FALSE),0)</f>
        <v>764796700.79905891</v>
      </c>
      <c r="Y235" s="246">
        <f>IFERROR(VLOOKUP(K235,PROGRAMAS[],2,FALSE),0)</f>
        <v>0</v>
      </c>
      <c r="Z235" s="246">
        <f>IFERROR(VLOOKUP(L235,PROGRAMAS[],2,FALSE),0)</f>
        <v>0</v>
      </c>
      <c r="AA235" s="246">
        <f>IFERROR(VLOOKUP(M235,PROGRAMAS[],2,FALSE),0)</f>
        <v>0</v>
      </c>
      <c r="AB235" s="246">
        <f>IFERROR(VLOOKUP(N235,PROGRAMAS[],2,FALSE),0)</f>
        <v>0</v>
      </c>
      <c r="AC235" s="246">
        <f>IFERROR(VLOOKUP(O235,PROGRAMAS[],2,FALSE),0)</f>
        <v>0</v>
      </c>
      <c r="AD235" s="246">
        <f>IFERROR(VLOOKUP(P235,PROGRAMAS[],2,FALSE),0)</f>
        <v>0</v>
      </c>
      <c r="AE235" s="246">
        <f>IFERROR(VLOOKUP(Q235,PROGRAMAS[],2,FALSE),0)</f>
        <v>0</v>
      </c>
      <c r="AF235" s="246">
        <f>IFERROR(VLOOKUP(D235,PROGRAMAS[],3,FALSE),0)</f>
        <v>841888629.31080008</v>
      </c>
      <c r="AG235" s="246">
        <f>IFERROR(VLOOKUP(E235,PROGRAMAS[],3,FALSE),0)</f>
        <v>3848980803.1642323</v>
      </c>
      <c r="AH235" s="246">
        <f>IFERROR(VLOOKUP(F235,PROGRAMAS[],3,FALSE),0)</f>
        <v>3394901471.387517</v>
      </c>
      <c r="AI235" s="246">
        <f>IFERROR(VLOOKUP(G235,PROGRAMAS[],3,FALSE),0)</f>
        <v>125317226.95549992</v>
      </c>
      <c r="AJ235" s="246">
        <f>IFERROR(VLOOKUP(H235,PROGRAMAS[],3,FALSE),0)</f>
        <v>1233505101.0616004</v>
      </c>
      <c r="AK235" s="246">
        <f>IFERROR(VLOOKUP(I235,PROGRAMAS[],3,FALSE),0)</f>
        <v>6129902208.7912121</v>
      </c>
      <c r="AL235" s="246">
        <f>IFERROR(VLOOKUP(J235,PROGRAMAS[],3,FALSE),0)</f>
        <v>675517840.109828</v>
      </c>
      <c r="AM235" s="246">
        <f>IFERROR(VLOOKUP(K235,PROGRAMAS[],3,FALSE),0)</f>
        <v>0</v>
      </c>
      <c r="AN235" s="246">
        <f>IFERROR(VLOOKUP(L235,PROGRAMAS[],3,FALSE),0)</f>
        <v>0</v>
      </c>
      <c r="AO235" s="246">
        <f>IFERROR(VLOOKUP(M235,PROGRAMAS[],3,FALSE),0)</f>
        <v>0</v>
      </c>
      <c r="AP235" s="246">
        <f>IFERROR(VLOOKUP(N235,PROGRAMAS[],3,FALSE),0)</f>
        <v>0</v>
      </c>
      <c r="AQ235" s="246">
        <f>IFERROR(VLOOKUP(O235,PROGRAMAS[],3,FALSE),0)</f>
        <v>0</v>
      </c>
      <c r="AR235" s="246">
        <f>IFERROR(VLOOKUP(P235,PROGRAMAS[],3,FALSE),0)</f>
        <v>0</v>
      </c>
      <c r="AS235" s="246">
        <f>IFERROR(VLOOKUP(Q235,PROGRAMAS[],3,FALSE),0)</f>
        <v>0</v>
      </c>
      <c r="AT235" s="246">
        <f>IFERROR(VLOOKUP(D235,VOL_REC[],2,FALSE),0)</f>
        <v>0</v>
      </c>
      <c r="AU235" s="246">
        <f>IFERROR(VLOOKUP(E235,VOL_REC[],2,FALSE),0)</f>
        <v>0</v>
      </c>
      <c r="AV235" s="246">
        <f>IFERROR(VLOOKUP(F235,VOL_REC[],2,FALSE),0)</f>
        <v>11089674.200000001</v>
      </c>
      <c r="AW235" s="246">
        <f>IFERROR(VLOOKUP(G235,VOL_REC[],2,FALSE),0)</f>
        <v>90439.55</v>
      </c>
      <c r="AX235" s="246">
        <f>IFERROR(VLOOKUP(H235,VOL_REC[],2,FALSE),0)</f>
        <v>4325103.1812214684</v>
      </c>
      <c r="AY235" s="246">
        <f>IFERROR(VLOOKUP(I235,VOL_REC[],2,FALSE),0)</f>
        <v>15540036.397699751</v>
      </c>
      <c r="AZ235" s="246">
        <f>IFERROR(VLOOKUP(J235,VOL_REC[],2,FALSE),0)</f>
        <v>240696.79238099116</v>
      </c>
      <c r="BA235" s="246">
        <f>IFERROR(VLOOKUP(K235,VOL_REC[],2,FALSE),0)</f>
        <v>0</v>
      </c>
      <c r="BB235" s="246">
        <f>IFERROR(VLOOKUP(L235,VOL_REC[],2,FALSE),0)</f>
        <v>0</v>
      </c>
      <c r="BC235" s="246">
        <f>IFERROR(VLOOKUP(M235,VOL_REC[],2,FALSE),0)</f>
        <v>0</v>
      </c>
      <c r="BD235" s="246">
        <f>IFERROR(VLOOKUP(N235,VOL_REC[],2,FALSE),0)</f>
        <v>0</v>
      </c>
      <c r="BE235" s="246">
        <f>IFERROR(VLOOKUP(O235,VOL_REC[],2,FALSE),0)</f>
        <v>0</v>
      </c>
      <c r="BF235" s="246">
        <f>IFERROR(VLOOKUP(P235,VOL_REC[],2,FALSE),0)</f>
        <v>0</v>
      </c>
      <c r="BG235" s="246">
        <f>IFERROR(VLOOKUP(Q235,VOL_REC[],2,FALSE),0)</f>
        <v>0</v>
      </c>
      <c r="BH235" s="1710">
        <f t="shared" si="12"/>
        <v>12980951342.44375</v>
      </c>
      <c r="BI235" s="1710">
        <f t="shared" si="13"/>
        <v>16250013280.780689</v>
      </c>
      <c r="BJ235" s="1711">
        <f t="shared" si="14"/>
        <v>31285950.121302214</v>
      </c>
      <c r="BK235" s="1711">
        <f t="shared" si="15"/>
        <v>0.7988271220551344</v>
      </c>
    </row>
    <row r="236" spans="3:67" x14ac:dyDescent="0.25">
      <c r="C236" s="246" t="s">
        <v>1586</v>
      </c>
      <c r="D236" s="246">
        <v>1</v>
      </c>
      <c r="E236" s="246">
        <v>2</v>
      </c>
      <c r="F236" s="246">
        <v>3</v>
      </c>
      <c r="G236" s="246">
        <v>4</v>
      </c>
      <c r="H236" s="246">
        <v>5</v>
      </c>
      <c r="I236" s="246">
        <v>6</v>
      </c>
      <c r="J236" s="246">
        <v>13</v>
      </c>
      <c r="K236" s="246"/>
      <c r="L236" s="246"/>
      <c r="M236" s="246"/>
      <c r="N236" s="246"/>
      <c r="O236" s="246"/>
      <c r="P236" s="246"/>
      <c r="Q236" s="246"/>
      <c r="R236" s="246">
        <f>IFERROR(VLOOKUP(D236,PROGRAMAS[],2,FALSE),0)</f>
        <v>97037803.679377079</v>
      </c>
      <c r="S236" s="246">
        <f>IFERROR(VLOOKUP(E236,PROGRAMAS[],2,FALSE),0)</f>
        <v>640501509.6821388</v>
      </c>
      <c r="T236" s="246">
        <f>IFERROR(VLOOKUP(F236,PROGRAMAS[],2,FALSE),0)</f>
        <v>3062327798.1525245</v>
      </c>
      <c r="U236" s="246">
        <f>IFERROR(VLOOKUP(G236,PROGRAMAS[],2,FALSE),0)</f>
        <v>67697118.033011258</v>
      </c>
      <c r="V236" s="246">
        <f>IFERROR(VLOOKUP(H236,PROGRAMAS[],2,FALSE),0)</f>
        <v>1440941976.2528784</v>
      </c>
      <c r="W236" s="246">
        <f>IFERROR(VLOOKUP(I236,PROGRAMAS[],2,FALSE),0)</f>
        <v>6907648435.8447599</v>
      </c>
      <c r="X236" s="246">
        <f>IFERROR(VLOOKUP(J236,PROGRAMAS[],2,FALSE),0)</f>
        <v>3776538594.4604583</v>
      </c>
      <c r="Y236" s="246">
        <f>IFERROR(VLOOKUP(K236,PROGRAMAS[],2,FALSE),0)</f>
        <v>0</v>
      </c>
      <c r="Z236" s="246">
        <f>IFERROR(VLOOKUP(L236,PROGRAMAS[],2,FALSE),0)</f>
        <v>0</v>
      </c>
      <c r="AA236" s="246">
        <f>IFERROR(VLOOKUP(M236,PROGRAMAS[],2,FALSE),0)</f>
        <v>0</v>
      </c>
      <c r="AB236" s="246">
        <f>IFERROR(VLOOKUP(N236,PROGRAMAS[],2,FALSE),0)</f>
        <v>0</v>
      </c>
      <c r="AC236" s="246">
        <f>IFERROR(VLOOKUP(O236,PROGRAMAS[],2,FALSE),0)</f>
        <v>0</v>
      </c>
      <c r="AD236" s="246">
        <f>IFERROR(VLOOKUP(P236,PROGRAMAS[],2,FALSE),0)</f>
        <v>0</v>
      </c>
      <c r="AE236" s="246">
        <f>IFERROR(VLOOKUP(Q236,PROGRAMAS[],2,FALSE),0)</f>
        <v>0</v>
      </c>
      <c r="AF236" s="246">
        <f>IFERROR(VLOOKUP(D236,PROGRAMAS[],3,FALSE),0)</f>
        <v>841888629.31080008</v>
      </c>
      <c r="AG236" s="246">
        <f>IFERROR(VLOOKUP(E236,PROGRAMAS[],3,FALSE),0)</f>
        <v>3848980803.1642323</v>
      </c>
      <c r="AH236" s="246">
        <f>IFERROR(VLOOKUP(F236,PROGRAMAS[],3,FALSE),0)</f>
        <v>3394901471.387517</v>
      </c>
      <c r="AI236" s="246">
        <f>IFERROR(VLOOKUP(G236,PROGRAMAS[],3,FALSE),0)</f>
        <v>125317226.95549992</v>
      </c>
      <c r="AJ236" s="246">
        <f>IFERROR(VLOOKUP(H236,PROGRAMAS[],3,FALSE),0)</f>
        <v>1233505101.0616004</v>
      </c>
      <c r="AK236" s="246">
        <f>IFERROR(VLOOKUP(I236,PROGRAMAS[],3,FALSE),0)</f>
        <v>6129902208.7912121</v>
      </c>
      <c r="AL236" s="246">
        <f>IFERROR(VLOOKUP(J236,PROGRAMAS[],3,FALSE),0)</f>
        <v>2392571243.5584412</v>
      </c>
      <c r="AM236" s="246">
        <f>IFERROR(VLOOKUP(K236,PROGRAMAS[],3,FALSE),0)</f>
        <v>0</v>
      </c>
      <c r="AN236" s="246">
        <f>IFERROR(VLOOKUP(L236,PROGRAMAS[],3,FALSE),0)</f>
        <v>0</v>
      </c>
      <c r="AO236" s="246">
        <f>IFERROR(VLOOKUP(M236,PROGRAMAS[],3,FALSE),0)</f>
        <v>0</v>
      </c>
      <c r="AP236" s="246">
        <f>IFERROR(VLOOKUP(N236,PROGRAMAS[],3,FALSE),0)</f>
        <v>0</v>
      </c>
      <c r="AQ236" s="246">
        <f>IFERROR(VLOOKUP(O236,PROGRAMAS[],3,FALSE),0)</f>
        <v>0</v>
      </c>
      <c r="AR236" s="246">
        <f>IFERROR(VLOOKUP(P236,PROGRAMAS[],3,FALSE),0)</f>
        <v>0</v>
      </c>
      <c r="AS236" s="246">
        <f>IFERROR(VLOOKUP(Q236,PROGRAMAS[],3,FALSE),0)</f>
        <v>0</v>
      </c>
      <c r="AT236" s="246">
        <f>IFERROR(VLOOKUP(D236,VOL_REC[],2,FALSE),0)</f>
        <v>0</v>
      </c>
      <c r="AU236" s="246">
        <f>IFERROR(VLOOKUP(E236,VOL_REC[],2,FALSE),0)</f>
        <v>0</v>
      </c>
      <c r="AV236" s="246">
        <f>IFERROR(VLOOKUP(F236,VOL_REC[],2,FALSE),0)</f>
        <v>11089674.200000001</v>
      </c>
      <c r="AW236" s="246">
        <f>IFERROR(VLOOKUP(G236,VOL_REC[],2,FALSE),0)</f>
        <v>90439.55</v>
      </c>
      <c r="AX236" s="246">
        <f>IFERROR(VLOOKUP(H236,VOL_REC[],2,FALSE),0)</f>
        <v>4325103.1812214684</v>
      </c>
      <c r="AY236" s="246">
        <f>IFERROR(VLOOKUP(I236,VOL_REC[],2,FALSE),0)</f>
        <v>15540036.397699751</v>
      </c>
      <c r="AZ236" s="246">
        <f>IFERROR(VLOOKUP(J236,VOL_REC[],2,FALSE),0)</f>
        <v>663244.80000000016</v>
      </c>
      <c r="BA236" s="246">
        <f>IFERROR(VLOOKUP(K236,VOL_REC[],2,FALSE),0)</f>
        <v>0</v>
      </c>
      <c r="BB236" s="246">
        <f>IFERROR(VLOOKUP(L236,VOL_REC[],2,FALSE),0)</f>
        <v>0</v>
      </c>
      <c r="BC236" s="246">
        <f>IFERROR(VLOOKUP(M236,VOL_REC[],2,FALSE),0)</f>
        <v>0</v>
      </c>
      <c r="BD236" s="246">
        <f>IFERROR(VLOOKUP(N236,VOL_REC[],2,FALSE),0)</f>
        <v>0</v>
      </c>
      <c r="BE236" s="246">
        <f>IFERROR(VLOOKUP(O236,VOL_REC[],2,FALSE),0)</f>
        <v>0</v>
      </c>
      <c r="BF236" s="246">
        <f>IFERROR(VLOOKUP(P236,VOL_REC[],2,FALSE),0)</f>
        <v>0</v>
      </c>
      <c r="BG236" s="246">
        <f>IFERROR(VLOOKUP(Q236,VOL_REC[],2,FALSE),0)</f>
        <v>0</v>
      </c>
      <c r="BH236" s="1710">
        <f t="shared" si="12"/>
        <v>15992693236.10515</v>
      </c>
      <c r="BI236" s="1710">
        <f t="shared" si="13"/>
        <v>17967066684.229301</v>
      </c>
      <c r="BJ236" s="1711">
        <f t="shared" si="14"/>
        <v>31708498.128921222</v>
      </c>
      <c r="BK236" s="1711">
        <f t="shared" si="15"/>
        <v>0.89011153112393304</v>
      </c>
    </row>
    <row r="237" spans="3:67" x14ac:dyDescent="0.25">
      <c r="C237" s="246" t="s">
        <v>1587</v>
      </c>
      <c r="D237" s="246">
        <v>1</v>
      </c>
      <c r="E237" s="246">
        <v>2</v>
      </c>
      <c r="F237" s="246">
        <v>3</v>
      </c>
      <c r="G237" s="246">
        <v>4</v>
      </c>
      <c r="H237" s="246">
        <v>5</v>
      </c>
      <c r="I237" s="246">
        <v>6</v>
      </c>
      <c r="J237" s="246">
        <v>14</v>
      </c>
      <c r="K237" s="246"/>
      <c r="L237" s="246"/>
      <c r="M237" s="246"/>
      <c r="N237" s="246"/>
      <c r="O237" s="246"/>
      <c r="P237" s="246"/>
      <c r="Q237" s="246"/>
      <c r="R237" s="246">
        <f>IFERROR(VLOOKUP(D237,PROGRAMAS[],2,FALSE),0)</f>
        <v>97037803.679377079</v>
      </c>
      <c r="S237" s="246">
        <f>IFERROR(VLOOKUP(E237,PROGRAMAS[],2,FALSE),0)</f>
        <v>640501509.6821388</v>
      </c>
      <c r="T237" s="246">
        <f>IFERROR(VLOOKUP(F237,PROGRAMAS[],2,FALSE),0)</f>
        <v>3062327798.1525245</v>
      </c>
      <c r="U237" s="246">
        <f>IFERROR(VLOOKUP(G237,PROGRAMAS[],2,FALSE),0)</f>
        <v>67697118.033011258</v>
      </c>
      <c r="V237" s="246">
        <f>IFERROR(VLOOKUP(H237,PROGRAMAS[],2,FALSE),0)</f>
        <v>1440941976.2528784</v>
      </c>
      <c r="W237" s="246">
        <f>IFERROR(VLOOKUP(I237,PROGRAMAS[],2,FALSE),0)</f>
        <v>6907648435.8447599</v>
      </c>
      <c r="X237" s="246">
        <f>IFERROR(VLOOKUP(J237,PROGRAMAS[],2,FALSE),0)</f>
        <v>54223862.645839565</v>
      </c>
      <c r="Y237" s="246">
        <f>IFERROR(VLOOKUP(K237,PROGRAMAS[],2,FALSE),0)</f>
        <v>0</v>
      </c>
      <c r="Z237" s="246">
        <f>IFERROR(VLOOKUP(L237,PROGRAMAS[],2,FALSE),0)</f>
        <v>0</v>
      </c>
      <c r="AA237" s="246">
        <f>IFERROR(VLOOKUP(M237,PROGRAMAS[],2,FALSE),0)</f>
        <v>0</v>
      </c>
      <c r="AB237" s="246">
        <f>IFERROR(VLOOKUP(N237,PROGRAMAS[],2,FALSE),0)</f>
        <v>0</v>
      </c>
      <c r="AC237" s="246">
        <f>IFERROR(VLOOKUP(O237,PROGRAMAS[],2,FALSE),0)</f>
        <v>0</v>
      </c>
      <c r="AD237" s="246">
        <f>IFERROR(VLOOKUP(P237,PROGRAMAS[],2,FALSE),0)</f>
        <v>0</v>
      </c>
      <c r="AE237" s="246">
        <f>IFERROR(VLOOKUP(Q237,PROGRAMAS[],2,FALSE),0)</f>
        <v>0</v>
      </c>
      <c r="AF237" s="246">
        <f>IFERROR(VLOOKUP(D237,PROGRAMAS[],3,FALSE),0)</f>
        <v>841888629.31080008</v>
      </c>
      <c r="AG237" s="246">
        <f>IFERROR(VLOOKUP(E237,PROGRAMAS[],3,FALSE),0)</f>
        <v>3848980803.1642323</v>
      </c>
      <c r="AH237" s="246">
        <f>IFERROR(VLOOKUP(F237,PROGRAMAS[],3,FALSE),0)</f>
        <v>3394901471.387517</v>
      </c>
      <c r="AI237" s="246">
        <f>IFERROR(VLOOKUP(G237,PROGRAMAS[],3,FALSE),0)</f>
        <v>125317226.95549992</v>
      </c>
      <c r="AJ237" s="246">
        <f>IFERROR(VLOOKUP(H237,PROGRAMAS[],3,FALSE),0)</f>
        <v>1233505101.0616004</v>
      </c>
      <c r="AK237" s="246">
        <f>IFERROR(VLOOKUP(I237,PROGRAMAS[],3,FALSE),0)</f>
        <v>6129902208.7912121</v>
      </c>
      <c r="AL237" s="246">
        <f>IFERROR(VLOOKUP(J237,PROGRAMAS[],3,FALSE),0)</f>
        <v>31865326.38096505</v>
      </c>
      <c r="AM237" s="246">
        <f>IFERROR(VLOOKUP(K237,PROGRAMAS[],3,FALSE),0)</f>
        <v>0</v>
      </c>
      <c r="AN237" s="246">
        <f>IFERROR(VLOOKUP(L237,PROGRAMAS[],3,FALSE),0)</f>
        <v>0</v>
      </c>
      <c r="AO237" s="246">
        <f>IFERROR(VLOOKUP(M237,PROGRAMAS[],3,FALSE),0)</f>
        <v>0</v>
      </c>
      <c r="AP237" s="246">
        <f>IFERROR(VLOOKUP(N237,PROGRAMAS[],3,FALSE),0)</f>
        <v>0</v>
      </c>
      <c r="AQ237" s="246">
        <f>IFERROR(VLOOKUP(O237,PROGRAMAS[],3,FALSE),0)</f>
        <v>0</v>
      </c>
      <c r="AR237" s="246">
        <f>IFERROR(VLOOKUP(P237,PROGRAMAS[],3,FALSE),0)</f>
        <v>0</v>
      </c>
      <c r="AS237" s="246">
        <f>IFERROR(VLOOKUP(Q237,PROGRAMAS[],3,FALSE),0)</f>
        <v>0</v>
      </c>
      <c r="AT237" s="246">
        <f>IFERROR(VLOOKUP(D237,VOL_REC[],2,FALSE),0)</f>
        <v>0</v>
      </c>
      <c r="AU237" s="246">
        <f>IFERROR(VLOOKUP(E237,VOL_REC[],2,FALSE),0)</f>
        <v>0</v>
      </c>
      <c r="AV237" s="246">
        <f>IFERROR(VLOOKUP(F237,VOL_REC[],2,FALSE),0)</f>
        <v>11089674.200000001</v>
      </c>
      <c r="AW237" s="246">
        <f>IFERROR(VLOOKUP(G237,VOL_REC[],2,FALSE),0)</f>
        <v>90439.55</v>
      </c>
      <c r="AX237" s="246">
        <f>IFERROR(VLOOKUP(H237,VOL_REC[],2,FALSE),0)</f>
        <v>4325103.1812214684</v>
      </c>
      <c r="AY237" s="246">
        <f>IFERROR(VLOOKUP(I237,VOL_REC[],2,FALSE),0)</f>
        <v>15540036.397699751</v>
      </c>
      <c r="AZ237" s="246">
        <f>IFERROR(VLOOKUP(J237,VOL_REC[],2,FALSE),0)</f>
        <v>17074.045034105649</v>
      </c>
      <c r="BA237" s="246">
        <f>IFERROR(VLOOKUP(K237,VOL_REC[],2,FALSE),0)</f>
        <v>0</v>
      </c>
      <c r="BB237" s="246">
        <f>IFERROR(VLOOKUP(L237,VOL_REC[],2,FALSE),0)</f>
        <v>0</v>
      </c>
      <c r="BC237" s="246">
        <f>IFERROR(VLOOKUP(M237,VOL_REC[],2,FALSE),0)</f>
        <v>0</v>
      </c>
      <c r="BD237" s="246">
        <f>IFERROR(VLOOKUP(N237,VOL_REC[],2,FALSE),0)</f>
        <v>0</v>
      </c>
      <c r="BE237" s="246">
        <f>IFERROR(VLOOKUP(O237,VOL_REC[],2,FALSE),0)</f>
        <v>0</v>
      </c>
      <c r="BF237" s="246">
        <f>IFERROR(VLOOKUP(P237,VOL_REC[],2,FALSE),0)</f>
        <v>0</v>
      </c>
      <c r="BG237" s="246">
        <f>IFERROR(VLOOKUP(Q237,VOL_REC[],2,FALSE),0)</f>
        <v>0</v>
      </c>
      <c r="BH237" s="1710">
        <f t="shared" si="12"/>
        <v>12270378504.290531</v>
      </c>
      <c r="BI237" s="1710">
        <f t="shared" si="13"/>
        <v>15606360767.051826</v>
      </c>
      <c r="BJ237" s="1711">
        <f t="shared" si="14"/>
        <v>31062327.373955328</v>
      </c>
      <c r="BK237" s="1711">
        <f t="shared" si="15"/>
        <v>0.78624214110158042</v>
      </c>
    </row>
    <row r="238" spans="3:67" x14ac:dyDescent="0.25">
      <c r="C238" s="246" t="s">
        <v>1588</v>
      </c>
      <c r="D238" s="246">
        <v>1</v>
      </c>
      <c r="E238" s="246">
        <v>2</v>
      </c>
      <c r="F238" s="246">
        <v>3</v>
      </c>
      <c r="G238" s="246">
        <v>4</v>
      </c>
      <c r="H238" s="246">
        <v>5</v>
      </c>
      <c r="I238" s="246">
        <v>6</v>
      </c>
      <c r="J238" s="246">
        <v>15</v>
      </c>
      <c r="K238" s="246"/>
      <c r="L238" s="246"/>
      <c r="M238" s="246"/>
      <c r="N238" s="246"/>
      <c r="O238" s="246"/>
      <c r="P238" s="246"/>
      <c r="Q238" s="246"/>
      <c r="R238" s="246">
        <f>IFERROR(VLOOKUP(D238,PROGRAMAS[],2,FALSE),0)</f>
        <v>97037803.679377079</v>
      </c>
      <c r="S238" s="246">
        <f>IFERROR(VLOOKUP(E238,PROGRAMAS[],2,FALSE),0)</f>
        <v>640501509.6821388</v>
      </c>
      <c r="T238" s="246">
        <f>IFERROR(VLOOKUP(F238,PROGRAMAS[],2,FALSE),0)</f>
        <v>3062327798.1525245</v>
      </c>
      <c r="U238" s="246">
        <f>IFERROR(VLOOKUP(G238,PROGRAMAS[],2,FALSE),0)</f>
        <v>67697118.033011258</v>
      </c>
      <c r="V238" s="246">
        <f>IFERROR(VLOOKUP(H238,PROGRAMAS[],2,FALSE),0)</f>
        <v>1440941976.2528784</v>
      </c>
      <c r="W238" s="246">
        <f>IFERROR(VLOOKUP(I238,PROGRAMAS[],2,FALSE),0)</f>
        <v>6907648435.8447599</v>
      </c>
      <c r="X238" s="246">
        <f>IFERROR(VLOOKUP(J238,PROGRAMAS[],2,FALSE),0)</f>
        <v>122159672.96346797</v>
      </c>
      <c r="Y238" s="246">
        <f>IFERROR(VLOOKUP(K238,PROGRAMAS[],2,FALSE),0)</f>
        <v>0</v>
      </c>
      <c r="Z238" s="246">
        <f>IFERROR(VLOOKUP(L238,PROGRAMAS[],2,FALSE),0)</f>
        <v>0</v>
      </c>
      <c r="AA238" s="246">
        <f>IFERROR(VLOOKUP(M238,PROGRAMAS[],2,FALSE),0)</f>
        <v>0</v>
      </c>
      <c r="AB238" s="246">
        <f>IFERROR(VLOOKUP(N238,PROGRAMAS[],2,FALSE),0)</f>
        <v>0</v>
      </c>
      <c r="AC238" s="246">
        <f>IFERROR(VLOOKUP(O238,PROGRAMAS[],2,FALSE),0)</f>
        <v>0</v>
      </c>
      <c r="AD238" s="246">
        <f>IFERROR(VLOOKUP(P238,PROGRAMAS[],2,FALSE),0)</f>
        <v>0</v>
      </c>
      <c r="AE238" s="246">
        <f>IFERROR(VLOOKUP(Q238,PROGRAMAS[],2,FALSE),0)</f>
        <v>0</v>
      </c>
      <c r="AF238" s="246">
        <f>IFERROR(VLOOKUP(D238,PROGRAMAS[],3,FALSE),0)</f>
        <v>841888629.31080008</v>
      </c>
      <c r="AG238" s="246">
        <f>IFERROR(VLOOKUP(E238,PROGRAMAS[],3,FALSE),0)</f>
        <v>3848980803.1642323</v>
      </c>
      <c r="AH238" s="246">
        <f>IFERROR(VLOOKUP(F238,PROGRAMAS[],3,FALSE),0)</f>
        <v>3394901471.387517</v>
      </c>
      <c r="AI238" s="246">
        <f>IFERROR(VLOOKUP(G238,PROGRAMAS[],3,FALSE),0)</f>
        <v>125317226.95549992</v>
      </c>
      <c r="AJ238" s="246">
        <f>IFERROR(VLOOKUP(H238,PROGRAMAS[],3,FALSE),0)</f>
        <v>1233505101.0616004</v>
      </c>
      <c r="AK238" s="246">
        <f>IFERROR(VLOOKUP(I238,PROGRAMAS[],3,FALSE),0)</f>
        <v>6129902208.7912121</v>
      </c>
      <c r="AL238" s="246">
        <f>IFERROR(VLOOKUP(J238,PROGRAMAS[],3,FALSE),0)</f>
        <v>118617452.52510804</v>
      </c>
      <c r="AM238" s="246">
        <f>IFERROR(VLOOKUP(K238,PROGRAMAS[],3,FALSE),0)</f>
        <v>0</v>
      </c>
      <c r="AN238" s="246">
        <f>IFERROR(VLOOKUP(L238,PROGRAMAS[],3,FALSE),0)</f>
        <v>0</v>
      </c>
      <c r="AO238" s="246">
        <f>IFERROR(VLOOKUP(M238,PROGRAMAS[],3,FALSE),0)</f>
        <v>0</v>
      </c>
      <c r="AP238" s="246">
        <f>IFERROR(VLOOKUP(N238,PROGRAMAS[],3,FALSE),0)</f>
        <v>0</v>
      </c>
      <c r="AQ238" s="246">
        <f>IFERROR(VLOOKUP(O238,PROGRAMAS[],3,FALSE),0)</f>
        <v>0</v>
      </c>
      <c r="AR238" s="246">
        <f>IFERROR(VLOOKUP(P238,PROGRAMAS[],3,FALSE),0)</f>
        <v>0</v>
      </c>
      <c r="AS238" s="246">
        <f>IFERROR(VLOOKUP(Q238,PROGRAMAS[],3,FALSE),0)</f>
        <v>0</v>
      </c>
      <c r="AT238" s="246">
        <f>IFERROR(VLOOKUP(D238,VOL_REC[],2,FALSE),0)</f>
        <v>0</v>
      </c>
      <c r="AU238" s="246">
        <f>IFERROR(VLOOKUP(E238,VOL_REC[],2,FALSE),0)</f>
        <v>0</v>
      </c>
      <c r="AV238" s="246">
        <f>IFERROR(VLOOKUP(F238,VOL_REC[],2,FALSE),0)</f>
        <v>11089674.200000001</v>
      </c>
      <c r="AW238" s="246">
        <f>IFERROR(VLOOKUP(G238,VOL_REC[],2,FALSE),0)</f>
        <v>90439.55</v>
      </c>
      <c r="AX238" s="246">
        <f>IFERROR(VLOOKUP(H238,VOL_REC[],2,FALSE),0)</f>
        <v>4325103.1812214684</v>
      </c>
      <c r="AY238" s="246">
        <f>IFERROR(VLOOKUP(I238,VOL_REC[],2,FALSE),0)</f>
        <v>15540036.397699751</v>
      </c>
      <c r="AZ238" s="246">
        <f>IFERROR(VLOOKUP(J238,VOL_REC[],2,FALSE),0)</f>
        <v>105072</v>
      </c>
      <c r="BA238" s="246">
        <f>IFERROR(VLOOKUP(K238,VOL_REC[],2,FALSE),0)</f>
        <v>0</v>
      </c>
      <c r="BB238" s="246">
        <f>IFERROR(VLOOKUP(L238,VOL_REC[],2,FALSE),0)</f>
        <v>0</v>
      </c>
      <c r="BC238" s="246">
        <f>IFERROR(VLOOKUP(M238,VOL_REC[],2,FALSE),0)</f>
        <v>0</v>
      </c>
      <c r="BD238" s="246">
        <f>IFERROR(VLOOKUP(N238,VOL_REC[],2,FALSE),0)</f>
        <v>0</v>
      </c>
      <c r="BE238" s="246">
        <f>IFERROR(VLOOKUP(O238,VOL_REC[],2,FALSE),0)</f>
        <v>0</v>
      </c>
      <c r="BF238" s="246">
        <f>IFERROR(VLOOKUP(P238,VOL_REC[],2,FALSE),0)</f>
        <v>0</v>
      </c>
      <c r="BG238" s="246">
        <f>IFERROR(VLOOKUP(Q238,VOL_REC[],2,FALSE),0)</f>
        <v>0</v>
      </c>
      <c r="BH238" s="1710">
        <f t="shared" si="12"/>
        <v>12338314314.60816</v>
      </c>
      <c r="BI238" s="1710">
        <f t="shared" si="13"/>
        <v>15693112893.195971</v>
      </c>
      <c r="BJ238" s="1711">
        <f t="shared" si="14"/>
        <v>31150325.328921221</v>
      </c>
      <c r="BK238" s="1711">
        <f t="shared" si="15"/>
        <v>0.78622478526600392</v>
      </c>
    </row>
    <row r="239" spans="3:67" x14ac:dyDescent="0.25">
      <c r="C239" s="246" t="s">
        <v>1589</v>
      </c>
      <c r="D239" s="246">
        <v>1</v>
      </c>
      <c r="E239" s="246">
        <v>2</v>
      </c>
      <c r="F239" s="246">
        <v>3</v>
      </c>
      <c r="G239" s="246">
        <v>4</v>
      </c>
      <c r="H239" s="246">
        <v>5</v>
      </c>
      <c r="I239" s="246">
        <v>6</v>
      </c>
      <c r="J239" s="246">
        <v>16</v>
      </c>
      <c r="K239" s="246"/>
      <c r="L239" s="246"/>
      <c r="M239" s="246"/>
      <c r="N239" s="246"/>
      <c r="O239" s="246"/>
      <c r="P239" s="246"/>
      <c r="Q239" s="246"/>
      <c r="R239" s="246">
        <f>IFERROR(VLOOKUP(D239,PROGRAMAS[],2,FALSE),0)</f>
        <v>97037803.679377079</v>
      </c>
      <c r="S239" s="246">
        <f>IFERROR(VLOOKUP(E239,PROGRAMAS[],2,FALSE),0)</f>
        <v>640501509.6821388</v>
      </c>
      <c r="T239" s="246">
        <f>IFERROR(VLOOKUP(F239,PROGRAMAS[],2,FALSE),0)</f>
        <v>3062327798.1525245</v>
      </c>
      <c r="U239" s="246">
        <f>IFERROR(VLOOKUP(G239,PROGRAMAS[],2,FALSE),0)</f>
        <v>67697118.033011258</v>
      </c>
      <c r="V239" s="246">
        <f>IFERROR(VLOOKUP(H239,PROGRAMAS[],2,FALSE),0)</f>
        <v>1440941976.2528784</v>
      </c>
      <c r="W239" s="246">
        <f>IFERROR(VLOOKUP(I239,PROGRAMAS[],2,FALSE),0)</f>
        <v>6907648435.8447599</v>
      </c>
      <c r="X239" s="246">
        <f>IFERROR(VLOOKUP(J239,PROGRAMAS[],2,FALSE),0)</f>
        <v>7068496961.0436354</v>
      </c>
      <c r="Y239" s="246">
        <f>IFERROR(VLOOKUP(K239,PROGRAMAS[],2,FALSE),0)</f>
        <v>0</v>
      </c>
      <c r="Z239" s="246">
        <f>IFERROR(VLOOKUP(L239,PROGRAMAS[],2,FALSE),0)</f>
        <v>0</v>
      </c>
      <c r="AA239" s="246">
        <f>IFERROR(VLOOKUP(M239,PROGRAMAS[],2,FALSE),0)</f>
        <v>0</v>
      </c>
      <c r="AB239" s="246">
        <f>IFERROR(VLOOKUP(N239,PROGRAMAS[],2,FALSE),0)</f>
        <v>0</v>
      </c>
      <c r="AC239" s="246">
        <f>IFERROR(VLOOKUP(O239,PROGRAMAS[],2,FALSE),0)</f>
        <v>0</v>
      </c>
      <c r="AD239" s="246">
        <f>IFERROR(VLOOKUP(P239,PROGRAMAS[],2,FALSE),0)</f>
        <v>0</v>
      </c>
      <c r="AE239" s="246">
        <f>IFERROR(VLOOKUP(Q239,PROGRAMAS[],2,FALSE),0)</f>
        <v>0</v>
      </c>
      <c r="AF239" s="246">
        <f>IFERROR(VLOOKUP(D239,PROGRAMAS[],3,FALSE),0)</f>
        <v>841888629.31080008</v>
      </c>
      <c r="AG239" s="246">
        <f>IFERROR(VLOOKUP(E239,PROGRAMAS[],3,FALSE),0)</f>
        <v>3848980803.1642323</v>
      </c>
      <c r="AH239" s="246">
        <f>IFERROR(VLOOKUP(F239,PROGRAMAS[],3,FALSE),0)</f>
        <v>3394901471.387517</v>
      </c>
      <c r="AI239" s="246">
        <f>IFERROR(VLOOKUP(G239,PROGRAMAS[],3,FALSE),0)</f>
        <v>125317226.95549992</v>
      </c>
      <c r="AJ239" s="246">
        <f>IFERROR(VLOOKUP(H239,PROGRAMAS[],3,FALSE),0)</f>
        <v>1233505101.0616004</v>
      </c>
      <c r="AK239" s="246">
        <f>IFERROR(VLOOKUP(I239,PROGRAMAS[],3,FALSE),0)</f>
        <v>6129902208.7912121</v>
      </c>
      <c r="AL239" s="246">
        <f>IFERROR(VLOOKUP(J239,PROGRAMAS[],3,FALSE),0)</f>
        <v>2406564599.0319901</v>
      </c>
      <c r="AM239" s="246">
        <f>IFERROR(VLOOKUP(K239,PROGRAMAS[],3,FALSE),0)</f>
        <v>0</v>
      </c>
      <c r="AN239" s="246">
        <f>IFERROR(VLOOKUP(L239,PROGRAMAS[],3,FALSE),0)</f>
        <v>0</v>
      </c>
      <c r="AO239" s="246">
        <f>IFERROR(VLOOKUP(M239,PROGRAMAS[],3,FALSE),0)</f>
        <v>0</v>
      </c>
      <c r="AP239" s="246">
        <f>IFERROR(VLOOKUP(N239,PROGRAMAS[],3,FALSE),0)</f>
        <v>0</v>
      </c>
      <c r="AQ239" s="246">
        <f>IFERROR(VLOOKUP(O239,PROGRAMAS[],3,FALSE),0)</f>
        <v>0</v>
      </c>
      <c r="AR239" s="246">
        <f>IFERROR(VLOOKUP(P239,PROGRAMAS[],3,FALSE),0)</f>
        <v>0</v>
      </c>
      <c r="AS239" s="246">
        <f>IFERROR(VLOOKUP(Q239,PROGRAMAS[],3,FALSE),0)</f>
        <v>0</v>
      </c>
      <c r="AT239" s="246">
        <f>IFERROR(VLOOKUP(D239,VOL_REC[],2,FALSE),0)</f>
        <v>0</v>
      </c>
      <c r="AU239" s="246">
        <f>IFERROR(VLOOKUP(E239,VOL_REC[],2,FALSE),0)</f>
        <v>0</v>
      </c>
      <c r="AV239" s="246">
        <f>IFERROR(VLOOKUP(F239,VOL_REC[],2,FALSE),0)</f>
        <v>11089674.200000001</v>
      </c>
      <c r="AW239" s="246">
        <f>IFERROR(VLOOKUP(G239,VOL_REC[],2,FALSE),0)</f>
        <v>90439.55</v>
      </c>
      <c r="AX239" s="246">
        <f>IFERROR(VLOOKUP(H239,VOL_REC[],2,FALSE),0)</f>
        <v>4325103.1812214684</v>
      </c>
      <c r="AY239" s="246">
        <f>IFERROR(VLOOKUP(I239,VOL_REC[],2,FALSE),0)</f>
        <v>15540036.397699751</v>
      </c>
      <c r="AZ239" s="246">
        <f>IFERROR(VLOOKUP(J239,VOL_REC[],2,FALSE),0)</f>
        <v>1072354.9981737854</v>
      </c>
      <c r="BA239" s="246">
        <f>IFERROR(VLOOKUP(K239,VOL_REC[],2,FALSE),0)</f>
        <v>0</v>
      </c>
      <c r="BB239" s="246">
        <f>IFERROR(VLOOKUP(L239,VOL_REC[],2,FALSE),0)</f>
        <v>0</v>
      </c>
      <c r="BC239" s="246">
        <f>IFERROR(VLOOKUP(M239,VOL_REC[],2,FALSE),0)</f>
        <v>0</v>
      </c>
      <c r="BD239" s="246">
        <f>IFERROR(VLOOKUP(N239,VOL_REC[],2,FALSE),0)</f>
        <v>0</v>
      </c>
      <c r="BE239" s="246">
        <f>IFERROR(VLOOKUP(O239,VOL_REC[],2,FALSE),0)</f>
        <v>0</v>
      </c>
      <c r="BF239" s="246">
        <f>IFERROR(VLOOKUP(P239,VOL_REC[],2,FALSE),0)</f>
        <v>0</v>
      </c>
      <c r="BG239" s="246">
        <f>IFERROR(VLOOKUP(Q239,VOL_REC[],2,FALSE),0)</f>
        <v>0</v>
      </c>
      <c r="BH239" s="1710">
        <f t="shared" si="12"/>
        <v>19284651602.688328</v>
      </c>
      <c r="BI239" s="1710">
        <f t="shared" si="13"/>
        <v>17981060039.70285</v>
      </c>
      <c r="BJ239" s="1711">
        <f t="shared" si="14"/>
        <v>32117608.327095006</v>
      </c>
      <c r="BK239" s="1711">
        <f t="shared" si="15"/>
        <v>1.0724980373852875</v>
      </c>
      <c r="BL239">
        <f>BJ239</f>
        <v>32117608.327095006</v>
      </c>
      <c r="BO239">
        <f>BL239</f>
        <v>32117608.327095006</v>
      </c>
    </row>
    <row r="240" spans="3:67" x14ac:dyDescent="0.25">
      <c r="C240" s="246" t="s">
        <v>1590</v>
      </c>
      <c r="D240" s="246">
        <v>1</v>
      </c>
      <c r="E240" s="246">
        <v>2</v>
      </c>
      <c r="F240" s="246">
        <v>3</v>
      </c>
      <c r="G240" s="246">
        <v>4</v>
      </c>
      <c r="H240" s="246">
        <v>5</v>
      </c>
      <c r="I240" s="246">
        <v>6</v>
      </c>
      <c r="J240" s="246">
        <v>17</v>
      </c>
      <c r="K240" s="246"/>
      <c r="L240" s="246"/>
      <c r="M240" s="246"/>
      <c r="N240" s="246"/>
      <c r="O240" s="246"/>
      <c r="P240" s="246"/>
      <c r="Q240" s="246"/>
      <c r="R240" s="246">
        <f>IFERROR(VLOOKUP(D240,PROGRAMAS[],2,FALSE),0)</f>
        <v>97037803.679377079</v>
      </c>
      <c r="S240" s="246">
        <f>IFERROR(VLOOKUP(E240,PROGRAMAS[],2,FALSE),0)</f>
        <v>640501509.6821388</v>
      </c>
      <c r="T240" s="246">
        <f>IFERROR(VLOOKUP(F240,PROGRAMAS[],2,FALSE),0)</f>
        <v>3062327798.1525245</v>
      </c>
      <c r="U240" s="246">
        <f>IFERROR(VLOOKUP(G240,PROGRAMAS[],2,FALSE),0)</f>
        <v>67697118.033011258</v>
      </c>
      <c r="V240" s="246">
        <f>IFERROR(VLOOKUP(H240,PROGRAMAS[],2,FALSE),0)</f>
        <v>1440941976.2528784</v>
      </c>
      <c r="W240" s="246">
        <f>IFERROR(VLOOKUP(I240,PROGRAMAS[],2,FALSE),0)</f>
        <v>6907648435.8447599</v>
      </c>
      <c r="X240" s="246">
        <f>IFERROR(VLOOKUP(J240,PROGRAMAS[],2,FALSE),0)</f>
        <v>1892779498.5211046</v>
      </c>
      <c r="Y240" s="246">
        <f>IFERROR(VLOOKUP(K240,PROGRAMAS[],2,FALSE),0)</f>
        <v>0</v>
      </c>
      <c r="Z240" s="246">
        <f>IFERROR(VLOOKUP(L240,PROGRAMAS[],2,FALSE),0)</f>
        <v>0</v>
      </c>
      <c r="AA240" s="246">
        <f>IFERROR(VLOOKUP(M240,PROGRAMAS[],2,FALSE),0)</f>
        <v>0</v>
      </c>
      <c r="AB240" s="246">
        <f>IFERROR(VLOOKUP(N240,PROGRAMAS[],2,FALSE),0)</f>
        <v>0</v>
      </c>
      <c r="AC240" s="246">
        <f>IFERROR(VLOOKUP(O240,PROGRAMAS[],2,FALSE),0)</f>
        <v>0</v>
      </c>
      <c r="AD240" s="246">
        <f>IFERROR(VLOOKUP(P240,PROGRAMAS[],2,FALSE),0)</f>
        <v>0</v>
      </c>
      <c r="AE240" s="246">
        <f>IFERROR(VLOOKUP(Q240,PROGRAMAS[],2,FALSE),0)</f>
        <v>0</v>
      </c>
      <c r="AF240" s="246">
        <f>IFERROR(VLOOKUP(D240,PROGRAMAS[],3,FALSE),0)</f>
        <v>841888629.31080008</v>
      </c>
      <c r="AG240" s="246">
        <f>IFERROR(VLOOKUP(E240,PROGRAMAS[],3,FALSE),0)</f>
        <v>3848980803.1642323</v>
      </c>
      <c r="AH240" s="246">
        <f>IFERROR(VLOOKUP(F240,PROGRAMAS[],3,FALSE),0)</f>
        <v>3394901471.387517</v>
      </c>
      <c r="AI240" s="246">
        <f>IFERROR(VLOOKUP(G240,PROGRAMAS[],3,FALSE),0)</f>
        <v>125317226.95549992</v>
      </c>
      <c r="AJ240" s="246">
        <f>IFERROR(VLOOKUP(H240,PROGRAMAS[],3,FALSE),0)</f>
        <v>1233505101.0616004</v>
      </c>
      <c r="AK240" s="246">
        <f>IFERROR(VLOOKUP(I240,PROGRAMAS[],3,FALSE),0)</f>
        <v>6129902208.7912121</v>
      </c>
      <c r="AL240" s="246">
        <f>IFERROR(VLOOKUP(J240,PROGRAMAS[],3,FALSE),0)</f>
        <v>948595847.09039903</v>
      </c>
      <c r="AM240" s="246">
        <f>IFERROR(VLOOKUP(K240,PROGRAMAS[],3,FALSE),0)</f>
        <v>0</v>
      </c>
      <c r="AN240" s="246">
        <f>IFERROR(VLOOKUP(L240,PROGRAMAS[],3,FALSE),0)</f>
        <v>0</v>
      </c>
      <c r="AO240" s="246">
        <f>IFERROR(VLOOKUP(M240,PROGRAMAS[],3,FALSE),0)</f>
        <v>0</v>
      </c>
      <c r="AP240" s="246">
        <f>IFERROR(VLOOKUP(N240,PROGRAMAS[],3,FALSE),0)</f>
        <v>0</v>
      </c>
      <c r="AQ240" s="246">
        <f>IFERROR(VLOOKUP(O240,PROGRAMAS[],3,FALSE),0)</f>
        <v>0</v>
      </c>
      <c r="AR240" s="246">
        <f>IFERROR(VLOOKUP(P240,PROGRAMAS[],3,FALSE),0)</f>
        <v>0</v>
      </c>
      <c r="AS240" s="246">
        <f>IFERROR(VLOOKUP(Q240,PROGRAMAS[],3,FALSE),0)</f>
        <v>0</v>
      </c>
      <c r="AT240" s="246">
        <f>IFERROR(VLOOKUP(D240,VOL_REC[],2,FALSE),0)</f>
        <v>0</v>
      </c>
      <c r="AU240" s="246">
        <f>IFERROR(VLOOKUP(E240,VOL_REC[],2,FALSE),0)</f>
        <v>0</v>
      </c>
      <c r="AV240" s="246">
        <f>IFERROR(VLOOKUP(F240,VOL_REC[],2,FALSE),0)</f>
        <v>11089674.200000001</v>
      </c>
      <c r="AW240" s="246">
        <f>IFERROR(VLOOKUP(G240,VOL_REC[],2,FALSE),0)</f>
        <v>90439.55</v>
      </c>
      <c r="AX240" s="246">
        <f>IFERROR(VLOOKUP(H240,VOL_REC[],2,FALSE),0)</f>
        <v>4325103.1812214684</v>
      </c>
      <c r="AY240" s="246">
        <f>IFERROR(VLOOKUP(I240,VOL_REC[],2,FALSE),0)</f>
        <v>15540036.397699751</v>
      </c>
      <c r="AZ240" s="246">
        <f>IFERROR(VLOOKUP(J240,VOL_REC[],2,FALSE),0)</f>
        <v>740113.98115702497</v>
      </c>
      <c r="BA240" s="246">
        <f>IFERROR(VLOOKUP(K240,VOL_REC[],2,FALSE),0)</f>
        <v>0</v>
      </c>
      <c r="BB240" s="246">
        <f>IFERROR(VLOOKUP(L240,VOL_REC[],2,FALSE),0)</f>
        <v>0</v>
      </c>
      <c r="BC240" s="246">
        <f>IFERROR(VLOOKUP(M240,VOL_REC[],2,FALSE),0)</f>
        <v>0</v>
      </c>
      <c r="BD240" s="246">
        <f>IFERROR(VLOOKUP(N240,VOL_REC[],2,FALSE),0)</f>
        <v>0</v>
      </c>
      <c r="BE240" s="246">
        <f>IFERROR(VLOOKUP(O240,VOL_REC[],2,FALSE),0)</f>
        <v>0</v>
      </c>
      <c r="BF240" s="246">
        <f>IFERROR(VLOOKUP(P240,VOL_REC[],2,FALSE),0)</f>
        <v>0</v>
      </c>
      <c r="BG240" s="246">
        <f>IFERROR(VLOOKUP(Q240,VOL_REC[],2,FALSE),0)</f>
        <v>0</v>
      </c>
      <c r="BH240" s="1710">
        <f t="shared" si="12"/>
        <v>14108934140.165796</v>
      </c>
      <c r="BI240" s="1710">
        <f t="shared" si="13"/>
        <v>16523091287.761261</v>
      </c>
      <c r="BJ240" s="1711">
        <f t="shared" si="14"/>
        <v>31785367.310078245</v>
      </c>
      <c r="BK240" s="1711">
        <f t="shared" si="15"/>
        <v>0.85389191976542289</v>
      </c>
    </row>
    <row r="241" spans="3:67" x14ac:dyDescent="0.25">
      <c r="C241" s="246" t="s">
        <v>1591</v>
      </c>
      <c r="D241" s="246">
        <v>1</v>
      </c>
      <c r="E241" s="246">
        <v>2</v>
      </c>
      <c r="F241" s="246">
        <v>3</v>
      </c>
      <c r="G241" s="246">
        <v>4</v>
      </c>
      <c r="H241" s="246">
        <v>5</v>
      </c>
      <c r="I241" s="246">
        <v>9</v>
      </c>
      <c r="J241" s="246">
        <v>10</v>
      </c>
      <c r="K241" s="246"/>
      <c r="L241" s="246"/>
      <c r="M241" s="246"/>
      <c r="N241" s="246"/>
      <c r="O241" s="246"/>
      <c r="P241" s="246"/>
      <c r="Q241" s="246"/>
      <c r="R241" s="246">
        <f>IFERROR(VLOOKUP(D241,PROGRAMAS[],2,FALSE),0)</f>
        <v>97037803.679377079</v>
      </c>
      <c r="S241" s="246">
        <f>IFERROR(VLOOKUP(E241,PROGRAMAS[],2,FALSE),0)</f>
        <v>640501509.6821388</v>
      </c>
      <c r="T241" s="246">
        <f>IFERROR(VLOOKUP(F241,PROGRAMAS[],2,FALSE),0)</f>
        <v>3062327798.1525245</v>
      </c>
      <c r="U241" s="246">
        <f>IFERROR(VLOOKUP(G241,PROGRAMAS[],2,FALSE),0)</f>
        <v>67697118.033011258</v>
      </c>
      <c r="V241" s="246">
        <f>IFERROR(VLOOKUP(H241,PROGRAMAS[],2,FALSE),0)</f>
        <v>1440941976.2528784</v>
      </c>
      <c r="W241" s="246">
        <f>IFERROR(VLOOKUP(I241,PROGRAMAS[],2,FALSE),0)</f>
        <v>6128579952.1618185</v>
      </c>
      <c r="X241" s="246">
        <f>IFERROR(VLOOKUP(J241,PROGRAMAS[],2,FALSE),0)</f>
        <v>4635315027.8751087</v>
      </c>
      <c r="Y241" s="246">
        <f>IFERROR(VLOOKUP(K241,PROGRAMAS[],2,FALSE),0)</f>
        <v>0</v>
      </c>
      <c r="Z241" s="246">
        <f>IFERROR(VLOOKUP(L241,PROGRAMAS[],2,FALSE),0)</f>
        <v>0</v>
      </c>
      <c r="AA241" s="246">
        <f>IFERROR(VLOOKUP(M241,PROGRAMAS[],2,FALSE),0)</f>
        <v>0</v>
      </c>
      <c r="AB241" s="246">
        <f>IFERROR(VLOOKUP(N241,PROGRAMAS[],2,FALSE),0)</f>
        <v>0</v>
      </c>
      <c r="AC241" s="246">
        <f>IFERROR(VLOOKUP(O241,PROGRAMAS[],2,FALSE),0)</f>
        <v>0</v>
      </c>
      <c r="AD241" s="246">
        <f>IFERROR(VLOOKUP(P241,PROGRAMAS[],2,FALSE),0)</f>
        <v>0</v>
      </c>
      <c r="AE241" s="246">
        <f>IFERROR(VLOOKUP(Q241,PROGRAMAS[],2,FALSE),0)</f>
        <v>0</v>
      </c>
      <c r="AF241" s="246">
        <f>IFERROR(VLOOKUP(D241,PROGRAMAS[],3,FALSE),0)</f>
        <v>841888629.31080008</v>
      </c>
      <c r="AG241" s="246">
        <f>IFERROR(VLOOKUP(E241,PROGRAMAS[],3,FALSE),0)</f>
        <v>3848980803.1642323</v>
      </c>
      <c r="AH241" s="246">
        <f>IFERROR(VLOOKUP(F241,PROGRAMAS[],3,FALSE),0)</f>
        <v>3394901471.387517</v>
      </c>
      <c r="AI241" s="246">
        <f>IFERROR(VLOOKUP(G241,PROGRAMAS[],3,FALSE),0)</f>
        <v>125317226.95549992</v>
      </c>
      <c r="AJ241" s="246">
        <f>IFERROR(VLOOKUP(H241,PROGRAMAS[],3,FALSE),0)</f>
        <v>1233505101.0616004</v>
      </c>
      <c r="AK241" s="246">
        <f>IFERROR(VLOOKUP(I241,PROGRAMAS[],3,FALSE),0)</f>
        <v>7011279577.519702</v>
      </c>
      <c r="AL241" s="246">
        <f>IFERROR(VLOOKUP(J241,PROGRAMAS[],3,FALSE),0)</f>
        <v>4099471734.9978786</v>
      </c>
      <c r="AM241" s="246">
        <f>IFERROR(VLOOKUP(K241,PROGRAMAS[],3,FALSE),0)</f>
        <v>0</v>
      </c>
      <c r="AN241" s="246">
        <f>IFERROR(VLOOKUP(L241,PROGRAMAS[],3,FALSE),0)</f>
        <v>0</v>
      </c>
      <c r="AO241" s="246">
        <f>IFERROR(VLOOKUP(M241,PROGRAMAS[],3,FALSE),0)</f>
        <v>0</v>
      </c>
      <c r="AP241" s="246">
        <f>IFERROR(VLOOKUP(N241,PROGRAMAS[],3,FALSE),0)</f>
        <v>0</v>
      </c>
      <c r="AQ241" s="246">
        <f>IFERROR(VLOOKUP(O241,PROGRAMAS[],3,FALSE),0)</f>
        <v>0</v>
      </c>
      <c r="AR241" s="246">
        <f>IFERROR(VLOOKUP(P241,PROGRAMAS[],3,FALSE),0)</f>
        <v>0</v>
      </c>
      <c r="AS241" s="246">
        <f>IFERROR(VLOOKUP(Q241,PROGRAMAS[],3,FALSE),0)</f>
        <v>0</v>
      </c>
      <c r="AT241" s="246">
        <f>IFERROR(VLOOKUP(D241,VOL_REC[],2,FALSE),0)</f>
        <v>0</v>
      </c>
      <c r="AU241" s="246">
        <f>IFERROR(VLOOKUP(E241,VOL_REC[],2,FALSE),0)</f>
        <v>0</v>
      </c>
      <c r="AV241" s="246">
        <f>IFERROR(VLOOKUP(F241,VOL_REC[],2,FALSE),0)</f>
        <v>11089674.200000001</v>
      </c>
      <c r="AW241" s="246">
        <f>IFERROR(VLOOKUP(G241,VOL_REC[],2,FALSE),0)</f>
        <v>90439.55</v>
      </c>
      <c r="AX241" s="246">
        <f>IFERROR(VLOOKUP(H241,VOL_REC[],2,FALSE),0)</f>
        <v>4325103.1812214684</v>
      </c>
      <c r="AY241" s="246">
        <f>IFERROR(VLOOKUP(I241,VOL_REC[],2,FALSE),0)</f>
        <v>3761786</v>
      </c>
      <c r="AZ241" s="246">
        <f>IFERROR(VLOOKUP(J241,VOL_REC[],2,FALSE),0)</f>
        <v>1812240</v>
      </c>
      <c r="BA241" s="246">
        <f>IFERROR(VLOOKUP(K241,VOL_REC[],2,FALSE),0)</f>
        <v>0</v>
      </c>
      <c r="BB241" s="246">
        <f>IFERROR(VLOOKUP(L241,VOL_REC[],2,FALSE),0)</f>
        <v>0</v>
      </c>
      <c r="BC241" s="246">
        <f>IFERROR(VLOOKUP(M241,VOL_REC[],2,FALSE),0)</f>
        <v>0</v>
      </c>
      <c r="BD241" s="246">
        <f>IFERROR(VLOOKUP(N241,VOL_REC[],2,FALSE),0)</f>
        <v>0</v>
      </c>
      <c r="BE241" s="246">
        <f>IFERROR(VLOOKUP(O241,VOL_REC[],2,FALSE),0)</f>
        <v>0</v>
      </c>
      <c r="BF241" s="246">
        <f>IFERROR(VLOOKUP(P241,VOL_REC[],2,FALSE),0)</f>
        <v>0</v>
      </c>
      <c r="BG241" s="246">
        <f>IFERROR(VLOOKUP(Q241,VOL_REC[],2,FALSE),0)</f>
        <v>0</v>
      </c>
      <c r="BH241" s="1710">
        <f t="shared" si="12"/>
        <v>16072401185.836859</v>
      </c>
      <c r="BI241" s="1710">
        <f t="shared" si="13"/>
        <v>20555344544.397232</v>
      </c>
      <c r="BJ241" s="1711">
        <f t="shared" si="14"/>
        <v>21079242.93122147</v>
      </c>
      <c r="BK241" s="1711">
        <f t="shared" si="15"/>
        <v>0.7819086248407211</v>
      </c>
    </row>
    <row r="242" spans="3:67" x14ac:dyDescent="0.25">
      <c r="C242" s="246" t="s">
        <v>1592</v>
      </c>
      <c r="D242" s="246">
        <v>1</v>
      </c>
      <c r="E242" s="246">
        <v>2</v>
      </c>
      <c r="F242" s="246">
        <v>3</v>
      </c>
      <c r="G242" s="246">
        <v>4</v>
      </c>
      <c r="H242" s="246">
        <v>5</v>
      </c>
      <c r="I242" s="246">
        <v>9</v>
      </c>
      <c r="J242" s="246">
        <v>12</v>
      </c>
      <c r="K242" s="246"/>
      <c r="L242" s="246"/>
      <c r="M242" s="246"/>
      <c r="N242" s="246"/>
      <c r="O242" s="246"/>
      <c r="P242" s="246"/>
      <c r="Q242" s="246"/>
      <c r="R242" s="246">
        <f>IFERROR(VLOOKUP(D242,PROGRAMAS[],2,FALSE),0)</f>
        <v>97037803.679377079</v>
      </c>
      <c r="S242" s="246">
        <f>IFERROR(VLOOKUP(E242,PROGRAMAS[],2,FALSE),0)</f>
        <v>640501509.6821388</v>
      </c>
      <c r="T242" s="246">
        <f>IFERROR(VLOOKUP(F242,PROGRAMAS[],2,FALSE),0)</f>
        <v>3062327798.1525245</v>
      </c>
      <c r="U242" s="246">
        <f>IFERROR(VLOOKUP(G242,PROGRAMAS[],2,FALSE),0)</f>
        <v>67697118.033011258</v>
      </c>
      <c r="V242" s="246">
        <f>IFERROR(VLOOKUP(H242,PROGRAMAS[],2,FALSE),0)</f>
        <v>1440941976.2528784</v>
      </c>
      <c r="W242" s="246">
        <f>IFERROR(VLOOKUP(I242,PROGRAMAS[],2,FALSE),0)</f>
        <v>6128579952.1618185</v>
      </c>
      <c r="X242" s="246">
        <f>IFERROR(VLOOKUP(J242,PROGRAMAS[],2,FALSE),0)</f>
        <v>764796700.79905891</v>
      </c>
      <c r="Y242" s="246">
        <f>IFERROR(VLOOKUP(K242,PROGRAMAS[],2,FALSE),0)</f>
        <v>0</v>
      </c>
      <c r="Z242" s="246">
        <f>IFERROR(VLOOKUP(L242,PROGRAMAS[],2,FALSE),0)</f>
        <v>0</v>
      </c>
      <c r="AA242" s="246">
        <f>IFERROR(VLOOKUP(M242,PROGRAMAS[],2,FALSE),0)</f>
        <v>0</v>
      </c>
      <c r="AB242" s="246">
        <f>IFERROR(VLOOKUP(N242,PROGRAMAS[],2,FALSE),0)</f>
        <v>0</v>
      </c>
      <c r="AC242" s="246">
        <f>IFERROR(VLOOKUP(O242,PROGRAMAS[],2,FALSE),0)</f>
        <v>0</v>
      </c>
      <c r="AD242" s="246">
        <f>IFERROR(VLOOKUP(P242,PROGRAMAS[],2,FALSE),0)</f>
        <v>0</v>
      </c>
      <c r="AE242" s="246">
        <f>IFERROR(VLOOKUP(Q242,PROGRAMAS[],2,FALSE),0)</f>
        <v>0</v>
      </c>
      <c r="AF242" s="246">
        <f>IFERROR(VLOOKUP(D242,PROGRAMAS[],3,FALSE),0)</f>
        <v>841888629.31080008</v>
      </c>
      <c r="AG242" s="246">
        <f>IFERROR(VLOOKUP(E242,PROGRAMAS[],3,FALSE),0)</f>
        <v>3848980803.1642323</v>
      </c>
      <c r="AH242" s="246">
        <f>IFERROR(VLOOKUP(F242,PROGRAMAS[],3,FALSE),0)</f>
        <v>3394901471.387517</v>
      </c>
      <c r="AI242" s="246">
        <f>IFERROR(VLOOKUP(G242,PROGRAMAS[],3,FALSE),0)</f>
        <v>125317226.95549992</v>
      </c>
      <c r="AJ242" s="246">
        <f>IFERROR(VLOOKUP(H242,PROGRAMAS[],3,FALSE),0)</f>
        <v>1233505101.0616004</v>
      </c>
      <c r="AK242" s="246">
        <f>IFERROR(VLOOKUP(I242,PROGRAMAS[],3,FALSE),0)</f>
        <v>7011279577.519702</v>
      </c>
      <c r="AL242" s="246">
        <f>IFERROR(VLOOKUP(J242,PROGRAMAS[],3,FALSE),0)</f>
        <v>675517840.109828</v>
      </c>
      <c r="AM242" s="246">
        <f>IFERROR(VLOOKUP(K242,PROGRAMAS[],3,FALSE),0)</f>
        <v>0</v>
      </c>
      <c r="AN242" s="246">
        <f>IFERROR(VLOOKUP(L242,PROGRAMAS[],3,FALSE),0)</f>
        <v>0</v>
      </c>
      <c r="AO242" s="246">
        <f>IFERROR(VLOOKUP(M242,PROGRAMAS[],3,FALSE),0)</f>
        <v>0</v>
      </c>
      <c r="AP242" s="246">
        <f>IFERROR(VLOOKUP(N242,PROGRAMAS[],3,FALSE),0)</f>
        <v>0</v>
      </c>
      <c r="AQ242" s="246">
        <f>IFERROR(VLOOKUP(O242,PROGRAMAS[],3,FALSE),0)</f>
        <v>0</v>
      </c>
      <c r="AR242" s="246">
        <f>IFERROR(VLOOKUP(P242,PROGRAMAS[],3,FALSE),0)</f>
        <v>0</v>
      </c>
      <c r="AS242" s="246">
        <f>IFERROR(VLOOKUP(Q242,PROGRAMAS[],3,FALSE),0)</f>
        <v>0</v>
      </c>
      <c r="AT242" s="246">
        <f>IFERROR(VLOOKUP(D242,VOL_REC[],2,FALSE),0)</f>
        <v>0</v>
      </c>
      <c r="AU242" s="246">
        <f>IFERROR(VLOOKUP(E242,VOL_REC[],2,FALSE),0)</f>
        <v>0</v>
      </c>
      <c r="AV242" s="246">
        <f>IFERROR(VLOOKUP(F242,VOL_REC[],2,FALSE),0)</f>
        <v>11089674.200000001</v>
      </c>
      <c r="AW242" s="246">
        <f>IFERROR(VLOOKUP(G242,VOL_REC[],2,FALSE),0)</f>
        <v>90439.55</v>
      </c>
      <c r="AX242" s="246">
        <f>IFERROR(VLOOKUP(H242,VOL_REC[],2,FALSE),0)</f>
        <v>4325103.1812214684</v>
      </c>
      <c r="AY242" s="246">
        <f>IFERROR(VLOOKUP(I242,VOL_REC[],2,FALSE),0)</f>
        <v>3761786</v>
      </c>
      <c r="AZ242" s="246">
        <f>IFERROR(VLOOKUP(J242,VOL_REC[],2,FALSE),0)</f>
        <v>240696.79238099116</v>
      </c>
      <c r="BA242" s="246">
        <f>IFERROR(VLOOKUP(K242,VOL_REC[],2,FALSE),0)</f>
        <v>0</v>
      </c>
      <c r="BB242" s="246">
        <f>IFERROR(VLOOKUP(L242,VOL_REC[],2,FALSE),0)</f>
        <v>0</v>
      </c>
      <c r="BC242" s="246">
        <f>IFERROR(VLOOKUP(M242,VOL_REC[],2,FALSE),0)</f>
        <v>0</v>
      </c>
      <c r="BD242" s="246">
        <f>IFERROR(VLOOKUP(N242,VOL_REC[],2,FALSE),0)</f>
        <v>0</v>
      </c>
      <c r="BE242" s="246">
        <f>IFERROR(VLOOKUP(O242,VOL_REC[],2,FALSE),0)</f>
        <v>0</v>
      </c>
      <c r="BF242" s="246">
        <f>IFERROR(VLOOKUP(P242,VOL_REC[],2,FALSE),0)</f>
        <v>0</v>
      </c>
      <c r="BG242" s="246">
        <f>IFERROR(VLOOKUP(Q242,VOL_REC[],2,FALSE),0)</f>
        <v>0</v>
      </c>
      <c r="BH242" s="1710">
        <f t="shared" si="12"/>
        <v>12201882858.760809</v>
      </c>
      <c r="BI242" s="1710">
        <f t="shared" si="13"/>
        <v>17131390649.509182</v>
      </c>
      <c r="BJ242" s="1711">
        <f t="shared" si="14"/>
        <v>19507699.723602463</v>
      </c>
      <c r="BK242" s="1711">
        <f t="shared" si="15"/>
        <v>0.7122529109515342</v>
      </c>
    </row>
    <row r="243" spans="3:67" x14ac:dyDescent="0.25">
      <c r="C243" s="246" t="s">
        <v>1593</v>
      </c>
      <c r="D243" s="246">
        <v>1</v>
      </c>
      <c r="E243" s="246">
        <v>2</v>
      </c>
      <c r="F243" s="246">
        <v>3</v>
      </c>
      <c r="G243" s="246">
        <v>4</v>
      </c>
      <c r="H243" s="246">
        <v>5</v>
      </c>
      <c r="I243" s="246">
        <v>9</v>
      </c>
      <c r="J243" s="246">
        <v>13</v>
      </c>
      <c r="K243" s="246"/>
      <c r="L243" s="246"/>
      <c r="M243" s="246"/>
      <c r="N243" s="246"/>
      <c r="O243" s="246"/>
      <c r="P243" s="246"/>
      <c r="Q243" s="246"/>
      <c r="R243" s="246">
        <f>IFERROR(VLOOKUP(D243,PROGRAMAS[],2,FALSE),0)</f>
        <v>97037803.679377079</v>
      </c>
      <c r="S243" s="246">
        <f>IFERROR(VLOOKUP(E243,PROGRAMAS[],2,FALSE),0)</f>
        <v>640501509.6821388</v>
      </c>
      <c r="T243" s="246">
        <f>IFERROR(VLOOKUP(F243,PROGRAMAS[],2,FALSE),0)</f>
        <v>3062327798.1525245</v>
      </c>
      <c r="U243" s="246">
        <f>IFERROR(VLOOKUP(G243,PROGRAMAS[],2,FALSE),0)</f>
        <v>67697118.033011258</v>
      </c>
      <c r="V243" s="246">
        <f>IFERROR(VLOOKUP(H243,PROGRAMAS[],2,FALSE),0)</f>
        <v>1440941976.2528784</v>
      </c>
      <c r="W243" s="246">
        <f>IFERROR(VLOOKUP(I243,PROGRAMAS[],2,FALSE),0)</f>
        <v>6128579952.1618185</v>
      </c>
      <c r="X243" s="246">
        <f>IFERROR(VLOOKUP(J243,PROGRAMAS[],2,FALSE),0)</f>
        <v>3776538594.4604583</v>
      </c>
      <c r="Y243" s="246">
        <f>IFERROR(VLOOKUP(K243,PROGRAMAS[],2,FALSE),0)</f>
        <v>0</v>
      </c>
      <c r="Z243" s="246">
        <f>IFERROR(VLOOKUP(L243,PROGRAMAS[],2,FALSE),0)</f>
        <v>0</v>
      </c>
      <c r="AA243" s="246">
        <f>IFERROR(VLOOKUP(M243,PROGRAMAS[],2,FALSE),0)</f>
        <v>0</v>
      </c>
      <c r="AB243" s="246">
        <f>IFERROR(VLOOKUP(N243,PROGRAMAS[],2,FALSE),0)</f>
        <v>0</v>
      </c>
      <c r="AC243" s="246">
        <f>IFERROR(VLOOKUP(O243,PROGRAMAS[],2,FALSE),0)</f>
        <v>0</v>
      </c>
      <c r="AD243" s="246">
        <f>IFERROR(VLOOKUP(P243,PROGRAMAS[],2,FALSE),0)</f>
        <v>0</v>
      </c>
      <c r="AE243" s="246">
        <f>IFERROR(VLOOKUP(Q243,PROGRAMAS[],2,FALSE),0)</f>
        <v>0</v>
      </c>
      <c r="AF243" s="246">
        <f>IFERROR(VLOOKUP(D243,PROGRAMAS[],3,FALSE),0)</f>
        <v>841888629.31080008</v>
      </c>
      <c r="AG243" s="246">
        <f>IFERROR(VLOOKUP(E243,PROGRAMAS[],3,FALSE),0)</f>
        <v>3848980803.1642323</v>
      </c>
      <c r="AH243" s="246">
        <f>IFERROR(VLOOKUP(F243,PROGRAMAS[],3,FALSE),0)</f>
        <v>3394901471.387517</v>
      </c>
      <c r="AI243" s="246">
        <f>IFERROR(VLOOKUP(G243,PROGRAMAS[],3,FALSE),0)</f>
        <v>125317226.95549992</v>
      </c>
      <c r="AJ243" s="246">
        <f>IFERROR(VLOOKUP(H243,PROGRAMAS[],3,FALSE),0)</f>
        <v>1233505101.0616004</v>
      </c>
      <c r="AK243" s="246">
        <f>IFERROR(VLOOKUP(I243,PROGRAMAS[],3,FALSE),0)</f>
        <v>7011279577.519702</v>
      </c>
      <c r="AL243" s="246">
        <f>IFERROR(VLOOKUP(J243,PROGRAMAS[],3,FALSE),0)</f>
        <v>2392571243.5584412</v>
      </c>
      <c r="AM243" s="246">
        <f>IFERROR(VLOOKUP(K243,PROGRAMAS[],3,FALSE),0)</f>
        <v>0</v>
      </c>
      <c r="AN243" s="246">
        <f>IFERROR(VLOOKUP(L243,PROGRAMAS[],3,FALSE),0)</f>
        <v>0</v>
      </c>
      <c r="AO243" s="246">
        <f>IFERROR(VLOOKUP(M243,PROGRAMAS[],3,FALSE),0)</f>
        <v>0</v>
      </c>
      <c r="AP243" s="246">
        <f>IFERROR(VLOOKUP(N243,PROGRAMAS[],3,FALSE),0)</f>
        <v>0</v>
      </c>
      <c r="AQ243" s="246">
        <f>IFERROR(VLOOKUP(O243,PROGRAMAS[],3,FALSE),0)</f>
        <v>0</v>
      </c>
      <c r="AR243" s="246">
        <f>IFERROR(VLOOKUP(P243,PROGRAMAS[],3,FALSE),0)</f>
        <v>0</v>
      </c>
      <c r="AS243" s="246">
        <f>IFERROR(VLOOKUP(Q243,PROGRAMAS[],3,FALSE),0)</f>
        <v>0</v>
      </c>
      <c r="AT243" s="246">
        <f>IFERROR(VLOOKUP(D243,VOL_REC[],2,FALSE),0)</f>
        <v>0</v>
      </c>
      <c r="AU243" s="246">
        <f>IFERROR(VLOOKUP(E243,VOL_REC[],2,FALSE),0)</f>
        <v>0</v>
      </c>
      <c r="AV243" s="246">
        <f>IFERROR(VLOOKUP(F243,VOL_REC[],2,FALSE),0)</f>
        <v>11089674.200000001</v>
      </c>
      <c r="AW243" s="246">
        <f>IFERROR(VLOOKUP(G243,VOL_REC[],2,FALSE),0)</f>
        <v>90439.55</v>
      </c>
      <c r="AX243" s="246">
        <f>IFERROR(VLOOKUP(H243,VOL_REC[],2,FALSE),0)</f>
        <v>4325103.1812214684</v>
      </c>
      <c r="AY243" s="246">
        <f>IFERROR(VLOOKUP(I243,VOL_REC[],2,FALSE),0)</f>
        <v>3761786</v>
      </c>
      <c r="AZ243" s="246">
        <f>IFERROR(VLOOKUP(J243,VOL_REC[],2,FALSE),0)</f>
        <v>663244.80000000016</v>
      </c>
      <c r="BA243" s="246">
        <f>IFERROR(VLOOKUP(K243,VOL_REC[],2,FALSE),0)</f>
        <v>0</v>
      </c>
      <c r="BB243" s="246">
        <f>IFERROR(VLOOKUP(L243,VOL_REC[],2,FALSE),0)</f>
        <v>0</v>
      </c>
      <c r="BC243" s="246">
        <f>IFERROR(VLOOKUP(M243,VOL_REC[],2,FALSE),0)</f>
        <v>0</v>
      </c>
      <c r="BD243" s="246">
        <f>IFERROR(VLOOKUP(N243,VOL_REC[],2,FALSE),0)</f>
        <v>0</v>
      </c>
      <c r="BE243" s="246">
        <f>IFERROR(VLOOKUP(O243,VOL_REC[],2,FALSE),0)</f>
        <v>0</v>
      </c>
      <c r="BF243" s="246">
        <f>IFERROR(VLOOKUP(P243,VOL_REC[],2,FALSE),0)</f>
        <v>0</v>
      </c>
      <c r="BG243" s="246">
        <f>IFERROR(VLOOKUP(Q243,VOL_REC[],2,FALSE),0)</f>
        <v>0</v>
      </c>
      <c r="BH243" s="1710">
        <f t="shared" si="12"/>
        <v>15213624752.422209</v>
      </c>
      <c r="BI243" s="1710">
        <f t="shared" si="13"/>
        <v>18848444052.957794</v>
      </c>
      <c r="BJ243" s="1711">
        <f t="shared" si="14"/>
        <v>19930247.731221471</v>
      </c>
      <c r="BK243" s="1711">
        <f t="shared" si="15"/>
        <v>0.80715547180855007</v>
      </c>
    </row>
    <row r="244" spans="3:67" x14ac:dyDescent="0.25">
      <c r="C244" s="246" t="s">
        <v>1594</v>
      </c>
      <c r="D244" s="246">
        <v>1</v>
      </c>
      <c r="E244" s="246">
        <v>2</v>
      </c>
      <c r="F244" s="246">
        <v>3</v>
      </c>
      <c r="G244" s="246">
        <v>4</v>
      </c>
      <c r="H244" s="246">
        <v>5</v>
      </c>
      <c r="I244" s="246">
        <v>9</v>
      </c>
      <c r="J244" s="246">
        <v>14</v>
      </c>
      <c r="K244" s="246"/>
      <c r="L244" s="246"/>
      <c r="M244" s="246"/>
      <c r="N244" s="246"/>
      <c r="O244" s="246"/>
      <c r="P244" s="246"/>
      <c r="Q244" s="246"/>
      <c r="R244" s="246">
        <f>IFERROR(VLOOKUP(D244,PROGRAMAS[],2,FALSE),0)</f>
        <v>97037803.679377079</v>
      </c>
      <c r="S244" s="246">
        <f>IFERROR(VLOOKUP(E244,PROGRAMAS[],2,FALSE),0)</f>
        <v>640501509.6821388</v>
      </c>
      <c r="T244" s="246">
        <f>IFERROR(VLOOKUP(F244,PROGRAMAS[],2,FALSE),0)</f>
        <v>3062327798.1525245</v>
      </c>
      <c r="U244" s="246">
        <f>IFERROR(VLOOKUP(G244,PROGRAMAS[],2,FALSE),0)</f>
        <v>67697118.033011258</v>
      </c>
      <c r="V244" s="246">
        <f>IFERROR(VLOOKUP(H244,PROGRAMAS[],2,FALSE),0)</f>
        <v>1440941976.2528784</v>
      </c>
      <c r="W244" s="246">
        <f>IFERROR(VLOOKUP(I244,PROGRAMAS[],2,FALSE),0)</f>
        <v>6128579952.1618185</v>
      </c>
      <c r="X244" s="246">
        <f>IFERROR(VLOOKUP(J244,PROGRAMAS[],2,FALSE),0)</f>
        <v>54223862.645839565</v>
      </c>
      <c r="Y244" s="246">
        <f>IFERROR(VLOOKUP(K244,PROGRAMAS[],2,FALSE),0)</f>
        <v>0</v>
      </c>
      <c r="Z244" s="246">
        <f>IFERROR(VLOOKUP(L244,PROGRAMAS[],2,FALSE),0)</f>
        <v>0</v>
      </c>
      <c r="AA244" s="246">
        <f>IFERROR(VLOOKUP(M244,PROGRAMAS[],2,FALSE),0)</f>
        <v>0</v>
      </c>
      <c r="AB244" s="246">
        <f>IFERROR(VLOOKUP(N244,PROGRAMAS[],2,FALSE),0)</f>
        <v>0</v>
      </c>
      <c r="AC244" s="246">
        <f>IFERROR(VLOOKUP(O244,PROGRAMAS[],2,FALSE),0)</f>
        <v>0</v>
      </c>
      <c r="AD244" s="246">
        <f>IFERROR(VLOOKUP(P244,PROGRAMAS[],2,FALSE),0)</f>
        <v>0</v>
      </c>
      <c r="AE244" s="246">
        <f>IFERROR(VLOOKUP(Q244,PROGRAMAS[],2,FALSE),0)</f>
        <v>0</v>
      </c>
      <c r="AF244" s="246">
        <f>IFERROR(VLOOKUP(D244,PROGRAMAS[],3,FALSE),0)</f>
        <v>841888629.31080008</v>
      </c>
      <c r="AG244" s="246">
        <f>IFERROR(VLOOKUP(E244,PROGRAMAS[],3,FALSE),0)</f>
        <v>3848980803.1642323</v>
      </c>
      <c r="AH244" s="246">
        <f>IFERROR(VLOOKUP(F244,PROGRAMAS[],3,FALSE),0)</f>
        <v>3394901471.387517</v>
      </c>
      <c r="AI244" s="246">
        <f>IFERROR(VLOOKUP(G244,PROGRAMAS[],3,FALSE),0)</f>
        <v>125317226.95549992</v>
      </c>
      <c r="AJ244" s="246">
        <f>IFERROR(VLOOKUP(H244,PROGRAMAS[],3,FALSE),0)</f>
        <v>1233505101.0616004</v>
      </c>
      <c r="AK244" s="246">
        <f>IFERROR(VLOOKUP(I244,PROGRAMAS[],3,FALSE),0)</f>
        <v>7011279577.519702</v>
      </c>
      <c r="AL244" s="246">
        <f>IFERROR(VLOOKUP(J244,PROGRAMAS[],3,FALSE),0)</f>
        <v>31865326.38096505</v>
      </c>
      <c r="AM244" s="246">
        <f>IFERROR(VLOOKUP(K244,PROGRAMAS[],3,FALSE),0)</f>
        <v>0</v>
      </c>
      <c r="AN244" s="246">
        <f>IFERROR(VLOOKUP(L244,PROGRAMAS[],3,FALSE),0)</f>
        <v>0</v>
      </c>
      <c r="AO244" s="246">
        <f>IFERROR(VLOOKUP(M244,PROGRAMAS[],3,FALSE),0)</f>
        <v>0</v>
      </c>
      <c r="AP244" s="246">
        <f>IFERROR(VLOOKUP(N244,PROGRAMAS[],3,FALSE),0)</f>
        <v>0</v>
      </c>
      <c r="AQ244" s="246">
        <f>IFERROR(VLOOKUP(O244,PROGRAMAS[],3,FALSE),0)</f>
        <v>0</v>
      </c>
      <c r="AR244" s="246">
        <f>IFERROR(VLOOKUP(P244,PROGRAMAS[],3,FALSE),0)</f>
        <v>0</v>
      </c>
      <c r="AS244" s="246">
        <f>IFERROR(VLOOKUP(Q244,PROGRAMAS[],3,FALSE),0)</f>
        <v>0</v>
      </c>
      <c r="AT244" s="246">
        <f>IFERROR(VLOOKUP(D244,VOL_REC[],2,FALSE),0)</f>
        <v>0</v>
      </c>
      <c r="AU244" s="246">
        <f>IFERROR(VLOOKUP(E244,VOL_REC[],2,FALSE),0)</f>
        <v>0</v>
      </c>
      <c r="AV244" s="246">
        <f>IFERROR(VLOOKUP(F244,VOL_REC[],2,FALSE),0)</f>
        <v>11089674.200000001</v>
      </c>
      <c r="AW244" s="246">
        <f>IFERROR(VLOOKUP(G244,VOL_REC[],2,FALSE),0)</f>
        <v>90439.55</v>
      </c>
      <c r="AX244" s="246">
        <f>IFERROR(VLOOKUP(H244,VOL_REC[],2,FALSE),0)</f>
        <v>4325103.1812214684</v>
      </c>
      <c r="AY244" s="246">
        <f>IFERROR(VLOOKUP(I244,VOL_REC[],2,FALSE),0)</f>
        <v>3761786</v>
      </c>
      <c r="AZ244" s="246">
        <f>IFERROR(VLOOKUP(J244,VOL_REC[],2,FALSE),0)</f>
        <v>17074.045034105649</v>
      </c>
      <c r="BA244" s="246">
        <f>IFERROR(VLOOKUP(K244,VOL_REC[],2,FALSE),0)</f>
        <v>0</v>
      </c>
      <c r="BB244" s="246">
        <f>IFERROR(VLOOKUP(L244,VOL_REC[],2,FALSE),0)</f>
        <v>0</v>
      </c>
      <c r="BC244" s="246">
        <f>IFERROR(VLOOKUP(M244,VOL_REC[],2,FALSE),0)</f>
        <v>0</v>
      </c>
      <c r="BD244" s="246">
        <f>IFERROR(VLOOKUP(N244,VOL_REC[],2,FALSE),0)</f>
        <v>0</v>
      </c>
      <c r="BE244" s="246">
        <f>IFERROR(VLOOKUP(O244,VOL_REC[],2,FALSE),0)</f>
        <v>0</v>
      </c>
      <c r="BF244" s="246">
        <f>IFERROR(VLOOKUP(P244,VOL_REC[],2,FALSE),0)</f>
        <v>0</v>
      </c>
      <c r="BG244" s="246">
        <f>IFERROR(VLOOKUP(Q244,VOL_REC[],2,FALSE),0)</f>
        <v>0</v>
      </c>
      <c r="BH244" s="1710">
        <f t="shared" si="12"/>
        <v>11491310020.60759</v>
      </c>
      <c r="BI244" s="1710">
        <f t="shared" si="13"/>
        <v>16487738135.780317</v>
      </c>
      <c r="BJ244" s="1711">
        <f t="shared" si="14"/>
        <v>19284076.976255577</v>
      </c>
      <c r="BK244" s="1711">
        <f t="shared" si="15"/>
        <v>0.69696097342000507</v>
      </c>
    </row>
    <row r="245" spans="3:67" x14ac:dyDescent="0.25">
      <c r="C245" s="246" t="s">
        <v>1595</v>
      </c>
      <c r="D245" s="246">
        <v>1</v>
      </c>
      <c r="E245" s="246">
        <v>2</v>
      </c>
      <c r="F245" s="246">
        <v>3</v>
      </c>
      <c r="G245" s="246">
        <v>4</v>
      </c>
      <c r="H245" s="246">
        <v>5</v>
      </c>
      <c r="I245" s="246">
        <v>9</v>
      </c>
      <c r="J245" s="246">
        <v>15</v>
      </c>
      <c r="K245" s="246"/>
      <c r="L245" s="246"/>
      <c r="M245" s="246"/>
      <c r="N245" s="246"/>
      <c r="O245" s="246"/>
      <c r="P245" s="246"/>
      <c r="Q245" s="246"/>
      <c r="R245" s="246">
        <f>IFERROR(VLOOKUP(D245,PROGRAMAS[],2,FALSE),0)</f>
        <v>97037803.679377079</v>
      </c>
      <c r="S245" s="246">
        <f>IFERROR(VLOOKUP(E245,PROGRAMAS[],2,FALSE),0)</f>
        <v>640501509.6821388</v>
      </c>
      <c r="T245" s="246">
        <f>IFERROR(VLOOKUP(F245,PROGRAMAS[],2,FALSE),0)</f>
        <v>3062327798.1525245</v>
      </c>
      <c r="U245" s="246">
        <f>IFERROR(VLOOKUP(G245,PROGRAMAS[],2,FALSE),0)</f>
        <v>67697118.033011258</v>
      </c>
      <c r="V245" s="246">
        <f>IFERROR(VLOOKUP(H245,PROGRAMAS[],2,FALSE),0)</f>
        <v>1440941976.2528784</v>
      </c>
      <c r="W245" s="246">
        <f>IFERROR(VLOOKUP(I245,PROGRAMAS[],2,FALSE),0)</f>
        <v>6128579952.1618185</v>
      </c>
      <c r="X245" s="246">
        <f>IFERROR(VLOOKUP(J245,PROGRAMAS[],2,FALSE),0)</f>
        <v>122159672.96346797</v>
      </c>
      <c r="Y245" s="246">
        <f>IFERROR(VLOOKUP(K245,PROGRAMAS[],2,FALSE),0)</f>
        <v>0</v>
      </c>
      <c r="Z245" s="246">
        <f>IFERROR(VLOOKUP(L245,PROGRAMAS[],2,FALSE),0)</f>
        <v>0</v>
      </c>
      <c r="AA245" s="246">
        <f>IFERROR(VLOOKUP(M245,PROGRAMAS[],2,FALSE),0)</f>
        <v>0</v>
      </c>
      <c r="AB245" s="246">
        <f>IFERROR(VLOOKUP(N245,PROGRAMAS[],2,FALSE),0)</f>
        <v>0</v>
      </c>
      <c r="AC245" s="246">
        <f>IFERROR(VLOOKUP(O245,PROGRAMAS[],2,FALSE),0)</f>
        <v>0</v>
      </c>
      <c r="AD245" s="246">
        <f>IFERROR(VLOOKUP(P245,PROGRAMAS[],2,FALSE),0)</f>
        <v>0</v>
      </c>
      <c r="AE245" s="246">
        <f>IFERROR(VLOOKUP(Q245,PROGRAMAS[],2,FALSE),0)</f>
        <v>0</v>
      </c>
      <c r="AF245" s="246">
        <f>IFERROR(VLOOKUP(D245,PROGRAMAS[],3,FALSE),0)</f>
        <v>841888629.31080008</v>
      </c>
      <c r="AG245" s="246">
        <f>IFERROR(VLOOKUP(E245,PROGRAMAS[],3,FALSE),0)</f>
        <v>3848980803.1642323</v>
      </c>
      <c r="AH245" s="246">
        <f>IFERROR(VLOOKUP(F245,PROGRAMAS[],3,FALSE),0)</f>
        <v>3394901471.387517</v>
      </c>
      <c r="AI245" s="246">
        <f>IFERROR(VLOOKUP(G245,PROGRAMAS[],3,FALSE),0)</f>
        <v>125317226.95549992</v>
      </c>
      <c r="AJ245" s="246">
        <f>IFERROR(VLOOKUP(H245,PROGRAMAS[],3,FALSE),0)</f>
        <v>1233505101.0616004</v>
      </c>
      <c r="AK245" s="246">
        <f>IFERROR(VLOOKUP(I245,PROGRAMAS[],3,FALSE),0)</f>
        <v>7011279577.519702</v>
      </c>
      <c r="AL245" s="246">
        <f>IFERROR(VLOOKUP(J245,PROGRAMAS[],3,FALSE),0)</f>
        <v>118617452.52510804</v>
      </c>
      <c r="AM245" s="246">
        <f>IFERROR(VLOOKUP(K245,PROGRAMAS[],3,FALSE),0)</f>
        <v>0</v>
      </c>
      <c r="AN245" s="246">
        <f>IFERROR(VLOOKUP(L245,PROGRAMAS[],3,FALSE),0)</f>
        <v>0</v>
      </c>
      <c r="AO245" s="246">
        <f>IFERROR(VLOOKUP(M245,PROGRAMAS[],3,FALSE),0)</f>
        <v>0</v>
      </c>
      <c r="AP245" s="246">
        <f>IFERROR(VLOOKUP(N245,PROGRAMAS[],3,FALSE),0)</f>
        <v>0</v>
      </c>
      <c r="AQ245" s="246">
        <f>IFERROR(VLOOKUP(O245,PROGRAMAS[],3,FALSE),0)</f>
        <v>0</v>
      </c>
      <c r="AR245" s="246">
        <f>IFERROR(VLOOKUP(P245,PROGRAMAS[],3,FALSE),0)</f>
        <v>0</v>
      </c>
      <c r="AS245" s="246">
        <f>IFERROR(VLOOKUP(Q245,PROGRAMAS[],3,FALSE),0)</f>
        <v>0</v>
      </c>
      <c r="AT245" s="246">
        <f>IFERROR(VLOOKUP(D245,VOL_REC[],2,FALSE),0)</f>
        <v>0</v>
      </c>
      <c r="AU245" s="246">
        <f>IFERROR(VLOOKUP(E245,VOL_REC[],2,FALSE),0)</f>
        <v>0</v>
      </c>
      <c r="AV245" s="246">
        <f>IFERROR(VLOOKUP(F245,VOL_REC[],2,FALSE),0)</f>
        <v>11089674.200000001</v>
      </c>
      <c r="AW245" s="246">
        <f>IFERROR(VLOOKUP(G245,VOL_REC[],2,FALSE),0)</f>
        <v>90439.55</v>
      </c>
      <c r="AX245" s="246">
        <f>IFERROR(VLOOKUP(H245,VOL_REC[],2,FALSE),0)</f>
        <v>4325103.1812214684</v>
      </c>
      <c r="AY245" s="246">
        <f>IFERROR(VLOOKUP(I245,VOL_REC[],2,FALSE),0)</f>
        <v>3761786</v>
      </c>
      <c r="AZ245" s="246">
        <f>IFERROR(VLOOKUP(J245,VOL_REC[],2,FALSE),0)</f>
        <v>105072</v>
      </c>
      <c r="BA245" s="246">
        <f>IFERROR(VLOOKUP(K245,VOL_REC[],2,FALSE),0)</f>
        <v>0</v>
      </c>
      <c r="BB245" s="246">
        <f>IFERROR(VLOOKUP(L245,VOL_REC[],2,FALSE),0)</f>
        <v>0</v>
      </c>
      <c r="BC245" s="246">
        <f>IFERROR(VLOOKUP(M245,VOL_REC[],2,FALSE),0)</f>
        <v>0</v>
      </c>
      <c r="BD245" s="246">
        <f>IFERROR(VLOOKUP(N245,VOL_REC[],2,FALSE),0)</f>
        <v>0</v>
      </c>
      <c r="BE245" s="246">
        <f>IFERROR(VLOOKUP(O245,VOL_REC[],2,FALSE),0)</f>
        <v>0</v>
      </c>
      <c r="BF245" s="246">
        <f>IFERROR(VLOOKUP(P245,VOL_REC[],2,FALSE),0)</f>
        <v>0</v>
      </c>
      <c r="BG245" s="246">
        <f>IFERROR(VLOOKUP(Q245,VOL_REC[],2,FALSE),0)</f>
        <v>0</v>
      </c>
      <c r="BH245" s="1710">
        <f t="shared" si="12"/>
        <v>11559245830.925219</v>
      </c>
      <c r="BI245" s="1710">
        <f t="shared" si="13"/>
        <v>16574490261.924461</v>
      </c>
      <c r="BJ245" s="1711">
        <f t="shared" si="14"/>
        <v>19372074.93122147</v>
      </c>
      <c r="BK245" s="1711">
        <f t="shared" si="15"/>
        <v>0.69741184484445651</v>
      </c>
    </row>
    <row r="246" spans="3:67" x14ac:dyDescent="0.25">
      <c r="C246" s="246" t="s">
        <v>1596</v>
      </c>
      <c r="D246" s="246">
        <v>1</v>
      </c>
      <c r="E246" s="246">
        <v>2</v>
      </c>
      <c r="F246" s="246">
        <v>3</v>
      </c>
      <c r="G246" s="246">
        <v>4</v>
      </c>
      <c r="H246" s="246">
        <v>5</v>
      </c>
      <c r="I246" s="246">
        <v>9</v>
      </c>
      <c r="J246" s="246">
        <v>16</v>
      </c>
      <c r="K246" s="246"/>
      <c r="L246" s="246"/>
      <c r="M246" s="246"/>
      <c r="N246" s="246"/>
      <c r="O246" s="246"/>
      <c r="P246" s="246"/>
      <c r="Q246" s="246"/>
      <c r="R246" s="246">
        <f>IFERROR(VLOOKUP(D246,PROGRAMAS[],2,FALSE),0)</f>
        <v>97037803.679377079</v>
      </c>
      <c r="S246" s="246">
        <f>IFERROR(VLOOKUP(E246,PROGRAMAS[],2,FALSE),0)</f>
        <v>640501509.6821388</v>
      </c>
      <c r="T246" s="246">
        <f>IFERROR(VLOOKUP(F246,PROGRAMAS[],2,FALSE),0)</f>
        <v>3062327798.1525245</v>
      </c>
      <c r="U246" s="246">
        <f>IFERROR(VLOOKUP(G246,PROGRAMAS[],2,FALSE),0)</f>
        <v>67697118.033011258</v>
      </c>
      <c r="V246" s="246">
        <f>IFERROR(VLOOKUP(H246,PROGRAMAS[],2,FALSE),0)</f>
        <v>1440941976.2528784</v>
      </c>
      <c r="W246" s="246">
        <f>IFERROR(VLOOKUP(I246,PROGRAMAS[],2,FALSE),0)</f>
        <v>6128579952.1618185</v>
      </c>
      <c r="X246" s="246">
        <f>IFERROR(VLOOKUP(J246,PROGRAMAS[],2,FALSE),0)</f>
        <v>7068496961.0436354</v>
      </c>
      <c r="Y246" s="246">
        <f>IFERROR(VLOOKUP(K246,PROGRAMAS[],2,FALSE),0)</f>
        <v>0</v>
      </c>
      <c r="Z246" s="246">
        <f>IFERROR(VLOOKUP(L246,PROGRAMAS[],2,FALSE),0)</f>
        <v>0</v>
      </c>
      <c r="AA246" s="246">
        <f>IFERROR(VLOOKUP(M246,PROGRAMAS[],2,FALSE),0)</f>
        <v>0</v>
      </c>
      <c r="AB246" s="246">
        <f>IFERROR(VLOOKUP(N246,PROGRAMAS[],2,FALSE),0)</f>
        <v>0</v>
      </c>
      <c r="AC246" s="246">
        <f>IFERROR(VLOOKUP(O246,PROGRAMAS[],2,FALSE),0)</f>
        <v>0</v>
      </c>
      <c r="AD246" s="246">
        <f>IFERROR(VLOOKUP(P246,PROGRAMAS[],2,FALSE),0)</f>
        <v>0</v>
      </c>
      <c r="AE246" s="246">
        <f>IFERROR(VLOOKUP(Q246,PROGRAMAS[],2,FALSE),0)</f>
        <v>0</v>
      </c>
      <c r="AF246" s="246">
        <f>IFERROR(VLOOKUP(D246,PROGRAMAS[],3,FALSE),0)</f>
        <v>841888629.31080008</v>
      </c>
      <c r="AG246" s="246">
        <f>IFERROR(VLOOKUP(E246,PROGRAMAS[],3,FALSE),0)</f>
        <v>3848980803.1642323</v>
      </c>
      <c r="AH246" s="246">
        <f>IFERROR(VLOOKUP(F246,PROGRAMAS[],3,FALSE),0)</f>
        <v>3394901471.387517</v>
      </c>
      <c r="AI246" s="246">
        <f>IFERROR(VLOOKUP(G246,PROGRAMAS[],3,FALSE),0)</f>
        <v>125317226.95549992</v>
      </c>
      <c r="AJ246" s="246">
        <f>IFERROR(VLOOKUP(H246,PROGRAMAS[],3,FALSE),0)</f>
        <v>1233505101.0616004</v>
      </c>
      <c r="AK246" s="246">
        <f>IFERROR(VLOOKUP(I246,PROGRAMAS[],3,FALSE),0)</f>
        <v>7011279577.519702</v>
      </c>
      <c r="AL246" s="246">
        <f>IFERROR(VLOOKUP(J246,PROGRAMAS[],3,FALSE),0)</f>
        <v>2406564599.0319901</v>
      </c>
      <c r="AM246" s="246">
        <f>IFERROR(VLOOKUP(K246,PROGRAMAS[],3,FALSE),0)</f>
        <v>0</v>
      </c>
      <c r="AN246" s="246">
        <f>IFERROR(VLOOKUP(L246,PROGRAMAS[],3,FALSE),0)</f>
        <v>0</v>
      </c>
      <c r="AO246" s="246">
        <f>IFERROR(VLOOKUP(M246,PROGRAMAS[],3,FALSE),0)</f>
        <v>0</v>
      </c>
      <c r="AP246" s="246">
        <f>IFERROR(VLOOKUP(N246,PROGRAMAS[],3,FALSE),0)</f>
        <v>0</v>
      </c>
      <c r="AQ246" s="246">
        <f>IFERROR(VLOOKUP(O246,PROGRAMAS[],3,FALSE),0)</f>
        <v>0</v>
      </c>
      <c r="AR246" s="246">
        <f>IFERROR(VLOOKUP(P246,PROGRAMAS[],3,FALSE),0)</f>
        <v>0</v>
      </c>
      <c r="AS246" s="246">
        <f>IFERROR(VLOOKUP(Q246,PROGRAMAS[],3,FALSE),0)</f>
        <v>0</v>
      </c>
      <c r="AT246" s="246">
        <f>IFERROR(VLOOKUP(D246,VOL_REC[],2,FALSE),0)</f>
        <v>0</v>
      </c>
      <c r="AU246" s="246">
        <f>IFERROR(VLOOKUP(E246,VOL_REC[],2,FALSE),0)</f>
        <v>0</v>
      </c>
      <c r="AV246" s="246">
        <f>IFERROR(VLOOKUP(F246,VOL_REC[],2,FALSE),0)</f>
        <v>11089674.200000001</v>
      </c>
      <c r="AW246" s="246">
        <f>IFERROR(VLOOKUP(G246,VOL_REC[],2,FALSE),0)</f>
        <v>90439.55</v>
      </c>
      <c r="AX246" s="246">
        <f>IFERROR(VLOOKUP(H246,VOL_REC[],2,FALSE),0)</f>
        <v>4325103.1812214684</v>
      </c>
      <c r="AY246" s="246">
        <f>IFERROR(VLOOKUP(I246,VOL_REC[],2,FALSE),0)</f>
        <v>3761786</v>
      </c>
      <c r="AZ246" s="246">
        <f>IFERROR(VLOOKUP(J246,VOL_REC[],2,FALSE),0)</f>
        <v>1072354.9981737854</v>
      </c>
      <c r="BA246" s="246">
        <f>IFERROR(VLOOKUP(K246,VOL_REC[],2,FALSE),0)</f>
        <v>0</v>
      </c>
      <c r="BB246" s="246">
        <f>IFERROR(VLOOKUP(L246,VOL_REC[],2,FALSE),0)</f>
        <v>0</v>
      </c>
      <c r="BC246" s="246">
        <f>IFERROR(VLOOKUP(M246,VOL_REC[],2,FALSE),0)</f>
        <v>0</v>
      </c>
      <c r="BD246" s="246">
        <f>IFERROR(VLOOKUP(N246,VOL_REC[],2,FALSE),0)</f>
        <v>0</v>
      </c>
      <c r="BE246" s="246">
        <f>IFERROR(VLOOKUP(O246,VOL_REC[],2,FALSE),0)</f>
        <v>0</v>
      </c>
      <c r="BF246" s="246">
        <f>IFERROR(VLOOKUP(P246,VOL_REC[],2,FALSE),0)</f>
        <v>0</v>
      </c>
      <c r="BG246" s="246">
        <f>IFERROR(VLOOKUP(Q246,VOL_REC[],2,FALSE),0)</f>
        <v>0</v>
      </c>
      <c r="BH246" s="1710">
        <f t="shared" si="12"/>
        <v>18505583119.005386</v>
      </c>
      <c r="BI246" s="1710">
        <f t="shared" si="13"/>
        <v>18862437408.431343</v>
      </c>
      <c r="BJ246" s="1711">
        <f t="shared" si="14"/>
        <v>20339357.929395255</v>
      </c>
      <c r="BK246" s="1711">
        <f t="shared" si="15"/>
        <v>0.98108122075111848</v>
      </c>
    </row>
    <row r="247" spans="3:67" x14ac:dyDescent="0.25">
      <c r="C247" s="246" t="s">
        <v>1597</v>
      </c>
      <c r="D247" s="246">
        <v>1</v>
      </c>
      <c r="E247" s="246">
        <v>2</v>
      </c>
      <c r="F247" s="246">
        <v>3</v>
      </c>
      <c r="G247" s="246">
        <v>4</v>
      </c>
      <c r="H247" s="246">
        <v>5</v>
      </c>
      <c r="I247" s="246">
        <v>9</v>
      </c>
      <c r="J247" s="246">
        <v>17</v>
      </c>
      <c r="K247" s="246"/>
      <c r="L247" s="246"/>
      <c r="M247" s="246"/>
      <c r="N247" s="246"/>
      <c r="O247" s="246"/>
      <c r="P247" s="246"/>
      <c r="Q247" s="246"/>
      <c r="R247" s="246">
        <f>IFERROR(VLOOKUP(D247,PROGRAMAS[],2,FALSE),0)</f>
        <v>97037803.679377079</v>
      </c>
      <c r="S247" s="246">
        <f>IFERROR(VLOOKUP(E247,PROGRAMAS[],2,FALSE),0)</f>
        <v>640501509.6821388</v>
      </c>
      <c r="T247" s="246">
        <f>IFERROR(VLOOKUP(F247,PROGRAMAS[],2,FALSE),0)</f>
        <v>3062327798.1525245</v>
      </c>
      <c r="U247" s="246">
        <f>IFERROR(VLOOKUP(G247,PROGRAMAS[],2,FALSE),0)</f>
        <v>67697118.033011258</v>
      </c>
      <c r="V247" s="246">
        <f>IFERROR(VLOOKUP(H247,PROGRAMAS[],2,FALSE),0)</f>
        <v>1440941976.2528784</v>
      </c>
      <c r="W247" s="246">
        <f>IFERROR(VLOOKUP(I247,PROGRAMAS[],2,FALSE),0)</f>
        <v>6128579952.1618185</v>
      </c>
      <c r="X247" s="246">
        <f>IFERROR(VLOOKUP(J247,PROGRAMAS[],2,FALSE),0)</f>
        <v>1892779498.5211046</v>
      </c>
      <c r="Y247" s="246">
        <f>IFERROR(VLOOKUP(K247,PROGRAMAS[],2,FALSE),0)</f>
        <v>0</v>
      </c>
      <c r="Z247" s="246">
        <f>IFERROR(VLOOKUP(L247,PROGRAMAS[],2,FALSE),0)</f>
        <v>0</v>
      </c>
      <c r="AA247" s="246">
        <f>IFERROR(VLOOKUP(M247,PROGRAMAS[],2,FALSE),0)</f>
        <v>0</v>
      </c>
      <c r="AB247" s="246">
        <f>IFERROR(VLOOKUP(N247,PROGRAMAS[],2,FALSE),0)</f>
        <v>0</v>
      </c>
      <c r="AC247" s="246">
        <f>IFERROR(VLOOKUP(O247,PROGRAMAS[],2,FALSE),0)</f>
        <v>0</v>
      </c>
      <c r="AD247" s="246">
        <f>IFERROR(VLOOKUP(P247,PROGRAMAS[],2,FALSE),0)</f>
        <v>0</v>
      </c>
      <c r="AE247" s="246">
        <f>IFERROR(VLOOKUP(Q247,PROGRAMAS[],2,FALSE),0)</f>
        <v>0</v>
      </c>
      <c r="AF247" s="246">
        <f>IFERROR(VLOOKUP(D247,PROGRAMAS[],3,FALSE),0)</f>
        <v>841888629.31080008</v>
      </c>
      <c r="AG247" s="246">
        <f>IFERROR(VLOOKUP(E247,PROGRAMAS[],3,FALSE),0)</f>
        <v>3848980803.1642323</v>
      </c>
      <c r="AH247" s="246">
        <f>IFERROR(VLOOKUP(F247,PROGRAMAS[],3,FALSE),0)</f>
        <v>3394901471.387517</v>
      </c>
      <c r="AI247" s="246">
        <f>IFERROR(VLOOKUP(G247,PROGRAMAS[],3,FALSE),0)</f>
        <v>125317226.95549992</v>
      </c>
      <c r="AJ247" s="246">
        <f>IFERROR(VLOOKUP(H247,PROGRAMAS[],3,FALSE),0)</f>
        <v>1233505101.0616004</v>
      </c>
      <c r="AK247" s="246">
        <f>IFERROR(VLOOKUP(I247,PROGRAMAS[],3,FALSE),0)</f>
        <v>7011279577.519702</v>
      </c>
      <c r="AL247" s="246">
        <f>IFERROR(VLOOKUP(J247,PROGRAMAS[],3,FALSE),0)</f>
        <v>948595847.09039903</v>
      </c>
      <c r="AM247" s="246">
        <f>IFERROR(VLOOKUP(K247,PROGRAMAS[],3,FALSE),0)</f>
        <v>0</v>
      </c>
      <c r="AN247" s="246">
        <f>IFERROR(VLOOKUP(L247,PROGRAMAS[],3,FALSE),0)</f>
        <v>0</v>
      </c>
      <c r="AO247" s="246">
        <f>IFERROR(VLOOKUP(M247,PROGRAMAS[],3,FALSE),0)</f>
        <v>0</v>
      </c>
      <c r="AP247" s="246">
        <f>IFERROR(VLOOKUP(N247,PROGRAMAS[],3,FALSE),0)</f>
        <v>0</v>
      </c>
      <c r="AQ247" s="246">
        <f>IFERROR(VLOOKUP(O247,PROGRAMAS[],3,FALSE),0)</f>
        <v>0</v>
      </c>
      <c r="AR247" s="246">
        <f>IFERROR(VLOOKUP(P247,PROGRAMAS[],3,FALSE),0)</f>
        <v>0</v>
      </c>
      <c r="AS247" s="246">
        <f>IFERROR(VLOOKUP(Q247,PROGRAMAS[],3,FALSE),0)</f>
        <v>0</v>
      </c>
      <c r="AT247" s="246">
        <f>IFERROR(VLOOKUP(D247,VOL_REC[],2,FALSE),0)</f>
        <v>0</v>
      </c>
      <c r="AU247" s="246">
        <f>IFERROR(VLOOKUP(E247,VOL_REC[],2,FALSE),0)</f>
        <v>0</v>
      </c>
      <c r="AV247" s="246">
        <f>IFERROR(VLOOKUP(F247,VOL_REC[],2,FALSE),0)</f>
        <v>11089674.200000001</v>
      </c>
      <c r="AW247" s="246">
        <f>IFERROR(VLOOKUP(G247,VOL_REC[],2,FALSE),0)</f>
        <v>90439.55</v>
      </c>
      <c r="AX247" s="246">
        <f>IFERROR(VLOOKUP(H247,VOL_REC[],2,FALSE),0)</f>
        <v>4325103.1812214684</v>
      </c>
      <c r="AY247" s="246">
        <f>IFERROR(VLOOKUP(I247,VOL_REC[],2,FALSE),0)</f>
        <v>3761786</v>
      </c>
      <c r="AZ247" s="246">
        <f>IFERROR(VLOOKUP(J247,VOL_REC[],2,FALSE),0)</f>
        <v>740113.98115702497</v>
      </c>
      <c r="BA247" s="246">
        <f>IFERROR(VLOOKUP(K247,VOL_REC[],2,FALSE),0)</f>
        <v>0</v>
      </c>
      <c r="BB247" s="246">
        <f>IFERROR(VLOOKUP(L247,VOL_REC[],2,FALSE),0)</f>
        <v>0</v>
      </c>
      <c r="BC247" s="246">
        <f>IFERROR(VLOOKUP(M247,VOL_REC[],2,FALSE),0)</f>
        <v>0</v>
      </c>
      <c r="BD247" s="246">
        <f>IFERROR(VLOOKUP(N247,VOL_REC[],2,FALSE),0)</f>
        <v>0</v>
      </c>
      <c r="BE247" s="246">
        <f>IFERROR(VLOOKUP(O247,VOL_REC[],2,FALSE),0)</f>
        <v>0</v>
      </c>
      <c r="BF247" s="246">
        <f>IFERROR(VLOOKUP(P247,VOL_REC[],2,FALSE),0)</f>
        <v>0</v>
      </c>
      <c r="BG247" s="246">
        <f>IFERROR(VLOOKUP(Q247,VOL_REC[],2,FALSE),0)</f>
        <v>0</v>
      </c>
      <c r="BH247" s="1710">
        <f t="shared" si="12"/>
        <v>13329865656.482855</v>
      </c>
      <c r="BI247" s="1710">
        <f t="shared" si="13"/>
        <v>17404468656.489754</v>
      </c>
      <c r="BJ247" s="1711">
        <f t="shared" si="14"/>
        <v>20007116.912378494</v>
      </c>
      <c r="BK247" s="1711">
        <f t="shared" si="15"/>
        <v>0.76588753840022761</v>
      </c>
    </row>
    <row r="248" spans="3:67" x14ac:dyDescent="0.25">
      <c r="C248" s="246" t="s">
        <v>1598</v>
      </c>
      <c r="D248" s="246">
        <v>1</v>
      </c>
      <c r="E248" s="246">
        <v>2</v>
      </c>
      <c r="F248" s="246">
        <v>3</v>
      </c>
      <c r="G248" s="246">
        <v>4</v>
      </c>
      <c r="H248" s="246">
        <v>5</v>
      </c>
      <c r="I248" s="246">
        <v>10</v>
      </c>
      <c r="J248" s="246">
        <v>12</v>
      </c>
      <c r="K248" s="246"/>
      <c r="L248" s="246"/>
      <c r="M248" s="246"/>
      <c r="N248" s="246"/>
      <c r="O248" s="246"/>
      <c r="P248" s="246"/>
      <c r="Q248" s="246"/>
      <c r="R248" s="246">
        <f>IFERROR(VLOOKUP(D248,PROGRAMAS[],2,FALSE),0)</f>
        <v>97037803.679377079</v>
      </c>
      <c r="S248" s="246">
        <f>IFERROR(VLOOKUP(E248,PROGRAMAS[],2,FALSE),0)</f>
        <v>640501509.6821388</v>
      </c>
      <c r="T248" s="246">
        <f>IFERROR(VLOOKUP(F248,PROGRAMAS[],2,FALSE),0)</f>
        <v>3062327798.1525245</v>
      </c>
      <c r="U248" s="246">
        <f>IFERROR(VLOOKUP(G248,PROGRAMAS[],2,FALSE),0)</f>
        <v>67697118.033011258</v>
      </c>
      <c r="V248" s="246">
        <f>IFERROR(VLOOKUP(H248,PROGRAMAS[],2,FALSE),0)</f>
        <v>1440941976.2528784</v>
      </c>
      <c r="W248" s="246">
        <f>IFERROR(VLOOKUP(I248,PROGRAMAS[],2,FALSE),0)</f>
        <v>4635315027.8751087</v>
      </c>
      <c r="X248" s="246">
        <f>IFERROR(VLOOKUP(J248,PROGRAMAS[],2,FALSE),0)</f>
        <v>764796700.79905891</v>
      </c>
      <c r="Y248" s="246">
        <f>IFERROR(VLOOKUP(K248,PROGRAMAS[],2,FALSE),0)</f>
        <v>0</v>
      </c>
      <c r="Z248" s="246">
        <f>IFERROR(VLOOKUP(L248,PROGRAMAS[],2,FALSE),0)</f>
        <v>0</v>
      </c>
      <c r="AA248" s="246">
        <f>IFERROR(VLOOKUP(M248,PROGRAMAS[],2,FALSE),0)</f>
        <v>0</v>
      </c>
      <c r="AB248" s="246">
        <f>IFERROR(VLOOKUP(N248,PROGRAMAS[],2,FALSE),0)</f>
        <v>0</v>
      </c>
      <c r="AC248" s="246">
        <f>IFERROR(VLOOKUP(O248,PROGRAMAS[],2,FALSE),0)</f>
        <v>0</v>
      </c>
      <c r="AD248" s="246">
        <f>IFERROR(VLOOKUP(P248,PROGRAMAS[],2,FALSE),0)</f>
        <v>0</v>
      </c>
      <c r="AE248" s="246">
        <f>IFERROR(VLOOKUP(Q248,PROGRAMAS[],2,FALSE),0)</f>
        <v>0</v>
      </c>
      <c r="AF248" s="246">
        <f>IFERROR(VLOOKUP(D248,PROGRAMAS[],3,FALSE),0)</f>
        <v>841888629.31080008</v>
      </c>
      <c r="AG248" s="246">
        <f>IFERROR(VLOOKUP(E248,PROGRAMAS[],3,FALSE),0)</f>
        <v>3848980803.1642323</v>
      </c>
      <c r="AH248" s="246">
        <f>IFERROR(VLOOKUP(F248,PROGRAMAS[],3,FALSE),0)</f>
        <v>3394901471.387517</v>
      </c>
      <c r="AI248" s="246">
        <f>IFERROR(VLOOKUP(G248,PROGRAMAS[],3,FALSE),0)</f>
        <v>125317226.95549992</v>
      </c>
      <c r="AJ248" s="246">
        <f>IFERROR(VLOOKUP(H248,PROGRAMAS[],3,FALSE),0)</f>
        <v>1233505101.0616004</v>
      </c>
      <c r="AK248" s="246">
        <f>IFERROR(VLOOKUP(I248,PROGRAMAS[],3,FALSE),0)</f>
        <v>4099471734.9978786</v>
      </c>
      <c r="AL248" s="246">
        <f>IFERROR(VLOOKUP(J248,PROGRAMAS[],3,FALSE),0)</f>
        <v>675517840.109828</v>
      </c>
      <c r="AM248" s="246">
        <f>IFERROR(VLOOKUP(K248,PROGRAMAS[],3,FALSE),0)</f>
        <v>0</v>
      </c>
      <c r="AN248" s="246">
        <f>IFERROR(VLOOKUP(L248,PROGRAMAS[],3,FALSE),0)</f>
        <v>0</v>
      </c>
      <c r="AO248" s="246">
        <f>IFERROR(VLOOKUP(M248,PROGRAMAS[],3,FALSE),0)</f>
        <v>0</v>
      </c>
      <c r="AP248" s="246">
        <f>IFERROR(VLOOKUP(N248,PROGRAMAS[],3,FALSE),0)</f>
        <v>0</v>
      </c>
      <c r="AQ248" s="246">
        <f>IFERROR(VLOOKUP(O248,PROGRAMAS[],3,FALSE),0)</f>
        <v>0</v>
      </c>
      <c r="AR248" s="246">
        <f>IFERROR(VLOOKUP(P248,PROGRAMAS[],3,FALSE),0)</f>
        <v>0</v>
      </c>
      <c r="AS248" s="246">
        <f>IFERROR(VLOOKUP(Q248,PROGRAMAS[],3,FALSE),0)</f>
        <v>0</v>
      </c>
      <c r="AT248" s="246">
        <f>IFERROR(VLOOKUP(D248,VOL_REC[],2,FALSE),0)</f>
        <v>0</v>
      </c>
      <c r="AU248" s="246">
        <f>IFERROR(VLOOKUP(E248,VOL_REC[],2,FALSE),0)</f>
        <v>0</v>
      </c>
      <c r="AV248" s="246">
        <f>IFERROR(VLOOKUP(F248,VOL_REC[],2,FALSE),0)</f>
        <v>11089674.200000001</v>
      </c>
      <c r="AW248" s="246">
        <f>IFERROR(VLOOKUP(G248,VOL_REC[],2,FALSE),0)</f>
        <v>90439.55</v>
      </c>
      <c r="AX248" s="246">
        <f>IFERROR(VLOOKUP(H248,VOL_REC[],2,FALSE),0)</f>
        <v>4325103.1812214684</v>
      </c>
      <c r="AY248" s="246">
        <f>IFERROR(VLOOKUP(I248,VOL_REC[],2,FALSE),0)</f>
        <v>1812240</v>
      </c>
      <c r="AZ248" s="246">
        <f>IFERROR(VLOOKUP(J248,VOL_REC[],2,FALSE),0)</f>
        <v>240696.79238099116</v>
      </c>
      <c r="BA248" s="246">
        <f>IFERROR(VLOOKUP(K248,VOL_REC[],2,FALSE),0)</f>
        <v>0</v>
      </c>
      <c r="BB248" s="246">
        <f>IFERROR(VLOOKUP(L248,VOL_REC[],2,FALSE),0)</f>
        <v>0</v>
      </c>
      <c r="BC248" s="246">
        <f>IFERROR(VLOOKUP(M248,VOL_REC[],2,FALSE),0)</f>
        <v>0</v>
      </c>
      <c r="BD248" s="246">
        <f>IFERROR(VLOOKUP(N248,VOL_REC[],2,FALSE),0)</f>
        <v>0</v>
      </c>
      <c r="BE248" s="246">
        <f>IFERROR(VLOOKUP(O248,VOL_REC[],2,FALSE),0)</f>
        <v>0</v>
      </c>
      <c r="BF248" s="246">
        <f>IFERROR(VLOOKUP(P248,VOL_REC[],2,FALSE),0)</f>
        <v>0</v>
      </c>
      <c r="BG248" s="246">
        <f>IFERROR(VLOOKUP(Q248,VOL_REC[],2,FALSE),0)</f>
        <v>0</v>
      </c>
      <c r="BH248" s="1710">
        <f t="shared" si="12"/>
        <v>10708617934.474098</v>
      </c>
      <c r="BI248" s="1710">
        <f t="shared" si="13"/>
        <v>14219582806.987358</v>
      </c>
      <c r="BJ248" s="1711">
        <f t="shared" si="14"/>
        <v>17558153.723602463</v>
      </c>
      <c r="BK248" s="1711">
        <f t="shared" si="15"/>
        <v>0.75308945978443143</v>
      </c>
    </row>
    <row r="249" spans="3:67" x14ac:dyDescent="0.25">
      <c r="C249" s="246" t="s">
        <v>1599</v>
      </c>
      <c r="D249" s="246">
        <v>1</v>
      </c>
      <c r="E249" s="246">
        <v>2</v>
      </c>
      <c r="F249" s="246">
        <v>3</v>
      </c>
      <c r="G249" s="246">
        <v>4</v>
      </c>
      <c r="H249" s="246">
        <v>5</v>
      </c>
      <c r="I249" s="246">
        <v>10</v>
      </c>
      <c r="J249" s="246">
        <v>13</v>
      </c>
      <c r="K249" s="246"/>
      <c r="L249" s="246"/>
      <c r="M249" s="246"/>
      <c r="N249" s="246"/>
      <c r="O249" s="246"/>
      <c r="P249" s="246"/>
      <c r="Q249" s="246"/>
      <c r="R249" s="246">
        <f>IFERROR(VLOOKUP(D249,PROGRAMAS[],2,FALSE),0)</f>
        <v>97037803.679377079</v>
      </c>
      <c r="S249" s="246">
        <f>IFERROR(VLOOKUP(E249,PROGRAMAS[],2,FALSE),0)</f>
        <v>640501509.6821388</v>
      </c>
      <c r="T249" s="246">
        <f>IFERROR(VLOOKUP(F249,PROGRAMAS[],2,FALSE),0)</f>
        <v>3062327798.1525245</v>
      </c>
      <c r="U249" s="246">
        <f>IFERROR(VLOOKUP(G249,PROGRAMAS[],2,FALSE),0)</f>
        <v>67697118.033011258</v>
      </c>
      <c r="V249" s="246">
        <f>IFERROR(VLOOKUP(H249,PROGRAMAS[],2,FALSE),0)</f>
        <v>1440941976.2528784</v>
      </c>
      <c r="W249" s="246">
        <f>IFERROR(VLOOKUP(I249,PROGRAMAS[],2,FALSE),0)</f>
        <v>4635315027.8751087</v>
      </c>
      <c r="X249" s="246">
        <f>IFERROR(VLOOKUP(J249,PROGRAMAS[],2,FALSE),0)</f>
        <v>3776538594.4604583</v>
      </c>
      <c r="Y249" s="246">
        <f>IFERROR(VLOOKUP(K249,PROGRAMAS[],2,FALSE),0)</f>
        <v>0</v>
      </c>
      <c r="Z249" s="246">
        <f>IFERROR(VLOOKUP(L249,PROGRAMAS[],2,FALSE),0)</f>
        <v>0</v>
      </c>
      <c r="AA249" s="246">
        <f>IFERROR(VLOOKUP(M249,PROGRAMAS[],2,FALSE),0)</f>
        <v>0</v>
      </c>
      <c r="AB249" s="246">
        <f>IFERROR(VLOOKUP(N249,PROGRAMAS[],2,FALSE),0)</f>
        <v>0</v>
      </c>
      <c r="AC249" s="246">
        <f>IFERROR(VLOOKUP(O249,PROGRAMAS[],2,FALSE),0)</f>
        <v>0</v>
      </c>
      <c r="AD249" s="246">
        <f>IFERROR(VLOOKUP(P249,PROGRAMAS[],2,FALSE),0)</f>
        <v>0</v>
      </c>
      <c r="AE249" s="246">
        <f>IFERROR(VLOOKUP(Q249,PROGRAMAS[],2,FALSE),0)</f>
        <v>0</v>
      </c>
      <c r="AF249" s="246">
        <f>IFERROR(VLOOKUP(D249,PROGRAMAS[],3,FALSE),0)</f>
        <v>841888629.31080008</v>
      </c>
      <c r="AG249" s="246">
        <f>IFERROR(VLOOKUP(E249,PROGRAMAS[],3,FALSE),0)</f>
        <v>3848980803.1642323</v>
      </c>
      <c r="AH249" s="246">
        <f>IFERROR(VLOOKUP(F249,PROGRAMAS[],3,FALSE),0)</f>
        <v>3394901471.387517</v>
      </c>
      <c r="AI249" s="246">
        <f>IFERROR(VLOOKUP(G249,PROGRAMAS[],3,FALSE),0)</f>
        <v>125317226.95549992</v>
      </c>
      <c r="AJ249" s="246">
        <f>IFERROR(VLOOKUP(H249,PROGRAMAS[],3,FALSE),0)</f>
        <v>1233505101.0616004</v>
      </c>
      <c r="AK249" s="246">
        <f>IFERROR(VLOOKUP(I249,PROGRAMAS[],3,FALSE),0)</f>
        <v>4099471734.9978786</v>
      </c>
      <c r="AL249" s="246">
        <f>IFERROR(VLOOKUP(J249,PROGRAMAS[],3,FALSE),0)</f>
        <v>2392571243.5584412</v>
      </c>
      <c r="AM249" s="246">
        <f>IFERROR(VLOOKUP(K249,PROGRAMAS[],3,FALSE),0)</f>
        <v>0</v>
      </c>
      <c r="AN249" s="246">
        <f>IFERROR(VLOOKUP(L249,PROGRAMAS[],3,FALSE),0)</f>
        <v>0</v>
      </c>
      <c r="AO249" s="246">
        <f>IFERROR(VLOOKUP(M249,PROGRAMAS[],3,FALSE),0)</f>
        <v>0</v>
      </c>
      <c r="AP249" s="246">
        <f>IFERROR(VLOOKUP(N249,PROGRAMAS[],3,FALSE),0)</f>
        <v>0</v>
      </c>
      <c r="AQ249" s="246">
        <f>IFERROR(VLOOKUP(O249,PROGRAMAS[],3,FALSE),0)</f>
        <v>0</v>
      </c>
      <c r="AR249" s="246">
        <f>IFERROR(VLOOKUP(P249,PROGRAMAS[],3,FALSE),0)</f>
        <v>0</v>
      </c>
      <c r="AS249" s="246">
        <f>IFERROR(VLOOKUP(Q249,PROGRAMAS[],3,FALSE),0)</f>
        <v>0</v>
      </c>
      <c r="AT249" s="246">
        <f>IFERROR(VLOOKUP(D249,VOL_REC[],2,FALSE),0)</f>
        <v>0</v>
      </c>
      <c r="AU249" s="246">
        <f>IFERROR(VLOOKUP(E249,VOL_REC[],2,FALSE),0)</f>
        <v>0</v>
      </c>
      <c r="AV249" s="246">
        <f>IFERROR(VLOOKUP(F249,VOL_REC[],2,FALSE),0)</f>
        <v>11089674.200000001</v>
      </c>
      <c r="AW249" s="246">
        <f>IFERROR(VLOOKUP(G249,VOL_REC[],2,FALSE),0)</f>
        <v>90439.55</v>
      </c>
      <c r="AX249" s="246">
        <f>IFERROR(VLOOKUP(H249,VOL_REC[],2,FALSE),0)</f>
        <v>4325103.1812214684</v>
      </c>
      <c r="AY249" s="246">
        <f>IFERROR(VLOOKUP(I249,VOL_REC[],2,FALSE),0)</f>
        <v>1812240</v>
      </c>
      <c r="AZ249" s="246">
        <f>IFERROR(VLOOKUP(J249,VOL_REC[],2,FALSE),0)</f>
        <v>663244.80000000016</v>
      </c>
      <c r="BA249" s="246">
        <f>IFERROR(VLOOKUP(K249,VOL_REC[],2,FALSE),0)</f>
        <v>0</v>
      </c>
      <c r="BB249" s="246">
        <f>IFERROR(VLOOKUP(L249,VOL_REC[],2,FALSE),0)</f>
        <v>0</v>
      </c>
      <c r="BC249" s="246">
        <f>IFERROR(VLOOKUP(M249,VOL_REC[],2,FALSE),0)</f>
        <v>0</v>
      </c>
      <c r="BD249" s="246">
        <f>IFERROR(VLOOKUP(N249,VOL_REC[],2,FALSE),0)</f>
        <v>0</v>
      </c>
      <c r="BE249" s="246">
        <f>IFERROR(VLOOKUP(O249,VOL_REC[],2,FALSE),0)</f>
        <v>0</v>
      </c>
      <c r="BF249" s="246">
        <f>IFERROR(VLOOKUP(P249,VOL_REC[],2,FALSE),0)</f>
        <v>0</v>
      </c>
      <c r="BG249" s="246">
        <f>IFERROR(VLOOKUP(Q249,VOL_REC[],2,FALSE),0)</f>
        <v>0</v>
      </c>
      <c r="BH249" s="1710">
        <f t="shared" si="12"/>
        <v>13720359828.135498</v>
      </c>
      <c r="BI249" s="1710">
        <f t="shared" si="13"/>
        <v>15936636210.43597</v>
      </c>
      <c r="BJ249" s="1711">
        <f t="shared" si="14"/>
        <v>17980701.731221471</v>
      </c>
      <c r="BK249" s="1711">
        <f t="shared" si="15"/>
        <v>0.86093198382421743</v>
      </c>
    </row>
    <row r="250" spans="3:67" x14ac:dyDescent="0.25">
      <c r="C250" s="246" t="s">
        <v>1600</v>
      </c>
      <c r="D250" s="246">
        <v>1</v>
      </c>
      <c r="E250" s="246">
        <v>2</v>
      </c>
      <c r="F250" s="246">
        <v>3</v>
      </c>
      <c r="G250" s="246">
        <v>4</v>
      </c>
      <c r="H250" s="246">
        <v>5</v>
      </c>
      <c r="I250" s="246">
        <v>10</v>
      </c>
      <c r="J250" s="246">
        <v>14</v>
      </c>
      <c r="K250" s="246"/>
      <c r="L250" s="246"/>
      <c r="M250" s="246"/>
      <c r="N250" s="246"/>
      <c r="O250" s="246"/>
      <c r="P250" s="246"/>
      <c r="Q250" s="246"/>
      <c r="R250" s="246">
        <f>IFERROR(VLOOKUP(D250,PROGRAMAS[],2,FALSE),0)</f>
        <v>97037803.679377079</v>
      </c>
      <c r="S250" s="246">
        <f>IFERROR(VLOOKUP(E250,PROGRAMAS[],2,FALSE),0)</f>
        <v>640501509.6821388</v>
      </c>
      <c r="T250" s="246">
        <f>IFERROR(VLOOKUP(F250,PROGRAMAS[],2,FALSE),0)</f>
        <v>3062327798.1525245</v>
      </c>
      <c r="U250" s="246">
        <f>IFERROR(VLOOKUP(G250,PROGRAMAS[],2,FALSE),0)</f>
        <v>67697118.033011258</v>
      </c>
      <c r="V250" s="246">
        <f>IFERROR(VLOOKUP(H250,PROGRAMAS[],2,FALSE),0)</f>
        <v>1440941976.2528784</v>
      </c>
      <c r="W250" s="246">
        <f>IFERROR(VLOOKUP(I250,PROGRAMAS[],2,FALSE),0)</f>
        <v>4635315027.8751087</v>
      </c>
      <c r="X250" s="246">
        <f>IFERROR(VLOOKUP(J250,PROGRAMAS[],2,FALSE),0)</f>
        <v>54223862.645839565</v>
      </c>
      <c r="Y250" s="246">
        <f>IFERROR(VLOOKUP(K250,PROGRAMAS[],2,FALSE),0)</f>
        <v>0</v>
      </c>
      <c r="Z250" s="246">
        <f>IFERROR(VLOOKUP(L250,PROGRAMAS[],2,FALSE),0)</f>
        <v>0</v>
      </c>
      <c r="AA250" s="246">
        <f>IFERROR(VLOOKUP(M250,PROGRAMAS[],2,FALSE),0)</f>
        <v>0</v>
      </c>
      <c r="AB250" s="246">
        <f>IFERROR(VLOOKUP(N250,PROGRAMAS[],2,FALSE),0)</f>
        <v>0</v>
      </c>
      <c r="AC250" s="246">
        <f>IFERROR(VLOOKUP(O250,PROGRAMAS[],2,FALSE),0)</f>
        <v>0</v>
      </c>
      <c r="AD250" s="246">
        <f>IFERROR(VLOOKUP(P250,PROGRAMAS[],2,FALSE),0)</f>
        <v>0</v>
      </c>
      <c r="AE250" s="246">
        <f>IFERROR(VLOOKUP(Q250,PROGRAMAS[],2,FALSE),0)</f>
        <v>0</v>
      </c>
      <c r="AF250" s="246">
        <f>IFERROR(VLOOKUP(D250,PROGRAMAS[],3,FALSE),0)</f>
        <v>841888629.31080008</v>
      </c>
      <c r="AG250" s="246">
        <f>IFERROR(VLOOKUP(E250,PROGRAMAS[],3,FALSE),0)</f>
        <v>3848980803.1642323</v>
      </c>
      <c r="AH250" s="246">
        <f>IFERROR(VLOOKUP(F250,PROGRAMAS[],3,FALSE),0)</f>
        <v>3394901471.387517</v>
      </c>
      <c r="AI250" s="246">
        <f>IFERROR(VLOOKUP(G250,PROGRAMAS[],3,FALSE),0)</f>
        <v>125317226.95549992</v>
      </c>
      <c r="AJ250" s="246">
        <f>IFERROR(VLOOKUP(H250,PROGRAMAS[],3,FALSE),0)</f>
        <v>1233505101.0616004</v>
      </c>
      <c r="AK250" s="246">
        <f>IFERROR(VLOOKUP(I250,PROGRAMAS[],3,FALSE),0)</f>
        <v>4099471734.9978786</v>
      </c>
      <c r="AL250" s="246">
        <f>IFERROR(VLOOKUP(J250,PROGRAMAS[],3,FALSE),0)</f>
        <v>31865326.38096505</v>
      </c>
      <c r="AM250" s="246">
        <f>IFERROR(VLOOKUP(K250,PROGRAMAS[],3,FALSE),0)</f>
        <v>0</v>
      </c>
      <c r="AN250" s="246">
        <f>IFERROR(VLOOKUP(L250,PROGRAMAS[],3,FALSE),0)</f>
        <v>0</v>
      </c>
      <c r="AO250" s="246">
        <f>IFERROR(VLOOKUP(M250,PROGRAMAS[],3,FALSE),0)</f>
        <v>0</v>
      </c>
      <c r="AP250" s="246">
        <f>IFERROR(VLOOKUP(N250,PROGRAMAS[],3,FALSE),0)</f>
        <v>0</v>
      </c>
      <c r="AQ250" s="246">
        <f>IFERROR(VLOOKUP(O250,PROGRAMAS[],3,FALSE),0)</f>
        <v>0</v>
      </c>
      <c r="AR250" s="246">
        <f>IFERROR(VLOOKUP(P250,PROGRAMAS[],3,FALSE),0)</f>
        <v>0</v>
      </c>
      <c r="AS250" s="246">
        <f>IFERROR(VLOOKUP(Q250,PROGRAMAS[],3,FALSE),0)</f>
        <v>0</v>
      </c>
      <c r="AT250" s="246">
        <f>IFERROR(VLOOKUP(D250,VOL_REC[],2,FALSE),0)</f>
        <v>0</v>
      </c>
      <c r="AU250" s="246">
        <f>IFERROR(VLOOKUP(E250,VOL_REC[],2,FALSE),0)</f>
        <v>0</v>
      </c>
      <c r="AV250" s="246">
        <f>IFERROR(VLOOKUP(F250,VOL_REC[],2,FALSE),0)</f>
        <v>11089674.200000001</v>
      </c>
      <c r="AW250" s="246">
        <f>IFERROR(VLOOKUP(G250,VOL_REC[],2,FALSE),0)</f>
        <v>90439.55</v>
      </c>
      <c r="AX250" s="246">
        <f>IFERROR(VLOOKUP(H250,VOL_REC[],2,FALSE),0)</f>
        <v>4325103.1812214684</v>
      </c>
      <c r="AY250" s="246">
        <f>IFERROR(VLOOKUP(I250,VOL_REC[],2,FALSE),0)</f>
        <v>1812240</v>
      </c>
      <c r="AZ250" s="246">
        <f>IFERROR(VLOOKUP(J250,VOL_REC[],2,FALSE),0)</f>
        <v>17074.045034105649</v>
      </c>
      <c r="BA250" s="246">
        <f>IFERROR(VLOOKUP(K250,VOL_REC[],2,FALSE),0)</f>
        <v>0</v>
      </c>
      <c r="BB250" s="246">
        <f>IFERROR(VLOOKUP(L250,VOL_REC[],2,FALSE),0)</f>
        <v>0</v>
      </c>
      <c r="BC250" s="246">
        <f>IFERROR(VLOOKUP(M250,VOL_REC[],2,FALSE),0)</f>
        <v>0</v>
      </c>
      <c r="BD250" s="246">
        <f>IFERROR(VLOOKUP(N250,VOL_REC[],2,FALSE),0)</f>
        <v>0</v>
      </c>
      <c r="BE250" s="246">
        <f>IFERROR(VLOOKUP(O250,VOL_REC[],2,FALSE),0)</f>
        <v>0</v>
      </c>
      <c r="BF250" s="246">
        <f>IFERROR(VLOOKUP(P250,VOL_REC[],2,FALSE),0)</f>
        <v>0</v>
      </c>
      <c r="BG250" s="246">
        <f>IFERROR(VLOOKUP(Q250,VOL_REC[],2,FALSE),0)</f>
        <v>0</v>
      </c>
      <c r="BH250" s="1710">
        <f t="shared" si="12"/>
        <v>9998045096.320879</v>
      </c>
      <c r="BI250" s="1710">
        <f t="shared" si="13"/>
        <v>13575930293.258493</v>
      </c>
      <c r="BJ250" s="1711">
        <f t="shared" si="14"/>
        <v>17334530.976255577</v>
      </c>
      <c r="BK250" s="1711">
        <f t="shared" si="15"/>
        <v>0.73645377372670273</v>
      </c>
    </row>
    <row r="251" spans="3:67" x14ac:dyDescent="0.25">
      <c r="C251" s="246" t="s">
        <v>1601</v>
      </c>
      <c r="D251" s="246">
        <v>1</v>
      </c>
      <c r="E251" s="246">
        <v>2</v>
      </c>
      <c r="F251" s="246">
        <v>3</v>
      </c>
      <c r="G251" s="246">
        <v>4</v>
      </c>
      <c r="H251" s="246">
        <v>5</v>
      </c>
      <c r="I251" s="246">
        <v>10</v>
      </c>
      <c r="J251" s="246">
        <v>15</v>
      </c>
      <c r="K251" s="246"/>
      <c r="L251" s="246"/>
      <c r="M251" s="246"/>
      <c r="N251" s="246"/>
      <c r="O251" s="246"/>
      <c r="P251" s="246"/>
      <c r="Q251" s="246"/>
      <c r="R251" s="246">
        <f>IFERROR(VLOOKUP(D251,PROGRAMAS[],2,FALSE),0)</f>
        <v>97037803.679377079</v>
      </c>
      <c r="S251" s="246">
        <f>IFERROR(VLOOKUP(E251,PROGRAMAS[],2,FALSE),0)</f>
        <v>640501509.6821388</v>
      </c>
      <c r="T251" s="246">
        <f>IFERROR(VLOOKUP(F251,PROGRAMAS[],2,FALSE),0)</f>
        <v>3062327798.1525245</v>
      </c>
      <c r="U251" s="246">
        <f>IFERROR(VLOOKUP(G251,PROGRAMAS[],2,FALSE),0)</f>
        <v>67697118.033011258</v>
      </c>
      <c r="V251" s="246">
        <f>IFERROR(VLOOKUP(H251,PROGRAMAS[],2,FALSE),0)</f>
        <v>1440941976.2528784</v>
      </c>
      <c r="W251" s="246">
        <f>IFERROR(VLOOKUP(I251,PROGRAMAS[],2,FALSE),0)</f>
        <v>4635315027.8751087</v>
      </c>
      <c r="X251" s="246">
        <f>IFERROR(VLOOKUP(J251,PROGRAMAS[],2,FALSE),0)</f>
        <v>122159672.96346797</v>
      </c>
      <c r="Y251" s="246">
        <f>IFERROR(VLOOKUP(K251,PROGRAMAS[],2,FALSE),0)</f>
        <v>0</v>
      </c>
      <c r="Z251" s="246">
        <f>IFERROR(VLOOKUP(L251,PROGRAMAS[],2,FALSE),0)</f>
        <v>0</v>
      </c>
      <c r="AA251" s="246">
        <f>IFERROR(VLOOKUP(M251,PROGRAMAS[],2,FALSE),0)</f>
        <v>0</v>
      </c>
      <c r="AB251" s="246">
        <f>IFERROR(VLOOKUP(N251,PROGRAMAS[],2,FALSE),0)</f>
        <v>0</v>
      </c>
      <c r="AC251" s="246">
        <f>IFERROR(VLOOKUP(O251,PROGRAMAS[],2,FALSE),0)</f>
        <v>0</v>
      </c>
      <c r="AD251" s="246">
        <f>IFERROR(VLOOKUP(P251,PROGRAMAS[],2,FALSE),0)</f>
        <v>0</v>
      </c>
      <c r="AE251" s="246">
        <f>IFERROR(VLOOKUP(Q251,PROGRAMAS[],2,FALSE),0)</f>
        <v>0</v>
      </c>
      <c r="AF251" s="246">
        <f>IFERROR(VLOOKUP(D251,PROGRAMAS[],3,FALSE),0)</f>
        <v>841888629.31080008</v>
      </c>
      <c r="AG251" s="246">
        <f>IFERROR(VLOOKUP(E251,PROGRAMAS[],3,FALSE),0)</f>
        <v>3848980803.1642323</v>
      </c>
      <c r="AH251" s="246">
        <f>IFERROR(VLOOKUP(F251,PROGRAMAS[],3,FALSE),0)</f>
        <v>3394901471.387517</v>
      </c>
      <c r="AI251" s="246">
        <f>IFERROR(VLOOKUP(G251,PROGRAMAS[],3,FALSE),0)</f>
        <v>125317226.95549992</v>
      </c>
      <c r="AJ251" s="246">
        <f>IFERROR(VLOOKUP(H251,PROGRAMAS[],3,FALSE),0)</f>
        <v>1233505101.0616004</v>
      </c>
      <c r="AK251" s="246">
        <f>IFERROR(VLOOKUP(I251,PROGRAMAS[],3,FALSE),0)</f>
        <v>4099471734.9978786</v>
      </c>
      <c r="AL251" s="246">
        <f>IFERROR(VLOOKUP(J251,PROGRAMAS[],3,FALSE),0)</f>
        <v>118617452.52510804</v>
      </c>
      <c r="AM251" s="246">
        <f>IFERROR(VLOOKUP(K251,PROGRAMAS[],3,FALSE),0)</f>
        <v>0</v>
      </c>
      <c r="AN251" s="246">
        <f>IFERROR(VLOOKUP(L251,PROGRAMAS[],3,FALSE),0)</f>
        <v>0</v>
      </c>
      <c r="AO251" s="246">
        <f>IFERROR(VLOOKUP(M251,PROGRAMAS[],3,FALSE),0)</f>
        <v>0</v>
      </c>
      <c r="AP251" s="246">
        <f>IFERROR(VLOOKUP(N251,PROGRAMAS[],3,FALSE),0)</f>
        <v>0</v>
      </c>
      <c r="AQ251" s="246">
        <f>IFERROR(VLOOKUP(O251,PROGRAMAS[],3,FALSE),0)</f>
        <v>0</v>
      </c>
      <c r="AR251" s="246">
        <f>IFERROR(VLOOKUP(P251,PROGRAMAS[],3,FALSE),0)</f>
        <v>0</v>
      </c>
      <c r="AS251" s="246">
        <f>IFERROR(VLOOKUP(Q251,PROGRAMAS[],3,FALSE),0)</f>
        <v>0</v>
      </c>
      <c r="AT251" s="246">
        <f>IFERROR(VLOOKUP(D251,VOL_REC[],2,FALSE),0)</f>
        <v>0</v>
      </c>
      <c r="AU251" s="246">
        <f>IFERROR(VLOOKUP(E251,VOL_REC[],2,FALSE),0)</f>
        <v>0</v>
      </c>
      <c r="AV251" s="246">
        <f>IFERROR(VLOOKUP(F251,VOL_REC[],2,FALSE),0)</f>
        <v>11089674.200000001</v>
      </c>
      <c r="AW251" s="246">
        <f>IFERROR(VLOOKUP(G251,VOL_REC[],2,FALSE),0)</f>
        <v>90439.55</v>
      </c>
      <c r="AX251" s="246">
        <f>IFERROR(VLOOKUP(H251,VOL_REC[],2,FALSE),0)</f>
        <v>4325103.1812214684</v>
      </c>
      <c r="AY251" s="246">
        <f>IFERROR(VLOOKUP(I251,VOL_REC[],2,FALSE),0)</f>
        <v>1812240</v>
      </c>
      <c r="AZ251" s="246">
        <f>IFERROR(VLOOKUP(J251,VOL_REC[],2,FALSE),0)</f>
        <v>105072</v>
      </c>
      <c r="BA251" s="246">
        <f>IFERROR(VLOOKUP(K251,VOL_REC[],2,FALSE),0)</f>
        <v>0</v>
      </c>
      <c r="BB251" s="246">
        <f>IFERROR(VLOOKUP(L251,VOL_REC[],2,FALSE),0)</f>
        <v>0</v>
      </c>
      <c r="BC251" s="246">
        <f>IFERROR(VLOOKUP(M251,VOL_REC[],2,FALSE),0)</f>
        <v>0</v>
      </c>
      <c r="BD251" s="246">
        <f>IFERROR(VLOOKUP(N251,VOL_REC[],2,FALSE),0)</f>
        <v>0</v>
      </c>
      <c r="BE251" s="246">
        <f>IFERROR(VLOOKUP(O251,VOL_REC[],2,FALSE),0)</f>
        <v>0</v>
      </c>
      <c r="BF251" s="246">
        <f>IFERROR(VLOOKUP(P251,VOL_REC[],2,FALSE),0)</f>
        <v>0</v>
      </c>
      <c r="BG251" s="246">
        <f>IFERROR(VLOOKUP(Q251,VOL_REC[],2,FALSE),0)</f>
        <v>0</v>
      </c>
      <c r="BH251" s="1710">
        <f t="shared" si="12"/>
        <v>10065980906.638508</v>
      </c>
      <c r="BI251" s="1710">
        <f t="shared" si="13"/>
        <v>13662682419.402637</v>
      </c>
      <c r="BJ251" s="1711">
        <f t="shared" si="14"/>
        <v>17422528.93122147</v>
      </c>
      <c r="BK251" s="1711">
        <f t="shared" si="15"/>
        <v>0.73674997322221403</v>
      </c>
    </row>
    <row r="252" spans="3:67" x14ac:dyDescent="0.25">
      <c r="C252" s="246" t="s">
        <v>1602</v>
      </c>
      <c r="D252" s="246">
        <v>1</v>
      </c>
      <c r="E252" s="246">
        <v>2</v>
      </c>
      <c r="F252" s="246">
        <v>3</v>
      </c>
      <c r="G252" s="246">
        <v>4</v>
      </c>
      <c r="H252" s="246">
        <v>5</v>
      </c>
      <c r="I252" s="246">
        <v>10</v>
      </c>
      <c r="J252" s="246">
        <v>16</v>
      </c>
      <c r="K252" s="246"/>
      <c r="L252" s="246"/>
      <c r="M252" s="246"/>
      <c r="N252" s="246"/>
      <c r="O252" s="246"/>
      <c r="P252" s="246"/>
      <c r="Q252" s="246"/>
      <c r="R252" s="246">
        <f>IFERROR(VLOOKUP(D252,PROGRAMAS[],2,FALSE),0)</f>
        <v>97037803.679377079</v>
      </c>
      <c r="S252" s="246">
        <f>IFERROR(VLOOKUP(E252,PROGRAMAS[],2,FALSE),0)</f>
        <v>640501509.6821388</v>
      </c>
      <c r="T252" s="246">
        <f>IFERROR(VLOOKUP(F252,PROGRAMAS[],2,FALSE),0)</f>
        <v>3062327798.1525245</v>
      </c>
      <c r="U252" s="246">
        <f>IFERROR(VLOOKUP(G252,PROGRAMAS[],2,FALSE),0)</f>
        <v>67697118.033011258</v>
      </c>
      <c r="V252" s="246">
        <f>IFERROR(VLOOKUP(H252,PROGRAMAS[],2,FALSE),0)</f>
        <v>1440941976.2528784</v>
      </c>
      <c r="W252" s="246">
        <f>IFERROR(VLOOKUP(I252,PROGRAMAS[],2,FALSE),0)</f>
        <v>4635315027.8751087</v>
      </c>
      <c r="X252" s="246">
        <f>IFERROR(VLOOKUP(J252,PROGRAMAS[],2,FALSE),0)</f>
        <v>7068496961.0436354</v>
      </c>
      <c r="Y252" s="246">
        <f>IFERROR(VLOOKUP(K252,PROGRAMAS[],2,FALSE),0)</f>
        <v>0</v>
      </c>
      <c r="Z252" s="246">
        <f>IFERROR(VLOOKUP(L252,PROGRAMAS[],2,FALSE),0)</f>
        <v>0</v>
      </c>
      <c r="AA252" s="246">
        <f>IFERROR(VLOOKUP(M252,PROGRAMAS[],2,FALSE),0)</f>
        <v>0</v>
      </c>
      <c r="AB252" s="246">
        <f>IFERROR(VLOOKUP(N252,PROGRAMAS[],2,FALSE),0)</f>
        <v>0</v>
      </c>
      <c r="AC252" s="246">
        <f>IFERROR(VLOOKUP(O252,PROGRAMAS[],2,FALSE),0)</f>
        <v>0</v>
      </c>
      <c r="AD252" s="246">
        <f>IFERROR(VLOOKUP(P252,PROGRAMAS[],2,FALSE),0)</f>
        <v>0</v>
      </c>
      <c r="AE252" s="246">
        <f>IFERROR(VLOOKUP(Q252,PROGRAMAS[],2,FALSE),0)</f>
        <v>0</v>
      </c>
      <c r="AF252" s="246">
        <f>IFERROR(VLOOKUP(D252,PROGRAMAS[],3,FALSE),0)</f>
        <v>841888629.31080008</v>
      </c>
      <c r="AG252" s="246">
        <f>IFERROR(VLOOKUP(E252,PROGRAMAS[],3,FALSE),0)</f>
        <v>3848980803.1642323</v>
      </c>
      <c r="AH252" s="246">
        <f>IFERROR(VLOOKUP(F252,PROGRAMAS[],3,FALSE),0)</f>
        <v>3394901471.387517</v>
      </c>
      <c r="AI252" s="246">
        <f>IFERROR(VLOOKUP(G252,PROGRAMAS[],3,FALSE),0)</f>
        <v>125317226.95549992</v>
      </c>
      <c r="AJ252" s="246">
        <f>IFERROR(VLOOKUP(H252,PROGRAMAS[],3,FALSE),0)</f>
        <v>1233505101.0616004</v>
      </c>
      <c r="AK252" s="246">
        <f>IFERROR(VLOOKUP(I252,PROGRAMAS[],3,FALSE),0)</f>
        <v>4099471734.9978786</v>
      </c>
      <c r="AL252" s="246">
        <f>IFERROR(VLOOKUP(J252,PROGRAMAS[],3,FALSE),0)</f>
        <v>2406564599.0319901</v>
      </c>
      <c r="AM252" s="246">
        <f>IFERROR(VLOOKUP(K252,PROGRAMAS[],3,FALSE),0)</f>
        <v>0</v>
      </c>
      <c r="AN252" s="246">
        <f>IFERROR(VLOOKUP(L252,PROGRAMAS[],3,FALSE),0)</f>
        <v>0</v>
      </c>
      <c r="AO252" s="246">
        <f>IFERROR(VLOOKUP(M252,PROGRAMAS[],3,FALSE),0)</f>
        <v>0</v>
      </c>
      <c r="AP252" s="246">
        <f>IFERROR(VLOOKUP(N252,PROGRAMAS[],3,FALSE),0)</f>
        <v>0</v>
      </c>
      <c r="AQ252" s="246">
        <f>IFERROR(VLOOKUP(O252,PROGRAMAS[],3,FALSE),0)</f>
        <v>0</v>
      </c>
      <c r="AR252" s="246">
        <f>IFERROR(VLOOKUP(P252,PROGRAMAS[],3,FALSE),0)</f>
        <v>0</v>
      </c>
      <c r="AS252" s="246">
        <f>IFERROR(VLOOKUP(Q252,PROGRAMAS[],3,FALSE),0)</f>
        <v>0</v>
      </c>
      <c r="AT252" s="246">
        <f>IFERROR(VLOOKUP(D252,VOL_REC[],2,FALSE),0)</f>
        <v>0</v>
      </c>
      <c r="AU252" s="246">
        <f>IFERROR(VLOOKUP(E252,VOL_REC[],2,FALSE),0)</f>
        <v>0</v>
      </c>
      <c r="AV252" s="246">
        <f>IFERROR(VLOOKUP(F252,VOL_REC[],2,FALSE),0)</f>
        <v>11089674.200000001</v>
      </c>
      <c r="AW252" s="246">
        <f>IFERROR(VLOOKUP(G252,VOL_REC[],2,FALSE),0)</f>
        <v>90439.55</v>
      </c>
      <c r="AX252" s="246">
        <f>IFERROR(VLOOKUP(H252,VOL_REC[],2,FALSE),0)</f>
        <v>4325103.1812214684</v>
      </c>
      <c r="AY252" s="246">
        <f>IFERROR(VLOOKUP(I252,VOL_REC[],2,FALSE),0)</f>
        <v>1812240</v>
      </c>
      <c r="AZ252" s="246">
        <f>IFERROR(VLOOKUP(J252,VOL_REC[],2,FALSE),0)</f>
        <v>1072354.9981737854</v>
      </c>
      <c r="BA252" s="246">
        <f>IFERROR(VLOOKUP(K252,VOL_REC[],2,FALSE),0)</f>
        <v>0</v>
      </c>
      <c r="BB252" s="246">
        <f>IFERROR(VLOOKUP(L252,VOL_REC[],2,FALSE),0)</f>
        <v>0</v>
      </c>
      <c r="BC252" s="246">
        <f>IFERROR(VLOOKUP(M252,VOL_REC[],2,FALSE),0)</f>
        <v>0</v>
      </c>
      <c r="BD252" s="246">
        <f>IFERROR(VLOOKUP(N252,VOL_REC[],2,FALSE),0)</f>
        <v>0</v>
      </c>
      <c r="BE252" s="246">
        <f>IFERROR(VLOOKUP(O252,VOL_REC[],2,FALSE),0)</f>
        <v>0</v>
      </c>
      <c r="BF252" s="246">
        <f>IFERROR(VLOOKUP(P252,VOL_REC[],2,FALSE),0)</f>
        <v>0</v>
      </c>
      <c r="BG252" s="246">
        <f>IFERROR(VLOOKUP(Q252,VOL_REC[],2,FALSE),0)</f>
        <v>0</v>
      </c>
      <c r="BH252" s="1710">
        <f t="shared" si="12"/>
        <v>17012318194.718674</v>
      </c>
      <c r="BI252" s="1710">
        <f t="shared" si="13"/>
        <v>15950629565.909519</v>
      </c>
      <c r="BJ252" s="1711">
        <f t="shared" si="14"/>
        <v>18389811.929395255</v>
      </c>
      <c r="BK252" s="1711">
        <f t="shared" si="15"/>
        <v>1.0665609231549236</v>
      </c>
      <c r="BL252">
        <f>BJ252</f>
        <v>18389811.929395255</v>
      </c>
      <c r="BO252">
        <f>BL252</f>
        <v>18389811.929395255</v>
      </c>
    </row>
    <row r="253" spans="3:67" x14ac:dyDescent="0.25">
      <c r="C253" s="246" t="s">
        <v>1603</v>
      </c>
      <c r="D253" s="246">
        <v>1</v>
      </c>
      <c r="E253" s="246">
        <v>2</v>
      </c>
      <c r="F253" s="246">
        <v>3</v>
      </c>
      <c r="G253" s="246">
        <v>4</v>
      </c>
      <c r="H253" s="246">
        <v>5</v>
      </c>
      <c r="I253" s="246">
        <v>10</v>
      </c>
      <c r="J253" s="246">
        <v>17</v>
      </c>
      <c r="K253" s="246"/>
      <c r="L253" s="246"/>
      <c r="M253" s="246"/>
      <c r="N253" s="246"/>
      <c r="O253" s="246"/>
      <c r="P253" s="246"/>
      <c r="Q253" s="246"/>
      <c r="R253" s="246">
        <f>IFERROR(VLOOKUP(D253,PROGRAMAS[],2,FALSE),0)</f>
        <v>97037803.679377079</v>
      </c>
      <c r="S253" s="246">
        <f>IFERROR(VLOOKUP(E253,PROGRAMAS[],2,FALSE),0)</f>
        <v>640501509.6821388</v>
      </c>
      <c r="T253" s="246">
        <f>IFERROR(VLOOKUP(F253,PROGRAMAS[],2,FALSE),0)</f>
        <v>3062327798.1525245</v>
      </c>
      <c r="U253" s="246">
        <f>IFERROR(VLOOKUP(G253,PROGRAMAS[],2,FALSE),0)</f>
        <v>67697118.033011258</v>
      </c>
      <c r="V253" s="246">
        <f>IFERROR(VLOOKUP(H253,PROGRAMAS[],2,FALSE),0)</f>
        <v>1440941976.2528784</v>
      </c>
      <c r="W253" s="246">
        <f>IFERROR(VLOOKUP(I253,PROGRAMAS[],2,FALSE),0)</f>
        <v>4635315027.8751087</v>
      </c>
      <c r="X253" s="246">
        <f>IFERROR(VLOOKUP(J253,PROGRAMAS[],2,FALSE),0)</f>
        <v>1892779498.5211046</v>
      </c>
      <c r="Y253" s="246">
        <f>IFERROR(VLOOKUP(K253,PROGRAMAS[],2,FALSE),0)</f>
        <v>0</v>
      </c>
      <c r="Z253" s="246">
        <f>IFERROR(VLOOKUP(L253,PROGRAMAS[],2,FALSE),0)</f>
        <v>0</v>
      </c>
      <c r="AA253" s="246">
        <f>IFERROR(VLOOKUP(M253,PROGRAMAS[],2,FALSE),0)</f>
        <v>0</v>
      </c>
      <c r="AB253" s="246">
        <f>IFERROR(VLOOKUP(N253,PROGRAMAS[],2,FALSE),0)</f>
        <v>0</v>
      </c>
      <c r="AC253" s="246">
        <f>IFERROR(VLOOKUP(O253,PROGRAMAS[],2,FALSE),0)</f>
        <v>0</v>
      </c>
      <c r="AD253" s="246">
        <f>IFERROR(VLOOKUP(P253,PROGRAMAS[],2,FALSE),0)</f>
        <v>0</v>
      </c>
      <c r="AE253" s="246">
        <f>IFERROR(VLOOKUP(Q253,PROGRAMAS[],2,FALSE),0)</f>
        <v>0</v>
      </c>
      <c r="AF253" s="246">
        <f>IFERROR(VLOOKUP(D253,PROGRAMAS[],3,FALSE),0)</f>
        <v>841888629.31080008</v>
      </c>
      <c r="AG253" s="246">
        <f>IFERROR(VLOOKUP(E253,PROGRAMAS[],3,FALSE),0)</f>
        <v>3848980803.1642323</v>
      </c>
      <c r="AH253" s="246">
        <f>IFERROR(VLOOKUP(F253,PROGRAMAS[],3,FALSE),0)</f>
        <v>3394901471.387517</v>
      </c>
      <c r="AI253" s="246">
        <f>IFERROR(VLOOKUP(G253,PROGRAMAS[],3,FALSE),0)</f>
        <v>125317226.95549992</v>
      </c>
      <c r="AJ253" s="246">
        <f>IFERROR(VLOOKUP(H253,PROGRAMAS[],3,FALSE),0)</f>
        <v>1233505101.0616004</v>
      </c>
      <c r="AK253" s="246">
        <f>IFERROR(VLOOKUP(I253,PROGRAMAS[],3,FALSE),0)</f>
        <v>4099471734.9978786</v>
      </c>
      <c r="AL253" s="246">
        <f>IFERROR(VLOOKUP(J253,PROGRAMAS[],3,FALSE),0)</f>
        <v>948595847.09039903</v>
      </c>
      <c r="AM253" s="246">
        <f>IFERROR(VLOOKUP(K253,PROGRAMAS[],3,FALSE),0)</f>
        <v>0</v>
      </c>
      <c r="AN253" s="246">
        <f>IFERROR(VLOOKUP(L253,PROGRAMAS[],3,FALSE),0)</f>
        <v>0</v>
      </c>
      <c r="AO253" s="246">
        <f>IFERROR(VLOOKUP(M253,PROGRAMAS[],3,FALSE),0)</f>
        <v>0</v>
      </c>
      <c r="AP253" s="246">
        <f>IFERROR(VLOOKUP(N253,PROGRAMAS[],3,FALSE),0)</f>
        <v>0</v>
      </c>
      <c r="AQ253" s="246">
        <f>IFERROR(VLOOKUP(O253,PROGRAMAS[],3,FALSE),0)</f>
        <v>0</v>
      </c>
      <c r="AR253" s="246">
        <f>IFERROR(VLOOKUP(P253,PROGRAMAS[],3,FALSE),0)</f>
        <v>0</v>
      </c>
      <c r="AS253" s="246">
        <f>IFERROR(VLOOKUP(Q253,PROGRAMAS[],3,FALSE),0)</f>
        <v>0</v>
      </c>
      <c r="AT253" s="246">
        <f>IFERROR(VLOOKUP(D253,VOL_REC[],2,FALSE),0)</f>
        <v>0</v>
      </c>
      <c r="AU253" s="246">
        <f>IFERROR(VLOOKUP(E253,VOL_REC[],2,FALSE),0)</f>
        <v>0</v>
      </c>
      <c r="AV253" s="246">
        <f>IFERROR(VLOOKUP(F253,VOL_REC[],2,FALSE),0)</f>
        <v>11089674.200000001</v>
      </c>
      <c r="AW253" s="246">
        <f>IFERROR(VLOOKUP(G253,VOL_REC[],2,FALSE),0)</f>
        <v>90439.55</v>
      </c>
      <c r="AX253" s="246">
        <f>IFERROR(VLOOKUP(H253,VOL_REC[],2,FALSE),0)</f>
        <v>4325103.1812214684</v>
      </c>
      <c r="AY253" s="246">
        <f>IFERROR(VLOOKUP(I253,VOL_REC[],2,FALSE),0)</f>
        <v>1812240</v>
      </c>
      <c r="AZ253" s="246">
        <f>IFERROR(VLOOKUP(J253,VOL_REC[],2,FALSE),0)</f>
        <v>740113.98115702497</v>
      </c>
      <c r="BA253" s="246">
        <f>IFERROR(VLOOKUP(K253,VOL_REC[],2,FALSE),0)</f>
        <v>0</v>
      </c>
      <c r="BB253" s="246">
        <f>IFERROR(VLOOKUP(L253,VOL_REC[],2,FALSE),0)</f>
        <v>0</v>
      </c>
      <c r="BC253" s="246">
        <f>IFERROR(VLOOKUP(M253,VOL_REC[],2,FALSE),0)</f>
        <v>0</v>
      </c>
      <c r="BD253" s="246">
        <f>IFERROR(VLOOKUP(N253,VOL_REC[],2,FALSE),0)</f>
        <v>0</v>
      </c>
      <c r="BE253" s="246">
        <f>IFERROR(VLOOKUP(O253,VOL_REC[],2,FALSE),0)</f>
        <v>0</v>
      </c>
      <c r="BF253" s="246">
        <f>IFERROR(VLOOKUP(P253,VOL_REC[],2,FALSE),0)</f>
        <v>0</v>
      </c>
      <c r="BG253" s="246">
        <f>IFERROR(VLOOKUP(Q253,VOL_REC[],2,FALSE),0)</f>
        <v>0</v>
      </c>
      <c r="BH253" s="1710">
        <f t="shared" si="12"/>
        <v>11836600732.196144</v>
      </c>
      <c r="BI253" s="1710">
        <f t="shared" si="13"/>
        <v>14492660813.967928</v>
      </c>
      <c r="BJ253" s="1711">
        <f t="shared" si="14"/>
        <v>18057570.912378494</v>
      </c>
      <c r="BK253" s="1711">
        <f t="shared" si="15"/>
        <v>0.81673068073104349</v>
      </c>
    </row>
    <row r="254" spans="3:67" x14ac:dyDescent="0.25">
      <c r="C254" s="246" t="s">
        <v>1604</v>
      </c>
      <c r="D254" s="246">
        <v>1</v>
      </c>
      <c r="E254" s="246">
        <v>2</v>
      </c>
      <c r="F254" s="246">
        <v>3</v>
      </c>
      <c r="G254" s="246">
        <v>4</v>
      </c>
      <c r="H254" s="246">
        <v>5</v>
      </c>
      <c r="I254" s="246">
        <v>12</v>
      </c>
      <c r="J254" s="246">
        <v>13</v>
      </c>
      <c r="K254" s="246"/>
      <c r="L254" s="246"/>
      <c r="M254" s="246"/>
      <c r="N254" s="246"/>
      <c r="O254" s="246"/>
      <c r="P254" s="246"/>
      <c r="Q254" s="246"/>
      <c r="R254" s="246">
        <f>IFERROR(VLOOKUP(D254,PROGRAMAS[],2,FALSE),0)</f>
        <v>97037803.679377079</v>
      </c>
      <c r="S254" s="246">
        <f>IFERROR(VLOOKUP(E254,PROGRAMAS[],2,FALSE),0)</f>
        <v>640501509.6821388</v>
      </c>
      <c r="T254" s="246">
        <f>IFERROR(VLOOKUP(F254,PROGRAMAS[],2,FALSE),0)</f>
        <v>3062327798.1525245</v>
      </c>
      <c r="U254" s="246">
        <f>IFERROR(VLOOKUP(G254,PROGRAMAS[],2,FALSE),0)</f>
        <v>67697118.033011258</v>
      </c>
      <c r="V254" s="246">
        <f>IFERROR(VLOOKUP(H254,PROGRAMAS[],2,FALSE),0)</f>
        <v>1440941976.2528784</v>
      </c>
      <c r="W254" s="246">
        <f>IFERROR(VLOOKUP(I254,PROGRAMAS[],2,FALSE),0)</f>
        <v>764796700.79905891</v>
      </c>
      <c r="X254" s="246">
        <f>IFERROR(VLOOKUP(J254,PROGRAMAS[],2,FALSE),0)</f>
        <v>3776538594.4604583</v>
      </c>
      <c r="Y254" s="246">
        <f>IFERROR(VLOOKUP(K254,PROGRAMAS[],2,FALSE),0)</f>
        <v>0</v>
      </c>
      <c r="Z254" s="246">
        <f>IFERROR(VLOOKUP(L254,PROGRAMAS[],2,FALSE),0)</f>
        <v>0</v>
      </c>
      <c r="AA254" s="246">
        <f>IFERROR(VLOOKUP(M254,PROGRAMAS[],2,FALSE),0)</f>
        <v>0</v>
      </c>
      <c r="AB254" s="246">
        <f>IFERROR(VLOOKUP(N254,PROGRAMAS[],2,FALSE),0)</f>
        <v>0</v>
      </c>
      <c r="AC254" s="246">
        <f>IFERROR(VLOOKUP(O254,PROGRAMAS[],2,FALSE),0)</f>
        <v>0</v>
      </c>
      <c r="AD254" s="246">
        <f>IFERROR(VLOOKUP(P254,PROGRAMAS[],2,FALSE),0)</f>
        <v>0</v>
      </c>
      <c r="AE254" s="246">
        <f>IFERROR(VLOOKUP(Q254,PROGRAMAS[],2,FALSE),0)</f>
        <v>0</v>
      </c>
      <c r="AF254" s="246">
        <f>IFERROR(VLOOKUP(D254,PROGRAMAS[],3,FALSE),0)</f>
        <v>841888629.31080008</v>
      </c>
      <c r="AG254" s="246">
        <f>IFERROR(VLOOKUP(E254,PROGRAMAS[],3,FALSE),0)</f>
        <v>3848980803.1642323</v>
      </c>
      <c r="AH254" s="246">
        <f>IFERROR(VLOOKUP(F254,PROGRAMAS[],3,FALSE),0)</f>
        <v>3394901471.387517</v>
      </c>
      <c r="AI254" s="246">
        <f>IFERROR(VLOOKUP(G254,PROGRAMAS[],3,FALSE),0)</f>
        <v>125317226.95549992</v>
      </c>
      <c r="AJ254" s="246">
        <f>IFERROR(VLOOKUP(H254,PROGRAMAS[],3,FALSE),0)</f>
        <v>1233505101.0616004</v>
      </c>
      <c r="AK254" s="246">
        <f>IFERROR(VLOOKUP(I254,PROGRAMAS[],3,FALSE),0)</f>
        <v>675517840.109828</v>
      </c>
      <c r="AL254" s="246">
        <f>IFERROR(VLOOKUP(J254,PROGRAMAS[],3,FALSE),0)</f>
        <v>2392571243.5584412</v>
      </c>
      <c r="AM254" s="246">
        <f>IFERROR(VLOOKUP(K254,PROGRAMAS[],3,FALSE),0)</f>
        <v>0</v>
      </c>
      <c r="AN254" s="246">
        <f>IFERROR(VLOOKUP(L254,PROGRAMAS[],3,FALSE),0)</f>
        <v>0</v>
      </c>
      <c r="AO254" s="246">
        <f>IFERROR(VLOOKUP(M254,PROGRAMAS[],3,FALSE),0)</f>
        <v>0</v>
      </c>
      <c r="AP254" s="246">
        <f>IFERROR(VLOOKUP(N254,PROGRAMAS[],3,FALSE),0)</f>
        <v>0</v>
      </c>
      <c r="AQ254" s="246">
        <f>IFERROR(VLOOKUP(O254,PROGRAMAS[],3,FALSE),0)</f>
        <v>0</v>
      </c>
      <c r="AR254" s="246">
        <f>IFERROR(VLOOKUP(P254,PROGRAMAS[],3,FALSE),0)</f>
        <v>0</v>
      </c>
      <c r="AS254" s="246">
        <f>IFERROR(VLOOKUP(Q254,PROGRAMAS[],3,FALSE),0)</f>
        <v>0</v>
      </c>
      <c r="AT254" s="246">
        <f>IFERROR(VLOOKUP(D254,VOL_REC[],2,FALSE),0)</f>
        <v>0</v>
      </c>
      <c r="AU254" s="246">
        <f>IFERROR(VLOOKUP(E254,VOL_REC[],2,FALSE),0)</f>
        <v>0</v>
      </c>
      <c r="AV254" s="246">
        <f>IFERROR(VLOOKUP(F254,VOL_REC[],2,FALSE),0)</f>
        <v>11089674.200000001</v>
      </c>
      <c r="AW254" s="246">
        <f>IFERROR(VLOOKUP(G254,VOL_REC[],2,FALSE),0)</f>
        <v>90439.55</v>
      </c>
      <c r="AX254" s="246">
        <f>IFERROR(VLOOKUP(H254,VOL_REC[],2,FALSE),0)</f>
        <v>4325103.1812214684</v>
      </c>
      <c r="AY254" s="246">
        <f>IFERROR(VLOOKUP(I254,VOL_REC[],2,FALSE),0)</f>
        <v>240696.79238099116</v>
      </c>
      <c r="AZ254" s="246">
        <f>IFERROR(VLOOKUP(J254,VOL_REC[],2,FALSE),0)</f>
        <v>663244.80000000016</v>
      </c>
      <c r="BA254" s="246">
        <f>IFERROR(VLOOKUP(K254,VOL_REC[],2,FALSE),0)</f>
        <v>0</v>
      </c>
      <c r="BB254" s="246">
        <f>IFERROR(VLOOKUP(L254,VOL_REC[],2,FALSE),0)</f>
        <v>0</v>
      </c>
      <c r="BC254" s="246">
        <f>IFERROR(VLOOKUP(M254,VOL_REC[],2,FALSE),0)</f>
        <v>0</v>
      </c>
      <c r="BD254" s="246">
        <f>IFERROR(VLOOKUP(N254,VOL_REC[],2,FALSE),0)</f>
        <v>0</v>
      </c>
      <c r="BE254" s="246">
        <f>IFERROR(VLOOKUP(O254,VOL_REC[],2,FALSE),0)</f>
        <v>0</v>
      </c>
      <c r="BF254" s="246">
        <f>IFERROR(VLOOKUP(P254,VOL_REC[],2,FALSE),0)</f>
        <v>0</v>
      </c>
      <c r="BG254" s="246">
        <f>IFERROR(VLOOKUP(Q254,VOL_REC[],2,FALSE),0)</f>
        <v>0</v>
      </c>
      <c r="BH254" s="1710">
        <f t="shared" si="12"/>
        <v>9849841501.0594482</v>
      </c>
      <c r="BI254" s="1710">
        <f t="shared" si="13"/>
        <v>12512682315.54792</v>
      </c>
      <c r="BJ254" s="1711">
        <f t="shared" si="14"/>
        <v>16409158.523602461</v>
      </c>
      <c r="BK254" s="1711">
        <f t="shared" si="15"/>
        <v>0.78718865009625494</v>
      </c>
    </row>
    <row r="255" spans="3:67" x14ac:dyDescent="0.25">
      <c r="C255" s="246" t="s">
        <v>1605</v>
      </c>
      <c r="D255" s="246">
        <v>1</v>
      </c>
      <c r="E255" s="246">
        <v>2</v>
      </c>
      <c r="F255" s="246">
        <v>3</v>
      </c>
      <c r="G255" s="246">
        <v>4</v>
      </c>
      <c r="H255" s="246">
        <v>5</v>
      </c>
      <c r="I255" s="246">
        <v>12</v>
      </c>
      <c r="J255" s="246">
        <v>14</v>
      </c>
      <c r="K255" s="246"/>
      <c r="L255" s="246"/>
      <c r="M255" s="246"/>
      <c r="N255" s="246"/>
      <c r="O255" s="246"/>
      <c r="P255" s="246"/>
      <c r="Q255" s="246"/>
      <c r="R255" s="246">
        <f>IFERROR(VLOOKUP(D255,PROGRAMAS[],2,FALSE),0)</f>
        <v>97037803.679377079</v>
      </c>
      <c r="S255" s="246">
        <f>IFERROR(VLOOKUP(E255,PROGRAMAS[],2,FALSE),0)</f>
        <v>640501509.6821388</v>
      </c>
      <c r="T255" s="246">
        <f>IFERROR(VLOOKUP(F255,PROGRAMAS[],2,FALSE),0)</f>
        <v>3062327798.1525245</v>
      </c>
      <c r="U255" s="246">
        <f>IFERROR(VLOOKUP(G255,PROGRAMAS[],2,FALSE),0)</f>
        <v>67697118.033011258</v>
      </c>
      <c r="V255" s="246">
        <f>IFERROR(VLOOKUP(H255,PROGRAMAS[],2,FALSE),0)</f>
        <v>1440941976.2528784</v>
      </c>
      <c r="W255" s="246">
        <f>IFERROR(VLOOKUP(I255,PROGRAMAS[],2,FALSE),0)</f>
        <v>764796700.79905891</v>
      </c>
      <c r="X255" s="246">
        <f>IFERROR(VLOOKUP(J255,PROGRAMAS[],2,FALSE),0)</f>
        <v>54223862.645839565</v>
      </c>
      <c r="Y255" s="246">
        <f>IFERROR(VLOOKUP(K255,PROGRAMAS[],2,FALSE),0)</f>
        <v>0</v>
      </c>
      <c r="Z255" s="246">
        <f>IFERROR(VLOOKUP(L255,PROGRAMAS[],2,FALSE),0)</f>
        <v>0</v>
      </c>
      <c r="AA255" s="246">
        <f>IFERROR(VLOOKUP(M255,PROGRAMAS[],2,FALSE),0)</f>
        <v>0</v>
      </c>
      <c r="AB255" s="246">
        <f>IFERROR(VLOOKUP(N255,PROGRAMAS[],2,FALSE),0)</f>
        <v>0</v>
      </c>
      <c r="AC255" s="246">
        <f>IFERROR(VLOOKUP(O255,PROGRAMAS[],2,FALSE),0)</f>
        <v>0</v>
      </c>
      <c r="AD255" s="246">
        <f>IFERROR(VLOOKUP(P255,PROGRAMAS[],2,FALSE),0)</f>
        <v>0</v>
      </c>
      <c r="AE255" s="246">
        <f>IFERROR(VLOOKUP(Q255,PROGRAMAS[],2,FALSE),0)</f>
        <v>0</v>
      </c>
      <c r="AF255" s="246">
        <f>IFERROR(VLOOKUP(D255,PROGRAMAS[],3,FALSE),0)</f>
        <v>841888629.31080008</v>
      </c>
      <c r="AG255" s="246">
        <f>IFERROR(VLOOKUP(E255,PROGRAMAS[],3,FALSE),0)</f>
        <v>3848980803.1642323</v>
      </c>
      <c r="AH255" s="246">
        <f>IFERROR(VLOOKUP(F255,PROGRAMAS[],3,FALSE),0)</f>
        <v>3394901471.387517</v>
      </c>
      <c r="AI255" s="246">
        <f>IFERROR(VLOOKUP(G255,PROGRAMAS[],3,FALSE),0)</f>
        <v>125317226.95549992</v>
      </c>
      <c r="AJ255" s="246">
        <f>IFERROR(VLOOKUP(H255,PROGRAMAS[],3,FALSE),0)</f>
        <v>1233505101.0616004</v>
      </c>
      <c r="AK255" s="246">
        <f>IFERROR(VLOOKUP(I255,PROGRAMAS[],3,FALSE),0)</f>
        <v>675517840.109828</v>
      </c>
      <c r="AL255" s="246">
        <f>IFERROR(VLOOKUP(J255,PROGRAMAS[],3,FALSE),0)</f>
        <v>31865326.38096505</v>
      </c>
      <c r="AM255" s="246">
        <f>IFERROR(VLOOKUP(K255,PROGRAMAS[],3,FALSE),0)</f>
        <v>0</v>
      </c>
      <c r="AN255" s="246">
        <f>IFERROR(VLOOKUP(L255,PROGRAMAS[],3,FALSE),0)</f>
        <v>0</v>
      </c>
      <c r="AO255" s="246">
        <f>IFERROR(VLOOKUP(M255,PROGRAMAS[],3,FALSE),0)</f>
        <v>0</v>
      </c>
      <c r="AP255" s="246">
        <f>IFERROR(VLOOKUP(N255,PROGRAMAS[],3,FALSE),0)</f>
        <v>0</v>
      </c>
      <c r="AQ255" s="246">
        <f>IFERROR(VLOOKUP(O255,PROGRAMAS[],3,FALSE),0)</f>
        <v>0</v>
      </c>
      <c r="AR255" s="246">
        <f>IFERROR(VLOOKUP(P255,PROGRAMAS[],3,FALSE),0)</f>
        <v>0</v>
      </c>
      <c r="AS255" s="246">
        <f>IFERROR(VLOOKUP(Q255,PROGRAMAS[],3,FALSE),0)</f>
        <v>0</v>
      </c>
      <c r="AT255" s="246">
        <f>IFERROR(VLOOKUP(D255,VOL_REC[],2,FALSE),0)</f>
        <v>0</v>
      </c>
      <c r="AU255" s="246">
        <f>IFERROR(VLOOKUP(E255,VOL_REC[],2,FALSE),0)</f>
        <v>0</v>
      </c>
      <c r="AV255" s="246">
        <f>IFERROR(VLOOKUP(F255,VOL_REC[],2,FALSE),0)</f>
        <v>11089674.200000001</v>
      </c>
      <c r="AW255" s="246">
        <f>IFERROR(VLOOKUP(G255,VOL_REC[],2,FALSE),0)</f>
        <v>90439.55</v>
      </c>
      <c r="AX255" s="246">
        <f>IFERROR(VLOOKUP(H255,VOL_REC[],2,FALSE),0)</f>
        <v>4325103.1812214684</v>
      </c>
      <c r="AY255" s="246">
        <f>IFERROR(VLOOKUP(I255,VOL_REC[],2,FALSE),0)</f>
        <v>240696.79238099116</v>
      </c>
      <c r="AZ255" s="246">
        <f>IFERROR(VLOOKUP(J255,VOL_REC[],2,FALSE),0)</f>
        <v>17074.045034105649</v>
      </c>
      <c r="BA255" s="246">
        <f>IFERROR(VLOOKUP(K255,VOL_REC[],2,FALSE),0)</f>
        <v>0</v>
      </c>
      <c r="BB255" s="246">
        <f>IFERROR(VLOOKUP(L255,VOL_REC[],2,FALSE),0)</f>
        <v>0</v>
      </c>
      <c r="BC255" s="246">
        <f>IFERROR(VLOOKUP(M255,VOL_REC[],2,FALSE),0)</f>
        <v>0</v>
      </c>
      <c r="BD255" s="246">
        <f>IFERROR(VLOOKUP(N255,VOL_REC[],2,FALSE),0)</f>
        <v>0</v>
      </c>
      <c r="BE255" s="246">
        <f>IFERROR(VLOOKUP(O255,VOL_REC[],2,FALSE),0)</f>
        <v>0</v>
      </c>
      <c r="BF255" s="246">
        <f>IFERROR(VLOOKUP(P255,VOL_REC[],2,FALSE),0)</f>
        <v>0</v>
      </c>
      <c r="BG255" s="246">
        <f>IFERROR(VLOOKUP(Q255,VOL_REC[],2,FALSE),0)</f>
        <v>0</v>
      </c>
      <c r="BH255" s="1710">
        <f t="shared" si="12"/>
        <v>6127526769.2448292</v>
      </c>
      <c r="BI255" s="1710">
        <f t="shared" si="13"/>
        <v>10151976398.370443</v>
      </c>
      <c r="BJ255" s="1711">
        <f t="shared" si="14"/>
        <v>15762987.768636566</v>
      </c>
      <c r="BK255" s="1711">
        <f t="shared" si="15"/>
        <v>0.60357969018016988</v>
      </c>
    </row>
    <row r="256" spans="3:67" x14ac:dyDescent="0.25">
      <c r="C256" s="246" t="s">
        <v>1606</v>
      </c>
      <c r="D256" s="246">
        <v>1</v>
      </c>
      <c r="E256" s="246">
        <v>2</v>
      </c>
      <c r="F256" s="246">
        <v>3</v>
      </c>
      <c r="G256" s="246">
        <v>4</v>
      </c>
      <c r="H256" s="246">
        <v>5</v>
      </c>
      <c r="I256" s="246">
        <v>12</v>
      </c>
      <c r="J256" s="246">
        <v>15</v>
      </c>
      <c r="K256" s="246"/>
      <c r="L256" s="246"/>
      <c r="M256" s="246"/>
      <c r="N256" s="246"/>
      <c r="O256" s="246"/>
      <c r="P256" s="246"/>
      <c r="Q256" s="246"/>
      <c r="R256" s="246">
        <f>IFERROR(VLOOKUP(D256,PROGRAMAS[],2,FALSE),0)</f>
        <v>97037803.679377079</v>
      </c>
      <c r="S256" s="246">
        <f>IFERROR(VLOOKUP(E256,PROGRAMAS[],2,FALSE),0)</f>
        <v>640501509.6821388</v>
      </c>
      <c r="T256" s="246">
        <f>IFERROR(VLOOKUP(F256,PROGRAMAS[],2,FALSE),0)</f>
        <v>3062327798.1525245</v>
      </c>
      <c r="U256" s="246">
        <f>IFERROR(VLOOKUP(G256,PROGRAMAS[],2,FALSE),0)</f>
        <v>67697118.033011258</v>
      </c>
      <c r="V256" s="246">
        <f>IFERROR(VLOOKUP(H256,PROGRAMAS[],2,FALSE),0)</f>
        <v>1440941976.2528784</v>
      </c>
      <c r="W256" s="246">
        <f>IFERROR(VLOOKUP(I256,PROGRAMAS[],2,FALSE),0)</f>
        <v>764796700.79905891</v>
      </c>
      <c r="X256" s="246">
        <f>IFERROR(VLOOKUP(J256,PROGRAMAS[],2,FALSE),0)</f>
        <v>122159672.96346797</v>
      </c>
      <c r="Y256" s="246">
        <f>IFERROR(VLOOKUP(K256,PROGRAMAS[],2,FALSE),0)</f>
        <v>0</v>
      </c>
      <c r="Z256" s="246">
        <f>IFERROR(VLOOKUP(L256,PROGRAMAS[],2,FALSE),0)</f>
        <v>0</v>
      </c>
      <c r="AA256" s="246">
        <f>IFERROR(VLOOKUP(M256,PROGRAMAS[],2,FALSE),0)</f>
        <v>0</v>
      </c>
      <c r="AB256" s="246">
        <f>IFERROR(VLOOKUP(N256,PROGRAMAS[],2,FALSE),0)</f>
        <v>0</v>
      </c>
      <c r="AC256" s="246">
        <f>IFERROR(VLOOKUP(O256,PROGRAMAS[],2,FALSE),0)</f>
        <v>0</v>
      </c>
      <c r="AD256" s="246">
        <f>IFERROR(VLOOKUP(P256,PROGRAMAS[],2,FALSE),0)</f>
        <v>0</v>
      </c>
      <c r="AE256" s="246">
        <f>IFERROR(VLOOKUP(Q256,PROGRAMAS[],2,FALSE),0)</f>
        <v>0</v>
      </c>
      <c r="AF256" s="246">
        <f>IFERROR(VLOOKUP(D256,PROGRAMAS[],3,FALSE),0)</f>
        <v>841888629.31080008</v>
      </c>
      <c r="AG256" s="246">
        <f>IFERROR(VLOOKUP(E256,PROGRAMAS[],3,FALSE),0)</f>
        <v>3848980803.1642323</v>
      </c>
      <c r="AH256" s="246">
        <f>IFERROR(VLOOKUP(F256,PROGRAMAS[],3,FALSE),0)</f>
        <v>3394901471.387517</v>
      </c>
      <c r="AI256" s="246">
        <f>IFERROR(VLOOKUP(G256,PROGRAMAS[],3,FALSE),0)</f>
        <v>125317226.95549992</v>
      </c>
      <c r="AJ256" s="246">
        <f>IFERROR(VLOOKUP(H256,PROGRAMAS[],3,FALSE),0)</f>
        <v>1233505101.0616004</v>
      </c>
      <c r="AK256" s="246">
        <f>IFERROR(VLOOKUP(I256,PROGRAMAS[],3,FALSE),0)</f>
        <v>675517840.109828</v>
      </c>
      <c r="AL256" s="246">
        <f>IFERROR(VLOOKUP(J256,PROGRAMAS[],3,FALSE),0)</f>
        <v>118617452.52510804</v>
      </c>
      <c r="AM256" s="246">
        <f>IFERROR(VLOOKUP(K256,PROGRAMAS[],3,FALSE),0)</f>
        <v>0</v>
      </c>
      <c r="AN256" s="246">
        <f>IFERROR(VLOOKUP(L256,PROGRAMAS[],3,FALSE),0)</f>
        <v>0</v>
      </c>
      <c r="AO256" s="246">
        <f>IFERROR(VLOOKUP(M256,PROGRAMAS[],3,FALSE),0)</f>
        <v>0</v>
      </c>
      <c r="AP256" s="246">
        <f>IFERROR(VLOOKUP(N256,PROGRAMAS[],3,FALSE),0)</f>
        <v>0</v>
      </c>
      <c r="AQ256" s="246">
        <f>IFERROR(VLOOKUP(O256,PROGRAMAS[],3,FALSE),0)</f>
        <v>0</v>
      </c>
      <c r="AR256" s="246">
        <f>IFERROR(VLOOKUP(P256,PROGRAMAS[],3,FALSE),0)</f>
        <v>0</v>
      </c>
      <c r="AS256" s="246">
        <f>IFERROR(VLOOKUP(Q256,PROGRAMAS[],3,FALSE),0)</f>
        <v>0</v>
      </c>
      <c r="AT256" s="246">
        <f>IFERROR(VLOOKUP(D256,VOL_REC[],2,FALSE),0)</f>
        <v>0</v>
      </c>
      <c r="AU256" s="246">
        <f>IFERROR(VLOOKUP(E256,VOL_REC[],2,FALSE),0)</f>
        <v>0</v>
      </c>
      <c r="AV256" s="246">
        <f>IFERROR(VLOOKUP(F256,VOL_REC[],2,FALSE),0)</f>
        <v>11089674.200000001</v>
      </c>
      <c r="AW256" s="246">
        <f>IFERROR(VLOOKUP(G256,VOL_REC[],2,FALSE),0)</f>
        <v>90439.55</v>
      </c>
      <c r="AX256" s="246">
        <f>IFERROR(VLOOKUP(H256,VOL_REC[],2,FALSE),0)</f>
        <v>4325103.1812214684</v>
      </c>
      <c r="AY256" s="246">
        <f>IFERROR(VLOOKUP(I256,VOL_REC[],2,FALSE),0)</f>
        <v>240696.79238099116</v>
      </c>
      <c r="AZ256" s="246">
        <f>IFERROR(VLOOKUP(J256,VOL_REC[],2,FALSE),0)</f>
        <v>105072</v>
      </c>
      <c r="BA256" s="246">
        <f>IFERROR(VLOOKUP(K256,VOL_REC[],2,FALSE),0)</f>
        <v>0</v>
      </c>
      <c r="BB256" s="246">
        <f>IFERROR(VLOOKUP(L256,VOL_REC[],2,FALSE),0)</f>
        <v>0</v>
      </c>
      <c r="BC256" s="246">
        <f>IFERROR(VLOOKUP(M256,VOL_REC[],2,FALSE),0)</f>
        <v>0</v>
      </c>
      <c r="BD256" s="246">
        <f>IFERROR(VLOOKUP(N256,VOL_REC[],2,FALSE),0)</f>
        <v>0</v>
      </c>
      <c r="BE256" s="246">
        <f>IFERROR(VLOOKUP(O256,VOL_REC[],2,FALSE),0)</f>
        <v>0</v>
      </c>
      <c r="BF256" s="246">
        <f>IFERROR(VLOOKUP(P256,VOL_REC[],2,FALSE),0)</f>
        <v>0</v>
      </c>
      <c r="BG256" s="246">
        <f>IFERROR(VLOOKUP(Q256,VOL_REC[],2,FALSE),0)</f>
        <v>0</v>
      </c>
      <c r="BH256" s="1710">
        <f t="shared" si="12"/>
        <v>6195462579.5624571</v>
      </c>
      <c r="BI256" s="1710">
        <f t="shared" si="13"/>
        <v>10238728524.514587</v>
      </c>
      <c r="BJ256" s="1711">
        <f t="shared" si="14"/>
        <v>15850985.723602461</v>
      </c>
      <c r="BK256" s="1711">
        <f t="shared" si="15"/>
        <v>0.60510077640291582</v>
      </c>
    </row>
    <row r="257" spans="3:67" x14ac:dyDescent="0.25">
      <c r="C257" s="246" t="s">
        <v>1607</v>
      </c>
      <c r="D257" s="246">
        <v>1</v>
      </c>
      <c r="E257" s="246">
        <v>2</v>
      </c>
      <c r="F257" s="246">
        <v>3</v>
      </c>
      <c r="G257" s="246">
        <v>4</v>
      </c>
      <c r="H257" s="246">
        <v>5</v>
      </c>
      <c r="I257" s="246">
        <v>12</v>
      </c>
      <c r="J257" s="246">
        <v>16</v>
      </c>
      <c r="K257" s="246"/>
      <c r="L257" s="246"/>
      <c r="M257" s="246"/>
      <c r="N257" s="246"/>
      <c r="O257" s="246"/>
      <c r="P257" s="246"/>
      <c r="Q257" s="246"/>
      <c r="R257" s="246">
        <f>IFERROR(VLOOKUP(D257,PROGRAMAS[],2,FALSE),0)</f>
        <v>97037803.679377079</v>
      </c>
      <c r="S257" s="246">
        <f>IFERROR(VLOOKUP(E257,PROGRAMAS[],2,FALSE),0)</f>
        <v>640501509.6821388</v>
      </c>
      <c r="T257" s="246">
        <f>IFERROR(VLOOKUP(F257,PROGRAMAS[],2,FALSE),0)</f>
        <v>3062327798.1525245</v>
      </c>
      <c r="U257" s="246">
        <f>IFERROR(VLOOKUP(G257,PROGRAMAS[],2,FALSE),0)</f>
        <v>67697118.033011258</v>
      </c>
      <c r="V257" s="246">
        <f>IFERROR(VLOOKUP(H257,PROGRAMAS[],2,FALSE),0)</f>
        <v>1440941976.2528784</v>
      </c>
      <c r="W257" s="246">
        <f>IFERROR(VLOOKUP(I257,PROGRAMAS[],2,FALSE),0)</f>
        <v>764796700.79905891</v>
      </c>
      <c r="X257" s="246">
        <f>IFERROR(VLOOKUP(J257,PROGRAMAS[],2,FALSE),0)</f>
        <v>7068496961.0436354</v>
      </c>
      <c r="Y257" s="246">
        <f>IFERROR(VLOOKUP(K257,PROGRAMAS[],2,FALSE),0)</f>
        <v>0</v>
      </c>
      <c r="Z257" s="246">
        <f>IFERROR(VLOOKUP(L257,PROGRAMAS[],2,FALSE),0)</f>
        <v>0</v>
      </c>
      <c r="AA257" s="246">
        <f>IFERROR(VLOOKUP(M257,PROGRAMAS[],2,FALSE),0)</f>
        <v>0</v>
      </c>
      <c r="AB257" s="246">
        <f>IFERROR(VLOOKUP(N257,PROGRAMAS[],2,FALSE),0)</f>
        <v>0</v>
      </c>
      <c r="AC257" s="246">
        <f>IFERROR(VLOOKUP(O257,PROGRAMAS[],2,FALSE),0)</f>
        <v>0</v>
      </c>
      <c r="AD257" s="246">
        <f>IFERROR(VLOOKUP(P257,PROGRAMAS[],2,FALSE),0)</f>
        <v>0</v>
      </c>
      <c r="AE257" s="246">
        <f>IFERROR(VLOOKUP(Q257,PROGRAMAS[],2,FALSE),0)</f>
        <v>0</v>
      </c>
      <c r="AF257" s="246">
        <f>IFERROR(VLOOKUP(D257,PROGRAMAS[],3,FALSE),0)</f>
        <v>841888629.31080008</v>
      </c>
      <c r="AG257" s="246">
        <f>IFERROR(VLOOKUP(E257,PROGRAMAS[],3,FALSE),0)</f>
        <v>3848980803.1642323</v>
      </c>
      <c r="AH257" s="246">
        <f>IFERROR(VLOOKUP(F257,PROGRAMAS[],3,FALSE),0)</f>
        <v>3394901471.387517</v>
      </c>
      <c r="AI257" s="246">
        <f>IFERROR(VLOOKUP(G257,PROGRAMAS[],3,FALSE),0)</f>
        <v>125317226.95549992</v>
      </c>
      <c r="AJ257" s="246">
        <f>IFERROR(VLOOKUP(H257,PROGRAMAS[],3,FALSE),0)</f>
        <v>1233505101.0616004</v>
      </c>
      <c r="AK257" s="246">
        <f>IFERROR(VLOOKUP(I257,PROGRAMAS[],3,FALSE),0)</f>
        <v>675517840.109828</v>
      </c>
      <c r="AL257" s="246">
        <f>IFERROR(VLOOKUP(J257,PROGRAMAS[],3,FALSE),0)</f>
        <v>2406564599.0319901</v>
      </c>
      <c r="AM257" s="246">
        <f>IFERROR(VLOOKUP(K257,PROGRAMAS[],3,FALSE),0)</f>
        <v>0</v>
      </c>
      <c r="AN257" s="246">
        <f>IFERROR(VLOOKUP(L257,PROGRAMAS[],3,FALSE),0)</f>
        <v>0</v>
      </c>
      <c r="AO257" s="246">
        <f>IFERROR(VLOOKUP(M257,PROGRAMAS[],3,FALSE),0)</f>
        <v>0</v>
      </c>
      <c r="AP257" s="246">
        <f>IFERROR(VLOOKUP(N257,PROGRAMAS[],3,FALSE),0)</f>
        <v>0</v>
      </c>
      <c r="AQ257" s="246">
        <f>IFERROR(VLOOKUP(O257,PROGRAMAS[],3,FALSE),0)</f>
        <v>0</v>
      </c>
      <c r="AR257" s="246">
        <f>IFERROR(VLOOKUP(P257,PROGRAMAS[],3,FALSE),0)</f>
        <v>0</v>
      </c>
      <c r="AS257" s="246">
        <f>IFERROR(VLOOKUP(Q257,PROGRAMAS[],3,FALSE),0)</f>
        <v>0</v>
      </c>
      <c r="AT257" s="246">
        <f>IFERROR(VLOOKUP(D257,VOL_REC[],2,FALSE),0)</f>
        <v>0</v>
      </c>
      <c r="AU257" s="246">
        <f>IFERROR(VLOOKUP(E257,VOL_REC[],2,FALSE),0)</f>
        <v>0</v>
      </c>
      <c r="AV257" s="246">
        <f>IFERROR(VLOOKUP(F257,VOL_REC[],2,FALSE),0)</f>
        <v>11089674.200000001</v>
      </c>
      <c r="AW257" s="246">
        <f>IFERROR(VLOOKUP(G257,VOL_REC[],2,FALSE),0)</f>
        <v>90439.55</v>
      </c>
      <c r="AX257" s="246">
        <f>IFERROR(VLOOKUP(H257,VOL_REC[],2,FALSE),0)</f>
        <v>4325103.1812214684</v>
      </c>
      <c r="AY257" s="246">
        <f>IFERROR(VLOOKUP(I257,VOL_REC[],2,FALSE),0)</f>
        <v>240696.79238099116</v>
      </c>
      <c r="AZ257" s="246">
        <f>IFERROR(VLOOKUP(J257,VOL_REC[],2,FALSE),0)</f>
        <v>1072354.9981737854</v>
      </c>
      <c r="BA257" s="246">
        <f>IFERROR(VLOOKUP(K257,VOL_REC[],2,FALSE),0)</f>
        <v>0</v>
      </c>
      <c r="BB257" s="246">
        <f>IFERROR(VLOOKUP(L257,VOL_REC[],2,FALSE),0)</f>
        <v>0</v>
      </c>
      <c r="BC257" s="246">
        <f>IFERROR(VLOOKUP(M257,VOL_REC[],2,FALSE),0)</f>
        <v>0</v>
      </c>
      <c r="BD257" s="246">
        <f>IFERROR(VLOOKUP(N257,VOL_REC[],2,FALSE),0)</f>
        <v>0</v>
      </c>
      <c r="BE257" s="246">
        <f>IFERROR(VLOOKUP(O257,VOL_REC[],2,FALSE),0)</f>
        <v>0</v>
      </c>
      <c r="BF257" s="246">
        <f>IFERROR(VLOOKUP(P257,VOL_REC[],2,FALSE),0)</f>
        <v>0</v>
      </c>
      <c r="BG257" s="246">
        <f>IFERROR(VLOOKUP(Q257,VOL_REC[],2,FALSE),0)</f>
        <v>0</v>
      </c>
      <c r="BH257" s="1710">
        <f t="shared" si="12"/>
        <v>13141799867.642624</v>
      </c>
      <c r="BI257" s="1710">
        <f t="shared" si="13"/>
        <v>12526675671.021469</v>
      </c>
      <c r="BJ257" s="1711">
        <f t="shared" si="14"/>
        <v>16818268.721776247</v>
      </c>
      <c r="BK257" s="1711">
        <f t="shared" si="15"/>
        <v>1.0491051427190814</v>
      </c>
      <c r="BL257">
        <f>BJ257</f>
        <v>16818268.721776247</v>
      </c>
      <c r="BO257">
        <f>BL257</f>
        <v>16818268.721776247</v>
      </c>
    </row>
    <row r="258" spans="3:67" x14ac:dyDescent="0.25">
      <c r="C258" s="246" t="s">
        <v>1608</v>
      </c>
      <c r="D258" s="246">
        <v>1</v>
      </c>
      <c r="E258" s="246">
        <v>2</v>
      </c>
      <c r="F258" s="246">
        <v>3</v>
      </c>
      <c r="G258" s="246">
        <v>4</v>
      </c>
      <c r="H258" s="246">
        <v>5</v>
      </c>
      <c r="I258" s="246">
        <v>12</v>
      </c>
      <c r="J258" s="246">
        <v>17</v>
      </c>
      <c r="K258" s="246"/>
      <c r="L258" s="246"/>
      <c r="M258" s="246"/>
      <c r="N258" s="246"/>
      <c r="O258" s="246"/>
      <c r="P258" s="246"/>
      <c r="Q258" s="246"/>
      <c r="R258" s="246">
        <f>IFERROR(VLOOKUP(D258,PROGRAMAS[],2,FALSE),0)</f>
        <v>97037803.679377079</v>
      </c>
      <c r="S258" s="246">
        <f>IFERROR(VLOOKUP(E258,PROGRAMAS[],2,FALSE),0)</f>
        <v>640501509.6821388</v>
      </c>
      <c r="T258" s="246">
        <f>IFERROR(VLOOKUP(F258,PROGRAMAS[],2,FALSE),0)</f>
        <v>3062327798.1525245</v>
      </c>
      <c r="U258" s="246">
        <f>IFERROR(VLOOKUP(G258,PROGRAMAS[],2,FALSE),0)</f>
        <v>67697118.033011258</v>
      </c>
      <c r="V258" s="246">
        <f>IFERROR(VLOOKUP(H258,PROGRAMAS[],2,FALSE),0)</f>
        <v>1440941976.2528784</v>
      </c>
      <c r="W258" s="246">
        <f>IFERROR(VLOOKUP(I258,PROGRAMAS[],2,FALSE),0)</f>
        <v>764796700.79905891</v>
      </c>
      <c r="X258" s="246">
        <f>IFERROR(VLOOKUP(J258,PROGRAMAS[],2,FALSE),0)</f>
        <v>1892779498.5211046</v>
      </c>
      <c r="Y258" s="246">
        <f>IFERROR(VLOOKUP(K258,PROGRAMAS[],2,FALSE),0)</f>
        <v>0</v>
      </c>
      <c r="Z258" s="246">
        <f>IFERROR(VLOOKUP(L258,PROGRAMAS[],2,FALSE),0)</f>
        <v>0</v>
      </c>
      <c r="AA258" s="246">
        <f>IFERROR(VLOOKUP(M258,PROGRAMAS[],2,FALSE),0)</f>
        <v>0</v>
      </c>
      <c r="AB258" s="246">
        <f>IFERROR(VLOOKUP(N258,PROGRAMAS[],2,FALSE),0)</f>
        <v>0</v>
      </c>
      <c r="AC258" s="246">
        <f>IFERROR(VLOOKUP(O258,PROGRAMAS[],2,FALSE),0)</f>
        <v>0</v>
      </c>
      <c r="AD258" s="246">
        <f>IFERROR(VLOOKUP(P258,PROGRAMAS[],2,FALSE),0)</f>
        <v>0</v>
      </c>
      <c r="AE258" s="246">
        <f>IFERROR(VLOOKUP(Q258,PROGRAMAS[],2,FALSE),0)</f>
        <v>0</v>
      </c>
      <c r="AF258" s="246">
        <f>IFERROR(VLOOKUP(D258,PROGRAMAS[],3,FALSE),0)</f>
        <v>841888629.31080008</v>
      </c>
      <c r="AG258" s="246">
        <f>IFERROR(VLOOKUP(E258,PROGRAMAS[],3,FALSE),0)</f>
        <v>3848980803.1642323</v>
      </c>
      <c r="AH258" s="246">
        <f>IFERROR(VLOOKUP(F258,PROGRAMAS[],3,FALSE),0)</f>
        <v>3394901471.387517</v>
      </c>
      <c r="AI258" s="246">
        <f>IFERROR(VLOOKUP(G258,PROGRAMAS[],3,FALSE),0)</f>
        <v>125317226.95549992</v>
      </c>
      <c r="AJ258" s="246">
        <f>IFERROR(VLOOKUP(H258,PROGRAMAS[],3,FALSE),0)</f>
        <v>1233505101.0616004</v>
      </c>
      <c r="AK258" s="246">
        <f>IFERROR(VLOOKUP(I258,PROGRAMAS[],3,FALSE),0)</f>
        <v>675517840.109828</v>
      </c>
      <c r="AL258" s="246">
        <f>IFERROR(VLOOKUP(J258,PROGRAMAS[],3,FALSE),0)</f>
        <v>948595847.09039903</v>
      </c>
      <c r="AM258" s="246">
        <f>IFERROR(VLOOKUP(K258,PROGRAMAS[],3,FALSE),0)</f>
        <v>0</v>
      </c>
      <c r="AN258" s="246">
        <f>IFERROR(VLOOKUP(L258,PROGRAMAS[],3,FALSE),0)</f>
        <v>0</v>
      </c>
      <c r="AO258" s="246">
        <f>IFERROR(VLOOKUP(M258,PROGRAMAS[],3,FALSE),0)</f>
        <v>0</v>
      </c>
      <c r="AP258" s="246">
        <f>IFERROR(VLOOKUP(N258,PROGRAMAS[],3,FALSE),0)</f>
        <v>0</v>
      </c>
      <c r="AQ258" s="246">
        <f>IFERROR(VLOOKUP(O258,PROGRAMAS[],3,FALSE),0)</f>
        <v>0</v>
      </c>
      <c r="AR258" s="246">
        <f>IFERROR(VLOOKUP(P258,PROGRAMAS[],3,FALSE),0)</f>
        <v>0</v>
      </c>
      <c r="AS258" s="246">
        <f>IFERROR(VLOOKUP(Q258,PROGRAMAS[],3,FALSE),0)</f>
        <v>0</v>
      </c>
      <c r="AT258" s="246">
        <f>IFERROR(VLOOKUP(D258,VOL_REC[],2,FALSE),0)</f>
        <v>0</v>
      </c>
      <c r="AU258" s="246">
        <f>IFERROR(VLOOKUP(E258,VOL_REC[],2,FALSE),0)</f>
        <v>0</v>
      </c>
      <c r="AV258" s="246">
        <f>IFERROR(VLOOKUP(F258,VOL_REC[],2,FALSE),0)</f>
        <v>11089674.200000001</v>
      </c>
      <c r="AW258" s="246">
        <f>IFERROR(VLOOKUP(G258,VOL_REC[],2,FALSE),0)</f>
        <v>90439.55</v>
      </c>
      <c r="AX258" s="246">
        <f>IFERROR(VLOOKUP(H258,VOL_REC[],2,FALSE),0)</f>
        <v>4325103.1812214684</v>
      </c>
      <c r="AY258" s="246">
        <f>IFERROR(VLOOKUP(I258,VOL_REC[],2,FALSE),0)</f>
        <v>240696.79238099116</v>
      </c>
      <c r="AZ258" s="246">
        <f>IFERROR(VLOOKUP(J258,VOL_REC[],2,FALSE),0)</f>
        <v>740113.98115702497</v>
      </c>
      <c r="BA258" s="246">
        <f>IFERROR(VLOOKUP(K258,VOL_REC[],2,FALSE),0)</f>
        <v>0</v>
      </c>
      <c r="BB258" s="246">
        <f>IFERROR(VLOOKUP(L258,VOL_REC[],2,FALSE),0)</f>
        <v>0</v>
      </c>
      <c r="BC258" s="246">
        <f>IFERROR(VLOOKUP(M258,VOL_REC[],2,FALSE),0)</f>
        <v>0</v>
      </c>
      <c r="BD258" s="246">
        <f>IFERROR(VLOOKUP(N258,VOL_REC[],2,FALSE),0)</f>
        <v>0</v>
      </c>
      <c r="BE258" s="246">
        <f>IFERROR(VLOOKUP(O258,VOL_REC[],2,FALSE),0)</f>
        <v>0</v>
      </c>
      <c r="BF258" s="246">
        <f>IFERROR(VLOOKUP(P258,VOL_REC[],2,FALSE),0)</f>
        <v>0</v>
      </c>
      <c r="BG258" s="246">
        <f>IFERROR(VLOOKUP(Q258,VOL_REC[],2,FALSE),0)</f>
        <v>0</v>
      </c>
      <c r="BH258" s="1710">
        <f t="shared" ref="BH258:BH321" si="16">SUM(R258:AE258)</f>
        <v>7966082405.1200943</v>
      </c>
      <c r="BI258" s="1710">
        <f t="shared" ref="BI258:BI321" si="17">SUM(AF258:AS258)</f>
        <v>11068706919.079878</v>
      </c>
      <c r="BJ258" s="1711">
        <f t="shared" ref="BJ258:BJ321" si="18">SUM(AT258:BG258)</f>
        <v>16486027.704759486</v>
      </c>
      <c r="BK258" s="1711">
        <f t="shared" ref="BK258:BK321" si="19">IFERROR(BH258/BI258,0)</f>
        <v>0.71969404044734619</v>
      </c>
    </row>
    <row r="259" spans="3:67" x14ac:dyDescent="0.25">
      <c r="C259" s="246" t="s">
        <v>1609</v>
      </c>
      <c r="D259" s="246">
        <v>1</v>
      </c>
      <c r="E259" s="246">
        <v>2</v>
      </c>
      <c r="F259" s="246">
        <v>3</v>
      </c>
      <c r="G259" s="246">
        <v>4</v>
      </c>
      <c r="H259" s="246">
        <v>5</v>
      </c>
      <c r="I259" s="246">
        <v>13</v>
      </c>
      <c r="J259" s="246">
        <v>14</v>
      </c>
      <c r="K259" s="246"/>
      <c r="L259" s="246"/>
      <c r="M259" s="246"/>
      <c r="N259" s="246"/>
      <c r="O259" s="246"/>
      <c r="P259" s="246"/>
      <c r="Q259" s="246"/>
      <c r="R259" s="246">
        <f>IFERROR(VLOOKUP(D259,PROGRAMAS[],2,FALSE),0)</f>
        <v>97037803.679377079</v>
      </c>
      <c r="S259" s="246">
        <f>IFERROR(VLOOKUP(E259,PROGRAMAS[],2,FALSE),0)</f>
        <v>640501509.6821388</v>
      </c>
      <c r="T259" s="246">
        <f>IFERROR(VLOOKUP(F259,PROGRAMAS[],2,FALSE),0)</f>
        <v>3062327798.1525245</v>
      </c>
      <c r="U259" s="246">
        <f>IFERROR(VLOOKUP(G259,PROGRAMAS[],2,FALSE),0)</f>
        <v>67697118.033011258</v>
      </c>
      <c r="V259" s="246">
        <f>IFERROR(VLOOKUP(H259,PROGRAMAS[],2,FALSE),0)</f>
        <v>1440941976.2528784</v>
      </c>
      <c r="W259" s="246">
        <f>IFERROR(VLOOKUP(I259,PROGRAMAS[],2,FALSE),0)</f>
        <v>3776538594.4604583</v>
      </c>
      <c r="X259" s="246">
        <f>IFERROR(VLOOKUP(J259,PROGRAMAS[],2,FALSE),0)</f>
        <v>54223862.645839565</v>
      </c>
      <c r="Y259" s="246">
        <f>IFERROR(VLOOKUP(K259,PROGRAMAS[],2,FALSE),0)</f>
        <v>0</v>
      </c>
      <c r="Z259" s="246">
        <f>IFERROR(VLOOKUP(L259,PROGRAMAS[],2,FALSE),0)</f>
        <v>0</v>
      </c>
      <c r="AA259" s="246">
        <f>IFERROR(VLOOKUP(M259,PROGRAMAS[],2,FALSE),0)</f>
        <v>0</v>
      </c>
      <c r="AB259" s="246">
        <f>IFERROR(VLOOKUP(N259,PROGRAMAS[],2,FALSE),0)</f>
        <v>0</v>
      </c>
      <c r="AC259" s="246">
        <f>IFERROR(VLOOKUP(O259,PROGRAMAS[],2,FALSE),0)</f>
        <v>0</v>
      </c>
      <c r="AD259" s="246">
        <f>IFERROR(VLOOKUP(P259,PROGRAMAS[],2,FALSE),0)</f>
        <v>0</v>
      </c>
      <c r="AE259" s="246">
        <f>IFERROR(VLOOKUP(Q259,PROGRAMAS[],2,FALSE),0)</f>
        <v>0</v>
      </c>
      <c r="AF259" s="246">
        <f>IFERROR(VLOOKUP(D259,PROGRAMAS[],3,FALSE),0)</f>
        <v>841888629.31080008</v>
      </c>
      <c r="AG259" s="246">
        <f>IFERROR(VLOOKUP(E259,PROGRAMAS[],3,FALSE),0)</f>
        <v>3848980803.1642323</v>
      </c>
      <c r="AH259" s="246">
        <f>IFERROR(VLOOKUP(F259,PROGRAMAS[],3,FALSE),0)</f>
        <v>3394901471.387517</v>
      </c>
      <c r="AI259" s="246">
        <f>IFERROR(VLOOKUP(G259,PROGRAMAS[],3,FALSE),0)</f>
        <v>125317226.95549992</v>
      </c>
      <c r="AJ259" s="246">
        <f>IFERROR(VLOOKUP(H259,PROGRAMAS[],3,FALSE),0)</f>
        <v>1233505101.0616004</v>
      </c>
      <c r="AK259" s="246">
        <f>IFERROR(VLOOKUP(I259,PROGRAMAS[],3,FALSE),0)</f>
        <v>2392571243.5584412</v>
      </c>
      <c r="AL259" s="246">
        <f>IFERROR(VLOOKUP(J259,PROGRAMAS[],3,FALSE),0)</f>
        <v>31865326.38096505</v>
      </c>
      <c r="AM259" s="246">
        <f>IFERROR(VLOOKUP(K259,PROGRAMAS[],3,FALSE),0)</f>
        <v>0</v>
      </c>
      <c r="AN259" s="246">
        <f>IFERROR(VLOOKUP(L259,PROGRAMAS[],3,FALSE),0)</f>
        <v>0</v>
      </c>
      <c r="AO259" s="246">
        <f>IFERROR(VLOOKUP(M259,PROGRAMAS[],3,FALSE),0)</f>
        <v>0</v>
      </c>
      <c r="AP259" s="246">
        <f>IFERROR(VLOOKUP(N259,PROGRAMAS[],3,FALSE),0)</f>
        <v>0</v>
      </c>
      <c r="AQ259" s="246">
        <f>IFERROR(VLOOKUP(O259,PROGRAMAS[],3,FALSE),0)</f>
        <v>0</v>
      </c>
      <c r="AR259" s="246">
        <f>IFERROR(VLOOKUP(P259,PROGRAMAS[],3,FALSE),0)</f>
        <v>0</v>
      </c>
      <c r="AS259" s="246">
        <f>IFERROR(VLOOKUP(Q259,PROGRAMAS[],3,FALSE),0)</f>
        <v>0</v>
      </c>
      <c r="AT259" s="246">
        <f>IFERROR(VLOOKUP(D259,VOL_REC[],2,FALSE),0)</f>
        <v>0</v>
      </c>
      <c r="AU259" s="246">
        <f>IFERROR(VLOOKUP(E259,VOL_REC[],2,FALSE),0)</f>
        <v>0</v>
      </c>
      <c r="AV259" s="246">
        <f>IFERROR(VLOOKUP(F259,VOL_REC[],2,FALSE),0)</f>
        <v>11089674.200000001</v>
      </c>
      <c r="AW259" s="246">
        <f>IFERROR(VLOOKUP(G259,VOL_REC[],2,FALSE),0)</f>
        <v>90439.55</v>
      </c>
      <c r="AX259" s="246">
        <f>IFERROR(VLOOKUP(H259,VOL_REC[],2,FALSE),0)</f>
        <v>4325103.1812214684</v>
      </c>
      <c r="AY259" s="246">
        <f>IFERROR(VLOOKUP(I259,VOL_REC[],2,FALSE),0)</f>
        <v>663244.80000000016</v>
      </c>
      <c r="AZ259" s="246">
        <f>IFERROR(VLOOKUP(J259,VOL_REC[],2,FALSE),0)</f>
        <v>17074.045034105649</v>
      </c>
      <c r="BA259" s="246">
        <f>IFERROR(VLOOKUP(K259,VOL_REC[],2,FALSE),0)</f>
        <v>0</v>
      </c>
      <c r="BB259" s="246">
        <f>IFERROR(VLOOKUP(L259,VOL_REC[],2,FALSE),0)</f>
        <v>0</v>
      </c>
      <c r="BC259" s="246">
        <f>IFERROR(VLOOKUP(M259,VOL_REC[],2,FALSE),0)</f>
        <v>0</v>
      </c>
      <c r="BD259" s="246">
        <f>IFERROR(VLOOKUP(N259,VOL_REC[],2,FALSE),0)</f>
        <v>0</v>
      </c>
      <c r="BE259" s="246">
        <f>IFERROR(VLOOKUP(O259,VOL_REC[],2,FALSE),0)</f>
        <v>0</v>
      </c>
      <c r="BF259" s="246">
        <f>IFERROR(VLOOKUP(P259,VOL_REC[],2,FALSE),0)</f>
        <v>0</v>
      </c>
      <c r="BG259" s="246">
        <f>IFERROR(VLOOKUP(Q259,VOL_REC[],2,FALSE),0)</f>
        <v>0</v>
      </c>
      <c r="BH259" s="1710">
        <f t="shared" si="16"/>
        <v>9139268662.906229</v>
      </c>
      <c r="BI259" s="1710">
        <f t="shared" si="17"/>
        <v>11869029801.819056</v>
      </c>
      <c r="BJ259" s="1711">
        <f t="shared" si="18"/>
        <v>16185535.776255576</v>
      </c>
      <c r="BK259" s="1711">
        <f t="shared" si="19"/>
        <v>0.77000974936515354</v>
      </c>
    </row>
    <row r="260" spans="3:67" x14ac:dyDescent="0.25">
      <c r="C260" s="246" t="s">
        <v>1610</v>
      </c>
      <c r="D260" s="246">
        <v>1</v>
      </c>
      <c r="E260" s="246">
        <v>2</v>
      </c>
      <c r="F260" s="246">
        <v>3</v>
      </c>
      <c r="G260" s="246">
        <v>4</v>
      </c>
      <c r="H260" s="246">
        <v>5</v>
      </c>
      <c r="I260" s="246">
        <v>13</v>
      </c>
      <c r="J260" s="246">
        <v>15</v>
      </c>
      <c r="K260" s="246"/>
      <c r="L260" s="246"/>
      <c r="M260" s="246"/>
      <c r="N260" s="246"/>
      <c r="O260" s="246"/>
      <c r="P260" s="246"/>
      <c r="Q260" s="246"/>
      <c r="R260" s="246">
        <f>IFERROR(VLOOKUP(D260,PROGRAMAS[],2,FALSE),0)</f>
        <v>97037803.679377079</v>
      </c>
      <c r="S260" s="246">
        <f>IFERROR(VLOOKUP(E260,PROGRAMAS[],2,FALSE),0)</f>
        <v>640501509.6821388</v>
      </c>
      <c r="T260" s="246">
        <f>IFERROR(VLOOKUP(F260,PROGRAMAS[],2,FALSE),0)</f>
        <v>3062327798.1525245</v>
      </c>
      <c r="U260" s="246">
        <f>IFERROR(VLOOKUP(G260,PROGRAMAS[],2,FALSE),0)</f>
        <v>67697118.033011258</v>
      </c>
      <c r="V260" s="246">
        <f>IFERROR(VLOOKUP(H260,PROGRAMAS[],2,FALSE),0)</f>
        <v>1440941976.2528784</v>
      </c>
      <c r="W260" s="246">
        <f>IFERROR(VLOOKUP(I260,PROGRAMAS[],2,FALSE),0)</f>
        <v>3776538594.4604583</v>
      </c>
      <c r="X260" s="246">
        <f>IFERROR(VLOOKUP(J260,PROGRAMAS[],2,FALSE),0)</f>
        <v>122159672.96346797</v>
      </c>
      <c r="Y260" s="246">
        <f>IFERROR(VLOOKUP(K260,PROGRAMAS[],2,FALSE),0)</f>
        <v>0</v>
      </c>
      <c r="Z260" s="246">
        <f>IFERROR(VLOOKUP(L260,PROGRAMAS[],2,FALSE),0)</f>
        <v>0</v>
      </c>
      <c r="AA260" s="246">
        <f>IFERROR(VLOOKUP(M260,PROGRAMAS[],2,FALSE),0)</f>
        <v>0</v>
      </c>
      <c r="AB260" s="246">
        <f>IFERROR(VLOOKUP(N260,PROGRAMAS[],2,FALSE),0)</f>
        <v>0</v>
      </c>
      <c r="AC260" s="246">
        <f>IFERROR(VLOOKUP(O260,PROGRAMAS[],2,FALSE),0)</f>
        <v>0</v>
      </c>
      <c r="AD260" s="246">
        <f>IFERROR(VLOOKUP(P260,PROGRAMAS[],2,FALSE),0)</f>
        <v>0</v>
      </c>
      <c r="AE260" s="246">
        <f>IFERROR(VLOOKUP(Q260,PROGRAMAS[],2,FALSE),0)</f>
        <v>0</v>
      </c>
      <c r="AF260" s="246">
        <f>IFERROR(VLOOKUP(D260,PROGRAMAS[],3,FALSE),0)</f>
        <v>841888629.31080008</v>
      </c>
      <c r="AG260" s="246">
        <f>IFERROR(VLOOKUP(E260,PROGRAMAS[],3,FALSE),0)</f>
        <v>3848980803.1642323</v>
      </c>
      <c r="AH260" s="246">
        <f>IFERROR(VLOOKUP(F260,PROGRAMAS[],3,FALSE),0)</f>
        <v>3394901471.387517</v>
      </c>
      <c r="AI260" s="246">
        <f>IFERROR(VLOOKUP(G260,PROGRAMAS[],3,FALSE),0)</f>
        <v>125317226.95549992</v>
      </c>
      <c r="AJ260" s="246">
        <f>IFERROR(VLOOKUP(H260,PROGRAMAS[],3,FALSE),0)</f>
        <v>1233505101.0616004</v>
      </c>
      <c r="AK260" s="246">
        <f>IFERROR(VLOOKUP(I260,PROGRAMAS[],3,FALSE),0)</f>
        <v>2392571243.5584412</v>
      </c>
      <c r="AL260" s="246">
        <f>IFERROR(VLOOKUP(J260,PROGRAMAS[],3,FALSE),0)</f>
        <v>118617452.52510804</v>
      </c>
      <c r="AM260" s="246">
        <f>IFERROR(VLOOKUP(K260,PROGRAMAS[],3,FALSE),0)</f>
        <v>0</v>
      </c>
      <c r="AN260" s="246">
        <f>IFERROR(VLOOKUP(L260,PROGRAMAS[],3,FALSE),0)</f>
        <v>0</v>
      </c>
      <c r="AO260" s="246">
        <f>IFERROR(VLOOKUP(M260,PROGRAMAS[],3,FALSE),0)</f>
        <v>0</v>
      </c>
      <c r="AP260" s="246">
        <f>IFERROR(VLOOKUP(N260,PROGRAMAS[],3,FALSE),0)</f>
        <v>0</v>
      </c>
      <c r="AQ260" s="246">
        <f>IFERROR(VLOOKUP(O260,PROGRAMAS[],3,FALSE),0)</f>
        <v>0</v>
      </c>
      <c r="AR260" s="246">
        <f>IFERROR(VLOOKUP(P260,PROGRAMAS[],3,FALSE),0)</f>
        <v>0</v>
      </c>
      <c r="AS260" s="246">
        <f>IFERROR(VLOOKUP(Q260,PROGRAMAS[],3,FALSE),0)</f>
        <v>0</v>
      </c>
      <c r="AT260" s="246">
        <f>IFERROR(VLOOKUP(D260,VOL_REC[],2,FALSE),0)</f>
        <v>0</v>
      </c>
      <c r="AU260" s="246">
        <f>IFERROR(VLOOKUP(E260,VOL_REC[],2,FALSE),0)</f>
        <v>0</v>
      </c>
      <c r="AV260" s="246">
        <f>IFERROR(VLOOKUP(F260,VOL_REC[],2,FALSE),0)</f>
        <v>11089674.200000001</v>
      </c>
      <c r="AW260" s="246">
        <f>IFERROR(VLOOKUP(G260,VOL_REC[],2,FALSE),0)</f>
        <v>90439.55</v>
      </c>
      <c r="AX260" s="246">
        <f>IFERROR(VLOOKUP(H260,VOL_REC[],2,FALSE),0)</f>
        <v>4325103.1812214684</v>
      </c>
      <c r="AY260" s="246">
        <f>IFERROR(VLOOKUP(I260,VOL_REC[],2,FALSE),0)</f>
        <v>663244.80000000016</v>
      </c>
      <c r="AZ260" s="246">
        <f>IFERROR(VLOOKUP(J260,VOL_REC[],2,FALSE),0)</f>
        <v>105072</v>
      </c>
      <c r="BA260" s="246">
        <f>IFERROR(VLOOKUP(K260,VOL_REC[],2,FALSE),0)</f>
        <v>0</v>
      </c>
      <c r="BB260" s="246">
        <f>IFERROR(VLOOKUP(L260,VOL_REC[],2,FALSE),0)</f>
        <v>0</v>
      </c>
      <c r="BC260" s="246">
        <f>IFERROR(VLOOKUP(M260,VOL_REC[],2,FALSE),0)</f>
        <v>0</v>
      </c>
      <c r="BD260" s="246">
        <f>IFERROR(VLOOKUP(N260,VOL_REC[],2,FALSE),0)</f>
        <v>0</v>
      </c>
      <c r="BE260" s="246">
        <f>IFERROR(VLOOKUP(O260,VOL_REC[],2,FALSE),0)</f>
        <v>0</v>
      </c>
      <c r="BF260" s="246">
        <f>IFERROR(VLOOKUP(P260,VOL_REC[],2,FALSE),0)</f>
        <v>0</v>
      </c>
      <c r="BG260" s="246">
        <f>IFERROR(VLOOKUP(Q260,VOL_REC[],2,FALSE),0)</f>
        <v>0</v>
      </c>
      <c r="BH260" s="1710">
        <f t="shared" si="16"/>
        <v>9207204473.2238579</v>
      </c>
      <c r="BI260" s="1710">
        <f t="shared" si="17"/>
        <v>11955781927.9632</v>
      </c>
      <c r="BJ260" s="1711">
        <f t="shared" si="18"/>
        <v>16273533.731221471</v>
      </c>
      <c r="BK260" s="1711">
        <f t="shared" si="19"/>
        <v>0.77010475171759907</v>
      </c>
    </row>
    <row r="261" spans="3:67" x14ac:dyDescent="0.25">
      <c r="C261" s="246" t="s">
        <v>1611</v>
      </c>
      <c r="D261" s="246">
        <v>1</v>
      </c>
      <c r="E261" s="246">
        <v>2</v>
      </c>
      <c r="F261" s="246">
        <v>3</v>
      </c>
      <c r="G261" s="246">
        <v>4</v>
      </c>
      <c r="H261" s="246">
        <v>5</v>
      </c>
      <c r="I261" s="246">
        <v>13</v>
      </c>
      <c r="J261" s="246">
        <v>16</v>
      </c>
      <c r="K261" s="246"/>
      <c r="L261" s="246"/>
      <c r="M261" s="246"/>
      <c r="N261" s="246"/>
      <c r="O261" s="246"/>
      <c r="P261" s="246"/>
      <c r="Q261" s="246"/>
      <c r="R261" s="246">
        <f>IFERROR(VLOOKUP(D261,PROGRAMAS[],2,FALSE),0)</f>
        <v>97037803.679377079</v>
      </c>
      <c r="S261" s="246">
        <f>IFERROR(VLOOKUP(E261,PROGRAMAS[],2,FALSE),0)</f>
        <v>640501509.6821388</v>
      </c>
      <c r="T261" s="246">
        <f>IFERROR(VLOOKUP(F261,PROGRAMAS[],2,FALSE),0)</f>
        <v>3062327798.1525245</v>
      </c>
      <c r="U261" s="246">
        <f>IFERROR(VLOOKUP(G261,PROGRAMAS[],2,FALSE),0)</f>
        <v>67697118.033011258</v>
      </c>
      <c r="V261" s="246">
        <f>IFERROR(VLOOKUP(H261,PROGRAMAS[],2,FALSE),0)</f>
        <v>1440941976.2528784</v>
      </c>
      <c r="W261" s="246">
        <f>IFERROR(VLOOKUP(I261,PROGRAMAS[],2,FALSE),0)</f>
        <v>3776538594.4604583</v>
      </c>
      <c r="X261" s="246">
        <f>IFERROR(VLOOKUP(J261,PROGRAMAS[],2,FALSE),0)</f>
        <v>7068496961.0436354</v>
      </c>
      <c r="Y261" s="246">
        <f>IFERROR(VLOOKUP(K261,PROGRAMAS[],2,FALSE),0)</f>
        <v>0</v>
      </c>
      <c r="Z261" s="246">
        <f>IFERROR(VLOOKUP(L261,PROGRAMAS[],2,FALSE),0)</f>
        <v>0</v>
      </c>
      <c r="AA261" s="246">
        <f>IFERROR(VLOOKUP(M261,PROGRAMAS[],2,FALSE),0)</f>
        <v>0</v>
      </c>
      <c r="AB261" s="246">
        <f>IFERROR(VLOOKUP(N261,PROGRAMAS[],2,FALSE),0)</f>
        <v>0</v>
      </c>
      <c r="AC261" s="246">
        <f>IFERROR(VLOOKUP(O261,PROGRAMAS[],2,FALSE),0)</f>
        <v>0</v>
      </c>
      <c r="AD261" s="246">
        <f>IFERROR(VLOOKUP(P261,PROGRAMAS[],2,FALSE),0)</f>
        <v>0</v>
      </c>
      <c r="AE261" s="246">
        <f>IFERROR(VLOOKUP(Q261,PROGRAMAS[],2,FALSE),0)</f>
        <v>0</v>
      </c>
      <c r="AF261" s="246">
        <f>IFERROR(VLOOKUP(D261,PROGRAMAS[],3,FALSE),0)</f>
        <v>841888629.31080008</v>
      </c>
      <c r="AG261" s="246">
        <f>IFERROR(VLOOKUP(E261,PROGRAMAS[],3,FALSE),0)</f>
        <v>3848980803.1642323</v>
      </c>
      <c r="AH261" s="246">
        <f>IFERROR(VLOOKUP(F261,PROGRAMAS[],3,FALSE),0)</f>
        <v>3394901471.387517</v>
      </c>
      <c r="AI261" s="246">
        <f>IFERROR(VLOOKUP(G261,PROGRAMAS[],3,FALSE),0)</f>
        <v>125317226.95549992</v>
      </c>
      <c r="AJ261" s="246">
        <f>IFERROR(VLOOKUP(H261,PROGRAMAS[],3,FALSE),0)</f>
        <v>1233505101.0616004</v>
      </c>
      <c r="AK261" s="246">
        <f>IFERROR(VLOOKUP(I261,PROGRAMAS[],3,FALSE),0)</f>
        <v>2392571243.5584412</v>
      </c>
      <c r="AL261" s="246">
        <f>IFERROR(VLOOKUP(J261,PROGRAMAS[],3,FALSE),0)</f>
        <v>2406564599.0319901</v>
      </c>
      <c r="AM261" s="246">
        <f>IFERROR(VLOOKUP(K261,PROGRAMAS[],3,FALSE),0)</f>
        <v>0</v>
      </c>
      <c r="AN261" s="246">
        <f>IFERROR(VLOOKUP(L261,PROGRAMAS[],3,FALSE),0)</f>
        <v>0</v>
      </c>
      <c r="AO261" s="246">
        <f>IFERROR(VLOOKUP(M261,PROGRAMAS[],3,FALSE),0)</f>
        <v>0</v>
      </c>
      <c r="AP261" s="246">
        <f>IFERROR(VLOOKUP(N261,PROGRAMAS[],3,FALSE),0)</f>
        <v>0</v>
      </c>
      <c r="AQ261" s="246">
        <f>IFERROR(VLOOKUP(O261,PROGRAMAS[],3,FALSE),0)</f>
        <v>0</v>
      </c>
      <c r="AR261" s="246">
        <f>IFERROR(VLOOKUP(P261,PROGRAMAS[],3,FALSE),0)</f>
        <v>0</v>
      </c>
      <c r="AS261" s="246">
        <f>IFERROR(VLOOKUP(Q261,PROGRAMAS[],3,FALSE),0)</f>
        <v>0</v>
      </c>
      <c r="AT261" s="246">
        <f>IFERROR(VLOOKUP(D261,VOL_REC[],2,FALSE),0)</f>
        <v>0</v>
      </c>
      <c r="AU261" s="246">
        <f>IFERROR(VLOOKUP(E261,VOL_REC[],2,FALSE),0)</f>
        <v>0</v>
      </c>
      <c r="AV261" s="246">
        <f>IFERROR(VLOOKUP(F261,VOL_REC[],2,FALSE),0)</f>
        <v>11089674.200000001</v>
      </c>
      <c r="AW261" s="246">
        <f>IFERROR(VLOOKUP(G261,VOL_REC[],2,FALSE),0)</f>
        <v>90439.55</v>
      </c>
      <c r="AX261" s="246">
        <f>IFERROR(VLOOKUP(H261,VOL_REC[],2,FALSE),0)</f>
        <v>4325103.1812214684</v>
      </c>
      <c r="AY261" s="246">
        <f>IFERROR(VLOOKUP(I261,VOL_REC[],2,FALSE),0)</f>
        <v>663244.80000000016</v>
      </c>
      <c r="AZ261" s="246">
        <f>IFERROR(VLOOKUP(J261,VOL_REC[],2,FALSE),0)</f>
        <v>1072354.9981737854</v>
      </c>
      <c r="BA261" s="246">
        <f>IFERROR(VLOOKUP(K261,VOL_REC[],2,FALSE),0)</f>
        <v>0</v>
      </c>
      <c r="BB261" s="246">
        <f>IFERROR(VLOOKUP(L261,VOL_REC[],2,FALSE),0)</f>
        <v>0</v>
      </c>
      <c r="BC261" s="246">
        <f>IFERROR(VLOOKUP(M261,VOL_REC[],2,FALSE),0)</f>
        <v>0</v>
      </c>
      <c r="BD261" s="246">
        <f>IFERROR(VLOOKUP(N261,VOL_REC[],2,FALSE),0)</f>
        <v>0</v>
      </c>
      <c r="BE261" s="246">
        <f>IFERROR(VLOOKUP(O261,VOL_REC[],2,FALSE),0)</f>
        <v>0</v>
      </c>
      <c r="BF261" s="246">
        <f>IFERROR(VLOOKUP(P261,VOL_REC[],2,FALSE),0)</f>
        <v>0</v>
      </c>
      <c r="BG261" s="246">
        <f>IFERROR(VLOOKUP(Q261,VOL_REC[],2,FALSE),0)</f>
        <v>0</v>
      </c>
      <c r="BH261" s="1710">
        <f t="shared" si="16"/>
        <v>16153541761.304024</v>
      </c>
      <c r="BI261" s="1710">
        <f t="shared" si="17"/>
        <v>14243729074.470081</v>
      </c>
      <c r="BJ261" s="1711">
        <f t="shared" si="18"/>
        <v>17240816.729395255</v>
      </c>
      <c r="BK261" s="1711">
        <f t="shared" si="19"/>
        <v>1.1340809472609963</v>
      </c>
      <c r="BL261">
        <f>BJ261</f>
        <v>17240816.729395255</v>
      </c>
      <c r="BO261">
        <f>BL261</f>
        <v>17240816.729395255</v>
      </c>
    </row>
    <row r="262" spans="3:67" x14ac:dyDescent="0.25">
      <c r="C262" s="246" t="s">
        <v>1612</v>
      </c>
      <c r="D262" s="246">
        <v>1</v>
      </c>
      <c r="E262" s="246">
        <v>2</v>
      </c>
      <c r="F262" s="246">
        <v>3</v>
      </c>
      <c r="G262" s="246">
        <v>4</v>
      </c>
      <c r="H262" s="246">
        <v>5</v>
      </c>
      <c r="I262" s="246">
        <v>13</v>
      </c>
      <c r="J262" s="246">
        <v>17</v>
      </c>
      <c r="K262" s="246"/>
      <c r="L262" s="246"/>
      <c r="M262" s="246"/>
      <c r="N262" s="246"/>
      <c r="O262" s="246"/>
      <c r="P262" s="246"/>
      <c r="Q262" s="246"/>
      <c r="R262" s="246">
        <f>IFERROR(VLOOKUP(D262,PROGRAMAS[],2,FALSE),0)</f>
        <v>97037803.679377079</v>
      </c>
      <c r="S262" s="246">
        <f>IFERROR(VLOOKUP(E262,PROGRAMAS[],2,FALSE),0)</f>
        <v>640501509.6821388</v>
      </c>
      <c r="T262" s="246">
        <f>IFERROR(VLOOKUP(F262,PROGRAMAS[],2,FALSE),0)</f>
        <v>3062327798.1525245</v>
      </c>
      <c r="U262" s="246">
        <f>IFERROR(VLOOKUP(G262,PROGRAMAS[],2,FALSE),0)</f>
        <v>67697118.033011258</v>
      </c>
      <c r="V262" s="246">
        <f>IFERROR(VLOOKUP(H262,PROGRAMAS[],2,FALSE),0)</f>
        <v>1440941976.2528784</v>
      </c>
      <c r="W262" s="246">
        <f>IFERROR(VLOOKUP(I262,PROGRAMAS[],2,FALSE),0)</f>
        <v>3776538594.4604583</v>
      </c>
      <c r="X262" s="246">
        <f>IFERROR(VLOOKUP(J262,PROGRAMAS[],2,FALSE),0)</f>
        <v>1892779498.5211046</v>
      </c>
      <c r="Y262" s="246">
        <f>IFERROR(VLOOKUP(K262,PROGRAMAS[],2,FALSE),0)</f>
        <v>0</v>
      </c>
      <c r="Z262" s="246">
        <f>IFERROR(VLOOKUP(L262,PROGRAMAS[],2,FALSE),0)</f>
        <v>0</v>
      </c>
      <c r="AA262" s="246">
        <f>IFERROR(VLOOKUP(M262,PROGRAMAS[],2,FALSE),0)</f>
        <v>0</v>
      </c>
      <c r="AB262" s="246">
        <f>IFERROR(VLOOKUP(N262,PROGRAMAS[],2,FALSE),0)</f>
        <v>0</v>
      </c>
      <c r="AC262" s="246">
        <f>IFERROR(VLOOKUP(O262,PROGRAMAS[],2,FALSE),0)</f>
        <v>0</v>
      </c>
      <c r="AD262" s="246">
        <f>IFERROR(VLOOKUP(P262,PROGRAMAS[],2,FALSE),0)</f>
        <v>0</v>
      </c>
      <c r="AE262" s="246">
        <f>IFERROR(VLOOKUP(Q262,PROGRAMAS[],2,FALSE),0)</f>
        <v>0</v>
      </c>
      <c r="AF262" s="246">
        <f>IFERROR(VLOOKUP(D262,PROGRAMAS[],3,FALSE),0)</f>
        <v>841888629.31080008</v>
      </c>
      <c r="AG262" s="246">
        <f>IFERROR(VLOOKUP(E262,PROGRAMAS[],3,FALSE),0)</f>
        <v>3848980803.1642323</v>
      </c>
      <c r="AH262" s="246">
        <f>IFERROR(VLOOKUP(F262,PROGRAMAS[],3,FALSE),0)</f>
        <v>3394901471.387517</v>
      </c>
      <c r="AI262" s="246">
        <f>IFERROR(VLOOKUP(G262,PROGRAMAS[],3,FALSE),0)</f>
        <v>125317226.95549992</v>
      </c>
      <c r="AJ262" s="246">
        <f>IFERROR(VLOOKUP(H262,PROGRAMAS[],3,FALSE),0)</f>
        <v>1233505101.0616004</v>
      </c>
      <c r="AK262" s="246">
        <f>IFERROR(VLOOKUP(I262,PROGRAMAS[],3,FALSE),0)</f>
        <v>2392571243.5584412</v>
      </c>
      <c r="AL262" s="246">
        <f>IFERROR(VLOOKUP(J262,PROGRAMAS[],3,FALSE),0)</f>
        <v>948595847.09039903</v>
      </c>
      <c r="AM262" s="246">
        <f>IFERROR(VLOOKUP(K262,PROGRAMAS[],3,FALSE),0)</f>
        <v>0</v>
      </c>
      <c r="AN262" s="246">
        <f>IFERROR(VLOOKUP(L262,PROGRAMAS[],3,FALSE),0)</f>
        <v>0</v>
      </c>
      <c r="AO262" s="246">
        <f>IFERROR(VLOOKUP(M262,PROGRAMAS[],3,FALSE),0)</f>
        <v>0</v>
      </c>
      <c r="AP262" s="246">
        <f>IFERROR(VLOOKUP(N262,PROGRAMAS[],3,FALSE),0)</f>
        <v>0</v>
      </c>
      <c r="AQ262" s="246">
        <f>IFERROR(VLOOKUP(O262,PROGRAMAS[],3,FALSE),0)</f>
        <v>0</v>
      </c>
      <c r="AR262" s="246">
        <f>IFERROR(VLOOKUP(P262,PROGRAMAS[],3,FALSE),0)</f>
        <v>0</v>
      </c>
      <c r="AS262" s="246">
        <f>IFERROR(VLOOKUP(Q262,PROGRAMAS[],3,FALSE),0)</f>
        <v>0</v>
      </c>
      <c r="AT262" s="246">
        <f>IFERROR(VLOOKUP(D262,VOL_REC[],2,FALSE),0)</f>
        <v>0</v>
      </c>
      <c r="AU262" s="246">
        <f>IFERROR(VLOOKUP(E262,VOL_REC[],2,FALSE),0)</f>
        <v>0</v>
      </c>
      <c r="AV262" s="246">
        <f>IFERROR(VLOOKUP(F262,VOL_REC[],2,FALSE),0)</f>
        <v>11089674.200000001</v>
      </c>
      <c r="AW262" s="246">
        <f>IFERROR(VLOOKUP(G262,VOL_REC[],2,FALSE),0)</f>
        <v>90439.55</v>
      </c>
      <c r="AX262" s="246">
        <f>IFERROR(VLOOKUP(H262,VOL_REC[],2,FALSE),0)</f>
        <v>4325103.1812214684</v>
      </c>
      <c r="AY262" s="246">
        <f>IFERROR(VLOOKUP(I262,VOL_REC[],2,FALSE),0)</f>
        <v>663244.80000000016</v>
      </c>
      <c r="AZ262" s="246">
        <f>IFERROR(VLOOKUP(J262,VOL_REC[],2,FALSE),0)</f>
        <v>740113.98115702497</v>
      </c>
      <c r="BA262" s="246">
        <f>IFERROR(VLOOKUP(K262,VOL_REC[],2,FALSE),0)</f>
        <v>0</v>
      </c>
      <c r="BB262" s="246">
        <f>IFERROR(VLOOKUP(L262,VOL_REC[],2,FALSE),0)</f>
        <v>0</v>
      </c>
      <c r="BC262" s="246">
        <f>IFERROR(VLOOKUP(M262,VOL_REC[],2,FALSE),0)</f>
        <v>0</v>
      </c>
      <c r="BD262" s="246">
        <f>IFERROR(VLOOKUP(N262,VOL_REC[],2,FALSE),0)</f>
        <v>0</v>
      </c>
      <c r="BE262" s="246">
        <f>IFERROR(VLOOKUP(O262,VOL_REC[],2,FALSE),0)</f>
        <v>0</v>
      </c>
      <c r="BF262" s="246">
        <f>IFERROR(VLOOKUP(P262,VOL_REC[],2,FALSE),0)</f>
        <v>0</v>
      </c>
      <c r="BG262" s="246">
        <f>IFERROR(VLOOKUP(Q262,VOL_REC[],2,FALSE),0)</f>
        <v>0</v>
      </c>
      <c r="BH262" s="1710">
        <f t="shared" si="16"/>
        <v>10977824298.781494</v>
      </c>
      <c r="BI262" s="1710">
        <f t="shared" si="17"/>
        <v>12785760322.52849</v>
      </c>
      <c r="BJ262" s="1711">
        <f t="shared" si="18"/>
        <v>16908575.712378494</v>
      </c>
      <c r="BK262" s="1711">
        <f t="shared" si="19"/>
        <v>0.85859769163970523</v>
      </c>
    </row>
    <row r="263" spans="3:67" x14ac:dyDescent="0.25">
      <c r="C263" s="246" t="s">
        <v>1613</v>
      </c>
      <c r="D263" s="246">
        <v>1</v>
      </c>
      <c r="E263" s="246">
        <v>2</v>
      </c>
      <c r="F263" s="246">
        <v>3</v>
      </c>
      <c r="G263" s="246">
        <v>4</v>
      </c>
      <c r="H263" s="246">
        <v>5</v>
      </c>
      <c r="I263" s="246">
        <v>14</v>
      </c>
      <c r="J263" s="246">
        <v>15</v>
      </c>
      <c r="K263" s="246"/>
      <c r="L263" s="246"/>
      <c r="M263" s="246"/>
      <c r="N263" s="246"/>
      <c r="O263" s="246"/>
      <c r="P263" s="246"/>
      <c r="Q263" s="246"/>
      <c r="R263" s="246">
        <f>IFERROR(VLOOKUP(D263,PROGRAMAS[],2,FALSE),0)</f>
        <v>97037803.679377079</v>
      </c>
      <c r="S263" s="246">
        <f>IFERROR(VLOOKUP(E263,PROGRAMAS[],2,FALSE),0)</f>
        <v>640501509.6821388</v>
      </c>
      <c r="T263" s="246">
        <f>IFERROR(VLOOKUP(F263,PROGRAMAS[],2,FALSE),0)</f>
        <v>3062327798.1525245</v>
      </c>
      <c r="U263" s="246">
        <f>IFERROR(VLOOKUP(G263,PROGRAMAS[],2,FALSE),0)</f>
        <v>67697118.033011258</v>
      </c>
      <c r="V263" s="246">
        <f>IFERROR(VLOOKUP(H263,PROGRAMAS[],2,FALSE),0)</f>
        <v>1440941976.2528784</v>
      </c>
      <c r="W263" s="246">
        <f>IFERROR(VLOOKUP(I263,PROGRAMAS[],2,FALSE),0)</f>
        <v>54223862.645839565</v>
      </c>
      <c r="X263" s="246">
        <f>IFERROR(VLOOKUP(J263,PROGRAMAS[],2,FALSE),0)</f>
        <v>122159672.96346797</v>
      </c>
      <c r="Y263" s="246">
        <f>IFERROR(VLOOKUP(K263,PROGRAMAS[],2,FALSE),0)</f>
        <v>0</v>
      </c>
      <c r="Z263" s="246">
        <f>IFERROR(VLOOKUP(L263,PROGRAMAS[],2,FALSE),0)</f>
        <v>0</v>
      </c>
      <c r="AA263" s="246">
        <f>IFERROR(VLOOKUP(M263,PROGRAMAS[],2,FALSE),0)</f>
        <v>0</v>
      </c>
      <c r="AB263" s="246">
        <f>IFERROR(VLOOKUP(N263,PROGRAMAS[],2,FALSE),0)</f>
        <v>0</v>
      </c>
      <c r="AC263" s="246">
        <f>IFERROR(VLOOKUP(O263,PROGRAMAS[],2,FALSE),0)</f>
        <v>0</v>
      </c>
      <c r="AD263" s="246">
        <f>IFERROR(VLOOKUP(P263,PROGRAMAS[],2,FALSE),0)</f>
        <v>0</v>
      </c>
      <c r="AE263" s="246">
        <f>IFERROR(VLOOKUP(Q263,PROGRAMAS[],2,FALSE),0)</f>
        <v>0</v>
      </c>
      <c r="AF263" s="246">
        <f>IFERROR(VLOOKUP(D263,PROGRAMAS[],3,FALSE),0)</f>
        <v>841888629.31080008</v>
      </c>
      <c r="AG263" s="246">
        <f>IFERROR(VLOOKUP(E263,PROGRAMAS[],3,FALSE),0)</f>
        <v>3848980803.1642323</v>
      </c>
      <c r="AH263" s="246">
        <f>IFERROR(VLOOKUP(F263,PROGRAMAS[],3,FALSE),0)</f>
        <v>3394901471.387517</v>
      </c>
      <c r="AI263" s="246">
        <f>IFERROR(VLOOKUP(G263,PROGRAMAS[],3,FALSE),0)</f>
        <v>125317226.95549992</v>
      </c>
      <c r="AJ263" s="246">
        <f>IFERROR(VLOOKUP(H263,PROGRAMAS[],3,FALSE),0)</f>
        <v>1233505101.0616004</v>
      </c>
      <c r="AK263" s="246">
        <f>IFERROR(VLOOKUP(I263,PROGRAMAS[],3,FALSE),0)</f>
        <v>31865326.38096505</v>
      </c>
      <c r="AL263" s="246">
        <f>IFERROR(VLOOKUP(J263,PROGRAMAS[],3,FALSE),0)</f>
        <v>118617452.52510804</v>
      </c>
      <c r="AM263" s="246">
        <f>IFERROR(VLOOKUP(K263,PROGRAMAS[],3,FALSE),0)</f>
        <v>0</v>
      </c>
      <c r="AN263" s="246">
        <f>IFERROR(VLOOKUP(L263,PROGRAMAS[],3,FALSE),0)</f>
        <v>0</v>
      </c>
      <c r="AO263" s="246">
        <f>IFERROR(VLOOKUP(M263,PROGRAMAS[],3,FALSE),0)</f>
        <v>0</v>
      </c>
      <c r="AP263" s="246">
        <f>IFERROR(VLOOKUP(N263,PROGRAMAS[],3,FALSE),0)</f>
        <v>0</v>
      </c>
      <c r="AQ263" s="246">
        <f>IFERROR(VLOOKUP(O263,PROGRAMAS[],3,FALSE),0)</f>
        <v>0</v>
      </c>
      <c r="AR263" s="246">
        <f>IFERROR(VLOOKUP(P263,PROGRAMAS[],3,FALSE),0)</f>
        <v>0</v>
      </c>
      <c r="AS263" s="246">
        <f>IFERROR(VLOOKUP(Q263,PROGRAMAS[],3,FALSE),0)</f>
        <v>0</v>
      </c>
      <c r="AT263" s="246">
        <f>IFERROR(VLOOKUP(D263,VOL_REC[],2,FALSE),0)</f>
        <v>0</v>
      </c>
      <c r="AU263" s="246">
        <f>IFERROR(VLOOKUP(E263,VOL_REC[],2,FALSE),0)</f>
        <v>0</v>
      </c>
      <c r="AV263" s="246">
        <f>IFERROR(VLOOKUP(F263,VOL_REC[],2,FALSE),0)</f>
        <v>11089674.200000001</v>
      </c>
      <c r="AW263" s="246">
        <f>IFERROR(VLOOKUP(G263,VOL_REC[],2,FALSE),0)</f>
        <v>90439.55</v>
      </c>
      <c r="AX263" s="246">
        <f>IFERROR(VLOOKUP(H263,VOL_REC[],2,FALSE),0)</f>
        <v>4325103.1812214684</v>
      </c>
      <c r="AY263" s="246">
        <f>IFERROR(VLOOKUP(I263,VOL_REC[],2,FALSE),0)</f>
        <v>17074.045034105649</v>
      </c>
      <c r="AZ263" s="246">
        <f>IFERROR(VLOOKUP(J263,VOL_REC[],2,FALSE),0)</f>
        <v>105072</v>
      </c>
      <c r="BA263" s="246">
        <f>IFERROR(VLOOKUP(K263,VOL_REC[],2,FALSE),0)</f>
        <v>0</v>
      </c>
      <c r="BB263" s="246">
        <f>IFERROR(VLOOKUP(L263,VOL_REC[],2,FALSE),0)</f>
        <v>0</v>
      </c>
      <c r="BC263" s="246">
        <f>IFERROR(VLOOKUP(M263,VOL_REC[],2,FALSE),0)</f>
        <v>0</v>
      </c>
      <c r="BD263" s="246">
        <f>IFERROR(VLOOKUP(N263,VOL_REC[],2,FALSE),0)</f>
        <v>0</v>
      </c>
      <c r="BE263" s="246">
        <f>IFERROR(VLOOKUP(O263,VOL_REC[],2,FALSE),0)</f>
        <v>0</v>
      </c>
      <c r="BF263" s="246">
        <f>IFERROR(VLOOKUP(P263,VOL_REC[],2,FALSE),0)</f>
        <v>0</v>
      </c>
      <c r="BG263" s="246">
        <f>IFERROR(VLOOKUP(Q263,VOL_REC[],2,FALSE),0)</f>
        <v>0</v>
      </c>
      <c r="BH263" s="1710">
        <f t="shared" si="16"/>
        <v>5484889741.4092379</v>
      </c>
      <c r="BI263" s="1710">
        <f t="shared" si="17"/>
        <v>9595076010.7857227</v>
      </c>
      <c r="BJ263" s="1711">
        <f t="shared" si="18"/>
        <v>15627362.976255575</v>
      </c>
      <c r="BK263" s="1711">
        <f t="shared" si="19"/>
        <v>0.57163588232586504</v>
      </c>
    </row>
    <row r="264" spans="3:67" x14ac:dyDescent="0.25">
      <c r="C264" s="246" t="s">
        <v>1614</v>
      </c>
      <c r="D264" s="246">
        <v>1</v>
      </c>
      <c r="E264" s="246">
        <v>2</v>
      </c>
      <c r="F264" s="246">
        <v>3</v>
      </c>
      <c r="G264" s="246">
        <v>4</v>
      </c>
      <c r="H264" s="246">
        <v>5</v>
      </c>
      <c r="I264" s="246">
        <v>14</v>
      </c>
      <c r="J264" s="246">
        <v>16</v>
      </c>
      <c r="K264" s="246"/>
      <c r="L264" s="246"/>
      <c r="M264" s="246"/>
      <c r="N264" s="246"/>
      <c r="O264" s="246"/>
      <c r="P264" s="246"/>
      <c r="Q264" s="246"/>
      <c r="R264" s="246">
        <f>IFERROR(VLOOKUP(D264,PROGRAMAS[],2,FALSE),0)</f>
        <v>97037803.679377079</v>
      </c>
      <c r="S264" s="246">
        <f>IFERROR(VLOOKUP(E264,PROGRAMAS[],2,FALSE),0)</f>
        <v>640501509.6821388</v>
      </c>
      <c r="T264" s="246">
        <f>IFERROR(VLOOKUP(F264,PROGRAMAS[],2,FALSE),0)</f>
        <v>3062327798.1525245</v>
      </c>
      <c r="U264" s="246">
        <f>IFERROR(VLOOKUP(G264,PROGRAMAS[],2,FALSE),0)</f>
        <v>67697118.033011258</v>
      </c>
      <c r="V264" s="246">
        <f>IFERROR(VLOOKUP(H264,PROGRAMAS[],2,FALSE),0)</f>
        <v>1440941976.2528784</v>
      </c>
      <c r="W264" s="246">
        <f>IFERROR(VLOOKUP(I264,PROGRAMAS[],2,FALSE),0)</f>
        <v>54223862.645839565</v>
      </c>
      <c r="X264" s="246">
        <f>IFERROR(VLOOKUP(J264,PROGRAMAS[],2,FALSE),0)</f>
        <v>7068496961.0436354</v>
      </c>
      <c r="Y264" s="246">
        <f>IFERROR(VLOOKUP(K264,PROGRAMAS[],2,FALSE),0)</f>
        <v>0</v>
      </c>
      <c r="Z264" s="246">
        <f>IFERROR(VLOOKUP(L264,PROGRAMAS[],2,FALSE),0)</f>
        <v>0</v>
      </c>
      <c r="AA264" s="246">
        <f>IFERROR(VLOOKUP(M264,PROGRAMAS[],2,FALSE),0)</f>
        <v>0</v>
      </c>
      <c r="AB264" s="246">
        <f>IFERROR(VLOOKUP(N264,PROGRAMAS[],2,FALSE),0)</f>
        <v>0</v>
      </c>
      <c r="AC264" s="246">
        <f>IFERROR(VLOOKUP(O264,PROGRAMAS[],2,FALSE),0)</f>
        <v>0</v>
      </c>
      <c r="AD264" s="246">
        <f>IFERROR(VLOOKUP(P264,PROGRAMAS[],2,FALSE),0)</f>
        <v>0</v>
      </c>
      <c r="AE264" s="246">
        <f>IFERROR(VLOOKUP(Q264,PROGRAMAS[],2,FALSE),0)</f>
        <v>0</v>
      </c>
      <c r="AF264" s="246">
        <f>IFERROR(VLOOKUP(D264,PROGRAMAS[],3,FALSE),0)</f>
        <v>841888629.31080008</v>
      </c>
      <c r="AG264" s="246">
        <f>IFERROR(VLOOKUP(E264,PROGRAMAS[],3,FALSE),0)</f>
        <v>3848980803.1642323</v>
      </c>
      <c r="AH264" s="246">
        <f>IFERROR(VLOOKUP(F264,PROGRAMAS[],3,FALSE),0)</f>
        <v>3394901471.387517</v>
      </c>
      <c r="AI264" s="246">
        <f>IFERROR(VLOOKUP(G264,PROGRAMAS[],3,FALSE),0)</f>
        <v>125317226.95549992</v>
      </c>
      <c r="AJ264" s="246">
        <f>IFERROR(VLOOKUP(H264,PROGRAMAS[],3,FALSE),0)</f>
        <v>1233505101.0616004</v>
      </c>
      <c r="AK264" s="246">
        <f>IFERROR(VLOOKUP(I264,PROGRAMAS[],3,FALSE),0)</f>
        <v>31865326.38096505</v>
      </c>
      <c r="AL264" s="246">
        <f>IFERROR(VLOOKUP(J264,PROGRAMAS[],3,FALSE),0)</f>
        <v>2406564599.0319901</v>
      </c>
      <c r="AM264" s="246">
        <f>IFERROR(VLOOKUP(K264,PROGRAMAS[],3,FALSE),0)</f>
        <v>0</v>
      </c>
      <c r="AN264" s="246">
        <f>IFERROR(VLOOKUP(L264,PROGRAMAS[],3,FALSE),0)</f>
        <v>0</v>
      </c>
      <c r="AO264" s="246">
        <f>IFERROR(VLOOKUP(M264,PROGRAMAS[],3,FALSE),0)</f>
        <v>0</v>
      </c>
      <c r="AP264" s="246">
        <f>IFERROR(VLOOKUP(N264,PROGRAMAS[],3,FALSE),0)</f>
        <v>0</v>
      </c>
      <c r="AQ264" s="246">
        <f>IFERROR(VLOOKUP(O264,PROGRAMAS[],3,FALSE),0)</f>
        <v>0</v>
      </c>
      <c r="AR264" s="246">
        <f>IFERROR(VLOOKUP(P264,PROGRAMAS[],3,FALSE),0)</f>
        <v>0</v>
      </c>
      <c r="AS264" s="246">
        <f>IFERROR(VLOOKUP(Q264,PROGRAMAS[],3,FALSE),0)</f>
        <v>0</v>
      </c>
      <c r="AT264" s="246">
        <f>IFERROR(VLOOKUP(D264,VOL_REC[],2,FALSE),0)</f>
        <v>0</v>
      </c>
      <c r="AU264" s="246">
        <f>IFERROR(VLOOKUP(E264,VOL_REC[],2,FALSE),0)</f>
        <v>0</v>
      </c>
      <c r="AV264" s="246">
        <f>IFERROR(VLOOKUP(F264,VOL_REC[],2,FALSE),0)</f>
        <v>11089674.200000001</v>
      </c>
      <c r="AW264" s="246">
        <f>IFERROR(VLOOKUP(G264,VOL_REC[],2,FALSE),0)</f>
        <v>90439.55</v>
      </c>
      <c r="AX264" s="246">
        <f>IFERROR(VLOOKUP(H264,VOL_REC[],2,FALSE),0)</f>
        <v>4325103.1812214684</v>
      </c>
      <c r="AY264" s="246">
        <f>IFERROR(VLOOKUP(I264,VOL_REC[],2,FALSE),0)</f>
        <v>17074.045034105649</v>
      </c>
      <c r="AZ264" s="246">
        <f>IFERROR(VLOOKUP(J264,VOL_REC[],2,FALSE),0)</f>
        <v>1072354.9981737854</v>
      </c>
      <c r="BA264" s="246">
        <f>IFERROR(VLOOKUP(K264,VOL_REC[],2,FALSE),0)</f>
        <v>0</v>
      </c>
      <c r="BB264" s="246">
        <f>IFERROR(VLOOKUP(L264,VOL_REC[],2,FALSE),0)</f>
        <v>0</v>
      </c>
      <c r="BC264" s="246">
        <f>IFERROR(VLOOKUP(M264,VOL_REC[],2,FALSE),0)</f>
        <v>0</v>
      </c>
      <c r="BD264" s="246">
        <f>IFERROR(VLOOKUP(N264,VOL_REC[],2,FALSE),0)</f>
        <v>0</v>
      </c>
      <c r="BE264" s="246">
        <f>IFERROR(VLOOKUP(O264,VOL_REC[],2,FALSE),0)</f>
        <v>0</v>
      </c>
      <c r="BF264" s="246">
        <f>IFERROR(VLOOKUP(P264,VOL_REC[],2,FALSE),0)</f>
        <v>0</v>
      </c>
      <c r="BG264" s="246">
        <f>IFERROR(VLOOKUP(Q264,VOL_REC[],2,FALSE),0)</f>
        <v>0</v>
      </c>
      <c r="BH264" s="1710">
        <f t="shared" si="16"/>
        <v>12431227029.489407</v>
      </c>
      <c r="BI264" s="1710">
        <f t="shared" si="17"/>
        <v>11883023157.292604</v>
      </c>
      <c r="BJ264" s="1711">
        <f t="shared" si="18"/>
        <v>16594645.974429362</v>
      </c>
      <c r="BK264" s="1711">
        <f t="shared" si="19"/>
        <v>1.0461333673207873</v>
      </c>
      <c r="BL264">
        <f>BJ264</f>
        <v>16594645.974429362</v>
      </c>
      <c r="BO264">
        <f>BL264</f>
        <v>16594645.974429362</v>
      </c>
    </row>
    <row r="265" spans="3:67" x14ac:dyDescent="0.25">
      <c r="C265" s="246" t="s">
        <v>1615</v>
      </c>
      <c r="D265" s="246">
        <v>1</v>
      </c>
      <c r="E265" s="246">
        <v>2</v>
      </c>
      <c r="F265" s="246">
        <v>3</v>
      </c>
      <c r="G265" s="246">
        <v>4</v>
      </c>
      <c r="H265" s="246">
        <v>5</v>
      </c>
      <c r="I265" s="246">
        <v>14</v>
      </c>
      <c r="J265" s="246">
        <v>17</v>
      </c>
      <c r="K265" s="246"/>
      <c r="L265" s="246"/>
      <c r="M265" s="246"/>
      <c r="N265" s="246"/>
      <c r="O265" s="246"/>
      <c r="P265" s="246"/>
      <c r="Q265" s="246"/>
      <c r="R265" s="246">
        <f>IFERROR(VLOOKUP(D265,PROGRAMAS[],2,FALSE),0)</f>
        <v>97037803.679377079</v>
      </c>
      <c r="S265" s="246">
        <f>IFERROR(VLOOKUP(E265,PROGRAMAS[],2,FALSE),0)</f>
        <v>640501509.6821388</v>
      </c>
      <c r="T265" s="246">
        <f>IFERROR(VLOOKUP(F265,PROGRAMAS[],2,FALSE),0)</f>
        <v>3062327798.1525245</v>
      </c>
      <c r="U265" s="246">
        <f>IFERROR(VLOOKUP(G265,PROGRAMAS[],2,FALSE),0)</f>
        <v>67697118.033011258</v>
      </c>
      <c r="V265" s="246">
        <f>IFERROR(VLOOKUP(H265,PROGRAMAS[],2,FALSE),0)</f>
        <v>1440941976.2528784</v>
      </c>
      <c r="W265" s="246">
        <f>IFERROR(VLOOKUP(I265,PROGRAMAS[],2,FALSE),0)</f>
        <v>54223862.645839565</v>
      </c>
      <c r="X265" s="246">
        <f>IFERROR(VLOOKUP(J265,PROGRAMAS[],2,FALSE),0)</f>
        <v>1892779498.5211046</v>
      </c>
      <c r="Y265" s="246">
        <f>IFERROR(VLOOKUP(K265,PROGRAMAS[],2,FALSE),0)</f>
        <v>0</v>
      </c>
      <c r="Z265" s="246">
        <f>IFERROR(VLOOKUP(L265,PROGRAMAS[],2,FALSE),0)</f>
        <v>0</v>
      </c>
      <c r="AA265" s="246">
        <f>IFERROR(VLOOKUP(M265,PROGRAMAS[],2,FALSE),0)</f>
        <v>0</v>
      </c>
      <c r="AB265" s="246">
        <f>IFERROR(VLOOKUP(N265,PROGRAMAS[],2,FALSE),0)</f>
        <v>0</v>
      </c>
      <c r="AC265" s="246">
        <f>IFERROR(VLOOKUP(O265,PROGRAMAS[],2,FALSE),0)</f>
        <v>0</v>
      </c>
      <c r="AD265" s="246">
        <f>IFERROR(VLOOKUP(P265,PROGRAMAS[],2,FALSE),0)</f>
        <v>0</v>
      </c>
      <c r="AE265" s="246">
        <f>IFERROR(VLOOKUP(Q265,PROGRAMAS[],2,FALSE),0)</f>
        <v>0</v>
      </c>
      <c r="AF265" s="246">
        <f>IFERROR(VLOOKUP(D265,PROGRAMAS[],3,FALSE),0)</f>
        <v>841888629.31080008</v>
      </c>
      <c r="AG265" s="246">
        <f>IFERROR(VLOOKUP(E265,PROGRAMAS[],3,FALSE),0)</f>
        <v>3848980803.1642323</v>
      </c>
      <c r="AH265" s="246">
        <f>IFERROR(VLOOKUP(F265,PROGRAMAS[],3,FALSE),0)</f>
        <v>3394901471.387517</v>
      </c>
      <c r="AI265" s="246">
        <f>IFERROR(VLOOKUP(G265,PROGRAMAS[],3,FALSE),0)</f>
        <v>125317226.95549992</v>
      </c>
      <c r="AJ265" s="246">
        <f>IFERROR(VLOOKUP(H265,PROGRAMAS[],3,FALSE),0)</f>
        <v>1233505101.0616004</v>
      </c>
      <c r="AK265" s="246">
        <f>IFERROR(VLOOKUP(I265,PROGRAMAS[],3,FALSE),0)</f>
        <v>31865326.38096505</v>
      </c>
      <c r="AL265" s="246">
        <f>IFERROR(VLOOKUP(J265,PROGRAMAS[],3,FALSE),0)</f>
        <v>948595847.09039903</v>
      </c>
      <c r="AM265" s="246">
        <f>IFERROR(VLOOKUP(K265,PROGRAMAS[],3,FALSE),0)</f>
        <v>0</v>
      </c>
      <c r="AN265" s="246">
        <f>IFERROR(VLOOKUP(L265,PROGRAMAS[],3,FALSE),0)</f>
        <v>0</v>
      </c>
      <c r="AO265" s="246">
        <f>IFERROR(VLOOKUP(M265,PROGRAMAS[],3,FALSE),0)</f>
        <v>0</v>
      </c>
      <c r="AP265" s="246">
        <f>IFERROR(VLOOKUP(N265,PROGRAMAS[],3,FALSE),0)</f>
        <v>0</v>
      </c>
      <c r="AQ265" s="246">
        <f>IFERROR(VLOOKUP(O265,PROGRAMAS[],3,FALSE),0)</f>
        <v>0</v>
      </c>
      <c r="AR265" s="246">
        <f>IFERROR(VLOOKUP(P265,PROGRAMAS[],3,FALSE),0)</f>
        <v>0</v>
      </c>
      <c r="AS265" s="246">
        <f>IFERROR(VLOOKUP(Q265,PROGRAMAS[],3,FALSE),0)</f>
        <v>0</v>
      </c>
      <c r="AT265" s="246">
        <f>IFERROR(VLOOKUP(D265,VOL_REC[],2,FALSE),0)</f>
        <v>0</v>
      </c>
      <c r="AU265" s="246">
        <f>IFERROR(VLOOKUP(E265,VOL_REC[],2,FALSE),0)</f>
        <v>0</v>
      </c>
      <c r="AV265" s="246">
        <f>IFERROR(VLOOKUP(F265,VOL_REC[],2,FALSE),0)</f>
        <v>11089674.200000001</v>
      </c>
      <c r="AW265" s="246">
        <f>IFERROR(VLOOKUP(G265,VOL_REC[],2,FALSE),0)</f>
        <v>90439.55</v>
      </c>
      <c r="AX265" s="246">
        <f>IFERROR(VLOOKUP(H265,VOL_REC[],2,FALSE),0)</f>
        <v>4325103.1812214684</v>
      </c>
      <c r="AY265" s="246">
        <f>IFERROR(VLOOKUP(I265,VOL_REC[],2,FALSE),0)</f>
        <v>17074.045034105649</v>
      </c>
      <c r="AZ265" s="246">
        <f>IFERROR(VLOOKUP(J265,VOL_REC[],2,FALSE),0)</f>
        <v>740113.98115702497</v>
      </c>
      <c r="BA265" s="246">
        <f>IFERROR(VLOOKUP(K265,VOL_REC[],2,FALSE),0)</f>
        <v>0</v>
      </c>
      <c r="BB265" s="246">
        <f>IFERROR(VLOOKUP(L265,VOL_REC[],2,FALSE),0)</f>
        <v>0</v>
      </c>
      <c r="BC265" s="246">
        <f>IFERROR(VLOOKUP(M265,VOL_REC[],2,FALSE),0)</f>
        <v>0</v>
      </c>
      <c r="BD265" s="246">
        <f>IFERROR(VLOOKUP(N265,VOL_REC[],2,FALSE),0)</f>
        <v>0</v>
      </c>
      <c r="BE265" s="246">
        <f>IFERROR(VLOOKUP(O265,VOL_REC[],2,FALSE),0)</f>
        <v>0</v>
      </c>
      <c r="BF265" s="246">
        <f>IFERROR(VLOOKUP(P265,VOL_REC[],2,FALSE),0)</f>
        <v>0</v>
      </c>
      <c r="BG265" s="246">
        <f>IFERROR(VLOOKUP(Q265,VOL_REC[],2,FALSE),0)</f>
        <v>0</v>
      </c>
      <c r="BH265" s="1710">
        <f t="shared" si="16"/>
        <v>7255509566.9668751</v>
      </c>
      <c r="BI265" s="1710">
        <f t="shared" si="17"/>
        <v>10425054405.351013</v>
      </c>
      <c r="BJ265" s="1711">
        <f t="shared" si="18"/>
        <v>16262404.957412601</v>
      </c>
      <c r="BK265" s="1711">
        <f t="shared" si="19"/>
        <v>0.69596850863845261</v>
      </c>
    </row>
    <row r="266" spans="3:67" x14ac:dyDescent="0.25">
      <c r="C266" s="246" t="s">
        <v>1616</v>
      </c>
      <c r="D266" s="246">
        <v>1</v>
      </c>
      <c r="E266" s="246">
        <v>2</v>
      </c>
      <c r="F266" s="246">
        <v>3</v>
      </c>
      <c r="G266" s="246">
        <v>4</v>
      </c>
      <c r="H266" s="246">
        <v>5</v>
      </c>
      <c r="I266" s="246">
        <v>15</v>
      </c>
      <c r="J266" s="246">
        <v>16</v>
      </c>
      <c r="K266" s="246"/>
      <c r="L266" s="246"/>
      <c r="M266" s="246"/>
      <c r="N266" s="246"/>
      <c r="O266" s="246"/>
      <c r="P266" s="246"/>
      <c r="Q266" s="246"/>
      <c r="R266" s="246">
        <f>IFERROR(VLOOKUP(D266,PROGRAMAS[],2,FALSE),0)</f>
        <v>97037803.679377079</v>
      </c>
      <c r="S266" s="246">
        <f>IFERROR(VLOOKUP(E266,PROGRAMAS[],2,FALSE),0)</f>
        <v>640501509.6821388</v>
      </c>
      <c r="T266" s="246">
        <f>IFERROR(VLOOKUP(F266,PROGRAMAS[],2,FALSE),0)</f>
        <v>3062327798.1525245</v>
      </c>
      <c r="U266" s="246">
        <f>IFERROR(VLOOKUP(G266,PROGRAMAS[],2,FALSE),0)</f>
        <v>67697118.033011258</v>
      </c>
      <c r="V266" s="246">
        <f>IFERROR(VLOOKUP(H266,PROGRAMAS[],2,FALSE),0)</f>
        <v>1440941976.2528784</v>
      </c>
      <c r="W266" s="246">
        <f>IFERROR(VLOOKUP(I266,PROGRAMAS[],2,FALSE),0)</f>
        <v>122159672.96346797</v>
      </c>
      <c r="X266" s="246">
        <f>IFERROR(VLOOKUP(J266,PROGRAMAS[],2,FALSE),0)</f>
        <v>7068496961.0436354</v>
      </c>
      <c r="Y266" s="246">
        <f>IFERROR(VLOOKUP(K266,PROGRAMAS[],2,FALSE),0)</f>
        <v>0</v>
      </c>
      <c r="Z266" s="246">
        <f>IFERROR(VLOOKUP(L266,PROGRAMAS[],2,FALSE),0)</f>
        <v>0</v>
      </c>
      <c r="AA266" s="246">
        <f>IFERROR(VLOOKUP(M266,PROGRAMAS[],2,FALSE),0)</f>
        <v>0</v>
      </c>
      <c r="AB266" s="246">
        <f>IFERROR(VLOOKUP(N266,PROGRAMAS[],2,FALSE),0)</f>
        <v>0</v>
      </c>
      <c r="AC266" s="246">
        <f>IFERROR(VLOOKUP(O266,PROGRAMAS[],2,FALSE),0)</f>
        <v>0</v>
      </c>
      <c r="AD266" s="246">
        <f>IFERROR(VLOOKUP(P266,PROGRAMAS[],2,FALSE),0)</f>
        <v>0</v>
      </c>
      <c r="AE266" s="246">
        <f>IFERROR(VLOOKUP(Q266,PROGRAMAS[],2,FALSE),0)</f>
        <v>0</v>
      </c>
      <c r="AF266" s="246">
        <f>IFERROR(VLOOKUP(D266,PROGRAMAS[],3,FALSE),0)</f>
        <v>841888629.31080008</v>
      </c>
      <c r="AG266" s="246">
        <f>IFERROR(VLOOKUP(E266,PROGRAMAS[],3,FALSE),0)</f>
        <v>3848980803.1642323</v>
      </c>
      <c r="AH266" s="246">
        <f>IFERROR(VLOOKUP(F266,PROGRAMAS[],3,FALSE),0)</f>
        <v>3394901471.387517</v>
      </c>
      <c r="AI266" s="246">
        <f>IFERROR(VLOOKUP(G266,PROGRAMAS[],3,FALSE),0)</f>
        <v>125317226.95549992</v>
      </c>
      <c r="AJ266" s="246">
        <f>IFERROR(VLOOKUP(H266,PROGRAMAS[],3,FALSE),0)</f>
        <v>1233505101.0616004</v>
      </c>
      <c r="AK266" s="246">
        <f>IFERROR(VLOOKUP(I266,PROGRAMAS[],3,FALSE),0)</f>
        <v>118617452.52510804</v>
      </c>
      <c r="AL266" s="246">
        <f>IFERROR(VLOOKUP(J266,PROGRAMAS[],3,FALSE),0)</f>
        <v>2406564599.0319901</v>
      </c>
      <c r="AM266" s="246">
        <f>IFERROR(VLOOKUP(K266,PROGRAMAS[],3,FALSE),0)</f>
        <v>0</v>
      </c>
      <c r="AN266" s="246">
        <f>IFERROR(VLOOKUP(L266,PROGRAMAS[],3,FALSE),0)</f>
        <v>0</v>
      </c>
      <c r="AO266" s="246">
        <f>IFERROR(VLOOKUP(M266,PROGRAMAS[],3,FALSE),0)</f>
        <v>0</v>
      </c>
      <c r="AP266" s="246">
        <f>IFERROR(VLOOKUP(N266,PROGRAMAS[],3,FALSE),0)</f>
        <v>0</v>
      </c>
      <c r="AQ266" s="246">
        <f>IFERROR(VLOOKUP(O266,PROGRAMAS[],3,FALSE),0)</f>
        <v>0</v>
      </c>
      <c r="AR266" s="246">
        <f>IFERROR(VLOOKUP(P266,PROGRAMAS[],3,FALSE),0)</f>
        <v>0</v>
      </c>
      <c r="AS266" s="246">
        <f>IFERROR(VLOOKUP(Q266,PROGRAMAS[],3,FALSE),0)</f>
        <v>0</v>
      </c>
      <c r="AT266" s="246">
        <f>IFERROR(VLOOKUP(D266,VOL_REC[],2,FALSE),0)</f>
        <v>0</v>
      </c>
      <c r="AU266" s="246">
        <f>IFERROR(VLOOKUP(E266,VOL_REC[],2,FALSE),0)</f>
        <v>0</v>
      </c>
      <c r="AV266" s="246">
        <f>IFERROR(VLOOKUP(F266,VOL_REC[],2,FALSE),0)</f>
        <v>11089674.200000001</v>
      </c>
      <c r="AW266" s="246">
        <f>IFERROR(VLOOKUP(G266,VOL_REC[],2,FALSE),0)</f>
        <v>90439.55</v>
      </c>
      <c r="AX266" s="246">
        <f>IFERROR(VLOOKUP(H266,VOL_REC[],2,FALSE),0)</f>
        <v>4325103.1812214684</v>
      </c>
      <c r="AY266" s="246">
        <f>IFERROR(VLOOKUP(I266,VOL_REC[],2,FALSE),0)</f>
        <v>105072</v>
      </c>
      <c r="AZ266" s="246">
        <f>IFERROR(VLOOKUP(J266,VOL_REC[],2,FALSE),0)</f>
        <v>1072354.9981737854</v>
      </c>
      <c r="BA266" s="246">
        <f>IFERROR(VLOOKUP(K266,VOL_REC[],2,FALSE),0)</f>
        <v>0</v>
      </c>
      <c r="BB266" s="246">
        <f>IFERROR(VLOOKUP(L266,VOL_REC[],2,FALSE),0)</f>
        <v>0</v>
      </c>
      <c r="BC266" s="246">
        <f>IFERROR(VLOOKUP(M266,VOL_REC[],2,FALSE),0)</f>
        <v>0</v>
      </c>
      <c r="BD266" s="246">
        <f>IFERROR(VLOOKUP(N266,VOL_REC[],2,FALSE),0)</f>
        <v>0</v>
      </c>
      <c r="BE266" s="246">
        <f>IFERROR(VLOOKUP(O266,VOL_REC[],2,FALSE),0)</f>
        <v>0</v>
      </c>
      <c r="BF266" s="246">
        <f>IFERROR(VLOOKUP(P266,VOL_REC[],2,FALSE),0)</f>
        <v>0</v>
      </c>
      <c r="BG266" s="246">
        <f>IFERROR(VLOOKUP(Q266,VOL_REC[],2,FALSE),0)</f>
        <v>0</v>
      </c>
      <c r="BH266" s="1710">
        <f t="shared" si="16"/>
        <v>12499162839.807034</v>
      </c>
      <c r="BI266" s="1710">
        <f t="shared" si="17"/>
        <v>11969775283.436749</v>
      </c>
      <c r="BJ266" s="1711">
        <f t="shared" si="18"/>
        <v>16682643.929395255</v>
      </c>
      <c r="BK266" s="1711">
        <f t="shared" si="19"/>
        <v>1.0442270254733044</v>
      </c>
      <c r="BL266">
        <f>BJ266</f>
        <v>16682643.929395255</v>
      </c>
      <c r="BO266">
        <f>BL266</f>
        <v>16682643.929395255</v>
      </c>
    </row>
    <row r="267" spans="3:67" x14ac:dyDescent="0.25">
      <c r="C267" s="246" t="s">
        <v>1617</v>
      </c>
      <c r="D267" s="246">
        <v>1</v>
      </c>
      <c r="E267" s="246">
        <v>2</v>
      </c>
      <c r="F267" s="246">
        <v>3</v>
      </c>
      <c r="G267" s="246">
        <v>4</v>
      </c>
      <c r="H267" s="246">
        <v>5</v>
      </c>
      <c r="I267" s="246">
        <v>15</v>
      </c>
      <c r="J267" s="246">
        <v>17</v>
      </c>
      <c r="K267" s="246"/>
      <c r="L267" s="246"/>
      <c r="M267" s="246"/>
      <c r="N267" s="246"/>
      <c r="O267" s="246"/>
      <c r="P267" s="246"/>
      <c r="Q267" s="246"/>
      <c r="R267" s="246">
        <f>IFERROR(VLOOKUP(D267,PROGRAMAS[],2,FALSE),0)</f>
        <v>97037803.679377079</v>
      </c>
      <c r="S267" s="246">
        <f>IFERROR(VLOOKUP(E267,PROGRAMAS[],2,FALSE),0)</f>
        <v>640501509.6821388</v>
      </c>
      <c r="T267" s="246">
        <f>IFERROR(VLOOKUP(F267,PROGRAMAS[],2,FALSE),0)</f>
        <v>3062327798.1525245</v>
      </c>
      <c r="U267" s="246">
        <f>IFERROR(VLOOKUP(G267,PROGRAMAS[],2,FALSE),0)</f>
        <v>67697118.033011258</v>
      </c>
      <c r="V267" s="246">
        <f>IFERROR(VLOOKUP(H267,PROGRAMAS[],2,FALSE),0)</f>
        <v>1440941976.2528784</v>
      </c>
      <c r="W267" s="246">
        <f>IFERROR(VLOOKUP(I267,PROGRAMAS[],2,FALSE),0)</f>
        <v>122159672.96346797</v>
      </c>
      <c r="X267" s="246">
        <f>IFERROR(VLOOKUP(J267,PROGRAMAS[],2,FALSE),0)</f>
        <v>1892779498.5211046</v>
      </c>
      <c r="Y267" s="246">
        <f>IFERROR(VLOOKUP(K267,PROGRAMAS[],2,FALSE),0)</f>
        <v>0</v>
      </c>
      <c r="Z267" s="246">
        <f>IFERROR(VLOOKUP(L267,PROGRAMAS[],2,FALSE),0)</f>
        <v>0</v>
      </c>
      <c r="AA267" s="246">
        <f>IFERROR(VLOOKUP(M267,PROGRAMAS[],2,FALSE),0)</f>
        <v>0</v>
      </c>
      <c r="AB267" s="246">
        <f>IFERROR(VLOOKUP(N267,PROGRAMAS[],2,FALSE),0)</f>
        <v>0</v>
      </c>
      <c r="AC267" s="246">
        <f>IFERROR(VLOOKUP(O267,PROGRAMAS[],2,FALSE),0)</f>
        <v>0</v>
      </c>
      <c r="AD267" s="246">
        <f>IFERROR(VLOOKUP(P267,PROGRAMAS[],2,FALSE),0)</f>
        <v>0</v>
      </c>
      <c r="AE267" s="246">
        <f>IFERROR(VLOOKUP(Q267,PROGRAMAS[],2,FALSE),0)</f>
        <v>0</v>
      </c>
      <c r="AF267" s="246">
        <f>IFERROR(VLOOKUP(D267,PROGRAMAS[],3,FALSE),0)</f>
        <v>841888629.31080008</v>
      </c>
      <c r="AG267" s="246">
        <f>IFERROR(VLOOKUP(E267,PROGRAMAS[],3,FALSE),0)</f>
        <v>3848980803.1642323</v>
      </c>
      <c r="AH267" s="246">
        <f>IFERROR(VLOOKUP(F267,PROGRAMAS[],3,FALSE),0)</f>
        <v>3394901471.387517</v>
      </c>
      <c r="AI267" s="246">
        <f>IFERROR(VLOOKUP(G267,PROGRAMAS[],3,FALSE),0)</f>
        <v>125317226.95549992</v>
      </c>
      <c r="AJ267" s="246">
        <f>IFERROR(VLOOKUP(H267,PROGRAMAS[],3,FALSE),0)</f>
        <v>1233505101.0616004</v>
      </c>
      <c r="AK267" s="246">
        <f>IFERROR(VLOOKUP(I267,PROGRAMAS[],3,FALSE),0)</f>
        <v>118617452.52510804</v>
      </c>
      <c r="AL267" s="246">
        <f>IFERROR(VLOOKUP(J267,PROGRAMAS[],3,FALSE),0)</f>
        <v>948595847.09039903</v>
      </c>
      <c r="AM267" s="246">
        <f>IFERROR(VLOOKUP(K267,PROGRAMAS[],3,FALSE),0)</f>
        <v>0</v>
      </c>
      <c r="AN267" s="246">
        <f>IFERROR(VLOOKUP(L267,PROGRAMAS[],3,FALSE),0)</f>
        <v>0</v>
      </c>
      <c r="AO267" s="246">
        <f>IFERROR(VLOOKUP(M267,PROGRAMAS[],3,FALSE),0)</f>
        <v>0</v>
      </c>
      <c r="AP267" s="246">
        <f>IFERROR(VLOOKUP(N267,PROGRAMAS[],3,FALSE),0)</f>
        <v>0</v>
      </c>
      <c r="AQ267" s="246">
        <f>IFERROR(VLOOKUP(O267,PROGRAMAS[],3,FALSE),0)</f>
        <v>0</v>
      </c>
      <c r="AR267" s="246">
        <f>IFERROR(VLOOKUP(P267,PROGRAMAS[],3,FALSE),0)</f>
        <v>0</v>
      </c>
      <c r="AS267" s="246">
        <f>IFERROR(VLOOKUP(Q267,PROGRAMAS[],3,FALSE),0)</f>
        <v>0</v>
      </c>
      <c r="AT267" s="246">
        <f>IFERROR(VLOOKUP(D267,VOL_REC[],2,FALSE),0)</f>
        <v>0</v>
      </c>
      <c r="AU267" s="246">
        <f>IFERROR(VLOOKUP(E267,VOL_REC[],2,FALSE),0)</f>
        <v>0</v>
      </c>
      <c r="AV267" s="246">
        <f>IFERROR(VLOOKUP(F267,VOL_REC[],2,FALSE),0)</f>
        <v>11089674.200000001</v>
      </c>
      <c r="AW267" s="246">
        <f>IFERROR(VLOOKUP(G267,VOL_REC[],2,FALSE),0)</f>
        <v>90439.55</v>
      </c>
      <c r="AX267" s="246">
        <f>IFERROR(VLOOKUP(H267,VOL_REC[],2,FALSE),0)</f>
        <v>4325103.1812214684</v>
      </c>
      <c r="AY267" s="246">
        <f>IFERROR(VLOOKUP(I267,VOL_REC[],2,FALSE),0)</f>
        <v>105072</v>
      </c>
      <c r="AZ267" s="246">
        <f>IFERROR(VLOOKUP(J267,VOL_REC[],2,FALSE),0)</f>
        <v>740113.98115702497</v>
      </c>
      <c r="BA267" s="246">
        <f>IFERROR(VLOOKUP(K267,VOL_REC[],2,FALSE),0)</f>
        <v>0</v>
      </c>
      <c r="BB267" s="246">
        <f>IFERROR(VLOOKUP(L267,VOL_REC[],2,FALSE),0)</f>
        <v>0</v>
      </c>
      <c r="BC267" s="246">
        <f>IFERROR(VLOOKUP(M267,VOL_REC[],2,FALSE),0)</f>
        <v>0</v>
      </c>
      <c r="BD267" s="246">
        <f>IFERROR(VLOOKUP(N267,VOL_REC[],2,FALSE),0)</f>
        <v>0</v>
      </c>
      <c r="BE267" s="246">
        <f>IFERROR(VLOOKUP(O267,VOL_REC[],2,FALSE),0)</f>
        <v>0</v>
      </c>
      <c r="BF267" s="246">
        <f>IFERROR(VLOOKUP(P267,VOL_REC[],2,FALSE),0)</f>
        <v>0</v>
      </c>
      <c r="BG267" s="246">
        <f>IFERROR(VLOOKUP(Q267,VOL_REC[],2,FALSE),0)</f>
        <v>0</v>
      </c>
      <c r="BH267" s="1710">
        <f t="shared" si="16"/>
        <v>7323445377.284503</v>
      </c>
      <c r="BI267" s="1710">
        <f t="shared" si="17"/>
        <v>10511806531.495157</v>
      </c>
      <c r="BJ267" s="1711">
        <f t="shared" si="18"/>
        <v>16350402.912378496</v>
      </c>
      <c r="BK267" s="1711">
        <f t="shared" si="19"/>
        <v>0.69668761076816033</v>
      </c>
    </row>
    <row r="268" spans="3:67" x14ac:dyDescent="0.25">
      <c r="C268" s="246" t="s">
        <v>1618</v>
      </c>
      <c r="D268" s="246">
        <v>1</v>
      </c>
      <c r="E268" s="246">
        <v>2</v>
      </c>
      <c r="F268" s="246">
        <v>3</v>
      </c>
      <c r="G268" s="246">
        <v>4</v>
      </c>
      <c r="H268" s="246">
        <v>5</v>
      </c>
      <c r="I268" s="246">
        <v>16</v>
      </c>
      <c r="J268" s="246">
        <v>17</v>
      </c>
      <c r="K268" s="246"/>
      <c r="L268" s="246"/>
      <c r="M268" s="246"/>
      <c r="N268" s="246"/>
      <c r="O268" s="246"/>
      <c r="P268" s="246"/>
      <c r="Q268" s="246"/>
      <c r="R268" s="246">
        <f>IFERROR(VLOOKUP(D268,PROGRAMAS[],2,FALSE),0)</f>
        <v>97037803.679377079</v>
      </c>
      <c r="S268" s="246">
        <f>IFERROR(VLOOKUP(E268,PROGRAMAS[],2,FALSE),0)</f>
        <v>640501509.6821388</v>
      </c>
      <c r="T268" s="246">
        <f>IFERROR(VLOOKUP(F268,PROGRAMAS[],2,FALSE),0)</f>
        <v>3062327798.1525245</v>
      </c>
      <c r="U268" s="246">
        <f>IFERROR(VLOOKUP(G268,PROGRAMAS[],2,FALSE),0)</f>
        <v>67697118.033011258</v>
      </c>
      <c r="V268" s="246">
        <f>IFERROR(VLOOKUP(H268,PROGRAMAS[],2,FALSE),0)</f>
        <v>1440941976.2528784</v>
      </c>
      <c r="W268" s="246">
        <f>IFERROR(VLOOKUP(I268,PROGRAMAS[],2,FALSE),0)</f>
        <v>7068496961.0436354</v>
      </c>
      <c r="X268" s="246">
        <f>IFERROR(VLOOKUP(J268,PROGRAMAS[],2,FALSE),0)</f>
        <v>1892779498.5211046</v>
      </c>
      <c r="Y268" s="246">
        <f>IFERROR(VLOOKUP(K268,PROGRAMAS[],2,FALSE),0)</f>
        <v>0</v>
      </c>
      <c r="Z268" s="246">
        <f>IFERROR(VLOOKUP(L268,PROGRAMAS[],2,FALSE),0)</f>
        <v>0</v>
      </c>
      <c r="AA268" s="246">
        <f>IFERROR(VLOOKUP(M268,PROGRAMAS[],2,FALSE),0)</f>
        <v>0</v>
      </c>
      <c r="AB268" s="246">
        <f>IFERROR(VLOOKUP(N268,PROGRAMAS[],2,FALSE),0)</f>
        <v>0</v>
      </c>
      <c r="AC268" s="246">
        <f>IFERROR(VLOOKUP(O268,PROGRAMAS[],2,FALSE),0)</f>
        <v>0</v>
      </c>
      <c r="AD268" s="246">
        <f>IFERROR(VLOOKUP(P268,PROGRAMAS[],2,FALSE),0)</f>
        <v>0</v>
      </c>
      <c r="AE268" s="246">
        <f>IFERROR(VLOOKUP(Q268,PROGRAMAS[],2,FALSE),0)</f>
        <v>0</v>
      </c>
      <c r="AF268" s="246">
        <f>IFERROR(VLOOKUP(D268,PROGRAMAS[],3,FALSE),0)</f>
        <v>841888629.31080008</v>
      </c>
      <c r="AG268" s="246">
        <f>IFERROR(VLOOKUP(E268,PROGRAMAS[],3,FALSE),0)</f>
        <v>3848980803.1642323</v>
      </c>
      <c r="AH268" s="246">
        <f>IFERROR(VLOOKUP(F268,PROGRAMAS[],3,FALSE),0)</f>
        <v>3394901471.387517</v>
      </c>
      <c r="AI268" s="246">
        <f>IFERROR(VLOOKUP(G268,PROGRAMAS[],3,FALSE),0)</f>
        <v>125317226.95549992</v>
      </c>
      <c r="AJ268" s="246">
        <f>IFERROR(VLOOKUP(H268,PROGRAMAS[],3,FALSE),0)</f>
        <v>1233505101.0616004</v>
      </c>
      <c r="AK268" s="246">
        <f>IFERROR(VLOOKUP(I268,PROGRAMAS[],3,FALSE),0)</f>
        <v>2406564599.0319901</v>
      </c>
      <c r="AL268" s="246">
        <f>IFERROR(VLOOKUP(J268,PROGRAMAS[],3,FALSE),0)</f>
        <v>948595847.09039903</v>
      </c>
      <c r="AM268" s="246">
        <f>IFERROR(VLOOKUP(K268,PROGRAMAS[],3,FALSE),0)</f>
        <v>0</v>
      </c>
      <c r="AN268" s="246">
        <f>IFERROR(VLOOKUP(L268,PROGRAMAS[],3,FALSE),0)</f>
        <v>0</v>
      </c>
      <c r="AO268" s="246">
        <f>IFERROR(VLOOKUP(M268,PROGRAMAS[],3,FALSE),0)</f>
        <v>0</v>
      </c>
      <c r="AP268" s="246">
        <f>IFERROR(VLOOKUP(N268,PROGRAMAS[],3,FALSE),0)</f>
        <v>0</v>
      </c>
      <c r="AQ268" s="246">
        <f>IFERROR(VLOOKUP(O268,PROGRAMAS[],3,FALSE),0)</f>
        <v>0</v>
      </c>
      <c r="AR268" s="246">
        <f>IFERROR(VLOOKUP(P268,PROGRAMAS[],3,FALSE),0)</f>
        <v>0</v>
      </c>
      <c r="AS268" s="246">
        <f>IFERROR(VLOOKUP(Q268,PROGRAMAS[],3,FALSE),0)</f>
        <v>0</v>
      </c>
      <c r="AT268" s="246">
        <f>IFERROR(VLOOKUP(D268,VOL_REC[],2,FALSE),0)</f>
        <v>0</v>
      </c>
      <c r="AU268" s="246">
        <f>IFERROR(VLOOKUP(E268,VOL_REC[],2,FALSE),0)</f>
        <v>0</v>
      </c>
      <c r="AV268" s="246">
        <f>IFERROR(VLOOKUP(F268,VOL_REC[],2,FALSE),0)</f>
        <v>11089674.200000001</v>
      </c>
      <c r="AW268" s="246">
        <f>IFERROR(VLOOKUP(G268,VOL_REC[],2,FALSE),0)</f>
        <v>90439.55</v>
      </c>
      <c r="AX268" s="246">
        <f>IFERROR(VLOOKUP(H268,VOL_REC[],2,FALSE),0)</f>
        <v>4325103.1812214684</v>
      </c>
      <c r="AY268" s="246">
        <f>IFERROR(VLOOKUP(I268,VOL_REC[],2,FALSE),0)</f>
        <v>1072354.9981737854</v>
      </c>
      <c r="AZ268" s="246">
        <f>IFERROR(VLOOKUP(J268,VOL_REC[],2,FALSE),0)</f>
        <v>740113.98115702497</v>
      </c>
      <c r="BA268" s="246">
        <f>IFERROR(VLOOKUP(K268,VOL_REC[],2,FALSE),0)</f>
        <v>0</v>
      </c>
      <c r="BB268" s="246">
        <f>IFERROR(VLOOKUP(L268,VOL_REC[],2,FALSE),0)</f>
        <v>0</v>
      </c>
      <c r="BC268" s="246">
        <f>IFERROR(VLOOKUP(M268,VOL_REC[],2,FALSE),0)</f>
        <v>0</v>
      </c>
      <c r="BD268" s="246">
        <f>IFERROR(VLOOKUP(N268,VOL_REC[],2,FALSE),0)</f>
        <v>0</v>
      </c>
      <c r="BE268" s="246">
        <f>IFERROR(VLOOKUP(O268,VOL_REC[],2,FALSE),0)</f>
        <v>0</v>
      </c>
      <c r="BF268" s="246">
        <f>IFERROR(VLOOKUP(P268,VOL_REC[],2,FALSE),0)</f>
        <v>0</v>
      </c>
      <c r="BG268" s="246">
        <f>IFERROR(VLOOKUP(Q268,VOL_REC[],2,FALSE),0)</f>
        <v>0</v>
      </c>
      <c r="BH268" s="1710">
        <f t="shared" si="16"/>
        <v>14269782665.364672</v>
      </c>
      <c r="BI268" s="1710">
        <f t="shared" si="17"/>
        <v>12799753678.002039</v>
      </c>
      <c r="BJ268" s="1711">
        <f t="shared" si="18"/>
        <v>17317685.910552278</v>
      </c>
      <c r="BK268" s="1711">
        <f t="shared" si="19"/>
        <v>1.1148482247661577</v>
      </c>
      <c r="BL268">
        <f>BJ268</f>
        <v>17317685.910552278</v>
      </c>
      <c r="BO268">
        <f>BL268</f>
        <v>17317685.910552278</v>
      </c>
    </row>
    <row r="269" spans="3:67" x14ac:dyDescent="0.25">
      <c r="C269" s="246" t="s">
        <v>1619</v>
      </c>
      <c r="D269" s="246">
        <v>1</v>
      </c>
      <c r="E269" s="246">
        <v>2</v>
      </c>
      <c r="F269" s="246">
        <v>3</v>
      </c>
      <c r="G269" s="246">
        <v>4</v>
      </c>
      <c r="H269" s="246">
        <v>6</v>
      </c>
      <c r="I269" s="246">
        <v>9</v>
      </c>
      <c r="J269" s="246">
        <v>10</v>
      </c>
      <c r="K269" s="246"/>
      <c r="L269" s="246"/>
      <c r="M269" s="246"/>
      <c r="N269" s="246"/>
      <c r="O269" s="246"/>
      <c r="P269" s="246"/>
      <c r="Q269" s="246"/>
      <c r="R269" s="246">
        <f>IFERROR(VLOOKUP(D269,PROGRAMAS[],2,FALSE),0)</f>
        <v>97037803.679377079</v>
      </c>
      <c r="S269" s="246">
        <f>IFERROR(VLOOKUP(E269,PROGRAMAS[],2,FALSE),0)</f>
        <v>640501509.6821388</v>
      </c>
      <c r="T269" s="246">
        <f>IFERROR(VLOOKUP(F269,PROGRAMAS[],2,FALSE),0)</f>
        <v>3062327798.1525245</v>
      </c>
      <c r="U269" s="246">
        <f>IFERROR(VLOOKUP(G269,PROGRAMAS[],2,FALSE),0)</f>
        <v>67697118.033011258</v>
      </c>
      <c r="V269" s="246">
        <f>IFERROR(VLOOKUP(H269,PROGRAMAS[],2,FALSE),0)</f>
        <v>6907648435.8447599</v>
      </c>
      <c r="W269" s="246">
        <f>IFERROR(VLOOKUP(I269,PROGRAMAS[],2,FALSE),0)</f>
        <v>6128579952.1618185</v>
      </c>
      <c r="X269" s="246">
        <f>IFERROR(VLOOKUP(J269,PROGRAMAS[],2,FALSE),0)</f>
        <v>4635315027.8751087</v>
      </c>
      <c r="Y269" s="246">
        <f>IFERROR(VLOOKUP(K269,PROGRAMAS[],2,FALSE),0)</f>
        <v>0</v>
      </c>
      <c r="Z269" s="246">
        <f>IFERROR(VLOOKUP(L269,PROGRAMAS[],2,FALSE),0)</f>
        <v>0</v>
      </c>
      <c r="AA269" s="246">
        <f>IFERROR(VLOOKUP(M269,PROGRAMAS[],2,FALSE),0)</f>
        <v>0</v>
      </c>
      <c r="AB269" s="246">
        <f>IFERROR(VLOOKUP(N269,PROGRAMAS[],2,FALSE),0)</f>
        <v>0</v>
      </c>
      <c r="AC269" s="246">
        <f>IFERROR(VLOOKUP(O269,PROGRAMAS[],2,FALSE),0)</f>
        <v>0</v>
      </c>
      <c r="AD269" s="246">
        <f>IFERROR(VLOOKUP(P269,PROGRAMAS[],2,FALSE),0)</f>
        <v>0</v>
      </c>
      <c r="AE269" s="246">
        <f>IFERROR(VLOOKUP(Q269,PROGRAMAS[],2,FALSE),0)</f>
        <v>0</v>
      </c>
      <c r="AF269" s="246">
        <f>IFERROR(VLOOKUP(D269,PROGRAMAS[],3,FALSE),0)</f>
        <v>841888629.31080008</v>
      </c>
      <c r="AG269" s="246">
        <f>IFERROR(VLOOKUP(E269,PROGRAMAS[],3,FALSE),0)</f>
        <v>3848980803.1642323</v>
      </c>
      <c r="AH269" s="246">
        <f>IFERROR(VLOOKUP(F269,PROGRAMAS[],3,FALSE),0)</f>
        <v>3394901471.387517</v>
      </c>
      <c r="AI269" s="246">
        <f>IFERROR(VLOOKUP(G269,PROGRAMAS[],3,FALSE),0)</f>
        <v>125317226.95549992</v>
      </c>
      <c r="AJ269" s="246">
        <f>IFERROR(VLOOKUP(H269,PROGRAMAS[],3,FALSE),0)</f>
        <v>6129902208.7912121</v>
      </c>
      <c r="AK269" s="246">
        <f>IFERROR(VLOOKUP(I269,PROGRAMAS[],3,FALSE),0)</f>
        <v>7011279577.519702</v>
      </c>
      <c r="AL269" s="246">
        <f>IFERROR(VLOOKUP(J269,PROGRAMAS[],3,FALSE),0)</f>
        <v>4099471734.9978786</v>
      </c>
      <c r="AM269" s="246">
        <f>IFERROR(VLOOKUP(K269,PROGRAMAS[],3,FALSE),0)</f>
        <v>0</v>
      </c>
      <c r="AN269" s="246">
        <f>IFERROR(VLOOKUP(L269,PROGRAMAS[],3,FALSE),0)</f>
        <v>0</v>
      </c>
      <c r="AO269" s="246">
        <f>IFERROR(VLOOKUP(M269,PROGRAMAS[],3,FALSE),0)</f>
        <v>0</v>
      </c>
      <c r="AP269" s="246">
        <f>IFERROR(VLOOKUP(N269,PROGRAMAS[],3,FALSE),0)</f>
        <v>0</v>
      </c>
      <c r="AQ269" s="246">
        <f>IFERROR(VLOOKUP(O269,PROGRAMAS[],3,FALSE),0)</f>
        <v>0</v>
      </c>
      <c r="AR269" s="246">
        <f>IFERROR(VLOOKUP(P269,PROGRAMAS[],3,FALSE),0)</f>
        <v>0</v>
      </c>
      <c r="AS269" s="246">
        <f>IFERROR(VLOOKUP(Q269,PROGRAMAS[],3,FALSE),0)</f>
        <v>0</v>
      </c>
      <c r="AT269" s="246">
        <f>IFERROR(VLOOKUP(D269,VOL_REC[],2,FALSE),0)</f>
        <v>0</v>
      </c>
      <c r="AU269" s="246">
        <f>IFERROR(VLOOKUP(E269,VOL_REC[],2,FALSE),0)</f>
        <v>0</v>
      </c>
      <c r="AV269" s="246">
        <f>IFERROR(VLOOKUP(F269,VOL_REC[],2,FALSE),0)</f>
        <v>11089674.200000001</v>
      </c>
      <c r="AW269" s="246">
        <f>IFERROR(VLOOKUP(G269,VOL_REC[],2,FALSE),0)</f>
        <v>90439.55</v>
      </c>
      <c r="AX269" s="246">
        <f>IFERROR(VLOOKUP(H269,VOL_REC[],2,FALSE),0)</f>
        <v>15540036.397699751</v>
      </c>
      <c r="AY269" s="246">
        <f>IFERROR(VLOOKUP(I269,VOL_REC[],2,FALSE),0)</f>
        <v>3761786</v>
      </c>
      <c r="AZ269" s="246">
        <f>IFERROR(VLOOKUP(J269,VOL_REC[],2,FALSE),0)</f>
        <v>1812240</v>
      </c>
      <c r="BA269" s="246">
        <f>IFERROR(VLOOKUP(K269,VOL_REC[],2,FALSE),0)</f>
        <v>0</v>
      </c>
      <c r="BB269" s="246">
        <f>IFERROR(VLOOKUP(L269,VOL_REC[],2,FALSE),0)</f>
        <v>0</v>
      </c>
      <c r="BC269" s="246">
        <f>IFERROR(VLOOKUP(M269,VOL_REC[],2,FALSE),0)</f>
        <v>0</v>
      </c>
      <c r="BD269" s="246">
        <f>IFERROR(VLOOKUP(N269,VOL_REC[],2,FALSE),0)</f>
        <v>0</v>
      </c>
      <c r="BE269" s="246">
        <f>IFERROR(VLOOKUP(O269,VOL_REC[],2,FALSE),0)</f>
        <v>0</v>
      </c>
      <c r="BF269" s="246">
        <f>IFERROR(VLOOKUP(P269,VOL_REC[],2,FALSE),0)</f>
        <v>0</v>
      </c>
      <c r="BG269" s="246">
        <f>IFERROR(VLOOKUP(Q269,VOL_REC[],2,FALSE),0)</f>
        <v>0</v>
      </c>
      <c r="BH269" s="1710">
        <f t="shared" si="16"/>
        <v>21539107645.428741</v>
      </c>
      <c r="BI269" s="1710">
        <f t="shared" si="17"/>
        <v>25451741652.126842</v>
      </c>
      <c r="BJ269" s="1711">
        <f t="shared" si="18"/>
        <v>32294176.147699751</v>
      </c>
      <c r="BK269" s="1711">
        <f t="shared" si="19"/>
        <v>0.84627244531333878</v>
      </c>
    </row>
    <row r="270" spans="3:67" x14ac:dyDescent="0.25">
      <c r="C270" s="246" t="s">
        <v>1620</v>
      </c>
      <c r="D270" s="246">
        <v>1</v>
      </c>
      <c r="E270" s="246">
        <v>2</v>
      </c>
      <c r="F270" s="246">
        <v>3</v>
      </c>
      <c r="G270" s="246">
        <v>4</v>
      </c>
      <c r="H270" s="246">
        <v>6</v>
      </c>
      <c r="I270" s="246">
        <v>9</v>
      </c>
      <c r="J270" s="246">
        <v>12</v>
      </c>
      <c r="K270" s="246"/>
      <c r="L270" s="246"/>
      <c r="M270" s="246"/>
      <c r="N270" s="246"/>
      <c r="O270" s="246"/>
      <c r="P270" s="246"/>
      <c r="Q270" s="246"/>
      <c r="R270" s="246">
        <f>IFERROR(VLOOKUP(D270,PROGRAMAS[],2,FALSE),0)</f>
        <v>97037803.679377079</v>
      </c>
      <c r="S270" s="246">
        <f>IFERROR(VLOOKUP(E270,PROGRAMAS[],2,FALSE),0)</f>
        <v>640501509.6821388</v>
      </c>
      <c r="T270" s="246">
        <f>IFERROR(VLOOKUP(F270,PROGRAMAS[],2,FALSE),0)</f>
        <v>3062327798.1525245</v>
      </c>
      <c r="U270" s="246">
        <f>IFERROR(VLOOKUP(G270,PROGRAMAS[],2,FALSE),0)</f>
        <v>67697118.033011258</v>
      </c>
      <c r="V270" s="246">
        <f>IFERROR(VLOOKUP(H270,PROGRAMAS[],2,FALSE),0)</f>
        <v>6907648435.8447599</v>
      </c>
      <c r="W270" s="246">
        <f>IFERROR(VLOOKUP(I270,PROGRAMAS[],2,FALSE),0)</f>
        <v>6128579952.1618185</v>
      </c>
      <c r="X270" s="246">
        <f>IFERROR(VLOOKUP(J270,PROGRAMAS[],2,FALSE),0)</f>
        <v>764796700.79905891</v>
      </c>
      <c r="Y270" s="246">
        <f>IFERROR(VLOOKUP(K270,PROGRAMAS[],2,FALSE),0)</f>
        <v>0</v>
      </c>
      <c r="Z270" s="246">
        <f>IFERROR(VLOOKUP(L270,PROGRAMAS[],2,FALSE),0)</f>
        <v>0</v>
      </c>
      <c r="AA270" s="246">
        <f>IFERROR(VLOOKUP(M270,PROGRAMAS[],2,FALSE),0)</f>
        <v>0</v>
      </c>
      <c r="AB270" s="246">
        <f>IFERROR(VLOOKUP(N270,PROGRAMAS[],2,FALSE),0)</f>
        <v>0</v>
      </c>
      <c r="AC270" s="246">
        <f>IFERROR(VLOOKUP(O270,PROGRAMAS[],2,FALSE),0)</f>
        <v>0</v>
      </c>
      <c r="AD270" s="246">
        <f>IFERROR(VLOOKUP(P270,PROGRAMAS[],2,FALSE),0)</f>
        <v>0</v>
      </c>
      <c r="AE270" s="246">
        <f>IFERROR(VLOOKUP(Q270,PROGRAMAS[],2,FALSE),0)</f>
        <v>0</v>
      </c>
      <c r="AF270" s="246">
        <f>IFERROR(VLOOKUP(D270,PROGRAMAS[],3,FALSE),0)</f>
        <v>841888629.31080008</v>
      </c>
      <c r="AG270" s="246">
        <f>IFERROR(VLOOKUP(E270,PROGRAMAS[],3,FALSE),0)</f>
        <v>3848980803.1642323</v>
      </c>
      <c r="AH270" s="246">
        <f>IFERROR(VLOOKUP(F270,PROGRAMAS[],3,FALSE),0)</f>
        <v>3394901471.387517</v>
      </c>
      <c r="AI270" s="246">
        <f>IFERROR(VLOOKUP(G270,PROGRAMAS[],3,FALSE),0)</f>
        <v>125317226.95549992</v>
      </c>
      <c r="AJ270" s="246">
        <f>IFERROR(VLOOKUP(H270,PROGRAMAS[],3,FALSE),0)</f>
        <v>6129902208.7912121</v>
      </c>
      <c r="AK270" s="246">
        <f>IFERROR(VLOOKUP(I270,PROGRAMAS[],3,FALSE),0)</f>
        <v>7011279577.519702</v>
      </c>
      <c r="AL270" s="246">
        <f>IFERROR(VLOOKUP(J270,PROGRAMAS[],3,FALSE),0)</f>
        <v>675517840.109828</v>
      </c>
      <c r="AM270" s="246">
        <f>IFERROR(VLOOKUP(K270,PROGRAMAS[],3,FALSE),0)</f>
        <v>0</v>
      </c>
      <c r="AN270" s="246">
        <f>IFERROR(VLOOKUP(L270,PROGRAMAS[],3,FALSE),0)</f>
        <v>0</v>
      </c>
      <c r="AO270" s="246">
        <f>IFERROR(VLOOKUP(M270,PROGRAMAS[],3,FALSE),0)</f>
        <v>0</v>
      </c>
      <c r="AP270" s="246">
        <f>IFERROR(VLOOKUP(N270,PROGRAMAS[],3,FALSE),0)</f>
        <v>0</v>
      </c>
      <c r="AQ270" s="246">
        <f>IFERROR(VLOOKUP(O270,PROGRAMAS[],3,FALSE),0)</f>
        <v>0</v>
      </c>
      <c r="AR270" s="246">
        <f>IFERROR(VLOOKUP(P270,PROGRAMAS[],3,FALSE),0)</f>
        <v>0</v>
      </c>
      <c r="AS270" s="246">
        <f>IFERROR(VLOOKUP(Q270,PROGRAMAS[],3,FALSE),0)</f>
        <v>0</v>
      </c>
      <c r="AT270" s="246">
        <f>IFERROR(VLOOKUP(D270,VOL_REC[],2,FALSE),0)</f>
        <v>0</v>
      </c>
      <c r="AU270" s="246">
        <f>IFERROR(VLOOKUP(E270,VOL_REC[],2,FALSE),0)</f>
        <v>0</v>
      </c>
      <c r="AV270" s="246">
        <f>IFERROR(VLOOKUP(F270,VOL_REC[],2,FALSE),0)</f>
        <v>11089674.200000001</v>
      </c>
      <c r="AW270" s="246">
        <f>IFERROR(VLOOKUP(G270,VOL_REC[],2,FALSE),0)</f>
        <v>90439.55</v>
      </c>
      <c r="AX270" s="246">
        <f>IFERROR(VLOOKUP(H270,VOL_REC[],2,FALSE),0)</f>
        <v>15540036.397699751</v>
      </c>
      <c r="AY270" s="246">
        <f>IFERROR(VLOOKUP(I270,VOL_REC[],2,FALSE),0)</f>
        <v>3761786</v>
      </c>
      <c r="AZ270" s="246">
        <f>IFERROR(VLOOKUP(J270,VOL_REC[],2,FALSE),0)</f>
        <v>240696.79238099116</v>
      </c>
      <c r="BA270" s="246">
        <f>IFERROR(VLOOKUP(K270,VOL_REC[],2,FALSE),0)</f>
        <v>0</v>
      </c>
      <c r="BB270" s="246">
        <f>IFERROR(VLOOKUP(L270,VOL_REC[],2,FALSE),0)</f>
        <v>0</v>
      </c>
      <c r="BC270" s="246">
        <f>IFERROR(VLOOKUP(M270,VOL_REC[],2,FALSE),0)</f>
        <v>0</v>
      </c>
      <c r="BD270" s="246">
        <f>IFERROR(VLOOKUP(N270,VOL_REC[],2,FALSE),0)</f>
        <v>0</v>
      </c>
      <c r="BE270" s="246">
        <f>IFERROR(VLOOKUP(O270,VOL_REC[],2,FALSE),0)</f>
        <v>0</v>
      </c>
      <c r="BF270" s="246">
        <f>IFERROR(VLOOKUP(P270,VOL_REC[],2,FALSE),0)</f>
        <v>0</v>
      </c>
      <c r="BG270" s="246">
        <f>IFERROR(VLOOKUP(Q270,VOL_REC[],2,FALSE),0)</f>
        <v>0</v>
      </c>
      <c r="BH270" s="1710">
        <f t="shared" si="16"/>
        <v>17668589318.352692</v>
      </c>
      <c r="BI270" s="1710">
        <f t="shared" si="17"/>
        <v>22027787757.238792</v>
      </c>
      <c r="BJ270" s="1711">
        <f t="shared" si="18"/>
        <v>30722632.940080743</v>
      </c>
      <c r="BK270" s="1711">
        <f t="shared" si="19"/>
        <v>0.80210457414392067</v>
      </c>
    </row>
    <row r="271" spans="3:67" x14ac:dyDescent="0.25">
      <c r="C271" s="246" t="s">
        <v>1621</v>
      </c>
      <c r="D271" s="246">
        <v>1</v>
      </c>
      <c r="E271" s="246">
        <v>2</v>
      </c>
      <c r="F271" s="246">
        <v>3</v>
      </c>
      <c r="G271" s="246">
        <v>4</v>
      </c>
      <c r="H271" s="246">
        <v>6</v>
      </c>
      <c r="I271" s="246">
        <v>9</v>
      </c>
      <c r="J271" s="246">
        <v>13</v>
      </c>
      <c r="K271" s="246"/>
      <c r="L271" s="246"/>
      <c r="M271" s="246"/>
      <c r="N271" s="246"/>
      <c r="O271" s="246"/>
      <c r="P271" s="246"/>
      <c r="Q271" s="246"/>
      <c r="R271" s="246">
        <f>IFERROR(VLOOKUP(D271,PROGRAMAS[],2,FALSE),0)</f>
        <v>97037803.679377079</v>
      </c>
      <c r="S271" s="246">
        <f>IFERROR(VLOOKUP(E271,PROGRAMAS[],2,FALSE),0)</f>
        <v>640501509.6821388</v>
      </c>
      <c r="T271" s="246">
        <f>IFERROR(VLOOKUP(F271,PROGRAMAS[],2,FALSE),0)</f>
        <v>3062327798.1525245</v>
      </c>
      <c r="U271" s="246">
        <f>IFERROR(VLOOKUP(G271,PROGRAMAS[],2,FALSE),0)</f>
        <v>67697118.033011258</v>
      </c>
      <c r="V271" s="246">
        <f>IFERROR(VLOOKUP(H271,PROGRAMAS[],2,FALSE),0)</f>
        <v>6907648435.8447599</v>
      </c>
      <c r="W271" s="246">
        <f>IFERROR(VLOOKUP(I271,PROGRAMAS[],2,FALSE),0)</f>
        <v>6128579952.1618185</v>
      </c>
      <c r="X271" s="246">
        <f>IFERROR(VLOOKUP(J271,PROGRAMAS[],2,FALSE),0)</f>
        <v>3776538594.4604583</v>
      </c>
      <c r="Y271" s="246">
        <f>IFERROR(VLOOKUP(K271,PROGRAMAS[],2,FALSE),0)</f>
        <v>0</v>
      </c>
      <c r="Z271" s="246">
        <f>IFERROR(VLOOKUP(L271,PROGRAMAS[],2,FALSE),0)</f>
        <v>0</v>
      </c>
      <c r="AA271" s="246">
        <f>IFERROR(VLOOKUP(M271,PROGRAMAS[],2,FALSE),0)</f>
        <v>0</v>
      </c>
      <c r="AB271" s="246">
        <f>IFERROR(VLOOKUP(N271,PROGRAMAS[],2,FALSE),0)</f>
        <v>0</v>
      </c>
      <c r="AC271" s="246">
        <f>IFERROR(VLOOKUP(O271,PROGRAMAS[],2,FALSE),0)</f>
        <v>0</v>
      </c>
      <c r="AD271" s="246">
        <f>IFERROR(VLOOKUP(P271,PROGRAMAS[],2,FALSE),0)</f>
        <v>0</v>
      </c>
      <c r="AE271" s="246">
        <f>IFERROR(VLOOKUP(Q271,PROGRAMAS[],2,FALSE),0)</f>
        <v>0</v>
      </c>
      <c r="AF271" s="246">
        <f>IFERROR(VLOOKUP(D271,PROGRAMAS[],3,FALSE),0)</f>
        <v>841888629.31080008</v>
      </c>
      <c r="AG271" s="246">
        <f>IFERROR(VLOOKUP(E271,PROGRAMAS[],3,FALSE),0)</f>
        <v>3848980803.1642323</v>
      </c>
      <c r="AH271" s="246">
        <f>IFERROR(VLOOKUP(F271,PROGRAMAS[],3,FALSE),0)</f>
        <v>3394901471.387517</v>
      </c>
      <c r="AI271" s="246">
        <f>IFERROR(VLOOKUP(G271,PROGRAMAS[],3,FALSE),0)</f>
        <v>125317226.95549992</v>
      </c>
      <c r="AJ271" s="246">
        <f>IFERROR(VLOOKUP(H271,PROGRAMAS[],3,FALSE),0)</f>
        <v>6129902208.7912121</v>
      </c>
      <c r="AK271" s="246">
        <f>IFERROR(VLOOKUP(I271,PROGRAMAS[],3,FALSE),0)</f>
        <v>7011279577.519702</v>
      </c>
      <c r="AL271" s="246">
        <f>IFERROR(VLOOKUP(J271,PROGRAMAS[],3,FALSE),0)</f>
        <v>2392571243.5584412</v>
      </c>
      <c r="AM271" s="246">
        <f>IFERROR(VLOOKUP(K271,PROGRAMAS[],3,FALSE),0)</f>
        <v>0</v>
      </c>
      <c r="AN271" s="246">
        <f>IFERROR(VLOOKUP(L271,PROGRAMAS[],3,FALSE),0)</f>
        <v>0</v>
      </c>
      <c r="AO271" s="246">
        <f>IFERROR(VLOOKUP(M271,PROGRAMAS[],3,FALSE),0)</f>
        <v>0</v>
      </c>
      <c r="AP271" s="246">
        <f>IFERROR(VLOOKUP(N271,PROGRAMAS[],3,FALSE),0)</f>
        <v>0</v>
      </c>
      <c r="AQ271" s="246">
        <f>IFERROR(VLOOKUP(O271,PROGRAMAS[],3,FALSE),0)</f>
        <v>0</v>
      </c>
      <c r="AR271" s="246">
        <f>IFERROR(VLOOKUP(P271,PROGRAMAS[],3,FALSE),0)</f>
        <v>0</v>
      </c>
      <c r="AS271" s="246">
        <f>IFERROR(VLOOKUP(Q271,PROGRAMAS[],3,FALSE),0)</f>
        <v>0</v>
      </c>
      <c r="AT271" s="246">
        <f>IFERROR(VLOOKUP(D271,VOL_REC[],2,FALSE),0)</f>
        <v>0</v>
      </c>
      <c r="AU271" s="246">
        <f>IFERROR(VLOOKUP(E271,VOL_REC[],2,FALSE),0)</f>
        <v>0</v>
      </c>
      <c r="AV271" s="246">
        <f>IFERROR(VLOOKUP(F271,VOL_REC[],2,FALSE),0)</f>
        <v>11089674.200000001</v>
      </c>
      <c r="AW271" s="246">
        <f>IFERROR(VLOOKUP(G271,VOL_REC[],2,FALSE),0)</f>
        <v>90439.55</v>
      </c>
      <c r="AX271" s="246">
        <f>IFERROR(VLOOKUP(H271,VOL_REC[],2,FALSE),0)</f>
        <v>15540036.397699751</v>
      </c>
      <c r="AY271" s="246">
        <f>IFERROR(VLOOKUP(I271,VOL_REC[],2,FALSE),0)</f>
        <v>3761786</v>
      </c>
      <c r="AZ271" s="246">
        <f>IFERROR(VLOOKUP(J271,VOL_REC[],2,FALSE),0)</f>
        <v>663244.80000000016</v>
      </c>
      <c r="BA271" s="246">
        <f>IFERROR(VLOOKUP(K271,VOL_REC[],2,FALSE),0)</f>
        <v>0</v>
      </c>
      <c r="BB271" s="246">
        <f>IFERROR(VLOOKUP(L271,VOL_REC[],2,FALSE),0)</f>
        <v>0</v>
      </c>
      <c r="BC271" s="246">
        <f>IFERROR(VLOOKUP(M271,VOL_REC[],2,FALSE),0)</f>
        <v>0</v>
      </c>
      <c r="BD271" s="246">
        <f>IFERROR(VLOOKUP(N271,VOL_REC[],2,FALSE),0)</f>
        <v>0</v>
      </c>
      <c r="BE271" s="246">
        <f>IFERROR(VLOOKUP(O271,VOL_REC[],2,FALSE),0)</f>
        <v>0</v>
      </c>
      <c r="BF271" s="246">
        <f>IFERROR(VLOOKUP(P271,VOL_REC[],2,FALSE),0)</f>
        <v>0</v>
      </c>
      <c r="BG271" s="246">
        <f>IFERROR(VLOOKUP(Q271,VOL_REC[],2,FALSE),0)</f>
        <v>0</v>
      </c>
      <c r="BH271" s="1710">
        <f t="shared" si="16"/>
        <v>20680331212.014088</v>
      </c>
      <c r="BI271" s="1710">
        <f t="shared" si="17"/>
        <v>23744841160.687405</v>
      </c>
      <c r="BJ271" s="1711">
        <f t="shared" si="18"/>
        <v>31145180.947699752</v>
      </c>
      <c r="BK271" s="1711">
        <f t="shared" si="19"/>
        <v>0.87093996847841615</v>
      </c>
    </row>
    <row r="272" spans="3:67" x14ac:dyDescent="0.25">
      <c r="C272" s="246" t="s">
        <v>1622</v>
      </c>
      <c r="D272" s="246">
        <v>1</v>
      </c>
      <c r="E272" s="246">
        <v>2</v>
      </c>
      <c r="F272" s="246">
        <v>3</v>
      </c>
      <c r="G272" s="246">
        <v>4</v>
      </c>
      <c r="H272" s="246">
        <v>6</v>
      </c>
      <c r="I272" s="246">
        <v>9</v>
      </c>
      <c r="J272" s="246">
        <v>14</v>
      </c>
      <c r="K272" s="246"/>
      <c r="L272" s="246"/>
      <c r="M272" s="246"/>
      <c r="N272" s="246"/>
      <c r="O272" s="246"/>
      <c r="P272" s="246"/>
      <c r="Q272" s="246"/>
      <c r="R272" s="246">
        <f>IFERROR(VLOOKUP(D272,PROGRAMAS[],2,FALSE),0)</f>
        <v>97037803.679377079</v>
      </c>
      <c r="S272" s="246">
        <f>IFERROR(VLOOKUP(E272,PROGRAMAS[],2,FALSE),0)</f>
        <v>640501509.6821388</v>
      </c>
      <c r="T272" s="246">
        <f>IFERROR(VLOOKUP(F272,PROGRAMAS[],2,FALSE),0)</f>
        <v>3062327798.1525245</v>
      </c>
      <c r="U272" s="246">
        <f>IFERROR(VLOOKUP(G272,PROGRAMAS[],2,FALSE),0)</f>
        <v>67697118.033011258</v>
      </c>
      <c r="V272" s="246">
        <f>IFERROR(VLOOKUP(H272,PROGRAMAS[],2,FALSE),0)</f>
        <v>6907648435.8447599</v>
      </c>
      <c r="W272" s="246">
        <f>IFERROR(VLOOKUP(I272,PROGRAMAS[],2,FALSE),0)</f>
        <v>6128579952.1618185</v>
      </c>
      <c r="X272" s="246">
        <f>IFERROR(VLOOKUP(J272,PROGRAMAS[],2,FALSE),0)</f>
        <v>54223862.645839565</v>
      </c>
      <c r="Y272" s="246">
        <f>IFERROR(VLOOKUP(K272,PROGRAMAS[],2,FALSE),0)</f>
        <v>0</v>
      </c>
      <c r="Z272" s="246">
        <f>IFERROR(VLOOKUP(L272,PROGRAMAS[],2,FALSE),0)</f>
        <v>0</v>
      </c>
      <c r="AA272" s="246">
        <f>IFERROR(VLOOKUP(M272,PROGRAMAS[],2,FALSE),0)</f>
        <v>0</v>
      </c>
      <c r="AB272" s="246">
        <f>IFERROR(VLOOKUP(N272,PROGRAMAS[],2,FALSE),0)</f>
        <v>0</v>
      </c>
      <c r="AC272" s="246">
        <f>IFERROR(VLOOKUP(O272,PROGRAMAS[],2,FALSE),0)</f>
        <v>0</v>
      </c>
      <c r="AD272" s="246">
        <f>IFERROR(VLOOKUP(P272,PROGRAMAS[],2,FALSE),0)</f>
        <v>0</v>
      </c>
      <c r="AE272" s="246">
        <f>IFERROR(VLOOKUP(Q272,PROGRAMAS[],2,FALSE),0)</f>
        <v>0</v>
      </c>
      <c r="AF272" s="246">
        <f>IFERROR(VLOOKUP(D272,PROGRAMAS[],3,FALSE),0)</f>
        <v>841888629.31080008</v>
      </c>
      <c r="AG272" s="246">
        <f>IFERROR(VLOOKUP(E272,PROGRAMAS[],3,FALSE),0)</f>
        <v>3848980803.1642323</v>
      </c>
      <c r="AH272" s="246">
        <f>IFERROR(VLOOKUP(F272,PROGRAMAS[],3,FALSE),0)</f>
        <v>3394901471.387517</v>
      </c>
      <c r="AI272" s="246">
        <f>IFERROR(VLOOKUP(G272,PROGRAMAS[],3,FALSE),0)</f>
        <v>125317226.95549992</v>
      </c>
      <c r="AJ272" s="246">
        <f>IFERROR(VLOOKUP(H272,PROGRAMAS[],3,FALSE),0)</f>
        <v>6129902208.7912121</v>
      </c>
      <c r="AK272" s="246">
        <f>IFERROR(VLOOKUP(I272,PROGRAMAS[],3,FALSE),0)</f>
        <v>7011279577.519702</v>
      </c>
      <c r="AL272" s="246">
        <f>IFERROR(VLOOKUP(J272,PROGRAMAS[],3,FALSE),0)</f>
        <v>31865326.38096505</v>
      </c>
      <c r="AM272" s="246">
        <f>IFERROR(VLOOKUP(K272,PROGRAMAS[],3,FALSE),0)</f>
        <v>0</v>
      </c>
      <c r="AN272" s="246">
        <f>IFERROR(VLOOKUP(L272,PROGRAMAS[],3,FALSE),0)</f>
        <v>0</v>
      </c>
      <c r="AO272" s="246">
        <f>IFERROR(VLOOKUP(M272,PROGRAMAS[],3,FALSE),0)</f>
        <v>0</v>
      </c>
      <c r="AP272" s="246">
        <f>IFERROR(VLOOKUP(N272,PROGRAMAS[],3,FALSE),0)</f>
        <v>0</v>
      </c>
      <c r="AQ272" s="246">
        <f>IFERROR(VLOOKUP(O272,PROGRAMAS[],3,FALSE),0)</f>
        <v>0</v>
      </c>
      <c r="AR272" s="246">
        <f>IFERROR(VLOOKUP(P272,PROGRAMAS[],3,FALSE),0)</f>
        <v>0</v>
      </c>
      <c r="AS272" s="246">
        <f>IFERROR(VLOOKUP(Q272,PROGRAMAS[],3,FALSE),0)</f>
        <v>0</v>
      </c>
      <c r="AT272" s="246">
        <f>IFERROR(VLOOKUP(D272,VOL_REC[],2,FALSE),0)</f>
        <v>0</v>
      </c>
      <c r="AU272" s="246">
        <f>IFERROR(VLOOKUP(E272,VOL_REC[],2,FALSE),0)</f>
        <v>0</v>
      </c>
      <c r="AV272" s="246">
        <f>IFERROR(VLOOKUP(F272,VOL_REC[],2,FALSE),0)</f>
        <v>11089674.200000001</v>
      </c>
      <c r="AW272" s="246">
        <f>IFERROR(VLOOKUP(G272,VOL_REC[],2,FALSE),0)</f>
        <v>90439.55</v>
      </c>
      <c r="AX272" s="246">
        <f>IFERROR(VLOOKUP(H272,VOL_REC[],2,FALSE),0)</f>
        <v>15540036.397699751</v>
      </c>
      <c r="AY272" s="246">
        <f>IFERROR(VLOOKUP(I272,VOL_REC[],2,FALSE),0)</f>
        <v>3761786</v>
      </c>
      <c r="AZ272" s="246">
        <f>IFERROR(VLOOKUP(J272,VOL_REC[],2,FALSE),0)</f>
        <v>17074.045034105649</v>
      </c>
      <c r="BA272" s="246">
        <f>IFERROR(VLOOKUP(K272,VOL_REC[],2,FALSE),0)</f>
        <v>0</v>
      </c>
      <c r="BB272" s="246">
        <f>IFERROR(VLOOKUP(L272,VOL_REC[],2,FALSE),0)</f>
        <v>0</v>
      </c>
      <c r="BC272" s="246">
        <f>IFERROR(VLOOKUP(M272,VOL_REC[],2,FALSE),0)</f>
        <v>0</v>
      </c>
      <c r="BD272" s="246">
        <f>IFERROR(VLOOKUP(N272,VOL_REC[],2,FALSE),0)</f>
        <v>0</v>
      </c>
      <c r="BE272" s="246">
        <f>IFERROR(VLOOKUP(O272,VOL_REC[],2,FALSE),0)</f>
        <v>0</v>
      </c>
      <c r="BF272" s="246">
        <f>IFERROR(VLOOKUP(P272,VOL_REC[],2,FALSE),0)</f>
        <v>0</v>
      </c>
      <c r="BG272" s="246">
        <f>IFERROR(VLOOKUP(Q272,VOL_REC[],2,FALSE),0)</f>
        <v>0</v>
      </c>
      <c r="BH272" s="1710">
        <f t="shared" si="16"/>
        <v>16958016480.199471</v>
      </c>
      <c r="BI272" s="1710">
        <f t="shared" si="17"/>
        <v>21384135243.50993</v>
      </c>
      <c r="BJ272" s="1711">
        <f t="shared" si="18"/>
        <v>30499010.192733858</v>
      </c>
      <c r="BK272" s="1711">
        <f t="shared" si="19"/>
        <v>0.79301857601869674</v>
      </c>
    </row>
    <row r="273" spans="3:67" x14ac:dyDescent="0.25">
      <c r="C273" s="246" t="s">
        <v>1623</v>
      </c>
      <c r="D273" s="246">
        <v>1</v>
      </c>
      <c r="E273" s="246">
        <v>2</v>
      </c>
      <c r="F273" s="246">
        <v>3</v>
      </c>
      <c r="G273" s="246">
        <v>4</v>
      </c>
      <c r="H273" s="246">
        <v>6</v>
      </c>
      <c r="I273" s="246">
        <v>9</v>
      </c>
      <c r="J273" s="246">
        <v>15</v>
      </c>
      <c r="K273" s="246"/>
      <c r="L273" s="246"/>
      <c r="M273" s="246"/>
      <c r="N273" s="246"/>
      <c r="O273" s="246"/>
      <c r="P273" s="246"/>
      <c r="Q273" s="246"/>
      <c r="R273" s="246">
        <f>IFERROR(VLOOKUP(D273,PROGRAMAS[],2,FALSE),0)</f>
        <v>97037803.679377079</v>
      </c>
      <c r="S273" s="246">
        <f>IFERROR(VLOOKUP(E273,PROGRAMAS[],2,FALSE),0)</f>
        <v>640501509.6821388</v>
      </c>
      <c r="T273" s="246">
        <f>IFERROR(VLOOKUP(F273,PROGRAMAS[],2,FALSE),0)</f>
        <v>3062327798.1525245</v>
      </c>
      <c r="U273" s="246">
        <f>IFERROR(VLOOKUP(G273,PROGRAMAS[],2,FALSE),0)</f>
        <v>67697118.033011258</v>
      </c>
      <c r="V273" s="246">
        <f>IFERROR(VLOOKUP(H273,PROGRAMAS[],2,FALSE),0)</f>
        <v>6907648435.8447599</v>
      </c>
      <c r="W273" s="246">
        <f>IFERROR(VLOOKUP(I273,PROGRAMAS[],2,FALSE),0)</f>
        <v>6128579952.1618185</v>
      </c>
      <c r="X273" s="246">
        <f>IFERROR(VLOOKUP(J273,PROGRAMAS[],2,FALSE),0)</f>
        <v>122159672.96346797</v>
      </c>
      <c r="Y273" s="246">
        <f>IFERROR(VLOOKUP(K273,PROGRAMAS[],2,FALSE),0)</f>
        <v>0</v>
      </c>
      <c r="Z273" s="246">
        <f>IFERROR(VLOOKUP(L273,PROGRAMAS[],2,FALSE),0)</f>
        <v>0</v>
      </c>
      <c r="AA273" s="246">
        <f>IFERROR(VLOOKUP(M273,PROGRAMAS[],2,FALSE),0)</f>
        <v>0</v>
      </c>
      <c r="AB273" s="246">
        <f>IFERROR(VLOOKUP(N273,PROGRAMAS[],2,FALSE),0)</f>
        <v>0</v>
      </c>
      <c r="AC273" s="246">
        <f>IFERROR(VLOOKUP(O273,PROGRAMAS[],2,FALSE),0)</f>
        <v>0</v>
      </c>
      <c r="AD273" s="246">
        <f>IFERROR(VLOOKUP(P273,PROGRAMAS[],2,FALSE),0)</f>
        <v>0</v>
      </c>
      <c r="AE273" s="246">
        <f>IFERROR(VLOOKUP(Q273,PROGRAMAS[],2,FALSE),0)</f>
        <v>0</v>
      </c>
      <c r="AF273" s="246">
        <f>IFERROR(VLOOKUP(D273,PROGRAMAS[],3,FALSE),0)</f>
        <v>841888629.31080008</v>
      </c>
      <c r="AG273" s="246">
        <f>IFERROR(VLOOKUP(E273,PROGRAMAS[],3,FALSE),0)</f>
        <v>3848980803.1642323</v>
      </c>
      <c r="AH273" s="246">
        <f>IFERROR(VLOOKUP(F273,PROGRAMAS[],3,FALSE),0)</f>
        <v>3394901471.387517</v>
      </c>
      <c r="AI273" s="246">
        <f>IFERROR(VLOOKUP(G273,PROGRAMAS[],3,FALSE),0)</f>
        <v>125317226.95549992</v>
      </c>
      <c r="AJ273" s="246">
        <f>IFERROR(VLOOKUP(H273,PROGRAMAS[],3,FALSE),0)</f>
        <v>6129902208.7912121</v>
      </c>
      <c r="AK273" s="246">
        <f>IFERROR(VLOOKUP(I273,PROGRAMAS[],3,FALSE),0)</f>
        <v>7011279577.519702</v>
      </c>
      <c r="AL273" s="246">
        <f>IFERROR(VLOOKUP(J273,PROGRAMAS[],3,FALSE),0)</f>
        <v>118617452.52510804</v>
      </c>
      <c r="AM273" s="246">
        <f>IFERROR(VLOOKUP(K273,PROGRAMAS[],3,FALSE),0)</f>
        <v>0</v>
      </c>
      <c r="AN273" s="246">
        <f>IFERROR(VLOOKUP(L273,PROGRAMAS[],3,FALSE),0)</f>
        <v>0</v>
      </c>
      <c r="AO273" s="246">
        <f>IFERROR(VLOOKUP(M273,PROGRAMAS[],3,FALSE),0)</f>
        <v>0</v>
      </c>
      <c r="AP273" s="246">
        <f>IFERROR(VLOOKUP(N273,PROGRAMAS[],3,FALSE),0)</f>
        <v>0</v>
      </c>
      <c r="AQ273" s="246">
        <f>IFERROR(VLOOKUP(O273,PROGRAMAS[],3,FALSE),0)</f>
        <v>0</v>
      </c>
      <c r="AR273" s="246">
        <f>IFERROR(VLOOKUP(P273,PROGRAMAS[],3,FALSE),0)</f>
        <v>0</v>
      </c>
      <c r="AS273" s="246">
        <f>IFERROR(VLOOKUP(Q273,PROGRAMAS[],3,FALSE),0)</f>
        <v>0</v>
      </c>
      <c r="AT273" s="246">
        <f>IFERROR(VLOOKUP(D273,VOL_REC[],2,FALSE),0)</f>
        <v>0</v>
      </c>
      <c r="AU273" s="246">
        <f>IFERROR(VLOOKUP(E273,VOL_REC[],2,FALSE),0)</f>
        <v>0</v>
      </c>
      <c r="AV273" s="246">
        <f>IFERROR(VLOOKUP(F273,VOL_REC[],2,FALSE),0)</f>
        <v>11089674.200000001</v>
      </c>
      <c r="AW273" s="246">
        <f>IFERROR(VLOOKUP(G273,VOL_REC[],2,FALSE),0)</f>
        <v>90439.55</v>
      </c>
      <c r="AX273" s="246">
        <f>IFERROR(VLOOKUP(H273,VOL_REC[],2,FALSE),0)</f>
        <v>15540036.397699751</v>
      </c>
      <c r="AY273" s="246">
        <f>IFERROR(VLOOKUP(I273,VOL_REC[],2,FALSE),0)</f>
        <v>3761786</v>
      </c>
      <c r="AZ273" s="246">
        <f>IFERROR(VLOOKUP(J273,VOL_REC[],2,FALSE),0)</f>
        <v>105072</v>
      </c>
      <c r="BA273" s="246">
        <f>IFERROR(VLOOKUP(K273,VOL_REC[],2,FALSE),0)</f>
        <v>0</v>
      </c>
      <c r="BB273" s="246">
        <f>IFERROR(VLOOKUP(L273,VOL_REC[],2,FALSE),0)</f>
        <v>0</v>
      </c>
      <c r="BC273" s="246">
        <f>IFERROR(VLOOKUP(M273,VOL_REC[],2,FALSE),0)</f>
        <v>0</v>
      </c>
      <c r="BD273" s="246">
        <f>IFERROR(VLOOKUP(N273,VOL_REC[],2,FALSE),0)</f>
        <v>0</v>
      </c>
      <c r="BE273" s="246">
        <f>IFERROR(VLOOKUP(O273,VOL_REC[],2,FALSE),0)</f>
        <v>0</v>
      </c>
      <c r="BF273" s="246">
        <f>IFERROR(VLOOKUP(P273,VOL_REC[],2,FALSE),0)</f>
        <v>0</v>
      </c>
      <c r="BG273" s="246">
        <f>IFERROR(VLOOKUP(Q273,VOL_REC[],2,FALSE),0)</f>
        <v>0</v>
      </c>
      <c r="BH273" s="1710">
        <f t="shared" si="16"/>
        <v>17025952290.517099</v>
      </c>
      <c r="BI273" s="1710">
        <f t="shared" si="17"/>
        <v>21470887369.654072</v>
      </c>
      <c r="BJ273" s="1711">
        <f t="shared" si="18"/>
        <v>30587008.147699751</v>
      </c>
      <c r="BK273" s="1711">
        <f t="shared" si="19"/>
        <v>0.79297851073359771</v>
      </c>
    </row>
    <row r="274" spans="3:67" x14ac:dyDescent="0.25">
      <c r="C274" s="246" t="s">
        <v>1624</v>
      </c>
      <c r="D274" s="246">
        <v>1</v>
      </c>
      <c r="E274" s="246">
        <v>2</v>
      </c>
      <c r="F274" s="246">
        <v>3</v>
      </c>
      <c r="G274" s="246">
        <v>4</v>
      </c>
      <c r="H274" s="246">
        <v>6</v>
      </c>
      <c r="I274" s="246">
        <v>9</v>
      </c>
      <c r="J274" s="246">
        <v>16</v>
      </c>
      <c r="K274" s="246"/>
      <c r="L274" s="246"/>
      <c r="M274" s="246"/>
      <c r="N274" s="246"/>
      <c r="O274" s="246"/>
      <c r="P274" s="246"/>
      <c r="Q274" s="246"/>
      <c r="R274" s="246">
        <f>IFERROR(VLOOKUP(D274,PROGRAMAS[],2,FALSE),0)</f>
        <v>97037803.679377079</v>
      </c>
      <c r="S274" s="246">
        <f>IFERROR(VLOOKUP(E274,PROGRAMAS[],2,FALSE),0)</f>
        <v>640501509.6821388</v>
      </c>
      <c r="T274" s="246">
        <f>IFERROR(VLOOKUP(F274,PROGRAMAS[],2,FALSE),0)</f>
        <v>3062327798.1525245</v>
      </c>
      <c r="U274" s="246">
        <f>IFERROR(VLOOKUP(G274,PROGRAMAS[],2,FALSE),0)</f>
        <v>67697118.033011258</v>
      </c>
      <c r="V274" s="246">
        <f>IFERROR(VLOOKUP(H274,PROGRAMAS[],2,FALSE),0)</f>
        <v>6907648435.8447599</v>
      </c>
      <c r="W274" s="246">
        <f>IFERROR(VLOOKUP(I274,PROGRAMAS[],2,FALSE),0)</f>
        <v>6128579952.1618185</v>
      </c>
      <c r="X274" s="246">
        <f>IFERROR(VLOOKUP(J274,PROGRAMAS[],2,FALSE),0)</f>
        <v>7068496961.0436354</v>
      </c>
      <c r="Y274" s="246">
        <f>IFERROR(VLOOKUP(K274,PROGRAMAS[],2,FALSE),0)</f>
        <v>0</v>
      </c>
      <c r="Z274" s="246">
        <f>IFERROR(VLOOKUP(L274,PROGRAMAS[],2,FALSE),0)</f>
        <v>0</v>
      </c>
      <c r="AA274" s="246">
        <f>IFERROR(VLOOKUP(M274,PROGRAMAS[],2,FALSE),0)</f>
        <v>0</v>
      </c>
      <c r="AB274" s="246">
        <f>IFERROR(VLOOKUP(N274,PROGRAMAS[],2,FALSE),0)</f>
        <v>0</v>
      </c>
      <c r="AC274" s="246">
        <f>IFERROR(VLOOKUP(O274,PROGRAMAS[],2,FALSE),0)</f>
        <v>0</v>
      </c>
      <c r="AD274" s="246">
        <f>IFERROR(VLOOKUP(P274,PROGRAMAS[],2,FALSE),0)</f>
        <v>0</v>
      </c>
      <c r="AE274" s="246">
        <f>IFERROR(VLOOKUP(Q274,PROGRAMAS[],2,FALSE),0)</f>
        <v>0</v>
      </c>
      <c r="AF274" s="246">
        <f>IFERROR(VLOOKUP(D274,PROGRAMAS[],3,FALSE),0)</f>
        <v>841888629.31080008</v>
      </c>
      <c r="AG274" s="246">
        <f>IFERROR(VLOOKUP(E274,PROGRAMAS[],3,FALSE),0)</f>
        <v>3848980803.1642323</v>
      </c>
      <c r="AH274" s="246">
        <f>IFERROR(VLOOKUP(F274,PROGRAMAS[],3,FALSE),0)</f>
        <v>3394901471.387517</v>
      </c>
      <c r="AI274" s="246">
        <f>IFERROR(VLOOKUP(G274,PROGRAMAS[],3,FALSE),0)</f>
        <v>125317226.95549992</v>
      </c>
      <c r="AJ274" s="246">
        <f>IFERROR(VLOOKUP(H274,PROGRAMAS[],3,FALSE),0)</f>
        <v>6129902208.7912121</v>
      </c>
      <c r="AK274" s="246">
        <f>IFERROR(VLOOKUP(I274,PROGRAMAS[],3,FALSE),0)</f>
        <v>7011279577.519702</v>
      </c>
      <c r="AL274" s="246">
        <f>IFERROR(VLOOKUP(J274,PROGRAMAS[],3,FALSE),0)</f>
        <v>2406564599.0319901</v>
      </c>
      <c r="AM274" s="246">
        <f>IFERROR(VLOOKUP(K274,PROGRAMAS[],3,FALSE),0)</f>
        <v>0</v>
      </c>
      <c r="AN274" s="246">
        <f>IFERROR(VLOOKUP(L274,PROGRAMAS[],3,FALSE),0)</f>
        <v>0</v>
      </c>
      <c r="AO274" s="246">
        <f>IFERROR(VLOOKUP(M274,PROGRAMAS[],3,FALSE),0)</f>
        <v>0</v>
      </c>
      <c r="AP274" s="246">
        <f>IFERROR(VLOOKUP(N274,PROGRAMAS[],3,FALSE),0)</f>
        <v>0</v>
      </c>
      <c r="AQ274" s="246">
        <f>IFERROR(VLOOKUP(O274,PROGRAMAS[],3,FALSE),0)</f>
        <v>0</v>
      </c>
      <c r="AR274" s="246">
        <f>IFERROR(VLOOKUP(P274,PROGRAMAS[],3,FALSE),0)</f>
        <v>0</v>
      </c>
      <c r="AS274" s="246">
        <f>IFERROR(VLOOKUP(Q274,PROGRAMAS[],3,FALSE),0)</f>
        <v>0</v>
      </c>
      <c r="AT274" s="246">
        <f>IFERROR(VLOOKUP(D274,VOL_REC[],2,FALSE),0)</f>
        <v>0</v>
      </c>
      <c r="AU274" s="246">
        <f>IFERROR(VLOOKUP(E274,VOL_REC[],2,FALSE),0)</f>
        <v>0</v>
      </c>
      <c r="AV274" s="246">
        <f>IFERROR(VLOOKUP(F274,VOL_REC[],2,FALSE),0)</f>
        <v>11089674.200000001</v>
      </c>
      <c r="AW274" s="246">
        <f>IFERROR(VLOOKUP(G274,VOL_REC[],2,FALSE),0)</f>
        <v>90439.55</v>
      </c>
      <c r="AX274" s="246">
        <f>IFERROR(VLOOKUP(H274,VOL_REC[],2,FALSE),0)</f>
        <v>15540036.397699751</v>
      </c>
      <c r="AY274" s="246">
        <f>IFERROR(VLOOKUP(I274,VOL_REC[],2,FALSE),0)</f>
        <v>3761786</v>
      </c>
      <c r="AZ274" s="246">
        <f>IFERROR(VLOOKUP(J274,VOL_REC[],2,FALSE),0)</f>
        <v>1072354.9981737854</v>
      </c>
      <c r="BA274" s="246">
        <f>IFERROR(VLOOKUP(K274,VOL_REC[],2,FALSE),0)</f>
        <v>0</v>
      </c>
      <c r="BB274" s="246">
        <f>IFERROR(VLOOKUP(L274,VOL_REC[],2,FALSE),0)</f>
        <v>0</v>
      </c>
      <c r="BC274" s="246">
        <f>IFERROR(VLOOKUP(M274,VOL_REC[],2,FALSE),0)</f>
        <v>0</v>
      </c>
      <c r="BD274" s="246">
        <f>IFERROR(VLOOKUP(N274,VOL_REC[],2,FALSE),0)</f>
        <v>0</v>
      </c>
      <c r="BE274" s="246">
        <f>IFERROR(VLOOKUP(O274,VOL_REC[],2,FALSE),0)</f>
        <v>0</v>
      </c>
      <c r="BF274" s="246">
        <f>IFERROR(VLOOKUP(P274,VOL_REC[],2,FALSE),0)</f>
        <v>0</v>
      </c>
      <c r="BG274" s="246">
        <f>IFERROR(VLOOKUP(Q274,VOL_REC[],2,FALSE),0)</f>
        <v>0</v>
      </c>
      <c r="BH274" s="1710">
        <f t="shared" si="16"/>
        <v>23972289578.597267</v>
      </c>
      <c r="BI274" s="1710">
        <f t="shared" si="17"/>
        <v>23758834516.160954</v>
      </c>
      <c r="BJ274" s="1711">
        <f t="shared" si="18"/>
        <v>31554291.145873535</v>
      </c>
      <c r="BK274" s="1711">
        <f t="shared" si="19"/>
        <v>1.0089842396221549</v>
      </c>
      <c r="BL274">
        <f>BJ274</f>
        <v>31554291.145873535</v>
      </c>
      <c r="BO274">
        <f>BL274</f>
        <v>31554291.145873535</v>
      </c>
    </row>
    <row r="275" spans="3:67" x14ac:dyDescent="0.25">
      <c r="C275" s="246" t="s">
        <v>1625</v>
      </c>
      <c r="D275" s="246">
        <v>1</v>
      </c>
      <c r="E275" s="246">
        <v>2</v>
      </c>
      <c r="F275" s="246">
        <v>3</v>
      </c>
      <c r="G275" s="246">
        <v>4</v>
      </c>
      <c r="H275" s="246">
        <v>6</v>
      </c>
      <c r="I275" s="246">
        <v>9</v>
      </c>
      <c r="J275" s="246">
        <v>17</v>
      </c>
      <c r="K275" s="246"/>
      <c r="L275" s="246"/>
      <c r="M275" s="246"/>
      <c r="N275" s="246"/>
      <c r="O275" s="246"/>
      <c r="P275" s="246"/>
      <c r="Q275" s="246"/>
      <c r="R275" s="246">
        <f>IFERROR(VLOOKUP(D275,PROGRAMAS[],2,FALSE),0)</f>
        <v>97037803.679377079</v>
      </c>
      <c r="S275" s="246">
        <f>IFERROR(VLOOKUP(E275,PROGRAMAS[],2,FALSE),0)</f>
        <v>640501509.6821388</v>
      </c>
      <c r="T275" s="246">
        <f>IFERROR(VLOOKUP(F275,PROGRAMAS[],2,FALSE),0)</f>
        <v>3062327798.1525245</v>
      </c>
      <c r="U275" s="246">
        <f>IFERROR(VLOOKUP(G275,PROGRAMAS[],2,FALSE),0)</f>
        <v>67697118.033011258</v>
      </c>
      <c r="V275" s="246">
        <f>IFERROR(VLOOKUP(H275,PROGRAMAS[],2,FALSE),0)</f>
        <v>6907648435.8447599</v>
      </c>
      <c r="W275" s="246">
        <f>IFERROR(VLOOKUP(I275,PROGRAMAS[],2,FALSE),0)</f>
        <v>6128579952.1618185</v>
      </c>
      <c r="X275" s="246">
        <f>IFERROR(VLOOKUP(J275,PROGRAMAS[],2,FALSE),0)</f>
        <v>1892779498.5211046</v>
      </c>
      <c r="Y275" s="246">
        <f>IFERROR(VLOOKUP(K275,PROGRAMAS[],2,FALSE),0)</f>
        <v>0</v>
      </c>
      <c r="Z275" s="246">
        <f>IFERROR(VLOOKUP(L275,PROGRAMAS[],2,FALSE),0)</f>
        <v>0</v>
      </c>
      <c r="AA275" s="246">
        <f>IFERROR(VLOOKUP(M275,PROGRAMAS[],2,FALSE),0)</f>
        <v>0</v>
      </c>
      <c r="AB275" s="246">
        <f>IFERROR(VLOOKUP(N275,PROGRAMAS[],2,FALSE),0)</f>
        <v>0</v>
      </c>
      <c r="AC275" s="246">
        <f>IFERROR(VLOOKUP(O275,PROGRAMAS[],2,FALSE),0)</f>
        <v>0</v>
      </c>
      <c r="AD275" s="246">
        <f>IFERROR(VLOOKUP(P275,PROGRAMAS[],2,FALSE),0)</f>
        <v>0</v>
      </c>
      <c r="AE275" s="246">
        <f>IFERROR(VLOOKUP(Q275,PROGRAMAS[],2,FALSE),0)</f>
        <v>0</v>
      </c>
      <c r="AF275" s="246">
        <f>IFERROR(VLOOKUP(D275,PROGRAMAS[],3,FALSE),0)</f>
        <v>841888629.31080008</v>
      </c>
      <c r="AG275" s="246">
        <f>IFERROR(VLOOKUP(E275,PROGRAMAS[],3,FALSE),0)</f>
        <v>3848980803.1642323</v>
      </c>
      <c r="AH275" s="246">
        <f>IFERROR(VLOOKUP(F275,PROGRAMAS[],3,FALSE),0)</f>
        <v>3394901471.387517</v>
      </c>
      <c r="AI275" s="246">
        <f>IFERROR(VLOOKUP(G275,PROGRAMAS[],3,FALSE),0)</f>
        <v>125317226.95549992</v>
      </c>
      <c r="AJ275" s="246">
        <f>IFERROR(VLOOKUP(H275,PROGRAMAS[],3,FALSE),0)</f>
        <v>6129902208.7912121</v>
      </c>
      <c r="AK275" s="246">
        <f>IFERROR(VLOOKUP(I275,PROGRAMAS[],3,FALSE),0)</f>
        <v>7011279577.519702</v>
      </c>
      <c r="AL275" s="246">
        <f>IFERROR(VLOOKUP(J275,PROGRAMAS[],3,FALSE),0)</f>
        <v>948595847.09039903</v>
      </c>
      <c r="AM275" s="246">
        <f>IFERROR(VLOOKUP(K275,PROGRAMAS[],3,FALSE),0)</f>
        <v>0</v>
      </c>
      <c r="AN275" s="246">
        <f>IFERROR(VLOOKUP(L275,PROGRAMAS[],3,FALSE),0)</f>
        <v>0</v>
      </c>
      <c r="AO275" s="246">
        <f>IFERROR(VLOOKUP(M275,PROGRAMAS[],3,FALSE),0)</f>
        <v>0</v>
      </c>
      <c r="AP275" s="246">
        <f>IFERROR(VLOOKUP(N275,PROGRAMAS[],3,FALSE),0)</f>
        <v>0</v>
      </c>
      <c r="AQ275" s="246">
        <f>IFERROR(VLOOKUP(O275,PROGRAMAS[],3,FALSE),0)</f>
        <v>0</v>
      </c>
      <c r="AR275" s="246">
        <f>IFERROR(VLOOKUP(P275,PROGRAMAS[],3,FALSE),0)</f>
        <v>0</v>
      </c>
      <c r="AS275" s="246">
        <f>IFERROR(VLOOKUP(Q275,PROGRAMAS[],3,FALSE),0)</f>
        <v>0</v>
      </c>
      <c r="AT275" s="246">
        <f>IFERROR(VLOOKUP(D275,VOL_REC[],2,FALSE),0)</f>
        <v>0</v>
      </c>
      <c r="AU275" s="246">
        <f>IFERROR(VLOOKUP(E275,VOL_REC[],2,FALSE),0)</f>
        <v>0</v>
      </c>
      <c r="AV275" s="246">
        <f>IFERROR(VLOOKUP(F275,VOL_REC[],2,FALSE),0)</f>
        <v>11089674.200000001</v>
      </c>
      <c r="AW275" s="246">
        <f>IFERROR(VLOOKUP(G275,VOL_REC[],2,FALSE),0)</f>
        <v>90439.55</v>
      </c>
      <c r="AX275" s="246">
        <f>IFERROR(VLOOKUP(H275,VOL_REC[],2,FALSE),0)</f>
        <v>15540036.397699751</v>
      </c>
      <c r="AY275" s="246">
        <f>IFERROR(VLOOKUP(I275,VOL_REC[],2,FALSE),0)</f>
        <v>3761786</v>
      </c>
      <c r="AZ275" s="246">
        <f>IFERROR(VLOOKUP(J275,VOL_REC[],2,FALSE),0)</f>
        <v>740113.98115702497</v>
      </c>
      <c r="BA275" s="246">
        <f>IFERROR(VLOOKUP(K275,VOL_REC[],2,FALSE),0)</f>
        <v>0</v>
      </c>
      <c r="BB275" s="246">
        <f>IFERROR(VLOOKUP(L275,VOL_REC[],2,FALSE),0)</f>
        <v>0</v>
      </c>
      <c r="BC275" s="246">
        <f>IFERROR(VLOOKUP(M275,VOL_REC[],2,FALSE),0)</f>
        <v>0</v>
      </c>
      <c r="BD275" s="246">
        <f>IFERROR(VLOOKUP(N275,VOL_REC[],2,FALSE),0)</f>
        <v>0</v>
      </c>
      <c r="BE275" s="246">
        <f>IFERROR(VLOOKUP(O275,VOL_REC[],2,FALSE),0)</f>
        <v>0</v>
      </c>
      <c r="BF275" s="246">
        <f>IFERROR(VLOOKUP(P275,VOL_REC[],2,FALSE),0)</f>
        <v>0</v>
      </c>
      <c r="BG275" s="246">
        <f>IFERROR(VLOOKUP(Q275,VOL_REC[],2,FALSE),0)</f>
        <v>0</v>
      </c>
      <c r="BH275" s="1710">
        <f t="shared" si="16"/>
        <v>18796572116.074734</v>
      </c>
      <c r="BI275" s="1710">
        <f t="shared" si="17"/>
        <v>22300865764.219364</v>
      </c>
      <c r="BJ275" s="1711">
        <f t="shared" si="18"/>
        <v>31222050.128856774</v>
      </c>
      <c r="BK275" s="1711">
        <f t="shared" si="19"/>
        <v>0.84286288769258921</v>
      </c>
    </row>
    <row r="276" spans="3:67" x14ac:dyDescent="0.25">
      <c r="C276" s="246" t="s">
        <v>1626</v>
      </c>
      <c r="D276" s="246">
        <v>1</v>
      </c>
      <c r="E276" s="246">
        <v>2</v>
      </c>
      <c r="F276" s="246">
        <v>3</v>
      </c>
      <c r="G276" s="246">
        <v>4</v>
      </c>
      <c r="H276" s="246">
        <v>6</v>
      </c>
      <c r="I276" s="246">
        <v>10</v>
      </c>
      <c r="J276" s="246">
        <v>12</v>
      </c>
      <c r="K276" s="246"/>
      <c r="L276" s="246"/>
      <c r="M276" s="246"/>
      <c r="N276" s="246"/>
      <c r="O276" s="246"/>
      <c r="P276" s="246"/>
      <c r="Q276" s="246"/>
      <c r="R276" s="246">
        <f>IFERROR(VLOOKUP(D276,PROGRAMAS[],2,FALSE),0)</f>
        <v>97037803.679377079</v>
      </c>
      <c r="S276" s="246">
        <f>IFERROR(VLOOKUP(E276,PROGRAMAS[],2,FALSE),0)</f>
        <v>640501509.6821388</v>
      </c>
      <c r="T276" s="246">
        <f>IFERROR(VLOOKUP(F276,PROGRAMAS[],2,FALSE),0)</f>
        <v>3062327798.1525245</v>
      </c>
      <c r="U276" s="246">
        <f>IFERROR(VLOOKUP(G276,PROGRAMAS[],2,FALSE),0)</f>
        <v>67697118.033011258</v>
      </c>
      <c r="V276" s="246">
        <f>IFERROR(VLOOKUP(H276,PROGRAMAS[],2,FALSE),0)</f>
        <v>6907648435.8447599</v>
      </c>
      <c r="W276" s="246">
        <f>IFERROR(VLOOKUP(I276,PROGRAMAS[],2,FALSE),0)</f>
        <v>4635315027.8751087</v>
      </c>
      <c r="X276" s="246">
        <f>IFERROR(VLOOKUP(J276,PROGRAMAS[],2,FALSE),0)</f>
        <v>764796700.79905891</v>
      </c>
      <c r="Y276" s="246">
        <f>IFERROR(VLOOKUP(K276,PROGRAMAS[],2,FALSE),0)</f>
        <v>0</v>
      </c>
      <c r="Z276" s="246">
        <f>IFERROR(VLOOKUP(L276,PROGRAMAS[],2,FALSE),0)</f>
        <v>0</v>
      </c>
      <c r="AA276" s="246">
        <f>IFERROR(VLOOKUP(M276,PROGRAMAS[],2,FALSE),0)</f>
        <v>0</v>
      </c>
      <c r="AB276" s="246">
        <f>IFERROR(VLOOKUP(N276,PROGRAMAS[],2,FALSE),0)</f>
        <v>0</v>
      </c>
      <c r="AC276" s="246">
        <f>IFERROR(VLOOKUP(O276,PROGRAMAS[],2,FALSE),0)</f>
        <v>0</v>
      </c>
      <c r="AD276" s="246">
        <f>IFERROR(VLOOKUP(P276,PROGRAMAS[],2,FALSE),0)</f>
        <v>0</v>
      </c>
      <c r="AE276" s="246">
        <f>IFERROR(VLOOKUP(Q276,PROGRAMAS[],2,FALSE),0)</f>
        <v>0</v>
      </c>
      <c r="AF276" s="246">
        <f>IFERROR(VLOOKUP(D276,PROGRAMAS[],3,FALSE),0)</f>
        <v>841888629.31080008</v>
      </c>
      <c r="AG276" s="246">
        <f>IFERROR(VLOOKUP(E276,PROGRAMAS[],3,FALSE),0)</f>
        <v>3848980803.1642323</v>
      </c>
      <c r="AH276" s="246">
        <f>IFERROR(VLOOKUP(F276,PROGRAMAS[],3,FALSE),0)</f>
        <v>3394901471.387517</v>
      </c>
      <c r="AI276" s="246">
        <f>IFERROR(VLOOKUP(G276,PROGRAMAS[],3,FALSE),0)</f>
        <v>125317226.95549992</v>
      </c>
      <c r="AJ276" s="246">
        <f>IFERROR(VLOOKUP(H276,PROGRAMAS[],3,FALSE),0)</f>
        <v>6129902208.7912121</v>
      </c>
      <c r="AK276" s="246">
        <f>IFERROR(VLOOKUP(I276,PROGRAMAS[],3,FALSE),0)</f>
        <v>4099471734.9978786</v>
      </c>
      <c r="AL276" s="246">
        <f>IFERROR(VLOOKUP(J276,PROGRAMAS[],3,FALSE),0)</f>
        <v>675517840.109828</v>
      </c>
      <c r="AM276" s="246">
        <f>IFERROR(VLOOKUP(K276,PROGRAMAS[],3,FALSE),0)</f>
        <v>0</v>
      </c>
      <c r="AN276" s="246">
        <f>IFERROR(VLOOKUP(L276,PROGRAMAS[],3,FALSE),0)</f>
        <v>0</v>
      </c>
      <c r="AO276" s="246">
        <f>IFERROR(VLOOKUP(M276,PROGRAMAS[],3,FALSE),0)</f>
        <v>0</v>
      </c>
      <c r="AP276" s="246">
        <f>IFERROR(VLOOKUP(N276,PROGRAMAS[],3,FALSE),0)</f>
        <v>0</v>
      </c>
      <c r="AQ276" s="246">
        <f>IFERROR(VLOOKUP(O276,PROGRAMAS[],3,FALSE),0)</f>
        <v>0</v>
      </c>
      <c r="AR276" s="246">
        <f>IFERROR(VLOOKUP(P276,PROGRAMAS[],3,FALSE),0)</f>
        <v>0</v>
      </c>
      <c r="AS276" s="246">
        <f>IFERROR(VLOOKUP(Q276,PROGRAMAS[],3,FALSE),0)</f>
        <v>0</v>
      </c>
      <c r="AT276" s="246">
        <f>IFERROR(VLOOKUP(D276,VOL_REC[],2,FALSE),0)</f>
        <v>0</v>
      </c>
      <c r="AU276" s="246">
        <f>IFERROR(VLOOKUP(E276,VOL_REC[],2,FALSE),0)</f>
        <v>0</v>
      </c>
      <c r="AV276" s="246">
        <f>IFERROR(VLOOKUP(F276,VOL_REC[],2,FALSE),0)</f>
        <v>11089674.200000001</v>
      </c>
      <c r="AW276" s="246">
        <f>IFERROR(VLOOKUP(G276,VOL_REC[],2,FALSE),0)</f>
        <v>90439.55</v>
      </c>
      <c r="AX276" s="246">
        <f>IFERROR(VLOOKUP(H276,VOL_REC[],2,FALSE),0)</f>
        <v>15540036.397699751</v>
      </c>
      <c r="AY276" s="246">
        <f>IFERROR(VLOOKUP(I276,VOL_REC[],2,FALSE),0)</f>
        <v>1812240</v>
      </c>
      <c r="AZ276" s="246">
        <f>IFERROR(VLOOKUP(J276,VOL_REC[],2,FALSE),0)</f>
        <v>240696.79238099116</v>
      </c>
      <c r="BA276" s="246">
        <f>IFERROR(VLOOKUP(K276,VOL_REC[],2,FALSE),0)</f>
        <v>0</v>
      </c>
      <c r="BB276" s="246">
        <f>IFERROR(VLOOKUP(L276,VOL_REC[],2,FALSE),0)</f>
        <v>0</v>
      </c>
      <c r="BC276" s="246">
        <f>IFERROR(VLOOKUP(M276,VOL_REC[],2,FALSE),0)</f>
        <v>0</v>
      </c>
      <c r="BD276" s="246">
        <f>IFERROR(VLOOKUP(N276,VOL_REC[],2,FALSE),0)</f>
        <v>0</v>
      </c>
      <c r="BE276" s="246">
        <f>IFERROR(VLOOKUP(O276,VOL_REC[],2,FALSE),0)</f>
        <v>0</v>
      </c>
      <c r="BF276" s="246">
        <f>IFERROR(VLOOKUP(P276,VOL_REC[],2,FALSE),0)</f>
        <v>0</v>
      </c>
      <c r="BG276" s="246">
        <f>IFERROR(VLOOKUP(Q276,VOL_REC[],2,FALSE),0)</f>
        <v>0</v>
      </c>
      <c r="BH276" s="1710">
        <f t="shared" si="16"/>
        <v>16175324394.065979</v>
      </c>
      <c r="BI276" s="1710">
        <f t="shared" si="17"/>
        <v>19115979914.716969</v>
      </c>
      <c r="BJ276" s="1711">
        <f t="shared" si="18"/>
        <v>28773086.940080743</v>
      </c>
      <c r="BK276" s="1711">
        <f t="shared" si="19"/>
        <v>0.84616768097841299</v>
      </c>
    </row>
    <row r="277" spans="3:67" x14ac:dyDescent="0.25">
      <c r="C277" s="246" t="s">
        <v>1627</v>
      </c>
      <c r="D277" s="246">
        <v>1</v>
      </c>
      <c r="E277" s="246">
        <v>2</v>
      </c>
      <c r="F277" s="246">
        <v>3</v>
      </c>
      <c r="G277" s="246">
        <v>4</v>
      </c>
      <c r="H277" s="246">
        <v>6</v>
      </c>
      <c r="I277" s="246">
        <v>10</v>
      </c>
      <c r="J277" s="246">
        <v>13</v>
      </c>
      <c r="K277" s="246"/>
      <c r="L277" s="246"/>
      <c r="M277" s="246"/>
      <c r="N277" s="246"/>
      <c r="O277" s="246"/>
      <c r="P277" s="246"/>
      <c r="Q277" s="246"/>
      <c r="R277" s="246">
        <f>IFERROR(VLOOKUP(D277,PROGRAMAS[],2,FALSE),0)</f>
        <v>97037803.679377079</v>
      </c>
      <c r="S277" s="246">
        <f>IFERROR(VLOOKUP(E277,PROGRAMAS[],2,FALSE),0)</f>
        <v>640501509.6821388</v>
      </c>
      <c r="T277" s="246">
        <f>IFERROR(VLOOKUP(F277,PROGRAMAS[],2,FALSE),0)</f>
        <v>3062327798.1525245</v>
      </c>
      <c r="U277" s="246">
        <f>IFERROR(VLOOKUP(G277,PROGRAMAS[],2,FALSE),0)</f>
        <v>67697118.033011258</v>
      </c>
      <c r="V277" s="246">
        <f>IFERROR(VLOOKUP(H277,PROGRAMAS[],2,FALSE),0)</f>
        <v>6907648435.8447599</v>
      </c>
      <c r="W277" s="246">
        <f>IFERROR(VLOOKUP(I277,PROGRAMAS[],2,FALSE),0)</f>
        <v>4635315027.8751087</v>
      </c>
      <c r="X277" s="246">
        <f>IFERROR(VLOOKUP(J277,PROGRAMAS[],2,FALSE),0)</f>
        <v>3776538594.4604583</v>
      </c>
      <c r="Y277" s="246">
        <f>IFERROR(VLOOKUP(K277,PROGRAMAS[],2,FALSE),0)</f>
        <v>0</v>
      </c>
      <c r="Z277" s="246">
        <f>IFERROR(VLOOKUP(L277,PROGRAMAS[],2,FALSE),0)</f>
        <v>0</v>
      </c>
      <c r="AA277" s="246">
        <f>IFERROR(VLOOKUP(M277,PROGRAMAS[],2,FALSE),0)</f>
        <v>0</v>
      </c>
      <c r="AB277" s="246">
        <f>IFERROR(VLOOKUP(N277,PROGRAMAS[],2,FALSE),0)</f>
        <v>0</v>
      </c>
      <c r="AC277" s="246">
        <f>IFERROR(VLOOKUP(O277,PROGRAMAS[],2,FALSE),0)</f>
        <v>0</v>
      </c>
      <c r="AD277" s="246">
        <f>IFERROR(VLOOKUP(P277,PROGRAMAS[],2,FALSE),0)</f>
        <v>0</v>
      </c>
      <c r="AE277" s="246">
        <f>IFERROR(VLOOKUP(Q277,PROGRAMAS[],2,FALSE),0)</f>
        <v>0</v>
      </c>
      <c r="AF277" s="246">
        <f>IFERROR(VLOOKUP(D277,PROGRAMAS[],3,FALSE),0)</f>
        <v>841888629.31080008</v>
      </c>
      <c r="AG277" s="246">
        <f>IFERROR(VLOOKUP(E277,PROGRAMAS[],3,FALSE),0)</f>
        <v>3848980803.1642323</v>
      </c>
      <c r="AH277" s="246">
        <f>IFERROR(VLOOKUP(F277,PROGRAMAS[],3,FALSE),0)</f>
        <v>3394901471.387517</v>
      </c>
      <c r="AI277" s="246">
        <f>IFERROR(VLOOKUP(G277,PROGRAMAS[],3,FALSE),0)</f>
        <v>125317226.95549992</v>
      </c>
      <c r="AJ277" s="246">
        <f>IFERROR(VLOOKUP(H277,PROGRAMAS[],3,FALSE),0)</f>
        <v>6129902208.7912121</v>
      </c>
      <c r="AK277" s="246">
        <f>IFERROR(VLOOKUP(I277,PROGRAMAS[],3,FALSE),0)</f>
        <v>4099471734.9978786</v>
      </c>
      <c r="AL277" s="246">
        <f>IFERROR(VLOOKUP(J277,PROGRAMAS[],3,FALSE),0)</f>
        <v>2392571243.5584412</v>
      </c>
      <c r="AM277" s="246">
        <f>IFERROR(VLOOKUP(K277,PROGRAMAS[],3,FALSE),0)</f>
        <v>0</v>
      </c>
      <c r="AN277" s="246">
        <f>IFERROR(VLOOKUP(L277,PROGRAMAS[],3,FALSE),0)</f>
        <v>0</v>
      </c>
      <c r="AO277" s="246">
        <f>IFERROR(VLOOKUP(M277,PROGRAMAS[],3,FALSE),0)</f>
        <v>0</v>
      </c>
      <c r="AP277" s="246">
        <f>IFERROR(VLOOKUP(N277,PROGRAMAS[],3,FALSE),0)</f>
        <v>0</v>
      </c>
      <c r="AQ277" s="246">
        <f>IFERROR(VLOOKUP(O277,PROGRAMAS[],3,FALSE),0)</f>
        <v>0</v>
      </c>
      <c r="AR277" s="246">
        <f>IFERROR(VLOOKUP(P277,PROGRAMAS[],3,FALSE),0)</f>
        <v>0</v>
      </c>
      <c r="AS277" s="246">
        <f>IFERROR(VLOOKUP(Q277,PROGRAMAS[],3,FALSE),0)</f>
        <v>0</v>
      </c>
      <c r="AT277" s="246">
        <f>IFERROR(VLOOKUP(D277,VOL_REC[],2,FALSE),0)</f>
        <v>0</v>
      </c>
      <c r="AU277" s="246">
        <f>IFERROR(VLOOKUP(E277,VOL_REC[],2,FALSE),0)</f>
        <v>0</v>
      </c>
      <c r="AV277" s="246">
        <f>IFERROR(VLOOKUP(F277,VOL_REC[],2,FALSE),0)</f>
        <v>11089674.200000001</v>
      </c>
      <c r="AW277" s="246">
        <f>IFERROR(VLOOKUP(G277,VOL_REC[],2,FALSE),0)</f>
        <v>90439.55</v>
      </c>
      <c r="AX277" s="246">
        <f>IFERROR(VLOOKUP(H277,VOL_REC[],2,FALSE),0)</f>
        <v>15540036.397699751</v>
      </c>
      <c r="AY277" s="246">
        <f>IFERROR(VLOOKUP(I277,VOL_REC[],2,FALSE),0)</f>
        <v>1812240</v>
      </c>
      <c r="AZ277" s="246">
        <f>IFERROR(VLOOKUP(J277,VOL_REC[],2,FALSE),0)</f>
        <v>663244.80000000016</v>
      </c>
      <c r="BA277" s="246">
        <f>IFERROR(VLOOKUP(K277,VOL_REC[],2,FALSE),0)</f>
        <v>0</v>
      </c>
      <c r="BB277" s="246">
        <f>IFERROR(VLOOKUP(L277,VOL_REC[],2,FALSE),0)</f>
        <v>0</v>
      </c>
      <c r="BC277" s="246">
        <f>IFERROR(VLOOKUP(M277,VOL_REC[],2,FALSE),0)</f>
        <v>0</v>
      </c>
      <c r="BD277" s="246">
        <f>IFERROR(VLOOKUP(N277,VOL_REC[],2,FALSE),0)</f>
        <v>0</v>
      </c>
      <c r="BE277" s="246">
        <f>IFERROR(VLOOKUP(O277,VOL_REC[],2,FALSE),0)</f>
        <v>0</v>
      </c>
      <c r="BF277" s="246">
        <f>IFERROR(VLOOKUP(P277,VOL_REC[],2,FALSE),0)</f>
        <v>0</v>
      </c>
      <c r="BG277" s="246">
        <f>IFERROR(VLOOKUP(Q277,VOL_REC[],2,FALSE),0)</f>
        <v>0</v>
      </c>
      <c r="BH277" s="1710">
        <f t="shared" si="16"/>
        <v>19187066287.727379</v>
      </c>
      <c r="BI277" s="1710">
        <f t="shared" si="17"/>
        <v>20833033318.165581</v>
      </c>
      <c r="BJ277" s="1711">
        <f t="shared" si="18"/>
        <v>29195634.947699752</v>
      </c>
      <c r="BK277" s="1711">
        <f t="shared" si="19"/>
        <v>0.92099244477264941</v>
      </c>
    </row>
    <row r="278" spans="3:67" x14ac:dyDescent="0.25">
      <c r="C278" s="246" t="s">
        <v>1628</v>
      </c>
      <c r="D278" s="246">
        <v>1</v>
      </c>
      <c r="E278" s="246">
        <v>2</v>
      </c>
      <c r="F278" s="246">
        <v>3</v>
      </c>
      <c r="G278" s="246">
        <v>4</v>
      </c>
      <c r="H278" s="246">
        <v>6</v>
      </c>
      <c r="I278" s="246">
        <v>10</v>
      </c>
      <c r="J278" s="246">
        <v>14</v>
      </c>
      <c r="K278" s="246"/>
      <c r="L278" s="246"/>
      <c r="M278" s="246"/>
      <c r="N278" s="246"/>
      <c r="O278" s="246"/>
      <c r="P278" s="246"/>
      <c r="Q278" s="246"/>
      <c r="R278" s="246">
        <f>IFERROR(VLOOKUP(D278,PROGRAMAS[],2,FALSE),0)</f>
        <v>97037803.679377079</v>
      </c>
      <c r="S278" s="246">
        <f>IFERROR(VLOOKUP(E278,PROGRAMAS[],2,FALSE),0)</f>
        <v>640501509.6821388</v>
      </c>
      <c r="T278" s="246">
        <f>IFERROR(VLOOKUP(F278,PROGRAMAS[],2,FALSE),0)</f>
        <v>3062327798.1525245</v>
      </c>
      <c r="U278" s="246">
        <f>IFERROR(VLOOKUP(G278,PROGRAMAS[],2,FALSE),0)</f>
        <v>67697118.033011258</v>
      </c>
      <c r="V278" s="246">
        <f>IFERROR(VLOOKUP(H278,PROGRAMAS[],2,FALSE),0)</f>
        <v>6907648435.8447599</v>
      </c>
      <c r="W278" s="246">
        <f>IFERROR(VLOOKUP(I278,PROGRAMAS[],2,FALSE),0)</f>
        <v>4635315027.8751087</v>
      </c>
      <c r="X278" s="246">
        <f>IFERROR(VLOOKUP(J278,PROGRAMAS[],2,FALSE),0)</f>
        <v>54223862.645839565</v>
      </c>
      <c r="Y278" s="246">
        <f>IFERROR(VLOOKUP(K278,PROGRAMAS[],2,FALSE),0)</f>
        <v>0</v>
      </c>
      <c r="Z278" s="246">
        <f>IFERROR(VLOOKUP(L278,PROGRAMAS[],2,FALSE),0)</f>
        <v>0</v>
      </c>
      <c r="AA278" s="246">
        <f>IFERROR(VLOOKUP(M278,PROGRAMAS[],2,FALSE),0)</f>
        <v>0</v>
      </c>
      <c r="AB278" s="246">
        <f>IFERROR(VLOOKUP(N278,PROGRAMAS[],2,FALSE),0)</f>
        <v>0</v>
      </c>
      <c r="AC278" s="246">
        <f>IFERROR(VLOOKUP(O278,PROGRAMAS[],2,FALSE),0)</f>
        <v>0</v>
      </c>
      <c r="AD278" s="246">
        <f>IFERROR(VLOOKUP(P278,PROGRAMAS[],2,FALSE),0)</f>
        <v>0</v>
      </c>
      <c r="AE278" s="246">
        <f>IFERROR(VLOOKUP(Q278,PROGRAMAS[],2,FALSE),0)</f>
        <v>0</v>
      </c>
      <c r="AF278" s="246">
        <f>IFERROR(VLOOKUP(D278,PROGRAMAS[],3,FALSE),0)</f>
        <v>841888629.31080008</v>
      </c>
      <c r="AG278" s="246">
        <f>IFERROR(VLOOKUP(E278,PROGRAMAS[],3,FALSE),0)</f>
        <v>3848980803.1642323</v>
      </c>
      <c r="AH278" s="246">
        <f>IFERROR(VLOOKUP(F278,PROGRAMAS[],3,FALSE),0)</f>
        <v>3394901471.387517</v>
      </c>
      <c r="AI278" s="246">
        <f>IFERROR(VLOOKUP(G278,PROGRAMAS[],3,FALSE),0)</f>
        <v>125317226.95549992</v>
      </c>
      <c r="AJ278" s="246">
        <f>IFERROR(VLOOKUP(H278,PROGRAMAS[],3,FALSE),0)</f>
        <v>6129902208.7912121</v>
      </c>
      <c r="AK278" s="246">
        <f>IFERROR(VLOOKUP(I278,PROGRAMAS[],3,FALSE),0)</f>
        <v>4099471734.9978786</v>
      </c>
      <c r="AL278" s="246">
        <f>IFERROR(VLOOKUP(J278,PROGRAMAS[],3,FALSE),0)</f>
        <v>31865326.38096505</v>
      </c>
      <c r="AM278" s="246">
        <f>IFERROR(VLOOKUP(K278,PROGRAMAS[],3,FALSE),0)</f>
        <v>0</v>
      </c>
      <c r="AN278" s="246">
        <f>IFERROR(VLOOKUP(L278,PROGRAMAS[],3,FALSE),0)</f>
        <v>0</v>
      </c>
      <c r="AO278" s="246">
        <f>IFERROR(VLOOKUP(M278,PROGRAMAS[],3,FALSE),0)</f>
        <v>0</v>
      </c>
      <c r="AP278" s="246">
        <f>IFERROR(VLOOKUP(N278,PROGRAMAS[],3,FALSE),0)</f>
        <v>0</v>
      </c>
      <c r="AQ278" s="246">
        <f>IFERROR(VLOOKUP(O278,PROGRAMAS[],3,FALSE),0)</f>
        <v>0</v>
      </c>
      <c r="AR278" s="246">
        <f>IFERROR(VLOOKUP(P278,PROGRAMAS[],3,FALSE),0)</f>
        <v>0</v>
      </c>
      <c r="AS278" s="246">
        <f>IFERROR(VLOOKUP(Q278,PROGRAMAS[],3,FALSE),0)</f>
        <v>0</v>
      </c>
      <c r="AT278" s="246">
        <f>IFERROR(VLOOKUP(D278,VOL_REC[],2,FALSE),0)</f>
        <v>0</v>
      </c>
      <c r="AU278" s="246">
        <f>IFERROR(VLOOKUP(E278,VOL_REC[],2,FALSE),0)</f>
        <v>0</v>
      </c>
      <c r="AV278" s="246">
        <f>IFERROR(VLOOKUP(F278,VOL_REC[],2,FALSE),0)</f>
        <v>11089674.200000001</v>
      </c>
      <c r="AW278" s="246">
        <f>IFERROR(VLOOKUP(G278,VOL_REC[],2,FALSE),0)</f>
        <v>90439.55</v>
      </c>
      <c r="AX278" s="246">
        <f>IFERROR(VLOOKUP(H278,VOL_REC[],2,FALSE),0)</f>
        <v>15540036.397699751</v>
      </c>
      <c r="AY278" s="246">
        <f>IFERROR(VLOOKUP(I278,VOL_REC[],2,FALSE),0)</f>
        <v>1812240</v>
      </c>
      <c r="AZ278" s="246">
        <f>IFERROR(VLOOKUP(J278,VOL_REC[],2,FALSE),0)</f>
        <v>17074.045034105649</v>
      </c>
      <c r="BA278" s="246">
        <f>IFERROR(VLOOKUP(K278,VOL_REC[],2,FALSE),0)</f>
        <v>0</v>
      </c>
      <c r="BB278" s="246">
        <f>IFERROR(VLOOKUP(L278,VOL_REC[],2,FALSE),0)</f>
        <v>0</v>
      </c>
      <c r="BC278" s="246">
        <f>IFERROR(VLOOKUP(M278,VOL_REC[],2,FALSE),0)</f>
        <v>0</v>
      </c>
      <c r="BD278" s="246">
        <f>IFERROR(VLOOKUP(N278,VOL_REC[],2,FALSE),0)</f>
        <v>0</v>
      </c>
      <c r="BE278" s="246">
        <f>IFERROR(VLOOKUP(O278,VOL_REC[],2,FALSE),0)</f>
        <v>0</v>
      </c>
      <c r="BF278" s="246">
        <f>IFERROR(VLOOKUP(P278,VOL_REC[],2,FALSE),0)</f>
        <v>0</v>
      </c>
      <c r="BG278" s="246">
        <f>IFERROR(VLOOKUP(Q278,VOL_REC[],2,FALSE),0)</f>
        <v>0</v>
      </c>
      <c r="BH278" s="1710">
        <f t="shared" si="16"/>
        <v>15464751555.91276</v>
      </c>
      <c r="BI278" s="1710">
        <f t="shared" si="17"/>
        <v>18472327400.988106</v>
      </c>
      <c r="BJ278" s="1711">
        <f t="shared" si="18"/>
        <v>28549464.192733858</v>
      </c>
      <c r="BK278" s="1711">
        <f t="shared" si="19"/>
        <v>0.83718479107757326</v>
      </c>
    </row>
    <row r="279" spans="3:67" x14ac:dyDescent="0.25">
      <c r="C279" s="246" t="s">
        <v>1629</v>
      </c>
      <c r="D279" s="246">
        <v>1</v>
      </c>
      <c r="E279" s="246">
        <v>2</v>
      </c>
      <c r="F279" s="246">
        <v>3</v>
      </c>
      <c r="G279" s="246">
        <v>4</v>
      </c>
      <c r="H279" s="246">
        <v>6</v>
      </c>
      <c r="I279" s="246">
        <v>10</v>
      </c>
      <c r="J279" s="246">
        <v>15</v>
      </c>
      <c r="K279" s="246"/>
      <c r="L279" s="246"/>
      <c r="M279" s="246"/>
      <c r="N279" s="246"/>
      <c r="O279" s="246"/>
      <c r="P279" s="246"/>
      <c r="Q279" s="246"/>
      <c r="R279" s="246">
        <f>IFERROR(VLOOKUP(D279,PROGRAMAS[],2,FALSE),0)</f>
        <v>97037803.679377079</v>
      </c>
      <c r="S279" s="246">
        <f>IFERROR(VLOOKUP(E279,PROGRAMAS[],2,FALSE),0)</f>
        <v>640501509.6821388</v>
      </c>
      <c r="T279" s="246">
        <f>IFERROR(VLOOKUP(F279,PROGRAMAS[],2,FALSE),0)</f>
        <v>3062327798.1525245</v>
      </c>
      <c r="U279" s="246">
        <f>IFERROR(VLOOKUP(G279,PROGRAMAS[],2,FALSE),0)</f>
        <v>67697118.033011258</v>
      </c>
      <c r="V279" s="246">
        <f>IFERROR(VLOOKUP(H279,PROGRAMAS[],2,FALSE),0)</f>
        <v>6907648435.8447599</v>
      </c>
      <c r="W279" s="246">
        <f>IFERROR(VLOOKUP(I279,PROGRAMAS[],2,FALSE),0)</f>
        <v>4635315027.8751087</v>
      </c>
      <c r="X279" s="246">
        <f>IFERROR(VLOOKUP(J279,PROGRAMAS[],2,FALSE),0)</f>
        <v>122159672.96346797</v>
      </c>
      <c r="Y279" s="246">
        <f>IFERROR(VLOOKUP(K279,PROGRAMAS[],2,FALSE),0)</f>
        <v>0</v>
      </c>
      <c r="Z279" s="246">
        <f>IFERROR(VLOOKUP(L279,PROGRAMAS[],2,FALSE),0)</f>
        <v>0</v>
      </c>
      <c r="AA279" s="246">
        <f>IFERROR(VLOOKUP(M279,PROGRAMAS[],2,FALSE),0)</f>
        <v>0</v>
      </c>
      <c r="AB279" s="246">
        <f>IFERROR(VLOOKUP(N279,PROGRAMAS[],2,FALSE),0)</f>
        <v>0</v>
      </c>
      <c r="AC279" s="246">
        <f>IFERROR(VLOOKUP(O279,PROGRAMAS[],2,FALSE),0)</f>
        <v>0</v>
      </c>
      <c r="AD279" s="246">
        <f>IFERROR(VLOOKUP(P279,PROGRAMAS[],2,FALSE),0)</f>
        <v>0</v>
      </c>
      <c r="AE279" s="246">
        <f>IFERROR(VLOOKUP(Q279,PROGRAMAS[],2,FALSE),0)</f>
        <v>0</v>
      </c>
      <c r="AF279" s="246">
        <f>IFERROR(VLOOKUP(D279,PROGRAMAS[],3,FALSE),0)</f>
        <v>841888629.31080008</v>
      </c>
      <c r="AG279" s="246">
        <f>IFERROR(VLOOKUP(E279,PROGRAMAS[],3,FALSE),0)</f>
        <v>3848980803.1642323</v>
      </c>
      <c r="AH279" s="246">
        <f>IFERROR(VLOOKUP(F279,PROGRAMAS[],3,FALSE),0)</f>
        <v>3394901471.387517</v>
      </c>
      <c r="AI279" s="246">
        <f>IFERROR(VLOOKUP(G279,PROGRAMAS[],3,FALSE),0)</f>
        <v>125317226.95549992</v>
      </c>
      <c r="AJ279" s="246">
        <f>IFERROR(VLOOKUP(H279,PROGRAMAS[],3,FALSE),0)</f>
        <v>6129902208.7912121</v>
      </c>
      <c r="AK279" s="246">
        <f>IFERROR(VLOOKUP(I279,PROGRAMAS[],3,FALSE),0)</f>
        <v>4099471734.9978786</v>
      </c>
      <c r="AL279" s="246">
        <f>IFERROR(VLOOKUP(J279,PROGRAMAS[],3,FALSE),0)</f>
        <v>118617452.52510804</v>
      </c>
      <c r="AM279" s="246">
        <f>IFERROR(VLOOKUP(K279,PROGRAMAS[],3,FALSE),0)</f>
        <v>0</v>
      </c>
      <c r="AN279" s="246">
        <f>IFERROR(VLOOKUP(L279,PROGRAMAS[],3,FALSE),0)</f>
        <v>0</v>
      </c>
      <c r="AO279" s="246">
        <f>IFERROR(VLOOKUP(M279,PROGRAMAS[],3,FALSE),0)</f>
        <v>0</v>
      </c>
      <c r="AP279" s="246">
        <f>IFERROR(VLOOKUP(N279,PROGRAMAS[],3,FALSE),0)</f>
        <v>0</v>
      </c>
      <c r="AQ279" s="246">
        <f>IFERROR(VLOOKUP(O279,PROGRAMAS[],3,FALSE),0)</f>
        <v>0</v>
      </c>
      <c r="AR279" s="246">
        <f>IFERROR(VLOOKUP(P279,PROGRAMAS[],3,FALSE),0)</f>
        <v>0</v>
      </c>
      <c r="AS279" s="246">
        <f>IFERROR(VLOOKUP(Q279,PROGRAMAS[],3,FALSE),0)</f>
        <v>0</v>
      </c>
      <c r="AT279" s="246">
        <f>IFERROR(VLOOKUP(D279,VOL_REC[],2,FALSE),0)</f>
        <v>0</v>
      </c>
      <c r="AU279" s="246">
        <f>IFERROR(VLOOKUP(E279,VOL_REC[],2,FALSE),0)</f>
        <v>0</v>
      </c>
      <c r="AV279" s="246">
        <f>IFERROR(VLOOKUP(F279,VOL_REC[],2,FALSE),0)</f>
        <v>11089674.200000001</v>
      </c>
      <c r="AW279" s="246">
        <f>IFERROR(VLOOKUP(G279,VOL_REC[],2,FALSE),0)</f>
        <v>90439.55</v>
      </c>
      <c r="AX279" s="246">
        <f>IFERROR(VLOOKUP(H279,VOL_REC[],2,FALSE),0)</f>
        <v>15540036.397699751</v>
      </c>
      <c r="AY279" s="246">
        <f>IFERROR(VLOOKUP(I279,VOL_REC[],2,FALSE),0)</f>
        <v>1812240</v>
      </c>
      <c r="AZ279" s="246">
        <f>IFERROR(VLOOKUP(J279,VOL_REC[],2,FALSE),0)</f>
        <v>105072</v>
      </c>
      <c r="BA279" s="246">
        <f>IFERROR(VLOOKUP(K279,VOL_REC[],2,FALSE),0)</f>
        <v>0</v>
      </c>
      <c r="BB279" s="246">
        <f>IFERROR(VLOOKUP(L279,VOL_REC[],2,FALSE),0)</f>
        <v>0</v>
      </c>
      <c r="BC279" s="246">
        <f>IFERROR(VLOOKUP(M279,VOL_REC[],2,FALSE),0)</f>
        <v>0</v>
      </c>
      <c r="BD279" s="246">
        <f>IFERROR(VLOOKUP(N279,VOL_REC[],2,FALSE),0)</f>
        <v>0</v>
      </c>
      <c r="BE279" s="246">
        <f>IFERROR(VLOOKUP(O279,VOL_REC[],2,FALSE),0)</f>
        <v>0</v>
      </c>
      <c r="BF279" s="246">
        <f>IFERROR(VLOOKUP(P279,VOL_REC[],2,FALSE),0)</f>
        <v>0</v>
      </c>
      <c r="BG279" s="246">
        <f>IFERROR(VLOOKUP(Q279,VOL_REC[],2,FALSE),0)</f>
        <v>0</v>
      </c>
      <c r="BH279" s="1710">
        <f t="shared" si="16"/>
        <v>15532687366.230389</v>
      </c>
      <c r="BI279" s="1710">
        <f t="shared" si="17"/>
        <v>18559079527.132248</v>
      </c>
      <c r="BJ279" s="1711">
        <f t="shared" si="18"/>
        <v>28637462.147699751</v>
      </c>
      <c r="BK279" s="1711">
        <f t="shared" si="19"/>
        <v>0.83693199027045184</v>
      </c>
    </row>
    <row r="280" spans="3:67" x14ac:dyDescent="0.25">
      <c r="C280" s="246" t="s">
        <v>1630</v>
      </c>
      <c r="D280" s="246">
        <v>1</v>
      </c>
      <c r="E280" s="246">
        <v>2</v>
      </c>
      <c r="F280" s="246">
        <v>3</v>
      </c>
      <c r="G280" s="246">
        <v>4</v>
      </c>
      <c r="H280" s="246">
        <v>6</v>
      </c>
      <c r="I280" s="246">
        <v>10</v>
      </c>
      <c r="J280" s="246">
        <v>16</v>
      </c>
      <c r="K280" s="246"/>
      <c r="L280" s="246"/>
      <c r="M280" s="246"/>
      <c r="N280" s="246"/>
      <c r="O280" s="246"/>
      <c r="P280" s="246"/>
      <c r="Q280" s="246"/>
      <c r="R280" s="246">
        <f>IFERROR(VLOOKUP(D280,PROGRAMAS[],2,FALSE),0)</f>
        <v>97037803.679377079</v>
      </c>
      <c r="S280" s="246">
        <f>IFERROR(VLOOKUP(E280,PROGRAMAS[],2,FALSE),0)</f>
        <v>640501509.6821388</v>
      </c>
      <c r="T280" s="246">
        <f>IFERROR(VLOOKUP(F280,PROGRAMAS[],2,FALSE),0)</f>
        <v>3062327798.1525245</v>
      </c>
      <c r="U280" s="246">
        <f>IFERROR(VLOOKUP(G280,PROGRAMAS[],2,FALSE),0)</f>
        <v>67697118.033011258</v>
      </c>
      <c r="V280" s="246">
        <f>IFERROR(VLOOKUP(H280,PROGRAMAS[],2,FALSE),0)</f>
        <v>6907648435.8447599</v>
      </c>
      <c r="W280" s="246">
        <f>IFERROR(VLOOKUP(I280,PROGRAMAS[],2,FALSE),0)</f>
        <v>4635315027.8751087</v>
      </c>
      <c r="X280" s="246">
        <f>IFERROR(VLOOKUP(J280,PROGRAMAS[],2,FALSE),0)</f>
        <v>7068496961.0436354</v>
      </c>
      <c r="Y280" s="246">
        <f>IFERROR(VLOOKUP(K280,PROGRAMAS[],2,FALSE),0)</f>
        <v>0</v>
      </c>
      <c r="Z280" s="246">
        <f>IFERROR(VLOOKUP(L280,PROGRAMAS[],2,FALSE),0)</f>
        <v>0</v>
      </c>
      <c r="AA280" s="246">
        <f>IFERROR(VLOOKUP(M280,PROGRAMAS[],2,FALSE),0)</f>
        <v>0</v>
      </c>
      <c r="AB280" s="246">
        <f>IFERROR(VLOOKUP(N280,PROGRAMAS[],2,FALSE),0)</f>
        <v>0</v>
      </c>
      <c r="AC280" s="246">
        <f>IFERROR(VLOOKUP(O280,PROGRAMAS[],2,FALSE),0)</f>
        <v>0</v>
      </c>
      <c r="AD280" s="246">
        <f>IFERROR(VLOOKUP(P280,PROGRAMAS[],2,FALSE),0)</f>
        <v>0</v>
      </c>
      <c r="AE280" s="246">
        <f>IFERROR(VLOOKUP(Q280,PROGRAMAS[],2,FALSE),0)</f>
        <v>0</v>
      </c>
      <c r="AF280" s="246">
        <f>IFERROR(VLOOKUP(D280,PROGRAMAS[],3,FALSE),0)</f>
        <v>841888629.31080008</v>
      </c>
      <c r="AG280" s="246">
        <f>IFERROR(VLOOKUP(E280,PROGRAMAS[],3,FALSE),0)</f>
        <v>3848980803.1642323</v>
      </c>
      <c r="AH280" s="246">
        <f>IFERROR(VLOOKUP(F280,PROGRAMAS[],3,FALSE),0)</f>
        <v>3394901471.387517</v>
      </c>
      <c r="AI280" s="246">
        <f>IFERROR(VLOOKUP(G280,PROGRAMAS[],3,FALSE),0)</f>
        <v>125317226.95549992</v>
      </c>
      <c r="AJ280" s="246">
        <f>IFERROR(VLOOKUP(H280,PROGRAMAS[],3,FALSE),0)</f>
        <v>6129902208.7912121</v>
      </c>
      <c r="AK280" s="246">
        <f>IFERROR(VLOOKUP(I280,PROGRAMAS[],3,FALSE),0)</f>
        <v>4099471734.9978786</v>
      </c>
      <c r="AL280" s="246">
        <f>IFERROR(VLOOKUP(J280,PROGRAMAS[],3,FALSE),0)</f>
        <v>2406564599.0319901</v>
      </c>
      <c r="AM280" s="246">
        <f>IFERROR(VLOOKUP(K280,PROGRAMAS[],3,FALSE),0)</f>
        <v>0</v>
      </c>
      <c r="AN280" s="246">
        <f>IFERROR(VLOOKUP(L280,PROGRAMAS[],3,FALSE),0)</f>
        <v>0</v>
      </c>
      <c r="AO280" s="246">
        <f>IFERROR(VLOOKUP(M280,PROGRAMAS[],3,FALSE),0)</f>
        <v>0</v>
      </c>
      <c r="AP280" s="246">
        <f>IFERROR(VLOOKUP(N280,PROGRAMAS[],3,FALSE),0)</f>
        <v>0</v>
      </c>
      <c r="AQ280" s="246">
        <f>IFERROR(VLOOKUP(O280,PROGRAMAS[],3,FALSE),0)</f>
        <v>0</v>
      </c>
      <c r="AR280" s="246">
        <f>IFERROR(VLOOKUP(P280,PROGRAMAS[],3,FALSE),0)</f>
        <v>0</v>
      </c>
      <c r="AS280" s="246">
        <f>IFERROR(VLOOKUP(Q280,PROGRAMAS[],3,FALSE),0)</f>
        <v>0</v>
      </c>
      <c r="AT280" s="246">
        <f>IFERROR(VLOOKUP(D280,VOL_REC[],2,FALSE),0)</f>
        <v>0</v>
      </c>
      <c r="AU280" s="246">
        <f>IFERROR(VLOOKUP(E280,VOL_REC[],2,FALSE),0)</f>
        <v>0</v>
      </c>
      <c r="AV280" s="246">
        <f>IFERROR(VLOOKUP(F280,VOL_REC[],2,FALSE),0)</f>
        <v>11089674.200000001</v>
      </c>
      <c r="AW280" s="246">
        <f>IFERROR(VLOOKUP(G280,VOL_REC[],2,FALSE),0)</f>
        <v>90439.55</v>
      </c>
      <c r="AX280" s="246">
        <f>IFERROR(VLOOKUP(H280,VOL_REC[],2,FALSE),0)</f>
        <v>15540036.397699751</v>
      </c>
      <c r="AY280" s="246">
        <f>IFERROR(VLOOKUP(I280,VOL_REC[],2,FALSE),0)</f>
        <v>1812240</v>
      </c>
      <c r="AZ280" s="246">
        <f>IFERROR(VLOOKUP(J280,VOL_REC[],2,FALSE),0)</f>
        <v>1072354.9981737854</v>
      </c>
      <c r="BA280" s="246">
        <f>IFERROR(VLOOKUP(K280,VOL_REC[],2,FALSE),0)</f>
        <v>0</v>
      </c>
      <c r="BB280" s="246">
        <f>IFERROR(VLOOKUP(L280,VOL_REC[],2,FALSE),0)</f>
        <v>0</v>
      </c>
      <c r="BC280" s="246">
        <f>IFERROR(VLOOKUP(M280,VOL_REC[],2,FALSE),0)</f>
        <v>0</v>
      </c>
      <c r="BD280" s="246">
        <f>IFERROR(VLOOKUP(N280,VOL_REC[],2,FALSE),0)</f>
        <v>0</v>
      </c>
      <c r="BE280" s="246">
        <f>IFERROR(VLOOKUP(O280,VOL_REC[],2,FALSE),0)</f>
        <v>0</v>
      </c>
      <c r="BF280" s="246">
        <f>IFERROR(VLOOKUP(P280,VOL_REC[],2,FALSE),0)</f>
        <v>0</v>
      </c>
      <c r="BG280" s="246">
        <f>IFERROR(VLOOKUP(Q280,VOL_REC[],2,FALSE),0)</f>
        <v>0</v>
      </c>
      <c r="BH280" s="1710">
        <f t="shared" si="16"/>
        <v>22479024654.310555</v>
      </c>
      <c r="BI280" s="1710">
        <f t="shared" si="17"/>
        <v>20847026673.63913</v>
      </c>
      <c r="BJ280" s="1711">
        <f t="shared" si="18"/>
        <v>29604745.145873535</v>
      </c>
      <c r="BK280" s="1711">
        <f t="shared" si="19"/>
        <v>1.0782844482438865</v>
      </c>
      <c r="BL280">
        <f>BJ280</f>
        <v>29604745.145873535</v>
      </c>
      <c r="BO280">
        <f>BL280</f>
        <v>29604745.145873535</v>
      </c>
    </row>
    <row r="281" spans="3:67" x14ac:dyDescent="0.25">
      <c r="C281" s="246" t="s">
        <v>1631</v>
      </c>
      <c r="D281" s="246">
        <v>1</v>
      </c>
      <c r="E281" s="246">
        <v>2</v>
      </c>
      <c r="F281" s="246">
        <v>3</v>
      </c>
      <c r="G281" s="246">
        <v>4</v>
      </c>
      <c r="H281" s="246">
        <v>6</v>
      </c>
      <c r="I281" s="246">
        <v>10</v>
      </c>
      <c r="J281" s="246">
        <v>17</v>
      </c>
      <c r="K281" s="246"/>
      <c r="L281" s="246"/>
      <c r="M281" s="246"/>
      <c r="N281" s="246"/>
      <c r="O281" s="246"/>
      <c r="P281" s="246"/>
      <c r="Q281" s="246"/>
      <c r="R281" s="246">
        <f>IFERROR(VLOOKUP(D281,PROGRAMAS[],2,FALSE),0)</f>
        <v>97037803.679377079</v>
      </c>
      <c r="S281" s="246">
        <f>IFERROR(VLOOKUP(E281,PROGRAMAS[],2,FALSE),0)</f>
        <v>640501509.6821388</v>
      </c>
      <c r="T281" s="246">
        <f>IFERROR(VLOOKUP(F281,PROGRAMAS[],2,FALSE),0)</f>
        <v>3062327798.1525245</v>
      </c>
      <c r="U281" s="246">
        <f>IFERROR(VLOOKUP(G281,PROGRAMAS[],2,FALSE),0)</f>
        <v>67697118.033011258</v>
      </c>
      <c r="V281" s="246">
        <f>IFERROR(VLOOKUP(H281,PROGRAMAS[],2,FALSE),0)</f>
        <v>6907648435.8447599</v>
      </c>
      <c r="W281" s="246">
        <f>IFERROR(VLOOKUP(I281,PROGRAMAS[],2,FALSE),0)</f>
        <v>4635315027.8751087</v>
      </c>
      <c r="X281" s="246">
        <f>IFERROR(VLOOKUP(J281,PROGRAMAS[],2,FALSE),0)</f>
        <v>1892779498.5211046</v>
      </c>
      <c r="Y281" s="246">
        <f>IFERROR(VLOOKUP(K281,PROGRAMAS[],2,FALSE),0)</f>
        <v>0</v>
      </c>
      <c r="Z281" s="246">
        <f>IFERROR(VLOOKUP(L281,PROGRAMAS[],2,FALSE),0)</f>
        <v>0</v>
      </c>
      <c r="AA281" s="246">
        <f>IFERROR(VLOOKUP(M281,PROGRAMAS[],2,FALSE),0)</f>
        <v>0</v>
      </c>
      <c r="AB281" s="246">
        <f>IFERROR(VLOOKUP(N281,PROGRAMAS[],2,FALSE),0)</f>
        <v>0</v>
      </c>
      <c r="AC281" s="246">
        <f>IFERROR(VLOOKUP(O281,PROGRAMAS[],2,FALSE),0)</f>
        <v>0</v>
      </c>
      <c r="AD281" s="246">
        <f>IFERROR(VLOOKUP(P281,PROGRAMAS[],2,FALSE),0)</f>
        <v>0</v>
      </c>
      <c r="AE281" s="246">
        <f>IFERROR(VLOOKUP(Q281,PROGRAMAS[],2,FALSE),0)</f>
        <v>0</v>
      </c>
      <c r="AF281" s="246">
        <f>IFERROR(VLOOKUP(D281,PROGRAMAS[],3,FALSE),0)</f>
        <v>841888629.31080008</v>
      </c>
      <c r="AG281" s="246">
        <f>IFERROR(VLOOKUP(E281,PROGRAMAS[],3,FALSE),0)</f>
        <v>3848980803.1642323</v>
      </c>
      <c r="AH281" s="246">
        <f>IFERROR(VLOOKUP(F281,PROGRAMAS[],3,FALSE),0)</f>
        <v>3394901471.387517</v>
      </c>
      <c r="AI281" s="246">
        <f>IFERROR(VLOOKUP(G281,PROGRAMAS[],3,FALSE),0)</f>
        <v>125317226.95549992</v>
      </c>
      <c r="AJ281" s="246">
        <f>IFERROR(VLOOKUP(H281,PROGRAMAS[],3,FALSE),0)</f>
        <v>6129902208.7912121</v>
      </c>
      <c r="AK281" s="246">
        <f>IFERROR(VLOOKUP(I281,PROGRAMAS[],3,FALSE),0)</f>
        <v>4099471734.9978786</v>
      </c>
      <c r="AL281" s="246">
        <f>IFERROR(VLOOKUP(J281,PROGRAMAS[],3,FALSE),0)</f>
        <v>948595847.09039903</v>
      </c>
      <c r="AM281" s="246">
        <f>IFERROR(VLOOKUP(K281,PROGRAMAS[],3,FALSE),0)</f>
        <v>0</v>
      </c>
      <c r="AN281" s="246">
        <f>IFERROR(VLOOKUP(L281,PROGRAMAS[],3,FALSE),0)</f>
        <v>0</v>
      </c>
      <c r="AO281" s="246">
        <f>IFERROR(VLOOKUP(M281,PROGRAMAS[],3,FALSE),0)</f>
        <v>0</v>
      </c>
      <c r="AP281" s="246">
        <f>IFERROR(VLOOKUP(N281,PROGRAMAS[],3,FALSE),0)</f>
        <v>0</v>
      </c>
      <c r="AQ281" s="246">
        <f>IFERROR(VLOOKUP(O281,PROGRAMAS[],3,FALSE),0)</f>
        <v>0</v>
      </c>
      <c r="AR281" s="246">
        <f>IFERROR(VLOOKUP(P281,PROGRAMAS[],3,FALSE),0)</f>
        <v>0</v>
      </c>
      <c r="AS281" s="246">
        <f>IFERROR(VLOOKUP(Q281,PROGRAMAS[],3,FALSE),0)</f>
        <v>0</v>
      </c>
      <c r="AT281" s="246">
        <f>IFERROR(VLOOKUP(D281,VOL_REC[],2,FALSE),0)</f>
        <v>0</v>
      </c>
      <c r="AU281" s="246">
        <f>IFERROR(VLOOKUP(E281,VOL_REC[],2,FALSE),0)</f>
        <v>0</v>
      </c>
      <c r="AV281" s="246">
        <f>IFERROR(VLOOKUP(F281,VOL_REC[],2,FALSE),0)</f>
        <v>11089674.200000001</v>
      </c>
      <c r="AW281" s="246">
        <f>IFERROR(VLOOKUP(G281,VOL_REC[],2,FALSE),0)</f>
        <v>90439.55</v>
      </c>
      <c r="AX281" s="246">
        <f>IFERROR(VLOOKUP(H281,VOL_REC[],2,FALSE),0)</f>
        <v>15540036.397699751</v>
      </c>
      <c r="AY281" s="246">
        <f>IFERROR(VLOOKUP(I281,VOL_REC[],2,FALSE),0)</f>
        <v>1812240</v>
      </c>
      <c r="AZ281" s="246">
        <f>IFERROR(VLOOKUP(J281,VOL_REC[],2,FALSE),0)</f>
        <v>740113.98115702497</v>
      </c>
      <c r="BA281" s="246">
        <f>IFERROR(VLOOKUP(K281,VOL_REC[],2,FALSE),0)</f>
        <v>0</v>
      </c>
      <c r="BB281" s="246">
        <f>IFERROR(VLOOKUP(L281,VOL_REC[],2,FALSE),0)</f>
        <v>0</v>
      </c>
      <c r="BC281" s="246">
        <f>IFERROR(VLOOKUP(M281,VOL_REC[],2,FALSE),0)</f>
        <v>0</v>
      </c>
      <c r="BD281" s="246">
        <f>IFERROR(VLOOKUP(N281,VOL_REC[],2,FALSE),0)</f>
        <v>0</v>
      </c>
      <c r="BE281" s="246">
        <f>IFERROR(VLOOKUP(O281,VOL_REC[],2,FALSE),0)</f>
        <v>0</v>
      </c>
      <c r="BF281" s="246">
        <f>IFERROR(VLOOKUP(P281,VOL_REC[],2,FALSE),0)</f>
        <v>0</v>
      </c>
      <c r="BG281" s="246">
        <f>IFERROR(VLOOKUP(Q281,VOL_REC[],2,FALSE),0)</f>
        <v>0</v>
      </c>
      <c r="BH281" s="1710">
        <f t="shared" si="16"/>
        <v>17303307191.788025</v>
      </c>
      <c r="BI281" s="1710">
        <f t="shared" si="17"/>
        <v>19389057921.69754</v>
      </c>
      <c r="BJ281" s="1711">
        <f t="shared" si="18"/>
        <v>29272504.128856774</v>
      </c>
      <c r="BK281" s="1711">
        <f t="shared" si="19"/>
        <v>0.89242640161616971</v>
      </c>
    </row>
    <row r="282" spans="3:67" x14ac:dyDescent="0.25">
      <c r="C282" s="246" t="s">
        <v>1632</v>
      </c>
      <c r="D282" s="246">
        <v>1</v>
      </c>
      <c r="E282" s="246">
        <v>2</v>
      </c>
      <c r="F282" s="246">
        <v>3</v>
      </c>
      <c r="G282" s="246">
        <v>4</v>
      </c>
      <c r="H282" s="246">
        <v>6</v>
      </c>
      <c r="I282" s="246">
        <v>12</v>
      </c>
      <c r="J282" s="246">
        <v>13</v>
      </c>
      <c r="K282" s="246"/>
      <c r="L282" s="246"/>
      <c r="M282" s="246"/>
      <c r="N282" s="246"/>
      <c r="O282" s="246"/>
      <c r="P282" s="246"/>
      <c r="Q282" s="246"/>
      <c r="R282" s="246">
        <f>IFERROR(VLOOKUP(D282,PROGRAMAS[],2,FALSE),0)</f>
        <v>97037803.679377079</v>
      </c>
      <c r="S282" s="246">
        <f>IFERROR(VLOOKUP(E282,PROGRAMAS[],2,FALSE),0)</f>
        <v>640501509.6821388</v>
      </c>
      <c r="T282" s="246">
        <f>IFERROR(VLOOKUP(F282,PROGRAMAS[],2,FALSE),0)</f>
        <v>3062327798.1525245</v>
      </c>
      <c r="U282" s="246">
        <f>IFERROR(VLOOKUP(G282,PROGRAMAS[],2,FALSE),0)</f>
        <v>67697118.033011258</v>
      </c>
      <c r="V282" s="246">
        <f>IFERROR(VLOOKUP(H282,PROGRAMAS[],2,FALSE),0)</f>
        <v>6907648435.8447599</v>
      </c>
      <c r="W282" s="246">
        <f>IFERROR(VLOOKUP(I282,PROGRAMAS[],2,FALSE),0)</f>
        <v>764796700.79905891</v>
      </c>
      <c r="X282" s="246">
        <f>IFERROR(VLOOKUP(J282,PROGRAMAS[],2,FALSE),0)</f>
        <v>3776538594.4604583</v>
      </c>
      <c r="Y282" s="246">
        <f>IFERROR(VLOOKUP(K282,PROGRAMAS[],2,FALSE),0)</f>
        <v>0</v>
      </c>
      <c r="Z282" s="246">
        <f>IFERROR(VLOOKUP(L282,PROGRAMAS[],2,FALSE),0)</f>
        <v>0</v>
      </c>
      <c r="AA282" s="246">
        <f>IFERROR(VLOOKUP(M282,PROGRAMAS[],2,FALSE),0)</f>
        <v>0</v>
      </c>
      <c r="AB282" s="246">
        <f>IFERROR(VLOOKUP(N282,PROGRAMAS[],2,FALSE),0)</f>
        <v>0</v>
      </c>
      <c r="AC282" s="246">
        <f>IFERROR(VLOOKUP(O282,PROGRAMAS[],2,FALSE),0)</f>
        <v>0</v>
      </c>
      <c r="AD282" s="246">
        <f>IFERROR(VLOOKUP(P282,PROGRAMAS[],2,FALSE),0)</f>
        <v>0</v>
      </c>
      <c r="AE282" s="246">
        <f>IFERROR(VLOOKUP(Q282,PROGRAMAS[],2,FALSE),0)</f>
        <v>0</v>
      </c>
      <c r="AF282" s="246">
        <f>IFERROR(VLOOKUP(D282,PROGRAMAS[],3,FALSE),0)</f>
        <v>841888629.31080008</v>
      </c>
      <c r="AG282" s="246">
        <f>IFERROR(VLOOKUP(E282,PROGRAMAS[],3,FALSE),0)</f>
        <v>3848980803.1642323</v>
      </c>
      <c r="AH282" s="246">
        <f>IFERROR(VLOOKUP(F282,PROGRAMAS[],3,FALSE),0)</f>
        <v>3394901471.387517</v>
      </c>
      <c r="AI282" s="246">
        <f>IFERROR(VLOOKUP(G282,PROGRAMAS[],3,FALSE),0)</f>
        <v>125317226.95549992</v>
      </c>
      <c r="AJ282" s="246">
        <f>IFERROR(VLOOKUP(H282,PROGRAMAS[],3,FALSE),0)</f>
        <v>6129902208.7912121</v>
      </c>
      <c r="AK282" s="246">
        <f>IFERROR(VLOOKUP(I282,PROGRAMAS[],3,FALSE),0)</f>
        <v>675517840.109828</v>
      </c>
      <c r="AL282" s="246">
        <f>IFERROR(VLOOKUP(J282,PROGRAMAS[],3,FALSE),0)</f>
        <v>2392571243.5584412</v>
      </c>
      <c r="AM282" s="246">
        <f>IFERROR(VLOOKUP(K282,PROGRAMAS[],3,FALSE),0)</f>
        <v>0</v>
      </c>
      <c r="AN282" s="246">
        <f>IFERROR(VLOOKUP(L282,PROGRAMAS[],3,FALSE),0)</f>
        <v>0</v>
      </c>
      <c r="AO282" s="246">
        <f>IFERROR(VLOOKUP(M282,PROGRAMAS[],3,FALSE),0)</f>
        <v>0</v>
      </c>
      <c r="AP282" s="246">
        <f>IFERROR(VLOOKUP(N282,PROGRAMAS[],3,FALSE),0)</f>
        <v>0</v>
      </c>
      <c r="AQ282" s="246">
        <f>IFERROR(VLOOKUP(O282,PROGRAMAS[],3,FALSE),0)</f>
        <v>0</v>
      </c>
      <c r="AR282" s="246">
        <f>IFERROR(VLOOKUP(P282,PROGRAMAS[],3,FALSE),0)</f>
        <v>0</v>
      </c>
      <c r="AS282" s="246">
        <f>IFERROR(VLOOKUP(Q282,PROGRAMAS[],3,FALSE),0)</f>
        <v>0</v>
      </c>
      <c r="AT282" s="246">
        <f>IFERROR(VLOOKUP(D282,VOL_REC[],2,FALSE),0)</f>
        <v>0</v>
      </c>
      <c r="AU282" s="246">
        <f>IFERROR(VLOOKUP(E282,VOL_REC[],2,FALSE),0)</f>
        <v>0</v>
      </c>
      <c r="AV282" s="246">
        <f>IFERROR(VLOOKUP(F282,VOL_REC[],2,FALSE),0)</f>
        <v>11089674.200000001</v>
      </c>
      <c r="AW282" s="246">
        <f>IFERROR(VLOOKUP(G282,VOL_REC[],2,FALSE),0)</f>
        <v>90439.55</v>
      </c>
      <c r="AX282" s="246">
        <f>IFERROR(VLOOKUP(H282,VOL_REC[],2,FALSE),0)</f>
        <v>15540036.397699751</v>
      </c>
      <c r="AY282" s="246">
        <f>IFERROR(VLOOKUP(I282,VOL_REC[],2,FALSE),0)</f>
        <v>240696.79238099116</v>
      </c>
      <c r="AZ282" s="246">
        <f>IFERROR(VLOOKUP(J282,VOL_REC[],2,FALSE),0)</f>
        <v>663244.80000000016</v>
      </c>
      <c r="BA282" s="246">
        <f>IFERROR(VLOOKUP(K282,VOL_REC[],2,FALSE),0)</f>
        <v>0</v>
      </c>
      <c r="BB282" s="246">
        <f>IFERROR(VLOOKUP(L282,VOL_REC[],2,FALSE),0)</f>
        <v>0</v>
      </c>
      <c r="BC282" s="246">
        <f>IFERROR(VLOOKUP(M282,VOL_REC[],2,FALSE),0)</f>
        <v>0</v>
      </c>
      <c r="BD282" s="246">
        <f>IFERROR(VLOOKUP(N282,VOL_REC[],2,FALSE),0)</f>
        <v>0</v>
      </c>
      <c r="BE282" s="246">
        <f>IFERROR(VLOOKUP(O282,VOL_REC[],2,FALSE),0)</f>
        <v>0</v>
      </c>
      <c r="BF282" s="246">
        <f>IFERROR(VLOOKUP(P282,VOL_REC[],2,FALSE),0)</f>
        <v>0</v>
      </c>
      <c r="BG282" s="246">
        <f>IFERROR(VLOOKUP(Q282,VOL_REC[],2,FALSE),0)</f>
        <v>0</v>
      </c>
      <c r="BH282" s="1710">
        <f t="shared" si="16"/>
        <v>15316547960.651329</v>
      </c>
      <c r="BI282" s="1710">
        <f t="shared" si="17"/>
        <v>17409079423.277531</v>
      </c>
      <c r="BJ282" s="1711">
        <f t="shared" si="18"/>
        <v>27624091.740080744</v>
      </c>
      <c r="BK282" s="1711">
        <f t="shared" si="19"/>
        <v>0.8798022909914297</v>
      </c>
    </row>
    <row r="283" spans="3:67" x14ac:dyDescent="0.25">
      <c r="C283" s="246" t="s">
        <v>1633</v>
      </c>
      <c r="D283" s="246">
        <v>1</v>
      </c>
      <c r="E283" s="246">
        <v>2</v>
      </c>
      <c r="F283" s="246">
        <v>3</v>
      </c>
      <c r="G283" s="246">
        <v>4</v>
      </c>
      <c r="H283" s="246">
        <v>6</v>
      </c>
      <c r="I283" s="246">
        <v>12</v>
      </c>
      <c r="J283" s="246">
        <v>14</v>
      </c>
      <c r="K283" s="246"/>
      <c r="L283" s="246"/>
      <c r="M283" s="246"/>
      <c r="N283" s="246"/>
      <c r="O283" s="246"/>
      <c r="P283" s="246"/>
      <c r="Q283" s="246"/>
      <c r="R283" s="246">
        <f>IFERROR(VLOOKUP(D283,PROGRAMAS[],2,FALSE),0)</f>
        <v>97037803.679377079</v>
      </c>
      <c r="S283" s="246">
        <f>IFERROR(VLOOKUP(E283,PROGRAMAS[],2,FALSE),0)</f>
        <v>640501509.6821388</v>
      </c>
      <c r="T283" s="246">
        <f>IFERROR(VLOOKUP(F283,PROGRAMAS[],2,FALSE),0)</f>
        <v>3062327798.1525245</v>
      </c>
      <c r="U283" s="246">
        <f>IFERROR(VLOOKUP(G283,PROGRAMAS[],2,FALSE),0)</f>
        <v>67697118.033011258</v>
      </c>
      <c r="V283" s="246">
        <f>IFERROR(VLOOKUP(H283,PROGRAMAS[],2,FALSE),0)</f>
        <v>6907648435.8447599</v>
      </c>
      <c r="W283" s="246">
        <f>IFERROR(VLOOKUP(I283,PROGRAMAS[],2,FALSE),0)</f>
        <v>764796700.79905891</v>
      </c>
      <c r="X283" s="246">
        <f>IFERROR(VLOOKUP(J283,PROGRAMAS[],2,FALSE),0)</f>
        <v>54223862.645839565</v>
      </c>
      <c r="Y283" s="246">
        <f>IFERROR(VLOOKUP(K283,PROGRAMAS[],2,FALSE),0)</f>
        <v>0</v>
      </c>
      <c r="Z283" s="246">
        <f>IFERROR(VLOOKUP(L283,PROGRAMAS[],2,FALSE),0)</f>
        <v>0</v>
      </c>
      <c r="AA283" s="246">
        <f>IFERROR(VLOOKUP(M283,PROGRAMAS[],2,FALSE),0)</f>
        <v>0</v>
      </c>
      <c r="AB283" s="246">
        <f>IFERROR(VLOOKUP(N283,PROGRAMAS[],2,FALSE),0)</f>
        <v>0</v>
      </c>
      <c r="AC283" s="246">
        <f>IFERROR(VLOOKUP(O283,PROGRAMAS[],2,FALSE),0)</f>
        <v>0</v>
      </c>
      <c r="AD283" s="246">
        <f>IFERROR(VLOOKUP(P283,PROGRAMAS[],2,FALSE),0)</f>
        <v>0</v>
      </c>
      <c r="AE283" s="246">
        <f>IFERROR(VLOOKUP(Q283,PROGRAMAS[],2,FALSE),0)</f>
        <v>0</v>
      </c>
      <c r="AF283" s="246">
        <f>IFERROR(VLOOKUP(D283,PROGRAMAS[],3,FALSE),0)</f>
        <v>841888629.31080008</v>
      </c>
      <c r="AG283" s="246">
        <f>IFERROR(VLOOKUP(E283,PROGRAMAS[],3,FALSE),0)</f>
        <v>3848980803.1642323</v>
      </c>
      <c r="AH283" s="246">
        <f>IFERROR(VLOOKUP(F283,PROGRAMAS[],3,FALSE),0)</f>
        <v>3394901471.387517</v>
      </c>
      <c r="AI283" s="246">
        <f>IFERROR(VLOOKUP(G283,PROGRAMAS[],3,FALSE),0)</f>
        <v>125317226.95549992</v>
      </c>
      <c r="AJ283" s="246">
        <f>IFERROR(VLOOKUP(H283,PROGRAMAS[],3,FALSE),0)</f>
        <v>6129902208.7912121</v>
      </c>
      <c r="AK283" s="246">
        <f>IFERROR(VLOOKUP(I283,PROGRAMAS[],3,FALSE),0)</f>
        <v>675517840.109828</v>
      </c>
      <c r="AL283" s="246">
        <f>IFERROR(VLOOKUP(J283,PROGRAMAS[],3,FALSE),0)</f>
        <v>31865326.38096505</v>
      </c>
      <c r="AM283" s="246">
        <f>IFERROR(VLOOKUP(K283,PROGRAMAS[],3,FALSE),0)</f>
        <v>0</v>
      </c>
      <c r="AN283" s="246">
        <f>IFERROR(VLOOKUP(L283,PROGRAMAS[],3,FALSE),0)</f>
        <v>0</v>
      </c>
      <c r="AO283" s="246">
        <f>IFERROR(VLOOKUP(M283,PROGRAMAS[],3,FALSE),0)</f>
        <v>0</v>
      </c>
      <c r="AP283" s="246">
        <f>IFERROR(VLOOKUP(N283,PROGRAMAS[],3,FALSE),0)</f>
        <v>0</v>
      </c>
      <c r="AQ283" s="246">
        <f>IFERROR(VLOOKUP(O283,PROGRAMAS[],3,FALSE),0)</f>
        <v>0</v>
      </c>
      <c r="AR283" s="246">
        <f>IFERROR(VLOOKUP(P283,PROGRAMAS[],3,FALSE),0)</f>
        <v>0</v>
      </c>
      <c r="AS283" s="246">
        <f>IFERROR(VLOOKUP(Q283,PROGRAMAS[],3,FALSE),0)</f>
        <v>0</v>
      </c>
      <c r="AT283" s="246">
        <f>IFERROR(VLOOKUP(D283,VOL_REC[],2,FALSE),0)</f>
        <v>0</v>
      </c>
      <c r="AU283" s="246">
        <f>IFERROR(VLOOKUP(E283,VOL_REC[],2,FALSE),0)</f>
        <v>0</v>
      </c>
      <c r="AV283" s="246">
        <f>IFERROR(VLOOKUP(F283,VOL_REC[],2,FALSE),0)</f>
        <v>11089674.200000001</v>
      </c>
      <c r="AW283" s="246">
        <f>IFERROR(VLOOKUP(G283,VOL_REC[],2,FALSE),0)</f>
        <v>90439.55</v>
      </c>
      <c r="AX283" s="246">
        <f>IFERROR(VLOOKUP(H283,VOL_REC[],2,FALSE),0)</f>
        <v>15540036.397699751</v>
      </c>
      <c r="AY283" s="246">
        <f>IFERROR(VLOOKUP(I283,VOL_REC[],2,FALSE),0)</f>
        <v>240696.79238099116</v>
      </c>
      <c r="AZ283" s="246">
        <f>IFERROR(VLOOKUP(J283,VOL_REC[],2,FALSE),0)</f>
        <v>17074.045034105649</v>
      </c>
      <c r="BA283" s="246">
        <f>IFERROR(VLOOKUP(K283,VOL_REC[],2,FALSE),0)</f>
        <v>0</v>
      </c>
      <c r="BB283" s="246">
        <f>IFERROR(VLOOKUP(L283,VOL_REC[],2,FALSE),0)</f>
        <v>0</v>
      </c>
      <c r="BC283" s="246">
        <f>IFERROR(VLOOKUP(M283,VOL_REC[],2,FALSE),0)</f>
        <v>0</v>
      </c>
      <c r="BD283" s="246">
        <f>IFERROR(VLOOKUP(N283,VOL_REC[],2,FALSE),0)</f>
        <v>0</v>
      </c>
      <c r="BE283" s="246">
        <f>IFERROR(VLOOKUP(O283,VOL_REC[],2,FALSE),0)</f>
        <v>0</v>
      </c>
      <c r="BF283" s="246">
        <f>IFERROR(VLOOKUP(P283,VOL_REC[],2,FALSE),0)</f>
        <v>0</v>
      </c>
      <c r="BG283" s="246">
        <f>IFERROR(VLOOKUP(Q283,VOL_REC[],2,FALSE),0)</f>
        <v>0</v>
      </c>
      <c r="BH283" s="1710">
        <f t="shared" si="16"/>
        <v>11594233228.83671</v>
      </c>
      <c r="BI283" s="1710">
        <f t="shared" si="17"/>
        <v>15048373506.100054</v>
      </c>
      <c r="BJ283" s="1711">
        <f t="shared" si="18"/>
        <v>26977920.98511485</v>
      </c>
      <c r="BK283" s="1711">
        <f t="shared" si="19"/>
        <v>0.77046421157321998</v>
      </c>
    </row>
    <row r="284" spans="3:67" x14ac:dyDescent="0.25">
      <c r="C284" s="246" t="s">
        <v>1634</v>
      </c>
      <c r="D284" s="246">
        <v>1</v>
      </c>
      <c r="E284" s="246">
        <v>2</v>
      </c>
      <c r="F284" s="246">
        <v>3</v>
      </c>
      <c r="G284" s="246">
        <v>4</v>
      </c>
      <c r="H284" s="246">
        <v>6</v>
      </c>
      <c r="I284" s="246">
        <v>12</v>
      </c>
      <c r="J284" s="246">
        <v>15</v>
      </c>
      <c r="K284" s="246"/>
      <c r="L284" s="246"/>
      <c r="M284" s="246"/>
      <c r="N284" s="246"/>
      <c r="O284" s="246"/>
      <c r="P284" s="246"/>
      <c r="Q284" s="246"/>
      <c r="R284" s="246">
        <f>IFERROR(VLOOKUP(D284,PROGRAMAS[],2,FALSE),0)</f>
        <v>97037803.679377079</v>
      </c>
      <c r="S284" s="246">
        <f>IFERROR(VLOOKUP(E284,PROGRAMAS[],2,FALSE),0)</f>
        <v>640501509.6821388</v>
      </c>
      <c r="T284" s="246">
        <f>IFERROR(VLOOKUP(F284,PROGRAMAS[],2,FALSE),0)</f>
        <v>3062327798.1525245</v>
      </c>
      <c r="U284" s="246">
        <f>IFERROR(VLOOKUP(G284,PROGRAMAS[],2,FALSE),0)</f>
        <v>67697118.033011258</v>
      </c>
      <c r="V284" s="246">
        <f>IFERROR(VLOOKUP(H284,PROGRAMAS[],2,FALSE),0)</f>
        <v>6907648435.8447599</v>
      </c>
      <c r="W284" s="246">
        <f>IFERROR(VLOOKUP(I284,PROGRAMAS[],2,FALSE),0)</f>
        <v>764796700.79905891</v>
      </c>
      <c r="X284" s="246">
        <f>IFERROR(VLOOKUP(J284,PROGRAMAS[],2,FALSE),0)</f>
        <v>122159672.96346797</v>
      </c>
      <c r="Y284" s="246">
        <f>IFERROR(VLOOKUP(K284,PROGRAMAS[],2,FALSE),0)</f>
        <v>0</v>
      </c>
      <c r="Z284" s="246">
        <f>IFERROR(VLOOKUP(L284,PROGRAMAS[],2,FALSE),0)</f>
        <v>0</v>
      </c>
      <c r="AA284" s="246">
        <f>IFERROR(VLOOKUP(M284,PROGRAMAS[],2,FALSE),0)</f>
        <v>0</v>
      </c>
      <c r="AB284" s="246">
        <f>IFERROR(VLOOKUP(N284,PROGRAMAS[],2,FALSE),0)</f>
        <v>0</v>
      </c>
      <c r="AC284" s="246">
        <f>IFERROR(VLOOKUP(O284,PROGRAMAS[],2,FALSE),0)</f>
        <v>0</v>
      </c>
      <c r="AD284" s="246">
        <f>IFERROR(VLOOKUP(P284,PROGRAMAS[],2,FALSE),0)</f>
        <v>0</v>
      </c>
      <c r="AE284" s="246">
        <f>IFERROR(VLOOKUP(Q284,PROGRAMAS[],2,FALSE),0)</f>
        <v>0</v>
      </c>
      <c r="AF284" s="246">
        <f>IFERROR(VLOOKUP(D284,PROGRAMAS[],3,FALSE),0)</f>
        <v>841888629.31080008</v>
      </c>
      <c r="AG284" s="246">
        <f>IFERROR(VLOOKUP(E284,PROGRAMAS[],3,FALSE),0)</f>
        <v>3848980803.1642323</v>
      </c>
      <c r="AH284" s="246">
        <f>IFERROR(VLOOKUP(F284,PROGRAMAS[],3,FALSE),0)</f>
        <v>3394901471.387517</v>
      </c>
      <c r="AI284" s="246">
        <f>IFERROR(VLOOKUP(G284,PROGRAMAS[],3,FALSE),0)</f>
        <v>125317226.95549992</v>
      </c>
      <c r="AJ284" s="246">
        <f>IFERROR(VLOOKUP(H284,PROGRAMAS[],3,FALSE),0)</f>
        <v>6129902208.7912121</v>
      </c>
      <c r="AK284" s="246">
        <f>IFERROR(VLOOKUP(I284,PROGRAMAS[],3,FALSE),0)</f>
        <v>675517840.109828</v>
      </c>
      <c r="AL284" s="246">
        <f>IFERROR(VLOOKUP(J284,PROGRAMAS[],3,FALSE),0)</f>
        <v>118617452.52510804</v>
      </c>
      <c r="AM284" s="246">
        <f>IFERROR(VLOOKUP(K284,PROGRAMAS[],3,FALSE),0)</f>
        <v>0</v>
      </c>
      <c r="AN284" s="246">
        <f>IFERROR(VLOOKUP(L284,PROGRAMAS[],3,FALSE),0)</f>
        <v>0</v>
      </c>
      <c r="AO284" s="246">
        <f>IFERROR(VLOOKUP(M284,PROGRAMAS[],3,FALSE),0)</f>
        <v>0</v>
      </c>
      <c r="AP284" s="246">
        <f>IFERROR(VLOOKUP(N284,PROGRAMAS[],3,FALSE),0)</f>
        <v>0</v>
      </c>
      <c r="AQ284" s="246">
        <f>IFERROR(VLOOKUP(O284,PROGRAMAS[],3,FALSE),0)</f>
        <v>0</v>
      </c>
      <c r="AR284" s="246">
        <f>IFERROR(VLOOKUP(P284,PROGRAMAS[],3,FALSE),0)</f>
        <v>0</v>
      </c>
      <c r="AS284" s="246">
        <f>IFERROR(VLOOKUP(Q284,PROGRAMAS[],3,FALSE),0)</f>
        <v>0</v>
      </c>
      <c r="AT284" s="246">
        <f>IFERROR(VLOOKUP(D284,VOL_REC[],2,FALSE),0)</f>
        <v>0</v>
      </c>
      <c r="AU284" s="246">
        <f>IFERROR(VLOOKUP(E284,VOL_REC[],2,FALSE),0)</f>
        <v>0</v>
      </c>
      <c r="AV284" s="246">
        <f>IFERROR(VLOOKUP(F284,VOL_REC[],2,FALSE),0)</f>
        <v>11089674.200000001</v>
      </c>
      <c r="AW284" s="246">
        <f>IFERROR(VLOOKUP(G284,VOL_REC[],2,FALSE),0)</f>
        <v>90439.55</v>
      </c>
      <c r="AX284" s="246">
        <f>IFERROR(VLOOKUP(H284,VOL_REC[],2,FALSE),0)</f>
        <v>15540036.397699751</v>
      </c>
      <c r="AY284" s="246">
        <f>IFERROR(VLOOKUP(I284,VOL_REC[],2,FALSE),0)</f>
        <v>240696.79238099116</v>
      </c>
      <c r="AZ284" s="246">
        <f>IFERROR(VLOOKUP(J284,VOL_REC[],2,FALSE),0)</f>
        <v>105072</v>
      </c>
      <c r="BA284" s="246">
        <f>IFERROR(VLOOKUP(K284,VOL_REC[],2,FALSE),0)</f>
        <v>0</v>
      </c>
      <c r="BB284" s="246">
        <f>IFERROR(VLOOKUP(L284,VOL_REC[],2,FALSE),0)</f>
        <v>0</v>
      </c>
      <c r="BC284" s="246">
        <f>IFERROR(VLOOKUP(M284,VOL_REC[],2,FALSE),0)</f>
        <v>0</v>
      </c>
      <c r="BD284" s="246">
        <f>IFERROR(VLOOKUP(N284,VOL_REC[],2,FALSE),0)</f>
        <v>0</v>
      </c>
      <c r="BE284" s="246">
        <f>IFERROR(VLOOKUP(O284,VOL_REC[],2,FALSE),0)</f>
        <v>0</v>
      </c>
      <c r="BF284" s="246">
        <f>IFERROR(VLOOKUP(P284,VOL_REC[],2,FALSE),0)</f>
        <v>0</v>
      </c>
      <c r="BG284" s="246">
        <f>IFERROR(VLOOKUP(Q284,VOL_REC[],2,FALSE),0)</f>
        <v>0</v>
      </c>
      <c r="BH284" s="1710">
        <f t="shared" si="16"/>
        <v>11662169039.154339</v>
      </c>
      <c r="BI284" s="1710">
        <f t="shared" si="17"/>
        <v>15135125632.244198</v>
      </c>
      <c r="BJ284" s="1711">
        <f t="shared" si="18"/>
        <v>27065918.940080743</v>
      </c>
      <c r="BK284" s="1711">
        <f t="shared" si="19"/>
        <v>0.77053665245493586</v>
      </c>
    </row>
    <row r="285" spans="3:67" x14ac:dyDescent="0.25">
      <c r="C285" s="246" t="s">
        <v>1635</v>
      </c>
      <c r="D285" s="246">
        <v>1</v>
      </c>
      <c r="E285" s="246">
        <v>2</v>
      </c>
      <c r="F285" s="246">
        <v>3</v>
      </c>
      <c r="G285" s="246">
        <v>4</v>
      </c>
      <c r="H285" s="246">
        <v>6</v>
      </c>
      <c r="I285" s="246">
        <v>12</v>
      </c>
      <c r="J285" s="246">
        <v>16</v>
      </c>
      <c r="K285" s="246"/>
      <c r="L285" s="246"/>
      <c r="M285" s="246"/>
      <c r="N285" s="246"/>
      <c r="O285" s="246"/>
      <c r="P285" s="246"/>
      <c r="Q285" s="246"/>
      <c r="R285" s="246">
        <f>IFERROR(VLOOKUP(D285,PROGRAMAS[],2,FALSE),0)</f>
        <v>97037803.679377079</v>
      </c>
      <c r="S285" s="246">
        <f>IFERROR(VLOOKUP(E285,PROGRAMAS[],2,FALSE),0)</f>
        <v>640501509.6821388</v>
      </c>
      <c r="T285" s="246">
        <f>IFERROR(VLOOKUP(F285,PROGRAMAS[],2,FALSE),0)</f>
        <v>3062327798.1525245</v>
      </c>
      <c r="U285" s="246">
        <f>IFERROR(VLOOKUP(G285,PROGRAMAS[],2,FALSE),0)</f>
        <v>67697118.033011258</v>
      </c>
      <c r="V285" s="246">
        <f>IFERROR(VLOOKUP(H285,PROGRAMAS[],2,FALSE),0)</f>
        <v>6907648435.8447599</v>
      </c>
      <c r="W285" s="246">
        <f>IFERROR(VLOOKUP(I285,PROGRAMAS[],2,FALSE),0)</f>
        <v>764796700.79905891</v>
      </c>
      <c r="X285" s="246">
        <f>IFERROR(VLOOKUP(J285,PROGRAMAS[],2,FALSE),0)</f>
        <v>7068496961.0436354</v>
      </c>
      <c r="Y285" s="246">
        <f>IFERROR(VLOOKUP(K285,PROGRAMAS[],2,FALSE),0)</f>
        <v>0</v>
      </c>
      <c r="Z285" s="246">
        <f>IFERROR(VLOOKUP(L285,PROGRAMAS[],2,FALSE),0)</f>
        <v>0</v>
      </c>
      <c r="AA285" s="246">
        <f>IFERROR(VLOOKUP(M285,PROGRAMAS[],2,FALSE),0)</f>
        <v>0</v>
      </c>
      <c r="AB285" s="246">
        <f>IFERROR(VLOOKUP(N285,PROGRAMAS[],2,FALSE),0)</f>
        <v>0</v>
      </c>
      <c r="AC285" s="246">
        <f>IFERROR(VLOOKUP(O285,PROGRAMAS[],2,FALSE),0)</f>
        <v>0</v>
      </c>
      <c r="AD285" s="246">
        <f>IFERROR(VLOOKUP(P285,PROGRAMAS[],2,FALSE),0)</f>
        <v>0</v>
      </c>
      <c r="AE285" s="246">
        <f>IFERROR(VLOOKUP(Q285,PROGRAMAS[],2,FALSE),0)</f>
        <v>0</v>
      </c>
      <c r="AF285" s="246">
        <f>IFERROR(VLOOKUP(D285,PROGRAMAS[],3,FALSE),0)</f>
        <v>841888629.31080008</v>
      </c>
      <c r="AG285" s="246">
        <f>IFERROR(VLOOKUP(E285,PROGRAMAS[],3,FALSE),0)</f>
        <v>3848980803.1642323</v>
      </c>
      <c r="AH285" s="246">
        <f>IFERROR(VLOOKUP(F285,PROGRAMAS[],3,FALSE),0)</f>
        <v>3394901471.387517</v>
      </c>
      <c r="AI285" s="246">
        <f>IFERROR(VLOOKUP(G285,PROGRAMAS[],3,FALSE),0)</f>
        <v>125317226.95549992</v>
      </c>
      <c r="AJ285" s="246">
        <f>IFERROR(VLOOKUP(H285,PROGRAMAS[],3,FALSE),0)</f>
        <v>6129902208.7912121</v>
      </c>
      <c r="AK285" s="246">
        <f>IFERROR(VLOOKUP(I285,PROGRAMAS[],3,FALSE),0)</f>
        <v>675517840.109828</v>
      </c>
      <c r="AL285" s="246">
        <f>IFERROR(VLOOKUP(J285,PROGRAMAS[],3,FALSE),0)</f>
        <v>2406564599.0319901</v>
      </c>
      <c r="AM285" s="246">
        <f>IFERROR(VLOOKUP(K285,PROGRAMAS[],3,FALSE),0)</f>
        <v>0</v>
      </c>
      <c r="AN285" s="246">
        <f>IFERROR(VLOOKUP(L285,PROGRAMAS[],3,FALSE),0)</f>
        <v>0</v>
      </c>
      <c r="AO285" s="246">
        <f>IFERROR(VLOOKUP(M285,PROGRAMAS[],3,FALSE),0)</f>
        <v>0</v>
      </c>
      <c r="AP285" s="246">
        <f>IFERROR(VLOOKUP(N285,PROGRAMAS[],3,FALSE),0)</f>
        <v>0</v>
      </c>
      <c r="AQ285" s="246">
        <f>IFERROR(VLOOKUP(O285,PROGRAMAS[],3,FALSE),0)</f>
        <v>0</v>
      </c>
      <c r="AR285" s="246">
        <f>IFERROR(VLOOKUP(P285,PROGRAMAS[],3,FALSE),0)</f>
        <v>0</v>
      </c>
      <c r="AS285" s="246">
        <f>IFERROR(VLOOKUP(Q285,PROGRAMAS[],3,FALSE),0)</f>
        <v>0</v>
      </c>
      <c r="AT285" s="246">
        <f>IFERROR(VLOOKUP(D285,VOL_REC[],2,FALSE),0)</f>
        <v>0</v>
      </c>
      <c r="AU285" s="246">
        <f>IFERROR(VLOOKUP(E285,VOL_REC[],2,FALSE),0)</f>
        <v>0</v>
      </c>
      <c r="AV285" s="246">
        <f>IFERROR(VLOOKUP(F285,VOL_REC[],2,FALSE),0)</f>
        <v>11089674.200000001</v>
      </c>
      <c r="AW285" s="246">
        <f>IFERROR(VLOOKUP(G285,VOL_REC[],2,FALSE),0)</f>
        <v>90439.55</v>
      </c>
      <c r="AX285" s="246">
        <f>IFERROR(VLOOKUP(H285,VOL_REC[],2,FALSE),0)</f>
        <v>15540036.397699751</v>
      </c>
      <c r="AY285" s="246">
        <f>IFERROR(VLOOKUP(I285,VOL_REC[],2,FALSE),0)</f>
        <v>240696.79238099116</v>
      </c>
      <c r="AZ285" s="246">
        <f>IFERROR(VLOOKUP(J285,VOL_REC[],2,FALSE),0)</f>
        <v>1072354.9981737854</v>
      </c>
      <c r="BA285" s="246">
        <f>IFERROR(VLOOKUP(K285,VOL_REC[],2,FALSE),0)</f>
        <v>0</v>
      </c>
      <c r="BB285" s="246">
        <f>IFERROR(VLOOKUP(L285,VOL_REC[],2,FALSE),0)</f>
        <v>0</v>
      </c>
      <c r="BC285" s="246">
        <f>IFERROR(VLOOKUP(M285,VOL_REC[],2,FALSE),0)</f>
        <v>0</v>
      </c>
      <c r="BD285" s="246">
        <f>IFERROR(VLOOKUP(N285,VOL_REC[],2,FALSE),0)</f>
        <v>0</v>
      </c>
      <c r="BE285" s="246">
        <f>IFERROR(VLOOKUP(O285,VOL_REC[],2,FALSE),0)</f>
        <v>0</v>
      </c>
      <c r="BF285" s="246">
        <f>IFERROR(VLOOKUP(P285,VOL_REC[],2,FALSE),0)</f>
        <v>0</v>
      </c>
      <c r="BG285" s="246">
        <f>IFERROR(VLOOKUP(Q285,VOL_REC[],2,FALSE),0)</f>
        <v>0</v>
      </c>
      <c r="BH285" s="1710">
        <f t="shared" si="16"/>
        <v>18608506327.234505</v>
      </c>
      <c r="BI285" s="1710">
        <f t="shared" si="17"/>
        <v>17423072778.75108</v>
      </c>
      <c r="BJ285" s="1711">
        <f t="shared" si="18"/>
        <v>28033201.938254528</v>
      </c>
      <c r="BK285" s="1711">
        <f t="shared" si="19"/>
        <v>1.068038144794365</v>
      </c>
      <c r="BL285">
        <f>BJ285</f>
        <v>28033201.938254528</v>
      </c>
      <c r="BO285">
        <f>BL285</f>
        <v>28033201.938254528</v>
      </c>
    </row>
    <row r="286" spans="3:67" x14ac:dyDescent="0.25">
      <c r="C286" s="246" t="s">
        <v>1636</v>
      </c>
      <c r="D286" s="246">
        <v>1</v>
      </c>
      <c r="E286" s="246">
        <v>2</v>
      </c>
      <c r="F286" s="246">
        <v>3</v>
      </c>
      <c r="G286" s="246">
        <v>4</v>
      </c>
      <c r="H286" s="246">
        <v>6</v>
      </c>
      <c r="I286" s="246">
        <v>12</v>
      </c>
      <c r="J286" s="246">
        <v>17</v>
      </c>
      <c r="K286" s="246"/>
      <c r="L286" s="246"/>
      <c r="M286" s="246"/>
      <c r="N286" s="246"/>
      <c r="O286" s="246"/>
      <c r="P286" s="246"/>
      <c r="Q286" s="246"/>
      <c r="R286" s="246">
        <f>IFERROR(VLOOKUP(D286,PROGRAMAS[],2,FALSE),0)</f>
        <v>97037803.679377079</v>
      </c>
      <c r="S286" s="246">
        <f>IFERROR(VLOOKUP(E286,PROGRAMAS[],2,FALSE),0)</f>
        <v>640501509.6821388</v>
      </c>
      <c r="T286" s="246">
        <f>IFERROR(VLOOKUP(F286,PROGRAMAS[],2,FALSE),0)</f>
        <v>3062327798.1525245</v>
      </c>
      <c r="U286" s="246">
        <f>IFERROR(VLOOKUP(G286,PROGRAMAS[],2,FALSE),0)</f>
        <v>67697118.033011258</v>
      </c>
      <c r="V286" s="246">
        <f>IFERROR(VLOOKUP(H286,PROGRAMAS[],2,FALSE),0)</f>
        <v>6907648435.8447599</v>
      </c>
      <c r="W286" s="246">
        <f>IFERROR(VLOOKUP(I286,PROGRAMAS[],2,FALSE),0)</f>
        <v>764796700.79905891</v>
      </c>
      <c r="X286" s="246">
        <f>IFERROR(VLOOKUP(J286,PROGRAMAS[],2,FALSE),0)</f>
        <v>1892779498.5211046</v>
      </c>
      <c r="Y286" s="246">
        <f>IFERROR(VLOOKUP(K286,PROGRAMAS[],2,FALSE),0)</f>
        <v>0</v>
      </c>
      <c r="Z286" s="246">
        <f>IFERROR(VLOOKUP(L286,PROGRAMAS[],2,FALSE),0)</f>
        <v>0</v>
      </c>
      <c r="AA286" s="246">
        <f>IFERROR(VLOOKUP(M286,PROGRAMAS[],2,FALSE),0)</f>
        <v>0</v>
      </c>
      <c r="AB286" s="246">
        <f>IFERROR(VLOOKUP(N286,PROGRAMAS[],2,FALSE),0)</f>
        <v>0</v>
      </c>
      <c r="AC286" s="246">
        <f>IFERROR(VLOOKUP(O286,PROGRAMAS[],2,FALSE),0)</f>
        <v>0</v>
      </c>
      <c r="AD286" s="246">
        <f>IFERROR(VLOOKUP(P286,PROGRAMAS[],2,FALSE),0)</f>
        <v>0</v>
      </c>
      <c r="AE286" s="246">
        <f>IFERROR(VLOOKUP(Q286,PROGRAMAS[],2,FALSE),0)</f>
        <v>0</v>
      </c>
      <c r="AF286" s="246">
        <f>IFERROR(VLOOKUP(D286,PROGRAMAS[],3,FALSE),0)</f>
        <v>841888629.31080008</v>
      </c>
      <c r="AG286" s="246">
        <f>IFERROR(VLOOKUP(E286,PROGRAMAS[],3,FALSE),0)</f>
        <v>3848980803.1642323</v>
      </c>
      <c r="AH286" s="246">
        <f>IFERROR(VLOOKUP(F286,PROGRAMAS[],3,FALSE),0)</f>
        <v>3394901471.387517</v>
      </c>
      <c r="AI286" s="246">
        <f>IFERROR(VLOOKUP(G286,PROGRAMAS[],3,FALSE),0)</f>
        <v>125317226.95549992</v>
      </c>
      <c r="AJ286" s="246">
        <f>IFERROR(VLOOKUP(H286,PROGRAMAS[],3,FALSE),0)</f>
        <v>6129902208.7912121</v>
      </c>
      <c r="AK286" s="246">
        <f>IFERROR(VLOOKUP(I286,PROGRAMAS[],3,FALSE),0)</f>
        <v>675517840.109828</v>
      </c>
      <c r="AL286" s="246">
        <f>IFERROR(VLOOKUP(J286,PROGRAMAS[],3,FALSE),0)</f>
        <v>948595847.09039903</v>
      </c>
      <c r="AM286" s="246">
        <f>IFERROR(VLOOKUP(K286,PROGRAMAS[],3,FALSE),0)</f>
        <v>0</v>
      </c>
      <c r="AN286" s="246">
        <f>IFERROR(VLOOKUP(L286,PROGRAMAS[],3,FALSE),0)</f>
        <v>0</v>
      </c>
      <c r="AO286" s="246">
        <f>IFERROR(VLOOKUP(M286,PROGRAMAS[],3,FALSE),0)</f>
        <v>0</v>
      </c>
      <c r="AP286" s="246">
        <f>IFERROR(VLOOKUP(N286,PROGRAMAS[],3,FALSE),0)</f>
        <v>0</v>
      </c>
      <c r="AQ286" s="246">
        <f>IFERROR(VLOOKUP(O286,PROGRAMAS[],3,FALSE),0)</f>
        <v>0</v>
      </c>
      <c r="AR286" s="246">
        <f>IFERROR(VLOOKUP(P286,PROGRAMAS[],3,FALSE),0)</f>
        <v>0</v>
      </c>
      <c r="AS286" s="246">
        <f>IFERROR(VLOOKUP(Q286,PROGRAMAS[],3,FALSE),0)</f>
        <v>0</v>
      </c>
      <c r="AT286" s="246">
        <f>IFERROR(VLOOKUP(D286,VOL_REC[],2,FALSE),0)</f>
        <v>0</v>
      </c>
      <c r="AU286" s="246">
        <f>IFERROR(VLOOKUP(E286,VOL_REC[],2,FALSE),0)</f>
        <v>0</v>
      </c>
      <c r="AV286" s="246">
        <f>IFERROR(VLOOKUP(F286,VOL_REC[],2,FALSE),0)</f>
        <v>11089674.200000001</v>
      </c>
      <c r="AW286" s="246">
        <f>IFERROR(VLOOKUP(G286,VOL_REC[],2,FALSE),0)</f>
        <v>90439.55</v>
      </c>
      <c r="AX286" s="246">
        <f>IFERROR(VLOOKUP(H286,VOL_REC[],2,FALSE),0)</f>
        <v>15540036.397699751</v>
      </c>
      <c r="AY286" s="246">
        <f>IFERROR(VLOOKUP(I286,VOL_REC[],2,FALSE),0)</f>
        <v>240696.79238099116</v>
      </c>
      <c r="AZ286" s="246">
        <f>IFERROR(VLOOKUP(J286,VOL_REC[],2,FALSE),0)</f>
        <v>740113.98115702497</v>
      </c>
      <c r="BA286" s="246">
        <f>IFERROR(VLOOKUP(K286,VOL_REC[],2,FALSE),0)</f>
        <v>0</v>
      </c>
      <c r="BB286" s="246">
        <f>IFERROR(VLOOKUP(L286,VOL_REC[],2,FALSE),0)</f>
        <v>0</v>
      </c>
      <c r="BC286" s="246">
        <f>IFERROR(VLOOKUP(M286,VOL_REC[],2,FALSE),0)</f>
        <v>0</v>
      </c>
      <c r="BD286" s="246">
        <f>IFERROR(VLOOKUP(N286,VOL_REC[],2,FALSE),0)</f>
        <v>0</v>
      </c>
      <c r="BE286" s="246">
        <f>IFERROR(VLOOKUP(O286,VOL_REC[],2,FALSE),0)</f>
        <v>0</v>
      </c>
      <c r="BF286" s="246">
        <f>IFERROR(VLOOKUP(P286,VOL_REC[],2,FALSE),0)</f>
        <v>0</v>
      </c>
      <c r="BG286" s="246">
        <f>IFERROR(VLOOKUP(Q286,VOL_REC[],2,FALSE),0)</f>
        <v>0</v>
      </c>
      <c r="BH286" s="1710">
        <f t="shared" si="16"/>
        <v>13432788864.711975</v>
      </c>
      <c r="BI286" s="1710">
        <f t="shared" si="17"/>
        <v>15965104026.809488</v>
      </c>
      <c r="BJ286" s="1711">
        <f t="shared" si="18"/>
        <v>27700960.921237767</v>
      </c>
      <c r="BK286" s="1711">
        <f t="shared" si="19"/>
        <v>0.84138436192804578</v>
      </c>
    </row>
    <row r="287" spans="3:67" x14ac:dyDescent="0.25">
      <c r="C287" s="246" t="s">
        <v>1637</v>
      </c>
      <c r="D287" s="246">
        <v>1</v>
      </c>
      <c r="E287" s="246">
        <v>2</v>
      </c>
      <c r="F287" s="246">
        <v>3</v>
      </c>
      <c r="G287" s="246">
        <v>4</v>
      </c>
      <c r="H287" s="246">
        <v>6</v>
      </c>
      <c r="I287" s="246">
        <v>13</v>
      </c>
      <c r="J287" s="246">
        <v>14</v>
      </c>
      <c r="K287" s="246"/>
      <c r="L287" s="246"/>
      <c r="M287" s="246"/>
      <c r="N287" s="246"/>
      <c r="O287" s="246"/>
      <c r="P287" s="246"/>
      <c r="Q287" s="246"/>
      <c r="R287" s="246">
        <f>IFERROR(VLOOKUP(D287,PROGRAMAS[],2,FALSE),0)</f>
        <v>97037803.679377079</v>
      </c>
      <c r="S287" s="246">
        <f>IFERROR(VLOOKUP(E287,PROGRAMAS[],2,FALSE),0)</f>
        <v>640501509.6821388</v>
      </c>
      <c r="T287" s="246">
        <f>IFERROR(VLOOKUP(F287,PROGRAMAS[],2,FALSE),0)</f>
        <v>3062327798.1525245</v>
      </c>
      <c r="U287" s="246">
        <f>IFERROR(VLOOKUP(G287,PROGRAMAS[],2,FALSE),0)</f>
        <v>67697118.033011258</v>
      </c>
      <c r="V287" s="246">
        <f>IFERROR(VLOOKUP(H287,PROGRAMAS[],2,FALSE),0)</f>
        <v>6907648435.8447599</v>
      </c>
      <c r="W287" s="246">
        <f>IFERROR(VLOOKUP(I287,PROGRAMAS[],2,FALSE),0)</f>
        <v>3776538594.4604583</v>
      </c>
      <c r="X287" s="246">
        <f>IFERROR(VLOOKUP(J287,PROGRAMAS[],2,FALSE),0)</f>
        <v>54223862.645839565</v>
      </c>
      <c r="Y287" s="246">
        <f>IFERROR(VLOOKUP(K287,PROGRAMAS[],2,FALSE),0)</f>
        <v>0</v>
      </c>
      <c r="Z287" s="246">
        <f>IFERROR(VLOOKUP(L287,PROGRAMAS[],2,FALSE),0)</f>
        <v>0</v>
      </c>
      <c r="AA287" s="246">
        <f>IFERROR(VLOOKUP(M287,PROGRAMAS[],2,FALSE),0)</f>
        <v>0</v>
      </c>
      <c r="AB287" s="246">
        <f>IFERROR(VLOOKUP(N287,PROGRAMAS[],2,FALSE),0)</f>
        <v>0</v>
      </c>
      <c r="AC287" s="246">
        <f>IFERROR(VLOOKUP(O287,PROGRAMAS[],2,FALSE),0)</f>
        <v>0</v>
      </c>
      <c r="AD287" s="246">
        <f>IFERROR(VLOOKUP(P287,PROGRAMAS[],2,FALSE),0)</f>
        <v>0</v>
      </c>
      <c r="AE287" s="246">
        <f>IFERROR(VLOOKUP(Q287,PROGRAMAS[],2,FALSE),0)</f>
        <v>0</v>
      </c>
      <c r="AF287" s="246">
        <f>IFERROR(VLOOKUP(D287,PROGRAMAS[],3,FALSE),0)</f>
        <v>841888629.31080008</v>
      </c>
      <c r="AG287" s="246">
        <f>IFERROR(VLOOKUP(E287,PROGRAMAS[],3,FALSE),0)</f>
        <v>3848980803.1642323</v>
      </c>
      <c r="AH287" s="246">
        <f>IFERROR(VLOOKUP(F287,PROGRAMAS[],3,FALSE),0)</f>
        <v>3394901471.387517</v>
      </c>
      <c r="AI287" s="246">
        <f>IFERROR(VLOOKUP(G287,PROGRAMAS[],3,FALSE),0)</f>
        <v>125317226.95549992</v>
      </c>
      <c r="AJ287" s="246">
        <f>IFERROR(VLOOKUP(H287,PROGRAMAS[],3,FALSE),0)</f>
        <v>6129902208.7912121</v>
      </c>
      <c r="AK287" s="246">
        <f>IFERROR(VLOOKUP(I287,PROGRAMAS[],3,FALSE),0)</f>
        <v>2392571243.5584412</v>
      </c>
      <c r="AL287" s="246">
        <f>IFERROR(VLOOKUP(J287,PROGRAMAS[],3,FALSE),0)</f>
        <v>31865326.38096505</v>
      </c>
      <c r="AM287" s="246">
        <f>IFERROR(VLOOKUP(K287,PROGRAMAS[],3,FALSE),0)</f>
        <v>0</v>
      </c>
      <c r="AN287" s="246">
        <f>IFERROR(VLOOKUP(L287,PROGRAMAS[],3,FALSE),0)</f>
        <v>0</v>
      </c>
      <c r="AO287" s="246">
        <f>IFERROR(VLOOKUP(M287,PROGRAMAS[],3,FALSE),0)</f>
        <v>0</v>
      </c>
      <c r="AP287" s="246">
        <f>IFERROR(VLOOKUP(N287,PROGRAMAS[],3,FALSE),0)</f>
        <v>0</v>
      </c>
      <c r="AQ287" s="246">
        <f>IFERROR(VLOOKUP(O287,PROGRAMAS[],3,FALSE),0)</f>
        <v>0</v>
      </c>
      <c r="AR287" s="246">
        <f>IFERROR(VLOOKUP(P287,PROGRAMAS[],3,FALSE),0)</f>
        <v>0</v>
      </c>
      <c r="AS287" s="246">
        <f>IFERROR(VLOOKUP(Q287,PROGRAMAS[],3,FALSE),0)</f>
        <v>0</v>
      </c>
      <c r="AT287" s="246">
        <f>IFERROR(VLOOKUP(D287,VOL_REC[],2,FALSE),0)</f>
        <v>0</v>
      </c>
      <c r="AU287" s="246">
        <f>IFERROR(VLOOKUP(E287,VOL_REC[],2,FALSE),0)</f>
        <v>0</v>
      </c>
      <c r="AV287" s="246">
        <f>IFERROR(VLOOKUP(F287,VOL_REC[],2,FALSE),0)</f>
        <v>11089674.200000001</v>
      </c>
      <c r="AW287" s="246">
        <f>IFERROR(VLOOKUP(G287,VOL_REC[],2,FALSE),0)</f>
        <v>90439.55</v>
      </c>
      <c r="AX287" s="246">
        <f>IFERROR(VLOOKUP(H287,VOL_REC[],2,FALSE),0)</f>
        <v>15540036.397699751</v>
      </c>
      <c r="AY287" s="246">
        <f>IFERROR(VLOOKUP(I287,VOL_REC[],2,FALSE),0)</f>
        <v>663244.80000000016</v>
      </c>
      <c r="AZ287" s="246">
        <f>IFERROR(VLOOKUP(J287,VOL_REC[],2,FALSE),0)</f>
        <v>17074.045034105649</v>
      </c>
      <c r="BA287" s="246">
        <f>IFERROR(VLOOKUP(K287,VOL_REC[],2,FALSE),0)</f>
        <v>0</v>
      </c>
      <c r="BB287" s="246">
        <f>IFERROR(VLOOKUP(L287,VOL_REC[],2,FALSE),0)</f>
        <v>0</v>
      </c>
      <c r="BC287" s="246">
        <f>IFERROR(VLOOKUP(M287,VOL_REC[],2,FALSE),0)</f>
        <v>0</v>
      </c>
      <c r="BD287" s="246">
        <f>IFERROR(VLOOKUP(N287,VOL_REC[],2,FALSE),0)</f>
        <v>0</v>
      </c>
      <c r="BE287" s="246">
        <f>IFERROR(VLOOKUP(O287,VOL_REC[],2,FALSE),0)</f>
        <v>0</v>
      </c>
      <c r="BF287" s="246">
        <f>IFERROR(VLOOKUP(P287,VOL_REC[],2,FALSE),0)</f>
        <v>0</v>
      </c>
      <c r="BG287" s="246">
        <f>IFERROR(VLOOKUP(Q287,VOL_REC[],2,FALSE),0)</f>
        <v>0</v>
      </c>
      <c r="BH287" s="1710">
        <f t="shared" si="16"/>
        <v>14605975122.49811</v>
      </c>
      <c r="BI287" s="1710">
        <f t="shared" si="17"/>
        <v>16765426909.548666</v>
      </c>
      <c r="BJ287" s="1711">
        <f t="shared" si="18"/>
        <v>27400468.992733859</v>
      </c>
      <c r="BK287" s="1711">
        <f t="shared" si="19"/>
        <v>0.87119613483742242</v>
      </c>
    </row>
    <row r="288" spans="3:67" x14ac:dyDescent="0.25">
      <c r="C288" s="246" t="s">
        <v>1638</v>
      </c>
      <c r="D288" s="246">
        <v>1</v>
      </c>
      <c r="E288" s="246">
        <v>2</v>
      </c>
      <c r="F288" s="246">
        <v>3</v>
      </c>
      <c r="G288" s="246">
        <v>4</v>
      </c>
      <c r="H288" s="246">
        <v>6</v>
      </c>
      <c r="I288" s="246">
        <v>13</v>
      </c>
      <c r="J288" s="246">
        <v>15</v>
      </c>
      <c r="K288" s="246"/>
      <c r="L288" s="246"/>
      <c r="M288" s="246"/>
      <c r="N288" s="246"/>
      <c r="O288" s="246"/>
      <c r="P288" s="246"/>
      <c r="Q288" s="246"/>
      <c r="R288" s="246">
        <f>IFERROR(VLOOKUP(D288,PROGRAMAS[],2,FALSE),0)</f>
        <v>97037803.679377079</v>
      </c>
      <c r="S288" s="246">
        <f>IFERROR(VLOOKUP(E288,PROGRAMAS[],2,FALSE),0)</f>
        <v>640501509.6821388</v>
      </c>
      <c r="T288" s="246">
        <f>IFERROR(VLOOKUP(F288,PROGRAMAS[],2,FALSE),0)</f>
        <v>3062327798.1525245</v>
      </c>
      <c r="U288" s="246">
        <f>IFERROR(VLOOKUP(G288,PROGRAMAS[],2,FALSE),0)</f>
        <v>67697118.033011258</v>
      </c>
      <c r="V288" s="246">
        <f>IFERROR(VLOOKUP(H288,PROGRAMAS[],2,FALSE),0)</f>
        <v>6907648435.8447599</v>
      </c>
      <c r="W288" s="246">
        <f>IFERROR(VLOOKUP(I288,PROGRAMAS[],2,FALSE),0)</f>
        <v>3776538594.4604583</v>
      </c>
      <c r="X288" s="246">
        <f>IFERROR(VLOOKUP(J288,PROGRAMAS[],2,FALSE),0)</f>
        <v>122159672.96346797</v>
      </c>
      <c r="Y288" s="246">
        <f>IFERROR(VLOOKUP(K288,PROGRAMAS[],2,FALSE),0)</f>
        <v>0</v>
      </c>
      <c r="Z288" s="246">
        <f>IFERROR(VLOOKUP(L288,PROGRAMAS[],2,FALSE),0)</f>
        <v>0</v>
      </c>
      <c r="AA288" s="246">
        <f>IFERROR(VLOOKUP(M288,PROGRAMAS[],2,FALSE),0)</f>
        <v>0</v>
      </c>
      <c r="AB288" s="246">
        <f>IFERROR(VLOOKUP(N288,PROGRAMAS[],2,FALSE),0)</f>
        <v>0</v>
      </c>
      <c r="AC288" s="246">
        <f>IFERROR(VLOOKUP(O288,PROGRAMAS[],2,FALSE),0)</f>
        <v>0</v>
      </c>
      <c r="AD288" s="246">
        <f>IFERROR(VLOOKUP(P288,PROGRAMAS[],2,FALSE),0)</f>
        <v>0</v>
      </c>
      <c r="AE288" s="246">
        <f>IFERROR(VLOOKUP(Q288,PROGRAMAS[],2,FALSE),0)</f>
        <v>0</v>
      </c>
      <c r="AF288" s="246">
        <f>IFERROR(VLOOKUP(D288,PROGRAMAS[],3,FALSE),0)</f>
        <v>841888629.31080008</v>
      </c>
      <c r="AG288" s="246">
        <f>IFERROR(VLOOKUP(E288,PROGRAMAS[],3,FALSE),0)</f>
        <v>3848980803.1642323</v>
      </c>
      <c r="AH288" s="246">
        <f>IFERROR(VLOOKUP(F288,PROGRAMAS[],3,FALSE),0)</f>
        <v>3394901471.387517</v>
      </c>
      <c r="AI288" s="246">
        <f>IFERROR(VLOOKUP(G288,PROGRAMAS[],3,FALSE),0)</f>
        <v>125317226.95549992</v>
      </c>
      <c r="AJ288" s="246">
        <f>IFERROR(VLOOKUP(H288,PROGRAMAS[],3,FALSE),0)</f>
        <v>6129902208.7912121</v>
      </c>
      <c r="AK288" s="246">
        <f>IFERROR(VLOOKUP(I288,PROGRAMAS[],3,FALSE),0)</f>
        <v>2392571243.5584412</v>
      </c>
      <c r="AL288" s="246">
        <f>IFERROR(VLOOKUP(J288,PROGRAMAS[],3,FALSE),0)</f>
        <v>118617452.52510804</v>
      </c>
      <c r="AM288" s="246">
        <f>IFERROR(VLOOKUP(K288,PROGRAMAS[],3,FALSE),0)</f>
        <v>0</v>
      </c>
      <c r="AN288" s="246">
        <f>IFERROR(VLOOKUP(L288,PROGRAMAS[],3,FALSE),0)</f>
        <v>0</v>
      </c>
      <c r="AO288" s="246">
        <f>IFERROR(VLOOKUP(M288,PROGRAMAS[],3,FALSE),0)</f>
        <v>0</v>
      </c>
      <c r="AP288" s="246">
        <f>IFERROR(VLOOKUP(N288,PROGRAMAS[],3,FALSE),0)</f>
        <v>0</v>
      </c>
      <c r="AQ288" s="246">
        <f>IFERROR(VLOOKUP(O288,PROGRAMAS[],3,FALSE),0)</f>
        <v>0</v>
      </c>
      <c r="AR288" s="246">
        <f>IFERROR(VLOOKUP(P288,PROGRAMAS[],3,FALSE),0)</f>
        <v>0</v>
      </c>
      <c r="AS288" s="246">
        <f>IFERROR(VLOOKUP(Q288,PROGRAMAS[],3,FALSE),0)</f>
        <v>0</v>
      </c>
      <c r="AT288" s="246">
        <f>IFERROR(VLOOKUP(D288,VOL_REC[],2,FALSE),0)</f>
        <v>0</v>
      </c>
      <c r="AU288" s="246">
        <f>IFERROR(VLOOKUP(E288,VOL_REC[],2,FALSE),0)</f>
        <v>0</v>
      </c>
      <c r="AV288" s="246">
        <f>IFERROR(VLOOKUP(F288,VOL_REC[],2,FALSE),0)</f>
        <v>11089674.200000001</v>
      </c>
      <c r="AW288" s="246">
        <f>IFERROR(VLOOKUP(G288,VOL_REC[],2,FALSE),0)</f>
        <v>90439.55</v>
      </c>
      <c r="AX288" s="246">
        <f>IFERROR(VLOOKUP(H288,VOL_REC[],2,FALSE),0)</f>
        <v>15540036.397699751</v>
      </c>
      <c r="AY288" s="246">
        <f>IFERROR(VLOOKUP(I288,VOL_REC[],2,FALSE),0)</f>
        <v>663244.80000000016</v>
      </c>
      <c r="AZ288" s="246">
        <f>IFERROR(VLOOKUP(J288,VOL_REC[],2,FALSE),0)</f>
        <v>105072</v>
      </c>
      <c r="BA288" s="246">
        <f>IFERROR(VLOOKUP(K288,VOL_REC[],2,FALSE),0)</f>
        <v>0</v>
      </c>
      <c r="BB288" s="246">
        <f>IFERROR(VLOOKUP(L288,VOL_REC[],2,FALSE),0)</f>
        <v>0</v>
      </c>
      <c r="BC288" s="246">
        <f>IFERROR(VLOOKUP(M288,VOL_REC[],2,FALSE),0)</f>
        <v>0</v>
      </c>
      <c r="BD288" s="246">
        <f>IFERROR(VLOOKUP(N288,VOL_REC[],2,FALSE),0)</f>
        <v>0</v>
      </c>
      <c r="BE288" s="246">
        <f>IFERROR(VLOOKUP(O288,VOL_REC[],2,FALSE),0)</f>
        <v>0</v>
      </c>
      <c r="BF288" s="246">
        <f>IFERROR(VLOOKUP(P288,VOL_REC[],2,FALSE),0)</f>
        <v>0</v>
      </c>
      <c r="BG288" s="246">
        <f>IFERROR(VLOOKUP(Q288,VOL_REC[],2,FALSE),0)</f>
        <v>0</v>
      </c>
      <c r="BH288" s="1710">
        <f t="shared" si="16"/>
        <v>14673910932.815739</v>
      </c>
      <c r="BI288" s="1710">
        <f t="shared" si="17"/>
        <v>16852179035.69281</v>
      </c>
      <c r="BJ288" s="1711">
        <f t="shared" si="18"/>
        <v>27488466.947699752</v>
      </c>
      <c r="BK288" s="1711">
        <f t="shared" si="19"/>
        <v>0.87074264412551561</v>
      </c>
    </row>
    <row r="289" spans="3:67" x14ac:dyDescent="0.25">
      <c r="C289" s="246" t="s">
        <v>1639</v>
      </c>
      <c r="D289" s="246">
        <v>1</v>
      </c>
      <c r="E289" s="246">
        <v>2</v>
      </c>
      <c r="F289" s="246">
        <v>3</v>
      </c>
      <c r="G289" s="246">
        <v>4</v>
      </c>
      <c r="H289" s="246">
        <v>6</v>
      </c>
      <c r="I289" s="246">
        <v>13</v>
      </c>
      <c r="J289" s="246">
        <v>16</v>
      </c>
      <c r="K289" s="246"/>
      <c r="L289" s="246"/>
      <c r="M289" s="246"/>
      <c r="N289" s="246"/>
      <c r="O289" s="246"/>
      <c r="P289" s="246"/>
      <c r="Q289" s="246"/>
      <c r="R289" s="246">
        <f>IFERROR(VLOOKUP(D289,PROGRAMAS[],2,FALSE),0)</f>
        <v>97037803.679377079</v>
      </c>
      <c r="S289" s="246">
        <f>IFERROR(VLOOKUP(E289,PROGRAMAS[],2,FALSE),0)</f>
        <v>640501509.6821388</v>
      </c>
      <c r="T289" s="246">
        <f>IFERROR(VLOOKUP(F289,PROGRAMAS[],2,FALSE),0)</f>
        <v>3062327798.1525245</v>
      </c>
      <c r="U289" s="246">
        <f>IFERROR(VLOOKUP(G289,PROGRAMAS[],2,FALSE),0)</f>
        <v>67697118.033011258</v>
      </c>
      <c r="V289" s="246">
        <f>IFERROR(VLOOKUP(H289,PROGRAMAS[],2,FALSE),0)</f>
        <v>6907648435.8447599</v>
      </c>
      <c r="W289" s="246">
        <f>IFERROR(VLOOKUP(I289,PROGRAMAS[],2,FALSE),0)</f>
        <v>3776538594.4604583</v>
      </c>
      <c r="X289" s="246">
        <f>IFERROR(VLOOKUP(J289,PROGRAMAS[],2,FALSE),0)</f>
        <v>7068496961.0436354</v>
      </c>
      <c r="Y289" s="246">
        <f>IFERROR(VLOOKUP(K289,PROGRAMAS[],2,FALSE),0)</f>
        <v>0</v>
      </c>
      <c r="Z289" s="246">
        <f>IFERROR(VLOOKUP(L289,PROGRAMAS[],2,FALSE),0)</f>
        <v>0</v>
      </c>
      <c r="AA289" s="246">
        <f>IFERROR(VLOOKUP(M289,PROGRAMAS[],2,FALSE),0)</f>
        <v>0</v>
      </c>
      <c r="AB289" s="246">
        <f>IFERROR(VLOOKUP(N289,PROGRAMAS[],2,FALSE),0)</f>
        <v>0</v>
      </c>
      <c r="AC289" s="246">
        <f>IFERROR(VLOOKUP(O289,PROGRAMAS[],2,FALSE),0)</f>
        <v>0</v>
      </c>
      <c r="AD289" s="246">
        <f>IFERROR(VLOOKUP(P289,PROGRAMAS[],2,FALSE),0)</f>
        <v>0</v>
      </c>
      <c r="AE289" s="246">
        <f>IFERROR(VLOOKUP(Q289,PROGRAMAS[],2,FALSE),0)</f>
        <v>0</v>
      </c>
      <c r="AF289" s="246">
        <f>IFERROR(VLOOKUP(D289,PROGRAMAS[],3,FALSE),0)</f>
        <v>841888629.31080008</v>
      </c>
      <c r="AG289" s="246">
        <f>IFERROR(VLOOKUP(E289,PROGRAMAS[],3,FALSE),0)</f>
        <v>3848980803.1642323</v>
      </c>
      <c r="AH289" s="246">
        <f>IFERROR(VLOOKUP(F289,PROGRAMAS[],3,FALSE),0)</f>
        <v>3394901471.387517</v>
      </c>
      <c r="AI289" s="246">
        <f>IFERROR(VLOOKUP(G289,PROGRAMAS[],3,FALSE),0)</f>
        <v>125317226.95549992</v>
      </c>
      <c r="AJ289" s="246">
        <f>IFERROR(VLOOKUP(H289,PROGRAMAS[],3,FALSE),0)</f>
        <v>6129902208.7912121</v>
      </c>
      <c r="AK289" s="246">
        <f>IFERROR(VLOOKUP(I289,PROGRAMAS[],3,FALSE),0)</f>
        <v>2392571243.5584412</v>
      </c>
      <c r="AL289" s="246">
        <f>IFERROR(VLOOKUP(J289,PROGRAMAS[],3,FALSE),0)</f>
        <v>2406564599.0319901</v>
      </c>
      <c r="AM289" s="246">
        <f>IFERROR(VLOOKUP(K289,PROGRAMAS[],3,FALSE),0)</f>
        <v>0</v>
      </c>
      <c r="AN289" s="246">
        <f>IFERROR(VLOOKUP(L289,PROGRAMAS[],3,FALSE),0)</f>
        <v>0</v>
      </c>
      <c r="AO289" s="246">
        <f>IFERROR(VLOOKUP(M289,PROGRAMAS[],3,FALSE),0)</f>
        <v>0</v>
      </c>
      <c r="AP289" s="246">
        <f>IFERROR(VLOOKUP(N289,PROGRAMAS[],3,FALSE),0)</f>
        <v>0</v>
      </c>
      <c r="AQ289" s="246">
        <f>IFERROR(VLOOKUP(O289,PROGRAMAS[],3,FALSE),0)</f>
        <v>0</v>
      </c>
      <c r="AR289" s="246">
        <f>IFERROR(VLOOKUP(P289,PROGRAMAS[],3,FALSE),0)</f>
        <v>0</v>
      </c>
      <c r="AS289" s="246">
        <f>IFERROR(VLOOKUP(Q289,PROGRAMAS[],3,FALSE),0)</f>
        <v>0</v>
      </c>
      <c r="AT289" s="246">
        <f>IFERROR(VLOOKUP(D289,VOL_REC[],2,FALSE),0)</f>
        <v>0</v>
      </c>
      <c r="AU289" s="246">
        <f>IFERROR(VLOOKUP(E289,VOL_REC[],2,FALSE),0)</f>
        <v>0</v>
      </c>
      <c r="AV289" s="246">
        <f>IFERROR(VLOOKUP(F289,VOL_REC[],2,FALSE),0)</f>
        <v>11089674.200000001</v>
      </c>
      <c r="AW289" s="246">
        <f>IFERROR(VLOOKUP(G289,VOL_REC[],2,FALSE),0)</f>
        <v>90439.55</v>
      </c>
      <c r="AX289" s="246">
        <f>IFERROR(VLOOKUP(H289,VOL_REC[],2,FALSE),0)</f>
        <v>15540036.397699751</v>
      </c>
      <c r="AY289" s="246">
        <f>IFERROR(VLOOKUP(I289,VOL_REC[],2,FALSE),0)</f>
        <v>663244.80000000016</v>
      </c>
      <c r="AZ289" s="246">
        <f>IFERROR(VLOOKUP(J289,VOL_REC[],2,FALSE),0)</f>
        <v>1072354.9981737854</v>
      </c>
      <c r="BA289" s="246">
        <f>IFERROR(VLOOKUP(K289,VOL_REC[],2,FALSE),0)</f>
        <v>0</v>
      </c>
      <c r="BB289" s="246">
        <f>IFERROR(VLOOKUP(L289,VOL_REC[],2,FALSE),0)</f>
        <v>0</v>
      </c>
      <c r="BC289" s="246">
        <f>IFERROR(VLOOKUP(M289,VOL_REC[],2,FALSE),0)</f>
        <v>0</v>
      </c>
      <c r="BD289" s="246">
        <f>IFERROR(VLOOKUP(N289,VOL_REC[],2,FALSE),0)</f>
        <v>0</v>
      </c>
      <c r="BE289" s="246">
        <f>IFERROR(VLOOKUP(O289,VOL_REC[],2,FALSE),0)</f>
        <v>0</v>
      </c>
      <c r="BF289" s="246">
        <f>IFERROR(VLOOKUP(P289,VOL_REC[],2,FALSE),0)</f>
        <v>0</v>
      </c>
      <c r="BG289" s="246">
        <f>IFERROR(VLOOKUP(Q289,VOL_REC[],2,FALSE),0)</f>
        <v>0</v>
      </c>
      <c r="BH289" s="1710">
        <f t="shared" si="16"/>
        <v>21620248220.895905</v>
      </c>
      <c r="BI289" s="1710">
        <f t="shared" si="17"/>
        <v>19140126182.199692</v>
      </c>
      <c r="BJ289" s="1711">
        <f t="shared" si="18"/>
        <v>28455749.945873536</v>
      </c>
      <c r="BK289" s="1711">
        <f t="shared" si="19"/>
        <v>1.1295770997059948</v>
      </c>
      <c r="BL289">
        <f>BJ289</f>
        <v>28455749.945873536</v>
      </c>
      <c r="BO289">
        <f>BL289</f>
        <v>28455749.945873536</v>
      </c>
    </row>
    <row r="290" spans="3:67" x14ac:dyDescent="0.25">
      <c r="C290" s="246" t="s">
        <v>1640</v>
      </c>
      <c r="D290" s="246">
        <v>1</v>
      </c>
      <c r="E290" s="246">
        <v>2</v>
      </c>
      <c r="F290" s="246">
        <v>3</v>
      </c>
      <c r="G290" s="246">
        <v>4</v>
      </c>
      <c r="H290" s="246">
        <v>6</v>
      </c>
      <c r="I290" s="246">
        <v>13</v>
      </c>
      <c r="J290" s="246">
        <v>17</v>
      </c>
      <c r="K290" s="246"/>
      <c r="L290" s="246"/>
      <c r="M290" s="246"/>
      <c r="N290" s="246"/>
      <c r="O290" s="246"/>
      <c r="P290" s="246"/>
      <c r="Q290" s="246"/>
      <c r="R290" s="246">
        <f>IFERROR(VLOOKUP(D290,PROGRAMAS[],2,FALSE),0)</f>
        <v>97037803.679377079</v>
      </c>
      <c r="S290" s="246">
        <f>IFERROR(VLOOKUP(E290,PROGRAMAS[],2,FALSE),0)</f>
        <v>640501509.6821388</v>
      </c>
      <c r="T290" s="246">
        <f>IFERROR(VLOOKUP(F290,PROGRAMAS[],2,FALSE),0)</f>
        <v>3062327798.1525245</v>
      </c>
      <c r="U290" s="246">
        <f>IFERROR(VLOOKUP(G290,PROGRAMAS[],2,FALSE),0)</f>
        <v>67697118.033011258</v>
      </c>
      <c r="V290" s="246">
        <f>IFERROR(VLOOKUP(H290,PROGRAMAS[],2,FALSE),0)</f>
        <v>6907648435.8447599</v>
      </c>
      <c r="W290" s="246">
        <f>IFERROR(VLOOKUP(I290,PROGRAMAS[],2,FALSE),0)</f>
        <v>3776538594.4604583</v>
      </c>
      <c r="X290" s="246">
        <f>IFERROR(VLOOKUP(J290,PROGRAMAS[],2,FALSE),0)</f>
        <v>1892779498.5211046</v>
      </c>
      <c r="Y290" s="246">
        <f>IFERROR(VLOOKUP(K290,PROGRAMAS[],2,FALSE),0)</f>
        <v>0</v>
      </c>
      <c r="Z290" s="246">
        <f>IFERROR(VLOOKUP(L290,PROGRAMAS[],2,FALSE),0)</f>
        <v>0</v>
      </c>
      <c r="AA290" s="246">
        <f>IFERROR(VLOOKUP(M290,PROGRAMAS[],2,FALSE),0)</f>
        <v>0</v>
      </c>
      <c r="AB290" s="246">
        <f>IFERROR(VLOOKUP(N290,PROGRAMAS[],2,FALSE),0)</f>
        <v>0</v>
      </c>
      <c r="AC290" s="246">
        <f>IFERROR(VLOOKUP(O290,PROGRAMAS[],2,FALSE),0)</f>
        <v>0</v>
      </c>
      <c r="AD290" s="246">
        <f>IFERROR(VLOOKUP(P290,PROGRAMAS[],2,FALSE),0)</f>
        <v>0</v>
      </c>
      <c r="AE290" s="246">
        <f>IFERROR(VLOOKUP(Q290,PROGRAMAS[],2,FALSE),0)</f>
        <v>0</v>
      </c>
      <c r="AF290" s="246">
        <f>IFERROR(VLOOKUP(D290,PROGRAMAS[],3,FALSE),0)</f>
        <v>841888629.31080008</v>
      </c>
      <c r="AG290" s="246">
        <f>IFERROR(VLOOKUP(E290,PROGRAMAS[],3,FALSE),0)</f>
        <v>3848980803.1642323</v>
      </c>
      <c r="AH290" s="246">
        <f>IFERROR(VLOOKUP(F290,PROGRAMAS[],3,FALSE),0)</f>
        <v>3394901471.387517</v>
      </c>
      <c r="AI290" s="246">
        <f>IFERROR(VLOOKUP(G290,PROGRAMAS[],3,FALSE),0)</f>
        <v>125317226.95549992</v>
      </c>
      <c r="AJ290" s="246">
        <f>IFERROR(VLOOKUP(H290,PROGRAMAS[],3,FALSE),0)</f>
        <v>6129902208.7912121</v>
      </c>
      <c r="AK290" s="246">
        <f>IFERROR(VLOOKUP(I290,PROGRAMAS[],3,FALSE),0)</f>
        <v>2392571243.5584412</v>
      </c>
      <c r="AL290" s="246">
        <f>IFERROR(VLOOKUP(J290,PROGRAMAS[],3,FALSE),0)</f>
        <v>948595847.09039903</v>
      </c>
      <c r="AM290" s="246">
        <f>IFERROR(VLOOKUP(K290,PROGRAMAS[],3,FALSE),0)</f>
        <v>0</v>
      </c>
      <c r="AN290" s="246">
        <f>IFERROR(VLOOKUP(L290,PROGRAMAS[],3,FALSE),0)</f>
        <v>0</v>
      </c>
      <c r="AO290" s="246">
        <f>IFERROR(VLOOKUP(M290,PROGRAMAS[],3,FALSE),0)</f>
        <v>0</v>
      </c>
      <c r="AP290" s="246">
        <f>IFERROR(VLOOKUP(N290,PROGRAMAS[],3,FALSE),0)</f>
        <v>0</v>
      </c>
      <c r="AQ290" s="246">
        <f>IFERROR(VLOOKUP(O290,PROGRAMAS[],3,FALSE),0)</f>
        <v>0</v>
      </c>
      <c r="AR290" s="246">
        <f>IFERROR(VLOOKUP(P290,PROGRAMAS[],3,FALSE),0)</f>
        <v>0</v>
      </c>
      <c r="AS290" s="246">
        <f>IFERROR(VLOOKUP(Q290,PROGRAMAS[],3,FALSE),0)</f>
        <v>0</v>
      </c>
      <c r="AT290" s="246">
        <f>IFERROR(VLOOKUP(D290,VOL_REC[],2,FALSE),0)</f>
        <v>0</v>
      </c>
      <c r="AU290" s="246">
        <f>IFERROR(VLOOKUP(E290,VOL_REC[],2,FALSE),0)</f>
        <v>0</v>
      </c>
      <c r="AV290" s="246">
        <f>IFERROR(VLOOKUP(F290,VOL_REC[],2,FALSE),0)</f>
        <v>11089674.200000001</v>
      </c>
      <c r="AW290" s="246">
        <f>IFERROR(VLOOKUP(G290,VOL_REC[],2,FALSE),0)</f>
        <v>90439.55</v>
      </c>
      <c r="AX290" s="246">
        <f>IFERROR(VLOOKUP(H290,VOL_REC[],2,FALSE),0)</f>
        <v>15540036.397699751</v>
      </c>
      <c r="AY290" s="246">
        <f>IFERROR(VLOOKUP(I290,VOL_REC[],2,FALSE),0)</f>
        <v>663244.80000000016</v>
      </c>
      <c r="AZ290" s="246">
        <f>IFERROR(VLOOKUP(J290,VOL_REC[],2,FALSE),0)</f>
        <v>740113.98115702497</v>
      </c>
      <c r="BA290" s="246">
        <f>IFERROR(VLOOKUP(K290,VOL_REC[],2,FALSE),0)</f>
        <v>0</v>
      </c>
      <c r="BB290" s="246">
        <f>IFERROR(VLOOKUP(L290,VOL_REC[],2,FALSE),0)</f>
        <v>0</v>
      </c>
      <c r="BC290" s="246">
        <f>IFERROR(VLOOKUP(M290,VOL_REC[],2,FALSE),0)</f>
        <v>0</v>
      </c>
      <c r="BD290" s="246">
        <f>IFERROR(VLOOKUP(N290,VOL_REC[],2,FALSE),0)</f>
        <v>0</v>
      </c>
      <c r="BE290" s="246">
        <f>IFERROR(VLOOKUP(O290,VOL_REC[],2,FALSE),0)</f>
        <v>0</v>
      </c>
      <c r="BF290" s="246">
        <f>IFERROR(VLOOKUP(P290,VOL_REC[],2,FALSE),0)</f>
        <v>0</v>
      </c>
      <c r="BG290" s="246">
        <f>IFERROR(VLOOKUP(Q290,VOL_REC[],2,FALSE),0)</f>
        <v>0</v>
      </c>
      <c r="BH290" s="1710">
        <f t="shared" si="16"/>
        <v>16444530758.373375</v>
      </c>
      <c r="BI290" s="1710">
        <f t="shared" si="17"/>
        <v>17682157430.258102</v>
      </c>
      <c r="BJ290" s="1711">
        <f t="shared" si="18"/>
        <v>28123508.928856775</v>
      </c>
      <c r="BK290" s="1711">
        <f t="shared" si="19"/>
        <v>0.93000703241297511</v>
      </c>
    </row>
    <row r="291" spans="3:67" x14ac:dyDescent="0.25">
      <c r="C291" s="246" t="s">
        <v>1641</v>
      </c>
      <c r="D291" s="246">
        <v>1</v>
      </c>
      <c r="E291" s="246">
        <v>2</v>
      </c>
      <c r="F291" s="246">
        <v>3</v>
      </c>
      <c r="G291" s="246">
        <v>4</v>
      </c>
      <c r="H291" s="246">
        <v>6</v>
      </c>
      <c r="I291" s="246">
        <v>14</v>
      </c>
      <c r="J291" s="246">
        <v>15</v>
      </c>
      <c r="K291" s="246"/>
      <c r="L291" s="246"/>
      <c r="M291" s="246"/>
      <c r="N291" s="246"/>
      <c r="O291" s="246"/>
      <c r="P291" s="246"/>
      <c r="Q291" s="246"/>
      <c r="R291" s="246">
        <f>IFERROR(VLOOKUP(D291,PROGRAMAS[],2,FALSE),0)</f>
        <v>97037803.679377079</v>
      </c>
      <c r="S291" s="246">
        <f>IFERROR(VLOOKUP(E291,PROGRAMAS[],2,FALSE),0)</f>
        <v>640501509.6821388</v>
      </c>
      <c r="T291" s="246">
        <f>IFERROR(VLOOKUP(F291,PROGRAMAS[],2,FALSE),0)</f>
        <v>3062327798.1525245</v>
      </c>
      <c r="U291" s="246">
        <f>IFERROR(VLOOKUP(G291,PROGRAMAS[],2,FALSE),0)</f>
        <v>67697118.033011258</v>
      </c>
      <c r="V291" s="246">
        <f>IFERROR(VLOOKUP(H291,PROGRAMAS[],2,FALSE),0)</f>
        <v>6907648435.8447599</v>
      </c>
      <c r="W291" s="246">
        <f>IFERROR(VLOOKUP(I291,PROGRAMAS[],2,FALSE),0)</f>
        <v>54223862.645839565</v>
      </c>
      <c r="X291" s="246">
        <f>IFERROR(VLOOKUP(J291,PROGRAMAS[],2,FALSE),0)</f>
        <v>122159672.96346797</v>
      </c>
      <c r="Y291" s="246">
        <f>IFERROR(VLOOKUP(K291,PROGRAMAS[],2,FALSE),0)</f>
        <v>0</v>
      </c>
      <c r="Z291" s="246">
        <f>IFERROR(VLOOKUP(L291,PROGRAMAS[],2,FALSE),0)</f>
        <v>0</v>
      </c>
      <c r="AA291" s="246">
        <f>IFERROR(VLOOKUP(M291,PROGRAMAS[],2,FALSE),0)</f>
        <v>0</v>
      </c>
      <c r="AB291" s="246">
        <f>IFERROR(VLOOKUP(N291,PROGRAMAS[],2,FALSE),0)</f>
        <v>0</v>
      </c>
      <c r="AC291" s="246">
        <f>IFERROR(VLOOKUP(O291,PROGRAMAS[],2,FALSE),0)</f>
        <v>0</v>
      </c>
      <c r="AD291" s="246">
        <f>IFERROR(VLOOKUP(P291,PROGRAMAS[],2,FALSE),0)</f>
        <v>0</v>
      </c>
      <c r="AE291" s="246">
        <f>IFERROR(VLOOKUP(Q291,PROGRAMAS[],2,FALSE),0)</f>
        <v>0</v>
      </c>
      <c r="AF291" s="246">
        <f>IFERROR(VLOOKUP(D291,PROGRAMAS[],3,FALSE),0)</f>
        <v>841888629.31080008</v>
      </c>
      <c r="AG291" s="246">
        <f>IFERROR(VLOOKUP(E291,PROGRAMAS[],3,FALSE),0)</f>
        <v>3848980803.1642323</v>
      </c>
      <c r="AH291" s="246">
        <f>IFERROR(VLOOKUP(F291,PROGRAMAS[],3,FALSE),0)</f>
        <v>3394901471.387517</v>
      </c>
      <c r="AI291" s="246">
        <f>IFERROR(VLOOKUP(G291,PROGRAMAS[],3,FALSE),0)</f>
        <v>125317226.95549992</v>
      </c>
      <c r="AJ291" s="246">
        <f>IFERROR(VLOOKUP(H291,PROGRAMAS[],3,FALSE),0)</f>
        <v>6129902208.7912121</v>
      </c>
      <c r="AK291" s="246">
        <f>IFERROR(VLOOKUP(I291,PROGRAMAS[],3,FALSE),0)</f>
        <v>31865326.38096505</v>
      </c>
      <c r="AL291" s="246">
        <f>IFERROR(VLOOKUP(J291,PROGRAMAS[],3,FALSE),0)</f>
        <v>118617452.52510804</v>
      </c>
      <c r="AM291" s="246">
        <f>IFERROR(VLOOKUP(K291,PROGRAMAS[],3,FALSE),0)</f>
        <v>0</v>
      </c>
      <c r="AN291" s="246">
        <f>IFERROR(VLOOKUP(L291,PROGRAMAS[],3,FALSE),0)</f>
        <v>0</v>
      </c>
      <c r="AO291" s="246">
        <f>IFERROR(VLOOKUP(M291,PROGRAMAS[],3,FALSE),0)</f>
        <v>0</v>
      </c>
      <c r="AP291" s="246">
        <f>IFERROR(VLOOKUP(N291,PROGRAMAS[],3,FALSE),0)</f>
        <v>0</v>
      </c>
      <c r="AQ291" s="246">
        <f>IFERROR(VLOOKUP(O291,PROGRAMAS[],3,FALSE),0)</f>
        <v>0</v>
      </c>
      <c r="AR291" s="246">
        <f>IFERROR(VLOOKUP(P291,PROGRAMAS[],3,FALSE),0)</f>
        <v>0</v>
      </c>
      <c r="AS291" s="246">
        <f>IFERROR(VLOOKUP(Q291,PROGRAMAS[],3,FALSE),0)</f>
        <v>0</v>
      </c>
      <c r="AT291" s="246">
        <f>IFERROR(VLOOKUP(D291,VOL_REC[],2,FALSE),0)</f>
        <v>0</v>
      </c>
      <c r="AU291" s="246">
        <f>IFERROR(VLOOKUP(E291,VOL_REC[],2,FALSE),0)</f>
        <v>0</v>
      </c>
      <c r="AV291" s="246">
        <f>IFERROR(VLOOKUP(F291,VOL_REC[],2,FALSE),0)</f>
        <v>11089674.200000001</v>
      </c>
      <c r="AW291" s="246">
        <f>IFERROR(VLOOKUP(G291,VOL_REC[],2,FALSE),0)</f>
        <v>90439.55</v>
      </c>
      <c r="AX291" s="246">
        <f>IFERROR(VLOOKUP(H291,VOL_REC[],2,FALSE),0)</f>
        <v>15540036.397699751</v>
      </c>
      <c r="AY291" s="246">
        <f>IFERROR(VLOOKUP(I291,VOL_REC[],2,FALSE),0)</f>
        <v>17074.045034105649</v>
      </c>
      <c r="AZ291" s="246">
        <f>IFERROR(VLOOKUP(J291,VOL_REC[],2,FALSE),0)</f>
        <v>105072</v>
      </c>
      <c r="BA291" s="246">
        <f>IFERROR(VLOOKUP(K291,VOL_REC[],2,FALSE),0)</f>
        <v>0</v>
      </c>
      <c r="BB291" s="246">
        <f>IFERROR(VLOOKUP(L291,VOL_REC[],2,FALSE),0)</f>
        <v>0</v>
      </c>
      <c r="BC291" s="246">
        <f>IFERROR(VLOOKUP(M291,VOL_REC[],2,FALSE),0)</f>
        <v>0</v>
      </c>
      <c r="BD291" s="246">
        <f>IFERROR(VLOOKUP(N291,VOL_REC[],2,FALSE),0)</f>
        <v>0</v>
      </c>
      <c r="BE291" s="246">
        <f>IFERROR(VLOOKUP(O291,VOL_REC[],2,FALSE),0)</f>
        <v>0</v>
      </c>
      <c r="BF291" s="246">
        <f>IFERROR(VLOOKUP(P291,VOL_REC[],2,FALSE),0)</f>
        <v>0</v>
      </c>
      <c r="BG291" s="246">
        <f>IFERROR(VLOOKUP(Q291,VOL_REC[],2,FALSE),0)</f>
        <v>0</v>
      </c>
      <c r="BH291" s="1710">
        <f t="shared" si="16"/>
        <v>10951596201.00112</v>
      </c>
      <c r="BI291" s="1710">
        <f t="shared" si="17"/>
        <v>14491473118.515333</v>
      </c>
      <c r="BJ291" s="1711">
        <f t="shared" si="18"/>
        <v>26842296.192733858</v>
      </c>
      <c r="BK291" s="1711">
        <f t="shared" si="19"/>
        <v>0.75572690998602376</v>
      </c>
    </row>
    <row r="292" spans="3:67" x14ac:dyDescent="0.25">
      <c r="C292" s="246" t="s">
        <v>1642</v>
      </c>
      <c r="D292" s="246">
        <v>1</v>
      </c>
      <c r="E292" s="246">
        <v>2</v>
      </c>
      <c r="F292" s="246">
        <v>3</v>
      </c>
      <c r="G292" s="246">
        <v>4</v>
      </c>
      <c r="H292" s="246">
        <v>6</v>
      </c>
      <c r="I292" s="246">
        <v>14</v>
      </c>
      <c r="J292" s="246">
        <v>16</v>
      </c>
      <c r="K292" s="246"/>
      <c r="L292" s="246"/>
      <c r="M292" s="246"/>
      <c r="N292" s="246"/>
      <c r="O292" s="246"/>
      <c r="P292" s="246"/>
      <c r="Q292" s="246"/>
      <c r="R292" s="246">
        <f>IFERROR(VLOOKUP(D292,PROGRAMAS[],2,FALSE),0)</f>
        <v>97037803.679377079</v>
      </c>
      <c r="S292" s="246">
        <f>IFERROR(VLOOKUP(E292,PROGRAMAS[],2,FALSE),0)</f>
        <v>640501509.6821388</v>
      </c>
      <c r="T292" s="246">
        <f>IFERROR(VLOOKUP(F292,PROGRAMAS[],2,FALSE),0)</f>
        <v>3062327798.1525245</v>
      </c>
      <c r="U292" s="246">
        <f>IFERROR(VLOOKUP(G292,PROGRAMAS[],2,FALSE),0)</f>
        <v>67697118.033011258</v>
      </c>
      <c r="V292" s="246">
        <f>IFERROR(VLOOKUP(H292,PROGRAMAS[],2,FALSE),0)</f>
        <v>6907648435.8447599</v>
      </c>
      <c r="W292" s="246">
        <f>IFERROR(VLOOKUP(I292,PROGRAMAS[],2,FALSE),0)</f>
        <v>54223862.645839565</v>
      </c>
      <c r="X292" s="246">
        <f>IFERROR(VLOOKUP(J292,PROGRAMAS[],2,FALSE),0)</f>
        <v>7068496961.0436354</v>
      </c>
      <c r="Y292" s="246">
        <f>IFERROR(VLOOKUP(K292,PROGRAMAS[],2,FALSE),0)</f>
        <v>0</v>
      </c>
      <c r="Z292" s="246">
        <f>IFERROR(VLOOKUP(L292,PROGRAMAS[],2,FALSE),0)</f>
        <v>0</v>
      </c>
      <c r="AA292" s="246">
        <f>IFERROR(VLOOKUP(M292,PROGRAMAS[],2,FALSE),0)</f>
        <v>0</v>
      </c>
      <c r="AB292" s="246">
        <f>IFERROR(VLOOKUP(N292,PROGRAMAS[],2,FALSE),0)</f>
        <v>0</v>
      </c>
      <c r="AC292" s="246">
        <f>IFERROR(VLOOKUP(O292,PROGRAMAS[],2,FALSE),0)</f>
        <v>0</v>
      </c>
      <c r="AD292" s="246">
        <f>IFERROR(VLOOKUP(P292,PROGRAMAS[],2,FALSE),0)</f>
        <v>0</v>
      </c>
      <c r="AE292" s="246">
        <f>IFERROR(VLOOKUP(Q292,PROGRAMAS[],2,FALSE),0)</f>
        <v>0</v>
      </c>
      <c r="AF292" s="246">
        <f>IFERROR(VLOOKUP(D292,PROGRAMAS[],3,FALSE),0)</f>
        <v>841888629.31080008</v>
      </c>
      <c r="AG292" s="246">
        <f>IFERROR(VLOOKUP(E292,PROGRAMAS[],3,FALSE),0)</f>
        <v>3848980803.1642323</v>
      </c>
      <c r="AH292" s="246">
        <f>IFERROR(VLOOKUP(F292,PROGRAMAS[],3,FALSE),0)</f>
        <v>3394901471.387517</v>
      </c>
      <c r="AI292" s="246">
        <f>IFERROR(VLOOKUP(G292,PROGRAMAS[],3,FALSE),0)</f>
        <v>125317226.95549992</v>
      </c>
      <c r="AJ292" s="246">
        <f>IFERROR(VLOOKUP(H292,PROGRAMAS[],3,FALSE),0)</f>
        <v>6129902208.7912121</v>
      </c>
      <c r="AK292" s="246">
        <f>IFERROR(VLOOKUP(I292,PROGRAMAS[],3,FALSE),0)</f>
        <v>31865326.38096505</v>
      </c>
      <c r="AL292" s="246">
        <f>IFERROR(VLOOKUP(J292,PROGRAMAS[],3,FALSE),0)</f>
        <v>2406564599.0319901</v>
      </c>
      <c r="AM292" s="246">
        <f>IFERROR(VLOOKUP(K292,PROGRAMAS[],3,FALSE),0)</f>
        <v>0</v>
      </c>
      <c r="AN292" s="246">
        <f>IFERROR(VLOOKUP(L292,PROGRAMAS[],3,FALSE),0)</f>
        <v>0</v>
      </c>
      <c r="AO292" s="246">
        <f>IFERROR(VLOOKUP(M292,PROGRAMAS[],3,FALSE),0)</f>
        <v>0</v>
      </c>
      <c r="AP292" s="246">
        <f>IFERROR(VLOOKUP(N292,PROGRAMAS[],3,FALSE),0)</f>
        <v>0</v>
      </c>
      <c r="AQ292" s="246">
        <f>IFERROR(VLOOKUP(O292,PROGRAMAS[],3,FALSE),0)</f>
        <v>0</v>
      </c>
      <c r="AR292" s="246">
        <f>IFERROR(VLOOKUP(P292,PROGRAMAS[],3,FALSE),0)</f>
        <v>0</v>
      </c>
      <c r="AS292" s="246">
        <f>IFERROR(VLOOKUP(Q292,PROGRAMAS[],3,FALSE),0)</f>
        <v>0</v>
      </c>
      <c r="AT292" s="246">
        <f>IFERROR(VLOOKUP(D292,VOL_REC[],2,FALSE),0)</f>
        <v>0</v>
      </c>
      <c r="AU292" s="246">
        <f>IFERROR(VLOOKUP(E292,VOL_REC[],2,FALSE),0)</f>
        <v>0</v>
      </c>
      <c r="AV292" s="246">
        <f>IFERROR(VLOOKUP(F292,VOL_REC[],2,FALSE),0)</f>
        <v>11089674.200000001</v>
      </c>
      <c r="AW292" s="246">
        <f>IFERROR(VLOOKUP(G292,VOL_REC[],2,FALSE),0)</f>
        <v>90439.55</v>
      </c>
      <c r="AX292" s="246">
        <f>IFERROR(VLOOKUP(H292,VOL_REC[],2,FALSE),0)</f>
        <v>15540036.397699751</v>
      </c>
      <c r="AY292" s="246">
        <f>IFERROR(VLOOKUP(I292,VOL_REC[],2,FALSE),0)</f>
        <v>17074.045034105649</v>
      </c>
      <c r="AZ292" s="246">
        <f>IFERROR(VLOOKUP(J292,VOL_REC[],2,FALSE),0)</f>
        <v>1072354.9981737854</v>
      </c>
      <c r="BA292" s="246">
        <f>IFERROR(VLOOKUP(K292,VOL_REC[],2,FALSE),0)</f>
        <v>0</v>
      </c>
      <c r="BB292" s="246">
        <f>IFERROR(VLOOKUP(L292,VOL_REC[],2,FALSE),0)</f>
        <v>0</v>
      </c>
      <c r="BC292" s="246">
        <f>IFERROR(VLOOKUP(M292,VOL_REC[],2,FALSE),0)</f>
        <v>0</v>
      </c>
      <c r="BD292" s="246">
        <f>IFERROR(VLOOKUP(N292,VOL_REC[],2,FALSE),0)</f>
        <v>0</v>
      </c>
      <c r="BE292" s="246">
        <f>IFERROR(VLOOKUP(O292,VOL_REC[],2,FALSE),0)</f>
        <v>0</v>
      </c>
      <c r="BF292" s="246">
        <f>IFERROR(VLOOKUP(P292,VOL_REC[],2,FALSE),0)</f>
        <v>0</v>
      </c>
      <c r="BG292" s="246">
        <f>IFERROR(VLOOKUP(Q292,VOL_REC[],2,FALSE),0)</f>
        <v>0</v>
      </c>
      <c r="BH292" s="1710">
        <f t="shared" si="16"/>
        <v>17897933489.081287</v>
      </c>
      <c r="BI292" s="1710">
        <f t="shared" si="17"/>
        <v>16779420265.022215</v>
      </c>
      <c r="BJ292" s="1711">
        <f t="shared" si="18"/>
        <v>27809579.190907642</v>
      </c>
      <c r="BK292" s="1711">
        <f t="shared" si="19"/>
        <v>1.06665982533322</v>
      </c>
      <c r="BL292">
        <f>BJ292</f>
        <v>27809579.190907642</v>
      </c>
      <c r="BO292">
        <f>BL292</f>
        <v>27809579.190907642</v>
      </c>
    </row>
    <row r="293" spans="3:67" x14ac:dyDescent="0.25">
      <c r="C293" s="246" t="s">
        <v>1643</v>
      </c>
      <c r="D293" s="246">
        <v>1</v>
      </c>
      <c r="E293" s="246">
        <v>2</v>
      </c>
      <c r="F293" s="246">
        <v>3</v>
      </c>
      <c r="G293" s="246">
        <v>4</v>
      </c>
      <c r="H293" s="246">
        <v>6</v>
      </c>
      <c r="I293" s="246">
        <v>14</v>
      </c>
      <c r="J293" s="246">
        <v>17</v>
      </c>
      <c r="K293" s="246"/>
      <c r="L293" s="246"/>
      <c r="M293" s="246"/>
      <c r="N293" s="246"/>
      <c r="O293" s="246"/>
      <c r="P293" s="246"/>
      <c r="Q293" s="246"/>
      <c r="R293" s="246">
        <f>IFERROR(VLOOKUP(D293,PROGRAMAS[],2,FALSE),0)</f>
        <v>97037803.679377079</v>
      </c>
      <c r="S293" s="246">
        <f>IFERROR(VLOOKUP(E293,PROGRAMAS[],2,FALSE),0)</f>
        <v>640501509.6821388</v>
      </c>
      <c r="T293" s="246">
        <f>IFERROR(VLOOKUP(F293,PROGRAMAS[],2,FALSE),0)</f>
        <v>3062327798.1525245</v>
      </c>
      <c r="U293" s="246">
        <f>IFERROR(VLOOKUP(G293,PROGRAMAS[],2,FALSE),0)</f>
        <v>67697118.033011258</v>
      </c>
      <c r="V293" s="246">
        <f>IFERROR(VLOOKUP(H293,PROGRAMAS[],2,FALSE),0)</f>
        <v>6907648435.8447599</v>
      </c>
      <c r="W293" s="246">
        <f>IFERROR(VLOOKUP(I293,PROGRAMAS[],2,FALSE),0)</f>
        <v>54223862.645839565</v>
      </c>
      <c r="X293" s="246">
        <f>IFERROR(VLOOKUP(J293,PROGRAMAS[],2,FALSE),0)</f>
        <v>1892779498.5211046</v>
      </c>
      <c r="Y293" s="246">
        <f>IFERROR(VLOOKUP(K293,PROGRAMAS[],2,FALSE),0)</f>
        <v>0</v>
      </c>
      <c r="Z293" s="246">
        <f>IFERROR(VLOOKUP(L293,PROGRAMAS[],2,FALSE),0)</f>
        <v>0</v>
      </c>
      <c r="AA293" s="246">
        <f>IFERROR(VLOOKUP(M293,PROGRAMAS[],2,FALSE),0)</f>
        <v>0</v>
      </c>
      <c r="AB293" s="246">
        <f>IFERROR(VLOOKUP(N293,PROGRAMAS[],2,FALSE),0)</f>
        <v>0</v>
      </c>
      <c r="AC293" s="246">
        <f>IFERROR(VLOOKUP(O293,PROGRAMAS[],2,FALSE),0)</f>
        <v>0</v>
      </c>
      <c r="AD293" s="246">
        <f>IFERROR(VLOOKUP(P293,PROGRAMAS[],2,FALSE),0)</f>
        <v>0</v>
      </c>
      <c r="AE293" s="246">
        <f>IFERROR(VLOOKUP(Q293,PROGRAMAS[],2,FALSE),0)</f>
        <v>0</v>
      </c>
      <c r="AF293" s="246">
        <f>IFERROR(VLOOKUP(D293,PROGRAMAS[],3,FALSE),0)</f>
        <v>841888629.31080008</v>
      </c>
      <c r="AG293" s="246">
        <f>IFERROR(VLOOKUP(E293,PROGRAMAS[],3,FALSE),0)</f>
        <v>3848980803.1642323</v>
      </c>
      <c r="AH293" s="246">
        <f>IFERROR(VLOOKUP(F293,PROGRAMAS[],3,FALSE),0)</f>
        <v>3394901471.387517</v>
      </c>
      <c r="AI293" s="246">
        <f>IFERROR(VLOOKUP(G293,PROGRAMAS[],3,FALSE),0)</f>
        <v>125317226.95549992</v>
      </c>
      <c r="AJ293" s="246">
        <f>IFERROR(VLOOKUP(H293,PROGRAMAS[],3,FALSE),0)</f>
        <v>6129902208.7912121</v>
      </c>
      <c r="AK293" s="246">
        <f>IFERROR(VLOOKUP(I293,PROGRAMAS[],3,FALSE),0)</f>
        <v>31865326.38096505</v>
      </c>
      <c r="AL293" s="246">
        <f>IFERROR(VLOOKUP(J293,PROGRAMAS[],3,FALSE),0)</f>
        <v>948595847.09039903</v>
      </c>
      <c r="AM293" s="246">
        <f>IFERROR(VLOOKUP(K293,PROGRAMAS[],3,FALSE),0)</f>
        <v>0</v>
      </c>
      <c r="AN293" s="246">
        <f>IFERROR(VLOOKUP(L293,PROGRAMAS[],3,FALSE),0)</f>
        <v>0</v>
      </c>
      <c r="AO293" s="246">
        <f>IFERROR(VLOOKUP(M293,PROGRAMAS[],3,FALSE),0)</f>
        <v>0</v>
      </c>
      <c r="AP293" s="246">
        <f>IFERROR(VLOOKUP(N293,PROGRAMAS[],3,FALSE),0)</f>
        <v>0</v>
      </c>
      <c r="AQ293" s="246">
        <f>IFERROR(VLOOKUP(O293,PROGRAMAS[],3,FALSE),0)</f>
        <v>0</v>
      </c>
      <c r="AR293" s="246">
        <f>IFERROR(VLOOKUP(P293,PROGRAMAS[],3,FALSE),0)</f>
        <v>0</v>
      </c>
      <c r="AS293" s="246">
        <f>IFERROR(VLOOKUP(Q293,PROGRAMAS[],3,FALSE),0)</f>
        <v>0</v>
      </c>
      <c r="AT293" s="246">
        <f>IFERROR(VLOOKUP(D293,VOL_REC[],2,FALSE),0)</f>
        <v>0</v>
      </c>
      <c r="AU293" s="246">
        <f>IFERROR(VLOOKUP(E293,VOL_REC[],2,FALSE),0)</f>
        <v>0</v>
      </c>
      <c r="AV293" s="246">
        <f>IFERROR(VLOOKUP(F293,VOL_REC[],2,FALSE),0)</f>
        <v>11089674.200000001</v>
      </c>
      <c r="AW293" s="246">
        <f>IFERROR(VLOOKUP(G293,VOL_REC[],2,FALSE),0)</f>
        <v>90439.55</v>
      </c>
      <c r="AX293" s="246">
        <f>IFERROR(VLOOKUP(H293,VOL_REC[],2,FALSE),0)</f>
        <v>15540036.397699751</v>
      </c>
      <c r="AY293" s="246">
        <f>IFERROR(VLOOKUP(I293,VOL_REC[],2,FALSE),0)</f>
        <v>17074.045034105649</v>
      </c>
      <c r="AZ293" s="246">
        <f>IFERROR(VLOOKUP(J293,VOL_REC[],2,FALSE),0)</f>
        <v>740113.98115702497</v>
      </c>
      <c r="BA293" s="246">
        <f>IFERROR(VLOOKUP(K293,VOL_REC[],2,FALSE),0)</f>
        <v>0</v>
      </c>
      <c r="BB293" s="246">
        <f>IFERROR(VLOOKUP(L293,VOL_REC[],2,FALSE),0)</f>
        <v>0</v>
      </c>
      <c r="BC293" s="246">
        <f>IFERROR(VLOOKUP(M293,VOL_REC[],2,FALSE),0)</f>
        <v>0</v>
      </c>
      <c r="BD293" s="246">
        <f>IFERROR(VLOOKUP(N293,VOL_REC[],2,FALSE),0)</f>
        <v>0</v>
      </c>
      <c r="BE293" s="246">
        <f>IFERROR(VLOOKUP(O293,VOL_REC[],2,FALSE),0)</f>
        <v>0</v>
      </c>
      <c r="BF293" s="246">
        <f>IFERROR(VLOOKUP(P293,VOL_REC[],2,FALSE),0)</f>
        <v>0</v>
      </c>
      <c r="BG293" s="246">
        <f>IFERROR(VLOOKUP(Q293,VOL_REC[],2,FALSE),0)</f>
        <v>0</v>
      </c>
      <c r="BH293" s="1710">
        <f t="shared" si="16"/>
        <v>12722216026.558756</v>
      </c>
      <c r="BI293" s="1710">
        <f t="shared" si="17"/>
        <v>15321451513.080624</v>
      </c>
      <c r="BJ293" s="1711">
        <f t="shared" si="18"/>
        <v>27477338.173890881</v>
      </c>
      <c r="BK293" s="1711">
        <f t="shared" si="19"/>
        <v>0.83035318264051017</v>
      </c>
    </row>
    <row r="294" spans="3:67" x14ac:dyDescent="0.25">
      <c r="C294" s="246" t="s">
        <v>1644</v>
      </c>
      <c r="D294" s="246">
        <v>1</v>
      </c>
      <c r="E294" s="246">
        <v>2</v>
      </c>
      <c r="F294" s="246">
        <v>3</v>
      </c>
      <c r="G294" s="246">
        <v>4</v>
      </c>
      <c r="H294" s="246">
        <v>6</v>
      </c>
      <c r="I294" s="246">
        <v>15</v>
      </c>
      <c r="J294" s="246">
        <v>16</v>
      </c>
      <c r="K294" s="246"/>
      <c r="L294" s="246"/>
      <c r="M294" s="246"/>
      <c r="N294" s="246"/>
      <c r="O294" s="246"/>
      <c r="P294" s="246"/>
      <c r="Q294" s="246"/>
      <c r="R294" s="246">
        <f>IFERROR(VLOOKUP(D294,PROGRAMAS[],2,FALSE),0)</f>
        <v>97037803.679377079</v>
      </c>
      <c r="S294" s="246">
        <f>IFERROR(VLOOKUP(E294,PROGRAMAS[],2,FALSE),0)</f>
        <v>640501509.6821388</v>
      </c>
      <c r="T294" s="246">
        <f>IFERROR(VLOOKUP(F294,PROGRAMAS[],2,FALSE),0)</f>
        <v>3062327798.1525245</v>
      </c>
      <c r="U294" s="246">
        <f>IFERROR(VLOOKUP(G294,PROGRAMAS[],2,FALSE),0)</f>
        <v>67697118.033011258</v>
      </c>
      <c r="V294" s="246">
        <f>IFERROR(VLOOKUP(H294,PROGRAMAS[],2,FALSE),0)</f>
        <v>6907648435.8447599</v>
      </c>
      <c r="W294" s="246">
        <f>IFERROR(VLOOKUP(I294,PROGRAMAS[],2,FALSE),0)</f>
        <v>122159672.96346797</v>
      </c>
      <c r="X294" s="246">
        <f>IFERROR(VLOOKUP(J294,PROGRAMAS[],2,FALSE),0)</f>
        <v>7068496961.0436354</v>
      </c>
      <c r="Y294" s="246">
        <f>IFERROR(VLOOKUP(K294,PROGRAMAS[],2,FALSE),0)</f>
        <v>0</v>
      </c>
      <c r="Z294" s="246">
        <f>IFERROR(VLOOKUP(L294,PROGRAMAS[],2,FALSE),0)</f>
        <v>0</v>
      </c>
      <c r="AA294" s="246">
        <f>IFERROR(VLOOKUP(M294,PROGRAMAS[],2,FALSE),0)</f>
        <v>0</v>
      </c>
      <c r="AB294" s="246">
        <f>IFERROR(VLOOKUP(N294,PROGRAMAS[],2,FALSE),0)</f>
        <v>0</v>
      </c>
      <c r="AC294" s="246">
        <f>IFERROR(VLOOKUP(O294,PROGRAMAS[],2,FALSE),0)</f>
        <v>0</v>
      </c>
      <c r="AD294" s="246">
        <f>IFERROR(VLOOKUP(P294,PROGRAMAS[],2,FALSE),0)</f>
        <v>0</v>
      </c>
      <c r="AE294" s="246">
        <f>IFERROR(VLOOKUP(Q294,PROGRAMAS[],2,FALSE),0)</f>
        <v>0</v>
      </c>
      <c r="AF294" s="246">
        <f>IFERROR(VLOOKUP(D294,PROGRAMAS[],3,FALSE),0)</f>
        <v>841888629.31080008</v>
      </c>
      <c r="AG294" s="246">
        <f>IFERROR(VLOOKUP(E294,PROGRAMAS[],3,FALSE),0)</f>
        <v>3848980803.1642323</v>
      </c>
      <c r="AH294" s="246">
        <f>IFERROR(VLOOKUP(F294,PROGRAMAS[],3,FALSE),0)</f>
        <v>3394901471.387517</v>
      </c>
      <c r="AI294" s="246">
        <f>IFERROR(VLOOKUP(G294,PROGRAMAS[],3,FALSE),0)</f>
        <v>125317226.95549992</v>
      </c>
      <c r="AJ294" s="246">
        <f>IFERROR(VLOOKUP(H294,PROGRAMAS[],3,FALSE),0)</f>
        <v>6129902208.7912121</v>
      </c>
      <c r="AK294" s="246">
        <f>IFERROR(VLOOKUP(I294,PROGRAMAS[],3,FALSE),0)</f>
        <v>118617452.52510804</v>
      </c>
      <c r="AL294" s="246">
        <f>IFERROR(VLOOKUP(J294,PROGRAMAS[],3,FALSE),0)</f>
        <v>2406564599.0319901</v>
      </c>
      <c r="AM294" s="246">
        <f>IFERROR(VLOOKUP(K294,PROGRAMAS[],3,FALSE),0)</f>
        <v>0</v>
      </c>
      <c r="AN294" s="246">
        <f>IFERROR(VLOOKUP(L294,PROGRAMAS[],3,FALSE),0)</f>
        <v>0</v>
      </c>
      <c r="AO294" s="246">
        <f>IFERROR(VLOOKUP(M294,PROGRAMAS[],3,FALSE),0)</f>
        <v>0</v>
      </c>
      <c r="AP294" s="246">
        <f>IFERROR(VLOOKUP(N294,PROGRAMAS[],3,FALSE),0)</f>
        <v>0</v>
      </c>
      <c r="AQ294" s="246">
        <f>IFERROR(VLOOKUP(O294,PROGRAMAS[],3,FALSE),0)</f>
        <v>0</v>
      </c>
      <c r="AR294" s="246">
        <f>IFERROR(VLOOKUP(P294,PROGRAMAS[],3,FALSE),0)</f>
        <v>0</v>
      </c>
      <c r="AS294" s="246">
        <f>IFERROR(VLOOKUP(Q294,PROGRAMAS[],3,FALSE),0)</f>
        <v>0</v>
      </c>
      <c r="AT294" s="246">
        <f>IFERROR(VLOOKUP(D294,VOL_REC[],2,FALSE),0)</f>
        <v>0</v>
      </c>
      <c r="AU294" s="246">
        <f>IFERROR(VLOOKUP(E294,VOL_REC[],2,FALSE),0)</f>
        <v>0</v>
      </c>
      <c r="AV294" s="246">
        <f>IFERROR(VLOOKUP(F294,VOL_REC[],2,FALSE),0)</f>
        <v>11089674.200000001</v>
      </c>
      <c r="AW294" s="246">
        <f>IFERROR(VLOOKUP(G294,VOL_REC[],2,FALSE),0)</f>
        <v>90439.55</v>
      </c>
      <c r="AX294" s="246">
        <f>IFERROR(VLOOKUP(H294,VOL_REC[],2,FALSE),0)</f>
        <v>15540036.397699751</v>
      </c>
      <c r="AY294" s="246">
        <f>IFERROR(VLOOKUP(I294,VOL_REC[],2,FALSE),0)</f>
        <v>105072</v>
      </c>
      <c r="AZ294" s="246">
        <f>IFERROR(VLOOKUP(J294,VOL_REC[],2,FALSE),0)</f>
        <v>1072354.9981737854</v>
      </c>
      <c r="BA294" s="246">
        <f>IFERROR(VLOOKUP(K294,VOL_REC[],2,FALSE),0)</f>
        <v>0</v>
      </c>
      <c r="BB294" s="246">
        <f>IFERROR(VLOOKUP(L294,VOL_REC[],2,FALSE),0)</f>
        <v>0</v>
      </c>
      <c r="BC294" s="246">
        <f>IFERROR(VLOOKUP(M294,VOL_REC[],2,FALSE),0)</f>
        <v>0</v>
      </c>
      <c r="BD294" s="246">
        <f>IFERROR(VLOOKUP(N294,VOL_REC[],2,FALSE),0)</f>
        <v>0</v>
      </c>
      <c r="BE294" s="246">
        <f>IFERROR(VLOOKUP(O294,VOL_REC[],2,FALSE),0)</f>
        <v>0</v>
      </c>
      <c r="BF294" s="246">
        <f>IFERROR(VLOOKUP(P294,VOL_REC[],2,FALSE),0)</f>
        <v>0</v>
      </c>
      <c r="BG294" s="246">
        <f>IFERROR(VLOOKUP(Q294,VOL_REC[],2,FALSE),0)</f>
        <v>0</v>
      </c>
      <c r="BH294" s="1710">
        <f t="shared" si="16"/>
        <v>17965869299.398914</v>
      </c>
      <c r="BI294" s="1710">
        <f t="shared" si="17"/>
        <v>16866172391.166359</v>
      </c>
      <c r="BJ294" s="1711">
        <f t="shared" si="18"/>
        <v>27897577.145873535</v>
      </c>
      <c r="BK294" s="1711">
        <f t="shared" si="19"/>
        <v>1.0652013321533771</v>
      </c>
      <c r="BL294">
        <f>BJ294</f>
        <v>27897577.145873535</v>
      </c>
      <c r="BO294">
        <f>BL294</f>
        <v>27897577.145873535</v>
      </c>
    </row>
    <row r="295" spans="3:67" x14ac:dyDescent="0.25">
      <c r="C295" s="246" t="s">
        <v>1645</v>
      </c>
      <c r="D295" s="246">
        <v>1</v>
      </c>
      <c r="E295" s="246">
        <v>2</v>
      </c>
      <c r="F295" s="246">
        <v>3</v>
      </c>
      <c r="G295" s="246">
        <v>4</v>
      </c>
      <c r="H295" s="246">
        <v>6</v>
      </c>
      <c r="I295" s="246">
        <v>15</v>
      </c>
      <c r="J295" s="246">
        <v>17</v>
      </c>
      <c r="K295" s="246"/>
      <c r="L295" s="246"/>
      <c r="M295" s="246"/>
      <c r="N295" s="246"/>
      <c r="O295" s="246"/>
      <c r="P295" s="246"/>
      <c r="Q295" s="246"/>
      <c r="R295" s="246">
        <f>IFERROR(VLOOKUP(D295,PROGRAMAS[],2,FALSE),0)</f>
        <v>97037803.679377079</v>
      </c>
      <c r="S295" s="246">
        <f>IFERROR(VLOOKUP(E295,PROGRAMAS[],2,FALSE),0)</f>
        <v>640501509.6821388</v>
      </c>
      <c r="T295" s="246">
        <f>IFERROR(VLOOKUP(F295,PROGRAMAS[],2,FALSE),0)</f>
        <v>3062327798.1525245</v>
      </c>
      <c r="U295" s="246">
        <f>IFERROR(VLOOKUP(G295,PROGRAMAS[],2,FALSE),0)</f>
        <v>67697118.033011258</v>
      </c>
      <c r="V295" s="246">
        <f>IFERROR(VLOOKUP(H295,PROGRAMAS[],2,FALSE),0)</f>
        <v>6907648435.8447599</v>
      </c>
      <c r="W295" s="246">
        <f>IFERROR(VLOOKUP(I295,PROGRAMAS[],2,FALSE),0)</f>
        <v>122159672.96346797</v>
      </c>
      <c r="X295" s="246">
        <f>IFERROR(VLOOKUP(J295,PROGRAMAS[],2,FALSE),0)</f>
        <v>1892779498.5211046</v>
      </c>
      <c r="Y295" s="246">
        <f>IFERROR(VLOOKUP(K295,PROGRAMAS[],2,FALSE),0)</f>
        <v>0</v>
      </c>
      <c r="Z295" s="246">
        <f>IFERROR(VLOOKUP(L295,PROGRAMAS[],2,FALSE),0)</f>
        <v>0</v>
      </c>
      <c r="AA295" s="246">
        <f>IFERROR(VLOOKUP(M295,PROGRAMAS[],2,FALSE),0)</f>
        <v>0</v>
      </c>
      <c r="AB295" s="246">
        <f>IFERROR(VLOOKUP(N295,PROGRAMAS[],2,FALSE),0)</f>
        <v>0</v>
      </c>
      <c r="AC295" s="246">
        <f>IFERROR(VLOOKUP(O295,PROGRAMAS[],2,FALSE),0)</f>
        <v>0</v>
      </c>
      <c r="AD295" s="246">
        <f>IFERROR(VLOOKUP(P295,PROGRAMAS[],2,FALSE),0)</f>
        <v>0</v>
      </c>
      <c r="AE295" s="246">
        <f>IFERROR(VLOOKUP(Q295,PROGRAMAS[],2,FALSE),0)</f>
        <v>0</v>
      </c>
      <c r="AF295" s="246">
        <f>IFERROR(VLOOKUP(D295,PROGRAMAS[],3,FALSE),0)</f>
        <v>841888629.31080008</v>
      </c>
      <c r="AG295" s="246">
        <f>IFERROR(VLOOKUP(E295,PROGRAMAS[],3,FALSE),0)</f>
        <v>3848980803.1642323</v>
      </c>
      <c r="AH295" s="246">
        <f>IFERROR(VLOOKUP(F295,PROGRAMAS[],3,FALSE),0)</f>
        <v>3394901471.387517</v>
      </c>
      <c r="AI295" s="246">
        <f>IFERROR(VLOOKUP(G295,PROGRAMAS[],3,FALSE),0)</f>
        <v>125317226.95549992</v>
      </c>
      <c r="AJ295" s="246">
        <f>IFERROR(VLOOKUP(H295,PROGRAMAS[],3,FALSE),0)</f>
        <v>6129902208.7912121</v>
      </c>
      <c r="AK295" s="246">
        <f>IFERROR(VLOOKUP(I295,PROGRAMAS[],3,FALSE),0)</f>
        <v>118617452.52510804</v>
      </c>
      <c r="AL295" s="246">
        <f>IFERROR(VLOOKUP(J295,PROGRAMAS[],3,FALSE),0)</f>
        <v>948595847.09039903</v>
      </c>
      <c r="AM295" s="246">
        <f>IFERROR(VLOOKUP(K295,PROGRAMAS[],3,FALSE),0)</f>
        <v>0</v>
      </c>
      <c r="AN295" s="246">
        <f>IFERROR(VLOOKUP(L295,PROGRAMAS[],3,FALSE),0)</f>
        <v>0</v>
      </c>
      <c r="AO295" s="246">
        <f>IFERROR(VLOOKUP(M295,PROGRAMAS[],3,FALSE),0)</f>
        <v>0</v>
      </c>
      <c r="AP295" s="246">
        <f>IFERROR(VLOOKUP(N295,PROGRAMAS[],3,FALSE),0)</f>
        <v>0</v>
      </c>
      <c r="AQ295" s="246">
        <f>IFERROR(VLOOKUP(O295,PROGRAMAS[],3,FALSE),0)</f>
        <v>0</v>
      </c>
      <c r="AR295" s="246">
        <f>IFERROR(VLOOKUP(P295,PROGRAMAS[],3,FALSE),0)</f>
        <v>0</v>
      </c>
      <c r="AS295" s="246">
        <f>IFERROR(VLOOKUP(Q295,PROGRAMAS[],3,FALSE),0)</f>
        <v>0</v>
      </c>
      <c r="AT295" s="246">
        <f>IFERROR(VLOOKUP(D295,VOL_REC[],2,FALSE),0)</f>
        <v>0</v>
      </c>
      <c r="AU295" s="246">
        <f>IFERROR(VLOOKUP(E295,VOL_REC[],2,FALSE),0)</f>
        <v>0</v>
      </c>
      <c r="AV295" s="246">
        <f>IFERROR(VLOOKUP(F295,VOL_REC[],2,FALSE),0)</f>
        <v>11089674.200000001</v>
      </c>
      <c r="AW295" s="246">
        <f>IFERROR(VLOOKUP(G295,VOL_REC[],2,FALSE),0)</f>
        <v>90439.55</v>
      </c>
      <c r="AX295" s="246">
        <f>IFERROR(VLOOKUP(H295,VOL_REC[],2,FALSE),0)</f>
        <v>15540036.397699751</v>
      </c>
      <c r="AY295" s="246">
        <f>IFERROR(VLOOKUP(I295,VOL_REC[],2,FALSE),0)</f>
        <v>105072</v>
      </c>
      <c r="AZ295" s="246">
        <f>IFERROR(VLOOKUP(J295,VOL_REC[],2,FALSE),0)</f>
        <v>740113.98115702497</v>
      </c>
      <c r="BA295" s="246">
        <f>IFERROR(VLOOKUP(K295,VOL_REC[],2,FALSE),0)</f>
        <v>0</v>
      </c>
      <c r="BB295" s="246">
        <f>IFERROR(VLOOKUP(L295,VOL_REC[],2,FALSE),0)</f>
        <v>0</v>
      </c>
      <c r="BC295" s="246">
        <f>IFERROR(VLOOKUP(M295,VOL_REC[],2,FALSE),0)</f>
        <v>0</v>
      </c>
      <c r="BD295" s="246">
        <f>IFERROR(VLOOKUP(N295,VOL_REC[],2,FALSE),0)</f>
        <v>0</v>
      </c>
      <c r="BE295" s="246">
        <f>IFERROR(VLOOKUP(O295,VOL_REC[],2,FALSE),0)</f>
        <v>0</v>
      </c>
      <c r="BF295" s="246">
        <f>IFERROR(VLOOKUP(P295,VOL_REC[],2,FALSE),0)</f>
        <v>0</v>
      </c>
      <c r="BG295" s="246">
        <f>IFERROR(VLOOKUP(Q295,VOL_REC[],2,FALSE),0)</f>
        <v>0</v>
      </c>
      <c r="BH295" s="1710">
        <f t="shared" si="16"/>
        <v>12790151836.876385</v>
      </c>
      <c r="BI295" s="1710">
        <f t="shared" si="17"/>
        <v>15408203639.224768</v>
      </c>
      <c r="BJ295" s="1711">
        <f t="shared" si="18"/>
        <v>27565336.128856774</v>
      </c>
      <c r="BK295" s="1711">
        <f t="shared" si="19"/>
        <v>0.83008714944008199</v>
      </c>
    </row>
    <row r="296" spans="3:67" x14ac:dyDescent="0.25">
      <c r="C296" s="246" t="s">
        <v>1646</v>
      </c>
      <c r="D296" s="246">
        <v>1</v>
      </c>
      <c r="E296" s="246">
        <v>2</v>
      </c>
      <c r="F296" s="246">
        <v>3</v>
      </c>
      <c r="G296" s="246">
        <v>4</v>
      </c>
      <c r="H296" s="246">
        <v>6</v>
      </c>
      <c r="I296" s="246">
        <v>16</v>
      </c>
      <c r="J296" s="246">
        <v>17</v>
      </c>
      <c r="K296" s="246"/>
      <c r="L296" s="246"/>
      <c r="M296" s="246"/>
      <c r="N296" s="246"/>
      <c r="O296" s="246"/>
      <c r="P296" s="246"/>
      <c r="Q296" s="246"/>
      <c r="R296" s="246">
        <f>IFERROR(VLOOKUP(D296,PROGRAMAS[],2,FALSE),0)</f>
        <v>97037803.679377079</v>
      </c>
      <c r="S296" s="246">
        <f>IFERROR(VLOOKUP(E296,PROGRAMAS[],2,FALSE),0)</f>
        <v>640501509.6821388</v>
      </c>
      <c r="T296" s="246">
        <f>IFERROR(VLOOKUP(F296,PROGRAMAS[],2,FALSE),0)</f>
        <v>3062327798.1525245</v>
      </c>
      <c r="U296" s="246">
        <f>IFERROR(VLOOKUP(G296,PROGRAMAS[],2,FALSE),0)</f>
        <v>67697118.033011258</v>
      </c>
      <c r="V296" s="246">
        <f>IFERROR(VLOOKUP(H296,PROGRAMAS[],2,FALSE),0)</f>
        <v>6907648435.8447599</v>
      </c>
      <c r="W296" s="246">
        <f>IFERROR(VLOOKUP(I296,PROGRAMAS[],2,FALSE),0)</f>
        <v>7068496961.0436354</v>
      </c>
      <c r="X296" s="246">
        <f>IFERROR(VLOOKUP(J296,PROGRAMAS[],2,FALSE),0)</f>
        <v>1892779498.5211046</v>
      </c>
      <c r="Y296" s="246">
        <f>IFERROR(VLOOKUP(K296,PROGRAMAS[],2,FALSE),0)</f>
        <v>0</v>
      </c>
      <c r="Z296" s="246">
        <f>IFERROR(VLOOKUP(L296,PROGRAMAS[],2,FALSE),0)</f>
        <v>0</v>
      </c>
      <c r="AA296" s="246">
        <f>IFERROR(VLOOKUP(M296,PROGRAMAS[],2,FALSE),0)</f>
        <v>0</v>
      </c>
      <c r="AB296" s="246">
        <f>IFERROR(VLOOKUP(N296,PROGRAMAS[],2,FALSE),0)</f>
        <v>0</v>
      </c>
      <c r="AC296" s="246">
        <f>IFERROR(VLOOKUP(O296,PROGRAMAS[],2,FALSE),0)</f>
        <v>0</v>
      </c>
      <c r="AD296" s="246">
        <f>IFERROR(VLOOKUP(P296,PROGRAMAS[],2,FALSE),0)</f>
        <v>0</v>
      </c>
      <c r="AE296" s="246">
        <f>IFERROR(VLOOKUP(Q296,PROGRAMAS[],2,FALSE),0)</f>
        <v>0</v>
      </c>
      <c r="AF296" s="246">
        <f>IFERROR(VLOOKUP(D296,PROGRAMAS[],3,FALSE),0)</f>
        <v>841888629.31080008</v>
      </c>
      <c r="AG296" s="246">
        <f>IFERROR(VLOOKUP(E296,PROGRAMAS[],3,FALSE),0)</f>
        <v>3848980803.1642323</v>
      </c>
      <c r="AH296" s="246">
        <f>IFERROR(VLOOKUP(F296,PROGRAMAS[],3,FALSE),0)</f>
        <v>3394901471.387517</v>
      </c>
      <c r="AI296" s="246">
        <f>IFERROR(VLOOKUP(G296,PROGRAMAS[],3,FALSE),0)</f>
        <v>125317226.95549992</v>
      </c>
      <c r="AJ296" s="246">
        <f>IFERROR(VLOOKUP(H296,PROGRAMAS[],3,FALSE),0)</f>
        <v>6129902208.7912121</v>
      </c>
      <c r="AK296" s="246">
        <f>IFERROR(VLOOKUP(I296,PROGRAMAS[],3,FALSE),0)</f>
        <v>2406564599.0319901</v>
      </c>
      <c r="AL296" s="246">
        <f>IFERROR(VLOOKUP(J296,PROGRAMAS[],3,FALSE),0)</f>
        <v>948595847.09039903</v>
      </c>
      <c r="AM296" s="246">
        <f>IFERROR(VLOOKUP(K296,PROGRAMAS[],3,FALSE),0)</f>
        <v>0</v>
      </c>
      <c r="AN296" s="246">
        <f>IFERROR(VLOOKUP(L296,PROGRAMAS[],3,FALSE),0)</f>
        <v>0</v>
      </c>
      <c r="AO296" s="246">
        <f>IFERROR(VLOOKUP(M296,PROGRAMAS[],3,FALSE),0)</f>
        <v>0</v>
      </c>
      <c r="AP296" s="246">
        <f>IFERROR(VLOOKUP(N296,PROGRAMAS[],3,FALSE),0)</f>
        <v>0</v>
      </c>
      <c r="AQ296" s="246">
        <f>IFERROR(VLOOKUP(O296,PROGRAMAS[],3,FALSE),0)</f>
        <v>0</v>
      </c>
      <c r="AR296" s="246">
        <f>IFERROR(VLOOKUP(P296,PROGRAMAS[],3,FALSE),0)</f>
        <v>0</v>
      </c>
      <c r="AS296" s="246">
        <f>IFERROR(VLOOKUP(Q296,PROGRAMAS[],3,FALSE),0)</f>
        <v>0</v>
      </c>
      <c r="AT296" s="246">
        <f>IFERROR(VLOOKUP(D296,VOL_REC[],2,FALSE),0)</f>
        <v>0</v>
      </c>
      <c r="AU296" s="246">
        <f>IFERROR(VLOOKUP(E296,VOL_REC[],2,FALSE),0)</f>
        <v>0</v>
      </c>
      <c r="AV296" s="246">
        <f>IFERROR(VLOOKUP(F296,VOL_REC[],2,FALSE),0)</f>
        <v>11089674.200000001</v>
      </c>
      <c r="AW296" s="246">
        <f>IFERROR(VLOOKUP(G296,VOL_REC[],2,FALSE),0)</f>
        <v>90439.55</v>
      </c>
      <c r="AX296" s="246">
        <f>IFERROR(VLOOKUP(H296,VOL_REC[],2,FALSE),0)</f>
        <v>15540036.397699751</v>
      </c>
      <c r="AY296" s="246">
        <f>IFERROR(VLOOKUP(I296,VOL_REC[],2,FALSE),0)</f>
        <v>1072354.9981737854</v>
      </c>
      <c r="AZ296" s="246">
        <f>IFERROR(VLOOKUP(J296,VOL_REC[],2,FALSE),0)</f>
        <v>740113.98115702497</v>
      </c>
      <c r="BA296" s="246">
        <f>IFERROR(VLOOKUP(K296,VOL_REC[],2,FALSE),0)</f>
        <v>0</v>
      </c>
      <c r="BB296" s="246">
        <f>IFERROR(VLOOKUP(L296,VOL_REC[],2,FALSE),0)</f>
        <v>0</v>
      </c>
      <c r="BC296" s="246">
        <f>IFERROR(VLOOKUP(M296,VOL_REC[],2,FALSE),0)</f>
        <v>0</v>
      </c>
      <c r="BD296" s="246">
        <f>IFERROR(VLOOKUP(N296,VOL_REC[],2,FALSE),0)</f>
        <v>0</v>
      </c>
      <c r="BE296" s="246">
        <f>IFERROR(VLOOKUP(O296,VOL_REC[],2,FALSE),0)</f>
        <v>0</v>
      </c>
      <c r="BF296" s="246">
        <f>IFERROR(VLOOKUP(P296,VOL_REC[],2,FALSE),0)</f>
        <v>0</v>
      </c>
      <c r="BG296" s="246">
        <f>IFERROR(VLOOKUP(Q296,VOL_REC[],2,FALSE),0)</f>
        <v>0</v>
      </c>
      <c r="BH296" s="1710">
        <f t="shared" si="16"/>
        <v>19736489124.956551</v>
      </c>
      <c r="BI296" s="1710">
        <f t="shared" si="17"/>
        <v>17696150785.731651</v>
      </c>
      <c r="BJ296" s="1711">
        <f t="shared" si="18"/>
        <v>28532619.127030559</v>
      </c>
      <c r="BK296" s="1711">
        <f t="shared" si="19"/>
        <v>1.1152984264165526</v>
      </c>
      <c r="BL296">
        <f>BJ296</f>
        <v>28532619.127030559</v>
      </c>
      <c r="BO296">
        <f>BL296</f>
        <v>28532619.127030559</v>
      </c>
    </row>
    <row r="297" spans="3:67" x14ac:dyDescent="0.25">
      <c r="C297" s="246" t="s">
        <v>1647</v>
      </c>
      <c r="D297" s="246">
        <v>1</v>
      </c>
      <c r="E297" s="246">
        <v>2</v>
      </c>
      <c r="F297" s="246">
        <v>3</v>
      </c>
      <c r="G297" s="246">
        <v>4</v>
      </c>
      <c r="H297" s="246">
        <v>9</v>
      </c>
      <c r="I297" s="246">
        <v>10</v>
      </c>
      <c r="J297" s="246">
        <v>12</v>
      </c>
      <c r="K297" s="246"/>
      <c r="L297" s="246"/>
      <c r="M297" s="246"/>
      <c r="N297" s="246"/>
      <c r="O297" s="246"/>
      <c r="P297" s="246"/>
      <c r="Q297" s="246"/>
      <c r="R297" s="246">
        <f>IFERROR(VLOOKUP(D297,PROGRAMAS[],2,FALSE),0)</f>
        <v>97037803.679377079</v>
      </c>
      <c r="S297" s="246">
        <f>IFERROR(VLOOKUP(E297,PROGRAMAS[],2,FALSE),0)</f>
        <v>640501509.6821388</v>
      </c>
      <c r="T297" s="246">
        <f>IFERROR(VLOOKUP(F297,PROGRAMAS[],2,FALSE),0)</f>
        <v>3062327798.1525245</v>
      </c>
      <c r="U297" s="246">
        <f>IFERROR(VLOOKUP(G297,PROGRAMAS[],2,FALSE),0)</f>
        <v>67697118.033011258</v>
      </c>
      <c r="V297" s="246">
        <f>IFERROR(VLOOKUP(H297,PROGRAMAS[],2,FALSE),0)</f>
        <v>6128579952.1618185</v>
      </c>
      <c r="W297" s="246">
        <f>IFERROR(VLOOKUP(I297,PROGRAMAS[],2,FALSE),0)</f>
        <v>4635315027.8751087</v>
      </c>
      <c r="X297" s="246">
        <f>IFERROR(VLOOKUP(J297,PROGRAMAS[],2,FALSE),0)</f>
        <v>764796700.79905891</v>
      </c>
      <c r="Y297" s="246">
        <f>IFERROR(VLOOKUP(K297,PROGRAMAS[],2,FALSE),0)</f>
        <v>0</v>
      </c>
      <c r="Z297" s="246">
        <f>IFERROR(VLOOKUP(L297,PROGRAMAS[],2,FALSE),0)</f>
        <v>0</v>
      </c>
      <c r="AA297" s="246">
        <f>IFERROR(VLOOKUP(M297,PROGRAMAS[],2,FALSE),0)</f>
        <v>0</v>
      </c>
      <c r="AB297" s="246">
        <f>IFERROR(VLOOKUP(N297,PROGRAMAS[],2,FALSE),0)</f>
        <v>0</v>
      </c>
      <c r="AC297" s="246">
        <f>IFERROR(VLOOKUP(O297,PROGRAMAS[],2,FALSE),0)</f>
        <v>0</v>
      </c>
      <c r="AD297" s="246">
        <f>IFERROR(VLOOKUP(P297,PROGRAMAS[],2,FALSE),0)</f>
        <v>0</v>
      </c>
      <c r="AE297" s="246">
        <f>IFERROR(VLOOKUP(Q297,PROGRAMAS[],2,FALSE),0)</f>
        <v>0</v>
      </c>
      <c r="AF297" s="246">
        <f>IFERROR(VLOOKUP(D297,PROGRAMAS[],3,FALSE),0)</f>
        <v>841888629.31080008</v>
      </c>
      <c r="AG297" s="246">
        <f>IFERROR(VLOOKUP(E297,PROGRAMAS[],3,FALSE),0)</f>
        <v>3848980803.1642323</v>
      </c>
      <c r="AH297" s="246">
        <f>IFERROR(VLOOKUP(F297,PROGRAMAS[],3,FALSE),0)</f>
        <v>3394901471.387517</v>
      </c>
      <c r="AI297" s="246">
        <f>IFERROR(VLOOKUP(G297,PROGRAMAS[],3,FALSE),0)</f>
        <v>125317226.95549992</v>
      </c>
      <c r="AJ297" s="246">
        <f>IFERROR(VLOOKUP(H297,PROGRAMAS[],3,FALSE),0)</f>
        <v>7011279577.519702</v>
      </c>
      <c r="AK297" s="246">
        <f>IFERROR(VLOOKUP(I297,PROGRAMAS[],3,FALSE),0)</f>
        <v>4099471734.9978786</v>
      </c>
      <c r="AL297" s="246">
        <f>IFERROR(VLOOKUP(J297,PROGRAMAS[],3,FALSE),0)</f>
        <v>675517840.109828</v>
      </c>
      <c r="AM297" s="246">
        <f>IFERROR(VLOOKUP(K297,PROGRAMAS[],3,FALSE),0)</f>
        <v>0</v>
      </c>
      <c r="AN297" s="246">
        <f>IFERROR(VLOOKUP(L297,PROGRAMAS[],3,FALSE),0)</f>
        <v>0</v>
      </c>
      <c r="AO297" s="246">
        <f>IFERROR(VLOOKUP(M297,PROGRAMAS[],3,FALSE),0)</f>
        <v>0</v>
      </c>
      <c r="AP297" s="246">
        <f>IFERROR(VLOOKUP(N297,PROGRAMAS[],3,FALSE),0)</f>
        <v>0</v>
      </c>
      <c r="AQ297" s="246">
        <f>IFERROR(VLOOKUP(O297,PROGRAMAS[],3,FALSE),0)</f>
        <v>0</v>
      </c>
      <c r="AR297" s="246">
        <f>IFERROR(VLOOKUP(P297,PROGRAMAS[],3,FALSE),0)</f>
        <v>0</v>
      </c>
      <c r="AS297" s="246">
        <f>IFERROR(VLOOKUP(Q297,PROGRAMAS[],3,FALSE),0)</f>
        <v>0</v>
      </c>
      <c r="AT297" s="246">
        <f>IFERROR(VLOOKUP(D297,VOL_REC[],2,FALSE),0)</f>
        <v>0</v>
      </c>
      <c r="AU297" s="246">
        <f>IFERROR(VLOOKUP(E297,VOL_REC[],2,FALSE),0)</f>
        <v>0</v>
      </c>
      <c r="AV297" s="246">
        <f>IFERROR(VLOOKUP(F297,VOL_REC[],2,FALSE),0)</f>
        <v>11089674.200000001</v>
      </c>
      <c r="AW297" s="246">
        <f>IFERROR(VLOOKUP(G297,VOL_REC[],2,FALSE),0)</f>
        <v>90439.55</v>
      </c>
      <c r="AX297" s="246">
        <f>IFERROR(VLOOKUP(H297,VOL_REC[],2,FALSE),0)</f>
        <v>3761786</v>
      </c>
      <c r="AY297" s="246">
        <f>IFERROR(VLOOKUP(I297,VOL_REC[],2,FALSE),0)</f>
        <v>1812240</v>
      </c>
      <c r="AZ297" s="246">
        <f>IFERROR(VLOOKUP(J297,VOL_REC[],2,FALSE),0)</f>
        <v>240696.79238099116</v>
      </c>
      <c r="BA297" s="246">
        <f>IFERROR(VLOOKUP(K297,VOL_REC[],2,FALSE),0)</f>
        <v>0</v>
      </c>
      <c r="BB297" s="246">
        <f>IFERROR(VLOOKUP(L297,VOL_REC[],2,FALSE),0)</f>
        <v>0</v>
      </c>
      <c r="BC297" s="246">
        <f>IFERROR(VLOOKUP(M297,VOL_REC[],2,FALSE),0)</f>
        <v>0</v>
      </c>
      <c r="BD297" s="246">
        <f>IFERROR(VLOOKUP(N297,VOL_REC[],2,FALSE),0)</f>
        <v>0</v>
      </c>
      <c r="BE297" s="246">
        <f>IFERROR(VLOOKUP(O297,VOL_REC[],2,FALSE),0)</f>
        <v>0</v>
      </c>
      <c r="BF297" s="246">
        <f>IFERROR(VLOOKUP(P297,VOL_REC[],2,FALSE),0)</f>
        <v>0</v>
      </c>
      <c r="BG297" s="246">
        <f>IFERROR(VLOOKUP(Q297,VOL_REC[],2,FALSE),0)</f>
        <v>0</v>
      </c>
      <c r="BH297" s="1710">
        <f t="shared" si="16"/>
        <v>15396255910.383038</v>
      </c>
      <c r="BI297" s="1710">
        <f t="shared" si="17"/>
        <v>19997357283.445457</v>
      </c>
      <c r="BJ297" s="1711">
        <f t="shared" si="18"/>
        <v>16994836.542380992</v>
      </c>
      <c r="BK297" s="1711">
        <f t="shared" si="19"/>
        <v>0.76991452881269573</v>
      </c>
    </row>
    <row r="298" spans="3:67" x14ac:dyDescent="0.25">
      <c r="C298" s="246" t="s">
        <v>1648</v>
      </c>
      <c r="D298" s="246">
        <v>1</v>
      </c>
      <c r="E298" s="246">
        <v>2</v>
      </c>
      <c r="F298" s="246">
        <v>3</v>
      </c>
      <c r="G298" s="246">
        <v>4</v>
      </c>
      <c r="H298" s="246">
        <v>9</v>
      </c>
      <c r="I298" s="246">
        <v>10</v>
      </c>
      <c r="J298" s="246">
        <v>13</v>
      </c>
      <c r="K298" s="246"/>
      <c r="L298" s="246"/>
      <c r="M298" s="246"/>
      <c r="N298" s="246"/>
      <c r="O298" s="246"/>
      <c r="P298" s="246"/>
      <c r="Q298" s="246"/>
      <c r="R298" s="246">
        <f>IFERROR(VLOOKUP(D298,PROGRAMAS[],2,FALSE),0)</f>
        <v>97037803.679377079</v>
      </c>
      <c r="S298" s="246">
        <f>IFERROR(VLOOKUP(E298,PROGRAMAS[],2,FALSE),0)</f>
        <v>640501509.6821388</v>
      </c>
      <c r="T298" s="246">
        <f>IFERROR(VLOOKUP(F298,PROGRAMAS[],2,FALSE),0)</f>
        <v>3062327798.1525245</v>
      </c>
      <c r="U298" s="246">
        <f>IFERROR(VLOOKUP(G298,PROGRAMAS[],2,FALSE),0)</f>
        <v>67697118.033011258</v>
      </c>
      <c r="V298" s="246">
        <f>IFERROR(VLOOKUP(H298,PROGRAMAS[],2,FALSE),0)</f>
        <v>6128579952.1618185</v>
      </c>
      <c r="W298" s="246">
        <f>IFERROR(VLOOKUP(I298,PROGRAMAS[],2,FALSE),0)</f>
        <v>4635315027.8751087</v>
      </c>
      <c r="X298" s="246">
        <f>IFERROR(VLOOKUP(J298,PROGRAMAS[],2,FALSE),0)</f>
        <v>3776538594.4604583</v>
      </c>
      <c r="Y298" s="246">
        <f>IFERROR(VLOOKUP(K298,PROGRAMAS[],2,FALSE),0)</f>
        <v>0</v>
      </c>
      <c r="Z298" s="246">
        <f>IFERROR(VLOOKUP(L298,PROGRAMAS[],2,FALSE),0)</f>
        <v>0</v>
      </c>
      <c r="AA298" s="246">
        <f>IFERROR(VLOOKUP(M298,PROGRAMAS[],2,FALSE),0)</f>
        <v>0</v>
      </c>
      <c r="AB298" s="246">
        <f>IFERROR(VLOOKUP(N298,PROGRAMAS[],2,FALSE),0)</f>
        <v>0</v>
      </c>
      <c r="AC298" s="246">
        <f>IFERROR(VLOOKUP(O298,PROGRAMAS[],2,FALSE),0)</f>
        <v>0</v>
      </c>
      <c r="AD298" s="246">
        <f>IFERROR(VLOOKUP(P298,PROGRAMAS[],2,FALSE),0)</f>
        <v>0</v>
      </c>
      <c r="AE298" s="246">
        <f>IFERROR(VLOOKUP(Q298,PROGRAMAS[],2,FALSE),0)</f>
        <v>0</v>
      </c>
      <c r="AF298" s="246">
        <f>IFERROR(VLOOKUP(D298,PROGRAMAS[],3,FALSE),0)</f>
        <v>841888629.31080008</v>
      </c>
      <c r="AG298" s="246">
        <f>IFERROR(VLOOKUP(E298,PROGRAMAS[],3,FALSE),0)</f>
        <v>3848980803.1642323</v>
      </c>
      <c r="AH298" s="246">
        <f>IFERROR(VLOOKUP(F298,PROGRAMAS[],3,FALSE),0)</f>
        <v>3394901471.387517</v>
      </c>
      <c r="AI298" s="246">
        <f>IFERROR(VLOOKUP(G298,PROGRAMAS[],3,FALSE),0)</f>
        <v>125317226.95549992</v>
      </c>
      <c r="AJ298" s="246">
        <f>IFERROR(VLOOKUP(H298,PROGRAMAS[],3,FALSE),0)</f>
        <v>7011279577.519702</v>
      </c>
      <c r="AK298" s="246">
        <f>IFERROR(VLOOKUP(I298,PROGRAMAS[],3,FALSE),0)</f>
        <v>4099471734.9978786</v>
      </c>
      <c r="AL298" s="246">
        <f>IFERROR(VLOOKUP(J298,PROGRAMAS[],3,FALSE),0)</f>
        <v>2392571243.5584412</v>
      </c>
      <c r="AM298" s="246">
        <f>IFERROR(VLOOKUP(K298,PROGRAMAS[],3,FALSE),0)</f>
        <v>0</v>
      </c>
      <c r="AN298" s="246">
        <f>IFERROR(VLOOKUP(L298,PROGRAMAS[],3,FALSE),0)</f>
        <v>0</v>
      </c>
      <c r="AO298" s="246">
        <f>IFERROR(VLOOKUP(M298,PROGRAMAS[],3,FALSE),0)</f>
        <v>0</v>
      </c>
      <c r="AP298" s="246">
        <f>IFERROR(VLOOKUP(N298,PROGRAMAS[],3,FALSE),0)</f>
        <v>0</v>
      </c>
      <c r="AQ298" s="246">
        <f>IFERROR(VLOOKUP(O298,PROGRAMAS[],3,FALSE),0)</f>
        <v>0</v>
      </c>
      <c r="AR298" s="246">
        <f>IFERROR(VLOOKUP(P298,PROGRAMAS[],3,FALSE),0)</f>
        <v>0</v>
      </c>
      <c r="AS298" s="246">
        <f>IFERROR(VLOOKUP(Q298,PROGRAMAS[],3,FALSE),0)</f>
        <v>0</v>
      </c>
      <c r="AT298" s="246">
        <f>IFERROR(VLOOKUP(D298,VOL_REC[],2,FALSE),0)</f>
        <v>0</v>
      </c>
      <c r="AU298" s="246">
        <f>IFERROR(VLOOKUP(E298,VOL_REC[],2,FALSE),0)</f>
        <v>0</v>
      </c>
      <c r="AV298" s="246">
        <f>IFERROR(VLOOKUP(F298,VOL_REC[],2,FALSE),0)</f>
        <v>11089674.200000001</v>
      </c>
      <c r="AW298" s="246">
        <f>IFERROR(VLOOKUP(G298,VOL_REC[],2,FALSE),0)</f>
        <v>90439.55</v>
      </c>
      <c r="AX298" s="246">
        <f>IFERROR(VLOOKUP(H298,VOL_REC[],2,FALSE),0)</f>
        <v>3761786</v>
      </c>
      <c r="AY298" s="246">
        <f>IFERROR(VLOOKUP(I298,VOL_REC[],2,FALSE),0)</f>
        <v>1812240</v>
      </c>
      <c r="AZ298" s="246">
        <f>IFERROR(VLOOKUP(J298,VOL_REC[],2,FALSE),0)</f>
        <v>663244.80000000016</v>
      </c>
      <c r="BA298" s="246">
        <f>IFERROR(VLOOKUP(K298,VOL_REC[],2,FALSE),0)</f>
        <v>0</v>
      </c>
      <c r="BB298" s="246">
        <f>IFERROR(VLOOKUP(L298,VOL_REC[],2,FALSE),0)</f>
        <v>0</v>
      </c>
      <c r="BC298" s="246">
        <f>IFERROR(VLOOKUP(M298,VOL_REC[],2,FALSE),0)</f>
        <v>0</v>
      </c>
      <c r="BD298" s="246">
        <f>IFERROR(VLOOKUP(N298,VOL_REC[],2,FALSE),0)</f>
        <v>0</v>
      </c>
      <c r="BE298" s="246">
        <f>IFERROR(VLOOKUP(O298,VOL_REC[],2,FALSE),0)</f>
        <v>0</v>
      </c>
      <c r="BF298" s="246">
        <f>IFERROR(VLOOKUP(P298,VOL_REC[],2,FALSE),0)</f>
        <v>0</v>
      </c>
      <c r="BG298" s="246">
        <f>IFERROR(VLOOKUP(Q298,VOL_REC[],2,FALSE),0)</f>
        <v>0</v>
      </c>
      <c r="BH298" s="1710">
        <f t="shared" si="16"/>
        <v>18407997804.044437</v>
      </c>
      <c r="BI298" s="1710">
        <f t="shared" si="17"/>
        <v>21714410686.89407</v>
      </c>
      <c r="BJ298" s="1711">
        <f t="shared" si="18"/>
        <v>17417384.550000001</v>
      </c>
      <c r="BK298" s="1711">
        <f t="shared" si="19"/>
        <v>0.8477318620097184</v>
      </c>
    </row>
    <row r="299" spans="3:67" x14ac:dyDescent="0.25">
      <c r="C299" s="246" t="s">
        <v>1649</v>
      </c>
      <c r="D299" s="246">
        <v>1</v>
      </c>
      <c r="E299" s="246">
        <v>2</v>
      </c>
      <c r="F299" s="246">
        <v>3</v>
      </c>
      <c r="G299" s="246">
        <v>4</v>
      </c>
      <c r="H299" s="246">
        <v>9</v>
      </c>
      <c r="I299" s="246">
        <v>10</v>
      </c>
      <c r="J299" s="246">
        <v>14</v>
      </c>
      <c r="K299" s="246"/>
      <c r="L299" s="246"/>
      <c r="M299" s="246"/>
      <c r="N299" s="246"/>
      <c r="O299" s="246"/>
      <c r="P299" s="246"/>
      <c r="Q299" s="246"/>
      <c r="R299" s="246">
        <f>IFERROR(VLOOKUP(D299,PROGRAMAS[],2,FALSE),0)</f>
        <v>97037803.679377079</v>
      </c>
      <c r="S299" s="246">
        <f>IFERROR(VLOOKUP(E299,PROGRAMAS[],2,FALSE),0)</f>
        <v>640501509.6821388</v>
      </c>
      <c r="T299" s="246">
        <f>IFERROR(VLOOKUP(F299,PROGRAMAS[],2,FALSE),0)</f>
        <v>3062327798.1525245</v>
      </c>
      <c r="U299" s="246">
        <f>IFERROR(VLOOKUP(G299,PROGRAMAS[],2,FALSE),0)</f>
        <v>67697118.033011258</v>
      </c>
      <c r="V299" s="246">
        <f>IFERROR(VLOOKUP(H299,PROGRAMAS[],2,FALSE),0)</f>
        <v>6128579952.1618185</v>
      </c>
      <c r="W299" s="246">
        <f>IFERROR(VLOOKUP(I299,PROGRAMAS[],2,FALSE),0)</f>
        <v>4635315027.8751087</v>
      </c>
      <c r="X299" s="246">
        <f>IFERROR(VLOOKUP(J299,PROGRAMAS[],2,FALSE),0)</f>
        <v>54223862.645839565</v>
      </c>
      <c r="Y299" s="246">
        <f>IFERROR(VLOOKUP(K299,PROGRAMAS[],2,FALSE),0)</f>
        <v>0</v>
      </c>
      <c r="Z299" s="246">
        <f>IFERROR(VLOOKUP(L299,PROGRAMAS[],2,FALSE),0)</f>
        <v>0</v>
      </c>
      <c r="AA299" s="246">
        <f>IFERROR(VLOOKUP(M299,PROGRAMAS[],2,FALSE),0)</f>
        <v>0</v>
      </c>
      <c r="AB299" s="246">
        <f>IFERROR(VLOOKUP(N299,PROGRAMAS[],2,FALSE),0)</f>
        <v>0</v>
      </c>
      <c r="AC299" s="246">
        <f>IFERROR(VLOOKUP(O299,PROGRAMAS[],2,FALSE),0)</f>
        <v>0</v>
      </c>
      <c r="AD299" s="246">
        <f>IFERROR(VLOOKUP(P299,PROGRAMAS[],2,FALSE),0)</f>
        <v>0</v>
      </c>
      <c r="AE299" s="246">
        <f>IFERROR(VLOOKUP(Q299,PROGRAMAS[],2,FALSE),0)</f>
        <v>0</v>
      </c>
      <c r="AF299" s="246">
        <f>IFERROR(VLOOKUP(D299,PROGRAMAS[],3,FALSE),0)</f>
        <v>841888629.31080008</v>
      </c>
      <c r="AG299" s="246">
        <f>IFERROR(VLOOKUP(E299,PROGRAMAS[],3,FALSE),0)</f>
        <v>3848980803.1642323</v>
      </c>
      <c r="AH299" s="246">
        <f>IFERROR(VLOOKUP(F299,PROGRAMAS[],3,FALSE),0)</f>
        <v>3394901471.387517</v>
      </c>
      <c r="AI299" s="246">
        <f>IFERROR(VLOOKUP(G299,PROGRAMAS[],3,FALSE),0)</f>
        <v>125317226.95549992</v>
      </c>
      <c r="AJ299" s="246">
        <f>IFERROR(VLOOKUP(H299,PROGRAMAS[],3,FALSE),0)</f>
        <v>7011279577.519702</v>
      </c>
      <c r="AK299" s="246">
        <f>IFERROR(VLOOKUP(I299,PROGRAMAS[],3,FALSE),0)</f>
        <v>4099471734.9978786</v>
      </c>
      <c r="AL299" s="246">
        <f>IFERROR(VLOOKUP(J299,PROGRAMAS[],3,FALSE),0)</f>
        <v>31865326.38096505</v>
      </c>
      <c r="AM299" s="246">
        <f>IFERROR(VLOOKUP(K299,PROGRAMAS[],3,FALSE),0)</f>
        <v>0</v>
      </c>
      <c r="AN299" s="246">
        <f>IFERROR(VLOOKUP(L299,PROGRAMAS[],3,FALSE),0)</f>
        <v>0</v>
      </c>
      <c r="AO299" s="246">
        <f>IFERROR(VLOOKUP(M299,PROGRAMAS[],3,FALSE),0)</f>
        <v>0</v>
      </c>
      <c r="AP299" s="246">
        <f>IFERROR(VLOOKUP(N299,PROGRAMAS[],3,FALSE),0)</f>
        <v>0</v>
      </c>
      <c r="AQ299" s="246">
        <f>IFERROR(VLOOKUP(O299,PROGRAMAS[],3,FALSE),0)</f>
        <v>0</v>
      </c>
      <c r="AR299" s="246">
        <f>IFERROR(VLOOKUP(P299,PROGRAMAS[],3,FALSE),0)</f>
        <v>0</v>
      </c>
      <c r="AS299" s="246">
        <f>IFERROR(VLOOKUP(Q299,PROGRAMAS[],3,FALSE),0)</f>
        <v>0</v>
      </c>
      <c r="AT299" s="246">
        <f>IFERROR(VLOOKUP(D299,VOL_REC[],2,FALSE),0)</f>
        <v>0</v>
      </c>
      <c r="AU299" s="246">
        <f>IFERROR(VLOOKUP(E299,VOL_REC[],2,FALSE),0)</f>
        <v>0</v>
      </c>
      <c r="AV299" s="246">
        <f>IFERROR(VLOOKUP(F299,VOL_REC[],2,FALSE),0)</f>
        <v>11089674.200000001</v>
      </c>
      <c r="AW299" s="246">
        <f>IFERROR(VLOOKUP(G299,VOL_REC[],2,FALSE),0)</f>
        <v>90439.55</v>
      </c>
      <c r="AX299" s="246">
        <f>IFERROR(VLOOKUP(H299,VOL_REC[],2,FALSE),0)</f>
        <v>3761786</v>
      </c>
      <c r="AY299" s="246">
        <f>IFERROR(VLOOKUP(I299,VOL_REC[],2,FALSE),0)</f>
        <v>1812240</v>
      </c>
      <c r="AZ299" s="246">
        <f>IFERROR(VLOOKUP(J299,VOL_REC[],2,FALSE),0)</f>
        <v>17074.045034105649</v>
      </c>
      <c r="BA299" s="246">
        <f>IFERROR(VLOOKUP(K299,VOL_REC[],2,FALSE),0)</f>
        <v>0</v>
      </c>
      <c r="BB299" s="246">
        <f>IFERROR(VLOOKUP(L299,VOL_REC[],2,FALSE),0)</f>
        <v>0</v>
      </c>
      <c r="BC299" s="246">
        <f>IFERROR(VLOOKUP(M299,VOL_REC[],2,FALSE),0)</f>
        <v>0</v>
      </c>
      <c r="BD299" s="246">
        <f>IFERROR(VLOOKUP(N299,VOL_REC[],2,FALSE),0)</f>
        <v>0</v>
      </c>
      <c r="BE299" s="246">
        <f>IFERROR(VLOOKUP(O299,VOL_REC[],2,FALSE),0)</f>
        <v>0</v>
      </c>
      <c r="BF299" s="246">
        <f>IFERROR(VLOOKUP(P299,VOL_REC[],2,FALSE),0)</f>
        <v>0</v>
      </c>
      <c r="BG299" s="246">
        <f>IFERROR(VLOOKUP(Q299,VOL_REC[],2,FALSE),0)</f>
        <v>0</v>
      </c>
      <c r="BH299" s="1710">
        <f t="shared" si="16"/>
        <v>14685683072.229818</v>
      </c>
      <c r="BI299" s="1710">
        <f t="shared" si="17"/>
        <v>19353704769.716595</v>
      </c>
      <c r="BJ299" s="1711">
        <f t="shared" si="18"/>
        <v>16771213.795034107</v>
      </c>
      <c r="BK299" s="1711">
        <f t="shared" si="19"/>
        <v>0.75880474808156684</v>
      </c>
    </row>
    <row r="300" spans="3:67" x14ac:dyDescent="0.25">
      <c r="C300" s="246" t="s">
        <v>1650</v>
      </c>
      <c r="D300" s="246">
        <v>1</v>
      </c>
      <c r="E300" s="246">
        <v>2</v>
      </c>
      <c r="F300" s="246">
        <v>3</v>
      </c>
      <c r="G300" s="246">
        <v>4</v>
      </c>
      <c r="H300" s="246">
        <v>9</v>
      </c>
      <c r="I300" s="246">
        <v>10</v>
      </c>
      <c r="J300" s="246">
        <v>15</v>
      </c>
      <c r="K300" s="246"/>
      <c r="L300" s="246"/>
      <c r="M300" s="246"/>
      <c r="N300" s="246"/>
      <c r="O300" s="246"/>
      <c r="P300" s="246"/>
      <c r="Q300" s="246"/>
      <c r="R300" s="246">
        <f>IFERROR(VLOOKUP(D300,PROGRAMAS[],2,FALSE),0)</f>
        <v>97037803.679377079</v>
      </c>
      <c r="S300" s="246">
        <f>IFERROR(VLOOKUP(E300,PROGRAMAS[],2,FALSE),0)</f>
        <v>640501509.6821388</v>
      </c>
      <c r="T300" s="246">
        <f>IFERROR(VLOOKUP(F300,PROGRAMAS[],2,FALSE),0)</f>
        <v>3062327798.1525245</v>
      </c>
      <c r="U300" s="246">
        <f>IFERROR(VLOOKUP(G300,PROGRAMAS[],2,FALSE),0)</f>
        <v>67697118.033011258</v>
      </c>
      <c r="V300" s="246">
        <f>IFERROR(VLOOKUP(H300,PROGRAMAS[],2,FALSE),0)</f>
        <v>6128579952.1618185</v>
      </c>
      <c r="W300" s="246">
        <f>IFERROR(VLOOKUP(I300,PROGRAMAS[],2,FALSE),0)</f>
        <v>4635315027.8751087</v>
      </c>
      <c r="X300" s="246">
        <f>IFERROR(VLOOKUP(J300,PROGRAMAS[],2,FALSE),0)</f>
        <v>122159672.96346797</v>
      </c>
      <c r="Y300" s="246">
        <f>IFERROR(VLOOKUP(K300,PROGRAMAS[],2,FALSE),0)</f>
        <v>0</v>
      </c>
      <c r="Z300" s="246">
        <f>IFERROR(VLOOKUP(L300,PROGRAMAS[],2,FALSE),0)</f>
        <v>0</v>
      </c>
      <c r="AA300" s="246">
        <f>IFERROR(VLOOKUP(M300,PROGRAMAS[],2,FALSE),0)</f>
        <v>0</v>
      </c>
      <c r="AB300" s="246">
        <f>IFERROR(VLOOKUP(N300,PROGRAMAS[],2,FALSE),0)</f>
        <v>0</v>
      </c>
      <c r="AC300" s="246">
        <f>IFERROR(VLOOKUP(O300,PROGRAMAS[],2,FALSE),0)</f>
        <v>0</v>
      </c>
      <c r="AD300" s="246">
        <f>IFERROR(VLOOKUP(P300,PROGRAMAS[],2,FALSE),0)</f>
        <v>0</v>
      </c>
      <c r="AE300" s="246">
        <f>IFERROR(VLOOKUP(Q300,PROGRAMAS[],2,FALSE),0)</f>
        <v>0</v>
      </c>
      <c r="AF300" s="246">
        <f>IFERROR(VLOOKUP(D300,PROGRAMAS[],3,FALSE),0)</f>
        <v>841888629.31080008</v>
      </c>
      <c r="AG300" s="246">
        <f>IFERROR(VLOOKUP(E300,PROGRAMAS[],3,FALSE),0)</f>
        <v>3848980803.1642323</v>
      </c>
      <c r="AH300" s="246">
        <f>IFERROR(VLOOKUP(F300,PROGRAMAS[],3,FALSE),0)</f>
        <v>3394901471.387517</v>
      </c>
      <c r="AI300" s="246">
        <f>IFERROR(VLOOKUP(G300,PROGRAMAS[],3,FALSE),0)</f>
        <v>125317226.95549992</v>
      </c>
      <c r="AJ300" s="246">
        <f>IFERROR(VLOOKUP(H300,PROGRAMAS[],3,FALSE),0)</f>
        <v>7011279577.519702</v>
      </c>
      <c r="AK300" s="246">
        <f>IFERROR(VLOOKUP(I300,PROGRAMAS[],3,FALSE),0)</f>
        <v>4099471734.9978786</v>
      </c>
      <c r="AL300" s="246">
        <f>IFERROR(VLOOKUP(J300,PROGRAMAS[],3,FALSE),0)</f>
        <v>118617452.52510804</v>
      </c>
      <c r="AM300" s="246">
        <f>IFERROR(VLOOKUP(K300,PROGRAMAS[],3,FALSE),0)</f>
        <v>0</v>
      </c>
      <c r="AN300" s="246">
        <f>IFERROR(VLOOKUP(L300,PROGRAMAS[],3,FALSE),0)</f>
        <v>0</v>
      </c>
      <c r="AO300" s="246">
        <f>IFERROR(VLOOKUP(M300,PROGRAMAS[],3,FALSE),0)</f>
        <v>0</v>
      </c>
      <c r="AP300" s="246">
        <f>IFERROR(VLOOKUP(N300,PROGRAMAS[],3,FALSE),0)</f>
        <v>0</v>
      </c>
      <c r="AQ300" s="246">
        <f>IFERROR(VLOOKUP(O300,PROGRAMAS[],3,FALSE),0)</f>
        <v>0</v>
      </c>
      <c r="AR300" s="246">
        <f>IFERROR(VLOOKUP(P300,PROGRAMAS[],3,FALSE),0)</f>
        <v>0</v>
      </c>
      <c r="AS300" s="246">
        <f>IFERROR(VLOOKUP(Q300,PROGRAMAS[],3,FALSE),0)</f>
        <v>0</v>
      </c>
      <c r="AT300" s="246">
        <f>IFERROR(VLOOKUP(D300,VOL_REC[],2,FALSE),0)</f>
        <v>0</v>
      </c>
      <c r="AU300" s="246">
        <f>IFERROR(VLOOKUP(E300,VOL_REC[],2,FALSE),0)</f>
        <v>0</v>
      </c>
      <c r="AV300" s="246">
        <f>IFERROR(VLOOKUP(F300,VOL_REC[],2,FALSE),0)</f>
        <v>11089674.200000001</v>
      </c>
      <c r="AW300" s="246">
        <f>IFERROR(VLOOKUP(G300,VOL_REC[],2,FALSE),0)</f>
        <v>90439.55</v>
      </c>
      <c r="AX300" s="246">
        <f>IFERROR(VLOOKUP(H300,VOL_REC[],2,FALSE),0)</f>
        <v>3761786</v>
      </c>
      <c r="AY300" s="246">
        <f>IFERROR(VLOOKUP(I300,VOL_REC[],2,FALSE),0)</f>
        <v>1812240</v>
      </c>
      <c r="AZ300" s="246">
        <f>IFERROR(VLOOKUP(J300,VOL_REC[],2,FALSE),0)</f>
        <v>105072</v>
      </c>
      <c r="BA300" s="246">
        <f>IFERROR(VLOOKUP(K300,VOL_REC[],2,FALSE),0)</f>
        <v>0</v>
      </c>
      <c r="BB300" s="246">
        <f>IFERROR(VLOOKUP(L300,VOL_REC[],2,FALSE),0)</f>
        <v>0</v>
      </c>
      <c r="BC300" s="246">
        <f>IFERROR(VLOOKUP(M300,VOL_REC[],2,FALSE),0)</f>
        <v>0</v>
      </c>
      <c r="BD300" s="246">
        <f>IFERROR(VLOOKUP(N300,VOL_REC[],2,FALSE),0)</f>
        <v>0</v>
      </c>
      <c r="BE300" s="246">
        <f>IFERROR(VLOOKUP(O300,VOL_REC[],2,FALSE),0)</f>
        <v>0</v>
      </c>
      <c r="BF300" s="246">
        <f>IFERROR(VLOOKUP(P300,VOL_REC[],2,FALSE),0)</f>
        <v>0</v>
      </c>
      <c r="BG300" s="246">
        <f>IFERROR(VLOOKUP(Q300,VOL_REC[],2,FALSE),0)</f>
        <v>0</v>
      </c>
      <c r="BH300" s="1710">
        <f t="shared" si="16"/>
        <v>14753618882.547447</v>
      </c>
      <c r="BI300" s="1710">
        <f t="shared" si="17"/>
        <v>19440456895.860737</v>
      </c>
      <c r="BJ300" s="1711">
        <f t="shared" si="18"/>
        <v>16859211.75</v>
      </c>
      <c r="BK300" s="1711">
        <f t="shared" si="19"/>
        <v>0.75891317583635542</v>
      </c>
    </row>
    <row r="301" spans="3:67" x14ac:dyDescent="0.25">
      <c r="C301" s="246" t="s">
        <v>1651</v>
      </c>
      <c r="D301" s="246">
        <v>1</v>
      </c>
      <c r="E301" s="246">
        <v>2</v>
      </c>
      <c r="F301" s="246">
        <v>3</v>
      </c>
      <c r="G301" s="246">
        <v>4</v>
      </c>
      <c r="H301" s="246">
        <v>9</v>
      </c>
      <c r="I301" s="246">
        <v>10</v>
      </c>
      <c r="J301" s="246">
        <v>16</v>
      </c>
      <c r="K301" s="246"/>
      <c r="L301" s="246"/>
      <c r="M301" s="246"/>
      <c r="N301" s="246"/>
      <c r="O301" s="246"/>
      <c r="P301" s="246"/>
      <c r="Q301" s="246"/>
      <c r="R301" s="246">
        <f>IFERROR(VLOOKUP(D301,PROGRAMAS[],2,FALSE),0)</f>
        <v>97037803.679377079</v>
      </c>
      <c r="S301" s="246">
        <f>IFERROR(VLOOKUP(E301,PROGRAMAS[],2,FALSE),0)</f>
        <v>640501509.6821388</v>
      </c>
      <c r="T301" s="246">
        <f>IFERROR(VLOOKUP(F301,PROGRAMAS[],2,FALSE),0)</f>
        <v>3062327798.1525245</v>
      </c>
      <c r="U301" s="246">
        <f>IFERROR(VLOOKUP(G301,PROGRAMAS[],2,FALSE),0)</f>
        <v>67697118.033011258</v>
      </c>
      <c r="V301" s="246">
        <f>IFERROR(VLOOKUP(H301,PROGRAMAS[],2,FALSE),0)</f>
        <v>6128579952.1618185</v>
      </c>
      <c r="W301" s="246">
        <f>IFERROR(VLOOKUP(I301,PROGRAMAS[],2,FALSE),0)</f>
        <v>4635315027.8751087</v>
      </c>
      <c r="X301" s="246">
        <f>IFERROR(VLOOKUP(J301,PROGRAMAS[],2,FALSE),0)</f>
        <v>7068496961.0436354</v>
      </c>
      <c r="Y301" s="246">
        <f>IFERROR(VLOOKUP(K301,PROGRAMAS[],2,FALSE),0)</f>
        <v>0</v>
      </c>
      <c r="Z301" s="246">
        <f>IFERROR(VLOOKUP(L301,PROGRAMAS[],2,FALSE),0)</f>
        <v>0</v>
      </c>
      <c r="AA301" s="246">
        <f>IFERROR(VLOOKUP(M301,PROGRAMAS[],2,FALSE),0)</f>
        <v>0</v>
      </c>
      <c r="AB301" s="246">
        <f>IFERROR(VLOOKUP(N301,PROGRAMAS[],2,FALSE),0)</f>
        <v>0</v>
      </c>
      <c r="AC301" s="246">
        <f>IFERROR(VLOOKUP(O301,PROGRAMAS[],2,FALSE),0)</f>
        <v>0</v>
      </c>
      <c r="AD301" s="246">
        <f>IFERROR(VLOOKUP(P301,PROGRAMAS[],2,FALSE),0)</f>
        <v>0</v>
      </c>
      <c r="AE301" s="246">
        <f>IFERROR(VLOOKUP(Q301,PROGRAMAS[],2,FALSE),0)</f>
        <v>0</v>
      </c>
      <c r="AF301" s="246">
        <f>IFERROR(VLOOKUP(D301,PROGRAMAS[],3,FALSE),0)</f>
        <v>841888629.31080008</v>
      </c>
      <c r="AG301" s="246">
        <f>IFERROR(VLOOKUP(E301,PROGRAMAS[],3,FALSE),0)</f>
        <v>3848980803.1642323</v>
      </c>
      <c r="AH301" s="246">
        <f>IFERROR(VLOOKUP(F301,PROGRAMAS[],3,FALSE),0)</f>
        <v>3394901471.387517</v>
      </c>
      <c r="AI301" s="246">
        <f>IFERROR(VLOOKUP(G301,PROGRAMAS[],3,FALSE),0)</f>
        <v>125317226.95549992</v>
      </c>
      <c r="AJ301" s="246">
        <f>IFERROR(VLOOKUP(H301,PROGRAMAS[],3,FALSE),0)</f>
        <v>7011279577.519702</v>
      </c>
      <c r="AK301" s="246">
        <f>IFERROR(VLOOKUP(I301,PROGRAMAS[],3,FALSE),0)</f>
        <v>4099471734.9978786</v>
      </c>
      <c r="AL301" s="246">
        <f>IFERROR(VLOOKUP(J301,PROGRAMAS[],3,FALSE),0)</f>
        <v>2406564599.0319901</v>
      </c>
      <c r="AM301" s="246">
        <f>IFERROR(VLOOKUP(K301,PROGRAMAS[],3,FALSE),0)</f>
        <v>0</v>
      </c>
      <c r="AN301" s="246">
        <f>IFERROR(VLOOKUP(L301,PROGRAMAS[],3,FALSE),0)</f>
        <v>0</v>
      </c>
      <c r="AO301" s="246">
        <f>IFERROR(VLOOKUP(M301,PROGRAMAS[],3,FALSE),0)</f>
        <v>0</v>
      </c>
      <c r="AP301" s="246">
        <f>IFERROR(VLOOKUP(N301,PROGRAMAS[],3,FALSE),0)</f>
        <v>0</v>
      </c>
      <c r="AQ301" s="246">
        <f>IFERROR(VLOOKUP(O301,PROGRAMAS[],3,FALSE),0)</f>
        <v>0</v>
      </c>
      <c r="AR301" s="246">
        <f>IFERROR(VLOOKUP(P301,PROGRAMAS[],3,FALSE),0)</f>
        <v>0</v>
      </c>
      <c r="AS301" s="246">
        <f>IFERROR(VLOOKUP(Q301,PROGRAMAS[],3,FALSE),0)</f>
        <v>0</v>
      </c>
      <c r="AT301" s="246">
        <f>IFERROR(VLOOKUP(D301,VOL_REC[],2,FALSE),0)</f>
        <v>0</v>
      </c>
      <c r="AU301" s="246">
        <f>IFERROR(VLOOKUP(E301,VOL_REC[],2,FALSE),0)</f>
        <v>0</v>
      </c>
      <c r="AV301" s="246">
        <f>IFERROR(VLOOKUP(F301,VOL_REC[],2,FALSE),0)</f>
        <v>11089674.200000001</v>
      </c>
      <c r="AW301" s="246">
        <f>IFERROR(VLOOKUP(G301,VOL_REC[],2,FALSE),0)</f>
        <v>90439.55</v>
      </c>
      <c r="AX301" s="246">
        <f>IFERROR(VLOOKUP(H301,VOL_REC[],2,FALSE),0)</f>
        <v>3761786</v>
      </c>
      <c r="AY301" s="246">
        <f>IFERROR(VLOOKUP(I301,VOL_REC[],2,FALSE),0)</f>
        <v>1812240</v>
      </c>
      <c r="AZ301" s="246">
        <f>IFERROR(VLOOKUP(J301,VOL_REC[],2,FALSE),0)</f>
        <v>1072354.9981737854</v>
      </c>
      <c r="BA301" s="246">
        <f>IFERROR(VLOOKUP(K301,VOL_REC[],2,FALSE),0)</f>
        <v>0</v>
      </c>
      <c r="BB301" s="246">
        <f>IFERROR(VLOOKUP(L301,VOL_REC[],2,FALSE),0)</f>
        <v>0</v>
      </c>
      <c r="BC301" s="246">
        <f>IFERROR(VLOOKUP(M301,VOL_REC[],2,FALSE),0)</f>
        <v>0</v>
      </c>
      <c r="BD301" s="246">
        <f>IFERROR(VLOOKUP(N301,VOL_REC[],2,FALSE),0)</f>
        <v>0</v>
      </c>
      <c r="BE301" s="246">
        <f>IFERROR(VLOOKUP(O301,VOL_REC[],2,FALSE),0)</f>
        <v>0</v>
      </c>
      <c r="BF301" s="246">
        <f>IFERROR(VLOOKUP(P301,VOL_REC[],2,FALSE),0)</f>
        <v>0</v>
      </c>
      <c r="BG301" s="246">
        <f>IFERROR(VLOOKUP(Q301,VOL_REC[],2,FALSE),0)</f>
        <v>0</v>
      </c>
      <c r="BH301" s="1710">
        <f t="shared" si="16"/>
        <v>21699956170.627613</v>
      </c>
      <c r="BI301" s="1710">
        <f t="shared" si="17"/>
        <v>21728404042.367619</v>
      </c>
      <c r="BJ301" s="1711">
        <f t="shared" si="18"/>
        <v>17826494.748173788</v>
      </c>
      <c r="BK301" s="1711">
        <f t="shared" si="19"/>
        <v>0.99869075189855017</v>
      </c>
    </row>
    <row r="302" spans="3:67" x14ac:dyDescent="0.25">
      <c r="C302" s="246" t="s">
        <v>1652</v>
      </c>
      <c r="D302" s="246">
        <v>1</v>
      </c>
      <c r="E302" s="246">
        <v>2</v>
      </c>
      <c r="F302" s="246">
        <v>3</v>
      </c>
      <c r="G302" s="246">
        <v>4</v>
      </c>
      <c r="H302" s="246">
        <v>9</v>
      </c>
      <c r="I302" s="246">
        <v>10</v>
      </c>
      <c r="J302" s="246">
        <v>17</v>
      </c>
      <c r="K302" s="246"/>
      <c r="L302" s="246"/>
      <c r="M302" s="246"/>
      <c r="N302" s="246"/>
      <c r="O302" s="246"/>
      <c r="P302" s="246"/>
      <c r="Q302" s="246"/>
      <c r="R302" s="246">
        <f>IFERROR(VLOOKUP(D302,PROGRAMAS[],2,FALSE),0)</f>
        <v>97037803.679377079</v>
      </c>
      <c r="S302" s="246">
        <f>IFERROR(VLOOKUP(E302,PROGRAMAS[],2,FALSE),0)</f>
        <v>640501509.6821388</v>
      </c>
      <c r="T302" s="246">
        <f>IFERROR(VLOOKUP(F302,PROGRAMAS[],2,FALSE),0)</f>
        <v>3062327798.1525245</v>
      </c>
      <c r="U302" s="246">
        <f>IFERROR(VLOOKUP(G302,PROGRAMAS[],2,FALSE),0)</f>
        <v>67697118.033011258</v>
      </c>
      <c r="V302" s="246">
        <f>IFERROR(VLOOKUP(H302,PROGRAMAS[],2,FALSE),0)</f>
        <v>6128579952.1618185</v>
      </c>
      <c r="W302" s="246">
        <f>IFERROR(VLOOKUP(I302,PROGRAMAS[],2,FALSE),0)</f>
        <v>4635315027.8751087</v>
      </c>
      <c r="X302" s="246">
        <f>IFERROR(VLOOKUP(J302,PROGRAMAS[],2,FALSE),0)</f>
        <v>1892779498.5211046</v>
      </c>
      <c r="Y302" s="246">
        <f>IFERROR(VLOOKUP(K302,PROGRAMAS[],2,FALSE),0)</f>
        <v>0</v>
      </c>
      <c r="Z302" s="246">
        <f>IFERROR(VLOOKUP(L302,PROGRAMAS[],2,FALSE),0)</f>
        <v>0</v>
      </c>
      <c r="AA302" s="246">
        <f>IFERROR(VLOOKUP(M302,PROGRAMAS[],2,FALSE),0)</f>
        <v>0</v>
      </c>
      <c r="AB302" s="246">
        <f>IFERROR(VLOOKUP(N302,PROGRAMAS[],2,FALSE),0)</f>
        <v>0</v>
      </c>
      <c r="AC302" s="246">
        <f>IFERROR(VLOOKUP(O302,PROGRAMAS[],2,FALSE),0)</f>
        <v>0</v>
      </c>
      <c r="AD302" s="246">
        <f>IFERROR(VLOOKUP(P302,PROGRAMAS[],2,FALSE),0)</f>
        <v>0</v>
      </c>
      <c r="AE302" s="246">
        <f>IFERROR(VLOOKUP(Q302,PROGRAMAS[],2,FALSE),0)</f>
        <v>0</v>
      </c>
      <c r="AF302" s="246">
        <f>IFERROR(VLOOKUP(D302,PROGRAMAS[],3,FALSE),0)</f>
        <v>841888629.31080008</v>
      </c>
      <c r="AG302" s="246">
        <f>IFERROR(VLOOKUP(E302,PROGRAMAS[],3,FALSE),0)</f>
        <v>3848980803.1642323</v>
      </c>
      <c r="AH302" s="246">
        <f>IFERROR(VLOOKUP(F302,PROGRAMAS[],3,FALSE),0)</f>
        <v>3394901471.387517</v>
      </c>
      <c r="AI302" s="246">
        <f>IFERROR(VLOOKUP(G302,PROGRAMAS[],3,FALSE),0)</f>
        <v>125317226.95549992</v>
      </c>
      <c r="AJ302" s="246">
        <f>IFERROR(VLOOKUP(H302,PROGRAMAS[],3,FALSE),0)</f>
        <v>7011279577.519702</v>
      </c>
      <c r="AK302" s="246">
        <f>IFERROR(VLOOKUP(I302,PROGRAMAS[],3,FALSE),0)</f>
        <v>4099471734.9978786</v>
      </c>
      <c r="AL302" s="246">
        <f>IFERROR(VLOOKUP(J302,PROGRAMAS[],3,FALSE),0)</f>
        <v>948595847.09039903</v>
      </c>
      <c r="AM302" s="246">
        <f>IFERROR(VLOOKUP(K302,PROGRAMAS[],3,FALSE),0)</f>
        <v>0</v>
      </c>
      <c r="AN302" s="246">
        <f>IFERROR(VLOOKUP(L302,PROGRAMAS[],3,FALSE),0)</f>
        <v>0</v>
      </c>
      <c r="AO302" s="246">
        <f>IFERROR(VLOOKUP(M302,PROGRAMAS[],3,FALSE),0)</f>
        <v>0</v>
      </c>
      <c r="AP302" s="246">
        <f>IFERROR(VLOOKUP(N302,PROGRAMAS[],3,FALSE),0)</f>
        <v>0</v>
      </c>
      <c r="AQ302" s="246">
        <f>IFERROR(VLOOKUP(O302,PROGRAMAS[],3,FALSE),0)</f>
        <v>0</v>
      </c>
      <c r="AR302" s="246">
        <f>IFERROR(VLOOKUP(P302,PROGRAMAS[],3,FALSE),0)</f>
        <v>0</v>
      </c>
      <c r="AS302" s="246">
        <f>IFERROR(VLOOKUP(Q302,PROGRAMAS[],3,FALSE),0)</f>
        <v>0</v>
      </c>
      <c r="AT302" s="246">
        <f>IFERROR(VLOOKUP(D302,VOL_REC[],2,FALSE),0)</f>
        <v>0</v>
      </c>
      <c r="AU302" s="246">
        <f>IFERROR(VLOOKUP(E302,VOL_REC[],2,FALSE),0)</f>
        <v>0</v>
      </c>
      <c r="AV302" s="246">
        <f>IFERROR(VLOOKUP(F302,VOL_REC[],2,FALSE),0)</f>
        <v>11089674.200000001</v>
      </c>
      <c r="AW302" s="246">
        <f>IFERROR(VLOOKUP(G302,VOL_REC[],2,FALSE),0)</f>
        <v>90439.55</v>
      </c>
      <c r="AX302" s="246">
        <f>IFERROR(VLOOKUP(H302,VOL_REC[],2,FALSE),0)</f>
        <v>3761786</v>
      </c>
      <c r="AY302" s="246">
        <f>IFERROR(VLOOKUP(I302,VOL_REC[],2,FALSE),0)</f>
        <v>1812240</v>
      </c>
      <c r="AZ302" s="246">
        <f>IFERROR(VLOOKUP(J302,VOL_REC[],2,FALSE),0)</f>
        <v>740113.98115702497</v>
      </c>
      <c r="BA302" s="246">
        <f>IFERROR(VLOOKUP(K302,VOL_REC[],2,FALSE),0)</f>
        <v>0</v>
      </c>
      <c r="BB302" s="246">
        <f>IFERROR(VLOOKUP(L302,VOL_REC[],2,FALSE),0)</f>
        <v>0</v>
      </c>
      <c r="BC302" s="246">
        <f>IFERROR(VLOOKUP(M302,VOL_REC[],2,FALSE),0)</f>
        <v>0</v>
      </c>
      <c r="BD302" s="246">
        <f>IFERROR(VLOOKUP(N302,VOL_REC[],2,FALSE),0)</f>
        <v>0</v>
      </c>
      <c r="BE302" s="246">
        <f>IFERROR(VLOOKUP(O302,VOL_REC[],2,FALSE),0)</f>
        <v>0</v>
      </c>
      <c r="BF302" s="246">
        <f>IFERROR(VLOOKUP(P302,VOL_REC[],2,FALSE),0)</f>
        <v>0</v>
      </c>
      <c r="BG302" s="246">
        <f>IFERROR(VLOOKUP(Q302,VOL_REC[],2,FALSE),0)</f>
        <v>0</v>
      </c>
      <c r="BH302" s="1710">
        <f t="shared" si="16"/>
        <v>16524238708.105083</v>
      </c>
      <c r="BI302" s="1710">
        <f t="shared" si="17"/>
        <v>20270435290.426029</v>
      </c>
      <c r="BJ302" s="1711">
        <f t="shared" si="18"/>
        <v>17494253.731157027</v>
      </c>
      <c r="BK302" s="1711">
        <f t="shared" si="19"/>
        <v>0.81518913981633534</v>
      </c>
    </row>
    <row r="303" spans="3:67" x14ac:dyDescent="0.25">
      <c r="C303" s="246" t="s">
        <v>1653</v>
      </c>
      <c r="D303" s="246">
        <v>1</v>
      </c>
      <c r="E303" s="246">
        <v>2</v>
      </c>
      <c r="F303" s="246">
        <v>3</v>
      </c>
      <c r="G303" s="246">
        <v>4</v>
      </c>
      <c r="H303" s="246">
        <v>9</v>
      </c>
      <c r="I303" s="246">
        <v>12</v>
      </c>
      <c r="J303" s="246">
        <v>13</v>
      </c>
      <c r="K303" s="246"/>
      <c r="L303" s="246"/>
      <c r="M303" s="246"/>
      <c r="N303" s="246"/>
      <c r="O303" s="246"/>
      <c r="P303" s="246"/>
      <c r="Q303" s="246"/>
      <c r="R303" s="246">
        <f>IFERROR(VLOOKUP(D303,PROGRAMAS[],2,FALSE),0)</f>
        <v>97037803.679377079</v>
      </c>
      <c r="S303" s="246">
        <f>IFERROR(VLOOKUP(E303,PROGRAMAS[],2,FALSE),0)</f>
        <v>640501509.6821388</v>
      </c>
      <c r="T303" s="246">
        <f>IFERROR(VLOOKUP(F303,PROGRAMAS[],2,FALSE),0)</f>
        <v>3062327798.1525245</v>
      </c>
      <c r="U303" s="246">
        <f>IFERROR(VLOOKUP(G303,PROGRAMAS[],2,FALSE),0)</f>
        <v>67697118.033011258</v>
      </c>
      <c r="V303" s="246">
        <f>IFERROR(VLOOKUP(H303,PROGRAMAS[],2,FALSE),0)</f>
        <v>6128579952.1618185</v>
      </c>
      <c r="W303" s="246">
        <f>IFERROR(VLOOKUP(I303,PROGRAMAS[],2,FALSE),0)</f>
        <v>764796700.79905891</v>
      </c>
      <c r="X303" s="246">
        <f>IFERROR(VLOOKUP(J303,PROGRAMAS[],2,FALSE),0)</f>
        <v>3776538594.4604583</v>
      </c>
      <c r="Y303" s="246">
        <f>IFERROR(VLOOKUP(K303,PROGRAMAS[],2,FALSE),0)</f>
        <v>0</v>
      </c>
      <c r="Z303" s="246">
        <f>IFERROR(VLOOKUP(L303,PROGRAMAS[],2,FALSE),0)</f>
        <v>0</v>
      </c>
      <c r="AA303" s="246">
        <f>IFERROR(VLOOKUP(M303,PROGRAMAS[],2,FALSE),0)</f>
        <v>0</v>
      </c>
      <c r="AB303" s="246">
        <f>IFERROR(VLOOKUP(N303,PROGRAMAS[],2,FALSE),0)</f>
        <v>0</v>
      </c>
      <c r="AC303" s="246">
        <f>IFERROR(VLOOKUP(O303,PROGRAMAS[],2,FALSE),0)</f>
        <v>0</v>
      </c>
      <c r="AD303" s="246">
        <f>IFERROR(VLOOKUP(P303,PROGRAMAS[],2,FALSE),0)</f>
        <v>0</v>
      </c>
      <c r="AE303" s="246">
        <f>IFERROR(VLOOKUP(Q303,PROGRAMAS[],2,FALSE),0)</f>
        <v>0</v>
      </c>
      <c r="AF303" s="246">
        <f>IFERROR(VLOOKUP(D303,PROGRAMAS[],3,FALSE),0)</f>
        <v>841888629.31080008</v>
      </c>
      <c r="AG303" s="246">
        <f>IFERROR(VLOOKUP(E303,PROGRAMAS[],3,FALSE),0)</f>
        <v>3848980803.1642323</v>
      </c>
      <c r="AH303" s="246">
        <f>IFERROR(VLOOKUP(F303,PROGRAMAS[],3,FALSE),0)</f>
        <v>3394901471.387517</v>
      </c>
      <c r="AI303" s="246">
        <f>IFERROR(VLOOKUP(G303,PROGRAMAS[],3,FALSE),0)</f>
        <v>125317226.95549992</v>
      </c>
      <c r="AJ303" s="246">
        <f>IFERROR(VLOOKUP(H303,PROGRAMAS[],3,FALSE),0)</f>
        <v>7011279577.519702</v>
      </c>
      <c r="AK303" s="246">
        <f>IFERROR(VLOOKUP(I303,PROGRAMAS[],3,FALSE),0)</f>
        <v>675517840.109828</v>
      </c>
      <c r="AL303" s="246">
        <f>IFERROR(VLOOKUP(J303,PROGRAMAS[],3,FALSE),0)</f>
        <v>2392571243.5584412</v>
      </c>
      <c r="AM303" s="246">
        <f>IFERROR(VLOOKUP(K303,PROGRAMAS[],3,FALSE),0)</f>
        <v>0</v>
      </c>
      <c r="AN303" s="246">
        <f>IFERROR(VLOOKUP(L303,PROGRAMAS[],3,FALSE),0)</f>
        <v>0</v>
      </c>
      <c r="AO303" s="246">
        <f>IFERROR(VLOOKUP(M303,PROGRAMAS[],3,FALSE),0)</f>
        <v>0</v>
      </c>
      <c r="AP303" s="246">
        <f>IFERROR(VLOOKUP(N303,PROGRAMAS[],3,FALSE),0)</f>
        <v>0</v>
      </c>
      <c r="AQ303" s="246">
        <f>IFERROR(VLOOKUP(O303,PROGRAMAS[],3,FALSE),0)</f>
        <v>0</v>
      </c>
      <c r="AR303" s="246">
        <f>IFERROR(VLOOKUP(P303,PROGRAMAS[],3,FALSE),0)</f>
        <v>0</v>
      </c>
      <c r="AS303" s="246">
        <f>IFERROR(VLOOKUP(Q303,PROGRAMAS[],3,FALSE),0)</f>
        <v>0</v>
      </c>
      <c r="AT303" s="246">
        <f>IFERROR(VLOOKUP(D303,VOL_REC[],2,FALSE),0)</f>
        <v>0</v>
      </c>
      <c r="AU303" s="246">
        <f>IFERROR(VLOOKUP(E303,VOL_REC[],2,FALSE),0)</f>
        <v>0</v>
      </c>
      <c r="AV303" s="246">
        <f>IFERROR(VLOOKUP(F303,VOL_REC[],2,FALSE),0)</f>
        <v>11089674.200000001</v>
      </c>
      <c r="AW303" s="246">
        <f>IFERROR(VLOOKUP(G303,VOL_REC[],2,FALSE),0)</f>
        <v>90439.55</v>
      </c>
      <c r="AX303" s="246">
        <f>IFERROR(VLOOKUP(H303,VOL_REC[],2,FALSE),0)</f>
        <v>3761786</v>
      </c>
      <c r="AY303" s="246">
        <f>IFERROR(VLOOKUP(I303,VOL_REC[],2,FALSE),0)</f>
        <v>240696.79238099116</v>
      </c>
      <c r="AZ303" s="246">
        <f>IFERROR(VLOOKUP(J303,VOL_REC[],2,FALSE),0)</f>
        <v>663244.80000000016</v>
      </c>
      <c r="BA303" s="246">
        <f>IFERROR(VLOOKUP(K303,VOL_REC[],2,FALSE),0)</f>
        <v>0</v>
      </c>
      <c r="BB303" s="246">
        <f>IFERROR(VLOOKUP(L303,VOL_REC[],2,FALSE),0)</f>
        <v>0</v>
      </c>
      <c r="BC303" s="246">
        <f>IFERROR(VLOOKUP(M303,VOL_REC[],2,FALSE),0)</f>
        <v>0</v>
      </c>
      <c r="BD303" s="246">
        <f>IFERROR(VLOOKUP(N303,VOL_REC[],2,FALSE),0)</f>
        <v>0</v>
      </c>
      <c r="BE303" s="246">
        <f>IFERROR(VLOOKUP(O303,VOL_REC[],2,FALSE),0)</f>
        <v>0</v>
      </c>
      <c r="BF303" s="246">
        <f>IFERROR(VLOOKUP(P303,VOL_REC[],2,FALSE),0)</f>
        <v>0</v>
      </c>
      <c r="BG303" s="246">
        <f>IFERROR(VLOOKUP(Q303,VOL_REC[],2,FALSE),0)</f>
        <v>0</v>
      </c>
      <c r="BH303" s="1710">
        <f t="shared" si="16"/>
        <v>14537479476.968388</v>
      </c>
      <c r="BI303" s="1710">
        <f t="shared" si="17"/>
        <v>18290456792.00602</v>
      </c>
      <c r="BJ303" s="1711">
        <f t="shared" si="18"/>
        <v>15845841.342380993</v>
      </c>
      <c r="BK303" s="1711">
        <f t="shared" si="19"/>
        <v>0.79481226971445029</v>
      </c>
    </row>
    <row r="304" spans="3:67" x14ac:dyDescent="0.25">
      <c r="C304" s="246" t="s">
        <v>1654</v>
      </c>
      <c r="D304" s="246">
        <v>1</v>
      </c>
      <c r="E304" s="246">
        <v>2</v>
      </c>
      <c r="F304" s="246">
        <v>3</v>
      </c>
      <c r="G304" s="246">
        <v>4</v>
      </c>
      <c r="H304" s="246">
        <v>9</v>
      </c>
      <c r="I304" s="246">
        <v>12</v>
      </c>
      <c r="J304" s="246">
        <v>14</v>
      </c>
      <c r="K304" s="246"/>
      <c r="L304" s="246"/>
      <c r="M304" s="246"/>
      <c r="N304" s="246"/>
      <c r="O304" s="246"/>
      <c r="P304" s="246"/>
      <c r="Q304" s="246"/>
      <c r="R304" s="246">
        <f>IFERROR(VLOOKUP(D304,PROGRAMAS[],2,FALSE),0)</f>
        <v>97037803.679377079</v>
      </c>
      <c r="S304" s="246">
        <f>IFERROR(VLOOKUP(E304,PROGRAMAS[],2,FALSE),0)</f>
        <v>640501509.6821388</v>
      </c>
      <c r="T304" s="246">
        <f>IFERROR(VLOOKUP(F304,PROGRAMAS[],2,FALSE),0)</f>
        <v>3062327798.1525245</v>
      </c>
      <c r="U304" s="246">
        <f>IFERROR(VLOOKUP(G304,PROGRAMAS[],2,FALSE),0)</f>
        <v>67697118.033011258</v>
      </c>
      <c r="V304" s="246">
        <f>IFERROR(VLOOKUP(H304,PROGRAMAS[],2,FALSE),0)</f>
        <v>6128579952.1618185</v>
      </c>
      <c r="W304" s="246">
        <f>IFERROR(VLOOKUP(I304,PROGRAMAS[],2,FALSE),0)</f>
        <v>764796700.79905891</v>
      </c>
      <c r="X304" s="246">
        <f>IFERROR(VLOOKUP(J304,PROGRAMAS[],2,FALSE),0)</f>
        <v>54223862.645839565</v>
      </c>
      <c r="Y304" s="246">
        <f>IFERROR(VLOOKUP(K304,PROGRAMAS[],2,FALSE),0)</f>
        <v>0</v>
      </c>
      <c r="Z304" s="246">
        <f>IFERROR(VLOOKUP(L304,PROGRAMAS[],2,FALSE),0)</f>
        <v>0</v>
      </c>
      <c r="AA304" s="246">
        <f>IFERROR(VLOOKUP(M304,PROGRAMAS[],2,FALSE),0)</f>
        <v>0</v>
      </c>
      <c r="AB304" s="246">
        <f>IFERROR(VLOOKUP(N304,PROGRAMAS[],2,FALSE),0)</f>
        <v>0</v>
      </c>
      <c r="AC304" s="246">
        <f>IFERROR(VLOOKUP(O304,PROGRAMAS[],2,FALSE),0)</f>
        <v>0</v>
      </c>
      <c r="AD304" s="246">
        <f>IFERROR(VLOOKUP(P304,PROGRAMAS[],2,FALSE),0)</f>
        <v>0</v>
      </c>
      <c r="AE304" s="246">
        <f>IFERROR(VLOOKUP(Q304,PROGRAMAS[],2,FALSE),0)</f>
        <v>0</v>
      </c>
      <c r="AF304" s="246">
        <f>IFERROR(VLOOKUP(D304,PROGRAMAS[],3,FALSE),0)</f>
        <v>841888629.31080008</v>
      </c>
      <c r="AG304" s="246">
        <f>IFERROR(VLOOKUP(E304,PROGRAMAS[],3,FALSE),0)</f>
        <v>3848980803.1642323</v>
      </c>
      <c r="AH304" s="246">
        <f>IFERROR(VLOOKUP(F304,PROGRAMAS[],3,FALSE),0)</f>
        <v>3394901471.387517</v>
      </c>
      <c r="AI304" s="246">
        <f>IFERROR(VLOOKUP(G304,PROGRAMAS[],3,FALSE),0)</f>
        <v>125317226.95549992</v>
      </c>
      <c r="AJ304" s="246">
        <f>IFERROR(VLOOKUP(H304,PROGRAMAS[],3,FALSE),0)</f>
        <v>7011279577.519702</v>
      </c>
      <c r="AK304" s="246">
        <f>IFERROR(VLOOKUP(I304,PROGRAMAS[],3,FALSE),0)</f>
        <v>675517840.109828</v>
      </c>
      <c r="AL304" s="246">
        <f>IFERROR(VLOOKUP(J304,PROGRAMAS[],3,FALSE),0)</f>
        <v>31865326.38096505</v>
      </c>
      <c r="AM304" s="246">
        <f>IFERROR(VLOOKUP(K304,PROGRAMAS[],3,FALSE),0)</f>
        <v>0</v>
      </c>
      <c r="AN304" s="246">
        <f>IFERROR(VLOOKUP(L304,PROGRAMAS[],3,FALSE),0)</f>
        <v>0</v>
      </c>
      <c r="AO304" s="246">
        <f>IFERROR(VLOOKUP(M304,PROGRAMAS[],3,FALSE),0)</f>
        <v>0</v>
      </c>
      <c r="AP304" s="246">
        <f>IFERROR(VLOOKUP(N304,PROGRAMAS[],3,FALSE),0)</f>
        <v>0</v>
      </c>
      <c r="AQ304" s="246">
        <f>IFERROR(VLOOKUP(O304,PROGRAMAS[],3,FALSE),0)</f>
        <v>0</v>
      </c>
      <c r="AR304" s="246">
        <f>IFERROR(VLOOKUP(P304,PROGRAMAS[],3,FALSE),0)</f>
        <v>0</v>
      </c>
      <c r="AS304" s="246">
        <f>IFERROR(VLOOKUP(Q304,PROGRAMAS[],3,FALSE),0)</f>
        <v>0</v>
      </c>
      <c r="AT304" s="246">
        <f>IFERROR(VLOOKUP(D304,VOL_REC[],2,FALSE),0)</f>
        <v>0</v>
      </c>
      <c r="AU304" s="246">
        <f>IFERROR(VLOOKUP(E304,VOL_REC[],2,FALSE),0)</f>
        <v>0</v>
      </c>
      <c r="AV304" s="246">
        <f>IFERROR(VLOOKUP(F304,VOL_REC[],2,FALSE),0)</f>
        <v>11089674.200000001</v>
      </c>
      <c r="AW304" s="246">
        <f>IFERROR(VLOOKUP(G304,VOL_REC[],2,FALSE),0)</f>
        <v>90439.55</v>
      </c>
      <c r="AX304" s="246">
        <f>IFERROR(VLOOKUP(H304,VOL_REC[],2,FALSE),0)</f>
        <v>3761786</v>
      </c>
      <c r="AY304" s="246">
        <f>IFERROR(VLOOKUP(I304,VOL_REC[],2,FALSE),0)</f>
        <v>240696.79238099116</v>
      </c>
      <c r="AZ304" s="246">
        <f>IFERROR(VLOOKUP(J304,VOL_REC[],2,FALSE),0)</f>
        <v>17074.045034105649</v>
      </c>
      <c r="BA304" s="246">
        <f>IFERROR(VLOOKUP(K304,VOL_REC[],2,FALSE),0)</f>
        <v>0</v>
      </c>
      <c r="BB304" s="246">
        <f>IFERROR(VLOOKUP(L304,VOL_REC[],2,FALSE),0)</f>
        <v>0</v>
      </c>
      <c r="BC304" s="246">
        <f>IFERROR(VLOOKUP(M304,VOL_REC[],2,FALSE),0)</f>
        <v>0</v>
      </c>
      <c r="BD304" s="246">
        <f>IFERROR(VLOOKUP(N304,VOL_REC[],2,FALSE),0)</f>
        <v>0</v>
      </c>
      <c r="BE304" s="246">
        <f>IFERROR(VLOOKUP(O304,VOL_REC[],2,FALSE),0)</f>
        <v>0</v>
      </c>
      <c r="BF304" s="246">
        <f>IFERROR(VLOOKUP(P304,VOL_REC[],2,FALSE),0)</f>
        <v>0</v>
      </c>
      <c r="BG304" s="246">
        <f>IFERROR(VLOOKUP(Q304,VOL_REC[],2,FALSE),0)</f>
        <v>0</v>
      </c>
      <c r="BH304" s="1710">
        <f t="shared" si="16"/>
        <v>10815164745.153769</v>
      </c>
      <c r="BI304" s="1710">
        <f t="shared" si="17"/>
        <v>15929750874.828543</v>
      </c>
      <c r="BJ304" s="1711">
        <f t="shared" si="18"/>
        <v>15199670.587415097</v>
      </c>
      <c r="BK304" s="1711">
        <f t="shared" si="19"/>
        <v>0.67892868068912449</v>
      </c>
    </row>
    <row r="305" spans="3:67" x14ac:dyDescent="0.25">
      <c r="C305" s="246" t="s">
        <v>1655</v>
      </c>
      <c r="D305" s="246">
        <v>1</v>
      </c>
      <c r="E305" s="246">
        <v>2</v>
      </c>
      <c r="F305" s="246">
        <v>3</v>
      </c>
      <c r="G305" s="246">
        <v>4</v>
      </c>
      <c r="H305" s="246">
        <v>9</v>
      </c>
      <c r="I305" s="246">
        <v>12</v>
      </c>
      <c r="J305" s="246">
        <v>15</v>
      </c>
      <c r="K305" s="246"/>
      <c r="L305" s="246"/>
      <c r="M305" s="246"/>
      <c r="N305" s="246"/>
      <c r="O305" s="246"/>
      <c r="P305" s="246"/>
      <c r="Q305" s="246"/>
      <c r="R305" s="246">
        <f>IFERROR(VLOOKUP(D305,PROGRAMAS[],2,FALSE),0)</f>
        <v>97037803.679377079</v>
      </c>
      <c r="S305" s="246">
        <f>IFERROR(VLOOKUP(E305,PROGRAMAS[],2,FALSE),0)</f>
        <v>640501509.6821388</v>
      </c>
      <c r="T305" s="246">
        <f>IFERROR(VLOOKUP(F305,PROGRAMAS[],2,FALSE),0)</f>
        <v>3062327798.1525245</v>
      </c>
      <c r="U305" s="246">
        <f>IFERROR(VLOOKUP(G305,PROGRAMAS[],2,FALSE),0)</f>
        <v>67697118.033011258</v>
      </c>
      <c r="V305" s="246">
        <f>IFERROR(VLOOKUP(H305,PROGRAMAS[],2,FALSE),0)</f>
        <v>6128579952.1618185</v>
      </c>
      <c r="W305" s="246">
        <f>IFERROR(VLOOKUP(I305,PROGRAMAS[],2,FALSE),0)</f>
        <v>764796700.79905891</v>
      </c>
      <c r="X305" s="246">
        <f>IFERROR(VLOOKUP(J305,PROGRAMAS[],2,FALSE),0)</f>
        <v>122159672.96346797</v>
      </c>
      <c r="Y305" s="246">
        <f>IFERROR(VLOOKUP(K305,PROGRAMAS[],2,FALSE),0)</f>
        <v>0</v>
      </c>
      <c r="Z305" s="246">
        <f>IFERROR(VLOOKUP(L305,PROGRAMAS[],2,FALSE),0)</f>
        <v>0</v>
      </c>
      <c r="AA305" s="246">
        <f>IFERROR(VLOOKUP(M305,PROGRAMAS[],2,FALSE),0)</f>
        <v>0</v>
      </c>
      <c r="AB305" s="246">
        <f>IFERROR(VLOOKUP(N305,PROGRAMAS[],2,FALSE),0)</f>
        <v>0</v>
      </c>
      <c r="AC305" s="246">
        <f>IFERROR(VLOOKUP(O305,PROGRAMAS[],2,FALSE),0)</f>
        <v>0</v>
      </c>
      <c r="AD305" s="246">
        <f>IFERROR(VLOOKUP(P305,PROGRAMAS[],2,FALSE),0)</f>
        <v>0</v>
      </c>
      <c r="AE305" s="246">
        <f>IFERROR(VLOOKUP(Q305,PROGRAMAS[],2,FALSE),0)</f>
        <v>0</v>
      </c>
      <c r="AF305" s="246">
        <f>IFERROR(VLOOKUP(D305,PROGRAMAS[],3,FALSE),0)</f>
        <v>841888629.31080008</v>
      </c>
      <c r="AG305" s="246">
        <f>IFERROR(VLOOKUP(E305,PROGRAMAS[],3,FALSE),0)</f>
        <v>3848980803.1642323</v>
      </c>
      <c r="AH305" s="246">
        <f>IFERROR(VLOOKUP(F305,PROGRAMAS[],3,FALSE),0)</f>
        <v>3394901471.387517</v>
      </c>
      <c r="AI305" s="246">
        <f>IFERROR(VLOOKUP(G305,PROGRAMAS[],3,FALSE),0)</f>
        <v>125317226.95549992</v>
      </c>
      <c r="AJ305" s="246">
        <f>IFERROR(VLOOKUP(H305,PROGRAMAS[],3,FALSE),0)</f>
        <v>7011279577.519702</v>
      </c>
      <c r="AK305" s="246">
        <f>IFERROR(VLOOKUP(I305,PROGRAMAS[],3,FALSE),0)</f>
        <v>675517840.109828</v>
      </c>
      <c r="AL305" s="246">
        <f>IFERROR(VLOOKUP(J305,PROGRAMAS[],3,FALSE),0)</f>
        <v>118617452.52510804</v>
      </c>
      <c r="AM305" s="246">
        <f>IFERROR(VLOOKUP(K305,PROGRAMAS[],3,FALSE),0)</f>
        <v>0</v>
      </c>
      <c r="AN305" s="246">
        <f>IFERROR(VLOOKUP(L305,PROGRAMAS[],3,FALSE),0)</f>
        <v>0</v>
      </c>
      <c r="AO305" s="246">
        <f>IFERROR(VLOOKUP(M305,PROGRAMAS[],3,FALSE),0)</f>
        <v>0</v>
      </c>
      <c r="AP305" s="246">
        <f>IFERROR(VLOOKUP(N305,PROGRAMAS[],3,FALSE),0)</f>
        <v>0</v>
      </c>
      <c r="AQ305" s="246">
        <f>IFERROR(VLOOKUP(O305,PROGRAMAS[],3,FALSE),0)</f>
        <v>0</v>
      </c>
      <c r="AR305" s="246">
        <f>IFERROR(VLOOKUP(P305,PROGRAMAS[],3,FALSE),0)</f>
        <v>0</v>
      </c>
      <c r="AS305" s="246">
        <f>IFERROR(VLOOKUP(Q305,PROGRAMAS[],3,FALSE),0)</f>
        <v>0</v>
      </c>
      <c r="AT305" s="246">
        <f>IFERROR(VLOOKUP(D305,VOL_REC[],2,FALSE),0)</f>
        <v>0</v>
      </c>
      <c r="AU305" s="246">
        <f>IFERROR(VLOOKUP(E305,VOL_REC[],2,FALSE),0)</f>
        <v>0</v>
      </c>
      <c r="AV305" s="246">
        <f>IFERROR(VLOOKUP(F305,VOL_REC[],2,FALSE),0)</f>
        <v>11089674.200000001</v>
      </c>
      <c r="AW305" s="246">
        <f>IFERROR(VLOOKUP(G305,VOL_REC[],2,FALSE),0)</f>
        <v>90439.55</v>
      </c>
      <c r="AX305" s="246">
        <f>IFERROR(VLOOKUP(H305,VOL_REC[],2,FALSE),0)</f>
        <v>3761786</v>
      </c>
      <c r="AY305" s="246">
        <f>IFERROR(VLOOKUP(I305,VOL_REC[],2,FALSE),0)</f>
        <v>240696.79238099116</v>
      </c>
      <c r="AZ305" s="246">
        <f>IFERROR(VLOOKUP(J305,VOL_REC[],2,FALSE),0)</f>
        <v>105072</v>
      </c>
      <c r="BA305" s="246">
        <f>IFERROR(VLOOKUP(K305,VOL_REC[],2,FALSE),0)</f>
        <v>0</v>
      </c>
      <c r="BB305" s="246">
        <f>IFERROR(VLOOKUP(L305,VOL_REC[],2,FALSE),0)</f>
        <v>0</v>
      </c>
      <c r="BC305" s="246">
        <f>IFERROR(VLOOKUP(M305,VOL_REC[],2,FALSE),0)</f>
        <v>0</v>
      </c>
      <c r="BD305" s="246">
        <f>IFERROR(VLOOKUP(N305,VOL_REC[],2,FALSE),0)</f>
        <v>0</v>
      </c>
      <c r="BE305" s="246">
        <f>IFERROR(VLOOKUP(O305,VOL_REC[],2,FALSE),0)</f>
        <v>0</v>
      </c>
      <c r="BF305" s="246">
        <f>IFERROR(VLOOKUP(P305,VOL_REC[],2,FALSE),0)</f>
        <v>0</v>
      </c>
      <c r="BG305" s="246">
        <f>IFERROR(VLOOKUP(Q305,VOL_REC[],2,FALSE),0)</f>
        <v>0</v>
      </c>
      <c r="BH305" s="1710">
        <f t="shared" si="16"/>
        <v>10883100555.471397</v>
      </c>
      <c r="BI305" s="1710">
        <f t="shared" si="17"/>
        <v>16016503000.972687</v>
      </c>
      <c r="BJ305" s="1711">
        <f t="shared" si="18"/>
        <v>15287668.542380992</v>
      </c>
      <c r="BK305" s="1711">
        <f t="shared" si="19"/>
        <v>0.67949293018647472</v>
      </c>
    </row>
    <row r="306" spans="3:67" x14ac:dyDescent="0.25">
      <c r="C306" s="246" t="s">
        <v>1656</v>
      </c>
      <c r="D306" s="246">
        <v>1</v>
      </c>
      <c r="E306" s="246">
        <v>2</v>
      </c>
      <c r="F306" s="246">
        <v>3</v>
      </c>
      <c r="G306" s="246">
        <v>4</v>
      </c>
      <c r="H306" s="246">
        <v>9</v>
      </c>
      <c r="I306" s="246">
        <v>12</v>
      </c>
      <c r="J306" s="246">
        <v>16</v>
      </c>
      <c r="K306" s="246"/>
      <c r="L306" s="246"/>
      <c r="M306" s="246"/>
      <c r="N306" s="246"/>
      <c r="O306" s="246"/>
      <c r="P306" s="246"/>
      <c r="Q306" s="246"/>
      <c r="R306" s="246">
        <f>IFERROR(VLOOKUP(D306,PROGRAMAS[],2,FALSE),0)</f>
        <v>97037803.679377079</v>
      </c>
      <c r="S306" s="246">
        <f>IFERROR(VLOOKUP(E306,PROGRAMAS[],2,FALSE),0)</f>
        <v>640501509.6821388</v>
      </c>
      <c r="T306" s="246">
        <f>IFERROR(VLOOKUP(F306,PROGRAMAS[],2,FALSE),0)</f>
        <v>3062327798.1525245</v>
      </c>
      <c r="U306" s="246">
        <f>IFERROR(VLOOKUP(G306,PROGRAMAS[],2,FALSE),0)</f>
        <v>67697118.033011258</v>
      </c>
      <c r="V306" s="246">
        <f>IFERROR(VLOOKUP(H306,PROGRAMAS[],2,FALSE),0)</f>
        <v>6128579952.1618185</v>
      </c>
      <c r="W306" s="246">
        <f>IFERROR(VLOOKUP(I306,PROGRAMAS[],2,FALSE),0)</f>
        <v>764796700.79905891</v>
      </c>
      <c r="X306" s="246">
        <f>IFERROR(VLOOKUP(J306,PROGRAMAS[],2,FALSE),0)</f>
        <v>7068496961.0436354</v>
      </c>
      <c r="Y306" s="246">
        <f>IFERROR(VLOOKUP(K306,PROGRAMAS[],2,FALSE),0)</f>
        <v>0</v>
      </c>
      <c r="Z306" s="246">
        <f>IFERROR(VLOOKUP(L306,PROGRAMAS[],2,FALSE),0)</f>
        <v>0</v>
      </c>
      <c r="AA306" s="246">
        <f>IFERROR(VLOOKUP(M306,PROGRAMAS[],2,FALSE),0)</f>
        <v>0</v>
      </c>
      <c r="AB306" s="246">
        <f>IFERROR(VLOOKUP(N306,PROGRAMAS[],2,FALSE),0)</f>
        <v>0</v>
      </c>
      <c r="AC306" s="246">
        <f>IFERROR(VLOOKUP(O306,PROGRAMAS[],2,FALSE),0)</f>
        <v>0</v>
      </c>
      <c r="AD306" s="246">
        <f>IFERROR(VLOOKUP(P306,PROGRAMAS[],2,FALSE),0)</f>
        <v>0</v>
      </c>
      <c r="AE306" s="246">
        <f>IFERROR(VLOOKUP(Q306,PROGRAMAS[],2,FALSE),0)</f>
        <v>0</v>
      </c>
      <c r="AF306" s="246">
        <f>IFERROR(VLOOKUP(D306,PROGRAMAS[],3,FALSE),0)</f>
        <v>841888629.31080008</v>
      </c>
      <c r="AG306" s="246">
        <f>IFERROR(VLOOKUP(E306,PROGRAMAS[],3,FALSE),0)</f>
        <v>3848980803.1642323</v>
      </c>
      <c r="AH306" s="246">
        <f>IFERROR(VLOOKUP(F306,PROGRAMAS[],3,FALSE),0)</f>
        <v>3394901471.387517</v>
      </c>
      <c r="AI306" s="246">
        <f>IFERROR(VLOOKUP(G306,PROGRAMAS[],3,FALSE),0)</f>
        <v>125317226.95549992</v>
      </c>
      <c r="AJ306" s="246">
        <f>IFERROR(VLOOKUP(H306,PROGRAMAS[],3,FALSE),0)</f>
        <v>7011279577.519702</v>
      </c>
      <c r="AK306" s="246">
        <f>IFERROR(VLOOKUP(I306,PROGRAMAS[],3,FALSE),0)</f>
        <v>675517840.109828</v>
      </c>
      <c r="AL306" s="246">
        <f>IFERROR(VLOOKUP(J306,PROGRAMAS[],3,FALSE),0)</f>
        <v>2406564599.0319901</v>
      </c>
      <c r="AM306" s="246">
        <f>IFERROR(VLOOKUP(K306,PROGRAMAS[],3,FALSE),0)</f>
        <v>0</v>
      </c>
      <c r="AN306" s="246">
        <f>IFERROR(VLOOKUP(L306,PROGRAMAS[],3,FALSE),0)</f>
        <v>0</v>
      </c>
      <c r="AO306" s="246">
        <f>IFERROR(VLOOKUP(M306,PROGRAMAS[],3,FALSE),0)</f>
        <v>0</v>
      </c>
      <c r="AP306" s="246">
        <f>IFERROR(VLOOKUP(N306,PROGRAMAS[],3,FALSE),0)</f>
        <v>0</v>
      </c>
      <c r="AQ306" s="246">
        <f>IFERROR(VLOOKUP(O306,PROGRAMAS[],3,FALSE),0)</f>
        <v>0</v>
      </c>
      <c r="AR306" s="246">
        <f>IFERROR(VLOOKUP(P306,PROGRAMAS[],3,FALSE),0)</f>
        <v>0</v>
      </c>
      <c r="AS306" s="246">
        <f>IFERROR(VLOOKUP(Q306,PROGRAMAS[],3,FALSE),0)</f>
        <v>0</v>
      </c>
      <c r="AT306" s="246">
        <f>IFERROR(VLOOKUP(D306,VOL_REC[],2,FALSE),0)</f>
        <v>0</v>
      </c>
      <c r="AU306" s="246">
        <f>IFERROR(VLOOKUP(E306,VOL_REC[],2,FALSE),0)</f>
        <v>0</v>
      </c>
      <c r="AV306" s="246">
        <f>IFERROR(VLOOKUP(F306,VOL_REC[],2,FALSE),0)</f>
        <v>11089674.200000001</v>
      </c>
      <c r="AW306" s="246">
        <f>IFERROR(VLOOKUP(G306,VOL_REC[],2,FALSE),0)</f>
        <v>90439.55</v>
      </c>
      <c r="AX306" s="246">
        <f>IFERROR(VLOOKUP(H306,VOL_REC[],2,FALSE),0)</f>
        <v>3761786</v>
      </c>
      <c r="AY306" s="246">
        <f>IFERROR(VLOOKUP(I306,VOL_REC[],2,FALSE),0)</f>
        <v>240696.79238099116</v>
      </c>
      <c r="AZ306" s="246">
        <f>IFERROR(VLOOKUP(J306,VOL_REC[],2,FALSE),0)</f>
        <v>1072354.9981737854</v>
      </c>
      <c r="BA306" s="246">
        <f>IFERROR(VLOOKUP(K306,VOL_REC[],2,FALSE),0)</f>
        <v>0</v>
      </c>
      <c r="BB306" s="246">
        <f>IFERROR(VLOOKUP(L306,VOL_REC[],2,FALSE),0)</f>
        <v>0</v>
      </c>
      <c r="BC306" s="246">
        <f>IFERROR(VLOOKUP(M306,VOL_REC[],2,FALSE),0)</f>
        <v>0</v>
      </c>
      <c r="BD306" s="246">
        <f>IFERROR(VLOOKUP(N306,VOL_REC[],2,FALSE),0)</f>
        <v>0</v>
      </c>
      <c r="BE306" s="246">
        <f>IFERROR(VLOOKUP(O306,VOL_REC[],2,FALSE),0)</f>
        <v>0</v>
      </c>
      <c r="BF306" s="246">
        <f>IFERROR(VLOOKUP(P306,VOL_REC[],2,FALSE),0)</f>
        <v>0</v>
      </c>
      <c r="BG306" s="246">
        <f>IFERROR(VLOOKUP(Q306,VOL_REC[],2,FALSE),0)</f>
        <v>0</v>
      </c>
      <c r="BH306" s="1710">
        <f t="shared" si="16"/>
        <v>17829437843.551563</v>
      </c>
      <c r="BI306" s="1710">
        <f t="shared" si="17"/>
        <v>18304450147.479568</v>
      </c>
      <c r="BJ306" s="1711">
        <f t="shared" si="18"/>
        <v>16254951.540554777</v>
      </c>
      <c r="BK306" s="1711">
        <f t="shared" si="19"/>
        <v>0.97404935411329951</v>
      </c>
    </row>
    <row r="307" spans="3:67" x14ac:dyDescent="0.25">
      <c r="C307" s="246" t="s">
        <v>1657</v>
      </c>
      <c r="D307" s="246">
        <v>1</v>
      </c>
      <c r="E307" s="246">
        <v>2</v>
      </c>
      <c r="F307" s="246">
        <v>3</v>
      </c>
      <c r="G307" s="246">
        <v>4</v>
      </c>
      <c r="H307" s="246">
        <v>9</v>
      </c>
      <c r="I307" s="246">
        <v>12</v>
      </c>
      <c r="J307" s="246">
        <v>17</v>
      </c>
      <c r="K307" s="246"/>
      <c r="L307" s="246"/>
      <c r="M307" s="246"/>
      <c r="N307" s="246"/>
      <c r="O307" s="246"/>
      <c r="P307" s="246"/>
      <c r="Q307" s="246"/>
      <c r="R307" s="246">
        <f>IFERROR(VLOOKUP(D307,PROGRAMAS[],2,FALSE),0)</f>
        <v>97037803.679377079</v>
      </c>
      <c r="S307" s="246">
        <f>IFERROR(VLOOKUP(E307,PROGRAMAS[],2,FALSE),0)</f>
        <v>640501509.6821388</v>
      </c>
      <c r="T307" s="246">
        <f>IFERROR(VLOOKUP(F307,PROGRAMAS[],2,FALSE),0)</f>
        <v>3062327798.1525245</v>
      </c>
      <c r="U307" s="246">
        <f>IFERROR(VLOOKUP(G307,PROGRAMAS[],2,FALSE),0)</f>
        <v>67697118.033011258</v>
      </c>
      <c r="V307" s="246">
        <f>IFERROR(VLOOKUP(H307,PROGRAMAS[],2,FALSE),0)</f>
        <v>6128579952.1618185</v>
      </c>
      <c r="W307" s="246">
        <f>IFERROR(VLOOKUP(I307,PROGRAMAS[],2,FALSE),0)</f>
        <v>764796700.79905891</v>
      </c>
      <c r="X307" s="246">
        <f>IFERROR(VLOOKUP(J307,PROGRAMAS[],2,FALSE),0)</f>
        <v>1892779498.5211046</v>
      </c>
      <c r="Y307" s="246">
        <f>IFERROR(VLOOKUP(K307,PROGRAMAS[],2,FALSE),0)</f>
        <v>0</v>
      </c>
      <c r="Z307" s="246">
        <f>IFERROR(VLOOKUP(L307,PROGRAMAS[],2,FALSE),0)</f>
        <v>0</v>
      </c>
      <c r="AA307" s="246">
        <f>IFERROR(VLOOKUP(M307,PROGRAMAS[],2,FALSE),0)</f>
        <v>0</v>
      </c>
      <c r="AB307" s="246">
        <f>IFERROR(VLOOKUP(N307,PROGRAMAS[],2,FALSE),0)</f>
        <v>0</v>
      </c>
      <c r="AC307" s="246">
        <f>IFERROR(VLOOKUP(O307,PROGRAMAS[],2,FALSE),0)</f>
        <v>0</v>
      </c>
      <c r="AD307" s="246">
        <f>IFERROR(VLOOKUP(P307,PROGRAMAS[],2,FALSE),0)</f>
        <v>0</v>
      </c>
      <c r="AE307" s="246">
        <f>IFERROR(VLOOKUP(Q307,PROGRAMAS[],2,FALSE),0)</f>
        <v>0</v>
      </c>
      <c r="AF307" s="246">
        <f>IFERROR(VLOOKUP(D307,PROGRAMAS[],3,FALSE),0)</f>
        <v>841888629.31080008</v>
      </c>
      <c r="AG307" s="246">
        <f>IFERROR(VLOOKUP(E307,PROGRAMAS[],3,FALSE),0)</f>
        <v>3848980803.1642323</v>
      </c>
      <c r="AH307" s="246">
        <f>IFERROR(VLOOKUP(F307,PROGRAMAS[],3,FALSE),0)</f>
        <v>3394901471.387517</v>
      </c>
      <c r="AI307" s="246">
        <f>IFERROR(VLOOKUP(G307,PROGRAMAS[],3,FALSE),0)</f>
        <v>125317226.95549992</v>
      </c>
      <c r="AJ307" s="246">
        <f>IFERROR(VLOOKUP(H307,PROGRAMAS[],3,FALSE),0)</f>
        <v>7011279577.519702</v>
      </c>
      <c r="AK307" s="246">
        <f>IFERROR(VLOOKUP(I307,PROGRAMAS[],3,FALSE),0)</f>
        <v>675517840.109828</v>
      </c>
      <c r="AL307" s="246">
        <f>IFERROR(VLOOKUP(J307,PROGRAMAS[],3,FALSE),0)</f>
        <v>948595847.09039903</v>
      </c>
      <c r="AM307" s="246">
        <f>IFERROR(VLOOKUP(K307,PROGRAMAS[],3,FALSE),0)</f>
        <v>0</v>
      </c>
      <c r="AN307" s="246">
        <f>IFERROR(VLOOKUP(L307,PROGRAMAS[],3,FALSE),0)</f>
        <v>0</v>
      </c>
      <c r="AO307" s="246">
        <f>IFERROR(VLOOKUP(M307,PROGRAMAS[],3,FALSE),0)</f>
        <v>0</v>
      </c>
      <c r="AP307" s="246">
        <f>IFERROR(VLOOKUP(N307,PROGRAMAS[],3,FALSE),0)</f>
        <v>0</v>
      </c>
      <c r="AQ307" s="246">
        <f>IFERROR(VLOOKUP(O307,PROGRAMAS[],3,FALSE),0)</f>
        <v>0</v>
      </c>
      <c r="AR307" s="246">
        <f>IFERROR(VLOOKUP(P307,PROGRAMAS[],3,FALSE),0)</f>
        <v>0</v>
      </c>
      <c r="AS307" s="246">
        <f>IFERROR(VLOOKUP(Q307,PROGRAMAS[],3,FALSE),0)</f>
        <v>0</v>
      </c>
      <c r="AT307" s="246">
        <f>IFERROR(VLOOKUP(D307,VOL_REC[],2,FALSE),0)</f>
        <v>0</v>
      </c>
      <c r="AU307" s="246">
        <f>IFERROR(VLOOKUP(E307,VOL_REC[],2,FALSE),0)</f>
        <v>0</v>
      </c>
      <c r="AV307" s="246">
        <f>IFERROR(VLOOKUP(F307,VOL_REC[],2,FALSE),0)</f>
        <v>11089674.200000001</v>
      </c>
      <c r="AW307" s="246">
        <f>IFERROR(VLOOKUP(G307,VOL_REC[],2,FALSE),0)</f>
        <v>90439.55</v>
      </c>
      <c r="AX307" s="246">
        <f>IFERROR(VLOOKUP(H307,VOL_REC[],2,FALSE),0)</f>
        <v>3761786</v>
      </c>
      <c r="AY307" s="246">
        <f>IFERROR(VLOOKUP(I307,VOL_REC[],2,FALSE),0)</f>
        <v>240696.79238099116</v>
      </c>
      <c r="AZ307" s="246">
        <f>IFERROR(VLOOKUP(J307,VOL_REC[],2,FALSE),0)</f>
        <v>740113.98115702497</v>
      </c>
      <c r="BA307" s="246">
        <f>IFERROR(VLOOKUP(K307,VOL_REC[],2,FALSE),0)</f>
        <v>0</v>
      </c>
      <c r="BB307" s="246">
        <f>IFERROR(VLOOKUP(L307,VOL_REC[],2,FALSE),0)</f>
        <v>0</v>
      </c>
      <c r="BC307" s="246">
        <f>IFERROR(VLOOKUP(M307,VOL_REC[],2,FALSE),0)</f>
        <v>0</v>
      </c>
      <c r="BD307" s="246">
        <f>IFERROR(VLOOKUP(N307,VOL_REC[],2,FALSE),0)</f>
        <v>0</v>
      </c>
      <c r="BE307" s="246">
        <f>IFERROR(VLOOKUP(O307,VOL_REC[],2,FALSE),0)</f>
        <v>0</v>
      </c>
      <c r="BF307" s="246">
        <f>IFERROR(VLOOKUP(P307,VOL_REC[],2,FALSE),0)</f>
        <v>0</v>
      </c>
      <c r="BG307" s="246">
        <f>IFERROR(VLOOKUP(Q307,VOL_REC[],2,FALSE),0)</f>
        <v>0</v>
      </c>
      <c r="BH307" s="1710">
        <f t="shared" si="16"/>
        <v>12653720381.029034</v>
      </c>
      <c r="BI307" s="1710">
        <f t="shared" si="17"/>
        <v>16846481395.537977</v>
      </c>
      <c r="BJ307" s="1711">
        <f t="shared" si="18"/>
        <v>15922710.523538018</v>
      </c>
      <c r="BK307" s="1711">
        <f t="shared" si="19"/>
        <v>0.75111948210031243</v>
      </c>
    </row>
    <row r="308" spans="3:67" x14ac:dyDescent="0.25">
      <c r="C308" s="246" t="s">
        <v>1658</v>
      </c>
      <c r="D308" s="246">
        <v>1</v>
      </c>
      <c r="E308" s="246">
        <v>2</v>
      </c>
      <c r="F308" s="246">
        <v>3</v>
      </c>
      <c r="G308" s="246">
        <v>4</v>
      </c>
      <c r="H308" s="246">
        <v>9</v>
      </c>
      <c r="I308" s="246">
        <v>13</v>
      </c>
      <c r="J308" s="246">
        <v>14</v>
      </c>
      <c r="K308" s="246"/>
      <c r="L308" s="246"/>
      <c r="M308" s="246"/>
      <c r="N308" s="246"/>
      <c r="O308" s="246"/>
      <c r="P308" s="246"/>
      <c r="Q308" s="246"/>
      <c r="R308" s="246">
        <f>IFERROR(VLOOKUP(D308,PROGRAMAS[],2,FALSE),0)</f>
        <v>97037803.679377079</v>
      </c>
      <c r="S308" s="246">
        <f>IFERROR(VLOOKUP(E308,PROGRAMAS[],2,FALSE),0)</f>
        <v>640501509.6821388</v>
      </c>
      <c r="T308" s="246">
        <f>IFERROR(VLOOKUP(F308,PROGRAMAS[],2,FALSE),0)</f>
        <v>3062327798.1525245</v>
      </c>
      <c r="U308" s="246">
        <f>IFERROR(VLOOKUP(G308,PROGRAMAS[],2,FALSE),0)</f>
        <v>67697118.033011258</v>
      </c>
      <c r="V308" s="246">
        <f>IFERROR(VLOOKUP(H308,PROGRAMAS[],2,FALSE),0)</f>
        <v>6128579952.1618185</v>
      </c>
      <c r="W308" s="246">
        <f>IFERROR(VLOOKUP(I308,PROGRAMAS[],2,FALSE),0)</f>
        <v>3776538594.4604583</v>
      </c>
      <c r="X308" s="246">
        <f>IFERROR(VLOOKUP(J308,PROGRAMAS[],2,FALSE),0)</f>
        <v>54223862.645839565</v>
      </c>
      <c r="Y308" s="246">
        <f>IFERROR(VLOOKUP(K308,PROGRAMAS[],2,FALSE),0)</f>
        <v>0</v>
      </c>
      <c r="Z308" s="246">
        <f>IFERROR(VLOOKUP(L308,PROGRAMAS[],2,FALSE),0)</f>
        <v>0</v>
      </c>
      <c r="AA308" s="246">
        <f>IFERROR(VLOOKUP(M308,PROGRAMAS[],2,FALSE),0)</f>
        <v>0</v>
      </c>
      <c r="AB308" s="246">
        <f>IFERROR(VLOOKUP(N308,PROGRAMAS[],2,FALSE),0)</f>
        <v>0</v>
      </c>
      <c r="AC308" s="246">
        <f>IFERROR(VLOOKUP(O308,PROGRAMAS[],2,FALSE),0)</f>
        <v>0</v>
      </c>
      <c r="AD308" s="246">
        <f>IFERROR(VLOOKUP(P308,PROGRAMAS[],2,FALSE),0)</f>
        <v>0</v>
      </c>
      <c r="AE308" s="246">
        <f>IFERROR(VLOOKUP(Q308,PROGRAMAS[],2,FALSE),0)</f>
        <v>0</v>
      </c>
      <c r="AF308" s="246">
        <f>IFERROR(VLOOKUP(D308,PROGRAMAS[],3,FALSE),0)</f>
        <v>841888629.31080008</v>
      </c>
      <c r="AG308" s="246">
        <f>IFERROR(VLOOKUP(E308,PROGRAMAS[],3,FALSE),0)</f>
        <v>3848980803.1642323</v>
      </c>
      <c r="AH308" s="246">
        <f>IFERROR(VLOOKUP(F308,PROGRAMAS[],3,FALSE),0)</f>
        <v>3394901471.387517</v>
      </c>
      <c r="AI308" s="246">
        <f>IFERROR(VLOOKUP(G308,PROGRAMAS[],3,FALSE),0)</f>
        <v>125317226.95549992</v>
      </c>
      <c r="AJ308" s="246">
        <f>IFERROR(VLOOKUP(H308,PROGRAMAS[],3,FALSE),0)</f>
        <v>7011279577.519702</v>
      </c>
      <c r="AK308" s="246">
        <f>IFERROR(VLOOKUP(I308,PROGRAMAS[],3,FALSE),0)</f>
        <v>2392571243.5584412</v>
      </c>
      <c r="AL308" s="246">
        <f>IFERROR(VLOOKUP(J308,PROGRAMAS[],3,FALSE),0)</f>
        <v>31865326.38096505</v>
      </c>
      <c r="AM308" s="246">
        <f>IFERROR(VLOOKUP(K308,PROGRAMAS[],3,FALSE),0)</f>
        <v>0</v>
      </c>
      <c r="AN308" s="246">
        <f>IFERROR(VLOOKUP(L308,PROGRAMAS[],3,FALSE),0)</f>
        <v>0</v>
      </c>
      <c r="AO308" s="246">
        <f>IFERROR(VLOOKUP(M308,PROGRAMAS[],3,FALSE),0)</f>
        <v>0</v>
      </c>
      <c r="AP308" s="246">
        <f>IFERROR(VLOOKUP(N308,PROGRAMAS[],3,FALSE),0)</f>
        <v>0</v>
      </c>
      <c r="AQ308" s="246">
        <f>IFERROR(VLOOKUP(O308,PROGRAMAS[],3,FALSE),0)</f>
        <v>0</v>
      </c>
      <c r="AR308" s="246">
        <f>IFERROR(VLOOKUP(P308,PROGRAMAS[],3,FALSE),0)</f>
        <v>0</v>
      </c>
      <c r="AS308" s="246">
        <f>IFERROR(VLOOKUP(Q308,PROGRAMAS[],3,FALSE),0)</f>
        <v>0</v>
      </c>
      <c r="AT308" s="246">
        <f>IFERROR(VLOOKUP(D308,VOL_REC[],2,FALSE),0)</f>
        <v>0</v>
      </c>
      <c r="AU308" s="246">
        <f>IFERROR(VLOOKUP(E308,VOL_REC[],2,FALSE),0)</f>
        <v>0</v>
      </c>
      <c r="AV308" s="246">
        <f>IFERROR(VLOOKUP(F308,VOL_REC[],2,FALSE),0)</f>
        <v>11089674.200000001</v>
      </c>
      <c r="AW308" s="246">
        <f>IFERROR(VLOOKUP(G308,VOL_REC[],2,FALSE),0)</f>
        <v>90439.55</v>
      </c>
      <c r="AX308" s="246">
        <f>IFERROR(VLOOKUP(H308,VOL_REC[],2,FALSE),0)</f>
        <v>3761786</v>
      </c>
      <c r="AY308" s="246">
        <f>IFERROR(VLOOKUP(I308,VOL_REC[],2,FALSE),0)</f>
        <v>663244.80000000016</v>
      </c>
      <c r="AZ308" s="246">
        <f>IFERROR(VLOOKUP(J308,VOL_REC[],2,FALSE),0)</f>
        <v>17074.045034105649</v>
      </c>
      <c r="BA308" s="246">
        <f>IFERROR(VLOOKUP(K308,VOL_REC[],2,FALSE),0)</f>
        <v>0</v>
      </c>
      <c r="BB308" s="246">
        <f>IFERROR(VLOOKUP(L308,VOL_REC[],2,FALSE),0)</f>
        <v>0</v>
      </c>
      <c r="BC308" s="246">
        <f>IFERROR(VLOOKUP(M308,VOL_REC[],2,FALSE),0)</f>
        <v>0</v>
      </c>
      <c r="BD308" s="246">
        <f>IFERROR(VLOOKUP(N308,VOL_REC[],2,FALSE),0)</f>
        <v>0</v>
      </c>
      <c r="BE308" s="246">
        <f>IFERROR(VLOOKUP(O308,VOL_REC[],2,FALSE),0)</f>
        <v>0</v>
      </c>
      <c r="BF308" s="246">
        <f>IFERROR(VLOOKUP(P308,VOL_REC[],2,FALSE),0)</f>
        <v>0</v>
      </c>
      <c r="BG308" s="246">
        <f>IFERROR(VLOOKUP(Q308,VOL_REC[],2,FALSE),0)</f>
        <v>0</v>
      </c>
      <c r="BH308" s="1710">
        <f t="shared" si="16"/>
        <v>13826906638.815168</v>
      </c>
      <c r="BI308" s="1710">
        <f t="shared" si="17"/>
        <v>17646804278.277161</v>
      </c>
      <c r="BJ308" s="1711">
        <f t="shared" si="18"/>
        <v>15622218.595034108</v>
      </c>
      <c r="BK308" s="1711">
        <f t="shared" si="19"/>
        <v>0.78353601143725471</v>
      </c>
    </row>
    <row r="309" spans="3:67" x14ac:dyDescent="0.25">
      <c r="C309" s="246" t="s">
        <v>1659</v>
      </c>
      <c r="D309" s="246">
        <v>1</v>
      </c>
      <c r="E309" s="246">
        <v>2</v>
      </c>
      <c r="F309" s="246">
        <v>3</v>
      </c>
      <c r="G309" s="246">
        <v>4</v>
      </c>
      <c r="H309" s="246">
        <v>9</v>
      </c>
      <c r="I309" s="246">
        <v>13</v>
      </c>
      <c r="J309" s="246">
        <v>15</v>
      </c>
      <c r="K309" s="246"/>
      <c r="L309" s="246"/>
      <c r="M309" s="246"/>
      <c r="N309" s="246"/>
      <c r="O309" s="246"/>
      <c r="P309" s="246"/>
      <c r="Q309" s="246"/>
      <c r="R309" s="246">
        <f>IFERROR(VLOOKUP(D309,PROGRAMAS[],2,FALSE),0)</f>
        <v>97037803.679377079</v>
      </c>
      <c r="S309" s="246">
        <f>IFERROR(VLOOKUP(E309,PROGRAMAS[],2,FALSE),0)</f>
        <v>640501509.6821388</v>
      </c>
      <c r="T309" s="246">
        <f>IFERROR(VLOOKUP(F309,PROGRAMAS[],2,FALSE),0)</f>
        <v>3062327798.1525245</v>
      </c>
      <c r="U309" s="246">
        <f>IFERROR(VLOOKUP(G309,PROGRAMAS[],2,FALSE),0)</f>
        <v>67697118.033011258</v>
      </c>
      <c r="V309" s="246">
        <f>IFERROR(VLOOKUP(H309,PROGRAMAS[],2,FALSE),0)</f>
        <v>6128579952.1618185</v>
      </c>
      <c r="W309" s="246">
        <f>IFERROR(VLOOKUP(I309,PROGRAMAS[],2,FALSE),0)</f>
        <v>3776538594.4604583</v>
      </c>
      <c r="X309" s="246">
        <f>IFERROR(VLOOKUP(J309,PROGRAMAS[],2,FALSE),0)</f>
        <v>122159672.96346797</v>
      </c>
      <c r="Y309" s="246">
        <f>IFERROR(VLOOKUP(K309,PROGRAMAS[],2,FALSE),0)</f>
        <v>0</v>
      </c>
      <c r="Z309" s="246">
        <f>IFERROR(VLOOKUP(L309,PROGRAMAS[],2,FALSE),0)</f>
        <v>0</v>
      </c>
      <c r="AA309" s="246">
        <f>IFERROR(VLOOKUP(M309,PROGRAMAS[],2,FALSE),0)</f>
        <v>0</v>
      </c>
      <c r="AB309" s="246">
        <f>IFERROR(VLOOKUP(N309,PROGRAMAS[],2,FALSE),0)</f>
        <v>0</v>
      </c>
      <c r="AC309" s="246">
        <f>IFERROR(VLOOKUP(O309,PROGRAMAS[],2,FALSE),0)</f>
        <v>0</v>
      </c>
      <c r="AD309" s="246">
        <f>IFERROR(VLOOKUP(P309,PROGRAMAS[],2,FALSE),0)</f>
        <v>0</v>
      </c>
      <c r="AE309" s="246">
        <f>IFERROR(VLOOKUP(Q309,PROGRAMAS[],2,FALSE),0)</f>
        <v>0</v>
      </c>
      <c r="AF309" s="246">
        <f>IFERROR(VLOOKUP(D309,PROGRAMAS[],3,FALSE),0)</f>
        <v>841888629.31080008</v>
      </c>
      <c r="AG309" s="246">
        <f>IFERROR(VLOOKUP(E309,PROGRAMAS[],3,FALSE),0)</f>
        <v>3848980803.1642323</v>
      </c>
      <c r="AH309" s="246">
        <f>IFERROR(VLOOKUP(F309,PROGRAMAS[],3,FALSE),0)</f>
        <v>3394901471.387517</v>
      </c>
      <c r="AI309" s="246">
        <f>IFERROR(VLOOKUP(G309,PROGRAMAS[],3,FALSE),0)</f>
        <v>125317226.95549992</v>
      </c>
      <c r="AJ309" s="246">
        <f>IFERROR(VLOOKUP(H309,PROGRAMAS[],3,FALSE),0)</f>
        <v>7011279577.519702</v>
      </c>
      <c r="AK309" s="246">
        <f>IFERROR(VLOOKUP(I309,PROGRAMAS[],3,FALSE),0)</f>
        <v>2392571243.5584412</v>
      </c>
      <c r="AL309" s="246">
        <f>IFERROR(VLOOKUP(J309,PROGRAMAS[],3,FALSE),0)</f>
        <v>118617452.52510804</v>
      </c>
      <c r="AM309" s="246">
        <f>IFERROR(VLOOKUP(K309,PROGRAMAS[],3,FALSE),0)</f>
        <v>0</v>
      </c>
      <c r="AN309" s="246">
        <f>IFERROR(VLOOKUP(L309,PROGRAMAS[],3,FALSE),0)</f>
        <v>0</v>
      </c>
      <c r="AO309" s="246">
        <f>IFERROR(VLOOKUP(M309,PROGRAMAS[],3,FALSE),0)</f>
        <v>0</v>
      </c>
      <c r="AP309" s="246">
        <f>IFERROR(VLOOKUP(N309,PROGRAMAS[],3,FALSE),0)</f>
        <v>0</v>
      </c>
      <c r="AQ309" s="246">
        <f>IFERROR(VLOOKUP(O309,PROGRAMAS[],3,FALSE),0)</f>
        <v>0</v>
      </c>
      <c r="AR309" s="246">
        <f>IFERROR(VLOOKUP(P309,PROGRAMAS[],3,FALSE),0)</f>
        <v>0</v>
      </c>
      <c r="AS309" s="246">
        <f>IFERROR(VLOOKUP(Q309,PROGRAMAS[],3,FALSE),0)</f>
        <v>0</v>
      </c>
      <c r="AT309" s="246">
        <f>IFERROR(VLOOKUP(D309,VOL_REC[],2,FALSE),0)</f>
        <v>0</v>
      </c>
      <c r="AU309" s="246">
        <f>IFERROR(VLOOKUP(E309,VOL_REC[],2,FALSE),0)</f>
        <v>0</v>
      </c>
      <c r="AV309" s="246">
        <f>IFERROR(VLOOKUP(F309,VOL_REC[],2,FALSE),0)</f>
        <v>11089674.200000001</v>
      </c>
      <c r="AW309" s="246">
        <f>IFERROR(VLOOKUP(G309,VOL_REC[],2,FALSE),0)</f>
        <v>90439.55</v>
      </c>
      <c r="AX309" s="246">
        <f>IFERROR(VLOOKUP(H309,VOL_REC[],2,FALSE),0)</f>
        <v>3761786</v>
      </c>
      <c r="AY309" s="246">
        <f>IFERROR(VLOOKUP(I309,VOL_REC[],2,FALSE),0)</f>
        <v>663244.80000000016</v>
      </c>
      <c r="AZ309" s="246">
        <f>IFERROR(VLOOKUP(J309,VOL_REC[],2,FALSE),0)</f>
        <v>105072</v>
      </c>
      <c r="BA309" s="246">
        <f>IFERROR(VLOOKUP(K309,VOL_REC[],2,FALSE),0)</f>
        <v>0</v>
      </c>
      <c r="BB309" s="246">
        <f>IFERROR(VLOOKUP(L309,VOL_REC[],2,FALSE),0)</f>
        <v>0</v>
      </c>
      <c r="BC309" s="246">
        <f>IFERROR(VLOOKUP(M309,VOL_REC[],2,FALSE),0)</f>
        <v>0</v>
      </c>
      <c r="BD309" s="246">
        <f>IFERROR(VLOOKUP(N309,VOL_REC[],2,FALSE),0)</f>
        <v>0</v>
      </c>
      <c r="BE309" s="246">
        <f>IFERROR(VLOOKUP(O309,VOL_REC[],2,FALSE),0)</f>
        <v>0</v>
      </c>
      <c r="BF309" s="246">
        <f>IFERROR(VLOOKUP(P309,VOL_REC[],2,FALSE),0)</f>
        <v>0</v>
      </c>
      <c r="BG309" s="246">
        <f>IFERROR(VLOOKUP(Q309,VOL_REC[],2,FALSE),0)</f>
        <v>0</v>
      </c>
      <c r="BH309" s="1710">
        <f t="shared" si="16"/>
        <v>13894842449.132797</v>
      </c>
      <c r="BI309" s="1710">
        <f t="shared" si="17"/>
        <v>17733556404.421303</v>
      </c>
      <c r="BJ309" s="1711">
        <f t="shared" si="18"/>
        <v>15710216.550000003</v>
      </c>
      <c r="BK309" s="1711">
        <f t="shared" si="19"/>
        <v>0.78353389090462178</v>
      </c>
    </row>
    <row r="310" spans="3:67" x14ac:dyDescent="0.25">
      <c r="C310" s="246" t="s">
        <v>1660</v>
      </c>
      <c r="D310" s="246">
        <v>1</v>
      </c>
      <c r="E310" s="246">
        <v>2</v>
      </c>
      <c r="F310" s="246">
        <v>3</v>
      </c>
      <c r="G310" s="246">
        <v>4</v>
      </c>
      <c r="H310" s="246">
        <v>9</v>
      </c>
      <c r="I310" s="246">
        <v>13</v>
      </c>
      <c r="J310" s="246">
        <v>16</v>
      </c>
      <c r="K310" s="246"/>
      <c r="L310" s="246"/>
      <c r="M310" s="246"/>
      <c r="N310" s="246"/>
      <c r="O310" s="246"/>
      <c r="P310" s="246"/>
      <c r="Q310" s="246"/>
      <c r="R310" s="246">
        <f>IFERROR(VLOOKUP(D310,PROGRAMAS[],2,FALSE),0)</f>
        <v>97037803.679377079</v>
      </c>
      <c r="S310" s="246">
        <f>IFERROR(VLOOKUP(E310,PROGRAMAS[],2,FALSE),0)</f>
        <v>640501509.6821388</v>
      </c>
      <c r="T310" s="246">
        <f>IFERROR(VLOOKUP(F310,PROGRAMAS[],2,FALSE),0)</f>
        <v>3062327798.1525245</v>
      </c>
      <c r="U310" s="246">
        <f>IFERROR(VLOOKUP(G310,PROGRAMAS[],2,FALSE),0)</f>
        <v>67697118.033011258</v>
      </c>
      <c r="V310" s="246">
        <f>IFERROR(VLOOKUP(H310,PROGRAMAS[],2,FALSE),0)</f>
        <v>6128579952.1618185</v>
      </c>
      <c r="W310" s="246">
        <f>IFERROR(VLOOKUP(I310,PROGRAMAS[],2,FALSE),0)</f>
        <v>3776538594.4604583</v>
      </c>
      <c r="X310" s="246">
        <f>IFERROR(VLOOKUP(J310,PROGRAMAS[],2,FALSE),0)</f>
        <v>7068496961.0436354</v>
      </c>
      <c r="Y310" s="246">
        <f>IFERROR(VLOOKUP(K310,PROGRAMAS[],2,FALSE),0)</f>
        <v>0</v>
      </c>
      <c r="Z310" s="246">
        <f>IFERROR(VLOOKUP(L310,PROGRAMAS[],2,FALSE),0)</f>
        <v>0</v>
      </c>
      <c r="AA310" s="246">
        <f>IFERROR(VLOOKUP(M310,PROGRAMAS[],2,FALSE),0)</f>
        <v>0</v>
      </c>
      <c r="AB310" s="246">
        <f>IFERROR(VLOOKUP(N310,PROGRAMAS[],2,FALSE),0)</f>
        <v>0</v>
      </c>
      <c r="AC310" s="246">
        <f>IFERROR(VLOOKUP(O310,PROGRAMAS[],2,FALSE),0)</f>
        <v>0</v>
      </c>
      <c r="AD310" s="246">
        <f>IFERROR(VLOOKUP(P310,PROGRAMAS[],2,FALSE),0)</f>
        <v>0</v>
      </c>
      <c r="AE310" s="246">
        <f>IFERROR(VLOOKUP(Q310,PROGRAMAS[],2,FALSE),0)</f>
        <v>0</v>
      </c>
      <c r="AF310" s="246">
        <f>IFERROR(VLOOKUP(D310,PROGRAMAS[],3,FALSE),0)</f>
        <v>841888629.31080008</v>
      </c>
      <c r="AG310" s="246">
        <f>IFERROR(VLOOKUP(E310,PROGRAMAS[],3,FALSE),0)</f>
        <v>3848980803.1642323</v>
      </c>
      <c r="AH310" s="246">
        <f>IFERROR(VLOOKUP(F310,PROGRAMAS[],3,FALSE),0)</f>
        <v>3394901471.387517</v>
      </c>
      <c r="AI310" s="246">
        <f>IFERROR(VLOOKUP(G310,PROGRAMAS[],3,FALSE),0)</f>
        <v>125317226.95549992</v>
      </c>
      <c r="AJ310" s="246">
        <f>IFERROR(VLOOKUP(H310,PROGRAMAS[],3,FALSE),0)</f>
        <v>7011279577.519702</v>
      </c>
      <c r="AK310" s="246">
        <f>IFERROR(VLOOKUP(I310,PROGRAMAS[],3,FALSE),0)</f>
        <v>2392571243.5584412</v>
      </c>
      <c r="AL310" s="246">
        <f>IFERROR(VLOOKUP(J310,PROGRAMAS[],3,FALSE),0)</f>
        <v>2406564599.0319901</v>
      </c>
      <c r="AM310" s="246">
        <f>IFERROR(VLOOKUP(K310,PROGRAMAS[],3,FALSE),0)</f>
        <v>0</v>
      </c>
      <c r="AN310" s="246">
        <f>IFERROR(VLOOKUP(L310,PROGRAMAS[],3,FALSE),0)</f>
        <v>0</v>
      </c>
      <c r="AO310" s="246">
        <f>IFERROR(VLOOKUP(M310,PROGRAMAS[],3,FALSE),0)</f>
        <v>0</v>
      </c>
      <c r="AP310" s="246">
        <f>IFERROR(VLOOKUP(N310,PROGRAMAS[],3,FALSE),0)</f>
        <v>0</v>
      </c>
      <c r="AQ310" s="246">
        <f>IFERROR(VLOOKUP(O310,PROGRAMAS[],3,FALSE),0)</f>
        <v>0</v>
      </c>
      <c r="AR310" s="246">
        <f>IFERROR(VLOOKUP(P310,PROGRAMAS[],3,FALSE),0)</f>
        <v>0</v>
      </c>
      <c r="AS310" s="246">
        <f>IFERROR(VLOOKUP(Q310,PROGRAMAS[],3,FALSE),0)</f>
        <v>0</v>
      </c>
      <c r="AT310" s="246">
        <f>IFERROR(VLOOKUP(D310,VOL_REC[],2,FALSE),0)</f>
        <v>0</v>
      </c>
      <c r="AU310" s="246">
        <f>IFERROR(VLOOKUP(E310,VOL_REC[],2,FALSE),0)</f>
        <v>0</v>
      </c>
      <c r="AV310" s="246">
        <f>IFERROR(VLOOKUP(F310,VOL_REC[],2,FALSE),0)</f>
        <v>11089674.200000001</v>
      </c>
      <c r="AW310" s="246">
        <f>IFERROR(VLOOKUP(G310,VOL_REC[],2,FALSE),0)</f>
        <v>90439.55</v>
      </c>
      <c r="AX310" s="246">
        <f>IFERROR(VLOOKUP(H310,VOL_REC[],2,FALSE),0)</f>
        <v>3761786</v>
      </c>
      <c r="AY310" s="246">
        <f>IFERROR(VLOOKUP(I310,VOL_REC[],2,FALSE),0)</f>
        <v>663244.80000000016</v>
      </c>
      <c r="AZ310" s="246">
        <f>IFERROR(VLOOKUP(J310,VOL_REC[],2,FALSE),0)</f>
        <v>1072354.9981737854</v>
      </c>
      <c r="BA310" s="246">
        <f>IFERROR(VLOOKUP(K310,VOL_REC[],2,FALSE),0)</f>
        <v>0</v>
      </c>
      <c r="BB310" s="246">
        <f>IFERROR(VLOOKUP(L310,VOL_REC[],2,FALSE),0)</f>
        <v>0</v>
      </c>
      <c r="BC310" s="246">
        <f>IFERROR(VLOOKUP(M310,VOL_REC[],2,FALSE),0)</f>
        <v>0</v>
      </c>
      <c r="BD310" s="246">
        <f>IFERROR(VLOOKUP(N310,VOL_REC[],2,FALSE),0)</f>
        <v>0</v>
      </c>
      <c r="BE310" s="246">
        <f>IFERROR(VLOOKUP(O310,VOL_REC[],2,FALSE),0)</f>
        <v>0</v>
      </c>
      <c r="BF310" s="246">
        <f>IFERROR(VLOOKUP(P310,VOL_REC[],2,FALSE),0)</f>
        <v>0</v>
      </c>
      <c r="BG310" s="246">
        <f>IFERROR(VLOOKUP(Q310,VOL_REC[],2,FALSE),0)</f>
        <v>0</v>
      </c>
      <c r="BH310" s="1710">
        <f t="shared" si="16"/>
        <v>20841179737.212963</v>
      </c>
      <c r="BI310" s="1710">
        <f t="shared" si="17"/>
        <v>20021503550.928185</v>
      </c>
      <c r="BJ310" s="1711">
        <f t="shared" si="18"/>
        <v>16677499.548173789</v>
      </c>
      <c r="BK310" s="1711">
        <f t="shared" si="19"/>
        <v>1.0409397917693739</v>
      </c>
      <c r="BL310">
        <f>BJ310</f>
        <v>16677499.548173789</v>
      </c>
      <c r="BO310">
        <f>BL310</f>
        <v>16677499.548173789</v>
      </c>
    </row>
    <row r="311" spans="3:67" x14ac:dyDescent="0.25">
      <c r="C311" s="246" t="s">
        <v>1661</v>
      </c>
      <c r="D311" s="246">
        <v>1</v>
      </c>
      <c r="E311" s="246">
        <v>2</v>
      </c>
      <c r="F311" s="246">
        <v>3</v>
      </c>
      <c r="G311" s="246">
        <v>4</v>
      </c>
      <c r="H311" s="246">
        <v>9</v>
      </c>
      <c r="I311" s="246">
        <v>13</v>
      </c>
      <c r="J311" s="246">
        <v>17</v>
      </c>
      <c r="K311" s="246"/>
      <c r="L311" s="246"/>
      <c r="M311" s="246"/>
      <c r="N311" s="246"/>
      <c r="O311" s="246"/>
      <c r="P311" s="246"/>
      <c r="Q311" s="246"/>
      <c r="R311" s="246">
        <f>IFERROR(VLOOKUP(D311,PROGRAMAS[],2,FALSE),0)</f>
        <v>97037803.679377079</v>
      </c>
      <c r="S311" s="246">
        <f>IFERROR(VLOOKUP(E311,PROGRAMAS[],2,FALSE),0)</f>
        <v>640501509.6821388</v>
      </c>
      <c r="T311" s="246">
        <f>IFERROR(VLOOKUP(F311,PROGRAMAS[],2,FALSE),0)</f>
        <v>3062327798.1525245</v>
      </c>
      <c r="U311" s="246">
        <f>IFERROR(VLOOKUP(G311,PROGRAMAS[],2,FALSE),0)</f>
        <v>67697118.033011258</v>
      </c>
      <c r="V311" s="246">
        <f>IFERROR(VLOOKUP(H311,PROGRAMAS[],2,FALSE),0)</f>
        <v>6128579952.1618185</v>
      </c>
      <c r="W311" s="246">
        <f>IFERROR(VLOOKUP(I311,PROGRAMAS[],2,FALSE),0)</f>
        <v>3776538594.4604583</v>
      </c>
      <c r="X311" s="246">
        <f>IFERROR(VLOOKUP(J311,PROGRAMAS[],2,FALSE),0)</f>
        <v>1892779498.5211046</v>
      </c>
      <c r="Y311" s="246">
        <f>IFERROR(VLOOKUP(K311,PROGRAMAS[],2,FALSE),0)</f>
        <v>0</v>
      </c>
      <c r="Z311" s="246">
        <f>IFERROR(VLOOKUP(L311,PROGRAMAS[],2,FALSE),0)</f>
        <v>0</v>
      </c>
      <c r="AA311" s="246">
        <f>IFERROR(VLOOKUP(M311,PROGRAMAS[],2,FALSE),0)</f>
        <v>0</v>
      </c>
      <c r="AB311" s="246">
        <f>IFERROR(VLOOKUP(N311,PROGRAMAS[],2,FALSE),0)</f>
        <v>0</v>
      </c>
      <c r="AC311" s="246">
        <f>IFERROR(VLOOKUP(O311,PROGRAMAS[],2,FALSE),0)</f>
        <v>0</v>
      </c>
      <c r="AD311" s="246">
        <f>IFERROR(VLOOKUP(P311,PROGRAMAS[],2,FALSE),0)</f>
        <v>0</v>
      </c>
      <c r="AE311" s="246">
        <f>IFERROR(VLOOKUP(Q311,PROGRAMAS[],2,FALSE),0)</f>
        <v>0</v>
      </c>
      <c r="AF311" s="246">
        <f>IFERROR(VLOOKUP(D311,PROGRAMAS[],3,FALSE),0)</f>
        <v>841888629.31080008</v>
      </c>
      <c r="AG311" s="246">
        <f>IFERROR(VLOOKUP(E311,PROGRAMAS[],3,FALSE),0)</f>
        <v>3848980803.1642323</v>
      </c>
      <c r="AH311" s="246">
        <f>IFERROR(VLOOKUP(F311,PROGRAMAS[],3,FALSE),0)</f>
        <v>3394901471.387517</v>
      </c>
      <c r="AI311" s="246">
        <f>IFERROR(VLOOKUP(G311,PROGRAMAS[],3,FALSE),0)</f>
        <v>125317226.95549992</v>
      </c>
      <c r="AJ311" s="246">
        <f>IFERROR(VLOOKUP(H311,PROGRAMAS[],3,FALSE),0)</f>
        <v>7011279577.519702</v>
      </c>
      <c r="AK311" s="246">
        <f>IFERROR(VLOOKUP(I311,PROGRAMAS[],3,FALSE),0)</f>
        <v>2392571243.5584412</v>
      </c>
      <c r="AL311" s="246">
        <f>IFERROR(VLOOKUP(J311,PROGRAMAS[],3,FALSE),0)</f>
        <v>948595847.09039903</v>
      </c>
      <c r="AM311" s="246">
        <f>IFERROR(VLOOKUP(K311,PROGRAMAS[],3,FALSE),0)</f>
        <v>0</v>
      </c>
      <c r="AN311" s="246">
        <f>IFERROR(VLOOKUP(L311,PROGRAMAS[],3,FALSE),0)</f>
        <v>0</v>
      </c>
      <c r="AO311" s="246">
        <f>IFERROR(VLOOKUP(M311,PROGRAMAS[],3,FALSE),0)</f>
        <v>0</v>
      </c>
      <c r="AP311" s="246">
        <f>IFERROR(VLOOKUP(N311,PROGRAMAS[],3,FALSE),0)</f>
        <v>0</v>
      </c>
      <c r="AQ311" s="246">
        <f>IFERROR(VLOOKUP(O311,PROGRAMAS[],3,FALSE),0)</f>
        <v>0</v>
      </c>
      <c r="AR311" s="246">
        <f>IFERROR(VLOOKUP(P311,PROGRAMAS[],3,FALSE),0)</f>
        <v>0</v>
      </c>
      <c r="AS311" s="246">
        <f>IFERROR(VLOOKUP(Q311,PROGRAMAS[],3,FALSE),0)</f>
        <v>0</v>
      </c>
      <c r="AT311" s="246">
        <f>IFERROR(VLOOKUP(D311,VOL_REC[],2,FALSE),0)</f>
        <v>0</v>
      </c>
      <c r="AU311" s="246">
        <f>IFERROR(VLOOKUP(E311,VOL_REC[],2,FALSE),0)</f>
        <v>0</v>
      </c>
      <c r="AV311" s="246">
        <f>IFERROR(VLOOKUP(F311,VOL_REC[],2,FALSE),0)</f>
        <v>11089674.200000001</v>
      </c>
      <c r="AW311" s="246">
        <f>IFERROR(VLOOKUP(G311,VOL_REC[],2,FALSE),0)</f>
        <v>90439.55</v>
      </c>
      <c r="AX311" s="246">
        <f>IFERROR(VLOOKUP(H311,VOL_REC[],2,FALSE),0)</f>
        <v>3761786</v>
      </c>
      <c r="AY311" s="246">
        <f>IFERROR(VLOOKUP(I311,VOL_REC[],2,FALSE),0)</f>
        <v>663244.80000000016</v>
      </c>
      <c r="AZ311" s="246">
        <f>IFERROR(VLOOKUP(J311,VOL_REC[],2,FALSE),0)</f>
        <v>740113.98115702497</v>
      </c>
      <c r="BA311" s="246">
        <f>IFERROR(VLOOKUP(K311,VOL_REC[],2,FALSE),0)</f>
        <v>0</v>
      </c>
      <c r="BB311" s="246">
        <f>IFERROR(VLOOKUP(L311,VOL_REC[],2,FALSE),0)</f>
        <v>0</v>
      </c>
      <c r="BC311" s="246">
        <f>IFERROR(VLOOKUP(M311,VOL_REC[],2,FALSE),0)</f>
        <v>0</v>
      </c>
      <c r="BD311" s="246">
        <f>IFERROR(VLOOKUP(N311,VOL_REC[],2,FALSE),0)</f>
        <v>0</v>
      </c>
      <c r="BE311" s="246">
        <f>IFERROR(VLOOKUP(O311,VOL_REC[],2,FALSE),0)</f>
        <v>0</v>
      </c>
      <c r="BF311" s="246">
        <f>IFERROR(VLOOKUP(P311,VOL_REC[],2,FALSE),0)</f>
        <v>0</v>
      </c>
      <c r="BG311" s="246">
        <f>IFERROR(VLOOKUP(Q311,VOL_REC[],2,FALSE),0)</f>
        <v>0</v>
      </c>
      <c r="BH311" s="1710">
        <f t="shared" si="16"/>
        <v>15665462274.690434</v>
      </c>
      <c r="BI311" s="1710">
        <f t="shared" si="17"/>
        <v>18563534798.986595</v>
      </c>
      <c r="BJ311" s="1711">
        <f t="shared" si="18"/>
        <v>16345258.531157028</v>
      </c>
      <c r="BK311" s="1711">
        <f t="shared" si="19"/>
        <v>0.8438835838283143</v>
      </c>
    </row>
    <row r="312" spans="3:67" x14ac:dyDescent="0.25">
      <c r="C312" s="246" t="s">
        <v>1662</v>
      </c>
      <c r="D312" s="246">
        <v>1</v>
      </c>
      <c r="E312" s="246">
        <v>2</v>
      </c>
      <c r="F312" s="246">
        <v>3</v>
      </c>
      <c r="G312" s="246">
        <v>4</v>
      </c>
      <c r="H312" s="246">
        <v>9</v>
      </c>
      <c r="I312" s="246">
        <v>14</v>
      </c>
      <c r="J312" s="246">
        <v>15</v>
      </c>
      <c r="K312" s="246"/>
      <c r="L312" s="246"/>
      <c r="M312" s="246"/>
      <c r="N312" s="246"/>
      <c r="O312" s="246"/>
      <c r="P312" s="246"/>
      <c r="Q312" s="246"/>
      <c r="R312" s="246">
        <f>IFERROR(VLOOKUP(D312,PROGRAMAS[],2,FALSE),0)</f>
        <v>97037803.679377079</v>
      </c>
      <c r="S312" s="246">
        <f>IFERROR(VLOOKUP(E312,PROGRAMAS[],2,FALSE),0)</f>
        <v>640501509.6821388</v>
      </c>
      <c r="T312" s="246">
        <f>IFERROR(VLOOKUP(F312,PROGRAMAS[],2,FALSE),0)</f>
        <v>3062327798.1525245</v>
      </c>
      <c r="U312" s="246">
        <f>IFERROR(VLOOKUP(G312,PROGRAMAS[],2,FALSE),0)</f>
        <v>67697118.033011258</v>
      </c>
      <c r="V312" s="246">
        <f>IFERROR(VLOOKUP(H312,PROGRAMAS[],2,FALSE),0)</f>
        <v>6128579952.1618185</v>
      </c>
      <c r="W312" s="246">
        <f>IFERROR(VLOOKUP(I312,PROGRAMAS[],2,FALSE),0)</f>
        <v>54223862.645839565</v>
      </c>
      <c r="X312" s="246">
        <f>IFERROR(VLOOKUP(J312,PROGRAMAS[],2,FALSE),0)</f>
        <v>122159672.96346797</v>
      </c>
      <c r="Y312" s="246">
        <f>IFERROR(VLOOKUP(K312,PROGRAMAS[],2,FALSE),0)</f>
        <v>0</v>
      </c>
      <c r="Z312" s="246">
        <f>IFERROR(VLOOKUP(L312,PROGRAMAS[],2,FALSE),0)</f>
        <v>0</v>
      </c>
      <c r="AA312" s="246">
        <f>IFERROR(VLOOKUP(M312,PROGRAMAS[],2,FALSE),0)</f>
        <v>0</v>
      </c>
      <c r="AB312" s="246">
        <f>IFERROR(VLOOKUP(N312,PROGRAMAS[],2,FALSE),0)</f>
        <v>0</v>
      </c>
      <c r="AC312" s="246">
        <f>IFERROR(VLOOKUP(O312,PROGRAMAS[],2,FALSE),0)</f>
        <v>0</v>
      </c>
      <c r="AD312" s="246">
        <f>IFERROR(VLOOKUP(P312,PROGRAMAS[],2,FALSE),0)</f>
        <v>0</v>
      </c>
      <c r="AE312" s="246">
        <f>IFERROR(VLOOKUP(Q312,PROGRAMAS[],2,FALSE),0)</f>
        <v>0</v>
      </c>
      <c r="AF312" s="246">
        <f>IFERROR(VLOOKUP(D312,PROGRAMAS[],3,FALSE),0)</f>
        <v>841888629.31080008</v>
      </c>
      <c r="AG312" s="246">
        <f>IFERROR(VLOOKUP(E312,PROGRAMAS[],3,FALSE),0)</f>
        <v>3848980803.1642323</v>
      </c>
      <c r="AH312" s="246">
        <f>IFERROR(VLOOKUP(F312,PROGRAMAS[],3,FALSE),0)</f>
        <v>3394901471.387517</v>
      </c>
      <c r="AI312" s="246">
        <f>IFERROR(VLOOKUP(G312,PROGRAMAS[],3,FALSE),0)</f>
        <v>125317226.95549992</v>
      </c>
      <c r="AJ312" s="246">
        <f>IFERROR(VLOOKUP(H312,PROGRAMAS[],3,FALSE),0)</f>
        <v>7011279577.519702</v>
      </c>
      <c r="AK312" s="246">
        <f>IFERROR(VLOOKUP(I312,PROGRAMAS[],3,FALSE),0)</f>
        <v>31865326.38096505</v>
      </c>
      <c r="AL312" s="246">
        <f>IFERROR(VLOOKUP(J312,PROGRAMAS[],3,FALSE),0)</f>
        <v>118617452.52510804</v>
      </c>
      <c r="AM312" s="246">
        <f>IFERROR(VLOOKUP(K312,PROGRAMAS[],3,FALSE),0)</f>
        <v>0</v>
      </c>
      <c r="AN312" s="246">
        <f>IFERROR(VLOOKUP(L312,PROGRAMAS[],3,FALSE),0)</f>
        <v>0</v>
      </c>
      <c r="AO312" s="246">
        <f>IFERROR(VLOOKUP(M312,PROGRAMAS[],3,FALSE),0)</f>
        <v>0</v>
      </c>
      <c r="AP312" s="246">
        <f>IFERROR(VLOOKUP(N312,PROGRAMAS[],3,FALSE),0)</f>
        <v>0</v>
      </c>
      <c r="AQ312" s="246">
        <f>IFERROR(VLOOKUP(O312,PROGRAMAS[],3,FALSE),0)</f>
        <v>0</v>
      </c>
      <c r="AR312" s="246">
        <f>IFERROR(VLOOKUP(P312,PROGRAMAS[],3,FALSE),0)</f>
        <v>0</v>
      </c>
      <c r="AS312" s="246">
        <f>IFERROR(VLOOKUP(Q312,PROGRAMAS[],3,FALSE),0)</f>
        <v>0</v>
      </c>
      <c r="AT312" s="246">
        <f>IFERROR(VLOOKUP(D312,VOL_REC[],2,FALSE),0)</f>
        <v>0</v>
      </c>
      <c r="AU312" s="246">
        <f>IFERROR(VLOOKUP(E312,VOL_REC[],2,FALSE),0)</f>
        <v>0</v>
      </c>
      <c r="AV312" s="246">
        <f>IFERROR(VLOOKUP(F312,VOL_REC[],2,FALSE),0)</f>
        <v>11089674.200000001</v>
      </c>
      <c r="AW312" s="246">
        <f>IFERROR(VLOOKUP(G312,VOL_REC[],2,FALSE),0)</f>
        <v>90439.55</v>
      </c>
      <c r="AX312" s="246">
        <f>IFERROR(VLOOKUP(H312,VOL_REC[],2,FALSE),0)</f>
        <v>3761786</v>
      </c>
      <c r="AY312" s="246">
        <f>IFERROR(VLOOKUP(I312,VOL_REC[],2,FALSE),0)</f>
        <v>17074.045034105649</v>
      </c>
      <c r="AZ312" s="246">
        <f>IFERROR(VLOOKUP(J312,VOL_REC[],2,FALSE),0)</f>
        <v>105072</v>
      </c>
      <c r="BA312" s="246">
        <f>IFERROR(VLOOKUP(K312,VOL_REC[],2,FALSE),0)</f>
        <v>0</v>
      </c>
      <c r="BB312" s="246">
        <f>IFERROR(VLOOKUP(L312,VOL_REC[],2,FALSE),0)</f>
        <v>0</v>
      </c>
      <c r="BC312" s="246">
        <f>IFERROR(VLOOKUP(M312,VOL_REC[],2,FALSE),0)</f>
        <v>0</v>
      </c>
      <c r="BD312" s="246">
        <f>IFERROR(VLOOKUP(N312,VOL_REC[],2,FALSE),0)</f>
        <v>0</v>
      </c>
      <c r="BE312" s="246">
        <f>IFERROR(VLOOKUP(O312,VOL_REC[],2,FALSE),0)</f>
        <v>0</v>
      </c>
      <c r="BF312" s="246">
        <f>IFERROR(VLOOKUP(P312,VOL_REC[],2,FALSE),0)</f>
        <v>0</v>
      </c>
      <c r="BG312" s="246">
        <f>IFERROR(VLOOKUP(Q312,VOL_REC[],2,FALSE),0)</f>
        <v>0</v>
      </c>
      <c r="BH312" s="1710">
        <f t="shared" si="16"/>
        <v>10172527717.318178</v>
      </c>
      <c r="BI312" s="1710">
        <f t="shared" si="17"/>
        <v>15372850487.243824</v>
      </c>
      <c r="BJ312" s="1711">
        <f t="shared" si="18"/>
        <v>15064045.795034107</v>
      </c>
      <c r="BK312" s="1711">
        <f t="shared" si="19"/>
        <v>0.66172033129179253</v>
      </c>
    </row>
    <row r="313" spans="3:67" x14ac:dyDescent="0.25">
      <c r="C313" s="246" t="s">
        <v>1663</v>
      </c>
      <c r="D313" s="246">
        <v>1</v>
      </c>
      <c r="E313" s="246">
        <v>2</v>
      </c>
      <c r="F313" s="246">
        <v>3</v>
      </c>
      <c r="G313" s="246">
        <v>4</v>
      </c>
      <c r="H313" s="246">
        <v>9</v>
      </c>
      <c r="I313" s="246">
        <v>14</v>
      </c>
      <c r="J313" s="246">
        <v>16</v>
      </c>
      <c r="K313" s="246"/>
      <c r="L313" s="246"/>
      <c r="M313" s="246"/>
      <c r="N313" s="246"/>
      <c r="O313" s="246"/>
      <c r="P313" s="246"/>
      <c r="Q313" s="246"/>
      <c r="R313" s="246">
        <f>IFERROR(VLOOKUP(D313,PROGRAMAS[],2,FALSE),0)</f>
        <v>97037803.679377079</v>
      </c>
      <c r="S313" s="246">
        <f>IFERROR(VLOOKUP(E313,PROGRAMAS[],2,FALSE),0)</f>
        <v>640501509.6821388</v>
      </c>
      <c r="T313" s="246">
        <f>IFERROR(VLOOKUP(F313,PROGRAMAS[],2,FALSE),0)</f>
        <v>3062327798.1525245</v>
      </c>
      <c r="U313" s="246">
        <f>IFERROR(VLOOKUP(G313,PROGRAMAS[],2,FALSE),0)</f>
        <v>67697118.033011258</v>
      </c>
      <c r="V313" s="246">
        <f>IFERROR(VLOOKUP(H313,PROGRAMAS[],2,FALSE),0)</f>
        <v>6128579952.1618185</v>
      </c>
      <c r="W313" s="246">
        <f>IFERROR(VLOOKUP(I313,PROGRAMAS[],2,FALSE),0)</f>
        <v>54223862.645839565</v>
      </c>
      <c r="X313" s="246">
        <f>IFERROR(VLOOKUP(J313,PROGRAMAS[],2,FALSE),0)</f>
        <v>7068496961.0436354</v>
      </c>
      <c r="Y313" s="246">
        <f>IFERROR(VLOOKUP(K313,PROGRAMAS[],2,FALSE),0)</f>
        <v>0</v>
      </c>
      <c r="Z313" s="246">
        <f>IFERROR(VLOOKUP(L313,PROGRAMAS[],2,FALSE),0)</f>
        <v>0</v>
      </c>
      <c r="AA313" s="246">
        <f>IFERROR(VLOOKUP(M313,PROGRAMAS[],2,FALSE),0)</f>
        <v>0</v>
      </c>
      <c r="AB313" s="246">
        <f>IFERROR(VLOOKUP(N313,PROGRAMAS[],2,FALSE),0)</f>
        <v>0</v>
      </c>
      <c r="AC313" s="246">
        <f>IFERROR(VLOOKUP(O313,PROGRAMAS[],2,FALSE),0)</f>
        <v>0</v>
      </c>
      <c r="AD313" s="246">
        <f>IFERROR(VLOOKUP(P313,PROGRAMAS[],2,FALSE),0)</f>
        <v>0</v>
      </c>
      <c r="AE313" s="246">
        <f>IFERROR(VLOOKUP(Q313,PROGRAMAS[],2,FALSE),0)</f>
        <v>0</v>
      </c>
      <c r="AF313" s="246">
        <f>IFERROR(VLOOKUP(D313,PROGRAMAS[],3,FALSE),0)</f>
        <v>841888629.31080008</v>
      </c>
      <c r="AG313" s="246">
        <f>IFERROR(VLOOKUP(E313,PROGRAMAS[],3,FALSE),0)</f>
        <v>3848980803.1642323</v>
      </c>
      <c r="AH313" s="246">
        <f>IFERROR(VLOOKUP(F313,PROGRAMAS[],3,FALSE),0)</f>
        <v>3394901471.387517</v>
      </c>
      <c r="AI313" s="246">
        <f>IFERROR(VLOOKUP(G313,PROGRAMAS[],3,FALSE),0)</f>
        <v>125317226.95549992</v>
      </c>
      <c r="AJ313" s="246">
        <f>IFERROR(VLOOKUP(H313,PROGRAMAS[],3,FALSE),0)</f>
        <v>7011279577.519702</v>
      </c>
      <c r="AK313" s="246">
        <f>IFERROR(VLOOKUP(I313,PROGRAMAS[],3,FALSE),0)</f>
        <v>31865326.38096505</v>
      </c>
      <c r="AL313" s="246">
        <f>IFERROR(VLOOKUP(J313,PROGRAMAS[],3,FALSE),0)</f>
        <v>2406564599.0319901</v>
      </c>
      <c r="AM313" s="246">
        <f>IFERROR(VLOOKUP(K313,PROGRAMAS[],3,FALSE),0)</f>
        <v>0</v>
      </c>
      <c r="AN313" s="246">
        <f>IFERROR(VLOOKUP(L313,PROGRAMAS[],3,FALSE),0)</f>
        <v>0</v>
      </c>
      <c r="AO313" s="246">
        <f>IFERROR(VLOOKUP(M313,PROGRAMAS[],3,FALSE),0)</f>
        <v>0</v>
      </c>
      <c r="AP313" s="246">
        <f>IFERROR(VLOOKUP(N313,PROGRAMAS[],3,FALSE),0)</f>
        <v>0</v>
      </c>
      <c r="AQ313" s="246">
        <f>IFERROR(VLOOKUP(O313,PROGRAMAS[],3,FALSE),0)</f>
        <v>0</v>
      </c>
      <c r="AR313" s="246">
        <f>IFERROR(VLOOKUP(P313,PROGRAMAS[],3,FALSE),0)</f>
        <v>0</v>
      </c>
      <c r="AS313" s="246">
        <f>IFERROR(VLOOKUP(Q313,PROGRAMAS[],3,FALSE),0)</f>
        <v>0</v>
      </c>
      <c r="AT313" s="246">
        <f>IFERROR(VLOOKUP(D313,VOL_REC[],2,FALSE),0)</f>
        <v>0</v>
      </c>
      <c r="AU313" s="246">
        <f>IFERROR(VLOOKUP(E313,VOL_REC[],2,FALSE),0)</f>
        <v>0</v>
      </c>
      <c r="AV313" s="246">
        <f>IFERROR(VLOOKUP(F313,VOL_REC[],2,FALSE),0)</f>
        <v>11089674.200000001</v>
      </c>
      <c r="AW313" s="246">
        <f>IFERROR(VLOOKUP(G313,VOL_REC[],2,FALSE),0)</f>
        <v>90439.55</v>
      </c>
      <c r="AX313" s="246">
        <f>IFERROR(VLOOKUP(H313,VOL_REC[],2,FALSE),0)</f>
        <v>3761786</v>
      </c>
      <c r="AY313" s="246">
        <f>IFERROR(VLOOKUP(I313,VOL_REC[],2,FALSE),0)</f>
        <v>17074.045034105649</v>
      </c>
      <c r="AZ313" s="246">
        <f>IFERROR(VLOOKUP(J313,VOL_REC[],2,FALSE),0)</f>
        <v>1072354.9981737854</v>
      </c>
      <c r="BA313" s="246">
        <f>IFERROR(VLOOKUP(K313,VOL_REC[],2,FALSE),0)</f>
        <v>0</v>
      </c>
      <c r="BB313" s="246">
        <f>IFERROR(VLOOKUP(L313,VOL_REC[],2,FALSE),0)</f>
        <v>0</v>
      </c>
      <c r="BC313" s="246">
        <f>IFERROR(VLOOKUP(M313,VOL_REC[],2,FALSE),0)</f>
        <v>0</v>
      </c>
      <c r="BD313" s="246">
        <f>IFERROR(VLOOKUP(N313,VOL_REC[],2,FALSE),0)</f>
        <v>0</v>
      </c>
      <c r="BE313" s="246">
        <f>IFERROR(VLOOKUP(O313,VOL_REC[],2,FALSE),0)</f>
        <v>0</v>
      </c>
      <c r="BF313" s="246">
        <f>IFERROR(VLOOKUP(P313,VOL_REC[],2,FALSE),0)</f>
        <v>0</v>
      </c>
      <c r="BG313" s="246">
        <f>IFERROR(VLOOKUP(Q313,VOL_REC[],2,FALSE),0)</f>
        <v>0</v>
      </c>
      <c r="BH313" s="1710">
        <f t="shared" si="16"/>
        <v>17118865005.398346</v>
      </c>
      <c r="BI313" s="1710">
        <f t="shared" si="17"/>
        <v>17660797633.750706</v>
      </c>
      <c r="BJ313" s="1711">
        <f t="shared" si="18"/>
        <v>16031328.793207891</v>
      </c>
      <c r="BK313" s="1711">
        <f t="shared" si="19"/>
        <v>0.96931437415280164</v>
      </c>
    </row>
    <row r="314" spans="3:67" x14ac:dyDescent="0.25">
      <c r="C314" s="246" t="s">
        <v>1664</v>
      </c>
      <c r="D314" s="246">
        <v>1</v>
      </c>
      <c r="E314" s="246">
        <v>2</v>
      </c>
      <c r="F314" s="246">
        <v>3</v>
      </c>
      <c r="G314" s="246">
        <v>4</v>
      </c>
      <c r="H314" s="246">
        <v>9</v>
      </c>
      <c r="I314" s="246">
        <v>14</v>
      </c>
      <c r="J314" s="246">
        <v>17</v>
      </c>
      <c r="K314" s="246"/>
      <c r="L314" s="246"/>
      <c r="M314" s="246"/>
      <c r="N314" s="246"/>
      <c r="O314" s="246"/>
      <c r="P314" s="246"/>
      <c r="Q314" s="246"/>
      <c r="R314" s="246">
        <f>IFERROR(VLOOKUP(D314,PROGRAMAS[],2,FALSE),0)</f>
        <v>97037803.679377079</v>
      </c>
      <c r="S314" s="246">
        <f>IFERROR(VLOOKUP(E314,PROGRAMAS[],2,FALSE),0)</f>
        <v>640501509.6821388</v>
      </c>
      <c r="T314" s="246">
        <f>IFERROR(VLOOKUP(F314,PROGRAMAS[],2,FALSE),0)</f>
        <v>3062327798.1525245</v>
      </c>
      <c r="U314" s="246">
        <f>IFERROR(VLOOKUP(G314,PROGRAMAS[],2,FALSE),0)</f>
        <v>67697118.033011258</v>
      </c>
      <c r="V314" s="246">
        <f>IFERROR(VLOOKUP(H314,PROGRAMAS[],2,FALSE),0)</f>
        <v>6128579952.1618185</v>
      </c>
      <c r="W314" s="246">
        <f>IFERROR(VLOOKUP(I314,PROGRAMAS[],2,FALSE),0)</f>
        <v>54223862.645839565</v>
      </c>
      <c r="X314" s="246">
        <f>IFERROR(VLOOKUP(J314,PROGRAMAS[],2,FALSE),0)</f>
        <v>1892779498.5211046</v>
      </c>
      <c r="Y314" s="246">
        <f>IFERROR(VLOOKUP(K314,PROGRAMAS[],2,FALSE),0)</f>
        <v>0</v>
      </c>
      <c r="Z314" s="246">
        <f>IFERROR(VLOOKUP(L314,PROGRAMAS[],2,FALSE),0)</f>
        <v>0</v>
      </c>
      <c r="AA314" s="246">
        <f>IFERROR(VLOOKUP(M314,PROGRAMAS[],2,FALSE),0)</f>
        <v>0</v>
      </c>
      <c r="AB314" s="246">
        <f>IFERROR(VLOOKUP(N314,PROGRAMAS[],2,FALSE),0)</f>
        <v>0</v>
      </c>
      <c r="AC314" s="246">
        <f>IFERROR(VLOOKUP(O314,PROGRAMAS[],2,FALSE),0)</f>
        <v>0</v>
      </c>
      <c r="AD314" s="246">
        <f>IFERROR(VLOOKUP(P314,PROGRAMAS[],2,FALSE),0)</f>
        <v>0</v>
      </c>
      <c r="AE314" s="246">
        <f>IFERROR(VLOOKUP(Q314,PROGRAMAS[],2,FALSE),0)</f>
        <v>0</v>
      </c>
      <c r="AF314" s="246">
        <f>IFERROR(VLOOKUP(D314,PROGRAMAS[],3,FALSE),0)</f>
        <v>841888629.31080008</v>
      </c>
      <c r="AG314" s="246">
        <f>IFERROR(VLOOKUP(E314,PROGRAMAS[],3,FALSE),0)</f>
        <v>3848980803.1642323</v>
      </c>
      <c r="AH314" s="246">
        <f>IFERROR(VLOOKUP(F314,PROGRAMAS[],3,FALSE),0)</f>
        <v>3394901471.387517</v>
      </c>
      <c r="AI314" s="246">
        <f>IFERROR(VLOOKUP(G314,PROGRAMAS[],3,FALSE),0)</f>
        <v>125317226.95549992</v>
      </c>
      <c r="AJ314" s="246">
        <f>IFERROR(VLOOKUP(H314,PROGRAMAS[],3,FALSE),0)</f>
        <v>7011279577.519702</v>
      </c>
      <c r="AK314" s="246">
        <f>IFERROR(VLOOKUP(I314,PROGRAMAS[],3,FALSE),0)</f>
        <v>31865326.38096505</v>
      </c>
      <c r="AL314" s="246">
        <f>IFERROR(VLOOKUP(J314,PROGRAMAS[],3,FALSE),0)</f>
        <v>948595847.09039903</v>
      </c>
      <c r="AM314" s="246">
        <f>IFERROR(VLOOKUP(K314,PROGRAMAS[],3,FALSE),0)</f>
        <v>0</v>
      </c>
      <c r="AN314" s="246">
        <f>IFERROR(VLOOKUP(L314,PROGRAMAS[],3,FALSE),0)</f>
        <v>0</v>
      </c>
      <c r="AO314" s="246">
        <f>IFERROR(VLOOKUP(M314,PROGRAMAS[],3,FALSE),0)</f>
        <v>0</v>
      </c>
      <c r="AP314" s="246">
        <f>IFERROR(VLOOKUP(N314,PROGRAMAS[],3,FALSE),0)</f>
        <v>0</v>
      </c>
      <c r="AQ314" s="246">
        <f>IFERROR(VLOOKUP(O314,PROGRAMAS[],3,FALSE),0)</f>
        <v>0</v>
      </c>
      <c r="AR314" s="246">
        <f>IFERROR(VLOOKUP(P314,PROGRAMAS[],3,FALSE),0)</f>
        <v>0</v>
      </c>
      <c r="AS314" s="246">
        <f>IFERROR(VLOOKUP(Q314,PROGRAMAS[],3,FALSE),0)</f>
        <v>0</v>
      </c>
      <c r="AT314" s="246">
        <f>IFERROR(VLOOKUP(D314,VOL_REC[],2,FALSE),0)</f>
        <v>0</v>
      </c>
      <c r="AU314" s="246">
        <f>IFERROR(VLOOKUP(E314,VOL_REC[],2,FALSE),0)</f>
        <v>0</v>
      </c>
      <c r="AV314" s="246">
        <f>IFERROR(VLOOKUP(F314,VOL_REC[],2,FALSE),0)</f>
        <v>11089674.200000001</v>
      </c>
      <c r="AW314" s="246">
        <f>IFERROR(VLOOKUP(G314,VOL_REC[],2,FALSE),0)</f>
        <v>90439.55</v>
      </c>
      <c r="AX314" s="246">
        <f>IFERROR(VLOOKUP(H314,VOL_REC[],2,FALSE),0)</f>
        <v>3761786</v>
      </c>
      <c r="AY314" s="246">
        <f>IFERROR(VLOOKUP(I314,VOL_REC[],2,FALSE),0)</f>
        <v>17074.045034105649</v>
      </c>
      <c r="AZ314" s="246">
        <f>IFERROR(VLOOKUP(J314,VOL_REC[],2,FALSE),0)</f>
        <v>740113.98115702497</v>
      </c>
      <c r="BA314" s="246">
        <f>IFERROR(VLOOKUP(K314,VOL_REC[],2,FALSE),0)</f>
        <v>0</v>
      </c>
      <c r="BB314" s="246">
        <f>IFERROR(VLOOKUP(L314,VOL_REC[],2,FALSE),0)</f>
        <v>0</v>
      </c>
      <c r="BC314" s="246">
        <f>IFERROR(VLOOKUP(M314,VOL_REC[],2,FALSE),0)</f>
        <v>0</v>
      </c>
      <c r="BD314" s="246">
        <f>IFERROR(VLOOKUP(N314,VOL_REC[],2,FALSE),0)</f>
        <v>0</v>
      </c>
      <c r="BE314" s="246">
        <f>IFERROR(VLOOKUP(O314,VOL_REC[],2,FALSE),0)</f>
        <v>0</v>
      </c>
      <c r="BF314" s="246">
        <f>IFERROR(VLOOKUP(P314,VOL_REC[],2,FALSE),0)</f>
        <v>0</v>
      </c>
      <c r="BG314" s="246">
        <f>IFERROR(VLOOKUP(Q314,VOL_REC[],2,FALSE),0)</f>
        <v>0</v>
      </c>
      <c r="BH314" s="1710">
        <f t="shared" si="16"/>
        <v>11943147542.875814</v>
      </c>
      <c r="BI314" s="1710">
        <f t="shared" si="17"/>
        <v>16202828881.809114</v>
      </c>
      <c r="BJ314" s="1711">
        <f t="shared" si="18"/>
        <v>15699087.776191132</v>
      </c>
      <c r="BK314" s="1711">
        <f t="shared" si="19"/>
        <v>0.73710261522815712</v>
      </c>
    </row>
    <row r="315" spans="3:67" x14ac:dyDescent="0.25">
      <c r="C315" s="246" t="s">
        <v>1665</v>
      </c>
      <c r="D315" s="246">
        <v>1</v>
      </c>
      <c r="E315" s="246">
        <v>2</v>
      </c>
      <c r="F315" s="246">
        <v>3</v>
      </c>
      <c r="G315" s="246">
        <v>4</v>
      </c>
      <c r="H315" s="246">
        <v>9</v>
      </c>
      <c r="I315" s="246">
        <v>15</v>
      </c>
      <c r="J315" s="246">
        <v>16</v>
      </c>
      <c r="K315" s="246"/>
      <c r="L315" s="246"/>
      <c r="M315" s="246"/>
      <c r="N315" s="246"/>
      <c r="O315" s="246"/>
      <c r="P315" s="246"/>
      <c r="Q315" s="246"/>
      <c r="R315" s="246">
        <f>IFERROR(VLOOKUP(D315,PROGRAMAS[],2,FALSE),0)</f>
        <v>97037803.679377079</v>
      </c>
      <c r="S315" s="246">
        <f>IFERROR(VLOOKUP(E315,PROGRAMAS[],2,FALSE),0)</f>
        <v>640501509.6821388</v>
      </c>
      <c r="T315" s="246">
        <f>IFERROR(VLOOKUP(F315,PROGRAMAS[],2,FALSE),0)</f>
        <v>3062327798.1525245</v>
      </c>
      <c r="U315" s="246">
        <f>IFERROR(VLOOKUP(G315,PROGRAMAS[],2,FALSE),0)</f>
        <v>67697118.033011258</v>
      </c>
      <c r="V315" s="246">
        <f>IFERROR(VLOOKUP(H315,PROGRAMAS[],2,FALSE),0)</f>
        <v>6128579952.1618185</v>
      </c>
      <c r="W315" s="246">
        <f>IFERROR(VLOOKUP(I315,PROGRAMAS[],2,FALSE),0)</f>
        <v>122159672.96346797</v>
      </c>
      <c r="X315" s="246">
        <f>IFERROR(VLOOKUP(J315,PROGRAMAS[],2,FALSE),0)</f>
        <v>7068496961.0436354</v>
      </c>
      <c r="Y315" s="246">
        <f>IFERROR(VLOOKUP(K315,PROGRAMAS[],2,FALSE),0)</f>
        <v>0</v>
      </c>
      <c r="Z315" s="246">
        <f>IFERROR(VLOOKUP(L315,PROGRAMAS[],2,FALSE),0)</f>
        <v>0</v>
      </c>
      <c r="AA315" s="246">
        <f>IFERROR(VLOOKUP(M315,PROGRAMAS[],2,FALSE),0)</f>
        <v>0</v>
      </c>
      <c r="AB315" s="246">
        <f>IFERROR(VLOOKUP(N315,PROGRAMAS[],2,FALSE),0)</f>
        <v>0</v>
      </c>
      <c r="AC315" s="246">
        <f>IFERROR(VLOOKUP(O315,PROGRAMAS[],2,FALSE),0)</f>
        <v>0</v>
      </c>
      <c r="AD315" s="246">
        <f>IFERROR(VLOOKUP(P315,PROGRAMAS[],2,FALSE),0)</f>
        <v>0</v>
      </c>
      <c r="AE315" s="246">
        <f>IFERROR(VLOOKUP(Q315,PROGRAMAS[],2,FALSE),0)</f>
        <v>0</v>
      </c>
      <c r="AF315" s="246">
        <f>IFERROR(VLOOKUP(D315,PROGRAMAS[],3,FALSE),0)</f>
        <v>841888629.31080008</v>
      </c>
      <c r="AG315" s="246">
        <f>IFERROR(VLOOKUP(E315,PROGRAMAS[],3,FALSE),0)</f>
        <v>3848980803.1642323</v>
      </c>
      <c r="AH315" s="246">
        <f>IFERROR(VLOOKUP(F315,PROGRAMAS[],3,FALSE),0)</f>
        <v>3394901471.387517</v>
      </c>
      <c r="AI315" s="246">
        <f>IFERROR(VLOOKUP(G315,PROGRAMAS[],3,FALSE),0)</f>
        <v>125317226.95549992</v>
      </c>
      <c r="AJ315" s="246">
        <f>IFERROR(VLOOKUP(H315,PROGRAMAS[],3,FALSE),0)</f>
        <v>7011279577.519702</v>
      </c>
      <c r="AK315" s="246">
        <f>IFERROR(VLOOKUP(I315,PROGRAMAS[],3,FALSE),0)</f>
        <v>118617452.52510804</v>
      </c>
      <c r="AL315" s="246">
        <f>IFERROR(VLOOKUP(J315,PROGRAMAS[],3,FALSE),0)</f>
        <v>2406564599.0319901</v>
      </c>
      <c r="AM315" s="246">
        <f>IFERROR(VLOOKUP(K315,PROGRAMAS[],3,FALSE),0)</f>
        <v>0</v>
      </c>
      <c r="AN315" s="246">
        <f>IFERROR(VLOOKUP(L315,PROGRAMAS[],3,FALSE),0)</f>
        <v>0</v>
      </c>
      <c r="AO315" s="246">
        <f>IFERROR(VLOOKUP(M315,PROGRAMAS[],3,FALSE),0)</f>
        <v>0</v>
      </c>
      <c r="AP315" s="246">
        <f>IFERROR(VLOOKUP(N315,PROGRAMAS[],3,FALSE),0)</f>
        <v>0</v>
      </c>
      <c r="AQ315" s="246">
        <f>IFERROR(VLOOKUP(O315,PROGRAMAS[],3,FALSE),0)</f>
        <v>0</v>
      </c>
      <c r="AR315" s="246">
        <f>IFERROR(VLOOKUP(P315,PROGRAMAS[],3,FALSE),0)</f>
        <v>0</v>
      </c>
      <c r="AS315" s="246">
        <f>IFERROR(VLOOKUP(Q315,PROGRAMAS[],3,FALSE),0)</f>
        <v>0</v>
      </c>
      <c r="AT315" s="246">
        <f>IFERROR(VLOOKUP(D315,VOL_REC[],2,FALSE),0)</f>
        <v>0</v>
      </c>
      <c r="AU315" s="246">
        <f>IFERROR(VLOOKUP(E315,VOL_REC[],2,FALSE),0)</f>
        <v>0</v>
      </c>
      <c r="AV315" s="246">
        <f>IFERROR(VLOOKUP(F315,VOL_REC[],2,FALSE),0)</f>
        <v>11089674.200000001</v>
      </c>
      <c r="AW315" s="246">
        <f>IFERROR(VLOOKUP(G315,VOL_REC[],2,FALSE),0)</f>
        <v>90439.55</v>
      </c>
      <c r="AX315" s="246">
        <f>IFERROR(VLOOKUP(H315,VOL_REC[],2,FALSE),0)</f>
        <v>3761786</v>
      </c>
      <c r="AY315" s="246">
        <f>IFERROR(VLOOKUP(I315,VOL_REC[],2,FALSE),0)</f>
        <v>105072</v>
      </c>
      <c r="AZ315" s="246">
        <f>IFERROR(VLOOKUP(J315,VOL_REC[],2,FALSE),0)</f>
        <v>1072354.9981737854</v>
      </c>
      <c r="BA315" s="246">
        <f>IFERROR(VLOOKUP(K315,VOL_REC[],2,FALSE),0)</f>
        <v>0</v>
      </c>
      <c r="BB315" s="246">
        <f>IFERROR(VLOOKUP(L315,VOL_REC[],2,FALSE),0)</f>
        <v>0</v>
      </c>
      <c r="BC315" s="246">
        <f>IFERROR(VLOOKUP(M315,VOL_REC[],2,FALSE),0)</f>
        <v>0</v>
      </c>
      <c r="BD315" s="246">
        <f>IFERROR(VLOOKUP(N315,VOL_REC[],2,FALSE),0)</f>
        <v>0</v>
      </c>
      <c r="BE315" s="246">
        <f>IFERROR(VLOOKUP(O315,VOL_REC[],2,FALSE),0)</f>
        <v>0</v>
      </c>
      <c r="BF315" s="246">
        <f>IFERROR(VLOOKUP(P315,VOL_REC[],2,FALSE),0)</f>
        <v>0</v>
      </c>
      <c r="BG315" s="246">
        <f>IFERROR(VLOOKUP(Q315,VOL_REC[],2,FALSE),0)</f>
        <v>0</v>
      </c>
      <c r="BH315" s="1710">
        <f t="shared" si="16"/>
        <v>17186800815.715973</v>
      </c>
      <c r="BI315" s="1710">
        <f t="shared" si="17"/>
        <v>17747549759.894852</v>
      </c>
      <c r="BJ315" s="1711">
        <f t="shared" si="18"/>
        <v>16119326.748173788</v>
      </c>
      <c r="BK315" s="1711">
        <f t="shared" si="19"/>
        <v>0.96840414864219537</v>
      </c>
    </row>
    <row r="316" spans="3:67" x14ac:dyDescent="0.25">
      <c r="C316" s="246" t="s">
        <v>1666</v>
      </c>
      <c r="D316" s="246">
        <v>1</v>
      </c>
      <c r="E316" s="246">
        <v>2</v>
      </c>
      <c r="F316" s="246">
        <v>3</v>
      </c>
      <c r="G316" s="246">
        <v>4</v>
      </c>
      <c r="H316" s="246">
        <v>9</v>
      </c>
      <c r="I316" s="246">
        <v>15</v>
      </c>
      <c r="J316" s="246">
        <v>17</v>
      </c>
      <c r="K316" s="246"/>
      <c r="L316" s="246"/>
      <c r="M316" s="246"/>
      <c r="N316" s="246"/>
      <c r="O316" s="246"/>
      <c r="P316" s="246"/>
      <c r="Q316" s="246"/>
      <c r="R316" s="246">
        <f>IFERROR(VLOOKUP(D316,PROGRAMAS[],2,FALSE),0)</f>
        <v>97037803.679377079</v>
      </c>
      <c r="S316" s="246">
        <f>IFERROR(VLOOKUP(E316,PROGRAMAS[],2,FALSE),0)</f>
        <v>640501509.6821388</v>
      </c>
      <c r="T316" s="246">
        <f>IFERROR(VLOOKUP(F316,PROGRAMAS[],2,FALSE),0)</f>
        <v>3062327798.1525245</v>
      </c>
      <c r="U316" s="246">
        <f>IFERROR(VLOOKUP(G316,PROGRAMAS[],2,FALSE),0)</f>
        <v>67697118.033011258</v>
      </c>
      <c r="V316" s="246">
        <f>IFERROR(VLOOKUP(H316,PROGRAMAS[],2,FALSE),0)</f>
        <v>6128579952.1618185</v>
      </c>
      <c r="W316" s="246">
        <f>IFERROR(VLOOKUP(I316,PROGRAMAS[],2,FALSE),0)</f>
        <v>122159672.96346797</v>
      </c>
      <c r="X316" s="246">
        <f>IFERROR(VLOOKUP(J316,PROGRAMAS[],2,FALSE),0)</f>
        <v>1892779498.5211046</v>
      </c>
      <c r="Y316" s="246">
        <f>IFERROR(VLOOKUP(K316,PROGRAMAS[],2,FALSE),0)</f>
        <v>0</v>
      </c>
      <c r="Z316" s="246">
        <f>IFERROR(VLOOKUP(L316,PROGRAMAS[],2,FALSE),0)</f>
        <v>0</v>
      </c>
      <c r="AA316" s="246">
        <f>IFERROR(VLOOKUP(M316,PROGRAMAS[],2,FALSE),0)</f>
        <v>0</v>
      </c>
      <c r="AB316" s="246">
        <f>IFERROR(VLOOKUP(N316,PROGRAMAS[],2,FALSE),0)</f>
        <v>0</v>
      </c>
      <c r="AC316" s="246">
        <f>IFERROR(VLOOKUP(O316,PROGRAMAS[],2,FALSE),0)</f>
        <v>0</v>
      </c>
      <c r="AD316" s="246">
        <f>IFERROR(VLOOKUP(P316,PROGRAMAS[],2,FALSE),0)</f>
        <v>0</v>
      </c>
      <c r="AE316" s="246">
        <f>IFERROR(VLOOKUP(Q316,PROGRAMAS[],2,FALSE),0)</f>
        <v>0</v>
      </c>
      <c r="AF316" s="246">
        <f>IFERROR(VLOOKUP(D316,PROGRAMAS[],3,FALSE),0)</f>
        <v>841888629.31080008</v>
      </c>
      <c r="AG316" s="246">
        <f>IFERROR(VLOOKUP(E316,PROGRAMAS[],3,FALSE),0)</f>
        <v>3848980803.1642323</v>
      </c>
      <c r="AH316" s="246">
        <f>IFERROR(VLOOKUP(F316,PROGRAMAS[],3,FALSE),0)</f>
        <v>3394901471.387517</v>
      </c>
      <c r="AI316" s="246">
        <f>IFERROR(VLOOKUP(G316,PROGRAMAS[],3,FALSE),0)</f>
        <v>125317226.95549992</v>
      </c>
      <c r="AJ316" s="246">
        <f>IFERROR(VLOOKUP(H316,PROGRAMAS[],3,FALSE),0)</f>
        <v>7011279577.519702</v>
      </c>
      <c r="AK316" s="246">
        <f>IFERROR(VLOOKUP(I316,PROGRAMAS[],3,FALSE),0)</f>
        <v>118617452.52510804</v>
      </c>
      <c r="AL316" s="246">
        <f>IFERROR(VLOOKUP(J316,PROGRAMAS[],3,FALSE),0)</f>
        <v>948595847.09039903</v>
      </c>
      <c r="AM316" s="246">
        <f>IFERROR(VLOOKUP(K316,PROGRAMAS[],3,FALSE),0)</f>
        <v>0</v>
      </c>
      <c r="AN316" s="246">
        <f>IFERROR(VLOOKUP(L316,PROGRAMAS[],3,FALSE),0)</f>
        <v>0</v>
      </c>
      <c r="AO316" s="246">
        <f>IFERROR(VLOOKUP(M316,PROGRAMAS[],3,FALSE),0)</f>
        <v>0</v>
      </c>
      <c r="AP316" s="246">
        <f>IFERROR(VLOOKUP(N316,PROGRAMAS[],3,FALSE),0)</f>
        <v>0</v>
      </c>
      <c r="AQ316" s="246">
        <f>IFERROR(VLOOKUP(O316,PROGRAMAS[],3,FALSE),0)</f>
        <v>0</v>
      </c>
      <c r="AR316" s="246">
        <f>IFERROR(VLOOKUP(P316,PROGRAMAS[],3,FALSE),0)</f>
        <v>0</v>
      </c>
      <c r="AS316" s="246">
        <f>IFERROR(VLOOKUP(Q316,PROGRAMAS[],3,FALSE),0)</f>
        <v>0</v>
      </c>
      <c r="AT316" s="246">
        <f>IFERROR(VLOOKUP(D316,VOL_REC[],2,FALSE),0)</f>
        <v>0</v>
      </c>
      <c r="AU316" s="246">
        <f>IFERROR(VLOOKUP(E316,VOL_REC[],2,FALSE),0)</f>
        <v>0</v>
      </c>
      <c r="AV316" s="246">
        <f>IFERROR(VLOOKUP(F316,VOL_REC[],2,FALSE),0)</f>
        <v>11089674.200000001</v>
      </c>
      <c r="AW316" s="246">
        <f>IFERROR(VLOOKUP(G316,VOL_REC[],2,FALSE),0)</f>
        <v>90439.55</v>
      </c>
      <c r="AX316" s="246">
        <f>IFERROR(VLOOKUP(H316,VOL_REC[],2,FALSE),0)</f>
        <v>3761786</v>
      </c>
      <c r="AY316" s="246">
        <f>IFERROR(VLOOKUP(I316,VOL_REC[],2,FALSE),0)</f>
        <v>105072</v>
      </c>
      <c r="AZ316" s="246">
        <f>IFERROR(VLOOKUP(J316,VOL_REC[],2,FALSE),0)</f>
        <v>740113.98115702497</v>
      </c>
      <c r="BA316" s="246">
        <f>IFERROR(VLOOKUP(K316,VOL_REC[],2,FALSE),0)</f>
        <v>0</v>
      </c>
      <c r="BB316" s="246">
        <f>IFERROR(VLOOKUP(L316,VOL_REC[],2,FALSE),0)</f>
        <v>0</v>
      </c>
      <c r="BC316" s="246">
        <f>IFERROR(VLOOKUP(M316,VOL_REC[],2,FALSE),0)</f>
        <v>0</v>
      </c>
      <c r="BD316" s="246">
        <f>IFERROR(VLOOKUP(N316,VOL_REC[],2,FALSE),0)</f>
        <v>0</v>
      </c>
      <c r="BE316" s="246">
        <f>IFERROR(VLOOKUP(O316,VOL_REC[],2,FALSE),0)</f>
        <v>0</v>
      </c>
      <c r="BF316" s="246">
        <f>IFERROR(VLOOKUP(P316,VOL_REC[],2,FALSE),0)</f>
        <v>0</v>
      </c>
      <c r="BG316" s="246">
        <f>IFERROR(VLOOKUP(Q316,VOL_REC[],2,FALSE),0)</f>
        <v>0</v>
      </c>
      <c r="BH316" s="1710">
        <f t="shared" si="16"/>
        <v>12011083353.193443</v>
      </c>
      <c r="BI316" s="1710">
        <f t="shared" si="17"/>
        <v>16289581007.953259</v>
      </c>
      <c r="BJ316" s="1711">
        <f t="shared" si="18"/>
        <v>15787085.731157027</v>
      </c>
      <c r="BK316" s="1711">
        <f t="shared" si="19"/>
        <v>0.73734759336837008</v>
      </c>
    </row>
    <row r="317" spans="3:67" x14ac:dyDescent="0.25">
      <c r="C317" s="246" t="s">
        <v>1667</v>
      </c>
      <c r="D317" s="246">
        <v>1</v>
      </c>
      <c r="E317" s="246">
        <v>2</v>
      </c>
      <c r="F317" s="246">
        <v>3</v>
      </c>
      <c r="G317" s="246">
        <v>4</v>
      </c>
      <c r="H317" s="246">
        <v>9</v>
      </c>
      <c r="I317" s="246">
        <v>16</v>
      </c>
      <c r="J317" s="246">
        <v>17</v>
      </c>
      <c r="K317" s="246"/>
      <c r="L317" s="246"/>
      <c r="M317" s="246"/>
      <c r="N317" s="246"/>
      <c r="O317" s="246"/>
      <c r="P317" s="246"/>
      <c r="Q317" s="246"/>
      <c r="R317" s="246">
        <f>IFERROR(VLOOKUP(D317,PROGRAMAS[],2,FALSE),0)</f>
        <v>97037803.679377079</v>
      </c>
      <c r="S317" s="246">
        <f>IFERROR(VLOOKUP(E317,PROGRAMAS[],2,FALSE),0)</f>
        <v>640501509.6821388</v>
      </c>
      <c r="T317" s="246">
        <f>IFERROR(VLOOKUP(F317,PROGRAMAS[],2,FALSE),0)</f>
        <v>3062327798.1525245</v>
      </c>
      <c r="U317" s="246">
        <f>IFERROR(VLOOKUP(G317,PROGRAMAS[],2,FALSE),0)</f>
        <v>67697118.033011258</v>
      </c>
      <c r="V317" s="246">
        <f>IFERROR(VLOOKUP(H317,PROGRAMAS[],2,FALSE),0)</f>
        <v>6128579952.1618185</v>
      </c>
      <c r="W317" s="246">
        <f>IFERROR(VLOOKUP(I317,PROGRAMAS[],2,FALSE),0)</f>
        <v>7068496961.0436354</v>
      </c>
      <c r="X317" s="246">
        <f>IFERROR(VLOOKUP(J317,PROGRAMAS[],2,FALSE),0)</f>
        <v>1892779498.5211046</v>
      </c>
      <c r="Y317" s="246">
        <f>IFERROR(VLOOKUP(K317,PROGRAMAS[],2,FALSE),0)</f>
        <v>0</v>
      </c>
      <c r="Z317" s="246">
        <f>IFERROR(VLOOKUP(L317,PROGRAMAS[],2,FALSE),0)</f>
        <v>0</v>
      </c>
      <c r="AA317" s="246">
        <f>IFERROR(VLOOKUP(M317,PROGRAMAS[],2,FALSE),0)</f>
        <v>0</v>
      </c>
      <c r="AB317" s="246">
        <f>IFERROR(VLOOKUP(N317,PROGRAMAS[],2,FALSE),0)</f>
        <v>0</v>
      </c>
      <c r="AC317" s="246">
        <f>IFERROR(VLOOKUP(O317,PROGRAMAS[],2,FALSE),0)</f>
        <v>0</v>
      </c>
      <c r="AD317" s="246">
        <f>IFERROR(VLOOKUP(P317,PROGRAMAS[],2,FALSE),0)</f>
        <v>0</v>
      </c>
      <c r="AE317" s="246">
        <f>IFERROR(VLOOKUP(Q317,PROGRAMAS[],2,FALSE),0)</f>
        <v>0</v>
      </c>
      <c r="AF317" s="246">
        <f>IFERROR(VLOOKUP(D317,PROGRAMAS[],3,FALSE),0)</f>
        <v>841888629.31080008</v>
      </c>
      <c r="AG317" s="246">
        <f>IFERROR(VLOOKUP(E317,PROGRAMAS[],3,FALSE),0)</f>
        <v>3848980803.1642323</v>
      </c>
      <c r="AH317" s="246">
        <f>IFERROR(VLOOKUP(F317,PROGRAMAS[],3,FALSE),0)</f>
        <v>3394901471.387517</v>
      </c>
      <c r="AI317" s="246">
        <f>IFERROR(VLOOKUP(G317,PROGRAMAS[],3,FALSE),0)</f>
        <v>125317226.95549992</v>
      </c>
      <c r="AJ317" s="246">
        <f>IFERROR(VLOOKUP(H317,PROGRAMAS[],3,FALSE),0)</f>
        <v>7011279577.519702</v>
      </c>
      <c r="AK317" s="246">
        <f>IFERROR(VLOOKUP(I317,PROGRAMAS[],3,FALSE),0)</f>
        <v>2406564599.0319901</v>
      </c>
      <c r="AL317" s="246">
        <f>IFERROR(VLOOKUP(J317,PROGRAMAS[],3,FALSE),0)</f>
        <v>948595847.09039903</v>
      </c>
      <c r="AM317" s="246">
        <f>IFERROR(VLOOKUP(K317,PROGRAMAS[],3,FALSE),0)</f>
        <v>0</v>
      </c>
      <c r="AN317" s="246">
        <f>IFERROR(VLOOKUP(L317,PROGRAMAS[],3,FALSE),0)</f>
        <v>0</v>
      </c>
      <c r="AO317" s="246">
        <f>IFERROR(VLOOKUP(M317,PROGRAMAS[],3,FALSE),0)</f>
        <v>0</v>
      </c>
      <c r="AP317" s="246">
        <f>IFERROR(VLOOKUP(N317,PROGRAMAS[],3,FALSE),0)</f>
        <v>0</v>
      </c>
      <c r="AQ317" s="246">
        <f>IFERROR(VLOOKUP(O317,PROGRAMAS[],3,FALSE),0)</f>
        <v>0</v>
      </c>
      <c r="AR317" s="246">
        <f>IFERROR(VLOOKUP(P317,PROGRAMAS[],3,FALSE),0)</f>
        <v>0</v>
      </c>
      <c r="AS317" s="246">
        <f>IFERROR(VLOOKUP(Q317,PROGRAMAS[],3,FALSE),0)</f>
        <v>0</v>
      </c>
      <c r="AT317" s="246">
        <f>IFERROR(VLOOKUP(D317,VOL_REC[],2,FALSE),0)</f>
        <v>0</v>
      </c>
      <c r="AU317" s="246">
        <f>IFERROR(VLOOKUP(E317,VOL_REC[],2,FALSE),0)</f>
        <v>0</v>
      </c>
      <c r="AV317" s="246">
        <f>IFERROR(VLOOKUP(F317,VOL_REC[],2,FALSE),0)</f>
        <v>11089674.200000001</v>
      </c>
      <c r="AW317" s="246">
        <f>IFERROR(VLOOKUP(G317,VOL_REC[],2,FALSE),0)</f>
        <v>90439.55</v>
      </c>
      <c r="AX317" s="246">
        <f>IFERROR(VLOOKUP(H317,VOL_REC[],2,FALSE),0)</f>
        <v>3761786</v>
      </c>
      <c r="AY317" s="246">
        <f>IFERROR(VLOOKUP(I317,VOL_REC[],2,FALSE),0)</f>
        <v>1072354.9981737854</v>
      </c>
      <c r="AZ317" s="246">
        <f>IFERROR(VLOOKUP(J317,VOL_REC[],2,FALSE),0)</f>
        <v>740113.98115702497</v>
      </c>
      <c r="BA317" s="246">
        <f>IFERROR(VLOOKUP(K317,VOL_REC[],2,FALSE),0)</f>
        <v>0</v>
      </c>
      <c r="BB317" s="246">
        <f>IFERROR(VLOOKUP(L317,VOL_REC[],2,FALSE),0)</f>
        <v>0</v>
      </c>
      <c r="BC317" s="246">
        <f>IFERROR(VLOOKUP(M317,VOL_REC[],2,FALSE),0)</f>
        <v>0</v>
      </c>
      <c r="BD317" s="246">
        <f>IFERROR(VLOOKUP(N317,VOL_REC[],2,FALSE),0)</f>
        <v>0</v>
      </c>
      <c r="BE317" s="246">
        <f>IFERROR(VLOOKUP(O317,VOL_REC[],2,FALSE),0)</f>
        <v>0</v>
      </c>
      <c r="BF317" s="246">
        <f>IFERROR(VLOOKUP(P317,VOL_REC[],2,FALSE),0)</f>
        <v>0</v>
      </c>
      <c r="BG317" s="246">
        <f>IFERROR(VLOOKUP(Q317,VOL_REC[],2,FALSE),0)</f>
        <v>0</v>
      </c>
      <c r="BH317" s="1710">
        <f t="shared" si="16"/>
        <v>18957420641.273609</v>
      </c>
      <c r="BI317" s="1710">
        <f t="shared" si="17"/>
        <v>18577528154.460144</v>
      </c>
      <c r="BJ317" s="1711">
        <f t="shared" si="18"/>
        <v>16754368.729330814</v>
      </c>
      <c r="BK317" s="1711">
        <f t="shared" si="19"/>
        <v>1.0204490330282321</v>
      </c>
      <c r="BL317">
        <f>BJ317</f>
        <v>16754368.729330814</v>
      </c>
      <c r="BO317">
        <f>BL317</f>
        <v>16754368.729330814</v>
      </c>
    </row>
    <row r="318" spans="3:67" x14ac:dyDescent="0.25">
      <c r="C318" s="246" t="s">
        <v>1668</v>
      </c>
      <c r="D318" s="246">
        <v>1</v>
      </c>
      <c r="E318" s="246">
        <v>2</v>
      </c>
      <c r="F318" s="246">
        <v>3</v>
      </c>
      <c r="G318" s="246">
        <v>4</v>
      </c>
      <c r="H318" s="246">
        <v>10</v>
      </c>
      <c r="I318" s="246">
        <v>12</v>
      </c>
      <c r="J318" s="246">
        <v>13</v>
      </c>
      <c r="K318" s="246"/>
      <c r="L318" s="246"/>
      <c r="M318" s="246"/>
      <c r="N318" s="246"/>
      <c r="O318" s="246"/>
      <c r="P318" s="246"/>
      <c r="Q318" s="246"/>
      <c r="R318" s="246">
        <f>IFERROR(VLOOKUP(D318,PROGRAMAS[],2,FALSE),0)</f>
        <v>97037803.679377079</v>
      </c>
      <c r="S318" s="246">
        <f>IFERROR(VLOOKUP(E318,PROGRAMAS[],2,FALSE),0)</f>
        <v>640501509.6821388</v>
      </c>
      <c r="T318" s="246">
        <f>IFERROR(VLOOKUP(F318,PROGRAMAS[],2,FALSE),0)</f>
        <v>3062327798.1525245</v>
      </c>
      <c r="U318" s="246">
        <f>IFERROR(VLOOKUP(G318,PROGRAMAS[],2,FALSE),0)</f>
        <v>67697118.033011258</v>
      </c>
      <c r="V318" s="246">
        <f>IFERROR(VLOOKUP(H318,PROGRAMAS[],2,FALSE),0)</f>
        <v>4635315027.8751087</v>
      </c>
      <c r="W318" s="246">
        <f>IFERROR(VLOOKUP(I318,PROGRAMAS[],2,FALSE),0)</f>
        <v>764796700.79905891</v>
      </c>
      <c r="X318" s="246">
        <f>IFERROR(VLOOKUP(J318,PROGRAMAS[],2,FALSE),0)</f>
        <v>3776538594.4604583</v>
      </c>
      <c r="Y318" s="246">
        <f>IFERROR(VLOOKUP(K318,PROGRAMAS[],2,FALSE),0)</f>
        <v>0</v>
      </c>
      <c r="Z318" s="246">
        <f>IFERROR(VLOOKUP(L318,PROGRAMAS[],2,FALSE),0)</f>
        <v>0</v>
      </c>
      <c r="AA318" s="246">
        <f>IFERROR(VLOOKUP(M318,PROGRAMAS[],2,FALSE),0)</f>
        <v>0</v>
      </c>
      <c r="AB318" s="246">
        <f>IFERROR(VLOOKUP(N318,PROGRAMAS[],2,FALSE),0)</f>
        <v>0</v>
      </c>
      <c r="AC318" s="246">
        <f>IFERROR(VLOOKUP(O318,PROGRAMAS[],2,FALSE),0)</f>
        <v>0</v>
      </c>
      <c r="AD318" s="246">
        <f>IFERROR(VLOOKUP(P318,PROGRAMAS[],2,FALSE),0)</f>
        <v>0</v>
      </c>
      <c r="AE318" s="246">
        <f>IFERROR(VLOOKUP(Q318,PROGRAMAS[],2,FALSE),0)</f>
        <v>0</v>
      </c>
      <c r="AF318" s="246">
        <f>IFERROR(VLOOKUP(D318,PROGRAMAS[],3,FALSE),0)</f>
        <v>841888629.31080008</v>
      </c>
      <c r="AG318" s="246">
        <f>IFERROR(VLOOKUP(E318,PROGRAMAS[],3,FALSE),0)</f>
        <v>3848980803.1642323</v>
      </c>
      <c r="AH318" s="246">
        <f>IFERROR(VLOOKUP(F318,PROGRAMAS[],3,FALSE),0)</f>
        <v>3394901471.387517</v>
      </c>
      <c r="AI318" s="246">
        <f>IFERROR(VLOOKUP(G318,PROGRAMAS[],3,FALSE),0)</f>
        <v>125317226.95549992</v>
      </c>
      <c r="AJ318" s="246">
        <f>IFERROR(VLOOKUP(H318,PROGRAMAS[],3,FALSE),0)</f>
        <v>4099471734.9978786</v>
      </c>
      <c r="AK318" s="246">
        <f>IFERROR(VLOOKUP(I318,PROGRAMAS[],3,FALSE),0)</f>
        <v>675517840.109828</v>
      </c>
      <c r="AL318" s="246">
        <f>IFERROR(VLOOKUP(J318,PROGRAMAS[],3,FALSE),0)</f>
        <v>2392571243.5584412</v>
      </c>
      <c r="AM318" s="246">
        <f>IFERROR(VLOOKUP(K318,PROGRAMAS[],3,FALSE),0)</f>
        <v>0</v>
      </c>
      <c r="AN318" s="246">
        <f>IFERROR(VLOOKUP(L318,PROGRAMAS[],3,FALSE),0)</f>
        <v>0</v>
      </c>
      <c r="AO318" s="246">
        <f>IFERROR(VLOOKUP(M318,PROGRAMAS[],3,FALSE),0)</f>
        <v>0</v>
      </c>
      <c r="AP318" s="246">
        <f>IFERROR(VLOOKUP(N318,PROGRAMAS[],3,FALSE),0)</f>
        <v>0</v>
      </c>
      <c r="AQ318" s="246">
        <f>IFERROR(VLOOKUP(O318,PROGRAMAS[],3,FALSE),0)</f>
        <v>0</v>
      </c>
      <c r="AR318" s="246">
        <f>IFERROR(VLOOKUP(P318,PROGRAMAS[],3,FALSE),0)</f>
        <v>0</v>
      </c>
      <c r="AS318" s="246">
        <f>IFERROR(VLOOKUP(Q318,PROGRAMAS[],3,FALSE),0)</f>
        <v>0</v>
      </c>
      <c r="AT318" s="246">
        <f>IFERROR(VLOOKUP(D318,VOL_REC[],2,FALSE),0)</f>
        <v>0</v>
      </c>
      <c r="AU318" s="246">
        <f>IFERROR(VLOOKUP(E318,VOL_REC[],2,FALSE),0)</f>
        <v>0</v>
      </c>
      <c r="AV318" s="246">
        <f>IFERROR(VLOOKUP(F318,VOL_REC[],2,FALSE),0)</f>
        <v>11089674.200000001</v>
      </c>
      <c r="AW318" s="246">
        <f>IFERROR(VLOOKUP(G318,VOL_REC[],2,FALSE),0)</f>
        <v>90439.55</v>
      </c>
      <c r="AX318" s="246">
        <f>IFERROR(VLOOKUP(H318,VOL_REC[],2,FALSE),0)</f>
        <v>1812240</v>
      </c>
      <c r="AY318" s="246">
        <f>IFERROR(VLOOKUP(I318,VOL_REC[],2,FALSE),0)</f>
        <v>240696.79238099116</v>
      </c>
      <c r="AZ318" s="246">
        <f>IFERROR(VLOOKUP(J318,VOL_REC[],2,FALSE),0)</f>
        <v>663244.80000000016</v>
      </c>
      <c r="BA318" s="246">
        <f>IFERROR(VLOOKUP(K318,VOL_REC[],2,FALSE),0)</f>
        <v>0</v>
      </c>
      <c r="BB318" s="246">
        <f>IFERROR(VLOOKUP(L318,VOL_REC[],2,FALSE),0)</f>
        <v>0</v>
      </c>
      <c r="BC318" s="246">
        <f>IFERROR(VLOOKUP(M318,VOL_REC[],2,FALSE),0)</f>
        <v>0</v>
      </c>
      <c r="BD318" s="246">
        <f>IFERROR(VLOOKUP(N318,VOL_REC[],2,FALSE),0)</f>
        <v>0</v>
      </c>
      <c r="BE318" s="246">
        <f>IFERROR(VLOOKUP(O318,VOL_REC[],2,FALSE),0)</f>
        <v>0</v>
      </c>
      <c r="BF318" s="246">
        <f>IFERROR(VLOOKUP(P318,VOL_REC[],2,FALSE),0)</f>
        <v>0</v>
      </c>
      <c r="BG318" s="246">
        <f>IFERROR(VLOOKUP(Q318,VOL_REC[],2,FALSE),0)</f>
        <v>0</v>
      </c>
      <c r="BH318" s="1710">
        <f t="shared" si="16"/>
        <v>13044214552.681679</v>
      </c>
      <c r="BI318" s="1710">
        <f t="shared" si="17"/>
        <v>15378648949.484196</v>
      </c>
      <c r="BJ318" s="1711">
        <f t="shared" si="18"/>
        <v>13896295.342380993</v>
      </c>
      <c r="BK318" s="1711">
        <f t="shared" si="19"/>
        <v>0.8482028945149428</v>
      </c>
    </row>
    <row r="319" spans="3:67" x14ac:dyDescent="0.25">
      <c r="C319" s="246" t="s">
        <v>1669</v>
      </c>
      <c r="D319" s="246">
        <v>1</v>
      </c>
      <c r="E319" s="246">
        <v>2</v>
      </c>
      <c r="F319" s="246">
        <v>3</v>
      </c>
      <c r="G319" s="246">
        <v>4</v>
      </c>
      <c r="H319" s="246">
        <v>10</v>
      </c>
      <c r="I319" s="246">
        <v>12</v>
      </c>
      <c r="J319" s="246">
        <v>14</v>
      </c>
      <c r="K319" s="246"/>
      <c r="L319" s="246"/>
      <c r="M319" s="246"/>
      <c r="N319" s="246"/>
      <c r="O319" s="246"/>
      <c r="P319" s="246"/>
      <c r="Q319" s="246"/>
      <c r="R319" s="246">
        <f>IFERROR(VLOOKUP(D319,PROGRAMAS[],2,FALSE),0)</f>
        <v>97037803.679377079</v>
      </c>
      <c r="S319" s="246">
        <f>IFERROR(VLOOKUP(E319,PROGRAMAS[],2,FALSE),0)</f>
        <v>640501509.6821388</v>
      </c>
      <c r="T319" s="246">
        <f>IFERROR(VLOOKUP(F319,PROGRAMAS[],2,FALSE),0)</f>
        <v>3062327798.1525245</v>
      </c>
      <c r="U319" s="246">
        <f>IFERROR(VLOOKUP(G319,PROGRAMAS[],2,FALSE),0)</f>
        <v>67697118.033011258</v>
      </c>
      <c r="V319" s="246">
        <f>IFERROR(VLOOKUP(H319,PROGRAMAS[],2,FALSE),0)</f>
        <v>4635315027.8751087</v>
      </c>
      <c r="W319" s="246">
        <f>IFERROR(VLOOKUP(I319,PROGRAMAS[],2,FALSE),0)</f>
        <v>764796700.79905891</v>
      </c>
      <c r="X319" s="246">
        <f>IFERROR(VLOOKUP(J319,PROGRAMAS[],2,FALSE),0)</f>
        <v>54223862.645839565</v>
      </c>
      <c r="Y319" s="246">
        <f>IFERROR(VLOOKUP(K319,PROGRAMAS[],2,FALSE),0)</f>
        <v>0</v>
      </c>
      <c r="Z319" s="246">
        <f>IFERROR(VLOOKUP(L319,PROGRAMAS[],2,FALSE),0)</f>
        <v>0</v>
      </c>
      <c r="AA319" s="246">
        <f>IFERROR(VLOOKUP(M319,PROGRAMAS[],2,FALSE),0)</f>
        <v>0</v>
      </c>
      <c r="AB319" s="246">
        <f>IFERROR(VLOOKUP(N319,PROGRAMAS[],2,FALSE),0)</f>
        <v>0</v>
      </c>
      <c r="AC319" s="246">
        <f>IFERROR(VLOOKUP(O319,PROGRAMAS[],2,FALSE),0)</f>
        <v>0</v>
      </c>
      <c r="AD319" s="246">
        <f>IFERROR(VLOOKUP(P319,PROGRAMAS[],2,FALSE),0)</f>
        <v>0</v>
      </c>
      <c r="AE319" s="246">
        <f>IFERROR(VLOOKUP(Q319,PROGRAMAS[],2,FALSE),0)</f>
        <v>0</v>
      </c>
      <c r="AF319" s="246">
        <f>IFERROR(VLOOKUP(D319,PROGRAMAS[],3,FALSE),0)</f>
        <v>841888629.31080008</v>
      </c>
      <c r="AG319" s="246">
        <f>IFERROR(VLOOKUP(E319,PROGRAMAS[],3,FALSE),0)</f>
        <v>3848980803.1642323</v>
      </c>
      <c r="AH319" s="246">
        <f>IFERROR(VLOOKUP(F319,PROGRAMAS[],3,FALSE),0)</f>
        <v>3394901471.387517</v>
      </c>
      <c r="AI319" s="246">
        <f>IFERROR(VLOOKUP(G319,PROGRAMAS[],3,FALSE),0)</f>
        <v>125317226.95549992</v>
      </c>
      <c r="AJ319" s="246">
        <f>IFERROR(VLOOKUP(H319,PROGRAMAS[],3,FALSE),0)</f>
        <v>4099471734.9978786</v>
      </c>
      <c r="AK319" s="246">
        <f>IFERROR(VLOOKUP(I319,PROGRAMAS[],3,FALSE),0)</f>
        <v>675517840.109828</v>
      </c>
      <c r="AL319" s="246">
        <f>IFERROR(VLOOKUP(J319,PROGRAMAS[],3,FALSE),0)</f>
        <v>31865326.38096505</v>
      </c>
      <c r="AM319" s="246">
        <f>IFERROR(VLOOKUP(K319,PROGRAMAS[],3,FALSE),0)</f>
        <v>0</v>
      </c>
      <c r="AN319" s="246">
        <f>IFERROR(VLOOKUP(L319,PROGRAMAS[],3,FALSE),0)</f>
        <v>0</v>
      </c>
      <c r="AO319" s="246">
        <f>IFERROR(VLOOKUP(M319,PROGRAMAS[],3,FALSE),0)</f>
        <v>0</v>
      </c>
      <c r="AP319" s="246">
        <f>IFERROR(VLOOKUP(N319,PROGRAMAS[],3,FALSE),0)</f>
        <v>0</v>
      </c>
      <c r="AQ319" s="246">
        <f>IFERROR(VLOOKUP(O319,PROGRAMAS[],3,FALSE),0)</f>
        <v>0</v>
      </c>
      <c r="AR319" s="246">
        <f>IFERROR(VLOOKUP(P319,PROGRAMAS[],3,FALSE),0)</f>
        <v>0</v>
      </c>
      <c r="AS319" s="246">
        <f>IFERROR(VLOOKUP(Q319,PROGRAMAS[],3,FALSE),0)</f>
        <v>0</v>
      </c>
      <c r="AT319" s="246">
        <f>IFERROR(VLOOKUP(D319,VOL_REC[],2,FALSE),0)</f>
        <v>0</v>
      </c>
      <c r="AU319" s="246">
        <f>IFERROR(VLOOKUP(E319,VOL_REC[],2,FALSE),0)</f>
        <v>0</v>
      </c>
      <c r="AV319" s="246">
        <f>IFERROR(VLOOKUP(F319,VOL_REC[],2,FALSE),0)</f>
        <v>11089674.200000001</v>
      </c>
      <c r="AW319" s="246">
        <f>IFERROR(VLOOKUP(G319,VOL_REC[],2,FALSE),0)</f>
        <v>90439.55</v>
      </c>
      <c r="AX319" s="246">
        <f>IFERROR(VLOOKUP(H319,VOL_REC[],2,FALSE),0)</f>
        <v>1812240</v>
      </c>
      <c r="AY319" s="246">
        <f>IFERROR(VLOOKUP(I319,VOL_REC[],2,FALSE),0)</f>
        <v>240696.79238099116</v>
      </c>
      <c r="AZ319" s="246">
        <f>IFERROR(VLOOKUP(J319,VOL_REC[],2,FALSE),0)</f>
        <v>17074.045034105649</v>
      </c>
      <c r="BA319" s="246">
        <f>IFERROR(VLOOKUP(K319,VOL_REC[],2,FALSE),0)</f>
        <v>0</v>
      </c>
      <c r="BB319" s="246">
        <f>IFERROR(VLOOKUP(L319,VOL_REC[],2,FALSE),0)</f>
        <v>0</v>
      </c>
      <c r="BC319" s="246">
        <f>IFERROR(VLOOKUP(M319,VOL_REC[],2,FALSE),0)</f>
        <v>0</v>
      </c>
      <c r="BD319" s="246">
        <f>IFERROR(VLOOKUP(N319,VOL_REC[],2,FALSE),0)</f>
        <v>0</v>
      </c>
      <c r="BE319" s="246">
        <f>IFERROR(VLOOKUP(O319,VOL_REC[],2,FALSE),0)</f>
        <v>0</v>
      </c>
      <c r="BF319" s="246">
        <f>IFERROR(VLOOKUP(P319,VOL_REC[],2,FALSE),0)</f>
        <v>0</v>
      </c>
      <c r="BG319" s="246">
        <f>IFERROR(VLOOKUP(Q319,VOL_REC[],2,FALSE),0)</f>
        <v>0</v>
      </c>
      <c r="BH319" s="1710">
        <f t="shared" si="16"/>
        <v>9321899820.8670597</v>
      </c>
      <c r="BI319" s="1710">
        <f t="shared" si="17"/>
        <v>13017943032.306719</v>
      </c>
      <c r="BJ319" s="1711">
        <f t="shared" si="18"/>
        <v>13250124.587415097</v>
      </c>
      <c r="BK319" s="1711">
        <f t="shared" si="19"/>
        <v>0.71608085837623014</v>
      </c>
    </row>
    <row r="320" spans="3:67" x14ac:dyDescent="0.25">
      <c r="C320" s="246" t="s">
        <v>1670</v>
      </c>
      <c r="D320" s="246">
        <v>1</v>
      </c>
      <c r="E320" s="246">
        <v>2</v>
      </c>
      <c r="F320" s="246">
        <v>3</v>
      </c>
      <c r="G320" s="246">
        <v>4</v>
      </c>
      <c r="H320" s="246">
        <v>10</v>
      </c>
      <c r="I320" s="246">
        <v>12</v>
      </c>
      <c r="J320" s="246">
        <v>15</v>
      </c>
      <c r="K320" s="246"/>
      <c r="L320" s="246"/>
      <c r="M320" s="246"/>
      <c r="N320" s="246"/>
      <c r="O320" s="246"/>
      <c r="P320" s="246"/>
      <c r="Q320" s="246"/>
      <c r="R320" s="246">
        <f>IFERROR(VLOOKUP(D320,PROGRAMAS[],2,FALSE),0)</f>
        <v>97037803.679377079</v>
      </c>
      <c r="S320" s="246">
        <f>IFERROR(VLOOKUP(E320,PROGRAMAS[],2,FALSE),0)</f>
        <v>640501509.6821388</v>
      </c>
      <c r="T320" s="246">
        <f>IFERROR(VLOOKUP(F320,PROGRAMAS[],2,FALSE),0)</f>
        <v>3062327798.1525245</v>
      </c>
      <c r="U320" s="246">
        <f>IFERROR(VLOOKUP(G320,PROGRAMAS[],2,FALSE),0)</f>
        <v>67697118.033011258</v>
      </c>
      <c r="V320" s="246">
        <f>IFERROR(VLOOKUP(H320,PROGRAMAS[],2,FALSE),0)</f>
        <v>4635315027.8751087</v>
      </c>
      <c r="W320" s="246">
        <f>IFERROR(VLOOKUP(I320,PROGRAMAS[],2,FALSE),0)</f>
        <v>764796700.79905891</v>
      </c>
      <c r="X320" s="246">
        <f>IFERROR(VLOOKUP(J320,PROGRAMAS[],2,FALSE),0)</f>
        <v>122159672.96346797</v>
      </c>
      <c r="Y320" s="246">
        <f>IFERROR(VLOOKUP(K320,PROGRAMAS[],2,FALSE),0)</f>
        <v>0</v>
      </c>
      <c r="Z320" s="246">
        <f>IFERROR(VLOOKUP(L320,PROGRAMAS[],2,FALSE),0)</f>
        <v>0</v>
      </c>
      <c r="AA320" s="246">
        <f>IFERROR(VLOOKUP(M320,PROGRAMAS[],2,FALSE),0)</f>
        <v>0</v>
      </c>
      <c r="AB320" s="246">
        <f>IFERROR(VLOOKUP(N320,PROGRAMAS[],2,FALSE),0)</f>
        <v>0</v>
      </c>
      <c r="AC320" s="246">
        <f>IFERROR(VLOOKUP(O320,PROGRAMAS[],2,FALSE),0)</f>
        <v>0</v>
      </c>
      <c r="AD320" s="246">
        <f>IFERROR(VLOOKUP(P320,PROGRAMAS[],2,FALSE),0)</f>
        <v>0</v>
      </c>
      <c r="AE320" s="246">
        <f>IFERROR(VLOOKUP(Q320,PROGRAMAS[],2,FALSE),0)</f>
        <v>0</v>
      </c>
      <c r="AF320" s="246">
        <f>IFERROR(VLOOKUP(D320,PROGRAMAS[],3,FALSE),0)</f>
        <v>841888629.31080008</v>
      </c>
      <c r="AG320" s="246">
        <f>IFERROR(VLOOKUP(E320,PROGRAMAS[],3,FALSE),0)</f>
        <v>3848980803.1642323</v>
      </c>
      <c r="AH320" s="246">
        <f>IFERROR(VLOOKUP(F320,PROGRAMAS[],3,FALSE),0)</f>
        <v>3394901471.387517</v>
      </c>
      <c r="AI320" s="246">
        <f>IFERROR(VLOOKUP(G320,PROGRAMAS[],3,FALSE),0)</f>
        <v>125317226.95549992</v>
      </c>
      <c r="AJ320" s="246">
        <f>IFERROR(VLOOKUP(H320,PROGRAMAS[],3,FALSE),0)</f>
        <v>4099471734.9978786</v>
      </c>
      <c r="AK320" s="246">
        <f>IFERROR(VLOOKUP(I320,PROGRAMAS[],3,FALSE),0)</f>
        <v>675517840.109828</v>
      </c>
      <c r="AL320" s="246">
        <f>IFERROR(VLOOKUP(J320,PROGRAMAS[],3,FALSE),0)</f>
        <v>118617452.52510804</v>
      </c>
      <c r="AM320" s="246">
        <f>IFERROR(VLOOKUP(K320,PROGRAMAS[],3,FALSE),0)</f>
        <v>0</v>
      </c>
      <c r="AN320" s="246">
        <f>IFERROR(VLOOKUP(L320,PROGRAMAS[],3,FALSE),0)</f>
        <v>0</v>
      </c>
      <c r="AO320" s="246">
        <f>IFERROR(VLOOKUP(M320,PROGRAMAS[],3,FALSE),0)</f>
        <v>0</v>
      </c>
      <c r="AP320" s="246">
        <f>IFERROR(VLOOKUP(N320,PROGRAMAS[],3,FALSE),0)</f>
        <v>0</v>
      </c>
      <c r="AQ320" s="246">
        <f>IFERROR(VLOOKUP(O320,PROGRAMAS[],3,FALSE),0)</f>
        <v>0</v>
      </c>
      <c r="AR320" s="246">
        <f>IFERROR(VLOOKUP(P320,PROGRAMAS[],3,FALSE),0)</f>
        <v>0</v>
      </c>
      <c r="AS320" s="246">
        <f>IFERROR(VLOOKUP(Q320,PROGRAMAS[],3,FALSE),0)</f>
        <v>0</v>
      </c>
      <c r="AT320" s="246">
        <f>IFERROR(VLOOKUP(D320,VOL_REC[],2,FALSE),0)</f>
        <v>0</v>
      </c>
      <c r="AU320" s="246">
        <f>IFERROR(VLOOKUP(E320,VOL_REC[],2,FALSE),0)</f>
        <v>0</v>
      </c>
      <c r="AV320" s="246">
        <f>IFERROR(VLOOKUP(F320,VOL_REC[],2,FALSE),0)</f>
        <v>11089674.200000001</v>
      </c>
      <c r="AW320" s="246">
        <f>IFERROR(VLOOKUP(G320,VOL_REC[],2,FALSE),0)</f>
        <v>90439.55</v>
      </c>
      <c r="AX320" s="246">
        <f>IFERROR(VLOOKUP(H320,VOL_REC[],2,FALSE),0)</f>
        <v>1812240</v>
      </c>
      <c r="AY320" s="246">
        <f>IFERROR(VLOOKUP(I320,VOL_REC[],2,FALSE),0)</f>
        <v>240696.79238099116</v>
      </c>
      <c r="AZ320" s="246">
        <f>IFERROR(VLOOKUP(J320,VOL_REC[],2,FALSE),0)</f>
        <v>105072</v>
      </c>
      <c r="BA320" s="246">
        <f>IFERROR(VLOOKUP(K320,VOL_REC[],2,FALSE),0)</f>
        <v>0</v>
      </c>
      <c r="BB320" s="246">
        <f>IFERROR(VLOOKUP(L320,VOL_REC[],2,FALSE),0)</f>
        <v>0</v>
      </c>
      <c r="BC320" s="246">
        <f>IFERROR(VLOOKUP(M320,VOL_REC[],2,FALSE),0)</f>
        <v>0</v>
      </c>
      <c r="BD320" s="246">
        <f>IFERROR(VLOOKUP(N320,VOL_REC[],2,FALSE),0)</f>
        <v>0</v>
      </c>
      <c r="BE320" s="246">
        <f>IFERROR(VLOOKUP(O320,VOL_REC[],2,FALSE),0)</f>
        <v>0</v>
      </c>
      <c r="BF320" s="246">
        <f>IFERROR(VLOOKUP(P320,VOL_REC[],2,FALSE),0)</f>
        <v>0</v>
      </c>
      <c r="BG320" s="246">
        <f>IFERROR(VLOOKUP(Q320,VOL_REC[],2,FALSE),0)</f>
        <v>0</v>
      </c>
      <c r="BH320" s="1710">
        <f t="shared" si="16"/>
        <v>9389835631.1846886</v>
      </c>
      <c r="BI320" s="1710">
        <f t="shared" si="17"/>
        <v>13104695158.450863</v>
      </c>
      <c r="BJ320" s="1711">
        <f t="shared" si="18"/>
        <v>13338122.542380992</v>
      </c>
      <c r="BK320" s="1711">
        <f t="shared" si="19"/>
        <v>0.71652453701904217</v>
      </c>
    </row>
    <row r="321" spans="3:67" x14ac:dyDescent="0.25">
      <c r="C321" s="246" t="s">
        <v>1671</v>
      </c>
      <c r="D321" s="246">
        <v>1</v>
      </c>
      <c r="E321" s="246">
        <v>2</v>
      </c>
      <c r="F321" s="246">
        <v>3</v>
      </c>
      <c r="G321" s="246">
        <v>4</v>
      </c>
      <c r="H321" s="246">
        <v>10</v>
      </c>
      <c r="I321" s="246">
        <v>12</v>
      </c>
      <c r="J321" s="246">
        <v>16</v>
      </c>
      <c r="K321" s="246"/>
      <c r="L321" s="246"/>
      <c r="M321" s="246"/>
      <c r="N321" s="246"/>
      <c r="O321" s="246"/>
      <c r="P321" s="246"/>
      <c r="Q321" s="246"/>
      <c r="R321" s="246">
        <f>IFERROR(VLOOKUP(D321,PROGRAMAS[],2,FALSE),0)</f>
        <v>97037803.679377079</v>
      </c>
      <c r="S321" s="246">
        <f>IFERROR(VLOOKUP(E321,PROGRAMAS[],2,FALSE),0)</f>
        <v>640501509.6821388</v>
      </c>
      <c r="T321" s="246">
        <f>IFERROR(VLOOKUP(F321,PROGRAMAS[],2,FALSE),0)</f>
        <v>3062327798.1525245</v>
      </c>
      <c r="U321" s="246">
        <f>IFERROR(VLOOKUP(G321,PROGRAMAS[],2,FALSE),0)</f>
        <v>67697118.033011258</v>
      </c>
      <c r="V321" s="246">
        <f>IFERROR(VLOOKUP(H321,PROGRAMAS[],2,FALSE),0)</f>
        <v>4635315027.8751087</v>
      </c>
      <c r="W321" s="246">
        <f>IFERROR(VLOOKUP(I321,PROGRAMAS[],2,FALSE),0)</f>
        <v>764796700.79905891</v>
      </c>
      <c r="X321" s="246">
        <f>IFERROR(VLOOKUP(J321,PROGRAMAS[],2,FALSE),0)</f>
        <v>7068496961.0436354</v>
      </c>
      <c r="Y321" s="246">
        <f>IFERROR(VLOOKUP(K321,PROGRAMAS[],2,FALSE),0)</f>
        <v>0</v>
      </c>
      <c r="Z321" s="246">
        <f>IFERROR(VLOOKUP(L321,PROGRAMAS[],2,FALSE),0)</f>
        <v>0</v>
      </c>
      <c r="AA321" s="246">
        <f>IFERROR(VLOOKUP(M321,PROGRAMAS[],2,FALSE),0)</f>
        <v>0</v>
      </c>
      <c r="AB321" s="246">
        <f>IFERROR(VLOOKUP(N321,PROGRAMAS[],2,FALSE),0)</f>
        <v>0</v>
      </c>
      <c r="AC321" s="246">
        <f>IFERROR(VLOOKUP(O321,PROGRAMAS[],2,FALSE),0)</f>
        <v>0</v>
      </c>
      <c r="AD321" s="246">
        <f>IFERROR(VLOOKUP(P321,PROGRAMAS[],2,FALSE),0)</f>
        <v>0</v>
      </c>
      <c r="AE321" s="246">
        <f>IFERROR(VLOOKUP(Q321,PROGRAMAS[],2,FALSE),0)</f>
        <v>0</v>
      </c>
      <c r="AF321" s="246">
        <f>IFERROR(VLOOKUP(D321,PROGRAMAS[],3,FALSE),0)</f>
        <v>841888629.31080008</v>
      </c>
      <c r="AG321" s="246">
        <f>IFERROR(VLOOKUP(E321,PROGRAMAS[],3,FALSE),0)</f>
        <v>3848980803.1642323</v>
      </c>
      <c r="AH321" s="246">
        <f>IFERROR(VLOOKUP(F321,PROGRAMAS[],3,FALSE),0)</f>
        <v>3394901471.387517</v>
      </c>
      <c r="AI321" s="246">
        <f>IFERROR(VLOOKUP(G321,PROGRAMAS[],3,FALSE),0)</f>
        <v>125317226.95549992</v>
      </c>
      <c r="AJ321" s="246">
        <f>IFERROR(VLOOKUP(H321,PROGRAMAS[],3,FALSE),0)</f>
        <v>4099471734.9978786</v>
      </c>
      <c r="AK321" s="246">
        <f>IFERROR(VLOOKUP(I321,PROGRAMAS[],3,FALSE),0)</f>
        <v>675517840.109828</v>
      </c>
      <c r="AL321" s="246">
        <f>IFERROR(VLOOKUP(J321,PROGRAMAS[],3,FALSE),0)</f>
        <v>2406564599.0319901</v>
      </c>
      <c r="AM321" s="246">
        <f>IFERROR(VLOOKUP(K321,PROGRAMAS[],3,FALSE),0)</f>
        <v>0</v>
      </c>
      <c r="AN321" s="246">
        <f>IFERROR(VLOOKUP(L321,PROGRAMAS[],3,FALSE),0)</f>
        <v>0</v>
      </c>
      <c r="AO321" s="246">
        <f>IFERROR(VLOOKUP(M321,PROGRAMAS[],3,FALSE),0)</f>
        <v>0</v>
      </c>
      <c r="AP321" s="246">
        <f>IFERROR(VLOOKUP(N321,PROGRAMAS[],3,FALSE),0)</f>
        <v>0</v>
      </c>
      <c r="AQ321" s="246">
        <f>IFERROR(VLOOKUP(O321,PROGRAMAS[],3,FALSE),0)</f>
        <v>0</v>
      </c>
      <c r="AR321" s="246">
        <f>IFERROR(VLOOKUP(P321,PROGRAMAS[],3,FALSE),0)</f>
        <v>0</v>
      </c>
      <c r="AS321" s="246">
        <f>IFERROR(VLOOKUP(Q321,PROGRAMAS[],3,FALSE),0)</f>
        <v>0</v>
      </c>
      <c r="AT321" s="246">
        <f>IFERROR(VLOOKUP(D321,VOL_REC[],2,FALSE),0)</f>
        <v>0</v>
      </c>
      <c r="AU321" s="246">
        <f>IFERROR(VLOOKUP(E321,VOL_REC[],2,FALSE),0)</f>
        <v>0</v>
      </c>
      <c r="AV321" s="246">
        <f>IFERROR(VLOOKUP(F321,VOL_REC[],2,FALSE),0)</f>
        <v>11089674.200000001</v>
      </c>
      <c r="AW321" s="246">
        <f>IFERROR(VLOOKUP(G321,VOL_REC[],2,FALSE),0)</f>
        <v>90439.55</v>
      </c>
      <c r="AX321" s="246">
        <f>IFERROR(VLOOKUP(H321,VOL_REC[],2,FALSE),0)</f>
        <v>1812240</v>
      </c>
      <c r="AY321" s="246">
        <f>IFERROR(VLOOKUP(I321,VOL_REC[],2,FALSE),0)</f>
        <v>240696.79238099116</v>
      </c>
      <c r="AZ321" s="246">
        <f>IFERROR(VLOOKUP(J321,VOL_REC[],2,FALSE),0)</f>
        <v>1072354.9981737854</v>
      </c>
      <c r="BA321" s="246">
        <f>IFERROR(VLOOKUP(K321,VOL_REC[],2,FALSE),0)</f>
        <v>0</v>
      </c>
      <c r="BB321" s="246">
        <f>IFERROR(VLOOKUP(L321,VOL_REC[],2,FALSE),0)</f>
        <v>0</v>
      </c>
      <c r="BC321" s="246">
        <f>IFERROR(VLOOKUP(M321,VOL_REC[],2,FALSE),0)</f>
        <v>0</v>
      </c>
      <c r="BD321" s="246">
        <f>IFERROR(VLOOKUP(N321,VOL_REC[],2,FALSE),0)</f>
        <v>0</v>
      </c>
      <c r="BE321" s="246">
        <f>IFERROR(VLOOKUP(O321,VOL_REC[],2,FALSE),0)</f>
        <v>0</v>
      </c>
      <c r="BF321" s="246">
        <f>IFERROR(VLOOKUP(P321,VOL_REC[],2,FALSE),0)</f>
        <v>0</v>
      </c>
      <c r="BG321" s="246">
        <f>IFERROR(VLOOKUP(Q321,VOL_REC[],2,FALSE),0)</f>
        <v>0</v>
      </c>
      <c r="BH321" s="1710">
        <f t="shared" si="16"/>
        <v>16336172919.264854</v>
      </c>
      <c r="BI321" s="1710">
        <f t="shared" si="17"/>
        <v>15392642304.957745</v>
      </c>
      <c r="BJ321" s="1711">
        <f t="shared" si="18"/>
        <v>14305405.540554777</v>
      </c>
      <c r="BK321" s="1711">
        <f t="shared" si="19"/>
        <v>1.0612975079660762</v>
      </c>
      <c r="BL321">
        <f>BJ321</f>
        <v>14305405.540554777</v>
      </c>
      <c r="BO321">
        <f>BL321</f>
        <v>14305405.540554777</v>
      </c>
    </row>
    <row r="322" spans="3:67" x14ac:dyDescent="0.25">
      <c r="C322" s="246" t="s">
        <v>1672</v>
      </c>
      <c r="D322" s="246">
        <v>1</v>
      </c>
      <c r="E322" s="246">
        <v>2</v>
      </c>
      <c r="F322" s="246">
        <v>3</v>
      </c>
      <c r="G322" s="246">
        <v>4</v>
      </c>
      <c r="H322" s="246">
        <v>10</v>
      </c>
      <c r="I322" s="246">
        <v>12</v>
      </c>
      <c r="J322" s="246">
        <v>17</v>
      </c>
      <c r="K322" s="246"/>
      <c r="L322" s="246"/>
      <c r="M322" s="246"/>
      <c r="N322" s="246"/>
      <c r="O322" s="246"/>
      <c r="P322" s="246"/>
      <c r="Q322" s="246"/>
      <c r="R322" s="246">
        <f>IFERROR(VLOOKUP(D322,PROGRAMAS[],2,FALSE),0)</f>
        <v>97037803.679377079</v>
      </c>
      <c r="S322" s="246">
        <f>IFERROR(VLOOKUP(E322,PROGRAMAS[],2,FALSE),0)</f>
        <v>640501509.6821388</v>
      </c>
      <c r="T322" s="246">
        <f>IFERROR(VLOOKUP(F322,PROGRAMAS[],2,FALSE),0)</f>
        <v>3062327798.1525245</v>
      </c>
      <c r="U322" s="246">
        <f>IFERROR(VLOOKUP(G322,PROGRAMAS[],2,FALSE),0)</f>
        <v>67697118.033011258</v>
      </c>
      <c r="V322" s="246">
        <f>IFERROR(VLOOKUP(H322,PROGRAMAS[],2,FALSE),0)</f>
        <v>4635315027.8751087</v>
      </c>
      <c r="W322" s="246">
        <f>IFERROR(VLOOKUP(I322,PROGRAMAS[],2,FALSE),0)</f>
        <v>764796700.79905891</v>
      </c>
      <c r="X322" s="246">
        <f>IFERROR(VLOOKUP(J322,PROGRAMAS[],2,FALSE),0)</f>
        <v>1892779498.5211046</v>
      </c>
      <c r="Y322" s="246">
        <f>IFERROR(VLOOKUP(K322,PROGRAMAS[],2,FALSE),0)</f>
        <v>0</v>
      </c>
      <c r="Z322" s="246">
        <f>IFERROR(VLOOKUP(L322,PROGRAMAS[],2,FALSE),0)</f>
        <v>0</v>
      </c>
      <c r="AA322" s="246">
        <f>IFERROR(VLOOKUP(M322,PROGRAMAS[],2,FALSE),0)</f>
        <v>0</v>
      </c>
      <c r="AB322" s="246">
        <f>IFERROR(VLOOKUP(N322,PROGRAMAS[],2,FALSE),0)</f>
        <v>0</v>
      </c>
      <c r="AC322" s="246">
        <f>IFERROR(VLOOKUP(O322,PROGRAMAS[],2,FALSE),0)</f>
        <v>0</v>
      </c>
      <c r="AD322" s="246">
        <f>IFERROR(VLOOKUP(P322,PROGRAMAS[],2,FALSE),0)</f>
        <v>0</v>
      </c>
      <c r="AE322" s="246">
        <f>IFERROR(VLOOKUP(Q322,PROGRAMAS[],2,FALSE),0)</f>
        <v>0</v>
      </c>
      <c r="AF322" s="246">
        <f>IFERROR(VLOOKUP(D322,PROGRAMAS[],3,FALSE),0)</f>
        <v>841888629.31080008</v>
      </c>
      <c r="AG322" s="246">
        <f>IFERROR(VLOOKUP(E322,PROGRAMAS[],3,FALSE),0)</f>
        <v>3848980803.1642323</v>
      </c>
      <c r="AH322" s="246">
        <f>IFERROR(VLOOKUP(F322,PROGRAMAS[],3,FALSE),0)</f>
        <v>3394901471.387517</v>
      </c>
      <c r="AI322" s="246">
        <f>IFERROR(VLOOKUP(G322,PROGRAMAS[],3,FALSE),0)</f>
        <v>125317226.95549992</v>
      </c>
      <c r="AJ322" s="246">
        <f>IFERROR(VLOOKUP(H322,PROGRAMAS[],3,FALSE),0)</f>
        <v>4099471734.9978786</v>
      </c>
      <c r="AK322" s="246">
        <f>IFERROR(VLOOKUP(I322,PROGRAMAS[],3,FALSE),0)</f>
        <v>675517840.109828</v>
      </c>
      <c r="AL322" s="246">
        <f>IFERROR(VLOOKUP(J322,PROGRAMAS[],3,FALSE),0)</f>
        <v>948595847.09039903</v>
      </c>
      <c r="AM322" s="246">
        <f>IFERROR(VLOOKUP(K322,PROGRAMAS[],3,FALSE),0)</f>
        <v>0</v>
      </c>
      <c r="AN322" s="246">
        <f>IFERROR(VLOOKUP(L322,PROGRAMAS[],3,FALSE),0)</f>
        <v>0</v>
      </c>
      <c r="AO322" s="246">
        <f>IFERROR(VLOOKUP(M322,PROGRAMAS[],3,FALSE),0)</f>
        <v>0</v>
      </c>
      <c r="AP322" s="246">
        <f>IFERROR(VLOOKUP(N322,PROGRAMAS[],3,FALSE),0)</f>
        <v>0</v>
      </c>
      <c r="AQ322" s="246">
        <f>IFERROR(VLOOKUP(O322,PROGRAMAS[],3,FALSE),0)</f>
        <v>0</v>
      </c>
      <c r="AR322" s="246">
        <f>IFERROR(VLOOKUP(P322,PROGRAMAS[],3,FALSE),0)</f>
        <v>0</v>
      </c>
      <c r="AS322" s="246">
        <f>IFERROR(VLOOKUP(Q322,PROGRAMAS[],3,FALSE),0)</f>
        <v>0</v>
      </c>
      <c r="AT322" s="246">
        <f>IFERROR(VLOOKUP(D322,VOL_REC[],2,FALSE),0)</f>
        <v>0</v>
      </c>
      <c r="AU322" s="246">
        <f>IFERROR(VLOOKUP(E322,VOL_REC[],2,FALSE),0)</f>
        <v>0</v>
      </c>
      <c r="AV322" s="246">
        <f>IFERROR(VLOOKUP(F322,VOL_REC[],2,FALSE),0)</f>
        <v>11089674.200000001</v>
      </c>
      <c r="AW322" s="246">
        <f>IFERROR(VLOOKUP(G322,VOL_REC[],2,FALSE),0)</f>
        <v>90439.55</v>
      </c>
      <c r="AX322" s="246">
        <f>IFERROR(VLOOKUP(H322,VOL_REC[],2,FALSE),0)</f>
        <v>1812240</v>
      </c>
      <c r="AY322" s="246">
        <f>IFERROR(VLOOKUP(I322,VOL_REC[],2,FALSE),0)</f>
        <v>240696.79238099116</v>
      </c>
      <c r="AZ322" s="246">
        <f>IFERROR(VLOOKUP(J322,VOL_REC[],2,FALSE),0)</f>
        <v>740113.98115702497</v>
      </c>
      <c r="BA322" s="246">
        <f>IFERROR(VLOOKUP(K322,VOL_REC[],2,FALSE),0)</f>
        <v>0</v>
      </c>
      <c r="BB322" s="246">
        <f>IFERROR(VLOOKUP(L322,VOL_REC[],2,FALSE),0)</f>
        <v>0</v>
      </c>
      <c r="BC322" s="246">
        <f>IFERROR(VLOOKUP(M322,VOL_REC[],2,FALSE),0)</f>
        <v>0</v>
      </c>
      <c r="BD322" s="246">
        <f>IFERROR(VLOOKUP(N322,VOL_REC[],2,FALSE),0)</f>
        <v>0</v>
      </c>
      <c r="BE322" s="246">
        <f>IFERROR(VLOOKUP(O322,VOL_REC[],2,FALSE),0)</f>
        <v>0</v>
      </c>
      <c r="BF322" s="246">
        <f>IFERROR(VLOOKUP(P322,VOL_REC[],2,FALSE),0)</f>
        <v>0</v>
      </c>
      <c r="BG322" s="246">
        <f>IFERROR(VLOOKUP(Q322,VOL_REC[],2,FALSE),0)</f>
        <v>0</v>
      </c>
      <c r="BH322" s="1710">
        <f t="shared" ref="BH322:BH385" si="20">SUM(R322:AE322)</f>
        <v>11160455456.742325</v>
      </c>
      <c r="BI322" s="1710">
        <f t="shared" ref="BI322:BI385" si="21">SUM(AF322:AS322)</f>
        <v>13934673553.016153</v>
      </c>
      <c r="BJ322" s="1711">
        <f t="shared" ref="BJ322:BJ385" si="22">SUM(AT322:BG322)</f>
        <v>13973164.523538018</v>
      </c>
      <c r="BK322" s="1711">
        <f t="shared" ref="BK322:BK385" si="23">IFERROR(BH322/BI322,0)</f>
        <v>0.80091258788955622</v>
      </c>
    </row>
    <row r="323" spans="3:67" x14ac:dyDescent="0.25">
      <c r="C323" s="246" t="s">
        <v>1673</v>
      </c>
      <c r="D323" s="246">
        <v>1</v>
      </c>
      <c r="E323" s="246">
        <v>2</v>
      </c>
      <c r="F323" s="246">
        <v>3</v>
      </c>
      <c r="G323" s="246">
        <v>4</v>
      </c>
      <c r="H323" s="246">
        <v>10</v>
      </c>
      <c r="I323" s="246">
        <v>13</v>
      </c>
      <c r="J323" s="246">
        <v>14</v>
      </c>
      <c r="K323" s="246"/>
      <c r="L323" s="246"/>
      <c r="M323" s="246"/>
      <c r="N323" s="246"/>
      <c r="O323" s="246"/>
      <c r="P323" s="246"/>
      <c r="Q323" s="246"/>
      <c r="R323" s="246">
        <f>IFERROR(VLOOKUP(D323,PROGRAMAS[],2,FALSE),0)</f>
        <v>97037803.679377079</v>
      </c>
      <c r="S323" s="246">
        <f>IFERROR(VLOOKUP(E323,PROGRAMAS[],2,FALSE),0)</f>
        <v>640501509.6821388</v>
      </c>
      <c r="T323" s="246">
        <f>IFERROR(VLOOKUP(F323,PROGRAMAS[],2,FALSE),0)</f>
        <v>3062327798.1525245</v>
      </c>
      <c r="U323" s="246">
        <f>IFERROR(VLOOKUP(G323,PROGRAMAS[],2,FALSE),0)</f>
        <v>67697118.033011258</v>
      </c>
      <c r="V323" s="246">
        <f>IFERROR(VLOOKUP(H323,PROGRAMAS[],2,FALSE),0)</f>
        <v>4635315027.8751087</v>
      </c>
      <c r="W323" s="246">
        <f>IFERROR(VLOOKUP(I323,PROGRAMAS[],2,FALSE),0)</f>
        <v>3776538594.4604583</v>
      </c>
      <c r="X323" s="246">
        <f>IFERROR(VLOOKUP(J323,PROGRAMAS[],2,FALSE),0)</f>
        <v>54223862.645839565</v>
      </c>
      <c r="Y323" s="246">
        <f>IFERROR(VLOOKUP(K323,PROGRAMAS[],2,FALSE),0)</f>
        <v>0</v>
      </c>
      <c r="Z323" s="246">
        <f>IFERROR(VLOOKUP(L323,PROGRAMAS[],2,FALSE),0)</f>
        <v>0</v>
      </c>
      <c r="AA323" s="246">
        <f>IFERROR(VLOOKUP(M323,PROGRAMAS[],2,FALSE),0)</f>
        <v>0</v>
      </c>
      <c r="AB323" s="246">
        <f>IFERROR(VLOOKUP(N323,PROGRAMAS[],2,FALSE),0)</f>
        <v>0</v>
      </c>
      <c r="AC323" s="246">
        <f>IFERROR(VLOOKUP(O323,PROGRAMAS[],2,FALSE),0)</f>
        <v>0</v>
      </c>
      <c r="AD323" s="246">
        <f>IFERROR(VLOOKUP(P323,PROGRAMAS[],2,FALSE),0)</f>
        <v>0</v>
      </c>
      <c r="AE323" s="246">
        <f>IFERROR(VLOOKUP(Q323,PROGRAMAS[],2,FALSE),0)</f>
        <v>0</v>
      </c>
      <c r="AF323" s="246">
        <f>IFERROR(VLOOKUP(D323,PROGRAMAS[],3,FALSE),0)</f>
        <v>841888629.31080008</v>
      </c>
      <c r="AG323" s="246">
        <f>IFERROR(VLOOKUP(E323,PROGRAMAS[],3,FALSE),0)</f>
        <v>3848980803.1642323</v>
      </c>
      <c r="AH323" s="246">
        <f>IFERROR(VLOOKUP(F323,PROGRAMAS[],3,FALSE),0)</f>
        <v>3394901471.387517</v>
      </c>
      <c r="AI323" s="246">
        <f>IFERROR(VLOOKUP(G323,PROGRAMAS[],3,FALSE),0)</f>
        <v>125317226.95549992</v>
      </c>
      <c r="AJ323" s="246">
        <f>IFERROR(VLOOKUP(H323,PROGRAMAS[],3,FALSE),0)</f>
        <v>4099471734.9978786</v>
      </c>
      <c r="AK323" s="246">
        <f>IFERROR(VLOOKUP(I323,PROGRAMAS[],3,FALSE),0)</f>
        <v>2392571243.5584412</v>
      </c>
      <c r="AL323" s="246">
        <f>IFERROR(VLOOKUP(J323,PROGRAMAS[],3,FALSE),0)</f>
        <v>31865326.38096505</v>
      </c>
      <c r="AM323" s="246">
        <f>IFERROR(VLOOKUP(K323,PROGRAMAS[],3,FALSE),0)</f>
        <v>0</v>
      </c>
      <c r="AN323" s="246">
        <f>IFERROR(VLOOKUP(L323,PROGRAMAS[],3,FALSE),0)</f>
        <v>0</v>
      </c>
      <c r="AO323" s="246">
        <f>IFERROR(VLOOKUP(M323,PROGRAMAS[],3,FALSE),0)</f>
        <v>0</v>
      </c>
      <c r="AP323" s="246">
        <f>IFERROR(VLOOKUP(N323,PROGRAMAS[],3,FALSE),0)</f>
        <v>0</v>
      </c>
      <c r="AQ323" s="246">
        <f>IFERROR(VLOOKUP(O323,PROGRAMAS[],3,FALSE),0)</f>
        <v>0</v>
      </c>
      <c r="AR323" s="246">
        <f>IFERROR(VLOOKUP(P323,PROGRAMAS[],3,FALSE),0)</f>
        <v>0</v>
      </c>
      <c r="AS323" s="246">
        <f>IFERROR(VLOOKUP(Q323,PROGRAMAS[],3,FALSE),0)</f>
        <v>0</v>
      </c>
      <c r="AT323" s="246">
        <f>IFERROR(VLOOKUP(D323,VOL_REC[],2,FALSE),0)</f>
        <v>0</v>
      </c>
      <c r="AU323" s="246">
        <f>IFERROR(VLOOKUP(E323,VOL_REC[],2,FALSE),0)</f>
        <v>0</v>
      </c>
      <c r="AV323" s="246">
        <f>IFERROR(VLOOKUP(F323,VOL_REC[],2,FALSE),0)</f>
        <v>11089674.200000001</v>
      </c>
      <c r="AW323" s="246">
        <f>IFERROR(VLOOKUP(G323,VOL_REC[],2,FALSE),0)</f>
        <v>90439.55</v>
      </c>
      <c r="AX323" s="246">
        <f>IFERROR(VLOOKUP(H323,VOL_REC[],2,FALSE),0)</f>
        <v>1812240</v>
      </c>
      <c r="AY323" s="246">
        <f>IFERROR(VLOOKUP(I323,VOL_REC[],2,FALSE),0)</f>
        <v>663244.80000000016</v>
      </c>
      <c r="AZ323" s="246">
        <f>IFERROR(VLOOKUP(J323,VOL_REC[],2,FALSE),0)</f>
        <v>17074.045034105649</v>
      </c>
      <c r="BA323" s="246">
        <f>IFERROR(VLOOKUP(K323,VOL_REC[],2,FALSE),0)</f>
        <v>0</v>
      </c>
      <c r="BB323" s="246">
        <f>IFERROR(VLOOKUP(L323,VOL_REC[],2,FALSE),0)</f>
        <v>0</v>
      </c>
      <c r="BC323" s="246">
        <f>IFERROR(VLOOKUP(M323,VOL_REC[],2,FALSE),0)</f>
        <v>0</v>
      </c>
      <c r="BD323" s="246">
        <f>IFERROR(VLOOKUP(N323,VOL_REC[],2,FALSE),0)</f>
        <v>0</v>
      </c>
      <c r="BE323" s="246">
        <f>IFERROR(VLOOKUP(O323,VOL_REC[],2,FALSE),0)</f>
        <v>0</v>
      </c>
      <c r="BF323" s="246">
        <f>IFERROR(VLOOKUP(P323,VOL_REC[],2,FALSE),0)</f>
        <v>0</v>
      </c>
      <c r="BG323" s="246">
        <f>IFERROR(VLOOKUP(Q323,VOL_REC[],2,FALSE),0)</f>
        <v>0</v>
      </c>
      <c r="BH323" s="1710">
        <f t="shared" si="20"/>
        <v>12333641714.52846</v>
      </c>
      <c r="BI323" s="1710">
        <f t="shared" si="21"/>
        <v>14734996435.755333</v>
      </c>
      <c r="BJ323" s="1711">
        <f t="shared" si="22"/>
        <v>13672672.595034108</v>
      </c>
      <c r="BK323" s="1711">
        <f t="shared" si="23"/>
        <v>0.83703051903020176</v>
      </c>
    </row>
    <row r="324" spans="3:67" x14ac:dyDescent="0.25">
      <c r="C324" s="246" t="s">
        <v>1674</v>
      </c>
      <c r="D324" s="246">
        <v>1</v>
      </c>
      <c r="E324" s="246">
        <v>2</v>
      </c>
      <c r="F324" s="246">
        <v>3</v>
      </c>
      <c r="G324" s="246">
        <v>4</v>
      </c>
      <c r="H324" s="246">
        <v>10</v>
      </c>
      <c r="I324" s="246">
        <v>13</v>
      </c>
      <c r="J324" s="246">
        <v>15</v>
      </c>
      <c r="K324" s="246"/>
      <c r="L324" s="246"/>
      <c r="M324" s="246"/>
      <c r="N324" s="246"/>
      <c r="O324" s="246"/>
      <c r="P324" s="246"/>
      <c r="Q324" s="246"/>
      <c r="R324" s="246">
        <f>IFERROR(VLOOKUP(D324,PROGRAMAS[],2,FALSE),0)</f>
        <v>97037803.679377079</v>
      </c>
      <c r="S324" s="246">
        <f>IFERROR(VLOOKUP(E324,PROGRAMAS[],2,FALSE),0)</f>
        <v>640501509.6821388</v>
      </c>
      <c r="T324" s="246">
        <f>IFERROR(VLOOKUP(F324,PROGRAMAS[],2,FALSE),0)</f>
        <v>3062327798.1525245</v>
      </c>
      <c r="U324" s="246">
        <f>IFERROR(VLOOKUP(G324,PROGRAMAS[],2,FALSE),0)</f>
        <v>67697118.033011258</v>
      </c>
      <c r="V324" s="246">
        <f>IFERROR(VLOOKUP(H324,PROGRAMAS[],2,FALSE),0)</f>
        <v>4635315027.8751087</v>
      </c>
      <c r="W324" s="246">
        <f>IFERROR(VLOOKUP(I324,PROGRAMAS[],2,FALSE),0)</f>
        <v>3776538594.4604583</v>
      </c>
      <c r="X324" s="246">
        <f>IFERROR(VLOOKUP(J324,PROGRAMAS[],2,FALSE),0)</f>
        <v>122159672.96346797</v>
      </c>
      <c r="Y324" s="246">
        <f>IFERROR(VLOOKUP(K324,PROGRAMAS[],2,FALSE),0)</f>
        <v>0</v>
      </c>
      <c r="Z324" s="246">
        <f>IFERROR(VLOOKUP(L324,PROGRAMAS[],2,FALSE),0)</f>
        <v>0</v>
      </c>
      <c r="AA324" s="246">
        <f>IFERROR(VLOOKUP(M324,PROGRAMAS[],2,FALSE),0)</f>
        <v>0</v>
      </c>
      <c r="AB324" s="246">
        <f>IFERROR(VLOOKUP(N324,PROGRAMAS[],2,FALSE),0)</f>
        <v>0</v>
      </c>
      <c r="AC324" s="246">
        <f>IFERROR(VLOOKUP(O324,PROGRAMAS[],2,FALSE),0)</f>
        <v>0</v>
      </c>
      <c r="AD324" s="246">
        <f>IFERROR(VLOOKUP(P324,PROGRAMAS[],2,FALSE),0)</f>
        <v>0</v>
      </c>
      <c r="AE324" s="246">
        <f>IFERROR(VLOOKUP(Q324,PROGRAMAS[],2,FALSE),0)</f>
        <v>0</v>
      </c>
      <c r="AF324" s="246">
        <f>IFERROR(VLOOKUP(D324,PROGRAMAS[],3,FALSE),0)</f>
        <v>841888629.31080008</v>
      </c>
      <c r="AG324" s="246">
        <f>IFERROR(VLOOKUP(E324,PROGRAMAS[],3,FALSE),0)</f>
        <v>3848980803.1642323</v>
      </c>
      <c r="AH324" s="246">
        <f>IFERROR(VLOOKUP(F324,PROGRAMAS[],3,FALSE),0)</f>
        <v>3394901471.387517</v>
      </c>
      <c r="AI324" s="246">
        <f>IFERROR(VLOOKUP(G324,PROGRAMAS[],3,FALSE),0)</f>
        <v>125317226.95549992</v>
      </c>
      <c r="AJ324" s="246">
        <f>IFERROR(VLOOKUP(H324,PROGRAMAS[],3,FALSE),0)</f>
        <v>4099471734.9978786</v>
      </c>
      <c r="AK324" s="246">
        <f>IFERROR(VLOOKUP(I324,PROGRAMAS[],3,FALSE),0)</f>
        <v>2392571243.5584412</v>
      </c>
      <c r="AL324" s="246">
        <f>IFERROR(VLOOKUP(J324,PROGRAMAS[],3,FALSE),0)</f>
        <v>118617452.52510804</v>
      </c>
      <c r="AM324" s="246">
        <f>IFERROR(VLOOKUP(K324,PROGRAMAS[],3,FALSE),0)</f>
        <v>0</v>
      </c>
      <c r="AN324" s="246">
        <f>IFERROR(VLOOKUP(L324,PROGRAMAS[],3,FALSE),0)</f>
        <v>0</v>
      </c>
      <c r="AO324" s="246">
        <f>IFERROR(VLOOKUP(M324,PROGRAMAS[],3,FALSE),0)</f>
        <v>0</v>
      </c>
      <c r="AP324" s="246">
        <f>IFERROR(VLOOKUP(N324,PROGRAMAS[],3,FALSE),0)</f>
        <v>0</v>
      </c>
      <c r="AQ324" s="246">
        <f>IFERROR(VLOOKUP(O324,PROGRAMAS[],3,FALSE),0)</f>
        <v>0</v>
      </c>
      <c r="AR324" s="246">
        <f>IFERROR(VLOOKUP(P324,PROGRAMAS[],3,FALSE),0)</f>
        <v>0</v>
      </c>
      <c r="AS324" s="246">
        <f>IFERROR(VLOOKUP(Q324,PROGRAMAS[],3,FALSE),0)</f>
        <v>0</v>
      </c>
      <c r="AT324" s="246">
        <f>IFERROR(VLOOKUP(D324,VOL_REC[],2,FALSE),0)</f>
        <v>0</v>
      </c>
      <c r="AU324" s="246">
        <f>IFERROR(VLOOKUP(E324,VOL_REC[],2,FALSE),0)</f>
        <v>0</v>
      </c>
      <c r="AV324" s="246">
        <f>IFERROR(VLOOKUP(F324,VOL_REC[],2,FALSE),0)</f>
        <v>11089674.200000001</v>
      </c>
      <c r="AW324" s="246">
        <f>IFERROR(VLOOKUP(G324,VOL_REC[],2,FALSE),0)</f>
        <v>90439.55</v>
      </c>
      <c r="AX324" s="246">
        <f>IFERROR(VLOOKUP(H324,VOL_REC[],2,FALSE),0)</f>
        <v>1812240</v>
      </c>
      <c r="AY324" s="246">
        <f>IFERROR(VLOOKUP(I324,VOL_REC[],2,FALSE),0)</f>
        <v>663244.80000000016</v>
      </c>
      <c r="AZ324" s="246">
        <f>IFERROR(VLOOKUP(J324,VOL_REC[],2,FALSE),0)</f>
        <v>105072</v>
      </c>
      <c r="BA324" s="246">
        <f>IFERROR(VLOOKUP(K324,VOL_REC[],2,FALSE),0)</f>
        <v>0</v>
      </c>
      <c r="BB324" s="246">
        <f>IFERROR(VLOOKUP(L324,VOL_REC[],2,FALSE),0)</f>
        <v>0</v>
      </c>
      <c r="BC324" s="246">
        <f>IFERROR(VLOOKUP(M324,VOL_REC[],2,FALSE),0)</f>
        <v>0</v>
      </c>
      <c r="BD324" s="246">
        <f>IFERROR(VLOOKUP(N324,VOL_REC[],2,FALSE),0)</f>
        <v>0</v>
      </c>
      <c r="BE324" s="246">
        <f>IFERROR(VLOOKUP(O324,VOL_REC[],2,FALSE),0)</f>
        <v>0</v>
      </c>
      <c r="BF324" s="246">
        <f>IFERROR(VLOOKUP(P324,VOL_REC[],2,FALSE),0)</f>
        <v>0</v>
      </c>
      <c r="BG324" s="246">
        <f>IFERROR(VLOOKUP(Q324,VOL_REC[],2,FALSE),0)</f>
        <v>0</v>
      </c>
      <c r="BH324" s="1710">
        <f t="shared" si="20"/>
        <v>12401577524.846088</v>
      </c>
      <c r="BI324" s="1710">
        <f t="shared" si="21"/>
        <v>14821748561.899477</v>
      </c>
      <c r="BJ324" s="1711">
        <f t="shared" si="22"/>
        <v>13760670.550000003</v>
      </c>
      <c r="BK324" s="1711">
        <f t="shared" si="23"/>
        <v>0.83671487699672376</v>
      </c>
    </row>
    <row r="325" spans="3:67" x14ac:dyDescent="0.25">
      <c r="C325" s="246" t="s">
        <v>1675</v>
      </c>
      <c r="D325" s="246">
        <v>1</v>
      </c>
      <c r="E325" s="246">
        <v>2</v>
      </c>
      <c r="F325" s="246">
        <v>3</v>
      </c>
      <c r="G325" s="246">
        <v>4</v>
      </c>
      <c r="H325" s="246">
        <v>10</v>
      </c>
      <c r="I325" s="246">
        <v>13</v>
      </c>
      <c r="J325" s="246">
        <v>16</v>
      </c>
      <c r="K325" s="246"/>
      <c r="L325" s="246"/>
      <c r="M325" s="246"/>
      <c r="N325" s="246"/>
      <c r="O325" s="246"/>
      <c r="P325" s="246"/>
      <c r="Q325" s="246"/>
      <c r="R325" s="246">
        <f>IFERROR(VLOOKUP(D325,PROGRAMAS[],2,FALSE),0)</f>
        <v>97037803.679377079</v>
      </c>
      <c r="S325" s="246">
        <f>IFERROR(VLOOKUP(E325,PROGRAMAS[],2,FALSE),0)</f>
        <v>640501509.6821388</v>
      </c>
      <c r="T325" s="246">
        <f>IFERROR(VLOOKUP(F325,PROGRAMAS[],2,FALSE),0)</f>
        <v>3062327798.1525245</v>
      </c>
      <c r="U325" s="246">
        <f>IFERROR(VLOOKUP(G325,PROGRAMAS[],2,FALSE),0)</f>
        <v>67697118.033011258</v>
      </c>
      <c r="V325" s="246">
        <f>IFERROR(VLOOKUP(H325,PROGRAMAS[],2,FALSE),0)</f>
        <v>4635315027.8751087</v>
      </c>
      <c r="W325" s="246">
        <f>IFERROR(VLOOKUP(I325,PROGRAMAS[],2,FALSE),0)</f>
        <v>3776538594.4604583</v>
      </c>
      <c r="X325" s="246">
        <f>IFERROR(VLOOKUP(J325,PROGRAMAS[],2,FALSE),0)</f>
        <v>7068496961.0436354</v>
      </c>
      <c r="Y325" s="246">
        <f>IFERROR(VLOOKUP(K325,PROGRAMAS[],2,FALSE),0)</f>
        <v>0</v>
      </c>
      <c r="Z325" s="246">
        <f>IFERROR(VLOOKUP(L325,PROGRAMAS[],2,FALSE),0)</f>
        <v>0</v>
      </c>
      <c r="AA325" s="246">
        <f>IFERROR(VLOOKUP(M325,PROGRAMAS[],2,FALSE),0)</f>
        <v>0</v>
      </c>
      <c r="AB325" s="246">
        <f>IFERROR(VLOOKUP(N325,PROGRAMAS[],2,FALSE),0)</f>
        <v>0</v>
      </c>
      <c r="AC325" s="246">
        <f>IFERROR(VLOOKUP(O325,PROGRAMAS[],2,FALSE),0)</f>
        <v>0</v>
      </c>
      <c r="AD325" s="246">
        <f>IFERROR(VLOOKUP(P325,PROGRAMAS[],2,FALSE),0)</f>
        <v>0</v>
      </c>
      <c r="AE325" s="246">
        <f>IFERROR(VLOOKUP(Q325,PROGRAMAS[],2,FALSE),0)</f>
        <v>0</v>
      </c>
      <c r="AF325" s="246">
        <f>IFERROR(VLOOKUP(D325,PROGRAMAS[],3,FALSE),0)</f>
        <v>841888629.31080008</v>
      </c>
      <c r="AG325" s="246">
        <f>IFERROR(VLOOKUP(E325,PROGRAMAS[],3,FALSE),0)</f>
        <v>3848980803.1642323</v>
      </c>
      <c r="AH325" s="246">
        <f>IFERROR(VLOOKUP(F325,PROGRAMAS[],3,FALSE),0)</f>
        <v>3394901471.387517</v>
      </c>
      <c r="AI325" s="246">
        <f>IFERROR(VLOOKUP(G325,PROGRAMAS[],3,FALSE),0)</f>
        <v>125317226.95549992</v>
      </c>
      <c r="AJ325" s="246">
        <f>IFERROR(VLOOKUP(H325,PROGRAMAS[],3,FALSE),0)</f>
        <v>4099471734.9978786</v>
      </c>
      <c r="AK325" s="246">
        <f>IFERROR(VLOOKUP(I325,PROGRAMAS[],3,FALSE),0)</f>
        <v>2392571243.5584412</v>
      </c>
      <c r="AL325" s="246">
        <f>IFERROR(VLOOKUP(J325,PROGRAMAS[],3,FALSE),0)</f>
        <v>2406564599.0319901</v>
      </c>
      <c r="AM325" s="246">
        <f>IFERROR(VLOOKUP(K325,PROGRAMAS[],3,FALSE),0)</f>
        <v>0</v>
      </c>
      <c r="AN325" s="246">
        <f>IFERROR(VLOOKUP(L325,PROGRAMAS[],3,FALSE),0)</f>
        <v>0</v>
      </c>
      <c r="AO325" s="246">
        <f>IFERROR(VLOOKUP(M325,PROGRAMAS[],3,FALSE),0)</f>
        <v>0</v>
      </c>
      <c r="AP325" s="246">
        <f>IFERROR(VLOOKUP(N325,PROGRAMAS[],3,FALSE),0)</f>
        <v>0</v>
      </c>
      <c r="AQ325" s="246">
        <f>IFERROR(VLOOKUP(O325,PROGRAMAS[],3,FALSE),0)</f>
        <v>0</v>
      </c>
      <c r="AR325" s="246">
        <f>IFERROR(VLOOKUP(P325,PROGRAMAS[],3,FALSE),0)</f>
        <v>0</v>
      </c>
      <c r="AS325" s="246">
        <f>IFERROR(VLOOKUP(Q325,PROGRAMAS[],3,FALSE),0)</f>
        <v>0</v>
      </c>
      <c r="AT325" s="246">
        <f>IFERROR(VLOOKUP(D325,VOL_REC[],2,FALSE),0)</f>
        <v>0</v>
      </c>
      <c r="AU325" s="246">
        <f>IFERROR(VLOOKUP(E325,VOL_REC[],2,FALSE),0)</f>
        <v>0</v>
      </c>
      <c r="AV325" s="246">
        <f>IFERROR(VLOOKUP(F325,VOL_REC[],2,FALSE),0)</f>
        <v>11089674.200000001</v>
      </c>
      <c r="AW325" s="246">
        <f>IFERROR(VLOOKUP(G325,VOL_REC[],2,FALSE),0)</f>
        <v>90439.55</v>
      </c>
      <c r="AX325" s="246">
        <f>IFERROR(VLOOKUP(H325,VOL_REC[],2,FALSE),0)</f>
        <v>1812240</v>
      </c>
      <c r="AY325" s="246">
        <f>IFERROR(VLOOKUP(I325,VOL_REC[],2,FALSE),0)</f>
        <v>663244.80000000016</v>
      </c>
      <c r="AZ325" s="246">
        <f>IFERROR(VLOOKUP(J325,VOL_REC[],2,FALSE),0)</f>
        <v>1072354.9981737854</v>
      </c>
      <c r="BA325" s="246">
        <f>IFERROR(VLOOKUP(K325,VOL_REC[],2,FALSE),0)</f>
        <v>0</v>
      </c>
      <c r="BB325" s="246">
        <f>IFERROR(VLOOKUP(L325,VOL_REC[],2,FALSE),0)</f>
        <v>0</v>
      </c>
      <c r="BC325" s="246">
        <f>IFERROR(VLOOKUP(M325,VOL_REC[],2,FALSE),0)</f>
        <v>0</v>
      </c>
      <c r="BD325" s="246">
        <f>IFERROR(VLOOKUP(N325,VOL_REC[],2,FALSE),0)</f>
        <v>0</v>
      </c>
      <c r="BE325" s="246">
        <f>IFERROR(VLOOKUP(O325,VOL_REC[],2,FALSE),0)</f>
        <v>0</v>
      </c>
      <c r="BF325" s="246">
        <f>IFERROR(VLOOKUP(P325,VOL_REC[],2,FALSE),0)</f>
        <v>0</v>
      </c>
      <c r="BG325" s="246">
        <f>IFERROR(VLOOKUP(Q325,VOL_REC[],2,FALSE),0)</f>
        <v>0</v>
      </c>
      <c r="BH325" s="1710">
        <f t="shared" si="20"/>
        <v>19347914812.926254</v>
      </c>
      <c r="BI325" s="1710">
        <f t="shared" si="21"/>
        <v>17109695708.406359</v>
      </c>
      <c r="BJ325" s="1711">
        <f t="shared" si="22"/>
        <v>14727953.548173789</v>
      </c>
      <c r="BK325" s="1711">
        <f t="shared" si="23"/>
        <v>1.1308158334703877</v>
      </c>
      <c r="BL325">
        <f>BJ325</f>
        <v>14727953.548173789</v>
      </c>
      <c r="BO325">
        <f>BL325</f>
        <v>14727953.548173789</v>
      </c>
    </row>
    <row r="326" spans="3:67" x14ac:dyDescent="0.25">
      <c r="C326" s="246" t="s">
        <v>1676</v>
      </c>
      <c r="D326" s="246">
        <v>1</v>
      </c>
      <c r="E326" s="246">
        <v>2</v>
      </c>
      <c r="F326" s="246">
        <v>3</v>
      </c>
      <c r="G326" s="246">
        <v>4</v>
      </c>
      <c r="H326" s="246">
        <v>10</v>
      </c>
      <c r="I326" s="246">
        <v>13</v>
      </c>
      <c r="J326" s="246">
        <v>17</v>
      </c>
      <c r="K326" s="246"/>
      <c r="L326" s="246"/>
      <c r="M326" s="246"/>
      <c r="N326" s="246"/>
      <c r="O326" s="246"/>
      <c r="P326" s="246"/>
      <c r="Q326" s="246"/>
      <c r="R326" s="246">
        <f>IFERROR(VLOOKUP(D326,PROGRAMAS[],2,FALSE),0)</f>
        <v>97037803.679377079</v>
      </c>
      <c r="S326" s="246">
        <f>IFERROR(VLOOKUP(E326,PROGRAMAS[],2,FALSE),0)</f>
        <v>640501509.6821388</v>
      </c>
      <c r="T326" s="246">
        <f>IFERROR(VLOOKUP(F326,PROGRAMAS[],2,FALSE),0)</f>
        <v>3062327798.1525245</v>
      </c>
      <c r="U326" s="246">
        <f>IFERROR(VLOOKUP(G326,PROGRAMAS[],2,FALSE),0)</f>
        <v>67697118.033011258</v>
      </c>
      <c r="V326" s="246">
        <f>IFERROR(VLOOKUP(H326,PROGRAMAS[],2,FALSE),0)</f>
        <v>4635315027.8751087</v>
      </c>
      <c r="W326" s="246">
        <f>IFERROR(VLOOKUP(I326,PROGRAMAS[],2,FALSE),0)</f>
        <v>3776538594.4604583</v>
      </c>
      <c r="X326" s="246">
        <f>IFERROR(VLOOKUP(J326,PROGRAMAS[],2,FALSE),0)</f>
        <v>1892779498.5211046</v>
      </c>
      <c r="Y326" s="246">
        <f>IFERROR(VLOOKUP(K326,PROGRAMAS[],2,FALSE),0)</f>
        <v>0</v>
      </c>
      <c r="Z326" s="246">
        <f>IFERROR(VLOOKUP(L326,PROGRAMAS[],2,FALSE),0)</f>
        <v>0</v>
      </c>
      <c r="AA326" s="246">
        <f>IFERROR(VLOOKUP(M326,PROGRAMAS[],2,FALSE),0)</f>
        <v>0</v>
      </c>
      <c r="AB326" s="246">
        <f>IFERROR(VLOOKUP(N326,PROGRAMAS[],2,FALSE),0)</f>
        <v>0</v>
      </c>
      <c r="AC326" s="246">
        <f>IFERROR(VLOOKUP(O326,PROGRAMAS[],2,FALSE),0)</f>
        <v>0</v>
      </c>
      <c r="AD326" s="246">
        <f>IFERROR(VLOOKUP(P326,PROGRAMAS[],2,FALSE),0)</f>
        <v>0</v>
      </c>
      <c r="AE326" s="246">
        <f>IFERROR(VLOOKUP(Q326,PROGRAMAS[],2,FALSE),0)</f>
        <v>0</v>
      </c>
      <c r="AF326" s="246">
        <f>IFERROR(VLOOKUP(D326,PROGRAMAS[],3,FALSE),0)</f>
        <v>841888629.31080008</v>
      </c>
      <c r="AG326" s="246">
        <f>IFERROR(VLOOKUP(E326,PROGRAMAS[],3,FALSE),0)</f>
        <v>3848980803.1642323</v>
      </c>
      <c r="AH326" s="246">
        <f>IFERROR(VLOOKUP(F326,PROGRAMAS[],3,FALSE),0)</f>
        <v>3394901471.387517</v>
      </c>
      <c r="AI326" s="246">
        <f>IFERROR(VLOOKUP(G326,PROGRAMAS[],3,FALSE),0)</f>
        <v>125317226.95549992</v>
      </c>
      <c r="AJ326" s="246">
        <f>IFERROR(VLOOKUP(H326,PROGRAMAS[],3,FALSE),0)</f>
        <v>4099471734.9978786</v>
      </c>
      <c r="AK326" s="246">
        <f>IFERROR(VLOOKUP(I326,PROGRAMAS[],3,FALSE),0)</f>
        <v>2392571243.5584412</v>
      </c>
      <c r="AL326" s="246">
        <f>IFERROR(VLOOKUP(J326,PROGRAMAS[],3,FALSE),0)</f>
        <v>948595847.09039903</v>
      </c>
      <c r="AM326" s="246">
        <f>IFERROR(VLOOKUP(K326,PROGRAMAS[],3,FALSE),0)</f>
        <v>0</v>
      </c>
      <c r="AN326" s="246">
        <f>IFERROR(VLOOKUP(L326,PROGRAMAS[],3,FALSE),0)</f>
        <v>0</v>
      </c>
      <c r="AO326" s="246">
        <f>IFERROR(VLOOKUP(M326,PROGRAMAS[],3,FALSE),0)</f>
        <v>0</v>
      </c>
      <c r="AP326" s="246">
        <f>IFERROR(VLOOKUP(N326,PROGRAMAS[],3,FALSE),0)</f>
        <v>0</v>
      </c>
      <c r="AQ326" s="246">
        <f>IFERROR(VLOOKUP(O326,PROGRAMAS[],3,FALSE),0)</f>
        <v>0</v>
      </c>
      <c r="AR326" s="246">
        <f>IFERROR(VLOOKUP(P326,PROGRAMAS[],3,FALSE),0)</f>
        <v>0</v>
      </c>
      <c r="AS326" s="246">
        <f>IFERROR(VLOOKUP(Q326,PROGRAMAS[],3,FALSE),0)</f>
        <v>0</v>
      </c>
      <c r="AT326" s="246">
        <f>IFERROR(VLOOKUP(D326,VOL_REC[],2,FALSE),0)</f>
        <v>0</v>
      </c>
      <c r="AU326" s="246">
        <f>IFERROR(VLOOKUP(E326,VOL_REC[],2,FALSE),0)</f>
        <v>0</v>
      </c>
      <c r="AV326" s="246">
        <f>IFERROR(VLOOKUP(F326,VOL_REC[],2,FALSE),0)</f>
        <v>11089674.200000001</v>
      </c>
      <c r="AW326" s="246">
        <f>IFERROR(VLOOKUP(G326,VOL_REC[],2,FALSE),0)</f>
        <v>90439.55</v>
      </c>
      <c r="AX326" s="246">
        <f>IFERROR(VLOOKUP(H326,VOL_REC[],2,FALSE),0)</f>
        <v>1812240</v>
      </c>
      <c r="AY326" s="246">
        <f>IFERROR(VLOOKUP(I326,VOL_REC[],2,FALSE),0)</f>
        <v>663244.80000000016</v>
      </c>
      <c r="AZ326" s="246">
        <f>IFERROR(VLOOKUP(J326,VOL_REC[],2,FALSE),0)</f>
        <v>740113.98115702497</v>
      </c>
      <c r="BA326" s="246">
        <f>IFERROR(VLOOKUP(K326,VOL_REC[],2,FALSE),0)</f>
        <v>0</v>
      </c>
      <c r="BB326" s="246">
        <f>IFERROR(VLOOKUP(L326,VOL_REC[],2,FALSE),0)</f>
        <v>0</v>
      </c>
      <c r="BC326" s="246">
        <f>IFERROR(VLOOKUP(M326,VOL_REC[],2,FALSE),0)</f>
        <v>0</v>
      </c>
      <c r="BD326" s="246">
        <f>IFERROR(VLOOKUP(N326,VOL_REC[],2,FALSE),0)</f>
        <v>0</v>
      </c>
      <c r="BE326" s="246">
        <f>IFERROR(VLOOKUP(O326,VOL_REC[],2,FALSE),0)</f>
        <v>0</v>
      </c>
      <c r="BF326" s="246">
        <f>IFERROR(VLOOKUP(P326,VOL_REC[],2,FALSE),0)</f>
        <v>0</v>
      </c>
      <c r="BG326" s="246">
        <f>IFERROR(VLOOKUP(Q326,VOL_REC[],2,FALSE),0)</f>
        <v>0</v>
      </c>
      <c r="BH326" s="1710">
        <f t="shared" si="20"/>
        <v>14172197350.403725</v>
      </c>
      <c r="BI326" s="1710">
        <f t="shared" si="21"/>
        <v>15651726956.464767</v>
      </c>
      <c r="BJ326" s="1711">
        <f t="shared" si="22"/>
        <v>14395712.531157028</v>
      </c>
      <c r="BK326" s="1711">
        <f t="shared" si="23"/>
        <v>0.9054717980848791</v>
      </c>
    </row>
    <row r="327" spans="3:67" x14ac:dyDescent="0.25">
      <c r="C327" s="246" t="s">
        <v>1677</v>
      </c>
      <c r="D327" s="246">
        <v>1</v>
      </c>
      <c r="E327" s="246">
        <v>2</v>
      </c>
      <c r="F327" s="246">
        <v>3</v>
      </c>
      <c r="G327" s="246">
        <v>4</v>
      </c>
      <c r="H327" s="246">
        <v>10</v>
      </c>
      <c r="I327" s="246">
        <v>14</v>
      </c>
      <c r="J327" s="246">
        <v>15</v>
      </c>
      <c r="K327" s="246"/>
      <c r="L327" s="246"/>
      <c r="M327" s="246"/>
      <c r="N327" s="246"/>
      <c r="O327" s="246"/>
      <c r="P327" s="246"/>
      <c r="Q327" s="246"/>
      <c r="R327" s="246">
        <f>IFERROR(VLOOKUP(D327,PROGRAMAS[],2,FALSE),0)</f>
        <v>97037803.679377079</v>
      </c>
      <c r="S327" s="246">
        <f>IFERROR(VLOOKUP(E327,PROGRAMAS[],2,FALSE),0)</f>
        <v>640501509.6821388</v>
      </c>
      <c r="T327" s="246">
        <f>IFERROR(VLOOKUP(F327,PROGRAMAS[],2,FALSE),0)</f>
        <v>3062327798.1525245</v>
      </c>
      <c r="U327" s="246">
        <f>IFERROR(VLOOKUP(G327,PROGRAMAS[],2,FALSE),0)</f>
        <v>67697118.033011258</v>
      </c>
      <c r="V327" s="246">
        <f>IFERROR(VLOOKUP(H327,PROGRAMAS[],2,FALSE),0)</f>
        <v>4635315027.8751087</v>
      </c>
      <c r="W327" s="246">
        <f>IFERROR(VLOOKUP(I327,PROGRAMAS[],2,FALSE),0)</f>
        <v>54223862.645839565</v>
      </c>
      <c r="X327" s="246">
        <f>IFERROR(VLOOKUP(J327,PROGRAMAS[],2,FALSE),0)</f>
        <v>122159672.96346797</v>
      </c>
      <c r="Y327" s="246">
        <f>IFERROR(VLOOKUP(K327,PROGRAMAS[],2,FALSE),0)</f>
        <v>0</v>
      </c>
      <c r="Z327" s="246">
        <f>IFERROR(VLOOKUP(L327,PROGRAMAS[],2,FALSE),0)</f>
        <v>0</v>
      </c>
      <c r="AA327" s="246">
        <f>IFERROR(VLOOKUP(M327,PROGRAMAS[],2,FALSE),0)</f>
        <v>0</v>
      </c>
      <c r="AB327" s="246">
        <f>IFERROR(VLOOKUP(N327,PROGRAMAS[],2,FALSE),0)</f>
        <v>0</v>
      </c>
      <c r="AC327" s="246">
        <f>IFERROR(VLOOKUP(O327,PROGRAMAS[],2,FALSE),0)</f>
        <v>0</v>
      </c>
      <c r="AD327" s="246">
        <f>IFERROR(VLOOKUP(P327,PROGRAMAS[],2,FALSE),0)</f>
        <v>0</v>
      </c>
      <c r="AE327" s="246">
        <f>IFERROR(VLOOKUP(Q327,PROGRAMAS[],2,FALSE),0)</f>
        <v>0</v>
      </c>
      <c r="AF327" s="246">
        <f>IFERROR(VLOOKUP(D327,PROGRAMAS[],3,FALSE),0)</f>
        <v>841888629.31080008</v>
      </c>
      <c r="AG327" s="246">
        <f>IFERROR(VLOOKUP(E327,PROGRAMAS[],3,FALSE),0)</f>
        <v>3848980803.1642323</v>
      </c>
      <c r="AH327" s="246">
        <f>IFERROR(VLOOKUP(F327,PROGRAMAS[],3,FALSE),0)</f>
        <v>3394901471.387517</v>
      </c>
      <c r="AI327" s="246">
        <f>IFERROR(VLOOKUP(G327,PROGRAMAS[],3,FALSE),0)</f>
        <v>125317226.95549992</v>
      </c>
      <c r="AJ327" s="246">
        <f>IFERROR(VLOOKUP(H327,PROGRAMAS[],3,FALSE),0)</f>
        <v>4099471734.9978786</v>
      </c>
      <c r="AK327" s="246">
        <f>IFERROR(VLOOKUP(I327,PROGRAMAS[],3,FALSE),0)</f>
        <v>31865326.38096505</v>
      </c>
      <c r="AL327" s="246">
        <f>IFERROR(VLOOKUP(J327,PROGRAMAS[],3,FALSE),0)</f>
        <v>118617452.52510804</v>
      </c>
      <c r="AM327" s="246">
        <f>IFERROR(VLOOKUP(K327,PROGRAMAS[],3,FALSE),0)</f>
        <v>0</v>
      </c>
      <c r="AN327" s="246">
        <f>IFERROR(VLOOKUP(L327,PROGRAMAS[],3,FALSE),0)</f>
        <v>0</v>
      </c>
      <c r="AO327" s="246">
        <f>IFERROR(VLOOKUP(M327,PROGRAMAS[],3,FALSE),0)</f>
        <v>0</v>
      </c>
      <c r="AP327" s="246">
        <f>IFERROR(VLOOKUP(N327,PROGRAMAS[],3,FALSE),0)</f>
        <v>0</v>
      </c>
      <c r="AQ327" s="246">
        <f>IFERROR(VLOOKUP(O327,PROGRAMAS[],3,FALSE),0)</f>
        <v>0</v>
      </c>
      <c r="AR327" s="246">
        <f>IFERROR(VLOOKUP(P327,PROGRAMAS[],3,FALSE),0)</f>
        <v>0</v>
      </c>
      <c r="AS327" s="246">
        <f>IFERROR(VLOOKUP(Q327,PROGRAMAS[],3,FALSE),0)</f>
        <v>0</v>
      </c>
      <c r="AT327" s="246">
        <f>IFERROR(VLOOKUP(D327,VOL_REC[],2,FALSE),0)</f>
        <v>0</v>
      </c>
      <c r="AU327" s="246">
        <f>IFERROR(VLOOKUP(E327,VOL_REC[],2,FALSE),0)</f>
        <v>0</v>
      </c>
      <c r="AV327" s="246">
        <f>IFERROR(VLOOKUP(F327,VOL_REC[],2,FALSE),0)</f>
        <v>11089674.200000001</v>
      </c>
      <c r="AW327" s="246">
        <f>IFERROR(VLOOKUP(G327,VOL_REC[],2,FALSE),0)</f>
        <v>90439.55</v>
      </c>
      <c r="AX327" s="246">
        <f>IFERROR(VLOOKUP(H327,VOL_REC[],2,FALSE),0)</f>
        <v>1812240</v>
      </c>
      <c r="AY327" s="246">
        <f>IFERROR(VLOOKUP(I327,VOL_REC[],2,FALSE),0)</f>
        <v>17074.045034105649</v>
      </c>
      <c r="AZ327" s="246">
        <f>IFERROR(VLOOKUP(J327,VOL_REC[],2,FALSE),0)</f>
        <v>105072</v>
      </c>
      <c r="BA327" s="246">
        <f>IFERROR(VLOOKUP(K327,VOL_REC[],2,FALSE),0)</f>
        <v>0</v>
      </c>
      <c r="BB327" s="246">
        <f>IFERROR(VLOOKUP(L327,VOL_REC[],2,FALSE),0)</f>
        <v>0</v>
      </c>
      <c r="BC327" s="246">
        <f>IFERROR(VLOOKUP(M327,VOL_REC[],2,FALSE),0)</f>
        <v>0</v>
      </c>
      <c r="BD327" s="246">
        <f>IFERROR(VLOOKUP(N327,VOL_REC[],2,FALSE),0)</f>
        <v>0</v>
      </c>
      <c r="BE327" s="246">
        <f>IFERROR(VLOOKUP(O327,VOL_REC[],2,FALSE),0)</f>
        <v>0</v>
      </c>
      <c r="BF327" s="246">
        <f>IFERROR(VLOOKUP(P327,VOL_REC[],2,FALSE),0)</f>
        <v>0</v>
      </c>
      <c r="BG327" s="246">
        <f>IFERROR(VLOOKUP(Q327,VOL_REC[],2,FALSE),0)</f>
        <v>0</v>
      </c>
      <c r="BH327" s="1710">
        <f t="shared" si="20"/>
        <v>8679262793.0314693</v>
      </c>
      <c r="BI327" s="1710">
        <f t="shared" si="21"/>
        <v>12461042644.722</v>
      </c>
      <c r="BJ327" s="1711">
        <f t="shared" si="22"/>
        <v>13114499.795034107</v>
      </c>
      <c r="BK327" s="1711">
        <f t="shared" si="23"/>
        <v>0.69651176394197301</v>
      </c>
    </row>
    <row r="328" spans="3:67" x14ac:dyDescent="0.25">
      <c r="C328" s="246" t="s">
        <v>1678</v>
      </c>
      <c r="D328" s="246">
        <v>1</v>
      </c>
      <c r="E328" s="246">
        <v>2</v>
      </c>
      <c r="F328" s="246">
        <v>3</v>
      </c>
      <c r="G328" s="246">
        <v>4</v>
      </c>
      <c r="H328" s="246">
        <v>10</v>
      </c>
      <c r="I328" s="246">
        <v>14</v>
      </c>
      <c r="J328" s="246">
        <v>16</v>
      </c>
      <c r="K328" s="246"/>
      <c r="L328" s="246"/>
      <c r="M328" s="246"/>
      <c r="N328" s="246"/>
      <c r="O328" s="246"/>
      <c r="P328" s="246"/>
      <c r="Q328" s="246"/>
      <c r="R328" s="246">
        <f>IFERROR(VLOOKUP(D328,PROGRAMAS[],2,FALSE),0)</f>
        <v>97037803.679377079</v>
      </c>
      <c r="S328" s="246">
        <f>IFERROR(VLOOKUP(E328,PROGRAMAS[],2,FALSE),0)</f>
        <v>640501509.6821388</v>
      </c>
      <c r="T328" s="246">
        <f>IFERROR(VLOOKUP(F328,PROGRAMAS[],2,FALSE),0)</f>
        <v>3062327798.1525245</v>
      </c>
      <c r="U328" s="246">
        <f>IFERROR(VLOOKUP(G328,PROGRAMAS[],2,FALSE),0)</f>
        <v>67697118.033011258</v>
      </c>
      <c r="V328" s="246">
        <f>IFERROR(VLOOKUP(H328,PROGRAMAS[],2,FALSE),0)</f>
        <v>4635315027.8751087</v>
      </c>
      <c r="W328" s="246">
        <f>IFERROR(VLOOKUP(I328,PROGRAMAS[],2,FALSE),0)</f>
        <v>54223862.645839565</v>
      </c>
      <c r="X328" s="246">
        <f>IFERROR(VLOOKUP(J328,PROGRAMAS[],2,FALSE),0)</f>
        <v>7068496961.0436354</v>
      </c>
      <c r="Y328" s="246">
        <f>IFERROR(VLOOKUP(K328,PROGRAMAS[],2,FALSE),0)</f>
        <v>0</v>
      </c>
      <c r="Z328" s="246">
        <f>IFERROR(VLOOKUP(L328,PROGRAMAS[],2,FALSE),0)</f>
        <v>0</v>
      </c>
      <c r="AA328" s="246">
        <f>IFERROR(VLOOKUP(M328,PROGRAMAS[],2,FALSE),0)</f>
        <v>0</v>
      </c>
      <c r="AB328" s="246">
        <f>IFERROR(VLOOKUP(N328,PROGRAMAS[],2,FALSE),0)</f>
        <v>0</v>
      </c>
      <c r="AC328" s="246">
        <f>IFERROR(VLOOKUP(O328,PROGRAMAS[],2,FALSE),0)</f>
        <v>0</v>
      </c>
      <c r="AD328" s="246">
        <f>IFERROR(VLOOKUP(P328,PROGRAMAS[],2,FALSE),0)</f>
        <v>0</v>
      </c>
      <c r="AE328" s="246">
        <f>IFERROR(VLOOKUP(Q328,PROGRAMAS[],2,FALSE),0)</f>
        <v>0</v>
      </c>
      <c r="AF328" s="246">
        <f>IFERROR(VLOOKUP(D328,PROGRAMAS[],3,FALSE),0)</f>
        <v>841888629.31080008</v>
      </c>
      <c r="AG328" s="246">
        <f>IFERROR(VLOOKUP(E328,PROGRAMAS[],3,FALSE),0)</f>
        <v>3848980803.1642323</v>
      </c>
      <c r="AH328" s="246">
        <f>IFERROR(VLOOKUP(F328,PROGRAMAS[],3,FALSE),0)</f>
        <v>3394901471.387517</v>
      </c>
      <c r="AI328" s="246">
        <f>IFERROR(VLOOKUP(G328,PROGRAMAS[],3,FALSE),0)</f>
        <v>125317226.95549992</v>
      </c>
      <c r="AJ328" s="246">
        <f>IFERROR(VLOOKUP(H328,PROGRAMAS[],3,FALSE),0)</f>
        <v>4099471734.9978786</v>
      </c>
      <c r="AK328" s="246">
        <f>IFERROR(VLOOKUP(I328,PROGRAMAS[],3,FALSE),0)</f>
        <v>31865326.38096505</v>
      </c>
      <c r="AL328" s="246">
        <f>IFERROR(VLOOKUP(J328,PROGRAMAS[],3,FALSE),0)</f>
        <v>2406564599.0319901</v>
      </c>
      <c r="AM328" s="246">
        <f>IFERROR(VLOOKUP(K328,PROGRAMAS[],3,FALSE),0)</f>
        <v>0</v>
      </c>
      <c r="AN328" s="246">
        <f>IFERROR(VLOOKUP(L328,PROGRAMAS[],3,FALSE),0)</f>
        <v>0</v>
      </c>
      <c r="AO328" s="246">
        <f>IFERROR(VLOOKUP(M328,PROGRAMAS[],3,FALSE),0)</f>
        <v>0</v>
      </c>
      <c r="AP328" s="246">
        <f>IFERROR(VLOOKUP(N328,PROGRAMAS[],3,FALSE),0)</f>
        <v>0</v>
      </c>
      <c r="AQ328" s="246">
        <f>IFERROR(VLOOKUP(O328,PROGRAMAS[],3,FALSE),0)</f>
        <v>0</v>
      </c>
      <c r="AR328" s="246">
        <f>IFERROR(VLOOKUP(P328,PROGRAMAS[],3,FALSE),0)</f>
        <v>0</v>
      </c>
      <c r="AS328" s="246">
        <f>IFERROR(VLOOKUP(Q328,PROGRAMAS[],3,FALSE),0)</f>
        <v>0</v>
      </c>
      <c r="AT328" s="246">
        <f>IFERROR(VLOOKUP(D328,VOL_REC[],2,FALSE),0)</f>
        <v>0</v>
      </c>
      <c r="AU328" s="246">
        <f>IFERROR(VLOOKUP(E328,VOL_REC[],2,FALSE),0)</f>
        <v>0</v>
      </c>
      <c r="AV328" s="246">
        <f>IFERROR(VLOOKUP(F328,VOL_REC[],2,FALSE),0)</f>
        <v>11089674.200000001</v>
      </c>
      <c r="AW328" s="246">
        <f>IFERROR(VLOOKUP(G328,VOL_REC[],2,FALSE),0)</f>
        <v>90439.55</v>
      </c>
      <c r="AX328" s="246">
        <f>IFERROR(VLOOKUP(H328,VOL_REC[],2,FALSE),0)</f>
        <v>1812240</v>
      </c>
      <c r="AY328" s="246">
        <f>IFERROR(VLOOKUP(I328,VOL_REC[],2,FALSE),0)</f>
        <v>17074.045034105649</v>
      </c>
      <c r="AZ328" s="246">
        <f>IFERROR(VLOOKUP(J328,VOL_REC[],2,FALSE),0)</f>
        <v>1072354.9981737854</v>
      </c>
      <c r="BA328" s="246">
        <f>IFERROR(VLOOKUP(K328,VOL_REC[],2,FALSE),0)</f>
        <v>0</v>
      </c>
      <c r="BB328" s="246">
        <f>IFERROR(VLOOKUP(L328,VOL_REC[],2,FALSE),0)</f>
        <v>0</v>
      </c>
      <c r="BC328" s="246">
        <f>IFERROR(VLOOKUP(M328,VOL_REC[],2,FALSE),0)</f>
        <v>0</v>
      </c>
      <c r="BD328" s="246">
        <f>IFERROR(VLOOKUP(N328,VOL_REC[],2,FALSE),0)</f>
        <v>0</v>
      </c>
      <c r="BE328" s="246">
        <f>IFERROR(VLOOKUP(O328,VOL_REC[],2,FALSE),0)</f>
        <v>0</v>
      </c>
      <c r="BF328" s="246">
        <f>IFERROR(VLOOKUP(P328,VOL_REC[],2,FALSE),0)</f>
        <v>0</v>
      </c>
      <c r="BG328" s="246">
        <f>IFERROR(VLOOKUP(Q328,VOL_REC[],2,FALSE),0)</f>
        <v>0</v>
      </c>
      <c r="BH328" s="1710">
        <f t="shared" si="20"/>
        <v>15625600081.111637</v>
      </c>
      <c r="BI328" s="1710">
        <f t="shared" si="21"/>
        <v>14748989791.228882</v>
      </c>
      <c r="BJ328" s="1711">
        <f t="shared" si="22"/>
        <v>14081782.793207891</v>
      </c>
      <c r="BK328" s="1711">
        <f t="shared" si="23"/>
        <v>1.0594352767403818</v>
      </c>
      <c r="BL328">
        <f>BJ328</f>
        <v>14081782.793207891</v>
      </c>
      <c r="BO328">
        <f>BL328</f>
        <v>14081782.793207891</v>
      </c>
    </row>
    <row r="329" spans="3:67" x14ac:dyDescent="0.25">
      <c r="C329" s="246" t="s">
        <v>1679</v>
      </c>
      <c r="D329" s="246">
        <v>1</v>
      </c>
      <c r="E329" s="246">
        <v>2</v>
      </c>
      <c r="F329" s="246">
        <v>3</v>
      </c>
      <c r="G329" s="246">
        <v>4</v>
      </c>
      <c r="H329" s="246">
        <v>10</v>
      </c>
      <c r="I329" s="246">
        <v>14</v>
      </c>
      <c r="J329" s="246">
        <v>17</v>
      </c>
      <c r="K329" s="246"/>
      <c r="L329" s="246"/>
      <c r="M329" s="246"/>
      <c r="N329" s="246"/>
      <c r="O329" s="246"/>
      <c r="P329" s="246"/>
      <c r="Q329" s="246"/>
      <c r="R329" s="246">
        <f>IFERROR(VLOOKUP(D329,PROGRAMAS[],2,FALSE),0)</f>
        <v>97037803.679377079</v>
      </c>
      <c r="S329" s="246">
        <f>IFERROR(VLOOKUP(E329,PROGRAMAS[],2,FALSE),0)</f>
        <v>640501509.6821388</v>
      </c>
      <c r="T329" s="246">
        <f>IFERROR(VLOOKUP(F329,PROGRAMAS[],2,FALSE),0)</f>
        <v>3062327798.1525245</v>
      </c>
      <c r="U329" s="246">
        <f>IFERROR(VLOOKUP(G329,PROGRAMAS[],2,FALSE),0)</f>
        <v>67697118.033011258</v>
      </c>
      <c r="V329" s="246">
        <f>IFERROR(VLOOKUP(H329,PROGRAMAS[],2,FALSE),0)</f>
        <v>4635315027.8751087</v>
      </c>
      <c r="W329" s="246">
        <f>IFERROR(VLOOKUP(I329,PROGRAMAS[],2,FALSE),0)</f>
        <v>54223862.645839565</v>
      </c>
      <c r="X329" s="246">
        <f>IFERROR(VLOOKUP(J329,PROGRAMAS[],2,FALSE),0)</f>
        <v>1892779498.5211046</v>
      </c>
      <c r="Y329" s="246">
        <f>IFERROR(VLOOKUP(K329,PROGRAMAS[],2,FALSE),0)</f>
        <v>0</v>
      </c>
      <c r="Z329" s="246">
        <f>IFERROR(VLOOKUP(L329,PROGRAMAS[],2,FALSE),0)</f>
        <v>0</v>
      </c>
      <c r="AA329" s="246">
        <f>IFERROR(VLOOKUP(M329,PROGRAMAS[],2,FALSE),0)</f>
        <v>0</v>
      </c>
      <c r="AB329" s="246">
        <f>IFERROR(VLOOKUP(N329,PROGRAMAS[],2,FALSE),0)</f>
        <v>0</v>
      </c>
      <c r="AC329" s="246">
        <f>IFERROR(VLOOKUP(O329,PROGRAMAS[],2,FALSE),0)</f>
        <v>0</v>
      </c>
      <c r="AD329" s="246">
        <f>IFERROR(VLOOKUP(P329,PROGRAMAS[],2,FALSE),0)</f>
        <v>0</v>
      </c>
      <c r="AE329" s="246">
        <f>IFERROR(VLOOKUP(Q329,PROGRAMAS[],2,FALSE),0)</f>
        <v>0</v>
      </c>
      <c r="AF329" s="246">
        <f>IFERROR(VLOOKUP(D329,PROGRAMAS[],3,FALSE),0)</f>
        <v>841888629.31080008</v>
      </c>
      <c r="AG329" s="246">
        <f>IFERROR(VLOOKUP(E329,PROGRAMAS[],3,FALSE),0)</f>
        <v>3848980803.1642323</v>
      </c>
      <c r="AH329" s="246">
        <f>IFERROR(VLOOKUP(F329,PROGRAMAS[],3,FALSE),0)</f>
        <v>3394901471.387517</v>
      </c>
      <c r="AI329" s="246">
        <f>IFERROR(VLOOKUP(G329,PROGRAMAS[],3,FALSE),0)</f>
        <v>125317226.95549992</v>
      </c>
      <c r="AJ329" s="246">
        <f>IFERROR(VLOOKUP(H329,PROGRAMAS[],3,FALSE),0)</f>
        <v>4099471734.9978786</v>
      </c>
      <c r="AK329" s="246">
        <f>IFERROR(VLOOKUP(I329,PROGRAMAS[],3,FALSE),0)</f>
        <v>31865326.38096505</v>
      </c>
      <c r="AL329" s="246">
        <f>IFERROR(VLOOKUP(J329,PROGRAMAS[],3,FALSE),0)</f>
        <v>948595847.09039903</v>
      </c>
      <c r="AM329" s="246">
        <f>IFERROR(VLOOKUP(K329,PROGRAMAS[],3,FALSE),0)</f>
        <v>0</v>
      </c>
      <c r="AN329" s="246">
        <f>IFERROR(VLOOKUP(L329,PROGRAMAS[],3,FALSE),0)</f>
        <v>0</v>
      </c>
      <c r="AO329" s="246">
        <f>IFERROR(VLOOKUP(M329,PROGRAMAS[],3,FALSE),0)</f>
        <v>0</v>
      </c>
      <c r="AP329" s="246">
        <f>IFERROR(VLOOKUP(N329,PROGRAMAS[],3,FALSE),0)</f>
        <v>0</v>
      </c>
      <c r="AQ329" s="246">
        <f>IFERROR(VLOOKUP(O329,PROGRAMAS[],3,FALSE),0)</f>
        <v>0</v>
      </c>
      <c r="AR329" s="246">
        <f>IFERROR(VLOOKUP(P329,PROGRAMAS[],3,FALSE),0)</f>
        <v>0</v>
      </c>
      <c r="AS329" s="246">
        <f>IFERROR(VLOOKUP(Q329,PROGRAMAS[],3,FALSE),0)</f>
        <v>0</v>
      </c>
      <c r="AT329" s="246">
        <f>IFERROR(VLOOKUP(D329,VOL_REC[],2,FALSE),0)</f>
        <v>0</v>
      </c>
      <c r="AU329" s="246">
        <f>IFERROR(VLOOKUP(E329,VOL_REC[],2,FALSE),0)</f>
        <v>0</v>
      </c>
      <c r="AV329" s="246">
        <f>IFERROR(VLOOKUP(F329,VOL_REC[],2,FALSE),0)</f>
        <v>11089674.200000001</v>
      </c>
      <c r="AW329" s="246">
        <f>IFERROR(VLOOKUP(G329,VOL_REC[],2,FALSE),0)</f>
        <v>90439.55</v>
      </c>
      <c r="AX329" s="246">
        <f>IFERROR(VLOOKUP(H329,VOL_REC[],2,FALSE),0)</f>
        <v>1812240</v>
      </c>
      <c r="AY329" s="246">
        <f>IFERROR(VLOOKUP(I329,VOL_REC[],2,FALSE),0)</f>
        <v>17074.045034105649</v>
      </c>
      <c r="AZ329" s="246">
        <f>IFERROR(VLOOKUP(J329,VOL_REC[],2,FALSE),0)</f>
        <v>740113.98115702497</v>
      </c>
      <c r="BA329" s="246">
        <f>IFERROR(VLOOKUP(K329,VOL_REC[],2,FALSE),0)</f>
        <v>0</v>
      </c>
      <c r="BB329" s="246">
        <f>IFERROR(VLOOKUP(L329,VOL_REC[],2,FALSE),0)</f>
        <v>0</v>
      </c>
      <c r="BC329" s="246">
        <f>IFERROR(VLOOKUP(M329,VOL_REC[],2,FALSE),0)</f>
        <v>0</v>
      </c>
      <c r="BD329" s="246">
        <f>IFERROR(VLOOKUP(N329,VOL_REC[],2,FALSE),0)</f>
        <v>0</v>
      </c>
      <c r="BE329" s="246">
        <f>IFERROR(VLOOKUP(O329,VOL_REC[],2,FALSE),0)</f>
        <v>0</v>
      </c>
      <c r="BF329" s="246">
        <f>IFERROR(VLOOKUP(P329,VOL_REC[],2,FALSE),0)</f>
        <v>0</v>
      </c>
      <c r="BG329" s="246">
        <f>IFERROR(VLOOKUP(Q329,VOL_REC[],2,FALSE),0)</f>
        <v>0</v>
      </c>
      <c r="BH329" s="1710">
        <f t="shared" si="20"/>
        <v>10449882618.589106</v>
      </c>
      <c r="BI329" s="1710">
        <f t="shared" si="21"/>
        <v>13291021039.287291</v>
      </c>
      <c r="BJ329" s="1711">
        <f t="shared" si="22"/>
        <v>13749541.776191132</v>
      </c>
      <c r="BK329" s="1711">
        <f t="shared" si="23"/>
        <v>0.78623625586777823</v>
      </c>
    </row>
    <row r="330" spans="3:67" x14ac:dyDescent="0.25">
      <c r="C330" s="246" t="s">
        <v>1680</v>
      </c>
      <c r="D330" s="246">
        <v>1</v>
      </c>
      <c r="E330" s="246">
        <v>2</v>
      </c>
      <c r="F330" s="246">
        <v>3</v>
      </c>
      <c r="G330" s="246">
        <v>4</v>
      </c>
      <c r="H330" s="246">
        <v>10</v>
      </c>
      <c r="I330" s="246">
        <v>15</v>
      </c>
      <c r="J330" s="246">
        <v>16</v>
      </c>
      <c r="K330" s="246"/>
      <c r="L330" s="246"/>
      <c r="M330" s="246"/>
      <c r="N330" s="246"/>
      <c r="O330" s="246"/>
      <c r="P330" s="246"/>
      <c r="Q330" s="246"/>
      <c r="R330" s="246">
        <f>IFERROR(VLOOKUP(D330,PROGRAMAS[],2,FALSE),0)</f>
        <v>97037803.679377079</v>
      </c>
      <c r="S330" s="246">
        <f>IFERROR(VLOOKUP(E330,PROGRAMAS[],2,FALSE),0)</f>
        <v>640501509.6821388</v>
      </c>
      <c r="T330" s="246">
        <f>IFERROR(VLOOKUP(F330,PROGRAMAS[],2,FALSE),0)</f>
        <v>3062327798.1525245</v>
      </c>
      <c r="U330" s="246">
        <f>IFERROR(VLOOKUP(G330,PROGRAMAS[],2,FALSE),0)</f>
        <v>67697118.033011258</v>
      </c>
      <c r="V330" s="246">
        <f>IFERROR(VLOOKUP(H330,PROGRAMAS[],2,FALSE),0)</f>
        <v>4635315027.8751087</v>
      </c>
      <c r="W330" s="246">
        <f>IFERROR(VLOOKUP(I330,PROGRAMAS[],2,FALSE),0)</f>
        <v>122159672.96346797</v>
      </c>
      <c r="X330" s="246">
        <f>IFERROR(VLOOKUP(J330,PROGRAMAS[],2,FALSE),0)</f>
        <v>7068496961.0436354</v>
      </c>
      <c r="Y330" s="246">
        <f>IFERROR(VLOOKUP(K330,PROGRAMAS[],2,FALSE),0)</f>
        <v>0</v>
      </c>
      <c r="Z330" s="246">
        <f>IFERROR(VLOOKUP(L330,PROGRAMAS[],2,FALSE),0)</f>
        <v>0</v>
      </c>
      <c r="AA330" s="246">
        <f>IFERROR(VLOOKUP(M330,PROGRAMAS[],2,FALSE),0)</f>
        <v>0</v>
      </c>
      <c r="AB330" s="246">
        <f>IFERROR(VLOOKUP(N330,PROGRAMAS[],2,FALSE),0)</f>
        <v>0</v>
      </c>
      <c r="AC330" s="246">
        <f>IFERROR(VLOOKUP(O330,PROGRAMAS[],2,FALSE),0)</f>
        <v>0</v>
      </c>
      <c r="AD330" s="246">
        <f>IFERROR(VLOOKUP(P330,PROGRAMAS[],2,FALSE),0)</f>
        <v>0</v>
      </c>
      <c r="AE330" s="246">
        <f>IFERROR(VLOOKUP(Q330,PROGRAMAS[],2,FALSE),0)</f>
        <v>0</v>
      </c>
      <c r="AF330" s="246">
        <f>IFERROR(VLOOKUP(D330,PROGRAMAS[],3,FALSE),0)</f>
        <v>841888629.31080008</v>
      </c>
      <c r="AG330" s="246">
        <f>IFERROR(VLOOKUP(E330,PROGRAMAS[],3,FALSE),0)</f>
        <v>3848980803.1642323</v>
      </c>
      <c r="AH330" s="246">
        <f>IFERROR(VLOOKUP(F330,PROGRAMAS[],3,FALSE),0)</f>
        <v>3394901471.387517</v>
      </c>
      <c r="AI330" s="246">
        <f>IFERROR(VLOOKUP(G330,PROGRAMAS[],3,FALSE),0)</f>
        <v>125317226.95549992</v>
      </c>
      <c r="AJ330" s="246">
        <f>IFERROR(VLOOKUP(H330,PROGRAMAS[],3,FALSE),0)</f>
        <v>4099471734.9978786</v>
      </c>
      <c r="AK330" s="246">
        <f>IFERROR(VLOOKUP(I330,PROGRAMAS[],3,FALSE),0)</f>
        <v>118617452.52510804</v>
      </c>
      <c r="AL330" s="246">
        <f>IFERROR(VLOOKUP(J330,PROGRAMAS[],3,FALSE),0)</f>
        <v>2406564599.0319901</v>
      </c>
      <c r="AM330" s="246">
        <f>IFERROR(VLOOKUP(K330,PROGRAMAS[],3,FALSE),0)</f>
        <v>0</v>
      </c>
      <c r="AN330" s="246">
        <f>IFERROR(VLOOKUP(L330,PROGRAMAS[],3,FALSE),0)</f>
        <v>0</v>
      </c>
      <c r="AO330" s="246">
        <f>IFERROR(VLOOKUP(M330,PROGRAMAS[],3,FALSE),0)</f>
        <v>0</v>
      </c>
      <c r="AP330" s="246">
        <f>IFERROR(VLOOKUP(N330,PROGRAMAS[],3,FALSE),0)</f>
        <v>0</v>
      </c>
      <c r="AQ330" s="246">
        <f>IFERROR(VLOOKUP(O330,PROGRAMAS[],3,FALSE),0)</f>
        <v>0</v>
      </c>
      <c r="AR330" s="246">
        <f>IFERROR(VLOOKUP(P330,PROGRAMAS[],3,FALSE),0)</f>
        <v>0</v>
      </c>
      <c r="AS330" s="246">
        <f>IFERROR(VLOOKUP(Q330,PROGRAMAS[],3,FALSE),0)</f>
        <v>0</v>
      </c>
      <c r="AT330" s="246">
        <f>IFERROR(VLOOKUP(D330,VOL_REC[],2,FALSE),0)</f>
        <v>0</v>
      </c>
      <c r="AU330" s="246">
        <f>IFERROR(VLOOKUP(E330,VOL_REC[],2,FALSE),0)</f>
        <v>0</v>
      </c>
      <c r="AV330" s="246">
        <f>IFERROR(VLOOKUP(F330,VOL_REC[],2,FALSE),0)</f>
        <v>11089674.200000001</v>
      </c>
      <c r="AW330" s="246">
        <f>IFERROR(VLOOKUP(G330,VOL_REC[],2,FALSE),0)</f>
        <v>90439.55</v>
      </c>
      <c r="AX330" s="246">
        <f>IFERROR(VLOOKUP(H330,VOL_REC[],2,FALSE),0)</f>
        <v>1812240</v>
      </c>
      <c r="AY330" s="246">
        <f>IFERROR(VLOOKUP(I330,VOL_REC[],2,FALSE),0)</f>
        <v>105072</v>
      </c>
      <c r="AZ330" s="246">
        <f>IFERROR(VLOOKUP(J330,VOL_REC[],2,FALSE),0)</f>
        <v>1072354.9981737854</v>
      </c>
      <c r="BA330" s="246">
        <f>IFERROR(VLOOKUP(K330,VOL_REC[],2,FALSE),0)</f>
        <v>0</v>
      </c>
      <c r="BB330" s="246">
        <f>IFERROR(VLOOKUP(L330,VOL_REC[],2,FALSE),0)</f>
        <v>0</v>
      </c>
      <c r="BC330" s="246">
        <f>IFERROR(VLOOKUP(M330,VOL_REC[],2,FALSE),0)</f>
        <v>0</v>
      </c>
      <c r="BD330" s="246">
        <f>IFERROR(VLOOKUP(N330,VOL_REC[],2,FALSE),0)</f>
        <v>0</v>
      </c>
      <c r="BE330" s="246">
        <f>IFERROR(VLOOKUP(O330,VOL_REC[],2,FALSE),0)</f>
        <v>0</v>
      </c>
      <c r="BF330" s="246">
        <f>IFERROR(VLOOKUP(P330,VOL_REC[],2,FALSE),0)</f>
        <v>0</v>
      </c>
      <c r="BG330" s="246">
        <f>IFERROR(VLOOKUP(Q330,VOL_REC[],2,FALSE),0)</f>
        <v>0</v>
      </c>
      <c r="BH330" s="1710">
        <f t="shared" si="20"/>
        <v>15693535891.429264</v>
      </c>
      <c r="BI330" s="1710">
        <f t="shared" si="21"/>
        <v>14835741917.373026</v>
      </c>
      <c r="BJ330" s="1711">
        <f t="shared" si="22"/>
        <v>14169780.748173788</v>
      </c>
      <c r="BK330" s="1711">
        <f t="shared" si="23"/>
        <v>1.0578194187276702</v>
      </c>
      <c r="BL330">
        <f>BJ330</f>
        <v>14169780.748173788</v>
      </c>
      <c r="BO330">
        <f>BL330</f>
        <v>14169780.748173788</v>
      </c>
    </row>
    <row r="331" spans="3:67" x14ac:dyDescent="0.25">
      <c r="C331" s="246" t="s">
        <v>1681</v>
      </c>
      <c r="D331" s="246">
        <v>1</v>
      </c>
      <c r="E331" s="246">
        <v>2</v>
      </c>
      <c r="F331" s="246">
        <v>3</v>
      </c>
      <c r="G331" s="246">
        <v>4</v>
      </c>
      <c r="H331" s="246">
        <v>10</v>
      </c>
      <c r="I331" s="246">
        <v>15</v>
      </c>
      <c r="J331" s="246">
        <v>17</v>
      </c>
      <c r="K331" s="246"/>
      <c r="L331" s="246"/>
      <c r="M331" s="246"/>
      <c r="N331" s="246"/>
      <c r="O331" s="246"/>
      <c r="P331" s="246"/>
      <c r="Q331" s="246"/>
      <c r="R331" s="246">
        <f>IFERROR(VLOOKUP(D331,PROGRAMAS[],2,FALSE),0)</f>
        <v>97037803.679377079</v>
      </c>
      <c r="S331" s="246">
        <f>IFERROR(VLOOKUP(E331,PROGRAMAS[],2,FALSE),0)</f>
        <v>640501509.6821388</v>
      </c>
      <c r="T331" s="246">
        <f>IFERROR(VLOOKUP(F331,PROGRAMAS[],2,FALSE),0)</f>
        <v>3062327798.1525245</v>
      </c>
      <c r="U331" s="246">
        <f>IFERROR(VLOOKUP(G331,PROGRAMAS[],2,FALSE),0)</f>
        <v>67697118.033011258</v>
      </c>
      <c r="V331" s="246">
        <f>IFERROR(VLOOKUP(H331,PROGRAMAS[],2,FALSE),0)</f>
        <v>4635315027.8751087</v>
      </c>
      <c r="W331" s="246">
        <f>IFERROR(VLOOKUP(I331,PROGRAMAS[],2,FALSE),0)</f>
        <v>122159672.96346797</v>
      </c>
      <c r="X331" s="246">
        <f>IFERROR(VLOOKUP(J331,PROGRAMAS[],2,FALSE),0)</f>
        <v>1892779498.5211046</v>
      </c>
      <c r="Y331" s="246">
        <f>IFERROR(VLOOKUP(K331,PROGRAMAS[],2,FALSE),0)</f>
        <v>0</v>
      </c>
      <c r="Z331" s="246">
        <f>IFERROR(VLOOKUP(L331,PROGRAMAS[],2,FALSE),0)</f>
        <v>0</v>
      </c>
      <c r="AA331" s="246">
        <f>IFERROR(VLOOKUP(M331,PROGRAMAS[],2,FALSE),0)</f>
        <v>0</v>
      </c>
      <c r="AB331" s="246">
        <f>IFERROR(VLOOKUP(N331,PROGRAMAS[],2,FALSE),0)</f>
        <v>0</v>
      </c>
      <c r="AC331" s="246">
        <f>IFERROR(VLOOKUP(O331,PROGRAMAS[],2,FALSE),0)</f>
        <v>0</v>
      </c>
      <c r="AD331" s="246">
        <f>IFERROR(VLOOKUP(P331,PROGRAMAS[],2,FALSE),0)</f>
        <v>0</v>
      </c>
      <c r="AE331" s="246">
        <f>IFERROR(VLOOKUP(Q331,PROGRAMAS[],2,FALSE),0)</f>
        <v>0</v>
      </c>
      <c r="AF331" s="246">
        <f>IFERROR(VLOOKUP(D331,PROGRAMAS[],3,FALSE),0)</f>
        <v>841888629.31080008</v>
      </c>
      <c r="AG331" s="246">
        <f>IFERROR(VLOOKUP(E331,PROGRAMAS[],3,FALSE),0)</f>
        <v>3848980803.1642323</v>
      </c>
      <c r="AH331" s="246">
        <f>IFERROR(VLOOKUP(F331,PROGRAMAS[],3,FALSE),0)</f>
        <v>3394901471.387517</v>
      </c>
      <c r="AI331" s="246">
        <f>IFERROR(VLOOKUP(G331,PROGRAMAS[],3,FALSE),0)</f>
        <v>125317226.95549992</v>
      </c>
      <c r="AJ331" s="246">
        <f>IFERROR(VLOOKUP(H331,PROGRAMAS[],3,FALSE),0)</f>
        <v>4099471734.9978786</v>
      </c>
      <c r="AK331" s="246">
        <f>IFERROR(VLOOKUP(I331,PROGRAMAS[],3,FALSE),0)</f>
        <v>118617452.52510804</v>
      </c>
      <c r="AL331" s="246">
        <f>IFERROR(VLOOKUP(J331,PROGRAMAS[],3,FALSE),0)</f>
        <v>948595847.09039903</v>
      </c>
      <c r="AM331" s="246">
        <f>IFERROR(VLOOKUP(K331,PROGRAMAS[],3,FALSE),0)</f>
        <v>0</v>
      </c>
      <c r="AN331" s="246">
        <f>IFERROR(VLOOKUP(L331,PROGRAMAS[],3,FALSE),0)</f>
        <v>0</v>
      </c>
      <c r="AO331" s="246">
        <f>IFERROR(VLOOKUP(M331,PROGRAMAS[],3,FALSE),0)</f>
        <v>0</v>
      </c>
      <c r="AP331" s="246">
        <f>IFERROR(VLOOKUP(N331,PROGRAMAS[],3,FALSE),0)</f>
        <v>0</v>
      </c>
      <c r="AQ331" s="246">
        <f>IFERROR(VLOOKUP(O331,PROGRAMAS[],3,FALSE),0)</f>
        <v>0</v>
      </c>
      <c r="AR331" s="246">
        <f>IFERROR(VLOOKUP(P331,PROGRAMAS[],3,FALSE),0)</f>
        <v>0</v>
      </c>
      <c r="AS331" s="246">
        <f>IFERROR(VLOOKUP(Q331,PROGRAMAS[],3,FALSE),0)</f>
        <v>0</v>
      </c>
      <c r="AT331" s="246">
        <f>IFERROR(VLOOKUP(D331,VOL_REC[],2,FALSE),0)</f>
        <v>0</v>
      </c>
      <c r="AU331" s="246">
        <f>IFERROR(VLOOKUP(E331,VOL_REC[],2,FALSE),0)</f>
        <v>0</v>
      </c>
      <c r="AV331" s="246">
        <f>IFERROR(VLOOKUP(F331,VOL_REC[],2,FALSE),0)</f>
        <v>11089674.200000001</v>
      </c>
      <c r="AW331" s="246">
        <f>IFERROR(VLOOKUP(G331,VOL_REC[],2,FALSE),0)</f>
        <v>90439.55</v>
      </c>
      <c r="AX331" s="246">
        <f>IFERROR(VLOOKUP(H331,VOL_REC[],2,FALSE),0)</f>
        <v>1812240</v>
      </c>
      <c r="AY331" s="246">
        <f>IFERROR(VLOOKUP(I331,VOL_REC[],2,FALSE),0)</f>
        <v>105072</v>
      </c>
      <c r="AZ331" s="246">
        <f>IFERROR(VLOOKUP(J331,VOL_REC[],2,FALSE),0)</f>
        <v>740113.98115702497</v>
      </c>
      <c r="BA331" s="246">
        <f>IFERROR(VLOOKUP(K331,VOL_REC[],2,FALSE),0)</f>
        <v>0</v>
      </c>
      <c r="BB331" s="246">
        <f>IFERROR(VLOOKUP(L331,VOL_REC[],2,FALSE),0)</f>
        <v>0</v>
      </c>
      <c r="BC331" s="246">
        <f>IFERROR(VLOOKUP(M331,VOL_REC[],2,FALSE),0)</f>
        <v>0</v>
      </c>
      <c r="BD331" s="246">
        <f>IFERROR(VLOOKUP(N331,VOL_REC[],2,FALSE),0)</f>
        <v>0</v>
      </c>
      <c r="BE331" s="246">
        <f>IFERROR(VLOOKUP(O331,VOL_REC[],2,FALSE),0)</f>
        <v>0</v>
      </c>
      <c r="BF331" s="246">
        <f>IFERROR(VLOOKUP(P331,VOL_REC[],2,FALSE),0)</f>
        <v>0</v>
      </c>
      <c r="BG331" s="246">
        <f>IFERROR(VLOOKUP(Q331,VOL_REC[],2,FALSE),0)</f>
        <v>0</v>
      </c>
      <c r="BH331" s="1710">
        <f t="shared" si="20"/>
        <v>10517818428.906734</v>
      </c>
      <c r="BI331" s="1710">
        <f t="shared" si="21"/>
        <v>13377773165.431435</v>
      </c>
      <c r="BJ331" s="1711">
        <f t="shared" si="22"/>
        <v>13837539.731157027</v>
      </c>
      <c r="BK331" s="1711">
        <f t="shared" si="23"/>
        <v>0.78621593435932158</v>
      </c>
    </row>
    <row r="332" spans="3:67" x14ac:dyDescent="0.25">
      <c r="C332" s="246" t="s">
        <v>1682</v>
      </c>
      <c r="D332" s="246">
        <v>1</v>
      </c>
      <c r="E332" s="246">
        <v>2</v>
      </c>
      <c r="F332" s="246">
        <v>3</v>
      </c>
      <c r="G332" s="246">
        <v>4</v>
      </c>
      <c r="H332" s="246">
        <v>10</v>
      </c>
      <c r="I332" s="246">
        <v>16</v>
      </c>
      <c r="J332" s="246">
        <v>17</v>
      </c>
      <c r="K332" s="246"/>
      <c r="L332" s="246"/>
      <c r="M332" s="246"/>
      <c r="N332" s="246"/>
      <c r="O332" s="246"/>
      <c r="P332" s="246"/>
      <c r="Q332" s="246"/>
      <c r="R332" s="246">
        <f>IFERROR(VLOOKUP(D332,PROGRAMAS[],2,FALSE),0)</f>
        <v>97037803.679377079</v>
      </c>
      <c r="S332" s="246">
        <f>IFERROR(VLOOKUP(E332,PROGRAMAS[],2,FALSE),0)</f>
        <v>640501509.6821388</v>
      </c>
      <c r="T332" s="246">
        <f>IFERROR(VLOOKUP(F332,PROGRAMAS[],2,FALSE),0)</f>
        <v>3062327798.1525245</v>
      </c>
      <c r="U332" s="246">
        <f>IFERROR(VLOOKUP(G332,PROGRAMAS[],2,FALSE),0)</f>
        <v>67697118.033011258</v>
      </c>
      <c r="V332" s="246">
        <f>IFERROR(VLOOKUP(H332,PROGRAMAS[],2,FALSE),0)</f>
        <v>4635315027.8751087</v>
      </c>
      <c r="W332" s="246">
        <f>IFERROR(VLOOKUP(I332,PROGRAMAS[],2,FALSE),0)</f>
        <v>7068496961.0436354</v>
      </c>
      <c r="X332" s="246">
        <f>IFERROR(VLOOKUP(J332,PROGRAMAS[],2,FALSE),0)</f>
        <v>1892779498.5211046</v>
      </c>
      <c r="Y332" s="246">
        <f>IFERROR(VLOOKUP(K332,PROGRAMAS[],2,FALSE),0)</f>
        <v>0</v>
      </c>
      <c r="Z332" s="246">
        <f>IFERROR(VLOOKUP(L332,PROGRAMAS[],2,FALSE),0)</f>
        <v>0</v>
      </c>
      <c r="AA332" s="246">
        <f>IFERROR(VLOOKUP(M332,PROGRAMAS[],2,FALSE),0)</f>
        <v>0</v>
      </c>
      <c r="AB332" s="246">
        <f>IFERROR(VLOOKUP(N332,PROGRAMAS[],2,FALSE),0)</f>
        <v>0</v>
      </c>
      <c r="AC332" s="246">
        <f>IFERROR(VLOOKUP(O332,PROGRAMAS[],2,FALSE),0)</f>
        <v>0</v>
      </c>
      <c r="AD332" s="246">
        <f>IFERROR(VLOOKUP(P332,PROGRAMAS[],2,FALSE),0)</f>
        <v>0</v>
      </c>
      <c r="AE332" s="246">
        <f>IFERROR(VLOOKUP(Q332,PROGRAMAS[],2,FALSE),0)</f>
        <v>0</v>
      </c>
      <c r="AF332" s="246">
        <f>IFERROR(VLOOKUP(D332,PROGRAMAS[],3,FALSE),0)</f>
        <v>841888629.31080008</v>
      </c>
      <c r="AG332" s="246">
        <f>IFERROR(VLOOKUP(E332,PROGRAMAS[],3,FALSE),0)</f>
        <v>3848980803.1642323</v>
      </c>
      <c r="AH332" s="246">
        <f>IFERROR(VLOOKUP(F332,PROGRAMAS[],3,FALSE),0)</f>
        <v>3394901471.387517</v>
      </c>
      <c r="AI332" s="246">
        <f>IFERROR(VLOOKUP(G332,PROGRAMAS[],3,FALSE),0)</f>
        <v>125317226.95549992</v>
      </c>
      <c r="AJ332" s="246">
        <f>IFERROR(VLOOKUP(H332,PROGRAMAS[],3,FALSE),0)</f>
        <v>4099471734.9978786</v>
      </c>
      <c r="AK332" s="246">
        <f>IFERROR(VLOOKUP(I332,PROGRAMAS[],3,FALSE),0)</f>
        <v>2406564599.0319901</v>
      </c>
      <c r="AL332" s="246">
        <f>IFERROR(VLOOKUP(J332,PROGRAMAS[],3,FALSE),0)</f>
        <v>948595847.09039903</v>
      </c>
      <c r="AM332" s="246">
        <f>IFERROR(VLOOKUP(K332,PROGRAMAS[],3,FALSE),0)</f>
        <v>0</v>
      </c>
      <c r="AN332" s="246">
        <f>IFERROR(VLOOKUP(L332,PROGRAMAS[],3,FALSE),0)</f>
        <v>0</v>
      </c>
      <c r="AO332" s="246">
        <f>IFERROR(VLOOKUP(M332,PROGRAMAS[],3,FALSE),0)</f>
        <v>0</v>
      </c>
      <c r="AP332" s="246">
        <f>IFERROR(VLOOKUP(N332,PROGRAMAS[],3,FALSE),0)</f>
        <v>0</v>
      </c>
      <c r="AQ332" s="246">
        <f>IFERROR(VLOOKUP(O332,PROGRAMAS[],3,FALSE),0)</f>
        <v>0</v>
      </c>
      <c r="AR332" s="246">
        <f>IFERROR(VLOOKUP(P332,PROGRAMAS[],3,FALSE),0)</f>
        <v>0</v>
      </c>
      <c r="AS332" s="246">
        <f>IFERROR(VLOOKUP(Q332,PROGRAMAS[],3,FALSE),0)</f>
        <v>0</v>
      </c>
      <c r="AT332" s="246">
        <f>IFERROR(VLOOKUP(D332,VOL_REC[],2,FALSE),0)</f>
        <v>0</v>
      </c>
      <c r="AU332" s="246">
        <f>IFERROR(VLOOKUP(E332,VOL_REC[],2,FALSE),0)</f>
        <v>0</v>
      </c>
      <c r="AV332" s="246">
        <f>IFERROR(VLOOKUP(F332,VOL_REC[],2,FALSE),0)</f>
        <v>11089674.200000001</v>
      </c>
      <c r="AW332" s="246">
        <f>IFERROR(VLOOKUP(G332,VOL_REC[],2,FALSE),0)</f>
        <v>90439.55</v>
      </c>
      <c r="AX332" s="246">
        <f>IFERROR(VLOOKUP(H332,VOL_REC[],2,FALSE),0)</f>
        <v>1812240</v>
      </c>
      <c r="AY332" s="246">
        <f>IFERROR(VLOOKUP(I332,VOL_REC[],2,FALSE),0)</f>
        <v>1072354.9981737854</v>
      </c>
      <c r="AZ332" s="246">
        <f>IFERROR(VLOOKUP(J332,VOL_REC[],2,FALSE),0)</f>
        <v>740113.98115702497</v>
      </c>
      <c r="BA332" s="246">
        <f>IFERROR(VLOOKUP(K332,VOL_REC[],2,FALSE),0)</f>
        <v>0</v>
      </c>
      <c r="BB332" s="246">
        <f>IFERROR(VLOOKUP(L332,VOL_REC[],2,FALSE),0)</f>
        <v>0</v>
      </c>
      <c r="BC332" s="246">
        <f>IFERROR(VLOOKUP(M332,VOL_REC[],2,FALSE),0)</f>
        <v>0</v>
      </c>
      <c r="BD332" s="246">
        <f>IFERROR(VLOOKUP(N332,VOL_REC[],2,FALSE),0)</f>
        <v>0</v>
      </c>
      <c r="BE332" s="246">
        <f>IFERROR(VLOOKUP(O332,VOL_REC[],2,FALSE),0)</f>
        <v>0</v>
      </c>
      <c r="BF332" s="246">
        <f>IFERROR(VLOOKUP(P332,VOL_REC[],2,FALSE),0)</f>
        <v>0</v>
      </c>
      <c r="BG332" s="246">
        <f>IFERROR(VLOOKUP(Q332,VOL_REC[],2,FALSE),0)</f>
        <v>0</v>
      </c>
      <c r="BH332" s="1710">
        <f t="shared" si="20"/>
        <v>17464155716.9869</v>
      </c>
      <c r="BI332" s="1710">
        <f t="shared" si="21"/>
        <v>15665720311.938316</v>
      </c>
      <c r="BJ332" s="1711">
        <f t="shared" si="22"/>
        <v>14804822.729330814</v>
      </c>
      <c r="BK332" s="1711">
        <f t="shared" si="23"/>
        <v>1.1148006838650155</v>
      </c>
      <c r="BL332">
        <f>BJ332</f>
        <v>14804822.729330814</v>
      </c>
      <c r="BO332">
        <f>BL332</f>
        <v>14804822.729330814</v>
      </c>
    </row>
    <row r="333" spans="3:67" x14ac:dyDescent="0.25">
      <c r="C333" s="246" t="s">
        <v>1683</v>
      </c>
      <c r="D333" s="246">
        <v>1</v>
      </c>
      <c r="E333" s="246">
        <v>2</v>
      </c>
      <c r="F333" s="246">
        <v>3</v>
      </c>
      <c r="G333" s="246">
        <v>4</v>
      </c>
      <c r="H333" s="246">
        <v>12</v>
      </c>
      <c r="I333" s="246">
        <v>13</v>
      </c>
      <c r="J333" s="246">
        <v>14</v>
      </c>
      <c r="K333" s="246"/>
      <c r="L333" s="246"/>
      <c r="M333" s="246"/>
      <c r="N333" s="246"/>
      <c r="O333" s="246"/>
      <c r="P333" s="246"/>
      <c r="Q333" s="246"/>
      <c r="R333" s="246">
        <f>IFERROR(VLOOKUP(D333,PROGRAMAS[],2,FALSE),0)</f>
        <v>97037803.679377079</v>
      </c>
      <c r="S333" s="246">
        <f>IFERROR(VLOOKUP(E333,PROGRAMAS[],2,FALSE),0)</f>
        <v>640501509.6821388</v>
      </c>
      <c r="T333" s="246">
        <f>IFERROR(VLOOKUP(F333,PROGRAMAS[],2,FALSE),0)</f>
        <v>3062327798.1525245</v>
      </c>
      <c r="U333" s="246">
        <f>IFERROR(VLOOKUP(G333,PROGRAMAS[],2,FALSE),0)</f>
        <v>67697118.033011258</v>
      </c>
      <c r="V333" s="246">
        <f>IFERROR(VLOOKUP(H333,PROGRAMAS[],2,FALSE),0)</f>
        <v>764796700.79905891</v>
      </c>
      <c r="W333" s="246">
        <f>IFERROR(VLOOKUP(I333,PROGRAMAS[],2,FALSE),0)</f>
        <v>3776538594.4604583</v>
      </c>
      <c r="X333" s="246">
        <f>IFERROR(VLOOKUP(J333,PROGRAMAS[],2,FALSE),0)</f>
        <v>54223862.645839565</v>
      </c>
      <c r="Y333" s="246">
        <f>IFERROR(VLOOKUP(K333,PROGRAMAS[],2,FALSE),0)</f>
        <v>0</v>
      </c>
      <c r="Z333" s="246">
        <f>IFERROR(VLOOKUP(L333,PROGRAMAS[],2,FALSE),0)</f>
        <v>0</v>
      </c>
      <c r="AA333" s="246">
        <f>IFERROR(VLOOKUP(M333,PROGRAMAS[],2,FALSE),0)</f>
        <v>0</v>
      </c>
      <c r="AB333" s="246">
        <f>IFERROR(VLOOKUP(N333,PROGRAMAS[],2,FALSE),0)</f>
        <v>0</v>
      </c>
      <c r="AC333" s="246">
        <f>IFERROR(VLOOKUP(O333,PROGRAMAS[],2,FALSE),0)</f>
        <v>0</v>
      </c>
      <c r="AD333" s="246">
        <f>IFERROR(VLOOKUP(P333,PROGRAMAS[],2,FALSE),0)</f>
        <v>0</v>
      </c>
      <c r="AE333" s="246">
        <f>IFERROR(VLOOKUP(Q333,PROGRAMAS[],2,FALSE),0)</f>
        <v>0</v>
      </c>
      <c r="AF333" s="246">
        <f>IFERROR(VLOOKUP(D333,PROGRAMAS[],3,FALSE),0)</f>
        <v>841888629.31080008</v>
      </c>
      <c r="AG333" s="246">
        <f>IFERROR(VLOOKUP(E333,PROGRAMAS[],3,FALSE),0)</f>
        <v>3848980803.1642323</v>
      </c>
      <c r="AH333" s="246">
        <f>IFERROR(VLOOKUP(F333,PROGRAMAS[],3,FALSE),0)</f>
        <v>3394901471.387517</v>
      </c>
      <c r="AI333" s="246">
        <f>IFERROR(VLOOKUP(G333,PROGRAMAS[],3,FALSE),0)</f>
        <v>125317226.95549992</v>
      </c>
      <c r="AJ333" s="246">
        <f>IFERROR(VLOOKUP(H333,PROGRAMAS[],3,FALSE),0)</f>
        <v>675517840.109828</v>
      </c>
      <c r="AK333" s="246">
        <f>IFERROR(VLOOKUP(I333,PROGRAMAS[],3,FALSE),0)</f>
        <v>2392571243.5584412</v>
      </c>
      <c r="AL333" s="246">
        <f>IFERROR(VLOOKUP(J333,PROGRAMAS[],3,FALSE),0)</f>
        <v>31865326.38096505</v>
      </c>
      <c r="AM333" s="246">
        <f>IFERROR(VLOOKUP(K333,PROGRAMAS[],3,FALSE),0)</f>
        <v>0</v>
      </c>
      <c r="AN333" s="246">
        <f>IFERROR(VLOOKUP(L333,PROGRAMAS[],3,FALSE),0)</f>
        <v>0</v>
      </c>
      <c r="AO333" s="246">
        <f>IFERROR(VLOOKUP(M333,PROGRAMAS[],3,FALSE),0)</f>
        <v>0</v>
      </c>
      <c r="AP333" s="246">
        <f>IFERROR(VLOOKUP(N333,PROGRAMAS[],3,FALSE),0)</f>
        <v>0</v>
      </c>
      <c r="AQ333" s="246">
        <f>IFERROR(VLOOKUP(O333,PROGRAMAS[],3,FALSE),0)</f>
        <v>0</v>
      </c>
      <c r="AR333" s="246">
        <f>IFERROR(VLOOKUP(P333,PROGRAMAS[],3,FALSE),0)</f>
        <v>0</v>
      </c>
      <c r="AS333" s="246">
        <f>IFERROR(VLOOKUP(Q333,PROGRAMAS[],3,FALSE),0)</f>
        <v>0</v>
      </c>
      <c r="AT333" s="246">
        <f>IFERROR(VLOOKUP(D333,VOL_REC[],2,FALSE),0)</f>
        <v>0</v>
      </c>
      <c r="AU333" s="246">
        <f>IFERROR(VLOOKUP(E333,VOL_REC[],2,FALSE),0)</f>
        <v>0</v>
      </c>
      <c r="AV333" s="246">
        <f>IFERROR(VLOOKUP(F333,VOL_REC[],2,FALSE),0)</f>
        <v>11089674.200000001</v>
      </c>
      <c r="AW333" s="246">
        <f>IFERROR(VLOOKUP(G333,VOL_REC[],2,FALSE),0)</f>
        <v>90439.55</v>
      </c>
      <c r="AX333" s="246">
        <f>IFERROR(VLOOKUP(H333,VOL_REC[],2,FALSE),0)</f>
        <v>240696.79238099116</v>
      </c>
      <c r="AY333" s="246">
        <f>IFERROR(VLOOKUP(I333,VOL_REC[],2,FALSE),0)</f>
        <v>663244.80000000016</v>
      </c>
      <c r="AZ333" s="246">
        <f>IFERROR(VLOOKUP(J333,VOL_REC[],2,FALSE),0)</f>
        <v>17074.045034105649</v>
      </c>
      <c r="BA333" s="246">
        <f>IFERROR(VLOOKUP(K333,VOL_REC[],2,FALSE),0)</f>
        <v>0</v>
      </c>
      <c r="BB333" s="246">
        <f>IFERROR(VLOOKUP(L333,VOL_REC[],2,FALSE),0)</f>
        <v>0</v>
      </c>
      <c r="BC333" s="246">
        <f>IFERROR(VLOOKUP(M333,VOL_REC[],2,FALSE),0)</f>
        <v>0</v>
      </c>
      <c r="BD333" s="246">
        <f>IFERROR(VLOOKUP(N333,VOL_REC[],2,FALSE),0)</f>
        <v>0</v>
      </c>
      <c r="BE333" s="246">
        <f>IFERROR(VLOOKUP(O333,VOL_REC[],2,FALSE),0)</f>
        <v>0</v>
      </c>
      <c r="BF333" s="246">
        <f>IFERROR(VLOOKUP(P333,VOL_REC[],2,FALSE),0)</f>
        <v>0</v>
      </c>
      <c r="BG333" s="246">
        <f>IFERROR(VLOOKUP(Q333,VOL_REC[],2,FALSE),0)</f>
        <v>0</v>
      </c>
      <c r="BH333" s="1710">
        <f t="shared" si="20"/>
        <v>8463123387.4524097</v>
      </c>
      <c r="BI333" s="1710">
        <f t="shared" si="21"/>
        <v>11311042540.867283</v>
      </c>
      <c r="BJ333" s="1711">
        <f t="shared" si="22"/>
        <v>12101129.387415098</v>
      </c>
      <c r="BK333" s="1711">
        <f t="shared" si="23"/>
        <v>0.74821780192893639</v>
      </c>
    </row>
    <row r="334" spans="3:67" x14ac:dyDescent="0.25">
      <c r="C334" s="246" t="s">
        <v>1684</v>
      </c>
      <c r="D334" s="246">
        <v>1</v>
      </c>
      <c r="E334" s="246">
        <v>2</v>
      </c>
      <c r="F334" s="246">
        <v>3</v>
      </c>
      <c r="G334" s="246">
        <v>4</v>
      </c>
      <c r="H334" s="246">
        <v>12</v>
      </c>
      <c r="I334" s="246">
        <v>13</v>
      </c>
      <c r="J334" s="246">
        <v>15</v>
      </c>
      <c r="K334" s="246"/>
      <c r="L334" s="246"/>
      <c r="M334" s="246"/>
      <c r="N334" s="246"/>
      <c r="O334" s="246"/>
      <c r="P334" s="246"/>
      <c r="Q334" s="246"/>
      <c r="R334" s="246">
        <f>IFERROR(VLOOKUP(D334,PROGRAMAS[],2,FALSE),0)</f>
        <v>97037803.679377079</v>
      </c>
      <c r="S334" s="246">
        <f>IFERROR(VLOOKUP(E334,PROGRAMAS[],2,FALSE),0)</f>
        <v>640501509.6821388</v>
      </c>
      <c r="T334" s="246">
        <f>IFERROR(VLOOKUP(F334,PROGRAMAS[],2,FALSE),0)</f>
        <v>3062327798.1525245</v>
      </c>
      <c r="U334" s="246">
        <f>IFERROR(VLOOKUP(G334,PROGRAMAS[],2,FALSE),0)</f>
        <v>67697118.033011258</v>
      </c>
      <c r="V334" s="246">
        <f>IFERROR(VLOOKUP(H334,PROGRAMAS[],2,FALSE),0)</f>
        <v>764796700.79905891</v>
      </c>
      <c r="W334" s="246">
        <f>IFERROR(VLOOKUP(I334,PROGRAMAS[],2,FALSE),0)</f>
        <v>3776538594.4604583</v>
      </c>
      <c r="X334" s="246">
        <f>IFERROR(VLOOKUP(J334,PROGRAMAS[],2,FALSE),0)</f>
        <v>122159672.96346797</v>
      </c>
      <c r="Y334" s="246">
        <f>IFERROR(VLOOKUP(K334,PROGRAMAS[],2,FALSE),0)</f>
        <v>0</v>
      </c>
      <c r="Z334" s="246">
        <f>IFERROR(VLOOKUP(L334,PROGRAMAS[],2,FALSE),0)</f>
        <v>0</v>
      </c>
      <c r="AA334" s="246">
        <f>IFERROR(VLOOKUP(M334,PROGRAMAS[],2,FALSE),0)</f>
        <v>0</v>
      </c>
      <c r="AB334" s="246">
        <f>IFERROR(VLOOKUP(N334,PROGRAMAS[],2,FALSE),0)</f>
        <v>0</v>
      </c>
      <c r="AC334" s="246">
        <f>IFERROR(VLOOKUP(O334,PROGRAMAS[],2,FALSE),0)</f>
        <v>0</v>
      </c>
      <c r="AD334" s="246">
        <f>IFERROR(VLOOKUP(P334,PROGRAMAS[],2,FALSE),0)</f>
        <v>0</v>
      </c>
      <c r="AE334" s="246">
        <f>IFERROR(VLOOKUP(Q334,PROGRAMAS[],2,FALSE),0)</f>
        <v>0</v>
      </c>
      <c r="AF334" s="246">
        <f>IFERROR(VLOOKUP(D334,PROGRAMAS[],3,FALSE),0)</f>
        <v>841888629.31080008</v>
      </c>
      <c r="AG334" s="246">
        <f>IFERROR(VLOOKUP(E334,PROGRAMAS[],3,FALSE),0)</f>
        <v>3848980803.1642323</v>
      </c>
      <c r="AH334" s="246">
        <f>IFERROR(VLOOKUP(F334,PROGRAMAS[],3,FALSE),0)</f>
        <v>3394901471.387517</v>
      </c>
      <c r="AI334" s="246">
        <f>IFERROR(VLOOKUP(G334,PROGRAMAS[],3,FALSE),0)</f>
        <v>125317226.95549992</v>
      </c>
      <c r="AJ334" s="246">
        <f>IFERROR(VLOOKUP(H334,PROGRAMAS[],3,FALSE),0)</f>
        <v>675517840.109828</v>
      </c>
      <c r="AK334" s="246">
        <f>IFERROR(VLOOKUP(I334,PROGRAMAS[],3,FALSE),0)</f>
        <v>2392571243.5584412</v>
      </c>
      <c r="AL334" s="246">
        <f>IFERROR(VLOOKUP(J334,PROGRAMAS[],3,FALSE),0)</f>
        <v>118617452.52510804</v>
      </c>
      <c r="AM334" s="246">
        <f>IFERROR(VLOOKUP(K334,PROGRAMAS[],3,FALSE),0)</f>
        <v>0</v>
      </c>
      <c r="AN334" s="246">
        <f>IFERROR(VLOOKUP(L334,PROGRAMAS[],3,FALSE),0)</f>
        <v>0</v>
      </c>
      <c r="AO334" s="246">
        <f>IFERROR(VLOOKUP(M334,PROGRAMAS[],3,FALSE),0)</f>
        <v>0</v>
      </c>
      <c r="AP334" s="246">
        <f>IFERROR(VLOOKUP(N334,PROGRAMAS[],3,FALSE),0)</f>
        <v>0</v>
      </c>
      <c r="AQ334" s="246">
        <f>IFERROR(VLOOKUP(O334,PROGRAMAS[],3,FALSE),0)</f>
        <v>0</v>
      </c>
      <c r="AR334" s="246">
        <f>IFERROR(VLOOKUP(P334,PROGRAMAS[],3,FALSE),0)</f>
        <v>0</v>
      </c>
      <c r="AS334" s="246">
        <f>IFERROR(VLOOKUP(Q334,PROGRAMAS[],3,FALSE),0)</f>
        <v>0</v>
      </c>
      <c r="AT334" s="246">
        <f>IFERROR(VLOOKUP(D334,VOL_REC[],2,FALSE),0)</f>
        <v>0</v>
      </c>
      <c r="AU334" s="246">
        <f>IFERROR(VLOOKUP(E334,VOL_REC[],2,FALSE),0)</f>
        <v>0</v>
      </c>
      <c r="AV334" s="246">
        <f>IFERROR(VLOOKUP(F334,VOL_REC[],2,FALSE),0)</f>
        <v>11089674.200000001</v>
      </c>
      <c r="AW334" s="246">
        <f>IFERROR(VLOOKUP(G334,VOL_REC[],2,FALSE),0)</f>
        <v>90439.55</v>
      </c>
      <c r="AX334" s="246">
        <f>IFERROR(VLOOKUP(H334,VOL_REC[],2,FALSE),0)</f>
        <v>240696.79238099116</v>
      </c>
      <c r="AY334" s="246">
        <f>IFERROR(VLOOKUP(I334,VOL_REC[],2,FALSE),0)</f>
        <v>663244.80000000016</v>
      </c>
      <c r="AZ334" s="246">
        <f>IFERROR(VLOOKUP(J334,VOL_REC[],2,FALSE),0)</f>
        <v>105072</v>
      </c>
      <c r="BA334" s="246">
        <f>IFERROR(VLOOKUP(K334,VOL_REC[],2,FALSE),0)</f>
        <v>0</v>
      </c>
      <c r="BB334" s="246">
        <f>IFERROR(VLOOKUP(L334,VOL_REC[],2,FALSE),0)</f>
        <v>0</v>
      </c>
      <c r="BC334" s="246">
        <f>IFERROR(VLOOKUP(M334,VOL_REC[],2,FALSE),0)</f>
        <v>0</v>
      </c>
      <c r="BD334" s="246">
        <f>IFERROR(VLOOKUP(N334,VOL_REC[],2,FALSE),0)</f>
        <v>0</v>
      </c>
      <c r="BE334" s="246">
        <f>IFERROR(VLOOKUP(O334,VOL_REC[],2,FALSE),0)</f>
        <v>0</v>
      </c>
      <c r="BF334" s="246">
        <f>IFERROR(VLOOKUP(P334,VOL_REC[],2,FALSE),0)</f>
        <v>0</v>
      </c>
      <c r="BG334" s="246">
        <f>IFERROR(VLOOKUP(Q334,VOL_REC[],2,FALSE),0)</f>
        <v>0</v>
      </c>
      <c r="BH334" s="1710">
        <f t="shared" si="20"/>
        <v>8531059197.7700377</v>
      </c>
      <c r="BI334" s="1710">
        <f t="shared" si="21"/>
        <v>11397794667.011427</v>
      </c>
      <c r="BJ334" s="1711">
        <f t="shared" si="22"/>
        <v>12189127.342380993</v>
      </c>
      <c r="BK334" s="1711">
        <f t="shared" si="23"/>
        <v>0.74848332041473198</v>
      </c>
    </row>
    <row r="335" spans="3:67" x14ac:dyDescent="0.25">
      <c r="C335" s="246" t="s">
        <v>1685</v>
      </c>
      <c r="D335" s="246">
        <v>1</v>
      </c>
      <c r="E335" s="246">
        <v>2</v>
      </c>
      <c r="F335" s="246">
        <v>3</v>
      </c>
      <c r="G335" s="246">
        <v>4</v>
      </c>
      <c r="H335" s="246">
        <v>12</v>
      </c>
      <c r="I335" s="246">
        <v>13</v>
      </c>
      <c r="J335" s="246">
        <v>16</v>
      </c>
      <c r="K335" s="246"/>
      <c r="L335" s="246"/>
      <c r="M335" s="246"/>
      <c r="N335" s="246"/>
      <c r="O335" s="246"/>
      <c r="P335" s="246"/>
      <c r="Q335" s="246"/>
      <c r="R335" s="246">
        <f>IFERROR(VLOOKUP(D335,PROGRAMAS[],2,FALSE),0)</f>
        <v>97037803.679377079</v>
      </c>
      <c r="S335" s="246">
        <f>IFERROR(VLOOKUP(E335,PROGRAMAS[],2,FALSE),0)</f>
        <v>640501509.6821388</v>
      </c>
      <c r="T335" s="246">
        <f>IFERROR(VLOOKUP(F335,PROGRAMAS[],2,FALSE),0)</f>
        <v>3062327798.1525245</v>
      </c>
      <c r="U335" s="246">
        <f>IFERROR(VLOOKUP(G335,PROGRAMAS[],2,FALSE),0)</f>
        <v>67697118.033011258</v>
      </c>
      <c r="V335" s="246">
        <f>IFERROR(VLOOKUP(H335,PROGRAMAS[],2,FALSE),0)</f>
        <v>764796700.79905891</v>
      </c>
      <c r="W335" s="246">
        <f>IFERROR(VLOOKUP(I335,PROGRAMAS[],2,FALSE),0)</f>
        <v>3776538594.4604583</v>
      </c>
      <c r="X335" s="246">
        <f>IFERROR(VLOOKUP(J335,PROGRAMAS[],2,FALSE),0)</f>
        <v>7068496961.0436354</v>
      </c>
      <c r="Y335" s="246">
        <f>IFERROR(VLOOKUP(K335,PROGRAMAS[],2,FALSE),0)</f>
        <v>0</v>
      </c>
      <c r="Z335" s="246">
        <f>IFERROR(VLOOKUP(L335,PROGRAMAS[],2,FALSE),0)</f>
        <v>0</v>
      </c>
      <c r="AA335" s="246">
        <f>IFERROR(VLOOKUP(M335,PROGRAMAS[],2,FALSE),0)</f>
        <v>0</v>
      </c>
      <c r="AB335" s="246">
        <f>IFERROR(VLOOKUP(N335,PROGRAMAS[],2,FALSE),0)</f>
        <v>0</v>
      </c>
      <c r="AC335" s="246">
        <f>IFERROR(VLOOKUP(O335,PROGRAMAS[],2,FALSE),0)</f>
        <v>0</v>
      </c>
      <c r="AD335" s="246">
        <f>IFERROR(VLOOKUP(P335,PROGRAMAS[],2,FALSE),0)</f>
        <v>0</v>
      </c>
      <c r="AE335" s="246">
        <f>IFERROR(VLOOKUP(Q335,PROGRAMAS[],2,FALSE),0)</f>
        <v>0</v>
      </c>
      <c r="AF335" s="246">
        <f>IFERROR(VLOOKUP(D335,PROGRAMAS[],3,FALSE),0)</f>
        <v>841888629.31080008</v>
      </c>
      <c r="AG335" s="246">
        <f>IFERROR(VLOOKUP(E335,PROGRAMAS[],3,FALSE),0)</f>
        <v>3848980803.1642323</v>
      </c>
      <c r="AH335" s="246">
        <f>IFERROR(VLOOKUP(F335,PROGRAMAS[],3,FALSE),0)</f>
        <v>3394901471.387517</v>
      </c>
      <c r="AI335" s="246">
        <f>IFERROR(VLOOKUP(G335,PROGRAMAS[],3,FALSE),0)</f>
        <v>125317226.95549992</v>
      </c>
      <c r="AJ335" s="246">
        <f>IFERROR(VLOOKUP(H335,PROGRAMAS[],3,FALSE),0)</f>
        <v>675517840.109828</v>
      </c>
      <c r="AK335" s="246">
        <f>IFERROR(VLOOKUP(I335,PROGRAMAS[],3,FALSE),0)</f>
        <v>2392571243.5584412</v>
      </c>
      <c r="AL335" s="246">
        <f>IFERROR(VLOOKUP(J335,PROGRAMAS[],3,FALSE),0)</f>
        <v>2406564599.0319901</v>
      </c>
      <c r="AM335" s="246">
        <f>IFERROR(VLOOKUP(K335,PROGRAMAS[],3,FALSE),0)</f>
        <v>0</v>
      </c>
      <c r="AN335" s="246">
        <f>IFERROR(VLOOKUP(L335,PROGRAMAS[],3,FALSE),0)</f>
        <v>0</v>
      </c>
      <c r="AO335" s="246">
        <f>IFERROR(VLOOKUP(M335,PROGRAMAS[],3,FALSE),0)</f>
        <v>0</v>
      </c>
      <c r="AP335" s="246">
        <f>IFERROR(VLOOKUP(N335,PROGRAMAS[],3,FALSE),0)</f>
        <v>0</v>
      </c>
      <c r="AQ335" s="246">
        <f>IFERROR(VLOOKUP(O335,PROGRAMAS[],3,FALSE),0)</f>
        <v>0</v>
      </c>
      <c r="AR335" s="246">
        <f>IFERROR(VLOOKUP(P335,PROGRAMAS[],3,FALSE),0)</f>
        <v>0</v>
      </c>
      <c r="AS335" s="246">
        <f>IFERROR(VLOOKUP(Q335,PROGRAMAS[],3,FALSE),0)</f>
        <v>0</v>
      </c>
      <c r="AT335" s="246">
        <f>IFERROR(VLOOKUP(D335,VOL_REC[],2,FALSE),0)</f>
        <v>0</v>
      </c>
      <c r="AU335" s="246">
        <f>IFERROR(VLOOKUP(E335,VOL_REC[],2,FALSE),0)</f>
        <v>0</v>
      </c>
      <c r="AV335" s="246">
        <f>IFERROR(VLOOKUP(F335,VOL_REC[],2,FALSE),0)</f>
        <v>11089674.200000001</v>
      </c>
      <c r="AW335" s="246">
        <f>IFERROR(VLOOKUP(G335,VOL_REC[],2,FALSE),0)</f>
        <v>90439.55</v>
      </c>
      <c r="AX335" s="246">
        <f>IFERROR(VLOOKUP(H335,VOL_REC[],2,FALSE),0)</f>
        <v>240696.79238099116</v>
      </c>
      <c r="AY335" s="246">
        <f>IFERROR(VLOOKUP(I335,VOL_REC[],2,FALSE),0)</f>
        <v>663244.80000000016</v>
      </c>
      <c r="AZ335" s="246">
        <f>IFERROR(VLOOKUP(J335,VOL_REC[],2,FALSE),0)</f>
        <v>1072354.9981737854</v>
      </c>
      <c r="BA335" s="246">
        <f>IFERROR(VLOOKUP(K335,VOL_REC[],2,FALSE),0)</f>
        <v>0</v>
      </c>
      <c r="BB335" s="246">
        <f>IFERROR(VLOOKUP(L335,VOL_REC[],2,FALSE),0)</f>
        <v>0</v>
      </c>
      <c r="BC335" s="246">
        <f>IFERROR(VLOOKUP(M335,VOL_REC[],2,FALSE),0)</f>
        <v>0</v>
      </c>
      <c r="BD335" s="246">
        <f>IFERROR(VLOOKUP(N335,VOL_REC[],2,FALSE),0)</f>
        <v>0</v>
      </c>
      <c r="BE335" s="246">
        <f>IFERROR(VLOOKUP(O335,VOL_REC[],2,FALSE),0)</f>
        <v>0</v>
      </c>
      <c r="BF335" s="246">
        <f>IFERROR(VLOOKUP(P335,VOL_REC[],2,FALSE),0)</f>
        <v>0</v>
      </c>
      <c r="BG335" s="246">
        <f>IFERROR(VLOOKUP(Q335,VOL_REC[],2,FALSE),0)</f>
        <v>0</v>
      </c>
      <c r="BH335" s="1710">
        <f t="shared" si="20"/>
        <v>15477396485.850204</v>
      </c>
      <c r="BI335" s="1710">
        <f t="shared" si="21"/>
        <v>13685741813.518309</v>
      </c>
      <c r="BJ335" s="1711">
        <f t="shared" si="22"/>
        <v>13156410.340554778</v>
      </c>
      <c r="BK335" s="1711">
        <f t="shared" si="23"/>
        <v>1.1309139611681231</v>
      </c>
      <c r="BL335">
        <f>BJ335</f>
        <v>13156410.340554778</v>
      </c>
      <c r="BO335">
        <f>BL335</f>
        <v>13156410.340554778</v>
      </c>
    </row>
    <row r="336" spans="3:67" x14ac:dyDescent="0.25">
      <c r="C336" s="246" t="s">
        <v>1686</v>
      </c>
      <c r="D336" s="246">
        <v>1</v>
      </c>
      <c r="E336" s="246">
        <v>2</v>
      </c>
      <c r="F336" s="246">
        <v>3</v>
      </c>
      <c r="G336" s="246">
        <v>4</v>
      </c>
      <c r="H336" s="246">
        <v>12</v>
      </c>
      <c r="I336" s="246">
        <v>13</v>
      </c>
      <c r="J336" s="246">
        <v>17</v>
      </c>
      <c r="K336" s="246"/>
      <c r="L336" s="246"/>
      <c r="M336" s="246"/>
      <c r="N336" s="246"/>
      <c r="O336" s="246"/>
      <c r="P336" s="246"/>
      <c r="Q336" s="246"/>
      <c r="R336" s="246">
        <f>IFERROR(VLOOKUP(D336,PROGRAMAS[],2,FALSE),0)</f>
        <v>97037803.679377079</v>
      </c>
      <c r="S336" s="246">
        <f>IFERROR(VLOOKUP(E336,PROGRAMAS[],2,FALSE),0)</f>
        <v>640501509.6821388</v>
      </c>
      <c r="T336" s="246">
        <f>IFERROR(VLOOKUP(F336,PROGRAMAS[],2,FALSE),0)</f>
        <v>3062327798.1525245</v>
      </c>
      <c r="U336" s="246">
        <f>IFERROR(VLOOKUP(G336,PROGRAMAS[],2,FALSE),0)</f>
        <v>67697118.033011258</v>
      </c>
      <c r="V336" s="246">
        <f>IFERROR(VLOOKUP(H336,PROGRAMAS[],2,FALSE),0)</f>
        <v>764796700.79905891</v>
      </c>
      <c r="W336" s="246">
        <f>IFERROR(VLOOKUP(I336,PROGRAMAS[],2,FALSE),0)</f>
        <v>3776538594.4604583</v>
      </c>
      <c r="X336" s="246">
        <f>IFERROR(VLOOKUP(J336,PROGRAMAS[],2,FALSE),0)</f>
        <v>1892779498.5211046</v>
      </c>
      <c r="Y336" s="246">
        <f>IFERROR(VLOOKUP(K336,PROGRAMAS[],2,FALSE),0)</f>
        <v>0</v>
      </c>
      <c r="Z336" s="246">
        <f>IFERROR(VLOOKUP(L336,PROGRAMAS[],2,FALSE),0)</f>
        <v>0</v>
      </c>
      <c r="AA336" s="246">
        <f>IFERROR(VLOOKUP(M336,PROGRAMAS[],2,FALSE),0)</f>
        <v>0</v>
      </c>
      <c r="AB336" s="246">
        <f>IFERROR(VLOOKUP(N336,PROGRAMAS[],2,FALSE),0)</f>
        <v>0</v>
      </c>
      <c r="AC336" s="246">
        <f>IFERROR(VLOOKUP(O336,PROGRAMAS[],2,FALSE),0)</f>
        <v>0</v>
      </c>
      <c r="AD336" s="246">
        <f>IFERROR(VLOOKUP(P336,PROGRAMAS[],2,FALSE),0)</f>
        <v>0</v>
      </c>
      <c r="AE336" s="246">
        <f>IFERROR(VLOOKUP(Q336,PROGRAMAS[],2,FALSE),0)</f>
        <v>0</v>
      </c>
      <c r="AF336" s="246">
        <f>IFERROR(VLOOKUP(D336,PROGRAMAS[],3,FALSE),0)</f>
        <v>841888629.31080008</v>
      </c>
      <c r="AG336" s="246">
        <f>IFERROR(VLOOKUP(E336,PROGRAMAS[],3,FALSE),0)</f>
        <v>3848980803.1642323</v>
      </c>
      <c r="AH336" s="246">
        <f>IFERROR(VLOOKUP(F336,PROGRAMAS[],3,FALSE),0)</f>
        <v>3394901471.387517</v>
      </c>
      <c r="AI336" s="246">
        <f>IFERROR(VLOOKUP(G336,PROGRAMAS[],3,FALSE),0)</f>
        <v>125317226.95549992</v>
      </c>
      <c r="AJ336" s="246">
        <f>IFERROR(VLOOKUP(H336,PROGRAMAS[],3,FALSE),0)</f>
        <v>675517840.109828</v>
      </c>
      <c r="AK336" s="246">
        <f>IFERROR(VLOOKUP(I336,PROGRAMAS[],3,FALSE),0)</f>
        <v>2392571243.5584412</v>
      </c>
      <c r="AL336" s="246">
        <f>IFERROR(VLOOKUP(J336,PROGRAMAS[],3,FALSE),0)</f>
        <v>948595847.09039903</v>
      </c>
      <c r="AM336" s="246">
        <f>IFERROR(VLOOKUP(K336,PROGRAMAS[],3,FALSE),0)</f>
        <v>0</v>
      </c>
      <c r="AN336" s="246">
        <f>IFERROR(VLOOKUP(L336,PROGRAMAS[],3,FALSE),0)</f>
        <v>0</v>
      </c>
      <c r="AO336" s="246">
        <f>IFERROR(VLOOKUP(M336,PROGRAMAS[],3,FALSE),0)</f>
        <v>0</v>
      </c>
      <c r="AP336" s="246">
        <f>IFERROR(VLOOKUP(N336,PROGRAMAS[],3,FALSE),0)</f>
        <v>0</v>
      </c>
      <c r="AQ336" s="246">
        <f>IFERROR(VLOOKUP(O336,PROGRAMAS[],3,FALSE),0)</f>
        <v>0</v>
      </c>
      <c r="AR336" s="246">
        <f>IFERROR(VLOOKUP(P336,PROGRAMAS[],3,FALSE),0)</f>
        <v>0</v>
      </c>
      <c r="AS336" s="246">
        <f>IFERROR(VLOOKUP(Q336,PROGRAMAS[],3,FALSE),0)</f>
        <v>0</v>
      </c>
      <c r="AT336" s="246">
        <f>IFERROR(VLOOKUP(D336,VOL_REC[],2,FALSE),0)</f>
        <v>0</v>
      </c>
      <c r="AU336" s="246">
        <f>IFERROR(VLOOKUP(E336,VOL_REC[],2,FALSE),0)</f>
        <v>0</v>
      </c>
      <c r="AV336" s="246">
        <f>IFERROR(VLOOKUP(F336,VOL_REC[],2,FALSE),0)</f>
        <v>11089674.200000001</v>
      </c>
      <c r="AW336" s="246">
        <f>IFERROR(VLOOKUP(G336,VOL_REC[],2,FALSE),0)</f>
        <v>90439.55</v>
      </c>
      <c r="AX336" s="246">
        <f>IFERROR(VLOOKUP(H336,VOL_REC[],2,FALSE),0)</f>
        <v>240696.79238099116</v>
      </c>
      <c r="AY336" s="246">
        <f>IFERROR(VLOOKUP(I336,VOL_REC[],2,FALSE),0)</f>
        <v>663244.80000000016</v>
      </c>
      <c r="AZ336" s="246">
        <f>IFERROR(VLOOKUP(J336,VOL_REC[],2,FALSE),0)</f>
        <v>740113.98115702497</v>
      </c>
      <c r="BA336" s="246">
        <f>IFERROR(VLOOKUP(K336,VOL_REC[],2,FALSE),0)</f>
        <v>0</v>
      </c>
      <c r="BB336" s="246">
        <f>IFERROR(VLOOKUP(L336,VOL_REC[],2,FALSE),0)</f>
        <v>0</v>
      </c>
      <c r="BC336" s="246">
        <f>IFERROR(VLOOKUP(M336,VOL_REC[],2,FALSE),0)</f>
        <v>0</v>
      </c>
      <c r="BD336" s="246">
        <f>IFERROR(VLOOKUP(N336,VOL_REC[],2,FALSE),0)</f>
        <v>0</v>
      </c>
      <c r="BE336" s="246">
        <f>IFERROR(VLOOKUP(O336,VOL_REC[],2,FALSE),0)</f>
        <v>0</v>
      </c>
      <c r="BF336" s="246">
        <f>IFERROR(VLOOKUP(P336,VOL_REC[],2,FALSE),0)</f>
        <v>0</v>
      </c>
      <c r="BG336" s="246">
        <f>IFERROR(VLOOKUP(Q336,VOL_REC[],2,FALSE),0)</f>
        <v>0</v>
      </c>
      <c r="BH336" s="1710">
        <f t="shared" si="20"/>
        <v>10301679023.327675</v>
      </c>
      <c r="BI336" s="1710">
        <f t="shared" si="21"/>
        <v>12227773061.576717</v>
      </c>
      <c r="BJ336" s="1711">
        <f t="shared" si="22"/>
        <v>12824169.323538018</v>
      </c>
      <c r="BK336" s="1711">
        <f t="shared" si="23"/>
        <v>0.84248202607706224</v>
      </c>
    </row>
    <row r="337" spans="3:67" x14ac:dyDescent="0.25">
      <c r="C337" s="246" t="s">
        <v>1687</v>
      </c>
      <c r="D337" s="246">
        <v>1</v>
      </c>
      <c r="E337" s="246">
        <v>2</v>
      </c>
      <c r="F337" s="246">
        <v>3</v>
      </c>
      <c r="G337" s="246">
        <v>4</v>
      </c>
      <c r="H337" s="246">
        <v>12</v>
      </c>
      <c r="I337" s="246">
        <v>14</v>
      </c>
      <c r="J337" s="246">
        <v>15</v>
      </c>
      <c r="K337" s="246"/>
      <c r="L337" s="246"/>
      <c r="M337" s="246"/>
      <c r="N337" s="246"/>
      <c r="O337" s="246"/>
      <c r="P337" s="246"/>
      <c r="Q337" s="246"/>
      <c r="R337" s="246">
        <f>IFERROR(VLOOKUP(D337,PROGRAMAS[],2,FALSE),0)</f>
        <v>97037803.679377079</v>
      </c>
      <c r="S337" s="246">
        <f>IFERROR(VLOOKUP(E337,PROGRAMAS[],2,FALSE),0)</f>
        <v>640501509.6821388</v>
      </c>
      <c r="T337" s="246">
        <f>IFERROR(VLOOKUP(F337,PROGRAMAS[],2,FALSE),0)</f>
        <v>3062327798.1525245</v>
      </c>
      <c r="U337" s="246">
        <f>IFERROR(VLOOKUP(G337,PROGRAMAS[],2,FALSE),0)</f>
        <v>67697118.033011258</v>
      </c>
      <c r="V337" s="246">
        <f>IFERROR(VLOOKUP(H337,PROGRAMAS[],2,FALSE),0)</f>
        <v>764796700.79905891</v>
      </c>
      <c r="W337" s="246">
        <f>IFERROR(VLOOKUP(I337,PROGRAMAS[],2,FALSE),0)</f>
        <v>54223862.645839565</v>
      </c>
      <c r="X337" s="246">
        <f>IFERROR(VLOOKUP(J337,PROGRAMAS[],2,FALSE),0)</f>
        <v>122159672.96346797</v>
      </c>
      <c r="Y337" s="246">
        <f>IFERROR(VLOOKUP(K337,PROGRAMAS[],2,FALSE),0)</f>
        <v>0</v>
      </c>
      <c r="Z337" s="246">
        <f>IFERROR(VLOOKUP(L337,PROGRAMAS[],2,FALSE),0)</f>
        <v>0</v>
      </c>
      <c r="AA337" s="246">
        <f>IFERROR(VLOOKUP(M337,PROGRAMAS[],2,FALSE),0)</f>
        <v>0</v>
      </c>
      <c r="AB337" s="246">
        <f>IFERROR(VLOOKUP(N337,PROGRAMAS[],2,FALSE),0)</f>
        <v>0</v>
      </c>
      <c r="AC337" s="246">
        <f>IFERROR(VLOOKUP(O337,PROGRAMAS[],2,FALSE),0)</f>
        <v>0</v>
      </c>
      <c r="AD337" s="246">
        <f>IFERROR(VLOOKUP(P337,PROGRAMAS[],2,FALSE),0)</f>
        <v>0</v>
      </c>
      <c r="AE337" s="246">
        <f>IFERROR(VLOOKUP(Q337,PROGRAMAS[],2,FALSE),0)</f>
        <v>0</v>
      </c>
      <c r="AF337" s="246">
        <f>IFERROR(VLOOKUP(D337,PROGRAMAS[],3,FALSE),0)</f>
        <v>841888629.31080008</v>
      </c>
      <c r="AG337" s="246">
        <f>IFERROR(VLOOKUP(E337,PROGRAMAS[],3,FALSE),0)</f>
        <v>3848980803.1642323</v>
      </c>
      <c r="AH337" s="246">
        <f>IFERROR(VLOOKUP(F337,PROGRAMAS[],3,FALSE),0)</f>
        <v>3394901471.387517</v>
      </c>
      <c r="AI337" s="246">
        <f>IFERROR(VLOOKUP(G337,PROGRAMAS[],3,FALSE),0)</f>
        <v>125317226.95549992</v>
      </c>
      <c r="AJ337" s="246">
        <f>IFERROR(VLOOKUP(H337,PROGRAMAS[],3,FALSE),0)</f>
        <v>675517840.109828</v>
      </c>
      <c r="AK337" s="246">
        <f>IFERROR(VLOOKUP(I337,PROGRAMAS[],3,FALSE),0)</f>
        <v>31865326.38096505</v>
      </c>
      <c r="AL337" s="246">
        <f>IFERROR(VLOOKUP(J337,PROGRAMAS[],3,FALSE),0)</f>
        <v>118617452.52510804</v>
      </c>
      <c r="AM337" s="246">
        <f>IFERROR(VLOOKUP(K337,PROGRAMAS[],3,FALSE),0)</f>
        <v>0</v>
      </c>
      <c r="AN337" s="246">
        <f>IFERROR(VLOOKUP(L337,PROGRAMAS[],3,FALSE),0)</f>
        <v>0</v>
      </c>
      <c r="AO337" s="246">
        <f>IFERROR(VLOOKUP(M337,PROGRAMAS[],3,FALSE),0)</f>
        <v>0</v>
      </c>
      <c r="AP337" s="246">
        <f>IFERROR(VLOOKUP(N337,PROGRAMAS[],3,FALSE),0)</f>
        <v>0</v>
      </c>
      <c r="AQ337" s="246">
        <f>IFERROR(VLOOKUP(O337,PROGRAMAS[],3,FALSE),0)</f>
        <v>0</v>
      </c>
      <c r="AR337" s="246">
        <f>IFERROR(VLOOKUP(P337,PROGRAMAS[],3,FALSE),0)</f>
        <v>0</v>
      </c>
      <c r="AS337" s="246">
        <f>IFERROR(VLOOKUP(Q337,PROGRAMAS[],3,FALSE),0)</f>
        <v>0</v>
      </c>
      <c r="AT337" s="246">
        <f>IFERROR(VLOOKUP(D337,VOL_REC[],2,FALSE),0)</f>
        <v>0</v>
      </c>
      <c r="AU337" s="246">
        <f>IFERROR(VLOOKUP(E337,VOL_REC[],2,FALSE),0)</f>
        <v>0</v>
      </c>
      <c r="AV337" s="246">
        <f>IFERROR(VLOOKUP(F337,VOL_REC[],2,FALSE),0)</f>
        <v>11089674.200000001</v>
      </c>
      <c r="AW337" s="246">
        <f>IFERROR(VLOOKUP(G337,VOL_REC[],2,FALSE),0)</f>
        <v>90439.55</v>
      </c>
      <c r="AX337" s="246">
        <f>IFERROR(VLOOKUP(H337,VOL_REC[],2,FALSE),0)</f>
        <v>240696.79238099116</v>
      </c>
      <c r="AY337" s="246">
        <f>IFERROR(VLOOKUP(I337,VOL_REC[],2,FALSE),0)</f>
        <v>17074.045034105649</v>
      </c>
      <c r="AZ337" s="246">
        <f>IFERROR(VLOOKUP(J337,VOL_REC[],2,FALSE),0)</f>
        <v>105072</v>
      </c>
      <c r="BA337" s="246">
        <f>IFERROR(VLOOKUP(K337,VOL_REC[],2,FALSE),0)</f>
        <v>0</v>
      </c>
      <c r="BB337" s="246">
        <f>IFERROR(VLOOKUP(L337,VOL_REC[],2,FALSE),0)</f>
        <v>0</v>
      </c>
      <c r="BC337" s="246">
        <f>IFERROR(VLOOKUP(M337,VOL_REC[],2,FALSE),0)</f>
        <v>0</v>
      </c>
      <c r="BD337" s="246">
        <f>IFERROR(VLOOKUP(N337,VOL_REC[],2,FALSE),0)</f>
        <v>0</v>
      </c>
      <c r="BE337" s="246">
        <f>IFERROR(VLOOKUP(O337,VOL_REC[],2,FALSE),0)</f>
        <v>0</v>
      </c>
      <c r="BF337" s="246">
        <f>IFERROR(VLOOKUP(P337,VOL_REC[],2,FALSE),0)</f>
        <v>0</v>
      </c>
      <c r="BG337" s="246">
        <f>IFERROR(VLOOKUP(Q337,VOL_REC[],2,FALSE),0)</f>
        <v>0</v>
      </c>
      <c r="BH337" s="1710">
        <f t="shared" si="20"/>
        <v>4808744465.9554186</v>
      </c>
      <c r="BI337" s="1710">
        <f t="shared" si="21"/>
        <v>9037088749.83395</v>
      </c>
      <c r="BJ337" s="1711">
        <f t="shared" si="22"/>
        <v>11542956.587415097</v>
      </c>
      <c r="BK337" s="1711">
        <f t="shared" si="23"/>
        <v>0.53211212140013298</v>
      </c>
    </row>
    <row r="338" spans="3:67" x14ac:dyDescent="0.25">
      <c r="C338" s="246" t="s">
        <v>1688</v>
      </c>
      <c r="D338" s="246">
        <v>1</v>
      </c>
      <c r="E338" s="246">
        <v>2</v>
      </c>
      <c r="F338" s="246">
        <v>3</v>
      </c>
      <c r="G338" s="246">
        <v>4</v>
      </c>
      <c r="H338" s="246">
        <v>12</v>
      </c>
      <c r="I338" s="246">
        <v>14</v>
      </c>
      <c r="J338" s="246">
        <v>16</v>
      </c>
      <c r="K338" s="246"/>
      <c r="L338" s="246"/>
      <c r="M338" s="246"/>
      <c r="N338" s="246"/>
      <c r="O338" s="246"/>
      <c r="P338" s="246"/>
      <c r="Q338" s="246"/>
      <c r="R338" s="246">
        <f>IFERROR(VLOOKUP(D338,PROGRAMAS[],2,FALSE),0)</f>
        <v>97037803.679377079</v>
      </c>
      <c r="S338" s="246">
        <f>IFERROR(VLOOKUP(E338,PROGRAMAS[],2,FALSE),0)</f>
        <v>640501509.6821388</v>
      </c>
      <c r="T338" s="246">
        <f>IFERROR(VLOOKUP(F338,PROGRAMAS[],2,FALSE),0)</f>
        <v>3062327798.1525245</v>
      </c>
      <c r="U338" s="246">
        <f>IFERROR(VLOOKUP(G338,PROGRAMAS[],2,FALSE),0)</f>
        <v>67697118.033011258</v>
      </c>
      <c r="V338" s="246">
        <f>IFERROR(VLOOKUP(H338,PROGRAMAS[],2,FALSE),0)</f>
        <v>764796700.79905891</v>
      </c>
      <c r="W338" s="246">
        <f>IFERROR(VLOOKUP(I338,PROGRAMAS[],2,FALSE),0)</f>
        <v>54223862.645839565</v>
      </c>
      <c r="X338" s="246">
        <f>IFERROR(VLOOKUP(J338,PROGRAMAS[],2,FALSE),0)</f>
        <v>7068496961.0436354</v>
      </c>
      <c r="Y338" s="246">
        <f>IFERROR(VLOOKUP(K338,PROGRAMAS[],2,FALSE),0)</f>
        <v>0</v>
      </c>
      <c r="Z338" s="246">
        <f>IFERROR(VLOOKUP(L338,PROGRAMAS[],2,FALSE),0)</f>
        <v>0</v>
      </c>
      <c r="AA338" s="246">
        <f>IFERROR(VLOOKUP(M338,PROGRAMAS[],2,FALSE),0)</f>
        <v>0</v>
      </c>
      <c r="AB338" s="246">
        <f>IFERROR(VLOOKUP(N338,PROGRAMAS[],2,FALSE),0)</f>
        <v>0</v>
      </c>
      <c r="AC338" s="246">
        <f>IFERROR(VLOOKUP(O338,PROGRAMAS[],2,FALSE),0)</f>
        <v>0</v>
      </c>
      <c r="AD338" s="246">
        <f>IFERROR(VLOOKUP(P338,PROGRAMAS[],2,FALSE),0)</f>
        <v>0</v>
      </c>
      <c r="AE338" s="246">
        <f>IFERROR(VLOOKUP(Q338,PROGRAMAS[],2,FALSE),0)</f>
        <v>0</v>
      </c>
      <c r="AF338" s="246">
        <f>IFERROR(VLOOKUP(D338,PROGRAMAS[],3,FALSE),0)</f>
        <v>841888629.31080008</v>
      </c>
      <c r="AG338" s="246">
        <f>IFERROR(VLOOKUP(E338,PROGRAMAS[],3,FALSE),0)</f>
        <v>3848980803.1642323</v>
      </c>
      <c r="AH338" s="246">
        <f>IFERROR(VLOOKUP(F338,PROGRAMAS[],3,FALSE),0)</f>
        <v>3394901471.387517</v>
      </c>
      <c r="AI338" s="246">
        <f>IFERROR(VLOOKUP(G338,PROGRAMAS[],3,FALSE),0)</f>
        <v>125317226.95549992</v>
      </c>
      <c r="AJ338" s="246">
        <f>IFERROR(VLOOKUP(H338,PROGRAMAS[],3,FALSE),0)</f>
        <v>675517840.109828</v>
      </c>
      <c r="AK338" s="246">
        <f>IFERROR(VLOOKUP(I338,PROGRAMAS[],3,FALSE),0)</f>
        <v>31865326.38096505</v>
      </c>
      <c r="AL338" s="246">
        <f>IFERROR(VLOOKUP(J338,PROGRAMAS[],3,FALSE),0)</f>
        <v>2406564599.0319901</v>
      </c>
      <c r="AM338" s="246">
        <f>IFERROR(VLOOKUP(K338,PROGRAMAS[],3,FALSE),0)</f>
        <v>0</v>
      </c>
      <c r="AN338" s="246">
        <f>IFERROR(VLOOKUP(L338,PROGRAMAS[],3,FALSE),0)</f>
        <v>0</v>
      </c>
      <c r="AO338" s="246">
        <f>IFERROR(VLOOKUP(M338,PROGRAMAS[],3,FALSE),0)</f>
        <v>0</v>
      </c>
      <c r="AP338" s="246">
        <f>IFERROR(VLOOKUP(N338,PROGRAMAS[],3,FALSE),0)</f>
        <v>0</v>
      </c>
      <c r="AQ338" s="246">
        <f>IFERROR(VLOOKUP(O338,PROGRAMAS[],3,FALSE),0)</f>
        <v>0</v>
      </c>
      <c r="AR338" s="246">
        <f>IFERROR(VLOOKUP(P338,PROGRAMAS[],3,FALSE),0)</f>
        <v>0</v>
      </c>
      <c r="AS338" s="246">
        <f>IFERROR(VLOOKUP(Q338,PROGRAMAS[],3,FALSE),0)</f>
        <v>0</v>
      </c>
      <c r="AT338" s="246">
        <f>IFERROR(VLOOKUP(D338,VOL_REC[],2,FALSE),0)</f>
        <v>0</v>
      </c>
      <c r="AU338" s="246">
        <f>IFERROR(VLOOKUP(E338,VOL_REC[],2,FALSE),0)</f>
        <v>0</v>
      </c>
      <c r="AV338" s="246">
        <f>IFERROR(VLOOKUP(F338,VOL_REC[],2,FALSE),0)</f>
        <v>11089674.200000001</v>
      </c>
      <c r="AW338" s="246">
        <f>IFERROR(VLOOKUP(G338,VOL_REC[],2,FALSE),0)</f>
        <v>90439.55</v>
      </c>
      <c r="AX338" s="246">
        <f>IFERROR(VLOOKUP(H338,VOL_REC[],2,FALSE),0)</f>
        <v>240696.79238099116</v>
      </c>
      <c r="AY338" s="246">
        <f>IFERROR(VLOOKUP(I338,VOL_REC[],2,FALSE),0)</f>
        <v>17074.045034105649</v>
      </c>
      <c r="AZ338" s="246">
        <f>IFERROR(VLOOKUP(J338,VOL_REC[],2,FALSE),0)</f>
        <v>1072354.9981737854</v>
      </c>
      <c r="BA338" s="246">
        <f>IFERROR(VLOOKUP(K338,VOL_REC[],2,FALSE),0)</f>
        <v>0</v>
      </c>
      <c r="BB338" s="246">
        <f>IFERROR(VLOOKUP(L338,VOL_REC[],2,FALSE),0)</f>
        <v>0</v>
      </c>
      <c r="BC338" s="246">
        <f>IFERROR(VLOOKUP(M338,VOL_REC[],2,FALSE),0)</f>
        <v>0</v>
      </c>
      <c r="BD338" s="246">
        <f>IFERROR(VLOOKUP(N338,VOL_REC[],2,FALSE),0)</f>
        <v>0</v>
      </c>
      <c r="BE338" s="246">
        <f>IFERROR(VLOOKUP(O338,VOL_REC[],2,FALSE),0)</f>
        <v>0</v>
      </c>
      <c r="BF338" s="246">
        <f>IFERROR(VLOOKUP(P338,VOL_REC[],2,FALSE),0)</f>
        <v>0</v>
      </c>
      <c r="BG338" s="246">
        <f>IFERROR(VLOOKUP(Q338,VOL_REC[],2,FALSE),0)</f>
        <v>0</v>
      </c>
      <c r="BH338" s="1710">
        <f t="shared" si="20"/>
        <v>11755081754.035587</v>
      </c>
      <c r="BI338" s="1710">
        <f t="shared" si="21"/>
        <v>11325035896.340832</v>
      </c>
      <c r="BJ338" s="1711">
        <f t="shared" si="22"/>
        <v>12510239.585588884</v>
      </c>
      <c r="BK338" s="1711">
        <f t="shared" si="23"/>
        <v>1.0379730238059295</v>
      </c>
      <c r="BL338">
        <f>BJ338</f>
        <v>12510239.585588884</v>
      </c>
      <c r="BO338">
        <f>BL338</f>
        <v>12510239.585588884</v>
      </c>
    </row>
    <row r="339" spans="3:67" x14ac:dyDescent="0.25">
      <c r="C339" s="246" t="s">
        <v>1689</v>
      </c>
      <c r="D339" s="246">
        <v>1</v>
      </c>
      <c r="E339" s="246">
        <v>2</v>
      </c>
      <c r="F339" s="246">
        <v>3</v>
      </c>
      <c r="G339" s="246">
        <v>4</v>
      </c>
      <c r="H339" s="246">
        <v>12</v>
      </c>
      <c r="I339" s="246">
        <v>14</v>
      </c>
      <c r="J339" s="246">
        <v>17</v>
      </c>
      <c r="K339" s="246"/>
      <c r="L339" s="246"/>
      <c r="M339" s="246"/>
      <c r="N339" s="246"/>
      <c r="O339" s="246"/>
      <c r="P339" s="246"/>
      <c r="Q339" s="246"/>
      <c r="R339" s="246">
        <f>IFERROR(VLOOKUP(D339,PROGRAMAS[],2,FALSE),0)</f>
        <v>97037803.679377079</v>
      </c>
      <c r="S339" s="246">
        <f>IFERROR(VLOOKUP(E339,PROGRAMAS[],2,FALSE),0)</f>
        <v>640501509.6821388</v>
      </c>
      <c r="T339" s="246">
        <f>IFERROR(VLOOKUP(F339,PROGRAMAS[],2,FALSE),0)</f>
        <v>3062327798.1525245</v>
      </c>
      <c r="U339" s="246">
        <f>IFERROR(VLOOKUP(G339,PROGRAMAS[],2,FALSE),0)</f>
        <v>67697118.033011258</v>
      </c>
      <c r="V339" s="246">
        <f>IFERROR(VLOOKUP(H339,PROGRAMAS[],2,FALSE),0)</f>
        <v>764796700.79905891</v>
      </c>
      <c r="W339" s="246">
        <f>IFERROR(VLOOKUP(I339,PROGRAMAS[],2,FALSE),0)</f>
        <v>54223862.645839565</v>
      </c>
      <c r="X339" s="246">
        <f>IFERROR(VLOOKUP(J339,PROGRAMAS[],2,FALSE),0)</f>
        <v>1892779498.5211046</v>
      </c>
      <c r="Y339" s="246">
        <f>IFERROR(VLOOKUP(K339,PROGRAMAS[],2,FALSE),0)</f>
        <v>0</v>
      </c>
      <c r="Z339" s="246">
        <f>IFERROR(VLOOKUP(L339,PROGRAMAS[],2,FALSE),0)</f>
        <v>0</v>
      </c>
      <c r="AA339" s="246">
        <f>IFERROR(VLOOKUP(M339,PROGRAMAS[],2,FALSE),0)</f>
        <v>0</v>
      </c>
      <c r="AB339" s="246">
        <f>IFERROR(VLOOKUP(N339,PROGRAMAS[],2,FALSE),0)</f>
        <v>0</v>
      </c>
      <c r="AC339" s="246">
        <f>IFERROR(VLOOKUP(O339,PROGRAMAS[],2,FALSE),0)</f>
        <v>0</v>
      </c>
      <c r="AD339" s="246">
        <f>IFERROR(VLOOKUP(P339,PROGRAMAS[],2,FALSE),0)</f>
        <v>0</v>
      </c>
      <c r="AE339" s="246">
        <f>IFERROR(VLOOKUP(Q339,PROGRAMAS[],2,FALSE),0)</f>
        <v>0</v>
      </c>
      <c r="AF339" s="246">
        <f>IFERROR(VLOOKUP(D339,PROGRAMAS[],3,FALSE),0)</f>
        <v>841888629.31080008</v>
      </c>
      <c r="AG339" s="246">
        <f>IFERROR(VLOOKUP(E339,PROGRAMAS[],3,FALSE),0)</f>
        <v>3848980803.1642323</v>
      </c>
      <c r="AH339" s="246">
        <f>IFERROR(VLOOKUP(F339,PROGRAMAS[],3,FALSE),0)</f>
        <v>3394901471.387517</v>
      </c>
      <c r="AI339" s="246">
        <f>IFERROR(VLOOKUP(G339,PROGRAMAS[],3,FALSE),0)</f>
        <v>125317226.95549992</v>
      </c>
      <c r="AJ339" s="246">
        <f>IFERROR(VLOOKUP(H339,PROGRAMAS[],3,FALSE),0)</f>
        <v>675517840.109828</v>
      </c>
      <c r="AK339" s="246">
        <f>IFERROR(VLOOKUP(I339,PROGRAMAS[],3,FALSE),0)</f>
        <v>31865326.38096505</v>
      </c>
      <c r="AL339" s="246">
        <f>IFERROR(VLOOKUP(J339,PROGRAMAS[],3,FALSE),0)</f>
        <v>948595847.09039903</v>
      </c>
      <c r="AM339" s="246">
        <f>IFERROR(VLOOKUP(K339,PROGRAMAS[],3,FALSE),0)</f>
        <v>0</v>
      </c>
      <c r="AN339" s="246">
        <f>IFERROR(VLOOKUP(L339,PROGRAMAS[],3,FALSE),0)</f>
        <v>0</v>
      </c>
      <c r="AO339" s="246">
        <f>IFERROR(VLOOKUP(M339,PROGRAMAS[],3,FALSE),0)</f>
        <v>0</v>
      </c>
      <c r="AP339" s="246">
        <f>IFERROR(VLOOKUP(N339,PROGRAMAS[],3,FALSE),0)</f>
        <v>0</v>
      </c>
      <c r="AQ339" s="246">
        <f>IFERROR(VLOOKUP(O339,PROGRAMAS[],3,FALSE),0)</f>
        <v>0</v>
      </c>
      <c r="AR339" s="246">
        <f>IFERROR(VLOOKUP(P339,PROGRAMAS[],3,FALSE),0)</f>
        <v>0</v>
      </c>
      <c r="AS339" s="246">
        <f>IFERROR(VLOOKUP(Q339,PROGRAMAS[],3,FALSE),0)</f>
        <v>0</v>
      </c>
      <c r="AT339" s="246">
        <f>IFERROR(VLOOKUP(D339,VOL_REC[],2,FALSE),0)</f>
        <v>0</v>
      </c>
      <c r="AU339" s="246">
        <f>IFERROR(VLOOKUP(E339,VOL_REC[],2,FALSE),0)</f>
        <v>0</v>
      </c>
      <c r="AV339" s="246">
        <f>IFERROR(VLOOKUP(F339,VOL_REC[],2,FALSE),0)</f>
        <v>11089674.200000001</v>
      </c>
      <c r="AW339" s="246">
        <f>IFERROR(VLOOKUP(G339,VOL_REC[],2,FALSE),0)</f>
        <v>90439.55</v>
      </c>
      <c r="AX339" s="246">
        <f>IFERROR(VLOOKUP(H339,VOL_REC[],2,FALSE),0)</f>
        <v>240696.79238099116</v>
      </c>
      <c r="AY339" s="246">
        <f>IFERROR(VLOOKUP(I339,VOL_REC[],2,FALSE),0)</f>
        <v>17074.045034105649</v>
      </c>
      <c r="AZ339" s="246">
        <f>IFERROR(VLOOKUP(J339,VOL_REC[],2,FALSE),0)</f>
        <v>740113.98115702497</v>
      </c>
      <c r="BA339" s="246">
        <f>IFERROR(VLOOKUP(K339,VOL_REC[],2,FALSE),0)</f>
        <v>0</v>
      </c>
      <c r="BB339" s="246">
        <f>IFERROR(VLOOKUP(L339,VOL_REC[],2,FALSE),0)</f>
        <v>0</v>
      </c>
      <c r="BC339" s="246">
        <f>IFERROR(VLOOKUP(M339,VOL_REC[],2,FALSE),0)</f>
        <v>0</v>
      </c>
      <c r="BD339" s="246">
        <f>IFERROR(VLOOKUP(N339,VOL_REC[],2,FALSE),0)</f>
        <v>0</v>
      </c>
      <c r="BE339" s="246">
        <f>IFERROR(VLOOKUP(O339,VOL_REC[],2,FALSE),0)</f>
        <v>0</v>
      </c>
      <c r="BF339" s="246">
        <f>IFERROR(VLOOKUP(P339,VOL_REC[],2,FALSE),0)</f>
        <v>0</v>
      </c>
      <c r="BG339" s="246">
        <f>IFERROR(VLOOKUP(Q339,VOL_REC[],2,FALSE),0)</f>
        <v>0</v>
      </c>
      <c r="BH339" s="1710">
        <f t="shared" si="20"/>
        <v>6579364291.5130558</v>
      </c>
      <c r="BI339" s="1710">
        <f t="shared" si="21"/>
        <v>9867067144.3992405</v>
      </c>
      <c r="BJ339" s="1711">
        <f t="shared" si="22"/>
        <v>12177998.568572123</v>
      </c>
      <c r="BK339" s="1711">
        <f t="shared" si="23"/>
        <v>0.66680039724343465</v>
      </c>
    </row>
    <row r="340" spans="3:67" x14ac:dyDescent="0.25">
      <c r="C340" s="246" t="s">
        <v>1690</v>
      </c>
      <c r="D340" s="246">
        <v>1</v>
      </c>
      <c r="E340" s="246">
        <v>2</v>
      </c>
      <c r="F340" s="246">
        <v>3</v>
      </c>
      <c r="G340" s="246">
        <v>4</v>
      </c>
      <c r="H340" s="246">
        <v>12</v>
      </c>
      <c r="I340" s="246">
        <v>15</v>
      </c>
      <c r="J340" s="246">
        <v>16</v>
      </c>
      <c r="K340" s="246"/>
      <c r="L340" s="246"/>
      <c r="M340" s="246"/>
      <c r="N340" s="246"/>
      <c r="O340" s="246"/>
      <c r="P340" s="246"/>
      <c r="Q340" s="246"/>
      <c r="R340" s="246">
        <f>IFERROR(VLOOKUP(D340,PROGRAMAS[],2,FALSE),0)</f>
        <v>97037803.679377079</v>
      </c>
      <c r="S340" s="246">
        <f>IFERROR(VLOOKUP(E340,PROGRAMAS[],2,FALSE),0)</f>
        <v>640501509.6821388</v>
      </c>
      <c r="T340" s="246">
        <f>IFERROR(VLOOKUP(F340,PROGRAMAS[],2,FALSE),0)</f>
        <v>3062327798.1525245</v>
      </c>
      <c r="U340" s="246">
        <f>IFERROR(VLOOKUP(G340,PROGRAMAS[],2,FALSE),0)</f>
        <v>67697118.033011258</v>
      </c>
      <c r="V340" s="246">
        <f>IFERROR(VLOOKUP(H340,PROGRAMAS[],2,FALSE),0)</f>
        <v>764796700.79905891</v>
      </c>
      <c r="W340" s="246">
        <f>IFERROR(VLOOKUP(I340,PROGRAMAS[],2,FALSE),0)</f>
        <v>122159672.96346797</v>
      </c>
      <c r="X340" s="246">
        <f>IFERROR(VLOOKUP(J340,PROGRAMAS[],2,FALSE),0)</f>
        <v>7068496961.0436354</v>
      </c>
      <c r="Y340" s="246">
        <f>IFERROR(VLOOKUP(K340,PROGRAMAS[],2,FALSE),0)</f>
        <v>0</v>
      </c>
      <c r="Z340" s="246">
        <f>IFERROR(VLOOKUP(L340,PROGRAMAS[],2,FALSE),0)</f>
        <v>0</v>
      </c>
      <c r="AA340" s="246">
        <f>IFERROR(VLOOKUP(M340,PROGRAMAS[],2,FALSE),0)</f>
        <v>0</v>
      </c>
      <c r="AB340" s="246">
        <f>IFERROR(VLOOKUP(N340,PROGRAMAS[],2,FALSE),0)</f>
        <v>0</v>
      </c>
      <c r="AC340" s="246">
        <f>IFERROR(VLOOKUP(O340,PROGRAMAS[],2,FALSE),0)</f>
        <v>0</v>
      </c>
      <c r="AD340" s="246">
        <f>IFERROR(VLOOKUP(P340,PROGRAMAS[],2,FALSE),0)</f>
        <v>0</v>
      </c>
      <c r="AE340" s="246">
        <f>IFERROR(VLOOKUP(Q340,PROGRAMAS[],2,FALSE),0)</f>
        <v>0</v>
      </c>
      <c r="AF340" s="246">
        <f>IFERROR(VLOOKUP(D340,PROGRAMAS[],3,FALSE),0)</f>
        <v>841888629.31080008</v>
      </c>
      <c r="AG340" s="246">
        <f>IFERROR(VLOOKUP(E340,PROGRAMAS[],3,FALSE),0)</f>
        <v>3848980803.1642323</v>
      </c>
      <c r="AH340" s="246">
        <f>IFERROR(VLOOKUP(F340,PROGRAMAS[],3,FALSE),0)</f>
        <v>3394901471.387517</v>
      </c>
      <c r="AI340" s="246">
        <f>IFERROR(VLOOKUP(G340,PROGRAMAS[],3,FALSE),0)</f>
        <v>125317226.95549992</v>
      </c>
      <c r="AJ340" s="246">
        <f>IFERROR(VLOOKUP(H340,PROGRAMAS[],3,FALSE),0)</f>
        <v>675517840.109828</v>
      </c>
      <c r="AK340" s="246">
        <f>IFERROR(VLOOKUP(I340,PROGRAMAS[],3,FALSE),0)</f>
        <v>118617452.52510804</v>
      </c>
      <c r="AL340" s="246">
        <f>IFERROR(VLOOKUP(J340,PROGRAMAS[],3,FALSE),0)</f>
        <v>2406564599.0319901</v>
      </c>
      <c r="AM340" s="246">
        <f>IFERROR(VLOOKUP(K340,PROGRAMAS[],3,FALSE),0)</f>
        <v>0</v>
      </c>
      <c r="AN340" s="246">
        <f>IFERROR(VLOOKUP(L340,PROGRAMAS[],3,FALSE),0)</f>
        <v>0</v>
      </c>
      <c r="AO340" s="246">
        <f>IFERROR(VLOOKUP(M340,PROGRAMAS[],3,FALSE),0)</f>
        <v>0</v>
      </c>
      <c r="AP340" s="246">
        <f>IFERROR(VLOOKUP(N340,PROGRAMAS[],3,FALSE),0)</f>
        <v>0</v>
      </c>
      <c r="AQ340" s="246">
        <f>IFERROR(VLOOKUP(O340,PROGRAMAS[],3,FALSE),0)</f>
        <v>0</v>
      </c>
      <c r="AR340" s="246">
        <f>IFERROR(VLOOKUP(P340,PROGRAMAS[],3,FALSE),0)</f>
        <v>0</v>
      </c>
      <c r="AS340" s="246">
        <f>IFERROR(VLOOKUP(Q340,PROGRAMAS[],3,FALSE),0)</f>
        <v>0</v>
      </c>
      <c r="AT340" s="246">
        <f>IFERROR(VLOOKUP(D340,VOL_REC[],2,FALSE),0)</f>
        <v>0</v>
      </c>
      <c r="AU340" s="246">
        <f>IFERROR(VLOOKUP(E340,VOL_REC[],2,FALSE),0)</f>
        <v>0</v>
      </c>
      <c r="AV340" s="246">
        <f>IFERROR(VLOOKUP(F340,VOL_REC[],2,FALSE),0)</f>
        <v>11089674.200000001</v>
      </c>
      <c r="AW340" s="246">
        <f>IFERROR(VLOOKUP(G340,VOL_REC[],2,FALSE),0)</f>
        <v>90439.55</v>
      </c>
      <c r="AX340" s="246">
        <f>IFERROR(VLOOKUP(H340,VOL_REC[],2,FALSE),0)</f>
        <v>240696.79238099116</v>
      </c>
      <c r="AY340" s="246">
        <f>IFERROR(VLOOKUP(I340,VOL_REC[],2,FALSE),0)</f>
        <v>105072</v>
      </c>
      <c r="AZ340" s="246">
        <f>IFERROR(VLOOKUP(J340,VOL_REC[],2,FALSE),0)</f>
        <v>1072354.9981737854</v>
      </c>
      <c r="BA340" s="246">
        <f>IFERROR(VLOOKUP(K340,VOL_REC[],2,FALSE),0)</f>
        <v>0</v>
      </c>
      <c r="BB340" s="246">
        <f>IFERROR(VLOOKUP(L340,VOL_REC[],2,FALSE),0)</f>
        <v>0</v>
      </c>
      <c r="BC340" s="246">
        <f>IFERROR(VLOOKUP(M340,VOL_REC[],2,FALSE),0)</f>
        <v>0</v>
      </c>
      <c r="BD340" s="246">
        <f>IFERROR(VLOOKUP(N340,VOL_REC[],2,FALSE),0)</f>
        <v>0</v>
      </c>
      <c r="BE340" s="246">
        <f>IFERROR(VLOOKUP(O340,VOL_REC[],2,FALSE),0)</f>
        <v>0</v>
      </c>
      <c r="BF340" s="246">
        <f>IFERROR(VLOOKUP(P340,VOL_REC[],2,FALSE),0)</f>
        <v>0</v>
      </c>
      <c r="BG340" s="246">
        <f>IFERROR(VLOOKUP(Q340,VOL_REC[],2,FALSE),0)</f>
        <v>0</v>
      </c>
      <c r="BH340" s="1710">
        <f t="shared" si="20"/>
        <v>11823017564.353214</v>
      </c>
      <c r="BI340" s="1710">
        <f t="shared" si="21"/>
        <v>11411788022.484976</v>
      </c>
      <c r="BJ340" s="1711">
        <f t="shared" si="22"/>
        <v>12598237.540554777</v>
      </c>
      <c r="BK340" s="1711">
        <f t="shared" si="23"/>
        <v>1.0360355047831227</v>
      </c>
      <c r="BL340">
        <f>BJ340</f>
        <v>12598237.540554777</v>
      </c>
      <c r="BO340">
        <f>BL340</f>
        <v>12598237.540554777</v>
      </c>
    </row>
    <row r="341" spans="3:67" x14ac:dyDescent="0.25">
      <c r="C341" s="246" t="s">
        <v>1691</v>
      </c>
      <c r="D341" s="246">
        <v>1</v>
      </c>
      <c r="E341" s="246">
        <v>2</v>
      </c>
      <c r="F341" s="246">
        <v>3</v>
      </c>
      <c r="G341" s="246">
        <v>4</v>
      </c>
      <c r="H341" s="246">
        <v>12</v>
      </c>
      <c r="I341" s="246">
        <v>15</v>
      </c>
      <c r="J341" s="246">
        <v>17</v>
      </c>
      <c r="K341" s="246"/>
      <c r="L341" s="246"/>
      <c r="M341" s="246"/>
      <c r="N341" s="246"/>
      <c r="O341" s="246"/>
      <c r="P341" s="246"/>
      <c r="Q341" s="246"/>
      <c r="R341" s="246">
        <f>IFERROR(VLOOKUP(D341,PROGRAMAS[],2,FALSE),0)</f>
        <v>97037803.679377079</v>
      </c>
      <c r="S341" s="246">
        <f>IFERROR(VLOOKUP(E341,PROGRAMAS[],2,FALSE),0)</f>
        <v>640501509.6821388</v>
      </c>
      <c r="T341" s="246">
        <f>IFERROR(VLOOKUP(F341,PROGRAMAS[],2,FALSE),0)</f>
        <v>3062327798.1525245</v>
      </c>
      <c r="U341" s="246">
        <f>IFERROR(VLOOKUP(G341,PROGRAMAS[],2,FALSE),0)</f>
        <v>67697118.033011258</v>
      </c>
      <c r="V341" s="246">
        <f>IFERROR(VLOOKUP(H341,PROGRAMAS[],2,FALSE),0)</f>
        <v>764796700.79905891</v>
      </c>
      <c r="W341" s="246">
        <f>IFERROR(VLOOKUP(I341,PROGRAMAS[],2,FALSE),0)</f>
        <v>122159672.96346797</v>
      </c>
      <c r="X341" s="246">
        <f>IFERROR(VLOOKUP(J341,PROGRAMAS[],2,FALSE),0)</f>
        <v>1892779498.5211046</v>
      </c>
      <c r="Y341" s="246">
        <f>IFERROR(VLOOKUP(K341,PROGRAMAS[],2,FALSE),0)</f>
        <v>0</v>
      </c>
      <c r="Z341" s="246">
        <f>IFERROR(VLOOKUP(L341,PROGRAMAS[],2,FALSE),0)</f>
        <v>0</v>
      </c>
      <c r="AA341" s="246">
        <f>IFERROR(VLOOKUP(M341,PROGRAMAS[],2,FALSE),0)</f>
        <v>0</v>
      </c>
      <c r="AB341" s="246">
        <f>IFERROR(VLOOKUP(N341,PROGRAMAS[],2,FALSE),0)</f>
        <v>0</v>
      </c>
      <c r="AC341" s="246">
        <f>IFERROR(VLOOKUP(O341,PROGRAMAS[],2,FALSE),0)</f>
        <v>0</v>
      </c>
      <c r="AD341" s="246">
        <f>IFERROR(VLOOKUP(P341,PROGRAMAS[],2,FALSE),0)</f>
        <v>0</v>
      </c>
      <c r="AE341" s="246">
        <f>IFERROR(VLOOKUP(Q341,PROGRAMAS[],2,FALSE),0)</f>
        <v>0</v>
      </c>
      <c r="AF341" s="246">
        <f>IFERROR(VLOOKUP(D341,PROGRAMAS[],3,FALSE),0)</f>
        <v>841888629.31080008</v>
      </c>
      <c r="AG341" s="246">
        <f>IFERROR(VLOOKUP(E341,PROGRAMAS[],3,FALSE),0)</f>
        <v>3848980803.1642323</v>
      </c>
      <c r="AH341" s="246">
        <f>IFERROR(VLOOKUP(F341,PROGRAMAS[],3,FALSE),0)</f>
        <v>3394901471.387517</v>
      </c>
      <c r="AI341" s="246">
        <f>IFERROR(VLOOKUP(G341,PROGRAMAS[],3,FALSE),0)</f>
        <v>125317226.95549992</v>
      </c>
      <c r="AJ341" s="246">
        <f>IFERROR(VLOOKUP(H341,PROGRAMAS[],3,FALSE),0)</f>
        <v>675517840.109828</v>
      </c>
      <c r="AK341" s="246">
        <f>IFERROR(VLOOKUP(I341,PROGRAMAS[],3,FALSE),0)</f>
        <v>118617452.52510804</v>
      </c>
      <c r="AL341" s="246">
        <f>IFERROR(VLOOKUP(J341,PROGRAMAS[],3,FALSE),0)</f>
        <v>948595847.09039903</v>
      </c>
      <c r="AM341" s="246">
        <f>IFERROR(VLOOKUP(K341,PROGRAMAS[],3,FALSE),0)</f>
        <v>0</v>
      </c>
      <c r="AN341" s="246">
        <f>IFERROR(VLOOKUP(L341,PROGRAMAS[],3,FALSE),0)</f>
        <v>0</v>
      </c>
      <c r="AO341" s="246">
        <f>IFERROR(VLOOKUP(M341,PROGRAMAS[],3,FALSE),0)</f>
        <v>0</v>
      </c>
      <c r="AP341" s="246">
        <f>IFERROR(VLOOKUP(N341,PROGRAMAS[],3,FALSE),0)</f>
        <v>0</v>
      </c>
      <c r="AQ341" s="246">
        <f>IFERROR(VLOOKUP(O341,PROGRAMAS[],3,FALSE),0)</f>
        <v>0</v>
      </c>
      <c r="AR341" s="246">
        <f>IFERROR(VLOOKUP(P341,PROGRAMAS[],3,FALSE),0)</f>
        <v>0</v>
      </c>
      <c r="AS341" s="246">
        <f>IFERROR(VLOOKUP(Q341,PROGRAMAS[],3,FALSE),0)</f>
        <v>0</v>
      </c>
      <c r="AT341" s="246">
        <f>IFERROR(VLOOKUP(D341,VOL_REC[],2,FALSE),0)</f>
        <v>0</v>
      </c>
      <c r="AU341" s="246">
        <f>IFERROR(VLOOKUP(E341,VOL_REC[],2,FALSE),0)</f>
        <v>0</v>
      </c>
      <c r="AV341" s="246">
        <f>IFERROR(VLOOKUP(F341,VOL_REC[],2,FALSE),0)</f>
        <v>11089674.200000001</v>
      </c>
      <c r="AW341" s="246">
        <f>IFERROR(VLOOKUP(G341,VOL_REC[],2,FALSE),0)</f>
        <v>90439.55</v>
      </c>
      <c r="AX341" s="246">
        <f>IFERROR(VLOOKUP(H341,VOL_REC[],2,FALSE),0)</f>
        <v>240696.79238099116</v>
      </c>
      <c r="AY341" s="246">
        <f>IFERROR(VLOOKUP(I341,VOL_REC[],2,FALSE),0)</f>
        <v>105072</v>
      </c>
      <c r="AZ341" s="246">
        <f>IFERROR(VLOOKUP(J341,VOL_REC[],2,FALSE),0)</f>
        <v>740113.98115702497</v>
      </c>
      <c r="BA341" s="246">
        <f>IFERROR(VLOOKUP(K341,VOL_REC[],2,FALSE),0)</f>
        <v>0</v>
      </c>
      <c r="BB341" s="246">
        <f>IFERROR(VLOOKUP(L341,VOL_REC[],2,FALSE),0)</f>
        <v>0</v>
      </c>
      <c r="BC341" s="246">
        <f>IFERROR(VLOOKUP(M341,VOL_REC[],2,FALSE),0)</f>
        <v>0</v>
      </c>
      <c r="BD341" s="246">
        <f>IFERROR(VLOOKUP(N341,VOL_REC[],2,FALSE),0)</f>
        <v>0</v>
      </c>
      <c r="BE341" s="246">
        <f>IFERROR(VLOOKUP(O341,VOL_REC[],2,FALSE),0)</f>
        <v>0</v>
      </c>
      <c r="BF341" s="246">
        <f>IFERROR(VLOOKUP(P341,VOL_REC[],2,FALSE),0)</f>
        <v>0</v>
      </c>
      <c r="BG341" s="246">
        <f>IFERROR(VLOOKUP(Q341,VOL_REC[],2,FALSE),0)</f>
        <v>0</v>
      </c>
      <c r="BH341" s="1710">
        <f t="shared" si="20"/>
        <v>6647300101.8306837</v>
      </c>
      <c r="BI341" s="1710">
        <f t="shared" si="21"/>
        <v>9953819270.5433846</v>
      </c>
      <c r="BJ341" s="1711">
        <f t="shared" si="22"/>
        <v>12265996.523538018</v>
      </c>
      <c r="BK341" s="1711">
        <f t="shared" si="23"/>
        <v>0.66781402406031465</v>
      </c>
    </row>
    <row r="342" spans="3:67" x14ac:dyDescent="0.25">
      <c r="C342" s="246" t="s">
        <v>1692</v>
      </c>
      <c r="D342" s="246">
        <v>1</v>
      </c>
      <c r="E342" s="246">
        <v>2</v>
      </c>
      <c r="F342" s="246">
        <v>3</v>
      </c>
      <c r="G342" s="246">
        <v>4</v>
      </c>
      <c r="H342" s="246">
        <v>12</v>
      </c>
      <c r="I342" s="246">
        <v>16</v>
      </c>
      <c r="J342" s="246">
        <v>17</v>
      </c>
      <c r="K342" s="246"/>
      <c r="L342" s="246"/>
      <c r="M342" s="246"/>
      <c r="N342" s="246"/>
      <c r="O342" s="246"/>
      <c r="P342" s="246"/>
      <c r="Q342" s="246"/>
      <c r="R342" s="246">
        <f>IFERROR(VLOOKUP(D342,PROGRAMAS[],2,FALSE),0)</f>
        <v>97037803.679377079</v>
      </c>
      <c r="S342" s="246">
        <f>IFERROR(VLOOKUP(E342,PROGRAMAS[],2,FALSE),0)</f>
        <v>640501509.6821388</v>
      </c>
      <c r="T342" s="246">
        <f>IFERROR(VLOOKUP(F342,PROGRAMAS[],2,FALSE),0)</f>
        <v>3062327798.1525245</v>
      </c>
      <c r="U342" s="246">
        <f>IFERROR(VLOOKUP(G342,PROGRAMAS[],2,FALSE),0)</f>
        <v>67697118.033011258</v>
      </c>
      <c r="V342" s="246">
        <f>IFERROR(VLOOKUP(H342,PROGRAMAS[],2,FALSE),0)</f>
        <v>764796700.79905891</v>
      </c>
      <c r="W342" s="246">
        <f>IFERROR(VLOOKUP(I342,PROGRAMAS[],2,FALSE),0)</f>
        <v>7068496961.0436354</v>
      </c>
      <c r="X342" s="246">
        <f>IFERROR(VLOOKUP(J342,PROGRAMAS[],2,FALSE),0)</f>
        <v>1892779498.5211046</v>
      </c>
      <c r="Y342" s="246">
        <f>IFERROR(VLOOKUP(K342,PROGRAMAS[],2,FALSE),0)</f>
        <v>0</v>
      </c>
      <c r="Z342" s="246">
        <f>IFERROR(VLOOKUP(L342,PROGRAMAS[],2,FALSE),0)</f>
        <v>0</v>
      </c>
      <c r="AA342" s="246">
        <f>IFERROR(VLOOKUP(M342,PROGRAMAS[],2,FALSE),0)</f>
        <v>0</v>
      </c>
      <c r="AB342" s="246">
        <f>IFERROR(VLOOKUP(N342,PROGRAMAS[],2,FALSE),0)</f>
        <v>0</v>
      </c>
      <c r="AC342" s="246">
        <f>IFERROR(VLOOKUP(O342,PROGRAMAS[],2,FALSE),0)</f>
        <v>0</v>
      </c>
      <c r="AD342" s="246">
        <f>IFERROR(VLOOKUP(P342,PROGRAMAS[],2,FALSE),0)</f>
        <v>0</v>
      </c>
      <c r="AE342" s="246">
        <f>IFERROR(VLOOKUP(Q342,PROGRAMAS[],2,FALSE),0)</f>
        <v>0</v>
      </c>
      <c r="AF342" s="246">
        <f>IFERROR(VLOOKUP(D342,PROGRAMAS[],3,FALSE),0)</f>
        <v>841888629.31080008</v>
      </c>
      <c r="AG342" s="246">
        <f>IFERROR(VLOOKUP(E342,PROGRAMAS[],3,FALSE),0)</f>
        <v>3848980803.1642323</v>
      </c>
      <c r="AH342" s="246">
        <f>IFERROR(VLOOKUP(F342,PROGRAMAS[],3,FALSE),0)</f>
        <v>3394901471.387517</v>
      </c>
      <c r="AI342" s="246">
        <f>IFERROR(VLOOKUP(G342,PROGRAMAS[],3,FALSE),0)</f>
        <v>125317226.95549992</v>
      </c>
      <c r="AJ342" s="246">
        <f>IFERROR(VLOOKUP(H342,PROGRAMAS[],3,FALSE),0)</f>
        <v>675517840.109828</v>
      </c>
      <c r="AK342" s="246">
        <f>IFERROR(VLOOKUP(I342,PROGRAMAS[],3,FALSE),0)</f>
        <v>2406564599.0319901</v>
      </c>
      <c r="AL342" s="246">
        <f>IFERROR(VLOOKUP(J342,PROGRAMAS[],3,FALSE),0)</f>
        <v>948595847.09039903</v>
      </c>
      <c r="AM342" s="246">
        <f>IFERROR(VLOOKUP(K342,PROGRAMAS[],3,FALSE),0)</f>
        <v>0</v>
      </c>
      <c r="AN342" s="246">
        <f>IFERROR(VLOOKUP(L342,PROGRAMAS[],3,FALSE),0)</f>
        <v>0</v>
      </c>
      <c r="AO342" s="246">
        <f>IFERROR(VLOOKUP(M342,PROGRAMAS[],3,FALSE),0)</f>
        <v>0</v>
      </c>
      <c r="AP342" s="246">
        <f>IFERROR(VLOOKUP(N342,PROGRAMAS[],3,FALSE),0)</f>
        <v>0</v>
      </c>
      <c r="AQ342" s="246">
        <f>IFERROR(VLOOKUP(O342,PROGRAMAS[],3,FALSE),0)</f>
        <v>0</v>
      </c>
      <c r="AR342" s="246">
        <f>IFERROR(VLOOKUP(P342,PROGRAMAS[],3,FALSE),0)</f>
        <v>0</v>
      </c>
      <c r="AS342" s="246">
        <f>IFERROR(VLOOKUP(Q342,PROGRAMAS[],3,FALSE),0)</f>
        <v>0</v>
      </c>
      <c r="AT342" s="246">
        <f>IFERROR(VLOOKUP(D342,VOL_REC[],2,FALSE),0)</f>
        <v>0</v>
      </c>
      <c r="AU342" s="246">
        <f>IFERROR(VLOOKUP(E342,VOL_REC[],2,FALSE),0)</f>
        <v>0</v>
      </c>
      <c r="AV342" s="246">
        <f>IFERROR(VLOOKUP(F342,VOL_REC[],2,FALSE),0)</f>
        <v>11089674.200000001</v>
      </c>
      <c r="AW342" s="246">
        <f>IFERROR(VLOOKUP(G342,VOL_REC[],2,FALSE),0)</f>
        <v>90439.55</v>
      </c>
      <c r="AX342" s="246">
        <f>IFERROR(VLOOKUP(H342,VOL_REC[],2,FALSE),0)</f>
        <v>240696.79238099116</v>
      </c>
      <c r="AY342" s="246">
        <f>IFERROR(VLOOKUP(I342,VOL_REC[],2,FALSE),0)</f>
        <v>1072354.9981737854</v>
      </c>
      <c r="AZ342" s="246">
        <f>IFERROR(VLOOKUP(J342,VOL_REC[],2,FALSE),0)</f>
        <v>740113.98115702497</v>
      </c>
      <c r="BA342" s="246">
        <f>IFERROR(VLOOKUP(K342,VOL_REC[],2,FALSE),0)</f>
        <v>0</v>
      </c>
      <c r="BB342" s="246">
        <f>IFERROR(VLOOKUP(L342,VOL_REC[],2,FALSE),0)</f>
        <v>0</v>
      </c>
      <c r="BC342" s="246">
        <f>IFERROR(VLOOKUP(M342,VOL_REC[],2,FALSE),0)</f>
        <v>0</v>
      </c>
      <c r="BD342" s="246">
        <f>IFERROR(VLOOKUP(N342,VOL_REC[],2,FALSE),0)</f>
        <v>0</v>
      </c>
      <c r="BE342" s="246">
        <f>IFERROR(VLOOKUP(O342,VOL_REC[],2,FALSE),0)</f>
        <v>0</v>
      </c>
      <c r="BF342" s="246">
        <f>IFERROR(VLOOKUP(P342,VOL_REC[],2,FALSE),0)</f>
        <v>0</v>
      </c>
      <c r="BG342" s="246">
        <f>IFERROR(VLOOKUP(Q342,VOL_REC[],2,FALSE),0)</f>
        <v>0</v>
      </c>
      <c r="BH342" s="1710">
        <f t="shared" si="20"/>
        <v>13593637389.910852</v>
      </c>
      <c r="BI342" s="1710">
        <f t="shared" si="21"/>
        <v>12241766417.050266</v>
      </c>
      <c r="BJ342" s="1711">
        <f t="shared" si="22"/>
        <v>13233279.521711802</v>
      </c>
      <c r="BK342" s="1711">
        <f t="shared" si="23"/>
        <v>1.1104310380385716</v>
      </c>
      <c r="BL342">
        <f>BJ342</f>
        <v>13233279.521711802</v>
      </c>
      <c r="BO342">
        <f>BL342</f>
        <v>13233279.521711802</v>
      </c>
    </row>
    <row r="343" spans="3:67" x14ac:dyDescent="0.25">
      <c r="C343" s="246" t="s">
        <v>1693</v>
      </c>
      <c r="D343" s="246">
        <v>1</v>
      </c>
      <c r="E343" s="246">
        <v>2</v>
      </c>
      <c r="F343" s="246">
        <v>3</v>
      </c>
      <c r="G343" s="246">
        <v>4</v>
      </c>
      <c r="H343" s="246">
        <v>13</v>
      </c>
      <c r="I343" s="246">
        <v>14</v>
      </c>
      <c r="J343" s="246">
        <v>15</v>
      </c>
      <c r="K343" s="246"/>
      <c r="L343" s="246"/>
      <c r="M343" s="246"/>
      <c r="N343" s="246"/>
      <c r="O343" s="246"/>
      <c r="P343" s="246"/>
      <c r="Q343" s="246"/>
      <c r="R343" s="246">
        <f>IFERROR(VLOOKUP(D343,PROGRAMAS[],2,FALSE),0)</f>
        <v>97037803.679377079</v>
      </c>
      <c r="S343" s="246">
        <f>IFERROR(VLOOKUP(E343,PROGRAMAS[],2,FALSE),0)</f>
        <v>640501509.6821388</v>
      </c>
      <c r="T343" s="246">
        <f>IFERROR(VLOOKUP(F343,PROGRAMAS[],2,FALSE),0)</f>
        <v>3062327798.1525245</v>
      </c>
      <c r="U343" s="246">
        <f>IFERROR(VLOOKUP(G343,PROGRAMAS[],2,FALSE),0)</f>
        <v>67697118.033011258</v>
      </c>
      <c r="V343" s="246">
        <f>IFERROR(VLOOKUP(H343,PROGRAMAS[],2,FALSE),0)</f>
        <v>3776538594.4604583</v>
      </c>
      <c r="W343" s="246">
        <f>IFERROR(VLOOKUP(I343,PROGRAMAS[],2,FALSE),0)</f>
        <v>54223862.645839565</v>
      </c>
      <c r="X343" s="246">
        <f>IFERROR(VLOOKUP(J343,PROGRAMAS[],2,FALSE),0)</f>
        <v>122159672.96346797</v>
      </c>
      <c r="Y343" s="246">
        <f>IFERROR(VLOOKUP(K343,PROGRAMAS[],2,FALSE),0)</f>
        <v>0</v>
      </c>
      <c r="Z343" s="246">
        <f>IFERROR(VLOOKUP(L343,PROGRAMAS[],2,FALSE),0)</f>
        <v>0</v>
      </c>
      <c r="AA343" s="246">
        <f>IFERROR(VLOOKUP(M343,PROGRAMAS[],2,FALSE),0)</f>
        <v>0</v>
      </c>
      <c r="AB343" s="246">
        <f>IFERROR(VLOOKUP(N343,PROGRAMAS[],2,FALSE),0)</f>
        <v>0</v>
      </c>
      <c r="AC343" s="246">
        <f>IFERROR(VLOOKUP(O343,PROGRAMAS[],2,FALSE),0)</f>
        <v>0</v>
      </c>
      <c r="AD343" s="246">
        <f>IFERROR(VLOOKUP(P343,PROGRAMAS[],2,FALSE),0)</f>
        <v>0</v>
      </c>
      <c r="AE343" s="246">
        <f>IFERROR(VLOOKUP(Q343,PROGRAMAS[],2,FALSE),0)</f>
        <v>0</v>
      </c>
      <c r="AF343" s="246">
        <f>IFERROR(VLOOKUP(D343,PROGRAMAS[],3,FALSE),0)</f>
        <v>841888629.31080008</v>
      </c>
      <c r="AG343" s="246">
        <f>IFERROR(VLOOKUP(E343,PROGRAMAS[],3,FALSE),0)</f>
        <v>3848980803.1642323</v>
      </c>
      <c r="AH343" s="246">
        <f>IFERROR(VLOOKUP(F343,PROGRAMAS[],3,FALSE),0)</f>
        <v>3394901471.387517</v>
      </c>
      <c r="AI343" s="246">
        <f>IFERROR(VLOOKUP(G343,PROGRAMAS[],3,FALSE),0)</f>
        <v>125317226.95549992</v>
      </c>
      <c r="AJ343" s="246">
        <f>IFERROR(VLOOKUP(H343,PROGRAMAS[],3,FALSE),0)</f>
        <v>2392571243.5584412</v>
      </c>
      <c r="AK343" s="246">
        <f>IFERROR(VLOOKUP(I343,PROGRAMAS[],3,FALSE),0)</f>
        <v>31865326.38096505</v>
      </c>
      <c r="AL343" s="246">
        <f>IFERROR(VLOOKUP(J343,PROGRAMAS[],3,FALSE),0)</f>
        <v>118617452.52510804</v>
      </c>
      <c r="AM343" s="246">
        <f>IFERROR(VLOOKUP(K343,PROGRAMAS[],3,FALSE),0)</f>
        <v>0</v>
      </c>
      <c r="AN343" s="246">
        <f>IFERROR(VLOOKUP(L343,PROGRAMAS[],3,FALSE),0)</f>
        <v>0</v>
      </c>
      <c r="AO343" s="246">
        <f>IFERROR(VLOOKUP(M343,PROGRAMAS[],3,FALSE),0)</f>
        <v>0</v>
      </c>
      <c r="AP343" s="246">
        <f>IFERROR(VLOOKUP(N343,PROGRAMAS[],3,FALSE),0)</f>
        <v>0</v>
      </c>
      <c r="AQ343" s="246">
        <f>IFERROR(VLOOKUP(O343,PROGRAMAS[],3,FALSE),0)</f>
        <v>0</v>
      </c>
      <c r="AR343" s="246">
        <f>IFERROR(VLOOKUP(P343,PROGRAMAS[],3,FALSE),0)</f>
        <v>0</v>
      </c>
      <c r="AS343" s="246">
        <f>IFERROR(VLOOKUP(Q343,PROGRAMAS[],3,FALSE),0)</f>
        <v>0</v>
      </c>
      <c r="AT343" s="246">
        <f>IFERROR(VLOOKUP(D343,VOL_REC[],2,FALSE),0)</f>
        <v>0</v>
      </c>
      <c r="AU343" s="246">
        <f>IFERROR(VLOOKUP(E343,VOL_REC[],2,FALSE),0)</f>
        <v>0</v>
      </c>
      <c r="AV343" s="246">
        <f>IFERROR(VLOOKUP(F343,VOL_REC[],2,FALSE),0)</f>
        <v>11089674.200000001</v>
      </c>
      <c r="AW343" s="246">
        <f>IFERROR(VLOOKUP(G343,VOL_REC[],2,FALSE),0)</f>
        <v>90439.55</v>
      </c>
      <c r="AX343" s="246">
        <f>IFERROR(VLOOKUP(H343,VOL_REC[],2,FALSE),0)</f>
        <v>663244.80000000016</v>
      </c>
      <c r="AY343" s="246">
        <f>IFERROR(VLOOKUP(I343,VOL_REC[],2,FALSE),0)</f>
        <v>17074.045034105649</v>
      </c>
      <c r="AZ343" s="246">
        <f>IFERROR(VLOOKUP(J343,VOL_REC[],2,FALSE),0)</f>
        <v>105072</v>
      </c>
      <c r="BA343" s="246">
        <f>IFERROR(VLOOKUP(K343,VOL_REC[],2,FALSE),0)</f>
        <v>0</v>
      </c>
      <c r="BB343" s="246">
        <f>IFERROR(VLOOKUP(L343,VOL_REC[],2,FALSE),0)</f>
        <v>0</v>
      </c>
      <c r="BC343" s="246">
        <f>IFERROR(VLOOKUP(M343,VOL_REC[],2,FALSE),0)</f>
        <v>0</v>
      </c>
      <c r="BD343" s="246">
        <f>IFERROR(VLOOKUP(N343,VOL_REC[],2,FALSE),0)</f>
        <v>0</v>
      </c>
      <c r="BE343" s="246">
        <f>IFERROR(VLOOKUP(O343,VOL_REC[],2,FALSE),0)</f>
        <v>0</v>
      </c>
      <c r="BF343" s="246">
        <f>IFERROR(VLOOKUP(P343,VOL_REC[],2,FALSE),0)</f>
        <v>0</v>
      </c>
      <c r="BG343" s="246">
        <f>IFERROR(VLOOKUP(Q343,VOL_REC[],2,FALSE),0)</f>
        <v>0</v>
      </c>
      <c r="BH343" s="1710">
        <f t="shared" si="20"/>
        <v>7820486359.6168175</v>
      </c>
      <c r="BI343" s="1710">
        <f t="shared" si="21"/>
        <v>10754142153.282564</v>
      </c>
      <c r="BJ343" s="1711">
        <f t="shared" si="22"/>
        <v>11965504.595034108</v>
      </c>
      <c r="BK343" s="1711">
        <f t="shared" si="23"/>
        <v>0.72720689834192997</v>
      </c>
    </row>
    <row r="344" spans="3:67" x14ac:dyDescent="0.25">
      <c r="C344" s="246" t="s">
        <v>1694</v>
      </c>
      <c r="D344" s="246">
        <v>1</v>
      </c>
      <c r="E344" s="246">
        <v>2</v>
      </c>
      <c r="F344" s="246">
        <v>3</v>
      </c>
      <c r="G344" s="246">
        <v>4</v>
      </c>
      <c r="H344" s="246">
        <v>13</v>
      </c>
      <c r="I344" s="246">
        <v>14</v>
      </c>
      <c r="J344" s="246">
        <v>16</v>
      </c>
      <c r="K344" s="246"/>
      <c r="L344" s="246"/>
      <c r="M344" s="246"/>
      <c r="N344" s="246"/>
      <c r="O344" s="246"/>
      <c r="P344" s="246"/>
      <c r="Q344" s="246"/>
      <c r="R344" s="246">
        <f>IFERROR(VLOOKUP(D344,PROGRAMAS[],2,FALSE),0)</f>
        <v>97037803.679377079</v>
      </c>
      <c r="S344" s="246">
        <f>IFERROR(VLOOKUP(E344,PROGRAMAS[],2,FALSE),0)</f>
        <v>640501509.6821388</v>
      </c>
      <c r="T344" s="246">
        <f>IFERROR(VLOOKUP(F344,PROGRAMAS[],2,FALSE),0)</f>
        <v>3062327798.1525245</v>
      </c>
      <c r="U344" s="246">
        <f>IFERROR(VLOOKUP(G344,PROGRAMAS[],2,FALSE),0)</f>
        <v>67697118.033011258</v>
      </c>
      <c r="V344" s="246">
        <f>IFERROR(VLOOKUP(H344,PROGRAMAS[],2,FALSE),0)</f>
        <v>3776538594.4604583</v>
      </c>
      <c r="W344" s="246">
        <f>IFERROR(VLOOKUP(I344,PROGRAMAS[],2,FALSE),0)</f>
        <v>54223862.645839565</v>
      </c>
      <c r="X344" s="246">
        <f>IFERROR(VLOOKUP(J344,PROGRAMAS[],2,FALSE),0)</f>
        <v>7068496961.0436354</v>
      </c>
      <c r="Y344" s="246">
        <f>IFERROR(VLOOKUP(K344,PROGRAMAS[],2,FALSE),0)</f>
        <v>0</v>
      </c>
      <c r="Z344" s="246">
        <f>IFERROR(VLOOKUP(L344,PROGRAMAS[],2,FALSE),0)</f>
        <v>0</v>
      </c>
      <c r="AA344" s="246">
        <f>IFERROR(VLOOKUP(M344,PROGRAMAS[],2,FALSE),0)</f>
        <v>0</v>
      </c>
      <c r="AB344" s="246">
        <f>IFERROR(VLOOKUP(N344,PROGRAMAS[],2,FALSE),0)</f>
        <v>0</v>
      </c>
      <c r="AC344" s="246">
        <f>IFERROR(VLOOKUP(O344,PROGRAMAS[],2,FALSE),0)</f>
        <v>0</v>
      </c>
      <c r="AD344" s="246">
        <f>IFERROR(VLOOKUP(P344,PROGRAMAS[],2,FALSE),0)</f>
        <v>0</v>
      </c>
      <c r="AE344" s="246">
        <f>IFERROR(VLOOKUP(Q344,PROGRAMAS[],2,FALSE),0)</f>
        <v>0</v>
      </c>
      <c r="AF344" s="246">
        <f>IFERROR(VLOOKUP(D344,PROGRAMAS[],3,FALSE),0)</f>
        <v>841888629.31080008</v>
      </c>
      <c r="AG344" s="246">
        <f>IFERROR(VLOOKUP(E344,PROGRAMAS[],3,FALSE),0)</f>
        <v>3848980803.1642323</v>
      </c>
      <c r="AH344" s="246">
        <f>IFERROR(VLOOKUP(F344,PROGRAMAS[],3,FALSE),0)</f>
        <v>3394901471.387517</v>
      </c>
      <c r="AI344" s="246">
        <f>IFERROR(VLOOKUP(G344,PROGRAMAS[],3,FALSE),0)</f>
        <v>125317226.95549992</v>
      </c>
      <c r="AJ344" s="246">
        <f>IFERROR(VLOOKUP(H344,PROGRAMAS[],3,FALSE),0)</f>
        <v>2392571243.5584412</v>
      </c>
      <c r="AK344" s="246">
        <f>IFERROR(VLOOKUP(I344,PROGRAMAS[],3,FALSE),0)</f>
        <v>31865326.38096505</v>
      </c>
      <c r="AL344" s="246">
        <f>IFERROR(VLOOKUP(J344,PROGRAMAS[],3,FALSE),0)</f>
        <v>2406564599.0319901</v>
      </c>
      <c r="AM344" s="246">
        <f>IFERROR(VLOOKUP(K344,PROGRAMAS[],3,FALSE),0)</f>
        <v>0</v>
      </c>
      <c r="AN344" s="246">
        <f>IFERROR(VLOOKUP(L344,PROGRAMAS[],3,FALSE),0)</f>
        <v>0</v>
      </c>
      <c r="AO344" s="246">
        <f>IFERROR(VLOOKUP(M344,PROGRAMAS[],3,FALSE),0)</f>
        <v>0</v>
      </c>
      <c r="AP344" s="246">
        <f>IFERROR(VLOOKUP(N344,PROGRAMAS[],3,FALSE),0)</f>
        <v>0</v>
      </c>
      <c r="AQ344" s="246">
        <f>IFERROR(VLOOKUP(O344,PROGRAMAS[],3,FALSE),0)</f>
        <v>0</v>
      </c>
      <c r="AR344" s="246">
        <f>IFERROR(VLOOKUP(P344,PROGRAMAS[],3,FALSE),0)</f>
        <v>0</v>
      </c>
      <c r="AS344" s="246">
        <f>IFERROR(VLOOKUP(Q344,PROGRAMAS[],3,FALSE),0)</f>
        <v>0</v>
      </c>
      <c r="AT344" s="246">
        <f>IFERROR(VLOOKUP(D344,VOL_REC[],2,FALSE),0)</f>
        <v>0</v>
      </c>
      <c r="AU344" s="246">
        <f>IFERROR(VLOOKUP(E344,VOL_REC[],2,FALSE),0)</f>
        <v>0</v>
      </c>
      <c r="AV344" s="246">
        <f>IFERROR(VLOOKUP(F344,VOL_REC[],2,FALSE),0)</f>
        <v>11089674.200000001</v>
      </c>
      <c r="AW344" s="246">
        <f>IFERROR(VLOOKUP(G344,VOL_REC[],2,FALSE),0)</f>
        <v>90439.55</v>
      </c>
      <c r="AX344" s="246">
        <f>IFERROR(VLOOKUP(H344,VOL_REC[],2,FALSE),0)</f>
        <v>663244.80000000016</v>
      </c>
      <c r="AY344" s="246">
        <f>IFERROR(VLOOKUP(I344,VOL_REC[],2,FALSE),0)</f>
        <v>17074.045034105649</v>
      </c>
      <c r="AZ344" s="246">
        <f>IFERROR(VLOOKUP(J344,VOL_REC[],2,FALSE),0)</f>
        <v>1072354.9981737854</v>
      </c>
      <c r="BA344" s="246">
        <f>IFERROR(VLOOKUP(K344,VOL_REC[],2,FALSE),0)</f>
        <v>0</v>
      </c>
      <c r="BB344" s="246">
        <f>IFERROR(VLOOKUP(L344,VOL_REC[],2,FALSE),0)</f>
        <v>0</v>
      </c>
      <c r="BC344" s="246">
        <f>IFERROR(VLOOKUP(M344,VOL_REC[],2,FALSE),0)</f>
        <v>0</v>
      </c>
      <c r="BD344" s="246">
        <f>IFERROR(VLOOKUP(N344,VOL_REC[],2,FALSE),0)</f>
        <v>0</v>
      </c>
      <c r="BE344" s="246">
        <f>IFERROR(VLOOKUP(O344,VOL_REC[],2,FALSE),0)</f>
        <v>0</v>
      </c>
      <c r="BF344" s="246">
        <f>IFERROR(VLOOKUP(P344,VOL_REC[],2,FALSE),0)</f>
        <v>0</v>
      </c>
      <c r="BG344" s="246">
        <f>IFERROR(VLOOKUP(Q344,VOL_REC[],2,FALSE),0)</f>
        <v>0</v>
      </c>
      <c r="BH344" s="1710">
        <f t="shared" si="20"/>
        <v>14766823647.696985</v>
      </c>
      <c r="BI344" s="1710">
        <f t="shared" si="21"/>
        <v>13042089299.789446</v>
      </c>
      <c r="BJ344" s="1711">
        <f t="shared" si="22"/>
        <v>12932787.593207892</v>
      </c>
      <c r="BK344" s="1711">
        <f t="shared" si="23"/>
        <v>1.1322437155782537</v>
      </c>
      <c r="BL344">
        <f>BJ344</f>
        <v>12932787.593207892</v>
      </c>
      <c r="BO344">
        <f>BL344</f>
        <v>12932787.593207892</v>
      </c>
    </row>
    <row r="345" spans="3:67" x14ac:dyDescent="0.25">
      <c r="C345" s="246" t="s">
        <v>1695</v>
      </c>
      <c r="D345" s="246">
        <v>1</v>
      </c>
      <c r="E345" s="246">
        <v>2</v>
      </c>
      <c r="F345" s="246">
        <v>3</v>
      </c>
      <c r="G345" s="246">
        <v>4</v>
      </c>
      <c r="H345" s="246">
        <v>13</v>
      </c>
      <c r="I345" s="246">
        <v>14</v>
      </c>
      <c r="J345" s="246">
        <v>17</v>
      </c>
      <c r="K345" s="246"/>
      <c r="L345" s="246"/>
      <c r="M345" s="246"/>
      <c r="N345" s="246"/>
      <c r="O345" s="246"/>
      <c r="P345" s="246"/>
      <c r="Q345" s="246"/>
      <c r="R345" s="246">
        <f>IFERROR(VLOOKUP(D345,PROGRAMAS[],2,FALSE),0)</f>
        <v>97037803.679377079</v>
      </c>
      <c r="S345" s="246">
        <f>IFERROR(VLOOKUP(E345,PROGRAMAS[],2,FALSE),0)</f>
        <v>640501509.6821388</v>
      </c>
      <c r="T345" s="246">
        <f>IFERROR(VLOOKUP(F345,PROGRAMAS[],2,FALSE),0)</f>
        <v>3062327798.1525245</v>
      </c>
      <c r="U345" s="246">
        <f>IFERROR(VLOOKUP(G345,PROGRAMAS[],2,FALSE),0)</f>
        <v>67697118.033011258</v>
      </c>
      <c r="V345" s="246">
        <f>IFERROR(VLOOKUP(H345,PROGRAMAS[],2,FALSE),0)</f>
        <v>3776538594.4604583</v>
      </c>
      <c r="W345" s="246">
        <f>IFERROR(VLOOKUP(I345,PROGRAMAS[],2,FALSE),0)</f>
        <v>54223862.645839565</v>
      </c>
      <c r="X345" s="246">
        <f>IFERROR(VLOOKUP(J345,PROGRAMAS[],2,FALSE),0)</f>
        <v>1892779498.5211046</v>
      </c>
      <c r="Y345" s="246">
        <f>IFERROR(VLOOKUP(K345,PROGRAMAS[],2,FALSE),0)</f>
        <v>0</v>
      </c>
      <c r="Z345" s="246">
        <f>IFERROR(VLOOKUP(L345,PROGRAMAS[],2,FALSE),0)</f>
        <v>0</v>
      </c>
      <c r="AA345" s="246">
        <f>IFERROR(VLOOKUP(M345,PROGRAMAS[],2,FALSE),0)</f>
        <v>0</v>
      </c>
      <c r="AB345" s="246">
        <f>IFERROR(VLOOKUP(N345,PROGRAMAS[],2,FALSE),0)</f>
        <v>0</v>
      </c>
      <c r="AC345" s="246">
        <f>IFERROR(VLOOKUP(O345,PROGRAMAS[],2,FALSE),0)</f>
        <v>0</v>
      </c>
      <c r="AD345" s="246">
        <f>IFERROR(VLOOKUP(P345,PROGRAMAS[],2,FALSE),0)</f>
        <v>0</v>
      </c>
      <c r="AE345" s="246">
        <f>IFERROR(VLOOKUP(Q345,PROGRAMAS[],2,FALSE),0)</f>
        <v>0</v>
      </c>
      <c r="AF345" s="246">
        <f>IFERROR(VLOOKUP(D345,PROGRAMAS[],3,FALSE),0)</f>
        <v>841888629.31080008</v>
      </c>
      <c r="AG345" s="246">
        <f>IFERROR(VLOOKUP(E345,PROGRAMAS[],3,FALSE),0)</f>
        <v>3848980803.1642323</v>
      </c>
      <c r="AH345" s="246">
        <f>IFERROR(VLOOKUP(F345,PROGRAMAS[],3,FALSE),0)</f>
        <v>3394901471.387517</v>
      </c>
      <c r="AI345" s="246">
        <f>IFERROR(VLOOKUP(G345,PROGRAMAS[],3,FALSE),0)</f>
        <v>125317226.95549992</v>
      </c>
      <c r="AJ345" s="246">
        <f>IFERROR(VLOOKUP(H345,PROGRAMAS[],3,FALSE),0)</f>
        <v>2392571243.5584412</v>
      </c>
      <c r="AK345" s="246">
        <f>IFERROR(VLOOKUP(I345,PROGRAMAS[],3,FALSE),0)</f>
        <v>31865326.38096505</v>
      </c>
      <c r="AL345" s="246">
        <f>IFERROR(VLOOKUP(J345,PROGRAMAS[],3,FALSE),0)</f>
        <v>948595847.09039903</v>
      </c>
      <c r="AM345" s="246">
        <f>IFERROR(VLOOKUP(K345,PROGRAMAS[],3,FALSE),0)</f>
        <v>0</v>
      </c>
      <c r="AN345" s="246">
        <f>IFERROR(VLOOKUP(L345,PROGRAMAS[],3,FALSE),0)</f>
        <v>0</v>
      </c>
      <c r="AO345" s="246">
        <f>IFERROR(VLOOKUP(M345,PROGRAMAS[],3,FALSE),0)</f>
        <v>0</v>
      </c>
      <c r="AP345" s="246">
        <f>IFERROR(VLOOKUP(N345,PROGRAMAS[],3,FALSE),0)</f>
        <v>0</v>
      </c>
      <c r="AQ345" s="246">
        <f>IFERROR(VLOOKUP(O345,PROGRAMAS[],3,FALSE),0)</f>
        <v>0</v>
      </c>
      <c r="AR345" s="246">
        <f>IFERROR(VLOOKUP(P345,PROGRAMAS[],3,FALSE),0)</f>
        <v>0</v>
      </c>
      <c r="AS345" s="246">
        <f>IFERROR(VLOOKUP(Q345,PROGRAMAS[],3,FALSE),0)</f>
        <v>0</v>
      </c>
      <c r="AT345" s="246">
        <f>IFERROR(VLOOKUP(D345,VOL_REC[],2,FALSE),0)</f>
        <v>0</v>
      </c>
      <c r="AU345" s="246">
        <f>IFERROR(VLOOKUP(E345,VOL_REC[],2,FALSE),0)</f>
        <v>0</v>
      </c>
      <c r="AV345" s="246">
        <f>IFERROR(VLOOKUP(F345,VOL_REC[],2,FALSE),0)</f>
        <v>11089674.200000001</v>
      </c>
      <c r="AW345" s="246">
        <f>IFERROR(VLOOKUP(G345,VOL_REC[],2,FALSE),0)</f>
        <v>90439.55</v>
      </c>
      <c r="AX345" s="246">
        <f>IFERROR(VLOOKUP(H345,VOL_REC[],2,FALSE),0)</f>
        <v>663244.80000000016</v>
      </c>
      <c r="AY345" s="246">
        <f>IFERROR(VLOOKUP(I345,VOL_REC[],2,FALSE),0)</f>
        <v>17074.045034105649</v>
      </c>
      <c r="AZ345" s="246">
        <f>IFERROR(VLOOKUP(J345,VOL_REC[],2,FALSE),0)</f>
        <v>740113.98115702497</v>
      </c>
      <c r="BA345" s="246">
        <f>IFERROR(VLOOKUP(K345,VOL_REC[],2,FALSE),0)</f>
        <v>0</v>
      </c>
      <c r="BB345" s="246">
        <f>IFERROR(VLOOKUP(L345,VOL_REC[],2,FALSE),0)</f>
        <v>0</v>
      </c>
      <c r="BC345" s="246">
        <f>IFERROR(VLOOKUP(M345,VOL_REC[],2,FALSE),0)</f>
        <v>0</v>
      </c>
      <c r="BD345" s="246">
        <f>IFERROR(VLOOKUP(N345,VOL_REC[],2,FALSE),0)</f>
        <v>0</v>
      </c>
      <c r="BE345" s="246">
        <f>IFERROR(VLOOKUP(O345,VOL_REC[],2,FALSE),0)</f>
        <v>0</v>
      </c>
      <c r="BF345" s="246">
        <f>IFERROR(VLOOKUP(P345,VOL_REC[],2,FALSE),0)</f>
        <v>0</v>
      </c>
      <c r="BG345" s="246">
        <f>IFERROR(VLOOKUP(Q345,VOL_REC[],2,FALSE),0)</f>
        <v>0</v>
      </c>
      <c r="BH345" s="1710">
        <f t="shared" si="20"/>
        <v>9591106185.1744537</v>
      </c>
      <c r="BI345" s="1710">
        <f t="shared" si="21"/>
        <v>11584120547.847855</v>
      </c>
      <c r="BJ345" s="1711">
        <f t="shared" si="22"/>
        <v>12600546.576191133</v>
      </c>
      <c r="BK345" s="1711">
        <f t="shared" si="23"/>
        <v>0.8279528985872241</v>
      </c>
    </row>
    <row r="346" spans="3:67" x14ac:dyDescent="0.25">
      <c r="C346" s="246" t="s">
        <v>1696</v>
      </c>
      <c r="D346" s="246">
        <v>1</v>
      </c>
      <c r="E346" s="246">
        <v>2</v>
      </c>
      <c r="F346" s="246">
        <v>3</v>
      </c>
      <c r="G346" s="246">
        <v>4</v>
      </c>
      <c r="H346" s="246">
        <v>13</v>
      </c>
      <c r="I346" s="246">
        <v>15</v>
      </c>
      <c r="J346" s="246">
        <v>16</v>
      </c>
      <c r="K346" s="246"/>
      <c r="L346" s="246"/>
      <c r="M346" s="246"/>
      <c r="N346" s="246"/>
      <c r="O346" s="246"/>
      <c r="P346" s="246"/>
      <c r="Q346" s="246"/>
      <c r="R346" s="246">
        <f>IFERROR(VLOOKUP(D346,PROGRAMAS[],2,FALSE),0)</f>
        <v>97037803.679377079</v>
      </c>
      <c r="S346" s="246">
        <f>IFERROR(VLOOKUP(E346,PROGRAMAS[],2,FALSE),0)</f>
        <v>640501509.6821388</v>
      </c>
      <c r="T346" s="246">
        <f>IFERROR(VLOOKUP(F346,PROGRAMAS[],2,FALSE),0)</f>
        <v>3062327798.1525245</v>
      </c>
      <c r="U346" s="246">
        <f>IFERROR(VLOOKUP(G346,PROGRAMAS[],2,FALSE),0)</f>
        <v>67697118.033011258</v>
      </c>
      <c r="V346" s="246">
        <f>IFERROR(VLOOKUP(H346,PROGRAMAS[],2,FALSE),0)</f>
        <v>3776538594.4604583</v>
      </c>
      <c r="W346" s="246">
        <f>IFERROR(VLOOKUP(I346,PROGRAMAS[],2,FALSE),0)</f>
        <v>122159672.96346797</v>
      </c>
      <c r="X346" s="246">
        <f>IFERROR(VLOOKUP(J346,PROGRAMAS[],2,FALSE),0)</f>
        <v>7068496961.0436354</v>
      </c>
      <c r="Y346" s="246">
        <f>IFERROR(VLOOKUP(K346,PROGRAMAS[],2,FALSE),0)</f>
        <v>0</v>
      </c>
      <c r="Z346" s="246">
        <f>IFERROR(VLOOKUP(L346,PROGRAMAS[],2,FALSE),0)</f>
        <v>0</v>
      </c>
      <c r="AA346" s="246">
        <f>IFERROR(VLOOKUP(M346,PROGRAMAS[],2,FALSE),0)</f>
        <v>0</v>
      </c>
      <c r="AB346" s="246">
        <f>IFERROR(VLOOKUP(N346,PROGRAMAS[],2,FALSE),0)</f>
        <v>0</v>
      </c>
      <c r="AC346" s="246">
        <f>IFERROR(VLOOKUP(O346,PROGRAMAS[],2,FALSE),0)</f>
        <v>0</v>
      </c>
      <c r="AD346" s="246">
        <f>IFERROR(VLOOKUP(P346,PROGRAMAS[],2,FALSE),0)</f>
        <v>0</v>
      </c>
      <c r="AE346" s="246">
        <f>IFERROR(VLOOKUP(Q346,PROGRAMAS[],2,FALSE),0)</f>
        <v>0</v>
      </c>
      <c r="AF346" s="246">
        <f>IFERROR(VLOOKUP(D346,PROGRAMAS[],3,FALSE),0)</f>
        <v>841888629.31080008</v>
      </c>
      <c r="AG346" s="246">
        <f>IFERROR(VLOOKUP(E346,PROGRAMAS[],3,FALSE),0)</f>
        <v>3848980803.1642323</v>
      </c>
      <c r="AH346" s="246">
        <f>IFERROR(VLOOKUP(F346,PROGRAMAS[],3,FALSE),0)</f>
        <v>3394901471.387517</v>
      </c>
      <c r="AI346" s="246">
        <f>IFERROR(VLOOKUP(G346,PROGRAMAS[],3,FALSE),0)</f>
        <v>125317226.95549992</v>
      </c>
      <c r="AJ346" s="246">
        <f>IFERROR(VLOOKUP(H346,PROGRAMAS[],3,FALSE),0)</f>
        <v>2392571243.5584412</v>
      </c>
      <c r="AK346" s="246">
        <f>IFERROR(VLOOKUP(I346,PROGRAMAS[],3,FALSE),0)</f>
        <v>118617452.52510804</v>
      </c>
      <c r="AL346" s="246">
        <f>IFERROR(VLOOKUP(J346,PROGRAMAS[],3,FALSE),0)</f>
        <v>2406564599.0319901</v>
      </c>
      <c r="AM346" s="246">
        <f>IFERROR(VLOOKUP(K346,PROGRAMAS[],3,FALSE),0)</f>
        <v>0</v>
      </c>
      <c r="AN346" s="246">
        <f>IFERROR(VLOOKUP(L346,PROGRAMAS[],3,FALSE),0)</f>
        <v>0</v>
      </c>
      <c r="AO346" s="246">
        <f>IFERROR(VLOOKUP(M346,PROGRAMAS[],3,FALSE),0)</f>
        <v>0</v>
      </c>
      <c r="AP346" s="246">
        <f>IFERROR(VLOOKUP(N346,PROGRAMAS[],3,FALSE),0)</f>
        <v>0</v>
      </c>
      <c r="AQ346" s="246">
        <f>IFERROR(VLOOKUP(O346,PROGRAMAS[],3,FALSE),0)</f>
        <v>0</v>
      </c>
      <c r="AR346" s="246">
        <f>IFERROR(VLOOKUP(P346,PROGRAMAS[],3,FALSE),0)</f>
        <v>0</v>
      </c>
      <c r="AS346" s="246">
        <f>IFERROR(VLOOKUP(Q346,PROGRAMAS[],3,FALSE),0)</f>
        <v>0</v>
      </c>
      <c r="AT346" s="246">
        <f>IFERROR(VLOOKUP(D346,VOL_REC[],2,FALSE),0)</f>
        <v>0</v>
      </c>
      <c r="AU346" s="246">
        <f>IFERROR(VLOOKUP(E346,VOL_REC[],2,FALSE),0)</f>
        <v>0</v>
      </c>
      <c r="AV346" s="246">
        <f>IFERROR(VLOOKUP(F346,VOL_REC[],2,FALSE),0)</f>
        <v>11089674.200000001</v>
      </c>
      <c r="AW346" s="246">
        <f>IFERROR(VLOOKUP(G346,VOL_REC[],2,FALSE),0)</f>
        <v>90439.55</v>
      </c>
      <c r="AX346" s="246">
        <f>IFERROR(VLOOKUP(H346,VOL_REC[],2,FALSE),0)</f>
        <v>663244.80000000016</v>
      </c>
      <c r="AY346" s="246">
        <f>IFERROR(VLOOKUP(I346,VOL_REC[],2,FALSE),0)</f>
        <v>105072</v>
      </c>
      <c r="AZ346" s="246">
        <f>IFERROR(VLOOKUP(J346,VOL_REC[],2,FALSE),0)</f>
        <v>1072354.9981737854</v>
      </c>
      <c r="BA346" s="246">
        <f>IFERROR(VLOOKUP(K346,VOL_REC[],2,FALSE),0)</f>
        <v>0</v>
      </c>
      <c r="BB346" s="246">
        <f>IFERROR(VLOOKUP(L346,VOL_REC[],2,FALSE),0)</f>
        <v>0</v>
      </c>
      <c r="BC346" s="246">
        <f>IFERROR(VLOOKUP(M346,VOL_REC[],2,FALSE),0)</f>
        <v>0</v>
      </c>
      <c r="BD346" s="246">
        <f>IFERROR(VLOOKUP(N346,VOL_REC[],2,FALSE),0)</f>
        <v>0</v>
      </c>
      <c r="BE346" s="246">
        <f>IFERROR(VLOOKUP(O346,VOL_REC[],2,FALSE),0)</f>
        <v>0</v>
      </c>
      <c r="BF346" s="246">
        <f>IFERROR(VLOOKUP(P346,VOL_REC[],2,FALSE),0)</f>
        <v>0</v>
      </c>
      <c r="BG346" s="246">
        <f>IFERROR(VLOOKUP(Q346,VOL_REC[],2,FALSE),0)</f>
        <v>0</v>
      </c>
      <c r="BH346" s="1710">
        <f t="shared" si="20"/>
        <v>14834759458.014614</v>
      </c>
      <c r="BI346" s="1710">
        <f t="shared" si="21"/>
        <v>13128841425.93359</v>
      </c>
      <c r="BJ346" s="1711">
        <f t="shared" si="22"/>
        <v>13020785.548173789</v>
      </c>
      <c r="BK346" s="1711">
        <f t="shared" si="23"/>
        <v>1.1299366773302097</v>
      </c>
      <c r="BL346">
        <f>BJ346</f>
        <v>13020785.548173789</v>
      </c>
      <c r="BO346">
        <f>BL346</f>
        <v>13020785.548173789</v>
      </c>
    </row>
    <row r="347" spans="3:67" x14ac:dyDescent="0.25">
      <c r="C347" s="246" t="s">
        <v>1697</v>
      </c>
      <c r="D347" s="246">
        <v>1</v>
      </c>
      <c r="E347" s="246">
        <v>2</v>
      </c>
      <c r="F347" s="246">
        <v>3</v>
      </c>
      <c r="G347" s="246">
        <v>4</v>
      </c>
      <c r="H347" s="246">
        <v>13</v>
      </c>
      <c r="I347" s="246">
        <v>15</v>
      </c>
      <c r="J347" s="246">
        <v>17</v>
      </c>
      <c r="K347" s="246"/>
      <c r="L347" s="246"/>
      <c r="M347" s="246"/>
      <c r="N347" s="246"/>
      <c r="O347" s="246"/>
      <c r="P347" s="246"/>
      <c r="Q347" s="246"/>
      <c r="R347" s="246">
        <f>IFERROR(VLOOKUP(D347,PROGRAMAS[],2,FALSE),0)</f>
        <v>97037803.679377079</v>
      </c>
      <c r="S347" s="246">
        <f>IFERROR(VLOOKUP(E347,PROGRAMAS[],2,FALSE),0)</f>
        <v>640501509.6821388</v>
      </c>
      <c r="T347" s="246">
        <f>IFERROR(VLOOKUP(F347,PROGRAMAS[],2,FALSE),0)</f>
        <v>3062327798.1525245</v>
      </c>
      <c r="U347" s="246">
        <f>IFERROR(VLOOKUP(G347,PROGRAMAS[],2,FALSE),0)</f>
        <v>67697118.033011258</v>
      </c>
      <c r="V347" s="246">
        <f>IFERROR(VLOOKUP(H347,PROGRAMAS[],2,FALSE),0)</f>
        <v>3776538594.4604583</v>
      </c>
      <c r="W347" s="246">
        <f>IFERROR(VLOOKUP(I347,PROGRAMAS[],2,FALSE),0)</f>
        <v>122159672.96346797</v>
      </c>
      <c r="X347" s="246">
        <f>IFERROR(VLOOKUP(J347,PROGRAMAS[],2,FALSE),0)</f>
        <v>1892779498.5211046</v>
      </c>
      <c r="Y347" s="246">
        <f>IFERROR(VLOOKUP(K347,PROGRAMAS[],2,FALSE),0)</f>
        <v>0</v>
      </c>
      <c r="Z347" s="246">
        <f>IFERROR(VLOOKUP(L347,PROGRAMAS[],2,FALSE),0)</f>
        <v>0</v>
      </c>
      <c r="AA347" s="246">
        <f>IFERROR(VLOOKUP(M347,PROGRAMAS[],2,FALSE),0)</f>
        <v>0</v>
      </c>
      <c r="AB347" s="246">
        <f>IFERROR(VLOOKUP(N347,PROGRAMAS[],2,FALSE),0)</f>
        <v>0</v>
      </c>
      <c r="AC347" s="246">
        <f>IFERROR(VLOOKUP(O347,PROGRAMAS[],2,FALSE),0)</f>
        <v>0</v>
      </c>
      <c r="AD347" s="246">
        <f>IFERROR(VLOOKUP(P347,PROGRAMAS[],2,FALSE),0)</f>
        <v>0</v>
      </c>
      <c r="AE347" s="246">
        <f>IFERROR(VLOOKUP(Q347,PROGRAMAS[],2,FALSE),0)</f>
        <v>0</v>
      </c>
      <c r="AF347" s="246">
        <f>IFERROR(VLOOKUP(D347,PROGRAMAS[],3,FALSE),0)</f>
        <v>841888629.31080008</v>
      </c>
      <c r="AG347" s="246">
        <f>IFERROR(VLOOKUP(E347,PROGRAMAS[],3,FALSE),0)</f>
        <v>3848980803.1642323</v>
      </c>
      <c r="AH347" s="246">
        <f>IFERROR(VLOOKUP(F347,PROGRAMAS[],3,FALSE),0)</f>
        <v>3394901471.387517</v>
      </c>
      <c r="AI347" s="246">
        <f>IFERROR(VLOOKUP(G347,PROGRAMAS[],3,FALSE),0)</f>
        <v>125317226.95549992</v>
      </c>
      <c r="AJ347" s="246">
        <f>IFERROR(VLOOKUP(H347,PROGRAMAS[],3,FALSE),0)</f>
        <v>2392571243.5584412</v>
      </c>
      <c r="AK347" s="246">
        <f>IFERROR(VLOOKUP(I347,PROGRAMAS[],3,FALSE),0)</f>
        <v>118617452.52510804</v>
      </c>
      <c r="AL347" s="246">
        <f>IFERROR(VLOOKUP(J347,PROGRAMAS[],3,FALSE),0)</f>
        <v>948595847.09039903</v>
      </c>
      <c r="AM347" s="246">
        <f>IFERROR(VLOOKUP(K347,PROGRAMAS[],3,FALSE),0)</f>
        <v>0</v>
      </c>
      <c r="AN347" s="246">
        <f>IFERROR(VLOOKUP(L347,PROGRAMAS[],3,FALSE),0)</f>
        <v>0</v>
      </c>
      <c r="AO347" s="246">
        <f>IFERROR(VLOOKUP(M347,PROGRAMAS[],3,FALSE),0)</f>
        <v>0</v>
      </c>
      <c r="AP347" s="246">
        <f>IFERROR(VLOOKUP(N347,PROGRAMAS[],3,FALSE),0)</f>
        <v>0</v>
      </c>
      <c r="AQ347" s="246">
        <f>IFERROR(VLOOKUP(O347,PROGRAMAS[],3,FALSE),0)</f>
        <v>0</v>
      </c>
      <c r="AR347" s="246">
        <f>IFERROR(VLOOKUP(P347,PROGRAMAS[],3,FALSE),0)</f>
        <v>0</v>
      </c>
      <c r="AS347" s="246">
        <f>IFERROR(VLOOKUP(Q347,PROGRAMAS[],3,FALSE),0)</f>
        <v>0</v>
      </c>
      <c r="AT347" s="246">
        <f>IFERROR(VLOOKUP(D347,VOL_REC[],2,FALSE),0)</f>
        <v>0</v>
      </c>
      <c r="AU347" s="246">
        <f>IFERROR(VLOOKUP(E347,VOL_REC[],2,FALSE),0)</f>
        <v>0</v>
      </c>
      <c r="AV347" s="246">
        <f>IFERROR(VLOOKUP(F347,VOL_REC[],2,FALSE),0)</f>
        <v>11089674.200000001</v>
      </c>
      <c r="AW347" s="246">
        <f>IFERROR(VLOOKUP(G347,VOL_REC[],2,FALSE),0)</f>
        <v>90439.55</v>
      </c>
      <c r="AX347" s="246">
        <f>IFERROR(VLOOKUP(H347,VOL_REC[],2,FALSE),0)</f>
        <v>663244.80000000016</v>
      </c>
      <c r="AY347" s="246">
        <f>IFERROR(VLOOKUP(I347,VOL_REC[],2,FALSE),0)</f>
        <v>105072</v>
      </c>
      <c r="AZ347" s="246">
        <f>IFERROR(VLOOKUP(J347,VOL_REC[],2,FALSE),0)</f>
        <v>740113.98115702497</v>
      </c>
      <c r="BA347" s="246">
        <f>IFERROR(VLOOKUP(K347,VOL_REC[],2,FALSE),0)</f>
        <v>0</v>
      </c>
      <c r="BB347" s="246">
        <f>IFERROR(VLOOKUP(L347,VOL_REC[],2,FALSE),0)</f>
        <v>0</v>
      </c>
      <c r="BC347" s="246">
        <f>IFERROR(VLOOKUP(M347,VOL_REC[],2,FALSE),0)</f>
        <v>0</v>
      </c>
      <c r="BD347" s="246">
        <f>IFERROR(VLOOKUP(N347,VOL_REC[],2,FALSE),0)</f>
        <v>0</v>
      </c>
      <c r="BE347" s="246">
        <f>IFERROR(VLOOKUP(O347,VOL_REC[],2,FALSE),0)</f>
        <v>0</v>
      </c>
      <c r="BF347" s="246">
        <f>IFERROR(VLOOKUP(P347,VOL_REC[],2,FALSE),0)</f>
        <v>0</v>
      </c>
      <c r="BG347" s="246">
        <f>IFERROR(VLOOKUP(Q347,VOL_REC[],2,FALSE),0)</f>
        <v>0</v>
      </c>
      <c r="BH347" s="1710">
        <f t="shared" si="20"/>
        <v>9659041995.4920826</v>
      </c>
      <c r="BI347" s="1710">
        <f t="shared" si="21"/>
        <v>11670872673.991999</v>
      </c>
      <c r="BJ347" s="1711">
        <f t="shared" si="22"/>
        <v>12688544.531157028</v>
      </c>
      <c r="BK347" s="1711">
        <f t="shared" si="23"/>
        <v>0.82761951614953455</v>
      </c>
    </row>
    <row r="348" spans="3:67" x14ac:dyDescent="0.25">
      <c r="C348" s="246" t="s">
        <v>1698</v>
      </c>
      <c r="D348" s="246">
        <v>1</v>
      </c>
      <c r="E348" s="246">
        <v>2</v>
      </c>
      <c r="F348" s="246">
        <v>3</v>
      </c>
      <c r="G348" s="246">
        <v>4</v>
      </c>
      <c r="H348" s="246">
        <v>13</v>
      </c>
      <c r="I348" s="246">
        <v>16</v>
      </c>
      <c r="J348" s="246">
        <v>17</v>
      </c>
      <c r="K348" s="246"/>
      <c r="L348" s="246"/>
      <c r="M348" s="246"/>
      <c r="N348" s="246"/>
      <c r="O348" s="246"/>
      <c r="P348" s="246"/>
      <c r="Q348" s="246"/>
      <c r="R348" s="246">
        <f>IFERROR(VLOOKUP(D348,PROGRAMAS[],2,FALSE),0)</f>
        <v>97037803.679377079</v>
      </c>
      <c r="S348" s="246">
        <f>IFERROR(VLOOKUP(E348,PROGRAMAS[],2,FALSE),0)</f>
        <v>640501509.6821388</v>
      </c>
      <c r="T348" s="246">
        <f>IFERROR(VLOOKUP(F348,PROGRAMAS[],2,FALSE),0)</f>
        <v>3062327798.1525245</v>
      </c>
      <c r="U348" s="246">
        <f>IFERROR(VLOOKUP(G348,PROGRAMAS[],2,FALSE),0)</f>
        <v>67697118.033011258</v>
      </c>
      <c r="V348" s="246">
        <f>IFERROR(VLOOKUP(H348,PROGRAMAS[],2,FALSE),0)</f>
        <v>3776538594.4604583</v>
      </c>
      <c r="W348" s="246">
        <f>IFERROR(VLOOKUP(I348,PROGRAMAS[],2,FALSE),0)</f>
        <v>7068496961.0436354</v>
      </c>
      <c r="X348" s="246">
        <f>IFERROR(VLOOKUP(J348,PROGRAMAS[],2,FALSE),0)</f>
        <v>1892779498.5211046</v>
      </c>
      <c r="Y348" s="246">
        <f>IFERROR(VLOOKUP(K348,PROGRAMAS[],2,FALSE),0)</f>
        <v>0</v>
      </c>
      <c r="Z348" s="246">
        <f>IFERROR(VLOOKUP(L348,PROGRAMAS[],2,FALSE),0)</f>
        <v>0</v>
      </c>
      <c r="AA348" s="246">
        <f>IFERROR(VLOOKUP(M348,PROGRAMAS[],2,FALSE),0)</f>
        <v>0</v>
      </c>
      <c r="AB348" s="246">
        <f>IFERROR(VLOOKUP(N348,PROGRAMAS[],2,FALSE),0)</f>
        <v>0</v>
      </c>
      <c r="AC348" s="246">
        <f>IFERROR(VLOOKUP(O348,PROGRAMAS[],2,FALSE),0)</f>
        <v>0</v>
      </c>
      <c r="AD348" s="246">
        <f>IFERROR(VLOOKUP(P348,PROGRAMAS[],2,FALSE),0)</f>
        <v>0</v>
      </c>
      <c r="AE348" s="246">
        <f>IFERROR(VLOOKUP(Q348,PROGRAMAS[],2,FALSE),0)</f>
        <v>0</v>
      </c>
      <c r="AF348" s="246">
        <f>IFERROR(VLOOKUP(D348,PROGRAMAS[],3,FALSE),0)</f>
        <v>841888629.31080008</v>
      </c>
      <c r="AG348" s="246">
        <f>IFERROR(VLOOKUP(E348,PROGRAMAS[],3,FALSE),0)</f>
        <v>3848980803.1642323</v>
      </c>
      <c r="AH348" s="246">
        <f>IFERROR(VLOOKUP(F348,PROGRAMAS[],3,FALSE),0)</f>
        <v>3394901471.387517</v>
      </c>
      <c r="AI348" s="246">
        <f>IFERROR(VLOOKUP(G348,PROGRAMAS[],3,FALSE),0)</f>
        <v>125317226.95549992</v>
      </c>
      <c r="AJ348" s="246">
        <f>IFERROR(VLOOKUP(H348,PROGRAMAS[],3,FALSE),0)</f>
        <v>2392571243.5584412</v>
      </c>
      <c r="AK348" s="246">
        <f>IFERROR(VLOOKUP(I348,PROGRAMAS[],3,FALSE),0)</f>
        <v>2406564599.0319901</v>
      </c>
      <c r="AL348" s="246">
        <f>IFERROR(VLOOKUP(J348,PROGRAMAS[],3,FALSE),0)</f>
        <v>948595847.09039903</v>
      </c>
      <c r="AM348" s="246">
        <f>IFERROR(VLOOKUP(K348,PROGRAMAS[],3,FALSE),0)</f>
        <v>0</v>
      </c>
      <c r="AN348" s="246">
        <f>IFERROR(VLOOKUP(L348,PROGRAMAS[],3,FALSE),0)</f>
        <v>0</v>
      </c>
      <c r="AO348" s="246">
        <f>IFERROR(VLOOKUP(M348,PROGRAMAS[],3,FALSE),0)</f>
        <v>0</v>
      </c>
      <c r="AP348" s="246">
        <f>IFERROR(VLOOKUP(N348,PROGRAMAS[],3,FALSE),0)</f>
        <v>0</v>
      </c>
      <c r="AQ348" s="246">
        <f>IFERROR(VLOOKUP(O348,PROGRAMAS[],3,FALSE),0)</f>
        <v>0</v>
      </c>
      <c r="AR348" s="246">
        <f>IFERROR(VLOOKUP(P348,PROGRAMAS[],3,FALSE),0)</f>
        <v>0</v>
      </c>
      <c r="AS348" s="246">
        <f>IFERROR(VLOOKUP(Q348,PROGRAMAS[],3,FALSE),0)</f>
        <v>0</v>
      </c>
      <c r="AT348" s="246">
        <f>IFERROR(VLOOKUP(D348,VOL_REC[],2,FALSE),0)</f>
        <v>0</v>
      </c>
      <c r="AU348" s="246">
        <f>IFERROR(VLOOKUP(E348,VOL_REC[],2,FALSE),0)</f>
        <v>0</v>
      </c>
      <c r="AV348" s="246">
        <f>IFERROR(VLOOKUP(F348,VOL_REC[],2,FALSE),0)</f>
        <v>11089674.200000001</v>
      </c>
      <c r="AW348" s="246">
        <f>IFERROR(VLOOKUP(G348,VOL_REC[],2,FALSE),0)</f>
        <v>90439.55</v>
      </c>
      <c r="AX348" s="246">
        <f>IFERROR(VLOOKUP(H348,VOL_REC[],2,FALSE),0)</f>
        <v>663244.80000000016</v>
      </c>
      <c r="AY348" s="246">
        <f>IFERROR(VLOOKUP(I348,VOL_REC[],2,FALSE),0)</f>
        <v>1072354.9981737854</v>
      </c>
      <c r="AZ348" s="246">
        <f>IFERROR(VLOOKUP(J348,VOL_REC[],2,FALSE),0)</f>
        <v>740113.98115702497</v>
      </c>
      <c r="BA348" s="246">
        <f>IFERROR(VLOOKUP(K348,VOL_REC[],2,FALSE),0)</f>
        <v>0</v>
      </c>
      <c r="BB348" s="246">
        <f>IFERROR(VLOOKUP(L348,VOL_REC[],2,FALSE),0)</f>
        <v>0</v>
      </c>
      <c r="BC348" s="246">
        <f>IFERROR(VLOOKUP(M348,VOL_REC[],2,FALSE),0)</f>
        <v>0</v>
      </c>
      <c r="BD348" s="246">
        <f>IFERROR(VLOOKUP(N348,VOL_REC[],2,FALSE),0)</f>
        <v>0</v>
      </c>
      <c r="BE348" s="246">
        <f>IFERROR(VLOOKUP(O348,VOL_REC[],2,FALSE),0)</f>
        <v>0</v>
      </c>
      <c r="BF348" s="246">
        <f>IFERROR(VLOOKUP(P348,VOL_REC[],2,FALSE),0)</f>
        <v>0</v>
      </c>
      <c r="BG348" s="246">
        <f>IFERROR(VLOOKUP(Q348,VOL_REC[],2,FALSE),0)</f>
        <v>0</v>
      </c>
      <c r="BH348" s="1710">
        <f t="shared" si="20"/>
        <v>16605379283.57225</v>
      </c>
      <c r="BI348" s="1710">
        <f t="shared" si="21"/>
        <v>13958819820.49888</v>
      </c>
      <c r="BJ348" s="1711">
        <f t="shared" si="22"/>
        <v>13655827.529330814</v>
      </c>
      <c r="BK348" s="1711">
        <f t="shared" si="23"/>
        <v>1.189597652029782</v>
      </c>
      <c r="BL348">
        <f>BJ348</f>
        <v>13655827.529330814</v>
      </c>
      <c r="BO348">
        <f>BL348</f>
        <v>13655827.529330814</v>
      </c>
    </row>
    <row r="349" spans="3:67" x14ac:dyDescent="0.25">
      <c r="C349" s="246" t="s">
        <v>1699</v>
      </c>
      <c r="D349" s="246">
        <v>1</v>
      </c>
      <c r="E349" s="246">
        <v>2</v>
      </c>
      <c r="F349" s="246">
        <v>3</v>
      </c>
      <c r="G349" s="246">
        <v>4</v>
      </c>
      <c r="H349" s="246">
        <v>14</v>
      </c>
      <c r="I349" s="246">
        <v>15</v>
      </c>
      <c r="J349" s="246">
        <v>16</v>
      </c>
      <c r="K349" s="246"/>
      <c r="L349" s="246"/>
      <c r="M349" s="246"/>
      <c r="N349" s="246"/>
      <c r="O349" s="246"/>
      <c r="P349" s="246"/>
      <c r="Q349" s="246"/>
      <c r="R349" s="246">
        <f>IFERROR(VLOOKUP(D349,PROGRAMAS[],2,FALSE),0)</f>
        <v>97037803.679377079</v>
      </c>
      <c r="S349" s="246">
        <f>IFERROR(VLOOKUP(E349,PROGRAMAS[],2,FALSE),0)</f>
        <v>640501509.6821388</v>
      </c>
      <c r="T349" s="246">
        <f>IFERROR(VLOOKUP(F349,PROGRAMAS[],2,FALSE),0)</f>
        <v>3062327798.1525245</v>
      </c>
      <c r="U349" s="246">
        <f>IFERROR(VLOOKUP(G349,PROGRAMAS[],2,FALSE),0)</f>
        <v>67697118.033011258</v>
      </c>
      <c r="V349" s="246">
        <f>IFERROR(VLOOKUP(H349,PROGRAMAS[],2,FALSE),0)</f>
        <v>54223862.645839565</v>
      </c>
      <c r="W349" s="246">
        <f>IFERROR(VLOOKUP(I349,PROGRAMAS[],2,FALSE),0)</f>
        <v>122159672.96346797</v>
      </c>
      <c r="X349" s="246">
        <f>IFERROR(VLOOKUP(J349,PROGRAMAS[],2,FALSE),0)</f>
        <v>7068496961.0436354</v>
      </c>
      <c r="Y349" s="246">
        <f>IFERROR(VLOOKUP(K349,PROGRAMAS[],2,FALSE),0)</f>
        <v>0</v>
      </c>
      <c r="Z349" s="246">
        <f>IFERROR(VLOOKUP(L349,PROGRAMAS[],2,FALSE),0)</f>
        <v>0</v>
      </c>
      <c r="AA349" s="246">
        <f>IFERROR(VLOOKUP(M349,PROGRAMAS[],2,FALSE),0)</f>
        <v>0</v>
      </c>
      <c r="AB349" s="246">
        <f>IFERROR(VLOOKUP(N349,PROGRAMAS[],2,FALSE),0)</f>
        <v>0</v>
      </c>
      <c r="AC349" s="246">
        <f>IFERROR(VLOOKUP(O349,PROGRAMAS[],2,FALSE),0)</f>
        <v>0</v>
      </c>
      <c r="AD349" s="246">
        <f>IFERROR(VLOOKUP(P349,PROGRAMAS[],2,FALSE),0)</f>
        <v>0</v>
      </c>
      <c r="AE349" s="246">
        <f>IFERROR(VLOOKUP(Q349,PROGRAMAS[],2,FALSE),0)</f>
        <v>0</v>
      </c>
      <c r="AF349" s="246">
        <f>IFERROR(VLOOKUP(D349,PROGRAMAS[],3,FALSE),0)</f>
        <v>841888629.31080008</v>
      </c>
      <c r="AG349" s="246">
        <f>IFERROR(VLOOKUP(E349,PROGRAMAS[],3,FALSE),0)</f>
        <v>3848980803.1642323</v>
      </c>
      <c r="AH349" s="246">
        <f>IFERROR(VLOOKUP(F349,PROGRAMAS[],3,FALSE),0)</f>
        <v>3394901471.387517</v>
      </c>
      <c r="AI349" s="246">
        <f>IFERROR(VLOOKUP(G349,PROGRAMAS[],3,FALSE),0)</f>
        <v>125317226.95549992</v>
      </c>
      <c r="AJ349" s="246">
        <f>IFERROR(VLOOKUP(H349,PROGRAMAS[],3,FALSE),0)</f>
        <v>31865326.38096505</v>
      </c>
      <c r="AK349" s="246">
        <f>IFERROR(VLOOKUP(I349,PROGRAMAS[],3,FALSE),0)</f>
        <v>118617452.52510804</v>
      </c>
      <c r="AL349" s="246">
        <f>IFERROR(VLOOKUP(J349,PROGRAMAS[],3,FALSE),0)</f>
        <v>2406564599.0319901</v>
      </c>
      <c r="AM349" s="246">
        <f>IFERROR(VLOOKUP(K349,PROGRAMAS[],3,FALSE),0)</f>
        <v>0</v>
      </c>
      <c r="AN349" s="246">
        <f>IFERROR(VLOOKUP(L349,PROGRAMAS[],3,FALSE),0)</f>
        <v>0</v>
      </c>
      <c r="AO349" s="246">
        <f>IFERROR(VLOOKUP(M349,PROGRAMAS[],3,FALSE),0)</f>
        <v>0</v>
      </c>
      <c r="AP349" s="246">
        <f>IFERROR(VLOOKUP(N349,PROGRAMAS[],3,FALSE),0)</f>
        <v>0</v>
      </c>
      <c r="AQ349" s="246">
        <f>IFERROR(VLOOKUP(O349,PROGRAMAS[],3,FALSE),0)</f>
        <v>0</v>
      </c>
      <c r="AR349" s="246">
        <f>IFERROR(VLOOKUP(P349,PROGRAMAS[],3,FALSE),0)</f>
        <v>0</v>
      </c>
      <c r="AS349" s="246">
        <f>IFERROR(VLOOKUP(Q349,PROGRAMAS[],3,FALSE),0)</f>
        <v>0</v>
      </c>
      <c r="AT349" s="246">
        <f>IFERROR(VLOOKUP(D349,VOL_REC[],2,FALSE),0)</f>
        <v>0</v>
      </c>
      <c r="AU349" s="246">
        <f>IFERROR(VLOOKUP(E349,VOL_REC[],2,FALSE),0)</f>
        <v>0</v>
      </c>
      <c r="AV349" s="246">
        <f>IFERROR(VLOOKUP(F349,VOL_REC[],2,FALSE),0)</f>
        <v>11089674.200000001</v>
      </c>
      <c r="AW349" s="246">
        <f>IFERROR(VLOOKUP(G349,VOL_REC[],2,FALSE),0)</f>
        <v>90439.55</v>
      </c>
      <c r="AX349" s="246">
        <f>IFERROR(VLOOKUP(H349,VOL_REC[],2,FALSE),0)</f>
        <v>17074.045034105649</v>
      </c>
      <c r="AY349" s="246">
        <f>IFERROR(VLOOKUP(I349,VOL_REC[],2,FALSE),0)</f>
        <v>105072</v>
      </c>
      <c r="AZ349" s="246">
        <f>IFERROR(VLOOKUP(J349,VOL_REC[],2,FALSE),0)</f>
        <v>1072354.9981737854</v>
      </c>
      <c r="BA349" s="246">
        <f>IFERROR(VLOOKUP(K349,VOL_REC[],2,FALSE),0)</f>
        <v>0</v>
      </c>
      <c r="BB349" s="246">
        <f>IFERROR(VLOOKUP(L349,VOL_REC[],2,FALSE),0)</f>
        <v>0</v>
      </c>
      <c r="BC349" s="246">
        <f>IFERROR(VLOOKUP(M349,VOL_REC[],2,FALSE),0)</f>
        <v>0</v>
      </c>
      <c r="BD349" s="246">
        <f>IFERROR(VLOOKUP(N349,VOL_REC[],2,FALSE),0)</f>
        <v>0</v>
      </c>
      <c r="BE349" s="246">
        <f>IFERROR(VLOOKUP(O349,VOL_REC[],2,FALSE),0)</f>
        <v>0</v>
      </c>
      <c r="BF349" s="246">
        <f>IFERROR(VLOOKUP(P349,VOL_REC[],2,FALSE),0)</f>
        <v>0</v>
      </c>
      <c r="BG349" s="246">
        <f>IFERROR(VLOOKUP(Q349,VOL_REC[],2,FALSE),0)</f>
        <v>0</v>
      </c>
      <c r="BH349" s="1710">
        <f t="shared" si="20"/>
        <v>11112444726.199995</v>
      </c>
      <c r="BI349" s="1710">
        <f t="shared" si="21"/>
        <v>10768135508.756113</v>
      </c>
      <c r="BJ349" s="1711">
        <f t="shared" si="22"/>
        <v>12374614.793207891</v>
      </c>
      <c r="BK349" s="1711">
        <f t="shared" si="23"/>
        <v>1.0319748221188252</v>
      </c>
      <c r="BL349">
        <f>BJ349</f>
        <v>12374614.793207891</v>
      </c>
      <c r="BO349">
        <f>BL349</f>
        <v>12374614.793207891</v>
      </c>
    </row>
    <row r="350" spans="3:67" x14ac:dyDescent="0.25">
      <c r="C350" s="246" t="s">
        <v>1700</v>
      </c>
      <c r="D350" s="246">
        <v>1</v>
      </c>
      <c r="E350" s="246">
        <v>2</v>
      </c>
      <c r="F350" s="246">
        <v>3</v>
      </c>
      <c r="G350" s="246">
        <v>4</v>
      </c>
      <c r="H350" s="246">
        <v>14</v>
      </c>
      <c r="I350" s="246">
        <v>15</v>
      </c>
      <c r="J350" s="246">
        <v>17</v>
      </c>
      <c r="K350" s="246"/>
      <c r="L350" s="246"/>
      <c r="M350" s="246"/>
      <c r="N350" s="246"/>
      <c r="O350" s="246"/>
      <c r="P350" s="246"/>
      <c r="Q350" s="246"/>
      <c r="R350" s="246">
        <f>IFERROR(VLOOKUP(D350,PROGRAMAS[],2,FALSE),0)</f>
        <v>97037803.679377079</v>
      </c>
      <c r="S350" s="246">
        <f>IFERROR(VLOOKUP(E350,PROGRAMAS[],2,FALSE),0)</f>
        <v>640501509.6821388</v>
      </c>
      <c r="T350" s="246">
        <f>IFERROR(VLOOKUP(F350,PROGRAMAS[],2,FALSE),0)</f>
        <v>3062327798.1525245</v>
      </c>
      <c r="U350" s="246">
        <f>IFERROR(VLOOKUP(G350,PROGRAMAS[],2,FALSE),0)</f>
        <v>67697118.033011258</v>
      </c>
      <c r="V350" s="246">
        <f>IFERROR(VLOOKUP(H350,PROGRAMAS[],2,FALSE),0)</f>
        <v>54223862.645839565</v>
      </c>
      <c r="W350" s="246">
        <f>IFERROR(VLOOKUP(I350,PROGRAMAS[],2,FALSE),0)</f>
        <v>122159672.96346797</v>
      </c>
      <c r="X350" s="246">
        <f>IFERROR(VLOOKUP(J350,PROGRAMAS[],2,FALSE),0)</f>
        <v>1892779498.5211046</v>
      </c>
      <c r="Y350" s="246">
        <f>IFERROR(VLOOKUP(K350,PROGRAMAS[],2,FALSE),0)</f>
        <v>0</v>
      </c>
      <c r="Z350" s="246">
        <f>IFERROR(VLOOKUP(L350,PROGRAMAS[],2,FALSE),0)</f>
        <v>0</v>
      </c>
      <c r="AA350" s="246">
        <f>IFERROR(VLOOKUP(M350,PROGRAMAS[],2,FALSE),0)</f>
        <v>0</v>
      </c>
      <c r="AB350" s="246">
        <f>IFERROR(VLOOKUP(N350,PROGRAMAS[],2,FALSE),0)</f>
        <v>0</v>
      </c>
      <c r="AC350" s="246">
        <f>IFERROR(VLOOKUP(O350,PROGRAMAS[],2,FALSE),0)</f>
        <v>0</v>
      </c>
      <c r="AD350" s="246">
        <f>IFERROR(VLOOKUP(P350,PROGRAMAS[],2,FALSE),0)</f>
        <v>0</v>
      </c>
      <c r="AE350" s="246">
        <f>IFERROR(VLOOKUP(Q350,PROGRAMAS[],2,FALSE),0)</f>
        <v>0</v>
      </c>
      <c r="AF350" s="246">
        <f>IFERROR(VLOOKUP(D350,PROGRAMAS[],3,FALSE),0)</f>
        <v>841888629.31080008</v>
      </c>
      <c r="AG350" s="246">
        <f>IFERROR(VLOOKUP(E350,PROGRAMAS[],3,FALSE),0)</f>
        <v>3848980803.1642323</v>
      </c>
      <c r="AH350" s="246">
        <f>IFERROR(VLOOKUP(F350,PROGRAMAS[],3,FALSE),0)</f>
        <v>3394901471.387517</v>
      </c>
      <c r="AI350" s="246">
        <f>IFERROR(VLOOKUP(G350,PROGRAMAS[],3,FALSE),0)</f>
        <v>125317226.95549992</v>
      </c>
      <c r="AJ350" s="246">
        <f>IFERROR(VLOOKUP(H350,PROGRAMAS[],3,FALSE),0)</f>
        <v>31865326.38096505</v>
      </c>
      <c r="AK350" s="246">
        <f>IFERROR(VLOOKUP(I350,PROGRAMAS[],3,FALSE),0)</f>
        <v>118617452.52510804</v>
      </c>
      <c r="AL350" s="246">
        <f>IFERROR(VLOOKUP(J350,PROGRAMAS[],3,FALSE),0)</f>
        <v>948595847.09039903</v>
      </c>
      <c r="AM350" s="246">
        <f>IFERROR(VLOOKUP(K350,PROGRAMAS[],3,FALSE),0)</f>
        <v>0</v>
      </c>
      <c r="AN350" s="246">
        <f>IFERROR(VLOOKUP(L350,PROGRAMAS[],3,FALSE),0)</f>
        <v>0</v>
      </c>
      <c r="AO350" s="246">
        <f>IFERROR(VLOOKUP(M350,PROGRAMAS[],3,FALSE),0)</f>
        <v>0</v>
      </c>
      <c r="AP350" s="246">
        <f>IFERROR(VLOOKUP(N350,PROGRAMAS[],3,FALSE),0)</f>
        <v>0</v>
      </c>
      <c r="AQ350" s="246">
        <f>IFERROR(VLOOKUP(O350,PROGRAMAS[],3,FALSE),0)</f>
        <v>0</v>
      </c>
      <c r="AR350" s="246">
        <f>IFERROR(VLOOKUP(P350,PROGRAMAS[],3,FALSE),0)</f>
        <v>0</v>
      </c>
      <c r="AS350" s="246">
        <f>IFERROR(VLOOKUP(Q350,PROGRAMAS[],3,FALSE),0)</f>
        <v>0</v>
      </c>
      <c r="AT350" s="246">
        <f>IFERROR(VLOOKUP(D350,VOL_REC[],2,FALSE),0)</f>
        <v>0</v>
      </c>
      <c r="AU350" s="246">
        <f>IFERROR(VLOOKUP(E350,VOL_REC[],2,FALSE),0)</f>
        <v>0</v>
      </c>
      <c r="AV350" s="246">
        <f>IFERROR(VLOOKUP(F350,VOL_REC[],2,FALSE),0)</f>
        <v>11089674.200000001</v>
      </c>
      <c r="AW350" s="246">
        <f>IFERROR(VLOOKUP(G350,VOL_REC[],2,FALSE),0)</f>
        <v>90439.55</v>
      </c>
      <c r="AX350" s="246">
        <f>IFERROR(VLOOKUP(H350,VOL_REC[],2,FALSE),0)</f>
        <v>17074.045034105649</v>
      </c>
      <c r="AY350" s="246">
        <f>IFERROR(VLOOKUP(I350,VOL_REC[],2,FALSE),0)</f>
        <v>105072</v>
      </c>
      <c r="AZ350" s="246">
        <f>IFERROR(VLOOKUP(J350,VOL_REC[],2,FALSE),0)</f>
        <v>740113.98115702497</v>
      </c>
      <c r="BA350" s="246">
        <f>IFERROR(VLOOKUP(K350,VOL_REC[],2,FALSE),0)</f>
        <v>0</v>
      </c>
      <c r="BB350" s="246">
        <f>IFERROR(VLOOKUP(L350,VOL_REC[],2,FALSE),0)</f>
        <v>0</v>
      </c>
      <c r="BC350" s="246">
        <f>IFERROR(VLOOKUP(M350,VOL_REC[],2,FALSE),0)</f>
        <v>0</v>
      </c>
      <c r="BD350" s="246">
        <f>IFERROR(VLOOKUP(N350,VOL_REC[],2,FALSE),0)</f>
        <v>0</v>
      </c>
      <c r="BE350" s="246">
        <f>IFERROR(VLOOKUP(O350,VOL_REC[],2,FALSE),0)</f>
        <v>0</v>
      </c>
      <c r="BF350" s="246">
        <f>IFERROR(VLOOKUP(P350,VOL_REC[],2,FALSE),0)</f>
        <v>0</v>
      </c>
      <c r="BG350" s="246">
        <f>IFERROR(VLOOKUP(Q350,VOL_REC[],2,FALSE),0)</f>
        <v>0</v>
      </c>
      <c r="BH350" s="1710">
        <f t="shared" si="20"/>
        <v>5936727263.6774645</v>
      </c>
      <c r="BI350" s="1710">
        <f t="shared" si="21"/>
        <v>9310166756.8145218</v>
      </c>
      <c r="BJ350" s="1711">
        <f t="shared" si="22"/>
        <v>12042373.776191132</v>
      </c>
      <c r="BK350" s="1711">
        <f t="shared" si="23"/>
        <v>0.63766067985110064</v>
      </c>
    </row>
    <row r="351" spans="3:67" x14ac:dyDescent="0.25">
      <c r="C351" s="246" t="s">
        <v>1701</v>
      </c>
      <c r="D351" s="246">
        <v>1</v>
      </c>
      <c r="E351" s="246">
        <v>2</v>
      </c>
      <c r="F351" s="246">
        <v>3</v>
      </c>
      <c r="G351" s="246">
        <v>4</v>
      </c>
      <c r="H351" s="246">
        <v>14</v>
      </c>
      <c r="I351" s="246">
        <v>16</v>
      </c>
      <c r="J351" s="246">
        <v>17</v>
      </c>
      <c r="K351" s="246"/>
      <c r="L351" s="246"/>
      <c r="M351" s="246"/>
      <c r="N351" s="246"/>
      <c r="O351" s="246"/>
      <c r="P351" s="246"/>
      <c r="Q351" s="246"/>
      <c r="R351" s="246">
        <f>IFERROR(VLOOKUP(D351,PROGRAMAS[],2,FALSE),0)</f>
        <v>97037803.679377079</v>
      </c>
      <c r="S351" s="246">
        <f>IFERROR(VLOOKUP(E351,PROGRAMAS[],2,FALSE),0)</f>
        <v>640501509.6821388</v>
      </c>
      <c r="T351" s="246">
        <f>IFERROR(VLOOKUP(F351,PROGRAMAS[],2,FALSE),0)</f>
        <v>3062327798.1525245</v>
      </c>
      <c r="U351" s="246">
        <f>IFERROR(VLOOKUP(G351,PROGRAMAS[],2,FALSE),0)</f>
        <v>67697118.033011258</v>
      </c>
      <c r="V351" s="246">
        <f>IFERROR(VLOOKUP(H351,PROGRAMAS[],2,FALSE),0)</f>
        <v>54223862.645839565</v>
      </c>
      <c r="W351" s="246">
        <f>IFERROR(VLOOKUP(I351,PROGRAMAS[],2,FALSE),0)</f>
        <v>7068496961.0436354</v>
      </c>
      <c r="X351" s="246">
        <f>IFERROR(VLOOKUP(J351,PROGRAMAS[],2,FALSE),0)</f>
        <v>1892779498.5211046</v>
      </c>
      <c r="Y351" s="246">
        <f>IFERROR(VLOOKUP(K351,PROGRAMAS[],2,FALSE),0)</f>
        <v>0</v>
      </c>
      <c r="Z351" s="246">
        <f>IFERROR(VLOOKUP(L351,PROGRAMAS[],2,FALSE),0)</f>
        <v>0</v>
      </c>
      <c r="AA351" s="246">
        <f>IFERROR(VLOOKUP(M351,PROGRAMAS[],2,FALSE),0)</f>
        <v>0</v>
      </c>
      <c r="AB351" s="246">
        <f>IFERROR(VLOOKUP(N351,PROGRAMAS[],2,FALSE),0)</f>
        <v>0</v>
      </c>
      <c r="AC351" s="246">
        <f>IFERROR(VLOOKUP(O351,PROGRAMAS[],2,FALSE),0)</f>
        <v>0</v>
      </c>
      <c r="AD351" s="246">
        <f>IFERROR(VLOOKUP(P351,PROGRAMAS[],2,FALSE),0)</f>
        <v>0</v>
      </c>
      <c r="AE351" s="246">
        <f>IFERROR(VLOOKUP(Q351,PROGRAMAS[],2,FALSE),0)</f>
        <v>0</v>
      </c>
      <c r="AF351" s="246">
        <f>IFERROR(VLOOKUP(D351,PROGRAMAS[],3,FALSE),0)</f>
        <v>841888629.31080008</v>
      </c>
      <c r="AG351" s="246">
        <f>IFERROR(VLOOKUP(E351,PROGRAMAS[],3,FALSE),0)</f>
        <v>3848980803.1642323</v>
      </c>
      <c r="AH351" s="246">
        <f>IFERROR(VLOOKUP(F351,PROGRAMAS[],3,FALSE),0)</f>
        <v>3394901471.387517</v>
      </c>
      <c r="AI351" s="246">
        <f>IFERROR(VLOOKUP(G351,PROGRAMAS[],3,FALSE),0)</f>
        <v>125317226.95549992</v>
      </c>
      <c r="AJ351" s="246">
        <f>IFERROR(VLOOKUP(H351,PROGRAMAS[],3,FALSE),0)</f>
        <v>31865326.38096505</v>
      </c>
      <c r="AK351" s="246">
        <f>IFERROR(VLOOKUP(I351,PROGRAMAS[],3,FALSE),0)</f>
        <v>2406564599.0319901</v>
      </c>
      <c r="AL351" s="246">
        <f>IFERROR(VLOOKUP(J351,PROGRAMAS[],3,FALSE),0)</f>
        <v>948595847.09039903</v>
      </c>
      <c r="AM351" s="246">
        <f>IFERROR(VLOOKUP(K351,PROGRAMAS[],3,FALSE),0)</f>
        <v>0</v>
      </c>
      <c r="AN351" s="246">
        <f>IFERROR(VLOOKUP(L351,PROGRAMAS[],3,FALSE),0)</f>
        <v>0</v>
      </c>
      <c r="AO351" s="246">
        <f>IFERROR(VLOOKUP(M351,PROGRAMAS[],3,FALSE),0)</f>
        <v>0</v>
      </c>
      <c r="AP351" s="246">
        <f>IFERROR(VLOOKUP(N351,PROGRAMAS[],3,FALSE),0)</f>
        <v>0</v>
      </c>
      <c r="AQ351" s="246">
        <f>IFERROR(VLOOKUP(O351,PROGRAMAS[],3,FALSE),0)</f>
        <v>0</v>
      </c>
      <c r="AR351" s="246">
        <f>IFERROR(VLOOKUP(P351,PROGRAMAS[],3,FALSE),0)</f>
        <v>0</v>
      </c>
      <c r="AS351" s="246">
        <f>IFERROR(VLOOKUP(Q351,PROGRAMAS[],3,FALSE),0)</f>
        <v>0</v>
      </c>
      <c r="AT351" s="246">
        <f>IFERROR(VLOOKUP(D351,VOL_REC[],2,FALSE),0)</f>
        <v>0</v>
      </c>
      <c r="AU351" s="246">
        <f>IFERROR(VLOOKUP(E351,VOL_REC[],2,FALSE),0)</f>
        <v>0</v>
      </c>
      <c r="AV351" s="246">
        <f>IFERROR(VLOOKUP(F351,VOL_REC[],2,FALSE),0)</f>
        <v>11089674.200000001</v>
      </c>
      <c r="AW351" s="246">
        <f>IFERROR(VLOOKUP(G351,VOL_REC[],2,FALSE),0)</f>
        <v>90439.55</v>
      </c>
      <c r="AX351" s="246">
        <f>IFERROR(VLOOKUP(H351,VOL_REC[],2,FALSE),0)</f>
        <v>17074.045034105649</v>
      </c>
      <c r="AY351" s="246">
        <f>IFERROR(VLOOKUP(I351,VOL_REC[],2,FALSE),0)</f>
        <v>1072354.9981737854</v>
      </c>
      <c r="AZ351" s="246">
        <f>IFERROR(VLOOKUP(J351,VOL_REC[],2,FALSE),0)</f>
        <v>740113.98115702497</v>
      </c>
      <c r="BA351" s="246">
        <f>IFERROR(VLOOKUP(K351,VOL_REC[],2,FALSE),0)</f>
        <v>0</v>
      </c>
      <c r="BB351" s="246">
        <f>IFERROR(VLOOKUP(L351,VOL_REC[],2,FALSE),0)</f>
        <v>0</v>
      </c>
      <c r="BC351" s="246">
        <f>IFERROR(VLOOKUP(M351,VOL_REC[],2,FALSE),0)</f>
        <v>0</v>
      </c>
      <c r="BD351" s="246">
        <f>IFERROR(VLOOKUP(N351,VOL_REC[],2,FALSE),0)</f>
        <v>0</v>
      </c>
      <c r="BE351" s="246">
        <f>IFERROR(VLOOKUP(O351,VOL_REC[],2,FALSE),0)</f>
        <v>0</v>
      </c>
      <c r="BF351" s="246">
        <f>IFERROR(VLOOKUP(P351,VOL_REC[],2,FALSE),0)</f>
        <v>0</v>
      </c>
      <c r="BG351" s="246">
        <f>IFERROR(VLOOKUP(Q351,VOL_REC[],2,FALSE),0)</f>
        <v>0</v>
      </c>
      <c r="BH351" s="1710">
        <f t="shared" si="20"/>
        <v>12883064551.757631</v>
      </c>
      <c r="BI351" s="1710">
        <f t="shared" si="21"/>
        <v>11598113903.321404</v>
      </c>
      <c r="BJ351" s="1711">
        <f t="shared" si="22"/>
        <v>13009656.774364917</v>
      </c>
      <c r="BK351" s="1711">
        <f t="shared" si="23"/>
        <v>1.1107896214114823</v>
      </c>
      <c r="BL351">
        <f>BJ351</f>
        <v>13009656.774364917</v>
      </c>
      <c r="BO351">
        <f>BL351</f>
        <v>13009656.774364917</v>
      </c>
    </row>
    <row r="352" spans="3:67" x14ac:dyDescent="0.25">
      <c r="C352" s="246" t="s">
        <v>1702</v>
      </c>
      <c r="D352" s="246">
        <v>1</v>
      </c>
      <c r="E352" s="246">
        <v>2</v>
      </c>
      <c r="F352" s="246">
        <v>3</v>
      </c>
      <c r="G352" s="246">
        <v>4</v>
      </c>
      <c r="H352" s="246">
        <v>15</v>
      </c>
      <c r="I352" s="246">
        <v>16</v>
      </c>
      <c r="J352" s="246">
        <v>17</v>
      </c>
      <c r="K352" s="246"/>
      <c r="L352" s="246"/>
      <c r="M352" s="246"/>
      <c r="N352" s="246"/>
      <c r="O352" s="246"/>
      <c r="P352" s="246"/>
      <c r="Q352" s="246"/>
      <c r="R352" s="246">
        <f>IFERROR(VLOOKUP(D352,PROGRAMAS[],2,FALSE),0)</f>
        <v>97037803.679377079</v>
      </c>
      <c r="S352" s="246">
        <f>IFERROR(VLOOKUP(E352,PROGRAMAS[],2,FALSE),0)</f>
        <v>640501509.6821388</v>
      </c>
      <c r="T352" s="246">
        <f>IFERROR(VLOOKUP(F352,PROGRAMAS[],2,FALSE),0)</f>
        <v>3062327798.1525245</v>
      </c>
      <c r="U352" s="246">
        <f>IFERROR(VLOOKUP(G352,PROGRAMAS[],2,FALSE),0)</f>
        <v>67697118.033011258</v>
      </c>
      <c r="V352" s="246">
        <f>IFERROR(VLOOKUP(H352,PROGRAMAS[],2,FALSE),0)</f>
        <v>122159672.96346797</v>
      </c>
      <c r="W352" s="246">
        <f>IFERROR(VLOOKUP(I352,PROGRAMAS[],2,FALSE),0)</f>
        <v>7068496961.0436354</v>
      </c>
      <c r="X352" s="246">
        <f>IFERROR(VLOOKUP(J352,PROGRAMAS[],2,FALSE),0)</f>
        <v>1892779498.5211046</v>
      </c>
      <c r="Y352" s="246">
        <f>IFERROR(VLOOKUP(K352,PROGRAMAS[],2,FALSE),0)</f>
        <v>0</v>
      </c>
      <c r="Z352" s="246">
        <f>IFERROR(VLOOKUP(L352,PROGRAMAS[],2,FALSE),0)</f>
        <v>0</v>
      </c>
      <c r="AA352" s="246">
        <f>IFERROR(VLOOKUP(M352,PROGRAMAS[],2,FALSE),0)</f>
        <v>0</v>
      </c>
      <c r="AB352" s="246">
        <f>IFERROR(VLOOKUP(N352,PROGRAMAS[],2,FALSE),0)</f>
        <v>0</v>
      </c>
      <c r="AC352" s="246">
        <f>IFERROR(VLOOKUP(O352,PROGRAMAS[],2,FALSE),0)</f>
        <v>0</v>
      </c>
      <c r="AD352" s="246">
        <f>IFERROR(VLOOKUP(P352,PROGRAMAS[],2,FALSE),0)</f>
        <v>0</v>
      </c>
      <c r="AE352" s="246">
        <f>IFERROR(VLOOKUP(Q352,PROGRAMAS[],2,FALSE),0)</f>
        <v>0</v>
      </c>
      <c r="AF352" s="246">
        <f>IFERROR(VLOOKUP(D352,PROGRAMAS[],3,FALSE),0)</f>
        <v>841888629.31080008</v>
      </c>
      <c r="AG352" s="246">
        <f>IFERROR(VLOOKUP(E352,PROGRAMAS[],3,FALSE),0)</f>
        <v>3848980803.1642323</v>
      </c>
      <c r="AH352" s="246">
        <f>IFERROR(VLOOKUP(F352,PROGRAMAS[],3,FALSE),0)</f>
        <v>3394901471.387517</v>
      </c>
      <c r="AI352" s="246">
        <f>IFERROR(VLOOKUP(G352,PROGRAMAS[],3,FALSE),0)</f>
        <v>125317226.95549992</v>
      </c>
      <c r="AJ352" s="246">
        <f>IFERROR(VLOOKUP(H352,PROGRAMAS[],3,FALSE),0)</f>
        <v>118617452.52510804</v>
      </c>
      <c r="AK352" s="246">
        <f>IFERROR(VLOOKUP(I352,PROGRAMAS[],3,FALSE),0)</f>
        <v>2406564599.0319901</v>
      </c>
      <c r="AL352" s="246">
        <f>IFERROR(VLOOKUP(J352,PROGRAMAS[],3,FALSE),0)</f>
        <v>948595847.09039903</v>
      </c>
      <c r="AM352" s="246">
        <f>IFERROR(VLOOKUP(K352,PROGRAMAS[],3,FALSE),0)</f>
        <v>0</v>
      </c>
      <c r="AN352" s="246">
        <f>IFERROR(VLOOKUP(L352,PROGRAMAS[],3,FALSE),0)</f>
        <v>0</v>
      </c>
      <c r="AO352" s="246">
        <f>IFERROR(VLOOKUP(M352,PROGRAMAS[],3,FALSE),0)</f>
        <v>0</v>
      </c>
      <c r="AP352" s="246">
        <f>IFERROR(VLOOKUP(N352,PROGRAMAS[],3,FALSE),0)</f>
        <v>0</v>
      </c>
      <c r="AQ352" s="246">
        <f>IFERROR(VLOOKUP(O352,PROGRAMAS[],3,FALSE),0)</f>
        <v>0</v>
      </c>
      <c r="AR352" s="246">
        <f>IFERROR(VLOOKUP(P352,PROGRAMAS[],3,FALSE),0)</f>
        <v>0</v>
      </c>
      <c r="AS352" s="246">
        <f>IFERROR(VLOOKUP(Q352,PROGRAMAS[],3,FALSE),0)</f>
        <v>0</v>
      </c>
      <c r="AT352" s="246">
        <f>IFERROR(VLOOKUP(D352,VOL_REC[],2,FALSE),0)</f>
        <v>0</v>
      </c>
      <c r="AU352" s="246">
        <f>IFERROR(VLOOKUP(E352,VOL_REC[],2,FALSE),0)</f>
        <v>0</v>
      </c>
      <c r="AV352" s="246">
        <f>IFERROR(VLOOKUP(F352,VOL_REC[],2,FALSE),0)</f>
        <v>11089674.200000001</v>
      </c>
      <c r="AW352" s="246">
        <f>IFERROR(VLOOKUP(G352,VOL_REC[],2,FALSE),0)</f>
        <v>90439.55</v>
      </c>
      <c r="AX352" s="246">
        <f>IFERROR(VLOOKUP(H352,VOL_REC[],2,FALSE),0)</f>
        <v>105072</v>
      </c>
      <c r="AY352" s="246">
        <f>IFERROR(VLOOKUP(I352,VOL_REC[],2,FALSE),0)</f>
        <v>1072354.9981737854</v>
      </c>
      <c r="AZ352" s="246">
        <f>IFERROR(VLOOKUP(J352,VOL_REC[],2,FALSE),0)</f>
        <v>740113.98115702497</v>
      </c>
      <c r="BA352" s="246">
        <f>IFERROR(VLOOKUP(K352,VOL_REC[],2,FALSE),0)</f>
        <v>0</v>
      </c>
      <c r="BB352" s="246">
        <f>IFERROR(VLOOKUP(L352,VOL_REC[],2,FALSE),0)</f>
        <v>0</v>
      </c>
      <c r="BC352" s="246">
        <f>IFERROR(VLOOKUP(M352,VOL_REC[],2,FALSE),0)</f>
        <v>0</v>
      </c>
      <c r="BD352" s="246">
        <f>IFERROR(VLOOKUP(N352,VOL_REC[],2,FALSE),0)</f>
        <v>0</v>
      </c>
      <c r="BE352" s="246">
        <f>IFERROR(VLOOKUP(O352,VOL_REC[],2,FALSE),0)</f>
        <v>0</v>
      </c>
      <c r="BF352" s="246">
        <f>IFERROR(VLOOKUP(P352,VOL_REC[],2,FALSE),0)</f>
        <v>0</v>
      </c>
      <c r="BG352" s="246">
        <f>IFERROR(VLOOKUP(Q352,VOL_REC[],2,FALSE),0)</f>
        <v>0</v>
      </c>
      <c r="BH352" s="1710">
        <f t="shared" si="20"/>
        <v>12951000362.07526</v>
      </c>
      <c r="BI352" s="1710">
        <f t="shared" si="21"/>
        <v>11684866029.465548</v>
      </c>
      <c r="BJ352" s="1711">
        <f t="shared" si="22"/>
        <v>13097654.729330814</v>
      </c>
      <c r="BK352" s="1711">
        <f t="shared" si="23"/>
        <v>1.108356769296021</v>
      </c>
      <c r="BL352">
        <f>BJ352</f>
        <v>13097654.729330814</v>
      </c>
      <c r="BO352">
        <f>BL352</f>
        <v>13097654.729330814</v>
      </c>
    </row>
    <row r="353" spans="3:67" x14ac:dyDescent="0.25">
      <c r="C353" s="246" t="s">
        <v>1703</v>
      </c>
      <c r="D353" s="246">
        <v>1</v>
      </c>
      <c r="E353" s="246">
        <v>2</v>
      </c>
      <c r="F353" s="246">
        <v>3</v>
      </c>
      <c r="G353" s="246">
        <v>5</v>
      </c>
      <c r="H353" s="246">
        <v>6</v>
      </c>
      <c r="I353" s="246">
        <v>9</v>
      </c>
      <c r="J353" s="246">
        <v>10</v>
      </c>
      <c r="K353" s="246"/>
      <c r="L353" s="246"/>
      <c r="M353" s="246"/>
      <c r="N353" s="246"/>
      <c r="O353" s="246"/>
      <c r="P353" s="246"/>
      <c r="Q353" s="246"/>
      <c r="R353" s="246">
        <f>IFERROR(VLOOKUP(D353,PROGRAMAS[],2,FALSE),0)</f>
        <v>97037803.679377079</v>
      </c>
      <c r="S353" s="246">
        <f>IFERROR(VLOOKUP(E353,PROGRAMAS[],2,FALSE),0)</f>
        <v>640501509.6821388</v>
      </c>
      <c r="T353" s="246">
        <f>IFERROR(VLOOKUP(F353,PROGRAMAS[],2,FALSE),0)</f>
        <v>3062327798.1525245</v>
      </c>
      <c r="U353" s="246">
        <f>IFERROR(VLOOKUP(G353,PROGRAMAS[],2,FALSE),0)</f>
        <v>1440941976.2528784</v>
      </c>
      <c r="V353" s="246">
        <f>IFERROR(VLOOKUP(H353,PROGRAMAS[],2,FALSE),0)</f>
        <v>6907648435.8447599</v>
      </c>
      <c r="W353" s="246">
        <f>IFERROR(VLOOKUP(I353,PROGRAMAS[],2,FALSE),0)</f>
        <v>6128579952.1618185</v>
      </c>
      <c r="X353" s="246">
        <f>IFERROR(VLOOKUP(J353,PROGRAMAS[],2,FALSE),0)</f>
        <v>4635315027.8751087</v>
      </c>
      <c r="Y353" s="246">
        <f>IFERROR(VLOOKUP(K353,PROGRAMAS[],2,FALSE),0)</f>
        <v>0</v>
      </c>
      <c r="Z353" s="246">
        <f>IFERROR(VLOOKUP(L353,PROGRAMAS[],2,FALSE),0)</f>
        <v>0</v>
      </c>
      <c r="AA353" s="246">
        <f>IFERROR(VLOOKUP(M353,PROGRAMAS[],2,FALSE),0)</f>
        <v>0</v>
      </c>
      <c r="AB353" s="246">
        <f>IFERROR(VLOOKUP(N353,PROGRAMAS[],2,FALSE),0)</f>
        <v>0</v>
      </c>
      <c r="AC353" s="246">
        <f>IFERROR(VLOOKUP(O353,PROGRAMAS[],2,FALSE),0)</f>
        <v>0</v>
      </c>
      <c r="AD353" s="246">
        <f>IFERROR(VLOOKUP(P353,PROGRAMAS[],2,FALSE),0)</f>
        <v>0</v>
      </c>
      <c r="AE353" s="246">
        <f>IFERROR(VLOOKUP(Q353,PROGRAMAS[],2,FALSE),0)</f>
        <v>0</v>
      </c>
      <c r="AF353" s="246">
        <f>IFERROR(VLOOKUP(D353,PROGRAMAS[],3,FALSE),0)</f>
        <v>841888629.31080008</v>
      </c>
      <c r="AG353" s="246">
        <f>IFERROR(VLOOKUP(E353,PROGRAMAS[],3,FALSE),0)</f>
        <v>3848980803.1642323</v>
      </c>
      <c r="AH353" s="246">
        <f>IFERROR(VLOOKUP(F353,PROGRAMAS[],3,FALSE),0)</f>
        <v>3394901471.387517</v>
      </c>
      <c r="AI353" s="246">
        <f>IFERROR(VLOOKUP(G353,PROGRAMAS[],3,FALSE),0)</f>
        <v>1233505101.0616004</v>
      </c>
      <c r="AJ353" s="246">
        <f>IFERROR(VLOOKUP(H353,PROGRAMAS[],3,FALSE),0)</f>
        <v>6129902208.7912121</v>
      </c>
      <c r="AK353" s="246">
        <f>IFERROR(VLOOKUP(I353,PROGRAMAS[],3,FALSE),0)</f>
        <v>7011279577.519702</v>
      </c>
      <c r="AL353" s="246">
        <f>IFERROR(VLOOKUP(J353,PROGRAMAS[],3,FALSE),0)</f>
        <v>4099471734.9978786</v>
      </c>
      <c r="AM353" s="246">
        <f>IFERROR(VLOOKUP(K353,PROGRAMAS[],3,FALSE),0)</f>
        <v>0</v>
      </c>
      <c r="AN353" s="246">
        <f>IFERROR(VLOOKUP(L353,PROGRAMAS[],3,FALSE),0)</f>
        <v>0</v>
      </c>
      <c r="AO353" s="246">
        <f>IFERROR(VLOOKUP(M353,PROGRAMAS[],3,FALSE),0)</f>
        <v>0</v>
      </c>
      <c r="AP353" s="246">
        <f>IFERROR(VLOOKUP(N353,PROGRAMAS[],3,FALSE),0)</f>
        <v>0</v>
      </c>
      <c r="AQ353" s="246">
        <f>IFERROR(VLOOKUP(O353,PROGRAMAS[],3,FALSE),0)</f>
        <v>0</v>
      </c>
      <c r="AR353" s="246">
        <f>IFERROR(VLOOKUP(P353,PROGRAMAS[],3,FALSE),0)</f>
        <v>0</v>
      </c>
      <c r="AS353" s="246">
        <f>IFERROR(VLOOKUP(Q353,PROGRAMAS[],3,FALSE),0)</f>
        <v>0</v>
      </c>
      <c r="AT353" s="246">
        <f>IFERROR(VLOOKUP(D353,VOL_REC[],2,FALSE),0)</f>
        <v>0</v>
      </c>
      <c r="AU353" s="246">
        <f>IFERROR(VLOOKUP(E353,VOL_REC[],2,FALSE),0)</f>
        <v>0</v>
      </c>
      <c r="AV353" s="246">
        <f>IFERROR(VLOOKUP(F353,VOL_REC[],2,FALSE),0)</f>
        <v>11089674.200000001</v>
      </c>
      <c r="AW353" s="246">
        <f>IFERROR(VLOOKUP(G353,VOL_REC[],2,FALSE),0)</f>
        <v>4325103.1812214684</v>
      </c>
      <c r="AX353" s="246">
        <f>IFERROR(VLOOKUP(H353,VOL_REC[],2,FALSE),0)</f>
        <v>15540036.397699751</v>
      </c>
      <c r="AY353" s="246">
        <f>IFERROR(VLOOKUP(I353,VOL_REC[],2,FALSE),0)</f>
        <v>3761786</v>
      </c>
      <c r="AZ353" s="246">
        <f>IFERROR(VLOOKUP(J353,VOL_REC[],2,FALSE),0)</f>
        <v>1812240</v>
      </c>
      <c r="BA353" s="246">
        <f>IFERROR(VLOOKUP(K353,VOL_REC[],2,FALSE),0)</f>
        <v>0</v>
      </c>
      <c r="BB353" s="246">
        <f>IFERROR(VLOOKUP(L353,VOL_REC[],2,FALSE),0)</f>
        <v>0</v>
      </c>
      <c r="BC353" s="246">
        <f>IFERROR(VLOOKUP(M353,VOL_REC[],2,FALSE),0)</f>
        <v>0</v>
      </c>
      <c r="BD353" s="246">
        <f>IFERROR(VLOOKUP(N353,VOL_REC[],2,FALSE),0)</f>
        <v>0</v>
      </c>
      <c r="BE353" s="246">
        <f>IFERROR(VLOOKUP(O353,VOL_REC[],2,FALSE),0)</f>
        <v>0</v>
      </c>
      <c r="BF353" s="246">
        <f>IFERROR(VLOOKUP(P353,VOL_REC[],2,FALSE),0)</f>
        <v>0</v>
      </c>
      <c r="BG353" s="246">
        <f>IFERROR(VLOOKUP(Q353,VOL_REC[],2,FALSE),0)</f>
        <v>0</v>
      </c>
      <c r="BH353" s="1710">
        <f t="shared" si="20"/>
        <v>22912352503.648605</v>
      </c>
      <c r="BI353" s="1710">
        <f t="shared" si="21"/>
        <v>26559929526.232944</v>
      </c>
      <c r="BJ353" s="1711">
        <f t="shared" si="22"/>
        <v>36528839.778921217</v>
      </c>
      <c r="BK353" s="1711">
        <f t="shared" si="23"/>
        <v>0.86266616336531809</v>
      </c>
    </row>
    <row r="354" spans="3:67" x14ac:dyDescent="0.25">
      <c r="C354" s="246" t="s">
        <v>1704</v>
      </c>
      <c r="D354" s="246">
        <v>1</v>
      </c>
      <c r="E354" s="246">
        <v>2</v>
      </c>
      <c r="F354" s="246">
        <v>3</v>
      </c>
      <c r="G354" s="246">
        <v>5</v>
      </c>
      <c r="H354" s="246">
        <v>6</v>
      </c>
      <c r="I354" s="246">
        <v>9</v>
      </c>
      <c r="J354" s="246">
        <v>12</v>
      </c>
      <c r="K354" s="246"/>
      <c r="L354" s="246"/>
      <c r="M354" s="246"/>
      <c r="N354" s="246"/>
      <c r="O354" s="246"/>
      <c r="P354" s="246"/>
      <c r="Q354" s="246"/>
      <c r="R354" s="246">
        <f>IFERROR(VLOOKUP(D354,PROGRAMAS[],2,FALSE),0)</f>
        <v>97037803.679377079</v>
      </c>
      <c r="S354" s="246">
        <f>IFERROR(VLOOKUP(E354,PROGRAMAS[],2,FALSE),0)</f>
        <v>640501509.6821388</v>
      </c>
      <c r="T354" s="246">
        <f>IFERROR(VLOOKUP(F354,PROGRAMAS[],2,FALSE),0)</f>
        <v>3062327798.1525245</v>
      </c>
      <c r="U354" s="246">
        <f>IFERROR(VLOOKUP(G354,PROGRAMAS[],2,FALSE),0)</f>
        <v>1440941976.2528784</v>
      </c>
      <c r="V354" s="246">
        <f>IFERROR(VLOOKUP(H354,PROGRAMAS[],2,FALSE),0)</f>
        <v>6907648435.8447599</v>
      </c>
      <c r="W354" s="246">
        <f>IFERROR(VLOOKUP(I354,PROGRAMAS[],2,FALSE),0)</f>
        <v>6128579952.1618185</v>
      </c>
      <c r="X354" s="246">
        <f>IFERROR(VLOOKUP(J354,PROGRAMAS[],2,FALSE),0)</f>
        <v>764796700.79905891</v>
      </c>
      <c r="Y354" s="246">
        <f>IFERROR(VLOOKUP(K354,PROGRAMAS[],2,FALSE),0)</f>
        <v>0</v>
      </c>
      <c r="Z354" s="246">
        <f>IFERROR(VLOOKUP(L354,PROGRAMAS[],2,FALSE),0)</f>
        <v>0</v>
      </c>
      <c r="AA354" s="246">
        <f>IFERROR(VLOOKUP(M354,PROGRAMAS[],2,FALSE),0)</f>
        <v>0</v>
      </c>
      <c r="AB354" s="246">
        <f>IFERROR(VLOOKUP(N354,PROGRAMAS[],2,FALSE),0)</f>
        <v>0</v>
      </c>
      <c r="AC354" s="246">
        <f>IFERROR(VLOOKUP(O354,PROGRAMAS[],2,FALSE),0)</f>
        <v>0</v>
      </c>
      <c r="AD354" s="246">
        <f>IFERROR(VLOOKUP(P354,PROGRAMAS[],2,FALSE),0)</f>
        <v>0</v>
      </c>
      <c r="AE354" s="246">
        <f>IFERROR(VLOOKUP(Q354,PROGRAMAS[],2,FALSE),0)</f>
        <v>0</v>
      </c>
      <c r="AF354" s="246">
        <f>IFERROR(VLOOKUP(D354,PROGRAMAS[],3,FALSE),0)</f>
        <v>841888629.31080008</v>
      </c>
      <c r="AG354" s="246">
        <f>IFERROR(VLOOKUP(E354,PROGRAMAS[],3,FALSE),0)</f>
        <v>3848980803.1642323</v>
      </c>
      <c r="AH354" s="246">
        <f>IFERROR(VLOOKUP(F354,PROGRAMAS[],3,FALSE),0)</f>
        <v>3394901471.387517</v>
      </c>
      <c r="AI354" s="246">
        <f>IFERROR(VLOOKUP(G354,PROGRAMAS[],3,FALSE),0)</f>
        <v>1233505101.0616004</v>
      </c>
      <c r="AJ354" s="246">
        <f>IFERROR(VLOOKUP(H354,PROGRAMAS[],3,FALSE),0)</f>
        <v>6129902208.7912121</v>
      </c>
      <c r="AK354" s="246">
        <f>IFERROR(VLOOKUP(I354,PROGRAMAS[],3,FALSE),0)</f>
        <v>7011279577.519702</v>
      </c>
      <c r="AL354" s="246">
        <f>IFERROR(VLOOKUP(J354,PROGRAMAS[],3,FALSE),0)</f>
        <v>675517840.109828</v>
      </c>
      <c r="AM354" s="246">
        <f>IFERROR(VLOOKUP(K354,PROGRAMAS[],3,FALSE),0)</f>
        <v>0</v>
      </c>
      <c r="AN354" s="246">
        <f>IFERROR(VLOOKUP(L354,PROGRAMAS[],3,FALSE),0)</f>
        <v>0</v>
      </c>
      <c r="AO354" s="246">
        <f>IFERROR(VLOOKUP(M354,PROGRAMAS[],3,FALSE),0)</f>
        <v>0</v>
      </c>
      <c r="AP354" s="246">
        <f>IFERROR(VLOOKUP(N354,PROGRAMAS[],3,FALSE),0)</f>
        <v>0</v>
      </c>
      <c r="AQ354" s="246">
        <f>IFERROR(VLOOKUP(O354,PROGRAMAS[],3,FALSE),0)</f>
        <v>0</v>
      </c>
      <c r="AR354" s="246">
        <f>IFERROR(VLOOKUP(P354,PROGRAMAS[],3,FALSE),0)</f>
        <v>0</v>
      </c>
      <c r="AS354" s="246">
        <f>IFERROR(VLOOKUP(Q354,PROGRAMAS[],3,FALSE),0)</f>
        <v>0</v>
      </c>
      <c r="AT354" s="246">
        <f>IFERROR(VLOOKUP(D354,VOL_REC[],2,FALSE),0)</f>
        <v>0</v>
      </c>
      <c r="AU354" s="246">
        <f>IFERROR(VLOOKUP(E354,VOL_REC[],2,FALSE),0)</f>
        <v>0</v>
      </c>
      <c r="AV354" s="246">
        <f>IFERROR(VLOOKUP(F354,VOL_REC[],2,FALSE),0)</f>
        <v>11089674.200000001</v>
      </c>
      <c r="AW354" s="246">
        <f>IFERROR(VLOOKUP(G354,VOL_REC[],2,FALSE),0)</f>
        <v>4325103.1812214684</v>
      </c>
      <c r="AX354" s="246">
        <f>IFERROR(VLOOKUP(H354,VOL_REC[],2,FALSE),0)</f>
        <v>15540036.397699751</v>
      </c>
      <c r="AY354" s="246">
        <f>IFERROR(VLOOKUP(I354,VOL_REC[],2,FALSE),0)</f>
        <v>3761786</v>
      </c>
      <c r="AZ354" s="246">
        <f>IFERROR(VLOOKUP(J354,VOL_REC[],2,FALSE),0)</f>
        <v>240696.79238099116</v>
      </c>
      <c r="BA354" s="246">
        <f>IFERROR(VLOOKUP(K354,VOL_REC[],2,FALSE),0)</f>
        <v>0</v>
      </c>
      <c r="BB354" s="246">
        <f>IFERROR(VLOOKUP(L354,VOL_REC[],2,FALSE),0)</f>
        <v>0</v>
      </c>
      <c r="BC354" s="246">
        <f>IFERROR(VLOOKUP(M354,VOL_REC[],2,FALSE),0)</f>
        <v>0</v>
      </c>
      <c r="BD354" s="246">
        <f>IFERROR(VLOOKUP(N354,VOL_REC[],2,FALSE),0)</f>
        <v>0</v>
      </c>
      <c r="BE354" s="246">
        <f>IFERROR(VLOOKUP(O354,VOL_REC[],2,FALSE),0)</f>
        <v>0</v>
      </c>
      <c r="BF354" s="246">
        <f>IFERROR(VLOOKUP(P354,VOL_REC[],2,FALSE),0)</f>
        <v>0</v>
      </c>
      <c r="BG354" s="246">
        <f>IFERROR(VLOOKUP(Q354,VOL_REC[],2,FALSE),0)</f>
        <v>0</v>
      </c>
      <c r="BH354" s="1710">
        <f t="shared" si="20"/>
        <v>19041834176.572556</v>
      </c>
      <c r="BI354" s="1710">
        <f t="shared" si="21"/>
        <v>23135975631.344894</v>
      </c>
      <c r="BJ354" s="1711">
        <f t="shared" si="22"/>
        <v>34957296.571302205</v>
      </c>
      <c r="BK354" s="1711">
        <f t="shared" si="23"/>
        <v>0.82304003427348238</v>
      </c>
    </row>
    <row r="355" spans="3:67" x14ac:dyDescent="0.25">
      <c r="C355" s="246" t="s">
        <v>1705</v>
      </c>
      <c r="D355" s="246">
        <v>1</v>
      </c>
      <c r="E355" s="246">
        <v>2</v>
      </c>
      <c r="F355" s="246">
        <v>3</v>
      </c>
      <c r="G355" s="246">
        <v>5</v>
      </c>
      <c r="H355" s="246">
        <v>6</v>
      </c>
      <c r="I355" s="246">
        <v>9</v>
      </c>
      <c r="J355" s="246">
        <v>13</v>
      </c>
      <c r="K355" s="246"/>
      <c r="L355" s="246"/>
      <c r="M355" s="246"/>
      <c r="N355" s="246"/>
      <c r="O355" s="246"/>
      <c r="P355" s="246"/>
      <c r="Q355" s="246"/>
      <c r="R355" s="246">
        <f>IFERROR(VLOOKUP(D355,PROGRAMAS[],2,FALSE),0)</f>
        <v>97037803.679377079</v>
      </c>
      <c r="S355" s="246">
        <f>IFERROR(VLOOKUP(E355,PROGRAMAS[],2,FALSE),0)</f>
        <v>640501509.6821388</v>
      </c>
      <c r="T355" s="246">
        <f>IFERROR(VLOOKUP(F355,PROGRAMAS[],2,FALSE),0)</f>
        <v>3062327798.1525245</v>
      </c>
      <c r="U355" s="246">
        <f>IFERROR(VLOOKUP(G355,PROGRAMAS[],2,FALSE),0)</f>
        <v>1440941976.2528784</v>
      </c>
      <c r="V355" s="246">
        <f>IFERROR(VLOOKUP(H355,PROGRAMAS[],2,FALSE),0)</f>
        <v>6907648435.8447599</v>
      </c>
      <c r="W355" s="246">
        <f>IFERROR(VLOOKUP(I355,PROGRAMAS[],2,FALSE),0)</f>
        <v>6128579952.1618185</v>
      </c>
      <c r="X355" s="246">
        <f>IFERROR(VLOOKUP(J355,PROGRAMAS[],2,FALSE),0)</f>
        <v>3776538594.4604583</v>
      </c>
      <c r="Y355" s="246">
        <f>IFERROR(VLOOKUP(K355,PROGRAMAS[],2,FALSE),0)</f>
        <v>0</v>
      </c>
      <c r="Z355" s="246">
        <f>IFERROR(VLOOKUP(L355,PROGRAMAS[],2,FALSE),0)</f>
        <v>0</v>
      </c>
      <c r="AA355" s="246">
        <f>IFERROR(VLOOKUP(M355,PROGRAMAS[],2,FALSE),0)</f>
        <v>0</v>
      </c>
      <c r="AB355" s="246">
        <f>IFERROR(VLOOKUP(N355,PROGRAMAS[],2,FALSE),0)</f>
        <v>0</v>
      </c>
      <c r="AC355" s="246">
        <f>IFERROR(VLOOKUP(O355,PROGRAMAS[],2,FALSE),0)</f>
        <v>0</v>
      </c>
      <c r="AD355" s="246">
        <f>IFERROR(VLOOKUP(P355,PROGRAMAS[],2,FALSE),0)</f>
        <v>0</v>
      </c>
      <c r="AE355" s="246">
        <f>IFERROR(VLOOKUP(Q355,PROGRAMAS[],2,FALSE),0)</f>
        <v>0</v>
      </c>
      <c r="AF355" s="246">
        <f>IFERROR(VLOOKUP(D355,PROGRAMAS[],3,FALSE),0)</f>
        <v>841888629.31080008</v>
      </c>
      <c r="AG355" s="246">
        <f>IFERROR(VLOOKUP(E355,PROGRAMAS[],3,FALSE),0)</f>
        <v>3848980803.1642323</v>
      </c>
      <c r="AH355" s="246">
        <f>IFERROR(VLOOKUP(F355,PROGRAMAS[],3,FALSE),0)</f>
        <v>3394901471.387517</v>
      </c>
      <c r="AI355" s="246">
        <f>IFERROR(VLOOKUP(G355,PROGRAMAS[],3,FALSE),0)</f>
        <v>1233505101.0616004</v>
      </c>
      <c r="AJ355" s="246">
        <f>IFERROR(VLOOKUP(H355,PROGRAMAS[],3,FALSE),0)</f>
        <v>6129902208.7912121</v>
      </c>
      <c r="AK355" s="246">
        <f>IFERROR(VLOOKUP(I355,PROGRAMAS[],3,FALSE),0)</f>
        <v>7011279577.519702</v>
      </c>
      <c r="AL355" s="246">
        <f>IFERROR(VLOOKUP(J355,PROGRAMAS[],3,FALSE),0)</f>
        <v>2392571243.5584412</v>
      </c>
      <c r="AM355" s="246">
        <f>IFERROR(VLOOKUP(K355,PROGRAMAS[],3,FALSE),0)</f>
        <v>0</v>
      </c>
      <c r="AN355" s="246">
        <f>IFERROR(VLOOKUP(L355,PROGRAMAS[],3,FALSE),0)</f>
        <v>0</v>
      </c>
      <c r="AO355" s="246">
        <f>IFERROR(VLOOKUP(M355,PROGRAMAS[],3,FALSE),0)</f>
        <v>0</v>
      </c>
      <c r="AP355" s="246">
        <f>IFERROR(VLOOKUP(N355,PROGRAMAS[],3,FALSE),0)</f>
        <v>0</v>
      </c>
      <c r="AQ355" s="246">
        <f>IFERROR(VLOOKUP(O355,PROGRAMAS[],3,FALSE),0)</f>
        <v>0</v>
      </c>
      <c r="AR355" s="246">
        <f>IFERROR(VLOOKUP(P355,PROGRAMAS[],3,FALSE),0)</f>
        <v>0</v>
      </c>
      <c r="AS355" s="246">
        <f>IFERROR(VLOOKUP(Q355,PROGRAMAS[],3,FALSE),0)</f>
        <v>0</v>
      </c>
      <c r="AT355" s="246">
        <f>IFERROR(VLOOKUP(D355,VOL_REC[],2,FALSE),0)</f>
        <v>0</v>
      </c>
      <c r="AU355" s="246">
        <f>IFERROR(VLOOKUP(E355,VOL_REC[],2,FALSE),0)</f>
        <v>0</v>
      </c>
      <c r="AV355" s="246">
        <f>IFERROR(VLOOKUP(F355,VOL_REC[],2,FALSE),0)</f>
        <v>11089674.200000001</v>
      </c>
      <c r="AW355" s="246">
        <f>IFERROR(VLOOKUP(G355,VOL_REC[],2,FALSE),0)</f>
        <v>4325103.1812214684</v>
      </c>
      <c r="AX355" s="246">
        <f>IFERROR(VLOOKUP(H355,VOL_REC[],2,FALSE),0)</f>
        <v>15540036.397699751</v>
      </c>
      <c r="AY355" s="246">
        <f>IFERROR(VLOOKUP(I355,VOL_REC[],2,FALSE),0)</f>
        <v>3761786</v>
      </c>
      <c r="AZ355" s="246">
        <f>IFERROR(VLOOKUP(J355,VOL_REC[],2,FALSE),0)</f>
        <v>663244.80000000016</v>
      </c>
      <c r="BA355" s="246">
        <f>IFERROR(VLOOKUP(K355,VOL_REC[],2,FALSE),0)</f>
        <v>0</v>
      </c>
      <c r="BB355" s="246">
        <f>IFERROR(VLOOKUP(L355,VOL_REC[],2,FALSE),0)</f>
        <v>0</v>
      </c>
      <c r="BC355" s="246">
        <f>IFERROR(VLOOKUP(M355,VOL_REC[],2,FALSE),0)</f>
        <v>0</v>
      </c>
      <c r="BD355" s="246">
        <f>IFERROR(VLOOKUP(N355,VOL_REC[],2,FALSE),0)</f>
        <v>0</v>
      </c>
      <c r="BE355" s="246">
        <f>IFERROR(VLOOKUP(O355,VOL_REC[],2,FALSE),0)</f>
        <v>0</v>
      </c>
      <c r="BF355" s="246">
        <f>IFERROR(VLOOKUP(P355,VOL_REC[],2,FALSE),0)</f>
        <v>0</v>
      </c>
      <c r="BG355" s="246">
        <f>IFERROR(VLOOKUP(Q355,VOL_REC[],2,FALSE),0)</f>
        <v>0</v>
      </c>
      <c r="BH355" s="1710">
        <f t="shared" si="20"/>
        <v>22053576070.233955</v>
      </c>
      <c r="BI355" s="1710">
        <f t="shared" si="21"/>
        <v>24853029034.793507</v>
      </c>
      <c r="BJ355" s="1711">
        <f t="shared" si="22"/>
        <v>35379844.578921214</v>
      </c>
      <c r="BK355" s="1711">
        <f t="shared" si="23"/>
        <v>0.88735968719787028</v>
      </c>
    </row>
    <row r="356" spans="3:67" x14ac:dyDescent="0.25">
      <c r="C356" s="246" t="s">
        <v>1706</v>
      </c>
      <c r="D356" s="246">
        <v>1</v>
      </c>
      <c r="E356" s="246">
        <v>2</v>
      </c>
      <c r="F356" s="246">
        <v>3</v>
      </c>
      <c r="G356" s="246">
        <v>5</v>
      </c>
      <c r="H356" s="246">
        <v>6</v>
      </c>
      <c r="I356" s="246">
        <v>9</v>
      </c>
      <c r="J356" s="246">
        <v>14</v>
      </c>
      <c r="K356" s="246"/>
      <c r="L356" s="246"/>
      <c r="M356" s="246"/>
      <c r="N356" s="246"/>
      <c r="O356" s="246"/>
      <c r="P356" s="246"/>
      <c r="Q356" s="246"/>
      <c r="R356" s="246">
        <f>IFERROR(VLOOKUP(D356,PROGRAMAS[],2,FALSE),0)</f>
        <v>97037803.679377079</v>
      </c>
      <c r="S356" s="246">
        <f>IFERROR(VLOOKUP(E356,PROGRAMAS[],2,FALSE),0)</f>
        <v>640501509.6821388</v>
      </c>
      <c r="T356" s="246">
        <f>IFERROR(VLOOKUP(F356,PROGRAMAS[],2,FALSE),0)</f>
        <v>3062327798.1525245</v>
      </c>
      <c r="U356" s="246">
        <f>IFERROR(VLOOKUP(G356,PROGRAMAS[],2,FALSE),0)</f>
        <v>1440941976.2528784</v>
      </c>
      <c r="V356" s="246">
        <f>IFERROR(VLOOKUP(H356,PROGRAMAS[],2,FALSE),0)</f>
        <v>6907648435.8447599</v>
      </c>
      <c r="W356" s="246">
        <f>IFERROR(VLOOKUP(I356,PROGRAMAS[],2,FALSE),0)</f>
        <v>6128579952.1618185</v>
      </c>
      <c r="X356" s="246">
        <f>IFERROR(VLOOKUP(J356,PROGRAMAS[],2,FALSE),0)</f>
        <v>54223862.645839565</v>
      </c>
      <c r="Y356" s="246">
        <f>IFERROR(VLOOKUP(K356,PROGRAMAS[],2,FALSE),0)</f>
        <v>0</v>
      </c>
      <c r="Z356" s="246">
        <f>IFERROR(VLOOKUP(L356,PROGRAMAS[],2,FALSE),0)</f>
        <v>0</v>
      </c>
      <c r="AA356" s="246">
        <f>IFERROR(VLOOKUP(M356,PROGRAMAS[],2,FALSE),0)</f>
        <v>0</v>
      </c>
      <c r="AB356" s="246">
        <f>IFERROR(VLOOKUP(N356,PROGRAMAS[],2,FALSE),0)</f>
        <v>0</v>
      </c>
      <c r="AC356" s="246">
        <f>IFERROR(VLOOKUP(O356,PROGRAMAS[],2,FALSE),0)</f>
        <v>0</v>
      </c>
      <c r="AD356" s="246">
        <f>IFERROR(VLOOKUP(P356,PROGRAMAS[],2,FALSE),0)</f>
        <v>0</v>
      </c>
      <c r="AE356" s="246">
        <f>IFERROR(VLOOKUP(Q356,PROGRAMAS[],2,FALSE),0)</f>
        <v>0</v>
      </c>
      <c r="AF356" s="246">
        <f>IFERROR(VLOOKUP(D356,PROGRAMAS[],3,FALSE),0)</f>
        <v>841888629.31080008</v>
      </c>
      <c r="AG356" s="246">
        <f>IFERROR(VLOOKUP(E356,PROGRAMAS[],3,FALSE),0)</f>
        <v>3848980803.1642323</v>
      </c>
      <c r="AH356" s="246">
        <f>IFERROR(VLOOKUP(F356,PROGRAMAS[],3,FALSE),0)</f>
        <v>3394901471.387517</v>
      </c>
      <c r="AI356" s="246">
        <f>IFERROR(VLOOKUP(G356,PROGRAMAS[],3,FALSE),0)</f>
        <v>1233505101.0616004</v>
      </c>
      <c r="AJ356" s="246">
        <f>IFERROR(VLOOKUP(H356,PROGRAMAS[],3,FALSE),0)</f>
        <v>6129902208.7912121</v>
      </c>
      <c r="AK356" s="246">
        <f>IFERROR(VLOOKUP(I356,PROGRAMAS[],3,FALSE),0)</f>
        <v>7011279577.519702</v>
      </c>
      <c r="AL356" s="246">
        <f>IFERROR(VLOOKUP(J356,PROGRAMAS[],3,FALSE),0)</f>
        <v>31865326.38096505</v>
      </c>
      <c r="AM356" s="246">
        <f>IFERROR(VLOOKUP(K356,PROGRAMAS[],3,FALSE),0)</f>
        <v>0</v>
      </c>
      <c r="AN356" s="246">
        <f>IFERROR(VLOOKUP(L356,PROGRAMAS[],3,FALSE),0)</f>
        <v>0</v>
      </c>
      <c r="AO356" s="246">
        <f>IFERROR(VLOOKUP(M356,PROGRAMAS[],3,FALSE),0)</f>
        <v>0</v>
      </c>
      <c r="AP356" s="246">
        <f>IFERROR(VLOOKUP(N356,PROGRAMAS[],3,FALSE),0)</f>
        <v>0</v>
      </c>
      <c r="AQ356" s="246">
        <f>IFERROR(VLOOKUP(O356,PROGRAMAS[],3,FALSE),0)</f>
        <v>0</v>
      </c>
      <c r="AR356" s="246">
        <f>IFERROR(VLOOKUP(P356,PROGRAMAS[],3,FALSE),0)</f>
        <v>0</v>
      </c>
      <c r="AS356" s="246">
        <f>IFERROR(VLOOKUP(Q356,PROGRAMAS[],3,FALSE),0)</f>
        <v>0</v>
      </c>
      <c r="AT356" s="246">
        <f>IFERROR(VLOOKUP(D356,VOL_REC[],2,FALSE),0)</f>
        <v>0</v>
      </c>
      <c r="AU356" s="246">
        <f>IFERROR(VLOOKUP(E356,VOL_REC[],2,FALSE),0)</f>
        <v>0</v>
      </c>
      <c r="AV356" s="246">
        <f>IFERROR(VLOOKUP(F356,VOL_REC[],2,FALSE),0)</f>
        <v>11089674.200000001</v>
      </c>
      <c r="AW356" s="246">
        <f>IFERROR(VLOOKUP(G356,VOL_REC[],2,FALSE),0)</f>
        <v>4325103.1812214684</v>
      </c>
      <c r="AX356" s="246">
        <f>IFERROR(VLOOKUP(H356,VOL_REC[],2,FALSE),0)</f>
        <v>15540036.397699751</v>
      </c>
      <c r="AY356" s="246">
        <f>IFERROR(VLOOKUP(I356,VOL_REC[],2,FALSE),0)</f>
        <v>3761786</v>
      </c>
      <c r="AZ356" s="246">
        <f>IFERROR(VLOOKUP(J356,VOL_REC[],2,FALSE),0)</f>
        <v>17074.045034105649</v>
      </c>
      <c r="BA356" s="246">
        <f>IFERROR(VLOOKUP(K356,VOL_REC[],2,FALSE),0)</f>
        <v>0</v>
      </c>
      <c r="BB356" s="246">
        <f>IFERROR(VLOOKUP(L356,VOL_REC[],2,FALSE),0)</f>
        <v>0</v>
      </c>
      <c r="BC356" s="246">
        <f>IFERROR(VLOOKUP(M356,VOL_REC[],2,FALSE),0)</f>
        <v>0</v>
      </c>
      <c r="BD356" s="246">
        <f>IFERROR(VLOOKUP(N356,VOL_REC[],2,FALSE),0)</f>
        <v>0</v>
      </c>
      <c r="BE356" s="246">
        <f>IFERROR(VLOOKUP(O356,VOL_REC[],2,FALSE),0)</f>
        <v>0</v>
      </c>
      <c r="BF356" s="246">
        <f>IFERROR(VLOOKUP(P356,VOL_REC[],2,FALSE),0)</f>
        <v>0</v>
      </c>
      <c r="BG356" s="246">
        <f>IFERROR(VLOOKUP(Q356,VOL_REC[],2,FALSE),0)</f>
        <v>0</v>
      </c>
      <c r="BH356" s="1710">
        <f t="shared" si="20"/>
        <v>18331261338.419338</v>
      </c>
      <c r="BI356" s="1710">
        <f t="shared" si="21"/>
        <v>22492323117.616032</v>
      </c>
      <c r="BJ356" s="1711">
        <f t="shared" si="22"/>
        <v>34733673.82395532</v>
      </c>
      <c r="BK356" s="1711">
        <f t="shared" si="23"/>
        <v>0.81500080016466858</v>
      </c>
    </row>
    <row r="357" spans="3:67" x14ac:dyDescent="0.25">
      <c r="C357" s="246" t="s">
        <v>1707</v>
      </c>
      <c r="D357" s="246">
        <v>1</v>
      </c>
      <c r="E357" s="246">
        <v>2</v>
      </c>
      <c r="F357" s="246">
        <v>3</v>
      </c>
      <c r="G357" s="246">
        <v>5</v>
      </c>
      <c r="H357" s="246">
        <v>6</v>
      </c>
      <c r="I357" s="246">
        <v>9</v>
      </c>
      <c r="J357" s="246">
        <v>15</v>
      </c>
      <c r="K357" s="246"/>
      <c r="L357" s="246"/>
      <c r="M357" s="246"/>
      <c r="N357" s="246"/>
      <c r="O357" s="246"/>
      <c r="P357" s="246"/>
      <c r="Q357" s="246"/>
      <c r="R357" s="246">
        <f>IFERROR(VLOOKUP(D357,PROGRAMAS[],2,FALSE),0)</f>
        <v>97037803.679377079</v>
      </c>
      <c r="S357" s="246">
        <f>IFERROR(VLOOKUP(E357,PROGRAMAS[],2,FALSE),0)</f>
        <v>640501509.6821388</v>
      </c>
      <c r="T357" s="246">
        <f>IFERROR(VLOOKUP(F357,PROGRAMAS[],2,FALSE),0)</f>
        <v>3062327798.1525245</v>
      </c>
      <c r="U357" s="246">
        <f>IFERROR(VLOOKUP(G357,PROGRAMAS[],2,FALSE),0)</f>
        <v>1440941976.2528784</v>
      </c>
      <c r="V357" s="246">
        <f>IFERROR(VLOOKUP(H357,PROGRAMAS[],2,FALSE),0)</f>
        <v>6907648435.8447599</v>
      </c>
      <c r="W357" s="246">
        <f>IFERROR(VLOOKUP(I357,PROGRAMAS[],2,FALSE),0)</f>
        <v>6128579952.1618185</v>
      </c>
      <c r="X357" s="246">
        <f>IFERROR(VLOOKUP(J357,PROGRAMAS[],2,FALSE),0)</f>
        <v>122159672.96346797</v>
      </c>
      <c r="Y357" s="246">
        <f>IFERROR(VLOOKUP(K357,PROGRAMAS[],2,FALSE),0)</f>
        <v>0</v>
      </c>
      <c r="Z357" s="246">
        <f>IFERROR(VLOOKUP(L357,PROGRAMAS[],2,FALSE),0)</f>
        <v>0</v>
      </c>
      <c r="AA357" s="246">
        <f>IFERROR(VLOOKUP(M357,PROGRAMAS[],2,FALSE),0)</f>
        <v>0</v>
      </c>
      <c r="AB357" s="246">
        <f>IFERROR(VLOOKUP(N357,PROGRAMAS[],2,FALSE),0)</f>
        <v>0</v>
      </c>
      <c r="AC357" s="246">
        <f>IFERROR(VLOOKUP(O357,PROGRAMAS[],2,FALSE),0)</f>
        <v>0</v>
      </c>
      <c r="AD357" s="246">
        <f>IFERROR(VLOOKUP(P357,PROGRAMAS[],2,FALSE),0)</f>
        <v>0</v>
      </c>
      <c r="AE357" s="246">
        <f>IFERROR(VLOOKUP(Q357,PROGRAMAS[],2,FALSE),0)</f>
        <v>0</v>
      </c>
      <c r="AF357" s="246">
        <f>IFERROR(VLOOKUP(D357,PROGRAMAS[],3,FALSE),0)</f>
        <v>841888629.31080008</v>
      </c>
      <c r="AG357" s="246">
        <f>IFERROR(VLOOKUP(E357,PROGRAMAS[],3,FALSE),0)</f>
        <v>3848980803.1642323</v>
      </c>
      <c r="AH357" s="246">
        <f>IFERROR(VLOOKUP(F357,PROGRAMAS[],3,FALSE),0)</f>
        <v>3394901471.387517</v>
      </c>
      <c r="AI357" s="246">
        <f>IFERROR(VLOOKUP(G357,PROGRAMAS[],3,FALSE),0)</f>
        <v>1233505101.0616004</v>
      </c>
      <c r="AJ357" s="246">
        <f>IFERROR(VLOOKUP(H357,PROGRAMAS[],3,FALSE),0)</f>
        <v>6129902208.7912121</v>
      </c>
      <c r="AK357" s="246">
        <f>IFERROR(VLOOKUP(I357,PROGRAMAS[],3,FALSE),0)</f>
        <v>7011279577.519702</v>
      </c>
      <c r="AL357" s="246">
        <f>IFERROR(VLOOKUP(J357,PROGRAMAS[],3,FALSE),0)</f>
        <v>118617452.52510804</v>
      </c>
      <c r="AM357" s="246">
        <f>IFERROR(VLOOKUP(K357,PROGRAMAS[],3,FALSE),0)</f>
        <v>0</v>
      </c>
      <c r="AN357" s="246">
        <f>IFERROR(VLOOKUP(L357,PROGRAMAS[],3,FALSE),0)</f>
        <v>0</v>
      </c>
      <c r="AO357" s="246">
        <f>IFERROR(VLOOKUP(M357,PROGRAMAS[],3,FALSE),0)</f>
        <v>0</v>
      </c>
      <c r="AP357" s="246">
        <f>IFERROR(VLOOKUP(N357,PROGRAMAS[],3,FALSE),0)</f>
        <v>0</v>
      </c>
      <c r="AQ357" s="246">
        <f>IFERROR(VLOOKUP(O357,PROGRAMAS[],3,FALSE),0)</f>
        <v>0</v>
      </c>
      <c r="AR357" s="246">
        <f>IFERROR(VLOOKUP(P357,PROGRAMAS[],3,FALSE),0)</f>
        <v>0</v>
      </c>
      <c r="AS357" s="246">
        <f>IFERROR(VLOOKUP(Q357,PROGRAMAS[],3,FALSE),0)</f>
        <v>0</v>
      </c>
      <c r="AT357" s="246">
        <f>IFERROR(VLOOKUP(D357,VOL_REC[],2,FALSE),0)</f>
        <v>0</v>
      </c>
      <c r="AU357" s="246">
        <f>IFERROR(VLOOKUP(E357,VOL_REC[],2,FALSE),0)</f>
        <v>0</v>
      </c>
      <c r="AV357" s="246">
        <f>IFERROR(VLOOKUP(F357,VOL_REC[],2,FALSE),0)</f>
        <v>11089674.200000001</v>
      </c>
      <c r="AW357" s="246">
        <f>IFERROR(VLOOKUP(G357,VOL_REC[],2,FALSE),0)</f>
        <v>4325103.1812214684</v>
      </c>
      <c r="AX357" s="246">
        <f>IFERROR(VLOOKUP(H357,VOL_REC[],2,FALSE),0)</f>
        <v>15540036.397699751</v>
      </c>
      <c r="AY357" s="246">
        <f>IFERROR(VLOOKUP(I357,VOL_REC[],2,FALSE),0)</f>
        <v>3761786</v>
      </c>
      <c r="AZ357" s="246">
        <f>IFERROR(VLOOKUP(J357,VOL_REC[],2,FALSE),0)</f>
        <v>105072</v>
      </c>
      <c r="BA357" s="246">
        <f>IFERROR(VLOOKUP(K357,VOL_REC[],2,FALSE),0)</f>
        <v>0</v>
      </c>
      <c r="BB357" s="246">
        <f>IFERROR(VLOOKUP(L357,VOL_REC[],2,FALSE),0)</f>
        <v>0</v>
      </c>
      <c r="BC357" s="246">
        <f>IFERROR(VLOOKUP(M357,VOL_REC[],2,FALSE),0)</f>
        <v>0</v>
      </c>
      <c r="BD357" s="246">
        <f>IFERROR(VLOOKUP(N357,VOL_REC[],2,FALSE),0)</f>
        <v>0</v>
      </c>
      <c r="BE357" s="246">
        <f>IFERROR(VLOOKUP(O357,VOL_REC[],2,FALSE),0)</f>
        <v>0</v>
      </c>
      <c r="BF357" s="246">
        <f>IFERROR(VLOOKUP(P357,VOL_REC[],2,FALSE),0)</f>
        <v>0</v>
      </c>
      <c r="BG357" s="246">
        <f>IFERROR(VLOOKUP(Q357,VOL_REC[],2,FALSE),0)</f>
        <v>0</v>
      </c>
      <c r="BH357" s="1710">
        <f t="shared" si="20"/>
        <v>18399197148.736965</v>
      </c>
      <c r="BI357" s="1710">
        <f t="shared" si="21"/>
        <v>22579075243.760174</v>
      </c>
      <c r="BJ357" s="1711">
        <f t="shared" si="22"/>
        <v>34821671.778921217</v>
      </c>
      <c r="BK357" s="1711">
        <f t="shared" si="23"/>
        <v>0.81487824235944573</v>
      </c>
    </row>
    <row r="358" spans="3:67" x14ac:dyDescent="0.25">
      <c r="C358" s="246" t="s">
        <v>1708</v>
      </c>
      <c r="D358" s="246">
        <v>1</v>
      </c>
      <c r="E358" s="246">
        <v>2</v>
      </c>
      <c r="F358" s="246">
        <v>3</v>
      </c>
      <c r="G358" s="246">
        <v>5</v>
      </c>
      <c r="H358" s="246">
        <v>6</v>
      </c>
      <c r="I358" s="246">
        <v>9</v>
      </c>
      <c r="J358" s="246">
        <v>16</v>
      </c>
      <c r="K358" s="246"/>
      <c r="L358" s="246"/>
      <c r="M358" s="246"/>
      <c r="N358" s="246"/>
      <c r="O358" s="246"/>
      <c r="P358" s="246"/>
      <c r="Q358" s="246"/>
      <c r="R358" s="246">
        <f>IFERROR(VLOOKUP(D358,PROGRAMAS[],2,FALSE),0)</f>
        <v>97037803.679377079</v>
      </c>
      <c r="S358" s="246">
        <f>IFERROR(VLOOKUP(E358,PROGRAMAS[],2,FALSE),0)</f>
        <v>640501509.6821388</v>
      </c>
      <c r="T358" s="246">
        <f>IFERROR(VLOOKUP(F358,PROGRAMAS[],2,FALSE),0)</f>
        <v>3062327798.1525245</v>
      </c>
      <c r="U358" s="246">
        <f>IFERROR(VLOOKUP(G358,PROGRAMAS[],2,FALSE),0)</f>
        <v>1440941976.2528784</v>
      </c>
      <c r="V358" s="246">
        <f>IFERROR(VLOOKUP(H358,PROGRAMAS[],2,FALSE),0)</f>
        <v>6907648435.8447599</v>
      </c>
      <c r="W358" s="246">
        <f>IFERROR(VLOOKUP(I358,PROGRAMAS[],2,FALSE),0)</f>
        <v>6128579952.1618185</v>
      </c>
      <c r="X358" s="246">
        <f>IFERROR(VLOOKUP(J358,PROGRAMAS[],2,FALSE),0)</f>
        <v>7068496961.0436354</v>
      </c>
      <c r="Y358" s="246">
        <f>IFERROR(VLOOKUP(K358,PROGRAMAS[],2,FALSE),0)</f>
        <v>0</v>
      </c>
      <c r="Z358" s="246">
        <f>IFERROR(VLOOKUP(L358,PROGRAMAS[],2,FALSE),0)</f>
        <v>0</v>
      </c>
      <c r="AA358" s="246">
        <f>IFERROR(VLOOKUP(M358,PROGRAMAS[],2,FALSE),0)</f>
        <v>0</v>
      </c>
      <c r="AB358" s="246">
        <f>IFERROR(VLOOKUP(N358,PROGRAMAS[],2,FALSE),0)</f>
        <v>0</v>
      </c>
      <c r="AC358" s="246">
        <f>IFERROR(VLOOKUP(O358,PROGRAMAS[],2,FALSE),0)</f>
        <v>0</v>
      </c>
      <c r="AD358" s="246">
        <f>IFERROR(VLOOKUP(P358,PROGRAMAS[],2,FALSE),0)</f>
        <v>0</v>
      </c>
      <c r="AE358" s="246">
        <f>IFERROR(VLOOKUP(Q358,PROGRAMAS[],2,FALSE),0)</f>
        <v>0</v>
      </c>
      <c r="AF358" s="246">
        <f>IFERROR(VLOOKUP(D358,PROGRAMAS[],3,FALSE),0)</f>
        <v>841888629.31080008</v>
      </c>
      <c r="AG358" s="246">
        <f>IFERROR(VLOOKUP(E358,PROGRAMAS[],3,FALSE),0)</f>
        <v>3848980803.1642323</v>
      </c>
      <c r="AH358" s="246">
        <f>IFERROR(VLOOKUP(F358,PROGRAMAS[],3,FALSE),0)</f>
        <v>3394901471.387517</v>
      </c>
      <c r="AI358" s="246">
        <f>IFERROR(VLOOKUP(G358,PROGRAMAS[],3,FALSE),0)</f>
        <v>1233505101.0616004</v>
      </c>
      <c r="AJ358" s="246">
        <f>IFERROR(VLOOKUP(H358,PROGRAMAS[],3,FALSE),0)</f>
        <v>6129902208.7912121</v>
      </c>
      <c r="AK358" s="246">
        <f>IFERROR(VLOOKUP(I358,PROGRAMAS[],3,FALSE),0)</f>
        <v>7011279577.519702</v>
      </c>
      <c r="AL358" s="246">
        <f>IFERROR(VLOOKUP(J358,PROGRAMAS[],3,FALSE),0)</f>
        <v>2406564599.0319901</v>
      </c>
      <c r="AM358" s="246">
        <f>IFERROR(VLOOKUP(K358,PROGRAMAS[],3,FALSE),0)</f>
        <v>0</v>
      </c>
      <c r="AN358" s="246">
        <f>IFERROR(VLOOKUP(L358,PROGRAMAS[],3,FALSE),0)</f>
        <v>0</v>
      </c>
      <c r="AO358" s="246">
        <f>IFERROR(VLOOKUP(M358,PROGRAMAS[],3,FALSE),0)</f>
        <v>0</v>
      </c>
      <c r="AP358" s="246">
        <f>IFERROR(VLOOKUP(N358,PROGRAMAS[],3,FALSE),0)</f>
        <v>0</v>
      </c>
      <c r="AQ358" s="246">
        <f>IFERROR(VLOOKUP(O358,PROGRAMAS[],3,FALSE),0)</f>
        <v>0</v>
      </c>
      <c r="AR358" s="246">
        <f>IFERROR(VLOOKUP(P358,PROGRAMAS[],3,FALSE),0)</f>
        <v>0</v>
      </c>
      <c r="AS358" s="246">
        <f>IFERROR(VLOOKUP(Q358,PROGRAMAS[],3,FALSE),0)</f>
        <v>0</v>
      </c>
      <c r="AT358" s="246">
        <f>IFERROR(VLOOKUP(D358,VOL_REC[],2,FALSE),0)</f>
        <v>0</v>
      </c>
      <c r="AU358" s="246">
        <f>IFERROR(VLOOKUP(E358,VOL_REC[],2,FALSE),0)</f>
        <v>0</v>
      </c>
      <c r="AV358" s="246">
        <f>IFERROR(VLOOKUP(F358,VOL_REC[],2,FALSE),0)</f>
        <v>11089674.200000001</v>
      </c>
      <c r="AW358" s="246">
        <f>IFERROR(VLOOKUP(G358,VOL_REC[],2,FALSE),0)</f>
        <v>4325103.1812214684</v>
      </c>
      <c r="AX358" s="246">
        <f>IFERROR(VLOOKUP(H358,VOL_REC[],2,FALSE),0)</f>
        <v>15540036.397699751</v>
      </c>
      <c r="AY358" s="246">
        <f>IFERROR(VLOOKUP(I358,VOL_REC[],2,FALSE),0)</f>
        <v>3761786</v>
      </c>
      <c r="AZ358" s="246">
        <f>IFERROR(VLOOKUP(J358,VOL_REC[],2,FALSE),0)</f>
        <v>1072354.9981737854</v>
      </c>
      <c r="BA358" s="246">
        <f>IFERROR(VLOOKUP(K358,VOL_REC[],2,FALSE),0)</f>
        <v>0</v>
      </c>
      <c r="BB358" s="246">
        <f>IFERROR(VLOOKUP(L358,VOL_REC[],2,FALSE),0)</f>
        <v>0</v>
      </c>
      <c r="BC358" s="246">
        <f>IFERROR(VLOOKUP(M358,VOL_REC[],2,FALSE),0)</f>
        <v>0</v>
      </c>
      <c r="BD358" s="246">
        <f>IFERROR(VLOOKUP(N358,VOL_REC[],2,FALSE),0)</f>
        <v>0</v>
      </c>
      <c r="BE358" s="246">
        <f>IFERROR(VLOOKUP(O358,VOL_REC[],2,FALSE),0)</f>
        <v>0</v>
      </c>
      <c r="BF358" s="246">
        <f>IFERROR(VLOOKUP(P358,VOL_REC[],2,FALSE),0)</f>
        <v>0</v>
      </c>
      <c r="BG358" s="246">
        <f>IFERROR(VLOOKUP(Q358,VOL_REC[],2,FALSE),0)</f>
        <v>0</v>
      </c>
      <c r="BH358" s="1710">
        <f t="shared" si="20"/>
        <v>25345534436.817135</v>
      </c>
      <c r="BI358" s="1710">
        <f t="shared" si="21"/>
        <v>24867022390.267056</v>
      </c>
      <c r="BJ358" s="1711">
        <f t="shared" si="22"/>
        <v>35788954.777095005</v>
      </c>
      <c r="BK358" s="1711">
        <f t="shared" si="23"/>
        <v>1.01924283651819</v>
      </c>
      <c r="BL358">
        <f>BJ358</f>
        <v>35788954.777095005</v>
      </c>
      <c r="BO358">
        <f>BL358</f>
        <v>35788954.777095005</v>
      </c>
    </row>
    <row r="359" spans="3:67" x14ac:dyDescent="0.25">
      <c r="C359" s="246" t="s">
        <v>1709</v>
      </c>
      <c r="D359" s="246">
        <v>1</v>
      </c>
      <c r="E359" s="246">
        <v>2</v>
      </c>
      <c r="F359" s="246">
        <v>3</v>
      </c>
      <c r="G359" s="246">
        <v>5</v>
      </c>
      <c r="H359" s="246">
        <v>6</v>
      </c>
      <c r="I359" s="246">
        <v>9</v>
      </c>
      <c r="J359" s="246">
        <v>17</v>
      </c>
      <c r="K359" s="246"/>
      <c r="L359" s="246"/>
      <c r="M359" s="246"/>
      <c r="N359" s="246"/>
      <c r="O359" s="246"/>
      <c r="P359" s="246"/>
      <c r="Q359" s="246"/>
      <c r="R359" s="246">
        <f>IFERROR(VLOOKUP(D359,PROGRAMAS[],2,FALSE),0)</f>
        <v>97037803.679377079</v>
      </c>
      <c r="S359" s="246">
        <f>IFERROR(VLOOKUP(E359,PROGRAMAS[],2,FALSE),0)</f>
        <v>640501509.6821388</v>
      </c>
      <c r="T359" s="246">
        <f>IFERROR(VLOOKUP(F359,PROGRAMAS[],2,FALSE),0)</f>
        <v>3062327798.1525245</v>
      </c>
      <c r="U359" s="246">
        <f>IFERROR(VLOOKUP(G359,PROGRAMAS[],2,FALSE),0)</f>
        <v>1440941976.2528784</v>
      </c>
      <c r="V359" s="246">
        <f>IFERROR(VLOOKUP(H359,PROGRAMAS[],2,FALSE),0)</f>
        <v>6907648435.8447599</v>
      </c>
      <c r="W359" s="246">
        <f>IFERROR(VLOOKUP(I359,PROGRAMAS[],2,FALSE),0)</f>
        <v>6128579952.1618185</v>
      </c>
      <c r="X359" s="246">
        <f>IFERROR(VLOOKUP(J359,PROGRAMAS[],2,FALSE),0)</f>
        <v>1892779498.5211046</v>
      </c>
      <c r="Y359" s="246">
        <f>IFERROR(VLOOKUP(K359,PROGRAMAS[],2,FALSE),0)</f>
        <v>0</v>
      </c>
      <c r="Z359" s="246">
        <f>IFERROR(VLOOKUP(L359,PROGRAMAS[],2,FALSE),0)</f>
        <v>0</v>
      </c>
      <c r="AA359" s="246">
        <f>IFERROR(VLOOKUP(M359,PROGRAMAS[],2,FALSE),0)</f>
        <v>0</v>
      </c>
      <c r="AB359" s="246">
        <f>IFERROR(VLOOKUP(N359,PROGRAMAS[],2,FALSE),0)</f>
        <v>0</v>
      </c>
      <c r="AC359" s="246">
        <f>IFERROR(VLOOKUP(O359,PROGRAMAS[],2,FALSE),0)</f>
        <v>0</v>
      </c>
      <c r="AD359" s="246">
        <f>IFERROR(VLOOKUP(P359,PROGRAMAS[],2,FALSE),0)</f>
        <v>0</v>
      </c>
      <c r="AE359" s="246">
        <f>IFERROR(VLOOKUP(Q359,PROGRAMAS[],2,FALSE),0)</f>
        <v>0</v>
      </c>
      <c r="AF359" s="246">
        <f>IFERROR(VLOOKUP(D359,PROGRAMAS[],3,FALSE),0)</f>
        <v>841888629.31080008</v>
      </c>
      <c r="AG359" s="246">
        <f>IFERROR(VLOOKUP(E359,PROGRAMAS[],3,FALSE),0)</f>
        <v>3848980803.1642323</v>
      </c>
      <c r="AH359" s="246">
        <f>IFERROR(VLOOKUP(F359,PROGRAMAS[],3,FALSE),0)</f>
        <v>3394901471.387517</v>
      </c>
      <c r="AI359" s="246">
        <f>IFERROR(VLOOKUP(G359,PROGRAMAS[],3,FALSE),0)</f>
        <v>1233505101.0616004</v>
      </c>
      <c r="AJ359" s="246">
        <f>IFERROR(VLOOKUP(H359,PROGRAMAS[],3,FALSE),0)</f>
        <v>6129902208.7912121</v>
      </c>
      <c r="AK359" s="246">
        <f>IFERROR(VLOOKUP(I359,PROGRAMAS[],3,FALSE),0)</f>
        <v>7011279577.519702</v>
      </c>
      <c r="AL359" s="246">
        <f>IFERROR(VLOOKUP(J359,PROGRAMAS[],3,FALSE),0)</f>
        <v>948595847.09039903</v>
      </c>
      <c r="AM359" s="246">
        <f>IFERROR(VLOOKUP(K359,PROGRAMAS[],3,FALSE),0)</f>
        <v>0</v>
      </c>
      <c r="AN359" s="246">
        <f>IFERROR(VLOOKUP(L359,PROGRAMAS[],3,FALSE),0)</f>
        <v>0</v>
      </c>
      <c r="AO359" s="246">
        <f>IFERROR(VLOOKUP(M359,PROGRAMAS[],3,FALSE),0)</f>
        <v>0</v>
      </c>
      <c r="AP359" s="246">
        <f>IFERROR(VLOOKUP(N359,PROGRAMAS[],3,FALSE),0)</f>
        <v>0</v>
      </c>
      <c r="AQ359" s="246">
        <f>IFERROR(VLOOKUP(O359,PROGRAMAS[],3,FALSE),0)</f>
        <v>0</v>
      </c>
      <c r="AR359" s="246">
        <f>IFERROR(VLOOKUP(P359,PROGRAMAS[],3,FALSE),0)</f>
        <v>0</v>
      </c>
      <c r="AS359" s="246">
        <f>IFERROR(VLOOKUP(Q359,PROGRAMAS[],3,FALSE),0)</f>
        <v>0</v>
      </c>
      <c r="AT359" s="246">
        <f>IFERROR(VLOOKUP(D359,VOL_REC[],2,FALSE),0)</f>
        <v>0</v>
      </c>
      <c r="AU359" s="246">
        <f>IFERROR(VLOOKUP(E359,VOL_REC[],2,FALSE),0)</f>
        <v>0</v>
      </c>
      <c r="AV359" s="246">
        <f>IFERROR(VLOOKUP(F359,VOL_REC[],2,FALSE),0)</f>
        <v>11089674.200000001</v>
      </c>
      <c r="AW359" s="246">
        <f>IFERROR(VLOOKUP(G359,VOL_REC[],2,FALSE),0)</f>
        <v>4325103.1812214684</v>
      </c>
      <c r="AX359" s="246">
        <f>IFERROR(VLOOKUP(H359,VOL_REC[],2,FALSE),0)</f>
        <v>15540036.397699751</v>
      </c>
      <c r="AY359" s="246">
        <f>IFERROR(VLOOKUP(I359,VOL_REC[],2,FALSE),0)</f>
        <v>3761786</v>
      </c>
      <c r="AZ359" s="246">
        <f>IFERROR(VLOOKUP(J359,VOL_REC[],2,FALSE),0)</f>
        <v>740113.98115702497</v>
      </c>
      <c r="BA359" s="246">
        <f>IFERROR(VLOOKUP(K359,VOL_REC[],2,FALSE),0)</f>
        <v>0</v>
      </c>
      <c r="BB359" s="246">
        <f>IFERROR(VLOOKUP(L359,VOL_REC[],2,FALSE),0)</f>
        <v>0</v>
      </c>
      <c r="BC359" s="246">
        <f>IFERROR(VLOOKUP(M359,VOL_REC[],2,FALSE),0)</f>
        <v>0</v>
      </c>
      <c r="BD359" s="246">
        <f>IFERROR(VLOOKUP(N359,VOL_REC[],2,FALSE),0)</f>
        <v>0</v>
      </c>
      <c r="BE359" s="246">
        <f>IFERROR(VLOOKUP(O359,VOL_REC[],2,FALSE),0)</f>
        <v>0</v>
      </c>
      <c r="BF359" s="246">
        <f>IFERROR(VLOOKUP(P359,VOL_REC[],2,FALSE),0)</f>
        <v>0</v>
      </c>
      <c r="BG359" s="246">
        <f>IFERROR(VLOOKUP(Q359,VOL_REC[],2,FALSE),0)</f>
        <v>0</v>
      </c>
      <c r="BH359" s="1710">
        <f t="shared" si="20"/>
        <v>20169816974.294601</v>
      </c>
      <c r="BI359" s="1710">
        <f t="shared" si="21"/>
        <v>23409053638.325466</v>
      </c>
      <c r="BJ359" s="1711">
        <f t="shared" si="22"/>
        <v>35456713.760078244</v>
      </c>
      <c r="BK359" s="1711">
        <f t="shared" si="23"/>
        <v>0.86162462122229655</v>
      </c>
    </row>
    <row r="360" spans="3:67" x14ac:dyDescent="0.25">
      <c r="C360" s="246" t="s">
        <v>1710</v>
      </c>
      <c r="D360" s="246">
        <v>1</v>
      </c>
      <c r="E360" s="246">
        <v>2</v>
      </c>
      <c r="F360" s="246">
        <v>3</v>
      </c>
      <c r="G360" s="246">
        <v>5</v>
      </c>
      <c r="H360" s="246">
        <v>6</v>
      </c>
      <c r="I360" s="246">
        <v>10</v>
      </c>
      <c r="J360" s="246">
        <v>12</v>
      </c>
      <c r="K360" s="246"/>
      <c r="L360" s="246"/>
      <c r="M360" s="246"/>
      <c r="N360" s="246"/>
      <c r="O360" s="246"/>
      <c r="P360" s="246"/>
      <c r="Q360" s="246"/>
      <c r="R360" s="246">
        <f>IFERROR(VLOOKUP(D360,PROGRAMAS[],2,FALSE),0)</f>
        <v>97037803.679377079</v>
      </c>
      <c r="S360" s="246">
        <f>IFERROR(VLOOKUP(E360,PROGRAMAS[],2,FALSE),0)</f>
        <v>640501509.6821388</v>
      </c>
      <c r="T360" s="246">
        <f>IFERROR(VLOOKUP(F360,PROGRAMAS[],2,FALSE),0)</f>
        <v>3062327798.1525245</v>
      </c>
      <c r="U360" s="246">
        <f>IFERROR(VLOOKUP(G360,PROGRAMAS[],2,FALSE),0)</f>
        <v>1440941976.2528784</v>
      </c>
      <c r="V360" s="246">
        <f>IFERROR(VLOOKUP(H360,PROGRAMAS[],2,FALSE),0)</f>
        <v>6907648435.8447599</v>
      </c>
      <c r="W360" s="246">
        <f>IFERROR(VLOOKUP(I360,PROGRAMAS[],2,FALSE),0)</f>
        <v>4635315027.8751087</v>
      </c>
      <c r="X360" s="246">
        <f>IFERROR(VLOOKUP(J360,PROGRAMAS[],2,FALSE),0)</f>
        <v>764796700.79905891</v>
      </c>
      <c r="Y360" s="246">
        <f>IFERROR(VLOOKUP(K360,PROGRAMAS[],2,FALSE),0)</f>
        <v>0</v>
      </c>
      <c r="Z360" s="246">
        <f>IFERROR(VLOOKUP(L360,PROGRAMAS[],2,FALSE),0)</f>
        <v>0</v>
      </c>
      <c r="AA360" s="246">
        <f>IFERROR(VLOOKUP(M360,PROGRAMAS[],2,FALSE),0)</f>
        <v>0</v>
      </c>
      <c r="AB360" s="246">
        <f>IFERROR(VLOOKUP(N360,PROGRAMAS[],2,FALSE),0)</f>
        <v>0</v>
      </c>
      <c r="AC360" s="246">
        <f>IFERROR(VLOOKUP(O360,PROGRAMAS[],2,FALSE),0)</f>
        <v>0</v>
      </c>
      <c r="AD360" s="246">
        <f>IFERROR(VLOOKUP(P360,PROGRAMAS[],2,FALSE),0)</f>
        <v>0</v>
      </c>
      <c r="AE360" s="246">
        <f>IFERROR(VLOOKUP(Q360,PROGRAMAS[],2,FALSE),0)</f>
        <v>0</v>
      </c>
      <c r="AF360" s="246">
        <f>IFERROR(VLOOKUP(D360,PROGRAMAS[],3,FALSE),0)</f>
        <v>841888629.31080008</v>
      </c>
      <c r="AG360" s="246">
        <f>IFERROR(VLOOKUP(E360,PROGRAMAS[],3,FALSE),0)</f>
        <v>3848980803.1642323</v>
      </c>
      <c r="AH360" s="246">
        <f>IFERROR(VLOOKUP(F360,PROGRAMAS[],3,FALSE),0)</f>
        <v>3394901471.387517</v>
      </c>
      <c r="AI360" s="246">
        <f>IFERROR(VLOOKUP(G360,PROGRAMAS[],3,FALSE),0)</f>
        <v>1233505101.0616004</v>
      </c>
      <c r="AJ360" s="246">
        <f>IFERROR(VLOOKUP(H360,PROGRAMAS[],3,FALSE),0)</f>
        <v>6129902208.7912121</v>
      </c>
      <c r="AK360" s="246">
        <f>IFERROR(VLOOKUP(I360,PROGRAMAS[],3,FALSE),0)</f>
        <v>4099471734.9978786</v>
      </c>
      <c r="AL360" s="246">
        <f>IFERROR(VLOOKUP(J360,PROGRAMAS[],3,FALSE),0)</f>
        <v>675517840.109828</v>
      </c>
      <c r="AM360" s="246">
        <f>IFERROR(VLOOKUP(K360,PROGRAMAS[],3,FALSE),0)</f>
        <v>0</v>
      </c>
      <c r="AN360" s="246">
        <f>IFERROR(VLOOKUP(L360,PROGRAMAS[],3,FALSE),0)</f>
        <v>0</v>
      </c>
      <c r="AO360" s="246">
        <f>IFERROR(VLOOKUP(M360,PROGRAMAS[],3,FALSE),0)</f>
        <v>0</v>
      </c>
      <c r="AP360" s="246">
        <f>IFERROR(VLOOKUP(N360,PROGRAMAS[],3,FALSE),0)</f>
        <v>0</v>
      </c>
      <c r="AQ360" s="246">
        <f>IFERROR(VLOOKUP(O360,PROGRAMAS[],3,FALSE),0)</f>
        <v>0</v>
      </c>
      <c r="AR360" s="246">
        <f>IFERROR(VLOOKUP(P360,PROGRAMAS[],3,FALSE),0)</f>
        <v>0</v>
      </c>
      <c r="AS360" s="246">
        <f>IFERROR(VLOOKUP(Q360,PROGRAMAS[],3,FALSE),0)</f>
        <v>0</v>
      </c>
      <c r="AT360" s="246">
        <f>IFERROR(VLOOKUP(D360,VOL_REC[],2,FALSE),0)</f>
        <v>0</v>
      </c>
      <c r="AU360" s="246">
        <f>IFERROR(VLOOKUP(E360,VOL_REC[],2,FALSE),0)</f>
        <v>0</v>
      </c>
      <c r="AV360" s="246">
        <f>IFERROR(VLOOKUP(F360,VOL_REC[],2,FALSE),0)</f>
        <v>11089674.200000001</v>
      </c>
      <c r="AW360" s="246">
        <f>IFERROR(VLOOKUP(G360,VOL_REC[],2,FALSE),0)</f>
        <v>4325103.1812214684</v>
      </c>
      <c r="AX360" s="246">
        <f>IFERROR(VLOOKUP(H360,VOL_REC[],2,FALSE),0)</f>
        <v>15540036.397699751</v>
      </c>
      <c r="AY360" s="246">
        <f>IFERROR(VLOOKUP(I360,VOL_REC[],2,FALSE),0)</f>
        <v>1812240</v>
      </c>
      <c r="AZ360" s="246">
        <f>IFERROR(VLOOKUP(J360,VOL_REC[],2,FALSE),0)</f>
        <v>240696.79238099116</v>
      </c>
      <c r="BA360" s="246">
        <f>IFERROR(VLOOKUP(K360,VOL_REC[],2,FALSE),0)</f>
        <v>0</v>
      </c>
      <c r="BB360" s="246">
        <f>IFERROR(VLOOKUP(L360,VOL_REC[],2,FALSE),0)</f>
        <v>0</v>
      </c>
      <c r="BC360" s="246">
        <f>IFERROR(VLOOKUP(M360,VOL_REC[],2,FALSE),0)</f>
        <v>0</v>
      </c>
      <c r="BD360" s="246">
        <f>IFERROR(VLOOKUP(N360,VOL_REC[],2,FALSE),0)</f>
        <v>0</v>
      </c>
      <c r="BE360" s="246">
        <f>IFERROR(VLOOKUP(O360,VOL_REC[],2,FALSE),0)</f>
        <v>0</v>
      </c>
      <c r="BF360" s="246">
        <f>IFERROR(VLOOKUP(P360,VOL_REC[],2,FALSE),0)</f>
        <v>0</v>
      </c>
      <c r="BG360" s="246">
        <f>IFERROR(VLOOKUP(Q360,VOL_REC[],2,FALSE),0)</f>
        <v>0</v>
      </c>
      <c r="BH360" s="1710">
        <f t="shared" si="20"/>
        <v>17548569252.285847</v>
      </c>
      <c r="BI360" s="1710">
        <f t="shared" si="21"/>
        <v>20224167788.823071</v>
      </c>
      <c r="BJ360" s="1711">
        <f t="shared" si="22"/>
        <v>33007750.571302213</v>
      </c>
      <c r="BK360" s="1711">
        <f t="shared" si="23"/>
        <v>0.86770291047447212</v>
      </c>
    </row>
    <row r="361" spans="3:67" x14ac:dyDescent="0.25">
      <c r="C361" s="246" t="s">
        <v>1711</v>
      </c>
      <c r="D361" s="246">
        <v>1</v>
      </c>
      <c r="E361" s="246">
        <v>2</v>
      </c>
      <c r="F361" s="246">
        <v>3</v>
      </c>
      <c r="G361" s="246">
        <v>5</v>
      </c>
      <c r="H361" s="246">
        <v>6</v>
      </c>
      <c r="I361" s="246">
        <v>10</v>
      </c>
      <c r="J361" s="246">
        <v>13</v>
      </c>
      <c r="K361" s="246"/>
      <c r="L361" s="246"/>
      <c r="M361" s="246"/>
      <c r="N361" s="246"/>
      <c r="O361" s="246"/>
      <c r="P361" s="246"/>
      <c r="Q361" s="246"/>
      <c r="R361" s="246">
        <f>IFERROR(VLOOKUP(D361,PROGRAMAS[],2,FALSE),0)</f>
        <v>97037803.679377079</v>
      </c>
      <c r="S361" s="246">
        <f>IFERROR(VLOOKUP(E361,PROGRAMAS[],2,FALSE),0)</f>
        <v>640501509.6821388</v>
      </c>
      <c r="T361" s="246">
        <f>IFERROR(VLOOKUP(F361,PROGRAMAS[],2,FALSE),0)</f>
        <v>3062327798.1525245</v>
      </c>
      <c r="U361" s="246">
        <f>IFERROR(VLOOKUP(G361,PROGRAMAS[],2,FALSE),0)</f>
        <v>1440941976.2528784</v>
      </c>
      <c r="V361" s="246">
        <f>IFERROR(VLOOKUP(H361,PROGRAMAS[],2,FALSE),0)</f>
        <v>6907648435.8447599</v>
      </c>
      <c r="W361" s="246">
        <f>IFERROR(VLOOKUP(I361,PROGRAMAS[],2,FALSE),0)</f>
        <v>4635315027.8751087</v>
      </c>
      <c r="X361" s="246">
        <f>IFERROR(VLOOKUP(J361,PROGRAMAS[],2,FALSE),0)</f>
        <v>3776538594.4604583</v>
      </c>
      <c r="Y361" s="246">
        <f>IFERROR(VLOOKUP(K361,PROGRAMAS[],2,FALSE),0)</f>
        <v>0</v>
      </c>
      <c r="Z361" s="246">
        <f>IFERROR(VLOOKUP(L361,PROGRAMAS[],2,FALSE),0)</f>
        <v>0</v>
      </c>
      <c r="AA361" s="246">
        <f>IFERROR(VLOOKUP(M361,PROGRAMAS[],2,FALSE),0)</f>
        <v>0</v>
      </c>
      <c r="AB361" s="246">
        <f>IFERROR(VLOOKUP(N361,PROGRAMAS[],2,FALSE),0)</f>
        <v>0</v>
      </c>
      <c r="AC361" s="246">
        <f>IFERROR(VLOOKUP(O361,PROGRAMAS[],2,FALSE),0)</f>
        <v>0</v>
      </c>
      <c r="AD361" s="246">
        <f>IFERROR(VLOOKUP(P361,PROGRAMAS[],2,FALSE),0)</f>
        <v>0</v>
      </c>
      <c r="AE361" s="246">
        <f>IFERROR(VLOOKUP(Q361,PROGRAMAS[],2,FALSE),0)</f>
        <v>0</v>
      </c>
      <c r="AF361" s="246">
        <f>IFERROR(VLOOKUP(D361,PROGRAMAS[],3,FALSE),0)</f>
        <v>841888629.31080008</v>
      </c>
      <c r="AG361" s="246">
        <f>IFERROR(VLOOKUP(E361,PROGRAMAS[],3,FALSE),0)</f>
        <v>3848980803.1642323</v>
      </c>
      <c r="AH361" s="246">
        <f>IFERROR(VLOOKUP(F361,PROGRAMAS[],3,FALSE),0)</f>
        <v>3394901471.387517</v>
      </c>
      <c r="AI361" s="246">
        <f>IFERROR(VLOOKUP(G361,PROGRAMAS[],3,FALSE),0)</f>
        <v>1233505101.0616004</v>
      </c>
      <c r="AJ361" s="246">
        <f>IFERROR(VLOOKUP(H361,PROGRAMAS[],3,FALSE),0)</f>
        <v>6129902208.7912121</v>
      </c>
      <c r="AK361" s="246">
        <f>IFERROR(VLOOKUP(I361,PROGRAMAS[],3,FALSE),0)</f>
        <v>4099471734.9978786</v>
      </c>
      <c r="AL361" s="246">
        <f>IFERROR(VLOOKUP(J361,PROGRAMAS[],3,FALSE),0)</f>
        <v>2392571243.5584412</v>
      </c>
      <c r="AM361" s="246">
        <f>IFERROR(VLOOKUP(K361,PROGRAMAS[],3,FALSE),0)</f>
        <v>0</v>
      </c>
      <c r="AN361" s="246">
        <f>IFERROR(VLOOKUP(L361,PROGRAMAS[],3,FALSE),0)</f>
        <v>0</v>
      </c>
      <c r="AO361" s="246">
        <f>IFERROR(VLOOKUP(M361,PROGRAMAS[],3,FALSE),0)</f>
        <v>0</v>
      </c>
      <c r="AP361" s="246">
        <f>IFERROR(VLOOKUP(N361,PROGRAMAS[],3,FALSE),0)</f>
        <v>0</v>
      </c>
      <c r="AQ361" s="246">
        <f>IFERROR(VLOOKUP(O361,PROGRAMAS[],3,FALSE),0)</f>
        <v>0</v>
      </c>
      <c r="AR361" s="246">
        <f>IFERROR(VLOOKUP(P361,PROGRAMAS[],3,FALSE),0)</f>
        <v>0</v>
      </c>
      <c r="AS361" s="246">
        <f>IFERROR(VLOOKUP(Q361,PROGRAMAS[],3,FALSE),0)</f>
        <v>0</v>
      </c>
      <c r="AT361" s="246">
        <f>IFERROR(VLOOKUP(D361,VOL_REC[],2,FALSE),0)</f>
        <v>0</v>
      </c>
      <c r="AU361" s="246">
        <f>IFERROR(VLOOKUP(E361,VOL_REC[],2,FALSE),0)</f>
        <v>0</v>
      </c>
      <c r="AV361" s="246">
        <f>IFERROR(VLOOKUP(F361,VOL_REC[],2,FALSE),0)</f>
        <v>11089674.200000001</v>
      </c>
      <c r="AW361" s="246">
        <f>IFERROR(VLOOKUP(G361,VOL_REC[],2,FALSE),0)</f>
        <v>4325103.1812214684</v>
      </c>
      <c r="AX361" s="246">
        <f>IFERROR(VLOOKUP(H361,VOL_REC[],2,FALSE),0)</f>
        <v>15540036.397699751</v>
      </c>
      <c r="AY361" s="246">
        <f>IFERROR(VLOOKUP(I361,VOL_REC[],2,FALSE),0)</f>
        <v>1812240</v>
      </c>
      <c r="AZ361" s="246">
        <f>IFERROR(VLOOKUP(J361,VOL_REC[],2,FALSE),0)</f>
        <v>663244.80000000016</v>
      </c>
      <c r="BA361" s="246">
        <f>IFERROR(VLOOKUP(K361,VOL_REC[],2,FALSE),0)</f>
        <v>0</v>
      </c>
      <c r="BB361" s="246">
        <f>IFERROR(VLOOKUP(L361,VOL_REC[],2,FALSE),0)</f>
        <v>0</v>
      </c>
      <c r="BC361" s="246">
        <f>IFERROR(VLOOKUP(M361,VOL_REC[],2,FALSE),0)</f>
        <v>0</v>
      </c>
      <c r="BD361" s="246">
        <f>IFERROR(VLOOKUP(N361,VOL_REC[],2,FALSE),0)</f>
        <v>0</v>
      </c>
      <c r="BE361" s="246">
        <f>IFERROR(VLOOKUP(O361,VOL_REC[],2,FALSE),0)</f>
        <v>0</v>
      </c>
      <c r="BF361" s="246">
        <f>IFERROR(VLOOKUP(P361,VOL_REC[],2,FALSE),0)</f>
        <v>0</v>
      </c>
      <c r="BG361" s="246">
        <f>IFERROR(VLOOKUP(Q361,VOL_REC[],2,FALSE),0)</f>
        <v>0</v>
      </c>
      <c r="BH361" s="1710">
        <f t="shared" si="20"/>
        <v>20560311145.947247</v>
      </c>
      <c r="BI361" s="1710">
        <f t="shared" si="21"/>
        <v>21941221192.271683</v>
      </c>
      <c r="BJ361" s="1711">
        <f t="shared" si="22"/>
        <v>33430298.578921221</v>
      </c>
      <c r="BK361" s="1711">
        <f t="shared" si="23"/>
        <v>0.93706320927976283</v>
      </c>
    </row>
    <row r="362" spans="3:67" x14ac:dyDescent="0.25">
      <c r="C362" s="246" t="s">
        <v>1712</v>
      </c>
      <c r="D362" s="246">
        <v>1</v>
      </c>
      <c r="E362" s="246">
        <v>2</v>
      </c>
      <c r="F362" s="246">
        <v>3</v>
      </c>
      <c r="G362" s="246">
        <v>5</v>
      </c>
      <c r="H362" s="246">
        <v>6</v>
      </c>
      <c r="I362" s="246">
        <v>10</v>
      </c>
      <c r="J362" s="246">
        <v>14</v>
      </c>
      <c r="K362" s="246"/>
      <c r="L362" s="246"/>
      <c r="M362" s="246"/>
      <c r="N362" s="246"/>
      <c r="O362" s="246"/>
      <c r="P362" s="246"/>
      <c r="Q362" s="246"/>
      <c r="R362" s="246">
        <f>IFERROR(VLOOKUP(D362,PROGRAMAS[],2,FALSE),0)</f>
        <v>97037803.679377079</v>
      </c>
      <c r="S362" s="246">
        <f>IFERROR(VLOOKUP(E362,PROGRAMAS[],2,FALSE),0)</f>
        <v>640501509.6821388</v>
      </c>
      <c r="T362" s="246">
        <f>IFERROR(VLOOKUP(F362,PROGRAMAS[],2,FALSE),0)</f>
        <v>3062327798.1525245</v>
      </c>
      <c r="U362" s="246">
        <f>IFERROR(VLOOKUP(G362,PROGRAMAS[],2,FALSE),0)</f>
        <v>1440941976.2528784</v>
      </c>
      <c r="V362" s="246">
        <f>IFERROR(VLOOKUP(H362,PROGRAMAS[],2,FALSE),0)</f>
        <v>6907648435.8447599</v>
      </c>
      <c r="W362" s="246">
        <f>IFERROR(VLOOKUP(I362,PROGRAMAS[],2,FALSE),0)</f>
        <v>4635315027.8751087</v>
      </c>
      <c r="X362" s="246">
        <f>IFERROR(VLOOKUP(J362,PROGRAMAS[],2,FALSE),0)</f>
        <v>54223862.645839565</v>
      </c>
      <c r="Y362" s="246">
        <f>IFERROR(VLOOKUP(K362,PROGRAMAS[],2,FALSE),0)</f>
        <v>0</v>
      </c>
      <c r="Z362" s="246">
        <f>IFERROR(VLOOKUP(L362,PROGRAMAS[],2,FALSE),0)</f>
        <v>0</v>
      </c>
      <c r="AA362" s="246">
        <f>IFERROR(VLOOKUP(M362,PROGRAMAS[],2,FALSE),0)</f>
        <v>0</v>
      </c>
      <c r="AB362" s="246">
        <f>IFERROR(VLOOKUP(N362,PROGRAMAS[],2,FALSE),0)</f>
        <v>0</v>
      </c>
      <c r="AC362" s="246">
        <f>IFERROR(VLOOKUP(O362,PROGRAMAS[],2,FALSE),0)</f>
        <v>0</v>
      </c>
      <c r="AD362" s="246">
        <f>IFERROR(VLOOKUP(P362,PROGRAMAS[],2,FALSE),0)</f>
        <v>0</v>
      </c>
      <c r="AE362" s="246">
        <f>IFERROR(VLOOKUP(Q362,PROGRAMAS[],2,FALSE),0)</f>
        <v>0</v>
      </c>
      <c r="AF362" s="246">
        <f>IFERROR(VLOOKUP(D362,PROGRAMAS[],3,FALSE),0)</f>
        <v>841888629.31080008</v>
      </c>
      <c r="AG362" s="246">
        <f>IFERROR(VLOOKUP(E362,PROGRAMAS[],3,FALSE),0)</f>
        <v>3848980803.1642323</v>
      </c>
      <c r="AH362" s="246">
        <f>IFERROR(VLOOKUP(F362,PROGRAMAS[],3,FALSE),0)</f>
        <v>3394901471.387517</v>
      </c>
      <c r="AI362" s="246">
        <f>IFERROR(VLOOKUP(G362,PROGRAMAS[],3,FALSE),0)</f>
        <v>1233505101.0616004</v>
      </c>
      <c r="AJ362" s="246">
        <f>IFERROR(VLOOKUP(H362,PROGRAMAS[],3,FALSE),0)</f>
        <v>6129902208.7912121</v>
      </c>
      <c r="AK362" s="246">
        <f>IFERROR(VLOOKUP(I362,PROGRAMAS[],3,FALSE),0)</f>
        <v>4099471734.9978786</v>
      </c>
      <c r="AL362" s="246">
        <f>IFERROR(VLOOKUP(J362,PROGRAMAS[],3,FALSE),0)</f>
        <v>31865326.38096505</v>
      </c>
      <c r="AM362" s="246">
        <f>IFERROR(VLOOKUP(K362,PROGRAMAS[],3,FALSE),0)</f>
        <v>0</v>
      </c>
      <c r="AN362" s="246">
        <f>IFERROR(VLOOKUP(L362,PROGRAMAS[],3,FALSE),0)</f>
        <v>0</v>
      </c>
      <c r="AO362" s="246">
        <f>IFERROR(VLOOKUP(M362,PROGRAMAS[],3,FALSE),0)</f>
        <v>0</v>
      </c>
      <c r="AP362" s="246">
        <f>IFERROR(VLOOKUP(N362,PROGRAMAS[],3,FALSE),0)</f>
        <v>0</v>
      </c>
      <c r="AQ362" s="246">
        <f>IFERROR(VLOOKUP(O362,PROGRAMAS[],3,FALSE),0)</f>
        <v>0</v>
      </c>
      <c r="AR362" s="246">
        <f>IFERROR(VLOOKUP(P362,PROGRAMAS[],3,FALSE),0)</f>
        <v>0</v>
      </c>
      <c r="AS362" s="246">
        <f>IFERROR(VLOOKUP(Q362,PROGRAMAS[],3,FALSE),0)</f>
        <v>0</v>
      </c>
      <c r="AT362" s="246">
        <f>IFERROR(VLOOKUP(D362,VOL_REC[],2,FALSE),0)</f>
        <v>0</v>
      </c>
      <c r="AU362" s="246">
        <f>IFERROR(VLOOKUP(E362,VOL_REC[],2,FALSE),0)</f>
        <v>0</v>
      </c>
      <c r="AV362" s="246">
        <f>IFERROR(VLOOKUP(F362,VOL_REC[],2,FALSE),0)</f>
        <v>11089674.200000001</v>
      </c>
      <c r="AW362" s="246">
        <f>IFERROR(VLOOKUP(G362,VOL_REC[],2,FALSE),0)</f>
        <v>4325103.1812214684</v>
      </c>
      <c r="AX362" s="246">
        <f>IFERROR(VLOOKUP(H362,VOL_REC[],2,FALSE),0)</f>
        <v>15540036.397699751</v>
      </c>
      <c r="AY362" s="246">
        <f>IFERROR(VLOOKUP(I362,VOL_REC[],2,FALSE),0)</f>
        <v>1812240</v>
      </c>
      <c r="AZ362" s="246">
        <f>IFERROR(VLOOKUP(J362,VOL_REC[],2,FALSE),0)</f>
        <v>17074.045034105649</v>
      </c>
      <c r="BA362" s="246">
        <f>IFERROR(VLOOKUP(K362,VOL_REC[],2,FALSE),0)</f>
        <v>0</v>
      </c>
      <c r="BB362" s="246">
        <f>IFERROR(VLOOKUP(L362,VOL_REC[],2,FALSE),0)</f>
        <v>0</v>
      </c>
      <c r="BC362" s="246">
        <f>IFERROR(VLOOKUP(M362,VOL_REC[],2,FALSE),0)</f>
        <v>0</v>
      </c>
      <c r="BD362" s="246">
        <f>IFERROR(VLOOKUP(N362,VOL_REC[],2,FALSE),0)</f>
        <v>0</v>
      </c>
      <c r="BE362" s="246">
        <f>IFERROR(VLOOKUP(O362,VOL_REC[],2,FALSE),0)</f>
        <v>0</v>
      </c>
      <c r="BF362" s="246">
        <f>IFERROR(VLOOKUP(P362,VOL_REC[],2,FALSE),0)</f>
        <v>0</v>
      </c>
      <c r="BG362" s="246">
        <f>IFERROR(VLOOKUP(Q362,VOL_REC[],2,FALSE),0)</f>
        <v>0</v>
      </c>
      <c r="BH362" s="1710">
        <f t="shared" si="20"/>
        <v>16837996414.132627</v>
      </c>
      <c r="BI362" s="1710">
        <f t="shared" si="21"/>
        <v>19580515275.094208</v>
      </c>
      <c r="BJ362" s="1711">
        <f t="shared" si="22"/>
        <v>32784127.823955327</v>
      </c>
      <c r="BK362" s="1711">
        <f t="shared" si="23"/>
        <v>0.85993632841470846</v>
      </c>
    </row>
    <row r="363" spans="3:67" x14ac:dyDescent="0.25">
      <c r="C363" s="246" t="s">
        <v>1713</v>
      </c>
      <c r="D363" s="246">
        <v>1</v>
      </c>
      <c r="E363" s="246">
        <v>2</v>
      </c>
      <c r="F363" s="246">
        <v>3</v>
      </c>
      <c r="G363" s="246">
        <v>5</v>
      </c>
      <c r="H363" s="246">
        <v>6</v>
      </c>
      <c r="I363" s="246">
        <v>10</v>
      </c>
      <c r="J363" s="246">
        <v>15</v>
      </c>
      <c r="K363" s="246"/>
      <c r="L363" s="246"/>
      <c r="M363" s="246"/>
      <c r="N363" s="246"/>
      <c r="O363" s="246"/>
      <c r="P363" s="246"/>
      <c r="Q363" s="246"/>
      <c r="R363" s="246">
        <f>IFERROR(VLOOKUP(D363,PROGRAMAS[],2,FALSE),0)</f>
        <v>97037803.679377079</v>
      </c>
      <c r="S363" s="246">
        <f>IFERROR(VLOOKUP(E363,PROGRAMAS[],2,FALSE),0)</f>
        <v>640501509.6821388</v>
      </c>
      <c r="T363" s="246">
        <f>IFERROR(VLOOKUP(F363,PROGRAMAS[],2,FALSE),0)</f>
        <v>3062327798.1525245</v>
      </c>
      <c r="U363" s="246">
        <f>IFERROR(VLOOKUP(G363,PROGRAMAS[],2,FALSE),0)</f>
        <v>1440941976.2528784</v>
      </c>
      <c r="V363" s="246">
        <f>IFERROR(VLOOKUP(H363,PROGRAMAS[],2,FALSE),0)</f>
        <v>6907648435.8447599</v>
      </c>
      <c r="W363" s="246">
        <f>IFERROR(VLOOKUP(I363,PROGRAMAS[],2,FALSE),0)</f>
        <v>4635315027.8751087</v>
      </c>
      <c r="X363" s="246">
        <f>IFERROR(VLOOKUP(J363,PROGRAMAS[],2,FALSE),0)</f>
        <v>122159672.96346797</v>
      </c>
      <c r="Y363" s="246">
        <f>IFERROR(VLOOKUP(K363,PROGRAMAS[],2,FALSE),0)</f>
        <v>0</v>
      </c>
      <c r="Z363" s="246">
        <f>IFERROR(VLOOKUP(L363,PROGRAMAS[],2,FALSE),0)</f>
        <v>0</v>
      </c>
      <c r="AA363" s="246">
        <f>IFERROR(VLOOKUP(M363,PROGRAMAS[],2,FALSE),0)</f>
        <v>0</v>
      </c>
      <c r="AB363" s="246">
        <f>IFERROR(VLOOKUP(N363,PROGRAMAS[],2,FALSE),0)</f>
        <v>0</v>
      </c>
      <c r="AC363" s="246">
        <f>IFERROR(VLOOKUP(O363,PROGRAMAS[],2,FALSE),0)</f>
        <v>0</v>
      </c>
      <c r="AD363" s="246">
        <f>IFERROR(VLOOKUP(P363,PROGRAMAS[],2,FALSE),0)</f>
        <v>0</v>
      </c>
      <c r="AE363" s="246">
        <f>IFERROR(VLOOKUP(Q363,PROGRAMAS[],2,FALSE),0)</f>
        <v>0</v>
      </c>
      <c r="AF363" s="246">
        <f>IFERROR(VLOOKUP(D363,PROGRAMAS[],3,FALSE),0)</f>
        <v>841888629.31080008</v>
      </c>
      <c r="AG363" s="246">
        <f>IFERROR(VLOOKUP(E363,PROGRAMAS[],3,FALSE),0)</f>
        <v>3848980803.1642323</v>
      </c>
      <c r="AH363" s="246">
        <f>IFERROR(VLOOKUP(F363,PROGRAMAS[],3,FALSE),0)</f>
        <v>3394901471.387517</v>
      </c>
      <c r="AI363" s="246">
        <f>IFERROR(VLOOKUP(G363,PROGRAMAS[],3,FALSE),0)</f>
        <v>1233505101.0616004</v>
      </c>
      <c r="AJ363" s="246">
        <f>IFERROR(VLOOKUP(H363,PROGRAMAS[],3,FALSE),0)</f>
        <v>6129902208.7912121</v>
      </c>
      <c r="AK363" s="246">
        <f>IFERROR(VLOOKUP(I363,PROGRAMAS[],3,FALSE),0)</f>
        <v>4099471734.9978786</v>
      </c>
      <c r="AL363" s="246">
        <f>IFERROR(VLOOKUP(J363,PROGRAMAS[],3,FALSE),0)</f>
        <v>118617452.52510804</v>
      </c>
      <c r="AM363" s="246">
        <f>IFERROR(VLOOKUP(K363,PROGRAMAS[],3,FALSE),0)</f>
        <v>0</v>
      </c>
      <c r="AN363" s="246">
        <f>IFERROR(VLOOKUP(L363,PROGRAMAS[],3,FALSE),0)</f>
        <v>0</v>
      </c>
      <c r="AO363" s="246">
        <f>IFERROR(VLOOKUP(M363,PROGRAMAS[],3,FALSE),0)</f>
        <v>0</v>
      </c>
      <c r="AP363" s="246">
        <f>IFERROR(VLOOKUP(N363,PROGRAMAS[],3,FALSE),0)</f>
        <v>0</v>
      </c>
      <c r="AQ363" s="246">
        <f>IFERROR(VLOOKUP(O363,PROGRAMAS[],3,FALSE),0)</f>
        <v>0</v>
      </c>
      <c r="AR363" s="246">
        <f>IFERROR(VLOOKUP(P363,PROGRAMAS[],3,FALSE),0)</f>
        <v>0</v>
      </c>
      <c r="AS363" s="246">
        <f>IFERROR(VLOOKUP(Q363,PROGRAMAS[],3,FALSE),0)</f>
        <v>0</v>
      </c>
      <c r="AT363" s="246">
        <f>IFERROR(VLOOKUP(D363,VOL_REC[],2,FALSE),0)</f>
        <v>0</v>
      </c>
      <c r="AU363" s="246">
        <f>IFERROR(VLOOKUP(E363,VOL_REC[],2,FALSE),0)</f>
        <v>0</v>
      </c>
      <c r="AV363" s="246">
        <f>IFERROR(VLOOKUP(F363,VOL_REC[],2,FALSE),0)</f>
        <v>11089674.200000001</v>
      </c>
      <c r="AW363" s="246">
        <f>IFERROR(VLOOKUP(G363,VOL_REC[],2,FALSE),0)</f>
        <v>4325103.1812214684</v>
      </c>
      <c r="AX363" s="246">
        <f>IFERROR(VLOOKUP(H363,VOL_REC[],2,FALSE),0)</f>
        <v>15540036.397699751</v>
      </c>
      <c r="AY363" s="246">
        <f>IFERROR(VLOOKUP(I363,VOL_REC[],2,FALSE),0)</f>
        <v>1812240</v>
      </c>
      <c r="AZ363" s="246">
        <f>IFERROR(VLOOKUP(J363,VOL_REC[],2,FALSE),0)</f>
        <v>105072</v>
      </c>
      <c r="BA363" s="246">
        <f>IFERROR(VLOOKUP(K363,VOL_REC[],2,FALSE),0)</f>
        <v>0</v>
      </c>
      <c r="BB363" s="246">
        <f>IFERROR(VLOOKUP(L363,VOL_REC[],2,FALSE),0)</f>
        <v>0</v>
      </c>
      <c r="BC363" s="246">
        <f>IFERROR(VLOOKUP(M363,VOL_REC[],2,FALSE),0)</f>
        <v>0</v>
      </c>
      <c r="BD363" s="246">
        <f>IFERROR(VLOOKUP(N363,VOL_REC[],2,FALSE),0)</f>
        <v>0</v>
      </c>
      <c r="BE363" s="246">
        <f>IFERROR(VLOOKUP(O363,VOL_REC[],2,FALSE),0)</f>
        <v>0</v>
      </c>
      <c r="BF363" s="246">
        <f>IFERROR(VLOOKUP(P363,VOL_REC[],2,FALSE),0)</f>
        <v>0</v>
      </c>
      <c r="BG363" s="246">
        <f>IFERROR(VLOOKUP(Q363,VOL_REC[],2,FALSE),0)</f>
        <v>0</v>
      </c>
      <c r="BH363" s="1710">
        <f t="shared" si="20"/>
        <v>16905932224.450256</v>
      </c>
      <c r="BI363" s="1710">
        <f t="shared" si="21"/>
        <v>19667267401.23835</v>
      </c>
      <c r="BJ363" s="1711">
        <f t="shared" si="22"/>
        <v>32872125.77892122</v>
      </c>
      <c r="BK363" s="1711">
        <f t="shared" si="23"/>
        <v>0.85959741531687184</v>
      </c>
    </row>
    <row r="364" spans="3:67" x14ac:dyDescent="0.25">
      <c r="C364" s="246" t="s">
        <v>1714</v>
      </c>
      <c r="D364" s="246">
        <v>1</v>
      </c>
      <c r="E364" s="246">
        <v>2</v>
      </c>
      <c r="F364" s="246">
        <v>3</v>
      </c>
      <c r="G364" s="246">
        <v>5</v>
      </c>
      <c r="H364" s="246">
        <v>6</v>
      </c>
      <c r="I364" s="246">
        <v>10</v>
      </c>
      <c r="J364" s="246">
        <v>16</v>
      </c>
      <c r="K364" s="246"/>
      <c r="L364" s="246"/>
      <c r="M364" s="246"/>
      <c r="N364" s="246"/>
      <c r="O364" s="246"/>
      <c r="P364" s="246"/>
      <c r="Q364" s="246"/>
      <c r="R364" s="246">
        <f>IFERROR(VLOOKUP(D364,PROGRAMAS[],2,FALSE),0)</f>
        <v>97037803.679377079</v>
      </c>
      <c r="S364" s="246">
        <f>IFERROR(VLOOKUP(E364,PROGRAMAS[],2,FALSE),0)</f>
        <v>640501509.6821388</v>
      </c>
      <c r="T364" s="246">
        <f>IFERROR(VLOOKUP(F364,PROGRAMAS[],2,FALSE),0)</f>
        <v>3062327798.1525245</v>
      </c>
      <c r="U364" s="246">
        <f>IFERROR(VLOOKUP(G364,PROGRAMAS[],2,FALSE),0)</f>
        <v>1440941976.2528784</v>
      </c>
      <c r="V364" s="246">
        <f>IFERROR(VLOOKUP(H364,PROGRAMAS[],2,FALSE),0)</f>
        <v>6907648435.8447599</v>
      </c>
      <c r="W364" s="246">
        <f>IFERROR(VLOOKUP(I364,PROGRAMAS[],2,FALSE),0)</f>
        <v>4635315027.8751087</v>
      </c>
      <c r="X364" s="246">
        <f>IFERROR(VLOOKUP(J364,PROGRAMAS[],2,FALSE),0)</f>
        <v>7068496961.0436354</v>
      </c>
      <c r="Y364" s="246">
        <f>IFERROR(VLOOKUP(K364,PROGRAMAS[],2,FALSE),0)</f>
        <v>0</v>
      </c>
      <c r="Z364" s="246">
        <f>IFERROR(VLOOKUP(L364,PROGRAMAS[],2,FALSE),0)</f>
        <v>0</v>
      </c>
      <c r="AA364" s="246">
        <f>IFERROR(VLOOKUP(M364,PROGRAMAS[],2,FALSE),0)</f>
        <v>0</v>
      </c>
      <c r="AB364" s="246">
        <f>IFERROR(VLOOKUP(N364,PROGRAMAS[],2,FALSE),0)</f>
        <v>0</v>
      </c>
      <c r="AC364" s="246">
        <f>IFERROR(VLOOKUP(O364,PROGRAMAS[],2,FALSE),0)</f>
        <v>0</v>
      </c>
      <c r="AD364" s="246">
        <f>IFERROR(VLOOKUP(P364,PROGRAMAS[],2,FALSE),0)</f>
        <v>0</v>
      </c>
      <c r="AE364" s="246">
        <f>IFERROR(VLOOKUP(Q364,PROGRAMAS[],2,FALSE),0)</f>
        <v>0</v>
      </c>
      <c r="AF364" s="246">
        <f>IFERROR(VLOOKUP(D364,PROGRAMAS[],3,FALSE),0)</f>
        <v>841888629.31080008</v>
      </c>
      <c r="AG364" s="246">
        <f>IFERROR(VLOOKUP(E364,PROGRAMAS[],3,FALSE),0)</f>
        <v>3848980803.1642323</v>
      </c>
      <c r="AH364" s="246">
        <f>IFERROR(VLOOKUP(F364,PROGRAMAS[],3,FALSE),0)</f>
        <v>3394901471.387517</v>
      </c>
      <c r="AI364" s="246">
        <f>IFERROR(VLOOKUP(G364,PROGRAMAS[],3,FALSE),0)</f>
        <v>1233505101.0616004</v>
      </c>
      <c r="AJ364" s="246">
        <f>IFERROR(VLOOKUP(H364,PROGRAMAS[],3,FALSE),0)</f>
        <v>6129902208.7912121</v>
      </c>
      <c r="AK364" s="246">
        <f>IFERROR(VLOOKUP(I364,PROGRAMAS[],3,FALSE),0)</f>
        <v>4099471734.9978786</v>
      </c>
      <c r="AL364" s="246">
        <f>IFERROR(VLOOKUP(J364,PROGRAMAS[],3,FALSE),0)</f>
        <v>2406564599.0319901</v>
      </c>
      <c r="AM364" s="246">
        <f>IFERROR(VLOOKUP(K364,PROGRAMAS[],3,FALSE),0)</f>
        <v>0</v>
      </c>
      <c r="AN364" s="246">
        <f>IFERROR(VLOOKUP(L364,PROGRAMAS[],3,FALSE),0)</f>
        <v>0</v>
      </c>
      <c r="AO364" s="246">
        <f>IFERROR(VLOOKUP(M364,PROGRAMAS[],3,FALSE),0)</f>
        <v>0</v>
      </c>
      <c r="AP364" s="246">
        <f>IFERROR(VLOOKUP(N364,PROGRAMAS[],3,FALSE),0)</f>
        <v>0</v>
      </c>
      <c r="AQ364" s="246">
        <f>IFERROR(VLOOKUP(O364,PROGRAMAS[],3,FALSE),0)</f>
        <v>0</v>
      </c>
      <c r="AR364" s="246">
        <f>IFERROR(VLOOKUP(P364,PROGRAMAS[],3,FALSE),0)</f>
        <v>0</v>
      </c>
      <c r="AS364" s="246">
        <f>IFERROR(VLOOKUP(Q364,PROGRAMAS[],3,FALSE),0)</f>
        <v>0</v>
      </c>
      <c r="AT364" s="246">
        <f>IFERROR(VLOOKUP(D364,VOL_REC[],2,FALSE),0)</f>
        <v>0</v>
      </c>
      <c r="AU364" s="246">
        <f>IFERROR(VLOOKUP(E364,VOL_REC[],2,FALSE),0)</f>
        <v>0</v>
      </c>
      <c r="AV364" s="246">
        <f>IFERROR(VLOOKUP(F364,VOL_REC[],2,FALSE),0)</f>
        <v>11089674.200000001</v>
      </c>
      <c r="AW364" s="246">
        <f>IFERROR(VLOOKUP(G364,VOL_REC[],2,FALSE),0)</f>
        <v>4325103.1812214684</v>
      </c>
      <c r="AX364" s="246">
        <f>IFERROR(VLOOKUP(H364,VOL_REC[],2,FALSE),0)</f>
        <v>15540036.397699751</v>
      </c>
      <c r="AY364" s="246">
        <f>IFERROR(VLOOKUP(I364,VOL_REC[],2,FALSE),0)</f>
        <v>1812240</v>
      </c>
      <c r="AZ364" s="246">
        <f>IFERROR(VLOOKUP(J364,VOL_REC[],2,FALSE),0)</f>
        <v>1072354.9981737854</v>
      </c>
      <c r="BA364" s="246">
        <f>IFERROR(VLOOKUP(K364,VOL_REC[],2,FALSE),0)</f>
        <v>0</v>
      </c>
      <c r="BB364" s="246">
        <f>IFERROR(VLOOKUP(L364,VOL_REC[],2,FALSE),0)</f>
        <v>0</v>
      </c>
      <c r="BC364" s="246">
        <f>IFERROR(VLOOKUP(M364,VOL_REC[],2,FALSE),0)</f>
        <v>0</v>
      </c>
      <c r="BD364" s="246">
        <f>IFERROR(VLOOKUP(N364,VOL_REC[],2,FALSE),0)</f>
        <v>0</v>
      </c>
      <c r="BE364" s="246">
        <f>IFERROR(VLOOKUP(O364,VOL_REC[],2,FALSE),0)</f>
        <v>0</v>
      </c>
      <c r="BF364" s="246">
        <f>IFERROR(VLOOKUP(P364,VOL_REC[],2,FALSE),0)</f>
        <v>0</v>
      </c>
      <c r="BG364" s="246">
        <f>IFERROR(VLOOKUP(Q364,VOL_REC[],2,FALSE),0)</f>
        <v>0</v>
      </c>
      <c r="BH364" s="1710">
        <f t="shared" si="20"/>
        <v>23852269512.530422</v>
      </c>
      <c r="BI364" s="1710">
        <f t="shared" si="21"/>
        <v>21955214547.745232</v>
      </c>
      <c r="BJ364" s="1711">
        <f t="shared" si="22"/>
        <v>33839408.777095005</v>
      </c>
      <c r="BK364" s="1711">
        <f t="shared" si="23"/>
        <v>1.0864056673488538</v>
      </c>
      <c r="BL364">
        <f>BJ364</f>
        <v>33839408.777095005</v>
      </c>
      <c r="BO364">
        <f>BL364</f>
        <v>33839408.777095005</v>
      </c>
    </row>
    <row r="365" spans="3:67" x14ac:dyDescent="0.25">
      <c r="C365" s="246" t="s">
        <v>1715</v>
      </c>
      <c r="D365" s="246">
        <v>1</v>
      </c>
      <c r="E365" s="246">
        <v>2</v>
      </c>
      <c r="F365" s="246">
        <v>3</v>
      </c>
      <c r="G365" s="246">
        <v>5</v>
      </c>
      <c r="H365" s="246">
        <v>6</v>
      </c>
      <c r="I365" s="246">
        <v>10</v>
      </c>
      <c r="J365" s="246">
        <v>17</v>
      </c>
      <c r="K365" s="246"/>
      <c r="L365" s="246"/>
      <c r="M365" s="246"/>
      <c r="N365" s="246"/>
      <c r="O365" s="246"/>
      <c r="P365" s="246"/>
      <c r="Q365" s="246"/>
      <c r="R365" s="246">
        <f>IFERROR(VLOOKUP(D365,PROGRAMAS[],2,FALSE),0)</f>
        <v>97037803.679377079</v>
      </c>
      <c r="S365" s="246">
        <f>IFERROR(VLOOKUP(E365,PROGRAMAS[],2,FALSE),0)</f>
        <v>640501509.6821388</v>
      </c>
      <c r="T365" s="246">
        <f>IFERROR(VLOOKUP(F365,PROGRAMAS[],2,FALSE),0)</f>
        <v>3062327798.1525245</v>
      </c>
      <c r="U365" s="246">
        <f>IFERROR(VLOOKUP(G365,PROGRAMAS[],2,FALSE),0)</f>
        <v>1440941976.2528784</v>
      </c>
      <c r="V365" s="246">
        <f>IFERROR(VLOOKUP(H365,PROGRAMAS[],2,FALSE),0)</f>
        <v>6907648435.8447599</v>
      </c>
      <c r="W365" s="246">
        <f>IFERROR(VLOOKUP(I365,PROGRAMAS[],2,FALSE),0)</f>
        <v>4635315027.8751087</v>
      </c>
      <c r="X365" s="246">
        <f>IFERROR(VLOOKUP(J365,PROGRAMAS[],2,FALSE),0)</f>
        <v>1892779498.5211046</v>
      </c>
      <c r="Y365" s="246">
        <f>IFERROR(VLOOKUP(K365,PROGRAMAS[],2,FALSE),0)</f>
        <v>0</v>
      </c>
      <c r="Z365" s="246">
        <f>IFERROR(VLOOKUP(L365,PROGRAMAS[],2,FALSE),0)</f>
        <v>0</v>
      </c>
      <c r="AA365" s="246">
        <f>IFERROR(VLOOKUP(M365,PROGRAMAS[],2,FALSE),0)</f>
        <v>0</v>
      </c>
      <c r="AB365" s="246">
        <f>IFERROR(VLOOKUP(N365,PROGRAMAS[],2,FALSE),0)</f>
        <v>0</v>
      </c>
      <c r="AC365" s="246">
        <f>IFERROR(VLOOKUP(O365,PROGRAMAS[],2,FALSE),0)</f>
        <v>0</v>
      </c>
      <c r="AD365" s="246">
        <f>IFERROR(VLOOKUP(P365,PROGRAMAS[],2,FALSE),0)</f>
        <v>0</v>
      </c>
      <c r="AE365" s="246">
        <f>IFERROR(VLOOKUP(Q365,PROGRAMAS[],2,FALSE),0)</f>
        <v>0</v>
      </c>
      <c r="AF365" s="246">
        <f>IFERROR(VLOOKUP(D365,PROGRAMAS[],3,FALSE),0)</f>
        <v>841888629.31080008</v>
      </c>
      <c r="AG365" s="246">
        <f>IFERROR(VLOOKUP(E365,PROGRAMAS[],3,FALSE),0)</f>
        <v>3848980803.1642323</v>
      </c>
      <c r="AH365" s="246">
        <f>IFERROR(VLOOKUP(F365,PROGRAMAS[],3,FALSE),0)</f>
        <v>3394901471.387517</v>
      </c>
      <c r="AI365" s="246">
        <f>IFERROR(VLOOKUP(G365,PROGRAMAS[],3,FALSE),0)</f>
        <v>1233505101.0616004</v>
      </c>
      <c r="AJ365" s="246">
        <f>IFERROR(VLOOKUP(H365,PROGRAMAS[],3,FALSE),0)</f>
        <v>6129902208.7912121</v>
      </c>
      <c r="AK365" s="246">
        <f>IFERROR(VLOOKUP(I365,PROGRAMAS[],3,FALSE),0)</f>
        <v>4099471734.9978786</v>
      </c>
      <c r="AL365" s="246">
        <f>IFERROR(VLOOKUP(J365,PROGRAMAS[],3,FALSE),0)</f>
        <v>948595847.09039903</v>
      </c>
      <c r="AM365" s="246">
        <f>IFERROR(VLOOKUP(K365,PROGRAMAS[],3,FALSE),0)</f>
        <v>0</v>
      </c>
      <c r="AN365" s="246">
        <f>IFERROR(VLOOKUP(L365,PROGRAMAS[],3,FALSE),0)</f>
        <v>0</v>
      </c>
      <c r="AO365" s="246">
        <f>IFERROR(VLOOKUP(M365,PROGRAMAS[],3,FALSE),0)</f>
        <v>0</v>
      </c>
      <c r="AP365" s="246">
        <f>IFERROR(VLOOKUP(N365,PROGRAMAS[],3,FALSE),0)</f>
        <v>0</v>
      </c>
      <c r="AQ365" s="246">
        <f>IFERROR(VLOOKUP(O365,PROGRAMAS[],3,FALSE),0)</f>
        <v>0</v>
      </c>
      <c r="AR365" s="246">
        <f>IFERROR(VLOOKUP(P365,PROGRAMAS[],3,FALSE),0)</f>
        <v>0</v>
      </c>
      <c r="AS365" s="246">
        <f>IFERROR(VLOOKUP(Q365,PROGRAMAS[],3,FALSE),0)</f>
        <v>0</v>
      </c>
      <c r="AT365" s="246">
        <f>IFERROR(VLOOKUP(D365,VOL_REC[],2,FALSE),0)</f>
        <v>0</v>
      </c>
      <c r="AU365" s="246">
        <f>IFERROR(VLOOKUP(E365,VOL_REC[],2,FALSE),0)</f>
        <v>0</v>
      </c>
      <c r="AV365" s="246">
        <f>IFERROR(VLOOKUP(F365,VOL_REC[],2,FALSE),0)</f>
        <v>11089674.200000001</v>
      </c>
      <c r="AW365" s="246">
        <f>IFERROR(VLOOKUP(G365,VOL_REC[],2,FALSE),0)</f>
        <v>4325103.1812214684</v>
      </c>
      <c r="AX365" s="246">
        <f>IFERROR(VLOOKUP(H365,VOL_REC[],2,FALSE),0)</f>
        <v>15540036.397699751</v>
      </c>
      <c r="AY365" s="246">
        <f>IFERROR(VLOOKUP(I365,VOL_REC[],2,FALSE),0)</f>
        <v>1812240</v>
      </c>
      <c r="AZ365" s="246">
        <f>IFERROR(VLOOKUP(J365,VOL_REC[],2,FALSE),0)</f>
        <v>740113.98115702497</v>
      </c>
      <c r="BA365" s="246">
        <f>IFERROR(VLOOKUP(K365,VOL_REC[],2,FALSE),0)</f>
        <v>0</v>
      </c>
      <c r="BB365" s="246">
        <f>IFERROR(VLOOKUP(L365,VOL_REC[],2,FALSE),0)</f>
        <v>0</v>
      </c>
      <c r="BC365" s="246">
        <f>IFERROR(VLOOKUP(M365,VOL_REC[],2,FALSE),0)</f>
        <v>0</v>
      </c>
      <c r="BD365" s="246">
        <f>IFERROR(VLOOKUP(N365,VOL_REC[],2,FALSE),0)</f>
        <v>0</v>
      </c>
      <c r="BE365" s="246">
        <f>IFERROR(VLOOKUP(O365,VOL_REC[],2,FALSE),0)</f>
        <v>0</v>
      </c>
      <c r="BF365" s="246">
        <f>IFERROR(VLOOKUP(P365,VOL_REC[],2,FALSE),0)</f>
        <v>0</v>
      </c>
      <c r="BG365" s="246">
        <f>IFERROR(VLOOKUP(Q365,VOL_REC[],2,FALSE),0)</f>
        <v>0</v>
      </c>
      <c r="BH365" s="1710">
        <f t="shared" si="20"/>
        <v>18676552050.007893</v>
      </c>
      <c r="BI365" s="1710">
        <f t="shared" si="21"/>
        <v>20497245795.803642</v>
      </c>
      <c r="BJ365" s="1711">
        <f t="shared" si="22"/>
        <v>33507167.760078244</v>
      </c>
      <c r="BK365" s="1711">
        <f t="shared" si="23"/>
        <v>0.91117373700185145</v>
      </c>
    </row>
    <row r="366" spans="3:67" x14ac:dyDescent="0.25">
      <c r="C366" s="246" t="s">
        <v>1716</v>
      </c>
      <c r="D366" s="246">
        <v>1</v>
      </c>
      <c r="E366" s="246">
        <v>2</v>
      </c>
      <c r="F366" s="246">
        <v>3</v>
      </c>
      <c r="G366" s="246">
        <v>5</v>
      </c>
      <c r="H366" s="246">
        <v>6</v>
      </c>
      <c r="I366" s="246">
        <v>12</v>
      </c>
      <c r="J366" s="246">
        <v>13</v>
      </c>
      <c r="K366" s="246"/>
      <c r="L366" s="246"/>
      <c r="M366" s="246"/>
      <c r="N366" s="246"/>
      <c r="O366" s="246"/>
      <c r="P366" s="246"/>
      <c r="Q366" s="246"/>
      <c r="R366" s="246">
        <f>IFERROR(VLOOKUP(D366,PROGRAMAS[],2,FALSE),0)</f>
        <v>97037803.679377079</v>
      </c>
      <c r="S366" s="246">
        <f>IFERROR(VLOOKUP(E366,PROGRAMAS[],2,FALSE),0)</f>
        <v>640501509.6821388</v>
      </c>
      <c r="T366" s="246">
        <f>IFERROR(VLOOKUP(F366,PROGRAMAS[],2,FALSE),0)</f>
        <v>3062327798.1525245</v>
      </c>
      <c r="U366" s="246">
        <f>IFERROR(VLOOKUP(G366,PROGRAMAS[],2,FALSE),0)</f>
        <v>1440941976.2528784</v>
      </c>
      <c r="V366" s="246">
        <f>IFERROR(VLOOKUP(H366,PROGRAMAS[],2,FALSE),0)</f>
        <v>6907648435.8447599</v>
      </c>
      <c r="W366" s="246">
        <f>IFERROR(VLOOKUP(I366,PROGRAMAS[],2,FALSE),0)</f>
        <v>764796700.79905891</v>
      </c>
      <c r="X366" s="246">
        <f>IFERROR(VLOOKUP(J366,PROGRAMAS[],2,FALSE),0)</f>
        <v>3776538594.4604583</v>
      </c>
      <c r="Y366" s="246">
        <f>IFERROR(VLOOKUP(K366,PROGRAMAS[],2,FALSE),0)</f>
        <v>0</v>
      </c>
      <c r="Z366" s="246">
        <f>IFERROR(VLOOKUP(L366,PROGRAMAS[],2,FALSE),0)</f>
        <v>0</v>
      </c>
      <c r="AA366" s="246">
        <f>IFERROR(VLOOKUP(M366,PROGRAMAS[],2,FALSE),0)</f>
        <v>0</v>
      </c>
      <c r="AB366" s="246">
        <f>IFERROR(VLOOKUP(N366,PROGRAMAS[],2,FALSE),0)</f>
        <v>0</v>
      </c>
      <c r="AC366" s="246">
        <f>IFERROR(VLOOKUP(O366,PROGRAMAS[],2,FALSE),0)</f>
        <v>0</v>
      </c>
      <c r="AD366" s="246">
        <f>IFERROR(VLOOKUP(P366,PROGRAMAS[],2,FALSE),0)</f>
        <v>0</v>
      </c>
      <c r="AE366" s="246">
        <f>IFERROR(VLOOKUP(Q366,PROGRAMAS[],2,FALSE),0)</f>
        <v>0</v>
      </c>
      <c r="AF366" s="246">
        <f>IFERROR(VLOOKUP(D366,PROGRAMAS[],3,FALSE),0)</f>
        <v>841888629.31080008</v>
      </c>
      <c r="AG366" s="246">
        <f>IFERROR(VLOOKUP(E366,PROGRAMAS[],3,FALSE),0)</f>
        <v>3848980803.1642323</v>
      </c>
      <c r="AH366" s="246">
        <f>IFERROR(VLOOKUP(F366,PROGRAMAS[],3,FALSE),0)</f>
        <v>3394901471.387517</v>
      </c>
      <c r="AI366" s="246">
        <f>IFERROR(VLOOKUP(G366,PROGRAMAS[],3,FALSE),0)</f>
        <v>1233505101.0616004</v>
      </c>
      <c r="AJ366" s="246">
        <f>IFERROR(VLOOKUP(H366,PROGRAMAS[],3,FALSE),0)</f>
        <v>6129902208.7912121</v>
      </c>
      <c r="AK366" s="246">
        <f>IFERROR(VLOOKUP(I366,PROGRAMAS[],3,FALSE),0)</f>
        <v>675517840.109828</v>
      </c>
      <c r="AL366" s="246">
        <f>IFERROR(VLOOKUP(J366,PROGRAMAS[],3,FALSE),0)</f>
        <v>2392571243.5584412</v>
      </c>
      <c r="AM366" s="246">
        <f>IFERROR(VLOOKUP(K366,PROGRAMAS[],3,FALSE),0)</f>
        <v>0</v>
      </c>
      <c r="AN366" s="246">
        <f>IFERROR(VLOOKUP(L366,PROGRAMAS[],3,FALSE),0)</f>
        <v>0</v>
      </c>
      <c r="AO366" s="246">
        <f>IFERROR(VLOOKUP(M366,PROGRAMAS[],3,FALSE),0)</f>
        <v>0</v>
      </c>
      <c r="AP366" s="246">
        <f>IFERROR(VLOOKUP(N366,PROGRAMAS[],3,FALSE),0)</f>
        <v>0</v>
      </c>
      <c r="AQ366" s="246">
        <f>IFERROR(VLOOKUP(O366,PROGRAMAS[],3,FALSE),0)</f>
        <v>0</v>
      </c>
      <c r="AR366" s="246">
        <f>IFERROR(VLOOKUP(P366,PROGRAMAS[],3,FALSE),0)</f>
        <v>0</v>
      </c>
      <c r="AS366" s="246">
        <f>IFERROR(VLOOKUP(Q366,PROGRAMAS[],3,FALSE),0)</f>
        <v>0</v>
      </c>
      <c r="AT366" s="246">
        <f>IFERROR(VLOOKUP(D366,VOL_REC[],2,FALSE),0)</f>
        <v>0</v>
      </c>
      <c r="AU366" s="246">
        <f>IFERROR(VLOOKUP(E366,VOL_REC[],2,FALSE),0)</f>
        <v>0</v>
      </c>
      <c r="AV366" s="246">
        <f>IFERROR(VLOOKUP(F366,VOL_REC[],2,FALSE),0)</f>
        <v>11089674.200000001</v>
      </c>
      <c r="AW366" s="246">
        <f>IFERROR(VLOOKUP(G366,VOL_REC[],2,FALSE),0)</f>
        <v>4325103.1812214684</v>
      </c>
      <c r="AX366" s="246">
        <f>IFERROR(VLOOKUP(H366,VOL_REC[],2,FALSE),0)</f>
        <v>15540036.397699751</v>
      </c>
      <c r="AY366" s="246">
        <f>IFERROR(VLOOKUP(I366,VOL_REC[],2,FALSE),0)</f>
        <v>240696.79238099116</v>
      </c>
      <c r="AZ366" s="246">
        <f>IFERROR(VLOOKUP(J366,VOL_REC[],2,FALSE),0)</f>
        <v>663244.80000000016</v>
      </c>
      <c r="BA366" s="246">
        <f>IFERROR(VLOOKUP(K366,VOL_REC[],2,FALSE),0)</f>
        <v>0</v>
      </c>
      <c r="BB366" s="246">
        <f>IFERROR(VLOOKUP(L366,VOL_REC[],2,FALSE),0)</f>
        <v>0</v>
      </c>
      <c r="BC366" s="246">
        <f>IFERROR(VLOOKUP(M366,VOL_REC[],2,FALSE),0)</f>
        <v>0</v>
      </c>
      <c r="BD366" s="246">
        <f>IFERROR(VLOOKUP(N366,VOL_REC[],2,FALSE),0)</f>
        <v>0</v>
      </c>
      <c r="BE366" s="246">
        <f>IFERROR(VLOOKUP(O366,VOL_REC[],2,FALSE),0)</f>
        <v>0</v>
      </c>
      <c r="BF366" s="246">
        <f>IFERROR(VLOOKUP(P366,VOL_REC[],2,FALSE),0)</f>
        <v>0</v>
      </c>
      <c r="BG366" s="246">
        <f>IFERROR(VLOOKUP(Q366,VOL_REC[],2,FALSE),0)</f>
        <v>0</v>
      </c>
      <c r="BH366" s="1710">
        <f t="shared" si="20"/>
        <v>16689792818.871197</v>
      </c>
      <c r="BI366" s="1710">
        <f t="shared" si="21"/>
        <v>18517267297.383633</v>
      </c>
      <c r="BJ366" s="1711">
        <f t="shared" si="22"/>
        <v>31858755.371302214</v>
      </c>
      <c r="BK366" s="1711">
        <f t="shared" si="23"/>
        <v>0.90130971005799299</v>
      </c>
    </row>
    <row r="367" spans="3:67" x14ac:dyDescent="0.25">
      <c r="C367" s="246" t="s">
        <v>1717</v>
      </c>
      <c r="D367" s="246">
        <v>1</v>
      </c>
      <c r="E367" s="246">
        <v>2</v>
      </c>
      <c r="F367" s="246">
        <v>3</v>
      </c>
      <c r="G367" s="246">
        <v>5</v>
      </c>
      <c r="H367" s="246">
        <v>6</v>
      </c>
      <c r="I367" s="246">
        <v>12</v>
      </c>
      <c r="J367" s="246">
        <v>14</v>
      </c>
      <c r="K367" s="246"/>
      <c r="L367" s="246"/>
      <c r="M367" s="246"/>
      <c r="N367" s="246"/>
      <c r="O367" s="246"/>
      <c r="P367" s="246"/>
      <c r="Q367" s="246"/>
      <c r="R367" s="246">
        <f>IFERROR(VLOOKUP(D367,PROGRAMAS[],2,FALSE),0)</f>
        <v>97037803.679377079</v>
      </c>
      <c r="S367" s="246">
        <f>IFERROR(VLOOKUP(E367,PROGRAMAS[],2,FALSE),0)</f>
        <v>640501509.6821388</v>
      </c>
      <c r="T367" s="246">
        <f>IFERROR(VLOOKUP(F367,PROGRAMAS[],2,FALSE),0)</f>
        <v>3062327798.1525245</v>
      </c>
      <c r="U367" s="246">
        <f>IFERROR(VLOOKUP(G367,PROGRAMAS[],2,FALSE),0)</f>
        <v>1440941976.2528784</v>
      </c>
      <c r="V367" s="246">
        <f>IFERROR(VLOOKUP(H367,PROGRAMAS[],2,FALSE),0)</f>
        <v>6907648435.8447599</v>
      </c>
      <c r="W367" s="246">
        <f>IFERROR(VLOOKUP(I367,PROGRAMAS[],2,FALSE),0)</f>
        <v>764796700.79905891</v>
      </c>
      <c r="X367" s="246">
        <f>IFERROR(VLOOKUP(J367,PROGRAMAS[],2,FALSE),0)</f>
        <v>54223862.645839565</v>
      </c>
      <c r="Y367" s="246">
        <f>IFERROR(VLOOKUP(K367,PROGRAMAS[],2,FALSE),0)</f>
        <v>0</v>
      </c>
      <c r="Z367" s="246">
        <f>IFERROR(VLOOKUP(L367,PROGRAMAS[],2,FALSE),0)</f>
        <v>0</v>
      </c>
      <c r="AA367" s="246">
        <f>IFERROR(VLOOKUP(M367,PROGRAMAS[],2,FALSE),0)</f>
        <v>0</v>
      </c>
      <c r="AB367" s="246">
        <f>IFERROR(VLOOKUP(N367,PROGRAMAS[],2,FALSE),0)</f>
        <v>0</v>
      </c>
      <c r="AC367" s="246">
        <f>IFERROR(VLOOKUP(O367,PROGRAMAS[],2,FALSE),0)</f>
        <v>0</v>
      </c>
      <c r="AD367" s="246">
        <f>IFERROR(VLOOKUP(P367,PROGRAMAS[],2,FALSE),0)</f>
        <v>0</v>
      </c>
      <c r="AE367" s="246">
        <f>IFERROR(VLOOKUP(Q367,PROGRAMAS[],2,FALSE),0)</f>
        <v>0</v>
      </c>
      <c r="AF367" s="246">
        <f>IFERROR(VLOOKUP(D367,PROGRAMAS[],3,FALSE),0)</f>
        <v>841888629.31080008</v>
      </c>
      <c r="AG367" s="246">
        <f>IFERROR(VLOOKUP(E367,PROGRAMAS[],3,FALSE),0)</f>
        <v>3848980803.1642323</v>
      </c>
      <c r="AH367" s="246">
        <f>IFERROR(VLOOKUP(F367,PROGRAMAS[],3,FALSE),0)</f>
        <v>3394901471.387517</v>
      </c>
      <c r="AI367" s="246">
        <f>IFERROR(VLOOKUP(G367,PROGRAMAS[],3,FALSE),0)</f>
        <v>1233505101.0616004</v>
      </c>
      <c r="AJ367" s="246">
        <f>IFERROR(VLOOKUP(H367,PROGRAMAS[],3,FALSE),0)</f>
        <v>6129902208.7912121</v>
      </c>
      <c r="AK367" s="246">
        <f>IFERROR(VLOOKUP(I367,PROGRAMAS[],3,FALSE),0)</f>
        <v>675517840.109828</v>
      </c>
      <c r="AL367" s="246">
        <f>IFERROR(VLOOKUP(J367,PROGRAMAS[],3,FALSE),0)</f>
        <v>31865326.38096505</v>
      </c>
      <c r="AM367" s="246">
        <f>IFERROR(VLOOKUP(K367,PROGRAMAS[],3,FALSE),0)</f>
        <v>0</v>
      </c>
      <c r="AN367" s="246">
        <f>IFERROR(VLOOKUP(L367,PROGRAMAS[],3,FALSE),0)</f>
        <v>0</v>
      </c>
      <c r="AO367" s="246">
        <f>IFERROR(VLOOKUP(M367,PROGRAMAS[],3,FALSE),0)</f>
        <v>0</v>
      </c>
      <c r="AP367" s="246">
        <f>IFERROR(VLOOKUP(N367,PROGRAMAS[],3,FALSE),0)</f>
        <v>0</v>
      </c>
      <c r="AQ367" s="246">
        <f>IFERROR(VLOOKUP(O367,PROGRAMAS[],3,FALSE),0)</f>
        <v>0</v>
      </c>
      <c r="AR367" s="246">
        <f>IFERROR(VLOOKUP(P367,PROGRAMAS[],3,FALSE),0)</f>
        <v>0</v>
      </c>
      <c r="AS367" s="246">
        <f>IFERROR(VLOOKUP(Q367,PROGRAMAS[],3,FALSE),0)</f>
        <v>0</v>
      </c>
      <c r="AT367" s="246">
        <f>IFERROR(VLOOKUP(D367,VOL_REC[],2,FALSE),0)</f>
        <v>0</v>
      </c>
      <c r="AU367" s="246">
        <f>IFERROR(VLOOKUP(E367,VOL_REC[],2,FALSE),0)</f>
        <v>0</v>
      </c>
      <c r="AV367" s="246">
        <f>IFERROR(VLOOKUP(F367,VOL_REC[],2,FALSE),0)</f>
        <v>11089674.200000001</v>
      </c>
      <c r="AW367" s="246">
        <f>IFERROR(VLOOKUP(G367,VOL_REC[],2,FALSE),0)</f>
        <v>4325103.1812214684</v>
      </c>
      <c r="AX367" s="246">
        <f>IFERROR(VLOOKUP(H367,VOL_REC[],2,FALSE),0)</f>
        <v>15540036.397699751</v>
      </c>
      <c r="AY367" s="246">
        <f>IFERROR(VLOOKUP(I367,VOL_REC[],2,FALSE),0)</f>
        <v>240696.79238099116</v>
      </c>
      <c r="AZ367" s="246">
        <f>IFERROR(VLOOKUP(J367,VOL_REC[],2,FALSE),0)</f>
        <v>17074.045034105649</v>
      </c>
      <c r="BA367" s="246">
        <f>IFERROR(VLOOKUP(K367,VOL_REC[],2,FALSE),0)</f>
        <v>0</v>
      </c>
      <c r="BB367" s="246">
        <f>IFERROR(VLOOKUP(L367,VOL_REC[],2,FALSE),0)</f>
        <v>0</v>
      </c>
      <c r="BC367" s="246">
        <f>IFERROR(VLOOKUP(M367,VOL_REC[],2,FALSE),0)</f>
        <v>0</v>
      </c>
      <c r="BD367" s="246">
        <f>IFERROR(VLOOKUP(N367,VOL_REC[],2,FALSE),0)</f>
        <v>0</v>
      </c>
      <c r="BE367" s="246">
        <f>IFERROR(VLOOKUP(O367,VOL_REC[],2,FALSE),0)</f>
        <v>0</v>
      </c>
      <c r="BF367" s="246">
        <f>IFERROR(VLOOKUP(P367,VOL_REC[],2,FALSE),0)</f>
        <v>0</v>
      </c>
      <c r="BG367" s="246">
        <f>IFERROR(VLOOKUP(Q367,VOL_REC[],2,FALSE),0)</f>
        <v>0</v>
      </c>
      <c r="BH367" s="1710">
        <f t="shared" si="20"/>
        <v>12967478087.056578</v>
      </c>
      <c r="BI367" s="1710">
        <f t="shared" si="21"/>
        <v>16156561380.206156</v>
      </c>
      <c r="BJ367" s="1711">
        <f t="shared" si="22"/>
        <v>31212584.61633632</v>
      </c>
      <c r="BK367" s="1711">
        <f t="shared" si="23"/>
        <v>0.80261373580045248</v>
      </c>
    </row>
    <row r="368" spans="3:67" x14ac:dyDescent="0.25">
      <c r="C368" s="246" t="s">
        <v>1718</v>
      </c>
      <c r="D368" s="246">
        <v>1</v>
      </c>
      <c r="E368" s="246">
        <v>2</v>
      </c>
      <c r="F368" s="246">
        <v>3</v>
      </c>
      <c r="G368" s="246">
        <v>5</v>
      </c>
      <c r="H368" s="246">
        <v>6</v>
      </c>
      <c r="I368" s="246">
        <v>12</v>
      </c>
      <c r="J368" s="246">
        <v>15</v>
      </c>
      <c r="K368" s="246"/>
      <c r="L368" s="246"/>
      <c r="M368" s="246"/>
      <c r="N368" s="246"/>
      <c r="O368" s="246"/>
      <c r="P368" s="246"/>
      <c r="Q368" s="246"/>
      <c r="R368" s="246">
        <f>IFERROR(VLOOKUP(D368,PROGRAMAS[],2,FALSE),0)</f>
        <v>97037803.679377079</v>
      </c>
      <c r="S368" s="246">
        <f>IFERROR(VLOOKUP(E368,PROGRAMAS[],2,FALSE),0)</f>
        <v>640501509.6821388</v>
      </c>
      <c r="T368" s="246">
        <f>IFERROR(VLOOKUP(F368,PROGRAMAS[],2,FALSE),0)</f>
        <v>3062327798.1525245</v>
      </c>
      <c r="U368" s="246">
        <f>IFERROR(VLOOKUP(G368,PROGRAMAS[],2,FALSE),0)</f>
        <v>1440941976.2528784</v>
      </c>
      <c r="V368" s="246">
        <f>IFERROR(VLOOKUP(H368,PROGRAMAS[],2,FALSE),0)</f>
        <v>6907648435.8447599</v>
      </c>
      <c r="W368" s="246">
        <f>IFERROR(VLOOKUP(I368,PROGRAMAS[],2,FALSE),0)</f>
        <v>764796700.79905891</v>
      </c>
      <c r="X368" s="246">
        <f>IFERROR(VLOOKUP(J368,PROGRAMAS[],2,FALSE),0)</f>
        <v>122159672.96346797</v>
      </c>
      <c r="Y368" s="246">
        <f>IFERROR(VLOOKUP(K368,PROGRAMAS[],2,FALSE),0)</f>
        <v>0</v>
      </c>
      <c r="Z368" s="246">
        <f>IFERROR(VLOOKUP(L368,PROGRAMAS[],2,FALSE),0)</f>
        <v>0</v>
      </c>
      <c r="AA368" s="246">
        <f>IFERROR(VLOOKUP(M368,PROGRAMAS[],2,FALSE),0)</f>
        <v>0</v>
      </c>
      <c r="AB368" s="246">
        <f>IFERROR(VLOOKUP(N368,PROGRAMAS[],2,FALSE),0)</f>
        <v>0</v>
      </c>
      <c r="AC368" s="246">
        <f>IFERROR(VLOOKUP(O368,PROGRAMAS[],2,FALSE),0)</f>
        <v>0</v>
      </c>
      <c r="AD368" s="246">
        <f>IFERROR(VLOOKUP(P368,PROGRAMAS[],2,FALSE),0)</f>
        <v>0</v>
      </c>
      <c r="AE368" s="246">
        <f>IFERROR(VLOOKUP(Q368,PROGRAMAS[],2,FALSE),0)</f>
        <v>0</v>
      </c>
      <c r="AF368" s="246">
        <f>IFERROR(VLOOKUP(D368,PROGRAMAS[],3,FALSE),0)</f>
        <v>841888629.31080008</v>
      </c>
      <c r="AG368" s="246">
        <f>IFERROR(VLOOKUP(E368,PROGRAMAS[],3,FALSE),0)</f>
        <v>3848980803.1642323</v>
      </c>
      <c r="AH368" s="246">
        <f>IFERROR(VLOOKUP(F368,PROGRAMAS[],3,FALSE),0)</f>
        <v>3394901471.387517</v>
      </c>
      <c r="AI368" s="246">
        <f>IFERROR(VLOOKUP(G368,PROGRAMAS[],3,FALSE),0)</f>
        <v>1233505101.0616004</v>
      </c>
      <c r="AJ368" s="246">
        <f>IFERROR(VLOOKUP(H368,PROGRAMAS[],3,FALSE),0)</f>
        <v>6129902208.7912121</v>
      </c>
      <c r="AK368" s="246">
        <f>IFERROR(VLOOKUP(I368,PROGRAMAS[],3,FALSE),0)</f>
        <v>675517840.109828</v>
      </c>
      <c r="AL368" s="246">
        <f>IFERROR(VLOOKUP(J368,PROGRAMAS[],3,FALSE),0)</f>
        <v>118617452.52510804</v>
      </c>
      <c r="AM368" s="246">
        <f>IFERROR(VLOOKUP(K368,PROGRAMAS[],3,FALSE),0)</f>
        <v>0</v>
      </c>
      <c r="AN368" s="246">
        <f>IFERROR(VLOOKUP(L368,PROGRAMAS[],3,FALSE),0)</f>
        <v>0</v>
      </c>
      <c r="AO368" s="246">
        <f>IFERROR(VLOOKUP(M368,PROGRAMAS[],3,FALSE),0)</f>
        <v>0</v>
      </c>
      <c r="AP368" s="246">
        <f>IFERROR(VLOOKUP(N368,PROGRAMAS[],3,FALSE),0)</f>
        <v>0</v>
      </c>
      <c r="AQ368" s="246">
        <f>IFERROR(VLOOKUP(O368,PROGRAMAS[],3,FALSE),0)</f>
        <v>0</v>
      </c>
      <c r="AR368" s="246">
        <f>IFERROR(VLOOKUP(P368,PROGRAMAS[],3,FALSE),0)</f>
        <v>0</v>
      </c>
      <c r="AS368" s="246">
        <f>IFERROR(VLOOKUP(Q368,PROGRAMAS[],3,FALSE),0)</f>
        <v>0</v>
      </c>
      <c r="AT368" s="246">
        <f>IFERROR(VLOOKUP(D368,VOL_REC[],2,FALSE),0)</f>
        <v>0</v>
      </c>
      <c r="AU368" s="246">
        <f>IFERROR(VLOOKUP(E368,VOL_REC[],2,FALSE),0)</f>
        <v>0</v>
      </c>
      <c r="AV368" s="246">
        <f>IFERROR(VLOOKUP(F368,VOL_REC[],2,FALSE),0)</f>
        <v>11089674.200000001</v>
      </c>
      <c r="AW368" s="246">
        <f>IFERROR(VLOOKUP(G368,VOL_REC[],2,FALSE),0)</f>
        <v>4325103.1812214684</v>
      </c>
      <c r="AX368" s="246">
        <f>IFERROR(VLOOKUP(H368,VOL_REC[],2,FALSE),0)</f>
        <v>15540036.397699751</v>
      </c>
      <c r="AY368" s="246">
        <f>IFERROR(VLOOKUP(I368,VOL_REC[],2,FALSE),0)</f>
        <v>240696.79238099116</v>
      </c>
      <c r="AZ368" s="246">
        <f>IFERROR(VLOOKUP(J368,VOL_REC[],2,FALSE),0)</f>
        <v>105072</v>
      </c>
      <c r="BA368" s="246">
        <f>IFERROR(VLOOKUP(K368,VOL_REC[],2,FALSE),0)</f>
        <v>0</v>
      </c>
      <c r="BB368" s="246">
        <f>IFERROR(VLOOKUP(L368,VOL_REC[],2,FALSE),0)</f>
        <v>0</v>
      </c>
      <c r="BC368" s="246">
        <f>IFERROR(VLOOKUP(M368,VOL_REC[],2,FALSE),0)</f>
        <v>0</v>
      </c>
      <c r="BD368" s="246">
        <f>IFERROR(VLOOKUP(N368,VOL_REC[],2,FALSE),0)</f>
        <v>0</v>
      </c>
      <c r="BE368" s="246">
        <f>IFERROR(VLOOKUP(O368,VOL_REC[],2,FALSE),0)</f>
        <v>0</v>
      </c>
      <c r="BF368" s="246">
        <f>IFERROR(VLOOKUP(P368,VOL_REC[],2,FALSE),0)</f>
        <v>0</v>
      </c>
      <c r="BG368" s="246">
        <f>IFERROR(VLOOKUP(Q368,VOL_REC[],2,FALSE),0)</f>
        <v>0</v>
      </c>
      <c r="BH368" s="1710">
        <f t="shared" si="20"/>
        <v>13035413897.374207</v>
      </c>
      <c r="BI368" s="1710">
        <f t="shared" si="21"/>
        <v>16243313506.3503</v>
      </c>
      <c r="BJ368" s="1711">
        <f t="shared" si="22"/>
        <v>31300582.571302213</v>
      </c>
      <c r="BK368" s="1711">
        <f t="shared" si="23"/>
        <v>0.80250953060027008</v>
      </c>
    </row>
    <row r="369" spans="3:67" x14ac:dyDescent="0.25">
      <c r="C369" s="246" t="s">
        <v>1719</v>
      </c>
      <c r="D369" s="246">
        <v>1</v>
      </c>
      <c r="E369" s="246">
        <v>2</v>
      </c>
      <c r="F369" s="246">
        <v>3</v>
      </c>
      <c r="G369" s="246">
        <v>5</v>
      </c>
      <c r="H369" s="246">
        <v>6</v>
      </c>
      <c r="I369" s="246">
        <v>12</v>
      </c>
      <c r="J369" s="246">
        <v>16</v>
      </c>
      <c r="K369" s="246"/>
      <c r="L369" s="246"/>
      <c r="M369" s="246"/>
      <c r="N369" s="246"/>
      <c r="O369" s="246"/>
      <c r="P369" s="246"/>
      <c r="Q369" s="246"/>
      <c r="R369" s="246">
        <f>IFERROR(VLOOKUP(D369,PROGRAMAS[],2,FALSE),0)</f>
        <v>97037803.679377079</v>
      </c>
      <c r="S369" s="246">
        <f>IFERROR(VLOOKUP(E369,PROGRAMAS[],2,FALSE),0)</f>
        <v>640501509.6821388</v>
      </c>
      <c r="T369" s="246">
        <f>IFERROR(VLOOKUP(F369,PROGRAMAS[],2,FALSE),0)</f>
        <v>3062327798.1525245</v>
      </c>
      <c r="U369" s="246">
        <f>IFERROR(VLOOKUP(G369,PROGRAMAS[],2,FALSE),0)</f>
        <v>1440941976.2528784</v>
      </c>
      <c r="V369" s="246">
        <f>IFERROR(VLOOKUP(H369,PROGRAMAS[],2,FALSE),0)</f>
        <v>6907648435.8447599</v>
      </c>
      <c r="W369" s="246">
        <f>IFERROR(VLOOKUP(I369,PROGRAMAS[],2,FALSE),0)</f>
        <v>764796700.79905891</v>
      </c>
      <c r="X369" s="246">
        <f>IFERROR(VLOOKUP(J369,PROGRAMAS[],2,FALSE),0)</f>
        <v>7068496961.0436354</v>
      </c>
      <c r="Y369" s="246">
        <f>IFERROR(VLOOKUP(K369,PROGRAMAS[],2,FALSE),0)</f>
        <v>0</v>
      </c>
      <c r="Z369" s="246">
        <f>IFERROR(VLOOKUP(L369,PROGRAMAS[],2,FALSE),0)</f>
        <v>0</v>
      </c>
      <c r="AA369" s="246">
        <f>IFERROR(VLOOKUP(M369,PROGRAMAS[],2,FALSE),0)</f>
        <v>0</v>
      </c>
      <c r="AB369" s="246">
        <f>IFERROR(VLOOKUP(N369,PROGRAMAS[],2,FALSE),0)</f>
        <v>0</v>
      </c>
      <c r="AC369" s="246">
        <f>IFERROR(VLOOKUP(O369,PROGRAMAS[],2,FALSE),0)</f>
        <v>0</v>
      </c>
      <c r="AD369" s="246">
        <f>IFERROR(VLOOKUP(P369,PROGRAMAS[],2,FALSE),0)</f>
        <v>0</v>
      </c>
      <c r="AE369" s="246">
        <f>IFERROR(VLOOKUP(Q369,PROGRAMAS[],2,FALSE),0)</f>
        <v>0</v>
      </c>
      <c r="AF369" s="246">
        <f>IFERROR(VLOOKUP(D369,PROGRAMAS[],3,FALSE),0)</f>
        <v>841888629.31080008</v>
      </c>
      <c r="AG369" s="246">
        <f>IFERROR(VLOOKUP(E369,PROGRAMAS[],3,FALSE),0)</f>
        <v>3848980803.1642323</v>
      </c>
      <c r="AH369" s="246">
        <f>IFERROR(VLOOKUP(F369,PROGRAMAS[],3,FALSE),0)</f>
        <v>3394901471.387517</v>
      </c>
      <c r="AI369" s="246">
        <f>IFERROR(VLOOKUP(G369,PROGRAMAS[],3,FALSE),0)</f>
        <v>1233505101.0616004</v>
      </c>
      <c r="AJ369" s="246">
        <f>IFERROR(VLOOKUP(H369,PROGRAMAS[],3,FALSE),0)</f>
        <v>6129902208.7912121</v>
      </c>
      <c r="AK369" s="246">
        <f>IFERROR(VLOOKUP(I369,PROGRAMAS[],3,FALSE),0)</f>
        <v>675517840.109828</v>
      </c>
      <c r="AL369" s="246">
        <f>IFERROR(VLOOKUP(J369,PROGRAMAS[],3,FALSE),0)</f>
        <v>2406564599.0319901</v>
      </c>
      <c r="AM369" s="246">
        <f>IFERROR(VLOOKUP(K369,PROGRAMAS[],3,FALSE),0)</f>
        <v>0</v>
      </c>
      <c r="AN369" s="246">
        <f>IFERROR(VLOOKUP(L369,PROGRAMAS[],3,FALSE),0)</f>
        <v>0</v>
      </c>
      <c r="AO369" s="246">
        <f>IFERROR(VLOOKUP(M369,PROGRAMAS[],3,FALSE),0)</f>
        <v>0</v>
      </c>
      <c r="AP369" s="246">
        <f>IFERROR(VLOOKUP(N369,PROGRAMAS[],3,FALSE),0)</f>
        <v>0</v>
      </c>
      <c r="AQ369" s="246">
        <f>IFERROR(VLOOKUP(O369,PROGRAMAS[],3,FALSE),0)</f>
        <v>0</v>
      </c>
      <c r="AR369" s="246">
        <f>IFERROR(VLOOKUP(P369,PROGRAMAS[],3,FALSE),0)</f>
        <v>0</v>
      </c>
      <c r="AS369" s="246">
        <f>IFERROR(VLOOKUP(Q369,PROGRAMAS[],3,FALSE),0)</f>
        <v>0</v>
      </c>
      <c r="AT369" s="246">
        <f>IFERROR(VLOOKUP(D369,VOL_REC[],2,FALSE),0)</f>
        <v>0</v>
      </c>
      <c r="AU369" s="246">
        <f>IFERROR(VLOOKUP(E369,VOL_REC[],2,FALSE),0)</f>
        <v>0</v>
      </c>
      <c r="AV369" s="246">
        <f>IFERROR(VLOOKUP(F369,VOL_REC[],2,FALSE),0)</f>
        <v>11089674.200000001</v>
      </c>
      <c r="AW369" s="246">
        <f>IFERROR(VLOOKUP(G369,VOL_REC[],2,FALSE),0)</f>
        <v>4325103.1812214684</v>
      </c>
      <c r="AX369" s="246">
        <f>IFERROR(VLOOKUP(H369,VOL_REC[],2,FALSE),0)</f>
        <v>15540036.397699751</v>
      </c>
      <c r="AY369" s="246">
        <f>IFERROR(VLOOKUP(I369,VOL_REC[],2,FALSE),0)</f>
        <v>240696.79238099116</v>
      </c>
      <c r="AZ369" s="246">
        <f>IFERROR(VLOOKUP(J369,VOL_REC[],2,FALSE),0)</f>
        <v>1072354.9981737854</v>
      </c>
      <c r="BA369" s="246">
        <f>IFERROR(VLOOKUP(K369,VOL_REC[],2,FALSE),0)</f>
        <v>0</v>
      </c>
      <c r="BB369" s="246">
        <f>IFERROR(VLOOKUP(L369,VOL_REC[],2,FALSE),0)</f>
        <v>0</v>
      </c>
      <c r="BC369" s="246">
        <f>IFERROR(VLOOKUP(M369,VOL_REC[],2,FALSE),0)</f>
        <v>0</v>
      </c>
      <c r="BD369" s="246">
        <f>IFERROR(VLOOKUP(N369,VOL_REC[],2,FALSE),0)</f>
        <v>0</v>
      </c>
      <c r="BE369" s="246">
        <f>IFERROR(VLOOKUP(O369,VOL_REC[],2,FALSE),0)</f>
        <v>0</v>
      </c>
      <c r="BF369" s="246">
        <f>IFERROR(VLOOKUP(P369,VOL_REC[],2,FALSE),0)</f>
        <v>0</v>
      </c>
      <c r="BG369" s="246">
        <f>IFERROR(VLOOKUP(Q369,VOL_REC[],2,FALSE),0)</f>
        <v>0</v>
      </c>
      <c r="BH369" s="1710">
        <f t="shared" si="20"/>
        <v>19981751185.454372</v>
      </c>
      <c r="BI369" s="1710">
        <f t="shared" si="21"/>
        <v>18531260652.857182</v>
      </c>
      <c r="BJ369" s="1711">
        <f t="shared" si="22"/>
        <v>32267865.569475997</v>
      </c>
      <c r="BK369" s="1711">
        <f t="shared" si="23"/>
        <v>1.0782726312995632</v>
      </c>
      <c r="BL369">
        <f>BJ369</f>
        <v>32267865.569475997</v>
      </c>
      <c r="BO369">
        <f>BL369</f>
        <v>32267865.569475997</v>
      </c>
    </row>
    <row r="370" spans="3:67" x14ac:dyDescent="0.25">
      <c r="C370" s="246" t="s">
        <v>1720</v>
      </c>
      <c r="D370" s="246">
        <v>1</v>
      </c>
      <c r="E370" s="246">
        <v>2</v>
      </c>
      <c r="F370" s="246">
        <v>3</v>
      </c>
      <c r="G370" s="246">
        <v>5</v>
      </c>
      <c r="H370" s="246">
        <v>6</v>
      </c>
      <c r="I370" s="246">
        <v>12</v>
      </c>
      <c r="J370" s="246">
        <v>17</v>
      </c>
      <c r="K370" s="246"/>
      <c r="L370" s="246"/>
      <c r="M370" s="246"/>
      <c r="N370" s="246"/>
      <c r="O370" s="246"/>
      <c r="P370" s="246"/>
      <c r="Q370" s="246"/>
      <c r="R370" s="246">
        <f>IFERROR(VLOOKUP(D370,PROGRAMAS[],2,FALSE),0)</f>
        <v>97037803.679377079</v>
      </c>
      <c r="S370" s="246">
        <f>IFERROR(VLOOKUP(E370,PROGRAMAS[],2,FALSE),0)</f>
        <v>640501509.6821388</v>
      </c>
      <c r="T370" s="246">
        <f>IFERROR(VLOOKUP(F370,PROGRAMAS[],2,FALSE),0)</f>
        <v>3062327798.1525245</v>
      </c>
      <c r="U370" s="246">
        <f>IFERROR(VLOOKUP(G370,PROGRAMAS[],2,FALSE),0)</f>
        <v>1440941976.2528784</v>
      </c>
      <c r="V370" s="246">
        <f>IFERROR(VLOOKUP(H370,PROGRAMAS[],2,FALSE),0)</f>
        <v>6907648435.8447599</v>
      </c>
      <c r="W370" s="246">
        <f>IFERROR(VLOOKUP(I370,PROGRAMAS[],2,FALSE),0)</f>
        <v>764796700.79905891</v>
      </c>
      <c r="X370" s="246">
        <f>IFERROR(VLOOKUP(J370,PROGRAMAS[],2,FALSE),0)</f>
        <v>1892779498.5211046</v>
      </c>
      <c r="Y370" s="246">
        <f>IFERROR(VLOOKUP(K370,PROGRAMAS[],2,FALSE),0)</f>
        <v>0</v>
      </c>
      <c r="Z370" s="246">
        <f>IFERROR(VLOOKUP(L370,PROGRAMAS[],2,FALSE),0)</f>
        <v>0</v>
      </c>
      <c r="AA370" s="246">
        <f>IFERROR(VLOOKUP(M370,PROGRAMAS[],2,FALSE),0)</f>
        <v>0</v>
      </c>
      <c r="AB370" s="246">
        <f>IFERROR(VLOOKUP(N370,PROGRAMAS[],2,FALSE),0)</f>
        <v>0</v>
      </c>
      <c r="AC370" s="246">
        <f>IFERROR(VLOOKUP(O370,PROGRAMAS[],2,FALSE),0)</f>
        <v>0</v>
      </c>
      <c r="AD370" s="246">
        <f>IFERROR(VLOOKUP(P370,PROGRAMAS[],2,FALSE),0)</f>
        <v>0</v>
      </c>
      <c r="AE370" s="246">
        <f>IFERROR(VLOOKUP(Q370,PROGRAMAS[],2,FALSE),0)</f>
        <v>0</v>
      </c>
      <c r="AF370" s="246">
        <f>IFERROR(VLOOKUP(D370,PROGRAMAS[],3,FALSE),0)</f>
        <v>841888629.31080008</v>
      </c>
      <c r="AG370" s="246">
        <f>IFERROR(VLOOKUP(E370,PROGRAMAS[],3,FALSE),0)</f>
        <v>3848980803.1642323</v>
      </c>
      <c r="AH370" s="246">
        <f>IFERROR(VLOOKUP(F370,PROGRAMAS[],3,FALSE),0)</f>
        <v>3394901471.387517</v>
      </c>
      <c r="AI370" s="246">
        <f>IFERROR(VLOOKUP(G370,PROGRAMAS[],3,FALSE),0)</f>
        <v>1233505101.0616004</v>
      </c>
      <c r="AJ370" s="246">
        <f>IFERROR(VLOOKUP(H370,PROGRAMAS[],3,FALSE),0)</f>
        <v>6129902208.7912121</v>
      </c>
      <c r="AK370" s="246">
        <f>IFERROR(VLOOKUP(I370,PROGRAMAS[],3,FALSE),0)</f>
        <v>675517840.109828</v>
      </c>
      <c r="AL370" s="246">
        <f>IFERROR(VLOOKUP(J370,PROGRAMAS[],3,FALSE),0)</f>
        <v>948595847.09039903</v>
      </c>
      <c r="AM370" s="246">
        <f>IFERROR(VLOOKUP(K370,PROGRAMAS[],3,FALSE),0)</f>
        <v>0</v>
      </c>
      <c r="AN370" s="246">
        <f>IFERROR(VLOOKUP(L370,PROGRAMAS[],3,FALSE),0)</f>
        <v>0</v>
      </c>
      <c r="AO370" s="246">
        <f>IFERROR(VLOOKUP(M370,PROGRAMAS[],3,FALSE),0)</f>
        <v>0</v>
      </c>
      <c r="AP370" s="246">
        <f>IFERROR(VLOOKUP(N370,PROGRAMAS[],3,FALSE),0)</f>
        <v>0</v>
      </c>
      <c r="AQ370" s="246">
        <f>IFERROR(VLOOKUP(O370,PROGRAMAS[],3,FALSE),0)</f>
        <v>0</v>
      </c>
      <c r="AR370" s="246">
        <f>IFERROR(VLOOKUP(P370,PROGRAMAS[],3,FALSE),0)</f>
        <v>0</v>
      </c>
      <c r="AS370" s="246">
        <f>IFERROR(VLOOKUP(Q370,PROGRAMAS[],3,FALSE),0)</f>
        <v>0</v>
      </c>
      <c r="AT370" s="246">
        <f>IFERROR(VLOOKUP(D370,VOL_REC[],2,FALSE),0)</f>
        <v>0</v>
      </c>
      <c r="AU370" s="246">
        <f>IFERROR(VLOOKUP(E370,VOL_REC[],2,FALSE),0)</f>
        <v>0</v>
      </c>
      <c r="AV370" s="246">
        <f>IFERROR(VLOOKUP(F370,VOL_REC[],2,FALSE),0)</f>
        <v>11089674.200000001</v>
      </c>
      <c r="AW370" s="246">
        <f>IFERROR(VLOOKUP(G370,VOL_REC[],2,FALSE),0)</f>
        <v>4325103.1812214684</v>
      </c>
      <c r="AX370" s="246">
        <f>IFERROR(VLOOKUP(H370,VOL_REC[],2,FALSE),0)</f>
        <v>15540036.397699751</v>
      </c>
      <c r="AY370" s="246">
        <f>IFERROR(VLOOKUP(I370,VOL_REC[],2,FALSE),0)</f>
        <v>240696.79238099116</v>
      </c>
      <c r="AZ370" s="246">
        <f>IFERROR(VLOOKUP(J370,VOL_REC[],2,FALSE),0)</f>
        <v>740113.98115702497</v>
      </c>
      <c r="BA370" s="246">
        <f>IFERROR(VLOOKUP(K370,VOL_REC[],2,FALSE),0)</f>
        <v>0</v>
      </c>
      <c r="BB370" s="246">
        <f>IFERROR(VLOOKUP(L370,VOL_REC[],2,FALSE),0)</f>
        <v>0</v>
      </c>
      <c r="BC370" s="246">
        <f>IFERROR(VLOOKUP(M370,VOL_REC[],2,FALSE),0)</f>
        <v>0</v>
      </c>
      <c r="BD370" s="246">
        <f>IFERROR(VLOOKUP(N370,VOL_REC[],2,FALSE),0)</f>
        <v>0</v>
      </c>
      <c r="BE370" s="246">
        <f>IFERROR(VLOOKUP(O370,VOL_REC[],2,FALSE),0)</f>
        <v>0</v>
      </c>
      <c r="BF370" s="246">
        <f>IFERROR(VLOOKUP(P370,VOL_REC[],2,FALSE),0)</f>
        <v>0</v>
      </c>
      <c r="BG370" s="246">
        <f>IFERROR(VLOOKUP(Q370,VOL_REC[],2,FALSE),0)</f>
        <v>0</v>
      </c>
      <c r="BH370" s="1710">
        <f t="shared" si="20"/>
        <v>14806033722.931843</v>
      </c>
      <c r="BI370" s="1710">
        <f t="shared" si="21"/>
        <v>17073291900.91559</v>
      </c>
      <c r="BJ370" s="1711">
        <f t="shared" si="22"/>
        <v>31935624.552459236</v>
      </c>
      <c r="BK370" s="1711">
        <f t="shared" si="23"/>
        <v>0.86720439203278887</v>
      </c>
    </row>
    <row r="371" spans="3:67" x14ac:dyDescent="0.25">
      <c r="C371" s="246" t="s">
        <v>1721</v>
      </c>
      <c r="D371" s="246">
        <v>1</v>
      </c>
      <c r="E371" s="246">
        <v>2</v>
      </c>
      <c r="F371" s="246">
        <v>3</v>
      </c>
      <c r="G371" s="246">
        <v>5</v>
      </c>
      <c r="H371" s="246">
        <v>6</v>
      </c>
      <c r="I371" s="246">
        <v>13</v>
      </c>
      <c r="J371" s="246">
        <v>14</v>
      </c>
      <c r="K371" s="246"/>
      <c r="L371" s="246"/>
      <c r="M371" s="246"/>
      <c r="N371" s="246"/>
      <c r="O371" s="246"/>
      <c r="P371" s="246"/>
      <c r="Q371" s="246"/>
      <c r="R371" s="246">
        <f>IFERROR(VLOOKUP(D371,PROGRAMAS[],2,FALSE),0)</f>
        <v>97037803.679377079</v>
      </c>
      <c r="S371" s="246">
        <f>IFERROR(VLOOKUP(E371,PROGRAMAS[],2,FALSE),0)</f>
        <v>640501509.6821388</v>
      </c>
      <c r="T371" s="246">
        <f>IFERROR(VLOOKUP(F371,PROGRAMAS[],2,FALSE),0)</f>
        <v>3062327798.1525245</v>
      </c>
      <c r="U371" s="246">
        <f>IFERROR(VLOOKUP(G371,PROGRAMAS[],2,FALSE),0)</f>
        <v>1440941976.2528784</v>
      </c>
      <c r="V371" s="246">
        <f>IFERROR(VLOOKUP(H371,PROGRAMAS[],2,FALSE),0)</f>
        <v>6907648435.8447599</v>
      </c>
      <c r="W371" s="246">
        <f>IFERROR(VLOOKUP(I371,PROGRAMAS[],2,FALSE),0)</f>
        <v>3776538594.4604583</v>
      </c>
      <c r="X371" s="246">
        <f>IFERROR(VLOOKUP(J371,PROGRAMAS[],2,FALSE),0)</f>
        <v>54223862.645839565</v>
      </c>
      <c r="Y371" s="246">
        <f>IFERROR(VLOOKUP(K371,PROGRAMAS[],2,FALSE),0)</f>
        <v>0</v>
      </c>
      <c r="Z371" s="246">
        <f>IFERROR(VLOOKUP(L371,PROGRAMAS[],2,FALSE),0)</f>
        <v>0</v>
      </c>
      <c r="AA371" s="246">
        <f>IFERROR(VLOOKUP(M371,PROGRAMAS[],2,FALSE),0)</f>
        <v>0</v>
      </c>
      <c r="AB371" s="246">
        <f>IFERROR(VLOOKUP(N371,PROGRAMAS[],2,FALSE),0)</f>
        <v>0</v>
      </c>
      <c r="AC371" s="246">
        <f>IFERROR(VLOOKUP(O371,PROGRAMAS[],2,FALSE),0)</f>
        <v>0</v>
      </c>
      <c r="AD371" s="246">
        <f>IFERROR(VLOOKUP(P371,PROGRAMAS[],2,FALSE),0)</f>
        <v>0</v>
      </c>
      <c r="AE371" s="246">
        <f>IFERROR(VLOOKUP(Q371,PROGRAMAS[],2,FALSE),0)</f>
        <v>0</v>
      </c>
      <c r="AF371" s="246">
        <f>IFERROR(VLOOKUP(D371,PROGRAMAS[],3,FALSE),0)</f>
        <v>841888629.31080008</v>
      </c>
      <c r="AG371" s="246">
        <f>IFERROR(VLOOKUP(E371,PROGRAMAS[],3,FALSE),0)</f>
        <v>3848980803.1642323</v>
      </c>
      <c r="AH371" s="246">
        <f>IFERROR(VLOOKUP(F371,PROGRAMAS[],3,FALSE),0)</f>
        <v>3394901471.387517</v>
      </c>
      <c r="AI371" s="246">
        <f>IFERROR(VLOOKUP(G371,PROGRAMAS[],3,FALSE),0)</f>
        <v>1233505101.0616004</v>
      </c>
      <c r="AJ371" s="246">
        <f>IFERROR(VLOOKUP(H371,PROGRAMAS[],3,FALSE),0)</f>
        <v>6129902208.7912121</v>
      </c>
      <c r="AK371" s="246">
        <f>IFERROR(VLOOKUP(I371,PROGRAMAS[],3,FALSE),0)</f>
        <v>2392571243.5584412</v>
      </c>
      <c r="AL371" s="246">
        <f>IFERROR(VLOOKUP(J371,PROGRAMAS[],3,FALSE),0)</f>
        <v>31865326.38096505</v>
      </c>
      <c r="AM371" s="246">
        <f>IFERROR(VLOOKUP(K371,PROGRAMAS[],3,FALSE),0)</f>
        <v>0</v>
      </c>
      <c r="AN371" s="246">
        <f>IFERROR(VLOOKUP(L371,PROGRAMAS[],3,FALSE),0)</f>
        <v>0</v>
      </c>
      <c r="AO371" s="246">
        <f>IFERROR(VLOOKUP(M371,PROGRAMAS[],3,FALSE),0)</f>
        <v>0</v>
      </c>
      <c r="AP371" s="246">
        <f>IFERROR(VLOOKUP(N371,PROGRAMAS[],3,FALSE),0)</f>
        <v>0</v>
      </c>
      <c r="AQ371" s="246">
        <f>IFERROR(VLOOKUP(O371,PROGRAMAS[],3,FALSE),0)</f>
        <v>0</v>
      </c>
      <c r="AR371" s="246">
        <f>IFERROR(VLOOKUP(P371,PROGRAMAS[],3,FALSE),0)</f>
        <v>0</v>
      </c>
      <c r="AS371" s="246">
        <f>IFERROR(VLOOKUP(Q371,PROGRAMAS[],3,FALSE),0)</f>
        <v>0</v>
      </c>
      <c r="AT371" s="246">
        <f>IFERROR(VLOOKUP(D371,VOL_REC[],2,FALSE),0)</f>
        <v>0</v>
      </c>
      <c r="AU371" s="246">
        <f>IFERROR(VLOOKUP(E371,VOL_REC[],2,FALSE),0)</f>
        <v>0</v>
      </c>
      <c r="AV371" s="246">
        <f>IFERROR(VLOOKUP(F371,VOL_REC[],2,FALSE),0)</f>
        <v>11089674.200000001</v>
      </c>
      <c r="AW371" s="246">
        <f>IFERROR(VLOOKUP(G371,VOL_REC[],2,FALSE),0)</f>
        <v>4325103.1812214684</v>
      </c>
      <c r="AX371" s="246">
        <f>IFERROR(VLOOKUP(H371,VOL_REC[],2,FALSE),0)</f>
        <v>15540036.397699751</v>
      </c>
      <c r="AY371" s="246">
        <f>IFERROR(VLOOKUP(I371,VOL_REC[],2,FALSE),0)</f>
        <v>663244.80000000016</v>
      </c>
      <c r="AZ371" s="246">
        <f>IFERROR(VLOOKUP(J371,VOL_REC[],2,FALSE),0)</f>
        <v>17074.045034105649</v>
      </c>
      <c r="BA371" s="246">
        <f>IFERROR(VLOOKUP(K371,VOL_REC[],2,FALSE),0)</f>
        <v>0</v>
      </c>
      <c r="BB371" s="246">
        <f>IFERROR(VLOOKUP(L371,VOL_REC[],2,FALSE),0)</f>
        <v>0</v>
      </c>
      <c r="BC371" s="246">
        <f>IFERROR(VLOOKUP(M371,VOL_REC[],2,FALSE),0)</f>
        <v>0</v>
      </c>
      <c r="BD371" s="246">
        <f>IFERROR(VLOOKUP(N371,VOL_REC[],2,FALSE),0)</f>
        <v>0</v>
      </c>
      <c r="BE371" s="246">
        <f>IFERROR(VLOOKUP(O371,VOL_REC[],2,FALSE),0)</f>
        <v>0</v>
      </c>
      <c r="BF371" s="246">
        <f>IFERROR(VLOOKUP(P371,VOL_REC[],2,FALSE),0)</f>
        <v>0</v>
      </c>
      <c r="BG371" s="246">
        <f>IFERROR(VLOOKUP(Q371,VOL_REC[],2,FALSE),0)</f>
        <v>0</v>
      </c>
      <c r="BH371" s="1710">
        <f t="shared" si="20"/>
        <v>15979219980.717978</v>
      </c>
      <c r="BI371" s="1710">
        <f t="shared" si="21"/>
        <v>17873614783.65477</v>
      </c>
      <c r="BJ371" s="1711">
        <f t="shared" si="22"/>
        <v>31635132.623955328</v>
      </c>
      <c r="BK371" s="1711">
        <f t="shared" si="23"/>
        <v>0.89401165763798396</v>
      </c>
    </row>
    <row r="372" spans="3:67" x14ac:dyDescent="0.25">
      <c r="C372" s="246" t="s">
        <v>1722</v>
      </c>
      <c r="D372" s="246">
        <v>1</v>
      </c>
      <c r="E372" s="246">
        <v>2</v>
      </c>
      <c r="F372" s="246">
        <v>3</v>
      </c>
      <c r="G372" s="246">
        <v>5</v>
      </c>
      <c r="H372" s="246">
        <v>6</v>
      </c>
      <c r="I372" s="246">
        <v>13</v>
      </c>
      <c r="J372" s="246">
        <v>15</v>
      </c>
      <c r="K372" s="246"/>
      <c r="L372" s="246"/>
      <c r="M372" s="246"/>
      <c r="N372" s="246"/>
      <c r="O372" s="246"/>
      <c r="P372" s="246"/>
      <c r="Q372" s="246"/>
      <c r="R372" s="246">
        <f>IFERROR(VLOOKUP(D372,PROGRAMAS[],2,FALSE),0)</f>
        <v>97037803.679377079</v>
      </c>
      <c r="S372" s="246">
        <f>IFERROR(VLOOKUP(E372,PROGRAMAS[],2,FALSE),0)</f>
        <v>640501509.6821388</v>
      </c>
      <c r="T372" s="246">
        <f>IFERROR(VLOOKUP(F372,PROGRAMAS[],2,FALSE),0)</f>
        <v>3062327798.1525245</v>
      </c>
      <c r="U372" s="246">
        <f>IFERROR(VLOOKUP(G372,PROGRAMAS[],2,FALSE),0)</f>
        <v>1440941976.2528784</v>
      </c>
      <c r="V372" s="246">
        <f>IFERROR(VLOOKUP(H372,PROGRAMAS[],2,FALSE),0)</f>
        <v>6907648435.8447599</v>
      </c>
      <c r="W372" s="246">
        <f>IFERROR(VLOOKUP(I372,PROGRAMAS[],2,FALSE),0)</f>
        <v>3776538594.4604583</v>
      </c>
      <c r="X372" s="246">
        <f>IFERROR(VLOOKUP(J372,PROGRAMAS[],2,FALSE),0)</f>
        <v>122159672.96346797</v>
      </c>
      <c r="Y372" s="246">
        <f>IFERROR(VLOOKUP(K372,PROGRAMAS[],2,FALSE),0)</f>
        <v>0</v>
      </c>
      <c r="Z372" s="246">
        <f>IFERROR(VLOOKUP(L372,PROGRAMAS[],2,FALSE),0)</f>
        <v>0</v>
      </c>
      <c r="AA372" s="246">
        <f>IFERROR(VLOOKUP(M372,PROGRAMAS[],2,FALSE),0)</f>
        <v>0</v>
      </c>
      <c r="AB372" s="246">
        <f>IFERROR(VLOOKUP(N372,PROGRAMAS[],2,FALSE),0)</f>
        <v>0</v>
      </c>
      <c r="AC372" s="246">
        <f>IFERROR(VLOOKUP(O372,PROGRAMAS[],2,FALSE),0)</f>
        <v>0</v>
      </c>
      <c r="AD372" s="246">
        <f>IFERROR(VLOOKUP(P372,PROGRAMAS[],2,FALSE),0)</f>
        <v>0</v>
      </c>
      <c r="AE372" s="246">
        <f>IFERROR(VLOOKUP(Q372,PROGRAMAS[],2,FALSE),0)</f>
        <v>0</v>
      </c>
      <c r="AF372" s="246">
        <f>IFERROR(VLOOKUP(D372,PROGRAMAS[],3,FALSE),0)</f>
        <v>841888629.31080008</v>
      </c>
      <c r="AG372" s="246">
        <f>IFERROR(VLOOKUP(E372,PROGRAMAS[],3,FALSE),0)</f>
        <v>3848980803.1642323</v>
      </c>
      <c r="AH372" s="246">
        <f>IFERROR(VLOOKUP(F372,PROGRAMAS[],3,FALSE),0)</f>
        <v>3394901471.387517</v>
      </c>
      <c r="AI372" s="246">
        <f>IFERROR(VLOOKUP(G372,PROGRAMAS[],3,FALSE),0)</f>
        <v>1233505101.0616004</v>
      </c>
      <c r="AJ372" s="246">
        <f>IFERROR(VLOOKUP(H372,PROGRAMAS[],3,FALSE),0)</f>
        <v>6129902208.7912121</v>
      </c>
      <c r="AK372" s="246">
        <f>IFERROR(VLOOKUP(I372,PROGRAMAS[],3,FALSE),0)</f>
        <v>2392571243.5584412</v>
      </c>
      <c r="AL372" s="246">
        <f>IFERROR(VLOOKUP(J372,PROGRAMAS[],3,FALSE),0)</f>
        <v>118617452.52510804</v>
      </c>
      <c r="AM372" s="246">
        <f>IFERROR(VLOOKUP(K372,PROGRAMAS[],3,FALSE),0)</f>
        <v>0</v>
      </c>
      <c r="AN372" s="246">
        <f>IFERROR(VLOOKUP(L372,PROGRAMAS[],3,FALSE),0)</f>
        <v>0</v>
      </c>
      <c r="AO372" s="246">
        <f>IFERROR(VLOOKUP(M372,PROGRAMAS[],3,FALSE),0)</f>
        <v>0</v>
      </c>
      <c r="AP372" s="246">
        <f>IFERROR(VLOOKUP(N372,PROGRAMAS[],3,FALSE),0)</f>
        <v>0</v>
      </c>
      <c r="AQ372" s="246">
        <f>IFERROR(VLOOKUP(O372,PROGRAMAS[],3,FALSE),0)</f>
        <v>0</v>
      </c>
      <c r="AR372" s="246">
        <f>IFERROR(VLOOKUP(P372,PROGRAMAS[],3,FALSE),0)</f>
        <v>0</v>
      </c>
      <c r="AS372" s="246">
        <f>IFERROR(VLOOKUP(Q372,PROGRAMAS[],3,FALSE),0)</f>
        <v>0</v>
      </c>
      <c r="AT372" s="246">
        <f>IFERROR(VLOOKUP(D372,VOL_REC[],2,FALSE),0)</f>
        <v>0</v>
      </c>
      <c r="AU372" s="246">
        <f>IFERROR(VLOOKUP(E372,VOL_REC[],2,FALSE),0)</f>
        <v>0</v>
      </c>
      <c r="AV372" s="246">
        <f>IFERROR(VLOOKUP(F372,VOL_REC[],2,FALSE),0)</f>
        <v>11089674.200000001</v>
      </c>
      <c r="AW372" s="246">
        <f>IFERROR(VLOOKUP(G372,VOL_REC[],2,FALSE),0)</f>
        <v>4325103.1812214684</v>
      </c>
      <c r="AX372" s="246">
        <f>IFERROR(VLOOKUP(H372,VOL_REC[],2,FALSE),0)</f>
        <v>15540036.397699751</v>
      </c>
      <c r="AY372" s="246">
        <f>IFERROR(VLOOKUP(I372,VOL_REC[],2,FALSE),0)</f>
        <v>663244.80000000016</v>
      </c>
      <c r="AZ372" s="246">
        <f>IFERROR(VLOOKUP(J372,VOL_REC[],2,FALSE),0)</f>
        <v>105072</v>
      </c>
      <c r="BA372" s="246">
        <f>IFERROR(VLOOKUP(K372,VOL_REC[],2,FALSE),0)</f>
        <v>0</v>
      </c>
      <c r="BB372" s="246">
        <f>IFERROR(VLOOKUP(L372,VOL_REC[],2,FALSE),0)</f>
        <v>0</v>
      </c>
      <c r="BC372" s="246">
        <f>IFERROR(VLOOKUP(M372,VOL_REC[],2,FALSE),0)</f>
        <v>0</v>
      </c>
      <c r="BD372" s="246">
        <f>IFERROR(VLOOKUP(N372,VOL_REC[],2,FALSE),0)</f>
        <v>0</v>
      </c>
      <c r="BE372" s="246">
        <f>IFERROR(VLOOKUP(O372,VOL_REC[],2,FALSE),0)</f>
        <v>0</v>
      </c>
      <c r="BF372" s="246">
        <f>IFERROR(VLOOKUP(P372,VOL_REC[],2,FALSE),0)</f>
        <v>0</v>
      </c>
      <c r="BG372" s="246">
        <f>IFERROR(VLOOKUP(Q372,VOL_REC[],2,FALSE),0)</f>
        <v>0</v>
      </c>
      <c r="BH372" s="1710">
        <f t="shared" si="20"/>
        <v>16047155791.035606</v>
      </c>
      <c r="BI372" s="1710">
        <f t="shared" si="21"/>
        <v>17960366909.798912</v>
      </c>
      <c r="BJ372" s="1711">
        <f t="shared" si="22"/>
        <v>31723130.578921221</v>
      </c>
      <c r="BK372" s="1711">
        <f t="shared" si="23"/>
        <v>0.89347594465236202</v>
      </c>
    </row>
    <row r="373" spans="3:67" x14ac:dyDescent="0.25">
      <c r="C373" s="246" t="s">
        <v>1723</v>
      </c>
      <c r="D373" s="246">
        <v>1</v>
      </c>
      <c r="E373" s="246">
        <v>2</v>
      </c>
      <c r="F373" s="246">
        <v>3</v>
      </c>
      <c r="G373" s="246">
        <v>5</v>
      </c>
      <c r="H373" s="246">
        <v>6</v>
      </c>
      <c r="I373" s="246">
        <v>13</v>
      </c>
      <c r="J373" s="246">
        <v>16</v>
      </c>
      <c r="K373" s="246"/>
      <c r="L373" s="246"/>
      <c r="M373" s="246"/>
      <c r="N373" s="246"/>
      <c r="O373" s="246"/>
      <c r="P373" s="246"/>
      <c r="Q373" s="246"/>
      <c r="R373" s="246">
        <f>IFERROR(VLOOKUP(D373,PROGRAMAS[],2,FALSE),0)</f>
        <v>97037803.679377079</v>
      </c>
      <c r="S373" s="246">
        <f>IFERROR(VLOOKUP(E373,PROGRAMAS[],2,FALSE),0)</f>
        <v>640501509.6821388</v>
      </c>
      <c r="T373" s="246">
        <f>IFERROR(VLOOKUP(F373,PROGRAMAS[],2,FALSE),0)</f>
        <v>3062327798.1525245</v>
      </c>
      <c r="U373" s="246">
        <f>IFERROR(VLOOKUP(G373,PROGRAMAS[],2,FALSE),0)</f>
        <v>1440941976.2528784</v>
      </c>
      <c r="V373" s="246">
        <f>IFERROR(VLOOKUP(H373,PROGRAMAS[],2,FALSE),0)</f>
        <v>6907648435.8447599</v>
      </c>
      <c r="W373" s="246">
        <f>IFERROR(VLOOKUP(I373,PROGRAMAS[],2,FALSE),0)</f>
        <v>3776538594.4604583</v>
      </c>
      <c r="X373" s="246">
        <f>IFERROR(VLOOKUP(J373,PROGRAMAS[],2,FALSE),0)</f>
        <v>7068496961.0436354</v>
      </c>
      <c r="Y373" s="246">
        <f>IFERROR(VLOOKUP(K373,PROGRAMAS[],2,FALSE),0)</f>
        <v>0</v>
      </c>
      <c r="Z373" s="246">
        <f>IFERROR(VLOOKUP(L373,PROGRAMAS[],2,FALSE),0)</f>
        <v>0</v>
      </c>
      <c r="AA373" s="246">
        <f>IFERROR(VLOOKUP(M373,PROGRAMAS[],2,FALSE),0)</f>
        <v>0</v>
      </c>
      <c r="AB373" s="246">
        <f>IFERROR(VLOOKUP(N373,PROGRAMAS[],2,FALSE),0)</f>
        <v>0</v>
      </c>
      <c r="AC373" s="246">
        <f>IFERROR(VLOOKUP(O373,PROGRAMAS[],2,FALSE),0)</f>
        <v>0</v>
      </c>
      <c r="AD373" s="246">
        <f>IFERROR(VLOOKUP(P373,PROGRAMAS[],2,FALSE),0)</f>
        <v>0</v>
      </c>
      <c r="AE373" s="246">
        <f>IFERROR(VLOOKUP(Q373,PROGRAMAS[],2,FALSE),0)</f>
        <v>0</v>
      </c>
      <c r="AF373" s="246">
        <f>IFERROR(VLOOKUP(D373,PROGRAMAS[],3,FALSE),0)</f>
        <v>841888629.31080008</v>
      </c>
      <c r="AG373" s="246">
        <f>IFERROR(VLOOKUP(E373,PROGRAMAS[],3,FALSE),0)</f>
        <v>3848980803.1642323</v>
      </c>
      <c r="AH373" s="246">
        <f>IFERROR(VLOOKUP(F373,PROGRAMAS[],3,FALSE),0)</f>
        <v>3394901471.387517</v>
      </c>
      <c r="AI373" s="246">
        <f>IFERROR(VLOOKUP(G373,PROGRAMAS[],3,FALSE),0)</f>
        <v>1233505101.0616004</v>
      </c>
      <c r="AJ373" s="246">
        <f>IFERROR(VLOOKUP(H373,PROGRAMAS[],3,FALSE),0)</f>
        <v>6129902208.7912121</v>
      </c>
      <c r="AK373" s="246">
        <f>IFERROR(VLOOKUP(I373,PROGRAMAS[],3,FALSE),0)</f>
        <v>2392571243.5584412</v>
      </c>
      <c r="AL373" s="246">
        <f>IFERROR(VLOOKUP(J373,PROGRAMAS[],3,FALSE),0)</f>
        <v>2406564599.0319901</v>
      </c>
      <c r="AM373" s="246">
        <f>IFERROR(VLOOKUP(K373,PROGRAMAS[],3,FALSE),0)</f>
        <v>0</v>
      </c>
      <c r="AN373" s="246">
        <f>IFERROR(VLOOKUP(L373,PROGRAMAS[],3,FALSE),0)</f>
        <v>0</v>
      </c>
      <c r="AO373" s="246">
        <f>IFERROR(VLOOKUP(M373,PROGRAMAS[],3,FALSE),0)</f>
        <v>0</v>
      </c>
      <c r="AP373" s="246">
        <f>IFERROR(VLOOKUP(N373,PROGRAMAS[],3,FALSE),0)</f>
        <v>0</v>
      </c>
      <c r="AQ373" s="246">
        <f>IFERROR(VLOOKUP(O373,PROGRAMAS[],3,FALSE),0)</f>
        <v>0</v>
      </c>
      <c r="AR373" s="246">
        <f>IFERROR(VLOOKUP(P373,PROGRAMAS[],3,FALSE),0)</f>
        <v>0</v>
      </c>
      <c r="AS373" s="246">
        <f>IFERROR(VLOOKUP(Q373,PROGRAMAS[],3,FALSE),0)</f>
        <v>0</v>
      </c>
      <c r="AT373" s="246">
        <f>IFERROR(VLOOKUP(D373,VOL_REC[],2,FALSE),0)</f>
        <v>0</v>
      </c>
      <c r="AU373" s="246">
        <f>IFERROR(VLOOKUP(E373,VOL_REC[],2,FALSE),0)</f>
        <v>0</v>
      </c>
      <c r="AV373" s="246">
        <f>IFERROR(VLOOKUP(F373,VOL_REC[],2,FALSE),0)</f>
        <v>11089674.200000001</v>
      </c>
      <c r="AW373" s="246">
        <f>IFERROR(VLOOKUP(G373,VOL_REC[],2,FALSE),0)</f>
        <v>4325103.1812214684</v>
      </c>
      <c r="AX373" s="246">
        <f>IFERROR(VLOOKUP(H373,VOL_REC[],2,FALSE),0)</f>
        <v>15540036.397699751</v>
      </c>
      <c r="AY373" s="246">
        <f>IFERROR(VLOOKUP(I373,VOL_REC[],2,FALSE),0)</f>
        <v>663244.80000000016</v>
      </c>
      <c r="AZ373" s="246">
        <f>IFERROR(VLOOKUP(J373,VOL_REC[],2,FALSE),0)</f>
        <v>1072354.9981737854</v>
      </c>
      <c r="BA373" s="246">
        <f>IFERROR(VLOOKUP(K373,VOL_REC[],2,FALSE),0)</f>
        <v>0</v>
      </c>
      <c r="BB373" s="246">
        <f>IFERROR(VLOOKUP(L373,VOL_REC[],2,FALSE),0)</f>
        <v>0</v>
      </c>
      <c r="BC373" s="246">
        <f>IFERROR(VLOOKUP(M373,VOL_REC[],2,FALSE),0)</f>
        <v>0</v>
      </c>
      <c r="BD373" s="246">
        <f>IFERROR(VLOOKUP(N373,VOL_REC[],2,FALSE),0)</f>
        <v>0</v>
      </c>
      <c r="BE373" s="246">
        <f>IFERROR(VLOOKUP(O373,VOL_REC[],2,FALSE),0)</f>
        <v>0</v>
      </c>
      <c r="BF373" s="246">
        <f>IFERROR(VLOOKUP(P373,VOL_REC[],2,FALSE),0)</f>
        <v>0</v>
      </c>
      <c r="BG373" s="246">
        <f>IFERROR(VLOOKUP(Q373,VOL_REC[],2,FALSE),0)</f>
        <v>0</v>
      </c>
      <c r="BH373" s="1710">
        <f t="shared" si="20"/>
        <v>22993493079.115772</v>
      </c>
      <c r="BI373" s="1710">
        <f t="shared" si="21"/>
        <v>20248314056.305794</v>
      </c>
      <c r="BJ373" s="1711">
        <f t="shared" si="22"/>
        <v>32690413.577095006</v>
      </c>
      <c r="BK373" s="1711">
        <f t="shared" si="23"/>
        <v>1.1355756837421764</v>
      </c>
      <c r="BL373">
        <f>BJ373</f>
        <v>32690413.577095006</v>
      </c>
      <c r="BO373">
        <f>BL373</f>
        <v>32690413.577095006</v>
      </c>
    </row>
    <row r="374" spans="3:67" x14ac:dyDescent="0.25">
      <c r="C374" s="246" t="s">
        <v>1724</v>
      </c>
      <c r="D374" s="246">
        <v>1</v>
      </c>
      <c r="E374" s="246">
        <v>2</v>
      </c>
      <c r="F374" s="246">
        <v>3</v>
      </c>
      <c r="G374" s="246">
        <v>5</v>
      </c>
      <c r="H374" s="246">
        <v>6</v>
      </c>
      <c r="I374" s="246">
        <v>13</v>
      </c>
      <c r="J374" s="246">
        <v>17</v>
      </c>
      <c r="K374" s="246"/>
      <c r="L374" s="246"/>
      <c r="M374" s="246"/>
      <c r="N374" s="246"/>
      <c r="O374" s="246"/>
      <c r="P374" s="246"/>
      <c r="Q374" s="246"/>
      <c r="R374" s="246">
        <f>IFERROR(VLOOKUP(D374,PROGRAMAS[],2,FALSE),0)</f>
        <v>97037803.679377079</v>
      </c>
      <c r="S374" s="246">
        <f>IFERROR(VLOOKUP(E374,PROGRAMAS[],2,FALSE),0)</f>
        <v>640501509.6821388</v>
      </c>
      <c r="T374" s="246">
        <f>IFERROR(VLOOKUP(F374,PROGRAMAS[],2,FALSE),0)</f>
        <v>3062327798.1525245</v>
      </c>
      <c r="U374" s="246">
        <f>IFERROR(VLOOKUP(G374,PROGRAMAS[],2,FALSE),0)</f>
        <v>1440941976.2528784</v>
      </c>
      <c r="V374" s="246">
        <f>IFERROR(VLOOKUP(H374,PROGRAMAS[],2,FALSE),0)</f>
        <v>6907648435.8447599</v>
      </c>
      <c r="W374" s="246">
        <f>IFERROR(VLOOKUP(I374,PROGRAMAS[],2,FALSE),0)</f>
        <v>3776538594.4604583</v>
      </c>
      <c r="X374" s="246">
        <f>IFERROR(VLOOKUP(J374,PROGRAMAS[],2,FALSE),0)</f>
        <v>1892779498.5211046</v>
      </c>
      <c r="Y374" s="246">
        <f>IFERROR(VLOOKUP(K374,PROGRAMAS[],2,FALSE),0)</f>
        <v>0</v>
      </c>
      <c r="Z374" s="246">
        <f>IFERROR(VLOOKUP(L374,PROGRAMAS[],2,FALSE),0)</f>
        <v>0</v>
      </c>
      <c r="AA374" s="246">
        <f>IFERROR(VLOOKUP(M374,PROGRAMAS[],2,FALSE),0)</f>
        <v>0</v>
      </c>
      <c r="AB374" s="246">
        <f>IFERROR(VLOOKUP(N374,PROGRAMAS[],2,FALSE),0)</f>
        <v>0</v>
      </c>
      <c r="AC374" s="246">
        <f>IFERROR(VLOOKUP(O374,PROGRAMAS[],2,FALSE),0)</f>
        <v>0</v>
      </c>
      <c r="AD374" s="246">
        <f>IFERROR(VLOOKUP(P374,PROGRAMAS[],2,FALSE),0)</f>
        <v>0</v>
      </c>
      <c r="AE374" s="246">
        <f>IFERROR(VLOOKUP(Q374,PROGRAMAS[],2,FALSE),0)</f>
        <v>0</v>
      </c>
      <c r="AF374" s="246">
        <f>IFERROR(VLOOKUP(D374,PROGRAMAS[],3,FALSE),0)</f>
        <v>841888629.31080008</v>
      </c>
      <c r="AG374" s="246">
        <f>IFERROR(VLOOKUP(E374,PROGRAMAS[],3,FALSE),0)</f>
        <v>3848980803.1642323</v>
      </c>
      <c r="AH374" s="246">
        <f>IFERROR(VLOOKUP(F374,PROGRAMAS[],3,FALSE),0)</f>
        <v>3394901471.387517</v>
      </c>
      <c r="AI374" s="246">
        <f>IFERROR(VLOOKUP(G374,PROGRAMAS[],3,FALSE),0)</f>
        <v>1233505101.0616004</v>
      </c>
      <c r="AJ374" s="246">
        <f>IFERROR(VLOOKUP(H374,PROGRAMAS[],3,FALSE),0)</f>
        <v>6129902208.7912121</v>
      </c>
      <c r="AK374" s="246">
        <f>IFERROR(VLOOKUP(I374,PROGRAMAS[],3,FALSE),0)</f>
        <v>2392571243.5584412</v>
      </c>
      <c r="AL374" s="246">
        <f>IFERROR(VLOOKUP(J374,PROGRAMAS[],3,FALSE),0)</f>
        <v>948595847.09039903</v>
      </c>
      <c r="AM374" s="246">
        <f>IFERROR(VLOOKUP(K374,PROGRAMAS[],3,FALSE),0)</f>
        <v>0</v>
      </c>
      <c r="AN374" s="246">
        <f>IFERROR(VLOOKUP(L374,PROGRAMAS[],3,FALSE),0)</f>
        <v>0</v>
      </c>
      <c r="AO374" s="246">
        <f>IFERROR(VLOOKUP(M374,PROGRAMAS[],3,FALSE),0)</f>
        <v>0</v>
      </c>
      <c r="AP374" s="246">
        <f>IFERROR(VLOOKUP(N374,PROGRAMAS[],3,FALSE),0)</f>
        <v>0</v>
      </c>
      <c r="AQ374" s="246">
        <f>IFERROR(VLOOKUP(O374,PROGRAMAS[],3,FALSE),0)</f>
        <v>0</v>
      </c>
      <c r="AR374" s="246">
        <f>IFERROR(VLOOKUP(P374,PROGRAMAS[],3,FALSE),0)</f>
        <v>0</v>
      </c>
      <c r="AS374" s="246">
        <f>IFERROR(VLOOKUP(Q374,PROGRAMAS[],3,FALSE),0)</f>
        <v>0</v>
      </c>
      <c r="AT374" s="246">
        <f>IFERROR(VLOOKUP(D374,VOL_REC[],2,FALSE),0)</f>
        <v>0</v>
      </c>
      <c r="AU374" s="246">
        <f>IFERROR(VLOOKUP(E374,VOL_REC[],2,FALSE),0)</f>
        <v>0</v>
      </c>
      <c r="AV374" s="246">
        <f>IFERROR(VLOOKUP(F374,VOL_REC[],2,FALSE),0)</f>
        <v>11089674.200000001</v>
      </c>
      <c r="AW374" s="246">
        <f>IFERROR(VLOOKUP(G374,VOL_REC[],2,FALSE),0)</f>
        <v>4325103.1812214684</v>
      </c>
      <c r="AX374" s="246">
        <f>IFERROR(VLOOKUP(H374,VOL_REC[],2,FALSE),0)</f>
        <v>15540036.397699751</v>
      </c>
      <c r="AY374" s="246">
        <f>IFERROR(VLOOKUP(I374,VOL_REC[],2,FALSE),0)</f>
        <v>663244.80000000016</v>
      </c>
      <c r="AZ374" s="246">
        <f>IFERROR(VLOOKUP(J374,VOL_REC[],2,FALSE),0)</f>
        <v>740113.98115702497</v>
      </c>
      <c r="BA374" s="246">
        <f>IFERROR(VLOOKUP(K374,VOL_REC[],2,FALSE),0)</f>
        <v>0</v>
      </c>
      <c r="BB374" s="246">
        <f>IFERROR(VLOOKUP(L374,VOL_REC[],2,FALSE),0)</f>
        <v>0</v>
      </c>
      <c r="BC374" s="246">
        <f>IFERROR(VLOOKUP(M374,VOL_REC[],2,FALSE),0)</f>
        <v>0</v>
      </c>
      <c r="BD374" s="246">
        <f>IFERROR(VLOOKUP(N374,VOL_REC[],2,FALSE),0)</f>
        <v>0</v>
      </c>
      <c r="BE374" s="246">
        <f>IFERROR(VLOOKUP(O374,VOL_REC[],2,FALSE),0)</f>
        <v>0</v>
      </c>
      <c r="BF374" s="246">
        <f>IFERROR(VLOOKUP(P374,VOL_REC[],2,FALSE),0)</f>
        <v>0</v>
      </c>
      <c r="BG374" s="246">
        <f>IFERROR(VLOOKUP(Q374,VOL_REC[],2,FALSE),0)</f>
        <v>0</v>
      </c>
      <c r="BH374" s="1710">
        <f t="shared" si="20"/>
        <v>17817775616.593243</v>
      </c>
      <c r="BI374" s="1710">
        <f t="shared" si="21"/>
        <v>18790345304.364204</v>
      </c>
      <c r="BJ374" s="1711">
        <f t="shared" si="22"/>
        <v>32358172.560078245</v>
      </c>
      <c r="BK374" s="1711">
        <f t="shared" si="23"/>
        <v>0.94824098908150056</v>
      </c>
    </row>
    <row r="375" spans="3:67" x14ac:dyDescent="0.25">
      <c r="C375" s="246" t="s">
        <v>1725</v>
      </c>
      <c r="D375" s="246">
        <v>1</v>
      </c>
      <c r="E375" s="246">
        <v>2</v>
      </c>
      <c r="F375" s="246">
        <v>3</v>
      </c>
      <c r="G375" s="246">
        <v>5</v>
      </c>
      <c r="H375" s="246">
        <v>6</v>
      </c>
      <c r="I375" s="246">
        <v>14</v>
      </c>
      <c r="J375" s="246">
        <v>15</v>
      </c>
      <c r="K375" s="246"/>
      <c r="L375" s="246"/>
      <c r="M375" s="246"/>
      <c r="N375" s="246"/>
      <c r="O375" s="246"/>
      <c r="P375" s="246"/>
      <c r="Q375" s="246"/>
      <c r="R375" s="246">
        <f>IFERROR(VLOOKUP(D375,PROGRAMAS[],2,FALSE),0)</f>
        <v>97037803.679377079</v>
      </c>
      <c r="S375" s="246">
        <f>IFERROR(VLOOKUP(E375,PROGRAMAS[],2,FALSE),0)</f>
        <v>640501509.6821388</v>
      </c>
      <c r="T375" s="246">
        <f>IFERROR(VLOOKUP(F375,PROGRAMAS[],2,FALSE),0)</f>
        <v>3062327798.1525245</v>
      </c>
      <c r="U375" s="246">
        <f>IFERROR(VLOOKUP(G375,PROGRAMAS[],2,FALSE),0)</f>
        <v>1440941976.2528784</v>
      </c>
      <c r="V375" s="246">
        <f>IFERROR(VLOOKUP(H375,PROGRAMAS[],2,FALSE),0)</f>
        <v>6907648435.8447599</v>
      </c>
      <c r="W375" s="246">
        <f>IFERROR(VLOOKUP(I375,PROGRAMAS[],2,FALSE),0)</f>
        <v>54223862.645839565</v>
      </c>
      <c r="X375" s="246">
        <f>IFERROR(VLOOKUP(J375,PROGRAMAS[],2,FALSE),0)</f>
        <v>122159672.96346797</v>
      </c>
      <c r="Y375" s="246">
        <f>IFERROR(VLOOKUP(K375,PROGRAMAS[],2,FALSE),0)</f>
        <v>0</v>
      </c>
      <c r="Z375" s="246">
        <f>IFERROR(VLOOKUP(L375,PROGRAMAS[],2,FALSE),0)</f>
        <v>0</v>
      </c>
      <c r="AA375" s="246">
        <f>IFERROR(VLOOKUP(M375,PROGRAMAS[],2,FALSE),0)</f>
        <v>0</v>
      </c>
      <c r="AB375" s="246">
        <f>IFERROR(VLOOKUP(N375,PROGRAMAS[],2,FALSE),0)</f>
        <v>0</v>
      </c>
      <c r="AC375" s="246">
        <f>IFERROR(VLOOKUP(O375,PROGRAMAS[],2,FALSE),0)</f>
        <v>0</v>
      </c>
      <c r="AD375" s="246">
        <f>IFERROR(VLOOKUP(P375,PROGRAMAS[],2,FALSE),0)</f>
        <v>0</v>
      </c>
      <c r="AE375" s="246">
        <f>IFERROR(VLOOKUP(Q375,PROGRAMAS[],2,FALSE),0)</f>
        <v>0</v>
      </c>
      <c r="AF375" s="246">
        <f>IFERROR(VLOOKUP(D375,PROGRAMAS[],3,FALSE),0)</f>
        <v>841888629.31080008</v>
      </c>
      <c r="AG375" s="246">
        <f>IFERROR(VLOOKUP(E375,PROGRAMAS[],3,FALSE),0)</f>
        <v>3848980803.1642323</v>
      </c>
      <c r="AH375" s="246">
        <f>IFERROR(VLOOKUP(F375,PROGRAMAS[],3,FALSE),0)</f>
        <v>3394901471.387517</v>
      </c>
      <c r="AI375" s="246">
        <f>IFERROR(VLOOKUP(G375,PROGRAMAS[],3,FALSE),0)</f>
        <v>1233505101.0616004</v>
      </c>
      <c r="AJ375" s="246">
        <f>IFERROR(VLOOKUP(H375,PROGRAMAS[],3,FALSE),0)</f>
        <v>6129902208.7912121</v>
      </c>
      <c r="AK375" s="246">
        <f>IFERROR(VLOOKUP(I375,PROGRAMAS[],3,FALSE),0)</f>
        <v>31865326.38096505</v>
      </c>
      <c r="AL375" s="246">
        <f>IFERROR(VLOOKUP(J375,PROGRAMAS[],3,FALSE),0)</f>
        <v>118617452.52510804</v>
      </c>
      <c r="AM375" s="246">
        <f>IFERROR(VLOOKUP(K375,PROGRAMAS[],3,FALSE),0)</f>
        <v>0</v>
      </c>
      <c r="AN375" s="246">
        <f>IFERROR(VLOOKUP(L375,PROGRAMAS[],3,FALSE),0)</f>
        <v>0</v>
      </c>
      <c r="AO375" s="246">
        <f>IFERROR(VLOOKUP(M375,PROGRAMAS[],3,FALSE),0)</f>
        <v>0</v>
      </c>
      <c r="AP375" s="246">
        <f>IFERROR(VLOOKUP(N375,PROGRAMAS[],3,FALSE),0)</f>
        <v>0</v>
      </c>
      <c r="AQ375" s="246">
        <f>IFERROR(VLOOKUP(O375,PROGRAMAS[],3,FALSE),0)</f>
        <v>0</v>
      </c>
      <c r="AR375" s="246">
        <f>IFERROR(VLOOKUP(P375,PROGRAMAS[],3,FALSE),0)</f>
        <v>0</v>
      </c>
      <c r="AS375" s="246">
        <f>IFERROR(VLOOKUP(Q375,PROGRAMAS[],3,FALSE),0)</f>
        <v>0</v>
      </c>
      <c r="AT375" s="246">
        <f>IFERROR(VLOOKUP(D375,VOL_REC[],2,FALSE),0)</f>
        <v>0</v>
      </c>
      <c r="AU375" s="246">
        <f>IFERROR(VLOOKUP(E375,VOL_REC[],2,FALSE),0)</f>
        <v>0</v>
      </c>
      <c r="AV375" s="246">
        <f>IFERROR(VLOOKUP(F375,VOL_REC[],2,FALSE),0)</f>
        <v>11089674.200000001</v>
      </c>
      <c r="AW375" s="246">
        <f>IFERROR(VLOOKUP(G375,VOL_REC[],2,FALSE),0)</f>
        <v>4325103.1812214684</v>
      </c>
      <c r="AX375" s="246">
        <f>IFERROR(VLOOKUP(H375,VOL_REC[],2,FALSE),0)</f>
        <v>15540036.397699751</v>
      </c>
      <c r="AY375" s="246">
        <f>IFERROR(VLOOKUP(I375,VOL_REC[],2,FALSE),0)</f>
        <v>17074.045034105649</v>
      </c>
      <c r="AZ375" s="246">
        <f>IFERROR(VLOOKUP(J375,VOL_REC[],2,FALSE),0)</f>
        <v>105072</v>
      </c>
      <c r="BA375" s="246">
        <f>IFERROR(VLOOKUP(K375,VOL_REC[],2,FALSE),0)</f>
        <v>0</v>
      </c>
      <c r="BB375" s="246">
        <f>IFERROR(VLOOKUP(L375,VOL_REC[],2,FALSE),0)</f>
        <v>0</v>
      </c>
      <c r="BC375" s="246">
        <f>IFERROR(VLOOKUP(M375,VOL_REC[],2,FALSE),0)</f>
        <v>0</v>
      </c>
      <c r="BD375" s="246">
        <f>IFERROR(VLOOKUP(N375,VOL_REC[],2,FALSE),0)</f>
        <v>0</v>
      </c>
      <c r="BE375" s="246">
        <f>IFERROR(VLOOKUP(O375,VOL_REC[],2,FALSE),0)</f>
        <v>0</v>
      </c>
      <c r="BF375" s="246">
        <f>IFERROR(VLOOKUP(P375,VOL_REC[],2,FALSE),0)</f>
        <v>0</v>
      </c>
      <c r="BG375" s="246">
        <f>IFERROR(VLOOKUP(Q375,VOL_REC[],2,FALSE),0)</f>
        <v>0</v>
      </c>
      <c r="BH375" s="1710">
        <f t="shared" si="20"/>
        <v>12324841059.220987</v>
      </c>
      <c r="BI375" s="1710">
        <f t="shared" si="21"/>
        <v>15599660992.621435</v>
      </c>
      <c r="BJ375" s="1711">
        <f t="shared" si="22"/>
        <v>31076959.823955327</v>
      </c>
      <c r="BK375" s="1711">
        <f t="shared" si="23"/>
        <v>0.79007108327870579</v>
      </c>
    </row>
    <row r="376" spans="3:67" x14ac:dyDescent="0.25">
      <c r="C376" s="246" t="s">
        <v>1726</v>
      </c>
      <c r="D376" s="246">
        <v>1</v>
      </c>
      <c r="E376" s="246">
        <v>2</v>
      </c>
      <c r="F376" s="246">
        <v>3</v>
      </c>
      <c r="G376" s="246">
        <v>5</v>
      </c>
      <c r="H376" s="246">
        <v>6</v>
      </c>
      <c r="I376" s="246">
        <v>14</v>
      </c>
      <c r="J376" s="246">
        <v>16</v>
      </c>
      <c r="K376" s="246"/>
      <c r="L376" s="246"/>
      <c r="M376" s="246"/>
      <c r="N376" s="246"/>
      <c r="O376" s="246"/>
      <c r="P376" s="246"/>
      <c r="Q376" s="246"/>
      <c r="R376" s="246">
        <f>IFERROR(VLOOKUP(D376,PROGRAMAS[],2,FALSE),0)</f>
        <v>97037803.679377079</v>
      </c>
      <c r="S376" s="246">
        <f>IFERROR(VLOOKUP(E376,PROGRAMAS[],2,FALSE),0)</f>
        <v>640501509.6821388</v>
      </c>
      <c r="T376" s="246">
        <f>IFERROR(VLOOKUP(F376,PROGRAMAS[],2,FALSE),0)</f>
        <v>3062327798.1525245</v>
      </c>
      <c r="U376" s="246">
        <f>IFERROR(VLOOKUP(G376,PROGRAMAS[],2,FALSE),0)</f>
        <v>1440941976.2528784</v>
      </c>
      <c r="V376" s="246">
        <f>IFERROR(VLOOKUP(H376,PROGRAMAS[],2,FALSE),0)</f>
        <v>6907648435.8447599</v>
      </c>
      <c r="W376" s="246">
        <f>IFERROR(VLOOKUP(I376,PROGRAMAS[],2,FALSE),0)</f>
        <v>54223862.645839565</v>
      </c>
      <c r="X376" s="246">
        <f>IFERROR(VLOOKUP(J376,PROGRAMAS[],2,FALSE),0)</f>
        <v>7068496961.0436354</v>
      </c>
      <c r="Y376" s="246">
        <f>IFERROR(VLOOKUP(K376,PROGRAMAS[],2,FALSE),0)</f>
        <v>0</v>
      </c>
      <c r="Z376" s="246">
        <f>IFERROR(VLOOKUP(L376,PROGRAMAS[],2,FALSE),0)</f>
        <v>0</v>
      </c>
      <c r="AA376" s="246">
        <f>IFERROR(VLOOKUP(M376,PROGRAMAS[],2,FALSE),0)</f>
        <v>0</v>
      </c>
      <c r="AB376" s="246">
        <f>IFERROR(VLOOKUP(N376,PROGRAMAS[],2,FALSE),0)</f>
        <v>0</v>
      </c>
      <c r="AC376" s="246">
        <f>IFERROR(VLOOKUP(O376,PROGRAMAS[],2,FALSE),0)</f>
        <v>0</v>
      </c>
      <c r="AD376" s="246">
        <f>IFERROR(VLOOKUP(P376,PROGRAMAS[],2,FALSE),0)</f>
        <v>0</v>
      </c>
      <c r="AE376" s="246">
        <f>IFERROR(VLOOKUP(Q376,PROGRAMAS[],2,FALSE),0)</f>
        <v>0</v>
      </c>
      <c r="AF376" s="246">
        <f>IFERROR(VLOOKUP(D376,PROGRAMAS[],3,FALSE),0)</f>
        <v>841888629.31080008</v>
      </c>
      <c r="AG376" s="246">
        <f>IFERROR(VLOOKUP(E376,PROGRAMAS[],3,FALSE),0)</f>
        <v>3848980803.1642323</v>
      </c>
      <c r="AH376" s="246">
        <f>IFERROR(VLOOKUP(F376,PROGRAMAS[],3,FALSE),0)</f>
        <v>3394901471.387517</v>
      </c>
      <c r="AI376" s="246">
        <f>IFERROR(VLOOKUP(G376,PROGRAMAS[],3,FALSE),0)</f>
        <v>1233505101.0616004</v>
      </c>
      <c r="AJ376" s="246">
        <f>IFERROR(VLOOKUP(H376,PROGRAMAS[],3,FALSE),0)</f>
        <v>6129902208.7912121</v>
      </c>
      <c r="AK376" s="246">
        <f>IFERROR(VLOOKUP(I376,PROGRAMAS[],3,FALSE),0)</f>
        <v>31865326.38096505</v>
      </c>
      <c r="AL376" s="246">
        <f>IFERROR(VLOOKUP(J376,PROGRAMAS[],3,FALSE),0)</f>
        <v>2406564599.0319901</v>
      </c>
      <c r="AM376" s="246">
        <f>IFERROR(VLOOKUP(K376,PROGRAMAS[],3,FALSE),0)</f>
        <v>0</v>
      </c>
      <c r="AN376" s="246">
        <f>IFERROR(VLOOKUP(L376,PROGRAMAS[],3,FALSE),0)</f>
        <v>0</v>
      </c>
      <c r="AO376" s="246">
        <f>IFERROR(VLOOKUP(M376,PROGRAMAS[],3,FALSE),0)</f>
        <v>0</v>
      </c>
      <c r="AP376" s="246">
        <f>IFERROR(VLOOKUP(N376,PROGRAMAS[],3,FALSE),0)</f>
        <v>0</v>
      </c>
      <c r="AQ376" s="246">
        <f>IFERROR(VLOOKUP(O376,PROGRAMAS[],3,FALSE),0)</f>
        <v>0</v>
      </c>
      <c r="AR376" s="246">
        <f>IFERROR(VLOOKUP(P376,PROGRAMAS[],3,FALSE),0)</f>
        <v>0</v>
      </c>
      <c r="AS376" s="246">
        <f>IFERROR(VLOOKUP(Q376,PROGRAMAS[],3,FALSE),0)</f>
        <v>0</v>
      </c>
      <c r="AT376" s="246">
        <f>IFERROR(VLOOKUP(D376,VOL_REC[],2,FALSE),0)</f>
        <v>0</v>
      </c>
      <c r="AU376" s="246">
        <f>IFERROR(VLOOKUP(E376,VOL_REC[],2,FALSE),0)</f>
        <v>0</v>
      </c>
      <c r="AV376" s="246">
        <f>IFERROR(VLOOKUP(F376,VOL_REC[],2,FALSE),0)</f>
        <v>11089674.200000001</v>
      </c>
      <c r="AW376" s="246">
        <f>IFERROR(VLOOKUP(G376,VOL_REC[],2,FALSE),0)</f>
        <v>4325103.1812214684</v>
      </c>
      <c r="AX376" s="246">
        <f>IFERROR(VLOOKUP(H376,VOL_REC[],2,FALSE),0)</f>
        <v>15540036.397699751</v>
      </c>
      <c r="AY376" s="246">
        <f>IFERROR(VLOOKUP(I376,VOL_REC[],2,FALSE),0)</f>
        <v>17074.045034105649</v>
      </c>
      <c r="AZ376" s="246">
        <f>IFERROR(VLOOKUP(J376,VOL_REC[],2,FALSE),0)</f>
        <v>1072354.9981737854</v>
      </c>
      <c r="BA376" s="246">
        <f>IFERROR(VLOOKUP(K376,VOL_REC[],2,FALSE),0)</f>
        <v>0</v>
      </c>
      <c r="BB376" s="246">
        <f>IFERROR(VLOOKUP(L376,VOL_REC[],2,FALSE),0)</f>
        <v>0</v>
      </c>
      <c r="BC376" s="246">
        <f>IFERROR(VLOOKUP(M376,VOL_REC[],2,FALSE),0)</f>
        <v>0</v>
      </c>
      <c r="BD376" s="246">
        <f>IFERROR(VLOOKUP(N376,VOL_REC[],2,FALSE),0)</f>
        <v>0</v>
      </c>
      <c r="BE376" s="246">
        <f>IFERROR(VLOOKUP(O376,VOL_REC[],2,FALSE),0)</f>
        <v>0</v>
      </c>
      <c r="BF376" s="246">
        <f>IFERROR(VLOOKUP(P376,VOL_REC[],2,FALSE),0)</f>
        <v>0</v>
      </c>
      <c r="BG376" s="246">
        <f>IFERROR(VLOOKUP(Q376,VOL_REC[],2,FALSE),0)</f>
        <v>0</v>
      </c>
      <c r="BH376" s="1710">
        <f t="shared" si="20"/>
        <v>19271178347.301155</v>
      </c>
      <c r="BI376" s="1710">
        <f t="shared" si="21"/>
        <v>17887608139.128319</v>
      </c>
      <c r="BJ376" s="1711">
        <f t="shared" si="22"/>
        <v>32044242.822129112</v>
      </c>
      <c r="BK376" s="1711">
        <f t="shared" si="23"/>
        <v>1.0773479717026191</v>
      </c>
      <c r="BL376">
        <f>BJ376</f>
        <v>32044242.822129112</v>
      </c>
      <c r="BO376">
        <f>BL376</f>
        <v>32044242.822129112</v>
      </c>
    </row>
    <row r="377" spans="3:67" x14ac:dyDescent="0.25">
      <c r="C377" s="246" t="s">
        <v>1727</v>
      </c>
      <c r="D377" s="246">
        <v>1</v>
      </c>
      <c r="E377" s="246">
        <v>2</v>
      </c>
      <c r="F377" s="246">
        <v>3</v>
      </c>
      <c r="G377" s="246">
        <v>5</v>
      </c>
      <c r="H377" s="246">
        <v>6</v>
      </c>
      <c r="I377" s="246">
        <v>14</v>
      </c>
      <c r="J377" s="246">
        <v>17</v>
      </c>
      <c r="K377" s="246"/>
      <c r="L377" s="246"/>
      <c r="M377" s="246"/>
      <c r="N377" s="246"/>
      <c r="O377" s="246"/>
      <c r="P377" s="246"/>
      <c r="Q377" s="246"/>
      <c r="R377" s="246">
        <f>IFERROR(VLOOKUP(D377,PROGRAMAS[],2,FALSE),0)</f>
        <v>97037803.679377079</v>
      </c>
      <c r="S377" s="246">
        <f>IFERROR(VLOOKUP(E377,PROGRAMAS[],2,FALSE),0)</f>
        <v>640501509.6821388</v>
      </c>
      <c r="T377" s="246">
        <f>IFERROR(VLOOKUP(F377,PROGRAMAS[],2,FALSE),0)</f>
        <v>3062327798.1525245</v>
      </c>
      <c r="U377" s="246">
        <f>IFERROR(VLOOKUP(G377,PROGRAMAS[],2,FALSE),0)</f>
        <v>1440941976.2528784</v>
      </c>
      <c r="V377" s="246">
        <f>IFERROR(VLOOKUP(H377,PROGRAMAS[],2,FALSE),0)</f>
        <v>6907648435.8447599</v>
      </c>
      <c r="W377" s="246">
        <f>IFERROR(VLOOKUP(I377,PROGRAMAS[],2,FALSE),0)</f>
        <v>54223862.645839565</v>
      </c>
      <c r="X377" s="246">
        <f>IFERROR(VLOOKUP(J377,PROGRAMAS[],2,FALSE),0)</f>
        <v>1892779498.5211046</v>
      </c>
      <c r="Y377" s="246">
        <f>IFERROR(VLOOKUP(K377,PROGRAMAS[],2,FALSE),0)</f>
        <v>0</v>
      </c>
      <c r="Z377" s="246">
        <f>IFERROR(VLOOKUP(L377,PROGRAMAS[],2,FALSE),0)</f>
        <v>0</v>
      </c>
      <c r="AA377" s="246">
        <f>IFERROR(VLOOKUP(M377,PROGRAMAS[],2,FALSE),0)</f>
        <v>0</v>
      </c>
      <c r="AB377" s="246">
        <f>IFERROR(VLOOKUP(N377,PROGRAMAS[],2,FALSE),0)</f>
        <v>0</v>
      </c>
      <c r="AC377" s="246">
        <f>IFERROR(VLOOKUP(O377,PROGRAMAS[],2,FALSE),0)</f>
        <v>0</v>
      </c>
      <c r="AD377" s="246">
        <f>IFERROR(VLOOKUP(P377,PROGRAMAS[],2,FALSE),0)</f>
        <v>0</v>
      </c>
      <c r="AE377" s="246">
        <f>IFERROR(VLOOKUP(Q377,PROGRAMAS[],2,FALSE),0)</f>
        <v>0</v>
      </c>
      <c r="AF377" s="246">
        <f>IFERROR(VLOOKUP(D377,PROGRAMAS[],3,FALSE),0)</f>
        <v>841888629.31080008</v>
      </c>
      <c r="AG377" s="246">
        <f>IFERROR(VLOOKUP(E377,PROGRAMAS[],3,FALSE),0)</f>
        <v>3848980803.1642323</v>
      </c>
      <c r="AH377" s="246">
        <f>IFERROR(VLOOKUP(F377,PROGRAMAS[],3,FALSE),0)</f>
        <v>3394901471.387517</v>
      </c>
      <c r="AI377" s="246">
        <f>IFERROR(VLOOKUP(G377,PROGRAMAS[],3,FALSE),0)</f>
        <v>1233505101.0616004</v>
      </c>
      <c r="AJ377" s="246">
        <f>IFERROR(VLOOKUP(H377,PROGRAMAS[],3,FALSE),0)</f>
        <v>6129902208.7912121</v>
      </c>
      <c r="AK377" s="246">
        <f>IFERROR(VLOOKUP(I377,PROGRAMAS[],3,FALSE),0)</f>
        <v>31865326.38096505</v>
      </c>
      <c r="AL377" s="246">
        <f>IFERROR(VLOOKUP(J377,PROGRAMAS[],3,FALSE),0)</f>
        <v>948595847.09039903</v>
      </c>
      <c r="AM377" s="246">
        <f>IFERROR(VLOOKUP(K377,PROGRAMAS[],3,FALSE),0)</f>
        <v>0</v>
      </c>
      <c r="AN377" s="246">
        <f>IFERROR(VLOOKUP(L377,PROGRAMAS[],3,FALSE),0)</f>
        <v>0</v>
      </c>
      <c r="AO377" s="246">
        <f>IFERROR(VLOOKUP(M377,PROGRAMAS[],3,FALSE),0)</f>
        <v>0</v>
      </c>
      <c r="AP377" s="246">
        <f>IFERROR(VLOOKUP(N377,PROGRAMAS[],3,FALSE),0)</f>
        <v>0</v>
      </c>
      <c r="AQ377" s="246">
        <f>IFERROR(VLOOKUP(O377,PROGRAMAS[],3,FALSE),0)</f>
        <v>0</v>
      </c>
      <c r="AR377" s="246">
        <f>IFERROR(VLOOKUP(P377,PROGRAMAS[],3,FALSE),0)</f>
        <v>0</v>
      </c>
      <c r="AS377" s="246">
        <f>IFERROR(VLOOKUP(Q377,PROGRAMAS[],3,FALSE),0)</f>
        <v>0</v>
      </c>
      <c r="AT377" s="246">
        <f>IFERROR(VLOOKUP(D377,VOL_REC[],2,FALSE),0)</f>
        <v>0</v>
      </c>
      <c r="AU377" s="246">
        <f>IFERROR(VLOOKUP(E377,VOL_REC[],2,FALSE),0)</f>
        <v>0</v>
      </c>
      <c r="AV377" s="246">
        <f>IFERROR(VLOOKUP(F377,VOL_REC[],2,FALSE),0)</f>
        <v>11089674.200000001</v>
      </c>
      <c r="AW377" s="246">
        <f>IFERROR(VLOOKUP(G377,VOL_REC[],2,FALSE),0)</f>
        <v>4325103.1812214684</v>
      </c>
      <c r="AX377" s="246">
        <f>IFERROR(VLOOKUP(H377,VOL_REC[],2,FALSE),0)</f>
        <v>15540036.397699751</v>
      </c>
      <c r="AY377" s="246">
        <f>IFERROR(VLOOKUP(I377,VOL_REC[],2,FALSE),0)</f>
        <v>17074.045034105649</v>
      </c>
      <c r="AZ377" s="246">
        <f>IFERROR(VLOOKUP(J377,VOL_REC[],2,FALSE),0)</f>
        <v>740113.98115702497</v>
      </c>
      <c r="BA377" s="246">
        <f>IFERROR(VLOOKUP(K377,VOL_REC[],2,FALSE),0)</f>
        <v>0</v>
      </c>
      <c r="BB377" s="246">
        <f>IFERROR(VLOOKUP(L377,VOL_REC[],2,FALSE),0)</f>
        <v>0</v>
      </c>
      <c r="BC377" s="246">
        <f>IFERROR(VLOOKUP(M377,VOL_REC[],2,FALSE),0)</f>
        <v>0</v>
      </c>
      <c r="BD377" s="246">
        <f>IFERROR(VLOOKUP(N377,VOL_REC[],2,FALSE),0)</f>
        <v>0</v>
      </c>
      <c r="BE377" s="246">
        <f>IFERROR(VLOOKUP(O377,VOL_REC[],2,FALSE),0)</f>
        <v>0</v>
      </c>
      <c r="BF377" s="246">
        <f>IFERROR(VLOOKUP(P377,VOL_REC[],2,FALSE),0)</f>
        <v>0</v>
      </c>
      <c r="BG377" s="246">
        <f>IFERROR(VLOOKUP(Q377,VOL_REC[],2,FALSE),0)</f>
        <v>0</v>
      </c>
      <c r="BH377" s="1710">
        <f t="shared" si="20"/>
        <v>14095460884.778624</v>
      </c>
      <c r="BI377" s="1710">
        <f t="shared" si="21"/>
        <v>16429639387.186726</v>
      </c>
      <c r="BJ377" s="1711">
        <f t="shared" si="22"/>
        <v>31712001.805112351</v>
      </c>
      <c r="BK377" s="1711">
        <f t="shared" si="23"/>
        <v>0.85792880492383183</v>
      </c>
    </row>
    <row r="378" spans="3:67" x14ac:dyDescent="0.25">
      <c r="C378" s="246" t="s">
        <v>1728</v>
      </c>
      <c r="D378" s="246">
        <v>1</v>
      </c>
      <c r="E378" s="246">
        <v>2</v>
      </c>
      <c r="F378" s="246">
        <v>3</v>
      </c>
      <c r="G378" s="246">
        <v>5</v>
      </c>
      <c r="H378" s="246">
        <v>6</v>
      </c>
      <c r="I378" s="246">
        <v>15</v>
      </c>
      <c r="J378" s="246">
        <v>16</v>
      </c>
      <c r="K378" s="246"/>
      <c r="L378" s="246"/>
      <c r="M378" s="246"/>
      <c r="N378" s="246"/>
      <c r="O378" s="246"/>
      <c r="P378" s="246"/>
      <c r="Q378" s="246"/>
      <c r="R378" s="246">
        <f>IFERROR(VLOOKUP(D378,PROGRAMAS[],2,FALSE),0)</f>
        <v>97037803.679377079</v>
      </c>
      <c r="S378" s="246">
        <f>IFERROR(VLOOKUP(E378,PROGRAMAS[],2,FALSE),0)</f>
        <v>640501509.6821388</v>
      </c>
      <c r="T378" s="246">
        <f>IFERROR(VLOOKUP(F378,PROGRAMAS[],2,FALSE),0)</f>
        <v>3062327798.1525245</v>
      </c>
      <c r="U378" s="246">
        <f>IFERROR(VLOOKUP(G378,PROGRAMAS[],2,FALSE),0)</f>
        <v>1440941976.2528784</v>
      </c>
      <c r="V378" s="246">
        <f>IFERROR(VLOOKUP(H378,PROGRAMAS[],2,FALSE),0)</f>
        <v>6907648435.8447599</v>
      </c>
      <c r="W378" s="246">
        <f>IFERROR(VLOOKUP(I378,PROGRAMAS[],2,FALSE),0)</f>
        <v>122159672.96346797</v>
      </c>
      <c r="X378" s="246">
        <f>IFERROR(VLOOKUP(J378,PROGRAMAS[],2,FALSE),0)</f>
        <v>7068496961.0436354</v>
      </c>
      <c r="Y378" s="246">
        <f>IFERROR(VLOOKUP(K378,PROGRAMAS[],2,FALSE),0)</f>
        <v>0</v>
      </c>
      <c r="Z378" s="246">
        <f>IFERROR(VLOOKUP(L378,PROGRAMAS[],2,FALSE),0)</f>
        <v>0</v>
      </c>
      <c r="AA378" s="246">
        <f>IFERROR(VLOOKUP(M378,PROGRAMAS[],2,FALSE),0)</f>
        <v>0</v>
      </c>
      <c r="AB378" s="246">
        <f>IFERROR(VLOOKUP(N378,PROGRAMAS[],2,FALSE),0)</f>
        <v>0</v>
      </c>
      <c r="AC378" s="246">
        <f>IFERROR(VLOOKUP(O378,PROGRAMAS[],2,FALSE),0)</f>
        <v>0</v>
      </c>
      <c r="AD378" s="246">
        <f>IFERROR(VLOOKUP(P378,PROGRAMAS[],2,FALSE),0)</f>
        <v>0</v>
      </c>
      <c r="AE378" s="246">
        <f>IFERROR(VLOOKUP(Q378,PROGRAMAS[],2,FALSE),0)</f>
        <v>0</v>
      </c>
      <c r="AF378" s="246">
        <f>IFERROR(VLOOKUP(D378,PROGRAMAS[],3,FALSE),0)</f>
        <v>841888629.31080008</v>
      </c>
      <c r="AG378" s="246">
        <f>IFERROR(VLOOKUP(E378,PROGRAMAS[],3,FALSE),0)</f>
        <v>3848980803.1642323</v>
      </c>
      <c r="AH378" s="246">
        <f>IFERROR(VLOOKUP(F378,PROGRAMAS[],3,FALSE),0)</f>
        <v>3394901471.387517</v>
      </c>
      <c r="AI378" s="246">
        <f>IFERROR(VLOOKUP(G378,PROGRAMAS[],3,FALSE),0)</f>
        <v>1233505101.0616004</v>
      </c>
      <c r="AJ378" s="246">
        <f>IFERROR(VLOOKUP(H378,PROGRAMAS[],3,FALSE),0)</f>
        <v>6129902208.7912121</v>
      </c>
      <c r="AK378" s="246">
        <f>IFERROR(VLOOKUP(I378,PROGRAMAS[],3,FALSE),0)</f>
        <v>118617452.52510804</v>
      </c>
      <c r="AL378" s="246">
        <f>IFERROR(VLOOKUP(J378,PROGRAMAS[],3,FALSE),0)</f>
        <v>2406564599.0319901</v>
      </c>
      <c r="AM378" s="246">
        <f>IFERROR(VLOOKUP(K378,PROGRAMAS[],3,FALSE),0)</f>
        <v>0</v>
      </c>
      <c r="AN378" s="246">
        <f>IFERROR(VLOOKUP(L378,PROGRAMAS[],3,FALSE),0)</f>
        <v>0</v>
      </c>
      <c r="AO378" s="246">
        <f>IFERROR(VLOOKUP(M378,PROGRAMAS[],3,FALSE),0)</f>
        <v>0</v>
      </c>
      <c r="AP378" s="246">
        <f>IFERROR(VLOOKUP(N378,PROGRAMAS[],3,FALSE),0)</f>
        <v>0</v>
      </c>
      <c r="AQ378" s="246">
        <f>IFERROR(VLOOKUP(O378,PROGRAMAS[],3,FALSE),0)</f>
        <v>0</v>
      </c>
      <c r="AR378" s="246">
        <f>IFERROR(VLOOKUP(P378,PROGRAMAS[],3,FALSE),0)</f>
        <v>0</v>
      </c>
      <c r="AS378" s="246">
        <f>IFERROR(VLOOKUP(Q378,PROGRAMAS[],3,FALSE),0)</f>
        <v>0</v>
      </c>
      <c r="AT378" s="246">
        <f>IFERROR(VLOOKUP(D378,VOL_REC[],2,FALSE),0)</f>
        <v>0</v>
      </c>
      <c r="AU378" s="246">
        <f>IFERROR(VLOOKUP(E378,VOL_REC[],2,FALSE),0)</f>
        <v>0</v>
      </c>
      <c r="AV378" s="246">
        <f>IFERROR(VLOOKUP(F378,VOL_REC[],2,FALSE),0)</f>
        <v>11089674.200000001</v>
      </c>
      <c r="AW378" s="246">
        <f>IFERROR(VLOOKUP(G378,VOL_REC[],2,FALSE),0)</f>
        <v>4325103.1812214684</v>
      </c>
      <c r="AX378" s="246">
        <f>IFERROR(VLOOKUP(H378,VOL_REC[],2,FALSE),0)</f>
        <v>15540036.397699751</v>
      </c>
      <c r="AY378" s="246">
        <f>IFERROR(VLOOKUP(I378,VOL_REC[],2,FALSE),0)</f>
        <v>105072</v>
      </c>
      <c r="AZ378" s="246">
        <f>IFERROR(VLOOKUP(J378,VOL_REC[],2,FALSE),0)</f>
        <v>1072354.9981737854</v>
      </c>
      <c r="BA378" s="246">
        <f>IFERROR(VLOOKUP(K378,VOL_REC[],2,FALSE),0)</f>
        <v>0</v>
      </c>
      <c r="BB378" s="246">
        <f>IFERROR(VLOOKUP(L378,VOL_REC[],2,FALSE),0)</f>
        <v>0</v>
      </c>
      <c r="BC378" s="246">
        <f>IFERROR(VLOOKUP(M378,VOL_REC[],2,FALSE),0)</f>
        <v>0</v>
      </c>
      <c r="BD378" s="246">
        <f>IFERROR(VLOOKUP(N378,VOL_REC[],2,FALSE),0)</f>
        <v>0</v>
      </c>
      <c r="BE378" s="246">
        <f>IFERROR(VLOOKUP(O378,VOL_REC[],2,FALSE),0)</f>
        <v>0</v>
      </c>
      <c r="BF378" s="246">
        <f>IFERROR(VLOOKUP(P378,VOL_REC[],2,FALSE),0)</f>
        <v>0</v>
      </c>
      <c r="BG378" s="246">
        <f>IFERROR(VLOOKUP(Q378,VOL_REC[],2,FALSE),0)</f>
        <v>0</v>
      </c>
      <c r="BH378" s="1710">
        <f t="shared" si="20"/>
        <v>19339114157.618782</v>
      </c>
      <c r="BI378" s="1710">
        <f t="shared" si="21"/>
        <v>17974360265.272461</v>
      </c>
      <c r="BJ378" s="1711">
        <f t="shared" si="22"/>
        <v>32132240.777095005</v>
      </c>
      <c r="BK378" s="1711">
        <f t="shared" si="23"/>
        <v>1.0759278145205038</v>
      </c>
      <c r="BL378">
        <f>BJ378</f>
        <v>32132240.777095005</v>
      </c>
      <c r="BO378">
        <f>BL378</f>
        <v>32132240.777095005</v>
      </c>
    </row>
    <row r="379" spans="3:67" x14ac:dyDescent="0.25">
      <c r="C379" s="246" t="s">
        <v>1729</v>
      </c>
      <c r="D379" s="246">
        <v>1</v>
      </c>
      <c r="E379" s="246">
        <v>2</v>
      </c>
      <c r="F379" s="246">
        <v>3</v>
      </c>
      <c r="G379" s="246">
        <v>5</v>
      </c>
      <c r="H379" s="246">
        <v>6</v>
      </c>
      <c r="I379" s="246">
        <v>15</v>
      </c>
      <c r="J379" s="246">
        <v>17</v>
      </c>
      <c r="K379" s="246"/>
      <c r="L379" s="246"/>
      <c r="M379" s="246"/>
      <c r="N379" s="246"/>
      <c r="O379" s="246"/>
      <c r="P379" s="246"/>
      <c r="Q379" s="246"/>
      <c r="R379" s="246">
        <f>IFERROR(VLOOKUP(D379,PROGRAMAS[],2,FALSE),0)</f>
        <v>97037803.679377079</v>
      </c>
      <c r="S379" s="246">
        <f>IFERROR(VLOOKUP(E379,PROGRAMAS[],2,FALSE),0)</f>
        <v>640501509.6821388</v>
      </c>
      <c r="T379" s="246">
        <f>IFERROR(VLOOKUP(F379,PROGRAMAS[],2,FALSE),0)</f>
        <v>3062327798.1525245</v>
      </c>
      <c r="U379" s="246">
        <f>IFERROR(VLOOKUP(G379,PROGRAMAS[],2,FALSE),0)</f>
        <v>1440941976.2528784</v>
      </c>
      <c r="V379" s="246">
        <f>IFERROR(VLOOKUP(H379,PROGRAMAS[],2,FALSE),0)</f>
        <v>6907648435.8447599</v>
      </c>
      <c r="W379" s="246">
        <f>IFERROR(VLOOKUP(I379,PROGRAMAS[],2,FALSE),0)</f>
        <v>122159672.96346797</v>
      </c>
      <c r="X379" s="246">
        <f>IFERROR(VLOOKUP(J379,PROGRAMAS[],2,FALSE),0)</f>
        <v>1892779498.5211046</v>
      </c>
      <c r="Y379" s="246">
        <f>IFERROR(VLOOKUP(K379,PROGRAMAS[],2,FALSE),0)</f>
        <v>0</v>
      </c>
      <c r="Z379" s="246">
        <f>IFERROR(VLOOKUP(L379,PROGRAMAS[],2,FALSE),0)</f>
        <v>0</v>
      </c>
      <c r="AA379" s="246">
        <f>IFERROR(VLOOKUP(M379,PROGRAMAS[],2,FALSE),0)</f>
        <v>0</v>
      </c>
      <c r="AB379" s="246">
        <f>IFERROR(VLOOKUP(N379,PROGRAMAS[],2,FALSE),0)</f>
        <v>0</v>
      </c>
      <c r="AC379" s="246">
        <f>IFERROR(VLOOKUP(O379,PROGRAMAS[],2,FALSE),0)</f>
        <v>0</v>
      </c>
      <c r="AD379" s="246">
        <f>IFERROR(VLOOKUP(P379,PROGRAMAS[],2,FALSE),0)</f>
        <v>0</v>
      </c>
      <c r="AE379" s="246">
        <f>IFERROR(VLOOKUP(Q379,PROGRAMAS[],2,FALSE),0)</f>
        <v>0</v>
      </c>
      <c r="AF379" s="246">
        <f>IFERROR(VLOOKUP(D379,PROGRAMAS[],3,FALSE),0)</f>
        <v>841888629.31080008</v>
      </c>
      <c r="AG379" s="246">
        <f>IFERROR(VLOOKUP(E379,PROGRAMAS[],3,FALSE),0)</f>
        <v>3848980803.1642323</v>
      </c>
      <c r="AH379" s="246">
        <f>IFERROR(VLOOKUP(F379,PROGRAMAS[],3,FALSE),0)</f>
        <v>3394901471.387517</v>
      </c>
      <c r="AI379" s="246">
        <f>IFERROR(VLOOKUP(G379,PROGRAMAS[],3,FALSE),0)</f>
        <v>1233505101.0616004</v>
      </c>
      <c r="AJ379" s="246">
        <f>IFERROR(VLOOKUP(H379,PROGRAMAS[],3,FALSE),0)</f>
        <v>6129902208.7912121</v>
      </c>
      <c r="AK379" s="246">
        <f>IFERROR(VLOOKUP(I379,PROGRAMAS[],3,FALSE),0)</f>
        <v>118617452.52510804</v>
      </c>
      <c r="AL379" s="246">
        <f>IFERROR(VLOOKUP(J379,PROGRAMAS[],3,FALSE),0)</f>
        <v>948595847.09039903</v>
      </c>
      <c r="AM379" s="246">
        <f>IFERROR(VLOOKUP(K379,PROGRAMAS[],3,FALSE),0)</f>
        <v>0</v>
      </c>
      <c r="AN379" s="246">
        <f>IFERROR(VLOOKUP(L379,PROGRAMAS[],3,FALSE),0)</f>
        <v>0</v>
      </c>
      <c r="AO379" s="246">
        <f>IFERROR(VLOOKUP(M379,PROGRAMAS[],3,FALSE),0)</f>
        <v>0</v>
      </c>
      <c r="AP379" s="246">
        <f>IFERROR(VLOOKUP(N379,PROGRAMAS[],3,FALSE),0)</f>
        <v>0</v>
      </c>
      <c r="AQ379" s="246">
        <f>IFERROR(VLOOKUP(O379,PROGRAMAS[],3,FALSE),0)</f>
        <v>0</v>
      </c>
      <c r="AR379" s="246">
        <f>IFERROR(VLOOKUP(P379,PROGRAMAS[],3,FALSE),0)</f>
        <v>0</v>
      </c>
      <c r="AS379" s="246">
        <f>IFERROR(VLOOKUP(Q379,PROGRAMAS[],3,FALSE),0)</f>
        <v>0</v>
      </c>
      <c r="AT379" s="246">
        <f>IFERROR(VLOOKUP(D379,VOL_REC[],2,FALSE),0)</f>
        <v>0</v>
      </c>
      <c r="AU379" s="246">
        <f>IFERROR(VLOOKUP(E379,VOL_REC[],2,FALSE),0)</f>
        <v>0</v>
      </c>
      <c r="AV379" s="246">
        <f>IFERROR(VLOOKUP(F379,VOL_REC[],2,FALSE),0)</f>
        <v>11089674.200000001</v>
      </c>
      <c r="AW379" s="246">
        <f>IFERROR(VLOOKUP(G379,VOL_REC[],2,FALSE),0)</f>
        <v>4325103.1812214684</v>
      </c>
      <c r="AX379" s="246">
        <f>IFERROR(VLOOKUP(H379,VOL_REC[],2,FALSE),0)</f>
        <v>15540036.397699751</v>
      </c>
      <c r="AY379" s="246">
        <f>IFERROR(VLOOKUP(I379,VOL_REC[],2,FALSE),0)</f>
        <v>105072</v>
      </c>
      <c r="AZ379" s="246">
        <f>IFERROR(VLOOKUP(J379,VOL_REC[],2,FALSE),0)</f>
        <v>740113.98115702497</v>
      </c>
      <c r="BA379" s="246">
        <f>IFERROR(VLOOKUP(K379,VOL_REC[],2,FALSE),0)</f>
        <v>0</v>
      </c>
      <c r="BB379" s="246">
        <f>IFERROR(VLOOKUP(L379,VOL_REC[],2,FALSE),0)</f>
        <v>0</v>
      </c>
      <c r="BC379" s="246">
        <f>IFERROR(VLOOKUP(M379,VOL_REC[],2,FALSE),0)</f>
        <v>0</v>
      </c>
      <c r="BD379" s="246">
        <f>IFERROR(VLOOKUP(N379,VOL_REC[],2,FALSE),0)</f>
        <v>0</v>
      </c>
      <c r="BE379" s="246">
        <f>IFERROR(VLOOKUP(O379,VOL_REC[],2,FALSE),0)</f>
        <v>0</v>
      </c>
      <c r="BF379" s="246">
        <f>IFERROR(VLOOKUP(P379,VOL_REC[],2,FALSE),0)</f>
        <v>0</v>
      </c>
      <c r="BG379" s="246">
        <f>IFERROR(VLOOKUP(Q379,VOL_REC[],2,FALSE),0)</f>
        <v>0</v>
      </c>
      <c r="BH379" s="1710">
        <f t="shared" si="20"/>
        <v>14163396695.096252</v>
      </c>
      <c r="BI379" s="1710">
        <f t="shared" si="21"/>
        <v>16516391513.33087</v>
      </c>
      <c r="BJ379" s="1711">
        <f t="shared" si="22"/>
        <v>31799999.760078244</v>
      </c>
      <c r="BK379" s="1711">
        <f t="shared" si="23"/>
        <v>0.85753578096429561</v>
      </c>
    </row>
    <row r="380" spans="3:67" x14ac:dyDescent="0.25">
      <c r="C380" s="246" t="s">
        <v>1730</v>
      </c>
      <c r="D380" s="246">
        <v>1</v>
      </c>
      <c r="E380" s="246">
        <v>2</v>
      </c>
      <c r="F380" s="246">
        <v>3</v>
      </c>
      <c r="G380" s="246">
        <v>5</v>
      </c>
      <c r="H380" s="246">
        <v>6</v>
      </c>
      <c r="I380" s="246">
        <v>16</v>
      </c>
      <c r="J380" s="246">
        <v>17</v>
      </c>
      <c r="K380" s="246"/>
      <c r="L380" s="246"/>
      <c r="M380" s="246"/>
      <c r="N380" s="246"/>
      <c r="O380" s="246"/>
      <c r="P380" s="246"/>
      <c r="Q380" s="246"/>
      <c r="R380" s="246">
        <f>IFERROR(VLOOKUP(D380,PROGRAMAS[],2,FALSE),0)</f>
        <v>97037803.679377079</v>
      </c>
      <c r="S380" s="246">
        <f>IFERROR(VLOOKUP(E380,PROGRAMAS[],2,FALSE),0)</f>
        <v>640501509.6821388</v>
      </c>
      <c r="T380" s="246">
        <f>IFERROR(VLOOKUP(F380,PROGRAMAS[],2,FALSE),0)</f>
        <v>3062327798.1525245</v>
      </c>
      <c r="U380" s="246">
        <f>IFERROR(VLOOKUP(G380,PROGRAMAS[],2,FALSE),0)</f>
        <v>1440941976.2528784</v>
      </c>
      <c r="V380" s="246">
        <f>IFERROR(VLOOKUP(H380,PROGRAMAS[],2,FALSE),0)</f>
        <v>6907648435.8447599</v>
      </c>
      <c r="W380" s="246">
        <f>IFERROR(VLOOKUP(I380,PROGRAMAS[],2,FALSE),0)</f>
        <v>7068496961.0436354</v>
      </c>
      <c r="X380" s="246">
        <f>IFERROR(VLOOKUP(J380,PROGRAMAS[],2,FALSE),0)</f>
        <v>1892779498.5211046</v>
      </c>
      <c r="Y380" s="246">
        <f>IFERROR(VLOOKUP(K380,PROGRAMAS[],2,FALSE),0)</f>
        <v>0</v>
      </c>
      <c r="Z380" s="246">
        <f>IFERROR(VLOOKUP(L380,PROGRAMAS[],2,FALSE),0)</f>
        <v>0</v>
      </c>
      <c r="AA380" s="246">
        <f>IFERROR(VLOOKUP(M380,PROGRAMAS[],2,FALSE),0)</f>
        <v>0</v>
      </c>
      <c r="AB380" s="246">
        <f>IFERROR(VLOOKUP(N380,PROGRAMAS[],2,FALSE),0)</f>
        <v>0</v>
      </c>
      <c r="AC380" s="246">
        <f>IFERROR(VLOOKUP(O380,PROGRAMAS[],2,FALSE),0)</f>
        <v>0</v>
      </c>
      <c r="AD380" s="246">
        <f>IFERROR(VLOOKUP(P380,PROGRAMAS[],2,FALSE),0)</f>
        <v>0</v>
      </c>
      <c r="AE380" s="246">
        <f>IFERROR(VLOOKUP(Q380,PROGRAMAS[],2,FALSE),0)</f>
        <v>0</v>
      </c>
      <c r="AF380" s="246">
        <f>IFERROR(VLOOKUP(D380,PROGRAMAS[],3,FALSE),0)</f>
        <v>841888629.31080008</v>
      </c>
      <c r="AG380" s="246">
        <f>IFERROR(VLOOKUP(E380,PROGRAMAS[],3,FALSE),0)</f>
        <v>3848980803.1642323</v>
      </c>
      <c r="AH380" s="246">
        <f>IFERROR(VLOOKUP(F380,PROGRAMAS[],3,FALSE),0)</f>
        <v>3394901471.387517</v>
      </c>
      <c r="AI380" s="246">
        <f>IFERROR(VLOOKUP(G380,PROGRAMAS[],3,FALSE),0)</f>
        <v>1233505101.0616004</v>
      </c>
      <c r="AJ380" s="246">
        <f>IFERROR(VLOOKUP(H380,PROGRAMAS[],3,FALSE),0)</f>
        <v>6129902208.7912121</v>
      </c>
      <c r="AK380" s="246">
        <f>IFERROR(VLOOKUP(I380,PROGRAMAS[],3,FALSE),0)</f>
        <v>2406564599.0319901</v>
      </c>
      <c r="AL380" s="246">
        <f>IFERROR(VLOOKUP(J380,PROGRAMAS[],3,FALSE),0)</f>
        <v>948595847.09039903</v>
      </c>
      <c r="AM380" s="246">
        <f>IFERROR(VLOOKUP(K380,PROGRAMAS[],3,FALSE),0)</f>
        <v>0</v>
      </c>
      <c r="AN380" s="246">
        <f>IFERROR(VLOOKUP(L380,PROGRAMAS[],3,FALSE),0)</f>
        <v>0</v>
      </c>
      <c r="AO380" s="246">
        <f>IFERROR(VLOOKUP(M380,PROGRAMAS[],3,FALSE),0)</f>
        <v>0</v>
      </c>
      <c r="AP380" s="246">
        <f>IFERROR(VLOOKUP(N380,PROGRAMAS[],3,FALSE),0)</f>
        <v>0</v>
      </c>
      <c r="AQ380" s="246">
        <f>IFERROR(VLOOKUP(O380,PROGRAMAS[],3,FALSE),0)</f>
        <v>0</v>
      </c>
      <c r="AR380" s="246">
        <f>IFERROR(VLOOKUP(P380,PROGRAMAS[],3,FALSE),0)</f>
        <v>0</v>
      </c>
      <c r="AS380" s="246">
        <f>IFERROR(VLOOKUP(Q380,PROGRAMAS[],3,FALSE),0)</f>
        <v>0</v>
      </c>
      <c r="AT380" s="246">
        <f>IFERROR(VLOOKUP(D380,VOL_REC[],2,FALSE),0)</f>
        <v>0</v>
      </c>
      <c r="AU380" s="246">
        <f>IFERROR(VLOOKUP(E380,VOL_REC[],2,FALSE),0)</f>
        <v>0</v>
      </c>
      <c r="AV380" s="246">
        <f>IFERROR(VLOOKUP(F380,VOL_REC[],2,FALSE),0)</f>
        <v>11089674.200000001</v>
      </c>
      <c r="AW380" s="246">
        <f>IFERROR(VLOOKUP(G380,VOL_REC[],2,FALSE),0)</f>
        <v>4325103.1812214684</v>
      </c>
      <c r="AX380" s="246">
        <f>IFERROR(VLOOKUP(H380,VOL_REC[],2,FALSE),0)</f>
        <v>15540036.397699751</v>
      </c>
      <c r="AY380" s="246">
        <f>IFERROR(VLOOKUP(I380,VOL_REC[],2,FALSE),0)</f>
        <v>1072354.9981737854</v>
      </c>
      <c r="AZ380" s="246">
        <f>IFERROR(VLOOKUP(J380,VOL_REC[],2,FALSE),0)</f>
        <v>740113.98115702497</v>
      </c>
      <c r="BA380" s="246">
        <f>IFERROR(VLOOKUP(K380,VOL_REC[],2,FALSE),0)</f>
        <v>0</v>
      </c>
      <c r="BB380" s="246">
        <f>IFERROR(VLOOKUP(L380,VOL_REC[],2,FALSE),0)</f>
        <v>0</v>
      </c>
      <c r="BC380" s="246">
        <f>IFERROR(VLOOKUP(M380,VOL_REC[],2,FALSE),0)</f>
        <v>0</v>
      </c>
      <c r="BD380" s="246">
        <f>IFERROR(VLOOKUP(N380,VOL_REC[],2,FALSE),0)</f>
        <v>0</v>
      </c>
      <c r="BE380" s="246">
        <f>IFERROR(VLOOKUP(O380,VOL_REC[],2,FALSE),0)</f>
        <v>0</v>
      </c>
      <c r="BF380" s="246">
        <f>IFERROR(VLOOKUP(P380,VOL_REC[],2,FALSE),0)</f>
        <v>0</v>
      </c>
      <c r="BG380" s="246">
        <f>IFERROR(VLOOKUP(Q380,VOL_REC[],2,FALSE),0)</f>
        <v>0</v>
      </c>
      <c r="BH380" s="1710">
        <f t="shared" si="20"/>
        <v>21109733983.176418</v>
      </c>
      <c r="BI380" s="1710">
        <f t="shared" si="21"/>
        <v>18804338659.837753</v>
      </c>
      <c r="BJ380" s="1711">
        <f t="shared" si="22"/>
        <v>32767282.758252028</v>
      </c>
      <c r="BK380" s="1711">
        <f t="shared" si="23"/>
        <v>1.1225991174187115</v>
      </c>
      <c r="BL380">
        <f>BJ380</f>
        <v>32767282.758252028</v>
      </c>
      <c r="BO380">
        <f>BL380</f>
        <v>32767282.758252028</v>
      </c>
    </row>
    <row r="381" spans="3:67" x14ac:dyDescent="0.25">
      <c r="C381" s="246" t="s">
        <v>1731</v>
      </c>
      <c r="D381" s="246">
        <v>1</v>
      </c>
      <c r="E381" s="246">
        <v>2</v>
      </c>
      <c r="F381" s="246">
        <v>3</v>
      </c>
      <c r="G381" s="246">
        <v>5</v>
      </c>
      <c r="H381" s="246">
        <v>9</v>
      </c>
      <c r="I381" s="246">
        <v>10</v>
      </c>
      <c r="J381" s="246">
        <v>12</v>
      </c>
      <c r="K381" s="246"/>
      <c r="L381" s="246"/>
      <c r="M381" s="246"/>
      <c r="N381" s="246"/>
      <c r="O381" s="246"/>
      <c r="P381" s="246"/>
      <c r="Q381" s="246"/>
      <c r="R381" s="246">
        <f>IFERROR(VLOOKUP(D381,PROGRAMAS[],2,FALSE),0)</f>
        <v>97037803.679377079</v>
      </c>
      <c r="S381" s="246">
        <f>IFERROR(VLOOKUP(E381,PROGRAMAS[],2,FALSE),0)</f>
        <v>640501509.6821388</v>
      </c>
      <c r="T381" s="246">
        <f>IFERROR(VLOOKUP(F381,PROGRAMAS[],2,FALSE),0)</f>
        <v>3062327798.1525245</v>
      </c>
      <c r="U381" s="246">
        <f>IFERROR(VLOOKUP(G381,PROGRAMAS[],2,FALSE),0)</f>
        <v>1440941976.2528784</v>
      </c>
      <c r="V381" s="246">
        <f>IFERROR(VLOOKUP(H381,PROGRAMAS[],2,FALSE),0)</f>
        <v>6128579952.1618185</v>
      </c>
      <c r="W381" s="246">
        <f>IFERROR(VLOOKUP(I381,PROGRAMAS[],2,FALSE),0)</f>
        <v>4635315027.8751087</v>
      </c>
      <c r="X381" s="246">
        <f>IFERROR(VLOOKUP(J381,PROGRAMAS[],2,FALSE),0)</f>
        <v>764796700.79905891</v>
      </c>
      <c r="Y381" s="246">
        <f>IFERROR(VLOOKUP(K381,PROGRAMAS[],2,FALSE),0)</f>
        <v>0</v>
      </c>
      <c r="Z381" s="246">
        <f>IFERROR(VLOOKUP(L381,PROGRAMAS[],2,FALSE),0)</f>
        <v>0</v>
      </c>
      <c r="AA381" s="246">
        <f>IFERROR(VLOOKUP(M381,PROGRAMAS[],2,FALSE),0)</f>
        <v>0</v>
      </c>
      <c r="AB381" s="246">
        <f>IFERROR(VLOOKUP(N381,PROGRAMAS[],2,FALSE),0)</f>
        <v>0</v>
      </c>
      <c r="AC381" s="246">
        <f>IFERROR(VLOOKUP(O381,PROGRAMAS[],2,FALSE),0)</f>
        <v>0</v>
      </c>
      <c r="AD381" s="246">
        <f>IFERROR(VLOOKUP(P381,PROGRAMAS[],2,FALSE),0)</f>
        <v>0</v>
      </c>
      <c r="AE381" s="246">
        <f>IFERROR(VLOOKUP(Q381,PROGRAMAS[],2,FALSE),0)</f>
        <v>0</v>
      </c>
      <c r="AF381" s="246">
        <f>IFERROR(VLOOKUP(D381,PROGRAMAS[],3,FALSE),0)</f>
        <v>841888629.31080008</v>
      </c>
      <c r="AG381" s="246">
        <f>IFERROR(VLOOKUP(E381,PROGRAMAS[],3,FALSE),0)</f>
        <v>3848980803.1642323</v>
      </c>
      <c r="AH381" s="246">
        <f>IFERROR(VLOOKUP(F381,PROGRAMAS[],3,FALSE),0)</f>
        <v>3394901471.387517</v>
      </c>
      <c r="AI381" s="246">
        <f>IFERROR(VLOOKUP(G381,PROGRAMAS[],3,FALSE),0)</f>
        <v>1233505101.0616004</v>
      </c>
      <c r="AJ381" s="246">
        <f>IFERROR(VLOOKUP(H381,PROGRAMAS[],3,FALSE),0)</f>
        <v>7011279577.519702</v>
      </c>
      <c r="AK381" s="246">
        <f>IFERROR(VLOOKUP(I381,PROGRAMAS[],3,FALSE),0)</f>
        <v>4099471734.9978786</v>
      </c>
      <c r="AL381" s="246">
        <f>IFERROR(VLOOKUP(J381,PROGRAMAS[],3,FALSE),0)</f>
        <v>675517840.109828</v>
      </c>
      <c r="AM381" s="246">
        <f>IFERROR(VLOOKUP(K381,PROGRAMAS[],3,FALSE),0)</f>
        <v>0</v>
      </c>
      <c r="AN381" s="246">
        <f>IFERROR(VLOOKUP(L381,PROGRAMAS[],3,FALSE),0)</f>
        <v>0</v>
      </c>
      <c r="AO381" s="246">
        <f>IFERROR(VLOOKUP(M381,PROGRAMAS[],3,FALSE),0)</f>
        <v>0</v>
      </c>
      <c r="AP381" s="246">
        <f>IFERROR(VLOOKUP(N381,PROGRAMAS[],3,FALSE),0)</f>
        <v>0</v>
      </c>
      <c r="AQ381" s="246">
        <f>IFERROR(VLOOKUP(O381,PROGRAMAS[],3,FALSE),0)</f>
        <v>0</v>
      </c>
      <c r="AR381" s="246">
        <f>IFERROR(VLOOKUP(P381,PROGRAMAS[],3,FALSE),0)</f>
        <v>0</v>
      </c>
      <c r="AS381" s="246">
        <f>IFERROR(VLOOKUP(Q381,PROGRAMAS[],3,FALSE),0)</f>
        <v>0</v>
      </c>
      <c r="AT381" s="246">
        <f>IFERROR(VLOOKUP(D381,VOL_REC[],2,FALSE),0)</f>
        <v>0</v>
      </c>
      <c r="AU381" s="246">
        <f>IFERROR(VLOOKUP(E381,VOL_REC[],2,FALSE),0)</f>
        <v>0</v>
      </c>
      <c r="AV381" s="246">
        <f>IFERROR(VLOOKUP(F381,VOL_REC[],2,FALSE),0)</f>
        <v>11089674.200000001</v>
      </c>
      <c r="AW381" s="246">
        <f>IFERROR(VLOOKUP(G381,VOL_REC[],2,FALSE),0)</f>
        <v>4325103.1812214684</v>
      </c>
      <c r="AX381" s="246">
        <f>IFERROR(VLOOKUP(H381,VOL_REC[],2,FALSE),0)</f>
        <v>3761786</v>
      </c>
      <c r="AY381" s="246">
        <f>IFERROR(VLOOKUP(I381,VOL_REC[],2,FALSE),0)</f>
        <v>1812240</v>
      </c>
      <c r="AZ381" s="246">
        <f>IFERROR(VLOOKUP(J381,VOL_REC[],2,FALSE),0)</f>
        <v>240696.79238099116</v>
      </c>
      <c r="BA381" s="246">
        <f>IFERROR(VLOOKUP(K381,VOL_REC[],2,FALSE),0)</f>
        <v>0</v>
      </c>
      <c r="BB381" s="246">
        <f>IFERROR(VLOOKUP(L381,VOL_REC[],2,FALSE),0)</f>
        <v>0</v>
      </c>
      <c r="BC381" s="246">
        <f>IFERROR(VLOOKUP(M381,VOL_REC[],2,FALSE),0)</f>
        <v>0</v>
      </c>
      <c r="BD381" s="246">
        <f>IFERROR(VLOOKUP(N381,VOL_REC[],2,FALSE),0)</f>
        <v>0</v>
      </c>
      <c r="BE381" s="246">
        <f>IFERROR(VLOOKUP(O381,VOL_REC[],2,FALSE),0)</f>
        <v>0</v>
      </c>
      <c r="BF381" s="246">
        <f>IFERROR(VLOOKUP(P381,VOL_REC[],2,FALSE),0)</f>
        <v>0</v>
      </c>
      <c r="BG381" s="246">
        <f>IFERROR(VLOOKUP(Q381,VOL_REC[],2,FALSE),0)</f>
        <v>0</v>
      </c>
      <c r="BH381" s="1710">
        <f t="shared" si="20"/>
        <v>16769500768.602905</v>
      </c>
      <c r="BI381" s="1710">
        <f t="shared" si="21"/>
        <v>21105545157.551559</v>
      </c>
      <c r="BJ381" s="1711">
        <f t="shared" si="22"/>
        <v>21229500.173602462</v>
      </c>
      <c r="BK381" s="1711">
        <f t="shared" si="23"/>
        <v>0.79455425782274958</v>
      </c>
    </row>
    <row r="382" spans="3:67" x14ac:dyDescent="0.25">
      <c r="C382" s="246" t="s">
        <v>1732</v>
      </c>
      <c r="D382" s="246">
        <v>1</v>
      </c>
      <c r="E382" s="246">
        <v>2</v>
      </c>
      <c r="F382" s="246">
        <v>3</v>
      </c>
      <c r="G382" s="246">
        <v>5</v>
      </c>
      <c r="H382" s="246">
        <v>9</v>
      </c>
      <c r="I382" s="246">
        <v>10</v>
      </c>
      <c r="J382" s="246">
        <v>13</v>
      </c>
      <c r="K382" s="246"/>
      <c r="L382" s="246"/>
      <c r="M382" s="246"/>
      <c r="N382" s="246"/>
      <c r="O382" s="246"/>
      <c r="P382" s="246"/>
      <c r="Q382" s="246"/>
      <c r="R382" s="246">
        <f>IFERROR(VLOOKUP(D382,PROGRAMAS[],2,FALSE),0)</f>
        <v>97037803.679377079</v>
      </c>
      <c r="S382" s="246">
        <f>IFERROR(VLOOKUP(E382,PROGRAMAS[],2,FALSE),0)</f>
        <v>640501509.6821388</v>
      </c>
      <c r="T382" s="246">
        <f>IFERROR(VLOOKUP(F382,PROGRAMAS[],2,FALSE),0)</f>
        <v>3062327798.1525245</v>
      </c>
      <c r="U382" s="246">
        <f>IFERROR(VLOOKUP(G382,PROGRAMAS[],2,FALSE),0)</f>
        <v>1440941976.2528784</v>
      </c>
      <c r="V382" s="246">
        <f>IFERROR(VLOOKUP(H382,PROGRAMAS[],2,FALSE),0)</f>
        <v>6128579952.1618185</v>
      </c>
      <c r="W382" s="246">
        <f>IFERROR(VLOOKUP(I382,PROGRAMAS[],2,FALSE),0)</f>
        <v>4635315027.8751087</v>
      </c>
      <c r="X382" s="246">
        <f>IFERROR(VLOOKUP(J382,PROGRAMAS[],2,FALSE),0)</f>
        <v>3776538594.4604583</v>
      </c>
      <c r="Y382" s="246">
        <f>IFERROR(VLOOKUP(K382,PROGRAMAS[],2,FALSE),0)</f>
        <v>0</v>
      </c>
      <c r="Z382" s="246">
        <f>IFERROR(VLOOKUP(L382,PROGRAMAS[],2,FALSE),0)</f>
        <v>0</v>
      </c>
      <c r="AA382" s="246">
        <f>IFERROR(VLOOKUP(M382,PROGRAMAS[],2,FALSE),0)</f>
        <v>0</v>
      </c>
      <c r="AB382" s="246">
        <f>IFERROR(VLOOKUP(N382,PROGRAMAS[],2,FALSE),0)</f>
        <v>0</v>
      </c>
      <c r="AC382" s="246">
        <f>IFERROR(VLOOKUP(O382,PROGRAMAS[],2,FALSE),0)</f>
        <v>0</v>
      </c>
      <c r="AD382" s="246">
        <f>IFERROR(VLOOKUP(P382,PROGRAMAS[],2,FALSE),0)</f>
        <v>0</v>
      </c>
      <c r="AE382" s="246">
        <f>IFERROR(VLOOKUP(Q382,PROGRAMAS[],2,FALSE),0)</f>
        <v>0</v>
      </c>
      <c r="AF382" s="246">
        <f>IFERROR(VLOOKUP(D382,PROGRAMAS[],3,FALSE),0)</f>
        <v>841888629.31080008</v>
      </c>
      <c r="AG382" s="246">
        <f>IFERROR(VLOOKUP(E382,PROGRAMAS[],3,FALSE),0)</f>
        <v>3848980803.1642323</v>
      </c>
      <c r="AH382" s="246">
        <f>IFERROR(VLOOKUP(F382,PROGRAMAS[],3,FALSE),0)</f>
        <v>3394901471.387517</v>
      </c>
      <c r="AI382" s="246">
        <f>IFERROR(VLOOKUP(G382,PROGRAMAS[],3,FALSE),0)</f>
        <v>1233505101.0616004</v>
      </c>
      <c r="AJ382" s="246">
        <f>IFERROR(VLOOKUP(H382,PROGRAMAS[],3,FALSE),0)</f>
        <v>7011279577.519702</v>
      </c>
      <c r="AK382" s="246">
        <f>IFERROR(VLOOKUP(I382,PROGRAMAS[],3,FALSE),0)</f>
        <v>4099471734.9978786</v>
      </c>
      <c r="AL382" s="246">
        <f>IFERROR(VLOOKUP(J382,PROGRAMAS[],3,FALSE),0)</f>
        <v>2392571243.5584412</v>
      </c>
      <c r="AM382" s="246">
        <f>IFERROR(VLOOKUP(K382,PROGRAMAS[],3,FALSE),0)</f>
        <v>0</v>
      </c>
      <c r="AN382" s="246">
        <f>IFERROR(VLOOKUP(L382,PROGRAMAS[],3,FALSE),0)</f>
        <v>0</v>
      </c>
      <c r="AO382" s="246">
        <f>IFERROR(VLOOKUP(M382,PROGRAMAS[],3,FALSE),0)</f>
        <v>0</v>
      </c>
      <c r="AP382" s="246">
        <f>IFERROR(VLOOKUP(N382,PROGRAMAS[],3,FALSE),0)</f>
        <v>0</v>
      </c>
      <c r="AQ382" s="246">
        <f>IFERROR(VLOOKUP(O382,PROGRAMAS[],3,FALSE),0)</f>
        <v>0</v>
      </c>
      <c r="AR382" s="246">
        <f>IFERROR(VLOOKUP(P382,PROGRAMAS[],3,FALSE),0)</f>
        <v>0</v>
      </c>
      <c r="AS382" s="246">
        <f>IFERROR(VLOOKUP(Q382,PROGRAMAS[],3,FALSE),0)</f>
        <v>0</v>
      </c>
      <c r="AT382" s="246">
        <f>IFERROR(VLOOKUP(D382,VOL_REC[],2,FALSE),0)</f>
        <v>0</v>
      </c>
      <c r="AU382" s="246">
        <f>IFERROR(VLOOKUP(E382,VOL_REC[],2,FALSE),0)</f>
        <v>0</v>
      </c>
      <c r="AV382" s="246">
        <f>IFERROR(VLOOKUP(F382,VOL_REC[],2,FALSE),0)</f>
        <v>11089674.200000001</v>
      </c>
      <c r="AW382" s="246">
        <f>IFERROR(VLOOKUP(G382,VOL_REC[],2,FALSE),0)</f>
        <v>4325103.1812214684</v>
      </c>
      <c r="AX382" s="246">
        <f>IFERROR(VLOOKUP(H382,VOL_REC[],2,FALSE),0)</f>
        <v>3761786</v>
      </c>
      <c r="AY382" s="246">
        <f>IFERROR(VLOOKUP(I382,VOL_REC[],2,FALSE),0)</f>
        <v>1812240</v>
      </c>
      <c r="AZ382" s="246">
        <f>IFERROR(VLOOKUP(J382,VOL_REC[],2,FALSE),0)</f>
        <v>663244.80000000016</v>
      </c>
      <c r="BA382" s="246">
        <f>IFERROR(VLOOKUP(K382,VOL_REC[],2,FALSE),0)</f>
        <v>0</v>
      </c>
      <c r="BB382" s="246">
        <f>IFERROR(VLOOKUP(L382,VOL_REC[],2,FALSE),0)</f>
        <v>0</v>
      </c>
      <c r="BC382" s="246">
        <f>IFERROR(VLOOKUP(M382,VOL_REC[],2,FALSE),0)</f>
        <v>0</v>
      </c>
      <c r="BD382" s="246">
        <f>IFERROR(VLOOKUP(N382,VOL_REC[],2,FALSE),0)</f>
        <v>0</v>
      </c>
      <c r="BE382" s="246">
        <f>IFERROR(VLOOKUP(O382,VOL_REC[],2,FALSE),0)</f>
        <v>0</v>
      </c>
      <c r="BF382" s="246">
        <f>IFERROR(VLOOKUP(P382,VOL_REC[],2,FALSE),0)</f>
        <v>0</v>
      </c>
      <c r="BG382" s="246">
        <f>IFERROR(VLOOKUP(Q382,VOL_REC[],2,FALSE),0)</f>
        <v>0</v>
      </c>
      <c r="BH382" s="1710">
        <f t="shared" si="20"/>
        <v>19781242662.264305</v>
      </c>
      <c r="BI382" s="1710">
        <f t="shared" si="21"/>
        <v>22822598561.000172</v>
      </c>
      <c r="BJ382" s="1711">
        <f t="shared" si="22"/>
        <v>21652048.18122147</v>
      </c>
      <c r="BK382" s="1711">
        <f t="shared" si="23"/>
        <v>0.86673928077878859</v>
      </c>
    </row>
    <row r="383" spans="3:67" x14ac:dyDescent="0.25">
      <c r="C383" s="246" t="s">
        <v>1733</v>
      </c>
      <c r="D383" s="246">
        <v>1</v>
      </c>
      <c r="E383" s="246">
        <v>2</v>
      </c>
      <c r="F383" s="246">
        <v>3</v>
      </c>
      <c r="G383" s="246">
        <v>5</v>
      </c>
      <c r="H383" s="246">
        <v>9</v>
      </c>
      <c r="I383" s="246">
        <v>10</v>
      </c>
      <c r="J383" s="246">
        <v>14</v>
      </c>
      <c r="K383" s="246"/>
      <c r="L383" s="246"/>
      <c r="M383" s="246"/>
      <c r="N383" s="246"/>
      <c r="O383" s="246"/>
      <c r="P383" s="246"/>
      <c r="Q383" s="246"/>
      <c r="R383" s="246">
        <f>IFERROR(VLOOKUP(D383,PROGRAMAS[],2,FALSE),0)</f>
        <v>97037803.679377079</v>
      </c>
      <c r="S383" s="246">
        <f>IFERROR(VLOOKUP(E383,PROGRAMAS[],2,FALSE),0)</f>
        <v>640501509.6821388</v>
      </c>
      <c r="T383" s="246">
        <f>IFERROR(VLOOKUP(F383,PROGRAMAS[],2,FALSE),0)</f>
        <v>3062327798.1525245</v>
      </c>
      <c r="U383" s="246">
        <f>IFERROR(VLOOKUP(G383,PROGRAMAS[],2,FALSE),0)</f>
        <v>1440941976.2528784</v>
      </c>
      <c r="V383" s="246">
        <f>IFERROR(VLOOKUP(H383,PROGRAMAS[],2,FALSE),0)</f>
        <v>6128579952.1618185</v>
      </c>
      <c r="W383" s="246">
        <f>IFERROR(VLOOKUP(I383,PROGRAMAS[],2,FALSE),0)</f>
        <v>4635315027.8751087</v>
      </c>
      <c r="X383" s="246">
        <f>IFERROR(VLOOKUP(J383,PROGRAMAS[],2,FALSE),0)</f>
        <v>54223862.645839565</v>
      </c>
      <c r="Y383" s="246">
        <f>IFERROR(VLOOKUP(K383,PROGRAMAS[],2,FALSE),0)</f>
        <v>0</v>
      </c>
      <c r="Z383" s="246">
        <f>IFERROR(VLOOKUP(L383,PROGRAMAS[],2,FALSE),0)</f>
        <v>0</v>
      </c>
      <c r="AA383" s="246">
        <f>IFERROR(VLOOKUP(M383,PROGRAMAS[],2,FALSE),0)</f>
        <v>0</v>
      </c>
      <c r="AB383" s="246">
        <f>IFERROR(VLOOKUP(N383,PROGRAMAS[],2,FALSE),0)</f>
        <v>0</v>
      </c>
      <c r="AC383" s="246">
        <f>IFERROR(VLOOKUP(O383,PROGRAMAS[],2,FALSE),0)</f>
        <v>0</v>
      </c>
      <c r="AD383" s="246">
        <f>IFERROR(VLOOKUP(P383,PROGRAMAS[],2,FALSE),0)</f>
        <v>0</v>
      </c>
      <c r="AE383" s="246">
        <f>IFERROR(VLOOKUP(Q383,PROGRAMAS[],2,FALSE),0)</f>
        <v>0</v>
      </c>
      <c r="AF383" s="246">
        <f>IFERROR(VLOOKUP(D383,PROGRAMAS[],3,FALSE),0)</f>
        <v>841888629.31080008</v>
      </c>
      <c r="AG383" s="246">
        <f>IFERROR(VLOOKUP(E383,PROGRAMAS[],3,FALSE),0)</f>
        <v>3848980803.1642323</v>
      </c>
      <c r="AH383" s="246">
        <f>IFERROR(VLOOKUP(F383,PROGRAMAS[],3,FALSE),0)</f>
        <v>3394901471.387517</v>
      </c>
      <c r="AI383" s="246">
        <f>IFERROR(VLOOKUP(G383,PROGRAMAS[],3,FALSE),0)</f>
        <v>1233505101.0616004</v>
      </c>
      <c r="AJ383" s="246">
        <f>IFERROR(VLOOKUP(H383,PROGRAMAS[],3,FALSE),0)</f>
        <v>7011279577.519702</v>
      </c>
      <c r="AK383" s="246">
        <f>IFERROR(VLOOKUP(I383,PROGRAMAS[],3,FALSE),0)</f>
        <v>4099471734.9978786</v>
      </c>
      <c r="AL383" s="246">
        <f>IFERROR(VLOOKUP(J383,PROGRAMAS[],3,FALSE),0)</f>
        <v>31865326.38096505</v>
      </c>
      <c r="AM383" s="246">
        <f>IFERROR(VLOOKUP(K383,PROGRAMAS[],3,FALSE),0)</f>
        <v>0</v>
      </c>
      <c r="AN383" s="246">
        <f>IFERROR(VLOOKUP(L383,PROGRAMAS[],3,FALSE),0)</f>
        <v>0</v>
      </c>
      <c r="AO383" s="246">
        <f>IFERROR(VLOOKUP(M383,PROGRAMAS[],3,FALSE),0)</f>
        <v>0</v>
      </c>
      <c r="AP383" s="246">
        <f>IFERROR(VLOOKUP(N383,PROGRAMAS[],3,FALSE),0)</f>
        <v>0</v>
      </c>
      <c r="AQ383" s="246">
        <f>IFERROR(VLOOKUP(O383,PROGRAMAS[],3,FALSE),0)</f>
        <v>0</v>
      </c>
      <c r="AR383" s="246">
        <f>IFERROR(VLOOKUP(P383,PROGRAMAS[],3,FALSE),0)</f>
        <v>0</v>
      </c>
      <c r="AS383" s="246">
        <f>IFERROR(VLOOKUP(Q383,PROGRAMAS[],3,FALSE),0)</f>
        <v>0</v>
      </c>
      <c r="AT383" s="246">
        <f>IFERROR(VLOOKUP(D383,VOL_REC[],2,FALSE),0)</f>
        <v>0</v>
      </c>
      <c r="AU383" s="246">
        <f>IFERROR(VLOOKUP(E383,VOL_REC[],2,FALSE),0)</f>
        <v>0</v>
      </c>
      <c r="AV383" s="246">
        <f>IFERROR(VLOOKUP(F383,VOL_REC[],2,FALSE),0)</f>
        <v>11089674.200000001</v>
      </c>
      <c r="AW383" s="246">
        <f>IFERROR(VLOOKUP(G383,VOL_REC[],2,FALSE),0)</f>
        <v>4325103.1812214684</v>
      </c>
      <c r="AX383" s="246">
        <f>IFERROR(VLOOKUP(H383,VOL_REC[],2,FALSE),0)</f>
        <v>3761786</v>
      </c>
      <c r="AY383" s="246">
        <f>IFERROR(VLOOKUP(I383,VOL_REC[],2,FALSE),0)</f>
        <v>1812240</v>
      </c>
      <c r="AZ383" s="246">
        <f>IFERROR(VLOOKUP(J383,VOL_REC[],2,FALSE),0)</f>
        <v>17074.045034105649</v>
      </c>
      <c r="BA383" s="246">
        <f>IFERROR(VLOOKUP(K383,VOL_REC[],2,FALSE),0)</f>
        <v>0</v>
      </c>
      <c r="BB383" s="246">
        <f>IFERROR(VLOOKUP(L383,VOL_REC[],2,FALSE),0)</f>
        <v>0</v>
      </c>
      <c r="BC383" s="246">
        <f>IFERROR(VLOOKUP(M383,VOL_REC[],2,FALSE),0)</f>
        <v>0</v>
      </c>
      <c r="BD383" s="246">
        <f>IFERROR(VLOOKUP(N383,VOL_REC[],2,FALSE),0)</f>
        <v>0</v>
      </c>
      <c r="BE383" s="246">
        <f>IFERROR(VLOOKUP(O383,VOL_REC[],2,FALSE),0)</f>
        <v>0</v>
      </c>
      <c r="BF383" s="246">
        <f>IFERROR(VLOOKUP(P383,VOL_REC[],2,FALSE),0)</f>
        <v>0</v>
      </c>
      <c r="BG383" s="246">
        <f>IFERROR(VLOOKUP(Q383,VOL_REC[],2,FALSE),0)</f>
        <v>0</v>
      </c>
      <c r="BH383" s="1710">
        <f t="shared" si="20"/>
        <v>16058927930.449686</v>
      </c>
      <c r="BI383" s="1710">
        <f t="shared" si="21"/>
        <v>20461892643.822697</v>
      </c>
      <c r="BJ383" s="1711">
        <f t="shared" si="22"/>
        <v>21005877.426255576</v>
      </c>
      <c r="BK383" s="1711">
        <f t="shared" si="23"/>
        <v>0.78482123867939291</v>
      </c>
    </row>
    <row r="384" spans="3:67" x14ac:dyDescent="0.25">
      <c r="C384" s="246" t="s">
        <v>1734</v>
      </c>
      <c r="D384" s="246">
        <v>1</v>
      </c>
      <c r="E384" s="246">
        <v>2</v>
      </c>
      <c r="F384" s="246">
        <v>3</v>
      </c>
      <c r="G384" s="246">
        <v>5</v>
      </c>
      <c r="H384" s="246">
        <v>9</v>
      </c>
      <c r="I384" s="246">
        <v>10</v>
      </c>
      <c r="J384" s="246">
        <v>15</v>
      </c>
      <c r="K384" s="246"/>
      <c r="L384" s="246"/>
      <c r="M384" s="246"/>
      <c r="N384" s="246"/>
      <c r="O384" s="246"/>
      <c r="P384" s="246"/>
      <c r="Q384" s="246"/>
      <c r="R384" s="246">
        <f>IFERROR(VLOOKUP(D384,PROGRAMAS[],2,FALSE),0)</f>
        <v>97037803.679377079</v>
      </c>
      <c r="S384" s="246">
        <f>IFERROR(VLOOKUP(E384,PROGRAMAS[],2,FALSE),0)</f>
        <v>640501509.6821388</v>
      </c>
      <c r="T384" s="246">
        <f>IFERROR(VLOOKUP(F384,PROGRAMAS[],2,FALSE),0)</f>
        <v>3062327798.1525245</v>
      </c>
      <c r="U384" s="246">
        <f>IFERROR(VLOOKUP(G384,PROGRAMAS[],2,FALSE),0)</f>
        <v>1440941976.2528784</v>
      </c>
      <c r="V384" s="246">
        <f>IFERROR(VLOOKUP(H384,PROGRAMAS[],2,FALSE),0)</f>
        <v>6128579952.1618185</v>
      </c>
      <c r="W384" s="246">
        <f>IFERROR(VLOOKUP(I384,PROGRAMAS[],2,FALSE),0)</f>
        <v>4635315027.8751087</v>
      </c>
      <c r="X384" s="246">
        <f>IFERROR(VLOOKUP(J384,PROGRAMAS[],2,FALSE),0)</f>
        <v>122159672.96346797</v>
      </c>
      <c r="Y384" s="246">
        <f>IFERROR(VLOOKUP(K384,PROGRAMAS[],2,FALSE),0)</f>
        <v>0</v>
      </c>
      <c r="Z384" s="246">
        <f>IFERROR(VLOOKUP(L384,PROGRAMAS[],2,FALSE),0)</f>
        <v>0</v>
      </c>
      <c r="AA384" s="246">
        <f>IFERROR(VLOOKUP(M384,PROGRAMAS[],2,FALSE),0)</f>
        <v>0</v>
      </c>
      <c r="AB384" s="246">
        <f>IFERROR(VLOOKUP(N384,PROGRAMAS[],2,FALSE),0)</f>
        <v>0</v>
      </c>
      <c r="AC384" s="246">
        <f>IFERROR(VLOOKUP(O384,PROGRAMAS[],2,FALSE),0)</f>
        <v>0</v>
      </c>
      <c r="AD384" s="246">
        <f>IFERROR(VLOOKUP(P384,PROGRAMAS[],2,FALSE),0)</f>
        <v>0</v>
      </c>
      <c r="AE384" s="246">
        <f>IFERROR(VLOOKUP(Q384,PROGRAMAS[],2,FALSE),0)</f>
        <v>0</v>
      </c>
      <c r="AF384" s="246">
        <f>IFERROR(VLOOKUP(D384,PROGRAMAS[],3,FALSE),0)</f>
        <v>841888629.31080008</v>
      </c>
      <c r="AG384" s="246">
        <f>IFERROR(VLOOKUP(E384,PROGRAMAS[],3,FALSE),0)</f>
        <v>3848980803.1642323</v>
      </c>
      <c r="AH384" s="246">
        <f>IFERROR(VLOOKUP(F384,PROGRAMAS[],3,FALSE),0)</f>
        <v>3394901471.387517</v>
      </c>
      <c r="AI384" s="246">
        <f>IFERROR(VLOOKUP(G384,PROGRAMAS[],3,FALSE),0)</f>
        <v>1233505101.0616004</v>
      </c>
      <c r="AJ384" s="246">
        <f>IFERROR(VLOOKUP(H384,PROGRAMAS[],3,FALSE),0)</f>
        <v>7011279577.519702</v>
      </c>
      <c r="AK384" s="246">
        <f>IFERROR(VLOOKUP(I384,PROGRAMAS[],3,FALSE),0)</f>
        <v>4099471734.9978786</v>
      </c>
      <c r="AL384" s="246">
        <f>IFERROR(VLOOKUP(J384,PROGRAMAS[],3,FALSE),0)</f>
        <v>118617452.52510804</v>
      </c>
      <c r="AM384" s="246">
        <f>IFERROR(VLOOKUP(K384,PROGRAMAS[],3,FALSE),0)</f>
        <v>0</v>
      </c>
      <c r="AN384" s="246">
        <f>IFERROR(VLOOKUP(L384,PROGRAMAS[],3,FALSE),0)</f>
        <v>0</v>
      </c>
      <c r="AO384" s="246">
        <f>IFERROR(VLOOKUP(M384,PROGRAMAS[],3,FALSE),0)</f>
        <v>0</v>
      </c>
      <c r="AP384" s="246">
        <f>IFERROR(VLOOKUP(N384,PROGRAMAS[],3,FALSE),0)</f>
        <v>0</v>
      </c>
      <c r="AQ384" s="246">
        <f>IFERROR(VLOOKUP(O384,PROGRAMAS[],3,FALSE),0)</f>
        <v>0</v>
      </c>
      <c r="AR384" s="246">
        <f>IFERROR(VLOOKUP(P384,PROGRAMAS[],3,FALSE),0)</f>
        <v>0</v>
      </c>
      <c r="AS384" s="246">
        <f>IFERROR(VLOOKUP(Q384,PROGRAMAS[],3,FALSE),0)</f>
        <v>0</v>
      </c>
      <c r="AT384" s="246">
        <f>IFERROR(VLOOKUP(D384,VOL_REC[],2,FALSE),0)</f>
        <v>0</v>
      </c>
      <c r="AU384" s="246">
        <f>IFERROR(VLOOKUP(E384,VOL_REC[],2,FALSE),0)</f>
        <v>0</v>
      </c>
      <c r="AV384" s="246">
        <f>IFERROR(VLOOKUP(F384,VOL_REC[],2,FALSE),0)</f>
        <v>11089674.200000001</v>
      </c>
      <c r="AW384" s="246">
        <f>IFERROR(VLOOKUP(G384,VOL_REC[],2,FALSE),0)</f>
        <v>4325103.1812214684</v>
      </c>
      <c r="AX384" s="246">
        <f>IFERROR(VLOOKUP(H384,VOL_REC[],2,FALSE),0)</f>
        <v>3761786</v>
      </c>
      <c r="AY384" s="246">
        <f>IFERROR(VLOOKUP(I384,VOL_REC[],2,FALSE),0)</f>
        <v>1812240</v>
      </c>
      <c r="AZ384" s="246">
        <f>IFERROR(VLOOKUP(J384,VOL_REC[],2,FALSE),0)</f>
        <v>105072</v>
      </c>
      <c r="BA384" s="246">
        <f>IFERROR(VLOOKUP(K384,VOL_REC[],2,FALSE),0)</f>
        <v>0</v>
      </c>
      <c r="BB384" s="246">
        <f>IFERROR(VLOOKUP(L384,VOL_REC[],2,FALSE),0)</f>
        <v>0</v>
      </c>
      <c r="BC384" s="246">
        <f>IFERROR(VLOOKUP(M384,VOL_REC[],2,FALSE),0)</f>
        <v>0</v>
      </c>
      <c r="BD384" s="246">
        <f>IFERROR(VLOOKUP(N384,VOL_REC[],2,FALSE),0)</f>
        <v>0</v>
      </c>
      <c r="BE384" s="246">
        <f>IFERROR(VLOOKUP(O384,VOL_REC[],2,FALSE),0)</f>
        <v>0</v>
      </c>
      <c r="BF384" s="246">
        <f>IFERROR(VLOOKUP(P384,VOL_REC[],2,FALSE),0)</f>
        <v>0</v>
      </c>
      <c r="BG384" s="246">
        <f>IFERROR(VLOOKUP(Q384,VOL_REC[],2,FALSE),0)</f>
        <v>0</v>
      </c>
      <c r="BH384" s="1710">
        <f t="shared" si="20"/>
        <v>16126863740.767315</v>
      </c>
      <c r="BI384" s="1710">
        <f t="shared" si="21"/>
        <v>20548644769.966839</v>
      </c>
      <c r="BJ384" s="1711">
        <f t="shared" si="22"/>
        <v>21093875.381221469</v>
      </c>
      <c r="BK384" s="1711">
        <f t="shared" si="23"/>
        <v>0.78481398268842328</v>
      </c>
    </row>
    <row r="385" spans="3:67" x14ac:dyDescent="0.25">
      <c r="C385" s="246" t="s">
        <v>1735</v>
      </c>
      <c r="D385" s="246">
        <v>1</v>
      </c>
      <c r="E385" s="246">
        <v>2</v>
      </c>
      <c r="F385" s="246">
        <v>3</v>
      </c>
      <c r="G385" s="246">
        <v>5</v>
      </c>
      <c r="H385" s="246">
        <v>9</v>
      </c>
      <c r="I385" s="246">
        <v>10</v>
      </c>
      <c r="J385" s="246">
        <v>16</v>
      </c>
      <c r="K385" s="246"/>
      <c r="L385" s="246"/>
      <c r="M385" s="246"/>
      <c r="N385" s="246"/>
      <c r="O385" s="246"/>
      <c r="P385" s="246"/>
      <c r="Q385" s="246"/>
      <c r="R385" s="246">
        <f>IFERROR(VLOOKUP(D385,PROGRAMAS[],2,FALSE),0)</f>
        <v>97037803.679377079</v>
      </c>
      <c r="S385" s="246">
        <f>IFERROR(VLOOKUP(E385,PROGRAMAS[],2,FALSE),0)</f>
        <v>640501509.6821388</v>
      </c>
      <c r="T385" s="246">
        <f>IFERROR(VLOOKUP(F385,PROGRAMAS[],2,FALSE),0)</f>
        <v>3062327798.1525245</v>
      </c>
      <c r="U385" s="246">
        <f>IFERROR(VLOOKUP(G385,PROGRAMAS[],2,FALSE),0)</f>
        <v>1440941976.2528784</v>
      </c>
      <c r="V385" s="246">
        <f>IFERROR(VLOOKUP(H385,PROGRAMAS[],2,FALSE),0)</f>
        <v>6128579952.1618185</v>
      </c>
      <c r="W385" s="246">
        <f>IFERROR(VLOOKUP(I385,PROGRAMAS[],2,FALSE),0)</f>
        <v>4635315027.8751087</v>
      </c>
      <c r="X385" s="246">
        <f>IFERROR(VLOOKUP(J385,PROGRAMAS[],2,FALSE),0)</f>
        <v>7068496961.0436354</v>
      </c>
      <c r="Y385" s="246">
        <f>IFERROR(VLOOKUP(K385,PROGRAMAS[],2,FALSE),0)</f>
        <v>0</v>
      </c>
      <c r="Z385" s="246">
        <f>IFERROR(VLOOKUP(L385,PROGRAMAS[],2,FALSE),0)</f>
        <v>0</v>
      </c>
      <c r="AA385" s="246">
        <f>IFERROR(VLOOKUP(M385,PROGRAMAS[],2,FALSE),0)</f>
        <v>0</v>
      </c>
      <c r="AB385" s="246">
        <f>IFERROR(VLOOKUP(N385,PROGRAMAS[],2,FALSE),0)</f>
        <v>0</v>
      </c>
      <c r="AC385" s="246">
        <f>IFERROR(VLOOKUP(O385,PROGRAMAS[],2,FALSE),0)</f>
        <v>0</v>
      </c>
      <c r="AD385" s="246">
        <f>IFERROR(VLOOKUP(P385,PROGRAMAS[],2,FALSE),0)</f>
        <v>0</v>
      </c>
      <c r="AE385" s="246">
        <f>IFERROR(VLOOKUP(Q385,PROGRAMAS[],2,FALSE),0)</f>
        <v>0</v>
      </c>
      <c r="AF385" s="246">
        <f>IFERROR(VLOOKUP(D385,PROGRAMAS[],3,FALSE),0)</f>
        <v>841888629.31080008</v>
      </c>
      <c r="AG385" s="246">
        <f>IFERROR(VLOOKUP(E385,PROGRAMAS[],3,FALSE),0)</f>
        <v>3848980803.1642323</v>
      </c>
      <c r="AH385" s="246">
        <f>IFERROR(VLOOKUP(F385,PROGRAMAS[],3,FALSE),0)</f>
        <v>3394901471.387517</v>
      </c>
      <c r="AI385" s="246">
        <f>IFERROR(VLOOKUP(G385,PROGRAMAS[],3,FALSE),0)</f>
        <v>1233505101.0616004</v>
      </c>
      <c r="AJ385" s="246">
        <f>IFERROR(VLOOKUP(H385,PROGRAMAS[],3,FALSE),0)</f>
        <v>7011279577.519702</v>
      </c>
      <c r="AK385" s="246">
        <f>IFERROR(VLOOKUP(I385,PROGRAMAS[],3,FALSE),0)</f>
        <v>4099471734.9978786</v>
      </c>
      <c r="AL385" s="246">
        <f>IFERROR(VLOOKUP(J385,PROGRAMAS[],3,FALSE),0)</f>
        <v>2406564599.0319901</v>
      </c>
      <c r="AM385" s="246">
        <f>IFERROR(VLOOKUP(K385,PROGRAMAS[],3,FALSE),0)</f>
        <v>0</v>
      </c>
      <c r="AN385" s="246">
        <f>IFERROR(VLOOKUP(L385,PROGRAMAS[],3,FALSE),0)</f>
        <v>0</v>
      </c>
      <c r="AO385" s="246">
        <f>IFERROR(VLOOKUP(M385,PROGRAMAS[],3,FALSE),0)</f>
        <v>0</v>
      </c>
      <c r="AP385" s="246">
        <f>IFERROR(VLOOKUP(N385,PROGRAMAS[],3,FALSE),0)</f>
        <v>0</v>
      </c>
      <c r="AQ385" s="246">
        <f>IFERROR(VLOOKUP(O385,PROGRAMAS[],3,FALSE),0)</f>
        <v>0</v>
      </c>
      <c r="AR385" s="246">
        <f>IFERROR(VLOOKUP(P385,PROGRAMAS[],3,FALSE),0)</f>
        <v>0</v>
      </c>
      <c r="AS385" s="246">
        <f>IFERROR(VLOOKUP(Q385,PROGRAMAS[],3,FALSE),0)</f>
        <v>0</v>
      </c>
      <c r="AT385" s="246">
        <f>IFERROR(VLOOKUP(D385,VOL_REC[],2,FALSE),0)</f>
        <v>0</v>
      </c>
      <c r="AU385" s="246">
        <f>IFERROR(VLOOKUP(E385,VOL_REC[],2,FALSE),0)</f>
        <v>0</v>
      </c>
      <c r="AV385" s="246">
        <f>IFERROR(VLOOKUP(F385,VOL_REC[],2,FALSE),0)</f>
        <v>11089674.200000001</v>
      </c>
      <c r="AW385" s="246">
        <f>IFERROR(VLOOKUP(G385,VOL_REC[],2,FALSE),0)</f>
        <v>4325103.1812214684</v>
      </c>
      <c r="AX385" s="246">
        <f>IFERROR(VLOOKUP(H385,VOL_REC[],2,FALSE),0)</f>
        <v>3761786</v>
      </c>
      <c r="AY385" s="246">
        <f>IFERROR(VLOOKUP(I385,VOL_REC[],2,FALSE),0)</f>
        <v>1812240</v>
      </c>
      <c r="AZ385" s="246">
        <f>IFERROR(VLOOKUP(J385,VOL_REC[],2,FALSE),0)</f>
        <v>1072354.9981737854</v>
      </c>
      <c r="BA385" s="246">
        <f>IFERROR(VLOOKUP(K385,VOL_REC[],2,FALSE),0)</f>
        <v>0</v>
      </c>
      <c r="BB385" s="246">
        <f>IFERROR(VLOOKUP(L385,VOL_REC[],2,FALSE),0)</f>
        <v>0</v>
      </c>
      <c r="BC385" s="246">
        <f>IFERROR(VLOOKUP(M385,VOL_REC[],2,FALSE),0)</f>
        <v>0</v>
      </c>
      <c r="BD385" s="246">
        <f>IFERROR(VLOOKUP(N385,VOL_REC[],2,FALSE),0)</f>
        <v>0</v>
      </c>
      <c r="BE385" s="246">
        <f>IFERROR(VLOOKUP(O385,VOL_REC[],2,FALSE),0)</f>
        <v>0</v>
      </c>
      <c r="BF385" s="246">
        <f>IFERROR(VLOOKUP(P385,VOL_REC[],2,FALSE),0)</f>
        <v>0</v>
      </c>
      <c r="BG385" s="246">
        <f>IFERROR(VLOOKUP(Q385,VOL_REC[],2,FALSE),0)</f>
        <v>0</v>
      </c>
      <c r="BH385" s="1710">
        <f t="shared" si="20"/>
        <v>23073201028.847481</v>
      </c>
      <c r="BI385" s="1710">
        <f t="shared" si="21"/>
        <v>22836591916.473721</v>
      </c>
      <c r="BJ385" s="1711">
        <f t="shared" si="22"/>
        <v>22061158.379395254</v>
      </c>
      <c r="BK385" s="1711">
        <f t="shared" si="23"/>
        <v>1.0103609642471685</v>
      </c>
      <c r="BL385">
        <f>BJ385</f>
        <v>22061158.379395254</v>
      </c>
      <c r="BO385">
        <f>BL385</f>
        <v>22061158.379395254</v>
      </c>
    </row>
    <row r="386" spans="3:67" x14ac:dyDescent="0.25">
      <c r="C386" s="246" t="s">
        <v>1736</v>
      </c>
      <c r="D386" s="246">
        <v>1</v>
      </c>
      <c r="E386" s="246">
        <v>2</v>
      </c>
      <c r="F386" s="246">
        <v>3</v>
      </c>
      <c r="G386" s="246">
        <v>5</v>
      </c>
      <c r="H386" s="246">
        <v>9</v>
      </c>
      <c r="I386" s="246">
        <v>10</v>
      </c>
      <c r="J386" s="246">
        <v>17</v>
      </c>
      <c r="K386" s="246"/>
      <c r="L386" s="246"/>
      <c r="M386" s="246"/>
      <c r="N386" s="246"/>
      <c r="O386" s="246"/>
      <c r="P386" s="246"/>
      <c r="Q386" s="246"/>
      <c r="R386" s="246">
        <f>IFERROR(VLOOKUP(D386,PROGRAMAS[],2,FALSE),0)</f>
        <v>97037803.679377079</v>
      </c>
      <c r="S386" s="246">
        <f>IFERROR(VLOOKUP(E386,PROGRAMAS[],2,FALSE),0)</f>
        <v>640501509.6821388</v>
      </c>
      <c r="T386" s="246">
        <f>IFERROR(VLOOKUP(F386,PROGRAMAS[],2,FALSE),0)</f>
        <v>3062327798.1525245</v>
      </c>
      <c r="U386" s="246">
        <f>IFERROR(VLOOKUP(G386,PROGRAMAS[],2,FALSE),0)</f>
        <v>1440941976.2528784</v>
      </c>
      <c r="V386" s="246">
        <f>IFERROR(VLOOKUP(H386,PROGRAMAS[],2,FALSE),0)</f>
        <v>6128579952.1618185</v>
      </c>
      <c r="W386" s="246">
        <f>IFERROR(VLOOKUP(I386,PROGRAMAS[],2,FALSE),0)</f>
        <v>4635315027.8751087</v>
      </c>
      <c r="X386" s="246">
        <f>IFERROR(VLOOKUP(J386,PROGRAMAS[],2,FALSE),0)</f>
        <v>1892779498.5211046</v>
      </c>
      <c r="Y386" s="246">
        <f>IFERROR(VLOOKUP(K386,PROGRAMAS[],2,FALSE),0)</f>
        <v>0</v>
      </c>
      <c r="Z386" s="246">
        <f>IFERROR(VLOOKUP(L386,PROGRAMAS[],2,FALSE),0)</f>
        <v>0</v>
      </c>
      <c r="AA386" s="246">
        <f>IFERROR(VLOOKUP(M386,PROGRAMAS[],2,FALSE),0)</f>
        <v>0</v>
      </c>
      <c r="AB386" s="246">
        <f>IFERROR(VLOOKUP(N386,PROGRAMAS[],2,FALSE),0)</f>
        <v>0</v>
      </c>
      <c r="AC386" s="246">
        <f>IFERROR(VLOOKUP(O386,PROGRAMAS[],2,FALSE),0)</f>
        <v>0</v>
      </c>
      <c r="AD386" s="246">
        <f>IFERROR(VLOOKUP(P386,PROGRAMAS[],2,FALSE),0)</f>
        <v>0</v>
      </c>
      <c r="AE386" s="246">
        <f>IFERROR(VLOOKUP(Q386,PROGRAMAS[],2,FALSE),0)</f>
        <v>0</v>
      </c>
      <c r="AF386" s="246">
        <f>IFERROR(VLOOKUP(D386,PROGRAMAS[],3,FALSE),0)</f>
        <v>841888629.31080008</v>
      </c>
      <c r="AG386" s="246">
        <f>IFERROR(VLOOKUP(E386,PROGRAMAS[],3,FALSE),0)</f>
        <v>3848980803.1642323</v>
      </c>
      <c r="AH386" s="246">
        <f>IFERROR(VLOOKUP(F386,PROGRAMAS[],3,FALSE),0)</f>
        <v>3394901471.387517</v>
      </c>
      <c r="AI386" s="246">
        <f>IFERROR(VLOOKUP(G386,PROGRAMAS[],3,FALSE),0)</f>
        <v>1233505101.0616004</v>
      </c>
      <c r="AJ386" s="246">
        <f>IFERROR(VLOOKUP(H386,PROGRAMAS[],3,FALSE),0)</f>
        <v>7011279577.519702</v>
      </c>
      <c r="AK386" s="246">
        <f>IFERROR(VLOOKUP(I386,PROGRAMAS[],3,FALSE),0)</f>
        <v>4099471734.9978786</v>
      </c>
      <c r="AL386" s="246">
        <f>IFERROR(VLOOKUP(J386,PROGRAMAS[],3,FALSE),0)</f>
        <v>948595847.09039903</v>
      </c>
      <c r="AM386" s="246">
        <f>IFERROR(VLOOKUP(K386,PROGRAMAS[],3,FALSE),0)</f>
        <v>0</v>
      </c>
      <c r="AN386" s="246">
        <f>IFERROR(VLOOKUP(L386,PROGRAMAS[],3,FALSE),0)</f>
        <v>0</v>
      </c>
      <c r="AO386" s="246">
        <f>IFERROR(VLOOKUP(M386,PROGRAMAS[],3,FALSE),0)</f>
        <v>0</v>
      </c>
      <c r="AP386" s="246">
        <f>IFERROR(VLOOKUP(N386,PROGRAMAS[],3,FALSE),0)</f>
        <v>0</v>
      </c>
      <c r="AQ386" s="246">
        <f>IFERROR(VLOOKUP(O386,PROGRAMAS[],3,FALSE),0)</f>
        <v>0</v>
      </c>
      <c r="AR386" s="246">
        <f>IFERROR(VLOOKUP(P386,PROGRAMAS[],3,FALSE),0)</f>
        <v>0</v>
      </c>
      <c r="AS386" s="246">
        <f>IFERROR(VLOOKUP(Q386,PROGRAMAS[],3,FALSE),0)</f>
        <v>0</v>
      </c>
      <c r="AT386" s="246">
        <f>IFERROR(VLOOKUP(D386,VOL_REC[],2,FALSE),0)</f>
        <v>0</v>
      </c>
      <c r="AU386" s="246">
        <f>IFERROR(VLOOKUP(E386,VOL_REC[],2,FALSE),0)</f>
        <v>0</v>
      </c>
      <c r="AV386" s="246">
        <f>IFERROR(VLOOKUP(F386,VOL_REC[],2,FALSE),0)</f>
        <v>11089674.200000001</v>
      </c>
      <c r="AW386" s="246">
        <f>IFERROR(VLOOKUP(G386,VOL_REC[],2,FALSE),0)</f>
        <v>4325103.1812214684</v>
      </c>
      <c r="AX386" s="246">
        <f>IFERROR(VLOOKUP(H386,VOL_REC[],2,FALSE),0)</f>
        <v>3761786</v>
      </c>
      <c r="AY386" s="246">
        <f>IFERROR(VLOOKUP(I386,VOL_REC[],2,FALSE),0)</f>
        <v>1812240</v>
      </c>
      <c r="AZ386" s="246">
        <f>IFERROR(VLOOKUP(J386,VOL_REC[],2,FALSE),0)</f>
        <v>740113.98115702497</v>
      </c>
      <c r="BA386" s="246">
        <f>IFERROR(VLOOKUP(K386,VOL_REC[],2,FALSE),0)</f>
        <v>0</v>
      </c>
      <c r="BB386" s="246">
        <f>IFERROR(VLOOKUP(L386,VOL_REC[],2,FALSE),0)</f>
        <v>0</v>
      </c>
      <c r="BC386" s="246">
        <f>IFERROR(VLOOKUP(M386,VOL_REC[],2,FALSE),0)</f>
        <v>0</v>
      </c>
      <c r="BD386" s="246">
        <f>IFERROR(VLOOKUP(N386,VOL_REC[],2,FALSE),0)</f>
        <v>0</v>
      </c>
      <c r="BE386" s="246">
        <f>IFERROR(VLOOKUP(O386,VOL_REC[],2,FALSE),0)</f>
        <v>0</v>
      </c>
      <c r="BF386" s="246">
        <f>IFERROR(VLOOKUP(P386,VOL_REC[],2,FALSE),0)</f>
        <v>0</v>
      </c>
      <c r="BG386" s="246">
        <f>IFERROR(VLOOKUP(Q386,VOL_REC[],2,FALSE),0)</f>
        <v>0</v>
      </c>
      <c r="BH386" s="1710">
        <f t="shared" ref="BH386:BH449" si="24">SUM(R386:AE386)</f>
        <v>17897483566.324951</v>
      </c>
      <c r="BI386" s="1710">
        <f t="shared" ref="BI386:BI449" si="25">SUM(AF386:AS386)</f>
        <v>21378623164.532131</v>
      </c>
      <c r="BJ386" s="1711">
        <f t="shared" ref="BJ386:BJ449" si="26">SUM(AT386:BG386)</f>
        <v>21728917.362378493</v>
      </c>
      <c r="BK386" s="1711">
        <f t="shared" ref="BK386:BK449" si="27">IFERROR(BH386/BI386,0)</f>
        <v>0.83716726884533377</v>
      </c>
    </row>
    <row r="387" spans="3:67" x14ac:dyDescent="0.25">
      <c r="C387" s="246" t="s">
        <v>1737</v>
      </c>
      <c r="D387" s="246">
        <v>1</v>
      </c>
      <c r="E387" s="246">
        <v>2</v>
      </c>
      <c r="F387" s="246">
        <v>3</v>
      </c>
      <c r="G387" s="246">
        <v>5</v>
      </c>
      <c r="H387" s="246">
        <v>9</v>
      </c>
      <c r="I387" s="246">
        <v>12</v>
      </c>
      <c r="J387" s="246">
        <v>13</v>
      </c>
      <c r="K387" s="246"/>
      <c r="L387" s="246"/>
      <c r="M387" s="246"/>
      <c r="N387" s="246"/>
      <c r="O387" s="246"/>
      <c r="P387" s="246"/>
      <c r="Q387" s="246"/>
      <c r="R387" s="246">
        <f>IFERROR(VLOOKUP(D387,PROGRAMAS[],2,FALSE),0)</f>
        <v>97037803.679377079</v>
      </c>
      <c r="S387" s="246">
        <f>IFERROR(VLOOKUP(E387,PROGRAMAS[],2,FALSE),0)</f>
        <v>640501509.6821388</v>
      </c>
      <c r="T387" s="246">
        <f>IFERROR(VLOOKUP(F387,PROGRAMAS[],2,FALSE),0)</f>
        <v>3062327798.1525245</v>
      </c>
      <c r="U387" s="246">
        <f>IFERROR(VLOOKUP(G387,PROGRAMAS[],2,FALSE),0)</f>
        <v>1440941976.2528784</v>
      </c>
      <c r="V387" s="246">
        <f>IFERROR(VLOOKUP(H387,PROGRAMAS[],2,FALSE),0)</f>
        <v>6128579952.1618185</v>
      </c>
      <c r="W387" s="246">
        <f>IFERROR(VLOOKUP(I387,PROGRAMAS[],2,FALSE),0)</f>
        <v>764796700.79905891</v>
      </c>
      <c r="X387" s="246">
        <f>IFERROR(VLOOKUP(J387,PROGRAMAS[],2,FALSE),0)</f>
        <v>3776538594.4604583</v>
      </c>
      <c r="Y387" s="246">
        <f>IFERROR(VLOOKUP(K387,PROGRAMAS[],2,FALSE),0)</f>
        <v>0</v>
      </c>
      <c r="Z387" s="246">
        <f>IFERROR(VLOOKUP(L387,PROGRAMAS[],2,FALSE),0)</f>
        <v>0</v>
      </c>
      <c r="AA387" s="246">
        <f>IFERROR(VLOOKUP(M387,PROGRAMAS[],2,FALSE),0)</f>
        <v>0</v>
      </c>
      <c r="AB387" s="246">
        <f>IFERROR(VLOOKUP(N387,PROGRAMAS[],2,FALSE),0)</f>
        <v>0</v>
      </c>
      <c r="AC387" s="246">
        <f>IFERROR(VLOOKUP(O387,PROGRAMAS[],2,FALSE),0)</f>
        <v>0</v>
      </c>
      <c r="AD387" s="246">
        <f>IFERROR(VLOOKUP(P387,PROGRAMAS[],2,FALSE),0)</f>
        <v>0</v>
      </c>
      <c r="AE387" s="246">
        <f>IFERROR(VLOOKUP(Q387,PROGRAMAS[],2,FALSE),0)</f>
        <v>0</v>
      </c>
      <c r="AF387" s="246">
        <f>IFERROR(VLOOKUP(D387,PROGRAMAS[],3,FALSE),0)</f>
        <v>841888629.31080008</v>
      </c>
      <c r="AG387" s="246">
        <f>IFERROR(VLOOKUP(E387,PROGRAMAS[],3,FALSE),0)</f>
        <v>3848980803.1642323</v>
      </c>
      <c r="AH387" s="246">
        <f>IFERROR(VLOOKUP(F387,PROGRAMAS[],3,FALSE),0)</f>
        <v>3394901471.387517</v>
      </c>
      <c r="AI387" s="246">
        <f>IFERROR(VLOOKUP(G387,PROGRAMAS[],3,FALSE),0)</f>
        <v>1233505101.0616004</v>
      </c>
      <c r="AJ387" s="246">
        <f>IFERROR(VLOOKUP(H387,PROGRAMAS[],3,FALSE),0)</f>
        <v>7011279577.519702</v>
      </c>
      <c r="AK387" s="246">
        <f>IFERROR(VLOOKUP(I387,PROGRAMAS[],3,FALSE),0)</f>
        <v>675517840.109828</v>
      </c>
      <c r="AL387" s="246">
        <f>IFERROR(VLOOKUP(J387,PROGRAMAS[],3,FALSE),0)</f>
        <v>2392571243.5584412</v>
      </c>
      <c r="AM387" s="246">
        <f>IFERROR(VLOOKUP(K387,PROGRAMAS[],3,FALSE),0)</f>
        <v>0</v>
      </c>
      <c r="AN387" s="246">
        <f>IFERROR(VLOOKUP(L387,PROGRAMAS[],3,FALSE),0)</f>
        <v>0</v>
      </c>
      <c r="AO387" s="246">
        <f>IFERROR(VLOOKUP(M387,PROGRAMAS[],3,FALSE),0)</f>
        <v>0</v>
      </c>
      <c r="AP387" s="246">
        <f>IFERROR(VLOOKUP(N387,PROGRAMAS[],3,FALSE),0)</f>
        <v>0</v>
      </c>
      <c r="AQ387" s="246">
        <f>IFERROR(VLOOKUP(O387,PROGRAMAS[],3,FALSE),0)</f>
        <v>0</v>
      </c>
      <c r="AR387" s="246">
        <f>IFERROR(VLOOKUP(P387,PROGRAMAS[],3,FALSE),0)</f>
        <v>0</v>
      </c>
      <c r="AS387" s="246">
        <f>IFERROR(VLOOKUP(Q387,PROGRAMAS[],3,FALSE),0)</f>
        <v>0</v>
      </c>
      <c r="AT387" s="246">
        <f>IFERROR(VLOOKUP(D387,VOL_REC[],2,FALSE),0)</f>
        <v>0</v>
      </c>
      <c r="AU387" s="246">
        <f>IFERROR(VLOOKUP(E387,VOL_REC[],2,FALSE),0)</f>
        <v>0</v>
      </c>
      <c r="AV387" s="246">
        <f>IFERROR(VLOOKUP(F387,VOL_REC[],2,FALSE),0)</f>
        <v>11089674.200000001</v>
      </c>
      <c r="AW387" s="246">
        <f>IFERROR(VLOOKUP(G387,VOL_REC[],2,FALSE),0)</f>
        <v>4325103.1812214684</v>
      </c>
      <c r="AX387" s="246">
        <f>IFERROR(VLOOKUP(H387,VOL_REC[],2,FALSE),0)</f>
        <v>3761786</v>
      </c>
      <c r="AY387" s="246">
        <f>IFERROR(VLOOKUP(I387,VOL_REC[],2,FALSE),0)</f>
        <v>240696.79238099116</v>
      </c>
      <c r="AZ387" s="246">
        <f>IFERROR(VLOOKUP(J387,VOL_REC[],2,FALSE),0)</f>
        <v>663244.80000000016</v>
      </c>
      <c r="BA387" s="246">
        <f>IFERROR(VLOOKUP(K387,VOL_REC[],2,FALSE),0)</f>
        <v>0</v>
      </c>
      <c r="BB387" s="246">
        <f>IFERROR(VLOOKUP(L387,VOL_REC[],2,FALSE),0)</f>
        <v>0</v>
      </c>
      <c r="BC387" s="246">
        <f>IFERROR(VLOOKUP(M387,VOL_REC[],2,FALSE),0)</f>
        <v>0</v>
      </c>
      <c r="BD387" s="246">
        <f>IFERROR(VLOOKUP(N387,VOL_REC[],2,FALSE),0)</f>
        <v>0</v>
      </c>
      <c r="BE387" s="246">
        <f>IFERROR(VLOOKUP(O387,VOL_REC[],2,FALSE),0)</f>
        <v>0</v>
      </c>
      <c r="BF387" s="246">
        <f>IFERROR(VLOOKUP(P387,VOL_REC[],2,FALSE),0)</f>
        <v>0</v>
      </c>
      <c r="BG387" s="246">
        <f>IFERROR(VLOOKUP(Q387,VOL_REC[],2,FALSE),0)</f>
        <v>0</v>
      </c>
      <c r="BH387" s="1710">
        <f t="shared" si="24"/>
        <v>15910724335.188255</v>
      </c>
      <c r="BI387" s="1710">
        <f t="shared" si="25"/>
        <v>19398644666.112122</v>
      </c>
      <c r="BJ387" s="1711">
        <f t="shared" si="26"/>
        <v>20080504.973602463</v>
      </c>
      <c r="BK387" s="1711">
        <f t="shared" si="27"/>
        <v>0.82019773077152225</v>
      </c>
    </row>
    <row r="388" spans="3:67" x14ac:dyDescent="0.25">
      <c r="C388" s="246" t="s">
        <v>1738</v>
      </c>
      <c r="D388" s="246">
        <v>1</v>
      </c>
      <c r="E388" s="246">
        <v>2</v>
      </c>
      <c r="F388" s="246">
        <v>3</v>
      </c>
      <c r="G388" s="246">
        <v>5</v>
      </c>
      <c r="H388" s="246">
        <v>9</v>
      </c>
      <c r="I388" s="246">
        <v>12</v>
      </c>
      <c r="J388" s="246">
        <v>14</v>
      </c>
      <c r="K388" s="246"/>
      <c r="L388" s="246"/>
      <c r="M388" s="246"/>
      <c r="N388" s="246"/>
      <c r="O388" s="246"/>
      <c r="P388" s="246"/>
      <c r="Q388" s="246"/>
      <c r="R388" s="246">
        <f>IFERROR(VLOOKUP(D388,PROGRAMAS[],2,FALSE),0)</f>
        <v>97037803.679377079</v>
      </c>
      <c r="S388" s="246">
        <f>IFERROR(VLOOKUP(E388,PROGRAMAS[],2,FALSE),0)</f>
        <v>640501509.6821388</v>
      </c>
      <c r="T388" s="246">
        <f>IFERROR(VLOOKUP(F388,PROGRAMAS[],2,FALSE),0)</f>
        <v>3062327798.1525245</v>
      </c>
      <c r="U388" s="246">
        <f>IFERROR(VLOOKUP(G388,PROGRAMAS[],2,FALSE),0)</f>
        <v>1440941976.2528784</v>
      </c>
      <c r="V388" s="246">
        <f>IFERROR(VLOOKUP(H388,PROGRAMAS[],2,FALSE),0)</f>
        <v>6128579952.1618185</v>
      </c>
      <c r="W388" s="246">
        <f>IFERROR(VLOOKUP(I388,PROGRAMAS[],2,FALSE),0)</f>
        <v>764796700.79905891</v>
      </c>
      <c r="X388" s="246">
        <f>IFERROR(VLOOKUP(J388,PROGRAMAS[],2,FALSE),0)</f>
        <v>54223862.645839565</v>
      </c>
      <c r="Y388" s="246">
        <f>IFERROR(VLOOKUP(K388,PROGRAMAS[],2,FALSE),0)</f>
        <v>0</v>
      </c>
      <c r="Z388" s="246">
        <f>IFERROR(VLOOKUP(L388,PROGRAMAS[],2,FALSE),0)</f>
        <v>0</v>
      </c>
      <c r="AA388" s="246">
        <f>IFERROR(VLOOKUP(M388,PROGRAMAS[],2,FALSE),0)</f>
        <v>0</v>
      </c>
      <c r="AB388" s="246">
        <f>IFERROR(VLOOKUP(N388,PROGRAMAS[],2,FALSE),0)</f>
        <v>0</v>
      </c>
      <c r="AC388" s="246">
        <f>IFERROR(VLOOKUP(O388,PROGRAMAS[],2,FALSE),0)</f>
        <v>0</v>
      </c>
      <c r="AD388" s="246">
        <f>IFERROR(VLOOKUP(P388,PROGRAMAS[],2,FALSE),0)</f>
        <v>0</v>
      </c>
      <c r="AE388" s="246">
        <f>IFERROR(VLOOKUP(Q388,PROGRAMAS[],2,FALSE),0)</f>
        <v>0</v>
      </c>
      <c r="AF388" s="246">
        <f>IFERROR(VLOOKUP(D388,PROGRAMAS[],3,FALSE),0)</f>
        <v>841888629.31080008</v>
      </c>
      <c r="AG388" s="246">
        <f>IFERROR(VLOOKUP(E388,PROGRAMAS[],3,FALSE),0)</f>
        <v>3848980803.1642323</v>
      </c>
      <c r="AH388" s="246">
        <f>IFERROR(VLOOKUP(F388,PROGRAMAS[],3,FALSE),0)</f>
        <v>3394901471.387517</v>
      </c>
      <c r="AI388" s="246">
        <f>IFERROR(VLOOKUP(G388,PROGRAMAS[],3,FALSE),0)</f>
        <v>1233505101.0616004</v>
      </c>
      <c r="AJ388" s="246">
        <f>IFERROR(VLOOKUP(H388,PROGRAMAS[],3,FALSE),0)</f>
        <v>7011279577.519702</v>
      </c>
      <c r="AK388" s="246">
        <f>IFERROR(VLOOKUP(I388,PROGRAMAS[],3,FALSE),0)</f>
        <v>675517840.109828</v>
      </c>
      <c r="AL388" s="246">
        <f>IFERROR(VLOOKUP(J388,PROGRAMAS[],3,FALSE),0)</f>
        <v>31865326.38096505</v>
      </c>
      <c r="AM388" s="246">
        <f>IFERROR(VLOOKUP(K388,PROGRAMAS[],3,FALSE),0)</f>
        <v>0</v>
      </c>
      <c r="AN388" s="246">
        <f>IFERROR(VLOOKUP(L388,PROGRAMAS[],3,FALSE),0)</f>
        <v>0</v>
      </c>
      <c r="AO388" s="246">
        <f>IFERROR(VLOOKUP(M388,PROGRAMAS[],3,FALSE),0)</f>
        <v>0</v>
      </c>
      <c r="AP388" s="246">
        <f>IFERROR(VLOOKUP(N388,PROGRAMAS[],3,FALSE),0)</f>
        <v>0</v>
      </c>
      <c r="AQ388" s="246">
        <f>IFERROR(VLOOKUP(O388,PROGRAMAS[],3,FALSE),0)</f>
        <v>0</v>
      </c>
      <c r="AR388" s="246">
        <f>IFERROR(VLOOKUP(P388,PROGRAMAS[],3,FALSE),0)</f>
        <v>0</v>
      </c>
      <c r="AS388" s="246">
        <f>IFERROR(VLOOKUP(Q388,PROGRAMAS[],3,FALSE),0)</f>
        <v>0</v>
      </c>
      <c r="AT388" s="246">
        <f>IFERROR(VLOOKUP(D388,VOL_REC[],2,FALSE),0)</f>
        <v>0</v>
      </c>
      <c r="AU388" s="246">
        <f>IFERROR(VLOOKUP(E388,VOL_REC[],2,FALSE),0)</f>
        <v>0</v>
      </c>
      <c r="AV388" s="246">
        <f>IFERROR(VLOOKUP(F388,VOL_REC[],2,FALSE),0)</f>
        <v>11089674.200000001</v>
      </c>
      <c r="AW388" s="246">
        <f>IFERROR(VLOOKUP(G388,VOL_REC[],2,FALSE),0)</f>
        <v>4325103.1812214684</v>
      </c>
      <c r="AX388" s="246">
        <f>IFERROR(VLOOKUP(H388,VOL_REC[],2,FALSE),0)</f>
        <v>3761786</v>
      </c>
      <c r="AY388" s="246">
        <f>IFERROR(VLOOKUP(I388,VOL_REC[],2,FALSE),0)</f>
        <v>240696.79238099116</v>
      </c>
      <c r="AZ388" s="246">
        <f>IFERROR(VLOOKUP(J388,VOL_REC[],2,FALSE),0)</f>
        <v>17074.045034105649</v>
      </c>
      <c r="BA388" s="246">
        <f>IFERROR(VLOOKUP(K388,VOL_REC[],2,FALSE),0)</f>
        <v>0</v>
      </c>
      <c r="BB388" s="246">
        <f>IFERROR(VLOOKUP(L388,VOL_REC[],2,FALSE),0)</f>
        <v>0</v>
      </c>
      <c r="BC388" s="246">
        <f>IFERROR(VLOOKUP(M388,VOL_REC[],2,FALSE),0)</f>
        <v>0</v>
      </c>
      <c r="BD388" s="246">
        <f>IFERROR(VLOOKUP(N388,VOL_REC[],2,FALSE),0)</f>
        <v>0</v>
      </c>
      <c r="BE388" s="246">
        <f>IFERROR(VLOOKUP(O388,VOL_REC[],2,FALSE),0)</f>
        <v>0</v>
      </c>
      <c r="BF388" s="246">
        <f>IFERROR(VLOOKUP(P388,VOL_REC[],2,FALSE),0)</f>
        <v>0</v>
      </c>
      <c r="BG388" s="246">
        <f>IFERROR(VLOOKUP(Q388,VOL_REC[],2,FALSE),0)</f>
        <v>0</v>
      </c>
      <c r="BH388" s="1710">
        <f t="shared" si="24"/>
        <v>12188409603.373636</v>
      </c>
      <c r="BI388" s="1710">
        <f t="shared" si="25"/>
        <v>17037938748.934645</v>
      </c>
      <c r="BJ388" s="1711">
        <f t="shared" si="26"/>
        <v>19434334.218636569</v>
      </c>
      <c r="BK388" s="1711">
        <f t="shared" si="27"/>
        <v>0.71536878861803388</v>
      </c>
    </row>
    <row r="389" spans="3:67" x14ac:dyDescent="0.25">
      <c r="C389" s="246" t="s">
        <v>1739</v>
      </c>
      <c r="D389" s="246">
        <v>1</v>
      </c>
      <c r="E389" s="246">
        <v>2</v>
      </c>
      <c r="F389" s="246">
        <v>3</v>
      </c>
      <c r="G389" s="246">
        <v>5</v>
      </c>
      <c r="H389" s="246">
        <v>9</v>
      </c>
      <c r="I389" s="246">
        <v>12</v>
      </c>
      <c r="J389" s="246">
        <v>15</v>
      </c>
      <c r="K389" s="246"/>
      <c r="L389" s="246"/>
      <c r="M389" s="246"/>
      <c r="N389" s="246"/>
      <c r="O389" s="246"/>
      <c r="P389" s="246"/>
      <c r="Q389" s="246"/>
      <c r="R389" s="246">
        <f>IFERROR(VLOOKUP(D389,PROGRAMAS[],2,FALSE),0)</f>
        <v>97037803.679377079</v>
      </c>
      <c r="S389" s="246">
        <f>IFERROR(VLOOKUP(E389,PROGRAMAS[],2,FALSE),0)</f>
        <v>640501509.6821388</v>
      </c>
      <c r="T389" s="246">
        <f>IFERROR(VLOOKUP(F389,PROGRAMAS[],2,FALSE),0)</f>
        <v>3062327798.1525245</v>
      </c>
      <c r="U389" s="246">
        <f>IFERROR(VLOOKUP(G389,PROGRAMAS[],2,FALSE),0)</f>
        <v>1440941976.2528784</v>
      </c>
      <c r="V389" s="246">
        <f>IFERROR(VLOOKUP(H389,PROGRAMAS[],2,FALSE),0)</f>
        <v>6128579952.1618185</v>
      </c>
      <c r="W389" s="246">
        <f>IFERROR(VLOOKUP(I389,PROGRAMAS[],2,FALSE),0)</f>
        <v>764796700.79905891</v>
      </c>
      <c r="X389" s="246">
        <f>IFERROR(VLOOKUP(J389,PROGRAMAS[],2,FALSE),0)</f>
        <v>122159672.96346797</v>
      </c>
      <c r="Y389" s="246">
        <f>IFERROR(VLOOKUP(K389,PROGRAMAS[],2,FALSE),0)</f>
        <v>0</v>
      </c>
      <c r="Z389" s="246">
        <f>IFERROR(VLOOKUP(L389,PROGRAMAS[],2,FALSE),0)</f>
        <v>0</v>
      </c>
      <c r="AA389" s="246">
        <f>IFERROR(VLOOKUP(M389,PROGRAMAS[],2,FALSE),0)</f>
        <v>0</v>
      </c>
      <c r="AB389" s="246">
        <f>IFERROR(VLOOKUP(N389,PROGRAMAS[],2,FALSE),0)</f>
        <v>0</v>
      </c>
      <c r="AC389" s="246">
        <f>IFERROR(VLOOKUP(O389,PROGRAMAS[],2,FALSE),0)</f>
        <v>0</v>
      </c>
      <c r="AD389" s="246">
        <f>IFERROR(VLOOKUP(P389,PROGRAMAS[],2,FALSE),0)</f>
        <v>0</v>
      </c>
      <c r="AE389" s="246">
        <f>IFERROR(VLOOKUP(Q389,PROGRAMAS[],2,FALSE),0)</f>
        <v>0</v>
      </c>
      <c r="AF389" s="246">
        <f>IFERROR(VLOOKUP(D389,PROGRAMAS[],3,FALSE),0)</f>
        <v>841888629.31080008</v>
      </c>
      <c r="AG389" s="246">
        <f>IFERROR(VLOOKUP(E389,PROGRAMAS[],3,FALSE),0)</f>
        <v>3848980803.1642323</v>
      </c>
      <c r="AH389" s="246">
        <f>IFERROR(VLOOKUP(F389,PROGRAMAS[],3,FALSE),0)</f>
        <v>3394901471.387517</v>
      </c>
      <c r="AI389" s="246">
        <f>IFERROR(VLOOKUP(G389,PROGRAMAS[],3,FALSE),0)</f>
        <v>1233505101.0616004</v>
      </c>
      <c r="AJ389" s="246">
        <f>IFERROR(VLOOKUP(H389,PROGRAMAS[],3,FALSE),0)</f>
        <v>7011279577.519702</v>
      </c>
      <c r="AK389" s="246">
        <f>IFERROR(VLOOKUP(I389,PROGRAMAS[],3,FALSE),0)</f>
        <v>675517840.109828</v>
      </c>
      <c r="AL389" s="246">
        <f>IFERROR(VLOOKUP(J389,PROGRAMAS[],3,FALSE),0)</f>
        <v>118617452.52510804</v>
      </c>
      <c r="AM389" s="246">
        <f>IFERROR(VLOOKUP(K389,PROGRAMAS[],3,FALSE),0)</f>
        <v>0</v>
      </c>
      <c r="AN389" s="246">
        <f>IFERROR(VLOOKUP(L389,PROGRAMAS[],3,FALSE),0)</f>
        <v>0</v>
      </c>
      <c r="AO389" s="246">
        <f>IFERROR(VLOOKUP(M389,PROGRAMAS[],3,FALSE),0)</f>
        <v>0</v>
      </c>
      <c r="AP389" s="246">
        <f>IFERROR(VLOOKUP(N389,PROGRAMAS[],3,FALSE),0)</f>
        <v>0</v>
      </c>
      <c r="AQ389" s="246">
        <f>IFERROR(VLOOKUP(O389,PROGRAMAS[],3,FALSE),0)</f>
        <v>0</v>
      </c>
      <c r="AR389" s="246">
        <f>IFERROR(VLOOKUP(P389,PROGRAMAS[],3,FALSE),0)</f>
        <v>0</v>
      </c>
      <c r="AS389" s="246">
        <f>IFERROR(VLOOKUP(Q389,PROGRAMAS[],3,FALSE),0)</f>
        <v>0</v>
      </c>
      <c r="AT389" s="246">
        <f>IFERROR(VLOOKUP(D389,VOL_REC[],2,FALSE),0)</f>
        <v>0</v>
      </c>
      <c r="AU389" s="246">
        <f>IFERROR(VLOOKUP(E389,VOL_REC[],2,FALSE),0)</f>
        <v>0</v>
      </c>
      <c r="AV389" s="246">
        <f>IFERROR(VLOOKUP(F389,VOL_REC[],2,FALSE),0)</f>
        <v>11089674.200000001</v>
      </c>
      <c r="AW389" s="246">
        <f>IFERROR(VLOOKUP(G389,VOL_REC[],2,FALSE),0)</f>
        <v>4325103.1812214684</v>
      </c>
      <c r="AX389" s="246">
        <f>IFERROR(VLOOKUP(H389,VOL_REC[],2,FALSE),0)</f>
        <v>3761786</v>
      </c>
      <c r="AY389" s="246">
        <f>IFERROR(VLOOKUP(I389,VOL_REC[],2,FALSE),0)</f>
        <v>240696.79238099116</v>
      </c>
      <c r="AZ389" s="246">
        <f>IFERROR(VLOOKUP(J389,VOL_REC[],2,FALSE),0)</f>
        <v>105072</v>
      </c>
      <c r="BA389" s="246">
        <f>IFERROR(VLOOKUP(K389,VOL_REC[],2,FALSE),0)</f>
        <v>0</v>
      </c>
      <c r="BB389" s="246">
        <f>IFERROR(VLOOKUP(L389,VOL_REC[],2,FALSE),0)</f>
        <v>0</v>
      </c>
      <c r="BC389" s="246">
        <f>IFERROR(VLOOKUP(M389,VOL_REC[],2,FALSE),0)</f>
        <v>0</v>
      </c>
      <c r="BD389" s="246">
        <f>IFERROR(VLOOKUP(N389,VOL_REC[],2,FALSE),0)</f>
        <v>0</v>
      </c>
      <c r="BE389" s="246">
        <f>IFERROR(VLOOKUP(O389,VOL_REC[],2,FALSE),0)</f>
        <v>0</v>
      </c>
      <c r="BF389" s="246">
        <f>IFERROR(VLOOKUP(P389,VOL_REC[],2,FALSE),0)</f>
        <v>0</v>
      </c>
      <c r="BG389" s="246">
        <f>IFERROR(VLOOKUP(Q389,VOL_REC[],2,FALSE),0)</f>
        <v>0</v>
      </c>
      <c r="BH389" s="1710">
        <f t="shared" si="24"/>
        <v>12256345413.691265</v>
      </c>
      <c r="BI389" s="1710">
        <f t="shared" si="25"/>
        <v>17124690875.078789</v>
      </c>
      <c r="BJ389" s="1711">
        <f t="shared" si="26"/>
        <v>19522332.173602462</v>
      </c>
      <c r="BK389" s="1711">
        <f t="shared" si="27"/>
        <v>0.71571192163986286</v>
      </c>
    </row>
    <row r="390" spans="3:67" x14ac:dyDescent="0.25">
      <c r="C390" s="246" t="s">
        <v>1740</v>
      </c>
      <c r="D390" s="246">
        <v>1</v>
      </c>
      <c r="E390" s="246">
        <v>2</v>
      </c>
      <c r="F390" s="246">
        <v>3</v>
      </c>
      <c r="G390" s="246">
        <v>5</v>
      </c>
      <c r="H390" s="246">
        <v>9</v>
      </c>
      <c r="I390" s="246">
        <v>12</v>
      </c>
      <c r="J390" s="246">
        <v>16</v>
      </c>
      <c r="K390" s="246"/>
      <c r="L390" s="246"/>
      <c r="M390" s="246"/>
      <c r="N390" s="246"/>
      <c r="O390" s="246"/>
      <c r="P390" s="246"/>
      <c r="Q390" s="246"/>
      <c r="R390" s="246">
        <f>IFERROR(VLOOKUP(D390,PROGRAMAS[],2,FALSE),0)</f>
        <v>97037803.679377079</v>
      </c>
      <c r="S390" s="246">
        <f>IFERROR(VLOOKUP(E390,PROGRAMAS[],2,FALSE),0)</f>
        <v>640501509.6821388</v>
      </c>
      <c r="T390" s="246">
        <f>IFERROR(VLOOKUP(F390,PROGRAMAS[],2,FALSE),0)</f>
        <v>3062327798.1525245</v>
      </c>
      <c r="U390" s="246">
        <f>IFERROR(VLOOKUP(G390,PROGRAMAS[],2,FALSE),0)</f>
        <v>1440941976.2528784</v>
      </c>
      <c r="V390" s="246">
        <f>IFERROR(VLOOKUP(H390,PROGRAMAS[],2,FALSE),0)</f>
        <v>6128579952.1618185</v>
      </c>
      <c r="W390" s="246">
        <f>IFERROR(VLOOKUP(I390,PROGRAMAS[],2,FALSE),0)</f>
        <v>764796700.79905891</v>
      </c>
      <c r="X390" s="246">
        <f>IFERROR(VLOOKUP(J390,PROGRAMAS[],2,FALSE),0)</f>
        <v>7068496961.0436354</v>
      </c>
      <c r="Y390" s="246">
        <f>IFERROR(VLOOKUP(K390,PROGRAMAS[],2,FALSE),0)</f>
        <v>0</v>
      </c>
      <c r="Z390" s="246">
        <f>IFERROR(VLOOKUP(L390,PROGRAMAS[],2,FALSE),0)</f>
        <v>0</v>
      </c>
      <c r="AA390" s="246">
        <f>IFERROR(VLOOKUP(M390,PROGRAMAS[],2,FALSE),0)</f>
        <v>0</v>
      </c>
      <c r="AB390" s="246">
        <f>IFERROR(VLOOKUP(N390,PROGRAMAS[],2,FALSE),0)</f>
        <v>0</v>
      </c>
      <c r="AC390" s="246">
        <f>IFERROR(VLOOKUP(O390,PROGRAMAS[],2,FALSE),0)</f>
        <v>0</v>
      </c>
      <c r="AD390" s="246">
        <f>IFERROR(VLOOKUP(P390,PROGRAMAS[],2,FALSE),0)</f>
        <v>0</v>
      </c>
      <c r="AE390" s="246">
        <f>IFERROR(VLOOKUP(Q390,PROGRAMAS[],2,FALSE),0)</f>
        <v>0</v>
      </c>
      <c r="AF390" s="246">
        <f>IFERROR(VLOOKUP(D390,PROGRAMAS[],3,FALSE),0)</f>
        <v>841888629.31080008</v>
      </c>
      <c r="AG390" s="246">
        <f>IFERROR(VLOOKUP(E390,PROGRAMAS[],3,FALSE),0)</f>
        <v>3848980803.1642323</v>
      </c>
      <c r="AH390" s="246">
        <f>IFERROR(VLOOKUP(F390,PROGRAMAS[],3,FALSE),0)</f>
        <v>3394901471.387517</v>
      </c>
      <c r="AI390" s="246">
        <f>IFERROR(VLOOKUP(G390,PROGRAMAS[],3,FALSE),0)</f>
        <v>1233505101.0616004</v>
      </c>
      <c r="AJ390" s="246">
        <f>IFERROR(VLOOKUP(H390,PROGRAMAS[],3,FALSE),0)</f>
        <v>7011279577.519702</v>
      </c>
      <c r="AK390" s="246">
        <f>IFERROR(VLOOKUP(I390,PROGRAMAS[],3,FALSE),0)</f>
        <v>675517840.109828</v>
      </c>
      <c r="AL390" s="246">
        <f>IFERROR(VLOOKUP(J390,PROGRAMAS[],3,FALSE),0)</f>
        <v>2406564599.0319901</v>
      </c>
      <c r="AM390" s="246">
        <f>IFERROR(VLOOKUP(K390,PROGRAMAS[],3,FALSE),0)</f>
        <v>0</v>
      </c>
      <c r="AN390" s="246">
        <f>IFERROR(VLOOKUP(L390,PROGRAMAS[],3,FALSE),0)</f>
        <v>0</v>
      </c>
      <c r="AO390" s="246">
        <f>IFERROR(VLOOKUP(M390,PROGRAMAS[],3,FALSE),0)</f>
        <v>0</v>
      </c>
      <c r="AP390" s="246">
        <f>IFERROR(VLOOKUP(N390,PROGRAMAS[],3,FALSE),0)</f>
        <v>0</v>
      </c>
      <c r="AQ390" s="246">
        <f>IFERROR(VLOOKUP(O390,PROGRAMAS[],3,FALSE),0)</f>
        <v>0</v>
      </c>
      <c r="AR390" s="246">
        <f>IFERROR(VLOOKUP(P390,PROGRAMAS[],3,FALSE),0)</f>
        <v>0</v>
      </c>
      <c r="AS390" s="246">
        <f>IFERROR(VLOOKUP(Q390,PROGRAMAS[],3,FALSE),0)</f>
        <v>0</v>
      </c>
      <c r="AT390" s="246">
        <f>IFERROR(VLOOKUP(D390,VOL_REC[],2,FALSE),0)</f>
        <v>0</v>
      </c>
      <c r="AU390" s="246">
        <f>IFERROR(VLOOKUP(E390,VOL_REC[],2,FALSE),0)</f>
        <v>0</v>
      </c>
      <c r="AV390" s="246">
        <f>IFERROR(VLOOKUP(F390,VOL_REC[],2,FALSE),0)</f>
        <v>11089674.200000001</v>
      </c>
      <c r="AW390" s="246">
        <f>IFERROR(VLOOKUP(G390,VOL_REC[],2,FALSE),0)</f>
        <v>4325103.1812214684</v>
      </c>
      <c r="AX390" s="246">
        <f>IFERROR(VLOOKUP(H390,VOL_REC[],2,FALSE),0)</f>
        <v>3761786</v>
      </c>
      <c r="AY390" s="246">
        <f>IFERROR(VLOOKUP(I390,VOL_REC[],2,FALSE),0)</f>
        <v>240696.79238099116</v>
      </c>
      <c r="AZ390" s="246">
        <f>IFERROR(VLOOKUP(J390,VOL_REC[],2,FALSE),0)</f>
        <v>1072354.9981737854</v>
      </c>
      <c r="BA390" s="246">
        <f>IFERROR(VLOOKUP(K390,VOL_REC[],2,FALSE),0)</f>
        <v>0</v>
      </c>
      <c r="BB390" s="246">
        <f>IFERROR(VLOOKUP(L390,VOL_REC[],2,FALSE),0)</f>
        <v>0</v>
      </c>
      <c r="BC390" s="246">
        <f>IFERROR(VLOOKUP(M390,VOL_REC[],2,FALSE),0)</f>
        <v>0</v>
      </c>
      <c r="BD390" s="246">
        <f>IFERROR(VLOOKUP(N390,VOL_REC[],2,FALSE),0)</f>
        <v>0</v>
      </c>
      <c r="BE390" s="246">
        <f>IFERROR(VLOOKUP(O390,VOL_REC[],2,FALSE),0)</f>
        <v>0</v>
      </c>
      <c r="BF390" s="246">
        <f>IFERROR(VLOOKUP(P390,VOL_REC[],2,FALSE),0)</f>
        <v>0</v>
      </c>
      <c r="BG390" s="246">
        <f>IFERROR(VLOOKUP(Q390,VOL_REC[],2,FALSE),0)</f>
        <v>0</v>
      </c>
      <c r="BH390" s="1710">
        <f t="shared" si="24"/>
        <v>19202682701.771431</v>
      </c>
      <c r="BI390" s="1710">
        <f t="shared" si="25"/>
        <v>19412638021.58567</v>
      </c>
      <c r="BJ390" s="1711">
        <f t="shared" si="26"/>
        <v>20489615.171776246</v>
      </c>
      <c r="BK390" s="1711">
        <f t="shared" si="27"/>
        <v>0.98918460646199746</v>
      </c>
    </row>
    <row r="391" spans="3:67" x14ac:dyDescent="0.25">
      <c r="C391" s="246" t="s">
        <v>1741</v>
      </c>
      <c r="D391" s="246">
        <v>1</v>
      </c>
      <c r="E391" s="246">
        <v>2</v>
      </c>
      <c r="F391" s="246">
        <v>3</v>
      </c>
      <c r="G391" s="246">
        <v>5</v>
      </c>
      <c r="H391" s="246">
        <v>9</v>
      </c>
      <c r="I391" s="246">
        <v>12</v>
      </c>
      <c r="J391" s="246">
        <v>17</v>
      </c>
      <c r="K391" s="246"/>
      <c r="L391" s="246"/>
      <c r="M391" s="246"/>
      <c r="N391" s="246"/>
      <c r="O391" s="246"/>
      <c r="P391" s="246"/>
      <c r="Q391" s="246"/>
      <c r="R391" s="246">
        <f>IFERROR(VLOOKUP(D391,PROGRAMAS[],2,FALSE),0)</f>
        <v>97037803.679377079</v>
      </c>
      <c r="S391" s="246">
        <f>IFERROR(VLOOKUP(E391,PROGRAMAS[],2,FALSE),0)</f>
        <v>640501509.6821388</v>
      </c>
      <c r="T391" s="246">
        <f>IFERROR(VLOOKUP(F391,PROGRAMAS[],2,FALSE),0)</f>
        <v>3062327798.1525245</v>
      </c>
      <c r="U391" s="246">
        <f>IFERROR(VLOOKUP(G391,PROGRAMAS[],2,FALSE),0)</f>
        <v>1440941976.2528784</v>
      </c>
      <c r="V391" s="246">
        <f>IFERROR(VLOOKUP(H391,PROGRAMAS[],2,FALSE),0)</f>
        <v>6128579952.1618185</v>
      </c>
      <c r="W391" s="246">
        <f>IFERROR(VLOOKUP(I391,PROGRAMAS[],2,FALSE),0)</f>
        <v>764796700.79905891</v>
      </c>
      <c r="X391" s="246">
        <f>IFERROR(VLOOKUP(J391,PROGRAMAS[],2,FALSE),0)</f>
        <v>1892779498.5211046</v>
      </c>
      <c r="Y391" s="246">
        <f>IFERROR(VLOOKUP(K391,PROGRAMAS[],2,FALSE),0)</f>
        <v>0</v>
      </c>
      <c r="Z391" s="246">
        <f>IFERROR(VLOOKUP(L391,PROGRAMAS[],2,FALSE),0)</f>
        <v>0</v>
      </c>
      <c r="AA391" s="246">
        <f>IFERROR(VLOOKUP(M391,PROGRAMAS[],2,FALSE),0)</f>
        <v>0</v>
      </c>
      <c r="AB391" s="246">
        <f>IFERROR(VLOOKUP(N391,PROGRAMAS[],2,FALSE),0)</f>
        <v>0</v>
      </c>
      <c r="AC391" s="246">
        <f>IFERROR(VLOOKUP(O391,PROGRAMAS[],2,FALSE),0)</f>
        <v>0</v>
      </c>
      <c r="AD391" s="246">
        <f>IFERROR(VLOOKUP(P391,PROGRAMAS[],2,FALSE),0)</f>
        <v>0</v>
      </c>
      <c r="AE391" s="246">
        <f>IFERROR(VLOOKUP(Q391,PROGRAMAS[],2,FALSE),0)</f>
        <v>0</v>
      </c>
      <c r="AF391" s="246">
        <f>IFERROR(VLOOKUP(D391,PROGRAMAS[],3,FALSE),0)</f>
        <v>841888629.31080008</v>
      </c>
      <c r="AG391" s="246">
        <f>IFERROR(VLOOKUP(E391,PROGRAMAS[],3,FALSE),0)</f>
        <v>3848980803.1642323</v>
      </c>
      <c r="AH391" s="246">
        <f>IFERROR(VLOOKUP(F391,PROGRAMAS[],3,FALSE),0)</f>
        <v>3394901471.387517</v>
      </c>
      <c r="AI391" s="246">
        <f>IFERROR(VLOOKUP(G391,PROGRAMAS[],3,FALSE),0)</f>
        <v>1233505101.0616004</v>
      </c>
      <c r="AJ391" s="246">
        <f>IFERROR(VLOOKUP(H391,PROGRAMAS[],3,FALSE),0)</f>
        <v>7011279577.519702</v>
      </c>
      <c r="AK391" s="246">
        <f>IFERROR(VLOOKUP(I391,PROGRAMAS[],3,FALSE),0)</f>
        <v>675517840.109828</v>
      </c>
      <c r="AL391" s="246">
        <f>IFERROR(VLOOKUP(J391,PROGRAMAS[],3,FALSE),0)</f>
        <v>948595847.09039903</v>
      </c>
      <c r="AM391" s="246">
        <f>IFERROR(VLOOKUP(K391,PROGRAMAS[],3,FALSE),0)</f>
        <v>0</v>
      </c>
      <c r="AN391" s="246">
        <f>IFERROR(VLOOKUP(L391,PROGRAMAS[],3,FALSE),0)</f>
        <v>0</v>
      </c>
      <c r="AO391" s="246">
        <f>IFERROR(VLOOKUP(M391,PROGRAMAS[],3,FALSE),0)</f>
        <v>0</v>
      </c>
      <c r="AP391" s="246">
        <f>IFERROR(VLOOKUP(N391,PROGRAMAS[],3,FALSE),0)</f>
        <v>0</v>
      </c>
      <c r="AQ391" s="246">
        <f>IFERROR(VLOOKUP(O391,PROGRAMAS[],3,FALSE),0)</f>
        <v>0</v>
      </c>
      <c r="AR391" s="246">
        <f>IFERROR(VLOOKUP(P391,PROGRAMAS[],3,FALSE),0)</f>
        <v>0</v>
      </c>
      <c r="AS391" s="246">
        <f>IFERROR(VLOOKUP(Q391,PROGRAMAS[],3,FALSE),0)</f>
        <v>0</v>
      </c>
      <c r="AT391" s="246">
        <f>IFERROR(VLOOKUP(D391,VOL_REC[],2,FALSE),0)</f>
        <v>0</v>
      </c>
      <c r="AU391" s="246">
        <f>IFERROR(VLOOKUP(E391,VOL_REC[],2,FALSE),0)</f>
        <v>0</v>
      </c>
      <c r="AV391" s="246">
        <f>IFERROR(VLOOKUP(F391,VOL_REC[],2,FALSE),0)</f>
        <v>11089674.200000001</v>
      </c>
      <c r="AW391" s="246">
        <f>IFERROR(VLOOKUP(G391,VOL_REC[],2,FALSE),0)</f>
        <v>4325103.1812214684</v>
      </c>
      <c r="AX391" s="246">
        <f>IFERROR(VLOOKUP(H391,VOL_REC[],2,FALSE),0)</f>
        <v>3761786</v>
      </c>
      <c r="AY391" s="246">
        <f>IFERROR(VLOOKUP(I391,VOL_REC[],2,FALSE),0)</f>
        <v>240696.79238099116</v>
      </c>
      <c r="AZ391" s="246">
        <f>IFERROR(VLOOKUP(J391,VOL_REC[],2,FALSE),0)</f>
        <v>740113.98115702497</v>
      </c>
      <c r="BA391" s="246">
        <f>IFERROR(VLOOKUP(K391,VOL_REC[],2,FALSE),0)</f>
        <v>0</v>
      </c>
      <c r="BB391" s="246">
        <f>IFERROR(VLOOKUP(L391,VOL_REC[],2,FALSE),0)</f>
        <v>0</v>
      </c>
      <c r="BC391" s="246">
        <f>IFERROR(VLOOKUP(M391,VOL_REC[],2,FALSE),0)</f>
        <v>0</v>
      </c>
      <c r="BD391" s="246">
        <f>IFERROR(VLOOKUP(N391,VOL_REC[],2,FALSE),0)</f>
        <v>0</v>
      </c>
      <c r="BE391" s="246">
        <f>IFERROR(VLOOKUP(O391,VOL_REC[],2,FALSE),0)</f>
        <v>0</v>
      </c>
      <c r="BF391" s="246">
        <f>IFERROR(VLOOKUP(P391,VOL_REC[],2,FALSE),0)</f>
        <v>0</v>
      </c>
      <c r="BG391" s="246">
        <f>IFERROR(VLOOKUP(Q391,VOL_REC[],2,FALSE),0)</f>
        <v>0</v>
      </c>
      <c r="BH391" s="1710">
        <f t="shared" si="24"/>
        <v>14026965239.248901</v>
      </c>
      <c r="BI391" s="1710">
        <f t="shared" si="25"/>
        <v>17954669269.644081</v>
      </c>
      <c r="BJ391" s="1711">
        <f t="shared" si="26"/>
        <v>20157374.154759485</v>
      </c>
      <c r="BK391" s="1711">
        <f t="shared" si="27"/>
        <v>0.78124330939162767</v>
      </c>
    </row>
    <row r="392" spans="3:67" x14ac:dyDescent="0.25">
      <c r="C392" s="246" t="s">
        <v>1742</v>
      </c>
      <c r="D392" s="246">
        <v>1</v>
      </c>
      <c r="E392" s="246">
        <v>2</v>
      </c>
      <c r="F392" s="246">
        <v>3</v>
      </c>
      <c r="G392" s="246">
        <v>5</v>
      </c>
      <c r="H392" s="246">
        <v>9</v>
      </c>
      <c r="I392" s="246">
        <v>13</v>
      </c>
      <c r="J392" s="246">
        <v>14</v>
      </c>
      <c r="K392" s="246"/>
      <c r="L392" s="246"/>
      <c r="M392" s="246"/>
      <c r="N392" s="246"/>
      <c r="O392" s="246"/>
      <c r="P392" s="246"/>
      <c r="Q392" s="246"/>
      <c r="R392" s="246">
        <f>IFERROR(VLOOKUP(D392,PROGRAMAS[],2,FALSE),0)</f>
        <v>97037803.679377079</v>
      </c>
      <c r="S392" s="246">
        <f>IFERROR(VLOOKUP(E392,PROGRAMAS[],2,FALSE),0)</f>
        <v>640501509.6821388</v>
      </c>
      <c r="T392" s="246">
        <f>IFERROR(VLOOKUP(F392,PROGRAMAS[],2,FALSE),0)</f>
        <v>3062327798.1525245</v>
      </c>
      <c r="U392" s="246">
        <f>IFERROR(VLOOKUP(G392,PROGRAMAS[],2,FALSE),0)</f>
        <v>1440941976.2528784</v>
      </c>
      <c r="V392" s="246">
        <f>IFERROR(VLOOKUP(H392,PROGRAMAS[],2,FALSE),0)</f>
        <v>6128579952.1618185</v>
      </c>
      <c r="W392" s="246">
        <f>IFERROR(VLOOKUP(I392,PROGRAMAS[],2,FALSE),0)</f>
        <v>3776538594.4604583</v>
      </c>
      <c r="X392" s="246">
        <f>IFERROR(VLOOKUP(J392,PROGRAMAS[],2,FALSE),0)</f>
        <v>54223862.645839565</v>
      </c>
      <c r="Y392" s="246">
        <f>IFERROR(VLOOKUP(K392,PROGRAMAS[],2,FALSE),0)</f>
        <v>0</v>
      </c>
      <c r="Z392" s="246">
        <f>IFERROR(VLOOKUP(L392,PROGRAMAS[],2,FALSE),0)</f>
        <v>0</v>
      </c>
      <c r="AA392" s="246">
        <f>IFERROR(VLOOKUP(M392,PROGRAMAS[],2,FALSE),0)</f>
        <v>0</v>
      </c>
      <c r="AB392" s="246">
        <f>IFERROR(VLOOKUP(N392,PROGRAMAS[],2,FALSE),0)</f>
        <v>0</v>
      </c>
      <c r="AC392" s="246">
        <f>IFERROR(VLOOKUP(O392,PROGRAMAS[],2,FALSE),0)</f>
        <v>0</v>
      </c>
      <c r="AD392" s="246">
        <f>IFERROR(VLOOKUP(P392,PROGRAMAS[],2,FALSE),0)</f>
        <v>0</v>
      </c>
      <c r="AE392" s="246">
        <f>IFERROR(VLOOKUP(Q392,PROGRAMAS[],2,FALSE),0)</f>
        <v>0</v>
      </c>
      <c r="AF392" s="246">
        <f>IFERROR(VLOOKUP(D392,PROGRAMAS[],3,FALSE),0)</f>
        <v>841888629.31080008</v>
      </c>
      <c r="AG392" s="246">
        <f>IFERROR(VLOOKUP(E392,PROGRAMAS[],3,FALSE),0)</f>
        <v>3848980803.1642323</v>
      </c>
      <c r="AH392" s="246">
        <f>IFERROR(VLOOKUP(F392,PROGRAMAS[],3,FALSE),0)</f>
        <v>3394901471.387517</v>
      </c>
      <c r="AI392" s="246">
        <f>IFERROR(VLOOKUP(G392,PROGRAMAS[],3,FALSE),0)</f>
        <v>1233505101.0616004</v>
      </c>
      <c r="AJ392" s="246">
        <f>IFERROR(VLOOKUP(H392,PROGRAMAS[],3,FALSE),0)</f>
        <v>7011279577.519702</v>
      </c>
      <c r="AK392" s="246">
        <f>IFERROR(VLOOKUP(I392,PROGRAMAS[],3,FALSE),0)</f>
        <v>2392571243.5584412</v>
      </c>
      <c r="AL392" s="246">
        <f>IFERROR(VLOOKUP(J392,PROGRAMAS[],3,FALSE),0)</f>
        <v>31865326.38096505</v>
      </c>
      <c r="AM392" s="246">
        <f>IFERROR(VLOOKUP(K392,PROGRAMAS[],3,FALSE),0)</f>
        <v>0</v>
      </c>
      <c r="AN392" s="246">
        <f>IFERROR(VLOOKUP(L392,PROGRAMAS[],3,FALSE),0)</f>
        <v>0</v>
      </c>
      <c r="AO392" s="246">
        <f>IFERROR(VLOOKUP(M392,PROGRAMAS[],3,FALSE),0)</f>
        <v>0</v>
      </c>
      <c r="AP392" s="246">
        <f>IFERROR(VLOOKUP(N392,PROGRAMAS[],3,FALSE),0)</f>
        <v>0</v>
      </c>
      <c r="AQ392" s="246">
        <f>IFERROR(VLOOKUP(O392,PROGRAMAS[],3,FALSE),0)</f>
        <v>0</v>
      </c>
      <c r="AR392" s="246">
        <f>IFERROR(VLOOKUP(P392,PROGRAMAS[],3,FALSE),0)</f>
        <v>0</v>
      </c>
      <c r="AS392" s="246">
        <f>IFERROR(VLOOKUP(Q392,PROGRAMAS[],3,FALSE),0)</f>
        <v>0</v>
      </c>
      <c r="AT392" s="246">
        <f>IFERROR(VLOOKUP(D392,VOL_REC[],2,FALSE),0)</f>
        <v>0</v>
      </c>
      <c r="AU392" s="246">
        <f>IFERROR(VLOOKUP(E392,VOL_REC[],2,FALSE),0)</f>
        <v>0</v>
      </c>
      <c r="AV392" s="246">
        <f>IFERROR(VLOOKUP(F392,VOL_REC[],2,FALSE),0)</f>
        <v>11089674.200000001</v>
      </c>
      <c r="AW392" s="246">
        <f>IFERROR(VLOOKUP(G392,VOL_REC[],2,FALSE),0)</f>
        <v>4325103.1812214684</v>
      </c>
      <c r="AX392" s="246">
        <f>IFERROR(VLOOKUP(H392,VOL_REC[],2,FALSE),0)</f>
        <v>3761786</v>
      </c>
      <c r="AY392" s="246">
        <f>IFERROR(VLOOKUP(I392,VOL_REC[],2,FALSE),0)</f>
        <v>663244.80000000016</v>
      </c>
      <c r="AZ392" s="246">
        <f>IFERROR(VLOOKUP(J392,VOL_REC[],2,FALSE),0)</f>
        <v>17074.045034105649</v>
      </c>
      <c r="BA392" s="246">
        <f>IFERROR(VLOOKUP(K392,VOL_REC[],2,FALSE),0)</f>
        <v>0</v>
      </c>
      <c r="BB392" s="246">
        <f>IFERROR(VLOOKUP(L392,VOL_REC[],2,FALSE),0)</f>
        <v>0</v>
      </c>
      <c r="BC392" s="246">
        <f>IFERROR(VLOOKUP(M392,VOL_REC[],2,FALSE),0)</f>
        <v>0</v>
      </c>
      <c r="BD392" s="246">
        <f>IFERROR(VLOOKUP(N392,VOL_REC[],2,FALSE),0)</f>
        <v>0</v>
      </c>
      <c r="BE392" s="246">
        <f>IFERROR(VLOOKUP(O392,VOL_REC[],2,FALSE),0)</f>
        <v>0</v>
      </c>
      <c r="BF392" s="246">
        <f>IFERROR(VLOOKUP(P392,VOL_REC[],2,FALSE),0)</f>
        <v>0</v>
      </c>
      <c r="BG392" s="246">
        <f>IFERROR(VLOOKUP(Q392,VOL_REC[],2,FALSE),0)</f>
        <v>0</v>
      </c>
      <c r="BH392" s="1710">
        <f t="shared" si="24"/>
        <v>15200151497.035036</v>
      </c>
      <c r="BI392" s="1710">
        <f t="shared" si="25"/>
        <v>18754992152.383259</v>
      </c>
      <c r="BJ392" s="1711">
        <f t="shared" si="26"/>
        <v>19856882.226255577</v>
      </c>
      <c r="BK392" s="1711">
        <f t="shared" si="27"/>
        <v>0.81045896332745215</v>
      </c>
    </row>
    <row r="393" spans="3:67" x14ac:dyDescent="0.25">
      <c r="C393" s="246" t="s">
        <v>1743</v>
      </c>
      <c r="D393" s="246">
        <v>1</v>
      </c>
      <c r="E393" s="246">
        <v>2</v>
      </c>
      <c r="F393" s="246">
        <v>3</v>
      </c>
      <c r="G393" s="246">
        <v>5</v>
      </c>
      <c r="H393" s="246">
        <v>9</v>
      </c>
      <c r="I393" s="246">
        <v>13</v>
      </c>
      <c r="J393" s="246">
        <v>15</v>
      </c>
      <c r="K393" s="246"/>
      <c r="L393" s="246"/>
      <c r="M393" s="246"/>
      <c r="N393" s="246"/>
      <c r="O393" s="246"/>
      <c r="P393" s="246"/>
      <c r="Q393" s="246"/>
      <c r="R393" s="246">
        <f>IFERROR(VLOOKUP(D393,PROGRAMAS[],2,FALSE),0)</f>
        <v>97037803.679377079</v>
      </c>
      <c r="S393" s="246">
        <f>IFERROR(VLOOKUP(E393,PROGRAMAS[],2,FALSE),0)</f>
        <v>640501509.6821388</v>
      </c>
      <c r="T393" s="246">
        <f>IFERROR(VLOOKUP(F393,PROGRAMAS[],2,FALSE),0)</f>
        <v>3062327798.1525245</v>
      </c>
      <c r="U393" s="246">
        <f>IFERROR(VLOOKUP(G393,PROGRAMAS[],2,FALSE),0)</f>
        <v>1440941976.2528784</v>
      </c>
      <c r="V393" s="246">
        <f>IFERROR(VLOOKUP(H393,PROGRAMAS[],2,FALSE),0)</f>
        <v>6128579952.1618185</v>
      </c>
      <c r="W393" s="246">
        <f>IFERROR(VLOOKUP(I393,PROGRAMAS[],2,FALSE),0)</f>
        <v>3776538594.4604583</v>
      </c>
      <c r="X393" s="246">
        <f>IFERROR(VLOOKUP(J393,PROGRAMAS[],2,FALSE),0)</f>
        <v>122159672.96346797</v>
      </c>
      <c r="Y393" s="246">
        <f>IFERROR(VLOOKUP(K393,PROGRAMAS[],2,FALSE),0)</f>
        <v>0</v>
      </c>
      <c r="Z393" s="246">
        <f>IFERROR(VLOOKUP(L393,PROGRAMAS[],2,FALSE),0)</f>
        <v>0</v>
      </c>
      <c r="AA393" s="246">
        <f>IFERROR(VLOOKUP(M393,PROGRAMAS[],2,FALSE),0)</f>
        <v>0</v>
      </c>
      <c r="AB393" s="246">
        <f>IFERROR(VLOOKUP(N393,PROGRAMAS[],2,FALSE),0)</f>
        <v>0</v>
      </c>
      <c r="AC393" s="246">
        <f>IFERROR(VLOOKUP(O393,PROGRAMAS[],2,FALSE),0)</f>
        <v>0</v>
      </c>
      <c r="AD393" s="246">
        <f>IFERROR(VLOOKUP(P393,PROGRAMAS[],2,FALSE),0)</f>
        <v>0</v>
      </c>
      <c r="AE393" s="246">
        <f>IFERROR(VLOOKUP(Q393,PROGRAMAS[],2,FALSE),0)</f>
        <v>0</v>
      </c>
      <c r="AF393" s="246">
        <f>IFERROR(VLOOKUP(D393,PROGRAMAS[],3,FALSE),0)</f>
        <v>841888629.31080008</v>
      </c>
      <c r="AG393" s="246">
        <f>IFERROR(VLOOKUP(E393,PROGRAMAS[],3,FALSE),0)</f>
        <v>3848980803.1642323</v>
      </c>
      <c r="AH393" s="246">
        <f>IFERROR(VLOOKUP(F393,PROGRAMAS[],3,FALSE),0)</f>
        <v>3394901471.387517</v>
      </c>
      <c r="AI393" s="246">
        <f>IFERROR(VLOOKUP(G393,PROGRAMAS[],3,FALSE),0)</f>
        <v>1233505101.0616004</v>
      </c>
      <c r="AJ393" s="246">
        <f>IFERROR(VLOOKUP(H393,PROGRAMAS[],3,FALSE),0)</f>
        <v>7011279577.519702</v>
      </c>
      <c r="AK393" s="246">
        <f>IFERROR(VLOOKUP(I393,PROGRAMAS[],3,FALSE),0)</f>
        <v>2392571243.5584412</v>
      </c>
      <c r="AL393" s="246">
        <f>IFERROR(VLOOKUP(J393,PROGRAMAS[],3,FALSE),0)</f>
        <v>118617452.52510804</v>
      </c>
      <c r="AM393" s="246">
        <f>IFERROR(VLOOKUP(K393,PROGRAMAS[],3,FALSE),0)</f>
        <v>0</v>
      </c>
      <c r="AN393" s="246">
        <f>IFERROR(VLOOKUP(L393,PROGRAMAS[],3,FALSE),0)</f>
        <v>0</v>
      </c>
      <c r="AO393" s="246">
        <f>IFERROR(VLOOKUP(M393,PROGRAMAS[],3,FALSE),0)</f>
        <v>0</v>
      </c>
      <c r="AP393" s="246">
        <f>IFERROR(VLOOKUP(N393,PROGRAMAS[],3,FALSE),0)</f>
        <v>0</v>
      </c>
      <c r="AQ393" s="246">
        <f>IFERROR(VLOOKUP(O393,PROGRAMAS[],3,FALSE),0)</f>
        <v>0</v>
      </c>
      <c r="AR393" s="246">
        <f>IFERROR(VLOOKUP(P393,PROGRAMAS[],3,FALSE),0)</f>
        <v>0</v>
      </c>
      <c r="AS393" s="246">
        <f>IFERROR(VLOOKUP(Q393,PROGRAMAS[],3,FALSE),0)</f>
        <v>0</v>
      </c>
      <c r="AT393" s="246">
        <f>IFERROR(VLOOKUP(D393,VOL_REC[],2,FALSE),0)</f>
        <v>0</v>
      </c>
      <c r="AU393" s="246">
        <f>IFERROR(VLOOKUP(E393,VOL_REC[],2,FALSE),0)</f>
        <v>0</v>
      </c>
      <c r="AV393" s="246">
        <f>IFERROR(VLOOKUP(F393,VOL_REC[],2,FALSE),0)</f>
        <v>11089674.200000001</v>
      </c>
      <c r="AW393" s="246">
        <f>IFERROR(VLOOKUP(G393,VOL_REC[],2,FALSE),0)</f>
        <v>4325103.1812214684</v>
      </c>
      <c r="AX393" s="246">
        <f>IFERROR(VLOOKUP(H393,VOL_REC[],2,FALSE),0)</f>
        <v>3761786</v>
      </c>
      <c r="AY393" s="246">
        <f>IFERROR(VLOOKUP(I393,VOL_REC[],2,FALSE),0)</f>
        <v>663244.80000000016</v>
      </c>
      <c r="AZ393" s="246">
        <f>IFERROR(VLOOKUP(J393,VOL_REC[],2,FALSE),0)</f>
        <v>105072</v>
      </c>
      <c r="BA393" s="246">
        <f>IFERROR(VLOOKUP(K393,VOL_REC[],2,FALSE),0)</f>
        <v>0</v>
      </c>
      <c r="BB393" s="246">
        <f>IFERROR(VLOOKUP(L393,VOL_REC[],2,FALSE),0)</f>
        <v>0</v>
      </c>
      <c r="BC393" s="246">
        <f>IFERROR(VLOOKUP(M393,VOL_REC[],2,FALSE),0)</f>
        <v>0</v>
      </c>
      <c r="BD393" s="246">
        <f>IFERROR(VLOOKUP(N393,VOL_REC[],2,FALSE),0)</f>
        <v>0</v>
      </c>
      <c r="BE393" s="246">
        <f>IFERROR(VLOOKUP(O393,VOL_REC[],2,FALSE),0)</f>
        <v>0</v>
      </c>
      <c r="BF393" s="246">
        <f>IFERROR(VLOOKUP(P393,VOL_REC[],2,FALSE),0)</f>
        <v>0</v>
      </c>
      <c r="BG393" s="246">
        <f>IFERROR(VLOOKUP(Q393,VOL_REC[],2,FALSE),0)</f>
        <v>0</v>
      </c>
      <c r="BH393" s="1710">
        <f t="shared" si="24"/>
        <v>15268087307.352665</v>
      </c>
      <c r="BI393" s="1710">
        <f t="shared" si="25"/>
        <v>18841744278.527401</v>
      </c>
      <c r="BJ393" s="1711">
        <f t="shared" si="26"/>
        <v>19944880.18122147</v>
      </c>
      <c r="BK393" s="1711">
        <f t="shared" si="27"/>
        <v>0.81033300747811443</v>
      </c>
    </row>
    <row r="394" spans="3:67" x14ac:dyDescent="0.25">
      <c r="C394" s="246" t="s">
        <v>1744</v>
      </c>
      <c r="D394" s="246">
        <v>1</v>
      </c>
      <c r="E394" s="246">
        <v>2</v>
      </c>
      <c r="F394" s="246">
        <v>3</v>
      </c>
      <c r="G394" s="246">
        <v>5</v>
      </c>
      <c r="H394" s="246">
        <v>9</v>
      </c>
      <c r="I394" s="246">
        <v>13</v>
      </c>
      <c r="J394" s="246">
        <v>16</v>
      </c>
      <c r="K394" s="246"/>
      <c r="L394" s="246"/>
      <c r="M394" s="246"/>
      <c r="N394" s="246"/>
      <c r="O394" s="246"/>
      <c r="P394" s="246"/>
      <c r="Q394" s="246"/>
      <c r="R394" s="246">
        <f>IFERROR(VLOOKUP(D394,PROGRAMAS[],2,FALSE),0)</f>
        <v>97037803.679377079</v>
      </c>
      <c r="S394" s="246">
        <f>IFERROR(VLOOKUP(E394,PROGRAMAS[],2,FALSE),0)</f>
        <v>640501509.6821388</v>
      </c>
      <c r="T394" s="246">
        <f>IFERROR(VLOOKUP(F394,PROGRAMAS[],2,FALSE),0)</f>
        <v>3062327798.1525245</v>
      </c>
      <c r="U394" s="246">
        <f>IFERROR(VLOOKUP(G394,PROGRAMAS[],2,FALSE),0)</f>
        <v>1440941976.2528784</v>
      </c>
      <c r="V394" s="246">
        <f>IFERROR(VLOOKUP(H394,PROGRAMAS[],2,FALSE),0)</f>
        <v>6128579952.1618185</v>
      </c>
      <c r="W394" s="246">
        <f>IFERROR(VLOOKUP(I394,PROGRAMAS[],2,FALSE),0)</f>
        <v>3776538594.4604583</v>
      </c>
      <c r="X394" s="246">
        <f>IFERROR(VLOOKUP(J394,PROGRAMAS[],2,FALSE),0)</f>
        <v>7068496961.0436354</v>
      </c>
      <c r="Y394" s="246">
        <f>IFERROR(VLOOKUP(K394,PROGRAMAS[],2,FALSE),0)</f>
        <v>0</v>
      </c>
      <c r="Z394" s="246">
        <f>IFERROR(VLOOKUP(L394,PROGRAMAS[],2,FALSE),0)</f>
        <v>0</v>
      </c>
      <c r="AA394" s="246">
        <f>IFERROR(VLOOKUP(M394,PROGRAMAS[],2,FALSE),0)</f>
        <v>0</v>
      </c>
      <c r="AB394" s="246">
        <f>IFERROR(VLOOKUP(N394,PROGRAMAS[],2,FALSE),0)</f>
        <v>0</v>
      </c>
      <c r="AC394" s="246">
        <f>IFERROR(VLOOKUP(O394,PROGRAMAS[],2,FALSE),0)</f>
        <v>0</v>
      </c>
      <c r="AD394" s="246">
        <f>IFERROR(VLOOKUP(P394,PROGRAMAS[],2,FALSE),0)</f>
        <v>0</v>
      </c>
      <c r="AE394" s="246">
        <f>IFERROR(VLOOKUP(Q394,PROGRAMAS[],2,FALSE),0)</f>
        <v>0</v>
      </c>
      <c r="AF394" s="246">
        <f>IFERROR(VLOOKUP(D394,PROGRAMAS[],3,FALSE),0)</f>
        <v>841888629.31080008</v>
      </c>
      <c r="AG394" s="246">
        <f>IFERROR(VLOOKUP(E394,PROGRAMAS[],3,FALSE),0)</f>
        <v>3848980803.1642323</v>
      </c>
      <c r="AH394" s="246">
        <f>IFERROR(VLOOKUP(F394,PROGRAMAS[],3,FALSE),0)</f>
        <v>3394901471.387517</v>
      </c>
      <c r="AI394" s="246">
        <f>IFERROR(VLOOKUP(G394,PROGRAMAS[],3,FALSE),0)</f>
        <v>1233505101.0616004</v>
      </c>
      <c r="AJ394" s="246">
        <f>IFERROR(VLOOKUP(H394,PROGRAMAS[],3,FALSE),0)</f>
        <v>7011279577.519702</v>
      </c>
      <c r="AK394" s="246">
        <f>IFERROR(VLOOKUP(I394,PROGRAMAS[],3,FALSE),0)</f>
        <v>2392571243.5584412</v>
      </c>
      <c r="AL394" s="246">
        <f>IFERROR(VLOOKUP(J394,PROGRAMAS[],3,FALSE),0)</f>
        <v>2406564599.0319901</v>
      </c>
      <c r="AM394" s="246">
        <f>IFERROR(VLOOKUP(K394,PROGRAMAS[],3,FALSE),0)</f>
        <v>0</v>
      </c>
      <c r="AN394" s="246">
        <f>IFERROR(VLOOKUP(L394,PROGRAMAS[],3,FALSE),0)</f>
        <v>0</v>
      </c>
      <c r="AO394" s="246">
        <f>IFERROR(VLOOKUP(M394,PROGRAMAS[],3,FALSE),0)</f>
        <v>0</v>
      </c>
      <c r="AP394" s="246">
        <f>IFERROR(VLOOKUP(N394,PROGRAMAS[],3,FALSE),0)</f>
        <v>0</v>
      </c>
      <c r="AQ394" s="246">
        <f>IFERROR(VLOOKUP(O394,PROGRAMAS[],3,FALSE),0)</f>
        <v>0</v>
      </c>
      <c r="AR394" s="246">
        <f>IFERROR(VLOOKUP(P394,PROGRAMAS[],3,FALSE),0)</f>
        <v>0</v>
      </c>
      <c r="AS394" s="246">
        <f>IFERROR(VLOOKUP(Q394,PROGRAMAS[],3,FALSE),0)</f>
        <v>0</v>
      </c>
      <c r="AT394" s="246">
        <f>IFERROR(VLOOKUP(D394,VOL_REC[],2,FALSE),0)</f>
        <v>0</v>
      </c>
      <c r="AU394" s="246">
        <f>IFERROR(VLOOKUP(E394,VOL_REC[],2,FALSE),0)</f>
        <v>0</v>
      </c>
      <c r="AV394" s="246">
        <f>IFERROR(VLOOKUP(F394,VOL_REC[],2,FALSE),0)</f>
        <v>11089674.200000001</v>
      </c>
      <c r="AW394" s="246">
        <f>IFERROR(VLOOKUP(G394,VOL_REC[],2,FALSE),0)</f>
        <v>4325103.1812214684</v>
      </c>
      <c r="AX394" s="246">
        <f>IFERROR(VLOOKUP(H394,VOL_REC[],2,FALSE),0)</f>
        <v>3761786</v>
      </c>
      <c r="AY394" s="246">
        <f>IFERROR(VLOOKUP(I394,VOL_REC[],2,FALSE),0)</f>
        <v>663244.80000000016</v>
      </c>
      <c r="AZ394" s="246">
        <f>IFERROR(VLOOKUP(J394,VOL_REC[],2,FALSE),0)</f>
        <v>1072354.9981737854</v>
      </c>
      <c r="BA394" s="246">
        <f>IFERROR(VLOOKUP(K394,VOL_REC[],2,FALSE),0)</f>
        <v>0</v>
      </c>
      <c r="BB394" s="246">
        <f>IFERROR(VLOOKUP(L394,VOL_REC[],2,FALSE),0)</f>
        <v>0</v>
      </c>
      <c r="BC394" s="246">
        <f>IFERROR(VLOOKUP(M394,VOL_REC[],2,FALSE),0)</f>
        <v>0</v>
      </c>
      <c r="BD394" s="246">
        <f>IFERROR(VLOOKUP(N394,VOL_REC[],2,FALSE),0)</f>
        <v>0</v>
      </c>
      <c r="BE394" s="246">
        <f>IFERROR(VLOOKUP(O394,VOL_REC[],2,FALSE),0)</f>
        <v>0</v>
      </c>
      <c r="BF394" s="246">
        <f>IFERROR(VLOOKUP(P394,VOL_REC[],2,FALSE),0)</f>
        <v>0</v>
      </c>
      <c r="BG394" s="246">
        <f>IFERROR(VLOOKUP(Q394,VOL_REC[],2,FALSE),0)</f>
        <v>0</v>
      </c>
      <c r="BH394" s="1710">
        <f t="shared" si="24"/>
        <v>22214424595.432831</v>
      </c>
      <c r="BI394" s="1710">
        <f t="shared" si="25"/>
        <v>21129691425.034283</v>
      </c>
      <c r="BJ394" s="1711">
        <f t="shared" si="26"/>
        <v>20912163.179395255</v>
      </c>
      <c r="BK394" s="1711">
        <f t="shared" si="27"/>
        <v>1.0513369148928207</v>
      </c>
      <c r="BL394">
        <f>BJ394</f>
        <v>20912163.179395255</v>
      </c>
      <c r="BO394">
        <f>BL394</f>
        <v>20912163.179395255</v>
      </c>
    </row>
    <row r="395" spans="3:67" x14ac:dyDescent="0.25">
      <c r="C395" s="246" t="s">
        <v>1745</v>
      </c>
      <c r="D395" s="246">
        <v>1</v>
      </c>
      <c r="E395" s="246">
        <v>2</v>
      </c>
      <c r="F395" s="246">
        <v>3</v>
      </c>
      <c r="G395" s="246">
        <v>5</v>
      </c>
      <c r="H395" s="246">
        <v>9</v>
      </c>
      <c r="I395" s="246">
        <v>13</v>
      </c>
      <c r="J395" s="246">
        <v>17</v>
      </c>
      <c r="K395" s="246"/>
      <c r="L395" s="246"/>
      <c r="M395" s="246"/>
      <c r="N395" s="246"/>
      <c r="O395" s="246"/>
      <c r="P395" s="246"/>
      <c r="Q395" s="246"/>
      <c r="R395" s="246">
        <f>IFERROR(VLOOKUP(D395,PROGRAMAS[],2,FALSE),0)</f>
        <v>97037803.679377079</v>
      </c>
      <c r="S395" s="246">
        <f>IFERROR(VLOOKUP(E395,PROGRAMAS[],2,FALSE),0)</f>
        <v>640501509.6821388</v>
      </c>
      <c r="T395" s="246">
        <f>IFERROR(VLOOKUP(F395,PROGRAMAS[],2,FALSE),0)</f>
        <v>3062327798.1525245</v>
      </c>
      <c r="U395" s="246">
        <f>IFERROR(VLOOKUP(G395,PROGRAMAS[],2,FALSE),0)</f>
        <v>1440941976.2528784</v>
      </c>
      <c r="V395" s="246">
        <f>IFERROR(VLOOKUP(H395,PROGRAMAS[],2,FALSE),0)</f>
        <v>6128579952.1618185</v>
      </c>
      <c r="W395" s="246">
        <f>IFERROR(VLOOKUP(I395,PROGRAMAS[],2,FALSE),0)</f>
        <v>3776538594.4604583</v>
      </c>
      <c r="X395" s="246">
        <f>IFERROR(VLOOKUP(J395,PROGRAMAS[],2,FALSE),0)</f>
        <v>1892779498.5211046</v>
      </c>
      <c r="Y395" s="246">
        <f>IFERROR(VLOOKUP(K395,PROGRAMAS[],2,FALSE),0)</f>
        <v>0</v>
      </c>
      <c r="Z395" s="246">
        <f>IFERROR(VLOOKUP(L395,PROGRAMAS[],2,FALSE),0)</f>
        <v>0</v>
      </c>
      <c r="AA395" s="246">
        <f>IFERROR(VLOOKUP(M395,PROGRAMAS[],2,FALSE),0)</f>
        <v>0</v>
      </c>
      <c r="AB395" s="246">
        <f>IFERROR(VLOOKUP(N395,PROGRAMAS[],2,FALSE),0)</f>
        <v>0</v>
      </c>
      <c r="AC395" s="246">
        <f>IFERROR(VLOOKUP(O395,PROGRAMAS[],2,FALSE),0)</f>
        <v>0</v>
      </c>
      <c r="AD395" s="246">
        <f>IFERROR(VLOOKUP(P395,PROGRAMAS[],2,FALSE),0)</f>
        <v>0</v>
      </c>
      <c r="AE395" s="246">
        <f>IFERROR(VLOOKUP(Q395,PROGRAMAS[],2,FALSE),0)</f>
        <v>0</v>
      </c>
      <c r="AF395" s="246">
        <f>IFERROR(VLOOKUP(D395,PROGRAMAS[],3,FALSE),0)</f>
        <v>841888629.31080008</v>
      </c>
      <c r="AG395" s="246">
        <f>IFERROR(VLOOKUP(E395,PROGRAMAS[],3,FALSE),0)</f>
        <v>3848980803.1642323</v>
      </c>
      <c r="AH395" s="246">
        <f>IFERROR(VLOOKUP(F395,PROGRAMAS[],3,FALSE),0)</f>
        <v>3394901471.387517</v>
      </c>
      <c r="AI395" s="246">
        <f>IFERROR(VLOOKUP(G395,PROGRAMAS[],3,FALSE),0)</f>
        <v>1233505101.0616004</v>
      </c>
      <c r="AJ395" s="246">
        <f>IFERROR(VLOOKUP(H395,PROGRAMAS[],3,FALSE),0)</f>
        <v>7011279577.519702</v>
      </c>
      <c r="AK395" s="246">
        <f>IFERROR(VLOOKUP(I395,PROGRAMAS[],3,FALSE),0)</f>
        <v>2392571243.5584412</v>
      </c>
      <c r="AL395" s="246">
        <f>IFERROR(VLOOKUP(J395,PROGRAMAS[],3,FALSE),0)</f>
        <v>948595847.09039903</v>
      </c>
      <c r="AM395" s="246">
        <f>IFERROR(VLOOKUP(K395,PROGRAMAS[],3,FALSE),0)</f>
        <v>0</v>
      </c>
      <c r="AN395" s="246">
        <f>IFERROR(VLOOKUP(L395,PROGRAMAS[],3,FALSE),0)</f>
        <v>0</v>
      </c>
      <c r="AO395" s="246">
        <f>IFERROR(VLOOKUP(M395,PROGRAMAS[],3,FALSE),0)</f>
        <v>0</v>
      </c>
      <c r="AP395" s="246">
        <f>IFERROR(VLOOKUP(N395,PROGRAMAS[],3,FALSE),0)</f>
        <v>0</v>
      </c>
      <c r="AQ395" s="246">
        <f>IFERROR(VLOOKUP(O395,PROGRAMAS[],3,FALSE),0)</f>
        <v>0</v>
      </c>
      <c r="AR395" s="246">
        <f>IFERROR(VLOOKUP(P395,PROGRAMAS[],3,FALSE),0)</f>
        <v>0</v>
      </c>
      <c r="AS395" s="246">
        <f>IFERROR(VLOOKUP(Q395,PROGRAMAS[],3,FALSE),0)</f>
        <v>0</v>
      </c>
      <c r="AT395" s="246">
        <f>IFERROR(VLOOKUP(D395,VOL_REC[],2,FALSE),0)</f>
        <v>0</v>
      </c>
      <c r="AU395" s="246">
        <f>IFERROR(VLOOKUP(E395,VOL_REC[],2,FALSE),0)</f>
        <v>0</v>
      </c>
      <c r="AV395" s="246">
        <f>IFERROR(VLOOKUP(F395,VOL_REC[],2,FALSE),0)</f>
        <v>11089674.200000001</v>
      </c>
      <c r="AW395" s="246">
        <f>IFERROR(VLOOKUP(G395,VOL_REC[],2,FALSE),0)</f>
        <v>4325103.1812214684</v>
      </c>
      <c r="AX395" s="246">
        <f>IFERROR(VLOOKUP(H395,VOL_REC[],2,FALSE),0)</f>
        <v>3761786</v>
      </c>
      <c r="AY395" s="246">
        <f>IFERROR(VLOOKUP(I395,VOL_REC[],2,FALSE),0)</f>
        <v>663244.80000000016</v>
      </c>
      <c r="AZ395" s="246">
        <f>IFERROR(VLOOKUP(J395,VOL_REC[],2,FALSE),0)</f>
        <v>740113.98115702497</v>
      </c>
      <c r="BA395" s="246">
        <f>IFERROR(VLOOKUP(K395,VOL_REC[],2,FALSE),0)</f>
        <v>0</v>
      </c>
      <c r="BB395" s="246">
        <f>IFERROR(VLOOKUP(L395,VOL_REC[],2,FALSE),0)</f>
        <v>0</v>
      </c>
      <c r="BC395" s="246">
        <f>IFERROR(VLOOKUP(M395,VOL_REC[],2,FALSE),0)</f>
        <v>0</v>
      </c>
      <c r="BD395" s="246">
        <f>IFERROR(VLOOKUP(N395,VOL_REC[],2,FALSE),0)</f>
        <v>0</v>
      </c>
      <c r="BE395" s="246">
        <f>IFERROR(VLOOKUP(O395,VOL_REC[],2,FALSE),0)</f>
        <v>0</v>
      </c>
      <c r="BF395" s="246">
        <f>IFERROR(VLOOKUP(P395,VOL_REC[],2,FALSE),0)</f>
        <v>0</v>
      </c>
      <c r="BG395" s="246">
        <f>IFERROR(VLOOKUP(Q395,VOL_REC[],2,FALSE),0)</f>
        <v>0</v>
      </c>
      <c r="BH395" s="1710">
        <f t="shared" si="24"/>
        <v>17038707132.910301</v>
      </c>
      <c r="BI395" s="1710">
        <f t="shared" si="25"/>
        <v>19671722673.092693</v>
      </c>
      <c r="BJ395" s="1711">
        <f t="shared" si="26"/>
        <v>20579922.162378494</v>
      </c>
      <c r="BK395" s="1711">
        <f t="shared" si="27"/>
        <v>0.86615226414390878</v>
      </c>
    </row>
    <row r="396" spans="3:67" x14ac:dyDescent="0.25">
      <c r="C396" s="246" t="s">
        <v>1746</v>
      </c>
      <c r="D396" s="246">
        <v>1</v>
      </c>
      <c r="E396" s="246">
        <v>2</v>
      </c>
      <c r="F396" s="246">
        <v>3</v>
      </c>
      <c r="G396" s="246">
        <v>5</v>
      </c>
      <c r="H396" s="246">
        <v>9</v>
      </c>
      <c r="I396" s="246">
        <v>14</v>
      </c>
      <c r="J396" s="246">
        <v>15</v>
      </c>
      <c r="K396" s="246"/>
      <c r="L396" s="246"/>
      <c r="M396" s="246"/>
      <c r="N396" s="246"/>
      <c r="O396" s="246"/>
      <c r="P396" s="246"/>
      <c r="Q396" s="246"/>
      <c r="R396" s="246">
        <f>IFERROR(VLOOKUP(D396,PROGRAMAS[],2,FALSE),0)</f>
        <v>97037803.679377079</v>
      </c>
      <c r="S396" s="246">
        <f>IFERROR(VLOOKUP(E396,PROGRAMAS[],2,FALSE),0)</f>
        <v>640501509.6821388</v>
      </c>
      <c r="T396" s="246">
        <f>IFERROR(VLOOKUP(F396,PROGRAMAS[],2,FALSE),0)</f>
        <v>3062327798.1525245</v>
      </c>
      <c r="U396" s="246">
        <f>IFERROR(VLOOKUP(G396,PROGRAMAS[],2,FALSE),0)</f>
        <v>1440941976.2528784</v>
      </c>
      <c r="V396" s="246">
        <f>IFERROR(VLOOKUP(H396,PROGRAMAS[],2,FALSE),0)</f>
        <v>6128579952.1618185</v>
      </c>
      <c r="W396" s="246">
        <f>IFERROR(VLOOKUP(I396,PROGRAMAS[],2,FALSE),0)</f>
        <v>54223862.645839565</v>
      </c>
      <c r="X396" s="246">
        <f>IFERROR(VLOOKUP(J396,PROGRAMAS[],2,FALSE),0)</f>
        <v>122159672.96346797</v>
      </c>
      <c r="Y396" s="246">
        <f>IFERROR(VLOOKUP(K396,PROGRAMAS[],2,FALSE),0)</f>
        <v>0</v>
      </c>
      <c r="Z396" s="246">
        <f>IFERROR(VLOOKUP(L396,PROGRAMAS[],2,FALSE),0)</f>
        <v>0</v>
      </c>
      <c r="AA396" s="246">
        <f>IFERROR(VLOOKUP(M396,PROGRAMAS[],2,FALSE),0)</f>
        <v>0</v>
      </c>
      <c r="AB396" s="246">
        <f>IFERROR(VLOOKUP(N396,PROGRAMAS[],2,FALSE),0)</f>
        <v>0</v>
      </c>
      <c r="AC396" s="246">
        <f>IFERROR(VLOOKUP(O396,PROGRAMAS[],2,FALSE),0)</f>
        <v>0</v>
      </c>
      <c r="AD396" s="246">
        <f>IFERROR(VLOOKUP(P396,PROGRAMAS[],2,FALSE),0)</f>
        <v>0</v>
      </c>
      <c r="AE396" s="246">
        <f>IFERROR(VLOOKUP(Q396,PROGRAMAS[],2,FALSE),0)</f>
        <v>0</v>
      </c>
      <c r="AF396" s="246">
        <f>IFERROR(VLOOKUP(D396,PROGRAMAS[],3,FALSE),0)</f>
        <v>841888629.31080008</v>
      </c>
      <c r="AG396" s="246">
        <f>IFERROR(VLOOKUP(E396,PROGRAMAS[],3,FALSE),0)</f>
        <v>3848980803.1642323</v>
      </c>
      <c r="AH396" s="246">
        <f>IFERROR(VLOOKUP(F396,PROGRAMAS[],3,FALSE),0)</f>
        <v>3394901471.387517</v>
      </c>
      <c r="AI396" s="246">
        <f>IFERROR(VLOOKUP(G396,PROGRAMAS[],3,FALSE),0)</f>
        <v>1233505101.0616004</v>
      </c>
      <c r="AJ396" s="246">
        <f>IFERROR(VLOOKUP(H396,PROGRAMAS[],3,FALSE),0)</f>
        <v>7011279577.519702</v>
      </c>
      <c r="AK396" s="246">
        <f>IFERROR(VLOOKUP(I396,PROGRAMAS[],3,FALSE),0)</f>
        <v>31865326.38096505</v>
      </c>
      <c r="AL396" s="246">
        <f>IFERROR(VLOOKUP(J396,PROGRAMAS[],3,FALSE),0)</f>
        <v>118617452.52510804</v>
      </c>
      <c r="AM396" s="246">
        <f>IFERROR(VLOOKUP(K396,PROGRAMAS[],3,FALSE),0)</f>
        <v>0</v>
      </c>
      <c r="AN396" s="246">
        <f>IFERROR(VLOOKUP(L396,PROGRAMAS[],3,FALSE),0)</f>
        <v>0</v>
      </c>
      <c r="AO396" s="246">
        <f>IFERROR(VLOOKUP(M396,PROGRAMAS[],3,FALSE),0)</f>
        <v>0</v>
      </c>
      <c r="AP396" s="246">
        <f>IFERROR(VLOOKUP(N396,PROGRAMAS[],3,FALSE),0)</f>
        <v>0</v>
      </c>
      <c r="AQ396" s="246">
        <f>IFERROR(VLOOKUP(O396,PROGRAMAS[],3,FALSE),0)</f>
        <v>0</v>
      </c>
      <c r="AR396" s="246">
        <f>IFERROR(VLOOKUP(P396,PROGRAMAS[],3,FALSE),0)</f>
        <v>0</v>
      </c>
      <c r="AS396" s="246">
        <f>IFERROR(VLOOKUP(Q396,PROGRAMAS[],3,FALSE),0)</f>
        <v>0</v>
      </c>
      <c r="AT396" s="246">
        <f>IFERROR(VLOOKUP(D396,VOL_REC[],2,FALSE),0)</f>
        <v>0</v>
      </c>
      <c r="AU396" s="246">
        <f>IFERROR(VLOOKUP(E396,VOL_REC[],2,FALSE),0)</f>
        <v>0</v>
      </c>
      <c r="AV396" s="246">
        <f>IFERROR(VLOOKUP(F396,VOL_REC[],2,FALSE),0)</f>
        <v>11089674.200000001</v>
      </c>
      <c r="AW396" s="246">
        <f>IFERROR(VLOOKUP(G396,VOL_REC[],2,FALSE),0)</f>
        <v>4325103.1812214684</v>
      </c>
      <c r="AX396" s="246">
        <f>IFERROR(VLOOKUP(H396,VOL_REC[],2,FALSE),0)</f>
        <v>3761786</v>
      </c>
      <c r="AY396" s="246">
        <f>IFERROR(VLOOKUP(I396,VOL_REC[],2,FALSE),0)</f>
        <v>17074.045034105649</v>
      </c>
      <c r="AZ396" s="246">
        <f>IFERROR(VLOOKUP(J396,VOL_REC[],2,FALSE),0)</f>
        <v>105072</v>
      </c>
      <c r="BA396" s="246">
        <f>IFERROR(VLOOKUP(K396,VOL_REC[],2,FALSE),0)</f>
        <v>0</v>
      </c>
      <c r="BB396" s="246">
        <f>IFERROR(VLOOKUP(L396,VOL_REC[],2,FALSE),0)</f>
        <v>0</v>
      </c>
      <c r="BC396" s="246">
        <f>IFERROR(VLOOKUP(M396,VOL_REC[],2,FALSE),0)</f>
        <v>0</v>
      </c>
      <c r="BD396" s="246">
        <f>IFERROR(VLOOKUP(N396,VOL_REC[],2,FALSE),0)</f>
        <v>0</v>
      </c>
      <c r="BE396" s="246">
        <f>IFERROR(VLOOKUP(O396,VOL_REC[],2,FALSE),0)</f>
        <v>0</v>
      </c>
      <c r="BF396" s="246">
        <f>IFERROR(VLOOKUP(P396,VOL_REC[],2,FALSE),0)</f>
        <v>0</v>
      </c>
      <c r="BG396" s="246">
        <f>IFERROR(VLOOKUP(Q396,VOL_REC[],2,FALSE),0)</f>
        <v>0</v>
      </c>
      <c r="BH396" s="1710">
        <f t="shared" si="24"/>
        <v>11545772575.538046</v>
      </c>
      <c r="BI396" s="1710">
        <f t="shared" si="25"/>
        <v>16481038361.349924</v>
      </c>
      <c r="BJ396" s="1711">
        <f t="shared" si="26"/>
        <v>19298709.426255576</v>
      </c>
      <c r="BK396" s="1711">
        <f t="shared" si="27"/>
        <v>0.70054885635205566</v>
      </c>
    </row>
    <row r="397" spans="3:67" x14ac:dyDescent="0.25">
      <c r="C397" s="246" t="s">
        <v>1747</v>
      </c>
      <c r="D397" s="246">
        <v>1</v>
      </c>
      <c r="E397" s="246">
        <v>2</v>
      </c>
      <c r="F397" s="246">
        <v>3</v>
      </c>
      <c r="G397" s="246">
        <v>5</v>
      </c>
      <c r="H397" s="246">
        <v>9</v>
      </c>
      <c r="I397" s="246">
        <v>14</v>
      </c>
      <c r="J397" s="246">
        <v>16</v>
      </c>
      <c r="K397" s="246"/>
      <c r="L397" s="246"/>
      <c r="M397" s="246"/>
      <c r="N397" s="246"/>
      <c r="O397" s="246"/>
      <c r="P397" s="246"/>
      <c r="Q397" s="246"/>
      <c r="R397" s="246">
        <f>IFERROR(VLOOKUP(D397,PROGRAMAS[],2,FALSE),0)</f>
        <v>97037803.679377079</v>
      </c>
      <c r="S397" s="246">
        <f>IFERROR(VLOOKUP(E397,PROGRAMAS[],2,FALSE),0)</f>
        <v>640501509.6821388</v>
      </c>
      <c r="T397" s="246">
        <f>IFERROR(VLOOKUP(F397,PROGRAMAS[],2,FALSE),0)</f>
        <v>3062327798.1525245</v>
      </c>
      <c r="U397" s="246">
        <f>IFERROR(VLOOKUP(G397,PROGRAMAS[],2,FALSE),0)</f>
        <v>1440941976.2528784</v>
      </c>
      <c r="V397" s="246">
        <f>IFERROR(VLOOKUP(H397,PROGRAMAS[],2,FALSE),0)</f>
        <v>6128579952.1618185</v>
      </c>
      <c r="W397" s="246">
        <f>IFERROR(VLOOKUP(I397,PROGRAMAS[],2,FALSE),0)</f>
        <v>54223862.645839565</v>
      </c>
      <c r="X397" s="246">
        <f>IFERROR(VLOOKUP(J397,PROGRAMAS[],2,FALSE),0)</f>
        <v>7068496961.0436354</v>
      </c>
      <c r="Y397" s="246">
        <f>IFERROR(VLOOKUP(K397,PROGRAMAS[],2,FALSE),0)</f>
        <v>0</v>
      </c>
      <c r="Z397" s="246">
        <f>IFERROR(VLOOKUP(L397,PROGRAMAS[],2,FALSE),0)</f>
        <v>0</v>
      </c>
      <c r="AA397" s="246">
        <f>IFERROR(VLOOKUP(M397,PROGRAMAS[],2,FALSE),0)</f>
        <v>0</v>
      </c>
      <c r="AB397" s="246">
        <f>IFERROR(VLOOKUP(N397,PROGRAMAS[],2,FALSE),0)</f>
        <v>0</v>
      </c>
      <c r="AC397" s="246">
        <f>IFERROR(VLOOKUP(O397,PROGRAMAS[],2,FALSE),0)</f>
        <v>0</v>
      </c>
      <c r="AD397" s="246">
        <f>IFERROR(VLOOKUP(P397,PROGRAMAS[],2,FALSE),0)</f>
        <v>0</v>
      </c>
      <c r="AE397" s="246">
        <f>IFERROR(VLOOKUP(Q397,PROGRAMAS[],2,FALSE),0)</f>
        <v>0</v>
      </c>
      <c r="AF397" s="246">
        <f>IFERROR(VLOOKUP(D397,PROGRAMAS[],3,FALSE),0)</f>
        <v>841888629.31080008</v>
      </c>
      <c r="AG397" s="246">
        <f>IFERROR(VLOOKUP(E397,PROGRAMAS[],3,FALSE),0)</f>
        <v>3848980803.1642323</v>
      </c>
      <c r="AH397" s="246">
        <f>IFERROR(VLOOKUP(F397,PROGRAMAS[],3,FALSE),0)</f>
        <v>3394901471.387517</v>
      </c>
      <c r="AI397" s="246">
        <f>IFERROR(VLOOKUP(G397,PROGRAMAS[],3,FALSE),0)</f>
        <v>1233505101.0616004</v>
      </c>
      <c r="AJ397" s="246">
        <f>IFERROR(VLOOKUP(H397,PROGRAMAS[],3,FALSE),0)</f>
        <v>7011279577.519702</v>
      </c>
      <c r="AK397" s="246">
        <f>IFERROR(VLOOKUP(I397,PROGRAMAS[],3,FALSE),0)</f>
        <v>31865326.38096505</v>
      </c>
      <c r="AL397" s="246">
        <f>IFERROR(VLOOKUP(J397,PROGRAMAS[],3,FALSE),0)</f>
        <v>2406564599.0319901</v>
      </c>
      <c r="AM397" s="246">
        <f>IFERROR(VLOOKUP(K397,PROGRAMAS[],3,FALSE),0)</f>
        <v>0</v>
      </c>
      <c r="AN397" s="246">
        <f>IFERROR(VLOOKUP(L397,PROGRAMAS[],3,FALSE),0)</f>
        <v>0</v>
      </c>
      <c r="AO397" s="246">
        <f>IFERROR(VLOOKUP(M397,PROGRAMAS[],3,FALSE),0)</f>
        <v>0</v>
      </c>
      <c r="AP397" s="246">
        <f>IFERROR(VLOOKUP(N397,PROGRAMAS[],3,FALSE),0)</f>
        <v>0</v>
      </c>
      <c r="AQ397" s="246">
        <f>IFERROR(VLOOKUP(O397,PROGRAMAS[],3,FALSE),0)</f>
        <v>0</v>
      </c>
      <c r="AR397" s="246">
        <f>IFERROR(VLOOKUP(P397,PROGRAMAS[],3,FALSE),0)</f>
        <v>0</v>
      </c>
      <c r="AS397" s="246">
        <f>IFERROR(VLOOKUP(Q397,PROGRAMAS[],3,FALSE),0)</f>
        <v>0</v>
      </c>
      <c r="AT397" s="246">
        <f>IFERROR(VLOOKUP(D397,VOL_REC[],2,FALSE),0)</f>
        <v>0</v>
      </c>
      <c r="AU397" s="246">
        <f>IFERROR(VLOOKUP(E397,VOL_REC[],2,FALSE),0)</f>
        <v>0</v>
      </c>
      <c r="AV397" s="246">
        <f>IFERROR(VLOOKUP(F397,VOL_REC[],2,FALSE),0)</f>
        <v>11089674.200000001</v>
      </c>
      <c r="AW397" s="246">
        <f>IFERROR(VLOOKUP(G397,VOL_REC[],2,FALSE),0)</f>
        <v>4325103.1812214684</v>
      </c>
      <c r="AX397" s="246">
        <f>IFERROR(VLOOKUP(H397,VOL_REC[],2,FALSE),0)</f>
        <v>3761786</v>
      </c>
      <c r="AY397" s="246">
        <f>IFERROR(VLOOKUP(I397,VOL_REC[],2,FALSE),0)</f>
        <v>17074.045034105649</v>
      </c>
      <c r="AZ397" s="246">
        <f>IFERROR(VLOOKUP(J397,VOL_REC[],2,FALSE),0)</f>
        <v>1072354.9981737854</v>
      </c>
      <c r="BA397" s="246">
        <f>IFERROR(VLOOKUP(K397,VOL_REC[],2,FALSE),0)</f>
        <v>0</v>
      </c>
      <c r="BB397" s="246">
        <f>IFERROR(VLOOKUP(L397,VOL_REC[],2,FALSE),0)</f>
        <v>0</v>
      </c>
      <c r="BC397" s="246">
        <f>IFERROR(VLOOKUP(M397,VOL_REC[],2,FALSE),0)</f>
        <v>0</v>
      </c>
      <c r="BD397" s="246">
        <f>IFERROR(VLOOKUP(N397,VOL_REC[],2,FALSE),0)</f>
        <v>0</v>
      </c>
      <c r="BE397" s="246">
        <f>IFERROR(VLOOKUP(O397,VOL_REC[],2,FALSE),0)</f>
        <v>0</v>
      </c>
      <c r="BF397" s="246">
        <f>IFERROR(VLOOKUP(P397,VOL_REC[],2,FALSE),0)</f>
        <v>0</v>
      </c>
      <c r="BG397" s="246">
        <f>IFERROR(VLOOKUP(Q397,VOL_REC[],2,FALSE),0)</f>
        <v>0</v>
      </c>
      <c r="BH397" s="1710">
        <f t="shared" si="24"/>
        <v>18492109863.618214</v>
      </c>
      <c r="BI397" s="1710">
        <f t="shared" si="25"/>
        <v>18768985507.856804</v>
      </c>
      <c r="BJ397" s="1711">
        <f t="shared" si="26"/>
        <v>20265992.424429361</v>
      </c>
      <c r="BK397" s="1711">
        <f t="shared" si="27"/>
        <v>0.98524823602625256</v>
      </c>
    </row>
    <row r="398" spans="3:67" x14ac:dyDescent="0.25">
      <c r="C398" s="246" t="s">
        <v>1748</v>
      </c>
      <c r="D398" s="246">
        <v>1</v>
      </c>
      <c r="E398" s="246">
        <v>2</v>
      </c>
      <c r="F398" s="246">
        <v>3</v>
      </c>
      <c r="G398" s="246">
        <v>5</v>
      </c>
      <c r="H398" s="246">
        <v>9</v>
      </c>
      <c r="I398" s="246">
        <v>14</v>
      </c>
      <c r="J398" s="246">
        <v>17</v>
      </c>
      <c r="K398" s="246"/>
      <c r="L398" s="246"/>
      <c r="M398" s="246"/>
      <c r="N398" s="246"/>
      <c r="O398" s="246"/>
      <c r="P398" s="246"/>
      <c r="Q398" s="246"/>
      <c r="R398" s="246">
        <f>IFERROR(VLOOKUP(D398,PROGRAMAS[],2,FALSE),0)</f>
        <v>97037803.679377079</v>
      </c>
      <c r="S398" s="246">
        <f>IFERROR(VLOOKUP(E398,PROGRAMAS[],2,FALSE),0)</f>
        <v>640501509.6821388</v>
      </c>
      <c r="T398" s="246">
        <f>IFERROR(VLOOKUP(F398,PROGRAMAS[],2,FALSE),0)</f>
        <v>3062327798.1525245</v>
      </c>
      <c r="U398" s="246">
        <f>IFERROR(VLOOKUP(G398,PROGRAMAS[],2,FALSE),0)</f>
        <v>1440941976.2528784</v>
      </c>
      <c r="V398" s="246">
        <f>IFERROR(VLOOKUP(H398,PROGRAMAS[],2,FALSE),0)</f>
        <v>6128579952.1618185</v>
      </c>
      <c r="W398" s="246">
        <f>IFERROR(VLOOKUP(I398,PROGRAMAS[],2,FALSE),0)</f>
        <v>54223862.645839565</v>
      </c>
      <c r="X398" s="246">
        <f>IFERROR(VLOOKUP(J398,PROGRAMAS[],2,FALSE),0)</f>
        <v>1892779498.5211046</v>
      </c>
      <c r="Y398" s="246">
        <f>IFERROR(VLOOKUP(K398,PROGRAMAS[],2,FALSE),0)</f>
        <v>0</v>
      </c>
      <c r="Z398" s="246">
        <f>IFERROR(VLOOKUP(L398,PROGRAMAS[],2,FALSE),0)</f>
        <v>0</v>
      </c>
      <c r="AA398" s="246">
        <f>IFERROR(VLOOKUP(M398,PROGRAMAS[],2,FALSE),0)</f>
        <v>0</v>
      </c>
      <c r="AB398" s="246">
        <f>IFERROR(VLOOKUP(N398,PROGRAMAS[],2,FALSE),0)</f>
        <v>0</v>
      </c>
      <c r="AC398" s="246">
        <f>IFERROR(VLOOKUP(O398,PROGRAMAS[],2,FALSE),0)</f>
        <v>0</v>
      </c>
      <c r="AD398" s="246">
        <f>IFERROR(VLOOKUP(P398,PROGRAMAS[],2,FALSE),0)</f>
        <v>0</v>
      </c>
      <c r="AE398" s="246">
        <f>IFERROR(VLOOKUP(Q398,PROGRAMAS[],2,FALSE),0)</f>
        <v>0</v>
      </c>
      <c r="AF398" s="246">
        <f>IFERROR(VLOOKUP(D398,PROGRAMAS[],3,FALSE),0)</f>
        <v>841888629.31080008</v>
      </c>
      <c r="AG398" s="246">
        <f>IFERROR(VLOOKUP(E398,PROGRAMAS[],3,FALSE),0)</f>
        <v>3848980803.1642323</v>
      </c>
      <c r="AH398" s="246">
        <f>IFERROR(VLOOKUP(F398,PROGRAMAS[],3,FALSE),0)</f>
        <v>3394901471.387517</v>
      </c>
      <c r="AI398" s="246">
        <f>IFERROR(VLOOKUP(G398,PROGRAMAS[],3,FALSE),0)</f>
        <v>1233505101.0616004</v>
      </c>
      <c r="AJ398" s="246">
        <f>IFERROR(VLOOKUP(H398,PROGRAMAS[],3,FALSE),0)</f>
        <v>7011279577.519702</v>
      </c>
      <c r="AK398" s="246">
        <f>IFERROR(VLOOKUP(I398,PROGRAMAS[],3,FALSE),0)</f>
        <v>31865326.38096505</v>
      </c>
      <c r="AL398" s="246">
        <f>IFERROR(VLOOKUP(J398,PROGRAMAS[],3,FALSE),0)</f>
        <v>948595847.09039903</v>
      </c>
      <c r="AM398" s="246">
        <f>IFERROR(VLOOKUP(K398,PROGRAMAS[],3,FALSE),0)</f>
        <v>0</v>
      </c>
      <c r="AN398" s="246">
        <f>IFERROR(VLOOKUP(L398,PROGRAMAS[],3,FALSE),0)</f>
        <v>0</v>
      </c>
      <c r="AO398" s="246">
        <f>IFERROR(VLOOKUP(M398,PROGRAMAS[],3,FALSE),0)</f>
        <v>0</v>
      </c>
      <c r="AP398" s="246">
        <f>IFERROR(VLOOKUP(N398,PROGRAMAS[],3,FALSE),0)</f>
        <v>0</v>
      </c>
      <c r="AQ398" s="246">
        <f>IFERROR(VLOOKUP(O398,PROGRAMAS[],3,FALSE),0)</f>
        <v>0</v>
      </c>
      <c r="AR398" s="246">
        <f>IFERROR(VLOOKUP(P398,PROGRAMAS[],3,FALSE),0)</f>
        <v>0</v>
      </c>
      <c r="AS398" s="246">
        <f>IFERROR(VLOOKUP(Q398,PROGRAMAS[],3,FALSE),0)</f>
        <v>0</v>
      </c>
      <c r="AT398" s="246">
        <f>IFERROR(VLOOKUP(D398,VOL_REC[],2,FALSE),0)</f>
        <v>0</v>
      </c>
      <c r="AU398" s="246">
        <f>IFERROR(VLOOKUP(E398,VOL_REC[],2,FALSE),0)</f>
        <v>0</v>
      </c>
      <c r="AV398" s="246">
        <f>IFERROR(VLOOKUP(F398,VOL_REC[],2,FALSE),0)</f>
        <v>11089674.200000001</v>
      </c>
      <c r="AW398" s="246">
        <f>IFERROR(VLOOKUP(G398,VOL_REC[],2,FALSE),0)</f>
        <v>4325103.1812214684</v>
      </c>
      <c r="AX398" s="246">
        <f>IFERROR(VLOOKUP(H398,VOL_REC[],2,FALSE),0)</f>
        <v>3761786</v>
      </c>
      <c r="AY398" s="246">
        <f>IFERROR(VLOOKUP(I398,VOL_REC[],2,FALSE),0)</f>
        <v>17074.045034105649</v>
      </c>
      <c r="AZ398" s="246">
        <f>IFERROR(VLOOKUP(J398,VOL_REC[],2,FALSE),0)</f>
        <v>740113.98115702497</v>
      </c>
      <c r="BA398" s="246">
        <f>IFERROR(VLOOKUP(K398,VOL_REC[],2,FALSE),0)</f>
        <v>0</v>
      </c>
      <c r="BB398" s="246">
        <f>IFERROR(VLOOKUP(L398,VOL_REC[],2,FALSE),0)</f>
        <v>0</v>
      </c>
      <c r="BC398" s="246">
        <f>IFERROR(VLOOKUP(M398,VOL_REC[],2,FALSE),0)</f>
        <v>0</v>
      </c>
      <c r="BD398" s="246">
        <f>IFERROR(VLOOKUP(N398,VOL_REC[],2,FALSE),0)</f>
        <v>0</v>
      </c>
      <c r="BE398" s="246">
        <f>IFERROR(VLOOKUP(O398,VOL_REC[],2,FALSE),0)</f>
        <v>0</v>
      </c>
      <c r="BF398" s="246">
        <f>IFERROR(VLOOKUP(P398,VOL_REC[],2,FALSE),0)</f>
        <v>0</v>
      </c>
      <c r="BG398" s="246">
        <f>IFERROR(VLOOKUP(Q398,VOL_REC[],2,FALSE),0)</f>
        <v>0</v>
      </c>
      <c r="BH398" s="1710">
        <f t="shared" si="24"/>
        <v>13316392401.095682</v>
      </c>
      <c r="BI398" s="1710">
        <f t="shared" si="25"/>
        <v>17311016755.915215</v>
      </c>
      <c r="BJ398" s="1711">
        <f t="shared" si="26"/>
        <v>19933751.4074126</v>
      </c>
      <c r="BK398" s="1711">
        <f t="shared" si="27"/>
        <v>0.76924380519390578</v>
      </c>
    </row>
    <row r="399" spans="3:67" x14ac:dyDescent="0.25">
      <c r="C399" s="246" t="s">
        <v>1749</v>
      </c>
      <c r="D399" s="246">
        <v>1</v>
      </c>
      <c r="E399" s="246">
        <v>2</v>
      </c>
      <c r="F399" s="246">
        <v>3</v>
      </c>
      <c r="G399" s="246">
        <v>5</v>
      </c>
      <c r="H399" s="246">
        <v>9</v>
      </c>
      <c r="I399" s="246">
        <v>15</v>
      </c>
      <c r="J399" s="246">
        <v>16</v>
      </c>
      <c r="K399" s="246"/>
      <c r="L399" s="246"/>
      <c r="M399" s="246"/>
      <c r="N399" s="246"/>
      <c r="O399" s="246"/>
      <c r="P399" s="246"/>
      <c r="Q399" s="246"/>
      <c r="R399" s="246">
        <f>IFERROR(VLOOKUP(D399,PROGRAMAS[],2,FALSE),0)</f>
        <v>97037803.679377079</v>
      </c>
      <c r="S399" s="246">
        <f>IFERROR(VLOOKUP(E399,PROGRAMAS[],2,FALSE),0)</f>
        <v>640501509.6821388</v>
      </c>
      <c r="T399" s="246">
        <f>IFERROR(VLOOKUP(F399,PROGRAMAS[],2,FALSE),0)</f>
        <v>3062327798.1525245</v>
      </c>
      <c r="U399" s="246">
        <f>IFERROR(VLOOKUP(G399,PROGRAMAS[],2,FALSE),0)</f>
        <v>1440941976.2528784</v>
      </c>
      <c r="V399" s="246">
        <f>IFERROR(VLOOKUP(H399,PROGRAMAS[],2,FALSE),0)</f>
        <v>6128579952.1618185</v>
      </c>
      <c r="W399" s="246">
        <f>IFERROR(VLOOKUP(I399,PROGRAMAS[],2,FALSE),0)</f>
        <v>122159672.96346797</v>
      </c>
      <c r="X399" s="246">
        <f>IFERROR(VLOOKUP(J399,PROGRAMAS[],2,FALSE),0)</f>
        <v>7068496961.0436354</v>
      </c>
      <c r="Y399" s="246">
        <f>IFERROR(VLOOKUP(K399,PROGRAMAS[],2,FALSE),0)</f>
        <v>0</v>
      </c>
      <c r="Z399" s="246">
        <f>IFERROR(VLOOKUP(L399,PROGRAMAS[],2,FALSE),0)</f>
        <v>0</v>
      </c>
      <c r="AA399" s="246">
        <f>IFERROR(VLOOKUP(M399,PROGRAMAS[],2,FALSE),0)</f>
        <v>0</v>
      </c>
      <c r="AB399" s="246">
        <f>IFERROR(VLOOKUP(N399,PROGRAMAS[],2,FALSE),0)</f>
        <v>0</v>
      </c>
      <c r="AC399" s="246">
        <f>IFERROR(VLOOKUP(O399,PROGRAMAS[],2,FALSE),0)</f>
        <v>0</v>
      </c>
      <c r="AD399" s="246">
        <f>IFERROR(VLOOKUP(P399,PROGRAMAS[],2,FALSE),0)</f>
        <v>0</v>
      </c>
      <c r="AE399" s="246">
        <f>IFERROR(VLOOKUP(Q399,PROGRAMAS[],2,FALSE),0)</f>
        <v>0</v>
      </c>
      <c r="AF399" s="246">
        <f>IFERROR(VLOOKUP(D399,PROGRAMAS[],3,FALSE),0)</f>
        <v>841888629.31080008</v>
      </c>
      <c r="AG399" s="246">
        <f>IFERROR(VLOOKUP(E399,PROGRAMAS[],3,FALSE),0)</f>
        <v>3848980803.1642323</v>
      </c>
      <c r="AH399" s="246">
        <f>IFERROR(VLOOKUP(F399,PROGRAMAS[],3,FALSE),0)</f>
        <v>3394901471.387517</v>
      </c>
      <c r="AI399" s="246">
        <f>IFERROR(VLOOKUP(G399,PROGRAMAS[],3,FALSE),0)</f>
        <v>1233505101.0616004</v>
      </c>
      <c r="AJ399" s="246">
        <f>IFERROR(VLOOKUP(H399,PROGRAMAS[],3,FALSE),0)</f>
        <v>7011279577.519702</v>
      </c>
      <c r="AK399" s="246">
        <f>IFERROR(VLOOKUP(I399,PROGRAMAS[],3,FALSE),0)</f>
        <v>118617452.52510804</v>
      </c>
      <c r="AL399" s="246">
        <f>IFERROR(VLOOKUP(J399,PROGRAMAS[],3,FALSE),0)</f>
        <v>2406564599.0319901</v>
      </c>
      <c r="AM399" s="246">
        <f>IFERROR(VLOOKUP(K399,PROGRAMAS[],3,FALSE),0)</f>
        <v>0</v>
      </c>
      <c r="AN399" s="246">
        <f>IFERROR(VLOOKUP(L399,PROGRAMAS[],3,FALSE),0)</f>
        <v>0</v>
      </c>
      <c r="AO399" s="246">
        <f>IFERROR(VLOOKUP(M399,PROGRAMAS[],3,FALSE),0)</f>
        <v>0</v>
      </c>
      <c r="AP399" s="246">
        <f>IFERROR(VLOOKUP(N399,PROGRAMAS[],3,FALSE),0)</f>
        <v>0</v>
      </c>
      <c r="AQ399" s="246">
        <f>IFERROR(VLOOKUP(O399,PROGRAMAS[],3,FALSE),0)</f>
        <v>0</v>
      </c>
      <c r="AR399" s="246">
        <f>IFERROR(VLOOKUP(P399,PROGRAMAS[],3,FALSE),0)</f>
        <v>0</v>
      </c>
      <c r="AS399" s="246">
        <f>IFERROR(VLOOKUP(Q399,PROGRAMAS[],3,FALSE),0)</f>
        <v>0</v>
      </c>
      <c r="AT399" s="246">
        <f>IFERROR(VLOOKUP(D399,VOL_REC[],2,FALSE),0)</f>
        <v>0</v>
      </c>
      <c r="AU399" s="246">
        <f>IFERROR(VLOOKUP(E399,VOL_REC[],2,FALSE),0)</f>
        <v>0</v>
      </c>
      <c r="AV399" s="246">
        <f>IFERROR(VLOOKUP(F399,VOL_REC[],2,FALSE),0)</f>
        <v>11089674.200000001</v>
      </c>
      <c r="AW399" s="246">
        <f>IFERROR(VLOOKUP(G399,VOL_REC[],2,FALSE),0)</f>
        <v>4325103.1812214684</v>
      </c>
      <c r="AX399" s="246">
        <f>IFERROR(VLOOKUP(H399,VOL_REC[],2,FALSE),0)</f>
        <v>3761786</v>
      </c>
      <c r="AY399" s="246">
        <f>IFERROR(VLOOKUP(I399,VOL_REC[],2,FALSE),0)</f>
        <v>105072</v>
      </c>
      <c r="AZ399" s="246">
        <f>IFERROR(VLOOKUP(J399,VOL_REC[],2,FALSE),0)</f>
        <v>1072354.9981737854</v>
      </c>
      <c r="BA399" s="246">
        <f>IFERROR(VLOOKUP(K399,VOL_REC[],2,FALSE),0)</f>
        <v>0</v>
      </c>
      <c r="BB399" s="246">
        <f>IFERROR(VLOOKUP(L399,VOL_REC[],2,FALSE),0)</f>
        <v>0</v>
      </c>
      <c r="BC399" s="246">
        <f>IFERROR(VLOOKUP(M399,VOL_REC[],2,FALSE),0)</f>
        <v>0</v>
      </c>
      <c r="BD399" s="246">
        <f>IFERROR(VLOOKUP(N399,VOL_REC[],2,FALSE),0)</f>
        <v>0</v>
      </c>
      <c r="BE399" s="246">
        <f>IFERROR(VLOOKUP(O399,VOL_REC[],2,FALSE),0)</f>
        <v>0</v>
      </c>
      <c r="BF399" s="246">
        <f>IFERROR(VLOOKUP(P399,VOL_REC[],2,FALSE),0)</f>
        <v>0</v>
      </c>
      <c r="BG399" s="246">
        <f>IFERROR(VLOOKUP(Q399,VOL_REC[],2,FALSE),0)</f>
        <v>0</v>
      </c>
      <c r="BH399" s="1710">
        <f t="shared" si="24"/>
        <v>18560045673.935841</v>
      </c>
      <c r="BI399" s="1710">
        <f t="shared" si="25"/>
        <v>18855737634.00095</v>
      </c>
      <c r="BJ399" s="1711">
        <f t="shared" si="26"/>
        <v>20353990.379395254</v>
      </c>
      <c r="BK399" s="1711">
        <f t="shared" si="27"/>
        <v>0.98431819715544233</v>
      </c>
    </row>
    <row r="400" spans="3:67" x14ac:dyDescent="0.25">
      <c r="C400" s="246" t="s">
        <v>1750</v>
      </c>
      <c r="D400" s="246">
        <v>1</v>
      </c>
      <c r="E400" s="246">
        <v>2</v>
      </c>
      <c r="F400" s="246">
        <v>3</v>
      </c>
      <c r="G400" s="246">
        <v>5</v>
      </c>
      <c r="H400" s="246">
        <v>9</v>
      </c>
      <c r="I400" s="246">
        <v>15</v>
      </c>
      <c r="J400" s="246">
        <v>17</v>
      </c>
      <c r="K400" s="246"/>
      <c r="L400" s="246"/>
      <c r="M400" s="246"/>
      <c r="N400" s="246"/>
      <c r="O400" s="246"/>
      <c r="P400" s="246"/>
      <c r="Q400" s="246"/>
      <c r="R400" s="246">
        <f>IFERROR(VLOOKUP(D400,PROGRAMAS[],2,FALSE),0)</f>
        <v>97037803.679377079</v>
      </c>
      <c r="S400" s="246">
        <f>IFERROR(VLOOKUP(E400,PROGRAMAS[],2,FALSE),0)</f>
        <v>640501509.6821388</v>
      </c>
      <c r="T400" s="246">
        <f>IFERROR(VLOOKUP(F400,PROGRAMAS[],2,FALSE),0)</f>
        <v>3062327798.1525245</v>
      </c>
      <c r="U400" s="246">
        <f>IFERROR(VLOOKUP(G400,PROGRAMAS[],2,FALSE),0)</f>
        <v>1440941976.2528784</v>
      </c>
      <c r="V400" s="246">
        <f>IFERROR(VLOOKUP(H400,PROGRAMAS[],2,FALSE),0)</f>
        <v>6128579952.1618185</v>
      </c>
      <c r="W400" s="246">
        <f>IFERROR(VLOOKUP(I400,PROGRAMAS[],2,FALSE),0)</f>
        <v>122159672.96346797</v>
      </c>
      <c r="X400" s="246">
        <f>IFERROR(VLOOKUP(J400,PROGRAMAS[],2,FALSE),0)</f>
        <v>1892779498.5211046</v>
      </c>
      <c r="Y400" s="246">
        <f>IFERROR(VLOOKUP(K400,PROGRAMAS[],2,FALSE),0)</f>
        <v>0</v>
      </c>
      <c r="Z400" s="246">
        <f>IFERROR(VLOOKUP(L400,PROGRAMAS[],2,FALSE),0)</f>
        <v>0</v>
      </c>
      <c r="AA400" s="246">
        <f>IFERROR(VLOOKUP(M400,PROGRAMAS[],2,FALSE),0)</f>
        <v>0</v>
      </c>
      <c r="AB400" s="246">
        <f>IFERROR(VLOOKUP(N400,PROGRAMAS[],2,FALSE),0)</f>
        <v>0</v>
      </c>
      <c r="AC400" s="246">
        <f>IFERROR(VLOOKUP(O400,PROGRAMAS[],2,FALSE),0)</f>
        <v>0</v>
      </c>
      <c r="AD400" s="246">
        <f>IFERROR(VLOOKUP(P400,PROGRAMAS[],2,FALSE),0)</f>
        <v>0</v>
      </c>
      <c r="AE400" s="246">
        <f>IFERROR(VLOOKUP(Q400,PROGRAMAS[],2,FALSE),0)</f>
        <v>0</v>
      </c>
      <c r="AF400" s="246">
        <f>IFERROR(VLOOKUP(D400,PROGRAMAS[],3,FALSE),0)</f>
        <v>841888629.31080008</v>
      </c>
      <c r="AG400" s="246">
        <f>IFERROR(VLOOKUP(E400,PROGRAMAS[],3,FALSE),0)</f>
        <v>3848980803.1642323</v>
      </c>
      <c r="AH400" s="246">
        <f>IFERROR(VLOOKUP(F400,PROGRAMAS[],3,FALSE),0)</f>
        <v>3394901471.387517</v>
      </c>
      <c r="AI400" s="246">
        <f>IFERROR(VLOOKUP(G400,PROGRAMAS[],3,FALSE),0)</f>
        <v>1233505101.0616004</v>
      </c>
      <c r="AJ400" s="246">
        <f>IFERROR(VLOOKUP(H400,PROGRAMAS[],3,FALSE),0)</f>
        <v>7011279577.519702</v>
      </c>
      <c r="AK400" s="246">
        <f>IFERROR(VLOOKUP(I400,PROGRAMAS[],3,FALSE),0)</f>
        <v>118617452.52510804</v>
      </c>
      <c r="AL400" s="246">
        <f>IFERROR(VLOOKUP(J400,PROGRAMAS[],3,FALSE),0)</f>
        <v>948595847.09039903</v>
      </c>
      <c r="AM400" s="246">
        <f>IFERROR(VLOOKUP(K400,PROGRAMAS[],3,FALSE),0)</f>
        <v>0</v>
      </c>
      <c r="AN400" s="246">
        <f>IFERROR(VLOOKUP(L400,PROGRAMAS[],3,FALSE),0)</f>
        <v>0</v>
      </c>
      <c r="AO400" s="246">
        <f>IFERROR(VLOOKUP(M400,PROGRAMAS[],3,FALSE),0)</f>
        <v>0</v>
      </c>
      <c r="AP400" s="246">
        <f>IFERROR(VLOOKUP(N400,PROGRAMAS[],3,FALSE),0)</f>
        <v>0</v>
      </c>
      <c r="AQ400" s="246">
        <f>IFERROR(VLOOKUP(O400,PROGRAMAS[],3,FALSE),0)</f>
        <v>0</v>
      </c>
      <c r="AR400" s="246">
        <f>IFERROR(VLOOKUP(P400,PROGRAMAS[],3,FALSE),0)</f>
        <v>0</v>
      </c>
      <c r="AS400" s="246">
        <f>IFERROR(VLOOKUP(Q400,PROGRAMAS[],3,FALSE),0)</f>
        <v>0</v>
      </c>
      <c r="AT400" s="246">
        <f>IFERROR(VLOOKUP(D400,VOL_REC[],2,FALSE),0)</f>
        <v>0</v>
      </c>
      <c r="AU400" s="246">
        <f>IFERROR(VLOOKUP(E400,VOL_REC[],2,FALSE),0)</f>
        <v>0</v>
      </c>
      <c r="AV400" s="246">
        <f>IFERROR(VLOOKUP(F400,VOL_REC[],2,FALSE),0)</f>
        <v>11089674.200000001</v>
      </c>
      <c r="AW400" s="246">
        <f>IFERROR(VLOOKUP(G400,VOL_REC[],2,FALSE),0)</f>
        <v>4325103.1812214684</v>
      </c>
      <c r="AX400" s="246">
        <f>IFERROR(VLOOKUP(H400,VOL_REC[],2,FALSE),0)</f>
        <v>3761786</v>
      </c>
      <c r="AY400" s="246">
        <f>IFERROR(VLOOKUP(I400,VOL_REC[],2,FALSE),0)</f>
        <v>105072</v>
      </c>
      <c r="AZ400" s="246">
        <f>IFERROR(VLOOKUP(J400,VOL_REC[],2,FALSE),0)</f>
        <v>740113.98115702497</v>
      </c>
      <c r="BA400" s="246">
        <f>IFERROR(VLOOKUP(K400,VOL_REC[],2,FALSE),0)</f>
        <v>0</v>
      </c>
      <c r="BB400" s="246">
        <f>IFERROR(VLOOKUP(L400,VOL_REC[],2,FALSE),0)</f>
        <v>0</v>
      </c>
      <c r="BC400" s="246">
        <f>IFERROR(VLOOKUP(M400,VOL_REC[],2,FALSE),0)</f>
        <v>0</v>
      </c>
      <c r="BD400" s="246">
        <f>IFERROR(VLOOKUP(N400,VOL_REC[],2,FALSE),0)</f>
        <v>0</v>
      </c>
      <c r="BE400" s="246">
        <f>IFERROR(VLOOKUP(O400,VOL_REC[],2,FALSE),0)</f>
        <v>0</v>
      </c>
      <c r="BF400" s="246">
        <f>IFERROR(VLOOKUP(P400,VOL_REC[],2,FALSE),0)</f>
        <v>0</v>
      </c>
      <c r="BG400" s="246">
        <f>IFERROR(VLOOKUP(Q400,VOL_REC[],2,FALSE),0)</f>
        <v>0</v>
      </c>
      <c r="BH400" s="1710">
        <f t="shared" si="24"/>
        <v>13384328211.413311</v>
      </c>
      <c r="BI400" s="1710">
        <f t="shared" si="25"/>
        <v>17397768882.059361</v>
      </c>
      <c r="BJ400" s="1711">
        <f t="shared" si="26"/>
        <v>20021749.362378493</v>
      </c>
      <c r="BK400" s="1711">
        <f t="shared" si="27"/>
        <v>0.76931291030169258</v>
      </c>
    </row>
    <row r="401" spans="3:67" x14ac:dyDescent="0.25">
      <c r="C401" s="246" t="s">
        <v>1751</v>
      </c>
      <c r="D401" s="246">
        <v>1</v>
      </c>
      <c r="E401" s="246">
        <v>2</v>
      </c>
      <c r="F401" s="246">
        <v>3</v>
      </c>
      <c r="G401" s="246">
        <v>5</v>
      </c>
      <c r="H401" s="246">
        <v>9</v>
      </c>
      <c r="I401" s="246">
        <v>16</v>
      </c>
      <c r="J401" s="246">
        <v>17</v>
      </c>
      <c r="K401" s="246"/>
      <c r="L401" s="246"/>
      <c r="M401" s="246"/>
      <c r="N401" s="246"/>
      <c r="O401" s="246"/>
      <c r="P401" s="246"/>
      <c r="Q401" s="246"/>
      <c r="R401" s="246">
        <f>IFERROR(VLOOKUP(D401,PROGRAMAS[],2,FALSE),0)</f>
        <v>97037803.679377079</v>
      </c>
      <c r="S401" s="246">
        <f>IFERROR(VLOOKUP(E401,PROGRAMAS[],2,FALSE),0)</f>
        <v>640501509.6821388</v>
      </c>
      <c r="T401" s="246">
        <f>IFERROR(VLOOKUP(F401,PROGRAMAS[],2,FALSE),0)</f>
        <v>3062327798.1525245</v>
      </c>
      <c r="U401" s="246">
        <f>IFERROR(VLOOKUP(G401,PROGRAMAS[],2,FALSE),0)</f>
        <v>1440941976.2528784</v>
      </c>
      <c r="V401" s="246">
        <f>IFERROR(VLOOKUP(H401,PROGRAMAS[],2,FALSE),0)</f>
        <v>6128579952.1618185</v>
      </c>
      <c r="W401" s="246">
        <f>IFERROR(VLOOKUP(I401,PROGRAMAS[],2,FALSE),0)</f>
        <v>7068496961.0436354</v>
      </c>
      <c r="X401" s="246">
        <f>IFERROR(VLOOKUP(J401,PROGRAMAS[],2,FALSE),0)</f>
        <v>1892779498.5211046</v>
      </c>
      <c r="Y401" s="246">
        <f>IFERROR(VLOOKUP(K401,PROGRAMAS[],2,FALSE),0)</f>
        <v>0</v>
      </c>
      <c r="Z401" s="246">
        <f>IFERROR(VLOOKUP(L401,PROGRAMAS[],2,FALSE),0)</f>
        <v>0</v>
      </c>
      <c r="AA401" s="246">
        <f>IFERROR(VLOOKUP(M401,PROGRAMAS[],2,FALSE),0)</f>
        <v>0</v>
      </c>
      <c r="AB401" s="246">
        <f>IFERROR(VLOOKUP(N401,PROGRAMAS[],2,FALSE),0)</f>
        <v>0</v>
      </c>
      <c r="AC401" s="246">
        <f>IFERROR(VLOOKUP(O401,PROGRAMAS[],2,FALSE),0)</f>
        <v>0</v>
      </c>
      <c r="AD401" s="246">
        <f>IFERROR(VLOOKUP(P401,PROGRAMAS[],2,FALSE),0)</f>
        <v>0</v>
      </c>
      <c r="AE401" s="246">
        <f>IFERROR(VLOOKUP(Q401,PROGRAMAS[],2,FALSE),0)</f>
        <v>0</v>
      </c>
      <c r="AF401" s="246">
        <f>IFERROR(VLOOKUP(D401,PROGRAMAS[],3,FALSE),0)</f>
        <v>841888629.31080008</v>
      </c>
      <c r="AG401" s="246">
        <f>IFERROR(VLOOKUP(E401,PROGRAMAS[],3,FALSE),0)</f>
        <v>3848980803.1642323</v>
      </c>
      <c r="AH401" s="246">
        <f>IFERROR(VLOOKUP(F401,PROGRAMAS[],3,FALSE),0)</f>
        <v>3394901471.387517</v>
      </c>
      <c r="AI401" s="246">
        <f>IFERROR(VLOOKUP(G401,PROGRAMAS[],3,FALSE),0)</f>
        <v>1233505101.0616004</v>
      </c>
      <c r="AJ401" s="246">
        <f>IFERROR(VLOOKUP(H401,PROGRAMAS[],3,FALSE),0)</f>
        <v>7011279577.519702</v>
      </c>
      <c r="AK401" s="246">
        <f>IFERROR(VLOOKUP(I401,PROGRAMAS[],3,FALSE),0)</f>
        <v>2406564599.0319901</v>
      </c>
      <c r="AL401" s="246">
        <f>IFERROR(VLOOKUP(J401,PROGRAMAS[],3,FALSE),0)</f>
        <v>948595847.09039903</v>
      </c>
      <c r="AM401" s="246">
        <f>IFERROR(VLOOKUP(K401,PROGRAMAS[],3,FALSE),0)</f>
        <v>0</v>
      </c>
      <c r="AN401" s="246">
        <f>IFERROR(VLOOKUP(L401,PROGRAMAS[],3,FALSE),0)</f>
        <v>0</v>
      </c>
      <c r="AO401" s="246">
        <f>IFERROR(VLOOKUP(M401,PROGRAMAS[],3,FALSE),0)</f>
        <v>0</v>
      </c>
      <c r="AP401" s="246">
        <f>IFERROR(VLOOKUP(N401,PROGRAMAS[],3,FALSE),0)</f>
        <v>0</v>
      </c>
      <c r="AQ401" s="246">
        <f>IFERROR(VLOOKUP(O401,PROGRAMAS[],3,FALSE),0)</f>
        <v>0</v>
      </c>
      <c r="AR401" s="246">
        <f>IFERROR(VLOOKUP(P401,PROGRAMAS[],3,FALSE),0)</f>
        <v>0</v>
      </c>
      <c r="AS401" s="246">
        <f>IFERROR(VLOOKUP(Q401,PROGRAMAS[],3,FALSE),0)</f>
        <v>0</v>
      </c>
      <c r="AT401" s="246">
        <f>IFERROR(VLOOKUP(D401,VOL_REC[],2,FALSE),0)</f>
        <v>0</v>
      </c>
      <c r="AU401" s="246">
        <f>IFERROR(VLOOKUP(E401,VOL_REC[],2,FALSE),0)</f>
        <v>0</v>
      </c>
      <c r="AV401" s="246">
        <f>IFERROR(VLOOKUP(F401,VOL_REC[],2,FALSE),0)</f>
        <v>11089674.200000001</v>
      </c>
      <c r="AW401" s="246">
        <f>IFERROR(VLOOKUP(G401,VOL_REC[],2,FALSE),0)</f>
        <v>4325103.1812214684</v>
      </c>
      <c r="AX401" s="246">
        <f>IFERROR(VLOOKUP(H401,VOL_REC[],2,FALSE),0)</f>
        <v>3761786</v>
      </c>
      <c r="AY401" s="246">
        <f>IFERROR(VLOOKUP(I401,VOL_REC[],2,FALSE),0)</f>
        <v>1072354.9981737854</v>
      </c>
      <c r="AZ401" s="246">
        <f>IFERROR(VLOOKUP(J401,VOL_REC[],2,FALSE),0)</f>
        <v>740113.98115702497</v>
      </c>
      <c r="BA401" s="246">
        <f>IFERROR(VLOOKUP(K401,VOL_REC[],2,FALSE),0)</f>
        <v>0</v>
      </c>
      <c r="BB401" s="246">
        <f>IFERROR(VLOOKUP(L401,VOL_REC[],2,FALSE),0)</f>
        <v>0</v>
      </c>
      <c r="BC401" s="246">
        <f>IFERROR(VLOOKUP(M401,VOL_REC[],2,FALSE),0)</f>
        <v>0</v>
      </c>
      <c r="BD401" s="246">
        <f>IFERROR(VLOOKUP(N401,VOL_REC[],2,FALSE),0)</f>
        <v>0</v>
      </c>
      <c r="BE401" s="246">
        <f>IFERROR(VLOOKUP(O401,VOL_REC[],2,FALSE),0)</f>
        <v>0</v>
      </c>
      <c r="BF401" s="246">
        <f>IFERROR(VLOOKUP(P401,VOL_REC[],2,FALSE),0)</f>
        <v>0</v>
      </c>
      <c r="BG401" s="246">
        <f>IFERROR(VLOOKUP(Q401,VOL_REC[],2,FALSE),0)</f>
        <v>0</v>
      </c>
      <c r="BH401" s="1710">
        <f t="shared" si="24"/>
        <v>20330665499.493477</v>
      </c>
      <c r="BI401" s="1710">
        <f t="shared" si="25"/>
        <v>19685716028.566242</v>
      </c>
      <c r="BJ401" s="1711">
        <f t="shared" si="26"/>
        <v>20989032.360552277</v>
      </c>
      <c r="BK401" s="1711">
        <f t="shared" si="27"/>
        <v>1.0327623069433358</v>
      </c>
      <c r="BL401">
        <f>BJ401</f>
        <v>20989032.360552277</v>
      </c>
      <c r="BO401">
        <f>BL401</f>
        <v>20989032.360552277</v>
      </c>
    </row>
    <row r="402" spans="3:67" x14ac:dyDescent="0.25">
      <c r="C402" s="246" t="s">
        <v>1752</v>
      </c>
      <c r="D402" s="246">
        <v>1</v>
      </c>
      <c r="E402" s="246">
        <v>2</v>
      </c>
      <c r="F402" s="246">
        <v>3</v>
      </c>
      <c r="G402" s="246">
        <v>5</v>
      </c>
      <c r="H402" s="246">
        <v>10</v>
      </c>
      <c r="I402" s="246">
        <v>12</v>
      </c>
      <c r="J402" s="246">
        <v>13</v>
      </c>
      <c r="K402" s="246"/>
      <c r="L402" s="246"/>
      <c r="M402" s="246"/>
      <c r="N402" s="246"/>
      <c r="O402" s="246"/>
      <c r="P402" s="246"/>
      <c r="Q402" s="246"/>
      <c r="R402" s="246">
        <f>IFERROR(VLOOKUP(D402,PROGRAMAS[],2,FALSE),0)</f>
        <v>97037803.679377079</v>
      </c>
      <c r="S402" s="246">
        <f>IFERROR(VLOOKUP(E402,PROGRAMAS[],2,FALSE),0)</f>
        <v>640501509.6821388</v>
      </c>
      <c r="T402" s="246">
        <f>IFERROR(VLOOKUP(F402,PROGRAMAS[],2,FALSE),0)</f>
        <v>3062327798.1525245</v>
      </c>
      <c r="U402" s="246">
        <f>IFERROR(VLOOKUP(G402,PROGRAMAS[],2,FALSE),0)</f>
        <v>1440941976.2528784</v>
      </c>
      <c r="V402" s="246">
        <f>IFERROR(VLOOKUP(H402,PROGRAMAS[],2,FALSE),0)</f>
        <v>4635315027.8751087</v>
      </c>
      <c r="W402" s="246">
        <f>IFERROR(VLOOKUP(I402,PROGRAMAS[],2,FALSE),0)</f>
        <v>764796700.79905891</v>
      </c>
      <c r="X402" s="246">
        <f>IFERROR(VLOOKUP(J402,PROGRAMAS[],2,FALSE),0)</f>
        <v>3776538594.4604583</v>
      </c>
      <c r="Y402" s="246">
        <f>IFERROR(VLOOKUP(K402,PROGRAMAS[],2,FALSE),0)</f>
        <v>0</v>
      </c>
      <c r="Z402" s="246">
        <f>IFERROR(VLOOKUP(L402,PROGRAMAS[],2,FALSE),0)</f>
        <v>0</v>
      </c>
      <c r="AA402" s="246">
        <f>IFERROR(VLOOKUP(M402,PROGRAMAS[],2,FALSE),0)</f>
        <v>0</v>
      </c>
      <c r="AB402" s="246">
        <f>IFERROR(VLOOKUP(N402,PROGRAMAS[],2,FALSE),0)</f>
        <v>0</v>
      </c>
      <c r="AC402" s="246">
        <f>IFERROR(VLOOKUP(O402,PROGRAMAS[],2,FALSE),0)</f>
        <v>0</v>
      </c>
      <c r="AD402" s="246">
        <f>IFERROR(VLOOKUP(P402,PROGRAMAS[],2,FALSE),0)</f>
        <v>0</v>
      </c>
      <c r="AE402" s="246">
        <f>IFERROR(VLOOKUP(Q402,PROGRAMAS[],2,FALSE),0)</f>
        <v>0</v>
      </c>
      <c r="AF402" s="246">
        <f>IFERROR(VLOOKUP(D402,PROGRAMAS[],3,FALSE),0)</f>
        <v>841888629.31080008</v>
      </c>
      <c r="AG402" s="246">
        <f>IFERROR(VLOOKUP(E402,PROGRAMAS[],3,FALSE),0)</f>
        <v>3848980803.1642323</v>
      </c>
      <c r="AH402" s="246">
        <f>IFERROR(VLOOKUP(F402,PROGRAMAS[],3,FALSE),0)</f>
        <v>3394901471.387517</v>
      </c>
      <c r="AI402" s="246">
        <f>IFERROR(VLOOKUP(G402,PROGRAMAS[],3,FALSE),0)</f>
        <v>1233505101.0616004</v>
      </c>
      <c r="AJ402" s="246">
        <f>IFERROR(VLOOKUP(H402,PROGRAMAS[],3,FALSE),0)</f>
        <v>4099471734.9978786</v>
      </c>
      <c r="AK402" s="246">
        <f>IFERROR(VLOOKUP(I402,PROGRAMAS[],3,FALSE),0)</f>
        <v>675517840.109828</v>
      </c>
      <c r="AL402" s="246">
        <f>IFERROR(VLOOKUP(J402,PROGRAMAS[],3,FALSE),0)</f>
        <v>2392571243.5584412</v>
      </c>
      <c r="AM402" s="246">
        <f>IFERROR(VLOOKUP(K402,PROGRAMAS[],3,FALSE),0)</f>
        <v>0</v>
      </c>
      <c r="AN402" s="246">
        <f>IFERROR(VLOOKUP(L402,PROGRAMAS[],3,FALSE),0)</f>
        <v>0</v>
      </c>
      <c r="AO402" s="246">
        <f>IFERROR(VLOOKUP(M402,PROGRAMAS[],3,FALSE),0)</f>
        <v>0</v>
      </c>
      <c r="AP402" s="246">
        <f>IFERROR(VLOOKUP(N402,PROGRAMAS[],3,FALSE),0)</f>
        <v>0</v>
      </c>
      <c r="AQ402" s="246">
        <f>IFERROR(VLOOKUP(O402,PROGRAMAS[],3,FALSE),0)</f>
        <v>0</v>
      </c>
      <c r="AR402" s="246">
        <f>IFERROR(VLOOKUP(P402,PROGRAMAS[],3,FALSE),0)</f>
        <v>0</v>
      </c>
      <c r="AS402" s="246">
        <f>IFERROR(VLOOKUP(Q402,PROGRAMAS[],3,FALSE),0)</f>
        <v>0</v>
      </c>
      <c r="AT402" s="246">
        <f>IFERROR(VLOOKUP(D402,VOL_REC[],2,FALSE),0)</f>
        <v>0</v>
      </c>
      <c r="AU402" s="246">
        <f>IFERROR(VLOOKUP(E402,VOL_REC[],2,FALSE),0)</f>
        <v>0</v>
      </c>
      <c r="AV402" s="246">
        <f>IFERROR(VLOOKUP(F402,VOL_REC[],2,FALSE),0)</f>
        <v>11089674.200000001</v>
      </c>
      <c r="AW402" s="246">
        <f>IFERROR(VLOOKUP(G402,VOL_REC[],2,FALSE),0)</f>
        <v>4325103.1812214684</v>
      </c>
      <c r="AX402" s="246">
        <f>IFERROR(VLOOKUP(H402,VOL_REC[],2,FALSE),0)</f>
        <v>1812240</v>
      </c>
      <c r="AY402" s="246">
        <f>IFERROR(VLOOKUP(I402,VOL_REC[],2,FALSE),0)</f>
        <v>240696.79238099116</v>
      </c>
      <c r="AZ402" s="246">
        <f>IFERROR(VLOOKUP(J402,VOL_REC[],2,FALSE),0)</f>
        <v>663244.80000000016</v>
      </c>
      <c r="BA402" s="246">
        <f>IFERROR(VLOOKUP(K402,VOL_REC[],2,FALSE),0)</f>
        <v>0</v>
      </c>
      <c r="BB402" s="246">
        <f>IFERROR(VLOOKUP(L402,VOL_REC[],2,FALSE),0)</f>
        <v>0</v>
      </c>
      <c r="BC402" s="246">
        <f>IFERROR(VLOOKUP(M402,VOL_REC[],2,FALSE),0)</f>
        <v>0</v>
      </c>
      <c r="BD402" s="246">
        <f>IFERROR(VLOOKUP(N402,VOL_REC[],2,FALSE),0)</f>
        <v>0</v>
      </c>
      <c r="BE402" s="246">
        <f>IFERROR(VLOOKUP(O402,VOL_REC[],2,FALSE),0)</f>
        <v>0</v>
      </c>
      <c r="BF402" s="246">
        <f>IFERROR(VLOOKUP(P402,VOL_REC[],2,FALSE),0)</f>
        <v>0</v>
      </c>
      <c r="BG402" s="246">
        <f>IFERROR(VLOOKUP(Q402,VOL_REC[],2,FALSE),0)</f>
        <v>0</v>
      </c>
      <c r="BH402" s="1710">
        <f t="shared" si="24"/>
        <v>14417459410.901546</v>
      </c>
      <c r="BI402" s="1710">
        <f t="shared" si="25"/>
        <v>16486836823.590298</v>
      </c>
      <c r="BJ402" s="1711">
        <f t="shared" si="26"/>
        <v>18130958.973602463</v>
      </c>
      <c r="BK402" s="1711">
        <f t="shared" si="27"/>
        <v>0.87448305367299028</v>
      </c>
    </row>
    <row r="403" spans="3:67" x14ac:dyDescent="0.25">
      <c r="C403" s="246" t="s">
        <v>1753</v>
      </c>
      <c r="D403" s="246">
        <v>1</v>
      </c>
      <c r="E403" s="246">
        <v>2</v>
      </c>
      <c r="F403" s="246">
        <v>3</v>
      </c>
      <c r="G403" s="246">
        <v>5</v>
      </c>
      <c r="H403" s="246">
        <v>10</v>
      </c>
      <c r="I403" s="246">
        <v>12</v>
      </c>
      <c r="J403" s="246">
        <v>14</v>
      </c>
      <c r="K403" s="246"/>
      <c r="L403" s="246"/>
      <c r="M403" s="246"/>
      <c r="N403" s="246"/>
      <c r="O403" s="246"/>
      <c r="P403" s="246"/>
      <c r="Q403" s="246"/>
      <c r="R403" s="246">
        <f>IFERROR(VLOOKUP(D403,PROGRAMAS[],2,FALSE),0)</f>
        <v>97037803.679377079</v>
      </c>
      <c r="S403" s="246">
        <f>IFERROR(VLOOKUP(E403,PROGRAMAS[],2,FALSE),0)</f>
        <v>640501509.6821388</v>
      </c>
      <c r="T403" s="246">
        <f>IFERROR(VLOOKUP(F403,PROGRAMAS[],2,FALSE),0)</f>
        <v>3062327798.1525245</v>
      </c>
      <c r="U403" s="246">
        <f>IFERROR(VLOOKUP(G403,PROGRAMAS[],2,FALSE),0)</f>
        <v>1440941976.2528784</v>
      </c>
      <c r="V403" s="246">
        <f>IFERROR(VLOOKUP(H403,PROGRAMAS[],2,FALSE),0)</f>
        <v>4635315027.8751087</v>
      </c>
      <c r="W403" s="246">
        <f>IFERROR(VLOOKUP(I403,PROGRAMAS[],2,FALSE),0)</f>
        <v>764796700.79905891</v>
      </c>
      <c r="X403" s="246">
        <f>IFERROR(VLOOKUP(J403,PROGRAMAS[],2,FALSE),0)</f>
        <v>54223862.645839565</v>
      </c>
      <c r="Y403" s="246">
        <f>IFERROR(VLOOKUP(K403,PROGRAMAS[],2,FALSE),0)</f>
        <v>0</v>
      </c>
      <c r="Z403" s="246">
        <f>IFERROR(VLOOKUP(L403,PROGRAMAS[],2,FALSE),0)</f>
        <v>0</v>
      </c>
      <c r="AA403" s="246">
        <f>IFERROR(VLOOKUP(M403,PROGRAMAS[],2,FALSE),0)</f>
        <v>0</v>
      </c>
      <c r="AB403" s="246">
        <f>IFERROR(VLOOKUP(N403,PROGRAMAS[],2,FALSE),0)</f>
        <v>0</v>
      </c>
      <c r="AC403" s="246">
        <f>IFERROR(VLOOKUP(O403,PROGRAMAS[],2,FALSE),0)</f>
        <v>0</v>
      </c>
      <c r="AD403" s="246">
        <f>IFERROR(VLOOKUP(P403,PROGRAMAS[],2,FALSE),0)</f>
        <v>0</v>
      </c>
      <c r="AE403" s="246">
        <f>IFERROR(VLOOKUP(Q403,PROGRAMAS[],2,FALSE),0)</f>
        <v>0</v>
      </c>
      <c r="AF403" s="246">
        <f>IFERROR(VLOOKUP(D403,PROGRAMAS[],3,FALSE),0)</f>
        <v>841888629.31080008</v>
      </c>
      <c r="AG403" s="246">
        <f>IFERROR(VLOOKUP(E403,PROGRAMAS[],3,FALSE),0)</f>
        <v>3848980803.1642323</v>
      </c>
      <c r="AH403" s="246">
        <f>IFERROR(VLOOKUP(F403,PROGRAMAS[],3,FALSE),0)</f>
        <v>3394901471.387517</v>
      </c>
      <c r="AI403" s="246">
        <f>IFERROR(VLOOKUP(G403,PROGRAMAS[],3,FALSE),0)</f>
        <v>1233505101.0616004</v>
      </c>
      <c r="AJ403" s="246">
        <f>IFERROR(VLOOKUP(H403,PROGRAMAS[],3,FALSE),0)</f>
        <v>4099471734.9978786</v>
      </c>
      <c r="AK403" s="246">
        <f>IFERROR(VLOOKUP(I403,PROGRAMAS[],3,FALSE),0)</f>
        <v>675517840.109828</v>
      </c>
      <c r="AL403" s="246">
        <f>IFERROR(VLOOKUP(J403,PROGRAMAS[],3,FALSE),0)</f>
        <v>31865326.38096505</v>
      </c>
      <c r="AM403" s="246">
        <f>IFERROR(VLOOKUP(K403,PROGRAMAS[],3,FALSE),0)</f>
        <v>0</v>
      </c>
      <c r="AN403" s="246">
        <f>IFERROR(VLOOKUP(L403,PROGRAMAS[],3,FALSE),0)</f>
        <v>0</v>
      </c>
      <c r="AO403" s="246">
        <f>IFERROR(VLOOKUP(M403,PROGRAMAS[],3,FALSE),0)</f>
        <v>0</v>
      </c>
      <c r="AP403" s="246">
        <f>IFERROR(VLOOKUP(N403,PROGRAMAS[],3,FALSE),0)</f>
        <v>0</v>
      </c>
      <c r="AQ403" s="246">
        <f>IFERROR(VLOOKUP(O403,PROGRAMAS[],3,FALSE),0)</f>
        <v>0</v>
      </c>
      <c r="AR403" s="246">
        <f>IFERROR(VLOOKUP(P403,PROGRAMAS[],3,FALSE),0)</f>
        <v>0</v>
      </c>
      <c r="AS403" s="246">
        <f>IFERROR(VLOOKUP(Q403,PROGRAMAS[],3,FALSE),0)</f>
        <v>0</v>
      </c>
      <c r="AT403" s="246">
        <f>IFERROR(VLOOKUP(D403,VOL_REC[],2,FALSE),0)</f>
        <v>0</v>
      </c>
      <c r="AU403" s="246">
        <f>IFERROR(VLOOKUP(E403,VOL_REC[],2,FALSE),0)</f>
        <v>0</v>
      </c>
      <c r="AV403" s="246">
        <f>IFERROR(VLOOKUP(F403,VOL_REC[],2,FALSE),0)</f>
        <v>11089674.200000001</v>
      </c>
      <c r="AW403" s="246">
        <f>IFERROR(VLOOKUP(G403,VOL_REC[],2,FALSE),0)</f>
        <v>4325103.1812214684</v>
      </c>
      <c r="AX403" s="246">
        <f>IFERROR(VLOOKUP(H403,VOL_REC[],2,FALSE),0)</f>
        <v>1812240</v>
      </c>
      <c r="AY403" s="246">
        <f>IFERROR(VLOOKUP(I403,VOL_REC[],2,FALSE),0)</f>
        <v>240696.79238099116</v>
      </c>
      <c r="AZ403" s="246">
        <f>IFERROR(VLOOKUP(J403,VOL_REC[],2,FALSE),0)</f>
        <v>17074.045034105649</v>
      </c>
      <c r="BA403" s="246">
        <f>IFERROR(VLOOKUP(K403,VOL_REC[],2,FALSE),0)</f>
        <v>0</v>
      </c>
      <c r="BB403" s="246">
        <f>IFERROR(VLOOKUP(L403,VOL_REC[],2,FALSE),0)</f>
        <v>0</v>
      </c>
      <c r="BC403" s="246">
        <f>IFERROR(VLOOKUP(M403,VOL_REC[],2,FALSE),0)</f>
        <v>0</v>
      </c>
      <c r="BD403" s="246">
        <f>IFERROR(VLOOKUP(N403,VOL_REC[],2,FALSE),0)</f>
        <v>0</v>
      </c>
      <c r="BE403" s="246">
        <f>IFERROR(VLOOKUP(O403,VOL_REC[],2,FALSE),0)</f>
        <v>0</v>
      </c>
      <c r="BF403" s="246">
        <f>IFERROR(VLOOKUP(P403,VOL_REC[],2,FALSE),0)</f>
        <v>0</v>
      </c>
      <c r="BG403" s="246">
        <f>IFERROR(VLOOKUP(Q403,VOL_REC[],2,FALSE),0)</f>
        <v>0</v>
      </c>
      <c r="BH403" s="1710">
        <f t="shared" si="24"/>
        <v>10695144679.086927</v>
      </c>
      <c r="BI403" s="1710">
        <f t="shared" si="25"/>
        <v>14126130906.412821</v>
      </c>
      <c r="BJ403" s="1711">
        <f t="shared" si="26"/>
        <v>17484788.218636569</v>
      </c>
      <c r="BK403" s="1711">
        <f t="shared" si="27"/>
        <v>0.75711776635396089</v>
      </c>
    </row>
    <row r="404" spans="3:67" x14ac:dyDescent="0.25">
      <c r="C404" s="246" t="s">
        <v>1754</v>
      </c>
      <c r="D404" s="246">
        <v>1</v>
      </c>
      <c r="E404" s="246">
        <v>2</v>
      </c>
      <c r="F404" s="246">
        <v>3</v>
      </c>
      <c r="G404" s="246">
        <v>5</v>
      </c>
      <c r="H404" s="246">
        <v>10</v>
      </c>
      <c r="I404" s="246">
        <v>12</v>
      </c>
      <c r="J404" s="246">
        <v>15</v>
      </c>
      <c r="K404" s="246"/>
      <c r="L404" s="246"/>
      <c r="M404" s="246"/>
      <c r="N404" s="246"/>
      <c r="O404" s="246"/>
      <c r="P404" s="246"/>
      <c r="Q404" s="246"/>
      <c r="R404" s="246">
        <f>IFERROR(VLOOKUP(D404,PROGRAMAS[],2,FALSE),0)</f>
        <v>97037803.679377079</v>
      </c>
      <c r="S404" s="246">
        <f>IFERROR(VLOOKUP(E404,PROGRAMAS[],2,FALSE),0)</f>
        <v>640501509.6821388</v>
      </c>
      <c r="T404" s="246">
        <f>IFERROR(VLOOKUP(F404,PROGRAMAS[],2,FALSE),0)</f>
        <v>3062327798.1525245</v>
      </c>
      <c r="U404" s="246">
        <f>IFERROR(VLOOKUP(G404,PROGRAMAS[],2,FALSE),0)</f>
        <v>1440941976.2528784</v>
      </c>
      <c r="V404" s="246">
        <f>IFERROR(VLOOKUP(H404,PROGRAMAS[],2,FALSE),0)</f>
        <v>4635315027.8751087</v>
      </c>
      <c r="W404" s="246">
        <f>IFERROR(VLOOKUP(I404,PROGRAMAS[],2,FALSE),0)</f>
        <v>764796700.79905891</v>
      </c>
      <c r="X404" s="246">
        <f>IFERROR(VLOOKUP(J404,PROGRAMAS[],2,FALSE),0)</f>
        <v>122159672.96346797</v>
      </c>
      <c r="Y404" s="246">
        <f>IFERROR(VLOOKUP(K404,PROGRAMAS[],2,FALSE),0)</f>
        <v>0</v>
      </c>
      <c r="Z404" s="246">
        <f>IFERROR(VLOOKUP(L404,PROGRAMAS[],2,FALSE),0)</f>
        <v>0</v>
      </c>
      <c r="AA404" s="246">
        <f>IFERROR(VLOOKUP(M404,PROGRAMAS[],2,FALSE),0)</f>
        <v>0</v>
      </c>
      <c r="AB404" s="246">
        <f>IFERROR(VLOOKUP(N404,PROGRAMAS[],2,FALSE),0)</f>
        <v>0</v>
      </c>
      <c r="AC404" s="246">
        <f>IFERROR(VLOOKUP(O404,PROGRAMAS[],2,FALSE),0)</f>
        <v>0</v>
      </c>
      <c r="AD404" s="246">
        <f>IFERROR(VLOOKUP(P404,PROGRAMAS[],2,FALSE),0)</f>
        <v>0</v>
      </c>
      <c r="AE404" s="246">
        <f>IFERROR(VLOOKUP(Q404,PROGRAMAS[],2,FALSE),0)</f>
        <v>0</v>
      </c>
      <c r="AF404" s="246">
        <f>IFERROR(VLOOKUP(D404,PROGRAMAS[],3,FALSE),0)</f>
        <v>841888629.31080008</v>
      </c>
      <c r="AG404" s="246">
        <f>IFERROR(VLOOKUP(E404,PROGRAMAS[],3,FALSE),0)</f>
        <v>3848980803.1642323</v>
      </c>
      <c r="AH404" s="246">
        <f>IFERROR(VLOOKUP(F404,PROGRAMAS[],3,FALSE),0)</f>
        <v>3394901471.387517</v>
      </c>
      <c r="AI404" s="246">
        <f>IFERROR(VLOOKUP(G404,PROGRAMAS[],3,FALSE),0)</f>
        <v>1233505101.0616004</v>
      </c>
      <c r="AJ404" s="246">
        <f>IFERROR(VLOOKUP(H404,PROGRAMAS[],3,FALSE),0)</f>
        <v>4099471734.9978786</v>
      </c>
      <c r="AK404" s="246">
        <f>IFERROR(VLOOKUP(I404,PROGRAMAS[],3,FALSE),0)</f>
        <v>675517840.109828</v>
      </c>
      <c r="AL404" s="246">
        <f>IFERROR(VLOOKUP(J404,PROGRAMAS[],3,FALSE),0)</f>
        <v>118617452.52510804</v>
      </c>
      <c r="AM404" s="246">
        <f>IFERROR(VLOOKUP(K404,PROGRAMAS[],3,FALSE),0)</f>
        <v>0</v>
      </c>
      <c r="AN404" s="246">
        <f>IFERROR(VLOOKUP(L404,PROGRAMAS[],3,FALSE),0)</f>
        <v>0</v>
      </c>
      <c r="AO404" s="246">
        <f>IFERROR(VLOOKUP(M404,PROGRAMAS[],3,FALSE),0)</f>
        <v>0</v>
      </c>
      <c r="AP404" s="246">
        <f>IFERROR(VLOOKUP(N404,PROGRAMAS[],3,FALSE),0)</f>
        <v>0</v>
      </c>
      <c r="AQ404" s="246">
        <f>IFERROR(VLOOKUP(O404,PROGRAMAS[],3,FALSE),0)</f>
        <v>0</v>
      </c>
      <c r="AR404" s="246">
        <f>IFERROR(VLOOKUP(P404,PROGRAMAS[],3,FALSE),0)</f>
        <v>0</v>
      </c>
      <c r="AS404" s="246">
        <f>IFERROR(VLOOKUP(Q404,PROGRAMAS[],3,FALSE),0)</f>
        <v>0</v>
      </c>
      <c r="AT404" s="246">
        <f>IFERROR(VLOOKUP(D404,VOL_REC[],2,FALSE),0)</f>
        <v>0</v>
      </c>
      <c r="AU404" s="246">
        <f>IFERROR(VLOOKUP(E404,VOL_REC[],2,FALSE),0)</f>
        <v>0</v>
      </c>
      <c r="AV404" s="246">
        <f>IFERROR(VLOOKUP(F404,VOL_REC[],2,FALSE),0)</f>
        <v>11089674.200000001</v>
      </c>
      <c r="AW404" s="246">
        <f>IFERROR(VLOOKUP(G404,VOL_REC[],2,FALSE),0)</f>
        <v>4325103.1812214684</v>
      </c>
      <c r="AX404" s="246">
        <f>IFERROR(VLOOKUP(H404,VOL_REC[],2,FALSE),0)</f>
        <v>1812240</v>
      </c>
      <c r="AY404" s="246">
        <f>IFERROR(VLOOKUP(I404,VOL_REC[],2,FALSE),0)</f>
        <v>240696.79238099116</v>
      </c>
      <c r="AZ404" s="246">
        <f>IFERROR(VLOOKUP(J404,VOL_REC[],2,FALSE),0)</f>
        <v>105072</v>
      </c>
      <c r="BA404" s="246">
        <f>IFERROR(VLOOKUP(K404,VOL_REC[],2,FALSE),0)</f>
        <v>0</v>
      </c>
      <c r="BB404" s="246">
        <f>IFERROR(VLOOKUP(L404,VOL_REC[],2,FALSE),0)</f>
        <v>0</v>
      </c>
      <c r="BC404" s="246">
        <f>IFERROR(VLOOKUP(M404,VOL_REC[],2,FALSE),0)</f>
        <v>0</v>
      </c>
      <c r="BD404" s="246">
        <f>IFERROR(VLOOKUP(N404,VOL_REC[],2,FALSE),0)</f>
        <v>0</v>
      </c>
      <c r="BE404" s="246">
        <f>IFERROR(VLOOKUP(O404,VOL_REC[],2,FALSE),0)</f>
        <v>0</v>
      </c>
      <c r="BF404" s="246">
        <f>IFERROR(VLOOKUP(P404,VOL_REC[],2,FALSE),0)</f>
        <v>0</v>
      </c>
      <c r="BG404" s="246">
        <f>IFERROR(VLOOKUP(Q404,VOL_REC[],2,FALSE),0)</f>
        <v>0</v>
      </c>
      <c r="BH404" s="1710">
        <f t="shared" si="24"/>
        <v>10763080489.404556</v>
      </c>
      <c r="BI404" s="1710">
        <f t="shared" si="25"/>
        <v>14212883032.556965</v>
      </c>
      <c r="BJ404" s="1711">
        <f t="shared" si="26"/>
        <v>17572786.173602462</v>
      </c>
      <c r="BK404" s="1711">
        <f t="shared" si="27"/>
        <v>0.75727637135617987</v>
      </c>
    </row>
    <row r="405" spans="3:67" x14ac:dyDescent="0.25">
      <c r="C405" s="246" t="s">
        <v>1755</v>
      </c>
      <c r="D405" s="246">
        <v>1</v>
      </c>
      <c r="E405" s="246">
        <v>2</v>
      </c>
      <c r="F405" s="246">
        <v>3</v>
      </c>
      <c r="G405" s="246">
        <v>5</v>
      </c>
      <c r="H405" s="246">
        <v>10</v>
      </c>
      <c r="I405" s="246">
        <v>12</v>
      </c>
      <c r="J405" s="246">
        <v>16</v>
      </c>
      <c r="K405" s="246"/>
      <c r="L405" s="246"/>
      <c r="M405" s="246"/>
      <c r="N405" s="246"/>
      <c r="O405" s="246"/>
      <c r="P405" s="246"/>
      <c r="Q405" s="246"/>
      <c r="R405" s="246">
        <f>IFERROR(VLOOKUP(D405,PROGRAMAS[],2,FALSE),0)</f>
        <v>97037803.679377079</v>
      </c>
      <c r="S405" s="246">
        <f>IFERROR(VLOOKUP(E405,PROGRAMAS[],2,FALSE),0)</f>
        <v>640501509.6821388</v>
      </c>
      <c r="T405" s="246">
        <f>IFERROR(VLOOKUP(F405,PROGRAMAS[],2,FALSE),0)</f>
        <v>3062327798.1525245</v>
      </c>
      <c r="U405" s="246">
        <f>IFERROR(VLOOKUP(G405,PROGRAMAS[],2,FALSE),0)</f>
        <v>1440941976.2528784</v>
      </c>
      <c r="V405" s="246">
        <f>IFERROR(VLOOKUP(H405,PROGRAMAS[],2,FALSE),0)</f>
        <v>4635315027.8751087</v>
      </c>
      <c r="W405" s="246">
        <f>IFERROR(VLOOKUP(I405,PROGRAMAS[],2,FALSE),0)</f>
        <v>764796700.79905891</v>
      </c>
      <c r="X405" s="246">
        <f>IFERROR(VLOOKUP(J405,PROGRAMAS[],2,FALSE),0)</f>
        <v>7068496961.0436354</v>
      </c>
      <c r="Y405" s="246">
        <f>IFERROR(VLOOKUP(K405,PROGRAMAS[],2,FALSE),0)</f>
        <v>0</v>
      </c>
      <c r="Z405" s="246">
        <f>IFERROR(VLOOKUP(L405,PROGRAMAS[],2,FALSE),0)</f>
        <v>0</v>
      </c>
      <c r="AA405" s="246">
        <f>IFERROR(VLOOKUP(M405,PROGRAMAS[],2,FALSE),0)</f>
        <v>0</v>
      </c>
      <c r="AB405" s="246">
        <f>IFERROR(VLOOKUP(N405,PROGRAMAS[],2,FALSE),0)</f>
        <v>0</v>
      </c>
      <c r="AC405" s="246">
        <f>IFERROR(VLOOKUP(O405,PROGRAMAS[],2,FALSE),0)</f>
        <v>0</v>
      </c>
      <c r="AD405" s="246">
        <f>IFERROR(VLOOKUP(P405,PROGRAMAS[],2,FALSE),0)</f>
        <v>0</v>
      </c>
      <c r="AE405" s="246">
        <f>IFERROR(VLOOKUP(Q405,PROGRAMAS[],2,FALSE),0)</f>
        <v>0</v>
      </c>
      <c r="AF405" s="246">
        <f>IFERROR(VLOOKUP(D405,PROGRAMAS[],3,FALSE),0)</f>
        <v>841888629.31080008</v>
      </c>
      <c r="AG405" s="246">
        <f>IFERROR(VLOOKUP(E405,PROGRAMAS[],3,FALSE),0)</f>
        <v>3848980803.1642323</v>
      </c>
      <c r="AH405" s="246">
        <f>IFERROR(VLOOKUP(F405,PROGRAMAS[],3,FALSE),0)</f>
        <v>3394901471.387517</v>
      </c>
      <c r="AI405" s="246">
        <f>IFERROR(VLOOKUP(G405,PROGRAMAS[],3,FALSE),0)</f>
        <v>1233505101.0616004</v>
      </c>
      <c r="AJ405" s="246">
        <f>IFERROR(VLOOKUP(H405,PROGRAMAS[],3,FALSE),0)</f>
        <v>4099471734.9978786</v>
      </c>
      <c r="AK405" s="246">
        <f>IFERROR(VLOOKUP(I405,PROGRAMAS[],3,FALSE),0)</f>
        <v>675517840.109828</v>
      </c>
      <c r="AL405" s="246">
        <f>IFERROR(VLOOKUP(J405,PROGRAMAS[],3,FALSE),0)</f>
        <v>2406564599.0319901</v>
      </c>
      <c r="AM405" s="246">
        <f>IFERROR(VLOOKUP(K405,PROGRAMAS[],3,FALSE),0)</f>
        <v>0</v>
      </c>
      <c r="AN405" s="246">
        <f>IFERROR(VLOOKUP(L405,PROGRAMAS[],3,FALSE),0)</f>
        <v>0</v>
      </c>
      <c r="AO405" s="246">
        <f>IFERROR(VLOOKUP(M405,PROGRAMAS[],3,FALSE),0)</f>
        <v>0</v>
      </c>
      <c r="AP405" s="246">
        <f>IFERROR(VLOOKUP(N405,PROGRAMAS[],3,FALSE),0)</f>
        <v>0</v>
      </c>
      <c r="AQ405" s="246">
        <f>IFERROR(VLOOKUP(O405,PROGRAMAS[],3,FALSE),0)</f>
        <v>0</v>
      </c>
      <c r="AR405" s="246">
        <f>IFERROR(VLOOKUP(P405,PROGRAMAS[],3,FALSE),0)</f>
        <v>0</v>
      </c>
      <c r="AS405" s="246">
        <f>IFERROR(VLOOKUP(Q405,PROGRAMAS[],3,FALSE),0)</f>
        <v>0</v>
      </c>
      <c r="AT405" s="246">
        <f>IFERROR(VLOOKUP(D405,VOL_REC[],2,FALSE),0)</f>
        <v>0</v>
      </c>
      <c r="AU405" s="246">
        <f>IFERROR(VLOOKUP(E405,VOL_REC[],2,FALSE),0)</f>
        <v>0</v>
      </c>
      <c r="AV405" s="246">
        <f>IFERROR(VLOOKUP(F405,VOL_REC[],2,FALSE),0)</f>
        <v>11089674.200000001</v>
      </c>
      <c r="AW405" s="246">
        <f>IFERROR(VLOOKUP(G405,VOL_REC[],2,FALSE),0)</f>
        <v>4325103.1812214684</v>
      </c>
      <c r="AX405" s="246">
        <f>IFERROR(VLOOKUP(H405,VOL_REC[],2,FALSE),0)</f>
        <v>1812240</v>
      </c>
      <c r="AY405" s="246">
        <f>IFERROR(VLOOKUP(I405,VOL_REC[],2,FALSE),0)</f>
        <v>240696.79238099116</v>
      </c>
      <c r="AZ405" s="246">
        <f>IFERROR(VLOOKUP(J405,VOL_REC[],2,FALSE),0)</f>
        <v>1072354.9981737854</v>
      </c>
      <c r="BA405" s="246">
        <f>IFERROR(VLOOKUP(K405,VOL_REC[],2,FALSE),0)</f>
        <v>0</v>
      </c>
      <c r="BB405" s="246">
        <f>IFERROR(VLOOKUP(L405,VOL_REC[],2,FALSE),0)</f>
        <v>0</v>
      </c>
      <c r="BC405" s="246">
        <f>IFERROR(VLOOKUP(M405,VOL_REC[],2,FALSE),0)</f>
        <v>0</v>
      </c>
      <c r="BD405" s="246">
        <f>IFERROR(VLOOKUP(N405,VOL_REC[],2,FALSE),0)</f>
        <v>0</v>
      </c>
      <c r="BE405" s="246">
        <f>IFERROR(VLOOKUP(O405,VOL_REC[],2,FALSE),0)</f>
        <v>0</v>
      </c>
      <c r="BF405" s="246">
        <f>IFERROR(VLOOKUP(P405,VOL_REC[],2,FALSE),0)</f>
        <v>0</v>
      </c>
      <c r="BG405" s="246">
        <f>IFERROR(VLOOKUP(Q405,VOL_REC[],2,FALSE),0)</f>
        <v>0</v>
      </c>
      <c r="BH405" s="1710">
        <f t="shared" si="24"/>
        <v>17709417777.484722</v>
      </c>
      <c r="BI405" s="1710">
        <f t="shared" si="25"/>
        <v>16500830179.063847</v>
      </c>
      <c r="BJ405" s="1711">
        <f t="shared" si="26"/>
        <v>18540069.171776246</v>
      </c>
      <c r="BK405" s="1711">
        <f t="shared" si="27"/>
        <v>1.0732440480451901</v>
      </c>
      <c r="BL405">
        <f>BJ405</f>
        <v>18540069.171776246</v>
      </c>
      <c r="BO405">
        <f>BL405</f>
        <v>18540069.171776246</v>
      </c>
    </row>
    <row r="406" spans="3:67" x14ac:dyDescent="0.25">
      <c r="C406" s="246" t="s">
        <v>1756</v>
      </c>
      <c r="D406" s="246">
        <v>1</v>
      </c>
      <c r="E406" s="246">
        <v>2</v>
      </c>
      <c r="F406" s="246">
        <v>3</v>
      </c>
      <c r="G406" s="246">
        <v>5</v>
      </c>
      <c r="H406" s="246">
        <v>10</v>
      </c>
      <c r="I406" s="246">
        <v>12</v>
      </c>
      <c r="J406" s="246">
        <v>17</v>
      </c>
      <c r="K406" s="246"/>
      <c r="L406" s="246"/>
      <c r="M406" s="246"/>
      <c r="N406" s="246"/>
      <c r="O406" s="246"/>
      <c r="P406" s="246"/>
      <c r="Q406" s="246"/>
      <c r="R406" s="246">
        <f>IFERROR(VLOOKUP(D406,PROGRAMAS[],2,FALSE),0)</f>
        <v>97037803.679377079</v>
      </c>
      <c r="S406" s="246">
        <f>IFERROR(VLOOKUP(E406,PROGRAMAS[],2,FALSE),0)</f>
        <v>640501509.6821388</v>
      </c>
      <c r="T406" s="246">
        <f>IFERROR(VLOOKUP(F406,PROGRAMAS[],2,FALSE),0)</f>
        <v>3062327798.1525245</v>
      </c>
      <c r="U406" s="246">
        <f>IFERROR(VLOOKUP(G406,PROGRAMAS[],2,FALSE),0)</f>
        <v>1440941976.2528784</v>
      </c>
      <c r="V406" s="246">
        <f>IFERROR(VLOOKUP(H406,PROGRAMAS[],2,FALSE),0)</f>
        <v>4635315027.8751087</v>
      </c>
      <c r="W406" s="246">
        <f>IFERROR(VLOOKUP(I406,PROGRAMAS[],2,FALSE),0)</f>
        <v>764796700.79905891</v>
      </c>
      <c r="X406" s="246">
        <f>IFERROR(VLOOKUP(J406,PROGRAMAS[],2,FALSE),0)</f>
        <v>1892779498.5211046</v>
      </c>
      <c r="Y406" s="246">
        <f>IFERROR(VLOOKUP(K406,PROGRAMAS[],2,FALSE),0)</f>
        <v>0</v>
      </c>
      <c r="Z406" s="246">
        <f>IFERROR(VLOOKUP(L406,PROGRAMAS[],2,FALSE),0)</f>
        <v>0</v>
      </c>
      <c r="AA406" s="246">
        <f>IFERROR(VLOOKUP(M406,PROGRAMAS[],2,FALSE),0)</f>
        <v>0</v>
      </c>
      <c r="AB406" s="246">
        <f>IFERROR(VLOOKUP(N406,PROGRAMAS[],2,FALSE),0)</f>
        <v>0</v>
      </c>
      <c r="AC406" s="246">
        <f>IFERROR(VLOOKUP(O406,PROGRAMAS[],2,FALSE),0)</f>
        <v>0</v>
      </c>
      <c r="AD406" s="246">
        <f>IFERROR(VLOOKUP(P406,PROGRAMAS[],2,FALSE),0)</f>
        <v>0</v>
      </c>
      <c r="AE406" s="246">
        <f>IFERROR(VLOOKUP(Q406,PROGRAMAS[],2,FALSE),0)</f>
        <v>0</v>
      </c>
      <c r="AF406" s="246">
        <f>IFERROR(VLOOKUP(D406,PROGRAMAS[],3,FALSE),0)</f>
        <v>841888629.31080008</v>
      </c>
      <c r="AG406" s="246">
        <f>IFERROR(VLOOKUP(E406,PROGRAMAS[],3,FALSE),0)</f>
        <v>3848980803.1642323</v>
      </c>
      <c r="AH406" s="246">
        <f>IFERROR(VLOOKUP(F406,PROGRAMAS[],3,FALSE),0)</f>
        <v>3394901471.387517</v>
      </c>
      <c r="AI406" s="246">
        <f>IFERROR(VLOOKUP(G406,PROGRAMAS[],3,FALSE),0)</f>
        <v>1233505101.0616004</v>
      </c>
      <c r="AJ406" s="246">
        <f>IFERROR(VLOOKUP(H406,PROGRAMAS[],3,FALSE),0)</f>
        <v>4099471734.9978786</v>
      </c>
      <c r="AK406" s="246">
        <f>IFERROR(VLOOKUP(I406,PROGRAMAS[],3,FALSE),0)</f>
        <v>675517840.109828</v>
      </c>
      <c r="AL406" s="246">
        <f>IFERROR(VLOOKUP(J406,PROGRAMAS[],3,FALSE),0)</f>
        <v>948595847.09039903</v>
      </c>
      <c r="AM406" s="246">
        <f>IFERROR(VLOOKUP(K406,PROGRAMAS[],3,FALSE),0)</f>
        <v>0</v>
      </c>
      <c r="AN406" s="246">
        <f>IFERROR(VLOOKUP(L406,PROGRAMAS[],3,FALSE),0)</f>
        <v>0</v>
      </c>
      <c r="AO406" s="246">
        <f>IFERROR(VLOOKUP(M406,PROGRAMAS[],3,FALSE),0)</f>
        <v>0</v>
      </c>
      <c r="AP406" s="246">
        <f>IFERROR(VLOOKUP(N406,PROGRAMAS[],3,FALSE),0)</f>
        <v>0</v>
      </c>
      <c r="AQ406" s="246">
        <f>IFERROR(VLOOKUP(O406,PROGRAMAS[],3,FALSE),0)</f>
        <v>0</v>
      </c>
      <c r="AR406" s="246">
        <f>IFERROR(VLOOKUP(P406,PROGRAMAS[],3,FALSE),0)</f>
        <v>0</v>
      </c>
      <c r="AS406" s="246">
        <f>IFERROR(VLOOKUP(Q406,PROGRAMAS[],3,FALSE),0)</f>
        <v>0</v>
      </c>
      <c r="AT406" s="246">
        <f>IFERROR(VLOOKUP(D406,VOL_REC[],2,FALSE),0)</f>
        <v>0</v>
      </c>
      <c r="AU406" s="246">
        <f>IFERROR(VLOOKUP(E406,VOL_REC[],2,FALSE),0)</f>
        <v>0</v>
      </c>
      <c r="AV406" s="246">
        <f>IFERROR(VLOOKUP(F406,VOL_REC[],2,FALSE),0)</f>
        <v>11089674.200000001</v>
      </c>
      <c r="AW406" s="246">
        <f>IFERROR(VLOOKUP(G406,VOL_REC[],2,FALSE),0)</f>
        <v>4325103.1812214684</v>
      </c>
      <c r="AX406" s="246">
        <f>IFERROR(VLOOKUP(H406,VOL_REC[],2,FALSE),0)</f>
        <v>1812240</v>
      </c>
      <c r="AY406" s="246">
        <f>IFERROR(VLOOKUP(I406,VOL_REC[],2,FALSE),0)</f>
        <v>240696.79238099116</v>
      </c>
      <c r="AZ406" s="246">
        <f>IFERROR(VLOOKUP(J406,VOL_REC[],2,FALSE),0)</f>
        <v>740113.98115702497</v>
      </c>
      <c r="BA406" s="246">
        <f>IFERROR(VLOOKUP(K406,VOL_REC[],2,FALSE),0)</f>
        <v>0</v>
      </c>
      <c r="BB406" s="246">
        <f>IFERROR(VLOOKUP(L406,VOL_REC[],2,FALSE),0)</f>
        <v>0</v>
      </c>
      <c r="BC406" s="246">
        <f>IFERROR(VLOOKUP(M406,VOL_REC[],2,FALSE),0)</f>
        <v>0</v>
      </c>
      <c r="BD406" s="246">
        <f>IFERROR(VLOOKUP(N406,VOL_REC[],2,FALSE),0)</f>
        <v>0</v>
      </c>
      <c r="BE406" s="246">
        <f>IFERROR(VLOOKUP(O406,VOL_REC[],2,FALSE),0)</f>
        <v>0</v>
      </c>
      <c r="BF406" s="246">
        <f>IFERROR(VLOOKUP(P406,VOL_REC[],2,FALSE),0)</f>
        <v>0</v>
      </c>
      <c r="BG406" s="246">
        <f>IFERROR(VLOOKUP(Q406,VOL_REC[],2,FALSE),0)</f>
        <v>0</v>
      </c>
      <c r="BH406" s="1710">
        <f t="shared" si="24"/>
        <v>12533700314.962193</v>
      </c>
      <c r="BI406" s="1710">
        <f t="shared" si="25"/>
        <v>15042861427.122255</v>
      </c>
      <c r="BJ406" s="1711">
        <f t="shared" si="26"/>
        <v>18207828.154759485</v>
      </c>
      <c r="BK406" s="1711">
        <f t="shared" si="27"/>
        <v>0.8331992138386618</v>
      </c>
    </row>
    <row r="407" spans="3:67" x14ac:dyDescent="0.25">
      <c r="C407" s="246" t="s">
        <v>1757</v>
      </c>
      <c r="D407" s="246">
        <v>1</v>
      </c>
      <c r="E407" s="246">
        <v>2</v>
      </c>
      <c r="F407" s="246">
        <v>3</v>
      </c>
      <c r="G407" s="246">
        <v>5</v>
      </c>
      <c r="H407" s="246">
        <v>10</v>
      </c>
      <c r="I407" s="246">
        <v>13</v>
      </c>
      <c r="J407" s="246">
        <v>14</v>
      </c>
      <c r="K407" s="246"/>
      <c r="L407" s="246"/>
      <c r="M407" s="246"/>
      <c r="N407" s="246"/>
      <c r="O407" s="246"/>
      <c r="P407" s="246"/>
      <c r="Q407" s="246"/>
      <c r="R407" s="246">
        <f>IFERROR(VLOOKUP(D407,PROGRAMAS[],2,FALSE),0)</f>
        <v>97037803.679377079</v>
      </c>
      <c r="S407" s="246">
        <f>IFERROR(VLOOKUP(E407,PROGRAMAS[],2,FALSE),0)</f>
        <v>640501509.6821388</v>
      </c>
      <c r="T407" s="246">
        <f>IFERROR(VLOOKUP(F407,PROGRAMAS[],2,FALSE),0)</f>
        <v>3062327798.1525245</v>
      </c>
      <c r="U407" s="246">
        <f>IFERROR(VLOOKUP(G407,PROGRAMAS[],2,FALSE),0)</f>
        <v>1440941976.2528784</v>
      </c>
      <c r="V407" s="246">
        <f>IFERROR(VLOOKUP(H407,PROGRAMAS[],2,FALSE),0)</f>
        <v>4635315027.8751087</v>
      </c>
      <c r="W407" s="246">
        <f>IFERROR(VLOOKUP(I407,PROGRAMAS[],2,FALSE),0)</f>
        <v>3776538594.4604583</v>
      </c>
      <c r="X407" s="246">
        <f>IFERROR(VLOOKUP(J407,PROGRAMAS[],2,FALSE),0)</f>
        <v>54223862.645839565</v>
      </c>
      <c r="Y407" s="246">
        <f>IFERROR(VLOOKUP(K407,PROGRAMAS[],2,FALSE),0)</f>
        <v>0</v>
      </c>
      <c r="Z407" s="246">
        <f>IFERROR(VLOOKUP(L407,PROGRAMAS[],2,FALSE),0)</f>
        <v>0</v>
      </c>
      <c r="AA407" s="246">
        <f>IFERROR(VLOOKUP(M407,PROGRAMAS[],2,FALSE),0)</f>
        <v>0</v>
      </c>
      <c r="AB407" s="246">
        <f>IFERROR(VLOOKUP(N407,PROGRAMAS[],2,FALSE),0)</f>
        <v>0</v>
      </c>
      <c r="AC407" s="246">
        <f>IFERROR(VLOOKUP(O407,PROGRAMAS[],2,FALSE),0)</f>
        <v>0</v>
      </c>
      <c r="AD407" s="246">
        <f>IFERROR(VLOOKUP(P407,PROGRAMAS[],2,FALSE),0)</f>
        <v>0</v>
      </c>
      <c r="AE407" s="246">
        <f>IFERROR(VLOOKUP(Q407,PROGRAMAS[],2,FALSE),0)</f>
        <v>0</v>
      </c>
      <c r="AF407" s="246">
        <f>IFERROR(VLOOKUP(D407,PROGRAMAS[],3,FALSE),0)</f>
        <v>841888629.31080008</v>
      </c>
      <c r="AG407" s="246">
        <f>IFERROR(VLOOKUP(E407,PROGRAMAS[],3,FALSE),0)</f>
        <v>3848980803.1642323</v>
      </c>
      <c r="AH407" s="246">
        <f>IFERROR(VLOOKUP(F407,PROGRAMAS[],3,FALSE),0)</f>
        <v>3394901471.387517</v>
      </c>
      <c r="AI407" s="246">
        <f>IFERROR(VLOOKUP(G407,PROGRAMAS[],3,FALSE),0)</f>
        <v>1233505101.0616004</v>
      </c>
      <c r="AJ407" s="246">
        <f>IFERROR(VLOOKUP(H407,PROGRAMAS[],3,FALSE),0)</f>
        <v>4099471734.9978786</v>
      </c>
      <c r="AK407" s="246">
        <f>IFERROR(VLOOKUP(I407,PROGRAMAS[],3,FALSE),0)</f>
        <v>2392571243.5584412</v>
      </c>
      <c r="AL407" s="246">
        <f>IFERROR(VLOOKUP(J407,PROGRAMAS[],3,FALSE),0)</f>
        <v>31865326.38096505</v>
      </c>
      <c r="AM407" s="246">
        <f>IFERROR(VLOOKUP(K407,PROGRAMAS[],3,FALSE),0)</f>
        <v>0</v>
      </c>
      <c r="AN407" s="246">
        <f>IFERROR(VLOOKUP(L407,PROGRAMAS[],3,FALSE),0)</f>
        <v>0</v>
      </c>
      <c r="AO407" s="246">
        <f>IFERROR(VLOOKUP(M407,PROGRAMAS[],3,FALSE),0)</f>
        <v>0</v>
      </c>
      <c r="AP407" s="246">
        <f>IFERROR(VLOOKUP(N407,PROGRAMAS[],3,FALSE),0)</f>
        <v>0</v>
      </c>
      <c r="AQ407" s="246">
        <f>IFERROR(VLOOKUP(O407,PROGRAMAS[],3,FALSE),0)</f>
        <v>0</v>
      </c>
      <c r="AR407" s="246">
        <f>IFERROR(VLOOKUP(P407,PROGRAMAS[],3,FALSE),0)</f>
        <v>0</v>
      </c>
      <c r="AS407" s="246">
        <f>IFERROR(VLOOKUP(Q407,PROGRAMAS[],3,FALSE),0)</f>
        <v>0</v>
      </c>
      <c r="AT407" s="246">
        <f>IFERROR(VLOOKUP(D407,VOL_REC[],2,FALSE),0)</f>
        <v>0</v>
      </c>
      <c r="AU407" s="246">
        <f>IFERROR(VLOOKUP(E407,VOL_REC[],2,FALSE),0)</f>
        <v>0</v>
      </c>
      <c r="AV407" s="246">
        <f>IFERROR(VLOOKUP(F407,VOL_REC[],2,FALSE),0)</f>
        <v>11089674.200000001</v>
      </c>
      <c r="AW407" s="246">
        <f>IFERROR(VLOOKUP(G407,VOL_REC[],2,FALSE),0)</f>
        <v>4325103.1812214684</v>
      </c>
      <c r="AX407" s="246">
        <f>IFERROR(VLOOKUP(H407,VOL_REC[],2,FALSE),0)</f>
        <v>1812240</v>
      </c>
      <c r="AY407" s="246">
        <f>IFERROR(VLOOKUP(I407,VOL_REC[],2,FALSE),0)</f>
        <v>663244.80000000016</v>
      </c>
      <c r="AZ407" s="246">
        <f>IFERROR(VLOOKUP(J407,VOL_REC[],2,FALSE),0)</f>
        <v>17074.045034105649</v>
      </c>
      <c r="BA407" s="246">
        <f>IFERROR(VLOOKUP(K407,VOL_REC[],2,FALSE),0)</f>
        <v>0</v>
      </c>
      <c r="BB407" s="246">
        <f>IFERROR(VLOOKUP(L407,VOL_REC[],2,FALSE),0)</f>
        <v>0</v>
      </c>
      <c r="BC407" s="246">
        <f>IFERROR(VLOOKUP(M407,VOL_REC[],2,FALSE),0)</f>
        <v>0</v>
      </c>
      <c r="BD407" s="246">
        <f>IFERROR(VLOOKUP(N407,VOL_REC[],2,FALSE),0)</f>
        <v>0</v>
      </c>
      <c r="BE407" s="246">
        <f>IFERROR(VLOOKUP(O407,VOL_REC[],2,FALSE),0)</f>
        <v>0</v>
      </c>
      <c r="BF407" s="246">
        <f>IFERROR(VLOOKUP(P407,VOL_REC[],2,FALSE),0)</f>
        <v>0</v>
      </c>
      <c r="BG407" s="246">
        <f>IFERROR(VLOOKUP(Q407,VOL_REC[],2,FALSE),0)</f>
        <v>0</v>
      </c>
      <c r="BH407" s="1710">
        <f t="shared" si="24"/>
        <v>13706886572.748327</v>
      </c>
      <c r="BI407" s="1710">
        <f t="shared" si="25"/>
        <v>15843184309.861435</v>
      </c>
      <c r="BJ407" s="1711">
        <f t="shared" si="26"/>
        <v>17907336.226255577</v>
      </c>
      <c r="BK407" s="1711">
        <f t="shared" si="27"/>
        <v>0.86515982549143289</v>
      </c>
    </row>
    <row r="408" spans="3:67" x14ac:dyDescent="0.25">
      <c r="C408" s="246" t="s">
        <v>1758</v>
      </c>
      <c r="D408" s="246">
        <v>1</v>
      </c>
      <c r="E408" s="246">
        <v>2</v>
      </c>
      <c r="F408" s="246">
        <v>3</v>
      </c>
      <c r="G408" s="246">
        <v>5</v>
      </c>
      <c r="H408" s="246">
        <v>10</v>
      </c>
      <c r="I408" s="246">
        <v>13</v>
      </c>
      <c r="J408" s="246">
        <v>15</v>
      </c>
      <c r="K408" s="246"/>
      <c r="L408" s="246"/>
      <c r="M408" s="246"/>
      <c r="N408" s="246"/>
      <c r="O408" s="246"/>
      <c r="P408" s="246"/>
      <c r="Q408" s="246"/>
      <c r="R408" s="246">
        <f>IFERROR(VLOOKUP(D408,PROGRAMAS[],2,FALSE),0)</f>
        <v>97037803.679377079</v>
      </c>
      <c r="S408" s="246">
        <f>IFERROR(VLOOKUP(E408,PROGRAMAS[],2,FALSE),0)</f>
        <v>640501509.6821388</v>
      </c>
      <c r="T408" s="246">
        <f>IFERROR(VLOOKUP(F408,PROGRAMAS[],2,FALSE),0)</f>
        <v>3062327798.1525245</v>
      </c>
      <c r="U408" s="246">
        <f>IFERROR(VLOOKUP(G408,PROGRAMAS[],2,FALSE),0)</f>
        <v>1440941976.2528784</v>
      </c>
      <c r="V408" s="246">
        <f>IFERROR(VLOOKUP(H408,PROGRAMAS[],2,FALSE),0)</f>
        <v>4635315027.8751087</v>
      </c>
      <c r="W408" s="246">
        <f>IFERROR(VLOOKUP(I408,PROGRAMAS[],2,FALSE),0)</f>
        <v>3776538594.4604583</v>
      </c>
      <c r="X408" s="246">
        <f>IFERROR(VLOOKUP(J408,PROGRAMAS[],2,FALSE),0)</f>
        <v>122159672.96346797</v>
      </c>
      <c r="Y408" s="246">
        <f>IFERROR(VLOOKUP(K408,PROGRAMAS[],2,FALSE),0)</f>
        <v>0</v>
      </c>
      <c r="Z408" s="246">
        <f>IFERROR(VLOOKUP(L408,PROGRAMAS[],2,FALSE),0)</f>
        <v>0</v>
      </c>
      <c r="AA408" s="246">
        <f>IFERROR(VLOOKUP(M408,PROGRAMAS[],2,FALSE),0)</f>
        <v>0</v>
      </c>
      <c r="AB408" s="246">
        <f>IFERROR(VLOOKUP(N408,PROGRAMAS[],2,FALSE),0)</f>
        <v>0</v>
      </c>
      <c r="AC408" s="246">
        <f>IFERROR(VLOOKUP(O408,PROGRAMAS[],2,FALSE),0)</f>
        <v>0</v>
      </c>
      <c r="AD408" s="246">
        <f>IFERROR(VLOOKUP(P408,PROGRAMAS[],2,FALSE),0)</f>
        <v>0</v>
      </c>
      <c r="AE408" s="246">
        <f>IFERROR(VLOOKUP(Q408,PROGRAMAS[],2,FALSE),0)</f>
        <v>0</v>
      </c>
      <c r="AF408" s="246">
        <f>IFERROR(VLOOKUP(D408,PROGRAMAS[],3,FALSE),0)</f>
        <v>841888629.31080008</v>
      </c>
      <c r="AG408" s="246">
        <f>IFERROR(VLOOKUP(E408,PROGRAMAS[],3,FALSE),0)</f>
        <v>3848980803.1642323</v>
      </c>
      <c r="AH408" s="246">
        <f>IFERROR(VLOOKUP(F408,PROGRAMAS[],3,FALSE),0)</f>
        <v>3394901471.387517</v>
      </c>
      <c r="AI408" s="246">
        <f>IFERROR(VLOOKUP(G408,PROGRAMAS[],3,FALSE),0)</f>
        <v>1233505101.0616004</v>
      </c>
      <c r="AJ408" s="246">
        <f>IFERROR(VLOOKUP(H408,PROGRAMAS[],3,FALSE),0)</f>
        <v>4099471734.9978786</v>
      </c>
      <c r="AK408" s="246">
        <f>IFERROR(VLOOKUP(I408,PROGRAMAS[],3,FALSE),0)</f>
        <v>2392571243.5584412</v>
      </c>
      <c r="AL408" s="246">
        <f>IFERROR(VLOOKUP(J408,PROGRAMAS[],3,FALSE),0)</f>
        <v>118617452.52510804</v>
      </c>
      <c r="AM408" s="246">
        <f>IFERROR(VLOOKUP(K408,PROGRAMAS[],3,FALSE),0)</f>
        <v>0</v>
      </c>
      <c r="AN408" s="246">
        <f>IFERROR(VLOOKUP(L408,PROGRAMAS[],3,FALSE),0)</f>
        <v>0</v>
      </c>
      <c r="AO408" s="246">
        <f>IFERROR(VLOOKUP(M408,PROGRAMAS[],3,FALSE),0)</f>
        <v>0</v>
      </c>
      <c r="AP408" s="246">
        <f>IFERROR(VLOOKUP(N408,PROGRAMAS[],3,FALSE),0)</f>
        <v>0</v>
      </c>
      <c r="AQ408" s="246">
        <f>IFERROR(VLOOKUP(O408,PROGRAMAS[],3,FALSE),0)</f>
        <v>0</v>
      </c>
      <c r="AR408" s="246">
        <f>IFERROR(VLOOKUP(P408,PROGRAMAS[],3,FALSE),0)</f>
        <v>0</v>
      </c>
      <c r="AS408" s="246">
        <f>IFERROR(VLOOKUP(Q408,PROGRAMAS[],3,FALSE),0)</f>
        <v>0</v>
      </c>
      <c r="AT408" s="246">
        <f>IFERROR(VLOOKUP(D408,VOL_REC[],2,FALSE),0)</f>
        <v>0</v>
      </c>
      <c r="AU408" s="246">
        <f>IFERROR(VLOOKUP(E408,VOL_REC[],2,FALSE),0)</f>
        <v>0</v>
      </c>
      <c r="AV408" s="246">
        <f>IFERROR(VLOOKUP(F408,VOL_REC[],2,FALSE),0)</f>
        <v>11089674.200000001</v>
      </c>
      <c r="AW408" s="246">
        <f>IFERROR(VLOOKUP(G408,VOL_REC[],2,FALSE),0)</f>
        <v>4325103.1812214684</v>
      </c>
      <c r="AX408" s="246">
        <f>IFERROR(VLOOKUP(H408,VOL_REC[],2,FALSE),0)</f>
        <v>1812240</v>
      </c>
      <c r="AY408" s="246">
        <f>IFERROR(VLOOKUP(I408,VOL_REC[],2,FALSE),0)</f>
        <v>663244.80000000016</v>
      </c>
      <c r="AZ408" s="246">
        <f>IFERROR(VLOOKUP(J408,VOL_REC[],2,FALSE),0)</f>
        <v>105072</v>
      </c>
      <c r="BA408" s="246">
        <f>IFERROR(VLOOKUP(K408,VOL_REC[],2,FALSE),0)</f>
        <v>0</v>
      </c>
      <c r="BB408" s="246">
        <f>IFERROR(VLOOKUP(L408,VOL_REC[],2,FALSE),0)</f>
        <v>0</v>
      </c>
      <c r="BC408" s="246">
        <f>IFERROR(VLOOKUP(M408,VOL_REC[],2,FALSE),0)</f>
        <v>0</v>
      </c>
      <c r="BD408" s="246">
        <f>IFERROR(VLOOKUP(N408,VOL_REC[],2,FALSE),0)</f>
        <v>0</v>
      </c>
      <c r="BE408" s="246">
        <f>IFERROR(VLOOKUP(O408,VOL_REC[],2,FALSE),0)</f>
        <v>0</v>
      </c>
      <c r="BF408" s="246">
        <f>IFERROR(VLOOKUP(P408,VOL_REC[],2,FALSE),0)</f>
        <v>0</v>
      </c>
      <c r="BG408" s="246">
        <f>IFERROR(VLOOKUP(Q408,VOL_REC[],2,FALSE),0)</f>
        <v>0</v>
      </c>
      <c r="BH408" s="1710">
        <f t="shared" si="24"/>
        <v>13774822383.065956</v>
      </c>
      <c r="BI408" s="1710">
        <f t="shared" si="25"/>
        <v>15929936436.005579</v>
      </c>
      <c r="BJ408" s="1711">
        <f t="shared" si="26"/>
        <v>17995334.18122147</v>
      </c>
      <c r="BK408" s="1711">
        <f t="shared" si="27"/>
        <v>0.86471295340083498</v>
      </c>
    </row>
    <row r="409" spans="3:67" x14ac:dyDescent="0.25">
      <c r="C409" s="246" t="s">
        <v>1759</v>
      </c>
      <c r="D409" s="246">
        <v>1</v>
      </c>
      <c r="E409" s="246">
        <v>2</v>
      </c>
      <c r="F409" s="246">
        <v>3</v>
      </c>
      <c r="G409" s="246">
        <v>5</v>
      </c>
      <c r="H409" s="246">
        <v>10</v>
      </c>
      <c r="I409" s="246">
        <v>13</v>
      </c>
      <c r="J409" s="246">
        <v>16</v>
      </c>
      <c r="K409" s="246"/>
      <c r="L409" s="246"/>
      <c r="M409" s="246"/>
      <c r="N409" s="246"/>
      <c r="O409" s="246"/>
      <c r="P409" s="246"/>
      <c r="Q409" s="246"/>
      <c r="R409" s="246">
        <f>IFERROR(VLOOKUP(D409,PROGRAMAS[],2,FALSE),0)</f>
        <v>97037803.679377079</v>
      </c>
      <c r="S409" s="246">
        <f>IFERROR(VLOOKUP(E409,PROGRAMAS[],2,FALSE),0)</f>
        <v>640501509.6821388</v>
      </c>
      <c r="T409" s="246">
        <f>IFERROR(VLOOKUP(F409,PROGRAMAS[],2,FALSE),0)</f>
        <v>3062327798.1525245</v>
      </c>
      <c r="U409" s="246">
        <f>IFERROR(VLOOKUP(G409,PROGRAMAS[],2,FALSE),0)</f>
        <v>1440941976.2528784</v>
      </c>
      <c r="V409" s="246">
        <f>IFERROR(VLOOKUP(H409,PROGRAMAS[],2,FALSE),0)</f>
        <v>4635315027.8751087</v>
      </c>
      <c r="W409" s="246">
        <f>IFERROR(VLOOKUP(I409,PROGRAMAS[],2,FALSE),0)</f>
        <v>3776538594.4604583</v>
      </c>
      <c r="X409" s="246">
        <f>IFERROR(VLOOKUP(J409,PROGRAMAS[],2,FALSE),0)</f>
        <v>7068496961.0436354</v>
      </c>
      <c r="Y409" s="246">
        <f>IFERROR(VLOOKUP(K409,PROGRAMAS[],2,FALSE),0)</f>
        <v>0</v>
      </c>
      <c r="Z409" s="246">
        <f>IFERROR(VLOOKUP(L409,PROGRAMAS[],2,FALSE),0)</f>
        <v>0</v>
      </c>
      <c r="AA409" s="246">
        <f>IFERROR(VLOOKUP(M409,PROGRAMAS[],2,FALSE),0)</f>
        <v>0</v>
      </c>
      <c r="AB409" s="246">
        <f>IFERROR(VLOOKUP(N409,PROGRAMAS[],2,FALSE),0)</f>
        <v>0</v>
      </c>
      <c r="AC409" s="246">
        <f>IFERROR(VLOOKUP(O409,PROGRAMAS[],2,FALSE),0)</f>
        <v>0</v>
      </c>
      <c r="AD409" s="246">
        <f>IFERROR(VLOOKUP(P409,PROGRAMAS[],2,FALSE),0)</f>
        <v>0</v>
      </c>
      <c r="AE409" s="246">
        <f>IFERROR(VLOOKUP(Q409,PROGRAMAS[],2,FALSE),0)</f>
        <v>0</v>
      </c>
      <c r="AF409" s="246">
        <f>IFERROR(VLOOKUP(D409,PROGRAMAS[],3,FALSE),0)</f>
        <v>841888629.31080008</v>
      </c>
      <c r="AG409" s="246">
        <f>IFERROR(VLOOKUP(E409,PROGRAMAS[],3,FALSE),0)</f>
        <v>3848980803.1642323</v>
      </c>
      <c r="AH409" s="246">
        <f>IFERROR(VLOOKUP(F409,PROGRAMAS[],3,FALSE),0)</f>
        <v>3394901471.387517</v>
      </c>
      <c r="AI409" s="246">
        <f>IFERROR(VLOOKUP(G409,PROGRAMAS[],3,FALSE),0)</f>
        <v>1233505101.0616004</v>
      </c>
      <c r="AJ409" s="246">
        <f>IFERROR(VLOOKUP(H409,PROGRAMAS[],3,FALSE),0)</f>
        <v>4099471734.9978786</v>
      </c>
      <c r="AK409" s="246">
        <f>IFERROR(VLOOKUP(I409,PROGRAMAS[],3,FALSE),0)</f>
        <v>2392571243.5584412</v>
      </c>
      <c r="AL409" s="246">
        <f>IFERROR(VLOOKUP(J409,PROGRAMAS[],3,FALSE),0)</f>
        <v>2406564599.0319901</v>
      </c>
      <c r="AM409" s="246">
        <f>IFERROR(VLOOKUP(K409,PROGRAMAS[],3,FALSE),0)</f>
        <v>0</v>
      </c>
      <c r="AN409" s="246">
        <f>IFERROR(VLOOKUP(L409,PROGRAMAS[],3,FALSE),0)</f>
        <v>0</v>
      </c>
      <c r="AO409" s="246">
        <f>IFERROR(VLOOKUP(M409,PROGRAMAS[],3,FALSE),0)</f>
        <v>0</v>
      </c>
      <c r="AP409" s="246">
        <f>IFERROR(VLOOKUP(N409,PROGRAMAS[],3,FALSE),0)</f>
        <v>0</v>
      </c>
      <c r="AQ409" s="246">
        <f>IFERROR(VLOOKUP(O409,PROGRAMAS[],3,FALSE),0)</f>
        <v>0</v>
      </c>
      <c r="AR409" s="246">
        <f>IFERROR(VLOOKUP(P409,PROGRAMAS[],3,FALSE),0)</f>
        <v>0</v>
      </c>
      <c r="AS409" s="246">
        <f>IFERROR(VLOOKUP(Q409,PROGRAMAS[],3,FALSE),0)</f>
        <v>0</v>
      </c>
      <c r="AT409" s="246">
        <f>IFERROR(VLOOKUP(D409,VOL_REC[],2,FALSE),0)</f>
        <v>0</v>
      </c>
      <c r="AU409" s="246">
        <f>IFERROR(VLOOKUP(E409,VOL_REC[],2,FALSE),0)</f>
        <v>0</v>
      </c>
      <c r="AV409" s="246">
        <f>IFERROR(VLOOKUP(F409,VOL_REC[],2,FALSE),0)</f>
        <v>11089674.200000001</v>
      </c>
      <c r="AW409" s="246">
        <f>IFERROR(VLOOKUP(G409,VOL_REC[],2,FALSE),0)</f>
        <v>4325103.1812214684</v>
      </c>
      <c r="AX409" s="246">
        <f>IFERROR(VLOOKUP(H409,VOL_REC[],2,FALSE),0)</f>
        <v>1812240</v>
      </c>
      <c r="AY409" s="246">
        <f>IFERROR(VLOOKUP(I409,VOL_REC[],2,FALSE),0)</f>
        <v>663244.80000000016</v>
      </c>
      <c r="AZ409" s="246">
        <f>IFERROR(VLOOKUP(J409,VOL_REC[],2,FALSE),0)</f>
        <v>1072354.9981737854</v>
      </c>
      <c r="BA409" s="246">
        <f>IFERROR(VLOOKUP(K409,VOL_REC[],2,FALSE),0)</f>
        <v>0</v>
      </c>
      <c r="BB409" s="246">
        <f>IFERROR(VLOOKUP(L409,VOL_REC[],2,FALSE),0)</f>
        <v>0</v>
      </c>
      <c r="BC409" s="246">
        <f>IFERROR(VLOOKUP(M409,VOL_REC[],2,FALSE),0)</f>
        <v>0</v>
      </c>
      <c r="BD409" s="246">
        <f>IFERROR(VLOOKUP(N409,VOL_REC[],2,FALSE),0)</f>
        <v>0</v>
      </c>
      <c r="BE409" s="246">
        <f>IFERROR(VLOOKUP(O409,VOL_REC[],2,FALSE),0)</f>
        <v>0</v>
      </c>
      <c r="BF409" s="246">
        <f>IFERROR(VLOOKUP(P409,VOL_REC[],2,FALSE),0)</f>
        <v>0</v>
      </c>
      <c r="BG409" s="246">
        <f>IFERROR(VLOOKUP(Q409,VOL_REC[],2,FALSE),0)</f>
        <v>0</v>
      </c>
      <c r="BH409" s="1710">
        <f t="shared" si="24"/>
        <v>20721159671.146122</v>
      </c>
      <c r="BI409" s="1710">
        <f t="shared" si="25"/>
        <v>18217883582.512459</v>
      </c>
      <c r="BJ409" s="1711">
        <f t="shared" si="26"/>
        <v>18962617.179395255</v>
      </c>
      <c r="BK409" s="1711">
        <f t="shared" si="27"/>
        <v>1.1374076235198134</v>
      </c>
      <c r="BL409">
        <f>BJ409</f>
        <v>18962617.179395255</v>
      </c>
      <c r="BO409">
        <f>BL409</f>
        <v>18962617.179395255</v>
      </c>
    </row>
    <row r="410" spans="3:67" x14ac:dyDescent="0.25">
      <c r="C410" s="246" t="s">
        <v>1760</v>
      </c>
      <c r="D410" s="246">
        <v>1</v>
      </c>
      <c r="E410" s="246">
        <v>2</v>
      </c>
      <c r="F410" s="246">
        <v>3</v>
      </c>
      <c r="G410" s="246">
        <v>5</v>
      </c>
      <c r="H410" s="246">
        <v>10</v>
      </c>
      <c r="I410" s="246">
        <v>13</v>
      </c>
      <c r="J410" s="246">
        <v>17</v>
      </c>
      <c r="K410" s="246"/>
      <c r="L410" s="246"/>
      <c r="M410" s="246"/>
      <c r="N410" s="246"/>
      <c r="O410" s="246"/>
      <c r="P410" s="246"/>
      <c r="Q410" s="246"/>
      <c r="R410" s="246">
        <f>IFERROR(VLOOKUP(D410,PROGRAMAS[],2,FALSE),0)</f>
        <v>97037803.679377079</v>
      </c>
      <c r="S410" s="246">
        <f>IFERROR(VLOOKUP(E410,PROGRAMAS[],2,FALSE),0)</f>
        <v>640501509.6821388</v>
      </c>
      <c r="T410" s="246">
        <f>IFERROR(VLOOKUP(F410,PROGRAMAS[],2,FALSE),0)</f>
        <v>3062327798.1525245</v>
      </c>
      <c r="U410" s="246">
        <f>IFERROR(VLOOKUP(G410,PROGRAMAS[],2,FALSE),0)</f>
        <v>1440941976.2528784</v>
      </c>
      <c r="V410" s="246">
        <f>IFERROR(VLOOKUP(H410,PROGRAMAS[],2,FALSE),0)</f>
        <v>4635315027.8751087</v>
      </c>
      <c r="W410" s="246">
        <f>IFERROR(VLOOKUP(I410,PROGRAMAS[],2,FALSE),0)</f>
        <v>3776538594.4604583</v>
      </c>
      <c r="X410" s="246">
        <f>IFERROR(VLOOKUP(J410,PROGRAMAS[],2,FALSE),0)</f>
        <v>1892779498.5211046</v>
      </c>
      <c r="Y410" s="246">
        <f>IFERROR(VLOOKUP(K410,PROGRAMAS[],2,FALSE),0)</f>
        <v>0</v>
      </c>
      <c r="Z410" s="246">
        <f>IFERROR(VLOOKUP(L410,PROGRAMAS[],2,FALSE),0)</f>
        <v>0</v>
      </c>
      <c r="AA410" s="246">
        <f>IFERROR(VLOOKUP(M410,PROGRAMAS[],2,FALSE),0)</f>
        <v>0</v>
      </c>
      <c r="AB410" s="246">
        <f>IFERROR(VLOOKUP(N410,PROGRAMAS[],2,FALSE),0)</f>
        <v>0</v>
      </c>
      <c r="AC410" s="246">
        <f>IFERROR(VLOOKUP(O410,PROGRAMAS[],2,FALSE),0)</f>
        <v>0</v>
      </c>
      <c r="AD410" s="246">
        <f>IFERROR(VLOOKUP(P410,PROGRAMAS[],2,FALSE),0)</f>
        <v>0</v>
      </c>
      <c r="AE410" s="246">
        <f>IFERROR(VLOOKUP(Q410,PROGRAMAS[],2,FALSE),0)</f>
        <v>0</v>
      </c>
      <c r="AF410" s="246">
        <f>IFERROR(VLOOKUP(D410,PROGRAMAS[],3,FALSE),0)</f>
        <v>841888629.31080008</v>
      </c>
      <c r="AG410" s="246">
        <f>IFERROR(VLOOKUP(E410,PROGRAMAS[],3,FALSE),0)</f>
        <v>3848980803.1642323</v>
      </c>
      <c r="AH410" s="246">
        <f>IFERROR(VLOOKUP(F410,PROGRAMAS[],3,FALSE),0)</f>
        <v>3394901471.387517</v>
      </c>
      <c r="AI410" s="246">
        <f>IFERROR(VLOOKUP(G410,PROGRAMAS[],3,FALSE),0)</f>
        <v>1233505101.0616004</v>
      </c>
      <c r="AJ410" s="246">
        <f>IFERROR(VLOOKUP(H410,PROGRAMAS[],3,FALSE),0)</f>
        <v>4099471734.9978786</v>
      </c>
      <c r="AK410" s="246">
        <f>IFERROR(VLOOKUP(I410,PROGRAMAS[],3,FALSE),0)</f>
        <v>2392571243.5584412</v>
      </c>
      <c r="AL410" s="246">
        <f>IFERROR(VLOOKUP(J410,PROGRAMAS[],3,FALSE),0)</f>
        <v>948595847.09039903</v>
      </c>
      <c r="AM410" s="246">
        <f>IFERROR(VLOOKUP(K410,PROGRAMAS[],3,FALSE),0)</f>
        <v>0</v>
      </c>
      <c r="AN410" s="246">
        <f>IFERROR(VLOOKUP(L410,PROGRAMAS[],3,FALSE),0)</f>
        <v>0</v>
      </c>
      <c r="AO410" s="246">
        <f>IFERROR(VLOOKUP(M410,PROGRAMAS[],3,FALSE),0)</f>
        <v>0</v>
      </c>
      <c r="AP410" s="246">
        <f>IFERROR(VLOOKUP(N410,PROGRAMAS[],3,FALSE),0)</f>
        <v>0</v>
      </c>
      <c r="AQ410" s="246">
        <f>IFERROR(VLOOKUP(O410,PROGRAMAS[],3,FALSE),0)</f>
        <v>0</v>
      </c>
      <c r="AR410" s="246">
        <f>IFERROR(VLOOKUP(P410,PROGRAMAS[],3,FALSE),0)</f>
        <v>0</v>
      </c>
      <c r="AS410" s="246">
        <f>IFERROR(VLOOKUP(Q410,PROGRAMAS[],3,FALSE),0)</f>
        <v>0</v>
      </c>
      <c r="AT410" s="246">
        <f>IFERROR(VLOOKUP(D410,VOL_REC[],2,FALSE),0)</f>
        <v>0</v>
      </c>
      <c r="AU410" s="246">
        <f>IFERROR(VLOOKUP(E410,VOL_REC[],2,FALSE),0)</f>
        <v>0</v>
      </c>
      <c r="AV410" s="246">
        <f>IFERROR(VLOOKUP(F410,VOL_REC[],2,FALSE),0)</f>
        <v>11089674.200000001</v>
      </c>
      <c r="AW410" s="246">
        <f>IFERROR(VLOOKUP(G410,VOL_REC[],2,FALSE),0)</f>
        <v>4325103.1812214684</v>
      </c>
      <c r="AX410" s="246">
        <f>IFERROR(VLOOKUP(H410,VOL_REC[],2,FALSE),0)</f>
        <v>1812240</v>
      </c>
      <c r="AY410" s="246">
        <f>IFERROR(VLOOKUP(I410,VOL_REC[],2,FALSE),0)</f>
        <v>663244.80000000016</v>
      </c>
      <c r="AZ410" s="246">
        <f>IFERROR(VLOOKUP(J410,VOL_REC[],2,FALSE),0)</f>
        <v>740113.98115702497</v>
      </c>
      <c r="BA410" s="246">
        <f>IFERROR(VLOOKUP(K410,VOL_REC[],2,FALSE),0)</f>
        <v>0</v>
      </c>
      <c r="BB410" s="246">
        <f>IFERROR(VLOOKUP(L410,VOL_REC[],2,FALSE),0)</f>
        <v>0</v>
      </c>
      <c r="BC410" s="246">
        <f>IFERROR(VLOOKUP(M410,VOL_REC[],2,FALSE),0)</f>
        <v>0</v>
      </c>
      <c r="BD410" s="246">
        <f>IFERROR(VLOOKUP(N410,VOL_REC[],2,FALSE),0)</f>
        <v>0</v>
      </c>
      <c r="BE410" s="246">
        <f>IFERROR(VLOOKUP(O410,VOL_REC[],2,FALSE),0)</f>
        <v>0</v>
      </c>
      <c r="BF410" s="246">
        <f>IFERROR(VLOOKUP(P410,VOL_REC[],2,FALSE),0)</f>
        <v>0</v>
      </c>
      <c r="BG410" s="246">
        <f>IFERROR(VLOOKUP(Q410,VOL_REC[],2,FALSE),0)</f>
        <v>0</v>
      </c>
      <c r="BH410" s="1710">
        <f t="shared" si="24"/>
        <v>15545442208.623592</v>
      </c>
      <c r="BI410" s="1710">
        <f t="shared" si="25"/>
        <v>16759914830.570869</v>
      </c>
      <c r="BJ410" s="1711">
        <f t="shared" si="26"/>
        <v>18630376.162378494</v>
      </c>
      <c r="BK410" s="1711">
        <f t="shared" si="27"/>
        <v>0.92753706482254783</v>
      </c>
    </row>
    <row r="411" spans="3:67" x14ac:dyDescent="0.25">
      <c r="C411" s="246" t="s">
        <v>1761</v>
      </c>
      <c r="D411" s="246">
        <v>1</v>
      </c>
      <c r="E411" s="246">
        <v>2</v>
      </c>
      <c r="F411" s="246">
        <v>3</v>
      </c>
      <c r="G411" s="246">
        <v>5</v>
      </c>
      <c r="H411" s="246">
        <v>10</v>
      </c>
      <c r="I411" s="246">
        <v>14</v>
      </c>
      <c r="J411" s="246">
        <v>15</v>
      </c>
      <c r="K411" s="246"/>
      <c r="L411" s="246"/>
      <c r="M411" s="246"/>
      <c r="N411" s="246"/>
      <c r="O411" s="246"/>
      <c r="P411" s="246"/>
      <c r="Q411" s="246"/>
      <c r="R411" s="246">
        <f>IFERROR(VLOOKUP(D411,PROGRAMAS[],2,FALSE),0)</f>
        <v>97037803.679377079</v>
      </c>
      <c r="S411" s="246">
        <f>IFERROR(VLOOKUP(E411,PROGRAMAS[],2,FALSE),0)</f>
        <v>640501509.6821388</v>
      </c>
      <c r="T411" s="246">
        <f>IFERROR(VLOOKUP(F411,PROGRAMAS[],2,FALSE),0)</f>
        <v>3062327798.1525245</v>
      </c>
      <c r="U411" s="246">
        <f>IFERROR(VLOOKUP(G411,PROGRAMAS[],2,FALSE),0)</f>
        <v>1440941976.2528784</v>
      </c>
      <c r="V411" s="246">
        <f>IFERROR(VLOOKUP(H411,PROGRAMAS[],2,FALSE),0)</f>
        <v>4635315027.8751087</v>
      </c>
      <c r="W411" s="246">
        <f>IFERROR(VLOOKUP(I411,PROGRAMAS[],2,FALSE),0)</f>
        <v>54223862.645839565</v>
      </c>
      <c r="X411" s="246">
        <f>IFERROR(VLOOKUP(J411,PROGRAMAS[],2,FALSE),0)</f>
        <v>122159672.96346797</v>
      </c>
      <c r="Y411" s="246">
        <f>IFERROR(VLOOKUP(K411,PROGRAMAS[],2,FALSE),0)</f>
        <v>0</v>
      </c>
      <c r="Z411" s="246">
        <f>IFERROR(VLOOKUP(L411,PROGRAMAS[],2,FALSE),0)</f>
        <v>0</v>
      </c>
      <c r="AA411" s="246">
        <f>IFERROR(VLOOKUP(M411,PROGRAMAS[],2,FALSE),0)</f>
        <v>0</v>
      </c>
      <c r="AB411" s="246">
        <f>IFERROR(VLOOKUP(N411,PROGRAMAS[],2,FALSE),0)</f>
        <v>0</v>
      </c>
      <c r="AC411" s="246">
        <f>IFERROR(VLOOKUP(O411,PROGRAMAS[],2,FALSE),0)</f>
        <v>0</v>
      </c>
      <c r="AD411" s="246">
        <f>IFERROR(VLOOKUP(P411,PROGRAMAS[],2,FALSE),0)</f>
        <v>0</v>
      </c>
      <c r="AE411" s="246">
        <f>IFERROR(VLOOKUP(Q411,PROGRAMAS[],2,FALSE),0)</f>
        <v>0</v>
      </c>
      <c r="AF411" s="246">
        <f>IFERROR(VLOOKUP(D411,PROGRAMAS[],3,FALSE),0)</f>
        <v>841888629.31080008</v>
      </c>
      <c r="AG411" s="246">
        <f>IFERROR(VLOOKUP(E411,PROGRAMAS[],3,FALSE),0)</f>
        <v>3848980803.1642323</v>
      </c>
      <c r="AH411" s="246">
        <f>IFERROR(VLOOKUP(F411,PROGRAMAS[],3,FALSE),0)</f>
        <v>3394901471.387517</v>
      </c>
      <c r="AI411" s="246">
        <f>IFERROR(VLOOKUP(G411,PROGRAMAS[],3,FALSE),0)</f>
        <v>1233505101.0616004</v>
      </c>
      <c r="AJ411" s="246">
        <f>IFERROR(VLOOKUP(H411,PROGRAMAS[],3,FALSE),0)</f>
        <v>4099471734.9978786</v>
      </c>
      <c r="AK411" s="246">
        <f>IFERROR(VLOOKUP(I411,PROGRAMAS[],3,FALSE),0)</f>
        <v>31865326.38096505</v>
      </c>
      <c r="AL411" s="246">
        <f>IFERROR(VLOOKUP(J411,PROGRAMAS[],3,FALSE),0)</f>
        <v>118617452.52510804</v>
      </c>
      <c r="AM411" s="246">
        <f>IFERROR(VLOOKUP(K411,PROGRAMAS[],3,FALSE),0)</f>
        <v>0</v>
      </c>
      <c r="AN411" s="246">
        <f>IFERROR(VLOOKUP(L411,PROGRAMAS[],3,FALSE),0)</f>
        <v>0</v>
      </c>
      <c r="AO411" s="246">
        <f>IFERROR(VLOOKUP(M411,PROGRAMAS[],3,FALSE),0)</f>
        <v>0</v>
      </c>
      <c r="AP411" s="246">
        <f>IFERROR(VLOOKUP(N411,PROGRAMAS[],3,FALSE),0)</f>
        <v>0</v>
      </c>
      <c r="AQ411" s="246">
        <f>IFERROR(VLOOKUP(O411,PROGRAMAS[],3,FALSE),0)</f>
        <v>0</v>
      </c>
      <c r="AR411" s="246">
        <f>IFERROR(VLOOKUP(P411,PROGRAMAS[],3,FALSE),0)</f>
        <v>0</v>
      </c>
      <c r="AS411" s="246">
        <f>IFERROR(VLOOKUP(Q411,PROGRAMAS[],3,FALSE),0)</f>
        <v>0</v>
      </c>
      <c r="AT411" s="246">
        <f>IFERROR(VLOOKUP(D411,VOL_REC[],2,FALSE),0)</f>
        <v>0</v>
      </c>
      <c r="AU411" s="246">
        <f>IFERROR(VLOOKUP(E411,VOL_REC[],2,FALSE),0)</f>
        <v>0</v>
      </c>
      <c r="AV411" s="246">
        <f>IFERROR(VLOOKUP(F411,VOL_REC[],2,FALSE),0)</f>
        <v>11089674.200000001</v>
      </c>
      <c r="AW411" s="246">
        <f>IFERROR(VLOOKUP(G411,VOL_REC[],2,FALSE),0)</f>
        <v>4325103.1812214684</v>
      </c>
      <c r="AX411" s="246">
        <f>IFERROR(VLOOKUP(H411,VOL_REC[],2,FALSE),0)</f>
        <v>1812240</v>
      </c>
      <c r="AY411" s="246">
        <f>IFERROR(VLOOKUP(I411,VOL_REC[],2,FALSE),0)</f>
        <v>17074.045034105649</v>
      </c>
      <c r="AZ411" s="246">
        <f>IFERROR(VLOOKUP(J411,VOL_REC[],2,FALSE),0)</f>
        <v>105072</v>
      </c>
      <c r="BA411" s="246">
        <f>IFERROR(VLOOKUP(K411,VOL_REC[],2,FALSE),0)</f>
        <v>0</v>
      </c>
      <c r="BB411" s="246">
        <f>IFERROR(VLOOKUP(L411,VOL_REC[],2,FALSE),0)</f>
        <v>0</v>
      </c>
      <c r="BC411" s="246">
        <f>IFERROR(VLOOKUP(M411,VOL_REC[],2,FALSE),0)</f>
        <v>0</v>
      </c>
      <c r="BD411" s="246">
        <f>IFERROR(VLOOKUP(N411,VOL_REC[],2,FALSE),0)</f>
        <v>0</v>
      </c>
      <c r="BE411" s="246">
        <f>IFERROR(VLOOKUP(O411,VOL_REC[],2,FALSE),0)</f>
        <v>0</v>
      </c>
      <c r="BF411" s="246">
        <f>IFERROR(VLOOKUP(P411,VOL_REC[],2,FALSE),0)</f>
        <v>0</v>
      </c>
      <c r="BG411" s="246">
        <f>IFERROR(VLOOKUP(Q411,VOL_REC[],2,FALSE),0)</f>
        <v>0</v>
      </c>
      <c r="BH411" s="1710">
        <f t="shared" si="24"/>
        <v>10052507651.251337</v>
      </c>
      <c r="BI411" s="1710">
        <f t="shared" si="25"/>
        <v>13569230518.828102</v>
      </c>
      <c r="BJ411" s="1711">
        <f t="shared" si="26"/>
        <v>17349163.426255576</v>
      </c>
      <c r="BK411" s="1711">
        <f t="shared" si="27"/>
        <v>0.74083107640502488</v>
      </c>
    </row>
    <row r="412" spans="3:67" x14ac:dyDescent="0.25">
      <c r="C412" s="246" t="s">
        <v>1762</v>
      </c>
      <c r="D412" s="246">
        <v>1</v>
      </c>
      <c r="E412" s="246">
        <v>2</v>
      </c>
      <c r="F412" s="246">
        <v>3</v>
      </c>
      <c r="G412" s="246">
        <v>5</v>
      </c>
      <c r="H412" s="246">
        <v>10</v>
      </c>
      <c r="I412" s="246">
        <v>14</v>
      </c>
      <c r="J412" s="246">
        <v>16</v>
      </c>
      <c r="K412" s="246"/>
      <c r="L412" s="246"/>
      <c r="M412" s="246"/>
      <c r="N412" s="246"/>
      <c r="O412" s="246"/>
      <c r="P412" s="246"/>
      <c r="Q412" s="246"/>
      <c r="R412" s="246">
        <f>IFERROR(VLOOKUP(D412,PROGRAMAS[],2,FALSE),0)</f>
        <v>97037803.679377079</v>
      </c>
      <c r="S412" s="246">
        <f>IFERROR(VLOOKUP(E412,PROGRAMAS[],2,FALSE),0)</f>
        <v>640501509.6821388</v>
      </c>
      <c r="T412" s="246">
        <f>IFERROR(VLOOKUP(F412,PROGRAMAS[],2,FALSE),0)</f>
        <v>3062327798.1525245</v>
      </c>
      <c r="U412" s="246">
        <f>IFERROR(VLOOKUP(G412,PROGRAMAS[],2,FALSE),0)</f>
        <v>1440941976.2528784</v>
      </c>
      <c r="V412" s="246">
        <f>IFERROR(VLOOKUP(H412,PROGRAMAS[],2,FALSE),0)</f>
        <v>4635315027.8751087</v>
      </c>
      <c r="W412" s="246">
        <f>IFERROR(VLOOKUP(I412,PROGRAMAS[],2,FALSE),0)</f>
        <v>54223862.645839565</v>
      </c>
      <c r="X412" s="246">
        <f>IFERROR(VLOOKUP(J412,PROGRAMAS[],2,FALSE),0)</f>
        <v>7068496961.0436354</v>
      </c>
      <c r="Y412" s="246">
        <f>IFERROR(VLOOKUP(K412,PROGRAMAS[],2,FALSE),0)</f>
        <v>0</v>
      </c>
      <c r="Z412" s="246">
        <f>IFERROR(VLOOKUP(L412,PROGRAMAS[],2,FALSE),0)</f>
        <v>0</v>
      </c>
      <c r="AA412" s="246">
        <f>IFERROR(VLOOKUP(M412,PROGRAMAS[],2,FALSE),0)</f>
        <v>0</v>
      </c>
      <c r="AB412" s="246">
        <f>IFERROR(VLOOKUP(N412,PROGRAMAS[],2,FALSE),0)</f>
        <v>0</v>
      </c>
      <c r="AC412" s="246">
        <f>IFERROR(VLOOKUP(O412,PROGRAMAS[],2,FALSE),0)</f>
        <v>0</v>
      </c>
      <c r="AD412" s="246">
        <f>IFERROR(VLOOKUP(P412,PROGRAMAS[],2,FALSE),0)</f>
        <v>0</v>
      </c>
      <c r="AE412" s="246">
        <f>IFERROR(VLOOKUP(Q412,PROGRAMAS[],2,FALSE),0)</f>
        <v>0</v>
      </c>
      <c r="AF412" s="246">
        <f>IFERROR(VLOOKUP(D412,PROGRAMAS[],3,FALSE),0)</f>
        <v>841888629.31080008</v>
      </c>
      <c r="AG412" s="246">
        <f>IFERROR(VLOOKUP(E412,PROGRAMAS[],3,FALSE),0)</f>
        <v>3848980803.1642323</v>
      </c>
      <c r="AH412" s="246">
        <f>IFERROR(VLOOKUP(F412,PROGRAMAS[],3,FALSE),0)</f>
        <v>3394901471.387517</v>
      </c>
      <c r="AI412" s="246">
        <f>IFERROR(VLOOKUP(G412,PROGRAMAS[],3,FALSE),0)</f>
        <v>1233505101.0616004</v>
      </c>
      <c r="AJ412" s="246">
        <f>IFERROR(VLOOKUP(H412,PROGRAMAS[],3,FALSE),0)</f>
        <v>4099471734.9978786</v>
      </c>
      <c r="AK412" s="246">
        <f>IFERROR(VLOOKUP(I412,PROGRAMAS[],3,FALSE),0)</f>
        <v>31865326.38096505</v>
      </c>
      <c r="AL412" s="246">
        <f>IFERROR(VLOOKUP(J412,PROGRAMAS[],3,FALSE),0)</f>
        <v>2406564599.0319901</v>
      </c>
      <c r="AM412" s="246">
        <f>IFERROR(VLOOKUP(K412,PROGRAMAS[],3,FALSE),0)</f>
        <v>0</v>
      </c>
      <c r="AN412" s="246">
        <f>IFERROR(VLOOKUP(L412,PROGRAMAS[],3,FALSE),0)</f>
        <v>0</v>
      </c>
      <c r="AO412" s="246">
        <f>IFERROR(VLOOKUP(M412,PROGRAMAS[],3,FALSE),0)</f>
        <v>0</v>
      </c>
      <c r="AP412" s="246">
        <f>IFERROR(VLOOKUP(N412,PROGRAMAS[],3,FALSE),0)</f>
        <v>0</v>
      </c>
      <c r="AQ412" s="246">
        <f>IFERROR(VLOOKUP(O412,PROGRAMAS[],3,FALSE),0)</f>
        <v>0</v>
      </c>
      <c r="AR412" s="246">
        <f>IFERROR(VLOOKUP(P412,PROGRAMAS[],3,FALSE),0)</f>
        <v>0</v>
      </c>
      <c r="AS412" s="246">
        <f>IFERROR(VLOOKUP(Q412,PROGRAMAS[],3,FALSE),0)</f>
        <v>0</v>
      </c>
      <c r="AT412" s="246">
        <f>IFERROR(VLOOKUP(D412,VOL_REC[],2,FALSE),0)</f>
        <v>0</v>
      </c>
      <c r="AU412" s="246">
        <f>IFERROR(VLOOKUP(E412,VOL_REC[],2,FALSE),0)</f>
        <v>0</v>
      </c>
      <c r="AV412" s="246">
        <f>IFERROR(VLOOKUP(F412,VOL_REC[],2,FALSE),0)</f>
        <v>11089674.200000001</v>
      </c>
      <c r="AW412" s="246">
        <f>IFERROR(VLOOKUP(G412,VOL_REC[],2,FALSE),0)</f>
        <v>4325103.1812214684</v>
      </c>
      <c r="AX412" s="246">
        <f>IFERROR(VLOOKUP(H412,VOL_REC[],2,FALSE),0)</f>
        <v>1812240</v>
      </c>
      <c r="AY412" s="246">
        <f>IFERROR(VLOOKUP(I412,VOL_REC[],2,FALSE),0)</f>
        <v>17074.045034105649</v>
      </c>
      <c r="AZ412" s="246">
        <f>IFERROR(VLOOKUP(J412,VOL_REC[],2,FALSE),0)</f>
        <v>1072354.9981737854</v>
      </c>
      <c r="BA412" s="246">
        <f>IFERROR(VLOOKUP(K412,VOL_REC[],2,FALSE),0)</f>
        <v>0</v>
      </c>
      <c r="BB412" s="246">
        <f>IFERROR(VLOOKUP(L412,VOL_REC[],2,FALSE),0)</f>
        <v>0</v>
      </c>
      <c r="BC412" s="246">
        <f>IFERROR(VLOOKUP(M412,VOL_REC[],2,FALSE),0)</f>
        <v>0</v>
      </c>
      <c r="BD412" s="246">
        <f>IFERROR(VLOOKUP(N412,VOL_REC[],2,FALSE),0)</f>
        <v>0</v>
      </c>
      <c r="BE412" s="246">
        <f>IFERROR(VLOOKUP(O412,VOL_REC[],2,FALSE),0)</f>
        <v>0</v>
      </c>
      <c r="BF412" s="246">
        <f>IFERROR(VLOOKUP(P412,VOL_REC[],2,FALSE),0)</f>
        <v>0</v>
      </c>
      <c r="BG412" s="246">
        <f>IFERROR(VLOOKUP(Q412,VOL_REC[],2,FALSE),0)</f>
        <v>0</v>
      </c>
      <c r="BH412" s="1710">
        <f t="shared" si="24"/>
        <v>16998844939.331505</v>
      </c>
      <c r="BI412" s="1710">
        <f t="shared" si="25"/>
        <v>15857177665.334984</v>
      </c>
      <c r="BJ412" s="1711">
        <f t="shared" si="26"/>
        <v>18316446.424429361</v>
      </c>
      <c r="BK412" s="1711">
        <f t="shared" si="27"/>
        <v>1.0719968772559252</v>
      </c>
      <c r="BL412">
        <f>BJ412</f>
        <v>18316446.424429361</v>
      </c>
      <c r="BO412">
        <f>BL412</f>
        <v>18316446.424429361</v>
      </c>
    </row>
    <row r="413" spans="3:67" x14ac:dyDescent="0.25">
      <c r="C413" s="246" t="s">
        <v>1763</v>
      </c>
      <c r="D413" s="246">
        <v>1</v>
      </c>
      <c r="E413" s="246">
        <v>2</v>
      </c>
      <c r="F413" s="246">
        <v>3</v>
      </c>
      <c r="G413" s="246">
        <v>5</v>
      </c>
      <c r="H413" s="246">
        <v>10</v>
      </c>
      <c r="I413" s="246">
        <v>14</v>
      </c>
      <c r="J413" s="246">
        <v>17</v>
      </c>
      <c r="K413" s="246"/>
      <c r="L413" s="246"/>
      <c r="M413" s="246"/>
      <c r="N413" s="246"/>
      <c r="O413" s="246"/>
      <c r="P413" s="246"/>
      <c r="Q413" s="246"/>
      <c r="R413" s="246">
        <f>IFERROR(VLOOKUP(D413,PROGRAMAS[],2,FALSE),0)</f>
        <v>97037803.679377079</v>
      </c>
      <c r="S413" s="246">
        <f>IFERROR(VLOOKUP(E413,PROGRAMAS[],2,FALSE),0)</f>
        <v>640501509.6821388</v>
      </c>
      <c r="T413" s="246">
        <f>IFERROR(VLOOKUP(F413,PROGRAMAS[],2,FALSE),0)</f>
        <v>3062327798.1525245</v>
      </c>
      <c r="U413" s="246">
        <f>IFERROR(VLOOKUP(G413,PROGRAMAS[],2,FALSE),0)</f>
        <v>1440941976.2528784</v>
      </c>
      <c r="V413" s="246">
        <f>IFERROR(VLOOKUP(H413,PROGRAMAS[],2,FALSE),0)</f>
        <v>4635315027.8751087</v>
      </c>
      <c r="W413" s="246">
        <f>IFERROR(VLOOKUP(I413,PROGRAMAS[],2,FALSE),0)</f>
        <v>54223862.645839565</v>
      </c>
      <c r="X413" s="246">
        <f>IFERROR(VLOOKUP(J413,PROGRAMAS[],2,FALSE),0)</f>
        <v>1892779498.5211046</v>
      </c>
      <c r="Y413" s="246">
        <f>IFERROR(VLOOKUP(K413,PROGRAMAS[],2,FALSE),0)</f>
        <v>0</v>
      </c>
      <c r="Z413" s="246">
        <f>IFERROR(VLOOKUP(L413,PROGRAMAS[],2,FALSE),0)</f>
        <v>0</v>
      </c>
      <c r="AA413" s="246">
        <f>IFERROR(VLOOKUP(M413,PROGRAMAS[],2,FALSE),0)</f>
        <v>0</v>
      </c>
      <c r="AB413" s="246">
        <f>IFERROR(VLOOKUP(N413,PROGRAMAS[],2,FALSE),0)</f>
        <v>0</v>
      </c>
      <c r="AC413" s="246">
        <f>IFERROR(VLOOKUP(O413,PROGRAMAS[],2,FALSE),0)</f>
        <v>0</v>
      </c>
      <c r="AD413" s="246">
        <f>IFERROR(VLOOKUP(P413,PROGRAMAS[],2,FALSE),0)</f>
        <v>0</v>
      </c>
      <c r="AE413" s="246">
        <f>IFERROR(VLOOKUP(Q413,PROGRAMAS[],2,FALSE),0)</f>
        <v>0</v>
      </c>
      <c r="AF413" s="246">
        <f>IFERROR(VLOOKUP(D413,PROGRAMAS[],3,FALSE),0)</f>
        <v>841888629.31080008</v>
      </c>
      <c r="AG413" s="246">
        <f>IFERROR(VLOOKUP(E413,PROGRAMAS[],3,FALSE),0)</f>
        <v>3848980803.1642323</v>
      </c>
      <c r="AH413" s="246">
        <f>IFERROR(VLOOKUP(F413,PROGRAMAS[],3,FALSE),0)</f>
        <v>3394901471.387517</v>
      </c>
      <c r="AI413" s="246">
        <f>IFERROR(VLOOKUP(G413,PROGRAMAS[],3,FALSE),0)</f>
        <v>1233505101.0616004</v>
      </c>
      <c r="AJ413" s="246">
        <f>IFERROR(VLOOKUP(H413,PROGRAMAS[],3,FALSE),0)</f>
        <v>4099471734.9978786</v>
      </c>
      <c r="AK413" s="246">
        <f>IFERROR(VLOOKUP(I413,PROGRAMAS[],3,FALSE),0)</f>
        <v>31865326.38096505</v>
      </c>
      <c r="AL413" s="246">
        <f>IFERROR(VLOOKUP(J413,PROGRAMAS[],3,FALSE),0)</f>
        <v>948595847.09039903</v>
      </c>
      <c r="AM413" s="246">
        <f>IFERROR(VLOOKUP(K413,PROGRAMAS[],3,FALSE),0)</f>
        <v>0</v>
      </c>
      <c r="AN413" s="246">
        <f>IFERROR(VLOOKUP(L413,PROGRAMAS[],3,FALSE),0)</f>
        <v>0</v>
      </c>
      <c r="AO413" s="246">
        <f>IFERROR(VLOOKUP(M413,PROGRAMAS[],3,FALSE),0)</f>
        <v>0</v>
      </c>
      <c r="AP413" s="246">
        <f>IFERROR(VLOOKUP(N413,PROGRAMAS[],3,FALSE),0)</f>
        <v>0</v>
      </c>
      <c r="AQ413" s="246">
        <f>IFERROR(VLOOKUP(O413,PROGRAMAS[],3,FALSE),0)</f>
        <v>0</v>
      </c>
      <c r="AR413" s="246">
        <f>IFERROR(VLOOKUP(P413,PROGRAMAS[],3,FALSE),0)</f>
        <v>0</v>
      </c>
      <c r="AS413" s="246">
        <f>IFERROR(VLOOKUP(Q413,PROGRAMAS[],3,FALSE),0)</f>
        <v>0</v>
      </c>
      <c r="AT413" s="246">
        <f>IFERROR(VLOOKUP(D413,VOL_REC[],2,FALSE),0)</f>
        <v>0</v>
      </c>
      <c r="AU413" s="246">
        <f>IFERROR(VLOOKUP(E413,VOL_REC[],2,FALSE),0)</f>
        <v>0</v>
      </c>
      <c r="AV413" s="246">
        <f>IFERROR(VLOOKUP(F413,VOL_REC[],2,FALSE),0)</f>
        <v>11089674.200000001</v>
      </c>
      <c r="AW413" s="246">
        <f>IFERROR(VLOOKUP(G413,VOL_REC[],2,FALSE),0)</f>
        <v>4325103.1812214684</v>
      </c>
      <c r="AX413" s="246">
        <f>IFERROR(VLOOKUP(H413,VOL_REC[],2,FALSE),0)</f>
        <v>1812240</v>
      </c>
      <c r="AY413" s="246">
        <f>IFERROR(VLOOKUP(I413,VOL_REC[],2,FALSE),0)</f>
        <v>17074.045034105649</v>
      </c>
      <c r="AZ413" s="246">
        <f>IFERROR(VLOOKUP(J413,VOL_REC[],2,FALSE),0)</f>
        <v>740113.98115702497</v>
      </c>
      <c r="BA413" s="246">
        <f>IFERROR(VLOOKUP(K413,VOL_REC[],2,FALSE),0)</f>
        <v>0</v>
      </c>
      <c r="BB413" s="246">
        <f>IFERROR(VLOOKUP(L413,VOL_REC[],2,FALSE),0)</f>
        <v>0</v>
      </c>
      <c r="BC413" s="246">
        <f>IFERROR(VLOOKUP(M413,VOL_REC[],2,FALSE),0)</f>
        <v>0</v>
      </c>
      <c r="BD413" s="246">
        <f>IFERROR(VLOOKUP(N413,VOL_REC[],2,FALSE),0)</f>
        <v>0</v>
      </c>
      <c r="BE413" s="246">
        <f>IFERROR(VLOOKUP(O413,VOL_REC[],2,FALSE),0)</f>
        <v>0</v>
      </c>
      <c r="BF413" s="246">
        <f>IFERROR(VLOOKUP(P413,VOL_REC[],2,FALSE),0)</f>
        <v>0</v>
      </c>
      <c r="BG413" s="246">
        <f>IFERROR(VLOOKUP(Q413,VOL_REC[],2,FALSE),0)</f>
        <v>0</v>
      </c>
      <c r="BH413" s="1710">
        <f t="shared" si="24"/>
        <v>11823127476.808973</v>
      </c>
      <c r="BI413" s="1710">
        <f t="shared" si="25"/>
        <v>14399208913.393393</v>
      </c>
      <c r="BJ413" s="1711">
        <f t="shared" si="26"/>
        <v>17984205.4074126</v>
      </c>
      <c r="BK413" s="1711">
        <f t="shared" si="27"/>
        <v>0.82109562740017727</v>
      </c>
    </row>
    <row r="414" spans="3:67" x14ac:dyDescent="0.25">
      <c r="C414" s="246" t="s">
        <v>1764</v>
      </c>
      <c r="D414" s="246">
        <v>1</v>
      </c>
      <c r="E414" s="246">
        <v>2</v>
      </c>
      <c r="F414" s="246">
        <v>3</v>
      </c>
      <c r="G414" s="246">
        <v>5</v>
      </c>
      <c r="H414" s="246">
        <v>10</v>
      </c>
      <c r="I414" s="246">
        <v>15</v>
      </c>
      <c r="J414" s="246">
        <v>16</v>
      </c>
      <c r="K414" s="246"/>
      <c r="L414" s="246"/>
      <c r="M414" s="246"/>
      <c r="N414" s="246"/>
      <c r="O414" s="246"/>
      <c r="P414" s="246"/>
      <c r="Q414" s="246"/>
      <c r="R414" s="246">
        <f>IFERROR(VLOOKUP(D414,PROGRAMAS[],2,FALSE),0)</f>
        <v>97037803.679377079</v>
      </c>
      <c r="S414" s="246">
        <f>IFERROR(VLOOKUP(E414,PROGRAMAS[],2,FALSE),0)</f>
        <v>640501509.6821388</v>
      </c>
      <c r="T414" s="246">
        <f>IFERROR(VLOOKUP(F414,PROGRAMAS[],2,FALSE),0)</f>
        <v>3062327798.1525245</v>
      </c>
      <c r="U414" s="246">
        <f>IFERROR(VLOOKUP(G414,PROGRAMAS[],2,FALSE),0)</f>
        <v>1440941976.2528784</v>
      </c>
      <c r="V414" s="246">
        <f>IFERROR(VLOOKUP(H414,PROGRAMAS[],2,FALSE),0)</f>
        <v>4635315027.8751087</v>
      </c>
      <c r="W414" s="246">
        <f>IFERROR(VLOOKUP(I414,PROGRAMAS[],2,FALSE),0)</f>
        <v>122159672.96346797</v>
      </c>
      <c r="X414" s="246">
        <f>IFERROR(VLOOKUP(J414,PROGRAMAS[],2,FALSE),0)</f>
        <v>7068496961.0436354</v>
      </c>
      <c r="Y414" s="246">
        <f>IFERROR(VLOOKUP(K414,PROGRAMAS[],2,FALSE),0)</f>
        <v>0</v>
      </c>
      <c r="Z414" s="246">
        <f>IFERROR(VLOOKUP(L414,PROGRAMAS[],2,FALSE),0)</f>
        <v>0</v>
      </c>
      <c r="AA414" s="246">
        <f>IFERROR(VLOOKUP(M414,PROGRAMAS[],2,FALSE),0)</f>
        <v>0</v>
      </c>
      <c r="AB414" s="246">
        <f>IFERROR(VLOOKUP(N414,PROGRAMAS[],2,FALSE),0)</f>
        <v>0</v>
      </c>
      <c r="AC414" s="246">
        <f>IFERROR(VLOOKUP(O414,PROGRAMAS[],2,FALSE),0)</f>
        <v>0</v>
      </c>
      <c r="AD414" s="246">
        <f>IFERROR(VLOOKUP(P414,PROGRAMAS[],2,FALSE),0)</f>
        <v>0</v>
      </c>
      <c r="AE414" s="246">
        <f>IFERROR(VLOOKUP(Q414,PROGRAMAS[],2,FALSE),0)</f>
        <v>0</v>
      </c>
      <c r="AF414" s="246">
        <f>IFERROR(VLOOKUP(D414,PROGRAMAS[],3,FALSE),0)</f>
        <v>841888629.31080008</v>
      </c>
      <c r="AG414" s="246">
        <f>IFERROR(VLOOKUP(E414,PROGRAMAS[],3,FALSE),0)</f>
        <v>3848980803.1642323</v>
      </c>
      <c r="AH414" s="246">
        <f>IFERROR(VLOOKUP(F414,PROGRAMAS[],3,FALSE),0)</f>
        <v>3394901471.387517</v>
      </c>
      <c r="AI414" s="246">
        <f>IFERROR(VLOOKUP(G414,PROGRAMAS[],3,FALSE),0)</f>
        <v>1233505101.0616004</v>
      </c>
      <c r="AJ414" s="246">
        <f>IFERROR(VLOOKUP(H414,PROGRAMAS[],3,FALSE),0)</f>
        <v>4099471734.9978786</v>
      </c>
      <c r="AK414" s="246">
        <f>IFERROR(VLOOKUP(I414,PROGRAMAS[],3,FALSE),0)</f>
        <v>118617452.52510804</v>
      </c>
      <c r="AL414" s="246">
        <f>IFERROR(VLOOKUP(J414,PROGRAMAS[],3,FALSE),0)</f>
        <v>2406564599.0319901</v>
      </c>
      <c r="AM414" s="246">
        <f>IFERROR(VLOOKUP(K414,PROGRAMAS[],3,FALSE),0)</f>
        <v>0</v>
      </c>
      <c r="AN414" s="246">
        <f>IFERROR(VLOOKUP(L414,PROGRAMAS[],3,FALSE),0)</f>
        <v>0</v>
      </c>
      <c r="AO414" s="246">
        <f>IFERROR(VLOOKUP(M414,PROGRAMAS[],3,FALSE),0)</f>
        <v>0</v>
      </c>
      <c r="AP414" s="246">
        <f>IFERROR(VLOOKUP(N414,PROGRAMAS[],3,FALSE),0)</f>
        <v>0</v>
      </c>
      <c r="AQ414" s="246">
        <f>IFERROR(VLOOKUP(O414,PROGRAMAS[],3,FALSE),0)</f>
        <v>0</v>
      </c>
      <c r="AR414" s="246">
        <f>IFERROR(VLOOKUP(P414,PROGRAMAS[],3,FALSE),0)</f>
        <v>0</v>
      </c>
      <c r="AS414" s="246">
        <f>IFERROR(VLOOKUP(Q414,PROGRAMAS[],3,FALSE),0)</f>
        <v>0</v>
      </c>
      <c r="AT414" s="246">
        <f>IFERROR(VLOOKUP(D414,VOL_REC[],2,FALSE),0)</f>
        <v>0</v>
      </c>
      <c r="AU414" s="246">
        <f>IFERROR(VLOOKUP(E414,VOL_REC[],2,FALSE),0)</f>
        <v>0</v>
      </c>
      <c r="AV414" s="246">
        <f>IFERROR(VLOOKUP(F414,VOL_REC[],2,FALSE),0)</f>
        <v>11089674.200000001</v>
      </c>
      <c r="AW414" s="246">
        <f>IFERROR(VLOOKUP(G414,VOL_REC[],2,FALSE),0)</f>
        <v>4325103.1812214684</v>
      </c>
      <c r="AX414" s="246">
        <f>IFERROR(VLOOKUP(H414,VOL_REC[],2,FALSE),0)</f>
        <v>1812240</v>
      </c>
      <c r="AY414" s="246">
        <f>IFERROR(VLOOKUP(I414,VOL_REC[],2,FALSE),0)</f>
        <v>105072</v>
      </c>
      <c r="AZ414" s="246">
        <f>IFERROR(VLOOKUP(J414,VOL_REC[],2,FALSE),0)</f>
        <v>1072354.9981737854</v>
      </c>
      <c r="BA414" s="246">
        <f>IFERROR(VLOOKUP(K414,VOL_REC[],2,FALSE),0)</f>
        <v>0</v>
      </c>
      <c r="BB414" s="246">
        <f>IFERROR(VLOOKUP(L414,VOL_REC[],2,FALSE),0)</f>
        <v>0</v>
      </c>
      <c r="BC414" s="246">
        <f>IFERROR(VLOOKUP(M414,VOL_REC[],2,FALSE),0)</f>
        <v>0</v>
      </c>
      <c r="BD414" s="246">
        <f>IFERROR(VLOOKUP(N414,VOL_REC[],2,FALSE),0)</f>
        <v>0</v>
      </c>
      <c r="BE414" s="246">
        <f>IFERROR(VLOOKUP(O414,VOL_REC[],2,FALSE),0)</f>
        <v>0</v>
      </c>
      <c r="BF414" s="246">
        <f>IFERROR(VLOOKUP(P414,VOL_REC[],2,FALSE),0)</f>
        <v>0</v>
      </c>
      <c r="BG414" s="246">
        <f>IFERROR(VLOOKUP(Q414,VOL_REC[],2,FALSE),0)</f>
        <v>0</v>
      </c>
      <c r="BH414" s="1710">
        <f t="shared" si="24"/>
        <v>17066780749.649132</v>
      </c>
      <c r="BI414" s="1710">
        <f t="shared" si="25"/>
        <v>15943929791.479128</v>
      </c>
      <c r="BJ414" s="1711">
        <f t="shared" si="26"/>
        <v>18404444.379395254</v>
      </c>
      <c r="BK414" s="1711">
        <f t="shared" si="27"/>
        <v>1.0704249813474522</v>
      </c>
      <c r="BL414">
        <f>BJ414</f>
        <v>18404444.379395254</v>
      </c>
      <c r="BO414">
        <f>BL414</f>
        <v>18404444.379395254</v>
      </c>
    </row>
    <row r="415" spans="3:67" x14ac:dyDescent="0.25">
      <c r="C415" s="246" t="s">
        <v>1765</v>
      </c>
      <c r="D415" s="246">
        <v>1</v>
      </c>
      <c r="E415" s="246">
        <v>2</v>
      </c>
      <c r="F415" s="246">
        <v>3</v>
      </c>
      <c r="G415" s="246">
        <v>5</v>
      </c>
      <c r="H415" s="246">
        <v>10</v>
      </c>
      <c r="I415" s="246">
        <v>15</v>
      </c>
      <c r="J415" s="246">
        <v>17</v>
      </c>
      <c r="K415" s="246"/>
      <c r="L415" s="246"/>
      <c r="M415" s="246"/>
      <c r="N415" s="246"/>
      <c r="O415" s="246"/>
      <c r="P415" s="246"/>
      <c r="Q415" s="246"/>
      <c r="R415" s="246">
        <f>IFERROR(VLOOKUP(D415,PROGRAMAS[],2,FALSE),0)</f>
        <v>97037803.679377079</v>
      </c>
      <c r="S415" s="246">
        <f>IFERROR(VLOOKUP(E415,PROGRAMAS[],2,FALSE),0)</f>
        <v>640501509.6821388</v>
      </c>
      <c r="T415" s="246">
        <f>IFERROR(VLOOKUP(F415,PROGRAMAS[],2,FALSE),0)</f>
        <v>3062327798.1525245</v>
      </c>
      <c r="U415" s="246">
        <f>IFERROR(VLOOKUP(G415,PROGRAMAS[],2,FALSE),0)</f>
        <v>1440941976.2528784</v>
      </c>
      <c r="V415" s="246">
        <f>IFERROR(VLOOKUP(H415,PROGRAMAS[],2,FALSE),0)</f>
        <v>4635315027.8751087</v>
      </c>
      <c r="W415" s="246">
        <f>IFERROR(VLOOKUP(I415,PROGRAMAS[],2,FALSE),0)</f>
        <v>122159672.96346797</v>
      </c>
      <c r="X415" s="246">
        <f>IFERROR(VLOOKUP(J415,PROGRAMAS[],2,FALSE),0)</f>
        <v>1892779498.5211046</v>
      </c>
      <c r="Y415" s="246">
        <f>IFERROR(VLOOKUP(K415,PROGRAMAS[],2,FALSE),0)</f>
        <v>0</v>
      </c>
      <c r="Z415" s="246">
        <f>IFERROR(VLOOKUP(L415,PROGRAMAS[],2,FALSE),0)</f>
        <v>0</v>
      </c>
      <c r="AA415" s="246">
        <f>IFERROR(VLOOKUP(M415,PROGRAMAS[],2,FALSE),0)</f>
        <v>0</v>
      </c>
      <c r="AB415" s="246">
        <f>IFERROR(VLOOKUP(N415,PROGRAMAS[],2,FALSE),0)</f>
        <v>0</v>
      </c>
      <c r="AC415" s="246">
        <f>IFERROR(VLOOKUP(O415,PROGRAMAS[],2,FALSE),0)</f>
        <v>0</v>
      </c>
      <c r="AD415" s="246">
        <f>IFERROR(VLOOKUP(P415,PROGRAMAS[],2,FALSE),0)</f>
        <v>0</v>
      </c>
      <c r="AE415" s="246">
        <f>IFERROR(VLOOKUP(Q415,PROGRAMAS[],2,FALSE),0)</f>
        <v>0</v>
      </c>
      <c r="AF415" s="246">
        <f>IFERROR(VLOOKUP(D415,PROGRAMAS[],3,FALSE),0)</f>
        <v>841888629.31080008</v>
      </c>
      <c r="AG415" s="246">
        <f>IFERROR(VLOOKUP(E415,PROGRAMAS[],3,FALSE),0)</f>
        <v>3848980803.1642323</v>
      </c>
      <c r="AH415" s="246">
        <f>IFERROR(VLOOKUP(F415,PROGRAMAS[],3,FALSE),0)</f>
        <v>3394901471.387517</v>
      </c>
      <c r="AI415" s="246">
        <f>IFERROR(VLOOKUP(G415,PROGRAMAS[],3,FALSE),0)</f>
        <v>1233505101.0616004</v>
      </c>
      <c r="AJ415" s="246">
        <f>IFERROR(VLOOKUP(H415,PROGRAMAS[],3,FALSE),0)</f>
        <v>4099471734.9978786</v>
      </c>
      <c r="AK415" s="246">
        <f>IFERROR(VLOOKUP(I415,PROGRAMAS[],3,FALSE),0)</f>
        <v>118617452.52510804</v>
      </c>
      <c r="AL415" s="246">
        <f>IFERROR(VLOOKUP(J415,PROGRAMAS[],3,FALSE),0)</f>
        <v>948595847.09039903</v>
      </c>
      <c r="AM415" s="246">
        <f>IFERROR(VLOOKUP(K415,PROGRAMAS[],3,FALSE),0)</f>
        <v>0</v>
      </c>
      <c r="AN415" s="246">
        <f>IFERROR(VLOOKUP(L415,PROGRAMAS[],3,FALSE),0)</f>
        <v>0</v>
      </c>
      <c r="AO415" s="246">
        <f>IFERROR(VLOOKUP(M415,PROGRAMAS[],3,FALSE),0)</f>
        <v>0</v>
      </c>
      <c r="AP415" s="246">
        <f>IFERROR(VLOOKUP(N415,PROGRAMAS[],3,FALSE),0)</f>
        <v>0</v>
      </c>
      <c r="AQ415" s="246">
        <f>IFERROR(VLOOKUP(O415,PROGRAMAS[],3,FALSE),0)</f>
        <v>0</v>
      </c>
      <c r="AR415" s="246">
        <f>IFERROR(VLOOKUP(P415,PROGRAMAS[],3,FALSE),0)</f>
        <v>0</v>
      </c>
      <c r="AS415" s="246">
        <f>IFERROR(VLOOKUP(Q415,PROGRAMAS[],3,FALSE),0)</f>
        <v>0</v>
      </c>
      <c r="AT415" s="246">
        <f>IFERROR(VLOOKUP(D415,VOL_REC[],2,FALSE),0)</f>
        <v>0</v>
      </c>
      <c r="AU415" s="246">
        <f>IFERROR(VLOOKUP(E415,VOL_REC[],2,FALSE),0)</f>
        <v>0</v>
      </c>
      <c r="AV415" s="246">
        <f>IFERROR(VLOOKUP(F415,VOL_REC[],2,FALSE),0)</f>
        <v>11089674.200000001</v>
      </c>
      <c r="AW415" s="246">
        <f>IFERROR(VLOOKUP(G415,VOL_REC[],2,FALSE),0)</f>
        <v>4325103.1812214684</v>
      </c>
      <c r="AX415" s="246">
        <f>IFERROR(VLOOKUP(H415,VOL_REC[],2,FALSE),0)</f>
        <v>1812240</v>
      </c>
      <c r="AY415" s="246">
        <f>IFERROR(VLOOKUP(I415,VOL_REC[],2,FALSE),0)</f>
        <v>105072</v>
      </c>
      <c r="AZ415" s="246">
        <f>IFERROR(VLOOKUP(J415,VOL_REC[],2,FALSE),0)</f>
        <v>740113.98115702497</v>
      </c>
      <c r="BA415" s="246">
        <f>IFERROR(VLOOKUP(K415,VOL_REC[],2,FALSE),0)</f>
        <v>0</v>
      </c>
      <c r="BB415" s="246">
        <f>IFERROR(VLOOKUP(L415,VOL_REC[],2,FALSE),0)</f>
        <v>0</v>
      </c>
      <c r="BC415" s="246">
        <f>IFERROR(VLOOKUP(M415,VOL_REC[],2,FALSE),0)</f>
        <v>0</v>
      </c>
      <c r="BD415" s="246">
        <f>IFERROR(VLOOKUP(N415,VOL_REC[],2,FALSE),0)</f>
        <v>0</v>
      </c>
      <c r="BE415" s="246">
        <f>IFERROR(VLOOKUP(O415,VOL_REC[],2,FALSE),0)</f>
        <v>0</v>
      </c>
      <c r="BF415" s="246">
        <f>IFERROR(VLOOKUP(P415,VOL_REC[],2,FALSE),0)</f>
        <v>0</v>
      </c>
      <c r="BG415" s="246">
        <f>IFERROR(VLOOKUP(Q415,VOL_REC[],2,FALSE),0)</f>
        <v>0</v>
      </c>
      <c r="BH415" s="1710">
        <f t="shared" si="24"/>
        <v>11891063287.126602</v>
      </c>
      <c r="BI415" s="1710">
        <f t="shared" si="25"/>
        <v>14485961039.537537</v>
      </c>
      <c r="BJ415" s="1711">
        <f t="shared" si="26"/>
        <v>18072203.362378493</v>
      </c>
      <c r="BK415" s="1711">
        <f t="shared" si="27"/>
        <v>0.82086809806208227</v>
      </c>
    </row>
    <row r="416" spans="3:67" x14ac:dyDescent="0.25">
      <c r="C416" s="246" t="s">
        <v>1766</v>
      </c>
      <c r="D416" s="246">
        <v>1</v>
      </c>
      <c r="E416" s="246">
        <v>2</v>
      </c>
      <c r="F416" s="246">
        <v>3</v>
      </c>
      <c r="G416" s="246">
        <v>5</v>
      </c>
      <c r="H416" s="246">
        <v>10</v>
      </c>
      <c r="I416" s="246">
        <v>16</v>
      </c>
      <c r="J416" s="246">
        <v>17</v>
      </c>
      <c r="K416" s="246"/>
      <c r="L416" s="246"/>
      <c r="M416" s="246"/>
      <c r="N416" s="246"/>
      <c r="O416" s="246"/>
      <c r="P416" s="246"/>
      <c r="Q416" s="246"/>
      <c r="R416" s="246">
        <f>IFERROR(VLOOKUP(D416,PROGRAMAS[],2,FALSE),0)</f>
        <v>97037803.679377079</v>
      </c>
      <c r="S416" s="246">
        <f>IFERROR(VLOOKUP(E416,PROGRAMAS[],2,FALSE),0)</f>
        <v>640501509.6821388</v>
      </c>
      <c r="T416" s="246">
        <f>IFERROR(VLOOKUP(F416,PROGRAMAS[],2,FALSE),0)</f>
        <v>3062327798.1525245</v>
      </c>
      <c r="U416" s="246">
        <f>IFERROR(VLOOKUP(G416,PROGRAMAS[],2,FALSE),0)</f>
        <v>1440941976.2528784</v>
      </c>
      <c r="V416" s="246">
        <f>IFERROR(VLOOKUP(H416,PROGRAMAS[],2,FALSE),0)</f>
        <v>4635315027.8751087</v>
      </c>
      <c r="W416" s="246">
        <f>IFERROR(VLOOKUP(I416,PROGRAMAS[],2,FALSE),0)</f>
        <v>7068496961.0436354</v>
      </c>
      <c r="X416" s="246">
        <f>IFERROR(VLOOKUP(J416,PROGRAMAS[],2,FALSE),0)</f>
        <v>1892779498.5211046</v>
      </c>
      <c r="Y416" s="246">
        <f>IFERROR(VLOOKUP(K416,PROGRAMAS[],2,FALSE),0)</f>
        <v>0</v>
      </c>
      <c r="Z416" s="246">
        <f>IFERROR(VLOOKUP(L416,PROGRAMAS[],2,FALSE),0)</f>
        <v>0</v>
      </c>
      <c r="AA416" s="246">
        <f>IFERROR(VLOOKUP(M416,PROGRAMAS[],2,FALSE),0)</f>
        <v>0</v>
      </c>
      <c r="AB416" s="246">
        <f>IFERROR(VLOOKUP(N416,PROGRAMAS[],2,FALSE),0)</f>
        <v>0</v>
      </c>
      <c r="AC416" s="246">
        <f>IFERROR(VLOOKUP(O416,PROGRAMAS[],2,FALSE),0)</f>
        <v>0</v>
      </c>
      <c r="AD416" s="246">
        <f>IFERROR(VLOOKUP(P416,PROGRAMAS[],2,FALSE),0)</f>
        <v>0</v>
      </c>
      <c r="AE416" s="246">
        <f>IFERROR(VLOOKUP(Q416,PROGRAMAS[],2,FALSE),0)</f>
        <v>0</v>
      </c>
      <c r="AF416" s="246">
        <f>IFERROR(VLOOKUP(D416,PROGRAMAS[],3,FALSE),0)</f>
        <v>841888629.31080008</v>
      </c>
      <c r="AG416" s="246">
        <f>IFERROR(VLOOKUP(E416,PROGRAMAS[],3,FALSE),0)</f>
        <v>3848980803.1642323</v>
      </c>
      <c r="AH416" s="246">
        <f>IFERROR(VLOOKUP(F416,PROGRAMAS[],3,FALSE),0)</f>
        <v>3394901471.387517</v>
      </c>
      <c r="AI416" s="246">
        <f>IFERROR(VLOOKUP(G416,PROGRAMAS[],3,FALSE),0)</f>
        <v>1233505101.0616004</v>
      </c>
      <c r="AJ416" s="246">
        <f>IFERROR(VLOOKUP(H416,PROGRAMAS[],3,FALSE),0)</f>
        <v>4099471734.9978786</v>
      </c>
      <c r="AK416" s="246">
        <f>IFERROR(VLOOKUP(I416,PROGRAMAS[],3,FALSE),0)</f>
        <v>2406564599.0319901</v>
      </c>
      <c r="AL416" s="246">
        <f>IFERROR(VLOOKUP(J416,PROGRAMAS[],3,FALSE),0)</f>
        <v>948595847.09039903</v>
      </c>
      <c r="AM416" s="246">
        <f>IFERROR(VLOOKUP(K416,PROGRAMAS[],3,FALSE),0)</f>
        <v>0</v>
      </c>
      <c r="AN416" s="246">
        <f>IFERROR(VLOOKUP(L416,PROGRAMAS[],3,FALSE),0)</f>
        <v>0</v>
      </c>
      <c r="AO416" s="246">
        <f>IFERROR(VLOOKUP(M416,PROGRAMAS[],3,FALSE),0)</f>
        <v>0</v>
      </c>
      <c r="AP416" s="246">
        <f>IFERROR(VLOOKUP(N416,PROGRAMAS[],3,FALSE),0)</f>
        <v>0</v>
      </c>
      <c r="AQ416" s="246">
        <f>IFERROR(VLOOKUP(O416,PROGRAMAS[],3,FALSE),0)</f>
        <v>0</v>
      </c>
      <c r="AR416" s="246">
        <f>IFERROR(VLOOKUP(P416,PROGRAMAS[],3,FALSE),0)</f>
        <v>0</v>
      </c>
      <c r="AS416" s="246">
        <f>IFERROR(VLOOKUP(Q416,PROGRAMAS[],3,FALSE),0)</f>
        <v>0</v>
      </c>
      <c r="AT416" s="246">
        <f>IFERROR(VLOOKUP(D416,VOL_REC[],2,FALSE),0)</f>
        <v>0</v>
      </c>
      <c r="AU416" s="246">
        <f>IFERROR(VLOOKUP(E416,VOL_REC[],2,FALSE),0)</f>
        <v>0</v>
      </c>
      <c r="AV416" s="246">
        <f>IFERROR(VLOOKUP(F416,VOL_REC[],2,FALSE),0)</f>
        <v>11089674.200000001</v>
      </c>
      <c r="AW416" s="246">
        <f>IFERROR(VLOOKUP(G416,VOL_REC[],2,FALSE),0)</f>
        <v>4325103.1812214684</v>
      </c>
      <c r="AX416" s="246">
        <f>IFERROR(VLOOKUP(H416,VOL_REC[],2,FALSE),0)</f>
        <v>1812240</v>
      </c>
      <c r="AY416" s="246">
        <f>IFERROR(VLOOKUP(I416,VOL_REC[],2,FALSE),0)</f>
        <v>1072354.9981737854</v>
      </c>
      <c r="AZ416" s="246">
        <f>IFERROR(VLOOKUP(J416,VOL_REC[],2,FALSE),0)</f>
        <v>740113.98115702497</v>
      </c>
      <c r="BA416" s="246">
        <f>IFERROR(VLOOKUP(K416,VOL_REC[],2,FALSE),0)</f>
        <v>0</v>
      </c>
      <c r="BB416" s="246">
        <f>IFERROR(VLOOKUP(L416,VOL_REC[],2,FALSE),0)</f>
        <v>0</v>
      </c>
      <c r="BC416" s="246">
        <f>IFERROR(VLOOKUP(M416,VOL_REC[],2,FALSE),0)</f>
        <v>0</v>
      </c>
      <c r="BD416" s="246">
        <f>IFERROR(VLOOKUP(N416,VOL_REC[],2,FALSE),0)</f>
        <v>0</v>
      </c>
      <c r="BE416" s="246">
        <f>IFERROR(VLOOKUP(O416,VOL_REC[],2,FALSE),0)</f>
        <v>0</v>
      </c>
      <c r="BF416" s="246">
        <f>IFERROR(VLOOKUP(P416,VOL_REC[],2,FALSE),0)</f>
        <v>0</v>
      </c>
      <c r="BG416" s="246">
        <f>IFERROR(VLOOKUP(Q416,VOL_REC[],2,FALSE),0)</f>
        <v>0</v>
      </c>
      <c r="BH416" s="1710">
        <f t="shared" si="24"/>
        <v>18837400575.206768</v>
      </c>
      <c r="BI416" s="1710">
        <f t="shared" si="25"/>
        <v>16773908186.044418</v>
      </c>
      <c r="BJ416" s="1711">
        <f t="shared" si="26"/>
        <v>19039486.360552277</v>
      </c>
      <c r="BK416" s="1711">
        <f t="shared" si="27"/>
        <v>1.1230179852110516</v>
      </c>
      <c r="BL416">
        <f>BJ416</f>
        <v>19039486.360552277</v>
      </c>
      <c r="BO416">
        <f>BL416</f>
        <v>19039486.360552277</v>
      </c>
    </row>
    <row r="417" spans="3:67" x14ac:dyDescent="0.25">
      <c r="C417" s="246" t="s">
        <v>1767</v>
      </c>
      <c r="D417" s="246">
        <v>1</v>
      </c>
      <c r="E417" s="246">
        <v>2</v>
      </c>
      <c r="F417" s="246">
        <v>3</v>
      </c>
      <c r="G417" s="246">
        <v>5</v>
      </c>
      <c r="H417" s="246">
        <v>12</v>
      </c>
      <c r="I417" s="246">
        <v>13</v>
      </c>
      <c r="J417" s="246">
        <v>14</v>
      </c>
      <c r="K417" s="246"/>
      <c r="L417" s="246"/>
      <c r="M417" s="246"/>
      <c r="N417" s="246"/>
      <c r="O417" s="246"/>
      <c r="P417" s="246"/>
      <c r="Q417" s="246"/>
      <c r="R417" s="246">
        <f>IFERROR(VLOOKUP(D417,PROGRAMAS[],2,FALSE),0)</f>
        <v>97037803.679377079</v>
      </c>
      <c r="S417" s="246">
        <f>IFERROR(VLOOKUP(E417,PROGRAMAS[],2,FALSE),0)</f>
        <v>640501509.6821388</v>
      </c>
      <c r="T417" s="246">
        <f>IFERROR(VLOOKUP(F417,PROGRAMAS[],2,FALSE),0)</f>
        <v>3062327798.1525245</v>
      </c>
      <c r="U417" s="246">
        <f>IFERROR(VLOOKUP(G417,PROGRAMAS[],2,FALSE),0)</f>
        <v>1440941976.2528784</v>
      </c>
      <c r="V417" s="246">
        <f>IFERROR(VLOOKUP(H417,PROGRAMAS[],2,FALSE),0)</f>
        <v>764796700.79905891</v>
      </c>
      <c r="W417" s="246">
        <f>IFERROR(VLOOKUP(I417,PROGRAMAS[],2,FALSE),0)</f>
        <v>3776538594.4604583</v>
      </c>
      <c r="X417" s="246">
        <f>IFERROR(VLOOKUP(J417,PROGRAMAS[],2,FALSE),0)</f>
        <v>54223862.645839565</v>
      </c>
      <c r="Y417" s="246">
        <f>IFERROR(VLOOKUP(K417,PROGRAMAS[],2,FALSE),0)</f>
        <v>0</v>
      </c>
      <c r="Z417" s="246">
        <f>IFERROR(VLOOKUP(L417,PROGRAMAS[],2,FALSE),0)</f>
        <v>0</v>
      </c>
      <c r="AA417" s="246">
        <f>IFERROR(VLOOKUP(M417,PROGRAMAS[],2,FALSE),0)</f>
        <v>0</v>
      </c>
      <c r="AB417" s="246">
        <f>IFERROR(VLOOKUP(N417,PROGRAMAS[],2,FALSE),0)</f>
        <v>0</v>
      </c>
      <c r="AC417" s="246">
        <f>IFERROR(VLOOKUP(O417,PROGRAMAS[],2,FALSE),0)</f>
        <v>0</v>
      </c>
      <c r="AD417" s="246">
        <f>IFERROR(VLOOKUP(P417,PROGRAMAS[],2,FALSE),0)</f>
        <v>0</v>
      </c>
      <c r="AE417" s="246">
        <f>IFERROR(VLOOKUP(Q417,PROGRAMAS[],2,FALSE),0)</f>
        <v>0</v>
      </c>
      <c r="AF417" s="246">
        <f>IFERROR(VLOOKUP(D417,PROGRAMAS[],3,FALSE),0)</f>
        <v>841888629.31080008</v>
      </c>
      <c r="AG417" s="246">
        <f>IFERROR(VLOOKUP(E417,PROGRAMAS[],3,FALSE),0)</f>
        <v>3848980803.1642323</v>
      </c>
      <c r="AH417" s="246">
        <f>IFERROR(VLOOKUP(F417,PROGRAMAS[],3,FALSE),0)</f>
        <v>3394901471.387517</v>
      </c>
      <c r="AI417" s="246">
        <f>IFERROR(VLOOKUP(G417,PROGRAMAS[],3,FALSE),0)</f>
        <v>1233505101.0616004</v>
      </c>
      <c r="AJ417" s="246">
        <f>IFERROR(VLOOKUP(H417,PROGRAMAS[],3,FALSE),0)</f>
        <v>675517840.109828</v>
      </c>
      <c r="AK417" s="246">
        <f>IFERROR(VLOOKUP(I417,PROGRAMAS[],3,FALSE),0)</f>
        <v>2392571243.5584412</v>
      </c>
      <c r="AL417" s="246">
        <f>IFERROR(VLOOKUP(J417,PROGRAMAS[],3,FALSE),0)</f>
        <v>31865326.38096505</v>
      </c>
      <c r="AM417" s="246">
        <f>IFERROR(VLOOKUP(K417,PROGRAMAS[],3,FALSE),0)</f>
        <v>0</v>
      </c>
      <c r="AN417" s="246">
        <f>IFERROR(VLOOKUP(L417,PROGRAMAS[],3,FALSE),0)</f>
        <v>0</v>
      </c>
      <c r="AO417" s="246">
        <f>IFERROR(VLOOKUP(M417,PROGRAMAS[],3,FALSE),0)</f>
        <v>0</v>
      </c>
      <c r="AP417" s="246">
        <f>IFERROR(VLOOKUP(N417,PROGRAMAS[],3,FALSE),0)</f>
        <v>0</v>
      </c>
      <c r="AQ417" s="246">
        <f>IFERROR(VLOOKUP(O417,PROGRAMAS[],3,FALSE),0)</f>
        <v>0</v>
      </c>
      <c r="AR417" s="246">
        <f>IFERROR(VLOOKUP(P417,PROGRAMAS[],3,FALSE),0)</f>
        <v>0</v>
      </c>
      <c r="AS417" s="246">
        <f>IFERROR(VLOOKUP(Q417,PROGRAMAS[],3,FALSE),0)</f>
        <v>0</v>
      </c>
      <c r="AT417" s="246">
        <f>IFERROR(VLOOKUP(D417,VOL_REC[],2,FALSE),0)</f>
        <v>0</v>
      </c>
      <c r="AU417" s="246">
        <f>IFERROR(VLOOKUP(E417,VOL_REC[],2,FALSE),0)</f>
        <v>0</v>
      </c>
      <c r="AV417" s="246">
        <f>IFERROR(VLOOKUP(F417,VOL_REC[],2,FALSE),0)</f>
        <v>11089674.200000001</v>
      </c>
      <c r="AW417" s="246">
        <f>IFERROR(VLOOKUP(G417,VOL_REC[],2,FALSE),0)</f>
        <v>4325103.1812214684</v>
      </c>
      <c r="AX417" s="246">
        <f>IFERROR(VLOOKUP(H417,VOL_REC[],2,FALSE),0)</f>
        <v>240696.79238099116</v>
      </c>
      <c r="AY417" s="246">
        <f>IFERROR(VLOOKUP(I417,VOL_REC[],2,FALSE),0)</f>
        <v>663244.80000000016</v>
      </c>
      <c r="AZ417" s="246">
        <f>IFERROR(VLOOKUP(J417,VOL_REC[],2,FALSE),0)</f>
        <v>17074.045034105649</v>
      </c>
      <c r="BA417" s="246">
        <f>IFERROR(VLOOKUP(K417,VOL_REC[],2,FALSE),0)</f>
        <v>0</v>
      </c>
      <c r="BB417" s="246">
        <f>IFERROR(VLOOKUP(L417,VOL_REC[],2,FALSE),0)</f>
        <v>0</v>
      </c>
      <c r="BC417" s="246">
        <f>IFERROR(VLOOKUP(M417,VOL_REC[],2,FALSE),0)</f>
        <v>0</v>
      </c>
      <c r="BD417" s="246">
        <f>IFERROR(VLOOKUP(N417,VOL_REC[],2,FALSE),0)</f>
        <v>0</v>
      </c>
      <c r="BE417" s="246">
        <f>IFERROR(VLOOKUP(O417,VOL_REC[],2,FALSE),0)</f>
        <v>0</v>
      </c>
      <c r="BF417" s="246">
        <f>IFERROR(VLOOKUP(P417,VOL_REC[],2,FALSE),0)</f>
        <v>0</v>
      </c>
      <c r="BG417" s="246">
        <f>IFERROR(VLOOKUP(Q417,VOL_REC[],2,FALSE),0)</f>
        <v>0</v>
      </c>
      <c r="BH417" s="1710">
        <f t="shared" si="24"/>
        <v>9836368245.6722755</v>
      </c>
      <c r="BI417" s="1710">
        <f t="shared" si="25"/>
        <v>12419230414.973383</v>
      </c>
      <c r="BJ417" s="1711">
        <f t="shared" si="26"/>
        <v>16335793.018636566</v>
      </c>
      <c r="BK417" s="1711">
        <f t="shared" si="27"/>
        <v>0.79202719629172424</v>
      </c>
    </row>
    <row r="418" spans="3:67" x14ac:dyDescent="0.25">
      <c r="C418" s="246" t="s">
        <v>1768</v>
      </c>
      <c r="D418" s="246">
        <v>1</v>
      </c>
      <c r="E418" s="246">
        <v>2</v>
      </c>
      <c r="F418" s="246">
        <v>3</v>
      </c>
      <c r="G418" s="246">
        <v>5</v>
      </c>
      <c r="H418" s="246">
        <v>12</v>
      </c>
      <c r="I418" s="246">
        <v>13</v>
      </c>
      <c r="J418" s="246">
        <v>15</v>
      </c>
      <c r="K418" s="246"/>
      <c r="L418" s="246"/>
      <c r="M418" s="246"/>
      <c r="N418" s="246"/>
      <c r="O418" s="246"/>
      <c r="P418" s="246"/>
      <c r="Q418" s="246"/>
      <c r="R418" s="246">
        <f>IFERROR(VLOOKUP(D418,PROGRAMAS[],2,FALSE),0)</f>
        <v>97037803.679377079</v>
      </c>
      <c r="S418" s="246">
        <f>IFERROR(VLOOKUP(E418,PROGRAMAS[],2,FALSE),0)</f>
        <v>640501509.6821388</v>
      </c>
      <c r="T418" s="246">
        <f>IFERROR(VLOOKUP(F418,PROGRAMAS[],2,FALSE),0)</f>
        <v>3062327798.1525245</v>
      </c>
      <c r="U418" s="246">
        <f>IFERROR(VLOOKUP(G418,PROGRAMAS[],2,FALSE),0)</f>
        <v>1440941976.2528784</v>
      </c>
      <c r="V418" s="246">
        <f>IFERROR(VLOOKUP(H418,PROGRAMAS[],2,FALSE),0)</f>
        <v>764796700.79905891</v>
      </c>
      <c r="W418" s="246">
        <f>IFERROR(VLOOKUP(I418,PROGRAMAS[],2,FALSE),0)</f>
        <v>3776538594.4604583</v>
      </c>
      <c r="X418" s="246">
        <f>IFERROR(VLOOKUP(J418,PROGRAMAS[],2,FALSE),0)</f>
        <v>122159672.96346797</v>
      </c>
      <c r="Y418" s="246">
        <f>IFERROR(VLOOKUP(K418,PROGRAMAS[],2,FALSE),0)</f>
        <v>0</v>
      </c>
      <c r="Z418" s="246">
        <f>IFERROR(VLOOKUP(L418,PROGRAMAS[],2,FALSE),0)</f>
        <v>0</v>
      </c>
      <c r="AA418" s="246">
        <f>IFERROR(VLOOKUP(M418,PROGRAMAS[],2,FALSE),0)</f>
        <v>0</v>
      </c>
      <c r="AB418" s="246">
        <f>IFERROR(VLOOKUP(N418,PROGRAMAS[],2,FALSE),0)</f>
        <v>0</v>
      </c>
      <c r="AC418" s="246">
        <f>IFERROR(VLOOKUP(O418,PROGRAMAS[],2,FALSE),0)</f>
        <v>0</v>
      </c>
      <c r="AD418" s="246">
        <f>IFERROR(VLOOKUP(P418,PROGRAMAS[],2,FALSE),0)</f>
        <v>0</v>
      </c>
      <c r="AE418" s="246">
        <f>IFERROR(VLOOKUP(Q418,PROGRAMAS[],2,FALSE),0)</f>
        <v>0</v>
      </c>
      <c r="AF418" s="246">
        <f>IFERROR(VLOOKUP(D418,PROGRAMAS[],3,FALSE),0)</f>
        <v>841888629.31080008</v>
      </c>
      <c r="AG418" s="246">
        <f>IFERROR(VLOOKUP(E418,PROGRAMAS[],3,FALSE),0)</f>
        <v>3848980803.1642323</v>
      </c>
      <c r="AH418" s="246">
        <f>IFERROR(VLOOKUP(F418,PROGRAMAS[],3,FALSE),0)</f>
        <v>3394901471.387517</v>
      </c>
      <c r="AI418" s="246">
        <f>IFERROR(VLOOKUP(G418,PROGRAMAS[],3,FALSE),0)</f>
        <v>1233505101.0616004</v>
      </c>
      <c r="AJ418" s="246">
        <f>IFERROR(VLOOKUP(H418,PROGRAMAS[],3,FALSE),0)</f>
        <v>675517840.109828</v>
      </c>
      <c r="AK418" s="246">
        <f>IFERROR(VLOOKUP(I418,PROGRAMAS[],3,FALSE),0)</f>
        <v>2392571243.5584412</v>
      </c>
      <c r="AL418" s="246">
        <f>IFERROR(VLOOKUP(J418,PROGRAMAS[],3,FALSE),0)</f>
        <v>118617452.52510804</v>
      </c>
      <c r="AM418" s="246">
        <f>IFERROR(VLOOKUP(K418,PROGRAMAS[],3,FALSE),0)</f>
        <v>0</v>
      </c>
      <c r="AN418" s="246">
        <f>IFERROR(VLOOKUP(L418,PROGRAMAS[],3,FALSE),0)</f>
        <v>0</v>
      </c>
      <c r="AO418" s="246">
        <f>IFERROR(VLOOKUP(M418,PROGRAMAS[],3,FALSE),0)</f>
        <v>0</v>
      </c>
      <c r="AP418" s="246">
        <f>IFERROR(VLOOKUP(N418,PROGRAMAS[],3,FALSE),0)</f>
        <v>0</v>
      </c>
      <c r="AQ418" s="246">
        <f>IFERROR(VLOOKUP(O418,PROGRAMAS[],3,FALSE),0)</f>
        <v>0</v>
      </c>
      <c r="AR418" s="246">
        <f>IFERROR(VLOOKUP(P418,PROGRAMAS[],3,FALSE),0)</f>
        <v>0</v>
      </c>
      <c r="AS418" s="246">
        <f>IFERROR(VLOOKUP(Q418,PROGRAMAS[],3,FALSE),0)</f>
        <v>0</v>
      </c>
      <c r="AT418" s="246">
        <f>IFERROR(VLOOKUP(D418,VOL_REC[],2,FALSE),0)</f>
        <v>0</v>
      </c>
      <c r="AU418" s="246">
        <f>IFERROR(VLOOKUP(E418,VOL_REC[],2,FALSE),0)</f>
        <v>0</v>
      </c>
      <c r="AV418" s="246">
        <f>IFERROR(VLOOKUP(F418,VOL_REC[],2,FALSE),0)</f>
        <v>11089674.200000001</v>
      </c>
      <c r="AW418" s="246">
        <f>IFERROR(VLOOKUP(G418,VOL_REC[],2,FALSE),0)</f>
        <v>4325103.1812214684</v>
      </c>
      <c r="AX418" s="246">
        <f>IFERROR(VLOOKUP(H418,VOL_REC[],2,FALSE),0)</f>
        <v>240696.79238099116</v>
      </c>
      <c r="AY418" s="246">
        <f>IFERROR(VLOOKUP(I418,VOL_REC[],2,FALSE),0)</f>
        <v>663244.80000000016</v>
      </c>
      <c r="AZ418" s="246">
        <f>IFERROR(VLOOKUP(J418,VOL_REC[],2,FALSE),0)</f>
        <v>105072</v>
      </c>
      <c r="BA418" s="246">
        <f>IFERROR(VLOOKUP(K418,VOL_REC[],2,FALSE),0)</f>
        <v>0</v>
      </c>
      <c r="BB418" s="246">
        <f>IFERROR(VLOOKUP(L418,VOL_REC[],2,FALSE),0)</f>
        <v>0</v>
      </c>
      <c r="BC418" s="246">
        <f>IFERROR(VLOOKUP(M418,VOL_REC[],2,FALSE),0)</f>
        <v>0</v>
      </c>
      <c r="BD418" s="246">
        <f>IFERROR(VLOOKUP(N418,VOL_REC[],2,FALSE),0)</f>
        <v>0</v>
      </c>
      <c r="BE418" s="246">
        <f>IFERROR(VLOOKUP(O418,VOL_REC[],2,FALSE),0)</f>
        <v>0</v>
      </c>
      <c r="BF418" s="246">
        <f>IFERROR(VLOOKUP(P418,VOL_REC[],2,FALSE),0)</f>
        <v>0</v>
      </c>
      <c r="BG418" s="246">
        <f>IFERROR(VLOOKUP(Q418,VOL_REC[],2,FALSE),0)</f>
        <v>0</v>
      </c>
      <c r="BH418" s="1710">
        <f t="shared" si="24"/>
        <v>9904304055.9899044</v>
      </c>
      <c r="BI418" s="1710">
        <f t="shared" si="25"/>
        <v>12505982541.117527</v>
      </c>
      <c r="BJ418" s="1711">
        <f t="shared" si="26"/>
        <v>16423790.973602461</v>
      </c>
      <c r="BK418" s="1711">
        <f t="shared" si="27"/>
        <v>0.79196528728760418</v>
      </c>
    </row>
    <row r="419" spans="3:67" x14ac:dyDescent="0.25">
      <c r="C419" s="246" t="s">
        <v>1769</v>
      </c>
      <c r="D419" s="246">
        <v>1</v>
      </c>
      <c r="E419" s="246">
        <v>2</v>
      </c>
      <c r="F419" s="246">
        <v>3</v>
      </c>
      <c r="G419" s="246">
        <v>5</v>
      </c>
      <c r="H419" s="246">
        <v>12</v>
      </c>
      <c r="I419" s="246">
        <v>13</v>
      </c>
      <c r="J419" s="246">
        <v>16</v>
      </c>
      <c r="K419" s="246"/>
      <c r="L419" s="246"/>
      <c r="M419" s="246"/>
      <c r="N419" s="246"/>
      <c r="O419" s="246"/>
      <c r="P419" s="246"/>
      <c r="Q419" s="246"/>
      <c r="R419" s="246">
        <f>IFERROR(VLOOKUP(D419,PROGRAMAS[],2,FALSE),0)</f>
        <v>97037803.679377079</v>
      </c>
      <c r="S419" s="246">
        <f>IFERROR(VLOOKUP(E419,PROGRAMAS[],2,FALSE),0)</f>
        <v>640501509.6821388</v>
      </c>
      <c r="T419" s="246">
        <f>IFERROR(VLOOKUP(F419,PROGRAMAS[],2,FALSE),0)</f>
        <v>3062327798.1525245</v>
      </c>
      <c r="U419" s="246">
        <f>IFERROR(VLOOKUP(G419,PROGRAMAS[],2,FALSE),0)</f>
        <v>1440941976.2528784</v>
      </c>
      <c r="V419" s="246">
        <f>IFERROR(VLOOKUP(H419,PROGRAMAS[],2,FALSE),0)</f>
        <v>764796700.79905891</v>
      </c>
      <c r="W419" s="246">
        <f>IFERROR(VLOOKUP(I419,PROGRAMAS[],2,FALSE),0)</f>
        <v>3776538594.4604583</v>
      </c>
      <c r="X419" s="246">
        <f>IFERROR(VLOOKUP(J419,PROGRAMAS[],2,FALSE),0)</f>
        <v>7068496961.0436354</v>
      </c>
      <c r="Y419" s="246">
        <f>IFERROR(VLOOKUP(K419,PROGRAMAS[],2,FALSE),0)</f>
        <v>0</v>
      </c>
      <c r="Z419" s="246">
        <f>IFERROR(VLOOKUP(L419,PROGRAMAS[],2,FALSE),0)</f>
        <v>0</v>
      </c>
      <c r="AA419" s="246">
        <f>IFERROR(VLOOKUP(M419,PROGRAMAS[],2,FALSE),0)</f>
        <v>0</v>
      </c>
      <c r="AB419" s="246">
        <f>IFERROR(VLOOKUP(N419,PROGRAMAS[],2,FALSE),0)</f>
        <v>0</v>
      </c>
      <c r="AC419" s="246">
        <f>IFERROR(VLOOKUP(O419,PROGRAMAS[],2,FALSE),0)</f>
        <v>0</v>
      </c>
      <c r="AD419" s="246">
        <f>IFERROR(VLOOKUP(P419,PROGRAMAS[],2,FALSE),0)</f>
        <v>0</v>
      </c>
      <c r="AE419" s="246">
        <f>IFERROR(VLOOKUP(Q419,PROGRAMAS[],2,FALSE),0)</f>
        <v>0</v>
      </c>
      <c r="AF419" s="246">
        <f>IFERROR(VLOOKUP(D419,PROGRAMAS[],3,FALSE),0)</f>
        <v>841888629.31080008</v>
      </c>
      <c r="AG419" s="246">
        <f>IFERROR(VLOOKUP(E419,PROGRAMAS[],3,FALSE),0)</f>
        <v>3848980803.1642323</v>
      </c>
      <c r="AH419" s="246">
        <f>IFERROR(VLOOKUP(F419,PROGRAMAS[],3,FALSE),0)</f>
        <v>3394901471.387517</v>
      </c>
      <c r="AI419" s="246">
        <f>IFERROR(VLOOKUP(G419,PROGRAMAS[],3,FALSE),0)</f>
        <v>1233505101.0616004</v>
      </c>
      <c r="AJ419" s="246">
        <f>IFERROR(VLOOKUP(H419,PROGRAMAS[],3,FALSE),0)</f>
        <v>675517840.109828</v>
      </c>
      <c r="AK419" s="246">
        <f>IFERROR(VLOOKUP(I419,PROGRAMAS[],3,FALSE),0)</f>
        <v>2392571243.5584412</v>
      </c>
      <c r="AL419" s="246">
        <f>IFERROR(VLOOKUP(J419,PROGRAMAS[],3,FALSE),0)</f>
        <v>2406564599.0319901</v>
      </c>
      <c r="AM419" s="246">
        <f>IFERROR(VLOOKUP(K419,PROGRAMAS[],3,FALSE),0)</f>
        <v>0</v>
      </c>
      <c r="AN419" s="246">
        <f>IFERROR(VLOOKUP(L419,PROGRAMAS[],3,FALSE),0)</f>
        <v>0</v>
      </c>
      <c r="AO419" s="246">
        <f>IFERROR(VLOOKUP(M419,PROGRAMAS[],3,FALSE),0)</f>
        <v>0</v>
      </c>
      <c r="AP419" s="246">
        <f>IFERROR(VLOOKUP(N419,PROGRAMAS[],3,FALSE),0)</f>
        <v>0</v>
      </c>
      <c r="AQ419" s="246">
        <f>IFERROR(VLOOKUP(O419,PROGRAMAS[],3,FALSE),0)</f>
        <v>0</v>
      </c>
      <c r="AR419" s="246">
        <f>IFERROR(VLOOKUP(P419,PROGRAMAS[],3,FALSE),0)</f>
        <v>0</v>
      </c>
      <c r="AS419" s="246">
        <f>IFERROR(VLOOKUP(Q419,PROGRAMAS[],3,FALSE),0)</f>
        <v>0</v>
      </c>
      <c r="AT419" s="246">
        <f>IFERROR(VLOOKUP(D419,VOL_REC[],2,FALSE),0)</f>
        <v>0</v>
      </c>
      <c r="AU419" s="246">
        <f>IFERROR(VLOOKUP(E419,VOL_REC[],2,FALSE),0)</f>
        <v>0</v>
      </c>
      <c r="AV419" s="246">
        <f>IFERROR(VLOOKUP(F419,VOL_REC[],2,FALSE),0)</f>
        <v>11089674.200000001</v>
      </c>
      <c r="AW419" s="246">
        <f>IFERROR(VLOOKUP(G419,VOL_REC[],2,FALSE),0)</f>
        <v>4325103.1812214684</v>
      </c>
      <c r="AX419" s="246">
        <f>IFERROR(VLOOKUP(H419,VOL_REC[],2,FALSE),0)</f>
        <v>240696.79238099116</v>
      </c>
      <c r="AY419" s="246">
        <f>IFERROR(VLOOKUP(I419,VOL_REC[],2,FALSE),0)</f>
        <v>663244.80000000016</v>
      </c>
      <c r="AZ419" s="246">
        <f>IFERROR(VLOOKUP(J419,VOL_REC[],2,FALSE),0)</f>
        <v>1072354.9981737854</v>
      </c>
      <c r="BA419" s="246">
        <f>IFERROR(VLOOKUP(K419,VOL_REC[],2,FALSE),0)</f>
        <v>0</v>
      </c>
      <c r="BB419" s="246">
        <f>IFERROR(VLOOKUP(L419,VOL_REC[],2,FALSE),0)</f>
        <v>0</v>
      </c>
      <c r="BC419" s="246">
        <f>IFERROR(VLOOKUP(M419,VOL_REC[],2,FALSE),0)</f>
        <v>0</v>
      </c>
      <c r="BD419" s="246">
        <f>IFERROR(VLOOKUP(N419,VOL_REC[],2,FALSE),0)</f>
        <v>0</v>
      </c>
      <c r="BE419" s="246">
        <f>IFERROR(VLOOKUP(O419,VOL_REC[],2,FALSE),0)</f>
        <v>0</v>
      </c>
      <c r="BF419" s="246">
        <f>IFERROR(VLOOKUP(P419,VOL_REC[],2,FALSE),0)</f>
        <v>0</v>
      </c>
      <c r="BG419" s="246">
        <f>IFERROR(VLOOKUP(Q419,VOL_REC[],2,FALSE),0)</f>
        <v>0</v>
      </c>
      <c r="BH419" s="1710">
        <f t="shared" si="24"/>
        <v>16850641344.070072</v>
      </c>
      <c r="BI419" s="1710">
        <f t="shared" si="25"/>
        <v>14793929687.624409</v>
      </c>
      <c r="BJ419" s="1711">
        <f t="shared" si="26"/>
        <v>17391073.971776247</v>
      </c>
      <c r="BK419" s="1711">
        <f t="shared" si="27"/>
        <v>1.1390240253856396</v>
      </c>
      <c r="BL419">
        <f>BJ419</f>
        <v>17391073.971776247</v>
      </c>
      <c r="BO419">
        <f>BL419</f>
        <v>17391073.971776247</v>
      </c>
    </row>
    <row r="420" spans="3:67" x14ac:dyDescent="0.25">
      <c r="C420" s="246" t="s">
        <v>1770</v>
      </c>
      <c r="D420" s="246">
        <v>1</v>
      </c>
      <c r="E420" s="246">
        <v>2</v>
      </c>
      <c r="F420" s="246">
        <v>3</v>
      </c>
      <c r="G420" s="246">
        <v>5</v>
      </c>
      <c r="H420" s="246">
        <v>12</v>
      </c>
      <c r="I420" s="246">
        <v>13</v>
      </c>
      <c r="J420" s="246">
        <v>17</v>
      </c>
      <c r="K420" s="246"/>
      <c r="L420" s="246"/>
      <c r="M420" s="246"/>
      <c r="N420" s="246"/>
      <c r="O420" s="246"/>
      <c r="P420" s="246"/>
      <c r="Q420" s="246"/>
      <c r="R420" s="246">
        <f>IFERROR(VLOOKUP(D420,PROGRAMAS[],2,FALSE),0)</f>
        <v>97037803.679377079</v>
      </c>
      <c r="S420" s="246">
        <f>IFERROR(VLOOKUP(E420,PROGRAMAS[],2,FALSE),0)</f>
        <v>640501509.6821388</v>
      </c>
      <c r="T420" s="246">
        <f>IFERROR(VLOOKUP(F420,PROGRAMAS[],2,FALSE),0)</f>
        <v>3062327798.1525245</v>
      </c>
      <c r="U420" s="246">
        <f>IFERROR(VLOOKUP(G420,PROGRAMAS[],2,FALSE),0)</f>
        <v>1440941976.2528784</v>
      </c>
      <c r="V420" s="246">
        <f>IFERROR(VLOOKUP(H420,PROGRAMAS[],2,FALSE),0)</f>
        <v>764796700.79905891</v>
      </c>
      <c r="W420" s="246">
        <f>IFERROR(VLOOKUP(I420,PROGRAMAS[],2,FALSE),0)</f>
        <v>3776538594.4604583</v>
      </c>
      <c r="X420" s="246">
        <f>IFERROR(VLOOKUP(J420,PROGRAMAS[],2,FALSE),0)</f>
        <v>1892779498.5211046</v>
      </c>
      <c r="Y420" s="246">
        <f>IFERROR(VLOOKUP(K420,PROGRAMAS[],2,FALSE),0)</f>
        <v>0</v>
      </c>
      <c r="Z420" s="246">
        <f>IFERROR(VLOOKUP(L420,PROGRAMAS[],2,FALSE),0)</f>
        <v>0</v>
      </c>
      <c r="AA420" s="246">
        <f>IFERROR(VLOOKUP(M420,PROGRAMAS[],2,FALSE),0)</f>
        <v>0</v>
      </c>
      <c r="AB420" s="246">
        <f>IFERROR(VLOOKUP(N420,PROGRAMAS[],2,FALSE),0)</f>
        <v>0</v>
      </c>
      <c r="AC420" s="246">
        <f>IFERROR(VLOOKUP(O420,PROGRAMAS[],2,FALSE),0)</f>
        <v>0</v>
      </c>
      <c r="AD420" s="246">
        <f>IFERROR(VLOOKUP(P420,PROGRAMAS[],2,FALSE),0)</f>
        <v>0</v>
      </c>
      <c r="AE420" s="246">
        <f>IFERROR(VLOOKUP(Q420,PROGRAMAS[],2,FALSE),0)</f>
        <v>0</v>
      </c>
      <c r="AF420" s="246">
        <f>IFERROR(VLOOKUP(D420,PROGRAMAS[],3,FALSE),0)</f>
        <v>841888629.31080008</v>
      </c>
      <c r="AG420" s="246">
        <f>IFERROR(VLOOKUP(E420,PROGRAMAS[],3,FALSE),0)</f>
        <v>3848980803.1642323</v>
      </c>
      <c r="AH420" s="246">
        <f>IFERROR(VLOOKUP(F420,PROGRAMAS[],3,FALSE),0)</f>
        <v>3394901471.387517</v>
      </c>
      <c r="AI420" s="246">
        <f>IFERROR(VLOOKUP(G420,PROGRAMAS[],3,FALSE),0)</f>
        <v>1233505101.0616004</v>
      </c>
      <c r="AJ420" s="246">
        <f>IFERROR(VLOOKUP(H420,PROGRAMAS[],3,FALSE),0)</f>
        <v>675517840.109828</v>
      </c>
      <c r="AK420" s="246">
        <f>IFERROR(VLOOKUP(I420,PROGRAMAS[],3,FALSE),0)</f>
        <v>2392571243.5584412</v>
      </c>
      <c r="AL420" s="246">
        <f>IFERROR(VLOOKUP(J420,PROGRAMAS[],3,FALSE),0)</f>
        <v>948595847.09039903</v>
      </c>
      <c r="AM420" s="246">
        <f>IFERROR(VLOOKUP(K420,PROGRAMAS[],3,FALSE),0)</f>
        <v>0</v>
      </c>
      <c r="AN420" s="246">
        <f>IFERROR(VLOOKUP(L420,PROGRAMAS[],3,FALSE),0)</f>
        <v>0</v>
      </c>
      <c r="AO420" s="246">
        <f>IFERROR(VLOOKUP(M420,PROGRAMAS[],3,FALSE),0)</f>
        <v>0</v>
      </c>
      <c r="AP420" s="246">
        <f>IFERROR(VLOOKUP(N420,PROGRAMAS[],3,FALSE),0)</f>
        <v>0</v>
      </c>
      <c r="AQ420" s="246">
        <f>IFERROR(VLOOKUP(O420,PROGRAMAS[],3,FALSE),0)</f>
        <v>0</v>
      </c>
      <c r="AR420" s="246">
        <f>IFERROR(VLOOKUP(P420,PROGRAMAS[],3,FALSE),0)</f>
        <v>0</v>
      </c>
      <c r="AS420" s="246">
        <f>IFERROR(VLOOKUP(Q420,PROGRAMAS[],3,FALSE),0)</f>
        <v>0</v>
      </c>
      <c r="AT420" s="246">
        <f>IFERROR(VLOOKUP(D420,VOL_REC[],2,FALSE),0)</f>
        <v>0</v>
      </c>
      <c r="AU420" s="246">
        <f>IFERROR(VLOOKUP(E420,VOL_REC[],2,FALSE),0)</f>
        <v>0</v>
      </c>
      <c r="AV420" s="246">
        <f>IFERROR(VLOOKUP(F420,VOL_REC[],2,FALSE),0)</f>
        <v>11089674.200000001</v>
      </c>
      <c r="AW420" s="246">
        <f>IFERROR(VLOOKUP(G420,VOL_REC[],2,FALSE),0)</f>
        <v>4325103.1812214684</v>
      </c>
      <c r="AX420" s="246">
        <f>IFERROR(VLOOKUP(H420,VOL_REC[],2,FALSE),0)</f>
        <v>240696.79238099116</v>
      </c>
      <c r="AY420" s="246">
        <f>IFERROR(VLOOKUP(I420,VOL_REC[],2,FALSE),0)</f>
        <v>663244.80000000016</v>
      </c>
      <c r="AZ420" s="246">
        <f>IFERROR(VLOOKUP(J420,VOL_REC[],2,FALSE),0)</f>
        <v>740113.98115702497</v>
      </c>
      <c r="BA420" s="246">
        <f>IFERROR(VLOOKUP(K420,VOL_REC[],2,FALSE),0)</f>
        <v>0</v>
      </c>
      <c r="BB420" s="246">
        <f>IFERROR(VLOOKUP(L420,VOL_REC[],2,FALSE),0)</f>
        <v>0</v>
      </c>
      <c r="BC420" s="246">
        <f>IFERROR(VLOOKUP(M420,VOL_REC[],2,FALSE),0)</f>
        <v>0</v>
      </c>
      <c r="BD420" s="246">
        <f>IFERROR(VLOOKUP(N420,VOL_REC[],2,FALSE),0)</f>
        <v>0</v>
      </c>
      <c r="BE420" s="246">
        <f>IFERROR(VLOOKUP(O420,VOL_REC[],2,FALSE),0)</f>
        <v>0</v>
      </c>
      <c r="BF420" s="246">
        <f>IFERROR(VLOOKUP(P420,VOL_REC[],2,FALSE),0)</f>
        <v>0</v>
      </c>
      <c r="BG420" s="246">
        <f>IFERROR(VLOOKUP(Q420,VOL_REC[],2,FALSE),0)</f>
        <v>0</v>
      </c>
      <c r="BH420" s="1710">
        <f t="shared" si="24"/>
        <v>11674923881.547541</v>
      </c>
      <c r="BI420" s="1710">
        <f t="shared" si="25"/>
        <v>13335960935.682817</v>
      </c>
      <c r="BJ420" s="1711">
        <f t="shared" si="26"/>
        <v>17058832.954759486</v>
      </c>
      <c r="BK420" s="1711">
        <f t="shared" si="27"/>
        <v>0.87544676666749477</v>
      </c>
    </row>
    <row r="421" spans="3:67" x14ac:dyDescent="0.25">
      <c r="C421" s="246" t="s">
        <v>1771</v>
      </c>
      <c r="D421" s="246">
        <v>1</v>
      </c>
      <c r="E421" s="246">
        <v>2</v>
      </c>
      <c r="F421" s="246">
        <v>3</v>
      </c>
      <c r="G421" s="246">
        <v>5</v>
      </c>
      <c r="H421" s="246">
        <v>12</v>
      </c>
      <c r="I421" s="246">
        <v>14</v>
      </c>
      <c r="J421" s="246">
        <v>15</v>
      </c>
      <c r="K421" s="246"/>
      <c r="L421" s="246"/>
      <c r="M421" s="246"/>
      <c r="N421" s="246"/>
      <c r="O421" s="246"/>
      <c r="P421" s="246"/>
      <c r="Q421" s="246"/>
      <c r="R421" s="246">
        <f>IFERROR(VLOOKUP(D421,PROGRAMAS[],2,FALSE),0)</f>
        <v>97037803.679377079</v>
      </c>
      <c r="S421" s="246">
        <f>IFERROR(VLOOKUP(E421,PROGRAMAS[],2,FALSE),0)</f>
        <v>640501509.6821388</v>
      </c>
      <c r="T421" s="246">
        <f>IFERROR(VLOOKUP(F421,PROGRAMAS[],2,FALSE),0)</f>
        <v>3062327798.1525245</v>
      </c>
      <c r="U421" s="246">
        <f>IFERROR(VLOOKUP(G421,PROGRAMAS[],2,FALSE),0)</f>
        <v>1440941976.2528784</v>
      </c>
      <c r="V421" s="246">
        <f>IFERROR(VLOOKUP(H421,PROGRAMAS[],2,FALSE),0)</f>
        <v>764796700.79905891</v>
      </c>
      <c r="W421" s="246">
        <f>IFERROR(VLOOKUP(I421,PROGRAMAS[],2,FALSE),0)</f>
        <v>54223862.645839565</v>
      </c>
      <c r="X421" s="246">
        <f>IFERROR(VLOOKUP(J421,PROGRAMAS[],2,FALSE),0)</f>
        <v>122159672.96346797</v>
      </c>
      <c r="Y421" s="246">
        <f>IFERROR(VLOOKUP(K421,PROGRAMAS[],2,FALSE),0)</f>
        <v>0</v>
      </c>
      <c r="Z421" s="246">
        <f>IFERROR(VLOOKUP(L421,PROGRAMAS[],2,FALSE),0)</f>
        <v>0</v>
      </c>
      <c r="AA421" s="246">
        <f>IFERROR(VLOOKUP(M421,PROGRAMAS[],2,FALSE),0)</f>
        <v>0</v>
      </c>
      <c r="AB421" s="246">
        <f>IFERROR(VLOOKUP(N421,PROGRAMAS[],2,FALSE),0)</f>
        <v>0</v>
      </c>
      <c r="AC421" s="246">
        <f>IFERROR(VLOOKUP(O421,PROGRAMAS[],2,FALSE),0)</f>
        <v>0</v>
      </c>
      <c r="AD421" s="246">
        <f>IFERROR(VLOOKUP(P421,PROGRAMAS[],2,FALSE),0)</f>
        <v>0</v>
      </c>
      <c r="AE421" s="246">
        <f>IFERROR(VLOOKUP(Q421,PROGRAMAS[],2,FALSE),0)</f>
        <v>0</v>
      </c>
      <c r="AF421" s="246">
        <f>IFERROR(VLOOKUP(D421,PROGRAMAS[],3,FALSE),0)</f>
        <v>841888629.31080008</v>
      </c>
      <c r="AG421" s="246">
        <f>IFERROR(VLOOKUP(E421,PROGRAMAS[],3,FALSE),0)</f>
        <v>3848980803.1642323</v>
      </c>
      <c r="AH421" s="246">
        <f>IFERROR(VLOOKUP(F421,PROGRAMAS[],3,FALSE),0)</f>
        <v>3394901471.387517</v>
      </c>
      <c r="AI421" s="246">
        <f>IFERROR(VLOOKUP(G421,PROGRAMAS[],3,FALSE),0)</f>
        <v>1233505101.0616004</v>
      </c>
      <c r="AJ421" s="246">
        <f>IFERROR(VLOOKUP(H421,PROGRAMAS[],3,FALSE),0)</f>
        <v>675517840.109828</v>
      </c>
      <c r="AK421" s="246">
        <f>IFERROR(VLOOKUP(I421,PROGRAMAS[],3,FALSE),0)</f>
        <v>31865326.38096505</v>
      </c>
      <c r="AL421" s="246">
        <f>IFERROR(VLOOKUP(J421,PROGRAMAS[],3,FALSE),0)</f>
        <v>118617452.52510804</v>
      </c>
      <c r="AM421" s="246">
        <f>IFERROR(VLOOKUP(K421,PROGRAMAS[],3,FALSE),0)</f>
        <v>0</v>
      </c>
      <c r="AN421" s="246">
        <f>IFERROR(VLOOKUP(L421,PROGRAMAS[],3,FALSE),0)</f>
        <v>0</v>
      </c>
      <c r="AO421" s="246">
        <f>IFERROR(VLOOKUP(M421,PROGRAMAS[],3,FALSE),0)</f>
        <v>0</v>
      </c>
      <c r="AP421" s="246">
        <f>IFERROR(VLOOKUP(N421,PROGRAMAS[],3,FALSE),0)</f>
        <v>0</v>
      </c>
      <c r="AQ421" s="246">
        <f>IFERROR(VLOOKUP(O421,PROGRAMAS[],3,FALSE),0)</f>
        <v>0</v>
      </c>
      <c r="AR421" s="246">
        <f>IFERROR(VLOOKUP(P421,PROGRAMAS[],3,FALSE),0)</f>
        <v>0</v>
      </c>
      <c r="AS421" s="246">
        <f>IFERROR(VLOOKUP(Q421,PROGRAMAS[],3,FALSE),0)</f>
        <v>0</v>
      </c>
      <c r="AT421" s="246">
        <f>IFERROR(VLOOKUP(D421,VOL_REC[],2,FALSE),0)</f>
        <v>0</v>
      </c>
      <c r="AU421" s="246">
        <f>IFERROR(VLOOKUP(E421,VOL_REC[],2,FALSE),0)</f>
        <v>0</v>
      </c>
      <c r="AV421" s="246">
        <f>IFERROR(VLOOKUP(F421,VOL_REC[],2,FALSE),0)</f>
        <v>11089674.200000001</v>
      </c>
      <c r="AW421" s="246">
        <f>IFERROR(VLOOKUP(G421,VOL_REC[],2,FALSE),0)</f>
        <v>4325103.1812214684</v>
      </c>
      <c r="AX421" s="246">
        <f>IFERROR(VLOOKUP(H421,VOL_REC[],2,FALSE),0)</f>
        <v>240696.79238099116</v>
      </c>
      <c r="AY421" s="246">
        <f>IFERROR(VLOOKUP(I421,VOL_REC[],2,FALSE),0)</f>
        <v>17074.045034105649</v>
      </c>
      <c r="AZ421" s="246">
        <f>IFERROR(VLOOKUP(J421,VOL_REC[],2,FALSE),0)</f>
        <v>105072</v>
      </c>
      <c r="BA421" s="246">
        <f>IFERROR(VLOOKUP(K421,VOL_REC[],2,FALSE),0)</f>
        <v>0</v>
      </c>
      <c r="BB421" s="246">
        <f>IFERROR(VLOOKUP(L421,VOL_REC[],2,FALSE),0)</f>
        <v>0</v>
      </c>
      <c r="BC421" s="246">
        <f>IFERROR(VLOOKUP(M421,VOL_REC[],2,FALSE),0)</f>
        <v>0</v>
      </c>
      <c r="BD421" s="246">
        <f>IFERROR(VLOOKUP(N421,VOL_REC[],2,FALSE),0)</f>
        <v>0</v>
      </c>
      <c r="BE421" s="246">
        <f>IFERROR(VLOOKUP(O421,VOL_REC[],2,FALSE),0)</f>
        <v>0</v>
      </c>
      <c r="BF421" s="246">
        <f>IFERROR(VLOOKUP(P421,VOL_REC[],2,FALSE),0)</f>
        <v>0</v>
      </c>
      <c r="BG421" s="246">
        <f>IFERROR(VLOOKUP(Q421,VOL_REC[],2,FALSE),0)</f>
        <v>0</v>
      </c>
      <c r="BH421" s="1710">
        <f t="shared" si="24"/>
        <v>6181989324.1752853</v>
      </c>
      <c r="BI421" s="1710">
        <f t="shared" si="25"/>
        <v>10145276623.94005</v>
      </c>
      <c r="BJ421" s="1711">
        <f t="shared" si="26"/>
        <v>15777620.218636565</v>
      </c>
      <c r="BK421" s="1711">
        <f t="shared" si="27"/>
        <v>0.60934655143729632</v>
      </c>
    </row>
    <row r="422" spans="3:67" x14ac:dyDescent="0.25">
      <c r="C422" s="246" t="s">
        <v>1772</v>
      </c>
      <c r="D422" s="246">
        <v>1</v>
      </c>
      <c r="E422" s="246">
        <v>2</v>
      </c>
      <c r="F422" s="246">
        <v>3</v>
      </c>
      <c r="G422" s="246">
        <v>5</v>
      </c>
      <c r="H422" s="246">
        <v>12</v>
      </c>
      <c r="I422" s="246">
        <v>14</v>
      </c>
      <c r="J422" s="246">
        <v>16</v>
      </c>
      <c r="K422" s="246"/>
      <c r="L422" s="246"/>
      <c r="M422" s="246"/>
      <c r="N422" s="246"/>
      <c r="O422" s="246"/>
      <c r="P422" s="246"/>
      <c r="Q422" s="246"/>
      <c r="R422" s="246">
        <f>IFERROR(VLOOKUP(D422,PROGRAMAS[],2,FALSE),0)</f>
        <v>97037803.679377079</v>
      </c>
      <c r="S422" s="246">
        <f>IFERROR(VLOOKUP(E422,PROGRAMAS[],2,FALSE),0)</f>
        <v>640501509.6821388</v>
      </c>
      <c r="T422" s="246">
        <f>IFERROR(VLOOKUP(F422,PROGRAMAS[],2,FALSE),0)</f>
        <v>3062327798.1525245</v>
      </c>
      <c r="U422" s="246">
        <f>IFERROR(VLOOKUP(G422,PROGRAMAS[],2,FALSE),0)</f>
        <v>1440941976.2528784</v>
      </c>
      <c r="V422" s="246">
        <f>IFERROR(VLOOKUP(H422,PROGRAMAS[],2,FALSE),0)</f>
        <v>764796700.79905891</v>
      </c>
      <c r="W422" s="246">
        <f>IFERROR(VLOOKUP(I422,PROGRAMAS[],2,FALSE),0)</f>
        <v>54223862.645839565</v>
      </c>
      <c r="X422" s="246">
        <f>IFERROR(VLOOKUP(J422,PROGRAMAS[],2,FALSE),0)</f>
        <v>7068496961.0436354</v>
      </c>
      <c r="Y422" s="246">
        <f>IFERROR(VLOOKUP(K422,PROGRAMAS[],2,FALSE),0)</f>
        <v>0</v>
      </c>
      <c r="Z422" s="246">
        <f>IFERROR(VLOOKUP(L422,PROGRAMAS[],2,FALSE),0)</f>
        <v>0</v>
      </c>
      <c r="AA422" s="246">
        <f>IFERROR(VLOOKUP(M422,PROGRAMAS[],2,FALSE),0)</f>
        <v>0</v>
      </c>
      <c r="AB422" s="246">
        <f>IFERROR(VLOOKUP(N422,PROGRAMAS[],2,FALSE),0)</f>
        <v>0</v>
      </c>
      <c r="AC422" s="246">
        <f>IFERROR(VLOOKUP(O422,PROGRAMAS[],2,FALSE),0)</f>
        <v>0</v>
      </c>
      <c r="AD422" s="246">
        <f>IFERROR(VLOOKUP(P422,PROGRAMAS[],2,FALSE),0)</f>
        <v>0</v>
      </c>
      <c r="AE422" s="246">
        <f>IFERROR(VLOOKUP(Q422,PROGRAMAS[],2,FALSE),0)</f>
        <v>0</v>
      </c>
      <c r="AF422" s="246">
        <f>IFERROR(VLOOKUP(D422,PROGRAMAS[],3,FALSE),0)</f>
        <v>841888629.31080008</v>
      </c>
      <c r="AG422" s="246">
        <f>IFERROR(VLOOKUP(E422,PROGRAMAS[],3,FALSE),0)</f>
        <v>3848980803.1642323</v>
      </c>
      <c r="AH422" s="246">
        <f>IFERROR(VLOOKUP(F422,PROGRAMAS[],3,FALSE),0)</f>
        <v>3394901471.387517</v>
      </c>
      <c r="AI422" s="246">
        <f>IFERROR(VLOOKUP(G422,PROGRAMAS[],3,FALSE),0)</f>
        <v>1233505101.0616004</v>
      </c>
      <c r="AJ422" s="246">
        <f>IFERROR(VLOOKUP(H422,PROGRAMAS[],3,FALSE),0)</f>
        <v>675517840.109828</v>
      </c>
      <c r="AK422" s="246">
        <f>IFERROR(VLOOKUP(I422,PROGRAMAS[],3,FALSE),0)</f>
        <v>31865326.38096505</v>
      </c>
      <c r="AL422" s="246">
        <f>IFERROR(VLOOKUP(J422,PROGRAMAS[],3,FALSE),0)</f>
        <v>2406564599.0319901</v>
      </c>
      <c r="AM422" s="246">
        <f>IFERROR(VLOOKUP(K422,PROGRAMAS[],3,FALSE),0)</f>
        <v>0</v>
      </c>
      <c r="AN422" s="246">
        <f>IFERROR(VLOOKUP(L422,PROGRAMAS[],3,FALSE),0)</f>
        <v>0</v>
      </c>
      <c r="AO422" s="246">
        <f>IFERROR(VLOOKUP(M422,PROGRAMAS[],3,FALSE),0)</f>
        <v>0</v>
      </c>
      <c r="AP422" s="246">
        <f>IFERROR(VLOOKUP(N422,PROGRAMAS[],3,FALSE),0)</f>
        <v>0</v>
      </c>
      <c r="AQ422" s="246">
        <f>IFERROR(VLOOKUP(O422,PROGRAMAS[],3,FALSE),0)</f>
        <v>0</v>
      </c>
      <c r="AR422" s="246">
        <f>IFERROR(VLOOKUP(P422,PROGRAMAS[],3,FALSE),0)</f>
        <v>0</v>
      </c>
      <c r="AS422" s="246">
        <f>IFERROR(VLOOKUP(Q422,PROGRAMAS[],3,FALSE),0)</f>
        <v>0</v>
      </c>
      <c r="AT422" s="246">
        <f>IFERROR(VLOOKUP(D422,VOL_REC[],2,FALSE),0)</f>
        <v>0</v>
      </c>
      <c r="AU422" s="246">
        <f>IFERROR(VLOOKUP(E422,VOL_REC[],2,FALSE),0)</f>
        <v>0</v>
      </c>
      <c r="AV422" s="246">
        <f>IFERROR(VLOOKUP(F422,VOL_REC[],2,FALSE),0)</f>
        <v>11089674.200000001</v>
      </c>
      <c r="AW422" s="246">
        <f>IFERROR(VLOOKUP(G422,VOL_REC[],2,FALSE),0)</f>
        <v>4325103.1812214684</v>
      </c>
      <c r="AX422" s="246">
        <f>IFERROR(VLOOKUP(H422,VOL_REC[],2,FALSE),0)</f>
        <v>240696.79238099116</v>
      </c>
      <c r="AY422" s="246">
        <f>IFERROR(VLOOKUP(I422,VOL_REC[],2,FALSE),0)</f>
        <v>17074.045034105649</v>
      </c>
      <c r="AZ422" s="246">
        <f>IFERROR(VLOOKUP(J422,VOL_REC[],2,FALSE),0)</f>
        <v>1072354.9981737854</v>
      </c>
      <c r="BA422" s="246">
        <f>IFERROR(VLOOKUP(K422,VOL_REC[],2,FALSE),0)</f>
        <v>0</v>
      </c>
      <c r="BB422" s="246">
        <f>IFERROR(VLOOKUP(L422,VOL_REC[],2,FALSE),0)</f>
        <v>0</v>
      </c>
      <c r="BC422" s="246">
        <f>IFERROR(VLOOKUP(M422,VOL_REC[],2,FALSE),0)</f>
        <v>0</v>
      </c>
      <c r="BD422" s="246">
        <f>IFERROR(VLOOKUP(N422,VOL_REC[],2,FALSE),0)</f>
        <v>0</v>
      </c>
      <c r="BE422" s="246">
        <f>IFERROR(VLOOKUP(O422,VOL_REC[],2,FALSE),0)</f>
        <v>0</v>
      </c>
      <c r="BF422" s="246">
        <f>IFERROR(VLOOKUP(P422,VOL_REC[],2,FALSE),0)</f>
        <v>0</v>
      </c>
      <c r="BG422" s="246">
        <f>IFERROR(VLOOKUP(Q422,VOL_REC[],2,FALSE),0)</f>
        <v>0</v>
      </c>
      <c r="BH422" s="1710">
        <f t="shared" si="24"/>
        <v>13128326612.255453</v>
      </c>
      <c r="BI422" s="1710">
        <f t="shared" si="25"/>
        <v>12433223770.446932</v>
      </c>
      <c r="BJ422" s="1711">
        <f t="shared" si="26"/>
        <v>16744903.216810349</v>
      </c>
      <c r="BK422" s="1711">
        <f t="shared" si="27"/>
        <v>1.0559068874366069</v>
      </c>
      <c r="BL422">
        <f>BJ422</f>
        <v>16744903.216810349</v>
      </c>
      <c r="BO422">
        <f>BL422</f>
        <v>16744903.216810349</v>
      </c>
    </row>
    <row r="423" spans="3:67" x14ac:dyDescent="0.25">
      <c r="C423" s="246" t="s">
        <v>1773</v>
      </c>
      <c r="D423" s="246">
        <v>1</v>
      </c>
      <c r="E423" s="246">
        <v>2</v>
      </c>
      <c r="F423" s="246">
        <v>3</v>
      </c>
      <c r="G423" s="246">
        <v>5</v>
      </c>
      <c r="H423" s="246">
        <v>12</v>
      </c>
      <c r="I423" s="246">
        <v>14</v>
      </c>
      <c r="J423" s="246">
        <v>17</v>
      </c>
      <c r="K423" s="246"/>
      <c r="L423" s="246"/>
      <c r="M423" s="246"/>
      <c r="N423" s="246"/>
      <c r="O423" s="246"/>
      <c r="P423" s="246"/>
      <c r="Q423" s="246"/>
      <c r="R423" s="246">
        <f>IFERROR(VLOOKUP(D423,PROGRAMAS[],2,FALSE),0)</f>
        <v>97037803.679377079</v>
      </c>
      <c r="S423" s="246">
        <f>IFERROR(VLOOKUP(E423,PROGRAMAS[],2,FALSE),0)</f>
        <v>640501509.6821388</v>
      </c>
      <c r="T423" s="246">
        <f>IFERROR(VLOOKUP(F423,PROGRAMAS[],2,FALSE),0)</f>
        <v>3062327798.1525245</v>
      </c>
      <c r="U423" s="246">
        <f>IFERROR(VLOOKUP(G423,PROGRAMAS[],2,FALSE),0)</f>
        <v>1440941976.2528784</v>
      </c>
      <c r="V423" s="246">
        <f>IFERROR(VLOOKUP(H423,PROGRAMAS[],2,FALSE),0)</f>
        <v>764796700.79905891</v>
      </c>
      <c r="W423" s="246">
        <f>IFERROR(VLOOKUP(I423,PROGRAMAS[],2,FALSE),0)</f>
        <v>54223862.645839565</v>
      </c>
      <c r="X423" s="246">
        <f>IFERROR(VLOOKUP(J423,PROGRAMAS[],2,FALSE),0)</f>
        <v>1892779498.5211046</v>
      </c>
      <c r="Y423" s="246">
        <f>IFERROR(VLOOKUP(K423,PROGRAMAS[],2,FALSE),0)</f>
        <v>0</v>
      </c>
      <c r="Z423" s="246">
        <f>IFERROR(VLOOKUP(L423,PROGRAMAS[],2,FALSE),0)</f>
        <v>0</v>
      </c>
      <c r="AA423" s="246">
        <f>IFERROR(VLOOKUP(M423,PROGRAMAS[],2,FALSE),0)</f>
        <v>0</v>
      </c>
      <c r="AB423" s="246">
        <f>IFERROR(VLOOKUP(N423,PROGRAMAS[],2,FALSE),0)</f>
        <v>0</v>
      </c>
      <c r="AC423" s="246">
        <f>IFERROR(VLOOKUP(O423,PROGRAMAS[],2,FALSE),0)</f>
        <v>0</v>
      </c>
      <c r="AD423" s="246">
        <f>IFERROR(VLOOKUP(P423,PROGRAMAS[],2,FALSE),0)</f>
        <v>0</v>
      </c>
      <c r="AE423" s="246">
        <f>IFERROR(VLOOKUP(Q423,PROGRAMAS[],2,FALSE),0)</f>
        <v>0</v>
      </c>
      <c r="AF423" s="246">
        <f>IFERROR(VLOOKUP(D423,PROGRAMAS[],3,FALSE),0)</f>
        <v>841888629.31080008</v>
      </c>
      <c r="AG423" s="246">
        <f>IFERROR(VLOOKUP(E423,PROGRAMAS[],3,FALSE),0)</f>
        <v>3848980803.1642323</v>
      </c>
      <c r="AH423" s="246">
        <f>IFERROR(VLOOKUP(F423,PROGRAMAS[],3,FALSE),0)</f>
        <v>3394901471.387517</v>
      </c>
      <c r="AI423" s="246">
        <f>IFERROR(VLOOKUP(G423,PROGRAMAS[],3,FALSE),0)</f>
        <v>1233505101.0616004</v>
      </c>
      <c r="AJ423" s="246">
        <f>IFERROR(VLOOKUP(H423,PROGRAMAS[],3,FALSE),0)</f>
        <v>675517840.109828</v>
      </c>
      <c r="AK423" s="246">
        <f>IFERROR(VLOOKUP(I423,PROGRAMAS[],3,FALSE),0)</f>
        <v>31865326.38096505</v>
      </c>
      <c r="AL423" s="246">
        <f>IFERROR(VLOOKUP(J423,PROGRAMAS[],3,FALSE),0)</f>
        <v>948595847.09039903</v>
      </c>
      <c r="AM423" s="246">
        <f>IFERROR(VLOOKUP(K423,PROGRAMAS[],3,FALSE),0)</f>
        <v>0</v>
      </c>
      <c r="AN423" s="246">
        <f>IFERROR(VLOOKUP(L423,PROGRAMAS[],3,FALSE),0)</f>
        <v>0</v>
      </c>
      <c r="AO423" s="246">
        <f>IFERROR(VLOOKUP(M423,PROGRAMAS[],3,FALSE),0)</f>
        <v>0</v>
      </c>
      <c r="AP423" s="246">
        <f>IFERROR(VLOOKUP(N423,PROGRAMAS[],3,FALSE),0)</f>
        <v>0</v>
      </c>
      <c r="AQ423" s="246">
        <f>IFERROR(VLOOKUP(O423,PROGRAMAS[],3,FALSE),0)</f>
        <v>0</v>
      </c>
      <c r="AR423" s="246">
        <f>IFERROR(VLOOKUP(P423,PROGRAMAS[],3,FALSE),0)</f>
        <v>0</v>
      </c>
      <c r="AS423" s="246">
        <f>IFERROR(VLOOKUP(Q423,PROGRAMAS[],3,FALSE),0)</f>
        <v>0</v>
      </c>
      <c r="AT423" s="246">
        <f>IFERROR(VLOOKUP(D423,VOL_REC[],2,FALSE),0)</f>
        <v>0</v>
      </c>
      <c r="AU423" s="246">
        <f>IFERROR(VLOOKUP(E423,VOL_REC[],2,FALSE),0)</f>
        <v>0</v>
      </c>
      <c r="AV423" s="246">
        <f>IFERROR(VLOOKUP(F423,VOL_REC[],2,FALSE),0)</f>
        <v>11089674.200000001</v>
      </c>
      <c r="AW423" s="246">
        <f>IFERROR(VLOOKUP(G423,VOL_REC[],2,FALSE),0)</f>
        <v>4325103.1812214684</v>
      </c>
      <c r="AX423" s="246">
        <f>IFERROR(VLOOKUP(H423,VOL_REC[],2,FALSE),0)</f>
        <v>240696.79238099116</v>
      </c>
      <c r="AY423" s="246">
        <f>IFERROR(VLOOKUP(I423,VOL_REC[],2,FALSE),0)</f>
        <v>17074.045034105649</v>
      </c>
      <c r="AZ423" s="246">
        <f>IFERROR(VLOOKUP(J423,VOL_REC[],2,FALSE),0)</f>
        <v>740113.98115702497</v>
      </c>
      <c r="BA423" s="246">
        <f>IFERROR(VLOOKUP(K423,VOL_REC[],2,FALSE),0)</f>
        <v>0</v>
      </c>
      <c r="BB423" s="246">
        <f>IFERROR(VLOOKUP(L423,VOL_REC[],2,FALSE),0)</f>
        <v>0</v>
      </c>
      <c r="BC423" s="246">
        <f>IFERROR(VLOOKUP(M423,VOL_REC[],2,FALSE),0)</f>
        <v>0</v>
      </c>
      <c r="BD423" s="246">
        <f>IFERROR(VLOOKUP(N423,VOL_REC[],2,FALSE),0)</f>
        <v>0</v>
      </c>
      <c r="BE423" s="246">
        <f>IFERROR(VLOOKUP(O423,VOL_REC[],2,FALSE),0)</f>
        <v>0</v>
      </c>
      <c r="BF423" s="246">
        <f>IFERROR(VLOOKUP(P423,VOL_REC[],2,FALSE),0)</f>
        <v>0</v>
      </c>
      <c r="BG423" s="246">
        <f>IFERROR(VLOOKUP(Q423,VOL_REC[],2,FALSE),0)</f>
        <v>0</v>
      </c>
      <c r="BH423" s="1710">
        <f t="shared" si="24"/>
        <v>7952609149.7329226</v>
      </c>
      <c r="BI423" s="1710">
        <f t="shared" si="25"/>
        <v>10975255018.505341</v>
      </c>
      <c r="BJ423" s="1711">
        <f t="shared" si="26"/>
        <v>16412662.19979359</v>
      </c>
      <c r="BK423" s="1711">
        <f t="shared" si="27"/>
        <v>0.72459447514650499</v>
      </c>
    </row>
    <row r="424" spans="3:67" x14ac:dyDescent="0.25">
      <c r="C424" s="246" t="s">
        <v>1774</v>
      </c>
      <c r="D424" s="246">
        <v>1</v>
      </c>
      <c r="E424" s="246">
        <v>2</v>
      </c>
      <c r="F424" s="246">
        <v>3</v>
      </c>
      <c r="G424" s="246">
        <v>5</v>
      </c>
      <c r="H424" s="246">
        <v>12</v>
      </c>
      <c r="I424" s="246">
        <v>15</v>
      </c>
      <c r="J424" s="246">
        <v>16</v>
      </c>
      <c r="K424" s="246"/>
      <c r="L424" s="246"/>
      <c r="M424" s="246"/>
      <c r="N424" s="246"/>
      <c r="O424" s="246"/>
      <c r="P424" s="246"/>
      <c r="Q424" s="246"/>
      <c r="R424" s="246">
        <f>IFERROR(VLOOKUP(D424,PROGRAMAS[],2,FALSE),0)</f>
        <v>97037803.679377079</v>
      </c>
      <c r="S424" s="246">
        <f>IFERROR(VLOOKUP(E424,PROGRAMAS[],2,FALSE),0)</f>
        <v>640501509.6821388</v>
      </c>
      <c r="T424" s="246">
        <f>IFERROR(VLOOKUP(F424,PROGRAMAS[],2,FALSE),0)</f>
        <v>3062327798.1525245</v>
      </c>
      <c r="U424" s="246">
        <f>IFERROR(VLOOKUP(G424,PROGRAMAS[],2,FALSE),0)</f>
        <v>1440941976.2528784</v>
      </c>
      <c r="V424" s="246">
        <f>IFERROR(VLOOKUP(H424,PROGRAMAS[],2,FALSE),0)</f>
        <v>764796700.79905891</v>
      </c>
      <c r="W424" s="246">
        <f>IFERROR(VLOOKUP(I424,PROGRAMAS[],2,FALSE),0)</f>
        <v>122159672.96346797</v>
      </c>
      <c r="X424" s="246">
        <f>IFERROR(VLOOKUP(J424,PROGRAMAS[],2,FALSE),0)</f>
        <v>7068496961.0436354</v>
      </c>
      <c r="Y424" s="246">
        <f>IFERROR(VLOOKUP(K424,PROGRAMAS[],2,FALSE),0)</f>
        <v>0</v>
      </c>
      <c r="Z424" s="246">
        <f>IFERROR(VLOOKUP(L424,PROGRAMAS[],2,FALSE),0)</f>
        <v>0</v>
      </c>
      <c r="AA424" s="246">
        <f>IFERROR(VLOOKUP(M424,PROGRAMAS[],2,FALSE),0)</f>
        <v>0</v>
      </c>
      <c r="AB424" s="246">
        <f>IFERROR(VLOOKUP(N424,PROGRAMAS[],2,FALSE),0)</f>
        <v>0</v>
      </c>
      <c r="AC424" s="246">
        <f>IFERROR(VLOOKUP(O424,PROGRAMAS[],2,FALSE),0)</f>
        <v>0</v>
      </c>
      <c r="AD424" s="246">
        <f>IFERROR(VLOOKUP(P424,PROGRAMAS[],2,FALSE),0)</f>
        <v>0</v>
      </c>
      <c r="AE424" s="246">
        <f>IFERROR(VLOOKUP(Q424,PROGRAMAS[],2,FALSE),0)</f>
        <v>0</v>
      </c>
      <c r="AF424" s="246">
        <f>IFERROR(VLOOKUP(D424,PROGRAMAS[],3,FALSE),0)</f>
        <v>841888629.31080008</v>
      </c>
      <c r="AG424" s="246">
        <f>IFERROR(VLOOKUP(E424,PROGRAMAS[],3,FALSE),0)</f>
        <v>3848980803.1642323</v>
      </c>
      <c r="AH424" s="246">
        <f>IFERROR(VLOOKUP(F424,PROGRAMAS[],3,FALSE),0)</f>
        <v>3394901471.387517</v>
      </c>
      <c r="AI424" s="246">
        <f>IFERROR(VLOOKUP(G424,PROGRAMAS[],3,FALSE),0)</f>
        <v>1233505101.0616004</v>
      </c>
      <c r="AJ424" s="246">
        <f>IFERROR(VLOOKUP(H424,PROGRAMAS[],3,FALSE),0)</f>
        <v>675517840.109828</v>
      </c>
      <c r="AK424" s="246">
        <f>IFERROR(VLOOKUP(I424,PROGRAMAS[],3,FALSE),0)</f>
        <v>118617452.52510804</v>
      </c>
      <c r="AL424" s="246">
        <f>IFERROR(VLOOKUP(J424,PROGRAMAS[],3,FALSE),0)</f>
        <v>2406564599.0319901</v>
      </c>
      <c r="AM424" s="246">
        <f>IFERROR(VLOOKUP(K424,PROGRAMAS[],3,FALSE),0)</f>
        <v>0</v>
      </c>
      <c r="AN424" s="246">
        <f>IFERROR(VLOOKUP(L424,PROGRAMAS[],3,FALSE),0)</f>
        <v>0</v>
      </c>
      <c r="AO424" s="246">
        <f>IFERROR(VLOOKUP(M424,PROGRAMAS[],3,FALSE),0)</f>
        <v>0</v>
      </c>
      <c r="AP424" s="246">
        <f>IFERROR(VLOOKUP(N424,PROGRAMAS[],3,FALSE),0)</f>
        <v>0</v>
      </c>
      <c r="AQ424" s="246">
        <f>IFERROR(VLOOKUP(O424,PROGRAMAS[],3,FALSE),0)</f>
        <v>0</v>
      </c>
      <c r="AR424" s="246">
        <f>IFERROR(VLOOKUP(P424,PROGRAMAS[],3,FALSE),0)</f>
        <v>0</v>
      </c>
      <c r="AS424" s="246">
        <f>IFERROR(VLOOKUP(Q424,PROGRAMAS[],3,FALSE),0)</f>
        <v>0</v>
      </c>
      <c r="AT424" s="246">
        <f>IFERROR(VLOOKUP(D424,VOL_REC[],2,FALSE),0)</f>
        <v>0</v>
      </c>
      <c r="AU424" s="246">
        <f>IFERROR(VLOOKUP(E424,VOL_REC[],2,FALSE),0)</f>
        <v>0</v>
      </c>
      <c r="AV424" s="246">
        <f>IFERROR(VLOOKUP(F424,VOL_REC[],2,FALSE),0)</f>
        <v>11089674.200000001</v>
      </c>
      <c r="AW424" s="246">
        <f>IFERROR(VLOOKUP(G424,VOL_REC[],2,FALSE),0)</f>
        <v>4325103.1812214684</v>
      </c>
      <c r="AX424" s="246">
        <f>IFERROR(VLOOKUP(H424,VOL_REC[],2,FALSE),0)</f>
        <v>240696.79238099116</v>
      </c>
      <c r="AY424" s="246">
        <f>IFERROR(VLOOKUP(I424,VOL_REC[],2,FALSE),0)</f>
        <v>105072</v>
      </c>
      <c r="AZ424" s="246">
        <f>IFERROR(VLOOKUP(J424,VOL_REC[],2,FALSE),0)</f>
        <v>1072354.9981737854</v>
      </c>
      <c r="BA424" s="246">
        <f>IFERROR(VLOOKUP(K424,VOL_REC[],2,FALSE),0)</f>
        <v>0</v>
      </c>
      <c r="BB424" s="246">
        <f>IFERROR(VLOOKUP(L424,VOL_REC[],2,FALSE),0)</f>
        <v>0</v>
      </c>
      <c r="BC424" s="246">
        <f>IFERROR(VLOOKUP(M424,VOL_REC[],2,FALSE),0)</f>
        <v>0</v>
      </c>
      <c r="BD424" s="246">
        <f>IFERROR(VLOOKUP(N424,VOL_REC[],2,FALSE),0)</f>
        <v>0</v>
      </c>
      <c r="BE424" s="246">
        <f>IFERROR(VLOOKUP(O424,VOL_REC[],2,FALSE),0)</f>
        <v>0</v>
      </c>
      <c r="BF424" s="246">
        <f>IFERROR(VLOOKUP(P424,VOL_REC[],2,FALSE),0)</f>
        <v>0</v>
      </c>
      <c r="BG424" s="246">
        <f>IFERROR(VLOOKUP(Q424,VOL_REC[],2,FALSE),0)</f>
        <v>0</v>
      </c>
      <c r="BH424" s="1710">
        <f t="shared" si="24"/>
        <v>13196262422.573082</v>
      </c>
      <c r="BI424" s="1710">
        <f t="shared" si="25"/>
        <v>12519975896.591076</v>
      </c>
      <c r="BJ424" s="1711">
        <f t="shared" si="26"/>
        <v>16832901.171776246</v>
      </c>
      <c r="BK424" s="1711">
        <f t="shared" si="27"/>
        <v>1.0540165996778113</v>
      </c>
      <c r="BL424">
        <f>BJ424</f>
        <v>16832901.171776246</v>
      </c>
      <c r="BO424">
        <f>BL424</f>
        <v>16832901.171776246</v>
      </c>
    </row>
    <row r="425" spans="3:67" x14ac:dyDescent="0.25">
      <c r="C425" s="246" t="s">
        <v>1775</v>
      </c>
      <c r="D425" s="246">
        <v>1</v>
      </c>
      <c r="E425" s="246">
        <v>2</v>
      </c>
      <c r="F425" s="246">
        <v>3</v>
      </c>
      <c r="G425" s="246">
        <v>5</v>
      </c>
      <c r="H425" s="246">
        <v>12</v>
      </c>
      <c r="I425" s="246">
        <v>15</v>
      </c>
      <c r="J425" s="246">
        <v>17</v>
      </c>
      <c r="K425" s="246"/>
      <c r="L425" s="246"/>
      <c r="M425" s="246"/>
      <c r="N425" s="246"/>
      <c r="O425" s="246"/>
      <c r="P425" s="246"/>
      <c r="Q425" s="246"/>
      <c r="R425" s="246">
        <f>IFERROR(VLOOKUP(D425,PROGRAMAS[],2,FALSE),0)</f>
        <v>97037803.679377079</v>
      </c>
      <c r="S425" s="246">
        <f>IFERROR(VLOOKUP(E425,PROGRAMAS[],2,FALSE),0)</f>
        <v>640501509.6821388</v>
      </c>
      <c r="T425" s="246">
        <f>IFERROR(VLOOKUP(F425,PROGRAMAS[],2,FALSE),0)</f>
        <v>3062327798.1525245</v>
      </c>
      <c r="U425" s="246">
        <f>IFERROR(VLOOKUP(G425,PROGRAMAS[],2,FALSE),0)</f>
        <v>1440941976.2528784</v>
      </c>
      <c r="V425" s="246">
        <f>IFERROR(VLOOKUP(H425,PROGRAMAS[],2,FALSE),0)</f>
        <v>764796700.79905891</v>
      </c>
      <c r="W425" s="246">
        <f>IFERROR(VLOOKUP(I425,PROGRAMAS[],2,FALSE),0)</f>
        <v>122159672.96346797</v>
      </c>
      <c r="X425" s="246">
        <f>IFERROR(VLOOKUP(J425,PROGRAMAS[],2,FALSE),0)</f>
        <v>1892779498.5211046</v>
      </c>
      <c r="Y425" s="246">
        <f>IFERROR(VLOOKUP(K425,PROGRAMAS[],2,FALSE),0)</f>
        <v>0</v>
      </c>
      <c r="Z425" s="246">
        <f>IFERROR(VLOOKUP(L425,PROGRAMAS[],2,FALSE),0)</f>
        <v>0</v>
      </c>
      <c r="AA425" s="246">
        <f>IFERROR(VLOOKUP(M425,PROGRAMAS[],2,FALSE),0)</f>
        <v>0</v>
      </c>
      <c r="AB425" s="246">
        <f>IFERROR(VLOOKUP(N425,PROGRAMAS[],2,FALSE),0)</f>
        <v>0</v>
      </c>
      <c r="AC425" s="246">
        <f>IFERROR(VLOOKUP(O425,PROGRAMAS[],2,FALSE),0)</f>
        <v>0</v>
      </c>
      <c r="AD425" s="246">
        <f>IFERROR(VLOOKUP(P425,PROGRAMAS[],2,FALSE),0)</f>
        <v>0</v>
      </c>
      <c r="AE425" s="246">
        <f>IFERROR(VLOOKUP(Q425,PROGRAMAS[],2,FALSE),0)</f>
        <v>0</v>
      </c>
      <c r="AF425" s="246">
        <f>IFERROR(VLOOKUP(D425,PROGRAMAS[],3,FALSE),0)</f>
        <v>841888629.31080008</v>
      </c>
      <c r="AG425" s="246">
        <f>IFERROR(VLOOKUP(E425,PROGRAMAS[],3,FALSE),0)</f>
        <v>3848980803.1642323</v>
      </c>
      <c r="AH425" s="246">
        <f>IFERROR(VLOOKUP(F425,PROGRAMAS[],3,FALSE),0)</f>
        <v>3394901471.387517</v>
      </c>
      <c r="AI425" s="246">
        <f>IFERROR(VLOOKUP(G425,PROGRAMAS[],3,FALSE),0)</f>
        <v>1233505101.0616004</v>
      </c>
      <c r="AJ425" s="246">
        <f>IFERROR(VLOOKUP(H425,PROGRAMAS[],3,FALSE),0)</f>
        <v>675517840.109828</v>
      </c>
      <c r="AK425" s="246">
        <f>IFERROR(VLOOKUP(I425,PROGRAMAS[],3,FALSE),0)</f>
        <v>118617452.52510804</v>
      </c>
      <c r="AL425" s="246">
        <f>IFERROR(VLOOKUP(J425,PROGRAMAS[],3,FALSE),0)</f>
        <v>948595847.09039903</v>
      </c>
      <c r="AM425" s="246">
        <f>IFERROR(VLOOKUP(K425,PROGRAMAS[],3,FALSE),0)</f>
        <v>0</v>
      </c>
      <c r="AN425" s="246">
        <f>IFERROR(VLOOKUP(L425,PROGRAMAS[],3,FALSE),0)</f>
        <v>0</v>
      </c>
      <c r="AO425" s="246">
        <f>IFERROR(VLOOKUP(M425,PROGRAMAS[],3,FALSE),0)</f>
        <v>0</v>
      </c>
      <c r="AP425" s="246">
        <f>IFERROR(VLOOKUP(N425,PROGRAMAS[],3,FALSE),0)</f>
        <v>0</v>
      </c>
      <c r="AQ425" s="246">
        <f>IFERROR(VLOOKUP(O425,PROGRAMAS[],3,FALSE),0)</f>
        <v>0</v>
      </c>
      <c r="AR425" s="246">
        <f>IFERROR(VLOOKUP(P425,PROGRAMAS[],3,FALSE),0)</f>
        <v>0</v>
      </c>
      <c r="AS425" s="246">
        <f>IFERROR(VLOOKUP(Q425,PROGRAMAS[],3,FALSE),0)</f>
        <v>0</v>
      </c>
      <c r="AT425" s="246">
        <f>IFERROR(VLOOKUP(D425,VOL_REC[],2,FALSE),0)</f>
        <v>0</v>
      </c>
      <c r="AU425" s="246">
        <f>IFERROR(VLOOKUP(E425,VOL_REC[],2,FALSE),0)</f>
        <v>0</v>
      </c>
      <c r="AV425" s="246">
        <f>IFERROR(VLOOKUP(F425,VOL_REC[],2,FALSE),0)</f>
        <v>11089674.200000001</v>
      </c>
      <c r="AW425" s="246">
        <f>IFERROR(VLOOKUP(G425,VOL_REC[],2,FALSE),0)</f>
        <v>4325103.1812214684</v>
      </c>
      <c r="AX425" s="246">
        <f>IFERROR(VLOOKUP(H425,VOL_REC[],2,FALSE),0)</f>
        <v>240696.79238099116</v>
      </c>
      <c r="AY425" s="246">
        <f>IFERROR(VLOOKUP(I425,VOL_REC[],2,FALSE),0)</f>
        <v>105072</v>
      </c>
      <c r="AZ425" s="246">
        <f>IFERROR(VLOOKUP(J425,VOL_REC[],2,FALSE),0)</f>
        <v>740113.98115702497</v>
      </c>
      <c r="BA425" s="246">
        <f>IFERROR(VLOOKUP(K425,VOL_REC[],2,FALSE),0)</f>
        <v>0</v>
      </c>
      <c r="BB425" s="246">
        <f>IFERROR(VLOOKUP(L425,VOL_REC[],2,FALSE),0)</f>
        <v>0</v>
      </c>
      <c r="BC425" s="246">
        <f>IFERROR(VLOOKUP(M425,VOL_REC[],2,FALSE),0)</f>
        <v>0</v>
      </c>
      <c r="BD425" s="246">
        <f>IFERROR(VLOOKUP(N425,VOL_REC[],2,FALSE),0)</f>
        <v>0</v>
      </c>
      <c r="BE425" s="246">
        <f>IFERROR(VLOOKUP(O425,VOL_REC[],2,FALSE),0)</f>
        <v>0</v>
      </c>
      <c r="BF425" s="246">
        <f>IFERROR(VLOOKUP(P425,VOL_REC[],2,FALSE),0)</f>
        <v>0</v>
      </c>
      <c r="BG425" s="246">
        <f>IFERROR(VLOOKUP(Q425,VOL_REC[],2,FALSE),0)</f>
        <v>0</v>
      </c>
      <c r="BH425" s="1710">
        <f t="shared" si="24"/>
        <v>8020544960.0505505</v>
      </c>
      <c r="BI425" s="1710">
        <f t="shared" si="25"/>
        <v>11062007144.649485</v>
      </c>
      <c r="BJ425" s="1711">
        <f t="shared" si="26"/>
        <v>16500660.154759485</v>
      </c>
      <c r="BK425" s="1711">
        <f t="shared" si="27"/>
        <v>0.72505331583789112</v>
      </c>
    </row>
    <row r="426" spans="3:67" x14ac:dyDescent="0.25">
      <c r="C426" s="246" t="s">
        <v>1776</v>
      </c>
      <c r="D426" s="246">
        <v>1</v>
      </c>
      <c r="E426" s="246">
        <v>2</v>
      </c>
      <c r="F426" s="246">
        <v>3</v>
      </c>
      <c r="G426" s="246">
        <v>5</v>
      </c>
      <c r="H426" s="246">
        <v>12</v>
      </c>
      <c r="I426" s="246">
        <v>16</v>
      </c>
      <c r="J426" s="246">
        <v>17</v>
      </c>
      <c r="K426" s="246"/>
      <c r="L426" s="246"/>
      <c r="M426" s="246"/>
      <c r="N426" s="246"/>
      <c r="O426" s="246"/>
      <c r="P426" s="246"/>
      <c r="Q426" s="246"/>
      <c r="R426" s="246">
        <f>IFERROR(VLOOKUP(D426,PROGRAMAS[],2,FALSE),0)</f>
        <v>97037803.679377079</v>
      </c>
      <c r="S426" s="246">
        <f>IFERROR(VLOOKUP(E426,PROGRAMAS[],2,FALSE),0)</f>
        <v>640501509.6821388</v>
      </c>
      <c r="T426" s="246">
        <f>IFERROR(VLOOKUP(F426,PROGRAMAS[],2,FALSE),0)</f>
        <v>3062327798.1525245</v>
      </c>
      <c r="U426" s="246">
        <f>IFERROR(VLOOKUP(G426,PROGRAMAS[],2,FALSE),0)</f>
        <v>1440941976.2528784</v>
      </c>
      <c r="V426" s="246">
        <f>IFERROR(VLOOKUP(H426,PROGRAMAS[],2,FALSE),0)</f>
        <v>764796700.79905891</v>
      </c>
      <c r="W426" s="246">
        <f>IFERROR(VLOOKUP(I426,PROGRAMAS[],2,FALSE),0)</f>
        <v>7068496961.0436354</v>
      </c>
      <c r="X426" s="246">
        <f>IFERROR(VLOOKUP(J426,PROGRAMAS[],2,FALSE),0)</f>
        <v>1892779498.5211046</v>
      </c>
      <c r="Y426" s="246">
        <f>IFERROR(VLOOKUP(K426,PROGRAMAS[],2,FALSE),0)</f>
        <v>0</v>
      </c>
      <c r="Z426" s="246">
        <f>IFERROR(VLOOKUP(L426,PROGRAMAS[],2,FALSE),0)</f>
        <v>0</v>
      </c>
      <c r="AA426" s="246">
        <f>IFERROR(VLOOKUP(M426,PROGRAMAS[],2,FALSE),0)</f>
        <v>0</v>
      </c>
      <c r="AB426" s="246">
        <f>IFERROR(VLOOKUP(N426,PROGRAMAS[],2,FALSE),0)</f>
        <v>0</v>
      </c>
      <c r="AC426" s="246">
        <f>IFERROR(VLOOKUP(O426,PROGRAMAS[],2,FALSE),0)</f>
        <v>0</v>
      </c>
      <c r="AD426" s="246">
        <f>IFERROR(VLOOKUP(P426,PROGRAMAS[],2,FALSE),0)</f>
        <v>0</v>
      </c>
      <c r="AE426" s="246">
        <f>IFERROR(VLOOKUP(Q426,PROGRAMAS[],2,FALSE),0)</f>
        <v>0</v>
      </c>
      <c r="AF426" s="246">
        <f>IFERROR(VLOOKUP(D426,PROGRAMAS[],3,FALSE),0)</f>
        <v>841888629.31080008</v>
      </c>
      <c r="AG426" s="246">
        <f>IFERROR(VLOOKUP(E426,PROGRAMAS[],3,FALSE),0)</f>
        <v>3848980803.1642323</v>
      </c>
      <c r="AH426" s="246">
        <f>IFERROR(VLOOKUP(F426,PROGRAMAS[],3,FALSE),0)</f>
        <v>3394901471.387517</v>
      </c>
      <c r="AI426" s="246">
        <f>IFERROR(VLOOKUP(G426,PROGRAMAS[],3,FALSE),0)</f>
        <v>1233505101.0616004</v>
      </c>
      <c r="AJ426" s="246">
        <f>IFERROR(VLOOKUP(H426,PROGRAMAS[],3,FALSE),0)</f>
        <v>675517840.109828</v>
      </c>
      <c r="AK426" s="246">
        <f>IFERROR(VLOOKUP(I426,PROGRAMAS[],3,FALSE),0)</f>
        <v>2406564599.0319901</v>
      </c>
      <c r="AL426" s="246">
        <f>IFERROR(VLOOKUP(J426,PROGRAMAS[],3,FALSE),0)</f>
        <v>948595847.09039903</v>
      </c>
      <c r="AM426" s="246">
        <f>IFERROR(VLOOKUP(K426,PROGRAMAS[],3,FALSE),0)</f>
        <v>0</v>
      </c>
      <c r="AN426" s="246">
        <f>IFERROR(VLOOKUP(L426,PROGRAMAS[],3,FALSE),0)</f>
        <v>0</v>
      </c>
      <c r="AO426" s="246">
        <f>IFERROR(VLOOKUP(M426,PROGRAMAS[],3,FALSE),0)</f>
        <v>0</v>
      </c>
      <c r="AP426" s="246">
        <f>IFERROR(VLOOKUP(N426,PROGRAMAS[],3,FALSE),0)</f>
        <v>0</v>
      </c>
      <c r="AQ426" s="246">
        <f>IFERROR(VLOOKUP(O426,PROGRAMAS[],3,FALSE),0)</f>
        <v>0</v>
      </c>
      <c r="AR426" s="246">
        <f>IFERROR(VLOOKUP(P426,PROGRAMAS[],3,FALSE),0)</f>
        <v>0</v>
      </c>
      <c r="AS426" s="246">
        <f>IFERROR(VLOOKUP(Q426,PROGRAMAS[],3,FALSE),0)</f>
        <v>0</v>
      </c>
      <c r="AT426" s="246">
        <f>IFERROR(VLOOKUP(D426,VOL_REC[],2,FALSE),0)</f>
        <v>0</v>
      </c>
      <c r="AU426" s="246">
        <f>IFERROR(VLOOKUP(E426,VOL_REC[],2,FALSE),0)</f>
        <v>0</v>
      </c>
      <c r="AV426" s="246">
        <f>IFERROR(VLOOKUP(F426,VOL_REC[],2,FALSE),0)</f>
        <v>11089674.200000001</v>
      </c>
      <c r="AW426" s="246">
        <f>IFERROR(VLOOKUP(G426,VOL_REC[],2,FALSE),0)</f>
        <v>4325103.1812214684</v>
      </c>
      <c r="AX426" s="246">
        <f>IFERROR(VLOOKUP(H426,VOL_REC[],2,FALSE),0)</f>
        <v>240696.79238099116</v>
      </c>
      <c r="AY426" s="246">
        <f>IFERROR(VLOOKUP(I426,VOL_REC[],2,FALSE),0)</f>
        <v>1072354.9981737854</v>
      </c>
      <c r="AZ426" s="246">
        <f>IFERROR(VLOOKUP(J426,VOL_REC[],2,FALSE),0)</f>
        <v>740113.98115702497</v>
      </c>
      <c r="BA426" s="246">
        <f>IFERROR(VLOOKUP(K426,VOL_REC[],2,FALSE),0)</f>
        <v>0</v>
      </c>
      <c r="BB426" s="246">
        <f>IFERROR(VLOOKUP(L426,VOL_REC[],2,FALSE),0)</f>
        <v>0</v>
      </c>
      <c r="BC426" s="246">
        <f>IFERROR(VLOOKUP(M426,VOL_REC[],2,FALSE),0)</f>
        <v>0</v>
      </c>
      <c r="BD426" s="246">
        <f>IFERROR(VLOOKUP(N426,VOL_REC[],2,FALSE),0)</f>
        <v>0</v>
      </c>
      <c r="BE426" s="246">
        <f>IFERROR(VLOOKUP(O426,VOL_REC[],2,FALSE),0)</f>
        <v>0</v>
      </c>
      <c r="BF426" s="246">
        <f>IFERROR(VLOOKUP(P426,VOL_REC[],2,FALSE),0)</f>
        <v>0</v>
      </c>
      <c r="BG426" s="246">
        <f>IFERROR(VLOOKUP(Q426,VOL_REC[],2,FALSE),0)</f>
        <v>0</v>
      </c>
      <c r="BH426" s="1710">
        <f t="shared" si="24"/>
        <v>14966882248.130718</v>
      </c>
      <c r="BI426" s="1710">
        <f t="shared" si="25"/>
        <v>13349954291.156366</v>
      </c>
      <c r="BJ426" s="1711">
        <f t="shared" si="26"/>
        <v>17467943.15293327</v>
      </c>
      <c r="BK426" s="1711">
        <f t="shared" si="27"/>
        <v>1.1211186137203091</v>
      </c>
      <c r="BL426">
        <f>BJ426</f>
        <v>17467943.15293327</v>
      </c>
      <c r="BO426">
        <f>BL426</f>
        <v>17467943.15293327</v>
      </c>
    </row>
    <row r="427" spans="3:67" x14ac:dyDescent="0.25">
      <c r="C427" s="246" t="s">
        <v>1777</v>
      </c>
      <c r="D427" s="246">
        <v>1</v>
      </c>
      <c r="E427" s="246">
        <v>2</v>
      </c>
      <c r="F427" s="246">
        <v>3</v>
      </c>
      <c r="G427" s="246">
        <v>5</v>
      </c>
      <c r="H427" s="246">
        <v>13</v>
      </c>
      <c r="I427" s="246">
        <v>14</v>
      </c>
      <c r="J427" s="246">
        <v>15</v>
      </c>
      <c r="K427" s="246"/>
      <c r="L427" s="246"/>
      <c r="M427" s="246"/>
      <c r="N427" s="246"/>
      <c r="O427" s="246"/>
      <c r="P427" s="246"/>
      <c r="Q427" s="246"/>
      <c r="R427" s="246">
        <f>IFERROR(VLOOKUP(D427,PROGRAMAS[],2,FALSE),0)</f>
        <v>97037803.679377079</v>
      </c>
      <c r="S427" s="246">
        <f>IFERROR(VLOOKUP(E427,PROGRAMAS[],2,FALSE),0)</f>
        <v>640501509.6821388</v>
      </c>
      <c r="T427" s="246">
        <f>IFERROR(VLOOKUP(F427,PROGRAMAS[],2,FALSE),0)</f>
        <v>3062327798.1525245</v>
      </c>
      <c r="U427" s="246">
        <f>IFERROR(VLOOKUP(G427,PROGRAMAS[],2,FALSE),0)</f>
        <v>1440941976.2528784</v>
      </c>
      <c r="V427" s="246">
        <f>IFERROR(VLOOKUP(H427,PROGRAMAS[],2,FALSE),0)</f>
        <v>3776538594.4604583</v>
      </c>
      <c r="W427" s="246">
        <f>IFERROR(VLOOKUP(I427,PROGRAMAS[],2,FALSE),0)</f>
        <v>54223862.645839565</v>
      </c>
      <c r="X427" s="246">
        <f>IFERROR(VLOOKUP(J427,PROGRAMAS[],2,FALSE),0)</f>
        <v>122159672.96346797</v>
      </c>
      <c r="Y427" s="246">
        <f>IFERROR(VLOOKUP(K427,PROGRAMAS[],2,FALSE),0)</f>
        <v>0</v>
      </c>
      <c r="Z427" s="246">
        <f>IFERROR(VLOOKUP(L427,PROGRAMAS[],2,FALSE),0)</f>
        <v>0</v>
      </c>
      <c r="AA427" s="246">
        <f>IFERROR(VLOOKUP(M427,PROGRAMAS[],2,FALSE),0)</f>
        <v>0</v>
      </c>
      <c r="AB427" s="246">
        <f>IFERROR(VLOOKUP(N427,PROGRAMAS[],2,FALSE),0)</f>
        <v>0</v>
      </c>
      <c r="AC427" s="246">
        <f>IFERROR(VLOOKUP(O427,PROGRAMAS[],2,FALSE),0)</f>
        <v>0</v>
      </c>
      <c r="AD427" s="246">
        <f>IFERROR(VLOOKUP(P427,PROGRAMAS[],2,FALSE),0)</f>
        <v>0</v>
      </c>
      <c r="AE427" s="246">
        <f>IFERROR(VLOOKUP(Q427,PROGRAMAS[],2,FALSE),0)</f>
        <v>0</v>
      </c>
      <c r="AF427" s="246">
        <f>IFERROR(VLOOKUP(D427,PROGRAMAS[],3,FALSE),0)</f>
        <v>841888629.31080008</v>
      </c>
      <c r="AG427" s="246">
        <f>IFERROR(VLOOKUP(E427,PROGRAMAS[],3,FALSE),0)</f>
        <v>3848980803.1642323</v>
      </c>
      <c r="AH427" s="246">
        <f>IFERROR(VLOOKUP(F427,PROGRAMAS[],3,FALSE),0)</f>
        <v>3394901471.387517</v>
      </c>
      <c r="AI427" s="246">
        <f>IFERROR(VLOOKUP(G427,PROGRAMAS[],3,FALSE),0)</f>
        <v>1233505101.0616004</v>
      </c>
      <c r="AJ427" s="246">
        <f>IFERROR(VLOOKUP(H427,PROGRAMAS[],3,FALSE),0)</f>
        <v>2392571243.5584412</v>
      </c>
      <c r="AK427" s="246">
        <f>IFERROR(VLOOKUP(I427,PROGRAMAS[],3,FALSE),0)</f>
        <v>31865326.38096505</v>
      </c>
      <c r="AL427" s="246">
        <f>IFERROR(VLOOKUP(J427,PROGRAMAS[],3,FALSE),0)</f>
        <v>118617452.52510804</v>
      </c>
      <c r="AM427" s="246">
        <f>IFERROR(VLOOKUP(K427,PROGRAMAS[],3,FALSE),0)</f>
        <v>0</v>
      </c>
      <c r="AN427" s="246">
        <f>IFERROR(VLOOKUP(L427,PROGRAMAS[],3,FALSE),0)</f>
        <v>0</v>
      </c>
      <c r="AO427" s="246">
        <f>IFERROR(VLOOKUP(M427,PROGRAMAS[],3,FALSE),0)</f>
        <v>0</v>
      </c>
      <c r="AP427" s="246">
        <f>IFERROR(VLOOKUP(N427,PROGRAMAS[],3,FALSE),0)</f>
        <v>0</v>
      </c>
      <c r="AQ427" s="246">
        <f>IFERROR(VLOOKUP(O427,PROGRAMAS[],3,FALSE),0)</f>
        <v>0</v>
      </c>
      <c r="AR427" s="246">
        <f>IFERROR(VLOOKUP(P427,PROGRAMAS[],3,FALSE),0)</f>
        <v>0</v>
      </c>
      <c r="AS427" s="246">
        <f>IFERROR(VLOOKUP(Q427,PROGRAMAS[],3,FALSE),0)</f>
        <v>0</v>
      </c>
      <c r="AT427" s="246">
        <f>IFERROR(VLOOKUP(D427,VOL_REC[],2,FALSE),0)</f>
        <v>0</v>
      </c>
      <c r="AU427" s="246">
        <f>IFERROR(VLOOKUP(E427,VOL_REC[],2,FALSE),0)</f>
        <v>0</v>
      </c>
      <c r="AV427" s="246">
        <f>IFERROR(VLOOKUP(F427,VOL_REC[],2,FALSE),0)</f>
        <v>11089674.200000001</v>
      </c>
      <c r="AW427" s="246">
        <f>IFERROR(VLOOKUP(G427,VOL_REC[],2,FALSE),0)</f>
        <v>4325103.1812214684</v>
      </c>
      <c r="AX427" s="246">
        <f>IFERROR(VLOOKUP(H427,VOL_REC[],2,FALSE),0)</f>
        <v>663244.80000000016</v>
      </c>
      <c r="AY427" s="246">
        <f>IFERROR(VLOOKUP(I427,VOL_REC[],2,FALSE),0)</f>
        <v>17074.045034105649</v>
      </c>
      <c r="AZ427" s="246">
        <f>IFERROR(VLOOKUP(J427,VOL_REC[],2,FALSE),0)</f>
        <v>105072</v>
      </c>
      <c r="BA427" s="246">
        <f>IFERROR(VLOOKUP(K427,VOL_REC[],2,FALSE),0)</f>
        <v>0</v>
      </c>
      <c r="BB427" s="246">
        <f>IFERROR(VLOOKUP(L427,VOL_REC[],2,FALSE),0)</f>
        <v>0</v>
      </c>
      <c r="BC427" s="246">
        <f>IFERROR(VLOOKUP(M427,VOL_REC[],2,FALSE),0)</f>
        <v>0</v>
      </c>
      <c r="BD427" s="246">
        <f>IFERROR(VLOOKUP(N427,VOL_REC[],2,FALSE),0)</f>
        <v>0</v>
      </c>
      <c r="BE427" s="246">
        <f>IFERROR(VLOOKUP(O427,VOL_REC[],2,FALSE),0)</f>
        <v>0</v>
      </c>
      <c r="BF427" s="246">
        <f>IFERROR(VLOOKUP(P427,VOL_REC[],2,FALSE),0)</f>
        <v>0</v>
      </c>
      <c r="BG427" s="246">
        <f>IFERROR(VLOOKUP(Q427,VOL_REC[],2,FALSE),0)</f>
        <v>0</v>
      </c>
      <c r="BH427" s="1710">
        <f t="shared" si="24"/>
        <v>9193731217.8366852</v>
      </c>
      <c r="BI427" s="1710">
        <f t="shared" si="25"/>
        <v>11862330027.388664</v>
      </c>
      <c r="BJ427" s="1711">
        <f t="shared" si="26"/>
        <v>16200168.226255575</v>
      </c>
      <c r="BK427" s="1711">
        <f t="shared" si="27"/>
        <v>0.77503586534934432</v>
      </c>
    </row>
    <row r="428" spans="3:67" x14ac:dyDescent="0.25">
      <c r="C428" s="246" t="s">
        <v>1778</v>
      </c>
      <c r="D428" s="246">
        <v>1</v>
      </c>
      <c r="E428" s="246">
        <v>2</v>
      </c>
      <c r="F428" s="246">
        <v>3</v>
      </c>
      <c r="G428" s="246">
        <v>5</v>
      </c>
      <c r="H428" s="246">
        <v>13</v>
      </c>
      <c r="I428" s="246">
        <v>14</v>
      </c>
      <c r="J428" s="246">
        <v>16</v>
      </c>
      <c r="K428" s="246"/>
      <c r="L428" s="246"/>
      <c r="M428" s="246"/>
      <c r="N428" s="246"/>
      <c r="O428" s="246"/>
      <c r="P428" s="246"/>
      <c r="Q428" s="246"/>
      <c r="R428" s="246">
        <f>IFERROR(VLOOKUP(D428,PROGRAMAS[],2,FALSE),0)</f>
        <v>97037803.679377079</v>
      </c>
      <c r="S428" s="246">
        <f>IFERROR(VLOOKUP(E428,PROGRAMAS[],2,FALSE),0)</f>
        <v>640501509.6821388</v>
      </c>
      <c r="T428" s="246">
        <f>IFERROR(VLOOKUP(F428,PROGRAMAS[],2,FALSE),0)</f>
        <v>3062327798.1525245</v>
      </c>
      <c r="U428" s="246">
        <f>IFERROR(VLOOKUP(G428,PROGRAMAS[],2,FALSE),0)</f>
        <v>1440941976.2528784</v>
      </c>
      <c r="V428" s="246">
        <f>IFERROR(VLOOKUP(H428,PROGRAMAS[],2,FALSE),0)</f>
        <v>3776538594.4604583</v>
      </c>
      <c r="W428" s="246">
        <f>IFERROR(VLOOKUP(I428,PROGRAMAS[],2,FALSE),0)</f>
        <v>54223862.645839565</v>
      </c>
      <c r="X428" s="246">
        <f>IFERROR(VLOOKUP(J428,PROGRAMAS[],2,FALSE),0)</f>
        <v>7068496961.0436354</v>
      </c>
      <c r="Y428" s="246">
        <f>IFERROR(VLOOKUP(K428,PROGRAMAS[],2,FALSE),0)</f>
        <v>0</v>
      </c>
      <c r="Z428" s="246">
        <f>IFERROR(VLOOKUP(L428,PROGRAMAS[],2,FALSE),0)</f>
        <v>0</v>
      </c>
      <c r="AA428" s="246">
        <f>IFERROR(VLOOKUP(M428,PROGRAMAS[],2,FALSE),0)</f>
        <v>0</v>
      </c>
      <c r="AB428" s="246">
        <f>IFERROR(VLOOKUP(N428,PROGRAMAS[],2,FALSE),0)</f>
        <v>0</v>
      </c>
      <c r="AC428" s="246">
        <f>IFERROR(VLOOKUP(O428,PROGRAMAS[],2,FALSE),0)</f>
        <v>0</v>
      </c>
      <c r="AD428" s="246">
        <f>IFERROR(VLOOKUP(P428,PROGRAMAS[],2,FALSE),0)</f>
        <v>0</v>
      </c>
      <c r="AE428" s="246">
        <f>IFERROR(VLOOKUP(Q428,PROGRAMAS[],2,FALSE),0)</f>
        <v>0</v>
      </c>
      <c r="AF428" s="246">
        <f>IFERROR(VLOOKUP(D428,PROGRAMAS[],3,FALSE),0)</f>
        <v>841888629.31080008</v>
      </c>
      <c r="AG428" s="246">
        <f>IFERROR(VLOOKUP(E428,PROGRAMAS[],3,FALSE),0)</f>
        <v>3848980803.1642323</v>
      </c>
      <c r="AH428" s="246">
        <f>IFERROR(VLOOKUP(F428,PROGRAMAS[],3,FALSE),0)</f>
        <v>3394901471.387517</v>
      </c>
      <c r="AI428" s="246">
        <f>IFERROR(VLOOKUP(G428,PROGRAMAS[],3,FALSE),0)</f>
        <v>1233505101.0616004</v>
      </c>
      <c r="AJ428" s="246">
        <f>IFERROR(VLOOKUP(H428,PROGRAMAS[],3,FALSE),0)</f>
        <v>2392571243.5584412</v>
      </c>
      <c r="AK428" s="246">
        <f>IFERROR(VLOOKUP(I428,PROGRAMAS[],3,FALSE),0)</f>
        <v>31865326.38096505</v>
      </c>
      <c r="AL428" s="246">
        <f>IFERROR(VLOOKUP(J428,PROGRAMAS[],3,FALSE),0)</f>
        <v>2406564599.0319901</v>
      </c>
      <c r="AM428" s="246">
        <f>IFERROR(VLOOKUP(K428,PROGRAMAS[],3,FALSE),0)</f>
        <v>0</v>
      </c>
      <c r="AN428" s="246">
        <f>IFERROR(VLOOKUP(L428,PROGRAMAS[],3,FALSE),0)</f>
        <v>0</v>
      </c>
      <c r="AO428" s="246">
        <f>IFERROR(VLOOKUP(M428,PROGRAMAS[],3,FALSE),0)</f>
        <v>0</v>
      </c>
      <c r="AP428" s="246">
        <f>IFERROR(VLOOKUP(N428,PROGRAMAS[],3,FALSE),0)</f>
        <v>0</v>
      </c>
      <c r="AQ428" s="246">
        <f>IFERROR(VLOOKUP(O428,PROGRAMAS[],3,FALSE),0)</f>
        <v>0</v>
      </c>
      <c r="AR428" s="246">
        <f>IFERROR(VLOOKUP(P428,PROGRAMAS[],3,FALSE),0)</f>
        <v>0</v>
      </c>
      <c r="AS428" s="246">
        <f>IFERROR(VLOOKUP(Q428,PROGRAMAS[],3,FALSE),0)</f>
        <v>0</v>
      </c>
      <c r="AT428" s="246">
        <f>IFERROR(VLOOKUP(D428,VOL_REC[],2,FALSE),0)</f>
        <v>0</v>
      </c>
      <c r="AU428" s="246">
        <f>IFERROR(VLOOKUP(E428,VOL_REC[],2,FALSE),0)</f>
        <v>0</v>
      </c>
      <c r="AV428" s="246">
        <f>IFERROR(VLOOKUP(F428,VOL_REC[],2,FALSE),0)</f>
        <v>11089674.200000001</v>
      </c>
      <c r="AW428" s="246">
        <f>IFERROR(VLOOKUP(G428,VOL_REC[],2,FALSE),0)</f>
        <v>4325103.1812214684</v>
      </c>
      <c r="AX428" s="246">
        <f>IFERROR(VLOOKUP(H428,VOL_REC[],2,FALSE),0)</f>
        <v>663244.80000000016</v>
      </c>
      <c r="AY428" s="246">
        <f>IFERROR(VLOOKUP(I428,VOL_REC[],2,FALSE),0)</f>
        <v>17074.045034105649</v>
      </c>
      <c r="AZ428" s="246">
        <f>IFERROR(VLOOKUP(J428,VOL_REC[],2,FALSE),0)</f>
        <v>1072354.9981737854</v>
      </c>
      <c r="BA428" s="246">
        <f>IFERROR(VLOOKUP(K428,VOL_REC[],2,FALSE),0)</f>
        <v>0</v>
      </c>
      <c r="BB428" s="246">
        <f>IFERROR(VLOOKUP(L428,VOL_REC[],2,FALSE),0)</f>
        <v>0</v>
      </c>
      <c r="BC428" s="246">
        <f>IFERROR(VLOOKUP(M428,VOL_REC[],2,FALSE),0)</f>
        <v>0</v>
      </c>
      <c r="BD428" s="246">
        <f>IFERROR(VLOOKUP(N428,VOL_REC[],2,FALSE),0)</f>
        <v>0</v>
      </c>
      <c r="BE428" s="246">
        <f>IFERROR(VLOOKUP(O428,VOL_REC[],2,FALSE),0)</f>
        <v>0</v>
      </c>
      <c r="BF428" s="246">
        <f>IFERROR(VLOOKUP(P428,VOL_REC[],2,FALSE),0)</f>
        <v>0</v>
      </c>
      <c r="BG428" s="246">
        <f>IFERROR(VLOOKUP(Q428,VOL_REC[],2,FALSE),0)</f>
        <v>0</v>
      </c>
      <c r="BH428" s="1710">
        <f t="shared" si="24"/>
        <v>16140068505.916851</v>
      </c>
      <c r="BI428" s="1710">
        <f t="shared" si="25"/>
        <v>14150277173.895546</v>
      </c>
      <c r="BJ428" s="1711">
        <f t="shared" si="26"/>
        <v>17167451.224429362</v>
      </c>
      <c r="BK428" s="1711">
        <f t="shared" si="27"/>
        <v>1.1406185410765011</v>
      </c>
      <c r="BL428">
        <f>BJ428</f>
        <v>17167451.224429362</v>
      </c>
      <c r="BO428">
        <f>BL428</f>
        <v>17167451.224429362</v>
      </c>
    </row>
    <row r="429" spans="3:67" x14ac:dyDescent="0.25">
      <c r="C429" s="246" t="s">
        <v>1779</v>
      </c>
      <c r="D429" s="246">
        <v>1</v>
      </c>
      <c r="E429" s="246">
        <v>2</v>
      </c>
      <c r="F429" s="246">
        <v>3</v>
      </c>
      <c r="G429" s="246">
        <v>5</v>
      </c>
      <c r="H429" s="246">
        <v>13</v>
      </c>
      <c r="I429" s="246">
        <v>14</v>
      </c>
      <c r="J429" s="246">
        <v>17</v>
      </c>
      <c r="K429" s="246"/>
      <c r="L429" s="246"/>
      <c r="M429" s="246"/>
      <c r="N429" s="246"/>
      <c r="O429" s="246"/>
      <c r="P429" s="246"/>
      <c r="Q429" s="246"/>
      <c r="R429" s="246">
        <f>IFERROR(VLOOKUP(D429,PROGRAMAS[],2,FALSE),0)</f>
        <v>97037803.679377079</v>
      </c>
      <c r="S429" s="246">
        <f>IFERROR(VLOOKUP(E429,PROGRAMAS[],2,FALSE),0)</f>
        <v>640501509.6821388</v>
      </c>
      <c r="T429" s="246">
        <f>IFERROR(VLOOKUP(F429,PROGRAMAS[],2,FALSE),0)</f>
        <v>3062327798.1525245</v>
      </c>
      <c r="U429" s="246">
        <f>IFERROR(VLOOKUP(G429,PROGRAMAS[],2,FALSE),0)</f>
        <v>1440941976.2528784</v>
      </c>
      <c r="V429" s="246">
        <f>IFERROR(VLOOKUP(H429,PROGRAMAS[],2,FALSE),0)</f>
        <v>3776538594.4604583</v>
      </c>
      <c r="W429" s="246">
        <f>IFERROR(VLOOKUP(I429,PROGRAMAS[],2,FALSE),0)</f>
        <v>54223862.645839565</v>
      </c>
      <c r="X429" s="246">
        <f>IFERROR(VLOOKUP(J429,PROGRAMAS[],2,FALSE),0)</f>
        <v>1892779498.5211046</v>
      </c>
      <c r="Y429" s="246">
        <f>IFERROR(VLOOKUP(K429,PROGRAMAS[],2,FALSE),0)</f>
        <v>0</v>
      </c>
      <c r="Z429" s="246">
        <f>IFERROR(VLOOKUP(L429,PROGRAMAS[],2,FALSE),0)</f>
        <v>0</v>
      </c>
      <c r="AA429" s="246">
        <f>IFERROR(VLOOKUP(M429,PROGRAMAS[],2,FALSE),0)</f>
        <v>0</v>
      </c>
      <c r="AB429" s="246">
        <f>IFERROR(VLOOKUP(N429,PROGRAMAS[],2,FALSE),0)</f>
        <v>0</v>
      </c>
      <c r="AC429" s="246">
        <f>IFERROR(VLOOKUP(O429,PROGRAMAS[],2,FALSE),0)</f>
        <v>0</v>
      </c>
      <c r="AD429" s="246">
        <f>IFERROR(VLOOKUP(P429,PROGRAMAS[],2,FALSE),0)</f>
        <v>0</v>
      </c>
      <c r="AE429" s="246">
        <f>IFERROR(VLOOKUP(Q429,PROGRAMAS[],2,FALSE),0)</f>
        <v>0</v>
      </c>
      <c r="AF429" s="246">
        <f>IFERROR(VLOOKUP(D429,PROGRAMAS[],3,FALSE),0)</f>
        <v>841888629.31080008</v>
      </c>
      <c r="AG429" s="246">
        <f>IFERROR(VLOOKUP(E429,PROGRAMAS[],3,FALSE),0)</f>
        <v>3848980803.1642323</v>
      </c>
      <c r="AH429" s="246">
        <f>IFERROR(VLOOKUP(F429,PROGRAMAS[],3,FALSE),0)</f>
        <v>3394901471.387517</v>
      </c>
      <c r="AI429" s="246">
        <f>IFERROR(VLOOKUP(G429,PROGRAMAS[],3,FALSE),0)</f>
        <v>1233505101.0616004</v>
      </c>
      <c r="AJ429" s="246">
        <f>IFERROR(VLOOKUP(H429,PROGRAMAS[],3,FALSE),0)</f>
        <v>2392571243.5584412</v>
      </c>
      <c r="AK429" s="246">
        <f>IFERROR(VLOOKUP(I429,PROGRAMAS[],3,FALSE),0)</f>
        <v>31865326.38096505</v>
      </c>
      <c r="AL429" s="246">
        <f>IFERROR(VLOOKUP(J429,PROGRAMAS[],3,FALSE),0)</f>
        <v>948595847.09039903</v>
      </c>
      <c r="AM429" s="246">
        <f>IFERROR(VLOOKUP(K429,PROGRAMAS[],3,FALSE),0)</f>
        <v>0</v>
      </c>
      <c r="AN429" s="246">
        <f>IFERROR(VLOOKUP(L429,PROGRAMAS[],3,FALSE),0)</f>
        <v>0</v>
      </c>
      <c r="AO429" s="246">
        <f>IFERROR(VLOOKUP(M429,PROGRAMAS[],3,FALSE),0)</f>
        <v>0</v>
      </c>
      <c r="AP429" s="246">
        <f>IFERROR(VLOOKUP(N429,PROGRAMAS[],3,FALSE),0)</f>
        <v>0</v>
      </c>
      <c r="AQ429" s="246">
        <f>IFERROR(VLOOKUP(O429,PROGRAMAS[],3,FALSE),0)</f>
        <v>0</v>
      </c>
      <c r="AR429" s="246">
        <f>IFERROR(VLOOKUP(P429,PROGRAMAS[],3,FALSE),0)</f>
        <v>0</v>
      </c>
      <c r="AS429" s="246">
        <f>IFERROR(VLOOKUP(Q429,PROGRAMAS[],3,FALSE),0)</f>
        <v>0</v>
      </c>
      <c r="AT429" s="246">
        <f>IFERROR(VLOOKUP(D429,VOL_REC[],2,FALSE),0)</f>
        <v>0</v>
      </c>
      <c r="AU429" s="246">
        <f>IFERROR(VLOOKUP(E429,VOL_REC[],2,FALSE),0)</f>
        <v>0</v>
      </c>
      <c r="AV429" s="246">
        <f>IFERROR(VLOOKUP(F429,VOL_REC[],2,FALSE),0)</f>
        <v>11089674.200000001</v>
      </c>
      <c r="AW429" s="246">
        <f>IFERROR(VLOOKUP(G429,VOL_REC[],2,FALSE),0)</f>
        <v>4325103.1812214684</v>
      </c>
      <c r="AX429" s="246">
        <f>IFERROR(VLOOKUP(H429,VOL_REC[],2,FALSE),0)</f>
        <v>663244.80000000016</v>
      </c>
      <c r="AY429" s="246">
        <f>IFERROR(VLOOKUP(I429,VOL_REC[],2,FALSE),0)</f>
        <v>17074.045034105649</v>
      </c>
      <c r="AZ429" s="246">
        <f>IFERROR(VLOOKUP(J429,VOL_REC[],2,FALSE),0)</f>
        <v>740113.98115702497</v>
      </c>
      <c r="BA429" s="246">
        <f>IFERROR(VLOOKUP(K429,VOL_REC[],2,FALSE),0)</f>
        <v>0</v>
      </c>
      <c r="BB429" s="246">
        <f>IFERROR(VLOOKUP(L429,VOL_REC[],2,FALSE),0)</f>
        <v>0</v>
      </c>
      <c r="BC429" s="246">
        <f>IFERROR(VLOOKUP(M429,VOL_REC[],2,FALSE),0)</f>
        <v>0</v>
      </c>
      <c r="BD429" s="246">
        <f>IFERROR(VLOOKUP(N429,VOL_REC[],2,FALSE),0)</f>
        <v>0</v>
      </c>
      <c r="BE429" s="246">
        <f>IFERROR(VLOOKUP(O429,VOL_REC[],2,FALSE),0)</f>
        <v>0</v>
      </c>
      <c r="BF429" s="246">
        <f>IFERROR(VLOOKUP(P429,VOL_REC[],2,FALSE),0)</f>
        <v>0</v>
      </c>
      <c r="BG429" s="246">
        <f>IFERROR(VLOOKUP(Q429,VOL_REC[],2,FALSE),0)</f>
        <v>0</v>
      </c>
      <c r="BH429" s="1710">
        <f t="shared" si="24"/>
        <v>10964351043.394321</v>
      </c>
      <c r="BI429" s="1710">
        <f t="shared" si="25"/>
        <v>12692308421.953955</v>
      </c>
      <c r="BJ429" s="1711">
        <f t="shared" si="26"/>
        <v>16835210.207412601</v>
      </c>
      <c r="BK429" s="1711">
        <f t="shared" si="27"/>
        <v>0.86385791133386136</v>
      </c>
    </row>
    <row r="430" spans="3:67" x14ac:dyDescent="0.25">
      <c r="C430" s="246" t="s">
        <v>1780</v>
      </c>
      <c r="D430" s="246">
        <v>1</v>
      </c>
      <c r="E430" s="246">
        <v>2</v>
      </c>
      <c r="F430" s="246">
        <v>3</v>
      </c>
      <c r="G430" s="246">
        <v>5</v>
      </c>
      <c r="H430" s="246">
        <v>13</v>
      </c>
      <c r="I430" s="246">
        <v>15</v>
      </c>
      <c r="J430" s="246">
        <v>16</v>
      </c>
      <c r="K430" s="246"/>
      <c r="L430" s="246"/>
      <c r="M430" s="246"/>
      <c r="N430" s="246"/>
      <c r="O430" s="246"/>
      <c r="P430" s="246"/>
      <c r="Q430" s="246"/>
      <c r="R430" s="246">
        <f>IFERROR(VLOOKUP(D430,PROGRAMAS[],2,FALSE),0)</f>
        <v>97037803.679377079</v>
      </c>
      <c r="S430" s="246">
        <f>IFERROR(VLOOKUP(E430,PROGRAMAS[],2,FALSE),0)</f>
        <v>640501509.6821388</v>
      </c>
      <c r="T430" s="246">
        <f>IFERROR(VLOOKUP(F430,PROGRAMAS[],2,FALSE),0)</f>
        <v>3062327798.1525245</v>
      </c>
      <c r="U430" s="246">
        <f>IFERROR(VLOOKUP(G430,PROGRAMAS[],2,FALSE),0)</f>
        <v>1440941976.2528784</v>
      </c>
      <c r="V430" s="246">
        <f>IFERROR(VLOOKUP(H430,PROGRAMAS[],2,FALSE),0)</f>
        <v>3776538594.4604583</v>
      </c>
      <c r="W430" s="246">
        <f>IFERROR(VLOOKUP(I430,PROGRAMAS[],2,FALSE),0)</f>
        <v>122159672.96346797</v>
      </c>
      <c r="X430" s="246">
        <f>IFERROR(VLOOKUP(J430,PROGRAMAS[],2,FALSE),0)</f>
        <v>7068496961.0436354</v>
      </c>
      <c r="Y430" s="246">
        <f>IFERROR(VLOOKUP(K430,PROGRAMAS[],2,FALSE),0)</f>
        <v>0</v>
      </c>
      <c r="Z430" s="246">
        <f>IFERROR(VLOOKUP(L430,PROGRAMAS[],2,FALSE),0)</f>
        <v>0</v>
      </c>
      <c r="AA430" s="246">
        <f>IFERROR(VLOOKUP(M430,PROGRAMAS[],2,FALSE),0)</f>
        <v>0</v>
      </c>
      <c r="AB430" s="246">
        <f>IFERROR(VLOOKUP(N430,PROGRAMAS[],2,FALSE),0)</f>
        <v>0</v>
      </c>
      <c r="AC430" s="246">
        <f>IFERROR(VLOOKUP(O430,PROGRAMAS[],2,FALSE),0)</f>
        <v>0</v>
      </c>
      <c r="AD430" s="246">
        <f>IFERROR(VLOOKUP(P430,PROGRAMAS[],2,FALSE),0)</f>
        <v>0</v>
      </c>
      <c r="AE430" s="246">
        <f>IFERROR(VLOOKUP(Q430,PROGRAMAS[],2,FALSE),0)</f>
        <v>0</v>
      </c>
      <c r="AF430" s="246">
        <f>IFERROR(VLOOKUP(D430,PROGRAMAS[],3,FALSE),0)</f>
        <v>841888629.31080008</v>
      </c>
      <c r="AG430" s="246">
        <f>IFERROR(VLOOKUP(E430,PROGRAMAS[],3,FALSE),0)</f>
        <v>3848980803.1642323</v>
      </c>
      <c r="AH430" s="246">
        <f>IFERROR(VLOOKUP(F430,PROGRAMAS[],3,FALSE),0)</f>
        <v>3394901471.387517</v>
      </c>
      <c r="AI430" s="246">
        <f>IFERROR(VLOOKUP(G430,PROGRAMAS[],3,FALSE),0)</f>
        <v>1233505101.0616004</v>
      </c>
      <c r="AJ430" s="246">
        <f>IFERROR(VLOOKUP(H430,PROGRAMAS[],3,FALSE),0)</f>
        <v>2392571243.5584412</v>
      </c>
      <c r="AK430" s="246">
        <f>IFERROR(VLOOKUP(I430,PROGRAMAS[],3,FALSE),0)</f>
        <v>118617452.52510804</v>
      </c>
      <c r="AL430" s="246">
        <f>IFERROR(VLOOKUP(J430,PROGRAMAS[],3,FALSE),0)</f>
        <v>2406564599.0319901</v>
      </c>
      <c r="AM430" s="246">
        <f>IFERROR(VLOOKUP(K430,PROGRAMAS[],3,FALSE),0)</f>
        <v>0</v>
      </c>
      <c r="AN430" s="246">
        <f>IFERROR(VLOOKUP(L430,PROGRAMAS[],3,FALSE),0)</f>
        <v>0</v>
      </c>
      <c r="AO430" s="246">
        <f>IFERROR(VLOOKUP(M430,PROGRAMAS[],3,FALSE),0)</f>
        <v>0</v>
      </c>
      <c r="AP430" s="246">
        <f>IFERROR(VLOOKUP(N430,PROGRAMAS[],3,FALSE),0)</f>
        <v>0</v>
      </c>
      <c r="AQ430" s="246">
        <f>IFERROR(VLOOKUP(O430,PROGRAMAS[],3,FALSE),0)</f>
        <v>0</v>
      </c>
      <c r="AR430" s="246">
        <f>IFERROR(VLOOKUP(P430,PROGRAMAS[],3,FALSE),0)</f>
        <v>0</v>
      </c>
      <c r="AS430" s="246">
        <f>IFERROR(VLOOKUP(Q430,PROGRAMAS[],3,FALSE),0)</f>
        <v>0</v>
      </c>
      <c r="AT430" s="246">
        <f>IFERROR(VLOOKUP(D430,VOL_REC[],2,FALSE),0)</f>
        <v>0</v>
      </c>
      <c r="AU430" s="246">
        <f>IFERROR(VLOOKUP(E430,VOL_REC[],2,FALSE),0)</f>
        <v>0</v>
      </c>
      <c r="AV430" s="246">
        <f>IFERROR(VLOOKUP(F430,VOL_REC[],2,FALSE),0)</f>
        <v>11089674.200000001</v>
      </c>
      <c r="AW430" s="246">
        <f>IFERROR(VLOOKUP(G430,VOL_REC[],2,FALSE),0)</f>
        <v>4325103.1812214684</v>
      </c>
      <c r="AX430" s="246">
        <f>IFERROR(VLOOKUP(H430,VOL_REC[],2,FALSE),0)</f>
        <v>663244.80000000016</v>
      </c>
      <c r="AY430" s="246">
        <f>IFERROR(VLOOKUP(I430,VOL_REC[],2,FALSE),0)</f>
        <v>105072</v>
      </c>
      <c r="AZ430" s="246">
        <f>IFERROR(VLOOKUP(J430,VOL_REC[],2,FALSE),0)</f>
        <v>1072354.9981737854</v>
      </c>
      <c r="BA430" s="246">
        <f>IFERROR(VLOOKUP(K430,VOL_REC[],2,FALSE),0)</f>
        <v>0</v>
      </c>
      <c r="BB430" s="246">
        <f>IFERROR(VLOOKUP(L430,VOL_REC[],2,FALSE),0)</f>
        <v>0</v>
      </c>
      <c r="BC430" s="246">
        <f>IFERROR(VLOOKUP(M430,VOL_REC[],2,FALSE),0)</f>
        <v>0</v>
      </c>
      <c r="BD430" s="246">
        <f>IFERROR(VLOOKUP(N430,VOL_REC[],2,FALSE),0)</f>
        <v>0</v>
      </c>
      <c r="BE430" s="246">
        <f>IFERROR(VLOOKUP(O430,VOL_REC[],2,FALSE),0)</f>
        <v>0</v>
      </c>
      <c r="BF430" s="246">
        <f>IFERROR(VLOOKUP(P430,VOL_REC[],2,FALSE),0)</f>
        <v>0</v>
      </c>
      <c r="BG430" s="246">
        <f>IFERROR(VLOOKUP(Q430,VOL_REC[],2,FALSE),0)</f>
        <v>0</v>
      </c>
      <c r="BH430" s="1710">
        <f t="shared" si="24"/>
        <v>16208004316.234482</v>
      </c>
      <c r="BI430" s="1710">
        <f t="shared" si="25"/>
        <v>14237029300.03969</v>
      </c>
      <c r="BJ430" s="1711">
        <f t="shared" si="26"/>
        <v>17255449.179395255</v>
      </c>
      <c r="BK430" s="1711">
        <f t="shared" si="27"/>
        <v>1.1384400477555594</v>
      </c>
      <c r="BL430">
        <f>BJ430</f>
        <v>17255449.179395255</v>
      </c>
      <c r="BO430">
        <f>BL430</f>
        <v>17255449.179395255</v>
      </c>
    </row>
    <row r="431" spans="3:67" x14ac:dyDescent="0.25">
      <c r="C431" s="246" t="s">
        <v>1781</v>
      </c>
      <c r="D431" s="246">
        <v>1</v>
      </c>
      <c r="E431" s="246">
        <v>2</v>
      </c>
      <c r="F431" s="246">
        <v>3</v>
      </c>
      <c r="G431" s="246">
        <v>5</v>
      </c>
      <c r="H431" s="246">
        <v>13</v>
      </c>
      <c r="I431" s="246">
        <v>15</v>
      </c>
      <c r="J431" s="246">
        <v>17</v>
      </c>
      <c r="K431" s="246"/>
      <c r="L431" s="246"/>
      <c r="M431" s="246"/>
      <c r="N431" s="246"/>
      <c r="O431" s="246"/>
      <c r="P431" s="246"/>
      <c r="Q431" s="246"/>
      <c r="R431" s="246">
        <f>IFERROR(VLOOKUP(D431,PROGRAMAS[],2,FALSE),0)</f>
        <v>97037803.679377079</v>
      </c>
      <c r="S431" s="246">
        <f>IFERROR(VLOOKUP(E431,PROGRAMAS[],2,FALSE),0)</f>
        <v>640501509.6821388</v>
      </c>
      <c r="T431" s="246">
        <f>IFERROR(VLOOKUP(F431,PROGRAMAS[],2,FALSE),0)</f>
        <v>3062327798.1525245</v>
      </c>
      <c r="U431" s="246">
        <f>IFERROR(VLOOKUP(G431,PROGRAMAS[],2,FALSE),0)</f>
        <v>1440941976.2528784</v>
      </c>
      <c r="V431" s="246">
        <f>IFERROR(VLOOKUP(H431,PROGRAMAS[],2,FALSE),0)</f>
        <v>3776538594.4604583</v>
      </c>
      <c r="W431" s="246">
        <f>IFERROR(VLOOKUP(I431,PROGRAMAS[],2,FALSE),0)</f>
        <v>122159672.96346797</v>
      </c>
      <c r="X431" s="246">
        <f>IFERROR(VLOOKUP(J431,PROGRAMAS[],2,FALSE),0)</f>
        <v>1892779498.5211046</v>
      </c>
      <c r="Y431" s="246">
        <f>IFERROR(VLOOKUP(K431,PROGRAMAS[],2,FALSE),0)</f>
        <v>0</v>
      </c>
      <c r="Z431" s="246">
        <f>IFERROR(VLOOKUP(L431,PROGRAMAS[],2,FALSE),0)</f>
        <v>0</v>
      </c>
      <c r="AA431" s="246">
        <f>IFERROR(VLOOKUP(M431,PROGRAMAS[],2,FALSE),0)</f>
        <v>0</v>
      </c>
      <c r="AB431" s="246">
        <f>IFERROR(VLOOKUP(N431,PROGRAMAS[],2,FALSE),0)</f>
        <v>0</v>
      </c>
      <c r="AC431" s="246">
        <f>IFERROR(VLOOKUP(O431,PROGRAMAS[],2,FALSE),0)</f>
        <v>0</v>
      </c>
      <c r="AD431" s="246">
        <f>IFERROR(VLOOKUP(P431,PROGRAMAS[],2,FALSE),0)</f>
        <v>0</v>
      </c>
      <c r="AE431" s="246">
        <f>IFERROR(VLOOKUP(Q431,PROGRAMAS[],2,FALSE),0)</f>
        <v>0</v>
      </c>
      <c r="AF431" s="246">
        <f>IFERROR(VLOOKUP(D431,PROGRAMAS[],3,FALSE),0)</f>
        <v>841888629.31080008</v>
      </c>
      <c r="AG431" s="246">
        <f>IFERROR(VLOOKUP(E431,PROGRAMAS[],3,FALSE),0)</f>
        <v>3848980803.1642323</v>
      </c>
      <c r="AH431" s="246">
        <f>IFERROR(VLOOKUP(F431,PROGRAMAS[],3,FALSE),0)</f>
        <v>3394901471.387517</v>
      </c>
      <c r="AI431" s="246">
        <f>IFERROR(VLOOKUP(G431,PROGRAMAS[],3,FALSE),0)</f>
        <v>1233505101.0616004</v>
      </c>
      <c r="AJ431" s="246">
        <f>IFERROR(VLOOKUP(H431,PROGRAMAS[],3,FALSE),0)</f>
        <v>2392571243.5584412</v>
      </c>
      <c r="AK431" s="246">
        <f>IFERROR(VLOOKUP(I431,PROGRAMAS[],3,FALSE),0)</f>
        <v>118617452.52510804</v>
      </c>
      <c r="AL431" s="246">
        <f>IFERROR(VLOOKUP(J431,PROGRAMAS[],3,FALSE),0)</f>
        <v>948595847.09039903</v>
      </c>
      <c r="AM431" s="246">
        <f>IFERROR(VLOOKUP(K431,PROGRAMAS[],3,FALSE),0)</f>
        <v>0</v>
      </c>
      <c r="AN431" s="246">
        <f>IFERROR(VLOOKUP(L431,PROGRAMAS[],3,FALSE),0)</f>
        <v>0</v>
      </c>
      <c r="AO431" s="246">
        <f>IFERROR(VLOOKUP(M431,PROGRAMAS[],3,FALSE),0)</f>
        <v>0</v>
      </c>
      <c r="AP431" s="246">
        <f>IFERROR(VLOOKUP(N431,PROGRAMAS[],3,FALSE),0)</f>
        <v>0</v>
      </c>
      <c r="AQ431" s="246">
        <f>IFERROR(VLOOKUP(O431,PROGRAMAS[],3,FALSE),0)</f>
        <v>0</v>
      </c>
      <c r="AR431" s="246">
        <f>IFERROR(VLOOKUP(P431,PROGRAMAS[],3,FALSE),0)</f>
        <v>0</v>
      </c>
      <c r="AS431" s="246">
        <f>IFERROR(VLOOKUP(Q431,PROGRAMAS[],3,FALSE),0)</f>
        <v>0</v>
      </c>
      <c r="AT431" s="246">
        <f>IFERROR(VLOOKUP(D431,VOL_REC[],2,FALSE),0)</f>
        <v>0</v>
      </c>
      <c r="AU431" s="246">
        <f>IFERROR(VLOOKUP(E431,VOL_REC[],2,FALSE),0)</f>
        <v>0</v>
      </c>
      <c r="AV431" s="246">
        <f>IFERROR(VLOOKUP(F431,VOL_REC[],2,FALSE),0)</f>
        <v>11089674.200000001</v>
      </c>
      <c r="AW431" s="246">
        <f>IFERROR(VLOOKUP(G431,VOL_REC[],2,FALSE),0)</f>
        <v>4325103.1812214684</v>
      </c>
      <c r="AX431" s="246">
        <f>IFERROR(VLOOKUP(H431,VOL_REC[],2,FALSE),0)</f>
        <v>663244.80000000016</v>
      </c>
      <c r="AY431" s="246">
        <f>IFERROR(VLOOKUP(I431,VOL_REC[],2,FALSE),0)</f>
        <v>105072</v>
      </c>
      <c r="AZ431" s="246">
        <f>IFERROR(VLOOKUP(J431,VOL_REC[],2,FALSE),0)</f>
        <v>740113.98115702497</v>
      </c>
      <c r="BA431" s="246">
        <f>IFERROR(VLOOKUP(K431,VOL_REC[],2,FALSE),0)</f>
        <v>0</v>
      </c>
      <c r="BB431" s="246">
        <f>IFERROR(VLOOKUP(L431,VOL_REC[],2,FALSE),0)</f>
        <v>0</v>
      </c>
      <c r="BC431" s="246">
        <f>IFERROR(VLOOKUP(M431,VOL_REC[],2,FALSE),0)</f>
        <v>0</v>
      </c>
      <c r="BD431" s="246">
        <f>IFERROR(VLOOKUP(N431,VOL_REC[],2,FALSE),0)</f>
        <v>0</v>
      </c>
      <c r="BE431" s="246">
        <f>IFERROR(VLOOKUP(O431,VOL_REC[],2,FALSE),0)</f>
        <v>0</v>
      </c>
      <c r="BF431" s="246">
        <f>IFERROR(VLOOKUP(P431,VOL_REC[],2,FALSE),0)</f>
        <v>0</v>
      </c>
      <c r="BG431" s="246">
        <f>IFERROR(VLOOKUP(Q431,VOL_REC[],2,FALSE),0)</f>
        <v>0</v>
      </c>
      <c r="BH431" s="1710">
        <f t="shared" si="24"/>
        <v>11032286853.71195</v>
      </c>
      <c r="BI431" s="1710">
        <f t="shared" si="25"/>
        <v>12779060548.098099</v>
      </c>
      <c r="BJ431" s="1711">
        <f t="shared" si="26"/>
        <v>16923208.162378494</v>
      </c>
      <c r="BK431" s="1711">
        <f t="shared" si="27"/>
        <v>0.86330969418200931</v>
      </c>
    </row>
    <row r="432" spans="3:67" x14ac:dyDescent="0.25">
      <c r="C432" s="246" t="s">
        <v>1782</v>
      </c>
      <c r="D432" s="246">
        <v>1</v>
      </c>
      <c r="E432" s="246">
        <v>2</v>
      </c>
      <c r="F432" s="246">
        <v>3</v>
      </c>
      <c r="G432" s="246">
        <v>5</v>
      </c>
      <c r="H432" s="246">
        <v>13</v>
      </c>
      <c r="I432" s="246">
        <v>16</v>
      </c>
      <c r="J432" s="246">
        <v>17</v>
      </c>
      <c r="K432" s="246"/>
      <c r="L432" s="246"/>
      <c r="M432" s="246"/>
      <c r="N432" s="246"/>
      <c r="O432" s="246"/>
      <c r="P432" s="246"/>
      <c r="Q432" s="246"/>
      <c r="R432" s="246">
        <f>IFERROR(VLOOKUP(D432,PROGRAMAS[],2,FALSE),0)</f>
        <v>97037803.679377079</v>
      </c>
      <c r="S432" s="246">
        <f>IFERROR(VLOOKUP(E432,PROGRAMAS[],2,FALSE),0)</f>
        <v>640501509.6821388</v>
      </c>
      <c r="T432" s="246">
        <f>IFERROR(VLOOKUP(F432,PROGRAMAS[],2,FALSE),0)</f>
        <v>3062327798.1525245</v>
      </c>
      <c r="U432" s="246">
        <f>IFERROR(VLOOKUP(G432,PROGRAMAS[],2,FALSE),0)</f>
        <v>1440941976.2528784</v>
      </c>
      <c r="V432" s="246">
        <f>IFERROR(VLOOKUP(H432,PROGRAMAS[],2,FALSE),0)</f>
        <v>3776538594.4604583</v>
      </c>
      <c r="W432" s="246">
        <f>IFERROR(VLOOKUP(I432,PROGRAMAS[],2,FALSE),0)</f>
        <v>7068496961.0436354</v>
      </c>
      <c r="X432" s="246">
        <f>IFERROR(VLOOKUP(J432,PROGRAMAS[],2,FALSE),0)</f>
        <v>1892779498.5211046</v>
      </c>
      <c r="Y432" s="246">
        <f>IFERROR(VLOOKUP(K432,PROGRAMAS[],2,FALSE),0)</f>
        <v>0</v>
      </c>
      <c r="Z432" s="246">
        <f>IFERROR(VLOOKUP(L432,PROGRAMAS[],2,FALSE),0)</f>
        <v>0</v>
      </c>
      <c r="AA432" s="246">
        <f>IFERROR(VLOOKUP(M432,PROGRAMAS[],2,FALSE),0)</f>
        <v>0</v>
      </c>
      <c r="AB432" s="246">
        <f>IFERROR(VLOOKUP(N432,PROGRAMAS[],2,FALSE),0)</f>
        <v>0</v>
      </c>
      <c r="AC432" s="246">
        <f>IFERROR(VLOOKUP(O432,PROGRAMAS[],2,FALSE),0)</f>
        <v>0</v>
      </c>
      <c r="AD432" s="246">
        <f>IFERROR(VLOOKUP(P432,PROGRAMAS[],2,FALSE),0)</f>
        <v>0</v>
      </c>
      <c r="AE432" s="246">
        <f>IFERROR(VLOOKUP(Q432,PROGRAMAS[],2,FALSE),0)</f>
        <v>0</v>
      </c>
      <c r="AF432" s="246">
        <f>IFERROR(VLOOKUP(D432,PROGRAMAS[],3,FALSE),0)</f>
        <v>841888629.31080008</v>
      </c>
      <c r="AG432" s="246">
        <f>IFERROR(VLOOKUP(E432,PROGRAMAS[],3,FALSE),0)</f>
        <v>3848980803.1642323</v>
      </c>
      <c r="AH432" s="246">
        <f>IFERROR(VLOOKUP(F432,PROGRAMAS[],3,FALSE),0)</f>
        <v>3394901471.387517</v>
      </c>
      <c r="AI432" s="246">
        <f>IFERROR(VLOOKUP(G432,PROGRAMAS[],3,FALSE),0)</f>
        <v>1233505101.0616004</v>
      </c>
      <c r="AJ432" s="246">
        <f>IFERROR(VLOOKUP(H432,PROGRAMAS[],3,FALSE),0)</f>
        <v>2392571243.5584412</v>
      </c>
      <c r="AK432" s="246">
        <f>IFERROR(VLOOKUP(I432,PROGRAMAS[],3,FALSE),0)</f>
        <v>2406564599.0319901</v>
      </c>
      <c r="AL432" s="246">
        <f>IFERROR(VLOOKUP(J432,PROGRAMAS[],3,FALSE),0)</f>
        <v>948595847.09039903</v>
      </c>
      <c r="AM432" s="246">
        <f>IFERROR(VLOOKUP(K432,PROGRAMAS[],3,FALSE),0)</f>
        <v>0</v>
      </c>
      <c r="AN432" s="246">
        <f>IFERROR(VLOOKUP(L432,PROGRAMAS[],3,FALSE),0)</f>
        <v>0</v>
      </c>
      <c r="AO432" s="246">
        <f>IFERROR(VLOOKUP(M432,PROGRAMAS[],3,FALSE),0)</f>
        <v>0</v>
      </c>
      <c r="AP432" s="246">
        <f>IFERROR(VLOOKUP(N432,PROGRAMAS[],3,FALSE),0)</f>
        <v>0</v>
      </c>
      <c r="AQ432" s="246">
        <f>IFERROR(VLOOKUP(O432,PROGRAMAS[],3,FALSE),0)</f>
        <v>0</v>
      </c>
      <c r="AR432" s="246">
        <f>IFERROR(VLOOKUP(P432,PROGRAMAS[],3,FALSE),0)</f>
        <v>0</v>
      </c>
      <c r="AS432" s="246">
        <f>IFERROR(VLOOKUP(Q432,PROGRAMAS[],3,FALSE),0)</f>
        <v>0</v>
      </c>
      <c r="AT432" s="246">
        <f>IFERROR(VLOOKUP(D432,VOL_REC[],2,FALSE),0)</f>
        <v>0</v>
      </c>
      <c r="AU432" s="246">
        <f>IFERROR(VLOOKUP(E432,VOL_REC[],2,FALSE),0)</f>
        <v>0</v>
      </c>
      <c r="AV432" s="246">
        <f>IFERROR(VLOOKUP(F432,VOL_REC[],2,FALSE),0)</f>
        <v>11089674.200000001</v>
      </c>
      <c r="AW432" s="246">
        <f>IFERROR(VLOOKUP(G432,VOL_REC[],2,FALSE),0)</f>
        <v>4325103.1812214684</v>
      </c>
      <c r="AX432" s="246">
        <f>IFERROR(VLOOKUP(H432,VOL_REC[],2,FALSE),0)</f>
        <v>663244.80000000016</v>
      </c>
      <c r="AY432" s="246">
        <f>IFERROR(VLOOKUP(I432,VOL_REC[],2,FALSE),0)</f>
        <v>1072354.9981737854</v>
      </c>
      <c r="AZ432" s="246">
        <f>IFERROR(VLOOKUP(J432,VOL_REC[],2,FALSE),0)</f>
        <v>740113.98115702497</v>
      </c>
      <c r="BA432" s="246">
        <f>IFERROR(VLOOKUP(K432,VOL_REC[],2,FALSE),0)</f>
        <v>0</v>
      </c>
      <c r="BB432" s="246">
        <f>IFERROR(VLOOKUP(L432,VOL_REC[],2,FALSE),0)</f>
        <v>0</v>
      </c>
      <c r="BC432" s="246">
        <f>IFERROR(VLOOKUP(M432,VOL_REC[],2,FALSE),0)</f>
        <v>0</v>
      </c>
      <c r="BD432" s="246">
        <f>IFERROR(VLOOKUP(N432,VOL_REC[],2,FALSE),0)</f>
        <v>0</v>
      </c>
      <c r="BE432" s="246">
        <f>IFERROR(VLOOKUP(O432,VOL_REC[],2,FALSE),0)</f>
        <v>0</v>
      </c>
      <c r="BF432" s="246">
        <f>IFERROR(VLOOKUP(P432,VOL_REC[],2,FALSE),0)</f>
        <v>0</v>
      </c>
      <c r="BG432" s="246">
        <f>IFERROR(VLOOKUP(Q432,VOL_REC[],2,FALSE),0)</f>
        <v>0</v>
      </c>
      <c r="BH432" s="1710">
        <f t="shared" si="24"/>
        <v>17978624141.792114</v>
      </c>
      <c r="BI432" s="1710">
        <f t="shared" si="25"/>
        <v>15067007694.60498</v>
      </c>
      <c r="BJ432" s="1711">
        <f t="shared" si="26"/>
        <v>17890491.160552278</v>
      </c>
      <c r="BK432" s="1711">
        <f t="shared" si="27"/>
        <v>1.1932445052264553</v>
      </c>
      <c r="BL432">
        <f>BJ432</f>
        <v>17890491.160552278</v>
      </c>
      <c r="BO432">
        <f>BL432</f>
        <v>17890491.160552278</v>
      </c>
    </row>
    <row r="433" spans="3:67" x14ac:dyDescent="0.25">
      <c r="C433" s="246" t="s">
        <v>1783</v>
      </c>
      <c r="D433" s="246">
        <v>1</v>
      </c>
      <c r="E433" s="246">
        <v>2</v>
      </c>
      <c r="F433" s="246">
        <v>3</v>
      </c>
      <c r="G433" s="246">
        <v>5</v>
      </c>
      <c r="H433" s="246">
        <v>14</v>
      </c>
      <c r="I433" s="246">
        <v>15</v>
      </c>
      <c r="J433" s="246">
        <v>16</v>
      </c>
      <c r="K433" s="246"/>
      <c r="L433" s="246"/>
      <c r="M433" s="246"/>
      <c r="N433" s="246"/>
      <c r="O433" s="246"/>
      <c r="P433" s="246"/>
      <c r="Q433" s="246"/>
      <c r="R433" s="246">
        <f>IFERROR(VLOOKUP(D433,PROGRAMAS[],2,FALSE),0)</f>
        <v>97037803.679377079</v>
      </c>
      <c r="S433" s="246">
        <f>IFERROR(VLOOKUP(E433,PROGRAMAS[],2,FALSE),0)</f>
        <v>640501509.6821388</v>
      </c>
      <c r="T433" s="246">
        <f>IFERROR(VLOOKUP(F433,PROGRAMAS[],2,FALSE),0)</f>
        <v>3062327798.1525245</v>
      </c>
      <c r="U433" s="246">
        <f>IFERROR(VLOOKUP(G433,PROGRAMAS[],2,FALSE),0)</f>
        <v>1440941976.2528784</v>
      </c>
      <c r="V433" s="246">
        <f>IFERROR(VLOOKUP(H433,PROGRAMAS[],2,FALSE),0)</f>
        <v>54223862.645839565</v>
      </c>
      <c r="W433" s="246">
        <f>IFERROR(VLOOKUP(I433,PROGRAMAS[],2,FALSE),0)</f>
        <v>122159672.96346797</v>
      </c>
      <c r="X433" s="246">
        <f>IFERROR(VLOOKUP(J433,PROGRAMAS[],2,FALSE),0)</f>
        <v>7068496961.0436354</v>
      </c>
      <c r="Y433" s="246">
        <f>IFERROR(VLOOKUP(K433,PROGRAMAS[],2,FALSE),0)</f>
        <v>0</v>
      </c>
      <c r="Z433" s="246">
        <f>IFERROR(VLOOKUP(L433,PROGRAMAS[],2,FALSE),0)</f>
        <v>0</v>
      </c>
      <c r="AA433" s="246">
        <f>IFERROR(VLOOKUP(M433,PROGRAMAS[],2,FALSE),0)</f>
        <v>0</v>
      </c>
      <c r="AB433" s="246">
        <f>IFERROR(VLOOKUP(N433,PROGRAMAS[],2,FALSE),0)</f>
        <v>0</v>
      </c>
      <c r="AC433" s="246">
        <f>IFERROR(VLOOKUP(O433,PROGRAMAS[],2,FALSE),0)</f>
        <v>0</v>
      </c>
      <c r="AD433" s="246">
        <f>IFERROR(VLOOKUP(P433,PROGRAMAS[],2,FALSE),0)</f>
        <v>0</v>
      </c>
      <c r="AE433" s="246">
        <f>IFERROR(VLOOKUP(Q433,PROGRAMAS[],2,FALSE),0)</f>
        <v>0</v>
      </c>
      <c r="AF433" s="246">
        <f>IFERROR(VLOOKUP(D433,PROGRAMAS[],3,FALSE),0)</f>
        <v>841888629.31080008</v>
      </c>
      <c r="AG433" s="246">
        <f>IFERROR(VLOOKUP(E433,PROGRAMAS[],3,FALSE),0)</f>
        <v>3848980803.1642323</v>
      </c>
      <c r="AH433" s="246">
        <f>IFERROR(VLOOKUP(F433,PROGRAMAS[],3,FALSE),0)</f>
        <v>3394901471.387517</v>
      </c>
      <c r="AI433" s="246">
        <f>IFERROR(VLOOKUP(G433,PROGRAMAS[],3,FALSE),0)</f>
        <v>1233505101.0616004</v>
      </c>
      <c r="AJ433" s="246">
        <f>IFERROR(VLOOKUP(H433,PROGRAMAS[],3,FALSE),0)</f>
        <v>31865326.38096505</v>
      </c>
      <c r="AK433" s="246">
        <f>IFERROR(VLOOKUP(I433,PROGRAMAS[],3,FALSE),0)</f>
        <v>118617452.52510804</v>
      </c>
      <c r="AL433" s="246">
        <f>IFERROR(VLOOKUP(J433,PROGRAMAS[],3,FALSE),0)</f>
        <v>2406564599.0319901</v>
      </c>
      <c r="AM433" s="246">
        <f>IFERROR(VLOOKUP(K433,PROGRAMAS[],3,FALSE),0)</f>
        <v>0</v>
      </c>
      <c r="AN433" s="246">
        <f>IFERROR(VLOOKUP(L433,PROGRAMAS[],3,FALSE),0)</f>
        <v>0</v>
      </c>
      <c r="AO433" s="246">
        <f>IFERROR(VLOOKUP(M433,PROGRAMAS[],3,FALSE),0)</f>
        <v>0</v>
      </c>
      <c r="AP433" s="246">
        <f>IFERROR(VLOOKUP(N433,PROGRAMAS[],3,FALSE),0)</f>
        <v>0</v>
      </c>
      <c r="AQ433" s="246">
        <f>IFERROR(VLOOKUP(O433,PROGRAMAS[],3,FALSE),0)</f>
        <v>0</v>
      </c>
      <c r="AR433" s="246">
        <f>IFERROR(VLOOKUP(P433,PROGRAMAS[],3,FALSE),0)</f>
        <v>0</v>
      </c>
      <c r="AS433" s="246">
        <f>IFERROR(VLOOKUP(Q433,PROGRAMAS[],3,FALSE),0)</f>
        <v>0</v>
      </c>
      <c r="AT433" s="246">
        <f>IFERROR(VLOOKUP(D433,VOL_REC[],2,FALSE),0)</f>
        <v>0</v>
      </c>
      <c r="AU433" s="246">
        <f>IFERROR(VLOOKUP(E433,VOL_REC[],2,FALSE),0)</f>
        <v>0</v>
      </c>
      <c r="AV433" s="246">
        <f>IFERROR(VLOOKUP(F433,VOL_REC[],2,FALSE),0)</f>
        <v>11089674.200000001</v>
      </c>
      <c r="AW433" s="246">
        <f>IFERROR(VLOOKUP(G433,VOL_REC[],2,FALSE),0)</f>
        <v>4325103.1812214684</v>
      </c>
      <c r="AX433" s="246">
        <f>IFERROR(VLOOKUP(H433,VOL_REC[],2,FALSE),0)</f>
        <v>17074.045034105649</v>
      </c>
      <c r="AY433" s="246">
        <f>IFERROR(VLOOKUP(I433,VOL_REC[],2,FALSE),0)</f>
        <v>105072</v>
      </c>
      <c r="AZ433" s="246">
        <f>IFERROR(VLOOKUP(J433,VOL_REC[],2,FALSE),0)</f>
        <v>1072354.9981737854</v>
      </c>
      <c r="BA433" s="246">
        <f>IFERROR(VLOOKUP(K433,VOL_REC[],2,FALSE),0)</f>
        <v>0</v>
      </c>
      <c r="BB433" s="246">
        <f>IFERROR(VLOOKUP(L433,VOL_REC[],2,FALSE),0)</f>
        <v>0</v>
      </c>
      <c r="BC433" s="246">
        <f>IFERROR(VLOOKUP(M433,VOL_REC[],2,FALSE),0)</f>
        <v>0</v>
      </c>
      <c r="BD433" s="246">
        <f>IFERROR(VLOOKUP(N433,VOL_REC[],2,FALSE),0)</f>
        <v>0</v>
      </c>
      <c r="BE433" s="246">
        <f>IFERROR(VLOOKUP(O433,VOL_REC[],2,FALSE),0)</f>
        <v>0</v>
      </c>
      <c r="BF433" s="246">
        <f>IFERROR(VLOOKUP(P433,VOL_REC[],2,FALSE),0)</f>
        <v>0</v>
      </c>
      <c r="BG433" s="246">
        <f>IFERROR(VLOOKUP(Q433,VOL_REC[],2,FALSE),0)</f>
        <v>0</v>
      </c>
      <c r="BH433" s="1710">
        <f t="shared" si="24"/>
        <v>12485689584.419861</v>
      </c>
      <c r="BI433" s="1710">
        <f t="shared" si="25"/>
        <v>11876323382.862213</v>
      </c>
      <c r="BJ433" s="1711">
        <f t="shared" si="26"/>
        <v>16609278.424429361</v>
      </c>
      <c r="BK433" s="1711">
        <f t="shared" si="27"/>
        <v>1.0513093304984416</v>
      </c>
      <c r="BL433">
        <f>BJ433</f>
        <v>16609278.424429361</v>
      </c>
      <c r="BO433">
        <f>BL433</f>
        <v>16609278.424429361</v>
      </c>
    </row>
    <row r="434" spans="3:67" x14ac:dyDescent="0.25">
      <c r="C434" s="246" t="s">
        <v>1784</v>
      </c>
      <c r="D434" s="246">
        <v>1</v>
      </c>
      <c r="E434" s="246">
        <v>2</v>
      </c>
      <c r="F434" s="246">
        <v>3</v>
      </c>
      <c r="G434" s="246">
        <v>5</v>
      </c>
      <c r="H434" s="246">
        <v>14</v>
      </c>
      <c r="I434" s="246">
        <v>15</v>
      </c>
      <c r="J434" s="246">
        <v>17</v>
      </c>
      <c r="K434" s="246"/>
      <c r="L434" s="246"/>
      <c r="M434" s="246"/>
      <c r="N434" s="246"/>
      <c r="O434" s="246"/>
      <c r="P434" s="246"/>
      <c r="Q434" s="246"/>
      <c r="R434" s="246">
        <f>IFERROR(VLOOKUP(D434,PROGRAMAS[],2,FALSE),0)</f>
        <v>97037803.679377079</v>
      </c>
      <c r="S434" s="246">
        <f>IFERROR(VLOOKUP(E434,PROGRAMAS[],2,FALSE),0)</f>
        <v>640501509.6821388</v>
      </c>
      <c r="T434" s="246">
        <f>IFERROR(VLOOKUP(F434,PROGRAMAS[],2,FALSE),0)</f>
        <v>3062327798.1525245</v>
      </c>
      <c r="U434" s="246">
        <f>IFERROR(VLOOKUP(G434,PROGRAMAS[],2,FALSE),0)</f>
        <v>1440941976.2528784</v>
      </c>
      <c r="V434" s="246">
        <f>IFERROR(VLOOKUP(H434,PROGRAMAS[],2,FALSE),0)</f>
        <v>54223862.645839565</v>
      </c>
      <c r="W434" s="246">
        <f>IFERROR(VLOOKUP(I434,PROGRAMAS[],2,FALSE),0)</f>
        <v>122159672.96346797</v>
      </c>
      <c r="X434" s="246">
        <f>IFERROR(VLOOKUP(J434,PROGRAMAS[],2,FALSE),0)</f>
        <v>1892779498.5211046</v>
      </c>
      <c r="Y434" s="246">
        <f>IFERROR(VLOOKUP(K434,PROGRAMAS[],2,FALSE),0)</f>
        <v>0</v>
      </c>
      <c r="Z434" s="246">
        <f>IFERROR(VLOOKUP(L434,PROGRAMAS[],2,FALSE),0)</f>
        <v>0</v>
      </c>
      <c r="AA434" s="246">
        <f>IFERROR(VLOOKUP(M434,PROGRAMAS[],2,FALSE),0)</f>
        <v>0</v>
      </c>
      <c r="AB434" s="246">
        <f>IFERROR(VLOOKUP(N434,PROGRAMAS[],2,FALSE),0)</f>
        <v>0</v>
      </c>
      <c r="AC434" s="246">
        <f>IFERROR(VLOOKUP(O434,PROGRAMAS[],2,FALSE),0)</f>
        <v>0</v>
      </c>
      <c r="AD434" s="246">
        <f>IFERROR(VLOOKUP(P434,PROGRAMAS[],2,FALSE),0)</f>
        <v>0</v>
      </c>
      <c r="AE434" s="246">
        <f>IFERROR(VLOOKUP(Q434,PROGRAMAS[],2,FALSE),0)</f>
        <v>0</v>
      </c>
      <c r="AF434" s="246">
        <f>IFERROR(VLOOKUP(D434,PROGRAMAS[],3,FALSE),0)</f>
        <v>841888629.31080008</v>
      </c>
      <c r="AG434" s="246">
        <f>IFERROR(VLOOKUP(E434,PROGRAMAS[],3,FALSE),0)</f>
        <v>3848980803.1642323</v>
      </c>
      <c r="AH434" s="246">
        <f>IFERROR(VLOOKUP(F434,PROGRAMAS[],3,FALSE),0)</f>
        <v>3394901471.387517</v>
      </c>
      <c r="AI434" s="246">
        <f>IFERROR(VLOOKUP(G434,PROGRAMAS[],3,FALSE),0)</f>
        <v>1233505101.0616004</v>
      </c>
      <c r="AJ434" s="246">
        <f>IFERROR(VLOOKUP(H434,PROGRAMAS[],3,FALSE),0)</f>
        <v>31865326.38096505</v>
      </c>
      <c r="AK434" s="246">
        <f>IFERROR(VLOOKUP(I434,PROGRAMAS[],3,FALSE),0)</f>
        <v>118617452.52510804</v>
      </c>
      <c r="AL434" s="246">
        <f>IFERROR(VLOOKUP(J434,PROGRAMAS[],3,FALSE),0)</f>
        <v>948595847.09039903</v>
      </c>
      <c r="AM434" s="246">
        <f>IFERROR(VLOOKUP(K434,PROGRAMAS[],3,FALSE),0)</f>
        <v>0</v>
      </c>
      <c r="AN434" s="246">
        <f>IFERROR(VLOOKUP(L434,PROGRAMAS[],3,FALSE),0)</f>
        <v>0</v>
      </c>
      <c r="AO434" s="246">
        <f>IFERROR(VLOOKUP(M434,PROGRAMAS[],3,FALSE),0)</f>
        <v>0</v>
      </c>
      <c r="AP434" s="246">
        <f>IFERROR(VLOOKUP(N434,PROGRAMAS[],3,FALSE),0)</f>
        <v>0</v>
      </c>
      <c r="AQ434" s="246">
        <f>IFERROR(VLOOKUP(O434,PROGRAMAS[],3,FALSE),0)</f>
        <v>0</v>
      </c>
      <c r="AR434" s="246">
        <f>IFERROR(VLOOKUP(P434,PROGRAMAS[],3,FALSE),0)</f>
        <v>0</v>
      </c>
      <c r="AS434" s="246">
        <f>IFERROR(VLOOKUP(Q434,PROGRAMAS[],3,FALSE),0)</f>
        <v>0</v>
      </c>
      <c r="AT434" s="246">
        <f>IFERROR(VLOOKUP(D434,VOL_REC[],2,FALSE),0)</f>
        <v>0</v>
      </c>
      <c r="AU434" s="246">
        <f>IFERROR(VLOOKUP(E434,VOL_REC[],2,FALSE),0)</f>
        <v>0</v>
      </c>
      <c r="AV434" s="246">
        <f>IFERROR(VLOOKUP(F434,VOL_REC[],2,FALSE),0)</f>
        <v>11089674.200000001</v>
      </c>
      <c r="AW434" s="246">
        <f>IFERROR(VLOOKUP(G434,VOL_REC[],2,FALSE),0)</f>
        <v>4325103.1812214684</v>
      </c>
      <c r="AX434" s="246">
        <f>IFERROR(VLOOKUP(H434,VOL_REC[],2,FALSE),0)</f>
        <v>17074.045034105649</v>
      </c>
      <c r="AY434" s="246">
        <f>IFERROR(VLOOKUP(I434,VOL_REC[],2,FALSE),0)</f>
        <v>105072</v>
      </c>
      <c r="AZ434" s="246">
        <f>IFERROR(VLOOKUP(J434,VOL_REC[],2,FALSE),0)</f>
        <v>740113.98115702497</v>
      </c>
      <c r="BA434" s="246">
        <f>IFERROR(VLOOKUP(K434,VOL_REC[],2,FALSE),0)</f>
        <v>0</v>
      </c>
      <c r="BB434" s="246">
        <f>IFERROR(VLOOKUP(L434,VOL_REC[],2,FALSE),0)</f>
        <v>0</v>
      </c>
      <c r="BC434" s="246">
        <f>IFERROR(VLOOKUP(M434,VOL_REC[],2,FALSE),0)</f>
        <v>0</v>
      </c>
      <c r="BD434" s="246">
        <f>IFERROR(VLOOKUP(N434,VOL_REC[],2,FALSE),0)</f>
        <v>0</v>
      </c>
      <c r="BE434" s="246">
        <f>IFERROR(VLOOKUP(O434,VOL_REC[],2,FALSE),0)</f>
        <v>0</v>
      </c>
      <c r="BF434" s="246">
        <f>IFERROR(VLOOKUP(P434,VOL_REC[],2,FALSE),0)</f>
        <v>0</v>
      </c>
      <c r="BG434" s="246">
        <f>IFERROR(VLOOKUP(Q434,VOL_REC[],2,FALSE),0)</f>
        <v>0</v>
      </c>
      <c r="BH434" s="1710">
        <f t="shared" si="24"/>
        <v>7309972121.8973312</v>
      </c>
      <c r="BI434" s="1710">
        <f t="shared" si="25"/>
        <v>10418354630.920622</v>
      </c>
      <c r="BJ434" s="1711">
        <f t="shared" si="26"/>
        <v>16277037.4074126</v>
      </c>
      <c r="BK434" s="1711">
        <f t="shared" si="27"/>
        <v>0.70164362616358578</v>
      </c>
    </row>
    <row r="435" spans="3:67" x14ac:dyDescent="0.25">
      <c r="C435" s="246" t="s">
        <v>1785</v>
      </c>
      <c r="D435" s="246">
        <v>1</v>
      </c>
      <c r="E435" s="246">
        <v>2</v>
      </c>
      <c r="F435" s="246">
        <v>3</v>
      </c>
      <c r="G435" s="246">
        <v>5</v>
      </c>
      <c r="H435" s="246">
        <v>14</v>
      </c>
      <c r="I435" s="246">
        <v>16</v>
      </c>
      <c r="J435" s="246">
        <v>17</v>
      </c>
      <c r="K435" s="246"/>
      <c r="L435" s="246"/>
      <c r="M435" s="246"/>
      <c r="N435" s="246"/>
      <c r="O435" s="246"/>
      <c r="P435" s="246"/>
      <c r="Q435" s="246"/>
      <c r="R435" s="246">
        <f>IFERROR(VLOOKUP(D435,PROGRAMAS[],2,FALSE),0)</f>
        <v>97037803.679377079</v>
      </c>
      <c r="S435" s="246">
        <f>IFERROR(VLOOKUP(E435,PROGRAMAS[],2,FALSE),0)</f>
        <v>640501509.6821388</v>
      </c>
      <c r="T435" s="246">
        <f>IFERROR(VLOOKUP(F435,PROGRAMAS[],2,FALSE),0)</f>
        <v>3062327798.1525245</v>
      </c>
      <c r="U435" s="246">
        <f>IFERROR(VLOOKUP(G435,PROGRAMAS[],2,FALSE),0)</f>
        <v>1440941976.2528784</v>
      </c>
      <c r="V435" s="246">
        <f>IFERROR(VLOOKUP(H435,PROGRAMAS[],2,FALSE),0)</f>
        <v>54223862.645839565</v>
      </c>
      <c r="W435" s="246">
        <f>IFERROR(VLOOKUP(I435,PROGRAMAS[],2,FALSE),0)</f>
        <v>7068496961.0436354</v>
      </c>
      <c r="X435" s="246">
        <f>IFERROR(VLOOKUP(J435,PROGRAMAS[],2,FALSE),0)</f>
        <v>1892779498.5211046</v>
      </c>
      <c r="Y435" s="246">
        <f>IFERROR(VLOOKUP(K435,PROGRAMAS[],2,FALSE),0)</f>
        <v>0</v>
      </c>
      <c r="Z435" s="246">
        <f>IFERROR(VLOOKUP(L435,PROGRAMAS[],2,FALSE),0)</f>
        <v>0</v>
      </c>
      <c r="AA435" s="246">
        <f>IFERROR(VLOOKUP(M435,PROGRAMAS[],2,FALSE),0)</f>
        <v>0</v>
      </c>
      <c r="AB435" s="246">
        <f>IFERROR(VLOOKUP(N435,PROGRAMAS[],2,FALSE),0)</f>
        <v>0</v>
      </c>
      <c r="AC435" s="246">
        <f>IFERROR(VLOOKUP(O435,PROGRAMAS[],2,FALSE),0)</f>
        <v>0</v>
      </c>
      <c r="AD435" s="246">
        <f>IFERROR(VLOOKUP(P435,PROGRAMAS[],2,FALSE),0)</f>
        <v>0</v>
      </c>
      <c r="AE435" s="246">
        <f>IFERROR(VLOOKUP(Q435,PROGRAMAS[],2,FALSE),0)</f>
        <v>0</v>
      </c>
      <c r="AF435" s="246">
        <f>IFERROR(VLOOKUP(D435,PROGRAMAS[],3,FALSE),0)</f>
        <v>841888629.31080008</v>
      </c>
      <c r="AG435" s="246">
        <f>IFERROR(VLOOKUP(E435,PROGRAMAS[],3,FALSE),0)</f>
        <v>3848980803.1642323</v>
      </c>
      <c r="AH435" s="246">
        <f>IFERROR(VLOOKUP(F435,PROGRAMAS[],3,FALSE),0)</f>
        <v>3394901471.387517</v>
      </c>
      <c r="AI435" s="246">
        <f>IFERROR(VLOOKUP(G435,PROGRAMAS[],3,FALSE),0)</f>
        <v>1233505101.0616004</v>
      </c>
      <c r="AJ435" s="246">
        <f>IFERROR(VLOOKUP(H435,PROGRAMAS[],3,FALSE),0)</f>
        <v>31865326.38096505</v>
      </c>
      <c r="AK435" s="246">
        <f>IFERROR(VLOOKUP(I435,PROGRAMAS[],3,FALSE),0)</f>
        <v>2406564599.0319901</v>
      </c>
      <c r="AL435" s="246">
        <f>IFERROR(VLOOKUP(J435,PROGRAMAS[],3,FALSE),0)</f>
        <v>948595847.09039903</v>
      </c>
      <c r="AM435" s="246">
        <f>IFERROR(VLOOKUP(K435,PROGRAMAS[],3,FALSE),0)</f>
        <v>0</v>
      </c>
      <c r="AN435" s="246">
        <f>IFERROR(VLOOKUP(L435,PROGRAMAS[],3,FALSE),0)</f>
        <v>0</v>
      </c>
      <c r="AO435" s="246">
        <f>IFERROR(VLOOKUP(M435,PROGRAMAS[],3,FALSE),0)</f>
        <v>0</v>
      </c>
      <c r="AP435" s="246">
        <f>IFERROR(VLOOKUP(N435,PROGRAMAS[],3,FALSE),0)</f>
        <v>0</v>
      </c>
      <c r="AQ435" s="246">
        <f>IFERROR(VLOOKUP(O435,PROGRAMAS[],3,FALSE),0)</f>
        <v>0</v>
      </c>
      <c r="AR435" s="246">
        <f>IFERROR(VLOOKUP(P435,PROGRAMAS[],3,FALSE),0)</f>
        <v>0</v>
      </c>
      <c r="AS435" s="246">
        <f>IFERROR(VLOOKUP(Q435,PROGRAMAS[],3,FALSE),0)</f>
        <v>0</v>
      </c>
      <c r="AT435" s="246">
        <f>IFERROR(VLOOKUP(D435,VOL_REC[],2,FALSE),0)</f>
        <v>0</v>
      </c>
      <c r="AU435" s="246">
        <f>IFERROR(VLOOKUP(E435,VOL_REC[],2,FALSE),0)</f>
        <v>0</v>
      </c>
      <c r="AV435" s="246">
        <f>IFERROR(VLOOKUP(F435,VOL_REC[],2,FALSE),0)</f>
        <v>11089674.200000001</v>
      </c>
      <c r="AW435" s="246">
        <f>IFERROR(VLOOKUP(G435,VOL_REC[],2,FALSE),0)</f>
        <v>4325103.1812214684</v>
      </c>
      <c r="AX435" s="246">
        <f>IFERROR(VLOOKUP(H435,VOL_REC[],2,FALSE),0)</f>
        <v>17074.045034105649</v>
      </c>
      <c r="AY435" s="246">
        <f>IFERROR(VLOOKUP(I435,VOL_REC[],2,FALSE),0)</f>
        <v>1072354.9981737854</v>
      </c>
      <c r="AZ435" s="246">
        <f>IFERROR(VLOOKUP(J435,VOL_REC[],2,FALSE),0)</f>
        <v>740113.98115702497</v>
      </c>
      <c r="BA435" s="246">
        <f>IFERROR(VLOOKUP(K435,VOL_REC[],2,FALSE),0)</f>
        <v>0</v>
      </c>
      <c r="BB435" s="246">
        <f>IFERROR(VLOOKUP(L435,VOL_REC[],2,FALSE),0)</f>
        <v>0</v>
      </c>
      <c r="BC435" s="246">
        <f>IFERROR(VLOOKUP(M435,VOL_REC[],2,FALSE),0)</f>
        <v>0</v>
      </c>
      <c r="BD435" s="246">
        <f>IFERROR(VLOOKUP(N435,VOL_REC[],2,FALSE),0)</f>
        <v>0</v>
      </c>
      <c r="BE435" s="246">
        <f>IFERROR(VLOOKUP(O435,VOL_REC[],2,FALSE),0)</f>
        <v>0</v>
      </c>
      <c r="BF435" s="246">
        <f>IFERROR(VLOOKUP(P435,VOL_REC[],2,FALSE),0)</f>
        <v>0</v>
      </c>
      <c r="BG435" s="246">
        <f>IFERROR(VLOOKUP(Q435,VOL_REC[],2,FALSE),0)</f>
        <v>0</v>
      </c>
      <c r="BH435" s="1710">
        <f t="shared" si="24"/>
        <v>14256309409.977499</v>
      </c>
      <c r="BI435" s="1710">
        <f t="shared" si="25"/>
        <v>12706301777.427504</v>
      </c>
      <c r="BJ435" s="1711">
        <f t="shared" si="26"/>
        <v>17244320.405586384</v>
      </c>
      <c r="BK435" s="1711">
        <f t="shared" si="27"/>
        <v>1.1219873146176611</v>
      </c>
      <c r="BL435">
        <f>BJ435</f>
        <v>17244320.405586384</v>
      </c>
      <c r="BO435">
        <f>BL435</f>
        <v>17244320.405586384</v>
      </c>
    </row>
    <row r="436" spans="3:67" x14ac:dyDescent="0.25">
      <c r="C436" s="246" t="s">
        <v>1786</v>
      </c>
      <c r="D436" s="246">
        <v>1</v>
      </c>
      <c r="E436" s="246">
        <v>2</v>
      </c>
      <c r="F436" s="246">
        <v>3</v>
      </c>
      <c r="G436" s="246">
        <v>5</v>
      </c>
      <c r="H436" s="246">
        <v>15</v>
      </c>
      <c r="I436" s="246">
        <v>16</v>
      </c>
      <c r="J436" s="246">
        <v>17</v>
      </c>
      <c r="K436" s="246"/>
      <c r="L436" s="246"/>
      <c r="M436" s="246"/>
      <c r="N436" s="246"/>
      <c r="O436" s="246"/>
      <c r="P436" s="246"/>
      <c r="Q436" s="246"/>
      <c r="R436" s="246">
        <f>IFERROR(VLOOKUP(D436,PROGRAMAS[],2,FALSE),0)</f>
        <v>97037803.679377079</v>
      </c>
      <c r="S436" s="246">
        <f>IFERROR(VLOOKUP(E436,PROGRAMAS[],2,FALSE),0)</f>
        <v>640501509.6821388</v>
      </c>
      <c r="T436" s="246">
        <f>IFERROR(VLOOKUP(F436,PROGRAMAS[],2,FALSE),0)</f>
        <v>3062327798.1525245</v>
      </c>
      <c r="U436" s="246">
        <f>IFERROR(VLOOKUP(G436,PROGRAMAS[],2,FALSE),0)</f>
        <v>1440941976.2528784</v>
      </c>
      <c r="V436" s="246">
        <f>IFERROR(VLOOKUP(H436,PROGRAMAS[],2,FALSE),0)</f>
        <v>122159672.96346797</v>
      </c>
      <c r="W436" s="246">
        <f>IFERROR(VLOOKUP(I436,PROGRAMAS[],2,FALSE),0)</f>
        <v>7068496961.0436354</v>
      </c>
      <c r="X436" s="246">
        <f>IFERROR(VLOOKUP(J436,PROGRAMAS[],2,FALSE),0)</f>
        <v>1892779498.5211046</v>
      </c>
      <c r="Y436" s="246">
        <f>IFERROR(VLOOKUP(K436,PROGRAMAS[],2,FALSE),0)</f>
        <v>0</v>
      </c>
      <c r="Z436" s="246">
        <f>IFERROR(VLOOKUP(L436,PROGRAMAS[],2,FALSE),0)</f>
        <v>0</v>
      </c>
      <c r="AA436" s="246">
        <f>IFERROR(VLOOKUP(M436,PROGRAMAS[],2,FALSE),0)</f>
        <v>0</v>
      </c>
      <c r="AB436" s="246">
        <f>IFERROR(VLOOKUP(N436,PROGRAMAS[],2,FALSE),0)</f>
        <v>0</v>
      </c>
      <c r="AC436" s="246">
        <f>IFERROR(VLOOKUP(O436,PROGRAMAS[],2,FALSE),0)</f>
        <v>0</v>
      </c>
      <c r="AD436" s="246">
        <f>IFERROR(VLOOKUP(P436,PROGRAMAS[],2,FALSE),0)</f>
        <v>0</v>
      </c>
      <c r="AE436" s="246">
        <f>IFERROR(VLOOKUP(Q436,PROGRAMAS[],2,FALSE),0)</f>
        <v>0</v>
      </c>
      <c r="AF436" s="246">
        <f>IFERROR(VLOOKUP(D436,PROGRAMAS[],3,FALSE),0)</f>
        <v>841888629.31080008</v>
      </c>
      <c r="AG436" s="246">
        <f>IFERROR(VLOOKUP(E436,PROGRAMAS[],3,FALSE),0)</f>
        <v>3848980803.1642323</v>
      </c>
      <c r="AH436" s="246">
        <f>IFERROR(VLOOKUP(F436,PROGRAMAS[],3,FALSE),0)</f>
        <v>3394901471.387517</v>
      </c>
      <c r="AI436" s="246">
        <f>IFERROR(VLOOKUP(G436,PROGRAMAS[],3,FALSE),0)</f>
        <v>1233505101.0616004</v>
      </c>
      <c r="AJ436" s="246">
        <f>IFERROR(VLOOKUP(H436,PROGRAMAS[],3,FALSE),0)</f>
        <v>118617452.52510804</v>
      </c>
      <c r="AK436" s="246">
        <f>IFERROR(VLOOKUP(I436,PROGRAMAS[],3,FALSE),0)</f>
        <v>2406564599.0319901</v>
      </c>
      <c r="AL436" s="246">
        <f>IFERROR(VLOOKUP(J436,PROGRAMAS[],3,FALSE),0)</f>
        <v>948595847.09039903</v>
      </c>
      <c r="AM436" s="246">
        <f>IFERROR(VLOOKUP(K436,PROGRAMAS[],3,FALSE),0)</f>
        <v>0</v>
      </c>
      <c r="AN436" s="246">
        <f>IFERROR(VLOOKUP(L436,PROGRAMAS[],3,FALSE),0)</f>
        <v>0</v>
      </c>
      <c r="AO436" s="246">
        <f>IFERROR(VLOOKUP(M436,PROGRAMAS[],3,FALSE),0)</f>
        <v>0</v>
      </c>
      <c r="AP436" s="246">
        <f>IFERROR(VLOOKUP(N436,PROGRAMAS[],3,FALSE),0)</f>
        <v>0</v>
      </c>
      <c r="AQ436" s="246">
        <f>IFERROR(VLOOKUP(O436,PROGRAMAS[],3,FALSE),0)</f>
        <v>0</v>
      </c>
      <c r="AR436" s="246">
        <f>IFERROR(VLOOKUP(P436,PROGRAMAS[],3,FALSE),0)</f>
        <v>0</v>
      </c>
      <c r="AS436" s="246">
        <f>IFERROR(VLOOKUP(Q436,PROGRAMAS[],3,FALSE),0)</f>
        <v>0</v>
      </c>
      <c r="AT436" s="246">
        <f>IFERROR(VLOOKUP(D436,VOL_REC[],2,FALSE),0)</f>
        <v>0</v>
      </c>
      <c r="AU436" s="246">
        <f>IFERROR(VLOOKUP(E436,VOL_REC[],2,FALSE),0)</f>
        <v>0</v>
      </c>
      <c r="AV436" s="246">
        <f>IFERROR(VLOOKUP(F436,VOL_REC[],2,FALSE),0)</f>
        <v>11089674.200000001</v>
      </c>
      <c r="AW436" s="246">
        <f>IFERROR(VLOOKUP(G436,VOL_REC[],2,FALSE),0)</f>
        <v>4325103.1812214684</v>
      </c>
      <c r="AX436" s="246">
        <f>IFERROR(VLOOKUP(H436,VOL_REC[],2,FALSE),0)</f>
        <v>105072</v>
      </c>
      <c r="AY436" s="246">
        <f>IFERROR(VLOOKUP(I436,VOL_REC[],2,FALSE),0)</f>
        <v>1072354.9981737854</v>
      </c>
      <c r="AZ436" s="246">
        <f>IFERROR(VLOOKUP(J436,VOL_REC[],2,FALSE),0)</f>
        <v>740113.98115702497</v>
      </c>
      <c r="BA436" s="246">
        <f>IFERROR(VLOOKUP(K436,VOL_REC[],2,FALSE),0)</f>
        <v>0</v>
      </c>
      <c r="BB436" s="246">
        <f>IFERROR(VLOOKUP(L436,VOL_REC[],2,FALSE),0)</f>
        <v>0</v>
      </c>
      <c r="BC436" s="246">
        <f>IFERROR(VLOOKUP(M436,VOL_REC[],2,FALSE),0)</f>
        <v>0</v>
      </c>
      <c r="BD436" s="246">
        <f>IFERROR(VLOOKUP(N436,VOL_REC[],2,FALSE),0)</f>
        <v>0</v>
      </c>
      <c r="BE436" s="246">
        <f>IFERROR(VLOOKUP(O436,VOL_REC[],2,FALSE),0)</f>
        <v>0</v>
      </c>
      <c r="BF436" s="246">
        <f>IFERROR(VLOOKUP(P436,VOL_REC[],2,FALSE),0)</f>
        <v>0</v>
      </c>
      <c r="BG436" s="246">
        <f>IFERROR(VLOOKUP(Q436,VOL_REC[],2,FALSE),0)</f>
        <v>0</v>
      </c>
      <c r="BH436" s="1710">
        <f t="shared" si="24"/>
        <v>14324245220.295126</v>
      </c>
      <c r="BI436" s="1710">
        <f t="shared" si="25"/>
        <v>12793053903.571648</v>
      </c>
      <c r="BJ436" s="1711">
        <f t="shared" si="26"/>
        <v>17332318.360552277</v>
      </c>
      <c r="BK436" s="1711">
        <f t="shared" si="27"/>
        <v>1.1196892726525596</v>
      </c>
      <c r="BL436">
        <f>BJ436</f>
        <v>17332318.360552277</v>
      </c>
      <c r="BO436">
        <f>BL436</f>
        <v>17332318.360552277</v>
      </c>
    </row>
    <row r="437" spans="3:67" x14ac:dyDescent="0.25">
      <c r="C437" s="246" t="s">
        <v>1787</v>
      </c>
      <c r="D437" s="246">
        <v>1</v>
      </c>
      <c r="E437" s="246">
        <v>2</v>
      </c>
      <c r="F437" s="246">
        <v>3</v>
      </c>
      <c r="G437" s="246">
        <v>6</v>
      </c>
      <c r="H437" s="246">
        <v>9</v>
      </c>
      <c r="I437" s="246">
        <v>10</v>
      </c>
      <c r="J437" s="246">
        <v>12</v>
      </c>
      <c r="K437" s="246"/>
      <c r="L437" s="246"/>
      <c r="M437" s="246"/>
      <c r="N437" s="246"/>
      <c r="O437" s="246"/>
      <c r="P437" s="246"/>
      <c r="Q437" s="246"/>
      <c r="R437" s="246">
        <f>IFERROR(VLOOKUP(D437,PROGRAMAS[],2,FALSE),0)</f>
        <v>97037803.679377079</v>
      </c>
      <c r="S437" s="246">
        <f>IFERROR(VLOOKUP(E437,PROGRAMAS[],2,FALSE),0)</f>
        <v>640501509.6821388</v>
      </c>
      <c r="T437" s="246">
        <f>IFERROR(VLOOKUP(F437,PROGRAMAS[],2,FALSE),0)</f>
        <v>3062327798.1525245</v>
      </c>
      <c r="U437" s="246">
        <f>IFERROR(VLOOKUP(G437,PROGRAMAS[],2,FALSE),0)</f>
        <v>6907648435.8447599</v>
      </c>
      <c r="V437" s="246">
        <f>IFERROR(VLOOKUP(H437,PROGRAMAS[],2,FALSE),0)</f>
        <v>6128579952.1618185</v>
      </c>
      <c r="W437" s="246">
        <f>IFERROR(VLOOKUP(I437,PROGRAMAS[],2,FALSE),0)</f>
        <v>4635315027.8751087</v>
      </c>
      <c r="X437" s="246">
        <f>IFERROR(VLOOKUP(J437,PROGRAMAS[],2,FALSE),0)</f>
        <v>764796700.79905891</v>
      </c>
      <c r="Y437" s="246">
        <f>IFERROR(VLOOKUP(K437,PROGRAMAS[],2,FALSE),0)</f>
        <v>0</v>
      </c>
      <c r="Z437" s="246">
        <f>IFERROR(VLOOKUP(L437,PROGRAMAS[],2,FALSE),0)</f>
        <v>0</v>
      </c>
      <c r="AA437" s="246">
        <f>IFERROR(VLOOKUP(M437,PROGRAMAS[],2,FALSE),0)</f>
        <v>0</v>
      </c>
      <c r="AB437" s="246">
        <f>IFERROR(VLOOKUP(N437,PROGRAMAS[],2,FALSE),0)</f>
        <v>0</v>
      </c>
      <c r="AC437" s="246">
        <f>IFERROR(VLOOKUP(O437,PROGRAMAS[],2,FALSE),0)</f>
        <v>0</v>
      </c>
      <c r="AD437" s="246">
        <f>IFERROR(VLOOKUP(P437,PROGRAMAS[],2,FALSE),0)</f>
        <v>0</v>
      </c>
      <c r="AE437" s="246">
        <f>IFERROR(VLOOKUP(Q437,PROGRAMAS[],2,FALSE),0)</f>
        <v>0</v>
      </c>
      <c r="AF437" s="246">
        <f>IFERROR(VLOOKUP(D437,PROGRAMAS[],3,FALSE),0)</f>
        <v>841888629.31080008</v>
      </c>
      <c r="AG437" s="246">
        <f>IFERROR(VLOOKUP(E437,PROGRAMAS[],3,FALSE),0)</f>
        <v>3848980803.1642323</v>
      </c>
      <c r="AH437" s="246">
        <f>IFERROR(VLOOKUP(F437,PROGRAMAS[],3,FALSE),0)</f>
        <v>3394901471.387517</v>
      </c>
      <c r="AI437" s="246">
        <f>IFERROR(VLOOKUP(G437,PROGRAMAS[],3,FALSE),0)</f>
        <v>6129902208.7912121</v>
      </c>
      <c r="AJ437" s="246">
        <f>IFERROR(VLOOKUP(H437,PROGRAMAS[],3,FALSE),0)</f>
        <v>7011279577.519702</v>
      </c>
      <c r="AK437" s="246">
        <f>IFERROR(VLOOKUP(I437,PROGRAMAS[],3,FALSE),0)</f>
        <v>4099471734.9978786</v>
      </c>
      <c r="AL437" s="246">
        <f>IFERROR(VLOOKUP(J437,PROGRAMAS[],3,FALSE),0)</f>
        <v>675517840.109828</v>
      </c>
      <c r="AM437" s="246">
        <f>IFERROR(VLOOKUP(K437,PROGRAMAS[],3,FALSE),0)</f>
        <v>0</v>
      </c>
      <c r="AN437" s="246">
        <f>IFERROR(VLOOKUP(L437,PROGRAMAS[],3,FALSE),0)</f>
        <v>0</v>
      </c>
      <c r="AO437" s="246">
        <f>IFERROR(VLOOKUP(M437,PROGRAMAS[],3,FALSE),0)</f>
        <v>0</v>
      </c>
      <c r="AP437" s="246">
        <f>IFERROR(VLOOKUP(N437,PROGRAMAS[],3,FALSE),0)</f>
        <v>0</v>
      </c>
      <c r="AQ437" s="246">
        <f>IFERROR(VLOOKUP(O437,PROGRAMAS[],3,FALSE),0)</f>
        <v>0</v>
      </c>
      <c r="AR437" s="246">
        <f>IFERROR(VLOOKUP(P437,PROGRAMAS[],3,FALSE),0)</f>
        <v>0</v>
      </c>
      <c r="AS437" s="246">
        <f>IFERROR(VLOOKUP(Q437,PROGRAMAS[],3,FALSE),0)</f>
        <v>0</v>
      </c>
      <c r="AT437" s="246">
        <f>IFERROR(VLOOKUP(D437,VOL_REC[],2,FALSE),0)</f>
        <v>0</v>
      </c>
      <c r="AU437" s="246">
        <f>IFERROR(VLOOKUP(E437,VOL_REC[],2,FALSE),0)</f>
        <v>0</v>
      </c>
      <c r="AV437" s="246">
        <f>IFERROR(VLOOKUP(F437,VOL_REC[],2,FALSE),0)</f>
        <v>11089674.200000001</v>
      </c>
      <c r="AW437" s="246">
        <f>IFERROR(VLOOKUP(G437,VOL_REC[],2,FALSE),0)</f>
        <v>15540036.397699751</v>
      </c>
      <c r="AX437" s="246">
        <f>IFERROR(VLOOKUP(H437,VOL_REC[],2,FALSE),0)</f>
        <v>3761786</v>
      </c>
      <c r="AY437" s="246">
        <f>IFERROR(VLOOKUP(I437,VOL_REC[],2,FALSE),0)</f>
        <v>1812240</v>
      </c>
      <c r="AZ437" s="246">
        <f>IFERROR(VLOOKUP(J437,VOL_REC[],2,FALSE),0)</f>
        <v>240696.79238099116</v>
      </c>
      <c r="BA437" s="246">
        <f>IFERROR(VLOOKUP(K437,VOL_REC[],2,FALSE),0)</f>
        <v>0</v>
      </c>
      <c r="BB437" s="246">
        <f>IFERROR(VLOOKUP(L437,VOL_REC[],2,FALSE),0)</f>
        <v>0</v>
      </c>
      <c r="BC437" s="246">
        <f>IFERROR(VLOOKUP(M437,VOL_REC[],2,FALSE),0)</f>
        <v>0</v>
      </c>
      <c r="BD437" s="246">
        <f>IFERROR(VLOOKUP(N437,VOL_REC[],2,FALSE),0)</f>
        <v>0</v>
      </c>
      <c r="BE437" s="246">
        <f>IFERROR(VLOOKUP(O437,VOL_REC[],2,FALSE),0)</f>
        <v>0</v>
      </c>
      <c r="BF437" s="246">
        <f>IFERROR(VLOOKUP(P437,VOL_REC[],2,FALSE),0)</f>
        <v>0</v>
      </c>
      <c r="BG437" s="246">
        <f>IFERROR(VLOOKUP(Q437,VOL_REC[],2,FALSE),0)</f>
        <v>0</v>
      </c>
      <c r="BH437" s="1710">
        <f t="shared" si="24"/>
        <v>22236207228.194786</v>
      </c>
      <c r="BI437" s="1710">
        <f t="shared" si="25"/>
        <v>26001942265.281174</v>
      </c>
      <c r="BJ437" s="1711">
        <f t="shared" si="26"/>
        <v>32444433.390080746</v>
      </c>
      <c r="BK437" s="1711">
        <f t="shared" si="27"/>
        <v>0.85517485583703701</v>
      </c>
    </row>
    <row r="438" spans="3:67" x14ac:dyDescent="0.25">
      <c r="C438" s="246" t="s">
        <v>1788</v>
      </c>
      <c r="D438" s="246">
        <v>1</v>
      </c>
      <c r="E438" s="246">
        <v>2</v>
      </c>
      <c r="F438" s="246">
        <v>3</v>
      </c>
      <c r="G438" s="246">
        <v>6</v>
      </c>
      <c r="H438" s="246">
        <v>9</v>
      </c>
      <c r="I438" s="246">
        <v>10</v>
      </c>
      <c r="J438" s="246">
        <v>13</v>
      </c>
      <c r="K438" s="246"/>
      <c r="L438" s="246"/>
      <c r="M438" s="246"/>
      <c r="N438" s="246"/>
      <c r="O438" s="246"/>
      <c r="P438" s="246"/>
      <c r="Q438" s="246"/>
      <c r="R438" s="246">
        <f>IFERROR(VLOOKUP(D438,PROGRAMAS[],2,FALSE),0)</f>
        <v>97037803.679377079</v>
      </c>
      <c r="S438" s="246">
        <f>IFERROR(VLOOKUP(E438,PROGRAMAS[],2,FALSE),0)</f>
        <v>640501509.6821388</v>
      </c>
      <c r="T438" s="246">
        <f>IFERROR(VLOOKUP(F438,PROGRAMAS[],2,FALSE),0)</f>
        <v>3062327798.1525245</v>
      </c>
      <c r="U438" s="246">
        <f>IFERROR(VLOOKUP(G438,PROGRAMAS[],2,FALSE),0)</f>
        <v>6907648435.8447599</v>
      </c>
      <c r="V438" s="246">
        <f>IFERROR(VLOOKUP(H438,PROGRAMAS[],2,FALSE),0)</f>
        <v>6128579952.1618185</v>
      </c>
      <c r="W438" s="246">
        <f>IFERROR(VLOOKUP(I438,PROGRAMAS[],2,FALSE),0)</f>
        <v>4635315027.8751087</v>
      </c>
      <c r="X438" s="246">
        <f>IFERROR(VLOOKUP(J438,PROGRAMAS[],2,FALSE),0)</f>
        <v>3776538594.4604583</v>
      </c>
      <c r="Y438" s="246">
        <f>IFERROR(VLOOKUP(K438,PROGRAMAS[],2,FALSE),0)</f>
        <v>0</v>
      </c>
      <c r="Z438" s="246">
        <f>IFERROR(VLOOKUP(L438,PROGRAMAS[],2,FALSE),0)</f>
        <v>0</v>
      </c>
      <c r="AA438" s="246">
        <f>IFERROR(VLOOKUP(M438,PROGRAMAS[],2,FALSE),0)</f>
        <v>0</v>
      </c>
      <c r="AB438" s="246">
        <f>IFERROR(VLOOKUP(N438,PROGRAMAS[],2,FALSE),0)</f>
        <v>0</v>
      </c>
      <c r="AC438" s="246">
        <f>IFERROR(VLOOKUP(O438,PROGRAMAS[],2,FALSE),0)</f>
        <v>0</v>
      </c>
      <c r="AD438" s="246">
        <f>IFERROR(VLOOKUP(P438,PROGRAMAS[],2,FALSE),0)</f>
        <v>0</v>
      </c>
      <c r="AE438" s="246">
        <f>IFERROR(VLOOKUP(Q438,PROGRAMAS[],2,FALSE),0)</f>
        <v>0</v>
      </c>
      <c r="AF438" s="246">
        <f>IFERROR(VLOOKUP(D438,PROGRAMAS[],3,FALSE),0)</f>
        <v>841888629.31080008</v>
      </c>
      <c r="AG438" s="246">
        <f>IFERROR(VLOOKUP(E438,PROGRAMAS[],3,FALSE),0)</f>
        <v>3848980803.1642323</v>
      </c>
      <c r="AH438" s="246">
        <f>IFERROR(VLOOKUP(F438,PROGRAMAS[],3,FALSE),0)</f>
        <v>3394901471.387517</v>
      </c>
      <c r="AI438" s="246">
        <f>IFERROR(VLOOKUP(G438,PROGRAMAS[],3,FALSE),0)</f>
        <v>6129902208.7912121</v>
      </c>
      <c r="AJ438" s="246">
        <f>IFERROR(VLOOKUP(H438,PROGRAMAS[],3,FALSE),0)</f>
        <v>7011279577.519702</v>
      </c>
      <c r="AK438" s="246">
        <f>IFERROR(VLOOKUP(I438,PROGRAMAS[],3,FALSE),0)</f>
        <v>4099471734.9978786</v>
      </c>
      <c r="AL438" s="246">
        <f>IFERROR(VLOOKUP(J438,PROGRAMAS[],3,FALSE),0)</f>
        <v>2392571243.5584412</v>
      </c>
      <c r="AM438" s="246">
        <f>IFERROR(VLOOKUP(K438,PROGRAMAS[],3,FALSE),0)</f>
        <v>0</v>
      </c>
      <c r="AN438" s="246">
        <f>IFERROR(VLOOKUP(L438,PROGRAMAS[],3,FALSE),0)</f>
        <v>0</v>
      </c>
      <c r="AO438" s="246">
        <f>IFERROR(VLOOKUP(M438,PROGRAMAS[],3,FALSE),0)</f>
        <v>0</v>
      </c>
      <c r="AP438" s="246">
        <f>IFERROR(VLOOKUP(N438,PROGRAMAS[],3,FALSE),0)</f>
        <v>0</v>
      </c>
      <c r="AQ438" s="246">
        <f>IFERROR(VLOOKUP(O438,PROGRAMAS[],3,FALSE),0)</f>
        <v>0</v>
      </c>
      <c r="AR438" s="246">
        <f>IFERROR(VLOOKUP(P438,PROGRAMAS[],3,FALSE),0)</f>
        <v>0</v>
      </c>
      <c r="AS438" s="246">
        <f>IFERROR(VLOOKUP(Q438,PROGRAMAS[],3,FALSE),0)</f>
        <v>0</v>
      </c>
      <c r="AT438" s="246">
        <f>IFERROR(VLOOKUP(D438,VOL_REC[],2,FALSE),0)</f>
        <v>0</v>
      </c>
      <c r="AU438" s="246">
        <f>IFERROR(VLOOKUP(E438,VOL_REC[],2,FALSE),0)</f>
        <v>0</v>
      </c>
      <c r="AV438" s="246">
        <f>IFERROR(VLOOKUP(F438,VOL_REC[],2,FALSE),0)</f>
        <v>11089674.200000001</v>
      </c>
      <c r="AW438" s="246">
        <f>IFERROR(VLOOKUP(G438,VOL_REC[],2,FALSE),0)</f>
        <v>15540036.397699751</v>
      </c>
      <c r="AX438" s="246">
        <f>IFERROR(VLOOKUP(H438,VOL_REC[],2,FALSE),0)</f>
        <v>3761786</v>
      </c>
      <c r="AY438" s="246">
        <f>IFERROR(VLOOKUP(I438,VOL_REC[],2,FALSE),0)</f>
        <v>1812240</v>
      </c>
      <c r="AZ438" s="246">
        <f>IFERROR(VLOOKUP(J438,VOL_REC[],2,FALSE),0)</f>
        <v>663244.80000000016</v>
      </c>
      <c r="BA438" s="246">
        <f>IFERROR(VLOOKUP(K438,VOL_REC[],2,FALSE),0)</f>
        <v>0</v>
      </c>
      <c r="BB438" s="246">
        <f>IFERROR(VLOOKUP(L438,VOL_REC[],2,FALSE),0)</f>
        <v>0</v>
      </c>
      <c r="BC438" s="246">
        <f>IFERROR(VLOOKUP(M438,VOL_REC[],2,FALSE),0)</f>
        <v>0</v>
      </c>
      <c r="BD438" s="246">
        <f>IFERROR(VLOOKUP(N438,VOL_REC[],2,FALSE),0)</f>
        <v>0</v>
      </c>
      <c r="BE438" s="246">
        <f>IFERROR(VLOOKUP(O438,VOL_REC[],2,FALSE),0)</f>
        <v>0</v>
      </c>
      <c r="BF438" s="246">
        <f>IFERROR(VLOOKUP(P438,VOL_REC[],2,FALSE),0)</f>
        <v>0</v>
      </c>
      <c r="BG438" s="246">
        <f>IFERROR(VLOOKUP(Q438,VOL_REC[],2,FALSE),0)</f>
        <v>0</v>
      </c>
      <c r="BH438" s="1710">
        <f t="shared" si="24"/>
        <v>25247949121.856186</v>
      </c>
      <c r="BI438" s="1710">
        <f t="shared" si="25"/>
        <v>27718995668.729786</v>
      </c>
      <c r="BJ438" s="1711">
        <f t="shared" si="26"/>
        <v>32866981.397699755</v>
      </c>
      <c r="BK438" s="1711">
        <f t="shared" si="27"/>
        <v>0.91085367679243789</v>
      </c>
    </row>
    <row r="439" spans="3:67" x14ac:dyDescent="0.25">
      <c r="C439" s="246" t="s">
        <v>1789</v>
      </c>
      <c r="D439" s="246">
        <v>1</v>
      </c>
      <c r="E439" s="246">
        <v>2</v>
      </c>
      <c r="F439" s="246">
        <v>3</v>
      </c>
      <c r="G439" s="246">
        <v>6</v>
      </c>
      <c r="H439" s="246">
        <v>9</v>
      </c>
      <c r="I439" s="246">
        <v>10</v>
      </c>
      <c r="J439" s="246">
        <v>14</v>
      </c>
      <c r="K439" s="246"/>
      <c r="L439" s="246"/>
      <c r="M439" s="246"/>
      <c r="N439" s="246"/>
      <c r="O439" s="246"/>
      <c r="P439" s="246"/>
      <c r="Q439" s="246"/>
      <c r="R439" s="246">
        <f>IFERROR(VLOOKUP(D439,PROGRAMAS[],2,FALSE),0)</f>
        <v>97037803.679377079</v>
      </c>
      <c r="S439" s="246">
        <f>IFERROR(VLOOKUP(E439,PROGRAMAS[],2,FALSE),0)</f>
        <v>640501509.6821388</v>
      </c>
      <c r="T439" s="246">
        <f>IFERROR(VLOOKUP(F439,PROGRAMAS[],2,FALSE),0)</f>
        <v>3062327798.1525245</v>
      </c>
      <c r="U439" s="246">
        <f>IFERROR(VLOOKUP(G439,PROGRAMAS[],2,FALSE),0)</f>
        <v>6907648435.8447599</v>
      </c>
      <c r="V439" s="246">
        <f>IFERROR(VLOOKUP(H439,PROGRAMAS[],2,FALSE),0)</f>
        <v>6128579952.1618185</v>
      </c>
      <c r="W439" s="246">
        <f>IFERROR(VLOOKUP(I439,PROGRAMAS[],2,FALSE),0)</f>
        <v>4635315027.8751087</v>
      </c>
      <c r="X439" s="246">
        <f>IFERROR(VLOOKUP(J439,PROGRAMAS[],2,FALSE),0)</f>
        <v>54223862.645839565</v>
      </c>
      <c r="Y439" s="246">
        <f>IFERROR(VLOOKUP(K439,PROGRAMAS[],2,FALSE),0)</f>
        <v>0</v>
      </c>
      <c r="Z439" s="246">
        <f>IFERROR(VLOOKUP(L439,PROGRAMAS[],2,FALSE),0)</f>
        <v>0</v>
      </c>
      <c r="AA439" s="246">
        <f>IFERROR(VLOOKUP(M439,PROGRAMAS[],2,FALSE),0)</f>
        <v>0</v>
      </c>
      <c r="AB439" s="246">
        <f>IFERROR(VLOOKUP(N439,PROGRAMAS[],2,FALSE),0)</f>
        <v>0</v>
      </c>
      <c r="AC439" s="246">
        <f>IFERROR(VLOOKUP(O439,PROGRAMAS[],2,FALSE),0)</f>
        <v>0</v>
      </c>
      <c r="AD439" s="246">
        <f>IFERROR(VLOOKUP(P439,PROGRAMAS[],2,FALSE),0)</f>
        <v>0</v>
      </c>
      <c r="AE439" s="246">
        <f>IFERROR(VLOOKUP(Q439,PROGRAMAS[],2,FALSE),0)</f>
        <v>0</v>
      </c>
      <c r="AF439" s="246">
        <f>IFERROR(VLOOKUP(D439,PROGRAMAS[],3,FALSE),0)</f>
        <v>841888629.31080008</v>
      </c>
      <c r="AG439" s="246">
        <f>IFERROR(VLOOKUP(E439,PROGRAMAS[],3,FALSE),0)</f>
        <v>3848980803.1642323</v>
      </c>
      <c r="AH439" s="246">
        <f>IFERROR(VLOOKUP(F439,PROGRAMAS[],3,FALSE),0)</f>
        <v>3394901471.387517</v>
      </c>
      <c r="AI439" s="246">
        <f>IFERROR(VLOOKUP(G439,PROGRAMAS[],3,FALSE),0)</f>
        <v>6129902208.7912121</v>
      </c>
      <c r="AJ439" s="246">
        <f>IFERROR(VLOOKUP(H439,PROGRAMAS[],3,FALSE),0)</f>
        <v>7011279577.519702</v>
      </c>
      <c r="AK439" s="246">
        <f>IFERROR(VLOOKUP(I439,PROGRAMAS[],3,FALSE),0)</f>
        <v>4099471734.9978786</v>
      </c>
      <c r="AL439" s="246">
        <f>IFERROR(VLOOKUP(J439,PROGRAMAS[],3,FALSE),0)</f>
        <v>31865326.38096505</v>
      </c>
      <c r="AM439" s="246">
        <f>IFERROR(VLOOKUP(K439,PROGRAMAS[],3,FALSE),0)</f>
        <v>0</v>
      </c>
      <c r="AN439" s="246">
        <f>IFERROR(VLOOKUP(L439,PROGRAMAS[],3,FALSE),0)</f>
        <v>0</v>
      </c>
      <c r="AO439" s="246">
        <f>IFERROR(VLOOKUP(M439,PROGRAMAS[],3,FALSE),0)</f>
        <v>0</v>
      </c>
      <c r="AP439" s="246">
        <f>IFERROR(VLOOKUP(N439,PROGRAMAS[],3,FALSE),0)</f>
        <v>0</v>
      </c>
      <c r="AQ439" s="246">
        <f>IFERROR(VLOOKUP(O439,PROGRAMAS[],3,FALSE),0)</f>
        <v>0</v>
      </c>
      <c r="AR439" s="246">
        <f>IFERROR(VLOOKUP(P439,PROGRAMAS[],3,FALSE),0)</f>
        <v>0</v>
      </c>
      <c r="AS439" s="246">
        <f>IFERROR(VLOOKUP(Q439,PROGRAMAS[],3,FALSE),0)</f>
        <v>0</v>
      </c>
      <c r="AT439" s="246">
        <f>IFERROR(VLOOKUP(D439,VOL_REC[],2,FALSE),0)</f>
        <v>0</v>
      </c>
      <c r="AU439" s="246">
        <f>IFERROR(VLOOKUP(E439,VOL_REC[],2,FALSE),0)</f>
        <v>0</v>
      </c>
      <c r="AV439" s="246">
        <f>IFERROR(VLOOKUP(F439,VOL_REC[],2,FALSE),0)</f>
        <v>11089674.200000001</v>
      </c>
      <c r="AW439" s="246">
        <f>IFERROR(VLOOKUP(G439,VOL_REC[],2,FALSE),0)</f>
        <v>15540036.397699751</v>
      </c>
      <c r="AX439" s="246">
        <f>IFERROR(VLOOKUP(H439,VOL_REC[],2,FALSE),0)</f>
        <v>3761786</v>
      </c>
      <c r="AY439" s="246">
        <f>IFERROR(VLOOKUP(I439,VOL_REC[],2,FALSE),0)</f>
        <v>1812240</v>
      </c>
      <c r="AZ439" s="246">
        <f>IFERROR(VLOOKUP(J439,VOL_REC[],2,FALSE),0)</f>
        <v>17074.045034105649</v>
      </c>
      <c r="BA439" s="246">
        <f>IFERROR(VLOOKUP(K439,VOL_REC[],2,FALSE),0)</f>
        <v>0</v>
      </c>
      <c r="BB439" s="246">
        <f>IFERROR(VLOOKUP(L439,VOL_REC[],2,FALSE),0)</f>
        <v>0</v>
      </c>
      <c r="BC439" s="246">
        <f>IFERROR(VLOOKUP(M439,VOL_REC[],2,FALSE),0)</f>
        <v>0</v>
      </c>
      <c r="BD439" s="246">
        <f>IFERROR(VLOOKUP(N439,VOL_REC[],2,FALSE),0)</f>
        <v>0</v>
      </c>
      <c r="BE439" s="246">
        <f>IFERROR(VLOOKUP(O439,VOL_REC[],2,FALSE),0)</f>
        <v>0</v>
      </c>
      <c r="BF439" s="246">
        <f>IFERROR(VLOOKUP(P439,VOL_REC[],2,FALSE),0)</f>
        <v>0</v>
      </c>
      <c r="BG439" s="246">
        <f>IFERROR(VLOOKUP(Q439,VOL_REC[],2,FALSE),0)</f>
        <v>0</v>
      </c>
      <c r="BH439" s="1710">
        <f t="shared" si="24"/>
        <v>21525634390.041569</v>
      </c>
      <c r="BI439" s="1710">
        <f t="shared" si="25"/>
        <v>25358289751.552311</v>
      </c>
      <c r="BJ439" s="1711">
        <f t="shared" si="26"/>
        <v>32220810.642733861</v>
      </c>
      <c r="BK439" s="1711">
        <f t="shared" si="27"/>
        <v>0.84885986401050073</v>
      </c>
    </row>
    <row r="440" spans="3:67" x14ac:dyDescent="0.25">
      <c r="C440" s="246" t="s">
        <v>1790</v>
      </c>
      <c r="D440" s="246">
        <v>1</v>
      </c>
      <c r="E440" s="246">
        <v>2</v>
      </c>
      <c r="F440" s="246">
        <v>3</v>
      </c>
      <c r="G440" s="246">
        <v>6</v>
      </c>
      <c r="H440" s="246">
        <v>9</v>
      </c>
      <c r="I440" s="246">
        <v>10</v>
      </c>
      <c r="J440" s="246">
        <v>15</v>
      </c>
      <c r="K440" s="246"/>
      <c r="L440" s="246"/>
      <c r="M440" s="246"/>
      <c r="N440" s="246"/>
      <c r="O440" s="246"/>
      <c r="P440" s="246"/>
      <c r="Q440" s="246"/>
      <c r="R440" s="246">
        <f>IFERROR(VLOOKUP(D440,PROGRAMAS[],2,FALSE),0)</f>
        <v>97037803.679377079</v>
      </c>
      <c r="S440" s="246">
        <f>IFERROR(VLOOKUP(E440,PROGRAMAS[],2,FALSE),0)</f>
        <v>640501509.6821388</v>
      </c>
      <c r="T440" s="246">
        <f>IFERROR(VLOOKUP(F440,PROGRAMAS[],2,FALSE),0)</f>
        <v>3062327798.1525245</v>
      </c>
      <c r="U440" s="246">
        <f>IFERROR(VLOOKUP(G440,PROGRAMAS[],2,FALSE),0)</f>
        <v>6907648435.8447599</v>
      </c>
      <c r="V440" s="246">
        <f>IFERROR(VLOOKUP(H440,PROGRAMAS[],2,FALSE),0)</f>
        <v>6128579952.1618185</v>
      </c>
      <c r="W440" s="246">
        <f>IFERROR(VLOOKUP(I440,PROGRAMAS[],2,FALSE),0)</f>
        <v>4635315027.8751087</v>
      </c>
      <c r="X440" s="246">
        <f>IFERROR(VLOOKUP(J440,PROGRAMAS[],2,FALSE),0)</f>
        <v>122159672.96346797</v>
      </c>
      <c r="Y440" s="246">
        <f>IFERROR(VLOOKUP(K440,PROGRAMAS[],2,FALSE),0)</f>
        <v>0</v>
      </c>
      <c r="Z440" s="246">
        <f>IFERROR(VLOOKUP(L440,PROGRAMAS[],2,FALSE),0)</f>
        <v>0</v>
      </c>
      <c r="AA440" s="246">
        <f>IFERROR(VLOOKUP(M440,PROGRAMAS[],2,FALSE),0)</f>
        <v>0</v>
      </c>
      <c r="AB440" s="246">
        <f>IFERROR(VLOOKUP(N440,PROGRAMAS[],2,FALSE),0)</f>
        <v>0</v>
      </c>
      <c r="AC440" s="246">
        <f>IFERROR(VLOOKUP(O440,PROGRAMAS[],2,FALSE),0)</f>
        <v>0</v>
      </c>
      <c r="AD440" s="246">
        <f>IFERROR(VLOOKUP(P440,PROGRAMAS[],2,FALSE),0)</f>
        <v>0</v>
      </c>
      <c r="AE440" s="246">
        <f>IFERROR(VLOOKUP(Q440,PROGRAMAS[],2,FALSE),0)</f>
        <v>0</v>
      </c>
      <c r="AF440" s="246">
        <f>IFERROR(VLOOKUP(D440,PROGRAMAS[],3,FALSE),0)</f>
        <v>841888629.31080008</v>
      </c>
      <c r="AG440" s="246">
        <f>IFERROR(VLOOKUP(E440,PROGRAMAS[],3,FALSE),0)</f>
        <v>3848980803.1642323</v>
      </c>
      <c r="AH440" s="246">
        <f>IFERROR(VLOOKUP(F440,PROGRAMAS[],3,FALSE),0)</f>
        <v>3394901471.387517</v>
      </c>
      <c r="AI440" s="246">
        <f>IFERROR(VLOOKUP(G440,PROGRAMAS[],3,FALSE),0)</f>
        <v>6129902208.7912121</v>
      </c>
      <c r="AJ440" s="246">
        <f>IFERROR(VLOOKUP(H440,PROGRAMAS[],3,FALSE),0)</f>
        <v>7011279577.519702</v>
      </c>
      <c r="AK440" s="246">
        <f>IFERROR(VLOOKUP(I440,PROGRAMAS[],3,FALSE),0)</f>
        <v>4099471734.9978786</v>
      </c>
      <c r="AL440" s="246">
        <f>IFERROR(VLOOKUP(J440,PROGRAMAS[],3,FALSE),0)</f>
        <v>118617452.52510804</v>
      </c>
      <c r="AM440" s="246">
        <f>IFERROR(VLOOKUP(K440,PROGRAMAS[],3,FALSE),0)</f>
        <v>0</v>
      </c>
      <c r="AN440" s="246">
        <f>IFERROR(VLOOKUP(L440,PROGRAMAS[],3,FALSE),0)</f>
        <v>0</v>
      </c>
      <c r="AO440" s="246">
        <f>IFERROR(VLOOKUP(M440,PROGRAMAS[],3,FALSE),0)</f>
        <v>0</v>
      </c>
      <c r="AP440" s="246">
        <f>IFERROR(VLOOKUP(N440,PROGRAMAS[],3,FALSE),0)</f>
        <v>0</v>
      </c>
      <c r="AQ440" s="246">
        <f>IFERROR(VLOOKUP(O440,PROGRAMAS[],3,FALSE),0)</f>
        <v>0</v>
      </c>
      <c r="AR440" s="246">
        <f>IFERROR(VLOOKUP(P440,PROGRAMAS[],3,FALSE),0)</f>
        <v>0</v>
      </c>
      <c r="AS440" s="246">
        <f>IFERROR(VLOOKUP(Q440,PROGRAMAS[],3,FALSE),0)</f>
        <v>0</v>
      </c>
      <c r="AT440" s="246">
        <f>IFERROR(VLOOKUP(D440,VOL_REC[],2,FALSE),0)</f>
        <v>0</v>
      </c>
      <c r="AU440" s="246">
        <f>IFERROR(VLOOKUP(E440,VOL_REC[],2,FALSE),0)</f>
        <v>0</v>
      </c>
      <c r="AV440" s="246">
        <f>IFERROR(VLOOKUP(F440,VOL_REC[],2,FALSE),0)</f>
        <v>11089674.200000001</v>
      </c>
      <c r="AW440" s="246">
        <f>IFERROR(VLOOKUP(G440,VOL_REC[],2,FALSE),0)</f>
        <v>15540036.397699751</v>
      </c>
      <c r="AX440" s="246">
        <f>IFERROR(VLOOKUP(H440,VOL_REC[],2,FALSE),0)</f>
        <v>3761786</v>
      </c>
      <c r="AY440" s="246">
        <f>IFERROR(VLOOKUP(I440,VOL_REC[],2,FALSE),0)</f>
        <v>1812240</v>
      </c>
      <c r="AZ440" s="246">
        <f>IFERROR(VLOOKUP(J440,VOL_REC[],2,FALSE),0)</f>
        <v>105072</v>
      </c>
      <c r="BA440" s="246">
        <f>IFERROR(VLOOKUP(K440,VOL_REC[],2,FALSE),0)</f>
        <v>0</v>
      </c>
      <c r="BB440" s="246">
        <f>IFERROR(VLOOKUP(L440,VOL_REC[],2,FALSE),0)</f>
        <v>0</v>
      </c>
      <c r="BC440" s="246">
        <f>IFERROR(VLOOKUP(M440,VOL_REC[],2,FALSE),0)</f>
        <v>0</v>
      </c>
      <c r="BD440" s="246">
        <f>IFERROR(VLOOKUP(N440,VOL_REC[],2,FALSE),0)</f>
        <v>0</v>
      </c>
      <c r="BE440" s="246">
        <f>IFERROR(VLOOKUP(O440,VOL_REC[],2,FALSE),0)</f>
        <v>0</v>
      </c>
      <c r="BF440" s="246">
        <f>IFERROR(VLOOKUP(P440,VOL_REC[],2,FALSE),0)</f>
        <v>0</v>
      </c>
      <c r="BG440" s="246">
        <f>IFERROR(VLOOKUP(Q440,VOL_REC[],2,FALSE),0)</f>
        <v>0</v>
      </c>
      <c r="BH440" s="1710">
        <f t="shared" si="24"/>
        <v>21593570200.359196</v>
      </c>
      <c r="BI440" s="1710">
        <f t="shared" si="25"/>
        <v>25445041877.696453</v>
      </c>
      <c r="BJ440" s="1711">
        <f t="shared" si="26"/>
        <v>32308808.597699754</v>
      </c>
      <c r="BK440" s="1711">
        <f t="shared" si="27"/>
        <v>0.84863567150529162</v>
      </c>
    </row>
    <row r="441" spans="3:67" x14ac:dyDescent="0.25">
      <c r="C441" s="246" t="s">
        <v>1791</v>
      </c>
      <c r="D441" s="246">
        <v>1</v>
      </c>
      <c r="E441" s="246">
        <v>2</v>
      </c>
      <c r="F441" s="246">
        <v>3</v>
      </c>
      <c r="G441" s="246">
        <v>6</v>
      </c>
      <c r="H441" s="246">
        <v>9</v>
      </c>
      <c r="I441" s="246">
        <v>10</v>
      </c>
      <c r="J441" s="246">
        <v>16</v>
      </c>
      <c r="K441" s="246"/>
      <c r="L441" s="246"/>
      <c r="M441" s="246"/>
      <c r="N441" s="246"/>
      <c r="O441" s="246"/>
      <c r="P441" s="246"/>
      <c r="Q441" s="246"/>
      <c r="R441" s="246">
        <f>IFERROR(VLOOKUP(D441,PROGRAMAS[],2,FALSE),0)</f>
        <v>97037803.679377079</v>
      </c>
      <c r="S441" s="246">
        <f>IFERROR(VLOOKUP(E441,PROGRAMAS[],2,FALSE),0)</f>
        <v>640501509.6821388</v>
      </c>
      <c r="T441" s="246">
        <f>IFERROR(VLOOKUP(F441,PROGRAMAS[],2,FALSE),0)</f>
        <v>3062327798.1525245</v>
      </c>
      <c r="U441" s="246">
        <f>IFERROR(VLOOKUP(G441,PROGRAMAS[],2,FALSE),0)</f>
        <v>6907648435.8447599</v>
      </c>
      <c r="V441" s="246">
        <f>IFERROR(VLOOKUP(H441,PROGRAMAS[],2,FALSE),0)</f>
        <v>6128579952.1618185</v>
      </c>
      <c r="W441" s="246">
        <f>IFERROR(VLOOKUP(I441,PROGRAMAS[],2,FALSE),0)</f>
        <v>4635315027.8751087</v>
      </c>
      <c r="X441" s="246">
        <f>IFERROR(VLOOKUP(J441,PROGRAMAS[],2,FALSE),0)</f>
        <v>7068496961.0436354</v>
      </c>
      <c r="Y441" s="246">
        <f>IFERROR(VLOOKUP(K441,PROGRAMAS[],2,FALSE),0)</f>
        <v>0</v>
      </c>
      <c r="Z441" s="246">
        <f>IFERROR(VLOOKUP(L441,PROGRAMAS[],2,FALSE),0)</f>
        <v>0</v>
      </c>
      <c r="AA441" s="246">
        <f>IFERROR(VLOOKUP(M441,PROGRAMAS[],2,FALSE),0)</f>
        <v>0</v>
      </c>
      <c r="AB441" s="246">
        <f>IFERROR(VLOOKUP(N441,PROGRAMAS[],2,FALSE),0)</f>
        <v>0</v>
      </c>
      <c r="AC441" s="246">
        <f>IFERROR(VLOOKUP(O441,PROGRAMAS[],2,FALSE),0)</f>
        <v>0</v>
      </c>
      <c r="AD441" s="246">
        <f>IFERROR(VLOOKUP(P441,PROGRAMAS[],2,FALSE),0)</f>
        <v>0</v>
      </c>
      <c r="AE441" s="246">
        <f>IFERROR(VLOOKUP(Q441,PROGRAMAS[],2,FALSE),0)</f>
        <v>0</v>
      </c>
      <c r="AF441" s="246">
        <f>IFERROR(VLOOKUP(D441,PROGRAMAS[],3,FALSE),0)</f>
        <v>841888629.31080008</v>
      </c>
      <c r="AG441" s="246">
        <f>IFERROR(VLOOKUP(E441,PROGRAMAS[],3,FALSE),0)</f>
        <v>3848980803.1642323</v>
      </c>
      <c r="AH441" s="246">
        <f>IFERROR(VLOOKUP(F441,PROGRAMAS[],3,FALSE),0)</f>
        <v>3394901471.387517</v>
      </c>
      <c r="AI441" s="246">
        <f>IFERROR(VLOOKUP(G441,PROGRAMAS[],3,FALSE),0)</f>
        <v>6129902208.7912121</v>
      </c>
      <c r="AJ441" s="246">
        <f>IFERROR(VLOOKUP(H441,PROGRAMAS[],3,FALSE),0)</f>
        <v>7011279577.519702</v>
      </c>
      <c r="AK441" s="246">
        <f>IFERROR(VLOOKUP(I441,PROGRAMAS[],3,FALSE),0)</f>
        <v>4099471734.9978786</v>
      </c>
      <c r="AL441" s="246">
        <f>IFERROR(VLOOKUP(J441,PROGRAMAS[],3,FALSE),0)</f>
        <v>2406564599.0319901</v>
      </c>
      <c r="AM441" s="246">
        <f>IFERROR(VLOOKUP(K441,PROGRAMAS[],3,FALSE),0)</f>
        <v>0</v>
      </c>
      <c r="AN441" s="246">
        <f>IFERROR(VLOOKUP(L441,PROGRAMAS[],3,FALSE),0)</f>
        <v>0</v>
      </c>
      <c r="AO441" s="246">
        <f>IFERROR(VLOOKUP(M441,PROGRAMAS[],3,FALSE),0)</f>
        <v>0</v>
      </c>
      <c r="AP441" s="246">
        <f>IFERROR(VLOOKUP(N441,PROGRAMAS[],3,FALSE),0)</f>
        <v>0</v>
      </c>
      <c r="AQ441" s="246">
        <f>IFERROR(VLOOKUP(O441,PROGRAMAS[],3,FALSE),0)</f>
        <v>0</v>
      </c>
      <c r="AR441" s="246">
        <f>IFERROR(VLOOKUP(P441,PROGRAMAS[],3,FALSE),0)</f>
        <v>0</v>
      </c>
      <c r="AS441" s="246">
        <f>IFERROR(VLOOKUP(Q441,PROGRAMAS[],3,FALSE),0)</f>
        <v>0</v>
      </c>
      <c r="AT441" s="246">
        <f>IFERROR(VLOOKUP(D441,VOL_REC[],2,FALSE),0)</f>
        <v>0</v>
      </c>
      <c r="AU441" s="246">
        <f>IFERROR(VLOOKUP(E441,VOL_REC[],2,FALSE),0)</f>
        <v>0</v>
      </c>
      <c r="AV441" s="246">
        <f>IFERROR(VLOOKUP(F441,VOL_REC[],2,FALSE),0)</f>
        <v>11089674.200000001</v>
      </c>
      <c r="AW441" s="246">
        <f>IFERROR(VLOOKUP(G441,VOL_REC[],2,FALSE),0)</f>
        <v>15540036.397699751</v>
      </c>
      <c r="AX441" s="246">
        <f>IFERROR(VLOOKUP(H441,VOL_REC[],2,FALSE),0)</f>
        <v>3761786</v>
      </c>
      <c r="AY441" s="246">
        <f>IFERROR(VLOOKUP(I441,VOL_REC[],2,FALSE),0)</f>
        <v>1812240</v>
      </c>
      <c r="AZ441" s="246">
        <f>IFERROR(VLOOKUP(J441,VOL_REC[],2,FALSE),0)</f>
        <v>1072354.9981737854</v>
      </c>
      <c r="BA441" s="246">
        <f>IFERROR(VLOOKUP(K441,VOL_REC[],2,FALSE),0)</f>
        <v>0</v>
      </c>
      <c r="BB441" s="246">
        <f>IFERROR(VLOOKUP(L441,VOL_REC[],2,FALSE),0)</f>
        <v>0</v>
      </c>
      <c r="BC441" s="246">
        <f>IFERROR(VLOOKUP(M441,VOL_REC[],2,FALSE),0)</f>
        <v>0</v>
      </c>
      <c r="BD441" s="246">
        <f>IFERROR(VLOOKUP(N441,VOL_REC[],2,FALSE),0)</f>
        <v>0</v>
      </c>
      <c r="BE441" s="246">
        <f>IFERROR(VLOOKUP(O441,VOL_REC[],2,FALSE),0)</f>
        <v>0</v>
      </c>
      <c r="BF441" s="246">
        <f>IFERROR(VLOOKUP(P441,VOL_REC[],2,FALSE),0)</f>
        <v>0</v>
      </c>
      <c r="BG441" s="246">
        <f>IFERROR(VLOOKUP(Q441,VOL_REC[],2,FALSE),0)</f>
        <v>0</v>
      </c>
      <c r="BH441" s="1710">
        <f t="shared" si="24"/>
        <v>28539907488.439365</v>
      </c>
      <c r="BI441" s="1710">
        <f t="shared" si="25"/>
        <v>27732989024.203335</v>
      </c>
      <c r="BJ441" s="1711">
        <f t="shared" si="26"/>
        <v>33276091.595873538</v>
      </c>
      <c r="BK441" s="1711">
        <f t="shared" si="27"/>
        <v>1.0290959789271834</v>
      </c>
      <c r="BL441">
        <f>BJ441</f>
        <v>33276091.595873538</v>
      </c>
      <c r="BO441">
        <f>BL441</f>
        <v>33276091.595873538</v>
      </c>
    </row>
    <row r="442" spans="3:67" x14ac:dyDescent="0.25">
      <c r="C442" s="246" t="s">
        <v>1792</v>
      </c>
      <c r="D442" s="246">
        <v>1</v>
      </c>
      <c r="E442" s="246">
        <v>2</v>
      </c>
      <c r="F442" s="246">
        <v>3</v>
      </c>
      <c r="G442" s="246">
        <v>6</v>
      </c>
      <c r="H442" s="246">
        <v>9</v>
      </c>
      <c r="I442" s="246">
        <v>10</v>
      </c>
      <c r="J442" s="246">
        <v>17</v>
      </c>
      <c r="K442" s="246"/>
      <c r="L442" s="246"/>
      <c r="M442" s="246"/>
      <c r="N442" s="246"/>
      <c r="O442" s="246"/>
      <c r="P442" s="246"/>
      <c r="Q442" s="246"/>
      <c r="R442" s="246">
        <f>IFERROR(VLOOKUP(D442,PROGRAMAS[],2,FALSE),0)</f>
        <v>97037803.679377079</v>
      </c>
      <c r="S442" s="246">
        <f>IFERROR(VLOOKUP(E442,PROGRAMAS[],2,FALSE),0)</f>
        <v>640501509.6821388</v>
      </c>
      <c r="T442" s="246">
        <f>IFERROR(VLOOKUP(F442,PROGRAMAS[],2,FALSE),0)</f>
        <v>3062327798.1525245</v>
      </c>
      <c r="U442" s="246">
        <f>IFERROR(VLOOKUP(G442,PROGRAMAS[],2,FALSE),0)</f>
        <v>6907648435.8447599</v>
      </c>
      <c r="V442" s="246">
        <f>IFERROR(VLOOKUP(H442,PROGRAMAS[],2,FALSE),0)</f>
        <v>6128579952.1618185</v>
      </c>
      <c r="W442" s="246">
        <f>IFERROR(VLOOKUP(I442,PROGRAMAS[],2,FALSE),0)</f>
        <v>4635315027.8751087</v>
      </c>
      <c r="X442" s="246">
        <f>IFERROR(VLOOKUP(J442,PROGRAMAS[],2,FALSE),0)</f>
        <v>1892779498.5211046</v>
      </c>
      <c r="Y442" s="246">
        <f>IFERROR(VLOOKUP(K442,PROGRAMAS[],2,FALSE),0)</f>
        <v>0</v>
      </c>
      <c r="Z442" s="246">
        <f>IFERROR(VLOOKUP(L442,PROGRAMAS[],2,FALSE),0)</f>
        <v>0</v>
      </c>
      <c r="AA442" s="246">
        <f>IFERROR(VLOOKUP(M442,PROGRAMAS[],2,FALSE),0)</f>
        <v>0</v>
      </c>
      <c r="AB442" s="246">
        <f>IFERROR(VLOOKUP(N442,PROGRAMAS[],2,FALSE),0)</f>
        <v>0</v>
      </c>
      <c r="AC442" s="246">
        <f>IFERROR(VLOOKUP(O442,PROGRAMAS[],2,FALSE),0)</f>
        <v>0</v>
      </c>
      <c r="AD442" s="246">
        <f>IFERROR(VLOOKUP(P442,PROGRAMAS[],2,FALSE),0)</f>
        <v>0</v>
      </c>
      <c r="AE442" s="246">
        <f>IFERROR(VLOOKUP(Q442,PROGRAMAS[],2,FALSE),0)</f>
        <v>0</v>
      </c>
      <c r="AF442" s="246">
        <f>IFERROR(VLOOKUP(D442,PROGRAMAS[],3,FALSE),0)</f>
        <v>841888629.31080008</v>
      </c>
      <c r="AG442" s="246">
        <f>IFERROR(VLOOKUP(E442,PROGRAMAS[],3,FALSE),0)</f>
        <v>3848980803.1642323</v>
      </c>
      <c r="AH442" s="246">
        <f>IFERROR(VLOOKUP(F442,PROGRAMAS[],3,FALSE),0)</f>
        <v>3394901471.387517</v>
      </c>
      <c r="AI442" s="246">
        <f>IFERROR(VLOOKUP(G442,PROGRAMAS[],3,FALSE),0)</f>
        <v>6129902208.7912121</v>
      </c>
      <c r="AJ442" s="246">
        <f>IFERROR(VLOOKUP(H442,PROGRAMAS[],3,FALSE),0)</f>
        <v>7011279577.519702</v>
      </c>
      <c r="AK442" s="246">
        <f>IFERROR(VLOOKUP(I442,PROGRAMAS[],3,FALSE),0)</f>
        <v>4099471734.9978786</v>
      </c>
      <c r="AL442" s="246">
        <f>IFERROR(VLOOKUP(J442,PROGRAMAS[],3,FALSE),0)</f>
        <v>948595847.09039903</v>
      </c>
      <c r="AM442" s="246">
        <f>IFERROR(VLOOKUP(K442,PROGRAMAS[],3,FALSE),0)</f>
        <v>0</v>
      </c>
      <c r="AN442" s="246">
        <f>IFERROR(VLOOKUP(L442,PROGRAMAS[],3,FALSE),0)</f>
        <v>0</v>
      </c>
      <c r="AO442" s="246">
        <f>IFERROR(VLOOKUP(M442,PROGRAMAS[],3,FALSE),0)</f>
        <v>0</v>
      </c>
      <c r="AP442" s="246">
        <f>IFERROR(VLOOKUP(N442,PROGRAMAS[],3,FALSE),0)</f>
        <v>0</v>
      </c>
      <c r="AQ442" s="246">
        <f>IFERROR(VLOOKUP(O442,PROGRAMAS[],3,FALSE),0)</f>
        <v>0</v>
      </c>
      <c r="AR442" s="246">
        <f>IFERROR(VLOOKUP(P442,PROGRAMAS[],3,FALSE),0)</f>
        <v>0</v>
      </c>
      <c r="AS442" s="246">
        <f>IFERROR(VLOOKUP(Q442,PROGRAMAS[],3,FALSE),0)</f>
        <v>0</v>
      </c>
      <c r="AT442" s="246">
        <f>IFERROR(VLOOKUP(D442,VOL_REC[],2,FALSE),0)</f>
        <v>0</v>
      </c>
      <c r="AU442" s="246">
        <f>IFERROR(VLOOKUP(E442,VOL_REC[],2,FALSE),0)</f>
        <v>0</v>
      </c>
      <c r="AV442" s="246">
        <f>IFERROR(VLOOKUP(F442,VOL_REC[],2,FALSE),0)</f>
        <v>11089674.200000001</v>
      </c>
      <c r="AW442" s="246">
        <f>IFERROR(VLOOKUP(G442,VOL_REC[],2,FALSE),0)</f>
        <v>15540036.397699751</v>
      </c>
      <c r="AX442" s="246">
        <f>IFERROR(VLOOKUP(H442,VOL_REC[],2,FALSE),0)</f>
        <v>3761786</v>
      </c>
      <c r="AY442" s="246">
        <f>IFERROR(VLOOKUP(I442,VOL_REC[],2,FALSE),0)</f>
        <v>1812240</v>
      </c>
      <c r="AZ442" s="246">
        <f>IFERROR(VLOOKUP(J442,VOL_REC[],2,FALSE),0)</f>
        <v>740113.98115702497</v>
      </c>
      <c r="BA442" s="246">
        <f>IFERROR(VLOOKUP(K442,VOL_REC[],2,FALSE),0)</f>
        <v>0</v>
      </c>
      <c r="BB442" s="246">
        <f>IFERROR(VLOOKUP(L442,VOL_REC[],2,FALSE),0)</f>
        <v>0</v>
      </c>
      <c r="BC442" s="246">
        <f>IFERROR(VLOOKUP(M442,VOL_REC[],2,FALSE),0)</f>
        <v>0</v>
      </c>
      <c r="BD442" s="246">
        <f>IFERROR(VLOOKUP(N442,VOL_REC[],2,FALSE),0)</f>
        <v>0</v>
      </c>
      <c r="BE442" s="246">
        <f>IFERROR(VLOOKUP(O442,VOL_REC[],2,FALSE),0)</f>
        <v>0</v>
      </c>
      <c r="BF442" s="246">
        <f>IFERROR(VLOOKUP(P442,VOL_REC[],2,FALSE),0)</f>
        <v>0</v>
      </c>
      <c r="BG442" s="246">
        <f>IFERROR(VLOOKUP(Q442,VOL_REC[],2,FALSE),0)</f>
        <v>0</v>
      </c>
      <c r="BH442" s="1710">
        <f t="shared" si="24"/>
        <v>23364190025.916832</v>
      </c>
      <c r="BI442" s="1710">
        <f t="shared" si="25"/>
        <v>26275020272.261745</v>
      </c>
      <c r="BJ442" s="1711">
        <f t="shared" si="26"/>
        <v>32943850.578856777</v>
      </c>
      <c r="BK442" s="1711">
        <f t="shared" si="27"/>
        <v>0.88921682205444974</v>
      </c>
    </row>
    <row r="443" spans="3:67" x14ac:dyDescent="0.25">
      <c r="C443" s="246" t="s">
        <v>1793</v>
      </c>
      <c r="D443" s="246">
        <v>1</v>
      </c>
      <c r="E443" s="246">
        <v>2</v>
      </c>
      <c r="F443" s="246">
        <v>3</v>
      </c>
      <c r="G443" s="246">
        <v>6</v>
      </c>
      <c r="H443" s="246">
        <v>9</v>
      </c>
      <c r="I443" s="246">
        <v>12</v>
      </c>
      <c r="J443" s="246">
        <v>13</v>
      </c>
      <c r="K443" s="246"/>
      <c r="L443" s="246"/>
      <c r="M443" s="246"/>
      <c r="N443" s="246"/>
      <c r="O443" s="246"/>
      <c r="P443" s="246"/>
      <c r="Q443" s="246"/>
      <c r="R443" s="246">
        <f>IFERROR(VLOOKUP(D443,PROGRAMAS[],2,FALSE),0)</f>
        <v>97037803.679377079</v>
      </c>
      <c r="S443" s="246">
        <f>IFERROR(VLOOKUP(E443,PROGRAMAS[],2,FALSE),0)</f>
        <v>640501509.6821388</v>
      </c>
      <c r="T443" s="246">
        <f>IFERROR(VLOOKUP(F443,PROGRAMAS[],2,FALSE),0)</f>
        <v>3062327798.1525245</v>
      </c>
      <c r="U443" s="246">
        <f>IFERROR(VLOOKUP(G443,PROGRAMAS[],2,FALSE),0)</f>
        <v>6907648435.8447599</v>
      </c>
      <c r="V443" s="246">
        <f>IFERROR(VLOOKUP(H443,PROGRAMAS[],2,FALSE),0)</f>
        <v>6128579952.1618185</v>
      </c>
      <c r="W443" s="246">
        <f>IFERROR(VLOOKUP(I443,PROGRAMAS[],2,FALSE),0)</f>
        <v>764796700.79905891</v>
      </c>
      <c r="X443" s="246">
        <f>IFERROR(VLOOKUP(J443,PROGRAMAS[],2,FALSE),0)</f>
        <v>3776538594.4604583</v>
      </c>
      <c r="Y443" s="246">
        <f>IFERROR(VLOOKUP(K443,PROGRAMAS[],2,FALSE),0)</f>
        <v>0</v>
      </c>
      <c r="Z443" s="246">
        <f>IFERROR(VLOOKUP(L443,PROGRAMAS[],2,FALSE),0)</f>
        <v>0</v>
      </c>
      <c r="AA443" s="246">
        <f>IFERROR(VLOOKUP(M443,PROGRAMAS[],2,FALSE),0)</f>
        <v>0</v>
      </c>
      <c r="AB443" s="246">
        <f>IFERROR(VLOOKUP(N443,PROGRAMAS[],2,FALSE),0)</f>
        <v>0</v>
      </c>
      <c r="AC443" s="246">
        <f>IFERROR(VLOOKUP(O443,PROGRAMAS[],2,FALSE),0)</f>
        <v>0</v>
      </c>
      <c r="AD443" s="246">
        <f>IFERROR(VLOOKUP(P443,PROGRAMAS[],2,FALSE),0)</f>
        <v>0</v>
      </c>
      <c r="AE443" s="246">
        <f>IFERROR(VLOOKUP(Q443,PROGRAMAS[],2,FALSE),0)</f>
        <v>0</v>
      </c>
      <c r="AF443" s="246">
        <f>IFERROR(VLOOKUP(D443,PROGRAMAS[],3,FALSE),0)</f>
        <v>841888629.31080008</v>
      </c>
      <c r="AG443" s="246">
        <f>IFERROR(VLOOKUP(E443,PROGRAMAS[],3,FALSE),0)</f>
        <v>3848980803.1642323</v>
      </c>
      <c r="AH443" s="246">
        <f>IFERROR(VLOOKUP(F443,PROGRAMAS[],3,FALSE),0)</f>
        <v>3394901471.387517</v>
      </c>
      <c r="AI443" s="246">
        <f>IFERROR(VLOOKUP(G443,PROGRAMAS[],3,FALSE),0)</f>
        <v>6129902208.7912121</v>
      </c>
      <c r="AJ443" s="246">
        <f>IFERROR(VLOOKUP(H443,PROGRAMAS[],3,FALSE),0)</f>
        <v>7011279577.519702</v>
      </c>
      <c r="AK443" s="246">
        <f>IFERROR(VLOOKUP(I443,PROGRAMAS[],3,FALSE),0)</f>
        <v>675517840.109828</v>
      </c>
      <c r="AL443" s="246">
        <f>IFERROR(VLOOKUP(J443,PROGRAMAS[],3,FALSE),0)</f>
        <v>2392571243.5584412</v>
      </c>
      <c r="AM443" s="246">
        <f>IFERROR(VLOOKUP(K443,PROGRAMAS[],3,FALSE),0)</f>
        <v>0</v>
      </c>
      <c r="AN443" s="246">
        <f>IFERROR(VLOOKUP(L443,PROGRAMAS[],3,FALSE),0)</f>
        <v>0</v>
      </c>
      <c r="AO443" s="246">
        <f>IFERROR(VLOOKUP(M443,PROGRAMAS[],3,FALSE),0)</f>
        <v>0</v>
      </c>
      <c r="AP443" s="246">
        <f>IFERROR(VLOOKUP(N443,PROGRAMAS[],3,FALSE),0)</f>
        <v>0</v>
      </c>
      <c r="AQ443" s="246">
        <f>IFERROR(VLOOKUP(O443,PROGRAMAS[],3,FALSE),0)</f>
        <v>0</v>
      </c>
      <c r="AR443" s="246">
        <f>IFERROR(VLOOKUP(P443,PROGRAMAS[],3,FALSE),0)</f>
        <v>0</v>
      </c>
      <c r="AS443" s="246">
        <f>IFERROR(VLOOKUP(Q443,PROGRAMAS[],3,FALSE),0)</f>
        <v>0</v>
      </c>
      <c r="AT443" s="246">
        <f>IFERROR(VLOOKUP(D443,VOL_REC[],2,FALSE),0)</f>
        <v>0</v>
      </c>
      <c r="AU443" s="246">
        <f>IFERROR(VLOOKUP(E443,VOL_REC[],2,FALSE),0)</f>
        <v>0</v>
      </c>
      <c r="AV443" s="246">
        <f>IFERROR(VLOOKUP(F443,VOL_REC[],2,FALSE),0)</f>
        <v>11089674.200000001</v>
      </c>
      <c r="AW443" s="246">
        <f>IFERROR(VLOOKUP(G443,VOL_REC[],2,FALSE),0)</f>
        <v>15540036.397699751</v>
      </c>
      <c r="AX443" s="246">
        <f>IFERROR(VLOOKUP(H443,VOL_REC[],2,FALSE),0)</f>
        <v>3761786</v>
      </c>
      <c r="AY443" s="246">
        <f>IFERROR(VLOOKUP(I443,VOL_REC[],2,FALSE),0)</f>
        <v>240696.79238099116</v>
      </c>
      <c r="AZ443" s="246">
        <f>IFERROR(VLOOKUP(J443,VOL_REC[],2,FALSE),0)</f>
        <v>663244.80000000016</v>
      </c>
      <c r="BA443" s="246">
        <f>IFERROR(VLOOKUP(K443,VOL_REC[],2,FALSE),0)</f>
        <v>0</v>
      </c>
      <c r="BB443" s="246">
        <f>IFERROR(VLOOKUP(L443,VOL_REC[],2,FALSE),0)</f>
        <v>0</v>
      </c>
      <c r="BC443" s="246">
        <f>IFERROR(VLOOKUP(M443,VOL_REC[],2,FALSE),0)</f>
        <v>0</v>
      </c>
      <c r="BD443" s="246">
        <f>IFERROR(VLOOKUP(N443,VOL_REC[],2,FALSE),0)</f>
        <v>0</v>
      </c>
      <c r="BE443" s="246">
        <f>IFERROR(VLOOKUP(O443,VOL_REC[],2,FALSE),0)</f>
        <v>0</v>
      </c>
      <c r="BF443" s="246">
        <f>IFERROR(VLOOKUP(P443,VOL_REC[],2,FALSE),0)</f>
        <v>0</v>
      </c>
      <c r="BG443" s="246">
        <f>IFERROR(VLOOKUP(Q443,VOL_REC[],2,FALSE),0)</f>
        <v>0</v>
      </c>
      <c r="BH443" s="1710">
        <f t="shared" si="24"/>
        <v>21377430794.780136</v>
      </c>
      <c r="BI443" s="1710">
        <f t="shared" si="25"/>
        <v>24295041773.841736</v>
      </c>
      <c r="BJ443" s="1711">
        <f t="shared" si="26"/>
        <v>31295438.190080747</v>
      </c>
      <c r="BK443" s="1711">
        <f t="shared" si="27"/>
        <v>0.87990920097108183</v>
      </c>
    </row>
    <row r="444" spans="3:67" x14ac:dyDescent="0.25">
      <c r="C444" s="246" t="s">
        <v>1794</v>
      </c>
      <c r="D444" s="246">
        <v>1</v>
      </c>
      <c r="E444" s="246">
        <v>2</v>
      </c>
      <c r="F444" s="246">
        <v>3</v>
      </c>
      <c r="G444" s="246">
        <v>6</v>
      </c>
      <c r="H444" s="246">
        <v>9</v>
      </c>
      <c r="I444" s="246">
        <v>12</v>
      </c>
      <c r="J444" s="246">
        <v>14</v>
      </c>
      <c r="K444" s="246"/>
      <c r="L444" s="246"/>
      <c r="M444" s="246"/>
      <c r="N444" s="246"/>
      <c r="O444" s="246"/>
      <c r="P444" s="246"/>
      <c r="Q444" s="246"/>
      <c r="R444" s="246">
        <f>IFERROR(VLOOKUP(D444,PROGRAMAS[],2,FALSE),0)</f>
        <v>97037803.679377079</v>
      </c>
      <c r="S444" s="246">
        <f>IFERROR(VLOOKUP(E444,PROGRAMAS[],2,FALSE),0)</f>
        <v>640501509.6821388</v>
      </c>
      <c r="T444" s="246">
        <f>IFERROR(VLOOKUP(F444,PROGRAMAS[],2,FALSE),0)</f>
        <v>3062327798.1525245</v>
      </c>
      <c r="U444" s="246">
        <f>IFERROR(VLOOKUP(G444,PROGRAMAS[],2,FALSE),0)</f>
        <v>6907648435.8447599</v>
      </c>
      <c r="V444" s="246">
        <f>IFERROR(VLOOKUP(H444,PROGRAMAS[],2,FALSE),0)</f>
        <v>6128579952.1618185</v>
      </c>
      <c r="W444" s="246">
        <f>IFERROR(VLOOKUP(I444,PROGRAMAS[],2,FALSE),0)</f>
        <v>764796700.79905891</v>
      </c>
      <c r="X444" s="246">
        <f>IFERROR(VLOOKUP(J444,PROGRAMAS[],2,FALSE),0)</f>
        <v>54223862.645839565</v>
      </c>
      <c r="Y444" s="246">
        <f>IFERROR(VLOOKUP(K444,PROGRAMAS[],2,FALSE),0)</f>
        <v>0</v>
      </c>
      <c r="Z444" s="246">
        <f>IFERROR(VLOOKUP(L444,PROGRAMAS[],2,FALSE),0)</f>
        <v>0</v>
      </c>
      <c r="AA444" s="246">
        <f>IFERROR(VLOOKUP(M444,PROGRAMAS[],2,FALSE),0)</f>
        <v>0</v>
      </c>
      <c r="AB444" s="246">
        <f>IFERROR(VLOOKUP(N444,PROGRAMAS[],2,FALSE),0)</f>
        <v>0</v>
      </c>
      <c r="AC444" s="246">
        <f>IFERROR(VLOOKUP(O444,PROGRAMAS[],2,FALSE),0)</f>
        <v>0</v>
      </c>
      <c r="AD444" s="246">
        <f>IFERROR(VLOOKUP(P444,PROGRAMAS[],2,FALSE),0)</f>
        <v>0</v>
      </c>
      <c r="AE444" s="246">
        <f>IFERROR(VLOOKUP(Q444,PROGRAMAS[],2,FALSE),0)</f>
        <v>0</v>
      </c>
      <c r="AF444" s="246">
        <f>IFERROR(VLOOKUP(D444,PROGRAMAS[],3,FALSE),0)</f>
        <v>841888629.31080008</v>
      </c>
      <c r="AG444" s="246">
        <f>IFERROR(VLOOKUP(E444,PROGRAMAS[],3,FALSE),0)</f>
        <v>3848980803.1642323</v>
      </c>
      <c r="AH444" s="246">
        <f>IFERROR(VLOOKUP(F444,PROGRAMAS[],3,FALSE),0)</f>
        <v>3394901471.387517</v>
      </c>
      <c r="AI444" s="246">
        <f>IFERROR(VLOOKUP(G444,PROGRAMAS[],3,FALSE),0)</f>
        <v>6129902208.7912121</v>
      </c>
      <c r="AJ444" s="246">
        <f>IFERROR(VLOOKUP(H444,PROGRAMAS[],3,FALSE),0)</f>
        <v>7011279577.519702</v>
      </c>
      <c r="AK444" s="246">
        <f>IFERROR(VLOOKUP(I444,PROGRAMAS[],3,FALSE),0)</f>
        <v>675517840.109828</v>
      </c>
      <c r="AL444" s="246">
        <f>IFERROR(VLOOKUP(J444,PROGRAMAS[],3,FALSE),0)</f>
        <v>31865326.38096505</v>
      </c>
      <c r="AM444" s="246">
        <f>IFERROR(VLOOKUP(K444,PROGRAMAS[],3,FALSE),0)</f>
        <v>0</v>
      </c>
      <c r="AN444" s="246">
        <f>IFERROR(VLOOKUP(L444,PROGRAMAS[],3,FALSE),0)</f>
        <v>0</v>
      </c>
      <c r="AO444" s="246">
        <f>IFERROR(VLOOKUP(M444,PROGRAMAS[],3,FALSE),0)</f>
        <v>0</v>
      </c>
      <c r="AP444" s="246">
        <f>IFERROR(VLOOKUP(N444,PROGRAMAS[],3,FALSE),0)</f>
        <v>0</v>
      </c>
      <c r="AQ444" s="246">
        <f>IFERROR(VLOOKUP(O444,PROGRAMAS[],3,FALSE),0)</f>
        <v>0</v>
      </c>
      <c r="AR444" s="246">
        <f>IFERROR(VLOOKUP(P444,PROGRAMAS[],3,FALSE),0)</f>
        <v>0</v>
      </c>
      <c r="AS444" s="246">
        <f>IFERROR(VLOOKUP(Q444,PROGRAMAS[],3,FALSE),0)</f>
        <v>0</v>
      </c>
      <c r="AT444" s="246">
        <f>IFERROR(VLOOKUP(D444,VOL_REC[],2,FALSE),0)</f>
        <v>0</v>
      </c>
      <c r="AU444" s="246">
        <f>IFERROR(VLOOKUP(E444,VOL_REC[],2,FALSE),0)</f>
        <v>0</v>
      </c>
      <c r="AV444" s="246">
        <f>IFERROR(VLOOKUP(F444,VOL_REC[],2,FALSE),0)</f>
        <v>11089674.200000001</v>
      </c>
      <c r="AW444" s="246">
        <f>IFERROR(VLOOKUP(G444,VOL_REC[],2,FALSE),0)</f>
        <v>15540036.397699751</v>
      </c>
      <c r="AX444" s="246">
        <f>IFERROR(VLOOKUP(H444,VOL_REC[],2,FALSE),0)</f>
        <v>3761786</v>
      </c>
      <c r="AY444" s="246">
        <f>IFERROR(VLOOKUP(I444,VOL_REC[],2,FALSE),0)</f>
        <v>240696.79238099116</v>
      </c>
      <c r="AZ444" s="246">
        <f>IFERROR(VLOOKUP(J444,VOL_REC[],2,FALSE),0)</f>
        <v>17074.045034105649</v>
      </c>
      <c r="BA444" s="246">
        <f>IFERROR(VLOOKUP(K444,VOL_REC[],2,FALSE),0)</f>
        <v>0</v>
      </c>
      <c r="BB444" s="246">
        <f>IFERROR(VLOOKUP(L444,VOL_REC[],2,FALSE),0)</f>
        <v>0</v>
      </c>
      <c r="BC444" s="246">
        <f>IFERROR(VLOOKUP(M444,VOL_REC[],2,FALSE),0)</f>
        <v>0</v>
      </c>
      <c r="BD444" s="246">
        <f>IFERROR(VLOOKUP(N444,VOL_REC[],2,FALSE),0)</f>
        <v>0</v>
      </c>
      <c r="BE444" s="246">
        <f>IFERROR(VLOOKUP(O444,VOL_REC[],2,FALSE),0)</f>
        <v>0</v>
      </c>
      <c r="BF444" s="246">
        <f>IFERROR(VLOOKUP(P444,VOL_REC[],2,FALSE),0)</f>
        <v>0</v>
      </c>
      <c r="BG444" s="246">
        <f>IFERROR(VLOOKUP(Q444,VOL_REC[],2,FALSE),0)</f>
        <v>0</v>
      </c>
      <c r="BH444" s="1710">
        <f t="shared" si="24"/>
        <v>17655116062.965519</v>
      </c>
      <c r="BI444" s="1710">
        <f t="shared" si="25"/>
        <v>21934335856.664261</v>
      </c>
      <c r="BJ444" s="1711">
        <f t="shared" si="26"/>
        <v>30649267.435114853</v>
      </c>
      <c r="BK444" s="1711">
        <f t="shared" si="27"/>
        <v>0.80490771083006851</v>
      </c>
    </row>
    <row r="445" spans="3:67" x14ac:dyDescent="0.25">
      <c r="C445" s="246" t="s">
        <v>1795</v>
      </c>
      <c r="D445" s="246">
        <v>1</v>
      </c>
      <c r="E445" s="246">
        <v>2</v>
      </c>
      <c r="F445" s="246">
        <v>3</v>
      </c>
      <c r="G445" s="246">
        <v>6</v>
      </c>
      <c r="H445" s="246">
        <v>9</v>
      </c>
      <c r="I445" s="246">
        <v>12</v>
      </c>
      <c r="J445" s="246">
        <v>15</v>
      </c>
      <c r="K445" s="246"/>
      <c r="L445" s="246"/>
      <c r="M445" s="246"/>
      <c r="N445" s="246"/>
      <c r="O445" s="246"/>
      <c r="P445" s="246"/>
      <c r="Q445" s="246"/>
      <c r="R445" s="246">
        <f>IFERROR(VLOOKUP(D445,PROGRAMAS[],2,FALSE),0)</f>
        <v>97037803.679377079</v>
      </c>
      <c r="S445" s="246">
        <f>IFERROR(VLOOKUP(E445,PROGRAMAS[],2,FALSE),0)</f>
        <v>640501509.6821388</v>
      </c>
      <c r="T445" s="246">
        <f>IFERROR(VLOOKUP(F445,PROGRAMAS[],2,FALSE),0)</f>
        <v>3062327798.1525245</v>
      </c>
      <c r="U445" s="246">
        <f>IFERROR(VLOOKUP(G445,PROGRAMAS[],2,FALSE),0)</f>
        <v>6907648435.8447599</v>
      </c>
      <c r="V445" s="246">
        <f>IFERROR(VLOOKUP(H445,PROGRAMAS[],2,FALSE),0)</f>
        <v>6128579952.1618185</v>
      </c>
      <c r="W445" s="246">
        <f>IFERROR(VLOOKUP(I445,PROGRAMAS[],2,FALSE),0)</f>
        <v>764796700.79905891</v>
      </c>
      <c r="X445" s="246">
        <f>IFERROR(VLOOKUP(J445,PROGRAMAS[],2,FALSE),0)</f>
        <v>122159672.96346797</v>
      </c>
      <c r="Y445" s="246">
        <f>IFERROR(VLOOKUP(K445,PROGRAMAS[],2,FALSE),0)</f>
        <v>0</v>
      </c>
      <c r="Z445" s="246">
        <f>IFERROR(VLOOKUP(L445,PROGRAMAS[],2,FALSE),0)</f>
        <v>0</v>
      </c>
      <c r="AA445" s="246">
        <f>IFERROR(VLOOKUP(M445,PROGRAMAS[],2,FALSE),0)</f>
        <v>0</v>
      </c>
      <c r="AB445" s="246">
        <f>IFERROR(VLOOKUP(N445,PROGRAMAS[],2,FALSE),0)</f>
        <v>0</v>
      </c>
      <c r="AC445" s="246">
        <f>IFERROR(VLOOKUP(O445,PROGRAMAS[],2,FALSE),0)</f>
        <v>0</v>
      </c>
      <c r="AD445" s="246">
        <f>IFERROR(VLOOKUP(P445,PROGRAMAS[],2,FALSE),0)</f>
        <v>0</v>
      </c>
      <c r="AE445" s="246">
        <f>IFERROR(VLOOKUP(Q445,PROGRAMAS[],2,FALSE),0)</f>
        <v>0</v>
      </c>
      <c r="AF445" s="246">
        <f>IFERROR(VLOOKUP(D445,PROGRAMAS[],3,FALSE),0)</f>
        <v>841888629.31080008</v>
      </c>
      <c r="AG445" s="246">
        <f>IFERROR(VLOOKUP(E445,PROGRAMAS[],3,FALSE),0)</f>
        <v>3848980803.1642323</v>
      </c>
      <c r="AH445" s="246">
        <f>IFERROR(VLOOKUP(F445,PROGRAMAS[],3,FALSE),0)</f>
        <v>3394901471.387517</v>
      </c>
      <c r="AI445" s="246">
        <f>IFERROR(VLOOKUP(G445,PROGRAMAS[],3,FALSE),0)</f>
        <v>6129902208.7912121</v>
      </c>
      <c r="AJ445" s="246">
        <f>IFERROR(VLOOKUP(H445,PROGRAMAS[],3,FALSE),0)</f>
        <v>7011279577.519702</v>
      </c>
      <c r="AK445" s="246">
        <f>IFERROR(VLOOKUP(I445,PROGRAMAS[],3,FALSE),0)</f>
        <v>675517840.109828</v>
      </c>
      <c r="AL445" s="246">
        <f>IFERROR(VLOOKUP(J445,PROGRAMAS[],3,FALSE),0)</f>
        <v>118617452.52510804</v>
      </c>
      <c r="AM445" s="246">
        <f>IFERROR(VLOOKUP(K445,PROGRAMAS[],3,FALSE),0)</f>
        <v>0</v>
      </c>
      <c r="AN445" s="246">
        <f>IFERROR(VLOOKUP(L445,PROGRAMAS[],3,FALSE),0)</f>
        <v>0</v>
      </c>
      <c r="AO445" s="246">
        <f>IFERROR(VLOOKUP(M445,PROGRAMAS[],3,FALSE),0)</f>
        <v>0</v>
      </c>
      <c r="AP445" s="246">
        <f>IFERROR(VLOOKUP(N445,PROGRAMAS[],3,FALSE),0)</f>
        <v>0</v>
      </c>
      <c r="AQ445" s="246">
        <f>IFERROR(VLOOKUP(O445,PROGRAMAS[],3,FALSE),0)</f>
        <v>0</v>
      </c>
      <c r="AR445" s="246">
        <f>IFERROR(VLOOKUP(P445,PROGRAMAS[],3,FALSE),0)</f>
        <v>0</v>
      </c>
      <c r="AS445" s="246">
        <f>IFERROR(VLOOKUP(Q445,PROGRAMAS[],3,FALSE),0)</f>
        <v>0</v>
      </c>
      <c r="AT445" s="246">
        <f>IFERROR(VLOOKUP(D445,VOL_REC[],2,FALSE),0)</f>
        <v>0</v>
      </c>
      <c r="AU445" s="246">
        <f>IFERROR(VLOOKUP(E445,VOL_REC[],2,FALSE),0)</f>
        <v>0</v>
      </c>
      <c r="AV445" s="246">
        <f>IFERROR(VLOOKUP(F445,VOL_REC[],2,FALSE),0)</f>
        <v>11089674.200000001</v>
      </c>
      <c r="AW445" s="246">
        <f>IFERROR(VLOOKUP(G445,VOL_REC[],2,FALSE),0)</f>
        <v>15540036.397699751</v>
      </c>
      <c r="AX445" s="246">
        <f>IFERROR(VLOOKUP(H445,VOL_REC[],2,FALSE),0)</f>
        <v>3761786</v>
      </c>
      <c r="AY445" s="246">
        <f>IFERROR(VLOOKUP(I445,VOL_REC[],2,FALSE),0)</f>
        <v>240696.79238099116</v>
      </c>
      <c r="AZ445" s="246">
        <f>IFERROR(VLOOKUP(J445,VOL_REC[],2,FALSE),0)</f>
        <v>105072</v>
      </c>
      <c r="BA445" s="246">
        <f>IFERROR(VLOOKUP(K445,VOL_REC[],2,FALSE),0)</f>
        <v>0</v>
      </c>
      <c r="BB445" s="246">
        <f>IFERROR(VLOOKUP(L445,VOL_REC[],2,FALSE),0)</f>
        <v>0</v>
      </c>
      <c r="BC445" s="246">
        <f>IFERROR(VLOOKUP(M445,VOL_REC[],2,FALSE),0)</f>
        <v>0</v>
      </c>
      <c r="BD445" s="246">
        <f>IFERROR(VLOOKUP(N445,VOL_REC[],2,FALSE),0)</f>
        <v>0</v>
      </c>
      <c r="BE445" s="246">
        <f>IFERROR(VLOOKUP(O445,VOL_REC[],2,FALSE),0)</f>
        <v>0</v>
      </c>
      <c r="BF445" s="246">
        <f>IFERROR(VLOOKUP(P445,VOL_REC[],2,FALSE),0)</f>
        <v>0</v>
      </c>
      <c r="BG445" s="246">
        <f>IFERROR(VLOOKUP(Q445,VOL_REC[],2,FALSE),0)</f>
        <v>0</v>
      </c>
      <c r="BH445" s="1710">
        <f t="shared" si="24"/>
        <v>17723051873.283146</v>
      </c>
      <c r="BI445" s="1710">
        <f t="shared" si="25"/>
        <v>22021087982.808403</v>
      </c>
      <c r="BJ445" s="1711">
        <f t="shared" si="26"/>
        <v>30737265.390080746</v>
      </c>
      <c r="BK445" s="1711">
        <f t="shared" si="27"/>
        <v>0.80482180930930014</v>
      </c>
    </row>
    <row r="446" spans="3:67" x14ac:dyDescent="0.25">
      <c r="C446" s="246" t="s">
        <v>1796</v>
      </c>
      <c r="D446" s="246">
        <v>1</v>
      </c>
      <c r="E446" s="246">
        <v>2</v>
      </c>
      <c r="F446" s="246">
        <v>3</v>
      </c>
      <c r="G446" s="246">
        <v>6</v>
      </c>
      <c r="H446" s="246">
        <v>9</v>
      </c>
      <c r="I446" s="246">
        <v>12</v>
      </c>
      <c r="J446" s="246">
        <v>16</v>
      </c>
      <c r="K446" s="246"/>
      <c r="L446" s="246"/>
      <c r="M446" s="246"/>
      <c r="N446" s="246"/>
      <c r="O446" s="246"/>
      <c r="P446" s="246"/>
      <c r="Q446" s="246"/>
      <c r="R446" s="246">
        <f>IFERROR(VLOOKUP(D446,PROGRAMAS[],2,FALSE),0)</f>
        <v>97037803.679377079</v>
      </c>
      <c r="S446" s="246">
        <f>IFERROR(VLOOKUP(E446,PROGRAMAS[],2,FALSE),0)</f>
        <v>640501509.6821388</v>
      </c>
      <c r="T446" s="246">
        <f>IFERROR(VLOOKUP(F446,PROGRAMAS[],2,FALSE),0)</f>
        <v>3062327798.1525245</v>
      </c>
      <c r="U446" s="246">
        <f>IFERROR(VLOOKUP(G446,PROGRAMAS[],2,FALSE),0)</f>
        <v>6907648435.8447599</v>
      </c>
      <c r="V446" s="246">
        <f>IFERROR(VLOOKUP(H446,PROGRAMAS[],2,FALSE),0)</f>
        <v>6128579952.1618185</v>
      </c>
      <c r="W446" s="246">
        <f>IFERROR(VLOOKUP(I446,PROGRAMAS[],2,FALSE),0)</f>
        <v>764796700.79905891</v>
      </c>
      <c r="X446" s="246">
        <f>IFERROR(VLOOKUP(J446,PROGRAMAS[],2,FALSE),0)</f>
        <v>7068496961.0436354</v>
      </c>
      <c r="Y446" s="246">
        <f>IFERROR(VLOOKUP(K446,PROGRAMAS[],2,FALSE),0)</f>
        <v>0</v>
      </c>
      <c r="Z446" s="246">
        <f>IFERROR(VLOOKUP(L446,PROGRAMAS[],2,FALSE),0)</f>
        <v>0</v>
      </c>
      <c r="AA446" s="246">
        <f>IFERROR(VLOOKUP(M446,PROGRAMAS[],2,FALSE),0)</f>
        <v>0</v>
      </c>
      <c r="AB446" s="246">
        <f>IFERROR(VLOOKUP(N446,PROGRAMAS[],2,FALSE),0)</f>
        <v>0</v>
      </c>
      <c r="AC446" s="246">
        <f>IFERROR(VLOOKUP(O446,PROGRAMAS[],2,FALSE),0)</f>
        <v>0</v>
      </c>
      <c r="AD446" s="246">
        <f>IFERROR(VLOOKUP(P446,PROGRAMAS[],2,FALSE),0)</f>
        <v>0</v>
      </c>
      <c r="AE446" s="246">
        <f>IFERROR(VLOOKUP(Q446,PROGRAMAS[],2,FALSE),0)</f>
        <v>0</v>
      </c>
      <c r="AF446" s="246">
        <f>IFERROR(VLOOKUP(D446,PROGRAMAS[],3,FALSE),0)</f>
        <v>841888629.31080008</v>
      </c>
      <c r="AG446" s="246">
        <f>IFERROR(VLOOKUP(E446,PROGRAMAS[],3,FALSE),0)</f>
        <v>3848980803.1642323</v>
      </c>
      <c r="AH446" s="246">
        <f>IFERROR(VLOOKUP(F446,PROGRAMAS[],3,FALSE),0)</f>
        <v>3394901471.387517</v>
      </c>
      <c r="AI446" s="246">
        <f>IFERROR(VLOOKUP(G446,PROGRAMAS[],3,FALSE),0)</f>
        <v>6129902208.7912121</v>
      </c>
      <c r="AJ446" s="246">
        <f>IFERROR(VLOOKUP(H446,PROGRAMAS[],3,FALSE),0)</f>
        <v>7011279577.519702</v>
      </c>
      <c r="AK446" s="246">
        <f>IFERROR(VLOOKUP(I446,PROGRAMAS[],3,FALSE),0)</f>
        <v>675517840.109828</v>
      </c>
      <c r="AL446" s="246">
        <f>IFERROR(VLOOKUP(J446,PROGRAMAS[],3,FALSE),0)</f>
        <v>2406564599.0319901</v>
      </c>
      <c r="AM446" s="246">
        <f>IFERROR(VLOOKUP(K446,PROGRAMAS[],3,FALSE),0)</f>
        <v>0</v>
      </c>
      <c r="AN446" s="246">
        <f>IFERROR(VLOOKUP(L446,PROGRAMAS[],3,FALSE),0)</f>
        <v>0</v>
      </c>
      <c r="AO446" s="246">
        <f>IFERROR(VLOOKUP(M446,PROGRAMAS[],3,FALSE),0)</f>
        <v>0</v>
      </c>
      <c r="AP446" s="246">
        <f>IFERROR(VLOOKUP(N446,PROGRAMAS[],3,FALSE),0)</f>
        <v>0</v>
      </c>
      <c r="AQ446" s="246">
        <f>IFERROR(VLOOKUP(O446,PROGRAMAS[],3,FALSE),0)</f>
        <v>0</v>
      </c>
      <c r="AR446" s="246">
        <f>IFERROR(VLOOKUP(P446,PROGRAMAS[],3,FALSE),0)</f>
        <v>0</v>
      </c>
      <c r="AS446" s="246">
        <f>IFERROR(VLOOKUP(Q446,PROGRAMAS[],3,FALSE),0)</f>
        <v>0</v>
      </c>
      <c r="AT446" s="246">
        <f>IFERROR(VLOOKUP(D446,VOL_REC[],2,FALSE),0)</f>
        <v>0</v>
      </c>
      <c r="AU446" s="246">
        <f>IFERROR(VLOOKUP(E446,VOL_REC[],2,FALSE),0)</f>
        <v>0</v>
      </c>
      <c r="AV446" s="246">
        <f>IFERROR(VLOOKUP(F446,VOL_REC[],2,FALSE),0)</f>
        <v>11089674.200000001</v>
      </c>
      <c r="AW446" s="246">
        <f>IFERROR(VLOOKUP(G446,VOL_REC[],2,FALSE),0)</f>
        <v>15540036.397699751</v>
      </c>
      <c r="AX446" s="246">
        <f>IFERROR(VLOOKUP(H446,VOL_REC[],2,FALSE),0)</f>
        <v>3761786</v>
      </c>
      <c r="AY446" s="246">
        <f>IFERROR(VLOOKUP(I446,VOL_REC[],2,FALSE),0)</f>
        <v>240696.79238099116</v>
      </c>
      <c r="AZ446" s="246">
        <f>IFERROR(VLOOKUP(J446,VOL_REC[],2,FALSE),0)</f>
        <v>1072354.9981737854</v>
      </c>
      <c r="BA446" s="246">
        <f>IFERROR(VLOOKUP(K446,VOL_REC[],2,FALSE),0)</f>
        <v>0</v>
      </c>
      <c r="BB446" s="246">
        <f>IFERROR(VLOOKUP(L446,VOL_REC[],2,FALSE),0)</f>
        <v>0</v>
      </c>
      <c r="BC446" s="246">
        <f>IFERROR(VLOOKUP(M446,VOL_REC[],2,FALSE),0)</f>
        <v>0</v>
      </c>
      <c r="BD446" s="246">
        <f>IFERROR(VLOOKUP(N446,VOL_REC[],2,FALSE),0)</f>
        <v>0</v>
      </c>
      <c r="BE446" s="246">
        <f>IFERROR(VLOOKUP(O446,VOL_REC[],2,FALSE),0)</f>
        <v>0</v>
      </c>
      <c r="BF446" s="246">
        <f>IFERROR(VLOOKUP(P446,VOL_REC[],2,FALSE),0)</f>
        <v>0</v>
      </c>
      <c r="BG446" s="246">
        <f>IFERROR(VLOOKUP(Q446,VOL_REC[],2,FALSE),0)</f>
        <v>0</v>
      </c>
      <c r="BH446" s="1710">
        <f t="shared" si="24"/>
        <v>24669389161.363316</v>
      </c>
      <c r="BI446" s="1710">
        <f t="shared" si="25"/>
        <v>24309035129.315285</v>
      </c>
      <c r="BJ446" s="1711">
        <f t="shared" si="26"/>
        <v>31704548.388254531</v>
      </c>
      <c r="BK446" s="1711">
        <f t="shared" si="27"/>
        <v>1.0148238722816878</v>
      </c>
      <c r="BL446">
        <f>BJ446</f>
        <v>31704548.388254531</v>
      </c>
      <c r="BO446">
        <f>BL446</f>
        <v>31704548.388254531</v>
      </c>
    </row>
    <row r="447" spans="3:67" x14ac:dyDescent="0.25">
      <c r="C447" s="246" t="s">
        <v>1797</v>
      </c>
      <c r="D447" s="246">
        <v>1</v>
      </c>
      <c r="E447" s="246">
        <v>2</v>
      </c>
      <c r="F447" s="246">
        <v>3</v>
      </c>
      <c r="G447" s="246">
        <v>6</v>
      </c>
      <c r="H447" s="246">
        <v>9</v>
      </c>
      <c r="I447" s="246">
        <v>12</v>
      </c>
      <c r="J447" s="246">
        <v>17</v>
      </c>
      <c r="K447" s="246"/>
      <c r="L447" s="246"/>
      <c r="M447" s="246"/>
      <c r="N447" s="246"/>
      <c r="O447" s="246"/>
      <c r="P447" s="246"/>
      <c r="Q447" s="246"/>
      <c r="R447" s="246">
        <f>IFERROR(VLOOKUP(D447,PROGRAMAS[],2,FALSE),0)</f>
        <v>97037803.679377079</v>
      </c>
      <c r="S447" s="246">
        <f>IFERROR(VLOOKUP(E447,PROGRAMAS[],2,FALSE),0)</f>
        <v>640501509.6821388</v>
      </c>
      <c r="T447" s="246">
        <f>IFERROR(VLOOKUP(F447,PROGRAMAS[],2,FALSE),0)</f>
        <v>3062327798.1525245</v>
      </c>
      <c r="U447" s="246">
        <f>IFERROR(VLOOKUP(G447,PROGRAMAS[],2,FALSE),0)</f>
        <v>6907648435.8447599</v>
      </c>
      <c r="V447" s="246">
        <f>IFERROR(VLOOKUP(H447,PROGRAMAS[],2,FALSE),0)</f>
        <v>6128579952.1618185</v>
      </c>
      <c r="W447" s="246">
        <f>IFERROR(VLOOKUP(I447,PROGRAMAS[],2,FALSE),0)</f>
        <v>764796700.79905891</v>
      </c>
      <c r="X447" s="246">
        <f>IFERROR(VLOOKUP(J447,PROGRAMAS[],2,FALSE),0)</f>
        <v>1892779498.5211046</v>
      </c>
      <c r="Y447" s="246">
        <f>IFERROR(VLOOKUP(K447,PROGRAMAS[],2,FALSE),0)</f>
        <v>0</v>
      </c>
      <c r="Z447" s="246">
        <f>IFERROR(VLOOKUP(L447,PROGRAMAS[],2,FALSE),0)</f>
        <v>0</v>
      </c>
      <c r="AA447" s="246">
        <f>IFERROR(VLOOKUP(M447,PROGRAMAS[],2,FALSE),0)</f>
        <v>0</v>
      </c>
      <c r="AB447" s="246">
        <f>IFERROR(VLOOKUP(N447,PROGRAMAS[],2,FALSE),0)</f>
        <v>0</v>
      </c>
      <c r="AC447" s="246">
        <f>IFERROR(VLOOKUP(O447,PROGRAMAS[],2,FALSE),0)</f>
        <v>0</v>
      </c>
      <c r="AD447" s="246">
        <f>IFERROR(VLOOKUP(P447,PROGRAMAS[],2,FALSE),0)</f>
        <v>0</v>
      </c>
      <c r="AE447" s="246">
        <f>IFERROR(VLOOKUP(Q447,PROGRAMAS[],2,FALSE),0)</f>
        <v>0</v>
      </c>
      <c r="AF447" s="246">
        <f>IFERROR(VLOOKUP(D447,PROGRAMAS[],3,FALSE),0)</f>
        <v>841888629.31080008</v>
      </c>
      <c r="AG447" s="246">
        <f>IFERROR(VLOOKUP(E447,PROGRAMAS[],3,FALSE),0)</f>
        <v>3848980803.1642323</v>
      </c>
      <c r="AH447" s="246">
        <f>IFERROR(VLOOKUP(F447,PROGRAMAS[],3,FALSE),0)</f>
        <v>3394901471.387517</v>
      </c>
      <c r="AI447" s="246">
        <f>IFERROR(VLOOKUP(G447,PROGRAMAS[],3,FALSE),0)</f>
        <v>6129902208.7912121</v>
      </c>
      <c r="AJ447" s="246">
        <f>IFERROR(VLOOKUP(H447,PROGRAMAS[],3,FALSE),0)</f>
        <v>7011279577.519702</v>
      </c>
      <c r="AK447" s="246">
        <f>IFERROR(VLOOKUP(I447,PROGRAMAS[],3,FALSE),0)</f>
        <v>675517840.109828</v>
      </c>
      <c r="AL447" s="246">
        <f>IFERROR(VLOOKUP(J447,PROGRAMAS[],3,FALSE),0)</f>
        <v>948595847.09039903</v>
      </c>
      <c r="AM447" s="246">
        <f>IFERROR(VLOOKUP(K447,PROGRAMAS[],3,FALSE),0)</f>
        <v>0</v>
      </c>
      <c r="AN447" s="246">
        <f>IFERROR(VLOOKUP(L447,PROGRAMAS[],3,FALSE),0)</f>
        <v>0</v>
      </c>
      <c r="AO447" s="246">
        <f>IFERROR(VLOOKUP(M447,PROGRAMAS[],3,FALSE),0)</f>
        <v>0</v>
      </c>
      <c r="AP447" s="246">
        <f>IFERROR(VLOOKUP(N447,PROGRAMAS[],3,FALSE),0)</f>
        <v>0</v>
      </c>
      <c r="AQ447" s="246">
        <f>IFERROR(VLOOKUP(O447,PROGRAMAS[],3,FALSE),0)</f>
        <v>0</v>
      </c>
      <c r="AR447" s="246">
        <f>IFERROR(VLOOKUP(P447,PROGRAMAS[],3,FALSE),0)</f>
        <v>0</v>
      </c>
      <c r="AS447" s="246">
        <f>IFERROR(VLOOKUP(Q447,PROGRAMAS[],3,FALSE),0)</f>
        <v>0</v>
      </c>
      <c r="AT447" s="246">
        <f>IFERROR(VLOOKUP(D447,VOL_REC[],2,FALSE),0)</f>
        <v>0</v>
      </c>
      <c r="AU447" s="246">
        <f>IFERROR(VLOOKUP(E447,VOL_REC[],2,FALSE),0)</f>
        <v>0</v>
      </c>
      <c r="AV447" s="246">
        <f>IFERROR(VLOOKUP(F447,VOL_REC[],2,FALSE),0)</f>
        <v>11089674.200000001</v>
      </c>
      <c r="AW447" s="246">
        <f>IFERROR(VLOOKUP(G447,VOL_REC[],2,FALSE),0)</f>
        <v>15540036.397699751</v>
      </c>
      <c r="AX447" s="246">
        <f>IFERROR(VLOOKUP(H447,VOL_REC[],2,FALSE),0)</f>
        <v>3761786</v>
      </c>
      <c r="AY447" s="246">
        <f>IFERROR(VLOOKUP(I447,VOL_REC[],2,FALSE),0)</f>
        <v>240696.79238099116</v>
      </c>
      <c r="AZ447" s="246">
        <f>IFERROR(VLOOKUP(J447,VOL_REC[],2,FALSE),0)</f>
        <v>740113.98115702497</v>
      </c>
      <c r="BA447" s="246">
        <f>IFERROR(VLOOKUP(K447,VOL_REC[],2,FALSE),0)</f>
        <v>0</v>
      </c>
      <c r="BB447" s="246">
        <f>IFERROR(VLOOKUP(L447,VOL_REC[],2,FALSE),0)</f>
        <v>0</v>
      </c>
      <c r="BC447" s="246">
        <f>IFERROR(VLOOKUP(M447,VOL_REC[],2,FALSE),0)</f>
        <v>0</v>
      </c>
      <c r="BD447" s="246">
        <f>IFERROR(VLOOKUP(N447,VOL_REC[],2,FALSE),0)</f>
        <v>0</v>
      </c>
      <c r="BE447" s="246">
        <f>IFERROR(VLOOKUP(O447,VOL_REC[],2,FALSE),0)</f>
        <v>0</v>
      </c>
      <c r="BF447" s="246">
        <f>IFERROR(VLOOKUP(P447,VOL_REC[],2,FALSE),0)</f>
        <v>0</v>
      </c>
      <c r="BG447" s="246">
        <f>IFERROR(VLOOKUP(Q447,VOL_REC[],2,FALSE),0)</f>
        <v>0</v>
      </c>
      <c r="BH447" s="1710">
        <f t="shared" si="24"/>
        <v>19493671698.840782</v>
      </c>
      <c r="BI447" s="1710">
        <f t="shared" si="25"/>
        <v>22851066377.373695</v>
      </c>
      <c r="BJ447" s="1711">
        <f t="shared" si="26"/>
        <v>31372307.37123777</v>
      </c>
      <c r="BK447" s="1711">
        <f t="shared" si="27"/>
        <v>0.85307492337174751</v>
      </c>
    </row>
    <row r="448" spans="3:67" x14ac:dyDescent="0.25">
      <c r="C448" s="246" t="s">
        <v>1798</v>
      </c>
      <c r="D448" s="246">
        <v>1</v>
      </c>
      <c r="E448" s="246">
        <v>2</v>
      </c>
      <c r="F448" s="246">
        <v>3</v>
      </c>
      <c r="G448" s="246">
        <v>6</v>
      </c>
      <c r="H448" s="246">
        <v>9</v>
      </c>
      <c r="I448" s="246">
        <v>13</v>
      </c>
      <c r="J448" s="246">
        <v>14</v>
      </c>
      <c r="K448" s="246"/>
      <c r="L448" s="246"/>
      <c r="M448" s="246"/>
      <c r="N448" s="246"/>
      <c r="O448" s="246"/>
      <c r="P448" s="246"/>
      <c r="Q448" s="246"/>
      <c r="R448" s="246">
        <f>IFERROR(VLOOKUP(D448,PROGRAMAS[],2,FALSE),0)</f>
        <v>97037803.679377079</v>
      </c>
      <c r="S448" s="246">
        <f>IFERROR(VLOOKUP(E448,PROGRAMAS[],2,FALSE),0)</f>
        <v>640501509.6821388</v>
      </c>
      <c r="T448" s="246">
        <f>IFERROR(VLOOKUP(F448,PROGRAMAS[],2,FALSE),0)</f>
        <v>3062327798.1525245</v>
      </c>
      <c r="U448" s="246">
        <f>IFERROR(VLOOKUP(G448,PROGRAMAS[],2,FALSE),0)</f>
        <v>6907648435.8447599</v>
      </c>
      <c r="V448" s="246">
        <f>IFERROR(VLOOKUP(H448,PROGRAMAS[],2,FALSE),0)</f>
        <v>6128579952.1618185</v>
      </c>
      <c r="W448" s="246">
        <f>IFERROR(VLOOKUP(I448,PROGRAMAS[],2,FALSE),0)</f>
        <v>3776538594.4604583</v>
      </c>
      <c r="X448" s="246">
        <f>IFERROR(VLOOKUP(J448,PROGRAMAS[],2,FALSE),0)</f>
        <v>54223862.645839565</v>
      </c>
      <c r="Y448" s="246">
        <f>IFERROR(VLOOKUP(K448,PROGRAMAS[],2,FALSE),0)</f>
        <v>0</v>
      </c>
      <c r="Z448" s="246">
        <f>IFERROR(VLOOKUP(L448,PROGRAMAS[],2,FALSE),0)</f>
        <v>0</v>
      </c>
      <c r="AA448" s="246">
        <f>IFERROR(VLOOKUP(M448,PROGRAMAS[],2,FALSE),0)</f>
        <v>0</v>
      </c>
      <c r="AB448" s="246">
        <f>IFERROR(VLOOKUP(N448,PROGRAMAS[],2,FALSE),0)</f>
        <v>0</v>
      </c>
      <c r="AC448" s="246">
        <f>IFERROR(VLOOKUP(O448,PROGRAMAS[],2,FALSE),0)</f>
        <v>0</v>
      </c>
      <c r="AD448" s="246">
        <f>IFERROR(VLOOKUP(P448,PROGRAMAS[],2,FALSE),0)</f>
        <v>0</v>
      </c>
      <c r="AE448" s="246">
        <f>IFERROR(VLOOKUP(Q448,PROGRAMAS[],2,FALSE),0)</f>
        <v>0</v>
      </c>
      <c r="AF448" s="246">
        <f>IFERROR(VLOOKUP(D448,PROGRAMAS[],3,FALSE),0)</f>
        <v>841888629.31080008</v>
      </c>
      <c r="AG448" s="246">
        <f>IFERROR(VLOOKUP(E448,PROGRAMAS[],3,FALSE),0)</f>
        <v>3848980803.1642323</v>
      </c>
      <c r="AH448" s="246">
        <f>IFERROR(VLOOKUP(F448,PROGRAMAS[],3,FALSE),0)</f>
        <v>3394901471.387517</v>
      </c>
      <c r="AI448" s="246">
        <f>IFERROR(VLOOKUP(G448,PROGRAMAS[],3,FALSE),0)</f>
        <v>6129902208.7912121</v>
      </c>
      <c r="AJ448" s="246">
        <f>IFERROR(VLOOKUP(H448,PROGRAMAS[],3,FALSE),0)</f>
        <v>7011279577.519702</v>
      </c>
      <c r="AK448" s="246">
        <f>IFERROR(VLOOKUP(I448,PROGRAMAS[],3,FALSE),0)</f>
        <v>2392571243.5584412</v>
      </c>
      <c r="AL448" s="246">
        <f>IFERROR(VLOOKUP(J448,PROGRAMAS[],3,FALSE),0)</f>
        <v>31865326.38096505</v>
      </c>
      <c r="AM448" s="246">
        <f>IFERROR(VLOOKUP(K448,PROGRAMAS[],3,FALSE),0)</f>
        <v>0</v>
      </c>
      <c r="AN448" s="246">
        <f>IFERROR(VLOOKUP(L448,PROGRAMAS[],3,FALSE),0)</f>
        <v>0</v>
      </c>
      <c r="AO448" s="246">
        <f>IFERROR(VLOOKUP(M448,PROGRAMAS[],3,FALSE),0)</f>
        <v>0</v>
      </c>
      <c r="AP448" s="246">
        <f>IFERROR(VLOOKUP(N448,PROGRAMAS[],3,FALSE),0)</f>
        <v>0</v>
      </c>
      <c r="AQ448" s="246">
        <f>IFERROR(VLOOKUP(O448,PROGRAMAS[],3,FALSE),0)</f>
        <v>0</v>
      </c>
      <c r="AR448" s="246">
        <f>IFERROR(VLOOKUP(P448,PROGRAMAS[],3,FALSE),0)</f>
        <v>0</v>
      </c>
      <c r="AS448" s="246">
        <f>IFERROR(VLOOKUP(Q448,PROGRAMAS[],3,FALSE),0)</f>
        <v>0</v>
      </c>
      <c r="AT448" s="246">
        <f>IFERROR(VLOOKUP(D448,VOL_REC[],2,FALSE),0)</f>
        <v>0</v>
      </c>
      <c r="AU448" s="246">
        <f>IFERROR(VLOOKUP(E448,VOL_REC[],2,FALSE),0)</f>
        <v>0</v>
      </c>
      <c r="AV448" s="246">
        <f>IFERROR(VLOOKUP(F448,VOL_REC[],2,FALSE),0)</f>
        <v>11089674.200000001</v>
      </c>
      <c r="AW448" s="246">
        <f>IFERROR(VLOOKUP(G448,VOL_REC[],2,FALSE),0)</f>
        <v>15540036.397699751</v>
      </c>
      <c r="AX448" s="246">
        <f>IFERROR(VLOOKUP(H448,VOL_REC[],2,FALSE),0)</f>
        <v>3761786</v>
      </c>
      <c r="AY448" s="246">
        <f>IFERROR(VLOOKUP(I448,VOL_REC[],2,FALSE),0)</f>
        <v>663244.80000000016</v>
      </c>
      <c r="AZ448" s="246">
        <f>IFERROR(VLOOKUP(J448,VOL_REC[],2,FALSE),0)</f>
        <v>17074.045034105649</v>
      </c>
      <c r="BA448" s="246">
        <f>IFERROR(VLOOKUP(K448,VOL_REC[],2,FALSE),0)</f>
        <v>0</v>
      </c>
      <c r="BB448" s="246">
        <f>IFERROR(VLOOKUP(L448,VOL_REC[],2,FALSE),0)</f>
        <v>0</v>
      </c>
      <c r="BC448" s="246">
        <f>IFERROR(VLOOKUP(M448,VOL_REC[],2,FALSE),0)</f>
        <v>0</v>
      </c>
      <c r="BD448" s="246">
        <f>IFERROR(VLOOKUP(N448,VOL_REC[],2,FALSE),0)</f>
        <v>0</v>
      </c>
      <c r="BE448" s="246">
        <f>IFERROR(VLOOKUP(O448,VOL_REC[],2,FALSE),0)</f>
        <v>0</v>
      </c>
      <c r="BF448" s="246">
        <f>IFERROR(VLOOKUP(P448,VOL_REC[],2,FALSE),0)</f>
        <v>0</v>
      </c>
      <c r="BG448" s="246">
        <f>IFERROR(VLOOKUP(Q448,VOL_REC[],2,FALSE),0)</f>
        <v>0</v>
      </c>
      <c r="BH448" s="1710">
        <f t="shared" si="24"/>
        <v>20666857956.626915</v>
      </c>
      <c r="BI448" s="1710">
        <f t="shared" si="25"/>
        <v>23651389260.112873</v>
      </c>
      <c r="BJ448" s="1711">
        <f t="shared" si="26"/>
        <v>31071815.442733862</v>
      </c>
      <c r="BK448" s="1711">
        <f t="shared" si="27"/>
        <v>0.87381158583697871</v>
      </c>
    </row>
    <row r="449" spans="3:67" x14ac:dyDescent="0.25">
      <c r="C449" s="246" t="s">
        <v>1799</v>
      </c>
      <c r="D449" s="246">
        <v>1</v>
      </c>
      <c r="E449" s="246">
        <v>2</v>
      </c>
      <c r="F449" s="246">
        <v>3</v>
      </c>
      <c r="G449" s="246">
        <v>6</v>
      </c>
      <c r="H449" s="246">
        <v>9</v>
      </c>
      <c r="I449" s="246">
        <v>13</v>
      </c>
      <c r="J449" s="246">
        <v>15</v>
      </c>
      <c r="K449" s="246"/>
      <c r="L449" s="246"/>
      <c r="M449" s="246"/>
      <c r="N449" s="246"/>
      <c r="O449" s="246"/>
      <c r="P449" s="246"/>
      <c r="Q449" s="246"/>
      <c r="R449" s="246">
        <f>IFERROR(VLOOKUP(D449,PROGRAMAS[],2,FALSE),0)</f>
        <v>97037803.679377079</v>
      </c>
      <c r="S449" s="246">
        <f>IFERROR(VLOOKUP(E449,PROGRAMAS[],2,FALSE),0)</f>
        <v>640501509.6821388</v>
      </c>
      <c r="T449" s="246">
        <f>IFERROR(VLOOKUP(F449,PROGRAMAS[],2,FALSE),0)</f>
        <v>3062327798.1525245</v>
      </c>
      <c r="U449" s="246">
        <f>IFERROR(VLOOKUP(G449,PROGRAMAS[],2,FALSE),0)</f>
        <v>6907648435.8447599</v>
      </c>
      <c r="V449" s="246">
        <f>IFERROR(VLOOKUP(H449,PROGRAMAS[],2,FALSE),0)</f>
        <v>6128579952.1618185</v>
      </c>
      <c r="W449" s="246">
        <f>IFERROR(VLOOKUP(I449,PROGRAMAS[],2,FALSE),0)</f>
        <v>3776538594.4604583</v>
      </c>
      <c r="X449" s="246">
        <f>IFERROR(VLOOKUP(J449,PROGRAMAS[],2,FALSE),0)</f>
        <v>122159672.96346797</v>
      </c>
      <c r="Y449" s="246">
        <f>IFERROR(VLOOKUP(K449,PROGRAMAS[],2,FALSE),0)</f>
        <v>0</v>
      </c>
      <c r="Z449" s="246">
        <f>IFERROR(VLOOKUP(L449,PROGRAMAS[],2,FALSE),0)</f>
        <v>0</v>
      </c>
      <c r="AA449" s="246">
        <f>IFERROR(VLOOKUP(M449,PROGRAMAS[],2,FALSE),0)</f>
        <v>0</v>
      </c>
      <c r="AB449" s="246">
        <f>IFERROR(VLOOKUP(N449,PROGRAMAS[],2,FALSE),0)</f>
        <v>0</v>
      </c>
      <c r="AC449" s="246">
        <f>IFERROR(VLOOKUP(O449,PROGRAMAS[],2,FALSE),0)</f>
        <v>0</v>
      </c>
      <c r="AD449" s="246">
        <f>IFERROR(VLOOKUP(P449,PROGRAMAS[],2,FALSE),0)</f>
        <v>0</v>
      </c>
      <c r="AE449" s="246">
        <f>IFERROR(VLOOKUP(Q449,PROGRAMAS[],2,FALSE),0)</f>
        <v>0</v>
      </c>
      <c r="AF449" s="246">
        <f>IFERROR(VLOOKUP(D449,PROGRAMAS[],3,FALSE),0)</f>
        <v>841888629.31080008</v>
      </c>
      <c r="AG449" s="246">
        <f>IFERROR(VLOOKUP(E449,PROGRAMAS[],3,FALSE),0)</f>
        <v>3848980803.1642323</v>
      </c>
      <c r="AH449" s="246">
        <f>IFERROR(VLOOKUP(F449,PROGRAMAS[],3,FALSE),0)</f>
        <v>3394901471.387517</v>
      </c>
      <c r="AI449" s="246">
        <f>IFERROR(VLOOKUP(G449,PROGRAMAS[],3,FALSE),0)</f>
        <v>6129902208.7912121</v>
      </c>
      <c r="AJ449" s="246">
        <f>IFERROR(VLOOKUP(H449,PROGRAMAS[],3,FALSE),0)</f>
        <v>7011279577.519702</v>
      </c>
      <c r="AK449" s="246">
        <f>IFERROR(VLOOKUP(I449,PROGRAMAS[],3,FALSE),0)</f>
        <v>2392571243.5584412</v>
      </c>
      <c r="AL449" s="246">
        <f>IFERROR(VLOOKUP(J449,PROGRAMAS[],3,FALSE),0)</f>
        <v>118617452.52510804</v>
      </c>
      <c r="AM449" s="246">
        <f>IFERROR(VLOOKUP(K449,PROGRAMAS[],3,FALSE),0)</f>
        <v>0</v>
      </c>
      <c r="AN449" s="246">
        <f>IFERROR(VLOOKUP(L449,PROGRAMAS[],3,FALSE),0)</f>
        <v>0</v>
      </c>
      <c r="AO449" s="246">
        <f>IFERROR(VLOOKUP(M449,PROGRAMAS[],3,FALSE),0)</f>
        <v>0</v>
      </c>
      <c r="AP449" s="246">
        <f>IFERROR(VLOOKUP(N449,PROGRAMAS[],3,FALSE),0)</f>
        <v>0</v>
      </c>
      <c r="AQ449" s="246">
        <f>IFERROR(VLOOKUP(O449,PROGRAMAS[],3,FALSE),0)</f>
        <v>0</v>
      </c>
      <c r="AR449" s="246">
        <f>IFERROR(VLOOKUP(P449,PROGRAMAS[],3,FALSE),0)</f>
        <v>0</v>
      </c>
      <c r="AS449" s="246">
        <f>IFERROR(VLOOKUP(Q449,PROGRAMAS[],3,FALSE),0)</f>
        <v>0</v>
      </c>
      <c r="AT449" s="246">
        <f>IFERROR(VLOOKUP(D449,VOL_REC[],2,FALSE),0)</f>
        <v>0</v>
      </c>
      <c r="AU449" s="246">
        <f>IFERROR(VLOOKUP(E449,VOL_REC[],2,FALSE),0)</f>
        <v>0</v>
      </c>
      <c r="AV449" s="246">
        <f>IFERROR(VLOOKUP(F449,VOL_REC[],2,FALSE),0)</f>
        <v>11089674.200000001</v>
      </c>
      <c r="AW449" s="246">
        <f>IFERROR(VLOOKUP(G449,VOL_REC[],2,FALSE),0)</f>
        <v>15540036.397699751</v>
      </c>
      <c r="AX449" s="246">
        <f>IFERROR(VLOOKUP(H449,VOL_REC[],2,FALSE),0)</f>
        <v>3761786</v>
      </c>
      <c r="AY449" s="246">
        <f>IFERROR(VLOOKUP(I449,VOL_REC[],2,FALSE),0)</f>
        <v>663244.80000000016</v>
      </c>
      <c r="AZ449" s="246">
        <f>IFERROR(VLOOKUP(J449,VOL_REC[],2,FALSE),0)</f>
        <v>105072</v>
      </c>
      <c r="BA449" s="246">
        <f>IFERROR(VLOOKUP(K449,VOL_REC[],2,FALSE),0)</f>
        <v>0</v>
      </c>
      <c r="BB449" s="246">
        <f>IFERROR(VLOOKUP(L449,VOL_REC[],2,FALSE),0)</f>
        <v>0</v>
      </c>
      <c r="BC449" s="246">
        <f>IFERROR(VLOOKUP(M449,VOL_REC[],2,FALSE),0)</f>
        <v>0</v>
      </c>
      <c r="BD449" s="246">
        <f>IFERROR(VLOOKUP(N449,VOL_REC[],2,FALSE),0)</f>
        <v>0</v>
      </c>
      <c r="BE449" s="246">
        <f>IFERROR(VLOOKUP(O449,VOL_REC[],2,FALSE),0)</f>
        <v>0</v>
      </c>
      <c r="BF449" s="246">
        <f>IFERROR(VLOOKUP(P449,VOL_REC[],2,FALSE),0)</f>
        <v>0</v>
      </c>
      <c r="BG449" s="246">
        <f>IFERROR(VLOOKUP(Q449,VOL_REC[],2,FALSE),0)</f>
        <v>0</v>
      </c>
      <c r="BH449" s="1710">
        <f t="shared" si="24"/>
        <v>20734793766.944542</v>
      </c>
      <c r="BI449" s="1710">
        <f t="shared" si="25"/>
        <v>23738141386.257015</v>
      </c>
      <c r="BJ449" s="1711">
        <f t="shared" si="26"/>
        <v>31159813.397699755</v>
      </c>
      <c r="BK449" s="1711">
        <f t="shared" si="27"/>
        <v>0.87348008546906564</v>
      </c>
    </row>
    <row r="450" spans="3:67" x14ac:dyDescent="0.25">
      <c r="C450" s="246" t="s">
        <v>1800</v>
      </c>
      <c r="D450" s="246">
        <v>1</v>
      </c>
      <c r="E450" s="246">
        <v>2</v>
      </c>
      <c r="F450" s="246">
        <v>3</v>
      </c>
      <c r="G450" s="246">
        <v>6</v>
      </c>
      <c r="H450" s="246">
        <v>9</v>
      </c>
      <c r="I450" s="246">
        <v>13</v>
      </c>
      <c r="J450" s="246">
        <v>16</v>
      </c>
      <c r="K450" s="246"/>
      <c r="L450" s="246"/>
      <c r="M450" s="246"/>
      <c r="N450" s="246"/>
      <c r="O450" s="246"/>
      <c r="P450" s="246"/>
      <c r="Q450" s="246"/>
      <c r="R450" s="246">
        <f>IFERROR(VLOOKUP(D450,PROGRAMAS[],2,FALSE),0)</f>
        <v>97037803.679377079</v>
      </c>
      <c r="S450" s="246">
        <f>IFERROR(VLOOKUP(E450,PROGRAMAS[],2,FALSE),0)</f>
        <v>640501509.6821388</v>
      </c>
      <c r="T450" s="246">
        <f>IFERROR(VLOOKUP(F450,PROGRAMAS[],2,FALSE),0)</f>
        <v>3062327798.1525245</v>
      </c>
      <c r="U450" s="246">
        <f>IFERROR(VLOOKUP(G450,PROGRAMAS[],2,FALSE),0)</f>
        <v>6907648435.8447599</v>
      </c>
      <c r="V450" s="246">
        <f>IFERROR(VLOOKUP(H450,PROGRAMAS[],2,FALSE),0)</f>
        <v>6128579952.1618185</v>
      </c>
      <c r="W450" s="246">
        <f>IFERROR(VLOOKUP(I450,PROGRAMAS[],2,FALSE),0)</f>
        <v>3776538594.4604583</v>
      </c>
      <c r="X450" s="246">
        <f>IFERROR(VLOOKUP(J450,PROGRAMAS[],2,FALSE),0)</f>
        <v>7068496961.0436354</v>
      </c>
      <c r="Y450" s="246">
        <f>IFERROR(VLOOKUP(K450,PROGRAMAS[],2,FALSE),0)</f>
        <v>0</v>
      </c>
      <c r="Z450" s="246">
        <f>IFERROR(VLOOKUP(L450,PROGRAMAS[],2,FALSE),0)</f>
        <v>0</v>
      </c>
      <c r="AA450" s="246">
        <f>IFERROR(VLOOKUP(M450,PROGRAMAS[],2,FALSE),0)</f>
        <v>0</v>
      </c>
      <c r="AB450" s="246">
        <f>IFERROR(VLOOKUP(N450,PROGRAMAS[],2,FALSE),0)</f>
        <v>0</v>
      </c>
      <c r="AC450" s="246">
        <f>IFERROR(VLOOKUP(O450,PROGRAMAS[],2,FALSE),0)</f>
        <v>0</v>
      </c>
      <c r="AD450" s="246">
        <f>IFERROR(VLOOKUP(P450,PROGRAMAS[],2,FALSE),0)</f>
        <v>0</v>
      </c>
      <c r="AE450" s="246">
        <f>IFERROR(VLOOKUP(Q450,PROGRAMAS[],2,FALSE),0)</f>
        <v>0</v>
      </c>
      <c r="AF450" s="246">
        <f>IFERROR(VLOOKUP(D450,PROGRAMAS[],3,FALSE),0)</f>
        <v>841888629.31080008</v>
      </c>
      <c r="AG450" s="246">
        <f>IFERROR(VLOOKUP(E450,PROGRAMAS[],3,FALSE),0)</f>
        <v>3848980803.1642323</v>
      </c>
      <c r="AH450" s="246">
        <f>IFERROR(VLOOKUP(F450,PROGRAMAS[],3,FALSE),0)</f>
        <v>3394901471.387517</v>
      </c>
      <c r="AI450" s="246">
        <f>IFERROR(VLOOKUP(G450,PROGRAMAS[],3,FALSE),0)</f>
        <v>6129902208.7912121</v>
      </c>
      <c r="AJ450" s="246">
        <f>IFERROR(VLOOKUP(H450,PROGRAMAS[],3,FALSE),0)</f>
        <v>7011279577.519702</v>
      </c>
      <c r="AK450" s="246">
        <f>IFERROR(VLOOKUP(I450,PROGRAMAS[],3,FALSE),0)</f>
        <v>2392571243.5584412</v>
      </c>
      <c r="AL450" s="246">
        <f>IFERROR(VLOOKUP(J450,PROGRAMAS[],3,FALSE),0)</f>
        <v>2406564599.0319901</v>
      </c>
      <c r="AM450" s="246">
        <f>IFERROR(VLOOKUP(K450,PROGRAMAS[],3,FALSE),0)</f>
        <v>0</v>
      </c>
      <c r="AN450" s="246">
        <f>IFERROR(VLOOKUP(L450,PROGRAMAS[],3,FALSE),0)</f>
        <v>0</v>
      </c>
      <c r="AO450" s="246">
        <f>IFERROR(VLOOKUP(M450,PROGRAMAS[],3,FALSE),0)</f>
        <v>0</v>
      </c>
      <c r="AP450" s="246">
        <f>IFERROR(VLOOKUP(N450,PROGRAMAS[],3,FALSE),0)</f>
        <v>0</v>
      </c>
      <c r="AQ450" s="246">
        <f>IFERROR(VLOOKUP(O450,PROGRAMAS[],3,FALSE),0)</f>
        <v>0</v>
      </c>
      <c r="AR450" s="246">
        <f>IFERROR(VLOOKUP(P450,PROGRAMAS[],3,FALSE),0)</f>
        <v>0</v>
      </c>
      <c r="AS450" s="246">
        <f>IFERROR(VLOOKUP(Q450,PROGRAMAS[],3,FALSE),0)</f>
        <v>0</v>
      </c>
      <c r="AT450" s="246">
        <f>IFERROR(VLOOKUP(D450,VOL_REC[],2,FALSE),0)</f>
        <v>0</v>
      </c>
      <c r="AU450" s="246">
        <f>IFERROR(VLOOKUP(E450,VOL_REC[],2,FALSE),0)</f>
        <v>0</v>
      </c>
      <c r="AV450" s="246">
        <f>IFERROR(VLOOKUP(F450,VOL_REC[],2,FALSE),0)</f>
        <v>11089674.200000001</v>
      </c>
      <c r="AW450" s="246">
        <f>IFERROR(VLOOKUP(G450,VOL_REC[],2,FALSE),0)</f>
        <v>15540036.397699751</v>
      </c>
      <c r="AX450" s="246">
        <f>IFERROR(VLOOKUP(H450,VOL_REC[],2,FALSE),0)</f>
        <v>3761786</v>
      </c>
      <c r="AY450" s="246">
        <f>IFERROR(VLOOKUP(I450,VOL_REC[],2,FALSE),0)</f>
        <v>663244.80000000016</v>
      </c>
      <c r="AZ450" s="246">
        <f>IFERROR(VLOOKUP(J450,VOL_REC[],2,FALSE),0)</f>
        <v>1072354.9981737854</v>
      </c>
      <c r="BA450" s="246">
        <f>IFERROR(VLOOKUP(K450,VOL_REC[],2,FALSE),0)</f>
        <v>0</v>
      </c>
      <c r="BB450" s="246">
        <f>IFERROR(VLOOKUP(L450,VOL_REC[],2,FALSE),0)</f>
        <v>0</v>
      </c>
      <c r="BC450" s="246">
        <f>IFERROR(VLOOKUP(M450,VOL_REC[],2,FALSE),0)</f>
        <v>0</v>
      </c>
      <c r="BD450" s="246">
        <f>IFERROR(VLOOKUP(N450,VOL_REC[],2,FALSE),0)</f>
        <v>0</v>
      </c>
      <c r="BE450" s="246">
        <f>IFERROR(VLOOKUP(O450,VOL_REC[],2,FALSE),0)</f>
        <v>0</v>
      </c>
      <c r="BF450" s="246">
        <f>IFERROR(VLOOKUP(P450,VOL_REC[],2,FALSE),0)</f>
        <v>0</v>
      </c>
      <c r="BG450" s="246">
        <f>IFERROR(VLOOKUP(Q450,VOL_REC[],2,FALSE),0)</f>
        <v>0</v>
      </c>
      <c r="BH450" s="1710">
        <f t="shared" ref="BH450:BH513" si="28">SUM(R450:AE450)</f>
        <v>27681131055.024712</v>
      </c>
      <c r="BI450" s="1710">
        <f t="shared" ref="BI450:BI513" si="29">SUM(AF450:AS450)</f>
        <v>26026088532.763897</v>
      </c>
      <c r="BJ450" s="1711">
        <f t="shared" ref="BJ450:BJ513" si="30">SUM(AT450:BG450)</f>
        <v>32127096.395873539</v>
      </c>
      <c r="BK450" s="1711">
        <f t="shared" ref="BK450:BK513" si="31">IFERROR(BH450/BI450,0)</f>
        <v>1.0635916734155924</v>
      </c>
      <c r="BL450">
        <f>BJ450</f>
        <v>32127096.395873539</v>
      </c>
      <c r="BO450">
        <f>BL450</f>
        <v>32127096.395873539</v>
      </c>
    </row>
    <row r="451" spans="3:67" x14ac:dyDescent="0.25">
      <c r="C451" s="246" t="s">
        <v>1801</v>
      </c>
      <c r="D451" s="246">
        <v>1</v>
      </c>
      <c r="E451" s="246">
        <v>2</v>
      </c>
      <c r="F451" s="246">
        <v>3</v>
      </c>
      <c r="G451" s="246">
        <v>6</v>
      </c>
      <c r="H451" s="246">
        <v>9</v>
      </c>
      <c r="I451" s="246">
        <v>13</v>
      </c>
      <c r="J451" s="246">
        <v>17</v>
      </c>
      <c r="K451" s="246"/>
      <c r="L451" s="246"/>
      <c r="M451" s="246"/>
      <c r="N451" s="246"/>
      <c r="O451" s="246"/>
      <c r="P451" s="246"/>
      <c r="Q451" s="246"/>
      <c r="R451" s="246">
        <f>IFERROR(VLOOKUP(D451,PROGRAMAS[],2,FALSE),0)</f>
        <v>97037803.679377079</v>
      </c>
      <c r="S451" s="246">
        <f>IFERROR(VLOOKUP(E451,PROGRAMAS[],2,FALSE),0)</f>
        <v>640501509.6821388</v>
      </c>
      <c r="T451" s="246">
        <f>IFERROR(VLOOKUP(F451,PROGRAMAS[],2,FALSE),0)</f>
        <v>3062327798.1525245</v>
      </c>
      <c r="U451" s="246">
        <f>IFERROR(VLOOKUP(G451,PROGRAMAS[],2,FALSE),0)</f>
        <v>6907648435.8447599</v>
      </c>
      <c r="V451" s="246">
        <f>IFERROR(VLOOKUP(H451,PROGRAMAS[],2,FALSE),0)</f>
        <v>6128579952.1618185</v>
      </c>
      <c r="W451" s="246">
        <f>IFERROR(VLOOKUP(I451,PROGRAMAS[],2,FALSE),0)</f>
        <v>3776538594.4604583</v>
      </c>
      <c r="X451" s="246">
        <f>IFERROR(VLOOKUP(J451,PROGRAMAS[],2,FALSE),0)</f>
        <v>1892779498.5211046</v>
      </c>
      <c r="Y451" s="246">
        <f>IFERROR(VLOOKUP(K451,PROGRAMAS[],2,FALSE),0)</f>
        <v>0</v>
      </c>
      <c r="Z451" s="246">
        <f>IFERROR(VLOOKUP(L451,PROGRAMAS[],2,FALSE),0)</f>
        <v>0</v>
      </c>
      <c r="AA451" s="246">
        <f>IFERROR(VLOOKUP(M451,PROGRAMAS[],2,FALSE),0)</f>
        <v>0</v>
      </c>
      <c r="AB451" s="246">
        <f>IFERROR(VLOOKUP(N451,PROGRAMAS[],2,FALSE),0)</f>
        <v>0</v>
      </c>
      <c r="AC451" s="246">
        <f>IFERROR(VLOOKUP(O451,PROGRAMAS[],2,FALSE),0)</f>
        <v>0</v>
      </c>
      <c r="AD451" s="246">
        <f>IFERROR(VLOOKUP(P451,PROGRAMAS[],2,FALSE),0)</f>
        <v>0</v>
      </c>
      <c r="AE451" s="246">
        <f>IFERROR(VLOOKUP(Q451,PROGRAMAS[],2,FALSE),0)</f>
        <v>0</v>
      </c>
      <c r="AF451" s="246">
        <f>IFERROR(VLOOKUP(D451,PROGRAMAS[],3,FALSE),0)</f>
        <v>841888629.31080008</v>
      </c>
      <c r="AG451" s="246">
        <f>IFERROR(VLOOKUP(E451,PROGRAMAS[],3,FALSE),0)</f>
        <v>3848980803.1642323</v>
      </c>
      <c r="AH451" s="246">
        <f>IFERROR(VLOOKUP(F451,PROGRAMAS[],3,FALSE),0)</f>
        <v>3394901471.387517</v>
      </c>
      <c r="AI451" s="246">
        <f>IFERROR(VLOOKUP(G451,PROGRAMAS[],3,FALSE),0)</f>
        <v>6129902208.7912121</v>
      </c>
      <c r="AJ451" s="246">
        <f>IFERROR(VLOOKUP(H451,PROGRAMAS[],3,FALSE),0)</f>
        <v>7011279577.519702</v>
      </c>
      <c r="AK451" s="246">
        <f>IFERROR(VLOOKUP(I451,PROGRAMAS[],3,FALSE),0)</f>
        <v>2392571243.5584412</v>
      </c>
      <c r="AL451" s="246">
        <f>IFERROR(VLOOKUP(J451,PROGRAMAS[],3,FALSE),0)</f>
        <v>948595847.09039903</v>
      </c>
      <c r="AM451" s="246">
        <f>IFERROR(VLOOKUP(K451,PROGRAMAS[],3,FALSE),0)</f>
        <v>0</v>
      </c>
      <c r="AN451" s="246">
        <f>IFERROR(VLOOKUP(L451,PROGRAMAS[],3,FALSE),0)</f>
        <v>0</v>
      </c>
      <c r="AO451" s="246">
        <f>IFERROR(VLOOKUP(M451,PROGRAMAS[],3,FALSE),0)</f>
        <v>0</v>
      </c>
      <c r="AP451" s="246">
        <f>IFERROR(VLOOKUP(N451,PROGRAMAS[],3,FALSE),0)</f>
        <v>0</v>
      </c>
      <c r="AQ451" s="246">
        <f>IFERROR(VLOOKUP(O451,PROGRAMAS[],3,FALSE),0)</f>
        <v>0</v>
      </c>
      <c r="AR451" s="246">
        <f>IFERROR(VLOOKUP(P451,PROGRAMAS[],3,FALSE),0)</f>
        <v>0</v>
      </c>
      <c r="AS451" s="246">
        <f>IFERROR(VLOOKUP(Q451,PROGRAMAS[],3,FALSE),0)</f>
        <v>0</v>
      </c>
      <c r="AT451" s="246">
        <f>IFERROR(VLOOKUP(D451,VOL_REC[],2,FALSE),0)</f>
        <v>0</v>
      </c>
      <c r="AU451" s="246">
        <f>IFERROR(VLOOKUP(E451,VOL_REC[],2,FALSE),0)</f>
        <v>0</v>
      </c>
      <c r="AV451" s="246">
        <f>IFERROR(VLOOKUP(F451,VOL_REC[],2,FALSE),0)</f>
        <v>11089674.200000001</v>
      </c>
      <c r="AW451" s="246">
        <f>IFERROR(VLOOKUP(G451,VOL_REC[],2,FALSE),0)</f>
        <v>15540036.397699751</v>
      </c>
      <c r="AX451" s="246">
        <f>IFERROR(VLOOKUP(H451,VOL_REC[],2,FALSE),0)</f>
        <v>3761786</v>
      </c>
      <c r="AY451" s="246">
        <f>IFERROR(VLOOKUP(I451,VOL_REC[],2,FALSE),0)</f>
        <v>663244.80000000016</v>
      </c>
      <c r="AZ451" s="246">
        <f>IFERROR(VLOOKUP(J451,VOL_REC[],2,FALSE),0)</f>
        <v>740113.98115702497</v>
      </c>
      <c r="BA451" s="246">
        <f>IFERROR(VLOOKUP(K451,VOL_REC[],2,FALSE),0)</f>
        <v>0</v>
      </c>
      <c r="BB451" s="246">
        <f>IFERROR(VLOOKUP(L451,VOL_REC[],2,FALSE),0)</f>
        <v>0</v>
      </c>
      <c r="BC451" s="246">
        <f>IFERROR(VLOOKUP(M451,VOL_REC[],2,FALSE),0)</f>
        <v>0</v>
      </c>
      <c r="BD451" s="246">
        <f>IFERROR(VLOOKUP(N451,VOL_REC[],2,FALSE),0)</f>
        <v>0</v>
      </c>
      <c r="BE451" s="246">
        <f>IFERROR(VLOOKUP(O451,VOL_REC[],2,FALSE),0)</f>
        <v>0</v>
      </c>
      <c r="BF451" s="246">
        <f>IFERROR(VLOOKUP(P451,VOL_REC[],2,FALSE),0)</f>
        <v>0</v>
      </c>
      <c r="BG451" s="246">
        <f>IFERROR(VLOOKUP(Q451,VOL_REC[],2,FALSE),0)</f>
        <v>0</v>
      </c>
      <c r="BH451" s="1710">
        <f t="shared" si="28"/>
        <v>22505413592.502178</v>
      </c>
      <c r="BI451" s="1710">
        <f t="shared" si="29"/>
        <v>24568119780.822308</v>
      </c>
      <c r="BJ451" s="1711">
        <f t="shared" si="30"/>
        <v>31794855.378856778</v>
      </c>
      <c r="BK451" s="1711">
        <f t="shared" si="31"/>
        <v>0.91604134924764313</v>
      </c>
    </row>
    <row r="452" spans="3:67" x14ac:dyDescent="0.25">
      <c r="C452" s="246" t="s">
        <v>1802</v>
      </c>
      <c r="D452" s="246">
        <v>1</v>
      </c>
      <c r="E452" s="246">
        <v>2</v>
      </c>
      <c r="F452" s="246">
        <v>3</v>
      </c>
      <c r="G452" s="246">
        <v>6</v>
      </c>
      <c r="H452" s="246">
        <v>9</v>
      </c>
      <c r="I452" s="246">
        <v>14</v>
      </c>
      <c r="J452" s="246">
        <v>15</v>
      </c>
      <c r="K452" s="246"/>
      <c r="L452" s="246"/>
      <c r="M452" s="246"/>
      <c r="N452" s="246"/>
      <c r="O452" s="246"/>
      <c r="P452" s="246"/>
      <c r="Q452" s="246"/>
      <c r="R452" s="246">
        <f>IFERROR(VLOOKUP(D452,PROGRAMAS[],2,FALSE),0)</f>
        <v>97037803.679377079</v>
      </c>
      <c r="S452" s="246">
        <f>IFERROR(VLOOKUP(E452,PROGRAMAS[],2,FALSE),0)</f>
        <v>640501509.6821388</v>
      </c>
      <c r="T452" s="246">
        <f>IFERROR(VLOOKUP(F452,PROGRAMAS[],2,FALSE),0)</f>
        <v>3062327798.1525245</v>
      </c>
      <c r="U452" s="246">
        <f>IFERROR(VLOOKUP(G452,PROGRAMAS[],2,FALSE),0)</f>
        <v>6907648435.8447599</v>
      </c>
      <c r="V452" s="246">
        <f>IFERROR(VLOOKUP(H452,PROGRAMAS[],2,FALSE),0)</f>
        <v>6128579952.1618185</v>
      </c>
      <c r="W452" s="246">
        <f>IFERROR(VLOOKUP(I452,PROGRAMAS[],2,FALSE),0)</f>
        <v>54223862.645839565</v>
      </c>
      <c r="X452" s="246">
        <f>IFERROR(VLOOKUP(J452,PROGRAMAS[],2,FALSE),0)</f>
        <v>122159672.96346797</v>
      </c>
      <c r="Y452" s="246">
        <f>IFERROR(VLOOKUP(K452,PROGRAMAS[],2,FALSE),0)</f>
        <v>0</v>
      </c>
      <c r="Z452" s="246">
        <f>IFERROR(VLOOKUP(L452,PROGRAMAS[],2,FALSE),0)</f>
        <v>0</v>
      </c>
      <c r="AA452" s="246">
        <f>IFERROR(VLOOKUP(M452,PROGRAMAS[],2,FALSE),0)</f>
        <v>0</v>
      </c>
      <c r="AB452" s="246">
        <f>IFERROR(VLOOKUP(N452,PROGRAMAS[],2,FALSE),0)</f>
        <v>0</v>
      </c>
      <c r="AC452" s="246">
        <f>IFERROR(VLOOKUP(O452,PROGRAMAS[],2,FALSE),0)</f>
        <v>0</v>
      </c>
      <c r="AD452" s="246">
        <f>IFERROR(VLOOKUP(P452,PROGRAMAS[],2,FALSE),0)</f>
        <v>0</v>
      </c>
      <c r="AE452" s="246">
        <f>IFERROR(VLOOKUP(Q452,PROGRAMAS[],2,FALSE),0)</f>
        <v>0</v>
      </c>
      <c r="AF452" s="246">
        <f>IFERROR(VLOOKUP(D452,PROGRAMAS[],3,FALSE),0)</f>
        <v>841888629.31080008</v>
      </c>
      <c r="AG452" s="246">
        <f>IFERROR(VLOOKUP(E452,PROGRAMAS[],3,FALSE),0)</f>
        <v>3848980803.1642323</v>
      </c>
      <c r="AH452" s="246">
        <f>IFERROR(VLOOKUP(F452,PROGRAMAS[],3,FALSE),0)</f>
        <v>3394901471.387517</v>
      </c>
      <c r="AI452" s="246">
        <f>IFERROR(VLOOKUP(G452,PROGRAMAS[],3,FALSE),0)</f>
        <v>6129902208.7912121</v>
      </c>
      <c r="AJ452" s="246">
        <f>IFERROR(VLOOKUP(H452,PROGRAMAS[],3,FALSE),0)</f>
        <v>7011279577.519702</v>
      </c>
      <c r="AK452" s="246">
        <f>IFERROR(VLOOKUP(I452,PROGRAMAS[],3,FALSE),0)</f>
        <v>31865326.38096505</v>
      </c>
      <c r="AL452" s="246">
        <f>IFERROR(VLOOKUP(J452,PROGRAMAS[],3,FALSE),0)</f>
        <v>118617452.52510804</v>
      </c>
      <c r="AM452" s="246">
        <f>IFERROR(VLOOKUP(K452,PROGRAMAS[],3,FALSE),0)</f>
        <v>0</v>
      </c>
      <c r="AN452" s="246">
        <f>IFERROR(VLOOKUP(L452,PROGRAMAS[],3,FALSE),0)</f>
        <v>0</v>
      </c>
      <c r="AO452" s="246">
        <f>IFERROR(VLOOKUP(M452,PROGRAMAS[],3,FALSE),0)</f>
        <v>0</v>
      </c>
      <c r="AP452" s="246">
        <f>IFERROR(VLOOKUP(N452,PROGRAMAS[],3,FALSE),0)</f>
        <v>0</v>
      </c>
      <c r="AQ452" s="246">
        <f>IFERROR(VLOOKUP(O452,PROGRAMAS[],3,FALSE),0)</f>
        <v>0</v>
      </c>
      <c r="AR452" s="246">
        <f>IFERROR(VLOOKUP(P452,PROGRAMAS[],3,FALSE),0)</f>
        <v>0</v>
      </c>
      <c r="AS452" s="246">
        <f>IFERROR(VLOOKUP(Q452,PROGRAMAS[],3,FALSE),0)</f>
        <v>0</v>
      </c>
      <c r="AT452" s="246">
        <f>IFERROR(VLOOKUP(D452,VOL_REC[],2,FALSE),0)</f>
        <v>0</v>
      </c>
      <c r="AU452" s="246">
        <f>IFERROR(VLOOKUP(E452,VOL_REC[],2,FALSE),0)</f>
        <v>0</v>
      </c>
      <c r="AV452" s="246">
        <f>IFERROR(VLOOKUP(F452,VOL_REC[],2,FALSE),0)</f>
        <v>11089674.200000001</v>
      </c>
      <c r="AW452" s="246">
        <f>IFERROR(VLOOKUP(G452,VOL_REC[],2,FALSE),0)</f>
        <v>15540036.397699751</v>
      </c>
      <c r="AX452" s="246">
        <f>IFERROR(VLOOKUP(H452,VOL_REC[],2,FALSE),0)</f>
        <v>3761786</v>
      </c>
      <c r="AY452" s="246">
        <f>IFERROR(VLOOKUP(I452,VOL_REC[],2,FALSE),0)</f>
        <v>17074.045034105649</v>
      </c>
      <c r="AZ452" s="246">
        <f>IFERROR(VLOOKUP(J452,VOL_REC[],2,FALSE),0)</f>
        <v>105072</v>
      </c>
      <c r="BA452" s="246">
        <f>IFERROR(VLOOKUP(K452,VOL_REC[],2,FALSE),0)</f>
        <v>0</v>
      </c>
      <c r="BB452" s="246">
        <f>IFERROR(VLOOKUP(L452,VOL_REC[],2,FALSE),0)</f>
        <v>0</v>
      </c>
      <c r="BC452" s="246">
        <f>IFERROR(VLOOKUP(M452,VOL_REC[],2,FALSE),0)</f>
        <v>0</v>
      </c>
      <c r="BD452" s="246">
        <f>IFERROR(VLOOKUP(N452,VOL_REC[],2,FALSE),0)</f>
        <v>0</v>
      </c>
      <c r="BE452" s="246">
        <f>IFERROR(VLOOKUP(O452,VOL_REC[],2,FALSE),0)</f>
        <v>0</v>
      </c>
      <c r="BF452" s="246">
        <f>IFERROR(VLOOKUP(P452,VOL_REC[],2,FALSE),0)</f>
        <v>0</v>
      </c>
      <c r="BG452" s="246">
        <f>IFERROR(VLOOKUP(Q452,VOL_REC[],2,FALSE),0)</f>
        <v>0</v>
      </c>
      <c r="BH452" s="1710">
        <f t="shared" si="28"/>
        <v>17012479035.129927</v>
      </c>
      <c r="BI452" s="1710">
        <f t="shared" si="29"/>
        <v>21377435469.07954</v>
      </c>
      <c r="BJ452" s="1711">
        <f t="shared" si="30"/>
        <v>30513642.642733861</v>
      </c>
      <c r="BK452" s="1711">
        <f t="shared" si="31"/>
        <v>0.79581477674143308</v>
      </c>
    </row>
    <row r="453" spans="3:67" x14ac:dyDescent="0.25">
      <c r="C453" s="246" t="s">
        <v>1803</v>
      </c>
      <c r="D453" s="246">
        <v>1</v>
      </c>
      <c r="E453" s="246">
        <v>2</v>
      </c>
      <c r="F453" s="246">
        <v>3</v>
      </c>
      <c r="G453" s="246">
        <v>6</v>
      </c>
      <c r="H453" s="246">
        <v>9</v>
      </c>
      <c r="I453" s="246">
        <v>14</v>
      </c>
      <c r="J453" s="246">
        <v>16</v>
      </c>
      <c r="K453" s="246"/>
      <c r="L453" s="246"/>
      <c r="M453" s="246"/>
      <c r="N453" s="246"/>
      <c r="O453" s="246"/>
      <c r="P453" s="246"/>
      <c r="Q453" s="246"/>
      <c r="R453" s="246">
        <f>IFERROR(VLOOKUP(D453,PROGRAMAS[],2,FALSE),0)</f>
        <v>97037803.679377079</v>
      </c>
      <c r="S453" s="246">
        <f>IFERROR(VLOOKUP(E453,PROGRAMAS[],2,FALSE),0)</f>
        <v>640501509.6821388</v>
      </c>
      <c r="T453" s="246">
        <f>IFERROR(VLOOKUP(F453,PROGRAMAS[],2,FALSE),0)</f>
        <v>3062327798.1525245</v>
      </c>
      <c r="U453" s="246">
        <f>IFERROR(VLOOKUP(G453,PROGRAMAS[],2,FALSE),0)</f>
        <v>6907648435.8447599</v>
      </c>
      <c r="V453" s="246">
        <f>IFERROR(VLOOKUP(H453,PROGRAMAS[],2,FALSE),0)</f>
        <v>6128579952.1618185</v>
      </c>
      <c r="W453" s="246">
        <f>IFERROR(VLOOKUP(I453,PROGRAMAS[],2,FALSE),0)</f>
        <v>54223862.645839565</v>
      </c>
      <c r="X453" s="246">
        <f>IFERROR(VLOOKUP(J453,PROGRAMAS[],2,FALSE),0)</f>
        <v>7068496961.0436354</v>
      </c>
      <c r="Y453" s="246">
        <f>IFERROR(VLOOKUP(K453,PROGRAMAS[],2,FALSE),0)</f>
        <v>0</v>
      </c>
      <c r="Z453" s="246">
        <f>IFERROR(VLOOKUP(L453,PROGRAMAS[],2,FALSE),0)</f>
        <v>0</v>
      </c>
      <c r="AA453" s="246">
        <f>IFERROR(VLOOKUP(M453,PROGRAMAS[],2,FALSE),0)</f>
        <v>0</v>
      </c>
      <c r="AB453" s="246">
        <f>IFERROR(VLOOKUP(N453,PROGRAMAS[],2,FALSE),0)</f>
        <v>0</v>
      </c>
      <c r="AC453" s="246">
        <f>IFERROR(VLOOKUP(O453,PROGRAMAS[],2,FALSE),0)</f>
        <v>0</v>
      </c>
      <c r="AD453" s="246">
        <f>IFERROR(VLOOKUP(P453,PROGRAMAS[],2,FALSE),0)</f>
        <v>0</v>
      </c>
      <c r="AE453" s="246">
        <f>IFERROR(VLOOKUP(Q453,PROGRAMAS[],2,FALSE),0)</f>
        <v>0</v>
      </c>
      <c r="AF453" s="246">
        <f>IFERROR(VLOOKUP(D453,PROGRAMAS[],3,FALSE),0)</f>
        <v>841888629.31080008</v>
      </c>
      <c r="AG453" s="246">
        <f>IFERROR(VLOOKUP(E453,PROGRAMAS[],3,FALSE),0)</f>
        <v>3848980803.1642323</v>
      </c>
      <c r="AH453" s="246">
        <f>IFERROR(VLOOKUP(F453,PROGRAMAS[],3,FALSE),0)</f>
        <v>3394901471.387517</v>
      </c>
      <c r="AI453" s="246">
        <f>IFERROR(VLOOKUP(G453,PROGRAMAS[],3,FALSE),0)</f>
        <v>6129902208.7912121</v>
      </c>
      <c r="AJ453" s="246">
        <f>IFERROR(VLOOKUP(H453,PROGRAMAS[],3,FALSE),0)</f>
        <v>7011279577.519702</v>
      </c>
      <c r="AK453" s="246">
        <f>IFERROR(VLOOKUP(I453,PROGRAMAS[],3,FALSE),0)</f>
        <v>31865326.38096505</v>
      </c>
      <c r="AL453" s="246">
        <f>IFERROR(VLOOKUP(J453,PROGRAMAS[],3,FALSE),0)</f>
        <v>2406564599.0319901</v>
      </c>
      <c r="AM453" s="246">
        <f>IFERROR(VLOOKUP(K453,PROGRAMAS[],3,FALSE),0)</f>
        <v>0</v>
      </c>
      <c r="AN453" s="246">
        <f>IFERROR(VLOOKUP(L453,PROGRAMAS[],3,FALSE),0)</f>
        <v>0</v>
      </c>
      <c r="AO453" s="246">
        <f>IFERROR(VLOOKUP(M453,PROGRAMAS[],3,FALSE),0)</f>
        <v>0</v>
      </c>
      <c r="AP453" s="246">
        <f>IFERROR(VLOOKUP(N453,PROGRAMAS[],3,FALSE),0)</f>
        <v>0</v>
      </c>
      <c r="AQ453" s="246">
        <f>IFERROR(VLOOKUP(O453,PROGRAMAS[],3,FALSE),0)</f>
        <v>0</v>
      </c>
      <c r="AR453" s="246">
        <f>IFERROR(VLOOKUP(P453,PROGRAMAS[],3,FALSE),0)</f>
        <v>0</v>
      </c>
      <c r="AS453" s="246">
        <f>IFERROR(VLOOKUP(Q453,PROGRAMAS[],3,FALSE),0)</f>
        <v>0</v>
      </c>
      <c r="AT453" s="246">
        <f>IFERROR(VLOOKUP(D453,VOL_REC[],2,FALSE),0)</f>
        <v>0</v>
      </c>
      <c r="AU453" s="246">
        <f>IFERROR(VLOOKUP(E453,VOL_REC[],2,FALSE),0)</f>
        <v>0</v>
      </c>
      <c r="AV453" s="246">
        <f>IFERROR(VLOOKUP(F453,VOL_REC[],2,FALSE),0)</f>
        <v>11089674.200000001</v>
      </c>
      <c r="AW453" s="246">
        <f>IFERROR(VLOOKUP(G453,VOL_REC[],2,FALSE),0)</f>
        <v>15540036.397699751</v>
      </c>
      <c r="AX453" s="246">
        <f>IFERROR(VLOOKUP(H453,VOL_REC[],2,FALSE),0)</f>
        <v>3761786</v>
      </c>
      <c r="AY453" s="246">
        <f>IFERROR(VLOOKUP(I453,VOL_REC[],2,FALSE),0)</f>
        <v>17074.045034105649</v>
      </c>
      <c r="AZ453" s="246">
        <f>IFERROR(VLOOKUP(J453,VOL_REC[],2,FALSE),0)</f>
        <v>1072354.9981737854</v>
      </c>
      <c r="BA453" s="246">
        <f>IFERROR(VLOOKUP(K453,VOL_REC[],2,FALSE),0)</f>
        <v>0</v>
      </c>
      <c r="BB453" s="246">
        <f>IFERROR(VLOOKUP(L453,VOL_REC[],2,FALSE),0)</f>
        <v>0</v>
      </c>
      <c r="BC453" s="246">
        <f>IFERROR(VLOOKUP(M453,VOL_REC[],2,FALSE),0)</f>
        <v>0</v>
      </c>
      <c r="BD453" s="246">
        <f>IFERROR(VLOOKUP(N453,VOL_REC[],2,FALSE),0)</f>
        <v>0</v>
      </c>
      <c r="BE453" s="246">
        <f>IFERROR(VLOOKUP(O453,VOL_REC[],2,FALSE),0)</f>
        <v>0</v>
      </c>
      <c r="BF453" s="246">
        <f>IFERROR(VLOOKUP(P453,VOL_REC[],2,FALSE),0)</f>
        <v>0</v>
      </c>
      <c r="BG453" s="246">
        <f>IFERROR(VLOOKUP(Q453,VOL_REC[],2,FALSE),0)</f>
        <v>0</v>
      </c>
      <c r="BH453" s="1710">
        <f t="shared" si="28"/>
        <v>23958816323.210094</v>
      </c>
      <c r="BI453" s="1710">
        <f t="shared" si="29"/>
        <v>23665382615.586422</v>
      </c>
      <c r="BJ453" s="1711">
        <f t="shared" si="30"/>
        <v>31480925.640907645</v>
      </c>
      <c r="BK453" s="1711">
        <f t="shared" si="31"/>
        <v>1.0123992800957469</v>
      </c>
      <c r="BL453">
        <f>BJ453</f>
        <v>31480925.640907645</v>
      </c>
      <c r="BO453">
        <f>BL453</f>
        <v>31480925.640907645</v>
      </c>
    </row>
    <row r="454" spans="3:67" x14ac:dyDescent="0.25">
      <c r="C454" s="246" t="s">
        <v>1804</v>
      </c>
      <c r="D454" s="246">
        <v>1</v>
      </c>
      <c r="E454" s="246">
        <v>2</v>
      </c>
      <c r="F454" s="246">
        <v>3</v>
      </c>
      <c r="G454" s="246">
        <v>6</v>
      </c>
      <c r="H454" s="246">
        <v>9</v>
      </c>
      <c r="I454" s="246">
        <v>14</v>
      </c>
      <c r="J454" s="246">
        <v>17</v>
      </c>
      <c r="K454" s="246"/>
      <c r="L454" s="246"/>
      <c r="M454" s="246"/>
      <c r="N454" s="246"/>
      <c r="O454" s="246"/>
      <c r="P454" s="246"/>
      <c r="Q454" s="246"/>
      <c r="R454" s="246">
        <f>IFERROR(VLOOKUP(D454,PROGRAMAS[],2,FALSE),0)</f>
        <v>97037803.679377079</v>
      </c>
      <c r="S454" s="246">
        <f>IFERROR(VLOOKUP(E454,PROGRAMAS[],2,FALSE),0)</f>
        <v>640501509.6821388</v>
      </c>
      <c r="T454" s="246">
        <f>IFERROR(VLOOKUP(F454,PROGRAMAS[],2,FALSE),0)</f>
        <v>3062327798.1525245</v>
      </c>
      <c r="U454" s="246">
        <f>IFERROR(VLOOKUP(G454,PROGRAMAS[],2,FALSE),0)</f>
        <v>6907648435.8447599</v>
      </c>
      <c r="V454" s="246">
        <f>IFERROR(VLOOKUP(H454,PROGRAMAS[],2,FALSE),0)</f>
        <v>6128579952.1618185</v>
      </c>
      <c r="W454" s="246">
        <f>IFERROR(VLOOKUP(I454,PROGRAMAS[],2,FALSE),0)</f>
        <v>54223862.645839565</v>
      </c>
      <c r="X454" s="246">
        <f>IFERROR(VLOOKUP(J454,PROGRAMAS[],2,FALSE),0)</f>
        <v>1892779498.5211046</v>
      </c>
      <c r="Y454" s="246">
        <f>IFERROR(VLOOKUP(K454,PROGRAMAS[],2,FALSE),0)</f>
        <v>0</v>
      </c>
      <c r="Z454" s="246">
        <f>IFERROR(VLOOKUP(L454,PROGRAMAS[],2,FALSE),0)</f>
        <v>0</v>
      </c>
      <c r="AA454" s="246">
        <f>IFERROR(VLOOKUP(M454,PROGRAMAS[],2,FALSE),0)</f>
        <v>0</v>
      </c>
      <c r="AB454" s="246">
        <f>IFERROR(VLOOKUP(N454,PROGRAMAS[],2,FALSE),0)</f>
        <v>0</v>
      </c>
      <c r="AC454" s="246">
        <f>IFERROR(VLOOKUP(O454,PROGRAMAS[],2,FALSE),0)</f>
        <v>0</v>
      </c>
      <c r="AD454" s="246">
        <f>IFERROR(VLOOKUP(P454,PROGRAMAS[],2,FALSE),0)</f>
        <v>0</v>
      </c>
      <c r="AE454" s="246">
        <f>IFERROR(VLOOKUP(Q454,PROGRAMAS[],2,FALSE),0)</f>
        <v>0</v>
      </c>
      <c r="AF454" s="246">
        <f>IFERROR(VLOOKUP(D454,PROGRAMAS[],3,FALSE),0)</f>
        <v>841888629.31080008</v>
      </c>
      <c r="AG454" s="246">
        <f>IFERROR(VLOOKUP(E454,PROGRAMAS[],3,FALSE),0)</f>
        <v>3848980803.1642323</v>
      </c>
      <c r="AH454" s="246">
        <f>IFERROR(VLOOKUP(F454,PROGRAMAS[],3,FALSE),0)</f>
        <v>3394901471.387517</v>
      </c>
      <c r="AI454" s="246">
        <f>IFERROR(VLOOKUP(G454,PROGRAMAS[],3,FALSE),0)</f>
        <v>6129902208.7912121</v>
      </c>
      <c r="AJ454" s="246">
        <f>IFERROR(VLOOKUP(H454,PROGRAMAS[],3,FALSE),0)</f>
        <v>7011279577.519702</v>
      </c>
      <c r="AK454" s="246">
        <f>IFERROR(VLOOKUP(I454,PROGRAMAS[],3,FALSE),0)</f>
        <v>31865326.38096505</v>
      </c>
      <c r="AL454" s="246">
        <f>IFERROR(VLOOKUP(J454,PROGRAMAS[],3,FALSE),0)</f>
        <v>948595847.09039903</v>
      </c>
      <c r="AM454" s="246">
        <f>IFERROR(VLOOKUP(K454,PROGRAMAS[],3,FALSE),0)</f>
        <v>0</v>
      </c>
      <c r="AN454" s="246">
        <f>IFERROR(VLOOKUP(L454,PROGRAMAS[],3,FALSE),0)</f>
        <v>0</v>
      </c>
      <c r="AO454" s="246">
        <f>IFERROR(VLOOKUP(M454,PROGRAMAS[],3,FALSE),0)</f>
        <v>0</v>
      </c>
      <c r="AP454" s="246">
        <f>IFERROR(VLOOKUP(N454,PROGRAMAS[],3,FALSE),0)</f>
        <v>0</v>
      </c>
      <c r="AQ454" s="246">
        <f>IFERROR(VLOOKUP(O454,PROGRAMAS[],3,FALSE),0)</f>
        <v>0</v>
      </c>
      <c r="AR454" s="246">
        <f>IFERROR(VLOOKUP(P454,PROGRAMAS[],3,FALSE),0)</f>
        <v>0</v>
      </c>
      <c r="AS454" s="246">
        <f>IFERROR(VLOOKUP(Q454,PROGRAMAS[],3,FALSE),0)</f>
        <v>0</v>
      </c>
      <c r="AT454" s="246">
        <f>IFERROR(VLOOKUP(D454,VOL_REC[],2,FALSE),0)</f>
        <v>0</v>
      </c>
      <c r="AU454" s="246">
        <f>IFERROR(VLOOKUP(E454,VOL_REC[],2,FALSE),0)</f>
        <v>0</v>
      </c>
      <c r="AV454" s="246">
        <f>IFERROR(VLOOKUP(F454,VOL_REC[],2,FALSE),0)</f>
        <v>11089674.200000001</v>
      </c>
      <c r="AW454" s="246">
        <f>IFERROR(VLOOKUP(G454,VOL_REC[],2,FALSE),0)</f>
        <v>15540036.397699751</v>
      </c>
      <c r="AX454" s="246">
        <f>IFERROR(VLOOKUP(H454,VOL_REC[],2,FALSE),0)</f>
        <v>3761786</v>
      </c>
      <c r="AY454" s="246">
        <f>IFERROR(VLOOKUP(I454,VOL_REC[],2,FALSE),0)</f>
        <v>17074.045034105649</v>
      </c>
      <c r="AZ454" s="246">
        <f>IFERROR(VLOOKUP(J454,VOL_REC[],2,FALSE),0)</f>
        <v>740113.98115702497</v>
      </c>
      <c r="BA454" s="246">
        <f>IFERROR(VLOOKUP(K454,VOL_REC[],2,FALSE),0)</f>
        <v>0</v>
      </c>
      <c r="BB454" s="246">
        <f>IFERROR(VLOOKUP(L454,VOL_REC[],2,FALSE),0)</f>
        <v>0</v>
      </c>
      <c r="BC454" s="246">
        <f>IFERROR(VLOOKUP(M454,VOL_REC[],2,FALSE),0)</f>
        <v>0</v>
      </c>
      <c r="BD454" s="246">
        <f>IFERROR(VLOOKUP(N454,VOL_REC[],2,FALSE),0)</f>
        <v>0</v>
      </c>
      <c r="BE454" s="246">
        <f>IFERROR(VLOOKUP(O454,VOL_REC[],2,FALSE),0)</f>
        <v>0</v>
      </c>
      <c r="BF454" s="246">
        <f>IFERROR(VLOOKUP(P454,VOL_REC[],2,FALSE),0)</f>
        <v>0</v>
      </c>
      <c r="BG454" s="246">
        <f>IFERROR(VLOOKUP(Q454,VOL_REC[],2,FALSE),0)</f>
        <v>0</v>
      </c>
      <c r="BH454" s="1710">
        <f t="shared" si="28"/>
        <v>18783098860.687561</v>
      </c>
      <c r="BI454" s="1710">
        <f t="shared" si="29"/>
        <v>22207413863.644833</v>
      </c>
      <c r="BJ454" s="1711">
        <f t="shared" si="30"/>
        <v>31148684.623890884</v>
      </c>
      <c r="BK454" s="1711">
        <f t="shared" si="31"/>
        <v>0.84580307171367097</v>
      </c>
    </row>
    <row r="455" spans="3:67" x14ac:dyDescent="0.25">
      <c r="C455" s="246" t="s">
        <v>1805</v>
      </c>
      <c r="D455" s="246">
        <v>1</v>
      </c>
      <c r="E455" s="246">
        <v>2</v>
      </c>
      <c r="F455" s="246">
        <v>3</v>
      </c>
      <c r="G455" s="246">
        <v>6</v>
      </c>
      <c r="H455" s="246">
        <v>9</v>
      </c>
      <c r="I455" s="246">
        <v>15</v>
      </c>
      <c r="J455" s="246">
        <v>16</v>
      </c>
      <c r="K455" s="246"/>
      <c r="L455" s="246"/>
      <c r="M455" s="246"/>
      <c r="N455" s="246"/>
      <c r="O455" s="246"/>
      <c r="P455" s="246"/>
      <c r="Q455" s="246"/>
      <c r="R455" s="246">
        <f>IFERROR(VLOOKUP(D455,PROGRAMAS[],2,FALSE),0)</f>
        <v>97037803.679377079</v>
      </c>
      <c r="S455" s="246">
        <f>IFERROR(VLOOKUP(E455,PROGRAMAS[],2,FALSE),0)</f>
        <v>640501509.6821388</v>
      </c>
      <c r="T455" s="246">
        <f>IFERROR(VLOOKUP(F455,PROGRAMAS[],2,FALSE),0)</f>
        <v>3062327798.1525245</v>
      </c>
      <c r="U455" s="246">
        <f>IFERROR(VLOOKUP(G455,PROGRAMAS[],2,FALSE),0)</f>
        <v>6907648435.8447599</v>
      </c>
      <c r="V455" s="246">
        <f>IFERROR(VLOOKUP(H455,PROGRAMAS[],2,FALSE),0)</f>
        <v>6128579952.1618185</v>
      </c>
      <c r="W455" s="246">
        <f>IFERROR(VLOOKUP(I455,PROGRAMAS[],2,FALSE),0)</f>
        <v>122159672.96346797</v>
      </c>
      <c r="X455" s="246">
        <f>IFERROR(VLOOKUP(J455,PROGRAMAS[],2,FALSE),0)</f>
        <v>7068496961.0436354</v>
      </c>
      <c r="Y455" s="246">
        <f>IFERROR(VLOOKUP(K455,PROGRAMAS[],2,FALSE),0)</f>
        <v>0</v>
      </c>
      <c r="Z455" s="246">
        <f>IFERROR(VLOOKUP(L455,PROGRAMAS[],2,FALSE),0)</f>
        <v>0</v>
      </c>
      <c r="AA455" s="246">
        <f>IFERROR(VLOOKUP(M455,PROGRAMAS[],2,FALSE),0)</f>
        <v>0</v>
      </c>
      <c r="AB455" s="246">
        <f>IFERROR(VLOOKUP(N455,PROGRAMAS[],2,FALSE),0)</f>
        <v>0</v>
      </c>
      <c r="AC455" s="246">
        <f>IFERROR(VLOOKUP(O455,PROGRAMAS[],2,FALSE),0)</f>
        <v>0</v>
      </c>
      <c r="AD455" s="246">
        <f>IFERROR(VLOOKUP(P455,PROGRAMAS[],2,FALSE),0)</f>
        <v>0</v>
      </c>
      <c r="AE455" s="246">
        <f>IFERROR(VLOOKUP(Q455,PROGRAMAS[],2,FALSE),0)</f>
        <v>0</v>
      </c>
      <c r="AF455" s="246">
        <f>IFERROR(VLOOKUP(D455,PROGRAMAS[],3,FALSE),0)</f>
        <v>841888629.31080008</v>
      </c>
      <c r="AG455" s="246">
        <f>IFERROR(VLOOKUP(E455,PROGRAMAS[],3,FALSE),0)</f>
        <v>3848980803.1642323</v>
      </c>
      <c r="AH455" s="246">
        <f>IFERROR(VLOOKUP(F455,PROGRAMAS[],3,FALSE),0)</f>
        <v>3394901471.387517</v>
      </c>
      <c r="AI455" s="246">
        <f>IFERROR(VLOOKUP(G455,PROGRAMAS[],3,FALSE),0)</f>
        <v>6129902208.7912121</v>
      </c>
      <c r="AJ455" s="246">
        <f>IFERROR(VLOOKUP(H455,PROGRAMAS[],3,FALSE),0)</f>
        <v>7011279577.519702</v>
      </c>
      <c r="AK455" s="246">
        <f>IFERROR(VLOOKUP(I455,PROGRAMAS[],3,FALSE),0)</f>
        <v>118617452.52510804</v>
      </c>
      <c r="AL455" s="246">
        <f>IFERROR(VLOOKUP(J455,PROGRAMAS[],3,FALSE),0)</f>
        <v>2406564599.0319901</v>
      </c>
      <c r="AM455" s="246">
        <f>IFERROR(VLOOKUP(K455,PROGRAMAS[],3,FALSE),0)</f>
        <v>0</v>
      </c>
      <c r="AN455" s="246">
        <f>IFERROR(VLOOKUP(L455,PROGRAMAS[],3,FALSE),0)</f>
        <v>0</v>
      </c>
      <c r="AO455" s="246">
        <f>IFERROR(VLOOKUP(M455,PROGRAMAS[],3,FALSE),0)</f>
        <v>0</v>
      </c>
      <c r="AP455" s="246">
        <f>IFERROR(VLOOKUP(N455,PROGRAMAS[],3,FALSE),0)</f>
        <v>0</v>
      </c>
      <c r="AQ455" s="246">
        <f>IFERROR(VLOOKUP(O455,PROGRAMAS[],3,FALSE),0)</f>
        <v>0</v>
      </c>
      <c r="AR455" s="246">
        <f>IFERROR(VLOOKUP(P455,PROGRAMAS[],3,FALSE),0)</f>
        <v>0</v>
      </c>
      <c r="AS455" s="246">
        <f>IFERROR(VLOOKUP(Q455,PROGRAMAS[],3,FALSE),0)</f>
        <v>0</v>
      </c>
      <c r="AT455" s="246">
        <f>IFERROR(VLOOKUP(D455,VOL_REC[],2,FALSE),0)</f>
        <v>0</v>
      </c>
      <c r="AU455" s="246">
        <f>IFERROR(VLOOKUP(E455,VOL_REC[],2,FALSE),0)</f>
        <v>0</v>
      </c>
      <c r="AV455" s="246">
        <f>IFERROR(VLOOKUP(F455,VOL_REC[],2,FALSE),0)</f>
        <v>11089674.200000001</v>
      </c>
      <c r="AW455" s="246">
        <f>IFERROR(VLOOKUP(G455,VOL_REC[],2,FALSE),0)</f>
        <v>15540036.397699751</v>
      </c>
      <c r="AX455" s="246">
        <f>IFERROR(VLOOKUP(H455,VOL_REC[],2,FALSE),0)</f>
        <v>3761786</v>
      </c>
      <c r="AY455" s="246">
        <f>IFERROR(VLOOKUP(I455,VOL_REC[],2,FALSE),0)</f>
        <v>105072</v>
      </c>
      <c r="AZ455" s="246">
        <f>IFERROR(VLOOKUP(J455,VOL_REC[],2,FALSE),0)</f>
        <v>1072354.9981737854</v>
      </c>
      <c r="BA455" s="246">
        <f>IFERROR(VLOOKUP(K455,VOL_REC[],2,FALSE),0)</f>
        <v>0</v>
      </c>
      <c r="BB455" s="246">
        <f>IFERROR(VLOOKUP(L455,VOL_REC[],2,FALSE),0)</f>
        <v>0</v>
      </c>
      <c r="BC455" s="246">
        <f>IFERROR(VLOOKUP(M455,VOL_REC[],2,FALSE),0)</f>
        <v>0</v>
      </c>
      <c r="BD455" s="246">
        <f>IFERROR(VLOOKUP(N455,VOL_REC[],2,FALSE),0)</f>
        <v>0</v>
      </c>
      <c r="BE455" s="246">
        <f>IFERROR(VLOOKUP(O455,VOL_REC[],2,FALSE),0)</f>
        <v>0</v>
      </c>
      <c r="BF455" s="246">
        <f>IFERROR(VLOOKUP(P455,VOL_REC[],2,FALSE),0)</f>
        <v>0</v>
      </c>
      <c r="BG455" s="246">
        <f>IFERROR(VLOOKUP(Q455,VOL_REC[],2,FALSE),0)</f>
        <v>0</v>
      </c>
      <c r="BH455" s="1710">
        <f t="shared" si="28"/>
        <v>24026752133.527721</v>
      </c>
      <c r="BI455" s="1710">
        <f t="shared" si="29"/>
        <v>23752134741.730564</v>
      </c>
      <c r="BJ455" s="1711">
        <f t="shared" si="30"/>
        <v>31568923.595873538</v>
      </c>
      <c r="BK455" s="1711">
        <f t="shared" si="31"/>
        <v>1.0115617983302645</v>
      </c>
      <c r="BL455">
        <f>BJ455</f>
        <v>31568923.595873538</v>
      </c>
      <c r="BO455">
        <f>BL455</f>
        <v>31568923.595873538</v>
      </c>
    </row>
    <row r="456" spans="3:67" x14ac:dyDescent="0.25">
      <c r="C456" s="246" t="s">
        <v>1806</v>
      </c>
      <c r="D456" s="246">
        <v>1</v>
      </c>
      <c r="E456" s="246">
        <v>2</v>
      </c>
      <c r="F456" s="246">
        <v>3</v>
      </c>
      <c r="G456" s="246">
        <v>6</v>
      </c>
      <c r="H456" s="246">
        <v>9</v>
      </c>
      <c r="I456" s="246">
        <v>15</v>
      </c>
      <c r="J456" s="246">
        <v>17</v>
      </c>
      <c r="K456" s="246"/>
      <c r="L456" s="246"/>
      <c r="M456" s="246"/>
      <c r="N456" s="246"/>
      <c r="O456" s="246"/>
      <c r="P456" s="246"/>
      <c r="Q456" s="246"/>
      <c r="R456" s="246">
        <f>IFERROR(VLOOKUP(D456,PROGRAMAS[],2,FALSE),0)</f>
        <v>97037803.679377079</v>
      </c>
      <c r="S456" s="246">
        <f>IFERROR(VLOOKUP(E456,PROGRAMAS[],2,FALSE),0)</f>
        <v>640501509.6821388</v>
      </c>
      <c r="T456" s="246">
        <f>IFERROR(VLOOKUP(F456,PROGRAMAS[],2,FALSE),0)</f>
        <v>3062327798.1525245</v>
      </c>
      <c r="U456" s="246">
        <f>IFERROR(VLOOKUP(G456,PROGRAMAS[],2,FALSE),0)</f>
        <v>6907648435.8447599</v>
      </c>
      <c r="V456" s="246">
        <f>IFERROR(VLOOKUP(H456,PROGRAMAS[],2,FALSE),0)</f>
        <v>6128579952.1618185</v>
      </c>
      <c r="W456" s="246">
        <f>IFERROR(VLOOKUP(I456,PROGRAMAS[],2,FALSE),0)</f>
        <v>122159672.96346797</v>
      </c>
      <c r="X456" s="246">
        <f>IFERROR(VLOOKUP(J456,PROGRAMAS[],2,FALSE),0)</f>
        <v>1892779498.5211046</v>
      </c>
      <c r="Y456" s="246">
        <f>IFERROR(VLOOKUP(K456,PROGRAMAS[],2,FALSE),0)</f>
        <v>0</v>
      </c>
      <c r="Z456" s="246">
        <f>IFERROR(VLOOKUP(L456,PROGRAMAS[],2,FALSE),0)</f>
        <v>0</v>
      </c>
      <c r="AA456" s="246">
        <f>IFERROR(VLOOKUP(M456,PROGRAMAS[],2,FALSE),0)</f>
        <v>0</v>
      </c>
      <c r="AB456" s="246">
        <f>IFERROR(VLOOKUP(N456,PROGRAMAS[],2,FALSE),0)</f>
        <v>0</v>
      </c>
      <c r="AC456" s="246">
        <f>IFERROR(VLOOKUP(O456,PROGRAMAS[],2,FALSE),0)</f>
        <v>0</v>
      </c>
      <c r="AD456" s="246">
        <f>IFERROR(VLOOKUP(P456,PROGRAMAS[],2,FALSE),0)</f>
        <v>0</v>
      </c>
      <c r="AE456" s="246">
        <f>IFERROR(VLOOKUP(Q456,PROGRAMAS[],2,FALSE),0)</f>
        <v>0</v>
      </c>
      <c r="AF456" s="246">
        <f>IFERROR(VLOOKUP(D456,PROGRAMAS[],3,FALSE),0)</f>
        <v>841888629.31080008</v>
      </c>
      <c r="AG456" s="246">
        <f>IFERROR(VLOOKUP(E456,PROGRAMAS[],3,FALSE),0)</f>
        <v>3848980803.1642323</v>
      </c>
      <c r="AH456" s="246">
        <f>IFERROR(VLOOKUP(F456,PROGRAMAS[],3,FALSE),0)</f>
        <v>3394901471.387517</v>
      </c>
      <c r="AI456" s="246">
        <f>IFERROR(VLOOKUP(G456,PROGRAMAS[],3,FALSE),0)</f>
        <v>6129902208.7912121</v>
      </c>
      <c r="AJ456" s="246">
        <f>IFERROR(VLOOKUP(H456,PROGRAMAS[],3,FALSE),0)</f>
        <v>7011279577.519702</v>
      </c>
      <c r="AK456" s="246">
        <f>IFERROR(VLOOKUP(I456,PROGRAMAS[],3,FALSE),0)</f>
        <v>118617452.52510804</v>
      </c>
      <c r="AL456" s="246">
        <f>IFERROR(VLOOKUP(J456,PROGRAMAS[],3,FALSE),0)</f>
        <v>948595847.09039903</v>
      </c>
      <c r="AM456" s="246">
        <f>IFERROR(VLOOKUP(K456,PROGRAMAS[],3,FALSE),0)</f>
        <v>0</v>
      </c>
      <c r="AN456" s="246">
        <f>IFERROR(VLOOKUP(L456,PROGRAMAS[],3,FALSE),0)</f>
        <v>0</v>
      </c>
      <c r="AO456" s="246">
        <f>IFERROR(VLOOKUP(M456,PROGRAMAS[],3,FALSE),0)</f>
        <v>0</v>
      </c>
      <c r="AP456" s="246">
        <f>IFERROR(VLOOKUP(N456,PROGRAMAS[],3,FALSE),0)</f>
        <v>0</v>
      </c>
      <c r="AQ456" s="246">
        <f>IFERROR(VLOOKUP(O456,PROGRAMAS[],3,FALSE),0)</f>
        <v>0</v>
      </c>
      <c r="AR456" s="246">
        <f>IFERROR(VLOOKUP(P456,PROGRAMAS[],3,FALSE),0)</f>
        <v>0</v>
      </c>
      <c r="AS456" s="246">
        <f>IFERROR(VLOOKUP(Q456,PROGRAMAS[],3,FALSE),0)</f>
        <v>0</v>
      </c>
      <c r="AT456" s="246">
        <f>IFERROR(VLOOKUP(D456,VOL_REC[],2,FALSE),0)</f>
        <v>0</v>
      </c>
      <c r="AU456" s="246">
        <f>IFERROR(VLOOKUP(E456,VOL_REC[],2,FALSE),0)</f>
        <v>0</v>
      </c>
      <c r="AV456" s="246">
        <f>IFERROR(VLOOKUP(F456,VOL_REC[],2,FALSE),0)</f>
        <v>11089674.200000001</v>
      </c>
      <c r="AW456" s="246">
        <f>IFERROR(VLOOKUP(G456,VOL_REC[],2,FALSE),0)</f>
        <v>15540036.397699751</v>
      </c>
      <c r="AX456" s="246">
        <f>IFERROR(VLOOKUP(H456,VOL_REC[],2,FALSE),0)</f>
        <v>3761786</v>
      </c>
      <c r="AY456" s="246">
        <f>IFERROR(VLOOKUP(I456,VOL_REC[],2,FALSE),0)</f>
        <v>105072</v>
      </c>
      <c r="AZ456" s="246">
        <f>IFERROR(VLOOKUP(J456,VOL_REC[],2,FALSE),0)</f>
        <v>740113.98115702497</v>
      </c>
      <c r="BA456" s="246">
        <f>IFERROR(VLOOKUP(K456,VOL_REC[],2,FALSE),0)</f>
        <v>0</v>
      </c>
      <c r="BB456" s="246">
        <f>IFERROR(VLOOKUP(L456,VOL_REC[],2,FALSE),0)</f>
        <v>0</v>
      </c>
      <c r="BC456" s="246">
        <f>IFERROR(VLOOKUP(M456,VOL_REC[],2,FALSE),0)</f>
        <v>0</v>
      </c>
      <c r="BD456" s="246">
        <f>IFERROR(VLOOKUP(N456,VOL_REC[],2,FALSE),0)</f>
        <v>0</v>
      </c>
      <c r="BE456" s="246">
        <f>IFERROR(VLOOKUP(O456,VOL_REC[],2,FALSE),0)</f>
        <v>0</v>
      </c>
      <c r="BF456" s="246">
        <f>IFERROR(VLOOKUP(P456,VOL_REC[],2,FALSE),0)</f>
        <v>0</v>
      </c>
      <c r="BG456" s="246">
        <f>IFERROR(VLOOKUP(Q456,VOL_REC[],2,FALSE),0)</f>
        <v>0</v>
      </c>
      <c r="BH456" s="1710">
        <f t="shared" si="28"/>
        <v>18851034671.005192</v>
      </c>
      <c r="BI456" s="1710">
        <f t="shared" si="29"/>
        <v>22294165989.788975</v>
      </c>
      <c r="BJ456" s="1711">
        <f t="shared" si="30"/>
        <v>31236682.578856777</v>
      </c>
      <c r="BK456" s="1711">
        <f t="shared" si="31"/>
        <v>0.84555908840183647</v>
      </c>
    </row>
    <row r="457" spans="3:67" x14ac:dyDescent="0.25">
      <c r="C457" s="246" t="s">
        <v>1807</v>
      </c>
      <c r="D457" s="246">
        <v>1</v>
      </c>
      <c r="E457" s="246">
        <v>2</v>
      </c>
      <c r="F457" s="246">
        <v>3</v>
      </c>
      <c r="G457" s="246">
        <v>6</v>
      </c>
      <c r="H457" s="246">
        <v>9</v>
      </c>
      <c r="I457" s="246">
        <v>16</v>
      </c>
      <c r="J457" s="246">
        <v>17</v>
      </c>
      <c r="K457" s="246"/>
      <c r="L457" s="246"/>
      <c r="M457" s="246"/>
      <c r="N457" s="246"/>
      <c r="O457" s="246"/>
      <c r="P457" s="246"/>
      <c r="Q457" s="246"/>
      <c r="R457" s="246">
        <f>IFERROR(VLOOKUP(D457,PROGRAMAS[],2,FALSE),0)</f>
        <v>97037803.679377079</v>
      </c>
      <c r="S457" s="246">
        <f>IFERROR(VLOOKUP(E457,PROGRAMAS[],2,FALSE),0)</f>
        <v>640501509.6821388</v>
      </c>
      <c r="T457" s="246">
        <f>IFERROR(VLOOKUP(F457,PROGRAMAS[],2,FALSE),0)</f>
        <v>3062327798.1525245</v>
      </c>
      <c r="U457" s="246">
        <f>IFERROR(VLOOKUP(G457,PROGRAMAS[],2,FALSE),0)</f>
        <v>6907648435.8447599</v>
      </c>
      <c r="V457" s="246">
        <f>IFERROR(VLOOKUP(H457,PROGRAMAS[],2,FALSE),0)</f>
        <v>6128579952.1618185</v>
      </c>
      <c r="W457" s="246">
        <f>IFERROR(VLOOKUP(I457,PROGRAMAS[],2,FALSE),0)</f>
        <v>7068496961.0436354</v>
      </c>
      <c r="X457" s="246">
        <f>IFERROR(VLOOKUP(J457,PROGRAMAS[],2,FALSE),0)</f>
        <v>1892779498.5211046</v>
      </c>
      <c r="Y457" s="246">
        <f>IFERROR(VLOOKUP(K457,PROGRAMAS[],2,FALSE),0)</f>
        <v>0</v>
      </c>
      <c r="Z457" s="246">
        <f>IFERROR(VLOOKUP(L457,PROGRAMAS[],2,FALSE),0)</f>
        <v>0</v>
      </c>
      <c r="AA457" s="246">
        <f>IFERROR(VLOOKUP(M457,PROGRAMAS[],2,FALSE),0)</f>
        <v>0</v>
      </c>
      <c r="AB457" s="246">
        <f>IFERROR(VLOOKUP(N457,PROGRAMAS[],2,FALSE),0)</f>
        <v>0</v>
      </c>
      <c r="AC457" s="246">
        <f>IFERROR(VLOOKUP(O457,PROGRAMAS[],2,FALSE),0)</f>
        <v>0</v>
      </c>
      <c r="AD457" s="246">
        <f>IFERROR(VLOOKUP(P457,PROGRAMAS[],2,FALSE),0)</f>
        <v>0</v>
      </c>
      <c r="AE457" s="246">
        <f>IFERROR(VLOOKUP(Q457,PROGRAMAS[],2,FALSE),0)</f>
        <v>0</v>
      </c>
      <c r="AF457" s="246">
        <f>IFERROR(VLOOKUP(D457,PROGRAMAS[],3,FALSE),0)</f>
        <v>841888629.31080008</v>
      </c>
      <c r="AG457" s="246">
        <f>IFERROR(VLOOKUP(E457,PROGRAMAS[],3,FALSE),0)</f>
        <v>3848980803.1642323</v>
      </c>
      <c r="AH457" s="246">
        <f>IFERROR(VLOOKUP(F457,PROGRAMAS[],3,FALSE),0)</f>
        <v>3394901471.387517</v>
      </c>
      <c r="AI457" s="246">
        <f>IFERROR(VLOOKUP(G457,PROGRAMAS[],3,FALSE),0)</f>
        <v>6129902208.7912121</v>
      </c>
      <c r="AJ457" s="246">
        <f>IFERROR(VLOOKUP(H457,PROGRAMAS[],3,FALSE),0)</f>
        <v>7011279577.519702</v>
      </c>
      <c r="AK457" s="246">
        <f>IFERROR(VLOOKUP(I457,PROGRAMAS[],3,FALSE),0)</f>
        <v>2406564599.0319901</v>
      </c>
      <c r="AL457" s="246">
        <f>IFERROR(VLOOKUP(J457,PROGRAMAS[],3,FALSE),0)</f>
        <v>948595847.09039903</v>
      </c>
      <c r="AM457" s="246">
        <f>IFERROR(VLOOKUP(K457,PROGRAMAS[],3,FALSE),0)</f>
        <v>0</v>
      </c>
      <c r="AN457" s="246">
        <f>IFERROR(VLOOKUP(L457,PROGRAMAS[],3,FALSE),0)</f>
        <v>0</v>
      </c>
      <c r="AO457" s="246">
        <f>IFERROR(VLOOKUP(M457,PROGRAMAS[],3,FALSE),0)</f>
        <v>0</v>
      </c>
      <c r="AP457" s="246">
        <f>IFERROR(VLOOKUP(N457,PROGRAMAS[],3,FALSE),0)</f>
        <v>0</v>
      </c>
      <c r="AQ457" s="246">
        <f>IFERROR(VLOOKUP(O457,PROGRAMAS[],3,FALSE),0)</f>
        <v>0</v>
      </c>
      <c r="AR457" s="246">
        <f>IFERROR(VLOOKUP(P457,PROGRAMAS[],3,FALSE),0)</f>
        <v>0</v>
      </c>
      <c r="AS457" s="246">
        <f>IFERROR(VLOOKUP(Q457,PROGRAMAS[],3,FALSE),0)</f>
        <v>0</v>
      </c>
      <c r="AT457" s="246">
        <f>IFERROR(VLOOKUP(D457,VOL_REC[],2,FALSE),0)</f>
        <v>0</v>
      </c>
      <c r="AU457" s="246">
        <f>IFERROR(VLOOKUP(E457,VOL_REC[],2,FALSE),0)</f>
        <v>0</v>
      </c>
      <c r="AV457" s="246">
        <f>IFERROR(VLOOKUP(F457,VOL_REC[],2,FALSE),0)</f>
        <v>11089674.200000001</v>
      </c>
      <c r="AW457" s="246">
        <f>IFERROR(VLOOKUP(G457,VOL_REC[],2,FALSE),0)</f>
        <v>15540036.397699751</v>
      </c>
      <c r="AX457" s="246">
        <f>IFERROR(VLOOKUP(H457,VOL_REC[],2,FALSE),0)</f>
        <v>3761786</v>
      </c>
      <c r="AY457" s="246">
        <f>IFERROR(VLOOKUP(I457,VOL_REC[],2,FALSE),0)</f>
        <v>1072354.9981737854</v>
      </c>
      <c r="AZ457" s="246">
        <f>IFERROR(VLOOKUP(J457,VOL_REC[],2,FALSE),0)</f>
        <v>740113.98115702497</v>
      </c>
      <c r="BA457" s="246">
        <f>IFERROR(VLOOKUP(K457,VOL_REC[],2,FALSE),0)</f>
        <v>0</v>
      </c>
      <c r="BB457" s="246">
        <f>IFERROR(VLOOKUP(L457,VOL_REC[],2,FALSE),0)</f>
        <v>0</v>
      </c>
      <c r="BC457" s="246">
        <f>IFERROR(VLOOKUP(M457,VOL_REC[],2,FALSE),0)</f>
        <v>0</v>
      </c>
      <c r="BD457" s="246">
        <f>IFERROR(VLOOKUP(N457,VOL_REC[],2,FALSE),0)</f>
        <v>0</v>
      </c>
      <c r="BE457" s="246">
        <f>IFERROR(VLOOKUP(O457,VOL_REC[],2,FALSE),0)</f>
        <v>0</v>
      </c>
      <c r="BF457" s="246">
        <f>IFERROR(VLOOKUP(P457,VOL_REC[],2,FALSE),0)</f>
        <v>0</v>
      </c>
      <c r="BG457" s="246">
        <f>IFERROR(VLOOKUP(Q457,VOL_REC[],2,FALSE),0)</f>
        <v>0</v>
      </c>
      <c r="BH457" s="1710">
        <f t="shared" si="28"/>
        <v>25797371959.085358</v>
      </c>
      <c r="BI457" s="1710">
        <f t="shared" si="29"/>
        <v>24582113136.295856</v>
      </c>
      <c r="BJ457" s="1711">
        <f t="shared" si="30"/>
        <v>32203965.577030562</v>
      </c>
      <c r="BK457" s="1711">
        <f t="shared" si="31"/>
        <v>1.0494367109959784</v>
      </c>
      <c r="BL457">
        <f>BJ457</f>
        <v>32203965.577030562</v>
      </c>
      <c r="BO457">
        <f>BL457</f>
        <v>32203965.577030562</v>
      </c>
    </row>
    <row r="458" spans="3:67" x14ac:dyDescent="0.25">
      <c r="C458" s="246" t="s">
        <v>1808</v>
      </c>
      <c r="D458" s="246">
        <v>1</v>
      </c>
      <c r="E458" s="246">
        <v>2</v>
      </c>
      <c r="F458" s="246">
        <v>3</v>
      </c>
      <c r="G458" s="246">
        <v>6</v>
      </c>
      <c r="H458" s="246">
        <v>10</v>
      </c>
      <c r="I458" s="246">
        <v>12</v>
      </c>
      <c r="J458" s="246">
        <v>13</v>
      </c>
      <c r="K458" s="246"/>
      <c r="L458" s="246"/>
      <c r="M458" s="246"/>
      <c r="N458" s="246"/>
      <c r="O458" s="246"/>
      <c r="P458" s="246"/>
      <c r="Q458" s="246"/>
      <c r="R458" s="246">
        <f>IFERROR(VLOOKUP(D458,PROGRAMAS[],2,FALSE),0)</f>
        <v>97037803.679377079</v>
      </c>
      <c r="S458" s="246">
        <f>IFERROR(VLOOKUP(E458,PROGRAMAS[],2,FALSE),0)</f>
        <v>640501509.6821388</v>
      </c>
      <c r="T458" s="246">
        <f>IFERROR(VLOOKUP(F458,PROGRAMAS[],2,FALSE),0)</f>
        <v>3062327798.1525245</v>
      </c>
      <c r="U458" s="246">
        <f>IFERROR(VLOOKUP(G458,PROGRAMAS[],2,FALSE),0)</f>
        <v>6907648435.8447599</v>
      </c>
      <c r="V458" s="246">
        <f>IFERROR(VLOOKUP(H458,PROGRAMAS[],2,FALSE),0)</f>
        <v>4635315027.8751087</v>
      </c>
      <c r="W458" s="246">
        <f>IFERROR(VLOOKUP(I458,PROGRAMAS[],2,FALSE),0)</f>
        <v>764796700.79905891</v>
      </c>
      <c r="X458" s="246">
        <f>IFERROR(VLOOKUP(J458,PROGRAMAS[],2,FALSE),0)</f>
        <v>3776538594.4604583</v>
      </c>
      <c r="Y458" s="246">
        <f>IFERROR(VLOOKUP(K458,PROGRAMAS[],2,FALSE),0)</f>
        <v>0</v>
      </c>
      <c r="Z458" s="246">
        <f>IFERROR(VLOOKUP(L458,PROGRAMAS[],2,FALSE),0)</f>
        <v>0</v>
      </c>
      <c r="AA458" s="246">
        <f>IFERROR(VLOOKUP(M458,PROGRAMAS[],2,FALSE),0)</f>
        <v>0</v>
      </c>
      <c r="AB458" s="246">
        <f>IFERROR(VLOOKUP(N458,PROGRAMAS[],2,FALSE),0)</f>
        <v>0</v>
      </c>
      <c r="AC458" s="246">
        <f>IFERROR(VLOOKUP(O458,PROGRAMAS[],2,FALSE),0)</f>
        <v>0</v>
      </c>
      <c r="AD458" s="246">
        <f>IFERROR(VLOOKUP(P458,PROGRAMAS[],2,FALSE),0)</f>
        <v>0</v>
      </c>
      <c r="AE458" s="246">
        <f>IFERROR(VLOOKUP(Q458,PROGRAMAS[],2,FALSE),0)</f>
        <v>0</v>
      </c>
      <c r="AF458" s="246">
        <f>IFERROR(VLOOKUP(D458,PROGRAMAS[],3,FALSE),0)</f>
        <v>841888629.31080008</v>
      </c>
      <c r="AG458" s="246">
        <f>IFERROR(VLOOKUP(E458,PROGRAMAS[],3,FALSE),0)</f>
        <v>3848980803.1642323</v>
      </c>
      <c r="AH458" s="246">
        <f>IFERROR(VLOOKUP(F458,PROGRAMAS[],3,FALSE),0)</f>
        <v>3394901471.387517</v>
      </c>
      <c r="AI458" s="246">
        <f>IFERROR(VLOOKUP(G458,PROGRAMAS[],3,FALSE),0)</f>
        <v>6129902208.7912121</v>
      </c>
      <c r="AJ458" s="246">
        <f>IFERROR(VLOOKUP(H458,PROGRAMAS[],3,FALSE),0)</f>
        <v>4099471734.9978786</v>
      </c>
      <c r="AK458" s="246">
        <f>IFERROR(VLOOKUP(I458,PROGRAMAS[],3,FALSE),0)</f>
        <v>675517840.109828</v>
      </c>
      <c r="AL458" s="246">
        <f>IFERROR(VLOOKUP(J458,PROGRAMAS[],3,FALSE),0)</f>
        <v>2392571243.5584412</v>
      </c>
      <c r="AM458" s="246">
        <f>IFERROR(VLOOKUP(K458,PROGRAMAS[],3,FALSE),0)</f>
        <v>0</v>
      </c>
      <c r="AN458" s="246">
        <f>IFERROR(VLOOKUP(L458,PROGRAMAS[],3,FALSE),0)</f>
        <v>0</v>
      </c>
      <c r="AO458" s="246">
        <f>IFERROR(VLOOKUP(M458,PROGRAMAS[],3,FALSE),0)</f>
        <v>0</v>
      </c>
      <c r="AP458" s="246">
        <f>IFERROR(VLOOKUP(N458,PROGRAMAS[],3,FALSE),0)</f>
        <v>0</v>
      </c>
      <c r="AQ458" s="246">
        <f>IFERROR(VLOOKUP(O458,PROGRAMAS[],3,FALSE),0)</f>
        <v>0</v>
      </c>
      <c r="AR458" s="246">
        <f>IFERROR(VLOOKUP(P458,PROGRAMAS[],3,FALSE),0)</f>
        <v>0</v>
      </c>
      <c r="AS458" s="246">
        <f>IFERROR(VLOOKUP(Q458,PROGRAMAS[],3,FALSE),0)</f>
        <v>0</v>
      </c>
      <c r="AT458" s="246">
        <f>IFERROR(VLOOKUP(D458,VOL_REC[],2,FALSE),0)</f>
        <v>0</v>
      </c>
      <c r="AU458" s="246">
        <f>IFERROR(VLOOKUP(E458,VOL_REC[],2,FALSE),0)</f>
        <v>0</v>
      </c>
      <c r="AV458" s="246">
        <f>IFERROR(VLOOKUP(F458,VOL_REC[],2,FALSE),0)</f>
        <v>11089674.200000001</v>
      </c>
      <c r="AW458" s="246">
        <f>IFERROR(VLOOKUP(G458,VOL_REC[],2,FALSE),0)</f>
        <v>15540036.397699751</v>
      </c>
      <c r="AX458" s="246">
        <f>IFERROR(VLOOKUP(H458,VOL_REC[],2,FALSE),0)</f>
        <v>1812240</v>
      </c>
      <c r="AY458" s="246">
        <f>IFERROR(VLOOKUP(I458,VOL_REC[],2,FALSE),0)</f>
        <v>240696.79238099116</v>
      </c>
      <c r="AZ458" s="246">
        <f>IFERROR(VLOOKUP(J458,VOL_REC[],2,FALSE),0)</f>
        <v>663244.80000000016</v>
      </c>
      <c r="BA458" s="246">
        <f>IFERROR(VLOOKUP(K458,VOL_REC[],2,FALSE),0)</f>
        <v>0</v>
      </c>
      <c r="BB458" s="246">
        <f>IFERROR(VLOOKUP(L458,VOL_REC[],2,FALSE),0)</f>
        <v>0</v>
      </c>
      <c r="BC458" s="246">
        <f>IFERROR(VLOOKUP(M458,VOL_REC[],2,FALSE),0)</f>
        <v>0</v>
      </c>
      <c r="BD458" s="246">
        <f>IFERROR(VLOOKUP(N458,VOL_REC[],2,FALSE),0)</f>
        <v>0</v>
      </c>
      <c r="BE458" s="246">
        <f>IFERROR(VLOOKUP(O458,VOL_REC[],2,FALSE),0)</f>
        <v>0</v>
      </c>
      <c r="BF458" s="246">
        <f>IFERROR(VLOOKUP(P458,VOL_REC[],2,FALSE),0)</f>
        <v>0</v>
      </c>
      <c r="BG458" s="246">
        <f>IFERROR(VLOOKUP(Q458,VOL_REC[],2,FALSE),0)</f>
        <v>0</v>
      </c>
      <c r="BH458" s="1710">
        <f t="shared" si="28"/>
        <v>19884165870.493427</v>
      </c>
      <c r="BI458" s="1710">
        <f t="shared" si="29"/>
        <v>21383233931.319912</v>
      </c>
      <c r="BJ458" s="1711">
        <f t="shared" si="30"/>
        <v>29345892.190080747</v>
      </c>
      <c r="BK458" s="1711">
        <f t="shared" si="31"/>
        <v>0.92989516620164703</v>
      </c>
    </row>
    <row r="459" spans="3:67" x14ac:dyDescent="0.25">
      <c r="C459" s="246" t="s">
        <v>1809</v>
      </c>
      <c r="D459" s="246">
        <v>1</v>
      </c>
      <c r="E459" s="246">
        <v>2</v>
      </c>
      <c r="F459" s="246">
        <v>3</v>
      </c>
      <c r="G459" s="246">
        <v>6</v>
      </c>
      <c r="H459" s="246">
        <v>10</v>
      </c>
      <c r="I459" s="246">
        <v>12</v>
      </c>
      <c r="J459" s="246">
        <v>14</v>
      </c>
      <c r="K459" s="246"/>
      <c r="L459" s="246"/>
      <c r="M459" s="246"/>
      <c r="N459" s="246"/>
      <c r="O459" s="246"/>
      <c r="P459" s="246"/>
      <c r="Q459" s="246"/>
      <c r="R459" s="246">
        <f>IFERROR(VLOOKUP(D459,PROGRAMAS[],2,FALSE),0)</f>
        <v>97037803.679377079</v>
      </c>
      <c r="S459" s="246">
        <f>IFERROR(VLOOKUP(E459,PROGRAMAS[],2,FALSE),0)</f>
        <v>640501509.6821388</v>
      </c>
      <c r="T459" s="246">
        <f>IFERROR(VLOOKUP(F459,PROGRAMAS[],2,FALSE),0)</f>
        <v>3062327798.1525245</v>
      </c>
      <c r="U459" s="246">
        <f>IFERROR(VLOOKUP(G459,PROGRAMAS[],2,FALSE),0)</f>
        <v>6907648435.8447599</v>
      </c>
      <c r="V459" s="246">
        <f>IFERROR(VLOOKUP(H459,PROGRAMAS[],2,FALSE),0)</f>
        <v>4635315027.8751087</v>
      </c>
      <c r="W459" s="246">
        <f>IFERROR(VLOOKUP(I459,PROGRAMAS[],2,FALSE),0)</f>
        <v>764796700.79905891</v>
      </c>
      <c r="X459" s="246">
        <f>IFERROR(VLOOKUP(J459,PROGRAMAS[],2,FALSE),0)</f>
        <v>54223862.645839565</v>
      </c>
      <c r="Y459" s="246">
        <f>IFERROR(VLOOKUP(K459,PROGRAMAS[],2,FALSE),0)</f>
        <v>0</v>
      </c>
      <c r="Z459" s="246">
        <f>IFERROR(VLOOKUP(L459,PROGRAMAS[],2,FALSE),0)</f>
        <v>0</v>
      </c>
      <c r="AA459" s="246">
        <f>IFERROR(VLOOKUP(M459,PROGRAMAS[],2,FALSE),0)</f>
        <v>0</v>
      </c>
      <c r="AB459" s="246">
        <f>IFERROR(VLOOKUP(N459,PROGRAMAS[],2,FALSE),0)</f>
        <v>0</v>
      </c>
      <c r="AC459" s="246">
        <f>IFERROR(VLOOKUP(O459,PROGRAMAS[],2,FALSE),0)</f>
        <v>0</v>
      </c>
      <c r="AD459" s="246">
        <f>IFERROR(VLOOKUP(P459,PROGRAMAS[],2,FALSE),0)</f>
        <v>0</v>
      </c>
      <c r="AE459" s="246">
        <f>IFERROR(VLOOKUP(Q459,PROGRAMAS[],2,FALSE),0)</f>
        <v>0</v>
      </c>
      <c r="AF459" s="246">
        <f>IFERROR(VLOOKUP(D459,PROGRAMAS[],3,FALSE),0)</f>
        <v>841888629.31080008</v>
      </c>
      <c r="AG459" s="246">
        <f>IFERROR(VLOOKUP(E459,PROGRAMAS[],3,FALSE),0)</f>
        <v>3848980803.1642323</v>
      </c>
      <c r="AH459" s="246">
        <f>IFERROR(VLOOKUP(F459,PROGRAMAS[],3,FALSE),0)</f>
        <v>3394901471.387517</v>
      </c>
      <c r="AI459" s="246">
        <f>IFERROR(VLOOKUP(G459,PROGRAMAS[],3,FALSE),0)</f>
        <v>6129902208.7912121</v>
      </c>
      <c r="AJ459" s="246">
        <f>IFERROR(VLOOKUP(H459,PROGRAMAS[],3,FALSE),0)</f>
        <v>4099471734.9978786</v>
      </c>
      <c r="AK459" s="246">
        <f>IFERROR(VLOOKUP(I459,PROGRAMAS[],3,FALSE),0)</f>
        <v>675517840.109828</v>
      </c>
      <c r="AL459" s="246">
        <f>IFERROR(VLOOKUP(J459,PROGRAMAS[],3,FALSE),0)</f>
        <v>31865326.38096505</v>
      </c>
      <c r="AM459" s="246">
        <f>IFERROR(VLOOKUP(K459,PROGRAMAS[],3,FALSE),0)</f>
        <v>0</v>
      </c>
      <c r="AN459" s="246">
        <f>IFERROR(VLOOKUP(L459,PROGRAMAS[],3,FALSE),0)</f>
        <v>0</v>
      </c>
      <c r="AO459" s="246">
        <f>IFERROR(VLOOKUP(M459,PROGRAMAS[],3,FALSE),0)</f>
        <v>0</v>
      </c>
      <c r="AP459" s="246">
        <f>IFERROR(VLOOKUP(N459,PROGRAMAS[],3,FALSE),0)</f>
        <v>0</v>
      </c>
      <c r="AQ459" s="246">
        <f>IFERROR(VLOOKUP(O459,PROGRAMAS[],3,FALSE),0)</f>
        <v>0</v>
      </c>
      <c r="AR459" s="246">
        <f>IFERROR(VLOOKUP(P459,PROGRAMAS[],3,FALSE),0)</f>
        <v>0</v>
      </c>
      <c r="AS459" s="246">
        <f>IFERROR(VLOOKUP(Q459,PROGRAMAS[],3,FALSE),0)</f>
        <v>0</v>
      </c>
      <c r="AT459" s="246">
        <f>IFERROR(VLOOKUP(D459,VOL_REC[],2,FALSE),0)</f>
        <v>0</v>
      </c>
      <c r="AU459" s="246">
        <f>IFERROR(VLOOKUP(E459,VOL_REC[],2,FALSE),0)</f>
        <v>0</v>
      </c>
      <c r="AV459" s="246">
        <f>IFERROR(VLOOKUP(F459,VOL_REC[],2,FALSE),0)</f>
        <v>11089674.200000001</v>
      </c>
      <c r="AW459" s="246">
        <f>IFERROR(VLOOKUP(G459,VOL_REC[],2,FALSE),0)</f>
        <v>15540036.397699751</v>
      </c>
      <c r="AX459" s="246">
        <f>IFERROR(VLOOKUP(H459,VOL_REC[],2,FALSE),0)</f>
        <v>1812240</v>
      </c>
      <c r="AY459" s="246">
        <f>IFERROR(VLOOKUP(I459,VOL_REC[],2,FALSE),0)</f>
        <v>240696.79238099116</v>
      </c>
      <c r="AZ459" s="246">
        <f>IFERROR(VLOOKUP(J459,VOL_REC[],2,FALSE),0)</f>
        <v>17074.045034105649</v>
      </c>
      <c r="BA459" s="246">
        <f>IFERROR(VLOOKUP(K459,VOL_REC[],2,FALSE),0)</f>
        <v>0</v>
      </c>
      <c r="BB459" s="246">
        <f>IFERROR(VLOOKUP(L459,VOL_REC[],2,FALSE),0)</f>
        <v>0</v>
      </c>
      <c r="BC459" s="246">
        <f>IFERROR(VLOOKUP(M459,VOL_REC[],2,FALSE),0)</f>
        <v>0</v>
      </c>
      <c r="BD459" s="246">
        <f>IFERROR(VLOOKUP(N459,VOL_REC[],2,FALSE),0)</f>
        <v>0</v>
      </c>
      <c r="BE459" s="246">
        <f>IFERROR(VLOOKUP(O459,VOL_REC[],2,FALSE),0)</f>
        <v>0</v>
      </c>
      <c r="BF459" s="246">
        <f>IFERROR(VLOOKUP(P459,VOL_REC[],2,FALSE),0)</f>
        <v>0</v>
      </c>
      <c r="BG459" s="246">
        <f>IFERROR(VLOOKUP(Q459,VOL_REC[],2,FALSE),0)</f>
        <v>0</v>
      </c>
      <c r="BH459" s="1710">
        <f t="shared" si="28"/>
        <v>16161851138.678808</v>
      </c>
      <c r="BI459" s="1710">
        <f t="shared" si="29"/>
        <v>19022528014.142437</v>
      </c>
      <c r="BJ459" s="1711">
        <f t="shared" si="30"/>
        <v>28699721.435114853</v>
      </c>
      <c r="BK459" s="1711">
        <f t="shared" si="31"/>
        <v>0.84961636679747099</v>
      </c>
    </row>
    <row r="460" spans="3:67" x14ac:dyDescent="0.25">
      <c r="C460" s="246" t="s">
        <v>1810</v>
      </c>
      <c r="D460" s="246">
        <v>1</v>
      </c>
      <c r="E460" s="246">
        <v>2</v>
      </c>
      <c r="F460" s="246">
        <v>3</v>
      </c>
      <c r="G460" s="246">
        <v>6</v>
      </c>
      <c r="H460" s="246">
        <v>10</v>
      </c>
      <c r="I460" s="246">
        <v>12</v>
      </c>
      <c r="J460" s="246">
        <v>15</v>
      </c>
      <c r="K460" s="246"/>
      <c r="L460" s="246"/>
      <c r="M460" s="246"/>
      <c r="N460" s="246"/>
      <c r="O460" s="246"/>
      <c r="P460" s="246"/>
      <c r="Q460" s="246"/>
      <c r="R460" s="246">
        <f>IFERROR(VLOOKUP(D460,PROGRAMAS[],2,FALSE),0)</f>
        <v>97037803.679377079</v>
      </c>
      <c r="S460" s="246">
        <f>IFERROR(VLOOKUP(E460,PROGRAMAS[],2,FALSE),0)</f>
        <v>640501509.6821388</v>
      </c>
      <c r="T460" s="246">
        <f>IFERROR(VLOOKUP(F460,PROGRAMAS[],2,FALSE),0)</f>
        <v>3062327798.1525245</v>
      </c>
      <c r="U460" s="246">
        <f>IFERROR(VLOOKUP(G460,PROGRAMAS[],2,FALSE),0)</f>
        <v>6907648435.8447599</v>
      </c>
      <c r="V460" s="246">
        <f>IFERROR(VLOOKUP(H460,PROGRAMAS[],2,FALSE),0)</f>
        <v>4635315027.8751087</v>
      </c>
      <c r="W460" s="246">
        <f>IFERROR(VLOOKUP(I460,PROGRAMAS[],2,FALSE),0)</f>
        <v>764796700.79905891</v>
      </c>
      <c r="X460" s="246">
        <f>IFERROR(VLOOKUP(J460,PROGRAMAS[],2,FALSE),0)</f>
        <v>122159672.96346797</v>
      </c>
      <c r="Y460" s="246">
        <f>IFERROR(VLOOKUP(K460,PROGRAMAS[],2,FALSE),0)</f>
        <v>0</v>
      </c>
      <c r="Z460" s="246">
        <f>IFERROR(VLOOKUP(L460,PROGRAMAS[],2,FALSE),0)</f>
        <v>0</v>
      </c>
      <c r="AA460" s="246">
        <f>IFERROR(VLOOKUP(M460,PROGRAMAS[],2,FALSE),0)</f>
        <v>0</v>
      </c>
      <c r="AB460" s="246">
        <f>IFERROR(VLOOKUP(N460,PROGRAMAS[],2,FALSE),0)</f>
        <v>0</v>
      </c>
      <c r="AC460" s="246">
        <f>IFERROR(VLOOKUP(O460,PROGRAMAS[],2,FALSE),0)</f>
        <v>0</v>
      </c>
      <c r="AD460" s="246">
        <f>IFERROR(VLOOKUP(P460,PROGRAMAS[],2,FALSE),0)</f>
        <v>0</v>
      </c>
      <c r="AE460" s="246">
        <f>IFERROR(VLOOKUP(Q460,PROGRAMAS[],2,FALSE),0)</f>
        <v>0</v>
      </c>
      <c r="AF460" s="246">
        <f>IFERROR(VLOOKUP(D460,PROGRAMAS[],3,FALSE),0)</f>
        <v>841888629.31080008</v>
      </c>
      <c r="AG460" s="246">
        <f>IFERROR(VLOOKUP(E460,PROGRAMAS[],3,FALSE),0)</f>
        <v>3848980803.1642323</v>
      </c>
      <c r="AH460" s="246">
        <f>IFERROR(VLOOKUP(F460,PROGRAMAS[],3,FALSE),0)</f>
        <v>3394901471.387517</v>
      </c>
      <c r="AI460" s="246">
        <f>IFERROR(VLOOKUP(G460,PROGRAMAS[],3,FALSE),0)</f>
        <v>6129902208.7912121</v>
      </c>
      <c r="AJ460" s="246">
        <f>IFERROR(VLOOKUP(H460,PROGRAMAS[],3,FALSE),0)</f>
        <v>4099471734.9978786</v>
      </c>
      <c r="AK460" s="246">
        <f>IFERROR(VLOOKUP(I460,PROGRAMAS[],3,FALSE),0)</f>
        <v>675517840.109828</v>
      </c>
      <c r="AL460" s="246">
        <f>IFERROR(VLOOKUP(J460,PROGRAMAS[],3,FALSE),0)</f>
        <v>118617452.52510804</v>
      </c>
      <c r="AM460" s="246">
        <f>IFERROR(VLOOKUP(K460,PROGRAMAS[],3,FALSE),0)</f>
        <v>0</v>
      </c>
      <c r="AN460" s="246">
        <f>IFERROR(VLOOKUP(L460,PROGRAMAS[],3,FALSE),0)</f>
        <v>0</v>
      </c>
      <c r="AO460" s="246">
        <f>IFERROR(VLOOKUP(M460,PROGRAMAS[],3,FALSE),0)</f>
        <v>0</v>
      </c>
      <c r="AP460" s="246">
        <f>IFERROR(VLOOKUP(N460,PROGRAMAS[],3,FALSE),0)</f>
        <v>0</v>
      </c>
      <c r="AQ460" s="246">
        <f>IFERROR(VLOOKUP(O460,PROGRAMAS[],3,FALSE),0)</f>
        <v>0</v>
      </c>
      <c r="AR460" s="246">
        <f>IFERROR(VLOOKUP(P460,PROGRAMAS[],3,FALSE),0)</f>
        <v>0</v>
      </c>
      <c r="AS460" s="246">
        <f>IFERROR(VLOOKUP(Q460,PROGRAMAS[],3,FALSE),0)</f>
        <v>0</v>
      </c>
      <c r="AT460" s="246">
        <f>IFERROR(VLOOKUP(D460,VOL_REC[],2,FALSE),0)</f>
        <v>0</v>
      </c>
      <c r="AU460" s="246">
        <f>IFERROR(VLOOKUP(E460,VOL_REC[],2,FALSE),0)</f>
        <v>0</v>
      </c>
      <c r="AV460" s="246">
        <f>IFERROR(VLOOKUP(F460,VOL_REC[],2,FALSE),0)</f>
        <v>11089674.200000001</v>
      </c>
      <c r="AW460" s="246">
        <f>IFERROR(VLOOKUP(G460,VOL_REC[],2,FALSE),0)</f>
        <v>15540036.397699751</v>
      </c>
      <c r="AX460" s="246">
        <f>IFERROR(VLOOKUP(H460,VOL_REC[],2,FALSE),0)</f>
        <v>1812240</v>
      </c>
      <c r="AY460" s="246">
        <f>IFERROR(VLOOKUP(I460,VOL_REC[],2,FALSE),0)</f>
        <v>240696.79238099116</v>
      </c>
      <c r="AZ460" s="246">
        <f>IFERROR(VLOOKUP(J460,VOL_REC[],2,FALSE),0)</f>
        <v>105072</v>
      </c>
      <c r="BA460" s="246">
        <f>IFERROR(VLOOKUP(K460,VOL_REC[],2,FALSE),0)</f>
        <v>0</v>
      </c>
      <c r="BB460" s="246">
        <f>IFERROR(VLOOKUP(L460,VOL_REC[],2,FALSE),0)</f>
        <v>0</v>
      </c>
      <c r="BC460" s="246">
        <f>IFERROR(VLOOKUP(M460,VOL_REC[],2,FALSE),0)</f>
        <v>0</v>
      </c>
      <c r="BD460" s="246">
        <f>IFERROR(VLOOKUP(N460,VOL_REC[],2,FALSE),0)</f>
        <v>0</v>
      </c>
      <c r="BE460" s="246">
        <f>IFERROR(VLOOKUP(O460,VOL_REC[],2,FALSE),0)</f>
        <v>0</v>
      </c>
      <c r="BF460" s="246">
        <f>IFERROR(VLOOKUP(P460,VOL_REC[],2,FALSE),0)</f>
        <v>0</v>
      </c>
      <c r="BG460" s="246">
        <f>IFERROR(VLOOKUP(Q460,VOL_REC[],2,FALSE),0)</f>
        <v>0</v>
      </c>
      <c r="BH460" s="1710">
        <f t="shared" si="28"/>
        <v>16229786948.996437</v>
      </c>
      <c r="BI460" s="1710">
        <f t="shared" si="29"/>
        <v>19109280140.286579</v>
      </c>
      <c r="BJ460" s="1711">
        <f t="shared" si="30"/>
        <v>28787719.390080746</v>
      </c>
      <c r="BK460" s="1711">
        <f t="shared" si="31"/>
        <v>0.84931440796560753</v>
      </c>
    </row>
    <row r="461" spans="3:67" x14ac:dyDescent="0.25">
      <c r="C461" s="246" t="s">
        <v>1811</v>
      </c>
      <c r="D461" s="246">
        <v>1</v>
      </c>
      <c r="E461" s="246">
        <v>2</v>
      </c>
      <c r="F461" s="246">
        <v>3</v>
      </c>
      <c r="G461" s="246">
        <v>6</v>
      </c>
      <c r="H461" s="246">
        <v>10</v>
      </c>
      <c r="I461" s="246">
        <v>12</v>
      </c>
      <c r="J461" s="246">
        <v>16</v>
      </c>
      <c r="K461" s="246"/>
      <c r="L461" s="246"/>
      <c r="M461" s="246"/>
      <c r="N461" s="246"/>
      <c r="O461" s="246"/>
      <c r="P461" s="246"/>
      <c r="Q461" s="246"/>
      <c r="R461" s="246">
        <f>IFERROR(VLOOKUP(D461,PROGRAMAS[],2,FALSE),0)</f>
        <v>97037803.679377079</v>
      </c>
      <c r="S461" s="246">
        <f>IFERROR(VLOOKUP(E461,PROGRAMAS[],2,FALSE),0)</f>
        <v>640501509.6821388</v>
      </c>
      <c r="T461" s="246">
        <f>IFERROR(VLOOKUP(F461,PROGRAMAS[],2,FALSE),0)</f>
        <v>3062327798.1525245</v>
      </c>
      <c r="U461" s="246">
        <f>IFERROR(VLOOKUP(G461,PROGRAMAS[],2,FALSE),0)</f>
        <v>6907648435.8447599</v>
      </c>
      <c r="V461" s="246">
        <f>IFERROR(VLOOKUP(H461,PROGRAMAS[],2,FALSE),0)</f>
        <v>4635315027.8751087</v>
      </c>
      <c r="W461" s="246">
        <f>IFERROR(VLOOKUP(I461,PROGRAMAS[],2,FALSE),0)</f>
        <v>764796700.79905891</v>
      </c>
      <c r="X461" s="246">
        <f>IFERROR(VLOOKUP(J461,PROGRAMAS[],2,FALSE),0)</f>
        <v>7068496961.0436354</v>
      </c>
      <c r="Y461" s="246">
        <f>IFERROR(VLOOKUP(K461,PROGRAMAS[],2,FALSE),0)</f>
        <v>0</v>
      </c>
      <c r="Z461" s="246">
        <f>IFERROR(VLOOKUP(L461,PROGRAMAS[],2,FALSE),0)</f>
        <v>0</v>
      </c>
      <c r="AA461" s="246">
        <f>IFERROR(VLOOKUP(M461,PROGRAMAS[],2,FALSE),0)</f>
        <v>0</v>
      </c>
      <c r="AB461" s="246">
        <f>IFERROR(VLOOKUP(N461,PROGRAMAS[],2,FALSE),0)</f>
        <v>0</v>
      </c>
      <c r="AC461" s="246">
        <f>IFERROR(VLOOKUP(O461,PROGRAMAS[],2,FALSE),0)</f>
        <v>0</v>
      </c>
      <c r="AD461" s="246">
        <f>IFERROR(VLOOKUP(P461,PROGRAMAS[],2,FALSE),0)</f>
        <v>0</v>
      </c>
      <c r="AE461" s="246">
        <f>IFERROR(VLOOKUP(Q461,PROGRAMAS[],2,FALSE),0)</f>
        <v>0</v>
      </c>
      <c r="AF461" s="246">
        <f>IFERROR(VLOOKUP(D461,PROGRAMAS[],3,FALSE),0)</f>
        <v>841888629.31080008</v>
      </c>
      <c r="AG461" s="246">
        <f>IFERROR(VLOOKUP(E461,PROGRAMAS[],3,FALSE),0)</f>
        <v>3848980803.1642323</v>
      </c>
      <c r="AH461" s="246">
        <f>IFERROR(VLOOKUP(F461,PROGRAMAS[],3,FALSE),0)</f>
        <v>3394901471.387517</v>
      </c>
      <c r="AI461" s="246">
        <f>IFERROR(VLOOKUP(G461,PROGRAMAS[],3,FALSE),0)</f>
        <v>6129902208.7912121</v>
      </c>
      <c r="AJ461" s="246">
        <f>IFERROR(VLOOKUP(H461,PROGRAMAS[],3,FALSE),0)</f>
        <v>4099471734.9978786</v>
      </c>
      <c r="AK461" s="246">
        <f>IFERROR(VLOOKUP(I461,PROGRAMAS[],3,FALSE),0)</f>
        <v>675517840.109828</v>
      </c>
      <c r="AL461" s="246">
        <f>IFERROR(VLOOKUP(J461,PROGRAMAS[],3,FALSE),0)</f>
        <v>2406564599.0319901</v>
      </c>
      <c r="AM461" s="246">
        <f>IFERROR(VLOOKUP(K461,PROGRAMAS[],3,FALSE),0)</f>
        <v>0</v>
      </c>
      <c r="AN461" s="246">
        <f>IFERROR(VLOOKUP(L461,PROGRAMAS[],3,FALSE),0)</f>
        <v>0</v>
      </c>
      <c r="AO461" s="246">
        <f>IFERROR(VLOOKUP(M461,PROGRAMAS[],3,FALSE),0)</f>
        <v>0</v>
      </c>
      <c r="AP461" s="246">
        <f>IFERROR(VLOOKUP(N461,PROGRAMAS[],3,FALSE),0)</f>
        <v>0</v>
      </c>
      <c r="AQ461" s="246">
        <f>IFERROR(VLOOKUP(O461,PROGRAMAS[],3,FALSE),0)</f>
        <v>0</v>
      </c>
      <c r="AR461" s="246">
        <f>IFERROR(VLOOKUP(P461,PROGRAMAS[],3,FALSE),0)</f>
        <v>0</v>
      </c>
      <c r="AS461" s="246">
        <f>IFERROR(VLOOKUP(Q461,PROGRAMAS[],3,FALSE),0)</f>
        <v>0</v>
      </c>
      <c r="AT461" s="246">
        <f>IFERROR(VLOOKUP(D461,VOL_REC[],2,FALSE),0)</f>
        <v>0</v>
      </c>
      <c r="AU461" s="246">
        <f>IFERROR(VLOOKUP(E461,VOL_REC[],2,FALSE),0)</f>
        <v>0</v>
      </c>
      <c r="AV461" s="246">
        <f>IFERROR(VLOOKUP(F461,VOL_REC[],2,FALSE),0)</f>
        <v>11089674.200000001</v>
      </c>
      <c r="AW461" s="246">
        <f>IFERROR(VLOOKUP(G461,VOL_REC[],2,FALSE),0)</f>
        <v>15540036.397699751</v>
      </c>
      <c r="AX461" s="246">
        <f>IFERROR(VLOOKUP(H461,VOL_REC[],2,FALSE),0)</f>
        <v>1812240</v>
      </c>
      <c r="AY461" s="246">
        <f>IFERROR(VLOOKUP(I461,VOL_REC[],2,FALSE),0)</f>
        <v>240696.79238099116</v>
      </c>
      <c r="AZ461" s="246">
        <f>IFERROR(VLOOKUP(J461,VOL_REC[],2,FALSE),0)</f>
        <v>1072354.9981737854</v>
      </c>
      <c r="BA461" s="246">
        <f>IFERROR(VLOOKUP(K461,VOL_REC[],2,FALSE),0)</f>
        <v>0</v>
      </c>
      <c r="BB461" s="246">
        <f>IFERROR(VLOOKUP(L461,VOL_REC[],2,FALSE),0)</f>
        <v>0</v>
      </c>
      <c r="BC461" s="246">
        <f>IFERROR(VLOOKUP(M461,VOL_REC[],2,FALSE),0)</f>
        <v>0</v>
      </c>
      <c r="BD461" s="246">
        <f>IFERROR(VLOOKUP(N461,VOL_REC[],2,FALSE),0)</f>
        <v>0</v>
      </c>
      <c r="BE461" s="246">
        <f>IFERROR(VLOOKUP(O461,VOL_REC[],2,FALSE),0)</f>
        <v>0</v>
      </c>
      <c r="BF461" s="246">
        <f>IFERROR(VLOOKUP(P461,VOL_REC[],2,FALSE),0)</f>
        <v>0</v>
      </c>
      <c r="BG461" s="246">
        <f>IFERROR(VLOOKUP(Q461,VOL_REC[],2,FALSE),0)</f>
        <v>0</v>
      </c>
      <c r="BH461" s="1710">
        <f t="shared" si="28"/>
        <v>23176124237.076603</v>
      </c>
      <c r="BI461" s="1710">
        <f t="shared" si="29"/>
        <v>21397227286.793461</v>
      </c>
      <c r="BJ461" s="1711">
        <f t="shared" si="30"/>
        <v>29755002.388254531</v>
      </c>
      <c r="BK461" s="1711">
        <f t="shared" si="31"/>
        <v>1.0831367974195933</v>
      </c>
      <c r="BL461">
        <f>BJ461</f>
        <v>29755002.388254531</v>
      </c>
      <c r="BO461">
        <f>BL461</f>
        <v>29755002.388254531</v>
      </c>
    </row>
    <row r="462" spans="3:67" x14ac:dyDescent="0.25">
      <c r="C462" s="246" t="s">
        <v>1812</v>
      </c>
      <c r="D462" s="246">
        <v>1</v>
      </c>
      <c r="E462" s="246">
        <v>2</v>
      </c>
      <c r="F462" s="246">
        <v>3</v>
      </c>
      <c r="G462" s="246">
        <v>6</v>
      </c>
      <c r="H462" s="246">
        <v>10</v>
      </c>
      <c r="I462" s="246">
        <v>12</v>
      </c>
      <c r="J462" s="246">
        <v>17</v>
      </c>
      <c r="K462" s="246"/>
      <c r="L462" s="246"/>
      <c r="M462" s="246"/>
      <c r="N462" s="246"/>
      <c r="O462" s="246"/>
      <c r="P462" s="246"/>
      <c r="Q462" s="246"/>
      <c r="R462" s="246">
        <f>IFERROR(VLOOKUP(D462,PROGRAMAS[],2,FALSE),0)</f>
        <v>97037803.679377079</v>
      </c>
      <c r="S462" s="246">
        <f>IFERROR(VLOOKUP(E462,PROGRAMAS[],2,FALSE),0)</f>
        <v>640501509.6821388</v>
      </c>
      <c r="T462" s="246">
        <f>IFERROR(VLOOKUP(F462,PROGRAMAS[],2,FALSE),0)</f>
        <v>3062327798.1525245</v>
      </c>
      <c r="U462" s="246">
        <f>IFERROR(VLOOKUP(G462,PROGRAMAS[],2,FALSE),0)</f>
        <v>6907648435.8447599</v>
      </c>
      <c r="V462" s="246">
        <f>IFERROR(VLOOKUP(H462,PROGRAMAS[],2,FALSE),0)</f>
        <v>4635315027.8751087</v>
      </c>
      <c r="W462" s="246">
        <f>IFERROR(VLOOKUP(I462,PROGRAMAS[],2,FALSE),0)</f>
        <v>764796700.79905891</v>
      </c>
      <c r="X462" s="246">
        <f>IFERROR(VLOOKUP(J462,PROGRAMAS[],2,FALSE),0)</f>
        <v>1892779498.5211046</v>
      </c>
      <c r="Y462" s="246">
        <f>IFERROR(VLOOKUP(K462,PROGRAMAS[],2,FALSE),0)</f>
        <v>0</v>
      </c>
      <c r="Z462" s="246">
        <f>IFERROR(VLOOKUP(L462,PROGRAMAS[],2,FALSE),0)</f>
        <v>0</v>
      </c>
      <c r="AA462" s="246">
        <f>IFERROR(VLOOKUP(M462,PROGRAMAS[],2,FALSE),0)</f>
        <v>0</v>
      </c>
      <c r="AB462" s="246">
        <f>IFERROR(VLOOKUP(N462,PROGRAMAS[],2,FALSE),0)</f>
        <v>0</v>
      </c>
      <c r="AC462" s="246">
        <f>IFERROR(VLOOKUP(O462,PROGRAMAS[],2,FALSE),0)</f>
        <v>0</v>
      </c>
      <c r="AD462" s="246">
        <f>IFERROR(VLOOKUP(P462,PROGRAMAS[],2,FALSE),0)</f>
        <v>0</v>
      </c>
      <c r="AE462" s="246">
        <f>IFERROR(VLOOKUP(Q462,PROGRAMAS[],2,FALSE),0)</f>
        <v>0</v>
      </c>
      <c r="AF462" s="246">
        <f>IFERROR(VLOOKUP(D462,PROGRAMAS[],3,FALSE),0)</f>
        <v>841888629.31080008</v>
      </c>
      <c r="AG462" s="246">
        <f>IFERROR(VLOOKUP(E462,PROGRAMAS[],3,FALSE),0)</f>
        <v>3848980803.1642323</v>
      </c>
      <c r="AH462" s="246">
        <f>IFERROR(VLOOKUP(F462,PROGRAMAS[],3,FALSE),0)</f>
        <v>3394901471.387517</v>
      </c>
      <c r="AI462" s="246">
        <f>IFERROR(VLOOKUP(G462,PROGRAMAS[],3,FALSE),0)</f>
        <v>6129902208.7912121</v>
      </c>
      <c r="AJ462" s="246">
        <f>IFERROR(VLOOKUP(H462,PROGRAMAS[],3,FALSE),0)</f>
        <v>4099471734.9978786</v>
      </c>
      <c r="AK462" s="246">
        <f>IFERROR(VLOOKUP(I462,PROGRAMAS[],3,FALSE),0)</f>
        <v>675517840.109828</v>
      </c>
      <c r="AL462" s="246">
        <f>IFERROR(VLOOKUP(J462,PROGRAMAS[],3,FALSE),0)</f>
        <v>948595847.09039903</v>
      </c>
      <c r="AM462" s="246">
        <f>IFERROR(VLOOKUP(K462,PROGRAMAS[],3,FALSE),0)</f>
        <v>0</v>
      </c>
      <c r="AN462" s="246">
        <f>IFERROR(VLOOKUP(L462,PROGRAMAS[],3,FALSE),0)</f>
        <v>0</v>
      </c>
      <c r="AO462" s="246">
        <f>IFERROR(VLOOKUP(M462,PROGRAMAS[],3,FALSE),0)</f>
        <v>0</v>
      </c>
      <c r="AP462" s="246">
        <f>IFERROR(VLOOKUP(N462,PROGRAMAS[],3,FALSE),0)</f>
        <v>0</v>
      </c>
      <c r="AQ462" s="246">
        <f>IFERROR(VLOOKUP(O462,PROGRAMAS[],3,FALSE),0)</f>
        <v>0</v>
      </c>
      <c r="AR462" s="246">
        <f>IFERROR(VLOOKUP(P462,PROGRAMAS[],3,FALSE),0)</f>
        <v>0</v>
      </c>
      <c r="AS462" s="246">
        <f>IFERROR(VLOOKUP(Q462,PROGRAMAS[],3,FALSE),0)</f>
        <v>0</v>
      </c>
      <c r="AT462" s="246">
        <f>IFERROR(VLOOKUP(D462,VOL_REC[],2,FALSE),0)</f>
        <v>0</v>
      </c>
      <c r="AU462" s="246">
        <f>IFERROR(VLOOKUP(E462,VOL_REC[],2,FALSE),0)</f>
        <v>0</v>
      </c>
      <c r="AV462" s="246">
        <f>IFERROR(VLOOKUP(F462,VOL_REC[],2,FALSE),0)</f>
        <v>11089674.200000001</v>
      </c>
      <c r="AW462" s="246">
        <f>IFERROR(VLOOKUP(G462,VOL_REC[],2,FALSE),0)</f>
        <v>15540036.397699751</v>
      </c>
      <c r="AX462" s="246">
        <f>IFERROR(VLOOKUP(H462,VOL_REC[],2,FALSE),0)</f>
        <v>1812240</v>
      </c>
      <c r="AY462" s="246">
        <f>IFERROR(VLOOKUP(I462,VOL_REC[],2,FALSE),0)</f>
        <v>240696.79238099116</v>
      </c>
      <c r="AZ462" s="246">
        <f>IFERROR(VLOOKUP(J462,VOL_REC[],2,FALSE),0)</f>
        <v>740113.98115702497</v>
      </c>
      <c r="BA462" s="246">
        <f>IFERROR(VLOOKUP(K462,VOL_REC[],2,FALSE),0)</f>
        <v>0</v>
      </c>
      <c r="BB462" s="246">
        <f>IFERROR(VLOOKUP(L462,VOL_REC[],2,FALSE),0)</f>
        <v>0</v>
      </c>
      <c r="BC462" s="246">
        <f>IFERROR(VLOOKUP(M462,VOL_REC[],2,FALSE),0)</f>
        <v>0</v>
      </c>
      <c r="BD462" s="246">
        <f>IFERROR(VLOOKUP(N462,VOL_REC[],2,FALSE),0)</f>
        <v>0</v>
      </c>
      <c r="BE462" s="246">
        <f>IFERROR(VLOOKUP(O462,VOL_REC[],2,FALSE),0)</f>
        <v>0</v>
      </c>
      <c r="BF462" s="246">
        <f>IFERROR(VLOOKUP(P462,VOL_REC[],2,FALSE),0)</f>
        <v>0</v>
      </c>
      <c r="BG462" s="246">
        <f>IFERROR(VLOOKUP(Q462,VOL_REC[],2,FALSE),0)</f>
        <v>0</v>
      </c>
      <c r="BH462" s="1710">
        <f t="shared" si="28"/>
        <v>18000406774.554073</v>
      </c>
      <c r="BI462" s="1710">
        <f t="shared" si="29"/>
        <v>19939258534.851871</v>
      </c>
      <c r="BJ462" s="1711">
        <f t="shared" si="30"/>
        <v>29422761.37123777</v>
      </c>
      <c r="BK462" s="1711">
        <f t="shared" si="31"/>
        <v>0.90276209333918433</v>
      </c>
    </row>
    <row r="463" spans="3:67" x14ac:dyDescent="0.25">
      <c r="C463" s="246" t="s">
        <v>1813</v>
      </c>
      <c r="D463" s="246">
        <v>1</v>
      </c>
      <c r="E463" s="246">
        <v>2</v>
      </c>
      <c r="F463" s="246">
        <v>3</v>
      </c>
      <c r="G463" s="246">
        <v>6</v>
      </c>
      <c r="H463" s="246">
        <v>10</v>
      </c>
      <c r="I463" s="246">
        <v>13</v>
      </c>
      <c r="J463" s="246">
        <v>14</v>
      </c>
      <c r="K463" s="246"/>
      <c r="L463" s="246"/>
      <c r="M463" s="246"/>
      <c r="N463" s="246"/>
      <c r="O463" s="246"/>
      <c r="P463" s="246"/>
      <c r="Q463" s="246"/>
      <c r="R463" s="246">
        <f>IFERROR(VLOOKUP(D463,PROGRAMAS[],2,FALSE),0)</f>
        <v>97037803.679377079</v>
      </c>
      <c r="S463" s="246">
        <f>IFERROR(VLOOKUP(E463,PROGRAMAS[],2,FALSE),0)</f>
        <v>640501509.6821388</v>
      </c>
      <c r="T463" s="246">
        <f>IFERROR(VLOOKUP(F463,PROGRAMAS[],2,FALSE),0)</f>
        <v>3062327798.1525245</v>
      </c>
      <c r="U463" s="246">
        <f>IFERROR(VLOOKUP(G463,PROGRAMAS[],2,FALSE),0)</f>
        <v>6907648435.8447599</v>
      </c>
      <c r="V463" s="246">
        <f>IFERROR(VLOOKUP(H463,PROGRAMAS[],2,FALSE),0)</f>
        <v>4635315027.8751087</v>
      </c>
      <c r="W463" s="246">
        <f>IFERROR(VLOOKUP(I463,PROGRAMAS[],2,FALSE),0)</f>
        <v>3776538594.4604583</v>
      </c>
      <c r="X463" s="246">
        <f>IFERROR(VLOOKUP(J463,PROGRAMAS[],2,FALSE),0)</f>
        <v>54223862.645839565</v>
      </c>
      <c r="Y463" s="246">
        <f>IFERROR(VLOOKUP(K463,PROGRAMAS[],2,FALSE),0)</f>
        <v>0</v>
      </c>
      <c r="Z463" s="246">
        <f>IFERROR(VLOOKUP(L463,PROGRAMAS[],2,FALSE),0)</f>
        <v>0</v>
      </c>
      <c r="AA463" s="246">
        <f>IFERROR(VLOOKUP(M463,PROGRAMAS[],2,FALSE),0)</f>
        <v>0</v>
      </c>
      <c r="AB463" s="246">
        <f>IFERROR(VLOOKUP(N463,PROGRAMAS[],2,FALSE),0)</f>
        <v>0</v>
      </c>
      <c r="AC463" s="246">
        <f>IFERROR(VLOOKUP(O463,PROGRAMAS[],2,FALSE),0)</f>
        <v>0</v>
      </c>
      <c r="AD463" s="246">
        <f>IFERROR(VLOOKUP(P463,PROGRAMAS[],2,FALSE),0)</f>
        <v>0</v>
      </c>
      <c r="AE463" s="246">
        <f>IFERROR(VLOOKUP(Q463,PROGRAMAS[],2,FALSE),0)</f>
        <v>0</v>
      </c>
      <c r="AF463" s="246">
        <f>IFERROR(VLOOKUP(D463,PROGRAMAS[],3,FALSE),0)</f>
        <v>841888629.31080008</v>
      </c>
      <c r="AG463" s="246">
        <f>IFERROR(VLOOKUP(E463,PROGRAMAS[],3,FALSE),0)</f>
        <v>3848980803.1642323</v>
      </c>
      <c r="AH463" s="246">
        <f>IFERROR(VLOOKUP(F463,PROGRAMAS[],3,FALSE),0)</f>
        <v>3394901471.387517</v>
      </c>
      <c r="AI463" s="246">
        <f>IFERROR(VLOOKUP(G463,PROGRAMAS[],3,FALSE),0)</f>
        <v>6129902208.7912121</v>
      </c>
      <c r="AJ463" s="246">
        <f>IFERROR(VLOOKUP(H463,PROGRAMAS[],3,FALSE),0)</f>
        <v>4099471734.9978786</v>
      </c>
      <c r="AK463" s="246">
        <f>IFERROR(VLOOKUP(I463,PROGRAMAS[],3,FALSE),0)</f>
        <v>2392571243.5584412</v>
      </c>
      <c r="AL463" s="246">
        <f>IFERROR(VLOOKUP(J463,PROGRAMAS[],3,FALSE),0)</f>
        <v>31865326.38096505</v>
      </c>
      <c r="AM463" s="246">
        <f>IFERROR(VLOOKUP(K463,PROGRAMAS[],3,FALSE),0)</f>
        <v>0</v>
      </c>
      <c r="AN463" s="246">
        <f>IFERROR(VLOOKUP(L463,PROGRAMAS[],3,FALSE),0)</f>
        <v>0</v>
      </c>
      <c r="AO463" s="246">
        <f>IFERROR(VLOOKUP(M463,PROGRAMAS[],3,FALSE),0)</f>
        <v>0</v>
      </c>
      <c r="AP463" s="246">
        <f>IFERROR(VLOOKUP(N463,PROGRAMAS[],3,FALSE),0)</f>
        <v>0</v>
      </c>
      <c r="AQ463" s="246">
        <f>IFERROR(VLOOKUP(O463,PROGRAMAS[],3,FALSE),0)</f>
        <v>0</v>
      </c>
      <c r="AR463" s="246">
        <f>IFERROR(VLOOKUP(P463,PROGRAMAS[],3,FALSE),0)</f>
        <v>0</v>
      </c>
      <c r="AS463" s="246">
        <f>IFERROR(VLOOKUP(Q463,PROGRAMAS[],3,FALSE),0)</f>
        <v>0</v>
      </c>
      <c r="AT463" s="246">
        <f>IFERROR(VLOOKUP(D463,VOL_REC[],2,FALSE),0)</f>
        <v>0</v>
      </c>
      <c r="AU463" s="246">
        <f>IFERROR(VLOOKUP(E463,VOL_REC[],2,FALSE),0)</f>
        <v>0</v>
      </c>
      <c r="AV463" s="246">
        <f>IFERROR(VLOOKUP(F463,VOL_REC[],2,FALSE),0)</f>
        <v>11089674.200000001</v>
      </c>
      <c r="AW463" s="246">
        <f>IFERROR(VLOOKUP(G463,VOL_REC[],2,FALSE),0)</f>
        <v>15540036.397699751</v>
      </c>
      <c r="AX463" s="246">
        <f>IFERROR(VLOOKUP(H463,VOL_REC[],2,FALSE),0)</f>
        <v>1812240</v>
      </c>
      <c r="AY463" s="246">
        <f>IFERROR(VLOOKUP(I463,VOL_REC[],2,FALSE),0)</f>
        <v>663244.80000000016</v>
      </c>
      <c r="AZ463" s="246">
        <f>IFERROR(VLOOKUP(J463,VOL_REC[],2,FALSE),0)</f>
        <v>17074.045034105649</v>
      </c>
      <c r="BA463" s="246">
        <f>IFERROR(VLOOKUP(K463,VOL_REC[],2,FALSE),0)</f>
        <v>0</v>
      </c>
      <c r="BB463" s="246">
        <f>IFERROR(VLOOKUP(L463,VOL_REC[],2,FALSE),0)</f>
        <v>0</v>
      </c>
      <c r="BC463" s="246">
        <f>IFERROR(VLOOKUP(M463,VOL_REC[],2,FALSE),0)</f>
        <v>0</v>
      </c>
      <c r="BD463" s="246">
        <f>IFERROR(VLOOKUP(N463,VOL_REC[],2,FALSE),0)</f>
        <v>0</v>
      </c>
      <c r="BE463" s="246">
        <f>IFERROR(VLOOKUP(O463,VOL_REC[],2,FALSE),0)</f>
        <v>0</v>
      </c>
      <c r="BF463" s="246">
        <f>IFERROR(VLOOKUP(P463,VOL_REC[],2,FALSE),0)</f>
        <v>0</v>
      </c>
      <c r="BG463" s="246">
        <f>IFERROR(VLOOKUP(Q463,VOL_REC[],2,FALSE),0)</f>
        <v>0</v>
      </c>
      <c r="BH463" s="1710">
        <f t="shared" si="28"/>
        <v>19173593032.340206</v>
      </c>
      <c r="BI463" s="1710">
        <f t="shared" si="29"/>
        <v>20739581417.591049</v>
      </c>
      <c r="BJ463" s="1711">
        <f t="shared" si="30"/>
        <v>29122269.442733862</v>
      </c>
      <c r="BK463" s="1711">
        <f t="shared" si="31"/>
        <v>0.92449276802073777</v>
      </c>
    </row>
    <row r="464" spans="3:67" x14ac:dyDescent="0.25">
      <c r="C464" s="246" t="s">
        <v>1814</v>
      </c>
      <c r="D464" s="246">
        <v>1</v>
      </c>
      <c r="E464" s="246">
        <v>2</v>
      </c>
      <c r="F464" s="246">
        <v>3</v>
      </c>
      <c r="G464" s="246">
        <v>6</v>
      </c>
      <c r="H464" s="246">
        <v>10</v>
      </c>
      <c r="I464" s="246">
        <v>13</v>
      </c>
      <c r="J464" s="246">
        <v>15</v>
      </c>
      <c r="K464" s="246"/>
      <c r="L464" s="246"/>
      <c r="M464" s="246"/>
      <c r="N464" s="246"/>
      <c r="O464" s="246"/>
      <c r="P464" s="246"/>
      <c r="Q464" s="246"/>
      <c r="R464" s="246">
        <f>IFERROR(VLOOKUP(D464,PROGRAMAS[],2,FALSE),0)</f>
        <v>97037803.679377079</v>
      </c>
      <c r="S464" s="246">
        <f>IFERROR(VLOOKUP(E464,PROGRAMAS[],2,FALSE),0)</f>
        <v>640501509.6821388</v>
      </c>
      <c r="T464" s="246">
        <f>IFERROR(VLOOKUP(F464,PROGRAMAS[],2,FALSE),0)</f>
        <v>3062327798.1525245</v>
      </c>
      <c r="U464" s="246">
        <f>IFERROR(VLOOKUP(G464,PROGRAMAS[],2,FALSE),0)</f>
        <v>6907648435.8447599</v>
      </c>
      <c r="V464" s="246">
        <f>IFERROR(VLOOKUP(H464,PROGRAMAS[],2,FALSE),0)</f>
        <v>4635315027.8751087</v>
      </c>
      <c r="W464" s="246">
        <f>IFERROR(VLOOKUP(I464,PROGRAMAS[],2,FALSE),0)</f>
        <v>3776538594.4604583</v>
      </c>
      <c r="X464" s="246">
        <f>IFERROR(VLOOKUP(J464,PROGRAMAS[],2,FALSE),0)</f>
        <v>122159672.96346797</v>
      </c>
      <c r="Y464" s="246">
        <f>IFERROR(VLOOKUP(K464,PROGRAMAS[],2,FALSE),0)</f>
        <v>0</v>
      </c>
      <c r="Z464" s="246">
        <f>IFERROR(VLOOKUP(L464,PROGRAMAS[],2,FALSE),0)</f>
        <v>0</v>
      </c>
      <c r="AA464" s="246">
        <f>IFERROR(VLOOKUP(M464,PROGRAMAS[],2,FALSE),0)</f>
        <v>0</v>
      </c>
      <c r="AB464" s="246">
        <f>IFERROR(VLOOKUP(N464,PROGRAMAS[],2,FALSE),0)</f>
        <v>0</v>
      </c>
      <c r="AC464" s="246">
        <f>IFERROR(VLOOKUP(O464,PROGRAMAS[],2,FALSE),0)</f>
        <v>0</v>
      </c>
      <c r="AD464" s="246">
        <f>IFERROR(VLOOKUP(P464,PROGRAMAS[],2,FALSE),0)</f>
        <v>0</v>
      </c>
      <c r="AE464" s="246">
        <f>IFERROR(VLOOKUP(Q464,PROGRAMAS[],2,FALSE),0)</f>
        <v>0</v>
      </c>
      <c r="AF464" s="246">
        <f>IFERROR(VLOOKUP(D464,PROGRAMAS[],3,FALSE),0)</f>
        <v>841888629.31080008</v>
      </c>
      <c r="AG464" s="246">
        <f>IFERROR(VLOOKUP(E464,PROGRAMAS[],3,FALSE),0)</f>
        <v>3848980803.1642323</v>
      </c>
      <c r="AH464" s="246">
        <f>IFERROR(VLOOKUP(F464,PROGRAMAS[],3,FALSE),0)</f>
        <v>3394901471.387517</v>
      </c>
      <c r="AI464" s="246">
        <f>IFERROR(VLOOKUP(G464,PROGRAMAS[],3,FALSE),0)</f>
        <v>6129902208.7912121</v>
      </c>
      <c r="AJ464" s="246">
        <f>IFERROR(VLOOKUP(H464,PROGRAMAS[],3,FALSE),0)</f>
        <v>4099471734.9978786</v>
      </c>
      <c r="AK464" s="246">
        <f>IFERROR(VLOOKUP(I464,PROGRAMAS[],3,FALSE),0)</f>
        <v>2392571243.5584412</v>
      </c>
      <c r="AL464" s="246">
        <f>IFERROR(VLOOKUP(J464,PROGRAMAS[],3,FALSE),0)</f>
        <v>118617452.52510804</v>
      </c>
      <c r="AM464" s="246">
        <f>IFERROR(VLOOKUP(K464,PROGRAMAS[],3,FALSE),0)</f>
        <v>0</v>
      </c>
      <c r="AN464" s="246">
        <f>IFERROR(VLOOKUP(L464,PROGRAMAS[],3,FALSE),0)</f>
        <v>0</v>
      </c>
      <c r="AO464" s="246">
        <f>IFERROR(VLOOKUP(M464,PROGRAMAS[],3,FALSE),0)</f>
        <v>0</v>
      </c>
      <c r="AP464" s="246">
        <f>IFERROR(VLOOKUP(N464,PROGRAMAS[],3,FALSE),0)</f>
        <v>0</v>
      </c>
      <c r="AQ464" s="246">
        <f>IFERROR(VLOOKUP(O464,PROGRAMAS[],3,FALSE),0)</f>
        <v>0</v>
      </c>
      <c r="AR464" s="246">
        <f>IFERROR(VLOOKUP(P464,PROGRAMAS[],3,FALSE),0)</f>
        <v>0</v>
      </c>
      <c r="AS464" s="246">
        <f>IFERROR(VLOOKUP(Q464,PROGRAMAS[],3,FALSE),0)</f>
        <v>0</v>
      </c>
      <c r="AT464" s="246">
        <f>IFERROR(VLOOKUP(D464,VOL_REC[],2,FALSE),0)</f>
        <v>0</v>
      </c>
      <c r="AU464" s="246">
        <f>IFERROR(VLOOKUP(E464,VOL_REC[],2,FALSE),0)</f>
        <v>0</v>
      </c>
      <c r="AV464" s="246">
        <f>IFERROR(VLOOKUP(F464,VOL_REC[],2,FALSE),0)</f>
        <v>11089674.200000001</v>
      </c>
      <c r="AW464" s="246">
        <f>IFERROR(VLOOKUP(G464,VOL_REC[],2,FALSE),0)</f>
        <v>15540036.397699751</v>
      </c>
      <c r="AX464" s="246">
        <f>IFERROR(VLOOKUP(H464,VOL_REC[],2,FALSE),0)</f>
        <v>1812240</v>
      </c>
      <c r="AY464" s="246">
        <f>IFERROR(VLOOKUP(I464,VOL_REC[],2,FALSE),0)</f>
        <v>663244.80000000016</v>
      </c>
      <c r="AZ464" s="246">
        <f>IFERROR(VLOOKUP(J464,VOL_REC[],2,FALSE),0)</f>
        <v>105072</v>
      </c>
      <c r="BA464" s="246">
        <f>IFERROR(VLOOKUP(K464,VOL_REC[],2,FALSE),0)</f>
        <v>0</v>
      </c>
      <c r="BB464" s="246">
        <f>IFERROR(VLOOKUP(L464,VOL_REC[],2,FALSE),0)</f>
        <v>0</v>
      </c>
      <c r="BC464" s="246">
        <f>IFERROR(VLOOKUP(M464,VOL_REC[],2,FALSE),0)</f>
        <v>0</v>
      </c>
      <c r="BD464" s="246">
        <f>IFERROR(VLOOKUP(N464,VOL_REC[],2,FALSE),0)</f>
        <v>0</v>
      </c>
      <c r="BE464" s="246">
        <f>IFERROR(VLOOKUP(O464,VOL_REC[],2,FALSE),0)</f>
        <v>0</v>
      </c>
      <c r="BF464" s="246">
        <f>IFERROR(VLOOKUP(P464,VOL_REC[],2,FALSE),0)</f>
        <v>0</v>
      </c>
      <c r="BG464" s="246">
        <f>IFERROR(VLOOKUP(Q464,VOL_REC[],2,FALSE),0)</f>
        <v>0</v>
      </c>
      <c r="BH464" s="1710">
        <f t="shared" si="28"/>
        <v>19241528842.657833</v>
      </c>
      <c r="BI464" s="1710">
        <f t="shared" si="29"/>
        <v>20826333543.735191</v>
      </c>
      <c r="BJ464" s="1711">
        <f t="shared" si="30"/>
        <v>29210267.397699755</v>
      </c>
      <c r="BK464" s="1711">
        <f t="shared" si="31"/>
        <v>0.92390380679588768</v>
      </c>
    </row>
    <row r="465" spans="3:67" x14ac:dyDescent="0.25">
      <c r="C465" s="246" t="s">
        <v>1815</v>
      </c>
      <c r="D465" s="246">
        <v>1</v>
      </c>
      <c r="E465" s="246">
        <v>2</v>
      </c>
      <c r="F465" s="246">
        <v>3</v>
      </c>
      <c r="G465" s="246">
        <v>6</v>
      </c>
      <c r="H465" s="246">
        <v>10</v>
      </c>
      <c r="I465" s="246">
        <v>13</v>
      </c>
      <c r="J465" s="246">
        <v>16</v>
      </c>
      <c r="K465" s="246"/>
      <c r="L465" s="246"/>
      <c r="M465" s="246"/>
      <c r="N465" s="246"/>
      <c r="O465" s="246"/>
      <c r="P465" s="246"/>
      <c r="Q465" s="246"/>
      <c r="R465" s="246">
        <f>IFERROR(VLOOKUP(D465,PROGRAMAS[],2,FALSE),0)</f>
        <v>97037803.679377079</v>
      </c>
      <c r="S465" s="246">
        <f>IFERROR(VLOOKUP(E465,PROGRAMAS[],2,FALSE),0)</f>
        <v>640501509.6821388</v>
      </c>
      <c r="T465" s="246">
        <f>IFERROR(VLOOKUP(F465,PROGRAMAS[],2,FALSE),0)</f>
        <v>3062327798.1525245</v>
      </c>
      <c r="U465" s="246">
        <f>IFERROR(VLOOKUP(G465,PROGRAMAS[],2,FALSE),0)</f>
        <v>6907648435.8447599</v>
      </c>
      <c r="V465" s="246">
        <f>IFERROR(VLOOKUP(H465,PROGRAMAS[],2,FALSE),0)</f>
        <v>4635315027.8751087</v>
      </c>
      <c r="W465" s="246">
        <f>IFERROR(VLOOKUP(I465,PROGRAMAS[],2,FALSE),0)</f>
        <v>3776538594.4604583</v>
      </c>
      <c r="X465" s="246">
        <f>IFERROR(VLOOKUP(J465,PROGRAMAS[],2,FALSE),0)</f>
        <v>7068496961.0436354</v>
      </c>
      <c r="Y465" s="246">
        <f>IFERROR(VLOOKUP(K465,PROGRAMAS[],2,FALSE),0)</f>
        <v>0</v>
      </c>
      <c r="Z465" s="246">
        <f>IFERROR(VLOOKUP(L465,PROGRAMAS[],2,FALSE),0)</f>
        <v>0</v>
      </c>
      <c r="AA465" s="246">
        <f>IFERROR(VLOOKUP(M465,PROGRAMAS[],2,FALSE),0)</f>
        <v>0</v>
      </c>
      <c r="AB465" s="246">
        <f>IFERROR(VLOOKUP(N465,PROGRAMAS[],2,FALSE),0)</f>
        <v>0</v>
      </c>
      <c r="AC465" s="246">
        <f>IFERROR(VLOOKUP(O465,PROGRAMAS[],2,FALSE),0)</f>
        <v>0</v>
      </c>
      <c r="AD465" s="246">
        <f>IFERROR(VLOOKUP(P465,PROGRAMAS[],2,FALSE),0)</f>
        <v>0</v>
      </c>
      <c r="AE465" s="246">
        <f>IFERROR(VLOOKUP(Q465,PROGRAMAS[],2,FALSE),0)</f>
        <v>0</v>
      </c>
      <c r="AF465" s="246">
        <f>IFERROR(VLOOKUP(D465,PROGRAMAS[],3,FALSE),0)</f>
        <v>841888629.31080008</v>
      </c>
      <c r="AG465" s="246">
        <f>IFERROR(VLOOKUP(E465,PROGRAMAS[],3,FALSE),0)</f>
        <v>3848980803.1642323</v>
      </c>
      <c r="AH465" s="246">
        <f>IFERROR(VLOOKUP(F465,PROGRAMAS[],3,FALSE),0)</f>
        <v>3394901471.387517</v>
      </c>
      <c r="AI465" s="246">
        <f>IFERROR(VLOOKUP(G465,PROGRAMAS[],3,FALSE),0)</f>
        <v>6129902208.7912121</v>
      </c>
      <c r="AJ465" s="246">
        <f>IFERROR(VLOOKUP(H465,PROGRAMAS[],3,FALSE),0)</f>
        <v>4099471734.9978786</v>
      </c>
      <c r="AK465" s="246">
        <f>IFERROR(VLOOKUP(I465,PROGRAMAS[],3,FALSE),0)</f>
        <v>2392571243.5584412</v>
      </c>
      <c r="AL465" s="246">
        <f>IFERROR(VLOOKUP(J465,PROGRAMAS[],3,FALSE),0)</f>
        <v>2406564599.0319901</v>
      </c>
      <c r="AM465" s="246">
        <f>IFERROR(VLOOKUP(K465,PROGRAMAS[],3,FALSE),0)</f>
        <v>0</v>
      </c>
      <c r="AN465" s="246">
        <f>IFERROR(VLOOKUP(L465,PROGRAMAS[],3,FALSE),0)</f>
        <v>0</v>
      </c>
      <c r="AO465" s="246">
        <f>IFERROR(VLOOKUP(M465,PROGRAMAS[],3,FALSE),0)</f>
        <v>0</v>
      </c>
      <c r="AP465" s="246">
        <f>IFERROR(VLOOKUP(N465,PROGRAMAS[],3,FALSE),0)</f>
        <v>0</v>
      </c>
      <c r="AQ465" s="246">
        <f>IFERROR(VLOOKUP(O465,PROGRAMAS[],3,FALSE),0)</f>
        <v>0</v>
      </c>
      <c r="AR465" s="246">
        <f>IFERROR(VLOOKUP(P465,PROGRAMAS[],3,FALSE),0)</f>
        <v>0</v>
      </c>
      <c r="AS465" s="246">
        <f>IFERROR(VLOOKUP(Q465,PROGRAMAS[],3,FALSE),0)</f>
        <v>0</v>
      </c>
      <c r="AT465" s="246">
        <f>IFERROR(VLOOKUP(D465,VOL_REC[],2,FALSE),0)</f>
        <v>0</v>
      </c>
      <c r="AU465" s="246">
        <f>IFERROR(VLOOKUP(E465,VOL_REC[],2,FALSE),0)</f>
        <v>0</v>
      </c>
      <c r="AV465" s="246">
        <f>IFERROR(VLOOKUP(F465,VOL_REC[],2,FALSE),0)</f>
        <v>11089674.200000001</v>
      </c>
      <c r="AW465" s="246">
        <f>IFERROR(VLOOKUP(G465,VOL_REC[],2,FALSE),0)</f>
        <v>15540036.397699751</v>
      </c>
      <c r="AX465" s="246">
        <f>IFERROR(VLOOKUP(H465,VOL_REC[],2,FALSE),0)</f>
        <v>1812240</v>
      </c>
      <c r="AY465" s="246">
        <f>IFERROR(VLOOKUP(I465,VOL_REC[],2,FALSE),0)</f>
        <v>663244.80000000016</v>
      </c>
      <c r="AZ465" s="246">
        <f>IFERROR(VLOOKUP(J465,VOL_REC[],2,FALSE),0)</f>
        <v>1072354.9981737854</v>
      </c>
      <c r="BA465" s="246">
        <f>IFERROR(VLOOKUP(K465,VOL_REC[],2,FALSE),0)</f>
        <v>0</v>
      </c>
      <c r="BB465" s="246">
        <f>IFERROR(VLOOKUP(L465,VOL_REC[],2,FALSE),0)</f>
        <v>0</v>
      </c>
      <c r="BC465" s="246">
        <f>IFERROR(VLOOKUP(M465,VOL_REC[],2,FALSE),0)</f>
        <v>0</v>
      </c>
      <c r="BD465" s="246">
        <f>IFERROR(VLOOKUP(N465,VOL_REC[],2,FALSE),0)</f>
        <v>0</v>
      </c>
      <c r="BE465" s="246">
        <f>IFERROR(VLOOKUP(O465,VOL_REC[],2,FALSE),0)</f>
        <v>0</v>
      </c>
      <c r="BF465" s="246">
        <f>IFERROR(VLOOKUP(P465,VOL_REC[],2,FALSE),0)</f>
        <v>0</v>
      </c>
      <c r="BG465" s="246">
        <f>IFERROR(VLOOKUP(Q465,VOL_REC[],2,FALSE),0)</f>
        <v>0</v>
      </c>
      <c r="BH465" s="1710">
        <f t="shared" si="28"/>
        <v>26187866130.738003</v>
      </c>
      <c r="BI465" s="1710">
        <f t="shared" si="29"/>
        <v>23114280690.242073</v>
      </c>
      <c r="BJ465" s="1711">
        <f t="shared" si="30"/>
        <v>30177550.395873539</v>
      </c>
      <c r="BK465" s="1711">
        <f t="shared" si="31"/>
        <v>1.1329734410378374</v>
      </c>
      <c r="BL465">
        <f>BJ465</f>
        <v>30177550.395873539</v>
      </c>
      <c r="BO465">
        <f>BL465</f>
        <v>30177550.395873539</v>
      </c>
    </row>
    <row r="466" spans="3:67" x14ac:dyDescent="0.25">
      <c r="C466" s="246" t="s">
        <v>1816</v>
      </c>
      <c r="D466" s="246">
        <v>1</v>
      </c>
      <c r="E466" s="246">
        <v>2</v>
      </c>
      <c r="F466" s="246">
        <v>3</v>
      </c>
      <c r="G466" s="246">
        <v>6</v>
      </c>
      <c r="H466" s="246">
        <v>10</v>
      </c>
      <c r="I466" s="246">
        <v>13</v>
      </c>
      <c r="J466" s="246">
        <v>17</v>
      </c>
      <c r="K466" s="246"/>
      <c r="L466" s="246"/>
      <c r="M466" s="246"/>
      <c r="N466" s="246"/>
      <c r="O466" s="246"/>
      <c r="P466" s="246"/>
      <c r="Q466" s="246"/>
      <c r="R466" s="246">
        <f>IFERROR(VLOOKUP(D466,PROGRAMAS[],2,FALSE),0)</f>
        <v>97037803.679377079</v>
      </c>
      <c r="S466" s="246">
        <f>IFERROR(VLOOKUP(E466,PROGRAMAS[],2,FALSE),0)</f>
        <v>640501509.6821388</v>
      </c>
      <c r="T466" s="246">
        <f>IFERROR(VLOOKUP(F466,PROGRAMAS[],2,FALSE),0)</f>
        <v>3062327798.1525245</v>
      </c>
      <c r="U466" s="246">
        <f>IFERROR(VLOOKUP(G466,PROGRAMAS[],2,FALSE),0)</f>
        <v>6907648435.8447599</v>
      </c>
      <c r="V466" s="246">
        <f>IFERROR(VLOOKUP(H466,PROGRAMAS[],2,FALSE),0)</f>
        <v>4635315027.8751087</v>
      </c>
      <c r="W466" s="246">
        <f>IFERROR(VLOOKUP(I466,PROGRAMAS[],2,FALSE),0)</f>
        <v>3776538594.4604583</v>
      </c>
      <c r="X466" s="246">
        <f>IFERROR(VLOOKUP(J466,PROGRAMAS[],2,FALSE),0)</f>
        <v>1892779498.5211046</v>
      </c>
      <c r="Y466" s="246">
        <f>IFERROR(VLOOKUP(K466,PROGRAMAS[],2,FALSE),0)</f>
        <v>0</v>
      </c>
      <c r="Z466" s="246">
        <f>IFERROR(VLOOKUP(L466,PROGRAMAS[],2,FALSE),0)</f>
        <v>0</v>
      </c>
      <c r="AA466" s="246">
        <f>IFERROR(VLOOKUP(M466,PROGRAMAS[],2,FALSE),0)</f>
        <v>0</v>
      </c>
      <c r="AB466" s="246">
        <f>IFERROR(VLOOKUP(N466,PROGRAMAS[],2,FALSE),0)</f>
        <v>0</v>
      </c>
      <c r="AC466" s="246">
        <f>IFERROR(VLOOKUP(O466,PROGRAMAS[],2,FALSE),0)</f>
        <v>0</v>
      </c>
      <c r="AD466" s="246">
        <f>IFERROR(VLOOKUP(P466,PROGRAMAS[],2,FALSE),0)</f>
        <v>0</v>
      </c>
      <c r="AE466" s="246">
        <f>IFERROR(VLOOKUP(Q466,PROGRAMAS[],2,FALSE),0)</f>
        <v>0</v>
      </c>
      <c r="AF466" s="246">
        <f>IFERROR(VLOOKUP(D466,PROGRAMAS[],3,FALSE),0)</f>
        <v>841888629.31080008</v>
      </c>
      <c r="AG466" s="246">
        <f>IFERROR(VLOOKUP(E466,PROGRAMAS[],3,FALSE),0)</f>
        <v>3848980803.1642323</v>
      </c>
      <c r="AH466" s="246">
        <f>IFERROR(VLOOKUP(F466,PROGRAMAS[],3,FALSE),0)</f>
        <v>3394901471.387517</v>
      </c>
      <c r="AI466" s="246">
        <f>IFERROR(VLOOKUP(G466,PROGRAMAS[],3,FALSE),0)</f>
        <v>6129902208.7912121</v>
      </c>
      <c r="AJ466" s="246">
        <f>IFERROR(VLOOKUP(H466,PROGRAMAS[],3,FALSE),0)</f>
        <v>4099471734.9978786</v>
      </c>
      <c r="AK466" s="246">
        <f>IFERROR(VLOOKUP(I466,PROGRAMAS[],3,FALSE),0)</f>
        <v>2392571243.5584412</v>
      </c>
      <c r="AL466" s="246">
        <f>IFERROR(VLOOKUP(J466,PROGRAMAS[],3,FALSE),0)</f>
        <v>948595847.09039903</v>
      </c>
      <c r="AM466" s="246">
        <f>IFERROR(VLOOKUP(K466,PROGRAMAS[],3,FALSE),0)</f>
        <v>0</v>
      </c>
      <c r="AN466" s="246">
        <f>IFERROR(VLOOKUP(L466,PROGRAMAS[],3,FALSE),0)</f>
        <v>0</v>
      </c>
      <c r="AO466" s="246">
        <f>IFERROR(VLOOKUP(M466,PROGRAMAS[],3,FALSE),0)</f>
        <v>0</v>
      </c>
      <c r="AP466" s="246">
        <f>IFERROR(VLOOKUP(N466,PROGRAMAS[],3,FALSE),0)</f>
        <v>0</v>
      </c>
      <c r="AQ466" s="246">
        <f>IFERROR(VLOOKUP(O466,PROGRAMAS[],3,FALSE),0)</f>
        <v>0</v>
      </c>
      <c r="AR466" s="246">
        <f>IFERROR(VLOOKUP(P466,PROGRAMAS[],3,FALSE),0)</f>
        <v>0</v>
      </c>
      <c r="AS466" s="246">
        <f>IFERROR(VLOOKUP(Q466,PROGRAMAS[],3,FALSE),0)</f>
        <v>0</v>
      </c>
      <c r="AT466" s="246">
        <f>IFERROR(VLOOKUP(D466,VOL_REC[],2,FALSE),0)</f>
        <v>0</v>
      </c>
      <c r="AU466" s="246">
        <f>IFERROR(VLOOKUP(E466,VOL_REC[],2,FALSE),0)</f>
        <v>0</v>
      </c>
      <c r="AV466" s="246">
        <f>IFERROR(VLOOKUP(F466,VOL_REC[],2,FALSE),0)</f>
        <v>11089674.200000001</v>
      </c>
      <c r="AW466" s="246">
        <f>IFERROR(VLOOKUP(G466,VOL_REC[],2,FALSE),0)</f>
        <v>15540036.397699751</v>
      </c>
      <c r="AX466" s="246">
        <f>IFERROR(VLOOKUP(H466,VOL_REC[],2,FALSE),0)</f>
        <v>1812240</v>
      </c>
      <c r="AY466" s="246">
        <f>IFERROR(VLOOKUP(I466,VOL_REC[],2,FALSE),0)</f>
        <v>663244.80000000016</v>
      </c>
      <c r="AZ466" s="246">
        <f>IFERROR(VLOOKUP(J466,VOL_REC[],2,FALSE),0)</f>
        <v>740113.98115702497</v>
      </c>
      <c r="BA466" s="246">
        <f>IFERROR(VLOOKUP(K466,VOL_REC[],2,FALSE),0)</f>
        <v>0</v>
      </c>
      <c r="BB466" s="246">
        <f>IFERROR(VLOOKUP(L466,VOL_REC[],2,FALSE),0)</f>
        <v>0</v>
      </c>
      <c r="BC466" s="246">
        <f>IFERROR(VLOOKUP(M466,VOL_REC[],2,FALSE),0)</f>
        <v>0</v>
      </c>
      <c r="BD466" s="246">
        <f>IFERROR(VLOOKUP(N466,VOL_REC[],2,FALSE),0)</f>
        <v>0</v>
      </c>
      <c r="BE466" s="246">
        <f>IFERROR(VLOOKUP(O466,VOL_REC[],2,FALSE),0)</f>
        <v>0</v>
      </c>
      <c r="BF466" s="246">
        <f>IFERROR(VLOOKUP(P466,VOL_REC[],2,FALSE),0)</f>
        <v>0</v>
      </c>
      <c r="BG466" s="246">
        <f>IFERROR(VLOOKUP(Q466,VOL_REC[],2,FALSE),0)</f>
        <v>0</v>
      </c>
      <c r="BH466" s="1710">
        <f t="shared" si="28"/>
        <v>21012148668.215469</v>
      </c>
      <c r="BI466" s="1710">
        <f t="shared" si="29"/>
        <v>21656311938.300484</v>
      </c>
      <c r="BJ466" s="1711">
        <f t="shared" si="30"/>
        <v>29845309.378856778</v>
      </c>
      <c r="BK466" s="1711">
        <f t="shared" si="31"/>
        <v>0.97025517216780699</v>
      </c>
    </row>
    <row r="467" spans="3:67" x14ac:dyDescent="0.25">
      <c r="C467" s="246" t="s">
        <v>1817</v>
      </c>
      <c r="D467" s="246">
        <v>1</v>
      </c>
      <c r="E467" s="246">
        <v>2</v>
      </c>
      <c r="F467" s="246">
        <v>3</v>
      </c>
      <c r="G467" s="246">
        <v>6</v>
      </c>
      <c r="H467" s="246">
        <v>10</v>
      </c>
      <c r="I467" s="246">
        <v>14</v>
      </c>
      <c r="J467" s="246">
        <v>15</v>
      </c>
      <c r="K467" s="246"/>
      <c r="L467" s="246"/>
      <c r="M467" s="246"/>
      <c r="N467" s="246"/>
      <c r="O467" s="246"/>
      <c r="P467" s="246"/>
      <c r="Q467" s="246"/>
      <c r="R467" s="246">
        <f>IFERROR(VLOOKUP(D467,PROGRAMAS[],2,FALSE),0)</f>
        <v>97037803.679377079</v>
      </c>
      <c r="S467" s="246">
        <f>IFERROR(VLOOKUP(E467,PROGRAMAS[],2,FALSE),0)</f>
        <v>640501509.6821388</v>
      </c>
      <c r="T467" s="246">
        <f>IFERROR(VLOOKUP(F467,PROGRAMAS[],2,FALSE),0)</f>
        <v>3062327798.1525245</v>
      </c>
      <c r="U467" s="246">
        <f>IFERROR(VLOOKUP(G467,PROGRAMAS[],2,FALSE),0)</f>
        <v>6907648435.8447599</v>
      </c>
      <c r="V467" s="246">
        <f>IFERROR(VLOOKUP(H467,PROGRAMAS[],2,FALSE),0)</f>
        <v>4635315027.8751087</v>
      </c>
      <c r="W467" s="246">
        <f>IFERROR(VLOOKUP(I467,PROGRAMAS[],2,FALSE),0)</f>
        <v>54223862.645839565</v>
      </c>
      <c r="X467" s="246">
        <f>IFERROR(VLOOKUP(J467,PROGRAMAS[],2,FALSE),0)</f>
        <v>122159672.96346797</v>
      </c>
      <c r="Y467" s="246">
        <f>IFERROR(VLOOKUP(K467,PROGRAMAS[],2,FALSE),0)</f>
        <v>0</v>
      </c>
      <c r="Z467" s="246">
        <f>IFERROR(VLOOKUP(L467,PROGRAMAS[],2,FALSE),0)</f>
        <v>0</v>
      </c>
      <c r="AA467" s="246">
        <f>IFERROR(VLOOKUP(M467,PROGRAMAS[],2,FALSE),0)</f>
        <v>0</v>
      </c>
      <c r="AB467" s="246">
        <f>IFERROR(VLOOKUP(N467,PROGRAMAS[],2,FALSE),0)</f>
        <v>0</v>
      </c>
      <c r="AC467" s="246">
        <f>IFERROR(VLOOKUP(O467,PROGRAMAS[],2,FALSE),0)</f>
        <v>0</v>
      </c>
      <c r="AD467" s="246">
        <f>IFERROR(VLOOKUP(P467,PROGRAMAS[],2,FALSE),0)</f>
        <v>0</v>
      </c>
      <c r="AE467" s="246">
        <f>IFERROR(VLOOKUP(Q467,PROGRAMAS[],2,FALSE),0)</f>
        <v>0</v>
      </c>
      <c r="AF467" s="246">
        <f>IFERROR(VLOOKUP(D467,PROGRAMAS[],3,FALSE),0)</f>
        <v>841888629.31080008</v>
      </c>
      <c r="AG467" s="246">
        <f>IFERROR(VLOOKUP(E467,PROGRAMAS[],3,FALSE),0)</f>
        <v>3848980803.1642323</v>
      </c>
      <c r="AH467" s="246">
        <f>IFERROR(VLOOKUP(F467,PROGRAMAS[],3,FALSE),0)</f>
        <v>3394901471.387517</v>
      </c>
      <c r="AI467" s="246">
        <f>IFERROR(VLOOKUP(G467,PROGRAMAS[],3,FALSE),0)</f>
        <v>6129902208.7912121</v>
      </c>
      <c r="AJ467" s="246">
        <f>IFERROR(VLOOKUP(H467,PROGRAMAS[],3,FALSE),0)</f>
        <v>4099471734.9978786</v>
      </c>
      <c r="AK467" s="246">
        <f>IFERROR(VLOOKUP(I467,PROGRAMAS[],3,FALSE),0)</f>
        <v>31865326.38096505</v>
      </c>
      <c r="AL467" s="246">
        <f>IFERROR(VLOOKUP(J467,PROGRAMAS[],3,FALSE),0)</f>
        <v>118617452.52510804</v>
      </c>
      <c r="AM467" s="246">
        <f>IFERROR(VLOOKUP(K467,PROGRAMAS[],3,FALSE),0)</f>
        <v>0</v>
      </c>
      <c r="AN467" s="246">
        <f>IFERROR(VLOOKUP(L467,PROGRAMAS[],3,FALSE),0)</f>
        <v>0</v>
      </c>
      <c r="AO467" s="246">
        <f>IFERROR(VLOOKUP(M467,PROGRAMAS[],3,FALSE),0)</f>
        <v>0</v>
      </c>
      <c r="AP467" s="246">
        <f>IFERROR(VLOOKUP(N467,PROGRAMAS[],3,FALSE),0)</f>
        <v>0</v>
      </c>
      <c r="AQ467" s="246">
        <f>IFERROR(VLOOKUP(O467,PROGRAMAS[],3,FALSE),0)</f>
        <v>0</v>
      </c>
      <c r="AR467" s="246">
        <f>IFERROR(VLOOKUP(P467,PROGRAMAS[],3,FALSE),0)</f>
        <v>0</v>
      </c>
      <c r="AS467" s="246">
        <f>IFERROR(VLOOKUP(Q467,PROGRAMAS[],3,FALSE),0)</f>
        <v>0</v>
      </c>
      <c r="AT467" s="246">
        <f>IFERROR(VLOOKUP(D467,VOL_REC[],2,FALSE),0)</f>
        <v>0</v>
      </c>
      <c r="AU467" s="246">
        <f>IFERROR(VLOOKUP(E467,VOL_REC[],2,FALSE),0)</f>
        <v>0</v>
      </c>
      <c r="AV467" s="246">
        <f>IFERROR(VLOOKUP(F467,VOL_REC[],2,FALSE),0)</f>
        <v>11089674.200000001</v>
      </c>
      <c r="AW467" s="246">
        <f>IFERROR(VLOOKUP(G467,VOL_REC[],2,FALSE),0)</f>
        <v>15540036.397699751</v>
      </c>
      <c r="AX467" s="246">
        <f>IFERROR(VLOOKUP(H467,VOL_REC[],2,FALSE),0)</f>
        <v>1812240</v>
      </c>
      <c r="AY467" s="246">
        <f>IFERROR(VLOOKUP(I467,VOL_REC[],2,FALSE),0)</f>
        <v>17074.045034105649</v>
      </c>
      <c r="AZ467" s="246">
        <f>IFERROR(VLOOKUP(J467,VOL_REC[],2,FALSE),0)</f>
        <v>105072</v>
      </c>
      <c r="BA467" s="246">
        <f>IFERROR(VLOOKUP(K467,VOL_REC[],2,FALSE),0)</f>
        <v>0</v>
      </c>
      <c r="BB467" s="246">
        <f>IFERROR(VLOOKUP(L467,VOL_REC[],2,FALSE),0)</f>
        <v>0</v>
      </c>
      <c r="BC467" s="246">
        <f>IFERROR(VLOOKUP(M467,VOL_REC[],2,FALSE),0)</f>
        <v>0</v>
      </c>
      <c r="BD467" s="246">
        <f>IFERROR(VLOOKUP(N467,VOL_REC[],2,FALSE),0)</f>
        <v>0</v>
      </c>
      <c r="BE467" s="246">
        <f>IFERROR(VLOOKUP(O467,VOL_REC[],2,FALSE),0)</f>
        <v>0</v>
      </c>
      <c r="BF467" s="246">
        <f>IFERROR(VLOOKUP(P467,VOL_REC[],2,FALSE),0)</f>
        <v>0</v>
      </c>
      <c r="BG467" s="246">
        <f>IFERROR(VLOOKUP(Q467,VOL_REC[],2,FALSE),0)</f>
        <v>0</v>
      </c>
      <c r="BH467" s="1710">
        <f t="shared" si="28"/>
        <v>15519214110.843218</v>
      </c>
      <c r="BI467" s="1710">
        <f t="shared" si="29"/>
        <v>18465627626.557716</v>
      </c>
      <c r="BJ467" s="1711">
        <f t="shared" si="30"/>
        <v>28564096.642733861</v>
      </c>
      <c r="BK467" s="1711">
        <f t="shared" si="31"/>
        <v>0.84043794365933733</v>
      </c>
    </row>
    <row r="468" spans="3:67" x14ac:dyDescent="0.25">
      <c r="C468" s="246" t="s">
        <v>1818</v>
      </c>
      <c r="D468" s="246">
        <v>1</v>
      </c>
      <c r="E468" s="246">
        <v>2</v>
      </c>
      <c r="F468" s="246">
        <v>3</v>
      </c>
      <c r="G468" s="246">
        <v>6</v>
      </c>
      <c r="H468" s="246">
        <v>10</v>
      </c>
      <c r="I468" s="246">
        <v>14</v>
      </c>
      <c r="J468" s="246">
        <v>16</v>
      </c>
      <c r="K468" s="246"/>
      <c r="L468" s="246"/>
      <c r="M468" s="246"/>
      <c r="N468" s="246"/>
      <c r="O468" s="246"/>
      <c r="P468" s="246"/>
      <c r="Q468" s="246"/>
      <c r="R468" s="246">
        <f>IFERROR(VLOOKUP(D468,PROGRAMAS[],2,FALSE),0)</f>
        <v>97037803.679377079</v>
      </c>
      <c r="S468" s="246">
        <f>IFERROR(VLOOKUP(E468,PROGRAMAS[],2,FALSE),0)</f>
        <v>640501509.6821388</v>
      </c>
      <c r="T468" s="246">
        <f>IFERROR(VLOOKUP(F468,PROGRAMAS[],2,FALSE),0)</f>
        <v>3062327798.1525245</v>
      </c>
      <c r="U468" s="246">
        <f>IFERROR(VLOOKUP(G468,PROGRAMAS[],2,FALSE),0)</f>
        <v>6907648435.8447599</v>
      </c>
      <c r="V468" s="246">
        <f>IFERROR(VLOOKUP(H468,PROGRAMAS[],2,FALSE),0)</f>
        <v>4635315027.8751087</v>
      </c>
      <c r="W468" s="246">
        <f>IFERROR(VLOOKUP(I468,PROGRAMAS[],2,FALSE),0)</f>
        <v>54223862.645839565</v>
      </c>
      <c r="X468" s="246">
        <f>IFERROR(VLOOKUP(J468,PROGRAMAS[],2,FALSE),0)</f>
        <v>7068496961.0436354</v>
      </c>
      <c r="Y468" s="246">
        <f>IFERROR(VLOOKUP(K468,PROGRAMAS[],2,FALSE),0)</f>
        <v>0</v>
      </c>
      <c r="Z468" s="246">
        <f>IFERROR(VLOOKUP(L468,PROGRAMAS[],2,FALSE),0)</f>
        <v>0</v>
      </c>
      <c r="AA468" s="246">
        <f>IFERROR(VLOOKUP(M468,PROGRAMAS[],2,FALSE),0)</f>
        <v>0</v>
      </c>
      <c r="AB468" s="246">
        <f>IFERROR(VLOOKUP(N468,PROGRAMAS[],2,FALSE),0)</f>
        <v>0</v>
      </c>
      <c r="AC468" s="246">
        <f>IFERROR(VLOOKUP(O468,PROGRAMAS[],2,FALSE),0)</f>
        <v>0</v>
      </c>
      <c r="AD468" s="246">
        <f>IFERROR(VLOOKUP(P468,PROGRAMAS[],2,FALSE),0)</f>
        <v>0</v>
      </c>
      <c r="AE468" s="246">
        <f>IFERROR(VLOOKUP(Q468,PROGRAMAS[],2,FALSE),0)</f>
        <v>0</v>
      </c>
      <c r="AF468" s="246">
        <f>IFERROR(VLOOKUP(D468,PROGRAMAS[],3,FALSE),0)</f>
        <v>841888629.31080008</v>
      </c>
      <c r="AG468" s="246">
        <f>IFERROR(VLOOKUP(E468,PROGRAMAS[],3,FALSE),0)</f>
        <v>3848980803.1642323</v>
      </c>
      <c r="AH468" s="246">
        <f>IFERROR(VLOOKUP(F468,PROGRAMAS[],3,FALSE),0)</f>
        <v>3394901471.387517</v>
      </c>
      <c r="AI468" s="246">
        <f>IFERROR(VLOOKUP(G468,PROGRAMAS[],3,FALSE),0)</f>
        <v>6129902208.7912121</v>
      </c>
      <c r="AJ468" s="246">
        <f>IFERROR(VLOOKUP(H468,PROGRAMAS[],3,FALSE),0)</f>
        <v>4099471734.9978786</v>
      </c>
      <c r="AK468" s="246">
        <f>IFERROR(VLOOKUP(I468,PROGRAMAS[],3,FALSE),0)</f>
        <v>31865326.38096505</v>
      </c>
      <c r="AL468" s="246">
        <f>IFERROR(VLOOKUP(J468,PROGRAMAS[],3,FALSE),0)</f>
        <v>2406564599.0319901</v>
      </c>
      <c r="AM468" s="246">
        <f>IFERROR(VLOOKUP(K468,PROGRAMAS[],3,FALSE),0)</f>
        <v>0</v>
      </c>
      <c r="AN468" s="246">
        <f>IFERROR(VLOOKUP(L468,PROGRAMAS[],3,FALSE),0)</f>
        <v>0</v>
      </c>
      <c r="AO468" s="246">
        <f>IFERROR(VLOOKUP(M468,PROGRAMAS[],3,FALSE),0)</f>
        <v>0</v>
      </c>
      <c r="AP468" s="246">
        <f>IFERROR(VLOOKUP(N468,PROGRAMAS[],3,FALSE),0)</f>
        <v>0</v>
      </c>
      <c r="AQ468" s="246">
        <f>IFERROR(VLOOKUP(O468,PROGRAMAS[],3,FALSE),0)</f>
        <v>0</v>
      </c>
      <c r="AR468" s="246">
        <f>IFERROR(VLOOKUP(P468,PROGRAMAS[],3,FALSE),0)</f>
        <v>0</v>
      </c>
      <c r="AS468" s="246">
        <f>IFERROR(VLOOKUP(Q468,PROGRAMAS[],3,FALSE),0)</f>
        <v>0</v>
      </c>
      <c r="AT468" s="246">
        <f>IFERROR(VLOOKUP(D468,VOL_REC[],2,FALSE),0)</f>
        <v>0</v>
      </c>
      <c r="AU468" s="246">
        <f>IFERROR(VLOOKUP(E468,VOL_REC[],2,FALSE),0)</f>
        <v>0</v>
      </c>
      <c r="AV468" s="246">
        <f>IFERROR(VLOOKUP(F468,VOL_REC[],2,FALSE),0)</f>
        <v>11089674.200000001</v>
      </c>
      <c r="AW468" s="246">
        <f>IFERROR(VLOOKUP(G468,VOL_REC[],2,FALSE),0)</f>
        <v>15540036.397699751</v>
      </c>
      <c r="AX468" s="246">
        <f>IFERROR(VLOOKUP(H468,VOL_REC[],2,FALSE),0)</f>
        <v>1812240</v>
      </c>
      <c r="AY468" s="246">
        <f>IFERROR(VLOOKUP(I468,VOL_REC[],2,FALSE),0)</f>
        <v>17074.045034105649</v>
      </c>
      <c r="AZ468" s="246">
        <f>IFERROR(VLOOKUP(J468,VOL_REC[],2,FALSE),0)</f>
        <v>1072354.9981737854</v>
      </c>
      <c r="BA468" s="246">
        <f>IFERROR(VLOOKUP(K468,VOL_REC[],2,FALSE),0)</f>
        <v>0</v>
      </c>
      <c r="BB468" s="246">
        <f>IFERROR(VLOOKUP(L468,VOL_REC[],2,FALSE),0)</f>
        <v>0</v>
      </c>
      <c r="BC468" s="246">
        <f>IFERROR(VLOOKUP(M468,VOL_REC[],2,FALSE),0)</f>
        <v>0</v>
      </c>
      <c r="BD468" s="246">
        <f>IFERROR(VLOOKUP(N468,VOL_REC[],2,FALSE),0)</f>
        <v>0</v>
      </c>
      <c r="BE468" s="246">
        <f>IFERROR(VLOOKUP(O468,VOL_REC[],2,FALSE),0)</f>
        <v>0</v>
      </c>
      <c r="BF468" s="246">
        <f>IFERROR(VLOOKUP(P468,VOL_REC[],2,FALSE),0)</f>
        <v>0</v>
      </c>
      <c r="BG468" s="246">
        <f>IFERROR(VLOOKUP(Q468,VOL_REC[],2,FALSE),0)</f>
        <v>0</v>
      </c>
      <c r="BH468" s="1710">
        <f t="shared" si="28"/>
        <v>22465551398.923386</v>
      </c>
      <c r="BI468" s="1710">
        <f t="shared" si="29"/>
        <v>20753574773.064598</v>
      </c>
      <c r="BJ468" s="1711">
        <f t="shared" si="30"/>
        <v>29531379.640907645</v>
      </c>
      <c r="BK468" s="1711">
        <f t="shared" si="31"/>
        <v>1.0824906862831509</v>
      </c>
      <c r="BL468">
        <f>BJ468</f>
        <v>29531379.640907645</v>
      </c>
      <c r="BO468">
        <f>BL468</f>
        <v>29531379.640907645</v>
      </c>
    </row>
    <row r="469" spans="3:67" x14ac:dyDescent="0.25">
      <c r="C469" s="246" t="s">
        <v>1819</v>
      </c>
      <c r="D469" s="246">
        <v>1</v>
      </c>
      <c r="E469" s="246">
        <v>2</v>
      </c>
      <c r="F469" s="246">
        <v>3</v>
      </c>
      <c r="G469" s="246">
        <v>6</v>
      </c>
      <c r="H469" s="246">
        <v>10</v>
      </c>
      <c r="I469" s="246">
        <v>14</v>
      </c>
      <c r="J469" s="246">
        <v>17</v>
      </c>
      <c r="K469" s="246"/>
      <c r="L469" s="246"/>
      <c r="M469" s="246"/>
      <c r="N469" s="246"/>
      <c r="O469" s="246"/>
      <c r="P469" s="246"/>
      <c r="Q469" s="246"/>
      <c r="R469" s="246">
        <f>IFERROR(VLOOKUP(D469,PROGRAMAS[],2,FALSE),0)</f>
        <v>97037803.679377079</v>
      </c>
      <c r="S469" s="246">
        <f>IFERROR(VLOOKUP(E469,PROGRAMAS[],2,FALSE),0)</f>
        <v>640501509.6821388</v>
      </c>
      <c r="T469" s="246">
        <f>IFERROR(VLOOKUP(F469,PROGRAMAS[],2,FALSE),0)</f>
        <v>3062327798.1525245</v>
      </c>
      <c r="U469" s="246">
        <f>IFERROR(VLOOKUP(G469,PROGRAMAS[],2,FALSE),0)</f>
        <v>6907648435.8447599</v>
      </c>
      <c r="V469" s="246">
        <f>IFERROR(VLOOKUP(H469,PROGRAMAS[],2,FALSE),0)</f>
        <v>4635315027.8751087</v>
      </c>
      <c r="W469" s="246">
        <f>IFERROR(VLOOKUP(I469,PROGRAMAS[],2,FALSE),0)</f>
        <v>54223862.645839565</v>
      </c>
      <c r="X469" s="246">
        <f>IFERROR(VLOOKUP(J469,PROGRAMAS[],2,FALSE),0)</f>
        <v>1892779498.5211046</v>
      </c>
      <c r="Y469" s="246">
        <f>IFERROR(VLOOKUP(K469,PROGRAMAS[],2,FALSE),0)</f>
        <v>0</v>
      </c>
      <c r="Z469" s="246">
        <f>IFERROR(VLOOKUP(L469,PROGRAMAS[],2,FALSE),0)</f>
        <v>0</v>
      </c>
      <c r="AA469" s="246">
        <f>IFERROR(VLOOKUP(M469,PROGRAMAS[],2,FALSE),0)</f>
        <v>0</v>
      </c>
      <c r="AB469" s="246">
        <f>IFERROR(VLOOKUP(N469,PROGRAMAS[],2,FALSE),0)</f>
        <v>0</v>
      </c>
      <c r="AC469" s="246">
        <f>IFERROR(VLOOKUP(O469,PROGRAMAS[],2,FALSE),0)</f>
        <v>0</v>
      </c>
      <c r="AD469" s="246">
        <f>IFERROR(VLOOKUP(P469,PROGRAMAS[],2,FALSE),0)</f>
        <v>0</v>
      </c>
      <c r="AE469" s="246">
        <f>IFERROR(VLOOKUP(Q469,PROGRAMAS[],2,FALSE),0)</f>
        <v>0</v>
      </c>
      <c r="AF469" s="246">
        <f>IFERROR(VLOOKUP(D469,PROGRAMAS[],3,FALSE),0)</f>
        <v>841888629.31080008</v>
      </c>
      <c r="AG469" s="246">
        <f>IFERROR(VLOOKUP(E469,PROGRAMAS[],3,FALSE),0)</f>
        <v>3848980803.1642323</v>
      </c>
      <c r="AH469" s="246">
        <f>IFERROR(VLOOKUP(F469,PROGRAMAS[],3,FALSE),0)</f>
        <v>3394901471.387517</v>
      </c>
      <c r="AI469" s="246">
        <f>IFERROR(VLOOKUP(G469,PROGRAMAS[],3,FALSE),0)</f>
        <v>6129902208.7912121</v>
      </c>
      <c r="AJ469" s="246">
        <f>IFERROR(VLOOKUP(H469,PROGRAMAS[],3,FALSE),0)</f>
        <v>4099471734.9978786</v>
      </c>
      <c r="AK469" s="246">
        <f>IFERROR(VLOOKUP(I469,PROGRAMAS[],3,FALSE),0)</f>
        <v>31865326.38096505</v>
      </c>
      <c r="AL469" s="246">
        <f>IFERROR(VLOOKUP(J469,PROGRAMAS[],3,FALSE),0)</f>
        <v>948595847.09039903</v>
      </c>
      <c r="AM469" s="246">
        <f>IFERROR(VLOOKUP(K469,PROGRAMAS[],3,FALSE),0)</f>
        <v>0</v>
      </c>
      <c r="AN469" s="246">
        <f>IFERROR(VLOOKUP(L469,PROGRAMAS[],3,FALSE),0)</f>
        <v>0</v>
      </c>
      <c r="AO469" s="246">
        <f>IFERROR(VLOOKUP(M469,PROGRAMAS[],3,FALSE),0)</f>
        <v>0</v>
      </c>
      <c r="AP469" s="246">
        <f>IFERROR(VLOOKUP(N469,PROGRAMAS[],3,FALSE),0)</f>
        <v>0</v>
      </c>
      <c r="AQ469" s="246">
        <f>IFERROR(VLOOKUP(O469,PROGRAMAS[],3,FALSE),0)</f>
        <v>0</v>
      </c>
      <c r="AR469" s="246">
        <f>IFERROR(VLOOKUP(P469,PROGRAMAS[],3,FALSE),0)</f>
        <v>0</v>
      </c>
      <c r="AS469" s="246">
        <f>IFERROR(VLOOKUP(Q469,PROGRAMAS[],3,FALSE),0)</f>
        <v>0</v>
      </c>
      <c r="AT469" s="246">
        <f>IFERROR(VLOOKUP(D469,VOL_REC[],2,FALSE),0)</f>
        <v>0</v>
      </c>
      <c r="AU469" s="246">
        <f>IFERROR(VLOOKUP(E469,VOL_REC[],2,FALSE),0)</f>
        <v>0</v>
      </c>
      <c r="AV469" s="246">
        <f>IFERROR(VLOOKUP(F469,VOL_REC[],2,FALSE),0)</f>
        <v>11089674.200000001</v>
      </c>
      <c r="AW469" s="246">
        <f>IFERROR(VLOOKUP(G469,VOL_REC[],2,FALSE),0)</f>
        <v>15540036.397699751</v>
      </c>
      <c r="AX469" s="246">
        <f>IFERROR(VLOOKUP(H469,VOL_REC[],2,FALSE),0)</f>
        <v>1812240</v>
      </c>
      <c r="AY469" s="246">
        <f>IFERROR(VLOOKUP(I469,VOL_REC[],2,FALSE),0)</f>
        <v>17074.045034105649</v>
      </c>
      <c r="AZ469" s="246">
        <f>IFERROR(VLOOKUP(J469,VOL_REC[],2,FALSE),0)</f>
        <v>740113.98115702497</v>
      </c>
      <c r="BA469" s="246">
        <f>IFERROR(VLOOKUP(K469,VOL_REC[],2,FALSE),0)</f>
        <v>0</v>
      </c>
      <c r="BB469" s="246">
        <f>IFERROR(VLOOKUP(L469,VOL_REC[],2,FALSE),0)</f>
        <v>0</v>
      </c>
      <c r="BC469" s="246">
        <f>IFERROR(VLOOKUP(M469,VOL_REC[],2,FALSE),0)</f>
        <v>0</v>
      </c>
      <c r="BD469" s="246">
        <f>IFERROR(VLOOKUP(N469,VOL_REC[],2,FALSE),0)</f>
        <v>0</v>
      </c>
      <c r="BE469" s="246">
        <f>IFERROR(VLOOKUP(O469,VOL_REC[],2,FALSE),0)</f>
        <v>0</v>
      </c>
      <c r="BF469" s="246">
        <f>IFERROR(VLOOKUP(P469,VOL_REC[],2,FALSE),0)</f>
        <v>0</v>
      </c>
      <c r="BG469" s="246">
        <f>IFERROR(VLOOKUP(Q469,VOL_REC[],2,FALSE),0)</f>
        <v>0</v>
      </c>
      <c r="BH469" s="1710">
        <f t="shared" si="28"/>
        <v>17289833936.400852</v>
      </c>
      <c r="BI469" s="1710">
        <f t="shared" si="29"/>
        <v>19295606021.123009</v>
      </c>
      <c r="BJ469" s="1711">
        <f t="shared" si="30"/>
        <v>29199138.623890884</v>
      </c>
      <c r="BK469" s="1711">
        <f t="shared" si="31"/>
        <v>0.89605031930448686</v>
      </c>
    </row>
    <row r="470" spans="3:67" x14ac:dyDescent="0.25">
      <c r="C470" s="246" t="s">
        <v>1820</v>
      </c>
      <c r="D470" s="246">
        <v>1</v>
      </c>
      <c r="E470" s="246">
        <v>2</v>
      </c>
      <c r="F470" s="246">
        <v>3</v>
      </c>
      <c r="G470" s="246">
        <v>6</v>
      </c>
      <c r="H470" s="246">
        <v>10</v>
      </c>
      <c r="I470" s="246">
        <v>15</v>
      </c>
      <c r="J470" s="246">
        <v>16</v>
      </c>
      <c r="K470" s="246"/>
      <c r="L470" s="246"/>
      <c r="M470" s="246"/>
      <c r="N470" s="246"/>
      <c r="O470" s="246"/>
      <c r="P470" s="246"/>
      <c r="Q470" s="246"/>
      <c r="R470" s="246">
        <f>IFERROR(VLOOKUP(D470,PROGRAMAS[],2,FALSE),0)</f>
        <v>97037803.679377079</v>
      </c>
      <c r="S470" s="246">
        <f>IFERROR(VLOOKUP(E470,PROGRAMAS[],2,FALSE),0)</f>
        <v>640501509.6821388</v>
      </c>
      <c r="T470" s="246">
        <f>IFERROR(VLOOKUP(F470,PROGRAMAS[],2,FALSE),0)</f>
        <v>3062327798.1525245</v>
      </c>
      <c r="U470" s="246">
        <f>IFERROR(VLOOKUP(G470,PROGRAMAS[],2,FALSE),0)</f>
        <v>6907648435.8447599</v>
      </c>
      <c r="V470" s="246">
        <f>IFERROR(VLOOKUP(H470,PROGRAMAS[],2,FALSE),0)</f>
        <v>4635315027.8751087</v>
      </c>
      <c r="W470" s="246">
        <f>IFERROR(VLOOKUP(I470,PROGRAMAS[],2,FALSE),0)</f>
        <v>122159672.96346797</v>
      </c>
      <c r="X470" s="246">
        <f>IFERROR(VLOOKUP(J470,PROGRAMAS[],2,FALSE),0)</f>
        <v>7068496961.0436354</v>
      </c>
      <c r="Y470" s="246">
        <f>IFERROR(VLOOKUP(K470,PROGRAMAS[],2,FALSE),0)</f>
        <v>0</v>
      </c>
      <c r="Z470" s="246">
        <f>IFERROR(VLOOKUP(L470,PROGRAMAS[],2,FALSE),0)</f>
        <v>0</v>
      </c>
      <c r="AA470" s="246">
        <f>IFERROR(VLOOKUP(M470,PROGRAMAS[],2,FALSE),0)</f>
        <v>0</v>
      </c>
      <c r="AB470" s="246">
        <f>IFERROR(VLOOKUP(N470,PROGRAMAS[],2,FALSE),0)</f>
        <v>0</v>
      </c>
      <c r="AC470" s="246">
        <f>IFERROR(VLOOKUP(O470,PROGRAMAS[],2,FALSE),0)</f>
        <v>0</v>
      </c>
      <c r="AD470" s="246">
        <f>IFERROR(VLOOKUP(P470,PROGRAMAS[],2,FALSE),0)</f>
        <v>0</v>
      </c>
      <c r="AE470" s="246">
        <f>IFERROR(VLOOKUP(Q470,PROGRAMAS[],2,FALSE),0)</f>
        <v>0</v>
      </c>
      <c r="AF470" s="246">
        <f>IFERROR(VLOOKUP(D470,PROGRAMAS[],3,FALSE),0)</f>
        <v>841888629.31080008</v>
      </c>
      <c r="AG470" s="246">
        <f>IFERROR(VLOOKUP(E470,PROGRAMAS[],3,FALSE),0)</f>
        <v>3848980803.1642323</v>
      </c>
      <c r="AH470" s="246">
        <f>IFERROR(VLOOKUP(F470,PROGRAMAS[],3,FALSE),0)</f>
        <v>3394901471.387517</v>
      </c>
      <c r="AI470" s="246">
        <f>IFERROR(VLOOKUP(G470,PROGRAMAS[],3,FALSE),0)</f>
        <v>6129902208.7912121</v>
      </c>
      <c r="AJ470" s="246">
        <f>IFERROR(VLOOKUP(H470,PROGRAMAS[],3,FALSE),0)</f>
        <v>4099471734.9978786</v>
      </c>
      <c r="AK470" s="246">
        <f>IFERROR(VLOOKUP(I470,PROGRAMAS[],3,FALSE),0)</f>
        <v>118617452.52510804</v>
      </c>
      <c r="AL470" s="246">
        <f>IFERROR(VLOOKUP(J470,PROGRAMAS[],3,FALSE),0)</f>
        <v>2406564599.0319901</v>
      </c>
      <c r="AM470" s="246">
        <f>IFERROR(VLOOKUP(K470,PROGRAMAS[],3,FALSE),0)</f>
        <v>0</v>
      </c>
      <c r="AN470" s="246">
        <f>IFERROR(VLOOKUP(L470,PROGRAMAS[],3,FALSE),0)</f>
        <v>0</v>
      </c>
      <c r="AO470" s="246">
        <f>IFERROR(VLOOKUP(M470,PROGRAMAS[],3,FALSE),0)</f>
        <v>0</v>
      </c>
      <c r="AP470" s="246">
        <f>IFERROR(VLOOKUP(N470,PROGRAMAS[],3,FALSE),0)</f>
        <v>0</v>
      </c>
      <c r="AQ470" s="246">
        <f>IFERROR(VLOOKUP(O470,PROGRAMAS[],3,FALSE),0)</f>
        <v>0</v>
      </c>
      <c r="AR470" s="246">
        <f>IFERROR(VLOOKUP(P470,PROGRAMAS[],3,FALSE),0)</f>
        <v>0</v>
      </c>
      <c r="AS470" s="246">
        <f>IFERROR(VLOOKUP(Q470,PROGRAMAS[],3,FALSE),0)</f>
        <v>0</v>
      </c>
      <c r="AT470" s="246">
        <f>IFERROR(VLOOKUP(D470,VOL_REC[],2,FALSE),0)</f>
        <v>0</v>
      </c>
      <c r="AU470" s="246">
        <f>IFERROR(VLOOKUP(E470,VOL_REC[],2,FALSE),0)</f>
        <v>0</v>
      </c>
      <c r="AV470" s="246">
        <f>IFERROR(VLOOKUP(F470,VOL_REC[],2,FALSE),0)</f>
        <v>11089674.200000001</v>
      </c>
      <c r="AW470" s="246">
        <f>IFERROR(VLOOKUP(G470,VOL_REC[],2,FALSE),0)</f>
        <v>15540036.397699751</v>
      </c>
      <c r="AX470" s="246">
        <f>IFERROR(VLOOKUP(H470,VOL_REC[],2,FALSE),0)</f>
        <v>1812240</v>
      </c>
      <c r="AY470" s="246">
        <f>IFERROR(VLOOKUP(I470,VOL_REC[],2,FALSE),0)</f>
        <v>105072</v>
      </c>
      <c r="AZ470" s="246">
        <f>IFERROR(VLOOKUP(J470,VOL_REC[],2,FALSE),0)</f>
        <v>1072354.9981737854</v>
      </c>
      <c r="BA470" s="246">
        <f>IFERROR(VLOOKUP(K470,VOL_REC[],2,FALSE),0)</f>
        <v>0</v>
      </c>
      <c r="BB470" s="246">
        <f>IFERROR(VLOOKUP(L470,VOL_REC[],2,FALSE),0)</f>
        <v>0</v>
      </c>
      <c r="BC470" s="246">
        <f>IFERROR(VLOOKUP(M470,VOL_REC[],2,FALSE),0)</f>
        <v>0</v>
      </c>
      <c r="BD470" s="246">
        <f>IFERROR(VLOOKUP(N470,VOL_REC[],2,FALSE),0)</f>
        <v>0</v>
      </c>
      <c r="BE470" s="246">
        <f>IFERROR(VLOOKUP(O470,VOL_REC[],2,FALSE),0)</f>
        <v>0</v>
      </c>
      <c r="BF470" s="246">
        <f>IFERROR(VLOOKUP(P470,VOL_REC[],2,FALSE),0)</f>
        <v>0</v>
      </c>
      <c r="BG470" s="246">
        <f>IFERROR(VLOOKUP(Q470,VOL_REC[],2,FALSE),0)</f>
        <v>0</v>
      </c>
      <c r="BH470" s="1710">
        <f t="shared" si="28"/>
        <v>22533487209.241013</v>
      </c>
      <c r="BI470" s="1710">
        <f t="shared" si="29"/>
        <v>20840326899.20874</v>
      </c>
      <c r="BJ470" s="1711">
        <f t="shared" si="30"/>
        <v>29619377.595873538</v>
      </c>
      <c r="BK470" s="1711">
        <f t="shared" si="31"/>
        <v>1.0812444218471715</v>
      </c>
      <c r="BL470">
        <f>BJ470</f>
        <v>29619377.595873538</v>
      </c>
      <c r="BO470">
        <f>BL470</f>
        <v>29619377.595873538</v>
      </c>
    </row>
    <row r="471" spans="3:67" x14ac:dyDescent="0.25">
      <c r="C471" s="246" t="s">
        <v>1821</v>
      </c>
      <c r="D471" s="246">
        <v>1</v>
      </c>
      <c r="E471" s="246">
        <v>2</v>
      </c>
      <c r="F471" s="246">
        <v>3</v>
      </c>
      <c r="G471" s="246">
        <v>6</v>
      </c>
      <c r="H471" s="246">
        <v>10</v>
      </c>
      <c r="I471" s="246">
        <v>15</v>
      </c>
      <c r="J471" s="246">
        <v>17</v>
      </c>
      <c r="K471" s="246"/>
      <c r="L471" s="246"/>
      <c r="M471" s="246"/>
      <c r="N471" s="246"/>
      <c r="O471" s="246"/>
      <c r="P471" s="246"/>
      <c r="Q471" s="246"/>
      <c r="R471" s="246">
        <f>IFERROR(VLOOKUP(D471,PROGRAMAS[],2,FALSE),0)</f>
        <v>97037803.679377079</v>
      </c>
      <c r="S471" s="246">
        <f>IFERROR(VLOOKUP(E471,PROGRAMAS[],2,FALSE),0)</f>
        <v>640501509.6821388</v>
      </c>
      <c r="T471" s="246">
        <f>IFERROR(VLOOKUP(F471,PROGRAMAS[],2,FALSE),0)</f>
        <v>3062327798.1525245</v>
      </c>
      <c r="U471" s="246">
        <f>IFERROR(VLOOKUP(G471,PROGRAMAS[],2,FALSE),0)</f>
        <v>6907648435.8447599</v>
      </c>
      <c r="V471" s="246">
        <f>IFERROR(VLOOKUP(H471,PROGRAMAS[],2,FALSE),0)</f>
        <v>4635315027.8751087</v>
      </c>
      <c r="W471" s="246">
        <f>IFERROR(VLOOKUP(I471,PROGRAMAS[],2,FALSE),0)</f>
        <v>122159672.96346797</v>
      </c>
      <c r="X471" s="246">
        <f>IFERROR(VLOOKUP(J471,PROGRAMAS[],2,FALSE),0)</f>
        <v>1892779498.5211046</v>
      </c>
      <c r="Y471" s="246">
        <f>IFERROR(VLOOKUP(K471,PROGRAMAS[],2,FALSE),0)</f>
        <v>0</v>
      </c>
      <c r="Z471" s="246">
        <f>IFERROR(VLOOKUP(L471,PROGRAMAS[],2,FALSE),0)</f>
        <v>0</v>
      </c>
      <c r="AA471" s="246">
        <f>IFERROR(VLOOKUP(M471,PROGRAMAS[],2,FALSE),0)</f>
        <v>0</v>
      </c>
      <c r="AB471" s="246">
        <f>IFERROR(VLOOKUP(N471,PROGRAMAS[],2,FALSE),0)</f>
        <v>0</v>
      </c>
      <c r="AC471" s="246">
        <f>IFERROR(VLOOKUP(O471,PROGRAMAS[],2,FALSE),0)</f>
        <v>0</v>
      </c>
      <c r="AD471" s="246">
        <f>IFERROR(VLOOKUP(P471,PROGRAMAS[],2,FALSE),0)</f>
        <v>0</v>
      </c>
      <c r="AE471" s="246">
        <f>IFERROR(VLOOKUP(Q471,PROGRAMAS[],2,FALSE),0)</f>
        <v>0</v>
      </c>
      <c r="AF471" s="246">
        <f>IFERROR(VLOOKUP(D471,PROGRAMAS[],3,FALSE),0)</f>
        <v>841888629.31080008</v>
      </c>
      <c r="AG471" s="246">
        <f>IFERROR(VLOOKUP(E471,PROGRAMAS[],3,FALSE),0)</f>
        <v>3848980803.1642323</v>
      </c>
      <c r="AH471" s="246">
        <f>IFERROR(VLOOKUP(F471,PROGRAMAS[],3,FALSE),0)</f>
        <v>3394901471.387517</v>
      </c>
      <c r="AI471" s="246">
        <f>IFERROR(VLOOKUP(G471,PROGRAMAS[],3,FALSE),0)</f>
        <v>6129902208.7912121</v>
      </c>
      <c r="AJ471" s="246">
        <f>IFERROR(VLOOKUP(H471,PROGRAMAS[],3,FALSE),0)</f>
        <v>4099471734.9978786</v>
      </c>
      <c r="AK471" s="246">
        <f>IFERROR(VLOOKUP(I471,PROGRAMAS[],3,FALSE),0)</f>
        <v>118617452.52510804</v>
      </c>
      <c r="AL471" s="246">
        <f>IFERROR(VLOOKUP(J471,PROGRAMAS[],3,FALSE),0)</f>
        <v>948595847.09039903</v>
      </c>
      <c r="AM471" s="246">
        <f>IFERROR(VLOOKUP(K471,PROGRAMAS[],3,FALSE),0)</f>
        <v>0</v>
      </c>
      <c r="AN471" s="246">
        <f>IFERROR(VLOOKUP(L471,PROGRAMAS[],3,FALSE),0)</f>
        <v>0</v>
      </c>
      <c r="AO471" s="246">
        <f>IFERROR(VLOOKUP(M471,PROGRAMAS[],3,FALSE),0)</f>
        <v>0</v>
      </c>
      <c r="AP471" s="246">
        <f>IFERROR(VLOOKUP(N471,PROGRAMAS[],3,FALSE),0)</f>
        <v>0</v>
      </c>
      <c r="AQ471" s="246">
        <f>IFERROR(VLOOKUP(O471,PROGRAMAS[],3,FALSE),0)</f>
        <v>0</v>
      </c>
      <c r="AR471" s="246">
        <f>IFERROR(VLOOKUP(P471,PROGRAMAS[],3,FALSE),0)</f>
        <v>0</v>
      </c>
      <c r="AS471" s="246">
        <f>IFERROR(VLOOKUP(Q471,PROGRAMAS[],3,FALSE),0)</f>
        <v>0</v>
      </c>
      <c r="AT471" s="246">
        <f>IFERROR(VLOOKUP(D471,VOL_REC[],2,FALSE),0)</f>
        <v>0</v>
      </c>
      <c r="AU471" s="246">
        <f>IFERROR(VLOOKUP(E471,VOL_REC[],2,FALSE),0)</f>
        <v>0</v>
      </c>
      <c r="AV471" s="246">
        <f>IFERROR(VLOOKUP(F471,VOL_REC[],2,FALSE),0)</f>
        <v>11089674.200000001</v>
      </c>
      <c r="AW471" s="246">
        <f>IFERROR(VLOOKUP(G471,VOL_REC[],2,FALSE),0)</f>
        <v>15540036.397699751</v>
      </c>
      <c r="AX471" s="246">
        <f>IFERROR(VLOOKUP(H471,VOL_REC[],2,FALSE),0)</f>
        <v>1812240</v>
      </c>
      <c r="AY471" s="246">
        <f>IFERROR(VLOOKUP(I471,VOL_REC[],2,FALSE),0)</f>
        <v>105072</v>
      </c>
      <c r="AZ471" s="246">
        <f>IFERROR(VLOOKUP(J471,VOL_REC[],2,FALSE),0)</f>
        <v>740113.98115702497</v>
      </c>
      <c r="BA471" s="246">
        <f>IFERROR(VLOOKUP(K471,VOL_REC[],2,FALSE),0)</f>
        <v>0</v>
      </c>
      <c r="BB471" s="246">
        <f>IFERROR(VLOOKUP(L471,VOL_REC[],2,FALSE),0)</f>
        <v>0</v>
      </c>
      <c r="BC471" s="246">
        <f>IFERROR(VLOOKUP(M471,VOL_REC[],2,FALSE),0)</f>
        <v>0</v>
      </c>
      <c r="BD471" s="246">
        <f>IFERROR(VLOOKUP(N471,VOL_REC[],2,FALSE),0)</f>
        <v>0</v>
      </c>
      <c r="BE471" s="246">
        <f>IFERROR(VLOOKUP(O471,VOL_REC[],2,FALSE),0)</f>
        <v>0</v>
      </c>
      <c r="BF471" s="246">
        <f>IFERROR(VLOOKUP(P471,VOL_REC[],2,FALSE),0)</f>
        <v>0</v>
      </c>
      <c r="BG471" s="246">
        <f>IFERROR(VLOOKUP(Q471,VOL_REC[],2,FALSE),0)</f>
        <v>0</v>
      </c>
      <c r="BH471" s="1710">
        <f t="shared" si="28"/>
        <v>17357769746.718483</v>
      </c>
      <c r="BI471" s="1710">
        <f t="shared" si="29"/>
        <v>19382358147.267151</v>
      </c>
      <c r="BJ471" s="1711">
        <f t="shared" si="30"/>
        <v>29287136.578856777</v>
      </c>
      <c r="BK471" s="1711">
        <f t="shared" si="31"/>
        <v>0.89554478432573348</v>
      </c>
    </row>
    <row r="472" spans="3:67" x14ac:dyDescent="0.25">
      <c r="C472" s="246" t="s">
        <v>1822</v>
      </c>
      <c r="D472" s="246">
        <v>1</v>
      </c>
      <c r="E472" s="246">
        <v>2</v>
      </c>
      <c r="F472" s="246">
        <v>3</v>
      </c>
      <c r="G472" s="246">
        <v>6</v>
      </c>
      <c r="H472" s="246">
        <v>10</v>
      </c>
      <c r="I472" s="246">
        <v>16</v>
      </c>
      <c r="J472" s="246">
        <v>17</v>
      </c>
      <c r="K472" s="246"/>
      <c r="L472" s="246"/>
      <c r="M472" s="246"/>
      <c r="N472" s="246"/>
      <c r="O472" s="246"/>
      <c r="P472" s="246"/>
      <c r="Q472" s="246"/>
      <c r="R472" s="246">
        <f>IFERROR(VLOOKUP(D472,PROGRAMAS[],2,FALSE),0)</f>
        <v>97037803.679377079</v>
      </c>
      <c r="S472" s="246">
        <f>IFERROR(VLOOKUP(E472,PROGRAMAS[],2,FALSE),0)</f>
        <v>640501509.6821388</v>
      </c>
      <c r="T472" s="246">
        <f>IFERROR(VLOOKUP(F472,PROGRAMAS[],2,FALSE),0)</f>
        <v>3062327798.1525245</v>
      </c>
      <c r="U472" s="246">
        <f>IFERROR(VLOOKUP(G472,PROGRAMAS[],2,FALSE),0)</f>
        <v>6907648435.8447599</v>
      </c>
      <c r="V472" s="246">
        <f>IFERROR(VLOOKUP(H472,PROGRAMAS[],2,FALSE),0)</f>
        <v>4635315027.8751087</v>
      </c>
      <c r="W472" s="246">
        <f>IFERROR(VLOOKUP(I472,PROGRAMAS[],2,FALSE),0)</f>
        <v>7068496961.0436354</v>
      </c>
      <c r="X472" s="246">
        <f>IFERROR(VLOOKUP(J472,PROGRAMAS[],2,FALSE),0)</f>
        <v>1892779498.5211046</v>
      </c>
      <c r="Y472" s="246">
        <f>IFERROR(VLOOKUP(K472,PROGRAMAS[],2,FALSE),0)</f>
        <v>0</v>
      </c>
      <c r="Z472" s="246">
        <f>IFERROR(VLOOKUP(L472,PROGRAMAS[],2,FALSE),0)</f>
        <v>0</v>
      </c>
      <c r="AA472" s="246">
        <f>IFERROR(VLOOKUP(M472,PROGRAMAS[],2,FALSE),0)</f>
        <v>0</v>
      </c>
      <c r="AB472" s="246">
        <f>IFERROR(VLOOKUP(N472,PROGRAMAS[],2,FALSE),0)</f>
        <v>0</v>
      </c>
      <c r="AC472" s="246">
        <f>IFERROR(VLOOKUP(O472,PROGRAMAS[],2,FALSE),0)</f>
        <v>0</v>
      </c>
      <c r="AD472" s="246">
        <f>IFERROR(VLOOKUP(P472,PROGRAMAS[],2,FALSE),0)</f>
        <v>0</v>
      </c>
      <c r="AE472" s="246">
        <f>IFERROR(VLOOKUP(Q472,PROGRAMAS[],2,FALSE),0)</f>
        <v>0</v>
      </c>
      <c r="AF472" s="246">
        <f>IFERROR(VLOOKUP(D472,PROGRAMAS[],3,FALSE),0)</f>
        <v>841888629.31080008</v>
      </c>
      <c r="AG472" s="246">
        <f>IFERROR(VLOOKUP(E472,PROGRAMAS[],3,FALSE),0)</f>
        <v>3848980803.1642323</v>
      </c>
      <c r="AH472" s="246">
        <f>IFERROR(VLOOKUP(F472,PROGRAMAS[],3,FALSE),0)</f>
        <v>3394901471.387517</v>
      </c>
      <c r="AI472" s="246">
        <f>IFERROR(VLOOKUP(G472,PROGRAMAS[],3,FALSE),0)</f>
        <v>6129902208.7912121</v>
      </c>
      <c r="AJ472" s="246">
        <f>IFERROR(VLOOKUP(H472,PROGRAMAS[],3,FALSE),0)</f>
        <v>4099471734.9978786</v>
      </c>
      <c r="AK472" s="246">
        <f>IFERROR(VLOOKUP(I472,PROGRAMAS[],3,FALSE),0)</f>
        <v>2406564599.0319901</v>
      </c>
      <c r="AL472" s="246">
        <f>IFERROR(VLOOKUP(J472,PROGRAMAS[],3,FALSE),0)</f>
        <v>948595847.09039903</v>
      </c>
      <c r="AM472" s="246">
        <f>IFERROR(VLOOKUP(K472,PROGRAMAS[],3,FALSE),0)</f>
        <v>0</v>
      </c>
      <c r="AN472" s="246">
        <f>IFERROR(VLOOKUP(L472,PROGRAMAS[],3,FALSE),0)</f>
        <v>0</v>
      </c>
      <c r="AO472" s="246">
        <f>IFERROR(VLOOKUP(M472,PROGRAMAS[],3,FALSE),0)</f>
        <v>0</v>
      </c>
      <c r="AP472" s="246">
        <f>IFERROR(VLOOKUP(N472,PROGRAMAS[],3,FALSE),0)</f>
        <v>0</v>
      </c>
      <c r="AQ472" s="246">
        <f>IFERROR(VLOOKUP(O472,PROGRAMAS[],3,FALSE),0)</f>
        <v>0</v>
      </c>
      <c r="AR472" s="246">
        <f>IFERROR(VLOOKUP(P472,PROGRAMAS[],3,FALSE),0)</f>
        <v>0</v>
      </c>
      <c r="AS472" s="246">
        <f>IFERROR(VLOOKUP(Q472,PROGRAMAS[],3,FALSE),0)</f>
        <v>0</v>
      </c>
      <c r="AT472" s="246">
        <f>IFERROR(VLOOKUP(D472,VOL_REC[],2,FALSE),0)</f>
        <v>0</v>
      </c>
      <c r="AU472" s="246">
        <f>IFERROR(VLOOKUP(E472,VOL_REC[],2,FALSE),0)</f>
        <v>0</v>
      </c>
      <c r="AV472" s="246">
        <f>IFERROR(VLOOKUP(F472,VOL_REC[],2,FALSE),0)</f>
        <v>11089674.200000001</v>
      </c>
      <c r="AW472" s="246">
        <f>IFERROR(VLOOKUP(G472,VOL_REC[],2,FALSE),0)</f>
        <v>15540036.397699751</v>
      </c>
      <c r="AX472" s="246">
        <f>IFERROR(VLOOKUP(H472,VOL_REC[],2,FALSE),0)</f>
        <v>1812240</v>
      </c>
      <c r="AY472" s="246">
        <f>IFERROR(VLOOKUP(I472,VOL_REC[],2,FALSE),0)</f>
        <v>1072354.9981737854</v>
      </c>
      <c r="AZ472" s="246">
        <f>IFERROR(VLOOKUP(J472,VOL_REC[],2,FALSE),0)</f>
        <v>740113.98115702497</v>
      </c>
      <c r="BA472" s="246">
        <f>IFERROR(VLOOKUP(K472,VOL_REC[],2,FALSE),0)</f>
        <v>0</v>
      </c>
      <c r="BB472" s="246">
        <f>IFERROR(VLOOKUP(L472,VOL_REC[],2,FALSE),0)</f>
        <v>0</v>
      </c>
      <c r="BC472" s="246">
        <f>IFERROR(VLOOKUP(M472,VOL_REC[],2,FALSE),0)</f>
        <v>0</v>
      </c>
      <c r="BD472" s="246">
        <f>IFERROR(VLOOKUP(N472,VOL_REC[],2,FALSE),0)</f>
        <v>0</v>
      </c>
      <c r="BE472" s="246">
        <f>IFERROR(VLOOKUP(O472,VOL_REC[],2,FALSE),0)</f>
        <v>0</v>
      </c>
      <c r="BF472" s="246">
        <f>IFERROR(VLOOKUP(P472,VOL_REC[],2,FALSE),0)</f>
        <v>0</v>
      </c>
      <c r="BG472" s="246">
        <f>IFERROR(VLOOKUP(Q472,VOL_REC[],2,FALSE),0)</f>
        <v>0</v>
      </c>
      <c r="BH472" s="1710">
        <f t="shared" si="28"/>
        <v>24304107034.798649</v>
      </c>
      <c r="BI472" s="1710">
        <f t="shared" si="29"/>
        <v>21670305293.774033</v>
      </c>
      <c r="BJ472" s="1711">
        <f t="shared" si="30"/>
        <v>30254419.577030562</v>
      </c>
      <c r="BK472" s="1711">
        <f t="shared" si="31"/>
        <v>1.1215396693917976</v>
      </c>
      <c r="BL472">
        <f>BJ472</f>
        <v>30254419.577030562</v>
      </c>
      <c r="BO472">
        <f>BL472</f>
        <v>30254419.577030562</v>
      </c>
    </row>
    <row r="473" spans="3:67" x14ac:dyDescent="0.25">
      <c r="C473" s="246" t="s">
        <v>1823</v>
      </c>
      <c r="D473" s="246">
        <v>1</v>
      </c>
      <c r="E473" s="246">
        <v>2</v>
      </c>
      <c r="F473" s="246">
        <v>3</v>
      </c>
      <c r="G473" s="246">
        <v>6</v>
      </c>
      <c r="H473" s="246">
        <v>12</v>
      </c>
      <c r="I473" s="246">
        <v>13</v>
      </c>
      <c r="J473" s="246">
        <v>14</v>
      </c>
      <c r="K473" s="246"/>
      <c r="L473" s="246"/>
      <c r="M473" s="246"/>
      <c r="N473" s="246"/>
      <c r="O473" s="246"/>
      <c r="P473" s="246"/>
      <c r="Q473" s="246"/>
      <c r="R473" s="246">
        <f>IFERROR(VLOOKUP(D473,PROGRAMAS[],2,FALSE),0)</f>
        <v>97037803.679377079</v>
      </c>
      <c r="S473" s="246">
        <f>IFERROR(VLOOKUP(E473,PROGRAMAS[],2,FALSE),0)</f>
        <v>640501509.6821388</v>
      </c>
      <c r="T473" s="246">
        <f>IFERROR(VLOOKUP(F473,PROGRAMAS[],2,FALSE),0)</f>
        <v>3062327798.1525245</v>
      </c>
      <c r="U473" s="246">
        <f>IFERROR(VLOOKUP(G473,PROGRAMAS[],2,FALSE),0)</f>
        <v>6907648435.8447599</v>
      </c>
      <c r="V473" s="246">
        <f>IFERROR(VLOOKUP(H473,PROGRAMAS[],2,FALSE),0)</f>
        <v>764796700.79905891</v>
      </c>
      <c r="W473" s="246">
        <f>IFERROR(VLOOKUP(I473,PROGRAMAS[],2,FALSE),0)</f>
        <v>3776538594.4604583</v>
      </c>
      <c r="X473" s="246">
        <f>IFERROR(VLOOKUP(J473,PROGRAMAS[],2,FALSE),0)</f>
        <v>54223862.645839565</v>
      </c>
      <c r="Y473" s="246">
        <f>IFERROR(VLOOKUP(K473,PROGRAMAS[],2,FALSE),0)</f>
        <v>0</v>
      </c>
      <c r="Z473" s="246">
        <f>IFERROR(VLOOKUP(L473,PROGRAMAS[],2,FALSE),0)</f>
        <v>0</v>
      </c>
      <c r="AA473" s="246">
        <f>IFERROR(VLOOKUP(M473,PROGRAMAS[],2,FALSE),0)</f>
        <v>0</v>
      </c>
      <c r="AB473" s="246">
        <f>IFERROR(VLOOKUP(N473,PROGRAMAS[],2,FALSE),0)</f>
        <v>0</v>
      </c>
      <c r="AC473" s="246">
        <f>IFERROR(VLOOKUP(O473,PROGRAMAS[],2,FALSE),0)</f>
        <v>0</v>
      </c>
      <c r="AD473" s="246">
        <f>IFERROR(VLOOKUP(P473,PROGRAMAS[],2,FALSE),0)</f>
        <v>0</v>
      </c>
      <c r="AE473" s="246">
        <f>IFERROR(VLOOKUP(Q473,PROGRAMAS[],2,FALSE),0)</f>
        <v>0</v>
      </c>
      <c r="AF473" s="246">
        <f>IFERROR(VLOOKUP(D473,PROGRAMAS[],3,FALSE),0)</f>
        <v>841888629.31080008</v>
      </c>
      <c r="AG473" s="246">
        <f>IFERROR(VLOOKUP(E473,PROGRAMAS[],3,FALSE),0)</f>
        <v>3848980803.1642323</v>
      </c>
      <c r="AH473" s="246">
        <f>IFERROR(VLOOKUP(F473,PROGRAMAS[],3,FALSE),0)</f>
        <v>3394901471.387517</v>
      </c>
      <c r="AI473" s="246">
        <f>IFERROR(VLOOKUP(G473,PROGRAMAS[],3,FALSE),0)</f>
        <v>6129902208.7912121</v>
      </c>
      <c r="AJ473" s="246">
        <f>IFERROR(VLOOKUP(H473,PROGRAMAS[],3,FALSE),0)</f>
        <v>675517840.109828</v>
      </c>
      <c r="AK473" s="246">
        <f>IFERROR(VLOOKUP(I473,PROGRAMAS[],3,FALSE),0)</f>
        <v>2392571243.5584412</v>
      </c>
      <c r="AL473" s="246">
        <f>IFERROR(VLOOKUP(J473,PROGRAMAS[],3,FALSE),0)</f>
        <v>31865326.38096505</v>
      </c>
      <c r="AM473" s="246">
        <f>IFERROR(VLOOKUP(K473,PROGRAMAS[],3,FALSE),0)</f>
        <v>0</v>
      </c>
      <c r="AN473" s="246">
        <f>IFERROR(VLOOKUP(L473,PROGRAMAS[],3,FALSE),0)</f>
        <v>0</v>
      </c>
      <c r="AO473" s="246">
        <f>IFERROR(VLOOKUP(M473,PROGRAMAS[],3,FALSE),0)</f>
        <v>0</v>
      </c>
      <c r="AP473" s="246">
        <f>IFERROR(VLOOKUP(N473,PROGRAMAS[],3,FALSE),0)</f>
        <v>0</v>
      </c>
      <c r="AQ473" s="246">
        <f>IFERROR(VLOOKUP(O473,PROGRAMAS[],3,FALSE),0)</f>
        <v>0</v>
      </c>
      <c r="AR473" s="246">
        <f>IFERROR(VLOOKUP(P473,PROGRAMAS[],3,FALSE),0)</f>
        <v>0</v>
      </c>
      <c r="AS473" s="246">
        <f>IFERROR(VLOOKUP(Q473,PROGRAMAS[],3,FALSE),0)</f>
        <v>0</v>
      </c>
      <c r="AT473" s="246">
        <f>IFERROR(VLOOKUP(D473,VOL_REC[],2,FALSE),0)</f>
        <v>0</v>
      </c>
      <c r="AU473" s="246">
        <f>IFERROR(VLOOKUP(E473,VOL_REC[],2,FALSE),0)</f>
        <v>0</v>
      </c>
      <c r="AV473" s="246">
        <f>IFERROR(VLOOKUP(F473,VOL_REC[],2,FALSE),0)</f>
        <v>11089674.200000001</v>
      </c>
      <c r="AW473" s="246">
        <f>IFERROR(VLOOKUP(G473,VOL_REC[],2,FALSE),0)</f>
        <v>15540036.397699751</v>
      </c>
      <c r="AX473" s="246">
        <f>IFERROR(VLOOKUP(H473,VOL_REC[],2,FALSE),0)</f>
        <v>240696.79238099116</v>
      </c>
      <c r="AY473" s="246">
        <f>IFERROR(VLOOKUP(I473,VOL_REC[],2,FALSE),0)</f>
        <v>663244.80000000016</v>
      </c>
      <c r="AZ473" s="246">
        <f>IFERROR(VLOOKUP(J473,VOL_REC[],2,FALSE),0)</f>
        <v>17074.045034105649</v>
      </c>
      <c r="BA473" s="246">
        <f>IFERROR(VLOOKUP(K473,VOL_REC[],2,FALSE),0)</f>
        <v>0</v>
      </c>
      <c r="BB473" s="246">
        <f>IFERROR(VLOOKUP(L473,VOL_REC[],2,FALSE),0)</f>
        <v>0</v>
      </c>
      <c r="BC473" s="246">
        <f>IFERROR(VLOOKUP(M473,VOL_REC[],2,FALSE),0)</f>
        <v>0</v>
      </c>
      <c r="BD473" s="246">
        <f>IFERROR(VLOOKUP(N473,VOL_REC[],2,FALSE),0)</f>
        <v>0</v>
      </c>
      <c r="BE473" s="246">
        <f>IFERROR(VLOOKUP(O473,VOL_REC[],2,FALSE),0)</f>
        <v>0</v>
      </c>
      <c r="BF473" s="246">
        <f>IFERROR(VLOOKUP(P473,VOL_REC[],2,FALSE),0)</f>
        <v>0</v>
      </c>
      <c r="BG473" s="246">
        <f>IFERROR(VLOOKUP(Q473,VOL_REC[],2,FALSE),0)</f>
        <v>0</v>
      </c>
      <c r="BH473" s="1710">
        <f t="shared" si="28"/>
        <v>15303074705.264158</v>
      </c>
      <c r="BI473" s="1710">
        <f t="shared" si="29"/>
        <v>17315627522.702999</v>
      </c>
      <c r="BJ473" s="1711">
        <f t="shared" si="30"/>
        <v>27550726.235114854</v>
      </c>
      <c r="BK473" s="1711">
        <f t="shared" si="31"/>
        <v>0.88377245844540564</v>
      </c>
    </row>
    <row r="474" spans="3:67" x14ac:dyDescent="0.25">
      <c r="C474" s="246" t="s">
        <v>1824</v>
      </c>
      <c r="D474" s="246">
        <v>1</v>
      </c>
      <c r="E474" s="246">
        <v>2</v>
      </c>
      <c r="F474" s="246">
        <v>3</v>
      </c>
      <c r="G474" s="246">
        <v>6</v>
      </c>
      <c r="H474" s="246">
        <v>12</v>
      </c>
      <c r="I474" s="246">
        <v>13</v>
      </c>
      <c r="J474" s="246">
        <v>15</v>
      </c>
      <c r="K474" s="246"/>
      <c r="L474" s="246"/>
      <c r="M474" s="246"/>
      <c r="N474" s="246"/>
      <c r="O474" s="246"/>
      <c r="P474" s="246"/>
      <c r="Q474" s="246"/>
      <c r="R474" s="246">
        <f>IFERROR(VLOOKUP(D474,PROGRAMAS[],2,FALSE),0)</f>
        <v>97037803.679377079</v>
      </c>
      <c r="S474" s="246">
        <f>IFERROR(VLOOKUP(E474,PROGRAMAS[],2,FALSE),0)</f>
        <v>640501509.6821388</v>
      </c>
      <c r="T474" s="246">
        <f>IFERROR(VLOOKUP(F474,PROGRAMAS[],2,FALSE),0)</f>
        <v>3062327798.1525245</v>
      </c>
      <c r="U474" s="246">
        <f>IFERROR(VLOOKUP(G474,PROGRAMAS[],2,FALSE),0)</f>
        <v>6907648435.8447599</v>
      </c>
      <c r="V474" s="246">
        <f>IFERROR(VLOOKUP(H474,PROGRAMAS[],2,FALSE),0)</f>
        <v>764796700.79905891</v>
      </c>
      <c r="W474" s="246">
        <f>IFERROR(VLOOKUP(I474,PROGRAMAS[],2,FALSE),0)</f>
        <v>3776538594.4604583</v>
      </c>
      <c r="X474" s="246">
        <f>IFERROR(VLOOKUP(J474,PROGRAMAS[],2,FALSE),0)</f>
        <v>122159672.96346797</v>
      </c>
      <c r="Y474" s="246">
        <f>IFERROR(VLOOKUP(K474,PROGRAMAS[],2,FALSE),0)</f>
        <v>0</v>
      </c>
      <c r="Z474" s="246">
        <f>IFERROR(VLOOKUP(L474,PROGRAMAS[],2,FALSE),0)</f>
        <v>0</v>
      </c>
      <c r="AA474" s="246">
        <f>IFERROR(VLOOKUP(M474,PROGRAMAS[],2,FALSE),0)</f>
        <v>0</v>
      </c>
      <c r="AB474" s="246">
        <f>IFERROR(VLOOKUP(N474,PROGRAMAS[],2,FALSE),0)</f>
        <v>0</v>
      </c>
      <c r="AC474" s="246">
        <f>IFERROR(VLOOKUP(O474,PROGRAMAS[],2,FALSE),0)</f>
        <v>0</v>
      </c>
      <c r="AD474" s="246">
        <f>IFERROR(VLOOKUP(P474,PROGRAMAS[],2,FALSE),0)</f>
        <v>0</v>
      </c>
      <c r="AE474" s="246">
        <f>IFERROR(VLOOKUP(Q474,PROGRAMAS[],2,FALSE),0)</f>
        <v>0</v>
      </c>
      <c r="AF474" s="246">
        <f>IFERROR(VLOOKUP(D474,PROGRAMAS[],3,FALSE),0)</f>
        <v>841888629.31080008</v>
      </c>
      <c r="AG474" s="246">
        <f>IFERROR(VLOOKUP(E474,PROGRAMAS[],3,FALSE),0)</f>
        <v>3848980803.1642323</v>
      </c>
      <c r="AH474" s="246">
        <f>IFERROR(VLOOKUP(F474,PROGRAMAS[],3,FALSE),0)</f>
        <v>3394901471.387517</v>
      </c>
      <c r="AI474" s="246">
        <f>IFERROR(VLOOKUP(G474,PROGRAMAS[],3,FALSE),0)</f>
        <v>6129902208.7912121</v>
      </c>
      <c r="AJ474" s="246">
        <f>IFERROR(VLOOKUP(H474,PROGRAMAS[],3,FALSE),0)</f>
        <v>675517840.109828</v>
      </c>
      <c r="AK474" s="246">
        <f>IFERROR(VLOOKUP(I474,PROGRAMAS[],3,FALSE),0)</f>
        <v>2392571243.5584412</v>
      </c>
      <c r="AL474" s="246">
        <f>IFERROR(VLOOKUP(J474,PROGRAMAS[],3,FALSE),0)</f>
        <v>118617452.52510804</v>
      </c>
      <c r="AM474" s="246">
        <f>IFERROR(VLOOKUP(K474,PROGRAMAS[],3,FALSE),0)</f>
        <v>0</v>
      </c>
      <c r="AN474" s="246">
        <f>IFERROR(VLOOKUP(L474,PROGRAMAS[],3,FALSE),0)</f>
        <v>0</v>
      </c>
      <c r="AO474" s="246">
        <f>IFERROR(VLOOKUP(M474,PROGRAMAS[],3,FALSE),0)</f>
        <v>0</v>
      </c>
      <c r="AP474" s="246">
        <f>IFERROR(VLOOKUP(N474,PROGRAMAS[],3,FALSE),0)</f>
        <v>0</v>
      </c>
      <c r="AQ474" s="246">
        <f>IFERROR(VLOOKUP(O474,PROGRAMAS[],3,FALSE),0)</f>
        <v>0</v>
      </c>
      <c r="AR474" s="246">
        <f>IFERROR(VLOOKUP(P474,PROGRAMAS[],3,FALSE),0)</f>
        <v>0</v>
      </c>
      <c r="AS474" s="246">
        <f>IFERROR(VLOOKUP(Q474,PROGRAMAS[],3,FALSE),0)</f>
        <v>0</v>
      </c>
      <c r="AT474" s="246">
        <f>IFERROR(VLOOKUP(D474,VOL_REC[],2,FALSE),0)</f>
        <v>0</v>
      </c>
      <c r="AU474" s="246">
        <f>IFERROR(VLOOKUP(E474,VOL_REC[],2,FALSE),0)</f>
        <v>0</v>
      </c>
      <c r="AV474" s="246">
        <f>IFERROR(VLOOKUP(F474,VOL_REC[],2,FALSE),0)</f>
        <v>11089674.200000001</v>
      </c>
      <c r="AW474" s="246">
        <f>IFERROR(VLOOKUP(G474,VOL_REC[],2,FALSE),0)</f>
        <v>15540036.397699751</v>
      </c>
      <c r="AX474" s="246">
        <f>IFERROR(VLOOKUP(H474,VOL_REC[],2,FALSE),0)</f>
        <v>240696.79238099116</v>
      </c>
      <c r="AY474" s="246">
        <f>IFERROR(VLOOKUP(I474,VOL_REC[],2,FALSE),0)</f>
        <v>663244.80000000016</v>
      </c>
      <c r="AZ474" s="246">
        <f>IFERROR(VLOOKUP(J474,VOL_REC[],2,FALSE),0)</f>
        <v>105072</v>
      </c>
      <c r="BA474" s="246">
        <f>IFERROR(VLOOKUP(K474,VOL_REC[],2,FALSE),0)</f>
        <v>0</v>
      </c>
      <c r="BB474" s="246">
        <f>IFERROR(VLOOKUP(L474,VOL_REC[],2,FALSE),0)</f>
        <v>0</v>
      </c>
      <c r="BC474" s="246">
        <f>IFERROR(VLOOKUP(M474,VOL_REC[],2,FALSE),0)</f>
        <v>0</v>
      </c>
      <c r="BD474" s="246">
        <f>IFERROR(VLOOKUP(N474,VOL_REC[],2,FALSE),0)</f>
        <v>0</v>
      </c>
      <c r="BE474" s="246">
        <f>IFERROR(VLOOKUP(O474,VOL_REC[],2,FALSE),0)</f>
        <v>0</v>
      </c>
      <c r="BF474" s="246">
        <f>IFERROR(VLOOKUP(P474,VOL_REC[],2,FALSE),0)</f>
        <v>0</v>
      </c>
      <c r="BG474" s="246">
        <f>IFERROR(VLOOKUP(Q474,VOL_REC[],2,FALSE),0)</f>
        <v>0</v>
      </c>
      <c r="BH474" s="1710">
        <f t="shared" si="28"/>
        <v>15371010515.581787</v>
      </c>
      <c r="BI474" s="1710">
        <f t="shared" si="29"/>
        <v>17402379648.847141</v>
      </c>
      <c r="BJ474" s="1711">
        <f t="shared" si="30"/>
        <v>27638724.190080747</v>
      </c>
      <c r="BK474" s="1711">
        <f t="shared" si="31"/>
        <v>0.88327061159133335</v>
      </c>
    </row>
    <row r="475" spans="3:67" x14ac:dyDescent="0.25">
      <c r="C475" s="246" t="s">
        <v>1825</v>
      </c>
      <c r="D475" s="246">
        <v>1</v>
      </c>
      <c r="E475" s="246">
        <v>2</v>
      </c>
      <c r="F475" s="246">
        <v>3</v>
      </c>
      <c r="G475" s="246">
        <v>6</v>
      </c>
      <c r="H475" s="246">
        <v>12</v>
      </c>
      <c r="I475" s="246">
        <v>13</v>
      </c>
      <c r="J475" s="246">
        <v>16</v>
      </c>
      <c r="K475" s="246"/>
      <c r="L475" s="246"/>
      <c r="M475" s="246"/>
      <c r="N475" s="246"/>
      <c r="O475" s="246"/>
      <c r="P475" s="246"/>
      <c r="Q475" s="246"/>
      <c r="R475" s="246">
        <f>IFERROR(VLOOKUP(D475,PROGRAMAS[],2,FALSE),0)</f>
        <v>97037803.679377079</v>
      </c>
      <c r="S475" s="246">
        <f>IFERROR(VLOOKUP(E475,PROGRAMAS[],2,FALSE),0)</f>
        <v>640501509.6821388</v>
      </c>
      <c r="T475" s="246">
        <f>IFERROR(VLOOKUP(F475,PROGRAMAS[],2,FALSE),0)</f>
        <v>3062327798.1525245</v>
      </c>
      <c r="U475" s="246">
        <f>IFERROR(VLOOKUP(G475,PROGRAMAS[],2,FALSE),0)</f>
        <v>6907648435.8447599</v>
      </c>
      <c r="V475" s="246">
        <f>IFERROR(VLOOKUP(H475,PROGRAMAS[],2,FALSE),0)</f>
        <v>764796700.79905891</v>
      </c>
      <c r="W475" s="246">
        <f>IFERROR(VLOOKUP(I475,PROGRAMAS[],2,FALSE),0)</f>
        <v>3776538594.4604583</v>
      </c>
      <c r="X475" s="246">
        <f>IFERROR(VLOOKUP(J475,PROGRAMAS[],2,FALSE),0)</f>
        <v>7068496961.0436354</v>
      </c>
      <c r="Y475" s="246">
        <f>IFERROR(VLOOKUP(K475,PROGRAMAS[],2,FALSE),0)</f>
        <v>0</v>
      </c>
      <c r="Z475" s="246">
        <f>IFERROR(VLOOKUP(L475,PROGRAMAS[],2,FALSE),0)</f>
        <v>0</v>
      </c>
      <c r="AA475" s="246">
        <f>IFERROR(VLOOKUP(M475,PROGRAMAS[],2,FALSE),0)</f>
        <v>0</v>
      </c>
      <c r="AB475" s="246">
        <f>IFERROR(VLOOKUP(N475,PROGRAMAS[],2,FALSE),0)</f>
        <v>0</v>
      </c>
      <c r="AC475" s="246">
        <f>IFERROR(VLOOKUP(O475,PROGRAMAS[],2,FALSE),0)</f>
        <v>0</v>
      </c>
      <c r="AD475" s="246">
        <f>IFERROR(VLOOKUP(P475,PROGRAMAS[],2,FALSE),0)</f>
        <v>0</v>
      </c>
      <c r="AE475" s="246">
        <f>IFERROR(VLOOKUP(Q475,PROGRAMAS[],2,FALSE),0)</f>
        <v>0</v>
      </c>
      <c r="AF475" s="246">
        <f>IFERROR(VLOOKUP(D475,PROGRAMAS[],3,FALSE),0)</f>
        <v>841888629.31080008</v>
      </c>
      <c r="AG475" s="246">
        <f>IFERROR(VLOOKUP(E475,PROGRAMAS[],3,FALSE),0)</f>
        <v>3848980803.1642323</v>
      </c>
      <c r="AH475" s="246">
        <f>IFERROR(VLOOKUP(F475,PROGRAMAS[],3,FALSE),0)</f>
        <v>3394901471.387517</v>
      </c>
      <c r="AI475" s="246">
        <f>IFERROR(VLOOKUP(G475,PROGRAMAS[],3,FALSE),0)</f>
        <v>6129902208.7912121</v>
      </c>
      <c r="AJ475" s="246">
        <f>IFERROR(VLOOKUP(H475,PROGRAMAS[],3,FALSE),0)</f>
        <v>675517840.109828</v>
      </c>
      <c r="AK475" s="246">
        <f>IFERROR(VLOOKUP(I475,PROGRAMAS[],3,FALSE),0)</f>
        <v>2392571243.5584412</v>
      </c>
      <c r="AL475" s="246">
        <f>IFERROR(VLOOKUP(J475,PROGRAMAS[],3,FALSE),0)</f>
        <v>2406564599.0319901</v>
      </c>
      <c r="AM475" s="246">
        <f>IFERROR(VLOOKUP(K475,PROGRAMAS[],3,FALSE),0)</f>
        <v>0</v>
      </c>
      <c r="AN475" s="246">
        <f>IFERROR(VLOOKUP(L475,PROGRAMAS[],3,FALSE),0)</f>
        <v>0</v>
      </c>
      <c r="AO475" s="246">
        <f>IFERROR(VLOOKUP(M475,PROGRAMAS[],3,FALSE),0)</f>
        <v>0</v>
      </c>
      <c r="AP475" s="246">
        <f>IFERROR(VLOOKUP(N475,PROGRAMAS[],3,FALSE),0)</f>
        <v>0</v>
      </c>
      <c r="AQ475" s="246">
        <f>IFERROR(VLOOKUP(O475,PROGRAMAS[],3,FALSE),0)</f>
        <v>0</v>
      </c>
      <c r="AR475" s="246">
        <f>IFERROR(VLOOKUP(P475,PROGRAMAS[],3,FALSE),0)</f>
        <v>0</v>
      </c>
      <c r="AS475" s="246">
        <f>IFERROR(VLOOKUP(Q475,PROGRAMAS[],3,FALSE),0)</f>
        <v>0</v>
      </c>
      <c r="AT475" s="246">
        <f>IFERROR(VLOOKUP(D475,VOL_REC[],2,FALSE),0)</f>
        <v>0</v>
      </c>
      <c r="AU475" s="246">
        <f>IFERROR(VLOOKUP(E475,VOL_REC[],2,FALSE),0)</f>
        <v>0</v>
      </c>
      <c r="AV475" s="246">
        <f>IFERROR(VLOOKUP(F475,VOL_REC[],2,FALSE),0)</f>
        <v>11089674.200000001</v>
      </c>
      <c r="AW475" s="246">
        <f>IFERROR(VLOOKUP(G475,VOL_REC[],2,FALSE),0)</f>
        <v>15540036.397699751</v>
      </c>
      <c r="AX475" s="246">
        <f>IFERROR(VLOOKUP(H475,VOL_REC[],2,FALSE),0)</f>
        <v>240696.79238099116</v>
      </c>
      <c r="AY475" s="246">
        <f>IFERROR(VLOOKUP(I475,VOL_REC[],2,FALSE),0)</f>
        <v>663244.80000000016</v>
      </c>
      <c r="AZ475" s="246">
        <f>IFERROR(VLOOKUP(J475,VOL_REC[],2,FALSE),0)</f>
        <v>1072354.9981737854</v>
      </c>
      <c r="BA475" s="246">
        <f>IFERROR(VLOOKUP(K475,VOL_REC[],2,FALSE),0)</f>
        <v>0</v>
      </c>
      <c r="BB475" s="246">
        <f>IFERROR(VLOOKUP(L475,VOL_REC[],2,FALSE),0)</f>
        <v>0</v>
      </c>
      <c r="BC475" s="246">
        <f>IFERROR(VLOOKUP(M475,VOL_REC[],2,FALSE),0)</f>
        <v>0</v>
      </c>
      <c r="BD475" s="246">
        <f>IFERROR(VLOOKUP(N475,VOL_REC[],2,FALSE),0)</f>
        <v>0</v>
      </c>
      <c r="BE475" s="246">
        <f>IFERROR(VLOOKUP(O475,VOL_REC[],2,FALSE),0)</f>
        <v>0</v>
      </c>
      <c r="BF475" s="246">
        <f>IFERROR(VLOOKUP(P475,VOL_REC[],2,FALSE),0)</f>
        <v>0</v>
      </c>
      <c r="BG475" s="246">
        <f>IFERROR(VLOOKUP(Q475,VOL_REC[],2,FALSE),0)</f>
        <v>0</v>
      </c>
      <c r="BH475" s="1710">
        <f t="shared" si="28"/>
        <v>22317347803.661953</v>
      </c>
      <c r="BI475" s="1710">
        <f t="shared" si="29"/>
        <v>19690326795.354023</v>
      </c>
      <c r="BJ475" s="1711">
        <f t="shared" si="30"/>
        <v>28606007.188254531</v>
      </c>
      <c r="BK475" s="1711">
        <f t="shared" si="31"/>
        <v>1.1334168313005237</v>
      </c>
      <c r="BL475">
        <f>BJ475</f>
        <v>28606007.188254531</v>
      </c>
      <c r="BO475">
        <f>BL475</f>
        <v>28606007.188254531</v>
      </c>
    </row>
    <row r="476" spans="3:67" x14ac:dyDescent="0.25">
      <c r="C476" s="246" t="s">
        <v>1826</v>
      </c>
      <c r="D476" s="246">
        <v>1</v>
      </c>
      <c r="E476" s="246">
        <v>2</v>
      </c>
      <c r="F476" s="246">
        <v>3</v>
      </c>
      <c r="G476" s="246">
        <v>6</v>
      </c>
      <c r="H476" s="246">
        <v>12</v>
      </c>
      <c r="I476" s="246">
        <v>13</v>
      </c>
      <c r="J476" s="246">
        <v>17</v>
      </c>
      <c r="K476" s="246"/>
      <c r="L476" s="246"/>
      <c r="M476" s="246"/>
      <c r="N476" s="246"/>
      <c r="O476" s="246"/>
      <c r="P476" s="246"/>
      <c r="Q476" s="246"/>
      <c r="R476" s="246">
        <f>IFERROR(VLOOKUP(D476,PROGRAMAS[],2,FALSE),0)</f>
        <v>97037803.679377079</v>
      </c>
      <c r="S476" s="246">
        <f>IFERROR(VLOOKUP(E476,PROGRAMAS[],2,FALSE),0)</f>
        <v>640501509.6821388</v>
      </c>
      <c r="T476" s="246">
        <f>IFERROR(VLOOKUP(F476,PROGRAMAS[],2,FALSE),0)</f>
        <v>3062327798.1525245</v>
      </c>
      <c r="U476" s="246">
        <f>IFERROR(VLOOKUP(G476,PROGRAMAS[],2,FALSE),0)</f>
        <v>6907648435.8447599</v>
      </c>
      <c r="V476" s="246">
        <f>IFERROR(VLOOKUP(H476,PROGRAMAS[],2,FALSE),0)</f>
        <v>764796700.79905891</v>
      </c>
      <c r="W476" s="246">
        <f>IFERROR(VLOOKUP(I476,PROGRAMAS[],2,FALSE),0)</f>
        <v>3776538594.4604583</v>
      </c>
      <c r="X476" s="246">
        <f>IFERROR(VLOOKUP(J476,PROGRAMAS[],2,FALSE),0)</f>
        <v>1892779498.5211046</v>
      </c>
      <c r="Y476" s="246">
        <f>IFERROR(VLOOKUP(K476,PROGRAMAS[],2,FALSE),0)</f>
        <v>0</v>
      </c>
      <c r="Z476" s="246">
        <f>IFERROR(VLOOKUP(L476,PROGRAMAS[],2,FALSE),0)</f>
        <v>0</v>
      </c>
      <c r="AA476" s="246">
        <f>IFERROR(VLOOKUP(M476,PROGRAMAS[],2,FALSE),0)</f>
        <v>0</v>
      </c>
      <c r="AB476" s="246">
        <f>IFERROR(VLOOKUP(N476,PROGRAMAS[],2,FALSE),0)</f>
        <v>0</v>
      </c>
      <c r="AC476" s="246">
        <f>IFERROR(VLOOKUP(O476,PROGRAMAS[],2,FALSE),0)</f>
        <v>0</v>
      </c>
      <c r="AD476" s="246">
        <f>IFERROR(VLOOKUP(P476,PROGRAMAS[],2,FALSE),0)</f>
        <v>0</v>
      </c>
      <c r="AE476" s="246">
        <f>IFERROR(VLOOKUP(Q476,PROGRAMAS[],2,FALSE),0)</f>
        <v>0</v>
      </c>
      <c r="AF476" s="246">
        <f>IFERROR(VLOOKUP(D476,PROGRAMAS[],3,FALSE),0)</f>
        <v>841888629.31080008</v>
      </c>
      <c r="AG476" s="246">
        <f>IFERROR(VLOOKUP(E476,PROGRAMAS[],3,FALSE),0)</f>
        <v>3848980803.1642323</v>
      </c>
      <c r="AH476" s="246">
        <f>IFERROR(VLOOKUP(F476,PROGRAMAS[],3,FALSE),0)</f>
        <v>3394901471.387517</v>
      </c>
      <c r="AI476" s="246">
        <f>IFERROR(VLOOKUP(G476,PROGRAMAS[],3,FALSE),0)</f>
        <v>6129902208.7912121</v>
      </c>
      <c r="AJ476" s="246">
        <f>IFERROR(VLOOKUP(H476,PROGRAMAS[],3,FALSE),0)</f>
        <v>675517840.109828</v>
      </c>
      <c r="AK476" s="246">
        <f>IFERROR(VLOOKUP(I476,PROGRAMAS[],3,FALSE),0)</f>
        <v>2392571243.5584412</v>
      </c>
      <c r="AL476" s="246">
        <f>IFERROR(VLOOKUP(J476,PROGRAMAS[],3,FALSE),0)</f>
        <v>948595847.09039903</v>
      </c>
      <c r="AM476" s="246">
        <f>IFERROR(VLOOKUP(K476,PROGRAMAS[],3,FALSE),0)</f>
        <v>0</v>
      </c>
      <c r="AN476" s="246">
        <f>IFERROR(VLOOKUP(L476,PROGRAMAS[],3,FALSE),0)</f>
        <v>0</v>
      </c>
      <c r="AO476" s="246">
        <f>IFERROR(VLOOKUP(M476,PROGRAMAS[],3,FALSE),0)</f>
        <v>0</v>
      </c>
      <c r="AP476" s="246">
        <f>IFERROR(VLOOKUP(N476,PROGRAMAS[],3,FALSE),0)</f>
        <v>0</v>
      </c>
      <c r="AQ476" s="246">
        <f>IFERROR(VLOOKUP(O476,PROGRAMAS[],3,FALSE),0)</f>
        <v>0</v>
      </c>
      <c r="AR476" s="246">
        <f>IFERROR(VLOOKUP(P476,PROGRAMAS[],3,FALSE),0)</f>
        <v>0</v>
      </c>
      <c r="AS476" s="246">
        <f>IFERROR(VLOOKUP(Q476,PROGRAMAS[],3,FALSE),0)</f>
        <v>0</v>
      </c>
      <c r="AT476" s="246">
        <f>IFERROR(VLOOKUP(D476,VOL_REC[],2,FALSE),0)</f>
        <v>0</v>
      </c>
      <c r="AU476" s="246">
        <f>IFERROR(VLOOKUP(E476,VOL_REC[],2,FALSE),0)</f>
        <v>0</v>
      </c>
      <c r="AV476" s="246">
        <f>IFERROR(VLOOKUP(F476,VOL_REC[],2,FALSE),0)</f>
        <v>11089674.200000001</v>
      </c>
      <c r="AW476" s="246">
        <f>IFERROR(VLOOKUP(G476,VOL_REC[],2,FALSE),0)</f>
        <v>15540036.397699751</v>
      </c>
      <c r="AX476" s="246">
        <f>IFERROR(VLOOKUP(H476,VOL_REC[],2,FALSE),0)</f>
        <v>240696.79238099116</v>
      </c>
      <c r="AY476" s="246">
        <f>IFERROR(VLOOKUP(I476,VOL_REC[],2,FALSE),0)</f>
        <v>663244.80000000016</v>
      </c>
      <c r="AZ476" s="246">
        <f>IFERROR(VLOOKUP(J476,VOL_REC[],2,FALSE),0)</f>
        <v>740113.98115702497</v>
      </c>
      <c r="BA476" s="246">
        <f>IFERROR(VLOOKUP(K476,VOL_REC[],2,FALSE),0)</f>
        <v>0</v>
      </c>
      <c r="BB476" s="246">
        <f>IFERROR(VLOOKUP(L476,VOL_REC[],2,FALSE),0)</f>
        <v>0</v>
      </c>
      <c r="BC476" s="246">
        <f>IFERROR(VLOOKUP(M476,VOL_REC[],2,FALSE),0)</f>
        <v>0</v>
      </c>
      <c r="BD476" s="246">
        <f>IFERROR(VLOOKUP(N476,VOL_REC[],2,FALSE),0)</f>
        <v>0</v>
      </c>
      <c r="BE476" s="246">
        <f>IFERROR(VLOOKUP(O476,VOL_REC[],2,FALSE),0)</f>
        <v>0</v>
      </c>
      <c r="BF476" s="246">
        <f>IFERROR(VLOOKUP(P476,VOL_REC[],2,FALSE),0)</f>
        <v>0</v>
      </c>
      <c r="BG476" s="246">
        <f>IFERROR(VLOOKUP(Q476,VOL_REC[],2,FALSE),0)</f>
        <v>0</v>
      </c>
      <c r="BH476" s="1710">
        <f t="shared" si="28"/>
        <v>17141630341.139423</v>
      </c>
      <c r="BI476" s="1710">
        <f t="shared" si="29"/>
        <v>18232358043.412434</v>
      </c>
      <c r="BJ476" s="1711">
        <f t="shared" si="30"/>
        <v>28273766.17123777</v>
      </c>
      <c r="BK476" s="1711">
        <f t="shared" si="31"/>
        <v>0.94017626794757336</v>
      </c>
    </row>
    <row r="477" spans="3:67" x14ac:dyDescent="0.25">
      <c r="C477" s="246" t="s">
        <v>1827</v>
      </c>
      <c r="D477" s="246">
        <v>1</v>
      </c>
      <c r="E477" s="246">
        <v>2</v>
      </c>
      <c r="F477" s="246">
        <v>3</v>
      </c>
      <c r="G477" s="246">
        <v>6</v>
      </c>
      <c r="H477" s="246">
        <v>12</v>
      </c>
      <c r="I477" s="246">
        <v>14</v>
      </c>
      <c r="J477" s="246">
        <v>15</v>
      </c>
      <c r="K477" s="246"/>
      <c r="L477" s="246"/>
      <c r="M477" s="246"/>
      <c r="N477" s="246"/>
      <c r="O477" s="246"/>
      <c r="P477" s="246"/>
      <c r="Q477" s="246"/>
      <c r="R477" s="246">
        <f>IFERROR(VLOOKUP(D477,PROGRAMAS[],2,FALSE),0)</f>
        <v>97037803.679377079</v>
      </c>
      <c r="S477" s="246">
        <f>IFERROR(VLOOKUP(E477,PROGRAMAS[],2,FALSE),0)</f>
        <v>640501509.6821388</v>
      </c>
      <c r="T477" s="246">
        <f>IFERROR(VLOOKUP(F477,PROGRAMAS[],2,FALSE),0)</f>
        <v>3062327798.1525245</v>
      </c>
      <c r="U477" s="246">
        <f>IFERROR(VLOOKUP(G477,PROGRAMAS[],2,FALSE),0)</f>
        <v>6907648435.8447599</v>
      </c>
      <c r="V477" s="246">
        <f>IFERROR(VLOOKUP(H477,PROGRAMAS[],2,FALSE),0)</f>
        <v>764796700.79905891</v>
      </c>
      <c r="W477" s="246">
        <f>IFERROR(VLOOKUP(I477,PROGRAMAS[],2,FALSE),0)</f>
        <v>54223862.645839565</v>
      </c>
      <c r="X477" s="246">
        <f>IFERROR(VLOOKUP(J477,PROGRAMAS[],2,FALSE),0)</f>
        <v>122159672.96346797</v>
      </c>
      <c r="Y477" s="246">
        <f>IFERROR(VLOOKUP(K477,PROGRAMAS[],2,FALSE),0)</f>
        <v>0</v>
      </c>
      <c r="Z477" s="246">
        <f>IFERROR(VLOOKUP(L477,PROGRAMAS[],2,FALSE),0)</f>
        <v>0</v>
      </c>
      <c r="AA477" s="246">
        <f>IFERROR(VLOOKUP(M477,PROGRAMAS[],2,FALSE),0)</f>
        <v>0</v>
      </c>
      <c r="AB477" s="246">
        <f>IFERROR(VLOOKUP(N477,PROGRAMAS[],2,FALSE),0)</f>
        <v>0</v>
      </c>
      <c r="AC477" s="246">
        <f>IFERROR(VLOOKUP(O477,PROGRAMAS[],2,FALSE),0)</f>
        <v>0</v>
      </c>
      <c r="AD477" s="246">
        <f>IFERROR(VLOOKUP(P477,PROGRAMAS[],2,FALSE),0)</f>
        <v>0</v>
      </c>
      <c r="AE477" s="246">
        <f>IFERROR(VLOOKUP(Q477,PROGRAMAS[],2,FALSE),0)</f>
        <v>0</v>
      </c>
      <c r="AF477" s="246">
        <f>IFERROR(VLOOKUP(D477,PROGRAMAS[],3,FALSE),0)</f>
        <v>841888629.31080008</v>
      </c>
      <c r="AG477" s="246">
        <f>IFERROR(VLOOKUP(E477,PROGRAMAS[],3,FALSE),0)</f>
        <v>3848980803.1642323</v>
      </c>
      <c r="AH477" s="246">
        <f>IFERROR(VLOOKUP(F477,PROGRAMAS[],3,FALSE),0)</f>
        <v>3394901471.387517</v>
      </c>
      <c r="AI477" s="246">
        <f>IFERROR(VLOOKUP(G477,PROGRAMAS[],3,FALSE),0)</f>
        <v>6129902208.7912121</v>
      </c>
      <c r="AJ477" s="246">
        <f>IFERROR(VLOOKUP(H477,PROGRAMAS[],3,FALSE),0)</f>
        <v>675517840.109828</v>
      </c>
      <c r="AK477" s="246">
        <f>IFERROR(VLOOKUP(I477,PROGRAMAS[],3,FALSE),0)</f>
        <v>31865326.38096505</v>
      </c>
      <c r="AL477" s="246">
        <f>IFERROR(VLOOKUP(J477,PROGRAMAS[],3,FALSE),0)</f>
        <v>118617452.52510804</v>
      </c>
      <c r="AM477" s="246">
        <f>IFERROR(VLOOKUP(K477,PROGRAMAS[],3,FALSE),0)</f>
        <v>0</v>
      </c>
      <c r="AN477" s="246">
        <f>IFERROR(VLOOKUP(L477,PROGRAMAS[],3,FALSE),0)</f>
        <v>0</v>
      </c>
      <c r="AO477" s="246">
        <f>IFERROR(VLOOKUP(M477,PROGRAMAS[],3,FALSE),0)</f>
        <v>0</v>
      </c>
      <c r="AP477" s="246">
        <f>IFERROR(VLOOKUP(N477,PROGRAMAS[],3,FALSE),0)</f>
        <v>0</v>
      </c>
      <c r="AQ477" s="246">
        <f>IFERROR(VLOOKUP(O477,PROGRAMAS[],3,FALSE),0)</f>
        <v>0</v>
      </c>
      <c r="AR477" s="246">
        <f>IFERROR(VLOOKUP(P477,PROGRAMAS[],3,FALSE),0)</f>
        <v>0</v>
      </c>
      <c r="AS477" s="246">
        <f>IFERROR(VLOOKUP(Q477,PROGRAMAS[],3,FALSE),0)</f>
        <v>0</v>
      </c>
      <c r="AT477" s="246">
        <f>IFERROR(VLOOKUP(D477,VOL_REC[],2,FALSE),0)</f>
        <v>0</v>
      </c>
      <c r="AU477" s="246">
        <f>IFERROR(VLOOKUP(E477,VOL_REC[],2,FALSE),0)</f>
        <v>0</v>
      </c>
      <c r="AV477" s="246">
        <f>IFERROR(VLOOKUP(F477,VOL_REC[],2,FALSE),0)</f>
        <v>11089674.200000001</v>
      </c>
      <c r="AW477" s="246">
        <f>IFERROR(VLOOKUP(G477,VOL_REC[],2,FALSE),0)</f>
        <v>15540036.397699751</v>
      </c>
      <c r="AX477" s="246">
        <f>IFERROR(VLOOKUP(H477,VOL_REC[],2,FALSE),0)</f>
        <v>240696.79238099116</v>
      </c>
      <c r="AY477" s="246">
        <f>IFERROR(VLOOKUP(I477,VOL_REC[],2,FALSE),0)</f>
        <v>17074.045034105649</v>
      </c>
      <c r="AZ477" s="246">
        <f>IFERROR(VLOOKUP(J477,VOL_REC[],2,FALSE),0)</f>
        <v>105072</v>
      </c>
      <c r="BA477" s="246">
        <f>IFERROR(VLOOKUP(K477,VOL_REC[],2,FALSE),0)</f>
        <v>0</v>
      </c>
      <c r="BB477" s="246">
        <f>IFERROR(VLOOKUP(L477,VOL_REC[],2,FALSE),0)</f>
        <v>0</v>
      </c>
      <c r="BC477" s="246">
        <f>IFERROR(VLOOKUP(M477,VOL_REC[],2,FALSE),0)</f>
        <v>0</v>
      </c>
      <c r="BD477" s="246">
        <f>IFERROR(VLOOKUP(N477,VOL_REC[],2,FALSE),0)</f>
        <v>0</v>
      </c>
      <c r="BE477" s="246">
        <f>IFERROR(VLOOKUP(O477,VOL_REC[],2,FALSE),0)</f>
        <v>0</v>
      </c>
      <c r="BF477" s="246">
        <f>IFERROR(VLOOKUP(P477,VOL_REC[],2,FALSE),0)</f>
        <v>0</v>
      </c>
      <c r="BG477" s="246">
        <f>IFERROR(VLOOKUP(Q477,VOL_REC[],2,FALSE),0)</f>
        <v>0</v>
      </c>
      <c r="BH477" s="1710">
        <f t="shared" si="28"/>
        <v>11648695783.767168</v>
      </c>
      <c r="BI477" s="1710">
        <f t="shared" si="29"/>
        <v>15041673731.669664</v>
      </c>
      <c r="BJ477" s="1711">
        <f t="shared" si="30"/>
        <v>26992553.435114853</v>
      </c>
      <c r="BK477" s="1711">
        <f t="shared" si="31"/>
        <v>0.77442816481528165</v>
      </c>
    </row>
    <row r="478" spans="3:67" x14ac:dyDescent="0.25">
      <c r="C478" s="246" t="s">
        <v>1828</v>
      </c>
      <c r="D478" s="246">
        <v>1</v>
      </c>
      <c r="E478" s="246">
        <v>2</v>
      </c>
      <c r="F478" s="246">
        <v>3</v>
      </c>
      <c r="G478" s="246">
        <v>6</v>
      </c>
      <c r="H478" s="246">
        <v>12</v>
      </c>
      <c r="I478" s="246">
        <v>14</v>
      </c>
      <c r="J478" s="246">
        <v>16</v>
      </c>
      <c r="K478" s="246"/>
      <c r="L478" s="246"/>
      <c r="M478" s="246"/>
      <c r="N478" s="246"/>
      <c r="O478" s="246"/>
      <c r="P478" s="246"/>
      <c r="Q478" s="246"/>
      <c r="R478" s="246">
        <f>IFERROR(VLOOKUP(D478,PROGRAMAS[],2,FALSE),0)</f>
        <v>97037803.679377079</v>
      </c>
      <c r="S478" s="246">
        <f>IFERROR(VLOOKUP(E478,PROGRAMAS[],2,FALSE),0)</f>
        <v>640501509.6821388</v>
      </c>
      <c r="T478" s="246">
        <f>IFERROR(VLOOKUP(F478,PROGRAMAS[],2,FALSE),0)</f>
        <v>3062327798.1525245</v>
      </c>
      <c r="U478" s="246">
        <f>IFERROR(VLOOKUP(G478,PROGRAMAS[],2,FALSE),0)</f>
        <v>6907648435.8447599</v>
      </c>
      <c r="V478" s="246">
        <f>IFERROR(VLOOKUP(H478,PROGRAMAS[],2,FALSE),0)</f>
        <v>764796700.79905891</v>
      </c>
      <c r="W478" s="246">
        <f>IFERROR(VLOOKUP(I478,PROGRAMAS[],2,FALSE),0)</f>
        <v>54223862.645839565</v>
      </c>
      <c r="X478" s="246">
        <f>IFERROR(VLOOKUP(J478,PROGRAMAS[],2,FALSE),0)</f>
        <v>7068496961.0436354</v>
      </c>
      <c r="Y478" s="246">
        <f>IFERROR(VLOOKUP(K478,PROGRAMAS[],2,FALSE),0)</f>
        <v>0</v>
      </c>
      <c r="Z478" s="246">
        <f>IFERROR(VLOOKUP(L478,PROGRAMAS[],2,FALSE),0)</f>
        <v>0</v>
      </c>
      <c r="AA478" s="246">
        <f>IFERROR(VLOOKUP(M478,PROGRAMAS[],2,FALSE),0)</f>
        <v>0</v>
      </c>
      <c r="AB478" s="246">
        <f>IFERROR(VLOOKUP(N478,PROGRAMAS[],2,FALSE),0)</f>
        <v>0</v>
      </c>
      <c r="AC478" s="246">
        <f>IFERROR(VLOOKUP(O478,PROGRAMAS[],2,FALSE),0)</f>
        <v>0</v>
      </c>
      <c r="AD478" s="246">
        <f>IFERROR(VLOOKUP(P478,PROGRAMAS[],2,FALSE),0)</f>
        <v>0</v>
      </c>
      <c r="AE478" s="246">
        <f>IFERROR(VLOOKUP(Q478,PROGRAMAS[],2,FALSE),0)</f>
        <v>0</v>
      </c>
      <c r="AF478" s="246">
        <f>IFERROR(VLOOKUP(D478,PROGRAMAS[],3,FALSE),0)</f>
        <v>841888629.31080008</v>
      </c>
      <c r="AG478" s="246">
        <f>IFERROR(VLOOKUP(E478,PROGRAMAS[],3,FALSE),0)</f>
        <v>3848980803.1642323</v>
      </c>
      <c r="AH478" s="246">
        <f>IFERROR(VLOOKUP(F478,PROGRAMAS[],3,FALSE),0)</f>
        <v>3394901471.387517</v>
      </c>
      <c r="AI478" s="246">
        <f>IFERROR(VLOOKUP(G478,PROGRAMAS[],3,FALSE),0)</f>
        <v>6129902208.7912121</v>
      </c>
      <c r="AJ478" s="246">
        <f>IFERROR(VLOOKUP(H478,PROGRAMAS[],3,FALSE),0)</f>
        <v>675517840.109828</v>
      </c>
      <c r="AK478" s="246">
        <f>IFERROR(VLOOKUP(I478,PROGRAMAS[],3,FALSE),0)</f>
        <v>31865326.38096505</v>
      </c>
      <c r="AL478" s="246">
        <f>IFERROR(VLOOKUP(J478,PROGRAMAS[],3,FALSE),0)</f>
        <v>2406564599.0319901</v>
      </c>
      <c r="AM478" s="246">
        <f>IFERROR(VLOOKUP(K478,PROGRAMAS[],3,FALSE),0)</f>
        <v>0</v>
      </c>
      <c r="AN478" s="246">
        <f>IFERROR(VLOOKUP(L478,PROGRAMAS[],3,FALSE),0)</f>
        <v>0</v>
      </c>
      <c r="AO478" s="246">
        <f>IFERROR(VLOOKUP(M478,PROGRAMAS[],3,FALSE),0)</f>
        <v>0</v>
      </c>
      <c r="AP478" s="246">
        <f>IFERROR(VLOOKUP(N478,PROGRAMAS[],3,FALSE),0)</f>
        <v>0</v>
      </c>
      <c r="AQ478" s="246">
        <f>IFERROR(VLOOKUP(O478,PROGRAMAS[],3,FALSE),0)</f>
        <v>0</v>
      </c>
      <c r="AR478" s="246">
        <f>IFERROR(VLOOKUP(P478,PROGRAMAS[],3,FALSE),0)</f>
        <v>0</v>
      </c>
      <c r="AS478" s="246">
        <f>IFERROR(VLOOKUP(Q478,PROGRAMAS[],3,FALSE),0)</f>
        <v>0</v>
      </c>
      <c r="AT478" s="246">
        <f>IFERROR(VLOOKUP(D478,VOL_REC[],2,FALSE),0)</f>
        <v>0</v>
      </c>
      <c r="AU478" s="246">
        <f>IFERROR(VLOOKUP(E478,VOL_REC[],2,FALSE),0)</f>
        <v>0</v>
      </c>
      <c r="AV478" s="246">
        <f>IFERROR(VLOOKUP(F478,VOL_REC[],2,FALSE),0)</f>
        <v>11089674.200000001</v>
      </c>
      <c r="AW478" s="246">
        <f>IFERROR(VLOOKUP(G478,VOL_REC[],2,FALSE),0)</f>
        <v>15540036.397699751</v>
      </c>
      <c r="AX478" s="246">
        <f>IFERROR(VLOOKUP(H478,VOL_REC[],2,FALSE),0)</f>
        <v>240696.79238099116</v>
      </c>
      <c r="AY478" s="246">
        <f>IFERROR(VLOOKUP(I478,VOL_REC[],2,FALSE),0)</f>
        <v>17074.045034105649</v>
      </c>
      <c r="AZ478" s="246">
        <f>IFERROR(VLOOKUP(J478,VOL_REC[],2,FALSE),0)</f>
        <v>1072354.9981737854</v>
      </c>
      <c r="BA478" s="246">
        <f>IFERROR(VLOOKUP(K478,VOL_REC[],2,FALSE),0)</f>
        <v>0</v>
      </c>
      <c r="BB478" s="246">
        <f>IFERROR(VLOOKUP(L478,VOL_REC[],2,FALSE),0)</f>
        <v>0</v>
      </c>
      <c r="BC478" s="246">
        <f>IFERROR(VLOOKUP(M478,VOL_REC[],2,FALSE),0)</f>
        <v>0</v>
      </c>
      <c r="BD478" s="246">
        <f>IFERROR(VLOOKUP(N478,VOL_REC[],2,FALSE),0)</f>
        <v>0</v>
      </c>
      <c r="BE478" s="246">
        <f>IFERROR(VLOOKUP(O478,VOL_REC[],2,FALSE),0)</f>
        <v>0</v>
      </c>
      <c r="BF478" s="246">
        <f>IFERROR(VLOOKUP(P478,VOL_REC[],2,FALSE),0)</f>
        <v>0</v>
      </c>
      <c r="BG478" s="246">
        <f>IFERROR(VLOOKUP(Q478,VOL_REC[],2,FALSE),0)</f>
        <v>0</v>
      </c>
      <c r="BH478" s="1710">
        <f t="shared" si="28"/>
        <v>18595033071.847336</v>
      </c>
      <c r="BI478" s="1710">
        <f t="shared" si="29"/>
        <v>17329620878.176544</v>
      </c>
      <c r="BJ478" s="1711">
        <f t="shared" si="30"/>
        <v>27959836.433288638</v>
      </c>
      <c r="BK478" s="1711">
        <f t="shared" si="31"/>
        <v>1.073020189106638</v>
      </c>
      <c r="BL478">
        <f>BJ478</f>
        <v>27959836.433288638</v>
      </c>
      <c r="BO478">
        <f>BL478</f>
        <v>27959836.433288638</v>
      </c>
    </row>
    <row r="479" spans="3:67" x14ac:dyDescent="0.25">
      <c r="C479" s="246" t="s">
        <v>1829</v>
      </c>
      <c r="D479" s="246">
        <v>1</v>
      </c>
      <c r="E479" s="246">
        <v>2</v>
      </c>
      <c r="F479" s="246">
        <v>3</v>
      </c>
      <c r="G479" s="246">
        <v>6</v>
      </c>
      <c r="H479" s="246">
        <v>12</v>
      </c>
      <c r="I479" s="246">
        <v>14</v>
      </c>
      <c r="J479" s="246">
        <v>17</v>
      </c>
      <c r="K479" s="246"/>
      <c r="L479" s="246"/>
      <c r="M479" s="246"/>
      <c r="N479" s="246"/>
      <c r="O479" s="246"/>
      <c r="P479" s="246"/>
      <c r="Q479" s="246"/>
      <c r="R479" s="246">
        <f>IFERROR(VLOOKUP(D479,PROGRAMAS[],2,FALSE),0)</f>
        <v>97037803.679377079</v>
      </c>
      <c r="S479" s="246">
        <f>IFERROR(VLOOKUP(E479,PROGRAMAS[],2,FALSE),0)</f>
        <v>640501509.6821388</v>
      </c>
      <c r="T479" s="246">
        <f>IFERROR(VLOOKUP(F479,PROGRAMAS[],2,FALSE),0)</f>
        <v>3062327798.1525245</v>
      </c>
      <c r="U479" s="246">
        <f>IFERROR(VLOOKUP(G479,PROGRAMAS[],2,FALSE),0)</f>
        <v>6907648435.8447599</v>
      </c>
      <c r="V479" s="246">
        <f>IFERROR(VLOOKUP(H479,PROGRAMAS[],2,FALSE),0)</f>
        <v>764796700.79905891</v>
      </c>
      <c r="W479" s="246">
        <f>IFERROR(VLOOKUP(I479,PROGRAMAS[],2,FALSE),0)</f>
        <v>54223862.645839565</v>
      </c>
      <c r="X479" s="246">
        <f>IFERROR(VLOOKUP(J479,PROGRAMAS[],2,FALSE),0)</f>
        <v>1892779498.5211046</v>
      </c>
      <c r="Y479" s="246">
        <f>IFERROR(VLOOKUP(K479,PROGRAMAS[],2,FALSE),0)</f>
        <v>0</v>
      </c>
      <c r="Z479" s="246">
        <f>IFERROR(VLOOKUP(L479,PROGRAMAS[],2,FALSE),0)</f>
        <v>0</v>
      </c>
      <c r="AA479" s="246">
        <f>IFERROR(VLOOKUP(M479,PROGRAMAS[],2,FALSE),0)</f>
        <v>0</v>
      </c>
      <c r="AB479" s="246">
        <f>IFERROR(VLOOKUP(N479,PROGRAMAS[],2,FALSE),0)</f>
        <v>0</v>
      </c>
      <c r="AC479" s="246">
        <f>IFERROR(VLOOKUP(O479,PROGRAMAS[],2,FALSE),0)</f>
        <v>0</v>
      </c>
      <c r="AD479" s="246">
        <f>IFERROR(VLOOKUP(P479,PROGRAMAS[],2,FALSE),0)</f>
        <v>0</v>
      </c>
      <c r="AE479" s="246">
        <f>IFERROR(VLOOKUP(Q479,PROGRAMAS[],2,FALSE),0)</f>
        <v>0</v>
      </c>
      <c r="AF479" s="246">
        <f>IFERROR(VLOOKUP(D479,PROGRAMAS[],3,FALSE),0)</f>
        <v>841888629.31080008</v>
      </c>
      <c r="AG479" s="246">
        <f>IFERROR(VLOOKUP(E479,PROGRAMAS[],3,FALSE),0)</f>
        <v>3848980803.1642323</v>
      </c>
      <c r="AH479" s="246">
        <f>IFERROR(VLOOKUP(F479,PROGRAMAS[],3,FALSE),0)</f>
        <v>3394901471.387517</v>
      </c>
      <c r="AI479" s="246">
        <f>IFERROR(VLOOKUP(G479,PROGRAMAS[],3,FALSE),0)</f>
        <v>6129902208.7912121</v>
      </c>
      <c r="AJ479" s="246">
        <f>IFERROR(VLOOKUP(H479,PROGRAMAS[],3,FALSE),0)</f>
        <v>675517840.109828</v>
      </c>
      <c r="AK479" s="246">
        <f>IFERROR(VLOOKUP(I479,PROGRAMAS[],3,FALSE),0)</f>
        <v>31865326.38096505</v>
      </c>
      <c r="AL479" s="246">
        <f>IFERROR(VLOOKUP(J479,PROGRAMAS[],3,FALSE),0)</f>
        <v>948595847.09039903</v>
      </c>
      <c r="AM479" s="246">
        <f>IFERROR(VLOOKUP(K479,PROGRAMAS[],3,FALSE),0)</f>
        <v>0</v>
      </c>
      <c r="AN479" s="246">
        <f>IFERROR(VLOOKUP(L479,PROGRAMAS[],3,FALSE),0)</f>
        <v>0</v>
      </c>
      <c r="AO479" s="246">
        <f>IFERROR(VLOOKUP(M479,PROGRAMAS[],3,FALSE),0)</f>
        <v>0</v>
      </c>
      <c r="AP479" s="246">
        <f>IFERROR(VLOOKUP(N479,PROGRAMAS[],3,FALSE),0)</f>
        <v>0</v>
      </c>
      <c r="AQ479" s="246">
        <f>IFERROR(VLOOKUP(O479,PROGRAMAS[],3,FALSE),0)</f>
        <v>0</v>
      </c>
      <c r="AR479" s="246">
        <f>IFERROR(VLOOKUP(P479,PROGRAMAS[],3,FALSE),0)</f>
        <v>0</v>
      </c>
      <c r="AS479" s="246">
        <f>IFERROR(VLOOKUP(Q479,PROGRAMAS[],3,FALSE),0)</f>
        <v>0</v>
      </c>
      <c r="AT479" s="246">
        <f>IFERROR(VLOOKUP(D479,VOL_REC[],2,FALSE),0)</f>
        <v>0</v>
      </c>
      <c r="AU479" s="246">
        <f>IFERROR(VLOOKUP(E479,VOL_REC[],2,FALSE),0)</f>
        <v>0</v>
      </c>
      <c r="AV479" s="246">
        <f>IFERROR(VLOOKUP(F479,VOL_REC[],2,FALSE),0)</f>
        <v>11089674.200000001</v>
      </c>
      <c r="AW479" s="246">
        <f>IFERROR(VLOOKUP(G479,VOL_REC[],2,FALSE),0)</f>
        <v>15540036.397699751</v>
      </c>
      <c r="AX479" s="246">
        <f>IFERROR(VLOOKUP(H479,VOL_REC[],2,FALSE),0)</f>
        <v>240696.79238099116</v>
      </c>
      <c r="AY479" s="246">
        <f>IFERROR(VLOOKUP(I479,VOL_REC[],2,FALSE),0)</f>
        <v>17074.045034105649</v>
      </c>
      <c r="AZ479" s="246">
        <f>IFERROR(VLOOKUP(J479,VOL_REC[],2,FALSE),0)</f>
        <v>740113.98115702497</v>
      </c>
      <c r="BA479" s="246">
        <f>IFERROR(VLOOKUP(K479,VOL_REC[],2,FALSE),0)</f>
        <v>0</v>
      </c>
      <c r="BB479" s="246">
        <f>IFERROR(VLOOKUP(L479,VOL_REC[],2,FALSE),0)</f>
        <v>0</v>
      </c>
      <c r="BC479" s="246">
        <f>IFERROR(VLOOKUP(M479,VOL_REC[],2,FALSE),0)</f>
        <v>0</v>
      </c>
      <c r="BD479" s="246">
        <f>IFERROR(VLOOKUP(N479,VOL_REC[],2,FALSE),0)</f>
        <v>0</v>
      </c>
      <c r="BE479" s="246">
        <f>IFERROR(VLOOKUP(O479,VOL_REC[],2,FALSE),0)</f>
        <v>0</v>
      </c>
      <c r="BF479" s="246">
        <f>IFERROR(VLOOKUP(P479,VOL_REC[],2,FALSE),0)</f>
        <v>0</v>
      </c>
      <c r="BG479" s="246">
        <f>IFERROR(VLOOKUP(Q479,VOL_REC[],2,FALSE),0)</f>
        <v>0</v>
      </c>
      <c r="BH479" s="1710">
        <f t="shared" si="28"/>
        <v>13419315609.324804</v>
      </c>
      <c r="BI479" s="1710">
        <f t="shared" si="29"/>
        <v>15871652126.234955</v>
      </c>
      <c r="BJ479" s="1711">
        <f t="shared" si="30"/>
        <v>27627595.416271877</v>
      </c>
      <c r="BK479" s="1711">
        <f t="shared" si="31"/>
        <v>0.84548952450535531</v>
      </c>
    </row>
    <row r="480" spans="3:67" x14ac:dyDescent="0.25">
      <c r="C480" s="246" t="s">
        <v>1830</v>
      </c>
      <c r="D480" s="246">
        <v>1</v>
      </c>
      <c r="E480" s="246">
        <v>2</v>
      </c>
      <c r="F480" s="246">
        <v>3</v>
      </c>
      <c r="G480" s="246">
        <v>6</v>
      </c>
      <c r="H480" s="246">
        <v>12</v>
      </c>
      <c r="I480" s="246">
        <v>15</v>
      </c>
      <c r="J480" s="246">
        <v>16</v>
      </c>
      <c r="K480" s="246"/>
      <c r="L480" s="246"/>
      <c r="M480" s="246"/>
      <c r="N480" s="246"/>
      <c r="O480" s="246"/>
      <c r="P480" s="246"/>
      <c r="Q480" s="246"/>
      <c r="R480" s="246">
        <f>IFERROR(VLOOKUP(D480,PROGRAMAS[],2,FALSE),0)</f>
        <v>97037803.679377079</v>
      </c>
      <c r="S480" s="246">
        <f>IFERROR(VLOOKUP(E480,PROGRAMAS[],2,FALSE),0)</f>
        <v>640501509.6821388</v>
      </c>
      <c r="T480" s="246">
        <f>IFERROR(VLOOKUP(F480,PROGRAMAS[],2,FALSE),0)</f>
        <v>3062327798.1525245</v>
      </c>
      <c r="U480" s="246">
        <f>IFERROR(VLOOKUP(G480,PROGRAMAS[],2,FALSE),0)</f>
        <v>6907648435.8447599</v>
      </c>
      <c r="V480" s="246">
        <f>IFERROR(VLOOKUP(H480,PROGRAMAS[],2,FALSE),0)</f>
        <v>764796700.79905891</v>
      </c>
      <c r="W480" s="246">
        <f>IFERROR(VLOOKUP(I480,PROGRAMAS[],2,FALSE),0)</f>
        <v>122159672.96346797</v>
      </c>
      <c r="X480" s="246">
        <f>IFERROR(VLOOKUP(J480,PROGRAMAS[],2,FALSE),0)</f>
        <v>7068496961.0436354</v>
      </c>
      <c r="Y480" s="246">
        <f>IFERROR(VLOOKUP(K480,PROGRAMAS[],2,FALSE),0)</f>
        <v>0</v>
      </c>
      <c r="Z480" s="246">
        <f>IFERROR(VLOOKUP(L480,PROGRAMAS[],2,FALSE),0)</f>
        <v>0</v>
      </c>
      <c r="AA480" s="246">
        <f>IFERROR(VLOOKUP(M480,PROGRAMAS[],2,FALSE),0)</f>
        <v>0</v>
      </c>
      <c r="AB480" s="246">
        <f>IFERROR(VLOOKUP(N480,PROGRAMAS[],2,FALSE),0)</f>
        <v>0</v>
      </c>
      <c r="AC480" s="246">
        <f>IFERROR(VLOOKUP(O480,PROGRAMAS[],2,FALSE),0)</f>
        <v>0</v>
      </c>
      <c r="AD480" s="246">
        <f>IFERROR(VLOOKUP(P480,PROGRAMAS[],2,FALSE),0)</f>
        <v>0</v>
      </c>
      <c r="AE480" s="246">
        <f>IFERROR(VLOOKUP(Q480,PROGRAMAS[],2,FALSE),0)</f>
        <v>0</v>
      </c>
      <c r="AF480" s="246">
        <f>IFERROR(VLOOKUP(D480,PROGRAMAS[],3,FALSE),0)</f>
        <v>841888629.31080008</v>
      </c>
      <c r="AG480" s="246">
        <f>IFERROR(VLOOKUP(E480,PROGRAMAS[],3,FALSE),0)</f>
        <v>3848980803.1642323</v>
      </c>
      <c r="AH480" s="246">
        <f>IFERROR(VLOOKUP(F480,PROGRAMAS[],3,FALSE),0)</f>
        <v>3394901471.387517</v>
      </c>
      <c r="AI480" s="246">
        <f>IFERROR(VLOOKUP(G480,PROGRAMAS[],3,FALSE),0)</f>
        <v>6129902208.7912121</v>
      </c>
      <c r="AJ480" s="246">
        <f>IFERROR(VLOOKUP(H480,PROGRAMAS[],3,FALSE),0)</f>
        <v>675517840.109828</v>
      </c>
      <c r="AK480" s="246">
        <f>IFERROR(VLOOKUP(I480,PROGRAMAS[],3,FALSE),0)</f>
        <v>118617452.52510804</v>
      </c>
      <c r="AL480" s="246">
        <f>IFERROR(VLOOKUP(J480,PROGRAMAS[],3,FALSE),0)</f>
        <v>2406564599.0319901</v>
      </c>
      <c r="AM480" s="246">
        <f>IFERROR(VLOOKUP(K480,PROGRAMAS[],3,FALSE),0)</f>
        <v>0</v>
      </c>
      <c r="AN480" s="246">
        <f>IFERROR(VLOOKUP(L480,PROGRAMAS[],3,FALSE),0)</f>
        <v>0</v>
      </c>
      <c r="AO480" s="246">
        <f>IFERROR(VLOOKUP(M480,PROGRAMAS[],3,FALSE),0)</f>
        <v>0</v>
      </c>
      <c r="AP480" s="246">
        <f>IFERROR(VLOOKUP(N480,PROGRAMAS[],3,FALSE),0)</f>
        <v>0</v>
      </c>
      <c r="AQ480" s="246">
        <f>IFERROR(VLOOKUP(O480,PROGRAMAS[],3,FALSE),0)</f>
        <v>0</v>
      </c>
      <c r="AR480" s="246">
        <f>IFERROR(VLOOKUP(P480,PROGRAMAS[],3,FALSE),0)</f>
        <v>0</v>
      </c>
      <c r="AS480" s="246">
        <f>IFERROR(VLOOKUP(Q480,PROGRAMAS[],3,FALSE),0)</f>
        <v>0</v>
      </c>
      <c r="AT480" s="246">
        <f>IFERROR(VLOOKUP(D480,VOL_REC[],2,FALSE),0)</f>
        <v>0</v>
      </c>
      <c r="AU480" s="246">
        <f>IFERROR(VLOOKUP(E480,VOL_REC[],2,FALSE),0)</f>
        <v>0</v>
      </c>
      <c r="AV480" s="246">
        <f>IFERROR(VLOOKUP(F480,VOL_REC[],2,FALSE),0)</f>
        <v>11089674.200000001</v>
      </c>
      <c r="AW480" s="246">
        <f>IFERROR(VLOOKUP(G480,VOL_REC[],2,FALSE),0)</f>
        <v>15540036.397699751</v>
      </c>
      <c r="AX480" s="246">
        <f>IFERROR(VLOOKUP(H480,VOL_REC[],2,FALSE),0)</f>
        <v>240696.79238099116</v>
      </c>
      <c r="AY480" s="246">
        <f>IFERROR(VLOOKUP(I480,VOL_REC[],2,FALSE),0)</f>
        <v>105072</v>
      </c>
      <c r="AZ480" s="246">
        <f>IFERROR(VLOOKUP(J480,VOL_REC[],2,FALSE),0)</f>
        <v>1072354.9981737854</v>
      </c>
      <c r="BA480" s="246">
        <f>IFERROR(VLOOKUP(K480,VOL_REC[],2,FALSE),0)</f>
        <v>0</v>
      </c>
      <c r="BB480" s="246">
        <f>IFERROR(VLOOKUP(L480,VOL_REC[],2,FALSE),0)</f>
        <v>0</v>
      </c>
      <c r="BC480" s="246">
        <f>IFERROR(VLOOKUP(M480,VOL_REC[],2,FALSE),0)</f>
        <v>0</v>
      </c>
      <c r="BD480" s="246">
        <f>IFERROR(VLOOKUP(N480,VOL_REC[],2,FALSE),0)</f>
        <v>0</v>
      </c>
      <c r="BE480" s="246">
        <f>IFERROR(VLOOKUP(O480,VOL_REC[],2,FALSE),0)</f>
        <v>0</v>
      </c>
      <c r="BF480" s="246">
        <f>IFERROR(VLOOKUP(P480,VOL_REC[],2,FALSE),0)</f>
        <v>0</v>
      </c>
      <c r="BG480" s="246">
        <f>IFERROR(VLOOKUP(Q480,VOL_REC[],2,FALSE),0)</f>
        <v>0</v>
      </c>
      <c r="BH480" s="1710">
        <f t="shared" si="28"/>
        <v>18662968882.164963</v>
      </c>
      <c r="BI480" s="1710">
        <f t="shared" si="29"/>
        <v>17416373004.32069</v>
      </c>
      <c r="BJ480" s="1711">
        <f t="shared" si="30"/>
        <v>28047834.388254531</v>
      </c>
      <c r="BK480" s="1711">
        <f t="shared" si="31"/>
        <v>1.0715760897825863</v>
      </c>
      <c r="BL480">
        <f>BJ480</f>
        <v>28047834.388254531</v>
      </c>
      <c r="BO480">
        <f>BL480</f>
        <v>28047834.388254531</v>
      </c>
    </row>
    <row r="481" spans="3:67" x14ac:dyDescent="0.25">
      <c r="C481" s="246" t="s">
        <v>1831</v>
      </c>
      <c r="D481" s="246">
        <v>1</v>
      </c>
      <c r="E481" s="246">
        <v>2</v>
      </c>
      <c r="F481" s="246">
        <v>3</v>
      </c>
      <c r="G481" s="246">
        <v>6</v>
      </c>
      <c r="H481" s="246">
        <v>12</v>
      </c>
      <c r="I481" s="246">
        <v>15</v>
      </c>
      <c r="J481" s="246">
        <v>17</v>
      </c>
      <c r="K481" s="246"/>
      <c r="L481" s="246"/>
      <c r="M481" s="246"/>
      <c r="N481" s="246"/>
      <c r="O481" s="246"/>
      <c r="P481" s="246"/>
      <c r="Q481" s="246"/>
      <c r="R481" s="246">
        <f>IFERROR(VLOOKUP(D481,PROGRAMAS[],2,FALSE),0)</f>
        <v>97037803.679377079</v>
      </c>
      <c r="S481" s="246">
        <f>IFERROR(VLOOKUP(E481,PROGRAMAS[],2,FALSE),0)</f>
        <v>640501509.6821388</v>
      </c>
      <c r="T481" s="246">
        <f>IFERROR(VLOOKUP(F481,PROGRAMAS[],2,FALSE),0)</f>
        <v>3062327798.1525245</v>
      </c>
      <c r="U481" s="246">
        <f>IFERROR(VLOOKUP(G481,PROGRAMAS[],2,FALSE),0)</f>
        <v>6907648435.8447599</v>
      </c>
      <c r="V481" s="246">
        <f>IFERROR(VLOOKUP(H481,PROGRAMAS[],2,FALSE),0)</f>
        <v>764796700.79905891</v>
      </c>
      <c r="W481" s="246">
        <f>IFERROR(VLOOKUP(I481,PROGRAMAS[],2,FALSE),0)</f>
        <v>122159672.96346797</v>
      </c>
      <c r="X481" s="246">
        <f>IFERROR(VLOOKUP(J481,PROGRAMAS[],2,FALSE),0)</f>
        <v>1892779498.5211046</v>
      </c>
      <c r="Y481" s="246">
        <f>IFERROR(VLOOKUP(K481,PROGRAMAS[],2,FALSE),0)</f>
        <v>0</v>
      </c>
      <c r="Z481" s="246">
        <f>IFERROR(VLOOKUP(L481,PROGRAMAS[],2,FALSE),0)</f>
        <v>0</v>
      </c>
      <c r="AA481" s="246">
        <f>IFERROR(VLOOKUP(M481,PROGRAMAS[],2,FALSE),0)</f>
        <v>0</v>
      </c>
      <c r="AB481" s="246">
        <f>IFERROR(VLOOKUP(N481,PROGRAMAS[],2,FALSE),0)</f>
        <v>0</v>
      </c>
      <c r="AC481" s="246">
        <f>IFERROR(VLOOKUP(O481,PROGRAMAS[],2,FALSE),0)</f>
        <v>0</v>
      </c>
      <c r="AD481" s="246">
        <f>IFERROR(VLOOKUP(P481,PROGRAMAS[],2,FALSE),0)</f>
        <v>0</v>
      </c>
      <c r="AE481" s="246">
        <f>IFERROR(VLOOKUP(Q481,PROGRAMAS[],2,FALSE),0)</f>
        <v>0</v>
      </c>
      <c r="AF481" s="246">
        <f>IFERROR(VLOOKUP(D481,PROGRAMAS[],3,FALSE),0)</f>
        <v>841888629.31080008</v>
      </c>
      <c r="AG481" s="246">
        <f>IFERROR(VLOOKUP(E481,PROGRAMAS[],3,FALSE),0)</f>
        <v>3848980803.1642323</v>
      </c>
      <c r="AH481" s="246">
        <f>IFERROR(VLOOKUP(F481,PROGRAMAS[],3,FALSE),0)</f>
        <v>3394901471.387517</v>
      </c>
      <c r="AI481" s="246">
        <f>IFERROR(VLOOKUP(G481,PROGRAMAS[],3,FALSE),0)</f>
        <v>6129902208.7912121</v>
      </c>
      <c r="AJ481" s="246">
        <f>IFERROR(VLOOKUP(H481,PROGRAMAS[],3,FALSE),0)</f>
        <v>675517840.109828</v>
      </c>
      <c r="AK481" s="246">
        <f>IFERROR(VLOOKUP(I481,PROGRAMAS[],3,FALSE),0)</f>
        <v>118617452.52510804</v>
      </c>
      <c r="AL481" s="246">
        <f>IFERROR(VLOOKUP(J481,PROGRAMAS[],3,FALSE),0)</f>
        <v>948595847.09039903</v>
      </c>
      <c r="AM481" s="246">
        <f>IFERROR(VLOOKUP(K481,PROGRAMAS[],3,FALSE),0)</f>
        <v>0</v>
      </c>
      <c r="AN481" s="246">
        <f>IFERROR(VLOOKUP(L481,PROGRAMAS[],3,FALSE),0)</f>
        <v>0</v>
      </c>
      <c r="AO481" s="246">
        <f>IFERROR(VLOOKUP(M481,PROGRAMAS[],3,FALSE),0)</f>
        <v>0</v>
      </c>
      <c r="AP481" s="246">
        <f>IFERROR(VLOOKUP(N481,PROGRAMAS[],3,FALSE),0)</f>
        <v>0</v>
      </c>
      <c r="AQ481" s="246">
        <f>IFERROR(VLOOKUP(O481,PROGRAMAS[],3,FALSE),0)</f>
        <v>0</v>
      </c>
      <c r="AR481" s="246">
        <f>IFERROR(VLOOKUP(P481,PROGRAMAS[],3,FALSE),0)</f>
        <v>0</v>
      </c>
      <c r="AS481" s="246">
        <f>IFERROR(VLOOKUP(Q481,PROGRAMAS[],3,FALSE),0)</f>
        <v>0</v>
      </c>
      <c r="AT481" s="246">
        <f>IFERROR(VLOOKUP(D481,VOL_REC[],2,FALSE),0)</f>
        <v>0</v>
      </c>
      <c r="AU481" s="246">
        <f>IFERROR(VLOOKUP(E481,VOL_REC[],2,FALSE),0)</f>
        <v>0</v>
      </c>
      <c r="AV481" s="246">
        <f>IFERROR(VLOOKUP(F481,VOL_REC[],2,FALSE),0)</f>
        <v>11089674.200000001</v>
      </c>
      <c r="AW481" s="246">
        <f>IFERROR(VLOOKUP(G481,VOL_REC[],2,FALSE),0)</f>
        <v>15540036.397699751</v>
      </c>
      <c r="AX481" s="246">
        <f>IFERROR(VLOOKUP(H481,VOL_REC[],2,FALSE),0)</f>
        <v>240696.79238099116</v>
      </c>
      <c r="AY481" s="246">
        <f>IFERROR(VLOOKUP(I481,VOL_REC[],2,FALSE),0)</f>
        <v>105072</v>
      </c>
      <c r="AZ481" s="246">
        <f>IFERROR(VLOOKUP(J481,VOL_REC[],2,FALSE),0)</f>
        <v>740113.98115702497</v>
      </c>
      <c r="BA481" s="246">
        <f>IFERROR(VLOOKUP(K481,VOL_REC[],2,FALSE),0)</f>
        <v>0</v>
      </c>
      <c r="BB481" s="246">
        <f>IFERROR(VLOOKUP(L481,VOL_REC[],2,FALSE),0)</f>
        <v>0</v>
      </c>
      <c r="BC481" s="246">
        <f>IFERROR(VLOOKUP(M481,VOL_REC[],2,FALSE),0)</f>
        <v>0</v>
      </c>
      <c r="BD481" s="246">
        <f>IFERROR(VLOOKUP(N481,VOL_REC[],2,FALSE),0)</f>
        <v>0</v>
      </c>
      <c r="BE481" s="246">
        <f>IFERROR(VLOOKUP(O481,VOL_REC[],2,FALSE),0)</f>
        <v>0</v>
      </c>
      <c r="BF481" s="246">
        <f>IFERROR(VLOOKUP(P481,VOL_REC[],2,FALSE),0)</f>
        <v>0</v>
      </c>
      <c r="BG481" s="246">
        <f>IFERROR(VLOOKUP(Q481,VOL_REC[],2,FALSE),0)</f>
        <v>0</v>
      </c>
      <c r="BH481" s="1710">
        <f t="shared" si="28"/>
        <v>13487251419.642433</v>
      </c>
      <c r="BI481" s="1710">
        <f t="shared" si="29"/>
        <v>15958404252.379099</v>
      </c>
      <c r="BJ481" s="1711">
        <f t="shared" si="30"/>
        <v>27715593.37123777</v>
      </c>
      <c r="BK481" s="1711">
        <f t="shared" si="31"/>
        <v>0.84515038009716648</v>
      </c>
    </row>
    <row r="482" spans="3:67" x14ac:dyDescent="0.25">
      <c r="C482" s="246" t="s">
        <v>1832</v>
      </c>
      <c r="D482" s="246">
        <v>1</v>
      </c>
      <c r="E482" s="246">
        <v>2</v>
      </c>
      <c r="F482" s="246">
        <v>3</v>
      </c>
      <c r="G482" s="246">
        <v>6</v>
      </c>
      <c r="H482" s="246">
        <v>12</v>
      </c>
      <c r="I482" s="246">
        <v>16</v>
      </c>
      <c r="J482" s="246">
        <v>17</v>
      </c>
      <c r="K482" s="246"/>
      <c r="L482" s="246"/>
      <c r="M482" s="246"/>
      <c r="N482" s="246"/>
      <c r="O482" s="246"/>
      <c r="P482" s="246"/>
      <c r="Q482" s="246"/>
      <c r="R482" s="246">
        <f>IFERROR(VLOOKUP(D482,PROGRAMAS[],2,FALSE),0)</f>
        <v>97037803.679377079</v>
      </c>
      <c r="S482" s="246">
        <f>IFERROR(VLOOKUP(E482,PROGRAMAS[],2,FALSE),0)</f>
        <v>640501509.6821388</v>
      </c>
      <c r="T482" s="246">
        <f>IFERROR(VLOOKUP(F482,PROGRAMAS[],2,FALSE),0)</f>
        <v>3062327798.1525245</v>
      </c>
      <c r="U482" s="246">
        <f>IFERROR(VLOOKUP(G482,PROGRAMAS[],2,FALSE),0)</f>
        <v>6907648435.8447599</v>
      </c>
      <c r="V482" s="246">
        <f>IFERROR(VLOOKUP(H482,PROGRAMAS[],2,FALSE),0)</f>
        <v>764796700.79905891</v>
      </c>
      <c r="W482" s="246">
        <f>IFERROR(VLOOKUP(I482,PROGRAMAS[],2,FALSE),0)</f>
        <v>7068496961.0436354</v>
      </c>
      <c r="X482" s="246">
        <f>IFERROR(VLOOKUP(J482,PROGRAMAS[],2,FALSE),0)</f>
        <v>1892779498.5211046</v>
      </c>
      <c r="Y482" s="246">
        <f>IFERROR(VLOOKUP(K482,PROGRAMAS[],2,FALSE),0)</f>
        <v>0</v>
      </c>
      <c r="Z482" s="246">
        <f>IFERROR(VLOOKUP(L482,PROGRAMAS[],2,FALSE),0)</f>
        <v>0</v>
      </c>
      <c r="AA482" s="246">
        <f>IFERROR(VLOOKUP(M482,PROGRAMAS[],2,FALSE),0)</f>
        <v>0</v>
      </c>
      <c r="AB482" s="246">
        <f>IFERROR(VLOOKUP(N482,PROGRAMAS[],2,FALSE),0)</f>
        <v>0</v>
      </c>
      <c r="AC482" s="246">
        <f>IFERROR(VLOOKUP(O482,PROGRAMAS[],2,FALSE),0)</f>
        <v>0</v>
      </c>
      <c r="AD482" s="246">
        <f>IFERROR(VLOOKUP(P482,PROGRAMAS[],2,FALSE),0)</f>
        <v>0</v>
      </c>
      <c r="AE482" s="246">
        <f>IFERROR(VLOOKUP(Q482,PROGRAMAS[],2,FALSE),0)</f>
        <v>0</v>
      </c>
      <c r="AF482" s="246">
        <f>IFERROR(VLOOKUP(D482,PROGRAMAS[],3,FALSE),0)</f>
        <v>841888629.31080008</v>
      </c>
      <c r="AG482" s="246">
        <f>IFERROR(VLOOKUP(E482,PROGRAMAS[],3,FALSE),0)</f>
        <v>3848980803.1642323</v>
      </c>
      <c r="AH482" s="246">
        <f>IFERROR(VLOOKUP(F482,PROGRAMAS[],3,FALSE),0)</f>
        <v>3394901471.387517</v>
      </c>
      <c r="AI482" s="246">
        <f>IFERROR(VLOOKUP(G482,PROGRAMAS[],3,FALSE),0)</f>
        <v>6129902208.7912121</v>
      </c>
      <c r="AJ482" s="246">
        <f>IFERROR(VLOOKUP(H482,PROGRAMAS[],3,FALSE),0)</f>
        <v>675517840.109828</v>
      </c>
      <c r="AK482" s="246">
        <f>IFERROR(VLOOKUP(I482,PROGRAMAS[],3,FALSE),0)</f>
        <v>2406564599.0319901</v>
      </c>
      <c r="AL482" s="246">
        <f>IFERROR(VLOOKUP(J482,PROGRAMAS[],3,FALSE),0)</f>
        <v>948595847.09039903</v>
      </c>
      <c r="AM482" s="246">
        <f>IFERROR(VLOOKUP(K482,PROGRAMAS[],3,FALSE),0)</f>
        <v>0</v>
      </c>
      <c r="AN482" s="246">
        <f>IFERROR(VLOOKUP(L482,PROGRAMAS[],3,FALSE),0)</f>
        <v>0</v>
      </c>
      <c r="AO482" s="246">
        <f>IFERROR(VLOOKUP(M482,PROGRAMAS[],3,FALSE),0)</f>
        <v>0</v>
      </c>
      <c r="AP482" s="246">
        <f>IFERROR(VLOOKUP(N482,PROGRAMAS[],3,FALSE),0)</f>
        <v>0</v>
      </c>
      <c r="AQ482" s="246">
        <f>IFERROR(VLOOKUP(O482,PROGRAMAS[],3,FALSE),0)</f>
        <v>0</v>
      </c>
      <c r="AR482" s="246">
        <f>IFERROR(VLOOKUP(P482,PROGRAMAS[],3,FALSE),0)</f>
        <v>0</v>
      </c>
      <c r="AS482" s="246">
        <f>IFERROR(VLOOKUP(Q482,PROGRAMAS[],3,FALSE),0)</f>
        <v>0</v>
      </c>
      <c r="AT482" s="246">
        <f>IFERROR(VLOOKUP(D482,VOL_REC[],2,FALSE),0)</f>
        <v>0</v>
      </c>
      <c r="AU482" s="246">
        <f>IFERROR(VLOOKUP(E482,VOL_REC[],2,FALSE),0)</f>
        <v>0</v>
      </c>
      <c r="AV482" s="246">
        <f>IFERROR(VLOOKUP(F482,VOL_REC[],2,FALSE),0)</f>
        <v>11089674.200000001</v>
      </c>
      <c r="AW482" s="246">
        <f>IFERROR(VLOOKUP(G482,VOL_REC[],2,FALSE),0)</f>
        <v>15540036.397699751</v>
      </c>
      <c r="AX482" s="246">
        <f>IFERROR(VLOOKUP(H482,VOL_REC[],2,FALSE),0)</f>
        <v>240696.79238099116</v>
      </c>
      <c r="AY482" s="246">
        <f>IFERROR(VLOOKUP(I482,VOL_REC[],2,FALSE),0)</f>
        <v>1072354.9981737854</v>
      </c>
      <c r="AZ482" s="246">
        <f>IFERROR(VLOOKUP(J482,VOL_REC[],2,FALSE),0)</f>
        <v>740113.98115702497</v>
      </c>
      <c r="BA482" s="246">
        <f>IFERROR(VLOOKUP(K482,VOL_REC[],2,FALSE),0)</f>
        <v>0</v>
      </c>
      <c r="BB482" s="246">
        <f>IFERROR(VLOOKUP(L482,VOL_REC[],2,FALSE),0)</f>
        <v>0</v>
      </c>
      <c r="BC482" s="246">
        <f>IFERROR(VLOOKUP(M482,VOL_REC[],2,FALSE),0)</f>
        <v>0</v>
      </c>
      <c r="BD482" s="246">
        <f>IFERROR(VLOOKUP(N482,VOL_REC[],2,FALSE),0)</f>
        <v>0</v>
      </c>
      <c r="BE482" s="246">
        <f>IFERROR(VLOOKUP(O482,VOL_REC[],2,FALSE),0)</f>
        <v>0</v>
      </c>
      <c r="BF482" s="246">
        <f>IFERROR(VLOOKUP(P482,VOL_REC[],2,FALSE),0)</f>
        <v>0</v>
      </c>
      <c r="BG482" s="246">
        <f>IFERROR(VLOOKUP(Q482,VOL_REC[],2,FALSE),0)</f>
        <v>0</v>
      </c>
      <c r="BH482" s="1710">
        <f t="shared" si="28"/>
        <v>20433588707.722599</v>
      </c>
      <c r="BI482" s="1710">
        <f t="shared" si="29"/>
        <v>18246351398.885983</v>
      </c>
      <c r="BJ482" s="1711">
        <f t="shared" si="30"/>
        <v>28682876.369411554</v>
      </c>
      <c r="BK482" s="1711">
        <f t="shared" si="31"/>
        <v>1.1198725849908906</v>
      </c>
      <c r="BL482">
        <f>BJ482</f>
        <v>28682876.369411554</v>
      </c>
      <c r="BO482">
        <f>BL482</f>
        <v>28682876.369411554</v>
      </c>
    </row>
    <row r="483" spans="3:67" x14ac:dyDescent="0.25">
      <c r="C483" s="246" t="s">
        <v>1833</v>
      </c>
      <c r="D483" s="246">
        <v>1</v>
      </c>
      <c r="E483" s="246">
        <v>2</v>
      </c>
      <c r="F483" s="246">
        <v>3</v>
      </c>
      <c r="G483" s="246">
        <v>6</v>
      </c>
      <c r="H483" s="246">
        <v>13</v>
      </c>
      <c r="I483" s="246">
        <v>14</v>
      </c>
      <c r="J483" s="246">
        <v>15</v>
      </c>
      <c r="K483" s="246"/>
      <c r="L483" s="246"/>
      <c r="M483" s="246"/>
      <c r="N483" s="246"/>
      <c r="O483" s="246"/>
      <c r="P483" s="246"/>
      <c r="Q483" s="246"/>
      <c r="R483" s="246">
        <f>IFERROR(VLOOKUP(D483,PROGRAMAS[],2,FALSE),0)</f>
        <v>97037803.679377079</v>
      </c>
      <c r="S483" s="246">
        <f>IFERROR(VLOOKUP(E483,PROGRAMAS[],2,FALSE),0)</f>
        <v>640501509.6821388</v>
      </c>
      <c r="T483" s="246">
        <f>IFERROR(VLOOKUP(F483,PROGRAMAS[],2,FALSE),0)</f>
        <v>3062327798.1525245</v>
      </c>
      <c r="U483" s="246">
        <f>IFERROR(VLOOKUP(G483,PROGRAMAS[],2,FALSE),0)</f>
        <v>6907648435.8447599</v>
      </c>
      <c r="V483" s="246">
        <f>IFERROR(VLOOKUP(H483,PROGRAMAS[],2,FALSE),0)</f>
        <v>3776538594.4604583</v>
      </c>
      <c r="W483" s="246">
        <f>IFERROR(VLOOKUP(I483,PROGRAMAS[],2,FALSE),0)</f>
        <v>54223862.645839565</v>
      </c>
      <c r="X483" s="246">
        <f>IFERROR(VLOOKUP(J483,PROGRAMAS[],2,FALSE),0)</f>
        <v>122159672.96346797</v>
      </c>
      <c r="Y483" s="246">
        <f>IFERROR(VLOOKUP(K483,PROGRAMAS[],2,FALSE),0)</f>
        <v>0</v>
      </c>
      <c r="Z483" s="246">
        <f>IFERROR(VLOOKUP(L483,PROGRAMAS[],2,FALSE),0)</f>
        <v>0</v>
      </c>
      <c r="AA483" s="246">
        <f>IFERROR(VLOOKUP(M483,PROGRAMAS[],2,FALSE),0)</f>
        <v>0</v>
      </c>
      <c r="AB483" s="246">
        <f>IFERROR(VLOOKUP(N483,PROGRAMAS[],2,FALSE),0)</f>
        <v>0</v>
      </c>
      <c r="AC483" s="246">
        <f>IFERROR(VLOOKUP(O483,PROGRAMAS[],2,FALSE),0)</f>
        <v>0</v>
      </c>
      <c r="AD483" s="246">
        <f>IFERROR(VLOOKUP(P483,PROGRAMAS[],2,FALSE),0)</f>
        <v>0</v>
      </c>
      <c r="AE483" s="246">
        <f>IFERROR(VLOOKUP(Q483,PROGRAMAS[],2,FALSE),0)</f>
        <v>0</v>
      </c>
      <c r="AF483" s="246">
        <f>IFERROR(VLOOKUP(D483,PROGRAMAS[],3,FALSE),0)</f>
        <v>841888629.31080008</v>
      </c>
      <c r="AG483" s="246">
        <f>IFERROR(VLOOKUP(E483,PROGRAMAS[],3,FALSE),0)</f>
        <v>3848980803.1642323</v>
      </c>
      <c r="AH483" s="246">
        <f>IFERROR(VLOOKUP(F483,PROGRAMAS[],3,FALSE),0)</f>
        <v>3394901471.387517</v>
      </c>
      <c r="AI483" s="246">
        <f>IFERROR(VLOOKUP(G483,PROGRAMAS[],3,FALSE),0)</f>
        <v>6129902208.7912121</v>
      </c>
      <c r="AJ483" s="246">
        <f>IFERROR(VLOOKUP(H483,PROGRAMAS[],3,FALSE),0)</f>
        <v>2392571243.5584412</v>
      </c>
      <c r="AK483" s="246">
        <f>IFERROR(VLOOKUP(I483,PROGRAMAS[],3,FALSE),0)</f>
        <v>31865326.38096505</v>
      </c>
      <c r="AL483" s="246">
        <f>IFERROR(VLOOKUP(J483,PROGRAMAS[],3,FALSE),0)</f>
        <v>118617452.52510804</v>
      </c>
      <c r="AM483" s="246">
        <f>IFERROR(VLOOKUP(K483,PROGRAMAS[],3,FALSE),0)</f>
        <v>0</v>
      </c>
      <c r="AN483" s="246">
        <f>IFERROR(VLOOKUP(L483,PROGRAMAS[],3,FALSE),0)</f>
        <v>0</v>
      </c>
      <c r="AO483" s="246">
        <f>IFERROR(VLOOKUP(M483,PROGRAMAS[],3,FALSE),0)</f>
        <v>0</v>
      </c>
      <c r="AP483" s="246">
        <f>IFERROR(VLOOKUP(N483,PROGRAMAS[],3,FALSE),0)</f>
        <v>0</v>
      </c>
      <c r="AQ483" s="246">
        <f>IFERROR(VLOOKUP(O483,PROGRAMAS[],3,FALSE),0)</f>
        <v>0</v>
      </c>
      <c r="AR483" s="246">
        <f>IFERROR(VLOOKUP(P483,PROGRAMAS[],3,FALSE),0)</f>
        <v>0</v>
      </c>
      <c r="AS483" s="246">
        <f>IFERROR(VLOOKUP(Q483,PROGRAMAS[],3,FALSE),0)</f>
        <v>0</v>
      </c>
      <c r="AT483" s="246">
        <f>IFERROR(VLOOKUP(D483,VOL_REC[],2,FALSE),0)</f>
        <v>0</v>
      </c>
      <c r="AU483" s="246">
        <f>IFERROR(VLOOKUP(E483,VOL_REC[],2,FALSE),0)</f>
        <v>0</v>
      </c>
      <c r="AV483" s="246">
        <f>IFERROR(VLOOKUP(F483,VOL_REC[],2,FALSE),0)</f>
        <v>11089674.200000001</v>
      </c>
      <c r="AW483" s="246">
        <f>IFERROR(VLOOKUP(G483,VOL_REC[],2,FALSE),0)</f>
        <v>15540036.397699751</v>
      </c>
      <c r="AX483" s="246">
        <f>IFERROR(VLOOKUP(H483,VOL_REC[],2,FALSE),0)</f>
        <v>663244.80000000016</v>
      </c>
      <c r="AY483" s="246">
        <f>IFERROR(VLOOKUP(I483,VOL_REC[],2,FALSE),0)</f>
        <v>17074.045034105649</v>
      </c>
      <c r="AZ483" s="246">
        <f>IFERROR(VLOOKUP(J483,VOL_REC[],2,FALSE),0)</f>
        <v>105072</v>
      </c>
      <c r="BA483" s="246">
        <f>IFERROR(VLOOKUP(K483,VOL_REC[],2,FALSE),0)</f>
        <v>0</v>
      </c>
      <c r="BB483" s="246">
        <f>IFERROR(VLOOKUP(L483,VOL_REC[],2,FALSE),0)</f>
        <v>0</v>
      </c>
      <c r="BC483" s="246">
        <f>IFERROR(VLOOKUP(M483,VOL_REC[],2,FALSE),0)</f>
        <v>0</v>
      </c>
      <c r="BD483" s="246">
        <f>IFERROR(VLOOKUP(N483,VOL_REC[],2,FALSE),0)</f>
        <v>0</v>
      </c>
      <c r="BE483" s="246">
        <f>IFERROR(VLOOKUP(O483,VOL_REC[],2,FALSE),0)</f>
        <v>0</v>
      </c>
      <c r="BF483" s="246">
        <f>IFERROR(VLOOKUP(P483,VOL_REC[],2,FALSE),0)</f>
        <v>0</v>
      </c>
      <c r="BG483" s="246">
        <f>IFERROR(VLOOKUP(Q483,VOL_REC[],2,FALSE),0)</f>
        <v>0</v>
      </c>
      <c r="BH483" s="1710">
        <f t="shared" si="28"/>
        <v>14660437677.428568</v>
      </c>
      <c r="BI483" s="1710">
        <f t="shared" si="29"/>
        <v>16758727135.118277</v>
      </c>
      <c r="BJ483" s="1711">
        <f t="shared" si="30"/>
        <v>27415101.442733862</v>
      </c>
      <c r="BK483" s="1711">
        <f t="shared" si="31"/>
        <v>0.87479422268934148</v>
      </c>
    </row>
    <row r="484" spans="3:67" x14ac:dyDescent="0.25">
      <c r="C484" s="246" t="s">
        <v>1834</v>
      </c>
      <c r="D484" s="246">
        <v>1</v>
      </c>
      <c r="E484" s="246">
        <v>2</v>
      </c>
      <c r="F484" s="246">
        <v>3</v>
      </c>
      <c r="G484" s="246">
        <v>6</v>
      </c>
      <c r="H484" s="246">
        <v>13</v>
      </c>
      <c r="I484" s="246">
        <v>14</v>
      </c>
      <c r="J484" s="246">
        <v>16</v>
      </c>
      <c r="K484" s="246"/>
      <c r="L484" s="246"/>
      <c r="M484" s="246"/>
      <c r="N484" s="246"/>
      <c r="O484" s="246"/>
      <c r="P484" s="246"/>
      <c r="Q484" s="246"/>
      <c r="R484" s="246">
        <f>IFERROR(VLOOKUP(D484,PROGRAMAS[],2,FALSE),0)</f>
        <v>97037803.679377079</v>
      </c>
      <c r="S484" s="246">
        <f>IFERROR(VLOOKUP(E484,PROGRAMAS[],2,FALSE),0)</f>
        <v>640501509.6821388</v>
      </c>
      <c r="T484" s="246">
        <f>IFERROR(VLOOKUP(F484,PROGRAMAS[],2,FALSE),0)</f>
        <v>3062327798.1525245</v>
      </c>
      <c r="U484" s="246">
        <f>IFERROR(VLOOKUP(G484,PROGRAMAS[],2,FALSE),0)</f>
        <v>6907648435.8447599</v>
      </c>
      <c r="V484" s="246">
        <f>IFERROR(VLOOKUP(H484,PROGRAMAS[],2,FALSE),0)</f>
        <v>3776538594.4604583</v>
      </c>
      <c r="W484" s="246">
        <f>IFERROR(VLOOKUP(I484,PROGRAMAS[],2,FALSE),0)</f>
        <v>54223862.645839565</v>
      </c>
      <c r="X484" s="246">
        <f>IFERROR(VLOOKUP(J484,PROGRAMAS[],2,FALSE),0)</f>
        <v>7068496961.0436354</v>
      </c>
      <c r="Y484" s="246">
        <f>IFERROR(VLOOKUP(K484,PROGRAMAS[],2,FALSE),0)</f>
        <v>0</v>
      </c>
      <c r="Z484" s="246">
        <f>IFERROR(VLOOKUP(L484,PROGRAMAS[],2,FALSE),0)</f>
        <v>0</v>
      </c>
      <c r="AA484" s="246">
        <f>IFERROR(VLOOKUP(M484,PROGRAMAS[],2,FALSE),0)</f>
        <v>0</v>
      </c>
      <c r="AB484" s="246">
        <f>IFERROR(VLOOKUP(N484,PROGRAMAS[],2,FALSE),0)</f>
        <v>0</v>
      </c>
      <c r="AC484" s="246">
        <f>IFERROR(VLOOKUP(O484,PROGRAMAS[],2,FALSE),0)</f>
        <v>0</v>
      </c>
      <c r="AD484" s="246">
        <f>IFERROR(VLOOKUP(P484,PROGRAMAS[],2,FALSE),0)</f>
        <v>0</v>
      </c>
      <c r="AE484" s="246">
        <f>IFERROR(VLOOKUP(Q484,PROGRAMAS[],2,FALSE),0)</f>
        <v>0</v>
      </c>
      <c r="AF484" s="246">
        <f>IFERROR(VLOOKUP(D484,PROGRAMAS[],3,FALSE),0)</f>
        <v>841888629.31080008</v>
      </c>
      <c r="AG484" s="246">
        <f>IFERROR(VLOOKUP(E484,PROGRAMAS[],3,FALSE),0)</f>
        <v>3848980803.1642323</v>
      </c>
      <c r="AH484" s="246">
        <f>IFERROR(VLOOKUP(F484,PROGRAMAS[],3,FALSE),0)</f>
        <v>3394901471.387517</v>
      </c>
      <c r="AI484" s="246">
        <f>IFERROR(VLOOKUP(G484,PROGRAMAS[],3,FALSE),0)</f>
        <v>6129902208.7912121</v>
      </c>
      <c r="AJ484" s="246">
        <f>IFERROR(VLOOKUP(H484,PROGRAMAS[],3,FALSE),0)</f>
        <v>2392571243.5584412</v>
      </c>
      <c r="AK484" s="246">
        <f>IFERROR(VLOOKUP(I484,PROGRAMAS[],3,FALSE),0)</f>
        <v>31865326.38096505</v>
      </c>
      <c r="AL484" s="246">
        <f>IFERROR(VLOOKUP(J484,PROGRAMAS[],3,FALSE),0)</f>
        <v>2406564599.0319901</v>
      </c>
      <c r="AM484" s="246">
        <f>IFERROR(VLOOKUP(K484,PROGRAMAS[],3,FALSE),0)</f>
        <v>0</v>
      </c>
      <c r="AN484" s="246">
        <f>IFERROR(VLOOKUP(L484,PROGRAMAS[],3,FALSE),0)</f>
        <v>0</v>
      </c>
      <c r="AO484" s="246">
        <f>IFERROR(VLOOKUP(M484,PROGRAMAS[],3,FALSE),0)</f>
        <v>0</v>
      </c>
      <c r="AP484" s="246">
        <f>IFERROR(VLOOKUP(N484,PROGRAMAS[],3,FALSE),0)</f>
        <v>0</v>
      </c>
      <c r="AQ484" s="246">
        <f>IFERROR(VLOOKUP(O484,PROGRAMAS[],3,FALSE),0)</f>
        <v>0</v>
      </c>
      <c r="AR484" s="246">
        <f>IFERROR(VLOOKUP(P484,PROGRAMAS[],3,FALSE),0)</f>
        <v>0</v>
      </c>
      <c r="AS484" s="246">
        <f>IFERROR(VLOOKUP(Q484,PROGRAMAS[],3,FALSE),0)</f>
        <v>0</v>
      </c>
      <c r="AT484" s="246">
        <f>IFERROR(VLOOKUP(D484,VOL_REC[],2,FALSE),0)</f>
        <v>0</v>
      </c>
      <c r="AU484" s="246">
        <f>IFERROR(VLOOKUP(E484,VOL_REC[],2,FALSE),0)</f>
        <v>0</v>
      </c>
      <c r="AV484" s="246">
        <f>IFERROR(VLOOKUP(F484,VOL_REC[],2,FALSE),0)</f>
        <v>11089674.200000001</v>
      </c>
      <c r="AW484" s="246">
        <f>IFERROR(VLOOKUP(G484,VOL_REC[],2,FALSE),0)</f>
        <v>15540036.397699751</v>
      </c>
      <c r="AX484" s="246">
        <f>IFERROR(VLOOKUP(H484,VOL_REC[],2,FALSE),0)</f>
        <v>663244.80000000016</v>
      </c>
      <c r="AY484" s="246">
        <f>IFERROR(VLOOKUP(I484,VOL_REC[],2,FALSE),0)</f>
        <v>17074.045034105649</v>
      </c>
      <c r="AZ484" s="246">
        <f>IFERROR(VLOOKUP(J484,VOL_REC[],2,FALSE),0)</f>
        <v>1072354.9981737854</v>
      </c>
      <c r="BA484" s="246">
        <f>IFERROR(VLOOKUP(K484,VOL_REC[],2,FALSE),0)</f>
        <v>0</v>
      </c>
      <c r="BB484" s="246">
        <f>IFERROR(VLOOKUP(L484,VOL_REC[],2,FALSE),0)</f>
        <v>0</v>
      </c>
      <c r="BC484" s="246">
        <f>IFERROR(VLOOKUP(M484,VOL_REC[],2,FALSE),0)</f>
        <v>0</v>
      </c>
      <c r="BD484" s="246">
        <f>IFERROR(VLOOKUP(N484,VOL_REC[],2,FALSE),0)</f>
        <v>0</v>
      </c>
      <c r="BE484" s="246">
        <f>IFERROR(VLOOKUP(O484,VOL_REC[],2,FALSE),0)</f>
        <v>0</v>
      </c>
      <c r="BF484" s="246">
        <f>IFERROR(VLOOKUP(P484,VOL_REC[],2,FALSE),0)</f>
        <v>0</v>
      </c>
      <c r="BG484" s="246">
        <f>IFERROR(VLOOKUP(Q484,VOL_REC[],2,FALSE),0)</f>
        <v>0</v>
      </c>
      <c r="BH484" s="1710">
        <f t="shared" si="28"/>
        <v>21606774965.508736</v>
      </c>
      <c r="BI484" s="1710">
        <f t="shared" si="29"/>
        <v>19046674281.62516</v>
      </c>
      <c r="BJ484" s="1711">
        <f t="shared" si="30"/>
        <v>28382384.440907646</v>
      </c>
      <c r="BK484" s="1711">
        <f t="shared" si="31"/>
        <v>1.1344119527656003</v>
      </c>
      <c r="BL484">
        <f>BJ484</f>
        <v>28382384.440907646</v>
      </c>
      <c r="BO484">
        <f>BL484</f>
        <v>28382384.440907646</v>
      </c>
    </row>
    <row r="485" spans="3:67" x14ac:dyDescent="0.25">
      <c r="C485" s="246" t="s">
        <v>1835</v>
      </c>
      <c r="D485" s="246">
        <v>1</v>
      </c>
      <c r="E485" s="246">
        <v>2</v>
      </c>
      <c r="F485" s="246">
        <v>3</v>
      </c>
      <c r="G485" s="246">
        <v>6</v>
      </c>
      <c r="H485" s="246">
        <v>13</v>
      </c>
      <c r="I485" s="246">
        <v>14</v>
      </c>
      <c r="J485" s="246">
        <v>17</v>
      </c>
      <c r="K485" s="246"/>
      <c r="L485" s="246"/>
      <c r="M485" s="246"/>
      <c r="N485" s="246"/>
      <c r="O485" s="246"/>
      <c r="P485" s="246"/>
      <c r="Q485" s="246"/>
      <c r="R485" s="246">
        <f>IFERROR(VLOOKUP(D485,PROGRAMAS[],2,FALSE),0)</f>
        <v>97037803.679377079</v>
      </c>
      <c r="S485" s="246">
        <f>IFERROR(VLOOKUP(E485,PROGRAMAS[],2,FALSE),0)</f>
        <v>640501509.6821388</v>
      </c>
      <c r="T485" s="246">
        <f>IFERROR(VLOOKUP(F485,PROGRAMAS[],2,FALSE),0)</f>
        <v>3062327798.1525245</v>
      </c>
      <c r="U485" s="246">
        <f>IFERROR(VLOOKUP(G485,PROGRAMAS[],2,FALSE),0)</f>
        <v>6907648435.8447599</v>
      </c>
      <c r="V485" s="246">
        <f>IFERROR(VLOOKUP(H485,PROGRAMAS[],2,FALSE),0)</f>
        <v>3776538594.4604583</v>
      </c>
      <c r="W485" s="246">
        <f>IFERROR(VLOOKUP(I485,PROGRAMAS[],2,FALSE),0)</f>
        <v>54223862.645839565</v>
      </c>
      <c r="X485" s="246">
        <f>IFERROR(VLOOKUP(J485,PROGRAMAS[],2,FALSE),0)</f>
        <v>1892779498.5211046</v>
      </c>
      <c r="Y485" s="246">
        <f>IFERROR(VLOOKUP(K485,PROGRAMAS[],2,FALSE),0)</f>
        <v>0</v>
      </c>
      <c r="Z485" s="246">
        <f>IFERROR(VLOOKUP(L485,PROGRAMAS[],2,FALSE),0)</f>
        <v>0</v>
      </c>
      <c r="AA485" s="246">
        <f>IFERROR(VLOOKUP(M485,PROGRAMAS[],2,FALSE),0)</f>
        <v>0</v>
      </c>
      <c r="AB485" s="246">
        <f>IFERROR(VLOOKUP(N485,PROGRAMAS[],2,FALSE),0)</f>
        <v>0</v>
      </c>
      <c r="AC485" s="246">
        <f>IFERROR(VLOOKUP(O485,PROGRAMAS[],2,FALSE),0)</f>
        <v>0</v>
      </c>
      <c r="AD485" s="246">
        <f>IFERROR(VLOOKUP(P485,PROGRAMAS[],2,FALSE),0)</f>
        <v>0</v>
      </c>
      <c r="AE485" s="246">
        <f>IFERROR(VLOOKUP(Q485,PROGRAMAS[],2,FALSE),0)</f>
        <v>0</v>
      </c>
      <c r="AF485" s="246">
        <f>IFERROR(VLOOKUP(D485,PROGRAMAS[],3,FALSE),0)</f>
        <v>841888629.31080008</v>
      </c>
      <c r="AG485" s="246">
        <f>IFERROR(VLOOKUP(E485,PROGRAMAS[],3,FALSE),0)</f>
        <v>3848980803.1642323</v>
      </c>
      <c r="AH485" s="246">
        <f>IFERROR(VLOOKUP(F485,PROGRAMAS[],3,FALSE),0)</f>
        <v>3394901471.387517</v>
      </c>
      <c r="AI485" s="246">
        <f>IFERROR(VLOOKUP(G485,PROGRAMAS[],3,FALSE),0)</f>
        <v>6129902208.7912121</v>
      </c>
      <c r="AJ485" s="246">
        <f>IFERROR(VLOOKUP(H485,PROGRAMAS[],3,FALSE),0)</f>
        <v>2392571243.5584412</v>
      </c>
      <c r="AK485" s="246">
        <f>IFERROR(VLOOKUP(I485,PROGRAMAS[],3,FALSE),0)</f>
        <v>31865326.38096505</v>
      </c>
      <c r="AL485" s="246">
        <f>IFERROR(VLOOKUP(J485,PROGRAMAS[],3,FALSE),0)</f>
        <v>948595847.09039903</v>
      </c>
      <c r="AM485" s="246">
        <f>IFERROR(VLOOKUP(K485,PROGRAMAS[],3,FALSE),0)</f>
        <v>0</v>
      </c>
      <c r="AN485" s="246">
        <f>IFERROR(VLOOKUP(L485,PROGRAMAS[],3,FALSE),0)</f>
        <v>0</v>
      </c>
      <c r="AO485" s="246">
        <f>IFERROR(VLOOKUP(M485,PROGRAMAS[],3,FALSE),0)</f>
        <v>0</v>
      </c>
      <c r="AP485" s="246">
        <f>IFERROR(VLOOKUP(N485,PROGRAMAS[],3,FALSE),0)</f>
        <v>0</v>
      </c>
      <c r="AQ485" s="246">
        <f>IFERROR(VLOOKUP(O485,PROGRAMAS[],3,FALSE),0)</f>
        <v>0</v>
      </c>
      <c r="AR485" s="246">
        <f>IFERROR(VLOOKUP(P485,PROGRAMAS[],3,FALSE),0)</f>
        <v>0</v>
      </c>
      <c r="AS485" s="246">
        <f>IFERROR(VLOOKUP(Q485,PROGRAMAS[],3,FALSE),0)</f>
        <v>0</v>
      </c>
      <c r="AT485" s="246">
        <f>IFERROR(VLOOKUP(D485,VOL_REC[],2,FALSE),0)</f>
        <v>0</v>
      </c>
      <c r="AU485" s="246">
        <f>IFERROR(VLOOKUP(E485,VOL_REC[],2,FALSE),0)</f>
        <v>0</v>
      </c>
      <c r="AV485" s="246">
        <f>IFERROR(VLOOKUP(F485,VOL_REC[],2,FALSE),0)</f>
        <v>11089674.200000001</v>
      </c>
      <c r="AW485" s="246">
        <f>IFERROR(VLOOKUP(G485,VOL_REC[],2,FALSE),0)</f>
        <v>15540036.397699751</v>
      </c>
      <c r="AX485" s="246">
        <f>IFERROR(VLOOKUP(H485,VOL_REC[],2,FALSE),0)</f>
        <v>663244.80000000016</v>
      </c>
      <c r="AY485" s="246">
        <f>IFERROR(VLOOKUP(I485,VOL_REC[],2,FALSE),0)</f>
        <v>17074.045034105649</v>
      </c>
      <c r="AZ485" s="246">
        <f>IFERROR(VLOOKUP(J485,VOL_REC[],2,FALSE),0)</f>
        <v>740113.98115702497</v>
      </c>
      <c r="BA485" s="246">
        <f>IFERROR(VLOOKUP(K485,VOL_REC[],2,FALSE),0)</f>
        <v>0</v>
      </c>
      <c r="BB485" s="246">
        <f>IFERROR(VLOOKUP(L485,VOL_REC[],2,FALSE),0)</f>
        <v>0</v>
      </c>
      <c r="BC485" s="246">
        <f>IFERROR(VLOOKUP(M485,VOL_REC[],2,FALSE),0)</f>
        <v>0</v>
      </c>
      <c r="BD485" s="246">
        <f>IFERROR(VLOOKUP(N485,VOL_REC[],2,FALSE),0)</f>
        <v>0</v>
      </c>
      <c r="BE485" s="246">
        <f>IFERROR(VLOOKUP(O485,VOL_REC[],2,FALSE),0)</f>
        <v>0</v>
      </c>
      <c r="BF485" s="246">
        <f>IFERROR(VLOOKUP(P485,VOL_REC[],2,FALSE),0)</f>
        <v>0</v>
      </c>
      <c r="BG485" s="246">
        <f>IFERROR(VLOOKUP(Q485,VOL_REC[],2,FALSE),0)</f>
        <v>0</v>
      </c>
      <c r="BH485" s="1710">
        <f t="shared" si="28"/>
        <v>16431057502.986204</v>
      </c>
      <c r="BI485" s="1710">
        <f t="shared" si="29"/>
        <v>17588705529.683567</v>
      </c>
      <c r="BJ485" s="1711">
        <f t="shared" si="30"/>
        <v>28050143.423890885</v>
      </c>
      <c r="BK485" s="1711">
        <f t="shared" si="31"/>
        <v>0.934182306665851</v>
      </c>
    </row>
    <row r="486" spans="3:67" x14ac:dyDescent="0.25">
      <c r="C486" s="246" t="s">
        <v>1836</v>
      </c>
      <c r="D486" s="246">
        <v>1</v>
      </c>
      <c r="E486" s="246">
        <v>2</v>
      </c>
      <c r="F486" s="246">
        <v>3</v>
      </c>
      <c r="G486" s="246">
        <v>6</v>
      </c>
      <c r="H486" s="246">
        <v>13</v>
      </c>
      <c r="I486" s="246">
        <v>15</v>
      </c>
      <c r="J486" s="246">
        <v>16</v>
      </c>
      <c r="K486" s="246"/>
      <c r="L486" s="246"/>
      <c r="M486" s="246"/>
      <c r="N486" s="246"/>
      <c r="O486" s="246"/>
      <c r="P486" s="246"/>
      <c r="Q486" s="246"/>
      <c r="R486" s="246">
        <f>IFERROR(VLOOKUP(D486,PROGRAMAS[],2,FALSE),0)</f>
        <v>97037803.679377079</v>
      </c>
      <c r="S486" s="246">
        <f>IFERROR(VLOOKUP(E486,PROGRAMAS[],2,FALSE),0)</f>
        <v>640501509.6821388</v>
      </c>
      <c r="T486" s="246">
        <f>IFERROR(VLOOKUP(F486,PROGRAMAS[],2,FALSE),0)</f>
        <v>3062327798.1525245</v>
      </c>
      <c r="U486" s="246">
        <f>IFERROR(VLOOKUP(G486,PROGRAMAS[],2,FALSE),0)</f>
        <v>6907648435.8447599</v>
      </c>
      <c r="V486" s="246">
        <f>IFERROR(VLOOKUP(H486,PROGRAMAS[],2,FALSE),0)</f>
        <v>3776538594.4604583</v>
      </c>
      <c r="W486" s="246">
        <f>IFERROR(VLOOKUP(I486,PROGRAMAS[],2,FALSE),0)</f>
        <v>122159672.96346797</v>
      </c>
      <c r="X486" s="246">
        <f>IFERROR(VLOOKUP(J486,PROGRAMAS[],2,FALSE),0)</f>
        <v>7068496961.0436354</v>
      </c>
      <c r="Y486" s="246">
        <f>IFERROR(VLOOKUP(K486,PROGRAMAS[],2,FALSE),0)</f>
        <v>0</v>
      </c>
      <c r="Z486" s="246">
        <f>IFERROR(VLOOKUP(L486,PROGRAMAS[],2,FALSE),0)</f>
        <v>0</v>
      </c>
      <c r="AA486" s="246">
        <f>IFERROR(VLOOKUP(M486,PROGRAMAS[],2,FALSE),0)</f>
        <v>0</v>
      </c>
      <c r="AB486" s="246">
        <f>IFERROR(VLOOKUP(N486,PROGRAMAS[],2,FALSE),0)</f>
        <v>0</v>
      </c>
      <c r="AC486" s="246">
        <f>IFERROR(VLOOKUP(O486,PROGRAMAS[],2,FALSE),0)</f>
        <v>0</v>
      </c>
      <c r="AD486" s="246">
        <f>IFERROR(VLOOKUP(P486,PROGRAMAS[],2,FALSE),0)</f>
        <v>0</v>
      </c>
      <c r="AE486" s="246">
        <f>IFERROR(VLOOKUP(Q486,PROGRAMAS[],2,FALSE),0)</f>
        <v>0</v>
      </c>
      <c r="AF486" s="246">
        <f>IFERROR(VLOOKUP(D486,PROGRAMAS[],3,FALSE),0)</f>
        <v>841888629.31080008</v>
      </c>
      <c r="AG486" s="246">
        <f>IFERROR(VLOOKUP(E486,PROGRAMAS[],3,FALSE),0)</f>
        <v>3848980803.1642323</v>
      </c>
      <c r="AH486" s="246">
        <f>IFERROR(VLOOKUP(F486,PROGRAMAS[],3,FALSE),0)</f>
        <v>3394901471.387517</v>
      </c>
      <c r="AI486" s="246">
        <f>IFERROR(VLOOKUP(G486,PROGRAMAS[],3,FALSE),0)</f>
        <v>6129902208.7912121</v>
      </c>
      <c r="AJ486" s="246">
        <f>IFERROR(VLOOKUP(H486,PROGRAMAS[],3,FALSE),0)</f>
        <v>2392571243.5584412</v>
      </c>
      <c r="AK486" s="246">
        <f>IFERROR(VLOOKUP(I486,PROGRAMAS[],3,FALSE),0)</f>
        <v>118617452.52510804</v>
      </c>
      <c r="AL486" s="246">
        <f>IFERROR(VLOOKUP(J486,PROGRAMAS[],3,FALSE),0)</f>
        <v>2406564599.0319901</v>
      </c>
      <c r="AM486" s="246">
        <f>IFERROR(VLOOKUP(K486,PROGRAMAS[],3,FALSE),0)</f>
        <v>0</v>
      </c>
      <c r="AN486" s="246">
        <f>IFERROR(VLOOKUP(L486,PROGRAMAS[],3,FALSE),0)</f>
        <v>0</v>
      </c>
      <c r="AO486" s="246">
        <f>IFERROR(VLOOKUP(M486,PROGRAMAS[],3,FALSE),0)</f>
        <v>0</v>
      </c>
      <c r="AP486" s="246">
        <f>IFERROR(VLOOKUP(N486,PROGRAMAS[],3,FALSE),0)</f>
        <v>0</v>
      </c>
      <c r="AQ486" s="246">
        <f>IFERROR(VLOOKUP(O486,PROGRAMAS[],3,FALSE),0)</f>
        <v>0</v>
      </c>
      <c r="AR486" s="246">
        <f>IFERROR(VLOOKUP(P486,PROGRAMAS[],3,FALSE),0)</f>
        <v>0</v>
      </c>
      <c r="AS486" s="246">
        <f>IFERROR(VLOOKUP(Q486,PROGRAMAS[],3,FALSE),0)</f>
        <v>0</v>
      </c>
      <c r="AT486" s="246">
        <f>IFERROR(VLOOKUP(D486,VOL_REC[],2,FALSE),0)</f>
        <v>0</v>
      </c>
      <c r="AU486" s="246">
        <f>IFERROR(VLOOKUP(E486,VOL_REC[],2,FALSE),0)</f>
        <v>0</v>
      </c>
      <c r="AV486" s="246">
        <f>IFERROR(VLOOKUP(F486,VOL_REC[],2,FALSE),0)</f>
        <v>11089674.200000001</v>
      </c>
      <c r="AW486" s="246">
        <f>IFERROR(VLOOKUP(G486,VOL_REC[],2,FALSE),0)</f>
        <v>15540036.397699751</v>
      </c>
      <c r="AX486" s="246">
        <f>IFERROR(VLOOKUP(H486,VOL_REC[],2,FALSE),0)</f>
        <v>663244.80000000016</v>
      </c>
      <c r="AY486" s="246">
        <f>IFERROR(VLOOKUP(I486,VOL_REC[],2,FALSE),0)</f>
        <v>105072</v>
      </c>
      <c r="AZ486" s="246">
        <f>IFERROR(VLOOKUP(J486,VOL_REC[],2,FALSE),0)</f>
        <v>1072354.9981737854</v>
      </c>
      <c r="BA486" s="246">
        <f>IFERROR(VLOOKUP(K486,VOL_REC[],2,FALSE),0)</f>
        <v>0</v>
      </c>
      <c r="BB486" s="246">
        <f>IFERROR(VLOOKUP(L486,VOL_REC[],2,FALSE),0)</f>
        <v>0</v>
      </c>
      <c r="BC486" s="246">
        <f>IFERROR(VLOOKUP(M486,VOL_REC[],2,FALSE),0)</f>
        <v>0</v>
      </c>
      <c r="BD486" s="246">
        <f>IFERROR(VLOOKUP(N486,VOL_REC[],2,FALSE),0)</f>
        <v>0</v>
      </c>
      <c r="BE486" s="246">
        <f>IFERROR(VLOOKUP(O486,VOL_REC[],2,FALSE),0)</f>
        <v>0</v>
      </c>
      <c r="BF486" s="246">
        <f>IFERROR(VLOOKUP(P486,VOL_REC[],2,FALSE),0)</f>
        <v>0</v>
      </c>
      <c r="BG486" s="246">
        <f>IFERROR(VLOOKUP(Q486,VOL_REC[],2,FALSE),0)</f>
        <v>0</v>
      </c>
      <c r="BH486" s="1710">
        <f t="shared" si="28"/>
        <v>21674710775.826363</v>
      </c>
      <c r="BI486" s="1710">
        <f t="shared" si="29"/>
        <v>19133426407.769302</v>
      </c>
      <c r="BJ486" s="1711">
        <f t="shared" si="30"/>
        <v>28470382.395873539</v>
      </c>
      <c r="BK486" s="1711">
        <f t="shared" si="31"/>
        <v>1.1328190943899703</v>
      </c>
      <c r="BL486">
        <f>BJ486</f>
        <v>28470382.395873539</v>
      </c>
      <c r="BO486">
        <f>BL486</f>
        <v>28470382.395873539</v>
      </c>
    </row>
    <row r="487" spans="3:67" x14ac:dyDescent="0.25">
      <c r="C487" s="246" t="s">
        <v>1837</v>
      </c>
      <c r="D487" s="246">
        <v>1</v>
      </c>
      <c r="E487" s="246">
        <v>2</v>
      </c>
      <c r="F487" s="246">
        <v>3</v>
      </c>
      <c r="G487" s="246">
        <v>6</v>
      </c>
      <c r="H487" s="246">
        <v>13</v>
      </c>
      <c r="I487" s="246">
        <v>15</v>
      </c>
      <c r="J487" s="246">
        <v>17</v>
      </c>
      <c r="K487" s="246"/>
      <c r="L487" s="246"/>
      <c r="M487" s="246"/>
      <c r="N487" s="246"/>
      <c r="O487" s="246"/>
      <c r="P487" s="246"/>
      <c r="Q487" s="246"/>
      <c r="R487" s="246">
        <f>IFERROR(VLOOKUP(D487,PROGRAMAS[],2,FALSE),0)</f>
        <v>97037803.679377079</v>
      </c>
      <c r="S487" s="246">
        <f>IFERROR(VLOOKUP(E487,PROGRAMAS[],2,FALSE),0)</f>
        <v>640501509.6821388</v>
      </c>
      <c r="T487" s="246">
        <f>IFERROR(VLOOKUP(F487,PROGRAMAS[],2,FALSE),0)</f>
        <v>3062327798.1525245</v>
      </c>
      <c r="U487" s="246">
        <f>IFERROR(VLOOKUP(G487,PROGRAMAS[],2,FALSE),0)</f>
        <v>6907648435.8447599</v>
      </c>
      <c r="V487" s="246">
        <f>IFERROR(VLOOKUP(H487,PROGRAMAS[],2,FALSE),0)</f>
        <v>3776538594.4604583</v>
      </c>
      <c r="W487" s="246">
        <f>IFERROR(VLOOKUP(I487,PROGRAMAS[],2,FALSE),0)</f>
        <v>122159672.96346797</v>
      </c>
      <c r="X487" s="246">
        <f>IFERROR(VLOOKUP(J487,PROGRAMAS[],2,FALSE),0)</f>
        <v>1892779498.5211046</v>
      </c>
      <c r="Y487" s="246">
        <f>IFERROR(VLOOKUP(K487,PROGRAMAS[],2,FALSE),0)</f>
        <v>0</v>
      </c>
      <c r="Z487" s="246">
        <f>IFERROR(VLOOKUP(L487,PROGRAMAS[],2,FALSE),0)</f>
        <v>0</v>
      </c>
      <c r="AA487" s="246">
        <f>IFERROR(VLOOKUP(M487,PROGRAMAS[],2,FALSE),0)</f>
        <v>0</v>
      </c>
      <c r="AB487" s="246">
        <f>IFERROR(VLOOKUP(N487,PROGRAMAS[],2,FALSE),0)</f>
        <v>0</v>
      </c>
      <c r="AC487" s="246">
        <f>IFERROR(VLOOKUP(O487,PROGRAMAS[],2,FALSE),0)</f>
        <v>0</v>
      </c>
      <c r="AD487" s="246">
        <f>IFERROR(VLOOKUP(P487,PROGRAMAS[],2,FALSE),0)</f>
        <v>0</v>
      </c>
      <c r="AE487" s="246">
        <f>IFERROR(VLOOKUP(Q487,PROGRAMAS[],2,FALSE),0)</f>
        <v>0</v>
      </c>
      <c r="AF487" s="246">
        <f>IFERROR(VLOOKUP(D487,PROGRAMAS[],3,FALSE),0)</f>
        <v>841888629.31080008</v>
      </c>
      <c r="AG487" s="246">
        <f>IFERROR(VLOOKUP(E487,PROGRAMAS[],3,FALSE),0)</f>
        <v>3848980803.1642323</v>
      </c>
      <c r="AH487" s="246">
        <f>IFERROR(VLOOKUP(F487,PROGRAMAS[],3,FALSE),0)</f>
        <v>3394901471.387517</v>
      </c>
      <c r="AI487" s="246">
        <f>IFERROR(VLOOKUP(G487,PROGRAMAS[],3,FALSE),0)</f>
        <v>6129902208.7912121</v>
      </c>
      <c r="AJ487" s="246">
        <f>IFERROR(VLOOKUP(H487,PROGRAMAS[],3,FALSE),0)</f>
        <v>2392571243.5584412</v>
      </c>
      <c r="AK487" s="246">
        <f>IFERROR(VLOOKUP(I487,PROGRAMAS[],3,FALSE),0)</f>
        <v>118617452.52510804</v>
      </c>
      <c r="AL487" s="246">
        <f>IFERROR(VLOOKUP(J487,PROGRAMAS[],3,FALSE),0)</f>
        <v>948595847.09039903</v>
      </c>
      <c r="AM487" s="246">
        <f>IFERROR(VLOOKUP(K487,PROGRAMAS[],3,FALSE),0)</f>
        <v>0</v>
      </c>
      <c r="AN487" s="246">
        <f>IFERROR(VLOOKUP(L487,PROGRAMAS[],3,FALSE),0)</f>
        <v>0</v>
      </c>
      <c r="AO487" s="246">
        <f>IFERROR(VLOOKUP(M487,PROGRAMAS[],3,FALSE),0)</f>
        <v>0</v>
      </c>
      <c r="AP487" s="246">
        <f>IFERROR(VLOOKUP(N487,PROGRAMAS[],3,FALSE),0)</f>
        <v>0</v>
      </c>
      <c r="AQ487" s="246">
        <f>IFERROR(VLOOKUP(O487,PROGRAMAS[],3,FALSE),0)</f>
        <v>0</v>
      </c>
      <c r="AR487" s="246">
        <f>IFERROR(VLOOKUP(P487,PROGRAMAS[],3,FALSE),0)</f>
        <v>0</v>
      </c>
      <c r="AS487" s="246">
        <f>IFERROR(VLOOKUP(Q487,PROGRAMAS[],3,FALSE),0)</f>
        <v>0</v>
      </c>
      <c r="AT487" s="246">
        <f>IFERROR(VLOOKUP(D487,VOL_REC[],2,FALSE),0)</f>
        <v>0</v>
      </c>
      <c r="AU487" s="246">
        <f>IFERROR(VLOOKUP(E487,VOL_REC[],2,FALSE),0)</f>
        <v>0</v>
      </c>
      <c r="AV487" s="246">
        <f>IFERROR(VLOOKUP(F487,VOL_REC[],2,FALSE),0)</f>
        <v>11089674.200000001</v>
      </c>
      <c r="AW487" s="246">
        <f>IFERROR(VLOOKUP(G487,VOL_REC[],2,FALSE),0)</f>
        <v>15540036.397699751</v>
      </c>
      <c r="AX487" s="246">
        <f>IFERROR(VLOOKUP(H487,VOL_REC[],2,FALSE),0)</f>
        <v>663244.80000000016</v>
      </c>
      <c r="AY487" s="246">
        <f>IFERROR(VLOOKUP(I487,VOL_REC[],2,FALSE),0)</f>
        <v>105072</v>
      </c>
      <c r="AZ487" s="246">
        <f>IFERROR(VLOOKUP(J487,VOL_REC[],2,FALSE),0)</f>
        <v>740113.98115702497</v>
      </c>
      <c r="BA487" s="246">
        <f>IFERROR(VLOOKUP(K487,VOL_REC[],2,FALSE),0)</f>
        <v>0</v>
      </c>
      <c r="BB487" s="246">
        <f>IFERROR(VLOOKUP(L487,VOL_REC[],2,FALSE),0)</f>
        <v>0</v>
      </c>
      <c r="BC487" s="246">
        <f>IFERROR(VLOOKUP(M487,VOL_REC[],2,FALSE),0)</f>
        <v>0</v>
      </c>
      <c r="BD487" s="246">
        <f>IFERROR(VLOOKUP(N487,VOL_REC[],2,FALSE),0)</f>
        <v>0</v>
      </c>
      <c r="BE487" s="246">
        <f>IFERROR(VLOOKUP(O487,VOL_REC[],2,FALSE),0)</f>
        <v>0</v>
      </c>
      <c r="BF487" s="246">
        <f>IFERROR(VLOOKUP(P487,VOL_REC[],2,FALSE),0)</f>
        <v>0</v>
      </c>
      <c r="BG487" s="246">
        <f>IFERROR(VLOOKUP(Q487,VOL_REC[],2,FALSE),0)</f>
        <v>0</v>
      </c>
      <c r="BH487" s="1710">
        <f t="shared" si="28"/>
        <v>16498993313.303833</v>
      </c>
      <c r="BI487" s="1710">
        <f t="shared" si="29"/>
        <v>17675457655.827713</v>
      </c>
      <c r="BJ487" s="1711">
        <f t="shared" si="30"/>
        <v>28138141.378856778</v>
      </c>
      <c r="BK487" s="1711">
        <f t="shared" si="31"/>
        <v>0.93344079879391462</v>
      </c>
    </row>
    <row r="488" spans="3:67" x14ac:dyDescent="0.25">
      <c r="C488" s="246" t="s">
        <v>1838</v>
      </c>
      <c r="D488" s="246">
        <v>1</v>
      </c>
      <c r="E488" s="246">
        <v>2</v>
      </c>
      <c r="F488" s="246">
        <v>3</v>
      </c>
      <c r="G488" s="246">
        <v>6</v>
      </c>
      <c r="H488" s="246">
        <v>13</v>
      </c>
      <c r="I488" s="246">
        <v>16</v>
      </c>
      <c r="J488" s="246">
        <v>17</v>
      </c>
      <c r="K488" s="246"/>
      <c r="L488" s="246"/>
      <c r="M488" s="246"/>
      <c r="N488" s="246"/>
      <c r="O488" s="246"/>
      <c r="P488" s="246"/>
      <c r="Q488" s="246"/>
      <c r="R488" s="246">
        <f>IFERROR(VLOOKUP(D488,PROGRAMAS[],2,FALSE),0)</f>
        <v>97037803.679377079</v>
      </c>
      <c r="S488" s="246">
        <f>IFERROR(VLOOKUP(E488,PROGRAMAS[],2,FALSE),0)</f>
        <v>640501509.6821388</v>
      </c>
      <c r="T488" s="246">
        <f>IFERROR(VLOOKUP(F488,PROGRAMAS[],2,FALSE),0)</f>
        <v>3062327798.1525245</v>
      </c>
      <c r="U488" s="246">
        <f>IFERROR(VLOOKUP(G488,PROGRAMAS[],2,FALSE),0)</f>
        <v>6907648435.8447599</v>
      </c>
      <c r="V488" s="246">
        <f>IFERROR(VLOOKUP(H488,PROGRAMAS[],2,FALSE),0)</f>
        <v>3776538594.4604583</v>
      </c>
      <c r="W488" s="246">
        <f>IFERROR(VLOOKUP(I488,PROGRAMAS[],2,FALSE),0)</f>
        <v>7068496961.0436354</v>
      </c>
      <c r="X488" s="246">
        <f>IFERROR(VLOOKUP(J488,PROGRAMAS[],2,FALSE),0)</f>
        <v>1892779498.5211046</v>
      </c>
      <c r="Y488" s="246">
        <f>IFERROR(VLOOKUP(K488,PROGRAMAS[],2,FALSE),0)</f>
        <v>0</v>
      </c>
      <c r="Z488" s="246">
        <f>IFERROR(VLOOKUP(L488,PROGRAMAS[],2,FALSE),0)</f>
        <v>0</v>
      </c>
      <c r="AA488" s="246">
        <f>IFERROR(VLOOKUP(M488,PROGRAMAS[],2,FALSE),0)</f>
        <v>0</v>
      </c>
      <c r="AB488" s="246">
        <f>IFERROR(VLOOKUP(N488,PROGRAMAS[],2,FALSE),0)</f>
        <v>0</v>
      </c>
      <c r="AC488" s="246">
        <f>IFERROR(VLOOKUP(O488,PROGRAMAS[],2,FALSE),0)</f>
        <v>0</v>
      </c>
      <c r="AD488" s="246">
        <f>IFERROR(VLOOKUP(P488,PROGRAMAS[],2,FALSE),0)</f>
        <v>0</v>
      </c>
      <c r="AE488" s="246">
        <f>IFERROR(VLOOKUP(Q488,PROGRAMAS[],2,FALSE),0)</f>
        <v>0</v>
      </c>
      <c r="AF488" s="246">
        <f>IFERROR(VLOOKUP(D488,PROGRAMAS[],3,FALSE),0)</f>
        <v>841888629.31080008</v>
      </c>
      <c r="AG488" s="246">
        <f>IFERROR(VLOOKUP(E488,PROGRAMAS[],3,FALSE),0)</f>
        <v>3848980803.1642323</v>
      </c>
      <c r="AH488" s="246">
        <f>IFERROR(VLOOKUP(F488,PROGRAMAS[],3,FALSE),0)</f>
        <v>3394901471.387517</v>
      </c>
      <c r="AI488" s="246">
        <f>IFERROR(VLOOKUP(G488,PROGRAMAS[],3,FALSE),0)</f>
        <v>6129902208.7912121</v>
      </c>
      <c r="AJ488" s="246">
        <f>IFERROR(VLOOKUP(H488,PROGRAMAS[],3,FALSE),0)</f>
        <v>2392571243.5584412</v>
      </c>
      <c r="AK488" s="246">
        <f>IFERROR(VLOOKUP(I488,PROGRAMAS[],3,FALSE),0)</f>
        <v>2406564599.0319901</v>
      </c>
      <c r="AL488" s="246">
        <f>IFERROR(VLOOKUP(J488,PROGRAMAS[],3,FALSE),0)</f>
        <v>948595847.09039903</v>
      </c>
      <c r="AM488" s="246">
        <f>IFERROR(VLOOKUP(K488,PROGRAMAS[],3,FALSE),0)</f>
        <v>0</v>
      </c>
      <c r="AN488" s="246">
        <f>IFERROR(VLOOKUP(L488,PROGRAMAS[],3,FALSE),0)</f>
        <v>0</v>
      </c>
      <c r="AO488" s="246">
        <f>IFERROR(VLOOKUP(M488,PROGRAMAS[],3,FALSE),0)</f>
        <v>0</v>
      </c>
      <c r="AP488" s="246">
        <f>IFERROR(VLOOKUP(N488,PROGRAMAS[],3,FALSE),0)</f>
        <v>0</v>
      </c>
      <c r="AQ488" s="246">
        <f>IFERROR(VLOOKUP(O488,PROGRAMAS[],3,FALSE),0)</f>
        <v>0</v>
      </c>
      <c r="AR488" s="246">
        <f>IFERROR(VLOOKUP(P488,PROGRAMAS[],3,FALSE),0)</f>
        <v>0</v>
      </c>
      <c r="AS488" s="246">
        <f>IFERROR(VLOOKUP(Q488,PROGRAMAS[],3,FALSE),0)</f>
        <v>0</v>
      </c>
      <c r="AT488" s="246">
        <f>IFERROR(VLOOKUP(D488,VOL_REC[],2,FALSE),0)</f>
        <v>0</v>
      </c>
      <c r="AU488" s="246">
        <f>IFERROR(VLOOKUP(E488,VOL_REC[],2,FALSE),0)</f>
        <v>0</v>
      </c>
      <c r="AV488" s="246">
        <f>IFERROR(VLOOKUP(F488,VOL_REC[],2,FALSE),0)</f>
        <v>11089674.200000001</v>
      </c>
      <c r="AW488" s="246">
        <f>IFERROR(VLOOKUP(G488,VOL_REC[],2,FALSE),0)</f>
        <v>15540036.397699751</v>
      </c>
      <c r="AX488" s="246">
        <f>IFERROR(VLOOKUP(H488,VOL_REC[],2,FALSE),0)</f>
        <v>663244.80000000016</v>
      </c>
      <c r="AY488" s="246">
        <f>IFERROR(VLOOKUP(I488,VOL_REC[],2,FALSE),0)</f>
        <v>1072354.9981737854</v>
      </c>
      <c r="AZ488" s="246">
        <f>IFERROR(VLOOKUP(J488,VOL_REC[],2,FALSE),0)</f>
        <v>740113.98115702497</v>
      </c>
      <c r="BA488" s="246">
        <f>IFERROR(VLOOKUP(K488,VOL_REC[],2,FALSE),0)</f>
        <v>0</v>
      </c>
      <c r="BB488" s="246">
        <f>IFERROR(VLOOKUP(L488,VOL_REC[],2,FALSE),0)</f>
        <v>0</v>
      </c>
      <c r="BC488" s="246">
        <f>IFERROR(VLOOKUP(M488,VOL_REC[],2,FALSE),0)</f>
        <v>0</v>
      </c>
      <c r="BD488" s="246">
        <f>IFERROR(VLOOKUP(N488,VOL_REC[],2,FALSE),0)</f>
        <v>0</v>
      </c>
      <c r="BE488" s="246">
        <f>IFERROR(VLOOKUP(O488,VOL_REC[],2,FALSE),0)</f>
        <v>0</v>
      </c>
      <c r="BF488" s="246">
        <f>IFERROR(VLOOKUP(P488,VOL_REC[],2,FALSE),0)</f>
        <v>0</v>
      </c>
      <c r="BG488" s="246">
        <f>IFERROR(VLOOKUP(Q488,VOL_REC[],2,FALSE),0)</f>
        <v>0</v>
      </c>
      <c r="BH488" s="1710">
        <f t="shared" si="28"/>
        <v>23445330601.383999</v>
      </c>
      <c r="BI488" s="1710">
        <f t="shared" si="29"/>
        <v>19963404802.334595</v>
      </c>
      <c r="BJ488" s="1711">
        <f t="shared" si="30"/>
        <v>29105424.377030563</v>
      </c>
      <c r="BK488" s="1711">
        <f t="shared" si="31"/>
        <v>1.1744154283062083</v>
      </c>
      <c r="BL488">
        <f>BJ488</f>
        <v>29105424.377030563</v>
      </c>
      <c r="BO488">
        <f>BL488</f>
        <v>29105424.377030563</v>
      </c>
    </row>
    <row r="489" spans="3:67" x14ac:dyDescent="0.25">
      <c r="C489" s="246" t="s">
        <v>1839</v>
      </c>
      <c r="D489" s="246">
        <v>1</v>
      </c>
      <c r="E489" s="246">
        <v>2</v>
      </c>
      <c r="F489" s="246">
        <v>3</v>
      </c>
      <c r="G489" s="246">
        <v>6</v>
      </c>
      <c r="H489" s="246">
        <v>14</v>
      </c>
      <c r="I489" s="246">
        <v>15</v>
      </c>
      <c r="J489" s="246">
        <v>16</v>
      </c>
      <c r="K489" s="246"/>
      <c r="L489" s="246"/>
      <c r="M489" s="246"/>
      <c r="N489" s="246"/>
      <c r="O489" s="246"/>
      <c r="P489" s="246"/>
      <c r="Q489" s="246"/>
      <c r="R489" s="246">
        <f>IFERROR(VLOOKUP(D489,PROGRAMAS[],2,FALSE),0)</f>
        <v>97037803.679377079</v>
      </c>
      <c r="S489" s="246">
        <f>IFERROR(VLOOKUP(E489,PROGRAMAS[],2,FALSE),0)</f>
        <v>640501509.6821388</v>
      </c>
      <c r="T489" s="246">
        <f>IFERROR(VLOOKUP(F489,PROGRAMAS[],2,FALSE),0)</f>
        <v>3062327798.1525245</v>
      </c>
      <c r="U489" s="246">
        <f>IFERROR(VLOOKUP(G489,PROGRAMAS[],2,FALSE),0)</f>
        <v>6907648435.8447599</v>
      </c>
      <c r="V489" s="246">
        <f>IFERROR(VLOOKUP(H489,PROGRAMAS[],2,FALSE),0)</f>
        <v>54223862.645839565</v>
      </c>
      <c r="W489" s="246">
        <f>IFERROR(VLOOKUP(I489,PROGRAMAS[],2,FALSE),0)</f>
        <v>122159672.96346797</v>
      </c>
      <c r="X489" s="246">
        <f>IFERROR(VLOOKUP(J489,PROGRAMAS[],2,FALSE),0)</f>
        <v>7068496961.0436354</v>
      </c>
      <c r="Y489" s="246">
        <f>IFERROR(VLOOKUP(K489,PROGRAMAS[],2,FALSE),0)</f>
        <v>0</v>
      </c>
      <c r="Z489" s="246">
        <f>IFERROR(VLOOKUP(L489,PROGRAMAS[],2,FALSE),0)</f>
        <v>0</v>
      </c>
      <c r="AA489" s="246">
        <f>IFERROR(VLOOKUP(M489,PROGRAMAS[],2,FALSE),0)</f>
        <v>0</v>
      </c>
      <c r="AB489" s="246">
        <f>IFERROR(VLOOKUP(N489,PROGRAMAS[],2,FALSE),0)</f>
        <v>0</v>
      </c>
      <c r="AC489" s="246">
        <f>IFERROR(VLOOKUP(O489,PROGRAMAS[],2,FALSE),0)</f>
        <v>0</v>
      </c>
      <c r="AD489" s="246">
        <f>IFERROR(VLOOKUP(P489,PROGRAMAS[],2,FALSE),0)</f>
        <v>0</v>
      </c>
      <c r="AE489" s="246">
        <f>IFERROR(VLOOKUP(Q489,PROGRAMAS[],2,FALSE),0)</f>
        <v>0</v>
      </c>
      <c r="AF489" s="246">
        <f>IFERROR(VLOOKUP(D489,PROGRAMAS[],3,FALSE),0)</f>
        <v>841888629.31080008</v>
      </c>
      <c r="AG489" s="246">
        <f>IFERROR(VLOOKUP(E489,PROGRAMAS[],3,FALSE),0)</f>
        <v>3848980803.1642323</v>
      </c>
      <c r="AH489" s="246">
        <f>IFERROR(VLOOKUP(F489,PROGRAMAS[],3,FALSE),0)</f>
        <v>3394901471.387517</v>
      </c>
      <c r="AI489" s="246">
        <f>IFERROR(VLOOKUP(G489,PROGRAMAS[],3,FALSE),0)</f>
        <v>6129902208.7912121</v>
      </c>
      <c r="AJ489" s="246">
        <f>IFERROR(VLOOKUP(H489,PROGRAMAS[],3,FALSE),0)</f>
        <v>31865326.38096505</v>
      </c>
      <c r="AK489" s="246">
        <f>IFERROR(VLOOKUP(I489,PROGRAMAS[],3,FALSE),0)</f>
        <v>118617452.52510804</v>
      </c>
      <c r="AL489" s="246">
        <f>IFERROR(VLOOKUP(J489,PROGRAMAS[],3,FALSE),0)</f>
        <v>2406564599.0319901</v>
      </c>
      <c r="AM489" s="246">
        <f>IFERROR(VLOOKUP(K489,PROGRAMAS[],3,FALSE),0)</f>
        <v>0</v>
      </c>
      <c r="AN489" s="246">
        <f>IFERROR(VLOOKUP(L489,PROGRAMAS[],3,FALSE),0)</f>
        <v>0</v>
      </c>
      <c r="AO489" s="246">
        <f>IFERROR(VLOOKUP(M489,PROGRAMAS[],3,FALSE),0)</f>
        <v>0</v>
      </c>
      <c r="AP489" s="246">
        <f>IFERROR(VLOOKUP(N489,PROGRAMAS[],3,FALSE),0)</f>
        <v>0</v>
      </c>
      <c r="AQ489" s="246">
        <f>IFERROR(VLOOKUP(O489,PROGRAMAS[],3,FALSE),0)</f>
        <v>0</v>
      </c>
      <c r="AR489" s="246">
        <f>IFERROR(VLOOKUP(P489,PROGRAMAS[],3,FALSE),0)</f>
        <v>0</v>
      </c>
      <c r="AS489" s="246">
        <f>IFERROR(VLOOKUP(Q489,PROGRAMAS[],3,FALSE),0)</f>
        <v>0</v>
      </c>
      <c r="AT489" s="246">
        <f>IFERROR(VLOOKUP(D489,VOL_REC[],2,FALSE),0)</f>
        <v>0</v>
      </c>
      <c r="AU489" s="246">
        <f>IFERROR(VLOOKUP(E489,VOL_REC[],2,FALSE),0)</f>
        <v>0</v>
      </c>
      <c r="AV489" s="246">
        <f>IFERROR(VLOOKUP(F489,VOL_REC[],2,FALSE),0)</f>
        <v>11089674.200000001</v>
      </c>
      <c r="AW489" s="246">
        <f>IFERROR(VLOOKUP(G489,VOL_REC[],2,FALSE),0)</f>
        <v>15540036.397699751</v>
      </c>
      <c r="AX489" s="246">
        <f>IFERROR(VLOOKUP(H489,VOL_REC[],2,FALSE),0)</f>
        <v>17074.045034105649</v>
      </c>
      <c r="AY489" s="246">
        <f>IFERROR(VLOOKUP(I489,VOL_REC[],2,FALSE),0)</f>
        <v>105072</v>
      </c>
      <c r="AZ489" s="246">
        <f>IFERROR(VLOOKUP(J489,VOL_REC[],2,FALSE),0)</f>
        <v>1072354.9981737854</v>
      </c>
      <c r="BA489" s="246">
        <f>IFERROR(VLOOKUP(K489,VOL_REC[],2,FALSE),0)</f>
        <v>0</v>
      </c>
      <c r="BB489" s="246">
        <f>IFERROR(VLOOKUP(L489,VOL_REC[],2,FALSE),0)</f>
        <v>0</v>
      </c>
      <c r="BC489" s="246">
        <f>IFERROR(VLOOKUP(M489,VOL_REC[],2,FALSE),0)</f>
        <v>0</v>
      </c>
      <c r="BD489" s="246">
        <f>IFERROR(VLOOKUP(N489,VOL_REC[],2,FALSE),0)</f>
        <v>0</v>
      </c>
      <c r="BE489" s="246">
        <f>IFERROR(VLOOKUP(O489,VOL_REC[],2,FALSE),0)</f>
        <v>0</v>
      </c>
      <c r="BF489" s="246">
        <f>IFERROR(VLOOKUP(P489,VOL_REC[],2,FALSE),0)</f>
        <v>0</v>
      </c>
      <c r="BG489" s="246">
        <f>IFERROR(VLOOKUP(Q489,VOL_REC[],2,FALSE),0)</f>
        <v>0</v>
      </c>
      <c r="BH489" s="1710">
        <f t="shared" si="28"/>
        <v>17952396044.011745</v>
      </c>
      <c r="BI489" s="1710">
        <f t="shared" si="29"/>
        <v>16772720490.591825</v>
      </c>
      <c r="BJ489" s="1711">
        <f t="shared" si="30"/>
        <v>27824211.640907645</v>
      </c>
      <c r="BK489" s="1711">
        <f t="shared" si="31"/>
        <v>1.0703329882639865</v>
      </c>
      <c r="BL489">
        <f>BJ489</f>
        <v>27824211.640907645</v>
      </c>
      <c r="BO489">
        <f>BL489</f>
        <v>27824211.640907645</v>
      </c>
    </row>
    <row r="490" spans="3:67" x14ac:dyDescent="0.25">
      <c r="C490" s="246" t="s">
        <v>1840</v>
      </c>
      <c r="D490" s="246">
        <v>1</v>
      </c>
      <c r="E490" s="246">
        <v>2</v>
      </c>
      <c r="F490" s="246">
        <v>3</v>
      </c>
      <c r="G490" s="246">
        <v>6</v>
      </c>
      <c r="H490" s="246">
        <v>14</v>
      </c>
      <c r="I490" s="246">
        <v>15</v>
      </c>
      <c r="J490" s="246">
        <v>17</v>
      </c>
      <c r="K490" s="246"/>
      <c r="L490" s="246"/>
      <c r="M490" s="246"/>
      <c r="N490" s="246"/>
      <c r="O490" s="246"/>
      <c r="P490" s="246"/>
      <c r="Q490" s="246"/>
      <c r="R490" s="246">
        <f>IFERROR(VLOOKUP(D490,PROGRAMAS[],2,FALSE),0)</f>
        <v>97037803.679377079</v>
      </c>
      <c r="S490" s="246">
        <f>IFERROR(VLOOKUP(E490,PROGRAMAS[],2,FALSE),0)</f>
        <v>640501509.6821388</v>
      </c>
      <c r="T490" s="246">
        <f>IFERROR(VLOOKUP(F490,PROGRAMAS[],2,FALSE),0)</f>
        <v>3062327798.1525245</v>
      </c>
      <c r="U490" s="246">
        <f>IFERROR(VLOOKUP(G490,PROGRAMAS[],2,FALSE),0)</f>
        <v>6907648435.8447599</v>
      </c>
      <c r="V490" s="246">
        <f>IFERROR(VLOOKUP(H490,PROGRAMAS[],2,FALSE),0)</f>
        <v>54223862.645839565</v>
      </c>
      <c r="W490" s="246">
        <f>IFERROR(VLOOKUP(I490,PROGRAMAS[],2,FALSE),0)</f>
        <v>122159672.96346797</v>
      </c>
      <c r="X490" s="246">
        <f>IFERROR(VLOOKUP(J490,PROGRAMAS[],2,FALSE),0)</f>
        <v>1892779498.5211046</v>
      </c>
      <c r="Y490" s="246">
        <f>IFERROR(VLOOKUP(K490,PROGRAMAS[],2,FALSE),0)</f>
        <v>0</v>
      </c>
      <c r="Z490" s="246">
        <f>IFERROR(VLOOKUP(L490,PROGRAMAS[],2,FALSE),0)</f>
        <v>0</v>
      </c>
      <c r="AA490" s="246">
        <f>IFERROR(VLOOKUP(M490,PROGRAMAS[],2,FALSE),0)</f>
        <v>0</v>
      </c>
      <c r="AB490" s="246">
        <f>IFERROR(VLOOKUP(N490,PROGRAMAS[],2,FALSE),0)</f>
        <v>0</v>
      </c>
      <c r="AC490" s="246">
        <f>IFERROR(VLOOKUP(O490,PROGRAMAS[],2,FALSE),0)</f>
        <v>0</v>
      </c>
      <c r="AD490" s="246">
        <f>IFERROR(VLOOKUP(P490,PROGRAMAS[],2,FALSE),0)</f>
        <v>0</v>
      </c>
      <c r="AE490" s="246">
        <f>IFERROR(VLOOKUP(Q490,PROGRAMAS[],2,FALSE),0)</f>
        <v>0</v>
      </c>
      <c r="AF490" s="246">
        <f>IFERROR(VLOOKUP(D490,PROGRAMAS[],3,FALSE),0)</f>
        <v>841888629.31080008</v>
      </c>
      <c r="AG490" s="246">
        <f>IFERROR(VLOOKUP(E490,PROGRAMAS[],3,FALSE),0)</f>
        <v>3848980803.1642323</v>
      </c>
      <c r="AH490" s="246">
        <f>IFERROR(VLOOKUP(F490,PROGRAMAS[],3,FALSE),0)</f>
        <v>3394901471.387517</v>
      </c>
      <c r="AI490" s="246">
        <f>IFERROR(VLOOKUP(G490,PROGRAMAS[],3,FALSE),0)</f>
        <v>6129902208.7912121</v>
      </c>
      <c r="AJ490" s="246">
        <f>IFERROR(VLOOKUP(H490,PROGRAMAS[],3,FALSE),0)</f>
        <v>31865326.38096505</v>
      </c>
      <c r="AK490" s="246">
        <f>IFERROR(VLOOKUP(I490,PROGRAMAS[],3,FALSE),0)</f>
        <v>118617452.52510804</v>
      </c>
      <c r="AL490" s="246">
        <f>IFERROR(VLOOKUP(J490,PROGRAMAS[],3,FALSE),0)</f>
        <v>948595847.09039903</v>
      </c>
      <c r="AM490" s="246">
        <f>IFERROR(VLOOKUP(K490,PROGRAMAS[],3,FALSE),0)</f>
        <v>0</v>
      </c>
      <c r="AN490" s="246">
        <f>IFERROR(VLOOKUP(L490,PROGRAMAS[],3,FALSE),0)</f>
        <v>0</v>
      </c>
      <c r="AO490" s="246">
        <f>IFERROR(VLOOKUP(M490,PROGRAMAS[],3,FALSE),0)</f>
        <v>0</v>
      </c>
      <c r="AP490" s="246">
        <f>IFERROR(VLOOKUP(N490,PROGRAMAS[],3,FALSE),0)</f>
        <v>0</v>
      </c>
      <c r="AQ490" s="246">
        <f>IFERROR(VLOOKUP(O490,PROGRAMAS[],3,FALSE),0)</f>
        <v>0</v>
      </c>
      <c r="AR490" s="246">
        <f>IFERROR(VLOOKUP(P490,PROGRAMAS[],3,FALSE),0)</f>
        <v>0</v>
      </c>
      <c r="AS490" s="246">
        <f>IFERROR(VLOOKUP(Q490,PROGRAMAS[],3,FALSE),0)</f>
        <v>0</v>
      </c>
      <c r="AT490" s="246">
        <f>IFERROR(VLOOKUP(D490,VOL_REC[],2,FALSE),0)</f>
        <v>0</v>
      </c>
      <c r="AU490" s="246">
        <f>IFERROR(VLOOKUP(E490,VOL_REC[],2,FALSE),0)</f>
        <v>0</v>
      </c>
      <c r="AV490" s="246">
        <f>IFERROR(VLOOKUP(F490,VOL_REC[],2,FALSE),0)</f>
        <v>11089674.200000001</v>
      </c>
      <c r="AW490" s="246">
        <f>IFERROR(VLOOKUP(G490,VOL_REC[],2,FALSE),0)</f>
        <v>15540036.397699751</v>
      </c>
      <c r="AX490" s="246">
        <f>IFERROR(VLOOKUP(H490,VOL_REC[],2,FALSE),0)</f>
        <v>17074.045034105649</v>
      </c>
      <c r="AY490" s="246">
        <f>IFERROR(VLOOKUP(I490,VOL_REC[],2,FALSE),0)</f>
        <v>105072</v>
      </c>
      <c r="AZ490" s="246">
        <f>IFERROR(VLOOKUP(J490,VOL_REC[],2,FALSE),0)</f>
        <v>740113.98115702497</v>
      </c>
      <c r="BA490" s="246">
        <f>IFERROR(VLOOKUP(K490,VOL_REC[],2,FALSE),0)</f>
        <v>0</v>
      </c>
      <c r="BB490" s="246">
        <f>IFERROR(VLOOKUP(L490,VOL_REC[],2,FALSE),0)</f>
        <v>0</v>
      </c>
      <c r="BC490" s="246">
        <f>IFERROR(VLOOKUP(M490,VOL_REC[],2,FALSE),0)</f>
        <v>0</v>
      </c>
      <c r="BD490" s="246">
        <f>IFERROR(VLOOKUP(N490,VOL_REC[],2,FALSE),0)</f>
        <v>0</v>
      </c>
      <c r="BE490" s="246">
        <f>IFERROR(VLOOKUP(O490,VOL_REC[],2,FALSE),0)</f>
        <v>0</v>
      </c>
      <c r="BF490" s="246">
        <f>IFERROR(VLOOKUP(P490,VOL_REC[],2,FALSE),0)</f>
        <v>0</v>
      </c>
      <c r="BG490" s="246">
        <f>IFERROR(VLOOKUP(Q490,VOL_REC[],2,FALSE),0)</f>
        <v>0</v>
      </c>
      <c r="BH490" s="1710">
        <f t="shared" si="28"/>
        <v>12776678581.489214</v>
      </c>
      <c r="BI490" s="1710">
        <f t="shared" si="29"/>
        <v>15314751738.650234</v>
      </c>
      <c r="BJ490" s="1711">
        <f t="shared" si="30"/>
        <v>27491970.623890884</v>
      </c>
      <c r="BK490" s="1711">
        <f t="shared" si="31"/>
        <v>0.83427265420466334</v>
      </c>
    </row>
    <row r="491" spans="3:67" x14ac:dyDescent="0.25">
      <c r="C491" s="246" t="s">
        <v>1841</v>
      </c>
      <c r="D491" s="246">
        <v>1</v>
      </c>
      <c r="E491" s="246">
        <v>2</v>
      </c>
      <c r="F491" s="246">
        <v>3</v>
      </c>
      <c r="G491" s="246">
        <v>6</v>
      </c>
      <c r="H491" s="246">
        <v>14</v>
      </c>
      <c r="I491" s="246">
        <v>16</v>
      </c>
      <c r="J491" s="246">
        <v>17</v>
      </c>
      <c r="K491" s="246"/>
      <c r="L491" s="246"/>
      <c r="M491" s="246"/>
      <c r="N491" s="246"/>
      <c r="O491" s="246"/>
      <c r="P491" s="246"/>
      <c r="Q491" s="246"/>
      <c r="R491" s="246">
        <f>IFERROR(VLOOKUP(D491,PROGRAMAS[],2,FALSE),0)</f>
        <v>97037803.679377079</v>
      </c>
      <c r="S491" s="246">
        <f>IFERROR(VLOOKUP(E491,PROGRAMAS[],2,FALSE),0)</f>
        <v>640501509.6821388</v>
      </c>
      <c r="T491" s="246">
        <f>IFERROR(VLOOKUP(F491,PROGRAMAS[],2,FALSE),0)</f>
        <v>3062327798.1525245</v>
      </c>
      <c r="U491" s="246">
        <f>IFERROR(VLOOKUP(G491,PROGRAMAS[],2,FALSE),0)</f>
        <v>6907648435.8447599</v>
      </c>
      <c r="V491" s="246">
        <f>IFERROR(VLOOKUP(H491,PROGRAMAS[],2,FALSE),0)</f>
        <v>54223862.645839565</v>
      </c>
      <c r="W491" s="246">
        <f>IFERROR(VLOOKUP(I491,PROGRAMAS[],2,FALSE),0)</f>
        <v>7068496961.0436354</v>
      </c>
      <c r="X491" s="246">
        <f>IFERROR(VLOOKUP(J491,PROGRAMAS[],2,FALSE),0)</f>
        <v>1892779498.5211046</v>
      </c>
      <c r="Y491" s="246">
        <f>IFERROR(VLOOKUP(K491,PROGRAMAS[],2,FALSE),0)</f>
        <v>0</v>
      </c>
      <c r="Z491" s="246">
        <f>IFERROR(VLOOKUP(L491,PROGRAMAS[],2,FALSE),0)</f>
        <v>0</v>
      </c>
      <c r="AA491" s="246">
        <f>IFERROR(VLOOKUP(M491,PROGRAMAS[],2,FALSE),0)</f>
        <v>0</v>
      </c>
      <c r="AB491" s="246">
        <f>IFERROR(VLOOKUP(N491,PROGRAMAS[],2,FALSE),0)</f>
        <v>0</v>
      </c>
      <c r="AC491" s="246">
        <f>IFERROR(VLOOKUP(O491,PROGRAMAS[],2,FALSE),0)</f>
        <v>0</v>
      </c>
      <c r="AD491" s="246">
        <f>IFERROR(VLOOKUP(P491,PROGRAMAS[],2,FALSE),0)</f>
        <v>0</v>
      </c>
      <c r="AE491" s="246">
        <f>IFERROR(VLOOKUP(Q491,PROGRAMAS[],2,FALSE),0)</f>
        <v>0</v>
      </c>
      <c r="AF491" s="246">
        <f>IFERROR(VLOOKUP(D491,PROGRAMAS[],3,FALSE),0)</f>
        <v>841888629.31080008</v>
      </c>
      <c r="AG491" s="246">
        <f>IFERROR(VLOOKUP(E491,PROGRAMAS[],3,FALSE),0)</f>
        <v>3848980803.1642323</v>
      </c>
      <c r="AH491" s="246">
        <f>IFERROR(VLOOKUP(F491,PROGRAMAS[],3,FALSE),0)</f>
        <v>3394901471.387517</v>
      </c>
      <c r="AI491" s="246">
        <f>IFERROR(VLOOKUP(G491,PROGRAMAS[],3,FALSE),0)</f>
        <v>6129902208.7912121</v>
      </c>
      <c r="AJ491" s="246">
        <f>IFERROR(VLOOKUP(H491,PROGRAMAS[],3,FALSE),0)</f>
        <v>31865326.38096505</v>
      </c>
      <c r="AK491" s="246">
        <f>IFERROR(VLOOKUP(I491,PROGRAMAS[],3,FALSE),0)</f>
        <v>2406564599.0319901</v>
      </c>
      <c r="AL491" s="246">
        <f>IFERROR(VLOOKUP(J491,PROGRAMAS[],3,FALSE),0)</f>
        <v>948595847.09039903</v>
      </c>
      <c r="AM491" s="246">
        <f>IFERROR(VLOOKUP(K491,PROGRAMAS[],3,FALSE),0)</f>
        <v>0</v>
      </c>
      <c r="AN491" s="246">
        <f>IFERROR(VLOOKUP(L491,PROGRAMAS[],3,FALSE),0)</f>
        <v>0</v>
      </c>
      <c r="AO491" s="246">
        <f>IFERROR(VLOOKUP(M491,PROGRAMAS[],3,FALSE),0)</f>
        <v>0</v>
      </c>
      <c r="AP491" s="246">
        <f>IFERROR(VLOOKUP(N491,PROGRAMAS[],3,FALSE),0)</f>
        <v>0</v>
      </c>
      <c r="AQ491" s="246">
        <f>IFERROR(VLOOKUP(O491,PROGRAMAS[],3,FALSE),0)</f>
        <v>0</v>
      </c>
      <c r="AR491" s="246">
        <f>IFERROR(VLOOKUP(P491,PROGRAMAS[],3,FALSE),0)</f>
        <v>0</v>
      </c>
      <c r="AS491" s="246">
        <f>IFERROR(VLOOKUP(Q491,PROGRAMAS[],3,FALSE),0)</f>
        <v>0</v>
      </c>
      <c r="AT491" s="246">
        <f>IFERROR(VLOOKUP(D491,VOL_REC[],2,FALSE),0)</f>
        <v>0</v>
      </c>
      <c r="AU491" s="246">
        <f>IFERROR(VLOOKUP(E491,VOL_REC[],2,FALSE),0)</f>
        <v>0</v>
      </c>
      <c r="AV491" s="246">
        <f>IFERROR(VLOOKUP(F491,VOL_REC[],2,FALSE),0)</f>
        <v>11089674.200000001</v>
      </c>
      <c r="AW491" s="246">
        <f>IFERROR(VLOOKUP(G491,VOL_REC[],2,FALSE),0)</f>
        <v>15540036.397699751</v>
      </c>
      <c r="AX491" s="246">
        <f>IFERROR(VLOOKUP(H491,VOL_REC[],2,FALSE),0)</f>
        <v>17074.045034105649</v>
      </c>
      <c r="AY491" s="246">
        <f>IFERROR(VLOOKUP(I491,VOL_REC[],2,FALSE),0)</f>
        <v>1072354.9981737854</v>
      </c>
      <c r="AZ491" s="246">
        <f>IFERROR(VLOOKUP(J491,VOL_REC[],2,FALSE),0)</f>
        <v>740113.98115702497</v>
      </c>
      <c r="BA491" s="246">
        <f>IFERROR(VLOOKUP(K491,VOL_REC[],2,FALSE),0)</f>
        <v>0</v>
      </c>
      <c r="BB491" s="246">
        <f>IFERROR(VLOOKUP(L491,VOL_REC[],2,FALSE),0)</f>
        <v>0</v>
      </c>
      <c r="BC491" s="246">
        <f>IFERROR(VLOOKUP(M491,VOL_REC[],2,FALSE),0)</f>
        <v>0</v>
      </c>
      <c r="BD491" s="246">
        <f>IFERROR(VLOOKUP(N491,VOL_REC[],2,FALSE),0)</f>
        <v>0</v>
      </c>
      <c r="BE491" s="246">
        <f>IFERROR(VLOOKUP(O491,VOL_REC[],2,FALSE),0)</f>
        <v>0</v>
      </c>
      <c r="BF491" s="246">
        <f>IFERROR(VLOOKUP(P491,VOL_REC[],2,FALSE),0)</f>
        <v>0</v>
      </c>
      <c r="BG491" s="246">
        <f>IFERROR(VLOOKUP(Q491,VOL_REC[],2,FALSE),0)</f>
        <v>0</v>
      </c>
      <c r="BH491" s="1710">
        <f t="shared" si="28"/>
        <v>19723015869.569378</v>
      </c>
      <c r="BI491" s="1710">
        <f t="shared" si="29"/>
        <v>17602698885.157116</v>
      </c>
      <c r="BJ491" s="1711">
        <f t="shared" si="30"/>
        <v>28459253.622064669</v>
      </c>
      <c r="BK491" s="1711">
        <f t="shared" si="31"/>
        <v>1.1204540848108324</v>
      </c>
      <c r="BL491">
        <f>BJ491</f>
        <v>28459253.622064669</v>
      </c>
      <c r="BO491">
        <f>BL491</f>
        <v>28459253.622064669</v>
      </c>
    </row>
    <row r="492" spans="3:67" x14ac:dyDescent="0.25">
      <c r="C492" s="246" t="s">
        <v>1842</v>
      </c>
      <c r="D492" s="246">
        <v>1</v>
      </c>
      <c r="E492" s="246">
        <v>2</v>
      </c>
      <c r="F492" s="246">
        <v>3</v>
      </c>
      <c r="G492" s="246">
        <v>6</v>
      </c>
      <c r="H492" s="246">
        <v>15</v>
      </c>
      <c r="I492" s="246">
        <v>16</v>
      </c>
      <c r="J492" s="246">
        <v>17</v>
      </c>
      <c r="K492" s="246"/>
      <c r="L492" s="246"/>
      <c r="M492" s="246"/>
      <c r="N492" s="246"/>
      <c r="O492" s="246"/>
      <c r="P492" s="246"/>
      <c r="Q492" s="246"/>
      <c r="R492" s="246">
        <f>IFERROR(VLOOKUP(D492,PROGRAMAS[],2,FALSE),0)</f>
        <v>97037803.679377079</v>
      </c>
      <c r="S492" s="246">
        <f>IFERROR(VLOOKUP(E492,PROGRAMAS[],2,FALSE),0)</f>
        <v>640501509.6821388</v>
      </c>
      <c r="T492" s="246">
        <f>IFERROR(VLOOKUP(F492,PROGRAMAS[],2,FALSE),0)</f>
        <v>3062327798.1525245</v>
      </c>
      <c r="U492" s="246">
        <f>IFERROR(VLOOKUP(G492,PROGRAMAS[],2,FALSE),0)</f>
        <v>6907648435.8447599</v>
      </c>
      <c r="V492" s="246">
        <f>IFERROR(VLOOKUP(H492,PROGRAMAS[],2,FALSE),0)</f>
        <v>122159672.96346797</v>
      </c>
      <c r="W492" s="246">
        <f>IFERROR(VLOOKUP(I492,PROGRAMAS[],2,FALSE),0)</f>
        <v>7068496961.0436354</v>
      </c>
      <c r="X492" s="246">
        <f>IFERROR(VLOOKUP(J492,PROGRAMAS[],2,FALSE),0)</f>
        <v>1892779498.5211046</v>
      </c>
      <c r="Y492" s="246">
        <f>IFERROR(VLOOKUP(K492,PROGRAMAS[],2,FALSE),0)</f>
        <v>0</v>
      </c>
      <c r="Z492" s="246">
        <f>IFERROR(VLOOKUP(L492,PROGRAMAS[],2,FALSE),0)</f>
        <v>0</v>
      </c>
      <c r="AA492" s="246">
        <f>IFERROR(VLOOKUP(M492,PROGRAMAS[],2,FALSE),0)</f>
        <v>0</v>
      </c>
      <c r="AB492" s="246">
        <f>IFERROR(VLOOKUP(N492,PROGRAMAS[],2,FALSE),0)</f>
        <v>0</v>
      </c>
      <c r="AC492" s="246">
        <f>IFERROR(VLOOKUP(O492,PROGRAMAS[],2,FALSE),0)</f>
        <v>0</v>
      </c>
      <c r="AD492" s="246">
        <f>IFERROR(VLOOKUP(P492,PROGRAMAS[],2,FALSE),0)</f>
        <v>0</v>
      </c>
      <c r="AE492" s="246">
        <f>IFERROR(VLOOKUP(Q492,PROGRAMAS[],2,FALSE),0)</f>
        <v>0</v>
      </c>
      <c r="AF492" s="246">
        <f>IFERROR(VLOOKUP(D492,PROGRAMAS[],3,FALSE),0)</f>
        <v>841888629.31080008</v>
      </c>
      <c r="AG492" s="246">
        <f>IFERROR(VLOOKUP(E492,PROGRAMAS[],3,FALSE),0)</f>
        <v>3848980803.1642323</v>
      </c>
      <c r="AH492" s="246">
        <f>IFERROR(VLOOKUP(F492,PROGRAMAS[],3,FALSE),0)</f>
        <v>3394901471.387517</v>
      </c>
      <c r="AI492" s="246">
        <f>IFERROR(VLOOKUP(G492,PROGRAMAS[],3,FALSE),0)</f>
        <v>6129902208.7912121</v>
      </c>
      <c r="AJ492" s="246">
        <f>IFERROR(VLOOKUP(H492,PROGRAMAS[],3,FALSE),0)</f>
        <v>118617452.52510804</v>
      </c>
      <c r="AK492" s="246">
        <f>IFERROR(VLOOKUP(I492,PROGRAMAS[],3,FALSE),0)</f>
        <v>2406564599.0319901</v>
      </c>
      <c r="AL492" s="246">
        <f>IFERROR(VLOOKUP(J492,PROGRAMAS[],3,FALSE),0)</f>
        <v>948595847.09039903</v>
      </c>
      <c r="AM492" s="246">
        <f>IFERROR(VLOOKUP(K492,PROGRAMAS[],3,FALSE),0)</f>
        <v>0</v>
      </c>
      <c r="AN492" s="246">
        <f>IFERROR(VLOOKUP(L492,PROGRAMAS[],3,FALSE),0)</f>
        <v>0</v>
      </c>
      <c r="AO492" s="246">
        <f>IFERROR(VLOOKUP(M492,PROGRAMAS[],3,FALSE),0)</f>
        <v>0</v>
      </c>
      <c r="AP492" s="246">
        <f>IFERROR(VLOOKUP(N492,PROGRAMAS[],3,FALSE),0)</f>
        <v>0</v>
      </c>
      <c r="AQ492" s="246">
        <f>IFERROR(VLOOKUP(O492,PROGRAMAS[],3,FALSE),0)</f>
        <v>0</v>
      </c>
      <c r="AR492" s="246">
        <f>IFERROR(VLOOKUP(P492,PROGRAMAS[],3,FALSE),0)</f>
        <v>0</v>
      </c>
      <c r="AS492" s="246">
        <f>IFERROR(VLOOKUP(Q492,PROGRAMAS[],3,FALSE),0)</f>
        <v>0</v>
      </c>
      <c r="AT492" s="246">
        <f>IFERROR(VLOOKUP(D492,VOL_REC[],2,FALSE),0)</f>
        <v>0</v>
      </c>
      <c r="AU492" s="246">
        <f>IFERROR(VLOOKUP(E492,VOL_REC[],2,FALSE),0)</f>
        <v>0</v>
      </c>
      <c r="AV492" s="246">
        <f>IFERROR(VLOOKUP(F492,VOL_REC[],2,FALSE),0)</f>
        <v>11089674.200000001</v>
      </c>
      <c r="AW492" s="246">
        <f>IFERROR(VLOOKUP(G492,VOL_REC[],2,FALSE),0)</f>
        <v>15540036.397699751</v>
      </c>
      <c r="AX492" s="246">
        <f>IFERROR(VLOOKUP(H492,VOL_REC[],2,FALSE),0)</f>
        <v>105072</v>
      </c>
      <c r="AY492" s="246">
        <f>IFERROR(VLOOKUP(I492,VOL_REC[],2,FALSE),0)</f>
        <v>1072354.9981737854</v>
      </c>
      <c r="AZ492" s="246">
        <f>IFERROR(VLOOKUP(J492,VOL_REC[],2,FALSE),0)</f>
        <v>740113.98115702497</v>
      </c>
      <c r="BA492" s="246">
        <f>IFERROR(VLOOKUP(K492,VOL_REC[],2,FALSE),0)</f>
        <v>0</v>
      </c>
      <c r="BB492" s="246">
        <f>IFERROR(VLOOKUP(L492,VOL_REC[],2,FALSE),0)</f>
        <v>0</v>
      </c>
      <c r="BC492" s="246">
        <f>IFERROR(VLOOKUP(M492,VOL_REC[],2,FALSE),0)</f>
        <v>0</v>
      </c>
      <c r="BD492" s="246">
        <f>IFERROR(VLOOKUP(N492,VOL_REC[],2,FALSE),0)</f>
        <v>0</v>
      </c>
      <c r="BE492" s="246">
        <f>IFERROR(VLOOKUP(O492,VOL_REC[],2,FALSE),0)</f>
        <v>0</v>
      </c>
      <c r="BF492" s="246">
        <f>IFERROR(VLOOKUP(P492,VOL_REC[],2,FALSE),0)</f>
        <v>0</v>
      </c>
      <c r="BG492" s="246">
        <f>IFERROR(VLOOKUP(Q492,VOL_REC[],2,FALSE),0)</f>
        <v>0</v>
      </c>
      <c r="BH492" s="1710">
        <f t="shared" si="28"/>
        <v>19790951679.887009</v>
      </c>
      <c r="BI492" s="1710">
        <f t="shared" si="29"/>
        <v>17689451011.301262</v>
      </c>
      <c r="BJ492" s="1711">
        <f t="shared" si="30"/>
        <v>28547251.577030562</v>
      </c>
      <c r="BK492" s="1711">
        <f t="shared" si="31"/>
        <v>1.1187996545083938</v>
      </c>
      <c r="BL492">
        <f>BJ492</f>
        <v>28547251.577030562</v>
      </c>
      <c r="BO492">
        <f>BL492</f>
        <v>28547251.577030562</v>
      </c>
    </row>
    <row r="493" spans="3:67" x14ac:dyDescent="0.25">
      <c r="C493" s="246" t="s">
        <v>1843</v>
      </c>
      <c r="D493" s="246">
        <v>1</v>
      </c>
      <c r="E493" s="246">
        <v>2</v>
      </c>
      <c r="F493" s="246">
        <v>3</v>
      </c>
      <c r="G493" s="246">
        <v>9</v>
      </c>
      <c r="H493" s="246">
        <v>10</v>
      </c>
      <c r="I493" s="246">
        <v>12</v>
      </c>
      <c r="J493" s="246">
        <v>13</v>
      </c>
      <c r="K493" s="246"/>
      <c r="L493" s="246"/>
      <c r="M493" s="246"/>
      <c r="N493" s="246"/>
      <c r="O493" s="246"/>
      <c r="P493" s="246"/>
      <c r="Q493" s="246"/>
      <c r="R493" s="246">
        <f>IFERROR(VLOOKUP(D493,PROGRAMAS[],2,FALSE),0)</f>
        <v>97037803.679377079</v>
      </c>
      <c r="S493" s="246">
        <f>IFERROR(VLOOKUP(E493,PROGRAMAS[],2,FALSE),0)</f>
        <v>640501509.6821388</v>
      </c>
      <c r="T493" s="246">
        <f>IFERROR(VLOOKUP(F493,PROGRAMAS[],2,FALSE),0)</f>
        <v>3062327798.1525245</v>
      </c>
      <c r="U493" s="246">
        <f>IFERROR(VLOOKUP(G493,PROGRAMAS[],2,FALSE),0)</f>
        <v>6128579952.1618185</v>
      </c>
      <c r="V493" s="246">
        <f>IFERROR(VLOOKUP(H493,PROGRAMAS[],2,FALSE),0)</f>
        <v>4635315027.8751087</v>
      </c>
      <c r="W493" s="246">
        <f>IFERROR(VLOOKUP(I493,PROGRAMAS[],2,FALSE),0)</f>
        <v>764796700.79905891</v>
      </c>
      <c r="X493" s="246">
        <f>IFERROR(VLOOKUP(J493,PROGRAMAS[],2,FALSE),0)</f>
        <v>3776538594.4604583</v>
      </c>
      <c r="Y493" s="246">
        <f>IFERROR(VLOOKUP(K493,PROGRAMAS[],2,FALSE),0)</f>
        <v>0</v>
      </c>
      <c r="Z493" s="246">
        <f>IFERROR(VLOOKUP(L493,PROGRAMAS[],2,FALSE),0)</f>
        <v>0</v>
      </c>
      <c r="AA493" s="246">
        <f>IFERROR(VLOOKUP(M493,PROGRAMAS[],2,FALSE),0)</f>
        <v>0</v>
      </c>
      <c r="AB493" s="246">
        <f>IFERROR(VLOOKUP(N493,PROGRAMAS[],2,FALSE),0)</f>
        <v>0</v>
      </c>
      <c r="AC493" s="246">
        <f>IFERROR(VLOOKUP(O493,PROGRAMAS[],2,FALSE),0)</f>
        <v>0</v>
      </c>
      <c r="AD493" s="246">
        <f>IFERROR(VLOOKUP(P493,PROGRAMAS[],2,FALSE),0)</f>
        <v>0</v>
      </c>
      <c r="AE493" s="246">
        <f>IFERROR(VLOOKUP(Q493,PROGRAMAS[],2,FALSE),0)</f>
        <v>0</v>
      </c>
      <c r="AF493" s="246">
        <f>IFERROR(VLOOKUP(D493,PROGRAMAS[],3,FALSE),0)</f>
        <v>841888629.31080008</v>
      </c>
      <c r="AG493" s="246">
        <f>IFERROR(VLOOKUP(E493,PROGRAMAS[],3,FALSE),0)</f>
        <v>3848980803.1642323</v>
      </c>
      <c r="AH493" s="246">
        <f>IFERROR(VLOOKUP(F493,PROGRAMAS[],3,FALSE),0)</f>
        <v>3394901471.387517</v>
      </c>
      <c r="AI493" s="246">
        <f>IFERROR(VLOOKUP(G493,PROGRAMAS[],3,FALSE),0)</f>
        <v>7011279577.519702</v>
      </c>
      <c r="AJ493" s="246">
        <f>IFERROR(VLOOKUP(H493,PROGRAMAS[],3,FALSE),0)</f>
        <v>4099471734.9978786</v>
      </c>
      <c r="AK493" s="246">
        <f>IFERROR(VLOOKUP(I493,PROGRAMAS[],3,FALSE),0)</f>
        <v>675517840.109828</v>
      </c>
      <c r="AL493" s="246">
        <f>IFERROR(VLOOKUP(J493,PROGRAMAS[],3,FALSE),0)</f>
        <v>2392571243.5584412</v>
      </c>
      <c r="AM493" s="246">
        <f>IFERROR(VLOOKUP(K493,PROGRAMAS[],3,FALSE),0)</f>
        <v>0</v>
      </c>
      <c r="AN493" s="246">
        <f>IFERROR(VLOOKUP(L493,PROGRAMAS[],3,FALSE),0)</f>
        <v>0</v>
      </c>
      <c r="AO493" s="246">
        <f>IFERROR(VLOOKUP(M493,PROGRAMAS[],3,FALSE),0)</f>
        <v>0</v>
      </c>
      <c r="AP493" s="246">
        <f>IFERROR(VLOOKUP(N493,PROGRAMAS[],3,FALSE),0)</f>
        <v>0</v>
      </c>
      <c r="AQ493" s="246">
        <f>IFERROR(VLOOKUP(O493,PROGRAMAS[],3,FALSE),0)</f>
        <v>0</v>
      </c>
      <c r="AR493" s="246">
        <f>IFERROR(VLOOKUP(P493,PROGRAMAS[],3,FALSE),0)</f>
        <v>0</v>
      </c>
      <c r="AS493" s="246">
        <f>IFERROR(VLOOKUP(Q493,PROGRAMAS[],3,FALSE),0)</f>
        <v>0</v>
      </c>
      <c r="AT493" s="246">
        <f>IFERROR(VLOOKUP(D493,VOL_REC[],2,FALSE),0)</f>
        <v>0</v>
      </c>
      <c r="AU493" s="246">
        <f>IFERROR(VLOOKUP(E493,VOL_REC[],2,FALSE),0)</f>
        <v>0</v>
      </c>
      <c r="AV493" s="246">
        <f>IFERROR(VLOOKUP(F493,VOL_REC[],2,FALSE),0)</f>
        <v>11089674.200000001</v>
      </c>
      <c r="AW493" s="246">
        <f>IFERROR(VLOOKUP(G493,VOL_REC[],2,FALSE),0)</f>
        <v>3761786</v>
      </c>
      <c r="AX493" s="246">
        <f>IFERROR(VLOOKUP(H493,VOL_REC[],2,FALSE),0)</f>
        <v>1812240</v>
      </c>
      <c r="AY493" s="246">
        <f>IFERROR(VLOOKUP(I493,VOL_REC[],2,FALSE),0)</f>
        <v>240696.79238099116</v>
      </c>
      <c r="AZ493" s="246">
        <f>IFERROR(VLOOKUP(J493,VOL_REC[],2,FALSE),0)</f>
        <v>663244.80000000016</v>
      </c>
      <c r="BA493" s="246">
        <f>IFERROR(VLOOKUP(K493,VOL_REC[],2,FALSE),0)</f>
        <v>0</v>
      </c>
      <c r="BB493" s="246">
        <f>IFERROR(VLOOKUP(L493,VOL_REC[],2,FALSE),0)</f>
        <v>0</v>
      </c>
      <c r="BC493" s="246">
        <f>IFERROR(VLOOKUP(M493,VOL_REC[],2,FALSE),0)</f>
        <v>0</v>
      </c>
      <c r="BD493" s="246">
        <f>IFERROR(VLOOKUP(N493,VOL_REC[],2,FALSE),0)</f>
        <v>0</v>
      </c>
      <c r="BE493" s="246">
        <f>IFERROR(VLOOKUP(O493,VOL_REC[],2,FALSE),0)</f>
        <v>0</v>
      </c>
      <c r="BF493" s="246">
        <f>IFERROR(VLOOKUP(P493,VOL_REC[],2,FALSE),0)</f>
        <v>0</v>
      </c>
      <c r="BG493" s="246">
        <f>IFERROR(VLOOKUP(Q493,VOL_REC[],2,FALSE),0)</f>
        <v>0</v>
      </c>
      <c r="BH493" s="1710">
        <f t="shared" si="28"/>
        <v>19105097386.810486</v>
      </c>
      <c r="BI493" s="1710">
        <f t="shared" si="29"/>
        <v>22264611300.048401</v>
      </c>
      <c r="BJ493" s="1711">
        <f t="shared" si="30"/>
        <v>17567641.792380992</v>
      </c>
      <c r="BK493" s="1711">
        <f t="shared" si="31"/>
        <v>0.85809256354585239</v>
      </c>
    </row>
    <row r="494" spans="3:67" x14ac:dyDescent="0.25">
      <c r="C494" s="246" t="s">
        <v>1844</v>
      </c>
      <c r="D494" s="246">
        <v>1</v>
      </c>
      <c r="E494" s="246">
        <v>2</v>
      </c>
      <c r="F494" s="246">
        <v>3</v>
      </c>
      <c r="G494" s="246">
        <v>9</v>
      </c>
      <c r="H494" s="246">
        <v>10</v>
      </c>
      <c r="I494" s="246">
        <v>12</v>
      </c>
      <c r="J494" s="246">
        <v>14</v>
      </c>
      <c r="K494" s="246"/>
      <c r="L494" s="246"/>
      <c r="M494" s="246"/>
      <c r="N494" s="246"/>
      <c r="O494" s="246"/>
      <c r="P494" s="246"/>
      <c r="Q494" s="246"/>
      <c r="R494" s="246">
        <f>IFERROR(VLOOKUP(D494,PROGRAMAS[],2,FALSE),0)</f>
        <v>97037803.679377079</v>
      </c>
      <c r="S494" s="246">
        <f>IFERROR(VLOOKUP(E494,PROGRAMAS[],2,FALSE),0)</f>
        <v>640501509.6821388</v>
      </c>
      <c r="T494" s="246">
        <f>IFERROR(VLOOKUP(F494,PROGRAMAS[],2,FALSE),0)</f>
        <v>3062327798.1525245</v>
      </c>
      <c r="U494" s="246">
        <f>IFERROR(VLOOKUP(G494,PROGRAMAS[],2,FALSE),0)</f>
        <v>6128579952.1618185</v>
      </c>
      <c r="V494" s="246">
        <f>IFERROR(VLOOKUP(H494,PROGRAMAS[],2,FALSE),0)</f>
        <v>4635315027.8751087</v>
      </c>
      <c r="W494" s="246">
        <f>IFERROR(VLOOKUP(I494,PROGRAMAS[],2,FALSE),0)</f>
        <v>764796700.79905891</v>
      </c>
      <c r="X494" s="246">
        <f>IFERROR(VLOOKUP(J494,PROGRAMAS[],2,FALSE),0)</f>
        <v>54223862.645839565</v>
      </c>
      <c r="Y494" s="246">
        <f>IFERROR(VLOOKUP(K494,PROGRAMAS[],2,FALSE),0)</f>
        <v>0</v>
      </c>
      <c r="Z494" s="246">
        <f>IFERROR(VLOOKUP(L494,PROGRAMAS[],2,FALSE),0)</f>
        <v>0</v>
      </c>
      <c r="AA494" s="246">
        <f>IFERROR(VLOOKUP(M494,PROGRAMAS[],2,FALSE),0)</f>
        <v>0</v>
      </c>
      <c r="AB494" s="246">
        <f>IFERROR(VLOOKUP(N494,PROGRAMAS[],2,FALSE),0)</f>
        <v>0</v>
      </c>
      <c r="AC494" s="246">
        <f>IFERROR(VLOOKUP(O494,PROGRAMAS[],2,FALSE),0)</f>
        <v>0</v>
      </c>
      <c r="AD494" s="246">
        <f>IFERROR(VLOOKUP(P494,PROGRAMAS[],2,FALSE),0)</f>
        <v>0</v>
      </c>
      <c r="AE494" s="246">
        <f>IFERROR(VLOOKUP(Q494,PROGRAMAS[],2,FALSE),0)</f>
        <v>0</v>
      </c>
      <c r="AF494" s="246">
        <f>IFERROR(VLOOKUP(D494,PROGRAMAS[],3,FALSE),0)</f>
        <v>841888629.31080008</v>
      </c>
      <c r="AG494" s="246">
        <f>IFERROR(VLOOKUP(E494,PROGRAMAS[],3,FALSE),0)</f>
        <v>3848980803.1642323</v>
      </c>
      <c r="AH494" s="246">
        <f>IFERROR(VLOOKUP(F494,PROGRAMAS[],3,FALSE),0)</f>
        <v>3394901471.387517</v>
      </c>
      <c r="AI494" s="246">
        <f>IFERROR(VLOOKUP(G494,PROGRAMAS[],3,FALSE),0)</f>
        <v>7011279577.519702</v>
      </c>
      <c r="AJ494" s="246">
        <f>IFERROR(VLOOKUP(H494,PROGRAMAS[],3,FALSE),0)</f>
        <v>4099471734.9978786</v>
      </c>
      <c r="AK494" s="246">
        <f>IFERROR(VLOOKUP(I494,PROGRAMAS[],3,FALSE),0)</f>
        <v>675517840.109828</v>
      </c>
      <c r="AL494" s="246">
        <f>IFERROR(VLOOKUP(J494,PROGRAMAS[],3,FALSE),0)</f>
        <v>31865326.38096505</v>
      </c>
      <c r="AM494" s="246">
        <f>IFERROR(VLOOKUP(K494,PROGRAMAS[],3,FALSE),0)</f>
        <v>0</v>
      </c>
      <c r="AN494" s="246">
        <f>IFERROR(VLOOKUP(L494,PROGRAMAS[],3,FALSE),0)</f>
        <v>0</v>
      </c>
      <c r="AO494" s="246">
        <f>IFERROR(VLOOKUP(M494,PROGRAMAS[],3,FALSE),0)</f>
        <v>0</v>
      </c>
      <c r="AP494" s="246">
        <f>IFERROR(VLOOKUP(N494,PROGRAMAS[],3,FALSE),0)</f>
        <v>0</v>
      </c>
      <c r="AQ494" s="246">
        <f>IFERROR(VLOOKUP(O494,PROGRAMAS[],3,FALSE),0)</f>
        <v>0</v>
      </c>
      <c r="AR494" s="246">
        <f>IFERROR(VLOOKUP(P494,PROGRAMAS[],3,FALSE),0)</f>
        <v>0</v>
      </c>
      <c r="AS494" s="246">
        <f>IFERROR(VLOOKUP(Q494,PROGRAMAS[],3,FALSE),0)</f>
        <v>0</v>
      </c>
      <c r="AT494" s="246">
        <f>IFERROR(VLOOKUP(D494,VOL_REC[],2,FALSE),0)</f>
        <v>0</v>
      </c>
      <c r="AU494" s="246">
        <f>IFERROR(VLOOKUP(E494,VOL_REC[],2,FALSE),0)</f>
        <v>0</v>
      </c>
      <c r="AV494" s="246">
        <f>IFERROR(VLOOKUP(F494,VOL_REC[],2,FALSE),0)</f>
        <v>11089674.200000001</v>
      </c>
      <c r="AW494" s="246">
        <f>IFERROR(VLOOKUP(G494,VOL_REC[],2,FALSE),0)</f>
        <v>3761786</v>
      </c>
      <c r="AX494" s="246">
        <f>IFERROR(VLOOKUP(H494,VOL_REC[],2,FALSE),0)</f>
        <v>1812240</v>
      </c>
      <c r="AY494" s="246">
        <f>IFERROR(VLOOKUP(I494,VOL_REC[],2,FALSE),0)</f>
        <v>240696.79238099116</v>
      </c>
      <c r="AZ494" s="246">
        <f>IFERROR(VLOOKUP(J494,VOL_REC[],2,FALSE),0)</f>
        <v>17074.045034105649</v>
      </c>
      <c r="BA494" s="246">
        <f>IFERROR(VLOOKUP(K494,VOL_REC[],2,FALSE),0)</f>
        <v>0</v>
      </c>
      <c r="BB494" s="246">
        <f>IFERROR(VLOOKUP(L494,VOL_REC[],2,FALSE),0)</f>
        <v>0</v>
      </c>
      <c r="BC494" s="246">
        <f>IFERROR(VLOOKUP(M494,VOL_REC[],2,FALSE),0)</f>
        <v>0</v>
      </c>
      <c r="BD494" s="246">
        <f>IFERROR(VLOOKUP(N494,VOL_REC[],2,FALSE),0)</f>
        <v>0</v>
      </c>
      <c r="BE494" s="246">
        <f>IFERROR(VLOOKUP(O494,VOL_REC[],2,FALSE),0)</f>
        <v>0</v>
      </c>
      <c r="BF494" s="246">
        <f>IFERROR(VLOOKUP(P494,VOL_REC[],2,FALSE),0)</f>
        <v>0</v>
      </c>
      <c r="BG494" s="246">
        <f>IFERROR(VLOOKUP(Q494,VOL_REC[],2,FALSE),0)</f>
        <v>0</v>
      </c>
      <c r="BH494" s="1710">
        <f t="shared" si="28"/>
        <v>15382782654.995867</v>
      </c>
      <c r="BI494" s="1710">
        <f t="shared" si="29"/>
        <v>19903905382.870926</v>
      </c>
      <c r="BJ494" s="1711">
        <f t="shared" si="30"/>
        <v>16921471.037415098</v>
      </c>
      <c r="BK494" s="1711">
        <f t="shared" si="31"/>
        <v>0.77285248091231951</v>
      </c>
    </row>
    <row r="495" spans="3:67" x14ac:dyDescent="0.25">
      <c r="C495" s="246" t="s">
        <v>1845</v>
      </c>
      <c r="D495" s="246">
        <v>1</v>
      </c>
      <c r="E495" s="246">
        <v>2</v>
      </c>
      <c r="F495" s="246">
        <v>3</v>
      </c>
      <c r="G495" s="246">
        <v>9</v>
      </c>
      <c r="H495" s="246">
        <v>10</v>
      </c>
      <c r="I495" s="246">
        <v>12</v>
      </c>
      <c r="J495" s="246">
        <v>15</v>
      </c>
      <c r="K495" s="246"/>
      <c r="L495" s="246"/>
      <c r="M495" s="246"/>
      <c r="N495" s="246"/>
      <c r="O495" s="246"/>
      <c r="P495" s="246"/>
      <c r="Q495" s="246"/>
      <c r="R495" s="246">
        <f>IFERROR(VLOOKUP(D495,PROGRAMAS[],2,FALSE),0)</f>
        <v>97037803.679377079</v>
      </c>
      <c r="S495" s="246">
        <f>IFERROR(VLOOKUP(E495,PROGRAMAS[],2,FALSE),0)</f>
        <v>640501509.6821388</v>
      </c>
      <c r="T495" s="246">
        <f>IFERROR(VLOOKUP(F495,PROGRAMAS[],2,FALSE),0)</f>
        <v>3062327798.1525245</v>
      </c>
      <c r="U495" s="246">
        <f>IFERROR(VLOOKUP(G495,PROGRAMAS[],2,FALSE),0)</f>
        <v>6128579952.1618185</v>
      </c>
      <c r="V495" s="246">
        <f>IFERROR(VLOOKUP(H495,PROGRAMAS[],2,FALSE),0)</f>
        <v>4635315027.8751087</v>
      </c>
      <c r="W495" s="246">
        <f>IFERROR(VLOOKUP(I495,PROGRAMAS[],2,FALSE),0)</f>
        <v>764796700.79905891</v>
      </c>
      <c r="X495" s="246">
        <f>IFERROR(VLOOKUP(J495,PROGRAMAS[],2,FALSE),0)</f>
        <v>122159672.96346797</v>
      </c>
      <c r="Y495" s="246">
        <f>IFERROR(VLOOKUP(K495,PROGRAMAS[],2,FALSE),0)</f>
        <v>0</v>
      </c>
      <c r="Z495" s="246">
        <f>IFERROR(VLOOKUP(L495,PROGRAMAS[],2,FALSE),0)</f>
        <v>0</v>
      </c>
      <c r="AA495" s="246">
        <f>IFERROR(VLOOKUP(M495,PROGRAMAS[],2,FALSE),0)</f>
        <v>0</v>
      </c>
      <c r="AB495" s="246">
        <f>IFERROR(VLOOKUP(N495,PROGRAMAS[],2,FALSE),0)</f>
        <v>0</v>
      </c>
      <c r="AC495" s="246">
        <f>IFERROR(VLOOKUP(O495,PROGRAMAS[],2,FALSE),0)</f>
        <v>0</v>
      </c>
      <c r="AD495" s="246">
        <f>IFERROR(VLOOKUP(P495,PROGRAMAS[],2,FALSE),0)</f>
        <v>0</v>
      </c>
      <c r="AE495" s="246">
        <f>IFERROR(VLOOKUP(Q495,PROGRAMAS[],2,FALSE),0)</f>
        <v>0</v>
      </c>
      <c r="AF495" s="246">
        <f>IFERROR(VLOOKUP(D495,PROGRAMAS[],3,FALSE),0)</f>
        <v>841888629.31080008</v>
      </c>
      <c r="AG495" s="246">
        <f>IFERROR(VLOOKUP(E495,PROGRAMAS[],3,FALSE),0)</f>
        <v>3848980803.1642323</v>
      </c>
      <c r="AH495" s="246">
        <f>IFERROR(VLOOKUP(F495,PROGRAMAS[],3,FALSE),0)</f>
        <v>3394901471.387517</v>
      </c>
      <c r="AI495" s="246">
        <f>IFERROR(VLOOKUP(G495,PROGRAMAS[],3,FALSE),0)</f>
        <v>7011279577.519702</v>
      </c>
      <c r="AJ495" s="246">
        <f>IFERROR(VLOOKUP(H495,PROGRAMAS[],3,FALSE),0)</f>
        <v>4099471734.9978786</v>
      </c>
      <c r="AK495" s="246">
        <f>IFERROR(VLOOKUP(I495,PROGRAMAS[],3,FALSE),0)</f>
        <v>675517840.109828</v>
      </c>
      <c r="AL495" s="246">
        <f>IFERROR(VLOOKUP(J495,PROGRAMAS[],3,FALSE),0)</f>
        <v>118617452.52510804</v>
      </c>
      <c r="AM495" s="246">
        <f>IFERROR(VLOOKUP(K495,PROGRAMAS[],3,FALSE),0)</f>
        <v>0</v>
      </c>
      <c r="AN495" s="246">
        <f>IFERROR(VLOOKUP(L495,PROGRAMAS[],3,FALSE),0)</f>
        <v>0</v>
      </c>
      <c r="AO495" s="246">
        <f>IFERROR(VLOOKUP(M495,PROGRAMAS[],3,FALSE),0)</f>
        <v>0</v>
      </c>
      <c r="AP495" s="246">
        <f>IFERROR(VLOOKUP(N495,PROGRAMAS[],3,FALSE),0)</f>
        <v>0</v>
      </c>
      <c r="AQ495" s="246">
        <f>IFERROR(VLOOKUP(O495,PROGRAMAS[],3,FALSE),0)</f>
        <v>0</v>
      </c>
      <c r="AR495" s="246">
        <f>IFERROR(VLOOKUP(P495,PROGRAMAS[],3,FALSE),0)</f>
        <v>0</v>
      </c>
      <c r="AS495" s="246">
        <f>IFERROR(VLOOKUP(Q495,PROGRAMAS[],3,FALSE),0)</f>
        <v>0</v>
      </c>
      <c r="AT495" s="246">
        <f>IFERROR(VLOOKUP(D495,VOL_REC[],2,FALSE),0)</f>
        <v>0</v>
      </c>
      <c r="AU495" s="246">
        <f>IFERROR(VLOOKUP(E495,VOL_REC[],2,FALSE),0)</f>
        <v>0</v>
      </c>
      <c r="AV495" s="246">
        <f>IFERROR(VLOOKUP(F495,VOL_REC[],2,FALSE),0)</f>
        <v>11089674.200000001</v>
      </c>
      <c r="AW495" s="246">
        <f>IFERROR(VLOOKUP(G495,VOL_REC[],2,FALSE),0)</f>
        <v>3761786</v>
      </c>
      <c r="AX495" s="246">
        <f>IFERROR(VLOOKUP(H495,VOL_REC[],2,FALSE),0)</f>
        <v>1812240</v>
      </c>
      <c r="AY495" s="246">
        <f>IFERROR(VLOOKUP(I495,VOL_REC[],2,FALSE),0)</f>
        <v>240696.79238099116</v>
      </c>
      <c r="AZ495" s="246">
        <f>IFERROR(VLOOKUP(J495,VOL_REC[],2,FALSE),0)</f>
        <v>105072</v>
      </c>
      <c r="BA495" s="246">
        <f>IFERROR(VLOOKUP(K495,VOL_REC[],2,FALSE),0)</f>
        <v>0</v>
      </c>
      <c r="BB495" s="246">
        <f>IFERROR(VLOOKUP(L495,VOL_REC[],2,FALSE),0)</f>
        <v>0</v>
      </c>
      <c r="BC495" s="246">
        <f>IFERROR(VLOOKUP(M495,VOL_REC[],2,FALSE),0)</f>
        <v>0</v>
      </c>
      <c r="BD495" s="246">
        <f>IFERROR(VLOOKUP(N495,VOL_REC[],2,FALSE),0)</f>
        <v>0</v>
      </c>
      <c r="BE495" s="246">
        <f>IFERROR(VLOOKUP(O495,VOL_REC[],2,FALSE),0)</f>
        <v>0</v>
      </c>
      <c r="BF495" s="246">
        <f>IFERROR(VLOOKUP(P495,VOL_REC[],2,FALSE),0)</f>
        <v>0</v>
      </c>
      <c r="BG495" s="246">
        <f>IFERROR(VLOOKUP(Q495,VOL_REC[],2,FALSE),0)</f>
        <v>0</v>
      </c>
      <c r="BH495" s="1710">
        <f t="shared" si="28"/>
        <v>15450718465.313496</v>
      </c>
      <c r="BI495" s="1710">
        <f t="shared" si="29"/>
        <v>19990657509.015068</v>
      </c>
      <c r="BJ495" s="1711">
        <f t="shared" si="30"/>
        <v>17009468.992380992</v>
      </c>
      <c r="BK495" s="1711">
        <f t="shared" si="31"/>
        <v>0.77289696241085504</v>
      </c>
    </row>
    <row r="496" spans="3:67" x14ac:dyDescent="0.25">
      <c r="C496" s="246" t="s">
        <v>1846</v>
      </c>
      <c r="D496" s="246">
        <v>1</v>
      </c>
      <c r="E496" s="246">
        <v>2</v>
      </c>
      <c r="F496" s="246">
        <v>3</v>
      </c>
      <c r="G496" s="246">
        <v>9</v>
      </c>
      <c r="H496" s="246">
        <v>10</v>
      </c>
      <c r="I496" s="246">
        <v>12</v>
      </c>
      <c r="J496" s="246">
        <v>16</v>
      </c>
      <c r="K496" s="246"/>
      <c r="L496" s="246"/>
      <c r="M496" s="246"/>
      <c r="N496" s="246"/>
      <c r="O496" s="246"/>
      <c r="P496" s="246"/>
      <c r="Q496" s="246"/>
      <c r="R496" s="246">
        <f>IFERROR(VLOOKUP(D496,PROGRAMAS[],2,FALSE),0)</f>
        <v>97037803.679377079</v>
      </c>
      <c r="S496" s="246">
        <f>IFERROR(VLOOKUP(E496,PROGRAMAS[],2,FALSE),0)</f>
        <v>640501509.6821388</v>
      </c>
      <c r="T496" s="246">
        <f>IFERROR(VLOOKUP(F496,PROGRAMAS[],2,FALSE),0)</f>
        <v>3062327798.1525245</v>
      </c>
      <c r="U496" s="246">
        <f>IFERROR(VLOOKUP(G496,PROGRAMAS[],2,FALSE),0)</f>
        <v>6128579952.1618185</v>
      </c>
      <c r="V496" s="246">
        <f>IFERROR(VLOOKUP(H496,PROGRAMAS[],2,FALSE),0)</f>
        <v>4635315027.8751087</v>
      </c>
      <c r="W496" s="246">
        <f>IFERROR(VLOOKUP(I496,PROGRAMAS[],2,FALSE),0)</f>
        <v>764796700.79905891</v>
      </c>
      <c r="X496" s="246">
        <f>IFERROR(VLOOKUP(J496,PROGRAMAS[],2,FALSE),0)</f>
        <v>7068496961.0436354</v>
      </c>
      <c r="Y496" s="246">
        <f>IFERROR(VLOOKUP(K496,PROGRAMAS[],2,FALSE),0)</f>
        <v>0</v>
      </c>
      <c r="Z496" s="246">
        <f>IFERROR(VLOOKUP(L496,PROGRAMAS[],2,FALSE),0)</f>
        <v>0</v>
      </c>
      <c r="AA496" s="246">
        <f>IFERROR(VLOOKUP(M496,PROGRAMAS[],2,FALSE),0)</f>
        <v>0</v>
      </c>
      <c r="AB496" s="246">
        <f>IFERROR(VLOOKUP(N496,PROGRAMAS[],2,FALSE),0)</f>
        <v>0</v>
      </c>
      <c r="AC496" s="246">
        <f>IFERROR(VLOOKUP(O496,PROGRAMAS[],2,FALSE),0)</f>
        <v>0</v>
      </c>
      <c r="AD496" s="246">
        <f>IFERROR(VLOOKUP(P496,PROGRAMAS[],2,FALSE),0)</f>
        <v>0</v>
      </c>
      <c r="AE496" s="246">
        <f>IFERROR(VLOOKUP(Q496,PROGRAMAS[],2,FALSE),0)</f>
        <v>0</v>
      </c>
      <c r="AF496" s="246">
        <f>IFERROR(VLOOKUP(D496,PROGRAMAS[],3,FALSE),0)</f>
        <v>841888629.31080008</v>
      </c>
      <c r="AG496" s="246">
        <f>IFERROR(VLOOKUP(E496,PROGRAMAS[],3,FALSE),0)</f>
        <v>3848980803.1642323</v>
      </c>
      <c r="AH496" s="246">
        <f>IFERROR(VLOOKUP(F496,PROGRAMAS[],3,FALSE),0)</f>
        <v>3394901471.387517</v>
      </c>
      <c r="AI496" s="246">
        <f>IFERROR(VLOOKUP(G496,PROGRAMAS[],3,FALSE),0)</f>
        <v>7011279577.519702</v>
      </c>
      <c r="AJ496" s="246">
        <f>IFERROR(VLOOKUP(H496,PROGRAMAS[],3,FALSE),0)</f>
        <v>4099471734.9978786</v>
      </c>
      <c r="AK496" s="246">
        <f>IFERROR(VLOOKUP(I496,PROGRAMAS[],3,FALSE),0)</f>
        <v>675517840.109828</v>
      </c>
      <c r="AL496" s="246">
        <f>IFERROR(VLOOKUP(J496,PROGRAMAS[],3,FALSE),0)</f>
        <v>2406564599.0319901</v>
      </c>
      <c r="AM496" s="246">
        <f>IFERROR(VLOOKUP(K496,PROGRAMAS[],3,FALSE),0)</f>
        <v>0</v>
      </c>
      <c r="AN496" s="246">
        <f>IFERROR(VLOOKUP(L496,PROGRAMAS[],3,FALSE),0)</f>
        <v>0</v>
      </c>
      <c r="AO496" s="246">
        <f>IFERROR(VLOOKUP(M496,PROGRAMAS[],3,FALSE),0)</f>
        <v>0</v>
      </c>
      <c r="AP496" s="246">
        <f>IFERROR(VLOOKUP(N496,PROGRAMAS[],3,FALSE),0)</f>
        <v>0</v>
      </c>
      <c r="AQ496" s="246">
        <f>IFERROR(VLOOKUP(O496,PROGRAMAS[],3,FALSE),0)</f>
        <v>0</v>
      </c>
      <c r="AR496" s="246">
        <f>IFERROR(VLOOKUP(P496,PROGRAMAS[],3,FALSE),0)</f>
        <v>0</v>
      </c>
      <c r="AS496" s="246">
        <f>IFERROR(VLOOKUP(Q496,PROGRAMAS[],3,FALSE),0)</f>
        <v>0</v>
      </c>
      <c r="AT496" s="246">
        <f>IFERROR(VLOOKUP(D496,VOL_REC[],2,FALSE),0)</f>
        <v>0</v>
      </c>
      <c r="AU496" s="246">
        <f>IFERROR(VLOOKUP(E496,VOL_REC[],2,FALSE),0)</f>
        <v>0</v>
      </c>
      <c r="AV496" s="246">
        <f>IFERROR(VLOOKUP(F496,VOL_REC[],2,FALSE),0)</f>
        <v>11089674.200000001</v>
      </c>
      <c r="AW496" s="246">
        <f>IFERROR(VLOOKUP(G496,VOL_REC[],2,FALSE),0)</f>
        <v>3761786</v>
      </c>
      <c r="AX496" s="246">
        <f>IFERROR(VLOOKUP(H496,VOL_REC[],2,FALSE),0)</f>
        <v>1812240</v>
      </c>
      <c r="AY496" s="246">
        <f>IFERROR(VLOOKUP(I496,VOL_REC[],2,FALSE),0)</f>
        <v>240696.79238099116</v>
      </c>
      <c r="AZ496" s="246">
        <f>IFERROR(VLOOKUP(J496,VOL_REC[],2,FALSE),0)</f>
        <v>1072354.9981737854</v>
      </c>
      <c r="BA496" s="246">
        <f>IFERROR(VLOOKUP(K496,VOL_REC[],2,FALSE),0)</f>
        <v>0</v>
      </c>
      <c r="BB496" s="246">
        <f>IFERROR(VLOOKUP(L496,VOL_REC[],2,FALSE),0)</f>
        <v>0</v>
      </c>
      <c r="BC496" s="246">
        <f>IFERROR(VLOOKUP(M496,VOL_REC[],2,FALSE),0)</f>
        <v>0</v>
      </c>
      <c r="BD496" s="246">
        <f>IFERROR(VLOOKUP(N496,VOL_REC[],2,FALSE),0)</f>
        <v>0</v>
      </c>
      <c r="BE496" s="246">
        <f>IFERROR(VLOOKUP(O496,VOL_REC[],2,FALSE),0)</f>
        <v>0</v>
      </c>
      <c r="BF496" s="246">
        <f>IFERROR(VLOOKUP(P496,VOL_REC[],2,FALSE),0)</f>
        <v>0</v>
      </c>
      <c r="BG496" s="246">
        <f>IFERROR(VLOOKUP(Q496,VOL_REC[],2,FALSE),0)</f>
        <v>0</v>
      </c>
      <c r="BH496" s="1710">
        <f t="shared" si="28"/>
        <v>22397055753.393661</v>
      </c>
      <c r="BI496" s="1710">
        <f t="shared" si="29"/>
        <v>22278604655.52195</v>
      </c>
      <c r="BJ496" s="1711">
        <f t="shared" si="30"/>
        <v>17976751.990554776</v>
      </c>
      <c r="BK496" s="1711">
        <f t="shared" si="31"/>
        <v>1.0053168095445491</v>
      </c>
      <c r="BL496">
        <f>BJ496</f>
        <v>17976751.990554776</v>
      </c>
      <c r="BO496">
        <f>BL496</f>
        <v>17976751.990554776</v>
      </c>
    </row>
    <row r="497" spans="3:67" x14ac:dyDescent="0.25">
      <c r="C497" s="246" t="s">
        <v>1847</v>
      </c>
      <c r="D497" s="246">
        <v>1</v>
      </c>
      <c r="E497" s="246">
        <v>2</v>
      </c>
      <c r="F497" s="246">
        <v>3</v>
      </c>
      <c r="G497" s="246">
        <v>9</v>
      </c>
      <c r="H497" s="246">
        <v>10</v>
      </c>
      <c r="I497" s="246">
        <v>12</v>
      </c>
      <c r="J497" s="246">
        <v>17</v>
      </c>
      <c r="K497" s="246"/>
      <c r="L497" s="246"/>
      <c r="M497" s="246"/>
      <c r="N497" s="246"/>
      <c r="O497" s="246"/>
      <c r="P497" s="246"/>
      <c r="Q497" s="246"/>
      <c r="R497" s="246">
        <f>IFERROR(VLOOKUP(D497,PROGRAMAS[],2,FALSE),0)</f>
        <v>97037803.679377079</v>
      </c>
      <c r="S497" s="246">
        <f>IFERROR(VLOOKUP(E497,PROGRAMAS[],2,FALSE),0)</f>
        <v>640501509.6821388</v>
      </c>
      <c r="T497" s="246">
        <f>IFERROR(VLOOKUP(F497,PROGRAMAS[],2,FALSE),0)</f>
        <v>3062327798.1525245</v>
      </c>
      <c r="U497" s="246">
        <f>IFERROR(VLOOKUP(G497,PROGRAMAS[],2,FALSE),0)</f>
        <v>6128579952.1618185</v>
      </c>
      <c r="V497" s="246">
        <f>IFERROR(VLOOKUP(H497,PROGRAMAS[],2,FALSE),0)</f>
        <v>4635315027.8751087</v>
      </c>
      <c r="W497" s="246">
        <f>IFERROR(VLOOKUP(I497,PROGRAMAS[],2,FALSE),0)</f>
        <v>764796700.79905891</v>
      </c>
      <c r="X497" s="246">
        <f>IFERROR(VLOOKUP(J497,PROGRAMAS[],2,FALSE),0)</f>
        <v>1892779498.5211046</v>
      </c>
      <c r="Y497" s="246">
        <f>IFERROR(VLOOKUP(K497,PROGRAMAS[],2,FALSE),0)</f>
        <v>0</v>
      </c>
      <c r="Z497" s="246">
        <f>IFERROR(VLOOKUP(L497,PROGRAMAS[],2,FALSE),0)</f>
        <v>0</v>
      </c>
      <c r="AA497" s="246">
        <f>IFERROR(VLOOKUP(M497,PROGRAMAS[],2,FALSE),0)</f>
        <v>0</v>
      </c>
      <c r="AB497" s="246">
        <f>IFERROR(VLOOKUP(N497,PROGRAMAS[],2,FALSE),0)</f>
        <v>0</v>
      </c>
      <c r="AC497" s="246">
        <f>IFERROR(VLOOKUP(O497,PROGRAMAS[],2,FALSE),0)</f>
        <v>0</v>
      </c>
      <c r="AD497" s="246">
        <f>IFERROR(VLOOKUP(P497,PROGRAMAS[],2,FALSE),0)</f>
        <v>0</v>
      </c>
      <c r="AE497" s="246">
        <f>IFERROR(VLOOKUP(Q497,PROGRAMAS[],2,FALSE),0)</f>
        <v>0</v>
      </c>
      <c r="AF497" s="246">
        <f>IFERROR(VLOOKUP(D497,PROGRAMAS[],3,FALSE),0)</f>
        <v>841888629.31080008</v>
      </c>
      <c r="AG497" s="246">
        <f>IFERROR(VLOOKUP(E497,PROGRAMAS[],3,FALSE),0)</f>
        <v>3848980803.1642323</v>
      </c>
      <c r="AH497" s="246">
        <f>IFERROR(VLOOKUP(F497,PROGRAMAS[],3,FALSE),0)</f>
        <v>3394901471.387517</v>
      </c>
      <c r="AI497" s="246">
        <f>IFERROR(VLOOKUP(G497,PROGRAMAS[],3,FALSE),0)</f>
        <v>7011279577.519702</v>
      </c>
      <c r="AJ497" s="246">
        <f>IFERROR(VLOOKUP(H497,PROGRAMAS[],3,FALSE),0)</f>
        <v>4099471734.9978786</v>
      </c>
      <c r="AK497" s="246">
        <f>IFERROR(VLOOKUP(I497,PROGRAMAS[],3,FALSE),0)</f>
        <v>675517840.109828</v>
      </c>
      <c r="AL497" s="246">
        <f>IFERROR(VLOOKUP(J497,PROGRAMAS[],3,FALSE),0)</f>
        <v>948595847.09039903</v>
      </c>
      <c r="AM497" s="246">
        <f>IFERROR(VLOOKUP(K497,PROGRAMAS[],3,FALSE),0)</f>
        <v>0</v>
      </c>
      <c r="AN497" s="246">
        <f>IFERROR(VLOOKUP(L497,PROGRAMAS[],3,FALSE),0)</f>
        <v>0</v>
      </c>
      <c r="AO497" s="246">
        <f>IFERROR(VLOOKUP(M497,PROGRAMAS[],3,FALSE),0)</f>
        <v>0</v>
      </c>
      <c r="AP497" s="246">
        <f>IFERROR(VLOOKUP(N497,PROGRAMAS[],3,FALSE),0)</f>
        <v>0</v>
      </c>
      <c r="AQ497" s="246">
        <f>IFERROR(VLOOKUP(O497,PROGRAMAS[],3,FALSE),0)</f>
        <v>0</v>
      </c>
      <c r="AR497" s="246">
        <f>IFERROR(VLOOKUP(P497,PROGRAMAS[],3,FALSE),0)</f>
        <v>0</v>
      </c>
      <c r="AS497" s="246">
        <f>IFERROR(VLOOKUP(Q497,PROGRAMAS[],3,FALSE),0)</f>
        <v>0</v>
      </c>
      <c r="AT497" s="246">
        <f>IFERROR(VLOOKUP(D497,VOL_REC[],2,FALSE),0)</f>
        <v>0</v>
      </c>
      <c r="AU497" s="246">
        <f>IFERROR(VLOOKUP(E497,VOL_REC[],2,FALSE),0)</f>
        <v>0</v>
      </c>
      <c r="AV497" s="246">
        <f>IFERROR(VLOOKUP(F497,VOL_REC[],2,FALSE),0)</f>
        <v>11089674.200000001</v>
      </c>
      <c r="AW497" s="246">
        <f>IFERROR(VLOOKUP(G497,VOL_REC[],2,FALSE),0)</f>
        <v>3761786</v>
      </c>
      <c r="AX497" s="246">
        <f>IFERROR(VLOOKUP(H497,VOL_REC[],2,FALSE),0)</f>
        <v>1812240</v>
      </c>
      <c r="AY497" s="246">
        <f>IFERROR(VLOOKUP(I497,VOL_REC[],2,FALSE),0)</f>
        <v>240696.79238099116</v>
      </c>
      <c r="AZ497" s="246">
        <f>IFERROR(VLOOKUP(J497,VOL_REC[],2,FALSE),0)</f>
        <v>740113.98115702497</v>
      </c>
      <c r="BA497" s="246">
        <f>IFERROR(VLOOKUP(K497,VOL_REC[],2,FALSE),0)</f>
        <v>0</v>
      </c>
      <c r="BB497" s="246">
        <f>IFERROR(VLOOKUP(L497,VOL_REC[],2,FALSE),0)</f>
        <v>0</v>
      </c>
      <c r="BC497" s="246">
        <f>IFERROR(VLOOKUP(M497,VOL_REC[],2,FALSE),0)</f>
        <v>0</v>
      </c>
      <c r="BD497" s="246">
        <f>IFERROR(VLOOKUP(N497,VOL_REC[],2,FALSE),0)</f>
        <v>0</v>
      </c>
      <c r="BE497" s="246">
        <f>IFERROR(VLOOKUP(O497,VOL_REC[],2,FALSE),0)</f>
        <v>0</v>
      </c>
      <c r="BF497" s="246">
        <f>IFERROR(VLOOKUP(P497,VOL_REC[],2,FALSE),0)</f>
        <v>0</v>
      </c>
      <c r="BG497" s="246">
        <f>IFERROR(VLOOKUP(Q497,VOL_REC[],2,FALSE),0)</f>
        <v>0</v>
      </c>
      <c r="BH497" s="1710">
        <f t="shared" si="28"/>
        <v>17221338290.871132</v>
      </c>
      <c r="BI497" s="1710">
        <f t="shared" si="29"/>
        <v>20820635903.58036</v>
      </c>
      <c r="BJ497" s="1711">
        <f t="shared" si="30"/>
        <v>17644510.973538015</v>
      </c>
      <c r="BK497" s="1711">
        <f t="shared" si="31"/>
        <v>0.82712835336166246</v>
      </c>
    </row>
    <row r="498" spans="3:67" x14ac:dyDescent="0.25">
      <c r="C498" s="246" t="s">
        <v>1848</v>
      </c>
      <c r="D498" s="246">
        <v>1</v>
      </c>
      <c r="E498" s="246">
        <v>2</v>
      </c>
      <c r="F498" s="246">
        <v>3</v>
      </c>
      <c r="G498" s="246">
        <v>9</v>
      </c>
      <c r="H498" s="246">
        <v>10</v>
      </c>
      <c r="I498" s="246">
        <v>13</v>
      </c>
      <c r="J498" s="246">
        <v>14</v>
      </c>
      <c r="K498" s="246"/>
      <c r="L498" s="246"/>
      <c r="M498" s="246"/>
      <c r="N498" s="246"/>
      <c r="O498" s="246"/>
      <c r="P498" s="246"/>
      <c r="Q498" s="246"/>
      <c r="R498" s="246">
        <f>IFERROR(VLOOKUP(D498,PROGRAMAS[],2,FALSE),0)</f>
        <v>97037803.679377079</v>
      </c>
      <c r="S498" s="246">
        <f>IFERROR(VLOOKUP(E498,PROGRAMAS[],2,FALSE),0)</f>
        <v>640501509.6821388</v>
      </c>
      <c r="T498" s="246">
        <f>IFERROR(VLOOKUP(F498,PROGRAMAS[],2,FALSE),0)</f>
        <v>3062327798.1525245</v>
      </c>
      <c r="U498" s="246">
        <f>IFERROR(VLOOKUP(G498,PROGRAMAS[],2,FALSE),0)</f>
        <v>6128579952.1618185</v>
      </c>
      <c r="V498" s="246">
        <f>IFERROR(VLOOKUP(H498,PROGRAMAS[],2,FALSE),0)</f>
        <v>4635315027.8751087</v>
      </c>
      <c r="W498" s="246">
        <f>IFERROR(VLOOKUP(I498,PROGRAMAS[],2,FALSE),0)</f>
        <v>3776538594.4604583</v>
      </c>
      <c r="X498" s="246">
        <f>IFERROR(VLOOKUP(J498,PROGRAMAS[],2,FALSE),0)</f>
        <v>54223862.645839565</v>
      </c>
      <c r="Y498" s="246">
        <f>IFERROR(VLOOKUP(K498,PROGRAMAS[],2,FALSE),0)</f>
        <v>0</v>
      </c>
      <c r="Z498" s="246">
        <f>IFERROR(VLOOKUP(L498,PROGRAMAS[],2,FALSE),0)</f>
        <v>0</v>
      </c>
      <c r="AA498" s="246">
        <f>IFERROR(VLOOKUP(M498,PROGRAMAS[],2,FALSE),0)</f>
        <v>0</v>
      </c>
      <c r="AB498" s="246">
        <f>IFERROR(VLOOKUP(N498,PROGRAMAS[],2,FALSE),0)</f>
        <v>0</v>
      </c>
      <c r="AC498" s="246">
        <f>IFERROR(VLOOKUP(O498,PROGRAMAS[],2,FALSE),0)</f>
        <v>0</v>
      </c>
      <c r="AD498" s="246">
        <f>IFERROR(VLOOKUP(P498,PROGRAMAS[],2,FALSE),0)</f>
        <v>0</v>
      </c>
      <c r="AE498" s="246">
        <f>IFERROR(VLOOKUP(Q498,PROGRAMAS[],2,FALSE),0)</f>
        <v>0</v>
      </c>
      <c r="AF498" s="246">
        <f>IFERROR(VLOOKUP(D498,PROGRAMAS[],3,FALSE),0)</f>
        <v>841888629.31080008</v>
      </c>
      <c r="AG498" s="246">
        <f>IFERROR(VLOOKUP(E498,PROGRAMAS[],3,FALSE),0)</f>
        <v>3848980803.1642323</v>
      </c>
      <c r="AH498" s="246">
        <f>IFERROR(VLOOKUP(F498,PROGRAMAS[],3,FALSE),0)</f>
        <v>3394901471.387517</v>
      </c>
      <c r="AI498" s="246">
        <f>IFERROR(VLOOKUP(G498,PROGRAMAS[],3,FALSE),0)</f>
        <v>7011279577.519702</v>
      </c>
      <c r="AJ498" s="246">
        <f>IFERROR(VLOOKUP(H498,PROGRAMAS[],3,FALSE),0)</f>
        <v>4099471734.9978786</v>
      </c>
      <c r="AK498" s="246">
        <f>IFERROR(VLOOKUP(I498,PROGRAMAS[],3,FALSE),0)</f>
        <v>2392571243.5584412</v>
      </c>
      <c r="AL498" s="246">
        <f>IFERROR(VLOOKUP(J498,PROGRAMAS[],3,FALSE),0)</f>
        <v>31865326.38096505</v>
      </c>
      <c r="AM498" s="246">
        <f>IFERROR(VLOOKUP(K498,PROGRAMAS[],3,FALSE),0)</f>
        <v>0</v>
      </c>
      <c r="AN498" s="246">
        <f>IFERROR(VLOOKUP(L498,PROGRAMAS[],3,FALSE),0)</f>
        <v>0</v>
      </c>
      <c r="AO498" s="246">
        <f>IFERROR(VLOOKUP(M498,PROGRAMAS[],3,FALSE),0)</f>
        <v>0</v>
      </c>
      <c r="AP498" s="246">
        <f>IFERROR(VLOOKUP(N498,PROGRAMAS[],3,FALSE),0)</f>
        <v>0</v>
      </c>
      <c r="AQ498" s="246">
        <f>IFERROR(VLOOKUP(O498,PROGRAMAS[],3,FALSE),0)</f>
        <v>0</v>
      </c>
      <c r="AR498" s="246">
        <f>IFERROR(VLOOKUP(P498,PROGRAMAS[],3,FALSE),0)</f>
        <v>0</v>
      </c>
      <c r="AS498" s="246">
        <f>IFERROR(VLOOKUP(Q498,PROGRAMAS[],3,FALSE),0)</f>
        <v>0</v>
      </c>
      <c r="AT498" s="246">
        <f>IFERROR(VLOOKUP(D498,VOL_REC[],2,FALSE),0)</f>
        <v>0</v>
      </c>
      <c r="AU498" s="246">
        <f>IFERROR(VLOOKUP(E498,VOL_REC[],2,FALSE),0)</f>
        <v>0</v>
      </c>
      <c r="AV498" s="246">
        <f>IFERROR(VLOOKUP(F498,VOL_REC[],2,FALSE),0)</f>
        <v>11089674.200000001</v>
      </c>
      <c r="AW498" s="246">
        <f>IFERROR(VLOOKUP(G498,VOL_REC[],2,FALSE),0)</f>
        <v>3761786</v>
      </c>
      <c r="AX498" s="246">
        <f>IFERROR(VLOOKUP(H498,VOL_REC[],2,FALSE),0)</f>
        <v>1812240</v>
      </c>
      <c r="AY498" s="246">
        <f>IFERROR(VLOOKUP(I498,VOL_REC[],2,FALSE),0)</f>
        <v>663244.80000000016</v>
      </c>
      <c r="AZ498" s="246">
        <f>IFERROR(VLOOKUP(J498,VOL_REC[],2,FALSE),0)</f>
        <v>17074.045034105649</v>
      </c>
      <c r="BA498" s="246">
        <f>IFERROR(VLOOKUP(K498,VOL_REC[],2,FALSE),0)</f>
        <v>0</v>
      </c>
      <c r="BB498" s="246">
        <f>IFERROR(VLOOKUP(L498,VOL_REC[],2,FALSE),0)</f>
        <v>0</v>
      </c>
      <c r="BC498" s="246">
        <f>IFERROR(VLOOKUP(M498,VOL_REC[],2,FALSE),0)</f>
        <v>0</v>
      </c>
      <c r="BD498" s="246">
        <f>IFERROR(VLOOKUP(N498,VOL_REC[],2,FALSE),0)</f>
        <v>0</v>
      </c>
      <c r="BE498" s="246">
        <f>IFERROR(VLOOKUP(O498,VOL_REC[],2,FALSE),0)</f>
        <v>0</v>
      </c>
      <c r="BF498" s="246">
        <f>IFERROR(VLOOKUP(P498,VOL_REC[],2,FALSE),0)</f>
        <v>0</v>
      </c>
      <c r="BG498" s="246">
        <f>IFERROR(VLOOKUP(Q498,VOL_REC[],2,FALSE),0)</f>
        <v>0</v>
      </c>
      <c r="BH498" s="1710">
        <f t="shared" si="28"/>
        <v>18394524548.657265</v>
      </c>
      <c r="BI498" s="1710">
        <f t="shared" si="29"/>
        <v>21620958786.319538</v>
      </c>
      <c r="BJ498" s="1711">
        <f t="shared" si="30"/>
        <v>17344019.045034107</v>
      </c>
      <c r="BK498" s="1711">
        <f t="shared" si="31"/>
        <v>0.8507728417805519</v>
      </c>
    </row>
    <row r="499" spans="3:67" x14ac:dyDescent="0.25">
      <c r="C499" s="246" t="s">
        <v>1849</v>
      </c>
      <c r="D499" s="246">
        <v>1</v>
      </c>
      <c r="E499" s="246">
        <v>2</v>
      </c>
      <c r="F499" s="246">
        <v>3</v>
      </c>
      <c r="G499" s="246">
        <v>9</v>
      </c>
      <c r="H499" s="246">
        <v>10</v>
      </c>
      <c r="I499" s="246">
        <v>13</v>
      </c>
      <c r="J499" s="246">
        <v>15</v>
      </c>
      <c r="K499" s="246"/>
      <c r="L499" s="246"/>
      <c r="M499" s="246"/>
      <c r="N499" s="246"/>
      <c r="O499" s="246"/>
      <c r="P499" s="246"/>
      <c r="Q499" s="246"/>
      <c r="R499" s="246">
        <f>IFERROR(VLOOKUP(D499,PROGRAMAS[],2,FALSE),0)</f>
        <v>97037803.679377079</v>
      </c>
      <c r="S499" s="246">
        <f>IFERROR(VLOOKUP(E499,PROGRAMAS[],2,FALSE),0)</f>
        <v>640501509.6821388</v>
      </c>
      <c r="T499" s="246">
        <f>IFERROR(VLOOKUP(F499,PROGRAMAS[],2,FALSE),0)</f>
        <v>3062327798.1525245</v>
      </c>
      <c r="U499" s="246">
        <f>IFERROR(VLOOKUP(G499,PROGRAMAS[],2,FALSE),0)</f>
        <v>6128579952.1618185</v>
      </c>
      <c r="V499" s="246">
        <f>IFERROR(VLOOKUP(H499,PROGRAMAS[],2,FALSE),0)</f>
        <v>4635315027.8751087</v>
      </c>
      <c r="W499" s="246">
        <f>IFERROR(VLOOKUP(I499,PROGRAMAS[],2,FALSE),0)</f>
        <v>3776538594.4604583</v>
      </c>
      <c r="X499" s="246">
        <f>IFERROR(VLOOKUP(J499,PROGRAMAS[],2,FALSE),0)</f>
        <v>122159672.96346797</v>
      </c>
      <c r="Y499" s="246">
        <f>IFERROR(VLOOKUP(K499,PROGRAMAS[],2,FALSE),0)</f>
        <v>0</v>
      </c>
      <c r="Z499" s="246">
        <f>IFERROR(VLOOKUP(L499,PROGRAMAS[],2,FALSE),0)</f>
        <v>0</v>
      </c>
      <c r="AA499" s="246">
        <f>IFERROR(VLOOKUP(M499,PROGRAMAS[],2,FALSE),0)</f>
        <v>0</v>
      </c>
      <c r="AB499" s="246">
        <f>IFERROR(VLOOKUP(N499,PROGRAMAS[],2,FALSE),0)</f>
        <v>0</v>
      </c>
      <c r="AC499" s="246">
        <f>IFERROR(VLOOKUP(O499,PROGRAMAS[],2,FALSE),0)</f>
        <v>0</v>
      </c>
      <c r="AD499" s="246">
        <f>IFERROR(VLOOKUP(P499,PROGRAMAS[],2,FALSE),0)</f>
        <v>0</v>
      </c>
      <c r="AE499" s="246">
        <f>IFERROR(VLOOKUP(Q499,PROGRAMAS[],2,FALSE),0)</f>
        <v>0</v>
      </c>
      <c r="AF499" s="246">
        <f>IFERROR(VLOOKUP(D499,PROGRAMAS[],3,FALSE),0)</f>
        <v>841888629.31080008</v>
      </c>
      <c r="AG499" s="246">
        <f>IFERROR(VLOOKUP(E499,PROGRAMAS[],3,FALSE),0)</f>
        <v>3848980803.1642323</v>
      </c>
      <c r="AH499" s="246">
        <f>IFERROR(VLOOKUP(F499,PROGRAMAS[],3,FALSE),0)</f>
        <v>3394901471.387517</v>
      </c>
      <c r="AI499" s="246">
        <f>IFERROR(VLOOKUP(G499,PROGRAMAS[],3,FALSE),0)</f>
        <v>7011279577.519702</v>
      </c>
      <c r="AJ499" s="246">
        <f>IFERROR(VLOOKUP(H499,PROGRAMAS[],3,FALSE),0)</f>
        <v>4099471734.9978786</v>
      </c>
      <c r="AK499" s="246">
        <f>IFERROR(VLOOKUP(I499,PROGRAMAS[],3,FALSE),0)</f>
        <v>2392571243.5584412</v>
      </c>
      <c r="AL499" s="246">
        <f>IFERROR(VLOOKUP(J499,PROGRAMAS[],3,FALSE),0)</f>
        <v>118617452.52510804</v>
      </c>
      <c r="AM499" s="246">
        <f>IFERROR(VLOOKUP(K499,PROGRAMAS[],3,FALSE),0)</f>
        <v>0</v>
      </c>
      <c r="AN499" s="246">
        <f>IFERROR(VLOOKUP(L499,PROGRAMAS[],3,FALSE),0)</f>
        <v>0</v>
      </c>
      <c r="AO499" s="246">
        <f>IFERROR(VLOOKUP(M499,PROGRAMAS[],3,FALSE),0)</f>
        <v>0</v>
      </c>
      <c r="AP499" s="246">
        <f>IFERROR(VLOOKUP(N499,PROGRAMAS[],3,FALSE),0)</f>
        <v>0</v>
      </c>
      <c r="AQ499" s="246">
        <f>IFERROR(VLOOKUP(O499,PROGRAMAS[],3,FALSE),0)</f>
        <v>0</v>
      </c>
      <c r="AR499" s="246">
        <f>IFERROR(VLOOKUP(P499,PROGRAMAS[],3,FALSE),0)</f>
        <v>0</v>
      </c>
      <c r="AS499" s="246">
        <f>IFERROR(VLOOKUP(Q499,PROGRAMAS[],3,FALSE),0)</f>
        <v>0</v>
      </c>
      <c r="AT499" s="246">
        <f>IFERROR(VLOOKUP(D499,VOL_REC[],2,FALSE),0)</f>
        <v>0</v>
      </c>
      <c r="AU499" s="246">
        <f>IFERROR(VLOOKUP(E499,VOL_REC[],2,FALSE),0)</f>
        <v>0</v>
      </c>
      <c r="AV499" s="246">
        <f>IFERROR(VLOOKUP(F499,VOL_REC[],2,FALSE),0)</f>
        <v>11089674.200000001</v>
      </c>
      <c r="AW499" s="246">
        <f>IFERROR(VLOOKUP(G499,VOL_REC[],2,FALSE),0)</f>
        <v>3761786</v>
      </c>
      <c r="AX499" s="246">
        <f>IFERROR(VLOOKUP(H499,VOL_REC[],2,FALSE),0)</f>
        <v>1812240</v>
      </c>
      <c r="AY499" s="246">
        <f>IFERROR(VLOOKUP(I499,VOL_REC[],2,FALSE),0)</f>
        <v>663244.80000000016</v>
      </c>
      <c r="AZ499" s="246">
        <f>IFERROR(VLOOKUP(J499,VOL_REC[],2,FALSE),0)</f>
        <v>105072</v>
      </c>
      <c r="BA499" s="246">
        <f>IFERROR(VLOOKUP(K499,VOL_REC[],2,FALSE),0)</f>
        <v>0</v>
      </c>
      <c r="BB499" s="246">
        <f>IFERROR(VLOOKUP(L499,VOL_REC[],2,FALSE),0)</f>
        <v>0</v>
      </c>
      <c r="BC499" s="246">
        <f>IFERROR(VLOOKUP(M499,VOL_REC[],2,FALSE),0)</f>
        <v>0</v>
      </c>
      <c r="BD499" s="246">
        <f>IFERROR(VLOOKUP(N499,VOL_REC[],2,FALSE),0)</f>
        <v>0</v>
      </c>
      <c r="BE499" s="246">
        <f>IFERROR(VLOOKUP(O499,VOL_REC[],2,FALSE),0)</f>
        <v>0</v>
      </c>
      <c r="BF499" s="246">
        <f>IFERROR(VLOOKUP(P499,VOL_REC[],2,FALSE),0)</f>
        <v>0</v>
      </c>
      <c r="BG499" s="246">
        <f>IFERROR(VLOOKUP(Q499,VOL_REC[],2,FALSE),0)</f>
        <v>0</v>
      </c>
      <c r="BH499" s="1710">
        <f t="shared" si="28"/>
        <v>18462460358.974892</v>
      </c>
      <c r="BI499" s="1710">
        <f t="shared" si="29"/>
        <v>21707710912.46368</v>
      </c>
      <c r="BJ499" s="1711">
        <f t="shared" si="30"/>
        <v>17432017</v>
      </c>
      <c r="BK499" s="1711">
        <f t="shared" si="31"/>
        <v>0.85050240596186033</v>
      </c>
    </row>
    <row r="500" spans="3:67" x14ac:dyDescent="0.25">
      <c r="C500" s="246" t="s">
        <v>1850</v>
      </c>
      <c r="D500" s="246">
        <v>1</v>
      </c>
      <c r="E500" s="246">
        <v>2</v>
      </c>
      <c r="F500" s="246">
        <v>3</v>
      </c>
      <c r="G500" s="246">
        <v>9</v>
      </c>
      <c r="H500" s="246">
        <v>10</v>
      </c>
      <c r="I500" s="246">
        <v>13</v>
      </c>
      <c r="J500" s="246">
        <v>16</v>
      </c>
      <c r="K500" s="246"/>
      <c r="L500" s="246"/>
      <c r="M500" s="246"/>
      <c r="N500" s="246"/>
      <c r="O500" s="246"/>
      <c r="P500" s="246"/>
      <c r="Q500" s="246"/>
      <c r="R500" s="246">
        <f>IFERROR(VLOOKUP(D500,PROGRAMAS[],2,FALSE),0)</f>
        <v>97037803.679377079</v>
      </c>
      <c r="S500" s="246">
        <f>IFERROR(VLOOKUP(E500,PROGRAMAS[],2,FALSE),0)</f>
        <v>640501509.6821388</v>
      </c>
      <c r="T500" s="246">
        <f>IFERROR(VLOOKUP(F500,PROGRAMAS[],2,FALSE),0)</f>
        <v>3062327798.1525245</v>
      </c>
      <c r="U500" s="246">
        <f>IFERROR(VLOOKUP(G500,PROGRAMAS[],2,FALSE),0)</f>
        <v>6128579952.1618185</v>
      </c>
      <c r="V500" s="246">
        <f>IFERROR(VLOOKUP(H500,PROGRAMAS[],2,FALSE),0)</f>
        <v>4635315027.8751087</v>
      </c>
      <c r="W500" s="246">
        <f>IFERROR(VLOOKUP(I500,PROGRAMAS[],2,FALSE),0)</f>
        <v>3776538594.4604583</v>
      </c>
      <c r="X500" s="246">
        <f>IFERROR(VLOOKUP(J500,PROGRAMAS[],2,FALSE),0)</f>
        <v>7068496961.0436354</v>
      </c>
      <c r="Y500" s="246">
        <f>IFERROR(VLOOKUP(K500,PROGRAMAS[],2,FALSE),0)</f>
        <v>0</v>
      </c>
      <c r="Z500" s="246">
        <f>IFERROR(VLOOKUP(L500,PROGRAMAS[],2,FALSE),0)</f>
        <v>0</v>
      </c>
      <c r="AA500" s="246">
        <f>IFERROR(VLOOKUP(M500,PROGRAMAS[],2,FALSE),0)</f>
        <v>0</v>
      </c>
      <c r="AB500" s="246">
        <f>IFERROR(VLOOKUP(N500,PROGRAMAS[],2,FALSE),0)</f>
        <v>0</v>
      </c>
      <c r="AC500" s="246">
        <f>IFERROR(VLOOKUP(O500,PROGRAMAS[],2,FALSE),0)</f>
        <v>0</v>
      </c>
      <c r="AD500" s="246">
        <f>IFERROR(VLOOKUP(P500,PROGRAMAS[],2,FALSE),0)</f>
        <v>0</v>
      </c>
      <c r="AE500" s="246">
        <f>IFERROR(VLOOKUP(Q500,PROGRAMAS[],2,FALSE),0)</f>
        <v>0</v>
      </c>
      <c r="AF500" s="246">
        <f>IFERROR(VLOOKUP(D500,PROGRAMAS[],3,FALSE),0)</f>
        <v>841888629.31080008</v>
      </c>
      <c r="AG500" s="246">
        <f>IFERROR(VLOOKUP(E500,PROGRAMAS[],3,FALSE),0)</f>
        <v>3848980803.1642323</v>
      </c>
      <c r="AH500" s="246">
        <f>IFERROR(VLOOKUP(F500,PROGRAMAS[],3,FALSE),0)</f>
        <v>3394901471.387517</v>
      </c>
      <c r="AI500" s="246">
        <f>IFERROR(VLOOKUP(G500,PROGRAMAS[],3,FALSE),0)</f>
        <v>7011279577.519702</v>
      </c>
      <c r="AJ500" s="246">
        <f>IFERROR(VLOOKUP(H500,PROGRAMAS[],3,FALSE),0)</f>
        <v>4099471734.9978786</v>
      </c>
      <c r="AK500" s="246">
        <f>IFERROR(VLOOKUP(I500,PROGRAMAS[],3,FALSE),0)</f>
        <v>2392571243.5584412</v>
      </c>
      <c r="AL500" s="246">
        <f>IFERROR(VLOOKUP(J500,PROGRAMAS[],3,FALSE),0)</f>
        <v>2406564599.0319901</v>
      </c>
      <c r="AM500" s="246">
        <f>IFERROR(VLOOKUP(K500,PROGRAMAS[],3,FALSE),0)</f>
        <v>0</v>
      </c>
      <c r="AN500" s="246">
        <f>IFERROR(VLOOKUP(L500,PROGRAMAS[],3,FALSE),0)</f>
        <v>0</v>
      </c>
      <c r="AO500" s="246">
        <f>IFERROR(VLOOKUP(M500,PROGRAMAS[],3,FALSE),0)</f>
        <v>0</v>
      </c>
      <c r="AP500" s="246">
        <f>IFERROR(VLOOKUP(N500,PROGRAMAS[],3,FALSE),0)</f>
        <v>0</v>
      </c>
      <c r="AQ500" s="246">
        <f>IFERROR(VLOOKUP(O500,PROGRAMAS[],3,FALSE),0)</f>
        <v>0</v>
      </c>
      <c r="AR500" s="246">
        <f>IFERROR(VLOOKUP(P500,PROGRAMAS[],3,FALSE),0)</f>
        <v>0</v>
      </c>
      <c r="AS500" s="246">
        <f>IFERROR(VLOOKUP(Q500,PROGRAMAS[],3,FALSE),0)</f>
        <v>0</v>
      </c>
      <c r="AT500" s="246">
        <f>IFERROR(VLOOKUP(D500,VOL_REC[],2,FALSE),0)</f>
        <v>0</v>
      </c>
      <c r="AU500" s="246">
        <f>IFERROR(VLOOKUP(E500,VOL_REC[],2,FALSE),0)</f>
        <v>0</v>
      </c>
      <c r="AV500" s="246">
        <f>IFERROR(VLOOKUP(F500,VOL_REC[],2,FALSE),0)</f>
        <v>11089674.200000001</v>
      </c>
      <c r="AW500" s="246">
        <f>IFERROR(VLOOKUP(G500,VOL_REC[],2,FALSE),0)</f>
        <v>3761786</v>
      </c>
      <c r="AX500" s="246">
        <f>IFERROR(VLOOKUP(H500,VOL_REC[],2,FALSE),0)</f>
        <v>1812240</v>
      </c>
      <c r="AY500" s="246">
        <f>IFERROR(VLOOKUP(I500,VOL_REC[],2,FALSE),0)</f>
        <v>663244.80000000016</v>
      </c>
      <c r="AZ500" s="246">
        <f>IFERROR(VLOOKUP(J500,VOL_REC[],2,FALSE),0)</f>
        <v>1072354.9981737854</v>
      </c>
      <c r="BA500" s="246">
        <f>IFERROR(VLOOKUP(K500,VOL_REC[],2,FALSE),0)</f>
        <v>0</v>
      </c>
      <c r="BB500" s="246">
        <f>IFERROR(VLOOKUP(L500,VOL_REC[],2,FALSE),0)</f>
        <v>0</v>
      </c>
      <c r="BC500" s="246">
        <f>IFERROR(VLOOKUP(M500,VOL_REC[],2,FALSE),0)</f>
        <v>0</v>
      </c>
      <c r="BD500" s="246">
        <f>IFERROR(VLOOKUP(N500,VOL_REC[],2,FALSE),0)</f>
        <v>0</v>
      </c>
      <c r="BE500" s="246">
        <f>IFERROR(VLOOKUP(O500,VOL_REC[],2,FALSE),0)</f>
        <v>0</v>
      </c>
      <c r="BF500" s="246">
        <f>IFERROR(VLOOKUP(P500,VOL_REC[],2,FALSE),0)</f>
        <v>0</v>
      </c>
      <c r="BG500" s="246">
        <f>IFERROR(VLOOKUP(Q500,VOL_REC[],2,FALSE),0)</f>
        <v>0</v>
      </c>
      <c r="BH500" s="1710">
        <f t="shared" si="28"/>
        <v>25408797647.055061</v>
      </c>
      <c r="BI500" s="1710">
        <f t="shared" si="29"/>
        <v>23995658058.970562</v>
      </c>
      <c r="BJ500" s="1711">
        <f t="shared" si="30"/>
        <v>18399299.998173784</v>
      </c>
      <c r="BK500" s="1711">
        <f t="shared" si="31"/>
        <v>1.058891470474018</v>
      </c>
      <c r="BL500">
        <f>BJ500</f>
        <v>18399299.998173784</v>
      </c>
      <c r="BO500">
        <f>BL500</f>
        <v>18399299.998173784</v>
      </c>
    </row>
    <row r="501" spans="3:67" x14ac:dyDescent="0.25">
      <c r="C501" s="246" t="s">
        <v>1851</v>
      </c>
      <c r="D501" s="246">
        <v>1</v>
      </c>
      <c r="E501" s="246">
        <v>2</v>
      </c>
      <c r="F501" s="246">
        <v>3</v>
      </c>
      <c r="G501" s="246">
        <v>9</v>
      </c>
      <c r="H501" s="246">
        <v>10</v>
      </c>
      <c r="I501" s="246">
        <v>13</v>
      </c>
      <c r="J501" s="246">
        <v>17</v>
      </c>
      <c r="K501" s="246"/>
      <c r="L501" s="246"/>
      <c r="M501" s="246"/>
      <c r="N501" s="246"/>
      <c r="O501" s="246"/>
      <c r="P501" s="246"/>
      <c r="Q501" s="246"/>
      <c r="R501" s="246">
        <f>IFERROR(VLOOKUP(D501,PROGRAMAS[],2,FALSE),0)</f>
        <v>97037803.679377079</v>
      </c>
      <c r="S501" s="246">
        <f>IFERROR(VLOOKUP(E501,PROGRAMAS[],2,FALSE),0)</f>
        <v>640501509.6821388</v>
      </c>
      <c r="T501" s="246">
        <f>IFERROR(VLOOKUP(F501,PROGRAMAS[],2,FALSE),0)</f>
        <v>3062327798.1525245</v>
      </c>
      <c r="U501" s="246">
        <f>IFERROR(VLOOKUP(G501,PROGRAMAS[],2,FALSE),0)</f>
        <v>6128579952.1618185</v>
      </c>
      <c r="V501" s="246">
        <f>IFERROR(VLOOKUP(H501,PROGRAMAS[],2,FALSE),0)</f>
        <v>4635315027.8751087</v>
      </c>
      <c r="W501" s="246">
        <f>IFERROR(VLOOKUP(I501,PROGRAMAS[],2,FALSE),0)</f>
        <v>3776538594.4604583</v>
      </c>
      <c r="X501" s="246">
        <f>IFERROR(VLOOKUP(J501,PROGRAMAS[],2,FALSE),0)</f>
        <v>1892779498.5211046</v>
      </c>
      <c r="Y501" s="246">
        <f>IFERROR(VLOOKUP(K501,PROGRAMAS[],2,FALSE),0)</f>
        <v>0</v>
      </c>
      <c r="Z501" s="246">
        <f>IFERROR(VLOOKUP(L501,PROGRAMAS[],2,FALSE),0)</f>
        <v>0</v>
      </c>
      <c r="AA501" s="246">
        <f>IFERROR(VLOOKUP(M501,PROGRAMAS[],2,FALSE),0)</f>
        <v>0</v>
      </c>
      <c r="AB501" s="246">
        <f>IFERROR(VLOOKUP(N501,PROGRAMAS[],2,FALSE),0)</f>
        <v>0</v>
      </c>
      <c r="AC501" s="246">
        <f>IFERROR(VLOOKUP(O501,PROGRAMAS[],2,FALSE),0)</f>
        <v>0</v>
      </c>
      <c r="AD501" s="246">
        <f>IFERROR(VLOOKUP(P501,PROGRAMAS[],2,FALSE),0)</f>
        <v>0</v>
      </c>
      <c r="AE501" s="246">
        <f>IFERROR(VLOOKUP(Q501,PROGRAMAS[],2,FALSE),0)</f>
        <v>0</v>
      </c>
      <c r="AF501" s="246">
        <f>IFERROR(VLOOKUP(D501,PROGRAMAS[],3,FALSE),0)</f>
        <v>841888629.31080008</v>
      </c>
      <c r="AG501" s="246">
        <f>IFERROR(VLOOKUP(E501,PROGRAMAS[],3,FALSE),0)</f>
        <v>3848980803.1642323</v>
      </c>
      <c r="AH501" s="246">
        <f>IFERROR(VLOOKUP(F501,PROGRAMAS[],3,FALSE),0)</f>
        <v>3394901471.387517</v>
      </c>
      <c r="AI501" s="246">
        <f>IFERROR(VLOOKUP(G501,PROGRAMAS[],3,FALSE),0)</f>
        <v>7011279577.519702</v>
      </c>
      <c r="AJ501" s="246">
        <f>IFERROR(VLOOKUP(H501,PROGRAMAS[],3,FALSE),0)</f>
        <v>4099471734.9978786</v>
      </c>
      <c r="AK501" s="246">
        <f>IFERROR(VLOOKUP(I501,PROGRAMAS[],3,FALSE),0)</f>
        <v>2392571243.5584412</v>
      </c>
      <c r="AL501" s="246">
        <f>IFERROR(VLOOKUP(J501,PROGRAMAS[],3,FALSE),0)</f>
        <v>948595847.09039903</v>
      </c>
      <c r="AM501" s="246">
        <f>IFERROR(VLOOKUP(K501,PROGRAMAS[],3,FALSE),0)</f>
        <v>0</v>
      </c>
      <c r="AN501" s="246">
        <f>IFERROR(VLOOKUP(L501,PROGRAMAS[],3,FALSE),0)</f>
        <v>0</v>
      </c>
      <c r="AO501" s="246">
        <f>IFERROR(VLOOKUP(M501,PROGRAMAS[],3,FALSE),0)</f>
        <v>0</v>
      </c>
      <c r="AP501" s="246">
        <f>IFERROR(VLOOKUP(N501,PROGRAMAS[],3,FALSE),0)</f>
        <v>0</v>
      </c>
      <c r="AQ501" s="246">
        <f>IFERROR(VLOOKUP(O501,PROGRAMAS[],3,FALSE),0)</f>
        <v>0</v>
      </c>
      <c r="AR501" s="246">
        <f>IFERROR(VLOOKUP(P501,PROGRAMAS[],3,FALSE),0)</f>
        <v>0</v>
      </c>
      <c r="AS501" s="246">
        <f>IFERROR(VLOOKUP(Q501,PROGRAMAS[],3,FALSE),0)</f>
        <v>0</v>
      </c>
      <c r="AT501" s="246">
        <f>IFERROR(VLOOKUP(D501,VOL_REC[],2,FALSE),0)</f>
        <v>0</v>
      </c>
      <c r="AU501" s="246">
        <f>IFERROR(VLOOKUP(E501,VOL_REC[],2,FALSE),0)</f>
        <v>0</v>
      </c>
      <c r="AV501" s="246">
        <f>IFERROR(VLOOKUP(F501,VOL_REC[],2,FALSE),0)</f>
        <v>11089674.200000001</v>
      </c>
      <c r="AW501" s="246">
        <f>IFERROR(VLOOKUP(G501,VOL_REC[],2,FALSE),0)</f>
        <v>3761786</v>
      </c>
      <c r="AX501" s="246">
        <f>IFERROR(VLOOKUP(H501,VOL_REC[],2,FALSE),0)</f>
        <v>1812240</v>
      </c>
      <c r="AY501" s="246">
        <f>IFERROR(VLOOKUP(I501,VOL_REC[],2,FALSE),0)</f>
        <v>663244.80000000016</v>
      </c>
      <c r="AZ501" s="246">
        <f>IFERROR(VLOOKUP(J501,VOL_REC[],2,FALSE),0)</f>
        <v>740113.98115702497</v>
      </c>
      <c r="BA501" s="246">
        <f>IFERROR(VLOOKUP(K501,VOL_REC[],2,FALSE),0)</f>
        <v>0</v>
      </c>
      <c r="BB501" s="246">
        <f>IFERROR(VLOOKUP(L501,VOL_REC[],2,FALSE),0)</f>
        <v>0</v>
      </c>
      <c r="BC501" s="246">
        <f>IFERROR(VLOOKUP(M501,VOL_REC[],2,FALSE),0)</f>
        <v>0</v>
      </c>
      <c r="BD501" s="246">
        <f>IFERROR(VLOOKUP(N501,VOL_REC[],2,FALSE),0)</f>
        <v>0</v>
      </c>
      <c r="BE501" s="246">
        <f>IFERROR(VLOOKUP(O501,VOL_REC[],2,FALSE),0)</f>
        <v>0</v>
      </c>
      <c r="BF501" s="246">
        <f>IFERROR(VLOOKUP(P501,VOL_REC[],2,FALSE),0)</f>
        <v>0</v>
      </c>
      <c r="BG501" s="246">
        <f>IFERROR(VLOOKUP(Q501,VOL_REC[],2,FALSE),0)</f>
        <v>0</v>
      </c>
      <c r="BH501" s="1710">
        <f t="shared" si="28"/>
        <v>20233080184.532528</v>
      </c>
      <c r="BI501" s="1710">
        <f t="shared" si="29"/>
        <v>22537689307.028973</v>
      </c>
      <c r="BJ501" s="1711">
        <f t="shared" si="30"/>
        <v>18067058.981157023</v>
      </c>
      <c r="BK501" s="1711">
        <f t="shared" si="31"/>
        <v>0.8977442145420963</v>
      </c>
    </row>
    <row r="502" spans="3:67" x14ac:dyDescent="0.25">
      <c r="C502" s="246" t="s">
        <v>1852</v>
      </c>
      <c r="D502" s="246">
        <v>1</v>
      </c>
      <c r="E502" s="246">
        <v>2</v>
      </c>
      <c r="F502" s="246">
        <v>3</v>
      </c>
      <c r="G502" s="246">
        <v>9</v>
      </c>
      <c r="H502" s="246">
        <v>10</v>
      </c>
      <c r="I502" s="246">
        <v>14</v>
      </c>
      <c r="J502" s="246">
        <v>15</v>
      </c>
      <c r="K502" s="246"/>
      <c r="L502" s="246"/>
      <c r="M502" s="246"/>
      <c r="N502" s="246"/>
      <c r="O502" s="246"/>
      <c r="P502" s="246"/>
      <c r="Q502" s="246"/>
      <c r="R502" s="246">
        <f>IFERROR(VLOOKUP(D502,PROGRAMAS[],2,FALSE),0)</f>
        <v>97037803.679377079</v>
      </c>
      <c r="S502" s="246">
        <f>IFERROR(VLOOKUP(E502,PROGRAMAS[],2,FALSE),0)</f>
        <v>640501509.6821388</v>
      </c>
      <c r="T502" s="246">
        <f>IFERROR(VLOOKUP(F502,PROGRAMAS[],2,FALSE),0)</f>
        <v>3062327798.1525245</v>
      </c>
      <c r="U502" s="246">
        <f>IFERROR(VLOOKUP(G502,PROGRAMAS[],2,FALSE),0)</f>
        <v>6128579952.1618185</v>
      </c>
      <c r="V502" s="246">
        <f>IFERROR(VLOOKUP(H502,PROGRAMAS[],2,FALSE),0)</f>
        <v>4635315027.8751087</v>
      </c>
      <c r="W502" s="246">
        <f>IFERROR(VLOOKUP(I502,PROGRAMAS[],2,FALSE),0)</f>
        <v>54223862.645839565</v>
      </c>
      <c r="X502" s="246">
        <f>IFERROR(VLOOKUP(J502,PROGRAMAS[],2,FALSE),0)</f>
        <v>122159672.96346797</v>
      </c>
      <c r="Y502" s="246">
        <f>IFERROR(VLOOKUP(K502,PROGRAMAS[],2,FALSE),0)</f>
        <v>0</v>
      </c>
      <c r="Z502" s="246">
        <f>IFERROR(VLOOKUP(L502,PROGRAMAS[],2,FALSE),0)</f>
        <v>0</v>
      </c>
      <c r="AA502" s="246">
        <f>IFERROR(VLOOKUP(M502,PROGRAMAS[],2,FALSE),0)</f>
        <v>0</v>
      </c>
      <c r="AB502" s="246">
        <f>IFERROR(VLOOKUP(N502,PROGRAMAS[],2,FALSE),0)</f>
        <v>0</v>
      </c>
      <c r="AC502" s="246">
        <f>IFERROR(VLOOKUP(O502,PROGRAMAS[],2,FALSE),0)</f>
        <v>0</v>
      </c>
      <c r="AD502" s="246">
        <f>IFERROR(VLOOKUP(P502,PROGRAMAS[],2,FALSE),0)</f>
        <v>0</v>
      </c>
      <c r="AE502" s="246">
        <f>IFERROR(VLOOKUP(Q502,PROGRAMAS[],2,FALSE),0)</f>
        <v>0</v>
      </c>
      <c r="AF502" s="246">
        <f>IFERROR(VLOOKUP(D502,PROGRAMAS[],3,FALSE),0)</f>
        <v>841888629.31080008</v>
      </c>
      <c r="AG502" s="246">
        <f>IFERROR(VLOOKUP(E502,PROGRAMAS[],3,FALSE),0)</f>
        <v>3848980803.1642323</v>
      </c>
      <c r="AH502" s="246">
        <f>IFERROR(VLOOKUP(F502,PROGRAMAS[],3,FALSE),0)</f>
        <v>3394901471.387517</v>
      </c>
      <c r="AI502" s="246">
        <f>IFERROR(VLOOKUP(G502,PROGRAMAS[],3,FALSE),0)</f>
        <v>7011279577.519702</v>
      </c>
      <c r="AJ502" s="246">
        <f>IFERROR(VLOOKUP(H502,PROGRAMAS[],3,FALSE),0)</f>
        <v>4099471734.9978786</v>
      </c>
      <c r="AK502" s="246">
        <f>IFERROR(VLOOKUP(I502,PROGRAMAS[],3,FALSE),0)</f>
        <v>31865326.38096505</v>
      </c>
      <c r="AL502" s="246">
        <f>IFERROR(VLOOKUP(J502,PROGRAMAS[],3,FALSE),0)</f>
        <v>118617452.52510804</v>
      </c>
      <c r="AM502" s="246">
        <f>IFERROR(VLOOKUP(K502,PROGRAMAS[],3,FALSE),0)</f>
        <v>0</v>
      </c>
      <c r="AN502" s="246">
        <f>IFERROR(VLOOKUP(L502,PROGRAMAS[],3,FALSE),0)</f>
        <v>0</v>
      </c>
      <c r="AO502" s="246">
        <f>IFERROR(VLOOKUP(M502,PROGRAMAS[],3,FALSE),0)</f>
        <v>0</v>
      </c>
      <c r="AP502" s="246">
        <f>IFERROR(VLOOKUP(N502,PROGRAMAS[],3,FALSE),0)</f>
        <v>0</v>
      </c>
      <c r="AQ502" s="246">
        <f>IFERROR(VLOOKUP(O502,PROGRAMAS[],3,FALSE),0)</f>
        <v>0</v>
      </c>
      <c r="AR502" s="246">
        <f>IFERROR(VLOOKUP(P502,PROGRAMAS[],3,FALSE),0)</f>
        <v>0</v>
      </c>
      <c r="AS502" s="246">
        <f>IFERROR(VLOOKUP(Q502,PROGRAMAS[],3,FALSE),0)</f>
        <v>0</v>
      </c>
      <c r="AT502" s="246">
        <f>IFERROR(VLOOKUP(D502,VOL_REC[],2,FALSE),0)</f>
        <v>0</v>
      </c>
      <c r="AU502" s="246">
        <f>IFERROR(VLOOKUP(E502,VOL_REC[],2,FALSE),0)</f>
        <v>0</v>
      </c>
      <c r="AV502" s="246">
        <f>IFERROR(VLOOKUP(F502,VOL_REC[],2,FALSE),0)</f>
        <v>11089674.200000001</v>
      </c>
      <c r="AW502" s="246">
        <f>IFERROR(VLOOKUP(G502,VOL_REC[],2,FALSE),0)</f>
        <v>3761786</v>
      </c>
      <c r="AX502" s="246">
        <f>IFERROR(VLOOKUP(H502,VOL_REC[],2,FALSE),0)</f>
        <v>1812240</v>
      </c>
      <c r="AY502" s="246">
        <f>IFERROR(VLOOKUP(I502,VOL_REC[],2,FALSE),0)</f>
        <v>17074.045034105649</v>
      </c>
      <c r="AZ502" s="246">
        <f>IFERROR(VLOOKUP(J502,VOL_REC[],2,FALSE),0)</f>
        <v>105072</v>
      </c>
      <c r="BA502" s="246">
        <f>IFERROR(VLOOKUP(K502,VOL_REC[],2,FALSE),0)</f>
        <v>0</v>
      </c>
      <c r="BB502" s="246">
        <f>IFERROR(VLOOKUP(L502,VOL_REC[],2,FALSE),0)</f>
        <v>0</v>
      </c>
      <c r="BC502" s="246">
        <f>IFERROR(VLOOKUP(M502,VOL_REC[],2,FALSE),0)</f>
        <v>0</v>
      </c>
      <c r="BD502" s="246">
        <f>IFERROR(VLOOKUP(N502,VOL_REC[],2,FALSE),0)</f>
        <v>0</v>
      </c>
      <c r="BE502" s="246">
        <f>IFERROR(VLOOKUP(O502,VOL_REC[],2,FALSE),0)</f>
        <v>0</v>
      </c>
      <c r="BF502" s="246">
        <f>IFERROR(VLOOKUP(P502,VOL_REC[],2,FALSE),0)</f>
        <v>0</v>
      </c>
      <c r="BG502" s="246">
        <f>IFERROR(VLOOKUP(Q502,VOL_REC[],2,FALSE),0)</f>
        <v>0</v>
      </c>
      <c r="BH502" s="1710">
        <f t="shared" si="28"/>
        <v>14740145627.160276</v>
      </c>
      <c r="BI502" s="1710">
        <f t="shared" si="29"/>
        <v>19347004995.286205</v>
      </c>
      <c r="BJ502" s="1711">
        <f t="shared" si="30"/>
        <v>16785846.245034106</v>
      </c>
      <c r="BK502" s="1711">
        <f t="shared" si="31"/>
        <v>0.76188255653790515</v>
      </c>
    </row>
    <row r="503" spans="3:67" x14ac:dyDescent="0.25">
      <c r="C503" s="246" t="s">
        <v>1853</v>
      </c>
      <c r="D503" s="246">
        <v>1</v>
      </c>
      <c r="E503" s="246">
        <v>2</v>
      </c>
      <c r="F503" s="246">
        <v>3</v>
      </c>
      <c r="G503" s="246">
        <v>9</v>
      </c>
      <c r="H503" s="246">
        <v>10</v>
      </c>
      <c r="I503" s="246">
        <v>14</v>
      </c>
      <c r="J503" s="246">
        <v>16</v>
      </c>
      <c r="K503" s="246"/>
      <c r="L503" s="246"/>
      <c r="M503" s="246"/>
      <c r="N503" s="246"/>
      <c r="O503" s="246"/>
      <c r="P503" s="246"/>
      <c r="Q503" s="246"/>
      <c r="R503" s="246">
        <f>IFERROR(VLOOKUP(D503,PROGRAMAS[],2,FALSE),0)</f>
        <v>97037803.679377079</v>
      </c>
      <c r="S503" s="246">
        <f>IFERROR(VLOOKUP(E503,PROGRAMAS[],2,FALSE),0)</f>
        <v>640501509.6821388</v>
      </c>
      <c r="T503" s="246">
        <f>IFERROR(VLOOKUP(F503,PROGRAMAS[],2,FALSE),0)</f>
        <v>3062327798.1525245</v>
      </c>
      <c r="U503" s="246">
        <f>IFERROR(VLOOKUP(G503,PROGRAMAS[],2,FALSE),0)</f>
        <v>6128579952.1618185</v>
      </c>
      <c r="V503" s="246">
        <f>IFERROR(VLOOKUP(H503,PROGRAMAS[],2,FALSE),0)</f>
        <v>4635315027.8751087</v>
      </c>
      <c r="W503" s="246">
        <f>IFERROR(VLOOKUP(I503,PROGRAMAS[],2,FALSE),0)</f>
        <v>54223862.645839565</v>
      </c>
      <c r="X503" s="246">
        <f>IFERROR(VLOOKUP(J503,PROGRAMAS[],2,FALSE),0)</f>
        <v>7068496961.0436354</v>
      </c>
      <c r="Y503" s="246">
        <f>IFERROR(VLOOKUP(K503,PROGRAMAS[],2,FALSE),0)</f>
        <v>0</v>
      </c>
      <c r="Z503" s="246">
        <f>IFERROR(VLOOKUP(L503,PROGRAMAS[],2,FALSE),0)</f>
        <v>0</v>
      </c>
      <c r="AA503" s="246">
        <f>IFERROR(VLOOKUP(M503,PROGRAMAS[],2,FALSE),0)</f>
        <v>0</v>
      </c>
      <c r="AB503" s="246">
        <f>IFERROR(VLOOKUP(N503,PROGRAMAS[],2,FALSE),0)</f>
        <v>0</v>
      </c>
      <c r="AC503" s="246">
        <f>IFERROR(VLOOKUP(O503,PROGRAMAS[],2,FALSE),0)</f>
        <v>0</v>
      </c>
      <c r="AD503" s="246">
        <f>IFERROR(VLOOKUP(P503,PROGRAMAS[],2,FALSE),0)</f>
        <v>0</v>
      </c>
      <c r="AE503" s="246">
        <f>IFERROR(VLOOKUP(Q503,PROGRAMAS[],2,FALSE),0)</f>
        <v>0</v>
      </c>
      <c r="AF503" s="246">
        <f>IFERROR(VLOOKUP(D503,PROGRAMAS[],3,FALSE),0)</f>
        <v>841888629.31080008</v>
      </c>
      <c r="AG503" s="246">
        <f>IFERROR(VLOOKUP(E503,PROGRAMAS[],3,FALSE),0)</f>
        <v>3848980803.1642323</v>
      </c>
      <c r="AH503" s="246">
        <f>IFERROR(VLOOKUP(F503,PROGRAMAS[],3,FALSE),0)</f>
        <v>3394901471.387517</v>
      </c>
      <c r="AI503" s="246">
        <f>IFERROR(VLOOKUP(G503,PROGRAMAS[],3,FALSE),0)</f>
        <v>7011279577.519702</v>
      </c>
      <c r="AJ503" s="246">
        <f>IFERROR(VLOOKUP(H503,PROGRAMAS[],3,FALSE),0)</f>
        <v>4099471734.9978786</v>
      </c>
      <c r="AK503" s="246">
        <f>IFERROR(VLOOKUP(I503,PROGRAMAS[],3,FALSE),0)</f>
        <v>31865326.38096505</v>
      </c>
      <c r="AL503" s="246">
        <f>IFERROR(VLOOKUP(J503,PROGRAMAS[],3,FALSE),0)</f>
        <v>2406564599.0319901</v>
      </c>
      <c r="AM503" s="246">
        <f>IFERROR(VLOOKUP(K503,PROGRAMAS[],3,FALSE),0)</f>
        <v>0</v>
      </c>
      <c r="AN503" s="246">
        <f>IFERROR(VLOOKUP(L503,PROGRAMAS[],3,FALSE),0)</f>
        <v>0</v>
      </c>
      <c r="AO503" s="246">
        <f>IFERROR(VLOOKUP(M503,PROGRAMAS[],3,FALSE),0)</f>
        <v>0</v>
      </c>
      <c r="AP503" s="246">
        <f>IFERROR(VLOOKUP(N503,PROGRAMAS[],3,FALSE),0)</f>
        <v>0</v>
      </c>
      <c r="AQ503" s="246">
        <f>IFERROR(VLOOKUP(O503,PROGRAMAS[],3,FALSE),0)</f>
        <v>0</v>
      </c>
      <c r="AR503" s="246">
        <f>IFERROR(VLOOKUP(P503,PROGRAMAS[],3,FALSE),0)</f>
        <v>0</v>
      </c>
      <c r="AS503" s="246">
        <f>IFERROR(VLOOKUP(Q503,PROGRAMAS[],3,FALSE),0)</f>
        <v>0</v>
      </c>
      <c r="AT503" s="246">
        <f>IFERROR(VLOOKUP(D503,VOL_REC[],2,FALSE),0)</f>
        <v>0</v>
      </c>
      <c r="AU503" s="246">
        <f>IFERROR(VLOOKUP(E503,VOL_REC[],2,FALSE),0)</f>
        <v>0</v>
      </c>
      <c r="AV503" s="246">
        <f>IFERROR(VLOOKUP(F503,VOL_REC[],2,FALSE),0)</f>
        <v>11089674.200000001</v>
      </c>
      <c r="AW503" s="246">
        <f>IFERROR(VLOOKUP(G503,VOL_REC[],2,FALSE),0)</f>
        <v>3761786</v>
      </c>
      <c r="AX503" s="246">
        <f>IFERROR(VLOOKUP(H503,VOL_REC[],2,FALSE),0)</f>
        <v>1812240</v>
      </c>
      <c r="AY503" s="246">
        <f>IFERROR(VLOOKUP(I503,VOL_REC[],2,FALSE),0)</f>
        <v>17074.045034105649</v>
      </c>
      <c r="AZ503" s="246">
        <f>IFERROR(VLOOKUP(J503,VOL_REC[],2,FALSE),0)</f>
        <v>1072354.9981737854</v>
      </c>
      <c r="BA503" s="246">
        <f>IFERROR(VLOOKUP(K503,VOL_REC[],2,FALSE),0)</f>
        <v>0</v>
      </c>
      <c r="BB503" s="246">
        <f>IFERROR(VLOOKUP(L503,VOL_REC[],2,FALSE),0)</f>
        <v>0</v>
      </c>
      <c r="BC503" s="246">
        <f>IFERROR(VLOOKUP(M503,VOL_REC[],2,FALSE),0)</f>
        <v>0</v>
      </c>
      <c r="BD503" s="246">
        <f>IFERROR(VLOOKUP(N503,VOL_REC[],2,FALSE),0)</f>
        <v>0</v>
      </c>
      <c r="BE503" s="246">
        <f>IFERROR(VLOOKUP(O503,VOL_REC[],2,FALSE),0)</f>
        <v>0</v>
      </c>
      <c r="BF503" s="246">
        <f>IFERROR(VLOOKUP(P503,VOL_REC[],2,FALSE),0)</f>
        <v>0</v>
      </c>
      <c r="BG503" s="246">
        <f>IFERROR(VLOOKUP(Q503,VOL_REC[],2,FALSE),0)</f>
        <v>0</v>
      </c>
      <c r="BH503" s="1710">
        <f t="shared" si="28"/>
        <v>21686482915.240444</v>
      </c>
      <c r="BI503" s="1710">
        <f t="shared" si="29"/>
        <v>21634952141.793087</v>
      </c>
      <c r="BJ503" s="1711">
        <f t="shared" si="30"/>
        <v>17753129.243207891</v>
      </c>
      <c r="BK503" s="1711">
        <f t="shared" si="31"/>
        <v>1.0023818297868019</v>
      </c>
      <c r="BL503">
        <f>BJ503</f>
        <v>17753129.243207891</v>
      </c>
      <c r="BO503">
        <f>BL503</f>
        <v>17753129.243207891</v>
      </c>
    </row>
    <row r="504" spans="3:67" x14ac:dyDescent="0.25">
      <c r="C504" s="246" t="s">
        <v>1854</v>
      </c>
      <c r="D504" s="246">
        <v>1</v>
      </c>
      <c r="E504" s="246">
        <v>2</v>
      </c>
      <c r="F504" s="246">
        <v>3</v>
      </c>
      <c r="G504" s="246">
        <v>9</v>
      </c>
      <c r="H504" s="246">
        <v>10</v>
      </c>
      <c r="I504" s="246">
        <v>14</v>
      </c>
      <c r="J504" s="246">
        <v>17</v>
      </c>
      <c r="K504" s="246"/>
      <c r="L504" s="246"/>
      <c r="M504" s="246"/>
      <c r="N504" s="246"/>
      <c r="O504" s="246"/>
      <c r="P504" s="246"/>
      <c r="Q504" s="246"/>
      <c r="R504" s="246">
        <f>IFERROR(VLOOKUP(D504,PROGRAMAS[],2,FALSE),0)</f>
        <v>97037803.679377079</v>
      </c>
      <c r="S504" s="246">
        <f>IFERROR(VLOOKUP(E504,PROGRAMAS[],2,FALSE),0)</f>
        <v>640501509.6821388</v>
      </c>
      <c r="T504" s="246">
        <f>IFERROR(VLOOKUP(F504,PROGRAMAS[],2,FALSE),0)</f>
        <v>3062327798.1525245</v>
      </c>
      <c r="U504" s="246">
        <f>IFERROR(VLOOKUP(G504,PROGRAMAS[],2,FALSE),0)</f>
        <v>6128579952.1618185</v>
      </c>
      <c r="V504" s="246">
        <f>IFERROR(VLOOKUP(H504,PROGRAMAS[],2,FALSE),0)</f>
        <v>4635315027.8751087</v>
      </c>
      <c r="W504" s="246">
        <f>IFERROR(VLOOKUP(I504,PROGRAMAS[],2,FALSE),0)</f>
        <v>54223862.645839565</v>
      </c>
      <c r="X504" s="246">
        <f>IFERROR(VLOOKUP(J504,PROGRAMAS[],2,FALSE),0)</f>
        <v>1892779498.5211046</v>
      </c>
      <c r="Y504" s="246">
        <f>IFERROR(VLOOKUP(K504,PROGRAMAS[],2,FALSE),0)</f>
        <v>0</v>
      </c>
      <c r="Z504" s="246">
        <f>IFERROR(VLOOKUP(L504,PROGRAMAS[],2,FALSE),0)</f>
        <v>0</v>
      </c>
      <c r="AA504" s="246">
        <f>IFERROR(VLOOKUP(M504,PROGRAMAS[],2,FALSE),0)</f>
        <v>0</v>
      </c>
      <c r="AB504" s="246">
        <f>IFERROR(VLOOKUP(N504,PROGRAMAS[],2,FALSE),0)</f>
        <v>0</v>
      </c>
      <c r="AC504" s="246">
        <f>IFERROR(VLOOKUP(O504,PROGRAMAS[],2,FALSE),0)</f>
        <v>0</v>
      </c>
      <c r="AD504" s="246">
        <f>IFERROR(VLOOKUP(P504,PROGRAMAS[],2,FALSE),0)</f>
        <v>0</v>
      </c>
      <c r="AE504" s="246">
        <f>IFERROR(VLOOKUP(Q504,PROGRAMAS[],2,FALSE),0)</f>
        <v>0</v>
      </c>
      <c r="AF504" s="246">
        <f>IFERROR(VLOOKUP(D504,PROGRAMAS[],3,FALSE),0)</f>
        <v>841888629.31080008</v>
      </c>
      <c r="AG504" s="246">
        <f>IFERROR(VLOOKUP(E504,PROGRAMAS[],3,FALSE),0)</f>
        <v>3848980803.1642323</v>
      </c>
      <c r="AH504" s="246">
        <f>IFERROR(VLOOKUP(F504,PROGRAMAS[],3,FALSE),0)</f>
        <v>3394901471.387517</v>
      </c>
      <c r="AI504" s="246">
        <f>IFERROR(VLOOKUP(G504,PROGRAMAS[],3,FALSE),0)</f>
        <v>7011279577.519702</v>
      </c>
      <c r="AJ504" s="246">
        <f>IFERROR(VLOOKUP(H504,PROGRAMAS[],3,FALSE),0)</f>
        <v>4099471734.9978786</v>
      </c>
      <c r="AK504" s="246">
        <f>IFERROR(VLOOKUP(I504,PROGRAMAS[],3,FALSE),0)</f>
        <v>31865326.38096505</v>
      </c>
      <c r="AL504" s="246">
        <f>IFERROR(VLOOKUP(J504,PROGRAMAS[],3,FALSE),0)</f>
        <v>948595847.09039903</v>
      </c>
      <c r="AM504" s="246">
        <f>IFERROR(VLOOKUP(K504,PROGRAMAS[],3,FALSE),0)</f>
        <v>0</v>
      </c>
      <c r="AN504" s="246">
        <f>IFERROR(VLOOKUP(L504,PROGRAMAS[],3,FALSE),0)</f>
        <v>0</v>
      </c>
      <c r="AO504" s="246">
        <f>IFERROR(VLOOKUP(M504,PROGRAMAS[],3,FALSE),0)</f>
        <v>0</v>
      </c>
      <c r="AP504" s="246">
        <f>IFERROR(VLOOKUP(N504,PROGRAMAS[],3,FALSE),0)</f>
        <v>0</v>
      </c>
      <c r="AQ504" s="246">
        <f>IFERROR(VLOOKUP(O504,PROGRAMAS[],3,FALSE),0)</f>
        <v>0</v>
      </c>
      <c r="AR504" s="246">
        <f>IFERROR(VLOOKUP(P504,PROGRAMAS[],3,FALSE),0)</f>
        <v>0</v>
      </c>
      <c r="AS504" s="246">
        <f>IFERROR(VLOOKUP(Q504,PROGRAMAS[],3,FALSE),0)</f>
        <v>0</v>
      </c>
      <c r="AT504" s="246">
        <f>IFERROR(VLOOKUP(D504,VOL_REC[],2,FALSE),0)</f>
        <v>0</v>
      </c>
      <c r="AU504" s="246">
        <f>IFERROR(VLOOKUP(E504,VOL_REC[],2,FALSE),0)</f>
        <v>0</v>
      </c>
      <c r="AV504" s="246">
        <f>IFERROR(VLOOKUP(F504,VOL_REC[],2,FALSE),0)</f>
        <v>11089674.200000001</v>
      </c>
      <c r="AW504" s="246">
        <f>IFERROR(VLOOKUP(G504,VOL_REC[],2,FALSE),0)</f>
        <v>3761786</v>
      </c>
      <c r="AX504" s="246">
        <f>IFERROR(VLOOKUP(H504,VOL_REC[],2,FALSE),0)</f>
        <v>1812240</v>
      </c>
      <c r="AY504" s="246">
        <f>IFERROR(VLOOKUP(I504,VOL_REC[],2,FALSE),0)</f>
        <v>17074.045034105649</v>
      </c>
      <c r="AZ504" s="246">
        <f>IFERROR(VLOOKUP(J504,VOL_REC[],2,FALSE),0)</f>
        <v>740113.98115702497</v>
      </c>
      <c r="BA504" s="246">
        <f>IFERROR(VLOOKUP(K504,VOL_REC[],2,FALSE),0)</f>
        <v>0</v>
      </c>
      <c r="BB504" s="246">
        <f>IFERROR(VLOOKUP(L504,VOL_REC[],2,FALSE),0)</f>
        <v>0</v>
      </c>
      <c r="BC504" s="246">
        <f>IFERROR(VLOOKUP(M504,VOL_REC[],2,FALSE),0)</f>
        <v>0</v>
      </c>
      <c r="BD504" s="246">
        <f>IFERROR(VLOOKUP(N504,VOL_REC[],2,FALSE),0)</f>
        <v>0</v>
      </c>
      <c r="BE504" s="246">
        <f>IFERROR(VLOOKUP(O504,VOL_REC[],2,FALSE),0)</f>
        <v>0</v>
      </c>
      <c r="BF504" s="246">
        <f>IFERROR(VLOOKUP(P504,VOL_REC[],2,FALSE),0)</f>
        <v>0</v>
      </c>
      <c r="BG504" s="246">
        <f>IFERROR(VLOOKUP(Q504,VOL_REC[],2,FALSE),0)</f>
        <v>0</v>
      </c>
      <c r="BH504" s="1710">
        <f t="shared" si="28"/>
        <v>16510765452.717913</v>
      </c>
      <c r="BI504" s="1710">
        <f t="shared" si="29"/>
        <v>20176983389.851498</v>
      </c>
      <c r="BJ504" s="1711">
        <f t="shared" si="30"/>
        <v>17420888.22619113</v>
      </c>
      <c r="BK504" s="1711">
        <f t="shared" si="31"/>
        <v>0.81829702357897571</v>
      </c>
    </row>
    <row r="505" spans="3:67" x14ac:dyDescent="0.25">
      <c r="C505" s="246" t="s">
        <v>1855</v>
      </c>
      <c r="D505" s="246">
        <v>1</v>
      </c>
      <c r="E505" s="246">
        <v>2</v>
      </c>
      <c r="F505" s="246">
        <v>3</v>
      </c>
      <c r="G505" s="246">
        <v>9</v>
      </c>
      <c r="H505" s="246">
        <v>10</v>
      </c>
      <c r="I505" s="246">
        <v>15</v>
      </c>
      <c r="J505" s="246">
        <v>16</v>
      </c>
      <c r="K505" s="246"/>
      <c r="L505" s="246"/>
      <c r="M505" s="246"/>
      <c r="N505" s="246"/>
      <c r="O505" s="246"/>
      <c r="P505" s="246"/>
      <c r="Q505" s="246"/>
      <c r="R505" s="246">
        <f>IFERROR(VLOOKUP(D505,PROGRAMAS[],2,FALSE),0)</f>
        <v>97037803.679377079</v>
      </c>
      <c r="S505" s="246">
        <f>IFERROR(VLOOKUP(E505,PROGRAMAS[],2,FALSE),0)</f>
        <v>640501509.6821388</v>
      </c>
      <c r="T505" s="246">
        <f>IFERROR(VLOOKUP(F505,PROGRAMAS[],2,FALSE),0)</f>
        <v>3062327798.1525245</v>
      </c>
      <c r="U505" s="246">
        <f>IFERROR(VLOOKUP(G505,PROGRAMAS[],2,FALSE),0)</f>
        <v>6128579952.1618185</v>
      </c>
      <c r="V505" s="246">
        <f>IFERROR(VLOOKUP(H505,PROGRAMAS[],2,FALSE),0)</f>
        <v>4635315027.8751087</v>
      </c>
      <c r="W505" s="246">
        <f>IFERROR(VLOOKUP(I505,PROGRAMAS[],2,FALSE),0)</f>
        <v>122159672.96346797</v>
      </c>
      <c r="X505" s="246">
        <f>IFERROR(VLOOKUP(J505,PROGRAMAS[],2,FALSE),0)</f>
        <v>7068496961.0436354</v>
      </c>
      <c r="Y505" s="246">
        <f>IFERROR(VLOOKUP(K505,PROGRAMAS[],2,FALSE),0)</f>
        <v>0</v>
      </c>
      <c r="Z505" s="246">
        <f>IFERROR(VLOOKUP(L505,PROGRAMAS[],2,FALSE),0)</f>
        <v>0</v>
      </c>
      <c r="AA505" s="246">
        <f>IFERROR(VLOOKUP(M505,PROGRAMAS[],2,FALSE),0)</f>
        <v>0</v>
      </c>
      <c r="AB505" s="246">
        <f>IFERROR(VLOOKUP(N505,PROGRAMAS[],2,FALSE),0)</f>
        <v>0</v>
      </c>
      <c r="AC505" s="246">
        <f>IFERROR(VLOOKUP(O505,PROGRAMAS[],2,FALSE),0)</f>
        <v>0</v>
      </c>
      <c r="AD505" s="246">
        <f>IFERROR(VLOOKUP(P505,PROGRAMAS[],2,FALSE),0)</f>
        <v>0</v>
      </c>
      <c r="AE505" s="246">
        <f>IFERROR(VLOOKUP(Q505,PROGRAMAS[],2,FALSE),0)</f>
        <v>0</v>
      </c>
      <c r="AF505" s="246">
        <f>IFERROR(VLOOKUP(D505,PROGRAMAS[],3,FALSE),0)</f>
        <v>841888629.31080008</v>
      </c>
      <c r="AG505" s="246">
        <f>IFERROR(VLOOKUP(E505,PROGRAMAS[],3,FALSE),0)</f>
        <v>3848980803.1642323</v>
      </c>
      <c r="AH505" s="246">
        <f>IFERROR(VLOOKUP(F505,PROGRAMAS[],3,FALSE),0)</f>
        <v>3394901471.387517</v>
      </c>
      <c r="AI505" s="246">
        <f>IFERROR(VLOOKUP(G505,PROGRAMAS[],3,FALSE),0)</f>
        <v>7011279577.519702</v>
      </c>
      <c r="AJ505" s="246">
        <f>IFERROR(VLOOKUP(H505,PROGRAMAS[],3,FALSE),0)</f>
        <v>4099471734.9978786</v>
      </c>
      <c r="AK505" s="246">
        <f>IFERROR(VLOOKUP(I505,PROGRAMAS[],3,FALSE),0)</f>
        <v>118617452.52510804</v>
      </c>
      <c r="AL505" s="246">
        <f>IFERROR(VLOOKUP(J505,PROGRAMAS[],3,FALSE),0)</f>
        <v>2406564599.0319901</v>
      </c>
      <c r="AM505" s="246">
        <f>IFERROR(VLOOKUP(K505,PROGRAMAS[],3,FALSE),0)</f>
        <v>0</v>
      </c>
      <c r="AN505" s="246">
        <f>IFERROR(VLOOKUP(L505,PROGRAMAS[],3,FALSE),0)</f>
        <v>0</v>
      </c>
      <c r="AO505" s="246">
        <f>IFERROR(VLOOKUP(M505,PROGRAMAS[],3,FALSE),0)</f>
        <v>0</v>
      </c>
      <c r="AP505" s="246">
        <f>IFERROR(VLOOKUP(N505,PROGRAMAS[],3,FALSE),0)</f>
        <v>0</v>
      </c>
      <c r="AQ505" s="246">
        <f>IFERROR(VLOOKUP(O505,PROGRAMAS[],3,FALSE),0)</f>
        <v>0</v>
      </c>
      <c r="AR505" s="246">
        <f>IFERROR(VLOOKUP(P505,PROGRAMAS[],3,FALSE),0)</f>
        <v>0</v>
      </c>
      <c r="AS505" s="246">
        <f>IFERROR(VLOOKUP(Q505,PROGRAMAS[],3,FALSE),0)</f>
        <v>0</v>
      </c>
      <c r="AT505" s="246">
        <f>IFERROR(VLOOKUP(D505,VOL_REC[],2,FALSE),0)</f>
        <v>0</v>
      </c>
      <c r="AU505" s="246">
        <f>IFERROR(VLOOKUP(E505,VOL_REC[],2,FALSE),0)</f>
        <v>0</v>
      </c>
      <c r="AV505" s="246">
        <f>IFERROR(VLOOKUP(F505,VOL_REC[],2,FALSE),0)</f>
        <v>11089674.200000001</v>
      </c>
      <c r="AW505" s="246">
        <f>IFERROR(VLOOKUP(G505,VOL_REC[],2,FALSE),0)</f>
        <v>3761786</v>
      </c>
      <c r="AX505" s="246">
        <f>IFERROR(VLOOKUP(H505,VOL_REC[],2,FALSE),0)</f>
        <v>1812240</v>
      </c>
      <c r="AY505" s="246">
        <f>IFERROR(VLOOKUP(I505,VOL_REC[],2,FALSE),0)</f>
        <v>105072</v>
      </c>
      <c r="AZ505" s="246">
        <f>IFERROR(VLOOKUP(J505,VOL_REC[],2,FALSE),0)</f>
        <v>1072354.9981737854</v>
      </c>
      <c r="BA505" s="246">
        <f>IFERROR(VLOOKUP(K505,VOL_REC[],2,FALSE),0)</f>
        <v>0</v>
      </c>
      <c r="BB505" s="246">
        <f>IFERROR(VLOOKUP(L505,VOL_REC[],2,FALSE),0)</f>
        <v>0</v>
      </c>
      <c r="BC505" s="246">
        <f>IFERROR(VLOOKUP(M505,VOL_REC[],2,FALSE),0)</f>
        <v>0</v>
      </c>
      <c r="BD505" s="246">
        <f>IFERROR(VLOOKUP(N505,VOL_REC[],2,FALSE),0)</f>
        <v>0</v>
      </c>
      <c r="BE505" s="246">
        <f>IFERROR(VLOOKUP(O505,VOL_REC[],2,FALSE),0)</f>
        <v>0</v>
      </c>
      <c r="BF505" s="246">
        <f>IFERROR(VLOOKUP(P505,VOL_REC[],2,FALSE),0)</f>
        <v>0</v>
      </c>
      <c r="BG505" s="246">
        <f>IFERROR(VLOOKUP(Q505,VOL_REC[],2,FALSE),0)</f>
        <v>0</v>
      </c>
      <c r="BH505" s="1710">
        <f t="shared" si="28"/>
        <v>21754418725.558071</v>
      </c>
      <c r="BI505" s="1710">
        <f t="shared" si="29"/>
        <v>21721704267.937229</v>
      </c>
      <c r="BJ505" s="1711">
        <f t="shared" si="30"/>
        <v>17841127.198173787</v>
      </c>
      <c r="BK505" s="1711">
        <f t="shared" si="31"/>
        <v>1.001506072323668</v>
      </c>
      <c r="BL505">
        <f>BJ505</f>
        <v>17841127.198173787</v>
      </c>
      <c r="BO505">
        <f>BL505</f>
        <v>17841127.198173787</v>
      </c>
    </row>
    <row r="506" spans="3:67" x14ac:dyDescent="0.25">
      <c r="C506" s="246" t="s">
        <v>1856</v>
      </c>
      <c r="D506" s="246">
        <v>1</v>
      </c>
      <c r="E506" s="246">
        <v>2</v>
      </c>
      <c r="F506" s="246">
        <v>3</v>
      </c>
      <c r="G506" s="246">
        <v>9</v>
      </c>
      <c r="H506" s="246">
        <v>10</v>
      </c>
      <c r="I506" s="246">
        <v>15</v>
      </c>
      <c r="J506" s="246">
        <v>17</v>
      </c>
      <c r="K506" s="246"/>
      <c r="L506" s="246"/>
      <c r="M506" s="246"/>
      <c r="N506" s="246"/>
      <c r="O506" s="246"/>
      <c r="P506" s="246"/>
      <c r="Q506" s="246"/>
      <c r="R506" s="246">
        <f>IFERROR(VLOOKUP(D506,PROGRAMAS[],2,FALSE),0)</f>
        <v>97037803.679377079</v>
      </c>
      <c r="S506" s="246">
        <f>IFERROR(VLOOKUP(E506,PROGRAMAS[],2,FALSE),0)</f>
        <v>640501509.6821388</v>
      </c>
      <c r="T506" s="246">
        <f>IFERROR(VLOOKUP(F506,PROGRAMAS[],2,FALSE),0)</f>
        <v>3062327798.1525245</v>
      </c>
      <c r="U506" s="246">
        <f>IFERROR(VLOOKUP(G506,PROGRAMAS[],2,FALSE),0)</f>
        <v>6128579952.1618185</v>
      </c>
      <c r="V506" s="246">
        <f>IFERROR(VLOOKUP(H506,PROGRAMAS[],2,FALSE),0)</f>
        <v>4635315027.8751087</v>
      </c>
      <c r="W506" s="246">
        <f>IFERROR(VLOOKUP(I506,PROGRAMAS[],2,FALSE),0)</f>
        <v>122159672.96346797</v>
      </c>
      <c r="X506" s="246">
        <f>IFERROR(VLOOKUP(J506,PROGRAMAS[],2,FALSE),0)</f>
        <v>1892779498.5211046</v>
      </c>
      <c r="Y506" s="246">
        <f>IFERROR(VLOOKUP(K506,PROGRAMAS[],2,FALSE),0)</f>
        <v>0</v>
      </c>
      <c r="Z506" s="246">
        <f>IFERROR(VLOOKUP(L506,PROGRAMAS[],2,FALSE),0)</f>
        <v>0</v>
      </c>
      <c r="AA506" s="246">
        <f>IFERROR(VLOOKUP(M506,PROGRAMAS[],2,FALSE),0)</f>
        <v>0</v>
      </c>
      <c r="AB506" s="246">
        <f>IFERROR(VLOOKUP(N506,PROGRAMAS[],2,FALSE),0)</f>
        <v>0</v>
      </c>
      <c r="AC506" s="246">
        <f>IFERROR(VLOOKUP(O506,PROGRAMAS[],2,FALSE),0)</f>
        <v>0</v>
      </c>
      <c r="AD506" s="246">
        <f>IFERROR(VLOOKUP(P506,PROGRAMAS[],2,FALSE),0)</f>
        <v>0</v>
      </c>
      <c r="AE506" s="246">
        <f>IFERROR(VLOOKUP(Q506,PROGRAMAS[],2,FALSE),0)</f>
        <v>0</v>
      </c>
      <c r="AF506" s="246">
        <f>IFERROR(VLOOKUP(D506,PROGRAMAS[],3,FALSE),0)</f>
        <v>841888629.31080008</v>
      </c>
      <c r="AG506" s="246">
        <f>IFERROR(VLOOKUP(E506,PROGRAMAS[],3,FALSE),0)</f>
        <v>3848980803.1642323</v>
      </c>
      <c r="AH506" s="246">
        <f>IFERROR(VLOOKUP(F506,PROGRAMAS[],3,FALSE),0)</f>
        <v>3394901471.387517</v>
      </c>
      <c r="AI506" s="246">
        <f>IFERROR(VLOOKUP(G506,PROGRAMAS[],3,FALSE),0)</f>
        <v>7011279577.519702</v>
      </c>
      <c r="AJ506" s="246">
        <f>IFERROR(VLOOKUP(H506,PROGRAMAS[],3,FALSE),0)</f>
        <v>4099471734.9978786</v>
      </c>
      <c r="AK506" s="246">
        <f>IFERROR(VLOOKUP(I506,PROGRAMAS[],3,FALSE),0)</f>
        <v>118617452.52510804</v>
      </c>
      <c r="AL506" s="246">
        <f>IFERROR(VLOOKUP(J506,PROGRAMAS[],3,FALSE),0)</f>
        <v>948595847.09039903</v>
      </c>
      <c r="AM506" s="246">
        <f>IFERROR(VLOOKUP(K506,PROGRAMAS[],3,FALSE),0)</f>
        <v>0</v>
      </c>
      <c r="AN506" s="246">
        <f>IFERROR(VLOOKUP(L506,PROGRAMAS[],3,FALSE),0)</f>
        <v>0</v>
      </c>
      <c r="AO506" s="246">
        <f>IFERROR(VLOOKUP(M506,PROGRAMAS[],3,FALSE),0)</f>
        <v>0</v>
      </c>
      <c r="AP506" s="246">
        <f>IFERROR(VLOOKUP(N506,PROGRAMAS[],3,FALSE),0)</f>
        <v>0</v>
      </c>
      <c r="AQ506" s="246">
        <f>IFERROR(VLOOKUP(O506,PROGRAMAS[],3,FALSE),0)</f>
        <v>0</v>
      </c>
      <c r="AR506" s="246">
        <f>IFERROR(VLOOKUP(P506,PROGRAMAS[],3,FALSE),0)</f>
        <v>0</v>
      </c>
      <c r="AS506" s="246">
        <f>IFERROR(VLOOKUP(Q506,PROGRAMAS[],3,FALSE),0)</f>
        <v>0</v>
      </c>
      <c r="AT506" s="246">
        <f>IFERROR(VLOOKUP(D506,VOL_REC[],2,FALSE),0)</f>
        <v>0</v>
      </c>
      <c r="AU506" s="246">
        <f>IFERROR(VLOOKUP(E506,VOL_REC[],2,FALSE),0)</f>
        <v>0</v>
      </c>
      <c r="AV506" s="246">
        <f>IFERROR(VLOOKUP(F506,VOL_REC[],2,FALSE),0)</f>
        <v>11089674.200000001</v>
      </c>
      <c r="AW506" s="246">
        <f>IFERROR(VLOOKUP(G506,VOL_REC[],2,FALSE),0)</f>
        <v>3761786</v>
      </c>
      <c r="AX506" s="246">
        <f>IFERROR(VLOOKUP(H506,VOL_REC[],2,FALSE),0)</f>
        <v>1812240</v>
      </c>
      <c r="AY506" s="246">
        <f>IFERROR(VLOOKUP(I506,VOL_REC[],2,FALSE),0)</f>
        <v>105072</v>
      </c>
      <c r="AZ506" s="246">
        <f>IFERROR(VLOOKUP(J506,VOL_REC[],2,FALSE),0)</f>
        <v>740113.98115702497</v>
      </c>
      <c r="BA506" s="246">
        <f>IFERROR(VLOOKUP(K506,VOL_REC[],2,FALSE),0)</f>
        <v>0</v>
      </c>
      <c r="BB506" s="246">
        <f>IFERROR(VLOOKUP(L506,VOL_REC[],2,FALSE),0)</f>
        <v>0</v>
      </c>
      <c r="BC506" s="246">
        <f>IFERROR(VLOOKUP(M506,VOL_REC[],2,FALSE),0)</f>
        <v>0</v>
      </c>
      <c r="BD506" s="246">
        <f>IFERROR(VLOOKUP(N506,VOL_REC[],2,FALSE),0)</f>
        <v>0</v>
      </c>
      <c r="BE506" s="246">
        <f>IFERROR(VLOOKUP(O506,VOL_REC[],2,FALSE),0)</f>
        <v>0</v>
      </c>
      <c r="BF506" s="246">
        <f>IFERROR(VLOOKUP(P506,VOL_REC[],2,FALSE),0)</f>
        <v>0</v>
      </c>
      <c r="BG506" s="246">
        <f>IFERROR(VLOOKUP(Q506,VOL_REC[],2,FALSE),0)</f>
        <v>0</v>
      </c>
      <c r="BH506" s="1710">
        <f t="shared" si="28"/>
        <v>16578701263.035542</v>
      </c>
      <c r="BI506" s="1710">
        <f t="shared" si="29"/>
        <v>20263735515.99564</v>
      </c>
      <c r="BJ506" s="1711">
        <f t="shared" si="30"/>
        <v>17508886.181157026</v>
      </c>
      <c r="BK506" s="1711">
        <f t="shared" si="31"/>
        <v>0.8181463506542892</v>
      </c>
    </row>
    <row r="507" spans="3:67" x14ac:dyDescent="0.25">
      <c r="C507" s="246" t="s">
        <v>1857</v>
      </c>
      <c r="D507" s="246">
        <v>1</v>
      </c>
      <c r="E507" s="246">
        <v>2</v>
      </c>
      <c r="F507" s="246">
        <v>3</v>
      </c>
      <c r="G507" s="246">
        <v>9</v>
      </c>
      <c r="H507" s="246">
        <v>10</v>
      </c>
      <c r="I507" s="246">
        <v>16</v>
      </c>
      <c r="J507" s="246">
        <v>17</v>
      </c>
      <c r="K507" s="246"/>
      <c r="L507" s="246"/>
      <c r="M507" s="246"/>
      <c r="N507" s="246"/>
      <c r="O507" s="246"/>
      <c r="P507" s="246"/>
      <c r="Q507" s="246"/>
      <c r="R507" s="246">
        <f>IFERROR(VLOOKUP(D507,PROGRAMAS[],2,FALSE),0)</f>
        <v>97037803.679377079</v>
      </c>
      <c r="S507" s="246">
        <f>IFERROR(VLOOKUP(E507,PROGRAMAS[],2,FALSE),0)</f>
        <v>640501509.6821388</v>
      </c>
      <c r="T507" s="246">
        <f>IFERROR(VLOOKUP(F507,PROGRAMAS[],2,FALSE),0)</f>
        <v>3062327798.1525245</v>
      </c>
      <c r="U507" s="246">
        <f>IFERROR(VLOOKUP(G507,PROGRAMAS[],2,FALSE),0)</f>
        <v>6128579952.1618185</v>
      </c>
      <c r="V507" s="246">
        <f>IFERROR(VLOOKUP(H507,PROGRAMAS[],2,FALSE),0)</f>
        <v>4635315027.8751087</v>
      </c>
      <c r="W507" s="246">
        <f>IFERROR(VLOOKUP(I507,PROGRAMAS[],2,FALSE),0)</f>
        <v>7068496961.0436354</v>
      </c>
      <c r="X507" s="246">
        <f>IFERROR(VLOOKUP(J507,PROGRAMAS[],2,FALSE),0)</f>
        <v>1892779498.5211046</v>
      </c>
      <c r="Y507" s="246">
        <f>IFERROR(VLOOKUP(K507,PROGRAMAS[],2,FALSE),0)</f>
        <v>0</v>
      </c>
      <c r="Z507" s="246">
        <f>IFERROR(VLOOKUP(L507,PROGRAMAS[],2,FALSE),0)</f>
        <v>0</v>
      </c>
      <c r="AA507" s="246">
        <f>IFERROR(VLOOKUP(M507,PROGRAMAS[],2,FALSE),0)</f>
        <v>0</v>
      </c>
      <c r="AB507" s="246">
        <f>IFERROR(VLOOKUP(N507,PROGRAMAS[],2,FALSE),0)</f>
        <v>0</v>
      </c>
      <c r="AC507" s="246">
        <f>IFERROR(VLOOKUP(O507,PROGRAMAS[],2,FALSE),0)</f>
        <v>0</v>
      </c>
      <c r="AD507" s="246">
        <f>IFERROR(VLOOKUP(P507,PROGRAMAS[],2,FALSE),0)</f>
        <v>0</v>
      </c>
      <c r="AE507" s="246">
        <f>IFERROR(VLOOKUP(Q507,PROGRAMAS[],2,FALSE),0)</f>
        <v>0</v>
      </c>
      <c r="AF507" s="246">
        <f>IFERROR(VLOOKUP(D507,PROGRAMAS[],3,FALSE),0)</f>
        <v>841888629.31080008</v>
      </c>
      <c r="AG507" s="246">
        <f>IFERROR(VLOOKUP(E507,PROGRAMAS[],3,FALSE),0)</f>
        <v>3848980803.1642323</v>
      </c>
      <c r="AH507" s="246">
        <f>IFERROR(VLOOKUP(F507,PROGRAMAS[],3,FALSE),0)</f>
        <v>3394901471.387517</v>
      </c>
      <c r="AI507" s="246">
        <f>IFERROR(VLOOKUP(G507,PROGRAMAS[],3,FALSE),0)</f>
        <v>7011279577.519702</v>
      </c>
      <c r="AJ507" s="246">
        <f>IFERROR(VLOOKUP(H507,PROGRAMAS[],3,FALSE),0)</f>
        <v>4099471734.9978786</v>
      </c>
      <c r="AK507" s="246">
        <f>IFERROR(VLOOKUP(I507,PROGRAMAS[],3,FALSE),0)</f>
        <v>2406564599.0319901</v>
      </c>
      <c r="AL507" s="246">
        <f>IFERROR(VLOOKUP(J507,PROGRAMAS[],3,FALSE),0)</f>
        <v>948595847.09039903</v>
      </c>
      <c r="AM507" s="246">
        <f>IFERROR(VLOOKUP(K507,PROGRAMAS[],3,FALSE),0)</f>
        <v>0</v>
      </c>
      <c r="AN507" s="246">
        <f>IFERROR(VLOOKUP(L507,PROGRAMAS[],3,FALSE),0)</f>
        <v>0</v>
      </c>
      <c r="AO507" s="246">
        <f>IFERROR(VLOOKUP(M507,PROGRAMAS[],3,FALSE),0)</f>
        <v>0</v>
      </c>
      <c r="AP507" s="246">
        <f>IFERROR(VLOOKUP(N507,PROGRAMAS[],3,FALSE),0)</f>
        <v>0</v>
      </c>
      <c r="AQ507" s="246">
        <f>IFERROR(VLOOKUP(O507,PROGRAMAS[],3,FALSE),0)</f>
        <v>0</v>
      </c>
      <c r="AR507" s="246">
        <f>IFERROR(VLOOKUP(P507,PROGRAMAS[],3,FALSE),0)</f>
        <v>0</v>
      </c>
      <c r="AS507" s="246">
        <f>IFERROR(VLOOKUP(Q507,PROGRAMAS[],3,FALSE),0)</f>
        <v>0</v>
      </c>
      <c r="AT507" s="246">
        <f>IFERROR(VLOOKUP(D507,VOL_REC[],2,FALSE),0)</f>
        <v>0</v>
      </c>
      <c r="AU507" s="246">
        <f>IFERROR(VLOOKUP(E507,VOL_REC[],2,FALSE),0)</f>
        <v>0</v>
      </c>
      <c r="AV507" s="246">
        <f>IFERROR(VLOOKUP(F507,VOL_REC[],2,FALSE),0)</f>
        <v>11089674.200000001</v>
      </c>
      <c r="AW507" s="246">
        <f>IFERROR(VLOOKUP(G507,VOL_REC[],2,FALSE),0)</f>
        <v>3761786</v>
      </c>
      <c r="AX507" s="246">
        <f>IFERROR(VLOOKUP(H507,VOL_REC[],2,FALSE),0)</f>
        <v>1812240</v>
      </c>
      <c r="AY507" s="246">
        <f>IFERROR(VLOOKUP(I507,VOL_REC[],2,FALSE),0)</f>
        <v>1072354.9981737854</v>
      </c>
      <c r="AZ507" s="246">
        <f>IFERROR(VLOOKUP(J507,VOL_REC[],2,FALSE),0)</f>
        <v>740113.98115702497</v>
      </c>
      <c r="BA507" s="246">
        <f>IFERROR(VLOOKUP(K507,VOL_REC[],2,FALSE),0)</f>
        <v>0</v>
      </c>
      <c r="BB507" s="246">
        <f>IFERROR(VLOOKUP(L507,VOL_REC[],2,FALSE),0)</f>
        <v>0</v>
      </c>
      <c r="BC507" s="246">
        <f>IFERROR(VLOOKUP(M507,VOL_REC[],2,FALSE),0)</f>
        <v>0</v>
      </c>
      <c r="BD507" s="246">
        <f>IFERROR(VLOOKUP(N507,VOL_REC[],2,FALSE),0)</f>
        <v>0</v>
      </c>
      <c r="BE507" s="246">
        <f>IFERROR(VLOOKUP(O507,VOL_REC[],2,FALSE),0)</f>
        <v>0</v>
      </c>
      <c r="BF507" s="246">
        <f>IFERROR(VLOOKUP(P507,VOL_REC[],2,FALSE),0)</f>
        <v>0</v>
      </c>
      <c r="BG507" s="246">
        <f>IFERROR(VLOOKUP(Q507,VOL_REC[],2,FALSE),0)</f>
        <v>0</v>
      </c>
      <c r="BH507" s="1710">
        <f t="shared" si="28"/>
        <v>23525038551.115707</v>
      </c>
      <c r="BI507" s="1710">
        <f t="shared" si="29"/>
        <v>22551682662.502522</v>
      </c>
      <c r="BJ507" s="1711">
        <f t="shared" si="30"/>
        <v>18476169.179330811</v>
      </c>
      <c r="BK507" s="1711">
        <f t="shared" si="31"/>
        <v>1.0431611203110631</v>
      </c>
      <c r="BL507">
        <f>BJ507</f>
        <v>18476169.179330811</v>
      </c>
      <c r="BO507">
        <f>BL507</f>
        <v>18476169.179330811</v>
      </c>
    </row>
    <row r="508" spans="3:67" x14ac:dyDescent="0.25">
      <c r="C508" s="246" t="s">
        <v>1858</v>
      </c>
      <c r="D508" s="246">
        <v>1</v>
      </c>
      <c r="E508" s="246">
        <v>2</v>
      </c>
      <c r="F508" s="246">
        <v>3</v>
      </c>
      <c r="G508" s="246">
        <v>9</v>
      </c>
      <c r="H508" s="246">
        <v>12</v>
      </c>
      <c r="I508" s="246">
        <v>13</v>
      </c>
      <c r="J508" s="246">
        <v>14</v>
      </c>
      <c r="K508" s="246"/>
      <c r="L508" s="246"/>
      <c r="M508" s="246"/>
      <c r="N508" s="246"/>
      <c r="O508" s="246"/>
      <c r="P508" s="246"/>
      <c r="Q508" s="246"/>
      <c r="R508" s="246">
        <f>IFERROR(VLOOKUP(D508,PROGRAMAS[],2,FALSE),0)</f>
        <v>97037803.679377079</v>
      </c>
      <c r="S508" s="246">
        <f>IFERROR(VLOOKUP(E508,PROGRAMAS[],2,FALSE),0)</f>
        <v>640501509.6821388</v>
      </c>
      <c r="T508" s="246">
        <f>IFERROR(VLOOKUP(F508,PROGRAMAS[],2,FALSE),0)</f>
        <v>3062327798.1525245</v>
      </c>
      <c r="U508" s="246">
        <f>IFERROR(VLOOKUP(G508,PROGRAMAS[],2,FALSE),0)</f>
        <v>6128579952.1618185</v>
      </c>
      <c r="V508" s="246">
        <f>IFERROR(VLOOKUP(H508,PROGRAMAS[],2,FALSE),0)</f>
        <v>764796700.79905891</v>
      </c>
      <c r="W508" s="246">
        <f>IFERROR(VLOOKUP(I508,PROGRAMAS[],2,FALSE),0)</f>
        <v>3776538594.4604583</v>
      </c>
      <c r="X508" s="246">
        <f>IFERROR(VLOOKUP(J508,PROGRAMAS[],2,FALSE),0)</f>
        <v>54223862.645839565</v>
      </c>
      <c r="Y508" s="246">
        <f>IFERROR(VLOOKUP(K508,PROGRAMAS[],2,FALSE),0)</f>
        <v>0</v>
      </c>
      <c r="Z508" s="246">
        <f>IFERROR(VLOOKUP(L508,PROGRAMAS[],2,FALSE),0)</f>
        <v>0</v>
      </c>
      <c r="AA508" s="246">
        <f>IFERROR(VLOOKUP(M508,PROGRAMAS[],2,FALSE),0)</f>
        <v>0</v>
      </c>
      <c r="AB508" s="246">
        <f>IFERROR(VLOOKUP(N508,PROGRAMAS[],2,FALSE),0)</f>
        <v>0</v>
      </c>
      <c r="AC508" s="246">
        <f>IFERROR(VLOOKUP(O508,PROGRAMAS[],2,FALSE),0)</f>
        <v>0</v>
      </c>
      <c r="AD508" s="246">
        <f>IFERROR(VLOOKUP(P508,PROGRAMAS[],2,FALSE),0)</f>
        <v>0</v>
      </c>
      <c r="AE508" s="246">
        <f>IFERROR(VLOOKUP(Q508,PROGRAMAS[],2,FALSE),0)</f>
        <v>0</v>
      </c>
      <c r="AF508" s="246">
        <f>IFERROR(VLOOKUP(D508,PROGRAMAS[],3,FALSE),0)</f>
        <v>841888629.31080008</v>
      </c>
      <c r="AG508" s="246">
        <f>IFERROR(VLOOKUP(E508,PROGRAMAS[],3,FALSE),0)</f>
        <v>3848980803.1642323</v>
      </c>
      <c r="AH508" s="246">
        <f>IFERROR(VLOOKUP(F508,PROGRAMAS[],3,FALSE),0)</f>
        <v>3394901471.387517</v>
      </c>
      <c r="AI508" s="246">
        <f>IFERROR(VLOOKUP(G508,PROGRAMAS[],3,FALSE),0)</f>
        <v>7011279577.519702</v>
      </c>
      <c r="AJ508" s="246">
        <f>IFERROR(VLOOKUP(H508,PROGRAMAS[],3,FALSE),0)</f>
        <v>675517840.109828</v>
      </c>
      <c r="AK508" s="246">
        <f>IFERROR(VLOOKUP(I508,PROGRAMAS[],3,FALSE),0)</f>
        <v>2392571243.5584412</v>
      </c>
      <c r="AL508" s="246">
        <f>IFERROR(VLOOKUP(J508,PROGRAMAS[],3,FALSE),0)</f>
        <v>31865326.38096505</v>
      </c>
      <c r="AM508" s="246">
        <f>IFERROR(VLOOKUP(K508,PROGRAMAS[],3,FALSE),0)</f>
        <v>0</v>
      </c>
      <c r="AN508" s="246">
        <f>IFERROR(VLOOKUP(L508,PROGRAMAS[],3,FALSE),0)</f>
        <v>0</v>
      </c>
      <c r="AO508" s="246">
        <f>IFERROR(VLOOKUP(M508,PROGRAMAS[],3,FALSE),0)</f>
        <v>0</v>
      </c>
      <c r="AP508" s="246">
        <f>IFERROR(VLOOKUP(N508,PROGRAMAS[],3,FALSE),0)</f>
        <v>0</v>
      </c>
      <c r="AQ508" s="246">
        <f>IFERROR(VLOOKUP(O508,PROGRAMAS[],3,FALSE),0)</f>
        <v>0</v>
      </c>
      <c r="AR508" s="246">
        <f>IFERROR(VLOOKUP(P508,PROGRAMAS[],3,FALSE),0)</f>
        <v>0</v>
      </c>
      <c r="AS508" s="246">
        <f>IFERROR(VLOOKUP(Q508,PROGRAMAS[],3,FALSE),0)</f>
        <v>0</v>
      </c>
      <c r="AT508" s="246">
        <f>IFERROR(VLOOKUP(D508,VOL_REC[],2,FALSE),0)</f>
        <v>0</v>
      </c>
      <c r="AU508" s="246">
        <f>IFERROR(VLOOKUP(E508,VOL_REC[],2,FALSE),0)</f>
        <v>0</v>
      </c>
      <c r="AV508" s="246">
        <f>IFERROR(VLOOKUP(F508,VOL_REC[],2,FALSE),0)</f>
        <v>11089674.200000001</v>
      </c>
      <c r="AW508" s="246">
        <f>IFERROR(VLOOKUP(G508,VOL_REC[],2,FALSE),0)</f>
        <v>3761786</v>
      </c>
      <c r="AX508" s="246">
        <f>IFERROR(VLOOKUP(H508,VOL_REC[],2,FALSE),0)</f>
        <v>240696.79238099116</v>
      </c>
      <c r="AY508" s="246">
        <f>IFERROR(VLOOKUP(I508,VOL_REC[],2,FALSE),0)</f>
        <v>663244.80000000016</v>
      </c>
      <c r="AZ508" s="246">
        <f>IFERROR(VLOOKUP(J508,VOL_REC[],2,FALSE),0)</f>
        <v>17074.045034105649</v>
      </c>
      <c r="BA508" s="246">
        <f>IFERROR(VLOOKUP(K508,VOL_REC[],2,FALSE),0)</f>
        <v>0</v>
      </c>
      <c r="BB508" s="246">
        <f>IFERROR(VLOOKUP(L508,VOL_REC[],2,FALSE),0)</f>
        <v>0</v>
      </c>
      <c r="BC508" s="246">
        <f>IFERROR(VLOOKUP(M508,VOL_REC[],2,FALSE),0)</f>
        <v>0</v>
      </c>
      <c r="BD508" s="246">
        <f>IFERROR(VLOOKUP(N508,VOL_REC[],2,FALSE),0)</f>
        <v>0</v>
      </c>
      <c r="BE508" s="246">
        <f>IFERROR(VLOOKUP(O508,VOL_REC[],2,FALSE),0)</f>
        <v>0</v>
      </c>
      <c r="BF508" s="246">
        <f>IFERROR(VLOOKUP(P508,VOL_REC[],2,FALSE),0)</f>
        <v>0</v>
      </c>
      <c r="BG508" s="246">
        <f>IFERROR(VLOOKUP(Q508,VOL_REC[],2,FALSE),0)</f>
        <v>0</v>
      </c>
      <c r="BH508" s="1710">
        <f t="shared" si="28"/>
        <v>14524006221.581217</v>
      </c>
      <c r="BI508" s="1710">
        <f t="shared" si="29"/>
        <v>18197004891.431488</v>
      </c>
      <c r="BJ508" s="1711">
        <f t="shared" si="30"/>
        <v>15772475.837415097</v>
      </c>
      <c r="BK508" s="1711">
        <f t="shared" si="31"/>
        <v>0.79815366914695973</v>
      </c>
    </row>
    <row r="509" spans="3:67" x14ac:dyDescent="0.25">
      <c r="C509" s="246" t="s">
        <v>1859</v>
      </c>
      <c r="D509" s="246">
        <v>1</v>
      </c>
      <c r="E509" s="246">
        <v>2</v>
      </c>
      <c r="F509" s="246">
        <v>3</v>
      </c>
      <c r="G509" s="246">
        <v>9</v>
      </c>
      <c r="H509" s="246">
        <v>12</v>
      </c>
      <c r="I509" s="246">
        <v>13</v>
      </c>
      <c r="J509" s="246">
        <v>15</v>
      </c>
      <c r="K509" s="246"/>
      <c r="L509" s="246"/>
      <c r="M509" s="246"/>
      <c r="N509" s="246"/>
      <c r="O509" s="246"/>
      <c r="P509" s="246"/>
      <c r="Q509" s="246"/>
      <c r="R509" s="246">
        <f>IFERROR(VLOOKUP(D509,PROGRAMAS[],2,FALSE),0)</f>
        <v>97037803.679377079</v>
      </c>
      <c r="S509" s="246">
        <f>IFERROR(VLOOKUP(E509,PROGRAMAS[],2,FALSE),0)</f>
        <v>640501509.6821388</v>
      </c>
      <c r="T509" s="246">
        <f>IFERROR(VLOOKUP(F509,PROGRAMAS[],2,FALSE),0)</f>
        <v>3062327798.1525245</v>
      </c>
      <c r="U509" s="246">
        <f>IFERROR(VLOOKUP(G509,PROGRAMAS[],2,FALSE),0)</f>
        <v>6128579952.1618185</v>
      </c>
      <c r="V509" s="246">
        <f>IFERROR(VLOOKUP(H509,PROGRAMAS[],2,FALSE),0)</f>
        <v>764796700.79905891</v>
      </c>
      <c r="W509" s="246">
        <f>IFERROR(VLOOKUP(I509,PROGRAMAS[],2,FALSE),0)</f>
        <v>3776538594.4604583</v>
      </c>
      <c r="X509" s="246">
        <f>IFERROR(VLOOKUP(J509,PROGRAMAS[],2,FALSE),0)</f>
        <v>122159672.96346797</v>
      </c>
      <c r="Y509" s="246">
        <f>IFERROR(VLOOKUP(K509,PROGRAMAS[],2,FALSE),0)</f>
        <v>0</v>
      </c>
      <c r="Z509" s="246">
        <f>IFERROR(VLOOKUP(L509,PROGRAMAS[],2,FALSE),0)</f>
        <v>0</v>
      </c>
      <c r="AA509" s="246">
        <f>IFERROR(VLOOKUP(M509,PROGRAMAS[],2,FALSE),0)</f>
        <v>0</v>
      </c>
      <c r="AB509" s="246">
        <f>IFERROR(VLOOKUP(N509,PROGRAMAS[],2,FALSE),0)</f>
        <v>0</v>
      </c>
      <c r="AC509" s="246">
        <f>IFERROR(VLOOKUP(O509,PROGRAMAS[],2,FALSE),0)</f>
        <v>0</v>
      </c>
      <c r="AD509" s="246">
        <f>IFERROR(VLOOKUP(P509,PROGRAMAS[],2,FALSE),0)</f>
        <v>0</v>
      </c>
      <c r="AE509" s="246">
        <f>IFERROR(VLOOKUP(Q509,PROGRAMAS[],2,FALSE),0)</f>
        <v>0</v>
      </c>
      <c r="AF509" s="246">
        <f>IFERROR(VLOOKUP(D509,PROGRAMAS[],3,FALSE),0)</f>
        <v>841888629.31080008</v>
      </c>
      <c r="AG509" s="246">
        <f>IFERROR(VLOOKUP(E509,PROGRAMAS[],3,FALSE),0)</f>
        <v>3848980803.1642323</v>
      </c>
      <c r="AH509" s="246">
        <f>IFERROR(VLOOKUP(F509,PROGRAMAS[],3,FALSE),0)</f>
        <v>3394901471.387517</v>
      </c>
      <c r="AI509" s="246">
        <f>IFERROR(VLOOKUP(G509,PROGRAMAS[],3,FALSE),0)</f>
        <v>7011279577.519702</v>
      </c>
      <c r="AJ509" s="246">
        <f>IFERROR(VLOOKUP(H509,PROGRAMAS[],3,FALSE),0)</f>
        <v>675517840.109828</v>
      </c>
      <c r="AK509" s="246">
        <f>IFERROR(VLOOKUP(I509,PROGRAMAS[],3,FALSE),0)</f>
        <v>2392571243.5584412</v>
      </c>
      <c r="AL509" s="246">
        <f>IFERROR(VLOOKUP(J509,PROGRAMAS[],3,FALSE),0)</f>
        <v>118617452.52510804</v>
      </c>
      <c r="AM509" s="246">
        <f>IFERROR(VLOOKUP(K509,PROGRAMAS[],3,FALSE),0)</f>
        <v>0</v>
      </c>
      <c r="AN509" s="246">
        <f>IFERROR(VLOOKUP(L509,PROGRAMAS[],3,FALSE),0)</f>
        <v>0</v>
      </c>
      <c r="AO509" s="246">
        <f>IFERROR(VLOOKUP(M509,PROGRAMAS[],3,FALSE),0)</f>
        <v>0</v>
      </c>
      <c r="AP509" s="246">
        <f>IFERROR(VLOOKUP(N509,PROGRAMAS[],3,FALSE),0)</f>
        <v>0</v>
      </c>
      <c r="AQ509" s="246">
        <f>IFERROR(VLOOKUP(O509,PROGRAMAS[],3,FALSE),0)</f>
        <v>0</v>
      </c>
      <c r="AR509" s="246">
        <f>IFERROR(VLOOKUP(P509,PROGRAMAS[],3,FALSE),0)</f>
        <v>0</v>
      </c>
      <c r="AS509" s="246">
        <f>IFERROR(VLOOKUP(Q509,PROGRAMAS[],3,FALSE),0)</f>
        <v>0</v>
      </c>
      <c r="AT509" s="246">
        <f>IFERROR(VLOOKUP(D509,VOL_REC[],2,FALSE),0)</f>
        <v>0</v>
      </c>
      <c r="AU509" s="246">
        <f>IFERROR(VLOOKUP(E509,VOL_REC[],2,FALSE),0)</f>
        <v>0</v>
      </c>
      <c r="AV509" s="246">
        <f>IFERROR(VLOOKUP(F509,VOL_REC[],2,FALSE),0)</f>
        <v>11089674.200000001</v>
      </c>
      <c r="AW509" s="246">
        <f>IFERROR(VLOOKUP(G509,VOL_REC[],2,FALSE),0)</f>
        <v>3761786</v>
      </c>
      <c r="AX509" s="246">
        <f>IFERROR(VLOOKUP(H509,VOL_REC[],2,FALSE),0)</f>
        <v>240696.79238099116</v>
      </c>
      <c r="AY509" s="246">
        <f>IFERROR(VLOOKUP(I509,VOL_REC[],2,FALSE),0)</f>
        <v>663244.80000000016</v>
      </c>
      <c r="AZ509" s="246">
        <f>IFERROR(VLOOKUP(J509,VOL_REC[],2,FALSE),0)</f>
        <v>105072</v>
      </c>
      <c r="BA509" s="246">
        <f>IFERROR(VLOOKUP(K509,VOL_REC[],2,FALSE),0)</f>
        <v>0</v>
      </c>
      <c r="BB509" s="246">
        <f>IFERROR(VLOOKUP(L509,VOL_REC[],2,FALSE),0)</f>
        <v>0</v>
      </c>
      <c r="BC509" s="246">
        <f>IFERROR(VLOOKUP(M509,VOL_REC[],2,FALSE),0)</f>
        <v>0</v>
      </c>
      <c r="BD509" s="246">
        <f>IFERROR(VLOOKUP(N509,VOL_REC[],2,FALSE),0)</f>
        <v>0</v>
      </c>
      <c r="BE509" s="246">
        <f>IFERROR(VLOOKUP(O509,VOL_REC[],2,FALSE),0)</f>
        <v>0</v>
      </c>
      <c r="BF509" s="246">
        <f>IFERROR(VLOOKUP(P509,VOL_REC[],2,FALSE),0)</f>
        <v>0</v>
      </c>
      <c r="BG509" s="246">
        <f>IFERROR(VLOOKUP(Q509,VOL_REC[],2,FALSE),0)</f>
        <v>0</v>
      </c>
      <c r="BH509" s="1710">
        <f t="shared" si="28"/>
        <v>14591942031.898846</v>
      </c>
      <c r="BI509" s="1710">
        <f t="shared" si="29"/>
        <v>18283757017.57563</v>
      </c>
      <c r="BJ509" s="1711">
        <f t="shared" si="30"/>
        <v>15860473.792380992</v>
      </c>
      <c r="BK509" s="1711">
        <f t="shared" si="31"/>
        <v>0.79808225507875907</v>
      </c>
    </row>
    <row r="510" spans="3:67" x14ac:dyDescent="0.25">
      <c r="C510" s="246" t="s">
        <v>1860</v>
      </c>
      <c r="D510" s="246">
        <v>1</v>
      </c>
      <c r="E510" s="246">
        <v>2</v>
      </c>
      <c r="F510" s="246">
        <v>3</v>
      </c>
      <c r="G510" s="246">
        <v>9</v>
      </c>
      <c r="H510" s="246">
        <v>12</v>
      </c>
      <c r="I510" s="246">
        <v>13</v>
      </c>
      <c r="J510" s="246">
        <v>16</v>
      </c>
      <c r="K510" s="246"/>
      <c r="L510" s="246"/>
      <c r="M510" s="246"/>
      <c r="N510" s="246"/>
      <c r="O510" s="246"/>
      <c r="P510" s="246"/>
      <c r="Q510" s="246"/>
      <c r="R510" s="246">
        <f>IFERROR(VLOOKUP(D510,PROGRAMAS[],2,FALSE),0)</f>
        <v>97037803.679377079</v>
      </c>
      <c r="S510" s="246">
        <f>IFERROR(VLOOKUP(E510,PROGRAMAS[],2,FALSE),0)</f>
        <v>640501509.6821388</v>
      </c>
      <c r="T510" s="246">
        <f>IFERROR(VLOOKUP(F510,PROGRAMAS[],2,FALSE),0)</f>
        <v>3062327798.1525245</v>
      </c>
      <c r="U510" s="246">
        <f>IFERROR(VLOOKUP(G510,PROGRAMAS[],2,FALSE),0)</f>
        <v>6128579952.1618185</v>
      </c>
      <c r="V510" s="246">
        <f>IFERROR(VLOOKUP(H510,PROGRAMAS[],2,FALSE),0)</f>
        <v>764796700.79905891</v>
      </c>
      <c r="W510" s="246">
        <f>IFERROR(VLOOKUP(I510,PROGRAMAS[],2,FALSE),0)</f>
        <v>3776538594.4604583</v>
      </c>
      <c r="X510" s="246">
        <f>IFERROR(VLOOKUP(J510,PROGRAMAS[],2,FALSE),0)</f>
        <v>7068496961.0436354</v>
      </c>
      <c r="Y510" s="246">
        <f>IFERROR(VLOOKUP(K510,PROGRAMAS[],2,FALSE),0)</f>
        <v>0</v>
      </c>
      <c r="Z510" s="246">
        <f>IFERROR(VLOOKUP(L510,PROGRAMAS[],2,FALSE),0)</f>
        <v>0</v>
      </c>
      <c r="AA510" s="246">
        <f>IFERROR(VLOOKUP(M510,PROGRAMAS[],2,FALSE),0)</f>
        <v>0</v>
      </c>
      <c r="AB510" s="246">
        <f>IFERROR(VLOOKUP(N510,PROGRAMAS[],2,FALSE),0)</f>
        <v>0</v>
      </c>
      <c r="AC510" s="246">
        <f>IFERROR(VLOOKUP(O510,PROGRAMAS[],2,FALSE),0)</f>
        <v>0</v>
      </c>
      <c r="AD510" s="246">
        <f>IFERROR(VLOOKUP(P510,PROGRAMAS[],2,FALSE),0)</f>
        <v>0</v>
      </c>
      <c r="AE510" s="246">
        <f>IFERROR(VLOOKUP(Q510,PROGRAMAS[],2,FALSE),0)</f>
        <v>0</v>
      </c>
      <c r="AF510" s="246">
        <f>IFERROR(VLOOKUP(D510,PROGRAMAS[],3,FALSE),0)</f>
        <v>841888629.31080008</v>
      </c>
      <c r="AG510" s="246">
        <f>IFERROR(VLOOKUP(E510,PROGRAMAS[],3,FALSE),0)</f>
        <v>3848980803.1642323</v>
      </c>
      <c r="AH510" s="246">
        <f>IFERROR(VLOOKUP(F510,PROGRAMAS[],3,FALSE),0)</f>
        <v>3394901471.387517</v>
      </c>
      <c r="AI510" s="246">
        <f>IFERROR(VLOOKUP(G510,PROGRAMAS[],3,FALSE),0)</f>
        <v>7011279577.519702</v>
      </c>
      <c r="AJ510" s="246">
        <f>IFERROR(VLOOKUP(H510,PROGRAMAS[],3,FALSE),0)</f>
        <v>675517840.109828</v>
      </c>
      <c r="AK510" s="246">
        <f>IFERROR(VLOOKUP(I510,PROGRAMAS[],3,FALSE),0)</f>
        <v>2392571243.5584412</v>
      </c>
      <c r="AL510" s="246">
        <f>IFERROR(VLOOKUP(J510,PROGRAMAS[],3,FALSE),0)</f>
        <v>2406564599.0319901</v>
      </c>
      <c r="AM510" s="246">
        <f>IFERROR(VLOOKUP(K510,PROGRAMAS[],3,FALSE),0)</f>
        <v>0</v>
      </c>
      <c r="AN510" s="246">
        <f>IFERROR(VLOOKUP(L510,PROGRAMAS[],3,FALSE),0)</f>
        <v>0</v>
      </c>
      <c r="AO510" s="246">
        <f>IFERROR(VLOOKUP(M510,PROGRAMAS[],3,FALSE),0)</f>
        <v>0</v>
      </c>
      <c r="AP510" s="246">
        <f>IFERROR(VLOOKUP(N510,PROGRAMAS[],3,FALSE),0)</f>
        <v>0</v>
      </c>
      <c r="AQ510" s="246">
        <f>IFERROR(VLOOKUP(O510,PROGRAMAS[],3,FALSE),0)</f>
        <v>0</v>
      </c>
      <c r="AR510" s="246">
        <f>IFERROR(VLOOKUP(P510,PROGRAMAS[],3,FALSE),0)</f>
        <v>0</v>
      </c>
      <c r="AS510" s="246">
        <f>IFERROR(VLOOKUP(Q510,PROGRAMAS[],3,FALSE),0)</f>
        <v>0</v>
      </c>
      <c r="AT510" s="246">
        <f>IFERROR(VLOOKUP(D510,VOL_REC[],2,FALSE),0)</f>
        <v>0</v>
      </c>
      <c r="AU510" s="246">
        <f>IFERROR(VLOOKUP(E510,VOL_REC[],2,FALSE),0)</f>
        <v>0</v>
      </c>
      <c r="AV510" s="246">
        <f>IFERROR(VLOOKUP(F510,VOL_REC[],2,FALSE),0)</f>
        <v>11089674.200000001</v>
      </c>
      <c r="AW510" s="246">
        <f>IFERROR(VLOOKUP(G510,VOL_REC[],2,FALSE),0)</f>
        <v>3761786</v>
      </c>
      <c r="AX510" s="246">
        <f>IFERROR(VLOOKUP(H510,VOL_REC[],2,FALSE),0)</f>
        <v>240696.79238099116</v>
      </c>
      <c r="AY510" s="246">
        <f>IFERROR(VLOOKUP(I510,VOL_REC[],2,FALSE),0)</f>
        <v>663244.80000000016</v>
      </c>
      <c r="AZ510" s="246">
        <f>IFERROR(VLOOKUP(J510,VOL_REC[],2,FALSE),0)</f>
        <v>1072354.9981737854</v>
      </c>
      <c r="BA510" s="246">
        <f>IFERROR(VLOOKUP(K510,VOL_REC[],2,FALSE),0)</f>
        <v>0</v>
      </c>
      <c r="BB510" s="246">
        <f>IFERROR(VLOOKUP(L510,VOL_REC[],2,FALSE),0)</f>
        <v>0</v>
      </c>
      <c r="BC510" s="246">
        <f>IFERROR(VLOOKUP(M510,VOL_REC[],2,FALSE),0)</f>
        <v>0</v>
      </c>
      <c r="BD510" s="246">
        <f>IFERROR(VLOOKUP(N510,VOL_REC[],2,FALSE),0)</f>
        <v>0</v>
      </c>
      <c r="BE510" s="246">
        <f>IFERROR(VLOOKUP(O510,VOL_REC[],2,FALSE),0)</f>
        <v>0</v>
      </c>
      <c r="BF510" s="246">
        <f>IFERROR(VLOOKUP(P510,VOL_REC[],2,FALSE),0)</f>
        <v>0</v>
      </c>
      <c r="BG510" s="246">
        <f>IFERROR(VLOOKUP(Q510,VOL_REC[],2,FALSE),0)</f>
        <v>0</v>
      </c>
      <c r="BH510" s="1710">
        <f t="shared" si="28"/>
        <v>21538279319.979012</v>
      </c>
      <c r="BI510" s="1710">
        <f t="shared" si="29"/>
        <v>20571704164.082512</v>
      </c>
      <c r="BJ510" s="1711">
        <f t="shared" si="30"/>
        <v>16827756.790554777</v>
      </c>
      <c r="BK510" s="1711">
        <f t="shared" si="31"/>
        <v>1.0469856628399365</v>
      </c>
      <c r="BL510">
        <f>BJ510</f>
        <v>16827756.790554777</v>
      </c>
      <c r="BO510">
        <f>BL510</f>
        <v>16827756.790554777</v>
      </c>
    </row>
    <row r="511" spans="3:67" x14ac:dyDescent="0.25">
      <c r="C511" s="246" t="s">
        <v>1861</v>
      </c>
      <c r="D511" s="246">
        <v>1</v>
      </c>
      <c r="E511" s="246">
        <v>2</v>
      </c>
      <c r="F511" s="246">
        <v>3</v>
      </c>
      <c r="G511" s="246">
        <v>9</v>
      </c>
      <c r="H511" s="246">
        <v>12</v>
      </c>
      <c r="I511" s="246">
        <v>13</v>
      </c>
      <c r="J511" s="246">
        <v>17</v>
      </c>
      <c r="K511" s="246"/>
      <c r="L511" s="246"/>
      <c r="M511" s="246"/>
      <c r="N511" s="246"/>
      <c r="O511" s="246"/>
      <c r="P511" s="246"/>
      <c r="Q511" s="246"/>
      <c r="R511" s="246">
        <f>IFERROR(VLOOKUP(D511,PROGRAMAS[],2,FALSE),0)</f>
        <v>97037803.679377079</v>
      </c>
      <c r="S511" s="246">
        <f>IFERROR(VLOOKUP(E511,PROGRAMAS[],2,FALSE),0)</f>
        <v>640501509.6821388</v>
      </c>
      <c r="T511" s="246">
        <f>IFERROR(VLOOKUP(F511,PROGRAMAS[],2,FALSE),0)</f>
        <v>3062327798.1525245</v>
      </c>
      <c r="U511" s="246">
        <f>IFERROR(VLOOKUP(G511,PROGRAMAS[],2,FALSE),0)</f>
        <v>6128579952.1618185</v>
      </c>
      <c r="V511" s="246">
        <f>IFERROR(VLOOKUP(H511,PROGRAMAS[],2,FALSE),0)</f>
        <v>764796700.79905891</v>
      </c>
      <c r="W511" s="246">
        <f>IFERROR(VLOOKUP(I511,PROGRAMAS[],2,FALSE),0)</f>
        <v>3776538594.4604583</v>
      </c>
      <c r="X511" s="246">
        <f>IFERROR(VLOOKUP(J511,PROGRAMAS[],2,FALSE),0)</f>
        <v>1892779498.5211046</v>
      </c>
      <c r="Y511" s="246">
        <f>IFERROR(VLOOKUP(K511,PROGRAMAS[],2,FALSE),0)</f>
        <v>0</v>
      </c>
      <c r="Z511" s="246">
        <f>IFERROR(VLOOKUP(L511,PROGRAMAS[],2,FALSE),0)</f>
        <v>0</v>
      </c>
      <c r="AA511" s="246">
        <f>IFERROR(VLOOKUP(M511,PROGRAMAS[],2,FALSE),0)</f>
        <v>0</v>
      </c>
      <c r="AB511" s="246">
        <f>IFERROR(VLOOKUP(N511,PROGRAMAS[],2,FALSE),0)</f>
        <v>0</v>
      </c>
      <c r="AC511" s="246">
        <f>IFERROR(VLOOKUP(O511,PROGRAMAS[],2,FALSE),0)</f>
        <v>0</v>
      </c>
      <c r="AD511" s="246">
        <f>IFERROR(VLOOKUP(P511,PROGRAMAS[],2,FALSE),0)</f>
        <v>0</v>
      </c>
      <c r="AE511" s="246">
        <f>IFERROR(VLOOKUP(Q511,PROGRAMAS[],2,FALSE),0)</f>
        <v>0</v>
      </c>
      <c r="AF511" s="246">
        <f>IFERROR(VLOOKUP(D511,PROGRAMAS[],3,FALSE),0)</f>
        <v>841888629.31080008</v>
      </c>
      <c r="AG511" s="246">
        <f>IFERROR(VLOOKUP(E511,PROGRAMAS[],3,FALSE),0)</f>
        <v>3848980803.1642323</v>
      </c>
      <c r="AH511" s="246">
        <f>IFERROR(VLOOKUP(F511,PROGRAMAS[],3,FALSE),0)</f>
        <v>3394901471.387517</v>
      </c>
      <c r="AI511" s="246">
        <f>IFERROR(VLOOKUP(G511,PROGRAMAS[],3,FALSE),0)</f>
        <v>7011279577.519702</v>
      </c>
      <c r="AJ511" s="246">
        <f>IFERROR(VLOOKUP(H511,PROGRAMAS[],3,FALSE),0)</f>
        <v>675517840.109828</v>
      </c>
      <c r="AK511" s="246">
        <f>IFERROR(VLOOKUP(I511,PROGRAMAS[],3,FALSE),0)</f>
        <v>2392571243.5584412</v>
      </c>
      <c r="AL511" s="246">
        <f>IFERROR(VLOOKUP(J511,PROGRAMAS[],3,FALSE),0)</f>
        <v>948595847.09039903</v>
      </c>
      <c r="AM511" s="246">
        <f>IFERROR(VLOOKUP(K511,PROGRAMAS[],3,FALSE),0)</f>
        <v>0</v>
      </c>
      <c r="AN511" s="246">
        <f>IFERROR(VLOOKUP(L511,PROGRAMAS[],3,FALSE),0)</f>
        <v>0</v>
      </c>
      <c r="AO511" s="246">
        <f>IFERROR(VLOOKUP(M511,PROGRAMAS[],3,FALSE),0)</f>
        <v>0</v>
      </c>
      <c r="AP511" s="246">
        <f>IFERROR(VLOOKUP(N511,PROGRAMAS[],3,FALSE),0)</f>
        <v>0</v>
      </c>
      <c r="AQ511" s="246">
        <f>IFERROR(VLOOKUP(O511,PROGRAMAS[],3,FALSE),0)</f>
        <v>0</v>
      </c>
      <c r="AR511" s="246">
        <f>IFERROR(VLOOKUP(P511,PROGRAMAS[],3,FALSE),0)</f>
        <v>0</v>
      </c>
      <c r="AS511" s="246">
        <f>IFERROR(VLOOKUP(Q511,PROGRAMAS[],3,FALSE),0)</f>
        <v>0</v>
      </c>
      <c r="AT511" s="246">
        <f>IFERROR(VLOOKUP(D511,VOL_REC[],2,FALSE),0)</f>
        <v>0</v>
      </c>
      <c r="AU511" s="246">
        <f>IFERROR(VLOOKUP(E511,VOL_REC[],2,FALSE),0)</f>
        <v>0</v>
      </c>
      <c r="AV511" s="246">
        <f>IFERROR(VLOOKUP(F511,VOL_REC[],2,FALSE),0)</f>
        <v>11089674.200000001</v>
      </c>
      <c r="AW511" s="246">
        <f>IFERROR(VLOOKUP(G511,VOL_REC[],2,FALSE),0)</f>
        <v>3761786</v>
      </c>
      <c r="AX511" s="246">
        <f>IFERROR(VLOOKUP(H511,VOL_REC[],2,FALSE),0)</f>
        <v>240696.79238099116</v>
      </c>
      <c r="AY511" s="246">
        <f>IFERROR(VLOOKUP(I511,VOL_REC[],2,FALSE),0)</f>
        <v>663244.80000000016</v>
      </c>
      <c r="AZ511" s="246">
        <f>IFERROR(VLOOKUP(J511,VOL_REC[],2,FALSE),0)</f>
        <v>740113.98115702497</v>
      </c>
      <c r="BA511" s="246">
        <f>IFERROR(VLOOKUP(K511,VOL_REC[],2,FALSE),0)</f>
        <v>0</v>
      </c>
      <c r="BB511" s="246">
        <f>IFERROR(VLOOKUP(L511,VOL_REC[],2,FALSE),0)</f>
        <v>0</v>
      </c>
      <c r="BC511" s="246">
        <f>IFERROR(VLOOKUP(M511,VOL_REC[],2,FALSE),0)</f>
        <v>0</v>
      </c>
      <c r="BD511" s="246">
        <f>IFERROR(VLOOKUP(N511,VOL_REC[],2,FALSE),0)</f>
        <v>0</v>
      </c>
      <c r="BE511" s="246">
        <f>IFERROR(VLOOKUP(O511,VOL_REC[],2,FALSE),0)</f>
        <v>0</v>
      </c>
      <c r="BF511" s="246">
        <f>IFERROR(VLOOKUP(P511,VOL_REC[],2,FALSE),0)</f>
        <v>0</v>
      </c>
      <c r="BG511" s="246">
        <f>IFERROR(VLOOKUP(Q511,VOL_REC[],2,FALSE),0)</f>
        <v>0</v>
      </c>
      <c r="BH511" s="1710">
        <f t="shared" si="28"/>
        <v>16362561857.456482</v>
      </c>
      <c r="BI511" s="1710">
        <f t="shared" si="29"/>
        <v>19113735412.140923</v>
      </c>
      <c r="BJ511" s="1711">
        <f t="shared" si="30"/>
        <v>16495515.773538018</v>
      </c>
      <c r="BK511" s="1711">
        <f t="shared" si="31"/>
        <v>0.8560630093824092</v>
      </c>
    </row>
    <row r="512" spans="3:67" x14ac:dyDescent="0.25">
      <c r="C512" s="246" t="s">
        <v>1862</v>
      </c>
      <c r="D512" s="246">
        <v>1</v>
      </c>
      <c r="E512" s="246">
        <v>2</v>
      </c>
      <c r="F512" s="246">
        <v>3</v>
      </c>
      <c r="G512" s="246">
        <v>9</v>
      </c>
      <c r="H512" s="246">
        <v>12</v>
      </c>
      <c r="I512" s="246">
        <v>14</v>
      </c>
      <c r="J512" s="246">
        <v>15</v>
      </c>
      <c r="K512" s="246"/>
      <c r="L512" s="246"/>
      <c r="M512" s="246"/>
      <c r="N512" s="246"/>
      <c r="O512" s="246"/>
      <c r="P512" s="246"/>
      <c r="Q512" s="246"/>
      <c r="R512" s="246">
        <f>IFERROR(VLOOKUP(D512,PROGRAMAS[],2,FALSE),0)</f>
        <v>97037803.679377079</v>
      </c>
      <c r="S512" s="246">
        <f>IFERROR(VLOOKUP(E512,PROGRAMAS[],2,FALSE),0)</f>
        <v>640501509.6821388</v>
      </c>
      <c r="T512" s="246">
        <f>IFERROR(VLOOKUP(F512,PROGRAMAS[],2,FALSE),0)</f>
        <v>3062327798.1525245</v>
      </c>
      <c r="U512" s="246">
        <f>IFERROR(VLOOKUP(G512,PROGRAMAS[],2,FALSE),0)</f>
        <v>6128579952.1618185</v>
      </c>
      <c r="V512" s="246">
        <f>IFERROR(VLOOKUP(H512,PROGRAMAS[],2,FALSE),0)</f>
        <v>764796700.79905891</v>
      </c>
      <c r="W512" s="246">
        <f>IFERROR(VLOOKUP(I512,PROGRAMAS[],2,FALSE),0)</f>
        <v>54223862.645839565</v>
      </c>
      <c r="X512" s="246">
        <f>IFERROR(VLOOKUP(J512,PROGRAMAS[],2,FALSE),0)</f>
        <v>122159672.96346797</v>
      </c>
      <c r="Y512" s="246">
        <f>IFERROR(VLOOKUP(K512,PROGRAMAS[],2,FALSE),0)</f>
        <v>0</v>
      </c>
      <c r="Z512" s="246">
        <f>IFERROR(VLOOKUP(L512,PROGRAMAS[],2,FALSE),0)</f>
        <v>0</v>
      </c>
      <c r="AA512" s="246">
        <f>IFERROR(VLOOKUP(M512,PROGRAMAS[],2,FALSE),0)</f>
        <v>0</v>
      </c>
      <c r="AB512" s="246">
        <f>IFERROR(VLOOKUP(N512,PROGRAMAS[],2,FALSE),0)</f>
        <v>0</v>
      </c>
      <c r="AC512" s="246">
        <f>IFERROR(VLOOKUP(O512,PROGRAMAS[],2,FALSE),0)</f>
        <v>0</v>
      </c>
      <c r="AD512" s="246">
        <f>IFERROR(VLOOKUP(P512,PROGRAMAS[],2,FALSE),0)</f>
        <v>0</v>
      </c>
      <c r="AE512" s="246">
        <f>IFERROR(VLOOKUP(Q512,PROGRAMAS[],2,FALSE),0)</f>
        <v>0</v>
      </c>
      <c r="AF512" s="246">
        <f>IFERROR(VLOOKUP(D512,PROGRAMAS[],3,FALSE),0)</f>
        <v>841888629.31080008</v>
      </c>
      <c r="AG512" s="246">
        <f>IFERROR(VLOOKUP(E512,PROGRAMAS[],3,FALSE),0)</f>
        <v>3848980803.1642323</v>
      </c>
      <c r="AH512" s="246">
        <f>IFERROR(VLOOKUP(F512,PROGRAMAS[],3,FALSE),0)</f>
        <v>3394901471.387517</v>
      </c>
      <c r="AI512" s="246">
        <f>IFERROR(VLOOKUP(G512,PROGRAMAS[],3,FALSE),0)</f>
        <v>7011279577.519702</v>
      </c>
      <c r="AJ512" s="246">
        <f>IFERROR(VLOOKUP(H512,PROGRAMAS[],3,FALSE),0)</f>
        <v>675517840.109828</v>
      </c>
      <c r="AK512" s="246">
        <f>IFERROR(VLOOKUP(I512,PROGRAMAS[],3,FALSE),0)</f>
        <v>31865326.38096505</v>
      </c>
      <c r="AL512" s="246">
        <f>IFERROR(VLOOKUP(J512,PROGRAMAS[],3,FALSE),0)</f>
        <v>118617452.52510804</v>
      </c>
      <c r="AM512" s="246">
        <f>IFERROR(VLOOKUP(K512,PROGRAMAS[],3,FALSE),0)</f>
        <v>0</v>
      </c>
      <c r="AN512" s="246">
        <f>IFERROR(VLOOKUP(L512,PROGRAMAS[],3,FALSE),0)</f>
        <v>0</v>
      </c>
      <c r="AO512" s="246">
        <f>IFERROR(VLOOKUP(M512,PROGRAMAS[],3,FALSE),0)</f>
        <v>0</v>
      </c>
      <c r="AP512" s="246">
        <f>IFERROR(VLOOKUP(N512,PROGRAMAS[],3,FALSE),0)</f>
        <v>0</v>
      </c>
      <c r="AQ512" s="246">
        <f>IFERROR(VLOOKUP(O512,PROGRAMAS[],3,FALSE),0)</f>
        <v>0</v>
      </c>
      <c r="AR512" s="246">
        <f>IFERROR(VLOOKUP(P512,PROGRAMAS[],3,FALSE),0)</f>
        <v>0</v>
      </c>
      <c r="AS512" s="246">
        <f>IFERROR(VLOOKUP(Q512,PROGRAMAS[],3,FALSE),0)</f>
        <v>0</v>
      </c>
      <c r="AT512" s="246">
        <f>IFERROR(VLOOKUP(D512,VOL_REC[],2,FALSE),0)</f>
        <v>0</v>
      </c>
      <c r="AU512" s="246">
        <f>IFERROR(VLOOKUP(E512,VOL_REC[],2,FALSE),0)</f>
        <v>0</v>
      </c>
      <c r="AV512" s="246">
        <f>IFERROR(VLOOKUP(F512,VOL_REC[],2,FALSE),0)</f>
        <v>11089674.200000001</v>
      </c>
      <c r="AW512" s="246">
        <f>IFERROR(VLOOKUP(G512,VOL_REC[],2,FALSE),0)</f>
        <v>3761786</v>
      </c>
      <c r="AX512" s="246">
        <f>IFERROR(VLOOKUP(H512,VOL_REC[],2,FALSE),0)</f>
        <v>240696.79238099116</v>
      </c>
      <c r="AY512" s="246">
        <f>IFERROR(VLOOKUP(I512,VOL_REC[],2,FALSE),0)</f>
        <v>17074.045034105649</v>
      </c>
      <c r="AZ512" s="246">
        <f>IFERROR(VLOOKUP(J512,VOL_REC[],2,FALSE),0)</f>
        <v>105072</v>
      </c>
      <c r="BA512" s="246">
        <f>IFERROR(VLOOKUP(K512,VOL_REC[],2,FALSE),0)</f>
        <v>0</v>
      </c>
      <c r="BB512" s="246">
        <f>IFERROR(VLOOKUP(L512,VOL_REC[],2,FALSE),0)</f>
        <v>0</v>
      </c>
      <c r="BC512" s="246">
        <f>IFERROR(VLOOKUP(M512,VOL_REC[],2,FALSE),0)</f>
        <v>0</v>
      </c>
      <c r="BD512" s="246">
        <f>IFERROR(VLOOKUP(N512,VOL_REC[],2,FALSE),0)</f>
        <v>0</v>
      </c>
      <c r="BE512" s="246">
        <f>IFERROR(VLOOKUP(O512,VOL_REC[],2,FALSE),0)</f>
        <v>0</v>
      </c>
      <c r="BF512" s="246">
        <f>IFERROR(VLOOKUP(P512,VOL_REC[],2,FALSE),0)</f>
        <v>0</v>
      </c>
      <c r="BG512" s="246">
        <f>IFERROR(VLOOKUP(Q512,VOL_REC[],2,FALSE),0)</f>
        <v>0</v>
      </c>
      <c r="BH512" s="1710">
        <f t="shared" si="28"/>
        <v>10869627300.084227</v>
      </c>
      <c r="BI512" s="1710">
        <f t="shared" si="29"/>
        <v>15923051100.398153</v>
      </c>
      <c r="BJ512" s="1711">
        <f t="shared" si="30"/>
        <v>15214303.037415097</v>
      </c>
      <c r="BK512" s="1711">
        <f t="shared" si="31"/>
        <v>0.6826347055943589</v>
      </c>
    </row>
    <row r="513" spans="3:67" x14ac:dyDescent="0.25">
      <c r="C513" s="246" t="s">
        <v>1863</v>
      </c>
      <c r="D513" s="246">
        <v>1</v>
      </c>
      <c r="E513" s="246">
        <v>2</v>
      </c>
      <c r="F513" s="246">
        <v>3</v>
      </c>
      <c r="G513" s="246">
        <v>9</v>
      </c>
      <c r="H513" s="246">
        <v>12</v>
      </c>
      <c r="I513" s="246">
        <v>14</v>
      </c>
      <c r="J513" s="246">
        <v>16</v>
      </c>
      <c r="K513" s="246"/>
      <c r="L513" s="246"/>
      <c r="M513" s="246"/>
      <c r="N513" s="246"/>
      <c r="O513" s="246"/>
      <c r="P513" s="246"/>
      <c r="Q513" s="246"/>
      <c r="R513" s="246">
        <f>IFERROR(VLOOKUP(D513,PROGRAMAS[],2,FALSE),0)</f>
        <v>97037803.679377079</v>
      </c>
      <c r="S513" s="246">
        <f>IFERROR(VLOOKUP(E513,PROGRAMAS[],2,FALSE),0)</f>
        <v>640501509.6821388</v>
      </c>
      <c r="T513" s="246">
        <f>IFERROR(VLOOKUP(F513,PROGRAMAS[],2,FALSE),0)</f>
        <v>3062327798.1525245</v>
      </c>
      <c r="U513" s="246">
        <f>IFERROR(VLOOKUP(G513,PROGRAMAS[],2,FALSE),0)</f>
        <v>6128579952.1618185</v>
      </c>
      <c r="V513" s="246">
        <f>IFERROR(VLOOKUP(H513,PROGRAMAS[],2,FALSE),0)</f>
        <v>764796700.79905891</v>
      </c>
      <c r="W513" s="246">
        <f>IFERROR(VLOOKUP(I513,PROGRAMAS[],2,FALSE),0)</f>
        <v>54223862.645839565</v>
      </c>
      <c r="X513" s="246">
        <f>IFERROR(VLOOKUP(J513,PROGRAMAS[],2,FALSE),0)</f>
        <v>7068496961.0436354</v>
      </c>
      <c r="Y513" s="246">
        <f>IFERROR(VLOOKUP(K513,PROGRAMAS[],2,FALSE),0)</f>
        <v>0</v>
      </c>
      <c r="Z513" s="246">
        <f>IFERROR(VLOOKUP(L513,PROGRAMAS[],2,FALSE),0)</f>
        <v>0</v>
      </c>
      <c r="AA513" s="246">
        <f>IFERROR(VLOOKUP(M513,PROGRAMAS[],2,FALSE),0)</f>
        <v>0</v>
      </c>
      <c r="AB513" s="246">
        <f>IFERROR(VLOOKUP(N513,PROGRAMAS[],2,FALSE),0)</f>
        <v>0</v>
      </c>
      <c r="AC513" s="246">
        <f>IFERROR(VLOOKUP(O513,PROGRAMAS[],2,FALSE),0)</f>
        <v>0</v>
      </c>
      <c r="AD513" s="246">
        <f>IFERROR(VLOOKUP(P513,PROGRAMAS[],2,FALSE),0)</f>
        <v>0</v>
      </c>
      <c r="AE513" s="246">
        <f>IFERROR(VLOOKUP(Q513,PROGRAMAS[],2,FALSE),0)</f>
        <v>0</v>
      </c>
      <c r="AF513" s="246">
        <f>IFERROR(VLOOKUP(D513,PROGRAMAS[],3,FALSE),0)</f>
        <v>841888629.31080008</v>
      </c>
      <c r="AG513" s="246">
        <f>IFERROR(VLOOKUP(E513,PROGRAMAS[],3,FALSE),0)</f>
        <v>3848980803.1642323</v>
      </c>
      <c r="AH513" s="246">
        <f>IFERROR(VLOOKUP(F513,PROGRAMAS[],3,FALSE),0)</f>
        <v>3394901471.387517</v>
      </c>
      <c r="AI513" s="246">
        <f>IFERROR(VLOOKUP(G513,PROGRAMAS[],3,FALSE),0)</f>
        <v>7011279577.519702</v>
      </c>
      <c r="AJ513" s="246">
        <f>IFERROR(VLOOKUP(H513,PROGRAMAS[],3,FALSE),0)</f>
        <v>675517840.109828</v>
      </c>
      <c r="AK513" s="246">
        <f>IFERROR(VLOOKUP(I513,PROGRAMAS[],3,FALSE),0)</f>
        <v>31865326.38096505</v>
      </c>
      <c r="AL513" s="246">
        <f>IFERROR(VLOOKUP(J513,PROGRAMAS[],3,FALSE),0)</f>
        <v>2406564599.0319901</v>
      </c>
      <c r="AM513" s="246">
        <f>IFERROR(VLOOKUP(K513,PROGRAMAS[],3,FALSE),0)</f>
        <v>0</v>
      </c>
      <c r="AN513" s="246">
        <f>IFERROR(VLOOKUP(L513,PROGRAMAS[],3,FALSE),0)</f>
        <v>0</v>
      </c>
      <c r="AO513" s="246">
        <f>IFERROR(VLOOKUP(M513,PROGRAMAS[],3,FALSE),0)</f>
        <v>0</v>
      </c>
      <c r="AP513" s="246">
        <f>IFERROR(VLOOKUP(N513,PROGRAMAS[],3,FALSE),0)</f>
        <v>0</v>
      </c>
      <c r="AQ513" s="246">
        <f>IFERROR(VLOOKUP(O513,PROGRAMAS[],3,FALSE),0)</f>
        <v>0</v>
      </c>
      <c r="AR513" s="246">
        <f>IFERROR(VLOOKUP(P513,PROGRAMAS[],3,FALSE),0)</f>
        <v>0</v>
      </c>
      <c r="AS513" s="246">
        <f>IFERROR(VLOOKUP(Q513,PROGRAMAS[],3,FALSE),0)</f>
        <v>0</v>
      </c>
      <c r="AT513" s="246">
        <f>IFERROR(VLOOKUP(D513,VOL_REC[],2,FALSE),0)</f>
        <v>0</v>
      </c>
      <c r="AU513" s="246">
        <f>IFERROR(VLOOKUP(E513,VOL_REC[],2,FALSE),0)</f>
        <v>0</v>
      </c>
      <c r="AV513" s="246">
        <f>IFERROR(VLOOKUP(F513,VOL_REC[],2,FALSE),0)</f>
        <v>11089674.200000001</v>
      </c>
      <c r="AW513" s="246">
        <f>IFERROR(VLOOKUP(G513,VOL_REC[],2,FALSE),0)</f>
        <v>3761786</v>
      </c>
      <c r="AX513" s="246">
        <f>IFERROR(VLOOKUP(H513,VOL_REC[],2,FALSE),0)</f>
        <v>240696.79238099116</v>
      </c>
      <c r="AY513" s="246">
        <f>IFERROR(VLOOKUP(I513,VOL_REC[],2,FALSE),0)</f>
        <v>17074.045034105649</v>
      </c>
      <c r="AZ513" s="246">
        <f>IFERROR(VLOOKUP(J513,VOL_REC[],2,FALSE),0)</f>
        <v>1072354.9981737854</v>
      </c>
      <c r="BA513" s="246">
        <f>IFERROR(VLOOKUP(K513,VOL_REC[],2,FALSE),0)</f>
        <v>0</v>
      </c>
      <c r="BB513" s="246">
        <f>IFERROR(VLOOKUP(L513,VOL_REC[],2,FALSE),0)</f>
        <v>0</v>
      </c>
      <c r="BC513" s="246">
        <f>IFERROR(VLOOKUP(M513,VOL_REC[],2,FALSE),0)</f>
        <v>0</v>
      </c>
      <c r="BD513" s="246">
        <f>IFERROR(VLOOKUP(N513,VOL_REC[],2,FALSE),0)</f>
        <v>0</v>
      </c>
      <c r="BE513" s="246">
        <f>IFERROR(VLOOKUP(O513,VOL_REC[],2,FALSE),0)</f>
        <v>0</v>
      </c>
      <c r="BF513" s="246">
        <f>IFERROR(VLOOKUP(P513,VOL_REC[],2,FALSE),0)</f>
        <v>0</v>
      </c>
      <c r="BG513" s="246">
        <f>IFERROR(VLOOKUP(Q513,VOL_REC[],2,FALSE),0)</f>
        <v>0</v>
      </c>
      <c r="BH513" s="1710">
        <f t="shared" si="28"/>
        <v>17815964588.164394</v>
      </c>
      <c r="BI513" s="1710">
        <f t="shared" si="29"/>
        <v>18210998246.905037</v>
      </c>
      <c r="BJ513" s="1711">
        <f t="shared" si="30"/>
        <v>16181586.035588883</v>
      </c>
      <c r="BK513" s="1711">
        <f t="shared" si="31"/>
        <v>0.97830796239806461</v>
      </c>
    </row>
    <row r="514" spans="3:67" x14ac:dyDescent="0.25">
      <c r="C514" s="246" t="s">
        <v>1864</v>
      </c>
      <c r="D514" s="246">
        <v>1</v>
      </c>
      <c r="E514" s="246">
        <v>2</v>
      </c>
      <c r="F514" s="246">
        <v>3</v>
      </c>
      <c r="G514" s="246">
        <v>9</v>
      </c>
      <c r="H514" s="246">
        <v>12</v>
      </c>
      <c r="I514" s="246">
        <v>14</v>
      </c>
      <c r="J514" s="246">
        <v>17</v>
      </c>
      <c r="K514" s="246"/>
      <c r="L514" s="246"/>
      <c r="M514" s="246"/>
      <c r="N514" s="246"/>
      <c r="O514" s="246"/>
      <c r="P514" s="246"/>
      <c r="Q514" s="246"/>
      <c r="R514" s="246">
        <f>IFERROR(VLOOKUP(D514,PROGRAMAS[],2,FALSE),0)</f>
        <v>97037803.679377079</v>
      </c>
      <c r="S514" s="246">
        <f>IFERROR(VLOOKUP(E514,PROGRAMAS[],2,FALSE),0)</f>
        <v>640501509.6821388</v>
      </c>
      <c r="T514" s="246">
        <f>IFERROR(VLOOKUP(F514,PROGRAMAS[],2,FALSE),0)</f>
        <v>3062327798.1525245</v>
      </c>
      <c r="U514" s="246">
        <f>IFERROR(VLOOKUP(G514,PROGRAMAS[],2,FALSE),0)</f>
        <v>6128579952.1618185</v>
      </c>
      <c r="V514" s="246">
        <f>IFERROR(VLOOKUP(H514,PROGRAMAS[],2,FALSE),0)</f>
        <v>764796700.79905891</v>
      </c>
      <c r="W514" s="246">
        <f>IFERROR(VLOOKUP(I514,PROGRAMAS[],2,FALSE),0)</f>
        <v>54223862.645839565</v>
      </c>
      <c r="X514" s="246">
        <f>IFERROR(VLOOKUP(J514,PROGRAMAS[],2,FALSE),0)</f>
        <v>1892779498.5211046</v>
      </c>
      <c r="Y514" s="246">
        <f>IFERROR(VLOOKUP(K514,PROGRAMAS[],2,FALSE),0)</f>
        <v>0</v>
      </c>
      <c r="Z514" s="246">
        <f>IFERROR(VLOOKUP(L514,PROGRAMAS[],2,FALSE),0)</f>
        <v>0</v>
      </c>
      <c r="AA514" s="246">
        <f>IFERROR(VLOOKUP(M514,PROGRAMAS[],2,FALSE),0)</f>
        <v>0</v>
      </c>
      <c r="AB514" s="246">
        <f>IFERROR(VLOOKUP(N514,PROGRAMAS[],2,FALSE),0)</f>
        <v>0</v>
      </c>
      <c r="AC514" s="246">
        <f>IFERROR(VLOOKUP(O514,PROGRAMAS[],2,FALSE),0)</f>
        <v>0</v>
      </c>
      <c r="AD514" s="246">
        <f>IFERROR(VLOOKUP(P514,PROGRAMAS[],2,FALSE),0)</f>
        <v>0</v>
      </c>
      <c r="AE514" s="246">
        <f>IFERROR(VLOOKUP(Q514,PROGRAMAS[],2,FALSE),0)</f>
        <v>0</v>
      </c>
      <c r="AF514" s="246">
        <f>IFERROR(VLOOKUP(D514,PROGRAMAS[],3,FALSE),0)</f>
        <v>841888629.31080008</v>
      </c>
      <c r="AG514" s="246">
        <f>IFERROR(VLOOKUP(E514,PROGRAMAS[],3,FALSE),0)</f>
        <v>3848980803.1642323</v>
      </c>
      <c r="AH514" s="246">
        <f>IFERROR(VLOOKUP(F514,PROGRAMAS[],3,FALSE),0)</f>
        <v>3394901471.387517</v>
      </c>
      <c r="AI514" s="246">
        <f>IFERROR(VLOOKUP(G514,PROGRAMAS[],3,FALSE),0)</f>
        <v>7011279577.519702</v>
      </c>
      <c r="AJ514" s="246">
        <f>IFERROR(VLOOKUP(H514,PROGRAMAS[],3,FALSE),0)</f>
        <v>675517840.109828</v>
      </c>
      <c r="AK514" s="246">
        <f>IFERROR(VLOOKUP(I514,PROGRAMAS[],3,FALSE),0)</f>
        <v>31865326.38096505</v>
      </c>
      <c r="AL514" s="246">
        <f>IFERROR(VLOOKUP(J514,PROGRAMAS[],3,FALSE),0)</f>
        <v>948595847.09039903</v>
      </c>
      <c r="AM514" s="246">
        <f>IFERROR(VLOOKUP(K514,PROGRAMAS[],3,FALSE),0)</f>
        <v>0</v>
      </c>
      <c r="AN514" s="246">
        <f>IFERROR(VLOOKUP(L514,PROGRAMAS[],3,FALSE),0)</f>
        <v>0</v>
      </c>
      <c r="AO514" s="246">
        <f>IFERROR(VLOOKUP(M514,PROGRAMAS[],3,FALSE),0)</f>
        <v>0</v>
      </c>
      <c r="AP514" s="246">
        <f>IFERROR(VLOOKUP(N514,PROGRAMAS[],3,FALSE),0)</f>
        <v>0</v>
      </c>
      <c r="AQ514" s="246">
        <f>IFERROR(VLOOKUP(O514,PROGRAMAS[],3,FALSE),0)</f>
        <v>0</v>
      </c>
      <c r="AR514" s="246">
        <f>IFERROR(VLOOKUP(P514,PROGRAMAS[],3,FALSE),0)</f>
        <v>0</v>
      </c>
      <c r="AS514" s="246">
        <f>IFERROR(VLOOKUP(Q514,PROGRAMAS[],3,FALSE),0)</f>
        <v>0</v>
      </c>
      <c r="AT514" s="246">
        <f>IFERROR(VLOOKUP(D514,VOL_REC[],2,FALSE),0)</f>
        <v>0</v>
      </c>
      <c r="AU514" s="246">
        <f>IFERROR(VLOOKUP(E514,VOL_REC[],2,FALSE),0)</f>
        <v>0</v>
      </c>
      <c r="AV514" s="246">
        <f>IFERROR(VLOOKUP(F514,VOL_REC[],2,FALSE),0)</f>
        <v>11089674.200000001</v>
      </c>
      <c r="AW514" s="246">
        <f>IFERROR(VLOOKUP(G514,VOL_REC[],2,FALSE),0)</f>
        <v>3761786</v>
      </c>
      <c r="AX514" s="246">
        <f>IFERROR(VLOOKUP(H514,VOL_REC[],2,FALSE),0)</f>
        <v>240696.79238099116</v>
      </c>
      <c r="AY514" s="246">
        <f>IFERROR(VLOOKUP(I514,VOL_REC[],2,FALSE),0)</f>
        <v>17074.045034105649</v>
      </c>
      <c r="AZ514" s="246">
        <f>IFERROR(VLOOKUP(J514,VOL_REC[],2,FALSE),0)</f>
        <v>740113.98115702497</v>
      </c>
      <c r="BA514" s="246">
        <f>IFERROR(VLOOKUP(K514,VOL_REC[],2,FALSE),0)</f>
        <v>0</v>
      </c>
      <c r="BB514" s="246">
        <f>IFERROR(VLOOKUP(L514,VOL_REC[],2,FALSE),0)</f>
        <v>0</v>
      </c>
      <c r="BC514" s="246">
        <f>IFERROR(VLOOKUP(M514,VOL_REC[],2,FALSE),0)</f>
        <v>0</v>
      </c>
      <c r="BD514" s="246">
        <f>IFERROR(VLOOKUP(N514,VOL_REC[],2,FALSE),0)</f>
        <v>0</v>
      </c>
      <c r="BE514" s="246">
        <f>IFERROR(VLOOKUP(O514,VOL_REC[],2,FALSE),0)</f>
        <v>0</v>
      </c>
      <c r="BF514" s="246">
        <f>IFERROR(VLOOKUP(P514,VOL_REC[],2,FALSE),0)</f>
        <v>0</v>
      </c>
      <c r="BG514" s="246">
        <f>IFERROR(VLOOKUP(Q514,VOL_REC[],2,FALSE),0)</f>
        <v>0</v>
      </c>
      <c r="BH514" s="1710">
        <f t="shared" ref="BH514:BH577" si="32">SUM(R514:AE514)</f>
        <v>12640247125.641863</v>
      </c>
      <c r="BI514" s="1710">
        <f t="shared" ref="BI514:BI577" si="33">SUM(AF514:AS514)</f>
        <v>16753029494.963444</v>
      </c>
      <c r="BJ514" s="1711">
        <f t="shared" ref="BJ514:BJ577" si="34">SUM(AT514:BG514)</f>
        <v>15849345.018572122</v>
      </c>
      <c r="BK514" s="1711">
        <f t="shared" ref="BK514:BK577" si="35">IFERROR(BH514/BI514,0)</f>
        <v>0.75450515558645503</v>
      </c>
    </row>
    <row r="515" spans="3:67" x14ac:dyDescent="0.25">
      <c r="C515" s="246" t="s">
        <v>1865</v>
      </c>
      <c r="D515" s="246">
        <v>1</v>
      </c>
      <c r="E515" s="246">
        <v>2</v>
      </c>
      <c r="F515" s="246">
        <v>3</v>
      </c>
      <c r="G515" s="246">
        <v>9</v>
      </c>
      <c r="H515" s="246">
        <v>12</v>
      </c>
      <c r="I515" s="246">
        <v>15</v>
      </c>
      <c r="J515" s="246">
        <v>16</v>
      </c>
      <c r="K515" s="246"/>
      <c r="L515" s="246"/>
      <c r="M515" s="246"/>
      <c r="N515" s="246"/>
      <c r="O515" s="246"/>
      <c r="P515" s="246"/>
      <c r="Q515" s="246"/>
      <c r="R515" s="246">
        <f>IFERROR(VLOOKUP(D515,PROGRAMAS[],2,FALSE),0)</f>
        <v>97037803.679377079</v>
      </c>
      <c r="S515" s="246">
        <f>IFERROR(VLOOKUP(E515,PROGRAMAS[],2,FALSE),0)</f>
        <v>640501509.6821388</v>
      </c>
      <c r="T515" s="246">
        <f>IFERROR(VLOOKUP(F515,PROGRAMAS[],2,FALSE),0)</f>
        <v>3062327798.1525245</v>
      </c>
      <c r="U515" s="246">
        <f>IFERROR(VLOOKUP(G515,PROGRAMAS[],2,FALSE),0)</f>
        <v>6128579952.1618185</v>
      </c>
      <c r="V515" s="246">
        <f>IFERROR(VLOOKUP(H515,PROGRAMAS[],2,FALSE),0)</f>
        <v>764796700.79905891</v>
      </c>
      <c r="W515" s="246">
        <f>IFERROR(VLOOKUP(I515,PROGRAMAS[],2,FALSE),0)</f>
        <v>122159672.96346797</v>
      </c>
      <c r="X515" s="246">
        <f>IFERROR(VLOOKUP(J515,PROGRAMAS[],2,FALSE),0)</f>
        <v>7068496961.0436354</v>
      </c>
      <c r="Y515" s="246">
        <f>IFERROR(VLOOKUP(K515,PROGRAMAS[],2,FALSE),0)</f>
        <v>0</v>
      </c>
      <c r="Z515" s="246">
        <f>IFERROR(VLOOKUP(L515,PROGRAMAS[],2,FALSE),0)</f>
        <v>0</v>
      </c>
      <c r="AA515" s="246">
        <f>IFERROR(VLOOKUP(M515,PROGRAMAS[],2,FALSE),0)</f>
        <v>0</v>
      </c>
      <c r="AB515" s="246">
        <f>IFERROR(VLOOKUP(N515,PROGRAMAS[],2,FALSE),0)</f>
        <v>0</v>
      </c>
      <c r="AC515" s="246">
        <f>IFERROR(VLOOKUP(O515,PROGRAMAS[],2,FALSE),0)</f>
        <v>0</v>
      </c>
      <c r="AD515" s="246">
        <f>IFERROR(VLOOKUP(P515,PROGRAMAS[],2,FALSE),0)</f>
        <v>0</v>
      </c>
      <c r="AE515" s="246">
        <f>IFERROR(VLOOKUP(Q515,PROGRAMAS[],2,FALSE),0)</f>
        <v>0</v>
      </c>
      <c r="AF515" s="246">
        <f>IFERROR(VLOOKUP(D515,PROGRAMAS[],3,FALSE),0)</f>
        <v>841888629.31080008</v>
      </c>
      <c r="AG515" s="246">
        <f>IFERROR(VLOOKUP(E515,PROGRAMAS[],3,FALSE),0)</f>
        <v>3848980803.1642323</v>
      </c>
      <c r="AH515" s="246">
        <f>IFERROR(VLOOKUP(F515,PROGRAMAS[],3,FALSE),0)</f>
        <v>3394901471.387517</v>
      </c>
      <c r="AI515" s="246">
        <f>IFERROR(VLOOKUP(G515,PROGRAMAS[],3,FALSE),0)</f>
        <v>7011279577.519702</v>
      </c>
      <c r="AJ515" s="246">
        <f>IFERROR(VLOOKUP(H515,PROGRAMAS[],3,FALSE),0)</f>
        <v>675517840.109828</v>
      </c>
      <c r="AK515" s="246">
        <f>IFERROR(VLOOKUP(I515,PROGRAMAS[],3,FALSE),0)</f>
        <v>118617452.52510804</v>
      </c>
      <c r="AL515" s="246">
        <f>IFERROR(VLOOKUP(J515,PROGRAMAS[],3,FALSE),0)</f>
        <v>2406564599.0319901</v>
      </c>
      <c r="AM515" s="246">
        <f>IFERROR(VLOOKUP(K515,PROGRAMAS[],3,FALSE),0)</f>
        <v>0</v>
      </c>
      <c r="AN515" s="246">
        <f>IFERROR(VLOOKUP(L515,PROGRAMAS[],3,FALSE),0)</f>
        <v>0</v>
      </c>
      <c r="AO515" s="246">
        <f>IFERROR(VLOOKUP(M515,PROGRAMAS[],3,FALSE),0)</f>
        <v>0</v>
      </c>
      <c r="AP515" s="246">
        <f>IFERROR(VLOOKUP(N515,PROGRAMAS[],3,FALSE),0)</f>
        <v>0</v>
      </c>
      <c r="AQ515" s="246">
        <f>IFERROR(VLOOKUP(O515,PROGRAMAS[],3,FALSE),0)</f>
        <v>0</v>
      </c>
      <c r="AR515" s="246">
        <f>IFERROR(VLOOKUP(P515,PROGRAMAS[],3,FALSE),0)</f>
        <v>0</v>
      </c>
      <c r="AS515" s="246">
        <f>IFERROR(VLOOKUP(Q515,PROGRAMAS[],3,FALSE),0)</f>
        <v>0</v>
      </c>
      <c r="AT515" s="246">
        <f>IFERROR(VLOOKUP(D515,VOL_REC[],2,FALSE),0)</f>
        <v>0</v>
      </c>
      <c r="AU515" s="246">
        <f>IFERROR(VLOOKUP(E515,VOL_REC[],2,FALSE),0)</f>
        <v>0</v>
      </c>
      <c r="AV515" s="246">
        <f>IFERROR(VLOOKUP(F515,VOL_REC[],2,FALSE),0)</f>
        <v>11089674.200000001</v>
      </c>
      <c r="AW515" s="246">
        <f>IFERROR(VLOOKUP(G515,VOL_REC[],2,FALSE),0)</f>
        <v>3761786</v>
      </c>
      <c r="AX515" s="246">
        <f>IFERROR(VLOOKUP(H515,VOL_REC[],2,FALSE),0)</f>
        <v>240696.79238099116</v>
      </c>
      <c r="AY515" s="246">
        <f>IFERROR(VLOOKUP(I515,VOL_REC[],2,FALSE),0)</f>
        <v>105072</v>
      </c>
      <c r="AZ515" s="246">
        <f>IFERROR(VLOOKUP(J515,VOL_REC[],2,FALSE),0)</f>
        <v>1072354.9981737854</v>
      </c>
      <c r="BA515" s="246">
        <f>IFERROR(VLOOKUP(K515,VOL_REC[],2,FALSE),0)</f>
        <v>0</v>
      </c>
      <c r="BB515" s="246">
        <f>IFERROR(VLOOKUP(L515,VOL_REC[],2,FALSE),0)</f>
        <v>0</v>
      </c>
      <c r="BC515" s="246">
        <f>IFERROR(VLOOKUP(M515,VOL_REC[],2,FALSE),0)</f>
        <v>0</v>
      </c>
      <c r="BD515" s="246">
        <f>IFERROR(VLOOKUP(N515,VOL_REC[],2,FALSE),0)</f>
        <v>0</v>
      </c>
      <c r="BE515" s="246">
        <f>IFERROR(VLOOKUP(O515,VOL_REC[],2,FALSE),0)</f>
        <v>0</v>
      </c>
      <c r="BF515" s="246">
        <f>IFERROR(VLOOKUP(P515,VOL_REC[],2,FALSE),0)</f>
        <v>0</v>
      </c>
      <c r="BG515" s="246">
        <f>IFERROR(VLOOKUP(Q515,VOL_REC[],2,FALSE),0)</f>
        <v>0</v>
      </c>
      <c r="BH515" s="1710">
        <f t="shared" si="32"/>
        <v>17883900398.482021</v>
      </c>
      <c r="BI515" s="1710">
        <f t="shared" si="33"/>
        <v>18297750373.049179</v>
      </c>
      <c r="BJ515" s="1711">
        <f t="shared" si="34"/>
        <v>16269583.990554776</v>
      </c>
      <c r="BK515" s="1711">
        <f t="shared" si="35"/>
        <v>0.97738246690824249</v>
      </c>
    </row>
    <row r="516" spans="3:67" x14ac:dyDescent="0.25">
      <c r="C516" s="246" t="s">
        <v>1866</v>
      </c>
      <c r="D516" s="246">
        <v>1</v>
      </c>
      <c r="E516" s="246">
        <v>2</v>
      </c>
      <c r="F516" s="246">
        <v>3</v>
      </c>
      <c r="G516" s="246">
        <v>9</v>
      </c>
      <c r="H516" s="246">
        <v>12</v>
      </c>
      <c r="I516" s="246">
        <v>15</v>
      </c>
      <c r="J516" s="246">
        <v>17</v>
      </c>
      <c r="K516" s="246"/>
      <c r="L516" s="246"/>
      <c r="M516" s="246"/>
      <c r="N516" s="246"/>
      <c r="O516" s="246"/>
      <c r="P516" s="246"/>
      <c r="Q516" s="246"/>
      <c r="R516" s="246">
        <f>IFERROR(VLOOKUP(D516,PROGRAMAS[],2,FALSE),0)</f>
        <v>97037803.679377079</v>
      </c>
      <c r="S516" s="246">
        <f>IFERROR(VLOOKUP(E516,PROGRAMAS[],2,FALSE),0)</f>
        <v>640501509.6821388</v>
      </c>
      <c r="T516" s="246">
        <f>IFERROR(VLOOKUP(F516,PROGRAMAS[],2,FALSE),0)</f>
        <v>3062327798.1525245</v>
      </c>
      <c r="U516" s="246">
        <f>IFERROR(VLOOKUP(G516,PROGRAMAS[],2,FALSE),0)</f>
        <v>6128579952.1618185</v>
      </c>
      <c r="V516" s="246">
        <f>IFERROR(VLOOKUP(H516,PROGRAMAS[],2,FALSE),0)</f>
        <v>764796700.79905891</v>
      </c>
      <c r="W516" s="246">
        <f>IFERROR(VLOOKUP(I516,PROGRAMAS[],2,FALSE),0)</f>
        <v>122159672.96346797</v>
      </c>
      <c r="X516" s="246">
        <f>IFERROR(VLOOKUP(J516,PROGRAMAS[],2,FALSE),0)</f>
        <v>1892779498.5211046</v>
      </c>
      <c r="Y516" s="246">
        <f>IFERROR(VLOOKUP(K516,PROGRAMAS[],2,FALSE),0)</f>
        <v>0</v>
      </c>
      <c r="Z516" s="246">
        <f>IFERROR(VLOOKUP(L516,PROGRAMAS[],2,FALSE),0)</f>
        <v>0</v>
      </c>
      <c r="AA516" s="246">
        <f>IFERROR(VLOOKUP(M516,PROGRAMAS[],2,FALSE),0)</f>
        <v>0</v>
      </c>
      <c r="AB516" s="246">
        <f>IFERROR(VLOOKUP(N516,PROGRAMAS[],2,FALSE),0)</f>
        <v>0</v>
      </c>
      <c r="AC516" s="246">
        <f>IFERROR(VLOOKUP(O516,PROGRAMAS[],2,FALSE),0)</f>
        <v>0</v>
      </c>
      <c r="AD516" s="246">
        <f>IFERROR(VLOOKUP(P516,PROGRAMAS[],2,FALSE),0)</f>
        <v>0</v>
      </c>
      <c r="AE516" s="246">
        <f>IFERROR(VLOOKUP(Q516,PROGRAMAS[],2,FALSE),0)</f>
        <v>0</v>
      </c>
      <c r="AF516" s="246">
        <f>IFERROR(VLOOKUP(D516,PROGRAMAS[],3,FALSE),0)</f>
        <v>841888629.31080008</v>
      </c>
      <c r="AG516" s="246">
        <f>IFERROR(VLOOKUP(E516,PROGRAMAS[],3,FALSE),0)</f>
        <v>3848980803.1642323</v>
      </c>
      <c r="AH516" s="246">
        <f>IFERROR(VLOOKUP(F516,PROGRAMAS[],3,FALSE),0)</f>
        <v>3394901471.387517</v>
      </c>
      <c r="AI516" s="246">
        <f>IFERROR(VLOOKUP(G516,PROGRAMAS[],3,FALSE),0)</f>
        <v>7011279577.519702</v>
      </c>
      <c r="AJ516" s="246">
        <f>IFERROR(VLOOKUP(H516,PROGRAMAS[],3,FALSE),0)</f>
        <v>675517840.109828</v>
      </c>
      <c r="AK516" s="246">
        <f>IFERROR(VLOOKUP(I516,PROGRAMAS[],3,FALSE),0)</f>
        <v>118617452.52510804</v>
      </c>
      <c r="AL516" s="246">
        <f>IFERROR(VLOOKUP(J516,PROGRAMAS[],3,FALSE),0)</f>
        <v>948595847.09039903</v>
      </c>
      <c r="AM516" s="246">
        <f>IFERROR(VLOOKUP(K516,PROGRAMAS[],3,FALSE),0)</f>
        <v>0</v>
      </c>
      <c r="AN516" s="246">
        <f>IFERROR(VLOOKUP(L516,PROGRAMAS[],3,FALSE),0)</f>
        <v>0</v>
      </c>
      <c r="AO516" s="246">
        <f>IFERROR(VLOOKUP(M516,PROGRAMAS[],3,FALSE),0)</f>
        <v>0</v>
      </c>
      <c r="AP516" s="246">
        <f>IFERROR(VLOOKUP(N516,PROGRAMAS[],3,FALSE),0)</f>
        <v>0</v>
      </c>
      <c r="AQ516" s="246">
        <f>IFERROR(VLOOKUP(O516,PROGRAMAS[],3,FALSE),0)</f>
        <v>0</v>
      </c>
      <c r="AR516" s="246">
        <f>IFERROR(VLOOKUP(P516,PROGRAMAS[],3,FALSE),0)</f>
        <v>0</v>
      </c>
      <c r="AS516" s="246">
        <f>IFERROR(VLOOKUP(Q516,PROGRAMAS[],3,FALSE),0)</f>
        <v>0</v>
      </c>
      <c r="AT516" s="246">
        <f>IFERROR(VLOOKUP(D516,VOL_REC[],2,FALSE),0)</f>
        <v>0</v>
      </c>
      <c r="AU516" s="246">
        <f>IFERROR(VLOOKUP(E516,VOL_REC[],2,FALSE),0)</f>
        <v>0</v>
      </c>
      <c r="AV516" s="246">
        <f>IFERROR(VLOOKUP(F516,VOL_REC[],2,FALSE),0)</f>
        <v>11089674.200000001</v>
      </c>
      <c r="AW516" s="246">
        <f>IFERROR(VLOOKUP(G516,VOL_REC[],2,FALSE),0)</f>
        <v>3761786</v>
      </c>
      <c r="AX516" s="246">
        <f>IFERROR(VLOOKUP(H516,VOL_REC[],2,FALSE),0)</f>
        <v>240696.79238099116</v>
      </c>
      <c r="AY516" s="246">
        <f>IFERROR(VLOOKUP(I516,VOL_REC[],2,FALSE),0)</f>
        <v>105072</v>
      </c>
      <c r="AZ516" s="246">
        <f>IFERROR(VLOOKUP(J516,VOL_REC[],2,FALSE),0)</f>
        <v>740113.98115702497</v>
      </c>
      <c r="BA516" s="246">
        <f>IFERROR(VLOOKUP(K516,VOL_REC[],2,FALSE),0)</f>
        <v>0</v>
      </c>
      <c r="BB516" s="246">
        <f>IFERROR(VLOOKUP(L516,VOL_REC[],2,FALSE),0)</f>
        <v>0</v>
      </c>
      <c r="BC516" s="246">
        <f>IFERROR(VLOOKUP(M516,VOL_REC[],2,FALSE),0)</f>
        <v>0</v>
      </c>
      <c r="BD516" s="246">
        <f>IFERROR(VLOOKUP(N516,VOL_REC[],2,FALSE),0)</f>
        <v>0</v>
      </c>
      <c r="BE516" s="246">
        <f>IFERROR(VLOOKUP(O516,VOL_REC[],2,FALSE),0)</f>
        <v>0</v>
      </c>
      <c r="BF516" s="246">
        <f>IFERROR(VLOOKUP(P516,VOL_REC[],2,FALSE),0)</f>
        <v>0</v>
      </c>
      <c r="BG516" s="246">
        <f>IFERROR(VLOOKUP(Q516,VOL_REC[],2,FALSE),0)</f>
        <v>0</v>
      </c>
      <c r="BH516" s="1710">
        <f t="shared" si="32"/>
        <v>12708182935.959492</v>
      </c>
      <c r="BI516" s="1710">
        <f t="shared" si="33"/>
        <v>16839781621.107588</v>
      </c>
      <c r="BJ516" s="1711">
        <f t="shared" si="34"/>
        <v>15937342.973538017</v>
      </c>
      <c r="BK516" s="1711">
        <f t="shared" si="35"/>
        <v>0.75465247839262939</v>
      </c>
    </row>
    <row r="517" spans="3:67" x14ac:dyDescent="0.25">
      <c r="C517" s="246" t="s">
        <v>1867</v>
      </c>
      <c r="D517" s="246">
        <v>1</v>
      </c>
      <c r="E517" s="246">
        <v>2</v>
      </c>
      <c r="F517" s="246">
        <v>3</v>
      </c>
      <c r="G517" s="246">
        <v>9</v>
      </c>
      <c r="H517" s="246">
        <v>12</v>
      </c>
      <c r="I517" s="246">
        <v>16</v>
      </c>
      <c r="J517" s="246">
        <v>17</v>
      </c>
      <c r="K517" s="246"/>
      <c r="L517" s="246"/>
      <c r="M517" s="246"/>
      <c r="N517" s="246"/>
      <c r="O517" s="246"/>
      <c r="P517" s="246"/>
      <c r="Q517" s="246"/>
      <c r="R517" s="246">
        <f>IFERROR(VLOOKUP(D517,PROGRAMAS[],2,FALSE),0)</f>
        <v>97037803.679377079</v>
      </c>
      <c r="S517" s="246">
        <f>IFERROR(VLOOKUP(E517,PROGRAMAS[],2,FALSE),0)</f>
        <v>640501509.6821388</v>
      </c>
      <c r="T517" s="246">
        <f>IFERROR(VLOOKUP(F517,PROGRAMAS[],2,FALSE),0)</f>
        <v>3062327798.1525245</v>
      </c>
      <c r="U517" s="246">
        <f>IFERROR(VLOOKUP(G517,PROGRAMAS[],2,FALSE),0)</f>
        <v>6128579952.1618185</v>
      </c>
      <c r="V517" s="246">
        <f>IFERROR(VLOOKUP(H517,PROGRAMAS[],2,FALSE),0)</f>
        <v>764796700.79905891</v>
      </c>
      <c r="W517" s="246">
        <f>IFERROR(VLOOKUP(I517,PROGRAMAS[],2,FALSE),0)</f>
        <v>7068496961.0436354</v>
      </c>
      <c r="X517" s="246">
        <f>IFERROR(VLOOKUP(J517,PROGRAMAS[],2,FALSE),0)</f>
        <v>1892779498.5211046</v>
      </c>
      <c r="Y517" s="246">
        <f>IFERROR(VLOOKUP(K517,PROGRAMAS[],2,FALSE),0)</f>
        <v>0</v>
      </c>
      <c r="Z517" s="246">
        <f>IFERROR(VLOOKUP(L517,PROGRAMAS[],2,FALSE),0)</f>
        <v>0</v>
      </c>
      <c r="AA517" s="246">
        <f>IFERROR(VLOOKUP(M517,PROGRAMAS[],2,FALSE),0)</f>
        <v>0</v>
      </c>
      <c r="AB517" s="246">
        <f>IFERROR(VLOOKUP(N517,PROGRAMAS[],2,FALSE),0)</f>
        <v>0</v>
      </c>
      <c r="AC517" s="246">
        <f>IFERROR(VLOOKUP(O517,PROGRAMAS[],2,FALSE),0)</f>
        <v>0</v>
      </c>
      <c r="AD517" s="246">
        <f>IFERROR(VLOOKUP(P517,PROGRAMAS[],2,FALSE),0)</f>
        <v>0</v>
      </c>
      <c r="AE517" s="246">
        <f>IFERROR(VLOOKUP(Q517,PROGRAMAS[],2,FALSE),0)</f>
        <v>0</v>
      </c>
      <c r="AF517" s="246">
        <f>IFERROR(VLOOKUP(D517,PROGRAMAS[],3,FALSE),0)</f>
        <v>841888629.31080008</v>
      </c>
      <c r="AG517" s="246">
        <f>IFERROR(VLOOKUP(E517,PROGRAMAS[],3,FALSE),0)</f>
        <v>3848980803.1642323</v>
      </c>
      <c r="AH517" s="246">
        <f>IFERROR(VLOOKUP(F517,PROGRAMAS[],3,FALSE),0)</f>
        <v>3394901471.387517</v>
      </c>
      <c r="AI517" s="246">
        <f>IFERROR(VLOOKUP(G517,PROGRAMAS[],3,FALSE),0)</f>
        <v>7011279577.519702</v>
      </c>
      <c r="AJ517" s="246">
        <f>IFERROR(VLOOKUP(H517,PROGRAMAS[],3,FALSE),0)</f>
        <v>675517840.109828</v>
      </c>
      <c r="AK517" s="246">
        <f>IFERROR(VLOOKUP(I517,PROGRAMAS[],3,FALSE),0)</f>
        <v>2406564599.0319901</v>
      </c>
      <c r="AL517" s="246">
        <f>IFERROR(VLOOKUP(J517,PROGRAMAS[],3,FALSE),0)</f>
        <v>948595847.09039903</v>
      </c>
      <c r="AM517" s="246">
        <f>IFERROR(VLOOKUP(K517,PROGRAMAS[],3,FALSE),0)</f>
        <v>0</v>
      </c>
      <c r="AN517" s="246">
        <f>IFERROR(VLOOKUP(L517,PROGRAMAS[],3,FALSE),0)</f>
        <v>0</v>
      </c>
      <c r="AO517" s="246">
        <f>IFERROR(VLOOKUP(M517,PROGRAMAS[],3,FALSE),0)</f>
        <v>0</v>
      </c>
      <c r="AP517" s="246">
        <f>IFERROR(VLOOKUP(N517,PROGRAMAS[],3,FALSE),0)</f>
        <v>0</v>
      </c>
      <c r="AQ517" s="246">
        <f>IFERROR(VLOOKUP(O517,PROGRAMAS[],3,FALSE),0)</f>
        <v>0</v>
      </c>
      <c r="AR517" s="246">
        <f>IFERROR(VLOOKUP(P517,PROGRAMAS[],3,FALSE),0)</f>
        <v>0</v>
      </c>
      <c r="AS517" s="246">
        <f>IFERROR(VLOOKUP(Q517,PROGRAMAS[],3,FALSE),0)</f>
        <v>0</v>
      </c>
      <c r="AT517" s="246">
        <f>IFERROR(VLOOKUP(D517,VOL_REC[],2,FALSE),0)</f>
        <v>0</v>
      </c>
      <c r="AU517" s="246">
        <f>IFERROR(VLOOKUP(E517,VOL_REC[],2,FALSE),0)</f>
        <v>0</v>
      </c>
      <c r="AV517" s="246">
        <f>IFERROR(VLOOKUP(F517,VOL_REC[],2,FALSE),0)</f>
        <v>11089674.200000001</v>
      </c>
      <c r="AW517" s="246">
        <f>IFERROR(VLOOKUP(G517,VOL_REC[],2,FALSE),0)</f>
        <v>3761786</v>
      </c>
      <c r="AX517" s="246">
        <f>IFERROR(VLOOKUP(H517,VOL_REC[],2,FALSE),0)</f>
        <v>240696.79238099116</v>
      </c>
      <c r="AY517" s="246">
        <f>IFERROR(VLOOKUP(I517,VOL_REC[],2,FALSE),0)</f>
        <v>1072354.9981737854</v>
      </c>
      <c r="AZ517" s="246">
        <f>IFERROR(VLOOKUP(J517,VOL_REC[],2,FALSE),0)</f>
        <v>740113.98115702497</v>
      </c>
      <c r="BA517" s="246">
        <f>IFERROR(VLOOKUP(K517,VOL_REC[],2,FALSE),0)</f>
        <v>0</v>
      </c>
      <c r="BB517" s="246">
        <f>IFERROR(VLOOKUP(L517,VOL_REC[],2,FALSE),0)</f>
        <v>0</v>
      </c>
      <c r="BC517" s="246">
        <f>IFERROR(VLOOKUP(M517,VOL_REC[],2,FALSE),0)</f>
        <v>0</v>
      </c>
      <c r="BD517" s="246">
        <f>IFERROR(VLOOKUP(N517,VOL_REC[],2,FALSE),0)</f>
        <v>0</v>
      </c>
      <c r="BE517" s="246">
        <f>IFERROR(VLOOKUP(O517,VOL_REC[],2,FALSE),0)</f>
        <v>0</v>
      </c>
      <c r="BF517" s="246">
        <f>IFERROR(VLOOKUP(P517,VOL_REC[],2,FALSE),0)</f>
        <v>0</v>
      </c>
      <c r="BG517" s="246">
        <f>IFERROR(VLOOKUP(Q517,VOL_REC[],2,FALSE),0)</f>
        <v>0</v>
      </c>
      <c r="BH517" s="1710">
        <f t="shared" si="32"/>
        <v>19654520224.039658</v>
      </c>
      <c r="BI517" s="1710">
        <f t="shared" si="33"/>
        <v>19127728767.614471</v>
      </c>
      <c r="BJ517" s="1711">
        <f t="shared" si="34"/>
        <v>16904625.9717118</v>
      </c>
      <c r="BK517" s="1711">
        <f t="shared" si="35"/>
        <v>1.0275407217879995</v>
      </c>
      <c r="BL517">
        <f>BJ517</f>
        <v>16904625.9717118</v>
      </c>
      <c r="BO517">
        <f>BL517</f>
        <v>16904625.9717118</v>
      </c>
    </row>
    <row r="518" spans="3:67" x14ac:dyDescent="0.25">
      <c r="C518" s="246" t="s">
        <v>1868</v>
      </c>
      <c r="D518" s="246">
        <v>1</v>
      </c>
      <c r="E518" s="246">
        <v>2</v>
      </c>
      <c r="F518" s="246">
        <v>3</v>
      </c>
      <c r="G518" s="246">
        <v>9</v>
      </c>
      <c r="H518" s="246">
        <v>13</v>
      </c>
      <c r="I518" s="246">
        <v>14</v>
      </c>
      <c r="J518" s="246">
        <v>15</v>
      </c>
      <c r="K518" s="246"/>
      <c r="L518" s="246"/>
      <c r="M518" s="246"/>
      <c r="N518" s="246"/>
      <c r="O518" s="246"/>
      <c r="P518" s="246"/>
      <c r="Q518" s="246"/>
      <c r="R518" s="246">
        <f>IFERROR(VLOOKUP(D518,PROGRAMAS[],2,FALSE),0)</f>
        <v>97037803.679377079</v>
      </c>
      <c r="S518" s="246">
        <f>IFERROR(VLOOKUP(E518,PROGRAMAS[],2,FALSE),0)</f>
        <v>640501509.6821388</v>
      </c>
      <c r="T518" s="246">
        <f>IFERROR(VLOOKUP(F518,PROGRAMAS[],2,FALSE),0)</f>
        <v>3062327798.1525245</v>
      </c>
      <c r="U518" s="246">
        <f>IFERROR(VLOOKUP(G518,PROGRAMAS[],2,FALSE),0)</f>
        <v>6128579952.1618185</v>
      </c>
      <c r="V518" s="246">
        <f>IFERROR(VLOOKUP(H518,PROGRAMAS[],2,FALSE),0)</f>
        <v>3776538594.4604583</v>
      </c>
      <c r="W518" s="246">
        <f>IFERROR(VLOOKUP(I518,PROGRAMAS[],2,FALSE),0)</f>
        <v>54223862.645839565</v>
      </c>
      <c r="X518" s="246">
        <f>IFERROR(VLOOKUP(J518,PROGRAMAS[],2,FALSE),0)</f>
        <v>122159672.96346797</v>
      </c>
      <c r="Y518" s="246">
        <f>IFERROR(VLOOKUP(K518,PROGRAMAS[],2,FALSE),0)</f>
        <v>0</v>
      </c>
      <c r="Z518" s="246">
        <f>IFERROR(VLOOKUP(L518,PROGRAMAS[],2,FALSE),0)</f>
        <v>0</v>
      </c>
      <c r="AA518" s="246">
        <f>IFERROR(VLOOKUP(M518,PROGRAMAS[],2,FALSE),0)</f>
        <v>0</v>
      </c>
      <c r="AB518" s="246">
        <f>IFERROR(VLOOKUP(N518,PROGRAMAS[],2,FALSE),0)</f>
        <v>0</v>
      </c>
      <c r="AC518" s="246">
        <f>IFERROR(VLOOKUP(O518,PROGRAMAS[],2,FALSE),0)</f>
        <v>0</v>
      </c>
      <c r="AD518" s="246">
        <f>IFERROR(VLOOKUP(P518,PROGRAMAS[],2,FALSE),0)</f>
        <v>0</v>
      </c>
      <c r="AE518" s="246">
        <f>IFERROR(VLOOKUP(Q518,PROGRAMAS[],2,FALSE),0)</f>
        <v>0</v>
      </c>
      <c r="AF518" s="246">
        <f>IFERROR(VLOOKUP(D518,PROGRAMAS[],3,FALSE),0)</f>
        <v>841888629.31080008</v>
      </c>
      <c r="AG518" s="246">
        <f>IFERROR(VLOOKUP(E518,PROGRAMAS[],3,FALSE),0)</f>
        <v>3848980803.1642323</v>
      </c>
      <c r="AH518" s="246">
        <f>IFERROR(VLOOKUP(F518,PROGRAMAS[],3,FALSE),0)</f>
        <v>3394901471.387517</v>
      </c>
      <c r="AI518" s="246">
        <f>IFERROR(VLOOKUP(G518,PROGRAMAS[],3,FALSE),0)</f>
        <v>7011279577.519702</v>
      </c>
      <c r="AJ518" s="246">
        <f>IFERROR(VLOOKUP(H518,PROGRAMAS[],3,FALSE),0)</f>
        <v>2392571243.5584412</v>
      </c>
      <c r="AK518" s="246">
        <f>IFERROR(VLOOKUP(I518,PROGRAMAS[],3,FALSE),0)</f>
        <v>31865326.38096505</v>
      </c>
      <c r="AL518" s="246">
        <f>IFERROR(VLOOKUP(J518,PROGRAMAS[],3,FALSE),0)</f>
        <v>118617452.52510804</v>
      </c>
      <c r="AM518" s="246">
        <f>IFERROR(VLOOKUP(K518,PROGRAMAS[],3,FALSE),0)</f>
        <v>0</v>
      </c>
      <c r="AN518" s="246">
        <f>IFERROR(VLOOKUP(L518,PROGRAMAS[],3,FALSE),0)</f>
        <v>0</v>
      </c>
      <c r="AO518" s="246">
        <f>IFERROR(VLOOKUP(M518,PROGRAMAS[],3,FALSE),0)</f>
        <v>0</v>
      </c>
      <c r="AP518" s="246">
        <f>IFERROR(VLOOKUP(N518,PROGRAMAS[],3,FALSE),0)</f>
        <v>0</v>
      </c>
      <c r="AQ518" s="246">
        <f>IFERROR(VLOOKUP(O518,PROGRAMAS[],3,FALSE),0)</f>
        <v>0</v>
      </c>
      <c r="AR518" s="246">
        <f>IFERROR(VLOOKUP(P518,PROGRAMAS[],3,FALSE),0)</f>
        <v>0</v>
      </c>
      <c r="AS518" s="246">
        <f>IFERROR(VLOOKUP(Q518,PROGRAMAS[],3,FALSE),0)</f>
        <v>0</v>
      </c>
      <c r="AT518" s="246">
        <f>IFERROR(VLOOKUP(D518,VOL_REC[],2,FALSE),0)</f>
        <v>0</v>
      </c>
      <c r="AU518" s="246">
        <f>IFERROR(VLOOKUP(E518,VOL_REC[],2,FALSE),0)</f>
        <v>0</v>
      </c>
      <c r="AV518" s="246">
        <f>IFERROR(VLOOKUP(F518,VOL_REC[],2,FALSE),0)</f>
        <v>11089674.200000001</v>
      </c>
      <c r="AW518" s="246">
        <f>IFERROR(VLOOKUP(G518,VOL_REC[],2,FALSE),0)</f>
        <v>3761786</v>
      </c>
      <c r="AX518" s="246">
        <f>IFERROR(VLOOKUP(H518,VOL_REC[],2,FALSE),0)</f>
        <v>663244.80000000016</v>
      </c>
      <c r="AY518" s="246">
        <f>IFERROR(VLOOKUP(I518,VOL_REC[],2,FALSE),0)</f>
        <v>17074.045034105649</v>
      </c>
      <c r="AZ518" s="246">
        <f>IFERROR(VLOOKUP(J518,VOL_REC[],2,FALSE),0)</f>
        <v>105072</v>
      </c>
      <c r="BA518" s="246">
        <f>IFERROR(VLOOKUP(K518,VOL_REC[],2,FALSE),0)</f>
        <v>0</v>
      </c>
      <c r="BB518" s="246">
        <f>IFERROR(VLOOKUP(L518,VOL_REC[],2,FALSE),0)</f>
        <v>0</v>
      </c>
      <c r="BC518" s="246">
        <f>IFERROR(VLOOKUP(M518,VOL_REC[],2,FALSE),0)</f>
        <v>0</v>
      </c>
      <c r="BD518" s="246">
        <f>IFERROR(VLOOKUP(N518,VOL_REC[],2,FALSE),0)</f>
        <v>0</v>
      </c>
      <c r="BE518" s="246">
        <f>IFERROR(VLOOKUP(O518,VOL_REC[],2,FALSE),0)</f>
        <v>0</v>
      </c>
      <c r="BF518" s="246">
        <f>IFERROR(VLOOKUP(P518,VOL_REC[],2,FALSE),0)</f>
        <v>0</v>
      </c>
      <c r="BG518" s="246">
        <f>IFERROR(VLOOKUP(Q518,VOL_REC[],2,FALSE),0)</f>
        <v>0</v>
      </c>
      <c r="BH518" s="1710">
        <f t="shared" si="32"/>
        <v>13881369193.745626</v>
      </c>
      <c r="BI518" s="1710">
        <f t="shared" si="33"/>
        <v>17640104503.846767</v>
      </c>
      <c r="BJ518" s="1711">
        <f t="shared" si="34"/>
        <v>15636851.045034107</v>
      </c>
      <c r="BK518" s="1711">
        <f t="shared" si="35"/>
        <v>0.78692102933508834</v>
      </c>
    </row>
    <row r="519" spans="3:67" x14ac:dyDescent="0.25">
      <c r="C519" s="246" t="s">
        <v>1869</v>
      </c>
      <c r="D519" s="246">
        <v>1</v>
      </c>
      <c r="E519" s="246">
        <v>2</v>
      </c>
      <c r="F519" s="246">
        <v>3</v>
      </c>
      <c r="G519" s="246">
        <v>9</v>
      </c>
      <c r="H519" s="246">
        <v>13</v>
      </c>
      <c r="I519" s="246">
        <v>14</v>
      </c>
      <c r="J519" s="246">
        <v>16</v>
      </c>
      <c r="K519" s="246"/>
      <c r="L519" s="246"/>
      <c r="M519" s="246"/>
      <c r="N519" s="246"/>
      <c r="O519" s="246"/>
      <c r="P519" s="246"/>
      <c r="Q519" s="246"/>
      <c r="R519" s="246">
        <f>IFERROR(VLOOKUP(D519,PROGRAMAS[],2,FALSE),0)</f>
        <v>97037803.679377079</v>
      </c>
      <c r="S519" s="246">
        <f>IFERROR(VLOOKUP(E519,PROGRAMAS[],2,FALSE),0)</f>
        <v>640501509.6821388</v>
      </c>
      <c r="T519" s="246">
        <f>IFERROR(VLOOKUP(F519,PROGRAMAS[],2,FALSE),0)</f>
        <v>3062327798.1525245</v>
      </c>
      <c r="U519" s="246">
        <f>IFERROR(VLOOKUP(G519,PROGRAMAS[],2,FALSE),0)</f>
        <v>6128579952.1618185</v>
      </c>
      <c r="V519" s="246">
        <f>IFERROR(VLOOKUP(H519,PROGRAMAS[],2,FALSE),0)</f>
        <v>3776538594.4604583</v>
      </c>
      <c r="W519" s="246">
        <f>IFERROR(VLOOKUP(I519,PROGRAMAS[],2,FALSE),0)</f>
        <v>54223862.645839565</v>
      </c>
      <c r="X519" s="246">
        <f>IFERROR(VLOOKUP(J519,PROGRAMAS[],2,FALSE),0)</f>
        <v>7068496961.0436354</v>
      </c>
      <c r="Y519" s="246">
        <f>IFERROR(VLOOKUP(K519,PROGRAMAS[],2,FALSE),0)</f>
        <v>0</v>
      </c>
      <c r="Z519" s="246">
        <f>IFERROR(VLOOKUP(L519,PROGRAMAS[],2,FALSE),0)</f>
        <v>0</v>
      </c>
      <c r="AA519" s="246">
        <f>IFERROR(VLOOKUP(M519,PROGRAMAS[],2,FALSE),0)</f>
        <v>0</v>
      </c>
      <c r="AB519" s="246">
        <f>IFERROR(VLOOKUP(N519,PROGRAMAS[],2,FALSE),0)</f>
        <v>0</v>
      </c>
      <c r="AC519" s="246">
        <f>IFERROR(VLOOKUP(O519,PROGRAMAS[],2,FALSE),0)</f>
        <v>0</v>
      </c>
      <c r="AD519" s="246">
        <f>IFERROR(VLOOKUP(P519,PROGRAMAS[],2,FALSE),0)</f>
        <v>0</v>
      </c>
      <c r="AE519" s="246">
        <f>IFERROR(VLOOKUP(Q519,PROGRAMAS[],2,FALSE),0)</f>
        <v>0</v>
      </c>
      <c r="AF519" s="246">
        <f>IFERROR(VLOOKUP(D519,PROGRAMAS[],3,FALSE),0)</f>
        <v>841888629.31080008</v>
      </c>
      <c r="AG519" s="246">
        <f>IFERROR(VLOOKUP(E519,PROGRAMAS[],3,FALSE),0)</f>
        <v>3848980803.1642323</v>
      </c>
      <c r="AH519" s="246">
        <f>IFERROR(VLOOKUP(F519,PROGRAMAS[],3,FALSE),0)</f>
        <v>3394901471.387517</v>
      </c>
      <c r="AI519" s="246">
        <f>IFERROR(VLOOKUP(G519,PROGRAMAS[],3,FALSE),0)</f>
        <v>7011279577.519702</v>
      </c>
      <c r="AJ519" s="246">
        <f>IFERROR(VLOOKUP(H519,PROGRAMAS[],3,FALSE),0)</f>
        <v>2392571243.5584412</v>
      </c>
      <c r="AK519" s="246">
        <f>IFERROR(VLOOKUP(I519,PROGRAMAS[],3,FALSE),0)</f>
        <v>31865326.38096505</v>
      </c>
      <c r="AL519" s="246">
        <f>IFERROR(VLOOKUP(J519,PROGRAMAS[],3,FALSE),0)</f>
        <v>2406564599.0319901</v>
      </c>
      <c r="AM519" s="246">
        <f>IFERROR(VLOOKUP(K519,PROGRAMAS[],3,FALSE),0)</f>
        <v>0</v>
      </c>
      <c r="AN519" s="246">
        <f>IFERROR(VLOOKUP(L519,PROGRAMAS[],3,FALSE),0)</f>
        <v>0</v>
      </c>
      <c r="AO519" s="246">
        <f>IFERROR(VLOOKUP(M519,PROGRAMAS[],3,FALSE),0)</f>
        <v>0</v>
      </c>
      <c r="AP519" s="246">
        <f>IFERROR(VLOOKUP(N519,PROGRAMAS[],3,FALSE),0)</f>
        <v>0</v>
      </c>
      <c r="AQ519" s="246">
        <f>IFERROR(VLOOKUP(O519,PROGRAMAS[],3,FALSE),0)</f>
        <v>0</v>
      </c>
      <c r="AR519" s="246">
        <f>IFERROR(VLOOKUP(P519,PROGRAMAS[],3,FALSE),0)</f>
        <v>0</v>
      </c>
      <c r="AS519" s="246">
        <f>IFERROR(VLOOKUP(Q519,PROGRAMAS[],3,FALSE),0)</f>
        <v>0</v>
      </c>
      <c r="AT519" s="246">
        <f>IFERROR(VLOOKUP(D519,VOL_REC[],2,FALSE),0)</f>
        <v>0</v>
      </c>
      <c r="AU519" s="246">
        <f>IFERROR(VLOOKUP(E519,VOL_REC[],2,FALSE),0)</f>
        <v>0</v>
      </c>
      <c r="AV519" s="246">
        <f>IFERROR(VLOOKUP(F519,VOL_REC[],2,FALSE),0)</f>
        <v>11089674.200000001</v>
      </c>
      <c r="AW519" s="246">
        <f>IFERROR(VLOOKUP(G519,VOL_REC[],2,FALSE),0)</f>
        <v>3761786</v>
      </c>
      <c r="AX519" s="246">
        <f>IFERROR(VLOOKUP(H519,VOL_REC[],2,FALSE),0)</f>
        <v>663244.80000000016</v>
      </c>
      <c r="AY519" s="246">
        <f>IFERROR(VLOOKUP(I519,VOL_REC[],2,FALSE),0)</f>
        <v>17074.045034105649</v>
      </c>
      <c r="AZ519" s="246">
        <f>IFERROR(VLOOKUP(J519,VOL_REC[],2,FALSE),0)</f>
        <v>1072354.9981737854</v>
      </c>
      <c r="BA519" s="246">
        <f>IFERROR(VLOOKUP(K519,VOL_REC[],2,FALSE),0)</f>
        <v>0</v>
      </c>
      <c r="BB519" s="246">
        <f>IFERROR(VLOOKUP(L519,VOL_REC[],2,FALSE),0)</f>
        <v>0</v>
      </c>
      <c r="BC519" s="246">
        <f>IFERROR(VLOOKUP(M519,VOL_REC[],2,FALSE),0)</f>
        <v>0</v>
      </c>
      <c r="BD519" s="246">
        <f>IFERROR(VLOOKUP(N519,VOL_REC[],2,FALSE),0)</f>
        <v>0</v>
      </c>
      <c r="BE519" s="246">
        <f>IFERROR(VLOOKUP(O519,VOL_REC[],2,FALSE),0)</f>
        <v>0</v>
      </c>
      <c r="BF519" s="246">
        <f>IFERROR(VLOOKUP(P519,VOL_REC[],2,FALSE),0)</f>
        <v>0</v>
      </c>
      <c r="BG519" s="246">
        <f>IFERROR(VLOOKUP(Q519,VOL_REC[],2,FALSE),0)</f>
        <v>0</v>
      </c>
      <c r="BH519" s="1710">
        <f t="shared" si="32"/>
        <v>20827706481.825794</v>
      </c>
      <c r="BI519" s="1710">
        <f t="shared" si="33"/>
        <v>19928051650.353649</v>
      </c>
      <c r="BJ519" s="1711">
        <f t="shared" si="34"/>
        <v>16604134.043207891</v>
      </c>
      <c r="BK519" s="1711">
        <f t="shared" si="35"/>
        <v>1.045145147516525</v>
      </c>
      <c r="BL519">
        <f>BJ519</f>
        <v>16604134.043207891</v>
      </c>
      <c r="BO519">
        <f>BL519</f>
        <v>16604134.043207891</v>
      </c>
    </row>
    <row r="520" spans="3:67" x14ac:dyDescent="0.25">
      <c r="C520" s="246" t="s">
        <v>1870</v>
      </c>
      <c r="D520" s="246">
        <v>1</v>
      </c>
      <c r="E520" s="246">
        <v>2</v>
      </c>
      <c r="F520" s="246">
        <v>3</v>
      </c>
      <c r="G520" s="246">
        <v>9</v>
      </c>
      <c r="H520" s="246">
        <v>13</v>
      </c>
      <c r="I520" s="246">
        <v>14</v>
      </c>
      <c r="J520" s="246">
        <v>17</v>
      </c>
      <c r="K520" s="246"/>
      <c r="L520" s="246"/>
      <c r="M520" s="246"/>
      <c r="N520" s="246"/>
      <c r="O520" s="246"/>
      <c r="P520" s="246"/>
      <c r="Q520" s="246"/>
      <c r="R520" s="246">
        <f>IFERROR(VLOOKUP(D520,PROGRAMAS[],2,FALSE),0)</f>
        <v>97037803.679377079</v>
      </c>
      <c r="S520" s="246">
        <f>IFERROR(VLOOKUP(E520,PROGRAMAS[],2,FALSE),0)</f>
        <v>640501509.6821388</v>
      </c>
      <c r="T520" s="246">
        <f>IFERROR(VLOOKUP(F520,PROGRAMAS[],2,FALSE),0)</f>
        <v>3062327798.1525245</v>
      </c>
      <c r="U520" s="246">
        <f>IFERROR(VLOOKUP(G520,PROGRAMAS[],2,FALSE),0)</f>
        <v>6128579952.1618185</v>
      </c>
      <c r="V520" s="246">
        <f>IFERROR(VLOOKUP(H520,PROGRAMAS[],2,FALSE),0)</f>
        <v>3776538594.4604583</v>
      </c>
      <c r="W520" s="246">
        <f>IFERROR(VLOOKUP(I520,PROGRAMAS[],2,FALSE),0)</f>
        <v>54223862.645839565</v>
      </c>
      <c r="X520" s="246">
        <f>IFERROR(VLOOKUP(J520,PROGRAMAS[],2,FALSE),0)</f>
        <v>1892779498.5211046</v>
      </c>
      <c r="Y520" s="246">
        <f>IFERROR(VLOOKUP(K520,PROGRAMAS[],2,FALSE),0)</f>
        <v>0</v>
      </c>
      <c r="Z520" s="246">
        <f>IFERROR(VLOOKUP(L520,PROGRAMAS[],2,FALSE),0)</f>
        <v>0</v>
      </c>
      <c r="AA520" s="246">
        <f>IFERROR(VLOOKUP(M520,PROGRAMAS[],2,FALSE),0)</f>
        <v>0</v>
      </c>
      <c r="AB520" s="246">
        <f>IFERROR(VLOOKUP(N520,PROGRAMAS[],2,FALSE),0)</f>
        <v>0</v>
      </c>
      <c r="AC520" s="246">
        <f>IFERROR(VLOOKUP(O520,PROGRAMAS[],2,FALSE),0)</f>
        <v>0</v>
      </c>
      <c r="AD520" s="246">
        <f>IFERROR(VLOOKUP(P520,PROGRAMAS[],2,FALSE),0)</f>
        <v>0</v>
      </c>
      <c r="AE520" s="246">
        <f>IFERROR(VLOOKUP(Q520,PROGRAMAS[],2,FALSE),0)</f>
        <v>0</v>
      </c>
      <c r="AF520" s="246">
        <f>IFERROR(VLOOKUP(D520,PROGRAMAS[],3,FALSE),0)</f>
        <v>841888629.31080008</v>
      </c>
      <c r="AG520" s="246">
        <f>IFERROR(VLOOKUP(E520,PROGRAMAS[],3,FALSE),0)</f>
        <v>3848980803.1642323</v>
      </c>
      <c r="AH520" s="246">
        <f>IFERROR(VLOOKUP(F520,PROGRAMAS[],3,FALSE),0)</f>
        <v>3394901471.387517</v>
      </c>
      <c r="AI520" s="246">
        <f>IFERROR(VLOOKUP(G520,PROGRAMAS[],3,FALSE),0)</f>
        <v>7011279577.519702</v>
      </c>
      <c r="AJ520" s="246">
        <f>IFERROR(VLOOKUP(H520,PROGRAMAS[],3,FALSE),0)</f>
        <v>2392571243.5584412</v>
      </c>
      <c r="AK520" s="246">
        <f>IFERROR(VLOOKUP(I520,PROGRAMAS[],3,FALSE),0)</f>
        <v>31865326.38096505</v>
      </c>
      <c r="AL520" s="246">
        <f>IFERROR(VLOOKUP(J520,PROGRAMAS[],3,FALSE),0)</f>
        <v>948595847.09039903</v>
      </c>
      <c r="AM520" s="246">
        <f>IFERROR(VLOOKUP(K520,PROGRAMAS[],3,FALSE),0)</f>
        <v>0</v>
      </c>
      <c r="AN520" s="246">
        <f>IFERROR(VLOOKUP(L520,PROGRAMAS[],3,FALSE),0)</f>
        <v>0</v>
      </c>
      <c r="AO520" s="246">
        <f>IFERROR(VLOOKUP(M520,PROGRAMAS[],3,FALSE),0)</f>
        <v>0</v>
      </c>
      <c r="AP520" s="246">
        <f>IFERROR(VLOOKUP(N520,PROGRAMAS[],3,FALSE),0)</f>
        <v>0</v>
      </c>
      <c r="AQ520" s="246">
        <f>IFERROR(VLOOKUP(O520,PROGRAMAS[],3,FALSE),0)</f>
        <v>0</v>
      </c>
      <c r="AR520" s="246">
        <f>IFERROR(VLOOKUP(P520,PROGRAMAS[],3,FALSE),0)</f>
        <v>0</v>
      </c>
      <c r="AS520" s="246">
        <f>IFERROR(VLOOKUP(Q520,PROGRAMAS[],3,FALSE),0)</f>
        <v>0</v>
      </c>
      <c r="AT520" s="246">
        <f>IFERROR(VLOOKUP(D520,VOL_REC[],2,FALSE),0)</f>
        <v>0</v>
      </c>
      <c r="AU520" s="246">
        <f>IFERROR(VLOOKUP(E520,VOL_REC[],2,FALSE),0)</f>
        <v>0</v>
      </c>
      <c r="AV520" s="246">
        <f>IFERROR(VLOOKUP(F520,VOL_REC[],2,FALSE),0)</f>
        <v>11089674.200000001</v>
      </c>
      <c r="AW520" s="246">
        <f>IFERROR(VLOOKUP(G520,VOL_REC[],2,FALSE),0)</f>
        <v>3761786</v>
      </c>
      <c r="AX520" s="246">
        <f>IFERROR(VLOOKUP(H520,VOL_REC[],2,FALSE),0)</f>
        <v>663244.80000000016</v>
      </c>
      <c r="AY520" s="246">
        <f>IFERROR(VLOOKUP(I520,VOL_REC[],2,FALSE),0)</f>
        <v>17074.045034105649</v>
      </c>
      <c r="AZ520" s="246">
        <f>IFERROR(VLOOKUP(J520,VOL_REC[],2,FALSE),0)</f>
        <v>740113.98115702497</v>
      </c>
      <c r="BA520" s="246">
        <f>IFERROR(VLOOKUP(K520,VOL_REC[],2,FALSE),0)</f>
        <v>0</v>
      </c>
      <c r="BB520" s="246">
        <f>IFERROR(VLOOKUP(L520,VOL_REC[],2,FALSE),0)</f>
        <v>0</v>
      </c>
      <c r="BC520" s="246">
        <f>IFERROR(VLOOKUP(M520,VOL_REC[],2,FALSE),0)</f>
        <v>0</v>
      </c>
      <c r="BD520" s="246">
        <f>IFERROR(VLOOKUP(N520,VOL_REC[],2,FALSE),0)</f>
        <v>0</v>
      </c>
      <c r="BE520" s="246">
        <f>IFERROR(VLOOKUP(O520,VOL_REC[],2,FALSE),0)</f>
        <v>0</v>
      </c>
      <c r="BF520" s="246">
        <f>IFERROR(VLOOKUP(P520,VOL_REC[],2,FALSE),0)</f>
        <v>0</v>
      </c>
      <c r="BG520" s="246">
        <f>IFERROR(VLOOKUP(Q520,VOL_REC[],2,FALSE),0)</f>
        <v>0</v>
      </c>
      <c r="BH520" s="1710">
        <f t="shared" si="32"/>
        <v>15651989019.303263</v>
      </c>
      <c r="BI520" s="1710">
        <f t="shared" si="33"/>
        <v>18470082898.41206</v>
      </c>
      <c r="BJ520" s="1711">
        <f t="shared" si="34"/>
        <v>16271893.026191132</v>
      </c>
      <c r="BK520" s="1711">
        <f t="shared" si="35"/>
        <v>0.84742386406121228</v>
      </c>
    </row>
    <row r="521" spans="3:67" x14ac:dyDescent="0.25">
      <c r="C521" s="246" t="s">
        <v>1871</v>
      </c>
      <c r="D521" s="246">
        <v>1</v>
      </c>
      <c r="E521" s="246">
        <v>2</v>
      </c>
      <c r="F521" s="246">
        <v>3</v>
      </c>
      <c r="G521" s="246">
        <v>9</v>
      </c>
      <c r="H521" s="246">
        <v>13</v>
      </c>
      <c r="I521" s="246">
        <v>15</v>
      </c>
      <c r="J521" s="246">
        <v>16</v>
      </c>
      <c r="K521" s="246"/>
      <c r="L521" s="246"/>
      <c r="M521" s="246"/>
      <c r="N521" s="246"/>
      <c r="O521" s="246"/>
      <c r="P521" s="246"/>
      <c r="Q521" s="246"/>
      <c r="R521" s="246">
        <f>IFERROR(VLOOKUP(D521,PROGRAMAS[],2,FALSE),0)</f>
        <v>97037803.679377079</v>
      </c>
      <c r="S521" s="246">
        <f>IFERROR(VLOOKUP(E521,PROGRAMAS[],2,FALSE),0)</f>
        <v>640501509.6821388</v>
      </c>
      <c r="T521" s="246">
        <f>IFERROR(VLOOKUP(F521,PROGRAMAS[],2,FALSE),0)</f>
        <v>3062327798.1525245</v>
      </c>
      <c r="U521" s="246">
        <f>IFERROR(VLOOKUP(G521,PROGRAMAS[],2,FALSE),0)</f>
        <v>6128579952.1618185</v>
      </c>
      <c r="V521" s="246">
        <f>IFERROR(VLOOKUP(H521,PROGRAMAS[],2,FALSE),0)</f>
        <v>3776538594.4604583</v>
      </c>
      <c r="W521" s="246">
        <f>IFERROR(VLOOKUP(I521,PROGRAMAS[],2,FALSE),0)</f>
        <v>122159672.96346797</v>
      </c>
      <c r="X521" s="246">
        <f>IFERROR(VLOOKUP(J521,PROGRAMAS[],2,FALSE),0)</f>
        <v>7068496961.0436354</v>
      </c>
      <c r="Y521" s="246">
        <f>IFERROR(VLOOKUP(K521,PROGRAMAS[],2,FALSE),0)</f>
        <v>0</v>
      </c>
      <c r="Z521" s="246">
        <f>IFERROR(VLOOKUP(L521,PROGRAMAS[],2,FALSE),0)</f>
        <v>0</v>
      </c>
      <c r="AA521" s="246">
        <f>IFERROR(VLOOKUP(M521,PROGRAMAS[],2,FALSE),0)</f>
        <v>0</v>
      </c>
      <c r="AB521" s="246">
        <f>IFERROR(VLOOKUP(N521,PROGRAMAS[],2,FALSE),0)</f>
        <v>0</v>
      </c>
      <c r="AC521" s="246">
        <f>IFERROR(VLOOKUP(O521,PROGRAMAS[],2,FALSE),0)</f>
        <v>0</v>
      </c>
      <c r="AD521" s="246">
        <f>IFERROR(VLOOKUP(P521,PROGRAMAS[],2,FALSE),0)</f>
        <v>0</v>
      </c>
      <c r="AE521" s="246">
        <f>IFERROR(VLOOKUP(Q521,PROGRAMAS[],2,FALSE),0)</f>
        <v>0</v>
      </c>
      <c r="AF521" s="246">
        <f>IFERROR(VLOOKUP(D521,PROGRAMAS[],3,FALSE),0)</f>
        <v>841888629.31080008</v>
      </c>
      <c r="AG521" s="246">
        <f>IFERROR(VLOOKUP(E521,PROGRAMAS[],3,FALSE),0)</f>
        <v>3848980803.1642323</v>
      </c>
      <c r="AH521" s="246">
        <f>IFERROR(VLOOKUP(F521,PROGRAMAS[],3,FALSE),0)</f>
        <v>3394901471.387517</v>
      </c>
      <c r="AI521" s="246">
        <f>IFERROR(VLOOKUP(G521,PROGRAMAS[],3,FALSE),0)</f>
        <v>7011279577.519702</v>
      </c>
      <c r="AJ521" s="246">
        <f>IFERROR(VLOOKUP(H521,PROGRAMAS[],3,FALSE),0)</f>
        <v>2392571243.5584412</v>
      </c>
      <c r="AK521" s="246">
        <f>IFERROR(VLOOKUP(I521,PROGRAMAS[],3,FALSE),0)</f>
        <v>118617452.52510804</v>
      </c>
      <c r="AL521" s="246">
        <f>IFERROR(VLOOKUP(J521,PROGRAMAS[],3,FALSE),0)</f>
        <v>2406564599.0319901</v>
      </c>
      <c r="AM521" s="246">
        <f>IFERROR(VLOOKUP(K521,PROGRAMAS[],3,FALSE),0)</f>
        <v>0</v>
      </c>
      <c r="AN521" s="246">
        <f>IFERROR(VLOOKUP(L521,PROGRAMAS[],3,FALSE),0)</f>
        <v>0</v>
      </c>
      <c r="AO521" s="246">
        <f>IFERROR(VLOOKUP(M521,PROGRAMAS[],3,FALSE),0)</f>
        <v>0</v>
      </c>
      <c r="AP521" s="246">
        <f>IFERROR(VLOOKUP(N521,PROGRAMAS[],3,FALSE),0)</f>
        <v>0</v>
      </c>
      <c r="AQ521" s="246">
        <f>IFERROR(VLOOKUP(O521,PROGRAMAS[],3,FALSE),0)</f>
        <v>0</v>
      </c>
      <c r="AR521" s="246">
        <f>IFERROR(VLOOKUP(P521,PROGRAMAS[],3,FALSE),0)</f>
        <v>0</v>
      </c>
      <c r="AS521" s="246">
        <f>IFERROR(VLOOKUP(Q521,PROGRAMAS[],3,FALSE),0)</f>
        <v>0</v>
      </c>
      <c r="AT521" s="246">
        <f>IFERROR(VLOOKUP(D521,VOL_REC[],2,FALSE),0)</f>
        <v>0</v>
      </c>
      <c r="AU521" s="246">
        <f>IFERROR(VLOOKUP(E521,VOL_REC[],2,FALSE),0)</f>
        <v>0</v>
      </c>
      <c r="AV521" s="246">
        <f>IFERROR(VLOOKUP(F521,VOL_REC[],2,FALSE),0)</f>
        <v>11089674.200000001</v>
      </c>
      <c r="AW521" s="246">
        <f>IFERROR(VLOOKUP(G521,VOL_REC[],2,FALSE),0)</f>
        <v>3761786</v>
      </c>
      <c r="AX521" s="246">
        <f>IFERROR(VLOOKUP(H521,VOL_REC[],2,FALSE),0)</f>
        <v>663244.80000000016</v>
      </c>
      <c r="AY521" s="246">
        <f>IFERROR(VLOOKUP(I521,VOL_REC[],2,FALSE),0)</f>
        <v>105072</v>
      </c>
      <c r="AZ521" s="246">
        <f>IFERROR(VLOOKUP(J521,VOL_REC[],2,FALSE),0)</f>
        <v>1072354.9981737854</v>
      </c>
      <c r="BA521" s="246">
        <f>IFERROR(VLOOKUP(K521,VOL_REC[],2,FALSE),0)</f>
        <v>0</v>
      </c>
      <c r="BB521" s="246">
        <f>IFERROR(VLOOKUP(L521,VOL_REC[],2,FALSE),0)</f>
        <v>0</v>
      </c>
      <c r="BC521" s="246">
        <f>IFERROR(VLOOKUP(M521,VOL_REC[],2,FALSE),0)</f>
        <v>0</v>
      </c>
      <c r="BD521" s="246">
        <f>IFERROR(VLOOKUP(N521,VOL_REC[],2,FALSE),0)</f>
        <v>0</v>
      </c>
      <c r="BE521" s="246">
        <f>IFERROR(VLOOKUP(O521,VOL_REC[],2,FALSE),0)</f>
        <v>0</v>
      </c>
      <c r="BF521" s="246">
        <f>IFERROR(VLOOKUP(P521,VOL_REC[],2,FALSE),0)</f>
        <v>0</v>
      </c>
      <c r="BG521" s="246">
        <f>IFERROR(VLOOKUP(Q521,VOL_REC[],2,FALSE),0)</f>
        <v>0</v>
      </c>
      <c r="BH521" s="1710">
        <f t="shared" si="32"/>
        <v>20895642292.143421</v>
      </c>
      <c r="BI521" s="1710">
        <f t="shared" si="33"/>
        <v>20014803776.497791</v>
      </c>
      <c r="BJ521" s="1711">
        <f t="shared" si="34"/>
        <v>16692131.998173788</v>
      </c>
      <c r="BK521" s="1711">
        <f t="shared" si="35"/>
        <v>1.0440093505528116</v>
      </c>
      <c r="BL521">
        <f>BJ521</f>
        <v>16692131.998173788</v>
      </c>
      <c r="BO521">
        <f>BL521</f>
        <v>16692131.998173788</v>
      </c>
    </row>
    <row r="522" spans="3:67" x14ac:dyDescent="0.25">
      <c r="C522" s="246" t="s">
        <v>1872</v>
      </c>
      <c r="D522" s="246">
        <v>1</v>
      </c>
      <c r="E522" s="246">
        <v>2</v>
      </c>
      <c r="F522" s="246">
        <v>3</v>
      </c>
      <c r="G522" s="246">
        <v>9</v>
      </c>
      <c r="H522" s="246">
        <v>13</v>
      </c>
      <c r="I522" s="246">
        <v>15</v>
      </c>
      <c r="J522" s="246">
        <v>17</v>
      </c>
      <c r="K522" s="246"/>
      <c r="L522" s="246"/>
      <c r="M522" s="246"/>
      <c r="N522" s="246"/>
      <c r="O522" s="246"/>
      <c r="P522" s="246"/>
      <c r="Q522" s="246"/>
      <c r="R522" s="246">
        <f>IFERROR(VLOOKUP(D522,PROGRAMAS[],2,FALSE),0)</f>
        <v>97037803.679377079</v>
      </c>
      <c r="S522" s="246">
        <f>IFERROR(VLOOKUP(E522,PROGRAMAS[],2,FALSE),0)</f>
        <v>640501509.6821388</v>
      </c>
      <c r="T522" s="246">
        <f>IFERROR(VLOOKUP(F522,PROGRAMAS[],2,FALSE),0)</f>
        <v>3062327798.1525245</v>
      </c>
      <c r="U522" s="246">
        <f>IFERROR(VLOOKUP(G522,PROGRAMAS[],2,FALSE),0)</f>
        <v>6128579952.1618185</v>
      </c>
      <c r="V522" s="246">
        <f>IFERROR(VLOOKUP(H522,PROGRAMAS[],2,FALSE),0)</f>
        <v>3776538594.4604583</v>
      </c>
      <c r="W522" s="246">
        <f>IFERROR(VLOOKUP(I522,PROGRAMAS[],2,FALSE),0)</f>
        <v>122159672.96346797</v>
      </c>
      <c r="X522" s="246">
        <f>IFERROR(VLOOKUP(J522,PROGRAMAS[],2,FALSE),0)</f>
        <v>1892779498.5211046</v>
      </c>
      <c r="Y522" s="246">
        <f>IFERROR(VLOOKUP(K522,PROGRAMAS[],2,FALSE),0)</f>
        <v>0</v>
      </c>
      <c r="Z522" s="246">
        <f>IFERROR(VLOOKUP(L522,PROGRAMAS[],2,FALSE),0)</f>
        <v>0</v>
      </c>
      <c r="AA522" s="246">
        <f>IFERROR(VLOOKUP(M522,PROGRAMAS[],2,FALSE),0)</f>
        <v>0</v>
      </c>
      <c r="AB522" s="246">
        <f>IFERROR(VLOOKUP(N522,PROGRAMAS[],2,FALSE),0)</f>
        <v>0</v>
      </c>
      <c r="AC522" s="246">
        <f>IFERROR(VLOOKUP(O522,PROGRAMAS[],2,FALSE),0)</f>
        <v>0</v>
      </c>
      <c r="AD522" s="246">
        <f>IFERROR(VLOOKUP(P522,PROGRAMAS[],2,FALSE),0)</f>
        <v>0</v>
      </c>
      <c r="AE522" s="246">
        <f>IFERROR(VLOOKUP(Q522,PROGRAMAS[],2,FALSE),0)</f>
        <v>0</v>
      </c>
      <c r="AF522" s="246">
        <f>IFERROR(VLOOKUP(D522,PROGRAMAS[],3,FALSE),0)</f>
        <v>841888629.31080008</v>
      </c>
      <c r="AG522" s="246">
        <f>IFERROR(VLOOKUP(E522,PROGRAMAS[],3,FALSE),0)</f>
        <v>3848980803.1642323</v>
      </c>
      <c r="AH522" s="246">
        <f>IFERROR(VLOOKUP(F522,PROGRAMAS[],3,FALSE),0)</f>
        <v>3394901471.387517</v>
      </c>
      <c r="AI522" s="246">
        <f>IFERROR(VLOOKUP(G522,PROGRAMAS[],3,FALSE),0)</f>
        <v>7011279577.519702</v>
      </c>
      <c r="AJ522" s="246">
        <f>IFERROR(VLOOKUP(H522,PROGRAMAS[],3,FALSE),0)</f>
        <v>2392571243.5584412</v>
      </c>
      <c r="AK522" s="246">
        <f>IFERROR(VLOOKUP(I522,PROGRAMAS[],3,FALSE),0)</f>
        <v>118617452.52510804</v>
      </c>
      <c r="AL522" s="246">
        <f>IFERROR(VLOOKUP(J522,PROGRAMAS[],3,FALSE),0)</f>
        <v>948595847.09039903</v>
      </c>
      <c r="AM522" s="246">
        <f>IFERROR(VLOOKUP(K522,PROGRAMAS[],3,FALSE),0)</f>
        <v>0</v>
      </c>
      <c r="AN522" s="246">
        <f>IFERROR(VLOOKUP(L522,PROGRAMAS[],3,FALSE),0)</f>
        <v>0</v>
      </c>
      <c r="AO522" s="246">
        <f>IFERROR(VLOOKUP(M522,PROGRAMAS[],3,FALSE),0)</f>
        <v>0</v>
      </c>
      <c r="AP522" s="246">
        <f>IFERROR(VLOOKUP(N522,PROGRAMAS[],3,FALSE),0)</f>
        <v>0</v>
      </c>
      <c r="AQ522" s="246">
        <f>IFERROR(VLOOKUP(O522,PROGRAMAS[],3,FALSE),0)</f>
        <v>0</v>
      </c>
      <c r="AR522" s="246">
        <f>IFERROR(VLOOKUP(P522,PROGRAMAS[],3,FALSE),0)</f>
        <v>0</v>
      </c>
      <c r="AS522" s="246">
        <f>IFERROR(VLOOKUP(Q522,PROGRAMAS[],3,FALSE),0)</f>
        <v>0</v>
      </c>
      <c r="AT522" s="246">
        <f>IFERROR(VLOOKUP(D522,VOL_REC[],2,FALSE),0)</f>
        <v>0</v>
      </c>
      <c r="AU522" s="246">
        <f>IFERROR(VLOOKUP(E522,VOL_REC[],2,FALSE),0)</f>
        <v>0</v>
      </c>
      <c r="AV522" s="246">
        <f>IFERROR(VLOOKUP(F522,VOL_REC[],2,FALSE),0)</f>
        <v>11089674.200000001</v>
      </c>
      <c r="AW522" s="246">
        <f>IFERROR(VLOOKUP(G522,VOL_REC[],2,FALSE),0)</f>
        <v>3761786</v>
      </c>
      <c r="AX522" s="246">
        <f>IFERROR(VLOOKUP(H522,VOL_REC[],2,FALSE),0)</f>
        <v>663244.80000000016</v>
      </c>
      <c r="AY522" s="246">
        <f>IFERROR(VLOOKUP(I522,VOL_REC[],2,FALSE),0)</f>
        <v>105072</v>
      </c>
      <c r="AZ522" s="246">
        <f>IFERROR(VLOOKUP(J522,VOL_REC[],2,FALSE),0)</f>
        <v>740113.98115702497</v>
      </c>
      <c r="BA522" s="246">
        <f>IFERROR(VLOOKUP(K522,VOL_REC[],2,FALSE),0)</f>
        <v>0</v>
      </c>
      <c r="BB522" s="246">
        <f>IFERROR(VLOOKUP(L522,VOL_REC[],2,FALSE),0)</f>
        <v>0</v>
      </c>
      <c r="BC522" s="246">
        <f>IFERROR(VLOOKUP(M522,VOL_REC[],2,FALSE),0)</f>
        <v>0</v>
      </c>
      <c r="BD522" s="246">
        <f>IFERROR(VLOOKUP(N522,VOL_REC[],2,FALSE),0)</f>
        <v>0</v>
      </c>
      <c r="BE522" s="246">
        <f>IFERROR(VLOOKUP(O522,VOL_REC[],2,FALSE),0)</f>
        <v>0</v>
      </c>
      <c r="BF522" s="246">
        <f>IFERROR(VLOOKUP(P522,VOL_REC[],2,FALSE),0)</f>
        <v>0</v>
      </c>
      <c r="BG522" s="246">
        <f>IFERROR(VLOOKUP(Q522,VOL_REC[],2,FALSE),0)</f>
        <v>0</v>
      </c>
      <c r="BH522" s="1710">
        <f t="shared" si="32"/>
        <v>15719924829.620892</v>
      </c>
      <c r="BI522" s="1710">
        <f t="shared" si="33"/>
        <v>18556835024.556202</v>
      </c>
      <c r="BJ522" s="1711">
        <f t="shared" si="34"/>
        <v>16359890.981157027</v>
      </c>
      <c r="BK522" s="1711">
        <f t="shared" si="35"/>
        <v>0.84712316560549061</v>
      </c>
    </row>
    <row r="523" spans="3:67" x14ac:dyDescent="0.25">
      <c r="C523" s="246" t="s">
        <v>1873</v>
      </c>
      <c r="D523" s="246">
        <v>1</v>
      </c>
      <c r="E523" s="246">
        <v>2</v>
      </c>
      <c r="F523" s="246">
        <v>3</v>
      </c>
      <c r="G523" s="246">
        <v>9</v>
      </c>
      <c r="H523" s="246">
        <v>13</v>
      </c>
      <c r="I523" s="246">
        <v>16</v>
      </c>
      <c r="J523" s="246">
        <v>17</v>
      </c>
      <c r="K523" s="246"/>
      <c r="L523" s="246"/>
      <c r="M523" s="246"/>
      <c r="N523" s="246"/>
      <c r="O523" s="246"/>
      <c r="P523" s="246"/>
      <c r="Q523" s="246"/>
      <c r="R523" s="246">
        <f>IFERROR(VLOOKUP(D523,PROGRAMAS[],2,FALSE),0)</f>
        <v>97037803.679377079</v>
      </c>
      <c r="S523" s="246">
        <f>IFERROR(VLOOKUP(E523,PROGRAMAS[],2,FALSE),0)</f>
        <v>640501509.6821388</v>
      </c>
      <c r="T523" s="246">
        <f>IFERROR(VLOOKUP(F523,PROGRAMAS[],2,FALSE),0)</f>
        <v>3062327798.1525245</v>
      </c>
      <c r="U523" s="246">
        <f>IFERROR(VLOOKUP(G523,PROGRAMAS[],2,FALSE),0)</f>
        <v>6128579952.1618185</v>
      </c>
      <c r="V523" s="246">
        <f>IFERROR(VLOOKUP(H523,PROGRAMAS[],2,FALSE),0)</f>
        <v>3776538594.4604583</v>
      </c>
      <c r="W523" s="246">
        <f>IFERROR(VLOOKUP(I523,PROGRAMAS[],2,FALSE),0)</f>
        <v>7068496961.0436354</v>
      </c>
      <c r="X523" s="246">
        <f>IFERROR(VLOOKUP(J523,PROGRAMAS[],2,FALSE),0)</f>
        <v>1892779498.5211046</v>
      </c>
      <c r="Y523" s="246">
        <f>IFERROR(VLOOKUP(K523,PROGRAMAS[],2,FALSE),0)</f>
        <v>0</v>
      </c>
      <c r="Z523" s="246">
        <f>IFERROR(VLOOKUP(L523,PROGRAMAS[],2,FALSE),0)</f>
        <v>0</v>
      </c>
      <c r="AA523" s="246">
        <f>IFERROR(VLOOKUP(M523,PROGRAMAS[],2,FALSE),0)</f>
        <v>0</v>
      </c>
      <c r="AB523" s="246">
        <f>IFERROR(VLOOKUP(N523,PROGRAMAS[],2,FALSE),0)</f>
        <v>0</v>
      </c>
      <c r="AC523" s="246">
        <f>IFERROR(VLOOKUP(O523,PROGRAMAS[],2,FALSE),0)</f>
        <v>0</v>
      </c>
      <c r="AD523" s="246">
        <f>IFERROR(VLOOKUP(P523,PROGRAMAS[],2,FALSE),0)</f>
        <v>0</v>
      </c>
      <c r="AE523" s="246">
        <f>IFERROR(VLOOKUP(Q523,PROGRAMAS[],2,FALSE),0)</f>
        <v>0</v>
      </c>
      <c r="AF523" s="246">
        <f>IFERROR(VLOOKUP(D523,PROGRAMAS[],3,FALSE),0)</f>
        <v>841888629.31080008</v>
      </c>
      <c r="AG523" s="246">
        <f>IFERROR(VLOOKUP(E523,PROGRAMAS[],3,FALSE),0)</f>
        <v>3848980803.1642323</v>
      </c>
      <c r="AH523" s="246">
        <f>IFERROR(VLOOKUP(F523,PROGRAMAS[],3,FALSE),0)</f>
        <v>3394901471.387517</v>
      </c>
      <c r="AI523" s="246">
        <f>IFERROR(VLOOKUP(G523,PROGRAMAS[],3,FALSE),0)</f>
        <v>7011279577.519702</v>
      </c>
      <c r="AJ523" s="246">
        <f>IFERROR(VLOOKUP(H523,PROGRAMAS[],3,FALSE),0)</f>
        <v>2392571243.5584412</v>
      </c>
      <c r="AK523" s="246">
        <f>IFERROR(VLOOKUP(I523,PROGRAMAS[],3,FALSE),0)</f>
        <v>2406564599.0319901</v>
      </c>
      <c r="AL523" s="246">
        <f>IFERROR(VLOOKUP(J523,PROGRAMAS[],3,FALSE),0)</f>
        <v>948595847.09039903</v>
      </c>
      <c r="AM523" s="246">
        <f>IFERROR(VLOOKUP(K523,PROGRAMAS[],3,FALSE),0)</f>
        <v>0</v>
      </c>
      <c r="AN523" s="246">
        <f>IFERROR(VLOOKUP(L523,PROGRAMAS[],3,FALSE),0)</f>
        <v>0</v>
      </c>
      <c r="AO523" s="246">
        <f>IFERROR(VLOOKUP(M523,PROGRAMAS[],3,FALSE),0)</f>
        <v>0</v>
      </c>
      <c r="AP523" s="246">
        <f>IFERROR(VLOOKUP(N523,PROGRAMAS[],3,FALSE),0)</f>
        <v>0</v>
      </c>
      <c r="AQ523" s="246">
        <f>IFERROR(VLOOKUP(O523,PROGRAMAS[],3,FALSE),0)</f>
        <v>0</v>
      </c>
      <c r="AR523" s="246">
        <f>IFERROR(VLOOKUP(P523,PROGRAMAS[],3,FALSE),0)</f>
        <v>0</v>
      </c>
      <c r="AS523" s="246">
        <f>IFERROR(VLOOKUP(Q523,PROGRAMAS[],3,FALSE),0)</f>
        <v>0</v>
      </c>
      <c r="AT523" s="246">
        <f>IFERROR(VLOOKUP(D523,VOL_REC[],2,FALSE),0)</f>
        <v>0</v>
      </c>
      <c r="AU523" s="246">
        <f>IFERROR(VLOOKUP(E523,VOL_REC[],2,FALSE),0)</f>
        <v>0</v>
      </c>
      <c r="AV523" s="246">
        <f>IFERROR(VLOOKUP(F523,VOL_REC[],2,FALSE),0)</f>
        <v>11089674.200000001</v>
      </c>
      <c r="AW523" s="246">
        <f>IFERROR(VLOOKUP(G523,VOL_REC[],2,FALSE),0)</f>
        <v>3761786</v>
      </c>
      <c r="AX523" s="246">
        <f>IFERROR(VLOOKUP(H523,VOL_REC[],2,FALSE),0)</f>
        <v>663244.80000000016</v>
      </c>
      <c r="AY523" s="246">
        <f>IFERROR(VLOOKUP(I523,VOL_REC[],2,FALSE),0)</f>
        <v>1072354.9981737854</v>
      </c>
      <c r="AZ523" s="246">
        <f>IFERROR(VLOOKUP(J523,VOL_REC[],2,FALSE),0)</f>
        <v>740113.98115702497</v>
      </c>
      <c r="BA523" s="246">
        <f>IFERROR(VLOOKUP(K523,VOL_REC[],2,FALSE),0)</f>
        <v>0</v>
      </c>
      <c r="BB523" s="246">
        <f>IFERROR(VLOOKUP(L523,VOL_REC[],2,FALSE),0)</f>
        <v>0</v>
      </c>
      <c r="BC523" s="246">
        <f>IFERROR(VLOOKUP(M523,VOL_REC[],2,FALSE),0)</f>
        <v>0</v>
      </c>
      <c r="BD523" s="246">
        <f>IFERROR(VLOOKUP(N523,VOL_REC[],2,FALSE),0)</f>
        <v>0</v>
      </c>
      <c r="BE523" s="246">
        <f>IFERROR(VLOOKUP(O523,VOL_REC[],2,FALSE),0)</f>
        <v>0</v>
      </c>
      <c r="BF523" s="246">
        <f>IFERROR(VLOOKUP(P523,VOL_REC[],2,FALSE),0)</f>
        <v>0</v>
      </c>
      <c r="BG523" s="246">
        <f>IFERROR(VLOOKUP(Q523,VOL_REC[],2,FALSE),0)</f>
        <v>0</v>
      </c>
      <c r="BH523" s="1710">
        <f t="shared" si="32"/>
        <v>22666262117.701057</v>
      </c>
      <c r="BI523" s="1710">
        <f t="shared" si="33"/>
        <v>20844782171.063084</v>
      </c>
      <c r="BJ523" s="1711">
        <f t="shared" si="34"/>
        <v>17327173.979330812</v>
      </c>
      <c r="BK523" s="1711">
        <f t="shared" si="35"/>
        <v>1.0873830166077039</v>
      </c>
      <c r="BL523">
        <f>BJ523</f>
        <v>17327173.979330812</v>
      </c>
      <c r="BO523">
        <f>BL523</f>
        <v>17327173.979330812</v>
      </c>
    </row>
    <row r="524" spans="3:67" x14ac:dyDescent="0.25">
      <c r="C524" s="246" t="s">
        <v>1874</v>
      </c>
      <c r="D524" s="246">
        <v>1</v>
      </c>
      <c r="E524" s="246">
        <v>2</v>
      </c>
      <c r="F524" s="246">
        <v>3</v>
      </c>
      <c r="G524" s="246">
        <v>9</v>
      </c>
      <c r="H524" s="246">
        <v>14</v>
      </c>
      <c r="I524" s="246">
        <v>15</v>
      </c>
      <c r="J524" s="246">
        <v>16</v>
      </c>
      <c r="K524" s="246"/>
      <c r="L524" s="246"/>
      <c r="M524" s="246"/>
      <c r="N524" s="246"/>
      <c r="O524" s="246"/>
      <c r="P524" s="246"/>
      <c r="Q524" s="246"/>
      <c r="R524" s="246">
        <f>IFERROR(VLOOKUP(D524,PROGRAMAS[],2,FALSE),0)</f>
        <v>97037803.679377079</v>
      </c>
      <c r="S524" s="246">
        <f>IFERROR(VLOOKUP(E524,PROGRAMAS[],2,FALSE),0)</f>
        <v>640501509.6821388</v>
      </c>
      <c r="T524" s="246">
        <f>IFERROR(VLOOKUP(F524,PROGRAMAS[],2,FALSE),0)</f>
        <v>3062327798.1525245</v>
      </c>
      <c r="U524" s="246">
        <f>IFERROR(VLOOKUP(G524,PROGRAMAS[],2,FALSE),0)</f>
        <v>6128579952.1618185</v>
      </c>
      <c r="V524" s="246">
        <f>IFERROR(VLOOKUP(H524,PROGRAMAS[],2,FALSE),0)</f>
        <v>54223862.645839565</v>
      </c>
      <c r="W524" s="246">
        <f>IFERROR(VLOOKUP(I524,PROGRAMAS[],2,FALSE),0)</f>
        <v>122159672.96346797</v>
      </c>
      <c r="X524" s="246">
        <f>IFERROR(VLOOKUP(J524,PROGRAMAS[],2,FALSE),0)</f>
        <v>7068496961.0436354</v>
      </c>
      <c r="Y524" s="246">
        <f>IFERROR(VLOOKUP(K524,PROGRAMAS[],2,FALSE),0)</f>
        <v>0</v>
      </c>
      <c r="Z524" s="246">
        <f>IFERROR(VLOOKUP(L524,PROGRAMAS[],2,FALSE),0)</f>
        <v>0</v>
      </c>
      <c r="AA524" s="246">
        <f>IFERROR(VLOOKUP(M524,PROGRAMAS[],2,FALSE),0)</f>
        <v>0</v>
      </c>
      <c r="AB524" s="246">
        <f>IFERROR(VLOOKUP(N524,PROGRAMAS[],2,FALSE),0)</f>
        <v>0</v>
      </c>
      <c r="AC524" s="246">
        <f>IFERROR(VLOOKUP(O524,PROGRAMAS[],2,FALSE),0)</f>
        <v>0</v>
      </c>
      <c r="AD524" s="246">
        <f>IFERROR(VLOOKUP(P524,PROGRAMAS[],2,FALSE),0)</f>
        <v>0</v>
      </c>
      <c r="AE524" s="246">
        <f>IFERROR(VLOOKUP(Q524,PROGRAMAS[],2,FALSE),0)</f>
        <v>0</v>
      </c>
      <c r="AF524" s="246">
        <f>IFERROR(VLOOKUP(D524,PROGRAMAS[],3,FALSE),0)</f>
        <v>841888629.31080008</v>
      </c>
      <c r="AG524" s="246">
        <f>IFERROR(VLOOKUP(E524,PROGRAMAS[],3,FALSE),0)</f>
        <v>3848980803.1642323</v>
      </c>
      <c r="AH524" s="246">
        <f>IFERROR(VLOOKUP(F524,PROGRAMAS[],3,FALSE),0)</f>
        <v>3394901471.387517</v>
      </c>
      <c r="AI524" s="246">
        <f>IFERROR(VLOOKUP(G524,PROGRAMAS[],3,FALSE),0)</f>
        <v>7011279577.519702</v>
      </c>
      <c r="AJ524" s="246">
        <f>IFERROR(VLOOKUP(H524,PROGRAMAS[],3,FALSE),0)</f>
        <v>31865326.38096505</v>
      </c>
      <c r="AK524" s="246">
        <f>IFERROR(VLOOKUP(I524,PROGRAMAS[],3,FALSE),0)</f>
        <v>118617452.52510804</v>
      </c>
      <c r="AL524" s="246">
        <f>IFERROR(VLOOKUP(J524,PROGRAMAS[],3,FALSE),0)</f>
        <v>2406564599.0319901</v>
      </c>
      <c r="AM524" s="246">
        <f>IFERROR(VLOOKUP(K524,PROGRAMAS[],3,FALSE),0)</f>
        <v>0</v>
      </c>
      <c r="AN524" s="246">
        <f>IFERROR(VLOOKUP(L524,PROGRAMAS[],3,FALSE),0)</f>
        <v>0</v>
      </c>
      <c r="AO524" s="246">
        <f>IFERROR(VLOOKUP(M524,PROGRAMAS[],3,FALSE),0)</f>
        <v>0</v>
      </c>
      <c r="AP524" s="246">
        <f>IFERROR(VLOOKUP(N524,PROGRAMAS[],3,FALSE),0)</f>
        <v>0</v>
      </c>
      <c r="AQ524" s="246">
        <f>IFERROR(VLOOKUP(O524,PROGRAMAS[],3,FALSE),0)</f>
        <v>0</v>
      </c>
      <c r="AR524" s="246">
        <f>IFERROR(VLOOKUP(P524,PROGRAMAS[],3,FALSE),0)</f>
        <v>0</v>
      </c>
      <c r="AS524" s="246">
        <f>IFERROR(VLOOKUP(Q524,PROGRAMAS[],3,FALSE),0)</f>
        <v>0</v>
      </c>
      <c r="AT524" s="246">
        <f>IFERROR(VLOOKUP(D524,VOL_REC[],2,FALSE),0)</f>
        <v>0</v>
      </c>
      <c r="AU524" s="246">
        <f>IFERROR(VLOOKUP(E524,VOL_REC[],2,FALSE),0)</f>
        <v>0</v>
      </c>
      <c r="AV524" s="246">
        <f>IFERROR(VLOOKUP(F524,VOL_REC[],2,FALSE),0)</f>
        <v>11089674.200000001</v>
      </c>
      <c r="AW524" s="246">
        <f>IFERROR(VLOOKUP(G524,VOL_REC[],2,FALSE),0)</f>
        <v>3761786</v>
      </c>
      <c r="AX524" s="246">
        <f>IFERROR(VLOOKUP(H524,VOL_REC[],2,FALSE),0)</f>
        <v>17074.045034105649</v>
      </c>
      <c r="AY524" s="246">
        <f>IFERROR(VLOOKUP(I524,VOL_REC[],2,FALSE),0)</f>
        <v>105072</v>
      </c>
      <c r="AZ524" s="246">
        <f>IFERROR(VLOOKUP(J524,VOL_REC[],2,FALSE),0)</f>
        <v>1072354.9981737854</v>
      </c>
      <c r="BA524" s="246">
        <f>IFERROR(VLOOKUP(K524,VOL_REC[],2,FALSE),0)</f>
        <v>0</v>
      </c>
      <c r="BB524" s="246">
        <f>IFERROR(VLOOKUP(L524,VOL_REC[],2,FALSE),0)</f>
        <v>0</v>
      </c>
      <c r="BC524" s="246">
        <f>IFERROR(VLOOKUP(M524,VOL_REC[],2,FALSE),0)</f>
        <v>0</v>
      </c>
      <c r="BD524" s="246">
        <f>IFERROR(VLOOKUP(N524,VOL_REC[],2,FALSE),0)</f>
        <v>0</v>
      </c>
      <c r="BE524" s="246">
        <f>IFERROR(VLOOKUP(O524,VOL_REC[],2,FALSE),0)</f>
        <v>0</v>
      </c>
      <c r="BF524" s="246">
        <f>IFERROR(VLOOKUP(P524,VOL_REC[],2,FALSE),0)</f>
        <v>0</v>
      </c>
      <c r="BG524" s="246">
        <f>IFERROR(VLOOKUP(Q524,VOL_REC[],2,FALSE),0)</f>
        <v>0</v>
      </c>
      <c r="BH524" s="1710">
        <f t="shared" si="32"/>
        <v>17173327560.328804</v>
      </c>
      <c r="BI524" s="1710">
        <f t="shared" si="33"/>
        <v>17654097859.320313</v>
      </c>
      <c r="BJ524" s="1711">
        <f t="shared" si="34"/>
        <v>16045961.243207891</v>
      </c>
      <c r="BK524" s="1711">
        <f t="shared" si="35"/>
        <v>0.97276721230262753</v>
      </c>
    </row>
    <row r="525" spans="3:67" x14ac:dyDescent="0.25">
      <c r="C525" s="246" t="s">
        <v>1875</v>
      </c>
      <c r="D525" s="246">
        <v>1</v>
      </c>
      <c r="E525" s="246">
        <v>2</v>
      </c>
      <c r="F525" s="246">
        <v>3</v>
      </c>
      <c r="G525" s="246">
        <v>9</v>
      </c>
      <c r="H525" s="246">
        <v>14</v>
      </c>
      <c r="I525" s="246">
        <v>15</v>
      </c>
      <c r="J525" s="246">
        <v>17</v>
      </c>
      <c r="K525" s="246"/>
      <c r="L525" s="246"/>
      <c r="M525" s="246"/>
      <c r="N525" s="246"/>
      <c r="O525" s="246"/>
      <c r="P525" s="246"/>
      <c r="Q525" s="246"/>
      <c r="R525" s="246">
        <f>IFERROR(VLOOKUP(D525,PROGRAMAS[],2,FALSE),0)</f>
        <v>97037803.679377079</v>
      </c>
      <c r="S525" s="246">
        <f>IFERROR(VLOOKUP(E525,PROGRAMAS[],2,FALSE),0)</f>
        <v>640501509.6821388</v>
      </c>
      <c r="T525" s="246">
        <f>IFERROR(VLOOKUP(F525,PROGRAMAS[],2,FALSE),0)</f>
        <v>3062327798.1525245</v>
      </c>
      <c r="U525" s="246">
        <f>IFERROR(VLOOKUP(G525,PROGRAMAS[],2,FALSE),0)</f>
        <v>6128579952.1618185</v>
      </c>
      <c r="V525" s="246">
        <f>IFERROR(VLOOKUP(H525,PROGRAMAS[],2,FALSE),0)</f>
        <v>54223862.645839565</v>
      </c>
      <c r="W525" s="246">
        <f>IFERROR(VLOOKUP(I525,PROGRAMAS[],2,FALSE),0)</f>
        <v>122159672.96346797</v>
      </c>
      <c r="X525" s="246">
        <f>IFERROR(VLOOKUP(J525,PROGRAMAS[],2,FALSE),0)</f>
        <v>1892779498.5211046</v>
      </c>
      <c r="Y525" s="246">
        <f>IFERROR(VLOOKUP(K525,PROGRAMAS[],2,FALSE),0)</f>
        <v>0</v>
      </c>
      <c r="Z525" s="246">
        <f>IFERROR(VLOOKUP(L525,PROGRAMAS[],2,FALSE),0)</f>
        <v>0</v>
      </c>
      <c r="AA525" s="246">
        <f>IFERROR(VLOOKUP(M525,PROGRAMAS[],2,FALSE),0)</f>
        <v>0</v>
      </c>
      <c r="AB525" s="246">
        <f>IFERROR(VLOOKUP(N525,PROGRAMAS[],2,FALSE),0)</f>
        <v>0</v>
      </c>
      <c r="AC525" s="246">
        <f>IFERROR(VLOOKUP(O525,PROGRAMAS[],2,FALSE),0)</f>
        <v>0</v>
      </c>
      <c r="AD525" s="246">
        <f>IFERROR(VLOOKUP(P525,PROGRAMAS[],2,FALSE),0)</f>
        <v>0</v>
      </c>
      <c r="AE525" s="246">
        <f>IFERROR(VLOOKUP(Q525,PROGRAMAS[],2,FALSE),0)</f>
        <v>0</v>
      </c>
      <c r="AF525" s="246">
        <f>IFERROR(VLOOKUP(D525,PROGRAMAS[],3,FALSE),0)</f>
        <v>841888629.31080008</v>
      </c>
      <c r="AG525" s="246">
        <f>IFERROR(VLOOKUP(E525,PROGRAMAS[],3,FALSE),0)</f>
        <v>3848980803.1642323</v>
      </c>
      <c r="AH525" s="246">
        <f>IFERROR(VLOOKUP(F525,PROGRAMAS[],3,FALSE),0)</f>
        <v>3394901471.387517</v>
      </c>
      <c r="AI525" s="246">
        <f>IFERROR(VLOOKUP(G525,PROGRAMAS[],3,FALSE),0)</f>
        <v>7011279577.519702</v>
      </c>
      <c r="AJ525" s="246">
        <f>IFERROR(VLOOKUP(H525,PROGRAMAS[],3,FALSE),0)</f>
        <v>31865326.38096505</v>
      </c>
      <c r="AK525" s="246">
        <f>IFERROR(VLOOKUP(I525,PROGRAMAS[],3,FALSE),0)</f>
        <v>118617452.52510804</v>
      </c>
      <c r="AL525" s="246">
        <f>IFERROR(VLOOKUP(J525,PROGRAMAS[],3,FALSE),0)</f>
        <v>948595847.09039903</v>
      </c>
      <c r="AM525" s="246">
        <f>IFERROR(VLOOKUP(K525,PROGRAMAS[],3,FALSE),0)</f>
        <v>0</v>
      </c>
      <c r="AN525" s="246">
        <f>IFERROR(VLOOKUP(L525,PROGRAMAS[],3,FALSE),0)</f>
        <v>0</v>
      </c>
      <c r="AO525" s="246">
        <f>IFERROR(VLOOKUP(M525,PROGRAMAS[],3,FALSE),0)</f>
        <v>0</v>
      </c>
      <c r="AP525" s="246">
        <f>IFERROR(VLOOKUP(N525,PROGRAMAS[],3,FALSE),0)</f>
        <v>0</v>
      </c>
      <c r="AQ525" s="246">
        <f>IFERROR(VLOOKUP(O525,PROGRAMAS[],3,FALSE),0)</f>
        <v>0</v>
      </c>
      <c r="AR525" s="246">
        <f>IFERROR(VLOOKUP(P525,PROGRAMAS[],3,FALSE),0)</f>
        <v>0</v>
      </c>
      <c r="AS525" s="246">
        <f>IFERROR(VLOOKUP(Q525,PROGRAMAS[],3,FALSE),0)</f>
        <v>0</v>
      </c>
      <c r="AT525" s="246">
        <f>IFERROR(VLOOKUP(D525,VOL_REC[],2,FALSE),0)</f>
        <v>0</v>
      </c>
      <c r="AU525" s="246">
        <f>IFERROR(VLOOKUP(E525,VOL_REC[],2,FALSE),0)</f>
        <v>0</v>
      </c>
      <c r="AV525" s="246">
        <f>IFERROR(VLOOKUP(F525,VOL_REC[],2,FALSE),0)</f>
        <v>11089674.200000001</v>
      </c>
      <c r="AW525" s="246">
        <f>IFERROR(VLOOKUP(G525,VOL_REC[],2,FALSE),0)</f>
        <v>3761786</v>
      </c>
      <c r="AX525" s="246">
        <f>IFERROR(VLOOKUP(H525,VOL_REC[],2,FALSE),0)</f>
        <v>17074.045034105649</v>
      </c>
      <c r="AY525" s="246">
        <f>IFERROR(VLOOKUP(I525,VOL_REC[],2,FALSE),0)</f>
        <v>105072</v>
      </c>
      <c r="AZ525" s="246">
        <f>IFERROR(VLOOKUP(J525,VOL_REC[],2,FALSE),0)</f>
        <v>740113.98115702497</v>
      </c>
      <c r="BA525" s="246">
        <f>IFERROR(VLOOKUP(K525,VOL_REC[],2,FALSE),0)</f>
        <v>0</v>
      </c>
      <c r="BB525" s="246">
        <f>IFERROR(VLOOKUP(L525,VOL_REC[],2,FALSE),0)</f>
        <v>0</v>
      </c>
      <c r="BC525" s="246">
        <f>IFERROR(VLOOKUP(M525,VOL_REC[],2,FALSE),0)</f>
        <v>0</v>
      </c>
      <c r="BD525" s="246">
        <f>IFERROR(VLOOKUP(N525,VOL_REC[],2,FALSE),0)</f>
        <v>0</v>
      </c>
      <c r="BE525" s="246">
        <f>IFERROR(VLOOKUP(O525,VOL_REC[],2,FALSE),0)</f>
        <v>0</v>
      </c>
      <c r="BF525" s="246">
        <f>IFERROR(VLOOKUP(P525,VOL_REC[],2,FALSE),0)</f>
        <v>0</v>
      </c>
      <c r="BG525" s="246">
        <f>IFERROR(VLOOKUP(Q525,VOL_REC[],2,FALSE),0)</f>
        <v>0</v>
      </c>
      <c r="BH525" s="1710">
        <f t="shared" si="32"/>
        <v>11997610097.806273</v>
      </c>
      <c r="BI525" s="1710">
        <f t="shared" si="33"/>
        <v>16196129107.378723</v>
      </c>
      <c r="BJ525" s="1711">
        <f t="shared" si="34"/>
        <v>15713720.226191131</v>
      </c>
      <c r="BK525" s="1711">
        <f t="shared" si="35"/>
        <v>0.74077021850488545</v>
      </c>
    </row>
    <row r="526" spans="3:67" x14ac:dyDescent="0.25">
      <c r="C526" s="246" t="s">
        <v>1876</v>
      </c>
      <c r="D526" s="246">
        <v>1</v>
      </c>
      <c r="E526" s="246">
        <v>2</v>
      </c>
      <c r="F526" s="246">
        <v>3</v>
      </c>
      <c r="G526" s="246">
        <v>9</v>
      </c>
      <c r="H526" s="246">
        <v>14</v>
      </c>
      <c r="I526" s="246">
        <v>16</v>
      </c>
      <c r="J526" s="246">
        <v>17</v>
      </c>
      <c r="K526" s="246"/>
      <c r="L526" s="246"/>
      <c r="M526" s="246"/>
      <c r="N526" s="246"/>
      <c r="O526" s="246"/>
      <c r="P526" s="246"/>
      <c r="Q526" s="246"/>
      <c r="R526" s="246">
        <f>IFERROR(VLOOKUP(D526,PROGRAMAS[],2,FALSE),0)</f>
        <v>97037803.679377079</v>
      </c>
      <c r="S526" s="246">
        <f>IFERROR(VLOOKUP(E526,PROGRAMAS[],2,FALSE),0)</f>
        <v>640501509.6821388</v>
      </c>
      <c r="T526" s="246">
        <f>IFERROR(VLOOKUP(F526,PROGRAMAS[],2,FALSE),0)</f>
        <v>3062327798.1525245</v>
      </c>
      <c r="U526" s="246">
        <f>IFERROR(VLOOKUP(G526,PROGRAMAS[],2,FALSE),0)</f>
        <v>6128579952.1618185</v>
      </c>
      <c r="V526" s="246">
        <f>IFERROR(VLOOKUP(H526,PROGRAMAS[],2,FALSE),0)</f>
        <v>54223862.645839565</v>
      </c>
      <c r="W526" s="246">
        <f>IFERROR(VLOOKUP(I526,PROGRAMAS[],2,FALSE),0)</f>
        <v>7068496961.0436354</v>
      </c>
      <c r="X526" s="246">
        <f>IFERROR(VLOOKUP(J526,PROGRAMAS[],2,FALSE),0)</f>
        <v>1892779498.5211046</v>
      </c>
      <c r="Y526" s="246">
        <f>IFERROR(VLOOKUP(K526,PROGRAMAS[],2,FALSE),0)</f>
        <v>0</v>
      </c>
      <c r="Z526" s="246">
        <f>IFERROR(VLOOKUP(L526,PROGRAMAS[],2,FALSE),0)</f>
        <v>0</v>
      </c>
      <c r="AA526" s="246">
        <f>IFERROR(VLOOKUP(M526,PROGRAMAS[],2,FALSE),0)</f>
        <v>0</v>
      </c>
      <c r="AB526" s="246">
        <f>IFERROR(VLOOKUP(N526,PROGRAMAS[],2,FALSE),0)</f>
        <v>0</v>
      </c>
      <c r="AC526" s="246">
        <f>IFERROR(VLOOKUP(O526,PROGRAMAS[],2,FALSE),0)</f>
        <v>0</v>
      </c>
      <c r="AD526" s="246">
        <f>IFERROR(VLOOKUP(P526,PROGRAMAS[],2,FALSE),0)</f>
        <v>0</v>
      </c>
      <c r="AE526" s="246">
        <f>IFERROR(VLOOKUP(Q526,PROGRAMAS[],2,FALSE),0)</f>
        <v>0</v>
      </c>
      <c r="AF526" s="246">
        <f>IFERROR(VLOOKUP(D526,PROGRAMAS[],3,FALSE),0)</f>
        <v>841888629.31080008</v>
      </c>
      <c r="AG526" s="246">
        <f>IFERROR(VLOOKUP(E526,PROGRAMAS[],3,FALSE),0)</f>
        <v>3848980803.1642323</v>
      </c>
      <c r="AH526" s="246">
        <f>IFERROR(VLOOKUP(F526,PROGRAMAS[],3,FALSE),0)</f>
        <v>3394901471.387517</v>
      </c>
      <c r="AI526" s="246">
        <f>IFERROR(VLOOKUP(G526,PROGRAMAS[],3,FALSE),0)</f>
        <v>7011279577.519702</v>
      </c>
      <c r="AJ526" s="246">
        <f>IFERROR(VLOOKUP(H526,PROGRAMAS[],3,FALSE),0)</f>
        <v>31865326.38096505</v>
      </c>
      <c r="AK526" s="246">
        <f>IFERROR(VLOOKUP(I526,PROGRAMAS[],3,FALSE),0)</f>
        <v>2406564599.0319901</v>
      </c>
      <c r="AL526" s="246">
        <f>IFERROR(VLOOKUP(J526,PROGRAMAS[],3,FALSE),0)</f>
        <v>948595847.09039903</v>
      </c>
      <c r="AM526" s="246">
        <f>IFERROR(VLOOKUP(K526,PROGRAMAS[],3,FALSE),0)</f>
        <v>0</v>
      </c>
      <c r="AN526" s="246">
        <f>IFERROR(VLOOKUP(L526,PROGRAMAS[],3,FALSE),0)</f>
        <v>0</v>
      </c>
      <c r="AO526" s="246">
        <f>IFERROR(VLOOKUP(M526,PROGRAMAS[],3,FALSE),0)</f>
        <v>0</v>
      </c>
      <c r="AP526" s="246">
        <f>IFERROR(VLOOKUP(N526,PROGRAMAS[],3,FALSE),0)</f>
        <v>0</v>
      </c>
      <c r="AQ526" s="246">
        <f>IFERROR(VLOOKUP(O526,PROGRAMAS[],3,FALSE),0)</f>
        <v>0</v>
      </c>
      <c r="AR526" s="246">
        <f>IFERROR(VLOOKUP(P526,PROGRAMAS[],3,FALSE),0)</f>
        <v>0</v>
      </c>
      <c r="AS526" s="246">
        <f>IFERROR(VLOOKUP(Q526,PROGRAMAS[],3,FALSE),0)</f>
        <v>0</v>
      </c>
      <c r="AT526" s="246">
        <f>IFERROR(VLOOKUP(D526,VOL_REC[],2,FALSE),0)</f>
        <v>0</v>
      </c>
      <c r="AU526" s="246">
        <f>IFERROR(VLOOKUP(E526,VOL_REC[],2,FALSE),0)</f>
        <v>0</v>
      </c>
      <c r="AV526" s="246">
        <f>IFERROR(VLOOKUP(F526,VOL_REC[],2,FALSE),0)</f>
        <v>11089674.200000001</v>
      </c>
      <c r="AW526" s="246">
        <f>IFERROR(VLOOKUP(G526,VOL_REC[],2,FALSE),0)</f>
        <v>3761786</v>
      </c>
      <c r="AX526" s="246">
        <f>IFERROR(VLOOKUP(H526,VOL_REC[],2,FALSE),0)</f>
        <v>17074.045034105649</v>
      </c>
      <c r="AY526" s="246">
        <f>IFERROR(VLOOKUP(I526,VOL_REC[],2,FALSE),0)</f>
        <v>1072354.9981737854</v>
      </c>
      <c r="AZ526" s="246">
        <f>IFERROR(VLOOKUP(J526,VOL_REC[],2,FALSE),0)</f>
        <v>740113.98115702497</v>
      </c>
      <c r="BA526" s="246">
        <f>IFERROR(VLOOKUP(K526,VOL_REC[],2,FALSE),0)</f>
        <v>0</v>
      </c>
      <c r="BB526" s="246">
        <f>IFERROR(VLOOKUP(L526,VOL_REC[],2,FALSE),0)</f>
        <v>0</v>
      </c>
      <c r="BC526" s="246">
        <f>IFERROR(VLOOKUP(M526,VOL_REC[],2,FALSE),0)</f>
        <v>0</v>
      </c>
      <c r="BD526" s="246">
        <f>IFERROR(VLOOKUP(N526,VOL_REC[],2,FALSE),0)</f>
        <v>0</v>
      </c>
      <c r="BE526" s="246">
        <f>IFERROR(VLOOKUP(O526,VOL_REC[],2,FALSE),0)</f>
        <v>0</v>
      </c>
      <c r="BF526" s="246">
        <f>IFERROR(VLOOKUP(P526,VOL_REC[],2,FALSE),0)</f>
        <v>0</v>
      </c>
      <c r="BG526" s="246">
        <f>IFERROR(VLOOKUP(Q526,VOL_REC[],2,FALSE),0)</f>
        <v>0</v>
      </c>
      <c r="BH526" s="1710">
        <f t="shared" si="32"/>
        <v>18943947385.886436</v>
      </c>
      <c r="BI526" s="1710">
        <f t="shared" si="33"/>
        <v>18484076253.885605</v>
      </c>
      <c r="BJ526" s="1711">
        <f t="shared" si="34"/>
        <v>16681003.224364916</v>
      </c>
      <c r="BK526" s="1711">
        <f t="shared" si="35"/>
        <v>1.0248793137230301</v>
      </c>
      <c r="BL526">
        <f>BJ526</f>
        <v>16681003.224364916</v>
      </c>
      <c r="BO526">
        <f>BL526</f>
        <v>16681003.224364916</v>
      </c>
    </row>
    <row r="527" spans="3:67" x14ac:dyDescent="0.25">
      <c r="C527" s="246" t="s">
        <v>1877</v>
      </c>
      <c r="D527" s="246">
        <v>1</v>
      </c>
      <c r="E527" s="246">
        <v>2</v>
      </c>
      <c r="F527" s="246">
        <v>3</v>
      </c>
      <c r="G527" s="246">
        <v>9</v>
      </c>
      <c r="H527" s="246">
        <v>15</v>
      </c>
      <c r="I527" s="246">
        <v>16</v>
      </c>
      <c r="J527" s="246">
        <v>17</v>
      </c>
      <c r="K527" s="246"/>
      <c r="L527" s="246"/>
      <c r="M527" s="246"/>
      <c r="N527" s="246"/>
      <c r="O527" s="246"/>
      <c r="P527" s="246"/>
      <c r="Q527" s="246"/>
      <c r="R527" s="246">
        <f>IFERROR(VLOOKUP(D527,PROGRAMAS[],2,FALSE),0)</f>
        <v>97037803.679377079</v>
      </c>
      <c r="S527" s="246">
        <f>IFERROR(VLOOKUP(E527,PROGRAMAS[],2,FALSE),0)</f>
        <v>640501509.6821388</v>
      </c>
      <c r="T527" s="246">
        <f>IFERROR(VLOOKUP(F527,PROGRAMAS[],2,FALSE),0)</f>
        <v>3062327798.1525245</v>
      </c>
      <c r="U527" s="246">
        <f>IFERROR(VLOOKUP(G527,PROGRAMAS[],2,FALSE),0)</f>
        <v>6128579952.1618185</v>
      </c>
      <c r="V527" s="246">
        <f>IFERROR(VLOOKUP(H527,PROGRAMAS[],2,FALSE),0)</f>
        <v>122159672.96346797</v>
      </c>
      <c r="W527" s="246">
        <f>IFERROR(VLOOKUP(I527,PROGRAMAS[],2,FALSE),0)</f>
        <v>7068496961.0436354</v>
      </c>
      <c r="X527" s="246">
        <f>IFERROR(VLOOKUP(J527,PROGRAMAS[],2,FALSE),0)</f>
        <v>1892779498.5211046</v>
      </c>
      <c r="Y527" s="246">
        <f>IFERROR(VLOOKUP(K527,PROGRAMAS[],2,FALSE),0)</f>
        <v>0</v>
      </c>
      <c r="Z527" s="246">
        <f>IFERROR(VLOOKUP(L527,PROGRAMAS[],2,FALSE),0)</f>
        <v>0</v>
      </c>
      <c r="AA527" s="246">
        <f>IFERROR(VLOOKUP(M527,PROGRAMAS[],2,FALSE),0)</f>
        <v>0</v>
      </c>
      <c r="AB527" s="246">
        <f>IFERROR(VLOOKUP(N527,PROGRAMAS[],2,FALSE),0)</f>
        <v>0</v>
      </c>
      <c r="AC527" s="246">
        <f>IFERROR(VLOOKUP(O527,PROGRAMAS[],2,FALSE),0)</f>
        <v>0</v>
      </c>
      <c r="AD527" s="246">
        <f>IFERROR(VLOOKUP(P527,PROGRAMAS[],2,FALSE),0)</f>
        <v>0</v>
      </c>
      <c r="AE527" s="246">
        <f>IFERROR(VLOOKUP(Q527,PROGRAMAS[],2,FALSE),0)</f>
        <v>0</v>
      </c>
      <c r="AF527" s="246">
        <f>IFERROR(VLOOKUP(D527,PROGRAMAS[],3,FALSE),0)</f>
        <v>841888629.31080008</v>
      </c>
      <c r="AG527" s="246">
        <f>IFERROR(VLOOKUP(E527,PROGRAMAS[],3,FALSE),0)</f>
        <v>3848980803.1642323</v>
      </c>
      <c r="AH527" s="246">
        <f>IFERROR(VLOOKUP(F527,PROGRAMAS[],3,FALSE),0)</f>
        <v>3394901471.387517</v>
      </c>
      <c r="AI527" s="246">
        <f>IFERROR(VLOOKUP(G527,PROGRAMAS[],3,FALSE),0)</f>
        <v>7011279577.519702</v>
      </c>
      <c r="AJ527" s="246">
        <f>IFERROR(VLOOKUP(H527,PROGRAMAS[],3,FALSE),0)</f>
        <v>118617452.52510804</v>
      </c>
      <c r="AK527" s="246">
        <f>IFERROR(VLOOKUP(I527,PROGRAMAS[],3,FALSE),0)</f>
        <v>2406564599.0319901</v>
      </c>
      <c r="AL527" s="246">
        <f>IFERROR(VLOOKUP(J527,PROGRAMAS[],3,FALSE),0)</f>
        <v>948595847.09039903</v>
      </c>
      <c r="AM527" s="246">
        <f>IFERROR(VLOOKUP(K527,PROGRAMAS[],3,FALSE),0)</f>
        <v>0</v>
      </c>
      <c r="AN527" s="246">
        <f>IFERROR(VLOOKUP(L527,PROGRAMAS[],3,FALSE),0)</f>
        <v>0</v>
      </c>
      <c r="AO527" s="246">
        <f>IFERROR(VLOOKUP(M527,PROGRAMAS[],3,FALSE),0)</f>
        <v>0</v>
      </c>
      <c r="AP527" s="246">
        <f>IFERROR(VLOOKUP(N527,PROGRAMAS[],3,FALSE),0)</f>
        <v>0</v>
      </c>
      <c r="AQ527" s="246">
        <f>IFERROR(VLOOKUP(O527,PROGRAMAS[],3,FALSE),0)</f>
        <v>0</v>
      </c>
      <c r="AR527" s="246">
        <f>IFERROR(VLOOKUP(P527,PROGRAMAS[],3,FALSE),0)</f>
        <v>0</v>
      </c>
      <c r="AS527" s="246">
        <f>IFERROR(VLOOKUP(Q527,PROGRAMAS[],3,FALSE),0)</f>
        <v>0</v>
      </c>
      <c r="AT527" s="246">
        <f>IFERROR(VLOOKUP(D527,VOL_REC[],2,FALSE),0)</f>
        <v>0</v>
      </c>
      <c r="AU527" s="246">
        <f>IFERROR(VLOOKUP(E527,VOL_REC[],2,FALSE),0)</f>
        <v>0</v>
      </c>
      <c r="AV527" s="246">
        <f>IFERROR(VLOOKUP(F527,VOL_REC[],2,FALSE),0)</f>
        <v>11089674.200000001</v>
      </c>
      <c r="AW527" s="246">
        <f>IFERROR(VLOOKUP(G527,VOL_REC[],2,FALSE),0)</f>
        <v>3761786</v>
      </c>
      <c r="AX527" s="246">
        <f>IFERROR(VLOOKUP(H527,VOL_REC[],2,FALSE),0)</f>
        <v>105072</v>
      </c>
      <c r="AY527" s="246">
        <f>IFERROR(VLOOKUP(I527,VOL_REC[],2,FALSE),0)</f>
        <v>1072354.9981737854</v>
      </c>
      <c r="AZ527" s="246">
        <f>IFERROR(VLOOKUP(J527,VOL_REC[],2,FALSE),0)</f>
        <v>740113.98115702497</v>
      </c>
      <c r="BA527" s="246">
        <f>IFERROR(VLOOKUP(K527,VOL_REC[],2,FALSE),0)</f>
        <v>0</v>
      </c>
      <c r="BB527" s="246">
        <f>IFERROR(VLOOKUP(L527,VOL_REC[],2,FALSE),0)</f>
        <v>0</v>
      </c>
      <c r="BC527" s="246">
        <f>IFERROR(VLOOKUP(M527,VOL_REC[],2,FALSE),0)</f>
        <v>0</v>
      </c>
      <c r="BD527" s="246">
        <f>IFERROR(VLOOKUP(N527,VOL_REC[],2,FALSE),0)</f>
        <v>0</v>
      </c>
      <c r="BE527" s="246">
        <f>IFERROR(VLOOKUP(O527,VOL_REC[],2,FALSE),0)</f>
        <v>0</v>
      </c>
      <c r="BF527" s="246">
        <f>IFERROR(VLOOKUP(P527,VOL_REC[],2,FALSE),0)</f>
        <v>0</v>
      </c>
      <c r="BG527" s="246">
        <f>IFERROR(VLOOKUP(Q527,VOL_REC[],2,FALSE),0)</f>
        <v>0</v>
      </c>
      <c r="BH527" s="1710">
        <f t="shared" si="32"/>
        <v>19011883196.204067</v>
      </c>
      <c r="BI527" s="1710">
        <f t="shared" si="33"/>
        <v>18570828380.029751</v>
      </c>
      <c r="BJ527" s="1711">
        <f t="shared" si="34"/>
        <v>16769001.179330813</v>
      </c>
      <c r="BK527" s="1711">
        <f t="shared" si="35"/>
        <v>1.0237498730346681</v>
      </c>
      <c r="BL527">
        <f>BJ527</f>
        <v>16769001.179330813</v>
      </c>
      <c r="BO527">
        <f>BL527</f>
        <v>16769001.179330813</v>
      </c>
    </row>
    <row r="528" spans="3:67" x14ac:dyDescent="0.25">
      <c r="C528" s="246" t="s">
        <v>1878</v>
      </c>
      <c r="D528" s="246">
        <v>1</v>
      </c>
      <c r="E528" s="246">
        <v>2</v>
      </c>
      <c r="F528" s="246">
        <v>3</v>
      </c>
      <c r="G528" s="246">
        <v>10</v>
      </c>
      <c r="H528" s="246">
        <v>12</v>
      </c>
      <c r="I528" s="246">
        <v>13</v>
      </c>
      <c r="J528" s="246">
        <v>14</v>
      </c>
      <c r="K528" s="246"/>
      <c r="L528" s="246"/>
      <c r="M528" s="246"/>
      <c r="N528" s="246"/>
      <c r="O528" s="246"/>
      <c r="P528" s="246"/>
      <c r="Q528" s="246"/>
      <c r="R528" s="246">
        <f>IFERROR(VLOOKUP(D528,PROGRAMAS[],2,FALSE),0)</f>
        <v>97037803.679377079</v>
      </c>
      <c r="S528" s="246">
        <f>IFERROR(VLOOKUP(E528,PROGRAMAS[],2,FALSE),0)</f>
        <v>640501509.6821388</v>
      </c>
      <c r="T528" s="246">
        <f>IFERROR(VLOOKUP(F528,PROGRAMAS[],2,FALSE),0)</f>
        <v>3062327798.1525245</v>
      </c>
      <c r="U528" s="246">
        <f>IFERROR(VLOOKUP(G528,PROGRAMAS[],2,FALSE),0)</f>
        <v>4635315027.8751087</v>
      </c>
      <c r="V528" s="246">
        <f>IFERROR(VLOOKUP(H528,PROGRAMAS[],2,FALSE),0)</f>
        <v>764796700.79905891</v>
      </c>
      <c r="W528" s="246">
        <f>IFERROR(VLOOKUP(I528,PROGRAMAS[],2,FALSE),0)</f>
        <v>3776538594.4604583</v>
      </c>
      <c r="X528" s="246">
        <f>IFERROR(VLOOKUP(J528,PROGRAMAS[],2,FALSE),0)</f>
        <v>54223862.645839565</v>
      </c>
      <c r="Y528" s="246">
        <f>IFERROR(VLOOKUP(K528,PROGRAMAS[],2,FALSE),0)</f>
        <v>0</v>
      </c>
      <c r="Z528" s="246">
        <f>IFERROR(VLOOKUP(L528,PROGRAMAS[],2,FALSE),0)</f>
        <v>0</v>
      </c>
      <c r="AA528" s="246">
        <f>IFERROR(VLOOKUP(M528,PROGRAMAS[],2,FALSE),0)</f>
        <v>0</v>
      </c>
      <c r="AB528" s="246">
        <f>IFERROR(VLOOKUP(N528,PROGRAMAS[],2,FALSE),0)</f>
        <v>0</v>
      </c>
      <c r="AC528" s="246">
        <f>IFERROR(VLOOKUP(O528,PROGRAMAS[],2,FALSE),0)</f>
        <v>0</v>
      </c>
      <c r="AD528" s="246">
        <f>IFERROR(VLOOKUP(P528,PROGRAMAS[],2,FALSE),0)</f>
        <v>0</v>
      </c>
      <c r="AE528" s="246">
        <f>IFERROR(VLOOKUP(Q528,PROGRAMAS[],2,FALSE),0)</f>
        <v>0</v>
      </c>
      <c r="AF528" s="246">
        <f>IFERROR(VLOOKUP(D528,PROGRAMAS[],3,FALSE),0)</f>
        <v>841888629.31080008</v>
      </c>
      <c r="AG528" s="246">
        <f>IFERROR(VLOOKUP(E528,PROGRAMAS[],3,FALSE),0)</f>
        <v>3848980803.1642323</v>
      </c>
      <c r="AH528" s="246">
        <f>IFERROR(VLOOKUP(F528,PROGRAMAS[],3,FALSE),0)</f>
        <v>3394901471.387517</v>
      </c>
      <c r="AI528" s="246">
        <f>IFERROR(VLOOKUP(G528,PROGRAMAS[],3,FALSE),0)</f>
        <v>4099471734.9978786</v>
      </c>
      <c r="AJ528" s="246">
        <f>IFERROR(VLOOKUP(H528,PROGRAMAS[],3,FALSE),0)</f>
        <v>675517840.109828</v>
      </c>
      <c r="AK528" s="246">
        <f>IFERROR(VLOOKUP(I528,PROGRAMAS[],3,FALSE),0)</f>
        <v>2392571243.5584412</v>
      </c>
      <c r="AL528" s="246">
        <f>IFERROR(VLOOKUP(J528,PROGRAMAS[],3,FALSE),0)</f>
        <v>31865326.38096505</v>
      </c>
      <c r="AM528" s="246">
        <f>IFERROR(VLOOKUP(K528,PROGRAMAS[],3,FALSE),0)</f>
        <v>0</v>
      </c>
      <c r="AN528" s="246">
        <f>IFERROR(VLOOKUP(L528,PROGRAMAS[],3,FALSE),0)</f>
        <v>0</v>
      </c>
      <c r="AO528" s="246">
        <f>IFERROR(VLOOKUP(M528,PROGRAMAS[],3,FALSE),0)</f>
        <v>0</v>
      </c>
      <c r="AP528" s="246">
        <f>IFERROR(VLOOKUP(N528,PROGRAMAS[],3,FALSE),0)</f>
        <v>0</v>
      </c>
      <c r="AQ528" s="246">
        <f>IFERROR(VLOOKUP(O528,PROGRAMAS[],3,FALSE),0)</f>
        <v>0</v>
      </c>
      <c r="AR528" s="246">
        <f>IFERROR(VLOOKUP(P528,PROGRAMAS[],3,FALSE),0)</f>
        <v>0</v>
      </c>
      <c r="AS528" s="246">
        <f>IFERROR(VLOOKUP(Q528,PROGRAMAS[],3,FALSE),0)</f>
        <v>0</v>
      </c>
      <c r="AT528" s="246">
        <f>IFERROR(VLOOKUP(D528,VOL_REC[],2,FALSE),0)</f>
        <v>0</v>
      </c>
      <c r="AU528" s="246">
        <f>IFERROR(VLOOKUP(E528,VOL_REC[],2,FALSE),0)</f>
        <v>0</v>
      </c>
      <c r="AV528" s="246">
        <f>IFERROR(VLOOKUP(F528,VOL_REC[],2,FALSE),0)</f>
        <v>11089674.200000001</v>
      </c>
      <c r="AW528" s="246">
        <f>IFERROR(VLOOKUP(G528,VOL_REC[],2,FALSE),0)</f>
        <v>1812240</v>
      </c>
      <c r="AX528" s="246">
        <f>IFERROR(VLOOKUP(H528,VOL_REC[],2,FALSE),0)</f>
        <v>240696.79238099116</v>
      </c>
      <c r="AY528" s="246">
        <f>IFERROR(VLOOKUP(I528,VOL_REC[],2,FALSE),0)</f>
        <v>663244.80000000016</v>
      </c>
      <c r="AZ528" s="246">
        <f>IFERROR(VLOOKUP(J528,VOL_REC[],2,FALSE),0)</f>
        <v>17074.045034105649</v>
      </c>
      <c r="BA528" s="246">
        <f>IFERROR(VLOOKUP(K528,VOL_REC[],2,FALSE),0)</f>
        <v>0</v>
      </c>
      <c r="BB528" s="246">
        <f>IFERROR(VLOOKUP(L528,VOL_REC[],2,FALSE),0)</f>
        <v>0</v>
      </c>
      <c r="BC528" s="246">
        <f>IFERROR(VLOOKUP(M528,VOL_REC[],2,FALSE),0)</f>
        <v>0</v>
      </c>
      <c r="BD528" s="246">
        <f>IFERROR(VLOOKUP(N528,VOL_REC[],2,FALSE),0)</f>
        <v>0</v>
      </c>
      <c r="BE528" s="246">
        <f>IFERROR(VLOOKUP(O528,VOL_REC[],2,FALSE),0)</f>
        <v>0</v>
      </c>
      <c r="BF528" s="246">
        <f>IFERROR(VLOOKUP(P528,VOL_REC[],2,FALSE),0)</f>
        <v>0</v>
      </c>
      <c r="BG528" s="246">
        <f>IFERROR(VLOOKUP(Q528,VOL_REC[],2,FALSE),0)</f>
        <v>0</v>
      </c>
      <c r="BH528" s="1710">
        <f t="shared" si="32"/>
        <v>13030741297.294506</v>
      </c>
      <c r="BI528" s="1710">
        <f t="shared" si="33"/>
        <v>15285197048.909662</v>
      </c>
      <c r="BJ528" s="1711">
        <f t="shared" si="34"/>
        <v>13822929.837415097</v>
      </c>
      <c r="BK528" s="1711">
        <f t="shared" si="35"/>
        <v>0.85250724970039082</v>
      </c>
    </row>
    <row r="529" spans="3:67" x14ac:dyDescent="0.25">
      <c r="C529" s="246" t="s">
        <v>1879</v>
      </c>
      <c r="D529" s="246">
        <v>1</v>
      </c>
      <c r="E529" s="246">
        <v>2</v>
      </c>
      <c r="F529" s="246">
        <v>3</v>
      </c>
      <c r="G529" s="246">
        <v>10</v>
      </c>
      <c r="H529" s="246">
        <v>12</v>
      </c>
      <c r="I529" s="246">
        <v>13</v>
      </c>
      <c r="J529" s="246">
        <v>15</v>
      </c>
      <c r="K529" s="246"/>
      <c r="L529" s="246"/>
      <c r="M529" s="246"/>
      <c r="N529" s="246"/>
      <c r="O529" s="246"/>
      <c r="P529" s="246"/>
      <c r="Q529" s="246"/>
      <c r="R529" s="246">
        <f>IFERROR(VLOOKUP(D529,PROGRAMAS[],2,FALSE),0)</f>
        <v>97037803.679377079</v>
      </c>
      <c r="S529" s="246">
        <f>IFERROR(VLOOKUP(E529,PROGRAMAS[],2,FALSE),0)</f>
        <v>640501509.6821388</v>
      </c>
      <c r="T529" s="246">
        <f>IFERROR(VLOOKUP(F529,PROGRAMAS[],2,FALSE),0)</f>
        <v>3062327798.1525245</v>
      </c>
      <c r="U529" s="246">
        <f>IFERROR(VLOOKUP(G529,PROGRAMAS[],2,FALSE),0)</f>
        <v>4635315027.8751087</v>
      </c>
      <c r="V529" s="246">
        <f>IFERROR(VLOOKUP(H529,PROGRAMAS[],2,FALSE),0)</f>
        <v>764796700.79905891</v>
      </c>
      <c r="W529" s="246">
        <f>IFERROR(VLOOKUP(I529,PROGRAMAS[],2,FALSE),0)</f>
        <v>3776538594.4604583</v>
      </c>
      <c r="X529" s="246">
        <f>IFERROR(VLOOKUP(J529,PROGRAMAS[],2,FALSE),0)</f>
        <v>122159672.96346797</v>
      </c>
      <c r="Y529" s="246">
        <f>IFERROR(VLOOKUP(K529,PROGRAMAS[],2,FALSE),0)</f>
        <v>0</v>
      </c>
      <c r="Z529" s="246">
        <f>IFERROR(VLOOKUP(L529,PROGRAMAS[],2,FALSE),0)</f>
        <v>0</v>
      </c>
      <c r="AA529" s="246">
        <f>IFERROR(VLOOKUP(M529,PROGRAMAS[],2,FALSE),0)</f>
        <v>0</v>
      </c>
      <c r="AB529" s="246">
        <f>IFERROR(VLOOKUP(N529,PROGRAMAS[],2,FALSE),0)</f>
        <v>0</v>
      </c>
      <c r="AC529" s="246">
        <f>IFERROR(VLOOKUP(O529,PROGRAMAS[],2,FALSE),0)</f>
        <v>0</v>
      </c>
      <c r="AD529" s="246">
        <f>IFERROR(VLOOKUP(P529,PROGRAMAS[],2,FALSE),0)</f>
        <v>0</v>
      </c>
      <c r="AE529" s="246">
        <f>IFERROR(VLOOKUP(Q529,PROGRAMAS[],2,FALSE),0)</f>
        <v>0</v>
      </c>
      <c r="AF529" s="246">
        <f>IFERROR(VLOOKUP(D529,PROGRAMAS[],3,FALSE),0)</f>
        <v>841888629.31080008</v>
      </c>
      <c r="AG529" s="246">
        <f>IFERROR(VLOOKUP(E529,PROGRAMAS[],3,FALSE),0)</f>
        <v>3848980803.1642323</v>
      </c>
      <c r="AH529" s="246">
        <f>IFERROR(VLOOKUP(F529,PROGRAMAS[],3,FALSE),0)</f>
        <v>3394901471.387517</v>
      </c>
      <c r="AI529" s="246">
        <f>IFERROR(VLOOKUP(G529,PROGRAMAS[],3,FALSE),0)</f>
        <v>4099471734.9978786</v>
      </c>
      <c r="AJ529" s="246">
        <f>IFERROR(VLOOKUP(H529,PROGRAMAS[],3,FALSE),0)</f>
        <v>675517840.109828</v>
      </c>
      <c r="AK529" s="246">
        <f>IFERROR(VLOOKUP(I529,PROGRAMAS[],3,FALSE),0)</f>
        <v>2392571243.5584412</v>
      </c>
      <c r="AL529" s="246">
        <f>IFERROR(VLOOKUP(J529,PROGRAMAS[],3,FALSE),0)</f>
        <v>118617452.52510804</v>
      </c>
      <c r="AM529" s="246">
        <f>IFERROR(VLOOKUP(K529,PROGRAMAS[],3,FALSE),0)</f>
        <v>0</v>
      </c>
      <c r="AN529" s="246">
        <f>IFERROR(VLOOKUP(L529,PROGRAMAS[],3,FALSE),0)</f>
        <v>0</v>
      </c>
      <c r="AO529" s="246">
        <f>IFERROR(VLOOKUP(M529,PROGRAMAS[],3,FALSE),0)</f>
        <v>0</v>
      </c>
      <c r="AP529" s="246">
        <f>IFERROR(VLOOKUP(N529,PROGRAMAS[],3,FALSE),0)</f>
        <v>0</v>
      </c>
      <c r="AQ529" s="246">
        <f>IFERROR(VLOOKUP(O529,PROGRAMAS[],3,FALSE),0)</f>
        <v>0</v>
      </c>
      <c r="AR529" s="246">
        <f>IFERROR(VLOOKUP(P529,PROGRAMAS[],3,FALSE),0)</f>
        <v>0</v>
      </c>
      <c r="AS529" s="246">
        <f>IFERROR(VLOOKUP(Q529,PROGRAMAS[],3,FALSE),0)</f>
        <v>0</v>
      </c>
      <c r="AT529" s="246">
        <f>IFERROR(VLOOKUP(D529,VOL_REC[],2,FALSE),0)</f>
        <v>0</v>
      </c>
      <c r="AU529" s="246">
        <f>IFERROR(VLOOKUP(E529,VOL_REC[],2,FALSE),0)</f>
        <v>0</v>
      </c>
      <c r="AV529" s="246">
        <f>IFERROR(VLOOKUP(F529,VOL_REC[],2,FALSE),0)</f>
        <v>11089674.200000001</v>
      </c>
      <c r="AW529" s="246">
        <f>IFERROR(VLOOKUP(G529,VOL_REC[],2,FALSE),0)</f>
        <v>1812240</v>
      </c>
      <c r="AX529" s="246">
        <f>IFERROR(VLOOKUP(H529,VOL_REC[],2,FALSE),0)</f>
        <v>240696.79238099116</v>
      </c>
      <c r="AY529" s="246">
        <f>IFERROR(VLOOKUP(I529,VOL_REC[],2,FALSE),0)</f>
        <v>663244.80000000016</v>
      </c>
      <c r="AZ529" s="246">
        <f>IFERROR(VLOOKUP(J529,VOL_REC[],2,FALSE),0)</f>
        <v>105072</v>
      </c>
      <c r="BA529" s="246">
        <f>IFERROR(VLOOKUP(K529,VOL_REC[],2,FALSE),0)</f>
        <v>0</v>
      </c>
      <c r="BB529" s="246">
        <f>IFERROR(VLOOKUP(L529,VOL_REC[],2,FALSE),0)</f>
        <v>0</v>
      </c>
      <c r="BC529" s="246">
        <f>IFERROR(VLOOKUP(M529,VOL_REC[],2,FALSE),0)</f>
        <v>0</v>
      </c>
      <c r="BD529" s="246">
        <f>IFERROR(VLOOKUP(N529,VOL_REC[],2,FALSE),0)</f>
        <v>0</v>
      </c>
      <c r="BE529" s="246">
        <f>IFERROR(VLOOKUP(O529,VOL_REC[],2,FALSE),0)</f>
        <v>0</v>
      </c>
      <c r="BF529" s="246">
        <f>IFERROR(VLOOKUP(P529,VOL_REC[],2,FALSE),0)</f>
        <v>0</v>
      </c>
      <c r="BG529" s="246">
        <f>IFERROR(VLOOKUP(Q529,VOL_REC[],2,FALSE),0)</f>
        <v>0</v>
      </c>
      <c r="BH529" s="1710">
        <f t="shared" si="32"/>
        <v>13098677107.612135</v>
      </c>
      <c r="BI529" s="1710">
        <f t="shared" si="33"/>
        <v>15371949175.053806</v>
      </c>
      <c r="BJ529" s="1711">
        <f t="shared" si="34"/>
        <v>13910927.792380992</v>
      </c>
      <c r="BK529" s="1711">
        <f t="shared" si="35"/>
        <v>0.85211556182277615</v>
      </c>
    </row>
    <row r="530" spans="3:67" x14ac:dyDescent="0.25">
      <c r="C530" s="246" t="s">
        <v>1880</v>
      </c>
      <c r="D530" s="246">
        <v>1</v>
      </c>
      <c r="E530" s="246">
        <v>2</v>
      </c>
      <c r="F530" s="246">
        <v>3</v>
      </c>
      <c r="G530" s="246">
        <v>10</v>
      </c>
      <c r="H530" s="246">
        <v>12</v>
      </c>
      <c r="I530" s="246">
        <v>13</v>
      </c>
      <c r="J530" s="246">
        <v>16</v>
      </c>
      <c r="K530" s="246"/>
      <c r="L530" s="246"/>
      <c r="M530" s="246"/>
      <c r="N530" s="246"/>
      <c r="O530" s="246"/>
      <c r="P530" s="246"/>
      <c r="Q530" s="246"/>
      <c r="R530" s="246">
        <f>IFERROR(VLOOKUP(D530,PROGRAMAS[],2,FALSE),0)</f>
        <v>97037803.679377079</v>
      </c>
      <c r="S530" s="246">
        <f>IFERROR(VLOOKUP(E530,PROGRAMAS[],2,FALSE),0)</f>
        <v>640501509.6821388</v>
      </c>
      <c r="T530" s="246">
        <f>IFERROR(VLOOKUP(F530,PROGRAMAS[],2,FALSE),0)</f>
        <v>3062327798.1525245</v>
      </c>
      <c r="U530" s="246">
        <f>IFERROR(VLOOKUP(G530,PROGRAMAS[],2,FALSE),0)</f>
        <v>4635315027.8751087</v>
      </c>
      <c r="V530" s="246">
        <f>IFERROR(VLOOKUP(H530,PROGRAMAS[],2,FALSE),0)</f>
        <v>764796700.79905891</v>
      </c>
      <c r="W530" s="246">
        <f>IFERROR(VLOOKUP(I530,PROGRAMAS[],2,FALSE),0)</f>
        <v>3776538594.4604583</v>
      </c>
      <c r="X530" s="246">
        <f>IFERROR(VLOOKUP(J530,PROGRAMAS[],2,FALSE),0)</f>
        <v>7068496961.0436354</v>
      </c>
      <c r="Y530" s="246">
        <f>IFERROR(VLOOKUP(K530,PROGRAMAS[],2,FALSE),0)</f>
        <v>0</v>
      </c>
      <c r="Z530" s="246">
        <f>IFERROR(VLOOKUP(L530,PROGRAMAS[],2,FALSE),0)</f>
        <v>0</v>
      </c>
      <c r="AA530" s="246">
        <f>IFERROR(VLOOKUP(M530,PROGRAMAS[],2,FALSE),0)</f>
        <v>0</v>
      </c>
      <c r="AB530" s="246">
        <f>IFERROR(VLOOKUP(N530,PROGRAMAS[],2,FALSE),0)</f>
        <v>0</v>
      </c>
      <c r="AC530" s="246">
        <f>IFERROR(VLOOKUP(O530,PROGRAMAS[],2,FALSE),0)</f>
        <v>0</v>
      </c>
      <c r="AD530" s="246">
        <f>IFERROR(VLOOKUP(P530,PROGRAMAS[],2,FALSE),0)</f>
        <v>0</v>
      </c>
      <c r="AE530" s="246">
        <f>IFERROR(VLOOKUP(Q530,PROGRAMAS[],2,FALSE),0)</f>
        <v>0</v>
      </c>
      <c r="AF530" s="246">
        <f>IFERROR(VLOOKUP(D530,PROGRAMAS[],3,FALSE),0)</f>
        <v>841888629.31080008</v>
      </c>
      <c r="AG530" s="246">
        <f>IFERROR(VLOOKUP(E530,PROGRAMAS[],3,FALSE),0)</f>
        <v>3848980803.1642323</v>
      </c>
      <c r="AH530" s="246">
        <f>IFERROR(VLOOKUP(F530,PROGRAMAS[],3,FALSE),0)</f>
        <v>3394901471.387517</v>
      </c>
      <c r="AI530" s="246">
        <f>IFERROR(VLOOKUP(G530,PROGRAMAS[],3,FALSE),0)</f>
        <v>4099471734.9978786</v>
      </c>
      <c r="AJ530" s="246">
        <f>IFERROR(VLOOKUP(H530,PROGRAMAS[],3,FALSE),0)</f>
        <v>675517840.109828</v>
      </c>
      <c r="AK530" s="246">
        <f>IFERROR(VLOOKUP(I530,PROGRAMAS[],3,FALSE),0)</f>
        <v>2392571243.5584412</v>
      </c>
      <c r="AL530" s="246">
        <f>IFERROR(VLOOKUP(J530,PROGRAMAS[],3,FALSE),0)</f>
        <v>2406564599.0319901</v>
      </c>
      <c r="AM530" s="246">
        <f>IFERROR(VLOOKUP(K530,PROGRAMAS[],3,FALSE),0)</f>
        <v>0</v>
      </c>
      <c r="AN530" s="246">
        <f>IFERROR(VLOOKUP(L530,PROGRAMAS[],3,FALSE),0)</f>
        <v>0</v>
      </c>
      <c r="AO530" s="246">
        <f>IFERROR(VLOOKUP(M530,PROGRAMAS[],3,FALSE),0)</f>
        <v>0</v>
      </c>
      <c r="AP530" s="246">
        <f>IFERROR(VLOOKUP(N530,PROGRAMAS[],3,FALSE),0)</f>
        <v>0</v>
      </c>
      <c r="AQ530" s="246">
        <f>IFERROR(VLOOKUP(O530,PROGRAMAS[],3,FALSE),0)</f>
        <v>0</v>
      </c>
      <c r="AR530" s="246">
        <f>IFERROR(VLOOKUP(P530,PROGRAMAS[],3,FALSE),0)</f>
        <v>0</v>
      </c>
      <c r="AS530" s="246">
        <f>IFERROR(VLOOKUP(Q530,PROGRAMAS[],3,FALSE),0)</f>
        <v>0</v>
      </c>
      <c r="AT530" s="246">
        <f>IFERROR(VLOOKUP(D530,VOL_REC[],2,FALSE),0)</f>
        <v>0</v>
      </c>
      <c r="AU530" s="246">
        <f>IFERROR(VLOOKUP(E530,VOL_REC[],2,FALSE),0)</f>
        <v>0</v>
      </c>
      <c r="AV530" s="246">
        <f>IFERROR(VLOOKUP(F530,VOL_REC[],2,FALSE),0)</f>
        <v>11089674.200000001</v>
      </c>
      <c r="AW530" s="246">
        <f>IFERROR(VLOOKUP(G530,VOL_REC[],2,FALSE),0)</f>
        <v>1812240</v>
      </c>
      <c r="AX530" s="246">
        <f>IFERROR(VLOOKUP(H530,VOL_REC[],2,FALSE),0)</f>
        <v>240696.79238099116</v>
      </c>
      <c r="AY530" s="246">
        <f>IFERROR(VLOOKUP(I530,VOL_REC[],2,FALSE),0)</f>
        <v>663244.80000000016</v>
      </c>
      <c r="AZ530" s="246">
        <f>IFERROR(VLOOKUP(J530,VOL_REC[],2,FALSE),0)</f>
        <v>1072354.9981737854</v>
      </c>
      <c r="BA530" s="246">
        <f>IFERROR(VLOOKUP(K530,VOL_REC[],2,FALSE),0)</f>
        <v>0</v>
      </c>
      <c r="BB530" s="246">
        <f>IFERROR(VLOOKUP(L530,VOL_REC[],2,FALSE),0)</f>
        <v>0</v>
      </c>
      <c r="BC530" s="246">
        <f>IFERROR(VLOOKUP(M530,VOL_REC[],2,FALSE),0)</f>
        <v>0</v>
      </c>
      <c r="BD530" s="246">
        <f>IFERROR(VLOOKUP(N530,VOL_REC[],2,FALSE),0)</f>
        <v>0</v>
      </c>
      <c r="BE530" s="246">
        <f>IFERROR(VLOOKUP(O530,VOL_REC[],2,FALSE),0)</f>
        <v>0</v>
      </c>
      <c r="BF530" s="246">
        <f>IFERROR(VLOOKUP(P530,VOL_REC[],2,FALSE),0)</f>
        <v>0</v>
      </c>
      <c r="BG530" s="246">
        <f>IFERROR(VLOOKUP(Q530,VOL_REC[],2,FALSE),0)</f>
        <v>0</v>
      </c>
      <c r="BH530" s="1710">
        <f t="shared" si="32"/>
        <v>20045014395.692303</v>
      </c>
      <c r="BI530" s="1710">
        <f t="shared" si="33"/>
        <v>17659896321.560688</v>
      </c>
      <c r="BJ530" s="1711">
        <f t="shared" si="34"/>
        <v>14878210.790554777</v>
      </c>
      <c r="BK530" s="1711">
        <f t="shared" si="35"/>
        <v>1.1350584414937737</v>
      </c>
      <c r="BL530">
        <f>BJ530</f>
        <v>14878210.790554777</v>
      </c>
      <c r="BO530">
        <f>BL530</f>
        <v>14878210.790554777</v>
      </c>
    </row>
    <row r="531" spans="3:67" x14ac:dyDescent="0.25">
      <c r="C531" s="246" t="s">
        <v>1881</v>
      </c>
      <c r="D531" s="246">
        <v>1</v>
      </c>
      <c r="E531" s="246">
        <v>2</v>
      </c>
      <c r="F531" s="246">
        <v>3</v>
      </c>
      <c r="G531" s="246">
        <v>10</v>
      </c>
      <c r="H531" s="246">
        <v>12</v>
      </c>
      <c r="I531" s="246">
        <v>13</v>
      </c>
      <c r="J531" s="246">
        <v>17</v>
      </c>
      <c r="K531" s="246"/>
      <c r="L531" s="246"/>
      <c r="M531" s="246"/>
      <c r="N531" s="246"/>
      <c r="O531" s="246"/>
      <c r="P531" s="246"/>
      <c r="Q531" s="246"/>
      <c r="R531" s="246">
        <f>IFERROR(VLOOKUP(D531,PROGRAMAS[],2,FALSE),0)</f>
        <v>97037803.679377079</v>
      </c>
      <c r="S531" s="246">
        <f>IFERROR(VLOOKUP(E531,PROGRAMAS[],2,FALSE),0)</f>
        <v>640501509.6821388</v>
      </c>
      <c r="T531" s="246">
        <f>IFERROR(VLOOKUP(F531,PROGRAMAS[],2,FALSE),0)</f>
        <v>3062327798.1525245</v>
      </c>
      <c r="U531" s="246">
        <f>IFERROR(VLOOKUP(G531,PROGRAMAS[],2,FALSE),0)</f>
        <v>4635315027.8751087</v>
      </c>
      <c r="V531" s="246">
        <f>IFERROR(VLOOKUP(H531,PROGRAMAS[],2,FALSE),0)</f>
        <v>764796700.79905891</v>
      </c>
      <c r="W531" s="246">
        <f>IFERROR(VLOOKUP(I531,PROGRAMAS[],2,FALSE),0)</f>
        <v>3776538594.4604583</v>
      </c>
      <c r="X531" s="246">
        <f>IFERROR(VLOOKUP(J531,PROGRAMAS[],2,FALSE),0)</f>
        <v>1892779498.5211046</v>
      </c>
      <c r="Y531" s="246">
        <f>IFERROR(VLOOKUP(K531,PROGRAMAS[],2,FALSE),0)</f>
        <v>0</v>
      </c>
      <c r="Z531" s="246">
        <f>IFERROR(VLOOKUP(L531,PROGRAMAS[],2,FALSE),0)</f>
        <v>0</v>
      </c>
      <c r="AA531" s="246">
        <f>IFERROR(VLOOKUP(M531,PROGRAMAS[],2,FALSE),0)</f>
        <v>0</v>
      </c>
      <c r="AB531" s="246">
        <f>IFERROR(VLOOKUP(N531,PROGRAMAS[],2,FALSE),0)</f>
        <v>0</v>
      </c>
      <c r="AC531" s="246">
        <f>IFERROR(VLOOKUP(O531,PROGRAMAS[],2,FALSE),0)</f>
        <v>0</v>
      </c>
      <c r="AD531" s="246">
        <f>IFERROR(VLOOKUP(P531,PROGRAMAS[],2,FALSE),0)</f>
        <v>0</v>
      </c>
      <c r="AE531" s="246">
        <f>IFERROR(VLOOKUP(Q531,PROGRAMAS[],2,FALSE),0)</f>
        <v>0</v>
      </c>
      <c r="AF531" s="246">
        <f>IFERROR(VLOOKUP(D531,PROGRAMAS[],3,FALSE),0)</f>
        <v>841888629.31080008</v>
      </c>
      <c r="AG531" s="246">
        <f>IFERROR(VLOOKUP(E531,PROGRAMAS[],3,FALSE),0)</f>
        <v>3848980803.1642323</v>
      </c>
      <c r="AH531" s="246">
        <f>IFERROR(VLOOKUP(F531,PROGRAMAS[],3,FALSE),0)</f>
        <v>3394901471.387517</v>
      </c>
      <c r="AI531" s="246">
        <f>IFERROR(VLOOKUP(G531,PROGRAMAS[],3,FALSE),0)</f>
        <v>4099471734.9978786</v>
      </c>
      <c r="AJ531" s="246">
        <f>IFERROR(VLOOKUP(H531,PROGRAMAS[],3,FALSE),0)</f>
        <v>675517840.109828</v>
      </c>
      <c r="AK531" s="246">
        <f>IFERROR(VLOOKUP(I531,PROGRAMAS[],3,FALSE),0)</f>
        <v>2392571243.5584412</v>
      </c>
      <c r="AL531" s="246">
        <f>IFERROR(VLOOKUP(J531,PROGRAMAS[],3,FALSE),0)</f>
        <v>948595847.09039903</v>
      </c>
      <c r="AM531" s="246">
        <f>IFERROR(VLOOKUP(K531,PROGRAMAS[],3,FALSE),0)</f>
        <v>0</v>
      </c>
      <c r="AN531" s="246">
        <f>IFERROR(VLOOKUP(L531,PROGRAMAS[],3,FALSE),0)</f>
        <v>0</v>
      </c>
      <c r="AO531" s="246">
        <f>IFERROR(VLOOKUP(M531,PROGRAMAS[],3,FALSE),0)</f>
        <v>0</v>
      </c>
      <c r="AP531" s="246">
        <f>IFERROR(VLOOKUP(N531,PROGRAMAS[],3,FALSE),0)</f>
        <v>0</v>
      </c>
      <c r="AQ531" s="246">
        <f>IFERROR(VLOOKUP(O531,PROGRAMAS[],3,FALSE),0)</f>
        <v>0</v>
      </c>
      <c r="AR531" s="246">
        <f>IFERROR(VLOOKUP(P531,PROGRAMAS[],3,FALSE),0)</f>
        <v>0</v>
      </c>
      <c r="AS531" s="246">
        <f>IFERROR(VLOOKUP(Q531,PROGRAMAS[],3,FALSE),0)</f>
        <v>0</v>
      </c>
      <c r="AT531" s="246">
        <f>IFERROR(VLOOKUP(D531,VOL_REC[],2,FALSE),0)</f>
        <v>0</v>
      </c>
      <c r="AU531" s="246">
        <f>IFERROR(VLOOKUP(E531,VOL_REC[],2,FALSE),0)</f>
        <v>0</v>
      </c>
      <c r="AV531" s="246">
        <f>IFERROR(VLOOKUP(F531,VOL_REC[],2,FALSE),0)</f>
        <v>11089674.200000001</v>
      </c>
      <c r="AW531" s="246">
        <f>IFERROR(VLOOKUP(G531,VOL_REC[],2,FALSE),0)</f>
        <v>1812240</v>
      </c>
      <c r="AX531" s="246">
        <f>IFERROR(VLOOKUP(H531,VOL_REC[],2,FALSE),0)</f>
        <v>240696.79238099116</v>
      </c>
      <c r="AY531" s="246">
        <f>IFERROR(VLOOKUP(I531,VOL_REC[],2,FALSE),0)</f>
        <v>663244.80000000016</v>
      </c>
      <c r="AZ531" s="246">
        <f>IFERROR(VLOOKUP(J531,VOL_REC[],2,FALSE),0)</f>
        <v>740113.98115702497</v>
      </c>
      <c r="BA531" s="246">
        <f>IFERROR(VLOOKUP(K531,VOL_REC[],2,FALSE),0)</f>
        <v>0</v>
      </c>
      <c r="BB531" s="246">
        <f>IFERROR(VLOOKUP(L531,VOL_REC[],2,FALSE),0)</f>
        <v>0</v>
      </c>
      <c r="BC531" s="246">
        <f>IFERROR(VLOOKUP(M531,VOL_REC[],2,FALSE),0)</f>
        <v>0</v>
      </c>
      <c r="BD531" s="246">
        <f>IFERROR(VLOOKUP(N531,VOL_REC[],2,FALSE),0)</f>
        <v>0</v>
      </c>
      <c r="BE531" s="246">
        <f>IFERROR(VLOOKUP(O531,VOL_REC[],2,FALSE),0)</f>
        <v>0</v>
      </c>
      <c r="BF531" s="246">
        <f>IFERROR(VLOOKUP(P531,VOL_REC[],2,FALSE),0)</f>
        <v>0</v>
      </c>
      <c r="BG531" s="246">
        <f>IFERROR(VLOOKUP(Q531,VOL_REC[],2,FALSE),0)</f>
        <v>0</v>
      </c>
      <c r="BH531" s="1710">
        <f t="shared" si="32"/>
        <v>14869296933.169771</v>
      </c>
      <c r="BI531" s="1710">
        <f t="shared" si="33"/>
        <v>16201927569.619097</v>
      </c>
      <c r="BJ531" s="1711">
        <f t="shared" si="34"/>
        <v>14545969.773538018</v>
      </c>
      <c r="BK531" s="1711">
        <f t="shared" si="35"/>
        <v>0.91774863634446824</v>
      </c>
    </row>
    <row r="532" spans="3:67" x14ac:dyDescent="0.25">
      <c r="C532" s="246" t="s">
        <v>1882</v>
      </c>
      <c r="D532" s="246">
        <v>1</v>
      </c>
      <c r="E532" s="246">
        <v>2</v>
      </c>
      <c r="F532" s="246">
        <v>3</v>
      </c>
      <c r="G532" s="246">
        <v>10</v>
      </c>
      <c r="H532" s="246">
        <v>12</v>
      </c>
      <c r="I532" s="246">
        <v>14</v>
      </c>
      <c r="J532" s="246">
        <v>15</v>
      </c>
      <c r="K532" s="246"/>
      <c r="L532" s="246"/>
      <c r="M532" s="246"/>
      <c r="N532" s="246"/>
      <c r="O532" s="246"/>
      <c r="P532" s="246"/>
      <c r="Q532" s="246"/>
      <c r="R532" s="246">
        <f>IFERROR(VLOOKUP(D532,PROGRAMAS[],2,FALSE),0)</f>
        <v>97037803.679377079</v>
      </c>
      <c r="S532" s="246">
        <f>IFERROR(VLOOKUP(E532,PROGRAMAS[],2,FALSE),0)</f>
        <v>640501509.6821388</v>
      </c>
      <c r="T532" s="246">
        <f>IFERROR(VLOOKUP(F532,PROGRAMAS[],2,FALSE),0)</f>
        <v>3062327798.1525245</v>
      </c>
      <c r="U532" s="246">
        <f>IFERROR(VLOOKUP(G532,PROGRAMAS[],2,FALSE),0)</f>
        <v>4635315027.8751087</v>
      </c>
      <c r="V532" s="246">
        <f>IFERROR(VLOOKUP(H532,PROGRAMAS[],2,FALSE),0)</f>
        <v>764796700.79905891</v>
      </c>
      <c r="W532" s="246">
        <f>IFERROR(VLOOKUP(I532,PROGRAMAS[],2,FALSE),0)</f>
        <v>54223862.645839565</v>
      </c>
      <c r="X532" s="246">
        <f>IFERROR(VLOOKUP(J532,PROGRAMAS[],2,FALSE),0)</f>
        <v>122159672.96346797</v>
      </c>
      <c r="Y532" s="246">
        <f>IFERROR(VLOOKUP(K532,PROGRAMAS[],2,FALSE),0)</f>
        <v>0</v>
      </c>
      <c r="Z532" s="246">
        <f>IFERROR(VLOOKUP(L532,PROGRAMAS[],2,FALSE),0)</f>
        <v>0</v>
      </c>
      <c r="AA532" s="246">
        <f>IFERROR(VLOOKUP(M532,PROGRAMAS[],2,FALSE),0)</f>
        <v>0</v>
      </c>
      <c r="AB532" s="246">
        <f>IFERROR(VLOOKUP(N532,PROGRAMAS[],2,FALSE),0)</f>
        <v>0</v>
      </c>
      <c r="AC532" s="246">
        <f>IFERROR(VLOOKUP(O532,PROGRAMAS[],2,FALSE),0)</f>
        <v>0</v>
      </c>
      <c r="AD532" s="246">
        <f>IFERROR(VLOOKUP(P532,PROGRAMAS[],2,FALSE),0)</f>
        <v>0</v>
      </c>
      <c r="AE532" s="246">
        <f>IFERROR(VLOOKUP(Q532,PROGRAMAS[],2,FALSE),0)</f>
        <v>0</v>
      </c>
      <c r="AF532" s="246">
        <f>IFERROR(VLOOKUP(D532,PROGRAMAS[],3,FALSE),0)</f>
        <v>841888629.31080008</v>
      </c>
      <c r="AG532" s="246">
        <f>IFERROR(VLOOKUP(E532,PROGRAMAS[],3,FALSE),0)</f>
        <v>3848980803.1642323</v>
      </c>
      <c r="AH532" s="246">
        <f>IFERROR(VLOOKUP(F532,PROGRAMAS[],3,FALSE),0)</f>
        <v>3394901471.387517</v>
      </c>
      <c r="AI532" s="246">
        <f>IFERROR(VLOOKUP(G532,PROGRAMAS[],3,FALSE),0)</f>
        <v>4099471734.9978786</v>
      </c>
      <c r="AJ532" s="246">
        <f>IFERROR(VLOOKUP(H532,PROGRAMAS[],3,FALSE),0)</f>
        <v>675517840.109828</v>
      </c>
      <c r="AK532" s="246">
        <f>IFERROR(VLOOKUP(I532,PROGRAMAS[],3,FALSE),0)</f>
        <v>31865326.38096505</v>
      </c>
      <c r="AL532" s="246">
        <f>IFERROR(VLOOKUP(J532,PROGRAMAS[],3,FALSE),0)</f>
        <v>118617452.52510804</v>
      </c>
      <c r="AM532" s="246">
        <f>IFERROR(VLOOKUP(K532,PROGRAMAS[],3,FALSE),0)</f>
        <v>0</v>
      </c>
      <c r="AN532" s="246">
        <f>IFERROR(VLOOKUP(L532,PROGRAMAS[],3,FALSE),0)</f>
        <v>0</v>
      </c>
      <c r="AO532" s="246">
        <f>IFERROR(VLOOKUP(M532,PROGRAMAS[],3,FALSE),0)</f>
        <v>0</v>
      </c>
      <c r="AP532" s="246">
        <f>IFERROR(VLOOKUP(N532,PROGRAMAS[],3,FALSE),0)</f>
        <v>0</v>
      </c>
      <c r="AQ532" s="246">
        <f>IFERROR(VLOOKUP(O532,PROGRAMAS[],3,FALSE),0)</f>
        <v>0</v>
      </c>
      <c r="AR532" s="246">
        <f>IFERROR(VLOOKUP(P532,PROGRAMAS[],3,FALSE),0)</f>
        <v>0</v>
      </c>
      <c r="AS532" s="246">
        <f>IFERROR(VLOOKUP(Q532,PROGRAMAS[],3,FALSE),0)</f>
        <v>0</v>
      </c>
      <c r="AT532" s="246">
        <f>IFERROR(VLOOKUP(D532,VOL_REC[],2,FALSE),0)</f>
        <v>0</v>
      </c>
      <c r="AU532" s="246">
        <f>IFERROR(VLOOKUP(E532,VOL_REC[],2,FALSE),0)</f>
        <v>0</v>
      </c>
      <c r="AV532" s="246">
        <f>IFERROR(VLOOKUP(F532,VOL_REC[],2,FALSE),0)</f>
        <v>11089674.200000001</v>
      </c>
      <c r="AW532" s="246">
        <f>IFERROR(VLOOKUP(G532,VOL_REC[],2,FALSE),0)</f>
        <v>1812240</v>
      </c>
      <c r="AX532" s="246">
        <f>IFERROR(VLOOKUP(H532,VOL_REC[],2,FALSE),0)</f>
        <v>240696.79238099116</v>
      </c>
      <c r="AY532" s="246">
        <f>IFERROR(VLOOKUP(I532,VOL_REC[],2,FALSE),0)</f>
        <v>17074.045034105649</v>
      </c>
      <c r="AZ532" s="246">
        <f>IFERROR(VLOOKUP(J532,VOL_REC[],2,FALSE),0)</f>
        <v>105072</v>
      </c>
      <c r="BA532" s="246">
        <f>IFERROR(VLOOKUP(K532,VOL_REC[],2,FALSE),0)</f>
        <v>0</v>
      </c>
      <c r="BB532" s="246">
        <f>IFERROR(VLOOKUP(L532,VOL_REC[],2,FALSE),0)</f>
        <v>0</v>
      </c>
      <c r="BC532" s="246">
        <f>IFERROR(VLOOKUP(M532,VOL_REC[],2,FALSE),0)</f>
        <v>0</v>
      </c>
      <c r="BD532" s="246">
        <f>IFERROR(VLOOKUP(N532,VOL_REC[],2,FALSE),0)</f>
        <v>0</v>
      </c>
      <c r="BE532" s="246">
        <f>IFERROR(VLOOKUP(O532,VOL_REC[],2,FALSE),0)</f>
        <v>0</v>
      </c>
      <c r="BF532" s="246">
        <f>IFERROR(VLOOKUP(P532,VOL_REC[],2,FALSE),0)</f>
        <v>0</v>
      </c>
      <c r="BG532" s="246">
        <f>IFERROR(VLOOKUP(Q532,VOL_REC[],2,FALSE),0)</f>
        <v>0</v>
      </c>
      <c r="BH532" s="1710">
        <f t="shared" si="32"/>
        <v>9376362375.7975159</v>
      </c>
      <c r="BI532" s="1710">
        <f t="shared" si="33"/>
        <v>13011243257.876329</v>
      </c>
      <c r="BJ532" s="1711">
        <f t="shared" si="34"/>
        <v>13264757.037415097</v>
      </c>
      <c r="BK532" s="1711">
        <f t="shared" si="35"/>
        <v>0.72063539125068266</v>
      </c>
    </row>
    <row r="533" spans="3:67" x14ac:dyDescent="0.25">
      <c r="C533" s="246" t="s">
        <v>1883</v>
      </c>
      <c r="D533" s="246">
        <v>1</v>
      </c>
      <c r="E533" s="246">
        <v>2</v>
      </c>
      <c r="F533" s="246">
        <v>3</v>
      </c>
      <c r="G533" s="246">
        <v>10</v>
      </c>
      <c r="H533" s="246">
        <v>12</v>
      </c>
      <c r="I533" s="246">
        <v>14</v>
      </c>
      <c r="J533" s="246">
        <v>16</v>
      </c>
      <c r="K533" s="246"/>
      <c r="L533" s="246"/>
      <c r="M533" s="246"/>
      <c r="N533" s="246"/>
      <c r="O533" s="246"/>
      <c r="P533" s="246"/>
      <c r="Q533" s="246"/>
      <c r="R533" s="246">
        <f>IFERROR(VLOOKUP(D533,PROGRAMAS[],2,FALSE),0)</f>
        <v>97037803.679377079</v>
      </c>
      <c r="S533" s="246">
        <f>IFERROR(VLOOKUP(E533,PROGRAMAS[],2,FALSE),0)</f>
        <v>640501509.6821388</v>
      </c>
      <c r="T533" s="246">
        <f>IFERROR(VLOOKUP(F533,PROGRAMAS[],2,FALSE),0)</f>
        <v>3062327798.1525245</v>
      </c>
      <c r="U533" s="246">
        <f>IFERROR(VLOOKUP(G533,PROGRAMAS[],2,FALSE),0)</f>
        <v>4635315027.8751087</v>
      </c>
      <c r="V533" s="246">
        <f>IFERROR(VLOOKUP(H533,PROGRAMAS[],2,FALSE),0)</f>
        <v>764796700.79905891</v>
      </c>
      <c r="W533" s="246">
        <f>IFERROR(VLOOKUP(I533,PROGRAMAS[],2,FALSE),0)</f>
        <v>54223862.645839565</v>
      </c>
      <c r="X533" s="246">
        <f>IFERROR(VLOOKUP(J533,PROGRAMAS[],2,FALSE),0)</f>
        <v>7068496961.0436354</v>
      </c>
      <c r="Y533" s="246">
        <f>IFERROR(VLOOKUP(K533,PROGRAMAS[],2,FALSE),0)</f>
        <v>0</v>
      </c>
      <c r="Z533" s="246">
        <f>IFERROR(VLOOKUP(L533,PROGRAMAS[],2,FALSE),0)</f>
        <v>0</v>
      </c>
      <c r="AA533" s="246">
        <f>IFERROR(VLOOKUP(M533,PROGRAMAS[],2,FALSE),0)</f>
        <v>0</v>
      </c>
      <c r="AB533" s="246">
        <f>IFERROR(VLOOKUP(N533,PROGRAMAS[],2,FALSE),0)</f>
        <v>0</v>
      </c>
      <c r="AC533" s="246">
        <f>IFERROR(VLOOKUP(O533,PROGRAMAS[],2,FALSE),0)</f>
        <v>0</v>
      </c>
      <c r="AD533" s="246">
        <f>IFERROR(VLOOKUP(P533,PROGRAMAS[],2,FALSE),0)</f>
        <v>0</v>
      </c>
      <c r="AE533" s="246">
        <f>IFERROR(VLOOKUP(Q533,PROGRAMAS[],2,FALSE),0)</f>
        <v>0</v>
      </c>
      <c r="AF533" s="246">
        <f>IFERROR(VLOOKUP(D533,PROGRAMAS[],3,FALSE),0)</f>
        <v>841888629.31080008</v>
      </c>
      <c r="AG533" s="246">
        <f>IFERROR(VLOOKUP(E533,PROGRAMAS[],3,FALSE),0)</f>
        <v>3848980803.1642323</v>
      </c>
      <c r="AH533" s="246">
        <f>IFERROR(VLOOKUP(F533,PROGRAMAS[],3,FALSE),0)</f>
        <v>3394901471.387517</v>
      </c>
      <c r="AI533" s="246">
        <f>IFERROR(VLOOKUP(G533,PROGRAMAS[],3,FALSE),0)</f>
        <v>4099471734.9978786</v>
      </c>
      <c r="AJ533" s="246">
        <f>IFERROR(VLOOKUP(H533,PROGRAMAS[],3,FALSE),0)</f>
        <v>675517840.109828</v>
      </c>
      <c r="AK533" s="246">
        <f>IFERROR(VLOOKUP(I533,PROGRAMAS[],3,FALSE),0)</f>
        <v>31865326.38096505</v>
      </c>
      <c r="AL533" s="246">
        <f>IFERROR(VLOOKUP(J533,PROGRAMAS[],3,FALSE),0)</f>
        <v>2406564599.0319901</v>
      </c>
      <c r="AM533" s="246">
        <f>IFERROR(VLOOKUP(K533,PROGRAMAS[],3,FALSE),0)</f>
        <v>0</v>
      </c>
      <c r="AN533" s="246">
        <f>IFERROR(VLOOKUP(L533,PROGRAMAS[],3,FALSE),0)</f>
        <v>0</v>
      </c>
      <c r="AO533" s="246">
        <f>IFERROR(VLOOKUP(M533,PROGRAMAS[],3,FALSE),0)</f>
        <v>0</v>
      </c>
      <c r="AP533" s="246">
        <f>IFERROR(VLOOKUP(N533,PROGRAMAS[],3,FALSE),0)</f>
        <v>0</v>
      </c>
      <c r="AQ533" s="246">
        <f>IFERROR(VLOOKUP(O533,PROGRAMAS[],3,FALSE),0)</f>
        <v>0</v>
      </c>
      <c r="AR533" s="246">
        <f>IFERROR(VLOOKUP(P533,PROGRAMAS[],3,FALSE),0)</f>
        <v>0</v>
      </c>
      <c r="AS533" s="246">
        <f>IFERROR(VLOOKUP(Q533,PROGRAMAS[],3,FALSE),0)</f>
        <v>0</v>
      </c>
      <c r="AT533" s="246">
        <f>IFERROR(VLOOKUP(D533,VOL_REC[],2,FALSE),0)</f>
        <v>0</v>
      </c>
      <c r="AU533" s="246">
        <f>IFERROR(VLOOKUP(E533,VOL_REC[],2,FALSE),0)</f>
        <v>0</v>
      </c>
      <c r="AV533" s="246">
        <f>IFERROR(VLOOKUP(F533,VOL_REC[],2,FALSE),0)</f>
        <v>11089674.200000001</v>
      </c>
      <c r="AW533" s="246">
        <f>IFERROR(VLOOKUP(G533,VOL_REC[],2,FALSE),0)</f>
        <v>1812240</v>
      </c>
      <c r="AX533" s="246">
        <f>IFERROR(VLOOKUP(H533,VOL_REC[],2,FALSE),0)</f>
        <v>240696.79238099116</v>
      </c>
      <c r="AY533" s="246">
        <f>IFERROR(VLOOKUP(I533,VOL_REC[],2,FALSE),0)</f>
        <v>17074.045034105649</v>
      </c>
      <c r="AZ533" s="246">
        <f>IFERROR(VLOOKUP(J533,VOL_REC[],2,FALSE),0)</f>
        <v>1072354.9981737854</v>
      </c>
      <c r="BA533" s="246">
        <f>IFERROR(VLOOKUP(K533,VOL_REC[],2,FALSE),0)</f>
        <v>0</v>
      </c>
      <c r="BB533" s="246">
        <f>IFERROR(VLOOKUP(L533,VOL_REC[],2,FALSE),0)</f>
        <v>0</v>
      </c>
      <c r="BC533" s="246">
        <f>IFERROR(VLOOKUP(M533,VOL_REC[],2,FALSE),0)</f>
        <v>0</v>
      </c>
      <c r="BD533" s="246">
        <f>IFERROR(VLOOKUP(N533,VOL_REC[],2,FALSE),0)</f>
        <v>0</v>
      </c>
      <c r="BE533" s="246">
        <f>IFERROR(VLOOKUP(O533,VOL_REC[],2,FALSE),0)</f>
        <v>0</v>
      </c>
      <c r="BF533" s="246">
        <f>IFERROR(VLOOKUP(P533,VOL_REC[],2,FALSE),0)</f>
        <v>0</v>
      </c>
      <c r="BG533" s="246">
        <f>IFERROR(VLOOKUP(Q533,VOL_REC[],2,FALSE),0)</f>
        <v>0</v>
      </c>
      <c r="BH533" s="1710">
        <f t="shared" si="32"/>
        <v>16322699663.877682</v>
      </c>
      <c r="BI533" s="1710">
        <f t="shared" si="33"/>
        <v>15299190404.383211</v>
      </c>
      <c r="BJ533" s="1711">
        <f t="shared" si="34"/>
        <v>14232040.035588883</v>
      </c>
      <c r="BK533" s="1711">
        <f t="shared" si="35"/>
        <v>1.0668995700060857</v>
      </c>
      <c r="BL533">
        <f>BJ533</f>
        <v>14232040.035588883</v>
      </c>
      <c r="BO533">
        <f>BL533</f>
        <v>14232040.035588883</v>
      </c>
    </row>
    <row r="534" spans="3:67" x14ac:dyDescent="0.25">
      <c r="C534" s="246" t="s">
        <v>1884</v>
      </c>
      <c r="D534" s="246">
        <v>1</v>
      </c>
      <c r="E534" s="246">
        <v>2</v>
      </c>
      <c r="F534" s="246">
        <v>3</v>
      </c>
      <c r="G534" s="246">
        <v>10</v>
      </c>
      <c r="H534" s="246">
        <v>12</v>
      </c>
      <c r="I534" s="246">
        <v>14</v>
      </c>
      <c r="J534" s="246">
        <v>17</v>
      </c>
      <c r="K534" s="246"/>
      <c r="L534" s="246"/>
      <c r="M534" s="246"/>
      <c r="N534" s="246"/>
      <c r="O534" s="246"/>
      <c r="P534" s="246"/>
      <c r="Q534" s="246"/>
      <c r="R534" s="246">
        <f>IFERROR(VLOOKUP(D534,PROGRAMAS[],2,FALSE),0)</f>
        <v>97037803.679377079</v>
      </c>
      <c r="S534" s="246">
        <f>IFERROR(VLOOKUP(E534,PROGRAMAS[],2,FALSE),0)</f>
        <v>640501509.6821388</v>
      </c>
      <c r="T534" s="246">
        <f>IFERROR(VLOOKUP(F534,PROGRAMAS[],2,FALSE),0)</f>
        <v>3062327798.1525245</v>
      </c>
      <c r="U534" s="246">
        <f>IFERROR(VLOOKUP(G534,PROGRAMAS[],2,FALSE),0)</f>
        <v>4635315027.8751087</v>
      </c>
      <c r="V534" s="246">
        <f>IFERROR(VLOOKUP(H534,PROGRAMAS[],2,FALSE),0)</f>
        <v>764796700.79905891</v>
      </c>
      <c r="W534" s="246">
        <f>IFERROR(VLOOKUP(I534,PROGRAMAS[],2,FALSE),0)</f>
        <v>54223862.645839565</v>
      </c>
      <c r="X534" s="246">
        <f>IFERROR(VLOOKUP(J534,PROGRAMAS[],2,FALSE),0)</f>
        <v>1892779498.5211046</v>
      </c>
      <c r="Y534" s="246">
        <f>IFERROR(VLOOKUP(K534,PROGRAMAS[],2,FALSE),0)</f>
        <v>0</v>
      </c>
      <c r="Z534" s="246">
        <f>IFERROR(VLOOKUP(L534,PROGRAMAS[],2,FALSE),0)</f>
        <v>0</v>
      </c>
      <c r="AA534" s="246">
        <f>IFERROR(VLOOKUP(M534,PROGRAMAS[],2,FALSE),0)</f>
        <v>0</v>
      </c>
      <c r="AB534" s="246">
        <f>IFERROR(VLOOKUP(N534,PROGRAMAS[],2,FALSE),0)</f>
        <v>0</v>
      </c>
      <c r="AC534" s="246">
        <f>IFERROR(VLOOKUP(O534,PROGRAMAS[],2,FALSE),0)</f>
        <v>0</v>
      </c>
      <c r="AD534" s="246">
        <f>IFERROR(VLOOKUP(P534,PROGRAMAS[],2,FALSE),0)</f>
        <v>0</v>
      </c>
      <c r="AE534" s="246">
        <f>IFERROR(VLOOKUP(Q534,PROGRAMAS[],2,FALSE),0)</f>
        <v>0</v>
      </c>
      <c r="AF534" s="246">
        <f>IFERROR(VLOOKUP(D534,PROGRAMAS[],3,FALSE),0)</f>
        <v>841888629.31080008</v>
      </c>
      <c r="AG534" s="246">
        <f>IFERROR(VLOOKUP(E534,PROGRAMAS[],3,FALSE),0)</f>
        <v>3848980803.1642323</v>
      </c>
      <c r="AH534" s="246">
        <f>IFERROR(VLOOKUP(F534,PROGRAMAS[],3,FALSE),0)</f>
        <v>3394901471.387517</v>
      </c>
      <c r="AI534" s="246">
        <f>IFERROR(VLOOKUP(G534,PROGRAMAS[],3,FALSE),0)</f>
        <v>4099471734.9978786</v>
      </c>
      <c r="AJ534" s="246">
        <f>IFERROR(VLOOKUP(H534,PROGRAMAS[],3,FALSE),0)</f>
        <v>675517840.109828</v>
      </c>
      <c r="AK534" s="246">
        <f>IFERROR(VLOOKUP(I534,PROGRAMAS[],3,FALSE),0)</f>
        <v>31865326.38096505</v>
      </c>
      <c r="AL534" s="246">
        <f>IFERROR(VLOOKUP(J534,PROGRAMAS[],3,FALSE),0)</f>
        <v>948595847.09039903</v>
      </c>
      <c r="AM534" s="246">
        <f>IFERROR(VLOOKUP(K534,PROGRAMAS[],3,FALSE),0)</f>
        <v>0</v>
      </c>
      <c r="AN534" s="246">
        <f>IFERROR(VLOOKUP(L534,PROGRAMAS[],3,FALSE),0)</f>
        <v>0</v>
      </c>
      <c r="AO534" s="246">
        <f>IFERROR(VLOOKUP(M534,PROGRAMAS[],3,FALSE),0)</f>
        <v>0</v>
      </c>
      <c r="AP534" s="246">
        <f>IFERROR(VLOOKUP(N534,PROGRAMAS[],3,FALSE),0)</f>
        <v>0</v>
      </c>
      <c r="AQ534" s="246">
        <f>IFERROR(VLOOKUP(O534,PROGRAMAS[],3,FALSE),0)</f>
        <v>0</v>
      </c>
      <c r="AR534" s="246">
        <f>IFERROR(VLOOKUP(P534,PROGRAMAS[],3,FALSE),0)</f>
        <v>0</v>
      </c>
      <c r="AS534" s="246">
        <f>IFERROR(VLOOKUP(Q534,PROGRAMAS[],3,FALSE),0)</f>
        <v>0</v>
      </c>
      <c r="AT534" s="246">
        <f>IFERROR(VLOOKUP(D534,VOL_REC[],2,FALSE),0)</f>
        <v>0</v>
      </c>
      <c r="AU534" s="246">
        <f>IFERROR(VLOOKUP(E534,VOL_REC[],2,FALSE),0)</f>
        <v>0</v>
      </c>
      <c r="AV534" s="246">
        <f>IFERROR(VLOOKUP(F534,VOL_REC[],2,FALSE),0)</f>
        <v>11089674.200000001</v>
      </c>
      <c r="AW534" s="246">
        <f>IFERROR(VLOOKUP(G534,VOL_REC[],2,FALSE),0)</f>
        <v>1812240</v>
      </c>
      <c r="AX534" s="246">
        <f>IFERROR(VLOOKUP(H534,VOL_REC[],2,FALSE),0)</f>
        <v>240696.79238099116</v>
      </c>
      <c r="AY534" s="246">
        <f>IFERROR(VLOOKUP(I534,VOL_REC[],2,FALSE),0)</f>
        <v>17074.045034105649</v>
      </c>
      <c r="AZ534" s="246">
        <f>IFERROR(VLOOKUP(J534,VOL_REC[],2,FALSE),0)</f>
        <v>740113.98115702497</v>
      </c>
      <c r="BA534" s="246">
        <f>IFERROR(VLOOKUP(K534,VOL_REC[],2,FALSE),0)</f>
        <v>0</v>
      </c>
      <c r="BB534" s="246">
        <f>IFERROR(VLOOKUP(L534,VOL_REC[],2,FALSE),0)</f>
        <v>0</v>
      </c>
      <c r="BC534" s="246">
        <f>IFERROR(VLOOKUP(M534,VOL_REC[],2,FALSE),0)</f>
        <v>0</v>
      </c>
      <c r="BD534" s="246">
        <f>IFERROR(VLOOKUP(N534,VOL_REC[],2,FALSE),0)</f>
        <v>0</v>
      </c>
      <c r="BE534" s="246">
        <f>IFERROR(VLOOKUP(O534,VOL_REC[],2,FALSE),0)</f>
        <v>0</v>
      </c>
      <c r="BF534" s="246">
        <f>IFERROR(VLOOKUP(P534,VOL_REC[],2,FALSE),0)</f>
        <v>0</v>
      </c>
      <c r="BG534" s="246">
        <f>IFERROR(VLOOKUP(Q534,VOL_REC[],2,FALSE),0)</f>
        <v>0</v>
      </c>
      <c r="BH534" s="1710">
        <f t="shared" si="32"/>
        <v>11146982201.355152</v>
      </c>
      <c r="BI534" s="1710">
        <f t="shared" si="33"/>
        <v>13841221652.44162</v>
      </c>
      <c r="BJ534" s="1711">
        <f t="shared" si="34"/>
        <v>13899799.018572122</v>
      </c>
      <c r="BK534" s="1711">
        <f t="shared" si="35"/>
        <v>0.80534670141553588</v>
      </c>
    </row>
    <row r="535" spans="3:67" x14ac:dyDescent="0.25">
      <c r="C535" s="246" t="s">
        <v>1885</v>
      </c>
      <c r="D535" s="246">
        <v>1</v>
      </c>
      <c r="E535" s="246">
        <v>2</v>
      </c>
      <c r="F535" s="246">
        <v>3</v>
      </c>
      <c r="G535" s="246">
        <v>10</v>
      </c>
      <c r="H535" s="246">
        <v>12</v>
      </c>
      <c r="I535" s="246">
        <v>15</v>
      </c>
      <c r="J535" s="246">
        <v>16</v>
      </c>
      <c r="K535" s="246"/>
      <c r="L535" s="246"/>
      <c r="M535" s="246"/>
      <c r="N535" s="246"/>
      <c r="O535" s="246"/>
      <c r="P535" s="246"/>
      <c r="Q535" s="246"/>
      <c r="R535" s="246">
        <f>IFERROR(VLOOKUP(D535,PROGRAMAS[],2,FALSE),0)</f>
        <v>97037803.679377079</v>
      </c>
      <c r="S535" s="246">
        <f>IFERROR(VLOOKUP(E535,PROGRAMAS[],2,FALSE),0)</f>
        <v>640501509.6821388</v>
      </c>
      <c r="T535" s="246">
        <f>IFERROR(VLOOKUP(F535,PROGRAMAS[],2,FALSE),0)</f>
        <v>3062327798.1525245</v>
      </c>
      <c r="U535" s="246">
        <f>IFERROR(VLOOKUP(G535,PROGRAMAS[],2,FALSE),0)</f>
        <v>4635315027.8751087</v>
      </c>
      <c r="V535" s="246">
        <f>IFERROR(VLOOKUP(H535,PROGRAMAS[],2,FALSE),0)</f>
        <v>764796700.79905891</v>
      </c>
      <c r="W535" s="246">
        <f>IFERROR(VLOOKUP(I535,PROGRAMAS[],2,FALSE),0)</f>
        <v>122159672.96346797</v>
      </c>
      <c r="X535" s="246">
        <f>IFERROR(VLOOKUP(J535,PROGRAMAS[],2,FALSE),0)</f>
        <v>7068496961.0436354</v>
      </c>
      <c r="Y535" s="246">
        <f>IFERROR(VLOOKUP(K535,PROGRAMAS[],2,FALSE),0)</f>
        <v>0</v>
      </c>
      <c r="Z535" s="246">
        <f>IFERROR(VLOOKUP(L535,PROGRAMAS[],2,FALSE),0)</f>
        <v>0</v>
      </c>
      <c r="AA535" s="246">
        <f>IFERROR(VLOOKUP(M535,PROGRAMAS[],2,FALSE),0)</f>
        <v>0</v>
      </c>
      <c r="AB535" s="246">
        <f>IFERROR(VLOOKUP(N535,PROGRAMAS[],2,FALSE),0)</f>
        <v>0</v>
      </c>
      <c r="AC535" s="246">
        <f>IFERROR(VLOOKUP(O535,PROGRAMAS[],2,FALSE),0)</f>
        <v>0</v>
      </c>
      <c r="AD535" s="246">
        <f>IFERROR(VLOOKUP(P535,PROGRAMAS[],2,FALSE),0)</f>
        <v>0</v>
      </c>
      <c r="AE535" s="246">
        <f>IFERROR(VLOOKUP(Q535,PROGRAMAS[],2,FALSE),0)</f>
        <v>0</v>
      </c>
      <c r="AF535" s="246">
        <f>IFERROR(VLOOKUP(D535,PROGRAMAS[],3,FALSE),0)</f>
        <v>841888629.31080008</v>
      </c>
      <c r="AG535" s="246">
        <f>IFERROR(VLOOKUP(E535,PROGRAMAS[],3,FALSE),0)</f>
        <v>3848980803.1642323</v>
      </c>
      <c r="AH535" s="246">
        <f>IFERROR(VLOOKUP(F535,PROGRAMAS[],3,FALSE),0)</f>
        <v>3394901471.387517</v>
      </c>
      <c r="AI535" s="246">
        <f>IFERROR(VLOOKUP(G535,PROGRAMAS[],3,FALSE),0)</f>
        <v>4099471734.9978786</v>
      </c>
      <c r="AJ535" s="246">
        <f>IFERROR(VLOOKUP(H535,PROGRAMAS[],3,FALSE),0)</f>
        <v>675517840.109828</v>
      </c>
      <c r="AK535" s="246">
        <f>IFERROR(VLOOKUP(I535,PROGRAMAS[],3,FALSE),0)</f>
        <v>118617452.52510804</v>
      </c>
      <c r="AL535" s="246">
        <f>IFERROR(VLOOKUP(J535,PROGRAMAS[],3,FALSE),0)</f>
        <v>2406564599.0319901</v>
      </c>
      <c r="AM535" s="246">
        <f>IFERROR(VLOOKUP(K535,PROGRAMAS[],3,FALSE),0)</f>
        <v>0</v>
      </c>
      <c r="AN535" s="246">
        <f>IFERROR(VLOOKUP(L535,PROGRAMAS[],3,FALSE),0)</f>
        <v>0</v>
      </c>
      <c r="AO535" s="246">
        <f>IFERROR(VLOOKUP(M535,PROGRAMAS[],3,FALSE),0)</f>
        <v>0</v>
      </c>
      <c r="AP535" s="246">
        <f>IFERROR(VLOOKUP(N535,PROGRAMAS[],3,FALSE),0)</f>
        <v>0</v>
      </c>
      <c r="AQ535" s="246">
        <f>IFERROR(VLOOKUP(O535,PROGRAMAS[],3,FALSE),0)</f>
        <v>0</v>
      </c>
      <c r="AR535" s="246">
        <f>IFERROR(VLOOKUP(P535,PROGRAMAS[],3,FALSE),0)</f>
        <v>0</v>
      </c>
      <c r="AS535" s="246">
        <f>IFERROR(VLOOKUP(Q535,PROGRAMAS[],3,FALSE),0)</f>
        <v>0</v>
      </c>
      <c r="AT535" s="246">
        <f>IFERROR(VLOOKUP(D535,VOL_REC[],2,FALSE),0)</f>
        <v>0</v>
      </c>
      <c r="AU535" s="246">
        <f>IFERROR(VLOOKUP(E535,VOL_REC[],2,FALSE),0)</f>
        <v>0</v>
      </c>
      <c r="AV535" s="246">
        <f>IFERROR(VLOOKUP(F535,VOL_REC[],2,FALSE),0)</f>
        <v>11089674.200000001</v>
      </c>
      <c r="AW535" s="246">
        <f>IFERROR(VLOOKUP(G535,VOL_REC[],2,FALSE),0)</f>
        <v>1812240</v>
      </c>
      <c r="AX535" s="246">
        <f>IFERROR(VLOOKUP(H535,VOL_REC[],2,FALSE),0)</f>
        <v>240696.79238099116</v>
      </c>
      <c r="AY535" s="246">
        <f>IFERROR(VLOOKUP(I535,VOL_REC[],2,FALSE),0)</f>
        <v>105072</v>
      </c>
      <c r="AZ535" s="246">
        <f>IFERROR(VLOOKUP(J535,VOL_REC[],2,FALSE),0)</f>
        <v>1072354.9981737854</v>
      </c>
      <c r="BA535" s="246">
        <f>IFERROR(VLOOKUP(K535,VOL_REC[],2,FALSE),0)</f>
        <v>0</v>
      </c>
      <c r="BB535" s="246">
        <f>IFERROR(VLOOKUP(L535,VOL_REC[],2,FALSE),0)</f>
        <v>0</v>
      </c>
      <c r="BC535" s="246">
        <f>IFERROR(VLOOKUP(M535,VOL_REC[],2,FALSE),0)</f>
        <v>0</v>
      </c>
      <c r="BD535" s="246">
        <f>IFERROR(VLOOKUP(N535,VOL_REC[],2,FALSE),0)</f>
        <v>0</v>
      </c>
      <c r="BE535" s="246">
        <f>IFERROR(VLOOKUP(O535,VOL_REC[],2,FALSE),0)</f>
        <v>0</v>
      </c>
      <c r="BF535" s="246">
        <f>IFERROR(VLOOKUP(P535,VOL_REC[],2,FALSE),0)</f>
        <v>0</v>
      </c>
      <c r="BG535" s="246">
        <f>IFERROR(VLOOKUP(Q535,VOL_REC[],2,FALSE),0)</f>
        <v>0</v>
      </c>
      <c r="BH535" s="1710">
        <f t="shared" si="32"/>
        <v>16390635474.195313</v>
      </c>
      <c r="BI535" s="1710">
        <f t="shared" si="33"/>
        <v>15385942530.527355</v>
      </c>
      <c r="BJ535" s="1711">
        <f t="shared" si="34"/>
        <v>14320037.990554776</v>
      </c>
      <c r="BK535" s="1711">
        <f t="shared" si="35"/>
        <v>1.0652994083186349</v>
      </c>
      <c r="BL535">
        <f>BJ535</f>
        <v>14320037.990554776</v>
      </c>
      <c r="BO535">
        <f>BL535</f>
        <v>14320037.990554776</v>
      </c>
    </row>
    <row r="536" spans="3:67" x14ac:dyDescent="0.25">
      <c r="C536" s="246" t="s">
        <v>1886</v>
      </c>
      <c r="D536" s="246">
        <v>1</v>
      </c>
      <c r="E536" s="246">
        <v>2</v>
      </c>
      <c r="F536" s="246">
        <v>3</v>
      </c>
      <c r="G536" s="246">
        <v>10</v>
      </c>
      <c r="H536" s="246">
        <v>12</v>
      </c>
      <c r="I536" s="246">
        <v>15</v>
      </c>
      <c r="J536" s="246">
        <v>17</v>
      </c>
      <c r="K536" s="246"/>
      <c r="L536" s="246"/>
      <c r="M536" s="246"/>
      <c r="N536" s="246"/>
      <c r="O536" s="246"/>
      <c r="P536" s="246"/>
      <c r="Q536" s="246"/>
      <c r="R536" s="246">
        <f>IFERROR(VLOOKUP(D536,PROGRAMAS[],2,FALSE),0)</f>
        <v>97037803.679377079</v>
      </c>
      <c r="S536" s="246">
        <f>IFERROR(VLOOKUP(E536,PROGRAMAS[],2,FALSE),0)</f>
        <v>640501509.6821388</v>
      </c>
      <c r="T536" s="246">
        <f>IFERROR(VLOOKUP(F536,PROGRAMAS[],2,FALSE),0)</f>
        <v>3062327798.1525245</v>
      </c>
      <c r="U536" s="246">
        <f>IFERROR(VLOOKUP(G536,PROGRAMAS[],2,FALSE),0)</f>
        <v>4635315027.8751087</v>
      </c>
      <c r="V536" s="246">
        <f>IFERROR(VLOOKUP(H536,PROGRAMAS[],2,FALSE),0)</f>
        <v>764796700.79905891</v>
      </c>
      <c r="W536" s="246">
        <f>IFERROR(VLOOKUP(I536,PROGRAMAS[],2,FALSE),0)</f>
        <v>122159672.96346797</v>
      </c>
      <c r="X536" s="246">
        <f>IFERROR(VLOOKUP(J536,PROGRAMAS[],2,FALSE),0)</f>
        <v>1892779498.5211046</v>
      </c>
      <c r="Y536" s="246">
        <f>IFERROR(VLOOKUP(K536,PROGRAMAS[],2,FALSE),0)</f>
        <v>0</v>
      </c>
      <c r="Z536" s="246">
        <f>IFERROR(VLOOKUP(L536,PROGRAMAS[],2,FALSE),0)</f>
        <v>0</v>
      </c>
      <c r="AA536" s="246">
        <f>IFERROR(VLOOKUP(M536,PROGRAMAS[],2,FALSE),0)</f>
        <v>0</v>
      </c>
      <c r="AB536" s="246">
        <f>IFERROR(VLOOKUP(N536,PROGRAMAS[],2,FALSE),0)</f>
        <v>0</v>
      </c>
      <c r="AC536" s="246">
        <f>IFERROR(VLOOKUP(O536,PROGRAMAS[],2,FALSE),0)</f>
        <v>0</v>
      </c>
      <c r="AD536" s="246">
        <f>IFERROR(VLOOKUP(P536,PROGRAMAS[],2,FALSE),0)</f>
        <v>0</v>
      </c>
      <c r="AE536" s="246">
        <f>IFERROR(VLOOKUP(Q536,PROGRAMAS[],2,FALSE),0)</f>
        <v>0</v>
      </c>
      <c r="AF536" s="246">
        <f>IFERROR(VLOOKUP(D536,PROGRAMAS[],3,FALSE),0)</f>
        <v>841888629.31080008</v>
      </c>
      <c r="AG536" s="246">
        <f>IFERROR(VLOOKUP(E536,PROGRAMAS[],3,FALSE),0)</f>
        <v>3848980803.1642323</v>
      </c>
      <c r="AH536" s="246">
        <f>IFERROR(VLOOKUP(F536,PROGRAMAS[],3,FALSE),0)</f>
        <v>3394901471.387517</v>
      </c>
      <c r="AI536" s="246">
        <f>IFERROR(VLOOKUP(G536,PROGRAMAS[],3,FALSE),0)</f>
        <v>4099471734.9978786</v>
      </c>
      <c r="AJ536" s="246">
        <f>IFERROR(VLOOKUP(H536,PROGRAMAS[],3,FALSE),0)</f>
        <v>675517840.109828</v>
      </c>
      <c r="AK536" s="246">
        <f>IFERROR(VLOOKUP(I536,PROGRAMAS[],3,FALSE),0)</f>
        <v>118617452.52510804</v>
      </c>
      <c r="AL536" s="246">
        <f>IFERROR(VLOOKUP(J536,PROGRAMAS[],3,FALSE),0)</f>
        <v>948595847.09039903</v>
      </c>
      <c r="AM536" s="246">
        <f>IFERROR(VLOOKUP(K536,PROGRAMAS[],3,FALSE),0)</f>
        <v>0</v>
      </c>
      <c r="AN536" s="246">
        <f>IFERROR(VLOOKUP(L536,PROGRAMAS[],3,FALSE),0)</f>
        <v>0</v>
      </c>
      <c r="AO536" s="246">
        <f>IFERROR(VLOOKUP(M536,PROGRAMAS[],3,FALSE),0)</f>
        <v>0</v>
      </c>
      <c r="AP536" s="246">
        <f>IFERROR(VLOOKUP(N536,PROGRAMAS[],3,FALSE),0)</f>
        <v>0</v>
      </c>
      <c r="AQ536" s="246">
        <f>IFERROR(VLOOKUP(O536,PROGRAMAS[],3,FALSE),0)</f>
        <v>0</v>
      </c>
      <c r="AR536" s="246">
        <f>IFERROR(VLOOKUP(P536,PROGRAMAS[],3,FALSE),0)</f>
        <v>0</v>
      </c>
      <c r="AS536" s="246">
        <f>IFERROR(VLOOKUP(Q536,PROGRAMAS[],3,FALSE),0)</f>
        <v>0</v>
      </c>
      <c r="AT536" s="246">
        <f>IFERROR(VLOOKUP(D536,VOL_REC[],2,FALSE),0)</f>
        <v>0</v>
      </c>
      <c r="AU536" s="246">
        <f>IFERROR(VLOOKUP(E536,VOL_REC[],2,FALSE),0)</f>
        <v>0</v>
      </c>
      <c r="AV536" s="246">
        <f>IFERROR(VLOOKUP(F536,VOL_REC[],2,FALSE),0)</f>
        <v>11089674.200000001</v>
      </c>
      <c r="AW536" s="246">
        <f>IFERROR(VLOOKUP(G536,VOL_REC[],2,FALSE),0)</f>
        <v>1812240</v>
      </c>
      <c r="AX536" s="246">
        <f>IFERROR(VLOOKUP(H536,VOL_REC[],2,FALSE),0)</f>
        <v>240696.79238099116</v>
      </c>
      <c r="AY536" s="246">
        <f>IFERROR(VLOOKUP(I536,VOL_REC[],2,FALSE),0)</f>
        <v>105072</v>
      </c>
      <c r="AZ536" s="246">
        <f>IFERROR(VLOOKUP(J536,VOL_REC[],2,FALSE),0)</f>
        <v>740113.98115702497</v>
      </c>
      <c r="BA536" s="246">
        <f>IFERROR(VLOOKUP(K536,VOL_REC[],2,FALSE),0)</f>
        <v>0</v>
      </c>
      <c r="BB536" s="246">
        <f>IFERROR(VLOOKUP(L536,VOL_REC[],2,FALSE),0)</f>
        <v>0</v>
      </c>
      <c r="BC536" s="246">
        <f>IFERROR(VLOOKUP(M536,VOL_REC[],2,FALSE),0)</f>
        <v>0</v>
      </c>
      <c r="BD536" s="246">
        <f>IFERROR(VLOOKUP(N536,VOL_REC[],2,FALSE),0)</f>
        <v>0</v>
      </c>
      <c r="BE536" s="246">
        <f>IFERROR(VLOOKUP(O536,VOL_REC[],2,FALSE),0)</f>
        <v>0</v>
      </c>
      <c r="BF536" s="246">
        <f>IFERROR(VLOOKUP(P536,VOL_REC[],2,FALSE),0)</f>
        <v>0</v>
      </c>
      <c r="BG536" s="246">
        <f>IFERROR(VLOOKUP(Q536,VOL_REC[],2,FALSE),0)</f>
        <v>0</v>
      </c>
      <c r="BH536" s="1710">
        <f t="shared" si="32"/>
        <v>11214918011.672781</v>
      </c>
      <c r="BI536" s="1710">
        <f t="shared" si="33"/>
        <v>13927973778.585764</v>
      </c>
      <c r="BJ536" s="1711">
        <f t="shared" si="34"/>
        <v>13987796.973538017</v>
      </c>
      <c r="BK536" s="1711">
        <f t="shared" si="35"/>
        <v>0.80520815087372566</v>
      </c>
    </row>
    <row r="537" spans="3:67" x14ac:dyDescent="0.25">
      <c r="C537" s="246" t="s">
        <v>1887</v>
      </c>
      <c r="D537" s="246">
        <v>1</v>
      </c>
      <c r="E537" s="246">
        <v>2</v>
      </c>
      <c r="F537" s="246">
        <v>3</v>
      </c>
      <c r="G537" s="246">
        <v>10</v>
      </c>
      <c r="H537" s="246">
        <v>12</v>
      </c>
      <c r="I537" s="246">
        <v>16</v>
      </c>
      <c r="J537" s="246">
        <v>17</v>
      </c>
      <c r="K537" s="246"/>
      <c r="L537" s="246"/>
      <c r="M537" s="246"/>
      <c r="N537" s="246"/>
      <c r="O537" s="246"/>
      <c r="P537" s="246"/>
      <c r="Q537" s="246"/>
      <c r="R537" s="246">
        <f>IFERROR(VLOOKUP(D537,PROGRAMAS[],2,FALSE),0)</f>
        <v>97037803.679377079</v>
      </c>
      <c r="S537" s="246">
        <f>IFERROR(VLOOKUP(E537,PROGRAMAS[],2,FALSE),0)</f>
        <v>640501509.6821388</v>
      </c>
      <c r="T537" s="246">
        <f>IFERROR(VLOOKUP(F537,PROGRAMAS[],2,FALSE),0)</f>
        <v>3062327798.1525245</v>
      </c>
      <c r="U537" s="246">
        <f>IFERROR(VLOOKUP(G537,PROGRAMAS[],2,FALSE),0)</f>
        <v>4635315027.8751087</v>
      </c>
      <c r="V537" s="246">
        <f>IFERROR(VLOOKUP(H537,PROGRAMAS[],2,FALSE),0)</f>
        <v>764796700.79905891</v>
      </c>
      <c r="W537" s="246">
        <f>IFERROR(VLOOKUP(I537,PROGRAMAS[],2,FALSE),0)</f>
        <v>7068496961.0436354</v>
      </c>
      <c r="X537" s="246">
        <f>IFERROR(VLOOKUP(J537,PROGRAMAS[],2,FALSE),0)</f>
        <v>1892779498.5211046</v>
      </c>
      <c r="Y537" s="246">
        <f>IFERROR(VLOOKUP(K537,PROGRAMAS[],2,FALSE),0)</f>
        <v>0</v>
      </c>
      <c r="Z537" s="246">
        <f>IFERROR(VLOOKUP(L537,PROGRAMAS[],2,FALSE),0)</f>
        <v>0</v>
      </c>
      <c r="AA537" s="246">
        <f>IFERROR(VLOOKUP(M537,PROGRAMAS[],2,FALSE),0)</f>
        <v>0</v>
      </c>
      <c r="AB537" s="246">
        <f>IFERROR(VLOOKUP(N537,PROGRAMAS[],2,FALSE),0)</f>
        <v>0</v>
      </c>
      <c r="AC537" s="246">
        <f>IFERROR(VLOOKUP(O537,PROGRAMAS[],2,FALSE),0)</f>
        <v>0</v>
      </c>
      <c r="AD537" s="246">
        <f>IFERROR(VLOOKUP(P537,PROGRAMAS[],2,FALSE),0)</f>
        <v>0</v>
      </c>
      <c r="AE537" s="246">
        <f>IFERROR(VLOOKUP(Q537,PROGRAMAS[],2,FALSE),0)</f>
        <v>0</v>
      </c>
      <c r="AF537" s="246">
        <f>IFERROR(VLOOKUP(D537,PROGRAMAS[],3,FALSE),0)</f>
        <v>841888629.31080008</v>
      </c>
      <c r="AG537" s="246">
        <f>IFERROR(VLOOKUP(E537,PROGRAMAS[],3,FALSE),0)</f>
        <v>3848980803.1642323</v>
      </c>
      <c r="AH537" s="246">
        <f>IFERROR(VLOOKUP(F537,PROGRAMAS[],3,FALSE),0)</f>
        <v>3394901471.387517</v>
      </c>
      <c r="AI537" s="246">
        <f>IFERROR(VLOOKUP(G537,PROGRAMAS[],3,FALSE),0)</f>
        <v>4099471734.9978786</v>
      </c>
      <c r="AJ537" s="246">
        <f>IFERROR(VLOOKUP(H537,PROGRAMAS[],3,FALSE),0)</f>
        <v>675517840.109828</v>
      </c>
      <c r="AK537" s="246">
        <f>IFERROR(VLOOKUP(I537,PROGRAMAS[],3,FALSE),0)</f>
        <v>2406564599.0319901</v>
      </c>
      <c r="AL537" s="246">
        <f>IFERROR(VLOOKUP(J537,PROGRAMAS[],3,FALSE),0)</f>
        <v>948595847.09039903</v>
      </c>
      <c r="AM537" s="246">
        <f>IFERROR(VLOOKUP(K537,PROGRAMAS[],3,FALSE),0)</f>
        <v>0</v>
      </c>
      <c r="AN537" s="246">
        <f>IFERROR(VLOOKUP(L537,PROGRAMAS[],3,FALSE),0)</f>
        <v>0</v>
      </c>
      <c r="AO537" s="246">
        <f>IFERROR(VLOOKUP(M537,PROGRAMAS[],3,FALSE),0)</f>
        <v>0</v>
      </c>
      <c r="AP537" s="246">
        <f>IFERROR(VLOOKUP(N537,PROGRAMAS[],3,FALSE),0)</f>
        <v>0</v>
      </c>
      <c r="AQ537" s="246">
        <f>IFERROR(VLOOKUP(O537,PROGRAMAS[],3,FALSE),0)</f>
        <v>0</v>
      </c>
      <c r="AR537" s="246">
        <f>IFERROR(VLOOKUP(P537,PROGRAMAS[],3,FALSE),0)</f>
        <v>0</v>
      </c>
      <c r="AS537" s="246">
        <f>IFERROR(VLOOKUP(Q537,PROGRAMAS[],3,FALSE),0)</f>
        <v>0</v>
      </c>
      <c r="AT537" s="246">
        <f>IFERROR(VLOOKUP(D537,VOL_REC[],2,FALSE),0)</f>
        <v>0</v>
      </c>
      <c r="AU537" s="246">
        <f>IFERROR(VLOOKUP(E537,VOL_REC[],2,FALSE),0)</f>
        <v>0</v>
      </c>
      <c r="AV537" s="246">
        <f>IFERROR(VLOOKUP(F537,VOL_REC[],2,FALSE),0)</f>
        <v>11089674.200000001</v>
      </c>
      <c r="AW537" s="246">
        <f>IFERROR(VLOOKUP(G537,VOL_REC[],2,FALSE),0)</f>
        <v>1812240</v>
      </c>
      <c r="AX537" s="246">
        <f>IFERROR(VLOOKUP(H537,VOL_REC[],2,FALSE),0)</f>
        <v>240696.79238099116</v>
      </c>
      <c r="AY537" s="246">
        <f>IFERROR(VLOOKUP(I537,VOL_REC[],2,FALSE),0)</f>
        <v>1072354.9981737854</v>
      </c>
      <c r="AZ537" s="246">
        <f>IFERROR(VLOOKUP(J537,VOL_REC[],2,FALSE),0)</f>
        <v>740113.98115702497</v>
      </c>
      <c r="BA537" s="246">
        <f>IFERROR(VLOOKUP(K537,VOL_REC[],2,FALSE),0)</f>
        <v>0</v>
      </c>
      <c r="BB537" s="246">
        <f>IFERROR(VLOOKUP(L537,VOL_REC[],2,FALSE),0)</f>
        <v>0</v>
      </c>
      <c r="BC537" s="246">
        <f>IFERROR(VLOOKUP(M537,VOL_REC[],2,FALSE),0)</f>
        <v>0</v>
      </c>
      <c r="BD537" s="246">
        <f>IFERROR(VLOOKUP(N537,VOL_REC[],2,FALSE),0)</f>
        <v>0</v>
      </c>
      <c r="BE537" s="246">
        <f>IFERROR(VLOOKUP(O537,VOL_REC[],2,FALSE),0)</f>
        <v>0</v>
      </c>
      <c r="BF537" s="246">
        <f>IFERROR(VLOOKUP(P537,VOL_REC[],2,FALSE),0)</f>
        <v>0</v>
      </c>
      <c r="BG537" s="246">
        <f>IFERROR(VLOOKUP(Q537,VOL_REC[],2,FALSE),0)</f>
        <v>0</v>
      </c>
      <c r="BH537" s="1710">
        <f t="shared" si="32"/>
        <v>18161255299.752945</v>
      </c>
      <c r="BI537" s="1710">
        <f t="shared" si="33"/>
        <v>16215920925.092646</v>
      </c>
      <c r="BJ537" s="1711">
        <f t="shared" si="34"/>
        <v>14955079.971711801</v>
      </c>
      <c r="BK537" s="1711">
        <f t="shared" si="35"/>
        <v>1.119964470944729</v>
      </c>
      <c r="BL537">
        <f>BJ537</f>
        <v>14955079.971711801</v>
      </c>
      <c r="BO537">
        <f>BL537</f>
        <v>14955079.971711801</v>
      </c>
    </row>
    <row r="538" spans="3:67" x14ac:dyDescent="0.25">
      <c r="C538" s="246" t="s">
        <v>1888</v>
      </c>
      <c r="D538" s="246">
        <v>1</v>
      </c>
      <c r="E538" s="246">
        <v>2</v>
      </c>
      <c r="F538" s="246">
        <v>3</v>
      </c>
      <c r="G538" s="246">
        <v>10</v>
      </c>
      <c r="H538" s="246">
        <v>13</v>
      </c>
      <c r="I538" s="246">
        <v>14</v>
      </c>
      <c r="J538" s="246">
        <v>15</v>
      </c>
      <c r="K538" s="246"/>
      <c r="L538" s="246"/>
      <c r="M538" s="246"/>
      <c r="N538" s="246"/>
      <c r="O538" s="246"/>
      <c r="P538" s="246"/>
      <c r="Q538" s="246"/>
      <c r="R538" s="246">
        <f>IFERROR(VLOOKUP(D538,PROGRAMAS[],2,FALSE),0)</f>
        <v>97037803.679377079</v>
      </c>
      <c r="S538" s="246">
        <f>IFERROR(VLOOKUP(E538,PROGRAMAS[],2,FALSE),0)</f>
        <v>640501509.6821388</v>
      </c>
      <c r="T538" s="246">
        <f>IFERROR(VLOOKUP(F538,PROGRAMAS[],2,FALSE),0)</f>
        <v>3062327798.1525245</v>
      </c>
      <c r="U538" s="246">
        <f>IFERROR(VLOOKUP(G538,PROGRAMAS[],2,FALSE),0)</f>
        <v>4635315027.8751087</v>
      </c>
      <c r="V538" s="246">
        <f>IFERROR(VLOOKUP(H538,PROGRAMAS[],2,FALSE),0)</f>
        <v>3776538594.4604583</v>
      </c>
      <c r="W538" s="246">
        <f>IFERROR(VLOOKUP(I538,PROGRAMAS[],2,FALSE),0)</f>
        <v>54223862.645839565</v>
      </c>
      <c r="X538" s="246">
        <f>IFERROR(VLOOKUP(J538,PROGRAMAS[],2,FALSE),0)</f>
        <v>122159672.96346797</v>
      </c>
      <c r="Y538" s="246">
        <f>IFERROR(VLOOKUP(K538,PROGRAMAS[],2,FALSE),0)</f>
        <v>0</v>
      </c>
      <c r="Z538" s="246">
        <f>IFERROR(VLOOKUP(L538,PROGRAMAS[],2,FALSE),0)</f>
        <v>0</v>
      </c>
      <c r="AA538" s="246">
        <f>IFERROR(VLOOKUP(M538,PROGRAMAS[],2,FALSE),0)</f>
        <v>0</v>
      </c>
      <c r="AB538" s="246">
        <f>IFERROR(VLOOKUP(N538,PROGRAMAS[],2,FALSE),0)</f>
        <v>0</v>
      </c>
      <c r="AC538" s="246">
        <f>IFERROR(VLOOKUP(O538,PROGRAMAS[],2,FALSE),0)</f>
        <v>0</v>
      </c>
      <c r="AD538" s="246">
        <f>IFERROR(VLOOKUP(P538,PROGRAMAS[],2,FALSE),0)</f>
        <v>0</v>
      </c>
      <c r="AE538" s="246">
        <f>IFERROR(VLOOKUP(Q538,PROGRAMAS[],2,FALSE),0)</f>
        <v>0</v>
      </c>
      <c r="AF538" s="246">
        <f>IFERROR(VLOOKUP(D538,PROGRAMAS[],3,FALSE),0)</f>
        <v>841888629.31080008</v>
      </c>
      <c r="AG538" s="246">
        <f>IFERROR(VLOOKUP(E538,PROGRAMAS[],3,FALSE),0)</f>
        <v>3848980803.1642323</v>
      </c>
      <c r="AH538" s="246">
        <f>IFERROR(VLOOKUP(F538,PROGRAMAS[],3,FALSE),0)</f>
        <v>3394901471.387517</v>
      </c>
      <c r="AI538" s="246">
        <f>IFERROR(VLOOKUP(G538,PROGRAMAS[],3,FALSE),0)</f>
        <v>4099471734.9978786</v>
      </c>
      <c r="AJ538" s="246">
        <f>IFERROR(VLOOKUP(H538,PROGRAMAS[],3,FALSE),0)</f>
        <v>2392571243.5584412</v>
      </c>
      <c r="AK538" s="246">
        <f>IFERROR(VLOOKUP(I538,PROGRAMAS[],3,FALSE),0)</f>
        <v>31865326.38096505</v>
      </c>
      <c r="AL538" s="246">
        <f>IFERROR(VLOOKUP(J538,PROGRAMAS[],3,FALSE),0)</f>
        <v>118617452.52510804</v>
      </c>
      <c r="AM538" s="246">
        <f>IFERROR(VLOOKUP(K538,PROGRAMAS[],3,FALSE),0)</f>
        <v>0</v>
      </c>
      <c r="AN538" s="246">
        <f>IFERROR(VLOOKUP(L538,PROGRAMAS[],3,FALSE),0)</f>
        <v>0</v>
      </c>
      <c r="AO538" s="246">
        <f>IFERROR(VLOOKUP(M538,PROGRAMAS[],3,FALSE),0)</f>
        <v>0</v>
      </c>
      <c r="AP538" s="246">
        <f>IFERROR(VLOOKUP(N538,PROGRAMAS[],3,FALSE),0)</f>
        <v>0</v>
      </c>
      <c r="AQ538" s="246">
        <f>IFERROR(VLOOKUP(O538,PROGRAMAS[],3,FALSE),0)</f>
        <v>0</v>
      </c>
      <c r="AR538" s="246">
        <f>IFERROR(VLOOKUP(P538,PROGRAMAS[],3,FALSE),0)</f>
        <v>0</v>
      </c>
      <c r="AS538" s="246">
        <f>IFERROR(VLOOKUP(Q538,PROGRAMAS[],3,FALSE),0)</f>
        <v>0</v>
      </c>
      <c r="AT538" s="246">
        <f>IFERROR(VLOOKUP(D538,VOL_REC[],2,FALSE),0)</f>
        <v>0</v>
      </c>
      <c r="AU538" s="246">
        <f>IFERROR(VLOOKUP(E538,VOL_REC[],2,FALSE),0)</f>
        <v>0</v>
      </c>
      <c r="AV538" s="246">
        <f>IFERROR(VLOOKUP(F538,VOL_REC[],2,FALSE),0)</f>
        <v>11089674.200000001</v>
      </c>
      <c r="AW538" s="246">
        <f>IFERROR(VLOOKUP(G538,VOL_REC[],2,FALSE),0)</f>
        <v>1812240</v>
      </c>
      <c r="AX538" s="246">
        <f>IFERROR(VLOOKUP(H538,VOL_REC[],2,FALSE),0)</f>
        <v>663244.80000000016</v>
      </c>
      <c r="AY538" s="246">
        <f>IFERROR(VLOOKUP(I538,VOL_REC[],2,FALSE),0)</f>
        <v>17074.045034105649</v>
      </c>
      <c r="AZ538" s="246">
        <f>IFERROR(VLOOKUP(J538,VOL_REC[],2,FALSE),0)</f>
        <v>105072</v>
      </c>
      <c r="BA538" s="246">
        <f>IFERROR(VLOOKUP(K538,VOL_REC[],2,FALSE),0)</f>
        <v>0</v>
      </c>
      <c r="BB538" s="246">
        <f>IFERROR(VLOOKUP(L538,VOL_REC[],2,FALSE),0)</f>
        <v>0</v>
      </c>
      <c r="BC538" s="246">
        <f>IFERROR(VLOOKUP(M538,VOL_REC[],2,FALSE),0)</f>
        <v>0</v>
      </c>
      <c r="BD538" s="246">
        <f>IFERROR(VLOOKUP(N538,VOL_REC[],2,FALSE),0)</f>
        <v>0</v>
      </c>
      <c r="BE538" s="246">
        <f>IFERROR(VLOOKUP(O538,VOL_REC[],2,FALSE),0)</f>
        <v>0</v>
      </c>
      <c r="BF538" s="246">
        <f>IFERROR(VLOOKUP(P538,VOL_REC[],2,FALSE),0)</f>
        <v>0</v>
      </c>
      <c r="BG538" s="246">
        <f>IFERROR(VLOOKUP(Q538,VOL_REC[],2,FALSE),0)</f>
        <v>0</v>
      </c>
      <c r="BH538" s="1710">
        <f t="shared" si="32"/>
        <v>12388104269.458916</v>
      </c>
      <c r="BI538" s="1710">
        <f t="shared" si="33"/>
        <v>14728296661.324942</v>
      </c>
      <c r="BJ538" s="1711">
        <f t="shared" si="34"/>
        <v>13687305.045034107</v>
      </c>
      <c r="BK538" s="1711">
        <f t="shared" si="35"/>
        <v>0.84110909457635108</v>
      </c>
    </row>
    <row r="539" spans="3:67" x14ac:dyDescent="0.25">
      <c r="C539" s="246" t="s">
        <v>1889</v>
      </c>
      <c r="D539" s="246">
        <v>1</v>
      </c>
      <c r="E539" s="246">
        <v>2</v>
      </c>
      <c r="F539" s="246">
        <v>3</v>
      </c>
      <c r="G539" s="246">
        <v>10</v>
      </c>
      <c r="H539" s="246">
        <v>13</v>
      </c>
      <c r="I539" s="246">
        <v>14</v>
      </c>
      <c r="J539" s="246">
        <v>16</v>
      </c>
      <c r="K539" s="246"/>
      <c r="L539" s="246"/>
      <c r="M539" s="246"/>
      <c r="N539" s="246"/>
      <c r="O539" s="246"/>
      <c r="P539" s="246"/>
      <c r="Q539" s="246"/>
      <c r="R539" s="246">
        <f>IFERROR(VLOOKUP(D539,PROGRAMAS[],2,FALSE),0)</f>
        <v>97037803.679377079</v>
      </c>
      <c r="S539" s="246">
        <f>IFERROR(VLOOKUP(E539,PROGRAMAS[],2,FALSE),0)</f>
        <v>640501509.6821388</v>
      </c>
      <c r="T539" s="246">
        <f>IFERROR(VLOOKUP(F539,PROGRAMAS[],2,FALSE),0)</f>
        <v>3062327798.1525245</v>
      </c>
      <c r="U539" s="246">
        <f>IFERROR(VLOOKUP(G539,PROGRAMAS[],2,FALSE),0)</f>
        <v>4635315027.8751087</v>
      </c>
      <c r="V539" s="246">
        <f>IFERROR(VLOOKUP(H539,PROGRAMAS[],2,FALSE),0)</f>
        <v>3776538594.4604583</v>
      </c>
      <c r="W539" s="246">
        <f>IFERROR(VLOOKUP(I539,PROGRAMAS[],2,FALSE),0)</f>
        <v>54223862.645839565</v>
      </c>
      <c r="X539" s="246">
        <f>IFERROR(VLOOKUP(J539,PROGRAMAS[],2,FALSE),0)</f>
        <v>7068496961.0436354</v>
      </c>
      <c r="Y539" s="246">
        <f>IFERROR(VLOOKUP(K539,PROGRAMAS[],2,FALSE),0)</f>
        <v>0</v>
      </c>
      <c r="Z539" s="246">
        <f>IFERROR(VLOOKUP(L539,PROGRAMAS[],2,FALSE),0)</f>
        <v>0</v>
      </c>
      <c r="AA539" s="246">
        <f>IFERROR(VLOOKUP(M539,PROGRAMAS[],2,FALSE),0)</f>
        <v>0</v>
      </c>
      <c r="AB539" s="246">
        <f>IFERROR(VLOOKUP(N539,PROGRAMAS[],2,FALSE),0)</f>
        <v>0</v>
      </c>
      <c r="AC539" s="246">
        <f>IFERROR(VLOOKUP(O539,PROGRAMAS[],2,FALSE),0)</f>
        <v>0</v>
      </c>
      <c r="AD539" s="246">
        <f>IFERROR(VLOOKUP(P539,PROGRAMAS[],2,FALSE),0)</f>
        <v>0</v>
      </c>
      <c r="AE539" s="246">
        <f>IFERROR(VLOOKUP(Q539,PROGRAMAS[],2,FALSE),0)</f>
        <v>0</v>
      </c>
      <c r="AF539" s="246">
        <f>IFERROR(VLOOKUP(D539,PROGRAMAS[],3,FALSE),0)</f>
        <v>841888629.31080008</v>
      </c>
      <c r="AG539" s="246">
        <f>IFERROR(VLOOKUP(E539,PROGRAMAS[],3,FALSE),0)</f>
        <v>3848980803.1642323</v>
      </c>
      <c r="AH539" s="246">
        <f>IFERROR(VLOOKUP(F539,PROGRAMAS[],3,FALSE),0)</f>
        <v>3394901471.387517</v>
      </c>
      <c r="AI539" s="246">
        <f>IFERROR(VLOOKUP(G539,PROGRAMAS[],3,FALSE),0)</f>
        <v>4099471734.9978786</v>
      </c>
      <c r="AJ539" s="246">
        <f>IFERROR(VLOOKUP(H539,PROGRAMAS[],3,FALSE),0)</f>
        <v>2392571243.5584412</v>
      </c>
      <c r="AK539" s="246">
        <f>IFERROR(VLOOKUP(I539,PROGRAMAS[],3,FALSE),0)</f>
        <v>31865326.38096505</v>
      </c>
      <c r="AL539" s="246">
        <f>IFERROR(VLOOKUP(J539,PROGRAMAS[],3,FALSE),0)</f>
        <v>2406564599.0319901</v>
      </c>
      <c r="AM539" s="246">
        <f>IFERROR(VLOOKUP(K539,PROGRAMAS[],3,FALSE),0)</f>
        <v>0</v>
      </c>
      <c r="AN539" s="246">
        <f>IFERROR(VLOOKUP(L539,PROGRAMAS[],3,FALSE),0)</f>
        <v>0</v>
      </c>
      <c r="AO539" s="246">
        <f>IFERROR(VLOOKUP(M539,PROGRAMAS[],3,FALSE),0)</f>
        <v>0</v>
      </c>
      <c r="AP539" s="246">
        <f>IFERROR(VLOOKUP(N539,PROGRAMAS[],3,FALSE),0)</f>
        <v>0</v>
      </c>
      <c r="AQ539" s="246">
        <f>IFERROR(VLOOKUP(O539,PROGRAMAS[],3,FALSE),0)</f>
        <v>0</v>
      </c>
      <c r="AR539" s="246">
        <f>IFERROR(VLOOKUP(P539,PROGRAMAS[],3,FALSE),0)</f>
        <v>0</v>
      </c>
      <c r="AS539" s="246">
        <f>IFERROR(VLOOKUP(Q539,PROGRAMAS[],3,FALSE),0)</f>
        <v>0</v>
      </c>
      <c r="AT539" s="246">
        <f>IFERROR(VLOOKUP(D539,VOL_REC[],2,FALSE),0)</f>
        <v>0</v>
      </c>
      <c r="AU539" s="246">
        <f>IFERROR(VLOOKUP(E539,VOL_REC[],2,FALSE),0)</f>
        <v>0</v>
      </c>
      <c r="AV539" s="246">
        <f>IFERROR(VLOOKUP(F539,VOL_REC[],2,FALSE),0)</f>
        <v>11089674.200000001</v>
      </c>
      <c r="AW539" s="246">
        <f>IFERROR(VLOOKUP(G539,VOL_REC[],2,FALSE),0)</f>
        <v>1812240</v>
      </c>
      <c r="AX539" s="246">
        <f>IFERROR(VLOOKUP(H539,VOL_REC[],2,FALSE),0)</f>
        <v>663244.80000000016</v>
      </c>
      <c r="AY539" s="246">
        <f>IFERROR(VLOOKUP(I539,VOL_REC[],2,FALSE),0)</f>
        <v>17074.045034105649</v>
      </c>
      <c r="AZ539" s="246">
        <f>IFERROR(VLOOKUP(J539,VOL_REC[],2,FALSE),0)</f>
        <v>1072354.9981737854</v>
      </c>
      <c r="BA539" s="246">
        <f>IFERROR(VLOOKUP(K539,VOL_REC[],2,FALSE),0)</f>
        <v>0</v>
      </c>
      <c r="BB539" s="246">
        <f>IFERROR(VLOOKUP(L539,VOL_REC[],2,FALSE),0)</f>
        <v>0</v>
      </c>
      <c r="BC539" s="246">
        <f>IFERROR(VLOOKUP(M539,VOL_REC[],2,FALSE),0)</f>
        <v>0</v>
      </c>
      <c r="BD539" s="246">
        <f>IFERROR(VLOOKUP(N539,VOL_REC[],2,FALSE),0)</f>
        <v>0</v>
      </c>
      <c r="BE539" s="246">
        <f>IFERROR(VLOOKUP(O539,VOL_REC[],2,FALSE),0)</f>
        <v>0</v>
      </c>
      <c r="BF539" s="246">
        <f>IFERROR(VLOOKUP(P539,VOL_REC[],2,FALSE),0)</f>
        <v>0</v>
      </c>
      <c r="BG539" s="246">
        <f>IFERROR(VLOOKUP(Q539,VOL_REC[],2,FALSE),0)</f>
        <v>0</v>
      </c>
      <c r="BH539" s="1710">
        <f t="shared" si="32"/>
        <v>19334441557.539082</v>
      </c>
      <c r="BI539" s="1710">
        <f t="shared" si="33"/>
        <v>17016243807.831823</v>
      </c>
      <c r="BJ539" s="1711">
        <f t="shared" si="34"/>
        <v>14654588.043207891</v>
      </c>
      <c r="BK539" s="1711">
        <f t="shared" si="35"/>
        <v>1.1362343990769745</v>
      </c>
      <c r="BL539">
        <f>BJ539</f>
        <v>14654588.043207891</v>
      </c>
      <c r="BO539">
        <f>BL539</f>
        <v>14654588.043207891</v>
      </c>
    </row>
    <row r="540" spans="3:67" x14ac:dyDescent="0.25">
      <c r="C540" s="246" t="s">
        <v>1890</v>
      </c>
      <c r="D540" s="246">
        <v>1</v>
      </c>
      <c r="E540" s="246">
        <v>2</v>
      </c>
      <c r="F540" s="246">
        <v>3</v>
      </c>
      <c r="G540" s="246">
        <v>10</v>
      </c>
      <c r="H540" s="246">
        <v>13</v>
      </c>
      <c r="I540" s="246">
        <v>14</v>
      </c>
      <c r="J540" s="246">
        <v>17</v>
      </c>
      <c r="K540" s="246"/>
      <c r="L540" s="246"/>
      <c r="M540" s="246"/>
      <c r="N540" s="246"/>
      <c r="O540" s="246"/>
      <c r="P540" s="246"/>
      <c r="Q540" s="246"/>
      <c r="R540" s="246">
        <f>IFERROR(VLOOKUP(D540,PROGRAMAS[],2,FALSE),0)</f>
        <v>97037803.679377079</v>
      </c>
      <c r="S540" s="246">
        <f>IFERROR(VLOOKUP(E540,PROGRAMAS[],2,FALSE),0)</f>
        <v>640501509.6821388</v>
      </c>
      <c r="T540" s="246">
        <f>IFERROR(VLOOKUP(F540,PROGRAMAS[],2,FALSE),0)</f>
        <v>3062327798.1525245</v>
      </c>
      <c r="U540" s="246">
        <f>IFERROR(VLOOKUP(G540,PROGRAMAS[],2,FALSE),0)</f>
        <v>4635315027.8751087</v>
      </c>
      <c r="V540" s="246">
        <f>IFERROR(VLOOKUP(H540,PROGRAMAS[],2,FALSE),0)</f>
        <v>3776538594.4604583</v>
      </c>
      <c r="W540" s="246">
        <f>IFERROR(VLOOKUP(I540,PROGRAMAS[],2,FALSE),0)</f>
        <v>54223862.645839565</v>
      </c>
      <c r="X540" s="246">
        <f>IFERROR(VLOOKUP(J540,PROGRAMAS[],2,FALSE),0)</f>
        <v>1892779498.5211046</v>
      </c>
      <c r="Y540" s="246">
        <f>IFERROR(VLOOKUP(K540,PROGRAMAS[],2,FALSE),0)</f>
        <v>0</v>
      </c>
      <c r="Z540" s="246">
        <f>IFERROR(VLOOKUP(L540,PROGRAMAS[],2,FALSE),0)</f>
        <v>0</v>
      </c>
      <c r="AA540" s="246">
        <f>IFERROR(VLOOKUP(M540,PROGRAMAS[],2,FALSE),0)</f>
        <v>0</v>
      </c>
      <c r="AB540" s="246">
        <f>IFERROR(VLOOKUP(N540,PROGRAMAS[],2,FALSE),0)</f>
        <v>0</v>
      </c>
      <c r="AC540" s="246">
        <f>IFERROR(VLOOKUP(O540,PROGRAMAS[],2,FALSE),0)</f>
        <v>0</v>
      </c>
      <c r="AD540" s="246">
        <f>IFERROR(VLOOKUP(P540,PROGRAMAS[],2,FALSE),0)</f>
        <v>0</v>
      </c>
      <c r="AE540" s="246">
        <f>IFERROR(VLOOKUP(Q540,PROGRAMAS[],2,FALSE),0)</f>
        <v>0</v>
      </c>
      <c r="AF540" s="246">
        <f>IFERROR(VLOOKUP(D540,PROGRAMAS[],3,FALSE),0)</f>
        <v>841888629.31080008</v>
      </c>
      <c r="AG540" s="246">
        <f>IFERROR(VLOOKUP(E540,PROGRAMAS[],3,FALSE),0)</f>
        <v>3848980803.1642323</v>
      </c>
      <c r="AH540" s="246">
        <f>IFERROR(VLOOKUP(F540,PROGRAMAS[],3,FALSE),0)</f>
        <v>3394901471.387517</v>
      </c>
      <c r="AI540" s="246">
        <f>IFERROR(VLOOKUP(G540,PROGRAMAS[],3,FALSE),0)</f>
        <v>4099471734.9978786</v>
      </c>
      <c r="AJ540" s="246">
        <f>IFERROR(VLOOKUP(H540,PROGRAMAS[],3,FALSE),0)</f>
        <v>2392571243.5584412</v>
      </c>
      <c r="AK540" s="246">
        <f>IFERROR(VLOOKUP(I540,PROGRAMAS[],3,FALSE),0)</f>
        <v>31865326.38096505</v>
      </c>
      <c r="AL540" s="246">
        <f>IFERROR(VLOOKUP(J540,PROGRAMAS[],3,FALSE),0)</f>
        <v>948595847.09039903</v>
      </c>
      <c r="AM540" s="246">
        <f>IFERROR(VLOOKUP(K540,PROGRAMAS[],3,FALSE),0)</f>
        <v>0</v>
      </c>
      <c r="AN540" s="246">
        <f>IFERROR(VLOOKUP(L540,PROGRAMAS[],3,FALSE),0)</f>
        <v>0</v>
      </c>
      <c r="AO540" s="246">
        <f>IFERROR(VLOOKUP(M540,PROGRAMAS[],3,FALSE),0)</f>
        <v>0</v>
      </c>
      <c r="AP540" s="246">
        <f>IFERROR(VLOOKUP(N540,PROGRAMAS[],3,FALSE),0)</f>
        <v>0</v>
      </c>
      <c r="AQ540" s="246">
        <f>IFERROR(VLOOKUP(O540,PROGRAMAS[],3,FALSE),0)</f>
        <v>0</v>
      </c>
      <c r="AR540" s="246">
        <f>IFERROR(VLOOKUP(P540,PROGRAMAS[],3,FALSE),0)</f>
        <v>0</v>
      </c>
      <c r="AS540" s="246">
        <f>IFERROR(VLOOKUP(Q540,PROGRAMAS[],3,FALSE),0)</f>
        <v>0</v>
      </c>
      <c r="AT540" s="246">
        <f>IFERROR(VLOOKUP(D540,VOL_REC[],2,FALSE),0)</f>
        <v>0</v>
      </c>
      <c r="AU540" s="246">
        <f>IFERROR(VLOOKUP(E540,VOL_REC[],2,FALSE),0)</f>
        <v>0</v>
      </c>
      <c r="AV540" s="246">
        <f>IFERROR(VLOOKUP(F540,VOL_REC[],2,FALSE),0)</f>
        <v>11089674.200000001</v>
      </c>
      <c r="AW540" s="246">
        <f>IFERROR(VLOOKUP(G540,VOL_REC[],2,FALSE),0)</f>
        <v>1812240</v>
      </c>
      <c r="AX540" s="246">
        <f>IFERROR(VLOOKUP(H540,VOL_REC[],2,FALSE),0)</f>
        <v>663244.80000000016</v>
      </c>
      <c r="AY540" s="246">
        <f>IFERROR(VLOOKUP(I540,VOL_REC[],2,FALSE),0)</f>
        <v>17074.045034105649</v>
      </c>
      <c r="AZ540" s="246">
        <f>IFERROR(VLOOKUP(J540,VOL_REC[],2,FALSE),0)</f>
        <v>740113.98115702497</v>
      </c>
      <c r="BA540" s="246">
        <f>IFERROR(VLOOKUP(K540,VOL_REC[],2,FALSE),0)</f>
        <v>0</v>
      </c>
      <c r="BB540" s="246">
        <f>IFERROR(VLOOKUP(L540,VOL_REC[],2,FALSE),0)</f>
        <v>0</v>
      </c>
      <c r="BC540" s="246">
        <f>IFERROR(VLOOKUP(M540,VOL_REC[],2,FALSE),0)</f>
        <v>0</v>
      </c>
      <c r="BD540" s="246">
        <f>IFERROR(VLOOKUP(N540,VOL_REC[],2,FALSE),0)</f>
        <v>0</v>
      </c>
      <c r="BE540" s="246">
        <f>IFERROR(VLOOKUP(O540,VOL_REC[],2,FALSE),0)</f>
        <v>0</v>
      </c>
      <c r="BF540" s="246">
        <f>IFERROR(VLOOKUP(P540,VOL_REC[],2,FALSE),0)</f>
        <v>0</v>
      </c>
      <c r="BG540" s="246">
        <f>IFERROR(VLOOKUP(Q540,VOL_REC[],2,FALSE),0)</f>
        <v>0</v>
      </c>
      <c r="BH540" s="1710">
        <f t="shared" si="32"/>
        <v>14158724095.016552</v>
      </c>
      <c r="BI540" s="1710">
        <f t="shared" si="33"/>
        <v>15558275055.890232</v>
      </c>
      <c r="BJ540" s="1711">
        <f t="shared" si="34"/>
        <v>14322347.026191132</v>
      </c>
      <c r="BK540" s="1711">
        <f t="shared" si="35"/>
        <v>0.91004459325689691</v>
      </c>
    </row>
    <row r="541" spans="3:67" x14ac:dyDescent="0.25">
      <c r="C541" s="246" t="s">
        <v>1891</v>
      </c>
      <c r="D541" s="246">
        <v>1</v>
      </c>
      <c r="E541" s="246">
        <v>2</v>
      </c>
      <c r="F541" s="246">
        <v>3</v>
      </c>
      <c r="G541" s="246">
        <v>10</v>
      </c>
      <c r="H541" s="246">
        <v>13</v>
      </c>
      <c r="I541" s="246">
        <v>15</v>
      </c>
      <c r="J541" s="246">
        <v>16</v>
      </c>
      <c r="K541" s="246"/>
      <c r="L541" s="246"/>
      <c r="M541" s="246"/>
      <c r="N541" s="246"/>
      <c r="O541" s="246"/>
      <c r="P541" s="246"/>
      <c r="Q541" s="246"/>
      <c r="R541" s="246">
        <f>IFERROR(VLOOKUP(D541,PROGRAMAS[],2,FALSE),0)</f>
        <v>97037803.679377079</v>
      </c>
      <c r="S541" s="246">
        <f>IFERROR(VLOOKUP(E541,PROGRAMAS[],2,FALSE),0)</f>
        <v>640501509.6821388</v>
      </c>
      <c r="T541" s="246">
        <f>IFERROR(VLOOKUP(F541,PROGRAMAS[],2,FALSE),0)</f>
        <v>3062327798.1525245</v>
      </c>
      <c r="U541" s="246">
        <f>IFERROR(VLOOKUP(G541,PROGRAMAS[],2,FALSE),0)</f>
        <v>4635315027.8751087</v>
      </c>
      <c r="V541" s="246">
        <f>IFERROR(VLOOKUP(H541,PROGRAMAS[],2,FALSE),0)</f>
        <v>3776538594.4604583</v>
      </c>
      <c r="W541" s="246">
        <f>IFERROR(VLOOKUP(I541,PROGRAMAS[],2,FALSE),0)</f>
        <v>122159672.96346797</v>
      </c>
      <c r="X541" s="246">
        <f>IFERROR(VLOOKUP(J541,PROGRAMAS[],2,FALSE),0)</f>
        <v>7068496961.0436354</v>
      </c>
      <c r="Y541" s="246">
        <f>IFERROR(VLOOKUP(K541,PROGRAMAS[],2,FALSE),0)</f>
        <v>0</v>
      </c>
      <c r="Z541" s="246">
        <f>IFERROR(VLOOKUP(L541,PROGRAMAS[],2,FALSE),0)</f>
        <v>0</v>
      </c>
      <c r="AA541" s="246">
        <f>IFERROR(VLOOKUP(M541,PROGRAMAS[],2,FALSE),0)</f>
        <v>0</v>
      </c>
      <c r="AB541" s="246">
        <f>IFERROR(VLOOKUP(N541,PROGRAMAS[],2,FALSE),0)</f>
        <v>0</v>
      </c>
      <c r="AC541" s="246">
        <f>IFERROR(VLOOKUP(O541,PROGRAMAS[],2,FALSE),0)</f>
        <v>0</v>
      </c>
      <c r="AD541" s="246">
        <f>IFERROR(VLOOKUP(P541,PROGRAMAS[],2,FALSE),0)</f>
        <v>0</v>
      </c>
      <c r="AE541" s="246">
        <f>IFERROR(VLOOKUP(Q541,PROGRAMAS[],2,FALSE),0)</f>
        <v>0</v>
      </c>
      <c r="AF541" s="246">
        <f>IFERROR(VLOOKUP(D541,PROGRAMAS[],3,FALSE),0)</f>
        <v>841888629.31080008</v>
      </c>
      <c r="AG541" s="246">
        <f>IFERROR(VLOOKUP(E541,PROGRAMAS[],3,FALSE),0)</f>
        <v>3848980803.1642323</v>
      </c>
      <c r="AH541" s="246">
        <f>IFERROR(VLOOKUP(F541,PROGRAMAS[],3,FALSE),0)</f>
        <v>3394901471.387517</v>
      </c>
      <c r="AI541" s="246">
        <f>IFERROR(VLOOKUP(G541,PROGRAMAS[],3,FALSE),0)</f>
        <v>4099471734.9978786</v>
      </c>
      <c r="AJ541" s="246">
        <f>IFERROR(VLOOKUP(H541,PROGRAMAS[],3,FALSE),0)</f>
        <v>2392571243.5584412</v>
      </c>
      <c r="AK541" s="246">
        <f>IFERROR(VLOOKUP(I541,PROGRAMAS[],3,FALSE),0)</f>
        <v>118617452.52510804</v>
      </c>
      <c r="AL541" s="246">
        <f>IFERROR(VLOOKUP(J541,PROGRAMAS[],3,FALSE),0)</f>
        <v>2406564599.0319901</v>
      </c>
      <c r="AM541" s="246">
        <f>IFERROR(VLOOKUP(K541,PROGRAMAS[],3,FALSE),0)</f>
        <v>0</v>
      </c>
      <c r="AN541" s="246">
        <f>IFERROR(VLOOKUP(L541,PROGRAMAS[],3,FALSE),0)</f>
        <v>0</v>
      </c>
      <c r="AO541" s="246">
        <f>IFERROR(VLOOKUP(M541,PROGRAMAS[],3,FALSE),0)</f>
        <v>0</v>
      </c>
      <c r="AP541" s="246">
        <f>IFERROR(VLOOKUP(N541,PROGRAMAS[],3,FALSE),0)</f>
        <v>0</v>
      </c>
      <c r="AQ541" s="246">
        <f>IFERROR(VLOOKUP(O541,PROGRAMAS[],3,FALSE),0)</f>
        <v>0</v>
      </c>
      <c r="AR541" s="246">
        <f>IFERROR(VLOOKUP(P541,PROGRAMAS[],3,FALSE),0)</f>
        <v>0</v>
      </c>
      <c r="AS541" s="246">
        <f>IFERROR(VLOOKUP(Q541,PROGRAMAS[],3,FALSE),0)</f>
        <v>0</v>
      </c>
      <c r="AT541" s="246">
        <f>IFERROR(VLOOKUP(D541,VOL_REC[],2,FALSE),0)</f>
        <v>0</v>
      </c>
      <c r="AU541" s="246">
        <f>IFERROR(VLOOKUP(E541,VOL_REC[],2,FALSE),0)</f>
        <v>0</v>
      </c>
      <c r="AV541" s="246">
        <f>IFERROR(VLOOKUP(F541,VOL_REC[],2,FALSE),0)</f>
        <v>11089674.200000001</v>
      </c>
      <c r="AW541" s="246">
        <f>IFERROR(VLOOKUP(G541,VOL_REC[],2,FALSE),0)</f>
        <v>1812240</v>
      </c>
      <c r="AX541" s="246">
        <f>IFERROR(VLOOKUP(H541,VOL_REC[],2,FALSE),0)</f>
        <v>663244.80000000016</v>
      </c>
      <c r="AY541" s="246">
        <f>IFERROR(VLOOKUP(I541,VOL_REC[],2,FALSE),0)</f>
        <v>105072</v>
      </c>
      <c r="AZ541" s="246">
        <f>IFERROR(VLOOKUP(J541,VOL_REC[],2,FALSE),0)</f>
        <v>1072354.9981737854</v>
      </c>
      <c r="BA541" s="246">
        <f>IFERROR(VLOOKUP(K541,VOL_REC[],2,FALSE),0)</f>
        <v>0</v>
      </c>
      <c r="BB541" s="246">
        <f>IFERROR(VLOOKUP(L541,VOL_REC[],2,FALSE),0)</f>
        <v>0</v>
      </c>
      <c r="BC541" s="246">
        <f>IFERROR(VLOOKUP(M541,VOL_REC[],2,FALSE),0)</f>
        <v>0</v>
      </c>
      <c r="BD541" s="246">
        <f>IFERROR(VLOOKUP(N541,VOL_REC[],2,FALSE),0)</f>
        <v>0</v>
      </c>
      <c r="BE541" s="246">
        <f>IFERROR(VLOOKUP(O541,VOL_REC[],2,FALSE),0)</f>
        <v>0</v>
      </c>
      <c r="BF541" s="246">
        <f>IFERROR(VLOOKUP(P541,VOL_REC[],2,FALSE),0)</f>
        <v>0</v>
      </c>
      <c r="BG541" s="246">
        <f>IFERROR(VLOOKUP(Q541,VOL_REC[],2,FALSE),0)</f>
        <v>0</v>
      </c>
      <c r="BH541" s="1710">
        <f t="shared" si="32"/>
        <v>19402377367.856712</v>
      </c>
      <c r="BI541" s="1710">
        <f t="shared" si="33"/>
        <v>17102995933.975967</v>
      </c>
      <c r="BJ541" s="1711">
        <f t="shared" si="34"/>
        <v>14742585.998173788</v>
      </c>
      <c r="BK541" s="1711">
        <f t="shared" si="35"/>
        <v>1.1344431959615278</v>
      </c>
      <c r="BL541">
        <f>BJ541</f>
        <v>14742585.998173788</v>
      </c>
      <c r="BO541">
        <f>BL541</f>
        <v>14742585.998173788</v>
      </c>
    </row>
    <row r="542" spans="3:67" x14ac:dyDescent="0.25">
      <c r="C542" s="246" t="s">
        <v>1892</v>
      </c>
      <c r="D542" s="246">
        <v>1</v>
      </c>
      <c r="E542" s="246">
        <v>2</v>
      </c>
      <c r="F542" s="246">
        <v>3</v>
      </c>
      <c r="G542" s="246">
        <v>10</v>
      </c>
      <c r="H542" s="246">
        <v>13</v>
      </c>
      <c r="I542" s="246">
        <v>15</v>
      </c>
      <c r="J542" s="246">
        <v>17</v>
      </c>
      <c r="K542" s="246"/>
      <c r="L542" s="246"/>
      <c r="M542" s="246"/>
      <c r="N542" s="246"/>
      <c r="O542" s="246"/>
      <c r="P542" s="246"/>
      <c r="Q542" s="246"/>
      <c r="R542" s="246">
        <f>IFERROR(VLOOKUP(D542,PROGRAMAS[],2,FALSE),0)</f>
        <v>97037803.679377079</v>
      </c>
      <c r="S542" s="246">
        <f>IFERROR(VLOOKUP(E542,PROGRAMAS[],2,FALSE),0)</f>
        <v>640501509.6821388</v>
      </c>
      <c r="T542" s="246">
        <f>IFERROR(VLOOKUP(F542,PROGRAMAS[],2,FALSE),0)</f>
        <v>3062327798.1525245</v>
      </c>
      <c r="U542" s="246">
        <f>IFERROR(VLOOKUP(G542,PROGRAMAS[],2,FALSE),0)</f>
        <v>4635315027.8751087</v>
      </c>
      <c r="V542" s="246">
        <f>IFERROR(VLOOKUP(H542,PROGRAMAS[],2,FALSE),0)</f>
        <v>3776538594.4604583</v>
      </c>
      <c r="W542" s="246">
        <f>IFERROR(VLOOKUP(I542,PROGRAMAS[],2,FALSE),0)</f>
        <v>122159672.96346797</v>
      </c>
      <c r="X542" s="246">
        <f>IFERROR(VLOOKUP(J542,PROGRAMAS[],2,FALSE),0)</f>
        <v>1892779498.5211046</v>
      </c>
      <c r="Y542" s="246">
        <f>IFERROR(VLOOKUP(K542,PROGRAMAS[],2,FALSE),0)</f>
        <v>0</v>
      </c>
      <c r="Z542" s="246">
        <f>IFERROR(VLOOKUP(L542,PROGRAMAS[],2,FALSE),0)</f>
        <v>0</v>
      </c>
      <c r="AA542" s="246">
        <f>IFERROR(VLOOKUP(M542,PROGRAMAS[],2,FALSE),0)</f>
        <v>0</v>
      </c>
      <c r="AB542" s="246">
        <f>IFERROR(VLOOKUP(N542,PROGRAMAS[],2,FALSE),0)</f>
        <v>0</v>
      </c>
      <c r="AC542" s="246">
        <f>IFERROR(VLOOKUP(O542,PROGRAMAS[],2,FALSE),0)</f>
        <v>0</v>
      </c>
      <c r="AD542" s="246">
        <f>IFERROR(VLOOKUP(P542,PROGRAMAS[],2,FALSE),0)</f>
        <v>0</v>
      </c>
      <c r="AE542" s="246">
        <f>IFERROR(VLOOKUP(Q542,PROGRAMAS[],2,FALSE),0)</f>
        <v>0</v>
      </c>
      <c r="AF542" s="246">
        <f>IFERROR(VLOOKUP(D542,PROGRAMAS[],3,FALSE),0)</f>
        <v>841888629.31080008</v>
      </c>
      <c r="AG542" s="246">
        <f>IFERROR(VLOOKUP(E542,PROGRAMAS[],3,FALSE),0)</f>
        <v>3848980803.1642323</v>
      </c>
      <c r="AH542" s="246">
        <f>IFERROR(VLOOKUP(F542,PROGRAMAS[],3,FALSE),0)</f>
        <v>3394901471.387517</v>
      </c>
      <c r="AI542" s="246">
        <f>IFERROR(VLOOKUP(G542,PROGRAMAS[],3,FALSE),0)</f>
        <v>4099471734.9978786</v>
      </c>
      <c r="AJ542" s="246">
        <f>IFERROR(VLOOKUP(H542,PROGRAMAS[],3,FALSE),0)</f>
        <v>2392571243.5584412</v>
      </c>
      <c r="AK542" s="246">
        <f>IFERROR(VLOOKUP(I542,PROGRAMAS[],3,FALSE),0)</f>
        <v>118617452.52510804</v>
      </c>
      <c r="AL542" s="246">
        <f>IFERROR(VLOOKUP(J542,PROGRAMAS[],3,FALSE),0)</f>
        <v>948595847.09039903</v>
      </c>
      <c r="AM542" s="246">
        <f>IFERROR(VLOOKUP(K542,PROGRAMAS[],3,FALSE),0)</f>
        <v>0</v>
      </c>
      <c r="AN542" s="246">
        <f>IFERROR(VLOOKUP(L542,PROGRAMAS[],3,FALSE),0)</f>
        <v>0</v>
      </c>
      <c r="AO542" s="246">
        <f>IFERROR(VLOOKUP(M542,PROGRAMAS[],3,FALSE),0)</f>
        <v>0</v>
      </c>
      <c r="AP542" s="246">
        <f>IFERROR(VLOOKUP(N542,PROGRAMAS[],3,FALSE),0)</f>
        <v>0</v>
      </c>
      <c r="AQ542" s="246">
        <f>IFERROR(VLOOKUP(O542,PROGRAMAS[],3,FALSE),0)</f>
        <v>0</v>
      </c>
      <c r="AR542" s="246">
        <f>IFERROR(VLOOKUP(P542,PROGRAMAS[],3,FALSE),0)</f>
        <v>0</v>
      </c>
      <c r="AS542" s="246">
        <f>IFERROR(VLOOKUP(Q542,PROGRAMAS[],3,FALSE),0)</f>
        <v>0</v>
      </c>
      <c r="AT542" s="246">
        <f>IFERROR(VLOOKUP(D542,VOL_REC[],2,FALSE),0)</f>
        <v>0</v>
      </c>
      <c r="AU542" s="246">
        <f>IFERROR(VLOOKUP(E542,VOL_REC[],2,FALSE),0)</f>
        <v>0</v>
      </c>
      <c r="AV542" s="246">
        <f>IFERROR(VLOOKUP(F542,VOL_REC[],2,FALSE),0)</f>
        <v>11089674.200000001</v>
      </c>
      <c r="AW542" s="246">
        <f>IFERROR(VLOOKUP(G542,VOL_REC[],2,FALSE),0)</f>
        <v>1812240</v>
      </c>
      <c r="AX542" s="246">
        <f>IFERROR(VLOOKUP(H542,VOL_REC[],2,FALSE),0)</f>
        <v>663244.80000000016</v>
      </c>
      <c r="AY542" s="246">
        <f>IFERROR(VLOOKUP(I542,VOL_REC[],2,FALSE),0)</f>
        <v>105072</v>
      </c>
      <c r="AZ542" s="246">
        <f>IFERROR(VLOOKUP(J542,VOL_REC[],2,FALSE),0)</f>
        <v>740113.98115702497</v>
      </c>
      <c r="BA542" s="246">
        <f>IFERROR(VLOOKUP(K542,VOL_REC[],2,FALSE),0)</f>
        <v>0</v>
      </c>
      <c r="BB542" s="246">
        <f>IFERROR(VLOOKUP(L542,VOL_REC[],2,FALSE),0)</f>
        <v>0</v>
      </c>
      <c r="BC542" s="246">
        <f>IFERROR(VLOOKUP(M542,VOL_REC[],2,FALSE),0)</f>
        <v>0</v>
      </c>
      <c r="BD542" s="246">
        <f>IFERROR(VLOOKUP(N542,VOL_REC[],2,FALSE),0)</f>
        <v>0</v>
      </c>
      <c r="BE542" s="246">
        <f>IFERROR(VLOOKUP(O542,VOL_REC[],2,FALSE),0)</f>
        <v>0</v>
      </c>
      <c r="BF542" s="246">
        <f>IFERROR(VLOOKUP(P542,VOL_REC[],2,FALSE),0)</f>
        <v>0</v>
      </c>
      <c r="BG542" s="246">
        <f>IFERROR(VLOOKUP(Q542,VOL_REC[],2,FALSE),0)</f>
        <v>0</v>
      </c>
      <c r="BH542" s="1710">
        <f t="shared" si="32"/>
        <v>14226659905.334181</v>
      </c>
      <c r="BI542" s="1710">
        <f t="shared" si="33"/>
        <v>15645027182.034376</v>
      </c>
      <c r="BJ542" s="1711">
        <f t="shared" si="34"/>
        <v>14410344.981157027</v>
      </c>
      <c r="BK542" s="1711">
        <f t="shared" si="35"/>
        <v>0.90934069591589162</v>
      </c>
    </row>
    <row r="543" spans="3:67" x14ac:dyDescent="0.25">
      <c r="C543" s="246" t="s">
        <v>1893</v>
      </c>
      <c r="D543" s="246">
        <v>1</v>
      </c>
      <c r="E543" s="246">
        <v>2</v>
      </c>
      <c r="F543" s="246">
        <v>3</v>
      </c>
      <c r="G543" s="246">
        <v>10</v>
      </c>
      <c r="H543" s="246">
        <v>13</v>
      </c>
      <c r="I543" s="246">
        <v>16</v>
      </c>
      <c r="J543" s="246">
        <v>17</v>
      </c>
      <c r="K543" s="246"/>
      <c r="L543" s="246"/>
      <c r="M543" s="246"/>
      <c r="N543" s="246"/>
      <c r="O543" s="246"/>
      <c r="P543" s="246"/>
      <c r="Q543" s="246"/>
      <c r="R543" s="246">
        <f>IFERROR(VLOOKUP(D543,PROGRAMAS[],2,FALSE),0)</f>
        <v>97037803.679377079</v>
      </c>
      <c r="S543" s="246">
        <f>IFERROR(VLOOKUP(E543,PROGRAMAS[],2,FALSE),0)</f>
        <v>640501509.6821388</v>
      </c>
      <c r="T543" s="246">
        <f>IFERROR(VLOOKUP(F543,PROGRAMAS[],2,FALSE),0)</f>
        <v>3062327798.1525245</v>
      </c>
      <c r="U543" s="246">
        <f>IFERROR(VLOOKUP(G543,PROGRAMAS[],2,FALSE),0)</f>
        <v>4635315027.8751087</v>
      </c>
      <c r="V543" s="246">
        <f>IFERROR(VLOOKUP(H543,PROGRAMAS[],2,FALSE),0)</f>
        <v>3776538594.4604583</v>
      </c>
      <c r="W543" s="246">
        <f>IFERROR(VLOOKUP(I543,PROGRAMAS[],2,FALSE),0)</f>
        <v>7068496961.0436354</v>
      </c>
      <c r="X543" s="246">
        <f>IFERROR(VLOOKUP(J543,PROGRAMAS[],2,FALSE),0)</f>
        <v>1892779498.5211046</v>
      </c>
      <c r="Y543" s="246">
        <f>IFERROR(VLOOKUP(K543,PROGRAMAS[],2,FALSE),0)</f>
        <v>0</v>
      </c>
      <c r="Z543" s="246">
        <f>IFERROR(VLOOKUP(L543,PROGRAMAS[],2,FALSE),0)</f>
        <v>0</v>
      </c>
      <c r="AA543" s="246">
        <f>IFERROR(VLOOKUP(M543,PROGRAMAS[],2,FALSE),0)</f>
        <v>0</v>
      </c>
      <c r="AB543" s="246">
        <f>IFERROR(VLOOKUP(N543,PROGRAMAS[],2,FALSE),0)</f>
        <v>0</v>
      </c>
      <c r="AC543" s="246">
        <f>IFERROR(VLOOKUP(O543,PROGRAMAS[],2,FALSE),0)</f>
        <v>0</v>
      </c>
      <c r="AD543" s="246">
        <f>IFERROR(VLOOKUP(P543,PROGRAMAS[],2,FALSE),0)</f>
        <v>0</v>
      </c>
      <c r="AE543" s="246">
        <f>IFERROR(VLOOKUP(Q543,PROGRAMAS[],2,FALSE),0)</f>
        <v>0</v>
      </c>
      <c r="AF543" s="246">
        <f>IFERROR(VLOOKUP(D543,PROGRAMAS[],3,FALSE),0)</f>
        <v>841888629.31080008</v>
      </c>
      <c r="AG543" s="246">
        <f>IFERROR(VLOOKUP(E543,PROGRAMAS[],3,FALSE),0)</f>
        <v>3848980803.1642323</v>
      </c>
      <c r="AH543" s="246">
        <f>IFERROR(VLOOKUP(F543,PROGRAMAS[],3,FALSE),0)</f>
        <v>3394901471.387517</v>
      </c>
      <c r="AI543" s="246">
        <f>IFERROR(VLOOKUP(G543,PROGRAMAS[],3,FALSE),0)</f>
        <v>4099471734.9978786</v>
      </c>
      <c r="AJ543" s="246">
        <f>IFERROR(VLOOKUP(H543,PROGRAMAS[],3,FALSE),0)</f>
        <v>2392571243.5584412</v>
      </c>
      <c r="AK543" s="246">
        <f>IFERROR(VLOOKUP(I543,PROGRAMAS[],3,FALSE),0)</f>
        <v>2406564599.0319901</v>
      </c>
      <c r="AL543" s="246">
        <f>IFERROR(VLOOKUP(J543,PROGRAMAS[],3,FALSE),0)</f>
        <v>948595847.09039903</v>
      </c>
      <c r="AM543" s="246">
        <f>IFERROR(VLOOKUP(K543,PROGRAMAS[],3,FALSE),0)</f>
        <v>0</v>
      </c>
      <c r="AN543" s="246">
        <f>IFERROR(VLOOKUP(L543,PROGRAMAS[],3,FALSE),0)</f>
        <v>0</v>
      </c>
      <c r="AO543" s="246">
        <f>IFERROR(VLOOKUP(M543,PROGRAMAS[],3,FALSE),0)</f>
        <v>0</v>
      </c>
      <c r="AP543" s="246">
        <f>IFERROR(VLOOKUP(N543,PROGRAMAS[],3,FALSE),0)</f>
        <v>0</v>
      </c>
      <c r="AQ543" s="246">
        <f>IFERROR(VLOOKUP(O543,PROGRAMAS[],3,FALSE),0)</f>
        <v>0</v>
      </c>
      <c r="AR543" s="246">
        <f>IFERROR(VLOOKUP(P543,PROGRAMAS[],3,FALSE),0)</f>
        <v>0</v>
      </c>
      <c r="AS543" s="246">
        <f>IFERROR(VLOOKUP(Q543,PROGRAMAS[],3,FALSE),0)</f>
        <v>0</v>
      </c>
      <c r="AT543" s="246">
        <f>IFERROR(VLOOKUP(D543,VOL_REC[],2,FALSE),0)</f>
        <v>0</v>
      </c>
      <c r="AU543" s="246">
        <f>IFERROR(VLOOKUP(E543,VOL_REC[],2,FALSE),0)</f>
        <v>0</v>
      </c>
      <c r="AV543" s="246">
        <f>IFERROR(VLOOKUP(F543,VOL_REC[],2,FALSE),0)</f>
        <v>11089674.200000001</v>
      </c>
      <c r="AW543" s="246">
        <f>IFERROR(VLOOKUP(G543,VOL_REC[],2,FALSE),0)</f>
        <v>1812240</v>
      </c>
      <c r="AX543" s="246">
        <f>IFERROR(VLOOKUP(H543,VOL_REC[],2,FALSE),0)</f>
        <v>663244.80000000016</v>
      </c>
      <c r="AY543" s="246">
        <f>IFERROR(VLOOKUP(I543,VOL_REC[],2,FALSE),0)</f>
        <v>1072354.9981737854</v>
      </c>
      <c r="AZ543" s="246">
        <f>IFERROR(VLOOKUP(J543,VOL_REC[],2,FALSE),0)</f>
        <v>740113.98115702497</v>
      </c>
      <c r="BA543" s="246">
        <f>IFERROR(VLOOKUP(K543,VOL_REC[],2,FALSE),0)</f>
        <v>0</v>
      </c>
      <c r="BB543" s="246">
        <f>IFERROR(VLOOKUP(L543,VOL_REC[],2,FALSE),0)</f>
        <v>0</v>
      </c>
      <c r="BC543" s="246">
        <f>IFERROR(VLOOKUP(M543,VOL_REC[],2,FALSE),0)</f>
        <v>0</v>
      </c>
      <c r="BD543" s="246">
        <f>IFERROR(VLOOKUP(N543,VOL_REC[],2,FALSE),0)</f>
        <v>0</v>
      </c>
      <c r="BE543" s="246">
        <f>IFERROR(VLOOKUP(O543,VOL_REC[],2,FALSE),0)</f>
        <v>0</v>
      </c>
      <c r="BF543" s="246">
        <f>IFERROR(VLOOKUP(P543,VOL_REC[],2,FALSE),0)</f>
        <v>0</v>
      </c>
      <c r="BG543" s="246">
        <f>IFERROR(VLOOKUP(Q543,VOL_REC[],2,FALSE),0)</f>
        <v>0</v>
      </c>
      <c r="BH543" s="1710">
        <f t="shared" si="32"/>
        <v>21172997193.414345</v>
      </c>
      <c r="BI543" s="1710">
        <f t="shared" si="33"/>
        <v>17932974328.54126</v>
      </c>
      <c r="BJ543" s="1711">
        <f t="shared" si="34"/>
        <v>15377627.979330814</v>
      </c>
      <c r="BK543" s="1711">
        <f t="shared" si="35"/>
        <v>1.1806740368616053</v>
      </c>
      <c r="BL543">
        <f>BJ543</f>
        <v>15377627.979330814</v>
      </c>
      <c r="BO543">
        <f>BL543</f>
        <v>15377627.979330814</v>
      </c>
    </row>
    <row r="544" spans="3:67" x14ac:dyDescent="0.25">
      <c r="C544" s="246" t="s">
        <v>1894</v>
      </c>
      <c r="D544" s="246">
        <v>1</v>
      </c>
      <c r="E544" s="246">
        <v>2</v>
      </c>
      <c r="F544" s="246">
        <v>3</v>
      </c>
      <c r="G544" s="246">
        <v>10</v>
      </c>
      <c r="H544" s="246">
        <v>14</v>
      </c>
      <c r="I544" s="246">
        <v>15</v>
      </c>
      <c r="J544" s="246">
        <v>16</v>
      </c>
      <c r="K544" s="246"/>
      <c r="L544" s="246"/>
      <c r="M544" s="246"/>
      <c r="N544" s="246"/>
      <c r="O544" s="246"/>
      <c r="P544" s="246"/>
      <c r="Q544" s="246"/>
      <c r="R544" s="246">
        <f>IFERROR(VLOOKUP(D544,PROGRAMAS[],2,FALSE),0)</f>
        <v>97037803.679377079</v>
      </c>
      <c r="S544" s="246">
        <f>IFERROR(VLOOKUP(E544,PROGRAMAS[],2,FALSE),0)</f>
        <v>640501509.6821388</v>
      </c>
      <c r="T544" s="246">
        <f>IFERROR(VLOOKUP(F544,PROGRAMAS[],2,FALSE),0)</f>
        <v>3062327798.1525245</v>
      </c>
      <c r="U544" s="246">
        <f>IFERROR(VLOOKUP(G544,PROGRAMAS[],2,FALSE),0)</f>
        <v>4635315027.8751087</v>
      </c>
      <c r="V544" s="246">
        <f>IFERROR(VLOOKUP(H544,PROGRAMAS[],2,FALSE),0)</f>
        <v>54223862.645839565</v>
      </c>
      <c r="W544" s="246">
        <f>IFERROR(VLOOKUP(I544,PROGRAMAS[],2,FALSE),0)</f>
        <v>122159672.96346797</v>
      </c>
      <c r="X544" s="246">
        <f>IFERROR(VLOOKUP(J544,PROGRAMAS[],2,FALSE),0)</f>
        <v>7068496961.0436354</v>
      </c>
      <c r="Y544" s="246">
        <f>IFERROR(VLOOKUP(K544,PROGRAMAS[],2,FALSE),0)</f>
        <v>0</v>
      </c>
      <c r="Z544" s="246">
        <f>IFERROR(VLOOKUP(L544,PROGRAMAS[],2,FALSE),0)</f>
        <v>0</v>
      </c>
      <c r="AA544" s="246">
        <f>IFERROR(VLOOKUP(M544,PROGRAMAS[],2,FALSE),0)</f>
        <v>0</v>
      </c>
      <c r="AB544" s="246">
        <f>IFERROR(VLOOKUP(N544,PROGRAMAS[],2,FALSE),0)</f>
        <v>0</v>
      </c>
      <c r="AC544" s="246">
        <f>IFERROR(VLOOKUP(O544,PROGRAMAS[],2,FALSE),0)</f>
        <v>0</v>
      </c>
      <c r="AD544" s="246">
        <f>IFERROR(VLOOKUP(P544,PROGRAMAS[],2,FALSE),0)</f>
        <v>0</v>
      </c>
      <c r="AE544" s="246">
        <f>IFERROR(VLOOKUP(Q544,PROGRAMAS[],2,FALSE),0)</f>
        <v>0</v>
      </c>
      <c r="AF544" s="246">
        <f>IFERROR(VLOOKUP(D544,PROGRAMAS[],3,FALSE),0)</f>
        <v>841888629.31080008</v>
      </c>
      <c r="AG544" s="246">
        <f>IFERROR(VLOOKUP(E544,PROGRAMAS[],3,FALSE),0)</f>
        <v>3848980803.1642323</v>
      </c>
      <c r="AH544" s="246">
        <f>IFERROR(VLOOKUP(F544,PROGRAMAS[],3,FALSE),0)</f>
        <v>3394901471.387517</v>
      </c>
      <c r="AI544" s="246">
        <f>IFERROR(VLOOKUP(G544,PROGRAMAS[],3,FALSE),0)</f>
        <v>4099471734.9978786</v>
      </c>
      <c r="AJ544" s="246">
        <f>IFERROR(VLOOKUP(H544,PROGRAMAS[],3,FALSE),0)</f>
        <v>31865326.38096505</v>
      </c>
      <c r="AK544" s="246">
        <f>IFERROR(VLOOKUP(I544,PROGRAMAS[],3,FALSE),0)</f>
        <v>118617452.52510804</v>
      </c>
      <c r="AL544" s="246">
        <f>IFERROR(VLOOKUP(J544,PROGRAMAS[],3,FALSE),0)</f>
        <v>2406564599.0319901</v>
      </c>
      <c r="AM544" s="246">
        <f>IFERROR(VLOOKUP(K544,PROGRAMAS[],3,FALSE),0)</f>
        <v>0</v>
      </c>
      <c r="AN544" s="246">
        <f>IFERROR(VLOOKUP(L544,PROGRAMAS[],3,FALSE),0)</f>
        <v>0</v>
      </c>
      <c r="AO544" s="246">
        <f>IFERROR(VLOOKUP(M544,PROGRAMAS[],3,FALSE),0)</f>
        <v>0</v>
      </c>
      <c r="AP544" s="246">
        <f>IFERROR(VLOOKUP(N544,PROGRAMAS[],3,FALSE),0)</f>
        <v>0</v>
      </c>
      <c r="AQ544" s="246">
        <f>IFERROR(VLOOKUP(O544,PROGRAMAS[],3,FALSE),0)</f>
        <v>0</v>
      </c>
      <c r="AR544" s="246">
        <f>IFERROR(VLOOKUP(P544,PROGRAMAS[],3,FALSE),0)</f>
        <v>0</v>
      </c>
      <c r="AS544" s="246">
        <f>IFERROR(VLOOKUP(Q544,PROGRAMAS[],3,FALSE),0)</f>
        <v>0</v>
      </c>
      <c r="AT544" s="246">
        <f>IFERROR(VLOOKUP(D544,VOL_REC[],2,FALSE),0)</f>
        <v>0</v>
      </c>
      <c r="AU544" s="246">
        <f>IFERROR(VLOOKUP(E544,VOL_REC[],2,FALSE),0)</f>
        <v>0</v>
      </c>
      <c r="AV544" s="246">
        <f>IFERROR(VLOOKUP(F544,VOL_REC[],2,FALSE),0)</f>
        <v>11089674.200000001</v>
      </c>
      <c r="AW544" s="246">
        <f>IFERROR(VLOOKUP(G544,VOL_REC[],2,FALSE),0)</f>
        <v>1812240</v>
      </c>
      <c r="AX544" s="246">
        <f>IFERROR(VLOOKUP(H544,VOL_REC[],2,FALSE),0)</f>
        <v>17074.045034105649</v>
      </c>
      <c r="AY544" s="246">
        <f>IFERROR(VLOOKUP(I544,VOL_REC[],2,FALSE),0)</f>
        <v>105072</v>
      </c>
      <c r="AZ544" s="246">
        <f>IFERROR(VLOOKUP(J544,VOL_REC[],2,FALSE),0)</f>
        <v>1072354.9981737854</v>
      </c>
      <c r="BA544" s="246">
        <f>IFERROR(VLOOKUP(K544,VOL_REC[],2,FALSE),0)</f>
        <v>0</v>
      </c>
      <c r="BB544" s="246">
        <f>IFERROR(VLOOKUP(L544,VOL_REC[],2,FALSE),0)</f>
        <v>0</v>
      </c>
      <c r="BC544" s="246">
        <f>IFERROR(VLOOKUP(M544,VOL_REC[],2,FALSE),0)</f>
        <v>0</v>
      </c>
      <c r="BD544" s="246">
        <f>IFERROR(VLOOKUP(N544,VOL_REC[],2,FALSE),0)</f>
        <v>0</v>
      </c>
      <c r="BE544" s="246">
        <f>IFERROR(VLOOKUP(O544,VOL_REC[],2,FALSE),0)</f>
        <v>0</v>
      </c>
      <c r="BF544" s="246">
        <f>IFERROR(VLOOKUP(P544,VOL_REC[],2,FALSE),0)</f>
        <v>0</v>
      </c>
      <c r="BG544" s="246">
        <f>IFERROR(VLOOKUP(Q544,VOL_REC[],2,FALSE),0)</f>
        <v>0</v>
      </c>
      <c r="BH544" s="1710">
        <f t="shared" si="32"/>
        <v>15680062636.042091</v>
      </c>
      <c r="BI544" s="1710">
        <f t="shared" si="33"/>
        <v>14742290016.798491</v>
      </c>
      <c r="BJ544" s="1711">
        <f t="shared" si="34"/>
        <v>14096415.243207891</v>
      </c>
      <c r="BK544" s="1711">
        <f t="shared" si="35"/>
        <v>1.0636110548751267</v>
      </c>
      <c r="BL544">
        <f>BJ544</f>
        <v>14096415.243207891</v>
      </c>
      <c r="BO544">
        <f>BL544</f>
        <v>14096415.243207891</v>
      </c>
    </row>
    <row r="545" spans="3:67" x14ac:dyDescent="0.25">
      <c r="C545" s="246" t="s">
        <v>1895</v>
      </c>
      <c r="D545" s="246">
        <v>1</v>
      </c>
      <c r="E545" s="246">
        <v>2</v>
      </c>
      <c r="F545" s="246">
        <v>3</v>
      </c>
      <c r="G545" s="246">
        <v>10</v>
      </c>
      <c r="H545" s="246">
        <v>14</v>
      </c>
      <c r="I545" s="246">
        <v>15</v>
      </c>
      <c r="J545" s="246">
        <v>17</v>
      </c>
      <c r="K545" s="246"/>
      <c r="L545" s="246"/>
      <c r="M545" s="246"/>
      <c r="N545" s="246"/>
      <c r="O545" s="246"/>
      <c r="P545" s="246"/>
      <c r="Q545" s="246"/>
      <c r="R545" s="246">
        <f>IFERROR(VLOOKUP(D545,PROGRAMAS[],2,FALSE),0)</f>
        <v>97037803.679377079</v>
      </c>
      <c r="S545" s="246">
        <f>IFERROR(VLOOKUP(E545,PROGRAMAS[],2,FALSE),0)</f>
        <v>640501509.6821388</v>
      </c>
      <c r="T545" s="246">
        <f>IFERROR(VLOOKUP(F545,PROGRAMAS[],2,FALSE),0)</f>
        <v>3062327798.1525245</v>
      </c>
      <c r="U545" s="246">
        <f>IFERROR(VLOOKUP(G545,PROGRAMAS[],2,FALSE),0)</f>
        <v>4635315027.8751087</v>
      </c>
      <c r="V545" s="246">
        <f>IFERROR(VLOOKUP(H545,PROGRAMAS[],2,FALSE),0)</f>
        <v>54223862.645839565</v>
      </c>
      <c r="W545" s="246">
        <f>IFERROR(VLOOKUP(I545,PROGRAMAS[],2,FALSE),0)</f>
        <v>122159672.96346797</v>
      </c>
      <c r="X545" s="246">
        <f>IFERROR(VLOOKUP(J545,PROGRAMAS[],2,FALSE),0)</f>
        <v>1892779498.5211046</v>
      </c>
      <c r="Y545" s="246">
        <f>IFERROR(VLOOKUP(K545,PROGRAMAS[],2,FALSE),0)</f>
        <v>0</v>
      </c>
      <c r="Z545" s="246">
        <f>IFERROR(VLOOKUP(L545,PROGRAMAS[],2,FALSE),0)</f>
        <v>0</v>
      </c>
      <c r="AA545" s="246">
        <f>IFERROR(VLOOKUP(M545,PROGRAMAS[],2,FALSE),0)</f>
        <v>0</v>
      </c>
      <c r="AB545" s="246">
        <f>IFERROR(VLOOKUP(N545,PROGRAMAS[],2,FALSE),0)</f>
        <v>0</v>
      </c>
      <c r="AC545" s="246">
        <f>IFERROR(VLOOKUP(O545,PROGRAMAS[],2,FALSE),0)</f>
        <v>0</v>
      </c>
      <c r="AD545" s="246">
        <f>IFERROR(VLOOKUP(P545,PROGRAMAS[],2,FALSE),0)</f>
        <v>0</v>
      </c>
      <c r="AE545" s="246">
        <f>IFERROR(VLOOKUP(Q545,PROGRAMAS[],2,FALSE),0)</f>
        <v>0</v>
      </c>
      <c r="AF545" s="246">
        <f>IFERROR(VLOOKUP(D545,PROGRAMAS[],3,FALSE),0)</f>
        <v>841888629.31080008</v>
      </c>
      <c r="AG545" s="246">
        <f>IFERROR(VLOOKUP(E545,PROGRAMAS[],3,FALSE),0)</f>
        <v>3848980803.1642323</v>
      </c>
      <c r="AH545" s="246">
        <f>IFERROR(VLOOKUP(F545,PROGRAMAS[],3,FALSE),0)</f>
        <v>3394901471.387517</v>
      </c>
      <c r="AI545" s="246">
        <f>IFERROR(VLOOKUP(G545,PROGRAMAS[],3,FALSE),0)</f>
        <v>4099471734.9978786</v>
      </c>
      <c r="AJ545" s="246">
        <f>IFERROR(VLOOKUP(H545,PROGRAMAS[],3,FALSE),0)</f>
        <v>31865326.38096505</v>
      </c>
      <c r="AK545" s="246">
        <f>IFERROR(VLOOKUP(I545,PROGRAMAS[],3,FALSE),0)</f>
        <v>118617452.52510804</v>
      </c>
      <c r="AL545" s="246">
        <f>IFERROR(VLOOKUP(J545,PROGRAMAS[],3,FALSE),0)</f>
        <v>948595847.09039903</v>
      </c>
      <c r="AM545" s="246">
        <f>IFERROR(VLOOKUP(K545,PROGRAMAS[],3,FALSE),0)</f>
        <v>0</v>
      </c>
      <c r="AN545" s="246">
        <f>IFERROR(VLOOKUP(L545,PROGRAMAS[],3,FALSE),0)</f>
        <v>0</v>
      </c>
      <c r="AO545" s="246">
        <f>IFERROR(VLOOKUP(M545,PROGRAMAS[],3,FALSE),0)</f>
        <v>0</v>
      </c>
      <c r="AP545" s="246">
        <f>IFERROR(VLOOKUP(N545,PROGRAMAS[],3,FALSE),0)</f>
        <v>0</v>
      </c>
      <c r="AQ545" s="246">
        <f>IFERROR(VLOOKUP(O545,PROGRAMAS[],3,FALSE),0)</f>
        <v>0</v>
      </c>
      <c r="AR545" s="246">
        <f>IFERROR(VLOOKUP(P545,PROGRAMAS[],3,FALSE),0)</f>
        <v>0</v>
      </c>
      <c r="AS545" s="246">
        <f>IFERROR(VLOOKUP(Q545,PROGRAMAS[],3,FALSE),0)</f>
        <v>0</v>
      </c>
      <c r="AT545" s="246">
        <f>IFERROR(VLOOKUP(D545,VOL_REC[],2,FALSE),0)</f>
        <v>0</v>
      </c>
      <c r="AU545" s="246">
        <f>IFERROR(VLOOKUP(E545,VOL_REC[],2,FALSE),0)</f>
        <v>0</v>
      </c>
      <c r="AV545" s="246">
        <f>IFERROR(VLOOKUP(F545,VOL_REC[],2,FALSE),0)</f>
        <v>11089674.200000001</v>
      </c>
      <c r="AW545" s="246">
        <f>IFERROR(VLOOKUP(G545,VOL_REC[],2,FALSE),0)</f>
        <v>1812240</v>
      </c>
      <c r="AX545" s="246">
        <f>IFERROR(VLOOKUP(H545,VOL_REC[],2,FALSE),0)</f>
        <v>17074.045034105649</v>
      </c>
      <c r="AY545" s="246">
        <f>IFERROR(VLOOKUP(I545,VOL_REC[],2,FALSE),0)</f>
        <v>105072</v>
      </c>
      <c r="AZ545" s="246">
        <f>IFERROR(VLOOKUP(J545,VOL_REC[],2,FALSE),0)</f>
        <v>740113.98115702497</v>
      </c>
      <c r="BA545" s="246">
        <f>IFERROR(VLOOKUP(K545,VOL_REC[],2,FALSE),0)</f>
        <v>0</v>
      </c>
      <c r="BB545" s="246">
        <f>IFERROR(VLOOKUP(L545,VOL_REC[],2,FALSE),0)</f>
        <v>0</v>
      </c>
      <c r="BC545" s="246">
        <f>IFERROR(VLOOKUP(M545,VOL_REC[],2,FALSE),0)</f>
        <v>0</v>
      </c>
      <c r="BD545" s="246">
        <f>IFERROR(VLOOKUP(N545,VOL_REC[],2,FALSE),0)</f>
        <v>0</v>
      </c>
      <c r="BE545" s="246">
        <f>IFERROR(VLOOKUP(O545,VOL_REC[],2,FALSE),0)</f>
        <v>0</v>
      </c>
      <c r="BF545" s="246">
        <f>IFERROR(VLOOKUP(P545,VOL_REC[],2,FALSE),0)</f>
        <v>0</v>
      </c>
      <c r="BG545" s="246">
        <f>IFERROR(VLOOKUP(Q545,VOL_REC[],2,FALSE),0)</f>
        <v>0</v>
      </c>
      <c r="BH545" s="1710">
        <f t="shared" si="32"/>
        <v>10504345173.519562</v>
      </c>
      <c r="BI545" s="1710">
        <f t="shared" si="33"/>
        <v>13284321264.856899</v>
      </c>
      <c r="BJ545" s="1711">
        <f t="shared" si="34"/>
        <v>13764174.226191131</v>
      </c>
      <c r="BK545" s="1711">
        <f t="shared" si="35"/>
        <v>0.79073254584021202</v>
      </c>
    </row>
    <row r="546" spans="3:67" x14ac:dyDescent="0.25">
      <c r="C546" s="246" t="s">
        <v>1896</v>
      </c>
      <c r="D546" s="246">
        <v>1</v>
      </c>
      <c r="E546" s="246">
        <v>2</v>
      </c>
      <c r="F546" s="246">
        <v>3</v>
      </c>
      <c r="G546" s="246">
        <v>10</v>
      </c>
      <c r="H546" s="246">
        <v>14</v>
      </c>
      <c r="I546" s="246">
        <v>16</v>
      </c>
      <c r="J546" s="246">
        <v>17</v>
      </c>
      <c r="K546" s="246"/>
      <c r="L546" s="246"/>
      <c r="M546" s="246"/>
      <c r="N546" s="246"/>
      <c r="O546" s="246"/>
      <c r="P546" s="246"/>
      <c r="Q546" s="246"/>
      <c r="R546" s="246">
        <f>IFERROR(VLOOKUP(D546,PROGRAMAS[],2,FALSE),0)</f>
        <v>97037803.679377079</v>
      </c>
      <c r="S546" s="246">
        <f>IFERROR(VLOOKUP(E546,PROGRAMAS[],2,FALSE),0)</f>
        <v>640501509.6821388</v>
      </c>
      <c r="T546" s="246">
        <f>IFERROR(VLOOKUP(F546,PROGRAMAS[],2,FALSE),0)</f>
        <v>3062327798.1525245</v>
      </c>
      <c r="U546" s="246">
        <f>IFERROR(VLOOKUP(G546,PROGRAMAS[],2,FALSE),0)</f>
        <v>4635315027.8751087</v>
      </c>
      <c r="V546" s="246">
        <f>IFERROR(VLOOKUP(H546,PROGRAMAS[],2,FALSE),0)</f>
        <v>54223862.645839565</v>
      </c>
      <c r="W546" s="246">
        <f>IFERROR(VLOOKUP(I546,PROGRAMAS[],2,FALSE),0)</f>
        <v>7068496961.0436354</v>
      </c>
      <c r="X546" s="246">
        <f>IFERROR(VLOOKUP(J546,PROGRAMAS[],2,FALSE),0)</f>
        <v>1892779498.5211046</v>
      </c>
      <c r="Y546" s="246">
        <f>IFERROR(VLOOKUP(K546,PROGRAMAS[],2,FALSE),0)</f>
        <v>0</v>
      </c>
      <c r="Z546" s="246">
        <f>IFERROR(VLOOKUP(L546,PROGRAMAS[],2,FALSE),0)</f>
        <v>0</v>
      </c>
      <c r="AA546" s="246">
        <f>IFERROR(VLOOKUP(M546,PROGRAMAS[],2,FALSE),0)</f>
        <v>0</v>
      </c>
      <c r="AB546" s="246">
        <f>IFERROR(VLOOKUP(N546,PROGRAMAS[],2,FALSE),0)</f>
        <v>0</v>
      </c>
      <c r="AC546" s="246">
        <f>IFERROR(VLOOKUP(O546,PROGRAMAS[],2,FALSE),0)</f>
        <v>0</v>
      </c>
      <c r="AD546" s="246">
        <f>IFERROR(VLOOKUP(P546,PROGRAMAS[],2,FALSE),0)</f>
        <v>0</v>
      </c>
      <c r="AE546" s="246">
        <f>IFERROR(VLOOKUP(Q546,PROGRAMAS[],2,FALSE),0)</f>
        <v>0</v>
      </c>
      <c r="AF546" s="246">
        <f>IFERROR(VLOOKUP(D546,PROGRAMAS[],3,FALSE),0)</f>
        <v>841888629.31080008</v>
      </c>
      <c r="AG546" s="246">
        <f>IFERROR(VLOOKUP(E546,PROGRAMAS[],3,FALSE),0)</f>
        <v>3848980803.1642323</v>
      </c>
      <c r="AH546" s="246">
        <f>IFERROR(VLOOKUP(F546,PROGRAMAS[],3,FALSE),0)</f>
        <v>3394901471.387517</v>
      </c>
      <c r="AI546" s="246">
        <f>IFERROR(VLOOKUP(G546,PROGRAMAS[],3,FALSE),0)</f>
        <v>4099471734.9978786</v>
      </c>
      <c r="AJ546" s="246">
        <f>IFERROR(VLOOKUP(H546,PROGRAMAS[],3,FALSE),0)</f>
        <v>31865326.38096505</v>
      </c>
      <c r="AK546" s="246">
        <f>IFERROR(VLOOKUP(I546,PROGRAMAS[],3,FALSE),0)</f>
        <v>2406564599.0319901</v>
      </c>
      <c r="AL546" s="246">
        <f>IFERROR(VLOOKUP(J546,PROGRAMAS[],3,FALSE),0)</f>
        <v>948595847.09039903</v>
      </c>
      <c r="AM546" s="246">
        <f>IFERROR(VLOOKUP(K546,PROGRAMAS[],3,FALSE),0)</f>
        <v>0</v>
      </c>
      <c r="AN546" s="246">
        <f>IFERROR(VLOOKUP(L546,PROGRAMAS[],3,FALSE),0)</f>
        <v>0</v>
      </c>
      <c r="AO546" s="246">
        <f>IFERROR(VLOOKUP(M546,PROGRAMAS[],3,FALSE),0)</f>
        <v>0</v>
      </c>
      <c r="AP546" s="246">
        <f>IFERROR(VLOOKUP(N546,PROGRAMAS[],3,FALSE),0)</f>
        <v>0</v>
      </c>
      <c r="AQ546" s="246">
        <f>IFERROR(VLOOKUP(O546,PROGRAMAS[],3,FALSE),0)</f>
        <v>0</v>
      </c>
      <c r="AR546" s="246">
        <f>IFERROR(VLOOKUP(P546,PROGRAMAS[],3,FALSE),0)</f>
        <v>0</v>
      </c>
      <c r="AS546" s="246">
        <f>IFERROR(VLOOKUP(Q546,PROGRAMAS[],3,FALSE),0)</f>
        <v>0</v>
      </c>
      <c r="AT546" s="246">
        <f>IFERROR(VLOOKUP(D546,VOL_REC[],2,FALSE),0)</f>
        <v>0</v>
      </c>
      <c r="AU546" s="246">
        <f>IFERROR(VLOOKUP(E546,VOL_REC[],2,FALSE),0)</f>
        <v>0</v>
      </c>
      <c r="AV546" s="246">
        <f>IFERROR(VLOOKUP(F546,VOL_REC[],2,FALSE),0)</f>
        <v>11089674.200000001</v>
      </c>
      <c r="AW546" s="246">
        <f>IFERROR(VLOOKUP(G546,VOL_REC[],2,FALSE),0)</f>
        <v>1812240</v>
      </c>
      <c r="AX546" s="246">
        <f>IFERROR(VLOOKUP(H546,VOL_REC[],2,FALSE),0)</f>
        <v>17074.045034105649</v>
      </c>
      <c r="AY546" s="246">
        <f>IFERROR(VLOOKUP(I546,VOL_REC[],2,FALSE),0)</f>
        <v>1072354.9981737854</v>
      </c>
      <c r="AZ546" s="246">
        <f>IFERROR(VLOOKUP(J546,VOL_REC[],2,FALSE),0)</f>
        <v>740113.98115702497</v>
      </c>
      <c r="BA546" s="246">
        <f>IFERROR(VLOOKUP(K546,VOL_REC[],2,FALSE),0)</f>
        <v>0</v>
      </c>
      <c r="BB546" s="246">
        <f>IFERROR(VLOOKUP(L546,VOL_REC[],2,FALSE),0)</f>
        <v>0</v>
      </c>
      <c r="BC546" s="246">
        <f>IFERROR(VLOOKUP(M546,VOL_REC[],2,FALSE),0)</f>
        <v>0</v>
      </c>
      <c r="BD546" s="246">
        <f>IFERROR(VLOOKUP(N546,VOL_REC[],2,FALSE),0)</f>
        <v>0</v>
      </c>
      <c r="BE546" s="246">
        <f>IFERROR(VLOOKUP(O546,VOL_REC[],2,FALSE),0)</f>
        <v>0</v>
      </c>
      <c r="BF546" s="246">
        <f>IFERROR(VLOOKUP(P546,VOL_REC[],2,FALSE),0)</f>
        <v>0</v>
      </c>
      <c r="BG546" s="246">
        <f>IFERROR(VLOOKUP(Q546,VOL_REC[],2,FALSE),0)</f>
        <v>0</v>
      </c>
      <c r="BH546" s="1710">
        <f t="shared" si="32"/>
        <v>17450682461.599728</v>
      </c>
      <c r="BI546" s="1710">
        <f t="shared" si="33"/>
        <v>15572268411.363781</v>
      </c>
      <c r="BJ546" s="1711">
        <f t="shared" si="34"/>
        <v>14731457.224364916</v>
      </c>
      <c r="BK546" s="1711">
        <f t="shared" si="35"/>
        <v>1.1206255890673695</v>
      </c>
      <c r="BL546">
        <f>BJ546</f>
        <v>14731457.224364916</v>
      </c>
      <c r="BO546">
        <f>BL546</f>
        <v>14731457.224364916</v>
      </c>
    </row>
    <row r="547" spans="3:67" x14ac:dyDescent="0.25">
      <c r="C547" s="246" t="s">
        <v>1897</v>
      </c>
      <c r="D547" s="246">
        <v>1</v>
      </c>
      <c r="E547" s="246">
        <v>2</v>
      </c>
      <c r="F547" s="246">
        <v>3</v>
      </c>
      <c r="G547" s="246">
        <v>10</v>
      </c>
      <c r="H547" s="246">
        <v>15</v>
      </c>
      <c r="I547" s="246">
        <v>16</v>
      </c>
      <c r="J547" s="246">
        <v>17</v>
      </c>
      <c r="K547" s="246"/>
      <c r="L547" s="246"/>
      <c r="M547" s="246"/>
      <c r="N547" s="246"/>
      <c r="O547" s="246"/>
      <c r="P547" s="246"/>
      <c r="Q547" s="246"/>
      <c r="R547" s="246">
        <f>IFERROR(VLOOKUP(D547,PROGRAMAS[],2,FALSE),0)</f>
        <v>97037803.679377079</v>
      </c>
      <c r="S547" s="246">
        <f>IFERROR(VLOOKUP(E547,PROGRAMAS[],2,FALSE),0)</f>
        <v>640501509.6821388</v>
      </c>
      <c r="T547" s="246">
        <f>IFERROR(VLOOKUP(F547,PROGRAMAS[],2,FALSE),0)</f>
        <v>3062327798.1525245</v>
      </c>
      <c r="U547" s="246">
        <f>IFERROR(VLOOKUP(G547,PROGRAMAS[],2,FALSE),0)</f>
        <v>4635315027.8751087</v>
      </c>
      <c r="V547" s="246">
        <f>IFERROR(VLOOKUP(H547,PROGRAMAS[],2,FALSE),0)</f>
        <v>122159672.96346797</v>
      </c>
      <c r="W547" s="246">
        <f>IFERROR(VLOOKUP(I547,PROGRAMAS[],2,FALSE),0)</f>
        <v>7068496961.0436354</v>
      </c>
      <c r="X547" s="246">
        <f>IFERROR(VLOOKUP(J547,PROGRAMAS[],2,FALSE),0)</f>
        <v>1892779498.5211046</v>
      </c>
      <c r="Y547" s="246">
        <f>IFERROR(VLOOKUP(K547,PROGRAMAS[],2,FALSE),0)</f>
        <v>0</v>
      </c>
      <c r="Z547" s="246">
        <f>IFERROR(VLOOKUP(L547,PROGRAMAS[],2,FALSE),0)</f>
        <v>0</v>
      </c>
      <c r="AA547" s="246">
        <f>IFERROR(VLOOKUP(M547,PROGRAMAS[],2,FALSE),0)</f>
        <v>0</v>
      </c>
      <c r="AB547" s="246">
        <f>IFERROR(VLOOKUP(N547,PROGRAMAS[],2,FALSE),0)</f>
        <v>0</v>
      </c>
      <c r="AC547" s="246">
        <f>IFERROR(VLOOKUP(O547,PROGRAMAS[],2,FALSE),0)</f>
        <v>0</v>
      </c>
      <c r="AD547" s="246">
        <f>IFERROR(VLOOKUP(P547,PROGRAMAS[],2,FALSE),0)</f>
        <v>0</v>
      </c>
      <c r="AE547" s="246">
        <f>IFERROR(VLOOKUP(Q547,PROGRAMAS[],2,FALSE),0)</f>
        <v>0</v>
      </c>
      <c r="AF547" s="246">
        <f>IFERROR(VLOOKUP(D547,PROGRAMAS[],3,FALSE),0)</f>
        <v>841888629.31080008</v>
      </c>
      <c r="AG547" s="246">
        <f>IFERROR(VLOOKUP(E547,PROGRAMAS[],3,FALSE),0)</f>
        <v>3848980803.1642323</v>
      </c>
      <c r="AH547" s="246">
        <f>IFERROR(VLOOKUP(F547,PROGRAMAS[],3,FALSE),0)</f>
        <v>3394901471.387517</v>
      </c>
      <c r="AI547" s="246">
        <f>IFERROR(VLOOKUP(G547,PROGRAMAS[],3,FALSE),0)</f>
        <v>4099471734.9978786</v>
      </c>
      <c r="AJ547" s="246">
        <f>IFERROR(VLOOKUP(H547,PROGRAMAS[],3,FALSE),0)</f>
        <v>118617452.52510804</v>
      </c>
      <c r="AK547" s="246">
        <f>IFERROR(VLOOKUP(I547,PROGRAMAS[],3,FALSE),0)</f>
        <v>2406564599.0319901</v>
      </c>
      <c r="AL547" s="246">
        <f>IFERROR(VLOOKUP(J547,PROGRAMAS[],3,FALSE),0)</f>
        <v>948595847.09039903</v>
      </c>
      <c r="AM547" s="246">
        <f>IFERROR(VLOOKUP(K547,PROGRAMAS[],3,FALSE),0)</f>
        <v>0</v>
      </c>
      <c r="AN547" s="246">
        <f>IFERROR(VLOOKUP(L547,PROGRAMAS[],3,FALSE),0)</f>
        <v>0</v>
      </c>
      <c r="AO547" s="246">
        <f>IFERROR(VLOOKUP(M547,PROGRAMAS[],3,FALSE),0)</f>
        <v>0</v>
      </c>
      <c r="AP547" s="246">
        <f>IFERROR(VLOOKUP(N547,PROGRAMAS[],3,FALSE),0)</f>
        <v>0</v>
      </c>
      <c r="AQ547" s="246">
        <f>IFERROR(VLOOKUP(O547,PROGRAMAS[],3,FALSE),0)</f>
        <v>0</v>
      </c>
      <c r="AR547" s="246">
        <f>IFERROR(VLOOKUP(P547,PROGRAMAS[],3,FALSE),0)</f>
        <v>0</v>
      </c>
      <c r="AS547" s="246">
        <f>IFERROR(VLOOKUP(Q547,PROGRAMAS[],3,FALSE),0)</f>
        <v>0</v>
      </c>
      <c r="AT547" s="246">
        <f>IFERROR(VLOOKUP(D547,VOL_REC[],2,FALSE),0)</f>
        <v>0</v>
      </c>
      <c r="AU547" s="246">
        <f>IFERROR(VLOOKUP(E547,VOL_REC[],2,FALSE),0)</f>
        <v>0</v>
      </c>
      <c r="AV547" s="246">
        <f>IFERROR(VLOOKUP(F547,VOL_REC[],2,FALSE),0)</f>
        <v>11089674.200000001</v>
      </c>
      <c r="AW547" s="246">
        <f>IFERROR(VLOOKUP(G547,VOL_REC[],2,FALSE),0)</f>
        <v>1812240</v>
      </c>
      <c r="AX547" s="246">
        <f>IFERROR(VLOOKUP(H547,VOL_REC[],2,FALSE),0)</f>
        <v>105072</v>
      </c>
      <c r="AY547" s="246">
        <f>IFERROR(VLOOKUP(I547,VOL_REC[],2,FALSE),0)</f>
        <v>1072354.9981737854</v>
      </c>
      <c r="AZ547" s="246">
        <f>IFERROR(VLOOKUP(J547,VOL_REC[],2,FALSE),0)</f>
        <v>740113.98115702497</v>
      </c>
      <c r="BA547" s="246">
        <f>IFERROR(VLOOKUP(K547,VOL_REC[],2,FALSE),0)</f>
        <v>0</v>
      </c>
      <c r="BB547" s="246">
        <f>IFERROR(VLOOKUP(L547,VOL_REC[],2,FALSE),0)</f>
        <v>0</v>
      </c>
      <c r="BC547" s="246">
        <f>IFERROR(VLOOKUP(M547,VOL_REC[],2,FALSE),0)</f>
        <v>0</v>
      </c>
      <c r="BD547" s="246">
        <f>IFERROR(VLOOKUP(N547,VOL_REC[],2,FALSE),0)</f>
        <v>0</v>
      </c>
      <c r="BE547" s="246">
        <f>IFERROR(VLOOKUP(O547,VOL_REC[],2,FALSE),0)</f>
        <v>0</v>
      </c>
      <c r="BF547" s="246">
        <f>IFERROR(VLOOKUP(P547,VOL_REC[],2,FALSE),0)</f>
        <v>0</v>
      </c>
      <c r="BG547" s="246">
        <f>IFERROR(VLOOKUP(Q547,VOL_REC[],2,FALSE),0)</f>
        <v>0</v>
      </c>
      <c r="BH547" s="1710">
        <f t="shared" si="32"/>
        <v>17518618271.917355</v>
      </c>
      <c r="BI547" s="1710">
        <f t="shared" si="33"/>
        <v>15659020537.507925</v>
      </c>
      <c r="BJ547" s="1711">
        <f t="shared" si="34"/>
        <v>14819455.179330813</v>
      </c>
      <c r="BK547" s="1711">
        <f t="shared" si="35"/>
        <v>1.1187556865357671</v>
      </c>
      <c r="BL547">
        <f>BJ547</f>
        <v>14819455.179330813</v>
      </c>
      <c r="BO547">
        <f>BL547</f>
        <v>14819455.179330813</v>
      </c>
    </row>
    <row r="548" spans="3:67" x14ac:dyDescent="0.25">
      <c r="C548" s="246" t="s">
        <v>1898</v>
      </c>
      <c r="D548" s="246">
        <v>1</v>
      </c>
      <c r="E548" s="246">
        <v>2</v>
      </c>
      <c r="F548" s="246">
        <v>3</v>
      </c>
      <c r="G548" s="246">
        <v>12</v>
      </c>
      <c r="H548" s="246">
        <v>13</v>
      </c>
      <c r="I548" s="246">
        <v>14</v>
      </c>
      <c r="J548" s="246">
        <v>15</v>
      </c>
      <c r="K548" s="246"/>
      <c r="L548" s="246"/>
      <c r="M548" s="246"/>
      <c r="N548" s="246"/>
      <c r="O548" s="246"/>
      <c r="P548" s="246"/>
      <c r="Q548" s="246"/>
      <c r="R548" s="246">
        <f>IFERROR(VLOOKUP(D548,PROGRAMAS[],2,FALSE),0)</f>
        <v>97037803.679377079</v>
      </c>
      <c r="S548" s="246">
        <f>IFERROR(VLOOKUP(E548,PROGRAMAS[],2,FALSE),0)</f>
        <v>640501509.6821388</v>
      </c>
      <c r="T548" s="246">
        <f>IFERROR(VLOOKUP(F548,PROGRAMAS[],2,FALSE),0)</f>
        <v>3062327798.1525245</v>
      </c>
      <c r="U548" s="246">
        <f>IFERROR(VLOOKUP(G548,PROGRAMAS[],2,FALSE),0)</f>
        <v>764796700.79905891</v>
      </c>
      <c r="V548" s="246">
        <f>IFERROR(VLOOKUP(H548,PROGRAMAS[],2,FALSE),0)</f>
        <v>3776538594.4604583</v>
      </c>
      <c r="W548" s="246">
        <f>IFERROR(VLOOKUP(I548,PROGRAMAS[],2,FALSE),0)</f>
        <v>54223862.645839565</v>
      </c>
      <c r="X548" s="246">
        <f>IFERROR(VLOOKUP(J548,PROGRAMAS[],2,FALSE),0)</f>
        <v>122159672.96346797</v>
      </c>
      <c r="Y548" s="246">
        <f>IFERROR(VLOOKUP(K548,PROGRAMAS[],2,FALSE),0)</f>
        <v>0</v>
      </c>
      <c r="Z548" s="246">
        <f>IFERROR(VLOOKUP(L548,PROGRAMAS[],2,FALSE),0)</f>
        <v>0</v>
      </c>
      <c r="AA548" s="246">
        <f>IFERROR(VLOOKUP(M548,PROGRAMAS[],2,FALSE),0)</f>
        <v>0</v>
      </c>
      <c r="AB548" s="246">
        <f>IFERROR(VLOOKUP(N548,PROGRAMAS[],2,FALSE),0)</f>
        <v>0</v>
      </c>
      <c r="AC548" s="246">
        <f>IFERROR(VLOOKUP(O548,PROGRAMAS[],2,FALSE),0)</f>
        <v>0</v>
      </c>
      <c r="AD548" s="246">
        <f>IFERROR(VLOOKUP(P548,PROGRAMAS[],2,FALSE),0)</f>
        <v>0</v>
      </c>
      <c r="AE548" s="246">
        <f>IFERROR(VLOOKUP(Q548,PROGRAMAS[],2,FALSE),0)</f>
        <v>0</v>
      </c>
      <c r="AF548" s="246">
        <f>IFERROR(VLOOKUP(D548,PROGRAMAS[],3,FALSE),0)</f>
        <v>841888629.31080008</v>
      </c>
      <c r="AG548" s="246">
        <f>IFERROR(VLOOKUP(E548,PROGRAMAS[],3,FALSE),0)</f>
        <v>3848980803.1642323</v>
      </c>
      <c r="AH548" s="246">
        <f>IFERROR(VLOOKUP(F548,PROGRAMAS[],3,FALSE),0)</f>
        <v>3394901471.387517</v>
      </c>
      <c r="AI548" s="246">
        <f>IFERROR(VLOOKUP(G548,PROGRAMAS[],3,FALSE),0)</f>
        <v>675517840.109828</v>
      </c>
      <c r="AJ548" s="246">
        <f>IFERROR(VLOOKUP(H548,PROGRAMAS[],3,FALSE),0)</f>
        <v>2392571243.5584412</v>
      </c>
      <c r="AK548" s="246">
        <f>IFERROR(VLOOKUP(I548,PROGRAMAS[],3,FALSE),0)</f>
        <v>31865326.38096505</v>
      </c>
      <c r="AL548" s="246">
        <f>IFERROR(VLOOKUP(J548,PROGRAMAS[],3,FALSE),0)</f>
        <v>118617452.52510804</v>
      </c>
      <c r="AM548" s="246">
        <f>IFERROR(VLOOKUP(K548,PROGRAMAS[],3,FALSE),0)</f>
        <v>0</v>
      </c>
      <c r="AN548" s="246">
        <f>IFERROR(VLOOKUP(L548,PROGRAMAS[],3,FALSE),0)</f>
        <v>0</v>
      </c>
      <c r="AO548" s="246">
        <f>IFERROR(VLOOKUP(M548,PROGRAMAS[],3,FALSE),0)</f>
        <v>0</v>
      </c>
      <c r="AP548" s="246">
        <f>IFERROR(VLOOKUP(N548,PROGRAMAS[],3,FALSE),0)</f>
        <v>0</v>
      </c>
      <c r="AQ548" s="246">
        <f>IFERROR(VLOOKUP(O548,PROGRAMAS[],3,FALSE),0)</f>
        <v>0</v>
      </c>
      <c r="AR548" s="246">
        <f>IFERROR(VLOOKUP(P548,PROGRAMAS[],3,FALSE),0)</f>
        <v>0</v>
      </c>
      <c r="AS548" s="246">
        <f>IFERROR(VLOOKUP(Q548,PROGRAMAS[],3,FALSE),0)</f>
        <v>0</v>
      </c>
      <c r="AT548" s="246">
        <f>IFERROR(VLOOKUP(D548,VOL_REC[],2,FALSE),0)</f>
        <v>0</v>
      </c>
      <c r="AU548" s="246">
        <f>IFERROR(VLOOKUP(E548,VOL_REC[],2,FALSE),0)</f>
        <v>0</v>
      </c>
      <c r="AV548" s="246">
        <f>IFERROR(VLOOKUP(F548,VOL_REC[],2,FALSE),0)</f>
        <v>11089674.200000001</v>
      </c>
      <c r="AW548" s="246">
        <f>IFERROR(VLOOKUP(G548,VOL_REC[],2,FALSE),0)</f>
        <v>240696.79238099116</v>
      </c>
      <c r="AX548" s="246">
        <f>IFERROR(VLOOKUP(H548,VOL_REC[],2,FALSE),0)</f>
        <v>663244.80000000016</v>
      </c>
      <c r="AY548" s="246">
        <f>IFERROR(VLOOKUP(I548,VOL_REC[],2,FALSE),0)</f>
        <v>17074.045034105649</v>
      </c>
      <c r="AZ548" s="246">
        <f>IFERROR(VLOOKUP(J548,VOL_REC[],2,FALSE),0)</f>
        <v>105072</v>
      </c>
      <c r="BA548" s="246">
        <f>IFERROR(VLOOKUP(K548,VOL_REC[],2,FALSE),0)</f>
        <v>0</v>
      </c>
      <c r="BB548" s="246">
        <f>IFERROR(VLOOKUP(L548,VOL_REC[],2,FALSE),0)</f>
        <v>0</v>
      </c>
      <c r="BC548" s="246">
        <f>IFERROR(VLOOKUP(M548,VOL_REC[],2,FALSE),0)</f>
        <v>0</v>
      </c>
      <c r="BD548" s="246">
        <f>IFERROR(VLOOKUP(N548,VOL_REC[],2,FALSE),0)</f>
        <v>0</v>
      </c>
      <c r="BE548" s="246">
        <f>IFERROR(VLOOKUP(O548,VOL_REC[],2,FALSE),0)</f>
        <v>0</v>
      </c>
      <c r="BF548" s="246">
        <f>IFERROR(VLOOKUP(P548,VOL_REC[],2,FALSE),0)</f>
        <v>0</v>
      </c>
      <c r="BG548" s="246">
        <f>IFERROR(VLOOKUP(Q548,VOL_REC[],2,FALSE),0)</f>
        <v>0</v>
      </c>
      <c r="BH548" s="1710">
        <f t="shared" si="32"/>
        <v>8517585942.382865</v>
      </c>
      <c r="BI548" s="1710">
        <f t="shared" si="33"/>
        <v>11304342766.436892</v>
      </c>
      <c r="BJ548" s="1711">
        <f t="shared" si="34"/>
        <v>12115761.837415097</v>
      </c>
      <c r="BK548" s="1711">
        <f t="shared" si="35"/>
        <v>0.75347909368707089</v>
      </c>
    </row>
    <row r="549" spans="3:67" x14ac:dyDescent="0.25">
      <c r="C549" s="246" t="s">
        <v>1899</v>
      </c>
      <c r="D549" s="246">
        <v>1</v>
      </c>
      <c r="E549" s="246">
        <v>2</v>
      </c>
      <c r="F549" s="246">
        <v>3</v>
      </c>
      <c r="G549" s="246">
        <v>12</v>
      </c>
      <c r="H549" s="246">
        <v>13</v>
      </c>
      <c r="I549" s="246">
        <v>14</v>
      </c>
      <c r="J549" s="246">
        <v>16</v>
      </c>
      <c r="K549" s="246"/>
      <c r="L549" s="246"/>
      <c r="M549" s="246"/>
      <c r="N549" s="246"/>
      <c r="O549" s="246"/>
      <c r="P549" s="246"/>
      <c r="Q549" s="246"/>
      <c r="R549" s="246">
        <f>IFERROR(VLOOKUP(D549,PROGRAMAS[],2,FALSE),0)</f>
        <v>97037803.679377079</v>
      </c>
      <c r="S549" s="246">
        <f>IFERROR(VLOOKUP(E549,PROGRAMAS[],2,FALSE),0)</f>
        <v>640501509.6821388</v>
      </c>
      <c r="T549" s="246">
        <f>IFERROR(VLOOKUP(F549,PROGRAMAS[],2,FALSE),0)</f>
        <v>3062327798.1525245</v>
      </c>
      <c r="U549" s="246">
        <f>IFERROR(VLOOKUP(G549,PROGRAMAS[],2,FALSE),0)</f>
        <v>764796700.79905891</v>
      </c>
      <c r="V549" s="246">
        <f>IFERROR(VLOOKUP(H549,PROGRAMAS[],2,FALSE),0)</f>
        <v>3776538594.4604583</v>
      </c>
      <c r="W549" s="246">
        <f>IFERROR(VLOOKUP(I549,PROGRAMAS[],2,FALSE),0)</f>
        <v>54223862.645839565</v>
      </c>
      <c r="X549" s="246">
        <f>IFERROR(VLOOKUP(J549,PROGRAMAS[],2,FALSE),0)</f>
        <v>7068496961.0436354</v>
      </c>
      <c r="Y549" s="246">
        <f>IFERROR(VLOOKUP(K549,PROGRAMAS[],2,FALSE),0)</f>
        <v>0</v>
      </c>
      <c r="Z549" s="246">
        <f>IFERROR(VLOOKUP(L549,PROGRAMAS[],2,FALSE),0)</f>
        <v>0</v>
      </c>
      <c r="AA549" s="246">
        <f>IFERROR(VLOOKUP(M549,PROGRAMAS[],2,FALSE),0)</f>
        <v>0</v>
      </c>
      <c r="AB549" s="246">
        <f>IFERROR(VLOOKUP(N549,PROGRAMAS[],2,FALSE),0)</f>
        <v>0</v>
      </c>
      <c r="AC549" s="246">
        <f>IFERROR(VLOOKUP(O549,PROGRAMAS[],2,FALSE),0)</f>
        <v>0</v>
      </c>
      <c r="AD549" s="246">
        <f>IFERROR(VLOOKUP(P549,PROGRAMAS[],2,FALSE),0)</f>
        <v>0</v>
      </c>
      <c r="AE549" s="246">
        <f>IFERROR(VLOOKUP(Q549,PROGRAMAS[],2,FALSE),0)</f>
        <v>0</v>
      </c>
      <c r="AF549" s="246">
        <f>IFERROR(VLOOKUP(D549,PROGRAMAS[],3,FALSE),0)</f>
        <v>841888629.31080008</v>
      </c>
      <c r="AG549" s="246">
        <f>IFERROR(VLOOKUP(E549,PROGRAMAS[],3,FALSE),0)</f>
        <v>3848980803.1642323</v>
      </c>
      <c r="AH549" s="246">
        <f>IFERROR(VLOOKUP(F549,PROGRAMAS[],3,FALSE),0)</f>
        <v>3394901471.387517</v>
      </c>
      <c r="AI549" s="246">
        <f>IFERROR(VLOOKUP(G549,PROGRAMAS[],3,FALSE),0)</f>
        <v>675517840.109828</v>
      </c>
      <c r="AJ549" s="246">
        <f>IFERROR(VLOOKUP(H549,PROGRAMAS[],3,FALSE),0)</f>
        <v>2392571243.5584412</v>
      </c>
      <c r="AK549" s="246">
        <f>IFERROR(VLOOKUP(I549,PROGRAMAS[],3,FALSE),0)</f>
        <v>31865326.38096505</v>
      </c>
      <c r="AL549" s="246">
        <f>IFERROR(VLOOKUP(J549,PROGRAMAS[],3,FALSE),0)</f>
        <v>2406564599.0319901</v>
      </c>
      <c r="AM549" s="246">
        <f>IFERROR(VLOOKUP(K549,PROGRAMAS[],3,FALSE),0)</f>
        <v>0</v>
      </c>
      <c r="AN549" s="246">
        <f>IFERROR(VLOOKUP(L549,PROGRAMAS[],3,FALSE),0)</f>
        <v>0</v>
      </c>
      <c r="AO549" s="246">
        <f>IFERROR(VLOOKUP(M549,PROGRAMAS[],3,FALSE),0)</f>
        <v>0</v>
      </c>
      <c r="AP549" s="246">
        <f>IFERROR(VLOOKUP(N549,PROGRAMAS[],3,FALSE),0)</f>
        <v>0</v>
      </c>
      <c r="AQ549" s="246">
        <f>IFERROR(VLOOKUP(O549,PROGRAMAS[],3,FALSE),0)</f>
        <v>0</v>
      </c>
      <c r="AR549" s="246">
        <f>IFERROR(VLOOKUP(P549,PROGRAMAS[],3,FALSE),0)</f>
        <v>0</v>
      </c>
      <c r="AS549" s="246">
        <f>IFERROR(VLOOKUP(Q549,PROGRAMAS[],3,FALSE),0)</f>
        <v>0</v>
      </c>
      <c r="AT549" s="246">
        <f>IFERROR(VLOOKUP(D549,VOL_REC[],2,FALSE),0)</f>
        <v>0</v>
      </c>
      <c r="AU549" s="246">
        <f>IFERROR(VLOOKUP(E549,VOL_REC[],2,FALSE),0)</f>
        <v>0</v>
      </c>
      <c r="AV549" s="246">
        <f>IFERROR(VLOOKUP(F549,VOL_REC[],2,FALSE),0)</f>
        <v>11089674.200000001</v>
      </c>
      <c r="AW549" s="246">
        <f>IFERROR(VLOOKUP(G549,VOL_REC[],2,FALSE),0)</f>
        <v>240696.79238099116</v>
      </c>
      <c r="AX549" s="246">
        <f>IFERROR(VLOOKUP(H549,VOL_REC[],2,FALSE),0)</f>
        <v>663244.80000000016</v>
      </c>
      <c r="AY549" s="246">
        <f>IFERROR(VLOOKUP(I549,VOL_REC[],2,FALSE),0)</f>
        <v>17074.045034105649</v>
      </c>
      <c r="AZ549" s="246">
        <f>IFERROR(VLOOKUP(J549,VOL_REC[],2,FALSE),0)</f>
        <v>1072354.9981737854</v>
      </c>
      <c r="BA549" s="246">
        <f>IFERROR(VLOOKUP(K549,VOL_REC[],2,FALSE),0)</f>
        <v>0</v>
      </c>
      <c r="BB549" s="246">
        <f>IFERROR(VLOOKUP(L549,VOL_REC[],2,FALSE),0)</f>
        <v>0</v>
      </c>
      <c r="BC549" s="246">
        <f>IFERROR(VLOOKUP(M549,VOL_REC[],2,FALSE),0)</f>
        <v>0</v>
      </c>
      <c r="BD549" s="246">
        <f>IFERROR(VLOOKUP(N549,VOL_REC[],2,FALSE),0)</f>
        <v>0</v>
      </c>
      <c r="BE549" s="246">
        <f>IFERROR(VLOOKUP(O549,VOL_REC[],2,FALSE),0)</f>
        <v>0</v>
      </c>
      <c r="BF549" s="246">
        <f>IFERROR(VLOOKUP(P549,VOL_REC[],2,FALSE),0)</f>
        <v>0</v>
      </c>
      <c r="BG549" s="246">
        <f>IFERROR(VLOOKUP(Q549,VOL_REC[],2,FALSE),0)</f>
        <v>0</v>
      </c>
      <c r="BH549" s="1710">
        <f t="shared" si="32"/>
        <v>15463923230.463032</v>
      </c>
      <c r="BI549" s="1710">
        <f t="shared" si="33"/>
        <v>13592289912.943773</v>
      </c>
      <c r="BJ549" s="1711">
        <f t="shared" si="34"/>
        <v>13083044.835588884</v>
      </c>
      <c r="BK549" s="1711">
        <f t="shared" si="35"/>
        <v>1.1376981604649945</v>
      </c>
      <c r="BL549">
        <f>BJ549</f>
        <v>13083044.835588884</v>
      </c>
      <c r="BO549">
        <f>BL549</f>
        <v>13083044.835588884</v>
      </c>
    </row>
    <row r="550" spans="3:67" x14ac:dyDescent="0.25">
      <c r="C550" s="246" t="s">
        <v>1900</v>
      </c>
      <c r="D550" s="246">
        <v>1</v>
      </c>
      <c r="E550" s="246">
        <v>2</v>
      </c>
      <c r="F550" s="246">
        <v>3</v>
      </c>
      <c r="G550" s="246">
        <v>12</v>
      </c>
      <c r="H550" s="246">
        <v>13</v>
      </c>
      <c r="I550" s="246">
        <v>14</v>
      </c>
      <c r="J550" s="246">
        <v>17</v>
      </c>
      <c r="K550" s="246"/>
      <c r="L550" s="246"/>
      <c r="M550" s="246"/>
      <c r="N550" s="246"/>
      <c r="O550" s="246"/>
      <c r="P550" s="246"/>
      <c r="Q550" s="246"/>
      <c r="R550" s="246">
        <f>IFERROR(VLOOKUP(D550,PROGRAMAS[],2,FALSE),0)</f>
        <v>97037803.679377079</v>
      </c>
      <c r="S550" s="246">
        <f>IFERROR(VLOOKUP(E550,PROGRAMAS[],2,FALSE),0)</f>
        <v>640501509.6821388</v>
      </c>
      <c r="T550" s="246">
        <f>IFERROR(VLOOKUP(F550,PROGRAMAS[],2,FALSE),0)</f>
        <v>3062327798.1525245</v>
      </c>
      <c r="U550" s="246">
        <f>IFERROR(VLOOKUP(G550,PROGRAMAS[],2,FALSE),0)</f>
        <v>764796700.79905891</v>
      </c>
      <c r="V550" s="246">
        <f>IFERROR(VLOOKUP(H550,PROGRAMAS[],2,FALSE),0)</f>
        <v>3776538594.4604583</v>
      </c>
      <c r="W550" s="246">
        <f>IFERROR(VLOOKUP(I550,PROGRAMAS[],2,FALSE),0)</f>
        <v>54223862.645839565</v>
      </c>
      <c r="X550" s="246">
        <f>IFERROR(VLOOKUP(J550,PROGRAMAS[],2,FALSE),0)</f>
        <v>1892779498.5211046</v>
      </c>
      <c r="Y550" s="246">
        <f>IFERROR(VLOOKUP(K550,PROGRAMAS[],2,FALSE),0)</f>
        <v>0</v>
      </c>
      <c r="Z550" s="246">
        <f>IFERROR(VLOOKUP(L550,PROGRAMAS[],2,FALSE),0)</f>
        <v>0</v>
      </c>
      <c r="AA550" s="246">
        <f>IFERROR(VLOOKUP(M550,PROGRAMAS[],2,FALSE),0)</f>
        <v>0</v>
      </c>
      <c r="AB550" s="246">
        <f>IFERROR(VLOOKUP(N550,PROGRAMAS[],2,FALSE),0)</f>
        <v>0</v>
      </c>
      <c r="AC550" s="246">
        <f>IFERROR(VLOOKUP(O550,PROGRAMAS[],2,FALSE),0)</f>
        <v>0</v>
      </c>
      <c r="AD550" s="246">
        <f>IFERROR(VLOOKUP(P550,PROGRAMAS[],2,FALSE),0)</f>
        <v>0</v>
      </c>
      <c r="AE550" s="246">
        <f>IFERROR(VLOOKUP(Q550,PROGRAMAS[],2,FALSE),0)</f>
        <v>0</v>
      </c>
      <c r="AF550" s="246">
        <f>IFERROR(VLOOKUP(D550,PROGRAMAS[],3,FALSE),0)</f>
        <v>841888629.31080008</v>
      </c>
      <c r="AG550" s="246">
        <f>IFERROR(VLOOKUP(E550,PROGRAMAS[],3,FALSE),0)</f>
        <v>3848980803.1642323</v>
      </c>
      <c r="AH550" s="246">
        <f>IFERROR(VLOOKUP(F550,PROGRAMAS[],3,FALSE),0)</f>
        <v>3394901471.387517</v>
      </c>
      <c r="AI550" s="246">
        <f>IFERROR(VLOOKUP(G550,PROGRAMAS[],3,FALSE),0)</f>
        <v>675517840.109828</v>
      </c>
      <c r="AJ550" s="246">
        <f>IFERROR(VLOOKUP(H550,PROGRAMAS[],3,FALSE),0)</f>
        <v>2392571243.5584412</v>
      </c>
      <c r="AK550" s="246">
        <f>IFERROR(VLOOKUP(I550,PROGRAMAS[],3,FALSE),0)</f>
        <v>31865326.38096505</v>
      </c>
      <c r="AL550" s="246">
        <f>IFERROR(VLOOKUP(J550,PROGRAMAS[],3,FALSE),0)</f>
        <v>948595847.09039903</v>
      </c>
      <c r="AM550" s="246">
        <f>IFERROR(VLOOKUP(K550,PROGRAMAS[],3,FALSE),0)</f>
        <v>0</v>
      </c>
      <c r="AN550" s="246">
        <f>IFERROR(VLOOKUP(L550,PROGRAMAS[],3,FALSE),0)</f>
        <v>0</v>
      </c>
      <c r="AO550" s="246">
        <f>IFERROR(VLOOKUP(M550,PROGRAMAS[],3,FALSE),0)</f>
        <v>0</v>
      </c>
      <c r="AP550" s="246">
        <f>IFERROR(VLOOKUP(N550,PROGRAMAS[],3,FALSE),0)</f>
        <v>0</v>
      </c>
      <c r="AQ550" s="246">
        <f>IFERROR(VLOOKUP(O550,PROGRAMAS[],3,FALSE),0)</f>
        <v>0</v>
      </c>
      <c r="AR550" s="246">
        <f>IFERROR(VLOOKUP(P550,PROGRAMAS[],3,FALSE),0)</f>
        <v>0</v>
      </c>
      <c r="AS550" s="246">
        <f>IFERROR(VLOOKUP(Q550,PROGRAMAS[],3,FALSE),0)</f>
        <v>0</v>
      </c>
      <c r="AT550" s="246">
        <f>IFERROR(VLOOKUP(D550,VOL_REC[],2,FALSE),0)</f>
        <v>0</v>
      </c>
      <c r="AU550" s="246">
        <f>IFERROR(VLOOKUP(E550,VOL_REC[],2,FALSE),0)</f>
        <v>0</v>
      </c>
      <c r="AV550" s="246">
        <f>IFERROR(VLOOKUP(F550,VOL_REC[],2,FALSE),0)</f>
        <v>11089674.200000001</v>
      </c>
      <c r="AW550" s="246">
        <f>IFERROR(VLOOKUP(G550,VOL_REC[],2,FALSE),0)</f>
        <v>240696.79238099116</v>
      </c>
      <c r="AX550" s="246">
        <f>IFERROR(VLOOKUP(H550,VOL_REC[],2,FALSE),0)</f>
        <v>663244.80000000016</v>
      </c>
      <c r="AY550" s="246">
        <f>IFERROR(VLOOKUP(I550,VOL_REC[],2,FALSE),0)</f>
        <v>17074.045034105649</v>
      </c>
      <c r="AZ550" s="246">
        <f>IFERROR(VLOOKUP(J550,VOL_REC[],2,FALSE),0)</f>
        <v>740113.98115702497</v>
      </c>
      <c r="BA550" s="246">
        <f>IFERROR(VLOOKUP(K550,VOL_REC[],2,FALSE),0)</f>
        <v>0</v>
      </c>
      <c r="BB550" s="246">
        <f>IFERROR(VLOOKUP(L550,VOL_REC[],2,FALSE),0)</f>
        <v>0</v>
      </c>
      <c r="BC550" s="246">
        <f>IFERROR(VLOOKUP(M550,VOL_REC[],2,FALSE),0)</f>
        <v>0</v>
      </c>
      <c r="BD550" s="246">
        <f>IFERROR(VLOOKUP(N550,VOL_REC[],2,FALSE),0)</f>
        <v>0</v>
      </c>
      <c r="BE550" s="246">
        <f>IFERROR(VLOOKUP(O550,VOL_REC[],2,FALSE),0)</f>
        <v>0</v>
      </c>
      <c r="BF550" s="246">
        <f>IFERROR(VLOOKUP(P550,VOL_REC[],2,FALSE),0)</f>
        <v>0</v>
      </c>
      <c r="BG550" s="246">
        <f>IFERROR(VLOOKUP(Q550,VOL_REC[],2,FALSE),0)</f>
        <v>0</v>
      </c>
      <c r="BH550" s="1710">
        <f t="shared" si="32"/>
        <v>10288205767.940502</v>
      </c>
      <c r="BI550" s="1710">
        <f t="shared" si="33"/>
        <v>12134321161.002182</v>
      </c>
      <c r="BJ550" s="1711">
        <f t="shared" si="34"/>
        <v>12750803.818572123</v>
      </c>
      <c r="BK550" s="1711">
        <f t="shared" si="35"/>
        <v>0.84786001882043416</v>
      </c>
    </row>
    <row r="551" spans="3:67" x14ac:dyDescent="0.25">
      <c r="C551" s="246" t="s">
        <v>1901</v>
      </c>
      <c r="D551" s="246">
        <v>1</v>
      </c>
      <c r="E551" s="246">
        <v>2</v>
      </c>
      <c r="F551" s="246">
        <v>3</v>
      </c>
      <c r="G551" s="246">
        <v>12</v>
      </c>
      <c r="H551" s="246">
        <v>13</v>
      </c>
      <c r="I551" s="246">
        <v>15</v>
      </c>
      <c r="J551" s="246">
        <v>16</v>
      </c>
      <c r="K551" s="246"/>
      <c r="L551" s="246"/>
      <c r="M551" s="246"/>
      <c r="N551" s="246"/>
      <c r="O551" s="246"/>
      <c r="P551" s="246"/>
      <c r="Q551" s="246"/>
      <c r="R551" s="246">
        <f>IFERROR(VLOOKUP(D551,PROGRAMAS[],2,FALSE),0)</f>
        <v>97037803.679377079</v>
      </c>
      <c r="S551" s="246">
        <f>IFERROR(VLOOKUP(E551,PROGRAMAS[],2,FALSE),0)</f>
        <v>640501509.6821388</v>
      </c>
      <c r="T551" s="246">
        <f>IFERROR(VLOOKUP(F551,PROGRAMAS[],2,FALSE),0)</f>
        <v>3062327798.1525245</v>
      </c>
      <c r="U551" s="246">
        <f>IFERROR(VLOOKUP(G551,PROGRAMAS[],2,FALSE),0)</f>
        <v>764796700.79905891</v>
      </c>
      <c r="V551" s="246">
        <f>IFERROR(VLOOKUP(H551,PROGRAMAS[],2,FALSE),0)</f>
        <v>3776538594.4604583</v>
      </c>
      <c r="W551" s="246">
        <f>IFERROR(VLOOKUP(I551,PROGRAMAS[],2,FALSE),0)</f>
        <v>122159672.96346797</v>
      </c>
      <c r="X551" s="246">
        <f>IFERROR(VLOOKUP(J551,PROGRAMAS[],2,FALSE),0)</f>
        <v>7068496961.0436354</v>
      </c>
      <c r="Y551" s="246">
        <f>IFERROR(VLOOKUP(K551,PROGRAMAS[],2,FALSE),0)</f>
        <v>0</v>
      </c>
      <c r="Z551" s="246">
        <f>IFERROR(VLOOKUP(L551,PROGRAMAS[],2,FALSE),0)</f>
        <v>0</v>
      </c>
      <c r="AA551" s="246">
        <f>IFERROR(VLOOKUP(M551,PROGRAMAS[],2,FALSE),0)</f>
        <v>0</v>
      </c>
      <c r="AB551" s="246">
        <f>IFERROR(VLOOKUP(N551,PROGRAMAS[],2,FALSE),0)</f>
        <v>0</v>
      </c>
      <c r="AC551" s="246">
        <f>IFERROR(VLOOKUP(O551,PROGRAMAS[],2,FALSE),0)</f>
        <v>0</v>
      </c>
      <c r="AD551" s="246">
        <f>IFERROR(VLOOKUP(P551,PROGRAMAS[],2,FALSE),0)</f>
        <v>0</v>
      </c>
      <c r="AE551" s="246">
        <f>IFERROR(VLOOKUP(Q551,PROGRAMAS[],2,FALSE),0)</f>
        <v>0</v>
      </c>
      <c r="AF551" s="246">
        <f>IFERROR(VLOOKUP(D551,PROGRAMAS[],3,FALSE),0)</f>
        <v>841888629.31080008</v>
      </c>
      <c r="AG551" s="246">
        <f>IFERROR(VLOOKUP(E551,PROGRAMAS[],3,FALSE),0)</f>
        <v>3848980803.1642323</v>
      </c>
      <c r="AH551" s="246">
        <f>IFERROR(VLOOKUP(F551,PROGRAMAS[],3,FALSE),0)</f>
        <v>3394901471.387517</v>
      </c>
      <c r="AI551" s="246">
        <f>IFERROR(VLOOKUP(G551,PROGRAMAS[],3,FALSE),0)</f>
        <v>675517840.109828</v>
      </c>
      <c r="AJ551" s="246">
        <f>IFERROR(VLOOKUP(H551,PROGRAMAS[],3,FALSE),0)</f>
        <v>2392571243.5584412</v>
      </c>
      <c r="AK551" s="246">
        <f>IFERROR(VLOOKUP(I551,PROGRAMAS[],3,FALSE),0)</f>
        <v>118617452.52510804</v>
      </c>
      <c r="AL551" s="246">
        <f>IFERROR(VLOOKUP(J551,PROGRAMAS[],3,FALSE),0)</f>
        <v>2406564599.0319901</v>
      </c>
      <c r="AM551" s="246">
        <f>IFERROR(VLOOKUP(K551,PROGRAMAS[],3,FALSE),0)</f>
        <v>0</v>
      </c>
      <c r="AN551" s="246">
        <f>IFERROR(VLOOKUP(L551,PROGRAMAS[],3,FALSE),0)</f>
        <v>0</v>
      </c>
      <c r="AO551" s="246">
        <f>IFERROR(VLOOKUP(M551,PROGRAMAS[],3,FALSE),0)</f>
        <v>0</v>
      </c>
      <c r="AP551" s="246">
        <f>IFERROR(VLOOKUP(N551,PROGRAMAS[],3,FALSE),0)</f>
        <v>0</v>
      </c>
      <c r="AQ551" s="246">
        <f>IFERROR(VLOOKUP(O551,PROGRAMAS[],3,FALSE),0)</f>
        <v>0</v>
      </c>
      <c r="AR551" s="246">
        <f>IFERROR(VLOOKUP(P551,PROGRAMAS[],3,FALSE),0)</f>
        <v>0</v>
      </c>
      <c r="AS551" s="246">
        <f>IFERROR(VLOOKUP(Q551,PROGRAMAS[],3,FALSE),0)</f>
        <v>0</v>
      </c>
      <c r="AT551" s="246">
        <f>IFERROR(VLOOKUP(D551,VOL_REC[],2,FALSE),0)</f>
        <v>0</v>
      </c>
      <c r="AU551" s="246">
        <f>IFERROR(VLOOKUP(E551,VOL_REC[],2,FALSE),0)</f>
        <v>0</v>
      </c>
      <c r="AV551" s="246">
        <f>IFERROR(VLOOKUP(F551,VOL_REC[],2,FALSE),0)</f>
        <v>11089674.200000001</v>
      </c>
      <c r="AW551" s="246">
        <f>IFERROR(VLOOKUP(G551,VOL_REC[],2,FALSE),0)</f>
        <v>240696.79238099116</v>
      </c>
      <c r="AX551" s="246">
        <f>IFERROR(VLOOKUP(H551,VOL_REC[],2,FALSE),0)</f>
        <v>663244.80000000016</v>
      </c>
      <c r="AY551" s="246">
        <f>IFERROR(VLOOKUP(I551,VOL_REC[],2,FALSE),0)</f>
        <v>105072</v>
      </c>
      <c r="AZ551" s="246">
        <f>IFERROR(VLOOKUP(J551,VOL_REC[],2,FALSE),0)</f>
        <v>1072354.9981737854</v>
      </c>
      <c r="BA551" s="246">
        <f>IFERROR(VLOOKUP(K551,VOL_REC[],2,FALSE),0)</f>
        <v>0</v>
      </c>
      <c r="BB551" s="246">
        <f>IFERROR(VLOOKUP(L551,VOL_REC[],2,FALSE),0)</f>
        <v>0</v>
      </c>
      <c r="BC551" s="246">
        <f>IFERROR(VLOOKUP(M551,VOL_REC[],2,FALSE),0)</f>
        <v>0</v>
      </c>
      <c r="BD551" s="246">
        <f>IFERROR(VLOOKUP(N551,VOL_REC[],2,FALSE),0)</f>
        <v>0</v>
      </c>
      <c r="BE551" s="246">
        <f>IFERROR(VLOOKUP(O551,VOL_REC[],2,FALSE),0)</f>
        <v>0</v>
      </c>
      <c r="BF551" s="246">
        <f>IFERROR(VLOOKUP(P551,VOL_REC[],2,FALSE),0)</f>
        <v>0</v>
      </c>
      <c r="BG551" s="246">
        <f>IFERROR(VLOOKUP(Q551,VOL_REC[],2,FALSE),0)</f>
        <v>0</v>
      </c>
      <c r="BH551" s="1710">
        <f t="shared" si="32"/>
        <v>15531859040.780661</v>
      </c>
      <c r="BI551" s="1710">
        <f t="shared" si="33"/>
        <v>13679042039.087917</v>
      </c>
      <c r="BJ551" s="1711">
        <f t="shared" si="34"/>
        <v>13171042.790554777</v>
      </c>
      <c r="BK551" s="1711">
        <f t="shared" si="35"/>
        <v>1.1354493243312149</v>
      </c>
      <c r="BL551">
        <f>BJ551</f>
        <v>13171042.790554777</v>
      </c>
      <c r="BO551">
        <f>BL551</f>
        <v>13171042.790554777</v>
      </c>
    </row>
    <row r="552" spans="3:67" x14ac:dyDescent="0.25">
      <c r="C552" s="246" t="s">
        <v>1902</v>
      </c>
      <c r="D552" s="246">
        <v>1</v>
      </c>
      <c r="E552" s="246">
        <v>2</v>
      </c>
      <c r="F552" s="246">
        <v>3</v>
      </c>
      <c r="G552" s="246">
        <v>12</v>
      </c>
      <c r="H552" s="246">
        <v>13</v>
      </c>
      <c r="I552" s="246">
        <v>15</v>
      </c>
      <c r="J552" s="246">
        <v>17</v>
      </c>
      <c r="K552" s="246"/>
      <c r="L552" s="246"/>
      <c r="M552" s="246"/>
      <c r="N552" s="246"/>
      <c r="O552" s="246"/>
      <c r="P552" s="246"/>
      <c r="Q552" s="246"/>
      <c r="R552" s="246">
        <f>IFERROR(VLOOKUP(D552,PROGRAMAS[],2,FALSE),0)</f>
        <v>97037803.679377079</v>
      </c>
      <c r="S552" s="246">
        <f>IFERROR(VLOOKUP(E552,PROGRAMAS[],2,FALSE),0)</f>
        <v>640501509.6821388</v>
      </c>
      <c r="T552" s="246">
        <f>IFERROR(VLOOKUP(F552,PROGRAMAS[],2,FALSE),0)</f>
        <v>3062327798.1525245</v>
      </c>
      <c r="U552" s="246">
        <f>IFERROR(VLOOKUP(G552,PROGRAMAS[],2,FALSE),0)</f>
        <v>764796700.79905891</v>
      </c>
      <c r="V552" s="246">
        <f>IFERROR(VLOOKUP(H552,PROGRAMAS[],2,FALSE),0)</f>
        <v>3776538594.4604583</v>
      </c>
      <c r="W552" s="246">
        <f>IFERROR(VLOOKUP(I552,PROGRAMAS[],2,FALSE),0)</f>
        <v>122159672.96346797</v>
      </c>
      <c r="X552" s="246">
        <f>IFERROR(VLOOKUP(J552,PROGRAMAS[],2,FALSE),0)</f>
        <v>1892779498.5211046</v>
      </c>
      <c r="Y552" s="246">
        <f>IFERROR(VLOOKUP(K552,PROGRAMAS[],2,FALSE),0)</f>
        <v>0</v>
      </c>
      <c r="Z552" s="246">
        <f>IFERROR(VLOOKUP(L552,PROGRAMAS[],2,FALSE),0)</f>
        <v>0</v>
      </c>
      <c r="AA552" s="246">
        <f>IFERROR(VLOOKUP(M552,PROGRAMAS[],2,FALSE),0)</f>
        <v>0</v>
      </c>
      <c r="AB552" s="246">
        <f>IFERROR(VLOOKUP(N552,PROGRAMAS[],2,FALSE),0)</f>
        <v>0</v>
      </c>
      <c r="AC552" s="246">
        <f>IFERROR(VLOOKUP(O552,PROGRAMAS[],2,FALSE),0)</f>
        <v>0</v>
      </c>
      <c r="AD552" s="246">
        <f>IFERROR(VLOOKUP(P552,PROGRAMAS[],2,FALSE),0)</f>
        <v>0</v>
      </c>
      <c r="AE552" s="246">
        <f>IFERROR(VLOOKUP(Q552,PROGRAMAS[],2,FALSE),0)</f>
        <v>0</v>
      </c>
      <c r="AF552" s="246">
        <f>IFERROR(VLOOKUP(D552,PROGRAMAS[],3,FALSE),0)</f>
        <v>841888629.31080008</v>
      </c>
      <c r="AG552" s="246">
        <f>IFERROR(VLOOKUP(E552,PROGRAMAS[],3,FALSE),0)</f>
        <v>3848980803.1642323</v>
      </c>
      <c r="AH552" s="246">
        <f>IFERROR(VLOOKUP(F552,PROGRAMAS[],3,FALSE),0)</f>
        <v>3394901471.387517</v>
      </c>
      <c r="AI552" s="246">
        <f>IFERROR(VLOOKUP(G552,PROGRAMAS[],3,FALSE),0)</f>
        <v>675517840.109828</v>
      </c>
      <c r="AJ552" s="246">
        <f>IFERROR(VLOOKUP(H552,PROGRAMAS[],3,FALSE),0)</f>
        <v>2392571243.5584412</v>
      </c>
      <c r="AK552" s="246">
        <f>IFERROR(VLOOKUP(I552,PROGRAMAS[],3,FALSE),0)</f>
        <v>118617452.52510804</v>
      </c>
      <c r="AL552" s="246">
        <f>IFERROR(VLOOKUP(J552,PROGRAMAS[],3,FALSE),0)</f>
        <v>948595847.09039903</v>
      </c>
      <c r="AM552" s="246">
        <f>IFERROR(VLOOKUP(K552,PROGRAMAS[],3,FALSE),0)</f>
        <v>0</v>
      </c>
      <c r="AN552" s="246">
        <f>IFERROR(VLOOKUP(L552,PROGRAMAS[],3,FALSE),0)</f>
        <v>0</v>
      </c>
      <c r="AO552" s="246">
        <f>IFERROR(VLOOKUP(M552,PROGRAMAS[],3,FALSE),0)</f>
        <v>0</v>
      </c>
      <c r="AP552" s="246">
        <f>IFERROR(VLOOKUP(N552,PROGRAMAS[],3,FALSE),0)</f>
        <v>0</v>
      </c>
      <c r="AQ552" s="246">
        <f>IFERROR(VLOOKUP(O552,PROGRAMAS[],3,FALSE),0)</f>
        <v>0</v>
      </c>
      <c r="AR552" s="246">
        <f>IFERROR(VLOOKUP(P552,PROGRAMAS[],3,FALSE),0)</f>
        <v>0</v>
      </c>
      <c r="AS552" s="246">
        <f>IFERROR(VLOOKUP(Q552,PROGRAMAS[],3,FALSE),0)</f>
        <v>0</v>
      </c>
      <c r="AT552" s="246">
        <f>IFERROR(VLOOKUP(D552,VOL_REC[],2,FALSE),0)</f>
        <v>0</v>
      </c>
      <c r="AU552" s="246">
        <f>IFERROR(VLOOKUP(E552,VOL_REC[],2,FALSE),0)</f>
        <v>0</v>
      </c>
      <c r="AV552" s="246">
        <f>IFERROR(VLOOKUP(F552,VOL_REC[],2,FALSE),0)</f>
        <v>11089674.200000001</v>
      </c>
      <c r="AW552" s="246">
        <f>IFERROR(VLOOKUP(G552,VOL_REC[],2,FALSE),0)</f>
        <v>240696.79238099116</v>
      </c>
      <c r="AX552" s="246">
        <f>IFERROR(VLOOKUP(H552,VOL_REC[],2,FALSE),0)</f>
        <v>663244.80000000016</v>
      </c>
      <c r="AY552" s="246">
        <f>IFERROR(VLOOKUP(I552,VOL_REC[],2,FALSE),0)</f>
        <v>105072</v>
      </c>
      <c r="AZ552" s="246">
        <f>IFERROR(VLOOKUP(J552,VOL_REC[],2,FALSE),0)</f>
        <v>740113.98115702497</v>
      </c>
      <c r="BA552" s="246">
        <f>IFERROR(VLOOKUP(K552,VOL_REC[],2,FALSE),0)</f>
        <v>0</v>
      </c>
      <c r="BB552" s="246">
        <f>IFERROR(VLOOKUP(L552,VOL_REC[],2,FALSE),0)</f>
        <v>0</v>
      </c>
      <c r="BC552" s="246">
        <f>IFERROR(VLOOKUP(M552,VOL_REC[],2,FALSE),0)</f>
        <v>0</v>
      </c>
      <c r="BD552" s="246">
        <f>IFERROR(VLOOKUP(N552,VOL_REC[],2,FALSE),0)</f>
        <v>0</v>
      </c>
      <c r="BE552" s="246">
        <f>IFERROR(VLOOKUP(O552,VOL_REC[],2,FALSE),0)</f>
        <v>0</v>
      </c>
      <c r="BF552" s="246">
        <f>IFERROR(VLOOKUP(P552,VOL_REC[],2,FALSE),0)</f>
        <v>0</v>
      </c>
      <c r="BG552" s="246">
        <f>IFERROR(VLOOKUP(Q552,VOL_REC[],2,FALSE),0)</f>
        <v>0</v>
      </c>
      <c r="BH552" s="1710">
        <f t="shared" si="32"/>
        <v>10356141578.258129</v>
      </c>
      <c r="BI552" s="1710">
        <f t="shared" si="33"/>
        <v>12221073287.146326</v>
      </c>
      <c r="BJ552" s="1711">
        <f t="shared" si="34"/>
        <v>12838801.773538018</v>
      </c>
      <c r="BK552" s="1711">
        <f t="shared" si="35"/>
        <v>0.84740033341836973</v>
      </c>
    </row>
    <row r="553" spans="3:67" x14ac:dyDescent="0.25">
      <c r="C553" s="246" t="s">
        <v>1903</v>
      </c>
      <c r="D553" s="246">
        <v>1</v>
      </c>
      <c r="E553" s="246">
        <v>2</v>
      </c>
      <c r="F553" s="246">
        <v>3</v>
      </c>
      <c r="G553" s="246">
        <v>12</v>
      </c>
      <c r="H553" s="246">
        <v>13</v>
      </c>
      <c r="I553" s="246">
        <v>16</v>
      </c>
      <c r="J553" s="246">
        <v>17</v>
      </c>
      <c r="K553" s="246"/>
      <c r="L553" s="246"/>
      <c r="M553" s="246"/>
      <c r="N553" s="246"/>
      <c r="O553" s="246"/>
      <c r="P553" s="246"/>
      <c r="Q553" s="246"/>
      <c r="R553" s="246">
        <f>IFERROR(VLOOKUP(D553,PROGRAMAS[],2,FALSE),0)</f>
        <v>97037803.679377079</v>
      </c>
      <c r="S553" s="246">
        <f>IFERROR(VLOOKUP(E553,PROGRAMAS[],2,FALSE),0)</f>
        <v>640501509.6821388</v>
      </c>
      <c r="T553" s="246">
        <f>IFERROR(VLOOKUP(F553,PROGRAMAS[],2,FALSE),0)</f>
        <v>3062327798.1525245</v>
      </c>
      <c r="U553" s="246">
        <f>IFERROR(VLOOKUP(G553,PROGRAMAS[],2,FALSE),0)</f>
        <v>764796700.79905891</v>
      </c>
      <c r="V553" s="246">
        <f>IFERROR(VLOOKUP(H553,PROGRAMAS[],2,FALSE),0)</f>
        <v>3776538594.4604583</v>
      </c>
      <c r="W553" s="246">
        <f>IFERROR(VLOOKUP(I553,PROGRAMAS[],2,FALSE),0)</f>
        <v>7068496961.0436354</v>
      </c>
      <c r="X553" s="246">
        <f>IFERROR(VLOOKUP(J553,PROGRAMAS[],2,FALSE),0)</f>
        <v>1892779498.5211046</v>
      </c>
      <c r="Y553" s="246">
        <f>IFERROR(VLOOKUP(K553,PROGRAMAS[],2,FALSE),0)</f>
        <v>0</v>
      </c>
      <c r="Z553" s="246">
        <f>IFERROR(VLOOKUP(L553,PROGRAMAS[],2,FALSE),0)</f>
        <v>0</v>
      </c>
      <c r="AA553" s="246">
        <f>IFERROR(VLOOKUP(M553,PROGRAMAS[],2,FALSE),0)</f>
        <v>0</v>
      </c>
      <c r="AB553" s="246">
        <f>IFERROR(VLOOKUP(N553,PROGRAMAS[],2,FALSE),0)</f>
        <v>0</v>
      </c>
      <c r="AC553" s="246">
        <f>IFERROR(VLOOKUP(O553,PROGRAMAS[],2,FALSE),0)</f>
        <v>0</v>
      </c>
      <c r="AD553" s="246">
        <f>IFERROR(VLOOKUP(P553,PROGRAMAS[],2,FALSE),0)</f>
        <v>0</v>
      </c>
      <c r="AE553" s="246">
        <f>IFERROR(VLOOKUP(Q553,PROGRAMAS[],2,FALSE),0)</f>
        <v>0</v>
      </c>
      <c r="AF553" s="246">
        <f>IFERROR(VLOOKUP(D553,PROGRAMAS[],3,FALSE),0)</f>
        <v>841888629.31080008</v>
      </c>
      <c r="AG553" s="246">
        <f>IFERROR(VLOOKUP(E553,PROGRAMAS[],3,FALSE),0)</f>
        <v>3848980803.1642323</v>
      </c>
      <c r="AH553" s="246">
        <f>IFERROR(VLOOKUP(F553,PROGRAMAS[],3,FALSE),0)</f>
        <v>3394901471.387517</v>
      </c>
      <c r="AI553" s="246">
        <f>IFERROR(VLOOKUP(G553,PROGRAMAS[],3,FALSE),0)</f>
        <v>675517840.109828</v>
      </c>
      <c r="AJ553" s="246">
        <f>IFERROR(VLOOKUP(H553,PROGRAMAS[],3,FALSE),0)</f>
        <v>2392571243.5584412</v>
      </c>
      <c r="AK553" s="246">
        <f>IFERROR(VLOOKUP(I553,PROGRAMAS[],3,FALSE),0)</f>
        <v>2406564599.0319901</v>
      </c>
      <c r="AL553" s="246">
        <f>IFERROR(VLOOKUP(J553,PROGRAMAS[],3,FALSE),0)</f>
        <v>948595847.09039903</v>
      </c>
      <c r="AM553" s="246">
        <f>IFERROR(VLOOKUP(K553,PROGRAMAS[],3,FALSE),0)</f>
        <v>0</v>
      </c>
      <c r="AN553" s="246">
        <f>IFERROR(VLOOKUP(L553,PROGRAMAS[],3,FALSE),0)</f>
        <v>0</v>
      </c>
      <c r="AO553" s="246">
        <f>IFERROR(VLOOKUP(M553,PROGRAMAS[],3,FALSE),0)</f>
        <v>0</v>
      </c>
      <c r="AP553" s="246">
        <f>IFERROR(VLOOKUP(N553,PROGRAMAS[],3,FALSE),0)</f>
        <v>0</v>
      </c>
      <c r="AQ553" s="246">
        <f>IFERROR(VLOOKUP(O553,PROGRAMAS[],3,FALSE),0)</f>
        <v>0</v>
      </c>
      <c r="AR553" s="246">
        <f>IFERROR(VLOOKUP(P553,PROGRAMAS[],3,FALSE),0)</f>
        <v>0</v>
      </c>
      <c r="AS553" s="246">
        <f>IFERROR(VLOOKUP(Q553,PROGRAMAS[],3,FALSE),0)</f>
        <v>0</v>
      </c>
      <c r="AT553" s="246">
        <f>IFERROR(VLOOKUP(D553,VOL_REC[],2,FALSE),0)</f>
        <v>0</v>
      </c>
      <c r="AU553" s="246">
        <f>IFERROR(VLOOKUP(E553,VOL_REC[],2,FALSE),0)</f>
        <v>0</v>
      </c>
      <c r="AV553" s="246">
        <f>IFERROR(VLOOKUP(F553,VOL_REC[],2,FALSE),0)</f>
        <v>11089674.200000001</v>
      </c>
      <c r="AW553" s="246">
        <f>IFERROR(VLOOKUP(G553,VOL_REC[],2,FALSE),0)</f>
        <v>240696.79238099116</v>
      </c>
      <c r="AX553" s="246">
        <f>IFERROR(VLOOKUP(H553,VOL_REC[],2,FALSE),0)</f>
        <v>663244.80000000016</v>
      </c>
      <c r="AY553" s="246">
        <f>IFERROR(VLOOKUP(I553,VOL_REC[],2,FALSE),0)</f>
        <v>1072354.9981737854</v>
      </c>
      <c r="AZ553" s="246">
        <f>IFERROR(VLOOKUP(J553,VOL_REC[],2,FALSE),0)</f>
        <v>740113.98115702497</v>
      </c>
      <c r="BA553" s="246">
        <f>IFERROR(VLOOKUP(K553,VOL_REC[],2,FALSE),0)</f>
        <v>0</v>
      </c>
      <c r="BB553" s="246">
        <f>IFERROR(VLOOKUP(L553,VOL_REC[],2,FALSE),0)</f>
        <v>0</v>
      </c>
      <c r="BC553" s="246">
        <f>IFERROR(VLOOKUP(M553,VOL_REC[],2,FALSE),0)</f>
        <v>0</v>
      </c>
      <c r="BD553" s="246">
        <f>IFERROR(VLOOKUP(N553,VOL_REC[],2,FALSE),0)</f>
        <v>0</v>
      </c>
      <c r="BE553" s="246">
        <f>IFERROR(VLOOKUP(O553,VOL_REC[],2,FALSE),0)</f>
        <v>0</v>
      </c>
      <c r="BF553" s="246">
        <f>IFERROR(VLOOKUP(P553,VOL_REC[],2,FALSE),0)</f>
        <v>0</v>
      </c>
      <c r="BG553" s="246">
        <f>IFERROR(VLOOKUP(Q553,VOL_REC[],2,FALSE),0)</f>
        <v>0</v>
      </c>
      <c r="BH553" s="1710">
        <f t="shared" si="32"/>
        <v>17302478866.338295</v>
      </c>
      <c r="BI553" s="1710">
        <f t="shared" si="33"/>
        <v>14509020433.653208</v>
      </c>
      <c r="BJ553" s="1711">
        <f t="shared" si="34"/>
        <v>13806084.771711802</v>
      </c>
      <c r="BK553" s="1711">
        <f t="shared" si="35"/>
        <v>1.1925325314316706</v>
      </c>
      <c r="BL553">
        <f>BJ553</f>
        <v>13806084.771711802</v>
      </c>
      <c r="BO553">
        <f>BL553</f>
        <v>13806084.771711802</v>
      </c>
    </row>
    <row r="554" spans="3:67" x14ac:dyDescent="0.25">
      <c r="C554" s="246" t="s">
        <v>1904</v>
      </c>
      <c r="D554" s="246">
        <v>1</v>
      </c>
      <c r="E554" s="246">
        <v>2</v>
      </c>
      <c r="F554" s="246">
        <v>3</v>
      </c>
      <c r="G554" s="246">
        <v>12</v>
      </c>
      <c r="H554" s="246">
        <v>14</v>
      </c>
      <c r="I554" s="246">
        <v>15</v>
      </c>
      <c r="J554" s="246">
        <v>16</v>
      </c>
      <c r="K554" s="246"/>
      <c r="L554" s="246"/>
      <c r="M554" s="246"/>
      <c r="N554" s="246"/>
      <c r="O554" s="246"/>
      <c r="P554" s="246"/>
      <c r="Q554" s="246"/>
      <c r="R554" s="246">
        <f>IFERROR(VLOOKUP(D554,PROGRAMAS[],2,FALSE),0)</f>
        <v>97037803.679377079</v>
      </c>
      <c r="S554" s="246">
        <f>IFERROR(VLOOKUP(E554,PROGRAMAS[],2,FALSE),0)</f>
        <v>640501509.6821388</v>
      </c>
      <c r="T554" s="246">
        <f>IFERROR(VLOOKUP(F554,PROGRAMAS[],2,FALSE),0)</f>
        <v>3062327798.1525245</v>
      </c>
      <c r="U554" s="246">
        <f>IFERROR(VLOOKUP(G554,PROGRAMAS[],2,FALSE),0)</f>
        <v>764796700.79905891</v>
      </c>
      <c r="V554" s="246">
        <f>IFERROR(VLOOKUP(H554,PROGRAMAS[],2,FALSE),0)</f>
        <v>54223862.645839565</v>
      </c>
      <c r="W554" s="246">
        <f>IFERROR(VLOOKUP(I554,PROGRAMAS[],2,FALSE),0)</f>
        <v>122159672.96346797</v>
      </c>
      <c r="X554" s="246">
        <f>IFERROR(VLOOKUP(J554,PROGRAMAS[],2,FALSE),0)</f>
        <v>7068496961.0436354</v>
      </c>
      <c r="Y554" s="246">
        <f>IFERROR(VLOOKUP(K554,PROGRAMAS[],2,FALSE),0)</f>
        <v>0</v>
      </c>
      <c r="Z554" s="246">
        <f>IFERROR(VLOOKUP(L554,PROGRAMAS[],2,FALSE),0)</f>
        <v>0</v>
      </c>
      <c r="AA554" s="246">
        <f>IFERROR(VLOOKUP(M554,PROGRAMAS[],2,FALSE),0)</f>
        <v>0</v>
      </c>
      <c r="AB554" s="246">
        <f>IFERROR(VLOOKUP(N554,PROGRAMAS[],2,FALSE),0)</f>
        <v>0</v>
      </c>
      <c r="AC554" s="246">
        <f>IFERROR(VLOOKUP(O554,PROGRAMAS[],2,FALSE),0)</f>
        <v>0</v>
      </c>
      <c r="AD554" s="246">
        <f>IFERROR(VLOOKUP(P554,PROGRAMAS[],2,FALSE),0)</f>
        <v>0</v>
      </c>
      <c r="AE554" s="246">
        <f>IFERROR(VLOOKUP(Q554,PROGRAMAS[],2,FALSE),0)</f>
        <v>0</v>
      </c>
      <c r="AF554" s="246">
        <f>IFERROR(VLOOKUP(D554,PROGRAMAS[],3,FALSE),0)</f>
        <v>841888629.31080008</v>
      </c>
      <c r="AG554" s="246">
        <f>IFERROR(VLOOKUP(E554,PROGRAMAS[],3,FALSE),0)</f>
        <v>3848980803.1642323</v>
      </c>
      <c r="AH554" s="246">
        <f>IFERROR(VLOOKUP(F554,PROGRAMAS[],3,FALSE),0)</f>
        <v>3394901471.387517</v>
      </c>
      <c r="AI554" s="246">
        <f>IFERROR(VLOOKUP(G554,PROGRAMAS[],3,FALSE),0)</f>
        <v>675517840.109828</v>
      </c>
      <c r="AJ554" s="246">
        <f>IFERROR(VLOOKUP(H554,PROGRAMAS[],3,FALSE),0)</f>
        <v>31865326.38096505</v>
      </c>
      <c r="AK554" s="246">
        <f>IFERROR(VLOOKUP(I554,PROGRAMAS[],3,FALSE),0)</f>
        <v>118617452.52510804</v>
      </c>
      <c r="AL554" s="246">
        <f>IFERROR(VLOOKUP(J554,PROGRAMAS[],3,FALSE),0)</f>
        <v>2406564599.0319901</v>
      </c>
      <c r="AM554" s="246">
        <f>IFERROR(VLOOKUP(K554,PROGRAMAS[],3,FALSE),0)</f>
        <v>0</v>
      </c>
      <c r="AN554" s="246">
        <f>IFERROR(VLOOKUP(L554,PROGRAMAS[],3,FALSE),0)</f>
        <v>0</v>
      </c>
      <c r="AO554" s="246">
        <f>IFERROR(VLOOKUP(M554,PROGRAMAS[],3,FALSE),0)</f>
        <v>0</v>
      </c>
      <c r="AP554" s="246">
        <f>IFERROR(VLOOKUP(N554,PROGRAMAS[],3,FALSE),0)</f>
        <v>0</v>
      </c>
      <c r="AQ554" s="246">
        <f>IFERROR(VLOOKUP(O554,PROGRAMAS[],3,FALSE),0)</f>
        <v>0</v>
      </c>
      <c r="AR554" s="246">
        <f>IFERROR(VLOOKUP(P554,PROGRAMAS[],3,FALSE),0)</f>
        <v>0</v>
      </c>
      <c r="AS554" s="246">
        <f>IFERROR(VLOOKUP(Q554,PROGRAMAS[],3,FALSE),0)</f>
        <v>0</v>
      </c>
      <c r="AT554" s="246">
        <f>IFERROR(VLOOKUP(D554,VOL_REC[],2,FALSE),0)</f>
        <v>0</v>
      </c>
      <c r="AU554" s="246">
        <f>IFERROR(VLOOKUP(E554,VOL_REC[],2,FALSE),0)</f>
        <v>0</v>
      </c>
      <c r="AV554" s="246">
        <f>IFERROR(VLOOKUP(F554,VOL_REC[],2,FALSE),0)</f>
        <v>11089674.200000001</v>
      </c>
      <c r="AW554" s="246">
        <f>IFERROR(VLOOKUP(G554,VOL_REC[],2,FALSE),0)</f>
        <v>240696.79238099116</v>
      </c>
      <c r="AX554" s="246">
        <f>IFERROR(VLOOKUP(H554,VOL_REC[],2,FALSE),0)</f>
        <v>17074.045034105649</v>
      </c>
      <c r="AY554" s="246">
        <f>IFERROR(VLOOKUP(I554,VOL_REC[],2,FALSE),0)</f>
        <v>105072</v>
      </c>
      <c r="AZ554" s="246">
        <f>IFERROR(VLOOKUP(J554,VOL_REC[],2,FALSE),0)</f>
        <v>1072354.9981737854</v>
      </c>
      <c r="BA554" s="246">
        <f>IFERROR(VLOOKUP(K554,VOL_REC[],2,FALSE),0)</f>
        <v>0</v>
      </c>
      <c r="BB554" s="246">
        <f>IFERROR(VLOOKUP(L554,VOL_REC[],2,FALSE),0)</f>
        <v>0</v>
      </c>
      <c r="BC554" s="246">
        <f>IFERROR(VLOOKUP(M554,VOL_REC[],2,FALSE),0)</f>
        <v>0</v>
      </c>
      <c r="BD554" s="246">
        <f>IFERROR(VLOOKUP(N554,VOL_REC[],2,FALSE),0)</f>
        <v>0</v>
      </c>
      <c r="BE554" s="246">
        <f>IFERROR(VLOOKUP(O554,VOL_REC[],2,FALSE),0)</f>
        <v>0</v>
      </c>
      <c r="BF554" s="246">
        <f>IFERROR(VLOOKUP(P554,VOL_REC[],2,FALSE),0)</f>
        <v>0</v>
      </c>
      <c r="BG554" s="246">
        <f>IFERROR(VLOOKUP(Q554,VOL_REC[],2,FALSE),0)</f>
        <v>0</v>
      </c>
      <c r="BH554" s="1710">
        <f t="shared" si="32"/>
        <v>11809544308.966042</v>
      </c>
      <c r="BI554" s="1710">
        <f t="shared" si="33"/>
        <v>11318336121.91044</v>
      </c>
      <c r="BJ554" s="1711">
        <f t="shared" si="34"/>
        <v>12524872.035588883</v>
      </c>
      <c r="BK554" s="1711">
        <f t="shared" si="35"/>
        <v>1.0433993284670795</v>
      </c>
      <c r="BL554">
        <f>BJ554</f>
        <v>12524872.035588883</v>
      </c>
      <c r="BO554">
        <f>BL554</f>
        <v>12524872.035588883</v>
      </c>
    </row>
    <row r="555" spans="3:67" x14ac:dyDescent="0.25">
      <c r="C555" s="246" t="s">
        <v>1905</v>
      </c>
      <c r="D555" s="246">
        <v>1</v>
      </c>
      <c r="E555" s="246">
        <v>2</v>
      </c>
      <c r="F555" s="246">
        <v>3</v>
      </c>
      <c r="G555" s="246">
        <v>12</v>
      </c>
      <c r="H555" s="246">
        <v>14</v>
      </c>
      <c r="I555" s="246">
        <v>15</v>
      </c>
      <c r="J555" s="246">
        <v>17</v>
      </c>
      <c r="K555" s="246"/>
      <c r="L555" s="246"/>
      <c r="M555" s="246"/>
      <c r="N555" s="246"/>
      <c r="O555" s="246"/>
      <c r="P555" s="246"/>
      <c r="Q555" s="246"/>
      <c r="R555" s="246">
        <f>IFERROR(VLOOKUP(D555,PROGRAMAS[],2,FALSE),0)</f>
        <v>97037803.679377079</v>
      </c>
      <c r="S555" s="246">
        <f>IFERROR(VLOOKUP(E555,PROGRAMAS[],2,FALSE),0)</f>
        <v>640501509.6821388</v>
      </c>
      <c r="T555" s="246">
        <f>IFERROR(VLOOKUP(F555,PROGRAMAS[],2,FALSE),0)</f>
        <v>3062327798.1525245</v>
      </c>
      <c r="U555" s="246">
        <f>IFERROR(VLOOKUP(G555,PROGRAMAS[],2,FALSE),0)</f>
        <v>764796700.79905891</v>
      </c>
      <c r="V555" s="246">
        <f>IFERROR(VLOOKUP(H555,PROGRAMAS[],2,FALSE),0)</f>
        <v>54223862.645839565</v>
      </c>
      <c r="W555" s="246">
        <f>IFERROR(VLOOKUP(I555,PROGRAMAS[],2,FALSE),0)</f>
        <v>122159672.96346797</v>
      </c>
      <c r="X555" s="246">
        <f>IFERROR(VLOOKUP(J555,PROGRAMAS[],2,FALSE),0)</f>
        <v>1892779498.5211046</v>
      </c>
      <c r="Y555" s="246">
        <f>IFERROR(VLOOKUP(K555,PROGRAMAS[],2,FALSE),0)</f>
        <v>0</v>
      </c>
      <c r="Z555" s="246">
        <f>IFERROR(VLOOKUP(L555,PROGRAMAS[],2,FALSE),0)</f>
        <v>0</v>
      </c>
      <c r="AA555" s="246">
        <f>IFERROR(VLOOKUP(M555,PROGRAMAS[],2,FALSE),0)</f>
        <v>0</v>
      </c>
      <c r="AB555" s="246">
        <f>IFERROR(VLOOKUP(N555,PROGRAMAS[],2,FALSE),0)</f>
        <v>0</v>
      </c>
      <c r="AC555" s="246">
        <f>IFERROR(VLOOKUP(O555,PROGRAMAS[],2,FALSE),0)</f>
        <v>0</v>
      </c>
      <c r="AD555" s="246">
        <f>IFERROR(VLOOKUP(P555,PROGRAMAS[],2,FALSE),0)</f>
        <v>0</v>
      </c>
      <c r="AE555" s="246">
        <f>IFERROR(VLOOKUP(Q555,PROGRAMAS[],2,FALSE),0)</f>
        <v>0</v>
      </c>
      <c r="AF555" s="246">
        <f>IFERROR(VLOOKUP(D555,PROGRAMAS[],3,FALSE),0)</f>
        <v>841888629.31080008</v>
      </c>
      <c r="AG555" s="246">
        <f>IFERROR(VLOOKUP(E555,PROGRAMAS[],3,FALSE),0)</f>
        <v>3848980803.1642323</v>
      </c>
      <c r="AH555" s="246">
        <f>IFERROR(VLOOKUP(F555,PROGRAMAS[],3,FALSE),0)</f>
        <v>3394901471.387517</v>
      </c>
      <c r="AI555" s="246">
        <f>IFERROR(VLOOKUP(G555,PROGRAMAS[],3,FALSE),0)</f>
        <v>675517840.109828</v>
      </c>
      <c r="AJ555" s="246">
        <f>IFERROR(VLOOKUP(H555,PROGRAMAS[],3,FALSE),0)</f>
        <v>31865326.38096505</v>
      </c>
      <c r="AK555" s="246">
        <f>IFERROR(VLOOKUP(I555,PROGRAMAS[],3,FALSE),0)</f>
        <v>118617452.52510804</v>
      </c>
      <c r="AL555" s="246">
        <f>IFERROR(VLOOKUP(J555,PROGRAMAS[],3,FALSE),0)</f>
        <v>948595847.09039903</v>
      </c>
      <c r="AM555" s="246">
        <f>IFERROR(VLOOKUP(K555,PROGRAMAS[],3,FALSE),0)</f>
        <v>0</v>
      </c>
      <c r="AN555" s="246">
        <f>IFERROR(VLOOKUP(L555,PROGRAMAS[],3,FALSE),0)</f>
        <v>0</v>
      </c>
      <c r="AO555" s="246">
        <f>IFERROR(VLOOKUP(M555,PROGRAMAS[],3,FALSE),0)</f>
        <v>0</v>
      </c>
      <c r="AP555" s="246">
        <f>IFERROR(VLOOKUP(N555,PROGRAMAS[],3,FALSE),0)</f>
        <v>0</v>
      </c>
      <c r="AQ555" s="246">
        <f>IFERROR(VLOOKUP(O555,PROGRAMAS[],3,FALSE),0)</f>
        <v>0</v>
      </c>
      <c r="AR555" s="246">
        <f>IFERROR(VLOOKUP(P555,PROGRAMAS[],3,FALSE),0)</f>
        <v>0</v>
      </c>
      <c r="AS555" s="246">
        <f>IFERROR(VLOOKUP(Q555,PROGRAMAS[],3,FALSE),0)</f>
        <v>0</v>
      </c>
      <c r="AT555" s="246">
        <f>IFERROR(VLOOKUP(D555,VOL_REC[],2,FALSE),0)</f>
        <v>0</v>
      </c>
      <c r="AU555" s="246">
        <f>IFERROR(VLOOKUP(E555,VOL_REC[],2,FALSE),0)</f>
        <v>0</v>
      </c>
      <c r="AV555" s="246">
        <f>IFERROR(VLOOKUP(F555,VOL_REC[],2,FALSE),0)</f>
        <v>11089674.200000001</v>
      </c>
      <c r="AW555" s="246">
        <f>IFERROR(VLOOKUP(G555,VOL_REC[],2,FALSE),0)</f>
        <v>240696.79238099116</v>
      </c>
      <c r="AX555" s="246">
        <f>IFERROR(VLOOKUP(H555,VOL_REC[],2,FALSE),0)</f>
        <v>17074.045034105649</v>
      </c>
      <c r="AY555" s="246">
        <f>IFERROR(VLOOKUP(I555,VOL_REC[],2,FALSE),0)</f>
        <v>105072</v>
      </c>
      <c r="AZ555" s="246">
        <f>IFERROR(VLOOKUP(J555,VOL_REC[],2,FALSE),0)</f>
        <v>740113.98115702497</v>
      </c>
      <c r="BA555" s="246">
        <f>IFERROR(VLOOKUP(K555,VOL_REC[],2,FALSE),0)</f>
        <v>0</v>
      </c>
      <c r="BB555" s="246">
        <f>IFERROR(VLOOKUP(L555,VOL_REC[],2,FALSE),0)</f>
        <v>0</v>
      </c>
      <c r="BC555" s="246">
        <f>IFERROR(VLOOKUP(M555,VOL_REC[],2,FALSE),0)</f>
        <v>0</v>
      </c>
      <c r="BD555" s="246">
        <f>IFERROR(VLOOKUP(N555,VOL_REC[],2,FALSE),0)</f>
        <v>0</v>
      </c>
      <c r="BE555" s="246">
        <f>IFERROR(VLOOKUP(O555,VOL_REC[],2,FALSE),0)</f>
        <v>0</v>
      </c>
      <c r="BF555" s="246">
        <f>IFERROR(VLOOKUP(P555,VOL_REC[],2,FALSE),0)</f>
        <v>0</v>
      </c>
      <c r="BG555" s="246">
        <f>IFERROR(VLOOKUP(Q555,VOL_REC[],2,FALSE),0)</f>
        <v>0</v>
      </c>
      <c r="BH555" s="1710">
        <f t="shared" si="32"/>
        <v>6633826846.443511</v>
      </c>
      <c r="BI555" s="1710">
        <f t="shared" si="33"/>
        <v>9860367369.9688492</v>
      </c>
      <c r="BJ555" s="1711">
        <f t="shared" si="34"/>
        <v>12192631.018572122</v>
      </c>
      <c r="BK555" s="1711">
        <f t="shared" si="35"/>
        <v>0.67277684466886845</v>
      </c>
    </row>
    <row r="556" spans="3:67" x14ac:dyDescent="0.25">
      <c r="C556" s="246" t="s">
        <v>1906</v>
      </c>
      <c r="D556" s="246">
        <v>1</v>
      </c>
      <c r="E556" s="246">
        <v>2</v>
      </c>
      <c r="F556" s="246">
        <v>3</v>
      </c>
      <c r="G556" s="246">
        <v>12</v>
      </c>
      <c r="H556" s="246">
        <v>14</v>
      </c>
      <c r="I556" s="246">
        <v>16</v>
      </c>
      <c r="J556" s="246">
        <v>17</v>
      </c>
      <c r="K556" s="246"/>
      <c r="L556" s="246"/>
      <c r="M556" s="246"/>
      <c r="N556" s="246"/>
      <c r="O556" s="246"/>
      <c r="P556" s="246"/>
      <c r="Q556" s="246"/>
      <c r="R556" s="246">
        <f>IFERROR(VLOOKUP(D556,PROGRAMAS[],2,FALSE),0)</f>
        <v>97037803.679377079</v>
      </c>
      <c r="S556" s="246">
        <f>IFERROR(VLOOKUP(E556,PROGRAMAS[],2,FALSE),0)</f>
        <v>640501509.6821388</v>
      </c>
      <c r="T556" s="246">
        <f>IFERROR(VLOOKUP(F556,PROGRAMAS[],2,FALSE),0)</f>
        <v>3062327798.1525245</v>
      </c>
      <c r="U556" s="246">
        <f>IFERROR(VLOOKUP(G556,PROGRAMAS[],2,FALSE),0)</f>
        <v>764796700.79905891</v>
      </c>
      <c r="V556" s="246">
        <f>IFERROR(VLOOKUP(H556,PROGRAMAS[],2,FALSE),0)</f>
        <v>54223862.645839565</v>
      </c>
      <c r="W556" s="246">
        <f>IFERROR(VLOOKUP(I556,PROGRAMAS[],2,FALSE),0)</f>
        <v>7068496961.0436354</v>
      </c>
      <c r="X556" s="246">
        <f>IFERROR(VLOOKUP(J556,PROGRAMAS[],2,FALSE),0)</f>
        <v>1892779498.5211046</v>
      </c>
      <c r="Y556" s="246">
        <f>IFERROR(VLOOKUP(K556,PROGRAMAS[],2,FALSE),0)</f>
        <v>0</v>
      </c>
      <c r="Z556" s="246">
        <f>IFERROR(VLOOKUP(L556,PROGRAMAS[],2,FALSE),0)</f>
        <v>0</v>
      </c>
      <c r="AA556" s="246">
        <f>IFERROR(VLOOKUP(M556,PROGRAMAS[],2,FALSE),0)</f>
        <v>0</v>
      </c>
      <c r="AB556" s="246">
        <f>IFERROR(VLOOKUP(N556,PROGRAMAS[],2,FALSE),0)</f>
        <v>0</v>
      </c>
      <c r="AC556" s="246">
        <f>IFERROR(VLOOKUP(O556,PROGRAMAS[],2,FALSE),0)</f>
        <v>0</v>
      </c>
      <c r="AD556" s="246">
        <f>IFERROR(VLOOKUP(P556,PROGRAMAS[],2,FALSE),0)</f>
        <v>0</v>
      </c>
      <c r="AE556" s="246">
        <f>IFERROR(VLOOKUP(Q556,PROGRAMAS[],2,FALSE),0)</f>
        <v>0</v>
      </c>
      <c r="AF556" s="246">
        <f>IFERROR(VLOOKUP(D556,PROGRAMAS[],3,FALSE),0)</f>
        <v>841888629.31080008</v>
      </c>
      <c r="AG556" s="246">
        <f>IFERROR(VLOOKUP(E556,PROGRAMAS[],3,FALSE),0)</f>
        <v>3848980803.1642323</v>
      </c>
      <c r="AH556" s="246">
        <f>IFERROR(VLOOKUP(F556,PROGRAMAS[],3,FALSE),0)</f>
        <v>3394901471.387517</v>
      </c>
      <c r="AI556" s="246">
        <f>IFERROR(VLOOKUP(G556,PROGRAMAS[],3,FALSE),0)</f>
        <v>675517840.109828</v>
      </c>
      <c r="AJ556" s="246">
        <f>IFERROR(VLOOKUP(H556,PROGRAMAS[],3,FALSE),0)</f>
        <v>31865326.38096505</v>
      </c>
      <c r="AK556" s="246">
        <f>IFERROR(VLOOKUP(I556,PROGRAMAS[],3,FALSE),0)</f>
        <v>2406564599.0319901</v>
      </c>
      <c r="AL556" s="246">
        <f>IFERROR(VLOOKUP(J556,PROGRAMAS[],3,FALSE),0)</f>
        <v>948595847.09039903</v>
      </c>
      <c r="AM556" s="246">
        <f>IFERROR(VLOOKUP(K556,PROGRAMAS[],3,FALSE),0)</f>
        <v>0</v>
      </c>
      <c r="AN556" s="246">
        <f>IFERROR(VLOOKUP(L556,PROGRAMAS[],3,FALSE),0)</f>
        <v>0</v>
      </c>
      <c r="AO556" s="246">
        <f>IFERROR(VLOOKUP(M556,PROGRAMAS[],3,FALSE),0)</f>
        <v>0</v>
      </c>
      <c r="AP556" s="246">
        <f>IFERROR(VLOOKUP(N556,PROGRAMAS[],3,FALSE),0)</f>
        <v>0</v>
      </c>
      <c r="AQ556" s="246">
        <f>IFERROR(VLOOKUP(O556,PROGRAMAS[],3,FALSE),0)</f>
        <v>0</v>
      </c>
      <c r="AR556" s="246">
        <f>IFERROR(VLOOKUP(P556,PROGRAMAS[],3,FALSE),0)</f>
        <v>0</v>
      </c>
      <c r="AS556" s="246">
        <f>IFERROR(VLOOKUP(Q556,PROGRAMAS[],3,FALSE),0)</f>
        <v>0</v>
      </c>
      <c r="AT556" s="246">
        <f>IFERROR(VLOOKUP(D556,VOL_REC[],2,FALSE),0)</f>
        <v>0</v>
      </c>
      <c r="AU556" s="246">
        <f>IFERROR(VLOOKUP(E556,VOL_REC[],2,FALSE),0)</f>
        <v>0</v>
      </c>
      <c r="AV556" s="246">
        <f>IFERROR(VLOOKUP(F556,VOL_REC[],2,FALSE),0)</f>
        <v>11089674.200000001</v>
      </c>
      <c r="AW556" s="246">
        <f>IFERROR(VLOOKUP(G556,VOL_REC[],2,FALSE),0)</f>
        <v>240696.79238099116</v>
      </c>
      <c r="AX556" s="246">
        <f>IFERROR(VLOOKUP(H556,VOL_REC[],2,FALSE),0)</f>
        <v>17074.045034105649</v>
      </c>
      <c r="AY556" s="246">
        <f>IFERROR(VLOOKUP(I556,VOL_REC[],2,FALSE),0)</f>
        <v>1072354.9981737854</v>
      </c>
      <c r="AZ556" s="246">
        <f>IFERROR(VLOOKUP(J556,VOL_REC[],2,FALSE),0)</f>
        <v>740113.98115702497</v>
      </c>
      <c r="BA556" s="246">
        <f>IFERROR(VLOOKUP(K556,VOL_REC[],2,FALSE),0)</f>
        <v>0</v>
      </c>
      <c r="BB556" s="246">
        <f>IFERROR(VLOOKUP(L556,VOL_REC[],2,FALSE),0)</f>
        <v>0</v>
      </c>
      <c r="BC556" s="246">
        <f>IFERROR(VLOOKUP(M556,VOL_REC[],2,FALSE),0)</f>
        <v>0</v>
      </c>
      <c r="BD556" s="246">
        <f>IFERROR(VLOOKUP(N556,VOL_REC[],2,FALSE),0)</f>
        <v>0</v>
      </c>
      <c r="BE556" s="246">
        <f>IFERROR(VLOOKUP(O556,VOL_REC[],2,FALSE),0)</f>
        <v>0</v>
      </c>
      <c r="BF556" s="246">
        <f>IFERROR(VLOOKUP(P556,VOL_REC[],2,FALSE),0)</f>
        <v>0</v>
      </c>
      <c r="BG556" s="246">
        <f>IFERROR(VLOOKUP(Q556,VOL_REC[],2,FALSE),0)</f>
        <v>0</v>
      </c>
      <c r="BH556" s="1710">
        <f t="shared" si="32"/>
        <v>13580164134.52368</v>
      </c>
      <c r="BI556" s="1710">
        <f t="shared" si="33"/>
        <v>12148314516.475731</v>
      </c>
      <c r="BJ556" s="1711">
        <f t="shared" si="34"/>
        <v>13159914.016745908</v>
      </c>
      <c r="BK556" s="1711">
        <f t="shared" si="35"/>
        <v>1.1178640556355413</v>
      </c>
      <c r="BL556">
        <f>BJ556</f>
        <v>13159914.016745908</v>
      </c>
      <c r="BO556">
        <f>BL556</f>
        <v>13159914.016745908</v>
      </c>
    </row>
    <row r="557" spans="3:67" x14ac:dyDescent="0.25">
      <c r="C557" s="246" t="s">
        <v>1907</v>
      </c>
      <c r="D557" s="246">
        <v>1</v>
      </c>
      <c r="E557" s="246">
        <v>2</v>
      </c>
      <c r="F557" s="246">
        <v>3</v>
      </c>
      <c r="G557" s="246">
        <v>12</v>
      </c>
      <c r="H557" s="246">
        <v>15</v>
      </c>
      <c r="I557" s="246">
        <v>16</v>
      </c>
      <c r="J557" s="246">
        <v>17</v>
      </c>
      <c r="K557" s="246"/>
      <c r="L557" s="246"/>
      <c r="M557" s="246"/>
      <c r="N557" s="246"/>
      <c r="O557" s="246"/>
      <c r="P557" s="246"/>
      <c r="Q557" s="246"/>
      <c r="R557" s="246">
        <f>IFERROR(VLOOKUP(D557,PROGRAMAS[],2,FALSE),0)</f>
        <v>97037803.679377079</v>
      </c>
      <c r="S557" s="246">
        <f>IFERROR(VLOOKUP(E557,PROGRAMAS[],2,FALSE),0)</f>
        <v>640501509.6821388</v>
      </c>
      <c r="T557" s="246">
        <f>IFERROR(VLOOKUP(F557,PROGRAMAS[],2,FALSE),0)</f>
        <v>3062327798.1525245</v>
      </c>
      <c r="U557" s="246">
        <f>IFERROR(VLOOKUP(G557,PROGRAMAS[],2,FALSE),0)</f>
        <v>764796700.79905891</v>
      </c>
      <c r="V557" s="246">
        <f>IFERROR(VLOOKUP(H557,PROGRAMAS[],2,FALSE),0)</f>
        <v>122159672.96346797</v>
      </c>
      <c r="W557" s="246">
        <f>IFERROR(VLOOKUP(I557,PROGRAMAS[],2,FALSE),0)</f>
        <v>7068496961.0436354</v>
      </c>
      <c r="X557" s="246">
        <f>IFERROR(VLOOKUP(J557,PROGRAMAS[],2,FALSE),0)</f>
        <v>1892779498.5211046</v>
      </c>
      <c r="Y557" s="246">
        <f>IFERROR(VLOOKUP(K557,PROGRAMAS[],2,FALSE),0)</f>
        <v>0</v>
      </c>
      <c r="Z557" s="246">
        <f>IFERROR(VLOOKUP(L557,PROGRAMAS[],2,FALSE),0)</f>
        <v>0</v>
      </c>
      <c r="AA557" s="246">
        <f>IFERROR(VLOOKUP(M557,PROGRAMAS[],2,FALSE),0)</f>
        <v>0</v>
      </c>
      <c r="AB557" s="246">
        <f>IFERROR(VLOOKUP(N557,PROGRAMAS[],2,FALSE),0)</f>
        <v>0</v>
      </c>
      <c r="AC557" s="246">
        <f>IFERROR(VLOOKUP(O557,PROGRAMAS[],2,FALSE),0)</f>
        <v>0</v>
      </c>
      <c r="AD557" s="246">
        <f>IFERROR(VLOOKUP(P557,PROGRAMAS[],2,FALSE),0)</f>
        <v>0</v>
      </c>
      <c r="AE557" s="246">
        <f>IFERROR(VLOOKUP(Q557,PROGRAMAS[],2,FALSE),0)</f>
        <v>0</v>
      </c>
      <c r="AF557" s="246">
        <f>IFERROR(VLOOKUP(D557,PROGRAMAS[],3,FALSE),0)</f>
        <v>841888629.31080008</v>
      </c>
      <c r="AG557" s="246">
        <f>IFERROR(VLOOKUP(E557,PROGRAMAS[],3,FALSE),0)</f>
        <v>3848980803.1642323</v>
      </c>
      <c r="AH557" s="246">
        <f>IFERROR(VLOOKUP(F557,PROGRAMAS[],3,FALSE),0)</f>
        <v>3394901471.387517</v>
      </c>
      <c r="AI557" s="246">
        <f>IFERROR(VLOOKUP(G557,PROGRAMAS[],3,FALSE),0)</f>
        <v>675517840.109828</v>
      </c>
      <c r="AJ557" s="246">
        <f>IFERROR(VLOOKUP(H557,PROGRAMAS[],3,FALSE),0)</f>
        <v>118617452.52510804</v>
      </c>
      <c r="AK557" s="246">
        <f>IFERROR(VLOOKUP(I557,PROGRAMAS[],3,FALSE),0)</f>
        <v>2406564599.0319901</v>
      </c>
      <c r="AL557" s="246">
        <f>IFERROR(VLOOKUP(J557,PROGRAMAS[],3,FALSE),0)</f>
        <v>948595847.09039903</v>
      </c>
      <c r="AM557" s="246">
        <f>IFERROR(VLOOKUP(K557,PROGRAMAS[],3,FALSE),0)</f>
        <v>0</v>
      </c>
      <c r="AN557" s="246">
        <f>IFERROR(VLOOKUP(L557,PROGRAMAS[],3,FALSE),0)</f>
        <v>0</v>
      </c>
      <c r="AO557" s="246">
        <f>IFERROR(VLOOKUP(M557,PROGRAMAS[],3,FALSE),0)</f>
        <v>0</v>
      </c>
      <c r="AP557" s="246">
        <f>IFERROR(VLOOKUP(N557,PROGRAMAS[],3,FALSE),0)</f>
        <v>0</v>
      </c>
      <c r="AQ557" s="246">
        <f>IFERROR(VLOOKUP(O557,PROGRAMAS[],3,FALSE),0)</f>
        <v>0</v>
      </c>
      <c r="AR557" s="246">
        <f>IFERROR(VLOOKUP(P557,PROGRAMAS[],3,FALSE),0)</f>
        <v>0</v>
      </c>
      <c r="AS557" s="246">
        <f>IFERROR(VLOOKUP(Q557,PROGRAMAS[],3,FALSE),0)</f>
        <v>0</v>
      </c>
      <c r="AT557" s="246">
        <f>IFERROR(VLOOKUP(D557,VOL_REC[],2,FALSE),0)</f>
        <v>0</v>
      </c>
      <c r="AU557" s="246">
        <f>IFERROR(VLOOKUP(E557,VOL_REC[],2,FALSE),0)</f>
        <v>0</v>
      </c>
      <c r="AV557" s="246">
        <f>IFERROR(VLOOKUP(F557,VOL_REC[],2,FALSE),0)</f>
        <v>11089674.200000001</v>
      </c>
      <c r="AW557" s="246">
        <f>IFERROR(VLOOKUP(G557,VOL_REC[],2,FALSE),0)</f>
        <v>240696.79238099116</v>
      </c>
      <c r="AX557" s="246">
        <f>IFERROR(VLOOKUP(H557,VOL_REC[],2,FALSE),0)</f>
        <v>105072</v>
      </c>
      <c r="AY557" s="246">
        <f>IFERROR(VLOOKUP(I557,VOL_REC[],2,FALSE),0)</f>
        <v>1072354.9981737854</v>
      </c>
      <c r="AZ557" s="246">
        <f>IFERROR(VLOOKUP(J557,VOL_REC[],2,FALSE),0)</f>
        <v>740113.98115702497</v>
      </c>
      <c r="BA557" s="246">
        <f>IFERROR(VLOOKUP(K557,VOL_REC[],2,FALSE),0)</f>
        <v>0</v>
      </c>
      <c r="BB557" s="246">
        <f>IFERROR(VLOOKUP(L557,VOL_REC[],2,FALSE),0)</f>
        <v>0</v>
      </c>
      <c r="BC557" s="246">
        <f>IFERROR(VLOOKUP(M557,VOL_REC[],2,FALSE),0)</f>
        <v>0</v>
      </c>
      <c r="BD557" s="246">
        <f>IFERROR(VLOOKUP(N557,VOL_REC[],2,FALSE),0)</f>
        <v>0</v>
      </c>
      <c r="BE557" s="246">
        <f>IFERROR(VLOOKUP(O557,VOL_REC[],2,FALSE),0)</f>
        <v>0</v>
      </c>
      <c r="BF557" s="246">
        <f>IFERROR(VLOOKUP(P557,VOL_REC[],2,FALSE),0)</f>
        <v>0</v>
      </c>
      <c r="BG557" s="246">
        <f>IFERROR(VLOOKUP(Q557,VOL_REC[],2,FALSE),0)</f>
        <v>0</v>
      </c>
      <c r="BH557" s="1710">
        <f t="shared" si="32"/>
        <v>13648099944.841307</v>
      </c>
      <c r="BI557" s="1710">
        <f t="shared" si="33"/>
        <v>12235066642.619875</v>
      </c>
      <c r="BJ557" s="1711">
        <f t="shared" si="34"/>
        <v>13247911.971711801</v>
      </c>
      <c r="BK557" s="1711">
        <f t="shared" si="35"/>
        <v>1.1154904459040087</v>
      </c>
      <c r="BL557">
        <f>BJ557</f>
        <v>13247911.971711801</v>
      </c>
      <c r="BO557">
        <f>BL557</f>
        <v>13247911.971711801</v>
      </c>
    </row>
    <row r="558" spans="3:67" x14ac:dyDescent="0.25">
      <c r="C558" s="246" t="s">
        <v>1908</v>
      </c>
      <c r="D558" s="246">
        <v>1</v>
      </c>
      <c r="E558" s="246">
        <v>2</v>
      </c>
      <c r="F558" s="246">
        <v>3</v>
      </c>
      <c r="G558" s="246">
        <v>13</v>
      </c>
      <c r="H558" s="246">
        <v>14</v>
      </c>
      <c r="I558" s="246">
        <v>15</v>
      </c>
      <c r="J558" s="246">
        <v>16</v>
      </c>
      <c r="K558" s="246"/>
      <c r="L558" s="246"/>
      <c r="M558" s="246"/>
      <c r="N558" s="246"/>
      <c r="O558" s="246"/>
      <c r="P558" s="246"/>
      <c r="Q558" s="246"/>
      <c r="R558" s="246">
        <f>IFERROR(VLOOKUP(D558,PROGRAMAS[],2,FALSE),0)</f>
        <v>97037803.679377079</v>
      </c>
      <c r="S558" s="246">
        <f>IFERROR(VLOOKUP(E558,PROGRAMAS[],2,FALSE),0)</f>
        <v>640501509.6821388</v>
      </c>
      <c r="T558" s="246">
        <f>IFERROR(VLOOKUP(F558,PROGRAMAS[],2,FALSE),0)</f>
        <v>3062327798.1525245</v>
      </c>
      <c r="U558" s="246">
        <f>IFERROR(VLOOKUP(G558,PROGRAMAS[],2,FALSE),0)</f>
        <v>3776538594.4604583</v>
      </c>
      <c r="V558" s="246">
        <f>IFERROR(VLOOKUP(H558,PROGRAMAS[],2,FALSE),0)</f>
        <v>54223862.645839565</v>
      </c>
      <c r="W558" s="246">
        <f>IFERROR(VLOOKUP(I558,PROGRAMAS[],2,FALSE),0)</f>
        <v>122159672.96346797</v>
      </c>
      <c r="X558" s="246">
        <f>IFERROR(VLOOKUP(J558,PROGRAMAS[],2,FALSE),0)</f>
        <v>7068496961.0436354</v>
      </c>
      <c r="Y558" s="246">
        <f>IFERROR(VLOOKUP(K558,PROGRAMAS[],2,FALSE),0)</f>
        <v>0</v>
      </c>
      <c r="Z558" s="246">
        <f>IFERROR(VLOOKUP(L558,PROGRAMAS[],2,FALSE),0)</f>
        <v>0</v>
      </c>
      <c r="AA558" s="246">
        <f>IFERROR(VLOOKUP(M558,PROGRAMAS[],2,FALSE),0)</f>
        <v>0</v>
      </c>
      <c r="AB558" s="246">
        <f>IFERROR(VLOOKUP(N558,PROGRAMAS[],2,FALSE),0)</f>
        <v>0</v>
      </c>
      <c r="AC558" s="246">
        <f>IFERROR(VLOOKUP(O558,PROGRAMAS[],2,FALSE),0)</f>
        <v>0</v>
      </c>
      <c r="AD558" s="246">
        <f>IFERROR(VLOOKUP(P558,PROGRAMAS[],2,FALSE),0)</f>
        <v>0</v>
      </c>
      <c r="AE558" s="246">
        <f>IFERROR(VLOOKUP(Q558,PROGRAMAS[],2,FALSE),0)</f>
        <v>0</v>
      </c>
      <c r="AF558" s="246">
        <f>IFERROR(VLOOKUP(D558,PROGRAMAS[],3,FALSE),0)</f>
        <v>841888629.31080008</v>
      </c>
      <c r="AG558" s="246">
        <f>IFERROR(VLOOKUP(E558,PROGRAMAS[],3,FALSE),0)</f>
        <v>3848980803.1642323</v>
      </c>
      <c r="AH558" s="246">
        <f>IFERROR(VLOOKUP(F558,PROGRAMAS[],3,FALSE),0)</f>
        <v>3394901471.387517</v>
      </c>
      <c r="AI558" s="246">
        <f>IFERROR(VLOOKUP(G558,PROGRAMAS[],3,FALSE),0)</f>
        <v>2392571243.5584412</v>
      </c>
      <c r="AJ558" s="246">
        <f>IFERROR(VLOOKUP(H558,PROGRAMAS[],3,FALSE),0)</f>
        <v>31865326.38096505</v>
      </c>
      <c r="AK558" s="246">
        <f>IFERROR(VLOOKUP(I558,PROGRAMAS[],3,FALSE),0)</f>
        <v>118617452.52510804</v>
      </c>
      <c r="AL558" s="246">
        <f>IFERROR(VLOOKUP(J558,PROGRAMAS[],3,FALSE),0)</f>
        <v>2406564599.0319901</v>
      </c>
      <c r="AM558" s="246">
        <f>IFERROR(VLOOKUP(K558,PROGRAMAS[],3,FALSE),0)</f>
        <v>0</v>
      </c>
      <c r="AN558" s="246">
        <f>IFERROR(VLOOKUP(L558,PROGRAMAS[],3,FALSE),0)</f>
        <v>0</v>
      </c>
      <c r="AO558" s="246">
        <f>IFERROR(VLOOKUP(M558,PROGRAMAS[],3,FALSE),0)</f>
        <v>0</v>
      </c>
      <c r="AP558" s="246">
        <f>IFERROR(VLOOKUP(N558,PROGRAMAS[],3,FALSE),0)</f>
        <v>0</v>
      </c>
      <c r="AQ558" s="246">
        <f>IFERROR(VLOOKUP(O558,PROGRAMAS[],3,FALSE),0)</f>
        <v>0</v>
      </c>
      <c r="AR558" s="246">
        <f>IFERROR(VLOOKUP(P558,PROGRAMAS[],3,FALSE),0)</f>
        <v>0</v>
      </c>
      <c r="AS558" s="246">
        <f>IFERROR(VLOOKUP(Q558,PROGRAMAS[],3,FALSE),0)</f>
        <v>0</v>
      </c>
      <c r="AT558" s="246">
        <f>IFERROR(VLOOKUP(D558,VOL_REC[],2,FALSE),0)</f>
        <v>0</v>
      </c>
      <c r="AU558" s="246">
        <f>IFERROR(VLOOKUP(E558,VOL_REC[],2,FALSE),0)</f>
        <v>0</v>
      </c>
      <c r="AV558" s="246">
        <f>IFERROR(VLOOKUP(F558,VOL_REC[],2,FALSE),0)</f>
        <v>11089674.200000001</v>
      </c>
      <c r="AW558" s="246">
        <f>IFERROR(VLOOKUP(G558,VOL_REC[],2,FALSE),0)</f>
        <v>663244.80000000016</v>
      </c>
      <c r="AX558" s="246">
        <f>IFERROR(VLOOKUP(H558,VOL_REC[],2,FALSE),0)</f>
        <v>17074.045034105649</v>
      </c>
      <c r="AY558" s="246">
        <f>IFERROR(VLOOKUP(I558,VOL_REC[],2,FALSE),0)</f>
        <v>105072</v>
      </c>
      <c r="AZ558" s="246">
        <f>IFERROR(VLOOKUP(J558,VOL_REC[],2,FALSE),0)</f>
        <v>1072354.9981737854</v>
      </c>
      <c r="BA558" s="246">
        <f>IFERROR(VLOOKUP(K558,VOL_REC[],2,FALSE),0)</f>
        <v>0</v>
      </c>
      <c r="BB558" s="246">
        <f>IFERROR(VLOOKUP(L558,VOL_REC[],2,FALSE),0)</f>
        <v>0</v>
      </c>
      <c r="BC558" s="246">
        <f>IFERROR(VLOOKUP(M558,VOL_REC[],2,FALSE),0)</f>
        <v>0</v>
      </c>
      <c r="BD558" s="246">
        <f>IFERROR(VLOOKUP(N558,VOL_REC[],2,FALSE),0)</f>
        <v>0</v>
      </c>
      <c r="BE558" s="246">
        <f>IFERROR(VLOOKUP(O558,VOL_REC[],2,FALSE),0)</f>
        <v>0</v>
      </c>
      <c r="BF558" s="246">
        <f>IFERROR(VLOOKUP(P558,VOL_REC[],2,FALSE),0)</f>
        <v>0</v>
      </c>
      <c r="BG558" s="246">
        <f>IFERROR(VLOOKUP(Q558,VOL_REC[],2,FALSE),0)</f>
        <v>0</v>
      </c>
      <c r="BH558" s="1710">
        <f t="shared" si="32"/>
        <v>14821286202.627441</v>
      </c>
      <c r="BI558" s="1710">
        <f t="shared" si="33"/>
        <v>13035389525.359053</v>
      </c>
      <c r="BJ558" s="1711">
        <f t="shared" si="34"/>
        <v>12947420.043207891</v>
      </c>
      <c r="BK558" s="1711">
        <f t="shared" si="35"/>
        <v>1.1370037062409302</v>
      </c>
      <c r="BL558">
        <f>BJ558</f>
        <v>12947420.043207891</v>
      </c>
      <c r="BO558">
        <f>BL558</f>
        <v>12947420.043207891</v>
      </c>
    </row>
    <row r="559" spans="3:67" x14ac:dyDescent="0.25">
      <c r="C559" s="246" t="s">
        <v>1909</v>
      </c>
      <c r="D559" s="246">
        <v>1</v>
      </c>
      <c r="E559" s="246">
        <v>2</v>
      </c>
      <c r="F559" s="246">
        <v>3</v>
      </c>
      <c r="G559" s="246">
        <v>13</v>
      </c>
      <c r="H559" s="246">
        <v>14</v>
      </c>
      <c r="I559" s="246">
        <v>15</v>
      </c>
      <c r="J559" s="246">
        <v>17</v>
      </c>
      <c r="K559" s="246"/>
      <c r="L559" s="246"/>
      <c r="M559" s="246"/>
      <c r="N559" s="246"/>
      <c r="O559" s="246"/>
      <c r="P559" s="246"/>
      <c r="Q559" s="246"/>
      <c r="R559" s="246">
        <f>IFERROR(VLOOKUP(D559,PROGRAMAS[],2,FALSE),0)</f>
        <v>97037803.679377079</v>
      </c>
      <c r="S559" s="246">
        <f>IFERROR(VLOOKUP(E559,PROGRAMAS[],2,FALSE),0)</f>
        <v>640501509.6821388</v>
      </c>
      <c r="T559" s="246">
        <f>IFERROR(VLOOKUP(F559,PROGRAMAS[],2,FALSE),0)</f>
        <v>3062327798.1525245</v>
      </c>
      <c r="U559" s="246">
        <f>IFERROR(VLOOKUP(G559,PROGRAMAS[],2,FALSE),0)</f>
        <v>3776538594.4604583</v>
      </c>
      <c r="V559" s="246">
        <f>IFERROR(VLOOKUP(H559,PROGRAMAS[],2,FALSE),0)</f>
        <v>54223862.645839565</v>
      </c>
      <c r="W559" s="246">
        <f>IFERROR(VLOOKUP(I559,PROGRAMAS[],2,FALSE),0)</f>
        <v>122159672.96346797</v>
      </c>
      <c r="X559" s="246">
        <f>IFERROR(VLOOKUP(J559,PROGRAMAS[],2,FALSE),0)</f>
        <v>1892779498.5211046</v>
      </c>
      <c r="Y559" s="246">
        <f>IFERROR(VLOOKUP(K559,PROGRAMAS[],2,FALSE),0)</f>
        <v>0</v>
      </c>
      <c r="Z559" s="246">
        <f>IFERROR(VLOOKUP(L559,PROGRAMAS[],2,FALSE),0)</f>
        <v>0</v>
      </c>
      <c r="AA559" s="246">
        <f>IFERROR(VLOOKUP(M559,PROGRAMAS[],2,FALSE),0)</f>
        <v>0</v>
      </c>
      <c r="AB559" s="246">
        <f>IFERROR(VLOOKUP(N559,PROGRAMAS[],2,FALSE),0)</f>
        <v>0</v>
      </c>
      <c r="AC559" s="246">
        <f>IFERROR(VLOOKUP(O559,PROGRAMAS[],2,FALSE),0)</f>
        <v>0</v>
      </c>
      <c r="AD559" s="246">
        <f>IFERROR(VLOOKUP(P559,PROGRAMAS[],2,FALSE),0)</f>
        <v>0</v>
      </c>
      <c r="AE559" s="246">
        <f>IFERROR(VLOOKUP(Q559,PROGRAMAS[],2,FALSE),0)</f>
        <v>0</v>
      </c>
      <c r="AF559" s="246">
        <f>IFERROR(VLOOKUP(D559,PROGRAMAS[],3,FALSE),0)</f>
        <v>841888629.31080008</v>
      </c>
      <c r="AG559" s="246">
        <f>IFERROR(VLOOKUP(E559,PROGRAMAS[],3,FALSE),0)</f>
        <v>3848980803.1642323</v>
      </c>
      <c r="AH559" s="246">
        <f>IFERROR(VLOOKUP(F559,PROGRAMAS[],3,FALSE),0)</f>
        <v>3394901471.387517</v>
      </c>
      <c r="AI559" s="246">
        <f>IFERROR(VLOOKUP(G559,PROGRAMAS[],3,FALSE),0)</f>
        <v>2392571243.5584412</v>
      </c>
      <c r="AJ559" s="246">
        <f>IFERROR(VLOOKUP(H559,PROGRAMAS[],3,FALSE),0)</f>
        <v>31865326.38096505</v>
      </c>
      <c r="AK559" s="246">
        <f>IFERROR(VLOOKUP(I559,PROGRAMAS[],3,FALSE),0)</f>
        <v>118617452.52510804</v>
      </c>
      <c r="AL559" s="246">
        <f>IFERROR(VLOOKUP(J559,PROGRAMAS[],3,FALSE),0)</f>
        <v>948595847.09039903</v>
      </c>
      <c r="AM559" s="246">
        <f>IFERROR(VLOOKUP(K559,PROGRAMAS[],3,FALSE),0)</f>
        <v>0</v>
      </c>
      <c r="AN559" s="246">
        <f>IFERROR(VLOOKUP(L559,PROGRAMAS[],3,FALSE),0)</f>
        <v>0</v>
      </c>
      <c r="AO559" s="246">
        <f>IFERROR(VLOOKUP(M559,PROGRAMAS[],3,FALSE),0)</f>
        <v>0</v>
      </c>
      <c r="AP559" s="246">
        <f>IFERROR(VLOOKUP(N559,PROGRAMAS[],3,FALSE),0)</f>
        <v>0</v>
      </c>
      <c r="AQ559" s="246">
        <f>IFERROR(VLOOKUP(O559,PROGRAMAS[],3,FALSE),0)</f>
        <v>0</v>
      </c>
      <c r="AR559" s="246">
        <f>IFERROR(VLOOKUP(P559,PROGRAMAS[],3,FALSE),0)</f>
        <v>0</v>
      </c>
      <c r="AS559" s="246">
        <f>IFERROR(VLOOKUP(Q559,PROGRAMAS[],3,FALSE),0)</f>
        <v>0</v>
      </c>
      <c r="AT559" s="246">
        <f>IFERROR(VLOOKUP(D559,VOL_REC[],2,FALSE),0)</f>
        <v>0</v>
      </c>
      <c r="AU559" s="246">
        <f>IFERROR(VLOOKUP(E559,VOL_REC[],2,FALSE),0)</f>
        <v>0</v>
      </c>
      <c r="AV559" s="246">
        <f>IFERROR(VLOOKUP(F559,VOL_REC[],2,FALSE),0)</f>
        <v>11089674.200000001</v>
      </c>
      <c r="AW559" s="246">
        <f>IFERROR(VLOOKUP(G559,VOL_REC[],2,FALSE),0)</f>
        <v>663244.80000000016</v>
      </c>
      <c r="AX559" s="246">
        <f>IFERROR(VLOOKUP(H559,VOL_REC[],2,FALSE),0)</f>
        <v>17074.045034105649</v>
      </c>
      <c r="AY559" s="246">
        <f>IFERROR(VLOOKUP(I559,VOL_REC[],2,FALSE),0)</f>
        <v>105072</v>
      </c>
      <c r="AZ559" s="246">
        <f>IFERROR(VLOOKUP(J559,VOL_REC[],2,FALSE),0)</f>
        <v>740113.98115702497</v>
      </c>
      <c r="BA559" s="246">
        <f>IFERROR(VLOOKUP(K559,VOL_REC[],2,FALSE),0)</f>
        <v>0</v>
      </c>
      <c r="BB559" s="246">
        <f>IFERROR(VLOOKUP(L559,VOL_REC[],2,FALSE),0)</f>
        <v>0</v>
      </c>
      <c r="BC559" s="246">
        <f>IFERROR(VLOOKUP(M559,VOL_REC[],2,FALSE),0)</f>
        <v>0</v>
      </c>
      <c r="BD559" s="246">
        <f>IFERROR(VLOOKUP(N559,VOL_REC[],2,FALSE),0)</f>
        <v>0</v>
      </c>
      <c r="BE559" s="246">
        <f>IFERROR(VLOOKUP(O559,VOL_REC[],2,FALSE),0)</f>
        <v>0</v>
      </c>
      <c r="BF559" s="246">
        <f>IFERROR(VLOOKUP(P559,VOL_REC[],2,FALSE),0)</f>
        <v>0</v>
      </c>
      <c r="BG559" s="246">
        <f>IFERROR(VLOOKUP(Q559,VOL_REC[],2,FALSE),0)</f>
        <v>0</v>
      </c>
      <c r="BH559" s="1710">
        <f t="shared" si="32"/>
        <v>9645568740.1049099</v>
      </c>
      <c r="BI559" s="1710">
        <f t="shared" si="33"/>
        <v>11577420773.417461</v>
      </c>
      <c r="BJ559" s="1711">
        <f t="shared" si="34"/>
        <v>12615179.026191132</v>
      </c>
      <c r="BK559" s="1711">
        <f t="shared" si="35"/>
        <v>0.83313623378462554</v>
      </c>
    </row>
    <row r="560" spans="3:67" x14ac:dyDescent="0.25">
      <c r="C560" s="246" t="s">
        <v>1910</v>
      </c>
      <c r="D560" s="246">
        <v>1</v>
      </c>
      <c r="E560" s="246">
        <v>2</v>
      </c>
      <c r="F560" s="246">
        <v>3</v>
      </c>
      <c r="G560" s="246">
        <v>13</v>
      </c>
      <c r="H560" s="246">
        <v>14</v>
      </c>
      <c r="I560" s="246">
        <v>16</v>
      </c>
      <c r="J560" s="246">
        <v>17</v>
      </c>
      <c r="K560" s="246"/>
      <c r="L560" s="246"/>
      <c r="M560" s="246"/>
      <c r="N560" s="246"/>
      <c r="O560" s="246"/>
      <c r="P560" s="246"/>
      <c r="Q560" s="246"/>
      <c r="R560" s="246">
        <f>IFERROR(VLOOKUP(D560,PROGRAMAS[],2,FALSE),0)</f>
        <v>97037803.679377079</v>
      </c>
      <c r="S560" s="246">
        <f>IFERROR(VLOOKUP(E560,PROGRAMAS[],2,FALSE),0)</f>
        <v>640501509.6821388</v>
      </c>
      <c r="T560" s="246">
        <f>IFERROR(VLOOKUP(F560,PROGRAMAS[],2,FALSE),0)</f>
        <v>3062327798.1525245</v>
      </c>
      <c r="U560" s="246">
        <f>IFERROR(VLOOKUP(G560,PROGRAMAS[],2,FALSE),0)</f>
        <v>3776538594.4604583</v>
      </c>
      <c r="V560" s="246">
        <f>IFERROR(VLOOKUP(H560,PROGRAMAS[],2,FALSE),0)</f>
        <v>54223862.645839565</v>
      </c>
      <c r="W560" s="246">
        <f>IFERROR(VLOOKUP(I560,PROGRAMAS[],2,FALSE),0)</f>
        <v>7068496961.0436354</v>
      </c>
      <c r="X560" s="246">
        <f>IFERROR(VLOOKUP(J560,PROGRAMAS[],2,FALSE),0)</f>
        <v>1892779498.5211046</v>
      </c>
      <c r="Y560" s="246">
        <f>IFERROR(VLOOKUP(K560,PROGRAMAS[],2,FALSE),0)</f>
        <v>0</v>
      </c>
      <c r="Z560" s="246">
        <f>IFERROR(VLOOKUP(L560,PROGRAMAS[],2,FALSE),0)</f>
        <v>0</v>
      </c>
      <c r="AA560" s="246">
        <f>IFERROR(VLOOKUP(M560,PROGRAMAS[],2,FALSE),0)</f>
        <v>0</v>
      </c>
      <c r="AB560" s="246">
        <f>IFERROR(VLOOKUP(N560,PROGRAMAS[],2,FALSE),0)</f>
        <v>0</v>
      </c>
      <c r="AC560" s="246">
        <f>IFERROR(VLOOKUP(O560,PROGRAMAS[],2,FALSE),0)</f>
        <v>0</v>
      </c>
      <c r="AD560" s="246">
        <f>IFERROR(VLOOKUP(P560,PROGRAMAS[],2,FALSE),0)</f>
        <v>0</v>
      </c>
      <c r="AE560" s="246">
        <f>IFERROR(VLOOKUP(Q560,PROGRAMAS[],2,FALSE),0)</f>
        <v>0</v>
      </c>
      <c r="AF560" s="246">
        <f>IFERROR(VLOOKUP(D560,PROGRAMAS[],3,FALSE),0)</f>
        <v>841888629.31080008</v>
      </c>
      <c r="AG560" s="246">
        <f>IFERROR(VLOOKUP(E560,PROGRAMAS[],3,FALSE),0)</f>
        <v>3848980803.1642323</v>
      </c>
      <c r="AH560" s="246">
        <f>IFERROR(VLOOKUP(F560,PROGRAMAS[],3,FALSE),0)</f>
        <v>3394901471.387517</v>
      </c>
      <c r="AI560" s="246">
        <f>IFERROR(VLOOKUP(G560,PROGRAMAS[],3,FALSE),0)</f>
        <v>2392571243.5584412</v>
      </c>
      <c r="AJ560" s="246">
        <f>IFERROR(VLOOKUP(H560,PROGRAMAS[],3,FALSE),0)</f>
        <v>31865326.38096505</v>
      </c>
      <c r="AK560" s="246">
        <f>IFERROR(VLOOKUP(I560,PROGRAMAS[],3,FALSE),0)</f>
        <v>2406564599.0319901</v>
      </c>
      <c r="AL560" s="246">
        <f>IFERROR(VLOOKUP(J560,PROGRAMAS[],3,FALSE),0)</f>
        <v>948595847.09039903</v>
      </c>
      <c r="AM560" s="246">
        <f>IFERROR(VLOOKUP(K560,PROGRAMAS[],3,FALSE),0)</f>
        <v>0</v>
      </c>
      <c r="AN560" s="246">
        <f>IFERROR(VLOOKUP(L560,PROGRAMAS[],3,FALSE),0)</f>
        <v>0</v>
      </c>
      <c r="AO560" s="246">
        <f>IFERROR(VLOOKUP(M560,PROGRAMAS[],3,FALSE),0)</f>
        <v>0</v>
      </c>
      <c r="AP560" s="246">
        <f>IFERROR(VLOOKUP(N560,PROGRAMAS[],3,FALSE),0)</f>
        <v>0</v>
      </c>
      <c r="AQ560" s="246">
        <f>IFERROR(VLOOKUP(O560,PROGRAMAS[],3,FALSE),0)</f>
        <v>0</v>
      </c>
      <c r="AR560" s="246">
        <f>IFERROR(VLOOKUP(P560,PROGRAMAS[],3,FALSE),0)</f>
        <v>0</v>
      </c>
      <c r="AS560" s="246">
        <f>IFERROR(VLOOKUP(Q560,PROGRAMAS[],3,FALSE),0)</f>
        <v>0</v>
      </c>
      <c r="AT560" s="246">
        <f>IFERROR(VLOOKUP(D560,VOL_REC[],2,FALSE),0)</f>
        <v>0</v>
      </c>
      <c r="AU560" s="246">
        <f>IFERROR(VLOOKUP(E560,VOL_REC[],2,FALSE),0)</f>
        <v>0</v>
      </c>
      <c r="AV560" s="246">
        <f>IFERROR(VLOOKUP(F560,VOL_REC[],2,FALSE),0)</f>
        <v>11089674.200000001</v>
      </c>
      <c r="AW560" s="246">
        <f>IFERROR(VLOOKUP(G560,VOL_REC[],2,FALSE),0)</f>
        <v>663244.80000000016</v>
      </c>
      <c r="AX560" s="246">
        <f>IFERROR(VLOOKUP(H560,VOL_REC[],2,FALSE),0)</f>
        <v>17074.045034105649</v>
      </c>
      <c r="AY560" s="246">
        <f>IFERROR(VLOOKUP(I560,VOL_REC[],2,FALSE),0)</f>
        <v>1072354.9981737854</v>
      </c>
      <c r="AZ560" s="246">
        <f>IFERROR(VLOOKUP(J560,VOL_REC[],2,FALSE),0)</f>
        <v>740113.98115702497</v>
      </c>
      <c r="BA560" s="246">
        <f>IFERROR(VLOOKUP(K560,VOL_REC[],2,FALSE),0)</f>
        <v>0</v>
      </c>
      <c r="BB560" s="246">
        <f>IFERROR(VLOOKUP(L560,VOL_REC[],2,FALSE),0)</f>
        <v>0</v>
      </c>
      <c r="BC560" s="246">
        <f>IFERROR(VLOOKUP(M560,VOL_REC[],2,FALSE),0)</f>
        <v>0</v>
      </c>
      <c r="BD560" s="246">
        <f>IFERROR(VLOOKUP(N560,VOL_REC[],2,FALSE),0)</f>
        <v>0</v>
      </c>
      <c r="BE560" s="246">
        <f>IFERROR(VLOOKUP(O560,VOL_REC[],2,FALSE),0)</f>
        <v>0</v>
      </c>
      <c r="BF560" s="246">
        <f>IFERROR(VLOOKUP(P560,VOL_REC[],2,FALSE),0)</f>
        <v>0</v>
      </c>
      <c r="BG560" s="246">
        <f>IFERROR(VLOOKUP(Q560,VOL_REC[],2,FALSE),0)</f>
        <v>0</v>
      </c>
      <c r="BH560" s="1710">
        <f t="shared" si="32"/>
        <v>16591906028.18508</v>
      </c>
      <c r="BI560" s="1710">
        <f t="shared" si="33"/>
        <v>13865367919.924343</v>
      </c>
      <c r="BJ560" s="1711">
        <f t="shared" si="34"/>
        <v>13582462.024364917</v>
      </c>
      <c r="BK560" s="1711">
        <f t="shared" si="35"/>
        <v>1.1966437619259089</v>
      </c>
      <c r="BL560">
        <f>BJ560</f>
        <v>13582462.024364917</v>
      </c>
      <c r="BO560">
        <f>BL560</f>
        <v>13582462.024364917</v>
      </c>
    </row>
    <row r="561" spans="3:67" x14ac:dyDescent="0.25">
      <c r="C561" s="246" t="s">
        <v>1911</v>
      </c>
      <c r="D561" s="246">
        <v>1</v>
      </c>
      <c r="E561" s="246">
        <v>2</v>
      </c>
      <c r="F561" s="246">
        <v>3</v>
      </c>
      <c r="G561" s="246">
        <v>13</v>
      </c>
      <c r="H561" s="246">
        <v>15</v>
      </c>
      <c r="I561" s="246">
        <v>16</v>
      </c>
      <c r="J561" s="246">
        <v>17</v>
      </c>
      <c r="K561" s="246"/>
      <c r="L561" s="246"/>
      <c r="M561" s="246"/>
      <c r="N561" s="246"/>
      <c r="O561" s="246"/>
      <c r="P561" s="246"/>
      <c r="Q561" s="246"/>
      <c r="R561" s="246">
        <f>IFERROR(VLOOKUP(D561,PROGRAMAS[],2,FALSE),0)</f>
        <v>97037803.679377079</v>
      </c>
      <c r="S561" s="246">
        <f>IFERROR(VLOOKUP(E561,PROGRAMAS[],2,FALSE),0)</f>
        <v>640501509.6821388</v>
      </c>
      <c r="T561" s="246">
        <f>IFERROR(VLOOKUP(F561,PROGRAMAS[],2,FALSE),0)</f>
        <v>3062327798.1525245</v>
      </c>
      <c r="U561" s="246">
        <f>IFERROR(VLOOKUP(G561,PROGRAMAS[],2,FALSE),0)</f>
        <v>3776538594.4604583</v>
      </c>
      <c r="V561" s="246">
        <f>IFERROR(VLOOKUP(H561,PROGRAMAS[],2,FALSE),0)</f>
        <v>122159672.96346797</v>
      </c>
      <c r="W561" s="246">
        <f>IFERROR(VLOOKUP(I561,PROGRAMAS[],2,FALSE),0)</f>
        <v>7068496961.0436354</v>
      </c>
      <c r="X561" s="246">
        <f>IFERROR(VLOOKUP(J561,PROGRAMAS[],2,FALSE),0)</f>
        <v>1892779498.5211046</v>
      </c>
      <c r="Y561" s="246">
        <f>IFERROR(VLOOKUP(K561,PROGRAMAS[],2,FALSE),0)</f>
        <v>0</v>
      </c>
      <c r="Z561" s="246">
        <f>IFERROR(VLOOKUP(L561,PROGRAMAS[],2,FALSE),0)</f>
        <v>0</v>
      </c>
      <c r="AA561" s="246">
        <f>IFERROR(VLOOKUP(M561,PROGRAMAS[],2,FALSE),0)</f>
        <v>0</v>
      </c>
      <c r="AB561" s="246">
        <f>IFERROR(VLOOKUP(N561,PROGRAMAS[],2,FALSE),0)</f>
        <v>0</v>
      </c>
      <c r="AC561" s="246">
        <f>IFERROR(VLOOKUP(O561,PROGRAMAS[],2,FALSE),0)</f>
        <v>0</v>
      </c>
      <c r="AD561" s="246">
        <f>IFERROR(VLOOKUP(P561,PROGRAMAS[],2,FALSE),0)</f>
        <v>0</v>
      </c>
      <c r="AE561" s="246">
        <f>IFERROR(VLOOKUP(Q561,PROGRAMAS[],2,FALSE),0)</f>
        <v>0</v>
      </c>
      <c r="AF561" s="246">
        <f>IFERROR(VLOOKUP(D561,PROGRAMAS[],3,FALSE),0)</f>
        <v>841888629.31080008</v>
      </c>
      <c r="AG561" s="246">
        <f>IFERROR(VLOOKUP(E561,PROGRAMAS[],3,FALSE),0)</f>
        <v>3848980803.1642323</v>
      </c>
      <c r="AH561" s="246">
        <f>IFERROR(VLOOKUP(F561,PROGRAMAS[],3,FALSE),0)</f>
        <v>3394901471.387517</v>
      </c>
      <c r="AI561" s="246">
        <f>IFERROR(VLOOKUP(G561,PROGRAMAS[],3,FALSE),0)</f>
        <v>2392571243.5584412</v>
      </c>
      <c r="AJ561" s="246">
        <f>IFERROR(VLOOKUP(H561,PROGRAMAS[],3,FALSE),0)</f>
        <v>118617452.52510804</v>
      </c>
      <c r="AK561" s="246">
        <f>IFERROR(VLOOKUP(I561,PROGRAMAS[],3,FALSE),0)</f>
        <v>2406564599.0319901</v>
      </c>
      <c r="AL561" s="246">
        <f>IFERROR(VLOOKUP(J561,PROGRAMAS[],3,FALSE),0)</f>
        <v>948595847.09039903</v>
      </c>
      <c r="AM561" s="246">
        <f>IFERROR(VLOOKUP(K561,PROGRAMAS[],3,FALSE),0)</f>
        <v>0</v>
      </c>
      <c r="AN561" s="246">
        <f>IFERROR(VLOOKUP(L561,PROGRAMAS[],3,FALSE),0)</f>
        <v>0</v>
      </c>
      <c r="AO561" s="246">
        <f>IFERROR(VLOOKUP(M561,PROGRAMAS[],3,FALSE),0)</f>
        <v>0</v>
      </c>
      <c r="AP561" s="246">
        <f>IFERROR(VLOOKUP(N561,PROGRAMAS[],3,FALSE),0)</f>
        <v>0</v>
      </c>
      <c r="AQ561" s="246">
        <f>IFERROR(VLOOKUP(O561,PROGRAMAS[],3,FALSE),0)</f>
        <v>0</v>
      </c>
      <c r="AR561" s="246">
        <f>IFERROR(VLOOKUP(P561,PROGRAMAS[],3,FALSE),0)</f>
        <v>0</v>
      </c>
      <c r="AS561" s="246">
        <f>IFERROR(VLOOKUP(Q561,PROGRAMAS[],3,FALSE),0)</f>
        <v>0</v>
      </c>
      <c r="AT561" s="246">
        <f>IFERROR(VLOOKUP(D561,VOL_REC[],2,FALSE),0)</f>
        <v>0</v>
      </c>
      <c r="AU561" s="246">
        <f>IFERROR(VLOOKUP(E561,VOL_REC[],2,FALSE),0)</f>
        <v>0</v>
      </c>
      <c r="AV561" s="246">
        <f>IFERROR(VLOOKUP(F561,VOL_REC[],2,FALSE),0)</f>
        <v>11089674.200000001</v>
      </c>
      <c r="AW561" s="246">
        <f>IFERROR(VLOOKUP(G561,VOL_REC[],2,FALSE),0)</f>
        <v>663244.80000000016</v>
      </c>
      <c r="AX561" s="246">
        <f>IFERROR(VLOOKUP(H561,VOL_REC[],2,FALSE),0)</f>
        <v>105072</v>
      </c>
      <c r="AY561" s="246">
        <f>IFERROR(VLOOKUP(I561,VOL_REC[],2,FALSE),0)</f>
        <v>1072354.9981737854</v>
      </c>
      <c r="AZ561" s="246">
        <f>IFERROR(VLOOKUP(J561,VOL_REC[],2,FALSE),0)</f>
        <v>740113.98115702497</v>
      </c>
      <c r="BA561" s="246">
        <f>IFERROR(VLOOKUP(K561,VOL_REC[],2,FALSE),0)</f>
        <v>0</v>
      </c>
      <c r="BB561" s="246">
        <f>IFERROR(VLOOKUP(L561,VOL_REC[],2,FALSE),0)</f>
        <v>0</v>
      </c>
      <c r="BC561" s="246">
        <f>IFERROR(VLOOKUP(M561,VOL_REC[],2,FALSE),0)</f>
        <v>0</v>
      </c>
      <c r="BD561" s="246">
        <f>IFERROR(VLOOKUP(N561,VOL_REC[],2,FALSE),0)</f>
        <v>0</v>
      </c>
      <c r="BE561" s="246">
        <f>IFERROR(VLOOKUP(O561,VOL_REC[],2,FALSE),0)</f>
        <v>0</v>
      </c>
      <c r="BF561" s="246">
        <f>IFERROR(VLOOKUP(P561,VOL_REC[],2,FALSE),0)</f>
        <v>0</v>
      </c>
      <c r="BG561" s="246">
        <f>IFERROR(VLOOKUP(Q561,VOL_REC[],2,FALSE),0)</f>
        <v>0</v>
      </c>
      <c r="BH561" s="1710">
        <f t="shared" si="32"/>
        <v>16659841838.502707</v>
      </c>
      <c r="BI561" s="1710">
        <f t="shared" si="33"/>
        <v>13952120046.068487</v>
      </c>
      <c r="BJ561" s="1711">
        <f t="shared" si="34"/>
        <v>13670459.979330814</v>
      </c>
      <c r="BK561" s="1711">
        <f t="shared" si="35"/>
        <v>1.1940724265196685</v>
      </c>
      <c r="BL561">
        <f>BJ561</f>
        <v>13670459.979330814</v>
      </c>
      <c r="BO561">
        <f>BL561</f>
        <v>13670459.979330814</v>
      </c>
    </row>
    <row r="562" spans="3:67" x14ac:dyDescent="0.25">
      <c r="C562" s="246" t="s">
        <v>1912</v>
      </c>
      <c r="D562" s="246">
        <v>1</v>
      </c>
      <c r="E562" s="246">
        <v>2</v>
      </c>
      <c r="F562" s="246">
        <v>3</v>
      </c>
      <c r="G562" s="246">
        <v>14</v>
      </c>
      <c r="H562" s="246">
        <v>15</v>
      </c>
      <c r="I562" s="246">
        <v>16</v>
      </c>
      <c r="J562" s="246">
        <v>17</v>
      </c>
      <c r="K562" s="246"/>
      <c r="L562" s="246"/>
      <c r="M562" s="246"/>
      <c r="N562" s="246"/>
      <c r="O562" s="246"/>
      <c r="P562" s="246"/>
      <c r="Q562" s="246"/>
      <c r="R562" s="246">
        <f>IFERROR(VLOOKUP(D562,PROGRAMAS[],2,FALSE),0)</f>
        <v>97037803.679377079</v>
      </c>
      <c r="S562" s="246">
        <f>IFERROR(VLOOKUP(E562,PROGRAMAS[],2,FALSE),0)</f>
        <v>640501509.6821388</v>
      </c>
      <c r="T562" s="246">
        <f>IFERROR(VLOOKUP(F562,PROGRAMAS[],2,FALSE),0)</f>
        <v>3062327798.1525245</v>
      </c>
      <c r="U562" s="246">
        <f>IFERROR(VLOOKUP(G562,PROGRAMAS[],2,FALSE),0)</f>
        <v>54223862.645839565</v>
      </c>
      <c r="V562" s="246">
        <f>IFERROR(VLOOKUP(H562,PROGRAMAS[],2,FALSE),0)</f>
        <v>122159672.96346797</v>
      </c>
      <c r="W562" s="246">
        <f>IFERROR(VLOOKUP(I562,PROGRAMAS[],2,FALSE),0)</f>
        <v>7068496961.0436354</v>
      </c>
      <c r="X562" s="246">
        <f>IFERROR(VLOOKUP(J562,PROGRAMAS[],2,FALSE),0)</f>
        <v>1892779498.5211046</v>
      </c>
      <c r="Y562" s="246">
        <f>IFERROR(VLOOKUP(K562,PROGRAMAS[],2,FALSE),0)</f>
        <v>0</v>
      </c>
      <c r="Z562" s="246">
        <f>IFERROR(VLOOKUP(L562,PROGRAMAS[],2,FALSE),0)</f>
        <v>0</v>
      </c>
      <c r="AA562" s="246">
        <f>IFERROR(VLOOKUP(M562,PROGRAMAS[],2,FALSE),0)</f>
        <v>0</v>
      </c>
      <c r="AB562" s="246">
        <f>IFERROR(VLOOKUP(N562,PROGRAMAS[],2,FALSE),0)</f>
        <v>0</v>
      </c>
      <c r="AC562" s="246">
        <f>IFERROR(VLOOKUP(O562,PROGRAMAS[],2,FALSE),0)</f>
        <v>0</v>
      </c>
      <c r="AD562" s="246">
        <f>IFERROR(VLOOKUP(P562,PROGRAMAS[],2,FALSE),0)</f>
        <v>0</v>
      </c>
      <c r="AE562" s="246">
        <f>IFERROR(VLOOKUP(Q562,PROGRAMAS[],2,FALSE),0)</f>
        <v>0</v>
      </c>
      <c r="AF562" s="246">
        <f>IFERROR(VLOOKUP(D562,PROGRAMAS[],3,FALSE),0)</f>
        <v>841888629.31080008</v>
      </c>
      <c r="AG562" s="246">
        <f>IFERROR(VLOOKUP(E562,PROGRAMAS[],3,FALSE),0)</f>
        <v>3848980803.1642323</v>
      </c>
      <c r="AH562" s="246">
        <f>IFERROR(VLOOKUP(F562,PROGRAMAS[],3,FALSE),0)</f>
        <v>3394901471.387517</v>
      </c>
      <c r="AI562" s="246">
        <f>IFERROR(VLOOKUP(G562,PROGRAMAS[],3,FALSE),0)</f>
        <v>31865326.38096505</v>
      </c>
      <c r="AJ562" s="246">
        <f>IFERROR(VLOOKUP(H562,PROGRAMAS[],3,FALSE),0)</f>
        <v>118617452.52510804</v>
      </c>
      <c r="AK562" s="246">
        <f>IFERROR(VLOOKUP(I562,PROGRAMAS[],3,FALSE),0)</f>
        <v>2406564599.0319901</v>
      </c>
      <c r="AL562" s="246">
        <f>IFERROR(VLOOKUP(J562,PROGRAMAS[],3,FALSE),0)</f>
        <v>948595847.09039903</v>
      </c>
      <c r="AM562" s="246">
        <f>IFERROR(VLOOKUP(K562,PROGRAMAS[],3,FALSE),0)</f>
        <v>0</v>
      </c>
      <c r="AN562" s="246">
        <f>IFERROR(VLOOKUP(L562,PROGRAMAS[],3,FALSE),0)</f>
        <v>0</v>
      </c>
      <c r="AO562" s="246">
        <f>IFERROR(VLOOKUP(M562,PROGRAMAS[],3,FALSE),0)</f>
        <v>0</v>
      </c>
      <c r="AP562" s="246">
        <f>IFERROR(VLOOKUP(N562,PROGRAMAS[],3,FALSE),0)</f>
        <v>0</v>
      </c>
      <c r="AQ562" s="246">
        <f>IFERROR(VLOOKUP(O562,PROGRAMAS[],3,FALSE),0)</f>
        <v>0</v>
      </c>
      <c r="AR562" s="246">
        <f>IFERROR(VLOOKUP(P562,PROGRAMAS[],3,FALSE),0)</f>
        <v>0</v>
      </c>
      <c r="AS562" s="246">
        <f>IFERROR(VLOOKUP(Q562,PROGRAMAS[],3,FALSE),0)</f>
        <v>0</v>
      </c>
      <c r="AT562" s="246">
        <f>IFERROR(VLOOKUP(D562,VOL_REC[],2,FALSE),0)</f>
        <v>0</v>
      </c>
      <c r="AU562" s="246">
        <f>IFERROR(VLOOKUP(E562,VOL_REC[],2,FALSE),0)</f>
        <v>0</v>
      </c>
      <c r="AV562" s="246">
        <f>IFERROR(VLOOKUP(F562,VOL_REC[],2,FALSE),0)</f>
        <v>11089674.200000001</v>
      </c>
      <c r="AW562" s="246">
        <f>IFERROR(VLOOKUP(G562,VOL_REC[],2,FALSE),0)</f>
        <v>17074.045034105649</v>
      </c>
      <c r="AX562" s="246">
        <f>IFERROR(VLOOKUP(H562,VOL_REC[],2,FALSE),0)</f>
        <v>105072</v>
      </c>
      <c r="AY562" s="246">
        <f>IFERROR(VLOOKUP(I562,VOL_REC[],2,FALSE),0)</f>
        <v>1072354.9981737854</v>
      </c>
      <c r="AZ562" s="246">
        <f>IFERROR(VLOOKUP(J562,VOL_REC[],2,FALSE),0)</f>
        <v>740113.98115702497</v>
      </c>
      <c r="BA562" s="246">
        <f>IFERROR(VLOOKUP(K562,VOL_REC[],2,FALSE),0)</f>
        <v>0</v>
      </c>
      <c r="BB562" s="246">
        <f>IFERROR(VLOOKUP(L562,VOL_REC[],2,FALSE),0)</f>
        <v>0</v>
      </c>
      <c r="BC562" s="246">
        <f>IFERROR(VLOOKUP(M562,VOL_REC[],2,FALSE),0)</f>
        <v>0</v>
      </c>
      <c r="BD562" s="246">
        <f>IFERROR(VLOOKUP(N562,VOL_REC[],2,FALSE),0)</f>
        <v>0</v>
      </c>
      <c r="BE562" s="246">
        <f>IFERROR(VLOOKUP(O562,VOL_REC[],2,FALSE),0)</f>
        <v>0</v>
      </c>
      <c r="BF562" s="246">
        <f>IFERROR(VLOOKUP(P562,VOL_REC[],2,FALSE),0)</f>
        <v>0</v>
      </c>
      <c r="BG562" s="246">
        <f>IFERROR(VLOOKUP(Q562,VOL_REC[],2,FALSE),0)</f>
        <v>0</v>
      </c>
      <c r="BH562" s="1710">
        <f t="shared" si="32"/>
        <v>12937527106.688089</v>
      </c>
      <c r="BI562" s="1710">
        <f t="shared" si="33"/>
        <v>11591414128.891012</v>
      </c>
      <c r="BJ562" s="1711">
        <f t="shared" si="34"/>
        <v>13024289.224364916</v>
      </c>
      <c r="BK562" s="1711">
        <f t="shared" si="35"/>
        <v>1.1161301772871663</v>
      </c>
      <c r="BL562">
        <f>BJ562</f>
        <v>13024289.224364916</v>
      </c>
      <c r="BO562">
        <f>BL562</f>
        <v>13024289.224364916</v>
      </c>
    </row>
    <row r="563" spans="3:67" x14ac:dyDescent="0.25">
      <c r="C563" s="246" t="s">
        <v>1913</v>
      </c>
      <c r="D563" s="246">
        <v>1</v>
      </c>
      <c r="E563" s="246">
        <v>2</v>
      </c>
      <c r="F563" s="246">
        <v>3</v>
      </c>
      <c r="G563" s="246">
        <v>4</v>
      </c>
      <c r="H563" s="246">
        <v>5</v>
      </c>
      <c r="I563" s="246">
        <v>6</v>
      </c>
      <c r="J563" s="246">
        <v>9</v>
      </c>
      <c r="K563" s="246">
        <v>10</v>
      </c>
      <c r="L563" s="246"/>
      <c r="M563" s="246"/>
      <c r="N563" s="246"/>
      <c r="O563" s="246"/>
      <c r="P563" s="246"/>
      <c r="Q563" s="246"/>
      <c r="R563" s="246">
        <f>IFERROR(VLOOKUP(D563,PROGRAMAS[],2,FALSE),0)</f>
        <v>97037803.679377079</v>
      </c>
      <c r="S563" s="246">
        <f>IFERROR(VLOOKUP(E563,PROGRAMAS[],2,FALSE),0)</f>
        <v>640501509.6821388</v>
      </c>
      <c r="T563" s="246">
        <f>IFERROR(VLOOKUP(F563,PROGRAMAS[],2,FALSE),0)</f>
        <v>3062327798.1525245</v>
      </c>
      <c r="U563" s="246">
        <f>IFERROR(VLOOKUP(G563,PROGRAMAS[],2,FALSE),0)</f>
        <v>67697118.033011258</v>
      </c>
      <c r="V563" s="246">
        <f>IFERROR(VLOOKUP(H563,PROGRAMAS[],2,FALSE),0)</f>
        <v>1440941976.2528784</v>
      </c>
      <c r="W563" s="246">
        <f>IFERROR(VLOOKUP(I563,PROGRAMAS[],2,FALSE),0)</f>
        <v>6907648435.8447599</v>
      </c>
      <c r="X563" s="246">
        <f>IFERROR(VLOOKUP(J563,PROGRAMAS[],2,FALSE),0)</f>
        <v>6128579952.1618185</v>
      </c>
      <c r="Y563" s="246">
        <f>IFERROR(VLOOKUP(K563,PROGRAMAS[],2,FALSE),0)</f>
        <v>4635315027.8751087</v>
      </c>
      <c r="Z563" s="246">
        <f>IFERROR(VLOOKUP(L563,PROGRAMAS[],2,FALSE),0)</f>
        <v>0</v>
      </c>
      <c r="AA563" s="246">
        <f>IFERROR(VLOOKUP(M563,PROGRAMAS[],2,FALSE),0)</f>
        <v>0</v>
      </c>
      <c r="AB563" s="246">
        <f>IFERROR(VLOOKUP(N563,PROGRAMAS[],2,FALSE),0)</f>
        <v>0</v>
      </c>
      <c r="AC563" s="246">
        <f>IFERROR(VLOOKUP(O563,PROGRAMAS[],2,FALSE),0)</f>
        <v>0</v>
      </c>
      <c r="AD563" s="246">
        <f>IFERROR(VLOOKUP(P563,PROGRAMAS[],2,FALSE),0)</f>
        <v>0</v>
      </c>
      <c r="AE563" s="246">
        <f>IFERROR(VLOOKUP(Q563,PROGRAMAS[],2,FALSE),0)</f>
        <v>0</v>
      </c>
      <c r="AF563" s="246">
        <f>IFERROR(VLOOKUP(D563,PROGRAMAS[],3,FALSE),0)</f>
        <v>841888629.31080008</v>
      </c>
      <c r="AG563" s="246">
        <f>IFERROR(VLOOKUP(E563,PROGRAMAS[],3,FALSE),0)</f>
        <v>3848980803.1642323</v>
      </c>
      <c r="AH563" s="246">
        <f>IFERROR(VLOOKUP(F563,PROGRAMAS[],3,FALSE),0)</f>
        <v>3394901471.387517</v>
      </c>
      <c r="AI563" s="246">
        <f>IFERROR(VLOOKUP(G563,PROGRAMAS[],3,FALSE),0)</f>
        <v>125317226.95549992</v>
      </c>
      <c r="AJ563" s="246">
        <f>IFERROR(VLOOKUP(H563,PROGRAMAS[],3,FALSE),0)</f>
        <v>1233505101.0616004</v>
      </c>
      <c r="AK563" s="246">
        <f>IFERROR(VLOOKUP(I563,PROGRAMAS[],3,FALSE),0)</f>
        <v>6129902208.7912121</v>
      </c>
      <c r="AL563" s="246">
        <f>IFERROR(VLOOKUP(J563,PROGRAMAS[],3,FALSE),0)</f>
        <v>7011279577.519702</v>
      </c>
      <c r="AM563" s="246">
        <f>IFERROR(VLOOKUP(K563,PROGRAMAS[],3,FALSE),0)</f>
        <v>4099471734.9978786</v>
      </c>
      <c r="AN563" s="246">
        <f>IFERROR(VLOOKUP(L563,PROGRAMAS[],3,FALSE),0)</f>
        <v>0</v>
      </c>
      <c r="AO563" s="246">
        <f>IFERROR(VLOOKUP(M563,PROGRAMAS[],3,FALSE),0)</f>
        <v>0</v>
      </c>
      <c r="AP563" s="246">
        <f>IFERROR(VLOOKUP(N563,PROGRAMAS[],3,FALSE),0)</f>
        <v>0</v>
      </c>
      <c r="AQ563" s="246">
        <f>IFERROR(VLOOKUP(O563,PROGRAMAS[],3,FALSE),0)</f>
        <v>0</v>
      </c>
      <c r="AR563" s="246">
        <f>IFERROR(VLOOKUP(P563,PROGRAMAS[],3,FALSE),0)</f>
        <v>0</v>
      </c>
      <c r="AS563" s="246">
        <f>IFERROR(VLOOKUP(Q563,PROGRAMAS[],3,FALSE),0)</f>
        <v>0</v>
      </c>
      <c r="AT563" s="246">
        <f>IFERROR(VLOOKUP(D563,VOL_REC[],2,FALSE),0)</f>
        <v>0</v>
      </c>
      <c r="AU563" s="246">
        <f>IFERROR(VLOOKUP(E563,VOL_REC[],2,FALSE),0)</f>
        <v>0</v>
      </c>
      <c r="AV563" s="246">
        <f>IFERROR(VLOOKUP(F563,VOL_REC[],2,FALSE),0)</f>
        <v>11089674.200000001</v>
      </c>
      <c r="AW563" s="246">
        <f>IFERROR(VLOOKUP(G563,VOL_REC[],2,FALSE),0)</f>
        <v>90439.55</v>
      </c>
      <c r="AX563" s="246">
        <f>IFERROR(VLOOKUP(H563,VOL_REC[],2,FALSE),0)</f>
        <v>4325103.1812214684</v>
      </c>
      <c r="AY563" s="246">
        <f>IFERROR(VLOOKUP(I563,VOL_REC[],2,FALSE),0)</f>
        <v>15540036.397699751</v>
      </c>
      <c r="AZ563" s="246">
        <f>IFERROR(VLOOKUP(J563,VOL_REC[],2,FALSE),0)</f>
        <v>3761786</v>
      </c>
      <c r="BA563" s="246">
        <f>IFERROR(VLOOKUP(K563,VOL_REC[],2,FALSE),0)</f>
        <v>1812240</v>
      </c>
      <c r="BB563" s="246">
        <f>IFERROR(VLOOKUP(L563,VOL_REC[],2,FALSE),0)</f>
        <v>0</v>
      </c>
      <c r="BC563" s="246">
        <f>IFERROR(VLOOKUP(M563,VOL_REC[],2,FALSE),0)</f>
        <v>0</v>
      </c>
      <c r="BD563" s="246">
        <f>IFERROR(VLOOKUP(N563,VOL_REC[],2,FALSE),0)</f>
        <v>0</v>
      </c>
      <c r="BE563" s="246">
        <f>IFERROR(VLOOKUP(O563,VOL_REC[],2,FALSE),0)</f>
        <v>0</v>
      </c>
      <c r="BF563" s="246">
        <f>IFERROR(VLOOKUP(P563,VOL_REC[],2,FALSE),0)</f>
        <v>0</v>
      </c>
      <c r="BG563" s="246">
        <f>IFERROR(VLOOKUP(Q563,VOL_REC[],2,FALSE),0)</f>
        <v>0</v>
      </c>
      <c r="BH563" s="1710">
        <f t="shared" si="32"/>
        <v>22980049621.681618</v>
      </c>
      <c r="BI563" s="1710">
        <f t="shared" si="33"/>
        <v>26685246753.188442</v>
      </c>
      <c r="BJ563" s="1711">
        <f t="shared" si="34"/>
        <v>36619279.328921221</v>
      </c>
      <c r="BK563" s="1711">
        <f t="shared" si="35"/>
        <v>0.86115185046718312</v>
      </c>
    </row>
    <row r="564" spans="3:67" x14ac:dyDescent="0.25">
      <c r="C564" s="246" t="s">
        <v>1914</v>
      </c>
      <c r="D564" s="246">
        <v>1</v>
      </c>
      <c r="E564" s="246">
        <v>2</v>
      </c>
      <c r="F564" s="246">
        <v>3</v>
      </c>
      <c r="G564" s="246">
        <v>4</v>
      </c>
      <c r="H564" s="246">
        <v>5</v>
      </c>
      <c r="I564" s="246">
        <v>6</v>
      </c>
      <c r="J564" s="246">
        <v>9</v>
      </c>
      <c r="K564" s="246">
        <v>12</v>
      </c>
      <c r="L564" s="246"/>
      <c r="M564" s="246"/>
      <c r="N564" s="246"/>
      <c r="O564" s="246"/>
      <c r="P564" s="246"/>
      <c r="Q564" s="246"/>
      <c r="R564" s="246">
        <f>IFERROR(VLOOKUP(D564,PROGRAMAS[],2,FALSE),0)</f>
        <v>97037803.679377079</v>
      </c>
      <c r="S564" s="246">
        <f>IFERROR(VLOOKUP(E564,PROGRAMAS[],2,FALSE),0)</f>
        <v>640501509.6821388</v>
      </c>
      <c r="T564" s="246">
        <f>IFERROR(VLOOKUP(F564,PROGRAMAS[],2,FALSE),0)</f>
        <v>3062327798.1525245</v>
      </c>
      <c r="U564" s="246">
        <f>IFERROR(VLOOKUP(G564,PROGRAMAS[],2,FALSE),0)</f>
        <v>67697118.033011258</v>
      </c>
      <c r="V564" s="246">
        <f>IFERROR(VLOOKUP(H564,PROGRAMAS[],2,FALSE),0)</f>
        <v>1440941976.2528784</v>
      </c>
      <c r="W564" s="246">
        <f>IFERROR(VLOOKUP(I564,PROGRAMAS[],2,FALSE),0)</f>
        <v>6907648435.8447599</v>
      </c>
      <c r="X564" s="246">
        <f>IFERROR(VLOOKUP(J564,PROGRAMAS[],2,FALSE),0)</f>
        <v>6128579952.1618185</v>
      </c>
      <c r="Y564" s="246">
        <f>IFERROR(VLOOKUP(K564,PROGRAMAS[],2,FALSE),0)</f>
        <v>764796700.79905891</v>
      </c>
      <c r="Z564" s="246">
        <f>IFERROR(VLOOKUP(L564,PROGRAMAS[],2,FALSE),0)</f>
        <v>0</v>
      </c>
      <c r="AA564" s="246">
        <f>IFERROR(VLOOKUP(M564,PROGRAMAS[],2,FALSE),0)</f>
        <v>0</v>
      </c>
      <c r="AB564" s="246">
        <f>IFERROR(VLOOKUP(N564,PROGRAMAS[],2,FALSE),0)</f>
        <v>0</v>
      </c>
      <c r="AC564" s="246">
        <f>IFERROR(VLOOKUP(O564,PROGRAMAS[],2,FALSE),0)</f>
        <v>0</v>
      </c>
      <c r="AD564" s="246">
        <f>IFERROR(VLOOKUP(P564,PROGRAMAS[],2,FALSE),0)</f>
        <v>0</v>
      </c>
      <c r="AE564" s="246">
        <f>IFERROR(VLOOKUP(Q564,PROGRAMAS[],2,FALSE),0)</f>
        <v>0</v>
      </c>
      <c r="AF564" s="246">
        <f>IFERROR(VLOOKUP(D564,PROGRAMAS[],3,FALSE),0)</f>
        <v>841888629.31080008</v>
      </c>
      <c r="AG564" s="246">
        <f>IFERROR(VLOOKUP(E564,PROGRAMAS[],3,FALSE),0)</f>
        <v>3848980803.1642323</v>
      </c>
      <c r="AH564" s="246">
        <f>IFERROR(VLOOKUP(F564,PROGRAMAS[],3,FALSE),0)</f>
        <v>3394901471.387517</v>
      </c>
      <c r="AI564" s="246">
        <f>IFERROR(VLOOKUP(G564,PROGRAMAS[],3,FALSE),0)</f>
        <v>125317226.95549992</v>
      </c>
      <c r="AJ564" s="246">
        <f>IFERROR(VLOOKUP(H564,PROGRAMAS[],3,FALSE),0)</f>
        <v>1233505101.0616004</v>
      </c>
      <c r="AK564" s="246">
        <f>IFERROR(VLOOKUP(I564,PROGRAMAS[],3,FALSE),0)</f>
        <v>6129902208.7912121</v>
      </c>
      <c r="AL564" s="246">
        <f>IFERROR(VLOOKUP(J564,PROGRAMAS[],3,FALSE),0)</f>
        <v>7011279577.519702</v>
      </c>
      <c r="AM564" s="246">
        <f>IFERROR(VLOOKUP(K564,PROGRAMAS[],3,FALSE),0)</f>
        <v>675517840.109828</v>
      </c>
      <c r="AN564" s="246">
        <f>IFERROR(VLOOKUP(L564,PROGRAMAS[],3,FALSE),0)</f>
        <v>0</v>
      </c>
      <c r="AO564" s="246">
        <f>IFERROR(VLOOKUP(M564,PROGRAMAS[],3,FALSE),0)</f>
        <v>0</v>
      </c>
      <c r="AP564" s="246">
        <f>IFERROR(VLOOKUP(N564,PROGRAMAS[],3,FALSE),0)</f>
        <v>0</v>
      </c>
      <c r="AQ564" s="246">
        <f>IFERROR(VLOOKUP(O564,PROGRAMAS[],3,FALSE),0)</f>
        <v>0</v>
      </c>
      <c r="AR564" s="246">
        <f>IFERROR(VLOOKUP(P564,PROGRAMAS[],3,FALSE),0)</f>
        <v>0</v>
      </c>
      <c r="AS564" s="246">
        <f>IFERROR(VLOOKUP(Q564,PROGRAMAS[],3,FALSE),0)</f>
        <v>0</v>
      </c>
      <c r="AT564" s="246">
        <f>IFERROR(VLOOKUP(D564,VOL_REC[],2,FALSE),0)</f>
        <v>0</v>
      </c>
      <c r="AU564" s="246">
        <f>IFERROR(VLOOKUP(E564,VOL_REC[],2,FALSE),0)</f>
        <v>0</v>
      </c>
      <c r="AV564" s="246">
        <f>IFERROR(VLOOKUP(F564,VOL_REC[],2,FALSE),0)</f>
        <v>11089674.200000001</v>
      </c>
      <c r="AW564" s="246">
        <f>IFERROR(VLOOKUP(G564,VOL_REC[],2,FALSE),0)</f>
        <v>90439.55</v>
      </c>
      <c r="AX564" s="246">
        <f>IFERROR(VLOOKUP(H564,VOL_REC[],2,FALSE),0)</f>
        <v>4325103.1812214684</v>
      </c>
      <c r="AY564" s="246">
        <f>IFERROR(VLOOKUP(I564,VOL_REC[],2,FALSE),0)</f>
        <v>15540036.397699751</v>
      </c>
      <c r="AZ564" s="246">
        <f>IFERROR(VLOOKUP(J564,VOL_REC[],2,FALSE),0)</f>
        <v>3761786</v>
      </c>
      <c r="BA564" s="246">
        <f>IFERROR(VLOOKUP(K564,VOL_REC[],2,FALSE),0)</f>
        <v>240696.79238099116</v>
      </c>
      <c r="BB564" s="246">
        <f>IFERROR(VLOOKUP(L564,VOL_REC[],2,FALSE),0)</f>
        <v>0</v>
      </c>
      <c r="BC564" s="246">
        <f>IFERROR(VLOOKUP(M564,VOL_REC[],2,FALSE),0)</f>
        <v>0</v>
      </c>
      <c r="BD564" s="246">
        <f>IFERROR(VLOOKUP(N564,VOL_REC[],2,FALSE),0)</f>
        <v>0</v>
      </c>
      <c r="BE564" s="246">
        <f>IFERROR(VLOOKUP(O564,VOL_REC[],2,FALSE),0)</f>
        <v>0</v>
      </c>
      <c r="BF564" s="246">
        <f>IFERROR(VLOOKUP(P564,VOL_REC[],2,FALSE),0)</f>
        <v>0</v>
      </c>
      <c r="BG564" s="246">
        <f>IFERROR(VLOOKUP(Q564,VOL_REC[],2,FALSE),0)</f>
        <v>0</v>
      </c>
      <c r="BH564" s="1710">
        <f t="shared" si="32"/>
        <v>19109531294.605568</v>
      </c>
      <c r="BI564" s="1710">
        <f t="shared" si="33"/>
        <v>23261292858.300392</v>
      </c>
      <c r="BJ564" s="1711">
        <f t="shared" si="34"/>
        <v>35047736.12130221</v>
      </c>
      <c r="BK564" s="1711">
        <f t="shared" si="35"/>
        <v>0.82151630225431171</v>
      </c>
    </row>
    <row r="565" spans="3:67" x14ac:dyDescent="0.25">
      <c r="C565" s="246" t="s">
        <v>1915</v>
      </c>
      <c r="D565" s="246">
        <v>1</v>
      </c>
      <c r="E565" s="246">
        <v>2</v>
      </c>
      <c r="F565" s="246">
        <v>3</v>
      </c>
      <c r="G565" s="246">
        <v>4</v>
      </c>
      <c r="H565" s="246">
        <v>5</v>
      </c>
      <c r="I565" s="246">
        <v>6</v>
      </c>
      <c r="J565" s="246">
        <v>9</v>
      </c>
      <c r="K565" s="246">
        <v>13</v>
      </c>
      <c r="L565" s="246"/>
      <c r="M565" s="246"/>
      <c r="N565" s="246"/>
      <c r="O565" s="246"/>
      <c r="P565" s="246"/>
      <c r="Q565" s="246"/>
      <c r="R565" s="246">
        <f>IFERROR(VLOOKUP(D565,PROGRAMAS[],2,FALSE),0)</f>
        <v>97037803.679377079</v>
      </c>
      <c r="S565" s="246">
        <f>IFERROR(VLOOKUP(E565,PROGRAMAS[],2,FALSE),0)</f>
        <v>640501509.6821388</v>
      </c>
      <c r="T565" s="246">
        <f>IFERROR(VLOOKUP(F565,PROGRAMAS[],2,FALSE),0)</f>
        <v>3062327798.1525245</v>
      </c>
      <c r="U565" s="246">
        <f>IFERROR(VLOOKUP(G565,PROGRAMAS[],2,FALSE),0)</f>
        <v>67697118.033011258</v>
      </c>
      <c r="V565" s="246">
        <f>IFERROR(VLOOKUP(H565,PROGRAMAS[],2,FALSE),0)</f>
        <v>1440941976.2528784</v>
      </c>
      <c r="W565" s="246">
        <f>IFERROR(VLOOKUP(I565,PROGRAMAS[],2,FALSE),0)</f>
        <v>6907648435.8447599</v>
      </c>
      <c r="X565" s="246">
        <f>IFERROR(VLOOKUP(J565,PROGRAMAS[],2,FALSE),0)</f>
        <v>6128579952.1618185</v>
      </c>
      <c r="Y565" s="246">
        <f>IFERROR(VLOOKUP(K565,PROGRAMAS[],2,FALSE),0)</f>
        <v>3776538594.4604583</v>
      </c>
      <c r="Z565" s="246">
        <f>IFERROR(VLOOKUP(L565,PROGRAMAS[],2,FALSE),0)</f>
        <v>0</v>
      </c>
      <c r="AA565" s="246">
        <f>IFERROR(VLOOKUP(M565,PROGRAMAS[],2,FALSE),0)</f>
        <v>0</v>
      </c>
      <c r="AB565" s="246">
        <f>IFERROR(VLOOKUP(N565,PROGRAMAS[],2,FALSE),0)</f>
        <v>0</v>
      </c>
      <c r="AC565" s="246">
        <f>IFERROR(VLOOKUP(O565,PROGRAMAS[],2,FALSE),0)</f>
        <v>0</v>
      </c>
      <c r="AD565" s="246">
        <f>IFERROR(VLOOKUP(P565,PROGRAMAS[],2,FALSE),0)</f>
        <v>0</v>
      </c>
      <c r="AE565" s="246">
        <f>IFERROR(VLOOKUP(Q565,PROGRAMAS[],2,FALSE),0)</f>
        <v>0</v>
      </c>
      <c r="AF565" s="246">
        <f>IFERROR(VLOOKUP(D565,PROGRAMAS[],3,FALSE),0)</f>
        <v>841888629.31080008</v>
      </c>
      <c r="AG565" s="246">
        <f>IFERROR(VLOOKUP(E565,PROGRAMAS[],3,FALSE),0)</f>
        <v>3848980803.1642323</v>
      </c>
      <c r="AH565" s="246">
        <f>IFERROR(VLOOKUP(F565,PROGRAMAS[],3,FALSE),0)</f>
        <v>3394901471.387517</v>
      </c>
      <c r="AI565" s="246">
        <f>IFERROR(VLOOKUP(G565,PROGRAMAS[],3,FALSE),0)</f>
        <v>125317226.95549992</v>
      </c>
      <c r="AJ565" s="246">
        <f>IFERROR(VLOOKUP(H565,PROGRAMAS[],3,FALSE),0)</f>
        <v>1233505101.0616004</v>
      </c>
      <c r="AK565" s="246">
        <f>IFERROR(VLOOKUP(I565,PROGRAMAS[],3,FALSE),0)</f>
        <v>6129902208.7912121</v>
      </c>
      <c r="AL565" s="246">
        <f>IFERROR(VLOOKUP(J565,PROGRAMAS[],3,FALSE),0)</f>
        <v>7011279577.519702</v>
      </c>
      <c r="AM565" s="246">
        <f>IFERROR(VLOOKUP(K565,PROGRAMAS[],3,FALSE),0)</f>
        <v>2392571243.5584412</v>
      </c>
      <c r="AN565" s="246">
        <f>IFERROR(VLOOKUP(L565,PROGRAMAS[],3,FALSE),0)</f>
        <v>0</v>
      </c>
      <c r="AO565" s="246">
        <f>IFERROR(VLOOKUP(M565,PROGRAMAS[],3,FALSE),0)</f>
        <v>0</v>
      </c>
      <c r="AP565" s="246">
        <f>IFERROR(VLOOKUP(N565,PROGRAMAS[],3,FALSE),0)</f>
        <v>0</v>
      </c>
      <c r="AQ565" s="246">
        <f>IFERROR(VLOOKUP(O565,PROGRAMAS[],3,FALSE),0)</f>
        <v>0</v>
      </c>
      <c r="AR565" s="246">
        <f>IFERROR(VLOOKUP(P565,PROGRAMAS[],3,FALSE),0)</f>
        <v>0</v>
      </c>
      <c r="AS565" s="246">
        <f>IFERROR(VLOOKUP(Q565,PROGRAMAS[],3,FALSE),0)</f>
        <v>0</v>
      </c>
      <c r="AT565" s="246">
        <f>IFERROR(VLOOKUP(D565,VOL_REC[],2,FALSE),0)</f>
        <v>0</v>
      </c>
      <c r="AU565" s="246">
        <f>IFERROR(VLOOKUP(E565,VOL_REC[],2,FALSE),0)</f>
        <v>0</v>
      </c>
      <c r="AV565" s="246">
        <f>IFERROR(VLOOKUP(F565,VOL_REC[],2,FALSE),0)</f>
        <v>11089674.200000001</v>
      </c>
      <c r="AW565" s="246">
        <f>IFERROR(VLOOKUP(G565,VOL_REC[],2,FALSE),0)</f>
        <v>90439.55</v>
      </c>
      <c r="AX565" s="246">
        <f>IFERROR(VLOOKUP(H565,VOL_REC[],2,FALSE),0)</f>
        <v>4325103.1812214684</v>
      </c>
      <c r="AY565" s="246">
        <f>IFERROR(VLOOKUP(I565,VOL_REC[],2,FALSE),0)</f>
        <v>15540036.397699751</v>
      </c>
      <c r="AZ565" s="246">
        <f>IFERROR(VLOOKUP(J565,VOL_REC[],2,FALSE),0)</f>
        <v>3761786</v>
      </c>
      <c r="BA565" s="246">
        <f>IFERROR(VLOOKUP(K565,VOL_REC[],2,FALSE),0)</f>
        <v>663244.80000000016</v>
      </c>
      <c r="BB565" s="246">
        <f>IFERROR(VLOOKUP(L565,VOL_REC[],2,FALSE),0)</f>
        <v>0</v>
      </c>
      <c r="BC565" s="246">
        <f>IFERROR(VLOOKUP(M565,VOL_REC[],2,FALSE),0)</f>
        <v>0</v>
      </c>
      <c r="BD565" s="246">
        <f>IFERROR(VLOOKUP(N565,VOL_REC[],2,FALSE),0)</f>
        <v>0</v>
      </c>
      <c r="BE565" s="246">
        <f>IFERROR(VLOOKUP(O565,VOL_REC[],2,FALSE),0)</f>
        <v>0</v>
      </c>
      <c r="BF565" s="246">
        <f>IFERROR(VLOOKUP(P565,VOL_REC[],2,FALSE),0)</f>
        <v>0</v>
      </c>
      <c r="BG565" s="246">
        <f>IFERROR(VLOOKUP(Q565,VOL_REC[],2,FALSE),0)</f>
        <v>0</v>
      </c>
      <c r="BH565" s="1710">
        <f t="shared" si="32"/>
        <v>22121273188.266968</v>
      </c>
      <c r="BI565" s="1710">
        <f t="shared" si="33"/>
        <v>24978346261.749004</v>
      </c>
      <c r="BJ565" s="1711">
        <f t="shared" si="34"/>
        <v>35470284.128921218</v>
      </c>
      <c r="BK565" s="1711">
        <f t="shared" si="35"/>
        <v>0.88561800514963385</v>
      </c>
    </row>
    <row r="566" spans="3:67" x14ac:dyDescent="0.25">
      <c r="C566" s="246" t="s">
        <v>1916</v>
      </c>
      <c r="D566" s="246">
        <v>1</v>
      </c>
      <c r="E566" s="246">
        <v>2</v>
      </c>
      <c r="F566" s="246">
        <v>3</v>
      </c>
      <c r="G566" s="246">
        <v>4</v>
      </c>
      <c r="H566" s="246">
        <v>5</v>
      </c>
      <c r="I566" s="246">
        <v>6</v>
      </c>
      <c r="J566" s="246">
        <v>9</v>
      </c>
      <c r="K566" s="246">
        <v>14</v>
      </c>
      <c r="L566" s="246"/>
      <c r="M566" s="246"/>
      <c r="N566" s="246"/>
      <c r="O566" s="246"/>
      <c r="P566" s="246"/>
      <c r="Q566" s="246"/>
      <c r="R566" s="246">
        <f>IFERROR(VLOOKUP(D566,PROGRAMAS[],2,FALSE),0)</f>
        <v>97037803.679377079</v>
      </c>
      <c r="S566" s="246">
        <f>IFERROR(VLOOKUP(E566,PROGRAMAS[],2,FALSE),0)</f>
        <v>640501509.6821388</v>
      </c>
      <c r="T566" s="246">
        <f>IFERROR(VLOOKUP(F566,PROGRAMAS[],2,FALSE),0)</f>
        <v>3062327798.1525245</v>
      </c>
      <c r="U566" s="246">
        <f>IFERROR(VLOOKUP(G566,PROGRAMAS[],2,FALSE),0)</f>
        <v>67697118.033011258</v>
      </c>
      <c r="V566" s="246">
        <f>IFERROR(VLOOKUP(H566,PROGRAMAS[],2,FALSE),0)</f>
        <v>1440941976.2528784</v>
      </c>
      <c r="W566" s="246">
        <f>IFERROR(VLOOKUP(I566,PROGRAMAS[],2,FALSE),0)</f>
        <v>6907648435.8447599</v>
      </c>
      <c r="X566" s="246">
        <f>IFERROR(VLOOKUP(J566,PROGRAMAS[],2,FALSE),0)</f>
        <v>6128579952.1618185</v>
      </c>
      <c r="Y566" s="246">
        <f>IFERROR(VLOOKUP(K566,PROGRAMAS[],2,FALSE),0)</f>
        <v>54223862.645839565</v>
      </c>
      <c r="Z566" s="246">
        <f>IFERROR(VLOOKUP(L566,PROGRAMAS[],2,FALSE),0)</f>
        <v>0</v>
      </c>
      <c r="AA566" s="246">
        <f>IFERROR(VLOOKUP(M566,PROGRAMAS[],2,FALSE),0)</f>
        <v>0</v>
      </c>
      <c r="AB566" s="246">
        <f>IFERROR(VLOOKUP(N566,PROGRAMAS[],2,FALSE),0)</f>
        <v>0</v>
      </c>
      <c r="AC566" s="246">
        <f>IFERROR(VLOOKUP(O566,PROGRAMAS[],2,FALSE),0)</f>
        <v>0</v>
      </c>
      <c r="AD566" s="246">
        <f>IFERROR(VLOOKUP(P566,PROGRAMAS[],2,FALSE),0)</f>
        <v>0</v>
      </c>
      <c r="AE566" s="246">
        <f>IFERROR(VLOOKUP(Q566,PROGRAMAS[],2,FALSE),0)</f>
        <v>0</v>
      </c>
      <c r="AF566" s="246">
        <f>IFERROR(VLOOKUP(D566,PROGRAMAS[],3,FALSE),0)</f>
        <v>841888629.31080008</v>
      </c>
      <c r="AG566" s="246">
        <f>IFERROR(VLOOKUP(E566,PROGRAMAS[],3,FALSE),0)</f>
        <v>3848980803.1642323</v>
      </c>
      <c r="AH566" s="246">
        <f>IFERROR(VLOOKUP(F566,PROGRAMAS[],3,FALSE),0)</f>
        <v>3394901471.387517</v>
      </c>
      <c r="AI566" s="246">
        <f>IFERROR(VLOOKUP(G566,PROGRAMAS[],3,FALSE),0)</f>
        <v>125317226.95549992</v>
      </c>
      <c r="AJ566" s="246">
        <f>IFERROR(VLOOKUP(H566,PROGRAMAS[],3,FALSE),0)</f>
        <v>1233505101.0616004</v>
      </c>
      <c r="AK566" s="246">
        <f>IFERROR(VLOOKUP(I566,PROGRAMAS[],3,FALSE),0)</f>
        <v>6129902208.7912121</v>
      </c>
      <c r="AL566" s="246">
        <f>IFERROR(VLOOKUP(J566,PROGRAMAS[],3,FALSE),0)</f>
        <v>7011279577.519702</v>
      </c>
      <c r="AM566" s="246">
        <f>IFERROR(VLOOKUP(K566,PROGRAMAS[],3,FALSE),0)</f>
        <v>31865326.38096505</v>
      </c>
      <c r="AN566" s="246">
        <f>IFERROR(VLOOKUP(L566,PROGRAMAS[],3,FALSE),0)</f>
        <v>0</v>
      </c>
      <c r="AO566" s="246">
        <f>IFERROR(VLOOKUP(M566,PROGRAMAS[],3,FALSE),0)</f>
        <v>0</v>
      </c>
      <c r="AP566" s="246">
        <f>IFERROR(VLOOKUP(N566,PROGRAMAS[],3,FALSE),0)</f>
        <v>0</v>
      </c>
      <c r="AQ566" s="246">
        <f>IFERROR(VLOOKUP(O566,PROGRAMAS[],3,FALSE),0)</f>
        <v>0</v>
      </c>
      <c r="AR566" s="246">
        <f>IFERROR(VLOOKUP(P566,PROGRAMAS[],3,FALSE),0)</f>
        <v>0</v>
      </c>
      <c r="AS566" s="246">
        <f>IFERROR(VLOOKUP(Q566,PROGRAMAS[],3,FALSE),0)</f>
        <v>0</v>
      </c>
      <c r="AT566" s="246">
        <f>IFERROR(VLOOKUP(D566,VOL_REC[],2,FALSE),0)</f>
        <v>0</v>
      </c>
      <c r="AU566" s="246">
        <f>IFERROR(VLOOKUP(E566,VOL_REC[],2,FALSE),0)</f>
        <v>0</v>
      </c>
      <c r="AV566" s="246">
        <f>IFERROR(VLOOKUP(F566,VOL_REC[],2,FALSE),0)</f>
        <v>11089674.200000001</v>
      </c>
      <c r="AW566" s="246">
        <f>IFERROR(VLOOKUP(G566,VOL_REC[],2,FALSE),0)</f>
        <v>90439.55</v>
      </c>
      <c r="AX566" s="246">
        <f>IFERROR(VLOOKUP(H566,VOL_REC[],2,FALSE),0)</f>
        <v>4325103.1812214684</v>
      </c>
      <c r="AY566" s="246">
        <f>IFERROR(VLOOKUP(I566,VOL_REC[],2,FALSE),0)</f>
        <v>15540036.397699751</v>
      </c>
      <c r="AZ566" s="246">
        <f>IFERROR(VLOOKUP(J566,VOL_REC[],2,FALSE),0)</f>
        <v>3761786</v>
      </c>
      <c r="BA566" s="246">
        <f>IFERROR(VLOOKUP(K566,VOL_REC[],2,FALSE),0)</f>
        <v>17074.045034105649</v>
      </c>
      <c r="BB566" s="246">
        <f>IFERROR(VLOOKUP(L566,VOL_REC[],2,FALSE),0)</f>
        <v>0</v>
      </c>
      <c r="BC566" s="246">
        <f>IFERROR(VLOOKUP(M566,VOL_REC[],2,FALSE),0)</f>
        <v>0</v>
      </c>
      <c r="BD566" s="246">
        <f>IFERROR(VLOOKUP(N566,VOL_REC[],2,FALSE),0)</f>
        <v>0</v>
      </c>
      <c r="BE566" s="246">
        <f>IFERROR(VLOOKUP(O566,VOL_REC[],2,FALSE),0)</f>
        <v>0</v>
      </c>
      <c r="BF566" s="246">
        <f>IFERROR(VLOOKUP(P566,VOL_REC[],2,FALSE),0)</f>
        <v>0</v>
      </c>
      <c r="BG566" s="246">
        <f>IFERROR(VLOOKUP(Q566,VOL_REC[],2,FALSE),0)</f>
        <v>0</v>
      </c>
      <c r="BH566" s="1710">
        <f t="shared" si="32"/>
        <v>18398958456.452351</v>
      </c>
      <c r="BI566" s="1710">
        <f t="shared" si="33"/>
        <v>22617640344.571529</v>
      </c>
      <c r="BJ566" s="1711">
        <f t="shared" si="34"/>
        <v>34824113.373955324</v>
      </c>
      <c r="BK566" s="1711">
        <f t="shared" si="35"/>
        <v>0.8134782486656833</v>
      </c>
    </row>
    <row r="567" spans="3:67" x14ac:dyDescent="0.25">
      <c r="C567" s="246" t="s">
        <v>1917</v>
      </c>
      <c r="D567" s="246">
        <v>1</v>
      </c>
      <c r="E567" s="246">
        <v>2</v>
      </c>
      <c r="F567" s="246">
        <v>3</v>
      </c>
      <c r="G567" s="246">
        <v>4</v>
      </c>
      <c r="H567" s="246">
        <v>5</v>
      </c>
      <c r="I567" s="246">
        <v>6</v>
      </c>
      <c r="J567" s="246">
        <v>9</v>
      </c>
      <c r="K567" s="246">
        <v>15</v>
      </c>
      <c r="L567" s="246"/>
      <c r="M567" s="246"/>
      <c r="N567" s="246"/>
      <c r="O567" s="246"/>
      <c r="P567" s="246"/>
      <c r="Q567" s="246"/>
      <c r="R567" s="246">
        <f>IFERROR(VLOOKUP(D567,PROGRAMAS[],2,FALSE),0)</f>
        <v>97037803.679377079</v>
      </c>
      <c r="S567" s="246">
        <f>IFERROR(VLOOKUP(E567,PROGRAMAS[],2,FALSE),0)</f>
        <v>640501509.6821388</v>
      </c>
      <c r="T567" s="246">
        <f>IFERROR(VLOOKUP(F567,PROGRAMAS[],2,FALSE),0)</f>
        <v>3062327798.1525245</v>
      </c>
      <c r="U567" s="246">
        <f>IFERROR(VLOOKUP(G567,PROGRAMAS[],2,FALSE),0)</f>
        <v>67697118.033011258</v>
      </c>
      <c r="V567" s="246">
        <f>IFERROR(VLOOKUP(H567,PROGRAMAS[],2,FALSE),0)</f>
        <v>1440941976.2528784</v>
      </c>
      <c r="W567" s="246">
        <f>IFERROR(VLOOKUP(I567,PROGRAMAS[],2,FALSE),0)</f>
        <v>6907648435.8447599</v>
      </c>
      <c r="X567" s="246">
        <f>IFERROR(VLOOKUP(J567,PROGRAMAS[],2,FALSE),0)</f>
        <v>6128579952.1618185</v>
      </c>
      <c r="Y567" s="246">
        <f>IFERROR(VLOOKUP(K567,PROGRAMAS[],2,FALSE),0)</f>
        <v>122159672.96346797</v>
      </c>
      <c r="Z567" s="246">
        <f>IFERROR(VLOOKUP(L567,PROGRAMAS[],2,FALSE),0)</f>
        <v>0</v>
      </c>
      <c r="AA567" s="246">
        <f>IFERROR(VLOOKUP(M567,PROGRAMAS[],2,FALSE),0)</f>
        <v>0</v>
      </c>
      <c r="AB567" s="246">
        <f>IFERROR(VLOOKUP(N567,PROGRAMAS[],2,FALSE),0)</f>
        <v>0</v>
      </c>
      <c r="AC567" s="246">
        <f>IFERROR(VLOOKUP(O567,PROGRAMAS[],2,FALSE),0)</f>
        <v>0</v>
      </c>
      <c r="AD567" s="246">
        <f>IFERROR(VLOOKUP(P567,PROGRAMAS[],2,FALSE),0)</f>
        <v>0</v>
      </c>
      <c r="AE567" s="246">
        <f>IFERROR(VLOOKUP(Q567,PROGRAMAS[],2,FALSE),0)</f>
        <v>0</v>
      </c>
      <c r="AF567" s="246">
        <f>IFERROR(VLOOKUP(D567,PROGRAMAS[],3,FALSE),0)</f>
        <v>841888629.31080008</v>
      </c>
      <c r="AG567" s="246">
        <f>IFERROR(VLOOKUP(E567,PROGRAMAS[],3,FALSE),0)</f>
        <v>3848980803.1642323</v>
      </c>
      <c r="AH567" s="246">
        <f>IFERROR(VLOOKUP(F567,PROGRAMAS[],3,FALSE),0)</f>
        <v>3394901471.387517</v>
      </c>
      <c r="AI567" s="246">
        <f>IFERROR(VLOOKUP(G567,PROGRAMAS[],3,FALSE),0)</f>
        <v>125317226.95549992</v>
      </c>
      <c r="AJ567" s="246">
        <f>IFERROR(VLOOKUP(H567,PROGRAMAS[],3,FALSE),0)</f>
        <v>1233505101.0616004</v>
      </c>
      <c r="AK567" s="246">
        <f>IFERROR(VLOOKUP(I567,PROGRAMAS[],3,FALSE),0)</f>
        <v>6129902208.7912121</v>
      </c>
      <c r="AL567" s="246">
        <f>IFERROR(VLOOKUP(J567,PROGRAMAS[],3,FALSE),0)</f>
        <v>7011279577.519702</v>
      </c>
      <c r="AM567" s="246">
        <f>IFERROR(VLOOKUP(K567,PROGRAMAS[],3,FALSE),0)</f>
        <v>118617452.52510804</v>
      </c>
      <c r="AN567" s="246">
        <f>IFERROR(VLOOKUP(L567,PROGRAMAS[],3,FALSE),0)</f>
        <v>0</v>
      </c>
      <c r="AO567" s="246">
        <f>IFERROR(VLOOKUP(M567,PROGRAMAS[],3,FALSE),0)</f>
        <v>0</v>
      </c>
      <c r="AP567" s="246">
        <f>IFERROR(VLOOKUP(N567,PROGRAMAS[],3,FALSE),0)</f>
        <v>0</v>
      </c>
      <c r="AQ567" s="246">
        <f>IFERROR(VLOOKUP(O567,PROGRAMAS[],3,FALSE),0)</f>
        <v>0</v>
      </c>
      <c r="AR567" s="246">
        <f>IFERROR(VLOOKUP(P567,PROGRAMAS[],3,FALSE),0)</f>
        <v>0</v>
      </c>
      <c r="AS567" s="246">
        <f>IFERROR(VLOOKUP(Q567,PROGRAMAS[],3,FALSE),0)</f>
        <v>0</v>
      </c>
      <c r="AT567" s="246">
        <f>IFERROR(VLOOKUP(D567,VOL_REC[],2,FALSE),0)</f>
        <v>0</v>
      </c>
      <c r="AU567" s="246">
        <f>IFERROR(VLOOKUP(E567,VOL_REC[],2,FALSE),0)</f>
        <v>0</v>
      </c>
      <c r="AV567" s="246">
        <f>IFERROR(VLOOKUP(F567,VOL_REC[],2,FALSE),0)</f>
        <v>11089674.200000001</v>
      </c>
      <c r="AW567" s="246">
        <f>IFERROR(VLOOKUP(G567,VOL_REC[],2,FALSE),0)</f>
        <v>90439.55</v>
      </c>
      <c r="AX567" s="246">
        <f>IFERROR(VLOOKUP(H567,VOL_REC[],2,FALSE),0)</f>
        <v>4325103.1812214684</v>
      </c>
      <c r="AY567" s="246">
        <f>IFERROR(VLOOKUP(I567,VOL_REC[],2,FALSE),0)</f>
        <v>15540036.397699751</v>
      </c>
      <c r="AZ567" s="246">
        <f>IFERROR(VLOOKUP(J567,VOL_REC[],2,FALSE),0)</f>
        <v>3761786</v>
      </c>
      <c r="BA567" s="246">
        <f>IFERROR(VLOOKUP(K567,VOL_REC[],2,FALSE),0)</f>
        <v>105072</v>
      </c>
      <c r="BB567" s="246">
        <f>IFERROR(VLOOKUP(L567,VOL_REC[],2,FALSE),0)</f>
        <v>0</v>
      </c>
      <c r="BC567" s="246">
        <f>IFERROR(VLOOKUP(M567,VOL_REC[],2,FALSE),0)</f>
        <v>0</v>
      </c>
      <c r="BD567" s="246">
        <f>IFERROR(VLOOKUP(N567,VOL_REC[],2,FALSE),0)</f>
        <v>0</v>
      </c>
      <c r="BE567" s="246">
        <f>IFERROR(VLOOKUP(O567,VOL_REC[],2,FALSE),0)</f>
        <v>0</v>
      </c>
      <c r="BF567" s="246">
        <f>IFERROR(VLOOKUP(P567,VOL_REC[],2,FALSE),0)</f>
        <v>0</v>
      </c>
      <c r="BG567" s="246">
        <f>IFERROR(VLOOKUP(Q567,VOL_REC[],2,FALSE),0)</f>
        <v>0</v>
      </c>
      <c r="BH567" s="1710">
        <f t="shared" si="32"/>
        <v>18466894266.769978</v>
      </c>
      <c r="BI567" s="1710">
        <f t="shared" si="33"/>
        <v>22704392470.715672</v>
      </c>
      <c r="BJ567" s="1711">
        <f t="shared" si="34"/>
        <v>34912111.328921221</v>
      </c>
      <c r="BK567" s="1711">
        <f t="shared" si="35"/>
        <v>0.81336218489830736</v>
      </c>
    </row>
    <row r="568" spans="3:67" x14ac:dyDescent="0.25">
      <c r="C568" s="246" t="s">
        <v>1918</v>
      </c>
      <c r="D568" s="246">
        <v>1</v>
      </c>
      <c r="E568" s="246">
        <v>2</v>
      </c>
      <c r="F568" s="246">
        <v>3</v>
      </c>
      <c r="G568" s="246">
        <v>4</v>
      </c>
      <c r="H568" s="246">
        <v>5</v>
      </c>
      <c r="I568" s="246">
        <v>6</v>
      </c>
      <c r="J568" s="246">
        <v>9</v>
      </c>
      <c r="K568" s="246">
        <v>16</v>
      </c>
      <c r="L568" s="246"/>
      <c r="M568" s="246"/>
      <c r="N568" s="246"/>
      <c r="O568" s="246"/>
      <c r="P568" s="246"/>
      <c r="Q568" s="246"/>
      <c r="R568" s="246">
        <f>IFERROR(VLOOKUP(D568,PROGRAMAS[],2,FALSE),0)</f>
        <v>97037803.679377079</v>
      </c>
      <c r="S568" s="246">
        <f>IFERROR(VLOOKUP(E568,PROGRAMAS[],2,FALSE),0)</f>
        <v>640501509.6821388</v>
      </c>
      <c r="T568" s="246">
        <f>IFERROR(VLOOKUP(F568,PROGRAMAS[],2,FALSE),0)</f>
        <v>3062327798.1525245</v>
      </c>
      <c r="U568" s="246">
        <f>IFERROR(VLOOKUP(G568,PROGRAMAS[],2,FALSE),0)</f>
        <v>67697118.033011258</v>
      </c>
      <c r="V568" s="246">
        <f>IFERROR(VLOOKUP(H568,PROGRAMAS[],2,FALSE),0)</f>
        <v>1440941976.2528784</v>
      </c>
      <c r="W568" s="246">
        <f>IFERROR(VLOOKUP(I568,PROGRAMAS[],2,FALSE),0)</f>
        <v>6907648435.8447599</v>
      </c>
      <c r="X568" s="246">
        <f>IFERROR(VLOOKUP(J568,PROGRAMAS[],2,FALSE),0)</f>
        <v>6128579952.1618185</v>
      </c>
      <c r="Y568" s="246">
        <f>IFERROR(VLOOKUP(K568,PROGRAMAS[],2,FALSE),0)</f>
        <v>7068496961.0436354</v>
      </c>
      <c r="Z568" s="246">
        <f>IFERROR(VLOOKUP(L568,PROGRAMAS[],2,FALSE),0)</f>
        <v>0</v>
      </c>
      <c r="AA568" s="246">
        <f>IFERROR(VLOOKUP(M568,PROGRAMAS[],2,FALSE),0)</f>
        <v>0</v>
      </c>
      <c r="AB568" s="246">
        <f>IFERROR(VLOOKUP(N568,PROGRAMAS[],2,FALSE),0)</f>
        <v>0</v>
      </c>
      <c r="AC568" s="246">
        <f>IFERROR(VLOOKUP(O568,PROGRAMAS[],2,FALSE),0)</f>
        <v>0</v>
      </c>
      <c r="AD568" s="246">
        <f>IFERROR(VLOOKUP(P568,PROGRAMAS[],2,FALSE),0)</f>
        <v>0</v>
      </c>
      <c r="AE568" s="246">
        <f>IFERROR(VLOOKUP(Q568,PROGRAMAS[],2,FALSE),0)</f>
        <v>0</v>
      </c>
      <c r="AF568" s="246">
        <f>IFERROR(VLOOKUP(D568,PROGRAMAS[],3,FALSE),0)</f>
        <v>841888629.31080008</v>
      </c>
      <c r="AG568" s="246">
        <f>IFERROR(VLOOKUP(E568,PROGRAMAS[],3,FALSE),0)</f>
        <v>3848980803.1642323</v>
      </c>
      <c r="AH568" s="246">
        <f>IFERROR(VLOOKUP(F568,PROGRAMAS[],3,FALSE),0)</f>
        <v>3394901471.387517</v>
      </c>
      <c r="AI568" s="246">
        <f>IFERROR(VLOOKUP(G568,PROGRAMAS[],3,FALSE),0)</f>
        <v>125317226.95549992</v>
      </c>
      <c r="AJ568" s="246">
        <f>IFERROR(VLOOKUP(H568,PROGRAMAS[],3,FALSE),0)</f>
        <v>1233505101.0616004</v>
      </c>
      <c r="AK568" s="246">
        <f>IFERROR(VLOOKUP(I568,PROGRAMAS[],3,FALSE),0)</f>
        <v>6129902208.7912121</v>
      </c>
      <c r="AL568" s="246">
        <f>IFERROR(VLOOKUP(J568,PROGRAMAS[],3,FALSE),0)</f>
        <v>7011279577.519702</v>
      </c>
      <c r="AM568" s="246">
        <f>IFERROR(VLOOKUP(K568,PROGRAMAS[],3,FALSE),0)</f>
        <v>2406564599.0319901</v>
      </c>
      <c r="AN568" s="246">
        <f>IFERROR(VLOOKUP(L568,PROGRAMAS[],3,FALSE),0)</f>
        <v>0</v>
      </c>
      <c r="AO568" s="246">
        <f>IFERROR(VLOOKUP(M568,PROGRAMAS[],3,FALSE),0)</f>
        <v>0</v>
      </c>
      <c r="AP568" s="246">
        <f>IFERROR(VLOOKUP(N568,PROGRAMAS[],3,FALSE),0)</f>
        <v>0</v>
      </c>
      <c r="AQ568" s="246">
        <f>IFERROR(VLOOKUP(O568,PROGRAMAS[],3,FALSE),0)</f>
        <v>0</v>
      </c>
      <c r="AR568" s="246">
        <f>IFERROR(VLOOKUP(P568,PROGRAMAS[],3,FALSE),0)</f>
        <v>0</v>
      </c>
      <c r="AS568" s="246">
        <f>IFERROR(VLOOKUP(Q568,PROGRAMAS[],3,FALSE),0)</f>
        <v>0</v>
      </c>
      <c r="AT568" s="246">
        <f>IFERROR(VLOOKUP(D568,VOL_REC[],2,FALSE),0)</f>
        <v>0</v>
      </c>
      <c r="AU568" s="246">
        <f>IFERROR(VLOOKUP(E568,VOL_REC[],2,FALSE),0)</f>
        <v>0</v>
      </c>
      <c r="AV568" s="246">
        <f>IFERROR(VLOOKUP(F568,VOL_REC[],2,FALSE),0)</f>
        <v>11089674.200000001</v>
      </c>
      <c r="AW568" s="246">
        <f>IFERROR(VLOOKUP(G568,VOL_REC[],2,FALSE),0)</f>
        <v>90439.55</v>
      </c>
      <c r="AX568" s="246">
        <f>IFERROR(VLOOKUP(H568,VOL_REC[],2,FALSE),0)</f>
        <v>4325103.1812214684</v>
      </c>
      <c r="AY568" s="246">
        <f>IFERROR(VLOOKUP(I568,VOL_REC[],2,FALSE),0)</f>
        <v>15540036.397699751</v>
      </c>
      <c r="AZ568" s="246">
        <f>IFERROR(VLOOKUP(J568,VOL_REC[],2,FALSE),0)</f>
        <v>3761786</v>
      </c>
      <c r="BA568" s="246">
        <f>IFERROR(VLOOKUP(K568,VOL_REC[],2,FALSE),0)</f>
        <v>1072354.9981737854</v>
      </c>
      <c r="BB568" s="246">
        <f>IFERROR(VLOOKUP(L568,VOL_REC[],2,FALSE),0)</f>
        <v>0</v>
      </c>
      <c r="BC568" s="246">
        <f>IFERROR(VLOOKUP(M568,VOL_REC[],2,FALSE),0)</f>
        <v>0</v>
      </c>
      <c r="BD568" s="246">
        <f>IFERROR(VLOOKUP(N568,VOL_REC[],2,FALSE),0)</f>
        <v>0</v>
      </c>
      <c r="BE568" s="246">
        <f>IFERROR(VLOOKUP(O568,VOL_REC[],2,FALSE),0)</f>
        <v>0</v>
      </c>
      <c r="BF568" s="246">
        <f>IFERROR(VLOOKUP(P568,VOL_REC[],2,FALSE),0)</f>
        <v>0</v>
      </c>
      <c r="BG568" s="246">
        <f>IFERROR(VLOOKUP(Q568,VOL_REC[],2,FALSE),0)</f>
        <v>0</v>
      </c>
      <c r="BH568" s="1710">
        <f t="shared" si="32"/>
        <v>25413231554.850147</v>
      </c>
      <c r="BI568" s="1710">
        <f t="shared" si="33"/>
        <v>24992339617.222553</v>
      </c>
      <c r="BJ568" s="1711">
        <f t="shared" si="34"/>
        <v>35879394.327095009</v>
      </c>
      <c r="BK568" s="1711">
        <f t="shared" si="35"/>
        <v>1.0168408377956561</v>
      </c>
      <c r="BL568">
        <f>BJ568</f>
        <v>35879394.327095009</v>
      </c>
      <c r="BO568">
        <f>BL568</f>
        <v>35879394.327095009</v>
      </c>
    </row>
    <row r="569" spans="3:67" x14ac:dyDescent="0.25">
      <c r="C569" s="246" t="s">
        <v>1919</v>
      </c>
      <c r="D569" s="246">
        <v>1</v>
      </c>
      <c r="E569" s="246">
        <v>2</v>
      </c>
      <c r="F569" s="246">
        <v>3</v>
      </c>
      <c r="G569" s="246">
        <v>4</v>
      </c>
      <c r="H569" s="246">
        <v>5</v>
      </c>
      <c r="I569" s="246">
        <v>6</v>
      </c>
      <c r="J569" s="246">
        <v>9</v>
      </c>
      <c r="K569" s="246">
        <v>17</v>
      </c>
      <c r="L569" s="246"/>
      <c r="M569" s="246"/>
      <c r="N569" s="246"/>
      <c r="O569" s="246"/>
      <c r="P569" s="246"/>
      <c r="Q569" s="246"/>
      <c r="R569" s="246">
        <f>IFERROR(VLOOKUP(D569,PROGRAMAS[],2,FALSE),0)</f>
        <v>97037803.679377079</v>
      </c>
      <c r="S569" s="246">
        <f>IFERROR(VLOOKUP(E569,PROGRAMAS[],2,FALSE),0)</f>
        <v>640501509.6821388</v>
      </c>
      <c r="T569" s="246">
        <f>IFERROR(VLOOKUP(F569,PROGRAMAS[],2,FALSE),0)</f>
        <v>3062327798.1525245</v>
      </c>
      <c r="U569" s="246">
        <f>IFERROR(VLOOKUP(G569,PROGRAMAS[],2,FALSE),0)</f>
        <v>67697118.033011258</v>
      </c>
      <c r="V569" s="246">
        <f>IFERROR(VLOOKUP(H569,PROGRAMAS[],2,FALSE),0)</f>
        <v>1440941976.2528784</v>
      </c>
      <c r="W569" s="246">
        <f>IFERROR(VLOOKUP(I569,PROGRAMAS[],2,FALSE),0)</f>
        <v>6907648435.8447599</v>
      </c>
      <c r="X569" s="246">
        <f>IFERROR(VLOOKUP(J569,PROGRAMAS[],2,FALSE),0)</f>
        <v>6128579952.1618185</v>
      </c>
      <c r="Y569" s="246">
        <f>IFERROR(VLOOKUP(K569,PROGRAMAS[],2,FALSE),0)</f>
        <v>1892779498.5211046</v>
      </c>
      <c r="Z569" s="246">
        <f>IFERROR(VLOOKUP(L569,PROGRAMAS[],2,FALSE),0)</f>
        <v>0</v>
      </c>
      <c r="AA569" s="246">
        <f>IFERROR(VLOOKUP(M569,PROGRAMAS[],2,FALSE),0)</f>
        <v>0</v>
      </c>
      <c r="AB569" s="246">
        <f>IFERROR(VLOOKUP(N569,PROGRAMAS[],2,FALSE),0)</f>
        <v>0</v>
      </c>
      <c r="AC569" s="246">
        <f>IFERROR(VLOOKUP(O569,PROGRAMAS[],2,FALSE),0)</f>
        <v>0</v>
      </c>
      <c r="AD569" s="246">
        <f>IFERROR(VLOOKUP(P569,PROGRAMAS[],2,FALSE),0)</f>
        <v>0</v>
      </c>
      <c r="AE569" s="246">
        <f>IFERROR(VLOOKUP(Q569,PROGRAMAS[],2,FALSE),0)</f>
        <v>0</v>
      </c>
      <c r="AF569" s="246">
        <f>IFERROR(VLOOKUP(D569,PROGRAMAS[],3,FALSE),0)</f>
        <v>841888629.31080008</v>
      </c>
      <c r="AG569" s="246">
        <f>IFERROR(VLOOKUP(E569,PROGRAMAS[],3,FALSE),0)</f>
        <v>3848980803.1642323</v>
      </c>
      <c r="AH569" s="246">
        <f>IFERROR(VLOOKUP(F569,PROGRAMAS[],3,FALSE),0)</f>
        <v>3394901471.387517</v>
      </c>
      <c r="AI569" s="246">
        <f>IFERROR(VLOOKUP(G569,PROGRAMAS[],3,FALSE),0)</f>
        <v>125317226.95549992</v>
      </c>
      <c r="AJ569" s="246">
        <f>IFERROR(VLOOKUP(H569,PROGRAMAS[],3,FALSE),0)</f>
        <v>1233505101.0616004</v>
      </c>
      <c r="AK569" s="246">
        <f>IFERROR(VLOOKUP(I569,PROGRAMAS[],3,FALSE),0)</f>
        <v>6129902208.7912121</v>
      </c>
      <c r="AL569" s="246">
        <f>IFERROR(VLOOKUP(J569,PROGRAMAS[],3,FALSE),0)</f>
        <v>7011279577.519702</v>
      </c>
      <c r="AM569" s="246">
        <f>IFERROR(VLOOKUP(K569,PROGRAMAS[],3,FALSE),0)</f>
        <v>948595847.09039903</v>
      </c>
      <c r="AN569" s="246">
        <f>IFERROR(VLOOKUP(L569,PROGRAMAS[],3,FALSE),0)</f>
        <v>0</v>
      </c>
      <c r="AO569" s="246">
        <f>IFERROR(VLOOKUP(M569,PROGRAMAS[],3,FALSE),0)</f>
        <v>0</v>
      </c>
      <c r="AP569" s="246">
        <f>IFERROR(VLOOKUP(N569,PROGRAMAS[],3,FALSE),0)</f>
        <v>0</v>
      </c>
      <c r="AQ569" s="246">
        <f>IFERROR(VLOOKUP(O569,PROGRAMAS[],3,FALSE),0)</f>
        <v>0</v>
      </c>
      <c r="AR569" s="246">
        <f>IFERROR(VLOOKUP(P569,PROGRAMAS[],3,FALSE),0)</f>
        <v>0</v>
      </c>
      <c r="AS569" s="246">
        <f>IFERROR(VLOOKUP(Q569,PROGRAMAS[],3,FALSE),0)</f>
        <v>0</v>
      </c>
      <c r="AT569" s="246">
        <f>IFERROR(VLOOKUP(D569,VOL_REC[],2,FALSE),0)</f>
        <v>0</v>
      </c>
      <c r="AU569" s="246">
        <f>IFERROR(VLOOKUP(E569,VOL_REC[],2,FALSE),0)</f>
        <v>0</v>
      </c>
      <c r="AV569" s="246">
        <f>IFERROR(VLOOKUP(F569,VOL_REC[],2,FALSE),0)</f>
        <v>11089674.200000001</v>
      </c>
      <c r="AW569" s="246">
        <f>IFERROR(VLOOKUP(G569,VOL_REC[],2,FALSE),0)</f>
        <v>90439.55</v>
      </c>
      <c r="AX569" s="246">
        <f>IFERROR(VLOOKUP(H569,VOL_REC[],2,FALSE),0)</f>
        <v>4325103.1812214684</v>
      </c>
      <c r="AY569" s="246">
        <f>IFERROR(VLOOKUP(I569,VOL_REC[],2,FALSE),0)</f>
        <v>15540036.397699751</v>
      </c>
      <c r="AZ569" s="246">
        <f>IFERROR(VLOOKUP(J569,VOL_REC[],2,FALSE),0)</f>
        <v>3761786</v>
      </c>
      <c r="BA569" s="246">
        <f>IFERROR(VLOOKUP(K569,VOL_REC[],2,FALSE),0)</f>
        <v>740113.98115702497</v>
      </c>
      <c r="BB569" s="246">
        <f>IFERROR(VLOOKUP(L569,VOL_REC[],2,FALSE),0)</f>
        <v>0</v>
      </c>
      <c r="BC569" s="246">
        <f>IFERROR(VLOOKUP(M569,VOL_REC[],2,FALSE),0)</f>
        <v>0</v>
      </c>
      <c r="BD569" s="246">
        <f>IFERROR(VLOOKUP(N569,VOL_REC[],2,FALSE),0)</f>
        <v>0</v>
      </c>
      <c r="BE569" s="246">
        <f>IFERROR(VLOOKUP(O569,VOL_REC[],2,FALSE),0)</f>
        <v>0</v>
      </c>
      <c r="BF569" s="246">
        <f>IFERROR(VLOOKUP(P569,VOL_REC[],2,FALSE),0)</f>
        <v>0</v>
      </c>
      <c r="BG569" s="246">
        <f>IFERROR(VLOOKUP(Q569,VOL_REC[],2,FALSE),0)</f>
        <v>0</v>
      </c>
      <c r="BH569" s="1710">
        <f t="shared" si="32"/>
        <v>20237514092.327614</v>
      </c>
      <c r="BI569" s="1710">
        <f t="shared" si="33"/>
        <v>23534370865.280964</v>
      </c>
      <c r="BJ569" s="1711">
        <f t="shared" si="34"/>
        <v>35547153.310078248</v>
      </c>
      <c r="BK569" s="1711">
        <f t="shared" si="35"/>
        <v>0.8599131121105501</v>
      </c>
    </row>
    <row r="570" spans="3:67" x14ac:dyDescent="0.25">
      <c r="C570" s="246" t="s">
        <v>1920</v>
      </c>
      <c r="D570" s="246">
        <v>1</v>
      </c>
      <c r="E570" s="246">
        <v>2</v>
      </c>
      <c r="F570" s="246">
        <v>3</v>
      </c>
      <c r="G570" s="246">
        <v>4</v>
      </c>
      <c r="H570" s="246">
        <v>5</v>
      </c>
      <c r="I570" s="246">
        <v>6</v>
      </c>
      <c r="J570" s="246">
        <v>10</v>
      </c>
      <c r="K570" s="246">
        <v>12</v>
      </c>
      <c r="L570" s="246"/>
      <c r="M570" s="246"/>
      <c r="N570" s="246"/>
      <c r="O570" s="246"/>
      <c r="P570" s="246"/>
      <c r="Q570" s="246"/>
      <c r="R570" s="246">
        <f>IFERROR(VLOOKUP(D570,PROGRAMAS[],2,FALSE),0)</f>
        <v>97037803.679377079</v>
      </c>
      <c r="S570" s="246">
        <f>IFERROR(VLOOKUP(E570,PROGRAMAS[],2,FALSE),0)</f>
        <v>640501509.6821388</v>
      </c>
      <c r="T570" s="246">
        <f>IFERROR(VLOOKUP(F570,PROGRAMAS[],2,FALSE),0)</f>
        <v>3062327798.1525245</v>
      </c>
      <c r="U570" s="246">
        <f>IFERROR(VLOOKUP(G570,PROGRAMAS[],2,FALSE),0)</f>
        <v>67697118.033011258</v>
      </c>
      <c r="V570" s="246">
        <f>IFERROR(VLOOKUP(H570,PROGRAMAS[],2,FALSE),0)</f>
        <v>1440941976.2528784</v>
      </c>
      <c r="W570" s="246">
        <f>IFERROR(VLOOKUP(I570,PROGRAMAS[],2,FALSE),0)</f>
        <v>6907648435.8447599</v>
      </c>
      <c r="X570" s="246">
        <f>IFERROR(VLOOKUP(J570,PROGRAMAS[],2,FALSE),0)</f>
        <v>4635315027.8751087</v>
      </c>
      <c r="Y570" s="246">
        <f>IFERROR(VLOOKUP(K570,PROGRAMAS[],2,FALSE),0)</f>
        <v>764796700.79905891</v>
      </c>
      <c r="Z570" s="246">
        <f>IFERROR(VLOOKUP(L570,PROGRAMAS[],2,FALSE),0)</f>
        <v>0</v>
      </c>
      <c r="AA570" s="246">
        <f>IFERROR(VLOOKUP(M570,PROGRAMAS[],2,FALSE),0)</f>
        <v>0</v>
      </c>
      <c r="AB570" s="246">
        <f>IFERROR(VLOOKUP(N570,PROGRAMAS[],2,FALSE),0)</f>
        <v>0</v>
      </c>
      <c r="AC570" s="246">
        <f>IFERROR(VLOOKUP(O570,PROGRAMAS[],2,FALSE),0)</f>
        <v>0</v>
      </c>
      <c r="AD570" s="246">
        <f>IFERROR(VLOOKUP(P570,PROGRAMAS[],2,FALSE),0)</f>
        <v>0</v>
      </c>
      <c r="AE570" s="246">
        <f>IFERROR(VLOOKUP(Q570,PROGRAMAS[],2,FALSE),0)</f>
        <v>0</v>
      </c>
      <c r="AF570" s="246">
        <f>IFERROR(VLOOKUP(D570,PROGRAMAS[],3,FALSE),0)</f>
        <v>841888629.31080008</v>
      </c>
      <c r="AG570" s="246">
        <f>IFERROR(VLOOKUP(E570,PROGRAMAS[],3,FALSE),0)</f>
        <v>3848980803.1642323</v>
      </c>
      <c r="AH570" s="246">
        <f>IFERROR(VLOOKUP(F570,PROGRAMAS[],3,FALSE),0)</f>
        <v>3394901471.387517</v>
      </c>
      <c r="AI570" s="246">
        <f>IFERROR(VLOOKUP(G570,PROGRAMAS[],3,FALSE),0)</f>
        <v>125317226.95549992</v>
      </c>
      <c r="AJ570" s="246">
        <f>IFERROR(VLOOKUP(H570,PROGRAMAS[],3,FALSE),0)</f>
        <v>1233505101.0616004</v>
      </c>
      <c r="AK570" s="246">
        <f>IFERROR(VLOOKUP(I570,PROGRAMAS[],3,FALSE),0)</f>
        <v>6129902208.7912121</v>
      </c>
      <c r="AL570" s="246">
        <f>IFERROR(VLOOKUP(J570,PROGRAMAS[],3,FALSE),0)</f>
        <v>4099471734.9978786</v>
      </c>
      <c r="AM570" s="246">
        <f>IFERROR(VLOOKUP(K570,PROGRAMAS[],3,FALSE),0)</f>
        <v>675517840.109828</v>
      </c>
      <c r="AN570" s="246">
        <f>IFERROR(VLOOKUP(L570,PROGRAMAS[],3,FALSE),0)</f>
        <v>0</v>
      </c>
      <c r="AO570" s="246">
        <f>IFERROR(VLOOKUP(M570,PROGRAMAS[],3,FALSE),0)</f>
        <v>0</v>
      </c>
      <c r="AP570" s="246">
        <f>IFERROR(VLOOKUP(N570,PROGRAMAS[],3,FALSE),0)</f>
        <v>0</v>
      </c>
      <c r="AQ570" s="246">
        <f>IFERROR(VLOOKUP(O570,PROGRAMAS[],3,FALSE),0)</f>
        <v>0</v>
      </c>
      <c r="AR570" s="246">
        <f>IFERROR(VLOOKUP(P570,PROGRAMAS[],3,FALSE),0)</f>
        <v>0</v>
      </c>
      <c r="AS570" s="246">
        <f>IFERROR(VLOOKUP(Q570,PROGRAMAS[],3,FALSE),0)</f>
        <v>0</v>
      </c>
      <c r="AT570" s="246">
        <f>IFERROR(VLOOKUP(D570,VOL_REC[],2,FALSE),0)</f>
        <v>0</v>
      </c>
      <c r="AU570" s="246">
        <f>IFERROR(VLOOKUP(E570,VOL_REC[],2,FALSE),0)</f>
        <v>0</v>
      </c>
      <c r="AV570" s="246">
        <f>IFERROR(VLOOKUP(F570,VOL_REC[],2,FALSE),0)</f>
        <v>11089674.200000001</v>
      </c>
      <c r="AW570" s="246">
        <f>IFERROR(VLOOKUP(G570,VOL_REC[],2,FALSE),0)</f>
        <v>90439.55</v>
      </c>
      <c r="AX570" s="246">
        <f>IFERROR(VLOOKUP(H570,VOL_REC[],2,FALSE),0)</f>
        <v>4325103.1812214684</v>
      </c>
      <c r="AY570" s="246">
        <f>IFERROR(VLOOKUP(I570,VOL_REC[],2,FALSE),0)</f>
        <v>15540036.397699751</v>
      </c>
      <c r="AZ570" s="246">
        <f>IFERROR(VLOOKUP(J570,VOL_REC[],2,FALSE),0)</f>
        <v>1812240</v>
      </c>
      <c r="BA570" s="246">
        <f>IFERROR(VLOOKUP(K570,VOL_REC[],2,FALSE),0)</f>
        <v>240696.79238099116</v>
      </c>
      <c r="BB570" s="246">
        <f>IFERROR(VLOOKUP(L570,VOL_REC[],2,FALSE),0)</f>
        <v>0</v>
      </c>
      <c r="BC570" s="246">
        <f>IFERROR(VLOOKUP(M570,VOL_REC[],2,FALSE),0)</f>
        <v>0</v>
      </c>
      <c r="BD570" s="246">
        <f>IFERROR(VLOOKUP(N570,VOL_REC[],2,FALSE),0)</f>
        <v>0</v>
      </c>
      <c r="BE570" s="246">
        <f>IFERROR(VLOOKUP(O570,VOL_REC[],2,FALSE),0)</f>
        <v>0</v>
      </c>
      <c r="BF570" s="246">
        <f>IFERROR(VLOOKUP(P570,VOL_REC[],2,FALSE),0)</f>
        <v>0</v>
      </c>
      <c r="BG570" s="246">
        <f>IFERROR(VLOOKUP(Q570,VOL_REC[],2,FALSE),0)</f>
        <v>0</v>
      </c>
      <c r="BH570" s="1710">
        <f t="shared" si="32"/>
        <v>17616266370.318859</v>
      </c>
      <c r="BI570" s="1710">
        <f t="shared" si="33"/>
        <v>20349485015.778568</v>
      </c>
      <c r="BJ570" s="1711">
        <f t="shared" si="34"/>
        <v>33098190.121302214</v>
      </c>
      <c r="BK570" s="1711">
        <f t="shared" si="35"/>
        <v>0.8656861024571173</v>
      </c>
    </row>
    <row r="571" spans="3:67" x14ac:dyDescent="0.25">
      <c r="C571" s="246" t="s">
        <v>1921</v>
      </c>
      <c r="D571" s="246">
        <v>1</v>
      </c>
      <c r="E571" s="246">
        <v>2</v>
      </c>
      <c r="F571" s="246">
        <v>3</v>
      </c>
      <c r="G571" s="246">
        <v>4</v>
      </c>
      <c r="H571" s="246">
        <v>5</v>
      </c>
      <c r="I571" s="246">
        <v>6</v>
      </c>
      <c r="J571" s="246">
        <v>10</v>
      </c>
      <c r="K571" s="246">
        <v>13</v>
      </c>
      <c r="L571" s="246"/>
      <c r="M571" s="246"/>
      <c r="N571" s="246"/>
      <c r="O571" s="246"/>
      <c r="P571" s="246"/>
      <c r="Q571" s="246"/>
      <c r="R571" s="246">
        <f>IFERROR(VLOOKUP(D571,PROGRAMAS[],2,FALSE),0)</f>
        <v>97037803.679377079</v>
      </c>
      <c r="S571" s="246">
        <f>IFERROR(VLOOKUP(E571,PROGRAMAS[],2,FALSE),0)</f>
        <v>640501509.6821388</v>
      </c>
      <c r="T571" s="246">
        <f>IFERROR(VLOOKUP(F571,PROGRAMAS[],2,FALSE),0)</f>
        <v>3062327798.1525245</v>
      </c>
      <c r="U571" s="246">
        <f>IFERROR(VLOOKUP(G571,PROGRAMAS[],2,FALSE),0)</f>
        <v>67697118.033011258</v>
      </c>
      <c r="V571" s="246">
        <f>IFERROR(VLOOKUP(H571,PROGRAMAS[],2,FALSE),0)</f>
        <v>1440941976.2528784</v>
      </c>
      <c r="W571" s="246">
        <f>IFERROR(VLOOKUP(I571,PROGRAMAS[],2,FALSE),0)</f>
        <v>6907648435.8447599</v>
      </c>
      <c r="X571" s="246">
        <f>IFERROR(VLOOKUP(J571,PROGRAMAS[],2,FALSE),0)</f>
        <v>4635315027.8751087</v>
      </c>
      <c r="Y571" s="246">
        <f>IFERROR(VLOOKUP(K571,PROGRAMAS[],2,FALSE),0)</f>
        <v>3776538594.4604583</v>
      </c>
      <c r="Z571" s="246">
        <f>IFERROR(VLOOKUP(L571,PROGRAMAS[],2,FALSE),0)</f>
        <v>0</v>
      </c>
      <c r="AA571" s="246">
        <f>IFERROR(VLOOKUP(M571,PROGRAMAS[],2,FALSE),0)</f>
        <v>0</v>
      </c>
      <c r="AB571" s="246">
        <f>IFERROR(VLOOKUP(N571,PROGRAMAS[],2,FALSE),0)</f>
        <v>0</v>
      </c>
      <c r="AC571" s="246">
        <f>IFERROR(VLOOKUP(O571,PROGRAMAS[],2,FALSE),0)</f>
        <v>0</v>
      </c>
      <c r="AD571" s="246">
        <f>IFERROR(VLOOKUP(P571,PROGRAMAS[],2,FALSE),0)</f>
        <v>0</v>
      </c>
      <c r="AE571" s="246">
        <f>IFERROR(VLOOKUP(Q571,PROGRAMAS[],2,FALSE),0)</f>
        <v>0</v>
      </c>
      <c r="AF571" s="246">
        <f>IFERROR(VLOOKUP(D571,PROGRAMAS[],3,FALSE),0)</f>
        <v>841888629.31080008</v>
      </c>
      <c r="AG571" s="246">
        <f>IFERROR(VLOOKUP(E571,PROGRAMAS[],3,FALSE),0)</f>
        <v>3848980803.1642323</v>
      </c>
      <c r="AH571" s="246">
        <f>IFERROR(VLOOKUP(F571,PROGRAMAS[],3,FALSE),0)</f>
        <v>3394901471.387517</v>
      </c>
      <c r="AI571" s="246">
        <f>IFERROR(VLOOKUP(G571,PROGRAMAS[],3,FALSE),0)</f>
        <v>125317226.95549992</v>
      </c>
      <c r="AJ571" s="246">
        <f>IFERROR(VLOOKUP(H571,PROGRAMAS[],3,FALSE),0)</f>
        <v>1233505101.0616004</v>
      </c>
      <c r="AK571" s="246">
        <f>IFERROR(VLOOKUP(I571,PROGRAMAS[],3,FALSE),0)</f>
        <v>6129902208.7912121</v>
      </c>
      <c r="AL571" s="246">
        <f>IFERROR(VLOOKUP(J571,PROGRAMAS[],3,FALSE),0)</f>
        <v>4099471734.9978786</v>
      </c>
      <c r="AM571" s="246">
        <f>IFERROR(VLOOKUP(K571,PROGRAMAS[],3,FALSE),0)</f>
        <v>2392571243.5584412</v>
      </c>
      <c r="AN571" s="246">
        <f>IFERROR(VLOOKUP(L571,PROGRAMAS[],3,FALSE),0)</f>
        <v>0</v>
      </c>
      <c r="AO571" s="246">
        <f>IFERROR(VLOOKUP(M571,PROGRAMAS[],3,FALSE),0)</f>
        <v>0</v>
      </c>
      <c r="AP571" s="246">
        <f>IFERROR(VLOOKUP(N571,PROGRAMAS[],3,FALSE),0)</f>
        <v>0</v>
      </c>
      <c r="AQ571" s="246">
        <f>IFERROR(VLOOKUP(O571,PROGRAMAS[],3,FALSE),0)</f>
        <v>0</v>
      </c>
      <c r="AR571" s="246">
        <f>IFERROR(VLOOKUP(P571,PROGRAMAS[],3,FALSE),0)</f>
        <v>0</v>
      </c>
      <c r="AS571" s="246">
        <f>IFERROR(VLOOKUP(Q571,PROGRAMAS[],3,FALSE),0)</f>
        <v>0</v>
      </c>
      <c r="AT571" s="246">
        <f>IFERROR(VLOOKUP(D571,VOL_REC[],2,FALSE),0)</f>
        <v>0</v>
      </c>
      <c r="AU571" s="246">
        <f>IFERROR(VLOOKUP(E571,VOL_REC[],2,FALSE),0)</f>
        <v>0</v>
      </c>
      <c r="AV571" s="246">
        <f>IFERROR(VLOOKUP(F571,VOL_REC[],2,FALSE),0)</f>
        <v>11089674.200000001</v>
      </c>
      <c r="AW571" s="246">
        <f>IFERROR(VLOOKUP(G571,VOL_REC[],2,FALSE),0)</f>
        <v>90439.55</v>
      </c>
      <c r="AX571" s="246">
        <f>IFERROR(VLOOKUP(H571,VOL_REC[],2,FALSE),0)</f>
        <v>4325103.1812214684</v>
      </c>
      <c r="AY571" s="246">
        <f>IFERROR(VLOOKUP(I571,VOL_REC[],2,FALSE),0)</f>
        <v>15540036.397699751</v>
      </c>
      <c r="AZ571" s="246">
        <f>IFERROR(VLOOKUP(J571,VOL_REC[],2,FALSE),0)</f>
        <v>1812240</v>
      </c>
      <c r="BA571" s="246">
        <f>IFERROR(VLOOKUP(K571,VOL_REC[],2,FALSE),0)</f>
        <v>663244.80000000016</v>
      </c>
      <c r="BB571" s="246">
        <f>IFERROR(VLOOKUP(L571,VOL_REC[],2,FALSE),0)</f>
        <v>0</v>
      </c>
      <c r="BC571" s="246">
        <f>IFERROR(VLOOKUP(M571,VOL_REC[],2,FALSE),0)</f>
        <v>0</v>
      </c>
      <c r="BD571" s="246">
        <f>IFERROR(VLOOKUP(N571,VOL_REC[],2,FALSE),0)</f>
        <v>0</v>
      </c>
      <c r="BE571" s="246">
        <f>IFERROR(VLOOKUP(O571,VOL_REC[],2,FALSE),0)</f>
        <v>0</v>
      </c>
      <c r="BF571" s="246">
        <f>IFERROR(VLOOKUP(P571,VOL_REC[],2,FALSE),0)</f>
        <v>0</v>
      </c>
      <c r="BG571" s="246">
        <f>IFERROR(VLOOKUP(Q571,VOL_REC[],2,FALSE),0)</f>
        <v>0</v>
      </c>
      <c r="BH571" s="1710">
        <f t="shared" si="32"/>
        <v>20628008263.980259</v>
      </c>
      <c r="BI571" s="1710">
        <f t="shared" si="33"/>
        <v>22066538419.22718</v>
      </c>
      <c r="BJ571" s="1711">
        <f t="shared" si="34"/>
        <v>33520738.128921222</v>
      </c>
      <c r="BK571" s="1711">
        <f t="shared" si="35"/>
        <v>0.93480943282007967</v>
      </c>
    </row>
    <row r="572" spans="3:67" x14ac:dyDescent="0.25">
      <c r="C572" s="246" t="s">
        <v>1922</v>
      </c>
      <c r="D572" s="246">
        <v>1</v>
      </c>
      <c r="E572" s="246">
        <v>2</v>
      </c>
      <c r="F572" s="246">
        <v>3</v>
      </c>
      <c r="G572" s="246">
        <v>4</v>
      </c>
      <c r="H572" s="246">
        <v>5</v>
      </c>
      <c r="I572" s="246">
        <v>6</v>
      </c>
      <c r="J572" s="246">
        <v>10</v>
      </c>
      <c r="K572" s="246">
        <v>14</v>
      </c>
      <c r="L572" s="246"/>
      <c r="M572" s="246"/>
      <c r="N572" s="246"/>
      <c r="O572" s="246"/>
      <c r="P572" s="246"/>
      <c r="Q572" s="246"/>
      <c r="R572" s="246">
        <f>IFERROR(VLOOKUP(D572,PROGRAMAS[],2,FALSE),0)</f>
        <v>97037803.679377079</v>
      </c>
      <c r="S572" s="246">
        <f>IFERROR(VLOOKUP(E572,PROGRAMAS[],2,FALSE),0)</f>
        <v>640501509.6821388</v>
      </c>
      <c r="T572" s="246">
        <f>IFERROR(VLOOKUP(F572,PROGRAMAS[],2,FALSE),0)</f>
        <v>3062327798.1525245</v>
      </c>
      <c r="U572" s="246">
        <f>IFERROR(VLOOKUP(G572,PROGRAMAS[],2,FALSE),0)</f>
        <v>67697118.033011258</v>
      </c>
      <c r="V572" s="246">
        <f>IFERROR(VLOOKUP(H572,PROGRAMAS[],2,FALSE),0)</f>
        <v>1440941976.2528784</v>
      </c>
      <c r="W572" s="246">
        <f>IFERROR(VLOOKUP(I572,PROGRAMAS[],2,FALSE),0)</f>
        <v>6907648435.8447599</v>
      </c>
      <c r="X572" s="246">
        <f>IFERROR(VLOOKUP(J572,PROGRAMAS[],2,FALSE),0)</f>
        <v>4635315027.8751087</v>
      </c>
      <c r="Y572" s="246">
        <f>IFERROR(VLOOKUP(K572,PROGRAMAS[],2,FALSE),0)</f>
        <v>54223862.645839565</v>
      </c>
      <c r="Z572" s="246">
        <f>IFERROR(VLOOKUP(L572,PROGRAMAS[],2,FALSE),0)</f>
        <v>0</v>
      </c>
      <c r="AA572" s="246">
        <f>IFERROR(VLOOKUP(M572,PROGRAMAS[],2,FALSE),0)</f>
        <v>0</v>
      </c>
      <c r="AB572" s="246">
        <f>IFERROR(VLOOKUP(N572,PROGRAMAS[],2,FALSE),0)</f>
        <v>0</v>
      </c>
      <c r="AC572" s="246">
        <f>IFERROR(VLOOKUP(O572,PROGRAMAS[],2,FALSE),0)</f>
        <v>0</v>
      </c>
      <c r="AD572" s="246">
        <f>IFERROR(VLOOKUP(P572,PROGRAMAS[],2,FALSE),0)</f>
        <v>0</v>
      </c>
      <c r="AE572" s="246">
        <f>IFERROR(VLOOKUP(Q572,PROGRAMAS[],2,FALSE),0)</f>
        <v>0</v>
      </c>
      <c r="AF572" s="246">
        <f>IFERROR(VLOOKUP(D572,PROGRAMAS[],3,FALSE),0)</f>
        <v>841888629.31080008</v>
      </c>
      <c r="AG572" s="246">
        <f>IFERROR(VLOOKUP(E572,PROGRAMAS[],3,FALSE),0)</f>
        <v>3848980803.1642323</v>
      </c>
      <c r="AH572" s="246">
        <f>IFERROR(VLOOKUP(F572,PROGRAMAS[],3,FALSE),0)</f>
        <v>3394901471.387517</v>
      </c>
      <c r="AI572" s="246">
        <f>IFERROR(VLOOKUP(G572,PROGRAMAS[],3,FALSE),0)</f>
        <v>125317226.95549992</v>
      </c>
      <c r="AJ572" s="246">
        <f>IFERROR(VLOOKUP(H572,PROGRAMAS[],3,FALSE),0)</f>
        <v>1233505101.0616004</v>
      </c>
      <c r="AK572" s="246">
        <f>IFERROR(VLOOKUP(I572,PROGRAMAS[],3,FALSE),0)</f>
        <v>6129902208.7912121</v>
      </c>
      <c r="AL572" s="246">
        <f>IFERROR(VLOOKUP(J572,PROGRAMAS[],3,FALSE),0)</f>
        <v>4099471734.9978786</v>
      </c>
      <c r="AM572" s="246">
        <f>IFERROR(VLOOKUP(K572,PROGRAMAS[],3,FALSE),0)</f>
        <v>31865326.38096505</v>
      </c>
      <c r="AN572" s="246">
        <f>IFERROR(VLOOKUP(L572,PROGRAMAS[],3,FALSE),0)</f>
        <v>0</v>
      </c>
      <c r="AO572" s="246">
        <f>IFERROR(VLOOKUP(M572,PROGRAMAS[],3,FALSE),0)</f>
        <v>0</v>
      </c>
      <c r="AP572" s="246">
        <f>IFERROR(VLOOKUP(N572,PROGRAMAS[],3,FALSE),0)</f>
        <v>0</v>
      </c>
      <c r="AQ572" s="246">
        <f>IFERROR(VLOOKUP(O572,PROGRAMAS[],3,FALSE),0)</f>
        <v>0</v>
      </c>
      <c r="AR572" s="246">
        <f>IFERROR(VLOOKUP(P572,PROGRAMAS[],3,FALSE),0)</f>
        <v>0</v>
      </c>
      <c r="AS572" s="246">
        <f>IFERROR(VLOOKUP(Q572,PROGRAMAS[],3,FALSE),0)</f>
        <v>0</v>
      </c>
      <c r="AT572" s="246">
        <f>IFERROR(VLOOKUP(D572,VOL_REC[],2,FALSE),0)</f>
        <v>0</v>
      </c>
      <c r="AU572" s="246">
        <f>IFERROR(VLOOKUP(E572,VOL_REC[],2,FALSE),0)</f>
        <v>0</v>
      </c>
      <c r="AV572" s="246">
        <f>IFERROR(VLOOKUP(F572,VOL_REC[],2,FALSE),0)</f>
        <v>11089674.200000001</v>
      </c>
      <c r="AW572" s="246">
        <f>IFERROR(VLOOKUP(G572,VOL_REC[],2,FALSE),0)</f>
        <v>90439.55</v>
      </c>
      <c r="AX572" s="246">
        <f>IFERROR(VLOOKUP(H572,VOL_REC[],2,FALSE),0)</f>
        <v>4325103.1812214684</v>
      </c>
      <c r="AY572" s="246">
        <f>IFERROR(VLOOKUP(I572,VOL_REC[],2,FALSE),0)</f>
        <v>15540036.397699751</v>
      </c>
      <c r="AZ572" s="246">
        <f>IFERROR(VLOOKUP(J572,VOL_REC[],2,FALSE),0)</f>
        <v>1812240</v>
      </c>
      <c r="BA572" s="246">
        <f>IFERROR(VLOOKUP(K572,VOL_REC[],2,FALSE),0)</f>
        <v>17074.045034105649</v>
      </c>
      <c r="BB572" s="246">
        <f>IFERROR(VLOOKUP(L572,VOL_REC[],2,FALSE),0)</f>
        <v>0</v>
      </c>
      <c r="BC572" s="246">
        <f>IFERROR(VLOOKUP(M572,VOL_REC[],2,FALSE),0)</f>
        <v>0</v>
      </c>
      <c r="BD572" s="246">
        <f>IFERROR(VLOOKUP(N572,VOL_REC[],2,FALSE),0)</f>
        <v>0</v>
      </c>
      <c r="BE572" s="246">
        <f>IFERROR(VLOOKUP(O572,VOL_REC[],2,FALSE),0)</f>
        <v>0</v>
      </c>
      <c r="BF572" s="246">
        <f>IFERROR(VLOOKUP(P572,VOL_REC[],2,FALSE),0)</f>
        <v>0</v>
      </c>
      <c r="BG572" s="246">
        <f>IFERROR(VLOOKUP(Q572,VOL_REC[],2,FALSE),0)</f>
        <v>0</v>
      </c>
      <c r="BH572" s="1710">
        <f t="shared" si="32"/>
        <v>16905693532.16564</v>
      </c>
      <c r="BI572" s="1710">
        <f t="shared" si="33"/>
        <v>19705832502.049706</v>
      </c>
      <c r="BJ572" s="1711">
        <f t="shared" si="34"/>
        <v>32874567.373955328</v>
      </c>
      <c r="BK572" s="1711">
        <f t="shared" si="35"/>
        <v>0.85790303608879204</v>
      </c>
    </row>
    <row r="573" spans="3:67" x14ac:dyDescent="0.25">
      <c r="C573" s="246" t="s">
        <v>1923</v>
      </c>
      <c r="D573" s="246">
        <v>1</v>
      </c>
      <c r="E573" s="246">
        <v>2</v>
      </c>
      <c r="F573" s="246">
        <v>3</v>
      </c>
      <c r="G573" s="246">
        <v>4</v>
      </c>
      <c r="H573" s="246">
        <v>5</v>
      </c>
      <c r="I573" s="246">
        <v>6</v>
      </c>
      <c r="J573" s="246">
        <v>10</v>
      </c>
      <c r="K573" s="246">
        <v>15</v>
      </c>
      <c r="L573" s="246"/>
      <c r="M573" s="246"/>
      <c r="N573" s="246"/>
      <c r="O573" s="246"/>
      <c r="P573" s="246"/>
      <c r="Q573" s="246"/>
      <c r="R573" s="246">
        <f>IFERROR(VLOOKUP(D573,PROGRAMAS[],2,FALSE),0)</f>
        <v>97037803.679377079</v>
      </c>
      <c r="S573" s="246">
        <f>IFERROR(VLOOKUP(E573,PROGRAMAS[],2,FALSE),0)</f>
        <v>640501509.6821388</v>
      </c>
      <c r="T573" s="246">
        <f>IFERROR(VLOOKUP(F573,PROGRAMAS[],2,FALSE),0)</f>
        <v>3062327798.1525245</v>
      </c>
      <c r="U573" s="246">
        <f>IFERROR(VLOOKUP(G573,PROGRAMAS[],2,FALSE),0)</f>
        <v>67697118.033011258</v>
      </c>
      <c r="V573" s="246">
        <f>IFERROR(VLOOKUP(H573,PROGRAMAS[],2,FALSE),0)</f>
        <v>1440941976.2528784</v>
      </c>
      <c r="W573" s="246">
        <f>IFERROR(VLOOKUP(I573,PROGRAMAS[],2,FALSE),0)</f>
        <v>6907648435.8447599</v>
      </c>
      <c r="X573" s="246">
        <f>IFERROR(VLOOKUP(J573,PROGRAMAS[],2,FALSE),0)</f>
        <v>4635315027.8751087</v>
      </c>
      <c r="Y573" s="246">
        <f>IFERROR(VLOOKUP(K573,PROGRAMAS[],2,FALSE),0)</f>
        <v>122159672.96346797</v>
      </c>
      <c r="Z573" s="246">
        <f>IFERROR(VLOOKUP(L573,PROGRAMAS[],2,FALSE),0)</f>
        <v>0</v>
      </c>
      <c r="AA573" s="246">
        <f>IFERROR(VLOOKUP(M573,PROGRAMAS[],2,FALSE),0)</f>
        <v>0</v>
      </c>
      <c r="AB573" s="246">
        <f>IFERROR(VLOOKUP(N573,PROGRAMAS[],2,FALSE),0)</f>
        <v>0</v>
      </c>
      <c r="AC573" s="246">
        <f>IFERROR(VLOOKUP(O573,PROGRAMAS[],2,FALSE),0)</f>
        <v>0</v>
      </c>
      <c r="AD573" s="246">
        <f>IFERROR(VLOOKUP(P573,PROGRAMAS[],2,FALSE),0)</f>
        <v>0</v>
      </c>
      <c r="AE573" s="246">
        <f>IFERROR(VLOOKUP(Q573,PROGRAMAS[],2,FALSE),0)</f>
        <v>0</v>
      </c>
      <c r="AF573" s="246">
        <f>IFERROR(VLOOKUP(D573,PROGRAMAS[],3,FALSE),0)</f>
        <v>841888629.31080008</v>
      </c>
      <c r="AG573" s="246">
        <f>IFERROR(VLOOKUP(E573,PROGRAMAS[],3,FALSE),0)</f>
        <v>3848980803.1642323</v>
      </c>
      <c r="AH573" s="246">
        <f>IFERROR(VLOOKUP(F573,PROGRAMAS[],3,FALSE),0)</f>
        <v>3394901471.387517</v>
      </c>
      <c r="AI573" s="246">
        <f>IFERROR(VLOOKUP(G573,PROGRAMAS[],3,FALSE),0)</f>
        <v>125317226.95549992</v>
      </c>
      <c r="AJ573" s="246">
        <f>IFERROR(VLOOKUP(H573,PROGRAMAS[],3,FALSE),0)</f>
        <v>1233505101.0616004</v>
      </c>
      <c r="AK573" s="246">
        <f>IFERROR(VLOOKUP(I573,PROGRAMAS[],3,FALSE),0)</f>
        <v>6129902208.7912121</v>
      </c>
      <c r="AL573" s="246">
        <f>IFERROR(VLOOKUP(J573,PROGRAMAS[],3,FALSE),0)</f>
        <v>4099471734.9978786</v>
      </c>
      <c r="AM573" s="246">
        <f>IFERROR(VLOOKUP(K573,PROGRAMAS[],3,FALSE),0)</f>
        <v>118617452.52510804</v>
      </c>
      <c r="AN573" s="246">
        <f>IFERROR(VLOOKUP(L573,PROGRAMAS[],3,FALSE),0)</f>
        <v>0</v>
      </c>
      <c r="AO573" s="246">
        <f>IFERROR(VLOOKUP(M573,PROGRAMAS[],3,FALSE),0)</f>
        <v>0</v>
      </c>
      <c r="AP573" s="246">
        <f>IFERROR(VLOOKUP(N573,PROGRAMAS[],3,FALSE),0)</f>
        <v>0</v>
      </c>
      <c r="AQ573" s="246">
        <f>IFERROR(VLOOKUP(O573,PROGRAMAS[],3,FALSE),0)</f>
        <v>0</v>
      </c>
      <c r="AR573" s="246">
        <f>IFERROR(VLOOKUP(P573,PROGRAMAS[],3,FALSE),0)</f>
        <v>0</v>
      </c>
      <c r="AS573" s="246">
        <f>IFERROR(VLOOKUP(Q573,PROGRAMAS[],3,FALSE),0)</f>
        <v>0</v>
      </c>
      <c r="AT573" s="246">
        <f>IFERROR(VLOOKUP(D573,VOL_REC[],2,FALSE),0)</f>
        <v>0</v>
      </c>
      <c r="AU573" s="246">
        <f>IFERROR(VLOOKUP(E573,VOL_REC[],2,FALSE),0)</f>
        <v>0</v>
      </c>
      <c r="AV573" s="246">
        <f>IFERROR(VLOOKUP(F573,VOL_REC[],2,FALSE),0)</f>
        <v>11089674.200000001</v>
      </c>
      <c r="AW573" s="246">
        <f>IFERROR(VLOOKUP(G573,VOL_REC[],2,FALSE),0)</f>
        <v>90439.55</v>
      </c>
      <c r="AX573" s="246">
        <f>IFERROR(VLOOKUP(H573,VOL_REC[],2,FALSE),0)</f>
        <v>4325103.1812214684</v>
      </c>
      <c r="AY573" s="246">
        <f>IFERROR(VLOOKUP(I573,VOL_REC[],2,FALSE),0)</f>
        <v>15540036.397699751</v>
      </c>
      <c r="AZ573" s="246">
        <f>IFERROR(VLOOKUP(J573,VOL_REC[],2,FALSE),0)</f>
        <v>1812240</v>
      </c>
      <c r="BA573" s="246">
        <f>IFERROR(VLOOKUP(K573,VOL_REC[],2,FALSE),0)</f>
        <v>105072</v>
      </c>
      <c r="BB573" s="246">
        <f>IFERROR(VLOOKUP(L573,VOL_REC[],2,FALSE),0)</f>
        <v>0</v>
      </c>
      <c r="BC573" s="246">
        <f>IFERROR(VLOOKUP(M573,VOL_REC[],2,FALSE),0)</f>
        <v>0</v>
      </c>
      <c r="BD573" s="246">
        <f>IFERROR(VLOOKUP(N573,VOL_REC[],2,FALSE),0)</f>
        <v>0</v>
      </c>
      <c r="BE573" s="246">
        <f>IFERROR(VLOOKUP(O573,VOL_REC[],2,FALSE),0)</f>
        <v>0</v>
      </c>
      <c r="BF573" s="246">
        <f>IFERROR(VLOOKUP(P573,VOL_REC[],2,FALSE),0)</f>
        <v>0</v>
      </c>
      <c r="BG573" s="246">
        <f>IFERROR(VLOOKUP(Q573,VOL_REC[],2,FALSE),0)</f>
        <v>0</v>
      </c>
      <c r="BH573" s="1710">
        <f t="shared" si="32"/>
        <v>16973629342.483269</v>
      </c>
      <c r="BI573" s="1710">
        <f t="shared" si="33"/>
        <v>19792584628.193848</v>
      </c>
      <c r="BJ573" s="1711">
        <f t="shared" si="34"/>
        <v>32962565.328921221</v>
      </c>
      <c r="BK573" s="1711">
        <f t="shared" si="35"/>
        <v>0.85757518087379681</v>
      </c>
    </row>
    <row r="574" spans="3:67" x14ac:dyDescent="0.25">
      <c r="C574" s="246" t="s">
        <v>1924</v>
      </c>
      <c r="D574" s="246">
        <v>1</v>
      </c>
      <c r="E574" s="246">
        <v>2</v>
      </c>
      <c r="F574" s="246">
        <v>3</v>
      </c>
      <c r="G574" s="246">
        <v>4</v>
      </c>
      <c r="H574" s="246">
        <v>5</v>
      </c>
      <c r="I574" s="246">
        <v>6</v>
      </c>
      <c r="J574" s="246">
        <v>10</v>
      </c>
      <c r="K574" s="246">
        <v>16</v>
      </c>
      <c r="L574" s="246"/>
      <c r="M574" s="246"/>
      <c r="N574" s="246"/>
      <c r="O574" s="246"/>
      <c r="P574" s="246"/>
      <c r="Q574" s="246"/>
      <c r="R574" s="246">
        <f>IFERROR(VLOOKUP(D574,PROGRAMAS[],2,FALSE),0)</f>
        <v>97037803.679377079</v>
      </c>
      <c r="S574" s="246">
        <f>IFERROR(VLOOKUP(E574,PROGRAMAS[],2,FALSE),0)</f>
        <v>640501509.6821388</v>
      </c>
      <c r="T574" s="246">
        <f>IFERROR(VLOOKUP(F574,PROGRAMAS[],2,FALSE),0)</f>
        <v>3062327798.1525245</v>
      </c>
      <c r="U574" s="246">
        <f>IFERROR(VLOOKUP(G574,PROGRAMAS[],2,FALSE),0)</f>
        <v>67697118.033011258</v>
      </c>
      <c r="V574" s="246">
        <f>IFERROR(VLOOKUP(H574,PROGRAMAS[],2,FALSE),0)</f>
        <v>1440941976.2528784</v>
      </c>
      <c r="W574" s="246">
        <f>IFERROR(VLOOKUP(I574,PROGRAMAS[],2,FALSE),0)</f>
        <v>6907648435.8447599</v>
      </c>
      <c r="X574" s="246">
        <f>IFERROR(VLOOKUP(J574,PROGRAMAS[],2,FALSE),0)</f>
        <v>4635315027.8751087</v>
      </c>
      <c r="Y574" s="246">
        <f>IFERROR(VLOOKUP(K574,PROGRAMAS[],2,FALSE),0)</f>
        <v>7068496961.0436354</v>
      </c>
      <c r="Z574" s="246">
        <f>IFERROR(VLOOKUP(L574,PROGRAMAS[],2,FALSE),0)</f>
        <v>0</v>
      </c>
      <c r="AA574" s="246">
        <f>IFERROR(VLOOKUP(M574,PROGRAMAS[],2,FALSE),0)</f>
        <v>0</v>
      </c>
      <c r="AB574" s="246">
        <f>IFERROR(VLOOKUP(N574,PROGRAMAS[],2,FALSE),0)</f>
        <v>0</v>
      </c>
      <c r="AC574" s="246">
        <f>IFERROR(VLOOKUP(O574,PROGRAMAS[],2,FALSE),0)</f>
        <v>0</v>
      </c>
      <c r="AD574" s="246">
        <f>IFERROR(VLOOKUP(P574,PROGRAMAS[],2,FALSE),0)</f>
        <v>0</v>
      </c>
      <c r="AE574" s="246">
        <f>IFERROR(VLOOKUP(Q574,PROGRAMAS[],2,FALSE),0)</f>
        <v>0</v>
      </c>
      <c r="AF574" s="246">
        <f>IFERROR(VLOOKUP(D574,PROGRAMAS[],3,FALSE),0)</f>
        <v>841888629.31080008</v>
      </c>
      <c r="AG574" s="246">
        <f>IFERROR(VLOOKUP(E574,PROGRAMAS[],3,FALSE),0)</f>
        <v>3848980803.1642323</v>
      </c>
      <c r="AH574" s="246">
        <f>IFERROR(VLOOKUP(F574,PROGRAMAS[],3,FALSE),0)</f>
        <v>3394901471.387517</v>
      </c>
      <c r="AI574" s="246">
        <f>IFERROR(VLOOKUP(G574,PROGRAMAS[],3,FALSE),0)</f>
        <v>125317226.95549992</v>
      </c>
      <c r="AJ574" s="246">
        <f>IFERROR(VLOOKUP(H574,PROGRAMAS[],3,FALSE),0)</f>
        <v>1233505101.0616004</v>
      </c>
      <c r="AK574" s="246">
        <f>IFERROR(VLOOKUP(I574,PROGRAMAS[],3,FALSE),0)</f>
        <v>6129902208.7912121</v>
      </c>
      <c r="AL574" s="246">
        <f>IFERROR(VLOOKUP(J574,PROGRAMAS[],3,FALSE),0)</f>
        <v>4099471734.9978786</v>
      </c>
      <c r="AM574" s="246">
        <f>IFERROR(VLOOKUP(K574,PROGRAMAS[],3,FALSE),0)</f>
        <v>2406564599.0319901</v>
      </c>
      <c r="AN574" s="246">
        <f>IFERROR(VLOOKUP(L574,PROGRAMAS[],3,FALSE),0)</f>
        <v>0</v>
      </c>
      <c r="AO574" s="246">
        <f>IFERROR(VLOOKUP(M574,PROGRAMAS[],3,FALSE),0)</f>
        <v>0</v>
      </c>
      <c r="AP574" s="246">
        <f>IFERROR(VLOOKUP(N574,PROGRAMAS[],3,FALSE),0)</f>
        <v>0</v>
      </c>
      <c r="AQ574" s="246">
        <f>IFERROR(VLOOKUP(O574,PROGRAMAS[],3,FALSE),0)</f>
        <v>0</v>
      </c>
      <c r="AR574" s="246">
        <f>IFERROR(VLOOKUP(P574,PROGRAMAS[],3,FALSE),0)</f>
        <v>0</v>
      </c>
      <c r="AS574" s="246">
        <f>IFERROR(VLOOKUP(Q574,PROGRAMAS[],3,FALSE),0)</f>
        <v>0</v>
      </c>
      <c r="AT574" s="246">
        <f>IFERROR(VLOOKUP(D574,VOL_REC[],2,FALSE),0)</f>
        <v>0</v>
      </c>
      <c r="AU574" s="246">
        <f>IFERROR(VLOOKUP(E574,VOL_REC[],2,FALSE),0)</f>
        <v>0</v>
      </c>
      <c r="AV574" s="246">
        <f>IFERROR(VLOOKUP(F574,VOL_REC[],2,FALSE),0)</f>
        <v>11089674.200000001</v>
      </c>
      <c r="AW574" s="246">
        <f>IFERROR(VLOOKUP(G574,VOL_REC[],2,FALSE),0)</f>
        <v>90439.55</v>
      </c>
      <c r="AX574" s="246">
        <f>IFERROR(VLOOKUP(H574,VOL_REC[],2,FALSE),0)</f>
        <v>4325103.1812214684</v>
      </c>
      <c r="AY574" s="246">
        <f>IFERROR(VLOOKUP(I574,VOL_REC[],2,FALSE),0)</f>
        <v>15540036.397699751</v>
      </c>
      <c r="AZ574" s="246">
        <f>IFERROR(VLOOKUP(J574,VOL_REC[],2,FALSE),0)</f>
        <v>1812240</v>
      </c>
      <c r="BA574" s="246">
        <f>IFERROR(VLOOKUP(K574,VOL_REC[],2,FALSE),0)</f>
        <v>1072354.9981737854</v>
      </c>
      <c r="BB574" s="246">
        <f>IFERROR(VLOOKUP(L574,VOL_REC[],2,FALSE),0)</f>
        <v>0</v>
      </c>
      <c r="BC574" s="246">
        <f>IFERROR(VLOOKUP(M574,VOL_REC[],2,FALSE),0)</f>
        <v>0</v>
      </c>
      <c r="BD574" s="246">
        <f>IFERROR(VLOOKUP(N574,VOL_REC[],2,FALSE),0)</f>
        <v>0</v>
      </c>
      <c r="BE574" s="246">
        <f>IFERROR(VLOOKUP(O574,VOL_REC[],2,FALSE),0)</f>
        <v>0</v>
      </c>
      <c r="BF574" s="246">
        <f>IFERROR(VLOOKUP(P574,VOL_REC[],2,FALSE),0)</f>
        <v>0</v>
      </c>
      <c r="BG574" s="246">
        <f>IFERROR(VLOOKUP(Q574,VOL_REC[],2,FALSE),0)</f>
        <v>0</v>
      </c>
      <c r="BH574" s="1710">
        <f t="shared" si="32"/>
        <v>23919966630.563435</v>
      </c>
      <c r="BI574" s="1710">
        <f t="shared" si="33"/>
        <v>22080531774.700729</v>
      </c>
      <c r="BJ574" s="1711">
        <f t="shared" si="34"/>
        <v>33929848.327095009</v>
      </c>
      <c r="BK574" s="1711">
        <f t="shared" si="35"/>
        <v>1.0833057317020907</v>
      </c>
      <c r="BL574">
        <f>BJ574</f>
        <v>33929848.327095009</v>
      </c>
      <c r="BO574">
        <f>BL574</f>
        <v>33929848.327095009</v>
      </c>
    </row>
    <row r="575" spans="3:67" x14ac:dyDescent="0.25">
      <c r="C575" s="246" t="s">
        <v>1925</v>
      </c>
      <c r="D575" s="246">
        <v>1</v>
      </c>
      <c r="E575" s="246">
        <v>2</v>
      </c>
      <c r="F575" s="246">
        <v>3</v>
      </c>
      <c r="G575" s="246">
        <v>4</v>
      </c>
      <c r="H575" s="246">
        <v>5</v>
      </c>
      <c r="I575" s="246">
        <v>6</v>
      </c>
      <c r="J575" s="246">
        <v>10</v>
      </c>
      <c r="K575" s="246">
        <v>17</v>
      </c>
      <c r="L575" s="246"/>
      <c r="M575" s="246"/>
      <c r="N575" s="246"/>
      <c r="O575" s="246"/>
      <c r="P575" s="246"/>
      <c r="Q575" s="246"/>
      <c r="R575" s="246">
        <f>IFERROR(VLOOKUP(D575,PROGRAMAS[],2,FALSE),0)</f>
        <v>97037803.679377079</v>
      </c>
      <c r="S575" s="246">
        <f>IFERROR(VLOOKUP(E575,PROGRAMAS[],2,FALSE),0)</f>
        <v>640501509.6821388</v>
      </c>
      <c r="T575" s="246">
        <f>IFERROR(VLOOKUP(F575,PROGRAMAS[],2,FALSE),0)</f>
        <v>3062327798.1525245</v>
      </c>
      <c r="U575" s="246">
        <f>IFERROR(VLOOKUP(G575,PROGRAMAS[],2,FALSE),0)</f>
        <v>67697118.033011258</v>
      </c>
      <c r="V575" s="246">
        <f>IFERROR(VLOOKUP(H575,PROGRAMAS[],2,FALSE),0)</f>
        <v>1440941976.2528784</v>
      </c>
      <c r="W575" s="246">
        <f>IFERROR(VLOOKUP(I575,PROGRAMAS[],2,FALSE),0)</f>
        <v>6907648435.8447599</v>
      </c>
      <c r="X575" s="246">
        <f>IFERROR(VLOOKUP(J575,PROGRAMAS[],2,FALSE),0)</f>
        <v>4635315027.8751087</v>
      </c>
      <c r="Y575" s="246">
        <f>IFERROR(VLOOKUP(K575,PROGRAMAS[],2,FALSE),0)</f>
        <v>1892779498.5211046</v>
      </c>
      <c r="Z575" s="246">
        <f>IFERROR(VLOOKUP(L575,PROGRAMAS[],2,FALSE),0)</f>
        <v>0</v>
      </c>
      <c r="AA575" s="246">
        <f>IFERROR(VLOOKUP(M575,PROGRAMAS[],2,FALSE),0)</f>
        <v>0</v>
      </c>
      <c r="AB575" s="246">
        <f>IFERROR(VLOOKUP(N575,PROGRAMAS[],2,FALSE),0)</f>
        <v>0</v>
      </c>
      <c r="AC575" s="246">
        <f>IFERROR(VLOOKUP(O575,PROGRAMAS[],2,FALSE),0)</f>
        <v>0</v>
      </c>
      <c r="AD575" s="246">
        <f>IFERROR(VLOOKUP(P575,PROGRAMAS[],2,FALSE),0)</f>
        <v>0</v>
      </c>
      <c r="AE575" s="246">
        <f>IFERROR(VLOOKUP(Q575,PROGRAMAS[],2,FALSE),0)</f>
        <v>0</v>
      </c>
      <c r="AF575" s="246">
        <f>IFERROR(VLOOKUP(D575,PROGRAMAS[],3,FALSE),0)</f>
        <v>841888629.31080008</v>
      </c>
      <c r="AG575" s="246">
        <f>IFERROR(VLOOKUP(E575,PROGRAMAS[],3,FALSE),0)</f>
        <v>3848980803.1642323</v>
      </c>
      <c r="AH575" s="246">
        <f>IFERROR(VLOOKUP(F575,PROGRAMAS[],3,FALSE),0)</f>
        <v>3394901471.387517</v>
      </c>
      <c r="AI575" s="246">
        <f>IFERROR(VLOOKUP(G575,PROGRAMAS[],3,FALSE),0)</f>
        <v>125317226.95549992</v>
      </c>
      <c r="AJ575" s="246">
        <f>IFERROR(VLOOKUP(H575,PROGRAMAS[],3,FALSE),0)</f>
        <v>1233505101.0616004</v>
      </c>
      <c r="AK575" s="246">
        <f>IFERROR(VLOOKUP(I575,PROGRAMAS[],3,FALSE),0)</f>
        <v>6129902208.7912121</v>
      </c>
      <c r="AL575" s="246">
        <f>IFERROR(VLOOKUP(J575,PROGRAMAS[],3,FALSE),0)</f>
        <v>4099471734.9978786</v>
      </c>
      <c r="AM575" s="246">
        <f>IFERROR(VLOOKUP(K575,PROGRAMAS[],3,FALSE),0)</f>
        <v>948595847.09039903</v>
      </c>
      <c r="AN575" s="246">
        <f>IFERROR(VLOOKUP(L575,PROGRAMAS[],3,FALSE),0)</f>
        <v>0</v>
      </c>
      <c r="AO575" s="246">
        <f>IFERROR(VLOOKUP(M575,PROGRAMAS[],3,FALSE),0)</f>
        <v>0</v>
      </c>
      <c r="AP575" s="246">
        <f>IFERROR(VLOOKUP(N575,PROGRAMAS[],3,FALSE),0)</f>
        <v>0</v>
      </c>
      <c r="AQ575" s="246">
        <f>IFERROR(VLOOKUP(O575,PROGRAMAS[],3,FALSE),0)</f>
        <v>0</v>
      </c>
      <c r="AR575" s="246">
        <f>IFERROR(VLOOKUP(P575,PROGRAMAS[],3,FALSE),0)</f>
        <v>0</v>
      </c>
      <c r="AS575" s="246">
        <f>IFERROR(VLOOKUP(Q575,PROGRAMAS[],3,FALSE),0)</f>
        <v>0</v>
      </c>
      <c r="AT575" s="246">
        <f>IFERROR(VLOOKUP(D575,VOL_REC[],2,FALSE),0)</f>
        <v>0</v>
      </c>
      <c r="AU575" s="246">
        <f>IFERROR(VLOOKUP(E575,VOL_REC[],2,FALSE),0)</f>
        <v>0</v>
      </c>
      <c r="AV575" s="246">
        <f>IFERROR(VLOOKUP(F575,VOL_REC[],2,FALSE),0)</f>
        <v>11089674.200000001</v>
      </c>
      <c r="AW575" s="246">
        <f>IFERROR(VLOOKUP(G575,VOL_REC[],2,FALSE),0)</f>
        <v>90439.55</v>
      </c>
      <c r="AX575" s="246">
        <f>IFERROR(VLOOKUP(H575,VOL_REC[],2,FALSE),0)</f>
        <v>4325103.1812214684</v>
      </c>
      <c r="AY575" s="246">
        <f>IFERROR(VLOOKUP(I575,VOL_REC[],2,FALSE),0)</f>
        <v>15540036.397699751</v>
      </c>
      <c r="AZ575" s="246">
        <f>IFERROR(VLOOKUP(J575,VOL_REC[],2,FALSE),0)</f>
        <v>1812240</v>
      </c>
      <c r="BA575" s="246">
        <f>IFERROR(VLOOKUP(K575,VOL_REC[],2,FALSE),0)</f>
        <v>740113.98115702497</v>
      </c>
      <c r="BB575" s="246">
        <f>IFERROR(VLOOKUP(L575,VOL_REC[],2,FALSE),0)</f>
        <v>0</v>
      </c>
      <c r="BC575" s="246">
        <f>IFERROR(VLOOKUP(M575,VOL_REC[],2,FALSE),0)</f>
        <v>0</v>
      </c>
      <c r="BD575" s="246">
        <f>IFERROR(VLOOKUP(N575,VOL_REC[],2,FALSE),0)</f>
        <v>0</v>
      </c>
      <c r="BE575" s="246">
        <f>IFERROR(VLOOKUP(O575,VOL_REC[],2,FALSE),0)</f>
        <v>0</v>
      </c>
      <c r="BF575" s="246">
        <f>IFERROR(VLOOKUP(P575,VOL_REC[],2,FALSE),0)</f>
        <v>0</v>
      </c>
      <c r="BG575" s="246">
        <f>IFERROR(VLOOKUP(Q575,VOL_REC[],2,FALSE),0)</f>
        <v>0</v>
      </c>
      <c r="BH575" s="1710">
        <f t="shared" si="32"/>
        <v>18744249168.040905</v>
      </c>
      <c r="BI575" s="1710">
        <f t="shared" si="33"/>
        <v>20622563022.75914</v>
      </c>
      <c r="BJ575" s="1711">
        <f t="shared" si="34"/>
        <v>33597607.310078248</v>
      </c>
      <c r="BK575" s="1711">
        <f t="shared" si="35"/>
        <v>0.90891947559353703</v>
      </c>
    </row>
    <row r="576" spans="3:67" x14ac:dyDescent="0.25">
      <c r="C576" s="246" t="s">
        <v>1926</v>
      </c>
      <c r="D576" s="246">
        <v>1</v>
      </c>
      <c r="E576" s="246">
        <v>2</v>
      </c>
      <c r="F576" s="246">
        <v>3</v>
      </c>
      <c r="G576" s="246">
        <v>4</v>
      </c>
      <c r="H576" s="246">
        <v>5</v>
      </c>
      <c r="I576" s="246">
        <v>6</v>
      </c>
      <c r="J576" s="246">
        <v>12</v>
      </c>
      <c r="K576" s="246">
        <v>13</v>
      </c>
      <c r="L576" s="246"/>
      <c r="M576" s="246"/>
      <c r="N576" s="246"/>
      <c r="O576" s="246"/>
      <c r="P576" s="246"/>
      <c r="Q576" s="246"/>
      <c r="R576" s="246">
        <f>IFERROR(VLOOKUP(D576,PROGRAMAS[],2,FALSE),0)</f>
        <v>97037803.679377079</v>
      </c>
      <c r="S576" s="246">
        <f>IFERROR(VLOOKUP(E576,PROGRAMAS[],2,FALSE),0)</f>
        <v>640501509.6821388</v>
      </c>
      <c r="T576" s="246">
        <f>IFERROR(VLOOKUP(F576,PROGRAMAS[],2,FALSE),0)</f>
        <v>3062327798.1525245</v>
      </c>
      <c r="U576" s="246">
        <f>IFERROR(VLOOKUP(G576,PROGRAMAS[],2,FALSE),0)</f>
        <v>67697118.033011258</v>
      </c>
      <c r="V576" s="246">
        <f>IFERROR(VLOOKUP(H576,PROGRAMAS[],2,FALSE),0)</f>
        <v>1440941976.2528784</v>
      </c>
      <c r="W576" s="246">
        <f>IFERROR(VLOOKUP(I576,PROGRAMAS[],2,FALSE),0)</f>
        <v>6907648435.8447599</v>
      </c>
      <c r="X576" s="246">
        <f>IFERROR(VLOOKUP(J576,PROGRAMAS[],2,FALSE),0)</f>
        <v>764796700.79905891</v>
      </c>
      <c r="Y576" s="246">
        <f>IFERROR(VLOOKUP(K576,PROGRAMAS[],2,FALSE),0)</f>
        <v>3776538594.4604583</v>
      </c>
      <c r="Z576" s="246">
        <f>IFERROR(VLOOKUP(L576,PROGRAMAS[],2,FALSE),0)</f>
        <v>0</v>
      </c>
      <c r="AA576" s="246">
        <f>IFERROR(VLOOKUP(M576,PROGRAMAS[],2,FALSE),0)</f>
        <v>0</v>
      </c>
      <c r="AB576" s="246">
        <f>IFERROR(VLOOKUP(N576,PROGRAMAS[],2,FALSE),0)</f>
        <v>0</v>
      </c>
      <c r="AC576" s="246">
        <f>IFERROR(VLOOKUP(O576,PROGRAMAS[],2,FALSE),0)</f>
        <v>0</v>
      </c>
      <c r="AD576" s="246">
        <f>IFERROR(VLOOKUP(P576,PROGRAMAS[],2,FALSE),0)</f>
        <v>0</v>
      </c>
      <c r="AE576" s="246">
        <f>IFERROR(VLOOKUP(Q576,PROGRAMAS[],2,FALSE),0)</f>
        <v>0</v>
      </c>
      <c r="AF576" s="246">
        <f>IFERROR(VLOOKUP(D576,PROGRAMAS[],3,FALSE),0)</f>
        <v>841888629.31080008</v>
      </c>
      <c r="AG576" s="246">
        <f>IFERROR(VLOOKUP(E576,PROGRAMAS[],3,FALSE),0)</f>
        <v>3848980803.1642323</v>
      </c>
      <c r="AH576" s="246">
        <f>IFERROR(VLOOKUP(F576,PROGRAMAS[],3,FALSE),0)</f>
        <v>3394901471.387517</v>
      </c>
      <c r="AI576" s="246">
        <f>IFERROR(VLOOKUP(G576,PROGRAMAS[],3,FALSE),0)</f>
        <v>125317226.95549992</v>
      </c>
      <c r="AJ576" s="246">
        <f>IFERROR(VLOOKUP(H576,PROGRAMAS[],3,FALSE),0)</f>
        <v>1233505101.0616004</v>
      </c>
      <c r="AK576" s="246">
        <f>IFERROR(VLOOKUP(I576,PROGRAMAS[],3,FALSE),0)</f>
        <v>6129902208.7912121</v>
      </c>
      <c r="AL576" s="246">
        <f>IFERROR(VLOOKUP(J576,PROGRAMAS[],3,FALSE),0)</f>
        <v>675517840.109828</v>
      </c>
      <c r="AM576" s="246">
        <f>IFERROR(VLOOKUP(K576,PROGRAMAS[],3,FALSE),0)</f>
        <v>2392571243.5584412</v>
      </c>
      <c r="AN576" s="246">
        <f>IFERROR(VLOOKUP(L576,PROGRAMAS[],3,FALSE),0)</f>
        <v>0</v>
      </c>
      <c r="AO576" s="246">
        <f>IFERROR(VLOOKUP(M576,PROGRAMAS[],3,FALSE),0)</f>
        <v>0</v>
      </c>
      <c r="AP576" s="246">
        <f>IFERROR(VLOOKUP(N576,PROGRAMAS[],3,FALSE),0)</f>
        <v>0</v>
      </c>
      <c r="AQ576" s="246">
        <f>IFERROR(VLOOKUP(O576,PROGRAMAS[],3,FALSE),0)</f>
        <v>0</v>
      </c>
      <c r="AR576" s="246">
        <f>IFERROR(VLOOKUP(P576,PROGRAMAS[],3,FALSE),0)</f>
        <v>0</v>
      </c>
      <c r="AS576" s="246">
        <f>IFERROR(VLOOKUP(Q576,PROGRAMAS[],3,FALSE),0)</f>
        <v>0</v>
      </c>
      <c r="AT576" s="246">
        <f>IFERROR(VLOOKUP(D576,VOL_REC[],2,FALSE),0)</f>
        <v>0</v>
      </c>
      <c r="AU576" s="246">
        <f>IFERROR(VLOOKUP(E576,VOL_REC[],2,FALSE),0)</f>
        <v>0</v>
      </c>
      <c r="AV576" s="246">
        <f>IFERROR(VLOOKUP(F576,VOL_REC[],2,FALSE),0)</f>
        <v>11089674.200000001</v>
      </c>
      <c r="AW576" s="246">
        <f>IFERROR(VLOOKUP(G576,VOL_REC[],2,FALSE),0)</f>
        <v>90439.55</v>
      </c>
      <c r="AX576" s="246">
        <f>IFERROR(VLOOKUP(H576,VOL_REC[],2,FALSE),0)</f>
        <v>4325103.1812214684</v>
      </c>
      <c r="AY576" s="246">
        <f>IFERROR(VLOOKUP(I576,VOL_REC[],2,FALSE),0)</f>
        <v>15540036.397699751</v>
      </c>
      <c r="AZ576" s="246">
        <f>IFERROR(VLOOKUP(J576,VOL_REC[],2,FALSE),0)</f>
        <v>240696.79238099116</v>
      </c>
      <c r="BA576" s="246">
        <f>IFERROR(VLOOKUP(K576,VOL_REC[],2,FALSE),0)</f>
        <v>663244.80000000016</v>
      </c>
      <c r="BB576" s="246">
        <f>IFERROR(VLOOKUP(L576,VOL_REC[],2,FALSE),0)</f>
        <v>0</v>
      </c>
      <c r="BC576" s="246">
        <f>IFERROR(VLOOKUP(M576,VOL_REC[],2,FALSE),0)</f>
        <v>0</v>
      </c>
      <c r="BD576" s="246">
        <f>IFERROR(VLOOKUP(N576,VOL_REC[],2,FALSE),0)</f>
        <v>0</v>
      </c>
      <c r="BE576" s="246">
        <f>IFERROR(VLOOKUP(O576,VOL_REC[],2,FALSE),0)</f>
        <v>0</v>
      </c>
      <c r="BF576" s="246">
        <f>IFERROR(VLOOKUP(P576,VOL_REC[],2,FALSE),0)</f>
        <v>0</v>
      </c>
      <c r="BG576" s="246">
        <f>IFERROR(VLOOKUP(Q576,VOL_REC[],2,FALSE),0)</f>
        <v>0</v>
      </c>
      <c r="BH576" s="1710">
        <f t="shared" si="32"/>
        <v>16757489936.904209</v>
      </c>
      <c r="BI576" s="1710">
        <f t="shared" si="33"/>
        <v>18642584524.33913</v>
      </c>
      <c r="BJ576" s="1711">
        <f t="shared" si="34"/>
        <v>31949194.921302214</v>
      </c>
      <c r="BK576" s="1711">
        <f t="shared" si="35"/>
        <v>0.8988823365679901</v>
      </c>
    </row>
    <row r="577" spans="3:67" x14ac:dyDescent="0.25">
      <c r="C577" s="246" t="s">
        <v>1927</v>
      </c>
      <c r="D577" s="246">
        <v>1</v>
      </c>
      <c r="E577" s="246">
        <v>2</v>
      </c>
      <c r="F577" s="246">
        <v>3</v>
      </c>
      <c r="G577" s="246">
        <v>4</v>
      </c>
      <c r="H577" s="246">
        <v>5</v>
      </c>
      <c r="I577" s="246">
        <v>6</v>
      </c>
      <c r="J577" s="246">
        <v>12</v>
      </c>
      <c r="K577" s="246">
        <v>14</v>
      </c>
      <c r="L577" s="246"/>
      <c r="M577" s="246"/>
      <c r="N577" s="246"/>
      <c r="O577" s="246"/>
      <c r="P577" s="246"/>
      <c r="Q577" s="246"/>
      <c r="R577" s="246">
        <f>IFERROR(VLOOKUP(D577,PROGRAMAS[],2,FALSE),0)</f>
        <v>97037803.679377079</v>
      </c>
      <c r="S577" s="246">
        <f>IFERROR(VLOOKUP(E577,PROGRAMAS[],2,FALSE),0)</f>
        <v>640501509.6821388</v>
      </c>
      <c r="T577" s="246">
        <f>IFERROR(VLOOKUP(F577,PROGRAMAS[],2,FALSE),0)</f>
        <v>3062327798.1525245</v>
      </c>
      <c r="U577" s="246">
        <f>IFERROR(VLOOKUP(G577,PROGRAMAS[],2,FALSE),0)</f>
        <v>67697118.033011258</v>
      </c>
      <c r="V577" s="246">
        <f>IFERROR(VLOOKUP(H577,PROGRAMAS[],2,FALSE),0)</f>
        <v>1440941976.2528784</v>
      </c>
      <c r="W577" s="246">
        <f>IFERROR(VLOOKUP(I577,PROGRAMAS[],2,FALSE),0)</f>
        <v>6907648435.8447599</v>
      </c>
      <c r="X577" s="246">
        <f>IFERROR(VLOOKUP(J577,PROGRAMAS[],2,FALSE),0)</f>
        <v>764796700.79905891</v>
      </c>
      <c r="Y577" s="246">
        <f>IFERROR(VLOOKUP(K577,PROGRAMAS[],2,FALSE),0)</f>
        <v>54223862.645839565</v>
      </c>
      <c r="Z577" s="246">
        <f>IFERROR(VLOOKUP(L577,PROGRAMAS[],2,FALSE),0)</f>
        <v>0</v>
      </c>
      <c r="AA577" s="246">
        <f>IFERROR(VLOOKUP(M577,PROGRAMAS[],2,FALSE),0)</f>
        <v>0</v>
      </c>
      <c r="AB577" s="246">
        <f>IFERROR(VLOOKUP(N577,PROGRAMAS[],2,FALSE),0)</f>
        <v>0</v>
      </c>
      <c r="AC577" s="246">
        <f>IFERROR(VLOOKUP(O577,PROGRAMAS[],2,FALSE),0)</f>
        <v>0</v>
      </c>
      <c r="AD577" s="246">
        <f>IFERROR(VLOOKUP(P577,PROGRAMAS[],2,FALSE),0)</f>
        <v>0</v>
      </c>
      <c r="AE577" s="246">
        <f>IFERROR(VLOOKUP(Q577,PROGRAMAS[],2,FALSE),0)</f>
        <v>0</v>
      </c>
      <c r="AF577" s="246">
        <f>IFERROR(VLOOKUP(D577,PROGRAMAS[],3,FALSE),0)</f>
        <v>841888629.31080008</v>
      </c>
      <c r="AG577" s="246">
        <f>IFERROR(VLOOKUP(E577,PROGRAMAS[],3,FALSE),0)</f>
        <v>3848980803.1642323</v>
      </c>
      <c r="AH577" s="246">
        <f>IFERROR(VLOOKUP(F577,PROGRAMAS[],3,FALSE),0)</f>
        <v>3394901471.387517</v>
      </c>
      <c r="AI577" s="246">
        <f>IFERROR(VLOOKUP(G577,PROGRAMAS[],3,FALSE),0)</f>
        <v>125317226.95549992</v>
      </c>
      <c r="AJ577" s="246">
        <f>IFERROR(VLOOKUP(H577,PROGRAMAS[],3,FALSE),0)</f>
        <v>1233505101.0616004</v>
      </c>
      <c r="AK577" s="246">
        <f>IFERROR(VLOOKUP(I577,PROGRAMAS[],3,FALSE),0)</f>
        <v>6129902208.7912121</v>
      </c>
      <c r="AL577" s="246">
        <f>IFERROR(VLOOKUP(J577,PROGRAMAS[],3,FALSE),0)</f>
        <v>675517840.109828</v>
      </c>
      <c r="AM577" s="246">
        <f>IFERROR(VLOOKUP(K577,PROGRAMAS[],3,FALSE),0)</f>
        <v>31865326.38096505</v>
      </c>
      <c r="AN577" s="246">
        <f>IFERROR(VLOOKUP(L577,PROGRAMAS[],3,FALSE),0)</f>
        <v>0</v>
      </c>
      <c r="AO577" s="246">
        <f>IFERROR(VLOOKUP(M577,PROGRAMAS[],3,FALSE),0)</f>
        <v>0</v>
      </c>
      <c r="AP577" s="246">
        <f>IFERROR(VLOOKUP(N577,PROGRAMAS[],3,FALSE),0)</f>
        <v>0</v>
      </c>
      <c r="AQ577" s="246">
        <f>IFERROR(VLOOKUP(O577,PROGRAMAS[],3,FALSE),0)</f>
        <v>0</v>
      </c>
      <c r="AR577" s="246">
        <f>IFERROR(VLOOKUP(P577,PROGRAMAS[],3,FALSE),0)</f>
        <v>0</v>
      </c>
      <c r="AS577" s="246">
        <f>IFERROR(VLOOKUP(Q577,PROGRAMAS[],3,FALSE),0)</f>
        <v>0</v>
      </c>
      <c r="AT577" s="246">
        <f>IFERROR(VLOOKUP(D577,VOL_REC[],2,FALSE),0)</f>
        <v>0</v>
      </c>
      <c r="AU577" s="246">
        <f>IFERROR(VLOOKUP(E577,VOL_REC[],2,FALSE),0)</f>
        <v>0</v>
      </c>
      <c r="AV577" s="246">
        <f>IFERROR(VLOOKUP(F577,VOL_REC[],2,FALSE),0)</f>
        <v>11089674.200000001</v>
      </c>
      <c r="AW577" s="246">
        <f>IFERROR(VLOOKUP(G577,VOL_REC[],2,FALSE),0)</f>
        <v>90439.55</v>
      </c>
      <c r="AX577" s="246">
        <f>IFERROR(VLOOKUP(H577,VOL_REC[],2,FALSE),0)</f>
        <v>4325103.1812214684</v>
      </c>
      <c r="AY577" s="246">
        <f>IFERROR(VLOOKUP(I577,VOL_REC[],2,FALSE),0)</f>
        <v>15540036.397699751</v>
      </c>
      <c r="AZ577" s="246">
        <f>IFERROR(VLOOKUP(J577,VOL_REC[],2,FALSE),0)</f>
        <v>240696.79238099116</v>
      </c>
      <c r="BA577" s="246">
        <f>IFERROR(VLOOKUP(K577,VOL_REC[],2,FALSE),0)</f>
        <v>17074.045034105649</v>
      </c>
      <c r="BB577" s="246">
        <f>IFERROR(VLOOKUP(L577,VOL_REC[],2,FALSE),0)</f>
        <v>0</v>
      </c>
      <c r="BC577" s="246">
        <f>IFERROR(VLOOKUP(M577,VOL_REC[],2,FALSE),0)</f>
        <v>0</v>
      </c>
      <c r="BD577" s="246">
        <f>IFERROR(VLOOKUP(N577,VOL_REC[],2,FALSE),0)</f>
        <v>0</v>
      </c>
      <c r="BE577" s="246">
        <f>IFERROR(VLOOKUP(O577,VOL_REC[],2,FALSE),0)</f>
        <v>0</v>
      </c>
      <c r="BF577" s="246">
        <f>IFERROR(VLOOKUP(P577,VOL_REC[],2,FALSE),0)</f>
        <v>0</v>
      </c>
      <c r="BG577" s="246">
        <f>IFERROR(VLOOKUP(Q577,VOL_REC[],2,FALSE),0)</f>
        <v>0</v>
      </c>
      <c r="BH577" s="1710">
        <f t="shared" si="32"/>
        <v>13035175205.08959</v>
      </c>
      <c r="BI577" s="1710">
        <f t="shared" si="33"/>
        <v>16281878607.161654</v>
      </c>
      <c r="BJ577" s="1711">
        <f t="shared" si="34"/>
        <v>31303024.16633632</v>
      </c>
      <c r="BK577" s="1711">
        <f t="shared" si="35"/>
        <v>0.80059405426079111</v>
      </c>
    </row>
    <row r="578" spans="3:67" x14ac:dyDescent="0.25">
      <c r="C578" s="246" t="s">
        <v>1928</v>
      </c>
      <c r="D578" s="246">
        <v>1</v>
      </c>
      <c r="E578" s="246">
        <v>2</v>
      </c>
      <c r="F578" s="246">
        <v>3</v>
      </c>
      <c r="G578" s="246">
        <v>4</v>
      </c>
      <c r="H578" s="246">
        <v>5</v>
      </c>
      <c r="I578" s="246">
        <v>6</v>
      </c>
      <c r="J578" s="246">
        <v>12</v>
      </c>
      <c r="K578" s="246">
        <v>15</v>
      </c>
      <c r="L578" s="246"/>
      <c r="M578" s="246"/>
      <c r="N578" s="246"/>
      <c r="O578" s="246"/>
      <c r="P578" s="246"/>
      <c r="Q578" s="246"/>
      <c r="R578" s="246">
        <f>IFERROR(VLOOKUP(D578,PROGRAMAS[],2,FALSE),0)</f>
        <v>97037803.679377079</v>
      </c>
      <c r="S578" s="246">
        <f>IFERROR(VLOOKUP(E578,PROGRAMAS[],2,FALSE),0)</f>
        <v>640501509.6821388</v>
      </c>
      <c r="T578" s="246">
        <f>IFERROR(VLOOKUP(F578,PROGRAMAS[],2,FALSE),0)</f>
        <v>3062327798.1525245</v>
      </c>
      <c r="U578" s="246">
        <f>IFERROR(VLOOKUP(G578,PROGRAMAS[],2,FALSE),0)</f>
        <v>67697118.033011258</v>
      </c>
      <c r="V578" s="246">
        <f>IFERROR(VLOOKUP(H578,PROGRAMAS[],2,FALSE),0)</f>
        <v>1440941976.2528784</v>
      </c>
      <c r="W578" s="246">
        <f>IFERROR(VLOOKUP(I578,PROGRAMAS[],2,FALSE),0)</f>
        <v>6907648435.8447599</v>
      </c>
      <c r="X578" s="246">
        <f>IFERROR(VLOOKUP(J578,PROGRAMAS[],2,FALSE),0)</f>
        <v>764796700.79905891</v>
      </c>
      <c r="Y578" s="246">
        <f>IFERROR(VLOOKUP(K578,PROGRAMAS[],2,FALSE),0)</f>
        <v>122159672.96346797</v>
      </c>
      <c r="Z578" s="246">
        <f>IFERROR(VLOOKUP(L578,PROGRAMAS[],2,FALSE),0)</f>
        <v>0</v>
      </c>
      <c r="AA578" s="246">
        <f>IFERROR(VLOOKUP(M578,PROGRAMAS[],2,FALSE),0)</f>
        <v>0</v>
      </c>
      <c r="AB578" s="246">
        <f>IFERROR(VLOOKUP(N578,PROGRAMAS[],2,FALSE),0)</f>
        <v>0</v>
      </c>
      <c r="AC578" s="246">
        <f>IFERROR(VLOOKUP(O578,PROGRAMAS[],2,FALSE),0)</f>
        <v>0</v>
      </c>
      <c r="AD578" s="246">
        <f>IFERROR(VLOOKUP(P578,PROGRAMAS[],2,FALSE),0)</f>
        <v>0</v>
      </c>
      <c r="AE578" s="246">
        <f>IFERROR(VLOOKUP(Q578,PROGRAMAS[],2,FALSE),0)</f>
        <v>0</v>
      </c>
      <c r="AF578" s="246">
        <f>IFERROR(VLOOKUP(D578,PROGRAMAS[],3,FALSE),0)</f>
        <v>841888629.31080008</v>
      </c>
      <c r="AG578" s="246">
        <f>IFERROR(VLOOKUP(E578,PROGRAMAS[],3,FALSE),0)</f>
        <v>3848980803.1642323</v>
      </c>
      <c r="AH578" s="246">
        <f>IFERROR(VLOOKUP(F578,PROGRAMAS[],3,FALSE),0)</f>
        <v>3394901471.387517</v>
      </c>
      <c r="AI578" s="246">
        <f>IFERROR(VLOOKUP(G578,PROGRAMAS[],3,FALSE),0)</f>
        <v>125317226.95549992</v>
      </c>
      <c r="AJ578" s="246">
        <f>IFERROR(VLOOKUP(H578,PROGRAMAS[],3,FALSE),0)</f>
        <v>1233505101.0616004</v>
      </c>
      <c r="AK578" s="246">
        <f>IFERROR(VLOOKUP(I578,PROGRAMAS[],3,FALSE),0)</f>
        <v>6129902208.7912121</v>
      </c>
      <c r="AL578" s="246">
        <f>IFERROR(VLOOKUP(J578,PROGRAMAS[],3,FALSE),0)</f>
        <v>675517840.109828</v>
      </c>
      <c r="AM578" s="246">
        <f>IFERROR(VLOOKUP(K578,PROGRAMAS[],3,FALSE),0)</f>
        <v>118617452.52510804</v>
      </c>
      <c r="AN578" s="246">
        <f>IFERROR(VLOOKUP(L578,PROGRAMAS[],3,FALSE),0)</f>
        <v>0</v>
      </c>
      <c r="AO578" s="246">
        <f>IFERROR(VLOOKUP(M578,PROGRAMAS[],3,FALSE),0)</f>
        <v>0</v>
      </c>
      <c r="AP578" s="246">
        <f>IFERROR(VLOOKUP(N578,PROGRAMAS[],3,FALSE),0)</f>
        <v>0</v>
      </c>
      <c r="AQ578" s="246">
        <f>IFERROR(VLOOKUP(O578,PROGRAMAS[],3,FALSE),0)</f>
        <v>0</v>
      </c>
      <c r="AR578" s="246">
        <f>IFERROR(VLOOKUP(P578,PROGRAMAS[],3,FALSE),0)</f>
        <v>0</v>
      </c>
      <c r="AS578" s="246">
        <f>IFERROR(VLOOKUP(Q578,PROGRAMAS[],3,FALSE),0)</f>
        <v>0</v>
      </c>
      <c r="AT578" s="246">
        <f>IFERROR(VLOOKUP(D578,VOL_REC[],2,FALSE),0)</f>
        <v>0</v>
      </c>
      <c r="AU578" s="246">
        <f>IFERROR(VLOOKUP(E578,VOL_REC[],2,FALSE),0)</f>
        <v>0</v>
      </c>
      <c r="AV578" s="246">
        <f>IFERROR(VLOOKUP(F578,VOL_REC[],2,FALSE),0)</f>
        <v>11089674.200000001</v>
      </c>
      <c r="AW578" s="246">
        <f>IFERROR(VLOOKUP(G578,VOL_REC[],2,FALSE),0)</f>
        <v>90439.55</v>
      </c>
      <c r="AX578" s="246">
        <f>IFERROR(VLOOKUP(H578,VOL_REC[],2,FALSE),0)</f>
        <v>4325103.1812214684</v>
      </c>
      <c r="AY578" s="246">
        <f>IFERROR(VLOOKUP(I578,VOL_REC[],2,FALSE),0)</f>
        <v>15540036.397699751</v>
      </c>
      <c r="AZ578" s="246">
        <f>IFERROR(VLOOKUP(J578,VOL_REC[],2,FALSE),0)</f>
        <v>240696.79238099116</v>
      </c>
      <c r="BA578" s="246">
        <f>IFERROR(VLOOKUP(K578,VOL_REC[],2,FALSE),0)</f>
        <v>105072</v>
      </c>
      <c r="BB578" s="246">
        <f>IFERROR(VLOOKUP(L578,VOL_REC[],2,FALSE),0)</f>
        <v>0</v>
      </c>
      <c r="BC578" s="246">
        <f>IFERROR(VLOOKUP(M578,VOL_REC[],2,FALSE),0)</f>
        <v>0</v>
      </c>
      <c r="BD578" s="246">
        <f>IFERROR(VLOOKUP(N578,VOL_REC[],2,FALSE),0)</f>
        <v>0</v>
      </c>
      <c r="BE578" s="246">
        <f>IFERROR(VLOOKUP(O578,VOL_REC[],2,FALSE),0)</f>
        <v>0</v>
      </c>
      <c r="BF578" s="246">
        <f>IFERROR(VLOOKUP(P578,VOL_REC[],2,FALSE),0)</f>
        <v>0</v>
      </c>
      <c r="BG578" s="246">
        <f>IFERROR(VLOOKUP(Q578,VOL_REC[],2,FALSE),0)</f>
        <v>0</v>
      </c>
      <c r="BH578" s="1710">
        <f t="shared" ref="BH578:BH641" si="36">SUM(R578:AE578)</f>
        <v>13103111015.407219</v>
      </c>
      <c r="BI578" s="1710">
        <f t="shared" ref="BI578:BI641" si="37">SUM(AF578:AS578)</f>
        <v>16368630733.305798</v>
      </c>
      <c r="BJ578" s="1711">
        <f t="shared" ref="BJ578:BJ641" si="38">SUM(AT578:BG578)</f>
        <v>31391022.121302214</v>
      </c>
      <c r="BK578" s="1711">
        <f t="shared" ref="BK578:BK641" si="39">IFERROR(BH578/BI578,0)</f>
        <v>0.80050135096186648</v>
      </c>
    </row>
    <row r="579" spans="3:67" x14ac:dyDescent="0.25">
      <c r="C579" s="246" t="s">
        <v>1929</v>
      </c>
      <c r="D579" s="246">
        <v>1</v>
      </c>
      <c r="E579" s="246">
        <v>2</v>
      </c>
      <c r="F579" s="246">
        <v>3</v>
      </c>
      <c r="G579" s="246">
        <v>4</v>
      </c>
      <c r="H579" s="246">
        <v>5</v>
      </c>
      <c r="I579" s="246">
        <v>6</v>
      </c>
      <c r="J579" s="246">
        <v>12</v>
      </c>
      <c r="K579" s="246">
        <v>16</v>
      </c>
      <c r="L579" s="246"/>
      <c r="M579" s="246"/>
      <c r="N579" s="246"/>
      <c r="O579" s="246"/>
      <c r="P579" s="246"/>
      <c r="Q579" s="246"/>
      <c r="R579" s="246">
        <f>IFERROR(VLOOKUP(D579,PROGRAMAS[],2,FALSE),0)</f>
        <v>97037803.679377079</v>
      </c>
      <c r="S579" s="246">
        <f>IFERROR(VLOOKUP(E579,PROGRAMAS[],2,FALSE),0)</f>
        <v>640501509.6821388</v>
      </c>
      <c r="T579" s="246">
        <f>IFERROR(VLOOKUP(F579,PROGRAMAS[],2,FALSE),0)</f>
        <v>3062327798.1525245</v>
      </c>
      <c r="U579" s="246">
        <f>IFERROR(VLOOKUP(G579,PROGRAMAS[],2,FALSE),0)</f>
        <v>67697118.033011258</v>
      </c>
      <c r="V579" s="246">
        <f>IFERROR(VLOOKUP(H579,PROGRAMAS[],2,FALSE),0)</f>
        <v>1440941976.2528784</v>
      </c>
      <c r="W579" s="246">
        <f>IFERROR(VLOOKUP(I579,PROGRAMAS[],2,FALSE),0)</f>
        <v>6907648435.8447599</v>
      </c>
      <c r="X579" s="246">
        <f>IFERROR(VLOOKUP(J579,PROGRAMAS[],2,FALSE),0)</f>
        <v>764796700.79905891</v>
      </c>
      <c r="Y579" s="246">
        <f>IFERROR(VLOOKUP(K579,PROGRAMAS[],2,FALSE),0)</f>
        <v>7068496961.0436354</v>
      </c>
      <c r="Z579" s="246">
        <f>IFERROR(VLOOKUP(L579,PROGRAMAS[],2,FALSE),0)</f>
        <v>0</v>
      </c>
      <c r="AA579" s="246">
        <f>IFERROR(VLOOKUP(M579,PROGRAMAS[],2,FALSE),0)</f>
        <v>0</v>
      </c>
      <c r="AB579" s="246">
        <f>IFERROR(VLOOKUP(N579,PROGRAMAS[],2,FALSE),0)</f>
        <v>0</v>
      </c>
      <c r="AC579" s="246">
        <f>IFERROR(VLOOKUP(O579,PROGRAMAS[],2,FALSE),0)</f>
        <v>0</v>
      </c>
      <c r="AD579" s="246">
        <f>IFERROR(VLOOKUP(P579,PROGRAMAS[],2,FALSE),0)</f>
        <v>0</v>
      </c>
      <c r="AE579" s="246">
        <f>IFERROR(VLOOKUP(Q579,PROGRAMAS[],2,FALSE),0)</f>
        <v>0</v>
      </c>
      <c r="AF579" s="246">
        <f>IFERROR(VLOOKUP(D579,PROGRAMAS[],3,FALSE),0)</f>
        <v>841888629.31080008</v>
      </c>
      <c r="AG579" s="246">
        <f>IFERROR(VLOOKUP(E579,PROGRAMAS[],3,FALSE),0)</f>
        <v>3848980803.1642323</v>
      </c>
      <c r="AH579" s="246">
        <f>IFERROR(VLOOKUP(F579,PROGRAMAS[],3,FALSE),0)</f>
        <v>3394901471.387517</v>
      </c>
      <c r="AI579" s="246">
        <f>IFERROR(VLOOKUP(G579,PROGRAMAS[],3,FALSE),0)</f>
        <v>125317226.95549992</v>
      </c>
      <c r="AJ579" s="246">
        <f>IFERROR(VLOOKUP(H579,PROGRAMAS[],3,FALSE),0)</f>
        <v>1233505101.0616004</v>
      </c>
      <c r="AK579" s="246">
        <f>IFERROR(VLOOKUP(I579,PROGRAMAS[],3,FALSE),0)</f>
        <v>6129902208.7912121</v>
      </c>
      <c r="AL579" s="246">
        <f>IFERROR(VLOOKUP(J579,PROGRAMAS[],3,FALSE),0)</f>
        <v>675517840.109828</v>
      </c>
      <c r="AM579" s="246">
        <f>IFERROR(VLOOKUP(K579,PROGRAMAS[],3,FALSE),0)</f>
        <v>2406564599.0319901</v>
      </c>
      <c r="AN579" s="246">
        <f>IFERROR(VLOOKUP(L579,PROGRAMAS[],3,FALSE),0)</f>
        <v>0</v>
      </c>
      <c r="AO579" s="246">
        <f>IFERROR(VLOOKUP(M579,PROGRAMAS[],3,FALSE),0)</f>
        <v>0</v>
      </c>
      <c r="AP579" s="246">
        <f>IFERROR(VLOOKUP(N579,PROGRAMAS[],3,FALSE),0)</f>
        <v>0</v>
      </c>
      <c r="AQ579" s="246">
        <f>IFERROR(VLOOKUP(O579,PROGRAMAS[],3,FALSE),0)</f>
        <v>0</v>
      </c>
      <c r="AR579" s="246">
        <f>IFERROR(VLOOKUP(P579,PROGRAMAS[],3,FALSE),0)</f>
        <v>0</v>
      </c>
      <c r="AS579" s="246">
        <f>IFERROR(VLOOKUP(Q579,PROGRAMAS[],3,FALSE),0)</f>
        <v>0</v>
      </c>
      <c r="AT579" s="246">
        <f>IFERROR(VLOOKUP(D579,VOL_REC[],2,FALSE),0)</f>
        <v>0</v>
      </c>
      <c r="AU579" s="246">
        <f>IFERROR(VLOOKUP(E579,VOL_REC[],2,FALSE),0)</f>
        <v>0</v>
      </c>
      <c r="AV579" s="246">
        <f>IFERROR(VLOOKUP(F579,VOL_REC[],2,FALSE),0)</f>
        <v>11089674.200000001</v>
      </c>
      <c r="AW579" s="246">
        <f>IFERROR(VLOOKUP(G579,VOL_REC[],2,FALSE),0)</f>
        <v>90439.55</v>
      </c>
      <c r="AX579" s="246">
        <f>IFERROR(VLOOKUP(H579,VOL_REC[],2,FALSE),0)</f>
        <v>4325103.1812214684</v>
      </c>
      <c r="AY579" s="246">
        <f>IFERROR(VLOOKUP(I579,VOL_REC[],2,FALSE),0)</f>
        <v>15540036.397699751</v>
      </c>
      <c r="AZ579" s="246">
        <f>IFERROR(VLOOKUP(J579,VOL_REC[],2,FALSE),0)</f>
        <v>240696.79238099116</v>
      </c>
      <c r="BA579" s="246">
        <f>IFERROR(VLOOKUP(K579,VOL_REC[],2,FALSE),0)</f>
        <v>1072354.9981737854</v>
      </c>
      <c r="BB579" s="246">
        <f>IFERROR(VLOOKUP(L579,VOL_REC[],2,FALSE),0)</f>
        <v>0</v>
      </c>
      <c r="BC579" s="246">
        <f>IFERROR(VLOOKUP(M579,VOL_REC[],2,FALSE),0)</f>
        <v>0</v>
      </c>
      <c r="BD579" s="246">
        <f>IFERROR(VLOOKUP(N579,VOL_REC[],2,FALSE),0)</f>
        <v>0</v>
      </c>
      <c r="BE579" s="246">
        <f>IFERROR(VLOOKUP(O579,VOL_REC[],2,FALSE),0)</f>
        <v>0</v>
      </c>
      <c r="BF579" s="246">
        <f>IFERROR(VLOOKUP(P579,VOL_REC[],2,FALSE),0)</f>
        <v>0</v>
      </c>
      <c r="BG579" s="246">
        <f>IFERROR(VLOOKUP(Q579,VOL_REC[],2,FALSE),0)</f>
        <v>0</v>
      </c>
      <c r="BH579" s="1710">
        <f t="shared" si="36"/>
        <v>20049448303.487385</v>
      </c>
      <c r="BI579" s="1710">
        <f t="shared" si="37"/>
        <v>18656577879.812679</v>
      </c>
      <c r="BJ579" s="1711">
        <f t="shared" si="38"/>
        <v>32358305.119475998</v>
      </c>
      <c r="BK579" s="1711">
        <f t="shared" si="39"/>
        <v>1.0746584090955855</v>
      </c>
      <c r="BL579">
        <f>BJ579</f>
        <v>32358305.119475998</v>
      </c>
      <c r="BO579">
        <f>BL579</f>
        <v>32358305.119475998</v>
      </c>
    </row>
    <row r="580" spans="3:67" x14ac:dyDescent="0.25">
      <c r="C580" s="246" t="s">
        <v>1930</v>
      </c>
      <c r="D580" s="246">
        <v>1</v>
      </c>
      <c r="E580" s="246">
        <v>2</v>
      </c>
      <c r="F580" s="246">
        <v>3</v>
      </c>
      <c r="G580" s="246">
        <v>4</v>
      </c>
      <c r="H580" s="246">
        <v>5</v>
      </c>
      <c r="I580" s="246">
        <v>6</v>
      </c>
      <c r="J580" s="246">
        <v>12</v>
      </c>
      <c r="K580" s="246">
        <v>17</v>
      </c>
      <c r="L580" s="246"/>
      <c r="M580" s="246"/>
      <c r="N580" s="246"/>
      <c r="O580" s="246"/>
      <c r="P580" s="246"/>
      <c r="Q580" s="246"/>
      <c r="R580" s="246">
        <f>IFERROR(VLOOKUP(D580,PROGRAMAS[],2,FALSE),0)</f>
        <v>97037803.679377079</v>
      </c>
      <c r="S580" s="246">
        <f>IFERROR(VLOOKUP(E580,PROGRAMAS[],2,FALSE),0)</f>
        <v>640501509.6821388</v>
      </c>
      <c r="T580" s="246">
        <f>IFERROR(VLOOKUP(F580,PROGRAMAS[],2,FALSE),0)</f>
        <v>3062327798.1525245</v>
      </c>
      <c r="U580" s="246">
        <f>IFERROR(VLOOKUP(G580,PROGRAMAS[],2,FALSE),0)</f>
        <v>67697118.033011258</v>
      </c>
      <c r="V580" s="246">
        <f>IFERROR(VLOOKUP(H580,PROGRAMAS[],2,FALSE),0)</f>
        <v>1440941976.2528784</v>
      </c>
      <c r="W580" s="246">
        <f>IFERROR(VLOOKUP(I580,PROGRAMAS[],2,FALSE),0)</f>
        <v>6907648435.8447599</v>
      </c>
      <c r="X580" s="246">
        <f>IFERROR(VLOOKUP(J580,PROGRAMAS[],2,FALSE),0)</f>
        <v>764796700.79905891</v>
      </c>
      <c r="Y580" s="246">
        <f>IFERROR(VLOOKUP(K580,PROGRAMAS[],2,FALSE),0)</f>
        <v>1892779498.5211046</v>
      </c>
      <c r="Z580" s="246">
        <f>IFERROR(VLOOKUP(L580,PROGRAMAS[],2,FALSE),0)</f>
        <v>0</v>
      </c>
      <c r="AA580" s="246">
        <f>IFERROR(VLOOKUP(M580,PROGRAMAS[],2,FALSE),0)</f>
        <v>0</v>
      </c>
      <c r="AB580" s="246">
        <f>IFERROR(VLOOKUP(N580,PROGRAMAS[],2,FALSE),0)</f>
        <v>0</v>
      </c>
      <c r="AC580" s="246">
        <f>IFERROR(VLOOKUP(O580,PROGRAMAS[],2,FALSE),0)</f>
        <v>0</v>
      </c>
      <c r="AD580" s="246">
        <f>IFERROR(VLOOKUP(P580,PROGRAMAS[],2,FALSE),0)</f>
        <v>0</v>
      </c>
      <c r="AE580" s="246">
        <f>IFERROR(VLOOKUP(Q580,PROGRAMAS[],2,FALSE),0)</f>
        <v>0</v>
      </c>
      <c r="AF580" s="246">
        <f>IFERROR(VLOOKUP(D580,PROGRAMAS[],3,FALSE),0)</f>
        <v>841888629.31080008</v>
      </c>
      <c r="AG580" s="246">
        <f>IFERROR(VLOOKUP(E580,PROGRAMAS[],3,FALSE),0)</f>
        <v>3848980803.1642323</v>
      </c>
      <c r="AH580" s="246">
        <f>IFERROR(VLOOKUP(F580,PROGRAMAS[],3,FALSE),0)</f>
        <v>3394901471.387517</v>
      </c>
      <c r="AI580" s="246">
        <f>IFERROR(VLOOKUP(G580,PROGRAMAS[],3,FALSE),0)</f>
        <v>125317226.95549992</v>
      </c>
      <c r="AJ580" s="246">
        <f>IFERROR(VLOOKUP(H580,PROGRAMAS[],3,FALSE),0)</f>
        <v>1233505101.0616004</v>
      </c>
      <c r="AK580" s="246">
        <f>IFERROR(VLOOKUP(I580,PROGRAMAS[],3,FALSE),0)</f>
        <v>6129902208.7912121</v>
      </c>
      <c r="AL580" s="246">
        <f>IFERROR(VLOOKUP(J580,PROGRAMAS[],3,FALSE),0)</f>
        <v>675517840.109828</v>
      </c>
      <c r="AM580" s="246">
        <f>IFERROR(VLOOKUP(K580,PROGRAMAS[],3,FALSE),0)</f>
        <v>948595847.09039903</v>
      </c>
      <c r="AN580" s="246">
        <f>IFERROR(VLOOKUP(L580,PROGRAMAS[],3,FALSE),0)</f>
        <v>0</v>
      </c>
      <c r="AO580" s="246">
        <f>IFERROR(VLOOKUP(M580,PROGRAMAS[],3,FALSE),0)</f>
        <v>0</v>
      </c>
      <c r="AP580" s="246">
        <f>IFERROR(VLOOKUP(N580,PROGRAMAS[],3,FALSE),0)</f>
        <v>0</v>
      </c>
      <c r="AQ580" s="246">
        <f>IFERROR(VLOOKUP(O580,PROGRAMAS[],3,FALSE),0)</f>
        <v>0</v>
      </c>
      <c r="AR580" s="246">
        <f>IFERROR(VLOOKUP(P580,PROGRAMAS[],3,FALSE),0)</f>
        <v>0</v>
      </c>
      <c r="AS580" s="246">
        <f>IFERROR(VLOOKUP(Q580,PROGRAMAS[],3,FALSE),0)</f>
        <v>0</v>
      </c>
      <c r="AT580" s="246">
        <f>IFERROR(VLOOKUP(D580,VOL_REC[],2,FALSE),0)</f>
        <v>0</v>
      </c>
      <c r="AU580" s="246">
        <f>IFERROR(VLOOKUP(E580,VOL_REC[],2,FALSE),0)</f>
        <v>0</v>
      </c>
      <c r="AV580" s="246">
        <f>IFERROR(VLOOKUP(F580,VOL_REC[],2,FALSE),0)</f>
        <v>11089674.200000001</v>
      </c>
      <c r="AW580" s="246">
        <f>IFERROR(VLOOKUP(G580,VOL_REC[],2,FALSE),0)</f>
        <v>90439.55</v>
      </c>
      <c r="AX580" s="246">
        <f>IFERROR(VLOOKUP(H580,VOL_REC[],2,FALSE),0)</f>
        <v>4325103.1812214684</v>
      </c>
      <c r="AY580" s="246">
        <f>IFERROR(VLOOKUP(I580,VOL_REC[],2,FALSE),0)</f>
        <v>15540036.397699751</v>
      </c>
      <c r="AZ580" s="246">
        <f>IFERROR(VLOOKUP(J580,VOL_REC[],2,FALSE),0)</f>
        <v>240696.79238099116</v>
      </c>
      <c r="BA580" s="246">
        <f>IFERROR(VLOOKUP(K580,VOL_REC[],2,FALSE),0)</f>
        <v>740113.98115702497</v>
      </c>
      <c r="BB580" s="246">
        <f>IFERROR(VLOOKUP(L580,VOL_REC[],2,FALSE),0)</f>
        <v>0</v>
      </c>
      <c r="BC580" s="246">
        <f>IFERROR(VLOOKUP(M580,VOL_REC[],2,FALSE),0)</f>
        <v>0</v>
      </c>
      <c r="BD580" s="246">
        <f>IFERROR(VLOOKUP(N580,VOL_REC[],2,FALSE),0)</f>
        <v>0</v>
      </c>
      <c r="BE580" s="246">
        <f>IFERROR(VLOOKUP(O580,VOL_REC[],2,FALSE),0)</f>
        <v>0</v>
      </c>
      <c r="BF580" s="246">
        <f>IFERROR(VLOOKUP(P580,VOL_REC[],2,FALSE),0)</f>
        <v>0</v>
      </c>
      <c r="BG580" s="246">
        <f>IFERROR(VLOOKUP(Q580,VOL_REC[],2,FALSE),0)</f>
        <v>0</v>
      </c>
      <c r="BH580" s="1710">
        <f t="shared" si="36"/>
        <v>14873730840.964855</v>
      </c>
      <c r="BI580" s="1710">
        <f t="shared" si="37"/>
        <v>17198609127.87109</v>
      </c>
      <c r="BJ580" s="1711">
        <f t="shared" si="38"/>
        <v>32026064.102459237</v>
      </c>
      <c r="BK580" s="1711">
        <f t="shared" si="39"/>
        <v>0.86482172659307266</v>
      </c>
    </row>
    <row r="581" spans="3:67" x14ac:dyDescent="0.25">
      <c r="C581" s="246" t="s">
        <v>1931</v>
      </c>
      <c r="D581" s="246">
        <v>1</v>
      </c>
      <c r="E581" s="246">
        <v>2</v>
      </c>
      <c r="F581" s="246">
        <v>3</v>
      </c>
      <c r="G581" s="246">
        <v>4</v>
      </c>
      <c r="H581" s="246">
        <v>5</v>
      </c>
      <c r="I581" s="246">
        <v>6</v>
      </c>
      <c r="J581" s="246">
        <v>13</v>
      </c>
      <c r="K581" s="246">
        <v>14</v>
      </c>
      <c r="L581" s="246"/>
      <c r="M581" s="246"/>
      <c r="N581" s="246"/>
      <c r="O581" s="246"/>
      <c r="P581" s="246"/>
      <c r="Q581" s="246"/>
      <c r="R581" s="246">
        <f>IFERROR(VLOOKUP(D581,PROGRAMAS[],2,FALSE),0)</f>
        <v>97037803.679377079</v>
      </c>
      <c r="S581" s="246">
        <f>IFERROR(VLOOKUP(E581,PROGRAMAS[],2,FALSE),0)</f>
        <v>640501509.6821388</v>
      </c>
      <c r="T581" s="246">
        <f>IFERROR(VLOOKUP(F581,PROGRAMAS[],2,FALSE),0)</f>
        <v>3062327798.1525245</v>
      </c>
      <c r="U581" s="246">
        <f>IFERROR(VLOOKUP(G581,PROGRAMAS[],2,FALSE),0)</f>
        <v>67697118.033011258</v>
      </c>
      <c r="V581" s="246">
        <f>IFERROR(VLOOKUP(H581,PROGRAMAS[],2,FALSE),0)</f>
        <v>1440941976.2528784</v>
      </c>
      <c r="W581" s="246">
        <f>IFERROR(VLOOKUP(I581,PROGRAMAS[],2,FALSE),0)</f>
        <v>6907648435.8447599</v>
      </c>
      <c r="X581" s="246">
        <f>IFERROR(VLOOKUP(J581,PROGRAMAS[],2,FALSE),0)</f>
        <v>3776538594.4604583</v>
      </c>
      <c r="Y581" s="246">
        <f>IFERROR(VLOOKUP(K581,PROGRAMAS[],2,FALSE),0)</f>
        <v>54223862.645839565</v>
      </c>
      <c r="Z581" s="246">
        <f>IFERROR(VLOOKUP(L581,PROGRAMAS[],2,FALSE),0)</f>
        <v>0</v>
      </c>
      <c r="AA581" s="246">
        <f>IFERROR(VLOOKUP(M581,PROGRAMAS[],2,FALSE),0)</f>
        <v>0</v>
      </c>
      <c r="AB581" s="246">
        <f>IFERROR(VLOOKUP(N581,PROGRAMAS[],2,FALSE),0)</f>
        <v>0</v>
      </c>
      <c r="AC581" s="246">
        <f>IFERROR(VLOOKUP(O581,PROGRAMAS[],2,FALSE),0)</f>
        <v>0</v>
      </c>
      <c r="AD581" s="246">
        <f>IFERROR(VLOOKUP(P581,PROGRAMAS[],2,FALSE),0)</f>
        <v>0</v>
      </c>
      <c r="AE581" s="246">
        <f>IFERROR(VLOOKUP(Q581,PROGRAMAS[],2,FALSE),0)</f>
        <v>0</v>
      </c>
      <c r="AF581" s="246">
        <f>IFERROR(VLOOKUP(D581,PROGRAMAS[],3,FALSE),0)</f>
        <v>841888629.31080008</v>
      </c>
      <c r="AG581" s="246">
        <f>IFERROR(VLOOKUP(E581,PROGRAMAS[],3,FALSE),0)</f>
        <v>3848980803.1642323</v>
      </c>
      <c r="AH581" s="246">
        <f>IFERROR(VLOOKUP(F581,PROGRAMAS[],3,FALSE),0)</f>
        <v>3394901471.387517</v>
      </c>
      <c r="AI581" s="246">
        <f>IFERROR(VLOOKUP(G581,PROGRAMAS[],3,FALSE),0)</f>
        <v>125317226.95549992</v>
      </c>
      <c r="AJ581" s="246">
        <f>IFERROR(VLOOKUP(H581,PROGRAMAS[],3,FALSE),0)</f>
        <v>1233505101.0616004</v>
      </c>
      <c r="AK581" s="246">
        <f>IFERROR(VLOOKUP(I581,PROGRAMAS[],3,FALSE),0)</f>
        <v>6129902208.7912121</v>
      </c>
      <c r="AL581" s="246">
        <f>IFERROR(VLOOKUP(J581,PROGRAMAS[],3,FALSE),0)</f>
        <v>2392571243.5584412</v>
      </c>
      <c r="AM581" s="246">
        <f>IFERROR(VLOOKUP(K581,PROGRAMAS[],3,FALSE),0)</f>
        <v>31865326.38096505</v>
      </c>
      <c r="AN581" s="246">
        <f>IFERROR(VLOOKUP(L581,PROGRAMAS[],3,FALSE),0)</f>
        <v>0</v>
      </c>
      <c r="AO581" s="246">
        <f>IFERROR(VLOOKUP(M581,PROGRAMAS[],3,FALSE),0)</f>
        <v>0</v>
      </c>
      <c r="AP581" s="246">
        <f>IFERROR(VLOOKUP(N581,PROGRAMAS[],3,FALSE),0)</f>
        <v>0</v>
      </c>
      <c r="AQ581" s="246">
        <f>IFERROR(VLOOKUP(O581,PROGRAMAS[],3,FALSE),0)</f>
        <v>0</v>
      </c>
      <c r="AR581" s="246">
        <f>IFERROR(VLOOKUP(P581,PROGRAMAS[],3,FALSE),0)</f>
        <v>0</v>
      </c>
      <c r="AS581" s="246">
        <f>IFERROR(VLOOKUP(Q581,PROGRAMAS[],3,FALSE),0)</f>
        <v>0</v>
      </c>
      <c r="AT581" s="246">
        <f>IFERROR(VLOOKUP(D581,VOL_REC[],2,FALSE),0)</f>
        <v>0</v>
      </c>
      <c r="AU581" s="246">
        <f>IFERROR(VLOOKUP(E581,VOL_REC[],2,FALSE),0)</f>
        <v>0</v>
      </c>
      <c r="AV581" s="246">
        <f>IFERROR(VLOOKUP(F581,VOL_REC[],2,FALSE),0)</f>
        <v>11089674.200000001</v>
      </c>
      <c r="AW581" s="246">
        <f>IFERROR(VLOOKUP(G581,VOL_REC[],2,FALSE),0)</f>
        <v>90439.55</v>
      </c>
      <c r="AX581" s="246">
        <f>IFERROR(VLOOKUP(H581,VOL_REC[],2,FALSE),0)</f>
        <v>4325103.1812214684</v>
      </c>
      <c r="AY581" s="246">
        <f>IFERROR(VLOOKUP(I581,VOL_REC[],2,FALSE),0)</f>
        <v>15540036.397699751</v>
      </c>
      <c r="AZ581" s="246">
        <f>IFERROR(VLOOKUP(J581,VOL_REC[],2,FALSE),0)</f>
        <v>663244.80000000016</v>
      </c>
      <c r="BA581" s="246">
        <f>IFERROR(VLOOKUP(K581,VOL_REC[],2,FALSE),0)</f>
        <v>17074.045034105649</v>
      </c>
      <c r="BB581" s="246">
        <f>IFERROR(VLOOKUP(L581,VOL_REC[],2,FALSE),0)</f>
        <v>0</v>
      </c>
      <c r="BC581" s="246">
        <f>IFERROR(VLOOKUP(M581,VOL_REC[],2,FALSE),0)</f>
        <v>0</v>
      </c>
      <c r="BD581" s="246">
        <f>IFERROR(VLOOKUP(N581,VOL_REC[],2,FALSE),0)</f>
        <v>0</v>
      </c>
      <c r="BE581" s="246">
        <f>IFERROR(VLOOKUP(O581,VOL_REC[],2,FALSE),0)</f>
        <v>0</v>
      </c>
      <c r="BF581" s="246">
        <f>IFERROR(VLOOKUP(P581,VOL_REC[],2,FALSE),0)</f>
        <v>0</v>
      </c>
      <c r="BG581" s="246">
        <f>IFERROR(VLOOKUP(Q581,VOL_REC[],2,FALSE),0)</f>
        <v>0</v>
      </c>
      <c r="BH581" s="1710">
        <f t="shared" si="36"/>
        <v>16046917098.75099</v>
      </c>
      <c r="BI581" s="1710">
        <f t="shared" si="37"/>
        <v>17998932010.610268</v>
      </c>
      <c r="BJ581" s="1711">
        <f t="shared" si="38"/>
        <v>31725572.173955329</v>
      </c>
      <c r="BK581" s="1711">
        <f t="shared" si="39"/>
        <v>0.89154829238153821</v>
      </c>
    </row>
    <row r="582" spans="3:67" x14ac:dyDescent="0.25">
      <c r="C582" s="246" t="s">
        <v>1932</v>
      </c>
      <c r="D582" s="246">
        <v>1</v>
      </c>
      <c r="E582" s="246">
        <v>2</v>
      </c>
      <c r="F582" s="246">
        <v>3</v>
      </c>
      <c r="G582" s="246">
        <v>4</v>
      </c>
      <c r="H582" s="246">
        <v>5</v>
      </c>
      <c r="I582" s="246">
        <v>6</v>
      </c>
      <c r="J582" s="246">
        <v>13</v>
      </c>
      <c r="K582" s="246">
        <v>15</v>
      </c>
      <c r="L582" s="246"/>
      <c r="M582" s="246"/>
      <c r="N582" s="246"/>
      <c r="O582" s="246"/>
      <c r="P582" s="246"/>
      <c r="Q582" s="246"/>
      <c r="R582" s="246">
        <f>IFERROR(VLOOKUP(D582,PROGRAMAS[],2,FALSE),0)</f>
        <v>97037803.679377079</v>
      </c>
      <c r="S582" s="246">
        <f>IFERROR(VLOOKUP(E582,PROGRAMAS[],2,FALSE),0)</f>
        <v>640501509.6821388</v>
      </c>
      <c r="T582" s="246">
        <f>IFERROR(VLOOKUP(F582,PROGRAMAS[],2,FALSE),0)</f>
        <v>3062327798.1525245</v>
      </c>
      <c r="U582" s="246">
        <f>IFERROR(VLOOKUP(G582,PROGRAMAS[],2,FALSE),0)</f>
        <v>67697118.033011258</v>
      </c>
      <c r="V582" s="246">
        <f>IFERROR(VLOOKUP(H582,PROGRAMAS[],2,FALSE),0)</f>
        <v>1440941976.2528784</v>
      </c>
      <c r="W582" s="246">
        <f>IFERROR(VLOOKUP(I582,PROGRAMAS[],2,FALSE),0)</f>
        <v>6907648435.8447599</v>
      </c>
      <c r="X582" s="246">
        <f>IFERROR(VLOOKUP(J582,PROGRAMAS[],2,FALSE),0)</f>
        <v>3776538594.4604583</v>
      </c>
      <c r="Y582" s="246">
        <f>IFERROR(VLOOKUP(K582,PROGRAMAS[],2,FALSE),0)</f>
        <v>122159672.96346797</v>
      </c>
      <c r="Z582" s="246">
        <f>IFERROR(VLOOKUP(L582,PROGRAMAS[],2,FALSE),0)</f>
        <v>0</v>
      </c>
      <c r="AA582" s="246">
        <f>IFERROR(VLOOKUP(M582,PROGRAMAS[],2,FALSE),0)</f>
        <v>0</v>
      </c>
      <c r="AB582" s="246">
        <f>IFERROR(VLOOKUP(N582,PROGRAMAS[],2,FALSE),0)</f>
        <v>0</v>
      </c>
      <c r="AC582" s="246">
        <f>IFERROR(VLOOKUP(O582,PROGRAMAS[],2,FALSE),0)</f>
        <v>0</v>
      </c>
      <c r="AD582" s="246">
        <f>IFERROR(VLOOKUP(P582,PROGRAMAS[],2,FALSE),0)</f>
        <v>0</v>
      </c>
      <c r="AE582" s="246">
        <f>IFERROR(VLOOKUP(Q582,PROGRAMAS[],2,FALSE),0)</f>
        <v>0</v>
      </c>
      <c r="AF582" s="246">
        <f>IFERROR(VLOOKUP(D582,PROGRAMAS[],3,FALSE),0)</f>
        <v>841888629.31080008</v>
      </c>
      <c r="AG582" s="246">
        <f>IFERROR(VLOOKUP(E582,PROGRAMAS[],3,FALSE),0)</f>
        <v>3848980803.1642323</v>
      </c>
      <c r="AH582" s="246">
        <f>IFERROR(VLOOKUP(F582,PROGRAMAS[],3,FALSE),0)</f>
        <v>3394901471.387517</v>
      </c>
      <c r="AI582" s="246">
        <f>IFERROR(VLOOKUP(G582,PROGRAMAS[],3,FALSE),0)</f>
        <v>125317226.95549992</v>
      </c>
      <c r="AJ582" s="246">
        <f>IFERROR(VLOOKUP(H582,PROGRAMAS[],3,FALSE),0)</f>
        <v>1233505101.0616004</v>
      </c>
      <c r="AK582" s="246">
        <f>IFERROR(VLOOKUP(I582,PROGRAMAS[],3,FALSE),0)</f>
        <v>6129902208.7912121</v>
      </c>
      <c r="AL582" s="246">
        <f>IFERROR(VLOOKUP(J582,PROGRAMAS[],3,FALSE),0)</f>
        <v>2392571243.5584412</v>
      </c>
      <c r="AM582" s="246">
        <f>IFERROR(VLOOKUP(K582,PROGRAMAS[],3,FALSE),0)</f>
        <v>118617452.52510804</v>
      </c>
      <c r="AN582" s="246">
        <f>IFERROR(VLOOKUP(L582,PROGRAMAS[],3,FALSE),0)</f>
        <v>0</v>
      </c>
      <c r="AO582" s="246">
        <f>IFERROR(VLOOKUP(M582,PROGRAMAS[],3,FALSE),0)</f>
        <v>0</v>
      </c>
      <c r="AP582" s="246">
        <f>IFERROR(VLOOKUP(N582,PROGRAMAS[],3,FALSE),0)</f>
        <v>0</v>
      </c>
      <c r="AQ582" s="246">
        <f>IFERROR(VLOOKUP(O582,PROGRAMAS[],3,FALSE),0)</f>
        <v>0</v>
      </c>
      <c r="AR582" s="246">
        <f>IFERROR(VLOOKUP(P582,PROGRAMAS[],3,FALSE),0)</f>
        <v>0</v>
      </c>
      <c r="AS582" s="246">
        <f>IFERROR(VLOOKUP(Q582,PROGRAMAS[],3,FALSE),0)</f>
        <v>0</v>
      </c>
      <c r="AT582" s="246">
        <f>IFERROR(VLOOKUP(D582,VOL_REC[],2,FALSE),0)</f>
        <v>0</v>
      </c>
      <c r="AU582" s="246">
        <f>IFERROR(VLOOKUP(E582,VOL_REC[],2,FALSE),0)</f>
        <v>0</v>
      </c>
      <c r="AV582" s="246">
        <f>IFERROR(VLOOKUP(F582,VOL_REC[],2,FALSE),0)</f>
        <v>11089674.200000001</v>
      </c>
      <c r="AW582" s="246">
        <f>IFERROR(VLOOKUP(G582,VOL_REC[],2,FALSE),0)</f>
        <v>90439.55</v>
      </c>
      <c r="AX582" s="246">
        <f>IFERROR(VLOOKUP(H582,VOL_REC[],2,FALSE),0)</f>
        <v>4325103.1812214684</v>
      </c>
      <c r="AY582" s="246">
        <f>IFERROR(VLOOKUP(I582,VOL_REC[],2,FALSE),0)</f>
        <v>15540036.397699751</v>
      </c>
      <c r="AZ582" s="246">
        <f>IFERROR(VLOOKUP(J582,VOL_REC[],2,FALSE),0)</f>
        <v>663244.80000000016</v>
      </c>
      <c r="BA582" s="246">
        <f>IFERROR(VLOOKUP(K582,VOL_REC[],2,FALSE),0)</f>
        <v>105072</v>
      </c>
      <c r="BB582" s="246">
        <f>IFERROR(VLOOKUP(L582,VOL_REC[],2,FALSE),0)</f>
        <v>0</v>
      </c>
      <c r="BC582" s="246">
        <f>IFERROR(VLOOKUP(M582,VOL_REC[],2,FALSE),0)</f>
        <v>0</v>
      </c>
      <c r="BD582" s="246">
        <f>IFERROR(VLOOKUP(N582,VOL_REC[],2,FALSE),0)</f>
        <v>0</v>
      </c>
      <c r="BE582" s="246">
        <f>IFERROR(VLOOKUP(O582,VOL_REC[],2,FALSE),0)</f>
        <v>0</v>
      </c>
      <c r="BF582" s="246">
        <f>IFERROR(VLOOKUP(P582,VOL_REC[],2,FALSE),0)</f>
        <v>0</v>
      </c>
      <c r="BG582" s="246">
        <f>IFERROR(VLOOKUP(Q582,VOL_REC[],2,FALSE),0)</f>
        <v>0</v>
      </c>
      <c r="BH582" s="1710">
        <f t="shared" si="36"/>
        <v>16114852909.068619</v>
      </c>
      <c r="BI582" s="1710">
        <f t="shared" si="37"/>
        <v>18085684136.75441</v>
      </c>
      <c r="BJ582" s="1711">
        <f t="shared" si="38"/>
        <v>31813570.128921222</v>
      </c>
      <c r="BK582" s="1711">
        <f t="shared" si="39"/>
        <v>0.89102810749190331</v>
      </c>
    </row>
    <row r="583" spans="3:67" x14ac:dyDescent="0.25">
      <c r="C583" s="246" t="s">
        <v>1933</v>
      </c>
      <c r="D583" s="246">
        <v>1</v>
      </c>
      <c r="E583" s="246">
        <v>2</v>
      </c>
      <c r="F583" s="246">
        <v>3</v>
      </c>
      <c r="G583" s="246">
        <v>4</v>
      </c>
      <c r="H583" s="246">
        <v>5</v>
      </c>
      <c r="I583" s="246">
        <v>6</v>
      </c>
      <c r="J583" s="246">
        <v>13</v>
      </c>
      <c r="K583" s="246">
        <v>16</v>
      </c>
      <c r="L583" s="246"/>
      <c r="M583" s="246"/>
      <c r="N583" s="246"/>
      <c r="O583" s="246"/>
      <c r="P583" s="246"/>
      <c r="Q583" s="246"/>
      <c r="R583" s="246">
        <f>IFERROR(VLOOKUP(D583,PROGRAMAS[],2,FALSE),0)</f>
        <v>97037803.679377079</v>
      </c>
      <c r="S583" s="246">
        <f>IFERROR(VLOOKUP(E583,PROGRAMAS[],2,FALSE),0)</f>
        <v>640501509.6821388</v>
      </c>
      <c r="T583" s="246">
        <f>IFERROR(VLOOKUP(F583,PROGRAMAS[],2,FALSE),0)</f>
        <v>3062327798.1525245</v>
      </c>
      <c r="U583" s="246">
        <f>IFERROR(VLOOKUP(G583,PROGRAMAS[],2,FALSE),0)</f>
        <v>67697118.033011258</v>
      </c>
      <c r="V583" s="246">
        <f>IFERROR(VLOOKUP(H583,PROGRAMAS[],2,FALSE),0)</f>
        <v>1440941976.2528784</v>
      </c>
      <c r="W583" s="246">
        <f>IFERROR(VLOOKUP(I583,PROGRAMAS[],2,FALSE),0)</f>
        <v>6907648435.8447599</v>
      </c>
      <c r="X583" s="246">
        <f>IFERROR(VLOOKUP(J583,PROGRAMAS[],2,FALSE),0)</f>
        <v>3776538594.4604583</v>
      </c>
      <c r="Y583" s="246">
        <f>IFERROR(VLOOKUP(K583,PROGRAMAS[],2,FALSE),0)</f>
        <v>7068496961.0436354</v>
      </c>
      <c r="Z583" s="246">
        <f>IFERROR(VLOOKUP(L583,PROGRAMAS[],2,FALSE),0)</f>
        <v>0</v>
      </c>
      <c r="AA583" s="246">
        <f>IFERROR(VLOOKUP(M583,PROGRAMAS[],2,FALSE),0)</f>
        <v>0</v>
      </c>
      <c r="AB583" s="246">
        <f>IFERROR(VLOOKUP(N583,PROGRAMAS[],2,FALSE),0)</f>
        <v>0</v>
      </c>
      <c r="AC583" s="246">
        <f>IFERROR(VLOOKUP(O583,PROGRAMAS[],2,FALSE),0)</f>
        <v>0</v>
      </c>
      <c r="AD583" s="246">
        <f>IFERROR(VLOOKUP(P583,PROGRAMAS[],2,FALSE),0)</f>
        <v>0</v>
      </c>
      <c r="AE583" s="246">
        <f>IFERROR(VLOOKUP(Q583,PROGRAMAS[],2,FALSE),0)</f>
        <v>0</v>
      </c>
      <c r="AF583" s="246">
        <f>IFERROR(VLOOKUP(D583,PROGRAMAS[],3,FALSE),0)</f>
        <v>841888629.31080008</v>
      </c>
      <c r="AG583" s="246">
        <f>IFERROR(VLOOKUP(E583,PROGRAMAS[],3,FALSE),0)</f>
        <v>3848980803.1642323</v>
      </c>
      <c r="AH583" s="246">
        <f>IFERROR(VLOOKUP(F583,PROGRAMAS[],3,FALSE),0)</f>
        <v>3394901471.387517</v>
      </c>
      <c r="AI583" s="246">
        <f>IFERROR(VLOOKUP(G583,PROGRAMAS[],3,FALSE),0)</f>
        <v>125317226.95549992</v>
      </c>
      <c r="AJ583" s="246">
        <f>IFERROR(VLOOKUP(H583,PROGRAMAS[],3,FALSE),0)</f>
        <v>1233505101.0616004</v>
      </c>
      <c r="AK583" s="246">
        <f>IFERROR(VLOOKUP(I583,PROGRAMAS[],3,FALSE),0)</f>
        <v>6129902208.7912121</v>
      </c>
      <c r="AL583" s="246">
        <f>IFERROR(VLOOKUP(J583,PROGRAMAS[],3,FALSE),0)</f>
        <v>2392571243.5584412</v>
      </c>
      <c r="AM583" s="246">
        <f>IFERROR(VLOOKUP(K583,PROGRAMAS[],3,FALSE),0)</f>
        <v>2406564599.0319901</v>
      </c>
      <c r="AN583" s="246">
        <f>IFERROR(VLOOKUP(L583,PROGRAMAS[],3,FALSE),0)</f>
        <v>0</v>
      </c>
      <c r="AO583" s="246">
        <f>IFERROR(VLOOKUP(M583,PROGRAMAS[],3,FALSE),0)</f>
        <v>0</v>
      </c>
      <c r="AP583" s="246">
        <f>IFERROR(VLOOKUP(N583,PROGRAMAS[],3,FALSE),0)</f>
        <v>0</v>
      </c>
      <c r="AQ583" s="246">
        <f>IFERROR(VLOOKUP(O583,PROGRAMAS[],3,FALSE),0)</f>
        <v>0</v>
      </c>
      <c r="AR583" s="246">
        <f>IFERROR(VLOOKUP(P583,PROGRAMAS[],3,FALSE),0)</f>
        <v>0</v>
      </c>
      <c r="AS583" s="246">
        <f>IFERROR(VLOOKUP(Q583,PROGRAMAS[],3,FALSE),0)</f>
        <v>0</v>
      </c>
      <c r="AT583" s="246">
        <f>IFERROR(VLOOKUP(D583,VOL_REC[],2,FALSE),0)</f>
        <v>0</v>
      </c>
      <c r="AU583" s="246">
        <f>IFERROR(VLOOKUP(E583,VOL_REC[],2,FALSE),0)</f>
        <v>0</v>
      </c>
      <c r="AV583" s="246">
        <f>IFERROR(VLOOKUP(F583,VOL_REC[],2,FALSE),0)</f>
        <v>11089674.200000001</v>
      </c>
      <c r="AW583" s="246">
        <f>IFERROR(VLOOKUP(G583,VOL_REC[],2,FALSE),0)</f>
        <v>90439.55</v>
      </c>
      <c r="AX583" s="246">
        <f>IFERROR(VLOOKUP(H583,VOL_REC[],2,FALSE),0)</f>
        <v>4325103.1812214684</v>
      </c>
      <c r="AY583" s="246">
        <f>IFERROR(VLOOKUP(I583,VOL_REC[],2,FALSE),0)</f>
        <v>15540036.397699751</v>
      </c>
      <c r="AZ583" s="246">
        <f>IFERROR(VLOOKUP(J583,VOL_REC[],2,FALSE),0)</f>
        <v>663244.80000000016</v>
      </c>
      <c r="BA583" s="246">
        <f>IFERROR(VLOOKUP(K583,VOL_REC[],2,FALSE),0)</f>
        <v>1072354.9981737854</v>
      </c>
      <c r="BB583" s="246">
        <f>IFERROR(VLOOKUP(L583,VOL_REC[],2,FALSE),0)</f>
        <v>0</v>
      </c>
      <c r="BC583" s="246">
        <f>IFERROR(VLOOKUP(M583,VOL_REC[],2,FALSE),0)</f>
        <v>0</v>
      </c>
      <c r="BD583" s="246">
        <f>IFERROR(VLOOKUP(N583,VOL_REC[],2,FALSE),0)</f>
        <v>0</v>
      </c>
      <c r="BE583" s="246">
        <f>IFERROR(VLOOKUP(O583,VOL_REC[],2,FALSE),0)</f>
        <v>0</v>
      </c>
      <c r="BF583" s="246">
        <f>IFERROR(VLOOKUP(P583,VOL_REC[],2,FALSE),0)</f>
        <v>0</v>
      </c>
      <c r="BG583" s="246">
        <f>IFERROR(VLOOKUP(Q583,VOL_REC[],2,FALSE),0)</f>
        <v>0</v>
      </c>
      <c r="BH583" s="1710">
        <f t="shared" si="36"/>
        <v>23061190197.148785</v>
      </c>
      <c r="BI583" s="1710">
        <f t="shared" si="37"/>
        <v>20373631283.261292</v>
      </c>
      <c r="BJ583" s="1711">
        <f t="shared" si="38"/>
        <v>32780853.127095006</v>
      </c>
      <c r="BK583" s="1711">
        <f t="shared" si="39"/>
        <v>1.1319135934346449</v>
      </c>
      <c r="BL583">
        <f>BJ583</f>
        <v>32780853.127095006</v>
      </c>
      <c r="BO583">
        <f>BL583</f>
        <v>32780853.127095006</v>
      </c>
    </row>
    <row r="584" spans="3:67" x14ac:dyDescent="0.25">
      <c r="C584" s="246" t="s">
        <v>1934</v>
      </c>
      <c r="D584" s="246">
        <v>1</v>
      </c>
      <c r="E584" s="246">
        <v>2</v>
      </c>
      <c r="F584" s="246">
        <v>3</v>
      </c>
      <c r="G584" s="246">
        <v>4</v>
      </c>
      <c r="H584" s="246">
        <v>5</v>
      </c>
      <c r="I584" s="246">
        <v>6</v>
      </c>
      <c r="J584" s="246">
        <v>13</v>
      </c>
      <c r="K584" s="246">
        <v>17</v>
      </c>
      <c r="L584" s="246"/>
      <c r="M584" s="246"/>
      <c r="N584" s="246"/>
      <c r="O584" s="246"/>
      <c r="P584" s="246"/>
      <c r="Q584" s="246"/>
      <c r="R584" s="246">
        <f>IFERROR(VLOOKUP(D584,PROGRAMAS[],2,FALSE),0)</f>
        <v>97037803.679377079</v>
      </c>
      <c r="S584" s="246">
        <f>IFERROR(VLOOKUP(E584,PROGRAMAS[],2,FALSE),0)</f>
        <v>640501509.6821388</v>
      </c>
      <c r="T584" s="246">
        <f>IFERROR(VLOOKUP(F584,PROGRAMAS[],2,FALSE),0)</f>
        <v>3062327798.1525245</v>
      </c>
      <c r="U584" s="246">
        <f>IFERROR(VLOOKUP(G584,PROGRAMAS[],2,FALSE),0)</f>
        <v>67697118.033011258</v>
      </c>
      <c r="V584" s="246">
        <f>IFERROR(VLOOKUP(H584,PROGRAMAS[],2,FALSE),0)</f>
        <v>1440941976.2528784</v>
      </c>
      <c r="W584" s="246">
        <f>IFERROR(VLOOKUP(I584,PROGRAMAS[],2,FALSE),0)</f>
        <v>6907648435.8447599</v>
      </c>
      <c r="X584" s="246">
        <f>IFERROR(VLOOKUP(J584,PROGRAMAS[],2,FALSE),0)</f>
        <v>3776538594.4604583</v>
      </c>
      <c r="Y584" s="246">
        <f>IFERROR(VLOOKUP(K584,PROGRAMAS[],2,FALSE),0)</f>
        <v>1892779498.5211046</v>
      </c>
      <c r="Z584" s="246">
        <f>IFERROR(VLOOKUP(L584,PROGRAMAS[],2,FALSE),0)</f>
        <v>0</v>
      </c>
      <c r="AA584" s="246">
        <f>IFERROR(VLOOKUP(M584,PROGRAMAS[],2,FALSE),0)</f>
        <v>0</v>
      </c>
      <c r="AB584" s="246">
        <f>IFERROR(VLOOKUP(N584,PROGRAMAS[],2,FALSE),0)</f>
        <v>0</v>
      </c>
      <c r="AC584" s="246">
        <f>IFERROR(VLOOKUP(O584,PROGRAMAS[],2,FALSE),0)</f>
        <v>0</v>
      </c>
      <c r="AD584" s="246">
        <f>IFERROR(VLOOKUP(P584,PROGRAMAS[],2,FALSE),0)</f>
        <v>0</v>
      </c>
      <c r="AE584" s="246">
        <f>IFERROR(VLOOKUP(Q584,PROGRAMAS[],2,FALSE),0)</f>
        <v>0</v>
      </c>
      <c r="AF584" s="246">
        <f>IFERROR(VLOOKUP(D584,PROGRAMAS[],3,FALSE),0)</f>
        <v>841888629.31080008</v>
      </c>
      <c r="AG584" s="246">
        <f>IFERROR(VLOOKUP(E584,PROGRAMAS[],3,FALSE),0)</f>
        <v>3848980803.1642323</v>
      </c>
      <c r="AH584" s="246">
        <f>IFERROR(VLOOKUP(F584,PROGRAMAS[],3,FALSE),0)</f>
        <v>3394901471.387517</v>
      </c>
      <c r="AI584" s="246">
        <f>IFERROR(VLOOKUP(G584,PROGRAMAS[],3,FALSE),0)</f>
        <v>125317226.95549992</v>
      </c>
      <c r="AJ584" s="246">
        <f>IFERROR(VLOOKUP(H584,PROGRAMAS[],3,FALSE),0)</f>
        <v>1233505101.0616004</v>
      </c>
      <c r="AK584" s="246">
        <f>IFERROR(VLOOKUP(I584,PROGRAMAS[],3,FALSE),0)</f>
        <v>6129902208.7912121</v>
      </c>
      <c r="AL584" s="246">
        <f>IFERROR(VLOOKUP(J584,PROGRAMAS[],3,FALSE),0)</f>
        <v>2392571243.5584412</v>
      </c>
      <c r="AM584" s="246">
        <f>IFERROR(VLOOKUP(K584,PROGRAMAS[],3,FALSE),0)</f>
        <v>948595847.09039903</v>
      </c>
      <c r="AN584" s="246">
        <f>IFERROR(VLOOKUP(L584,PROGRAMAS[],3,FALSE),0)</f>
        <v>0</v>
      </c>
      <c r="AO584" s="246">
        <f>IFERROR(VLOOKUP(M584,PROGRAMAS[],3,FALSE),0)</f>
        <v>0</v>
      </c>
      <c r="AP584" s="246">
        <f>IFERROR(VLOOKUP(N584,PROGRAMAS[],3,FALSE),0)</f>
        <v>0</v>
      </c>
      <c r="AQ584" s="246">
        <f>IFERROR(VLOOKUP(O584,PROGRAMAS[],3,FALSE),0)</f>
        <v>0</v>
      </c>
      <c r="AR584" s="246">
        <f>IFERROR(VLOOKUP(P584,PROGRAMAS[],3,FALSE),0)</f>
        <v>0</v>
      </c>
      <c r="AS584" s="246">
        <f>IFERROR(VLOOKUP(Q584,PROGRAMAS[],3,FALSE),0)</f>
        <v>0</v>
      </c>
      <c r="AT584" s="246">
        <f>IFERROR(VLOOKUP(D584,VOL_REC[],2,FALSE),0)</f>
        <v>0</v>
      </c>
      <c r="AU584" s="246">
        <f>IFERROR(VLOOKUP(E584,VOL_REC[],2,FALSE),0)</f>
        <v>0</v>
      </c>
      <c r="AV584" s="246">
        <f>IFERROR(VLOOKUP(F584,VOL_REC[],2,FALSE),0)</f>
        <v>11089674.200000001</v>
      </c>
      <c r="AW584" s="246">
        <f>IFERROR(VLOOKUP(G584,VOL_REC[],2,FALSE),0)</f>
        <v>90439.55</v>
      </c>
      <c r="AX584" s="246">
        <f>IFERROR(VLOOKUP(H584,VOL_REC[],2,FALSE),0)</f>
        <v>4325103.1812214684</v>
      </c>
      <c r="AY584" s="246">
        <f>IFERROR(VLOOKUP(I584,VOL_REC[],2,FALSE),0)</f>
        <v>15540036.397699751</v>
      </c>
      <c r="AZ584" s="246">
        <f>IFERROR(VLOOKUP(J584,VOL_REC[],2,FALSE),0)</f>
        <v>663244.80000000016</v>
      </c>
      <c r="BA584" s="246">
        <f>IFERROR(VLOOKUP(K584,VOL_REC[],2,FALSE),0)</f>
        <v>740113.98115702497</v>
      </c>
      <c r="BB584" s="246">
        <f>IFERROR(VLOOKUP(L584,VOL_REC[],2,FALSE),0)</f>
        <v>0</v>
      </c>
      <c r="BC584" s="246">
        <f>IFERROR(VLOOKUP(M584,VOL_REC[],2,FALSE),0)</f>
        <v>0</v>
      </c>
      <c r="BD584" s="246">
        <f>IFERROR(VLOOKUP(N584,VOL_REC[],2,FALSE),0)</f>
        <v>0</v>
      </c>
      <c r="BE584" s="246">
        <f>IFERROR(VLOOKUP(O584,VOL_REC[],2,FALSE),0)</f>
        <v>0</v>
      </c>
      <c r="BF584" s="246">
        <f>IFERROR(VLOOKUP(P584,VOL_REC[],2,FALSE),0)</f>
        <v>0</v>
      </c>
      <c r="BG584" s="246">
        <f>IFERROR(VLOOKUP(Q584,VOL_REC[],2,FALSE),0)</f>
        <v>0</v>
      </c>
      <c r="BH584" s="1710">
        <f t="shared" si="36"/>
        <v>17885472734.626255</v>
      </c>
      <c r="BI584" s="1710">
        <f t="shared" si="37"/>
        <v>18915662531.319702</v>
      </c>
      <c r="BJ584" s="1711">
        <f t="shared" si="38"/>
        <v>32448612.110078245</v>
      </c>
      <c r="BK584" s="1711">
        <f t="shared" si="39"/>
        <v>0.94553773651926254</v>
      </c>
    </row>
    <row r="585" spans="3:67" x14ac:dyDescent="0.25">
      <c r="C585" s="246" t="s">
        <v>1935</v>
      </c>
      <c r="D585" s="246">
        <v>1</v>
      </c>
      <c r="E585" s="246">
        <v>2</v>
      </c>
      <c r="F585" s="246">
        <v>3</v>
      </c>
      <c r="G585" s="246">
        <v>4</v>
      </c>
      <c r="H585" s="246">
        <v>5</v>
      </c>
      <c r="I585" s="246">
        <v>6</v>
      </c>
      <c r="J585" s="246">
        <v>14</v>
      </c>
      <c r="K585" s="246">
        <v>15</v>
      </c>
      <c r="L585" s="246"/>
      <c r="M585" s="246"/>
      <c r="N585" s="246"/>
      <c r="O585" s="246"/>
      <c r="P585" s="246"/>
      <c r="Q585" s="246"/>
      <c r="R585" s="246">
        <f>IFERROR(VLOOKUP(D585,PROGRAMAS[],2,FALSE),0)</f>
        <v>97037803.679377079</v>
      </c>
      <c r="S585" s="246">
        <f>IFERROR(VLOOKUP(E585,PROGRAMAS[],2,FALSE),0)</f>
        <v>640501509.6821388</v>
      </c>
      <c r="T585" s="246">
        <f>IFERROR(VLOOKUP(F585,PROGRAMAS[],2,FALSE),0)</f>
        <v>3062327798.1525245</v>
      </c>
      <c r="U585" s="246">
        <f>IFERROR(VLOOKUP(G585,PROGRAMAS[],2,FALSE),0)</f>
        <v>67697118.033011258</v>
      </c>
      <c r="V585" s="246">
        <f>IFERROR(VLOOKUP(H585,PROGRAMAS[],2,FALSE),0)</f>
        <v>1440941976.2528784</v>
      </c>
      <c r="W585" s="246">
        <f>IFERROR(VLOOKUP(I585,PROGRAMAS[],2,FALSE),0)</f>
        <v>6907648435.8447599</v>
      </c>
      <c r="X585" s="246">
        <f>IFERROR(VLOOKUP(J585,PROGRAMAS[],2,FALSE),0)</f>
        <v>54223862.645839565</v>
      </c>
      <c r="Y585" s="246">
        <f>IFERROR(VLOOKUP(K585,PROGRAMAS[],2,FALSE),0)</f>
        <v>122159672.96346797</v>
      </c>
      <c r="Z585" s="246">
        <f>IFERROR(VLOOKUP(L585,PROGRAMAS[],2,FALSE),0)</f>
        <v>0</v>
      </c>
      <c r="AA585" s="246">
        <f>IFERROR(VLOOKUP(M585,PROGRAMAS[],2,FALSE),0)</f>
        <v>0</v>
      </c>
      <c r="AB585" s="246">
        <f>IFERROR(VLOOKUP(N585,PROGRAMAS[],2,FALSE),0)</f>
        <v>0</v>
      </c>
      <c r="AC585" s="246">
        <f>IFERROR(VLOOKUP(O585,PROGRAMAS[],2,FALSE),0)</f>
        <v>0</v>
      </c>
      <c r="AD585" s="246">
        <f>IFERROR(VLOOKUP(P585,PROGRAMAS[],2,FALSE),0)</f>
        <v>0</v>
      </c>
      <c r="AE585" s="246">
        <f>IFERROR(VLOOKUP(Q585,PROGRAMAS[],2,FALSE),0)</f>
        <v>0</v>
      </c>
      <c r="AF585" s="246">
        <f>IFERROR(VLOOKUP(D585,PROGRAMAS[],3,FALSE),0)</f>
        <v>841888629.31080008</v>
      </c>
      <c r="AG585" s="246">
        <f>IFERROR(VLOOKUP(E585,PROGRAMAS[],3,FALSE),0)</f>
        <v>3848980803.1642323</v>
      </c>
      <c r="AH585" s="246">
        <f>IFERROR(VLOOKUP(F585,PROGRAMAS[],3,FALSE),0)</f>
        <v>3394901471.387517</v>
      </c>
      <c r="AI585" s="246">
        <f>IFERROR(VLOOKUP(G585,PROGRAMAS[],3,FALSE),0)</f>
        <v>125317226.95549992</v>
      </c>
      <c r="AJ585" s="246">
        <f>IFERROR(VLOOKUP(H585,PROGRAMAS[],3,FALSE),0)</f>
        <v>1233505101.0616004</v>
      </c>
      <c r="AK585" s="246">
        <f>IFERROR(VLOOKUP(I585,PROGRAMAS[],3,FALSE),0)</f>
        <v>6129902208.7912121</v>
      </c>
      <c r="AL585" s="246">
        <f>IFERROR(VLOOKUP(J585,PROGRAMAS[],3,FALSE),0)</f>
        <v>31865326.38096505</v>
      </c>
      <c r="AM585" s="246">
        <f>IFERROR(VLOOKUP(K585,PROGRAMAS[],3,FALSE),0)</f>
        <v>118617452.52510804</v>
      </c>
      <c r="AN585" s="246">
        <f>IFERROR(VLOOKUP(L585,PROGRAMAS[],3,FALSE),0)</f>
        <v>0</v>
      </c>
      <c r="AO585" s="246">
        <f>IFERROR(VLOOKUP(M585,PROGRAMAS[],3,FALSE),0)</f>
        <v>0</v>
      </c>
      <c r="AP585" s="246">
        <f>IFERROR(VLOOKUP(N585,PROGRAMAS[],3,FALSE),0)</f>
        <v>0</v>
      </c>
      <c r="AQ585" s="246">
        <f>IFERROR(VLOOKUP(O585,PROGRAMAS[],3,FALSE),0)</f>
        <v>0</v>
      </c>
      <c r="AR585" s="246">
        <f>IFERROR(VLOOKUP(P585,PROGRAMAS[],3,FALSE),0)</f>
        <v>0</v>
      </c>
      <c r="AS585" s="246">
        <f>IFERROR(VLOOKUP(Q585,PROGRAMAS[],3,FALSE),0)</f>
        <v>0</v>
      </c>
      <c r="AT585" s="246">
        <f>IFERROR(VLOOKUP(D585,VOL_REC[],2,FALSE),0)</f>
        <v>0</v>
      </c>
      <c r="AU585" s="246">
        <f>IFERROR(VLOOKUP(E585,VOL_REC[],2,FALSE),0)</f>
        <v>0</v>
      </c>
      <c r="AV585" s="246">
        <f>IFERROR(VLOOKUP(F585,VOL_REC[],2,FALSE),0)</f>
        <v>11089674.200000001</v>
      </c>
      <c r="AW585" s="246">
        <f>IFERROR(VLOOKUP(G585,VOL_REC[],2,FALSE),0)</f>
        <v>90439.55</v>
      </c>
      <c r="AX585" s="246">
        <f>IFERROR(VLOOKUP(H585,VOL_REC[],2,FALSE),0)</f>
        <v>4325103.1812214684</v>
      </c>
      <c r="AY585" s="246">
        <f>IFERROR(VLOOKUP(I585,VOL_REC[],2,FALSE),0)</f>
        <v>15540036.397699751</v>
      </c>
      <c r="AZ585" s="246">
        <f>IFERROR(VLOOKUP(J585,VOL_REC[],2,FALSE),0)</f>
        <v>17074.045034105649</v>
      </c>
      <c r="BA585" s="246">
        <f>IFERROR(VLOOKUP(K585,VOL_REC[],2,FALSE),0)</f>
        <v>105072</v>
      </c>
      <c r="BB585" s="246">
        <f>IFERROR(VLOOKUP(L585,VOL_REC[],2,FALSE),0)</f>
        <v>0</v>
      </c>
      <c r="BC585" s="246">
        <f>IFERROR(VLOOKUP(M585,VOL_REC[],2,FALSE),0)</f>
        <v>0</v>
      </c>
      <c r="BD585" s="246">
        <f>IFERROR(VLOOKUP(N585,VOL_REC[],2,FALSE),0)</f>
        <v>0</v>
      </c>
      <c r="BE585" s="246">
        <f>IFERROR(VLOOKUP(O585,VOL_REC[],2,FALSE),0)</f>
        <v>0</v>
      </c>
      <c r="BF585" s="246">
        <f>IFERROR(VLOOKUP(P585,VOL_REC[],2,FALSE),0)</f>
        <v>0</v>
      </c>
      <c r="BG585" s="246">
        <f>IFERROR(VLOOKUP(Q585,VOL_REC[],2,FALSE),0)</f>
        <v>0</v>
      </c>
      <c r="BH585" s="1710">
        <f t="shared" si="36"/>
        <v>12392538177.254</v>
      </c>
      <c r="BI585" s="1710">
        <f t="shared" si="37"/>
        <v>15724978219.576935</v>
      </c>
      <c r="BJ585" s="1711">
        <f t="shared" si="38"/>
        <v>31167399.373955328</v>
      </c>
      <c r="BK585" s="1711">
        <f t="shared" si="39"/>
        <v>0.78807983096763923</v>
      </c>
    </row>
    <row r="586" spans="3:67" x14ac:dyDescent="0.25">
      <c r="C586" s="246" t="s">
        <v>1936</v>
      </c>
      <c r="D586" s="246">
        <v>1</v>
      </c>
      <c r="E586" s="246">
        <v>2</v>
      </c>
      <c r="F586" s="246">
        <v>3</v>
      </c>
      <c r="G586" s="246">
        <v>4</v>
      </c>
      <c r="H586" s="246">
        <v>5</v>
      </c>
      <c r="I586" s="246">
        <v>6</v>
      </c>
      <c r="J586" s="246">
        <v>14</v>
      </c>
      <c r="K586" s="246">
        <v>16</v>
      </c>
      <c r="L586" s="246"/>
      <c r="M586" s="246"/>
      <c r="N586" s="246"/>
      <c r="O586" s="246"/>
      <c r="P586" s="246"/>
      <c r="Q586" s="246"/>
      <c r="R586" s="246">
        <f>IFERROR(VLOOKUP(D586,PROGRAMAS[],2,FALSE),0)</f>
        <v>97037803.679377079</v>
      </c>
      <c r="S586" s="246">
        <f>IFERROR(VLOOKUP(E586,PROGRAMAS[],2,FALSE),0)</f>
        <v>640501509.6821388</v>
      </c>
      <c r="T586" s="246">
        <f>IFERROR(VLOOKUP(F586,PROGRAMAS[],2,FALSE),0)</f>
        <v>3062327798.1525245</v>
      </c>
      <c r="U586" s="246">
        <f>IFERROR(VLOOKUP(G586,PROGRAMAS[],2,FALSE),0)</f>
        <v>67697118.033011258</v>
      </c>
      <c r="V586" s="246">
        <f>IFERROR(VLOOKUP(H586,PROGRAMAS[],2,FALSE),0)</f>
        <v>1440941976.2528784</v>
      </c>
      <c r="W586" s="246">
        <f>IFERROR(VLOOKUP(I586,PROGRAMAS[],2,FALSE),0)</f>
        <v>6907648435.8447599</v>
      </c>
      <c r="X586" s="246">
        <f>IFERROR(VLOOKUP(J586,PROGRAMAS[],2,FALSE),0)</f>
        <v>54223862.645839565</v>
      </c>
      <c r="Y586" s="246">
        <f>IFERROR(VLOOKUP(K586,PROGRAMAS[],2,FALSE),0)</f>
        <v>7068496961.0436354</v>
      </c>
      <c r="Z586" s="246">
        <f>IFERROR(VLOOKUP(L586,PROGRAMAS[],2,FALSE),0)</f>
        <v>0</v>
      </c>
      <c r="AA586" s="246">
        <f>IFERROR(VLOOKUP(M586,PROGRAMAS[],2,FALSE),0)</f>
        <v>0</v>
      </c>
      <c r="AB586" s="246">
        <f>IFERROR(VLOOKUP(N586,PROGRAMAS[],2,FALSE),0)</f>
        <v>0</v>
      </c>
      <c r="AC586" s="246">
        <f>IFERROR(VLOOKUP(O586,PROGRAMAS[],2,FALSE),0)</f>
        <v>0</v>
      </c>
      <c r="AD586" s="246">
        <f>IFERROR(VLOOKUP(P586,PROGRAMAS[],2,FALSE),0)</f>
        <v>0</v>
      </c>
      <c r="AE586" s="246">
        <f>IFERROR(VLOOKUP(Q586,PROGRAMAS[],2,FALSE),0)</f>
        <v>0</v>
      </c>
      <c r="AF586" s="246">
        <f>IFERROR(VLOOKUP(D586,PROGRAMAS[],3,FALSE),0)</f>
        <v>841888629.31080008</v>
      </c>
      <c r="AG586" s="246">
        <f>IFERROR(VLOOKUP(E586,PROGRAMAS[],3,FALSE),0)</f>
        <v>3848980803.1642323</v>
      </c>
      <c r="AH586" s="246">
        <f>IFERROR(VLOOKUP(F586,PROGRAMAS[],3,FALSE),0)</f>
        <v>3394901471.387517</v>
      </c>
      <c r="AI586" s="246">
        <f>IFERROR(VLOOKUP(G586,PROGRAMAS[],3,FALSE),0)</f>
        <v>125317226.95549992</v>
      </c>
      <c r="AJ586" s="246">
        <f>IFERROR(VLOOKUP(H586,PROGRAMAS[],3,FALSE),0)</f>
        <v>1233505101.0616004</v>
      </c>
      <c r="AK586" s="246">
        <f>IFERROR(VLOOKUP(I586,PROGRAMAS[],3,FALSE),0)</f>
        <v>6129902208.7912121</v>
      </c>
      <c r="AL586" s="246">
        <f>IFERROR(VLOOKUP(J586,PROGRAMAS[],3,FALSE),0)</f>
        <v>31865326.38096505</v>
      </c>
      <c r="AM586" s="246">
        <f>IFERROR(VLOOKUP(K586,PROGRAMAS[],3,FALSE),0)</f>
        <v>2406564599.0319901</v>
      </c>
      <c r="AN586" s="246">
        <f>IFERROR(VLOOKUP(L586,PROGRAMAS[],3,FALSE),0)</f>
        <v>0</v>
      </c>
      <c r="AO586" s="246">
        <f>IFERROR(VLOOKUP(M586,PROGRAMAS[],3,FALSE),0)</f>
        <v>0</v>
      </c>
      <c r="AP586" s="246">
        <f>IFERROR(VLOOKUP(N586,PROGRAMAS[],3,FALSE),0)</f>
        <v>0</v>
      </c>
      <c r="AQ586" s="246">
        <f>IFERROR(VLOOKUP(O586,PROGRAMAS[],3,FALSE),0)</f>
        <v>0</v>
      </c>
      <c r="AR586" s="246">
        <f>IFERROR(VLOOKUP(P586,PROGRAMAS[],3,FALSE),0)</f>
        <v>0</v>
      </c>
      <c r="AS586" s="246">
        <f>IFERROR(VLOOKUP(Q586,PROGRAMAS[],3,FALSE),0)</f>
        <v>0</v>
      </c>
      <c r="AT586" s="246">
        <f>IFERROR(VLOOKUP(D586,VOL_REC[],2,FALSE),0)</f>
        <v>0</v>
      </c>
      <c r="AU586" s="246">
        <f>IFERROR(VLOOKUP(E586,VOL_REC[],2,FALSE),0)</f>
        <v>0</v>
      </c>
      <c r="AV586" s="246">
        <f>IFERROR(VLOOKUP(F586,VOL_REC[],2,FALSE),0)</f>
        <v>11089674.200000001</v>
      </c>
      <c r="AW586" s="246">
        <f>IFERROR(VLOOKUP(G586,VOL_REC[],2,FALSE),0)</f>
        <v>90439.55</v>
      </c>
      <c r="AX586" s="246">
        <f>IFERROR(VLOOKUP(H586,VOL_REC[],2,FALSE),0)</f>
        <v>4325103.1812214684</v>
      </c>
      <c r="AY586" s="246">
        <f>IFERROR(VLOOKUP(I586,VOL_REC[],2,FALSE),0)</f>
        <v>15540036.397699751</v>
      </c>
      <c r="AZ586" s="246">
        <f>IFERROR(VLOOKUP(J586,VOL_REC[],2,FALSE),0)</f>
        <v>17074.045034105649</v>
      </c>
      <c r="BA586" s="246">
        <f>IFERROR(VLOOKUP(K586,VOL_REC[],2,FALSE),0)</f>
        <v>1072354.9981737854</v>
      </c>
      <c r="BB586" s="246">
        <f>IFERROR(VLOOKUP(L586,VOL_REC[],2,FALSE),0)</f>
        <v>0</v>
      </c>
      <c r="BC586" s="246">
        <f>IFERROR(VLOOKUP(M586,VOL_REC[],2,FALSE),0)</f>
        <v>0</v>
      </c>
      <c r="BD586" s="246">
        <f>IFERROR(VLOOKUP(N586,VOL_REC[],2,FALSE),0)</f>
        <v>0</v>
      </c>
      <c r="BE586" s="246">
        <f>IFERROR(VLOOKUP(O586,VOL_REC[],2,FALSE),0)</f>
        <v>0</v>
      </c>
      <c r="BF586" s="246">
        <f>IFERROR(VLOOKUP(P586,VOL_REC[],2,FALSE),0)</f>
        <v>0</v>
      </c>
      <c r="BG586" s="246">
        <f>IFERROR(VLOOKUP(Q586,VOL_REC[],2,FALSE),0)</f>
        <v>0</v>
      </c>
      <c r="BH586" s="1710">
        <f t="shared" si="36"/>
        <v>19338875465.334167</v>
      </c>
      <c r="BI586" s="1710">
        <f t="shared" si="37"/>
        <v>18012925366.083817</v>
      </c>
      <c r="BJ586" s="1711">
        <f t="shared" si="38"/>
        <v>32134682.372129112</v>
      </c>
      <c r="BK586" s="1711">
        <f t="shared" si="39"/>
        <v>1.0736110360922806</v>
      </c>
      <c r="BL586">
        <f>BJ586</f>
        <v>32134682.372129112</v>
      </c>
      <c r="BO586">
        <f>BL586</f>
        <v>32134682.372129112</v>
      </c>
    </row>
    <row r="587" spans="3:67" x14ac:dyDescent="0.25">
      <c r="C587" s="246" t="s">
        <v>1937</v>
      </c>
      <c r="D587" s="246">
        <v>1</v>
      </c>
      <c r="E587" s="246">
        <v>2</v>
      </c>
      <c r="F587" s="246">
        <v>3</v>
      </c>
      <c r="G587" s="246">
        <v>4</v>
      </c>
      <c r="H587" s="246">
        <v>5</v>
      </c>
      <c r="I587" s="246">
        <v>6</v>
      </c>
      <c r="J587" s="246">
        <v>14</v>
      </c>
      <c r="K587" s="246">
        <v>17</v>
      </c>
      <c r="L587" s="246"/>
      <c r="M587" s="246"/>
      <c r="N587" s="246"/>
      <c r="O587" s="246"/>
      <c r="P587" s="246"/>
      <c r="Q587" s="246"/>
      <c r="R587" s="246">
        <f>IFERROR(VLOOKUP(D587,PROGRAMAS[],2,FALSE),0)</f>
        <v>97037803.679377079</v>
      </c>
      <c r="S587" s="246">
        <f>IFERROR(VLOOKUP(E587,PROGRAMAS[],2,FALSE),0)</f>
        <v>640501509.6821388</v>
      </c>
      <c r="T587" s="246">
        <f>IFERROR(VLOOKUP(F587,PROGRAMAS[],2,FALSE),0)</f>
        <v>3062327798.1525245</v>
      </c>
      <c r="U587" s="246">
        <f>IFERROR(VLOOKUP(G587,PROGRAMAS[],2,FALSE),0)</f>
        <v>67697118.033011258</v>
      </c>
      <c r="V587" s="246">
        <f>IFERROR(VLOOKUP(H587,PROGRAMAS[],2,FALSE),0)</f>
        <v>1440941976.2528784</v>
      </c>
      <c r="W587" s="246">
        <f>IFERROR(VLOOKUP(I587,PROGRAMAS[],2,FALSE),0)</f>
        <v>6907648435.8447599</v>
      </c>
      <c r="X587" s="246">
        <f>IFERROR(VLOOKUP(J587,PROGRAMAS[],2,FALSE),0)</f>
        <v>54223862.645839565</v>
      </c>
      <c r="Y587" s="246">
        <f>IFERROR(VLOOKUP(K587,PROGRAMAS[],2,FALSE),0)</f>
        <v>1892779498.5211046</v>
      </c>
      <c r="Z587" s="246">
        <f>IFERROR(VLOOKUP(L587,PROGRAMAS[],2,FALSE),0)</f>
        <v>0</v>
      </c>
      <c r="AA587" s="246">
        <f>IFERROR(VLOOKUP(M587,PROGRAMAS[],2,FALSE),0)</f>
        <v>0</v>
      </c>
      <c r="AB587" s="246">
        <f>IFERROR(VLOOKUP(N587,PROGRAMAS[],2,FALSE),0)</f>
        <v>0</v>
      </c>
      <c r="AC587" s="246">
        <f>IFERROR(VLOOKUP(O587,PROGRAMAS[],2,FALSE),0)</f>
        <v>0</v>
      </c>
      <c r="AD587" s="246">
        <f>IFERROR(VLOOKUP(P587,PROGRAMAS[],2,FALSE),0)</f>
        <v>0</v>
      </c>
      <c r="AE587" s="246">
        <f>IFERROR(VLOOKUP(Q587,PROGRAMAS[],2,FALSE),0)</f>
        <v>0</v>
      </c>
      <c r="AF587" s="246">
        <f>IFERROR(VLOOKUP(D587,PROGRAMAS[],3,FALSE),0)</f>
        <v>841888629.31080008</v>
      </c>
      <c r="AG587" s="246">
        <f>IFERROR(VLOOKUP(E587,PROGRAMAS[],3,FALSE),0)</f>
        <v>3848980803.1642323</v>
      </c>
      <c r="AH587" s="246">
        <f>IFERROR(VLOOKUP(F587,PROGRAMAS[],3,FALSE),0)</f>
        <v>3394901471.387517</v>
      </c>
      <c r="AI587" s="246">
        <f>IFERROR(VLOOKUP(G587,PROGRAMAS[],3,FALSE),0)</f>
        <v>125317226.95549992</v>
      </c>
      <c r="AJ587" s="246">
        <f>IFERROR(VLOOKUP(H587,PROGRAMAS[],3,FALSE),0)</f>
        <v>1233505101.0616004</v>
      </c>
      <c r="AK587" s="246">
        <f>IFERROR(VLOOKUP(I587,PROGRAMAS[],3,FALSE),0)</f>
        <v>6129902208.7912121</v>
      </c>
      <c r="AL587" s="246">
        <f>IFERROR(VLOOKUP(J587,PROGRAMAS[],3,FALSE),0)</f>
        <v>31865326.38096505</v>
      </c>
      <c r="AM587" s="246">
        <f>IFERROR(VLOOKUP(K587,PROGRAMAS[],3,FALSE),0)</f>
        <v>948595847.09039903</v>
      </c>
      <c r="AN587" s="246">
        <f>IFERROR(VLOOKUP(L587,PROGRAMAS[],3,FALSE),0)</f>
        <v>0</v>
      </c>
      <c r="AO587" s="246">
        <f>IFERROR(VLOOKUP(M587,PROGRAMAS[],3,FALSE),0)</f>
        <v>0</v>
      </c>
      <c r="AP587" s="246">
        <f>IFERROR(VLOOKUP(N587,PROGRAMAS[],3,FALSE),0)</f>
        <v>0</v>
      </c>
      <c r="AQ587" s="246">
        <f>IFERROR(VLOOKUP(O587,PROGRAMAS[],3,FALSE),0)</f>
        <v>0</v>
      </c>
      <c r="AR587" s="246">
        <f>IFERROR(VLOOKUP(P587,PROGRAMAS[],3,FALSE),0)</f>
        <v>0</v>
      </c>
      <c r="AS587" s="246">
        <f>IFERROR(VLOOKUP(Q587,PROGRAMAS[],3,FALSE),0)</f>
        <v>0</v>
      </c>
      <c r="AT587" s="246">
        <f>IFERROR(VLOOKUP(D587,VOL_REC[],2,FALSE),0)</f>
        <v>0</v>
      </c>
      <c r="AU587" s="246">
        <f>IFERROR(VLOOKUP(E587,VOL_REC[],2,FALSE),0)</f>
        <v>0</v>
      </c>
      <c r="AV587" s="246">
        <f>IFERROR(VLOOKUP(F587,VOL_REC[],2,FALSE),0)</f>
        <v>11089674.200000001</v>
      </c>
      <c r="AW587" s="246">
        <f>IFERROR(VLOOKUP(G587,VOL_REC[],2,FALSE),0)</f>
        <v>90439.55</v>
      </c>
      <c r="AX587" s="246">
        <f>IFERROR(VLOOKUP(H587,VOL_REC[],2,FALSE),0)</f>
        <v>4325103.1812214684</v>
      </c>
      <c r="AY587" s="246">
        <f>IFERROR(VLOOKUP(I587,VOL_REC[],2,FALSE),0)</f>
        <v>15540036.397699751</v>
      </c>
      <c r="AZ587" s="246">
        <f>IFERROR(VLOOKUP(J587,VOL_REC[],2,FALSE),0)</f>
        <v>17074.045034105649</v>
      </c>
      <c r="BA587" s="246">
        <f>IFERROR(VLOOKUP(K587,VOL_REC[],2,FALSE),0)</f>
        <v>740113.98115702497</v>
      </c>
      <c r="BB587" s="246">
        <f>IFERROR(VLOOKUP(L587,VOL_REC[],2,FALSE),0)</f>
        <v>0</v>
      </c>
      <c r="BC587" s="246">
        <f>IFERROR(VLOOKUP(M587,VOL_REC[],2,FALSE),0)</f>
        <v>0</v>
      </c>
      <c r="BD587" s="246">
        <f>IFERROR(VLOOKUP(N587,VOL_REC[],2,FALSE),0)</f>
        <v>0</v>
      </c>
      <c r="BE587" s="246">
        <f>IFERROR(VLOOKUP(O587,VOL_REC[],2,FALSE),0)</f>
        <v>0</v>
      </c>
      <c r="BF587" s="246">
        <f>IFERROR(VLOOKUP(P587,VOL_REC[],2,FALSE),0)</f>
        <v>0</v>
      </c>
      <c r="BG587" s="246">
        <f>IFERROR(VLOOKUP(Q587,VOL_REC[],2,FALSE),0)</f>
        <v>0</v>
      </c>
      <c r="BH587" s="1710">
        <f t="shared" si="36"/>
        <v>14163158002.811636</v>
      </c>
      <c r="BI587" s="1710">
        <f t="shared" si="37"/>
        <v>16554956614.142225</v>
      </c>
      <c r="BJ587" s="1711">
        <f t="shared" si="38"/>
        <v>31802441.355112351</v>
      </c>
      <c r="BK587" s="1711">
        <f t="shared" si="39"/>
        <v>0.85552371612454892</v>
      </c>
    </row>
    <row r="588" spans="3:67" x14ac:dyDescent="0.25">
      <c r="C588" s="246" t="s">
        <v>1938</v>
      </c>
      <c r="D588" s="246">
        <v>1</v>
      </c>
      <c r="E588" s="246">
        <v>2</v>
      </c>
      <c r="F588" s="246">
        <v>3</v>
      </c>
      <c r="G588" s="246">
        <v>4</v>
      </c>
      <c r="H588" s="246">
        <v>5</v>
      </c>
      <c r="I588" s="246">
        <v>6</v>
      </c>
      <c r="J588" s="246">
        <v>15</v>
      </c>
      <c r="K588" s="246">
        <v>16</v>
      </c>
      <c r="L588" s="246"/>
      <c r="M588" s="246"/>
      <c r="N588" s="246"/>
      <c r="O588" s="246"/>
      <c r="P588" s="246"/>
      <c r="Q588" s="246"/>
      <c r="R588" s="246">
        <f>IFERROR(VLOOKUP(D588,PROGRAMAS[],2,FALSE),0)</f>
        <v>97037803.679377079</v>
      </c>
      <c r="S588" s="246">
        <f>IFERROR(VLOOKUP(E588,PROGRAMAS[],2,FALSE),0)</f>
        <v>640501509.6821388</v>
      </c>
      <c r="T588" s="246">
        <f>IFERROR(VLOOKUP(F588,PROGRAMAS[],2,FALSE),0)</f>
        <v>3062327798.1525245</v>
      </c>
      <c r="U588" s="246">
        <f>IFERROR(VLOOKUP(G588,PROGRAMAS[],2,FALSE),0)</f>
        <v>67697118.033011258</v>
      </c>
      <c r="V588" s="246">
        <f>IFERROR(VLOOKUP(H588,PROGRAMAS[],2,FALSE),0)</f>
        <v>1440941976.2528784</v>
      </c>
      <c r="W588" s="246">
        <f>IFERROR(VLOOKUP(I588,PROGRAMAS[],2,FALSE),0)</f>
        <v>6907648435.8447599</v>
      </c>
      <c r="X588" s="246">
        <f>IFERROR(VLOOKUP(J588,PROGRAMAS[],2,FALSE),0)</f>
        <v>122159672.96346797</v>
      </c>
      <c r="Y588" s="246">
        <f>IFERROR(VLOOKUP(K588,PROGRAMAS[],2,FALSE),0)</f>
        <v>7068496961.0436354</v>
      </c>
      <c r="Z588" s="246">
        <f>IFERROR(VLOOKUP(L588,PROGRAMAS[],2,FALSE),0)</f>
        <v>0</v>
      </c>
      <c r="AA588" s="246">
        <f>IFERROR(VLOOKUP(M588,PROGRAMAS[],2,FALSE),0)</f>
        <v>0</v>
      </c>
      <c r="AB588" s="246">
        <f>IFERROR(VLOOKUP(N588,PROGRAMAS[],2,FALSE),0)</f>
        <v>0</v>
      </c>
      <c r="AC588" s="246">
        <f>IFERROR(VLOOKUP(O588,PROGRAMAS[],2,FALSE),0)</f>
        <v>0</v>
      </c>
      <c r="AD588" s="246">
        <f>IFERROR(VLOOKUP(P588,PROGRAMAS[],2,FALSE),0)</f>
        <v>0</v>
      </c>
      <c r="AE588" s="246">
        <f>IFERROR(VLOOKUP(Q588,PROGRAMAS[],2,FALSE),0)</f>
        <v>0</v>
      </c>
      <c r="AF588" s="246">
        <f>IFERROR(VLOOKUP(D588,PROGRAMAS[],3,FALSE),0)</f>
        <v>841888629.31080008</v>
      </c>
      <c r="AG588" s="246">
        <f>IFERROR(VLOOKUP(E588,PROGRAMAS[],3,FALSE),0)</f>
        <v>3848980803.1642323</v>
      </c>
      <c r="AH588" s="246">
        <f>IFERROR(VLOOKUP(F588,PROGRAMAS[],3,FALSE),0)</f>
        <v>3394901471.387517</v>
      </c>
      <c r="AI588" s="246">
        <f>IFERROR(VLOOKUP(G588,PROGRAMAS[],3,FALSE),0)</f>
        <v>125317226.95549992</v>
      </c>
      <c r="AJ588" s="246">
        <f>IFERROR(VLOOKUP(H588,PROGRAMAS[],3,FALSE),0)</f>
        <v>1233505101.0616004</v>
      </c>
      <c r="AK588" s="246">
        <f>IFERROR(VLOOKUP(I588,PROGRAMAS[],3,FALSE),0)</f>
        <v>6129902208.7912121</v>
      </c>
      <c r="AL588" s="246">
        <f>IFERROR(VLOOKUP(J588,PROGRAMAS[],3,FALSE),0)</f>
        <v>118617452.52510804</v>
      </c>
      <c r="AM588" s="246">
        <f>IFERROR(VLOOKUP(K588,PROGRAMAS[],3,FALSE),0)</f>
        <v>2406564599.0319901</v>
      </c>
      <c r="AN588" s="246">
        <f>IFERROR(VLOOKUP(L588,PROGRAMAS[],3,FALSE),0)</f>
        <v>0</v>
      </c>
      <c r="AO588" s="246">
        <f>IFERROR(VLOOKUP(M588,PROGRAMAS[],3,FALSE),0)</f>
        <v>0</v>
      </c>
      <c r="AP588" s="246">
        <f>IFERROR(VLOOKUP(N588,PROGRAMAS[],3,FALSE),0)</f>
        <v>0</v>
      </c>
      <c r="AQ588" s="246">
        <f>IFERROR(VLOOKUP(O588,PROGRAMAS[],3,FALSE),0)</f>
        <v>0</v>
      </c>
      <c r="AR588" s="246">
        <f>IFERROR(VLOOKUP(P588,PROGRAMAS[],3,FALSE),0)</f>
        <v>0</v>
      </c>
      <c r="AS588" s="246">
        <f>IFERROR(VLOOKUP(Q588,PROGRAMAS[],3,FALSE),0)</f>
        <v>0</v>
      </c>
      <c r="AT588" s="246">
        <f>IFERROR(VLOOKUP(D588,VOL_REC[],2,FALSE),0)</f>
        <v>0</v>
      </c>
      <c r="AU588" s="246">
        <f>IFERROR(VLOOKUP(E588,VOL_REC[],2,FALSE),0)</f>
        <v>0</v>
      </c>
      <c r="AV588" s="246">
        <f>IFERROR(VLOOKUP(F588,VOL_REC[],2,FALSE),0)</f>
        <v>11089674.200000001</v>
      </c>
      <c r="AW588" s="246">
        <f>IFERROR(VLOOKUP(G588,VOL_REC[],2,FALSE),0)</f>
        <v>90439.55</v>
      </c>
      <c r="AX588" s="246">
        <f>IFERROR(VLOOKUP(H588,VOL_REC[],2,FALSE),0)</f>
        <v>4325103.1812214684</v>
      </c>
      <c r="AY588" s="246">
        <f>IFERROR(VLOOKUP(I588,VOL_REC[],2,FALSE),0)</f>
        <v>15540036.397699751</v>
      </c>
      <c r="AZ588" s="246">
        <f>IFERROR(VLOOKUP(J588,VOL_REC[],2,FALSE),0)</f>
        <v>105072</v>
      </c>
      <c r="BA588" s="246">
        <f>IFERROR(VLOOKUP(K588,VOL_REC[],2,FALSE),0)</f>
        <v>1072354.9981737854</v>
      </c>
      <c r="BB588" s="246">
        <f>IFERROR(VLOOKUP(L588,VOL_REC[],2,FALSE),0)</f>
        <v>0</v>
      </c>
      <c r="BC588" s="246">
        <f>IFERROR(VLOOKUP(M588,VOL_REC[],2,FALSE),0)</f>
        <v>0</v>
      </c>
      <c r="BD588" s="246">
        <f>IFERROR(VLOOKUP(N588,VOL_REC[],2,FALSE),0)</f>
        <v>0</v>
      </c>
      <c r="BE588" s="246">
        <f>IFERROR(VLOOKUP(O588,VOL_REC[],2,FALSE),0)</f>
        <v>0</v>
      </c>
      <c r="BF588" s="246">
        <f>IFERROR(VLOOKUP(P588,VOL_REC[],2,FALSE),0)</f>
        <v>0</v>
      </c>
      <c r="BG588" s="246">
        <f>IFERROR(VLOOKUP(Q588,VOL_REC[],2,FALSE),0)</f>
        <v>0</v>
      </c>
      <c r="BH588" s="1710">
        <f t="shared" si="36"/>
        <v>19406811275.651794</v>
      </c>
      <c r="BI588" s="1710">
        <f t="shared" si="37"/>
        <v>18099677492.227959</v>
      </c>
      <c r="BJ588" s="1711">
        <f t="shared" si="38"/>
        <v>32222680.327095006</v>
      </c>
      <c r="BK588" s="1711">
        <f t="shared" si="39"/>
        <v>1.0722186229000557</v>
      </c>
      <c r="BL588">
        <f>BJ588</f>
        <v>32222680.327095006</v>
      </c>
      <c r="BO588">
        <f>BL588</f>
        <v>32222680.327095006</v>
      </c>
    </row>
    <row r="589" spans="3:67" x14ac:dyDescent="0.25">
      <c r="C589" s="246" t="s">
        <v>1939</v>
      </c>
      <c r="D589" s="246">
        <v>1</v>
      </c>
      <c r="E589" s="246">
        <v>2</v>
      </c>
      <c r="F589" s="246">
        <v>3</v>
      </c>
      <c r="G589" s="246">
        <v>4</v>
      </c>
      <c r="H589" s="246">
        <v>5</v>
      </c>
      <c r="I589" s="246">
        <v>6</v>
      </c>
      <c r="J589" s="246">
        <v>15</v>
      </c>
      <c r="K589" s="246">
        <v>17</v>
      </c>
      <c r="L589" s="246"/>
      <c r="M589" s="246"/>
      <c r="N589" s="246"/>
      <c r="O589" s="246"/>
      <c r="P589" s="246"/>
      <c r="Q589" s="246"/>
      <c r="R589" s="246">
        <f>IFERROR(VLOOKUP(D589,PROGRAMAS[],2,FALSE),0)</f>
        <v>97037803.679377079</v>
      </c>
      <c r="S589" s="246">
        <f>IFERROR(VLOOKUP(E589,PROGRAMAS[],2,FALSE),0)</f>
        <v>640501509.6821388</v>
      </c>
      <c r="T589" s="246">
        <f>IFERROR(VLOOKUP(F589,PROGRAMAS[],2,FALSE),0)</f>
        <v>3062327798.1525245</v>
      </c>
      <c r="U589" s="246">
        <f>IFERROR(VLOOKUP(G589,PROGRAMAS[],2,FALSE),0)</f>
        <v>67697118.033011258</v>
      </c>
      <c r="V589" s="246">
        <f>IFERROR(VLOOKUP(H589,PROGRAMAS[],2,FALSE),0)</f>
        <v>1440941976.2528784</v>
      </c>
      <c r="W589" s="246">
        <f>IFERROR(VLOOKUP(I589,PROGRAMAS[],2,FALSE),0)</f>
        <v>6907648435.8447599</v>
      </c>
      <c r="X589" s="246">
        <f>IFERROR(VLOOKUP(J589,PROGRAMAS[],2,FALSE),0)</f>
        <v>122159672.96346797</v>
      </c>
      <c r="Y589" s="246">
        <f>IFERROR(VLOOKUP(K589,PROGRAMAS[],2,FALSE),0)</f>
        <v>1892779498.5211046</v>
      </c>
      <c r="Z589" s="246">
        <f>IFERROR(VLOOKUP(L589,PROGRAMAS[],2,FALSE),0)</f>
        <v>0</v>
      </c>
      <c r="AA589" s="246">
        <f>IFERROR(VLOOKUP(M589,PROGRAMAS[],2,FALSE),0)</f>
        <v>0</v>
      </c>
      <c r="AB589" s="246">
        <f>IFERROR(VLOOKUP(N589,PROGRAMAS[],2,FALSE),0)</f>
        <v>0</v>
      </c>
      <c r="AC589" s="246">
        <f>IFERROR(VLOOKUP(O589,PROGRAMAS[],2,FALSE),0)</f>
        <v>0</v>
      </c>
      <c r="AD589" s="246">
        <f>IFERROR(VLOOKUP(P589,PROGRAMAS[],2,FALSE),0)</f>
        <v>0</v>
      </c>
      <c r="AE589" s="246">
        <f>IFERROR(VLOOKUP(Q589,PROGRAMAS[],2,FALSE),0)</f>
        <v>0</v>
      </c>
      <c r="AF589" s="246">
        <f>IFERROR(VLOOKUP(D589,PROGRAMAS[],3,FALSE),0)</f>
        <v>841888629.31080008</v>
      </c>
      <c r="AG589" s="246">
        <f>IFERROR(VLOOKUP(E589,PROGRAMAS[],3,FALSE),0)</f>
        <v>3848980803.1642323</v>
      </c>
      <c r="AH589" s="246">
        <f>IFERROR(VLOOKUP(F589,PROGRAMAS[],3,FALSE),0)</f>
        <v>3394901471.387517</v>
      </c>
      <c r="AI589" s="246">
        <f>IFERROR(VLOOKUP(G589,PROGRAMAS[],3,FALSE),0)</f>
        <v>125317226.95549992</v>
      </c>
      <c r="AJ589" s="246">
        <f>IFERROR(VLOOKUP(H589,PROGRAMAS[],3,FALSE),0)</f>
        <v>1233505101.0616004</v>
      </c>
      <c r="AK589" s="246">
        <f>IFERROR(VLOOKUP(I589,PROGRAMAS[],3,FALSE),0)</f>
        <v>6129902208.7912121</v>
      </c>
      <c r="AL589" s="246">
        <f>IFERROR(VLOOKUP(J589,PROGRAMAS[],3,FALSE),0)</f>
        <v>118617452.52510804</v>
      </c>
      <c r="AM589" s="246">
        <f>IFERROR(VLOOKUP(K589,PROGRAMAS[],3,FALSE),0)</f>
        <v>948595847.09039903</v>
      </c>
      <c r="AN589" s="246">
        <f>IFERROR(VLOOKUP(L589,PROGRAMAS[],3,FALSE),0)</f>
        <v>0</v>
      </c>
      <c r="AO589" s="246">
        <f>IFERROR(VLOOKUP(M589,PROGRAMAS[],3,FALSE),0)</f>
        <v>0</v>
      </c>
      <c r="AP589" s="246">
        <f>IFERROR(VLOOKUP(N589,PROGRAMAS[],3,FALSE),0)</f>
        <v>0</v>
      </c>
      <c r="AQ589" s="246">
        <f>IFERROR(VLOOKUP(O589,PROGRAMAS[],3,FALSE),0)</f>
        <v>0</v>
      </c>
      <c r="AR589" s="246">
        <f>IFERROR(VLOOKUP(P589,PROGRAMAS[],3,FALSE),0)</f>
        <v>0</v>
      </c>
      <c r="AS589" s="246">
        <f>IFERROR(VLOOKUP(Q589,PROGRAMAS[],3,FALSE),0)</f>
        <v>0</v>
      </c>
      <c r="AT589" s="246">
        <f>IFERROR(VLOOKUP(D589,VOL_REC[],2,FALSE),0)</f>
        <v>0</v>
      </c>
      <c r="AU589" s="246">
        <f>IFERROR(VLOOKUP(E589,VOL_REC[],2,FALSE),0)</f>
        <v>0</v>
      </c>
      <c r="AV589" s="246">
        <f>IFERROR(VLOOKUP(F589,VOL_REC[],2,FALSE),0)</f>
        <v>11089674.200000001</v>
      </c>
      <c r="AW589" s="246">
        <f>IFERROR(VLOOKUP(G589,VOL_REC[],2,FALSE),0)</f>
        <v>90439.55</v>
      </c>
      <c r="AX589" s="246">
        <f>IFERROR(VLOOKUP(H589,VOL_REC[],2,FALSE),0)</f>
        <v>4325103.1812214684</v>
      </c>
      <c r="AY589" s="246">
        <f>IFERROR(VLOOKUP(I589,VOL_REC[],2,FALSE),0)</f>
        <v>15540036.397699751</v>
      </c>
      <c r="AZ589" s="246">
        <f>IFERROR(VLOOKUP(J589,VOL_REC[],2,FALSE),0)</f>
        <v>105072</v>
      </c>
      <c r="BA589" s="246">
        <f>IFERROR(VLOOKUP(K589,VOL_REC[],2,FALSE),0)</f>
        <v>740113.98115702497</v>
      </c>
      <c r="BB589" s="246">
        <f>IFERROR(VLOOKUP(L589,VOL_REC[],2,FALSE),0)</f>
        <v>0</v>
      </c>
      <c r="BC589" s="246">
        <f>IFERROR(VLOOKUP(M589,VOL_REC[],2,FALSE),0)</f>
        <v>0</v>
      </c>
      <c r="BD589" s="246">
        <f>IFERROR(VLOOKUP(N589,VOL_REC[],2,FALSE),0)</f>
        <v>0</v>
      </c>
      <c r="BE589" s="246">
        <f>IFERROR(VLOOKUP(O589,VOL_REC[],2,FALSE),0)</f>
        <v>0</v>
      </c>
      <c r="BF589" s="246">
        <f>IFERROR(VLOOKUP(P589,VOL_REC[],2,FALSE),0)</f>
        <v>0</v>
      </c>
      <c r="BG589" s="246">
        <f>IFERROR(VLOOKUP(Q589,VOL_REC[],2,FALSE),0)</f>
        <v>0</v>
      </c>
      <c r="BH589" s="1710">
        <f t="shared" si="36"/>
        <v>14231093813.129265</v>
      </c>
      <c r="BI589" s="1710">
        <f t="shared" si="37"/>
        <v>16641708740.286369</v>
      </c>
      <c r="BJ589" s="1711">
        <f t="shared" si="38"/>
        <v>31890439.310078245</v>
      </c>
      <c r="BK589" s="1711">
        <f t="shared" si="39"/>
        <v>0.85514618932601127</v>
      </c>
    </row>
    <row r="590" spans="3:67" x14ac:dyDescent="0.25">
      <c r="C590" s="246" t="s">
        <v>1940</v>
      </c>
      <c r="D590" s="246">
        <v>1</v>
      </c>
      <c r="E590" s="246">
        <v>2</v>
      </c>
      <c r="F590" s="246">
        <v>3</v>
      </c>
      <c r="G590" s="246">
        <v>4</v>
      </c>
      <c r="H590" s="246">
        <v>5</v>
      </c>
      <c r="I590" s="246">
        <v>6</v>
      </c>
      <c r="J590" s="246">
        <v>16</v>
      </c>
      <c r="K590" s="246">
        <v>17</v>
      </c>
      <c r="L590" s="246"/>
      <c r="M590" s="246"/>
      <c r="N590" s="246"/>
      <c r="O590" s="246"/>
      <c r="P590" s="246"/>
      <c r="Q590" s="246"/>
      <c r="R590" s="246">
        <f>IFERROR(VLOOKUP(D590,PROGRAMAS[],2,FALSE),0)</f>
        <v>97037803.679377079</v>
      </c>
      <c r="S590" s="246">
        <f>IFERROR(VLOOKUP(E590,PROGRAMAS[],2,FALSE),0)</f>
        <v>640501509.6821388</v>
      </c>
      <c r="T590" s="246">
        <f>IFERROR(VLOOKUP(F590,PROGRAMAS[],2,FALSE),0)</f>
        <v>3062327798.1525245</v>
      </c>
      <c r="U590" s="246">
        <f>IFERROR(VLOOKUP(G590,PROGRAMAS[],2,FALSE),0)</f>
        <v>67697118.033011258</v>
      </c>
      <c r="V590" s="246">
        <f>IFERROR(VLOOKUP(H590,PROGRAMAS[],2,FALSE),0)</f>
        <v>1440941976.2528784</v>
      </c>
      <c r="W590" s="246">
        <f>IFERROR(VLOOKUP(I590,PROGRAMAS[],2,FALSE),0)</f>
        <v>6907648435.8447599</v>
      </c>
      <c r="X590" s="246">
        <f>IFERROR(VLOOKUP(J590,PROGRAMAS[],2,FALSE),0)</f>
        <v>7068496961.0436354</v>
      </c>
      <c r="Y590" s="246">
        <f>IFERROR(VLOOKUP(K590,PROGRAMAS[],2,FALSE),0)</f>
        <v>1892779498.5211046</v>
      </c>
      <c r="Z590" s="246">
        <f>IFERROR(VLOOKUP(L590,PROGRAMAS[],2,FALSE),0)</f>
        <v>0</v>
      </c>
      <c r="AA590" s="246">
        <f>IFERROR(VLOOKUP(M590,PROGRAMAS[],2,FALSE),0)</f>
        <v>0</v>
      </c>
      <c r="AB590" s="246">
        <f>IFERROR(VLOOKUP(N590,PROGRAMAS[],2,FALSE),0)</f>
        <v>0</v>
      </c>
      <c r="AC590" s="246">
        <f>IFERROR(VLOOKUP(O590,PROGRAMAS[],2,FALSE),0)</f>
        <v>0</v>
      </c>
      <c r="AD590" s="246">
        <f>IFERROR(VLOOKUP(P590,PROGRAMAS[],2,FALSE),0)</f>
        <v>0</v>
      </c>
      <c r="AE590" s="246">
        <f>IFERROR(VLOOKUP(Q590,PROGRAMAS[],2,FALSE),0)</f>
        <v>0</v>
      </c>
      <c r="AF590" s="246">
        <f>IFERROR(VLOOKUP(D590,PROGRAMAS[],3,FALSE),0)</f>
        <v>841888629.31080008</v>
      </c>
      <c r="AG590" s="246">
        <f>IFERROR(VLOOKUP(E590,PROGRAMAS[],3,FALSE),0)</f>
        <v>3848980803.1642323</v>
      </c>
      <c r="AH590" s="246">
        <f>IFERROR(VLOOKUP(F590,PROGRAMAS[],3,FALSE),0)</f>
        <v>3394901471.387517</v>
      </c>
      <c r="AI590" s="246">
        <f>IFERROR(VLOOKUP(G590,PROGRAMAS[],3,FALSE),0)</f>
        <v>125317226.95549992</v>
      </c>
      <c r="AJ590" s="246">
        <f>IFERROR(VLOOKUP(H590,PROGRAMAS[],3,FALSE),0)</f>
        <v>1233505101.0616004</v>
      </c>
      <c r="AK590" s="246">
        <f>IFERROR(VLOOKUP(I590,PROGRAMAS[],3,FALSE),0)</f>
        <v>6129902208.7912121</v>
      </c>
      <c r="AL590" s="246">
        <f>IFERROR(VLOOKUP(J590,PROGRAMAS[],3,FALSE),0)</f>
        <v>2406564599.0319901</v>
      </c>
      <c r="AM590" s="246">
        <f>IFERROR(VLOOKUP(K590,PROGRAMAS[],3,FALSE),0)</f>
        <v>948595847.09039903</v>
      </c>
      <c r="AN590" s="246">
        <f>IFERROR(VLOOKUP(L590,PROGRAMAS[],3,FALSE),0)</f>
        <v>0</v>
      </c>
      <c r="AO590" s="246">
        <f>IFERROR(VLOOKUP(M590,PROGRAMAS[],3,FALSE),0)</f>
        <v>0</v>
      </c>
      <c r="AP590" s="246">
        <f>IFERROR(VLOOKUP(N590,PROGRAMAS[],3,FALSE),0)</f>
        <v>0</v>
      </c>
      <c r="AQ590" s="246">
        <f>IFERROR(VLOOKUP(O590,PROGRAMAS[],3,FALSE),0)</f>
        <v>0</v>
      </c>
      <c r="AR590" s="246">
        <f>IFERROR(VLOOKUP(P590,PROGRAMAS[],3,FALSE),0)</f>
        <v>0</v>
      </c>
      <c r="AS590" s="246">
        <f>IFERROR(VLOOKUP(Q590,PROGRAMAS[],3,FALSE),0)</f>
        <v>0</v>
      </c>
      <c r="AT590" s="246">
        <f>IFERROR(VLOOKUP(D590,VOL_REC[],2,FALSE),0)</f>
        <v>0</v>
      </c>
      <c r="AU590" s="246">
        <f>IFERROR(VLOOKUP(E590,VOL_REC[],2,FALSE),0)</f>
        <v>0</v>
      </c>
      <c r="AV590" s="246">
        <f>IFERROR(VLOOKUP(F590,VOL_REC[],2,FALSE),0)</f>
        <v>11089674.200000001</v>
      </c>
      <c r="AW590" s="246">
        <f>IFERROR(VLOOKUP(G590,VOL_REC[],2,FALSE),0)</f>
        <v>90439.55</v>
      </c>
      <c r="AX590" s="246">
        <f>IFERROR(VLOOKUP(H590,VOL_REC[],2,FALSE),0)</f>
        <v>4325103.1812214684</v>
      </c>
      <c r="AY590" s="246">
        <f>IFERROR(VLOOKUP(I590,VOL_REC[],2,FALSE),0)</f>
        <v>15540036.397699751</v>
      </c>
      <c r="AZ590" s="246">
        <f>IFERROR(VLOOKUP(J590,VOL_REC[],2,FALSE),0)</f>
        <v>1072354.9981737854</v>
      </c>
      <c r="BA590" s="246">
        <f>IFERROR(VLOOKUP(K590,VOL_REC[],2,FALSE),0)</f>
        <v>740113.98115702497</v>
      </c>
      <c r="BB590" s="246">
        <f>IFERROR(VLOOKUP(L590,VOL_REC[],2,FALSE),0)</f>
        <v>0</v>
      </c>
      <c r="BC590" s="246">
        <f>IFERROR(VLOOKUP(M590,VOL_REC[],2,FALSE),0)</f>
        <v>0</v>
      </c>
      <c r="BD590" s="246">
        <f>IFERROR(VLOOKUP(N590,VOL_REC[],2,FALSE),0)</f>
        <v>0</v>
      </c>
      <c r="BE590" s="246">
        <f>IFERROR(VLOOKUP(O590,VOL_REC[],2,FALSE),0)</f>
        <v>0</v>
      </c>
      <c r="BF590" s="246">
        <f>IFERROR(VLOOKUP(P590,VOL_REC[],2,FALSE),0)</f>
        <v>0</v>
      </c>
      <c r="BG590" s="246">
        <f>IFERROR(VLOOKUP(Q590,VOL_REC[],2,FALSE),0)</f>
        <v>0</v>
      </c>
      <c r="BH590" s="1710">
        <f t="shared" si="36"/>
        <v>21177431101.209431</v>
      </c>
      <c r="BI590" s="1710">
        <f t="shared" si="37"/>
        <v>18929655886.793251</v>
      </c>
      <c r="BJ590" s="1711">
        <f t="shared" si="38"/>
        <v>32857722.308252029</v>
      </c>
      <c r="BK590" s="1711">
        <f t="shared" si="39"/>
        <v>1.1187435856129004</v>
      </c>
      <c r="BL590">
        <f>BJ590</f>
        <v>32857722.308252029</v>
      </c>
      <c r="BO590">
        <f>BL590</f>
        <v>32857722.308252029</v>
      </c>
    </row>
    <row r="591" spans="3:67" x14ac:dyDescent="0.25">
      <c r="C591" s="246" t="s">
        <v>1941</v>
      </c>
      <c r="D591" s="246">
        <v>1</v>
      </c>
      <c r="E591" s="246">
        <v>2</v>
      </c>
      <c r="F591" s="246">
        <v>3</v>
      </c>
      <c r="G591" s="246">
        <v>4</v>
      </c>
      <c r="H591" s="246">
        <v>5</v>
      </c>
      <c r="I591" s="246">
        <v>9</v>
      </c>
      <c r="J591" s="246">
        <v>10</v>
      </c>
      <c r="K591" s="246">
        <v>12</v>
      </c>
      <c r="L591" s="246"/>
      <c r="M591" s="246"/>
      <c r="N591" s="246"/>
      <c r="O591" s="246"/>
      <c r="P591" s="246"/>
      <c r="Q591" s="246"/>
      <c r="R591" s="246">
        <f>IFERROR(VLOOKUP(D591,PROGRAMAS[],2,FALSE),0)</f>
        <v>97037803.679377079</v>
      </c>
      <c r="S591" s="246">
        <f>IFERROR(VLOOKUP(E591,PROGRAMAS[],2,FALSE),0)</f>
        <v>640501509.6821388</v>
      </c>
      <c r="T591" s="246">
        <f>IFERROR(VLOOKUP(F591,PROGRAMAS[],2,FALSE),0)</f>
        <v>3062327798.1525245</v>
      </c>
      <c r="U591" s="246">
        <f>IFERROR(VLOOKUP(G591,PROGRAMAS[],2,FALSE),0)</f>
        <v>67697118.033011258</v>
      </c>
      <c r="V591" s="246">
        <f>IFERROR(VLOOKUP(H591,PROGRAMAS[],2,FALSE),0)</f>
        <v>1440941976.2528784</v>
      </c>
      <c r="W591" s="246">
        <f>IFERROR(VLOOKUP(I591,PROGRAMAS[],2,FALSE),0)</f>
        <v>6128579952.1618185</v>
      </c>
      <c r="X591" s="246">
        <f>IFERROR(VLOOKUP(J591,PROGRAMAS[],2,FALSE),0)</f>
        <v>4635315027.8751087</v>
      </c>
      <c r="Y591" s="246">
        <f>IFERROR(VLOOKUP(K591,PROGRAMAS[],2,FALSE),0)</f>
        <v>764796700.79905891</v>
      </c>
      <c r="Z591" s="246">
        <f>IFERROR(VLOOKUP(L591,PROGRAMAS[],2,FALSE),0)</f>
        <v>0</v>
      </c>
      <c r="AA591" s="246">
        <f>IFERROR(VLOOKUP(M591,PROGRAMAS[],2,FALSE),0)</f>
        <v>0</v>
      </c>
      <c r="AB591" s="246">
        <f>IFERROR(VLOOKUP(N591,PROGRAMAS[],2,FALSE),0)</f>
        <v>0</v>
      </c>
      <c r="AC591" s="246">
        <f>IFERROR(VLOOKUP(O591,PROGRAMAS[],2,FALSE),0)</f>
        <v>0</v>
      </c>
      <c r="AD591" s="246">
        <f>IFERROR(VLOOKUP(P591,PROGRAMAS[],2,FALSE),0)</f>
        <v>0</v>
      </c>
      <c r="AE591" s="246">
        <f>IFERROR(VLOOKUP(Q591,PROGRAMAS[],2,FALSE),0)</f>
        <v>0</v>
      </c>
      <c r="AF591" s="246">
        <f>IFERROR(VLOOKUP(D591,PROGRAMAS[],3,FALSE),0)</f>
        <v>841888629.31080008</v>
      </c>
      <c r="AG591" s="246">
        <f>IFERROR(VLOOKUP(E591,PROGRAMAS[],3,FALSE),0)</f>
        <v>3848980803.1642323</v>
      </c>
      <c r="AH591" s="246">
        <f>IFERROR(VLOOKUP(F591,PROGRAMAS[],3,FALSE),0)</f>
        <v>3394901471.387517</v>
      </c>
      <c r="AI591" s="246">
        <f>IFERROR(VLOOKUP(G591,PROGRAMAS[],3,FALSE),0)</f>
        <v>125317226.95549992</v>
      </c>
      <c r="AJ591" s="246">
        <f>IFERROR(VLOOKUP(H591,PROGRAMAS[],3,FALSE),0)</f>
        <v>1233505101.0616004</v>
      </c>
      <c r="AK591" s="246">
        <f>IFERROR(VLOOKUP(I591,PROGRAMAS[],3,FALSE),0)</f>
        <v>7011279577.519702</v>
      </c>
      <c r="AL591" s="246">
        <f>IFERROR(VLOOKUP(J591,PROGRAMAS[],3,FALSE),0)</f>
        <v>4099471734.9978786</v>
      </c>
      <c r="AM591" s="246">
        <f>IFERROR(VLOOKUP(K591,PROGRAMAS[],3,FALSE),0)</f>
        <v>675517840.109828</v>
      </c>
      <c r="AN591" s="246">
        <f>IFERROR(VLOOKUP(L591,PROGRAMAS[],3,FALSE),0)</f>
        <v>0</v>
      </c>
      <c r="AO591" s="246">
        <f>IFERROR(VLOOKUP(M591,PROGRAMAS[],3,FALSE),0)</f>
        <v>0</v>
      </c>
      <c r="AP591" s="246">
        <f>IFERROR(VLOOKUP(N591,PROGRAMAS[],3,FALSE),0)</f>
        <v>0</v>
      </c>
      <c r="AQ591" s="246">
        <f>IFERROR(VLOOKUP(O591,PROGRAMAS[],3,FALSE),0)</f>
        <v>0</v>
      </c>
      <c r="AR591" s="246">
        <f>IFERROR(VLOOKUP(P591,PROGRAMAS[],3,FALSE),0)</f>
        <v>0</v>
      </c>
      <c r="AS591" s="246">
        <f>IFERROR(VLOOKUP(Q591,PROGRAMAS[],3,FALSE),0)</f>
        <v>0</v>
      </c>
      <c r="AT591" s="246">
        <f>IFERROR(VLOOKUP(D591,VOL_REC[],2,FALSE),0)</f>
        <v>0</v>
      </c>
      <c r="AU591" s="246">
        <f>IFERROR(VLOOKUP(E591,VOL_REC[],2,FALSE),0)</f>
        <v>0</v>
      </c>
      <c r="AV591" s="246">
        <f>IFERROR(VLOOKUP(F591,VOL_REC[],2,FALSE),0)</f>
        <v>11089674.200000001</v>
      </c>
      <c r="AW591" s="246">
        <f>IFERROR(VLOOKUP(G591,VOL_REC[],2,FALSE),0)</f>
        <v>90439.55</v>
      </c>
      <c r="AX591" s="246">
        <f>IFERROR(VLOOKUP(H591,VOL_REC[],2,FALSE),0)</f>
        <v>4325103.1812214684</v>
      </c>
      <c r="AY591" s="246">
        <f>IFERROR(VLOOKUP(I591,VOL_REC[],2,FALSE),0)</f>
        <v>3761786</v>
      </c>
      <c r="AZ591" s="246">
        <f>IFERROR(VLOOKUP(J591,VOL_REC[],2,FALSE),0)</f>
        <v>1812240</v>
      </c>
      <c r="BA591" s="246">
        <f>IFERROR(VLOOKUP(K591,VOL_REC[],2,FALSE),0)</f>
        <v>240696.79238099116</v>
      </c>
      <c r="BB591" s="246">
        <f>IFERROR(VLOOKUP(L591,VOL_REC[],2,FALSE),0)</f>
        <v>0</v>
      </c>
      <c r="BC591" s="246">
        <f>IFERROR(VLOOKUP(M591,VOL_REC[],2,FALSE),0)</f>
        <v>0</v>
      </c>
      <c r="BD591" s="246">
        <f>IFERROR(VLOOKUP(N591,VOL_REC[],2,FALSE),0)</f>
        <v>0</v>
      </c>
      <c r="BE591" s="246">
        <f>IFERROR(VLOOKUP(O591,VOL_REC[],2,FALSE),0)</f>
        <v>0</v>
      </c>
      <c r="BF591" s="246">
        <f>IFERROR(VLOOKUP(P591,VOL_REC[],2,FALSE),0)</f>
        <v>0</v>
      </c>
      <c r="BG591" s="246">
        <f>IFERROR(VLOOKUP(Q591,VOL_REC[],2,FALSE),0)</f>
        <v>0</v>
      </c>
      <c r="BH591" s="1710">
        <f t="shared" si="36"/>
        <v>16837197886.635918</v>
      </c>
      <c r="BI591" s="1710">
        <f t="shared" si="37"/>
        <v>21230862384.507061</v>
      </c>
      <c r="BJ591" s="1711">
        <f t="shared" si="38"/>
        <v>21319939.723602463</v>
      </c>
      <c r="BK591" s="1711">
        <f t="shared" si="39"/>
        <v>0.79305294253721126</v>
      </c>
    </row>
    <row r="592" spans="3:67" x14ac:dyDescent="0.25">
      <c r="C592" s="246" t="s">
        <v>1942</v>
      </c>
      <c r="D592" s="246">
        <v>1</v>
      </c>
      <c r="E592" s="246">
        <v>2</v>
      </c>
      <c r="F592" s="246">
        <v>3</v>
      </c>
      <c r="G592" s="246">
        <v>4</v>
      </c>
      <c r="H592" s="246">
        <v>5</v>
      </c>
      <c r="I592" s="246">
        <v>9</v>
      </c>
      <c r="J592" s="246">
        <v>10</v>
      </c>
      <c r="K592" s="246">
        <v>13</v>
      </c>
      <c r="L592" s="246"/>
      <c r="M592" s="246"/>
      <c r="N592" s="246"/>
      <c r="O592" s="246"/>
      <c r="P592" s="246"/>
      <c r="Q592" s="246"/>
      <c r="R592" s="246">
        <f>IFERROR(VLOOKUP(D592,PROGRAMAS[],2,FALSE),0)</f>
        <v>97037803.679377079</v>
      </c>
      <c r="S592" s="246">
        <f>IFERROR(VLOOKUP(E592,PROGRAMAS[],2,FALSE),0)</f>
        <v>640501509.6821388</v>
      </c>
      <c r="T592" s="246">
        <f>IFERROR(VLOOKUP(F592,PROGRAMAS[],2,FALSE),0)</f>
        <v>3062327798.1525245</v>
      </c>
      <c r="U592" s="246">
        <f>IFERROR(VLOOKUP(G592,PROGRAMAS[],2,FALSE),0)</f>
        <v>67697118.033011258</v>
      </c>
      <c r="V592" s="246">
        <f>IFERROR(VLOOKUP(H592,PROGRAMAS[],2,FALSE),0)</f>
        <v>1440941976.2528784</v>
      </c>
      <c r="W592" s="246">
        <f>IFERROR(VLOOKUP(I592,PROGRAMAS[],2,FALSE),0)</f>
        <v>6128579952.1618185</v>
      </c>
      <c r="X592" s="246">
        <f>IFERROR(VLOOKUP(J592,PROGRAMAS[],2,FALSE),0)</f>
        <v>4635315027.8751087</v>
      </c>
      <c r="Y592" s="246">
        <f>IFERROR(VLOOKUP(K592,PROGRAMAS[],2,FALSE),0)</f>
        <v>3776538594.4604583</v>
      </c>
      <c r="Z592" s="246">
        <f>IFERROR(VLOOKUP(L592,PROGRAMAS[],2,FALSE),0)</f>
        <v>0</v>
      </c>
      <c r="AA592" s="246">
        <f>IFERROR(VLOOKUP(M592,PROGRAMAS[],2,FALSE),0)</f>
        <v>0</v>
      </c>
      <c r="AB592" s="246">
        <f>IFERROR(VLOOKUP(N592,PROGRAMAS[],2,FALSE),0)</f>
        <v>0</v>
      </c>
      <c r="AC592" s="246">
        <f>IFERROR(VLOOKUP(O592,PROGRAMAS[],2,FALSE),0)</f>
        <v>0</v>
      </c>
      <c r="AD592" s="246">
        <f>IFERROR(VLOOKUP(P592,PROGRAMAS[],2,FALSE),0)</f>
        <v>0</v>
      </c>
      <c r="AE592" s="246">
        <f>IFERROR(VLOOKUP(Q592,PROGRAMAS[],2,FALSE),0)</f>
        <v>0</v>
      </c>
      <c r="AF592" s="246">
        <f>IFERROR(VLOOKUP(D592,PROGRAMAS[],3,FALSE),0)</f>
        <v>841888629.31080008</v>
      </c>
      <c r="AG592" s="246">
        <f>IFERROR(VLOOKUP(E592,PROGRAMAS[],3,FALSE),0)</f>
        <v>3848980803.1642323</v>
      </c>
      <c r="AH592" s="246">
        <f>IFERROR(VLOOKUP(F592,PROGRAMAS[],3,FALSE),0)</f>
        <v>3394901471.387517</v>
      </c>
      <c r="AI592" s="246">
        <f>IFERROR(VLOOKUP(G592,PROGRAMAS[],3,FALSE),0)</f>
        <v>125317226.95549992</v>
      </c>
      <c r="AJ592" s="246">
        <f>IFERROR(VLOOKUP(H592,PROGRAMAS[],3,FALSE),0)</f>
        <v>1233505101.0616004</v>
      </c>
      <c r="AK592" s="246">
        <f>IFERROR(VLOOKUP(I592,PROGRAMAS[],3,FALSE),0)</f>
        <v>7011279577.519702</v>
      </c>
      <c r="AL592" s="246">
        <f>IFERROR(VLOOKUP(J592,PROGRAMAS[],3,FALSE),0)</f>
        <v>4099471734.9978786</v>
      </c>
      <c r="AM592" s="246">
        <f>IFERROR(VLOOKUP(K592,PROGRAMAS[],3,FALSE),0)</f>
        <v>2392571243.5584412</v>
      </c>
      <c r="AN592" s="246">
        <f>IFERROR(VLOOKUP(L592,PROGRAMAS[],3,FALSE),0)</f>
        <v>0</v>
      </c>
      <c r="AO592" s="246">
        <f>IFERROR(VLOOKUP(M592,PROGRAMAS[],3,FALSE),0)</f>
        <v>0</v>
      </c>
      <c r="AP592" s="246">
        <f>IFERROR(VLOOKUP(N592,PROGRAMAS[],3,FALSE),0)</f>
        <v>0</v>
      </c>
      <c r="AQ592" s="246">
        <f>IFERROR(VLOOKUP(O592,PROGRAMAS[],3,FALSE),0)</f>
        <v>0</v>
      </c>
      <c r="AR592" s="246">
        <f>IFERROR(VLOOKUP(P592,PROGRAMAS[],3,FALSE),0)</f>
        <v>0</v>
      </c>
      <c r="AS592" s="246">
        <f>IFERROR(VLOOKUP(Q592,PROGRAMAS[],3,FALSE),0)</f>
        <v>0</v>
      </c>
      <c r="AT592" s="246">
        <f>IFERROR(VLOOKUP(D592,VOL_REC[],2,FALSE),0)</f>
        <v>0</v>
      </c>
      <c r="AU592" s="246">
        <f>IFERROR(VLOOKUP(E592,VOL_REC[],2,FALSE),0)</f>
        <v>0</v>
      </c>
      <c r="AV592" s="246">
        <f>IFERROR(VLOOKUP(F592,VOL_REC[],2,FALSE),0)</f>
        <v>11089674.200000001</v>
      </c>
      <c r="AW592" s="246">
        <f>IFERROR(VLOOKUP(G592,VOL_REC[],2,FALSE),0)</f>
        <v>90439.55</v>
      </c>
      <c r="AX592" s="246">
        <f>IFERROR(VLOOKUP(H592,VOL_REC[],2,FALSE),0)</f>
        <v>4325103.1812214684</v>
      </c>
      <c r="AY592" s="246">
        <f>IFERROR(VLOOKUP(I592,VOL_REC[],2,FALSE),0)</f>
        <v>3761786</v>
      </c>
      <c r="AZ592" s="246">
        <f>IFERROR(VLOOKUP(J592,VOL_REC[],2,FALSE),0)</f>
        <v>1812240</v>
      </c>
      <c r="BA592" s="246">
        <f>IFERROR(VLOOKUP(K592,VOL_REC[],2,FALSE),0)</f>
        <v>663244.80000000016</v>
      </c>
      <c r="BB592" s="246">
        <f>IFERROR(VLOOKUP(L592,VOL_REC[],2,FALSE),0)</f>
        <v>0</v>
      </c>
      <c r="BC592" s="246">
        <f>IFERROR(VLOOKUP(M592,VOL_REC[],2,FALSE),0)</f>
        <v>0</v>
      </c>
      <c r="BD592" s="246">
        <f>IFERROR(VLOOKUP(N592,VOL_REC[],2,FALSE),0)</f>
        <v>0</v>
      </c>
      <c r="BE592" s="246">
        <f>IFERROR(VLOOKUP(O592,VOL_REC[],2,FALSE),0)</f>
        <v>0</v>
      </c>
      <c r="BF592" s="246">
        <f>IFERROR(VLOOKUP(P592,VOL_REC[],2,FALSE),0)</f>
        <v>0</v>
      </c>
      <c r="BG592" s="246">
        <f>IFERROR(VLOOKUP(Q592,VOL_REC[],2,FALSE),0)</f>
        <v>0</v>
      </c>
      <c r="BH592" s="1710">
        <f t="shared" si="36"/>
        <v>19848939780.297318</v>
      </c>
      <c r="BI592" s="1710">
        <f t="shared" si="37"/>
        <v>22947915787.955673</v>
      </c>
      <c r="BJ592" s="1711">
        <f t="shared" si="38"/>
        <v>21742487.731221471</v>
      </c>
      <c r="BK592" s="1711">
        <f t="shared" si="39"/>
        <v>0.86495610162187941</v>
      </c>
    </row>
    <row r="593" spans="3:67" x14ac:dyDescent="0.25">
      <c r="C593" s="246" t="s">
        <v>1943</v>
      </c>
      <c r="D593" s="246">
        <v>1</v>
      </c>
      <c r="E593" s="246">
        <v>2</v>
      </c>
      <c r="F593" s="246">
        <v>3</v>
      </c>
      <c r="G593" s="246">
        <v>4</v>
      </c>
      <c r="H593" s="246">
        <v>5</v>
      </c>
      <c r="I593" s="246">
        <v>9</v>
      </c>
      <c r="J593" s="246">
        <v>10</v>
      </c>
      <c r="K593" s="246">
        <v>14</v>
      </c>
      <c r="L593" s="246"/>
      <c r="M593" s="246"/>
      <c r="N593" s="246"/>
      <c r="O593" s="246"/>
      <c r="P593" s="246"/>
      <c r="Q593" s="246"/>
      <c r="R593" s="246">
        <f>IFERROR(VLOOKUP(D593,PROGRAMAS[],2,FALSE),0)</f>
        <v>97037803.679377079</v>
      </c>
      <c r="S593" s="246">
        <f>IFERROR(VLOOKUP(E593,PROGRAMAS[],2,FALSE),0)</f>
        <v>640501509.6821388</v>
      </c>
      <c r="T593" s="246">
        <f>IFERROR(VLOOKUP(F593,PROGRAMAS[],2,FALSE),0)</f>
        <v>3062327798.1525245</v>
      </c>
      <c r="U593" s="246">
        <f>IFERROR(VLOOKUP(G593,PROGRAMAS[],2,FALSE),0)</f>
        <v>67697118.033011258</v>
      </c>
      <c r="V593" s="246">
        <f>IFERROR(VLOOKUP(H593,PROGRAMAS[],2,FALSE),0)</f>
        <v>1440941976.2528784</v>
      </c>
      <c r="W593" s="246">
        <f>IFERROR(VLOOKUP(I593,PROGRAMAS[],2,FALSE),0)</f>
        <v>6128579952.1618185</v>
      </c>
      <c r="X593" s="246">
        <f>IFERROR(VLOOKUP(J593,PROGRAMAS[],2,FALSE),0)</f>
        <v>4635315027.8751087</v>
      </c>
      <c r="Y593" s="246">
        <f>IFERROR(VLOOKUP(K593,PROGRAMAS[],2,FALSE),0)</f>
        <v>54223862.645839565</v>
      </c>
      <c r="Z593" s="246">
        <f>IFERROR(VLOOKUP(L593,PROGRAMAS[],2,FALSE),0)</f>
        <v>0</v>
      </c>
      <c r="AA593" s="246">
        <f>IFERROR(VLOOKUP(M593,PROGRAMAS[],2,FALSE),0)</f>
        <v>0</v>
      </c>
      <c r="AB593" s="246">
        <f>IFERROR(VLOOKUP(N593,PROGRAMAS[],2,FALSE),0)</f>
        <v>0</v>
      </c>
      <c r="AC593" s="246">
        <f>IFERROR(VLOOKUP(O593,PROGRAMAS[],2,FALSE),0)</f>
        <v>0</v>
      </c>
      <c r="AD593" s="246">
        <f>IFERROR(VLOOKUP(P593,PROGRAMAS[],2,FALSE),0)</f>
        <v>0</v>
      </c>
      <c r="AE593" s="246">
        <f>IFERROR(VLOOKUP(Q593,PROGRAMAS[],2,FALSE),0)</f>
        <v>0</v>
      </c>
      <c r="AF593" s="246">
        <f>IFERROR(VLOOKUP(D593,PROGRAMAS[],3,FALSE),0)</f>
        <v>841888629.31080008</v>
      </c>
      <c r="AG593" s="246">
        <f>IFERROR(VLOOKUP(E593,PROGRAMAS[],3,FALSE),0)</f>
        <v>3848980803.1642323</v>
      </c>
      <c r="AH593" s="246">
        <f>IFERROR(VLOOKUP(F593,PROGRAMAS[],3,FALSE),0)</f>
        <v>3394901471.387517</v>
      </c>
      <c r="AI593" s="246">
        <f>IFERROR(VLOOKUP(G593,PROGRAMAS[],3,FALSE),0)</f>
        <v>125317226.95549992</v>
      </c>
      <c r="AJ593" s="246">
        <f>IFERROR(VLOOKUP(H593,PROGRAMAS[],3,FALSE),0)</f>
        <v>1233505101.0616004</v>
      </c>
      <c r="AK593" s="246">
        <f>IFERROR(VLOOKUP(I593,PROGRAMAS[],3,FALSE),0)</f>
        <v>7011279577.519702</v>
      </c>
      <c r="AL593" s="246">
        <f>IFERROR(VLOOKUP(J593,PROGRAMAS[],3,FALSE),0)</f>
        <v>4099471734.9978786</v>
      </c>
      <c r="AM593" s="246">
        <f>IFERROR(VLOOKUP(K593,PROGRAMAS[],3,FALSE),0)</f>
        <v>31865326.38096505</v>
      </c>
      <c r="AN593" s="246">
        <f>IFERROR(VLOOKUP(L593,PROGRAMAS[],3,FALSE),0)</f>
        <v>0</v>
      </c>
      <c r="AO593" s="246">
        <f>IFERROR(VLOOKUP(M593,PROGRAMAS[],3,FALSE),0)</f>
        <v>0</v>
      </c>
      <c r="AP593" s="246">
        <f>IFERROR(VLOOKUP(N593,PROGRAMAS[],3,FALSE),0)</f>
        <v>0</v>
      </c>
      <c r="AQ593" s="246">
        <f>IFERROR(VLOOKUP(O593,PROGRAMAS[],3,FALSE),0)</f>
        <v>0</v>
      </c>
      <c r="AR593" s="246">
        <f>IFERROR(VLOOKUP(P593,PROGRAMAS[],3,FALSE),0)</f>
        <v>0</v>
      </c>
      <c r="AS593" s="246">
        <f>IFERROR(VLOOKUP(Q593,PROGRAMAS[],3,FALSE),0)</f>
        <v>0</v>
      </c>
      <c r="AT593" s="246">
        <f>IFERROR(VLOOKUP(D593,VOL_REC[],2,FALSE),0)</f>
        <v>0</v>
      </c>
      <c r="AU593" s="246">
        <f>IFERROR(VLOOKUP(E593,VOL_REC[],2,FALSE),0)</f>
        <v>0</v>
      </c>
      <c r="AV593" s="246">
        <f>IFERROR(VLOOKUP(F593,VOL_REC[],2,FALSE),0)</f>
        <v>11089674.200000001</v>
      </c>
      <c r="AW593" s="246">
        <f>IFERROR(VLOOKUP(G593,VOL_REC[],2,FALSE),0)</f>
        <v>90439.55</v>
      </c>
      <c r="AX593" s="246">
        <f>IFERROR(VLOOKUP(H593,VOL_REC[],2,FALSE),0)</f>
        <v>4325103.1812214684</v>
      </c>
      <c r="AY593" s="246">
        <f>IFERROR(VLOOKUP(I593,VOL_REC[],2,FALSE),0)</f>
        <v>3761786</v>
      </c>
      <c r="AZ593" s="246">
        <f>IFERROR(VLOOKUP(J593,VOL_REC[],2,FALSE),0)</f>
        <v>1812240</v>
      </c>
      <c r="BA593" s="246">
        <f>IFERROR(VLOOKUP(K593,VOL_REC[],2,FALSE),0)</f>
        <v>17074.045034105649</v>
      </c>
      <c r="BB593" s="246">
        <f>IFERROR(VLOOKUP(L593,VOL_REC[],2,FALSE),0)</f>
        <v>0</v>
      </c>
      <c r="BC593" s="246">
        <f>IFERROR(VLOOKUP(M593,VOL_REC[],2,FALSE),0)</f>
        <v>0</v>
      </c>
      <c r="BD593" s="246">
        <f>IFERROR(VLOOKUP(N593,VOL_REC[],2,FALSE),0)</f>
        <v>0</v>
      </c>
      <c r="BE593" s="246">
        <f>IFERROR(VLOOKUP(O593,VOL_REC[],2,FALSE),0)</f>
        <v>0</v>
      </c>
      <c r="BF593" s="246">
        <f>IFERROR(VLOOKUP(P593,VOL_REC[],2,FALSE),0)</f>
        <v>0</v>
      </c>
      <c r="BG593" s="246">
        <f>IFERROR(VLOOKUP(Q593,VOL_REC[],2,FALSE),0)</f>
        <v>0</v>
      </c>
      <c r="BH593" s="1710">
        <f t="shared" si="36"/>
        <v>16126625048.482698</v>
      </c>
      <c r="BI593" s="1710">
        <f t="shared" si="37"/>
        <v>20587209870.778198</v>
      </c>
      <c r="BJ593" s="1711">
        <f t="shared" si="38"/>
        <v>21096316.976255577</v>
      </c>
      <c r="BK593" s="1711">
        <f t="shared" si="39"/>
        <v>0.78333223150229203</v>
      </c>
    </row>
    <row r="594" spans="3:67" x14ac:dyDescent="0.25">
      <c r="C594" s="246" t="s">
        <v>1944</v>
      </c>
      <c r="D594" s="246">
        <v>1</v>
      </c>
      <c r="E594" s="246">
        <v>2</v>
      </c>
      <c r="F594" s="246">
        <v>3</v>
      </c>
      <c r="G594" s="246">
        <v>4</v>
      </c>
      <c r="H594" s="246">
        <v>5</v>
      </c>
      <c r="I594" s="246">
        <v>9</v>
      </c>
      <c r="J594" s="246">
        <v>10</v>
      </c>
      <c r="K594" s="246">
        <v>15</v>
      </c>
      <c r="L594" s="246"/>
      <c r="M594" s="246"/>
      <c r="N594" s="246"/>
      <c r="O594" s="246"/>
      <c r="P594" s="246"/>
      <c r="Q594" s="246"/>
      <c r="R594" s="246">
        <f>IFERROR(VLOOKUP(D594,PROGRAMAS[],2,FALSE),0)</f>
        <v>97037803.679377079</v>
      </c>
      <c r="S594" s="246">
        <f>IFERROR(VLOOKUP(E594,PROGRAMAS[],2,FALSE),0)</f>
        <v>640501509.6821388</v>
      </c>
      <c r="T594" s="246">
        <f>IFERROR(VLOOKUP(F594,PROGRAMAS[],2,FALSE),0)</f>
        <v>3062327798.1525245</v>
      </c>
      <c r="U594" s="246">
        <f>IFERROR(VLOOKUP(G594,PROGRAMAS[],2,FALSE),0)</f>
        <v>67697118.033011258</v>
      </c>
      <c r="V594" s="246">
        <f>IFERROR(VLOOKUP(H594,PROGRAMAS[],2,FALSE),0)</f>
        <v>1440941976.2528784</v>
      </c>
      <c r="W594" s="246">
        <f>IFERROR(VLOOKUP(I594,PROGRAMAS[],2,FALSE),0)</f>
        <v>6128579952.1618185</v>
      </c>
      <c r="X594" s="246">
        <f>IFERROR(VLOOKUP(J594,PROGRAMAS[],2,FALSE),0)</f>
        <v>4635315027.8751087</v>
      </c>
      <c r="Y594" s="246">
        <f>IFERROR(VLOOKUP(K594,PROGRAMAS[],2,FALSE),0)</f>
        <v>122159672.96346797</v>
      </c>
      <c r="Z594" s="246">
        <f>IFERROR(VLOOKUP(L594,PROGRAMAS[],2,FALSE),0)</f>
        <v>0</v>
      </c>
      <c r="AA594" s="246">
        <f>IFERROR(VLOOKUP(M594,PROGRAMAS[],2,FALSE),0)</f>
        <v>0</v>
      </c>
      <c r="AB594" s="246">
        <f>IFERROR(VLOOKUP(N594,PROGRAMAS[],2,FALSE),0)</f>
        <v>0</v>
      </c>
      <c r="AC594" s="246">
        <f>IFERROR(VLOOKUP(O594,PROGRAMAS[],2,FALSE),0)</f>
        <v>0</v>
      </c>
      <c r="AD594" s="246">
        <f>IFERROR(VLOOKUP(P594,PROGRAMAS[],2,FALSE),0)</f>
        <v>0</v>
      </c>
      <c r="AE594" s="246">
        <f>IFERROR(VLOOKUP(Q594,PROGRAMAS[],2,FALSE),0)</f>
        <v>0</v>
      </c>
      <c r="AF594" s="246">
        <f>IFERROR(VLOOKUP(D594,PROGRAMAS[],3,FALSE),0)</f>
        <v>841888629.31080008</v>
      </c>
      <c r="AG594" s="246">
        <f>IFERROR(VLOOKUP(E594,PROGRAMAS[],3,FALSE),0)</f>
        <v>3848980803.1642323</v>
      </c>
      <c r="AH594" s="246">
        <f>IFERROR(VLOOKUP(F594,PROGRAMAS[],3,FALSE),0)</f>
        <v>3394901471.387517</v>
      </c>
      <c r="AI594" s="246">
        <f>IFERROR(VLOOKUP(G594,PROGRAMAS[],3,FALSE),0)</f>
        <v>125317226.95549992</v>
      </c>
      <c r="AJ594" s="246">
        <f>IFERROR(VLOOKUP(H594,PROGRAMAS[],3,FALSE),0)</f>
        <v>1233505101.0616004</v>
      </c>
      <c r="AK594" s="246">
        <f>IFERROR(VLOOKUP(I594,PROGRAMAS[],3,FALSE),0)</f>
        <v>7011279577.519702</v>
      </c>
      <c r="AL594" s="246">
        <f>IFERROR(VLOOKUP(J594,PROGRAMAS[],3,FALSE),0)</f>
        <v>4099471734.9978786</v>
      </c>
      <c r="AM594" s="246">
        <f>IFERROR(VLOOKUP(K594,PROGRAMAS[],3,FALSE),0)</f>
        <v>118617452.52510804</v>
      </c>
      <c r="AN594" s="246">
        <f>IFERROR(VLOOKUP(L594,PROGRAMAS[],3,FALSE),0)</f>
        <v>0</v>
      </c>
      <c r="AO594" s="246">
        <f>IFERROR(VLOOKUP(M594,PROGRAMAS[],3,FALSE),0)</f>
        <v>0</v>
      </c>
      <c r="AP594" s="246">
        <f>IFERROR(VLOOKUP(N594,PROGRAMAS[],3,FALSE),0)</f>
        <v>0</v>
      </c>
      <c r="AQ594" s="246">
        <f>IFERROR(VLOOKUP(O594,PROGRAMAS[],3,FALSE),0)</f>
        <v>0</v>
      </c>
      <c r="AR594" s="246">
        <f>IFERROR(VLOOKUP(P594,PROGRAMAS[],3,FALSE),0)</f>
        <v>0</v>
      </c>
      <c r="AS594" s="246">
        <f>IFERROR(VLOOKUP(Q594,PROGRAMAS[],3,FALSE),0)</f>
        <v>0</v>
      </c>
      <c r="AT594" s="246">
        <f>IFERROR(VLOOKUP(D594,VOL_REC[],2,FALSE),0)</f>
        <v>0</v>
      </c>
      <c r="AU594" s="246">
        <f>IFERROR(VLOOKUP(E594,VOL_REC[],2,FALSE),0)</f>
        <v>0</v>
      </c>
      <c r="AV594" s="246">
        <f>IFERROR(VLOOKUP(F594,VOL_REC[],2,FALSE),0)</f>
        <v>11089674.200000001</v>
      </c>
      <c r="AW594" s="246">
        <f>IFERROR(VLOOKUP(G594,VOL_REC[],2,FALSE),0)</f>
        <v>90439.55</v>
      </c>
      <c r="AX594" s="246">
        <f>IFERROR(VLOOKUP(H594,VOL_REC[],2,FALSE),0)</f>
        <v>4325103.1812214684</v>
      </c>
      <c r="AY594" s="246">
        <f>IFERROR(VLOOKUP(I594,VOL_REC[],2,FALSE),0)</f>
        <v>3761786</v>
      </c>
      <c r="AZ594" s="246">
        <f>IFERROR(VLOOKUP(J594,VOL_REC[],2,FALSE),0)</f>
        <v>1812240</v>
      </c>
      <c r="BA594" s="246">
        <f>IFERROR(VLOOKUP(K594,VOL_REC[],2,FALSE),0)</f>
        <v>105072</v>
      </c>
      <c r="BB594" s="246">
        <f>IFERROR(VLOOKUP(L594,VOL_REC[],2,FALSE),0)</f>
        <v>0</v>
      </c>
      <c r="BC594" s="246">
        <f>IFERROR(VLOOKUP(M594,VOL_REC[],2,FALSE),0)</f>
        <v>0</v>
      </c>
      <c r="BD594" s="246">
        <f>IFERROR(VLOOKUP(N594,VOL_REC[],2,FALSE),0)</f>
        <v>0</v>
      </c>
      <c r="BE594" s="246">
        <f>IFERROR(VLOOKUP(O594,VOL_REC[],2,FALSE),0)</f>
        <v>0</v>
      </c>
      <c r="BF594" s="246">
        <f>IFERROR(VLOOKUP(P594,VOL_REC[],2,FALSE),0)</f>
        <v>0</v>
      </c>
      <c r="BG594" s="246">
        <f>IFERROR(VLOOKUP(Q594,VOL_REC[],2,FALSE),0)</f>
        <v>0</v>
      </c>
      <c r="BH594" s="1710">
        <f t="shared" si="36"/>
        <v>16194560858.800327</v>
      </c>
      <c r="BI594" s="1710">
        <f t="shared" si="37"/>
        <v>20673961996.92234</v>
      </c>
      <c r="BJ594" s="1711">
        <f t="shared" si="38"/>
        <v>21184314.93122147</v>
      </c>
      <c r="BK594" s="1711">
        <f t="shared" si="39"/>
        <v>0.78333126766950401</v>
      </c>
    </row>
    <row r="595" spans="3:67" x14ac:dyDescent="0.25">
      <c r="C595" s="246" t="s">
        <v>1945</v>
      </c>
      <c r="D595" s="246">
        <v>1</v>
      </c>
      <c r="E595" s="246">
        <v>2</v>
      </c>
      <c r="F595" s="246">
        <v>3</v>
      </c>
      <c r="G595" s="246">
        <v>4</v>
      </c>
      <c r="H595" s="246">
        <v>5</v>
      </c>
      <c r="I595" s="246">
        <v>9</v>
      </c>
      <c r="J595" s="246">
        <v>10</v>
      </c>
      <c r="K595" s="246">
        <v>16</v>
      </c>
      <c r="L595" s="246"/>
      <c r="M595" s="246"/>
      <c r="N595" s="246"/>
      <c r="O595" s="246"/>
      <c r="P595" s="246"/>
      <c r="Q595" s="246"/>
      <c r="R595" s="246">
        <f>IFERROR(VLOOKUP(D595,PROGRAMAS[],2,FALSE),0)</f>
        <v>97037803.679377079</v>
      </c>
      <c r="S595" s="246">
        <f>IFERROR(VLOOKUP(E595,PROGRAMAS[],2,FALSE),0)</f>
        <v>640501509.6821388</v>
      </c>
      <c r="T595" s="246">
        <f>IFERROR(VLOOKUP(F595,PROGRAMAS[],2,FALSE),0)</f>
        <v>3062327798.1525245</v>
      </c>
      <c r="U595" s="246">
        <f>IFERROR(VLOOKUP(G595,PROGRAMAS[],2,FALSE),0)</f>
        <v>67697118.033011258</v>
      </c>
      <c r="V595" s="246">
        <f>IFERROR(VLOOKUP(H595,PROGRAMAS[],2,FALSE),0)</f>
        <v>1440941976.2528784</v>
      </c>
      <c r="W595" s="246">
        <f>IFERROR(VLOOKUP(I595,PROGRAMAS[],2,FALSE),0)</f>
        <v>6128579952.1618185</v>
      </c>
      <c r="X595" s="246">
        <f>IFERROR(VLOOKUP(J595,PROGRAMAS[],2,FALSE),0)</f>
        <v>4635315027.8751087</v>
      </c>
      <c r="Y595" s="246">
        <f>IFERROR(VLOOKUP(K595,PROGRAMAS[],2,FALSE),0)</f>
        <v>7068496961.0436354</v>
      </c>
      <c r="Z595" s="246">
        <f>IFERROR(VLOOKUP(L595,PROGRAMAS[],2,FALSE),0)</f>
        <v>0</v>
      </c>
      <c r="AA595" s="246">
        <f>IFERROR(VLOOKUP(M595,PROGRAMAS[],2,FALSE),0)</f>
        <v>0</v>
      </c>
      <c r="AB595" s="246">
        <f>IFERROR(VLOOKUP(N595,PROGRAMAS[],2,FALSE),0)</f>
        <v>0</v>
      </c>
      <c r="AC595" s="246">
        <f>IFERROR(VLOOKUP(O595,PROGRAMAS[],2,FALSE),0)</f>
        <v>0</v>
      </c>
      <c r="AD595" s="246">
        <f>IFERROR(VLOOKUP(P595,PROGRAMAS[],2,FALSE),0)</f>
        <v>0</v>
      </c>
      <c r="AE595" s="246">
        <f>IFERROR(VLOOKUP(Q595,PROGRAMAS[],2,FALSE),0)</f>
        <v>0</v>
      </c>
      <c r="AF595" s="246">
        <f>IFERROR(VLOOKUP(D595,PROGRAMAS[],3,FALSE),0)</f>
        <v>841888629.31080008</v>
      </c>
      <c r="AG595" s="246">
        <f>IFERROR(VLOOKUP(E595,PROGRAMAS[],3,FALSE),0)</f>
        <v>3848980803.1642323</v>
      </c>
      <c r="AH595" s="246">
        <f>IFERROR(VLOOKUP(F595,PROGRAMAS[],3,FALSE),0)</f>
        <v>3394901471.387517</v>
      </c>
      <c r="AI595" s="246">
        <f>IFERROR(VLOOKUP(G595,PROGRAMAS[],3,FALSE),0)</f>
        <v>125317226.95549992</v>
      </c>
      <c r="AJ595" s="246">
        <f>IFERROR(VLOOKUP(H595,PROGRAMAS[],3,FALSE),0)</f>
        <v>1233505101.0616004</v>
      </c>
      <c r="AK595" s="246">
        <f>IFERROR(VLOOKUP(I595,PROGRAMAS[],3,FALSE),0)</f>
        <v>7011279577.519702</v>
      </c>
      <c r="AL595" s="246">
        <f>IFERROR(VLOOKUP(J595,PROGRAMAS[],3,FALSE),0)</f>
        <v>4099471734.9978786</v>
      </c>
      <c r="AM595" s="246">
        <f>IFERROR(VLOOKUP(K595,PROGRAMAS[],3,FALSE),0)</f>
        <v>2406564599.0319901</v>
      </c>
      <c r="AN595" s="246">
        <f>IFERROR(VLOOKUP(L595,PROGRAMAS[],3,FALSE),0)</f>
        <v>0</v>
      </c>
      <c r="AO595" s="246">
        <f>IFERROR(VLOOKUP(M595,PROGRAMAS[],3,FALSE),0)</f>
        <v>0</v>
      </c>
      <c r="AP595" s="246">
        <f>IFERROR(VLOOKUP(N595,PROGRAMAS[],3,FALSE),0)</f>
        <v>0</v>
      </c>
      <c r="AQ595" s="246">
        <f>IFERROR(VLOOKUP(O595,PROGRAMAS[],3,FALSE),0)</f>
        <v>0</v>
      </c>
      <c r="AR595" s="246">
        <f>IFERROR(VLOOKUP(P595,PROGRAMAS[],3,FALSE),0)</f>
        <v>0</v>
      </c>
      <c r="AS595" s="246">
        <f>IFERROR(VLOOKUP(Q595,PROGRAMAS[],3,FALSE),0)</f>
        <v>0</v>
      </c>
      <c r="AT595" s="246">
        <f>IFERROR(VLOOKUP(D595,VOL_REC[],2,FALSE),0)</f>
        <v>0</v>
      </c>
      <c r="AU595" s="246">
        <f>IFERROR(VLOOKUP(E595,VOL_REC[],2,FALSE),0)</f>
        <v>0</v>
      </c>
      <c r="AV595" s="246">
        <f>IFERROR(VLOOKUP(F595,VOL_REC[],2,FALSE),0)</f>
        <v>11089674.200000001</v>
      </c>
      <c r="AW595" s="246">
        <f>IFERROR(VLOOKUP(G595,VOL_REC[],2,FALSE),0)</f>
        <v>90439.55</v>
      </c>
      <c r="AX595" s="246">
        <f>IFERROR(VLOOKUP(H595,VOL_REC[],2,FALSE),0)</f>
        <v>4325103.1812214684</v>
      </c>
      <c r="AY595" s="246">
        <f>IFERROR(VLOOKUP(I595,VOL_REC[],2,FALSE),0)</f>
        <v>3761786</v>
      </c>
      <c r="AZ595" s="246">
        <f>IFERROR(VLOOKUP(J595,VOL_REC[],2,FALSE),0)</f>
        <v>1812240</v>
      </c>
      <c r="BA595" s="246">
        <f>IFERROR(VLOOKUP(K595,VOL_REC[],2,FALSE),0)</f>
        <v>1072354.9981737854</v>
      </c>
      <c r="BB595" s="246">
        <f>IFERROR(VLOOKUP(L595,VOL_REC[],2,FALSE),0)</f>
        <v>0</v>
      </c>
      <c r="BC595" s="246">
        <f>IFERROR(VLOOKUP(M595,VOL_REC[],2,FALSE),0)</f>
        <v>0</v>
      </c>
      <c r="BD595" s="246">
        <f>IFERROR(VLOOKUP(N595,VOL_REC[],2,FALSE),0)</f>
        <v>0</v>
      </c>
      <c r="BE595" s="246">
        <f>IFERROR(VLOOKUP(O595,VOL_REC[],2,FALSE),0)</f>
        <v>0</v>
      </c>
      <c r="BF595" s="246">
        <f>IFERROR(VLOOKUP(P595,VOL_REC[],2,FALSE),0)</f>
        <v>0</v>
      </c>
      <c r="BG595" s="246">
        <f>IFERROR(VLOOKUP(Q595,VOL_REC[],2,FALSE),0)</f>
        <v>0</v>
      </c>
      <c r="BH595" s="1710">
        <f t="shared" si="36"/>
        <v>23140898146.880493</v>
      </c>
      <c r="BI595" s="1710">
        <f t="shared" si="37"/>
        <v>22961909143.429222</v>
      </c>
      <c r="BJ595" s="1711">
        <f t="shared" si="38"/>
        <v>22151597.929395255</v>
      </c>
      <c r="BK595" s="1711">
        <f t="shared" si="39"/>
        <v>1.0077950401394429</v>
      </c>
      <c r="BL595">
        <f>BJ595</f>
        <v>22151597.929395255</v>
      </c>
      <c r="BO595">
        <f>BL595</f>
        <v>22151597.929395255</v>
      </c>
    </row>
    <row r="596" spans="3:67" x14ac:dyDescent="0.25">
      <c r="C596" s="246" t="s">
        <v>1946</v>
      </c>
      <c r="D596" s="246">
        <v>1</v>
      </c>
      <c r="E596" s="246">
        <v>2</v>
      </c>
      <c r="F596" s="246">
        <v>3</v>
      </c>
      <c r="G596" s="246">
        <v>4</v>
      </c>
      <c r="H596" s="246">
        <v>5</v>
      </c>
      <c r="I596" s="246">
        <v>9</v>
      </c>
      <c r="J596" s="246">
        <v>10</v>
      </c>
      <c r="K596" s="246">
        <v>17</v>
      </c>
      <c r="L596" s="246"/>
      <c r="M596" s="246"/>
      <c r="N596" s="246"/>
      <c r="O596" s="246"/>
      <c r="P596" s="246"/>
      <c r="Q596" s="246"/>
      <c r="R596" s="246">
        <f>IFERROR(VLOOKUP(D596,PROGRAMAS[],2,FALSE),0)</f>
        <v>97037803.679377079</v>
      </c>
      <c r="S596" s="246">
        <f>IFERROR(VLOOKUP(E596,PROGRAMAS[],2,FALSE),0)</f>
        <v>640501509.6821388</v>
      </c>
      <c r="T596" s="246">
        <f>IFERROR(VLOOKUP(F596,PROGRAMAS[],2,FALSE),0)</f>
        <v>3062327798.1525245</v>
      </c>
      <c r="U596" s="246">
        <f>IFERROR(VLOOKUP(G596,PROGRAMAS[],2,FALSE),0)</f>
        <v>67697118.033011258</v>
      </c>
      <c r="V596" s="246">
        <f>IFERROR(VLOOKUP(H596,PROGRAMAS[],2,FALSE),0)</f>
        <v>1440941976.2528784</v>
      </c>
      <c r="W596" s="246">
        <f>IFERROR(VLOOKUP(I596,PROGRAMAS[],2,FALSE),0)</f>
        <v>6128579952.1618185</v>
      </c>
      <c r="X596" s="246">
        <f>IFERROR(VLOOKUP(J596,PROGRAMAS[],2,FALSE),0)</f>
        <v>4635315027.8751087</v>
      </c>
      <c r="Y596" s="246">
        <f>IFERROR(VLOOKUP(K596,PROGRAMAS[],2,FALSE),0)</f>
        <v>1892779498.5211046</v>
      </c>
      <c r="Z596" s="246">
        <f>IFERROR(VLOOKUP(L596,PROGRAMAS[],2,FALSE),0)</f>
        <v>0</v>
      </c>
      <c r="AA596" s="246">
        <f>IFERROR(VLOOKUP(M596,PROGRAMAS[],2,FALSE),0)</f>
        <v>0</v>
      </c>
      <c r="AB596" s="246">
        <f>IFERROR(VLOOKUP(N596,PROGRAMAS[],2,FALSE),0)</f>
        <v>0</v>
      </c>
      <c r="AC596" s="246">
        <f>IFERROR(VLOOKUP(O596,PROGRAMAS[],2,FALSE),0)</f>
        <v>0</v>
      </c>
      <c r="AD596" s="246">
        <f>IFERROR(VLOOKUP(P596,PROGRAMAS[],2,FALSE),0)</f>
        <v>0</v>
      </c>
      <c r="AE596" s="246">
        <f>IFERROR(VLOOKUP(Q596,PROGRAMAS[],2,FALSE),0)</f>
        <v>0</v>
      </c>
      <c r="AF596" s="246">
        <f>IFERROR(VLOOKUP(D596,PROGRAMAS[],3,FALSE),0)</f>
        <v>841888629.31080008</v>
      </c>
      <c r="AG596" s="246">
        <f>IFERROR(VLOOKUP(E596,PROGRAMAS[],3,FALSE),0)</f>
        <v>3848980803.1642323</v>
      </c>
      <c r="AH596" s="246">
        <f>IFERROR(VLOOKUP(F596,PROGRAMAS[],3,FALSE),0)</f>
        <v>3394901471.387517</v>
      </c>
      <c r="AI596" s="246">
        <f>IFERROR(VLOOKUP(G596,PROGRAMAS[],3,FALSE),0)</f>
        <v>125317226.95549992</v>
      </c>
      <c r="AJ596" s="246">
        <f>IFERROR(VLOOKUP(H596,PROGRAMAS[],3,FALSE),0)</f>
        <v>1233505101.0616004</v>
      </c>
      <c r="AK596" s="246">
        <f>IFERROR(VLOOKUP(I596,PROGRAMAS[],3,FALSE),0)</f>
        <v>7011279577.519702</v>
      </c>
      <c r="AL596" s="246">
        <f>IFERROR(VLOOKUP(J596,PROGRAMAS[],3,FALSE),0)</f>
        <v>4099471734.9978786</v>
      </c>
      <c r="AM596" s="246">
        <f>IFERROR(VLOOKUP(K596,PROGRAMAS[],3,FALSE),0)</f>
        <v>948595847.09039903</v>
      </c>
      <c r="AN596" s="246">
        <f>IFERROR(VLOOKUP(L596,PROGRAMAS[],3,FALSE),0)</f>
        <v>0</v>
      </c>
      <c r="AO596" s="246">
        <f>IFERROR(VLOOKUP(M596,PROGRAMAS[],3,FALSE),0)</f>
        <v>0</v>
      </c>
      <c r="AP596" s="246">
        <f>IFERROR(VLOOKUP(N596,PROGRAMAS[],3,FALSE),0)</f>
        <v>0</v>
      </c>
      <c r="AQ596" s="246">
        <f>IFERROR(VLOOKUP(O596,PROGRAMAS[],3,FALSE),0)</f>
        <v>0</v>
      </c>
      <c r="AR596" s="246">
        <f>IFERROR(VLOOKUP(P596,PROGRAMAS[],3,FALSE),0)</f>
        <v>0</v>
      </c>
      <c r="AS596" s="246">
        <f>IFERROR(VLOOKUP(Q596,PROGRAMAS[],3,FALSE),0)</f>
        <v>0</v>
      </c>
      <c r="AT596" s="246">
        <f>IFERROR(VLOOKUP(D596,VOL_REC[],2,FALSE),0)</f>
        <v>0</v>
      </c>
      <c r="AU596" s="246">
        <f>IFERROR(VLOOKUP(E596,VOL_REC[],2,FALSE),0)</f>
        <v>0</v>
      </c>
      <c r="AV596" s="246">
        <f>IFERROR(VLOOKUP(F596,VOL_REC[],2,FALSE),0)</f>
        <v>11089674.200000001</v>
      </c>
      <c r="AW596" s="246">
        <f>IFERROR(VLOOKUP(G596,VOL_REC[],2,FALSE),0)</f>
        <v>90439.55</v>
      </c>
      <c r="AX596" s="246">
        <f>IFERROR(VLOOKUP(H596,VOL_REC[],2,FALSE),0)</f>
        <v>4325103.1812214684</v>
      </c>
      <c r="AY596" s="246">
        <f>IFERROR(VLOOKUP(I596,VOL_REC[],2,FALSE),0)</f>
        <v>3761786</v>
      </c>
      <c r="AZ596" s="246">
        <f>IFERROR(VLOOKUP(J596,VOL_REC[],2,FALSE),0)</f>
        <v>1812240</v>
      </c>
      <c r="BA596" s="246">
        <f>IFERROR(VLOOKUP(K596,VOL_REC[],2,FALSE),0)</f>
        <v>740113.98115702497</v>
      </c>
      <c r="BB596" s="246">
        <f>IFERROR(VLOOKUP(L596,VOL_REC[],2,FALSE),0)</f>
        <v>0</v>
      </c>
      <c r="BC596" s="246">
        <f>IFERROR(VLOOKUP(M596,VOL_REC[],2,FALSE),0)</f>
        <v>0</v>
      </c>
      <c r="BD596" s="246">
        <f>IFERROR(VLOOKUP(N596,VOL_REC[],2,FALSE),0)</f>
        <v>0</v>
      </c>
      <c r="BE596" s="246">
        <f>IFERROR(VLOOKUP(O596,VOL_REC[],2,FALSE),0)</f>
        <v>0</v>
      </c>
      <c r="BF596" s="246">
        <f>IFERROR(VLOOKUP(P596,VOL_REC[],2,FALSE),0)</f>
        <v>0</v>
      </c>
      <c r="BG596" s="246">
        <f>IFERROR(VLOOKUP(Q596,VOL_REC[],2,FALSE),0)</f>
        <v>0</v>
      </c>
      <c r="BH596" s="1710">
        <f t="shared" si="36"/>
        <v>17965180684.357964</v>
      </c>
      <c r="BI596" s="1710">
        <f t="shared" si="37"/>
        <v>21503940391.487633</v>
      </c>
      <c r="BJ596" s="1711">
        <f t="shared" si="38"/>
        <v>21819356.912378494</v>
      </c>
      <c r="BK596" s="1711">
        <f t="shared" si="39"/>
        <v>0.83543668543042959</v>
      </c>
    </row>
    <row r="597" spans="3:67" x14ac:dyDescent="0.25">
      <c r="C597" s="246" t="s">
        <v>1947</v>
      </c>
      <c r="D597" s="246">
        <v>1</v>
      </c>
      <c r="E597" s="246">
        <v>2</v>
      </c>
      <c r="F597" s="246">
        <v>3</v>
      </c>
      <c r="G597" s="246">
        <v>4</v>
      </c>
      <c r="H597" s="246">
        <v>5</v>
      </c>
      <c r="I597" s="246">
        <v>9</v>
      </c>
      <c r="J597" s="246">
        <v>12</v>
      </c>
      <c r="K597" s="246">
        <v>13</v>
      </c>
      <c r="L597" s="246"/>
      <c r="M597" s="246"/>
      <c r="N597" s="246"/>
      <c r="O597" s="246"/>
      <c r="P597" s="246"/>
      <c r="Q597" s="246"/>
      <c r="R597" s="246">
        <f>IFERROR(VLOOKUP(D597,PROGRAMAS[],2,FALSE),0)</f>
        <v>97037803.679377079</v>
      </c>
      <c r="S597" s="246">
        <f>IFERROR(VLOOKUP(E597,PROGRAMAS[],2,FALSE),0)</f>
        <v>640501509.6821388</v>
      </c>
      <c r="T597" s="246">
        <f>IFERROR(VLOOKUP(F597,PROGRAMAS[],2,FALSE),0)</f>
        <v>3062327798.1525245</v>
      </c>
      <c r="U597" s="246">
        <f>IFERROR(VLOOKUP(G597,PROGRAMAS[],2,FALSE),0)</f>
        <v>67697118.033011258</v>
      </c>
      <c r="V597" s="246">
        <f>IFERROR(VLOOKUP(H597,PROGRAMAS[],2,FALSE),0)</f>
        <v>1440941976.2528784</v>
      </c>
      <c r="W597" s="246">
        <f>IFERROR(VLOOKUP(I597,PROGRAMAS[],2,FALSE),0)</f>
        <v>6128579952.1618185</v>
      </c>
      <c r="X597" s="246">
        <f>IFERROR(VLOOKUP(J597,PROGRAMAS[],2,FALSE),0)</f>
        <v>764796700.79905891</v>
      </c>
      <c r="Y597" s="246">
        <f>IFERROR(VLOOKUP(K597,PROGRAMAS[],2,FALSE),0)</f>
        <v>3776538594.4604583</v>
      </c>
      <c r="Z597" s="246">
        <f>IFERROR(VLOOKUP(L597,PROGRAMAS[],2,FALSE),0)</f>
        <v>0</v>
      </c>
      <c r="AA597" s="246">
        <f>IFERROR(VLOOKUP(M597,PROGRAMAS[],2,FALSE),0)</f>
        <v>0</v>
      </c>
      <c r="AB597" s="246">
        <f>IFERROR(VLOOKUP(N597,PROGRAMAS[],2,FALSE),0)</f>
        <v>0</v>
      </c>
      <c r="AC597" s="246">
        <f>IFERROR(VLOOKUP(O597,PROGRAMAS[],2,FALSE),0)</f>
        <v>0</v>
      </c>
      <c r="AD597" s="246">
        <f>IFERROR(VLOOKUP(P597,PROGRAMAS[],2,FALSE),0)</f>
        <v>0</v>
      </c>
      <c r="AE597" s="246">
        <f>IFERROR(VLOOKUP(Q597,PROGRAMAS[],2,FALSE),0)</f>
        <v>0</v>
      </c>
      <c r="AF597" s="246">
        <f>IFERROR(VLOOKUP(D597,PROGRAMAS[],3,FALSE),0)</f>
        <v>841888629.31080008</v>
      </c>
      <c r="AG597" s="246">
        <f>IFERROR(VLOOKUP(E597,PROGRAMAS[],3,FALSE),0)</f>
        <v>3848980803.1642323</v>
      </c>
      <c r="AH597" s="246">
        <f>IFERROR(VLOOKUP(F597,PROGRAMAS[],3,FALSE),0)</f>
        <v>3394901471.387517</v>
      </c>
      <c r="AI597" s="246">
        <f>IFERROR(VLOOKUP(G597,PROGRAMAS[],3,FALSE),0)</f>
        <v>125317226.95549992</v>
      </c>
      <c r="AJ597" s="246">
        <f>IFERROR(VLOOKUP(H597,PROGRAMAS[],3,FALSE),0)</f>
        <v>1233505101.0616004</v>
      </c>
      <c r="AK597" s="246">
        <f>IFERROR(VLOOKUP(I597,PROGRAMAS[],3,FALSE),0)</f>
        <v>7011279577.519702</v>
      </c>
      <c r="AL597" s="246">
        <f>IFERROR(VLOOKUP(J597,PROGRAMAS[],3,FALSE),0)</f>
        <v>675517840.109828</v>
      </c>
      <c r="AM597" s="246">
        <f>IFERROR(VLOOKUP(K597,PROGRAMAS[],3,FALSE),0)</f>
        <v>2392571243.5584412</v>
      </c>
      <c r="AN597" s="246">
        <f>IFERROR(VLOOKUP(L597,PROGRAMAS[],3,FALSE),0)</f>
        <v>0</v>
      </c>
      <c r="AO597" s="246">
        <f>IFERROR(VLOOKUP(M597,PROGRAMAS[],3,FALSE),0)</f>
        <v>0</v>
      </c>
      <c r="AP597" s="246">
        <f>IFERROR(VLOOKUP(N597,PROGRAMAS[],3,FALSE),0)</f>
        <v>0</v>
      </c>
      <c r="AQ597" s="246">
        <f>IFERROR(VLOOKUP(O597,PROGRAMAS[],3,FALSE),0)</f>
        <v>0</v>
      </c>
      <c r="AR597" s="246">
        <f>IFERROR(VLOOKUP(P597,PROGRAMAS[],3,FALSE),0)</f>
        <v>0</v>
      </c>
      <c r="AS597" s="246">
        <f>IFERROR(VLOOKUP(Q597,PROGRAMAS[],3,FALSE),0)</f>
        <v>0</v>
      </c>
      <c r="AT597" s="246">
        <f>IFERROR(VLOOKUP(D597,VOL_REC[],2,FALSE),0)</f>
        <v>0</v>
      </c>
      <c r="AU597" s="246">
        <f>IFERROR(VLOOKUP(E597,VOL_REC[],2,FALSE),0)</f>
        <v>0</v>
      </c>
      <c r="AV597" s="246">
        <f>IFERROR(VLOOKUP(F597,VOL_REC[],2,FALSE),0)</f>
        <v>11089674.200000001</v>
      </c>
      <c r="AW597" s="246">
        <f>IFERROR(VLOOKUP(G597,VOL_REC[],2,FALSE),0)</f>
        <v>90439.55</v>
      </c>
      <c r="AX597" s="246">
        <f>IFERROR(VLOOKUP(H597,VOL_REC[],2,FALSE),0)</f>
        <v>4325103.1812214684</v>
      </c>
      <c r="AY597" s="246">
        <f>IFERROR(VLOOKUP(I597,VOL_REC[],2,FALSE),0)</f>
        <v>3761786</v>
      </c>
      <c r="AZ597" s="246">
        <f>IFERROR(VLOOKUP(J597,VOL_REC[],2,FALSE),0)</f>
        <v>240696.79238099116</v>
      </c>
      <c r="BA597" s="246">
        <f>IFERROR(VLOOKUP(K597,VOL_REC[],2,FALSE),0)</f>
        <v>663244.80000000016</v>
      </c>
      <c r="BB597" s="246">
        <f>IFERROR(VLOOKUP(L597,VOL_REC[],2,FALSE),0)</f>
        <v>0</v>
      </c>
      <c r="BC597" s="246">
        <f>IFERROR(VLOOKUP(M597,VOL_REC[],2,FALSE),0)</f>
        <v>0</v>
      </c>
      <c r="BD597" s="246">
        <f>IFERROR(VLOOKUP(N597,VOL_REC[],2,FALSE),0)</f>
        <v>0</v>
      </c>
      <c r="BE597" s="246">
        <f>IFERROR(VLOOKUP(O597,VOL_REC[],2,FALSE),0)</f>
        <v>0</v>
      </c>
      <c r="BF597" s="246">
        <f>IFERROR(VLOOKUP(P597,VOL_REC[],2,FALSE),0)</f>
        <v>0</v>
      </c>
      <c r="BG597" s="246">
        <f>IFERROR(VLOOKUP(Q597,VOL_REC[],2,FALSE),0)</f>
        <v>0</v>
      </c>
      <c r="BH597" s="1710">
        <f t="shared" si="36"/>
        <v>15978421453.221268</v>
      </c>
      <c r="BI597" s="1710">
        <f t="shared" si="37"/>
        <v>19523961893.067623</v>
      </c>
      <c r="BJ597" s="1711">
        <f t="shared" si="38"/>
        <v>20170944.523602463</v>
      </c>
      <c r="BK597" s="1711">
        <f t="shared" si="39"/>
        <v>0.81840056545565831</v>
      </c>
    </row>
    <row r="598" spans="3:67" x14ac:dyDescent="0.25">
      <c r="C598" s="246" t="s">
        <v>1948</v>
      </c>
      <c r="D598" s="246">
        <v>1</v>
      </c>
      <c r="E598" s="246">
        <v>2</v>
      </c>
      <c r="F598" s="246">
        <v>3</v>
      </c>
      <c r="G598" s="246">
        <v>4</v>
      </c>
      <c r="H598" s="246">
        <v>5</v>
      </c>
      <c r="I598" s="246">
        <v>9</v>
      </c>
      <c r="J598" s="246">
        <v>12</v>
      </c>
      <c r="K598" s="246">
        <v>14</v>
      </c>
      <c r="L598" s="246"/>
      <c r="M598" s="246"/>
      <c r="N598" s="246"/>
      <c r="O598" s="246"/>
      <c r="P598" s="246"/>
      <c r="Q598" s="246"/>
      <c r="R598" s="246">
        <f>IFERROR(VLOOKUP(D598,PROGRAMAS[],2,FALSE),0)</f>
        <v>97037803.679377079</v>
      </c>
      <c r="S598" s="246">
        <f>IFERROR(VLOOKUP(E598,PROGRAMAS[],2,FALSE),0)</f>
        <v>640501509.6821388</v>
      </c>
      <c r="T598" s="246">
        <f>IFERROR(VLOOKUP(F598,PROGRAMAS[],2,FALSE),0)</f>
        <v>3062327798.1525245</v>
      </c>
      <c r="U598" s="246">
        <f>IFERROR(VLOOKUP(G598,PROGRAMAS[],2,FALSE),0)</f>
        <v>67697118.033011258</v>
      </c>
      <c r="V598" s="246">
        <f>IFERROR(VLOOKUP(H598,PROGRAMAS[],2,FALSE),0)</f>
        <v>1440941976.2528784</v>
      </c>
      <c r="W598" s="246">
        <f>IFERROR(VLOOKUP(I598,PROGRAMAS[],2,FALSE),0)</f>
        <v>6128579952.1618185</v>
      </c>
      <c r="X598" s="246">
        <f>IFERROR(VLOOKUP(J598,PROGRAMAS[],2,FALSE),0)</f>
        <v>764796700.79905891</v>
      </c>
      <c r="Y598" s="246">
        <f>IFERROR(VLOOKUP(K598,PROGRAMAS[],2,FALSE),0)</f>
        <v>54223862.645839565</v>
      </c>
      <c r="Z598" s="246">
        <f>IFERROR(VLOOKUP(L598,PROGRAMAS[],2,FALSE),0)</f>
        <v>0</v>
      </c>
      <c r="AA598" s="246">
        <f>IFERROR(VLOOKUP(M598,PROGRAMAS[],2,FALSE),0)</f>
        <v>0</v>
      </c>
      <c r="AB598" s="246">
        <f>IFERROR(VLOOKUP(N598,PROGRAMAS[],2,FALSE),0)</f>
        <v>0</v>
      </c>
      <c r="AC598" s="246">
        <f>IFERROR(VLOOKUP(O598,PROGRAMAS[],2,FALSE),0)</f>
        <v>0</v>
      </c>
      <c r="AD598" s="246">
        <f>IFERROR(VLOOKUP(P598,PROGRAMAS[],2,FALSE),0)</f>
        <v>0</v>
      </c>
      <c r="AE598" s="246">
        <f>IFERROR(VLOOKUP(Q598,PROGRAMAS[],2,FALSE),0)</f>
        <v>0</v>
      </c>
      <c r="AF598" s="246">
        <f>IFERROR(VLOOKUP(D598,PROGRAMAS[],3,FALSE),0)</f>
        <v>841888629.31080008</v>
      </c>
      <c r="AG598" s="246">
        <f>IFERROR(VLOOKUP(E598,PROGRAMAS[],3,FALSE),0)</f>
        <v>3848980803.1642323</v>
      </c>
      <c r="AH598" s="246">
        <f>IFERROR(VLOOKUP(F598,PROGRAMAS[],3,FALSE),0)</f>
        <v>3394901471.387517</v>
      </c>
      <c r="AI598" s="246">
        <f>IFERROR(VLOOKUP(G598,PROGRAMAS[],3,FALSE),0)</f>
        <v>125317226.95549992</v>
      </c>
      <c r="AJ598" s="246">
        <f>IFERROR(VLOOKUP(H598,PROGRAMAS[],3,FALSE),0)</f>
        <v>1233505101.0616004</v>
      </c>
      <c r="AK598" s="246">
        <f>IFERROR(VLOOKUP(I598,PROGRAMAS[],3,FALSE),0)</f>
        <v>7011279577.519702</v>
      </c>
      <c r="AL598" s="246">
        <f>IFERROR(VLOOKUP(J598,PROGRAMAS[],3,FALSE),0)</f>
        <v>675517840.109828</v>
      </c>
      <c r="AM598" s="246">
        <f>IFERROR(VLOOKUP(K598,PROGRAMAS[],3,FALSE),0)</f>
        <v>31865326.38096505</v>
      </c>
      <c r="AN598" s="246">
        <f>IFERROR(VLOOKUP(L598,PROGRAMAS[],3,FALSE),0)</f>
        <v>0</v>
      </c>
      <c r="AO598" s="246">
        <f>IFERROR(VLOOKUP(M598,PROGRAMAS[],3,FALSE),0)</f>
        <v>0</v>
      </c>
      <c r="AP598" s="246">
        <f>IFERROR(VLOOKUP(N598,PROGRAMAS[],3,FALSE),0)</f>
        <v>0</v>
      </c>
      <c r="AQ598" s="246">
        <f>IFERROR(VLOOKUP(O598,PROGRAMAS[],3,FALSE),0)</f>
        <v>0</v>
      </c>
      <c r="AR598" s="246">
        <f>IFERROR(VLOOKUP(P598,PROGRAMAS[],3,FALSE),0)</f>
        <v>0</v>
      </c>
      <c r="AS598" s="246">
        <f>IFERROR(VLOOKUP(Q598,PROGRAMAS[],3,FALSE),0)</f>
        <v>0</v>
      </c>
      <c r="AT598" s="246">
        <f>IFERROR(VLOOKUP(D598,VOL_REC[],2,FALSE),0)</f>
        <v>0</v>
      </c>
      <c r="AU598" s="246">
        <f>IFERROR(VLOOKUP(E598,VOL_REC[],2,FALSE),0)</f>
        <v>0</v>
      </c>
      <c r="AV598" s="246">
        <f>IFERROR(VLOOKUP(F598,VOL_REC[],2,FALSE),0)</f>
        <v>11089674.200000001</v>
      </c>
      <c r="AW598" s="246">
        <f>IFERROR(VLOOKUP(G598,VOL_REC[],2,FALSE),0)</f>
        <v>90439.55</v>
      </c>
      <c r="AX598" s="246">
        <f>IFERROR(VLOOKUP(H598,VOL_REC[],2,FALSE),0)</f>
        <v>4325103.1812214684</v>
      </c>
      <c r="AY598" s="246">
        <f>IFERROR(VLOOKUP(I598,VOL_REC[],2,FALSE),0)</f>
        <v>3761786</v>
      </c>
      <c r="AZ598" s="246">
        <f>IFERROR(VLOOKUP(J598,VOL_REC[],2,FALSE),0)</f>
        <v>240696.79238099116</v>
      </c>
      <c r="BA598" s="246">
        <f>IFERROR(VLOOKUP(K598,VOL_REC[],2,FALSE),0)</f>
        <v>17074.045034105649</v>
      </c>
      <c r="BB598" s="246">
        <f>IFERROR(VLOOKUP(L598,VOL_REC[],2,FALSE),0)</f>
        <v>0</v>
      </c>
      <c r="BC598" s="246">
        <f>IFERROR(VLOOKUP(M598,VOL_REC[],2,FALSE),0)</f>
        <v>0</v>
      </c>
      <c r="BD598" s="246">
        <f>IFERROR(VLOOKUP(N598,VOL_REC[],2,FALSE),0)</f>
        <v>0</v>
      </c>
      <c r="BE598" s="246">
        <f>IFERROR(VLOOKUP(O598,VOL_REC[],2,FALSE),0)</f>
        <v>0</v>
      </c>
      <c r="BF598" s="246">
        <f>IFERROR(VLOOKUP(P598,VOL_REC[],2,FALSE),0)</f>
        <v>0</v>
      </c>
      <c r="BG598" s="246">
        <f>IFERROR(VLOOKUP(Q598,VOL_REC[],2,FALSE),0)</f>
        <v>0</v>
      </c>
      <c r="BH598" s="1710">
        <f t="shared" si="36"/>
        <v>12256106721.406649</v>
      </c>
      <c r="BI598" s="1710">
        <f t="shared" si="37"/>
        <v>17163255975.890146</v>
      </c>
      <c r="BJ598" s="1711">
        <f t="shared" si="38"/>
        <v>19524773.768636569</v>
      </c>
      <c r="BK598" s="1711">
        <f t="shared" si="39"/>
        <v>0.71408984044887813</v>
      </c>
    </row>
    <row r="599" spans="3:67" x14ac:dyDescent="0.25">
      <c r="C599" s="246" t="s">
        <v>1949</v>
      </c>
      <c r="D599" s="246">
        <v>1</v>
      </c>
      <c r="E599" s="246">
        <v>2</v>
      </c>
      <c r="F599" s="246">
        <v>3</v>
      </c>
      <c r="G599" s="246">
        <v>4</v>
      </c>
      <c r="H599" s="246">
        <v>5</v>
      </c>
      <c r="I599" s="246">
        <v>9</v>
      </c>
      <c r="J599" s="246">
        <v>12</v>
      </c>
      <c r="K599" s="246">
        <v>15</v>
      </c>
      <c r="L599" s="246"/>
      <c r="M599" s="246"/>
      <c r="N599" s="246"/>
      <c r="O599" s="246"/>
      <c r="P599" s="246"/>
      <c r="Q599" s="246"/>
      <c r="R599" s="246">
        <f>IFERROR(VLOOKUP(D599,PROGRAMAS[],2,FALSE),0)</f>
        <v>97037803.679377079</v>
      </c>
      <c r="S599" s="246">
        <f>IFERROR(VLOOKUP(E599,PROGRAMAS[],2,FALSE),0)</f>
        <v>640501509.6821388</v>
      </c>
      <c r="T599" s="246">
        <f>IFERROR(VLOOKUP(F599,PROGRAMAS[],2,FALSE),0)</f>
        <v>3062327798.1525245</v>
      </c>
      <c r="U599" s="246">
        <f>IFERROR(VLOOKUP(G599,PROGRAMAS[],2,FALSE),0)</f>
        <v>67697118.033011258</v>
      </c>
      <c r="V599" s="246">
        <f>IFERROR(VLOOKUP(H599,PROGRAMAS[],2,FALSE),0)</f>
        <v>1440941976.2528784</v>
      </c>
      <c r="W599" s="246">
        <f>IFERROR(VLOOKUP(I599,PROGRAMAS[],2,FALSE),0)</f>
        <v>6128579952.1618185</v>
      </c>
      <c r="X599" s="246">
        <f>IFERROR(VLOOKUP(J599,PROGRAMAS[],2,FALSE),0)</f>
        <v>764796700.79905891</v>
      </c>
      <c r="Y599" s="246">
        <f>IFERROR(VLOOKUP(K599,PROGRAMAS[],2,FALSE),0)</f>
        <v>122159672.96346797</v>
      </c>
      <c r="Z599" s="246">
        <f>IFERROR(VLOOKUP(L599,PROGRAMAS[],2,FALSE),0)</f>
        <v>0</v>
      </c>
      <c r="AA599" s="246">
        <f>IFERROR(VLOOKUP(M599,PROGRAMAS[],2,FALSE),0)</f>
        <v>0</v>
      </c>
      <c r="AB599" s="246">
        <f>IFERROR(VLOOKUP(N599,PROGRAMAS[],2,FALSE),0)</f>
        <v>0</v>
      </c>
      <c r="AC599" s="246">
        <f>IFERROR(VLOOKUP(O599,PROGRAMAS[],2,FALSE),0)</f>
        <v>0</v>
      </c>
      <c r="AD599" s="246">
        <f>IFERROR(VLOOKUP(P599,PROGRAMAS[],2,FALSE),0)</f>
        <v>0</v>
      </c>
      <c r="AE599" s="246">
        <f>IFERROR(VLOOKUP(Q599,PROGRAMAS[],2,FALSE),0)</f>
        <v>0</v>
      </c>
      <c r="AF599" s="246">
        <f>IFERROR(VLOOKUP(D599,PROGRAMAS[],3,FALSE),0)</f>
        <v>841888629.31080008</v>
      </c>
      <c r="AG599" s="246">
        <f>IFERROR(VLOOKUP(E599,PROGRAMAS[],3,FALSE),0)</f>
        <v>3848980803.1642323</v>
      </c>
      <c r="AH599" s="246">
        <f>IFERROR(VLOOKUP(F599,PROGRAMAS[],3,FALSE),0)</f>
        <v>3394901471.387517</v>
      </c>
      <c r="AI599" s="246">
        <f>IFERROR(VLOOKUP(G599,PROGRAMAS[],3,FALSE),0)</f>
        <v>125317226.95549992</v>
      </c>
      <c r="AJ599" s="246">
        <f>IFERROR(VLOOKUP(H599,PROGRAMAS[],3,FALSE),0)</f>
        <v>1233505101.0616004</v>
      </c>
      <c r="AK599" s="246">
        <f>IFERROR(VLOOKUP(I599,PROGRAMAS[],3,FALSE),0)</f>
        <v>7011279577.519702</v>
      </c>
      <c r="AL599" s="246">
        <f>IFERROR(VLOOKUP(J599,PROGRAMAS[],3,FALSE),0)</f>
        <v>675517840.109828</v>
      </c>
      <c r="AM599" s="246">
        <f>IFERROR(VLOOKUP(K599,PROGRAMAS[],3,FALSE),0)</f>
        <v>118617452.52510804</v>
      </c>
      <c r="AN599" s="246">
        <f>IFERROR(VLOOKUP(L599,PROGRAMAS[],3,FALSE),0)</f>
        <v>0</v>
      </c>
      <c r="AO599" s="246">
        <f>IFERROR(VLOOKUP(M599,PROGRAMAS[],3,FALSE),0)</f>
        <v>0</v>
      </c>
      <c r="AP599" s="246">
        <f>IFERROR(VLOOKUP(N599,PROGRAMAS[],3,FALSE),0)</f>
        <v>0</v>
      </c>
      <c r="AQ599" s="246">
        <f>IFERROR(VLOOKUP(O599,PROGRAMAS[],3,FALSE),0)</f>
        <v>0</v>
      </c>
      <c r="AR599" s="246">
        <f>IFERROR(VLOOKUP(P599,PROGRAMAS[],3,FALSE),0)</f>
        <v>0</v>
      </c>
      <c r="AS599" s="246">
        <f>IFERROR(VLOOKUP(Q599,PROGRAMAS[],3,FALSE),0)</f>
        <v>0</v>
      </c>
      <c r="AT599" s="246">
        <f>IFERROR(VLOOKUP(D599,VOL_REC[],2,FALSE),0)</f>
        <v>0</v>
      </c>
      <c r="AU599" s="246">
        <f>IFERROR(VLOOKUP(E599,VOL_REC[],2,FALSE),0)</f>
        <v>0</v>
      </c>
      <c r="AV599" s="246">
        <f>IFERROR(VLOOKUP(F599,VOL_REC[],2,FALSE),0)</f>
        <v>11089674.200000001</v>
      </c>
      <c r="AW599" s="246">
        <f>IFERROR(VLOOKUP(G599,VOL_REC[],2,FALSE),0)</f>
        <v>90439.55</v>
      </c>
      <c r="AX599" s="246">
        <f>IFERROR(VLOOKUP(H599,VOL_REC[],2,FALSE),0)</f>
        <v>4325103.1812214684</v>
      </c>
      <c r="AY599" s="246">
        <f>IFERROR(VLOOKUP(I599,VOL_REC[],2,FALSE),0)</f>
        <v>3761786</v>
      </c>
      <c r="AZ599" s="246">
        <f>IFERROR(VLOOKUP(J599,VOL_REC[],2,FALSE),0)</f>
        <v>240696.79238099116</v>
      </c>
      <c r="BA599" s="246">
        <f>IFERROR(VLOOKUP(K599,VOL_REC[],2,FALSE),0)</f>
        <v>105072</v>
      </c>
      <c r="BB599" s="246">
        <f>IFERROR(VLOOKUP(L599,VOL_REC[],2,FALSE),0)</f>
        <v>0</v>
      </c>
      <c r="BC599" s="246">
        <f>IFERROR(VLOOKUP(M599,VOL_REC[],2,FALSE),0)</f>
        <v>0</v>
      </c>
      <c r="BD599" s="246">
        <f>IFERROR(VLOOKUP(N599,VOL_REC[],2,FALSE),0)</f>
        <v>0</v>
      </c>
      <c r="BE599" s="246">
        <f>IFERROR(VLOOKUP(O599,VOL_REC[],2,FALSE),0)</f>
        <v>0</v>
      </c>
      <c r="BF599" s="246">
        <f>IFERROR(VLOOKUP(P599,VOL_REC[],2,FALSE),0)</f>
        <v>0</v>
      </c>
      <c r="BG599" s="246">
        <f>IFERROR(VLOOKUP(Q599,VOL_REC[],2,FALSE),0)</f>
        <v>0</v>
      </c>
      <c r="BH599" s="1710">
        <f t="shared" si="36"/>
        <v>12324042531.724277</v>
      </c>
      <c r="BI599" s="1710">
        <f t="shared" si="37"/>
        <v>17250008102.03429</v>
      </c>
      <c r="BJ599" s="1711">
        <f t="shared" si="38"/>
        <v>19612771.723602463</v>
      </c>
      <c r="BK599" s="1711">
        <f t="shared" si="39"/>
        <v>0.71443691265692244</v>
      </c>
    </row>
    <row r="600" spans="3:67" x14ac:dyDescent="0.25">
      <c r="C600" s="246" t="s">
        <v>1950</v>
      </c>
      <c r="D600" s="246">
        <v>1</v>
      </c>
      <c r="E600" s="246">
        <v>2</v>
      </c>
      <c r="F600" s="246">
        <v>3</v>
      </c>
      <c r="G600" s="246">
        <v>4</v>
      </c>
      <c r="H600" s="246">
        <v>5</v>
      </c>
      <c r="I600" s="246">
        <v>9</v>
      </c>
      <c r="J600" s="246">
        <v>12</v>
      </c>
      <c r="K600" s="246">
        <v>16</v>
      </c>
      <c r="L600" s="246"/>
      <c r="M600" s="246"/>
      <c r="N600" s="246"/>
      <c r="O600" s="246"/>
      <c r="P600" s="246"/>
      <c r="Q600" s="246"/>
      <c r="R600" s="246">
        <f>IFERROR(VLOOKUP(D600,PROGRAMAS[],2,FALSE),0)</f>
        <v>97037803.679377079</v>
      </c>
      <c r="S600" s="246">
        <f>IFERROR(VLOOKUP(E600,PROGRAMAS[],2,FALSE),0)</f>
        <v>640501509.6821388</v>
      </c>
      <c r="T600" s="246">
        <f>IFERROR(VLOOKUP(F600,PROGRAMAS[],2,FALSE),0)</f>
        <v>3062327798.1525245</v>
      </c>
      <c r="U600" s="246">
        <f>IFERROR(VLOOKUP(G600,PROGRAMAS[],2,FALSE),0)</f>
        <v>67697118.033011258</v>
      </c>
      <c r="V600" s="246">
        <f>IFERROR(VLOOKUP(H600,PROGRAMAS[],2,FALSE),0)</f>
        <v>1440941976.2528784</v>
      </c>
      <c r="W600" s="246">
        <f>IFERROR(VLOOKUP(I600,PROGRAMAS[],2,FALSE),0)</f>
        <v>6128579952.1618185</v>
      </c>
      <c r="X600" s="246">
        <f>IFERROR(VLOOKUP(J600,PROGRAMAS[],2,FALSE),0)</f>
        <v>764796700.79905891</v>
      </c>
      <c r="Y600" s="246">
        <f>IFERROR(VLOOKUP(K600,PROGRAMAS[],2,FALSE),0)</f>
        <v>7068496961.0436354</v>
      </c>
      <c r="Z600" s="246">
        <f>IFERROR(VLOOKUP(L600,PROGRAMAS[],2,FALSE),0)</f>
        <v>0</v>
      </c>
      <c r="AA600" s="246">
        <f>IFERROR(VLOOKUP(M600,PROGRAMAS[],2,FALSE),0)</f>
        <v>0</v>
      </c>
      <c r="AB600" s="246">
        <f>IFERROR(VLOOKUP(N600,PROGRAMAS[],2,FALSE),0)</f>
        <v>0</v>
      </c>
      <c r="AC600" s="246">
        <f>IFERROR(VLOOKUP(O600,PROGRAMAS[],2,FALSE),0)</f>
        <v>0</v>
      </c>
      <c r="AD600" s="246">
        <f>IFERROR(VLOOKUP(P600,PROGRAMAS[],2,FALSE),0)</f>
        <v>0</v>
      </c>
      <c r="AE600" s="246">
        <f>IFERROR(VLOOKUP(Q600,PROGRAMAS[],2,FALSE),0)</f>
        <v>0</v>
      </c>
      <c r="AF600" s="246">
        <f>IFERROR(VLOOKUP(D600,PROGRAMAS[],3,FALSE),0)</f>
        <v>841888629.31080008</v>
      </c>
      <c r="AG600" s="246">
        <f>IFERROR(VLOOKUP(E600,PROGRAMAS[],3,FALSE),0)</f>
        <v>3848980803.1642323</v>
      </c>
      <c r="AH600" s="246">
        <f>IFERROR(VLOOKUP(F600,PROGRAMAS[],3,FALSE),0)</f>
        <v>3394901471.387517</v>
      </c>
      <c r="AI600" s="246">
        <f>IFERROR(VLOOKUP(G600,PROGRAMAS[],3,FALSE),0)</f>
        <v>125317226.95549992</v>
      </c>
      <c r="AJ600" s="246">
        <f>IFERROR(VLOOKUP(H600,PROGRAMAS[],3,FALSE),0)</f>
        <v>1233505101.0616004</v>
      </c>
      <c r="AK600" s="246">
        <f>IFERROR(VLOOKUP(I600,PROGRAMAS[],3,FALSE),0)</f>
        <v>7011279577.519702</v>
      </c>
      <c r="AL600" s="246">
        <f>IFERROR(VLOOKUP(J600,PROGRAMAS[],3,FALSE),0)</f>
        <v>675517840.109828</v>
      </c>
      <c r="AM600" s="246">
        <f>IFERROR(VLOOKUP(K600,PROGRAMAS[],3,FALSE),0)</f>
        <v>2406564599.0319901</v>
      </c>
      <c r="AN600" s="246">
        <f>IFERROR(VLOOKUP(L600,PROGRAMAS[],3,FALSE),0)</f>
        <v>0</v>
      </c>
      <c r="AO600" s="246">
        <f>IFERROR(VLOOKUP(M600,PROGRAMAS[],3,FALSE),0)</f>
        <v>0</v>
      </c>
      <c r="AP600" s="246">
        <f>IFERROR(VLOOKUP(N600,PROGRAMAS[],3,FALSE),0)</f>
        <v>0</v>
      </c>
      <c r="AQ600" s="246">
        <f>IFERROR(VLOOKUP(O600,PROGRAMAS[],3,FALSE),0)</f>
        <v>0</v>
      </c>
      <c r="AR600" s="246">
        <f>IFERROR(VLOOKUP(P600,PROGRAMAS[],3,FALSE),0)</f>
        <v>0</v>
      </c>
      <c r="AS600" s="246">
        <f>IFERROR(VLOOKUP(Q600,PROGRAMAS[],3,FALSE),0)</f>
        <v>0</v>
      </c>
      <c r="AT600" s="246">
        <f>IFERROR(VLOOKUP(D600,VOL_REC[],2,FALSE),0)</f>
        <v>0</v>
      </c>
      <c r="AU600" s="246">
        <f>IFERROR(VLOOKUP(E600,VOL_REC[],2,FALSE),0)</f>
        <v>0</v>
      </c>
      <c r="AV600" s="246">
        <f>IFERROR(VLOOKUP(F600,VOL_REC[],2,FALSE),0)</f>
        <v>11089674.200000001</v>
      </c>
      <c r="AW600" s="246">
        <f>IFERROR(VLOOKUP(G600,VOL_REC[],2,FALSE),0)</f>
        <v>90439.55</v>
      </c>
      <c r="AX600" s="246">
        <f>IFERROR(VLOOKUP(H600,VOL_REC[],2,FALSE),0)</f>
        <v>4325103.1812214684</v>
      </c>
      <c r="AY600" s="246">
        <f>IFERROR(VLOOKUP(I600,VOL_REC[],2,FALSE),0)</f>
        <v>3761786</v>
      </c>
      <c r="AZ600" s="246">
        <f>IFERROR(VLOOKUP(J600,VOL_REC[],2,FALSE),0)</f>
        <v>240696.79238099116</v>
      </c>
      <c r="BA600" s="246">
        <f>IFERROR(VLOOKUP(K600,VOL_REC[],2,FALSE),0)</f>
        <v>1072354.9981737854</v>
      </c>
      <c r="BB600" s="246">
        <f>IFERROR(VLOOKUP(L600,VOL_REC[],2,FALSE),0)</f>
        <v>0</v>
      </c>
      <c r="BC600" s="246">
        <f>IFERROR(VLOOKUP(M600,VOL_REC[],2,FALSE),0)</f>
        <v>0</v>
      </c>
      <c r="BD600" s="246">
        <f>IFERROR(VLOOKUP(N600,VOL_REC[],2,FALSE),0)</f>
        <v>0</v>
      </c>
      <c r="BE600" s="246">
        <f>IFERROR(VLOOKUP(O600,VOL_REC[],2,FALSE),0)</f>
        <v>0</v>
      </c>
      <c r="BF600" s="246">
        <f>IFERROR(VLOOKUP(P600,VOL_REC[],2,FALSE),0)</f>
        <v>0</v>
      </c>
      <c r="BG600" s="246">
        <f>IFERROR(VLOOKUP(Q600,VOL_REC[],2,FALSE),0)</f>
        <v>0</v>
      </c>
      <c r="BH600" s="1710">
        <f t="shared" si="36"/>
        <v>19270379819.804443</v>
      </c>
      <c r="BI600" s="1710">
        <f t="shared" si="37"/>
        <v>19537955248.541172</v>
      </c>
      <c r="BJ600" s="1711">
        <f t="shared" si="38"/>
        <v>20580054.721776247</v>
      </c>
      <c r="BK600" s="1711">
        <f t="shared" si="39"/>
        <v>0.98630483971669924</v>
      </c>
    </row>
    <row r="601" spans="3:67" x14ac:dyDescent="0.25">
      <c r="C601" s="246" t="s">
        <v>1951</v>
      </c>
      <c r="D601" s="246">
        <v>1</v>
      </c>
      <c r="E601" s="246">
        <v>2</v>
      </c>
      <c r="F601" s="246">
        <v>3</v>
      </c>
      <c r="G601" s="246">
        <v>4</v>
      </c>
      <c r="H601" s="246">
        <v>5</v>
      </c>
      <c r="I601" s="246">
        <v>9</v>
      </c>
      <c r="J601" s="246">
        <v>12</v>
      </c>
      <c r="K601" s="246">
        <v>17</v>
      </c>
      <c r="L601" s="246"/>
      <c r="M601" s="246"/>
      <c r="N601" s="246"/>
      <c r="O601" s="246"/>
      <c r="P601" s="246"/>
      <c r="Q601" s="246"/>
      <c r="R601" s="246">
        <f>IFERROR(VLOOKUP(D601,PROGRAMAS[],2,FALSE),0)</f>
        <v>97037803.679377079</v>
      </c>
      <c r="S601" s="246">
        <f>IFERROR(VLOOKUP(E601,PROGRAMAS[],2,FALSE),0)</f>
        <v>640501509.6821388</v>
      </c>
      <c r="T601" s="246">
        <f>IFERROR(VLOOKUP(F601,PROGRAMAS[],2,FALSE),0)</f>
        <v>3062327798.1525245</v>
      </c>
      <c r="U601" s="246">
        <f>IFERROR(VLOOKUP(G601,PROGRAMAS[],2,FALSE),0)</f>
        <v>67697118.033011258</v>
      </c>
      <c r="V601" s="246">
        <f>IFERROR(VLOOKUP(H601,PROGRAMAS[],2,FALSE),0)</f>
        <v>1440941976.2528784</v>
      </c>
      <c r="W601" s="246">
        <f>IFERROR(VLOOKUP(I601,PROGRAMAS[],2,FALSE),0)</f>
        <v>6128579952.1618185</v>
      </c>
      <c r="X601" s="246">
        <f>IFERROR(VLOOKUP(J601,PROGRAMAS[],2,FALSE),0)</f>
        <v>764796700.79905891</v>
      </c>
      <c r="Y601" s="246">
        <f>IFERROR(VLOOKUP(K601,PROGRAMAS[],2,FALSE),0)</f>
        <v>1892779498.5211046</v>
      </c>
      <c r="Z601" s="246">
        <f>IFERROR(VLOOKUP(L601,PROGRAMAS[],2,FALSE),0)</f>
        <v>0</v>
      </c>
      <c r="AA601" s="246">
        <f>IFERROR(VLOOKUP(M601,PROGRAMAS[],2,FALSE),0)</f>
        <v>0</v>
      </c>
      <c r="AB601" s="246">
        <f>IFERROR(VLOOKUP(N601,PROGRAMAS[],2,FALSE),0)</f>
        <v>0</v>
      </c>
      <c r="AC601" s="246">
        <f>IFERROR(VLOOKUP(O601,PROGRAMAS[],2,FALSE),0)</f>
        <v>0</v>
      </c>
      <c r="AD601" s="246">
        <f>IFERROR(VLOOKUP(P601,PROGRAMAS[],2,FALSE),0)</f>
        <v>0</v>
      </c>
      <c r="AE601" s="246">
        <f>IFERROR(VLOOKUP(Q601,PROGRAMAS[],2,FALSE),0)</f>
        <v>0</v>
      </c>
      <c r="AF601" s="246">
        <f>IFERROR(VLOOKUP(D601,PROGRAMAS[],3,FALSE),0)</f>
        <v>841888629.31080008</v>
      </c>
      <c r="AG601" s="246">
        <f>IFERROR(VLOOKUP(E601,PROGRAMAS[],3,FALSE),0)</f>
        <v>3848980803.1642323</v>
      </c>
      <c r="AH601" s="246">
        <f>IFERROR(VLOOKUP(F601,PROGRAMAS[],3,FALSE),0)</f>
        <v>3394901471.387517</v>
      </c>
      <c r="AI601" s="246">
        <f>IFERROR(VLOOKUP(G601,PROGRAMAS[],3,FALSE),0)</f>
        <v>125317226.95549992</v>
      </c>
      <c r="AJ601" s="246">
        <f>IFERROR(VLOOKUP(H601,PROGRAMAS[],3,FALSE),0)</f>
        <v>1233505101.0616004</v>
      </c>
      <c r="AK601" s="246">
        <f>IFERROR(VLOOKUP(I601,PROGRAMAS[],3,FALSE),0)</f>
        <v>7011279577.519702</v>
      </c>
      <c r="AL601" s="246">
        <f>IFERROR(VLOOKUP(J601,PROGRAMAS[],3,FALSE),0)</f>
        <v>675517840.109828</v>
      </c>
      <c r="AM601" s="246">
        <f>IFERROR(VLOOKUP(K601,PROGRAMAS[],3,FALSE),0)</f>
        <v>948595847.09039903</v>
      </c>
      <c r="AN601" s="246">
        <f>IFERROR(VLOOKUP(L601,PROGRAMAS[],3,FALSE),0)</f>
        <v>0</v>
      </c>
      <c r="AO601" s="246">
        <f>IFERROR(VLOOKUP(M601,PROGRAMAS[],3,FALSE),0)</f>
        <v>0</v>
      </c>
      <c r="AP601" s="246">
        <f>IFERROR(VLOOKUP(N601,PROGRAMAS[],3,FALSE),0)</f>
        <v>0</v>
      </c>
      <c r="AQ601" s="246">
        <f>IFERROR(VLOOKUP(O601,PROGRAMAS[],3,FALSE),0)</f>
        <v>0</v>
      </c>
      <c r="AR601" s="246">
        <f>IFERROR(VLOOKUP(P601,PROGRAMAS[],3,FALSE),0)</f>
        <v>0</v>
      </c>
      <c r="AS601" s="246">
        <f>IFERROR(VLOOKUP(Q601,PROGRAMAS[],3,FALSE),0)</f>
        <v>0</v>
      </c>
      <c r="AT601" s="246">
        <f>IFERROR(VLOOKUP(D601,VOL_REC[],2,FALSE),0)</f>
        <v>0</v>
      </c>
      <c r="AU601" s="246">
        <f>IFERROR(VLOOKUP(E601,VOL_REC[],2,FALSE),0)</f>
        <v>0</v>
      </c>
      <c r="AV601" s="246">
        <f>IFERROR(VLOOKUP(F601,VOL_REC[],2,FALSE),0)</f>
        <v>11089674.200000001</v>
      </c>
      <c r="AW601" s="246">
        <f>IFERROR(VLOOKUP(G601,VOL_REC[],2,FALSE),0)</f>
        <v>90439.55</v>
      </c>
      <c r="AX601" s="246">
        <f>IFERROR(VLOOKUP(H601,VOL_REC[],2,FALSE),0)</f>
        <v>4325103.1812214684</v>
      </c>
      <c r="AY601" s="246">
        <f>IFERROR(VLOOKUP(I601,VOL_REC[],2,FALSE),0)</f>
        <v>3761786</v>
      </c>
      <c r="AZ601" s="246">
        <f>IFERROR(VLOOKUP(J601,VOL_REC[],2,FALSE),0)</f>
        <v>240696.79238099116</v>
      </c>
      <c r="BA601" s="246">
        <f>IFERROR(VLOOKUP(K601,VOL_REC[],2,FALSE),0)</f>
        <v>740113.98115702497</v>
      </c>
      <c r="BB601" s="246">
        <f>IFERROR(VLOOKUP(L601,VOL_REC[],2,FALSE),0)</f>
        <v>0</v>
      </c>
      <c r="BC601" s="246">
        <f>IFERROR(VLOOKUP(M601,VOL_REC[],2,FALSE),0)</f>
        <v>0</v>
      </c>
      <c r="BD601" s="246">
        <f>IFERROR(VLOOKUP(N601,VOL_REC[],2,FALSE),0)</f>
        <v>0</v>
      </c>
      <c r="BE601" s="246">
        <f>IFERROR(VLOOKUP(O601,VOL_REC[],2,FALSE),0)</f>
        <v>0</v>
      </c>
      <c r="BF601" s="246">
        <f>IFERROR(VLOOKUP(P601,VOL_REC[],2,FALSE),0)</f>
        <v>0</v>
      </c>
      <c r="BG601" s="246">
        <f>IFERROR(VLOOKUP(Q601,VOL_REC[],2,FALSE),0)</f>
        <v>0</v>
      </c>
      <c r="BH601" s="1710">
        <f t="shared" si="36"/>
        <v>14094662357.281914</v>
      </c>
      <c r="BI601" s="1710">
        <f t="shared" si="37"/>
        <v>18079986496.599583</v>
      </c>
      <c r="BJ601" s="1711">
        <f t="shared" si="38"/>
        <v>20247813.704759486</v>
      </c>
      <c r="BK601" s="1711">
        <f t="shared" si="39"/>
        <v>0.77957261527450727</v>
      </c>
    </row>
    <row r="602" spans="3:67" x14ac:dyDescent="0.25">
      <c r="C602" s="246" t="s">
        <v>1952</v>
      </c>
      <c r="D602" s="246">
        <v>1</v>
      </c>
      <c r="E602" s="246">
        <v>2</v>
      </c>
      <c r="F602" s="246">
        <v>3</v>
      </c>
      <c r="G602" s="246">
        <v>4</v>
      </c>
      <c r="H602" s="246">
        <v>5</v>
      </c>
      <c r="I602" s="246">
        <v>9</v>
      </c>
      <c r="J602" s="246">
        <v>13</v>
      </c>
      <c r="K602" s="246">
        <v>14</v>
      </c>
      <c r="L602" s="246"/>
      <c r="M602" s="246"/>
      <c r="N602" s="246"/>
      <c r="O602" s="246"/>
      <c r="P602" s="246"/>
      <c r="Q602" s="246"/>
      <c r="R602" s="246">
        <f>IFERROR(VLOOKUP(D602,PROGRAMAS[],2,FALSE),0)</f>
        <v>97037803.679377079</v>
      </c>
      <c r="S602" s="246">
        <f>IFERROR(VLOOKUP(E602,PROGRAMAS[],2,FALSE),0)</f>
        <v>640501509.6821388</v>
      </c>
      <c r="T602" s="246">
        <f>IFERROR(VLOOKUP(F602,PROGRAMAS[],2,FALSE),0)</f>
        <v>3062327798.1525245</v>
      </c>
      <c r="U602" s="246">
        <f>IFERROR(VLOOKUP(G602,PROGRAMAS[],2,FALSE),0)</f>
        <v>67697118.033011258</v>
      </c>
      <c r="V602" s="246">
        <f>IFERROR(VLOOKUP(H602,PROGRAMAS[],2,FALSE),0)</f>
        <v>1440941976.2528784</v>
      </c>
      <c r="W602" s="246">
        <f>IFERROR(VLOOKUP(I602,PROGRAMAS[],2,FALSE),0)</f>
        <v>6128579952.1618185</v>
      </c>
      <c r="X602" s="246">
        <f>IFERROR(VLOOKUP(J602,PROGRAMAS[],2,FALSE),0)</f>
        <v>3776538594.4604583</v>
      </c>
      <c r="Y602" s="246">
        <f>IFERROR(VLOOKUP(K602,PROGRAMAS[],2,FALSE),0)</f>
        <v>54223862.645839565</v>
      </c>
      <c r="Z602" s="246">
        <f>IFERROR(VLOOKUP(L602,PROGRAMAS[],2,FALSE),0)</f>
        <v>0</v>
      </c>
      <c r="AA602" s="246">
        <f>IFERROR(VLOOKUP(M602,PROGRAMAS[],2,FALSE),0)</f>
        <v>0</v>
      </c>
      <c r="AB602" s="246">
        <f>IFERROR(VLOOKUP(N602,PROGRAMAS[],2,FALSE),0)</f>
        <v>0</v>
      </c>
      <c r="AC602" s="246">
        <f>IFERROR(VLOOKUP(O602,PROGRAMAS[],2,FALSE),0)</f>
        <v>0</v>
      </c>
      <c r="AD602" s="246">
        <f>IFERROR(VLOOKUP(P602,PROGRAMAS[],2,FALSE),0)</f>
        <v>0</v>
      </c>
      <c r="AE602" s="246">
        <f>IFERROR(VLOOKUP(Q602,PROGRAMAS[],2,FALSE),0)</f>
        <v>0</v>
      </c>
      <c r="AF602" s="246">
        <f>IFERROR(VLOOKUP(D602,PROGRAMAS[],3,FALSE),0)</f>
        <v>841888629.31080008</v>
      </c>
      <c r="AG602" s="246">
        <f>IFERROR(VLOOKUP(E602,PROGRAMAS[],3,FALSE),0)</f>
        <v>3848980803.1642323</v>
      </c>
      <c r="AH602" s="246">
        <f>IFERROR(VLOOKUP(F602,PROGRAMAS[],3,FALSE),0)</f>
        <v>3394901471.387517</v>
      </c>
      <c r="AI602" s="246">
        <f>IFERROR(VLOOKUP(G602,PROGRAMAS[],3,FALSE),0)</f>
        <v>125317226.95549992</v>
      </c>
      <c r="AJ602" s="246">
        <f>IFERROR(VLOOKUP(H602,PROGRAMAS[],3,FALSE),0)</f>
        <v>1233505101.0616004</v>
      </c>
      <c r="AK602" s="246">
        <f>IFERROR(VLOOKUP(I602,PROGRAMAS[],3,FALSE),0)</f>
        <v>7011279577.519702</v>
      </c>
      <c r="AL602" s="246">
        <f>IFERROR(VLOOKUP(J602,PROGRAMAS[],3,FALSE),0)</f>
        <v>2392571243.5584412</v>
      </c>
      <c r="AM602" s="246">
        <f>IFERROR(VLOOKUP(K602,PROGRAMAS[],3,FALSE),0)</f>
        <v>31865326.38096505</v>
      </c>
      <c r="AN602" s="246">
        <f>IFERROR(VLOOKUP(L602,PROGRAMAS[],3,FALSE),0)</f>
        <v>0</v>
      </c>
      <c r="AO602" s="246">
        <f>IFERROR(VLOOKUP(M602,PROGRAMAS[],3,FALSE),0)</f>
        <v>0</v>
      </c>
      <c r="AP602" s="246">
        <f>IFERROR(VLOOKUP(N602,PROGRAMAS[],3,FALSE),0)</f>
        <v>0</v>
      </c>
      <c r="AQ602" s="246">
        <f>IFERROR(VLOOKUP(O602,PROGRAMAS[],3,FALSE),0)</f>
        <v>0</v>
      </c>
      <c r="AR602" s="246">
        <f>IFERROR(VLOOKUP(P602,PROGRAMAS[],3,FALSE),0)</f>
        <v>0</v>
      </c>
      <c r="AS602" s="246">
        <f>IFERROR(VLOOKUP(Q602,PROGRAMAS[],3,FALSE),0)</f>
        <v>0</v>
      </c>
      <c r="AT602" s="246">
        <f>IFERROR(VLOOKUP(D602,VOL_REC[],2,FALSE),0)</f>
        <v>0</v>
      </c>
      <c r="AU602" s="246">
        <f>IFERROR(VLOOKUP(E602,VOL_REC[],2,FALSE),0)</f>
        <v>0</v>
      </c>
      <c r="AV602" s="246">
        <f>IFERROR(VLOOKUP(F602,VOL_REC[],2,FALSE),0)</f>
        <v>11089674.200000001</v>
      </c>
      <c r="AW602" s="246">
        <f>IFERROR(VLOOKUP(G602,VOL_REC[],2,FALSE),0)</f>
        <v>90439.55</v>
      </c>
      <c r="AX602" s="246">
        <f>IFERROR(VLOOKUP(H602,VOL_REC[],2,FALSE),0)</f>
        <v>4325103.1812214684</v>
      </c>
      <c r="AY602" s="246">
        <f>IFERROR(VLOOKUP(I602,VOL_REC[],2,FALSE),0)</f>
        <v>3761786</v>
      </c>
      <c r="AZ602" s="246">
        <f>IFERROR(VLOOKUP(J602,VOL_REC[],2,FALSE),0)</f>
        <v>663244.80000000016</v>
      </c>
      <c r="BA602" s="246">
        <f>IFERROR(VLOOKUP(K602,VOL_REC[],2,FALSE),0)</f>
        <v>17074.045034105649</v>
      </c>
      <c r="BB602" s="246">
        <f>IFERROR(VLOOKUP(L602,VOL_REC[],2,FALSE),0)</f>
        <v>0</v>
      </c>
      <c r="BC602" s="246">
        <f>IFERROR(VLOOKUP(M602,VOL_REC[],2,FALSE),0)</f>
        <v>0</v>
      </c>
      <c r="BD602" s="246">
        <f>IFERROR(VLOOKUP(N602,VOL_REC[],2,FALSE),0)</f>
        <v>0</v>
      </c>
      <c r="BE602" s="246">
        <f>IFERROR(VLOOKUP(O602,VOL_REC[],2,FALSE),0)</f>
        <v>0</v>
      </c>
      <c r="BF602" s="246">
        <f>IFERROR(VLOOKUP(P602,VOL_REC[],2,FALSE),0)</f>
        <v>0</v>
      </c>
      <c r="BG602" s="246">
        <f>IFERROR(VLOOKUP(Q602,VOL_REC[],2,FALSE),0)</f>
        <v>0</v>
      </c>
      <c r="BH602" s="1710">
        <f t="shared" si="36"/>
        <v>15267848615.068048</v>
      </c>
      <c r="BI602" s="1710">
        <f t="shared" si="37"/>
        <v>18880309379.33876</v>
      </c>
      <c r="BJ602" s="1711">
        <f t="shared" si="38"/>
        <v>19947321.776255578</v>
      </c>
      <c r="BK602" s="1711">
        <f t="shared" si="39"/>
        <v>0.80866517112140512</v>
      </c>
    </row>
    <row r="603" spans="3:67" x14ac:dyDescent="0.25">
      <c r="C603" s="246" t="s">
        <v>1953</v>
      </c>
      <c r="D603" s="246">
        <v>1</v>
      </c>
      <c r="E603" s="246">
        <v>2</v>
      </c>
      <c r="F603" s="246">
        <v>3</v>
      </c>
      <c r="G603" s="246">
        <v>4</v>
      </c>
      <c r="H603" s="246">
        <v>5</v>
      </c>
      <c r="I603" s="246">
        <v>9</v>
      </c>
      <c r="J603" s="246">
        <v>13</v>
      </c>
      <c r="K603" s="246">
        <v>15</v>
      </c>
      <c r="L603" s="246"/>
      <c r="M603" s="246"/>
      <c r="N603" s="246"/>
      <c r="O603" s="246"/>
      <c r="P603" s="246"/>
      <c r="Q603" s="246"/>
      <c r="R603" s="246">
        <f>IFERROR(VLOOKUP(D603,PROGRAMAS[],2,FALSE),0)</f>
        <v>97037803.679377079</v>
      </c>
      <c r="S603" s="246">
        <f>IFERROR(VLOOKUP(E603,PROGRAMAS[],2,FALSE),0)</f>
        <v>640501509.6821388</v>
      </c>
      <c r="T603" s="246">
        <f>IFERROR(VLOOKUP(F603,PROGRAMAS[],2,FALSE),0)</f>
        <v>3062327798.1525245</v>
      </c>
      <c r="U603" s="246">
        <f>IFERROR(VLOOKUP(G603,PROGRAMAS[],2,FALSE),0)</f>
        <v>67697118.033011258</v>
      </c>
      <c r="V603" s="246">
        <f>IFERROR(VLOOKUP(H603,PROGRAMAS[],2,FALSE),0)</f>
        <v>1440941976.2528784</v>
      </c>
      <c r="W603" s="246">
        <f>IFERROR(VLOOKUP(I603,PROGRAMAS[],2,FALSE),0)</f>
        <v>6128579952.1618185</v>
      </c>
      <c r="X603" s="246">
        <f>IFERROR(VLOOKUP(J603,PROGRAMAS[],2,FALSE),0)</f>
        <v>3776538594.4604583</v>
      </c>
      <c r="Y603" s="246">
        <f>IFERROR(VLOOKUP(K603,PROGRAMAS[],2,FALSE),0)</f>
        <v>122159672.96346797</v>
      </c>
      <c r="Z603" s="246">
        <f>IFERROR(VLOOKUP(L603,PROGRAMAS[],2,FALSE),0)</f>
        <v>0</v>
      </c>
      <c r="AA603" s="246">
        <f>IFERROR(VLOOKUP(M603,PROGRAMAS[],2,FALSE),0)</f>
        <v>0</v>
      </c>
      <c r="AB603" s="246">
        <f>IFERROR(VLOOKUP(N603,PROGRAMAS[],2,FALSE),0)</f>
        <v>0</v>
      </c>
      <c r="AC603" s="246">
        <f>IFERROR(VLOOKUP(O603,PROGRAMAS[],2,FALSE),0)</f>
        <v>0</v>
      </c>
      <c r="AD603" s="246">
        <f>IFERROR(VLOOKUP(P603,PROGRAMAS[],2,FALSE),0)</f>
        <v>0</v>
      </c>
      <c r="AE603" s="246">
        <f>IFERROR(VLOOKUP(Q603,PROGRAMAS[],2,FALSE),0)</f>
        <v>0</v>
      </c>
      <c r="AF603" s="246">
        <f>IFERROR(VLOOKUP(D603,PROGRAMAS[],3,FALSE),0)</f>
        <v>841888629.31080008</v>
      </c>
      <c r="AG603" s="246">
        <f>IFERROR(VLOOKUP(E603,PROGRAMAS[],3,FALSE),0)</f>
        <v>3848980803.1642323</v>
      </c>
      <c r="AH603" s="246">
        <f>IFERROR(VLOOKUP(F603,PROGRAMAS[],3,FALSE),0)</f>
        <v>3394901471.387517</v>
      </c>
      <c r="AI603" s="246">
        <f>IFERROR(VLOOKUP(G603,PROGRAMAS[],3,FALSE),0)</f>
        <v>125317226.95549992</v>
      </c>
      <c r="AJ603" s="246">
        <f>IFERROR(VLOOKUP(H603,PROGRAMAS[],3,FALSE),0)</f>
        <v>1233505101.0616004</v>
      </c>
      <c r="AK603" s="246">
        <f>IFERROR(VLOOKUP(I603,PROGRAMAS[],3,FALSE),0)</f>
        <v>7011279577.519702</v>
      </c>
      <c r="AL603" s="246">
        <f>IFERROR(VLOOKUP(J603,PROGRAMAS[],3,FALSE),0)</f>
        <v>2392571243.5584412</v>
      </c>
      <c r="AM603" s="246">
        <f>IFERROR(VLOOKUP(K603,PROGRAMAS[],3,FALSE),0)</f>
        <v>118617452.52510804</v>
      </c>
      <c r="AN603" s="246">
        <f>IFERROR(VLOOKUP(L603,PROGRAMAS[],3,FALSE),0)</f>
        <v>0</v>
      </c>
      <c r="AO603" s="246">
        <f>IFERROR(VLOOKUP(M603,PROGRAMAS[],3,FALSE),0)</f>
        <v>0</v>
      </c>
      <c r="AP603" s="246">
        <f>IFERROR(VLOOKUP(N603,PROGRAMAS[],3,FALSE),0)</f>
        <v>0</v>
      </c>
      <c r="AQ603" s="246">
        <f>IFERROR(VLOOKUP(O603,PROGRAMAS[],3,FALSE),0)</f>
        <v>0</v>
      </c>
      <c r="AR603" s="246">
        <f>IFERROR(VLOOKUP(P603,PROGRAMAS[],3,FALSE),0)</f>
        <v>0</v>
      </c>
      <c r="AS603" s="246">
        <f>IFERROR(VLOOKUP(Q603,PROGRAMAS[],3,FALSE),0)</f>
        <v>0</v>
      </c>
      <c r="AT603" s="246">
        <f>IFERROR(VLOOKUP(D603,VOL_REC[],2,FALSE),0)</f>
        <v>0</v>
      </c>
      <c r="AU603" s="246">
        <f>IFERROR(VLOOKUP(E603,VOL_REC[],2,FALSE),0)</f>
        <v>0</v>
      </c>
      <c r="AV603" s="246">
        <f>IFERROR(VLOOKUP(F603,VOL_REC[],2,FALSE),0)</f>
        <v>11089674.200000001</v>
      </c>
      <c r="AW603" s="246">
        <f>IFERROR(VLOOKUP(G603,VOL_REC[],2,FALSE),0)</f>
        <v>90439.55</v>
      </c>
      <c r="AX603" s="246">
        <f>IFERROR(VLOOKUP(H603,VOL_REC[],2,FALSE),0)</f>
        <v>4325103.1812214684</v>
      </c>
      <c r="AY603" s="246">
        <f>IFERROR(VLOOKUP(I603,VOL_REC[],2,FALSE),0)</f>
        <v>3761786</v>
      </c>
      <c r="AZ603" s="246">
        <f>IFERROR(VLOOKUP(J603,VOL_REC[],2,FALSE),0)</f>
        <v>663244.80000000016</v>
      </c>
      <c r="BA603" s="246">
        <f>IFERROR(VLOOKUP(K603,VOL_REC[],2,FALSE),0)</f>
        <v>105072</v>
      </c>
      <c r="BB603" s="246">
        <f>IFERROR(VLOOKUP(L603,VOL_REC[],2,FALSE),0)</f>
        <v>0</v>
      </c>
      <c r="BC603" s="246">
        <f>IFERROR(VLOOKUP(M603,VOL_REC[],2,FALSE),0)</f>
        <v>0</v>
      </c>
      <c r="BD603" s="246">
        <f>IFERROR(VLOOKUP(N603,VOL_REC[],2,FALSE),0)</f>
        <v>0</v>
      </c>
      <c r="BE603" s="246">
        <f>IFERROR(VLOOKUP(O603,VOL_REC[],2,FALSE),0)</f>
        <v>0</v>
      </c>
      <c r="BF603" s="246">
        <f>IFERROR(VLOOKUP(P603,VOL_REC[],2,FALSE),0)</f>
        <v>0</v>
      </c>
      <c r="BG603" s="246">
        <f>IFERROR(VLOOKUP(Q603,VOL_REC[],2,FALSE),0)</f>
        <v>0</v>
      </c>
      <c r="BH603" s="1710">
        <f t="shared" si="36"/>
        <v>15335784425.385677</v>
      </c>
      <c r="BI603" s="1710">
        <f t="shared" si="37"/>
        <v>18967061505.482903</v>
      </c>
      <c r="BJ603" s="1711">
        <f t="shared" si="38"/>
        <v>20035319.731221471</v>
      </c>
      <c r="BK603" s="1711">
        <f t="shared" si="39"/>
        <v>0.80854825197632674</v>
      </c>
    </row>
    <row r="604" spans="3:67" x14ac:dyDescent="0.25">
      <c r="C604" s="246" t="s">
        <v>1954</v>
      </c>
      <c r="D604" s="246">
        <v>1</v>
      </c>
      <c r="E604" s="246">
        <v>2</v>
      </c>
      <c r="F604" s="246">
        <v>3</v>
      </c>
      <c r="G604" s="246">
        <v>4</v>
      </c>
      <c r="H604" s="246">
        <v>5</v>
      </c>
      <c r="I604" s="246">
        <v>9</v>
      </c>
      <c r="J604" s="246">
        <v>13</v>
      </c>
      <c r="K604" s="246">
        <v>16</v>
      </c>
      <c r="L604" s="246"/>
      <c r="M604" s="246"/>
      <c r="N604" s="246"/>
      <c r="O604" s="246"/>
      <c r="P604" s="246"/>
      <c r="Q604" s="246"/>
      <c r="R604" s="246">
        <f>IFERROR(VLOOKUP(D604,PROGRAMAS[],2,FALSE),0)</f>
        <v>97037803.679377079</v>
      </c>
      <c r="S604" s="246">
        <f>IFERROR(VLOOKUP(E604,PROGRAMAS[],2,FALSE),0)</f>
        <v>640501509.6821388</v>
      </c>
      <c r="T604" s="246">
        <f>IFERROR(VLOOKUP(F604,PROGRAMAS[],2,FALSE),0)</f>
        <v>3062327798.1525245</v>
      </c>
      <c r="U604" s="246">
        <f>IFERROR(VLOOKUP(G604,PROGRAMAS[],2,FALSE),0)</f>
        <v>67697118.033011258</v>
      </c>
      <c r="V604" s="246">
        <f>IFERROR(VLOOKUP(H604,PROGRAMAS[],2,FALSE),0)</f>
        <v>1440941976.2528784</v>
      </c>
      <c r="W604" s="246">
        <f>IFERROR(VLOOKUP(I604,PROGRAMAS[],2,FALSE),0)</f>
        <v>6128579952.1618185</v>
      </c>
      <c r="X604" s="246">
        <f>IFERROR(VLOOKUP(J604,PROGRAMAS[],2,FALSE),0)</f>
        <v>3776538594.4604583</v>
      </c>
      <c r="Y604" s="246">
        <f>IFERROR(VLOOKUP(K604,PROGRAMAS[],2,FALSE),0)</f>
        <v>7068496961.0436354</v>
      </c>
      <c r="Z604" s="246">
        <f>IFERROR(VLOOKUP(L604,PROGRAMAS[],2,FALSE),0)</f>
        <v>0</v>
      </c>
      <c r="AA604" s="246">
        <f>IFERROR(VLOOKUP(M604,PROGRAMAS[],2,FALSE),0)</f>
        <v>0</v>
      </c>
      <c r="AB604" s="246">
        <f>IFERROR(VLOOKUP(N604,PROGRAMAS[],2,FALSE),0)</f>
        <v>0</v>
      </c>
      <c r="AC604" s="246">
        <f>IFERROR(VLOOKUP(O604,PROGRAMAS[],2,FALSE),0)</f>
        <v>0</v>
      </c>
      <c r="AD604" s="246">
        <f>IFERROR(VLOOKUP(P604,PROGRAMAS[],2,FALSE),0)</f>
        <v>0</v>
      </c>
      <c r="AE604" s="246">
        <f>IFERROR(VLOOKUP(Q604,PROGRAMAS[],2,FALSE),0)</f>
        <v>0</v>
      </c>
      <c r="AF604" s="246">
        <f>IFERROR(VLOOKUP(D604,PROGRAMAS[],3,FALSE),0)</f>
        <v>841888629.31080008</v>
      </c>
      <c r="AG604" s="246">
        <f>IFERROR(VLOOKUP(E604,PROGRAMAS[],3,FALSE),0)</f>
        <v>3848980803.1642323</v>
      </c>
      <c r="AH604" s="246">
        <f>IFERROR(VLOOKUP(F604,PROGRAMAS[],3,FALSE),0)</f>
        <v>3394901471.387517</v>
      </c>
      <c r="AI604" s="246">
        <f>IFERROR(VLOOKUP(G604,PROGRAMAS[],3,FALSE),0)</f>
        <v>125317226.95549992</v>
      </c>
      <c r="AJ604" s="246">
        <f>IFERROR(VLOOKUP(H604,PROGRAMAS[],3,FALSE),0)</f>
        <v>1233505101.0616004</v>
      </c>
      <c r="AK604" s="246">
        <f>IFERROR(VLOOKUP(I604,PROGRAMAS[],3,FALSE),0)</f>
        <v>7011279577.519702</v>
      </c>
      <c r="AL604" s="246">
        <f>IFERROR(VLOOKUP(J604,PROGRAMAS[],3,FALSE),0)</f>
        <v>2392571243.5584412</v>
      </c>
      <c r="AM604" s="246">
        <f>IFERROR(VLOOKUP(K604,PROGRAMAS[],3,FALSE),0)</f>
        <v>2406564599.0319901</v>
      </c>
      <c r="AN604" s="246">
        <f>IFERROR(VLOOKUP(L604,PROGRAMAS[],3,FALSE),0)</f>
        <v>0</v>
      </c>
      <c r="AO604" s="246">
        <f>IFERROR(VLOOKUP(M604,PROGRAMAS[],3,FALSE),0)</f>
        <v>0</v>
      </c>
      <c r="AP604" s="246">
        <f>IFERROR(VLOOKUP(N604,PROGRAMAS[],3,FALSE),0)</f>
        <v>0</v>
      </c>
      <c r="AQ604" s="246">
        <f>IFERROR(VLOOKUP(O604,PROGRAMAS[],3,FALSE),0)</f>
        <v>0</v>
      </c>
      <c r="AR604" s="246">
        <f>IFERROR(VLOOKUP(P604,PROGRAMAS[],3,FALSE),0)</f>
        <v>0</v>
      </c>
      <c r="AS604" s="246">
        <f>IFERROR(VLOOKUP(Q604,PROGRAMAS[],3,FALSE),0)</f>
        <v>0</v>
      </c>
      <c r="AT604" s="246">
        <f>IFERROR(VLOOKUP(D604,VOL_REC[],2,FALSE),0)</f>
        <v>0</v>
      </c>
      <c r="AU604" s="246">
        <f>IFERROR(VLOOKUP(E604,VOL_REC[],2,FALSE),0)</f>
        <v>0</v>
      </c>
      <c r="AV604" s="246">
        <f>IFERROR(VLOOKUP(F604,VOL_REC[],2,FALSE),0)</f>
        <v>11089674.200000001</v>
      </c>
      <c r="AW604" s="246">
        <f>IFERROR(VLOOKUP(G604,VOL_REC[],2,FALSE),0)</f>
        <v>90439.55</v>
      </c>
      <c r="AX604" s="246">
        <f>IFERROR(VLOOKUP(H604,VOL_REC[],2,FALSE),0)</f>
        <v>4325103.1812214684</v>
      </c>
      <c r="AY604" s="246">
        <f>IFERROR(VLOOKUP(I604,VOL_REC[],2,FALSE),0)</f>
        <v>3761786</v>
      </c>
      <c r="AZ604" s="246">
        <f>IFERROR(VLOOKUP(J604,VOL_REC[],2,FALSE),0)</f>
        <v>663244.80000000016</v>
      </c>
      <c r="BA604" s="246">
        <f>IFERROR(VLOOKUP(K604,VOL_REC[],2,FALSE),0)</f>
        <v>1072354.9981737854</v>
      </c>
      <c r="BB604" s="246">
        <f>IFERROR(VLOOKUP(L604,VOL_REC[],2,FALSE),0)</f>
        <v>0</v>
      </c>
      <c r="BC604" s="246">
        <f>IFERROR(VLOOKUP(M604,VOL_REC[],2,FALSE),0)</f>
        <v>0</v>
      </c>
      <c r="BD604" s="246">
        <f>IFERROR(VLOOKUP(N604,VOL_REC[],2,FALSE),0)</f>
        <v>0</v>
      </c>
      <c r="BE604" s="246">
        <f>IFERROR(VLOOKUP(O604,VOL_REC[],2,FALSE),0)</f>
        <v>0</v>
      </c>
      <c r="BF604" s="246">
        <f>IFERROR(VLOOKUP(P604,VOL_REC[],2,FALSE),0)</f>
        <v>0</v>
      </c>
      <c r="BG604" s="246">
        <f>IFERROR(VLOOKUP(Q604,VOL_REC[],2,FALSE),0)</f>
        <v>0</v>
      </c>
      <c r="BH604" s="1710">
        <f t="shared" si="36"/>
        <v>22282121713.465843</v>
      </c>
      <c r="BI604" s="1710">
        <f t="shared" si="37"/>
        <v>21255008651.989784</v>
      </c>
      <c r="BJ604" s="1711">
        <f t="shared" si="38"/>
        <v>21002602.729395255</v>
      </c>
      <c r="BK604" s="1711">
        <f t="shared" si="39"/>
        <v>1.0483233424315688</v>
      </c>
      <c r="BL604">
        <f>BJ604</f>
        <v>21002602.729395255</v>
      </c>
      <c r="BO604">
        <f>BL604</f>
        <v>21002602.729395255</v>
      </c>
    </row>
    <row r="605" spans="3:67" x14ac:dyDescent="0.25">
      <c r="C605" s="246" t="s">
        <v>1955</v>
      </c>
      <c r="D605" s="246">
        <v>1</v>
      </c>
      <c r="E605" s="246">
        <v>2</v>
      </c>
      <c r="F605" s="246">
        <v>3</v>
      </c>
      <c r="G605" s="246">
        <v>4</v>
      </c>
      <c r="H605" s="246">
        <v>5</v>
      </c>
      <c r="I605" s="246">
        <v>9</v>
      </c>
      <c r="J605" s="246">
        <v>13</v>
      </c>
      <c r="K605" s="246">
        <v>17</v>
      </c>
      <c r="L605" s="246"/>
      <c r="M605" s="246"/>
      <c r="N605" s="246"/>
      <c r="O605" s="246"/>
      <c r="P605" s="246"/>
      <c r="Q605" s="246"/>
      <c r="R605" s="246">
        <f>IFERROR(VLOOKUP(D605,PROGRAMAS[],2,FALSE),0)</f>
        <v>97037803.679377079</v>
      </c>
      <c r="S605" s="246">
        <f>IFERROR(VLOOKUP(E605,PROGRAMAS[],2,FALSE),0)</f>
        <v>640501509.6821388</v>
      </c>
      <c r="T605" s="246">
        <f>IFERROR(VLOOKUP(F605,PROGRAMAS[],2,FALSE),0)</f>
        <v>3062327798.1525245</v>
      </c>
      <c r="U605" s="246">
        <f>IFERROR(VLOOKUP(G605,PROGRAMAS[],2,FALSE),0)</f>
        <v>67697118.033011258</v>
      </c>
      <c r="V605" s="246">
        <f>IFERROR(VLOOKUP(H605,PROGRAMAS[],2,FALSE),0)</f>
        <v>1440941976.2528784</v>
      </c>
      <c r="W605" s="246">
        <f>IFERROR(VLOOKUP(I605,PROGRAMAS[],2,FALSE),0)</f>
        <v>6128579952.1618185</v>
      </c>
      <c r="X605" s="246">
        <f>IFERROR(VLOOKUP(J605,PROGRAMAS[],2,FALSE),0)</f>
        <v>3776538594.4604583</v>
      </c>
      <c r="Y605" s="246">
        <f>IFERROR(VLOOKUP(K605,PROGRAMAS[],2,FALSE),0)</f>
        <v>1892779498.5211046</v>
      </c>
      <c r="Z605" s="246">
        <f>IFERROR(VLOOKUP(L605,PROGRAMAS[],2,FALSE),0)</f>
        <v>0</v>
      </c>
      <c r="AA605" s="246">
        <f>IFERROR(VLOOKUP(M605,PROGRAMAS[],2,FALSE),0)</f>
        <v>0</v>
      </c>
      <c r="AB605" s="246">
        <f>IFERROR(VLOOKUP(N605,PROGRAMAS[],2,FALSE),0)</f>
        <v>0</v>
      </c>
      <c r="AC605" s="246">
        <f>IFERROR(VLOOKUP(O605,PROGRAMAS[],2,FALSE),0)</f>
        <v>0</v>
      </c>
      <c r="AD605" s="246">
        <f>IFERROR(VLOOKUP(P605,PROGRAMAS[],2,FALSE),0)</f>
        <v>0</v>
      </c>
      <c r="AE605" s="246">
        <f>IFERROR(VLOOKUP(Q605,PROGRAMAS[],2,FALSE),0)</f>
        <v>0</v>
      </c>
      <c r="AF605" s="246">
        <f>IFERROR(VLOOKUP(D605,PROGRAMAS[],3,FALSE),0)</f>
        <v>841888629.31080008</v>
      </c>
      <c r="AG605" s="246">
        <f>IFERROR(VLOOKUP(E605,PROGRAMAS[],3,FALSE),0)</f>
        <v>3848980803.1642323</v>
      </c>
      <c r="AH605" s="246">
        <f>IFERROR(VLOOKUP(F605,PROGRAMAS[],3,FALSE),0)</f>
        <v>3394901471.387517</v>
      </c>
      <c r="AI605" s="246">
        <f>IFERROR(VLOOKUP(G605,PROGRAMAS[],3,FALSE),0)</f>
        <v>125317226.95549992</v>
      </c>
      <c r="AJ605" s="246">
        <f>IFERROR(VLOOKUP(H605,PROGRAMAS[],3,FALSE),0)</f>
        <v>1233505101.0616004</v>
      </c>
      <c r="AK605" s="246">
        <f>IFERROR(VLOOKUP(I605,PROGRAMAS[],3,FALSE),0)</f>
        <v>7011279577.519702</v>
      </c>
      <c r="AL605" s="246">
        <f>IFERROR(VLOOKUP(J605,PROGRAMAS[],3,FALSE),0)</f>
        <v>2392571243.5584412</v>
      </c>
      <c r="AM605" s="246">
        <f>IFERROR(VLOOKUP(K605,PROGRAMAS[],3,FALSE),0)</f>
        <v>948595847.09039903</v>
      </c>
      <c r="AN605" s="246">
        <f>IFERROR(VLOOKUP(L605,PROGRAMAS[],3,FALSE),0)</f>
        <v>0</v>
      </c>
      <c r="AO605" s="246">
        <f>IFERROR(VLOOKUP(M605,PROGRAMAS[],3,FALSE),0)</f>
        <v>0</v>
      </c>
      <c r="AP605" s="246">
        <f>IFERROR(VLOOKUP(N605,PROGRAMAS[],3,FALSE),0)</f>
        <v>0</v>
      </c>
      <c r="AQ605" s="246">
        <f>IFERROR(VLOOKUP(O605,PROGRAMAS[],3,FALSE),0)</f>
        <v>0</v>
      </c>
      <c r="AR605" s="246">
        <f>IFERROR(VLOOKUP(P605,PROGRAMAS[],3,FALSE),0)</f>
        <v>0</v>
      </c>
      <c r="AS605" s="246">
        <f>IFERROR(VLOOKUP(Q605,PROGRAMAS[],3,FALSE),0)</f>
        <v>0</v>
      </c>
      <c r="AT605" s="246">
        <f>IFERROR(VLOOKUP(D605,VOL_REC[],2,FALSE),0)</f>
        <v>0</v>
      </c>
      <c r="AU605" s="246">
        <f>IFERROR(VLOOKUP(E605,VOL_REC[],2,FALSE),0)</f>
        <v>0</v>
      </c>
      <c r="AV605" s="246">
        <f>IFERROR(VLOOKUP(F605,VOL_REC[],2,FALSE),0)</f>
        <v>11089674.200000001</v>
      </c>
      <c r="AW605" s="246">
        <f>IFERROR(VLOOKUP(G605,VOL_REC[],2,FALSE),0)</f>
        <v>90439.55</v>
      </c>
      <c r="AX605" s="246">
        <f>IFERROR(VLOOKUP(H605,VOL_REC[],2,FALSE),0)</f>
        <v>4325103.1812214684</v>
      </c>
      <c r="AY605" s="246">
        <f>IFERROR(VLOOKUP(I605,VOL_REC[],2,FALSE),0)</f>
        <v>3761786</v>
      </c>
      <c r="AZ605" s="246">
        <f>IFERROR(VLOOKUP(J605,VOL_REC[],2,FALSE),0)</f>
        <v>663244.80000000016</v>
      </c>
      <c r="BA605" s="246">
        <f>IFERROR(VLOOKUP(K605,VOL_REC[],2,FALSE),0)</f>
        <v>740113.98115702497</v>
      </c>
      <c r="BB605" s="246">
        <f>IFERROR(VLOOKUP(L605,VOL_REC[],2,FALSE),0)</f>
        <v>0</v>
      </c>
      <c r="BC605" s="246">
        <f>IFERROR(VLOOKUP(M605,VOL_REC[],2,FALSE),0)</f>
        <v>0</v>
      </c>
      <c r="BD605" s="246">
        <f>IFERROR(VLOOKUP(N605,VOL_REC[],2,FALSE),0)</f>
        <v>0</v>
      </c>
      <c r="BE605" s="246">
        <f>IFERROR(VLOOKUP(O605,VOL_REC[],2,FALSE),0)</f>
        <v>0</v>
      </c>
      <c r="BF605" s="246">
        <f>IFERROR(VLOOKUP(P605,VOL_REC[],2,FALSE),0)</f>
        <v>0</v>
      </c>
      <c r="BG605" s="246">
        <f>IFERROR(VLOOKUP(Q605,VOL_REC[],2,FALSE),0)</f>
        <v>0</v>
      </c>
      <c r="BH605" s="1710">
        <f t="shared" si="36"/>
        <v>17106404250.943314</v>
      </c>
      <c r="BI605" s="1710">
        <f t="shared" si="37"/>
        <v>19797039900.048195</v>
      </c>
      <c r="BJ605" s="1711">
        <f t="shared" si="38"/>
        <v>20670361.712378494</v>
      </c>
      <c r="BK605" s="1711">
        <f t="shared" si="39"/>
        <v>0.86408899195589683</v>
      </c>
    </row>
    <row r="606" spans="3:67" x14ac:dyDescent="0.25">
      <c r="C606" s="246" t="s">
        <v>1956</v>
      </c>
      <c r="D606" s="246">
        <v>1</v>
      </c>
      <c r="E606" s="246">
        <v>2</v>
      </c>
      <c r="F606" s="246">
        <v>3</v>
      </c>
      <c r="G606" s="246">
        <v>4</v>
      </c>
      <c r="H606" s="246">
        <v>5</v>
      </c>
      <c r="I606" s="246">
        <v>9</v>
      </c>
      <c r="J606" s="246">
        <v>14</v>
      </c>
      <c r="K606" s="246">
        <v>15</v>
      </c>
      <c r="L606" s="246"/>
      <c r="M606" s="246"/>
      <c r="N606" s="246"/>
      <c r="O606" s="246"/>
      <c r="P606" s="246"/>
      <c r="Q606" s="246"/>
      <c r="R606" s="246">
        <f>IFERROR(VLOOKUP(D606,PROGRAMAS[],2,FALSE),0)</f>
        <v>97037803.679377079</v>
      </c>
      <c r="S606" s="246">
        <f>IFERROR(VLOOKUP(E606,PROGRAMAS[],2,FALSE),0)</f>
        <v>640501509.6821388</v>
      </c>
      <c r="T606" s="246">
        <f>IFERROR(VLOOKUP(F606,PROGRAMAS[],2,FALSE),0)</f>
        <v>3062327798.1525245</v>
      </c>
      <c r="U606" s="246">
        <f>IFERROR(VLOOKUP(G606,PROGRAMAS[],2,FALSE),0)</f>
        <v>67697118.033011258</v>
      </c>
      <c r="V606" s="246">
        <f>IFERROR(VLOOKUP(H606,PROGRAMAS[],2,FALSE),0)</f>
        <v>1440941976.2528784</v>
      </c>
      <c r="W606" s="246">
        <f>IFERROR(VLOOKUP(I606,PROGRAMAS[],2,FALSE),0)</f>
        <v>6128579952.1618185</v>
      </c>
      <c r="X606" s="246">
        <f>IFERROR(VLOOKUP(J606,PROGRAMAS[],2,FALSE),0)</f>
        <v>54223862.645839565</v>
      </c>
      <c r="Y606" s="246">
        <f>IFERROR(VLOOKUP(K606,PROGRAMAS[],2,FALSE),0)</f>
        <v>122159672.96346797</v>
      </c>
      <c r="Z606" s="246">
        <f>IFERROR(VLOOKUP(L606,PROGRAMAS[],2,FALSE),0)</f>
        <v>0</v>
      </c>
      <c r="AA606" s="246">
        <f>IFERROR(VLOOKUP(M606,PROGRAMAS[],2,FALSE),0)</f>
        <v>0</v>
      </c>
      <c r="AB606" s="246">
        <f>IFERROR(VLOOKUP(N606,PROGRAMAS[],2,FALSE),0)</f>
        <v>0</v>
      </c>
      <c r="AC606" s="246">
        <f>IFERROR(VLOOKUP(O606,PROGRAMAS[],2,FALSE),0)</f>
        <v>0</v>
      </c>
      <c r="AD606" s="246">
        <f>IFERROR(VLOOKUP(P606,PROGRAMAS[],2,FALSE),0)</f>
        <v>0</v>
      </c>
      <c r="AE606" s="246">
        <f>IFERROR(VLOOKUP(Q606,PROGRAMAS[],2,FALSE),0)</f>
        <v>0</v>
      </c>
      <c r="AF606" s="246">
        <f>IFERROR(VLOOKUP(D606,PROGRAMAS[],3,FALSE),0)</f>
        <v>841888629.31080008</v>
      </c>
      <c r="AG606" s="246">
        <f>IFERROR(VLOOKUP(E606,PROGRAMAS[],3,FALSE),0)</f>
        <v>3848980803.1642323</v>
      </c>
      <c r="AH606" s="246">
        <f>IFERROR(VLOOKUP(F606,PROGRAMAS[],3,FALSE),0)</f>
        <v>3394901471.387517</v>
      </c>
      <c r="AI606" s="246">
        <f>IFERROR(VLOOKUP(G606,PROGRAMAS[],3,FALSE),0)</f>
        <v>125317226.95549992</v>
      </c>
      <c r="AJ606" s="246">
        <f>IFERROR(VLOOKUP(H606,PROGRAMAS[],3,FALSE),0)</f>
        <v>1233505101.0616004</v>
      </c>
      <c r="AK606" s="246">
        <f>IFERROR(VLOOKUP(I606,PROGRAMAS[],3,FALSE),0)</f>
        <v>7011279577.519702</v>
      </c>
      <c r="AL606" s="246">
        <f>IFERROR(VLOOKUP(J606,PROGRAMAS[],3,FALSE),0)</f>
        <v>31865326.38096505</v>
      </c>
      <c r="AM606" s="246">
        <f>IFERROR(VLOOKUP(K606,PROGRAMAS[],3,FALSE),0)</f>
        <v>118617452.52510804</v>
      </c>
      <c r="AN606" s="246">
        <f>IFERROR(VLOOKUP(L606,PROGRAMAS[],3,FALSE),0)</f>
        <v>0</v>
      </c>
      <c r="AO606" s="246">
        <f>IFERROR(VLOOKUP(M606,PROGRAMAS[],3,FALSE),0)</f>
        <v>0</v>
      </c>
      <c r="AP606" s="246">
        <f>IFERROR(VLOOKUP(N606,PROGRAMAS[],3,FALSE),0)</f>
        <v>0</v>
      </c>
      <c r="AQ606" s="246">
        <f>IFERROR(VLOOKUP(O606,PROGRAMAS[],3,FALSE),0)</f>
        <v>0</v>
      </c>
      <c r="AR606" s="246">
        <f>IFERROR(VLOOKUP(P606,PROGRAMAS[],3,FALSE),0)</f>
        <v>0</v>
      </c>
      <c r="AS606" s="246">
        <f>IFERROR(VLOOKUP(Q606,PROGRAMAS[],3,FALSE),0)</f>
        <v>0</v>
      </c>
      <c r="AT606" s="246">
        <f>IFERROR(VLOOKUP(D606,VOL_REC[],2,FALSE),0)</f>
        <v>0</v>
      </c>
      <c r="AU606" s="246">
        <f>IFERROR(VLOOKUP(E606,VOL_REC[],2,FALSE),0)</f>
        <v>0</v>
      </c>
      <c r="AV606" s="246">
        <f>IFERROR(VLOOKUP(F606,VOL_REC[],2,FALSE),0)</f>
        <v>11089674.200000001</v>
      </c>
      <c r="AW606" s="246">
        <f>IFERROR(VLOOKUP(G606,VOL_REC[],2,FALSE),0)</f>
        <v>90439.55</v>
      </c>
      <c r="AX606" s="246">
        <f>IFERROR(VLOOKUP(H606,VOL_REC[],2,FALSE),0)</f>
        <v>4325103.1812214684</v>
      </c>
      <c r="AY606" s="246">
        <f>IFERROR(VLOOKUP(I606,VOL_REC[],2,FALSE),0)</f>
        <v>3761786</v>
      </c>
      <c r="AZ606" s="246">
        <f>IFERROR(VLOOKUP(J606,VOL_REC[],2,FALSE),0)</f>
        <v>17074.045034105649</v>
      </c>
      <c r="BA606" s="246">
        <f>IFERROR(VLOOKUP(K606,VOL_REC[],2,FALSE),0)</f>
        <v>105072</v>
      </c>
      <c r="BB606" s="246">
        <f>IFERROR(VLOOKUP(L606,VOL_REC[],2,FALSE),0)</f>
        <v>0</v>
      </c>
      <c r="BC606" s="246">
        <f>IFERROR(VLOOKUP(M606,VOL_REC[],2,FALSE),0)</f>
        <v>0</v>
      </c>
      <c r="BD606" s="246">
        <f>IFERROR(VLOOKUP(N606,VOL_REC[],2,FALSE),0)</f>
        <v>0</v>
      </c>
      <c r="BE606" s="246">
        <f>IFERROR(VLOOKUP(O606,VOL_REC[],2,FALSE),0)</f>
        <v>0</v>
      </c>
      <c r="BF606" s="246">
        <f>IFERROR(VLOOKUP(P606,VOL_REC[],2,FALSE),0)</f>
        <v>0</v>
      </c>
      <c r="BG606" s="246">
        <f>IFERROR(VLOOKUP(Q606,VOL_REC[],2,FALSE),0)</f>
        <v>0</v>
      </c>
      <c r="BH606" s="1710">
        <f t="shared" si="36"/>
        <v>11613469693.571058</v>
      </c>
      <c r="BI606" s="1710">
        <f t="shared" si="37"/>
        <v>16606355588.305426</v>
      </c>
      <c r="BJ606" s="1711">
        <f t="shared" si="38"/>
        <v>19389148.976255577</v>
      </c>
      <c r="BK606" s="1711">
        <f t="shared" si="39"/>
        <v>0.69933885444133981</v>
      </c>
    </row>
    <row r="607" spans="3:67" x14ac:dyDescent="0.25">
      <c r="C607" s="246" t="s">
        <v>1957</v>
      </c>
      <c r="D607" s="246">
        <v>1</v>
      </c>
      <c r="E607" s="246">
        <v>2</v>
      </c>
      <c r="F607" s="246">
        <v>3</v>
      </c>
      <c r="G607" s="246">
        <v>4</v>
      </c>
      <c r="H607" s="246">
        <v>5</v>
      </c>
      <c r="I607" s="246">
        <v>9</v>
      </c>
      <c r="J607" s="246">
        <v>14</v>
      </c>
      <c r="K607" s="246">
        <v>16</v>
      </c>
      <c r="L607" s="246"/>
      <c r="M607" s="246"/>
      <c r="N607" s="246"/>
      <c r="O607" s="246"/>
      <c r="P607" s="246"/>
      <c r="Q607" s="246"/>
      <c r="R607" s="246">
        <f>IFERROR(VLOOKUP(D607,PROGRAMAS[],2,FALSE),0)</f>
        <v>97037803.679377079</v>
      </c>
      <c r="S607" s="246">
        <f>IFERROR(VLOOKUP(E607,PROGRAMAS[],2,FALSE),0)</f>
        <v>640501509.6821388</v>
      </c>
      <c r="T607" s="246">
        <f>IFERROR(VLOOKUP(F607,PROGRAMAS[],2,FALSE),0)</f>
        <v>3062327798.1525245</v>
      </c>
      <c r="U607" s="246">
        <f>IFERROR(VLOOKUP(G607,PROGRAMAS[],2,FALSE),0)</f>
        <v>67697118.033011258</v>
      </c>
      <c r="V607" s="246">
        <f>IFERROR(VLOOKUP(H607,PROGRAMAS[],2,FALSE),0)</f>
        <v>1440941976.2528784</v>
      </c>
      <c r="W607" s="246">
        <f>IFERROR(VLOOKUP(I607,PROGRAMAS[],2,FALSE),0)</f>
        <v>6128579952.1618185</v>
      </c>
      <c r="X607" s="246">
        <f>IFERROR(VLOOKUP(J607,PROGRAMAS[],2,FALSE),0)</f>
        <v>54223862.645839565</v>
      </c>
      <c r="Y607" s="246">
        <f>IFERROR(VLOOKUP(K607,PROGRAMAS[],2,FALSE),0)</f>
        <v>7068496961.0436354</v>
      </c>
      <c r="Z607" s="246">
        <f>IFERROR(VLOOKUP(L607,PROGRAMAS[],2,FALSE),0)</f>
        <v>0</v>
      </c>
      <c r="AA607" s="246">
        <f>IFERROR(VLOOKUP(M607,PROGRAMAS[],2,FALSE),0)</f>
        <v>0</v>
      </c>
      <c r="AB607" s="246">
        <f>IFERROR(VLOOKUP(N607,PROGRAMAS[],2,FALSE),0)</f>
        <v>0</v>
      </c>
      <c r="AC607" s="246">
        <f>IFERROR(VLOOKUP(O607,PROGRAMAS[],2,FALSE),0)</f>
        <v>0</v>
      </c>
      <c r="AD607" s="246">
        <f>IFERROR(VLOOKUP(P607,PROGRAMAS[],2,FALSE),0)</f>
        <v>0</v>
      </c>
      <c r="AE607" s="246">
        <f>IFERROR(VLOOKUP(Q607,PROGRAMAS[],2,FALSE),0)</f>
        <v>0</v>
      </c>
      <c r="AF607" s="246">
        <f>IFERROR(VLOOKUP(D607,PROGRAMAS[],3,FALSE),0)</f>
        <v>841888629.31080008</v>
      </c>
      <c r="AG607" s="246">
        <f>IFERROR(VLOOKUP(E607,PROGRAMAS[],3,FALSE),0)</f>
        <v>3848980803.1642323</v>
      </c>
      <c r="AH607" s="246">
        <f>IFERROR(VLOOKUP(F607,PROGRAMAS[],3,FALSE),0)</f>
        <v>3394901471.387517</v>
      </c>
      <c r="AI607" s="246">
        <f>IFERROR(VLOOKUP(G607,PROGRAMAS[],3,FALSE),0)</f>
        <v>125317226.95549992</v>
      </c>
      <c r="AJ607" s="246">
        <f>IFERROR(VLOOKUP(H607,PROGRAMAS[],3,FALSE),0)</f>
        <v>1233505101.0616004</v>
      </c>
      <c r="AK607" s="246">
        <f>IFERROR(VLOOKUP(I607,PROGRAMAS[],3,FALSE),0)</f>
        <v>7011279577.519702</v>
      </c>
      <c r="AL607" s="246">
        <f>IFERROR(VLOOKUP(J607,PROGRAMAS[],3,FALSE),0)</f>
        <v>31865326.38096505</v>
      </c>
      <c r="AM607" s="246">
        <f>IFERROR(VLOOKUP(K607,PROGRAMAS[],3,FALSE),0)</f>
        <v>2406564599.0319901</v>
      </c>
      <c r="AN607" s="246">
        <f>IFERROR(VLOOKUP(L607,PROGRAMAS[],3,FALSE),0)</f>
        <v>0</v>
      </c>
      <c r="AO607" s="246">
        <f>IFERROR(VLOOKUP(M607,PROGRAMAS[],3,FALSE),0)</f>
        <v>0</v>
      </c>
      <c r="AP607" s="246">
        <f>IFERROR(VLOOKUP(N607,PROGRAMAS[],3,FALSE),0)</f>
        <v>0</v>
      </c>
      <c r="AQ607" s="246">
        <f>IFERROR(VLOOKUP(O607,PROGRAMAS[],3,FALSE),0)</f>
        <v>0</v>
      </c>
      <c r="AR607" s="246">
        <f>IFERROR(VLOOKUP(P607,PROGRAMAS[],3,FALSE),0)</f>
        <v>0</v>
      </c>
      <c r="AS607" s="246">
        <f>IFERROR(VLOOKUP(Q607,PROGRAMAS[],3,FALSE),0)</f>
        <v>0</v>
      </c>
      <c r="AT607" s="246">
        <f>IFERROR(VLOOKUP(D607,VOL_REC[],2,FALSE),0)</f>
        <v>0</v>
      </c>
      <c r="AU607" s="246">
        <f>IFERROR(VLOOKUP(E607,VOL_REC[],2,FALSE),0)</f>
        <v>0</v>
      </c>
      <c r="AV607" s="246">
        <f>IFERROR(VLOOKUP(F607,VOL_REC[],2,FALSE),0)</f>
        <v>11089674.200000001</v>
      </c>
      <c r="AW607" s="246">
        <f>IFERROR(VLOOKUP(G607,VOL_REC[],2,FALSE),0)</f>
        <v>90439.55</v>
      </c>
      <c r="AX607" s="246">
        <f>IFERROR(VLOOKUP(H607,VOL_REC[],2,FALSE),0)</f>
        <v>4325103.1812214684</v>
      </c>
      <c r="AY607" s="246">
        <f>IFERROR(VLOOKUP(I607,VOL_REC[],2,FALSE),0)</f>
        <v>3761786</v>
      </c>
      <c r="AZ607" s="246">
        <f>IFERROR(VLOOKUP(J607,VOL_REC[],2,FALSE),0)</f>
        <v>17074.045034105649</v>
      </c>
      <c r="BA607" s="246">
        <f>IFERROR(VLOOKUP(K607,VOL_REC[],2,FALSE),0)</f>
        <v>1072354.9981737854</v>
      </c>
      <c r="BB607" s="246">
        <f>IFERROR(VLOOKUP(L607,VOL_REC[],2,FALSE),0)</f>
        <v>0</v>
      </c>
      <c r="BC607" s="246">
        <f>IFERROR(VLOOKUP(M607,VOL_REC[],2,FALSE),0)</f>
        <v>0</v>
      </c>
      <c r="BD607" s="246">
        <f>IFERROR(VLOOKUP(N607,VOL_REC[],2,FALSE),0)</f>
        <v>0</v>
      </c>
      <c r="BE607" s="246">
        <f>IFERROR(VLOOKUP(O607,VOL_REC[],2,FALSE),0)</f>
        <v>0</v>
      </c>
      <c r="BF607" s="246">
        <f>IFERROR(VLOOKUP(P607,VOL_REC[],2,FALSE),0)</f>
        <v>0</v>
      </c>
      <c r="BG607" s="246">
        <f>IFERROR(VLOOKUP(Q607,VOL_REC[],2,FALSE),0)</f>
        <v>0</v>
      </c>
      <c r="BH607" s="1710">
        <f t="shared" si="36"/>
        <v>18559806981.651226</v>
      </c>
      <c r="BI607" s="1710">
        <f t="shared" si="37"/>
        <v>18894302734.812309</v>
      </c>
      <c r="BJ607" s="1711">
        <f t="shared" si="38"/>
        <v>20356431.974429362</v>
      </c>
      <c r="BK607" s="1711">
        <f t="shared" si="39"/>
        <v>0.98229647540553144</v>
      </c>
    </row>
    <row r="608" spans="3:67" x14ac:dyDescent="0.25">
      <c r="C608" s="246" t="s">
        <v>1958</v>
      </c>
      <c r="D608" s="246">
        <v>1</v>
      </c>
      <c r="E608" s="246">
        <v>2</v>
      </c>
      <c r="F608" s="246">
        <v>3</v>
      </c>
      <c r="G608" s="246">
        <v>4</v>
      </c>
      <c r="H608" s="246">
        <v>5</v>
      </c>
      <c r="I608" s="246">
        <v>9</v>
      </c>
      <c r="J608" s="246">
        <v>14</v>
      </c>
      <c r="K608" s="246">
        <v>17</v>
      </c>
      <c r="L608" s="246"/>
      <c r="M608" s="246"/>
      <c r="N608" s="246"/>
      <c r="O608" s="246"/>
      <c r="P608" s="246"/>
      <c r="Q608" s="246"/>
      <c r="R608" s="246">
        <f>IFERROR(VLOOKUP(D608,PROGRAMAS[],2,FALSE),0)</f>
        <v>97037803.679377079</v>
      </c>
      <c r="S608" s="246">
        <f>IFERROR(VLOOKUP(E608,PROGRAMAS[],2,FALSE),0)</f>
        <v>640501509.6821388</v>
      </c>
      <c r="T608" s="246">
        <f>IFERROR(VLOOKUP(F608,PROGRAMAS[],2,FALSE),0)</f>
        <v>3062327798.1525245</v>
      </c>
      <c r="U608" s="246">
        <f>IFERROR(VLOOKUP(G608,PROGRAMAS[],2,FALSE),0)</f>
        <v>67697118.033011258</v>
      </c>
      <c r="V608" s="246">
        <f>IFERROR(VLOOKUP(H608,PROGRAMAS[],2,FALSE),0)</f>
        <v>1440941976.2528784</v>
      </c>
      <c r="W608" s="246">
        <f>IFERROR(VLOOKUP(I608,PROGRAMAS[],2,FALSE),0)</f>
        <v>6128579952.1618185</v>
      </c>
      <c r="X608" s="246">
        <f>IFERROR(VLOOKUP(J608,PROGRAMAS[],2,FALSE),0)</f>
        <v>54223862.645839565</v>
      </c>
      <c r="Y608" s="246">
        <f>IFERROR(VLOOKUP(K608,PROGRAMAS[],2,FALSE),0)</f>
        <v>1892779498.5211046</v>
      </c>
      <c r="Z608" s="246">
        <f>IFERROR(VLOOKUP(L608,PROGRAMAS[],2,FALSE),0)</f>
        <v>0</v>
      </c>
      <c r="AA608" s="246">
        <f>IFERROR(VLOOKUP(M608,PROGRAMAS[],2,FALSE),0)</f>
        <v>0</v>
      </c>
      <c r="AB608" s="246">
        <f>IFERROR(VLOOKUP(N608,PROGRAMAS[],2,FALSE),0)</f>
        <v>0</v>
      </c>
      <c r="AC608" s="246">
        <f>IFERROR(VLOOKUP(O608,PROGRAMAS[],2,FALSE),0)</f>
        <v>0</v>
      </c>
      <c r="AD608" s="246">
        <f>IFERROR(VLOOKUP(P608,PROGRAMAS[],2,FALSE),0)</f>
        <v>0</v>
      </c>
      <c r="AE608" s="246">
        <f>IFERROR(VLOOKUP(Q608,PROGRAMAS[],2,FALSE),0)</f>
        <v>0</v>
      </c>
      <c r="AF608" s="246">
        <f>IFERROR(VLOOKUP(D608,PROGRAMAS[],3,FALSE),0)</f>
        <v>841888629.31080008</v>
      </c>
      <c r="AG608" s="246">
        <f>IFERROR(VLOOKUP(E608,PROGRAMAS[],3,FALSE),0)</f>
        <v>3848980803.1642323</v>
      </c>
      <c r="AH608" s="246">
        <f>IFERROR(VLOOKUP(F608,PROGRAMAS[],3,FALSE),0)</f>
        <v>3394901471.387517</v>
      </c>
      <c r="AI608" s="246">
        <f>IFERROR(VLOOKUP(G608,PROGRAMAS[],3,FALSE),0)</f>
        <v>125317226.95549992</v>
      </c>
      <c r="AJ608" s="246">
        <f>IFERROR(VLOOKUP(H608,PROGRAMAS[],3,FALSE),0)</f>
        <v>1233505101.0616004</v>
      </c>
      <c r="AK608" s="246">
        <f>IFERROR(VLOOKUP(I608,PROGRAMAS[],3,FALSE),0)</f>
        <v>7011279577.519702</v>
      </c>
      <c r="AL608" s="246">
        <f>IFERROR(VLOOKUP(J608,PROGRAMAS[],3,FALSE),0)</f>
        <v>31865326.38096505</v>
      </c>
      <c r="AM608" s="246">
        <f>IFERROR(VLOOKUP(K608,PROGRAMAS[],3,FALSE),0)</f>
        <v>948595847.09039903</v>
      </c>
      <c r="AN608" s="246">
        <f>IFERROR(VLOOKUP(L608,PROGRAMAS[],3,FALSE),0)</f>
        <v>0</v>
      </c>
      <c r="AO608" s="246">
        <f>IFERROR(VLOOKUP(M608,PROGRAMAS[],3,FALSE),0)</f>
        <v>0</v>
      </c>
      <c r="AP608" s="246">
        <f>IFERROR(VLOOKUP(N608,PROGRAMAS[],3,FALSE),0)</f>
        <v>0</v>
      </c>
      <c r="AQ608" s="246">
        <f>IFERROR(VLOOKUP(O608,PROGRAMAS[],3,FALSE),0)</f>
        <v>0</v>
      </c>
      <c r="AR608" s="246">
        <f>IFERROR(VLOOKUP(P608,PROGRAMAS[],3,FALSE),0)</f>
        <v>0</v>
      </c>
      <c r="AS608" s="246">
        <f>IFERROR(VLOOKUP(Q608,PROGRAMAS[],3,FALSE),0)</f>
        <v>0</v>
      </c>
      <c r="AT608" s="246">
        <f>IFERROR(VLOOKUP(D608,VOL_REC[],2,FALSE),0)</f>
        <v>0</v>
      </c>
      <c r="AU608" s="246">
        <f>IFERROR(VLOOKUP(E608,VOL_REC[],2,FALSE),0)</f>
        <v>0</v>
      </c>
      <c r="AV608" s="246">
        <f>IFERROR(VLOOKUP(F608,VOL_REC[],2,FALSE),0)</f>
        <v>11089674.200000001</v>
      </c>
      <c r="AW608" s="246">
        <f>IFERROR(VLOOKUP(G608,VOL_REC[],2,FALSE),0)</f>
        <v>90439.55</v>
      </c>
      <c r="AX608" s="246">
        <f>IFERROR(VLOOKUP(H608,VOL_REC[],2,FALSE),0)</f>
        <v>4325103.1812214684</v>
      </c>
      <c r="AY608" s="246">
        <f>IFERROR(VLOOKUP(I608,VOL_REC[],2,FALSE),0)</f>
        <v>3761786</v>
      </c>
      <c r="AZ608" s="246">
        <f>IFERROR(VLOOKUP(J608,VOL_REC[],2,FALSE),0)</f>
        <v>17074.045034105649</v>
      </c>
      <c r="BA608" s="246">
        <f>IFERROR(VLOOKUP(K608,VOL_REC[],2,FALSE),0)</f>
        <v>740113.98115702497</v>
      </c>
      <c r="BB608" s="246">
        <f>IFERROR(VLOOKUP(L608,VOL_REC[],2,FALSE),0)</f>
        <v>0</v>
      </c>
      <c r="BC608" s="246">
        <f>IFERROR(VLOOKUP(M608,VOL_REC[],2,FALSE),0)</f>
        <v>0</v>
      </c>
      <c r="BD608" s="246">
        <f>IFERROR(VLOOKUP(N608,VOL_REC[],2,FALSE),0)</f>
        <v>0</v>
      </c>
      <c r="BE608" s="246">
        <f>IFERROR(VLOOKUP(O608,VOL_REC[],2,FALSE),0)</f>
        <v>0</v>
      </c>
      <c r="BF608" s="246">
        <f>IFERROR(VLOOKUP(P608,VOL_REC[],2,FALSE),0)</f>
        <v>0</v>
      </c>
      <c r="BG608" s="246">
        <f>IFERROR(VLOOKUP(Q608,VOL_REC[],2,FALSE),0)</f>
        <v>0</v>
      </c>
      <c r="BH608" s="1710">
        <f t="shared" si="36"/>
        <v>13384089519.128695</v>
      </c>
      <c r="BI608" s="1710">
        <f t="shared" si="37"/>
        <v>17436333982.870716</v>
      </c>
      <c r="BJ608" s="1711">
        <f t="shared" si="38"/>
        <v>20024190.957412601</v>
      </c>
      <c r="BK608" s="1711">
        <f t="shared" si="39"/>
        <v>0.76759768035397191</v>
      </c>
    </row>
    <row r="609" spans="3:67" x14ac:dyDescent="0.25">
      <c r="C609" s="246" t="s">
        <v>1959</v>
      </c>
      <c r="D609" s="246">
        <v>1</v>
      </c>
      <c r="E609" s="246">
        <v>2</v>
      </c>
      <c r="F609" s="246">
        <v>3</v>
      </c>
      <c r="G609" s="246">
        <v>4</v>
      </c>
      <c r="H609" s="246">
        <v>5</v>
      </c>
      <c r="I609" s="246">
        <v>9</v>
      </c>
      <c r="J609" s="246">
        <v>15</v>
      </c>
      <c r="K609" s="246">
        <v>16</v>
      </c>
      <c r="L609" s="246"/>
      <c r="M609" s="246"/>
      <c r="N609" s="246"/>
      <c r="O609" s="246"/>
      <c r="P609" s="246"/>
      <c r="Q609" s="246"/>
      <c r="R609" s="246">
        <f>IFERROR(VLOOKUP(D609,PROGRAMAS[],2,FALSE),0)</f>
        <v>97037803.679377079</v>
      </c>
      <c r="S609" s="246">
        <f>IFERROR(VLOOKUP(E609,PROGRAMAS[],2,FALSE),0)</f>
        <v>640501509.6821388</v>
      </c>
      <c r="T609" s="246">
        <f>IFERROR(VLOOKUP(F609,PROGRAMAS[],2,FALSE),0)</f>
        <v>3062327798.1525245</v>
      </c>
      <c r="U609" s="246">
        <f>IFERROR(VLOOKUP(G609,PROGRAMAS[],2,FALSE),0)</f>
        <v>67697118.033011258</v>
      </c>
      <c r="V609" s="246">
        <f>IFERROR(VLOOKUP(H609,PROGRAMAS[],2,FALSE),0)</f>
        <v>1440941976.2528784</v>
      </c>
      <c r="W609" s="246">
        <f>IFERROR(VLOOKUP(I609,PROGRAMAS[],2,FALSE),0)</f>
        <v>6128579952.1618185</v>
      </c>
      <c r="X609" s="246">
        <f>IFERROR(VLOOKUP(J609,PROGRAMAS[],2,FALSE),0)</f>
        <v>122159672.96346797</v>
      </c>
      <c r="Y609" s="246">
        <f>IFERROR(VLOOKUP(K609,PROGRAMAS[],2,FALSE),0)</f>
        <v>7068496961.0436354</v>
      </c>
      <c r="Z609" s="246">
        <f>IFERROR(VLOOKUP(L609,PROGRAMAS[],2,FALSE),0)</f>
        <v>0</v>
      </c>
      <c r="AA609" s="246">
        <f>IFERROR(VLOOKUP(M609,PROGRAMAS[],2,FALSE),0)</f>
        <v>0</v>
      </c>
      <c r="AB609" s="246">
        <f>IFERROR(VLOOKUP(N609,PROGRAMAS[],2,FALSE),0)</f>
        <v>0</v>
      </c>
      <c r="AC609" s="246">
        <f>IFERROR(VLOOKUP(O609,PROGRAMAS[],2,FALSE),0)</f>
        <v>0</v>
      </c>
      <c r="AD609" s="246">
        <f>IFERROR(VLOOKUP(P609,PROGRAMAS[],2,FALSE),0)</f>
        <v>0</v>
      </c>
      <c r="AE609" s="246">
        <f>IFERROR(VLOOKUP(Q609,PROGRAMAS[],2,FALSE),0)</f>
        <v>0</v>
      </c>
      <c r="AF609" s="246">
        <f>IFERROR(VLOOKUP(D609,PROGRAMAS[],3,FALSE),0)</f>
        <v>841888629.31080008</v>
      </c>
      <c r="AG609" s="246">
        <f>IFERROR(VLOOKUP(E609,PROGRAMAS[],3,FALSE),0)</f>
        <v>3848980803.1642323</v>
      </c>
      <c r="AH609" s="246">
        <f>IFERROR(VLOOKUP(F609,PROGRAMAS[],3,FALSE),0)</f>
        <v>3394901471.387517</v>
      </c>
      <c r="AI609" s="246">
        <f>IFERROR(VLOOKUP(G609,PROGRAMAS[],3,FALSE),0)</f>
        <v>125317226.95549992</v>
      </c>
      <c r="AJ609" s="246">
        <f>IFERROR(VLOOKUP(H609,PROGRAMAS[],3,FALSE),0)</f>
        <v>1233505101.0616004</v>
      </c>
      <c r="AK609" s="246">
        <f>IFERROR(VLOOKUP(I609,PROGRAMAS[],3,FALSE),0)</f>
        <v>7011279577.519702</v>
      </c>
      <c r="AL609" s="246">
        <f>IFERROR(VLOOKUP(J609,PROGRAMAS[],3,FALSE),0)</f>
        <v>118617452.52510804</v>
      </c>
      <c r="AM609" s="246">
        <f>IFERROR(VLOOKUP(K609,PROGRAMAS[],3,FALSE),0)</f>
        <v>2406564599.0319901</v>
      </c>
      <c r="AN609" s="246">
        <f>IFERROR(VLOOKUP(L609,PROGRAMAS[],3,FALSE),0)</f>
        <v>0</v>
      </c>
      <c r="AO609" s="246">
        <f>IFERROR(VLOOKUP(M609,PROGRAMAS[],3,FALSE),0)</f>
        <v>0</v>
      </c>
      <c r="AP609" s="246">
        <f>IFERROR(VLOOKUP(N609,PROGRAMAS[],3,FALSE),0)</f>
        <v>0</v>
      </c>
      <c r="AQ609" s="246">
        <f>IFERROR(VLOOKUP(O609,PROGRAMAS[],3,FALSE),0)</f>
        <v>0</v>
      </c>
      <c r="AR609" s="246">
        <f>IFERROR(VLOOKUP(P609,PROGRAMAS[],3,FALSE),0)</f>
        <v>0</v>
      </c>
      <c r="AS609" s="246">
        <f>IFERROR(VLOOKUP(Q609,PROGRAMAS[],3,FALSE),0)</f>
        <v>0</v>
      </c>
      <c r="AT609" s="246">
        <f>IFERROR(VLOOKUP(D609,VOL_REC[],2,FALSE),0)</f>
        <v>0</v>
      </c>
      <c r="AU609" s="246">
        <f>IFERROR(VLOOKUP(E609,VOL_REC[],2,FALSE),0)</f>
        <v>0</v>
      </c>
      <c r="AV609" s="246">
        <f>IFERROR(VLOOKUP(F609,VOL_REC[],2,FALSE),0)</f>
        <v>11089674.200000001</v>
      </c>
      <c r="AW609" s="246">
        <f>IFERROR(VLOOKUP(G609,VOL_REC[],2,FALSE),0)</f>
        <v>90439.55</v>
      </c>
      <c r="AX609" s="246">
        <f>IFERROR(VLOOKUP(H609,VOL_REC[],2,FALSE),0)</f>
        <v>4325103.1812214684</v>
      </c>
      <c r="AY609" s="246">
        <f>IFERROR(VLOOKUP(I609,VOL_REC[],2,FALSE),0)</f>
        <v>3761786</v>
      </c>
      <c r="AZ609" s="246">
        <f>IFERROR(VLOOKUP(J609,VOL_REC[],2,FALSE),0)</f>
        <v>105072</v>
      </c>
      <c r="BA609" s="246">
        <f>IFERROR(VLOOKUP(K609,VOL_REC[],2,FALSE),0)</f>
        <v>1072354.9981737854</v>
      </c>
      <c r="BB609" s="246">
        <f>IFERROR(VLOOKUP(L609,VOL_REC[],2,FALSE),0)</f>
        <v>0</v>
      </c>
      <c r="BC609" s="246">
        <f>IFERROR(VLOOKUP(M609,VOL_REC[],2,FALSE),0)</f>
        <v>0</v>
      </c>
      <c r="BD609" s="246">
        <f>IFERROR(VLOOKUP(N609,VOL_REC[],2,FALSE),0)</f>
        <v>0</v>
      </c>
      <c r="BE609" s="246">
        <f>IFERROR(VLOOKUP(O609,VOL_REC[],2,FALSE),0)</f>
        <v>0</v>
      </c>
      <c r="BF609" s="246">
        <f>IFERROR(VLOOKUP(P609,VOL_REC[],2,FALSE),0)</f>
        <v>0</v>
      </c>
      <c r="BG609" s="246">
        <f>IFERROR(VLOOKUP(Q609,VOL_REC[],2,FALSE),0)</f>
        <v>0</v>
      </c>
      <c r="BH609" s="1710">
        <f t="shared" si="36"/>
        <v>18627742791.968853</v>
      </c>
      <c r="BI609" s="1710">
        <f t="shared" si="37"/>
        <v>18981054860.956451</v>
      </c>
      <c r="BJ609" s="1711">
        <f t="shared" si="38"/>
        <v>20444429.929395255</v>
      </c>
      <c r="BK609" s="1711">
        <f t="shared" si="39"/>
        <v>0.98138606776200032</v>
      </c>
    </row>
    <row r="610" spans="3:67" x14ac:dyDescent="0.25">
      <c r="C610" s="246" t="s">
        <v>1960</v>
      </c>
      <c r="D610" s="246">
        <v>1</v>
      </c>
      <c r="E610" s="246">
        <v>2</v>
      </c>
      <c r="F610" s="246">
        <v>3</v>
      </c>
      <c r="G610" s="246">
        <v>4</v>
      </c>
      <c r="H610" s="246">
        <v>5</v>
      </c>
      <c r="I610" s="246">
        <v>9</v>
      </c>
      <c r="J610" s="246">
        <v>15</v>
      </c>
      <c r="K610" s="246">
        <v>17</v>
      </c>
      <c r="L610" s="246"/>
      <c r="M610" s="246"/>
      <c r="N610" s="246"/>
      <c r="O610" s="246"/>
      <c r="P610" s="246"/>
      <c r="Q610" s="246"/>
      <c r="R610" s="246">
        <f>IFERROR(VLOOKUP(D610,PROGRAMAS[],2,FALSE),0)</f>
        <v>97037803.679377079</v>
      </c>
      <c r="S610" s="246">
        <f>IFERROR(VLOOKUP(E610,PROGRAMAS[],2,FALSE),0)</f>
        <v>640501509.6821388</v>
      </c>
      <c r="T610" s="246">
        <f>IFERROR(VLOOKUP(F610,PROGRAMAS[],2,FALSE),0)</f>
        <v>3062327798.1525245</v>
      </c>
      <c r="U610" s="246">
        <f>IFERROR(VLOOKUP(G610,PROGRAMAS[],2,FALSE),0)</f>
        <v>67697118.033011258</v>
      </c>
      <c r="V610" s="246">
        <f>IFERROR(VLOOKUP(H610,PROGRAMAS[],2,FALSE),0)</f>
        <v>1440941976.2528784</v>
      </c>
      <c r="W610" s="246">
        <f>IFERROR(VLOOKUP(I610,PROGRAMAS[],2,FALSE),0)</f>
        <v>6128579952.1618185</v>
      </c>
      <c r="X610" s="246">
        <f>IFERROR(VLOOKUP(J610,PROGRAMAS[],2,FALSE),0)</f>
        <v>122159672.96346797</v>
      </c>
      <c r="Y610" s="246">
        <f>IFERROR(VLOOKUP(K610,PROGRAMAS[],2,FALSE),0)</f>
        <v>1892779498.5211046</v>
      </c>
      <c r="Z610" s="246">
        <f>IFERROR(VLOOKUP(L610,PROGRAMAS[],2,FALSE),0)</f>
        <v>0</v>
      </c>
      <c r="AA610" s="246">
        <f>IFERROR(VLOOKUP(M610,PROGRAMAS[],2,FALSE),0)</f>
        <v>0</v>
      </c>
      <c r="AB610" s="246">
        <f>IFERROR(VLOOKUP(N610,PROGRAMAS[],2,FALSE),0)</f>
        <v>0</v>
      </c>
      <c r="AC610" s="246">
        <f>IFERROR(VLOOKUP(O610,PROGRAMAS[],2,FALSE),0)</f>
        <v>0</v>
      </c>
      <c r="AD610" s="246">
        <f>IFERROR(VLOOKUP(P610,PROGRAMAS[],2,FALSE),0)</f>
        <v>0</v>
      </c>
      <c r="AE610" s="246">
        <f>IFERROR(VLOOKUP(Q610,PROGRAMAS[],2,FALSE),0)</f>
        <v>0</v>
      </c>
      <c r="AF610" s="246">
        <f>IFERROR(VLOOKUP(D610,PROGRAMAS[],3,FALSE),0)</f>
        <v>841888629.31080008</v>
      </c>
      <c r="AG610" s="246">
        <f>IFERROR(VLOOKUP(E610,PROGRAMAS[],3,FALSE),0)</f>
        <v>3848980803.1642323</v>
      </c>
      <c r="AH610" s="246">
        <f>IFERROR(VLOOKUP(F610,PROGRAMAS[],3,FALSE),0)</f>
        <v>3394901471.387517</v>
      </c>
      <c r="AI610" s="246">
        <f>IFERROR(VLOOKUP(G610,PROGRAMAS[],3,FALSE),0)</f>
        <v>125317226.95549992</v>
      </c>
      <c r="AJ610" s="246">
        <f>IFERROR(VLOOKUP(H610,PROGRAMAS[],3,FALSE),0)</f>
        <v>1233505101.0616004</v>
      </c>
      <c r="AK610" s="246">
        <f>IFERROR(VLOOKUP(I610,PROGRAMAS[],3,FALSE),0)</f>
        <v>7011279577.519702</v>
      </c>
      <c r="AL610" s="246">
        <f>IFERROR(VLOOKUP(J610,PROGRAMAS[],3,FALSE),0)</f>
        <v>118617452.52510804</v>
      </c>
      <c r="AM610" s="246">
        <f>IFERROR(VLOOKUP(K610,PROGRAMAS[],3,FALSE),0)</f>
        <v>948595847.09039903</v>
      </c>
      <c r="AN610" s="246">
        <f>IFERROR(VLOOKUP(L610,PROGRAMAS[],3,FALSE),0)</f>
        <v>0</v>
      </c>
      <c r="AO610" s="246">
        <f>IFERROR(VLOOKUP(M610,PROGRAMAS[],3,FALSE),0)</f>
        <v>0</v>
      </c>
      <c r="AP610" s="246">
        <f>IFERROR(VLOOKUP(N610,PROGRAMAS[],3,FALSE),0)</f>
        <v>0</v>
      </c>
      <c r="AQ610" s="246">
        <f>IFERROR(VLOOKUP(O610,PROGRAMAS[],3,FALSE),0)</f>
        <v>0</v>
      </c>
      <c r="AR610" s="246">
        <f>IFERROR(VLOOKUP(P610,PROGRAMAS[],3,FALSE),0)</f>
        <v>0</v>
      </c>
      <c r="AS610" s="246">
        <f>IFERROR(VLOOKUP(Q610,PROGRAMAS[],3,FALSE),0)</f>
        <v>0</v>
      </c>
      <c r="AT610" s="246">
        <f>IFERROR(VLOOKUP(D610,VOL_REC[],2,FALSE),0)</f>
        <v>0</v>
      </c>
      <c r="AU610" s="246">
        <f>IFERROR(VLOOKUP(E610,VOL_REC[],2,FALSE),0)</f>
        <v>0</v>
      </c>
      <c r="AV610" s="246">
        <f>IFERROR(VLOOKUP(F610,VOL_REC[],2,FALSE),0)</f>
        <v>11089674.200000001</v>
      </c>
      <c r="AW610" s="246">
        <f>IFERROR(VLOOKUP(G610,VOL_REC[],2,FALSE),0)</f>
        <v>90439.55</v>
      </c>
      <c r="AX610" s="246">
        <f>IFERROR(VLOOKUP(H610,VOL_REC[],2,FALSE),0)</f>
        <v>4325103.1812214684</v>
      </c>
      <c r="AY610" s="246">
        <f>IFERROR(VLOOKUP(I610,VOL_REC[],2,FALSE),0)</f>
        <v>3761786</v>
      </c>
      <c r="AZ610" s="246">
        <f>IFERROR(VLOOKUP(J610,VOL_REC[],2,FALSE),0)</f>
        <v>105072</v>
      </c>
      <c r="BA610" s="246">
        <f>IFERROR(VLOOKUP(K610,VOL_REC[],2,FALSE),0)</f>
        <v>740113.98115702497</v>
      </c>
      <c r="BB610" s="246">
        <f>IFERROR(VLOOKUP(L610,VOL_REC[],2,FALSE),0)</f>
        <v>0</v>
      </c>
      <c r="BC610" s="246">
        <f>IFERROR(VLOOKUP(M610,VOL_REC[],2,FALSE),0)</f>
        <v>0</v>
      </c>
      <c r="BD610" s="246">
        <f>IFERROR(VLOOKUP(N610,VOL_REC[],2,FALSE),0)</f>
        <v>0</v>
      </c>
      <c r="BE610" s="246">
        <f>IFERROR(VLOOKUP(O610,VOL_REC[],2,FALSE),0)</f>
        <v>0</v>
      </c>
      <c r="BF610" s="246">
        <f>IFERROR(VLOOKUP(P610,VOL_REC[],2,FALSE),0)</f>
        <v>0</v>
      </c>
      <c r="BG610" s="246">
        <f>IFERROR(VLOOKUP(Q610,VOL_REC[],2,FALSE),0)</f>
        <v>0</v>
      </c>
      <c r="BH610" s="1710">
        <f t="shared" si="36"/>
        <v>13452025329.446323</v>
      </c>
      <c r="BI610" s="1710">
        <f t="shared" si="37"/>
        <v>17523086109.014862</v>
      </c>
      <c r="BJ610" s="1711">
        <f t="shared" si="38"/>
        <v>20112188.912378494</v>
      </c>
      <c r="BK610" s="1711">
        <f t="shared" si="39"/>
        <v>0.76767444077820535</v>
      </c>
    </row>
    <row r="611" spans="3:67" x14ac:dyDescent="0.25">
      <c r="C611" s="246" t="s">
        <v>1961</v>
      </c>
      <c r="D611" s="246">
        <v>1</v>
      </c>
      <c r="E611" s="246">
        <v>2</v>
      </c>
      <c r="F611" s="246">
        <v>3</v>
      </c>
      <c r="G611" s="246">
        <v>4</v>
      </c>
      <c r="H611" s="246">
        <v>5</v>
      </c>
      <c r="I611" s="246">
        <v>9</v>
      </c>
      <c r="J611" s="246">
        <v>16</v>
      </c>
      <c r="K611" s="246">
        <v>17</v>
      </c>
      <c r="L611" s="246"/>
      <c r="M611" s="246"/>
      <c r="N611" s="246"/>
      <c r="O611" s="246"/>
      <c r="P611" s="246"/>
      <c r="Q611" s="246"/>
      <c r="R611" s="246">
        <f>IFERROR(VLOOKUP(D611,PROGRAMAS[],2,FALSE),0)</f>
        <v>97037803.679377079</v>
      </c>
      <c r="S611" s="246">
        <f>IFERROR(VLOOKUP(E611,PROGRAMAS[],2,FALSE),0)</f>
        <v>640501509.6821388</v>
      </c>
      <c r="T611" s="246">
        <f>IFERROR(VLOOKUP(F611,PROGRAMAS[],2,FALSE),0)</f>
        <v>3062327798.1525245</v>
      </c>
      <c r="U611" s="246">
        <f>IFERROR(VLOOKUP(G611,PROGRAMAS[],2,FALSE),0)</f>
        <v>67697118.033011258</v>
      </c>
      <c r="V611" s="246">
        <f>IFERROR(VLOOKUP(H611,PROGRAMAS[],2,FALSE),0)</f>
        <v>1440941976.2528784</v>
      </c>
      <c r="W611" s="246">
        <f>IFERROR(VLOOKUP(I611,PROGRAMAS[],2,FALSE),0)</f>
        <v>6128579952.1618185</v>
      </c>
      <c r="X611" s="246">
        <f>IFERROR(VLOOKUP(J611,PROGRAMAS[],2,FALSE),0)</f>
        <v>7068496961.0436354</v>
      </c>
      <c r="Y611" s="246">
        <f>IFERROR(VLOOKUP(K611,PROGRAMAS[],2,FALSE),0)</f>
        <v>1892779498.5211046</v>
      </c>
      <c r="Z611" s="246">
        <f>IFERROR(VLOOKUP(L611,PROGRAMAS[],2,FALSE),0)</f>
        <v>0</v>
      </c>
      <c r="AA611" s="246">
        <f>IFERROR(VLOOKUP(M611,PROGRAMAS[],2,FALSE),0)</f>
        <v>0</v>
      </c>
      <c r="AB611" s="246">
        <f>IFERROR(VLOOKUP(N611,PROGRAMAS[],2,FALSE),0)</f>
        <v>0</v>
      </c>
      <c r="AC611" s="246">
        <f>IFERROR(VLOOKUP(O611,PROGRAMAS[],2,FALSE),0)</f>
        <v>0</v>
      </c>
      <c r="AD611" s="246">
        <f>IFERROR(VLOOKUP(P611,PROGRAMAS[],2,FALSE),0)</f>
        <v>0</v>
      </c>
      <c r="AE611" s="246">
        <f>IFERROR(VLOOKUP(Q611,PROGRAMAS[],2,FALSE),0)</f>
        <v>0</v>
      </c>
      <c r="AF611" s="246">
        <f>IFERROR(VLOOKUP(D611,PROGRAMAS[],3,FALSE),0)</f>
        <v>841888629.31080008</v>
      </c>
      <c r="AG611" s="246">
        <f>IFERROR(VLOOKUP(E611,PROGRAMAS[],3,FALSE),0)</f>
        <v>3848980803.1642323</v>
      </c>
      <c r="AH611" s="246">
        <f>IFERROR(VLOOKUP(F611,PROGRAMAS[],3,FALSE),0)</f>
        <v>3394901471.387517</v>
      </c>
      <c r="AI611" s="246">
        <f>IFERROR(VLOOKUP(G611,PROGRAMAS[],3,FALSE),0)</f>
        <v>125317226.95549992</v>
      </c>
      <c r="AJ611" s="246">
        <f>IFERROR(VLOOKUP(H611,PROGRAMAS[],3,FALSE),0)</f>
        <v>1233505101.0616004</v>
      </c>
      <c r="AK611" s="246">
        <f>IFERROR(VLOOKUP(I611,PROGRAMAS[],3,FALSE),0)</f>
        <v>7011279577.519702</v>
      </c>
      <c r="AL611" s="246">
        <f>IFERROR(VLOOKUP(J611,PROGRAMAS[],3,FALSE),0)</f>
        <v>2406564599.0319901</v>
      </c>
      <c r="AM611" s="246">
        <f>IFERROR(VLOOKUP(K611,PROGRAMAS[],3,FALSE),0)</f>
        <v>948595847.09039903</v>
      </c>
      <c r="AN611" s="246">
        <f>IFERROR(VLOOKUP(L611,PROGRAMAS[],3,FALSE),0)</f>
        <v>0</v>
      </c>
      <c r="AO611" s="246">
        <f>IFERROR(VLOOKUP(M611,PROGRAMAS[],3,FALSE),0)</f>
        <v>0</v>
      </c>
      <c r="AP611" s="246">
        <f>IFERROR(VLOOKUP(N611,PROGRAMAS[],3,FALSE),0)</f>
        <v>0</v>
      </c>
      <c r="AQ611" s="246">
        <f>IFERROR(VLOOKUP(O611,PROGRAMAS[],3,FALSE),0)</f>
        <v>0</v>
      </c>
      <c r="AR611" s="246">
        <f>IFERROR(VLOOKUP(P611,PROGRAMAS[],3,FALSE),0)</f>
        <v>0</v>
      </c>
      <c r="AS611" s="246">
        <f>IFERROR(VLOOKUP(Q611,PROGRAMAS[],3,FALSE),0)</f>
        <v>0</v>
      </c>
      <c r="AT611" s="246">
        <f>IFERROR(VLOOKUP(D611,VOL_REC[],2,FALSE),0)</f>
        <v>0</v>
      </c>
      <c r="AU611" s="246">
        <f>IFERROR(VLOOKUP(E611,VOL_REC[],2,FALSE),0)</f>
        <v>0</v>
      </c>
      <c r="AV611" s="246">
        <f>IFERROR(VLOOKUP(F611,VOL_REC[],2,FALSE),0)</f>
        <v>11089674.200000001</v>
      </c>
      <c r="AW611" s="246">
        <f>IFERROR(VLOOKUP(G611,VOL_REC[],2,FALSE),0)</f>
        <v>90439.55</v>
      </c>
      <c r="AX611" s="246">
        <f>IFERROR(VLOOKUP(H611,VOL_REC[],2,FALSE),0)</f>
        <v>4325103.1812214684</v>
      </c>
      <c r="AY611" s="246">
        <f>IFERROR(VLOOKUP(I611,VOL_REC[],2,FALSE),0)</f>
        <v>3761786</v>
      </c>
      <c r="AZ611" s="246">
        <f>IFERROR(VLOOKUP(J611,VOL_REC[],2,FALSE),0)</f>
        <v>1072354.9981737854</v>
      </c>
      <c r="BA611" s="246">
        <f>IFERROR(VLOOKUP(K611,VOL_REC[],2,FALSE),0)</f>
        <v>740113.98115702497</v>
      </c>
      <c r="BB611" s="246">
        <f>IFERROR(VLOOKUP(L611,VOL_REC[],2,FALSE),0)</f>
        <v>0</v>
      </c>
      <c r="BC611" s="246">
        <f>IFERROR(VLOOKUP(M611,VOL_REC[],2,FALSE),0)</f>
        <v>0</v>
      </c>
      <c r="BD611" s="246">
        <f>IFERROR(VLOOKUP(N611,VOL_REC[],2,FALSE),0)</f>
        <v>0</v>
      </c>
      <c r="BE611" s="246">
        <f>IFERROR(VLOOKUP(O611,VOL_REC[],2,FALSE),0)</f>
        <v>0</v>
      </c>
      <c r="BF611" s="246">
        <f>IFERROR(VLOOKUP(P611,VOL_REC[],2,FALSE),0)</f>
        <v>0</v>
      </c>
      <c r="BG611" s="246">
        <f>IFERROR(VLOOKUP(Q611,VOL_REC[],2,FALSE),0)</f>
        <v>0</v>
      </c>
      <c r="BH611" s="1710">
        <f t="shared" si="36"/>
        <v>20398362617.526489</v>
      </c>
      <c r="BI611" s="1710">
        <f t="shared" si="37"/>
        <v>19811033255.521744</v>
      </c>
      <c r="BJ611" s="1711">
        <f t="shared" si="38"/>
        <v>21079471.910552278</v>
      </c>
      <c r="BK611" s="1711">
        <f t="shared" si="39"/>
        <v>1.0296465789759373</v>
      </c>
      <c r="BL611">
        <f>BJ611</f>
        <v>21079471.910552278</v>
      </c>
      <c r="BO611">
        <f>BL611</f>
        <v>21079471.910552278</v>
      </c>
    </row>
    <row r="612" spans="3:67" x14ac:dyDescent="0.25">
      <c r="C612" s="246" t="s">
        <v>1962</v>
      </c>
      <c r="D612" s="246">
        <v>1</v>
      </c>
      <c r="E612" s="246">
        <v>2</v>
      </c>
      <c r="F612" s="246">
        <v>3</v>
      </c>
      <c r="G612" s="246">
        <v>4</v>
      </c>
      <c r="H612" s="246">
        <v>5</v>
      </c>
      <c r="I612" s="246">
        <v>10</v>
      </c>
      <c r="J612" s="246">
        <v>12</v>
      </c>
      <c r="K612" s="246">
        <v>13</v>
      </c>
      <c r="L612" s="246"/>
      <c r="M612" s="246"/>
      <c r="N612" s="246"/>
      <c r="O612" s="246"/>
      <c r="P612" s="246"/>
      <c r="Q612" s="246"/>
      <c r="R612" s="246">
        <f>IFERROR(VLOOKUP(D612,PROGRAMAS[],2,FALSE),0)</f>
        <v>97037803.679377079</v>
      </c>
      <c r="S612" s="246">
        <f>IFERROR(VLOOKUP(E612,PROGRAMAS[],2,FALSE),0)</f>
        <v>640501509.6821388</v>
      </c>
      <c r="T612" s="246">
        <f>IFERROR(VLOOKUP(F612,PROGRAMAS[],2,FALSE),0)</f>
        <v>3062327798.1525245</v>
      </c>
      <c r="U612" s="246">
        <f>IFERROR(VLOOKUP(G612,PROGRAMAS[],2,FALSE),0)</f>
        <v>67697118.033011258</v>
      </c>
      <c r="V612" s="246">
        <f>IFERROR(VLOOKUP(H612,PROGRAMAS[],2,FALSE),0)</f>
        <v>1440941976.2528784</v>
      </c>
      <c r="W612" s="246">
        <f>IFERROR(VLOOKUP(I612,PROGRAMAS[],2,FALSE),0)</f>
        <v>4635315027.8751087</v>
      </c>
      <c r="X612" s="246">
        <f>IFERROR(VLOOKUP(J612,PROGRAMAS[],2,FALSE),0)</f>
        <v>764796700.79905891</v>
      </c>
      <c r="Y612" s="246">
        <f>IFERROR(VLOOKUP(K612,PROGRAMAS[],2,FALSE),0)</f>
        <v>3776538594.4604583</v>
      </c>
      <c r="Z612" s="246">
        <f>IFERROR(VLOOKUP(L612,PROGRAMAS[],2,FALSE),0)</f>
        <v>0</v>
      </c>
      <c r="AA612" s="246">
        <f>IFERROR(VLOOKUP(M612,PROGRAMAS[],2,FALSE),0)</f>
        <v>0</v>
      </c>
      <c r="AB612" s="246">
        <f>IFERROR(VLOOKUP(N612,PROGRAMAS[],2,FALSE),0)</f>
        <v>0</v>
      </c>
      <c r="AC612" s="246">
        <f>IFERROR(VLOOKUP(O612,PROGRAMAS[],2,FALSE),0)</f>
        <v>0</v>
      </c>
      <c r="AD612" s="246">
        <f>IFERROR(VLOOKUP(P612,PROGRAMAS[],2,FALSE),0)</f>
        <v>0</v>
      </c>
      <c r="AE612" s="246">
        <f>IFERROR(VLOOKUP(Q612,PROGRAMAS[],2,FALSE),0)</f>
        <v>0</v>
      </c>
      <c r="AF612" s="246">
        <f>IFERROR(VLOOKUP(D612,PROGRAMAS[],3,FALSE),0)</f>
        <v>841888629.31080008</v>
      </c>
      <c r="AG612" s="246">
        <f>IFERROR(VLOOKUP(E612,PROGRAMAS[],3,FALSE),0)</f>
        <v>3848980803.1642323</v>
      </c>
      <c r="AH612" s="246">
        <f>IFERROR(VLOOKUP(F612,PROGRAMAS[],3,FALSE),0)</f>
        <v>3394901471.387517</v>
      </c>
      <c r="AI612" s="246">
        <f>IFERROR(VLOOKUP(G612,PROGRAMAS[],3,FALSE),0)</f>
        <v>125317226.95549992</v>
      </c>
      <c r="AJ612" s="246">
        <f>IFERROR(VLOOKUP(H612,PROGRAMAS[],3,FALSE),0)</f>
        <v>1233505101.0616004</v>
      </c>
      <c r="AK612" s="246">
        <f>IFERROR(VLOOKUP(I612,PROGRAMAS[],3,FALSE),0)</f>
        <v>4099471734.9978786</v>
      </c>
      <c r="AL612" s="246">
        <f>IFERROR(VLOOKUP(J612,PROGRAMAS[],3,FALSE),0)</f>
        <v>675517840.109828</v>
      </c>
      <c r="AM612" s="246">
        <f>IFERROR(VLOOKUP(K612,PROGRAMAS[],3,FALSE),0)</f>
        <v>2392571243.5584412</v>
      </c>
      <c r="AN612" s="246">
        <f>IFERROR(VLOOKUP(L612,PROGRAMAS[],3,FALSE),0)</f>
        <v>0</v>
      </c>
      <c r="AO612" s="246">
        <f>IFERROR(VLOOKUP(M612,PROGRAMAS[],3,FALSE),0)</f>
        <v>0</v>
      </c>
      <c r="AP612" s="246">
        <f>IFERROR(VLOOKUP(N612,PROGRAMAS[],3,FALSE),0)</f>
        <v>0</v>
      </c>
      <c r="AQ612" s="246">
        <f>IFERROR(VLOOKUP(O612,PROGRAMAS[],3,FALSE),0)</f>
        <v>0</v>
      </c>
      <c r="AR612" s="246">
        <f>IFERROR(VLOOKUP(P612,PROGRAMAS[],3,FALSE),0)</f>
        <v>0</v>
      </c>
      <c r="AS612" s="246">
        <f>IFERROR(VLOOKUP(Q612,PROGRAMAS[],3,FALSE),0)</f>
        <v>0</v>
      </c>
      <c r="AT612" s="246">
        <f>IFERROR(VLOOKUP(D612,VOL_REC[],2,FALSE),0)</f>
        <v>0</v>
      </c>
      <c r="AU612" s="246">
        <f>IFERROR(VLOOKUP(E612,VOL_REC[],2,FALSE),0)</f>
        <v>0</v>
      </c>
      <c r="AV612" s="246">
        <f>IFERROR(VLOOKUP(F612,VOL_REC[],2,FALSE),0)</f>
        <v>11089674.200000001</v>
      </c>
      <c r="AW612" s="246">
        <f>IFERROR(VLOOKUP(G612,VOL_REC[],2,FALSE),0)</f>
        <v>90439.55</v>
      </c>
      <c r="AX612" s="246">
        <f>IFERROR(VLOOKUP(H612,VOL_REC[],2,FALSE),0)</f>
        <v>4325103.1812214684</v>
      </c>
      <c r="AY612" s="246">
        <f>IFERROR(VLOOKUP(I612,VOL_REC[],2,FALSE),0)</f>
        <v>1812240</v>
      </c>
      <c r="AZ612" s="246">
        <f>IFERROR(VLOOKUP(J612,VOL_REC[],2,FALSE),0)</f>
        <v>240696.79238099116</v>
      </c>
      <c r="BA612" s="246">
        <f>IFERROR(VLOOKUP(K612,VOL_REC[],2,FALSE),0)</f>
        <v>663244.80000000016</v>
      </c>
      <c r="BB612" s="246">
        <f>IFERROR(VLOOKUP(L612,VOL_REC[],2,FALSE),0)</f>
        <v>0</v>
      </c>
      <c r="BC612" s="246">
        <f>IFERROR(VLOOKUP(M612,VOL_REC[],2,FALSE),0)</f>
        <v>0</v>
      </c>
      <c r="BD612" s="246">
        <f>IFERROR(VLOOKUP(N612,VOL_REC[],2,FALSE),0)</f>
        <v>0</v>
      </c>
      <c r="BE612" s="246">
        <f>IFERROR(VLOOKUP(O612,VOL_REC[],2,FALSE),0)</f>
        <v>0</v>
      </c>
      <c r="BF612" s="246">
        <f>IFERROR(VLOOKUP(P612,VOL_REC[],2,FALSE),0)</f>
        <v>0</v>
      </c>
      <c r="BG612" s="246">
        <f>IFERROR(VLOOKUP(Q612,VOL_REC[],2,FALSE),0)</f>
        <v>0</v>
      </c>
      <c r="BH612" s="1710">
        <f t="shared" si="36"/>
        <v>14485156528.934557</v>
      </c>
      <c r="BI612" s="1710">
        <f t="shared" si="37"/>
        <v>16612154050.545799</v>
      </c>
      <c r="BJ612" s="1711">
        <f t="shared" si="38"/>
        <v>18221398.523602463</v>
      </c>
      <c r="BK612" s="1711">
        <f t="shared" si="39"/>
        <v>0.87196136544728475</v>
      </c>
    </row>
    <row r="613" spans="3:67" x14ac:dyDescent="0.25">
      <c r="C613" s="246" t="s">
        <v>1963</v>
      </c>
      <c r="D613" s="246">
        <v>1</v>
      </c>
      <c r="E613" s="246">
        <v>2</v>
      </c>
      <c r="F613" s="246">
        <v>3</v>
      </c>
      <c r="G613" s="246">
        <v>4</v>
      </c>
      <c r="H613" s="246">
        <v>5</v>
      </c>
      <c r="I613" s="246">
        <v>10</v>
      </c>
      <c r="J613" s="246">
        <v>12</v>
      </c>
      <c r="K613" s="246">
        <v>14</v>
      </c>
      <c r="L613" s="246"/>
      <c r="M613" s="246"/>
      <c r="N613" s="246"/>
      <c r="O613" s="246"/>
      <c r="P613" s="246"/>
      <c r="Q613" s="246"/>
      <c r="R613" s="246">
        <f>IFERROR(VLOOKUP(D613,PROGRAMAS[],2,FALSE),0)</f>
        <v>97037803.679377079</v>
      </c>
      <c r="S613" s="246">
        <f>IFERROR(VLOOKUP(E613,PROGRAMAS[],2,FALSE),0)</f>
        <v>640501509.6821388</v>
      </c>
      <c r="T613" s="246">
        <f>IFERROR(VLOOKUP(F613,PROGRAMAS[],2,FALSE),0)</f>
        <v>3062327798.1525245</v>
      </c>
      <c r="U613" s="246">
        <f>IFERROR(VLOOKUP(G613,PROGRAMAS[],2,FALSE),0)</f>
        <v>67697118.033011258</v>
      </c>
      <c r="V613" s="246">
        <f>IFERROR(VLOOKUP(H613,PROGRAMAS[],2,FALSE),0)</f>
        <v>1440941976.2528784</v>
      </c>
      <c r="W613" s="246">
        <f>IFERROR(VLOOKUP(I613,PROGRAMAS[],2,FALSE),0)</f>
        <v>4635315027.8751087</v>
      </c>
      <c r="X613" s="246">
        <f>IFERROR(VLOOKUP(J613,PROGRAMAS[],2,FALSE),0)</f>
        <v>764796700.79905891</v>
      </c>
      <c r="Y613" s="246">
        <f>IFERROR(VLOOKUP(K613,PROGRAMAS[],2,FALSE),0)</f>
        <v>54223862.645839565</v>
      </c>
      <c r="Z613" s="246">
        <f>IFERROR(VLOOKUP(L613,PROGRAMAS[],2,FALSE),0)</f>
        <v>0</v>
      </c>
      <c r="AA613" s="246">
        <f>IFERROR(VLOOKUP(M613,PROGRAMAS[],2,FALSE),0)</f>
        <v>0</v>
      </c>
      <c r="AB613" s="246">
        <f>IFERROR(VLOOKUP(N613,PROGRAMAS[],2,FALSE),0)</f>
        <v>0</v>
      </c>
      <c r="AC613" s="246">
        <f>IFERROR(VLOOKUP(O613,PROGRAMAS[],2,FALSE),0)</f>
        <v>0</v>
      </c>
      <c r="AD613" s="246">
        <f>IFERROR(VLOOKUP(P613,PROGRAMAS[],2,FALSE),0)</f>
        <v>0</v>
      </c>
      <c r="AE613" s="246">
        <f>IFERROR(VLOOKUP(Q613,PROGRAMAS[],2,FALSE),0)</f>
        <v>0</v>
      </c>
      <c r="AF613" s="246">
        <f>IFERROR(VLOOKUP(D613,PROGRAMAS[],3,FALSE),0)</f>
        <v>841888629.31080008</v>
      </c>
      <c r="AG613" s="246">
        <f>IFERROR(VLOOKUP(E613,PROGRAMAS[],3,FALSE),0)</f>
        <v>3848980803.1642323</v>
      </c>
      <c r="AH613" s="246">
        <f>IFERROR(VLOOKUP(F613,PROGRAMAS[],3,FALSE),0)</f>
        <v>3394901471.387517</v>
      </c>
      <c r="AI613" s="246">
        <f>IFERROR(VLOOKUP(G613,PROGRAMAS[],3,FALSE),0)</f>
        <v>125317226.95549992</v>
      </c>
      <c r="AJ613" s="246">
        <f>IFERROR(VLOOKUP(H613,PROGRAMAS[],3,FALSE),0)</f>
        <v>1233505101.0616004</v>
      </c>
      <c r="AK613" s="246">
        <f>IFERROR(VLOOKUP(I613,PROGRAMAS[],3,FALSE),0)</f>
        <v>4099471734.9978786</v>
      </c>
      <c r="AL613" s="246">
        <f>IFERROR(VLOOKUP(J613,PROGRAMAS[],3,FALSE),0)</f>
        <v>675517840.109828</v>
      </c>
      <c r="AM613" s="246">
        <f>IFERROR(VLOOKUP(K613,PROGRAMAS[],3,FALSE),0)</f>
        <v>31865326.38096505</v>
      </c>
      <c r="AN613" s="246">
        <f>IFERROR(VLOOKUP(L613,PROGRAMAS[],3,FALSE),0)</f>
        <v>0</v>
      </c>
      <c r="AO613" s="246">
        <f>IFERROR(VLOOKUP(M613,PROGRAMAS[],3,FALSE),0)</f>
        <v>0</v>
      </c>
      <c r="AP613" s="246">
        <f>IFERROR(VLOOKUP(N613,PROGRAMAS[],3,FALSE),0)</f>
        <v>0</v>
      </c>
      <c r="AQ613" s="246">
        <f>IFERROR(VLOOKUP(O613,PROGRAMAS[],3,FALSE),0)</f>
        <v>0</v>
      </c>
      <c r="AR613" s="246">
        <f>IFERROR(VLOOKUP(P613,PROGRAMAS[],3,FALSE),0)</f>
        <v>0</v>
      </c>
      <c r="AS613" s="246">
        <f>IFERROR(VLOOKUP(Q613,PROGRAMAS[],3,FALSE),0)</f>
        <v>0</v>
      </c>
      <c r="AT613" s="246">
        <f>IFERROR(VLOOKUP(D613,VOL_REC[],2,FALSE),0)</f>
        <v>0</v>
      </c>
      <c r="AU613" s="246">
        <f>IFERROR(VLOOKUP(E613,VOL_REC[],2,FALSE),0)</f>
        <v>0</v>
      </c>
      <c r="AV613" s="246">
        <f>IFERROR(VLOOKUP(F613,VOL_REC[],2,FALSE),0)</f>
        <v>11089674.200000001</v>
      </c>
      <c r="AW613" s="246">
        <f>IFERROR(VLOOKUP(G613,VOL_REC[],2,FALSE),0)</f>
        <v>90439.55</v>
      </c>
      <c r="AX613" s="246">
        <f>IFERROR(VLOOKUP(H613,VOL_REC[],2,FALSE),0)</f>
        <v>4325103.1812214684</v>
      </c>
      <c r="AY613" s="246">
        <f>IFERROR(VLOOKUP(I613,VOL_REC[],2,FALSE),0)</f>
        <v>1812240</v>
      </c>
      <c r="AZ613" s="246">
        <f>IFERROR(VLOOKUP(J613,VOL_REC[],2,FALSE),0)</f>
        <v>240696.79238099116</v>
      </c>
      <c r="BA613" s="246">
        <f>IFERROR(VLOOKUP(K613,VOL_REC[],2,FALSE),0)</f>
        <v>17074.045034105649</v>
      </c>
      <c r="BB613" s="246">
        <f>IFERROR(VLOOKUP(L613,VOL_REC[],2,FALSE),0)</f>
        <v>0</v>
      </c>
      <c r="BC613" s="246">
        <f>IFERROR(VLOOKUP(M613,VOL_REC[],2,FALSE),0)</f>
        <v>0</v>
      </c>
      <c r="BD613" s="246">
        <f>IFERROR(VLOOKUP(N613,VOL_REC[],2,FALSE),0)</f>
        <v>0</v>
      </c>
      <c r="BE613" s="246">
        <f>IFERROR(VLOOKUP(O613,VOL_REC[],2,FALSE),0)</f>
        <v>0</v>
      </c>
      <c r="BF613" s="246">
        <f>IFERROR(VLOOKUP(P613,VOL_REC[],2,FALSE),0)</f>
        <v>0</v>
      </c>
      <c r="BG613" s="246">
        <f>IFERROR(VLOOKUP(Q613,VOL_REC[],2,FALSE),0)</f>
        <v>0</v>
      </c>
      <c r="BH613" s="1710">
        <f t="shared" si="36"/>
        <v>10762841797.119938</v>
      </c>
      <c r="BI613" s="1710">
        <f t="shared" si="37"/>
        <v>14251448133.368322</v>
      </c>
      <c r="BJ613" s="1711">
        <f t="shared" si="38"/>
        <v>17575227.768636569</v>
      </c>
      <c r="BK613" s="1711">
        <f t="shared" si="39"/>
        <v>0.75521039661364897</v>
      </c>
    </row>
    <row r="614" spans="3:67" x14ac:dyDescent="0.25">
      <c r="C614" s="246" t="s">
        <v>1964</v>
      </c>
      <c r="D614" s="246">
        <v>1</v>
      </c>
      <c r="E614" s="246">
        <v>2</v>
      </c>
      <c r="F614" s="246">
        <v>3</v>
      </c>
      <c r="G614" s="246">
        <v>4</v>
      </c>
      <c r="H614" s="246">
        <v>5</v>
      </c>
      <c r="I614" s="246">
        <v>10</v>
      </c>
      <c r="J614" s="246">
        <v>12</v>
      </c>
      <c r="K614" s="246">
        <v>15</v>
      </c>
      <c r="L614" s="246"/>
      <c r="M614" s="246"/>
      <c r="N614" s="246"/>
      <c r="O614" s="246"/>
      <c r="P614" s="246"/>
      <c r="Q614" s="246"/>
      <c r="R614" s="246">
        <f>IFERROR(VLOOKUP(D614,PROGRAMAS[],2,FALSE),0)</f>
        <v>97037803.679377079</v>
      </c>
      <c r="S614" s="246">
        <f>IFERROR(VLOOKUP(E614,PROGRAMAS[],2,FALSE),0)</f>
        <v>640501509.6821388</v>
      </c>
      <c r="T614" s="246">
        <f>IFERROR(VLOOKUP(F614,PROGRAMAS[],2,FALSE),0)</f>
        <v>3062327798.1525245</v>
      </c>
      <c r="U614" s="246">
        <f>IFERROR(VLOOKUP(G614,PROGRAMAS[],2,FALSE),0)</f>
        <v>67697118.033011258</v>
      </c>
      <c r="V614" s="246">
        <f>IFERROR(VLOOKUP(H614,PROGRAMAS[],2,FALSE),0)</f>
        <v>1440941976.2528784</v>
      </c>
      <c r="W614" s="246">
        <f>IFERROR(VLOOKUP(I614,PROGRAMAS[],2,FALSE),0)</f>
        <v>4635315027.8751087</v>
      </c>
      <c r="X614" s="246">
        <f>IFERROR(VLOOKUP(J614,PROGRAMAS[],2,FALSE),0)</f>
        <v>764796700.79905891</v>
      </c>
      <c r="Y614" s="246">
        <f>IFERROR(VLOOKUP(K614,PROGRAMAS[],2,FALSE),0)</f>
        <v>122159672.96346797</v>
      </c>
      <c r="Z614" s="246">
        <f>IFERROR(VLOOKUP(L614,PROGRAMAS[],2,FALSE),0)</f>
        <v>0</v>
      </c>
      <c r="AA614" s="246">
        <f>IFERROR(VLOOKUP(M614,PROGRAMAS[],2,FALSE),0)</f>
        <v>0</v>
      </c>
      <c r="AB614" s="246">
        <f>IFERROR(VLOOKUP(N614,PROGRAMAS[],2,FALSE),0)</f>
        <v>0</v>
      </c>
      <c r="AC614" s="246">
        <f>IFERROR(VLOOKUP(O614,PROGRAMAS[],2,FALSE),0)</f>
        <v>0</v>
      </c>
      <c r="AD614" s="246">
        <f>IFERROR(VLOOKUP(P614,PROGRAMAS[],2,FALSE),0)</f>
        <v>0</v>
      </c>
      <c r="AE614" s="246">
        <f>IFERROR(VLOOKUP(Q614,PROGRAMAS[],2,FALSE),0)</f>
        <v>0</v>
      </c>
      <c r="AF614" s="246">
        <f>IFERROR(VLOOKUP(D614,PROGRAMAS[],3,FALSE),0)</f>
        <v>841888629.31080008</v>
      </c>
      <c r="AG614" s="246">
        <f>IFERROR(VLOOKUP(E614,PROGRAMAS[],3,FALSE),0)</f>
        <v>3848980803.1642323</v>
      </c>
      <c r="AH614" s="246">
        <f>IFERROR(VLOOKUP(F614,PROGRAMAS[],3,FALSE),0)</f>
        <v>3394901471.387517</v>
      </c>
      <c r="AI614" s="246">
        <f>IFERROR(VLOOKUP(G614,PROGRAMAS[],3,FALSE),0)</f>
        <v>125317226.95549992</v>
      </c>
      <c r="AJ614" s="246">
        <f>IFERROR(VLOOKUP(H614,PROGRAMAS[],3,FALSE),0)</f>
        <v>1233505101.0616004</v>
      </c>
      <c r="AK614" s="246">
        <f>IFERROR(VLOOKUP(I614,PROGRAMAS[],3,FALSE),0)</f>
        <v>4099471734.9978786</v>
      </c>
      <c r="AL614" s="246">
        <f>IFERROR(VLOOKUP(J614,PROGRAMAS[],3,FALSE),0)</f>
        <v>675517840.109828</v>
      </c>
      <c r="AM614" s="246">
        <f>IFERROR(VLOOKUP(K614,PROGRAMAS[],3,FALSE),0)</f>
        <v>118617452.52510804</v>
      </c>
      <c r="AN614" s="246">
        <f>IFERROR(VLOOKUP(L614,PROGRAMAS[],3,FALSE),0)</f>
        <v>0</v>
      </c>
      <c r="AO614" s="246">
        <f>IFERROR(VLOOKUP(M614,PROGRAMAS[],3,FALSE),0)</f>
        <v>0</v>
      </c>
      <c r="AP614" s="246">
        <f>IFERROR(VLOOKUP(N614,PROGRAMAS[],3,FALSE),0)</f>
        <v>0</v>
      </c>
      <c r="AQ614" s="246">
        <f>IFERROR(VLOOKUP(O614,PROGRAMAS[],3,FALSE),0)</f>
        <v>0</v>
      </c>
      <c r="AR614" s="246">
        <f>IFERROR(VLOOKUP(P614,PROGRAMAS[],3,FALSE),0)</f>
        <v>0</v>
      </c>
      <c r="AS614" s="246">
        <f>IFERROR(VLOOKUP(Q614,PROGRAMAS[],3,FALSE),0)</f>
        <v>0</v>
      </c>
      <c r="AT614" s="246">
        <f>IFERROR(VLOOKUP(D614,VOL_REC[],2,FALSE),0)</f>
        <v>0</v>
      </c>
      <c r="AU614" s="246">
        <f>IFERROR(VLOOKUP(E614,VOL_REC[],2,FALSE),0)</f>
        <v>0</v>
      </c>
      <c r="AV614" s="246">
        <f>IFERROR(VLOOKUP(F614,VOL_REC[],2,FALSE),0)</f>
        <v>11089674.200000001</v>
      </c>
      <c r="AW614" s="246">
        <f>IFERROR(VLOOKUP(G614,VOL_REC[],2,FALSE),0)</f>
        <v>90439.55</v>
      </c>
      <c r="AX614" s="246">
        <f>IFERROR(VLOOKUP(H614,VOL_REC[],2,FALSE),0)</f>
        <v>4325103.1812214684</v>
      </c>
      <c r="AY614" s="246">
        <f>IFERROR(VLOOKUP(I614,VOL_REC[],2,FALSE),0)</f>
        <v>1812240</v>
      </c>
      <c r="AZ614" s="246">
        <f>IFERROR(VLOOKUP(J614,VOL_REC[],2,FALSE),0)</f>
        <v>240696.79238099116</v>
      </c>
      <c r="BA614" s="246">
        <f>IFERROR(VLOOKUP(K614,VOL_REC[],2,FALSE),0)</f>
        <v>105072</v>
      </c>
      <c r="BB614" s="246">
        <f>IFERROR(VLOOKUP(L614,VOL_REC[],2,FALSE),0)</f>
        <v>0</v>
      </c>
      <c r="BC614" s="246">
        <f>IFERROR(VLOOKUP(M614,VOL_REC[],2,FALSE),0)</f>
        <v>0</v>
      </c>
      <c r="BD614" s="246">
        <f>IFERROR(VLOOKUP(N614,VOL_REC[],2,FALSE),0)</f>
        <v>0</v>
      </c>
      <c r="BE614" s="246">
        <f>IFERROR(VLOOKUP(O614,VOL_REC[],2,FALSE),0)</f>
        <v>0</v>
      </c>
      <c r="BF614" s="246">
        <f>IFERROR(VLOOKUP(P614,VOL_REC[],2,FALSE),0)</f>
        <v>0</v>
      </c>
      <c r="BG614" s="246">
        <f>IFERROR(VLOOKUP(Q614,VOL_REC[],2,FALSE),0)</f>
        <v>0</v>
      </c>
      <c r="BH614" s="1710">
        <f t="shared" si="36"/>
        <v>10830777607.437567</v>
      </c>
      <c r="BI614" s="1710">
        <f t="shared" si="37"/>
        <v>14338200259.512466</v>
      </c>
      <c r="BJ614" s="1711">
        <f t="shared" si="38"/>
        <v>17663225.723602463</v>
      </c>
      <c r="BK614" s="1711">
        <f t="shared" si="39"/>
        <v>0.75537915578017178</v>
      </c>
    </row>
    <row r="615" spans="3:67" x14ac:dyDescent="0.25">
      <c r="C615" s="246" t="s">
        <v>1965</v>
      </c>
      <c r="D615" s="246">
        <v>1</v>
      </c>
      <c r="E615" s="246">
        <v>2</v>
      </c>
      <c r="F615" s="246">
        <v>3</v>
      </c>
      <c r="G615" s="246">
        <v>4</v>
      </c>
      <c r="H615" s="246">
        <v>5</v>
      </c>
      <c r="I615" s="246">
        <v>10</v>
      </c>
      <c r="J615" s="246">
        <v>12</v>
      </c>
      <c r="K615" s="246">
        <v>16</v>
      </c>
      <c r="L615" s="246"/>
      <c r="M615" s="246"/>
      <c r="N615" s="246"/>
      <c r="O615" s="246"/>
      <c r="P615" s="246"/>
      <c r="Q615" s="246"/>
      <c r="R615" s="246">
        <f>IFERROR(VLOOKUP(D615,PROGRAMAS[],2,FALSE),0)</f>
        <v>97037803.679377079</v>
      </c>
      <c r="S615" s="246">
        <f>IFERROR(VLOOKUP(E615,PROGRAMAS[],2,FALSE),0)</f>
        <v>640501509.6821388</v>
      </c>
      <c r="T615" s="246">
        <f>IFERROR(VLOOKUP(F615,PROGRAMAS[],2,FALSE),0)</f>
        <v>3062327798.1525245</v>
      </c>
      <c r="U615" s="246">
        <f>IFERROR(VLOOKUP(G615,PROGRAMAS[],2,FALSE),0)</f>
        <v>67697118.033011258</v>
      </c>
      <c r="V615" s="246">
        <f>IFERROR(VLOOKUP(H615,PROGRAMAS[],2,FALSE),0)</f>
        <v>1440941976.2528784</v>
      </c>
      <c r="W615" s="246">
        <f>IFERROR(VLOOKUP(I615,PROGRAMAS[],2,FALSE),0)</f>
        <v>4635315027.8751087</v>
      </c>
      <c r="X615" s="246">
        <f>IFERROR(VLOOKUP(J615,PROGRAMAS[],2,FALSE),0)</f>
        <v>764796700.79905891</v>
      </c>
      <c r="Y615" s="246">
        <f>IFERROR(VLOOKUP(K615,PROGRAMAS[],2,FALSE),0)</f>
        <v>7068496961.0436354</v>
      </c>
      <c r="Z615" s="246">
        <f>IFERROR(VLOOKUP(L615,PROGRAMAS[],2,FALSE),0)</f>
        <v>0</v>
      </c>
      <c r="AA615" s="246">
        <f>IFERROR(VLOOKUP(M615,PROGRAMAS[],2,FALSE),0)</f>
        <v>0</v>
      </c>
      <c r="AB615" s="246">
        <f>IFERROR(VLOOKUP(N615,PROGRAMAS[],2,FALSE),0)</f>
        <v>0</v>
      </c>
      <c r="AC615" s="246">
        <f>IFERROR(VLOOKUP(O615,PROGRAMAS[],2,FALSE),0)</f>
        <v>0</v>
      </c>
      <c r="AD615" s="246">
        <f>IFERROR(VLOOKUP(P615,PROGRAMAS[],2,FALSE),0)</f>
        <v>0</v>
      </c>
      <c r="AE615" s="246">
        <f>IFERROR(VLOOKUP(Q615,PROGRAMAS[],2,FALSE),0)</f>
        <v>0</v>
      </c>
      <c r="AF615" s="246">
        <f>IFERROR(VLOOKUP(D615,PROGRAMAS[],3,FALSE),0)</f>
        <v>841888629.31080008</v>
      </c>
      <c r="AG615" s="246">
        <f>IFERROR(VLOOKUP(E615,PROGRAMAS[],3,FALSE),0)</f>
        <v>3848980803.1642323</v>
      </c>
      <c r="AH615" s="246">
        <f>IFERROR(VLOOKUP(F615,PROGRAMAS[],3,FALSE),0)</f>
        <v>3394901471.387517</v>
      </c>
      <c r="AI615" s="246">
        <f>IFERROR(VLOOKUP(G615,PROGRAMAS[],3,FALSE),0)</f>
        <v>125317226.95549992</v>
      </c>
      <c r="AJ615" s="246">
        <f>IFERROR(VLOOKUP(H615,PROGRAMAS[],3,FALSE),0)</f>
        <v>1233505101.0616004</v>
      </c>
      <c r="AK615" s="246">
        <f>IFERROR(VLOOKUP(I615,PROGRAMAS[],3,FALSE),0)</f>
        <v>4099471734.9978786</v>
      </c>
      <c r="AL615" s="246">
        <f>IFERROR(VLOOKUP(J615,PROGRAMAS[],3,FALSE),0)</f>
        <v>675517840.109828</v>
      </c>
      <c r="AM615" s="246">
        <f>IFERROR(VLOOKUP(K615,PROGRAMAS[],3,FALSE),0)</f>
        <v>2406564599.0319901</v>
      </c>
      <c r="AN615" s="246">
        <f>IFERROR(VLOOKUP(L615,PROGRAMAS[],3,FALSE),0)</f>
        <v>0</v>
      </c>
      <c r="AO615" s="246">
        <f>IFERROR(VLOOKUP(M615,PROGRAMAS[],3,FALSE),0)</f>
        <v>0</v>
      </c>
      <c r="AP615" s="246">
        <f>IFERROR(VLOOKUP(N615,PROGRAMAS[],3,FALSE),0)</f>
        <v>0</v>
      </c>
      <c r="AQ615" s="246">
        <f>IFERROR(VLOOKUP(O615,PROGRAMAS[],3,FALSE),0)</f>
        <v>0</v>
      </c>
      <c r="AR615" s="246">
        <f>IFERROR(VLOOKUP(P615,PROGRAMAS[],3,FALSE),0)</f>
        <v>0</v>
      </c>
      <c r="AS615" s="246">
        <f>IFERROR(VLOOKUP(Q615,PROGRAMAS[],3,FALSE),0)</f>
        <v>0</v>
      </c>
      <c r="AT615" s="246">
        <f>IFERROR(VLOOKUP(D615,VOL_REC[],2,FALSE),0)</f>
        <v>0</v>
      </c>
      <c r="AU615" s="246">
        <f>IFERROR(VLOOKUP(E615,VOL_REC[],2,FALSE),0)</f>
        <v>0</v>
      </c>
      <c r="AV615" s="246">
        <f>IFERROR(VLOOKUP(F615,VOL_REC[],2,FALSE),0)</f>
        <v>11089674.200000001</v>
      </c>
      <c r="AW615" s="246">
        <f>IFERROR(VLOOKUP(G615,VOL_REC[],2,FALSE),0)</f>
        <v>90439.55</v>
      </c>
      <c r="AX615" s="246">
        <f>IFERROR(VLOOKUP(H615,VOL_REC[],2,FALSE),0)</f>
        <v>4325103.1812214684</v>
      </c>
      <c r="AY615" s="246">
        <f>IFERROR(VLOOKUP(I615,VOL_REC[],2,FALSE),0)</f>
        <v>1812240</v>
      </c>
      <c r="AZ615" s="246">
        <f>IFERROR(VLOOKUP(J615,VOL_REC[],2,FALSE),0)</f>
        <v>240696.79238099116</v>
      </c>
      <c r="BA615" s="246">
        <f>IFERROR(VLOOKUP(K615,VOL_REC[],2,FALSE),0)</f>
        <v>1072354.9981737854</v>
      </c>
      <c r="BB615" s="246">
        <f>IFERROR(VLOOKUP(L615,VOL_REC[],2,FALSE),0)</f>
        <v>0</v>
      </c>
      <c r="BC615" s="246">
        <f>IFERROR(VLOOKUP(M615,VOL_REC[],2,FALSE),0)</f>
        <v>0</v>
      </c>
      <c r="BD615" s="246">
        <f>IFERROR(VLOOKUP(N615,VOL_REC[],2,FALSE),0)</f>
        <v>0</v>
      </c>
      <c r="BE615" s="246">
        <f>IFERROR(VLOOKUP(O615,VOL_REC[],2,FALSE),0)</f>
        <v>0</v>
      </c>
      <c r="BF615" s="246">
        <f>IFERROR(VLOOKUP(P615,VOL_REC[],2,FALSE),0)</f>
        <v>0</v>
      </c>
      <c r="BG615" s="246">
        <f>IFERROR(VLOOKUP(Q615,VOL_REC[],2,FALSE),0)</f>
        <v>0</v>
      </c>
      <c r="BH615" s="1710">
        <f t="shared" si="36"/>
        <v>17777114895.517735</v>
      </c>
      <c r="BI615" s="1710">
        <f t="shared" si="37"/>
        <v>16626147406.019348</v>
      </c>
      <c r="BJ615" s="1711">
        <f t="shared" si="38"/>
        <v>18630508.721776247</v>
      </c>
      <c r="BK615" s="1711">
        <f t="shared" si="39"/>
        <v>1.0692263493996024</v>
      </c>
      <c r="BL615">
        <f>BJ615</f>
        <v>18630508.721776247</v>
      </c>
      <c r="BO615">
        <f>BL615</f>
        <v>18630508.721776247</v>
      </c>
    </row>
    <row r="616" spans="3:67" x14ac:dyDescent="0.25">
      <c r="C616" s="246" t="s">
        <v>1966</v>
      </c>
      <c r="D616" s="246">
        <v>1</v>
      </c>
      <c r="E616" s="246">
        <v>2</v>
      </c>
      <c r="F616" s="246">
        <v>3</v>
      </c>
      <c r="G616" s="246">
        <v>4</v>
      </c>
      <c r="H616" s="246">
        <v>5</v>
      </c>
      <c r="I616" s="246">
        <v>10</v>
      </c>
      <c r="J616" s="246">
        <v>12</v>
      </c>
      <c r="K616" s="246">
        <v>17</v>
      </c>
      <c r="L616" s="246"/>
      <c r="M616" s="246"/>
      <c r="N616" s="246"/>
      <c r="O616" s="246"/>
      <c r="P616" s="246"/>
      <c r="Q616" s="246"/>
      <c r="R616" s="246">
        <f>IFERROR(VLOOKUP(D616,PROGRAMAS[],2,FALSE),0)</f>
        <v>97037803.679377079</v>
      </c>
      <c r="S616" s="246">
        <f>IFERROR(VLOOKUP(E616,PROGRAMAS[],2,FALSE),0)</f>
        <v>640501509.6821388</v>
      </c>
      <c r="T616" s="246">
        <f>IFERROR(VLOOKUP(F616,PROGRAMAS[],2,FALSE),0)</f>
        <v>3062327798.1525245</v>
      </c>
      <c r="U616" s="246">
        <f>IFERROR(VLOOKUP(G616,PROGRAMAS[],2,FALSE),0)</f>
        <v>67697118.033011258</v>
      </c>
      <c r="V616" s="246">
        <f>IFERROR(VLOOKUP(H616,PROGRAMAS[],2,FALSE),0)</f>
        <v>1440941976.2528784</v>
      </c>
      <c r="W616" s="246">
        <f>IFERROR(VLOOKUP(I616,PROGRAMAS[],2,FALSE),0)</f>
        <v>4635315027.8751087</v>
      </c>
      <c r="X616" s="246">
        <f>IFERROR(VLOOKUP(J616,PROGRAMAS[],2,FALSE),0)</f>
        <v>764796700.79905891</v>
      </c>
      <c r="Y616" s="246">
        <f>IFERROR(VLOOKUP(K616,PROGRAMAS[],2,FALSE),0)</f>
        <v>1892779498.5211046</v>
      </c>
      <c r="Z616" s="246">
        <f>IFERROR(VLOOKUP(L616,PROGRAMAS[],2,FALSE),0)</f>
        <v>0</v>
      </c>
      <c r="AA616" s="246">
        <f>IFERROR(VLOOKUP(M616,PROGRAMAS[],2,FALSE),0)</f>
        <v>0</v>
      </c>
      <c r="AB616" s="246">
        <f>IFERROR(VLOOKUP(N616,PROGRAMAS[],2,FALSE),0)</f>
        <v>0</v>
      </c>
      <c r="AC616" s="246">
        <f>IFERROR(VLOOKUP(O616,PROGRAMAS[],2,FALSE),0)</f>
        <v>0</v>
      </c>
      <c r="AD616" s="246">
        <f>IFERROR(VLOOKUP(P616,PROGRAMAS[],2,FALSE),0)</f>
        <v>0</v>
      </c>
      <c r="AE616" s="246">
        <f>IFERROR(VLOOKUP(Q616,PROGRAMAS[],2,FALSE),0)</f>
        <v>0</v>
      </c>
      <c r="AF616" s="246">
        <f>IFERROR(VLOOKUP(D616,PROGRAMAS[],3,FALSE),0)</f>
        <v>841888629.31080008</v>
      </c>
      <c r="AG616" s="246">
        <f>IFERROR(VLOOKUP(E616,PROGRAMAS[],3,FALSE),0)</f>
        <v>3848980803.1642323</v>
      </c>
      <c r="AH616" s="246">
        <f>IFERROR(VLOOKUP(F616,PROGRAMAS[],3,FALSE),0)</f>
        <v>3394901471.387517</v>
      </c>
      <c r="AI616" s="246">
        <f>IFERROR(VLOOKUP(G616,PROGRAMAS[],3,FALSE),0)</f>
        <v>125317226.95549992</v>
      </c>
      <c r="AJ616" s="246">
        <f>IFERROR(VLOOKUP(H616,PROGRAMAS[],3,FALSE),0)</f>
        <v>1233505101.0616004</v>
      </c>
      <c r="AK616" s="246">
        <f>IFERROR(VLOOKUP(I616,PROGRAMAS[],3,FALSE),0)</f>
        <v>4099471734.9978786</v>
      </c>
      <c r="AL616" s="246">
        <f>IFERROR(VLOOKUP(J616,PROGRAMAS[],3,FALSE),0)</f>
        <v>675517840.109828</v>
      </c>
      <c r="AM616" s="246">
        <f>IFERROR(VLOOKUP(K616,PROGRAMAS[],3,FALSE),0)</f>
        <v>948595847.09039903</v>
      </c>
      <c r="AN616" s="246">
        <f>IFERROR(VLOOKUP(L616,PROGRAMAS[],3,FALSE),0)</f>
        <v>0</v>
      </c>
      <c r="AO616" s="246">
        <f>IFERROR(VLOOKUP(M616,PROGRAMAS[],3,FALSE),0)</f>
        <v>0</v>
      </c>
      <c r="AP616" s="246">
        <f>IFERROR(VLOOKUP(N616,PROGRAMAS[],3,FALSE),0)</f>
        <v>0</v>
      </c>
      <c r="AQ616" s="246">
        <f>IFERROR(VLOOKUP(O616,PROGRAMAS[],3,FALSE),0)</f>
        <v>0</v>
      </c>
      <c r="AR616" s="246">
        <f>IFERROR(VLOOKUP(P616,PROGRAMAS[],3,FALSE),0)</f>
        <v>0</v>
      </c>
      <c r="AS616" s="246">
        <f>IFERROR(VLOOKUP(Q616,PROGRAMAS[],3,FALSE),0)</f>
        <v>0</v>
      </c>
      <c r="AT616" s="246">
        <f>IFERROR(VLOOKUP(D616,VOL_REC[],2,FALSE),0)</f>
        <v>0</v>
      </c>
      <c r="AU616" s="246">
        <f>IFERROR(VLOOKUP(E616,VOL_REC[],2,FALSE),0)</f>
        <v>0</v>
      </c>
      <c r="AV616" s="246">
        <f>IFERROR(VLOOKUP(F616,VOL_REC[],2,FALSE),0)</f>
        <v>11089674.200000001</v>
      </c>
      <c r="AW616" s="246">
        <f>IFERROR(VLOOKUP(G616,VOL_REC[],2,FALSE),0)</f>
        <v>90439.55</v>
      </c>
      <c r="AX616" s="246">
        <f>IFERROR(VLOOKUP(H616,VOL_REC[],2,FALSE),0)</f>
        <v>4325103.1812214684</v>
      </c>
      <c r="AY616" s="246">
        <f>IFERROR(VLOOKUP(I616,VOL_REC[],2,FALSE),0)</f>
        <v>1812240</v>
      </c>
      <c r="AZ616" s="246">
        <f>IFERROR(VLOOKUP(J616,VOL_REC[],2,FALSE),0)</f>
        <v>240696.79238099116</v>
      </c>
      <c r="BA616" s="246">
        <f>IFERROR(VLOOKUP(K616,VOL_REC[],2,FALSE),0)</f>
        <v>740113.98115702497</v>
      </c>
      <c r="BB616" s="246">
        <f>IFERROR(VLOOKUP(L616,VOL_REC[],2,FALSE),0)</f>
        <v>0</v>
      </c>
      <c r="BC616" s="246">
        <f>IFERROR(VLOOKUP(M616,VOL_REC[],2,FALSE),0)</f>
        <v>0</v>
      </c>
      <c r="BD616" s="246">
        <f>IFERROR(VLOOKUP(N616,VOL_REC[],2,FALSE),0)</f>
        <v>0</v>
      </c>
      <c r="BE616" s="246">
        <f>IFERROR(VLOOKUP(O616,VOL_REC[],2,FALSE),0)</f>
        <v>0</v>
      </c>
      <c r="BF616" s="246">
        <f>IFERROR(VLOOKUP(P616,VOL_REC[],2,FALSE),0)</f>
        <v>0</v>
      </c>
      <c r="BG616" s="246">
        <f>IFERROR(VLOOKUP(Q616,VOL_REC[],2,FALSE),0)</f>
        <v>0</v>
      </c>
      <c r="BH616" s="1710">
        <f t="shared" si="36"/>
        <v>12601397432.995203</v>
      </c>
      <c r="BI616" s="1710">
        <f t="shared" si="37"/>
        <v>15168178654.077757</v>
      </c>
      <c r="BJ616" s="1711">
        <f t="shared" si="38"/>
        <v>18298267.704759486</v>
      </c>
      <c r="BK616" s="1711">
        <f t="shared" si="39"/>
        <v>0.83077854766745451</v>
      </c>
    </row>
    <row r="617" spans="3:67" x14ac:dyDescent="0.25">
      <c r="C617" s="246" t="s">
        <v>1967</v>
      </c>
      <c r="D617" s="246">
        <v>1</v>
      </c>
      <c r="E617" s="246">
        <v>2</v>
      </c>
      <c r="F617" s="246">
        <v>3</v>
      </c>
      <c r="G617" s="246">
        <v>4</v>
      </c>
      <c r="H617" s="246">
        <v>5</v>
      </c>
      <c r="I617" s="246">
        <v>10</v>
      </c>
      <c r="J617" s="246">
        <v>13</v>
      </c>
      <c r="K617" s="246">
        <v>14</v>
      </c>
      <c r="L617" s="246"/>
      <c r="M617" s="246"/>
      <c r="N617" s="246"/>
      <c r="O617" s="246"/>
      <c r="P617" s="246"/>
      <c r="Q617" s="246"/>
      <c r="R617" s="246">
        <f>IFERROR(VLOOKUP(D617,PROGRAMAS[],2,FALSE),0)</f>
        <v>97037803.679377079</v>
      </c>
      <c r="S617" s="246">
        <f>IFERROR(VLOOKUP(E617,PROGRAMAS[],2,FALSE),0)</f>
        <v>640501509.6821388</v>
      </c>
      <c r="T617" s="246">
        <f>IFERROR(VLOOKUP(F617,PROGRAMAS[],2,FALSE),0)</f>
        <v>3062327798.1525245</v>
      </c>
      <c r="U617" s="246">
        <f>IFERROR(VLOOKUP(G617,PROGRAMAS[],2,FALSE),0)</f>
        <v>67697118.033011258</v>
      </c>
      <c r="V617" s="246">
        <f>IFERROR(VLOOKUP(H617,PROGRAMAS[],2,FALSE),0)</f>
        <v>1440941976.2528784</v>
      </c>
      <c r="W617" s="246">
        <f>IFERROR(VLOOKUP(I617,PROGRAMAS[],2,FALSE),0)</f>
        <v>4635315027.8751087</v>
      </c>
      <c r="X617" s="246">
        <f>IFERROR(VLOOKUP(J617,PROGRAMAS[],2,FALSE),0)</f>
        <v>3776538594.4604583</v>
      </c>
      <c r="Y617" s="246">
        <f>IFERROR(VLOOKUP(K617,PROGRAMAS[],2,FALSE),0)</f>
        <v>54223862.645839565</v>
      </c>
      <c r="Z617" s="246">
        <f>IFERROR(VLOOKUP(L617,PROGRAMAS[],2,FALSE),0)</f>
        <v>0</v>
      </c>
      <c r="AA617" s="246">
        <f>IFERROR(VLOOKUP(M617,PROGRAMAS[],2,FALSE),0)</f>
        <v>0</v>
      </c>
      <c r="AB617" s="246">
        <f>IFERROR(VLOOKUP(N617,PROGRAMAS[],2,FALSE),0)</f>
        <v>0</v>
      </c>
      <c r="AC617" s="246">
        <f>IFERROR(VLOOKUP(O617,PROGRAMAS[],2,FALSE),0)</f>
        <v>0</v>
      </c>
      <c r="AD617" s="246">
        <f>IFERROR(VLOOKUP(P617,PROGRAMAS[],2,FALSE),0)</f>
        <v>0</v>
      </c>
      <c r="AE617" s="246">
        <f>IFERROR(VLOOKUP(Q617,PROGRAMAS[],2,FALSE),0)</f>
        <v>0</v>
      </c>
      <c r="AF617" s="246">
        <f>IFERROR(VLOOKUP(D617,PROGRAMAS[],3,FALSE),0)</f>
        <v>841888629.31080008</v>
      </c>
      <c r="AG617" s="246">
        <f>IFERROR(VLOOKUP(E617,PROGRAMAS[],3,FALSE),0)</f>
        <v>3848980803.1642323</v>
      </c>
      <c r="AH617" s="246">
        <f>IFERROR(VLOOKUP(F617,PROGRAMAS[],3,FALSE),0)</f>
        <v>3394901471.387517</v>
      </c>
      <c r="AI617" s="246">
        <f>IFERROR(VLOOKUP(G617,PROGRAMAS[],3,FALSE),0)</f>
        <v>125317226.95549992</v>
      </c>
      <c r="AJ617" s="246">
        <f>IFERROR(VLOOKUP(H617,PROGRAMAS[],3,FALSE),0)</f>
        <v>1233505101.0616004</v>
      </c>
      <c r="AK617" s="246">
        <f>IFERROR(VLOOKUP(I617,PROGRAMAS[],3,FALSE),0)</f>
        <v>4099471734.9978786</v>
      </c>
      <c r="AL617" s="246">
        <f>IFERROR(VLOOKUP(J617,PROGRAMAS[],3,FALSE),0)</f>
        <v>2392571243.5584412</v>
      </c>
      <c r="AM617" s="246">
        <f>IFERROR(VLOOKUP(K617,PROGRAMAS[],3,FALSE),0)</f>
        <v>31865326.38096505</v>
      </c>
      <c r="AN617" s="246">
        <f>IFERROR(VLOOKUP(L617,PROGRAMAS[],3,FALSE),0)</f>
        <v>0</v>
      </c>
      <c r="AO617" s="246">
        <f>IFERROR(VLOOKUP(M617,PROGRAMAS[],3,FALSE),0)</f>
        <v>0</v>
      </c>
      <c r="AP617" s="246">
        <f>IFERROR(VLOOKUP(N617,PROGRAMAS[],3,FALSE),0)</f>
        <v>0</v>
      </c>
      <c r="AQ617" s="246">
        <f>IFERROR(VLOOKUP(O617,PROGRAMAS[],3,FALSE),0)</f>
        <v>0</v>
      </c>
      <c r="AR617" s="246">
        <f>IFERROR(VLOOKUP(P617,PROGRAMAS[],3,FALSE),0)</f>
        <v>0</v>
      </c>
      <c r="AS617" s="246">
        <f>IFERROR(VLOOKUP(Q617,PROGRAMAS[],3,FALSE),0)</f>
        <v>0</v>
      </c>
      <c r="AT617" s="246">
        <f>IFERROR(VLOOKUP(D617,VOL_REC[],2,FALSE),0)</f>
        <v>0</v>
      </c>
      <c r="AU617" s="246">
        <f>IFERROR(VLOOKUP(E617,VOL_REC[],2,FALSE),0)</f>
        <v>0</v>
      </c>
      <c r="AV617" s="246">
        <f>IFERROR(VLOOKUP(F617,VOL_REC[],2,FALSE),0)</f>
        <v>11089674.200000001</v>
      </c>
      <c r="AW617" s="246">
        <f>IFERROR(VLOOKUP(G617,VOL_REC[],2,FALSE),0)</f>
        <v>90439.55</v>
      </c>
      <c r="AX617" s="246">
        <f>IFERROR(VLOOKUP(H617,VOL_REC[],2,FALSE),0)</f>
        <v>4325103.1812214684</v>
      </c>
      <c r="AY617" s="246">
        <f>IFERROR(VLOOKUP(I617,VOL_REC[],2,FALSE),0)</f>
        <v>1812240</v>
      </c>
      <c r="AZ617" s="246">
        <f>IFERROR(VLOOKUP(J617,VOL_REC[],2,FALSE),0)</f>
        <v>663244.80000000016</v>
      </c>
      <c r="BA617" s="246">
        <f>IFERROR(VLOOKUP(K617,VOL_REC[],2,FALSE),0)</f>
        <v>17074.045034105649</v>
      </c>
      <c r="BB617" s="246">
        <f>IFERROR(VLOOKUP(L617,VOL_REC[],2,FALSE),0)</f>
        <v>0</v>
      </c>
      <c r="BC617" s="246">
        <f>IFERROR(VLOOKUP(M617,VOL_REC[],2,FALSE),0)</f>
        <v>0</v>
      </c>
      <c r="BD617" s="246">
        <f>IFERROR(VLOOKUP(N617,VOL_REC[],2,FALSE),0)</f>
        <v>0</v>
      </c>
      <c r="BE617" s="246">
        <f>IFERROR(VLOOKUP(O617,VOL_REC[],2,FALSE),0)</f>
        <v>0</v>
      </c>
      <c r="BF617" s="246">
        <f>IFERROR(VLOOKUP(P617,VOL_REC[],2,FALSE),0)</f>
        <v>0</v>
      </c>
      <c r="BG617" s="246">
        <f>IFERROR(VLOOKUP(Q617,VOL_REC[],2,FALSE),0)</f>
        <v>0</v>
      </c>
      <c r="BH617" s="1710">
        <f t="shared" si="36"/>
        <v>13774583690.781338</v>
      </c>
      <c r="BI617" s="1710">
        <f t="shared" si="37"/>
        <v>15968501536.816935</v>
      </c>
      <c r="BJ617" s="1711">
        <f t="shared" si="38"/>
        <v>17997775.776255578</v>
      </c>
      <c r="BK617" s="1711">
        <f t="shared" si="39"/>
        <v>0.86260966058854638</v>
      </c>
    </row>
    <row r="618" spans="3:67" x14ac:dyDescent="0.25">
      <c r="C618" s="246" t="s">
        <v>1968</v>
      </c>
      <c r="D618" s="246">
        <v>1</v>
      </c>
      <c r="E618" s="246">
        <v>2</v>
      </c>
      <c r="F618" s="246">
        <v>3</v>
      </c>
      <c r="G618" s="246">
        <v>4</v>
      </c>
      <c r="H618" s="246">
        <v>5</v>
      </c>
      <c r="I618" s="246">
        <v>10</v>
      </c>
      <c r="J618" s="246">
        <v>13</v>
      </c>
      <c r="K618" s="246">
        <v>15</v>
      </c>
      <c r="L618" s="246"/>
      <c r="M618" s="246"/>
      <c r="N618" s="246"/>
      <c r="O618" s="246"/>
      <c r="P618" s="246"/>
      <c r="Q618" s="246"/>
      <c r="R618" s="246">
        <f>IFERROR(VLOOKUP(D618,PROGRAMAS[],2,FALSE),0)</f>
        <v>97037803.679377079</v>
      </c>
      <c r="S618" s="246">
        <f>IFERROR(VLOOKUP(E618,PROGRAMAS[],2,FALSE),0)</f>
        <v>640501509.6821388</v>
      </c>
      <c r="T618" s="246">
        <f>IFERROR(VLOOKUP(F618,PROGRAMAS[],2,FALSE),0)</f>
        <v>3062327798.1525245</v>
      </c>
      <c r="U618" s="246">
        <f>IFERROR(VLOOKUP(G618,PROGRAMAS[],2,FALSE),0)</f>
        <v>67697118.033011258</v>
      </c>
      <c r="V618" s="246">
        <f>IFERROR(VLOOKUP(H618,PROGRAMAS[],2,FALSE),0)</f>
        <v>1440941976.2528784</v>
      </c>
      <c r="W618" s="246">
        <f>IFERROR(VLOOKUP(I618,PROGRAMAS[],2,FALSE),0)</f>
        <v>4635315027.8751087</v>
      </c>
      <c r="X618" s="246">
        <f>IFERROR(VLOOKUP(J618,PROGRAMAS[],2,FALSE),0)</f>
        <v>3776538594.4604583</v>
      </c>
      <c r="Y618" s="246">
        <f>IFERROR(VLOOKUP(K618,PROGRAMAS[],2,FALSE),0)</f>
        <v>122159672.96346797</v>
      </c>
      <c r="Z618" s="246">
        <f>IFERROR(VLOOKUP(L618,PROGRAMAS[],2,FALSE),0)</f>
        <v>0</v>
      </c>
      <c r="AA618" s="246">
        <f>IFERROR(VLOOKUP(M618,PROGRAMAS[],2,FALSE),0)</f>
        <v>0</v>
      </c>
      <c r="AB618" s="246">
        <f>IFERROR(VLOOKUP(N618,PROGRAMAS[],2,FALSE),0)</f>
        <v>0</v>
      </c>
      <c r="AC618" s="246">
        <f>IFERROR(VLOOKUP(O618,PROGRAMAS[],2,FALSE),0)</f>
        <v>0</v>
      </c>
      <c r="AD618" s="246">
        <f>IFERROR(VLOOKUP(P618,PROGRAMAS[],2,FALSE),0)</f>
        <v>0</v>
      </c>
      <c r="AE618" s="246">
        <f>IFERROR(VLOOKUP(Q618,PROGRAMAS[],2,FALSE),0)</f>
        <v>0</v>
      </c>
      <c r="AF618" s="246">
        <f>IFERROR(VLOOKUP(D618,PROGRAMAS[],3,FALSE),0)</f>
        <v>841888629.31080008</v>
      </c>
      <c r="AG618" s="246">
        <f>IFERROR(VLOOKUP(E618,PROGRAMAS[],3,FALSE),0)</f>
        <v>3848980803.1642323</v>
      </c>
      <c r="AH618" s="246">
        <f>IFERROR(VLOOKUP(F618,PROGRAMAS[],3,FALSE),0)</f>
        <v>3394901471.387517</v>
      </c>
      <c r="AI618" s="246">
        <f>IFERROR(VLOOKUP(G618,PROGRAMAS[],3,FALSE),0)</f>
        <v>125317226.95549992</v>
      </c>
      <c r="AJ618" s="246">
        <f>IFERROR(VLOOKUP(H618,PROGRAMAS[],3,FALSE),0)</f>
        <v>1233505101.0616004</v>
      </c>
      <c r="AK618" s="246">
        <f>IFERROR(VLOOKUP(I618,PROGRAMAS[],3,FALSE),0)</f>
        <v>4099471734.9978786</v>
      </c>
      <c r="AL618" s="246">
        <f>IFERROR(VLOOKUP(J618,PROGRAMAS[],3,FALSE),0)</f>
        <v>2392571243.5584412</v>
      </c>
      <c r="AM618" s="246">
        <f>IFERROR(VLOOKUP(K618,PROGRAMAS[],3,FALSE),0)</f>
        <v>118617452.52510804</v>
      </c>
      <c r="AN618" s="246">
        <f>IFERROR(VLOOKUP(L618,PROGRAMAS[],3,FALSE),0)</f>
        <v>0</v>
      </c>
      <c r="AO618" s="246">
        <f>IFERROR(VLOOKUP(M618,PROGRAMAS[],3,FALSE),0)</f>
        <v>0</v>
      </c>
      <c r="AP618" s="246">
        <f>IFERROR(VLOOKUP(N618,PROGRAMAS[],3,FALSE),0)</f>
        <v>0</v>
      </c>
      <c r="AQ618" s="246">
        <f>IFERROR(VLOOKUP(O618,PROGRAMAS[],3,FALSE),0)</f>
        <v>0</v>
      </c>
      <c r="AR618" s="246">
        <f>IFERROR(VLOOKUP(P618,PROGRAMAS[],3,FALSE),0)</f>
        <v>0</v>
      </c>
      <c r="AS618" s="246">
        <f>IFERROR(VLOOKUP(Q618,PROGRAMAS[],3,FALSE),0)</f>
        <v>0</v>
      </c>
      <c r="AT618" s="246">
        <f>IFERROR(VLOOKUP(D618,VOL_REC[],2,FALSE),0)</f>
        <v>0</v>
      </c>
      <c r="AU618" s="246">
        <f>IFERROR(VLOOKUP(E618,VOL_REC[],2,FALSE),0)</f>
        <v>0</v>
      </c>
      <c r="AV618" s="246">
        <f>IFERROR(VLOOKUP(F618,VOL_REC[],2,FALSE),0)</f>
        <v>11089674.200000001</v>
      </c>
      <c r="AW618" s="246">
        <f>IFERROR(VLOOKUP(G618,VOL_REC[],2,FALSE),0)</f>
        <v>90439.55</v>
      </c>
      <c r="AX618" s="246">
        <f>IFERROR(VLOOKUP(H618,VOL_REC[],2,FALSE),0)</f>
        <v>4325103.1812214684</v>
      </c>
      <c r="AY618" s="246">
        <f>IFERROR(VLOOKUP(I618,VOL_REC[],2,FALSE),0)</f>
        <v>1812240</v>
      </c>
      <c r="AZ618" s="246">
        <f>IFERROR(VLOOKUP(J618,VOL_REC[],2,FALSE),0)</f>
        <v>663244.80000000016</v>
      </c>
      <c r="BA618" s="246">
        <f>IFERROR(VLOOKUP(K618,VOL_REC[],2,FALSE),0)</f>
        <v>105072</v>
      </c>
      <c r="BB618" s="246">
        <f>IFERROR(VLOOKUP(L618,VOL_REC[],2,FALSE),0)</f>
        <v>0</v>
      </c>
      <c r="BC618" s="246">
        <f>IFERROR(VLOOKUP(M618,VOL_REC[],2,FALSE),0)</f>
        <v>0</v>
      </c>
      <c r="BD618" s="246">
        <f>IFERROR(VLOOKUP(N618,VOL_REC[],2,FALSE),0)</f>
        <v>0</v>
      </c>
      <c r="BE618" s="246">
        <f>IFERROR(VLOOKUP(O618,VOL_REC[],2,FALSE),0)</f>
        <v>0</v>
      </c>
      <c r="BF618" s="246">
        <f>IFERROR(VLOOKUP(P618,VOL_REC[],2,FALSE),0)</f>
        <v>0</v>
      </c>
      <c r="BG618" s="246">
        <f>IFERROR(VLOOKUP(Q618,VOL_REC[],2,FALSE),0)</f>
        <v>0</v>
      </c>
      <c r="BH618" s="1710">
        <f t="shared" si="36"/>
        <v>13842519501.098967</v>
      </c>
      <c r="BI618" s="1710">
        <f t="shared" si="37"/>
        <v>16055253662.961079</v>
      </c>
      <c r="BJ618" s="1711">
        <f t="shared" si="38"/>
        <v>18085773.731221471</v>
      </c>
      <c r="BK618" s="1711">
        <f t="shared" si="39"/>
        <v>0.86218005592980362</v>
      </c>
    </row>
    <row r="619" spans="3:67" x14ac:dyDescent="0.25">
      <c r="C619" s="246" t="s">
        <v>1969</v>
      </c>
      <c r="D619" s="246">
        <v>1</v>
      </c>
      <c r="E619" s="246">
        <v>2</v>
      </c>
      <c r="F619" s="246">
        <v>3</v>
      </c>
      <c r="G619" s="246">
        <v>4</v>
      </c>
      <c r="H619" s="246">
        <v>5</v>
      </c>
      <c r="I619" s="246">
        <v>10</v>
      </c>
      <c r="J619" s="246">
        <v>13</v>
      </c>
      <c r="K619" s="246">
        <v>16</v>
      </c>
      <c r="L619" s="246"/>
      <c r="M619" s="246"/>
      <c r="N619" s="246"/>
      <c r="O619" s="246"/>
      <c r="P619" s="246"/>
      <c r="Q619" s="246"/>
      <c r="R619" s="246">
        <f>IFERROR(VLOOKUP(D619,PROGRAMAS[],2,FALSE),0)</f>
        <v>97037803.679377079</v>
      </c>
      <c r="S619" s="246">
        <f>IFERROR(VLOOKUP(E619,PROGRAMAS[],2,FALSE),0)</f>
        <v>640501509.6821388</v>
      </c>
      <c r="T619" s="246">
        <f>IFERROR(VLOOKUP(F619,PROGRAMAS[],2,FALSE),0)</f>
        <v>3062327798.1525245</v>
      </c>
      <c r="U619" s="246">
        <f>IFERROR(VLOOKUP(G619,PROGRAMAS[],2,FALSE),0)</f>
        <v>67697118.033011258</v>
      </c>
      <c r="V619" s="246">
        <f>IFERROR(VLOOKUP(H619,PROGRAMAS[],2,FALSE),0)</f>
        <v>1440941976.2528784</v>
      </c>
      <c r="W619" s="246">
        <f>IFERROR(VLOOKUP(I619,PROGRAMAS[],2,FALSE),0)</f>
        <v>4635315027.8751087</v>
      </c>
      <c r="X619" s="246">
        <f>IFERROR(VLOOKUP(J619,PROGRAMAS[],2,FALSE),0)</f>
        <v>3776538594.4604583</v>
      </c>
      <c r="Y619" s="246">
        <f>IFERROR(VLOOKUP(K619,PROGRAMAS[],2,FALSE),0)</f>
        <v>7068496961.0436354</v>
      </c>
      <c r="Z619" s="246">
        <f>IFERROR(VLOOKUP(L619,PROGRAMAS[],2,FALSE),0)</f>
        <v>0</v>
      </c>
      <c r="AA619" s="246">
        <f>IFERROR(VLOOKUP(M619,PROGRAMAS[],2,FALSE),0)</f>
        <v>0</v>
      </c>
      <c r="AB619" s="246">
        <f>IFERROR(VLOOKUP(N619,PROGRAMAS[],2,FALSE),0)</f>
        <v>0</v>
      </c>
      <c r="AC619" s="246">
        <f>IFERROR(VLOOKUP(O619,PROGRAMAS[],2,FALSE),0)</f>
        <v>0</v>
      </c>
      <c r="AD619" s="246">
        <f>IFERROR(VLOOKUP(P619,PROGRAMAS[],2,FALSE),0)</f>
        <v>0</v>
      </c>
      <c r="AE619" s="246">
        <f>IFERROR(VLOOKUP(Q619,PROGRAMAS[],2,FALSE),0)</f>
        <v>0</v>
      </c>
      <c r="AF619" s="246">
        <f>IFERROR(VLOOKUP(D619,PROGRAMAS[],3,FALSE),0)</f>
        <v>841888629.31080008</v>
      </c>
      <c r="AG619" s="246">
        <f>IFERROR(VLOOKUP(E619,PROGRAMAS[],3,FALSE),0)</f>
        <v>3848980803.1642323</v>
      </c>
      <c r="AH619" s="246">
        <f>IFERROR(VLOOKUP(F619,PROGRAMAS[],3,FALSE),0)</f>
        <v>3394901471.387517</v>
      </c>
      <c r="AI619" s="246">
        <f>IFERROR(VLOOKUP(G619,PROGRAMAS[],3,FALSE),0)</f>
        <v>125317226.95549992</v>
      </c>
      <c r="AJ619" s="246">
        <f>IFERROR(VLOOKUP(H619,PROGRAMAS[],3,FALSE),0)</f>
        <v>1233505101.0616004</v>
      </c>
      <c r="AK619" s="246">
        <f>IFERROR(VLOOKUP(I619,PROGRAMAS[],3,FALSE),0)</f>
        <v>4099471734.9978786</v>
      </c>
      <c r="AL619" s="246">
        <f>IFERROR(VLOOKUP(J619,PROGRAMAS[],3,FALSE),0)</f>
        <v>2392571243.5584412</v>
      </c>
      <c r="AM619" s="246">
        <f>IFERROR(VLOOKUP(K619,PROGRAMAS[],3,FALSE),0)</f>
        <v>2406564599.0319901</v>
      </c>
      <c r="AN619" s="246">
        <f>IFERROR(VLOOKUP(L619,PROGRAMAS[],3,FALSE),0)</f>
        <v>0</v>
      </c>
      <c r="AO619" s="246">
        <f>IFERROR(VLOOKUP(M619,PROGRAMAS[],3,FALSE),0)</f>
        <v>0</v>
      </c>
      <c r="AP619" s="246">
        <f>IFERROR(VLOOKUP(N619,PROGRAMAS[],3,FALSE),0)</f>
        <v>0</v>
      </c>
      <c r="AQ619" s="246">
        <f>IFERROR(VLOOKUP(O619,PROGRAMAS[],3,FALSE),0)</f>
        <v>0</v>
      </c>
      <c r="AR619" s="246">
        <f>IFERROR(VLOOKUP(P619,PROGRAMAS[],3,FALSE),0)</f>
        <v>0</v>
      </c>
      <c r="AS619" s="246">
        <f>IFERROR(VLOOKUP(Q619,PROGRAMAS[],3,FALSE),0)</f>
        <v>0</v>
      </c>
      <c r="AT619" s="246">
        <f>IFERROR(VLOOKUP(D619,VOL_REC[],2,FALSE),0)</f>
        <v>0</v>
      </c>
      <c r="AU619" s="246">
        <f>IFERROR(VLOOKUP(E619,VOL_REC[],2,FALSE),0)</f>
        <v>0</v>
      </c>
      <c r="AV619" s="246">
        <f>IFERROR(VLOOKUP(F619,VOL_REC[],2,FALSE),0)</f>
        <v>11089674.200000001</v>
      </c>
      <c r="AW619" s="246">
        <f>IFERROR(VLOOKUP(G619,VOL_REC[],2,FALSE),0)</f>
        <v>90439.55</v>
      </c>
      <c r="AX619" s="246">
        <f>IFERROR(VLOOKUP(H619,VOL_REC[],2,FALSE),0)</f>
        <v>4325103.1812214684</v>
      </c>
      <c r="AY619" s="246">
        <f>IFERROR(VLOOKUP(I619,VOL_REC[],2,FALSE),0)</f>
        <v>1812240</v>
      </c>
      <c r="AZ619" s="246">
        <f>IFERROR(VLOOKUP(J619,VOL_REC[],2,FALSE),0)</f>
        <v>663244.80000000016</v>
      </c>
      <c r="BA619" s="246">
        <f>IFERROR(VLOOKUP(K619,VOL_REC[],2,FALSE),0)</f>
        <v>1072354.9981737854</v>
      </c>
      <c r="BB619" s="246">
        <f>IFERROR(VLOOKUP(L619,VOL_REC[],2,FALSE),0)</f>
        <v>0</v>
      </c>
      <c r="BC619" s="246">
        <f>IFERROR(VLOOKUP(M619,VOL_REC[],2,FALSE),0)</f>
        <v>0</v>
      </c>
      <c r="BD619" s="246">
        <f>IFERROR(VLOOKUP(N619,VOL_REC[],2,FALSE),0)</f>
        <v>0</v>
      </c>
      <c r="BE619" s="246">
        <f>IFERROR(VLOOKUP(O619,VOL_REC[],2,FALSE),0)</f>
        <v>0</v>
      </c>
      <c r="BF619" s="246">
        <f>IFERROR(VLOOKUP(P619,VOL_REC[],2,FALSE),0)</f>
        <v>0</v>
      </c>
      <c r="BG619" s="246">
        <f>IFERROR(VLOOKUP(Q619,VOL_REC[],2,FALSE),0)</f>
        <v>0</v>
      </c>
      <c r="BH619" s="1710">
        <f t="shared" si="36"/>
        <v>20788856789.179134</v>
      </c>
      <c r="BI619" s="1710">
        <f t="shared" si="37"/>
        <v>18343200809.46796</v>
      </c>
      <c r="BJ619" s="1711">
        <f t="shared" si="38"/>
        <v>19053056.729395255</v>
      </c>
      <c r="BK619" s="1711">
        <f t="shared" si="39"/>
        <v>1.1333276566676866</v>
      </c>
      <c r="BL619">
        <f>BJ619</f>
        <v>19053056.729395255</v>
      </c>
      <c r="BO619">
        <f>BL619</f>
        <v>19053056.729395255</v>
      </c>
    </row>
    <row r="620" spans="3:67" x14ac:dyDescent="0.25">
      <c r="C620" s="246" t="s">
        <v>1970</v>
      </c>
      <c r="D620" s="246">
        <v>1</v>
      </c>
      <c r="E620" s="246">
        <v>2</v>
      </c>
      <c r="F620" s="246">
        <v>3</v>
      </c>
      <c r="G620" s="246">
        <v>4</v>
      </c>
      <c r="H620" s="246">
        <v>5</v>
      </c>
      <c r="I620" s="246">
        <v>10</v>
      </c>
      <c r="J620" s="246">
        <v>13</v>
      </c>
      <c r="K620" s="246">
        <v>17</v>
      </c>
      <c r="L620" s="246"/>
      <c r="M620" s="246"/>
      <c r="N620" s="246"/>
      <c r="O620" s="246"/>
      <c r="P620" s="246"/>
      <c r="Q620" s="246"/>
      <c r="R620" s="246">
        <f>IFERROR(VLOOKUP(D620,PROGRAMAS[],2,FALSE),0)</f>
        <v>97037803.679377079</v>
      </c>
      <c r="S620" s="246">
        <f>IFERROR(VLOOKUP(E620,PROGRAMAS[],2,FALSE),0)</f>
        <v>640501509.6821388</v>
      </c>
      <c r="T620" s="246">
        <f>IFERROR(VLOOKUP(F620,PROGRAMAS[],2,FALSE),0)</f>
        <v>3062327798.1525245</v>
      </c>
      <c r="U620" s="246">
        <f>IFERROR(VLOOKUP(G620,PROGRAMAS[],2,FALSE),0)</f>
        <v>67697118.033011258</v>
      </c>
      <c r="V620" s="246">
        <f>IFERROR(VLOOKUP(H620,PROGRAMAS[],2,FALSE),0)</f>
        <v>1440941976.2528784</v>
      </c>
      <c r="W620" s="246">
        <f>IFERROR(VLOOKUP(I620,PROGRAMAS[],2,FALSE),0)</f>
        <v>4635315027.8751087</v>
      </c>
      <c r="X620" s="246">
        <f>IFERROR(VLOOKUP(J620,PROGRAMAS[],2,FALSE),0)</f>
        <v>3776538594.4604583</v>
      </c>
      <c r="Y620" s="246">
        <f>IFERROR(VLOOKUP(K620,PROGRAMAS[],2,FALSE),0)</f>
        <v>1892779498.5211046</v>
      </c>
      <c r="Z620" s="246">
        <f>IFERROR(VLOOKUP(L620,PROGRAMAS[],2,FALSE),0)</f>
        <v>0</v>
      </c>
      <c r="AA620" s="246">
        <f>IFERROR(VLOOKUP(M620,PROGRAMAS[],2,FALSE),0)</f>
        <v>0</v>
      </c>
      <c r="AB620" s="246">
        <f>IFERROR(VLOOKUP(N620,PROGRAMAS[],2,FALSE),0)</f>
        <v>0</v>
      </c>
      <c r="AC620" s="246">
        <f>IFERROR(VLOOKUP(O620,PROGRAMAS[],2,FALSE),0)</f>
        <v>0</v>
      </c>
      <c r="AD620" s="246">
        <f>IFERROR(VLOOKUP(P620,PROGRAMAS[],2,FALSE),0)</f>
        <v>0</v>
      </c>
      <c r="AE620" s="246">
        <f>IFERROR(VLOOKUP(Q620,PROGRAMAS[],2,FALSE),0)</f>
        <v>0</v>
      </c>
      <c r="AF620" s="246">
        <f>IFERROR(VLOOKUP(D620,PROGRAMAS[],3,FALSE),0)</f>
        <v>841888629.31080008</v>
      </c>
      <c r="AG620" s="246">
        <f>IFERROR(VLOOKUP(E620,PROGRAMAS[],3,FALSE),0)</f>
        <v>3848980803.1642323</v>
      </c>
      <c r="AH620" s="246">
        <f>IFERROR(VLOOKUP(F620,PROGRAMAS[],3,FALSE),0)</f>
        <v>3394901471.387517</v>
      </c>
      <c r="AI620" s="246">
        <f>IFERROR(VLOOKUP(G620,PROGRAMAS[],3,FALSE),0)</f>
        <v>125317226.95549992</v>
      </c>
      <c r="AJ620" s="246">
        <f>IFERROR(VLOOKUP(H620,PROGRAMAS[],3,FALSE),0)</f>
        <v>1233505101.0616004</v>
      </c>
      <c r="AK620" s="246">
        <f>IFERROR(VLOOKUP(I620,PROGRAMAS[],3,FALSE),0)</f>
        <v>4099471734.9978786</v>
      </c>
      <c r="AL620" s="246">
        <f>IFERROR(VLOOKUP(J620,PROGRAMAS[],3,FALSE),0)</f>
        <v>2392571243.5584412</v>
      </c>
      <c r="AM620" s="246">
        <f>IFERROR(VLOOKUP(K620,PROGRAMAS[],3,FALSE),0)</f>
        <v>948595847.09039903</v>
      </c>
      <c r="AN620" s="246">
        <f>IFERROR(VLOOKUP(L620,PROGRAMAS[],3,FALSE),0)</f>
        <v>0</v>
      </c>
      <c r="AO620" s="246">
        <f>IFERROR(VLOOKUP(M620,PROGRAMAS[],3,FALSE),0)</f>
        <v>0</v>
      </c>
      <c r="AP620" s="246">
        <f>IFERROR(VLOOKUP(N620,PROGRAMAS[],3,FALSE),0)</f>
        <v>0</v>
      </c>
      <c r="AQ620" s="246">
        <f>IFERROR(VLOOKUP(O620,PROGRAMAS[],3,FALSE),0)</f>
        <v>0</v>
      </c>
      <c r="AR620" s="246">
        <f>IFERROR(VLOOKUP(P620,PROGRAMAS[],3,FALSE),0)</f>
        <v>0</v>
      </c>
      <c r="AS620" s="246">
        <f>IFERROR(VLOOKUP(Q620,PROGRAMAS[],3,FALSE),0)</f>
        <v>0</v>
      </c>
      <c r="AT620" s="246">
        <f>IFERROR(VLOOKUP(D620,VOL_REC[],2,FALSE),0)</f>
        <v>0</v>
      </c>
      <c r="AU620" s="246">
        <f>IFERROR(VLOOKUP(E620,VOL_REC[],2,FALSE),0)</f>
        <v>0</v>
      </c>
      <c r="AV620" s="246">
        <f>IFERROR(VLOOKUP(F620,VOL_REC[],2,FALSE),0)</f>
        <v>11089674.200000001</v>
      </c>
      <c r="AW620" s="246">
        <f>IFERROR(VLOOKUP(G620,VOL_REC[],2,FALSE),0)</f>
        <v>90439.55</v>
      </c>
      <c r="AX620" s="246">
        <f>IFERROR(VLOOKUP(H620,VOL_REC[],2,FALSE),0)</f>
        <v>4325103.1812214684</v>
      </c>
      <c r="AY620" s="246">
        <f>IFERROR(VLOOKUP(I620,VOL_REC[],2,FALSE),0)</f>
        <v>1812240</v>
      </c>
      <c r="AZ620" s="246">
        <f>IFERROR(VLOOKUP(J620,VOL_REC[],2,FALSE),0)</f>
        <v>663244.80000000016</v>
      </c>
      <c r="BA620" s="246">
        <f>IFERROR(VLOOKUP(K620,VOL_REC[],2,FALSE),0)</f>
        <v>740113.98115702497</v>
      </c>
      <c r="BB620" s="246">
        <f>IFERROR(VLOOKUP(L620,VOL_REC[],2,FALSE),0)</f>
        <v>0</v>
      </c>
      <c r="BC620" s="246">
        <f>IFERROR(VLOOKUP(M620,VOL_REC[],2,FALSE),0)</f>
        <v>0</v>
      </c>
      <c r="BD620" s="246">
        <f>IFERROR(VLOOKUP(N620,VOL_REC[],2,FALSE),0)</f>
        <v>0</v>
      </c>
      <c r="BE620" s="246">
        <f>IFERROR(VLOOKUP(O620,VOL_REC[],2,FALSE),0)</f>
        <v>0</v>
      </c>
      <c r="BF620" s="246">
        <f>IFERROR(VLOOKUP(P620,VOL_REC[],2,FALSE),0)</f>
        <v>0</v>
      </c>
      <c r="BG620" s="246">
        <f>IFERROR(VLOOKUP(Q620,VOL_REC[],2,FALSE),0)</f>
        <v>0</v>
      </c>
      <c r="BH620" s="1710">
        <f t="shared" si="36"/>
        <v>15613139326.656603</v>
      </c>
      <c r="BI620" s="1710">
        <f t="shared" si="37"/>
        <v>16885232057.526369</v>
      </c>
      <c r="BJ620" s="1711">
        <f t="shared" si="38"/>
        <v>18720815.712378494</v>
      </c>
      <c r="BK620" s="1711">
        <f t="shared" si="39"/>
        <v>0.92466240756799389</v>
      </c>
    </row>
    <row r="621" spans="3:67" x14ac:dyDescent="0.25">
      <c r="C621" s="246" t="s">
        <v>1971</v>
      </c>
      <c r="D621" s="246">
        <v>1</v>
      </c>
      <c r="E621" s="246">
        <v>2</v>
      </c>
      <c r="F621" s="246">
        <v>3</v>
      </c>
      <c r="G621" s="246">
        <v>4</v>
      </c>
      <c r="H621" s="246">
        <v>5</v>
      </c>
      <c r="I621" s="246">
        <v>10</v>
      </c>
      <c r="J621" s="246">
        <v>14</v>
      </c>
      <c r="K621" s="246">
        <v>15</v>
      </c>
      <c r="L621" s="246"/>
      <c r="M621" s="246"/>
      <c r="N621" s="246"/>
      <c r="O621" s="246"/>
      <c r="P621" s="246"/>
      <c r="Q621" s="246"/>
      <c r="R621" s="246">
        <f>IFERROR(VLOOKUP(D621,PROGRAMAS[],2,FALSE),0)</f>
        <v>97037803.679377079</v>
      </c>
      <c r="S621" s="246">
        <f>IFERROR(VLOOKUP(E621,PROGRAMAS[],2,FALSE),0)</f>
        <v>640501509.6821388</v>
      </c>
      <c r="T621" s="246">
        <f>IFERROR(VLOOKUP(F621,PROGRAMAS[],2,FALSE),0)</f>
        <v>3062327798.1525245</v>
      </c>
      <c r="U621" s="246">
        <f>IFERROR(VLOOKUP(G621,PROGRAMAS[],2,FALSE),0)</f>
        <v>67697118.033011258</v>
      </c>
      <c r="V621" s="246">
        <f>IFERROR(VLOOKUP(H621,PROGRAMAS[],2,FALSE),0)</f>
        <v>1440941976.2528784</v>
      </c>
      <c r="W621" s="246">
        <f>IFERROR(VLOOKUP(I621,PROGRAMAS[],2,FALSE),0)</f>
        <v>4635315027.8751087</v>
      </c>
      <c r="X621" s="246">
        <f>IFERROR(VLOOKUP(J621,PROGRAMAS[],2,FALSE),0)</f>
        <v>54223862.645839565</v>
      </c>
      <c r="Y621" s="246">
        <f>IFERROR(VLOOKUP(K621,PROGRAMAS[],2,FALSE),0)</f>
        <v>122159672.96346797</v>
      </c>
      <c r="Z621" s="246">
        <f>IFERROR(VLOOKUP(L621,PROGRAMAS[],2,FALSE),0)</f>
        <v>0</v>
      </c>
      <c r="AA621" s="246">
        <f>IFERROR(VLOOKUP(M621,PROGRAMAS[],2,FALSE),0)</f>
        <v>0</v>
      </c>
      <c r="AB621" s="246">
        <f>IFERROR(VLOOKUP(N621,PROGRAMAS[],2,FALSE),0)</f>
        <v>0</v>
      </c>
      <c r="AC621" s="246">
        <f>IFERROR(VLOOKUP(O621,PROGRAMAS[],2,FALSE),0)</f>
        <v>0</v>
      </c>
      <c r="AD621" s="246">
        <f>IFERROR(VLOOKUP(P621,PROGRAMAS[],2,FALSE),0)</f>
        <v>0</v>
      </c>
      <c r="AE621" s="246">
        <f>IFERROR(VLOOKUP(Q621,PROGRAMAS[],2,FALSE),0)</f>
        <v>0</v>
      </c>
      <c r="AF621" s="246">
        <f>IFERROR(VLOOKUP(D621,PROGRAMAS[],3,FALSE),0)</f>
        <v>841888629.31080008</v>
      </c>
      <c r="AG621" s="246">
        <f>IFERROR(VLOOKUP(E621,PROGRAMAS[],3,FALSE),0)</f>
        <v>3848980803.1642323</v>
      </c>
      <c r="AH621" s="246">
        <f>IFERROR(VLOOKUP(F621,PROGRAMAS[],3,FALSE),0)</f>
        <v>3394901471.387517</v>
      </c>
      <c r="AI621" s="246">
        <f>IFERROR(VLOOKUP(G621,PROGRAMAS[],3,FALSE),0)</f>
        <v>125317226.95549992</v>
      </c>
      <c r="AJ621" s="246">
        <f>IFERROR(VLOOKUP(H621,PROGRAMAS[],3,FALSE),0)</f>
        <v>1233505101.0616004</v>
      </c>
      <c r="AK621" s="246">
        <f>IFERROR(VLOOKUP(I621,PROGRAMAS[],3,FALSE),0)</f>
        <v>4099471734.9978786</v>
      </c>
      <c r="AL621" s="246">
        <f>IFERROR(VLOOKUP(J621,PROGRAMAS[],3,FALSE),0)</f>
        <v>31865326.38096505</v>
      </c>
      <c r="AM621" s="246">
        <f>IFERROR(VLOOKUP(K621,PROGRAMAS[],3,FALSE),0)</f>
        <v>118617452.52510804</v>
      </c>
      <c r="AN621" s="246">
        <f>IFERROR(VLOOKUP(L621,PROGRAMAS[],3,FALSE),0)</f>
        <v>0</v>
      </c>
      <c r="AO621" s="246">
        <f>IFERROR(VLOOKUP(M621,PROGRAMAS[],3,FALSE),0)</f>
        <v>0</v>
      </c>
      <c r="AP621" s="246">
        <f>IFERROR(VLOOKUP(N621,PROGRAMAS[],3,FALSE),0)</f>
        <v>0</v>
      </c>
      <c r="AQ621" s="246">
        <f>IFERROR(VLOOKUP(O621,PROGRAMAS[],3,FALSE),0)</f>
        <v>0</v>
      </c>
      <c r="AR621" s="246">
        <f>IFERROR(VLOOKUP(P621,PROGRAMAS[],3,FALSE),0)</f>
        <v>0</v>
      </c>
      <c r="AS621" s="246">
        <f>IFERROR(VLOOKUP(Q621,PROGRAMAS[],3,FALSE),0)</f>
        <v>0</v>
      </c>
      <c r="AT621" s="246">
        <f>IFERROR(VLOOKUP(D621,VOL_REC[],2,FALSE),0)</f>
        <v>0</v>
      </c>
      <c r="AU621" s="246">
        <f>IFERROR(VLOOKUP(E621,VOL_REC[],2,FALSE),0)</f>
        <v>0</v>
      </c>
      <c r="AV621" s="246">
        <f>IFERROR(VLOOKUP(F621,VOL_REC[],2,FALSE),0)</f>
        <v>11089674.200000001</v>
      </c>
      <c r="AW621" s="246">
        <f>IFERROR(VLOOKUP(G621,VOL_REC[],2,FALSE),0)</f>
        <v>90439.55</v>
      </c>
      <c r="AX621" s="246">
        <f>IFERROR(VLOOKUP(H621,VOL_REC[],2,FALSE),0)</f>
        <v>4325103.1812214684</v>
      </c>
      <c r="AY621" s="246">
        <f>IFERROR(VLOOKUP(I621,VOL_REC[],2,FALSE),0)</f>
        <v>1812240</v>
      </c>
      <c r="AZ621" s="246">
        <f>IFERROR(VLOOKUP(J621,VOL_REC[],2,FALSE),0)</f>
        <v>17074.045034105649</v>
      </c>
      <c r="BA621" s="246">
        <f>IFERROR(VLOOKUP(K621,VOL_REC[],2,FALSE),0)</f>
        <v>105072</v>
      </c>
      <c r="BB621" s="246">
        <f>IFERROR(VLOOKUP(L621,VOL_REC[],2,FALSE),0)</f>
        <v>0</v>
      </c>
      <c r="BC621" s="246">
        <f>IFERROR(VLOOKUP(M621,VOL_REC[],2,FALSE),0)</f>
        <v>0</v>
      </c>
      <c r="BD621" s="246">
        <f>IFERROR(VLOOKUP(N621,VOL_REC[],2,FALSE),0)</f>
        <v>0</v>
      </c>
      <c r="BE621" s="246">
        <f>IFERROR(VLOOKUP(O621,VOL_REC[],2,FALSE),0)</f>
        <v>0</v>
      </c>
      <c r="BF621" s="246">
        <f>IFERROR(VLOOKUP(P621,VOL_REC[],2,FALSE),0)</f>
        <v>0</v>
      </c>
      <c r="BG621" s="246">
        <f>IFERROR(VLOOKUP(Q621,VOL_REC[],2,FALSE),0)</f>
        <v>0</v>
      </c>
      <c r="BH621" s="1710">
        <f t="shared" si="36"/>
        <v>10120204769.284348</v>
      </c>
      <c r="BI621" s="1710">
        <f t="shared" si="37"/>
        <v>13694547745.783602</v>
      </c>
      <c r="BJ621" s="1711">
        <f t="shared" si="38"/>
        <v>17439602.976255577</v>
      </c>
      <c r="BK621" s="1711">
        <f t="shared" si="39"/>
        <v>0.73899517947938409</v>
      </c>
    </row>
    <row r="622" spans="3:67" x14ac:dyDescent="0.25">
      <c r="C622" s="246" t="s">
        <v>1972</v>
      </c>
      <c r="D622" s="246">
        <v>1</v>
      </c>
      <c r="E622" s="246">
        <v>2</v>
      </c>
      <c r="F622" s="246">
        <v>3</v>
      </c>
      <c r="G622" s="246">
        <v>4</v>
      </c>
      <c r="H622" s="246">
        <v>5</v>
      </c>
      <c r="I622" s="246">
        <v>10</v>
      </c>
      <c r="J622" s="246">
        <v>14</v>
      </c>
      <c r="K622" s="246">
        <v>16</v>
      </c>
      <c r="L622" s="246"/>
      <c r="M622" s="246"/>
      <c r="N622" s="246"/>
      <c r="O622" s="246"/>
      <c r="P622" s="246"/>
      <c r="Q622" s="246"/>
      <c r="R622" s="246">
        <f>IFERROR(VLOOKUP(D622,PROGRAMAS[],2,FALSE),0)</f>
        <v>97037803.679377079</v>
      </c>
      <c r="S622" s="246">
        <f>IFERROR(VLOOKUP(E622,PROGRAMAS[],2,FALSE),0)</f>
        <v>640501509.6821388</v>
      </c>
      <c r="T622" s="246">
        <f>IFERROR(VLOOKUP(F622,PROGRAMAS[],2,FALSE),0)</f>
        <v>3062327798.1525245</v>
      </c>
      <c r="U622" s="246">
        <f>IFERROR(VLOOKUP(G622,PROGRAMAS[],2,FALSE),0)</f>
        <v>67697118.033011258</v>
      </c>
      <c r="V622" s="246">
        <f>IFERROR(VLOOKUP(H622,PROGRAMAS[],2,FALSE),0)</f>
        <v>1440941976.2528784</v>
      </c>
      <c r="W622" s="246">
        <f>IFERROR(VLOOKUP(I622,PROGRAMAS[],2,FALSE),0)</f>
        <v>4635315027.8751087</v>
      </c>
      <c r="X622" s="246">
        <f>IFERROR(VLOOKUP(J622,PROGRAMAS[],2,FALSE),0)</f>
        <v>54223862.645839565</v>
      </c>
      <c r="Y622" s="246">
        <f>IFERROR(VLOOKUP(K622,PROGRAMAS[],2,FALSE),0)</f>
        <v>7068496961.0436354</v>
      </c>
      <c r="Z622" s="246">
        <f>IFERROR(VLOOKUP(L622,PROGRAMAS[],2,FALSE),0)</f>
        <v>0</v>
      </c>
      <c r="AA622" s="246">
        <f>IFERROR(VLOOKUP(M622,PROGRAMAS[],2,FALSE),0)</f>
        <v>0</v>
      </c>
      <c r="AB622" s="246">
        <f>IFERROR(VLOOKUP(N622,PROGRAMAS[],2,FALSE),0)</f>
        <v>0</v>
      </c>
      <c r="AC622" s="246">
        <f>IFERROR(VLOOKUP(O622,PROGRAMAS[],2,FALSE),0)</f>
        <v>0</v>
      </c>
      <c r="AD622" s="246">
        <f>IFERROR(VLOOKUP(P622,PROGRAMAS[],2,FALSE),0)</f>
        <v>0</v>
      </c>
      <c r="AE622" s="246">
        <f>IFERROR(VLOOKUP(Q622,PROGRAMAS[],2,FALSE),0)</f>
        <v>0</v>
      </c>
      <c r="AF622" s="246">
        <f>IFERROR(VLOOKUP(D622,PROGRAMAS[],3,FALSE),0)</f>
        <v>841888629.31080008</v>
      </c>
      <c r="AG622" s="246">
        <f>IFERROR(VLOOKUP(E622,PROGRAMAS[],3,FALSE),0)</f>
        <v>3848980803.1642323</v>
      </c>
      <c r="AH622" s="246">
        <f>IFERROR(VLOOKUP(F622,PROGRAMAS[],3,FALSE),0)</f>
        <v>3394901471.387517</v>
      </c>
      <c r="AI622" s="246">
        <f>IFERROR(VLOOKUP(G622,PROGRAMAS[],3,FALSE),0)</f>
        <v>125317226.95549992</v>
      </c>
      <c r="AJ622" s="246">
        <f>IFERROR(VLOOKUP(H622,PROGRAMAS[],3,FALSE),0)</f>
        <v>1233505101.0616004</v>
      </c>
      <c r="AK622" s="246">
        <f>IFERROR(VLOOKUP(I622,PROGRAMAS[],3,FALSE),0)</f>
        <v>4099471734.9978786</v>
      </c>
      <c r="AL622" s="246">
        <f>IFERROR(VLOOKUP(J622,PROGRAMAS[],3,FALSE),0)</f>
        <v>31865326.38096505</v>
      </c>
      <c r="AM622" s="246">
        <f>IFERROR(VLOOKUP(K622,PROGRAMAS[],3,FALSE),0)</f>
        <v>2406564599.0319901</v>
      </c>
      <c r="AN622" s="246">
        <f>IFERROR(VLOOKUP(L622,PROGRAMAS[],3,FALSE),0)</f>
        <v>0</v>
      </c>
      <c r="AO622" s="246">
        <f>IFERROR(VLOOKUP(M622,PROGRAMAS[],3,FALSE),0)</f>
        <v>0</v>
      </c>
      <c r="AP622" s="246">
        <f>IFERROR(VLOOKUP(N622,PROGRAMAS[],3,FALSE),0)</f>
        <v>0</v>
      </c>
      <c r="AQ622" s="246">
        <f>IFERROR(VLOOKUP(O622,PROGRAMAS[],3,FALSE),0)</f>
        <v>0</v>
      </c>
      <c r="AR622" s="246">
        <f>IFERROR(VLOOKUP(P622,PROGRAMAS[],3,FALSE),0)</f>
        <v>0</v>
      </c>
      <c r="AS622" s="246">
        <f>IFERROR(VLOOKUP(Q622,PROGRAMAS[],3,FALSE),0)</f>
        <v>0</v>
      </c>
      <c r="AT622" s="246">
        <f>IFERROR(VLOOKUP(D622,VOL_REC[],2,FALSE),0)</f>
        <v>0</v>
      </c>
      <c r="AU622" s="246">
        <f>IFERROR(VLOOKUP(E622,VOL_REC[],2,FALSE),0)</f>
        <v>0</v>
      </c>
      <c r="AV622" s="246">
        <f>IFERROR(VLOOKUP(F622,VOL_REC[],2,FALSE),0)</f>
        <v>11089674.200000001</v>
      </c>
      <c r="AW622" s="246">
        <f>IFERROR(VLOOKUP(G622,VOL_REC[],2,FALSE),0)</f>
        <v>90439.55</v>
      </c>
      <c r="AX622" s="246">
        <f>IFERROR(VLOOKUP(H622,VOL_REC[],2,FALSE),0)</f>
        <v>4325103.1812214684</v>
      </c>
      <c r="AY622" s="246">
        <f>IFERROR(VLOOKUP(I622,VOL_REC[],2,FALSE),0)</f>
        <v>1812240</v>
      </c>
      <c r="AZ622" s="246">
        <f>IFERROR(VLOOKUP(J622,VOL_REC[],2,FALSE),0)</f>
        <v>17074.045034105649</v>
      </c>
      <c r="BA622" s="246">
        <f>IFERROR(VLOOKUP(K622,VOL_REC[],2,FALSE),0)</f>
        <v>1072354.9981737854</v>
      </c>
      <c r="BB622" s="246">
        <f>IFERROR(VLOOKUP(L622,VOL_REC[],2,FALSE),0)</f>
        <v>0</v>
      </c>
      <c r="BC622" s="246">
        <f>IFERROR(VLOOKUP(M622,VOL_REC[],2,FALSE),0)</f>
        <v>0</v>
      </c>
      <c r="BD622" s="246">
        <f>IFERROR(VLOOKUP(N622,VOL_REC[],2,FALSE),0)</f>
        <v>0</v>
      </c>
      <c r="BE622" s="246">
        <f>IFERROR(VLOOKUP(O622,VOL_REC[],2,FALSE),0)</f>
        <v>0</v>
      </c>
      <c r="BF622" s="246">
        <f>IFERROR(VLOOKUP(P622,VOL_REC[],2,FALSE),0)</f>
        <v>0</v>
      </c>
      <c r="BG622" s="246">
        <f>IFERROR(VLOOKUP(Q622,VOL_REC[],2,FALSE),0)</f>
        <v>0</v>
      </c>
      <c r="BH622" s="1710">
        <f t="shared" si="36"/>
        <v>17066542057.364513</v>
      </c>
      <c r="BI622" s="1710">
        <f t="shared" si="37"/>
        <v>15982494892.290483</v>
      </c>
      <c r="BJ622" s="1711">
        <f t="shared" si="38"/>
        <v>18406885.974429362</v>
      </c>
      <c r="BK622" s="1711">
        <f t="shared" si="39"/>
        <v>1.0678271554209564</v>
      </c>
      <c r="BL622">
        <f>BJ622</f>
        <v>18406885.974429362</v>
      </c>
      <c r="BO622">
        <f>BL622</f>
        <v>18406885.974429362</v>
      </c>
    </row>
    <row r="623" spans="3:67" x14ac:dyDescent="0.25">
      <c r="C623" s="246" t="s">
        <v>1973</v>
      </c>
      <c r="D623" s="246">
        <v>1</v>
      </c>
      <c r="E623" s="246">
        <v>2</v>
      </c>
      <c r="F623" s="246">
        <v>3</v>
      </c>
      <c r="G623" s="246">
        <v>4</v>
      </c>
      <c r="H623" s="246">
        <v>5</v>
      </c>
      <c r="I623" s="246">
        <v>10</v>
      </c>
      <c r="J623" s="246">
        <v>14</v>
      </c>
      <c r="K623" s="246">
        <v>17</v>
      </c>
      <c r="L623" s="246"/>
      <c r="M623" s="246"/>
      <c r="N623" s="246"/>
      <c r="O623" s="246"/>
      <c r="P623" s="246"/>
      <c r="Q623" s="246"/>
      <c r="R623" s="246">
        <f>IFERROR(VLOOKUP(D623,PROGRAMAS[],2,FALSE),0)</f>
        <v>97037803.679377079</v>
      </c>
      <c r="S623" s="246">
        <f>IFERROR(VLOOKUP(E623,PROGRAMAS[],2,FALSE),0)</f>
        <v>640501509.6821388</v>
      </c>
      <c r="T623" s="246">
        <f>IFERROR(VLOOKUP(F623,PROGRAMAS[],2,FALSE),0)</f>
        <v>3062327798.1525245</v>
      </c>
      <c r="U623" s="246">
        <f>IFERROR(VLOOKUP(G623,PROGRAMAS[],2,FALSE),0)</f>
        <v>67697118.033011258</v>
      </c>
      <c r="V623" s="246">
        <f>IFERROR(VLOOKUP(H623,PROGRAMAS[],2,FALSE),0)</f>
        <v>1440941976.2528784</v>
      </c>
      <c r="W623" s="246">
        <f>IFERROR(VLOOKUP(I623,PROGRAMAS[],2,FALSE),0)</f>
        <v>4635315027.8751087</v>
      </c>
      <c r="X623" s="246">
        <f>IFERROR(VLOOKUP(J623,PROGRAMAS[],2,FALSE),0)</f>
        <v>54223862.645839565</v>
      </c>
      <c r="Y623" s="246">
        <f>IFERROR(VLOOKUP(K623,PROGRAMAS[],2,FALSE),0)</f>
        <v>1892779498.5211046</v>
      </c>
      <c r="Z623" s="246">
        <f>IFERROR(VLOOKUP(L623,PROGRAMAS[],2,FALSE),0)</f>
        <v>0</v>
      </c>
      <c r="AA623" s="246">
        <f>IFERROR(VLOOKUP(M623,PROGRAMAS[],2,FALSE),0)</f>
        <v>0</v>
      </c>
      <c r="AB623" s="246">
        <f>IFERROR(VLOOKUP(N623,PROGRAMAS[],2,FALSE),0)</f>
        <v>0</v>
      </c>
      <c r="AC623" s="246">
        <f>IFERROR(VLOOKUP(O623,PROGRAMAS[],2,FALSE),0)</f>
        <v>0</v>
      </c>
      <c r="AD623" s="246">
        <f>IFERROR(VLOOKUP(P623,PROGRAMAS[],2,FALSE),0)</f>
        <v>0</v>
      </c>
      <c r="AE623" s="246">
        <f>IFERROR(VLOOKUP(Q623,PROGRAMAS[],2,FALSE),0)</f>
        <v>0</v>
      </c>
      <c r="AF623" s="246">
        <f>IFERROR(VLOOKUP(D623,PROGRAMAS[],3,FALSE),0)</f>
        <v>841888629.31080008</v>
      </c>
      <c r="AG623" s="246">
        <f>IFERROR(VLOOKUP(E623,PROGRAMAS[],3,FALSE),0)</f>
        <v>3848980803.1642323</v>
      </c>
      <c r="AH623" s="246">
        <f>IFERROR(VLOOKUP(F623,PROGRAMAS[],3,FALSE),0)</f>
        <v>3394901471.387517</v>
      </c>
      <c r="AI623" s="246">
        <f>IFERROR(VLOOKUP(G623,PROGRAMAS[],3,FALSE),0)</f>
        <v>125317226.95549992</v>
      </c>
      <c r="AJ623" s="246">
        <f>IFERROR(VLOOKUP(H623,PROGRAMAS[],3,FALSE),0)</f>
        <v>1233505101.0616004</v>
      </c>
      <c r="AK623" s="246">
        <f>IFERROR(VLOOKUP(I623,PROGRAMAS[],3,FALSE),0)</f>
        <v>4099471734.9978786</v>
      </c>
      <c r="AL623" s="246">
        <f>IFERROR(VLOOKUP(J623,PROGRAMAS[],3,FALSE),0)</f>
        <v>31865326.38096505</v>
      </c>
      <c r="AM623" s="246">
        <f>IFERROR(VLOOKUP(K623,PROGRAMAS[],3,FALSE),0)</f>
        <v>948595847.09039903</v>
      </c>
      <c r="AN623" s="246">
        <f>IFERROR(VLOOKUP(L623,PROGRAMAS[],3,FALSE),0)</f>
        <v>0</v>
      </c>
      <c r="AO623" s="246">
        <f>IFERROR(VLOOKUP(M623,PROGRAMAS[],3,FALSE),0)</f>
        <v>0</v>
      </c>
      <c r="AP623" s="246">
        <f>IFERROR(VLOOKUP(N623,PROGRAMAS[],3,FALSE),0)</f>
        <v>0</v>
      </c>
      <c r="AQ623" s="246">
        <f>IFERROR(VLOOKUP(O623,PROGRAMAS[],3,FALSE),0)</f>
        <v>0</v>
      </c>
      <c r="AR623" s="246">
        <f>IFERROR(VLOOKUP(P623,PROGRAMAS[],3,FALSE),0)</f>
        <v>0</v>
      </c>
      <c r="AS623" s="246">
        <f>IFERROR(VLOOKUP(Q623,PROGRAMAS[],3,FALSE),0)</f>
        <v>0</v>
      </c>
      <c r="AT623" s="246">
        <f>IFERROR(VLOOKUP(D623,VOL_REC[],2,FALSE),0)</f>
        <v>0</v>
      </c>
      <c r="AU623" s="246">
        <f>IFERROR(VLOOKUP(E623,VOL_REC[],2,FALSE),0)</f>
        <v>0</v>
      </c>
      <c r="AV623" s="246">
        <f>IFERROR(VLOOKUP(F623,VOL_REC[],2,FALSE),0)</f>
        <v>11089674.200000001</v>
      </c>
      <c r="AW623" s="246">
        <f>IFERROR(VLOOKUP(G623,VOL_REC[],2,FALSE),0)</f>
        <v>90439.55</v>
      </c>
      <c r="AX623" s="246">
        <f>IFERROR(VLOOKUP(H623,VOL_REC[],2,FALSE),0)</f>
        <v>4325103.1812214684</v>
      </c>
      <c r="AY623" s="246">
        <f>IFERROR(VLOOKUP(I623,VOL_REC[],2,FALSE),0)</f>
        <v>1812240</v>
      </c>
      <c r="AZ623" s="246">
        <f>IFERROR(VLOOKUP(J623,VOL_REC[],2,FALSE),0)</f>
        <v>17074.045034105649</v>
      </c>
      <c r="BA623" s="246">
        <f>IFERROR(VLOOKUP(K623,VOL_REC[],2,FALSE),0)</f>
        <v>740113.98115702497</v>
      </c>
      <c r="BB623" s="246">
        <f>IFERROR(VLOOKUP(L623,VOL_REC[],2,FALSE),0)</f>
        <v>0</v>
      </c>
      <c r="BC623" s="246">
        <f>IFERROR(VLOOKUP(M623,VOL_REC[],2,FALSE),0)</f>
        <v>0</v>
      </c>
      <c r="BD623" s="246">
        <f>IFERROR(VLOOKUP(N623,VOL_REC[],2,FALSE),0)</f>
        <v>0</v>
      </c>
      <c r="BE623" s="246">
        <f>IFERROR(VLOOKUP(O623,VOL_REC[],2,FALSE),0)</f>
        <v>0</v>
      </c>
      <c r="BF623" s="246">
        <f>IFERROR(VLOOKUP(P623,VOL_REC[],2,FALSE),0)</f>
        <v>0</v>
      </c>
      <c r="BG623" s="246">
        <f>IFERROR(VLOOKUP(Q623,VOL_REC[],2,FALSE),0)</f>
        <v>0</v>
      </c>
      <c r="BH623" s="1710">
        <f t="shared" si="36"/>
        <v>11890824594.841984</v>
      </c>
      <c r="BI623" s="1710">
        <f t="shared" si="37"/>
        <v>14524526140.348892</v>
      </c>
      <c r="BJ623" s="1711">
        <f t="shared" si="38"/>
        <v>18074644.957412601</v>
      </c>
      <c r="BK623" s="1711">
        <f t="shared" si="39"/>
        <v>0.81867211914125515</v>
      </c>
    </row>
    <row r="624" spans="3:67" x14ac:dyDescent="0.25">
      <c r="C624" s="246" t="s">
        <v>1974</v>
      </c>
      <c r="D624" s="246">
        <v>1</v>
      </c>
      <c r="E624" s="246">
        <v>2</v>
      </c>
      <c r="F624" s="246">
        <v>3</v>
      </c>
      <c r="G624" s="246">
        <v>4</v>
      </c>
      <c r="H624" s="246">
        <v>5</v>
      </c>
      <c r="I624" s="246">
        <v>10</v>
      </c>
      <c r="J624" s="246">
        <v>15</v>
      </c>
      <c r="K624" s="246">
        <v>16</v>
      </c>
      <c r="L624" s="246"/>
      <c r="M624" s="246"/>
      <c r="N624" s="246"/>
      <c r="O624" s="246"/>
      <c r="P624" s="246"/>
      <c r="Q624" s="246"/>
      <c r="R624" s="246">
        <f>IFERROR(VLOOKUP(D624,PROGRAMAS[],2,FALSE),0)</f>
        <v>97037803.679377079</v>
      </c>
      <c r="S624" s="246">
        <f>IFERROR(VLOOKUP(E624,PROGRAMAS[],2,FALSE),0)</f>
        <v>640501509.6821388</v>
      </c>
      <c r="T624" s="246">
        <f>IFERROR(VLOOKUP(F624,PROGRAMAS[],2,FALSE),0)</f>
        <v>3062327798.1525245</v>
      </c>
      <c r="U624" s="246">
        <f>IFERROR(VLOOKUP(G624,PROGRAMAS[],2,FALSE),0)</f>
        <v>67697118.033011258</v>
      </c>
      <c r="V624" s="246">
        <f>IFERROR(VLOOKUP(H624,PROGRAMAS[],2,FALSE),0)</f>
        <v>1440941976.2528784</v>
      </c>
      <c r="W624" s="246">
        <f>IFERROR(VLOOKUP(I624,PROGRAMAS[],2,FALSE),0)</f>
        <v>4635315027.8751087</v>
      </c>
      <c r="X624" s="246">
        <f>IFERROR(VLOOKUP(J624,PROGRAMAS[],2,FALSE),0)</f>
        <v>122159672.96346797</v>
      </c>
      <c r="Y624" s="246">
        <f>IFERROR(VLOOKUP(K624,PROGRAMAS[],2,FALSE),0)</f>
        <v>7068496961.0436354</v>
      </c>
      <c r="Z624" s="246">
        <f>IFERROR(VLOOKUP(L624,PROGRAMAS[],2,FALSE),0)</f>
        <v>0</v>
      </c>
      <c r="AA624" s="246">
        <f>IFERROR(VLOOKUP(M624,PROGRAMAS[],2,FALSE),0)</f>
        <v>0</v>
      </c>
      <c r="AB624" s="246">
        <f>IFERROR(VLOOKUP(N624,PROGRAMAS[],2,FALSE),0)</f>
        <v>0</v>
      </c>
      <c r="AC624" s="246">
        <f>IFERROR(VLOOKUP(O624,PROGRAMAS[],2,FALSE),0)</f>
        <v>0</v>
      </c>
      <c r="AD624" s="246">
        <f>IFERROR(VLOOKUP(P624,PROGRAMAS[],2,FALSE),0)</f>
        <v>0</v>
      </c>
      <c r="AE624" s="246">
        <f>IFERROR(VLOOKUP(Q624,PROGRAMAS[],2,FALSE),0)</f>
        <v>0</v>
      </c>
      <c r="AF624" s="246">
        <f>IFERROR(VLOOKUP(D624,PROGRAMAS[],3,FALSE),0)</f>
        <v>841888629.31080008</v>
      </c>
      <c r="AG624" s="246">
        <f>IFERROR(VLOOKUP(E624,PROGRAMAS[],3,FALSE),0)</f>
        <v>3848980803.1642323</v>
      </c>
      <c r="AH624" s="246">
        <f>IFERROR(VLOOKUP(F624,PROGRAMAS[],3,FALSE),0)</f>
        <v>3394901471.387517</v>
      </c>
      <c r="AI624" s="246">
        <f>IFERROR(VLOOKUP(G624,PROGRAMAS[],3,FALSE),0)</f>
        <v>125317226.95549992</v>
      </c>
      <c r="AJ624" s="246">
        <f>IFERROR(VLOOKUP(H624,PROGRAMAS[],3,FALSE),0)</f>
        <v>1233505101.0616004</v>
      </c>
      <c r="AK624" s="246">
        <f>IFERROR(VLOOKUP(I624,PROGRAMAS[],3,FALSE),0)</f>
        <v>4099471734.9978786</v>
      </c>
      <c r="AL624" s="246">
        <f>IFERROR(VLOOKUP(J624,PROGRAMAS[],3,FALSE),0)</f>
        <v>118617452.52510804</v>
      </c>
      <c r="AM624" s="246">
        <f>IFERROR(VLOOKUP(K624,PROGRAMAS[],3,FALSE),0)</f>
        <v>2406564599.0319901</v>
      </c>
      <c r="AN624" s="246">
        <f>IFERROR(VLOOKUP(L624,PROGRAMAS[],3,FALSE),0)</f>
        <v>0</v>
      </c>
      <c r="AO624" s="246">
        <f>IFERROR(VLOOKUP(M624,PROGRAMAS[],3,FALSE),0)</f>
        <v>0</v>
      </c>
      <c r="AP624" s="246">
        <f>IFERROR(VLOOKUP(N624,PROGRAMAS[],3,FALSE),0)</f>
        <v>0</v>
      </c>
      <c r="AQ624" s="246">
        <f>IFERROR(VLOOKUP(O624,PROGRAMAS[],3,FALSE),0)</f>
        <v>0</v>
      </c>
      <c r="AR624" s="246">
        <f>IFERROR(VLOOKUP(P624,PROGRAMAS[],3,FALSE),0)</f>
        <v>0</v>
      </c>
      <c r="AS624" s="246">
        <f>IFERROR(VLOOKUP(Q624,PROGRAMAS[],3,FALSE),0)</f>
        <v>0</v>
      </c>
      <c r="AT624" s="246">
        <f>IFERROR(VLOOKUP(D624,VOL_REC[],2,FALSE),0)</f>
        <v>0</v>
      </c>
      <c r="AU624" s="246">
        <f>IFERROR(VLOOKUP(E624,VOL_REC[],2,FALSE),0)</f>
        <v>0</v>
      </c>
      <c r="AV624" s="246">
        <f>IFERROR(VLOOKUP(F624,VOL_REC[],2,FALSE),0)</f>
        <v>11089674.200000001</v>
      </c>
      <c r="AW624" s="246">
        <f>IFERROR(VLOOKUP(G624,VOL_REC[],2,FALSE),0)</f>
        <v>90439.55</v>
      </c>
      <c r="AX624" s="246">
        <f>IFERROR(VLOOKUP(H624,VOL_REC[],2,FALSE),0)</f>
        <v>4325103.1812214684</v>
      </c>
      <c r="AY624" s="246">
        <f>IFERROR(VLOOKUP(I624,VOL_REC[],2,FALSE),0)</f>
        <v>1812240</v>
      </c>
      <c r="AZ624" s="246">
        <f>IFERROR(VLOOKUP(J624,VOL_REC[],2,FALSE),0)</f>
        <v>105072</v>
      </c>
      <c r="BA624" s="246">
        <f>IFERROR(VLOOKUP(K624,VOL_REC[],2,FALSE),0)</f>
        <v>1072354.9981737854</v>
      </c>
      <c r="BB624" s="246">
        <f>IFERROR(VLOOKUP(L624,VOL_REC[],2,FALSE),0)</f>
        <v>0</v>
      </c>
      <c r="BC624" s="246">
        <f>IFERROR(VLOOKUP(M624,VOL_REC[],2,FALSE),0)</f>
        <v>0</v>
      </c>
      <c r="BD624" s="246">
        <f>IFERROR(VLOOKUP(N624,VOL_REC[],2,FALSE),0)</f>
        <v>0</v>
      </c>
      <c r="BE624" s="246">
        <f>IFERROR(VLOOKUP(O624,VOL_REC[],2,FALSE),0)</f>
        <v>0</v>
      </c>
      <c r="BF624" s="246">
        <f>IFERROR(VLOOKUP(P624,VOL_REC[],2,FALSE),0)</f>
        <v>0</v>
      </c>
      <c r="BG624" s="246">
        <f>IFERROR(VLOOKUP(Q624,VOL_REC[],2,FALSE),0)</f>
        <v>0</v>
      </c>
      <c r="BH624" s="1710">
        <f t="shared" si="36"/>
        <v>17134477867.682144</v>
      </c>
      <c r="BI624" s="1710">
        <f t="shared" si="37"/>
        <v>16069247018.434628</v>
      </c>
      <c r="BJ624" s="1711">
        <f t="shared" si="38"/>
        <v>18494883.929395255</v>
      </c>
      <c r="BK624" s="1711">
        <f t="shared" si="39"/>
        <v>1.066290028899642</v>
      </c>
      <c r="BL624">
        <f>BJ624</f>
        <v>18494883.929395255</v>
      </c>
      <c r="BO624">
        <f>BL624</f>
        <v>18494883.929395255</v>
      </c>
    </row>
    <row r="625" spans="3:67" x14ac:dyDescent="0.25">
      <c r="C625" s="246" t="s">
        <v>1975</v>
      </c>
      <c r="D625" s="246">
        <v>1</v>
      </c>
      <c r="E625" s="246">
        <v>2</v>
      </c>
      <c r="F625" s="246">
        <v>3</v>
      </c>
      <c r="G625" s="246">
        <v>4</v>
      </c>
      <c r="H625" s="246">
        <v>5</v>
      </c>
      <c r="I625" s="246">
        <v>10</v>
      </c>
      <c r="J625" s="246">
        <v>15</v>
      </c>
      <c r="K625" s="246">
        <v>17</v>
      </c>
      <c r="L625" s="246"/>
      <c r="M625" s="246"/>
      <c r="N625" s="246"/>
      <c r="O625" s="246"/>
      <c r="P625" s="246"/>
      <c r="Q625" s="246"/>
      <c r="R625" s="246">
        <f>IFERROR(VLOOKUP(D625,PROGRAMAS[],2,FALSE),0)</f>
        <v>97037803.679377079</v>
      </c>
      <c r="S625" s="246">
        <f>IFERROR(VLOOKUP(E625,PROGRAMAS[],2,FALSE),0)</f>
        <v>640501509.6821388</v>
      </c>
      <c r="T625" s="246">
        <f>IFERROR(VLOOKUP(F625,PROGRAMAS[],2,FALSE),0)</f>
        <v>3062327798.1525245</v>
      </c>
      <c r="U625" s="246">
        <f>IFERROR(VLOOKUP(G625,PROGRAMAS[],2,FALSE),0)</f>
        <v>67697118.033011258</v>
      </c>
      <c r="V625" s="246">
        <f>IFERROR(VLOOKUP(H625,PROGRAMAS[],2,FALSE),0)</f>
        <v>1440941976.2528784</v>
      </c>
      <c r="W625" s="246">
        <f>IFERROR(VLOOKUP(I625,PROGRAMAS[],2,FALSE),0)</f>
        <v>4635315027.8751087</v>
      </c>
      <c r="X625" s="246">
        <f>IFERROR(VLOOKUP(J625,PROGRAMAS[],2,FALSE),0)</f>
        <v>122159672.96346797</v>
      </c>
      <c r="Y625" s="246">
        <f>IFERROR(VLOOKUP(K625,PROGRAMAS[],2,FALSE),0)</f>
        <v>1892779498.5211046</v>
      </c>
      <c r="Z625" s="246">
        <f>IFERROR(VLOOKUP(L625,PROGRAMAS[],2,FALSE),0)</f>
        <v>0</v>
      </c>
      <c r="AA625" s="246">
        <f>IFERROR(VLOOKUP(M625,PROGRAMAS[],2,FALSE),0)</f>
        <v>0</v>
      </c>
      <c r="AB625" s="246">
        <f>IFERROR(VLOOKUP(N625,PROGRAMAS[],2,FALSE),0)</f>
        <v>0</v>
      </c>
      <c r="AC625" s="246">
        <f>IFERROR(VLOOKUP(O625,PROGRAMAS[],2,FALSE),0)</f>
        <v>0</v>
      </c>
      <c r="AD625" s="246">
        <f>IFERROR(VLOOKUP(P625,PROGRAMAS[],2,FALSE),0)</f>
        <v>0</v>
      </c>
      <c r="AE625" s="246">
        <f>IFERROR(VLOOKUP(Q625,PROGRAMAS[],2,FALSE),0)</f>
        <v>0</v>
      </c>
      <c r="AF625" s="246">
        <f>IFERROR(VLOOKUP(D625,PROGRAMAS[],3,FALSE),0)</f>
        <v>841888629.31080008</v>
      </c>
      <c r="AG625" s="246">
        <f>IFERROR(VLOOKUP(E625,PROGRAMAS[],3,FALSE),0)</f>
        <v>3848980803.1642323</v>
      </c>
      <c r="AH625" s="246">
        <f>IFERROR(VLOOKUP(F625,PROGRAMAS[],3,FALSE),0)</f>
        <v>3394901471.387517</v>
      </c>
      <c r="AI625" s="246">
        <f>IFERROR(VLOOKUP(G625,PROGRAMAS[],3,FALSE),0)</f>
        <v>125317226.95549992</v>
      </c>
      <c r="AJ625" s="246">
        <f>IFERROR(VLOOKUP(H625,PROGRAMAS[],3,FALSE),0)</f>
        <v>1233505101.0616004</v>
      </c>
      <c r="AK625" s="246">
        <f>IFERROR(VLOOKUP(I625,PROGRAMAS[],3,FALSE),0)</f>
        <v>4099471734.9978786</v>
      </c>
      <c r="AL625" s="246">
        <f>IFERROR(VLOOKUP(J625,PROGRAMAS[],3,FALSE),0)</f>
        <v>118617452.52510804</v>
      </c>
      <c r="AM625" s="246">
        <f>IFERROR(VLOOKUP(K625,PROGRAMAS[],3,FALSE),0)</f>
        <v>948595847.09039903</v>
      </c>
      <c r="AN625" s="246">
        <f>IFERROR(VLOOKUP(L625,PROGRAMAS[],3,FALSE),0)</f>
        <v>0</v>
      </c>
      <c r="AO625" s="246">
        <f>IFERROR(VLOOKUP(M625,PROGRAMAS[],3,FALSE),0)</f>
        <v>0</v>
      </c>
      <c r="AP625" s="246">
        <f>IFERROR(VLOOKUP(N625,PROGRAMAS[],3,FALSE),0)</f>
        <v>0</v>
      </c>
      <c r="AQ625" s="246">
        <f>IFERROR(VLOOKUP(O625,PROGRAMAS[],3,FALSE),0)</f>
        <v>0</v>
      </c>
      <c r="AR625" s="246">
        <f>IFERROR(VLOOKUP(P625,PROGRAMAS[],3,FALSE),0)</f>
        <v>0</v>
      </c>
      <c r="AS625" s="246">
        <f>IFERROR(VLOOKUP(Q625,PROGRAMAS[],3,FALSE),0)</f>
        <v>0</v>
      </c>
      <c r="AT625" s="246">
        <f>IFERROR(VLOOKUP(D625,VOL_REC[],2,FALSE),0)</f>
        <v>0</v>
      </c>
      <c r="AU625" s="246">
        <f>IFERROR(VLOOKUP(E625,VOL_REC[],2,FALSE),0)</f>
        <v>0</v>
      </c>
      <c r="AV625" s="246">
        <f>IFERROR(VLOOKUP(F625,VOL_REC[],2,FALSE),0)</f>
        <v>11089674.200000001</v>
      </c>
      <c r="AW625" s="246">
        <f>IFERROR(VLOOKUP(G625,VOL_REC[],2,FALSE),0)</f>
        <v>90439.55</v>
      </c>
      <c r="AX625" s="246">
        <f>IFERROR(VLOOKUP(H625,VOL_REC[],2,FALSE),0)</f>
        <v>4325103.1812214684</v>
      </c>
      <c r="AY625" s="246">
        <f>IFERROR(VLOOKUP(I625,VOL_REC[],2,FALSE),0)</f>
        <v>1812240</v>
      </c>
      <c r="AZ625" s="246">
        <f>IFERROR(VLOOKUP(J625,VOL_REC[],2,FALSE),0)</f>
        <v>105072</v>
      </c>
      <c r="BA625" s="246">
        <f>IFERROR(VLOOKUP(K625,VOL_REC[],2,FALSE),0)</f>
        <v>740113.98115702497</v>
      </c>
      <c r="BB625" s="246">
        <f>IFERROR(VLOOKUP(L625,VOL_REC[],2,FALSE),0)</f>
        <v>0</v>
      </c>
      <c r="BC625" s="246">
        <f>IFERROR(VLOOKUP(M625,VOL_REC[],2,FALSE),0)</f>
        <v>0</v>
      </c>
      <c r="BD625" s="246">
        <f>IFERROR(VLOOKUP(N625,VOL_REC[],2,FALSE),0)</f>
        <v>0</v>
      </c>
      <c r="BE625" s="246">
        <f>IFERROR(VLOOKUP(O625,VOL_REC[],2,FALSE),0)</f>
        <v>0</v>
      </c>
      <c r="BF625" s="246">
        <f>IFERROR(VLOOKUP(P625,VOL_REC[],2,FALSE),0)</f>
        <v>0</v>
      </c>
      <c r="BG625" s="246">
        <f>IFERROR(VLOOKUP(Q625,VOL_REC[],2,FALSE),0)</f>
        <v>0</v>
      </c>
      <c r="BH625" s="1710">
        <f t="shared" si="36"/>
        <v>11958760405.159613</v>
      </c>
      <c r="BI625" s="1710">
        <f t="shared" si="37"/>
        <v>14611278266.493036</v>
      </c>
      <c r="BJ625" s="1711">
        <f t="shared" si="38"/>
        <v>18162642.912378494</v>
      </c>
      <c r="BK625" s="1711">
        <f t="shared" si="39"/>
        <v>0.81846093045697121</v>
      </c>
    </row>
    <row r="626" spans="3:67" x14ac:dyDescent="0.25">
      <c r="C626" s="246" t="s">
        <v>1976</v>
      </c>
      <c r="D626" s="246">
        <v>1</v>
      </c>
      <c r="E626" s="246">
        <v>2</v>
      </c>
      <c r="F626" s="246">
        <v>3</v>
      </c>
      <c r="G626" s="246">
        <v>4</v>
      </c>
      <c r="H626" s="246">
        <v>5</v>
      </c>
      <c r="I626" s="246">
        <v>10</v>
      </c>
      <c r="J626" s="246">
        <v>16</v>
      </c>
      <c r="K626" s="246">
        <v>17</v>
      </c>
      <c r="L626" s="246"/>
      <c r="M626" s="246"/>
      <c r="N626" s="246"/>
      <c r="O626" s="246"/>
      <c r="P626" s="246"/>
      <c r="Q626" s="246"/>
      <c r="R626" s="246">
        <f>IFERROR(VLOOKUP(D626,PROGRAMAS[],2,FALSE),0)</f>
        <v>97037803.679377079</v>
      </c>
      <c r="S626" s="246">
        <f>IFERROR(VLOOKUP(E626,PROGRAMAS[],2,FALSE),0)</f>
        <v>640501509.6821388</v>
      </c>
      <c r="T626" s="246">
        <f>IFERROR(VLOOKUP(F626,PROGRAMAS[],2,FALSE),0)</f>
        <v>3062327798.1525245</v>
      </c>
      <c r="U626" s="246">
        <f>IFERROR(VLOOKUP(G626,PROGRAMAS[],2,FALSE),0)</f>
        <v>67697118.033011258</v>
      </c>
      <c r="V626" s="246">
        <f>IFERROR(VLOOKUP(H626,PROGRAMAS[],2,FALSE),0)</f>
        <v>1440941976.2528784</v>
      </c>
      <c r="W626" s="246">
        <f>IFERROR(VLOOKUP(I626,PROGRAMAS[],2,FALSE),0)</f>
        <v>4635315027.8751087</v>
      </c>
      <c r="X626" s="246">
        <f>IFERROR(VLOOKUP(J626,PROGRAMAS[],2,FALSE),0)</f>
        <v>7068496961.0436354</v>
      </c>
      <c r="Y626" s="246">
        <f>IFERROR(VLOOKUP(K626,PROGRAMAS[],2,FALSE),0)</f>
        <v>1892779498.5211046</v>
      </c>
      <c r="Z626" s="246">
        <f>IFERROR(VLOOKUP(L626,PROGRAMAS[],2,FALSE),0)</f>
        <v>0</v>
      </c>
      <c r="AA626" s="246">
        <f>IFERROR(VLOOKUP(M626,PROGRAMAS[],2,FALSE),0)</f>
        <v>0</v>
      </c>
      <c r="AB626" s="246">
        <f>IFERROR(VLOOKUP(N626,PROGRAMAS[],2,FALSE),0)</f>
        <v>0</v>
      </c>
      <c r="AC626" s="246">
        <f>IFERROR(VLOOKUP(O626,PROGRAMAS[],2,FALSE),0)</f>
        <v>0</v>
      </c>
      <c r="AD626" s="246">
        <f>IFERROR(VLOOKUP(P626,PROGRAMAS[],2,FALSE),0)</f>
        <v>0</v>
      </c>
      <c r="AE626" s="246">
        <f>IFERROR(VLOOKUP(Q626,PROGRAMAS[],2,FALSE),0)</f>
        <v>0</v>
      </c>
      <c r="AF626" s="246">
        <f>IFERROR(VLOOKUP(D626,PROGRAMAS[],3,FALSE),0)</f>
        <v>841888629.31080008</v>
      </c>
      <c r="AG626" s="246">
        <f>IFERROR(VLOOKUP(E626,PROGRAMAS[],3,FALSE),0)</f>
        <v>3848980803.1642323</v>
      </c>
      <c r="AH626" s="246">
        <f>IFERROR(VLOOKUP(F626,PROGRAMAS[],3,FALSE),0)</f>
        <v>3394901471.387517</v>
      </c>
      <c r="AI626" s="246">
        <f>IFERROR(VLOOKUP(G626,PROGRAMAS[],3,FALSE),0)</f>
        <v>125317226.95549992</v>
      </c>
      <c r="AJ626" s="246">
        <f>IFERROR(VLOOKUP(H626,PROGRAMAS[],3,FALSE),0)</f>
        <v>1233505101.0616004</v>
      </c>
      <c r="AK626" s="246">
        <f>IFERROR(VLOOKUP(I626,PROGRAMAS[],3,FALSE),0)</f>
        <v>4099471734.9978786</v>
      </c>
      <c r="AL626" s="246">
        <f>IFERROR(VLOOKUP(J626,PROGRAMAS[],3,FALSE),0)</f>
        <v>2406564599.0319901</v>
      </c>
      <c r="AM626" s="246">
        <f>IFERROR(VLOOKUP(K626,PROGRAMAS[],3,FALSE),0)</f>
        <v>948595847.09039903</v>
      </c>
      <c r="AN626" s="246">
        <f>IFERROR(VLOOKUP(L626,PROGRAMAS[],3,FALSE),0)</f>
        <v>0</v>
      </c>
      <c r="AO626" s="246">
        <f>IFERROR(VLOOKUP(M626,PROGRAMAS[],3,FALSE),0)</f>
        <v>0</v>
      </c>
      <c r="AP626" s="246">
        <f>IFERROR(VLOOKUP(N626,PROGRAMAS[],3,FALSE),0)</f>
        <v>0</v>
      </c>
      <c r="AQ626" s="246">
        <f>IFERROR(VLOOKUP(O626,PROGRAMAS[],3,FALSE),0)</f>
        <v>0</v>
      </c>
      <c r="AR626" s="246">
        <f>IFERROR(VLOOKUP(P626,PROGRAMAS[],3,FALSE),0)</f>
        <v>0</v>
      </c>
      <c r="AS626" s="246">
        <f>IFERROR(VLOOKUP(Q626,PROGRAMAS[],3,FALSE),0)</f>
        <v>0</v>
      </c>
      <c r="AT626" s="246">
        <f>IFERROR(VLOOKUP(D626,VOL_REC[],2,FALSE),0)</f>
        <v>0</v>
      </c>
      <c r="AU626" s="246">
        <f>IFERROR(VLOOKUP(E626,VOL_REC[],2,FALSE),0)</f>
        <v>0</v>
      </c>
      <c r="AV626" s="246">
        <f>IFERROR(VLOOKUP(F626,VOL_REC[],2,FALSE),0)</f>
        <v>11089674.200000001</v>
      </c>
      <c r="AW626" s="246">
        <f>IFERROR(VLOOKUP(G626,VOL_REC[],2,FALSE),0)</f>
        <v>90439.55</v>
      </c>
      <c r="AX626" s="246">
        <f>IFERROR(VLOOKUP(H626,VOL_REC[],2,FALSE),0)</f>
        <v>4325103.1812214684</v>
      </c>
      <c r="AY626" s="246">
        <f>IFERROR(VLOOKUP(I626,VOL_REC[],2,FALSE),0)</f>
        <v>1812240</v>
      </c>
      <c r="AZ626" s="246">
        <f>IFERROR(VLOOKUP(J626,VOL_REC[],2,FALSE),0)</f>
        <v>1072354.9981737854</v>
      </c>
      <c r="BA626" s="246">
        <f>IFERROR(VLOOKUP(K626,VOL_REC[],2,FALSE),0)</f>
        <v>740113.98115702497</v>
      </c>
      <c r="BB626" s="246">
        <f>IFERROR(VLOOKUP(L626,VOL_REC[],2,FALSE),0)</f>
        <v>0</v>
      </c>
      <c r="BC626" s="246">
        <f>IFERROR(VLOOKUP(M626,VOL_REC[],2,FALSE),0)</f>
        <v>0</v>
      </c>
      <c r="BD626" s="246">
        <f>IFERROR(VLOOKUP(N626,VOL_REC[],2,FALSE),0)</f>
        <v>0</v>
      </c>
      <c r="BE626" s="246">
        <f>IFERROR(VLOOKUP(O626,VOL_REC[],2,FALSE),0)</f>
        <v>0</v>
      </c>
      <c r="BF626" s="246">
        <f>IFERROR(VLOOKUP(P626,VOL_REC[],2,FALSE),0)</f>
        <v>0</v>
      </c>
      <c r="BG626" s="246">
        <f>IFERROR(VLOOKUP(Q626,VOL_REC[],2,FALSE),0)</f>
        <v>0</v>
      </c>
      <c r="BH626" s="1710">
        <f t="shared" si="36"/>
        <v>18905097693.239777</v>
      </c>
      <c r="BI626" s="1710">
        <f t="shared" si="37"/>
        <v>16899225412.999918</v>
      </c>
      <c r="BJ626" s="1711">
        <f t="shared" si="38"/>
        <v>19129925.910552278</v>
      </c>
      <c r="BK626" s="1711">
        <f t="shared" si="39"/>
        <v>1.1186961077338384</v>
      </c>
      <c r="BL626">
        <f>BJ626</f>
        <v>19129925.910552278</v>
      </c>
      <c r="BO626">
        <f>BL626</f>
        <v>19129925.910552278</v>
      </c>
    </row>
    <row r="627" spans="3:67" x14ac:dyDescent="0.25">
      <c r="C627" s="246" t="s">
        <v>1977</v>
      </c>
      <c r="D627" s="246">
        <v>1</v>
      </c>
      <c r="E627" s="246">
        <v>2</v>
      </c>
      <c r="F627" s="246">
        <v>3</v>
      </c>
      <c r="G627" s="246">
        <v>4</v>
      </c>
      <c r="H627" s="246">
        <v>5</v>
      </c>
      <c r="I627" s="246">
        <v>12</v>
      </c>
      <c r="J627" s="246">
        <v>13</v>
      </c>
      <c r="K627" s="246">
        <v>14</v>
      </c>
      <c r="L627" s="246"/>
      <c r="M627" s="246"/>
      <c r="N627" s="246"/>
      <c r="O627" s="246"/>
      <c r="P627" s="246"/>
      <c r="Q627" s="246"/>
      <c r="R627" s="246">
        <f>IFERROR(VLOOKUP(D627,PROGRAMAS[],2,FALSE),0)</f>
        <v>97037803.679377079</v>
      </c>
      <c r="S627" s="246">
        <f>IFERROR(VLOOKUP(E627,PROGRAMAS[],2,FALSE),0)</f>
        <v>640501509.6821388</v>
      </c>
      <c r="T627" s="246">
        <f>IFERROR(VLOOKUP(F627,PROGRAMAS[],2,FALSE),0)</f>
        <v>3062327798.1525245</v>
      </c>
      <c r="U627" s="246">
        <f>IFERROR(VLOOKUP(G627,PROGRAMAS[],2,FALSE),0)</f>
        <v>67697118.033011258</v>
      </c>
      <c r="V627" s="246">
        <f>IFERROR(VLOOKUP(H627,PROGRAMAS[],2,FALSE),0)</f>
        <v>1440941976.2528784</v>
      </c>
      <c r="W627" s="246">
        <f>IFERROR(VLOOKUP(I627,PROGRAMAS[],2,FALSE),0)</f>
        <v>764796700.79905891</v>
      </c>
      <c r="X627" s="246">
        <f>IFERROR(VLOOKUP(J627,PROGRAMAS[],2,FALSE),0)</f>
        <v>3776538594.4604583</v>
      </c>
      <c r="Y627" s="246">
        <f>IFERROR(VLOOKUP(K627,PROGRAMAS[],2,FALSE),0)</f>
        <v>54223862.645839565</v>
      </c>
      <c r="Z627" s="246">
        <f>IFERROR(VLOOKUP(L627,PROGRAMAS[],2,FALSE),0)</f>
        <v>0</v>
      </c>
      <c r="AA627" s="246">
        <f>IFERROR(VLOOKUP(M627,PROGRAMAS[],2,FALSE),0)</f>
        <v>0</v>
      </c>
      <c r="AB627" s="246">
        <f>IFERROR(VLOOKUP(N627,PROGRAMAS[],2,FALSE),0)</f>
        <v>0</v>
      </c>
      <c r="AC627" s="246">
        <f>IFERROR(VLOOKUP(O627,PROGRAMAS[],2,FALSE),0)</f>
        <v>0</v>
      </c>
      <c r="AD627" s="246">
        <f>IFERROR(VLOOKUP(P627,PROGRAMAS[],2,FALSE),0)</f>
        <v>0</v>
      </c>
      <c r="AE627" s="246">
        <f>IFERROR(VLOOKUP(Q627,PROGRAMAS[],2,FALSE),0)</f>
        <v>0</v>
      </c>
      <c r="AF627" s="246">
        <f>IFERROR(VLOOKUP(D627,PROGRAMAS[],3,FALSE),0)</f>
        <v>841888629.31080008</v>
      </c>
      <c r="AG627" s="246">
        <f>IFERROR(VLOOKUP(E627,PROGRAMAS[],3,FALSE),0)</f>
        <v>3848980803.1642323</v>
      </c>
      <c r="AH627" s="246">
        <f>IFERROR(VLOOKUP(F627,PROGRAMAS[],3,FALSE),0)</f>
        <v>3394901471.387517</v>
      </c>
      <c r="AI627" s="246">
        <f>IFERROR(VLOOKUP(G627,PROGRAMAS[],3,FALSE),0)</f>
        <v>125317226.95549992</v>
      </c>
      <c r="AJ627" s="246">
        <f>IFERROR(VLOOKUP(H627,PROGRAMAS[],3,FALSE),0)</f>
        <v>1233505101.0616004</v>
      </c>
      <c r="AK627" s="246">
        <f>IFERROR(VLOOKUP(I627,PROGRAMAS[],3,FALSE),0)</f>
        <v>675517840.109828</v>
      </c>
      <c r="AL627" s="246">
        <f>IFERROR(VLOOKUP(J627,PROGRAMAS[],3,FALSE),0)</f>
        <v>2392571243.5584412</v>
      </c>
      <c r="AM627" s="246">
        <f>IFERROR(VLOOKUP(K627,PROGRAMAS[],3,FALSE),0)</f>
        <v>31865326.38096505</v>
      </c>
      <c r="AN627" s="246">
        <f>IFERROR(VLOOKUP(L627,PROGRAMAS[],3,FALSE),0)</f>
        <v>0</v>
      </c>
      <c r="AO627" s="246">
        <f>IFERROR(VLOOKUP(M627,PROGRAMAS[],3,FALSE),0)</f>
        <v>0</v>
      </c>
      <c r="AP627" s="246">
        <f>IFERROR(VLOOKUP(N627,PROGRAMAS[],3,FALSE),0)</f>
        <v>0</v>
      </c>
      <c r="AQ627" s="246">
        <f>IFERROR(VLOOKUP(O627,PROGRAMAS[],3,FALSE),0)</f>
        <v>0</v>
      </c>
      <c r="AR627" s="246">
        <f>IFERROR(VLOOKUP(P627,PROGRAMAS[],3,FALSE),0)</f>
        <v>0</v>
      </c>
      <c r="AS627" s="246">
        <f>IFERROR(VLOOKUP(Q627,PROGRAMAS[],3,FALSE),0)</f>
        <v>0</v>
      </c>
      <c r="AT627" s="246">
        <f>IFERROR(VLOOKUP(D627,VOL_REC[],2,FALSE),0)</f>
        <v>0</v>
      </c>
      <c r="AU627" s="246">
        <f>IFERROR(VLOOKUP(E627,VOL_REC[],2,FALSE),0)</f>
        <v>0</v>
      </c>
      <c r="AV627" s="246">
        <f>IFERROR(VLOOKUP(F627,VOL_REC[],2,FALSE),0)</f>
        <v>11089674.200000001</v>
      </c>
      <c r="AW627" s="246">
        <f>IFERROR(VLOOKUP(G627,VOL_REC[],2,FALSE),0)</f>
        <v>90439.55</v>
      </c>
      <c r="AX627" s="246">
        <f>IFERROR(VLOOKUP(H627,VOL_REC[],2,FALSE),0)</f>
        <v>4325103.1812214684</v>
      </c>
      <c r="AY627" s="246">
        <f>IFERROR(VLOOKUP(I627,VOL_REC[],2,FALSE),0)</f>
        <v>240696.79238099116</v>
      </c>
      <c r="AZ627" s="246">
        <f>IFERROR(VLOOKUP(J627,VOL_REC[],2,FALSE),0)</f>
        <v>663244.80000000016</v>
      </c>
      <c r="BA627" s="246">
        <f>IFERROR(VLOOKUP(K627,VOL_REC[],2,FALSE),0)</f>
        <v>17074.045034105649</v>
      </c>
      <c r="BB627" s="246">
        <f>IFERROR(VLOOKUP(L627,VOL_REC[],2,FALSE),0)</f>
        <v>0</v>
      </c>
      <c r="BC627" s="246">
        <f>IFERROR(VLOOKUP(M627,VOL_REC[],2,FALSE),0)</f>
        <v>0</v>
      </c>
      <c r="BD627" s="246">
        <f>IFERROR(VLOOKUP(N627,VOL_REC[],2,FALSE),0)</f>
        <v>0</v>
      </c>
      <c r="BE627" s="246">
        <f>IFERROR(VLOOKUP(O627,VOL_REC[],2,FALSE),0)</f>
        <v>0</v>
      </c>
      <c r="BF627" s="246">
        <f>IFERROR(VLOOKUP(P627,VOL_REC[],2,FALSE),0)</f>
        <v>0</v>
      </c>
      <c r="BG627" s="246">
        <f>IFERROR(VLOOKUP(Q627,VOL_REC[],2,FALSE),0)</f>
        <v>0</v>
      </c>
      <c r="BH627" s="1710">
        <f t="shared" si="36"/>
        <v>9904065363.7052879</v>
      </c>
      <c r="BI627" s="1710">
        <f t="shared" si="37"/>
        <v>12544547641.928885</v>
      </c>
      <c r="BJ627" s="1711">
        <f t="shared" si="38"/>
        <v>16426232.568636566</v>
      </c>
      <c r="BK627" s="1711">
        <f t="shared" si="39"/>
        <v>0.78951155883867419</v>
      </c>
    </row>
    <row r="628" spans="3:67" x14ac:dyDescent="0.25">
      <c r="C628" s="246" t="s">
        <v>1978</v>
      </c>
      <c r="D628" s="246">
        <v>1</v>
      </c>
      <c r="E628" s="246">
        <v>2</v>
      </c>
      <c r="F628" s="246">
        <v>3</v>
      </c>
      <c r="G628" s="246">
        <v>4</v>
      </c>
      <c r="H628" s="246">
        <v>5</v>
      </c>
      <c r="I628" s="246">
        <v>12</v>
      </c>
      <c r="J628" s="246">
        <v>13</v>
      </c>
      <c r="K628" s="246">
        <v>15</v>
      </c>
      <c r="L628" s="246"/>
      <c r="M628" s="246"/>
      <c r="N628" s="246"/>
      <c r="O628" s="246"/>
      <c r="P628" s="246"/>
      <c r="Q628" s="246"/>
      <c r="R628" s="246">
        <f>IFERROR(VLOOKUP(D628,PROGRAMAS[],2,FALSE),0)</f>
        <v>97037803.679377079</v>
      </c>
      <c r="S628" s="246">
        <f>IFERROR(VLOOKUP(E628,PROGRAMAS[],2,FALSE),0)</f>
        <v>640501509.6821388</v>
      </c>
      <c r="T628" s="246">
        <f>IFERROR(VLOOKUP(F628,PROGRAMAS[],2,FALSE),0)</f>
        <v>3062327798.1525245</v>
      </c>
      <c r="U628" s="246">
        <f>IFERROR(VLOOKUP(G628,PROGRAMAS[],2,FALSE),0)</f>
        <v>67697118.033011258</v>
      </c>
      <c r="V628" s="246">
        <f>IFERROR(VLOOKUP(H628,PROGRAMAS[],2,FALSE),0)</f>
        <v>1440941976.2528784</v>
      </c>
      <c r="W628" s="246">
        <f>IFERROR(VLOOKUP(I628,PROGRAMAS[],2,FALSE),0)</f>
        <v>764796700.79905891</v>
      </c>
      <c r="X628" s="246">
        <f>IFERROR(VLOOKUP(J628,PROGRAMAS[],2,FALSE),0)</f>
        <v>3776538594.4604583</v>
      </c>
      <c r="Y628" s="246">
        <f>IFERROR(VLOOKUP(K628,PROGRAMAS[],2,FALSE),0)</f>
        <v>122159672.96346797</v>
      </c>
      <c r="Z628" s="246">
        <f>IFERROR(VLOOKUP(L628,PROGRAMAS[],2,FALSE),0)</f>
        <v>0</v>
      </c>
      <c r="AA628" s="246">
        <f>IFERROR(VLOOKUP(M628,PROGRAMAS[],2,FALSE),0)</f>
        <v>0</v>
      </c>
      <c r="AB628" s="246">
        <f>IFERROR(VLOOKUP(N628,PROGRAMAS[],2,FALSE),0)</f>
        <v>0</v>
      </c>
      <c r="AC628" s="246">
        <f>IFERROR(VLOOKUP(O628,PROGRAMAS[],2,FALSE),0)</f>
        <v>0</v>
      </c>
      <c r="AD628" s="246">
        <f>IFERROR(VLOOKUP(P628,PROGRAMAS[],2,FALSE),0)</f>
        <v>0</v>
      </c>
      <c r="AE628" s="246">
        <f>IFERROR(VLOOKUP(Q628,PROGRAMAS[],2,FALSE),0)</f>
        <v>0</v>
      </c>
      <c r="AF628" s="246">
        <f>IFERROR(VLOOKUP(D628,PROGRAMAS[],3,FALSE),0)</f>
        <v>841888629.31080008</v>
      </c>
      <c r="AG628" s="246">
        <f>IFERROR(VLOOKUP(E628,PROGRAMAS[],3,FALSE),0)</f>
        <v>3848980803.1642323</v>
      </c>
      <c r="AH628" s="246">
        <f>IFERROR(VLOOKUP(F628,PROGRAMAS[],3,FALSE),0)</f>
        <v>3394901471.387517</v>
      </c>
      <c r="AI628" s="246">
        <f>IFERROR(VLOOKUP(G628,PROGRAMAS[],3,FALSE),0)</f>
        <v>125317226.95549992</v>
      </c>
      <c r="AJ628" s="246">
        <f>IFERROR(VLOOKUP(H628,PROGRAMAS[],3,FALSE),0)</f>
        <v>1233505101.0616004</v>
      </c>
      <c r="AK628" s="246">
        <f>IFERROR(VLOOKUP(I628,PROGRAMAS[],3,FALSE),0)</f>
        <v>675517840.109828</v>
      </c>
      <c r="AL628" s="246">
        <f>IFERROR(VLOOKUP(J628,PROGRAMAS[],3,FALSE),0)</f>
        <v>2392571243.5584412</v>
      </c>
      <c r="AM628" s="246">
        <f>IFERROR(VLOOKUP(K628,PROGRAMAS[],3,FALSE),0)</f>
        <v>118617452.52510804</v>
      </c>
      <c r="AN628" s="246">
        <f>IFERROR(VLOOKUP(L628,PROGRAMAS[],3,FALSE),0)</f>
        <v>0</v>
      </c>
      <c r="AO628" s="246">
        <f>IFERROR(VLOOKUP(M628,PROGRAMAS[],3,FALSE),0)</f>
        <v>0</v>
      </c>
      <c r="AP628" s="246">
        <f>IFERROR(VLOOKUP(N628,PROGRAMAS[],3,FALSE),0)</f>
        <v>0</v>
      </c>
      <c r="AQ628" s="246">
        <f>IFERROR(VLOOKUP(O628,PROGRAMAS[],3,FALSE),0)</f>
        <v>0</v>
      </c>
      <c r="AR628" s="246">
        <f>IFERROR(VLOOKUP(P628,PROGRAMAS[],3,FALSE),0)</f>
        <v>0</v>
      </c>
      <c r="AS628" s="246">
        <f>IFERROR(VLOOKUP(Q628,PROGRAMAS[],3,FALSE),0)</f>
        <v>0</v>
      </c>
      <c r="AT628" s="246">
        <f>IFERROR(VLOOKUP(D628,VOL_REC[],2,FALSE),0)</f>
        <v>0</v>
      </c>
      <c r="AU628" s="246">
        <f>IFERROR(VLOOKUP(E628,VOL_REC[],2,FALSE),0)</f>
        <v>0</v>
      </c>
      <c r="AV628" s="246">
        <f>IFERROR(VLOOKUP(F628,VOL_REC[],2,FALSE),0)</f>
        <v>11089674.200000001</v>
      </c>
      <c r="AW628" s="246">
        <f>IFERROR(VLOOKUP(G628,VOL_REC[],2,FALSE),0)</f>
        <v>90439.55</v>
      </c>
      <c r="AX628" s="246">
        <f>IFERROR(VLOOKUP(H628,VOL_REC[],2,FALSE),0)</f>
        <v>4325103.1812214684</v>
      </c>
      <c r="AY628" s="246">
        <f>IFERROR(VLOOKUP(I628,VOL_REC[],2,FALSE),0)</f>
        <v>240696.79238099116</v>
      </c>
      <c r="AZ628" s="246">
        <f>IFERROR(VLOOKUP(J628,VOL_REC[],2,FALSE),0)</f>
        <v>663244.80000000016</v>
      </c>
      <c r="BA628" s="246">
        <f>IFERROR(VLOOKUP(K628,VOL_REC[],2,FALSE),0)</f>
        <v>105072</v>
      </c>
      <c r="BB628" s="246">
        <f>IFERROR(VLOOKUP(L628,VOL_REC[],2,FALSE),0)</f>
        <v>0</v>
      </c>
      <c r="BC628" s="246">
        <f>IFERROR(VLOOKUP(M628,VOL_REC[],2,FALSE),0)</f>
        <v>0</v>
      </c>
      <c r="BD628" s="246">
        <f>IFERROR(VLOOKUP(N628,VOL_REC[],2,FALSE),0)</f>
        <v>0</v>
      </c>
      <c r="BE628" s="246">
        <f>IFERROR(VLOOKUP(O628,VOL_REC[],2,FALSE),0)</f>
        <v>0</v>
      </c>
      <c r="BF628" s="246">
        <f>IFERROR(VLOOKUP(P628,VOL_REC[],2,FALSE),0)</f>
        <v>0</v>
      </c>
      <c r="BG628" s="246">
        <f>IFERROR(VLOOKUP(Q628,VOL_REC[],2,FALSE),0)</f>
        <v>0</v>
      </c>
      <c r="BH628" s="1710">
        <f t="shared" si="36"/>
        <v>9972001174.0229168</v>
      </c>
      <c r="BI628" s="1710">
        <f t="shared" si="37"/>
        <v>12631299768.073029</v>
      </c>
      <c r="BJ628" s="1711">
        <f t="shared" si="38"/>
        <v>16514230.523602461</v>
      </c>
      <c r="BK628" s="1711">
        <f t="shared" si="39"/>
        <v>0.78946754151367893</v>
      </c>
    </row>
    <row r="629" spans="3:67" x14ac:dyDescent="0.25">
      <c r="C629" s="246" t="s">
        <v>1979</v>
      </c>
      <c r="D629" s="246">
        <v>1</v>
      </c>
      <c r="E629" s="246">
        <v>2</v>
      </c>
      <c r="F629" s="246">
        <v>3</v>
      </c>
      <c r="G629" s="246">
        <v>4</v>
      </c>
      <c r="H629" s="246">
        <v>5</v>
      </c>
      <c r="I629" s="246">
        <v>12</v>
      </c>
      <c r="J629" s="246">
        <v>13</v>
      </c>
      <c r="K629" s="246">
        <v>16</v>
      </c>
      <c r="L629" s="246"/>
      <c r="M629" s="246"/>
      <c r="N629" s="246"/>
      <c r="O629" s="246"/>
      <c r="P629" s="246"/>
      <c r="Q629" s="246"/>
      <c r="R629" s="246">
        <f>IFERROR(VLOOKUP(D629,PROGRAMAS[],2,FALSE),0)</f>
        <v>97037803.679377079</v>
      </c>
      <c r="S629" s="246">
        <f>IFERROR(VLOOKUP(E629,PROGRAMAS[],2,FALSE),0)</f>
        <v>640501509.6821388</v>
      </c>
      <c r="T629" s="246">
        <f>IFERROR(VLOOKUP(F629,PROGRAMAS[],2,FALSE),0)</f>
        <v>3062327798.1525245</v>
      </c>
      <c r="U629" s="246">
        <f>IFERROR(VLOOKUP(G629,PROGRAMAS[],2,FALSE),0)</f>
        <v>67697118.033011258</v>
      </c>
      <c r="V629" s="246">
        <f>IFERROR(VLOOKUP(H629,PROGRAMAS[],2,FALSE),0)</f>
        <v>1440941976.2528784</v>
      </c>
      <c r="W629" s="246">
        <f>IFERROR(VLOOKUP(I629,PROGRAMAS[],2,FALSE),0)</f>
        <v>764796700.79905891</v>
      </c>
      <c r="X629" s="246">
        <f>IFERROR(VLOOKUP(J629,PROGRAMAS[],2,FALSE),0)</f>
        <v>3776538594.4604583</v>
      </c>
      <c r="Y629" s="246">
        <f>IFERROR(VLOOKUP(K629,PROGRAMAS[],2,FALSE),0)</f>
        <v>7068496961.0436354</v>
      </c>
      <c r="Z629" s="246">
        <f>IFERROR(VLOOKUP(L629,PROGRAMAS[],2,FALSE),0)</f>
        <v>0</v>
      </c>
      <c r="AA629" s="246">
        <f>IFERROR(VLOOKUP(M629,PROGRAMAS[],2,FALSE),0)</f>
        <v>0</v>
      </c>
      <c r="AB629" s="246">
        <f>IFERROR(VLOOKUP(N629,PROGRAMAS[],2,FALSE),0)</f>
        <v>0</v>
      </c>
      <c r="AC629" s="246">
        <f>IFERROR(VLOOKUP(O629,PROGRAMAS[],2,FALSE),0)</f>
        <v>0</v>
      </c>
      <c r="AD629" s="246">
        <f>IFERROR(VLOOKUP(P629,PROGRAMAS[],2,FALSE),0)</f>
        <v>0</v>
      </c>
      <c r="AE629" s="246">
        <f>IFERROR(VLOOKUP(Q629,PROGRAMAS[],2,FALSE),0)</f>
        <v>0</v>
      </c>
      <c r="AF629" s="246">
        <f>IFERROR(VLOOKUP(D629,PROGRAMAS[],3,FALSE),0)</f>
        <v>841888629.31080008</v>
      </c>
      <c r="AG629" s="246">
        <f>IFERROR(VLOOKUP(E629,PROGRAMAS[],3,FALSE),0)</f>
        <v>3848980803.1642323</v>
      </c>
      <c r="AH629" s="246">
        <f>IFERROR(VLOOKUP(F629,PROGRAMAS[],3,FALSE),0)</f>
        <v>3394901471.387517</v>
      </c>
      <c r="AI629" s="246">
        <f>IFERROR(VLOOKUP(G629,PROGRAMAS[],3,FALSE),0)</f>
        <v>125317226.95549992</v>
      </c>
      <c r="AJ629" s="246">
        <f>IFERROR(VLOOKUP(H629,PROGRAMAS[],3,FALSE),0)</f>
        <v>1233505101.0616004</v>
      </c>
      <c r="AK629" s="246">
        <f>IFERROR(VLOOKUP(I629,PROGRAMAS[],3,FALSE),0)</f>
        <v>675517840.109828</v>
      </c>
      <c r="AL629" s="246">
        <f>IFERROR(VLOOKUP(J629,PROGRAMAS[],3,FALSE),0)</f>
        <v>2392571243.5584412</v>
      </c>
      <c r="AM629" s="246">
        <f>IFERROR(VLOOKUP(K629,PROGRAMAS[],3,FALSE),0)</f>
        <v>2406564599.0319901</v>
      </c>
      <c r="AN629" s="246">
        <f>IFERROR(VLOOKUP(L629,PROGRAMAS[],3,FALSE),0)</f>
        <v>0</v>
      </c>
      <c r="AO629" s="246">
        <f>IFERROR(VLOOKUP(M629,PROGRAMAS[],3,FALSE),0)</f>
        <v>0</v>
      </c>
      <c r="AP629" s="246">
        <f>IFERROR(VLOOKUP(N629,PROGRAMAS[],3,FALSE),0)</f>
        <v>0</v>
      </c>
      <c r="AQ629" s="246">
        <f>IFERROR(VLOOKUP(O629,PROGRAMAS[],3,FALSE),0)</f>
        <v>0</v>
      </c>
      <c r="AR629" s="246">
        <f>IFERROR(VLOOKUP(P629,PROGRAMAS[],3,FALSE),0)</f>
        <v>0</v>
      </c>
      <c r="AS629" s="246">
        <f>IFERROR(VLOOKUP(Q629,PROGRAMAS[],3,FALSE),0)</f>
        <v>0</v>
      </c>
      <c r="AT629" s="246">
        <f>IFERROR(VLOOKUP(D629,VOL_REC[],2,FALSE),0)</f>
        <v>0</v>
      </c>
      <c r="AU629" s="246">
        <f>IFERROR(VLOOKUP(E629,VOL_REC[],2,FALSE),0)</f>
        <v>0</v>
      </c>
      <c r="AV629" s="246">
        <f>IFERROR(VLOOKUP(F629,VOL_REC[],2,FALSE),0)</f>
        <v>11089674.200000001</v>
      </c>
      <c r="AW629" s="246">
        <f>IFERROR(VLOOKUP(G629,VOL_REC[],2,FALSE),0)</f>
        <v>90439.55</v>
      </c>
      <c r="AX629" s="246">
        <f>IFERROR(VLOOKUP(H629,VOL_REC[],2,FALSE),0)</f>
        <v>4325103.1812214684</v>
      </c>
      <c r="AY629" s="246">
        <f>IFERROR(VLOOKUP(I629,VOL_REC[],2,FALSE),0)</f>
        <v>240696.79238099116</v>
      </c>
      <c r="AZ629" s="246">
        <f>IFERROR(VLOOKUP(J629,VOL_REC[],2,FALSE),0)</f>
        <v>663244.80000000016</v>
      </c>
      <c r="BA629" s="246">
        <f>IFERROR(VLOOKUP(K629,VOL_REC[],2,FALSE),0)</f>
        <v>1072354.9981737854</v>
      </c>
      <c r="BB629" s="246">
        <f>IFERROR(VLOOKUP(L629,VOL_REC[],2,FALSE),0)</f>
        <v>0</v>
      </c>
      <c r="BC629" s="246">
        <f>IFERROR(VLOOKUP(M629,VOL_REC[],2,FALSE),0)</f>
        <v>0</v>
      </c>
      <c r="BD629" s="246">
        <f>IFERROR(VLOOKUP(N629,VOL_REC[],2,FALSE),0)</f>
        <v>0</v>
      </c>
      <c r="BE629" s="246">
        <f>IFERROR(VLOOKUP(O629,VOL_REC[],2,FALSE),0)</f>
        <v>0</v>
      </c>
      <c r="BF629" s="246">
        <f>IFERROR(VLOOKUP(P629,VOL_REC[],2,FALSE),0)</f>
        <v>0</v>
      </c>
      <c r="BG629" s="246">
        <f>IFERROR(VLOOKUP(Q629,VOL_REC[],2,FALSE),0)</f>
        <v>0</v>
      </c>
      <c r="BH629" s="1710">
        <f t="shared" si="36"/>
        <v>16918338462.103085</v>
      </c>
      <c r="BI629" s="1710">
        <f t="shared" si="37"/>
        <v>14919246914.57991</v>
      </c>
      <c r="BJ629" s="1711">
        <f t="shared" si="38"/>
        <v>17481513.521776248</v>
      </c>
      <c r="BK629" s="1711">
        <f t="shared" si="39"/>
        <v>1.1339941324765899</v>
      </c>
      <c r="BL629">
        <f>BJ629</f>
        <v>17481513.521776248</v>
      </c>
      <c r="BO629">
        <f>BL629</f>
        <v>17481513.521776248</v>
      </c>
    </row>
    <row r="630" spans="3:67" x14ac:dyDescent="0.25">
      <c r="C630" s="246" t="s">
        <v>1980</v>
      </c>
      <c r="D630" s="246">
        <v>1</v>
      </c>
      <c r="E630" s="246">
        <v>2</v>
      </c>
      <c r="F630" s="246">
        <v>3</v>
      </c>
      <c r="G630" s="246">
        <v>4</v>
      </c>
      <c r="H630" s="246">
        <v>5</v>
      </c>
      <c r="I630" s="246">
        <v>12</v>
      </c>
      <c r="J630" s="246">
        <v>13</v>
      </c>
      <c r="K630" s="246">
        <v>17</v>
      </c>
      <c r="L630" s="246"/>
      <c r="M630" s="246"/>
      <c r="N630" s="246"/>
      <c r="O630" s="246"/>
      <c r="P630" s="246"/>
      <c r="Q630" s="246"/>
      <c r="R630" s="246">
        <f>IFERROR(VLOOKUP(D630,PROGRAMAS[],2,FALSE),0)</f>
        <v>97037803.679377079</v>
      </c>
      <c r="S630" s="246">
        <f>IFERROR(VLOOKUP(E630,PROGRAMAS[],2,FALSE),0)</f>
        <v>640501509.6821388</v>
      </c>
      <c r="T630" s="246">
        <f>IFERROR(VLOOKUP(F630,PROGRAMAS[],2,FALSE),0)</f>
        <v>3062327798.1525245</v>
      </c>
      <c r="U630" s="246">
        <f>IFERROR(VLOOKUP(G630,PROGRAMAS[],2,FALSE),0)</f>
        <v>67697118.033011258</v>
      </c>
      <c r="V630" s="246">
        <f>IFERROR(VLOOKUP(H630,PROGRAMAS[],2,FALSE),0)</f>
        <v>1440941976.2528784</v>
      </c>
      <c r="W630" s="246">
        <f>IFERROR(VLOOKUP(I630,PROGRAMAS[],2,FALSE),0)</f>
        <v>764796700.79905891</v>
      </c>
      <c r="X630" s="246">
        <f>IFERROR(VLOOKUP(J630,PROGRAMAS[],2,FALSE),0)</f>
        <v>3776538594.4604583</v>
      </c>
      <c r="Y630" s="246">
        <f>IFERROR(VLOOKUP(K630,PROGRAMAS[],2,FALSE),0)</f>
        <v>1892779498.5211046</v>
      </c>
      <c r="Z630" s="246">
        <f>IFERROR(VLOOKUP(L630,PROGRAMAS[],2,FALSE),0)</f>
        <v>0</v>
      </c>
      <c r="AA630" s="246">
        <f>IFERROR(VLOOKUP(M630,PROGRAMAS[],2,FALSE),0)</f>
        <v>0</v>
      </c>
      <c r="AB630" s="246">
        <f>IFERROR(VLOOKUP(N630,PROGRAMAS[],2,FALSE),0)</f>
        <v>0</v>
      </c>
      <c r="AC630" s="246">
        <f>IFERROR(VLOOKUP(O630,PROGRAMAS[],2,FALSE),0)</f>
        <v>0</v>
      </c>
      <c r="AD630" s="246">
        <f>IFERROR(VLOOKUP(P630,PROGRAMAS[],2,FALSE),0)</f>
        <v>0</v>
      </c>
      <c r="AE630" s="246">
        <f>IFERROR(VLOOKUP(Q630,PROGRAMAS[],2,FALSE),0)</f>
        <v>0</v>
      </c>
      <c r="AF630" s="246">
        <f>IFERROR(VLOOKUP(D630,PROGRAMAS[],3,FALSE),0)</f>
        <v>841888629.31080008</v>
      </c>
      <c r="AG630" s="246">
        <f>IFERROR(VLOOKUP(E630,PROGRAMAS[],3,FALSE),0)</f>
        <v>3848980803.1642323</v>
      </c>
      <c r="AH630" s="246">
        <f>IFERROR(VLOOKUP(F630,PROGRAMAS[],3,FALSE),0)</f>
        <v>3394901471.387517</v>
      </c>
      <c r="AI630" s="246">
        <f>IFERROR(VLOOKUP(G630,PROGRAMAS[],3,FALSE),0)</f>
        <v>125317226.95549992</v>
      </c>
      <c r="AJ630" s="246">
        <f>IFERROR(VLOOKUP(H630,PROGRAMAS[],3,FALSE),0)</f>
        <v>1233505101.0616004</v>
      </c>
      <c r="AK630" s="246">
        <f>IFERROR(VLOOKUP(I630,PROGRAMAS[],3,FALSE),0)</f>
        <v>675517840.109828</v>
      </c>
      <c r="AL630" s="246">
        <f>IFERROR(VLOOKUP(J630,PROGRAMAS[],3,FALSE),0)</f>
        <v>2392571243.5584412</v>
      </c>
      <c r="AM630" s="246">
        <f>IFERROR(VLOOKUP(K630,PROGRAMAS[],3,FALSE),0)</f>
        <v>948595847.09039903</v>
      </c>
      <c r="AN630" s="246">
        <f>IFERROR(VLOOKUP(L630,PROGRAMAS[],3,FALSE),0)</f>
        <v>0</v>
      </c>
      <c r="AO630" s="246">
        <f>IFERROR(VLOOKUP(M630,PROGRAMAS[],3,FALSE),0)</f>
        <v>0</v>
      </c>
      <c r="AP630" s="246">
        <f>IFERROR(VLOOKUP(N630,PROGRAMAS[],3,FALSE),0)</f>
        <v>0</v>
      </c>
      <c r="AQ630" s="246">
        <f>IFERROR(VLOOKUP(O630,PROGRAMAS[],3,FALSE),0)</f>
        <v>0</v>
      </c>
      <c r="AR630" s="246">
        <f>IFERROR(VLOOKUP(P630,PROGRAMAS[],3,FALSE),0)</f>
        <v>0</v>
      </c>
      <c r="AS630" s="246">
        <f>IFERROR(VLOOKUP(Q630,PROGRAMAS[],3,FALSE),0)</f>
        <v>0</v>
      </c>
      <c r="AT630" s="246">
        <f>IFERROR(VLOOKUP(D630,VOL_REC[],2,FALSE),0)</f>
        <v>0</v>
      </c>
      <c r="AU630" s="246">
        <f>IFERROR(VLOOKUP(E630,VOL_REC[],2,FALSE),0)</f>
        <v>0</v>
      </c>
      <c r="AV630" s="246">
        <f>IFERROR(VLOOKUP(F630,VOL_REC[],2,FALSE),0)</f>
        <v>11089674.200000001</v>
      </c>
      <c r="AW630" s="246">
        <f>IFERROR(VLOOKUP(G630,VOL_REC[],2,FALSE),0)</f>
        <v>90439.55</v>
      </c>
      <c r="AX630" s="246">
        <f>IFERROR(VLOOKUP(H630,VOL_REC[],2,FALSE),0)</f>
        <v>4325103.1812214684</v>
      </c>
      <c r="AY630" s="246">
        <f>IFERROR(VLOOKUP(I630,VOL_REC[],2,FALSE),0)</f>
        <v>240696.79238099116</v>
      </c>
      <c r="AZ630" s="246">
        <f>IFERROR(VLOOKUP(J630,VOL_REC[],2,FALSE),0)</f>
        <v>663244.80000000016</v>
      </c>
      <c r="BA630" s="246">
        <f>IFERROR(VLOOKUP(K630,VOL_REC[],2,FALSE),0)</f>
        <v>740113.98115702497</v>
      </c>
      <c r="BB630" s="246">
        <f>IFERROR(VLOOKUP(L630,VOL_REC[],2,FALSE),0)</f>
        <v>0</v>
      </c>
      <c r="BC630" s="246">
        <f>IFERROR(VLOOKUP(M630,VOL_REC[],2,FALSE),0)</f>
        <v>0</v>
      </c>
      <c r="BD630" s="246">
        <f>IFERROR(VLOOKUP(N630,VOL_REC[],2,FALSE),0)</f>
        <v>0</v>
      </c>
      <c r="BE630" s="246">
        <f>IFERROR(VLOOKUP(O630,VOL_REC[],2,FALSE),0)</f>
        <v>0</v>
      </c>
      <c r="BF630" s="246">
        <f>IFERROR(VLOOKUP(P630,VOL_REC[],2,FALSE),0)</f>
        <v>0</v>
      </c>
      <c r="BG630" s="246">
        <f>IFERROR(VLOOKUP(Q630,VOL_REC[],2,FALSE),0)</f>
        <v>0</v>
      </c>
      <c r="BH630" s="1710">
        <f t="shared" si="36"/>
        <v>11742620999.580553</v>
      </c>
      <c r="BI630" s="1710">
        <f t="shared" si="37"/>
        <v>13461278162.638319</v>
      </c>
      <c r="BJ630" s="1711">
        <f t="shared" si="38"/>
        <v>17149272.504759487</v>
      </c>
      <c r="BK630" s="1711">
        <f t="shared" si="39"/>
        <v>0.87232585626022596</v>
      </c>
    </row>
    <row r="631" spans="3:67" x14ac:dyDescent="0.25">
      <c r="C631" s="246" t="s">
        <v>1981</v>
      </c>
      <c r="D631" s="246">
        <v>1</v>
      </c>
      <c r="E631" s="246">
        <v>2</v>
      </c>
      <c r="F631" s="246">
        <v>3</v>
      </c>
      <c r="G631" s="246">
        <v>4</v>
      </c>
      <c r="H631" s="246">
        <v>5</v>
      </c>
      <c r="I631" s="246">
        <v>12</v>
      </c>
      <c r="J631" s="246">
        <v>14</v>
      </c>
      <c r="K631" s="246">
        <v>15</v>
      </c>
      <c r="L631" s="246"/>
      <c r="M631" s="246"/>
      <c r="N631" s="246"/>
      <c r="O631" s="246"/>
      <c r="P631" s="246"/>
      <c r="Q631" s="246"/>
      <c r="R631" s="246">
        <f>IFERROR(VLOOKUP(D631,PROGRAMAS[],2,FALSE),0)</f>
        <v>97037803.679377079</v>
      </c>
      <c r="S631" s="246">
        <f>IFERROR(VLOOKUP(E631,PROGRAMAS[],2,FALSE),0)</f>
        <v>640501509.6821388</v>
      </c>
      <c r="T631" s="246">
        <f>IFERROR(VLOOKUP(F631,PROGRAMAS[],2,FALSE),0)</f>
        <v>3062327798.1525245</v>
      </c>
      <c r="U631" s="246">
        <f>IFERROR(VLOOKUP(G631,PROGRAMAS[],2,FALSE),0)</f>
        <v>67697118.033011258</v>
      </c>
      <c r="V631" s="246">
        <f>IFERROR(VLOOKUP(H631,PROGRAMAS[],2,FALSE),0)</f>
        <v>1440941976.2528784</v>
      </c>
      <c r="W631" s="246">
        <f>IFERROR(VLOOKUP(I631,PROGRAMAS[],2,FALSE),0)</f>
        <v>764796700.79905891</v>
      </c>
      <c r="X631" s="246">
        <f>IFERROR(VLOOKUP(J631,PROGRAMAS[],2,FALSE),0)</f>
        <v>54223862.645839565</v>
      </c>
      <c r="Y631" s="246">
        <f>IFERROR(VLOOKUP(K631,PROGRAMAS[],2,FALSE),0)</f>
        <v>122159672.96346797</v>
      </c>
      <c r="Z631" s="246">
        <f>IFERROR(VLOOKUP(L631,PROGRAMAS[],2,FALSE),0)</f>
        <v>0</v>
      </c>
      <c r="AA631" s="246">
        <f>IFERROR(VLOOKUP(M631,PROGRAMAS[],2,FALSE),0)</f>
        <v>0</v>
      </c>
      <c r="AB631" s="246">
        <f>IFERROR(VLOOKUP(N631,PROGRAMAS[],2,FALSE),0)</f>
        <v>0</v>
      </c>
      <c r="AC631" s="246">
        <f>IFERROR(VLOOKUP(O631,PROGRAMAS[],2,FALSE),0)</f>
        <v>0</v>
      </c>
      <c r="AD631" s="246">
        <f>IFERROR(VLOOKUP(P631,PROGRAMAS[],2,FALSE),0)</f>
        <v>0</v>
      </c>
      <c r="AE631" s="246">
        <f>IFERROR(VLOOKUP(Q631,PROGRAMAS[],2,FALSE),0)</f>
        <v>0</v>
      </c>
      <c r="AF631" s="246">
        <f>IFERROR(VLOOKUP(D631,PROGRAMAS[],3,FALSE),0)</f>
        <v>841888629.31080008</v>
      </c>
      <c r="AG631" s="246">
        <f>IFERROR(VLOOKUP(E631,PROGRAMAS[],3,FALSE),0)</f>
        <v>3848980803.1642323</v>
      </c>
      <c r="AH631" s="246">
        <f>IFERROR(VLOOKUP(F631,PROGRAMAS[],3,FALSE),0)</f>
        <v>3394901471.387517</v>
      </c>
      <c r="AI631" s="246">
        <f>IFERROR(VLOOKUP(G631,PROGRAMAS[],3,FALSE),0)</f>
        <v>125317226.95549992</v>
      </c>
      <c r="AJ631" s="246">
        <f>IFERROR(VLOOKUP(H631,PROGRAMAS[],3,FALSE),0)</f>
        <v>1233505101.0616004</v>
      </c>
      <c r="AK631" s="246">
        <f>IFERROR(VLOOKUP(I631,PROGRAMAS[],3,FALSE),0)</f>
        <v>675517840.109828</v>
      </c>
      <c r="AL631" s="246">
        <f>IFERROR(VLOOKUP(J631,PROGRAMAS[],3,FALSE),0)</f>
        <v>31865326.38096505</v>
      </c>
      <c r="AM631" s="246">
        <f>IFERROR(VLOOKUP(K631,PROGRAMAS[],3,FALSE),0)</f>
        <v>118617452.52510804</v>
      </c>
      <c r="AN631" s="246">
        <f>IFERROR(VLOOKUP(L631,PROGRAMAS[],3,FALSE),0)</f>
        <v>0</v>
      </c>
      <c r="AO631" s="246">
        <f>IFERROR(VLOOKUP(M631,PROGRAMAS[],3,FALSE),0)</f>
        <v>0</v>
      </c>
      <c r="AP631" s="246">
        <f>IFERROR(VLOOKUP(N631,PROGRAMAS[],3,FALSE),0)</f>
        <v>0</v>
      </c>
      <c r="AQ631" s="246">
        <f>IFERROR(VLOOKUP(O631,PROGRAMAS[],3,FALSE),0)</f>
        <v>0</v>
      </c>
      <c r="AR631" s="246">
        <f>IFERROR(VLOOKUP(P631,PROGRAMAS[],3,FALSE),0)</f>
        <v>0</v>
      </c>
      <c r="AS631" s="246">
        <f>IFERROR(VLOOKUP(Q631,PROGRAMAS[],3,FALSE),0)</f>
        <v>0</v>
      </c>
      <c r="AT631" s="246">
        <f>IFERROR(VLOOKUP(D631,VOL_REC[],2,FALSE),0)</f>
        <v>0</v>
      </c>
      <c r="AU631" s="246">
        <f>IFERROR(VLOOKUP(E631,VOL_REC[],2,FALSE),0)</f>
        <v>0</v>
      </c>
      <c r="AV631" s="246">
        <f>IFERROR(VLOOKUP(F631,VOL_REC[],2,FALSE),0)</f>
        <v>11089674.200000001</v>
      </c>
      <c r="AW631" s="246">
        <f>IFERROR(VLOOKUP(G631,VOL_REC[],2,FALSE),0)</f>
        <v>90439.55</v>
      </c>
      <c r="AX631" s="246">
        <f>IFERROR(VLOOKUP(H631,VOL_REC[],2,FALSE),0)</f>
        <v>4325103.1812214684</v>
      </c>
      <c r="AY631" s="246">
        <f>IFERROR(VLOOKUP(I631,VOL_REC[],2,FALSE),0)</f>
        <v>240696.79238099116</v>
      </c>
      <c r="AZ631" s="246">
        <f>IFERROR(VLOOKUP(J631,VOL_REC[],2,FALSE),0)</f>
        <v>17074.045034105649</v>
      </c>
      <c r="BA631" s="246">
        <f>IFERROR(VLOOKUP(K631,VOL_REC[],2,FALSE),0)</f>
        <v>105072</v>
      </c>
      <c r="BB631" s="246">
        <f>IFERROR(VLOOKUP(L631,VOL_REC[],2,FALSE),0)</f>
        <v>0</v>
      </c>
      <c r="BC631" s="246">
        <f>IFERROR(VLOOKUP(M631,VOL_REC[],2,FALSE),0)</f>
        <v>0</v>
      </c>
      <c r="BD631" s="246">
        <f>IFERROR(VLOOKUP(N631,VOL_REC[],2,FALSE),0)</f>
        <v>0</v>
      </c>
      <c r="BE631" s="246">
        <f>IFERROR(VLOOKUP(O631,VOL_REC[],2,FALSE),0)</f>
        <v>0</v>
      </c>
      <c r="BF631" s="246">
        <f>IFERROR(VLOOKUP(P631,VOL_REC[],2,FALSE),0)</f>
        <v>0</v>
      </c>
      <c r="BG631" s="246">
        <f>IFERROR(VLOOKUP(Q631,VOL_REC[],2,FALSE),0)</f>
        <v>0</v>
      </c>
      <c r="BH631" s="1710">
        <f t="shared" si="36"/>
        <v>6249686442.2082968</v>
      </c>
      <c r="BI631" s="1710">
        <f t="shared" si="37"/>
        <v>10270593850.895552</v>
      </c>
      <c r="BJ631" s="1711">
        <f t="shared" si="38"/>
        <v>15868059.768636566</v>
      </c>
      <c r="BK631" s="1711">
        <f t="shared" si="39"/>
        <v>0.60850292913328974</v>
      </c>
    </row>
    <row r="632" spans="3:67" x14ac:dyDescent="0.25">
      <c r="C632" s="246" t="s">
        <v>1982</v>
      </c>
      <c r="D632" s="246">
        <v>1</v>
      </c>
      <c r="E632" s="246">
        <v>2</v>
      </c>
      <c r="F632" s="246">
        <v>3</v>
      </c>
      <c r="G632" s="246">
        <v>4</v>
      </c>
      <c r="H632" s="246">
        <v>5</v>
      </c>
      <c r="I632" s="246">
        <v>12</v>
      </c>
      <c r="J632" s="246">
        <v>14</v>
      </c>
      <c r="K632" s="246">
        <v>16</v>
      </c>
      <c r="L632" s="246"/>
      <c r="M632" s="246"/>
      <c r="N632" s="246"/>
      <c r="O632" s="246"/>
      <c r="P632" s="246"/>
      <c r="Q632" s="246"/>
      <c r="R632" s="246">
        <f>IFERROR(VLOOKUP(D632,PROGRAMAS[],2,FALSE),0)</f>
        <v>97037803.679377079</v>
      </c>
      <c r="S632" s="246">
        <f>IFERROR(VLOOKUP(E632,PROGRAMAS[],2,FALSE),0)</f>
        <v>640501509.6821388</v>
      </c>
      <c r="T632" s="246">
        <f>IFERROR(VLOOKUP(F632,PROGRAMAS[],2,FALSE),0)</f>
        <v>3062327798.1525245</v>
      </c>
      <c r="U632" s="246">
        <f>IFERROR(VLOOKUP(G632,PROGRAMAS[],2,FALSE),0)</f>
        <v>67697118.033011258</v>
      </c>
      <c r="V632" s="246">
        <f>IFERROR(VLOOKUP(H632,PROGRAMAS[],2,FALSE),0)</f>
        <v>1440941976.2528784</v>
      </c>
      <c r="W632" s="246">
        <f>IFERROR(VLOOKUP(I632,PROGRAMAS[],2,FALSE),0)</f>
        <v>764796700.79905891</v>
      </c>
      <c r="X632" s="246">
        <f>IFERROR(VLOOKUP(J632,PROGRAMAS[],2,FALSE),0)</f>
        <v>54223862.645839565</v>
      </c>
      <c r="Y632" s="246">
        <f>IFERROR(VLOOKUP(K632,PROGRAMAS[],2,FALSE),0)</f>
        <v>7068496961.0436354</v>
      </c>
      <c r="Z632" s="246">
        <f>IFERROR(VLOOKUP(L632,PROGRAMAS[],2,FALSE),0)</f>
        <v>0</v>
      </c>
      <c r="AA632" s="246">
        <f>IFERROR(VLOOKUP(M632,PROGRAMAS[],2,FALSE),0)</f>
        <v>0</v>
      </c>
      <c r="AB632" s="246">
        <f>IFERROR(VLOOKUP(N632,PROGRAMAS[],2,FALSE),0)</f>
        <v>0</v>
      </c>
      <c r="AC632" s="246">
        <f>IFERROR(VLOOKUP(O632,PROGRAMAS[],2,FALSE),0)</f>
        <v>0</v>
      </c>
      <c r="AD632" s="246">
        <f>IFERROR(VLOOKUP(P632,PROGRAMAS[],2,FALSE),0)</f>
        <v>0</v>
      </c>
      <c r="AE632" s="246">
        <f>IFERROR(VLOOKUP(Q632,PROGRAMAS[],2,FALSE),0)</f>
        <v>0</v>
      </c>
      <c r="AF632" s="246">
        <f>IFERROR(VLOOKUP(D632,PROGRAMAS[],3,FALSE),0)</f>
        <v>841888629.31080008</v>
      </c>
      <c r="AG632" s="246">
        <f>IFERROR(VLOOKUP(E632,PROGRAMAS[],3,FALSE),0)</f>
        <v>3848980803.1642323</v>
      </c>
      <c r="AH632" s="246">
        <f>IFERROR(VLOOKUP(F632,PROGRAMAS[],3,FALSE),0)</f>
        <v>3394901471.387517</v>
      </c>
      <c r="AI632" s="246">
        <f>IFERROR(VLOOKUP(G632,PROGRAMAS[],3,FALSE),0)</f>
        <v>125317226.95549992</v>
      </c>
      <c r="AJ632" s="246">
        <f>IFERROR(VLOOKUP(H632,PROGRAMAS[],3,FALSE),0)</f>
        <v>1233505101.0616004</v>
      </c>
      <c r="AK632" s="246">
        <f>IFERROR(VLOOKUP(I632,PROGRAMAS[],3,FALSE),0)</f>
        <v>675517840.109828</v>
      </c>
      <c r="AL632" s="246">
        <f>IFERROR(VLOOKUP(J632,PROGRAMAS[],3,FALSE),0)</f>
        <v>31865326.38096505</v>
      </c>
      <c r="AM632" s="246">
        <f>IFERROR(VLOOKUP(K632,PROGRAMAS[],3,FALSE),0)</f>
        <v>2406564599.0319901</v>
      </c>
      <c r="AN632" s="246">
        <f>IFERROR(VLOOKUP(L632,PROGRAMAS[],3,FALSE),0)</f>
        <v>0</v>
      </c>
      <c r="AO632" s="246">
        <f>IFERROR(VLOOKUP(M632,PROGRAMAS[],3,FALSE),0)</f>
        <v>0</v>
      </c>
      <c r="AP632" s="246">
        <f>IFERROR(VLOOKUP(N632,PROGRAMAS[],3,FALSE),0)</f>
        <v>0</v>
      </c>
      <c r="AQ632" s="246">
        <f>IFERROR(VLOOKUP(O632,PROGRAMAS[],3,FALSE),0)</f>
        <v>0</v>
      </c>
      <c r="AR632" s="246">
        <f>IFERROR(VLOOKUP(P632,PROGRAMAS[],3,FALSE),0)</f>
        <v>0</v>
      </c>
      <c r="AS632" s="246">
        <f>IFERROR(VLOOKUP(Q632,PROGRAMAS[],3,FALSE),0)</f>
        <v>0</v>
      </c>
      <c r="AT632" s="246">
        <f>IFERROR(VLOOKUP(D632,VOL_REC[],2,FALSE),0)</f>
        <v>0</v>
      </c>
      <c r="AU632" s="246">
        <f>IFERROR(VLOOKUP(E632,VOL_REC[],2,FALSE),0)</f>
        <v>0</v>
      </c>
      <c r="AV632" s="246">
        <f>IFERROR(VLOOKUP(F632,VOL_REC[],2,FALSE),0)</f>
        <v>11089674.200000001</v>
      </c>
      <c r="AW632" s="246">
        <f>IFERROR(VLOOKUP(G632,VOL_REC[],2,FALSE),0)</f>
        <v>90439.55</v>
      </c>
      <c r="AX632" s="246">
        <f>IFERROR(VLOOKUP(H632,VOL_REC[],2,FALSE),0)</f>
        <v>4325103.1812214684</v>
      </c>
      <c r="AY632" s="246">
        <f>IFERROR(VLOOKUP(I632,VOL_REC[],2,FALSE),0)</f>
        <v>240696.79238099116</v>
      </c>
      <c r="AZ632" s="246">
        <f>IFERROR(VLOOKUP(J632,VOL_REC[],2,FALSE),0)</f>
        <v>17074.045034105649</v>
      </c>
      <c r="BA632" s="246">
        <f>IFERROR(VLOOKUP(K632,VOL_REC[],2,FALSE),0)</f>
        <v>1072354.9981737854</v>
      </c>
      <c r="BB632" s="246">
        <f>IFERROR(VLOOKUP(L632,VOL_REC[],2,FALSE),0)</f>
        <v>0</v>
      </c>
      <c r="BC632" s="246">
        <f>IFERROR(VLOOKUP(M632,VOL_REC[],2,FALSE),0)</f>
        <v>0</v>
      </c>
      <c r="BD632" s="246">
        <f>IFERROR(VLOOKUP(N632,VOL_REC[],2,FALSE),0)</f>
        <v>0</v>
      </c>
      <c r="BE632" s="246">
        <f>IFERROR(VLOOKUP(O632,VOL_REC[],2,FALSE),0)</f>
        <v>0</v>
      </c>
      <c r="BF632" s="246">
        <f>IFERROR(VLOOKUP(P632,VOL_REC[],2,FALSE),0)</f>
        <v>0</v>
      </c>
      <c r="BG632" s="246">
        <f>IFERROR(VLOOKUP(Q632,VOL_REC[],2,FALSE),0)</f>
        <v>0</v>
      </c>
      <c r="BH632" s="1710">
        <f t="shared" si="36"/>
        <v>13196023730.288464</v>
      </c>
      <c r="BI632" s="1710">
        <f t="shared" si="37"/>
        <v>12558540997.402433</v>
      </c>
      <c r="BJ632" s="1711">
        <f t="shared" si="38"/>
        <v>16835342.76681035</v>
      </c>
      <c r="BK632" s="1711">
        <f t="shared" si="39"/>
        <v>1.0507608911750088</v>
      </c>
      <c r="BL632">
        <f>BJ632</f>
        <v>16835342.76681035</v>
      </c>
      <c r="BO632">
        <f>BL632</f>
        <v>16835342.76681035</v>
      </c>
    </row>
    <row r="633" spans="3:67" x14ac:dyDescent="0.25">
      <c r="C633" s="246" t="s">
        <v>1983</v>
      </c>
      <c r="D633" s="246">
        <v>1</v>
      </c>
      <c r="E633" s="246">
        <v>2</v>
      </c>
      <c r="F633" s="246">
        <v>3</v>
      </c>
      <c r="G633" s="246">
        <v>4</v>
      </c>
      <c r="H633" s="246">
        <v>5</v>
      </c>
      <c r="I633" s="246">
        <v>12</v>
      </c>
      <c r="J633" s="246">
        <v>14</v>
      </c>
      <c r="K633" s="246">
        <v>17</v>
      </c>
      <c r="L633" s="246"/>
      <c r="M633" s="246"/>
      <c r="N633" s="246"/>
      <c r="O633" s="246"/>
      <c r="P633" s="246"/>
      <c r="Q633" s="246"/>
      <c r="R633" s="246">
        <f>IFERROR(VLOOKUP(D633,PROGRAMAS[],2,FALSE),0)</f>
        <v>97037803.679377079</v>
      </c>
      <c r="S633" s="246">
        <f>IFERROR(VLOOKUP(E633,PROGRAMAS[],2,FALSE),0)</f>
        <v>640501509.6821388</v>
      </c>
      <c r="T633" s="246">
        <f>IFERROR(VLOOKUP(F633,PROGRAMAS[],2,FALSE),0)</f>
        <v>3062327798.1525245</v>
      </c>
      <c r="U633" s="246">
        <f>IFERROR(VLOOKUP(G633,PROGRAMAS[],2,FALSE),0)</f>
        <v>67697118.033011258</v>
      </c>
      <c r="V633" s="246">
        <f>IFERROR(VLOOKUP(H633,PROGRAMAS[],2,FALSE),0)</f>
        <v>1440941976.2528784</v>
      </c>
      <c r="W633" s="246">
        <f>IFERROR(VLOOKUP(I633,PROGRAMAS[],2,FALSE),0)</f>
        <v>764796700.79905891</v>
      </c>
      <c r="X633" s="246">
        <f>IFERROR(VLOOKUP(J633,PROGRAMAS[],2,FALSE),0)</f>
        <v>54223862.645839565</v>
      </c>
      <c r="Y633" s="246">
        <f>IFERROR(VLOOKUP(K633,PROGRAMAS[],2,FALSE),0)</f>
        <v>1892779498.5211046</v>
      </c>
      <c r="Z633" s="246">
        <f>IFERROR(VLOOKUP(L633,PROGRAMAS[],2,FALSE),0)</f>
        <v>0</v>
      </c>
      <c r="AA633" s="246">
        <f>IFERROR(VLOOKUP(M633,PROGRAMAS[],2,FALSE),0)</f>
        <v>0</v>
      </c>
      <c r="AB633" s="246">
        <f>IFERROR(VLOOKUP(N633,PROGRAMAS[],2,FALSE),0)</f>
        <v>0</v>
      </c>
      <c r="AC633" s="246">
        <f>IFERROR(VLOOKUP(O633,PROGRAMAS[],2,FALSE),0)</f>
        <v>0</v>
      </c>
      <c r="AD633" s="246">
        <f>IFERROR(VLOOKUP(P633,PROGRAMAS[],2,FALSE),0)</f>
        <v>0</v>
      </c>
      <c r="AE633" s="246">
        <f>IFERROR(VLOOKUP(Q633,PROGRAMAS[],2,FALSE),0)</f>
        <v>0</v>
      </c>
      <c r="AF633" s="246">
        <f>IFERROR(VLOOKUP(D633,PROGRAMAS[],3,FALSE),0)</f>
        <v>841888629.31080008</v>
      </c>
      <c r="AG633" s="246">
        <f>IFERROR(VLOOKUP(E633,PROGRAMAS[],3,FALSE),0)</f>
        <v>3848980803.1642323</v>
      </c>
      <c r="AH633" s="246">
        <f>IFERROR(VLOOKUP(F633,PROGRAMAS[],3,FALSE),0)</f>
        <v>3394901471.387517</v>
      </c>
      <c r="AI633" s="246">
        <f>IFERROR(VLOOKUP(G633,PROGRAMAS[],3,FALSE),0)</f>
        <v>125317226.95549992</v>
      </c>
      <c r="AJ633" s="246">
        <f>IFERROR(VLOOKUP(H633,PROGRAMAS[],3,FALSE),0)</f>
        <v>1233505101.0616004</v>
      </c>
      <c r="AK633" s="246">
        <f>IFERROR(VLOOKUP(I633,PROGRAMAS[],3,FALSE),0)</f>
        <v>675517840.109828</v>
      </c>
      <c r="AL633" s="246">
        <f>IFERROR(VLOOKUP(J633,PROGRAMAS[],3,FALSE),0)</f>
        <v>31865326.38096505</v>
      </c>
      <c r="AM633" s="246">
        <f>IFERROR(VLOOKUP(K633,PROGRAMAS[],3,FALSE),0)</f>
        <v>948595847.09039903</v>
      </c>
      <c r="AN633" s="246">
        <f>IFERROR(VLOOKUP(L633,PROGRAMAS[],3,FALSE),0)</f>
        <v>0</v>
      </c>
      <c r="AO633" s="246">
        <f>IFERROR(VLOOKUP(M633,PROGRAMAS[],3,FALSE),0)</f>
        <v>0</v>
      </c>
      <c r="AP633" s="246">
        <f>IFERROR(VLOOKUP(N633,PROGRAMAS[],3,FALSE),0)</f>
        <v>0</v>
      </c>
      <c r="AQ633" s="246">
        <f>IFERROR(VLOOKUP(O633,PROGRAMAS[],3,FALSE),0)</f>
        <v>0</v>
      </c>
      <c r="AR633" s="246">
        <f>IFERROR(VLOOKUP(P633,PROGRAMAS[],3,FALSE),0)</f>
        <v>0</v>
      </c>
      <c r="AS633" s="246">
        <f>IFERROR(VLOOKUP(Q633,PROGRAMAS[],3,FALSE),0)</f>
        <v>0</v>
      </c>
      <c r="AT633" s="246">
        <f>IFERROR(VLOOKUP(D633,VOL_REC[],2,FALSE),0)</f>
        <v>0</v>
      </c>
      <c r="AU633" s="246">
        <f>IFERROR(VLOOKUP(E633,VOL_REC[],2,FALSE),0)</f>
        <v>0</v>
      </c>
      <c r="AV633" s="246">
        <f>IFERROR(VLOOKUP(F633,VOL_REC[],2,FALSE),0)</f>
        <v>11089674.200000001</v>
      </c>
      <c r="AW633" s="246">
        <f>IFERROR(VLOOKUP(G633,VOL_REC[],2,FALSE),0)</f>
        <v>90439.55</v>
      </c>
      <c r="AX633" s="246">
        <f>IFERROR(VLOOKUP(H633,VOL_REC[],2,FALSE),0)</f>
        <v>4325103.1812214684</v>
      </c>
      <c r="AY633" s="246">
        <f>IFERROR(VLOOKUP(I633,VOL_REC[],2,FALSE),0)</f>
        <v>240696.79238099116</v>
      </c>
      <c r="AZ633" s="246">
        <f>IFERROR(VLOOKUP(J633,VOL_REC[],2,FALSE),0)</f>
        <v>17074.045034105649</v>
      </c>
      <c r="BA633" s="246">
        <f>IFERROR(VLOOKUP(K633,VOL_REC[],2,FALSE),0)</f>
        <v>740113.98115702497</v>
      </c>
      <c r="BB633" s="246">
        <f>IFERROR(VLOOKUP(L633,VOL_REC[],2,FALSE),0)</f>
        <v>0</v>
      </c>
      <c r="BC633" s="246">
        <f>IFERROR(VLOOKUP(M633,VOL_REC[],2,FALSE),0)</f>
        <v>0</v>
      </c>
      <c r="BD633" s="246">
        <f>IFERROR(VLOOKUP(N633,VOL_REC[],2,FALSE),0)</f>
        <v>0</v>
      </c>
      <c r="BE633" s="246">
        <f>IFERROR(VLOOKUP(O633,VOL_REC[],2,FALSE),0)</f>
        <v>0</v>
      </c>
      <c r="BF633" s="246">
        <f>IFERROR(VLOOKUP(P633,VOL_REC[],2,FALSE),0)</f>
        <v>0</v>
      </c>
      <c r="BG633" s="246">
        <f>IFERROR(VLOOKUP(Q633,VOL_REC[],2,FALSE),0)</f>
        <v>0</v>
      </c>
      <c r="BH633" s="1710">
        <f t="shared" si="36"/>
        <v>8020306267.765934</v>
      </c>
      <c r="BI633" s="1710">
        <f t="shared" si="37"/>
        <v>11100572245.460842</v>
      </c>
      <c r="BJ633" s="1711">
        <f t="shared" si="38"/>
        <v>16503101.749793591</v>
      </c>
      <c r="BK633" s="1711">
        <f t="shared" si="39"/>
        <v>0.72251286604125597</v>
      </c>
    </row>
    <row r="634" spans="3:67" x14ac:dyDescent="0.25">
      <c r="C634" s="246" t="s">
        <v>1984</v>
      </c>
      <c r="D634" s="246">
        <v>1</v>
      </c>
      <c r="E634" s="246">
        <v>2</v>
      </c>
      <c r="F634" s="246">
        <v>3</v>
      </c>
      <c r="G634" s="246">
        <v>4</v>
      </c>
      <c r="H634" s="246">
        <v>5</v>
      </c>
      <c r="I634" s="246">
        <v>12</v>
      </c>
      <c r="J634" s="246">
        <v>15</v>
      </c>
      <c r="K634" s="246">
        <v>16</v>
      </c>
      <c r="L634" s="246"/>
      <c r="M634" s="246"/>
      <c r="N634" s="246"/>
      <c r="O634" s="246"/>
      <c r="P634" s="246"/>
      <c r="Q634" s="246"/>
      <c r="R634" s="246">
        <f>IFERROR(VLOOKUP(D634,PROGRAMAS[],2,FALSE),0)</f>
        <v>97037803.679377079</v>
      </c>
      <c r="S634" s="246">
        <f>IFERROR(VLOOKUP(E634,PROGRAMAS[],2,FALSE),0)</f>
        <v>640501509.6821388</v>
      </c>
      <c r="T634" s="246">
        <f>IFERROR(VLOOKUP(F634,PROGRAMAS[],2,FALSE),0)</f>
        <v>3062327798.1525245</v>
      </c>
      <c r="U634" s="246">
        <f>IFERROR(VLOOKUP(G634,PROGRAMAS[],2,FALSE),0)</f>
        <v>67697118.033011258</v>
      </c>
      <c r="V634" s="246">
        <f>IFERROR(VLOOKUP(H634,PROGRAMAS[],2,FALSE),0)</f>
        <v>1440941976.2528784</v>
      </c>
      <c r="W634" s="246">
        <f>IFERROR(VLOOKUP(I634,PROGRAMAS[],2,FALSE),0)</f>
        <v>764796700.79905891</v>
      </c>
      <c r="X634" s="246">
        <f>IFERROR(VLOOKUP(J634,PROGRAMAS[],2,FALSE),0)</f>
        <v>122159672.96346797</v>
      </c>
      <c r="Y634" s="246">
        <f>IFERROR(VLOOKUP(K634,PROGRAMAS[],2,FALSE),0)</f>
        <v>7068496961.0436354</v>
      </c>
      <c r="Z634" s="246">
        <f>IFERROR(VLOOKUP(L634,PROGRAMAS[],2,FALSE),0)</f>
        <v>0</v>
      </c>
      <c r="AA634" s="246">
        <f>IFERROR(VLOOKUP(M634,PROGRAMAS[],2,FALSE),0)</f>
        <v>0</v>
      </c>
      <c r="AB634" s="246">
        <f>IFERROR(VLOOKUP(N634,PROGRAMAS[],2,FALSE),0)</f>
        <v>0</v>
      </c>
      <c r="AC634" s="246">
        <f>IFERROR(VLOOKUP(O634,PROGRAMAS[],2,FALSE),0)</f>
        <v>0</v>
      </c>
      <c r="AD634" s="246">
        <f>IFERROR(VLOOKUP(P634,PROGRAMAS[],2,FALSE),0)</f>
        <v>0</v>
      </c>
      <c r="AE634" s="246">
        <f>IFERROR(VLOOKUP(Q634,PROGRAMAS[],2,FALSE),0)</f>
        <v>0</v>
      </c>
      <c r="AF634" s="246">
        <f>IFERROR(VLOOKUP(D634,PROGRAMAS[],3,FALSE),0)</f>
        <v>841888629.31080008</v>
      </c>
      <c r="AG634" s="246">
        <f>IFERROR(VLOOKUP(E634,PROGRAMAS[],3,FALSE),0)</f>
        <v>3848980803.1642323</v>
      </c>
      <c r="AH634" s="246">
        <f>IFERROR(VLOOKUP(F634,PROGRAMAS[],3,FALSE),0)</f>
        <v>3394901471.387517</v>
      </c>
      <c r="AI634" s="246">
        <f>IFERROR(VLOOKUP(G634,PROGRAMAS[],3,FALSE),0)</f>
        <v>125317226.95549992</v>
      </c>
      <c r="AJ634" s="246">
        <f>IFERROR(VLOOKUP(H634,PROGRAMAS[],3,FALSE),0)</f>
        <v>1233505101.0616004</v>
      </c>
      <c r="AK634" s="246">
        <f>IFERROR(VLOOKUP(I634,PROGRAMAS[],3,FALSE),0)</f>
        <v>675517840.109828</v>
      </c>
      <c r="AL634" s="246">
        <f>IFERROR(VLOOKUP(J634,PROGRAMAS[],3,FALSE),0)</f>
        <v>118617452.52510804</v>
      </c>
      <c r="AM634" s="246">
        <f>IFERROR(VLOOKUP(K634,PROGRAMAS[],3,FALSE),0)</f>
        <v>2406564599.0319901</v>
      </c>
      <c r="AN634" s="246">
        <f>IFERROR(VLOOKUP(L634,PROGRAMAS[],3,FALSE),0)</f>
        <v>0</v>
      </c>
      <c r="AO634" s="246">
        <f>IFERROR(VLOOKUP(M634,PROGRAMAS[],3,FALSE),0)</f>
        <v>0</v>
      </c>
      <c r="AP634" s="246">
        <f>IFERROR(VLOOKUP(N634,PROGRAMAS[],3,FALSE),0)</f>
        <v>0</v>
      </c>
      <c r="AQ634" s="246">
        <f>IFERROR(VLOOKUP(O634,PROGRAMAS[],3,FALSE),0)</f>
        <v>0</v>
      </c>
      <c r="AR634" s="246">
        <f>IFERROR(VLOOKUP(P634,PROGRAMAS[],3,FALSE),0)</f>
        <v>0</v>
      </c>
      <c r="AS634" s="246">
        <f>IFERROR(VLOOKUP(Q634,PROGRAMAS[],3,FALSE),0)</f>
        <v>0</v>
      </c>
      <c r="AT634" s="246">
        <f>IFERROR(VLOOKUP(D634,VOL_REC[],2,FALSE),0)</f>
        <v>0</v>
      </c>
      <c r="AU634" s="246">
        <f>IFERROR(VLOOKUP(E634,VOL_REC[],2,FALSE),0)</f>
        <v>0</v>
      </c>
      <c r="AV634" s="246">
        <f>IFERROR(VLOOKUP(F634,VOL_REC[],2,FALSE),0)</f>
        <v>11089674.200000001</v>
      </c>
      <c r="AW634" s="246">
        <f>IFERROR(VLOOKUP(G634,VOL_REC[],2,FALSE),0)</f>
        <v>90439.55</v>
      </c>
      <c r="AX634" s="246">
        <f>IFERROR(VLOOKUP(H634,VOL_REC[],2,FALSE),0)</f>
        <v>4325103.1812214684</v>
      </c>
      <c r="AY634" s="246">
        <f>IFERROR(VLOOKUP(I634,VOL_REC[],2,FALSE),0)</f>
        <v>240696.79238099116</v>
      </c>
      <c r="AZ634" s="246">
        <f>IFERROR(VLOOKUP(J634,VOL_REC[],2,FALSE),0)</f>
        <v>105072</v>
      </c>
      <c r="BA634" s="246">
        <f>IFERROR(VLOOKUP(K634,VOL_REC[],2,FALSE),0)</f>
        <v>1072354.9981737854</v>
      </c>
      <c r="BB634" s="246">
        <f>IFERROR(VLOOKUP(L634,VOL_REC[],2,FALSE),0)</f>
        <v>0</v>
      </c>
      <c r="BC634" s="246">
        <f>IFERROR(VLOOKUP(M634,VOL_REC[],2,FALSE),0)</f>
        <v>0</v>
      </c>
      <c r="BD634" s="246">
        <f>IFERROR(VLOOKUP(N634,VOL_REC[],2,FALSE),0)</f>
        <v>0</v>
      </c>
      <c r="BE634" s="246">
        <f>IFERROR(VLOOKUP(O634,VOL_REC[],2,FALSE),0)</f>
        <v>0</v>
      </c>
      <c r="BF634" s="246">
        <f>IFERROR(VLOOKUP(P634,VOL_REC[],2,FALSE),0)</f>
        <v>0</v>
      </c>
      <c r="BG634" s="246">
        <f>IFERROR(VLOOKUP(Q634,VOL_REC[],2,FALSE),0)</f>
        <v>0</v>
      </c>
      <c r="BH634" s="1710">
        <f t="shared" si="36"/>
        <v>13263959540.606092</v>
      </c>
      <c r="BI634" s="1710">
        <f t="shared" si="37"/>
        <v>12645293123.546577</v>
      </c>
      <c r="BJ634" s="1711">
        <f t="shared" si="38"/>
        <v>16923340.721776247</v>
      </c>
      <c r="BK634" s="1711">
        <f t="shared" si="39"/>
        <v>1.0489246402606127</v>
      </c>
      <c r="BL634">
        <f>BJ634</f>
        <v>16923340.721776247</v>
      </c>
      <c r="BO634">
        <f>BL634</f>
        <v>16923340.721776247</v>
      </c>
    </row>
    <row r="635" spans="3:67" x14ac:dyDescent="0.25">
      <c r="C635" s="246" t="s">
        <v>1985</v>
      </c>
      <c r="D635" s="246">
        <v>1</v>
      </c>
      <c r="E635" s="246">
        <v>2</v>
      </c>
      <c r="F635" s="246">
        <v>3</v>
      </c>
      <c r="G635" s="246">
        <v>4</v>
      </c>
      <c r="H635" s="246">
        <v>5</v>
      </c>
      <c r="I635" s="246">
        <v>12</v>
      </c>
      <c r="J635" s="246">
        <v>15</v>
      </c>
      <c r="K635" s="246">
        <v>17</v>
      </c>
      <c r="L635" s="246"/>
      <c r="M635" s="246"/>
      <c r="N635" s="246"/>
      <c r="O635" s="246"/>
      <c r="P635" s="246"/>
      <c r="Q635" s="246"/>
      <c r="R635" s="246">
        <f>IFERROR(VLOOKUP(D635,PROGRAMAS[],2,FALSE),0)</f>
        <v>97037803.679377079</v>
      </c>
      <c r="S635" s="246">
        <f>IFERROR(VLOOKUP(E635,PROGRAMAS[],2,FALSE),0)</f>
        <v>640501509.6821388</v>
      </c>
      <c r="T635" s="246">
        <f>IFERROR(VLOOKUP(F635,PROGRAMAS[],2,FALSE),0)</f>
        <v>3062327798.1525245</v>
      </c>
      <c r="U635" s="246">
        <f>IFERROR(VLOOKUP(G635,PROGRAMAS[],2,FALSE),0)</f>
        <v>67697118.033011258</v>
      </c>
      <c r="V635" s="246">
        <f>IFERROR(VLOOKUP(H635,PROGRAMAS[],2,FALSE),0)</f>
        <v>1440941976.2528784</v>
      </c>
      <c r="W635" s="246">
        <f>IFERROR(VLOOKUP(I635,PROGRAMAS[],2,FALSE),0)</f>
        <v>764796700.79905891</v>
      </c>
      <c r="X635" s="246">
        <f>IFERROR(VLOOKUP(J635,PROGRAMAS[],2,FALSE),0)</f>
        <v>122159672.96346797</v>
      </c>
      <c r="Y635" s="246">
        <f>IFERROR(VLOOKUP(K635,PROGRAMAS[],2,FALSE),0)</f>
        <v>1892779498.5211046</v>
      </c>
      <c r="Z635" s="246">
        <f>IFERROR(VLOOKUP(L635,PROGRAMAS[],2,FALSE),0)</f>
        <v>0</v>
      </c>
      <c r="AA635" s="246">
        <f>IFERROR(VLOOKUP(M635,PROGRAMAS[],2,FALSE),0)</f>
        <v>0</v>
      </c>
      <c r="AB635" s="246">
        <f>IFERROR(VLOOKUP(N635,PROGRAMAS[],2,FALSE),0)</f>
        <v>0</v>
      </c>
      <c r="AC635" s="246">
        <f>IFERROR(VLOOKUP(O635,PROGRAMAS[],2,FALSE),0)</f>
        <v>0</v>
      </c>
      <c r="AD635" s="246">
        <f>IFERROR(VLOOKUP(P635,PROGRAMAS[],2,FALSE),0)</f>
        <v>0</v>
      </c>
      <c r="AE635" s="246">
        <f>IFERROR(VLOOKUP(Q635,PROGRAMAS[],2,FALSE),0)</f>
        <v>0</v>
      </c>
      <c r="AF635" s="246">
        <f>IFERROR(VLOOKUP(D635,PROGRAMAS[],3,FALSE),0)</f>
        <v>841888629.31080008</v>
      </c>
      <c r="AG635" s="246">
        <f>IFERROR(VLOOKUP(E635,PROGRAMAS[],3,FALSE),0)</f>
        <v>3848980803.1642323</v>
      </c>
      <c r="AH635" s="246">
        <f>IFERROR(VLOOKUP(F635,PROGRAMAS[],3,FALSE),0)</f>
        <v>3394901471.387517</v>
      </c>
      <c r="AI635" s="246">
        <f>IFERROR(VLOOKUP(G635,PROGRAMAS[],3,FALSE),0)</f>
        <v>125317226.95549992</v>
      </c>
      <c r="AJ635" s="246">
        <f>IFERROR(VLOOKUP(H635,PROGRAMAS[],3,FALSE),0)</f>
        <v>1233505101.0616004</v>
      </c>
      <c r="AK635" s="246">
        <f>IFERROR(VLOOKUP(I635,PROGRAMAS[],3,FALSE),0)</f>
        <v>675517840.109828</v>
      </c>
      <c r="AL635" s="246">
        <f>IFERROR(VLOOKUP(J635,PROGRAMAS[],3,FALSE),0)</f>
        <v>118617452.52510804</v>
      </c>
      <c r="AM635" s="246">
        <f>IFERROR(VLOOKUP(K635,PROGRAMAS[],3,FALSE),0)</f>
        <v>948595847.09039903</v>
      </c>
      <c r="AN635" s="246">
        <f>IFERROR(VLOOKUP(L635,PROGRAMAS[],3,FALSE),0)</f>
        <v>0</v>
      </c>
      <c r="AO635" s="246">
        <f>IFERROR(VLOOKUP(M635,PROGRAMAS[],3,FALSE),0)</f>
        <v>0</v>
      </c>
      <c r="AP635" s="246">
        <f>IFERROR(VLOOKUP(N635,PROGRAMAS[],3,FALSE),0)</f>
        <v>0</v>
      </c>
      <c r="AQ635" s="246">
        <f>IFERROR(VLOOKUP(O635,PROGRAMAS[],3,FALSE),0)</f>
        <v>0</v>
      </c>
      <c r="AR635" s="246">
        <f>IFERROR(VLOOKUP(P635,PROGRAMAS[],3,FALSE),0)</f>
        <v>0</v>
      </c>
      <c r="AS635" s="246">
        <f>IFERROR(VLOOKUP(Q635,PROGRAMAS[],3,FALSE),0)</f>
        <v>0</v>
      </c>
      <c r="AT635" s="246">
        <f>IFERROR(VLOOKUP(D635,VOL_REC[],2,FALSE),0)</f>
        <v>0</v>
      </c>
      <c r="AU635" s="246">
        <f>IFERROR(VLOOKUP(E635,VOL_REC[],2,FALSE),0)</f>
        <v>0</v>
      </c>
      <c r="AV635" s="246">
        <f>IFERROR(VLOOKUP(F635,VOL_REC[],2,FALSE),0)</f>
        <v>11089674.200000001</v>
      </c>
      <c r="AW635" s="246">
        <f>IFERROR(VLOOKUP(G635,VOL_REC[],2,FALSE),0)</f>
        <v>90439.55</v>
      </c>
      <c r="AX635" s="246">
        <f>IFERROR(VLOOKUP(H635,VOL_REC[],2,FALSE),0)</f>
        <v>4325103.1812214684</v>
      </c>
      <c r="AY635" s="246">
        <f>IFERROR(VLOOKUP(I635,VOL_REC[],2,FALSE),0)</f>
        <v>240696.79238099116</v>
      </c>
      <c r="AZ635" s="246">
        <f>IFERROR(VLOOKUP(J635,VOL_REC[],2,FALSE),0)</f>
        <v>105072</v>
      </c>
      <c r="BA635" s="246">
        <f>IFERROR(VLOOKUP(K635,VOL_REC[],2,FALSE),0)</f>
        <v>740113.98115702497</v>
      </c>
      <c r="BB635" s="246">
        <f>IFERROR(VLOOKUP(L635,VOL_REC[],2,FALSE),0)</f>
        <v>0</v>
      </c>
      <c r="BC635" s="246">
        <f>IFERROR(VLOOKUP(M635,VOL_REC[],2,FALSE),0)</f>
        <v>0</v>
      </c>
      <c r="BD635" s="246">
        <f>IFERROR(VLOOKUP(N635,VOL_REC[],2,FALSE),0)</f>
        <v>0</v>
      </c>
      <c r="BE635" s="246">
        <f>IFERROR(VLOOKUP(O635,VOL_REC[],2,FALSE),0)</f>
        <v>0</v>
      </c>
      <c r="BF635" s="246">
        <f>IFERROR(VLOOKUP(P635,VOL_REC[],2,FALSE),0)</f>
        <v>0</v>
      </c>
      <c r="BG635" s="246">
        <f>IFERROR(VLOOKUP(Q635,VOL_REC[],2,FALSE),0)</f>
        <v>0</v>
      </c>
      <c r="BH635" s="1710">
        <f t="shared" si="36"/>
        <v>8088242078.0835619</v>
      </c>
      <c r="BI635" s="1710">
        <f t="shared" si="37"/>
        <v>11187324371.604986</v>
      </c>
      <c r="BJ635" s="1711">
        <f t="shared" si="38"/>
        <v>16591099.704759486</v>
      </c>
      <c r="BK635" s="1711">
        <f t="shared" si="39"/>
        <v>0.72298270877106829</v>
      </c>
    </row>
    <row r="636" spans="3:67" x14ac:dyDescent="0.25">
      <c r="C636" s="246" t="s">
        <v>1986</v>
      </c>
      <c r="D636" s="246">
        <v>1</v>
      </c>
      <c r="E636" s="246">
        <v>2</v>
      </c>
      <c r="F636" s="246">
        <v>3</v>
      </c>
      <c r="G636" s="246">
        <v>4</v>
      </c>
      <c r="H636" s="246">
        <v>5</v>
      </c>
      <c r="I636" s="246">
        <v>12</v>
      </c>
      <c r="J636" s="246">
        <v>16</v>
      </c>
      <c r="K636" s="246">
        <v>17</v>
      </c>
      <c r="L636" s="246"/>
      <c r="M636" s="246"/>
      <c r="N636" s="246"/>
      <c r="O636" s="246"/>
      <c r="P636" s="246"/>
      <c r="Q636" s="246"/>
      <c r="R636" s="246">
        <f>IFERROR(VLOOKUP(D636,PROGRAMAS[],2,FALSE),0)</f>
        <v>97037803.679377079</v>
      </c>
      <c r="S636" s="246">
        <f>IFERROR(VLOOKUP(E636,PROGRAMAS[],2,FALSE),0)</f>
        <v>640501509.6821388</v>
      </c>
      <c r="T636" s="246">
        <f>IFERROR(VLOOKUP(F636,PROGRAMAS[],2,FALSE),0)</f>
        <v>3062327798.1525245</v>
      </c>
      <c r="U636" s="246">
        <f>IFERROR(VLOOKUP(G636,PROGRAMAS[],2,FALSE),0)</f>
        <v>67697118.033011258</v>
      </c>
      <c r="V636" s="246">
        <f>IFERROR(VLOOKUP(H636,PROGRAMAS[],2,FALSE),0)</f>
        <v>1440941976.2528784</v>
      </c>
      <c r="W636" s="246">
        <f>IFERROR(VLOOKUP(I636,PROGRAMAS[],2,FALSE),0)</f>
        <v>764796700.79905891</v>
      </c>
      <c r="X636" s="246">
        <f>IFERROR(VLOOKUP(J636,PROGRAMAS[],2,FALSE),0)</f>
        <v>7068496961.0436354</v>
      </c>
      <c r="Y636" s="246">
        <f>IFERROR(VLOOKUP(K636,PROGRAMAS[],2,FALSE),0)</f>
        <v>1892779498.5211046</v>
      </c>
      <c r="Z636" s="246">
        <f>IFERROR(VLOOKUP(L636,PROGRAMAS[],2,FALSE),0)</f>
        <v>0</v>
      </c>
      <c r="AA636" s="246">
        <f>IFERROR(VLOOKUP(M636,PROGRAMAS[],2,FALSE),0)</f>
        <v>0</v>
      </c>
      <c r="AB636" s="246">
        <f>IFERROR(VLOOKUP(N636,PROGRAMAS[],2,FALSE),0)</f>
        <v>0</v>
      </c>
      <c r="AC636" s="246">
        <f>IFERROR(VLOOKUP(O636,PROGRAMAS[],2,FALSE),0)</f>
        <v>0</v>
      </c>
      <c r="AD636" s="246">
        <f>IFERROR(VLOOKUP(P636,PROGRAMAS[],2,FALSE),0)</f>
        <v>0</v>
      </c>
      <c r="AE636" s="246">
        <f>IFERROR(VLOOKUP(Q636,PROGRAMAS[],2,FALSE),0)</f>
        <v>0</v>
      </c>
      <c r="AF636" s="246">
        <f>IFERROR(VLOOKUP(D636,PROGRAMAS[],3,FALSE),0)</f>
        <v>841888629.31080008</v>
      </c>
      <c r="AG636" s="246">
        <f>IFERROR(VLOOKUP(E636,PROGRAMAS[],3,FALSE),0)</f>
        <v>3848980803.1642323</v>
      </c>
      <c r="AH636" s="246">
        <f>IFERROR(VLOOKUP(F636,PROGRAMAS[],3,FALSE),0)</f>
        <v>3394901471.387517</v>
      </c>
      <c r="AI636" s="246">
        <f>IFERROR(VLOOKUP(G636,PROGRAMAS[],3,FALSE),0)</f>
        <v>125317226.95549992</v>
      </c>
      <c r="AJ636" s="246">
        <f>IFERROR(VLOOKUP(H636,PROGRAMAS[],3,FALSE),0)</f>
        <v>1233505101.0616004</v>
      </c>
      <c r="AK636" s="246">
        <f>IFERROR(VLOOKUP(I636,PROGRAMAS[],3,FALSE),0)</f>
        <v>675517840.109828</v>
      </c>
      <c r="AL636" s="246">
        <f>IFERROR(VLOOKUP(J636,PROGRAMAS[],3,FALSE),0)</f>
        <v>2406564599.0319901</v>
      </c>
      <c r="AM636" s="246">
        <f>IFERROR(VLOOKUP(K636,PROGRAMAS[],3,FALSE),0)</f>
        <v>948595847.09039903</v>
      </c>
      <c r="AN636" s="246">
        <f>IFERROR(VLOOKUP(L636,PROGRAMAS[],3,FALSE),0)</f>
        <v>0</v>
      </c>
      <c r="AO636" s="246">
        <f>IFERROR(VLOOKUP(M636,PROGRAMAS[],3,FALSE),0)</f>
        <v>0</v>
      </c>
      <c r="AP636" s="246">
        <f>IFERROR(VLOOKUP(N636,PROGRAMAS[],3,FALSE),0)</f>
        <v>0</v>
      </c>
      <c r="AQ636" s="246">
        <f>IFERROR(VLOOKUP(O636,PROGRAMAS[],3,FALSE),0)</f>
        <v>0</v>
      </c>
      <c r="AR636" s="246">
        <f>IFERROR(VLOOKUP(P636,PROGRAMAS[],3,FALSE),0)</f>
        <v>0</v>
      </c>
      <c r="AS636" s="246">
        <f>IFERROR(VLOOKUP(Q636,PROGRAMAS[],3,FALSE),0)</f>
        <v>0</v>
      </c>
      <c r="AT636" s="246">
        <f>IFERROR(VLOOKUP(D636,VOL_REC[],2,FALSE),0)</f>
        <v>0</v>
      </c>
      <c r="AU636" s="246">
        <f>IFERROR(VLOOKUP(E636,VOL_REC[],2,FALSE),0)</f>
        <v>0</v>
      </c>
      <c r="AV636" s="246">
        <f>IFERROR(VLOOKUP(F636,VOL_REC[],2,FALSE),0)</f>
        <v>11089674.200000001</v>
      </c>
      <c r="AW636" s="246">
        <f>IFERROR(VLOOKUP(G636,VOL_REC[],2,FALSE),0)</f>
        <v>90439.55</v>
      </c>
      <c r="AX636" s="246">
        <f>IFERROR(VLOOKUP(H636,VOL_REC[],2,FALSE),0)</f>
        <v>4325103.1812214684</v>
      </c>
      <c r="AY636" s="246">
        <f>IFERROR(VLOOKUP(I636,VOL_REC[],2,FALSE),0)</f>
        <v>240696.79238099116</v>
      </c>
      <c r="AZ636" s="246">
        <f>IFERROR(VLOOKUP(J636,VOL_REC[],2,FALSE),0)</f>
        <v>1072354.9981737854</v>
      </c>
      <c r="BA636" s="246">
        <f>IFERROR(VLOOKUP(K636,VOL_REC[],2,FALSE),0)</f>
        <v>740113.98115702497</v>
      </c>
      <c r="BB636" s="246">
        <f>IFERROR(VLOOKUP(L636,VOL_REC[],2,FALSE),0)</f>
        <v>0</v>
      </c>
      <c r="BC636" s="246">
        <f>IFERROR(VLOOKUP(M636,VOL_REC[],2,FALSE),0)</f>
        <v>0</v>
      </c>
      <c r="BD636" s="246">
        <f>IFERROR(VLOOKUP(N636,VOL_REC[],2,FALSE),0)</f>
        <v>0</v>
      </c>
      <c r="BE636" s="246">
        <f>IFERROR(VLOOKUP(O636,VOL_REC[],2,FALSE),0)</f>
        <v>0</v>
      </c>
      <c r="BF636" s="246">
        <f>IFERROR(VLOOKUP(P636,VOL_REC[],2,FALSE),0)</f>
        <v>0</v>
      </c>
      <c r="BG636" s="246">
        <f>IFERROR(VLOOKUP(Q636,VOL_REC[],2,FALSE),0)</f>
        <v>0</v>
      </c>
      <c r="BH636" s="1710">
        <f t="shared" si="36"/>
        <v>15034579366.163729</v>
      </c>
      <c r="BI636" s="1710">
        <f t="shared" si="37"/>
        <v>13475271518.111868</v>
      </c>
      <c r="BJ636" s="1711">
        <f t="shared" si="38"/>
        <v>17558382.70293327</v>
      </c>
      <c r="BK636" s="1711">
        <f t="shared" si="39"/>
        <v>1.1157162470497179</v>
      </c>
      <c r="BL636">
        <f>BJ636</f>
        <v>17558382.70293327</v>
      </c>
      <c r="BO636">
        <f>BL636</f>
        <v>17558382.70293327</v>
      </c>
    </row>
    <row r="637" spans="3:67" x14ac:dyDescent="0.25">
      <c r="C637" s="246" t="s">
        <v>1987</v>
      </c>
      <c r="D637" s="246">
        <v>1</v>
      </c>
      <c r="E637" s="246">
        <v>2</v>
      </c>
      <c r="F637" s="246">
        <v>3</v>
      </c>
      <c r="G637" s="246">
        <v>4</v>
      </c>
      <c r="H637" s="246">
        <v>5</v>
      </c>
      <c r="I637" s="246">
        <v>13</v>
      </c>
      <c r="J637" s="246">
        <v>14</v>
      </c>
      <c r="K637" s="246">
        <v>15</v>
      </c>
      <c r="L637" s="246"/>
      <c r="M637" s="246"/>
      <c r="N637" s="246"/>
      <c r="O637" s="246"/>
      <c r="P637" s="246"/>
      <c r="Q637" s="246"/>
      <c r="R637" s="246">
        <f>IFERROR(VLOOKUP(D637,PROGRAMAS[],2,FALSE),0)</f>
        <v>97037803.679377079</v>
      </c>
      <c r="S637" s="246">
        <f>IFERROR(VLOOKUP(E637,PROGRAMAS[],2,FALSE),0)</f>
        <v>640501509.6821388</v>
      </c>
      <c r="T637" s="246">
        <f>IFERROR(VLOOKUP(F637,PROGRAMAS[],2,FALSE),0)</f>
        <v>3062327798.1525245</v>
      </c>
      <c r="U637" s="246">
        <f>IFERROR(VLOOKUP(G637,PROGRAMAS[],2,FALSE),0)</f>
        <v>67697118.033011258</v>
      </c>
      <c r="V637" s="246">
        <f>IFERROR(VLOOKUP(H637,PROGRAMAS[],2,FALSE),0)</f>
        <v>1440941976.2528784</v>
      </c>
      <c r="W637" s="246">
        <f>IFERROR(VLOOKUP(I637,PROGRAMAS[],2,FALSE),0)</f>
        <v>3776538594.4604583</v>
      </c>
      <c r="X637" s="246">
        <f>IFERROR(VLOOKUP(J637,PROGRAMAS[],2,FALSE),0)</f>
        <v>54223862.645839565</v>
      </c>
      <c r="Y637" s="246">
        <f>IFERROR(VLOOKUP(K637,PROGRAMAS[],2,FALSE),0)</f>
        <v>122159672.96346797</v>
      </c>
      <c r="Z637" s="246">
        <f>IFERROR(VLOOKUP(L637,PROGRAMAS[],2,FALSE),0)</f>
        <v>0</v>
      </c>
      <c r="AA637" s="246">
        <f>IFERROR(VLOOKUP(M637,PROGRAMAS[],2,FALSE),0)</f>
        <v>0</v>
      </c>
      <c r="AB637" s="246">
        <f>IFERROR(VLOOKUP(N637,PROGRAMAS[],2,FALSE),0)</f>
        <v>0</v>
      </c>
      <c r="AC637" s="246">
        <f>IFERROR(VLOOKUP(O637,PROGRAMAS[],2,FALSE),0)</f>
        <v>0</v>
      </c>
      <c r="AD637" s="246">
        <f>IFERROR(VLOOKUP(P637,PROGRAMAS[],2,FALSE),0)</f>
        <v>0</v>
      </c>
      <c r="AE637" s="246">
        <f>IFERROR(VLOOKUP(Q637,PROGRAMAS[],2,FALSE),0)</f>
        <v>0</v>
      </c>
      <c r="AF637" s="246">
        <f>IFERROR(VLOOKUP(D637,PROGRAMAS[],3,FALSE),0)</f>
        <v>841888629.31080008</v>
      </c>
      <c r="AG637" s="246">
        <f>IFERROR(VLOOKUP(E637,PROGRAMAS[],3,FALSE),0)</f>
        <v>3848980803.1642323</v>
      </c>
      <c r="AH637" s="246">
        <f>IFERROR(VLOOKUP(F637,PROGRAMAS[],3,FALSE),0)</f>
        <v>3394901471.387517</v>
      </c>
      <c r="AI637" s="246">
        <f>IFERROR(VLOOKUP(G637,PROGRAMAS[],3,FALSE),0)</f>
        <v>125317226.95549992</v>
      </c>
      <c r="AJ637" s="246">
        <f>IFERROR(VLOOKUP(H637,PROGRAMAS[],3,FALSE),0)</f>
        <v>1233505101.0616004</v>
      </c>
      <c r="AK637" s="246">
        <f>IFERROR(VLOOKUP(I637,PROGRAMAS[],3,FALSE),0)</f>
        <v>2392571243.5584412</v>
      </c>
      <c r="AL637" s="246">
        <f>IFERROR(VLOOKUP(J637,PROGRAMAS[],3,FALSE),0)</f>
        <v>31865326.38096505</v>
      </c>
      <c r="AM637" s="246">
        <f>IFERROR(VLOOKUP(K637,PROGRAMAS[],3,FALSE),0)</f>
        <v>118617452.52510804</v>
      </c>
      <c r="AN637" s="246">
        <f>IFERROR(VLOOKUP(L637,PROGRAMAS[],3,FALSE),0)</f>
        <v>0</v>
      </c>
      <c r="AO637" s="246">
        <f>IFERROR(VLOOKUP(M637,PROGRAMAS[],3,FALSE),0)</f>
        <v>0</v>
      </c>
      <c r="AP637" s="246">
        <f>IFERROR(VLOOKUP(N637,PROGRAMAS[],3,FALSE),0)</f>
        <v>0</v>
      </c>
      <c r="AQ637" s="246">
        <f>IFERROR(VLOOKUP(O637,PROGRAMAS[],3,FALSE),0)</f>
        <v>0</v>
      </c>
      <c r="AR637" s="246">
        <f>IFERROR(VLOOKUP(P637,PROGRAMAS[],3,FALSE),0)</f>
        <v>0</v>
      </c>
      <c r="AS637" s="246">
        <f>IFERROR(VLOOKUP(Q637,PROGRAMAS[],3,FALSE),0)</f>
        <v>0</v>
      </c>
      <c r="AT637" s="246">
        <f>IFERROR(VLOOKUP(D637,VOL_REC[],2,FALSE),0)</f>
        <v>0</v>
      </c>
      <c r="AU637" s="246">
        <f>IFERROR(VLOOKUP(E637,VOL_REC[],2,FALSE),0)</f>
        <v>0</v>
      </c>
      <c r="AV637" s="246">
        <f>IFERROR(VLOOKUP(F637,VOL_REC[],2,FALSE),0)</f>
        <v>11089674.200000001</v>
      </c>
      <c r="AW637" s="246">
        <f>IFERROR(VLOOKUP(G637,VOL_REC[],2,FALSE),0)</f>
        <v>90439.55</v>
      </c>
      <c r="AX637" s="246">
        <f>IFERROR(VLOOKUP(H637,VOL_REC[],2,FALSE),0)</f>
        <v>4325103.1812214684</v>
      </c>
      <c r="AY637" s="246">
        <f>IFERROR(VLOOKUP(I637,VOL_REC[],2,FALSE),0)</f>
        <v>663244.80000000016</v>
      </c>
      <c r="AZ637" s="246">
        <f>IFERROR(VLOOKUP(J637,VOL_REC[],2,FALSE),0)</f>
        <v>17074.045034105649</v>
      </c>
      <c r="BA637" s="246">
        <f>IFERROR(VLOOKUP(K637,VOL_REC[],2,FALSE),0)</f>
        <v>105072</v>
      </c>
      <c r="BB637" s="246">
        <f>IFERROR(VLOOKUP(L637,VOL_REC[],2,FALSE),0)</f>
        <v>0</v>
      </c>
      <c r="BC637" s="246">
        <f>IFERROR(VLOOKUP(M637,VOL_REC[],2,FALSE),0)</f>
        <v>0</v>
      </c>
      <c r="BD637" s="246">
        <f>IFERROR(VLOOKUP(N637,VOL_REC[],2,FALSE),0)</f>
        <v>0</v>
      </c>
      <c r="BE637" s="246">
        <f>IFERROR(VLOOKUP(O637,VOL_REC[],2,FALSE),0)</f>
        <v>0</v>
      </c>
      <c r="BF637" s="246">
        <f>IFERROR(VLOOKUP(P637,VOL_REC[],2,FALSE),0)</f>
        <v>0</v>
      </c>
      <c r="BG637" s="246">
        <f>IFERROR(VLOOKUP(Q637,VOL_REC[],2,FALSE),0)</f>
        <v>0</v>
      </c>
      <c r="BH637" s="1710">
        <f t="shared" si="36"/>
        <v>9261428335.8696976</v>
      </c>
      <c r="BI637" s="1710">
        <f t="shared" si="37"/>
        <v>11987647254.344164</v>
      </c>
      <c r="BJ637" s="1711">
        <f t="shared" si="38"/>
        <v>16290607.776255576</v>
      </c>
      <c r="BK637" s="1711">
        <f t="shared" si="39"/>
        <v>0.77258098602404901</v>
      </c>
    </row>
    <row r="638" spans="3:67" x14ac:dyDescent="0.25">
      <c r="C638" s="246" t="s">
        <v>1988</v>
      </c>
      <c r="D638" s="246">
        <v>1</v>
      </c>
      <c r="E638" s="246">
        <v>2</v>
      </c>
      <c r="F638" s="246">
        <v>3</v>
      </c>
      <c r="G638" s="246">
        <v>4</v>
      </c>
      <c r="H638" s="246">
        <v>5</v>
      </c>
      <c r="I638" s="246">
        <v>13</v>
      </c>
      <c r="J638" s="246">
        <v>14</v>
      </c>
      <c r="K638" s="246">
        <v>16</v>
      </c>
      <c r="L638" s="246"/>
      <c r="M638" s="246"/>
      <c r="N638" s="246"/>
      <c r="O638" s="246"/>
      <c r="P638" s="246"/>
      <c r="Q638" s="246"/>
      <c r="R638" s="246">
        <f>IFERROR(VLOOKUP(D638,PROGRAMAS[],2,FALSE),0)</f>
        <v>97037803.679377079</v>
      </c>
      <c r="S638" s="246">
        <f>IFERROR(VLOOKUP(E638,PROGRAMAS[],2,FALSE),0)</f>
        <v>640501509.6821388</v>
      </c>
      <c r="T638" s="246">
        <f>IFERROR(VLOOKUP(F638,PROGRAMAS[],2,FALSE),0)</f>
        <v>3062327798.1525245</v>
      </c>
      <c r="U638" s="246">
        <f>IFERROR(VLOOKUP(G638,PROGRAMAS[],2,FALSE),0)</f>
        <v>67697118.033011258</v>
      </c>
      <c r="V638" s="246">
        <f>IFERROR(VLOOKUP(H638,PROGRAMAS[],2,FALSE),0)</f>
        <v>1440941976.2528784</v>
      </c>
      <c r="W638" s="246">
        <f>IFERROR(VLOOKUP(I638,PROGRAMAS[],2,FALSE),0)</f>
        <v>3776538594.4604583</v>
      </c>
      <c r="X638" s="246">
        <f>IFERROR(VLOOKUP(J638,PROGRAMAS[],2,FALSE),0)</f>
        <v>54223862.645839565</v>
      </c>
      <c r="Y638" s="246">
        <f>IFERROR(VLOOKUP(K638,PROGRAMAS[],2,FALSE),0)</f>
        <v>7068496961.0436354</v>
      </c>
      <c r="Z638" s="246">
        <f>IFERROR(VLOOKUP(L638,PROGRAMAS[],2,FALSE),0)</f>
        <v>0</v>
      </c>
      <c r="AA638" s="246">
        <f>IFERROR(VLOOKUP(M638,PROGRAMAS[],2,FALSE),0)</f>
        <v>0</v>
      </c>
      <c r="AB638" s="246">
        <f>IFERROR(VLOOKUP(N638,PROGRAMAS[],2,FALSE),0)</f>
        <v>0</v>
      </c>
      <c r="AC638" s="246">
        <f>IFERROR(VLOOKUP(O638,PROGRAMAS[],2,FALSE),0)</f>
        <v>0</v>
      </c>
      <c r="AD638" s="246">
        <f>IFERROR(VLOOKUP(P638,PROGRAMAS[],2,FALSE),0)</f>
        <v>0</v>
      </c>
      <c r="AE638" s="246">
        <f>IFERROR(VLOOKUP(Q638,PROGRAMAS[],2,FALSE),0)</f>
        <v>0</v>
      </c>
      <c r="AF638" s="246">
        <f>IFERROR(VLOOKUP(D638,PROGRAMAS[],3,FALSE),0)</f>
        <v>841888629.31080008</v>
      </c>
      <c r="AG638" s="246">
        <f>IFERROR(VLOOKUP(E638,PROGRAMAS[],3,FALSE),0)</f>
        <v>3848980803.1642323</v>
      </c>
      <c r="AH638" s="246">
        <f>IFERROR(VLOOKUP(F638,PROGRAMAS[],3,FALSE),0)</f>
        <v>3394901471.387517</v>
      </c>
      <c r="AI638" s="246">
        <f>IFERROR(VLOOKUP(G638,PROGRAMAS[],3,FALSE),0)</f>
        <v>125317226.95549992</v>
      </c>
      <c r="AJ638" s="246">
        <f>IFERROR(VLOOKUP(H638,PROGRAMAS[],3,FALSE),0)</f>
        <v>1233505101.0616004</v>
      </c>
      <c r="AK638" s="246">
        <f>IFERROR(VLOOKUP(I638,PROGRAMAS[],3,FALSE),0)</f>
        <v>2392571243.5584412</v>
      </c>
      <c r="AL638" s="246">
        <f>IFERROR(VLOOKUP(J638,PROGRAMAS[],3,FALSE),0)</f>
        <v>31865326.38096505</v>
      </c>
      <c r="AM638" s="246">
        <f>IFERROR(VLOOKUP(K638,PROGRAMAS[],3,FALSE),0)</f>
        <v>2406564599.0319901</v>
      </c>
      <c r="AN638" s="246">
        <f>IFERROR(VLOOKUP(L638,PROGRAMAS[],3,FALSE),0)</f>
        <v>0</v>
      </c>
      <c r="AO638" s="246">
        <f>IFERROR(VLOOKUP(M638,PROGRAMAS[],3,FALSE),0)</f>
        <v>0</v>
      </c>
      <c r="AP638" s="246">
        <f>IFERROR(VLOOKUP(N638,PROGRAMAS[],3,FALSE),0)</f>
        <v>0</v>
      </c>
      <c r="AQ638" s="246">
        <f>IFERROR(VLOOKUP(O638,PROGRAMAS[],3,FALSE),0)</f>
        <v>0</v>
      </c>
      <c r="AR638" s="246">
        <f>IFERROR(VLOOKUP(P638,PROGRAMAS[],3,FALSE),0)</f>
        <v>0</v>
      </c>
      <c r="AS638" s="246">
        <f>IFERROR(VLOOKUP(Q638,PROGRAMAS[],3,FALSE),0)</f>
        <v>0</v>
      </c>
      <c r="AT638" s="246">
        <f>IFERROR(VLOOKUP(D638,VOL_REC[],2,FALSE),0)</f>
        <v>0</v>
      </c>
      <c r="AU638" s="246">
        <f>IFERROR(VLOOKUP(E638,VOL_REC[],2,FALSE),0)</f>
        <v>0</v>
      </c>
      <c r="AV638" s="246">
        <f>IFERROR(VLOOKUP(F638,VOL_REC[],2,FALSE),0)</f>
        <v>11089674.200000001</v>
      </c>
      <c r="AW638" s="246">
        <f>IFERROR(VLOOKUP(G638,VOL_REC[],2,FALSE),0)</f>
        <v>90439.55</v>
      </c>
      <c r="AX638" s="246">
        <f>IFERROR(VLOOKUP(H638,VOL_REC[],2,FALSE),0)</f>
        <v>4325103.1812214684</v>
      </c>
      <c r="AY638" s="246">
        <f>IFERROR(VLOOKUP(I638,VOL_REC[],2,FALSE),0)</f>
        <v>663244.80000000016</v>
      </c>
      <c r="AZ638" s="246">
        <f>IFERROR(VLOOKUP(J638,VOL_REC[],2,FALSE),0)</f>
        <v>17074.045034105649</v>
      </c>
      <c r="BA638" s="246">
        <f>IFERROR(VLOOKUP(K638,VOL_REC[],2,FALSE),0)</f>
        <v>1072354.9981737854</v>
      </c>
      <c r="BB638" s="246">
        <f>IFERROR(VLOOKUP(L638,VOL_REC[],2,FALSE),0)</f>
        <v>0</v>
      </c>
      <c r="BC638" s="246">
        <f>IFERROR(VLOOKUP(M638,VOL_REC[],2,FALSE),0)</f>
        <v>0</v>
      </c>
      <c r="BD638" s="246">
        <f>IFERROR(VLOOKUP(N638,VOL_REC[],2,FALSE),0)</f>
        <v>0</v>
      </c>
      <c r="BE638" s="246">
        <f>IFERROR(VLOOKUP(O638,VOL_REC[],2,FALSE),0)</f>
        <v>0</v>
      </c>
      <c r="BF638" s="246">
        <f>IFERROR(VLOOKUP(P638,VOL_REC[],2,FALSE),0)</f>
        <v>0</v>
      </c>
      <c r="BG638" s="246">
        <f>IFERROR(VLOOKUP(Q638,VOL_REC[],2,FALSE),0)</f>
        <v>0</v>
      </c>
      <c r="BH638" s="1710">
        <f t="shared" si="36"/>
        <v>16207765623.949863</v>
      </c>
      <c r="BI638" s="1710">
        <f t="shared" si="37"/>
        <v>14275594400.851046</v>
      </c>
      <c r="BJ638" s="1711">
        <f t="shared" si="38"/>
        <v>17257890.774429362</v>
      </c>
      <c r="BK638" s="1711">
        <f t="shared" si="39"/>
        <v>1.1353478649536044</v>
      </c>
      <c r="BL638">
        <f>BJ638</f>
        <v>17257890.774429362</v>
      </c>
      <c r="BO638">
        <f>BL638</f>
        <v>17257890.774429362</v>
      </c>
    </row>
    <row r="639" spans="3:67" x14ac:dyDescent="0.25">
      <c r="C639" s="246" t="s">
        <v>1989</v>
      </c>
      <c r="D639" s="246">
        <v>1</v>
      </c>
      <c r="E639" s="246">
        <v>2</v>
      </c>
      <c r="F639" s="246">
        <v>3</v>
      </c>
      <c r="G639" s="246">
        <v>4</v>
      </c>
      <c r="H639" s="246">
        <v>5</v>
      </c>
      <c r="I639" s="246">
        <v>13</v>
      </c>
      <c r="J639" s="246">
        <v>14</v>
      </c>
      <c r="K639" s="246">
        <v>17</v>
      </c>
      <c r="L639" s="246"/>
      <c r="M639" s="246"/>
      <c r="N639" s="246"/>
      <c r="O639" s="246"/>
      <c r="P639" s="246"/>
      <c r="Q639" s="246"/>
      <c r="R639" s="246">
        <f>IFERROR(VLOOKUP(D639,PROGRAMAS[],2,FALSE),0)</f>
        <v>97037803.679377079</v>
      </c>
      <c r="S639" s="246">
        <f>IFERROR(VLOOKUP(E639,PROGRAMAS[],2,FALSE),0)</f>
        <v>640501509.6821388</v>
      </c>
      <c r="T639" s="246">
        <f>IFERROR(VLOOKUP(F639,PROGRAMAS[],2,FALSE),0)</f>
        <v>3062327798.1525245</v>
      </c>
      <c r="U639" s="246">
        <f>IFERROR(VLOOKUP(G639,PROGRAMAS[],2,FALSE),0)</f>
        <v>67697118.033011258</v>
      </c>
      <c r="V639" s="246">
        <f>IFERROR(VLOOKUP(H639,PROGRAMAS[],2,FALSE),0)</f>
        <v>1440941976.2528784</v>
      </c>
      <c r="W639" s="246">
        <f>IFERROR(VLOOKUP(I639,PROGRAMAS[],2,FALSE),0)</f>
        <v>3776538594.4604583</v>
      </c>
      <c r="X639" s="246">
        <f>IFERROR(VLOOKUP(J639,PROGRAMAS[],2,FALSE),0)</f>
        <v>54223862.645839565</v>
      </c>
      <c r="Y639" s="246">
        <f>IFERROR(VLOOKUP(K639,PROGRAMAS[],2,FALSE),0)</f>
        <v>1892779498.5211046</v>
      </c>
      <c r="Z639" s="246">
        <f>IFERROR(VLOOKUP(L639,PROGRAMAS[],2,FALSE),0)</f>
        <v>0</v>
      </c>
      <c r="AA639" s="246">
        <f>IFERROR(VLOOKUP(M639,PROGRAMAS[],2,FALSE),0)</f>
        <v>0</v>
      </c>
      <c r="AB639" s="246">
        <f>IFERROR(VLOOKUP(N639,PROGRAMAS[],2,FALSE),0)</f>
        <v>0</v>
      </c>
      <c r="AC639" s="246">
        <f>IFERROR(VLOOKUP(O639,PROGRAMAS[],2,FALSE),0)</f>
        <v>0</v>
      </c>
      <c r="AD639" s="246">
        <f>IFERROR(VLOOKUP(P639,PROGRAMAS[],2,FALSE),0)</f>
        <v>0</v>
      </c>
      <c r="AE639" s="246">
        <f>IFERROR(VLOOKUP(Q639,PROGRAMAS[],2,FALSE),0)</f>
        <v>0</v>
      </c>
      <c r="AF639" s="246">
        <f>IFERROR(VLOOKUP(D639,PROGRAMAS[],3,FALSE),0)</f>
        <v>841888629.31080008</v>
      </c>
      <c r="AG639" s="246">
        <f>IFERROR(VLOOKUP(E639,PROGRAMAS[],3,FALSE),0)</f>
        <v>3848980803.1642323</v>
      </c>
      <c r="AH639" s="246">
        <f>IFERROR(VLOOKUP(F639,PROGRAMAS[],3,FALSE),0)</f>
        <v>3394901471.387517</v>
      </c>
      <c r="AI639" s="246">
        <f>IFERROR(VLOOKUP(G639,PROGRAMAS[],3,FALSE),0)</f>
        <v>125317226.95549992</v>
      </c>
      <c r="AJ639" s="246">
        <f>IFERROR(VLOOKUP(H639,PROGRAMAS[],3,FALSE),0)</f>
        <v>1233505101.0616004</v>
      </c>
      <c r="AK639" s="246">
        <f>IFERROR(VLOOKUP(I639,PROGRAMAS[],3,FALSE),0)</f>
        <v>2392571243.5584412</v>
      </c>
      <c r="AL639" s="246">
        <f>IFERROR(VLOOKUP(J639,PROGRAMAS[],3,FALSE),0)</f>
        <v>31865326.38096505</v>
      </c>
      <c r="AM639" s="246">
        <f>IFERROR(VLOOKUP(K639,PROGRAMAS[],3,FALSE),0)</f>
        <v>948595847.09039903</v>
      </c>
      <c r="AN639" s="246">
        <f>IFERROR(VLOOKUP(L639,PROGRAMAS[],3,FALSE),0)</f>
        <v>0</v>
      </c>
      <c r="AO639" s="246">
        <f>IFERROR(VLOOKUP(M639,PROGRAMAS[],3,FALSE),0)</f>
        <v>0</v>
      </c>
      <c r="AP639" s="246">
        <f>IFERROR(VLOOKUP(N639,PROGRAMAS[],3,FALSE),0)</f>
        <v>0</v>
      </c>
      <c r="AQ639" s="246">
        <f>IFERROR(VLOOKUP(O639,PROGRAMAS[],3,FALSE),0)</f>
        <v>0</v>
      </c>
      <c r="AR639" s="246">
        <f>IFERROR(VLOOKUP(P639,PROGRAMAS[],3,FALSE),0)</f>
        <v>0</v>
      </c>
      <c r="AS639" s="246">
        <f>IFERROR(VLOOKUP(Q639,PROGRAMAS[],3,FALSE),0)</f>
        <v>0</v>
      </c>
      <c r="AT639" s="246">
        <f>IFERROR(VLOOKUP(D639,VOL_REC[],2,FALSE),0)</f>
        <v>0</v>
      </c>
      <c r="AU639" s="246">
        <f>IFERROR(VLOOKUP(E639,VOL_REC[],2,FALSE),0)</f>
        <v>0</v>
      </c>
      <c r="AV639" s="246">
        <f>IFERROR(VLOOKUP(F639,VOL_REC[],2,FALSE),0)</f>
        <v>11089674.200000001</v>
      </c>
      <c r="AW639" s="246">
        <f>IFERROR(VLOOKUP(G639,VOL_REC[],2,FALSE),0)</f>
        <v>90439.55</v>
      </c>
      <c r="AX639" s="246">
        <f>IFERROR(VLOOKUP(H639,VOL_REC[],2,FALSE),0)</f>
        <v>4325103.1812214684</v>
      </c>
      <c r="AY639" s="246">
        <f>IFERROR(VLOOKUP(I639,VOL_REC[],2,FALSE),0)</f>
        <v>663244.80000000016</v>
      </c>
      <c r="AZ639" s="246">
        <f>IFERROR(VLOOKUP(J639,VOL_REC[],2,FALSE),0)</f>
        <v>17074.045034105649</v>
      </c>
      <c r="BA639" s="246">
        <f>IFERROR(VLOOKUP(K639,VOL_REC[],2,FALSE),0)</f>
        <v>740113.98115702497</v>
      </c>
      <c r="BB639" s="246">
        <f>IFERROR(VLOOKUP(L639,VOL_REC[],2,FALSE),0)</f>
        <v>0</v>
      </c>
      <c r="BC639" s="246">
        <f>IFERROR(VLOOKUP(M639,VOL_REC[],2,FALSE),0)</f>
        <v>0</v>
      </c>
      <c r="BD639" s="246">
        <f>IFERROR(VLOOKUP(N639,VOL_REC[],2,FALSE),0)</f>
        <v>0</v>
      </c>
      <c r="BE639" s="246">
        <f>IFERROR(VLOOKUP(O639,VOL_REC[],2,FALSE),0)</f>
        <v>0</v>
      </c>
      <c r="BF639" s="246">
        <f>IFERROR(VLOOKUP(P639,VOL_REC[],2,FALSE),0)</f>
        <v>0</v>
      </c>
      <c r="BG639" s="246">
        <f>IFERROR(VLOOKUP(Q639,VOL_REC[],2,FALSE),0)</f>
        <v>0</v>
      </c>
      <c r="BH639" s="1710">
        <f t="shared" si="36"/>
        <v>11032048161.427334</v>
      </c>
      <c r="BI639" s="1710">
        <f t="shared" si="37"/>
        <v>12817625648.909454</v>
      </c>
      <c r="BJ639" s="1711">
        <f t="shared" si="38"/>
        <v>16925649.757412601</v>
      </c>
      <c r="BK639" s="1711">
        <f t="shared" si="39"/>
        <v>0.86069358425723408</v>
      </c>
    </row>
    <row r="640" spans="3:67" x14ac:dyDescent="0.25">
      <c r="C640" s="246" t="s">
        <v>1990</v>
      </c>
      <c r="D640" s="246">
        <v>1</v>
      </c>
      <c r="E640" s="246">
        <v>2</v>
      </c>
      <c r="F640" s="246">
        <v>3</v>
      </c>
      <c r="G640" s="246">
        <v>4</v>
      </c>
      <c r="H640" s="246">
        <v>5</v>
      </c>
      <c r="I640" s="246">
        <v>13</v>
      </c>
      <c r="J640" s="246">
        <v>15</v>
      </c>
      <c r="K640" s="246">
        <v>16</v>
      </c>
      <c r="L640" s="246"/>
      <c r="M640" s="246"/>
      <c r="N640" s="246"/>
      <c r="O640" s="246"/>
      <c r="P640" s="246"/>
      <c r="Q640" s="246"/>
      <c r="R640" s="246">
        <f>IFERROR(VLOOKUP(D640,PROGRAMAS[],2,FALSE),0)</f>
        <v>97037803.679377079</v>
      </c>
      <c r="S640" s="246">
        <f>IFERROR(VLOOKUP(E640,PROGRAMAS[],2,FALSE),0)</f>
        <v>640501509.6821388</v>
      </c>
      <c r="T640" s="246">
        <f>IFERROR(VLOOKUP(F640,PROGRAMAS[],2,FALSE),0)</f>
        <v>3062327798.1525245</v>
      </c>
      <c r="U640" s="246">
        <f>IFERROR(VLOOKUP(G640,PROGRAMAS[],2,FALSE),0)</f>
        <v>67697118.033011258</v>
      </c>
      <c r="V640" s="246">
        <f>IFERROR(VLOOKUP(H640,PROGRAMAS[],2,FALSE),0)</f>
        <v>1440941976.2528784</v>
      </c>
      <c r="W640" s="246">
        <f>IFERROR(VLOOKUP(I640,PROGRAMAS[],2,FALSE),0)</f>
        <v>3776538594.4604583</v>
      </c>
      <c r="X640" s="246">
        <f>IFERROR(VLOOKUP(J640,PROGRAMAS[],2,FALSE),0)</f>
        <v>122159672.96346797</v>
      </c>
      <c r="Y640" s="246">
        <f>IFERROR(VLOOKUP(K640,PROGRAMAS[],2,FALSE),0)</f>
        <v>7068496961.0436354</v>
      </c>
      <c r="Z640" s="246">
        <f>IFERROR(VLOOKUP(L640,PROGRAMAS[],2,FALSE),0)</f>
        <v>0</v>
      </c>
      <c r="AA640" s="246">
        <f>IFERROR(VLOOKUP(M640,PROGRAMAS[],2,FALSE),0)</f>
        <v>0</v>
      </c>
      <c r="AB640" s="246">
        <f>IFERROR(VLOOKUP(N640,PROGRAMAS[],2,FALSE),0)</f>
        <v>0</v>
      </c>
      <c r="AC640" s="246">
        <f>IFERROR(VLOOKUP(O640,PROGRAMAS[],2,FALSE),0)</f>
        <v>0</v>
      </c>
      <c r="AD640" s="246">
        <f>IFERROR(VLOOKUP(P640,PROGRAMAS[],2,FALSE),0)</f>
        <v>0</v>
      </c>
      <c r="AE640" s="246">
        <f>IFERROR(VLOOKUP(Q640,PROGRAMAS[],2,FALSE),0)</f>
        <v>0</v>
      </c>
      <c r="AF640" s="246">
        <f>IFERROR(VLOOKUP(D640,PROGRAMAS[],3,FALSE),0)</f>
        <v>841888629.31080008</v>
      </c>
      <c r="AG640" s="246">
        <f>IFERROR(VLOOKUP(E640,PROGRAMAS[],3,FALSE),0)</f>
        <v>3848980803.1642323</v>
      </c>
      <c r="AH640" s="246">
        <f>IFERROR(VLOOKUP(F640,PROGRAMAS[],3,FALSE),0)</f>
        <v>3394901471.387517</v>
      </c>
      <c r="AI640" s="246">
        <f>IFERROR(VLOOKUP(G640,PROGRAMAS[],3,FALSE),0)</f>
        <v>125317226.95549992</v>
      </c>
      <c r="AJ640" s="246">
        <f>IFERROR(VLOOKUP(H640,PROGRAMAS[],3,FALSE),0)</f>
        <v>1233505101.0616004</v>
      </c>
      <c r="AK640" s="246">
        <f>IFERROR(VLOOKUP(I640,PROGRAMAS[],3,FALSE),0)</f>
        <v>2392571243.5584412</v>
      </c>
      <c r="AL640" s="246">
        <f>IFERROR(VLOOKUP(J640,PROGRAMAS[],3,FALSE),0)</f>
        <v>118617452.52510804</v>
      </c>
      <c r="AM640" s="246">
        <f>IFERROR(VLOOKUP(K640,PROGRAMAS[],3,FALSE),0)</f>
        <v>2406564599.0319901</v>
      </c>
      <c r="AN640" s="246">
        <f>IFERROR(VLOOKUP(L640,PROGRAMAS[],3,FALSE),0)</f>
        <v>0</v>
      </c>
      <c r="AO640" s="246">
        <f>IFERROR(VLOOKUP(M640,PROGRAMAS[],3,FALSE),0)</f>
        <v>0</v>
      </c>
      <c r="AP640" s="246">
        <f>IFERROR(VLOOKUP(N640,PROGRAMAS[],3,FALSE),0)</f>
        <v>0</v>
      </c>
      <c r="AQ640" s="246">
        <f>IFERROR(VLOOKUP(O640,PROGRAMAS[],3,FALSE),0)</f>
        <v>0</v>
      </c>
      <c r="AR640" s="246">
        <f>IFERROR(VLOOKUP(P640,PROGRAMAS[],3,FALSE),0)</f>
        <v>0</v>
      </c>
      <c r="AS640" s="246">
        <f>IFERROR(VLOOKUP(Q640,PROGRAMAS[],3,FALSE),0)</f>
        <v>0</v>
      </c>
      <c r="AT640" s="246">
        <f>IFERROR(VLOOKUP(D640,VOL_REC[],2,FALSE),0)</f>
        <v>0</v>
      </c>
      <c r="AU640" s="246">
        <f>IFERROR(VLOOKUP(E640,VOL_REC[],2,FALSE),0)</f>
        <v>0</v>
      </c>
      <c r="AV640" s="246">
        <f>IFERROR(VLOOKUP(F640,VOL_REC[],2,FALSE),0)</f>
        <v>11089674.200000001</v>
      </c>
      <c r="AW640" s="246">
        <f>IFERROR(VLOOKUP(G640,VOL_REC[],2,FALSE),0)</f>
        <v>90439.55</v>
      </c>
      <c r="AX640" s="246">
        <f>IFERROR(VLOOKUP(H640,VOL_REC[],2,FALSE),0)</f>
        <v>4325103.1812214684</v>
      </c>
      <c r="AY640" s="246">
        <f>IFERROR(VLOOKUP(I640,VOL_REC[],2,FALSE),0)</f>
        <v>663244.80000000016</v>
      </c>
      <c r="AZ640" s="246">
        <f>IFERROR(VLOOKUP(J640,VOL_REC[],2,FALSE),0)</f>
        <v>105072</v>
      </c>
      <c r="BA640" s="246">
        <f>IFERROR(VLOOKUP(K640,VOL_REC[],2,FALSE),0)</f>
        <v>1072354.9981737854</v>
      </c>
      <c r="BB640" s="246">
        <f>IFERROR(VLOOKUP(L640,VOL_REC[],2,FALSE),0)</f>
        <v>0</v>
      </c>
      <c r="BC640" s="246">
        <f>IFERROR(VLOOKUP(M640,VOL_REC[],2,FALSE),0)</f>
        <v>0</v>
      </c>
      <c r="BD640" s="246">
        <f>IFERROR(VLOOKUP(N640,VOL_REC[],2,FALSE),0)</f>
        <v>0</v>
      </c>
      <c r="BE640" s="246">
        <f>IFERROR(VLOOKUP(O640,VOL_REC[],2,FALSE),0)</f>
        <v>0</v>
      </c>
      <c r="BF640" s="246">
        <f>IFERROR(VLOOKUP(P640,VOL_REC[],2,FALSE),0)</f>
        <v>0</v>
      </c>
      <c r="BG640" s="246">
        <f>IFERROR(VLOOKUP(Q640,VOL_REC[],2,FALSE),0)</f>
        <v>0</v>
      </c>
      <c r="BH640" s="1710">
        <f t="shared" si="36"/>
        <v>16275701434.267494</v>
      </c>
      <c r="BI640" s="1710">
        <f t="shared" si="37"/>
        <v>14362346526.99519</v>
      </c>
      <c r="BJ640" s="1711">
        <f t="shared" si="38"/>
        <v>17345888.729395255</v>
      </c>
      <c r="BK640" s="1711">
        <f t="shared" si="39"/>
        <v>1.1332202160472873</v>
      </c>
      <c r="BL640">
        <f>BJ640</f>
        <v>17345888.729395255</v>
      </c>
      <c r="BO640">
        <f>BL640</f>
        <v>17345888.729395255</v>
      </c>
    </row>
    <row r="641" spans="3:67" x14ac:dyDescent="0.25">
      <c r="C641" s="246" t="s">
        <v>1991</v>
      </c>
      <c r="D641" s="246">
        <v>1</v>
      </c>
      <c r="E641" s="246">
        <v>2</v>
      </c>
      <c r="F641" s="246">
        <v>3</v>
      </c>
      <c r="G641" s="246">
        <v>4</v>
      </c>
      <c r="H641" s="246">
        <v>5</v>
      </c>
      <c r="I641" s="246">
        <v>13</v>
      </c>
      <c r="J641" s="246">
        <v>15</v>
      </c>
      <c r="K641" s="246">
        <v>17</v>
      </c>
      <c r="L641" s="246"/>
      <c r="M641" s="246"/>
      <c r="N641" s="246"/>
      <c r="O641" s="246"/>
      <c r="P641" s="246"/>
      <c r="Q641" s="246"/>
      <c r="R641" s="246">
        <f>IFERROR(VLOOKUP(D641,PROGRAMAS[],2,FALSE),0)</f>
        <v>97037803.679377079</v>
      </c>
      <c r="S641" s="246">
        <f>IFERROR(VLOOKUP(E641,PROGRAMAS[],2,FALSE),0)</f>
        <v>640501509.6821388</v>
      </c>
      <c r="T641" s="246">
        <f>IFERROR(VLOOKUP(F641,PROGRAMAS[],2,FALSE),0)</f>
        <v>3062327798.1525245</v>
      </c>
      <c r="U641" s="246">
        <f>IFERROR(VLOOKUP(G641,PROGRAMAS[],2,FALSE),0)</f>
        <v>67697118.033011258</v>
      </c>
      <c r="V641" s="246">
        <f>IFERROR(VLOOKUP(H641,PROGRAMAS[],2,FALSE),0)</f>
        <v>1440941976.2528784</v>
      </c>
      <c r="W641" s="246">
        <f>IFERROR(VLOOKUP(I641,PROGRAMAS[],2,FALSE),0)</f>
        <v>3776538594.4604583</v>
      </c>
      <c r="X641" s="246">
        <f>IFERROR(VLOOKUP(J641,PROGRAMAS[],2,FALSE),0)</f>
        <v>122159672.96346797</v>
      </c>
      <c r="Y641" s="246">
        <f>IFERROR(VLOOKUP(K641,PROGRAMAS[],2,FALSE),0)</f>
        <v>1892779498.5211046</v>
      </c>
      <c r="Z641" s="246">
        <f>IFERROR(VLOOKUP(L641,PROGRAMAS[],2,FALSE),0)</f>
        <v>0</v>
      </c>
      <c r="AA641" s="246">
        <f>IFERROR(VLOOKUP(M641,PROGRAMAS[],2,FALSE),0)</f>
        <v>0</v>
      </c>
      <c r="AB641" s="246">
        <f>IFERROR(VLOOKUP(N641,PROGRAMAS[],2,FALSE),0)</f>
        <v>0</v>
      </c>
      <c r="AC641" s="246">
        <f>IFERROR(VLOOKUP(O641,PROGRAMAS[],2,FALSE),0)</f>
        <v>0</v>
      </c>
      <c r="AD641" s="246">
        <f>IFERROR(VLOOKUP(P641,PROGRAMAS[],2,FALSE),0)</f>
        <v>0</v>
      </c>
      <c r="AE641" s="246">
        <f>IFERROR(VLOOKUP(Q641,PROGRAMAS[],2,FALSE),0)</f>
        <v>0</v>
      </c>
      <c r="AF641" s="246">
        <f>IFERROR(VLOOKUP(D641,PROGRAMAS[],3,FALSE),0)</f>
        <v>841888629.31080008</v>
      </c>
      <c r="AG641" s="246">
        <f>IFERROR(VLOOKUP(E641,PROGRAMAS[],3,FALSE),0)</f>
        <v>3848980803.1642323</v>
      </c>
      <c r="AH641" s="246">
        <f>IFERROR(VLOOKUP(F641,PROGRAMAS[],3,FALSE),0)</f>
        <v>3394901471.387517</v>
      </c>
      <c r="AI641" s="246">
        <f>IFERROR(VLOOKUP(G641,PROGRAMAS[],3,FALSE),0)</f>
        <v>125317226.95549992</v>
      </c>
      <c r="AJ641" s="246">
        <f>IFERROR(VLOOKUP(H641,PROGRAMAS[],3,FALSE),0)</f>
        <v>1233505101.0616004</v>
      </c>
      <c r="AK641" s="246">
        <f>IFERROR(VLOOKUP(I641,PROGRAMAS[],3,FALSE),0)</f>
        <v>2392571243.5584412</v>
      </c>
      <c r="AL641" s="246">
        <f>IFERROR(VLOOKUP(J641,PROGRAMAS[],3,FALSE),0)</f>
        <v>118617452.52510804</v>
      </c>
      <c r="AM641" s="246">
        <f>IFERROR(VLOOKUP(K641,PROGRAMAS[],3,FALSE),0)</f>
        <v>948595847.09039903</v>
      </c>
      <c r="AN641" s="246">
        <f>IFERROR(VLOOKUP(L641,PROGRAMAS[],3,FALSE),0)</f>
        <v>0</v>
      </c>
      <c r="AO641" s="246">
        <f>IFERROR(VLOOKUP(M641,PROGRAMAS[],3,FALSE),0)</f>
        <v>0</v>
      </c>
      <c r="AP641" s="246">
        <f>IFERROR(VLOOKUP(N641,PROGRAMAS[],3,FALSE),0)</f>
        <v>0</v>
      </c>
      <c r="AQ641" s="246">
        <f>IFERROR(VLOOKUP(O641,PROGRAMAS[],3,FALSE),0)</f>
        <v>0</v>
      </c>
      <c r="AR641" s="246">
        <f>IFERROR(VLOOKUP(P641,PROGRAMAS[],3,FALSE),0)</f>
        <v>0</v>
      </c>
      <c r="AS641" s="246">
        <f>IFERROR(VLOOKUP(Q641,PROGRAMAS[],3,FALSE),0)</f>
        <v>0</v>
      </c>
      <c r="AT641" s="246">
        <f>IFERROR(VLOOKUP(D641,VOL_REC[],2,FALSE),0)</f>
        <v>0</v>
      </c>
      <c r="AU641" s="246">
        <f>IFERROR(VLOOKUP(E641,VOL_REC[],2,FALSE),0)</f>
        <v>0</v>
      </c>
      <c r="AV641" s="246">
        <f>IFERROR(VLOOKUP(F641,VOL_REC[],2,FALSE),0)</f>
        <v>11089674.200000001</v>
      </c>
      <c r="AW641" s="246">
        <f>IFERROR(VLOOKUP(G641,VOL_REC[],2,FALSE),0)</f>
        <v>90439.55</v>
      </c>
      <c r="AX641" s="246">
        <f>IFERROR(VLOOKUP(H641,VOL_REC[],2,FALSE),0)</f>
        <v>4325103.1812214684</v>
      </c>
      <c r="AY641" s="246">
        <f>IFERROR(VLOOKUP(I641,VOL_REC[],2,FALSE),0)</f>
        <v>663244.80000000016</v>
      </c>
      <c r="AZ641" s="246">
        <f>IFERROR(VLOOKUP(J641,VOL_REC[],2,FALSE),0)</f>
        <v>105072</v>
      </c>
      <c r="BA641" s="246">
        <f>IFERROR(VLOOKUP(K641,VOL_REC[],2,FALSE),0)</f>
        <v>740113.98115702497</v>
      </c>
      <c r="BB641" s="246">
        <f>IFERROR(VLOOKUP(L641,VOL_REC[],2,FALSE),0)</f>
        <v>0</v>
      </c>
      <c r="BC641" s="246">
        <f>IFERROR(VLOOKUP(M641,VOL_REC[],2,FALSE),0)</f>
        <v>0</v>
      </c>
      <c r="BD641" s="246">
        <f>IFERROR(VLOOKUP(N641,VOL_REC[],2,FALSE),0)</f>
        <v>0</v>
      </c>
      <c r="BE641" s="246">
        <f>IFERROR(VLOOKUP(O641,VOL_REC[],2,FALSE),0)</f>
        <v>0</v>
      </c>
      <c r="BF641" s="246">
        <f>IFERROR(VLOOKUP(P641,VOL_REC[],2,FALSE),0)</f>
        <v>0</v>
      </c>
      <c r="BG641" s="246">
        <f>IFERROR(VLOOKUP(Q641,VOL_REC[],2,FALSE),0)</f>
        <v>0</v>
      </c>
      <c r="BH641" s="1710">
        <f t="shared" si="36"/>
        <v>11099983971.744963</v>
      </c>
      <c r="BI641" s="1710">
        <f t="shared" si="37"/>
        <v>12904377775.053598</v>
      </c>
      <c r="BJ641" s="1711">
        <f t="shared" si="38"/>
        <v>17013647.712378494</v>
      </c>
      <c r="BK641" s="1711">
        <f t="shared" si="39"/>
        <v>0.86017196375040705</v>
      </c>
    </row>
    <row r="642" spans="3:67" x14ac:dyDescent="0.25">
      <c r="C642" s="246" t="s">
        <v>1992</v>
      </c>
      <c r="D642" s="246">
        <v>1</v>
      </c>
      <c r="E642" s="246">
        <v>2</v>
      </c>
      <c r="F642" s="246">
        <v>3</v>
      </c>
      <c r="G642" s="246">
        <v>4</v>
      </c>
      <c r="H642" s="246">
        <v>5</v>
      </c>
      <c r="I642" s="246">
        <v>13</v>
      </c>
      <c r="J642" s="246">
        <v>16</v>
      </c>
      <c r="K642" s="246">
        <v>17</v>
      </c>
      <c r="L642" s="246"/>
      <c r="M642" s="246"/>
      <c r="N642" s="246"/>
      <c r="O642" s="246"/>
      <c r="P642" s="246"/>
      <c r="Q642" s="246"/>
      <c r="R642" s="246">
        <f>IFERROR(VLOOKUP(D642,PROGRAMAS[],2,FALSE),0)</f>
        <v>97037803.679377079</v>
      </c>
      <c r="S642" s="246">
        <f>IFERROR(VLOOKUP(E642,PROGRAMAS[],2,FALSE),0)</f>
        <v>640501509.6821388</v>
      </c>
      <c r="T642" s="246">
        <f>IFERROR(VLOOKUP(F642,PROGRAMAS[],2,FALSE),0)</f>
        <v>3062327798.1525245</v>
      </c>
      <c r="U642" s="246">
        <f>IFERROR(VLOOKUP(G642,PROGRAMAS[],2,FALSE),0)</f>
        <v>67697118.033011258</v>
      </c>
      <c r="V642" s="246">
        <f>IFERROR(VLOOKUP(H642,PROGRAMAS[],2,FALSE),0)</f>
        <v>1440941976.2528784</v>
      </c>
      <c r="W642" s="246">
        <f>IFERROR(VLOOKUP(I642,PROGRAMAS[],2,FALSE),0)</f>
        <v>3776538594.4604583</v>
      </c>
      <c r="X642" s="246">
        <f>IFERROR(VLOOKUP(J642,PROGRAMAS[],2,FALSE),0)</f>
        <v>7068496961.0436354</v>
      </c>
      <c r="Y642" s="246">
        <f>IFERROR(VLOOKUP(K642,PROGRAMAS[],2,FALSE),0)</f>
        <v>1892779498.5211046</v>
      </c>
      <c r="Z642" s="246">
        <f>IFERROR(VLOOKUP(L642,PROGRAMAS[],2,FALSE),0)</f>
        <v>0</v>
      </c>
      <c r="AA642" s="246">
        <f>IFERROR(VLOOKUP(M642,PROGRAMAS[],2,FALSE),0)</f>
        <v>0</v>
      </c>
      <c r="AB642" s="246">
        <f>IFERROR(VLOOKUP(N642,PROGRAMAS[],2,FALSE),0)</f>
        <v>0</v>
      </c>
      <c r="AC642" s="246">
        <f>IFERROR(VLOOKUP(O642,PROGRAMAS[],2,FALSE),0)</f>
        <v>0</v>
      </c>
      <c r="AD642" s="246">
        <f>IFERROR(VLOOKUP(P642,PROGRAMAS[],2,FALSE),0)</f>
        <v>0</v>
      </c>
      <c r="AE642" s="246">
        <f>IFERROR(VLOOKUP(Q642,PROGRAMAS[],2,FALSE),0)</f>
        <v>0</v>
      </c>
      <c r="AF642" s="246">
        <f>IFERROR(VLOOKUP(D642,PROGRAMAS[],3,FALSE),0)</f>
        <v>841888629.31080008</v>
      </c>
      <c r="AG642" s="246">
        <f>IFERROR(VLOOKUP(E642,PROGRAMAS[],3,FALSE),0)</f>
        <v>3848980803.1642323</v>
      </c>
      <c r="AH642" s="246">
        <f>IFERROR(VLOOKUP(F642,PROGRAMAS[],3,FALSE),0)</f>
        <v>3394901471.387517</v>
      </c>
      <c r="AI642" s="246">
        <f>IFERROR(VLOOKUP(G642,PROGRAMAS[],3,FALSE),0)</f>
        <v>125317226.95549992</v>
      </c>
      <c r="AJ642" s="246">
        <f>IFERROR(VLOOKUP(H642,PROGRAMAS[],3,FALSE),0)</f>
        <v>1233505101.0616004</v>
      </c>
      <c r="AK642" s="246">
        <f>IFERROR(VLOOKUP(I642,PROGRAMAS[],3,FALSE),0)</f>
        <v>2392571243.5584412</v>
      </c>
      <c r="AL642" s="246">
        <f>IFERROR(VLOOKUP(J642,PROGRAMAS[],3,FALSE),0)</f>
        <v>2406564599.0319901</v>
      </c>
      <c r="AM642" s="246">
        <f>IFERROR(VLOOKUP(K642,PROGRAMAS[],3,FALSE),0)</f>
        <v>948595847.09039903</v>
      </c>
      <c r="AN642" s="246">
        <f>IFERROR(VLOOKUP(L642,PROGRAMAS[],3,FALSE),0)</f>
        <v>0</v>
      </c>
      <c r="AO642" s="246">
        <f>IFERROR(VLOOKUP(M642,PROGRAMAS[],3,FALSE),0)</f>
        <v>0</v>
      </c>
      <c r="AP642" s="246">
        <f>IFERROR(VLOOKUP(N642,PROGRAMAS[],3,FALSE),0)</f>
        <v>0</v>
      </c>
      <c r="AQ642" s="246">
        <f>IFERROR(VLOOKUP(O642,PROGRAMAS[],3,FALSE),0)</f>
        <v>0</v>
      </c>
      <c r="AR642" s="246">
        <f>IFERROR(VLOOKUP(P642,PROGRAMAS[],3,FALSE),0)</f>
        <v>0</v>
      </c>
      <c r="AS642" s="246">
        <f>IFERROR(VLOOKUP(Q642,PROGRAMAS[],3,FALSE),0)</f>
        <v>0</v>
      </c>
      <c r="AT642" s="246">
        <f>IFERROR(VLOOKUP(D642,VOL_REC[],2,FALSE),0)</f>
        <v>0</v>
      </c>
      <c r="AU642" s="246">
        <f>IFERROR(VLOOKUP(E642,VOL_REC[],2,FALSE),0)</f>
        <v>0</v>
      </c>
      <c r="AV642" s="246">
        <f>IFERROR(VLOOKUP(F642,VOL_REC[],2,FALSE),0)</f>
        <v>11089674.200000001</v>
      </c>
      <c r="AW642" s="246">
        <f>IFERROR(VLOOKUP(G642,VOL_REC[],2,FALSE),0)</f>
        <v>90439.55</v>
      </c>
      <c r="AX642" s="246">
        <f>IFERROR(VLOOKUP(H642,VOL_REC[],2,FALSE),0)</f>
        <v>4325103.1812214684</v>
      </c>
      <c r="AY642" s="246">
        <f>IFERROR(VLOOKUP(I642,VOL_REC[],2,FALSE),0)</f>
        <v>663244.80000000016</v>
      </c>
      <c r="AZ642" s="246">
        <f>IFERROR(VLOOKUP(J642,VOL_REC[],2,FALSE),0)</f>
        <v>1072354.9981737854</v>
      </c>
      <c r="BA642" s="246">
        <f>IFERROR(VLOOKUP(K642,VOL_REC[],2,FALSE),0)</f>
        <v>740113.98115702497</v>
      </c>
      <c r="BB642" s="246">
        <f>IFERROR(VLOOKUP(L642,VOL_REC[],2,FALSE),0)</f>
        <v>0</v>
      </c>
      <c r="BC642" s="246">
        <f>IFERROR(VLOOKUP(M642,VOL_REC[],2,FALSE),0)</f>
        <v>0</v>
      </c>
      <c r="BD642" s="246">
        <f>IFERROR(VLOOKUP(N642,VOL_REC[],2,FALSE),0)</f>
        <v>0</v>
      </c>
      <c r="BE642" s="246">
        <f>IFERROR(VLOOKUP(O642,VOL_REC[],2,FALSE),0)</f>
        <v>0</v>
      </c>
      <c r="BF642" s="246">
        <f>IFERROR(VLOOKUP(P642,VOL_REC[],2,FALSE),0)</f>
        <v>0</v>
      </c>
      <c r="BG642" s="246">
        <f>IFERROR(VLOOKUP(Q642,VOL_REC[],2,FALSE),0)</f>
        <v>0</v>
      </c>
      <c r="BH642" s="1710">
        <f t="shared" ref="BH642:BH705" si="40">SUM(R642:AE642)</f>
        <v>18046321259.825127</v>
      </c>
      <c r="BI642" s="1710">
        <f t="shared" ref="BI642:BI705" si="41">SUM(AF642:AS642)</f>
        <v>15192324921.56048</v>
      </c>
      <c r="BJ642" s="1711">
        <f t="shared" ref="BJ642:BJ705" si="42">SUM(AT642:BG642)</f>
        <v>17980930.710552279</v>
      </c>
      <c r="BK642" s="1711">
        <f t="shared" ref="BK642:BK705" si="43">IFERROR(BH642/BI642,0)</f>
        <v>1.1878577737772276</v>
      </c>
      <c r="BL642">
        <f>BJ642</f>
        <v>17980930.710552279</v>
      </c>
      <c r="BO642">
        <f>BL642</f>
        <v>17980930.710552279</v>
      </c>
    </row>
    <row r="643" spans="3:67" x14ac:dyDescent="0.25">
      <c r="C643" s="246" t="s">
        <v>1993</v>
      </c>
      <c r="D643" s="246">
        <v>1</v>
      </c>
      <c r="E643" s="246">
        <v>2</v>
      </c>
      <c r="F643" s="246">
        <v>3</v>
      </c>
      <c r="G643" s="246">
        <v>4</v>
      </c>
      <c r="H643" s="246">
        <v>5</v>
      </c>
      <c r="I643" s="246">
        <v>14</v>
      </c>
      <c r="J643" s="246">
        <v>15</v>
      </c>
      <c r="K643" s="246">
        <v>16</v>
      </c>
      <c r="L643" s="246"/>
      <c r="M643" s="246"/>
      <c r="N643" s="246"/>
      <c r="O643" s="246"/>
      <c r="P643" s="246"/>
      <c r="Q643" s="246"/>
      <c r="R643" s="246">
        <f>IFERROR(VLOOKUP(D643,PROGRAMAS[],2,FALSE),0)</f>
        <v>97037803.679377079</v>
      </c>
      <c r="S643" s="246">
        <f>IFERROR(VLOOKUP(E643,PROGRAMAS[],2,FALSE),0)</f>
        <v>640501509.6821388</v>
      </c>
      <c r="T643" s="246">
        <f>IFERROR(VLOOKUP(F643,PROGRAMAS[],2,FALSE),0)</f>
        <v>3062327798.1525245</v>
      </c>
      <c r="U643" s="246">
        <f>IFERROR(VLOOKUP(G643,PROGRAMAS[],2,FALSE),0)</f>
        <v>67697118.033011258</v>
      </c>
      <c r="V643" s="246">
        <f>IFERROR(VLOOKUP(H643,PROGRAMAS[],2,FALSE),0)</f>
        <v>1440941976.2528784</v>
      </c>
      <c r="W643" s="246">
        <f>IFERROR(VLOOKUP(I643,PROGRAMAS[],2,FALSE),0)</f>
        <v>54223862.645839565</v>
      </c>
      <c r="X643" s="246">
        <f>IFERROR(VLOOKUP(J643,PROGRAMAS[],2,FALSE),0)</f>
        <v>122159672.96346797</v>
      </c>
      <c r="Y643" s="246">
        <f>IFERROR(VLOOKUP(K643,PROGRAMAS[],2,FALSE),0)</f>
        <v>7068496961.0436354</v>
      </c>
      <c r="Z643" s="246">
        <f>IFERROR(VLOOKUP(L643,PROGRAMAS[],2,FALSE),0)</f>
        <v>0</v>
      </c>
      <c r="AA643" s="246">
        <f>IFERROR(VLOOKUP(M643,PROGRAMAS[],2,FALSE),0)</f>
        <v>0</v>
      </c>
      <c r="AB643" s="246">
        <f>IFERROR(VLOOKUP(N643,PROGRAMAS[],2,FALSE),0)</f>
        <v>0</v>
      </c>
      <c r="AC643" s="246">
        <f>IFERROR(VLOOKUP(O643,PROGRAMAS[],2,FALSE),0)</f>
        <v>0</v>
      </c>
      <c r="AD643" s="246">
        <f>IFERROR(VLOOKUP(P643,PROGRAMAS[],2,FALSE),0)</f>
        <v>0</v>
      </c>
      <c r="AE643" s="246">
        <f>IFERROR(VLOOKUP(Q643,PROGRAMAS[],2,FALSE),0)</f>
        <v>0</v>
      </c>
      <c r="AF643" s="246">
        <f>IFERROR(VLOOKUP(D643,PROGRAMAS[],3,FALSE),0)</f>
        <v>841888629.31080008</v>
      </c>
      <c r="AG643" s="246">
        <f>IFERROR(VLOOKUP(E643,PROGRAMAS[],3,FALSE),0)</f>
        <v>3848980803.1642323</v>
      </c>
      <c r="AH643" s="246">
        <f>IFERROR(VLOOKUP(F643,PROGRAMAS[],3,FALSE),0)</f>
        <v>3394901471.387517</v>
      </c>
      <c r="AI643" s="246">
        <f>IFERROR(VLOOKUP(G643,PROGRAMAS[],3,FALSE),0)</f>
        <v>125317226.95549992</v>
      </c>
      <c r="AJ643" s="246">
        <f>IFERROR(VLOOKUP(H643,PROGRAMAS[],3,FALSE),0)</f>
        <v>1233505101.0616004</v>
      </c>
      <c r="AK643" s="246">
        <f>IFERROR(VLOOKUP(I643,PROGRAMAS[],3,FALSE),0)</f>
        <v>31865326.38096505</v>
      </c>
      <c r="AL643" s="246">
        <f>IFERROR(VLOOKUP(J643,PROGRAMAS[],3,FALSE),0)</f>
        <v>118617452.52510804</v>
      </c>
      <c r="AM643" s="246">
        <f>IFERROR(VLOOKUP(K643,PROGRAMAS[],3,FALSE),0)</f>
        <v>2406564599.0319901</v>
      </c>
      <c r="AN643" s="246">
        <f>IFERROR(VLOOKUP(L643,PROGRAMAS[],3,FALSE),0)</f>
        <v>0</v>
      </c>
      <c r="AO643" s="246">
        <f>IFERROR(VLOOKUP(M643,PROGRAMAS[],3,FALSE),0)</f>
        <v>0</v>
      </c>
      <c r="AP643" s="246">
        <f>IFERROR(VLOOKUP(N643,PROGRAMAS[],3,FALSE),0)</f>
        <v>0</v>
      </c>
      <c r="AQ643" s="246">
        <f>IFERROR(VLOOKUP(O643,PROGRAMAS[],3,FALSE),0)</f>
        <v>0</v>
      </c>
      <c r="AR643" s="246">
        <f>IFERROR(VLOOKUP(P643,PROGRAMAS[],3,FALSE),0)</f>
        <v>0</v>
      </c>
      <c r="AS643" s="246">
        <f>IFERROR(VLOOKUP(Q643,PROGRAMAS[],3,FALSE),0)</f>
        <v>0</v>
      </c>
      <c r="AT643" s="246">
        <f>IFERROR(VLOOKUP(D643,VOL_REC[],2,FALSE),0)</f>
        <v>0</v>
      </c>
      <c r="AU643" s="246">
        <f>IFERROR(VLOOKUP(E643,VOL_REC[],2,FALSE),0)</f>
        <v>0</v>
      </c>
      <c r="AV643" s="246">
        <f>IFERROR(VLOOKUP(F643,VOL_REC[],2,FALSE),0)</f>
        <v>11089674.200000001</v>
      </c>
      <c r="AW643" s="246">
        <f>IFERROR(VLOOKUP(G643,VOL_REC[],2,FALSE),0)</f>
        <v>90439.55</v>
      </c>
      <c r="AX643" s="246">
        <f>IFERROR(VLOOKUP(H643,VOL_REC[],2,FALSE),0)</f>
        <v>4325103.1812214684</v>
      </c>
      <c r="AY643" s="246">
        <f>IFERROR(VLOOKUP(I643,VOL_REC[],2,FALSE),0)</f>
        <v>17074.045034105649</v>
      </c>
      <c r="AZ643" s="246">
        <f>IFERROR(VLOOKUP(J643,VOL_REC[],2,FALSE),0)</f>
        <v>105072</v>
      </c>
      <c r="BA643" s="246">
        <f>IFERROR(VLOOKUP(K643,VOL_REC[],2,FALSE),0)</f>
        <v>1072354.9981737854</v>
      </c>
      <c r="BB643" s="246">
        <f>IFERROR(VLOOKUP(L643,VOL_REC[],2,FALSE),0)</f>
        <v>0</v>
      </c>
      <c r="BC643" s="246">
        <f>IFERROR(VLOOKUP(M643,VOL_REC[],2,FALSE),0)</f>
        <v>0</v>
      </c>
      <c r="BD643" s="246">
        <f>IFERROR(VLOOKUP(N643,VOL_REC[],2,FALSE),0)</f>
        <v>0</v>
      </c>
      <c r="BE643" s="246">
        <f>IFERROR(VLOOKUP(O643,VOL_REC[],2,FALSE),0)</f>
        <v>0</v>
      </c>
      <c r="BF643" s="246">
        <f>IFERROR(VLOOKUP(P643,VOL_REC[],2,FALSE),0)</f>
        <v>0</v>
      </c>
      <c r="BG643" s="246">
        <f>IFERROR(VLOOKUP(Q643,VOL_REC[],2,FALSE),0)</f>
        <v>0</v>
      </c>
      <c r="BH643" s="1710">
        <f t="shared" si="40"/>
        <v>12553386702.452873</v>
      </c>
      <c r="BI643" s="1710">
        <f t="shared" si="41"/>
        <v>12001640609.817713</v>
      </c>
      <c r="BJ643" s="1711">
        <f t="shared" si="42"/>
        <v>16699717.974429362</v>
      </c>
      <c r="BK643" s="1711">
        <f t="shared" si="43"/>
        <v>1.0459725558007307</v>
      </c>
      <c r="BL643">
        <f>BJ643</f>
        <v>16699717.974429362</v>
      </c>
      <c r="BO643">
        <f>BL643</f>
        <v>16699717.974429362</v>
      </c>
    </row>
    <row r="644" spans="3:67" x14ac:dyDescent="0.25">
      <c r="C644" s="246" t="s">
        <v>1994</v>
      </c>
      <c r="D644" s="246">
        <v>1</v>
      </c>
      <c r="E644" s="246">
        <v>2</v>
      </c>
      <c r="F644" s="246">
        <v>3</v>
      </c>
      <c r="G644" s="246">
        <v>4</v>
      </c>
      <c r="H644" s="246">
        <v>5</v>
      </c>
      <c r="I644" s="246">
        <v>14</v>
      </c>
      <c r="J644" s="246">
        <v>15</v>
      </c>
      <c r="K644" s="246">
        <v>17</v>
      </c>
      <c r="L644" s="246"/>
      <c r="M644" s="246"/>
      <c r="N644" s="246"/>
      <c r="O644" s="246"/>
      <c r="P644" s="246"/>
      <c r="Q644" s="246"/>
      <c r="R644" s="246">
        <f>IFERROR(VLOOKUP(D644,PROGRAMAS[],2,FALSE),0)</f>
        <v>97037803.679377079</v>
      </c>
      <c r="S644" s="246">
        <f>IFERROR(VLOOKUP(E644,PROGRAMAS[],2,FALSE),0)</f>
        <v>640501509.6821388</v>
      </c>
      <c r="T644" s="246">
        <f>IFERROR(VLOOKUP(F644,PROGRAMAS[],2,FALSE),0)</f>
        <v>3062327798.1525245</v>
      </c>
      <c r="U644" s="246">
        <f>IFERROR(VLOOKUP(G644,PROGRAMAS[],2,FALSE),0)</f>
        <v>67697118.033011258</v>
      </c>
      <c r="V644" s="246">
        <f>IFERROR(VLOOKUP(H644,PROGRAMAS[],2,FALSE),0)</f>
        <v>1440941976.2528784</v>
      </c>
      <c r="W644" s="246">
        <f>IFERROR(VLOOKUP(I644,PROGRAMAS[],2,FALSE),0)</f>
        <v>54223862.645839565</v>
      </c>
      <c r="X644" s="246">
        <f>IFERROR(VLOOKUP(J644,PROGRAMAS[],2,FALSE),0)</f>
        <v>122159672.96346797</v>
      </c>
      <c r="Y644" s="246">
        <f>IFERROR(VLOOKUP(K644,PROGRAMAS[],2,FALSE),0)</f>
        <v>1892779498.5211046</v>
      </c>
      <c r="Z644" s="246">
        <f>IFERROR(VLOOKUP(L644,PROGRAMAS[],2,FALSE),0)</f>
        <v>0</v>
      </c>
      <c r="AA644" s="246">
        <f>IFERROR(VLOOKUP(M644,PROGRAMAS[],2,FALSE),0)</f>
        <v>0</v>
      </c>
      <c r="AB644" s="246">
        <f>IFERROR(VLOOKUP(N644,PROGRAMAS[],2,FALSE),0)</f>
        <v>0</v>
      </c>
      <c r="AC644" s="246">
        <f>IFERROR(VLOOKUP(O644,PROGRAMAS[],2,FALSE),0)</f>
        <v>0</v>
      </c>
      <c r="AD644" s="246">
        <f>IFERROR(VLOOKUP(P644,PROGRAMAS[],2,FALSE),0)</f>
        <v>0</v>
      </c>
      <c r="AE644" s="246">
        <f>IFERROR(VLOOKUP(Q644,PROGRAMAS[],2,FALSE),0)</f>
        <v>0</v>
      </c>
      <c r="AF644" s="246">
        <f>IFERROR(VLOOKUP(D644,PROGRAMAS[],3,FALSE),0)</f>
        <v>841888629.31080008</v>
      </c>
      <c r="AG644" s="246">
        <f>IFERROR(VLOOKUP(E644,PROGRAMAS[],3,FALSE),0)</f>
        <v>3848980803.1642323</v>
      </c>
      <c r="AH644" s="246">
        <f>IFERROR(VLOOKUP(F644,PROGRAMAS[],3,FALSE),0)</f>
        <v>3394901471.387517</v>
      </c>
      <c r="AI644" s="246">
        <f>IFERROR(VLOOKUP(G644,PROGRAMAS[],3,FALSE),0)</f>
        <v>125317226.95549992</v>
      </c>
      <c r="AJ644" s="246">
        <f>IFERROR(VLOOKUP(H644,PROGRAMAS[],3,FALSE),0)</f>
        <v>1233505101.0616004</v>
      </c>
      <c r="AK644" s="246">
        <f>IFERROR(VLOOKUP(I644,PROGRAMAS[],3,FALSE),0)</f>
        <v>31865326.38096505</v>
      </c>
      <c r="AL644" s="246">
        <f>IFERROR(VLOOKUP(J644,PROGRAMAS[],3,FALSE),0)</f>
        <v>118617452.52510804</v>
      </c>
      <c r="AM644" s="246">
        <f>IFERROR(VLOOKUP(K644,PROGRAMAS[],3,FALSE),0)</f>
        <v>948595847.09039903</v>
      </c>
      <c r="AN644" s="246">
        <f>IFERROR(VLOOKUP(L644,PROGRAMAS[],3,FALSE),0)</f>
        <v>0</v>
      </c>
      <c r="AO644" s="246">
        <f>IFERROR(VLOOKUP(M644,PROGRAMAS[],3,FALSE),0)</f>
        <v>0</v>
      </c>
      <c r="AP644" s="246">
        <f>IFERROR(VLOOKUP(N644,PROGRAMAS[],3,FALSE),0)</f>
        <v>0</v>
      </c>
      <c r="AQ644" s="246">
        <f>IFERROR(VLOOKUP(O644,PROGRAMAS[],3,FALSE),0)</f>
        <v>0</v>
      </c>
      <c r="AR644" s="246">
        <f>IFERROR(VLOOKUP(P644,PROGRAMAS[],3,FALSE),0)</f>
        <v>0</v>
      </c>
      <c r="AS644" s="246">
        <f>IFERROR(VLOOKUP(Q644,PROGRAMAS[],3,FALSE),0)</f>
        <v>0</v>
      </c>
      <c r="AT644" s="246">
        <f>IFERROR(VLOOKUP(D644,VOL_REC[],2,FALSE),0)</f>
        <v>0</v>
      </c>
      <c r="AU644" s="246">
        <f>IFERROR(VLOOKUP(E644,VOL_REC[],2,FALSE),0)</f>
        <v>0</v>
      </c>
      <c r="AV644" s="246">
        <f>IFERROR(VLOOKUP(F644,VOL_REC[],2,FALSE),0)</f>
        <v>11089674.200000001</v>
      </c>
      <c r="AW644" s="246">
        <f>IFERROR(VLOOKUP(G644,VOL_REC[],2,FALSE),0)</f>
        <v>90439.55</v>
      </c>
      <c r="AX644" s="246">
        <f>IFERROR(VLOOKUP(H644,VOL_REC[],2,FALSE),0)</f>
        <v>4325103.1812214684</v>
      </c>
      <c r="AY644" s="246">
        <f>IFERROR(VLOOKUP(I644,VOL_REC[],2,FALSE),0)</f>
        <v>17074.045034105649</v>
      </c>
      <c r="AZ644" s="246">
        <f>IFERROR(VLOOKUP(J644,VOL_REC[],2,FALSE),0)</f>
        <v>105072</v>
      </c>
      <c r="BA644" s="246">
        <f>IFERROR(VLOOKUP(K644,VOL_REC[],2,FALSE),0)</f>
        <v>740113.98115702497</v>
      </c>
      <c r="BB644" s="246">
        <f>IFERROR(VLOOKUP(L644,VOL_REC[],2,FALSE),0)</f>
        <v>0</v>
      </c>
      <c r="BC644" s="246">
        <f>IFERROR(VLOOKUP(M644,VOL_REC[],2,FALSE),0)</f>
        <v>0</v>
      </c>
      <c r="BD644" s="246">
        <f>IFERROR(VLOOKUP(N644,VOL_REC[],2,FALSE),0)</f>
        <v>0</v>
      </c>
      <c r="BE644" s="246">
        <f>IFERROR(VLOOKUP(O644,VOL_REC[],2,FALSE),0)</f>
        <v>0</v>
      </c>
      <c r="BF644" s="246">
        <f>IFERROR(VLOOKUP(P644,VOL_REC[],2,FALSE),0)</f>
        <v>0</v>
      </c>
      <c r="BG644" s="246">
        <f>IFERROR(VLOOKUP(Q644,VOL_REC[],2,FALSE),0)</f>
        <v>0</v>
      </c>
      <c r="BH644" s="1710">
        <f t="shared" si="40"/>
        <v>7377669239.9303427</v>
      </c>
      <c r="BI644" s="1710">
        <f t="shared" si="41"/>
        <v>10543671857.876122</v>
      </c>
      <c r="BJ644" s="1711">
        <f t="shared" si="42"/>
        <v>16367476.957412601</v>
      </c>
      <c r="BK644" s="1711">
        <f t="shared" si="43"/>
        <v>0.6997248529144261</v>
      </c>
    </row>
    <row r="645" spans="3:67" x14ac:dyDescent="0.25">
      <c r="C645" s="246" t="s">
        <v>1995</v>
      </c>
      <c r="D645" s="246">
        <v>1</v>
      </c>
      <c r="E645" s="246">
        <v>2</v>
      </c>
      <c r="F645" s="246">
        <v>3</v>
      </c>
      <c r="G645" s="246">
        <v>4</v>
      </c>
      <c r="H645" s="246">
        <v>5</v>
      </c>
      <c r="I645" s="246">
        <v>14</v>
      </c>
      <c r="J645" s="246">
        <v>16</v>
      </c>
      <c r="K645" s="246">
        <v>17</v>
      </c>
      <c r="L645" s="246"/>
      <c r="M645" s="246"/>
      <c r="N645" s="246"/>
      <c r="O645" s="246"/>
      <c r="P645" s="246"/>
      <c r="Q645" s="246"/>
      <c r="R645" s="246">
        <f>IFERROR(VLOOKUP(D645,PROGRAMAS[],2,FALSE),0)</f>
        <v>97037803.679377079</v>
      </c>
      <c r="S645" s="246">
        <f>IFERROR(VLOOKUP(E645,PROGRAMAS[],2,FALSE),0)</f>
        <v>640501509.6821388</v>
      </c>
      <c r="T645" s="246">
        <f>IFERROR(VLOOKUP(F645,PROGRAMAS[],2,FALSE),0)</f>
        <v>3062327798.1525245</v>
      </c>
      <c r="U645" s="246">
        <f>IFERROR(VLOOKUP(G645,PROGRAMAS[],2,FALSE),0)</f>
        <v>67697118.033011258</v>
      </c>
      <c r="V645" s="246">
        <f>IFERROR(VLOOKUP(H645,PROGRAMAS[],2,FALSE),0)</f>
        <v>1440941976.2528784</v>
      </c>
      <c r="W645" s="246">
        <f>IFERROR(VLOOKUP(I645,PROGRAMAS[],2,FALSE),0)</f>
        <v>54223862.645839565</v>
      </c>
      <c r="X645" s="246">
        <f>IFERROR(VLOOKUP(J645,PROGRAMAS[],2,FALSE),0)</f>
        <v>7068496961.0436354</v>
      </c>
      <c r="Y645" s="246">
        <f>IFERROR(VLOOKUP(K645,PROGRAMAS[],2,FALSE),0)</f>
        <v>1892779498.5211046</v>
      </c>
      <c r="Z645" s="246">
        <f>IFERROR(VLOOKUP(L645,PROGRAMAS[],2,FALSE),0)</f>
        <v>0</v>
      </c>
      <c r="AA645" s="246">
        <f>IFERROR(VLOOKUP(M645,PROGRAMAS[],2,FALSE),0)</f>
        <v>0</v>
      </c>
      <c r="AB645" s="246">
        <f>IFERROR(VLOOKUP(N645,PROGRAMAS[],2,FALSE),0)</f>
        <v>0</v>
      </c>
      <c r="AC645" s="246">
        <f>IFERROR(VLOOKUP(O645,PROGRAMAS[],2,FALSE),0)</f>
        <v>0</v>
      </c>
      <c r="AD645" s="246">
        <f>IFERROR(VLOOKUP(P645,PROGRAMAS[],2,FALSE),0)</f>
        <v>0</v>
      </c>
      <c r="AE645" s="246">
        <f>IFERROR(VLOOKUP(Q645,PROGRAMAS[],2,FALSE),0)</f>
        <v>0</v>
      </c>
      <c r="AF645" s="246">
        <f>IFERROR(VLOOKUP(D645,PROGRAMAS[],3,FALSE),0)</f>
        <v>841888629.31080008</v>
      </c>
      <c r="AG645" s="246">
        <f>IFERROR(VLOOKUP(E645,PROGRAMAS[],3,FALSE),0)</f>
        <v>3848980803.1642323</v>
      </c>
      <c r="AH645" s="246">
        <f>IFERROR(VLOOKUP(F645,PROGRAMAS[],3,FALSE),0)</f>
        <v>3394901471.387517</v>
      </c>
      <c r="AI645" s="246">
        <f>IFERROR(VLOOKUP(G645,PROGRAMAS[],3,FALSE),0)</f>
        <v>125317226.95549992</v>
      </c>
      <c r="AJ645" s="246">
        <f>IFERROR(VLOOKUP(H645,PROGRAMAS[],3,FALSE),0)</f>
        <v>1233505101.0616004</v>
      </c>
      <c r="AK645" s="246">
        <f>IFERROR(VLOOKUP(I645,PROGRAMAS[],3,FALSE),0)</f>
        <v>31865326.38096505</v>
      </c>
      <c r="AL645" s="246">
        <f>IFERROR(VLOOKUP(J645,PROGRAMAS[],3,FALSE),0)</f>
        <v>2406564599.0319901</v>
      </c>
      <c r="AM645" s="246">
        <f>IFERROR(VLOOKUP(K645,PROGRAMAS[],3,FALSE),0)</f>
        <v>948595847.09039903</v>
      </c>
      <c r="AN645" s="246">
        <f>IFERROR(VLOOKUP(L645,PROGRAMAS[],3,FALSE),0)</f>
        <v>0</v>
      </c>
      <c r="AO645" s="246">
        <f>IFERROR(VLOOKUP(M645,PROGRAMAS[],3,FALSE),0)</f>
        <v>0</v>
      </c>
      <c r="AP645" s="246">
        <f>IFERROR(VLOOKUP(N645,PROGRAMAS[],3,FALSE),0)</f>
        <v>0</v>
      </c>
      <c r="AQ645" s="246">
        <f>IFERROR(VLOOKUP(O645,PROGRAMAS[],3,FALSE),0)</f>
        <v>0</v>
      </c>
      <c r="AR645" s="246">
        <f>IFERROR(VLOOKUP(P645,PROGRAMAS[],3,FALSE),0)</f>
        <v>0</v>
      </c>
      <c r="AS645" s="246">
        <f>IFERROR(VLOOKUP(Q645,PROGRAMAS[],3,FALSE),0)</f>
        <v>0</v>
      </c>
      <c r="AT645" s="246">
        <f>IFERROR(VLOOKUP(D645,VOL_REC[],2,FALSE),0)</f>
        <v>0</v>
      </c>
      <c r="AU645" s="246">
        <f>IFERROR(VLOOKUP(E645,VOL_REC[],2,FALSE),0)</f>
        <v>0</v>
      </c>
      <c r="AV645" s="246">
        <f>IFERROR(VLOOKUP(F645,VOL_REC[],2,FALSE),0)</f>
        <v>11089674.200000001</v>
      </c>
      <c r="AW645" s="246">
        <f>IFERROR(VLOOKUP(G645,VOL_REC[],2,FALSE),0)</f>
        <v>90439.55</v>
      </c>
      <c r="AX645" s="246">
        <f>IFERROR(VLOOKUP(H645,VOL_REC[],2,FALSE),0)</f>
        <v>4325103.1812214684</v>
      </c>
      <c r="AY645" s="246">
        <f>IFERROR(VLOOKUP(I645,VOL_REC[],2,FALSE),0)</f>
        <v>17074.045034105649</v>
      </c>
      <c r="AZ645" s="246">
        <f>IFERROR(VLOOKUP(J645,VOL_REC[],2,FALSE),0)</f>
        <v>1072354.9981737854</v>
      </c>
      <c r="BA645" s="246">
        <f>IFERROR(VLOOKUP(K645,VOL_REC[],2,FALSE),0)</f>
        <v>740113.98115702497</v>
      </c>
      <c r="BB645" s="246">
        <f>IFERROR(VLOOKUP(L645,VOL_REC[],2,FALSE),0)</f>
        <v>0</v>
      </c>
      <c r="BC645" s="246">
        <f>IFERROR(VLOOKUP(M645,VOL_REC[],2,FALSE),0)</f>
        <v>0</v>
      </c>
      <c r="BD645" s="246">
        <f>IFERROR(VLOOKUP(N645,VOL_REC[],2,FALSE),0)</f>
        <v>0</v>
      </c>
      <c r="BE645" s="246">
        <f>IFERROR(VLOOKUP(O645,VOL_REC[],2,FALSE),0)</f>
        <v>0</v>
      </c>
      <c r="BF645" s="246">
        <f>IFERROR(VLOOKUP(P645,VOL_REC[],2,FALSE),0)</f>
        <v>0</v>
      </c>
      <c r="BG645" s="246">
        <f>IFERROR(VLOOKUP(Q645,VOL_REC[],2,FALSE),0)</f>
        <v>0</v>
      </c>
      <c r="BH645" s="1710">
        <f t="shared" si="40"/>
        <v>14324006528.010511</v>
      </c>
      <c r="BI645" s="1710">
        <f t="shared" si="41"/>
        <v>12831619004.383003</v>
      </c>
      <c r="BJ645" s="1711">
        <f t="shared" si="42"/>
        <v>17334759.955586385</v>
      </c>
      <c r="BK645" s="1711">
        <f t="shared" si="43"/>
        <v>1.1163054734650195</v>
      </c>
      <c r="BL645">
        <f>BJ645</f>
        <v>17334759.955586385</v>
      </c>
      <c r="BO645">
        <f>BL645</f>
        <v>17334759.955586385</v>
      </c>
    </row>
    <row r="646" spans="3:67" x14ac:dyDescent="0.25">
      <c r="C646" s="246" t="s">
        <v>1996</v>
      </c>
      <c r="D646" s="246">
        <v>1</v>
      </c>
      <c r="E646" s="246">
        <v>2</v>
      </c>
      <c r="F646" s="246">
        <v>3</v>
      </c>
      <c r="G646" s="246">
        <v>4</v>
      </c>
      <c r="H646" s="246">
        <v>5</v>
      </c>
      <c r="I646" s="246">
        <v>15</v>
      </c>
      <c r="J646" s="246">
        <v>16</v>
      </c>
      <c r="K646" s="246">
        <v>17</v>
      </c>
      <c r="L646" s="246"/>
      <c r="M646" s="246"/>
      <c r="N646" s="246"/>
      <c r="O646" s="246"/>
      <c r="P646" s="246"/>
      <c r="Q646" s="246"/>
      <c r="R646" s="246">
        <f>IFERROR(VLOOKUP(D646,PROGRAMAS[],2,FALSE),0)</f>
        <v>97037803.679377079</v>
      </c>
      <c r="S646" s="246">
        <f>IFERROR(VLOOKUP(E646,PROGRAMAS[],2,FALSE),0)</f>
        <v>640501509.6821388</v>
      </c>
      <c r="T646" s="246">
        <f>IFERROR(VLOOKUP(F646,PROGRAMAS[],2,FALSE),0)</f>
        <v>3062327798.1525245</v>
      </c>
      <c r="U646" s="246">
        <f>IFERROR(VLOOKUP(G646,PROGRAMAS[],2,FALSE),0)</f>
        <v>67697118.033011258</v>
      </c>
      <c r="V646" s="246">
        <f>IFERROR(VLOOKUP(H646,PROGRAMAS[],2,FALSE),0)</f>
        <v>1440941976.2528784</v>
      </c>
      <c r="W646" s="246">
        <f>IFERROR(VLOOKUP(I646,PROGRAMAS[],2,FALSE),0)</f>
        <v>122159672.96346797</v>
      </c>
      <c r="X646" s="246">
        <f>IFERROR(VLOOKUP(J646,PROGRAMAS[],2,FALSE),0)</f>
        <v>7068496961.0436354</v>
      </c>
      <c r="Y646" s="246">
        <f>IFERROR(VLOOKUP(K646,PROGRAMAS[],2,FALSE),0)</f>
        <v>1892779498.5211046</v>
      </c>
      <c r="Z646" s="246">
        <f>IFERROR(VLOOKUP(L646,PROGRAMAS[],2,FALSE),0)</f>
        <v>0</v>
      </c>
      <c r="AA646" s="246">
        <f>IFERROR(VLOOKUP(M646,PROGRAMAS[],2,FALSE),0)</f>
        <v>0</v>
      </c>
      <c r="AB646" s="246">
        <f>IFERROR(VLOOKUP(N646,PROGRAMAS[],2,FALSE),0)</f>
        <v>0</v>
      </c>
      <c r="AC646" s="246">
        <f>IFERROR(VLOOKUP(O646,PROGRAMAS[],2,FALSE),0)</f>
        <v>0</v>
      </c>
      <c r="AD646" s="246">
        <f>IFERROR(VLOOKUP(P646,PROGRAMAS[],2,FALSE),0)</f>
        <v>0</v>
      </c>
      <c r="AE646" s="246">
        <f>IFERROR(VLOOKUP(Q646,PROGRAMAS[],2,FALSE),0)</f>
        <v>0</v>
      </c>
      <c r="AF646" s="246">
        <f>IFERROR(VLOOKUP(D646,PROGRAMAS[],3,FALSE),0)</f>
        <v>841888629.31080008</v>
      </c>
      <c r="AG646" s="246">
        <f>IFERROR(VLOOKUP(E646,PROGRAMAS[],3,FALSE),0)</f>
        <v>3848980803.1642323</v>
      </c>
      <c r="AH646" s="246">
        <f>IFERROR(VLOOKUP(F646,PROGRAMAS[],3,FALSE),0)</f>
        <v>3394901471.387517</v>
      </c>
      <c r="AI646" s="246">
        <f>IFERROR(VLOOKUP(G646,PROGRAMAS[],3,FALSE),0)</f>
        <v>125317226.95549992</v>
      </c>
      <c r="AJ646" s="246">
        <f>IFERROR(VLOOKUP(H646,PROGRAMAS[],3,FALSE),0)</f>
        <v>1233505101.0616004</v>
      </c>
      <c r="AK646" s="246">
        <f>IFERROR(VLOOKUP(I646,PROGRAMAS[],3,FALSE),0)</f>
        <v>118617452.52510804</v>
      </c>
      <c r="AL646" s="246">
        <f>IFERROR(VLOOKUP(J646,PROGRAMAS[],3,FALSE),0)</f>
        <v>2406564599.0319901</v>
      </c>
      <c r="AM646" s="246">
        <f>IFERROR(VLOOKUP(K646,PROGRAMAS[],3,FALSE),0)</f>
        <v>948595847.09039903</v>
      </c>
      <c r="AN646" s="246">
        <f>IFERROR(VLOOKUP(L646,PROGRAMAS[],3,FALSE),0)</f>
        <v>0</v>
      </c>
      <c r="AO646" s="246">
        <f>IFERROR(VLOOKUP(M646,PROGRAMAS[],3,FALSE),0)</f>
        <v>0</v>
      </c>
      <c r="AP646" s="246">
        <f>IFERROR(VLOOKUP(N646,PROGRAMAS[],3,FALSE),0)</f>
        <v>0</v>
      </c>
      <c r="AQ646" s="246">
        <f>IFERROR(VLOOKUP(O646,PROGRAMAS[],3,FALSE),0)</f>
        <v>0</v>
      </c>
      <c r="AR646" s="246">
        <f>IFERROR(VLOOKUP(P646,PROGRAMAS[],3,FALSE),0)</f>
        <v>0</v>
      </c>
      <c r="AS646" s="246">
        <f>IFERROR(VLOOKUP(Q646,PROGRAMAS[],3,FALSE),0)</f>
        <v>0</v>
      </c>
      <c r="AT646" s="246">
        <f>IFERROR(VLOOKUP(D646,VOL_REC[],2,FALSE),0)</f>
        <v>0</v>
      </c>
      <c r="AU646" s="246">
        <f>IFERROR(VLOOKUP(E646,VOL_REC[],2,FALSE),0)</f>
        <v>0</v>
      </c>
      <c r="AV646" s="246">
        <f>IFERROR(VLOOKUP(F646,VOL_REC[],2,FALSE),0)</f>
        <v>11089674.200000001</v>
      </c>
      <c r="AW646" s="246">
        <f>IFERROR(VLOOKUP(G646,VOL_REC[],2,FALSE),0)</f>
        <v>90439.55</v>
      </c>
      <c r="AX646" s="246">
        <f>IFERROR(VLOOKUP(H646,VOL_REC[],2,FALSE),0)</f>
        <v>4325103.1812214684</v>
      </c>
      <c r="AY646" s="246">
        <f>IFERROR(VLOOKUP(I646,VOL_REC[],2,FALSE),0)</f>
        <v>105072</v>
      </c>
      <c r="AZ646" s="246">
        <f>IFERROR(VLOOKUP(J646,VOL_REC[],2,FALSE),0)</f>
        <v>1072354.9981737854</v>
      </c>
      <c r="BA646" s="246">
        <f>IFERROR(VLOOKUP(K646,VOL_REC[],2,FALSE),0)</f>
        <v>740113.98115702497</v>
      </c>
      <c r="BB646" s="246">
        <f>IFERROR(VLOOKUP(L646,VOL_REC[],2,FALSE),0)</f>
        <v>0</v>
      </c>
      <c r="BC646" s="246">
        <f>IFERROR(VLOOKUP(M646,VOL_REC[],2,FALSE),0)</f>
        <v>0</v>
      </c>
      <c r="BD646" s="246">
        <f>IFERROR(VLOOKUP(N646,VOL_REC[],2,FALSE),0)</f>
        <v>0</v>
      </c>
      <c r="BE646" s="246">
        <f>IFERROR(VLOOKUP(O646,VOL_REC[],2,FALSE),0)</f>
        <v>0</v>
      </c>
      <c r="BF646" s="246">
        <f>IFERROR(VLOOKUP(P646,VOL_REC[],2,FALSE),0)</f>
        <v>0</v>
      </c>
      <c r="BG646" s="246">
        <f>IFERROR(VLOOKUP(Q646,VOL_REC[],2,FALSE),0)</f>
        <v>0</v>
      </c>
      <c r="BH646" s="1710">
        <f t="shared" si="40"/>
        <v>14391942338.328138</v>
      </c>
      <c r="BI646" s="1710">
        <f t="shared" si="41"/>
        <v>12918371130.527147</v>
      </c>
      <c r="BJ646" s="1711">
        <f t="shared" si="42"/>
        <v>17422757.910552278</v>
      </c>
      <c r="BK646" s="1711">
        <f t="shared" si="43"/>
        <v>1.1140678799913732</v>
      </c>
      <c r="BL646">
        <f>BJ646</f>
        <v>17422757.910552278</v>
      </c>
      <c r="BO646">
        <f>BL646</f>
        <v>17422757.910552278</v>
      </c>
    </row>
    <row r="647" spans="3:67" x14ac:dyDescent="0.25">
      <c r="C647" s="246" t="s">
        <v>1997</v>
      </c>
      <c r="D647" s="246">
        <v>1</v>
      </c>
      <c r="E647" s="246">
        <v>2</v>
      </c>
      <c r="F647" s="246">
        <v>3</v>
      </c>
      <c r="G647" s="246">
        <v>4</v>
      </c>
      <c r="H647" s="246">
        <v>6</v>
      </c>
      <c r="I647" s="246">
        <v>9</v>
      </c>
      <c r="J647" s="246">
        <v>10</v>
      </c>
      <c r="K647" s="246">
        <v>12</v>
      </c>
      <c r="L647" s="246"/>
      <c r="M647" s="246"/>
      <c r="N647" s="246"/>
      <c r="O647" s="246"/>
      <c r="P647" s="246"/>
      <c r="Q647" s="246"/>
      <c r="R647" s="246">
        <f>IFERROR(VLOOKUP(D647,PROGRAMAS[],2,FALSE),0)</f>
        <v>97037803.679377079</v>
      </c>
      <c r="S647" s="246">
        <f>IFERROR(VLOOKUP(E647,PROGRAMAS[],2,FALSE),0)</f>
        <v>640501509.6821388</v>
      </c>
      <c r="T647" s="246">
        <f>IFERROR(VLOOKUP(F647,PROGRAMAS[],2,FALSE),0)</f>
        <v>3062327798.1525245</v>
      </c>
      <c r="U647" s="246">
        <f>IFERROR(VLOOKUP(G647,PROGRAMAS[],2,FALSE),0)</f>
        <v>67697118.033011258</v>
      </c>
      <c r="V647" s="246">
        <f>IFERROR(VLOOKUP(H647,PROGRAMAS[],2,FALSE),0)</f>
        <v>6907648435.8447599</v>
      </c>
      <c r="W647" s="246">
        <f>IFERROR(VLOOKUP(I647,PROGRAMAS[],2,FALSE),0)</f>
        <v>6128579952.1618185</v>
      </c>
      <c r="X647" s="246">
        <f>IFERROR(VLOOKUP(J647,PROGRAMAS[],2,FALSE),0)</f>
        <v>4635315027.8751087</v>
      </c>
      <c r="Y647" s="246">
        <f>IFERROR(VLOOKUP(K647,PROGRAMAS[],2,FALSE),0)</f>
        <v>764796700.79905891</v>
      </c>
      <c r="Z647" s="246">
        <f>IFERROR(VLOOKUP(L647,PROGRAMAS[],2,FALSE),0)</f>
        <v>0</v>
      </c>
      <c r="AA647" s="246">
        <f>IFERROR(VLOOKUP(M647,PROGRAMAS[],2,FALSE),0)</f>
        <v>0</v>
      </c>
      <c r="AB647" s="246">
        <f>IFERROR(VLOOKUP(N647,PROGRAMAS[],2,FALSE),0)</f>
        <v>0</v>
      </c>
      <c r="AC647" s="246">
        <f>IFERROR(VLOOKUP(O647,PROGRAMAS[],2,FALSE),0)</f>
        <v>0</v>
      </c>
      <c r="AD647" s="246">
        <f>IFERROR(VLOOKUP(P647,PROGRAMAS[],2,FALSE),0)</f>
        <v>0</v>
      </c>
      <c r="AE647" s="246">
        <f>IFERROR(VLOOKUP(Q647,PROGRAMAS[],2,FALSE),0)</f>
        <v>0</v>
      </c>
      <c r="AF647" s="246">
        <f>IFERROR(VLOOKUP(D647,PROGRAMAS[],3,FALSE),0)</f>
        <v>841888629.31080008</v>
      </c>
      <c r="AG647" s="246">
        <f>IFERROR(VLOOKUP(E647,PROGRAMAS[],3,FALSE),0)</f>
        <v>3848980803.1642323</v>
      </c>
      <c r="AH647" s="246">
        <f>IFERROR(VLOOKUP(F647,PROGRAMAS[],3,FALSE),0)</f>
        <v>3394901471.387517</v>
      </c>
      <c r="AI647" s="246">
        <f>IFERROR(VLOOKUP(G647,PROGRAMAS[],3,FALSE),0)</f>
        <v>125317226.95549992</v>
      </c>
      <c r="AJ647" s="246">
        <f>IFERROR(VLOOKUP(H647,PROGRAMAS[],3,FALSE),0)</f>
        <v>6129902208.7912121</v>
      </c>
      <c r="AK647" s="246">
        <f>IFERROR(VLOOKUP(I647,PROGRAMAS[],3,FALSE),0)</f>
        <v>7011279577.519702</v>
      </c>
      <c r="AL647" s="246">
        <f>IFERROR(VLOOKUP(J647,PROGRAMAS[],3,FALSE),0)</f>
        <v>4099471734.9978786</v>
      </c>
      <c r="AM647" s="246">
        <f>IFERROR(VLOOKUP(K647,PROGRAMAS[],3,FALSE),0)</f>
        <v>675517840.109828</v>
      </c>
      <c r="AN647" s="246">
        <f>IFERROR(VLOOKUP(L647,PROGRAMAS[],3,FALSE),0)</f>
        <v>0</v>
      </c>
      <c r="AO647" s="246">
        <f>IFERROR(VLOOKUP(M647,PROGRAMAS[],3,FALSE),0)</f>
        <v>0</v>
      </c>
      <c r="AP647" s="246">
        <f>IFERROR(VLOOKUP(N647,PROGRAMAS[],3,FALSE),0)</f>
        <v>0</v>
      </c>
      <c r="AQ647" s="246">
        <f>IFERROR(VLOOKUP(O647,PROGRAMAS[],3,FALSE),0)</f>
        <v>0</v>
      </c>
      <c r="AR647" s="246">
        <f>IFERROR(VLOOKUP(P647,PROGRAMAS[],3,FALSE),0)</f>
        <v>0</v>
      </c>
      <c r="AS647" s="246">
        <f>IFERROR(VLOOKUP(Q647,PROGRAMAS[],3,FALSE),0)</f>
        <v>0</v>
      </c>
      <c r="AT647" s="246">
        <f>IFERROR(VLOOKUP(D647,VOL_REC[],2,FALSE),0)</f>
        <v>0</v>
      </c>
      <c r="AU647" s="246">
        <f>IFERROR(VLOOKUP(E647,VOL_REC[],2,FALSE),0)</f>
        <v>0</v>
      </c>
      <c r="AV647" s="246">
        <f>IFERROR(VLOOKUP(F647,VOL_REC[],2,FALSE),0)</f>
        <v>11089674.200000001</v>
      </c>
      <c r="AW647" s="246">
        <f>IFERROR(VLOOKUP(G647,VOL_REC[],2,FALSE),0)</f>
        <v>90439.55</v>
      </c>
      <c r="AX647" s="246">
        <f>IFERROR(VLOOKUP(H647,VOL_REC[],2,FALSE),0)</f>
        <v>15540036.397699751</v>
      </c>
      <c r="AY647" s="246">
        <f>IFERROR(VLOOKUP(I647,VOL_REC[],2,FALSE),0)</f>
        <v>3761786</v>
      </c>
      <c r="AZ647" s="246">
        <f>IFERROR(VLOOKUP(J647,VOL_REC[],2,FALSE),0)</f>
        <v>1812240</v>
      </c>
      <c r="BA647" s="246">
        <f>IFERROR(VLOOKUP(K647,VOL_REC[],2,FALSE),0)</f>
        <v>240696.79238099116</v>
      </c>
      <c r="BB647" s="246">
        <f>IFERROR(VLOOKUP(L647,VOL_REC[],2,FALSE),0)</f>
        <v>0</v>
      </c>
      <c r="BC647" s="246">
        <f>IFERROR(VLOOKUP(M647,VOL_REC[],2,FALSE),0)</f>
        <v>0</v>
      </c>
      <c r="BD647" s="246">
        <f>IFERROR(VLOOKUP(N647,VOL_REC[],2,FALSE),0)</f>
        <v>0</v>
      </c>
      <c r="BE647" s="246">
        <f>IFERROR(VLOOKUP(O647,VOL_REC[],2,FALSE),0)</f>
        <v>0</v>
      </c>
      <c r="BF647" s="246">
        <f>IFERROR(VLOOKUP(P647,VOL_REC[],2,FALSE),0)</f>
        <v>0</v>
      </c>
      <c r="BG647" s="246">
        <f>IFERROR(VLOOKUP(Q647,VOL_REC[],2,FALSE),0)</f>
        <v>0</v>
      </c>
      <c r="BH647" s="1710">
        <f t="shared" si="40"/>
        <v>22303904346.227798</v>
      </c>
      <c r="BI647" s="1710">
        <f t="shared" si="41"/>
        <v>26127259492.236671</v>
      </c>
      <c r="BJ647" s="1711">
        <f t="shared" si="42"/>
        <v>32534872.940080743</v>
      </c>
      <c r="BK647" s="1711">
        <f t="shared" si="43"/>
        <v>0.85366413392323348</v>
      </c>
    </row>
    <row r="648" spans="3:67" x14ac:dyDescent="0.25">
      <c r="C648" s="246" t="s">
        <v>1998</v>
      </c>
      <c r="D648" s="246">
        <v>1</v>
      </c>
      <c r="E648" s="246">
        <v>2</v>
      </c>
      <c r="F648" s="246">
        <v>3</v>
      </c>
      <c r="G648" s="246">
        <v>4</v>
      </c>
      <c r="H648" s="246">
        <v>6</v>
      </c>
      <c r="I648" s="246">
        <v>9</v>
      </c>
      <c r="J648" s="246">
        <v>10</v>
      </c>
      <c r="K648" s="246">
        <v>13</v>
      </c>
      <c r="L648" s="246"/>
      <c r="M648" s="246"/>
      <c r="N648" s="246"/>
      <c r="O648" s="246"/>
      <c r="P648" s="246"/>
      <c r="Q648" s="246"/>
      <c r="R648" s="246">
        <f>IFERROR(VLOOKUP(D648,PROGRAMAS[],2,FALSE),0)</f>
        <v>97037803.679377079</v>
      </c>
      <c r="S648" s="246">
        <f>IFERROR(VLOOKUP(E648,PROGRAMAS[],2,FALSE),0)</f>
        <v>640501509.6821388</v>
      </c>
      <c r="T648" s="246">
        <f>IFERROR(VLOOKUP(F648,PROGRAMAS[],2,FALSE),0)</f>
        <v>3062327798.1525245</v>
      </c>
      <c r="U648" s="246">
        <f>IFERROR(VLOOKUP(G648,PROGRAMAS[],2,FALSE),0)</f>
        <v>67697118.033011258</v>
      </c>
      <c r="V648" s="246">
        <f>IFERROR(VLOOKUP(H648,PROGRAMAS[],2,FALSE),0)</f>
        <v>6907648435.8447599</v>
      </c>
      <c r="W648" s="246">
        <f>IFERROR(VLOOKUP(I648,PROGRAMAS[],2,FALSE),0)</f>
        <v>6128579952.1618185</v>
      </c>
      <c r="X648" s="246">
        <f>IFERROR(VLOOKUP(J648,PROGRAMAS[],2,FALSE),0)</f>
        <v>4635315027.8751087</v>
      </c>
      <c r="Y648" s="246">
        <f>IFERROR(VLOOKUP(K648,PROGRAMAS[],2,FALSE),0)</f>
        <v>3776538594.4604583</v>
      </c>
      <c r="Z648" s="246">
        <f>IFERROR(VLOOKUP(L648,PROGRAMAS[],2,FALSE),0)</f>
        <v>0</v>
      </c>
      <c r="AA648" s="246">
        <f>IFERROR(VLOOKUP(M648,PROGRAMAS[],2,FALSE),0)</f>
        <v>0</v>
      </c>
      <c r="AB648" s="246">
        <f>IFERROR(VLOOKUP(N648,PROGRAMAS[],2,FALSE),0)</f>
        <v>0</v>
      </c>
      <c r="AC648" s="246">
        <f>IFERROR(VLOOKUP(O648,PROGRAMAS[],2,FALSE),0)</f>
        <v>0</v>
      </c>
      <c r="AD648" s="246">
        <f>IFERROR(VLOOKUP(P648,PROGRAMAS[],2,FALSE),0)</f>
        <v>0</v>
      </c>
      <c r="AE648" s="246">
        <f>IFERROR(VLOOKUP(Q648,PROGRAMAS[],2,FALSE),0)</f>
        <v>0</v>
      </c>
      <c r="AF648" s="246">
        <f>IFERROR(VLOOKUP(D648,PROGRAMAS[],3,FALSE),0)</f>
        <v>841888629.31080008</v>
      </c>
      <c r="AG648" s="246">
        <f>IFERROR(VLOOKUP(E648,PROGRAMAS[],3,FALSE),0)</f>
        <v>3848980803.1642323</v>
      </c>
      <c r="AH648" s="246">
        <f>IFERROR(VLOOKUP(F648,PROGRAMAS[],3,FALSE),0)</f>
        <v>3394901471.387517</v>
      </c>
      <c r="AI648" s="246">
        <f>IFERROR(VLOOKUP(G648,PROGRAMAS[],3,FALSE),0)</f>
        <v>125317226.95549992</v>
      </c>
      <c r="AJ648" s="246">
        <f>IFERROR(VLOOKUP(H648,PROGRAMAS[],3,FALSE),0)</f>
        <v>6129902208.7912121</v>
      </c>
      <c r="AK648" s="246">
        <f>IFERROR(VLOOKUP(I648,PROGRAMAS[],3,FALSE),0)</f>
        <v>7011279577.519702</v>
      </c>
      <c r="AL648" s="246">
        <f>IFERROR(VLOOKUP(J648,PROGRAMAS[],3,FALSE),0)</f>
        <v>4099471734.9978786</v>
      </c>
      <c r="AM648" s="246">
        <f>IFERROR(VLOOKUP(K648,PROGRAMAS[],3,FALSE),0)</f>
        <v>2392571243.5584412</v>
      </c>
      <c r="AN648" s="246">
        <f>IFERROR(VLOOKUP(L648,PROGRAMAS[],3,FALSE),0)</f>
        <v>0</v>
      </c>
      <c r="AO648" s="246">
        <f>IFERROR(VLOOKUP(M648,PROGRAMAS[],3,FALSE),0)</f>
        <v>0</v>
      </c>
      <c r="AP648" s="246">
        <f>IFERROR(VLOOKUP(N648,PROGRAMAS[],3,FALSE),0)</f>
        <v>0</v>
      </c>
      <c r="AQ648" s="246">
        <f>IFERROR(VLOOKUP(O648,PROGRAMAS[],3,FALSE),0)</f>
        <v>0</v>
      </c>
      <c r="AR648" s="246">
        <f>IFERROR(VLOOKUP(P648,PROGRAMAS[],3,FALSE),0)</f>
        <v>0</v>
      </c>
      <c r="AS648" s="246">
        <f>IFERROR(VLOOKUP(Q648,PROGRAMAS[],3,FALSE),0)</f>
        <v>0</v>
      </c>
      <c r="AT648" s="246">
        <f>IFERROR(VLOOKUP(D648,VOL_REC[],2,FALSE),0)</f>
        <v>0</v>
      </c>
      <c r="AU648" s="246">
        <f>IFERROR(VLOOKUP(E648,VOL_REC[],2,FALSE),0)</f>
        <v>0</v>
      </c>
      <c r="AV648" s="246">
        <f>IFERROR(VLOOKUP(F648,VOL_REC[],2,FALSE),0)</f>
        <v>11089674.200000001</v>
      </c>
      <c r="AW648" s="246">
        <f>IFERROR(VLOOKUP(G648,VOL_REC[],2,FALSE),0)</f>
        <v>90439.55</v>
      </c>
      <c r="AX648" s="246">
        <f>IFERROR(VLOOKUP(H648,VOL_REC[],2,FALSE),0)</f>
        <v>15540036.397699751</v>
      </c>
      <c r="AY648" s="246">
        <f>IFERROR(VLOOKUP(I648,VOL_REC[],2,FALSE),0)</f>
        <v>3761786</v>
      </c>
      <c r="AZ648" s="246">
        <f>IFERROR(VLOOKUP(J648,VOL_REC[],2,FALSE),0)</f>
        <v>1812240</v>
      </c>
      <c r="BA648" s="246">
        <f>IFERROR(VLOOKUP(K648,VOL_REC[],2,FALSE),0)</f>
        <v>663244.80000000016</v>
      </c>
      <c r="BB648" s="246">
        <f>IFERROR(VLOOKUP(L648,VOL_REC[],2,FALSE),0)</f>
        <v>0</v>
      </c>
      <c r="BC648" s="246">
        <f>IFERROR(VLOOKUP(M648,VOL_REC[],2,FALSE),0)</f>
        <v>0</v>
      </c>
      <c r="BD648" s="246">
        <f>IFERROR(VLOOKUP(N648,VOL_REC[],2,FALSE),0)</f>
        <v>0</v>
      </c>
      <c r="BE648" s="246">
        <f>IFERROR(VLOOKUP(O648,VOL_REC[],2,FALSE),0)</f>
        <v>0</v>
      </c>
      <c r="BF648" s="246">
        <f>IFERROR(VLOOKUP(P648,VOL_REC[],2,FALSE),0)</f>
        <v>0</v>
      </c>
      <c r="BG648" s="246">
        <f>IFERROR(VLOOKUP(Q648,VOL_REC[],2,FALSE),0)</f>
        <v>0</v>
      </c>
      <c r="BH648" s="1710">
        <f t="shared" si="40"/>
        <v>25315646239.889198</v>
      </c>
      <c r="BI648" s="1710">
        <f t="shared" si="41"/>
        <v>27844312895.685284</v>
      </c>
      <c r="BJ648" s="1711">
        <f t="shared" si="42"/>
        <v>32957420.947699752</v>
      </c>
      <c r="BK648" s="1711">
        <f t="shared" si="43"/>
        <v>0.90918552505607264</v>
      </c>
    </row>
    <row r="649" spans="3:67" x14ac:dyDescent="0.25">
      <c r="C649" s="246" t="s">
        <v>1999</v>
      </c>
      <c r="D649" s="246">
        <v>1</v>
      </c>
      <c r="E649" s="246">
        <v>2</v>
      </c>
      <c r="F649" s="246">
        <v>3</v>
      </c>
      <c r="G649" s="246">
        <v>4</v>
      </c>
      <c r="H649" s="246">
        <v>6</v>
      </c>
      <c r="I649" s="246">
        <v>9</v>
      </c>
      <c r="J649" s="246">
        <v>10</v>
      </c>
      <c r="K649" s="246">
        <v>14</v>
      </c>
      <c r="L649" s="246"/>
      <c r="M649" s="246"/>
      <c r="N649" s="246"/>
      <c r="O649" s="246"/>
      <c r="P649" s="246"/>
      <c r="Q649" s="246"/>
      <c r="R649" s="246">
        <f>IFERROR(VLOOKUP(D649,PROGRAMAS[],2,FALSE),0)</f>
        <v>97037803.679377079</v>
      </c>
      <c r="S649" s="246">
        <f>IFERROR(VLOOKUP(E649,PROGRAMAS[],2,FALSE),0)</f>
        <v>640501509.6821388</v>
      </c>
      <c r="T649" s="246">
        <f>IFERROR(VLOOKUP(F649,PROGRAMAS[],2,FALSE),0)</f>
        <v>3062327798.1525245</v>
      </c>
      <c r="U649" s="246">
        <f>IFERROR(VLOOKUP(G649,PROGRAMAS[],2,FALSE),0)</f>
        <v>67697118.033011258</v>
      </c>
      <c r="V649" s="246">
        <f>IFERROR(VLOOKUP(H649,PROGRAMAS[],2,FALSE),0)</f>
        <v>6907648435.8447599</v>
      </c>
      <c r="W649" s="246">
        <f>IFERROR(VLOOKUP(I649,PROGRAMAS[],2,FALSE),0)</f>
        <v>6128579952.1618185</v>
      </c>
      <c r="X649" s="246">
        <f>IFERROR(VLOOKUP(J649,PROGRAMAS[],2,FALSE),0)</f>
        <v>4635315027.8751087</v>
      </c>
      <c r="Y649" s="246">
        <f>IFERROR(VLOOKUP(K649,PROGRAMAS[],2,FALSE),0)</f>
        <v>54223862.645839565</v>
      </c>
      <c r="Z649" s="246">
        <f>IFERROR(VLOOKUP(L649,PROGRAMAS[],2,FALSE),0)</f>
        <v>0</v>
      </c>
      <c r="AA649" s="246">
        <f>IFERROR(VLOOKUP(M649,PROGRAMAS[],2,FALSE),0)</f>
        <v>0</v>
      </c>
      <c r="AB649" s="246">
        <f>IFERROR(VLOOKUP(N649,PROGRAMAS[],2,FALSE),0)</f>
        <v>0</v>
      </c>
      <c r="AC649" s="246">
        <f>IFERROR(VLOOKUP(O649,PROGRAMAS[],2,FALSE),0)</f>
        <v>0</v>
      </c>
      <c r="AD649" s="246">
        <f>IFERROR(VLOOKUP(P649,PROGRAMAS[],2,FALSE),0)</f>
        <v>0</v>
      </c>
      <c r="AE649" s="246">
        <f>IFERROR(VLOOKUP(Q649,PROGRAMAS[],2,FALSE),0)</f>
        <v>0</v>
      </c>
      <c r="AF649" s="246">
        <f>IFERROR(VLOOKUP(D649,PROGRAMAS[],3,FALSE),0)</f>
        <v>841888629.31080008</v>
      </c>
      <c r="AG649" s="246">
        <f>IFERROR(VLOOKUP(E649,PROGRAMAS[],3,FALSE),0)</f>
        <v>3848980803.1642323</v>
      </c>
      <c r="AH649" s="246">
        <f>IFERROR(VLOOKUP(F649,PROGRAMAS[],3,FALSE),0)</f>
        <v>3394901471.387517</v>
      </c>
      <c r="AI649" s="246">
        <f>IFERROR(VLOOKUP(G649,PROGRAMAS[],3,FALSE),0)</f>
        <v>125317226.95549992</v>
      </c>
      <c r="AJ649" s="246">
        <f>IFERROR(VLOOKUP(H649,PROGRAMAS[],3,FALSE),0)</f>
        <v>6129902208.7912121</v>
      </c>
      <c r="AK649" s="246">
        <f>IFERROR(VLOOKUP(I649,PROGRAMAS[],3,FALSE),0)</f>
        <v>7011279577.519702</v>
      </c>
      <c r="AL649" s="246">
        <f>IFERROR(VLOOKUP(J649,PROGRAMAS[],3,FALSE),0)</f>
        <v>4099471734.9978786</v>
      </c>
      <c r="AM649" s="246">
        <f>IFERROR(VLOOKUP(K649,PROGRAMAS[],3,FALSE),0)</f>
        <v>31865326.38096505</v>
      </c>
      <c r="AN649" s="246">
        <f>IFERROR(VLOOKUP(L649,PROGRAMAS[],3,FALSE),0)</f>
        <v>0</v>
      </c>
      <c r="AO649" s="246">
        <f>IFERROR(VLOOKUP(M649,PROGRAMAS[],3,FALSE),0)</f>
        <v>0</v>
      </c>
      <c r="AP649" s="246">
        <f>IFERROR(VLOOKUP(N649,PROGRAMAS[],3,FALSE),0)</f>
        <v>0</v>
      </c>
      <c r="AQ649" s="246">
        <f>IFERROR(VLOOKUP(O649,PROGRAMAS[],3,FALSE),0)</f>
        <v>0</v>
      </c>
      <c r="AR649" s="246">
        <f>IFERROR(VLOOKUP(P649,PROGRAMAS[],3,FALSE),0)</f>
        <v>0</v>
      </c>
      <c r="AS649" s="246">
        <f>IFERROR(VLOOKUP(Q649,PROGRAMAS[],3,FALSE),0)</f>
        <v>0</v>
      </c>
      <c r="AT649" s="246">
        <f>IFERROR(VLOOKUP(D649,VOL_REC[],2,FALSE),0)</f>
        <v>0</v>
      </c>
      <c r="AU649" s="246">
        <f>IFERROR(VLOOKUP(E649,VOL_REC[],2,FALSE),0)</f>
        <v>0</v>
      </c>
      <c r="AV649" s="246">
        <f>IFERROR(VLOOKUP(F649,VOL_REC[],2,FALSE),0)</f>
        <v>11089674.200000001</v>
      </c>
      <c r="AW649" s="246">
        <f>IFERROR(VLOOKUP(G649,VOL_REC[],2,FALSE),0)</f>
        <v>90439.55</v>
      </c>
      <c r="AX649" s="246">
        <f>IFERROR(VLOOKUP(H649,VOL_REC[],2,FALSE),0)</f>
        <v>15540036.397699751</v>
      </c>
      <c r="AY649" s="246">
        <f>IFERROR(VLOOKUP(I649,VOL_REC[],2,FALSE),0)</f>
        <v>3761786</v>
      </c>
      <c r="AZ649" s="246">
        <f>IFERROR(VLOOKUP(J649,VOL_REC[],2,FALSE),0)</f>
        <v>1812240</v>
      </c>
      <c r="BA649" s="246">
        <f>IFERROR(VLOOKUP(K649,VOL_REC[],2,FALSE),0)</f>
        <v>17074.045034105649</v>
      </c>
      <c r="BB649" s="246">
        <f>IFERROR(VLOOKUP(L649,VOL_REC[],2,FALSE),0)</f>
        <v>0</v>
      </c>
      <c r="BC649" s="246">
        <f>IFERROR(VLOOKUP(M649,VOL_REC[],2,FALSE),0)</f>
        <v>0</v>
      </c>
      <c r="BD649" s="246">
        <f>IFERROR(VLOOKUP(N649,VOL_REC[],2,FALSE),0)</f>
        <v>0</v>
      </c>
      <c r="BE649" s="246">
        <f>IFERROR(VLOOKUP(O649,VOL_REC[],2,FALSE),0)</f>
        <v>0</v>
      </c>
      <c r="BF649" s="246">
        <f>IFERROR(VLOOKUP(P649,VOL_REC[],2,FALSE),0)</f>
        <v>0</v>
      </c>
      <c r="BG649" s="246">
        <f>IFERROR(VLOOKUP(Q649,VOL_REC[],2,FALSE),0)</f>
        <v>0</v>
      </c>
      <c r="BH649" s="1710">
        <f t="shared" si="40"/>
        <v>21593331508.074581</v>
      </c>
      <c r="BI649" s="1710">
        <f t="shared" si="41"/>
        <v>25483606978.507809</v>
      </c>
      <c r="BJ649" s="1711">
        <f t="shared" si="42"/>
        <v>32311250.192733858</v>
      </c>
      <c r="BK649" s="1711">
        <f t="shared" si="43"/>
        <v>0.84734203938578312</v>
      </c>
    </row>
    <row r="650" spans="3:67" x14ac:dyDescent="0.25">
      <c r="C650" s="246" t="s">
        <v>2000</v>
      </c>
      <c r="D650" s="246">
        <v>1</v>
      </c>
      <c r="E650" s="246">
        <v>2</v>
      </c>
      <c r="F650" s="246">
        <v>3</v>
      </c>
      <c r="G650" s="246">
        <v>4</v>
      </c>
      <c r="H650" s="246">
        <v>6</v>
      </c>
      <c r="I650" s="246">
        <v>9</v>
      </c>
      <c r="J650" s="246">
        <v>10</v>
      </c>
      <c r="K650" s="246">
        <v>15</v>
      </c>
      <c r="L650" s="246"/>
      <c r="M650" s="246"/>
      <c r="N650" s="246"/>
      <c r="O650" s="246"/>
      <c r="P650" s="246"/>
      <c r="Q650" s="246"/>
      <c r="R650" s="246">
        <f>IFERROR(VLOOKUP(D650,PROGRAMAS[],2,FALSE),0)</f>
        <v>97037803.679377079</v>
      </c>
      <c r="S650" s="246">
        <f>IFERROR(VLOOKUP(E650,PROGRAMAS[],2,FALSE),0)</f>
        <v>640501509.6821388</v>
      </c>
      <c r="T650" s="246">
        <f>IFERROR(VLOOKUP(F650,PROGRAMAS[],2,FALSE),0)</f>
        <v>3062327798.1525245</v>
      </c>
      <c r="U650" s="246">
        <f>IFERROR(VLOOKUP(G650,PROGRAMAS[],2,FALSE),0)</f>
        <v>67697118.033011258</v>
      </c>
      <c r="V650" s="246">
        <f>IFERROR(VLOOKUP(H650,PROGRAMAS[],2,FALSE),0)</f>
        <v>6907648435.8447599</v>
      </c>
      <c r="W650" s="246">
        <f>IFERROR(VLOOKUP(I650,PROGRAMAS[],2,FALSE),0)</f>
        <v>6128579952.1618185</v>
      </c>
      <c r="X650" s="246">
        <f>IFERROR(VLOOKUP(J650,PROGRAMAS[],2,FALSE),0)</f>
        <v>4635315027.8751087</v>
      </c>
      <c r="Y650" s="246">
        <f>IFERROR(VLOOKUP(K650,PROGRAMAS[],2,FALSE),0)</f>
        <v>122159672.96346797</v>
      </c>
      <c r="Z650" s="246">
        <f>IFERROR(VLOOKUP(L650,PROGRAMAS[],2,FALSE),0)</f>
        <v>0</v>
      </c>
      <c r="AA650" s="246">
        <f>IFERROR(VLOOKUP(M650,PROGRAMAS[],2,FALSE),0)</f>
        <v>0</v>
      </c>
      <c r="AB650" s="246">
        <f>IFERROR(VLOOKUP(N650,PROGRAMAS[],2,FALSE),0)</f>
        <v>0</v>
      </c>
      <c r="AC650" s="246">
        <f>IFERROR(VLOOKUP(O650,PROGRAMAS[],2,FALSE),0)</f>
        <v>0</v>
      </c>
      <c r="AD650" s="246">
        <f>IFERROR(VLOOKUP(P650,PROGRAMAS[],2,FALSE),0)</f>
        <v>0</v>
      </c>
      <c r="AE650" s="246">
        <f>IFERROR(VLOOKUP(Q650,PROGRAMAS[],2,FALSE),0)</f>
        <v>0</v>
      </c>
      <c r="AF650" s="246">
        <f>IFERROR(VLOOKUP(D650,PROGRAMAS[],3,FALSE),0)</f>
        <v>841888629.31080008</v>
      </c>
      <c r="AG650" s="246">
        <f>IFERROR(VLOOKUP(E650,PROGRAMAS[],3,FALSE),0)</f>
        <v>3848980803.1642323</v>
      </c>
      <c r="AH650" s="246">
        <f>IFERROR(VLOOKUP(F650,PROGRAMAS[],3,FALSE),0)</f>
        <v>3394901471.387517</v>
      </c>
      <c r="AI650" s="246">
        <f>IFERROR(VLOOKUP(G650,PROGRAMAS[],3,FALSE),0)</f>
        <v>125317226.95549992</v>
      </c>
      <c r="AJ650" s="246">
        <f>IFERROR(VLOOKUP(H650,PROGRAMAS[],3,FALSE),0)</f>
        <v>6129902208.7912121</v>
      </c>
      <c r="AK650" s="246">
        <f>IFERROR(VLOOKUP(I650,PROGRAMAS[],3,FALSE),0)</f>
        <v>7011279577.519702</v>
      </c>
      <c r="AL650" s="246">
        <f>IFERROR(VLOOKUP(J650,PROGRAMAS[],3,FALSE),0)</f>
        <v>4099471734.9978786</v>
      </c>
      <c r="AM650" s="246">
        <f>IFERROR(VLOOKUP(K650,PROGRAMAS[],3,FALSE),0)</f>
        <v>118617452.52510804</v>
      </c>
      <c r="AN650" s="246">
        <f>IFERROR(VLOOKUP(L650,PROGRAMAS[],3,FALSE),0)</f>
        <v>0</v>
      </c>
      <c r="AO650" s="246">
        <f>IFERROR(VLOOKUP(M650,PROGRAMAS[],3,FALSE),0)</f>
        <v>0</v>
      </c>
      <c r="AP650" s="246">
        <f>IFERROR(VLOOKUP(N650,PROGRAMAS[],3,FALSE),0)</f>
        <v>0</v>
      </c>
      <c r="AQ650" s="246">
        <f>IFERROR(VLOOKUP(O650,PROGRAMAS[],3,FALSE),0)</f>
        <v>0</v>
      </c>
      <c r="AR650" s="246">
        <f>IFERROR(VLOOKUP(P650,PROGRAMAS[],3,FALSE),0)</f>
        <v>0</v>
      </c>
      <c r="AS650" s="246">
        <f>IFERROR(VLOOKUP(Q650,PROGRAMAS[],3,FALSE),0)</f>
        <v>0</v>
      </c>
      <c r="AT650" s="246">
        <f>IFERROR(VLOOKUP(D650,VOL_REC[],2,FALSE),0)</f>
        <v>0</v>
      </c>
      <c r="AU650" s="246">
        <f>IFERROR(VLOOKUP(E650,VOL_REC[],2,FALSE),0)</f>
        <v>0</v>
      </c>
      <c r="AV650" s="246">
        <f>IFERROR(VLOOKUP(F650,VOL_REC[],2,FALSE),0)</f>
        <v>11089674.200000001</v>
      </c>
      <c r="AW650" s="246">
        <f>IFERROR(VLOOKUP(G650,VOL_REC[],2,FALSE),0)</f>
        <v>90439.55</v>
      </c>
      <c r="AX650" s="246">
        <f>IFERROR(VLOOKUP(H650,VOL_REC[],2,FALSE),0)</f>
        <v>15540036.397699751</v>
      </c>
      <c r="AY650" s="246">
        <f>IFERROR(VLOOKUP(I650,VOL_REC[],2,FALSE),0)</f>
        <v>3761786</v>
      </c>
      <c r="AZ650" s="246">
        <f>IFERROR(VLOOKUP(J650,VOL_REC[],2,FALSE),0)</f>
        <v>1812240</v>
      </c>
      <c r="BA650" s="246">
        <f>IFERROR(VLOOKUP(K650,VOL_REC[],2,FALSE),0)</f>
        <v>105072</v>
      </c>
      <c r="BB650" s="246">
        <f>IFERROR(VLOOKUP(L650,VOL_REC[],2,FALSE),0)</f>
        <v>0</v>
      </c>
      <c r="BC650" s="246">
        <f>IFERROR(VLOOKUP(M650,VOL_REC[],2,FALSE),0)</f>
        <v>0</v>
      </c>
      <c r="BD650" s="246">
        <f>IFERROR(VLOOKUP(N650,VOL_REC[],2,FALSE),0)</f>
        <v>0</v>
      </c>
      <c r="BE650" s="246">
        <f>IFERROR(VLOOKUP(O650,VOL_REC[],2,FALSE),0)</f>
        <v>0</v>
      </c>
      <c r="BF650" s="246">
        <f>IFERROR(VLOOKUP(P650,VOL_REC[],2,FALSE),0)</f>
        <v>0</v>
      </c>
      <c r="BG650" s="246">
        <f>IFERROR(VLOOKUP(Q650,VOL_REC[],2,FALSE),0)</f>
        <v>0</v>
      </c>
      <c r="BH650" s="1710">
        <f t="shared" si="40"/>
        <v>21661267318.392208</v>
      </c>
      <c r="BI650" s="1710">
        <f t="shared" si="41"/>
        <v>25570359104.651951</v>
      </c>
      <c r="BJ650" s="1711">
        <f t="shared" si="42"/>
        <v>32399248.147699751</v>
      </c>
      <c r="BK650" s="1711">
        <f t="shared" si="43"/>
        <v>0.84712409511884523</v>
      </c>
    </row>
    <row r="651" spans="3:67" x14ac:dyDescent="0.25">
      <c r="C651" s="246" t="s">
        <v>2001</v>
      </c>
      <c r="D651" s="246">
        <v>1</v>
      </c>
      <c r="E651" s="246">
        <v>2</v>
      </c>
      <c r="F651" s="246">
        <v>3</v>
      </c>
      <c r="G651" s="246">
        <v>4</v>
      </c>
      <c r="H651" s="246">
        <v>6</v>
      </c>
      <c r="I651" s="246">
        <v>9</v>
      </c>
      <c r="J651" s="246">
        <v>10</v>
      </c>
      <c r="K651" s="246">
        <v>16</v>
      </c>
      <c r="L651" s="246"/>
      <c r="M651" s="246"/>
      <c r="N651" s="246"/>
      <c r="O651" s="246"/>
      <c r="P651" s="246"/>
      <c r="Q651" s="246"/>
      <c r="R651" s="246">
        <f>IFERROR(VLOOKUP(D651,PROGRAMAS[],2,FALSE),0)</f>
        <v>97037803.679377079</v>
      </c>
      <c r="S651" s="246">
        <f>IFERROR(VLOOKUP(E651,PROGRAMAS[],2,FALSE),0)</f>
        <v>640501509.6821388</v>
      </c>
      <c r="T651" s="246">
        <f>IFERROR(VLOOKUP(F651,PROGRAMAS[],2,FALSE),0)</f>
        <v>3062327798.1525245</v>
      </c>
      <c r="U651" s="246">
        <f>IFERROR(VLOOKUP(G651,PROGRAMAS[],2,FALSE),0)</f>
        <v>67697118.033011258</v>
      </c>
      <c r="V651" s="246">
        <f>IFERROR(VLOOKUP(H651,PROGRAMAS[],2,FALSE),0)</f>
        <v>6907648435.8447599</v>
      </c>
      <c r="W651" s="246">
        <f>IFERROR(VLOOKUP(I651,PROGRAMAS[],2,FALSE),0)</f>
        <v>6128579952.1618185</v>
      </c>
      <c r="X651" s="246">
        <f>IFERROR(VLOOKUP(J651,PROGRAMAS[],2,FALSE),0)</f>
        <v>4635315027.8751087</v>
      </c>
      <c r="Y651" s="246">
        <f>IFERROR(VLOOKUP(K651,PROGRAMAS[],2,FALSE),0)</f>
        <v>7068496961.0436354</v>
      </c>
      <c r="Z651" s="246">
        <f>IFERROR(VLOOKUP(L651,PROGRAMAS[],2,FALSE),0)</f>
        <v>0</v>
      </c>
      <c r="AA651" s="246">
        <f>IFERROR(VLOOKUP(M651,PROGRAMAS[],2,FALSE),0)</f>
        <v>0</v>
      </c>
      <c r="AB651" s="246">
        <f>IFERROR(VLOOKUP(N651,PROGRAMAS[],2,FALSE),0)</f>
        <v>0</v>
      </c>
      <c r="AC651" s="246">
        <f>IFERROR(VLOOKUP(O651,PROGRAMAS[],2,FALSE),0)</f>
        <v>0</v>
      </c>
      <c r="AD651" s="246">
        <f>IFERROR(VLOOKUP(P651,PROGRAMAS[],2,FALSE),0)</f>
        <v>0</v>
      </c>
      <c r="AE651" s="246">
        <f>IFERROR(VLOOKUP(Q651,PROGRAMAS[],2,FALSE),0)</f>
        <v>0</v>
      </c>
      <c r="AF651" s="246">
        <f>IFERROR(VLOOKUP(D651,PROGRAMAS[],3,FALSE),0)</f>
        <v>841888629.31080008</v>
      </c>
      <c r="AG651" s="246">
        <f>IFERROR(VLOOKUP(E651,PROGRAMAS[],3,FALSE),0)</f>
        <v>3848980803.1642323</v>
      </c>
      <c r="AH651" s="246">
        <f>IFERROR(VLOOKUP(F651,PROGRAMAS[],3,FALSE),0)</f>
        <v>3394901471.387517</v>
      </c>
      <c r="AI651" s="246">
        <f>IFERROR(VLOOKUP(G651,PROGRAMAS[],3,FALSE),0)</f>
        <v>125317226.95549992</v>
      </c>
      <c r="AJ651" s="246">
        <f>IFERROR(VLOOKUP(H651,PROGRAMAS[],3,FALSE),0)</f>
        <v>6129902208.7912121</v>
      </c>
      <c r="AK651" s="246">
        <f>IFERROR(VLOOKUP(I651,PROGRAMAS[],3,FALSE),0)</f>
        <v>7011279577.519702</v>
      </c>
      <c r="AL651" s="246">
        <f>IFERROR(VLOOKUP(J651,PROGRAMAS[],3,FALSE),0)</f>
        <v>4099471734.9978786</v>
      </c>
      <c r="AM651" s="246">
        <f>IFERROR(VLOOKUP(K651,PROGRAMAS[],3,FALSE),0)</f>
        <v>2406564599.0319901</v>
      </c>
      <c r="AN651" s="246">
        <f>IFERROR(VLOOKUP(L651,PROGRAMAS[],3,FALSE),0)</f>
        <v>0</v>
      </c>
      <c r="AO651" s="246">
        <f>IFERROR(VLOOKUP(M651,PROGRAMAS[],3,FALSE),0)</f>
        <v>0</v>
      </c>
      <c r="AP651" s="246">
        <f>IFERROR(VLOOKUP(N651,PROGRAMAS[],3,FALSE),0)</f>
        <v>0</v>
      </c>
      <c r="AQ651" s="246">
        <f>IFERROR(VLOOKUP(O651,PROGRAMAS[],3,FALSE),0)</f>
        <v>0</v>
      </c>
      <c r="AR651" s="246">
        <f>IFERROR(VLOOKUP(P651,PROGRAMAS[],3,FALSE),0)</f>
        <v>0</v>
      </c>
      <c r="AS651" s="246">
        <f>IFERROR(VLOOKUP(Q651,PROGRAMAS[],3,FALSE),0)</f>
        <v>0</v>
      </c>
      <c r="AT651" s="246">
        <f>IFERROR(VLOOKUP(D651,VOL_REC[],2,FALSE),0)</f>
        <v>0</v>
      </c>
      <c r="AU651" s="246">
        <f>IFERROR(VLOOKUP(E651,VOL_REC[],2,FALSE),0)</f>
        <v>0</v>
      </c>
      <c r="AV651" s="246">
        <f>IFERROR(VLOOKUP(F651,VOL_REC[],2,FALSE),0)</f>
        <v>11089674.200000001</v>
      </c>
      <c r="AW651" s="246">
        <f>IFERROR(VLOOKUP(G651,VOL_REC[],2,FALSE),0)</f>
        <v>90439.55</v>
      </c>
      <c r="AX651" s="246">
        <f>IFERROR(VLOOKUP(H651,VOL_REC[],2,FALSE),0)</f>
        <v>15540036.397699751</v>
      </c>
      <c r="AY651" s="246">
        <f>IFERROR(VLOOKUP(I651,VOL_REC[],2,FALSE),0)</f>
        <v>3761786</v>
      </c>
      <c r="AZ651" s="246">
        <f>IFERROR(VLOOKUP(J651,VOL_REC[],2,FALSE),0)</f>
        <v>1812240</v>
      </c>
      <c r="BA651" s="246">
        <f>IFERROR(VLOOKUP(K651,VOL_REC[],2,FALSE),0)</f>
        <v>1072354.9981737854</v>
      </c>
      <c r="BB651" s="246">
        <f>IFERROR(VLOOKUP(L651,VOL_REC[],2,FALSE),0)</f>
        <v>0</v>
      </c>
      <c r="BC651" s="246">
        <f>IFERROR(VLOOKUP(M651,VOL_REC[],2,FALSE),0)</f>
        <v>0</v>
      </c>
      <c r="BD651" s="246">
        <f>IFERROR(VLOOKUP(N651,VOL_REC[],2,FALSE),0)</f>
        <v>0</v>
      </c>
      <c r="BE651" s="246">
        <f>IFERROR(VLOOKUP(O651,VOL_REC[],2,FALSE),0)</f>
        <v>0</v>
      </c>
      <c r="BF651" s="246">
        <f>IFERROR(VLOOKUP(P651,VOL_REC[],2,FALSE),0)</f>
        <v>0</v>
      </c>
      <c r="BG651" s="246">
        <f>IFERROR(VLOOKUP(Q651,VOL_REC[],2,FALSE),0)</f>
        <v>0</v>
      </c>
      <c r="BH651" s="1710">
        <f t="shared" si="40"/>
        <v>28607604606.472378</v>
      </c>
      <c r="BI651" s="1710">
        <f t="shared" si="41"/>
        <v>27858306251.158833</v>
      </c>
      <c r="BJ651" s="1711">
        <f t="shared" si="42"/>
        <v>33366531.145873535</v>
      </c>
      <c r="BK651" s="1711">
        <f t="shared" si="43"/>
        <v>1.0268967663919761</v>
      </c>
      <c r="BL651">
        <f>BJ651</f>
        <v>33366531.145873535</v>
      </c>
      <c r="BO651">
        <f>BL651</f>
        <v>33366531.145873535</v>
      </c>
    </row>
    <row r="652" spans="3:67" x14ac:dyDescent="0.25">
      <c r="C652" s="246" t="s">
        <v>2002</v>
      </c>
      <c r="D652" s="246">
        <v>1</v>
      </c>
      <c r="E652" s="246">
        <v>2</v>
      </c>
      <c r="F652" s="246">
        <v>3</v>
      </c>
      <c r="G652" s="246">
        <v>4</v>
      </c>
      <c r="H652" s="246">
        <v>6</v>
      </c>
      <c r="I652" s="246">
        <v>9</v>
      </c>
      <c r="J652" s="246">
        <v>10</v>
      </c>
      <c r="K652" s="246">
        <v>17</v>
      </c>
      <c r="L652" s="246"/>
      <c r="M652" s="246"/>
      <c r="N652" s="246"/>
      <c r="O652" s="246"/>
      <c r="P652" s="246"/>
      <c r="Q652" s="246"/>
      <c r="R652" s="246">
        <f>IFERROR(VLOOKUP(D652,PROGRAMAS[],2,FALSE),0)</f>
        <v>97037803.679377079</v>
      </c>
      <c r="S652" s="246">
        <f>IFERROR(VLOOKUP(E652,PROGRAMAS[],2,FALSE),0)</f>
        <v>640501509.6821388</v>
      </c>
      <c r="T652" s="246">
        <f>IFERROR(VLOOKUP(F652,PROGRAMAS[],2,FALSE),0)</f>
        <v>3062327798.1525245</v>
      </c>
      <c r="U652" s="246">
        <f>IFERROR(VLOOKUP(G652,PROGRAMAS[],2,FALSE),0)</f>
        <v>67697118.033011258</v>
      </c>
      <c r="V652" s="246">
        <f>IFERROR(VLOOKUP(H652,PROGRAMAS[],2,FALSE),0)</f>
        <v>6907648435.8447599</v>
      </c>
      <c r="W652" s="246">
        <f>IFERROR(VLOOKUP(I652,PROGRAMAS[],2,FALSE),0)</f>
        <v>6128579952.1618185</v>
      </c>
      <c r="X652" s="246">
        <f>IFERROR(VLOOKUP(J652,PROGRAMAS[],2,FALSE),0)</f>
        <v>4635315027.8751087</v>
      </c>
      <c r="Y652" s="246">
        <f>IFERROR(VLOOKUP(K652,PROGRAMAS[],2,FALSE),0)</f>
        <v>1892779498.5211046</v>
      </c>
      <c r="Z652" s="246">
        <f>IFERROR(VLOOKUP(L652,PROGRAMAS[],2,FALSE),0)</f>
        <v>0</v>
      </c>
      <c r="AA652" s="246">
        <f>IFERROR(VLOOKUP(M652,PROGRAMAS[],2,FALSE),0)</f>
        <v>0</v>
      </c>
      <c r="AB652" s="246">
        <f>IFERROR(VLOOKUP(N652,PROGRAMAS[],2,FALSE),0)</f>
        <v>0</v>
      </c>
      <c r="AC652" s="246">
        <f>IFERROR(VLOOKUP(O652,PROGRAMAS[],2,FALSE),0)</f>
        <v>0</v>
      </c>
      <c r="AD652" s="246">
        <f>IFERROR(VLOOKUP(P652,PROGRAMAS[],2,FALSE),0)</f>
        <v>0</v>
      </c>
      <c r="AE652" s="246">
        <f>IFERROR(VLOOKUP(Q652,PROGRAMAS[],2,FALSE),0)</f>
        <v>0</v>
      </c>
      <c r="AF652" s="246">
        <f>IFERROR(VLOOKUP(D652,PROGRAMAS[],3,FALSE),0)</f>
        <v>841888629.31080008</v>
      </c>
      <c r="AG652" s="246">
        <f>IFERROR(VLOOKUP(E652,PROGRAMAS[],3,FALSE),0)</f>
        <v>3848980803.1642323</v>
      </c>
      <c r="AH652" s="246">
        <f>IFERROR(VLOOKUP(F652,PROGRAMAS[],3,FALSE),0)</f>
        <v>3394901471.387517</v>
      </c>
      <c r="AI652" s="246">
        <f>IFERROR(VLOOKUP(G652,PROGRAMAS[],3,FALSE),0)</f>
        <v>125317226.95549992</v>
      </c>
      <c r="AJ652" s="246">
        <f>IFERROR(VLOOKUP(H652,PROGRAMAS[],3,FALSE),0)</f>
        <v>6129902208.7912121</v>
      </c>
      <c r="AK652" s="246">
        <f>IFERROR(VLOOKUP(I652,PROGRAMAS[],3,FALSE),0)</f>
        <v>7011279577.519702</v>
      </c>
      <c r="AL652" s="246">
        <f>IFERROR(VLOOKUP(J652,PROGRAMAS[],3,FALSE),0)</f>
        <v>4099471734.9978786</v>
      </c>
      <c r="AM652" s="246">
        <f>IFERROR(VLOOKUP(K652,PROGRAMAS[],3,FALSE),0)</f>
        <v>948595847.09039903</v>
      </c>
      <c r="AN652" s="246">
        <f>IFERROR(VLOOKUP(L652,PROGRAMAS[],3,FALSE),0)</f>
        <v>0</v>
      </c>
      <c r="AO652" s="246">
        <f>IFERROR(VLOOKUP(M652,PROGRAMAS[],3,FALSE),0)</f>
        <v>0</v>
      </c>
      <c r="AP652" s="246">
        <f>IFERROR(VLOOKUP(N652,PROGRAMAS[],3,FALSE),0)</f>
        <v>0</v>
      </c>
      <c r="AQ652" s="246">
        <f>IFERROR(VLOOKUP(O652,PROGRAMAS[],3,FALSE),0)</f>
        <v>0</v>
      </c>
      <c r="AR652" s="246">
        <f>IFERROR(VLOOKUP(P652,PROGRAMAS[],3,FALSE),0)</f>
        <v>0</v>
      </c>
      <c r="AS652" s="246">
        <f>IFERROR(VLOOKUP(Q652,PROGRAMAS[],3,FALSE),0)</f>
        <v>0</v>
      </c>
      <c r="AT652" s="246">
        <f>IFERROR(VLOOKUP(D652,VOL_REC[],2,FALSE),0)</f>
        <v>0</v>
      </c>
      <c r="AU652" s="246">
        <f>IFERROR(VLOOKUP(E652,VOL_REC[],2,FALSE),0)</f>
        <v>0</v>
      </c>
      <c r="AV652" s="246">
        <f>IFERROR(VLOOKUP(F652,VOL_REC[],2,FALSE),0)</f>
        <v>11089674.200000001</v>
      </c>
      <c r="AW652" s="246">
        <f>IFERROR(VLOOKUP(G652,VOL_REC[],2,FALSE),0)</f>
        <v>90439.55</v>
      </c>
      <c r="AX652" s="246">
        <f>IFERROR(VLOOKUP(H652,VOL_REC[],2,FALSE),0)</f>
        <v>15540036.397699751</v>
      </c>
      <c r="AY652" s="246">
        <f>IFERROR(VLOOKUP(I652,VOL_REC[],2,FALSE),0)</f>
        <v>3761786</v>
      </c>
      <c r="AZ652" s="246">
        <f>IFERROR(VLOOKUP(J652,VOL_REC[],2,FALSE),0)</f>
        <v>1812240</v>
      </c>
      <c r="BA652" s="246">
        <f>IFERROR(VLOOKUP(K652,VOL_REC[],2,FALSE),0)</f>
        <v>740113.98115702497</v>
      </c>
      <c r="BB652" s="246">
        <f>IFERROR(VLOOKUP(L652,VOL_REC[],2,FALSE),0)</f>
        <v>0</v>
      </c>
      <c r="BC652" s="246">
        <f>IFERROR(VLOOKUP(M652,VOL_REC[],2,FALSE),0)</f>
        <v>0</v>
      </c>
      <c r="BD652" s="246">
        <f>IFERROR(VLOOKUP(N652,VOL_REC[],2,FALSE),0)</f>
        <v>0</v>
      </c>
      <c r="BE652" s="246">
        <f>IFERROR(VLOOKUP(O652,VOL_REC[],2,FALSE),0)</f>
        <v>0</v>
      </c>
      <c r="BF652" s="246">
        <f>IFERROR(VLOOKUP(P652,VOL_REC[],2,FALSE),0)</f>
        <v>0</v>
      </c>
      <c r="BG652" s="246">
        <f>IFERROR(VLOOKUP(Q652,VOL_REC[],2,FALSE),0)</f>
        <v>0</v>
      </c>
      <c r="BH652" s="1710">
        <f t="shared" si="40"/>
        <v>23431887143.949844</v>
      </c>
      <c r="BI652" s="1710">
        <f t="shared" si="41"/>
        <v>26400337499.217243</v>
      </c>
      <c r="BJ652" s="1711">
        <f t="shared" si="42"/>
        <v>33034290.128856774</v>
      </c>
      <c r="BK652" s="1711">
        <f t="shared" si="43"/>
        <v>0.88756013610222173</v>
      </c>
    </row>
    <row r="653" spans="3:67" x14ac:dyDescent="0.25">
      <c r="C653" s="246" t="s">
        <v>2003</v>
      </c>
      <c r="D653" s="246">
        <v>1</v>
      </c>
      <c r="E653" s="246">
        <v>2</v>
      </c>
      <c r="F653" s="246">
        <v>3</v>
      </c>
      <c r="G653" s="246">
        <v>4</v>
      </c>
      <c r="H653" s="246">
        <v>6</v>
      </c>
      <c r="I653" s="246">
        <v>9</v>
      </c>
      <c r="J653" s="246">
        <v>12</v>
      </c>
      <c r="K653" s="246">
        <v>13</v>
      </c>
      <c r="L653" s="246"/>
      <c r="M653" s="246"/>
      <c r="N653" s="246"/>
      <c r="O653" s="246"/>
      <c r="P653" s="246"/>
      <c r="Q653" s="246"/>
      <c r="R653" s="246">
        <f>IFERROR(VLOOKUP(D653,PROGRAMAS[],2,FALSE),0)</f>
        <v>97037803.679377079</v>
      </c>
      <c r="S653" s="246">
        <f>IFERROR(VLOOKUP(E653,PROGRAMAS[],2,FALSE),0)</f>
        <v>640501509.6821388</v>
      </c>
      <c r="T653" s="246">
        <f>IFERROR(VLOOKUP(F653,PROGRAMAS[],2,FALSE),0)</f>
        <v>3062327798.1525245</v>
      </c>
      <c r="U653" s="246">
        <f>IFERROR(VLOOKUP(G653,PROGRAMAS[],2,FALSE),0)</f>
        <v>67697118.033011258</v>
      </c>
      <c r="V653" s="246">
        <f>IFERROR(VLOOKUP(H653,PROGRAMAS[],2,FALSE),0)</f>
        <v>6907648435.8447599</v>
      </c>
      <c r="W653" s="246">
        <f>IFERROR(VLOOKUP(I653,PROGRAMAS[],2,FALSE),0)</f>
        <v>6128579952.1618185</v>
      </c>
      <c r="X653" s="246">
        <f>IFERROR(VLOOKUP(J653,PROGRAMAS[],2,FALSE),0)</f>
        <v>764796700.79905891</v>
      </c>
      <c r="Y653" s="246">
        <f>IFERROR(VLOOKUP(K653,PROGRAMAS[],2,FALSE),0)</f>
        <v>3776538594.4604583</v>
      </c>
      <c r="Z653" s="246">
        <f>IFERROR(VLOOKUP(L653,PROGRAMAS[],2,FALSE),0)</f>
        <v>0</v>
      </c>
      <c r="AA653" s="246">
        <f>IFERROR(VLOOKUP(M653,PROGRAMAS[],2,FALSE),0)</f>
        <v>0</v>
      </c>
      <c r="AB653" s="246">
        <f>IFERROR(VLOOKUP(N653,PROGRAMAS[],2,FALSE),0)</f>
        <v>0</v>
      </c>
      <c r="AC653" s="246">
        <f>IFERROR(VLOOKUP(O653,PROGRAMAS[],2,FALSE),0)</f>
        <v>0</v>
      </c>
      <c r="AD653" s="246">
        <f>IFERROR(VLOOKUP(P653,PROGRAMAS[],2,FALSE),0)</f>
        <v>0</v>
      </c>
      <c r="AE653" s="246">
        <f>IFERROR(VLOOKUP(Q653,PROGRAMAS[],2,FALSE),0)</f>
        <v>0</v>
      </c>
      <c r="AF653" s="246">
        <f>IFERROR(VLOOKUP(D653,PROGRAMAS[],3,FALSE),0)</f>
        <v>841888629.31080008</v>
      </c>
      <c r="AG653" s="246">
        <f>IFERROR(VLOOKUP(E653,PROGRAMAS[],3,FALSE),0)</f>
        <v>3848980803.1642323</v>
      </c>
      <c r="AH653" s="246">
        <f>IFERROR(VLOOKUP(F653,PROGRAMAS[],3,FALSE),0)</f>
        <v>3394901471.387517</v>
      </c>
      <c r="AI653" s="246">
        <f>IFERROR(VLOOKUP(G653,PROGRAMAS[],3,FALSE),0)</f>
        <v>125317226.95549992</v>
      </c>
      <c r="AJ653" s="246">
        <f>IFERROR(VLOOKUP(H653,PROGRAMAS[],3,FALSE),0)</f>
        <v>6129902208.7912121</v>
      </c>
      <c r="AK653" s="246">
        <f>IFERROR(VLOOKUP(I653,PROGRAMAS[],3,FALSE),0)</f>
        <v>7011279577.519702</v>
      </c>
      <c r="AL653" s="246">
        <f>IFERROR(VLOOKUP(J653,PROGRAMAS[],3,FALSE),0)</f>
        <v>675517840.109828</v>
      </c>
      <c r="AM653" s="246">
        <f>IFERROR(VLOOKUP(K653,PROGRAMAS[],3,FALSE),0)</f>
        <v>2392571243.5584412</v>
      </c>
      <c r="AN653" s="246">
        <f>IFERROR(VLOOKUP(L653,PROGRAMAS[],3,FALSE),0)</f>
        <v>0</v>
      </c>
      <c r="AO653" s="246">
        <f>IFERROR(VLOOKUP(M653,PROGRAMAS[],3,FALSE),0)</f>
        <v>0</v>
      </c>
      <c r="AP653" s="246">
        <f>IFERROR(VLOOKUP(N653,PROGRAMAS[],3,FALSE),0)</f>
        <v>0</v>
      </c>
      <c r="AQ653" s="246">
        <f>IFERROR(VLOOKUP(O653,PROGRAMAS[],3,FALSE),0)</f>
        <v>0</v>
      </c>
      <c r="AR653" s="246">
        <f>IFERROR(VLOOKUP(P653,PROGRAMAS[],3,FALSE),0)</f>
        <v>0</v>
      </c>
      <c r="AS653" s="246">
        <f>IFERROR(VLOOKUP(Q653,PROGRAMAS[],3,FALSE),0)</f>
        <v>0</v>
      </c>
      <c r="AT653" s="246">
        <f>IFERROR(VLOOKUP(D653,VOL_REC[],2,FALSE),0)</f>
        <v>0</v>
      </c>
      <c r="AU653" s="246">
        <f>IFERROR(VLOOKUP(E653,VOL_REC[],2,FALSE),0)</f>
        <v>0</v>
      </c>
      <c r="AV653" s="246">
        <f>IFERROR(VLOOKUP(F653,VOL_REC[],2,FALSE),0)</f>
        <v>11089674.200000001</v>
      </c>
      <c r="AW653" s="246">
        <f>IFERROR(VLOOKUP(G653,VOL_REC[],2,FALSE),0)</f>
        <v>90439.55</v>
      </c>
      <c r="AX653" s="246">
        <f>IFERROR(VLOOKUP(H653,VOL_REC[],2,FALSE),0)</f>
        <v>15540036.397699751</v>
      </c>
      <c r="AY653" s="246">
        <f>IFERROR(VLOOKUP(I653,VOL_REC[],2,FALSE),0)</f>
        <v>3761786</v>
      </c>
      <c r="AZ653" s="246">
        <f>IFERROR(VLOOKUP(J653,VOL_REC[],2,FALSE),0)</f>
        <v>240696.79238099116</v>
      </c>
      <c r="BA653" s="246">
        <f>IFERROR(VLOOKUP(K653,VOL_REC[],2,FALSE),0)</f>
        <v>663244.80000000016</v>
      </c>
      <c r="BB653" s="246">
        <f>IFERROR(VLOOKUP(L653,VOL_REC[],2,FALSE),0)</f>
        <v>0</v>
      </c>
      <c r="BC653" s="246">
        <f>IFERROR(VLOOKUP(M653,VOL_REC[],2,FALSE),0)</f>
        <v>0</v>
      </c>
      <c r="BD653" s="246">
        <f>IFERROR(VLOOKUP(N653,VOL_REC[],2,FALSE),0)</f>
        <v>0</v>
      </c>
      <c r="BE653" s="246">
        <f>IFERROR(VLOOKUP(O653,VOL_REC[],2,FALSE),0)</f>
        <v>0</v>
      </c>
      <c r="BF653" s="246">
        <f>IFERROR(VLOOKUP(P653,VOL_REC[],2,FALSE),0)</f>
        <v>0</v>
      </c>
      <c r="BG653" s="246">
        <f>IFERROR(VLOOKUP(Q653,VOL_REC[],2,FALSE),0)</f>
        <v>0</v>
      </c>
      <c r="BH653" s="1710">
        <f t="shared" si="40"/>
        <v>21445127912.813148</v>
      </c>
      <c r="BI653" s="1710">
        <f t="shared" si="41"/>
        <v>24420359000.797234</v>
      </c>
      <c r="BJ653" s="1711">
        <f t="shared" si="42"/>
        <v>31385877.740080744</v>
      </c>
      <c r="BK653" s="1711">
        <f t="shared" si="43"/>
        <v>0.87816595620535498</v>
      </c>
    </row>
    <row r="654" spans="3:67" x14ac:dyDescent="0.25">
      <c r="C654" s="246" t="s">
        <v>2004</v>
      </c>
      <c r="D654" s="246">
        <v>1</v>
      </c>
      <c r="E654" s="246">
        <v>2</v>
      </c>
      <c r="F654" s="246">
        <v>3</v>
      </c>
      <c r="G654" s="246">
        <v>4</v>
      </c>
      <c r="H654" s="246">
        <v>6</v>
      </c>
      <c r="I654" s="246">
        <v>9</v>
      </c>
      <c r="J654" s="246">
        <v>12</v>
      </c>
      <c r="K654" s="246">
        <v>14</v>
      </c>
      <c r="L654" s="246"/>
      <c r="M654" s="246"/>
      <c r="N654" s="246"/>
      <c r="O654" s="246"/>
      <c r="P654" s="246"/>
      <c r="Q654" s="246"/>
      <c r="R654" s="246">
        <f>IFERROR(VLOOKUP(D654,PROGRAMAS[],2,FALSE),0)</f>
        <v>97037803.679377079</v>
      </c>
      <c r="S654" s="246">
        <f>IFERROR(VLOOKUP(E654,PROGRAMAS[],2,FALSE),0)</f>
        <v>640501509.6821388</v>
      </c>
      <c r="T654" s="246">
        <f>IFERROR(VLOOKUP(F654,PROGRAMAS[],2,FALSE),0)</f>
        <v>3062327798.1525245</v>
      </c>
      <c r="U654" s="246">
        <f>IFERROR(VLOOKUP(G654,PROGRAMAS[],2,FALSE),0)</f>
        <v>67697118.033011258</v>
      </c>
      <c r="V654" s="246">
        <f>IFERROR(VLOOKUP(H654,PROGRAMAS[],2,FALSE),0)</f>
        <v>6907648435.8447599</v>
      </c>
      <c r="W654" s="246">
        <f>IFERROR(VLOOKUP(I654,PROGRAMAS[],2,FALSE),0)</f>
        <v>6128579952.1618185</v>
      </c>
      <c r="X654" s="246">
        <f>IFERROR(VLOOKUP(J654,PROGRAMAS[],2,FALSE),0)</f>
        <v>764796700.79905891</v>
      </c>
      <c r="Y654" s="246">
        <f>IFERROR(VLOOKUP(K654,PROGRAMAS[],2,FALSE),0)</f>
        <v>54223862.645839565</v>
      </c>
      <c r="Z654" s="246">
        <f>IFERROR(VLOOKUP(L654,PROGRAMAS[],2,FALSE),0)</f>
        <v>0</v>
      </c>
      <c r="AA654" s="246">
        <f>IFERROR(VLOOKUP(M654,PROGRAMAS[],2,FALSE),0)</f>
        <v>0</v>
      </c>
      <c r="AB654" s="246">
        <f>IFERROR(VLOOKUP(N654,PROGRAMAS[],2,FALSE),0)</f>
        <v>0</v>
      </c>
      <c r="AC654" s="246">
        <f>IFERROR(VLOOKUP(O654,PROGRAMAS[],2,FALSE),0)</f>
        <v>0</v>
      </c>
      <c r="AD654" s="246">
        <f>IFERROR(VLOOKUP(P654,PROGRAMAS[],2,FALSE),0)</f>
        <v>0</v>
      </c>
      <c r="AE654" s="246">
        <f>IFERROR(VLOOKUP(Q654,PROGRAMAS[],2,FALSE),0)</f>
        <v>0</v>
      </c>
      <c r="AF654" s="246">
        <f>IFERROR(VLOOKUP(D654,PROGRAMAS[],3,FALSE),0)</f>
        <v>841888629.31080008</v>
      </c>
      <c r="AG654" s="246">
        <f>IFERROR(VLOOKUP(E654,PROGRAMAS[],3,FALSE),0)</f>
        <v>3848980803.1642323</v>
      </c>
      <c r="AH654" s="246">
        <f>IFERROR(VLOOKUP(F654,PROGRAMAS[],3,FALSE),0)</f>
        <v>3394901471.387517</v>
      </c>
      <c r="AI654" s="246">
        <f>IFERROR(VLOOKUP(G654,PROGRAMAS[],3,FALSE),0)</f>
        <v>125317226.95549992</v>
      </c>
      <c r="AJ654" s="246">
        <f>IFERROR(VLOOKUP(H654,PROGRAMAS[],3,FALSE),0)</f>
        <v>6129902208.7912121</v>
      </c>
      <c r="AK654" s="246">
        <f>IFERROR(VLOOKUP(I654,PROGRAMAS[],3,FALSE),0)</f>
        <v>7011279577.519702</v>
      </c>
      <c r="AL654" s="246">
        <f>IFERROR(VLOOKUP(J654,PROGRAMAS[],3,FALSE),0)</f>
        <v>675517840.109828</v>
      </c>
      <c r="AM654" s="246">
        <f>IFERROR(VLOOKUP(K654,PROGRAMAS[],3,FALSE),0)</f>
        <v>31865326.38096505</v>
      </c>
      <c r="AN654" s="246">
        <f>IFERROR(VLOOKUP(L654,PROGRAMAS[],3,FALSE),0)</f>
        <v>0</v>
      </c>
      <c r="AO654" s="246">
        <f>IFERROR(VLOOKUP(M654,PROGRAMAS[],3,FALSE),0)</f>
        <v>0</v>
      </c>
      <c r="AP654" s="246">
        <f>IFERROR(VLOOKUP(N654,PROGRAMAS[],3,FALSE),0)</f>
        <v>0</v>
      </c>
      <c r="AQ654" s="246">
        <f>IFERROR(VLOOKUP(O654,PROGRAMAS[],3,FALSE),0)</f>
        <v>0</v>
      </c>
      <c r="AR654" s="246">
        <f>IFERROR(VLOOKUP(P654,PROGRAMAS[],3,FALSE),0)</f>
        <v>0</v>
      </c>
      <c r="AS654" s="246">
        <f>IFERROR(VLOOKUP(Q654,PROGRAMAS[],3,FALSE),0)</f>
        <v>0</v>
      </c>
      <c r="AT654" s="246">
        <f>IFERROR(VLOOKUP(D654,VOL_REC[],2,FALSE),0)</f>
        <v>0</v>
      </c>
      <c r="AU654" s="246">
        <f>IFERROR(VLOOKUP(E654,VOL_REC[],2,FALSE),0)</f>
        <v>0</v>
      </c>
      <c r="AV654" s="246">
        <f>IFERROR(VLOOKUP(F654,VOL_REC[],2,FALSE),0)</f>
        <v>11089674.200000001</v>
      </c>
      <c r="AW654" s="246">
        <f>IFERROR(VLOOKUP(G654,VOL_REC[],2,FALSE),0)</f>
        <v>90439.55</v>
      </c>
      <c r="AX654" s="246">
        <f>IFERROR(VLOOKUP(H654,VOL_REC[],2,FALSE),0)</f>
        <v>15540036.397699751</v>
      </c>
      <c r="AY654" s="246">
        <f>IFERROR(VLOOKUP(I654,VOL_REC[],2,FALSE),0)</f>
        <v>3761786</v>
      </c>
      <c r="AZ654" s="246">
        <f>IFERROR(VLOOKUP(J654,VOL_REC[],2,FALSE),0)</f>
        <v>240696.79238099116</v>
      </c>
      <c r="BA654" s="246">
        <f>IFERROR(VLOOKUP(K654,VOL_REC[],2,FALSE),0)</f>
        <v>17074.045034105649</v>
      </c>
      <c r="BB654" s="246">
        <f>IFERROR(VLOOKUP(L654,VOL_REC[],2,FALSE),0)</f>
        <v>0</v>
      </c>
      <c r="BC654" s="246">
        <f>IFERROR(VLOOKUP(M654,VOL_REC[],2,FALSE),0)</f>
        <v>0</v>
      </c>
      <c r="BD654" s="246">
        <f>IFERROR(VLOOKUP(N654,VOL_REC[],2,FALSE),0)</f>
        <v>0</v>
      </c>
      <c r="BE654" s="246">
        <f>IFERROR(VLOOKUP(O654,VOL_REC[],2,FALSE),0)</f>
        <v>0</v>
      </c>
      <c r="BF654" s="246">
        <f>IFERROR(VLOOKUP(P654,VOL_REC[],2,FALSE),0)</f>
        <v>0</v>
      </c>
      <c r="BG654" s="246">
        <f>IFERROR(VLOOKUP(Q654,VOL_REC[],2,FALSE),0)</f>
        <v>0</v>
      </c>
      <c r="BH654" s="1710">
        <f t="shared" si="40"/>
        <v>17722813180.998531</v>
      </c>
      <c r="BI654" s="1710">
        <f t="shared" si="41"/>
        <v>22059653083.619759</v>
      </c>
      <c r="BJ654" s="1711">
        <f t="shared" si="42"/>
        <v>30739706.98511485</v>
      </c>
      <c r="BK654" s="1711">
        <f t="shared" si="43"/>
        <v>0.80340398436086391</v>
      </c>
    </row>
    <row r="655" spans="3:67" x14ac:dyDescent="0.25">
      <c r="C655" s="246" t="s">
        <v>2005</v>
      </c>
      <c r="D655" s="246">
        <v>1</v>
      </c>
      <c r="E655" s="246">
        <v>2</v>
      </c>
      <c r="F655" s="246">
        <v>3</v>
      </c>
      <c r="G655" s="246">
        <v>4</v>
      </c>
      <c r="H655" s="246">
        <v>6</v>
      </c>
      <c r="I655" s="246">
        <v>9</v>
      </c>
      <c r="J655" s="246">
        <v>12</v>
      </c>
      <c r="K655" s="246">
        <v>15</v>
      </c>
      <c r="L655" s="246"/>
      <c r="M655" s="246"/>
      <c r="N655" s="246"/>
      <c r="O655" s="246"/>
      <c r="P655" s="246"/>
      <c r="Q655" s="246"/>
      <c r="R655" s="246">
        <f>IFERROR(VLOOKUP(D655,PROGRAMAS[],2,FALSE),0)</f>
        <v>97037803.679377079</v>
      </c>
      <c r="S655" s="246">
        <f>IFERROR(VLOOKUP(E655,PROGRAMAS[],2,FALSE),0)</f>
        <v>640501509.6821388</v>
      </c>
      <c r="T655" s="246">
        <f>IFERROR(VLOOKUP(F655,PROGRAMAS[],2,FALSE),0)</f>
        <v>3062327798.1525245</v>
      </c>
      <c r="U655" s="246">
        <f>IFERROR(VLOOKUP(G655,PROGRAMAS[],2,FALSE),0)</f>
        <v>67697118.033011258</v>
      </c>
      <c r="V655" s="246">
        <f>IFERROR(VLOOKUP(H655,PROGRAMAS[],2,FALSE),0)</f>
        <v>6907648435.8447599</v>
      </c>
      <c r="W655" s="246">
        <f>IFERROR(VLOOKUP(I655,PROGRAMAS[],2,FALSE),0)</f>
        <v>6128579952.1618185</v>
      </c>
      <c r="X655" s="246">
        <f>IFERROR(VLOOKUP(J655,PROGRAMAS[],2,FALSE),0)</f>
        <v>764796700.79905891</v>
      </c>
      <c r="Y655" s="246">
        <f>IFERROR(VLOOKUP(K655,PROGRAMAS[],2,FALSE),0)</f>
        <v>122159672.96346797</v>
      </c>
      <c r="Z655" s="246">
        <f>IFERROR(VLOOKUP(L655,PROGRAMAS[],2,FALSE),0)</f>
        <v>0</v>
      </c>
      <c r="AA655" s="246">
        <f>IFERROR(VLOOKUP(M655,PROGRAMAS[],2,FALSE),0)</f>
        <v>0</v>
      </c>
      <c r="AB655" s="246">
        <f>IFERROR(VLOOKUP(N655,PROGRAMAS[],2,FALSE),0)</f>
        <v>0</v>
      </c>
      <c r="AC655" s="246">
        <f>IFERROR(VLOOKUP(O655,PROGRAMAS[],2,FALSE),0)</f>
        <v>0</v>
      </c>
      <c r="AD655" s="246">
        <f>IFERROR(VLOOKUP(P655,PROGRAMAS[],2,FALSE),0)</f>
        <v>0</v>
      </c>
      <c r="AE655" s="246">
        <f>IFERROR(VLOOKUP(Q655,PROGRAMAS[],2,FALSE),0)</f>
        <v>0</v>
      </c>
      <c r="AF655" s="246">
        <f>IFERROR(VLOOKUP(D655,PROGRAMAS[],3,FALSE),0)</f>
        <v>841888629.31080008</v>
      </c>
      <c r="AG655" s="246">
        <f>IFERROR(VLOOKUP(E655,PROGRAMAS[],3,FALSE),0)</f>
        <v>3848980803.1642323</v>
      </c>
      <c r="AH655" s="246">
        <f>IFERROR(VLOOKUP(F655,PROGRAMAS[],3,FALSE),0)</f>
        <v>3394901471.387517</v>
      </c>
      <c r="AI655" s="246">
        <f>IFERROR(VLOOKUP(G655,PROGRAMAS[],3,FALSE),0)</f>
        <v>125317226.95549992</v>
      </c>
      <c r="AJ655" s="246">
        <f>IFERROR(VLOOKUP(H655,PROGRAMAS[],3,FALSE),0)</f>
        <v>6129902208.7912121</v>
      </c>
      <c r="AK655" s="246">
        <f>IFERROR(VLOOKUP(I655,PROGRAMAS[],3,FALSE),0)</f>
        <v>7011279577.519702</v>
      </c>
      <c r="AL655" s="246">
        <f>IFERROR(VLOOKUP(J655,PROGRAMAS[],3,FALSE),0)</f>
        <v>675517840.109828</v>
      </c>
      <c r="AM655" s="246">
        <f>IFERROR(VLOOKUP(K655,PROGRAMAS[],3,FALSE),0)</f>
        <v>118617452.52510804</v>
      </c>
      <c r="AN655" s="246">
        <f>IFERROR(VLOOKUP(L655,PROGRAMAS[],3,FALSE),0)</f>
        <v>0</v>
      </c>
      <c r="AO655" s="246">
        <f>IFERROR(VLOOKUP(M655,PROGRAMAS[],3,FALSE),0)</f>
        <v>0</v>
      </c>
      <c r="AP655" s="246">
        <f>IFERROR(VLOOKUP(N655,PROGRAMAS[],3,FALSE),0)</f>
        <v>0</v>
      </c>
      <c r="AQ655" s="246">
        <f>IFERROR(VLOOKUP(O655,PROGRAMAS[],3,FALSE),0)</f>
        <v>0</v>
      </c>
      <c r="AR655" s="246">
        <f>IFERROR(VLOOKUP(P655,PROGRAMAS[],3,FALSE),0)</f>
        <v>0</v>
      </c>
      <c r="AS655" s="246">
        <f>IFERROR(VLOOKUP(Q655,PROGRAMAS[],3,FALSE),0)</f>
        <v>0</v>
      </c>
      <c r="AT655" s="246">
        <f>IFERROR(VLOOKUP(D655,VOL_REC[],2,FALSE),0)</f>
        <v>0</v>
      </c>
      <c r="AU655" s="246">
        <f>IFERROR(VLOOKUP(E655,VOL_REC[],2,FALSE),0)</f>
        <v>0</v>
      </c>
      <c r="AV655" s="246">
        <f>IFERROR(VLOOKUP(F655,VOL_REC[],2,FALSE),0)</f>
        <v>11089674.200000001</v>
      </c>
      <c r="AW655" s="246">
        <f>IFERROR(VLOOKUP(G655,VOL_REC[],2,FALSE),0)</f>
        <v>90439.55</v>
      </c>
      <c r="AX655" s="246">
        <f>IFERROR(VLOOKUP(H655,VOL_REC[],2,FALSE),0)</f>
        <v>15540036.397699751</v>
      </c>
      <c r="AY655" s="246">
        <f>IFERROR(VLOOKUP(I655,VOL_REC[],2,FALSE),0)</f>
        <v>3761786</v>
      </c>
      <c r="AZ655" s="246">
        <f>IFERROR(VLOOKUP(J655,VOL_REC[],2,FALSE),0)</f>
        <v>240696.79238099116</v>
      </c>
      <c r="BA655" s="246">
        <f>IFERROR(VLOOKUP(K655,VOL_REC[],2,FALSE),0)</f>
        <v>105072</v>
      </c>
      <c r="BB655" s="246">
        <f>IFERROR(VLOOKUP(L655,VOL_REC[],2,FALSE),0)</f>
        <v>0</v>
      </c>
      <c r="BC655" s="246">
        <f>IFERROR(VLOOKUP(M655,VOL_REC[],2,FALSE),0)</f>
        <v>0</v>
      </c>
      <c r="BD655" s="246">
        <f>IFERROR(VLOOKUP(N655,VOL_REC[],2,FALSE),0)</f>
        <v>0</v>
      </c>
      <c r="BE655" s="246">
        <f>IFERROR(VLOOKUP(O655,VOL_REC[],2,FALSE),0)</f>
        <v>0</v>
      </c>
      <c r="BF655" s="246">
        <f>IFERROR(VLOOKUP(P655,VOL_REC[],2,FALSE),0)</f>
        <v>0</v>
      </c>
      <c r="BG655" s="246">
        <f>IFERROR(VLOOKUP(Q655,VOL_REC[],2,FALSE),0)</f>
        <v>0</v>
      </c>
      <c r="BH655" s="1710">
        <f t="shared" si="40"/>
        <v>17790748991.316158</v>
      </c>
      <c r="BI655" s="1710">
        <f t="shared" si="41"/>
        <v>22146405209.763901</v>
      </c>
      <c r="BJ655" s="1711">
        <f t="shared" si="42"/>
        <v>30827704.940080743</v>
      </c>
      <c r="BK655" s="1711">
        <f t="shared" si="43"/>
        <v>0.80332445933358876</v>
      </c>
    </row>
    <row r="656" spans="3:67" x14ac:dyDescent="0.25">
      <c r="C656" s="246" t="s">
        <v>2006</v>
      </c>
      <c r="D656" s="246">
        <v>1</v>
      </c>
      <c r="E656" s="246">
        <v>2</v>
      </c>
      <c r="F656" s="246">
        <v>3</v>
      </c>
      <c r="G656" s="246">
        <v>4</v>
      </c>
      <c r="H656" s="246">
        <v>6</v>
      </c>
      <c r="I656" s="246">
        <v>9</v>
      </c>
      <c r="J656" s="246">
        <v>12</v>
      </c>
      <c r="K656" s="246">
        <v>16</v>
      </c>
      <c r="L656" s="246"/>
      <c r="M656" s="246"/>
      <c r="N656" s="246"/>
      <c r="O656" s="246"/>
      <c r="P656" s="246"/>
      <c r="Q656" s="246"/>
      <c r="R656" s="246">
        <f>IFERROR(VLOOKUP(D656,PROGRAMAS[],2,FALSE),0)</f>
        <v>97037803.679377079</v>
      </c>
      <c r="S656" s="246">
        <f>IFERROR(VLOOKUP(E656,PROGRAMAS[],2,FALSE),0)</f>
        <v>640501509.6821388</v>
      </c>
      <c r="T656" s="246">
        <f>IFERROR(VLOOKUP(F656,PROGRAMAS[],2,FALSE),0)</f>
        <v>3062327798.1525245</v>
      </c>
      <c r="U656" s="246">
        <f>IFERROR(VLOOKUP(G656,PROGRAMAS[],2,FALSE),0)</f>
        <v>67697118.033011258</v>
      </c>
      <c r="V656" s="246">
        <f>IFERROR(VLOOKUP(H656,PROGRAMAS[],2,FALSE),0)</f>
        <v>6907648435.8447599</v>
      </c>
      <c r="W656" s="246">
        <f>IFERROR(VLOOKUP(I656,PROGRAMAS[],2,FALSE),0)</f>
        <v>6128579952.1618185</v>
      </c>
      <c r="X656" s="246">
        <f>IFERROR(VLOOKUP(J656,PROGRAMAS[],2,FALSE),0)</f>
        <v>764796700.79905891</v>
      </c>
      <c r="Y656" s="246">
        <f>IFERROR(VLOOKUP(K656,PROGRAMAS[],2,FALSE),0)</f>
        <v>7068496961.0436354</v>
      </c>
      <c r="Z656" s="246">
        <f>IFERROR(VLOOKUP(L656,PROGRAMAS[],2,FALSE),0)</f>
        <v>0</v>
      </c>
      <c r="AA656" s="246">
        <f>IFERROR(VLOOKUP(M656,PROGRAMAS[],2,FALSE),0)</f>
        <v>0</v>
      </c>
      <c r="AB656" s="246">
        <f>IFERROR(VLOOKUP(N656,PROGRAMAS[],2,FALSE),0)</f>
        <v>0</v>
      </c>
      <c r="AC656" s="246">
        <f>IFERROR(VLOOKUP(O656,PROGRAMAS[],2,FALSE),0)</f>
        <v>0</v>
      </c>
      <c r="AD656" s="246">
        <f>IFERROR(VLOOKUP(P656,PROGRAMAS[],2,FALSE),0)</f>
        <v>0</v>
      </c>
      <c r="AE656" s="246">
        <f>IFERROR(VLOOKUP(Q656,PROGRAMAS[],2,FALSE),0)</f>
        <v>0</v>
      </c>
      <c r="AF656" s="246">
        <f>IFERROR(VLOOKUP(D656,PROGRAMAS[],3,FALSE),0)</f>
        <v>841888629.31080008</v>
      </c>
      <c r="AG656" s="246">
        <f>IFERROR(VLOOKUP(E656,PROGRAMAS[],3,FALSE),0)</f>
        <v>3848980803.1642323</v>
      </c>
      <c r="AH656" s="246">
        <f>IFERROR(VLOOKUP(F656,PROGRAMAS[],3,FALSE),0)</f>
        <v>3394901471.387517</v>
      </c>
      <c r="AI656" s="246">
        <f>IFERROR(VLOOKUP(G656,PROGRAMAS[],3,FALSE),0)</f>
        <v>125317226.95549992</v>
      </c>
      <c r="AJ656" s="246">
        <f>IFERROR(VLOOKUP(H656,PROGRAMAS[],3,FALSE),0)</f>
        <v>6129902208.7912121</v>
      </c>
      <c r="AK656" s="246">
        <f>IFERROR(VLOOKUP(I656,PROGRAMAS[],3,FALSE),0)</f>
        <v>7011279577.519702</v>
      </c>
      <c r="AL656" s="246">
        <f>IFERROR(VLOOKUP(J656,PROGRAMAS[],3,FALSE),0)</f>
        <v>675517840.109828</v>
      </c>
      <c r="AM656" s="246">
        <f>IFERROR(VLOOKUP(K656,PROGRAMAS[],3,FALSE),0)</f>
        <v>2406564599.0319901</v>
      </c>
      <c r="AN656" s="246">
        <f>IFERROR(VLOOKUP(L656,PROGRAMAS[],3,FALSE),0)</f>
        <v>0</v>
      </c>
      <c r="AO656" s="246">
        <f>IFERROR(VLOOKUP(M656,PROGRAMAS[],3,FALSE),0)</f>
        <v>0</v>
      </c>
      <c r="AP656" s="246">
        <f>IFERROR(VLOOKUP(N656,PROGRAMAS[],3,FALSE),0)</f>
        <v>0</v>
      </c>
      <c r="AQ656" s="246">
        <f>IFERROR(VLOOKUP(O656,PROGRAMAS[],3,FALSE),0)</f>
        <v>0</v>
      </c>
      <c r="AR656" s="246">
        <f>IFERROR(VLOOKUP(P656,PROGRAMAS[],3,FALSE),0)</f>
        <v>0</v>
      </c>
      <c r="AS656" s="246">
        <f>IFERROR(VLOOKUP(Q656,PROGRAMAS[],3,FALSE),0)</f>
        <v>0</v>
      </c>
      <c r="AT656" s="246">
        <f>IFERROR(VLOOKUP(D656,VOL_REC[],2,FALSE),0)</f>
        <v>0</v>
      </c>
      <c r="AU656" s="246">
        <f>IFERROR(VLOOKUP(E656,VOL_REC[],2,FALSE),0)</f>
        <v>0</v>
      </c>
      <c r="AV656" s="246">
        <f>IFERROR(VLOOKUP(F656,VOL_REC[],2,FALSE),0)</f>
        <v>11089674.200000001</v>
      </c>
      <c r="AW656" s="246">
        <f>IFERROR(VLOOKUP(G656,VOL_REC[],2,FALSE),0)</f>
        <v>90439.55</v>
      </c>
      <c r="AX656" s="246">
        <f>IFERROR(VLOOKUP(H656,VOL_REC[],2,FALSE),0)</f>
        <v>15540036.397699751</v>
      </c>
      <c r="AY656" s="246">
        <f>IFERROR(VLOOKUP(I656,VOL_REC[],2,FALSE),0)</f>
        <v>3761786</v>
      </c>
      <c r="AZ656" s="246">
        <f>IFERROR(VLOOKUP(J656,VOL_REC[],2,FALSE),0)</f>
        <v>240696.79238099116</v>
      </c>
      <c r="BA656" s="246">
        <f>IFERROR(VLOOKUP(K656,VOL_REC[],2,FALSE),0)</f>
        <v>1072354.9981737854</v>
      </c>
      <c r="BB656" s="246">
        <f>IFERROR(VLOOKUP(L656,VOL_REC[],2,FALSE),0)</f>
        <v>0</v>
      </c>
      <c r="BC656" s="246">
        <f>IFERROR(VLOOKUP(M656,VOL_REC[],2,FALSE),0)</f>
        <v>0</v>
      </c>
      <c r="BD656" s="246">
        <f>IFERROR(VLOOKUP(N656,VOL_REC[],2,FALSE),0)</f>
        <v>0</v>
      </c>
      <c r="BE656" s="246">
        <f>IFERROR(VLOOKUP(O656,VOL_REC[],2,FALSE),0)</f>
        <v>0</v>
      </c>
      <c r="BF656" s="246">
        <f>IFERROR(VLOOKUP(P656,VOL_REC[],2,FALSE),0)</f>
        <v>0</v>
      </c>
      <c r="BG656" s="246">
        <f>IFERROR(VLOOKUP(Q656,VOL_REC[],2,FALSE),0)</f>
        <v>0</v>
      </c>
      <c r="BH656" s="1710">
        <f t="shared" si="40"/>
        <v>24737086279.396328</v>
      </c>
      <c r="BI656" s="1710">
        <f t="shared" si="41"/>
        <v>24434352356.270782</v>
      </c>
      <c r="BJ656" s="1711">
        <f t="shared" si="42"/>
        <v>31794987.938254528</v>
      </c>
      <c r="BK656" s="1711">
        <f t="shared" si="43"/>
        <v>1.0123896847647715</v>
      </c>
      <c r="BL656">
        <f>BJ656</f>
        <v>31794987.938254528</v>
      </c>
      <c r="BO656">
        <f>BL656</f>
        <v>31794987.938254528</v>
      </c>
    </row>
    <row r="657" spans="3:67" x14ac:dyDescent="0.25">
      <c r="C657" s="246" t="s">
        <v>2007</v>
      </c>
      <c r="D657" s="246">
        <v>1</v>
      </c>
      <c r="E657" s="246">
        <v>2</v>
      </c>
      <c r="F657" s="246">
        <v>3</v>
      </c>
      <c r="G657" s="246">
        <v>4</v>
      </c>
      <c r="H657" s="246">
        <v>6</v>
      </c>
      <c r="I657" s="246">
        <v>9</v>
      </c>
      <c r="J657" s="246">
        <v>12</v>
      </c>
      <c r="K657" s="246">
        <v>17</v>
      </c>
      <c r="L657" s="246"/>
      <c r="M657" s="246"/>
      <c r="N657" s="246"/>
      <c r="O657" s="246"/>
      <c r="P657" s="246"/>
      <c r="Q657" s="246"/>
      <c r="R657" s="246">
        <f>IFERROR(VLOOKUP(D657,PROGRAMAS[],2,FALSE),0)</f>
        <v>97037803.679377079</v>
      </c>
      <c r="S657" s="246">
        <f>IFERROR(VLOOKUP(E657,PROGRAMAS[],2,FALSE),0)</f>
        <v>640501509.6821388</v>
      </c>
      <c r="T657" s="246">
        <f>IFERROR(VLOOKUP(F657,PROGRAMAS[],2,FALSE),0)</f>
        <v>3062327798.1525245</v>
      </c>
      <c r="U657" s="246">
        <f>IFERROR(VLOOKUP(G657,PROGRAMAS[],2,FALSE),0)</f>
        <v>67697118.033011258</v>
      </c>
      <c r="V657" s="246">
        <f>IFERROR(VLOOKUP(H657,PROGRAMAS[],2,FALSE),0)</f>
        <v>6907648435.8447599</v>
      </c>
      <c r="W657" s="246">
        <f>IFERROR(VLOOKUP(I657,PROGRAMAS[],2,FALSE),0)</f>
        <v>6128579952.1618185</v>
      </c>
      <c r="X657" s="246">
        <f>IFERROR(VLOOKUP(J657,PROGRAMAS[],2,FALSE),0)</f>
        <v>764796700.79905891</v>
      </c>
      <c r="Y657" s="246">
        <f>IFERROR(VLOOKUP(K657,PROGRAMAS[],2,FALSE),0)</f>
        <v>1892779498.5211046</v>
      </c>
      <c r="Z657" s="246">
        <f>IFERROR(VLOOKUP(L657,PROGRAMAS[],2,FALSE),0)</f>
        <v>0</v>
      </c>
      <c r="AA657" s="246">
        <f>IFERROR(VLOOKUP(M657,PROGRAMAS[],2,FALSE),0)</f>
        <v>0</v>
      </c>
      <c r="AB657" s="246">
        <f>IFERROR(VLOOKUP(N657,PROGRAMAS[],2,FALSE),0)</f>
        <v>0</v>
      </c>
      <c r="AC657" s="246">
        <f>IFERROR(VLOOKUP(O657,PROGRAMAS[],2,FALSE),0)</f>
        <v>0</v>
      </c>
      <c r="AD657" s="246">
        <f>IFERROR(VLOOKUP(P657,PROGRAMAS[],2,FALSE),0)</f>
        <v>0</v>
      </c>
      <c r="AE657" s="246">
        <f>IFERROR(VLOOKUP(Q657,PROGRAMAS[],2,FALSE),0)</f>
        <v>0</v>
      </c>
      <c r="AF657" s="246">
        <f>IFERROR(VLOOKUP(D657,PROGRAMAS[],3,FALSE),0)</f>
        <v>841888629.31080008</v>
      </c>
      <c r="AG657" s="246">
        <f>IFERROR(VLOOKUP(E657,PROGRAMAS[],3,FALSE),0)</f>
        <v>3848980803.1642323</v>
      </c>
      <c r="AH657" s="246">
        <f>IFERROR(VLOOKUP(F657,PROGRAMAS[],3,FALSE),0)</f>
        <v>3394901471.387517</v>
      </c>
      <c r="AI657" s="246">
        <f>IFERROR(VLOOKUP(G657,PROGRAMAS[],3,FALSE),0)</f>
        <v>125317226.95549992</v>
      </c>
      <c r="AJ657" s="246">
        <f>IFERROR(VLOOKUP(H657,PROGRAMAS[],3,FALSE),0)</f>
        <v>6129902208.7912121</v>
      </c>
      <c r="AK657" s="246">
        <f>IFERROR(VLOOKUP(I657,PROGRAMAS[],3,FALSE),0)</f>
        <v>7011279577.519702</v>
      </c>
      <c r="AL657" s="246">
        <f>IFERROR(VLOOKUP(J657,PROGRAMAS[],3,FALSE),0)</f>
        <v>675517840.109828</v>
      </c>
      <c r="AM657" s="246">
        <f>IFERROR(VLOOKUP(K657,PROGRAMAS[],3,FALSE),0)</f>
        <v>948595847.09039903</v>
      </c>
      <c r="AN657" s="246">
        <f>IFERROR(VLOOKUP(L657,PROGRAMAS[],3,FALSE),0)</f>
        <v>0</v>
      </c>
      <c r="AO657" s="246">
        <f>IFERROR(VLOOKUP(M657,PROGRAMAS[],3,FALSE),0)</f>
        <v>0</v>
      </c>
      <c r="AP657" s="246">
        <f>IFERROR(VLOOKUP(N657,PROGRAMAS[],3,FALSE),0)</f>
        <v>0</v>
      </c>
      <c r="AQ657" s="246">
        <f>IFERROR(VLOOKUP(O657,PROGRAMAS[],3,FALSE),0)</f>
        <v>0</v>
      </c>
      <c r="AR657" s="246">
        <f>IFERROR(VLOOKUP(P657,PROGRAMAS[],3,FALSE),0)</f>
        <v>0</v>
      </c>
      <c r="AS657" s="246">
        <f>IFERROR(VLOOKUP(Q657,PROGRAMAS[],3,FALSE),0)</f>
        <v>0</v>
      </c>
      <c r="AT657" s="246">
        <f>IFERROR(VLOOKUP(D657,VOL_REC[],2,FALSE),0)</f>
        <v>0</v>
      </c>
      <c r="AU657" s="246">
        <f>IFERROR(VLOOKUP(E657,VOL_REC[],2,FALSE),0)</f>
        <v>0</v>
      </c>
      <c r="AV657" s="246">
        <f>IFERROR(VLOOKUP(F657,VOL_REC[],2,FALSE),0)</f>
        <v>11089674.200000001</v>
      </c>
      <c r="AW657" s="246">
        <f>IFERROR(VLOOKUP(G657,VOL_REC[],2,FALSE),0)</f>
        <v>90439.55</v>
      </c>
      <c r="AX657" s="246">
        <f>IFERROR(VLOOKUP(H657,VOL_REC[],2,FALSE),0)</f>
        <v>15540036.397699751</v>
      </c>
      <c r="AY657" s="246">
        <f>IFERROR(VLOOKUP(I657,VOL_REC[],2,FALSE),0)</f>
        <v>3761786</v>
      </c>
      <c r="AZ657" s="246">
        <f>IFERROR(VLOOKUP(J657,VOL_REC[],2,FALSE),0)</f>
        <v>240696.79238099116</v>
      </c>
      <c r="BA657" s="246">
        <f>IFERROR(VLOOKUP(K657,VOL_REC[],2,FALSE),0)</f>
        <v>740113.98115702497</v>
      </c>
      <c r="BB657" s="246">
        <f>IFERROR(VLOOKUP(L657,VOL_REC[],2,FALSE),0)</f>
        <v>0</v>
      </c>
      <c r="BC657" s="246">
        <f>IFERROR(VLOOKUP(M657,VOL_REC[],2,FALSE),0)</f>
        <v>0</v>
      </c>
      <c r="BD657" s="246">
        <f>IFERROR(VLOOKUP(N657,VOL_REC[],2,FALSE),0)</f>
        <v>0</v>
      </c>
      <c r="BE657" s="246">
        <f>IFERROR(VLOOKUP(O657,VOL_REC[],2,FALSE),0)</f>
        <v>0</v>
      </c>
      <c r="BF657" s="246">
        <f>IFERROR(VLOOKUP(P657,VOL_REC[],2,FALSE),0)</f>
        <v>0</v>
      </c>
      <c r="BG657" s="246">
        <f>IFERROR(VLOOKUP(Q657,VOL_REC[],2,FALSE),0)</f>
        <v>0</v>
      </c>
      <c r="BH657" s="1710">
        <f t="shared" si="40"/>
        <v>19561368816.873795</v>
      </c>
      <c r="BI657" s="1710">
        <f t="shared" si="41"/>
        <v>22976383604.329193</v>
      </c>
      <c r="BJ657" s="1711">
        <f t="shared" si="42"/>
        <v>31462746.921237767</v>
      </c>
      <c r="BK657" s="1711">
        <f t="shared" si="43"/>
        <v>0.85136848138225096</v>
      </c>
    </row>
    <row r="658" spans="3:67" x14ac:dyDescent="0.25">
      <c r="C658" s="246" t="s">
        <v>2008</v>
      </c>
      <c r="D658" s="246">
        <v>1</v>
      </c>
      <c r="E658" s="246">
        <v>2</v>
      </c>
      <c r="F658" s="246">
        <v>3</v>
      </c>
      <c r="G658" s="246">
        <v>4</v>
      </c>
      <c r="H658" s="246">
        <v>6</v>
      </c>
      <c r="I658" s="246">
        <v>9</v>
      </c>
      <c r="J658" s="246">
        <v>13</v>
      </c>
      <c r="K658" s="246">
        <v>14</v>
      </c>
      <c r="L658" s="246"/>
      <c r="M658" s="246"/>
      <c r="N658" s="246"/>
      <c r="O658" s="246"/>
      <c r="P658" s="246"/>
      <c r="Q658" s="246"/>
      <c r="R658" s="246">
        <f>IFERROR(VLOOKUP(D658,PROGRAMAS[],2,FALSE),0)</f>
        <v>97037803.679377079</v>
      </c>
      <c r="S658" s="246">
        <f>IFERROR(VLOOKUP(E658,PROGRAMAS[],2,FALSE),0)</f>
        <v>640501509.6821388</v>
      </c>
      <c r="T658" s="246">
        <f>IFERROR(VLOOKUP(F658,PROGRAMAS[],2,FALSE),0)</f>
        <v>3062327798.1525245</v>
      </c>
      <c r="U658" s="246">
        <f>IFERROR(VLOOKUP(G658,PROGRAMAS[],2,FALSE),0)</f>
        <v>67697118.033011258</v>
      </c>
      <c r="V658" s="246">
        <f>IFERROR(VLOOKUP(H658,PROGRAMAS[],2,FALSE),0)</f>
        <v>6907648435.8447599</v>
      </c>
      <c r="W658" s="246">
        <f>IFERROR(VLOOKUP(I658,PROGRAMAS[],2,FALSE),0)</f>
        <v>6128579952.1618185</v>
      </c>
      <c r="X658" s="246">
        <f>IFERROR(VLOOKUP(J658,PROGRAMAS[],2,FALSE),0)</f>
        <v>3776538594.4604583</v>
      </c>
      <c r="Y658" s="246">
        <f>IFERROR(VLOOKUP(K658,PROGRAMAS[],2,FALSE),0)</f>
        <v>54223862.645839565</v>
      </c>
      <c r="Z658" s="246">
        <f>IFERROR(VLOOKUP(L658,PROGRAMAS[],2,FALSE),0)</f>
        <v>0</v>
      </c>
      <c r="AA658" s="246">
        <f>IFERROR(VLOOKUP(M658,PROGRAMAS[],2,FALSE),0)</f>
        <v>0</v>
      </c>
      <c r="AB658" s="246">
        <f>IFERROR(VLOOKUP(N658,PROGRAMAS[],2,FALSE),0)</f>
        <v>0</v>
      </c>
      <c r="AC658" s="246">
        <f>IFERROR(VLOOKUP(O658,PROGRAMAS[],2,FALSE),0)</f>
        <v>0</v>
      </c>
      <c r="AD658" s="246">
        <f>IFERROR(VLOOKUP(P658,PROGRAMAS[],2,FALSE),0)</f>
        <v>0</v>
      </c>
      <c r="AE658" s="246">
        <f>IFERROR(VLOOKUP(Q658,PROGRAMAS[],2,FALSE),0)</f>
        <v>0</v>
      </c>
      <c r="AF658" s="246">
        <f>IFERROR(VLOOKUP(D658,PROGRAMAS[],3,FALSE),0)</f>
        <v>841888629.31080008</v>
      </c>
      <c r="AG658" s="246">
        <f>IFERROR(VLOOKUP(E658,PROGRAMAS[],3,FALSE),0)</f>
        <v>3848980803.1642323</v>
      </c>
      <c r="AH658" s="246">
        <f>IFERROR(VLOOKUP(F658,PROGRAMAS[],3,FALSE),0)</f>
        <v>3394901471.387517</v>
      </c>
      <c r="AI658" s="246">
        <f>IFERROR(VLOOKUP(G658,PROGRAMAS[],3,FALSE),0)</f>
        <v>125317226.95549992</v>
      </c>
      <c r="AJ658" s="246">
        <f>IFERROR(VLOOKUP(H658,PROGRAMAS[],3,FALSE),0)</f>
        <v>6129902208.7912121</v>
      </c>
      <c r="AK658" s="246">
        <f>IFERROR(VLOOKUP(I658,PROGRAMAS[],3,FALSE),0)</f>
        <v>7011279577.519702</v>
      </c>
      <c r="AL658" s="246">
        <f>IFERROR(VLOOKUP(J658,PROGRAMAS[],3,FALSE),0)</f>
        <v>2392571243.5584412</v>
      </c>
      <c r="AM658" s="246">
        <f>IFERROR(VLOOKUP(K658,PROGRAMAS[],3,FALSE),0)</f>
        <v>31865326.38096505</v>
      </c>
      <c r="AN658" s="246">
        <f>IFERROR(VLOOKUP(L658,PROGRAMAS[],3,FALSE),0)</f>
        <v>0</v>
      </c>
      <c r="AO658" s="246">
        <f>IFERROR(VLOOKUP(M658,PROGRAMAS[],3,FALSE),0)</f>
        <v>0</v>
      </c>
      <c r="AP658" s="246">
        <f>IFERROR(VLOOKUP(N658,PROGRAMAS[],3,FALSE),0)</f>
        <v>0</v>
      </c>
      <c r="AQ658" s="246">
        <f>IFERROR(VLOOKUP(O658,PROGRAMAS[],3,FALSE),0)</f>
        <v>0</v>
      </c>
      <c r="AR658" s="246">
        <f>IFERROR(VLOOKUP(P658,PROGRAMAS[],3,FALSE),0)</f>
        <v>0</v>
      </c>
      <c r="AS658" s="246">
        <f>IFERROR(VLOOKUP(Q658,PROGRAMAS[],3,FALSE),0)</f>
        <v>0</v>
      </c>
      <c r="AT658" s="246">
        <f>IFERROR(VLOOKUP(D658,VOL_REC[],2,FALSE),0)</f>
        <v>0</v>
      </c>
      <c r="AU658" s="246">
        <f>IFERROR(VLOOKUP(E658,VOL_REC[],2,FALSE),0)</f>
        <v>0</v>
      </c>
      <c r="AV658" s="246">
        <f>IFERROR(VLOOKUP(F658,VOL_REC[],2,FALSE),0)</f>
        <v>11089674.200000001</v>
      </c>
      <c r="AW658" s="246">
        <f>IFERROR(VLOOKUP(G658,VOL_REC[],2,FALSE),0)</f>
        <v>90439.55</v>
      </c>
      <c r="AX658" s="246">
        <f>IFERROR(VLOOKUP(H658,VOL_REC[],2,FALSE),0)</f>
        <v>15540036.397699751</v>
      </c>
      <c r="AY658" s="246">
        <f>IFERROR(VLOOKUP(I658,VOL_REC[],2,FALSE),0)</f>
        <v>3761786</v>
      </c>
      <c r="AZ658" s="246">
        <f>IFERROR(VLOOKUP(J658,VOL_REC[],2,FALSE),0)</f>
        <v>663244.80000000016</v>
      </c>
      <c r="BA658" s="246">
        <f>IFERROR(VLOOKUP(K658,VOL_REC[],2,FALSE),0)</f>
        <v>17074.045034105649</v>
      </c>
      <c r="BB658" s="246">
        <f>IFERROR(VLOOKUP(L658,VOL_REC[],2,FALSE),0)</f>
        <v>0</v>
      </c>
      <c r="BC658" s="246">
        <f>IFERROR(VLOOKUP(M658,VOL_REC[],2,FALSE),0)</f>
        <v>0</v>
      </c>
      <c r="BD658" s="246">
        <f>IFERROR(VLOOKUP(N658,VOL_REC[],2,FALSE),0)</f>
        <v>0</v>
      </c>
      <c r="BE658" s="246">
        <f>IFERROR(VLOOKUP(O658,VOL_REC[],2,FALSE),0)</f>
        <v>0</v>
      </c>
      <c r="BF658" s="246">
        <f>IFERROR(VLOOKUP(P658,VOL_REC[],2,FALSE),0)</f>
        <v>0</v>
      </c>
      <c r="BG658" s="246">
        <f>IFERROR(VLOOKUP(Q658,VOL_REC[],2,FALSE),0)</f>
        <v>0</v>
      </c>
      <c r="BH658" s="1710">
        <f t="shared" si="40"/>
        <v>20734555074.659927</v>
      </c>
      <c r="BI658" s="1710">
        <f t="shared" si="41"/>
        <v>23776706487.068371</v>
      </c>
      <c r="BJ658" s="1711">
        <f t="shared" si="42"/>
        <v>31162254.992733859</v>
      </c>
      <c r="BK658" s="1711">
        <f t="shared" si="43"/>
        <v>0.87205328820192141</v>
      </c>
    </row>
    <row r="659" spans="3:67" x14ac:dyDescent="0.25">
      <c r="C659" s="246" t="s">
        <v>2009</v>
      </c>
      <c r="D659" s="246">
        <v>1</v>
      </c>
      <c r="E659" s="246">
        <v>2</v>
      </c>
      <c r="F659" s="246">
        <v>3</v>
      </c>
      <c r="G659" s="246">
        <v>4</v>
      </c>
      <c r="H659" s="246">
        <v>6</v>
      </c>
      <c r="I659" s="246">
        <v>9</v>
      </c>
      <c r="J659" s="246">
        <v>13</v>
      </c>
      <c r="K659" s="246">
        <v>15</v>
      </c>
      <c r="L659" s="246"/>
      <c r="M659" s="246"/>
      <c r="N659" s="246"/>
      <c r="O659" s="246"/>
      <c r="P659" s="246"/>
      <c r="Q659" s="246"/>
      <c r="R659" s="246">
        <f>IFERROR(VLOOKUP(D659,PROGRAMAS[],2,FALSE),0)</f>
        <v>97037803.679377079</v>
      </c>
      <c r="S659" s="246">
        <f>IFERROR(VLOOKUP(E659,PROGRAMAS[],2,FALSE),0)</f>
        <v>640501509.6821388</v>
      </c>
      <c r="T659" s="246">
        <f>IFERROR(VLOOKUP(F659,PROGRAMAS[],2,FALSE),0)</f>
        <v>3062327798.1525245</v>
      </c>
      <c r="U659" s="246">
        <f>IFERROR(VLOOKUP(G659,PROGRAMAS[],2,FALSE),0)</f>
        <v>67697118.033011258</v>
      </c>
      <c r="V659" s="246">
        <f>IFERROR(VLOOKUP(H659,PROGRAMAS[],2,FALSE),0)</f>
        <v>6907648435.8447599</v>
      </c>
      <c r="W659" s="246">
        <f>IFERROR(VLOOKUP(I659,PROGRAMAS[],2,FALSE),0)</f>
        <v>6128579952.1618185</v>
      </c>
      <c r="X659" s="246">
        <f>IFERROR(VLOOKUP(J659,PROGRAMAS[],2,FALSE),0)</f>
        <v>3776538594.4604583</v>
      </c>
      <c r="Y659" s="246">
        <f>IFERROR(VLOOKUP(K659,PROGRAMAS[],2,FALSE),0)</f>
        <v>122159672.96346797</v>
      </c>
      <c r="Z659" s="246">
        <f>IFERROR(VLOOKUP(L659,PROGRAMAS[],2,FALSE),0)</f>
        <v>0</v>
      </c>
      <c r="AA659" s="246">
        <f>IFERROR(VLOOKUP(M659,PROGRAMAS[],2,FALSE),0)</f>
        <v>0</v>
      </c>
      <c r="AB659" s="246">
        <f>IFERROR(VLOOKUP(N659,PROGRAMAS[],2,FALSE),0)</f>
        <v>0</v>
      </c>
      <c r="AC659" s="246">
        <f>IFERROR(VLOOKUP(O659,PROGRAMAS[],2,FALSE),0)</f>
        <v>0</v>
      </c>
      <c r="AD659" s="246">
        <f>IFERROR(VLOOKUP(P659,PROGRAMAS[],2,FALSE),0)</f>
        <v>0</v>
      </c>
      <c r="AE659" s="246">
        <f>IFERROR(VLOOKUP(Q659,PROGRAMAS[],2,FALSE),0)</f>
        <v>0</v>
      </c>
      <c r="AF659" s="246">
        <f>IFERROR(VLOOKUP(D659,PROGRAMAS[],3,FALSE),0)</f>
        <v>841888629.31080008</v>
      </c>
      <c r="AG659" s="246">
        <f>IFERROR(VLOOKUP(E659,PROGRAMAS[],3,FALSE),0)</f>
        <v>3848980803.1642323</v>
      </c>
      <c r="AH659" s="246">
        <f>IFERROR(VLOOKUP(F659,PROGRAMAS[],3,FALSE),0)</f>
        <v>3394901471.387517</v>
      </c>
      <c r="AI659" s="246">
        <f>IFERROR(VLOOKUP(G659,PROGRAMAS[],3,FALSE),0)</f>
        <v>125317226.95549992</v>
      </c>
      <c r="AJ659" s="246">
        <f>IFERROR(VLOOKUP(H659,PROGRAMAS[],3,FALSE),0)</f>
        <v>6129902208.7912121</v>
      </c>
      <c r="AK659" s="246">
        <f>IFERROR(VLOOKUP(I659,PROGRAMAS[],3,FALSE),0)</f>
        <v>7011279577.519702</v>
      </c>
      <c r="AL659" s="246">
        <f>IFERROR(VLOOKUP(J659,PROGRAMAS[],3,FALSE),0)</f>
        <v>2392571243.5584412</v>
      </c>
      <c r="AM659" s="246">
        <f>IFERROR(VLOOKUP(K659,PROGRAMAS[],3,FALSE),0)</f>
        <v>118617452.52510804</v>
      </c>
      <c r="AN659" s="246">
        <f>IFERROR(VLOOKUP(L659,PROGRAMAS[],3,FALSE),0)</f>
        <v>0</v>
      </c>
      <c r="AO659" s="246">
        <f>IFERROR(VLOOKUP(M659,PROGRAMAS[],3,FALSE),0)</f>
        <v>0</v>
      </c>
      <c r="AP659" s="246">
        <f>IFERROR(VLOOKUP(N659,PROGRAMAS[],3,FALSE),0)</f>
        <v>0</v>
      </c>
      <c r="AQ659" s="246">
        <f>IFERROR(VLOOKUP(O659,PROGRAMAS[],3,FALSE),0)</f>
        <v>0</v>
      </c>
      <c r="AR659" s="246">
        <f>IFERROR(VLOOKUP(P659,PROGRAMAS[],3,FALSE),0)</f>
        <v>0</v>
      </c>
      <c r="AS659" s="246">
        <f>IFERROR(VLOOKUP(Q659,PROGRAMAS[],3,FALSE),0)</f>
        <v>0</v>
      </c>
      <c r="AT659" s="246">
        <f>IFERROR(VLOOKUP(D659,VOL_REC[],2,FALSE),0)</f>
        <v>0</v>
      </c>
      <c r="AU659" s="246">
        <f>IFERROR(VLOOKUP(E659,VOL_REC[],2,FALSE),0)</f>
        <v>0</v>
      </c>
      <c r="AV659" s="246">
        <f>IFERROR(VLOOKUP(F659,VOL_REC[],2,FALSE),0)</f>
        <v>11089674.200000001</v>
      </c>
      <c r="AW659" s="246">
        <f>IFERROR(VLOOKUP(G659,VOL_REC[],2,FALSE),0)</f>
        <v>90439.55</v>
      </c>
      <c r="AX659" s="246">
        <f>IFERROR(VLOOKUP(H659,VOL_REC[],2,FALSE),0)</f>
        <v>15540036.397699751</v>
      </c>
      <c r="AY659" s="246">
        <f>IFERROR(VLOOKUP(I659,VOL_REC[],2,FALSE),0)</f>
        <v>3761786</v>
      </c>
      <c r="AZ659" s="246">
        <f>IFERROR(VLOOKUP(J659,VOL_REC[],2,FALSE),0)</f>
        <v>663244.80000000016</v>
      </c>
      <c r="BA659" s="246">
        <f>IFERROR(VLOOKUP(K659,VOL_REC[],2,FALSE),0)</f>
        <v>105072</v>
      </c>
      <c r="BB659" s="246">
        <f>IFERROR(VLOOKUP(L659,VOL_REC[],2,FALSE),0)</f>
        <v>0</v>
      </c>
      <c r="BC659" s="246">
        <f>IFERROR(VLOOKUP(M659,VOL_REC[],2,FALSE),0)</f>
        <v>0</v>
      </c>
      <c r="BD659" s="246">
        <f>IFERROR(VLOOKUP(N659,VOL_REC[],2,FALSE),0)</f>
        <v>0</v>
      </c>
      <c r="BE659" s="246">
        <f>IFERROR(VLOOKUP(O659,VOL_REC[],2,FALSE),0)</f>
        <v>0</v>
      </c>
      <c r="BF659" s="246">
        <f>IFERROR(VLOOKUP(P659,VOL_REC[],2,FALSE),0)</f>
        <v>0</v>
      </c>
      <c r="BG659" s="246">
        <f>IFERROR(VLOOKUP(Q659,VOL_REC[],2,FALSE),0)</f>
        <v>0</v>
      </c>
      <c r="BH659" s="1710">
        <f t="shared" si="40"/>
        <v>20802490884.977554</v>
      </c>
      <c r="BI659" s="1710">
        <f t="shared" si="41"/>
        <v>23863458613.212513</v>
      </c>
      <c r="BJ659" s="1711">
        <f t="shared" si="42"/>
        <v>31250252.947699752</v>
      </c>
      <c r="BK659" s="1711">
        <f t="shared" si="43"/>
        <v>0.87172992071902822</v>
      </c>
    </row>
    <row r="660" spans="3:67" x14ac:dyDescent="0.25">
      <c r="C660" s="246" t="s">
        <v>2010</v>
      </c>
      <c r="D660" s="246">
        <v>1</v>
      </c>
      <c r="E660" s="246">
        <v>2</v>
      </c>
      <c r="F660" s="246">
        <v>3</v>
      </c>
      <c r="G660" s="246">
        <v>4</v>
      </c>
      <c r="H660" s="246">
        <v>6</v>
      </c>
      <c r="I660" s="246">
        <v>9</v>
      </c>
      <c r="J660" s="246">
        <v>13</v>
      </c>
      <c r="K660" s="246">
        <v>16</v>
      </c>
      <c r="L660" s="246"/>
      <c r="M660" s="246"/>
      <c r="N660" s="246"/>
      <c r="O660" s="246"/>
      <c r="P660" s="246"/>
      <c r="Q660" s="246"/>
      <c r="R660" s="246">
        <f>IFERROR(VLOOKUP(D660,PROGRAMAS[],2,FALSE),0)</f>
        <v>97037803.679377079</v>
      </c>
      <c r="S660" s="246">
        <f>IFERROR(VLOOKUP(E660,PROGRAMAS[],2,FALSE),0)</f>
        <v>640501509.6821388</v>
      </c>
      <c r="T660" s="246">
        <f>IFERROR(VLOOKUP(F660,PROGRAMAS[],2,FALSE),0)</f>
        <v>3062327798.1525245</v>
      </c>
      <c r="U660" s="246">
        <f>IFERROR(VLOOKUP(G660,PROGRAMAS[],2,FALSE),0)</f>
        <v>67697118.033011258</v>
      </c>
      <c r="V660" s="246">
        <f>IFERROR(VLOOKUP(H660,PROGRAMAS[],2,FALSE),0)</f>
        <v>6907648435.8447599</v>
      </c>
      <c r="W660" s="246">
        <f>IFERROR(VLOOKUP(I660,PROGRAMAS[],2,FALSE),0)</f>
        <v>6128579952.1618185</v>
      </c>
      <c r="X660" s="246">
        <f>IFERROR(VLOOKUP(J660,PROGRAMAS[],2,FALSE),0)</f>
        <v>3776538594.4604583</v>
      </c>
      <c r="Y660" s="246">
        <f>IFERROR(VLOOKUP(K660,PROGRAMAS[],2,FALSE),0)</f>
        <v>7068496961.0436354</v>
      </c>
      <c r="Z660" s="246">
        <f>IFERROR(VLOOKUP(L660,PROGRAMAS[],2,FALSE),0)</f>
        <v>0</v>
      </c>
      <c r="AA660" s="246">
        <f>IFERROR(VLOOKUP(M660,PROGRAMAS[],2,FALSE),0)</f>
        <v>0</v>
      </c>
      <c r="AB660" s="246">
        <f>IFERROR(VLOOKUP(N660,PROGRAMAS[],2,FALSE),0)</f>
        <v>0</v>
      </c>
      <c r="AC660" s="246">
        <f>IFERROR(VLOOKUP(O660,PROGRAMAS[],2,FALSE),0)</f>
        <v>0</v>
      </c>
      <c r="AD660" s="246">
        <f>IFERROR(VLOOKUP(P660,PROGRAMAS[],2,FALSE),0)</f>
        <v>0</v>
      </c>
      <c r="AE660" s="246">
        <f>IFERROR(VLOOKUP(Q660,PROGRAMAS[],2,FALSE),0)</f>
        <v>0</v>
      </c>
      <c r="AF660" s="246">
        <f>IFERROR(VLOOKUP(D660,PROGRAMAS[],3,FALSE),0)</f>
        <v>841888629.31080008</v>
      </c>
      <c r="AG660" s="246">
        <f>IFERROR(VLOOKUP(E660,PROGRAMAS[],3,FALSE),0)</f>
        <v>3848980803.1642323</v>
      </c>
      <c r="AH660" s="246">
        <f>IFERROR(VLOOKUP(F660,PROGRAMAS[],3,FALSE),0)</f>
        <v>3394901471.387517</v>
      </c>
      <c r="AI660" s="246">
        <f>IFERROR(VLOOKUP(G660,PROGRAMAS[],3,FALSE),0)</f>
        <v>125317226.95549992</v>
      </c>
      <c r="AJ660" s="246">
        <f>IFERROR(VLOOKUP(H660,PROGRAMAS[],3,FALSE),0)</f>
        <v>6129902208.7912121</v>
      </c>
      <c r="AK660" s="246">
        <f>IFERROR(VLOOKUP(I660,PROGRAMAS[],3,FALSE),0)</f>
        <v>7011279577.519702</v>
      </c>
      <c r="AL660" s="246">
        <f>IFERROR(VLOOKUP(J660,PROGRAMAS[],3,FALSE),0)</f>
        <v>2392571243.5584412</v>
      </c>
      <c r="AM660" s="246">
        <f>IFERROR(VLOOKUP(K660,PROGRAMAS[],3,FALSE),0)</f>
        <v>2406564599.0319901</v>
      </c>
      <c r="AN660" s="246">
        <f>IFERROR(VLOOKUP(L660,PROGRAMAS[],3,FALSE),0)</f>
        <v>0</v>
      </c>
      <c r="AO660" s="246">
        <f>IFERROR(VLOOKUP(M660,PROGRAMAS[],3,FALSE),0)</f>
        <v>0</v>
      </c>
      <c r="AP660" s="246">
        <f>IFERROR(VLOOKUP(N660,PROGRAMAS[],3,FALSE),0)</f>
        <v>0</v>
      </c>
      <c r="AQ660" s="246">
        <f>IFERROR(VLOOKUP(O660,PROGRAMAS[],3,FALSE),0)</f>
        <v>0</v>
      </c>
      <c r="AR660" s="246">
        <f>IFERROR(VLOOKUP(P660,PROGRAMAS[],3,FALSE),0)</f>
        <v>0</v>
      </c>
      <c r="AS660" s="246">
        <f>IFERROR(VLOOKUP(Q660,PROGRAMAS[],3,FALSE),0)</f>
        <v>0</v>
      </c>
      <c r="AT660" s="246">
        <f>IFERROR(VLOOKUP(D660,VOL_REC[],2,FALSE),0)</f>
        <v>0</v>
      </c>
      <c r="AU660" s="246">
        <f>IFERROR(VLOOKUP(E660,VOL_REC[],2,FALSE),0)</f>
        <v>0</v>
      </c>
      <c r="AV660" s="246">
        <f>IFERROR(VLOOKUP(F660,VOL_REC[],2,FALSE),0)</f>
        <v>11089674.200000001</v>
      </c>
      <c r="AW660" s="246">
        <f>IFERROR(VLOOKUP(G660,VOL_REC[],2,FALSE),0)</f>
        <v>90439.55</v>
      </c>
      <c r="AX660" s="246">
        <f>IFERROR(VLOOKUP(H660,VOL_REC[],2,FALSE),0)</f>
        <v>15540036.397699751</v>
      </c>
      <c r="AY660" s="246">
        <f>IFERROR(VLOOKUP(I660,VOL_REC[],2,FALSE),0)</f>
        <v>3761786</v>
      </c>
      <c r="AZ660" s="246">
        <f>IFERROR(VLOOKUP(J660,VOL_REC[],2,FALSE),0)</f>
        <v>663244.80000000016</v>
      </c>
      <c r="BA660" s="246">
        <f>IFERROR(VLOOKUP(K660,VOL_REC[],2,FALSE),0)</f>
        <v>1072354.9981737854</v>
      </c>
      <c r="BB660" s="246">
        <f>IFERROR(VLOOKUP(L660,VOL_REC[],2,FALSE),0)</f>
        <v>0</v>
      </c>
      <c r="BC660" s="246">
        <f>IFERROR(VLOOKUP(M660,VOL_REC[],2,FALSE),0)</f>
        <v>0</v>
      </c>
      <c r="BD660" s="246">
        <f>IFERROR(VLOOKUP(N660,VOL_REC[],2,FALSE),0)</f>
        <v>0</v>
      </c>
      <c r="BE660" s="246">
        <f>IFERROR(VLOOKUP(O660,VOL_REC[],2,FALSE),0)</f>
        <v>0</v>
      </c>
      <c r="BF660" s="246">
        <f>IFERROR(VLOOKUP(P660,VOL_REC[],2,FALSE),0)</f>
        <v>0</v>
      </c>
      <c r="BG660" s="246">
        <f>IFERROR(VLOOKUP(Q660,VOL_REC[],2,FALSE),0)</f>
        <v>0</v>
      </c>
      <c r="BH660" s="1710">
        <f t="shared" si="40"/>
        <v>27748828173.057724</v>
      </c>
      <c r="BI660" s="1710">
        <f t="shared" si="41"/>
        <v>26151405759.719395</v>
      </c>
      <c r="BJ660" s="1711">
        <f t="shared" si="42"/>
        <v>32217535.945873536</v>
      </c>
      <c r="BK660" s="1711">
        <f t="shared" si="43"/>
        <v>1.061083615466623</v>
      </c>
      <c r="BL660">
        <f>BJ660</f>
        <v>32217535.945873536</v>
      </c>
      <c r="BO660">
        <f>BL660</f>
        <v>32217535.945873536</v>
      </c>
    </row>
    <row r="661" spans="3:67" x14ac:dyDescent="0.25">
      <c r="C661" s="246" t="s">
        <v>2011</v>
      </c>
      <c r="D661" s="246">
        <v>1</v>
      </c>
      <c r="E661" s="246">
        <v>2</v>
      </c>
      <c r="F661" s="246">
        <v>3</v>
      </c>
      <c r="G661" s="246">
        <v>4</v>
      </c>
      <c r="H661" s="246">
        <v>6</v>
      </c>
      <c r="I661" s="246">
        <v>9</v>
      </c>
      <c r="J661" s="246">
        <v>13</v>
      </c>
      <c r="K661" s="246">
        <v>17</v>
      </c>
      <c r="L661" s="246"/>
      <c r="M661" s="246"/>
      <c r="N661" s="246"/>
      <c r="O661" s="246"/>
      <c r="P661" s="246"/>
      <c r="Q661" s="246"/>
      <c r="R661" s="246">
        <f>IFERROR(VLOOKUP(D661,PROGRAMAS[],2,FALSE),0)</f>
        <v>97037803.679377079</v>
      </c>
      <c r="S661" s="246">
        <f>IFERROR(VLOOKUP(E661,PROGRAMAS[],2,FALSE),0)</f>
        <v>640501509.6821388</v>
      </c>
      <c r="T661" s="246">
        <f>IFERROR(VLOOKUP(F661,PROGRAMAS[],2,FALSE),0)</f>
        <v>3062327798.1525245</v>
      </c>
      <c r="U661" s="246">
        <f>IFERROR(VLOOKUP(G661,PROGRAMAS[],2,FALSE),0)</f>
        <v>67697118.033011258</v>
      </c>
      <c r="V661" s="246">
        <f>IFERROR(VLOOKUP(H661,PROGRAMAS[],2,FALSE),0)</f>
        <v>6907648435.8447599</v>
      </c>
      <c r="W661" s="246">
        <f>IFERROR(VLOOKUP(I661,PROGRAMAS[],2,FALSE),0)</f>
        <v>6128579952.1618185</v>
      </c>
      <c r="X661" s="246">
        <f>IFERROR(VLOOKUP(J661,PROGRAMAS[],2,FALSE),0)</f>
        <v>3776538594.4604583</v>
      </c>
      <c r="Y661" s="246">
        <f>IFERROR(VLOOKUP(K661,PROGRAMAS[],2,FALSE),0)</f>
        <v>1892779498.5211046</v>
      </c>
      <c r="Z661" s="246">
        <f>IFERROR(VLOOKUP(L661,PROGRAMAS[],2,FALSE),0)</f>
        <v>0</v>
      </c>
      <c r="AA661" s="246">
        <f>IFERROR(VLOOKUP(M661,PROGRAMAS[],2,FALSE),0)</f>
        <v>0</v>
      </c>
      <c r="AB661" s="246">
        <f>IFERROR(VLOOKUP(N661,PROGRAMAS[],2,FALSE),0)</f>
        <v>0</v>
      </c>
      <c r="AC661" s="246">
        <f>IFERROR(VLOOKUP(O661,PROGRAMAS[],2,FALSE),0)</f>
        <v>0</v>
      </c>
      <c r="AD661" s="246">
        <f>IFERROR(VLOOKUP(P661,PROGRAMAS[],2,FALSE),0)</f>
        <v>0</v>
      </c>
      <c r="AE661" s="246">
        <f>IFERROR(VLOOKUP(Q661,PROGRAMAS[],2,FALSE),0)</f>
        <v>0</v>
      </c>
      <c r="AF661" s="246">
        <f>IFERROR(VLOOKUP(D661,PROGRAMAS[],3,FALSE),0)</f>
        <v>841888629.31080008</v>
      </c>
      <c r="AG661" s="246">
        <f>IFERROR(VLOOKUP(E661,PROGRAMAS[],3,FALSE),0)</f>
        <v>3848980803.1642323</v>
      </c>
      <c r="AH661" s="246">
        <f>IFERROR(VLOOKUP(F661,PROGRAMAS[],3,FALSE),0)</f>
        <v>3394901471.387517</v>
      </c>
      <c r="AI661" s="246">
        <f>IFERROR(VLOOKUP(G661,PROGRAMAS[],3,FALSE),0)</f>
        <v>125317226.95549992</v>
      </c>
      <c r="AJ661" s="246">
        <f>IFERROR(VLOOKUP(H661,PROGRAMAS[],3,FALSE),0)</f>
        <v>6129902208.7912121</v>
      </c>
      <c r="AK661" s="246">
        <f>IFERROR(VLOOKUP(I661,PROGRAMAS[],3,FALSE),0)</f>
        <v>7011279577.519702</v>
      </c>
      <c r="AL661" s="246">
        <f>IFERROR(VLOOKUP(J661,PROGRAMAS[],3,FALSE),0)</f>
        <v>2392571243.5584412</v>
      </c>
      <c r="AM661" s="246">
        <f>IFERROR(VLOOKUP(K661,PROGRAMAS[],3,FALSE),0)</f>
        <v>948595847.09039903</v>
      </c>
      <c r="AN661" s="246">
        <f>IFERROR(VLOOKUP(L661,PROGRAMAS[],3,FALSE),0)</f>
        <v>0</v>
      </c>
      <c r="AO661" s="246">
        <f>IFERROR(VLOOKUP(M661,PROGRAMAS[],3,FALSE),0)</f>
        <v>0</v>
      </c>
      <c r="AP661" s="246">
        <f>IFERROR(VLOOKUP(N661,PROGRAMAS[],3,FALSE),0)</f>
        <v>0</v>
      </c>
      <c r="AQ661" s="246">
        <f>IFERROR(VLOOKUP(O661,PROGRAMAS[],3,FALSE),0)</f>
        <v>0</v>
      </c>
      <c r="AR661" s="246">
        <f>IFERROR(VLOOKUP(P661,PROGRAMAS[],3,FALSE),0)</f>
        <v>0</v>
      </c>
      <c r="AS661" s="246">
        <f>IFERROR(VLOOKUP(Q661,PROGRAMAS[],3,FALSE),0)</f>
        <v>0</v>
      </c>
      <c r="AT661" s="246">
        <f>IFERROR(VLOOKUP(D661,VOL_REC[],2,FALSE),0)</f>
        <v>0</v>
      </c>
      <c r="AU661" s="246">
        <f>IFERROR(VLOOKUP(E661,VOL_REC[],2,FALSE),0)</f>
        <v>0</v>
      </c>
      <c r="AV661" s="246">
        <f>IFERROR(VLOOKUP(F661,VOL_REC[],2,FALSE),0)</f>
        <v>11089674.200000001</v>
      </c>
      <c r="AW661" s="246">
        <f>IFERROR(VLOOKUP(G661,VOL_REC[],2,FALSE),0)</f>
        <v>90439.55</v>
      </c>
      <c r="AX661" s="246">
        <f>IFERROR(VLOOKUP(H661,VOL_REC[],2,FALSE),0)</f>
        <v>15540036.397699751</v>
      </c>
      <c r="AY661" s="246">
        <f>IFERROR(VLOOKUP(I661,VOL_REC[],2,FALSE),0)</f>
        <v>3761786</v>
      </c>
      <c r="AZ661" s="246">
        <f>IFERROR(VLOOKUP(J661,VOL_REC[],2,FALSE),0)</f>
        <v>663244.80000000016</v>
      </c>
      <c r="BA661" s="246">
        <f>IFERROR(VLOOKUP(K661,VOL_REC[],2,FALSE),0)</f>
        <v>740113.98115702497</v>
      </c>
      <c r="BB661" s="246">
        <f>IFERROR(VLOOKUP(L661,VOL_REC[],2,FALSE),0)</f>
        <v>0</v>
      </c>
      <c r="BC661" s="246">
        <f>IFERROR(VLOOKUP(M661,VOL_REC[],2,FALSE),0)</f>
        <v>0</v>
      </c>
      <c r="BD661" s="246">
        <f>IFERROR(VLOOKUP(N661,VOL_REC[],2,FALSE),0)</f>
        <v>0</v>
      </c>
      <c r="BE661" s="246">
        <f>IFERROR(VLOOKUP(O661,VOL_REC[],2,FALSE),0)</f>
        <v>0</v>
      </c>
      <c r="BF661" s="246">
        <f>IFERROR(VLOOKUP(P661,VOL_REC[],2,FALSE),0)</f>
        <v>0</v>
      </c>
      <c r="BG661" s="246">
        <f>IFERROR(VLOOKUP(Q661,VOL_REC[],2,FALSE),0)</f>
        <v>0</v>
      </c>
      <c r="BH661" s="1710">
        <f t="shared" si="40"/>
        <v>22573110710.535191</v>
      </c>
      <c r="BI661" s="1710">
        <f t="shared" si="41"/>
        <v>24693437007.777805</v>
      </c>
      <c r="BJ661" s="1711">
        <f t="shared" si="42"/>
        <v>31885294.928856775</v>
      </c>
      <c r="BK661" s="1711">
        <f t="shared" si="43"/>
        <v>0.91413401477587886</v>
      </c>
    </row>
    <row r="662" spans="3:67" x14ac:dyDescent="0.25">
      <c r="C662" s="246" t="s">
        <v>2012</v>
      </c>
      <c r="D662" s="246">
        <v>1</v>
      </c>
      <c r="E662" s="246">
        <v>2</v>
      </c>
      <c r="F662" s="246">
        <v>3</v>
      </c>
      <c r="G662" s="246">
        <v>4</v>
      </c>
      <c r="H662" s="246">
        <v>6</v>
      </c>
      <c r="I662" s="246">
        <v>9</v>
      </c>
      <c r="J662" s="246">
        <v>14</v>
      </c>
      <c r="K662" s="246">
        <v>15</v>
      </c>
      <c r="L662" s="246"/>
      <c r="M662" s="246"/>
      <c r="N662" s="246"/>
      <c r="O662" s="246"/>
      <c r="P662" s="246"/>
      <c r="Q662" s="246"/>
      <c r="R662" s="246">
        <f>IFERROR(VLOOKUP(D662,PROGRAMAS[],2,FALSE),0)</f>
        <v>97037803.679377079</v>
      </c>
      <c r="S662" s="246">
        <f>IFERROR(VLOOKUP(E662,PROGRAMAS[],2,FALSE),0)</f>
        <v>640501509.6821388</v>
      </c>
      <c r="T662" s="246">
        <f>IFERROR(VLOOKUP(F662,PROGRAMAS[],2,FALSE),0)</f>
        <v>3062327798.1525245</v>
      </c>
      <c r="U662" s="246">
        <f>IFERROR(VLOOKUP(G662,PROGRAMAS[],2,FALSE),0)</f>
        <v>67697118.033011258</v>
      </c>
      <c r="V662" s="246">
        <f>IFERROR(VLOOKUP(H662,PROGRAMAS[],2,FALSE),0)</f>
        <v>6907648435.8447599</v>
      </c>
      <c r="W662" s="246">
        <f>IFERROR(VLOOKUP(I662,PROGRAMAS[],2,FALSE),0)</f>
        <v>6128579952.1618185</v>
      </c>
      <c r="X662" s="246">
        <f>IFERROR(VLOOKUP(J662,PROGRAMAS[],2,FALSE),0)</f>
        <v>54223862.645839565</v>
      </c>
      <c r="Y662" s="246">
        <f>IFERROR(VLOOKUP(K662,PROGRAMAS[],2,FALSE),0)</f>
        <v>122159672.96346797</v>
      </c>
      <c r="Z662" s="246">
        <f>IFERROR(VLOOKUP(L662,PROGRAMAS[],2,FALSE),0)</f>
        <v>0</v>
      </c>
      <c r="AA662" s="246">
        <f>IFERROR(VLOOKUP(M662,PROGRAMAS[],2,FALSE),0)</f>
        <v>0</v>
      </c>
      <c r="AB662" s="246">
        <f>IFERROR(VLOOKUP(N662,PROGRAMAS[],2,FALSE),0)</f>
        <v>0</v>
      </c>
      <c r="AC662" s="246">
        <f>IFERROR(VLOOKUP(O662,PROGRAMAS[],2,FALSE),0)</f>
        <v>0</v>
      </c>
      <c r="AD662" s="246">
        <f>IFERROR(VLOOKUP(P662,PROGRAMAS[],2,FALSE),0)</f>
        <v>0</v>
      </c>
      <c r="AE662" s="246">
        <f>IFERROR(VLOOKUP(Q662,PROGRAMAS[],2,FALSE),0)</f>
        <v>0</v>
      </c>
      <c r="AF662" s="246">
        <f>IFERROR(VLOOKUP(D662,PROGRAMAS[],3,FALSE),0)</f>
        <v>841888629.31080008</v>
      </c>
      <c r="AG662" s="246">
        <f>IFERROR(VLOOKUP(E662,PROGRAMAS[],3,FALSE),0)</f>
        <v>3848980803.1642323</v>
      </c>
      <c r="AH662" s="246">
        <f>IFERROR(VLOOKUP(F662,PROGRAMAS[],3,FALSE),0)</f>
        <v>3394901471.387517</v>
      </c>
      <c r="AI662" s="246">
        <f>IFERROR(VLOOKUP(G662,PROGRAMAS[],3,FALSE),0)</f>
        <v>125317226.95549992</v>
      </c>
      <c r="AJ662" s="246">
        <f>IFERROR(VLOOKUP(H662,PROGRAMAS[],3,FALSE),0)</f>
        <v>6129902208.7912121</v>
      </c>
      <c r="AK662" s="246">
        <f>IFERROR(VLOOKUP(I662,PROGRAMAS[],3,FALSE),0)</f>
        <v>7011279577.519702</v>
      </c>
      <c r="AL662" s="246">
        <f>IFERROR(VLOOKUP(J662,PROGRAMAS[],3,FALSE),0)</f>
        <v>31865326.38096505</v>
      </c>
      <c r="AM662" s="246">
        <f>IFERROR(VLOOKUP(K662,PROGRAMAS[],3,FALSE),0)</f>
        <v>118617452.52510804</v>
      </c>
      <c r="AN662" s="246">
        <f>IFERROR(VLOOKUP(L662,PROGRAMAS[],3,FALSE),0)</f>
        <v>0</v>
      </c>
      <c r="AO662" s="246">
        <f>IFERROR(VLOOKUP(M662,PROGRAMAS[],3,FALSE),0)</f>
        <v>0</v>
      </c>
      <c r="AP662" s="246">
        <f>IFERROR(VLOOKUP(N662,PROGRAMAS[],3,FALSE),0)</f>
        <v>0</v>
      </c>
      <c r="AQ662" s="246">
        <f>IFERROR(VLOOKUP(O662,PROGRAMAS[],3,FALSE),0)</f>
        <v>0</v>
      </c>
      <c r="AR662" s="246">
        <f>IFERROR(VLOOKUP(P662,PROGRAMAS[],3,FALSE),0)</f>
        <v>0</v>
      </c>
      <c r="AS662" s="246">
        <f>IFERROR(VLOOKUP(Q662,PROGRAMAS[],3,FALSE),0)</f>
        <v>0</v>
      </c>
      <c r="AT662" s="246">
        <f>IFERROR(VLOOKUP(D662,VOL_REC[],2,FALSE),0)</f>
        <v>0</v>
      </c>
      <c r="AU662" s="246">
        <f>IFERROR(VLOOKUP(E662,VOL_REC[],2,FALSE),0)</f>
        <v>0</v>
      </c>
      <c r="AV662" s="246">
        <f>IFERROR(VLOOKUP(F662,VOL_REC[],2,FALSE),0)</f>
        <v>11089674.200000001</v>
      </c>
      <c r="AW662" s="246">
        <f>IFERROR(VLOOKUP(G662,VOL_REC[],2,FALSE),0)</f>
        <v>90439.55</v>
      </c>
      <c r="AX662" s="246">
        <f>IFERROR(VLOOKUP(H662,VOL_REC[],2,FALSE),0)</f>
        <v>15540036.397699751</v>
      </c>
      <c r="AY662" s="246">
        <f>IFERROR(VLOOKUP(I662,VOL_REC[],2,FALSE),0)</f>
        <v>3761786</v>
      </c>
      <c r="AZ662" s="246">
        <f>IFERROR(VLOOKUP(J662,VOL_REC[],2,FALSE),0)</f>
        <v>17074.045034105649</v>
      </c>
      <c r="BA662" s="246">
        <f>IFERROR(VLOOKUP(K662,VOL_REC[],2,FALSE),0)</f>
        <v>105072</v>
      </c>
      <c r="BB662" s="246">
        <f>IFERROR(VLOOKUP(L662,VOL_REC[],2,FALSE),0)</f>
        <v>0</v>
      </c>
      <c r="BC662" s="246">
        <f>IFERROR(VLOOKUP(M662,VOL_REC[],2,FALSE),0)</f>
        <v>0</v>
      </c>
      <c r="BD662" s="246">
        <f>IFERROR(VLOOKUP(N662,VOL_REC[],2,FALSE),0)</f>
        <v>0</v>
      </c>
      <c r="BE662" s="246">
        <f>IFERROR(VLOOKUP(O662,VOL_REC[],2,FALSE),0)</f>
        <v>0</v>
      </c>
      <c r="BF662" s="246">
        <f>IFERROR(VLOOKUP(P662,VOL_REC[],2,FALSE),0)</f>
        <v>0</v>
      </c>
      <c r="BG662" s="246">
        <f>IFERROR(VLOOKUP(Q662,VOL_REC[],2,FALSE),0)</f>
        <v>0</v>
      </c>
      <c r="BH662" s="1710">
        <f t="shared" si="40"/>
        <v>17080176153.162939</v>
      </c>
      <c r="BI662" s="1710">
        <f t="shared" si="41"/>
        <v>21502752696.035038</v>
      </c>
      <c r="BJ662" s="1711">
        <f t="shared" si="42"/>
        <v>30604082.192733858</v>
      </c>
      <c r="BK662" s="1711">
        <f t="shared" si="43"/>
        <v>0.79432509849366439</v>
      </c>
    </row>
    <row r="663" spans="3:67" x14ac:dyDescent="0.25">
      <c r="C663" s="246" t="s">
        <v>2013</v>
      </c>
      <c r="D663" s="246">
        <v>1</v>
      </c>
      <c r="E663" s="246">
        <v>2</v>
      </c>
      <c r="F663" s="246">
        <v>3</v>
      </c>
      <c r="G663" s="246">
        <v>4</v>
      </c>
      <c r="H663" s="246">
        <v>6</v>
      </c>
      <c r="I663" s="246">
        <v>9</v>
      </c>
      <c r="J663" s="246">
        <v>14</v>
      </c>
      <c r="K663" s="246">
        <v>16</v>
      </c>
      <c r="L663" s="246"/>
      <c r="M663" s="246"/>
      <c r="N663" s="246"/>
      <c r="O663" s="246"/>
      <c r="P663" s="246"/>
      <c r="Q663" s="246"/>
      <c r="R663" s="246">
        <f>IFERROR(VLOOKUP(D663,PROGRAMAS[],2,FALSE),0)</f>
        <v>97037803.679377079</v>
      </c>
      <c r="S663" s="246">
        <f>IFERROR(VLOOKUP(E663,PROGRAMAS[],2,FALSE),0)</f>
        <v>640501509.6821388</v>
      </c>
      <c r="T663" s="246">
        <f>IFERROR(VLOOKUP(F663,PROGRAMAS[],2,FALSE),0)</f>
        <v>3062327798.1525245</v>
      </c>
      <c r="U663" s="246">
        <f>IFERROR(VLOOKUP(G663,PROGRAMAS[],2,FALSE),0)</f>
        <v>67697118.033011258</v>
      </c>
      <c r="V663" s="246">
        <f>IFERROR(VLOOKUP(H663,PROGRAMAS[],2,FALSE),0)</f>
        <v>6907648435.8447599</v>
      </c>
      <c r="W663" s="246">
        <f>IFERROR(VLOOKUP(I663,PROGRAMAS[],2,FALSE),0)</f>
        <v>6128579952.1618185</v>
      </c>
      <c r="X663" s="246">
        <f>IFERROR(VLOOKUP(J663,PROGRAMAS[],2,FALSE),0)</f>
        <v>54223862.645839565</v>
      </c>
      <c r="Y663" s="246">
        <f>IFERROR(VLOOKUP(K663,PROGRAMAS[],2,FALSE),0)</f>
        <v>7068496961.0436354</v>
      </c>
      <c r="Z663" s="246">
        <f>IFERROR(VLOOKUP(L663,PROGRAMAS[],2,FALSE),0)</f>
        <v>0</v>
      </c>
      <c r="AA663" s="246">
        <f>IFERROR(VLOOKUP(M663,PROGRAMAS[],2,FALSE),0)</f>
        <v>0</v>
      </c>
      <c r="AB663" s="246">
        <f>IFERROR(VLOOKUP(N663,PROGRAMAS[],2,FALSE),0)</f>
        <v>0</v>
      </c>
      <c r="AC663" s="246">
        <f>IFERROR(VLOOKUP(O663,PROGRAMAS[],2,FALSE),0)</f>
        <v>0</v>
      </c>
      <c r="AD663" s="246">
        <f>IFERROR(VLOOKUP(P663,PROGRAMAS[],2,FALSE),0)</f>
        <v>0</v>
      </c>
      <c r="AE663" s="246">
        <f>IFERROR(VLOOKUP(Q663,PROGRAMAS[],2,FALSE),0)</f>
        <v>0</v>
      </c>
      <c r="AF663" s="246">
        <f>IFERROR(VLOOKUP(D663,PROGRAMAS[],3,FALSE),0)</f>
        <v>841888629.31080008</v>
      </c>
      <c r="AG663" s="246">
        <f>IFERROR(VLOOKUP(E663,PROGRAMAS[],3,FALSE),0)</f>
        <v>3848980803.1642323</v>
      </c>
      <c r="AH663" s="246">
        <f>IFERROR(VLOOKUP(F663,PROGRAMAS[],3,FALSE),0)</f>
        <v>3394901471.387517</v>
      </c>
      <c r="AI663" s="246">
        <f>IFERROR(VLOOKUP(G663,PROGRAMAS[],3,FALSE),0)</f>
        <v>125317226.95549992</v>
      </c>
      <c r="AJ663" s="246">
        <f>IFERROR(VLOOKUP(H663,PROGRAMAS[],3,FALSE),0)</f>
        <v>6129902208.7912121</v>
      </c>
      <c r="AK663" s="246">
        <f>IFERROR(VLOOKUP(I663,PROGRAMAS[],3,FALSE),0)</f>
        <v>7011279577.519702</v>
      </c>
      <c r="AL663" s="246">
        <f>IFERROR(VLOOKUP(J663,PROGRAMAS[],3,FALSE),0)</f>
        <v>31865326.38096505</v>
      </c>
      <c r="AM663" s="246">
        <f>IFERROR(VLOOKUP(K663,PROGRAMAS[],3,FALSE),0)</f>
        <v>2406564599.0319901</v>
      </c>
      <c r="AN663" s="246">
        <f>IFERROR(VLOOKUP(L663,PROGRAMAS[],3,FALSE),0)</f>
        <v>0</v>
      </c>
      <c r="AO663" s="246">
        <f>IFERROR(VLOOKUP(M663,PROGRAMAS[],3,FALSE),0)</f>
        <v>0</v>
      </c>
      <c r="AP663" s="246">
        <f>IFERROR(VLOOKUP(N663,PROGRAMAS[],3,FALSE),0)</f>
        <v>0</v>
      </c>
      <c r="AQ663" s="246">
        <f>IFERROR(VLOOKUP(O663,PROGRAMAS[],3,FALSE),0)</f>
        <v>0</v>
      </c>
      <c r="AR663" s="246">
        <f>IFERROR(VLOOKUP(P663,PROGRAMAS[],3,FALSE),0)</f>
        <v>0</v>
      </c>
      <c r="AS663" s="246">
        <f>IFERROR(VLOOKUP(Q663,PROGRAMAS[],3,FALSE),0)</f>
        <v>0</v>
      </c>
      <c r="AT663" s="246">
        <f>IFERROR(VLOOKUP(D663,VOL_REC[],2,FALSE),0)</f>
        <v>0</v>
      </c>
      <c r="AU663" s="246">
        <f>IFERROR(VLOOKUP(E663,VOL_REC[],2,FALSE),0)</f>
        <v>0</v>
      </c>
      <c r="AV663" s="246">
        <f>IFERROR(VLOOKUP(F663,VOL_REC[],2,FALSE),0)</f>
        <v>11089674.200000001</v>
      </c>
      <c r="AW663" s="246">
        <f>IFERROR(VLOOKUP(G663,VOL_REC[],2,FALSE),0)</f>
        <v>90439.55</v>
      </c>
      <c r="AX663" s="246">
        <f>IFERROR(VLOOKUP(H663,VOL_REC[],2,FALSE),0)</f>
        <v>15540036.397699751</v>
      </c>
      <c r="AY663" s="246">
        <f>IFERROR(VLOOKUP(I663,VOL_REC[],2,FALSE),0)</f>
        <v>3761786</v>
      </c>
      <c r="AZ663" s="246">
        <f>IFERROR(VLOOKUP(J663,VOL_REC[],2,FALSE),0)</f>
        <v>17074.045034105649</v>
      </c>
      <c r="BA663" s="246">
        <f>IFERROR(VLOOKUP(K663,VOL_REC[],2,FALSE),0)</f>
        <v>1072354.9981737854</v>
      </c>
      <c r="BB663" s="246">
        <f>IFERROR(VLOOKUP(L663,VOL_REC[],2,FALSE),0)</f>
        <v>0</v>
      </c>
      <c r="BC663" s="246">
        <f>IFERROR(VLOOKUP(M663,VOL_REC[],2,FALSE),0)</f>
        <v>0</v>
      </c>
      <c r="BD663" s="246">
        <f>IFERROR(VLOOKUP(N663,VOL_REC[],2,FALSE),0)</f>
        <v>0</v>
      </c>
      <c r="BE663" s="246">
        <f>IFERROR(VLOOKUP(O663,VOL_REC[],2,FALSE),0)</f>
        <v>0</v>
      </c>
      <c r="BF663" s="246">
        <f>IFERROR(VLOOKUP(P663,VOL_REC[],2,FALSE),0)</f>
        <v>0</v>
      </c>
      <c r="BG663" s="246">
        <f>IFERROR(VLOOKUP(Q663,VOL_REC[],2,FALSE),0)</f>
        <v>0</v>
      </c>
      <c r="BH663" s="1710">
        <f t="shared" si="40"/>
        <v>24026513441.243107</v>
      </c>
      <c r="BI663" s="1710">
        <f t="shared" si="41"/>
        <v>23790699842.54192</v>
      </c>
      <c r="BJ663" s="1711">
        <f t="shared" si="42"/>
        <v>31571365.190907642</v>
      </c>
      <c r="BK663" s="1711">
        <f t="shared" si="43"/>
        <v>1.0099120076442438</v>
      </c>
      <c r="BL663">
        <f>BJ663</f>
        <v>31571365.190907642</v>
      </c>
      <c r="BO663">
        <f>BL663</f>
        <v>31571365.190907642</v>
      </c>
    </row>
    <row r="664" spans="3:67" x14ac:dyDescent="0.25">
      <c r="C664" s="246" t="s">
        <v>2014</v>
      </c>
      <c r="D664" s="246">
        <v>1</v>
      </c>
      <c r="E664" s="246">
        <v>2</v>
      </c>
      <c r="F664" s="246">
        <v>3</v>
      </c>
      <c r="G664" s="246">
        <v>4</v>
      </c>
      <c r="H664" s="246">
        <v>6</v>
      </c>
      <c r="I664" s="246">
        <v>9</v>
      </c>
      <c r="J664" s="246">
        <v>14</v>
      </c>
      <c r="K664" s="246">
        <v>17</v>
      </c>
      <c r="L664" s="246"/>
      <c r="M664" s="246"/>
      <c r="N664" s="246"/>
      <c r="O664" s="246"/>
      <c r="P664" s="246"/>
      <c r="Q664" s="246"/>
      <c r="R664" s="246">
        <f>IFERROR(VLOOKUP(D664,PROGRAMAS[],2,FALSE),0)</f>
        <v>97037803.679377079</v>
      </c>
      <c r="S664" s="246">
        <f>IFERROR(VLOOKUP(E664,PROGRAMAS[],2,FALSE),0)</f>
        <v>640501509.6821388</v>
      </c>
      <c r="T664" s="246">
        <f>IFERROR(VLOOKUP(F664,PROGRAMAS[],2,FALSE),0)</f>
        <v>3062327798.1525245</v>
      </c>
      <c r="U664" s="246">
        <f>IFERROR(VLOOKUP(G664,PROGRAMAS[],2,FALSE),0)</f>
        <v>67697118.033011258</v>
      </c>
      <c r="V664" s="246">
        <f>IFERROR(VLOOKUP(H664,PROGRAMAS[],2,FALSE),0)</f>
        <v>6907648435.8447599</v>
      </c>
      <c r="W664" s="246">
        <f>IFERROR(VLOOKUP(I664,PROGRAMAS[],2,FALSE),0)</f>
        <v>6128579952.1618185</v>
      </c>
      <c r="X664" s="246">
        <f>IFERROR(VLOOKUP(J664,PROGRAMAS[],2,FALSE),0)</f>
        <v>54223862.645839565</v>
      </c>
      <c r="Y664" s="246">
        <f>IFERROR(VLOOKUP(K664,PROGRAMAS[],2,FALSE),0)</f>
        <v>1892779498.5211046</v>
      </c>
      <c r="Z664" s="246">
        <f>IFERROR(VLOOKUP(L664,PROGRAMAS[],2,FALSE),0)</f>
        <v>0</v>
      </c>
      <c r="AA664" s="246">
        <f>IFERROR(VLOOKUP(M664,PROGRAMAS[],2,FALSE),0)</f>
        <v>0</v>
      </c>
      <c r="AB664" s="246">
        <f>IFERROR(VLOOKUP(N664,PROGRAMAS[],2,FALSE),0)</f>
        <v>0</v>
      </c>
      <c r="AC664" s="246">
        <f>IFERROR(VLOOKUP(O664,PROGRAMAS[],2,FALSE),0)</f>
        <v>0</v>
      </c>
      <c r="AD664" s="246">
        <f>IFERROR(VLOOKUP(P664,PROGRAMAS[],2,FALSE),0)</f>
        <v>0</v>
      </c>
      <c r="AE664" s="246">
        <f>IFERROR(VLOOKUP(Q664,PROGRAMAS[],2,FALSE),0)</f>
        <v>0</v>
      </c>
      <c r="AF664" s="246">
        <f>IFERROR(VLOOKUP(D664,PROGRAMAS[],3,FALSE),0)</f>
        <v>841888629.31080008</v>
      </c>
      <c r="AG664" s="246">
        <f>IFERROR(VLOOKUP(E664,PROGRAMAS[],3,FALSE),0)</f>
        <v>3848980803.1642323</v>
      </c>
      <c r="AH664" s="246">
        <f>IFERROR(VLOOKUP(F664,PROGRAMAS[],3,FALSE),0)</f>
        <v>3394901471.387517</v>
      </c>
      <c r="AI664" s="246">
        <f>IFERROR(VLOOKUP(G664,PROGRAMAS[],3,FALSE),0)</f>
        <v>125317226.95549992</v>
      </c>
      <c r="AJ664" s="246">
        <f>IFERROR(VLOOKUP(H664,PROGRAMAS[],3,FALSE),0)</f>
        <v>6129902208.7912121</v>
      </c>
      <c r="AK664" s="246">
        <f>IFERROR(VLOOKUP(I664,PROGRAMAS[],3,FALSE),0)</f>
        <v>7011279577.519702</v>
      </c>
      <c r="AL664" s="246">
        <f>IFERROR(VLOOKUP(J664,PROGRAMAS[],3,FALSE),0)</f>
        <v>31865326.38096505</v>
      </c>
      <c r="AM664" s="246">
        <f>IFERROR(VLOOKUP(K664,PROGRAMAS[],3,FALSE),0)</f>
        <v>948595847.09039903</v>
      </c>
      <c r="AN664" s="246">
        <f>IFERROR(VLOOKUP(L664,PROGRAMAS[],3,FALSE),0)</f>
        <v>0</v>
      </c>
      <c r="AO664" s="246">
        <f>IFERROR(VLOOKUP(M664,PROGRAMAS[],3,FALSE),0)</f>
        <v>0</v>
      </c>
      <c r="AP664" s="246">
        <f>IFERROR(VLOOKUP(N664,PROGRAMAS[],3,FALSE),0)</f>
        <v>0</v>
      </c>
      <c r="AQ664" s="246">
        <f>IFERROR(VLOOKUP(O664,PROGRAMAS[],3,FALSE),0)</f>
        <v>0</v>
      </c>
      <c r="AR664" s="246">
        <f>IFERROR(VLOOKUP(P664,PROGRAMAS[],3,FALSE),0)</f>
        <v>0</v>
      </c>
      <c r="AS664" s="246">
        <f>IFERROR(VLOOKUP(Q664,PROGRAMAS[],3,FALSE),0)</f>
        <v>0</v>
      </c>
      <c r="AT664" s="246">
        <f>IFERROR(VLOOKUP(D664,VOL_REC[],2,FALSE),0)</f>
        <v>0</v>
      </c>
      <c r="AU664" s="246">
        <f>IFERROR(VLOOKUP(E664,VOL_REC[],2,FALSE),0)</f>
        <v>0</v>
      </c>
      <c r="AV664" s="246">
        <f>IFERROR(VLOOKUP(F664,VOL_REC[],2,FALSE),0)</f>
        <v>11089674.200000001</v>
      </c>
      <c r="AW664" s="246">
        <f>IFERROR(VLOOKUP(G664,VOL_REC[],2,FALSE),0)</f>
        <v>90439.55</v>
      </c>
      <c r="AX664" s="246">
        <f>IFERROR(VLOOKUP(H664,VOL_REC[],2,FALSE),0)</f>
        <v>15540036.397699751</v>
      </c>
      <c r="AY664" s="246">
        <f>IFERROR(VLOOKUP(I664,VOL_REC[],2,FALSE),0)</f>
        <v>3761786</v>
      </c>
      <c r="AZ664" s="246">
        <f>IFERROR(VLOOKUP(J664,VOL_REC[],2,FALSE),0)</f>
        <v>17074.045034105649</v>
      </c>
      <c r="BA664" s="246">
        <f>IFERROR(VLOOKUP(K664,VOL_REC[],2,FALSE),0)</f>
        <v>740113.98115702497</v>
      </c>
      <c r="BB664" s="246">
        <f>IFERROR(VLOOKUP(L664,VOL_REC[],2,FALSE),0)</f>
        <v>0</v>
      </c>
      <c r="BC664" s="246">
        <f>IFERROR(VLOOKUP(M664,VOL_REC[],2,FALSE),0)</f>
        <v>0</v>
      </c>
      <c r="BD664" s="246">
        <f>IFERROR(VLOOKUP(N664,VOL_REC[],2,FALSE),0)</f>
        <v>0</v>
      </c>
      <c r="BE664" s="246">
        <f>IFERROR(VLOOKUP(O664,VOL_REC[],2,FALSE),0)</f>
        <v>0</v>
      </c>
      <c r="BF664" s="246">
        <f>IFERROR(VLOOKUP(P664,VOL_REC[],2,FALSE),0)</f>
        <v>0</v>
      </c>
      <c r="BG664" s="246">
        <f>IFERROR(VLOOKUP(Q664,VOL_REC[],2,FALSE),0)</f>
        <v>0</v>
      </c>
      <c r="BH664" s="1710">
        <f t="shared" si="40"/>
        <v>18850795978.720573</v>
      </c>
      <c r="BI664" s="1710">
        <f t="shared" si="41"/>
        <v>22332731090.60033</v>
      </c>
      <c r="BJ664" s="1711">
        <f t="shared" si="42"/>
        <v>31239124.173890881</v>
      </c>
      <c r="BK664" s="1711">
        <f t="shared" si="43"/>
        <v>0.84408825334644022</v>
      </c>
    </row>
    <row r="665" spans="3:67" x14ac:dyDescent="0.25">
      <c r="C665" s="246" t="s">
        <v>2015</v>
      </c>
      <c r="D665" s="246">
        <v>1</v>
      </c>
      <c r="E665" s="246">
        <v>2</v>
      </c>
      <c r="F665" s="246">
        <v>3</v>
      </c>
      <c r="G665" s="246">
        <v>4</v>
      </c>
      <c r="H665" s="246">
        <v>6</v>
      </c>
      <c r="I665" s="246">
        <v>9</v>
      </c>
      <c r="J665" s="246">
        <v>15</v>
      </c>
      <c r="K665" s="246">
        <v>16</v>
      </c>
      <c r="L665" s="246"/>
      <c r="M665" s="246"/>
      <c r="N665" s="246"/>
      <c r="O665" s="246"/>
      <c r="P665" s="246"/>
      <c r="Q665" s="246"/>
      <c r="R665" s="246">
        <f>IFERROR(VLOOKUP(D665,PROGRAMAS[],2,FALSE),0)</f>
        <v>97037803.679377079</v>
      </c>
      <c r="S665" s="246">
        <f>IFERROR(VLOOKUP(E665,PROGRAMAS[],2,FALSE),0)</f>
        <v>640501509.6821388</v>
      </c>
      <c r="T665" s="246">
        <f>IFERROR(VLOOKUP(F665,PROGRAMAS[],2,FALSE),0)</f>
        <v>3062327798.1525245</v>
      </c>
      <c r="U665" s="246">
        <f>IFERROR(VLOOKUP(G665,PROGRAMAS[],2,FALSE),0)</f>
        <v>67697118.033011258</v>
      </c>
      <c r="V665" s="246">
        <f>IFERROR(VLOOKUP(H665,PROGRAMAS[],2,FALSE),0)</f>
        <v>6907648435.8447599</v>
      </c>
      <c r="W665" s="246">
        <f>IFERROR(VLOOKUP(I665,PROGRAMAS[],2,FALSE),0)</f>
        <v>6128579952.1618185</v>
      </c>
      <c r="X665" s="246">
        <f>IFERROR(VLOOKUP(J665,PROGRAMAS[],2,FALSE),0)</f>
        <v>122159672.96346797</v>
      </c>
      <c r="Y665" s="246">
        <f>IFERROR(VLOOKUP(K665,PROGRAMAS[],2,FALSE),0)</f>
        <v>7068496961.0436354</v>
      </c>
      <c r="Z665" s="246">
        <f>IFERROR(VLOOKUP(L665,PROGRAMAS[],2,FALSE),0)</f>
        <v>0</v>
      </c>
      <c r="AA665" s="246">
        <f>IFERROR(VLOOKUP(M665,PROGRAMAS[],2,FALSE),0)</f>
        <v>0</v>
      </c>
      <c r="AB665" s="246">
        <f>IFERROR(VLOOKUP(N665,PROGRAMAS[],2,FALSE),0)</f>
        <v>0</v>
      </c>
      <c r="AC665" s="246">
        <f>IFERROR(VLOOKUP(O665,PROGRAMAS[],2,FALSE),0)</f>
        <v>0</v>
      </c>
      <c r="AD665" s="246">
        <f>IFERROR(VLOOKUP(P665,PROGRAMAS[],2,FALSE),0)</f>
        <v>0</v>
      </c>
      <c r="AE665" s="246">
        <f>IFERROR(VLOOKUP(Q665,PROGRAMAS[],2,FALSE),0)</f>
        <v>0</v>
      </c>
      <c r="AF665" s="246">
        <f>IFERROR(VLOOKUP(D665,PROGRAMAS[],3,FALSE),0)</f>
        <v>841888629.31080008</v>
      </c>
      <c r="AG665" s="246">
        <f>IFERROR(VLOOKUP(E665,PROGRAMAS[],3,FALSE),0)</f>
        <v>3848980803.1642323</v>
      </c>
      <c r="AH665" s="246">
        <f>IFERROR(VLOOKUP(F665,PROGRAMAS[],3,FALSE),0)</f>
        <v>3394901471.387517</v>
      </c>
      <c r="AI665" s="246">
        <f>IFERROR(VLOOKUP(G665,PROGRAMAS[],3,FALSE),0)</f>
        <v>125317226.95549992</v>
      </c>
      <c r="AJ665" s="246">
        <f>IFERROR(VLOOKUP(H665,PROGRAMAS[],3,FALSE),0)</f>
        <v>6129902208.7912121</v>
      </c>
      <c r="AK665" s="246">
        <f>IFERROR(VLOOKUP(I665,PROGRAMAS[],3,FALSE),0)</f>
        <v>7011279577.519702</v>
      </c>
      <c r="AL665" s="246">
        <f>IFERROR(VLOOKUP(J665,PROGRAMAS[],3,FALSE),0)</f>
        <v>118617452.52510804</v>
      </c>
      <c r="AM665" s="246">
        <f>IFERROR(VLOOKUP(K665,PROGRAMAS[],3,FALSE),0)</f>
        <v>2406564599.0319901</v>
      </c>
      <c r="AN665" s="246">
        <f>IFERROR(VLOOKUP(L665,PROGRAMAS[],3,FALSE),0)</f>
        <v>0</v>
      </c>
      <c r="AO665" s="246">
        <f>IFERROR(VLOOKUP(M665,PROGRAMAS[],3,FALSE),0)</f>
        <v>0</v>
      </c>
      <c r="AP665" s="246">
        <f>IFERROR(VLOOKUP(N665,PROGRAMAS[],3,FALSE),0)</f>
        <v>0</v>
      </c>
      <c r="AQ665" s="246">
        <f>IFERROR(VLOOKUP(O665,PROGRAMAS[],3,FALSE),0)</f>
        <v>0</v>
      </c>
      <c r="AR665" s="246">
        <f>IFERROR(VLOOKUP(P665,PROGRAMAS[],3,FALSE),0)</f>
        <v>0</v>
      </c>
      <c r="AS665" s="246">
        <f>IFERROR(VLOOKUP(Q665,PROGRAMAS[],3,FALSE),0)</f>
        <v>0</v>
      </c>
      <c r="AT665" s="246">
        <f>IFERROR(VLOOKUP(D665,VOL_REC[],2,FALSE),0)</f>
        <v>0</v>
      </c>
      <c r="AU665" s="246">
        <f>IFERROR(VLOOKUP(E665,VOL_REC[],2,FALSE),0)</f>
        <v>0</v>
      </c>
      <c r="AV665" s="246">
        <f>IFERROR(VLOOKUP(F665,VOL_REC[],2,FALSE),0)</f>
        <v>11089674.200000001</v>
      </c>
      <c r="AW665" s="246">
        <f>IFERROR(VLOOKUP(G665,VOL_REC[],2,FALSE),0)</f>
        <v>90439.55</v>
      </c>
      <c r="AX665" s="246">
        <f>IFERROR(VLOOKUP(H665,VOL_REC[],2,FALSE),0)</f>
        <v>15540036.397699751</v>
      </c>
      <c r="AY665" s="246">
        <f>IFERROR(VLOOKUP(I665,VOL_REC[],2,FALSE),0)</f>
        <v>3761786</v>
      </c>
      <c r="AZ665" s="246">
        <f>IFERROR(VLOOKUP(J665,VOL_REC[],2,FALSE),0)</f>
        <v>105072</v>
      </c>
      <c r="BA665" s="246">
        <f>IFERROR(VLOOKUP(K665,VOL_REC[],2,FALSE),0)</f>
        <v>1072354.9981737854</v>
      </c>
      <c r="BB665" s="246">
        <f>IFERROR(VLOOKUP(L665,VOL_REC[],2,FALSE),0)</f>
        <v>0</v>
      </c>
      <c r="BC665" s="246">
        <f>IFERROR(VLOOKUP(M665,VOL_REC[],2,FALSE),0)</f>
        <v>0</v>
      </c>
      <c r="BD665" s="246">
        <f>IFERROR(VLOOKUP(N665,VOL_REC[],2,FALSE),0)</f>
        <v>0</v>
      </c>
      <c r="BE665" s="246">
        <f>IFERROR(VLOOKUP(O665,VOL_REC[],2,FALSE),0)</f>
        <v>0</v>
      </c>
      <c r="BF665" s="246">
        <f>IFERROR(VLOOKUP(P665,VOL_REC[],2,FALSE),0)</f>
        <v>0</v>
      </c>
      <c r="BG665" s="246">
        <f>IFERROR(VLOOKUP(Q665,VOL_REC[],2,FALSE),0)</f>
        <v>0</v>
      </c>
      <c r="BH665" s="1710">
        <f t="shared" si="40"/>
        <v>24094449251.560734</v>
      </c>
      <c r="BI665" s="1710">
        <f t="shared" si="41"/>
        <v>23877451968.686062</v>
      </c>
      <c r="BJ665" s="1711">
        <f t="shared" si="42"/>
        <v>31659363.145873535</v>
      </c>
      <c r="BK665" s="1711">
        <f t="shared" si="43"/>
        <v>1.0090879580936547</v>
      </c>
      <c r="BL665">
        <f>BJ665</f>
        <v>31659363.145873535</v>
      </c>
      <c r="BO665">
        <f>BL665</f>
        <v>31659363.145873535</v>
      </c>
    </row>
    <row r="666" spans="3:67" x14ac:dyDescent="0.25">
      <c r="C666" s="246" t="s">
        <v>2016</v>
      </c>
      <c r="D666" s="246">
        <v>1</v>
      </c>
      <c r="E666" s="246">
        <v>2</v>
      </c>
      <c r="F666" s="246">
        <v>3</v>
      </c>
      <c r="G666" s="246">
        <v>4</v>
      </c>
      <c r="H666" s="246">
        <v>6</v>
      </c>
      <c r="I666" s="246">
        <v>9</v>
      </c>
      <c r="J666" s="246">
        <v>15</v>
      </c>
      <c r="K666" s="246">
        <v>17</v>
      </c>
      <c r="L666" s="246"/>
      <c r="M666" s="246"/>
      <c r="N666" s="246"/>
      <c r="O666" s="246"/>
      <c r="P666" s="246"/>
      <c r="Q666" s="246"/>
      <c r="R666" s="246">
        <f>IFERROR(VLOOKUP(D666,PROGRAMAS[],2,FALSE),0)</f>
        <v>97037803.679377079</v>
      </c>
      <c r="S666" s="246">
        <f>IFERROR(VLOOKUP(E666,PROGRAMAS[],2,FALSE),0)</f>
        <v>640501509.6821388</v>
      </c>
      <c r="T666" s="246">
        <f>IFERROR(VLOOKUP(F666,PROGRAMAS[],2,FALSE),0)</f>
        <v>3062327798.1525245</v>
      </c>
      <c r="U666" s="246">
        <f>IFERROR(VLOOKUP(G666,PROGRAMAS[],2,FALSE),0)</f>
        <v>67697118.033011258</v>
      </c>
      <c r="V666" s="246">
        <f>IFERROR(VLOOKUP(H666,PROGRAMAS[],2,FALSE),0)</f>
        <v>6907648435.8447599</v>
      </c>
      <c r="W666" s="246">
        <f>IFERROR(VLOOKUP(I666,PROGRAMAS[],2,FALSE),0)</f>
        <v>6128579952.1618185</v>
      </c>
      <c r="X666" s="246">
        <f>IFERROR(VLOOKUP(J666,PROGRAMAS[],2,FALSE),0)</f>
        <v>122159672.96346797</v>
      </c>
      <c r="Y666" s="246">
        <f>IFERROR(VLOOKUP(K666,PROGRAMAS[],2,FALSE),0)</f>
        <v>1892779498.5211046</v>
      </c>
      <c r="Z666" s="246">
        <f>IFERROR(VLOOKUP(L666,PROGRAMAS[],2,FALSE),0)</f>
        <v>0</v>
      </c>
      <c r="AA666" s="246">
        <f>IFERROR(VLOOKUP(M666,PROGRAMAS[],2,FALSE),0)</f>
        <v>0</v>
      </c>
      <c r="AB666" s="246">
        <f>IFERROR(VLOOKUP(N666,PROGRAMAS[],2,FALSE),0)</f>
        <v>0</v>
      </c>
      <c r="AC666" s="246">
        <f>IFERROR(VLOOKUP(O666,PROGRAMAS[],2,FALSE),0)</f>
        <v>0</v>
      </c>
      <c r="AD666" s="246">
        <f>IFERROR(VLOOKUP(P666,PROGRAMAS[],2,FALSE),0)</f>
        <v>0</v>
      </c>
      <c r="AE666" s="246">
        <f>IFERROR(VLOOKUP(Q666,PROGRAMAS[],2,FALSE),0)</f>
        <v>0</v>
      </c>
      <c r="AF666" s="246">
        <f>IFERROR(VLOOKUP(D666,PROGRAMAS[],3,FALSE),0)</f>
        <v>841888629.31080008</v>
      </c>
      <c r="AG666" s="246">
        <f>IFERROR(VLOOKUP(E666,PROGRAMAS[],3,FALSE),0)</f>
        <v>3848980803.1642323</v>
      </c>
      <c r="AH666" s="246">
        <f>IFERROR(VLOOKUP(F666,PROGRAMAS[],3,FALSE),0)</f>
        <v>3394901471.387517</v>
      </c>
      <c r="AI666" s="246">
        <f>IFERROR(VLOOKUP(G666,PROGRAMAS[],3,FALSE),0)</f>
        <v>125317226.95549992</v>
      </c>
      <c r="AJ666" s="246">
        <f>IFERROR(VLOOKUP(H666,PROGRAMAS[],3,FALSE),0)</f>
        <v>6129902208.7912121</v>
      </c>
      <c r="AK666" s="246">
        <f>IFERROR(VLOOKUP(I666,PROGRAMAS[],3,FALSE),0)</f>
        <v>7011279577.519702</v>
      </c>
      <c r="AL666" s="246">
        <f>IFERROR(VLOOKUP(J666,PROGRAMAS[],3,FALSE),0)</f>
        <v>118617452.52510804</v>
      </c>
      <c r="AM666" s="246">
        <f>IFERROR(VLOOKUP(K666,PROGRAMAS[],3,FALSE),0)</f>
        <v>948595847.09039903</v>
      </c>
      <c r="AN666" s="246">
        <f>IFERROR(VLOOKUP(L666,PROGRAMAS[],3,FALSE),0)</f>
        <v>0</v>
      </c>
      <c r="AO666" s="246">
        <f>IFERROR(VLOOKUP(M666,PROGRAMAS[],3,FALSE),0)</f>
        <v>0</v>
      </c>
      <c r="AP666" s="246">
        <f>IFERROR(VLOOKUP(N666,PROGRAMAS[],3,FALSE),0)</f>
        <v>0</v>
      </c>
      <c r="AQ666" s="246">
        <f>IFERROR(VLOOKUP(O666,PROGRAMAS[],3,FALSE),0)</f>
        <v>0</v>
      </c>
      <c r="AR666" s="246">
        <f>IFERROR(VLOOKUP(P666,PROGRAMAS[],3,FALSE),0)</f>
        <v>0</v>
      </c>
      <c r="AS666" s="246">
        <f>IFERROR(VLOOKUP(Q666,PROGRAMAS[],3,FALSE),0)</f>
        <v>0</v>
      </c>
      <c r="AT666" s="246">
        <f>IFERROR(VLOOKUP(D666,VOL_REC[],2,FALSE),0)</f>
        <v>0</v>
      </c>
      <c r="AU666" s="246">
        <f>IFERROR(VLOOKUP(E666,VOL_REC[],2,FALSE),0)</f>
        <v>0</v>
      </c>
      <c r="AV666" s="246">
        <f>IFERROR(VLOOKUP(F666,VOL_REC[],2,FALSE),0)</f>
        <v>11089674.200000001</v>
      </c>
      <c r="AW666" s="246">
        <f>IFERROR(VLOOKUP(G666,VOL_REC[],2,FALSE),0)</f>
        <v>90439.55</v>
      </c>
      <c r="AX666" s="246">
        <f>IFERROR(VLOOKUP(H666,VOL_REC[],2,FALSE),0)</f>
        <v>15540036.397699751</v>
      </c>
      <c r="AY666" s="246">
        <f>IFERROR(VLOOKUP(I666,VOL_REC[],2,FALSE),0)</f>
        <v>3761786</v>
      </c>
      <c r="AZ666" s="246">
        <f>IFERROR(VLOOKUP(J666,VOL_REC[],2,FALSE),0)</f>
        <v>105072</v>
      </c>
      <c r="BA666" s="246">
        <f>IFERROR(VLOOKUP(K666,VOL_REC[],2,FALSE),0)</f>
        <v>740113.98115702497</v>
      </c>
      <c r="BB666" s="246">
        <f>IFERROR(VLOOKUP(L666,VOL_REC[],2,FALSE),0)</f>
        <v>0</v>
      </c>
      <c r="BC666" s="246">
        <f>IFERROR(VLOOKUP(M666,VOL_REC[],2,FALSE),0)</f>
        <v>0</v>
      </c>
      <c r="BD666" s="246">
        <f>IFERROR(VLOOKUP(N666,VOL_REC[],2,FALSE),0)</f>
        <v>0</v>
      </c>
      <c r="BE666" s="246">
        <f>IFERROR(VLOOKUP(O666,VOL_REC[],2,FALSE),0)</f>
        <v>0</v>
      </c>
      <c r="BF666" s="246">
        <f>IFERROR(VLOOKUP(P666,VOL_REC[],2,FALSE),0)</f>
        <v>0</v>
      </c>
      <c r="BG666" s="246">
        <f>IFERROR(VLOOKUP(Q666,VOL_REC[],2,FALSE),0)</f>
        <v>0</v>
      </c>
      <c r="BH666" s="1710">
        <f t="shared" si="40"/>
        <v>18918731789.038204</v>
      </c>
      <c r="BI666" s="1710">
        <f t="shared" si="41"/>
        <v>22419483216.744473</v>
      </c>
      <c r="BJ666" s="1711">
        <f t="shared" si="42"/>
        <v>31327122.128856774</v>
      </c>
      <c r="BK666" s="1711">
        <f t="shared" si="43"/>
        <v>0.84385226930245849</v>
      </c>
    </row>
    <row r="667" spans="3:67" x14ac:dyDescent="0.25">
      <c r="C667" s="246" t="s">
        <v>2017</v>
      </c>
      <c r="D667" s="246">
        <v>1</v>
      </c>
      <c r="E667" s="246">
        <v>2</v>
      </c>
      <c r="F667" s="246">
        <v>3</v>
      </c>
      <c r="G667" s="246">
        <v>4</v>
      </c>
      <c r="H667" s="246">
        <v>6</v>
      </c>
      <c r="I667" s="246">
        <v>9</v>
      </c>
      <c r="J667" s="246">
        <v>16</v>
      </c>
      <c r="K667" s="246">
        <v>17</v>
      </c>
      <c r="L667" s="246"/>
      <c r="M667" s="246"/>
      <c r="N667" s="246"/>
      <c r="O667" s="246"/>
      <c r="P667" s="246"/>
      <c r="Q667" s="246"/>
      <c r="R667" s="246">
        <f>IFERROR(VLOOKUP(D667,PROGRAMAS[],2,FALSE),0)</f>
        <v>97037803.679377079</v>
      </c>
      <c r="S667" s="246">
        <f>IFERROR(VLOOKUP(E667,PROGRAMAS[],2,FALSE),0)</f>
        <v>640501509.6821388</v>
      </c>
      <c r="T667" s="246">
        <f>IFERROR(VLOOKUP(F667,PROGRAMAS[],2,FALSE),0)</f>
        <v>3062327798.1525245</v>
      </c>
      <c r="U667" s="246">
        <f>IFERROR(VLOOKUP(G667,PROGRAMAS[],2,FALSE),0)</f>
        <v>67697118.033011258</v>
      </c>
      <c r="V667" s="246">
        <f>IFERROR(VLOOKUP(H667,PROGRAMAS[],2,FALSE),0)</f>
        <v>6907648435.8447599</v>
      </c>
      <c r="W667" s="246">
        <f>IFERROR(VLOOKUP(I667,PROGRAMAS[],2,FALSE),0)</f>
        <v>6128579952.1618185</v>
      </c>
      <c r="X667" s="246">
        <f>IFERROR(VLOOKUP(J667,PROGRAMAS[],2,FALSE),0)</f>
        <v>7068496961.0436354</v>
      </c>
      <c r="Y667" s="246">
        <f>IFERROR(VLOOKUP(K667,PROGRAMAS[],2,FALSE),0)</f>
        <v>1892779498.5211046</v>
      </c>
      <c r="Z667" s="246">
        <f>IFERROR(VLOOKUP(L667,PROGRAMAS[],2,FALSE),0)</f>
        <v>0</v>
      </c>
      <c r="AA667" s="246">
        <f>IFERROR(VLOOKUP(M667,PROGRAMAS[],2,FALSE),0)</f>
        <v>0</v>
      </c>
      <c r="AB667" s="246">
        <f>IFERROR(VLOOKUP(N667,PROGRAMAS[],2,FALSE),0)</f>
        <v>0</v>
      </c>
      <c r="AC667" s="246">
        <f>IFERROR(VLOOKUP(O667,PROGRAMAS[],2,FALSE),0)</f>
        <v>0</v>
      </c>
      <c r="AD667" s="246">
        <f>IFERROR(VLOOKUP(P667,PROGRAMAS[],2,FALSE),0)</f>
        <v>0</v>
      </c>
      <c r="AE667" s="246">
        <f>IFERROR(VLOOKUP(Q667,PROGRAMAS[],2,FALSE),0)</f>
        <v>0</v>
      </c>
      <c r="AF667" s="246">
        <f>IFERROR(VLOOKUP(D667,PROGRAMAS[],3,FALSE),0)</f>
        <v>841888629.31080008</v>
      </c>
      <c r="AG667" s="246">
        <f>IFERROR(VLOOKUP(E667,PROGRAMAS[],3,FALSE),0)</f>
        <v>3848980803.1642323</v>
      </c>
      <c r="AH667" s="246">
        <f>IFERROR(VLOOKUP(F667,PROGRAMAS[],3,FALSE),0)</f>
        <v>3394901471.387517</v>
      </c>
      <c r="AI667" s="246">
        <f>IFERROR(VLOOKUP(G667,PROGRAMAS[],3,FALSE),0)</f>
        <v>125317226.95549992</v>
      </c>
      <c r="AJ667" s="246">
        <f>IFERROR(VLOOKUP(H667,PROGRAMAS[],3,FALSE),0)</f>
        <v>6129902208.7912121</v>
      </c>
      <c r="AK667" s="246">
        <f>IFERROR(VLOOKUP(I667,PROGRAMAS[],3,FALSE),0)</f>
        <v>7011279577.519702</v>
      </c>
      <c r="AL667" s="246">
        <f>IFERROR(VLOOKUP(J667,PROGRAMAS[],3,FALSE),0)</f>
        <v>2406564599.0319901</v>
      </c>
      <c r="AM667" s="246">
        <f>IFERROR(VLOOKUP(K667,PROGRAMAS[],3,FALSE),0)</f>
        <v>948595847.09039903</v>
      </c>
      <c r="AN667" s="246">
        <f>IFERROR(VLOOKUP(L667,PROGRAMAS[],3,FALSE),0)</f>
        <v>0</v>
      </c>
      <c r="AO667" s="246">
        <f>IFERROR(VLOOKUP(M667,PROGRAMAS[],3,FALSE),0)</f>
        <v>0</v>
      </c>
      <c r="AP667" s="246">
        <f>IFERROR(VLOOKUP(N667,PROGRAMAS[],3,FALSE),0)</f>
        <v>0</v>
      </c>
      <c r="AQ667" s="246">
        <f>IFERROR(VLOOKUP(O667,PROGRAMAS[],3,FALSE),0)</f>
        <v>0</v>
      </c>
      <c r="AR667" s="246">
        <f>IFERROR(VLOOKUP(P667,PROGRAMAS[],3,FALSE),0)</f>
        <v>0</v>
      </c>
      <c r="AS667" s="246">
        <f>IFERROR(VLOOKUP(Q667,PROGRAMAS[],3,FALSE),0)</f>
        <v>0</v>
      </c>
      <c r="AT667" s="246">
        <f>IFERROR(VLOOKUP(D667,VOL_REC[],2,FALSE),0)</f>
        <v>0</v>
      </c>
      <c r="AU667" s="246">
        <f>IFERROR(VLOOKUP(E667,VOL_REC[],2,FALSE),0)</f>
        <v>0</v>
      </c>
      <c r="AV667" s="246">
        <f>IFERROR(VLOOKUP(F667,VOL_REC[],2,FALSE),0)</f>
        <v>11089674.200000001</v>
      </c>
      <c r="AW667" s="246">
        <f>IFERROR(VLOOKUP(G667,VOL_REC[],2,FALSE),0)</f>
        <v>90439.55</v>
      </c>
      <c r="AX667" s="246">
        <f>IFERROR(VLOOKUP(H667,VOL_REC[],2,FALSE),0)</f>
        <v>15540036.397699751</v>
      </c>
      <c r="AY667" s="246">
        <f>IFERROR(VLOOKUP(I667,VOL_REC[],2,FALSE),0)</f>
        <v>3761786</v>
      </c>
      <c r="AZ667" s="246">
        <f>IFERROR(VLOOKUP(J667,VOL_REC[],2,FALSE),0)</f>
        <v>1072354.9981737854</v>
      </c>
      <c r="BA667" s="246">
        <f>IFERROR(VLOOKUP(K667,VOL_REC[],2,FALSE),0)</f>
        <v>740113.98115702497</v>
      </c>
      <c r="BB667" s="246">
        <f>IFERROR(VLOOKUP(L667,VOL_REC[],2,FALSE),0)</f>
        <v>0</v>
      </c>
      <c r="BC667" s="246">
        <f>IFERROR(VLOOKUP(M667,VOL_REC[],2,FALSE),0)</f>
        <v>0</v>
      </c>
      <c r="BD667" s="246">
        <f>IFERROR(VLOOKUP(N667,VOL_REC[],2,FALSE),0)</f>
        <v>0</v>
      </c>
      <c r="BE667" s="246">
        <f>IFERROR(VLOOKUP(O667,VOL_REC[],2,FALSE),0)</f>
        <v>0</v>
      </c>
      <c r="BF667" s="246">
        <f>IFERROR(VLOOKUP(P667,VOL_REC[],2,FALSE),0)</f>
        <v>0</v>
      </c>
      <c r="BG667" s="246">
        <f>IFERROR(VLOOKUP(Q667,VOL_REC[],2,FALSE),0)</f>
        <v>0</v>
      </c>
      <c r="BH667" s="1710">
        <f t="shared" si="40"/>
        <v>25865069077.11837</v>
      </c>
      <c r="BI667" s="1710">
        <f t="shared" si="41"/>
        <v>24707430363.251354</v>
      </c>
      <c r="BJ667" s="1711">
        <f t="shared" si="42"/>
        <v>32294405.127030559</v>
      </c>
      <c r="BK667" s="1711">
        <f t="shared" si="43"/>
        <v>1.0468538693359561</v>
      </c>
      <c r="BL667">
        <f>BJ667</f>
        <v>32294405.127030559</v>
      </c>
      <c r="BO667">
        <f>BL667</f>
        <v>32294405.127030559</v>
      </c>
    </row>
    <row r="668" spans="3:67" x14ac:dyDescent="0.25">
      <c r="C668" s="246" t="s">
        <v>2018</v>
      </c>
      <c r="D668" s="246">
        <v>1</v>
      </c>
      <c r="E668" s="246">
        <v>2</v>
      </c>
      <c r="F668" s="246">
        <v>3</v>
      </c>
      <c r="G668" s="246">
        <v>4</v>
      </c>
      <c r="H668" s="246">
        <v>6</v>
      </c>
      <c r="I668" s="246">
        <v>10</v>
      </c>
      <c r="J668" s="246">
        <v>12</v>
      </c>
      <c r="K668" s="246">
        <v>13</v>
      </c>
      <c r="L668" s="246"/>
      <c r="M668" s="246"/>
      <c r="N668" s="246"/>
      <c r="O668" s="246"/>
      <c r="P668" s="246"/>
      <c r="Q668" s="246"/>
      <c r="R668" s="246">
        <f>IFERROR(VLOOKUP(D668,PROGRAMAS[],2,FALSE),0)</f>
        <v>97037803.679377079</v>
      </c>
      <c r="S668" s="246">
        <f>IFERROR(VLOOKUP(E668,PROGRAMAS[],2,FALSE),0)</f>
        <v>640501509.6821388</v>
      </c>
      <c r="T668" s="246">
        <f>IFERROR(VLOOKUP(F668,PROGRAMAS[],2,FALSE),0)</f>
        <v>3062327798.1525245</v>
      </c>
      <c r="U668" s="246">
        <f>IFERROR(VLOOKUP(G668,PROGRAMAS[],2,FALSE),0)</f>
        <v>67697118.033011258</v>
      </c>
      <c r="V668" s="246">
        <f>IFERROR(VLOOKUP(H668,PROGRAMAS[],2,FALSE),0)</f>
        <v>6907648435.8447599</v>
      </c>
      <c r="W668" s="246">
        <f>IFERROR(VLOOKUP(I668,PROGRAMAS[],2,FALSE),0)</f>
        <v>4635315027.8751087</v>
      </c>
      <c r="X668" s="246">
        <f>IFERROR(VLOOKUP(J668,PROGRAMAS[],2,FALSE),0)</f>
        <v>764796700.79905891</v>
      </c>
      <c r="Y668" s="246">
        <f>IFERROR(VLOOKUP(K668,PROGRAMAS[],2,FALSE),0)</f>
        <v>3776538594.4604583</v>
      </c>
      <c r="Z668" s="246">
        <f>IFERROR(VLOOKUP(L668,PROGRAMAS[],2,FALSE),0)</f>
        <v>0</v>
      </c>
      <c r="AA668" s="246">
        <f>IFERROR(VLOOKUP(M668,PROGRAMAS[],2,FALSE),0)</f>
        <v>0</v>
      </c>
      <c r="AB668" s="246">
        <f>IFERROR(VLOOKUP(N668,PROGRAMAS[],2,FALSE),0)</f>
        <v>0</v>
      </c>
      <c r="AC668" s="246">
        <f>IFERROR(VLOOKUP(O668,PROGRAMAS[],2,FALSE),0)</f>
        <v>0</v>
      </c>
      <c r="AD668" s="246">
        <f>IFERROR(VLOOKUP(P668,PROGRAMAS[],2,FALSE),0)</f>
        <v>0</v>
      </c>
      <c r="AE668" s="246">
        <f>IFERROR(VLOOKUP(Q668,PROGRAMAS[],2,FALSE),0)</f>
        <v>0</v>
      </c>
      <c r="AF668" s="246">
        <f>IFERROR(VLOOKUP(D668,PROGRAMAS[],3,FALSE),0)</f>
        <v>841888629.31080008</v>
      </c>
      <c r="AG668" s="246">
        <f>IFERROR(VLOOKUP(E668,PROGRAMAS[],3,FALSE),0)</f>
        <v>3848980803.1642323</v>
      </c>
      <c r="AH668" s="246">
        <f>IFERROR(VLOOKUP(F668,PROGRAMAS[],3,FALSE),0)</f>
        <v>3394901471.387517</v>
      </c>
      <c r="AI668" s="246">
        <f>IFERROR(VLOOKUP(G668,PROGRAMAS[],3,FALSE),0)</f>
        <v>125317226.95549992</v>
      </c>
      <c r="AJ668" s="246">
        <f>IFERROR(VLOOKUP(H668,PROGRAMAS[],3,FALSE),0)</f>
        <v>6129902208.7912121</v>
      </c>
      <c r="AK668" s="246">
        <f>IFERROR(VLOOKUP(I668,PROGRAMAS[],3,FALSE),0)</f>
        <v>4099471734.9978786</v>
      </c>
      <c r="AL668" s="246">
        <f>IFERROR(VLOOKUP(J668,PROGRAMAS[],3,FALSE),0)</f>
        <v>675517840.109828</v>
      </c>
      <c r="AM668" s="246">
        <f>IFERROR(VLOOKUP(K668,PROGRAMAS[],3,FALSE),0)</f>
        <v>2392571243.5584412</v>
      </c>
      <c r="AN668" s="246">
        <f>IFERROR(VLOOKUP(L668,PROGRAMAS[],3,FALSE),0)</f>
        <v>0</v>
      </c>
      <c r="AO668" s="246">
        <f>IFERROR(VLOOKUP(M668,PROGRAMAS[],3,FALSE),0)</f>
        <v>0</v>
      </c>
      <c r="AP668" s="246">
        <f>IFERROR(VLOOKUP(N668,PROGRAMAS[],3,FALSE),0)</f>
        <v>0</v>
      </c>
      <c r="AQ668" s="246">
        <f>IFERROR(VLOOKUP(O668,PROGRAMAS[],3,FALSE),0)</f>
        <v>0</v>
      </c>
      <c r="AR668" s="246">
        <f>IFERROR(VLOOKUP(P668,PROGRAMAS[],3,FALSE),0)</f>
        <v>0</v>
      </c>
      <c r="AS668" s="246">
        <f>IFERROR(VLOOKUP(Q668,PROGRAMAS[],3,FALSE),0)</f>
        <v>0</v>
      </c>
      <c r="AT668" s="246">
        <f>IFERROR(VLOOKUP(D668,VOL_REC[],2,FALSE),0)</f>
        <v>0</v>
      </c>
      <c r="AU668" s="246">
        <f>IFERROR(VLOOKUP(E668,VOL_REC[],2,FALSE),0)</f>
        <v>0</v>
      </c>
      <c r="AV668" s="246">
        <f>IFERROR(VLOOKUP(F668,VOL_REC[],2,FALSE),0)</f>
        <v>11089674.200000001</v>
      </c>
      <c r="AW668" s="246">
        <f>IFERROR(VLOOKUP(G668,VOL_REC[],2,FALSE),0)</f>
        <v>90439.55</v>
      </c>
      <c r="AX668" s="246">
        <f>IFERROR(VLOOKUP(H668,VOL_REC[],2,FALSE),0)</f>
        <v>15540036.397699751</v>
      </c>
      <c r="AY668" s="246">
        <f>IFERROR(VLOOKUP(I668,VOL_REC[],2,FALSE),0)</f>
        <v>1812240</v>
      </c>
      <c r="AZ668" s="246">
        <f>IFERROR(VLOOKUP(J668,VOL_REC[],2,FALSE),0)</f>
        <v>240696.79238099116</v>
      </c>
      <c r="BA668" s="246">
        <f>IFERROR(VLOOKUP(K668,VOL_REC[],2,FALSE),0)</f>
        <v>663244.80000000016</v>
      </c>
      <c r="BB668" s="246">
        <f>IFERROR(VLOOKUP(L668,VOL_REC[],2,FALSE),0)</f>
        <v>0</v>
      </c>
      <c r="BC668" s="246">
        <f>IFERROR(VLOOKUP(M668,VOL_REC[],2,FALSE),0)</f>
        <v>0</v>
      </c>
      <c r="BD668" s="246">
        <f>IFERROR(VLOOKUP(N668,VOL_REC[],2,FALSE),0)</f>
        <v>0</v>
      </c>
      <c r="BE668" s="246">
        <f>IFERROR(VLOOKUP(O668,VOL_REC[],2,FALSE),0)</f>
        <v>0</v>
      </c>
      <c r="BF668" s="246">
        <f>IFERROR(VLOOKUP(P668,VOL_REC[],2,FALSE),0)</f>
        <v>0</v>
      </c>
      <c r="BG668" s="246">
        <f>IFERROR(VLOOKUP(Q668,VOL_REC[],2,FALSE),0)</f>
        <v>0</v>
      </c>
      <c r="BH668" s="1710">
        <f t="shared" si="40"/>
        <v>19951862988.526436</v>
      </c>
      <c r="BI668" s="1710">
        <f t="shared" si="41"/>
        <v>21508551158.27541</v>
      </c>
      <c r="BJ668" s="1711">
        <f t="shared" si="42"/>
        <v>29436331.740080744</v>
      </c>
      <c r="BK668" s="1711">
        <f t="shared" si="43"/>
        <v>0.92762468479193505</v>
      </c>
    </row>
    <row r="669" spans="3:67" x14ac:dyDescent="0.25">
      <c r="C669" s="246" t="s">
        <v>2019</v>
      </c>
      <c r="D669" s="246">
        <v>1</v>
      </c>
      <c r="E669" s="246">
        <v>2</v>
      </c>
      <c r="F669" s="246">
        <v>3</v>
      </c>
      <c r="G669" s="246">
        <v>4</v>
      </c>
      <c r="H669" s="246">
        <v>6</v>
      </c>
      <c r="I669" s="246">
        <v>10</v>
      </c>
      <c r="J669" s="246">
        <v>12</v>
      </c>
      <c r="K669" s="246">
        <v>14</v>
      </c>
      <c r="L669" s="246"/>
      <c r="M669" s="246"/>
      <c r="N669" s="246"/>
      <c r="O669" s="246"/>
      <c r="P669" s="246"/>
      <c r="Q669" s="246"/>
      <c r="R669" s="246">
        <f>IFERROR(VLOOKUP(D669,PROGRAMAS[],2,FALSE),0)</f>
        <v>97037803.679377079</v>
      </c>
      <c r="S669" s="246">
        <f>IFERROR(VLOOKUP(E669,PROGRAMAS[],2,FALSE),0)</f>
        <v>640501509.6821388</v>
      </c>
      <c r="T669" s="246">
        <f>IFERROR(VLOOKUP(F669,PROGRAMAS[],2,FALSE),0)</f>
        <v>3062327798.1525245</v>
      </c>
      <c r="U669" s="246">
        <f>IFERROR(VLOOKUP(G669,PROGRAMAS[],2,FALSE),0)</f>
        <v>67697118.033011258</v>
      </c>
      <c r="V669" s="246">
        <f>IFERROR(VLOOKUP(H669,PROGRAMAS[],2,FALSE),0)</f>
        <v>6907648435.8447599</v>
      </c>
      <c r="W669" s="246">
        <f>IFERROR(VLOOKUP(I669,PROGRAMAS[],2,FALSE),0)</f>
        <v>4635315027.8751087</v>
      </c>
      <c r="X669" s="246">
        <f>IFERROR(VLOOKUP(J669,PROGRAMAS[],2,FALSE),0)</f>
        <v>764796700.79905891</v>
      </c>
      <c r="Y669" s="246">
        <f>IFERROR(VLOOKUP(K669,PROGRAMAS[],2,FALSE),0)</f>
        <v>54223862.645839565</v>
      </c>
      <c r="Z669" s="246">
        <f>IFERROR(VLOOKUP(L669,PROGRAMAS[],2,FALSE),0)</f>
        <v>0</v>
      </c>
      <c r="AA669" s="246">
        <f>IFERROR(VLOOKUP(M669,PROGRAMAS[],2,FALSE),0)</f>
        <v>0</v>
      </c>
      <c r="AB669" s="246">
        <f>IFERROR(VLOOKUP(N669,PROGRAMAS[],2,FALSE),0)</f>
        <v>0</v>
      </c>
      <c r="AC669" s="246">
        <f>IFERROR(VLOOKUP(O669,PROGRAMAS[],2,FALSE),0)</f>
        <v>0</v>
      </c>
      <c r="AD669" s="246">
        <f>IFERROR(VLOOKUP(P669,PROGRAMAS[],2,FALSE),0)</f>
        <v>0</v>
      </c>
      <c r="AE669" s="246">
        <f>IFERROR(VLOOKUP(Q669,PROGRAMAS[],2,FALSE),0)</f>
        <v>0</v>
      </c>
      <c r="AF669" s="246">
        <f>IFERROR(VLOOKUP(D669,PROGRAMAS[],3,FALSE),0)</f>
        <v>841888629.31080008</v>
      </c>
      <c r="AG669" s="246">
        <f>IFERROR(VLOOKUP(E669,PROGRAMAS[],3,FALSE),0)</f>
        <v>3848980803.1642323</v>
      </c>
      <c r="AH669" s="246">
        <f>IFERROR(VLOOKUP(F669,PROGRAMAS[],3,FALSE),0)</f>
        <v>3394901471.387517</v>
      </c>
      <c r="AI669" s="246">
        <f>IFERROR(VLOOKUP(G669,PROGRAMAS[],3,FALSE),0)</f>
        <v>125317226.95549992</v>
      </c>
      <c r="AJ669" s="246">
        <f>IFERROR(VLOOKUP(H669,PROGRAMAS[],3,FALSE),0)</f>
        <v>6129902208.7912121</v>
      </c>
      <c r="AK669" s="246">
        <f>IFERROR(VLOOKUP(I669,PROGRAMAS[],3,FALSE),0)</f>
        <v>4099471734.9978786</v>
      </c>
      <c r="AL669" s="246">
        <f>IFERROR(VLOOKUP(J669,PROGRAMAS[],3,FALSE),0)</f>
        <v>675517840.109828</v>
      </c>
      <c r="AM669" s="246">
        <f>IFERROR(VLOOKUP(K669,PROGRAMAS[],3,FALSE),0)</f>
        <v>31865326.38096505</v>
      </c>
      <c r="AN669" s="246">
        <f>IFERROR(VLOOKUP(L669,PROGRAMAS[],3,FALSE),0)</f>
        <v>0</v>
      </c>
      <c r="AO669" s="246">
        <f>IFERROR(VLOOKUP(M669,PROGRAMAS[],3,FALSE),0)</f>
        <v>0</v>
      </c>
      <c r="AP669" s="246">
        <f>IFERROR(VLOOKUP(N669,PROGRAMAS[],3,FALSE),0)</f>
        <v>0</v>
      </c>
      <c r="AQ669" s="246">
        <f>IFERROR(VLOOKUP(O669,PROGRAMAS[],3,FALSE),0)</f>
        <v>0</v>
      </c>
      <c r="AR669" s="246">
        <f>IFERROR(VLOOKUP(P669,PROGRAMAS[],3,FALSE),0)</f>
        <v>0</v>
      </c>
      <c r="AS669" s="246">
        <f>IFERROR(VLOOKUP(Q669,PROGRAMAS[],3,FALSE),0)</f>
        <v>0</v>
      </c>
      <c r="AT669" s="246">
        <f>IFERROR(VLOOKUP(D669,VOL_REC[],2,FALSE),0)</f>
        <v>0</v>
      </c>
      <c r="AU669" s="246">
        <f>IFERROR(VLOOKUP(E669,VOL_REC[],2,FALSE),0)</f>
        <v>0</v>
      </c>
      <c r="AV669" s="246">
        <f>IFERROR(VLOOKUP(F669,VOL_REC[],2,FALSE),0)</f>
        <v>11089674.200000001</v>
      </c>
      <c r="AW669" s="246">
        <f>IFERROR(VLOOKUP(G669,VOL_REC[],2,FALSE),0)</f>
        <v>90439.55</v>
      </c>
      <c r="AX669" s="246">
        <f>IFERROR(VLOOKUP(H669,VOL_REC[],2,FALSE),0)</f>
        <v>15540036.397699751</v>
      </c>
      <c r="AY669" s="246">
        <f>IFERROR(VLOOKUP(I669,VOL_REC[],2,FALSE),0)</f>
        <v>1812240</v>
      </c>
      <c r="AZ669" s="246">
        <f>IFERROR(VLOOKUP(J669,VOL_REC[],2,FALSE),0)</f>
        <v>240696.79238099116</v>
      </c>
      <c r="BA669" s="246">
        <f>IFERROR(VLOOKUP(K669,VOL_REC[],2,FALSE),0)</f>
        <v>17074.045034105649</v>
      </c>
      <c r="BB669" s="246">
        <f>IFERROR(VLOOKUP(L669,VOL_REC[],2,FALSE),0)</f>
        <v>0</v>
      </c>
      <c r="BC669" s="246">
        <f>IFERROR(VLOOKUP(M669,VOL_REC[],2,FALSE),0)</f>
        <v>0</v>
      </c>
      <c r="BD669" s="246">
        <f>IFERROR(VLOOKUP(N669,VOL_REC[],2,FALSE),0)</f>
        <v>0</v>
      </c>
      <c r="BE669" s="246">
        <f>IFERROR(VLOOKUP(O669,VOL_REC[],2,FALSE),0)</f>
        <v>0</v>
      </c>
      <c r="BF669" s="246">
        <f>IFERROR(VLOOKUP(P669,VOL_REC[],2,FALSE),0)</f>
        <v>0</v>
      </c>
      <c r="BG669" s="246">
        <f>IFERROR(VLOOKUP(Q669,VOL_REC[],2,FALSE),0)</f>
        <v>0</v>
      </c>
      <c r="BH669" s="1710">
        <f t="shared" si="40"/>
        <v>16229548256.711819</v>
      </c>
      <c r="BI669" s="1710">
        <f t="shared" si="41"/>
        <v>19147845241.097935</v>
      </c>
      <c r="BJ669" s="1711">
        <f t="shared" si="42"/>
        <v>28790160.98511485</v>
      </c>
      <c r="BK669" s="1711">
        <f t="shared" si="43"/>
        <v>0.84759136353773967</v>
      </c>
    </row>
    <row r="670" spans="3:67" x14ac:dyDescent="0.25">
      <c r="C670" s="246" t="s">
        <v>2020</v>
      </c>
      <c r="D670" s="246">
        <v>1</v>
      </c>
      <c r="E670" s="246">
        <v>2</v>
      </c>
      <c r="F670" s="246">
        <v>3</v>
      </c>
      <c r="G670" s="246">
        <v>4</v>
      </c>
      <c r="H670" s="246">
        <v>6</v>
      </c>
      <c r="I670" s="246">
        <v>10</v>
      </c>
      <c r="J670" s="246">
        <v>12</v>
      </c>
      <c r="K670" s="246">
        <v>15</v>
      </c>
      <c r="L670" s="246"/>
      <c r="M670" s="246"/>
      <c r="N670" s="246"/>
      <c r="O670" s="246"/>
      <c r="P670" s="246"/>
      <c r="Q670" s="246"/>
      <c r="R670" s="246">
        <f>IFERROR(VLOOKUP(D670,PROGRAMAS[],2,FALSE),0)</f>
        <v>97037803.679377079</v>
      </c>
      <c r="S670" s="246">
        <f>IFERROR(VLOOKUP(E670,PROGRAMAS[],2,FALSE),0)</f>
        <v>640501509.6821388</v>
      </c>
      <c r="T670" s="246">
        <f>IFERROR(VLOOKUP(F670,PROGRAMAS[],2,FALSE),0)</f>
        <v>3062327798.1525245</v>
      </c>
      <c r="U670" s="246">
        <f>IFERROR(VLOOKUP(G670,PROGRAMAS[],2,FALSE),0)</f>
        <v>67697118.033011258</v>
      </c>
      <c r="V670" s="246">
        <f>IFERROR(VLOOKUP(H670,PROGRAMAS[],2,FALSE),0)</f>
        <v>6907648435.8447599</v>
      </c>
      <c r="W670" s="246">
        <f>IFERROR(VLOOKUP(I670,PROGRAMAS[],2,FALSE),0)</f>
        <v>4635315027.8751087</v>
      </c>
      <c r="X670" s="246">
        <f>IFERROR(VLOOKUP(J670,PROGRAMAS[],2,FALSE),0)</f>
        <v>764796700.79905891</v>
      </c>
      <c r="Y670" s="246">
        <f>IFERROR(VLOOKUP(K670,PROGRAMAS[],2,FALSE),0)</f>
        <v>122159672.96346797</v>
      </c>
      <c r="Z670" s="246">
        <f>IFERROR(VLOOKUP(L670,PROGRAMAS[],2,FALSE),0)</f>
        <v>0</v>
      </c>
      <c r="AA670" s="246">
        <f>IFERROR(VLOOKUP(M670,PROGRAMAS[],2,FALSE),0)</f>
        <v>0</v>
      </c>
      <c r="AB670" s="246">
        <f>IFERROR(VLOOKUP(N670,PROGRAMAS[],2,FALSE),0)</f>
        <v>0</v>
      </c>
      <c r="AC670" s="246">
        <f>IFERROR(VLOOKUP(O670,PROGRAMAS[],2,FALSE),0)</f>
        <v>0</v>
      </c>
      <c r="AD670" s="246">
        <f>IFERROR(VLOOKUP(P670,PROGRAMAS[],2,FALSE),0)</f>
        <v>0</v>
      </c>
      <c r="AE670" s="246">
        <f>IFERROR(VLOOKUP(Q670,PROGRAMAS[],2,FALSE),0)</f>
        <v>0</v>
      </c>
      <c r="AF670" s="246">
        <f>IFERROR(VLOOKUP(D670,PROGRAMAS[],3,FALSE),0)</f>
        <v>841888629.31080008</v>
      </c>
      <c r="AG670" s="246">
        <f>IFERROR(VLOOKUP(E670,PROGRAMAS[],3,FALSE),0)</f>
        <v>3848980803.1642323</v>
      </c>
      <c r="AH670" s="246">
        <f>IFERROR(VLOOKUP(F670,PROGRAMAS[],3,FALSE),0)</f>
        <v>3394901471.387517</v>
      </c>
      <c r="AI670" s="246">
        <f>IFERROR(VLOOKUP(G670,PROGRAMAS[],3,FALSE),0)</f>
        <v>125317226.95549992</v>
      </c>
      <c r="AJ670" s="246">
        <f>IFERROR(VLOOKUP(H670,PROGRAMAS[],3,FALSE),0)</f>
        <v>6129902208.7912121</v>
      </c>
      <c r="AK670" s="246">
        <f>IFERROR(VLOOKUP(I670,PROGRAMAS[],3,FALSE),0)</f>
        <v>4099471734.9978786</v>
      </c>
      <c r="AL670" s="246">
        <f>IFERROR(VLOOKUP(J670,PROGRAMAS[],3,FALSE),0)</f>
        <v>675517840.109828</v>
      </c>
      <c r="AM670" s="246">
        <f>IFERROR(VLOOKUP(K670,PROGRAMAS[],3,FALSE),0)</f>
        <v>118617452.52510804</v>
      </c>
      <c r="AN670" s="246">
        <f>IFERROR(VLOOKUP(L670,PROGRAMAS[],3,FALSE),0)</f>
        <v>0</v>
      </c>
      <c r="AO670" s="246">
        <f>IFERROR(VLOOKUP(M670,PROGRAMAS[],3,FALSE),0)</f>
        <v>0</v>
      </c>
      <c r="AP670" s="246">
        <f>IFERROR(VLOOKUP(N670,PROGRAMAS[],3,FALSE),0)</f>
        <v>0</v>
      </c>
      <c r="AQ670" s="246">
        <f>IFERROR(VLOOKUP(O670,PROGRAMAS[],3,FALSE),0)</f>
        <v>0</v>
      </c>
      <c r="AR670" s="246">
        <f>IFERROR(VLOOKUP(P670,PROGRAMAS[],3,FALSE),0)</f>
        <v>0</v>
      </c>
      <c r="AS670" s="246">
        <f>IFERROR(VLOOKUP(Q670,PROGRAMAS[],3,FALSE),0)</f>
        <v>0</v>
      </c>
      <c r="AT670" s="246">
        <f>IFERROR(VLOOKUP(D670,VOL_REC[],2,FALSE),0)</f>
        <v>0</v>
      </c>
      <c r="AU670" s="246">
        <f>IFERROR(VLOOKUP(E670,VOL_REC[],2,FALSE),0)</f>
        <v>0</v>
      </c>
      <c r="AV670" s="246">
        <f>IFERROR(VLOOKUP(F670,VOL_REC[],2,FALSE),0)</f>
        <v>11089674.200000001</v>
      </c>
      <c r="AW670" s="246">
        <f>IFERROR(VLOOKUP(G670,VOL_REC[],2,FALSE),0)</f>
        <v>90439.55</v>
      </c>
      <c r="AX670" s="246">
        <f>IFERROR(VLOOKUP(H670,VOL_REC[],2,FALSE),0)</f>
        <v>15540036.397699751</v>
      </c>
      <c r="AY670" s="246">
        <f>IFERROR(VLOOKUP(I670,VOL_REC[],2,FALSE),0)</f>
        <v>1812240</v>
      </c>
      <c r="AZ670" s="246">
        <f>IFERROR(VLOOKUP(J670,VOL_REC[],2,FALSE),0)</f>
        <v>240696.79238099116</v>
      </c>
      <c r="BA670" s="246">
        <f>IFERROR(VLOOKUP(K670,VOL_REC[],2,FALSE),0)</f>
        <v>105072</v>
      </c>
      <c r="BB670" s="246">
        <f>IFERROR(VLOOKUP(L670,VOL_REC[],2,FALSE),0)</f>
        <v>0</v>
      </c>
      <c r="BC670" s="246">
        <f>IFERROR(VLOOKUP(M670,VOL_REC[],2,FALSE),0)</f>
        <v>0</v>
      </c>
      <c r="BD670" s="246">
        <f>IFERROR(VLOOKUP(N670,VOL_REC[],2,FALSE),0)</f>
        <v>0</v>
      </c>
      <c r="BE670" s="246">
        <f>IFERROR(VLOOKUP(O670,VOL_REC[],2,FALSE),0)</f>
        <v>0</v>
      </c>
      <c r="BF670" s="246">
        <f>IFERROR(VLOOKUP(P670,VOL_REC[],2,FALSE),0)</f>
        <v>0</v>
      </c>
      <c r="BG670" s="246">
        <f>IFERROR(VLOOKUP(Q670,VOL_REC[],2,FALSE),0)</f>
        <v>0</v>
      </c>
      <c r="BH670" s="1710">
        <f t="shared" si="40"/>
        <v>16297484067.029448</v>
      </c>
      <c r="BI670" s="1710">
        <f t="shared" si="41"/>
        <v>19234597367.242077</v>
      </c>
      <c r="BJ670" s="1711">
        <f t="shared" si="42"/>
        <v>28878158.940080743</v>
      </c>
      <c r="BK670" s="1711">
        <f t="shared" si="43"/>
        <v>0.84730050522322098</v>
      </c>
    </row>
    <row r="671" spans="3:67" x14ac:dyDescent="0.25">
      <c r="C671" s="246" t="s">
        <v>2021</v>
      </c>
      <c r="D671" s="246">
        <v>1</v>
      </c>
      <c r="E671" s="246">
        <v>2</v>
      </c>
      <c r="F671" s="246">
        <v>3</v>
      </c>
      <c r="G671" s="246">
        <v>4</v>
      </c>
      <c r="H671" s="246">
        <v>6</v>
      </c>
      <c r="I671" s="246">
        <v>10</v>
      </c>
      <c r="J671" s="246">
        <v>12</v>
      </c>
      <c r="K671" s="246">
        <v>16</v>
      </c>
      <c r="L671" s="246"/>
      <c r="M671" s="246"/>
      <c r="N671" s="246"/>
      <c r="O671" s="246"/>
      <c r="P671" s="246"/>
      <c r="Q671" s="246"/>
      <c r="R671" s="246">
        <f>IFERROR(VLOOKUP(D671,PROGRAMAS[],2,FALSE),0)</f>
        <v>97037803.679377079</v>
      </c>
      <c r="S671" s="246">
        <f>IFERROR(VLOOKUP(E671,PROGRAMAS[],2,FALSE),0)</f>
        <v>640501509.6821388</v>
      </c>
      <c r="T671" s="246">
        <f>IFERROR(VLOOKUP(F671,PROGRAMAS[],2,FALSE),0)</f>
        <v>3062327798.1525245</v>
      </c>
      <c r="U671" s="246">
        <f>IFERROR(VLOOKUP(G671,PROGRAMAS[],2,FALSE),0)</f>
        <v>67697118.033011258</v>
      </c>
      <c r="V671" s="246">
        <f>IFERROR(VLOOKUP(H671,PROGRAMAS[],2,FALSE),0)</f>
        <v>6907648435.8447599</v>
      </c>
      <c r="W671" s="246">
        <f>IFERROR(VLOOKUP(I671,PROGRAMAS[],2,FALSE),0)</f>
        <v>4635315027.8751087</v>
      </c>
      <c r="X671" s="246">
        <f>IFERROR(VLOOKUP(J671,PROGRAMAS[],2,FALSE),0)</f>
        <v>764796700.79905891</v>
      </c>
      <c r="Y671" s="246">
        <f>IFERROR(VLOOKUP(K671,PROGRAMAS[],2,FALSE),0)</f>
        <v>7068496961.0436354</v>
      </c>
      <c r="Z671" s="246">
        <f>IFERROR(VLOOKUP(L671,PROGRAMAS[],2,FALSE),0)</f>
        <v>0</v>
      </c>
      <c r="AA671" s="246">
        <f>IFERROR(VLOOKUP(M671,PROGRAMAS[],2,FALSE),0)</f>
        <v>0</v>
      </c>
      <c r="AB671" s="246">
        <f>IFERROR(VLOOKUP(N671,PROGRAMAS[],2,FALSE),0)</f>
        <v>0</v>
      </c>
      <c r="AC671" s="246">
        <f>IFERROR(VLOOKUP(O671,PROGRAMAS[],2,FALSE),0)</f>
        <v>0</v>
      </c>
      <c r="AD671" s="246">
        <f>IFERROR(VLOOKUP(P671,PROGRAMAS[],2,FALSE),0)</f>
        <v>0</v>
      </c>
      <c r="AE671" s="246">
        <f>IFERROR(VLOOKUP(Q671,PROGRAMAS[],2,FALSE),0)</f>
        <v>0</v>
      </c>
      <c r="AF671" s="246">
        <f>IFERROR(VLOOKUP(D671,PROGRAMAS[],3,FALSE),0)</f>
        <v>841888629.31080008</v>
      </c>
      <c r="AG671" s="246">
        <f>IFERROR(VLOOKUP(E671,PROGRAMAS[],3,FALSE),0)</f>
        <v>3848980803.1642323</v>
      </c>
      <c r="AH671" s="246">
        <f>IFERROR(VLOOKUP(F671,PROGRAMAS[],3,FALSE),0)</f>
        <v>3394901471.387517</v>
      </c>
      <c r="AI671" s="246">
        <f>IFERROR(VLOOKUP(G671,PROGRAMAS[],3,FALSE),0)</f>
        <v>125317226.95549992</v>
      </c>
      <c r="AJ671" s="246">
        <f>IFERROR(VLOOKUP(H671,PROGRAMAS[],3,FALSE),0)</f>
        <v>6129902208.7912121</v>
      </c>
      <c r="AK671" s="246">
        <f>IFERROR(VLOOKUP(I671,PROGRAMAS[],3,FALSE),0)</f>
        <v>4099471734.9978786</v>
      </c>
      <c r="AL671" s="246">
        <f>IFERROR(VLOOKUP(J671,PROGRAMAS[],3,FALSE),0)</f>
        <v>675517840.109828</v>
      </c>
      <c r="AM671" s="246">
        <f>IFERROR(VLOOKUP(K671,PROGRAMAS[],3,FALSE),0)</f>
        <v>2406564599.0319901</v>
      </c>
      <c r="AN671" s="246">
        <f>IFERROR(VLOOKUP(L671,PROGRAMAS[],3,FALSE),0)</f>
        <v>0</v>
      </c>
      <c r="AO671" s="246">
        <f>IFERROR(VLOOKUP(M671,PROGRAMAS[],3,FALSE),0)</f>
        <v>0</v>
      </c>
      <c r="AP671" s="246">
        <f>IFERROR(VLOOKUP(N671,PROGRAMAS[],3,FALSE),0)</f>
        <v>0</v>
      </c>
      <c r="AQ671" s="246">
        <f>IFERROR(VLOOKUP(O671,PROGRAMAS[],3,FALSE),0)</f>
        <v>0</v>
      </c>
      <c r="AR671" s="246">
        <f>IFERROR(VLOOKUP(P671,PROGRAMAS[],3,FALSE),0)</f>
        <v>0</v>
      </c>
      <c r="AS671" s="246">
        <f>IFERROR(VLOOKUP(Q671,PROGRAMAS[],3,FALSE),0)</f>
        <v>0</v>
      </c>
      <c r="AT671" s="246">
        <f>IFERROR(VLOOKUP(D671,VOL_REC[],2,FALSE),0)</f>
        <v>0</v>
      </c>
      <c r="AU671" s="246">
        <f>IFERROR(VLOOKUP(E671,VOL_REC[],2,FALSE),0)</f>
        <v>0</v>
      </c>
      <c r="AV671" s="246">
        <f>IFERROR(VLOOKUP(F671,VOL_REC[],2,FALSE),0)</f>
        <v>11089674.200000001</v>
      </c>
      <c r="AW671" s="246">
        <f>IFERROR(VLOOKUP(G671,VOL_REC[],2,FALSE),0)</f>
        <v>90439.55</v>
      </c>
      <c r="AX671" s="246">
        <f>IFERROR(VLOOKUP(H671,VOL_REC[],2,FALSE),0)</f>
        <v>15540036.397699751</v>
      </c>
      <c r="AY671" s="246">
        <f>IFERROR(VLOOKUP(I671,VOL_REC[],2,FALSE),0)</f>
        <v>1812240</v>
      </c>
      <c r="AZ671" s="246">
        <f>IFERROR(VLOOKUP(J671,VOL_REC[],2,FALSE),0)</f>
        <v>240696.79238099116</v>
      </c>
      <c r="BA671" s="246">
        <f>IFERROR(VLOOKUP(K671,VOL_REC[],2,FALSE),0)</f>
        <v>1072354.9981737854</v>
      </c>
      <c r="BB671" s="246">
        <f>IFERROR(VLOOKUP(L671,VOL_REC[],2,FALSE),0)</f>
        <v>0</v>
      </c>
      <c r="BC671" s="246">
        <f>IFERROR(VLOOKUP(M671,VOL_REC[],2,FALSE),0)</f>
        <v>0</v>
      </c>
      <c r="BD671" s="246">
        <f>IFERROR(VLOOKUP(N671,VOL_REC[],2,FALSE),0)</f>
        <v>0</v>
      </c>
      <c r="BE671" s="246">
        <f>IFERROR(VLOOKUP(O671,VOL_REC[],2,FALSE),0)</f>
        <v>0</v>
      </c>
      <c r="BF671" s="246">
        <f>IFERROR(VLOOKUP(P671,VOL_REC[],2,FALSE),0)</f>
        <v>0</v>
      </c>
      <c r="BG671" s="246">
        <f>IFERROR(VLOOKUP(Q671,VOL_REC[],2,FALSE),0)</f>
        <v>0</v>
      </c>
      <c r="BH671" s="1710">
        <f t="shared" si="40"/>
        <v>23243821355.109615</v>
      </c>
      <c r="BI671" s="1710">
        <f t="shared" si="41"/>
        <v>21522544513.748959</v>
      </c>
      <c r="BJ671" s="1711">
        <f t="shared" si="42"/>
        <v>29845441.938254528</v>
      </c>
      <c r="BK671" s="1711">
        <f t="shared" si="43"/>
        <v>1.0799755270693516</v>
      </c>
      <c r="BL671">
        <f>BJ671</f>
        <v>29845441.938254528</v>
      </c>
      <c r="BO671">
        <f>BL671</f>
        <v>29845441.938254528</v>
      </c>
    </row>
    <row r="672" spans="3:67" x14ac:dyDescent="0.25">
      <c r="C672" s="246" t="s">
        <v>2022</v>
      </c>
      <c r="D672" s="246">
        <v>1</v>
      </c>
      <c r="E672" s="246">
        <v>2</v>
      </c>
      <c r="F672" s="246">
        <v>3</v>
      </c>
      <c r="G672" s="246">
        <v>4</v>
      </c>
      <c r="H672" s="246">
        <v>6</v>
      </c>
      <c r="I672" s="246">
        <v>10</v>
      </c>
      <c r="J672" s="246">
        <v>12</v>
      </c>
      <c r="K672" s="246">
        <v>17</v>
      </c>
      <c r="L672" s="246"/>
      <c r="M672" s="246"/>
      <c r="N672" s="246"/>
      <c r="O672" s="246"/>
      <c r="P672" s="246"/>
      <c r="Q672" s="246"/>
      <c r="R672" s="246">
        <f>IFERROR(VLOOKUP(D672,PROGRAMAS[],2,FALSE),0)</f>
        <v>97037803.679377079</v>
      </c>
      <c r="S672" s="246">
        <f>IFERROR(VLOOKUP(E672,PROGRAMAS[],2,FALSE),0)</f>
        <v>640501509.6821388</v>
      </c>
      <c r="T672" s="246">
        <f>IFERROR(VLOOKUP(F672,PROGRAMAS[],2,FALSE),0)</f>
        <v>3062327798.1525245</v>
      </c>
      <c r="U672" s="246">
        <f>IFERROR(VLOOKUP(G672,PROGRAMAS[],2,FALSE),0)</f>
        <v>67697118.033011258</v>
      </c>
      <c r="V672" s="246">
        <f>IFERROR(VLOOKUP(H672,PROGRAMAS[],2,FALSE),0)</f>
        <v>6907648435.8447599</v>
      </c>
      <c r="W672" s="246">
        <f>IFERROR(VLOOKUP(I672,PROGRAMAS[],2,FALSE),0)</f>
        <v>4635315027.8751087</v>
      </c>
      <c r="X672" s="246">
        <f>IFERROR(VLOOKUP(J672,PROGRAMAS[],2,FALSE),0)</f>
        <v>764796700.79905891</v>
      </c>
      <c r="Y672" s="246">
        <f>IFERROR(VLOOKUP(K672,PROGRAMAS[],2,FALSE),0)</f>
        <v>1892779498.5211046</v>
      </c>
      <c r="Z672" s="246">
        <f>IFERROR(VLOOKUP(L672,PROGRAMAS[],2,FALSE),0)</f>
        <v>0</v>
      </c>
      <c r="AA672" s="246">
        <f>IFERROR(VLOOKUP(M672,PROGRAMAS[],2,FALSE),0)</f>
        <v>0</v>
      </c>
      <c r="AB672" s="246">
        <f>IFERROR(VLOOKUP(N672,PROGRAMAS[],2,FALSE),0)</f>
        <v>0</v>
      </c>
      <c r="AC672" s="246">
        <f>IFERROR(VLOOKUP(O672,PROGRAMAS[],2,FALSE),0)</f>
        <v>0</v>
      </c>
      <c r="AD672" s="246">
        <f>IFERROR(VLOOKUP(P672,PROGRAMAS[],2,FALSE),0)</f>
        <v>0</v>
      </c>
      <c r="AE672" s="246">
        <f>IFERROR(VLOOKUP(Q672,PROGRAMAS[],2,FALSE),0)</f>
        <v>0</v>
      </c>
      <c r="AF672" s="246">
        <f>IFERROR(VLOOKUP(D672,PROGRAMAS[],3,FALSE),0)</f>
        <v>841888629.31080008</v>
      </c>
      <c r="AG672" s="246">
        <f>IFERROR(VLOOKUP(E672,PROGRAMAS[],3,FALSE),0)</f>
        <v>3848980803.1642323</v>
      </c>
      <c r="AH672" s="246">
        <f>IFERROR(VLOOKUP(F672,PROGRAMAS[],3,FALSE),0)</f>
        <v>3394901471.387517</v>
      </c>
      <c r="AI672" s="246">
        <f>IFERROR(VLOOKUP(G672,PROGRAMAS[],3,FALSE),0)</f>
        <v>125317226.95549992</v>
      </c>
      <c r="AJ672" s="246">
        <f>IFERROR(VLOOKUP(H672,PROGRAMAS[],3,FALSE),0)</f>
        <v>6129902208.7912121</v>
      </c>
      <c r="AK672" s="246">
        <f>IFERROR(VLOOKUP(I672,PROGRAMAS[],3,FALSE),0)</f>
        <v>4099471734.9978786</v>
      </c>
      <c r="AL672" s="246">
        <f>IFERROR(VLOOKUP(J672,PROGRAMAS[],3,FALSE),0)</f>
        <v>675517840.109828</v>
      </c>
      <c r="AM672" s="246">
        <f>IFERROR(VLOOKUP(K672,PROGRAMAS[],3,FALSE),0)</f>
        <v>948595847.09039903</v>
      </c>
      <c r="AN672" s="246">
        <f>IFERROR(VLOOKUP(L672,PROGRAMAS[],3,FALSE),0)</f>
        <v>0</v>
      </c>
      <c r="AO672" s="246">
        <f>IFERROR(VLOOKUP(M672,PROGRAMAS[],3,FALSE),0)</f>
        <v>0</v>
      </c>
      <c r="AP672" s="246">
        <f>IFERROR(VLOOKUP(N672,PROGRAMAS[],3,FALSE),0)</f>
        <v>0</v>
      </c>
      <c r="AQ672" s="246">
        <f>IFERROR(VLOOKUP(O672,PROGRAMAS[],3,FALSE),0)</f>
        <v>0</v>
      </c>
      <c r="AR672" s="246">
        <f>IFERROR(VLOOKUP(P672,PROGRAMAS[],3,FALSE),0)</f>
        <v>0</v>
      </c>
      <c r="AS672" s="246">
        <f>IFERROR(VLOOKUP(Q672,PROGRAMAS[],3,FALSE),0)</f>
        <v>0</v>
      </c>
      <c r="AT672" s="246">
        <f>IFERROR(VLOOKUP(D672,VOL_REC[],2,FALSE),0)</f>
        <v>0</v>
      </c>
      <c r="AU672" s="246">
        <f>IFERROR(VLOOKUP(E672,VOL_REC[],2,FALSE),0)</f>
        <v>0</v>
      </c>
      <c r="AV672" s="246">
        <f>IFERROR(VLOOKUP(F672,VOL_REC[],2,FALSE),0)</f>
        <v>11089674.200000001</v>
      </c>
      <c r="AW672" s="246">
        <f>IFERROR(VLOOKUP(G672,VOL_REC[],2,FALSE),0)</f>
        <v>90439.55</v>
      </c>
      <c r="AX672" s="246">
        <f>IFERROR(VLOOKUP(H672,VOL_REC[],2,FALSE),0)</f>
        <v>15540036.397699751</v>
      </c>
      <c r="AY672" s="246">
        <f>IFERROR(VLOOKUP(I672,VOL_REC[],2,FALSE),0)</f>
        <v>1812240</v>
      </c>
      <c r="AZ672" s="246">
        <f>IFERROR(VLOOKUP(J672,VOL_REC[],2,FALSE),0)</f>
        <v>240696.79238099116</v>
      </c>
      <c r="BA672" s="246">
        <f>IFERROR(VLOOKUP(K672,VOL_REC[],2,FALSE),0)</f>
        <v>740113.98115702497</v>
      </c>
      <c r="BB672" s="246">
        <f>IFERROR(VLOOKUP(L672,VOL_REC[],2,FALSE),0)</f>
        <v>0</v>
      </c>
      <c r="BC672" s="246">
        <f>IFERROR(VLOOKUP(M672,VOL_REC[],2,FALSE),0)</f>
        <v>0</v>
      </c>
      <c r="BD672" s="246">
        <f>IFERROR(VLOOKUP(N672,VOL_REC[],2,FALSE),0)</f>
        <v>0</v>
      </c>
      <c r="BE672" s="246">
        <f>IFERROR(VLOOKUP(O672,VOL_REC[],2,FALSE),0)</f>
        <v>0</v>
      </c>
      <c r="BF672" s="246">
        <f>IFERROR(VLOOKUP(P672,VOL_REC[],2,FALSE),0)</f>
        <v>0</v>
      </c>
      <c r="BG672" s="246">
        <f>IFERROR(VLOOKUP(Q672,VOL_REC[],2,FALSE),0)</f>
        <v>0</v>
      </c>
      <c r="BH672" s="1710">
        <f t="shared" si="40"/>
        <v>18068103892.587082</v>
      </c>
      <c r="BI672" s="1710">
        <f t="shared" si="41"/>
        <v>20064575761.807369</v>
      </c>
      <c r="BJ672" s="1711">
        <f t="shared" si="42"/>
        <v>29513200.921237767</v>
      </c>
      <c r="BK672" s="1711">
        <f t="shared" si="43"/>
        <v>0.90049767844977102</v>
      </c>
    </row>
    <row r="673" spans="3:67" x14ac:dyDescent="0.25">
      <c r="C673" s="246" t="s">
        <v>2023</v>
      </c>
      <c r="D673" s="246">
        <v>1</v>
      </c>
      <c r="E673" s="246">
        <v>2</v>
      </c>
      <c r="F673" s="246">
        <v>3</v>
      </c>
      <c r="G673" s="246">
        <v>4</v>
      </c>
      <c r="H673" s="246">
        <v>6</v>
      </c>
      <c r="I673" s="246">
        <v>10</v>
      </c>
      <c r="J673" s="246">
        <v>13</v>
      </c>
      <c r="K673" s="246">
        <v>14</v>
      </c>
      <c r="L673" s="246"/>
      <c r="M673" s="246"/>
      <c r="N673" s="246"/>
      <c r="O673" s="246"/>
      <c r="P673" s="246"/>
      <c r="Q673" s="246"/>
      <c r="R673" s="246">
        <f>IFERROR(VLOOKUP(D673,PROGRAMAS[],2,FALSE),0)</f>
        <v>97037803.679377079</v>
      </c>
      <c r="S673" s="246">
        <f>IFERROR(VLOOKUP(E673,PROGRAMAS[],2,FALSE),0)</f>
        <v>640501509.6821388</v>
      </c>
      <c r="T673" s="246">
        <f>IFERROR(VLOOKUP(F673,PROGRAMAS[],2,FALSE),0)</f>
        <v>3062327798.1525245</v>
      </c>
      <c r="U673" s="246">
        <f>IFERROR(VLOOKUP(G673,PROGRAMAS[],2,FALSE),0)</f>
        <v>67697118.033011258</v>
      </c>
      <c r="V673" s="246">
        <f>IFERROR(VLOOKUP(H673,PROGRAMAS[],2,FALSE),0)</f>
        <v>6907648435.8447599</v>
      </c>
      <c r="W673" s="246">
        <f>IFERROR(VLOOKUP(I673,PROGRAMAS[],2,FALSE),0)</f>
        <v>4635315027.8751087</v>
      </c>
      <c r="X673" s="246">
        <f>IFERROR(VLOOKUP(J673,PROGRAMAS[],2,FALSE),0)</f>
        <v>3776538594.4604583</v>
      </c>
      <c r="Y673" s="246">
        <f>IFERROR(VLOOKUP(K673,PROGRAMAS[],2,FALSE),0)</f>
        <v>54223862.645839565</v>
      </c>
      <c r="Z673" s="246">
        <f>IFERROR(VLOOKUP(L673,PROGRAMAS[],2,FALSE),0)</f>
        <v>0</v>
      </c>
      <c r="AA673" s="246">
        <f>IFERROR(VLOOKUP(M673,PROGRAMAS[],2,FALSE),0)</f>
        <v>0</v>
      </c>
      <c r="AB673" s="246">
        <f>IFERROR(VLOOKUP(N673,PROGRAMAS[],2,FALSE),0)</f>
        <v>0</v>
      </c>
      <c r="AC673" s="246">
        <f>IFERROR(VLOOKUP(O673,PROGRAMAS[],2,FALSE),0)</f>
        <v>0</v>
      </c>
      <c r="AD673" s="246">
        <f>IFERROR(VLOOKUP(P673,PROGRAMAS[],2,FALSE),0)</f>
        <v>0</v>
      </c>
      <c r="AE673" s="246">
        <f>IFERROR(VLOOKUP(Q673,PROGRAMAS[],2,FALSE),0)</f>
        <v>0</v>
      </c>
      <c r="AF673" s="246">
        <f>IFERROR(VLOOKUP(D673,PROGRAMAS[],3,FALSE),0)</f>
        <v>841888629.31080008</v>
      </c>
      <c r="AG673" s="246">
        <f>IFERROR(VLOOKUP(E673,PROGRAMAS[],3,FALSE),0)</f>
        <v>3848980803.1642323</v>
      </c>
      <c r="AH673" s="246">
        <f>IFERROR(VLOOKUP(F673,PROGRAMAS[],3,FALSE),0)</f>
        <v>3394901471.387517</v>
      </c>
      <c r="AI673" s="246">
        <f>IFERROR(VLOOKUP(G673,PROGRAMAS[],3,FALSE),0)</f>
        <v>125317226.95549992</v>
      </c>
      <c r="AJ673" s="246">
        <f>IFERROR(VLOOKUP(H673,PROGRAMAS[],3,FALSE),0)</f>
        <v>6129902208.7912121</v>
      </c>
      <c r="AK673" s="246">
        <f>IFERROR(VLOOKUP(I673,PROGRAMAS[],3,FALSE),0)</f>
        <v>4099471734.9978786</v>
      </c>
      <c r="AL673" s="246">
        <f>IFERROR(VLOOKUP(J673,PROGRAMAS[],3,FALSE),0)</f>
        <v>2392571243.5584412</v>
      </c>
      <c r="AM673" s="246">
        <f>IFERROR(VLOOKUP(K673,PROGRAMAS[],3,FALSE),0)</f>
        <v>31865326.38096505</v>
      </c>
      <c r="AN673" s="246">
        <f>IFERROR(VLOOKUP(L673,PROGRAMAS[],3,FALSE),0)</f>
        <v>0</v>
      </c>
      <c r="AO673" s="246">
        <f>IFERROR(VLOOKUP(M673,PROGRAMAS[],3,FALSE),0)</f>
        <v>0</v>
      </c>
      <c r="AP673" s="246">
        <f>IFERROR(VLOOKUP(N673,PROGRAMAS[],3,FALSE),0)</f>
        <v>0</v>
      </c>
      <c r="AQ673" s="246">
        <f>IFERROR(VLOOKUP(O673,PROGRAMAS[],3,FALSE),0)</f>
        <v>0</v>
      </c>
      <c r="AR673" s="246">
        <f>IFERROR(VLOOKUP(P673,PROGRAMAS[],3,FALSE),0)</f>
        <v>0</v>
      </c>
      <c r="AS673" s="246">
        <f>IFERROR(VLOOKUP(Q673,PROGRAMAS[],3,FALSE),0)</f>
        <v>0</v>
      </c>
      <c r="AT673" s="246">
        <f>IFERROR(VLOOKUP(D673,VOL_REC[],2,FALSE),0)</f>
        <v>0</v>
      </c>
      <c r="AU673" s="246">
        <f>IFERROR(VLOOKUP(E673,VOL_REC[],2,FALSE),0)</f>
        <v>0</v>
      </c>
      <c r="AV673" s="246">
        <f>IFERROR(VLOOKUP(F673,VOL_REC[],2,FALSE),0)</f>
        <v>11089674.200000001</v>
      </c>
      <c r="AW673" s="246">
        <f>IFERROR(VLOOKUP(G673,VOL_REC[],2,FALSE),0)</f>
        <v>90439.55</v>
      </c>
      <c r="AX673" s="246">
        <f>IFERROR(VLOOKUP(H673,VOL_REC[],2,FALSE),0)</f>
        <v>15540036.397699751</v>
      </c>
      <c r="AY673" s="246">
        <f>IFERROR(VLOOKUP(I673,VOL_REC[],2,FALSE),0)</f>
        <v>1812240</v>
      </c>
      <c r="AZ673" s="246">
        <f>IFERROR(VLOOKUP(J673,VOL_REC[],2,FALSE),0)</f>
        <v>663244.80000000016</v>
      </c>
      <c r="BA673" s="246">
        <f>IFERROR(VLOOKUP(K673,VOL_REC[],2,FALSE),0)</f>
        <v>17074.045034105649</v>
      </c>
      <c r="BB673" s="246">
        <f>IFERROR(VLOOKUP(L673,VOL_REC[],2,FALSE),0)</f>
        <v>0</v>
      </c>
      <c r="BC673" s="246">
        <f>IFERROR(VLOOKUP(M673,VOL_REC[],2,FALSE),0)</f>
        <v>0</v>
      </c>
      <c r="BD673" s="246">
        <f>IFERROR(VLOOKUP(N673,VOL_REC[],2,FALSE),0)</f>
        <v>0</v>
      </c>
      <c r="BE673" s="246">
        <f>IFERROR(VLOOKUP(O673,VOL_REC[],2,FALSE),0)</f>
        <v>0</v>
      </c>
      <c r="BF673" s="246">
        <f>IFERROR(VLOOKUP(P673,VOL_REC[],2,FALSE),0)</f>
        <v>0</v>
      </c>
      <c r="BG673" s="246">
        <f>IFERROR(VLOOKUP(Q673,VOL_REC[],2,FALSE),0)</f>
        <v>0</v>
      </c>
      <c r="BH673" s="1710">
        <f t="shared" si="40"/>
        <v>19241290150.373219</v>
      </c>
      <c r="BI673" s="1710">
        <f t="shared" si="41"/>
        <v>20864898644.546547</v>
      </c>
      <c r="BJ673" s="1711">
        <f t="shared" si="42"/>
        <v>29212708.992733859</v>
      </c>
      <c r="BK673" s="1711">
        <f t="shared" si="43"/>
        <v>0.92218469297009065</v>
      </c>
    </row>
    <row r="674" spans="3:67" x14ac:dyDescent="0.25">
      <c r="C674" s="246" t="s">
        <v>2024</v>
      </c>
      <c r="D674" s="246">
        <v>1</v>
      </c>
      <c r="E674" s="246">
        <v>2</v>
      </c>
      <c r="F674" s="246">
        <v>3</v>
      </c>
      <c r="G674" s="246">
        <v>4</v>
      </c>
      <c r="H674" s="246">
        <v>6</v>
      </c>
      <c r="I674" s="246">
        <v>10</v>
      </c>
      <c r="J674" s="246">
        <v>13</v>
      </c>
      <c r="K674" s="246">
        <v>15</v>
      </c>
      <c r="L674" s="246"/>
      <c r="M674" s="246"/>
      <c r="N674" s="246"/>
      <c r="O674" s="246"/>
      <c r="P674" s="246"/>
      <c r="Q674" s="246"/>
      <c r="R674" s="246">
        <f>IFERROR(VLOOKUP(D674,PROGRAMAS[],2,FALSE),0)</f>
        <v>97037803.679377079</v>
      </c>
      <c r="S674" s="246">
        <f>IFERROR(VLOOKUP(E674,PROGRAMAS[],2,FALSE),0)</f>
        <v>640501509.6821388</v>
      </c>
      <c r="T674" s="246">
        <f>IFERROR(VLOOKUP(F674,PROGRAMAS[],2,FALSE),0)</f>
        <v>3062327798.1525245</v>
      </c>
      <c r="U674" s="246">
        <f>IFERROR(VLOOKUP(G674,PROGRAMAS[],2,FALSE),0)</f>
        <v>67697118.033011258</v>
      </c>
      <c r="V674" s="246">
        <f>IFERROR(VLOOKUP(H674,PROGRAMAS[],2,FALSE),0)</f>
        <v>6907648435.8447599</v>
      </c>
      <c r="W674" s="246">
        <f>IFERROR(VLOOKUP(I674,PROGRAMAS[],2,FALSE),0)</f>
        <v>4635315027.8751087</v>
      </c>
      <c r="X674" s="246">
        <f>IFERROR(VLOOKUP(J674,PROGRAMAS[],2,FALSE),0)</f>
        <v>3776538594.4604583</v>
      </c>
      <c r="Y674" s="246">
        <f>IFERROR(VLOOKUP(K674,PROGRAMAS[],2,FALSE),0)</f>
        <v>122159672.96346797</v>
      </c>
      <c r="Z674" s="246">
        <f>IFERROR(VLOOKUP(L674,PROGRAMAS[],2,FALSE),0)</f>
        <v>0</v>
      </c>
      <c r="AA674" s="246">
        <f>IFERROR(VLOOKUP(M674,PROGRAMAS[],2,FALSE),0)</f>
        <v>0</v>
      </c>
      <c r="AB674" s="246">
        <f>IFERROR(VLOOKUP(N674,PROGRAMAS[],2,FALSE),0)</f>
        <v>0</v>
      </c>
      <c r="AC674" s="246">
        <f>IFERROR(VLOOKUP(O674,PROGRAMAS[],2,FALSE),0)</f>
        <v>0</v>
      </c>
      <c r="AD674" s="246">
        <f>IFERROR(VLOOKUP(P674,PROGRAMAS[],2,FALSE),0)</f>
        <v>0</v>
      </c>
      <c r="AE674" s="246">
        <f>IFERROR(VLOOKUP(Q674,PROGRAMAS[],2,FALSE),0)</f>
        <v>0</v>
      </c>
      <c r="AF674" s="246">
        <f>IFERROR(VLOOKUP(D674,PROGRAMAS[],3,FALSE),0)</f>
        <v>841888629.31080008</v>
      </c>
      <c r="AG674" s="246">
        <f>IFERROR(VLOOKUP(E674,PROGRAMAS[],3,FALSE),0)</f>
        <v>3848980803.1642323</v>
      </c>
      <c r="AH674" s="246">
        <f>IFERROR(VLOOKUP(F674,PROGRAMAS[],3,FALSE),0)</f>
        <v>3394901471.387517</v>
      </c>
      <c r="AI674" s="246">
        <f>IFERROR(VLOOKUP(G674,PROGRAMAS[],3,FALSE),0)</f>
        <v>125317226.95549992</v>
      </c>
      <c r="AJ674" s="246">
        <f>IFERROR(VLOOKUP(H674,PROGRAMAS[],3,FALSE),0)</f>
        <v>6129902208.7912121</v>
      </c>
      <c r="AK674" s="246">
        <f>IFERROR(VLOOKUP(I674,PROGRAMAS[],3,FALSE),0)</f>
        <v>4099471734.9978786</v>
      </c>
      <c r="AL674" s="246">
        <f>IFERROR(VLOOKUP(J674,PROGRAMAS[],3,FALSE),0)</f>
        <v>2392571243.5584412</v>
      </c>
      <c r="AM674" s="246">
        <f>IFERROR(VLOOKUP(K674,PROGRAMAS[],3,FALSE),0)</f>
        <v>118617452.52510804</v>
      </c>
      <c r="AN674" s="246">
        <f>IFERROR(VLOOKUP(L674,PROGRAMAS[],3,FALSE),0)</f>
        <v>0</v>
      </c>
      <c r="AO674" s="246">
        <f>IFERROR(VLOOKUP(M674,PROGRAMAS[],3,FALSE),0)</f>
        <v>0</v>
      </c>
      <c r="AP674" s="246">
        <f>IFERROR(VLOOKUP(N674,PROGRAMAS[],3,FALSE),0)</f>
        <v>0</v>
      </c>
      <c r="AQ674" s="246">
        <f>IFERROR(VLOOKUP(O674,PROGRAMAS[],3,FALSE),0)</f>
        <v>0</v>
      </c>
      <c r="AR674" s="246">
        <f>IFERROR(VLOOKUP(P674,PROGRAMAS[],3,FALSE),0)</f>
        <v>0</v>
      </c>
      <c r="AS674" s="246">
        <f>IFERROR(VLOOKUP(Q674,PROGRAMAS[],3,FALSE),0)</f>
        <v>0</v>
      </c>
      <c r="AT674" s="246">
        <f>IFERROR(VLOOKUP(D674,VOL_REC[],2,FALSE),0)</f>
        <v>0</v>
      </c>
      <c r="AU674" s="246">
        <f>IFERROR(VLOOKUP(E674,VOL_REC[],2,FALSE),0)</f>
        <v>0</v>
      </c>
      <c r="AV674" s="246">
        <f>IFERROR(VLOOKUP(F674,VOL_REC[],2,FALSE),0)</f>
        <v>11089674.200000001</v>
      </c>
      <c r="AW674" s="246">
        <f>IFERROR(VLOOKUP(G674,VOL_REC[],2,FALSE),0)</f>
        <v>90439.55</v>
      </c>
      <c r="AX674" s="246">
        <f>IFERROR(VLOOKUP(H674,VOL_REC[],2,FALSE),0)</f>
        <v>15540036.397699751</v>
      </c>
      <c r="AY674" s="246">
        <f>IFERROR(VLOOKUP(I674,VOL_REC[],2,FALSE),0)</f>
        <v>1812240</v>
      </c>
      <c r="AZ674" s="246">
        <f>IFERROR(VLOOKUP(J674,VOL_REC[],2,FALSE),0)</f>
        <v>663244.80000000016</v>
      </c>
      <c r="BA674" s="246">
        <f>IFERROR(VLOOKUP(K674,VOL_REC[],2,FALSE),0)</f>
        <v>105072</v>
      </c>
      <c r="BB674" s="246">
        <f>IFERROR(VLOOKUP(L674,VOL_REC[],2,FALSE),0)</f>
        <v>0</v>
      </c>
      <c r="BC674" s="246">
        <f>IFERROR(VLOOKUP(M674,VOL_REC[],2,FALSE),0)</f>
        <v>0</v>
      </c>
      <c r="BD674" s="246">
        <f>IFERROR(VLOOKUP(N674,VOL_REC[],2,FALSE),0)</f>
        <v>0</v>
      </c>
      <c r="BE674" s="246">
        <f>IFERROR(VLOOKUP(O674,VOL_REC[],2,FALSE),0)</f>
        <v>0</v>
      </c>
      <c r="BF674" s="246">
        <f>IFERROR(VLOOKUP(P674,VOL_REC[],2,FALSE),0)</f>
        <v>0</v>
      </c>
      <c r="BG674" s="246">
        <f>IFERROR(VLOOKUP(Q674,VOL_REC[],2,FALSE),0)</f>
        <v>0</v>
      </c>
      <c r="BH674" s="1710">
        <f t="shared" si="40"/>
        <v>19309225960.690845</v>
      </c>
      <c r="BI674" s="1710">
        <f t="shared" si="41"/>
        <v>20951650770.690689</v>
      </c>
      <c r="BJ674" s="1711">
        <f t="shared" si="42"/>
        <v>29300706.947699752</v>
      </c>
      <c r="BK674" s="1711">
        <f t="shared" si="43"/>
        <v>0.92160881125904237</v>
      </c>
    </row>
    <row r="675" spans="3:67" x14ac:dyDescent="0.25">
      <c r="C675" s="246" t="s">
        <v>2025</v>
      </c>
      <c r="D675" s="246">
        <v>1</v>
      </c>
      <c r="E675" s="246">
        <v>2</v>
      </c>
      <c r="F675" s="246">
        <v>3</v>
      </c>
      <c r="G675" s="246">
        <v>4</v>
      </c>
      <c r="H675" s="246">
        <v>6</v>
      </c>
      <c r="I675" s="246">
        <v>10</v>
      </c>
      <c r="J675" s="246">
        <v>13</v>
      </c>
      <c r="K675" s="246">
        <v>16</v>
      </c>
      <c r="L675" s="246"/>
      <c r="M675" s="246"/>
      <c r="N675" s="246"/>
      <c r="O675" s="246"/>
      <c r="P675" s="246"/>
      <c r="Q675" s="246"/>
      <c r="R675" s="246">
        <f>IFERROR(VLOOKUP(D675,PROGRAMAS[],2,FALSE),0)</f>
        <v>97037803.679377079</v>
      </c>
      <c r="S675" s="246">
        <f>IFERROR(VLOOKUP(E675,PROGRAMAS[],2,FALSE),0)</f>
        <v>640501509.6821388</v>
      </c>
      <c r="T675" s="246">
        <f>IFERROR(VLOOKUP(F675,PROGRAMAS[],2,FALSE),0)</f>
        <v>3062327798.1525245</v>
      </c>
      <c r="U675" s="246">
        <f>IFERROR(VLOOKUP(G675,PROGRAMAS[],2,FALSE),0)</f>
        <v>67697118.033011258</v>
      </c>
      <c r="V675" s="246">
        <f>IFERROR(VLOOKUP(H675,PROGRAMAS[],2,FALSE),0)</f>
        <v>6907648435.8447599</v>
      </c>
      <c r="W675" s="246">
        <f>IFERROR(VLOOKUP(I675,PROGRAMAS[],2,FALSE),0)</f>
        <v>4635315027.8751087</v>
      </c>
      <c r="X675" s="246">
        <f>IFERROR(VLOOKUP(J675,PROGRAMAS[],2,FALSE),0)</f>
        <v>3776538594.4604583</v>
      </c>
      <c r="Y675" s="246">
        <f>IFERROR(VLOOKUP(K675,PROGRAMAS[],2,FALSE),0)</f>
        <v>7068496961.0436354</v>
      </c>
      <c r="Z675" s="246">
        <f>IFERROR(VLOOKUP(L675,PROGRAMAS[],2,FALSE),0)</f>
        <v>0</v>
      </c>
      <c r="AA675" s="246">
        <f>IFERROR(VLOOKUP(M675,PROGRAMAS[],2,FALSE),0)</f>
        <v>0</v>
      </c>
      <c r="AB675" s="246">
        <f>IFERROR(VLOOKUP(N675,PROGRAMAS[],2,FALSE),0)</f>
        <v>0</v>
      </c>
      <c r="AC675" s="246">
        <f>IFERROR(VLOOKUP(O675,PROGRAMAS[],2,FALSE),0)</f>
        <v>0</v>
      </c>
      <c r="AD675" s="246">
        <f>IFERROR(VLOOKUP(P675,PROGRAMAS[],2,FALSE),0)</f>
        <v>0</v>
      </c>
      <c r="AE675" s="246">
        <f>IFERROR(VLOOKUP(Q675,PROGRAMAS[],2,FALSE),0)</f>
        <v>0</v>
      </c>
      <c r="AF675" s="246">
        <f>IFERROR(VLOOKUP(D675,PROGRAMAS[],3,FALSE),0)</f>
        <v>841888629.31080008</v>
      </c>
      <c r="AG675" s="246">
        <f>IFERROR(VLOOKUP(E675,PROGRAMAS[],3,FALSE),0)</f>
        <v>3848980803.1642323</v>
      </c>
      <c r="AH675" s="246">
        <f>IFERROR(VLOOKUP(F675,PROGRAMAS[],3,FALSE),0)</f>
        <v>3394901471.387517</v>
      </c>
      <c r="AI675" s="246">
        <f>IFERROR(VLOOKUP(G675,PROGRAMAS[],3,FALSE),0)</f>
        <v>125317226.95549992</v>
      </c>
      <c r="AJ675" s="246">
        <f>IFERROR(VLOOKUP(H675,PROGRAMAS[],3,FALSE),0)</f>
        <v>6129902208.7912121</v>
      </c>
      <c r="AK675" s="246">
        <f>IFERROR(VLOOKUP(I675,PROGRAMAS[],3,FALSE),0)</f>
        <v>4099471734.9978786</v>
      </c>
      <c r="AL675" s="246">
        <f>IFERROR(VLOOKUP(J675,PROGRAMAS[],3,FALSE),0)</f>
        <v>2392571243.5584412</v>
      </c>
      <c r="AM675" s="246">
        <f>IFERROR(VLOOKUP(K675,PROGRAMAS[],3,FALSE),0)</f>
        <v>2406564599.0319901</v>
      </c>
      <c r="AN675" s="246">
        <f>IFERROR(VLOOKUP(L675,PROGRAMAS[],3,FALSE),0)</f>
        <v>0</v>
      </c>
      <c r="AO675" s="246">
        <f>IFERROR(VLOOKUP(M675,PROGRAMAS[],3,FALSE),0)</f>
        <v>0</v>
      </c>
      <c r="AP675" s="246">
        <f>IFERROR(VLOOKUP(N675,PROGRAMAS[],3,FALSE),0)</f>
        <v>0</v>
      </c>
      <c r="AQ675" s="246">
        <f>IFERROR(VLOOKUP(O675,PROGRAMAS[],3,FALSE),0)</f>
        <v>0</v>
      </c>
      <c r="AR675" s="246">
        <f>IFERROR(VLOOKUP(P675,PROGRAMAS[],3,FALSE),0)</f>
        <v>0</v>
      </c>
      <c r="AS675" s="246">
        <f>IFERROR(VLOOKUP(Q675,PROGRAMAS[],3,FALSE),0)</f>
        <v>0</v>
      </c>
      <c r="AT675" s="246">
        <f>IFERROR(VLOOKUP(D675,VOL_REC[],2,FALSE),0)</f>
        <v>0</v>
      </c>
      <c r="AU675" s="246">
        <f>IFERROR(VLOOKUP(E675,VOL_REC[],2,FALSE),0)</f>
        <v>0</v>
      </c>
      <c r="AV675" s="246">
        <f>IFERROR(VLOOKUP(F675,VOL_REC[],2,FALSE),0)</f>
        <v>11089674.200000001</v>
      </c>
      <c r="AW675" s="246">
        <f>IFERROR(VLOOKUP(G675,VOL_REC[],2,FALSE),0)</f>
        <v>90439.55</v>
      </c>
      <c r="AX675" s="246">
        <f>IFERROR(VLOOKUP(H675,VOL_REC[],2,FALSE),0)</f>
        <v>15540036.397699751</v>
      </c>
      <c r="AY675" s="246">
        <f>IFERROR(VLOOKUP(I675,VOL_REC[],2,FALSE),0)</f>
        <v>1812240</v>
      </c>
      <c r="AZ675" s="246">
        <f>IFERROR(VLOOKUP(J675,VOL_REC[],2,FALSE),0)</f>
        <v>663244.80000000016</v>
      </c>
      <c r="BA675" s="246">
        <f>IFERROR(VLOOKUP(K675,VOL_REC[],2,FALSE),0)</f>
        <v>1072354.9981737854</v>
      </c>
      <c r="BB675" s="246">
        <f>IFERROR(VLOOKUP(L675,VOL_REC[],2,FALSE),0)</f>
        <v>0</v>
      </c>
      <c r="BC675" s="246">
        <f>IFERROR(VLOOKUP(M675,VOL_REC[],2,FALSE),0)</f>
        <v>0</v>
      </c>
      <c r="BD675" s="246">
        <f>IFERROR(VLOOKUP(N675,VOL_REC[],2,FALSE),0)</f>
        <v>0</v>
      </c>
      <c r="BE675" s="246">
        <f>IFERROR(VLOOKUP(O675,VOL_REC[],2,FALSE),0)</f>
        <v>0</v>
      </c>
      <c r="BF675" s="246">
        <f>IFERROR(VLOOKUP(P675,VOL_REC[],2,FALSE),0)</f>
        <v>0</v>
      </c>
      <c r="BG675" s="246">
        <f>IFERROR(VLOOKUP(Q675,VOL_REC[],2,FALSE),0)</f>
        <v>0</v>
      </c>
      <c r="BH675" s="1710">
        <f t="shared" si="40"/>
        <v>26255563248.771015</v>
      </c>
      <c r="BI675" s="1710">
        <f t="shared" si="41"/>
        <v>23239597917.197571</v>
      </c>
      <c r="BJ675" s="1711">
        <f t="shared" si="42"/>
        <v>30267989.945873536</v>
      </c>
      <c r="BK675" s="1711">
        <f t="shared" si="43"/>
        <v>1.1297770014059321</v>
      </c>
      <c r="BL675">
        <f>BJ675</f>
        <v>30267989.945873536</v>
      </c>
      <c r="BO675">
        <f>BL675</f>
        <v>30267989.945873536</v>
      </c>
    </row>
    <row r="676" spans="3:67" x14ac:dyDescent="0.25">
      <c r="C676" s="246" t="s">
        <v>2026</v>
      </c>
      <c r="D676" s="246">
        <v>1</v>
      </c>
      <c r="E676" s="246">
        <v>2</v>
      </c>
      <c r="F676" s="246">
        <v>3</v>
      </c>
      <c r="G676" s="246">
        <v>4</v>
      </c>
      <c r="H676" s="246">
        <v>6</v>
      </c>
      <c r="I676" s="246">
        <v>10</v>
      </c>
      <c r="J676" s="246">
        <v>13</v>
      </c>
      <c r="K676" s="246">
        <v>17</v>
      </c>
      <c r="L676" s="246"/>
      <c r="M676" s="246"/>
      <c r="N676" s="246"/>
      <c r="O676" s="246"/>
      <c r="P676" s="246"/>
      <c r="Q676" s="246"/>
      <c r="R676" s="246">
        <f>IFERROR(VLOOKUP(D676,PROGRAMAS[],2,FALSE),0)</f>
        <v>97037803.679377079</v>
      </c>
      <c r="S676" s="246">
        <f>IFERROR(VLOOKUP(E676,PROGRAMAS[],2,FALSE),0)</f>
        <v>640501509.6821388</v>
      </c>
      <c r="T676" s="246">
        <f>IFERROR(VLOOKUP(F676,PROGRAMAS[],2,FALSE),0)</f>
        <v>3062327798.1525245</v>
      </c>
      <c r="U676" s="246">
        <f>IFERROR(VLOOKUP(G676,PROGRAMAS[],2,FALSE),0)</f>
        <v>67697118.033011258</v>
      </c>
      <c r="V676" s="246">
        <f>IFERROR(VLOOKUP(H676,PROGRAMAS[],2,FALSE),0)</f>
        <v>6907648435.8447599</v>
      </c>
      <c r="W676" s="246">
        <f>IFERROR(VLOOKUP(I676,PROGRAMAS[],2,FALSE),0)</f>
        <v>4635315027.8751087</v>
      </c>
      <c r="X676" s="246">
        <f>IFERROR(VLOOKUP(J676,PROGRAMAS[],2,FALSE),0)</f>
        <v>3776538594.4604583</v>
      </c>
      <c r="Y676" s="246">
        <f>IFERROR(VLOOKUP(K676,PROGRAMAS[],2,FALSE),0)</f>
        <v>1892779498.5211046</v>
      </c>
      <c r="Z676" s="246">
        <f>IFERROR(VLOOKUP(L676,PROGRAMAS[],2,FALSE),0)</f>
        <v>0</v>
      </c>
      <c r="AA676" s="246">
        <f>IFERROR(VLOOKUP(M676,PROGRAMAS[],2,FALSE),0)</f>
        <v>0</v>
      </c>
      <c r="AB676" s="246">
        <f>IFERROR(VLOOKUP(N676,PROGRAMAS[],2,FALSE),0)</f>
        <v>0</v>
      </c>
      <c r="AC676" s="246">
        <f>IFERROR(VLOOKUP(O676,PROGRAMAS[],2,FALSE),0)</f>
        <v>0</v>
      </c>
      <c r="AD676" s="246">
        <f>IFERROR(VLOOKUP(P676,PROGRAMAS[],2,FALSE),0)</f>
        <v>0</v>
      </c>
      <c r="AE676" s="246">
        <f>IFERROR(VLOOKUP(Q676,PROGRAMAS[],2,FALSE),0)</f>
        <v>0</v>
      </c>
      <c r="AF676" s="246">
        <f>IFERROR(VLOOKUP(D676,PROGRAMAS[],3,FALSE),0)</f>
        <v>841888629.31080008</v>
      </c>
      <c r="AG676" s="246">
        <f>IFERROR(VLOOKUP(E676,PROGRAMAS[],3,FALSE),0)</f>
        <v>3848980803.1642323</v>
      </c>
      <c r="AH676" s="246">
        <f>IFERROR(VLOOKUP(F676,PROGRAMAS[],3,FALSE),0)</f>
        <v>3394901471.387517</v>
      </c>
      <c r="AI676" s="246">
        <f>IFERROR(VLOOKUP(G676,PROGRAMAS[],3,FALSE),0)</f>
        <v>125317226.95549992</v>
      </c>
      <c r="AJ676" s="246">
        <f>IFERROR(VLOOKUP(H676,PROGRAMAS[],3,FALSE),0)</f>
        <v>6129902208.7912121</v>
      </c>
      <c r="AK676" s="246">
        <f>IFERROR(VLOOKUP(I676,PROGRAMAS[],3,FALSE),0)</f>
        <v>4099471734.9978786</v>
      </c>
      <c r="AL676" s="246">
        <f>IFERROR(VLOOKUP(J676,PROGRAMAS[],3,FALSE),0)</f>
        <v>2392571243.5584412</v>
      </c>
      <c r="AM676" s="246">
        <f>IFERROR(VLOOKUP(K676,PROGRAMAS[],3,FALSE),0)</f>
        <v>948595847.09039903</v>
      </c>
      <c r="AN676" s="246">
        <f>IFERROR(VLOOKUP(L676,PROGRAMAS[],3,FALSE),0)</f>
        <v>0</v>
      </c>
      <c r="AO676" s="246">
        <f>IFERROR(VLOOKUP(M676,PROGRAMAS[],3,FALSE),0)</f>
        <v>0</v>
      </c>
      <c r="AP676" s="246">
        <f>IFERROR(VLOOKUP(N676,PROGRAMAS[],3,FALSE),0)</f>
        <v>0</v>
      </c>
      <c r="AQ676" s="246">
        <f>IFERROR(VLOOKUP(O676,PROGRAMAS[],3,FALSE),0)</f>
        <v>0</v>
      </c>
      <c r="AR676" s="246">
        <f>IFERROR(VLOOKUP(P676,PROGRAMAS[],3,FALSE),0)</f>
        <v>0</v>
      </c>
      <c r="AS676" s="246">
        <f>IFERROR(VLOOKUP(Q676,PROGRAMAS[],3,FALSE),0)</f>
        <v>0</v>
      </c>
      <c r="AT676" s="246">
        <f>IFERROR(VLOOKUP(D676,VOL_REC[],2,FALSE),0)</f>
        <v>0</v>
      </c>
      <c r="AU676" s="246">
        <f>IFERROR(VLOOKUP(E676,VOL_REC[],2,FALSE),0)</f>
        <v>0</v>
      </c>
      <c r="AV676" s="246">
        <f>IFERROR(VLOOKUP(F676,VOL_REC[],2,FALSE),0)</f>
        <v>11089674.200000001</v>
      </c>
      <c r="AW676" s="246">
        <f>IFERROR(VLOOKUP(G676,VOL_REC[],2,FALSE),0)</f>
        <v>90439.55</v>
      </c>
      <c r="AX676" s="246">
        <f>IFERROR(VLOOKUP(H676,VOL_REC[],2,FALSE),0)</f>
        <v>15540036.397699751</v>
      </c>
      <c r="AY676" s="246">
        <f>IFERROR(VLOOKUP(I676,VOL_REC[],2,FALSE),0)</f>
        <v>1812240</v>
      </c>
      <c r="AZ676" s="246">
        <f>IFERROR(VLOOKUP(J676,VOL_REC[],2,FALSE),0)</f>
        <v>663244.80000000016</v>
      </c>
      <c r="BA676" s="246">
        <f>IFERROR(VLOOKUP(K676,VOL_REC[],2,FALSE),0)</f>
        <v>740113.98115702497</v>
      </c>
      <c r="BB676" s="246">
        <f>IFERROR(VLOOKUP(L676,VOL_REC[],2,FALSE),0)</f>
        <v>0</v>
      </c>
      <c r="BC676" s="246">
        <f>IFERROR(VLOOKUP(M676,VOL_REC[],2,FALSE),0)</f>
        <v>0</v>
      </c>
      <c r="BD676" s="246">
        <f>IFERROR(VLOOKUP(N676,VOL_REC[],2,FALSE),0)</f>
        <v>0</v>
      </c>
      <c r="BE676" s="246">
        <f>IFERROR(VLOOKUP(O676,VOL_REC[],2,FALSE),0)</f>
        <v>0</v>
      </c>
      <c r="BF676" s="246">
        <f>IFERROR(VLOOKUP(P676,VOL_REC[],2,FALSE),0)</f>
        <v>0</v>
      </c>
      <c r="BG676" s="246">
        <f>IFERROR(VLOOKUP(Q676,VOL_REC[],2,FALSE),0)</f>
        <v>0</v>
      </c>
      <c r="BH676" s="1710">
        <f t="shared" si="40"/>
        <v>21079845786.248482</v>
      </c>
      <c r="BI676" s="1710">
        <f t="shared" si="41"/>
        <v>21781629165.255981</v>
      </c>
      <c r="BJ676" s="1711">
        <f t="shared" si="42"/>
        <v>29935748.928856775</v>
      </c>
      <c r="BK676" s="1711">
        <f t="shared" si="43"/>
        <v>0.96778095092506122</v>
      </c>
    </row>
    <row r="677" spans="3:67" x14ac:dyDescent="0.25">
      <c r="C677" s="246" t="s">
        <v>2027</v>
      </c>
      <c r="D677" s="246">
        <v>1</v>
      </c>
      <c r="E677" s="246">
        <v>2</v>
      </c>
      <c r="F677" s="246">
        <v>3</v>
      </c>
      <c r="G677" s="246">
        <v>4</v>
      </c>
      <c r="H677" s="246">
        <v>6</v>
      </c>
      <c r="I677" s="246">
        <v>10</v>
      </c>
      <c r="J677" s="246">
        <v>14</v>
      </c>
      <c r="K677" s="246">
        <v>15</v>
      </c>
      <c r="L677" s="246"/>
      <c r="M677" s="246"/>
      <c r="N677" s="246"/>
      <c r="O677" s="246"/>
      <c r="P677" s="246"/>
      <c r="Q677" s="246"/>
      <c r="R677" s="246">
        <f>IFERROR(VLOOKUP(D677,PROGRAMAS[],2,FALSE),0)</f>
        <v>97037803.679377079</v>
      </c>
      <c r="S677" s="246">
        <f>IFERROR(VLOOKUP(E677,PROGRAMAS[],2,FALSE),0)</f>
        <v>640501509.6821388</v>
      </c>
      <c r="T677" s="246">
        <f>IFERROR(VLOOKUP(F677,PROGRAMAS[],2,FALSE),0)</f>
        <v>3062327798.1525245</v>
      </c>
      <c r="U677" s="246">
        <f>IFERROR(VLOOKUP(G677,PROGRAMAS[],2,FALSE),0)</f>
        <v>67697118.033011258</v>
      </c>
      <c r="V677" s="246">
        <f>IFERROR(VLOOKUP(H677,PROGRAMAS[],2,FALSE),0)</f>
        <v>6907648435.8447599</v>
      </c>
      <c r="W677" s="246">
        <f>IFERROR(VLOOKUP(I677,PROGRAMAS[],2,FALSE),0)</f>
        <v>4635315027.8751087</v>
      </c>
      <c r="X677" s="246">
        <f>IFERROR(VLOOKUP(J677,PROGRAMAS[],2,FALSE),0)</f>
        <v>54223862.645839565</v>
      </c>
      <c r="Y677" s="246">
        <f>IFERROR(VLOOKUP(K677,PROGRAMAS[],2,FALSE),0)</f>
        <v>122159672.96346797</v>
      </c>
      <c r="Z677" s="246">
        <f>IFERROR(VLOOKUP(L677,PROGRAMAS[],2,FALSE),0)</f>
        <v>0</v>
      </c>
      <c r="AA677" s="246">
        <f>IFERROR(VLOOKUP(M677,PROGRAMAS[],2,FALSE),0)</f>
        <v>0</v>
      </c>
      <c r="AB677" s="246">
        <f>IFERROR(VLOOKUP(N677,PROGRAMAS[],2,FALSE),0)</f>
        <v>0</v>
      </c>
      <c r="AC677" s="246">
        <f>IFERROR(VLOOKUP(O677,PROGRAMAS[],2,FALSE),0)</f>
        <v>0</v>
      </c>
      <c r="AD677" s="246">
        <f>IFERROR(VLOOKUP(P677,PROGRAMAS[],2,FALSE),0)</f>
        <v>0</v>
      </c>
      <c r="AE677" s="246">
        <f>IFERROR(VLOOKUP(Q677,PROGRAMAS[],2,FALSE),0)</f>
        <v>0</v>
      </c>
      <c r="AF677" s="246">
        <f>IFERROR(VLOOKUP(D677,PROGRAMAS[],3,FALSE),0)</f>
        <v>841888629.31080008</v>
      </c>
      <c r="AG677" s="246">
        <f>IFERROR(VLOOKUP(E677,PROGRAMAS[],3,FALSE),0)</f>
        <v>3848980803.1642323</v>
      </c>
      <c r="AH677" s="246">
        <f>IFERROR(VLOOKUP(F677,PROGRAMAS[],3,FALSE),0)</f>
        <v>3394901471.387517</v>
      </c>
      <c r="AI677" s="246">
        <f>IFERROR(VLOOKUP(G677,PROGRAMAS[],3,FALSE),0)</f>
        <v>125317226.95549992</v>
      </c>
      <c r="AJ677" s="246">
        <f>IFERROR(VLOOKUP(H677,PROGRAMAS[],3,FALSE),0)</f>
        <v>6129902208.7912121</v>
      </c>
      <c r="AK677" s="246">
        <f>IFERROR(VLOOKUP(I677,PROGRAMAS[],3,FALSE),0)</f>
        <v>4099471734.9978786</v>
      </c>
      <c r="AL677" s="246">
        <f>IFERROR(VLOOKUP(J677,PROGRAMAS[],3,FALSE),0)</f>
        <v>31865326.38096505</v>
      </c>
      <c r="AM677" s="246">
        <f>IFERROR(VLOOKUP(K677,PROGRAMAS[],3,FALSE),0)</f>
        <v>118617452.52510804</v>
      </c>
      <c r="AN677" s="246">
        <f>IFERROR(VLOOKUP(L677,PROGRAMAS[],3,FALSE),0)</f>
        <v>0</v>
      </c>
      <c r="AO677" s="246">
        <f>IFERROR(VLOOKUP(M677,PROGRAMAS[],3,FALSE),0)</f>
        <v>0</v>
      </c>
      <c r="AP677" s="246">
        <f>IFERROR(VLOOKUP(N677,PROGRAMAS[],3,FALSE),0)</f>
        <v>0</v>
      </c>
      <c r="AQ677" s="246">
        <f>IFERROR(VLOOKUP(O677,PROGRAMAS[],3,FALSE),0)</f>
        <v>0</v>
      </c>
      <c r="AR677" s="246">
        <f>IFERROR(VLOOKUP(P677,PROGRAMAS[],3,FALSE),0)</f>
        <v>0</v>
      </c>
      <c r="AS677" s="246">
        <f>IFERROR(VLOOKUP(Q677,PROGRAMAS[],3,FALSE),0)</f>
        <v>0</v>
      </c>
      <c r="AT677" s="246">
        <f>IFERROR(VLOOKUP(D677,VOL_REC[],2,FALSE),0)</f>
        <v>0</v>
      </c>
      <c r="AU677" s="246">
        <f>IFERROR(VLOOKUP(E677,VOL_REC[],2,FALSE),0)</f>
        <v>0</v>
      </c>
      <c r="AV677" s="246">
        <f>IFERROR(VLOOKUP(F677,VOL_REC[],2,FALSE),0)</f>
        <v>11089674.200000001</v>
      </c>
      <c r="AW677" s="246">
        <f>IFERROR(VLOOKUP(G677,VOL_REC[],2,FALSE),0)</f>
        <v>90439.55</v>
      </c>
      <c r="AX677" s="246">
        <f>IFERROR(VLOOKUP(H677,VOL_REC[],2,FALSE),0)</f>
        <v>15540036.397699751</v>
      </c>
      <c r="AY677" s="246">
        <f>IFERROR(VLOOKUP(I677,VOL_REC[],2,FALSE),0)</f>
        <v>1812240</v>
      </c>
      <c r="AZ677" s="246">
        <f>IFERROR(VLOOKUP(J677,VOL_REC[],2,FALSE),0)</f>
        <v>17074.045034105649</v>
      </c>
      <c r="BA677" s="246">
        <f>IFERROR(VLOOKUP(K677,VOL_REC[],2,FALSE),0)</f>
        <v>105072</v>
      </c>
      <c r="BB677" s="246">
        <f>IFERROR(VLOOKUP(L677,VOL_REC[],2,FALSE),0)</f>
        <v>0</v>
      </c>
      <c r="BC677" s="246">
        <f>IFERROR(VLOOKUP(M677,VOL_REC[],2,FALSE),0)</f>
        <v>0</v>
      </c>
      <c r="BD677" s="246">
        <f>IFERROR(VLOOKUP(N677,VOL_REC[],2,FALSE),0)</f>
        <v>0</v>
      </c>
      <c r="BE677" s="246">
        <f>IFERROR(VLOOKUP(O677,VOL_REC[],2,FALSE),0)</f>
        <v>0</v>
      </c>
      <c r="BF677" s="246">
        <f>IFERROR(VLOOKUP(P677,VOL_REC[],2,FALSE),0)</f>
        <v>0</v>
      </c>
      <c r="BG677" s="246">
        <f>IFERROR(VLOOKUP(Q677,VOL_REC[],2,FALSE),0)</f>
        <v>0</v>
      </c>
      <c r="BH677" s="1710">
        <f t="shared" si="40"/>
        <v>15586911228.876228</v>
      </c>
      <c r="BI677" s="1710">
        <f t="shared" si="41"/>
        <v>18590944853.513214</v>
      </c>
      <c r="BJ677" s="1711">
        <f t="shared" si="42"/>
        <v>28654536.192733858</v>
      </c>
      <c r="BK677" s="1711">
        <f t="shared" si="43"/>
        <v>0.83841415009795484</v>
      </c>
    </row>
    <row r="678" spans="3:67" x14ac:dyDescent="0.25">
      <c r="C678" s="246" t="s">
        <v>2028</v>
      </c>
      <c r="D678" s="246">
        <v>1</v>
      </c>
      <c r="E678" s="246">
        <v>2</v>
      </c>
      <c r="F678" s="246">
        <v>3</v>
      </c>
      <c r="G678" s="246">
        <v>4</v>
      </c>
      <c r="H678" s="246">
        <v>6</v>
      </c>
      <c r="I678" s="246">
        <v>10</v>
      </c>
      <c r="J678" s="246">
        <v>14</v>
      </c>
      <c r="K678" s="246">
        <v>16</v>
      </c>
      <c r="L678" s="246"/>
      <c r="M678" s="246"/>
      <c r="N678" s="246"/>
      <c r="O678" s="246"/>
      <c r="P678" s="246"/>
      <c r="Q678" s="246"/>
      <c r="R678" s="246">
        <f>IFERROR(VLOOKUP(D678,PROGRAMAS[],2,FALSE),0)</f>
        <v>97037803.679377079</v>
      </c>
      <c r="S678" s="246">
        <f>IFERROR(VLOOKUP(E678,PROGRAMAS[],2,FALSE),0)</f>
        <v>640501509.6821388</v>
      </c>
      <c r="T678" s="246">
        <f>IFERROR(VLOOKUP(F678,PROGRAMAS[],2,FALSE),0)</f>
        <v>3062327798.1525245</v>
      </c>
      <c r="U678" s="246">
        <f>IFERROR(VLOOKUP(G678,PROGRAMAS[],2,FALSE),0)</f>
        <v>67697118.033011258</v>
      </c>
      <c r="V678" s="246">
        <f>IFERROR(VLOOKUP(H678,PROGRAMAS[],2,FALSE),0)</f>
        <v>6907648435.8447599</v>
      </c>
      <c r="W678" s="246">
        <f>IFERROR(VLOOKUP(I678,PROGRAMAS[],2,FALSE),0)</f>
        <v>4635315027.8751087</v>
      </c>
      <c r="X678" s="246">
        <f>IFERROR(VLOOKUP(J678,PROGRAMAS[],2,FALSE),0)</f>
        <v>54223862.645839565</v>
      </c>
      <c r="Y678" s="246">
        <f>IFERROR(VLOOKUP(K678,PROGRAMAS[],2,FALSE),0)</f>
        <v>7068496961.0436354</v>
      </c>
      <c r="Z678" s="246">
        <f>IFERROR(VLOOKUP(L678,PROGRAMAS[],2,FALSE),0)</f>
        <v>0</v>
      </c>
      <c r="AA678" s="246">
        <f>IFERROR(VLOOKUP(M678,PROGRAMAS[],2,FALSE),0)</f>
        <v>0</v>
      </c>
      <c r="AB678" s="246">
        <f>IFERROR(VLOOKUP(N678,PROGRAMAS[],2,FALSE),0)</f>
        <v>0</v>
      </c>
      <c r="AC678" s="246">
        <f>IFERROR(VLOOKUP(O678,PROGRAMAS[],2,FALSE),0)</f>
        <v>0</v>
      </c>
      <c r="AD678" s="246">
        <f>IFERROR(VLOOKUP(P678,PROGRAMAS[],2,FALSE),0)</f>
        <v>0</v>
      </c>
      <c r="AE678" s="246">
        <f>IFERROR(VLOOKUP(Q678,PROGRAMAS[],2,FALSE),0)</f>
        <v>0</v>
      </c>
      <c r="AF678" s="246">
        <f>IFERROR(VLOOKUP(D678,PROGRAMAS[],3,FALSE),0)</f>
        <v>841888629.31080008</v>
      </c>
      <c r="AG678" s="246">
        <f>IFERROR(VLOOKUP(E678,PROGRAMAS[],3,FALSE),0)</f>
        <v>3848980803.1642323</v>
      </c>
      <c r="AH678" s="246">
        <f>IFERROR(VLOOKUP(F678,PROGRAMAS[],3,FALSE),0)</f>
        <v>3394901471.387517</v>
      </c>
      <c r="AI678" s="246">
        <f>IFERROR(VLOOKUP(G678,PROGRAMAS[],3,FALSE),0)</f>
        <v>125317226.95549992</v>
      </c>
      <c r="AJ678" s="246">
        <f>IFERROR(VLOOKUP(H678,PROGRAMAS[],3,FALSE),0)</f>
        <v>6129902208.7912121</v>
      </c>
      <c r="AK678" s="246">
        <f>IFERROR(VLOOKUP(I678,PROGRAMAS[],3,FALSE),0)</f>
        <v>4099471734.9978786</v>
      </c>
      <c r="AL678" s="246">
        <f>IFERROR(VLOOKUP(J678,PROGRAMAS[],3,FALSE),0)</f>
        <v>31865326.38096505</v>
      </c>
      <c r="AM678" s="246">
        <f>IFERROR(VLOOKUP(K678,PROGRAMAS[],3,FALSE),0)</f>
        <v>2406564599.0319901</v>
      </c>
      <c r="AN678" s="246">
        <f>IFERROR(VLOOKUP(L678,PROGRAMAS[],3,FALSE),0)</f>
        <v>0</v>
      </c>
      <c r="AO678" s="246">
        <f>IFERROR(VLOOKUP(M678,PROGRAMAS[],3,FALSE),0)</f>
        <v>0</v>
      </c>
      <c r="AP678" s="246">
        <f>IFERROR(VLOOKUP(N678,PROGRAMAS[],3,FALSE),0)</f>
        <v>0</v>
      </c>
      <c r="AQ678" s="246">
        <f>IFERROR(VLOOKUP(O678,PROGRAMAS[],3,FALSE),0)</f>
        <v>0</v>
      </c>
      <c r="AR678" s="246">
        <f>IFERROR(VLOOKUP(P678,PROGRAMAS[],3,FALSE),0)</f>
        <v>0</v>
      </c>
      <c r="AS678" s="246">
        <f>IFERROR(VLOOKUP(Q678,PROGRAMAS[],3,FALSE),0)</f>
        <v>0</v>
      </c>
      <c r="AT678" s="246">
        <f>IFERROR(VLOOKUP(D678,VOL_REC[],2,FALSE),0)</f>
        <v>0</v>
      </c>
      <c r="AU678" s="246">
        <f>IFERROR(VLOOKUP(E678,VOL_REC[],2,FALSE),0)</f>
        <v>0</v>
      </c>
      <c r="AV678" s="246">
        <f>IFERROR(VLOOKUP(F678,VOL_REC[],2,FALSE),0)</f>
        <v>11089674.200000001</v>
      </c>
      <c r="AW678" s="246">
        <f>IFERROR(VLOOKUP(G678,VOL_REC[],2,FALSE),0)</f>
        <v>90439.55</v>
      </c>
      <c r="AX678" s="246">
        <f>IFERROR(VLOOKUP(H678,VOL_REC[],2,FALSE),0)</f>
        <v>15540036.397699751</v>
      </c>
      <c r="AY678" s="246">
        <f>IFERROR(VLOOKUP(I678,VOL_REC[],2,FALSE),0)</f>
        <v>1812240</v>
      </c>
      <c r="AZ678" s="246">
        <f>IFERROR(VLOOKUP(J678,VOL_REC[],2,FALSE),0)</f>
        <v>17074.045034105649</v>
      </c>
      <c r="BA678" s="246">
        <f>IFERROR(VLOOKUP(K678,VOL_REC[],2,FALSE),0)</f>
        <v>1072354.9981737854</v>
      </c>
      <c r="BB678" s="246">
        <f>IFERROR(VLOOKUP(L678,VOL_REC[],2,FALSE),0)</f>
        <v>0</v>
      </c>
      <c r="BC678" s="246">
        <f>IFERROR(VLOOKUP(M678,VOL_REC[],2,FALSE),0)</f>
        <v>0</v>
      </c>
      <c r="BD678" s="246">
        <f>IFERROR(VLOOKUP(N678,VOL_REC[],2,FALSE),0)</f>
        <v>0</v>
      </c>
      <c r="BE678" s="246">
        <f>IFERROR(VLOOKUP(O678,VOL_REC[],2,FALSE),0)</f>
        <v>0</v>
      </c>
      <c r="BF678" s="246">
        <f>IFERROR(VLOOKUP(P678,VOL_REC[],2,FALSE),0)</f>
        <v>0</v>
      </c>
      <c r="BG678" s="246">
        <f>IFERROR(VLOOKUP(Q678,VOL_REC[],2,FALSE),0)</f>
        <v>0</v>
      </c>
      <c r="BH678" s="1710">
        <f t="shared" si="40"/>
        <v>22533248516.956394</v>
      </c>
      <c r="BI678" s="1710">
        <f t="shared" si="41"/>
        <v>20878892000.020096</v>
      </c>
      <c r="BJ678" s="1711">
        <f t="shared" si="42"/>
        <v>29621819.190907642</v>
      </c>
      <c r="BK678" s="1711">
        <f t="shared" si="43"/>
        <v>1.079235838613213</v>
      </c>
      <c r="BL678">
        <f>BJ678</f>
        <v>29621819.190907642</v>
      </c>
      <c r="BO678">
        <f>BL678</f>
        <v>29621819.190907642</v>
      </c>
    </row>
    <row r="679" spans="3:67" x14ac:dyDescent="0.25">
      <c r="C679" s="246" t="s">
        <v>2029</v>
      </c>
      <c r="D679" s="246">
        <v>1</v>
      </c>
      <c r="E679" s="246">
        <v>2</v>
      </c>
      <c r="F679" s="246">
        <v>3</v>
      </c>
      <c r="G679" s="246">
        <v>4</v>
      </c>
      <c r="H679" s="246">
        <v>6</v>
      </c>
      <c r="I679" s="246">
        <v>10</v>
      </c>
      <c r="J679" s="246">
        <v>14</v>
      </c>
      <c r="K679" s="246">
        <v>17</v>
      </c>
      <c r="L679" s="246"/>
      <c r="M679" s="246"/>
      <c r="N679" s="246"/>
      <c r="O679" s="246"/>
      <c r="P679" s="246"/>
      <c r="Q679" s="246"/>
      <c r="R679" s="246">
        <f>IFERROR(VLOOKUP(D679,PROGRAMAS[],2,FALSE),0)</f>
        <v>97037803.679377079</v>
      </c>
      <c r="S679" s="246">
        <f>IFERROR(VLOOKUP(E679,PROGRAMAS[],2,FALSE),0)</f>
        <v>640501509.6821388</v>
      </c>
      <c r="T679" s="246">
        <f>IFERROR(VLOOKUP(F679,PROGRAMAS[],2,FALSE),0)</f>
        <v>3062327798.1525245</v>
      </c>
      <c r="U679" s="246">
        <f>IFERROR(VLOOKUP(G679,PROGRAMAS[],2,FALSE),0)</f>
        <v>67697118.033011258</v>
      </c>
      <c r="V679" s="246">
        <f>IFERROR(VLOOKUP(H679,PROGRAMAS[],2,FALSE),0)</f>
        <v>6907648435.8447599</v>
      </c>
      <c r="W679" s="246">
        <f>IFERROR(VLOOKUP(I679,PROGRAMAS[],2,FALSE),0)</f>
        <v>4635315027.8751087</v>
      </c>
      <c r="X679" s="246">
        <f>IFERROR(VLOOKUP(J679,PROGRAMAS[],2,FALSE),0)</f>
        <v>54223862.645839565</v>
      </c>
      <c r="Y679" s="246">
        <f>IFERROR(VLOOKUP(K679,PROGRAMAS[],2,FALSE),0)</f>
        <v>1892779498.5211046</v>
      </c>
      <c r="Z679" s="246">
        <f>IFERROR(VLOOKUP(L679,PROGRAMAS[],2,FALSE),0)</f>
        <v>0</v>
      </c>
      <c r="AA679" s="246">
        <f>IFERROR(VLOOKUP(M679,PROGRAMAS[],2,FALSE),0)</f>
        <v>0</v>
      </c>
      <c r="AB679" s="246">
        <f>IFERROR(VLOOKUP(N679,PROGRAMAS[],2,FALSE),0)</f>
        <v>0</v>
      </c>
      <c r="AC679" s="246">
        <f>IFERROR(VLOOKUP(O679,PROGRAMAS[],2,FALSE),0)</f>
        <v>0</v>
      </c>
      <c r="AD679" s="246">
        <f>IFERROR(VLOOKUP(P679,PROGRAMAS[],2,FALSE),0)</f>
        <v>0</v>
      </c>
      <c r="AE679" s="246">
        <f>IFERROR(VLOOKUP(Q679,PROGRAMAS[],2,FALSE),0)</f>
        <v>0</v>
      </c>
      <c r="AF679" s="246">
        <f>IFERROR(VLOOKUP(D679,PROGRAMAS[],3,FALSE),0)</f>
        <v>841888629.31080008</v>
      </c>
      <c r="AG679" s="246">
        <f>IFERROR(VLOOKUP(E679,PROGRAMAS[],3,FALSE),0)</f>
        <v>3848980803.1642323</v>
      </c>
      <c r="AH679" s="246">
        <f>IFERROR(VLOOKUP(F679,PROGRAMAS[],3,FALSE),0)</f>
        <v>3394901471.387517</v>
      </c>
      <c r="AI679" s="246">
        <f>IFERROR(VLOOKUP(G679,PROGRAMAS[],3,FALSE),0)</f>
        <v>125317226.95549992</v>
      </c>
      <c r="AJ679" s="246">
        <f>IFERROR(VLOOKUP(H679,PROGRAMAS[],3,FALSE),0)</f>
        <v>6129902208.7912121</v>
      </c>
      <c r="AK679" s="246">
        <f>IFERROR(VLOOKUP(I679,PROGRAMAS[],3,FALSE),0)</f>
        <v>4099471734.9978786</v>
      </c>
      <c r="AL679" s="246">
        <f>IFERROR(VLOOKUP(J679,PROGRAMAS[],3,FALSE),0)</f>
        <v>31865326.38096505</v>
      </c>
      <c r="AM679" s="246">
        <f>IFERROR(VLOOKUP(K679,PROGRAMAS[],3,FALSE),0)</f>
        <v>948595847.09039903</v>
      </c>
      <c r="AN679" s="246">
        <f>IFERROR(VLOOKUP(L679,PROGRAMAS[],3,FALSE),0)</f>
        <v>0</v>
      </c>
      <c r="AO679" s="246">
        <f>IFERROR(VLOOKUP(M679,PROGRAMAS[],3,FALSE),0)</f>
        <v>0</v>
      </c>
      <c r="AP679" s="246">
        <f>IFERROR(VLOOKUP(N679,PROGRAMAS[],3,FALSE),0)</f>
        <v>0</v>
      </c>
      <c r="AQ679" s="246">
        <f>IFERROR(VLOOKUP(O679,PROGRAMAS[],3,FALSE),0)</f>
        <v>0</v>
      </c>
      <c r="AR679" s="246">
        <f>IFERROR(VLOOKUP(P679,PROGRAMAS[],3,FALSE),0)</f>
        <v>0</v>
      </c>
      <c r="AS679" s="246">
        <f>IFERROR(VLOOKUP(Q679,PROGRAMAS[],3,FALSE),0)</f>
        <v>0</v>
      </c>
      <c r="AT679" s="246">
        <f>IFERROR(VLOOKUP(D679,VOL_REC[],2,FALSE),0)</f>
        <v>0</v>
      </c>
      <c r="AU679" s="246">
        <f>IFERROR(VLOOKUP(E679,VOL_REC[],2,FALSE),0)</f>
        <v>0</v>
      </c>
      <c r="AV679" s="246">
        <f>IFERROR(VLOOKUP(F679,VOL_REC[],2,FALSE),0)</f>
        <v>11089674.200000001</v>
      </c>
      <c r="AW679" s="246">
        <f>IFERROR(VLOOKUP(G679,VOL_REC[],2,FALSE),0)</f>
        <v>90439.55</v>
      </c>
      <c r="AX679" s="246">
        <f>IFERROR(VLOOKUP(H679,VOL_REC[],2,FALSE),0)</f>
        <v>15540036.397699751</v>
      </c>
      <c r="AY679" s="246">
        <f>IFERROR(VLOOKUP(I679,VOL_REC[],2,FALSE),0)</f>
        <v>1812240</v>
      </c>
      <c r="AZ679" s="246">
        <f>IFERROR(VLOOKUP(J679,VOL_REC[],2,FALSE),0)</f>
        <v>17074.045034105649</v>
      </c>
      <c r="BA679" s="246">
        <f>IFERROR(VLOOKUP(K679,VOL_REC[],2,FALSE),0)</f>
        <v>740113.98115702497</v>
      </c>
      <c r="BB679" s="246">
        <f>IFERROR(VLOOKUP(L679,VOL_REC[],2,FALSE),0)</f>
        <v>0</v>
      </c>
      <c r="BC679" s="246">
        <f>IFERROR(VLOOKUP(M679,VOL_REC[],2,FALSE),0)</f>
        <v>0</v>
      </c>
      <c r="BD679" s="246">
        <f>IFERROR(VLOOKUP(N679,VOL_REC[],2,FALSE),0)</f>
        <v>0</v>
      </c>
      <c r="BE679" s="246">
        <f>IFERROR(VLOOKUP(O679,VOL_REC[],2,FALSE),0)</f>
        <v>0</v>
      </c>
      <c r="BF679" s="246">
        <f>IFERROR(VLOOKUP(P679,VOL_REC[],2,FALSE),0)</f>
        <v>0</v>
      </c>
      <c r="BG679" s="246">
        <f>IFERROR(VLOOKUP(Q679,VOL_REC[],2,FALSE),0)</f>
        <v>0</v>
      </c>
      <c r="BH679" s="1710">
        <f t="shared" si="40"/>
        <v>17357531054.433865</v>
      </c>
      <c r="BI679" s="1710">
        <f t="shared" si="41"/>
        <v>19420923248.078506</v>
      </c>
      <c r="BJ679" s="1711">
        <f t="shared" si="42"/>
        <v>29289578.173890881</v>
      </c>
      <c r="BK679" s="1711">
        <f t="shared" si="43"/>
        <v>0.89375416568577437</v>
      </c>
    </row>
    <row r="680" spans="3:67" x14ac:dyDescent="0.25">
      <c r="C680" s="246" t="s">
        <v>2030</v>
      </c>
      <c r="D680" s="246">
        <v>1</v>
      </c>
      <c r="E680" s="246">
        <v>2</v>
      </c>
      <c r="F680" s="246">
        <v>3</v>
      </c>
      <c r="G680" s="246">
        <v>4</v>
      </c>
      <c r="H680" s="246">
        <v>6</v>
      </c>
      <c r="I680" s="246">
        <v>10</v>
      </c>
      <c r="J680" s="246">
        <v>15</v>
      </c>
      <c r="K680" s="246">
        <v>16</v>
      </c>
      <c r="L680" s="246"/>
      <c r="M680" s="246"/>
      <c r="N680" s="246"/>
      <c r="O680" s="246"/>
      <c r="P680" s="246"/>
      <c r="Q680" s="246"/>
      <c r="R680" s="246">
        <f>IFERROR(VLOOKUP(D680,PROGRAMAS[],2,FALSE),0)</f>
        <v>97037803.679377079</v>
      </c>
      <c r="S680" s="246">
        <f>IFERROR(VLOOKUP(E680,PROGRAMAS[],2,FALSE),0)</f>
        <v>640501509.6821388</v>
      </c>
      <c r="T680" s="246">
        <f>IFERROR(VLOOKUP(F680,PROGRAMAS[],2,FALSE),0)</f>
        <v>3062327798.1525245</v>
      </c>
      <c r="U680" s="246">
        <f>IFERROR(VLOOKUP(G680,PROGRAMAS[],2,FALSE),0)</f>
        <v>67697118.033011258</v>
      </c>
      <c r="V680" s="246">
        <f>IFERROR(VLOOKUP(H680,PROGRAMAS[],2,FALSE),0)</f>
        <v>6907648435.8447599</v>
      </c>
      <c r="W680" s="246">
        <f>IFERROR(VLOOKUP(I680,PROGRAMAS[],2,FALSE),0)</f>
        <v>4635315027.8751087</v>
      </c>
      <c r="X680" s="246">
        <f>IFERROR(VLOOKUP(J680,PROGRAMAS[],2,FALSE),0)</f>
        <v>122159672.96346797</v>
      </c>
      <c r="Y680" s="246">
        <f>IFERROR(VLOOKUP(K680,PROGRAMAS[],2,FALSE),0)</f>
        <v>7068496961.0436354</v>
      </c>
      <c r="Z680" s="246">
        <f>IFERROR(VLOOKUP(L680,PROGRAMAS[],2,FALSE),0)</f>
        <v>0</v>
      </c>
      <c r="AA680" s="246">
        <f>IFERROR(VLOOKUP(M680,PROGRAMAS[],2,FALSE),0)</f>
        <v>0</v>
      </c>
      <c r="AB680" s="246">
        <f>IFERROR(VLOOKUP(N680,PROGRAMAS[],2,FALSE),0)</f>
        <v>0</v>
      </c>
      <c r="AC680" s="246">
        <f>IFERROR(VLOOKUP(O680,PROGRAMAS[],2,FALSE),0)</f>
        <v>0</v>
      </c>
      <c r="AD680" s="246">
        <f>IFERROR(VLOOKUP(P680,PROGRAMAS[],2,FALSE),0)</f>
        <v>0</v>
      </c>
      <c r="AE680" s="246">
        <f>IFERROR(VLOOKUP(Q680,PROGRAMAS[],2,FALSE),0)</f>
        <v>0</v>
      </c>
      <c r="AF680" s="246">
        <f>IFERROR(VLOOKUP(D680,PROGRAMAS[],3,FALSE),0)</f>
        <v>841888629.31080008</v>
      </c>
      <c r="AG680" s="246">
        <f>IFERROR(VLOOKUP(E680,PROGRAMAS[],3,FALSE),0)</f>
        <v>3848980803.1642323</v>
      </c>
      <c r="AH680" s="246">
        <f>IFERROR(VLOOKUP(F680,PROGRAMAS[],3,FALSE),0)</f>
        <v>3394901471.387517</v>
      </c>
      <c r="AI680" s="246">
        <f>IFERROR(VLOOKUP(G680,PROGRAMAS[],3,FALSE),0)</f>
        <v>125317226.95549992</v>
      </c>
      <c r="AJ680" s="246">
        <f>IFERROR(VLOOKUP(H680,PROGRAMAS[],3,FALSE),0)</f>
        <v>6129902208.7912121</v>
      </c>
      <c r="AK680" s="246">
        <f>IFERROR(VLOOKUP(I680,PROGRAMAS[],3,FALSE),0)</f>
        <v>4099471734.9978786</v>
      </c>
      <c r="AL680" s="246">
        <f>IFERROR(VLOOKUP(J680,PROGRAMAS[],3,FALSE),0)</f>
        <v>118617452.52510804</v>
      </c>
      <c r="AM680" s="246">
        <f>IFERROR(VLOOKUP(K680,PROGRAMAS[],3,FALSE),0)</f>
        <v>2406564599.0319901</v>
      </c>
      <c r="AN680" s="246">
        <f>IFERROR(VLOOKUP(L680,PROGRAMAS[],3,FALSE),0)</f>
        <v>0</v>
      </c>
      <c r="AO680" s="246">
        <f>IFERROR(VLOOKUP(M680,PROGRAMAS[],3,FALSE),0)</f>
        <v>0</v>
      </c>
      <c r="AP680" s="246">
        <f>IFERROR(VLOOKUP(N680,PROGRAMAS[],3,FALSE),0)</f>
        <v>0</v>
      </c>
      <c r="AQ680" s="246">
        <f>IFERROR(VLOOKUP(O680,PROGRAMAS[],3,FALSE),0)</f>
        <v>0</v>
      </c>
      <c r="AR680" s="246">
        <f>IFERROR(VLOOKUP(P680,PROGRAMAS[],3,FALSE),0)</f>
        <v>0</v>
      </c>
      <c r="AS680" s="246">
        <f>IFERROR(VLOOKUP(Q680,PROGRAMAS[],3,FALSE),0)</f>
        <v>0</v>
      </c>
      <c r="AT680" s="246">
        <f>IFERROR(VLOOKUP(D680,VOL_REC[],2,FALSE),0)</f>
        <v>0</v>
      </c>
      <c r="AU680" s="246">
        <f>IFERROR(VLOOKUP(E680,VOL_REC[],2,FALSE),0)</f>
        <v>0</v>
      </c>
      <c r="AV680" s="246">
        <f>IFERROR(VLOOKUP(F680,VOL_REC[],2,FALSE),0)</f>
        <v>11089674.200000001</v>
      </c>
      <c r="AW680" s="246">
        <f>IFERROR(VLOOKUP(G680,VOL_REC[],2,FALSE),0)</f>
        <v>90439.55</v>
      </c>
      <c r="AX680" s="246">
        <f>IFERROR(VLOOKUP(H680,VOL_REC[],2,FALSE),0)</f>
        <v>15540036.397699751</v>
      </c>
      <c r="AY680" s="246">
        <f>IFERROR(VLOOKUP(I680,VOL_REC[],2,FALSE),0)</f>
        <v>1812240</v>
      </c>
      <c r="AZ680" s="246">
        <f>IFERROR(VLOOKUP(J680,VOL_REC[],2,FALSE),0)</f>
        <v>105072</v>
      </c>
      <c r="BA680" s="246">
        <f>IFERROR(VLOOKUP(K680,VOL_REC[],2,FALSE),0)</f>
        <v>1072354.9981737854</v>
      </c>
      <c r="BB680" s="246">
        <f>IFERROR(VLOOKUP(L680,VOL_REC[],2,FALSE),0)</f>
        <v>0</v>
      </c>
      <c r="BC680" s="246">
        <f>IFERROR(VLOOKUP(M680,VOL_REC[],2,FALSE),0)</f>
        <v>0</v>
      </c>
      <c r="BD680" s="246">
        <f>IFERROR(VLOOKUP(N680,VOL_REC[],2,FALSE),0)</f>
        <v>0</v>
      </c>
      <c r="BE680" s="246">
        <f>IFERROR(VLOOKUP(O680,VOL_REC[],2,FALSE),0)</f>
        <v>0</v>
      </c>
      <c r="BF680" s="246">
        <f>IFERROR(VLOOKUP(P680,VOL_REC[],2,FALSE),0)</f>
        <v>0</v>
      </c>
      <c r="BG680" s="246">
        <f>IFERROR(VLOOKUP(Q680,VOL_REC[],2,FALSE),0)</f>
        <v>0</v>
      </c>
      <c r="BH680" s="1710">
        <f t="shared" si="40"/>
        <v>22601184327.274025</v>
      </c>
      <c r="BI680" s="1710">
        <f t="shared" si="41"/>
        <v>20965644126.164238</v>
      </c>
      <c r="BJ680" s="1711">
        <f t="shared" si="42"/>
        <v>29709817.145873535</v>
      </c>
      <c r="BK680" s="1711">
        <f t="shared" si="43"/>
        <v>1.0780104914147952</v>
      </c>
      <c r="BL680">
        <f>BJ680</f>
        <v>29709817.145873535</v>
      </c>
      <c r="BO680">
        <f>BL680</f>
        <v>29709817.145873535</v>
      </c>
    </row>
    <row r="681" spans="3:67" x14ac:dyDescent="0.25">
      <c r="C681" s="246" t="s">
        <v>2031</v>
      </c>
      <c r="D681" s="246">
        <v>1</v>
      </c>
      <c r="E681" s="246">
        <v>2</v>
      </c>
      <c r="F681" s="246">
        <v>3</v>
      </c>
      <c r="G681" s="246">
        <v>4</v>
      </c>
      <c r="H681" s="246">
        <v>6</v>
      </c>
      <c r="I681" s="246">
        <v>10</v>
      </c>
      <c r="J681" s="246">
        <v>15</v>
      </c>
      <c r="K681" s="246">
        <v>17</v>
      </c>
      <c r="L681" s="246"/>
      <c r="M681" s="246"/>
      <c r="N681" s="246"/>
      <c r="O681" s="246"/>
      <c r="P681" s="246"/>
      <c r="Q681" s="246"/>
      <c r="R681" s="246">
        <f>IFERROR(VLOOKUP(D681,PROGRAMAS[],2,FALSE),0)</f>
        <v>97037803.679377079</v>
      </c>
      <c r="S681" s="246">
        <f>IFERROR(VLOOKUP(E681,PROGRAMAS[],2,FALSE),0)</f>
        <v>640501509.6821388</v>
      </c>
      <c r="T681" s="246">
        <f>IFERROR(VLOOKUP(F681,PROGRAMAS[],2,FALSE),0)</f>
        <v>3062327798.1525245</v>
      </c>
      <c r="U681" s="246">
        <f>IFERROR(VLOOKUP(G681,PROGRAMAS[],2,FALSE),0)</f>
        <v>67697118.033011258</v>
      </c>
      <c r="V681" s="246">
        <f>IFERROR(VLOOKUP(H681,PROGRAMAS[],2,FALSE),0)</f>
        <v>6907648435.8447599</v>
      </c>
      <c r="W681" s="246">
        <f>IFERROR(VLOOKUP(I681,PROGRAMAS[],2,FALSE),0)</f>
        <v>4635315027.8751087</v>
      </c>
      <c r="X681" s="246">
        <f>IFERROR(VLOOKUP(J681,PROGRAMAS[],2,FALSE),0)</f>
        <v>122159672.96346797</v>
      </c>
      <c r="Y681" s="246">
        <f>IFERROR(VLOOKUP(K681,PROGRAMAS[],2,FALSE),0)</f>
        <v>1892779498.5211046</v>
      </c>
      <c r="Z681" s="246">
        <f>IFERROR(VLOOKUP(L681,PROGRAMAS[],2,FALSE),0)</f>
        <v>0</v>
      </c>
      <c r="AA681" s="246">
        <f>IFERROR(VLOOKUP(M681,PROGRAMAS[],2,FALSE),0)</f>
        <v>0</v>
      </c>
      <c r="AB681" s="246">
        <f>IFERROR(VLOOKUP(N681,PROGRAMAS[],2,FALSE),0)</f>
        <v>0</v>
      </c>
      <c r="AC681" s="246">
        <f>IFERROR(VLOOKUP(O681,PROGRAMAS[],2,FALSE),0)</f>
        <v>0</v>
      </c>
      <c r="AD681" s="246">
        <f>IFERROR(VLOOKUP(P681,PROGRAMAS[],2,FALSE),0)</f>
        <v>0</v>
      </c>
      <c r="AE681" s="246">
        <f>IFERROR(VLOOKUP(Q681,PROGRAMAS[],2,FALSE),0)</f>
        <v>0</v>
      </c>
      <c r="AF681" s="246">
        <f>IFERROR(VLOOKUP(D681,PROGRAMAS[],3,FALSE),0)</f>
        <v>841888629.31080008</v>
      </c>
      <c r="AG681" s="246">
        <f>IFERROR(VLOOKUP(E681,PROGRAMAS[],3,FALSE),0)</f>
        <v>3848980803.1642323</v>
      </c>
      <c r="AH681" s="246">
        <f>IFERROR(VLOOKUP(F681,PROGRAMAS[],3,FALSE),0)</f>
        <v>3394901471.387517</v>
      </c>
      <c r="AI681" s="246">
        <f>IFERROR(VLOOKUP(G681,PROGRAMAS[],3,FALSE),0)</f>
        <v>125317226.95549992</v>
      </c>
      <c r="AJ681" s="246">
        <f>IFERROR(VLOOKUP(H681,PROGRAMAS[],3,FALSE),0)</f>
        <v>6129902208.7912121</v>
      </c>
      <c r="AK681" s="246">
        <f>IFERROR(VLOOKUP(I681,PROGRAMAS[],3,FALSE),0)</f>
        <v>4099471734.9978786</v>
      </c>
      <c r="AL681" s="246">
        <f>IFERROR(VLOOKUP(J681,PROGRAMAS[],3,FALSE),0)</f>
        <v>118617452.52510804</v>
      </c>
      <c r="AM681" s="246">
        <f>IFERROR(VLOOKUP(K681,PROGRAMAS[],3,FALSE),0)</f>
        <v>948595847.09039903</v>
      </c>
      <c r="AN681" s="246">
        <f>IFERROR(VLOOKUP(L681,PROGRAMAS[],3,FALSE),0)</f>
        <v>0</v>
      </c>
      <c r="AO681" s="246">
        <f>IFERROR(VLOOKUP(M681,PROGRAMAS[],3,FALSE),0)</f>
        <v>0</v>
      </c>
      <c r="AP681" s="246">
        <f>IFERROR(VLOOKUP(N681,PROGRAMAS[],3,FALSE),0)</f>
        <v>0</v>
      </c>
      <c r="AQ681" s="246">
        <f>IFERROR(VLOOKUP(O681,PROGRAMAS[],3,FALSE),0)</f>
        <v>0</v>
      </c>
      <c r="AR681" s="246">
        <f>IFERROR(VLOOKUP(P681,PROGRAMAS[],3,FALSE),0)</f>
        <v>0</v>
      </c>
      <c r="AS681" s="246">
        <f>IFERROR(VLOOKUP(Q681,PROGRAMAS[],3,FALSE),0)</f>
        <v>0</v>
      </c>
      <c r="AT681" s="246">
        <f>IFERROR(VLOOKUP(D681,VOL_REC[],2,FALSE),0)</f>
        <v>0</v>
      </c>
      <c r="AU681" s="246">
        <f>IFERROR(VLOOKUP(E681,VOL_REC[],2,FALSE),0)</f>
        <v>0</v>
      </c>
      <c r="AV681" s="246">
        <f>IFERROR(VLOOKUP(F681,VOL_REC[],2,FALSE),0)</f>
        <v>11089674.200000001</v>
      </c>
      <c r="AW681" s="246">
        <f>IFERROR(VLOOKUP(G681,VOL_REC[],2,FALSE),0)</f>
        <v>90439.55</v>
      </c>
      <c r="AX681" s="246">
        <f>IFERROR(VLOOKUP(H681,VOL_REC[],2,FALSE),0)</f>
        <v>15540036.397699751</v>
      </c>
      <c r="AY681" s="246">
        <f>IFERROR(VLOOKUP(I681,VOL_REC[],2,FALSE),0)</f>
        <v>1812240</v>
      </c>
      <c r="AZ681" s="246">
        <f>IFERROR(VLOOKUP(J681,VOL_REC[],2,FALSE),0)</f>
        <v>105072</v>
      </c>
      <c r="BA681" s="246">
        <f>IFERROR(VLOOKUP(K681,VOL_REC[],2,FALSE),0)</f>
        <v>740113.98115702497</v>
      </c>
      <c r="BB681" s="246">
        <f>IFERROR(VLOOKUP(L681,VOL_REC[],2,FALSE),0)</f>
        <v>0</v>
      </c>
      <c r="BC681" s="246">
        <f>IFERROR(VLOOKUP(M681,VOL_REC[],2,FALSE),0)</f>
        <v>0</v>
      </c>
      <c r="BD681" s="246">
        <f>IFERROR(VLOOKUP(N681,VOL_REC[],2,FALSE),0)</f>
        <v>0</v>
      </c>
      <c r="BE681" s="246">
        <f>IFERROR(VLOOKUP(O681,VOL_REC[],2,FALSE),0)</f>
        <v>0</v>
      </c>
      <c r="BF681" s="246">
        <f>IFERROR(VLOOKUP(P681,VOL_REC[],2,FALSE),0)</f>
        <v>0</v>
      </c>
      <c r="BG681" s="246">
        <f>IFERROR(VLOOKUP(Q681,VOL_REC[],2,FALSE),0)</f>
        <v>0</v>
      </c>
      <c r="BH681" s="1710">
        <f t="shared" si="40"/>
        <v>17425466864.751492</v>
      </c>
      <c r="BI681" s="1710">
        <f t="shared" si="41"/>
        <v>19507675374.222649</v>
      </c>
      <c r="BJ681" s="1711">
        <f t="shared" si="42"/>
        <v>29377576.128856774</v>
      </c>
      <c r="BK681" s="1711">
        <f t="shared" si="43"/>
        <v>0.89326208943262519</v>
      </c>
    </row>
    <row r="682" spans="3:67" x14ac:dyDescent="0.25">
      <c r="C682" s="246" t="s">
        <v>2032</v>
      </c>
      <c r="D682" s="246">
        <v>1</v>
      </c>
      <c r="E682" s="246">
        <v>2</v>
      </c>
      <c r="F682" s="246">
        <v>3</v>
      </c>
      <c r="G682" s="246">
        <v>4</v>
      </c>
      <c r="H682" s="246">
        <v>6</v>
      </c>
      <c r="I682" s="246">
        <v>10</v>
      </c>
      <c r="J682" s="246">
        <v>16</v>
      </c>
      <c r="K682" s="246">
        <v>17</v>
      </c>
      <c r="L682" s="246"/>
      <c r="M682" s="246"/>
      <c r="N682" s="246"/>
      <c r="O682" s="246"/>
      <c r="P682" s="246"/>
      <c r="Q682" s="246"/>
      <c r="R682" s="246">
        <f>IFERROR(VLOOKUP(D682,PROGRAMAS[],2,FALSE),0)</f>
        <v>97037803.679377079</v>
      </c>
      <c r="S682" s="246">
        <f>IFERROR(VLOOKUP(E682,PROGRAMAS[],2,FALSE),0)</f>
        <v>640501509.6821388</v>
      </c>
      <c r="T682" s="246">
        <f>IFERROR(VLOOKUP(F682,PROGRAMAS[],2,FALSE),0)</f>
        <v>3062327798.1525245</v>
      </c>
      <c r="U682" s="246">
        <f>IFERROR(VLOOKUP(G682,PROGRAMAS[],2,FALSE),0)</f>
        <v>67697118.033011258</v>
      </c>
      <c r="V682" s="246">
        <f>IFERROR(VLOOKUP(H682,PROGRAMAS[],2,FALSE),0)</f>
        <v>6907648435.8447599</v>
      </c>
      <c r="W682" s="246">
        <f>IFERROR(VLOOKUP(I682,PROGRAMAS[],2,FALSE),0)</f>
        <v>4635315027.8751087</v>
      </c>
      <c r="X682" s="246">
        <f>IFERROR(VLOOKUP(J682,PROGRAMAS[],2,FALSE),0)</f>
        <v>7068496961.0436354</v>
      </c>
      <c r="Y682" s="246">
        <f>IFERROR(VLOOKUP(K682,PROGRAMAS[],2,FALSE),0)</f>
        <v>1892779498.5211046</v>
      </c>
      <c r="Z682" s="246">
        <f>IFERROR(VLOOKUP(L682,PROGRAMAS[],2,FALSE),0)</f>
        <v>0</v>
      </c>
      <c r="AA682" s="246">
        <f>IFERROR(VLOOKUP(M682,PROGRAMAS[],2,FALSE),0)</f>
        <v>0</v>
      </c>
      <c r="AB682" s="246">
        <f>IFERROR(VLOOKUP(N682,PROGRAMAS[],2,FALSE),0)</f>
        <v>0</v>
      </c>
      <c r="AC682" s="246">
        <f>IFERROR(VLOOKUP(O682,PROGRAMAS[],2,FALSE),0)</f>
        <v>0</v>
      </c>
      <c r="AD682" s="246">
        <f>IFERROR(VLOOKUP(P682,PROGRAMAS[],2,FALSE),0)</f>
        <v>0</v>
      </c>
      <c r="AE682" s="246">
        <f>IFERROR(VLOOKUP(Q682,PROGRAMAS[],2,FALSE),0)</f>
        <v>0</v>
      </c>
      <c r="AF682" s="246">
        <f>IFERROR(VLOOKUP(D682,PROGRAMAS[],3,FALSE),0)</f>
        <v>841888629.31080008</v>
      </c>
      <c r="AG682" s="246">
        <f>IFERROR(VLOOKUP(E682,PROGRAMAS[],3,FALSE),0)</f>
        <v>3848980803.1642323</v>
      </c>
      <c r="AH682" s="246">
        <f>IFERROR(VLOOKUP(F682,PROGRAMAS[],3,FALSE),0)</f>
        <v>3394901471.387517</v>
      </c>
      <c r="AI682" s="246">
        <f>IFERROR(VLOOKUP(G682,PROGRAMAS[],3,FALSE),0)</f>
        <v>125317226.95549992</v>
      </c>
      <c r="AJ682" s="246">
        <f>IFERROR(VLOOKUP(H682,PROGRAMAS[],3,FALSE),0)</f>
        <v>6129902208.7912121</v>
      </c>
      <c r="AK682" s="246">
        <f>IFERROR(VLOOKUP(I682,PROGRAMAS[],3,FALSE),0)</f>
        <v>4099471734.9978786</v>
      </c>
      <c r="AL682" s="246">
        <f>IFERROR(VLOOKUP(J682,PROGRAMAS[],3,FALSE),0)</f>
        <v>2406564599.0319901</v>
      </c>
      <c r="AM682" s="246">
        <f>IFERROR(VLOOKUP(K682,PROGRAMAS[],3,FALSE),0)</f>
        <v>948595847.09039903</v>
      </c>
      <c r="AN682" s="246">
        <f>IFERROR(VLOOKUP(L682,PROGRAMAS[],3,FALSE),0)</f>
        <v>0</v>
      </c>
      <c r="AO682" s="246">
        <f>IFERROR(VLOOKUP(M682,PROGRAMAS[],3,FALSE),0)</f>
        <v>0</v>
      </c>
      <c r="AP682" s="246">
        <f>IFERROR(VLOOKUP(N682,PROGRAMAS[],3,FALSE),0)</f>
        <v>0</v>
      </c>
      <c r="AQ682" s="246">
        <f>IFERROR(VLOOKUP(O682,PROGRAMAS[],3,FALSE),0)</f>
        <v>0</v>
      </c>
      <c r="AR682" s="246">
        <f>IFERROR(VLOOKUP(P682,PROGRAMAS[],3,FALSE),0)</f>
        <v>0</v>
      </c>
      <c r="AS682" s="246">
        <f>IFERROR(VLOOKUP(Q682,PROGRAMAS[],3,FALSE),0)</f>
        <v>0</v>
      </c>
      <c r="AT682" s="246">
        <f>IFERROR(VLOOKUP(D682,VOL_REC[],2,FALSE),0)</f>
        <v>0</v>
      </c>
      <c r="AU682" s="246">
        <f>IFERROR(VLOOKUP(E682,VOL_REC[],2,FALSE),0)</f>
        <v>0</v>
      </c>
      <c r="AV682" s="246">
        <f>IFERROR(VLOOKUP(F682,VOL_REC[],2,FALSE),0)</f>
        <v>11089674.200000001</v>
      </c>
      <c r="AW682" s="246">
        <f>IFERROR(VLOOKUP(G682,VOL_REC[],2,FALSE),0)</f>
        <v>90439.55</v>
      </c>
      <c r="AX682" s="246">
        <f>IFERROR(VLOOKUP(H682,VOL_REC[],2,FALSE),0)</f>
        <v>15540036.397699751</v>
      </c>
      <c r="AY682" s="246">
        <f>IFERROR(VLOOKUP(I682,VOL_REC[],2,FALSE),0)</f>
        <v>1812240</v>
      </c>
      <c r="AZ682" s="246">
        <f>IFERROR(VLOOKUP(J682,VOL_REC[],2,FALSE),0)</f>
        <v>1072354.9981737854</v>
      </c>
      <c r="BA682" s="246">
        <f>IFERROR(VLOOKUP(K682,VOL_REC[],2,FALSE),0)</f>
        <v>740113.98115702497</v>
      </c>
      <c r="BB682" s="246">
        <f>IFERROR(VLOOKUP(L682,VOL_REC[],2,FALSE),0)</f>
        <v>0</v>
      </c>
      <c r="BC682" s="246">
        <f>IFERROR(VLOOKUP(M682,VOL_REC[],2,FALSE),0)</f>
        <v>0</v>
      </c>
      <c r="BD682" s="246">
        <f>IFERROR(VLOOKUP(N682,VOL_REC[],2,FALSE),0)</f>
        <v>0</v>
      </c>
      <c r="BE682" s="246">
        <f>IFERROR(VLOOKUP(O682,VOL_REC[],2,FALSE),0)</f>
        <v>0</v>
      </c>
      <c r="BF682" s="246">
        <f>IFERROR(VLOOKUP(P682,VOL_REC[],2,FALSE),0)</f>
        <v>0</v>
      </c>
      <c r="BG682" s="246">
        <f>IFERROR(VLOOKUP(Q682,VOL_REC[],2,FALSE),0)</f>
        <v>0</v>
      </c>
      <c r="BH682" s="1710">
        <f t="shared" si="40"/>
        <v>24371804152.831657</v>
      </c>
      <c r="BI682" s="1710">
        <f t="shared" si="41"/>
        <v>21795622520.72953</v>
      </c>
      <c r="BJ682" s="1711">
        <f t="shared" si="42"/>
        <v>30344859.127030559</v>
      </c>
      <c r="BK682" s="1711">
        <f t="shared" si="43"/>
        <v>1.1181972035738807</v>
      </c>
      <c r="BL682">
        <f>BJ682</f>
        <v>30344859.127030559</v>
      </c>
      <c r="BO682">
        <f>BL682</f>
        <v>30344859.127030559</v>
      </c>
    </row>
    <row r="683" spans="3:67" x14ac:dyDescent="0.25">
      <c r="C683" s="246" t="s">
        <v>2033</v>
      </c>
      <c r="D683" s="246">
        <v>1</v>
      </c>
      <c r="E683" s="246">
        <v>2</v>
      </c>
      <c r="F683" s="246">
        <v>3</v>
      </c>
      <c r="G683" s="246">
        <v>4</v>
      </c>
      <c r="H683" s="246">
        <v>6</v>
      </c>
      <c r="I683" s="246">
        <v>12</v>
      </c>
      <c r="J683" s="246">
        <v>13</v>
      </c>
      <c r="K683" s="246">
        <v>14</v>
      </c>
      <c r="L683" s="246"/>
      <c r="M683" s="246"/>
      <c r="N683" s="246"/>
      <c r="O683" s="246"/>
      <c r="P683" s="246"/>
      <c r="Q683" s="246"/>
      <c r="R683" s="246">
        <f>IFERROR(VLOOKUP(D683,PROGRAMAS[],2,FALSE),0)</f>
        <v>97037803.679377079</v>
      </c>
      <c r="S683" s="246">
        <f>IFERROR(VLOOKUP(E683,PROGRAMAS[],2,FALSE),0)</f>
        <v>640501509.6821388</v>
      </c>
      <c r="T683" s="246">
        <f>IFERROR(VLOOKUP(F683,PROGRAMAS[],2,FALSE),0)</f>
        <v>3062327798.1525245</v>
      </c>
      <c r="U683" s="246">
        <f>IFERROR(VLOOKUP(G683,PROGRAMAS[],2,FALSE),0)</f>
        <v>67697118.033011258</v>
      </c>
      <c r="V683" s="246">
        <f>IFERROR(VLOOKUP(H683,PROGRAMAS[],2,FALSE),0)</f>
        <v>6907648435.8447599</v>
      </c>
      <c r="W683" s="246">
        <f>IFERROR(VLOOKUP(I683,PROGRAMAS[],2,FALSE),0)</f>
        <v>764796700.79905891</v>
      </c>
      <c r="X683" s="246">
        <f>IFERROR(VLOOKUP(J683,PROGRAMAS[],2,FALSE),0)</f>
        <v>3776538594.4604583</v>
      </c>
      <c r="Y683" s="246">
        <f>IFERROR(VLOOKUP(K683,PROGRAMAS[],2,FALSE),0)</f>
        <v>54223862.645839565</v>
      </c>
      <c r="Z683" s="246">
        <f>IFERROR(VLOOKUP(L683,PROGRAMAS[],2,FALSE),0)</f>
        <v>0</v>
      </c>
      <c r="AA683" s="246">
        <f>IFERROR(VLOOKUP(M683,PROGRAMAS[],2,FALSE),0)</f>
        <v>0</v>
      </c>
      <c r="AB683" s="246">
        <f>IFERROR(VLOOKUP(N683,PROGRAMAS[],2,FALSE),0)</f>
        <v>0</v>
      </c>
      <c r="AC683" s="246">
        <f>IFERROR(VLOOKUP(O683,PROGRAMAS[],2,FALSE),0)</f>
        <v>0</v>
      </c>
      <c r="AD683" s="246">
        <f>IFERROR(VLOOKUP(P683,PROGRAMAS[],2,FALSE),0)</f>
        <v>0</v>
      </c>
      <c r="AE683" s="246">
        <f>IFERROR(VLOOKUP(Q683,PROGRAMAS[],2,FALSE),0)</f>
        <v>0</v>
      </c>
      <c r="AF683" s="246">
        <f>IFERROR(VLOOKUP(D683,PROGRAMAS[],3,FALSE),0)</f>
        <v>841888629.31080008</v>
      </c>
      <c r="AG683" s="246">
        <f>IFERROR(VLOOKUP(E683,PROGRAMAS[],3,FALSE),0)</f>
        <v>3848980803.1642323</v>
      </c>
      <c r="AH683" s="246">
        <f>IFERROR(VLOOKUP(F683,PROGRAMAS[],3,FALSE),0)</f>
        <v>3394901471.387517</v>
      </c>
      <c r="AI683" s="246">
        <f>IFERROR(VLOOKUP(G683,PROGRAMAS[],3,FALSE),0)</f>
        <v>125317226.95549992</v>
      </c>
      <c r="AJ683" s="246">
        <f>IFERROR(VLOOKUP(H683,PROGRAMAS[],3,FALSE),0)</f>
        <v>6129902208.7912121</v>
      </c>
      <c r="AK683" s="246">
        <f>IFERROR(VLOOKUP(I683,PROGRAMAS[],3,FALSE),0)</f>
        <v>675517840.109828</v>
      </c>
      <c r="AL683" s="246">
        <f>IFERROR(VLOOKUP(J683,PROGRAMAS[],3,FALSE),0)</f>
        <v>2392571243.5584412</v>
      </c>
      <c r="AM683" s="246">
        <f>IFERROR(VLOOKUP(K683,PROGRAMAS[],3,FALSE),0)</f>
        <v>31865326.38096505</v>
      </c>
      <c r="AN683" s="246">
        <f>IFERROR(VLOOKUP(L683,PROGRAMAS[],3,FALSE),0)</f>
        <v>0</v>
      </c>
      <c r="AO683" s="246">
        <f>IFERROR(VLOOKUP(M683,PROGRAMAS[],3,FALSE),0)</f>
        <v>0</v>
      </c>
      <c r="AP683" s="246">
        <f>IFERROR(VLOOKUP(N683,PROGRAMAS[],3,FALSE),0)</f>
        <v>0</v>
      </c>
      <c r="AQ683" s="246">
        <f>IFERROR(VLOOKUP(O683,PROGRAMAS[],3,FALSE),0)</f>
        <v>0</v>
      </c>
      <c r="AR683" s="246">
        <f>IFERROR(VLOOKUP(P683,PROGRAMAS[],3,FALSE),0)</f>
        <v>0</v>
      </c>
      <c r="AS683" s="246">
        <f>IFERROR(VLOOKUP(Q683,PROGRAMAS[],3,FALSE),0)</f>
        <v>0</v>
      </c>
      <c r="AT683" s="246">
        <f>IFERROR(VLOOKUP(D683,VOL_REC[],2,FALSE),0)</f>
        <v>0</v>
      </c>
      <c r="AU683" s="246">
        <f>IFERROR(VLOOKUP(E683,VOL_REC[],2,FALSE),0)</f>
        <v>0</v>
      </c>
      <c r="AV683" s="246">
        <f>IFERROR(VLOOKUP(F683,VOL_REC[],2,FALSE),0)</f>
        <v>11089674.200000001</v>
      </c>
      <c r="AW683" s="246">
        <f>IFERROR(VLOOKUP(G683,VOL_REC[],2,FALSE),0)</f>
        <v>90439.55</v>
      </c>
      <c r="AX683" s="246">
        <f>IFERROR(VLOOKUP(H683,VOL_REC[],2,FALSE),0)</f>
        <v>15540036.397699751</v>
      </c>
      <c r="AY683" s="246">
        <f>IFERROR(VLOOKUP(I683,VOL_REC[],2,FALSE),0)</f>
        <v>240696.79238099116</v>
      </c>
      <c r="AZ683" s="246">
        <f>IFERROR(VLOOKUP(J683,VOL_REC[],2,FALSE),0)</f>
        <v>663244.80000000016</v>
      </c>
      <c r="BA683" s="246">
        <f>IFERROR(VLOOKUP(K683,VOL_REC[],2,FALSE),0)</f>
        <v>17074.045034105649</v>
      </c>
      <c r="BB683" s="246">
        <f>IFERROR(VLOOKUP(L683,VOL_REC[],2,FALSE),0)</f>
        <v>0</v>
      </c>
      <c r="BC683" s="246">
        <f>IFERROR(VLOOKUP(M683,VOL_REC[],2,FALSE),0)</f>
        <v>0</v>
      </c>
      <c r="BD683" s="246">
        <f>IFERROR(VLOOKUP(N683,VOL_REC[],2,FALSE),0)</f>
        <v>0</v>
      </c>
      <c r="BE683" s="246">
        <f>IFERROR(VLOOKUP(O683,VOL_REC[],2,FALSE),0)</f>
        <v>0</v>
      </c>
      <c r="BF683" s="246">
        <f>IFERROR(VLOOKUP(P683,VOL_REC[],2,FALSE),0)</f>
        <v>0</v>
      </c>
      <c r="BG683" s="246">
        <f>IFERROR(VLOOKUP(Q683,VOL_REC[],2,FALSE),0)</f>
        <v>0</v>
      </c>
      <c r="BH683" s="1710">
        <f t="shared" si="40"/>
        <v>15370771823.297169</v>
      </c>
      <c r="BI683" s="1710">
        <f t="shared" si="41"/>
        <v>17440944749.658497</v>
      </c>
      <c r="BJ683" s="1711">
        <f t="shared" si="42"/>
        <v>27641165.785114851</v>
      </c>
      <c r="BK683" s="1711">
        <f t="shared" si="43"/>
        <v>0.88130385388659271</v>
      </c>
    </row>
    <row r="684" spans="3:67" x14ac:dyDescent="0.25">
      <c r="C684" s="246" t="s">
        <v>2034</v>
      </c>
      <c r="D684" s="246">
        <v>1</v>
      </c>
      <c r="E684" s="246">
        <v>2</v>
      </c>
      <c r="F684" s="246">
        <v>3</v>
      </c>
      <c r="G684" s="246">
        <v>4</v>
      </c>
      <c r="H684" s="246">
        <v>6</v>
      </c>
      <c r="I684" s="246">
        <v>12</v>
      </c>
      <c r="J684" s="246">
        <v>13</v>
      </c>
      <c r="K684" s="246">
        <v>15</v>
      </c>
      <c r="L684" s="246"/>
      <c r="M684" s="246"/>
      <c r="N684" s="246"/>
      <c r="O684" s="246"/>
      <c r="P684" s="246"/>
      <c r="Q684" s="246"/>
      <c r="R684" s="246">
        <f>IFERROR(VLOOKUP(D684,PROGRAMAS[],2,FALSE),0)</f>
        <v>97037803.679377079</v>
      </c>
      <c r="S684" s="246">
        <f>IFERROR(VLOOKUP(E684,PROGRAMAS[],2,FALSE),0)</f>
        <v>640501509.6821388</v>
      </c>
      <c r="T684" s="246">
        <f>IFERROR(VLOOKUP(F684,PROGRAMAS[],2,FALSE),0)</f>
        <v>3062327798.1525245</v>
      </c>
      <c r="U684" s="246">
        <f>IFERROR(VLOOKUP(G684,PROGRAMAS[],2,FALSE),0)</f>
        <v>67697118.033011258</v>
      </c>
      <c r="V684" s="246">
        <f>IFERROR(VLOOKUP(H684,PROGRAMAS[],2,FALSE),0)</f>
        <v>6907648435.8447599</v>
      </c>
      <c r="W684" s="246">
        <f>IFERROR(VLOOKUP(I684,PROGRAMAS[],2,FALSE),0)</f>
        <v>764796700.79905891</v>
      </c>
      <c r="X684" s="246">
        <f>IFERROR(VLOOKUP(J684,PROGRAMAS[],2,FALSE),0)</f>
        <v>3776538594.4604583</v>
      </c>
      <c r="Y684" s="246">
        <f>IFERROR(VLOOKUP(K684,PROGRAMAS[],2,FALSE),0)</f>
        <v>122159672.96346797</v>
      </c>
      <c r="Z684" s="246">
        <f>IFERROR(VLOOKUP(L684,PROGRAMAS[],2,FALSE),0)</f>
        <v>0</v>
      </c>
      <c r="AA684" s="246">
        <f>IFERROR(VLOOKUP(M684,PROGRAMAS[],2,FALSE),0)</f>
        <v>0</v>
      </c>
      <c r="AB684" s="246">
        <f>IFERROR(VLOOKUP(N684,PROGRAMAS[],2,FALSE),0)</f>
        <v>0</v>
      </c>
      <c r="AC684" s="246">
        <f>IFERROR(VLOOKUP(O684,PROGRAMAS[],2,FALSE),0)</f>
        <v>0</v>
      </c>
      <c r="AD684" s="246">
        <f>IFERROR(VLOOKUP(P684,PROGRAMAS[],2,FALSE),0)</f>
        <v>0</v>
      </c>
      <c r="AE684" s="246">
        <f>IFERROR(VLOOKUP(Q684,PROGRAMAS[],2,FALSE),0)</f>
        <v>0</v>
      </c>
      <c r="AF684" s="246">
        <f>IFERROR(VLOOKUP(D684,PROGRAMAS[],3,FALSE),0)</f>
        <v>841888629.31080008</v>
      </c>
      <c r="AG684" s="246">
        <f>IFERROR(VLOOKUP(E684,PROGRAMAS[],3,FALSE),0)</f>
        <v>3848980803.1642323</v>
      </c>
      <c r="AH684" s="246">
        <f>IFERROR(VLOOKUP(F684,PROGRAMAS[],3,FALSE),0)</f>
        <v>3394901471.387517</v>
      </c>
      <c r="AI684" s="246">
        <f>IFERROR(VLOOKUP(G684,PROGRAMAS[],3,FALSE),0)</f>
        <v>125317226.95549992</v>
      </c>
      <c r="AJ684" s="246">
        <f>IFERROR(VLOOKUP(H684,PROGRAMAS[],3,FALSE),0)</f>
        <v>6129902208.7912121</v>
      </c>
      <c r="AK684" s="246">
        <f>IFERROR(VLOOKUP(I684,PROGRAMAS[],3,FALSE),0)</f>
        <v>675517840.109828</v>
      </c>
      <c r="AL684" s="246">
        <f>IFERROR(VLOOKUP(J684,PROGRAMAS[],3,FALSE),0)</f>
        <v>2392571243.5584412</v>
      </c>
      <c r="AM684" s="246">
        <f>IFERROR(VLOOKUP(K684,PROGRAMAS[],3,FALSE),0)</f>
        <v>118617452.52510804</v>
      </c>
      <c r="AN684" s="246">
        <f>IFERROR(VLOOKUP(L684,PROGRAMAS[],3,FALSE),0)</f>
        <v>0</v>
      </c>
      <c r="AO684" s="246">
        <f>IFERROR(VLOOKUP(M684,PROGRAMAS[],3,FALSE),0)</f>
        <v>0</v>
      </c>
      <c r="AP684" s="246">
        <f>IFERROR(VLOOKUP(N684,PROGRAMAS[],3,FALSE),0)</f>
        <v>0</v>
      </c>
      <c r="AQ684" s="246">
        <f>IFERROR(VLOOKUP(O684,PROGRAMAS[],3,FALSE),0)</f>
        <v>0</v>
      </c>
      <c r="AR684" s="246">
        <f>IFERROR(VLOOKUP(P684,PROGRAMAS[],3,FALSE),0)</f>
        <v>0</v>
      </c>
      <c r="AS684" s="246">
        <f>IFERROR(VLOOKUP(Q684,PROGRAMAS[],3,FALSE),0)</f>
        <v>0</v>
      </c>
      <c r="AT684" s="246">
        <f>IFERROR(VLOOKUP(D684,VOL_REC[],2,FALSE),0)</f>
        <v>0</v>
      </c>
      <c r="AU684" s="246">
        <f>IFERROR(VLOOKUP(E684,VOL_REC[],2,FALSE),0)</f>
        <v>0</v>
      </c>
      <c r="AV684" s="246">
        <f>IFERROR(VLOOKUP(F684,VOL_REC[],2,FALSE),0)</f>
        <v>11089674.200000001</v>
      </c>
      <c r="AW684" s="246">
        <f>IFERROR(VLOOKUP(G684,VOL_REC[],2,FALSE),0)</f>
        <v>90439.55</v>
      </c>
      <c r="AX684" s="246">
        <f>IFERROR(VLOOKUP(H684,VOL_REC[],2,FALSE),0)</f>
        <v>15540036.397699751</v>
      </c>
      <c r="AY684" s="246">
        <f>IFERROR(VLOOKUP(I684,VOL_REC[],2,FALSE),0)</f>
        <v>240696.79238099116</v>
      </c>
      <c r="AZ684" s="246">
        <f>IFERROR(VLOOKUP(J684,VOL_REC[],2,FALSE),0)</f>
        <v>663244.80000000016</v>
      </c>
      <c r="BA684" s="246">
        <f>IFERROR(VLOOKUP(K684,VOL_REC[],2,FALSE),0)</f>
        <v>105072</v>
      </c>
      <c r="BB684" s="246">
        <f>IFERROR(VLOOKUP(L684,VOL_REC[],2,FALSE),0)</f>
        <v>0</v>
      </c>
      <c r="BC684" s="246">
        <f>IFERROR(VLOOKUP(M684,VOL_REC[],2,FALSE),0)</f>
        <v>0</v>
      </c>
      <c r="BD684" s="246">
        <f>IFERROR(VLOOKUP(N684,VOL_REC[],2,FALSE),0)</f>
        <v>0</v>
      </c>
      <c r="BE684" s="246">
        <f>IFERROR(VLOOKUP(O684,VOL_REC[],2,FALSE),0)</f>
        <v>0</v>
      </c>
      <c r="BF684" s="246">
        <f>IFERROR(VLOOKUP(P684,VOL_REC[],2,FALSE),0)</f>
        <v>0</v>
      </c>
      <c r="BG684" s="246">
        <f>IFERROR(VLOOKUP(Q684,VOL_REC[],2,FALSE),0)</f>
        <v>0</v>
      </c>
      <c r="BH684" s="1710">
        <f t="shared" si="40"/>
        <v>15438707633.614798</v>
      </c>
      <c r="BI684" s="1710">
        <f t="shared" si="41"/>
        <v>17527696875.802639</v>
      </c>
      <c r="BJ684" s="1711">
        <f t="shared" si="42"/>
        <v>27729163.740080744</v>
      </c>
      <c r="BK684" s="1711">
        <f t="shared" si="43"/>
        <v>0.88081781325921171</v>
      </c>
    </row>
    <row r="685" spans="3:67" x14ac:dyDescent="0.25">
      <c r="C685" s="246" t="s">
        <v>2035</v>
      </c>
      <c r="D685" s="246">
        <v>1</v>
      </c>
      <c r="E685" s="246">
        <v>2</v>
      </c>
      <c r="F685" s="246">
        <v>3</v>
      </c>
      <c r="G685" s="246">
        <v>4</v>
      </c>
      <c r="H685" s="246">
        <v>6</v>
      </c>
      <c r="I685" s="246">
        <v>12</v>
      </c>
      <c r="J685" s="246">
        <v>13</v>
      </c>
      <c r="K685" s="246">
        <v>16</v>
      </c>
      <c r="L685" s="246"/>
      <c r="M685" s="246"/>
      <c r="N685" s="246"/>
      <c r="O685" s="246"/>
      <c r="P685" s="246"/>
      <c r="Q685" s="246"/>
      <c r="R685" s="246">
        <f>IFERROR(VLOOKUP(D685,PROGRAMAS[],2,FALSE),0)</f>
        <v>97037803.679377079</v>
      </c>
      <c r="S685" s="246">
        <f>IFERROR(VLOOKUP(E685,PROGRAMAS[],2,FALSE),0)</f>
        <v>640501509.6821388</v>
      </c>
      <c r="T685" s="246">
        <f>IFERROR(VLOOKUP(F685,PROGRAMAS[],2,FALSE),0)</f>
        <v>3062327798.1525245</v>
      </c>
      <c r="U685" s="246">
        <f>IFERROR(VLOOKUP(G685,PROGRAMAS[],2,FALSE),0)</f>
        <v>67697118.033011258</v>
      </c>
      <c r="V685" s="246">
        <f>IFERROR(VLOOKUP(H685,PROGRAMAS[],2,FALSE),0)</f>
        <v>6907648435.8447599</v>
      </c>
      <c r="W685" s="246">
        <f>IFERROR(VLOOKUP(I685,PROGRAMAS[],2,FALSE),0)</f>
        <v>764796700.79905891</v>
      </c>
      <c r="X685" s="246">
        <f>IFERROR(VLOOKUP(J685,PROGRAMAS[],2,FALSE),0)</f>
        <v>3776538594.4604583</v>
      </c>
      <c r="Y685" s="246">
        <f>IFERROR(VLOOKUP(K685,PROGRAMAS[],2,FALSE),0)</f>
        <v>7068496961.0436354</v>
      </c>
      <c r="Z685" s="246">
        <f>IFERROR(VLOOKUP(L685,PROGRAMAS[],2,FALSE),0)</f>
        <v>0</v>
      </c>
      <c r="AA685" s="246">
        <f>IFERROR(VLOOKUP(M685,PROGRAMAS[],2,FALSE),0)</f>
        <v>0</v>
      </c>
      <c r="AB685" s="246">
        <f>IFERROR(VLOOKUP(N685,PROGRAMAS[],2,FALSE),0)</f>
        <v>0</v>
      </c>
      <c r="AC685" s="246">
        <f>IFERROR(VLOOKUP(O685,PROGRAMAS[],2,FALSE),0)</f>
        <v>0</v>
      </c>
      <c r="AD685" s="246">
        <f>IFERROR(VLOOKUP(P685,PROGRAMAS[],2,FALSE),0)</f>
        <v>0</v>
      </c>
      <c r="AE685" s="246">
        <f>IFERROR(VLOOKUP(Q685,PROGRAMAS[],2,FALSE),0)</f>
        <v>0</v>
      </c>
      <c r="AF685" s="246">
        <f>IFERROR(VLOOKUP(D685,PROGRAMAS[],3,FALSE),0)</f>
        <v>841888629.31080008</v>
      </c>
      <c r="AG685" s="246">
        <f>IFERROR(VLOOKUP(E685,PROGRAMAS[],3,FALSE),0)</f>
        <v>3848980803.1642323</v>
      </c>
      <c r="AH685" s="246">
        <f>IFERROR(VLOOKUP(F685,PROGRAMAS[],3,FALSE),0)</f>
        <v>3394901471.387517</v>
      </c>
      <c r="AI685" s="246">
        <f>IFERROR(VLOOKUP(G685,PROGRAMAS[],3,FALSE),0)</f>
        <v>125317226.95549992</v>
      </c>
      <c r="AJ685" s="246">
        <f>IFERROR(VLOOKUP(H685,PROGRAMAS[],3,FALSE),0)</f>
        <v>6129902208.7912121</v>
      </c>
      <c r="AK685" s="246">
        <f>IFERROR(VLOOKUP(I685,PROGRAMAS[],3,FALSE),0)</f>
        <v>675517840.109828</v>
      </c>
      <c r="AL685" s="246">
        <f>IFERROR(VLOOKUP(J685,PROGRAMAS[],3,FALSE),0)</f>
        <v>2392571243.5584412</v>
      </c>
      <c r="AM685" s="246">
        <f>IFERROR(VLOOKUP(K685,PROGRAMAS[],3,FALSE),0)</f>
        <v>2406564599.0319901</v>
      </c>
      <c r="AN685" s="246">
        <f>IFERROR(VLOOKUP(L685,PROGRAMAS[],3,FALSE),0)</f>
        <v>0</v>
      </c>
      <c r="AO685" s="246">
        <f>IFERROR(VLOOKUP(M685,PROGRAMAS[],3,FALSE),0)</f>
        <v>0</v>
      </c>
      <c r="AP685" s="246">
        <f>IFERROR(VLOOKUP(N685,PROGRAMAS[],3,FALSE),0)</f>
        <v>0</v>
      </c>
      <c r="AQ685" s="246">
        <f>IFERROR(VLOOKUP(O685,PROGRAMAS[],3,FALSE),0)</f>
        <v>0</v>
      </c>
      <c r="AR685" s="246">
        <f>IFERROR(VLOOKUP(P685,PROGRAMAS[],3,FALSE),0)</f>
        <v>0</v>
      </c>
      <c r="AS685" s="246">
        <f>IFERROR(VLOOKUP(Q685,PROGRAMAS[],3,FALSE),0)</f>
        <v>0</v>
      </c>
      <c r="AT685" s="246">
        <f>IFERROR(VLOOKUP(D685,VOL_REC[],2,FALSE),0)</f>
        <v>0</v>
      </c>
      <c r="AU685" s="246">
        <f>IFERROR(VLOOKUP(E685,VOL_REC[],2,FALSE),0)</f>
        <v>0</v>
      </c>
      <c r="AV685" s="246">
        <f>IFERROR(VLOOKUP(F685,VOL_REC[],2,FALSE),0)</f>
        <v>11089674.200000001</v>
      </c>
      <c r="AW685" s="246">
        <f>IFERROR(VLOOKUP(G685,VOL_REC[],2,FALSE),0)</f>
        <v>90439.55</v>
      </c>
      <c r="AX685" s="246">
        <f>IFERROR(VLOOKUP(H685,VOL_REC[],2,FALSE),0)</f>
        <v>15540036.397699751</v>
      </c>
      <c r="AY685" s="246">
        <f>IFERROR(VLOOKUP(I685,VOL_REC[],2,FALSE),0)</f>
        <v>240696.79238099116</v>
      </c>
      <c r="AZ685" s="246">
        <f>IFERROR(VLOOKUP(J685,VOL_REC[],2,FALSE),0)</f>
        <v>663244.80000000016</v>
      </c>
      <c r="BA685" s="246">
        <f>IFERROR(VLOOKUP(K685,VOL_REC[],2,FALSE),0)</f>
        <v>1072354.9981737854</v>
      </c>
      <c r="BB685" s="246">
        <f>IFERROR(VLOOKUP(L685,VOL_REC[],2,FALSE),0)</f>
        <v>0</v>
      </c>
      <c r="BC685" s="246">
        <f>IFERROR(VLOOKUP(M685,VOL_REC[],2,FALSE),0)</f>
        <v>0</v>
      </c>
      <c r="BD685" s="246">
        <f>IFERROR(VLOOKUP(N685,VOL_REC[],2,FALSE),0)</f>
        <v>0</v>
      </c>
      <c r="BE685" s="246">
        <f>IFERROR(VLOOKUP(O685,VOL_REC[],2,FALSE),0)</f>
        <v>0</v>
      </c>
      <c r="BF685" s="246">
        <f>IFERROR(VLOOKUP(P685,VOL_REC[],2,FALSE),0)</f>
        <v>0</v>
      </c>
      <c r="BG685" s="246">
        <f>IFERROR(VLOOKUP(Q685,VOL_REC[],2,FALSE),0)</f>
        <v>0</v>
      </c>
      <c r="BH685" s="1710">
        <f t="shared" si="40"/>
        <v>22385044921.694965</v>
      </c>
      <c r="BI685" s="1710">
        <f t="shared" si="41"/>
        <v>19815644022.309521</v>
      </c>
      <c r="BJ685" s="1711">
        <f t="shared" si="42"/>
        <v>28696446.738254528</v>
      </c>
      <c r="BK685" s="1711">
        <f t="shared" si="43"/>
        <v>1.1296652733816108</v>
      </c>
      <c r="BL685">
        <f>BJ685</f>
        <v>28696446.738254528</v>
      </c>
      <c r="BO685">
        <f>BL685</f>
        <v>28696446.738254528</v>
      </c>
    </row>
    <row r="686" spans="3:67" x14ac:dyDescent="0.25">
      <c r="C686" s="246" t="s">
        <v>2036</v>
      </c>
      <c r="D686" s="246">
        <v>1</v>
      </c>
      <c r="E686" s="246">
        <v>2</v>
      </c>
      <c r="F686" s="246">
        <v>3</v>
      </c>
      <c r="G686" s="246">
        <v>4</v>
      </c>
      <c r="H686" s="246">
        <v>6</v>
      </c>
      <c r="I686" s="246">
        <v>12</v>
      </c>
      <c r="J686" s="246">
        <v>13</v>
      </c>
      <c r="K686" s="246">
        <v>17</v>
      </c>
      <c r="L686" s="246"/>
      <c r="M686" s="246"/>
      <c r="N686" s="246"/>
      <c r="O686" s="246"/>
      <c r="P686" s="246"/>
      <c r="Q686" s="246"/>
      <c r="R686" s="246">
        <f>IFERROR(VLOOKUP(D686,PROGRAMAS[],2,FALSE),0)</f>
        <v>97037803.679377079</v>
      </c>
      <c r="S686" s="246">
        <f>IFERROR(VLOOKUP(E686,PROGRAMAS[],2,FALSE),0)</f>
        <v>640501509.6821388</v>
      </c>
      <c r="T686" s="246">
        <f>IFERROR(VLOOKUP(F686,PROGRAMAS[],2,FALSE),0)</f>
        <v>3062327798.1525245</v>
      </c>
      <c r="U686" s="246">
        <f>IFERROR(VLOOKUP(G686,PROGRAMAS[],2,FALSE),0)</f>
        <v>67697118.033011258</v>
      </c>
      <c r="V686" s="246">
        <f>IFERROR(VLOOKUP(H686,PROGRAMAS[],2,FALSE),0)</f>
        <v>6907648435.8447599</v>
      </c>
      <c r="W686" s="246">
        <f>IFERROR(VLOOKUP(I686,PROGRAMAS[],2,FALSE),0)</f>
        <v>764796700.79905891</v>
      </c>
      <c r="X686" s="246">
        <f>IFERROR(VLOOKUP(J686,PROGRAMAS[],2,FALSE),0)</f>
        <v>3776538594.4604583</v>
      </c>
      <c r="Y686" s="246">
        <f>IFERROR(VLOOKUP(K686,PROGRAMAS[],2,FALSE),0)</f>
        <v>1892779498.5211046</v>
      </c>
      <c r="Z686" s="246">
        <f>IFERROR(VLOOKUP(L686,PROGRAMAS[],2,FALSE),0)</f>
        <v>0</v>
      </c>
      <c r="AA686" s="246">
        <f>IFERROR(VLOOKUP(M686,PROGRAMAS[],2,FALSE),0)</f>
        <v>0</v>
      </c>
      <c r="AB686" s="246">
        <f>IFERROR(VLOOKUP(N686,PROGRAMAS[],2,FALSE),0)</f>
        <v>0</v>
      </c>
      <c r="AC686" s="246">
        <f>IFERROR(VLOOKUP(O686,PROGRAMAS[],2,FALSE),0)</f>
        <v>0</v>
      </c>
      <c r="AD686" s="246">
        <f>IFERROR(VLOOKUP(P686,PROGRAMAS[],2,FALSE),0)</f>
        <v>0</v>
      </c>
      <c r="AE686" s="246">
        <f>IFERROR(VLOOKUP(Q686,PROGRAMAS[],2,FALSE),0)</f>
        <v>0</v>
      </c>
      <c r="AF686" s="246">
        <f>IFERROR(VLOOKUP(D686,PROGRAMAS[],3,FALSE),0)</f>
        <v>841888629.31080008</v>
      </c>
      <c r="AG686" s="246">
        <f>IFERROR(VLOOKUP(E686,PROGRAMAS[],3,FALSE),0)</f>
        <v>3848980803.1642323</v>
      </c>
      <c r="AH686" s="246">
        <f>IFERROR(VLOOKUP(F686,PROGRAMAS[],3,FALSE),0)</f>
        <v>3394901471.387517</v>
      </c>
      <c r="AI686" s="246">
        <f>IFERROR(VLOOKUP(G686,PROGRAMAS[],3,FALSE),0)</f>
        <v>125317226.95549992</v>
      </c>
      <c r="AJ686" s="246">
        <f>IFERROR(VLOOKUP(H686,PROGRAMAS[],3,FALSE),0)</f>
        <v>6129902208.7912121</v>
      </c>
      <c r="AK686" s="246">
        <f>IFERROR(VLOOKUP(I686,PROGRAMAS[],3,FALSE),0)</f>
        <v>675517840.109828</v>
      </c>
      <c r="AL686" s="246">
        <f>IFERROR(VLOOKUP(J686,PROGRAMAS[],3,FALSE),0)</f>
        <v>2392571243.5584412</v>
      </c>
      <c r="AM686" s="246">
        <f>IFERROR(VLOOKUP(K686,PROGRAMAS[],3,FALSE),0)</f>
        <v>948595847.09039903</v>
      </c>
      <c r="AN686" s="246">
        <f>IFERROR(VLOOKUP(L686,PROGRAMAS[],3,FALSE),0)</f>
        <v>0</v>
      </c>
      <c r="AO686" s="246">
        <f>IFERROR(VLOOKUP(M686,PROGRAMAS[],3,FALSE),0)</f>
        <v>0</v>
      </c>
      <c r="AP686" s="246">
        <f>IFERROR(VLOOKUP(N686,PROGRAMAS[],3,FALSE),0)</f>
        <v>0</v>
      </c>
      <c r="AQ686" s="246">
        <f>IFERROR(VLOOKUP(O686,PROGRAMAS[],3,FALSE),0)</f>
        <v>0</v>
      </c>
      <c r="AR686" s="246">
        <f>IFERROR(VLOOKUP(P686,PROGRAMAS[],3,FALSE),0)</f>
        <v>0</v>
      </c>
      <c r="AS686" s="246">
        <f>IFERROR(VLOOKUP(Q686,PROGRAMAS[],3,FALSE),0)</f>
        <v>0</v>
      </c>
      <c r="AT686" s="246">
        <f>IFERROR(VLOOKUP(D686,VOL_REC[],2,FALSE),0)</f>
        <v>0</v>
      </c>
      <c r="AU686" s="246">
        <f>IFERROR(VLOOKUP(E686,VOL_REC[],2,FALSE),0)</f>
        <v>0</v>
      </c>
      <c r="AV686" s="246">
        <f>IFERROR(VLOOKUP(F686,VOL_REC[],2,FALSE),0)</f>
        <v>11089674.200000001</v>
      </c>
      <c r="AW686" s="246">
        <f>IFERROR(VLOOKUP(G686,VOL_REC[],2,FALSE),0)</f>
        <v>90439.55</v>
      </c>
      <c r="AX686" s="246">
        <f>IFERROR(VLOOKUP(H686,VOL_REC[],2,FALSE),0)</f>
        <v>15540036.397699751</v>
      </c>
      <c r="AY686" s="246">
        <f>IFERROR(VLOOKUP(I686,VOL_REC[],2,FALSE),0)</f>
        <v>240696.79238099116</v>
      </c>
      <c r="AZ686" s="246">
        <f>IFERROR(VLOOKUP(J686,VOL_REC[],2,FALSE),0)</f>
        <v>663244.80000000016</v>
      </c>
      <c r="BA686" s="246">
        <f>IFERROR(VLOOKUP(K686,VOL_REC[],2,FALSE),0)</f>
        <v>740113.98115702497</v>
      </c>
      <c r="BB686" s="246">
        <f>IFERROR(VLOOKUP(L686,VOL_REC[],2,FALSE),0)</f>
        <v>0</v>
      </c>
      <c r="BC686" s="246">
        <f>IFERROR(VLOOKUP(M686,VOL_REC[],2,FALSE),0)</f>
        <v>0</v>
      </c>
      <c r="BD686" s="246">
        <f>IFERROR(VLOOKUP(N686,VOL_REC[],2,FALSE),0)</f>
        <v>0</v>
      </c>
      <c r="BE686" s="246">
        <f>IFERROR(VLOOKUP(O686,VOL_REC[],2,FALSE),0)</f>
        <v>0</v>
      </c>
      <c r="BF686" s="246">
        <f>IFERROR(VLOOKUP(P686,VOL_REC[],2,FALSE),0)</f>
        <v>0</v>
      </c>
      <c r="BG686" s="246">
        <f>IFERROR(VLOOKUP(Q686,VOL_REC[],2,FALSE),0)</f>
        <v>0</v>
      </c>
      <c r="BH686" s="1710">
        <f t="shared" si="40"/>
        <v>17209327459.172432</v>
      </c>
      <c r="BI686" s="1710">
        <f t="shared" si="41"/>
        <v>18357675270.367931</v>
      </c>
      <c r="BJ686" s="1711">
        <f t="shared" si="42"/>
        <v>28364205.721237767</v>
      </c>
      <c r="BK686" s="1711">
        <f t="shared" si="43"/>
        <v>0.93744590236601977</v>
      </c>
    </row>
    <row r="687" spans="3:67" x14ac:dyDescent="0.25">
      <c r="C687" s="246" t="s">
        <v>2037</v>
      </c>
      <c r="D687" s="246">
        <v>1</v>
      </c>
      <c r="E687" s="246">
        <v>2</v>
      </c>
      <c r="F687" s="246">
        <v>3</v>
      </c>
      <c r="G687" s="246">
        <v>4</v>
      </c>
      <c r="H687" s="246">
        <v>6</v>
      </c>
      <c r="I687" s="246">
        <v>12</v>
      </c>
      <c r="J687" s="246">
        <v>14</v>
      </c>
      <c r="K687" s="246">
        <v>15</v>
      </c>
      <c r="L687" s="246"/>
      <c r="M687" s="246"/>
      <c r="N687" s="246"/>
      <c r="O687" s="246"/>
      <c r="P687" s="246"/>
      <c r="Q687" s="246"/>
      <c r="R687" s="246">
        <f>IFERROR(VLOOKUP(D687,PROGRAMAS[],2,FALSE),0)</f>
        <v>97037803.679377079</v>
      </c>
      <c r="S687" s="246">
        <f>IFERROR(VLOOKUP(E687,PROGRAMAS[],2,FALSE),0)</f>
        <v>640501509.6821388</v>
      </c>
      <c r="T687" s="246">
        <f>IFERROR(VLOOKUP(F687,PROGRAMAS[],2,FALSE),0)</f>
        <v>3062327798.1525245</v>
      </c>
      <c r="U687" s="246">
        <f>IFERROR(VLOOKUP(G687,PROGRAMAS[],2,FALSE),0)</f>
        <v>67697118.033011258</v>
      </c>
      <c r="V687" s="246">
        <f>IFERROR(VLOOKUP(H687,PROGRAMAS[],2,FALSE),0)</f>
        <v>6907648435.8447599</v>
      </c>
      <c r="W687" s="246">
        <f>IFERROR(VLOOKUP(I687,PROGRAMAS[],2,FALSE),0)</f>
        <v>764796700.79905891</v>
      </c>
      <c r="X687" s="246">
        <f>IFERROR(VLOOKUP(J687,PROGRAMAS[],2,FALSE),0)</f>
        <v>54223862.645839565</v>
      </c>
      <c r="Y687" s="246">
        <f>IFERROR(VLOOKUP(K687,PROGRAMAS[],2,FALSE),0)</f>
        <v>122159672.96346797</v>
      </c>
      <c r="Z687" s="246">
        <f>IFERROR(VLOOKUP(L687,PROGRAMAS[],2,FALSE),0)</f>
        <v>0</v>
      </c>
      <c r="AA687" s="246">
        <f>IFERROR(VLOOKUP(M687,PROGRAMAS[],2,FALSE),0)</f>
        <v>0</v>
      </c>
      <c r="AB687" s="246">
        <f>IFERROR(VLOOKUP(N687,PROGRAMAS[],2,FALSE),0)</f>
        <v>0</v>
      </c>
      <c r="AC687" s="246">
        <f>IFERROR(VLOOKUP(O687,PROGRAMAS[],2,FALSE),0)</f>
        <v>0</v>
      </c>
      <c r="AD687" s="246">
        <f>IFERROR(VLOOKUP(P687,PROGRAMAS[],2,FALSE),0)</f>
        <v>0</v>
      </c>
      <c r="AE687" s="246">
        <f>IFERROR(VLOOKUP(Q687,PROGRAMAS[],2,FALSE),0)</f>
        <v>0</v>
      </c>
      <c r="AF687" s="246">
        <f>IFERROR(VLOOKUP(D687,PROGRAMAS[],3,FALSE),0)</f>
        <v>841888629.31080008</v>
      </c>
      <c r="AG687" s="246">
        <f>IFERROR(VLOOKUP(E687,PROGRAMAS[],3,FALSE),0)</f>
        <v>3848980803.1642323</v>
      </c>
      <c r="AH687" s="246">
        <f>IFERROR(VLOOKUP(F687,PROGRAMAS[],3,FALSE),0)</f>
        <v>3394901471.387517</v>
      </c>
      <c r="AI687" s="246">
        <f>IFERROR(VLOOKUP(G687,PROGRAMAS[],3,FALSE),0)</f>
        <v>125317226.95549992</v>
      </c>
      <c r="AJ687" s="246">
        <f>IFERROR(VLOOKUP(H687,PROGRAMAS[],3,FALSE),0)</f>
        <v>6129902208.7912121</v>
      </c>
      <c r="AK687" s="246">
        <f>IFERROR(VLOOKUP(I687,PROGRAMAS[],3,FALSE),0)</f>
        <v>675517840.109828</v>
      </c>
      <c r="AL687" s="246">
        <f>IFERROR(VLOOKUP(J687,PROGRAMAS[],3,FALSE),0)</f>
        <v>31865326.38096505</v>
      </c>
      <c r="AM687" s="246">
        <f>IFERROR(VLOOKUP(K687,PROGRAMAS[],3,FALSE),0)</f>
        <v>118617452.52510804</v>
      </c>
      <c r="AN687" s="246">
        <f>IFERROR(VLOOKUP(L687,PROGRAMAS[],3,FALSE),0)</f>
        <v>0</v>
      </c>
      <c r="AO687" s="246">
        <f>IFERROR(VLOOKUP(M687,PROGRAMAS[],3,FALSE),0)</f>
        <v>0</v>
      </c>
      <c r="AP687" s="246">
        <f>IFERROR(VLOOKUP(N687,PROGRAMAS[],3,FALSE),0)</f>
        <v>0</v>
      </c>
      <c r="AQ687" s="246">
        <f>IFERROR(VLOOKUP(O687,PROGRAMAS[],3,FALSE),0)</f>
        <v>0</v>
      </c>
      <c r="AR687" s="246">
        <f>IFERROR(VLOOKUP(P687,PROGRAMAS[],3,FALSE),0)</f>
        <v>0</v>
      </c>
      <c r="AS687" s="246">
        <f>IFERROR(VLOOKUP(Q687,PROGRAMAS[],3,FALSE),0)</f>
        <v>0</v>
      </c>
      <c r="AT687" s="246">
        <f>IFERROR(VLOOKUP(D687,VOL_REC[],2,FALSE),0)</f>
        <v>0</v>
      </c>
      <c r="AU687" s="246">
        <f>IFERROR(VLOOKUP(E687,VOL_REC[],2,FALSE),0)</f>
        <v>0</v>
      </c>
      <c r="AV687" s="246">
        <f>IFERROR(VLOOKUP(F687,VOL_REC[],2,FALSE),0)</f>
        <v>11089674.200000001</v>
      </c>
      <c r="AW687" s="246">
        <f>IFERROR(VLOOKUP(G687,VOL_REC[],2,FALSE),0)</f>
        <v>90439.55</v>
      </c>
      <c r="AX687" s="246">
        <f>IFERROR(VLOOKUP(H687,VOL_REC[],2,FALSE),0)</f>
        <v>15540036.397699751</v>
      </c>
      <c r="AY687" s="246">
        <f>IFERROR(VLOOKUP(I687,VOL_REC[],2,FALSE),0)</f>
        <v>240696.79238099116</v>
      </c>
      <c r="AZ687" s="246">
        <f>IFERROR(VLOOKUP(J687,VOL_REC[],2,FALSE),0)</f>
        <v>17074.045034105649</v>
      </c>
      <c r="BA687" s="246">
        <f>IFERROR(VLOOKUP(K687,VOL_REC[],2,FALSE),0)</f>
        <v>105072</v>
      </c>
      <c r="BB687" s="246">
        <f>IFERROR(VLOOKUP(L687,VOL_REC[],2,FALSE),0)</f>
        <v>0</v>
      </c>
      <c r="BC687" s="246">
        <f>IFERROR(VLOOKUP(M687,VOL_REC[],2,FALSE),0)</f>
        <v>0</v>
      </c>
      <c r="BD687" s="246">
        <f>IFERROR(VLOOKUP(N687,VOL_REC[],2,FALSE),0)</f>
        <v>0</v>
      </c>
      <c r="BE687" s="246">
        <f>IFERROR(VLOOKUP(O687,VOL_REC[],2,FALSE),0)</f>
        <v>0</v>
      </c>
      <c r="BF687" s="246">
        <f>IFERROR(VLOOKUP(P687,VOL_REC[],2,FALSE),0)</f>
        <v>0</v>
      </c>
      <c r="BG687" s="246">
        <f>IFERROR(VLOOKUP(Q687,VOL_REC[],2,FALSE),0)</f>
        <v>0</v>
      </c>
      <c r="BH687" s="1710">
        <f t="shared" si="40"/>
        <v>11716392901.800179</v>
      </c>
      <c r="BI687" s="1710">
        <f t="shared" si="41"/>
        <v>15166990958.625162</v>
      </c>
      <c r="BJ687" s="1711">
        <f t="shared" si="42"/>
        <v>27082992.98511485</v>
      </c>
      <c r="BK687" s="1711">
        <f t="shared" si="43"/>
        <v>0.7724929047404292</v>
      </c>
    </row>
    <row r="688" spans="3:67" x14ac:dyDescent="0.25">
      <c r="C688" s="246" t="s">
        <v>2038</v>
      </c>
      <c r="D688" s="246">
        <v>1</v>
      </c>
      <c r="E688" s="246">
        <v>2</v>
      </c>
      <c r="F688" s="246">
        <v>3</v>
      </c>
      <c r="G688" s="246">
        <v>4</v>
      </c>
      <c r="H688" s="246">
        <v>6</v>
      </c>
      <c r="I688" s="246">
        <v>12</v>
      </c>
      <c r="J688" s="246">
        <v>14</v>
      </c>
      <c r="K688" s="246">
        <v>16</v>
      </c>
      <c r="L688" s="246"/>
      <c r="M688" s="246"/>
      <c r="N688" s="246"/>
      <c r="O688" s="246"/>
      <c r="P688" s="246"/>
      <c r="Q688" s="246"/>
      <c r="R688" s="246">
        <f>IFERROR(VLOOKUP(D688,PROGRAMAS[],2,FALSE),0)</f>
        <v>97037803.679377079</v>
      </c>
      <c r="S688" s="246">
        <f>IFERROR(VLOOKUP(E688,PROGRAMAS[],2,FALSE),0)</f>
        <v>640501509.6821388</v>
      </c>
      <c r="T688" s="246">
        <f>IFERROR(VLOOKUP(F688,PROGRAMAS[],2,FALSE),0)</f>
        <v>3062327798.1525245</v>
      </c>
      <c r="U688" s="246">
        <f>IFERROR(VLOOKUP(G688,PROGRAMAS[],2,FALSE),0)</f>
        <v>67697118.033011258</v>
      </c>
      <c r="V688" s="246">
        <f>IFERROR(VLOOKUP(H688,PROGRAMAS[],2,FALSE),0)</f>
        <v>6907648435.8447599</v>
      </c>
      <c r="W688" s="246">
        <f>IFERROR(VLOOKUP(I688,PROGRAMAS[],2,FALSE),0)</f>
        <v>764796700.79905891</v>
      </c>
      <c r="X688" s="246">
        <f>IFERROR(VLOOKUP(J688,PROGRAMAS[],2,FALSE),0)</f>
        <v>54223862.645839565</v>
      </c>
      <c r="Y688" s="246">
        <f>IFERROR(VLOOKUP(K688,PROGRAMAS[],2,FALSE),0)</f>
        <v>7068496961.0436354</v>
      </c>
      <c r="Z688" s="246">
        <f>IFERROR(VLOOKUP(L688,PROGRAMAS[],2,FALSE),0)</f>
        <v>0</v>
      </c>
      <c r="AA688" s="246">
        <f>IFERROR(VLOOKUP(M688,PROGRAMAS[],2,FALSE),0)</f>
        <v>0</v>
      </c>
      <c r="AB688" s="246">
        <f>IFERROR(VLOOKUP(N688,PROGRAMAS[],2,FALSE),0)</f>
        <v>0</v>
      </c>
      <c r="AC688" s="246">
        <f>IFERROR(VLOOKUP(O688,PROGRAMAS[],2,FALSE),0)</f>
        <v>0</v>
      </c>
      <c r="AD688" s="246">
        <f>IFERROR(VLOOKUP(P688,PROGRAMAS[],2,FALSE),0)</f>
        <v>0</v>
      </c>
      <c r="AE688" s="246">
        <f>IFERROR(VLOOKUP(Q688,PROGRAMAS[],2,FALSE),0)</f>
        <v>0</v>
      </c>
      <c r="AF688" s="246">
        <f>IFERROR(VLOOKUP(D688,PROGRAMAS[],3,FALSE),0)</f>
        <v>841888629.31080008</v>
      </c>
      <c r="AG688" s="246">
        <f>IFERROR(VLOOKUP(E688,PROGRAMAS[],3,FALSE),0)</f>
        <v>3848980803.1642323</v>
      </c>
      <c r="AH688" s="246">
        <f>IFERROR(VLOOKUP(F688,PROGRAMAS[],3,FALSE),0)</f>
        <v>3394901471.387517</v>
      </c>
      <c r="AI688" s="246">
        <f>IFERROR(VLOOKUP(G688,PROGRAMAS[],3,FALSE),0)</f>
        <v>125317226.95549992</v>
      </c>
      <c r="AJ688" s="246">
        <f>IFERROR(VLOOKUP(H688,PROGRAMAS[],3,FALSE),0)</f>
        <v>6129902208.7912121</v>
      </c>
      <c r="AK688" s="246">
        <f>IFERROR(VLOOKUP(I688,PROGRAMAS[],3,FALSE),0)</f>
        <v>675517840.109828</v>
      </c>
      <c r="AL688" s="246">
        <f>IFERROR(VLOOKUP(J688,PROGRAMAS[],3,FALSE),0)</f>
        <v>31865326.38096505</v>
      </c>
      <c r="AM688" s="246">
        <f>IFERROR(VLOOKUP(K688,PROGRAMAS[],3,FALSE),0)</f>
        <v>2406564599.0319901</v>
      </c>
      <c r="AN688" s="246">
        <f>IFERROR(VLOOKUP(L688,PROGRAMAS[],3,FALSE),0)</f>
        <v>0</v>
      </c>
      <c r="AO688" s="246">
        <f>IFERROR(VLOOKUP(M688,PROGRAMAS[],3,FALSE),0)</f>
        <v>0</v>
      </c>
      <c r="AP688" s="246">
        <f>IFERROR(VLOOKUP(N688,PROGRAMAS[],3,FALSE),0)</f>
        <v>0</v>
      </c>
      <c r="AQ688" s="246">
        <f>IFERROR(VLOOKUP(O688,PROGRAMAS[],3,FALSE),0)</f>
        <v>0</v>
      </c>
      <c r="AR688" s="246">
        <f>IFERROR(VLOOKUP(P688,PROGRAMAS[],3,FALSE),0)</f>
        <v>0</v>
      </c>
      <c r="AS688" s="246">
        <f>IFERROR(VLOOKUP(Q688,PROGRAMAS[],3,FALSE),0)</f>
        <v>0</v>
      </c>
      <c r="AT688" s="246">
        <f>IFERROR(VLOOKUP(D688,VOL_REC[],2,FALSE),0)</f>
        <v>0</v>
      </c>
      <c r="AU688" s="246">
        <f>IFERROR(VLOOKUP(E688,VOL_REC[],2,FALSE),0)</f>
        <v>0</v>
      </c>
      <c r="AV688" s="246">
        <f>IFERROR(VLOOKUP(F688,VOL_REC[],2,FALSE),0)</f>
        <v>11089674.200000001</v>
      </c>
      <c r="AW688" s="246">
        <f>IFERROR(VLOOKUP(G688,VOL_REC[],2,FALSE),0)</f>
        <v>90439.55</v>
      </c>
      <c r="AX688" s="246">
        <f>IFERROR(VLOOKUP(H688,VOL_REC[],2,FALSE),0)</f>
        <v>15540036.397699751</v>
      </c>
      <c r="AY688" s="246">
        <f>IFERROR(VLOOKUP(I688,VOL_REC[],2,FALSE),0)</f>
        <v>240696.79238099116</v>
      </c>
      <c r="AZ688" s="246">
        <f>IFERROR(VLOOKUP(J688,VOL_REC[],2,FALSE),0)</f>
        <v>17074.045034105649</v>
      </c>
      <c r="BA688" s="246">
        <f>IFERROR(VLOOKUP(K688,VOL_REC[],2,FALSE),0)</f>
        <v>1072354.9981737854</v>
      </c>
      <c r="BB688" s="246">
        <f>IFERROR(VLOOKUP(L688,VOL_REC[],2,FALSE),0)</f>
        <v>0</v>
      </c>
      <c r="BC688" s="246">
        <f>IFERROR(VLOOKUP(M688,VOL_REC[],2,FALSE),0)</f>
        <v>0</v>
      </c>
      <c r="BD688" s="246">
        <f>IFERROR(VLOOKUP(N688,VOL_REC[],2,FALSE),0)</f>
        <v>0</v>
      </c>
      <c r="BE688" s="246">
        <f>IFERROR(VLOOKUP(O688,VOL_REC[],2,FALSE),0)</f>
        <v>0</v>
      </c>
      <c r="BF688" s="246">
        <f>IFERROR(VLOOKUP(P688,VOL_REC[],2,FALSE),0)</f>
        <v>0</v>
      </c>
      <c r="BG688" s="246">
        <f>IFERROR(VLOOKUP(Q688,VOL_REC[],2,FALSE),0)</f>
        <v>0</v>
      </c>
      <c r="BH688" s="1710">
        <f t="shared" si="40"/>
        <v>18662730189.880344</v>
      </c>
      <c r="BI688" s="1710">
        <f t="shared" si="41"/>
        <v>17454938105.132042</v>
      </c>
      <c r="BJ688" s="1711">
        <f t="shared" si="42"/>
        <v>28050275.983288635</v>
      </c>
      <c r="BK688" s="1711">
        <f t="shared" si="43"/>
        <v>1.069194864941583</v>
      </c>
      <c r="BL688">
        <f>BJ688</f>
        <v>28050275.983288635</v>
      </c>
      <c r="BO688">
        <f>BL688</f>
        <v>28050275.983288635</v>
      </c>
    </row>
    <row r="689" spans="3:67" x14ac:dyDescent="0.25">
      <c r="C689" s="246" t="s">
        <v>2039</v>
      </c>
      <c r="D689" s="246">
        <v>1</v>
      </c>
      <c r="E689" s="246">
        <v>2</v>
      </c>
      <c r="F689" s="246">
        <v>3</v>
      </c>
      <c r="G689" s="246">
        <v>4</v>
      </c>
      <c r="H689" s="246">
        <v>6</v>
      </c>
      <c r="I689" s="246">
        <v>12</v>
      </c>
      <c r="J689" s="246">
        <v>14</v>
      </c>
      <c r="K689" s="246">
        <v>17</v>
      </c>
      <c r="L689" s="246"/>
      <c r="M689" s="246"/>
      <c r="N689" s="246"/>
      <c r="O689" s="246"/>
      <c r="P689" s="246"/>
      <c r="Q689" s="246"/>
      <c r="R689" s="246">
        <f>IFERROR(VLOOKUP(D689,PROGRAMAS[],2,FALSE),0)</f>
        <v>97037803.679377079</v>
      </c>
      <c r="S689" s="246">
        <f>IFERROR(VLOOKUP(E689,PROGRAMAS[],2,FALSE),0)</f>
        <v>640501509.6821388</v>
      </c>
      <c r="T689" s="246">
        <f>IFERROR(VLOOKUP(F689,PROGRAMAS[],2,FALSE),0)</f>
        <v>3062327798.1525245</v>
      </c>
      <c r="U689" s="246">
        <f>IFERROR(VLOOKUP(G689,PROGRAMAS[],2,FALSE),0)</f>
        <v>67697118.033011258</v>
      </c>
      <c r="V689" s="246">
        <f>IFERROR(VLOOKUP(H689,PROGRAMAS[],2,FALSE),0)</f>
        <v>6907648435.8447599</v>
      </c>
      <c r="W689" s="246">
        <f>IFERROR(VLOOKUP(I689,PROGRAMAS[],2,FALSE),0)</f>
        <v>764796700.79905891</v>
      </c>
      <c r="X689" s="246">
        <f>IFERROR(VLOOKUP(J689,PROGRAMAS[],2,FALSE),0)</f>
        <v>54223862.645839565</v>
      </c>
      <c r="Y689" s="246">
        <f>IFERROR(VLOOKUP(K689,PROGRAMAS[],2,FALSE),0)</f>
        <v>1892779498.5211046</v>
      </c>
      <c r="Z689" s="246">
        <f>IFERROR(VLOOKUP(L689,PROGRAMAS[],2,FALSE),0)</f>
        <v>0</v>
      </c>
      <c r="AA689" s="246">
        <f>IFERROR(VLOOKUP(M689,PROGRAMAS[],2,FALSE),0)</f>
        <v>0</v>
      </c>
      <c r="AB689" s="246">
        <f>IFERROR(VLOOKUP(N689,PROGRAMAS[],2,FALSE),0)</f>
        <v>0</v>
      </c>
      <c r="AC689" s="246">
        <f>IFERROR(VLOOKUP(O689,PROGRAMAS[],2,FALSE),0)</f>
        <v>0</v>
      </c>
      <c r="AD689" s="246">
        <f>IFERROR(VLOOKUP(P689,PROGRAMAS[],2,FALSE),0)</f>
        <v>0</v>
      </c>
      <c r="AE689" s="246">
        <f>IFERROR(VLOOKUP(Q689,PROGRAMAS[],2,FALSE),0)</f>
        <v>0</v>
      </c>
      <c r="AF689" s="246">
        <f>IFERROR(VLOOKUP(D689,PROGRAMAS[],3,FALSE),0)</f>
        <v>841888629.31080008</v>
      </c>
      <c r="AG689" s="246">
        <f>IFERROR(VLOOKUP(E689,PROGRAMAS[],3,FALSE),0)</f>
        <v>3848980803.1642323</v>
      </c>
      <c r="AH689" s="246">
        <f>IFERROR(VLOOKUP(F689,PROGRAMAS[],3,FALSE),0)</f>
        <v>3394901471.387517</v>
      </c>
      <c r="AI689" s="246">
        <f>IFERROR(VLOOKUP(G689,PROGRAMAS[],3,FALSE),0)</f>
        <v>125317226.95549992</v>
      </c>
      <c r="AJ689" s="246">
        <f>IFERROR(VLOOKUP(H689,PROGRAMAS[],3,FALSE),0)</f>
        <v>6129902208.7912121</v>
      </c>
      <c r="AK689" s="246">
        <f>IFERROR(VLOOKUP(I689,PROGRAMAS[],3,FALSE),0)</f>
        <v>675517840.109828</v>
      </c>
      <c r="AL689" s="246">
        <f>IFERROR(VLOOKUP(J689,PROGRAMAS[],3,FALSE),0)</f>
        <v>31865326.38096505</v>
      </c>
      <c r="AM689" s="246">
        <f>IFERROR(VLOOKUP(K689,PROGRAMAS[],3,FALSE),0)</f>
        <v>948595847.09039903</v>
      </c>
      <c r="AN689" s="246">
        <f>IFERROR(VLOOKUP(L689,PROGRAMAS[],3,FALSE),0)</f>
        <v>0</v>
      </c>
      <c r="AO689" s="246">
        <f>IFERROR(VLOOKUP(M689,PROGRAMAS[],3,FALSE),0)</f>
        <v>0</v>
      </c>
      <c r="AP689" s="246">
        <f>IFERROR(VLOOKUP(N689,PROGRAMAS[],3,FALSE),0)</f>
        <v>0</v>
      </c>
      <c r="AQ689" s="246">
        <f>IFERROR(VLOOKUP(O689,PROGRAMAS[],3,FALSE),0)</f>
        <v>0</v>
      </c>
      <c r="AR689" s="246">
        <f>IFERROR(VLOOKUP(P689,PROGRAMAS[],3,FALSE),0)</f>
        <v>0</v>
      </c>
      <c r="AS689" s="246">
        <f>IFERROR(VLOOKUP(Q689,PROGRAMAS[],3,FALSE),0)</f>
        <v>0</v>
      </c>
      <c r="AT689" s="246">
        <f>IFERROR(VLOOKUP(D689,VOL_REC[],2,FALSE),0)</f>
        <v>0</v>
      </c>
      <c r="AU689" s="246">
        <f>IFERROR(VLOOKUP(E689,VOL_REC[],2,FALSE),0)</f>
        <v>0</v>
      </c>
      <c r="AV689" s="246">
        <f>IFERROR(VLOOKUP(F689,VOL_REC[],2,FALSE),0)</f>
        <v>11089674.200000001</v>
      </c>
      <c r="AW689" s="246">
        <f>IFERROR(VLOOKUP(G689,VOL_REC[],2,FALSE),0)</f>
        <v>90439.55</v>
      </c>
      <c r="AX689" s="246">
        <f>IFERROR(VLOOKUP(H689,VOL_REC[],2,FALSE),0)</f>
        <v>15540036.397699751</v>
      </c>
      <c r="AY689" s="246">
        <f>IFERROR(VLOOKUP(I689,VOL_REC[],2,FALSE),0)</f>
        <v>240696.79238099116</v>
      </c>
      <c r="AZ689" s="246">
        <f>IFERROR(VLOOKUP(J689,VOL_REC[],2,FALSE),0)</f>
        <v>17074.045034105649</v>
      </c>
      <c r="BA689" s="246">
        <f>IFERROR(VLOOKUP(K689,VOL_REC[],2,FALSE),0)</f>
        <v>740113.98115702497</v>
      </c>
      <c r="BB689" s="246">
        <f>IFERROR(VLOOKUP(L689,VOL_REC[],2,FALSE),0)</f>
        <v>0</v>
      </c>
      <c r="BC689" s="246">
        <f>IFERROR(VLOOKUP(M689,VOL_REC[],2,FALSE),0)</f>
        <v>0</v>
      </c>
      <c r="BD689" s="246">
        <f>IFERROR(VLOOKUP(N689,VOL_REC[],2,FALSE),0)</f>
        <v>0</v>
      </c>
      <c r="BE689" s="246">
        <f>IFERROR(VLOOKUP(O689,VOL_REC[],2,FALSE),0)</f>
        <v>0</v>
      </c>
      <c r="BF689" s="246">
        <f>IFERROR(VLOOKUP(P689,VOL_REC[],2,FALSE),0)</f>
        <v>0</v>
      </c>
      <c r="BG689" s="246">
        <f>IFERROR(VLOOKUP(Q689,VOL_REC[],2,FALSE),0)</f>
        <v>0</v>
      </c>
      <c r="BH689" s="1710">
        <f t="shared" si="40"/>
        <v>13487012727.357815</v>
      </c>
      <c r="BI689" s="1710">
        <f t="shared" si="41"/>
        <v>15996969353.190453</v>
      </c>
      <c r="BJ689" s="1711">
        <f t="shared" si="42"/>
        <v>27718034.966271874</v>
      </c>
      <c r="BK689" s="1711">
        <f t="shared" si="43"/>
        <v>0.84309799122469098</v>
      </c>
    </row>
    <row r="690" spans="3:67" x14ac:dyDescent="0.25">
      <c r="C690" s="246" t="s">
        <v>2040</v>
      </c>
      <c r="D690" s="246">
        <v>1</v>
      </c>
      <c r="E690" s="246">
        <v>2</v>
      </c>
      <c r="F690" s="246">
        <v>3</v>
      </c>
      <c r="G690" s="246">
        <v>4</v>
      </c>
      <c r="H690" s="246">
        <v>6</v>
      </c>
      <c r="I690" s="246">
        <v>12</v>
      </c>
      <c r="J690" s="246">
        <v>15</v>
      </c>
      <c r="K690" s="246">
        <v>16</v>
      </c>
      <c r="L690" s="246"/>
      <c r="M690" s="246"/>
      <c r="N690" s="246"/>
      <c r="O690" s="246"/>
      <c r="P690" s="246"/>
      <c r="Q690" s="246"/>
      <c r="R690" s="246">
        <f>IFERROR(VLOOKUP(D690,PROGRAMAS[],2,FALSE),0)</f>
        <v>97037803.679377079</v>
      </c>
      <c r="S690" s="246">
        <f>IFERROR(VLOOKUP(E690,PROGRAMAS[],2,FALSE),0)</f>
        <v>640501509.6821388</v>
      </c>
      <c r="T690" s="246">
        <f>IFERROR(VLOOKUP(F690,PROGRAMAS[],2,FALSE),0)</f>
        <v>3062327798.1525245</v>
      </c>
      <c r="U690" s="246">
        <f>IFERROR(VLOOKUP(G690,PROGRAMAS[],2,FALSE),0)</f>
        <v>67697118.033011258</v>
      </c>
      <c r="V690" s="246">
        <f>IFERROR(VLOOKUP(H690,PROGRAMAS[],2,FALSE),0)</f>
        <v>6907648435.8447599</v>
      </c>
      <c r="W690" s="246">
        <f>IFERROR(VLOOKUP(I690,PROGRAMAS[],2,FALSE),0)</f>
        <v>764796700.79905891</v>
      </c>
      <c r="X690" s="246">
        <f>IFERROR(VLOOKUP(J690,PROGRAMAS[],2,FALSE),0)</f>
        <v>122159672.96346797</v>
      </c>
      <c r="Y690" s="246">
        <f>IFERROR(VLOOKUP(K690,PROGRAMAS[],2,FALSE),0)</f>
        <v>7068496961.0436354</v>
      </c>
      <c r="Z690" s="246">
        <f>IFERROR(VLOOKUP(L690,PROGRAMAS[],2,FALSE),0)</f>
        <v>0</v>
      </c>
      <c r="AA690" s="246">
        <f>IFERROR(VLOOKUP(M690,PROGRAMAS[],2,FALSE),0)</f>
        <v>0</v>
      </c>
      <c r="AB690" s="246">
        <f>IFERROR(VLOOKUP(N690,PROGRAMAS[],2,FALSE),0)</f>
        <v>0</v>
      </c>
      <c r="AC690" s="246">
        <f>IFERROR(VLOOKUP(O690,PROGRAMAS[],2,FALSE),0)</f>
        <v>0</v>
      </c>
      <c r="AD690" s="246">
        <f>IFERROR(VLOOKUP(P690,PROGRAMAS[],2,FALSE),0)</f>
        <v>0</v>
      </c>
      <c r="AE690" s="246">
        <f>IFERROR(VLOOKUP(Q690,PROGRAMAS[],2,FALSE),0)</f>
        <v>0</v>
      </c>
      <c r="AF690" s="246">
        <f>IFERROR(VLOOKUP(D690,PROGRAMAS[],3,FALSE),0)</f>
        <v>841888629.31080008</v>
      </c>
      <c r="AG690" s="246">
        <f>IFERROR(VLOOKUP(E690,PROGRAMAS[],3,FALSE),0)</f>
        <v>3848980803.1642323</v>
      </c>
      <c r="AH690" s="246">
        <f>IFERROR(VLOOKUP(F690,PROGRAMAS[],3,FALSE),0)</f>
        <v>3394901471.387517</v>
      </c>
      <c r="AI690" s="246">
        <f>IFERROR(VLOOKUP(G690,PROGRAMAS[],3,FALSE),0)</f>
        <v>125317226.95549992</v>
      </c>
      <c r="AJ690" s="246">
        <f>IFERROR(VLOOKUP(H690,PROGRAMAS[],3,FALSE),0)</f>
        <v>6129902208.7912121</v>
      </c>
      <c r="AK690" s="246">
        <f>IFERROR(VLOOKUP(I690,PROGRAMAS[],3,FALSE),0)</f>
        <v>675517840.109828</v>
      </c>
      <c r="AL690" s="246">
        <f>IFERROR(VLOOKUP(J690,PROGRAMAS[],3,FALSE),0)</f>
        <v>118617452.52510804</v>
      </c>
      <c r="AM690" s="246">
        <f>IFERROR(VLOOKUP(K690,PROGRAMAS[],3,FALSE),0)</f>
        <v>2406564599.0319901</v>
      </c>
      <c r="AN690" s="246">
        <f>IFERROR(VLOOKUP(L690,PROGRAMAS[],3,FALSE),0)</f>
        <v>0</v>
      </c>
      <c r="AO690" s="246">
        <f>IFERROR(VLOOKUP(M690,PROGRAMAS[],3,FALSE),0)</f>
        <v>0</v>
      </c>
      <c r="AP690" s="246">
        <f>IFERROR(VLOOKUP(N690,PROGRAMAS[],3,FALSE),0)</f>
        <v>0</v>
      </c>
      <c r="AQ690" s="246">
        <f>IFERROR(VLOOKUP(O690,PROGRAMAS[],3,FALSE),0)</f>
        <v>0</v>
      </c>
      <c r="AR690" s="246">
        <f>IFERROR(VLOOKUP(P690,PROGRAMAS[],3,FALSE),0)</f>
        <v>0</v>
      </c>
      <c r="AS690" s="246">
        <f>IFERROR(VLOOKUP(Q690,PROGRAMAS[],3,FALSE),0)</f>
        <v>0</v>
      </c>
      <c r="AT690" s="246">
        <f>IFERROR(VLOOKUP(D690,VOL_REC[],2,FALSE),0)</f>
        <v>0</v>
      </c>
      <c r="AU690" s="246">
        <f>IFERROR(VLOOKUP(E690,VOL_REC[],2,FALSE),0)</f>
        <v>0</v>
      </c>
      <c r="AV690" s="246">
        <f>IFERROR(VLOOKUP(F690,VOL_REC[],2,FALSE),0)</f>
        <v>11089674.200000001</v>
      </c>
      <c r="AW690" s="246">
        <f>IFERROR(VLOOKUP(G690,VOL_REC[],2,FALSE),0)</f>
        <v>90439.55</v>
      </c>
      <c r="AX690" s="246">
        <f>IFERROR(VLOOKUP(H690,VOL_REC[],2,FALSE),0)</f>
        <v>15540036.397699751</v>
      </c>
      <c r="AY690" s="246">
        <f>IFERROR(VLOOKUP(I690,VOL_REC[],2,FALSE),0)</f>
        <v>240696.79238099116</v>
      </c>
      <c r="AZ690" s="246">
        <f>IFERROR(VLOOKUP(J690,VOL_REC[],2,FALSE),0)</f>
        <v>105072</v>
      </c>
      <c r="BA690" s="246">
        <f>IFERROR(VLOOKUP(K690,VOL_REC[],2,FALSE),0)</f>
        <v>1072354.9981737854</v>
      </c>
      <c r="BB690" s="246">
        <f>IFERROR(VLOOKUP(L690,VOL_REC[],2,FALSE),0)</f>
        <v>0</v>
      </c>
      <c r="BC690" s="246">
        <f>IFERROR(VLOOKUP(M690,VOL_REC[],2,FALSE),0)</f>
        <v>0</v>
      </c>
      <c r="BD690" s="246">
        <f>IFERROR(VLOOKUP(N690,VOL_REC[],2,FALSE),0)</f>
        <v>0</v>
      </c>
      <c r="BE690" s="246">
        <f>IFERROR(VLOOKUP(O690,VOL_REC[],2,FALSE),0)</f>
        <v>0</v>
      </c>
      <c r="BF690" s="246">
        <f>IFERROR(VLOOKUP(P690,VOL_REC[],2,FALSE),0)</f>
        <v>0</v>
      </c>
      <c r="BG690" s="246">
        <f>IFERROR(VLOOKUP(Q690,VOL_REC[],2,FALSE),0)</f>
        <v>0</v>
      </c>
      <c r="BH690" s="1710">
        <f t="shared" si="40"/>
        <v>18730666000.197975</v>
      </c>
      <c r="BI690" s="1710">
        <f t="shared" si="41"/>
        <v>17541690231.276188</v>
      </c>
      <c r="BJ690" s="1711">
        <f t="shared" si="42"/>
        <v>28138273.938254528</v>
      </c>
      <c r="BK690" s="1711">
        <f t="shared" si="43"/>
        <v>1.0677800002876512</v>
      </c>
      <c r="BL690">
        <f>BJ690</f>
        <v>28138273.938254528</v>
      </c>
      <c r="BO690">
        <f>BL690</f>
        <v>28138273.938254528</v>
      </c>
    </row>
    <row r="691" spans="3:67" x14ac:dyDescent="0.25">
      <c r="C691" s="246" t="s">
        <v>2041</v>
      </c>
      <c r="D691" s="246">
        <v>1</v>
      </c>
      <c r="E691" s="246">
        <v>2</v>
      </c>
      <c r="F691" s="246">
        <v>3</v>
      </c>
      <c r="G691" s="246">
        <v>4</v>
      </c>
      <c r="H691" s="246">
        <v>6</v>
      </c>
      <c r="I691" s="246">
        <v>12</v>
      </c>
      <c r="J691" s="246">
        <v>15</v>
      </c>
      <c r="K691" s="246">
        <v>17</v>
      </c>
      <c r="L691" s="246"/>
      <c r="M691" s="246"/>
      <c r="N691" s="246"/>
      <c r="O691" s="246"/>
      <c r="P691" s="246"/>
      <c r="Q691" s="246"/>
      <c r="R691" s="246">
        <f>IFERROR(VLOOKUP(D691,PROGRAMAS[],2,FALSE),0)</f>
        <v>97037803.679377079</v>
      </c>
      <c r="S691" s="246">
        <f>IFERROR(VLOOKUP(E691,PROGRAMAS[],2,FALSE),0)</f>
        <v>640501509.6821388</v>
      </c>
      <c r="T691" s="246">
        <f>IFERROR(VLOOKUP(F691,PROGRAMAS[],2,FALSE),0)</f>
        <v>3062327798.1525245</v>
      </c>
      <c r="U691" s="246">
        <f>IFERROR(VLOOKUP(G691,PROGRAMAS[],2,FALSE),0)</f>
        <v>67697118.033011258</v>
      </c>
      <c r="V691" s="246">
        <f>IFERROR(VLOOKUP(H691,PROGRAMAS[],2,FALSE),0)</f>
        <v>6907648435.8447599</v>
      </c>
      <c r="W691" s="246">
        <f>IFERROR(VLOOKUP(I691,PROGRAMAS[],2,FALSE),0)</f>
        <v>764796700.79905891</v>
      </c>
      <c r="X691" s="246">
        <f>IFERROR(VLOOKUP(J691,PROGRAMAS[],2,FALSE),0)</f>
        <v>122159672.96346797</v>
      </c>
      <c r="Y691" s="246">
        <f>IFERROR(VLOOKUP(K691,PROGRAMAS[],2,FALSE),0)</f>
        <v>1892779498.5211046</v>
      </c>
      <c r="Z691" s="246">
        <f>IFERROR(VLOOKUP(L691,PROGRAMAS[],2,FALSE),0)</f>
        <v>0</v>
      </c>
      <c r="AA691" s="246">
        <f>IFERROR(VLOOKUP(M691,PROGRAMAS[],2,FALSE),0)</f>
        <v>0</v>
      </c>
      <c r="AB691" s="246">
        <f>IFERROR(VLOOKUP(N691,PROGRAMAS[],2,FALSE),0)</f>
        <v>0</v>
      </c>
      <c r="AC691" s="246">
        <f>IFERROR(VLOOKUP(O691,PROGRAMAS[],2,FALSE),0)</f>
        <v>0</v>
      </c>
      <c r="AD691" s="246">
        <f>IFERROR(VLOOKUP(P691,PROGRAMAS[],2,FALSE),0)</f>
        <v>0</v>
      </c>
      <c r="AE691" s="246">
        <f>IFERROR(VLOOKUP(Q691,PROGRAMAS[],2,FALSE),0)</f>
        <v>0</v>
      </c>
      <c r="AF691" s="246">
        <f>IFERROR(VLOOKUP(D691,PROGRAMAS[],3,FALSE),0)</f>
        <v>841888629.31080008</v>
      </c>
      <c r="AG691" s="246">
        <f>IFERROR(VLOOKUP(E691,PROGRAMAS[],3,FALSE),0)</f>
        <v>3848980803.1642323</v>
      </c>
      <c r="AH691" s="246">
        <f>IFERROR(VLOOKUP(F691,PROGRAMAS[],3,FALSE),0)</f>
        <v>3394901471.387517</v>
      </c>
      <c r="AI691" s="246">
        <f>IFERROR(VLOOKUP(G691,PROGRAMAS[],3,FALSE),0)</f>
        <v>125317226.95549992</v>
      </c>
      <c r="AJ691" s="246">
        <f>IFERROR(VLOOKUP(H691,PROGRAMAS[],3,FALSE),0)</f>
        <v>6129902208.7912121</v>
      </c>
      <c r="AK691" s="246">
        <f>IFERROR(VLOOKUP(I691,PROGRAMAS[],3,FALSE),0)</f>
        <v>675517840.109828</v>
      </c>
      <c r="AL691" s="246">
        <f>IFERROR(VLOOKUP(J691,PROGRAMAS[],3,FALSE),0)</f>
        <v>118617452.52510804</v>
      </c>
      <c r="AM691" s="246">
        <f>IFERROR(VLOOKUP(K691,PROGRAMAS[],3,FALSE),0)</f>
        <v>948595847.09039903</v>
      </c>
      <c r="AN691" s="246">
        <f>IFERROR(VLOOKUP(L691,PROGRAMAS[],3,FALSE),0)</f>
        <v>0</v>
      </c>
      <c r="AO691" s="246">
        <f>IFERROR(VLOOKUP(M691,PROGRAMAS[],3,FALSE),0)</f>
        <v>0</v>
      </c>
      <c r="AP691" s="246">
        <f>IFERROR(VLOOKUP(N691,PROGRAMAS[],3,FALSE),0)</f>
        <v>0</v>
      </c>
      <c r="AQ691" s="246">
        <f>IFERROR(VLOOKUP(O691,PROGRAMAS[],3,FALSE),0)</f>
        <v>0</v>
      </c>
      <c r="AR691" s="246">
        <f>IFERROR(VLOOKUP(P691,PROGRAMAS[],3,FALSE),0)</f>
        <v>0</v>
      </c>
      <c r="AS691" s="246">
        <f>IFERROR(VLOOKUP(Q691,PROGRAMAS[],3,FALSE),0)</f>
        <v>0</v>
      </c>
      <c r="AT691" s="246">
        <f>IFERROR(VLOOKUP(D691,VOL_REC[],2,FALSE),0)</f>
        <v>0</v>
      </c>
      <c r="AU691" s="246">
        <f>IFERROR(VLOOKUP(E691,VOL_REC[],2,FALSE),0)</f>
        <v>0</v>
      </c>
      <c r="AV691" s="246">
        <f>IFERROR(VLOOKUP(F691,VOL_REC[],2,FALSE),0)</f>
        <v>11089674.200000001</v>
      </c>
      <c r="AW691" s="246">
        <f>IFERROR(VLOOKUP(G691,VOL_REC[],2,FALSE),0)</f>
        <v>90439.55</v>
      </c>
      <c r="AX691" s="246">
        <f>IFERROR(VLOOKUP(H691,VOL_REC[],2,FALSE),0)</f>
        <v>15540036.397699751</v>
      </c>
      <c r="AY691" s="246">
        <f>IFERROR(VLOOKUP(I691,VOL_REC[],2,FALSE),0)</f>
        <v>240696.79238099116</v>
      </c>
      <c r="AZ691" s="246">
        <f>IFERROR(VLOOKUP(J691,VOL_REC[],2,FALSE),0)</f>
        <v>105072</v>
      </c>
      <c r="BA691" s="246">
        <f>IFERROR(VLOOKUP(K691,VOL_REC[],2,FALSE),0)</f>
        <v>740113.98115702497</v>
      </c>
      <c r="BB691" s="246">
        <f>IFERROR(VLOOKUP(L691,VOL_REC[],2,FALSE),0)</f>
        <v>0</v>
      </c>
      <c r="BC691" s="246">
        <f>IFERROR(VLOOKUP(M691,VOL_REC[],2,FALSE),0)</f>
        <v>0</v>
      </c>
      <c r="BD691" s="246">
        <f>IFERROR(VLOOKUP(N691,VOL_REC[],2,FALSE),0)</f>
        <v>0</v>
      </c>
      <c r="BE691" s="246">
        <f>IFERROR(VLOOKUP(O691,VOL_REC[],2,FALSE),0)</f>
        <v>0</v>
      </c>
      <c r="BF691" s="246">
        <f>IFERROR(VLOOKUP(P691,VOL_REC[],2,FALSE),0)</f>
        <v>0</v>
      </c>
      <c r="BG691" s="246">
        <f>IFERROR(VLOOKUP(Q691,VOL_REC[],2,FALSE),0)</f>
        <v>0</v>
      </c>
      <c r="BH691" s="1710">
        <f t="shared" si="40"/>
        <v>13554948537.675444</v>
      </c>
      <c r="BI691" s="1710">
        <f t="shared" si="41"/>
        <v>16083721479.334597</v>
      </c>
      <c r="BJ691" s="1711">
        <f t="shared" si="42"/>
        <v>27806032.921237767</v>
      </c>
      <c r="BK691" s="1711">
        <f t="shared" si="43"/>
        <v>0.84277438869429044</v>
      </c>
    </row>
    <row r="692" spans="3:67" x14ac:dyDescent="0.25">
      <c r="C692" s="246" t="s">
        <v>2042</v>
      </c>
      <c r="D692" s="246">
        <v>1</v>
      </c>
      <c r="E692" s="246">
        <v>2</v>
      </c>
      <c r="F692" s="246">
        <v>3</v>
      </c>
      <c r="G692" s="246">
        <v>4</v>
      </c>
      <c r="H692" s="246">
        <v>6</v>
      </c>
      <c r="I692" s="246">
        <v>12</v>
      </c>
      <c r="J692" s="246">
        <v>16</v>
      </c>
      <c r="K692" s="246">
        <v>17</v>
      </c>
      <c r="L692" s="246"/>
      <c r="M692" s="246"/>
      <c r="N692" s="246"/>
      <c r="O692" s="246"/>
      <c r="P692" s="246"/>
      <c r="Q692" s="246"/>
      <c r="R692" s="246">
        <f>IFERROR(VLOOKUP(D692,PROGRAMAS[],2,FALSE),0)</f>
        <v>97037803.679377079</v>
      </c>
      <c r="S692" s="246">
        <f>IFERROR(VLOOKUP(E692,PROGRAMAS[],2,FALSE),0)</f>
        <v>640501509.6821388</v>
      </c>
      <c r="T692" s="246">
        <f>IFERROR(VLOOKUP(F692,PROGRAMAS[],2,FALSE),0)</f>
        <v>3062327798.1525245</v>
      </c>
      <c r="U692" s="246">
        <f>IFERROR(VLOOKUP(G692,PROGRAMAS[],2,FALSE),0)</f>
        <v>67697118.033011258</v>
      </c>
      <c r="V692" s="246">
        <f>IFERROR(VLOOKUP(H692,PROGRAMAS[],2,FALSE),0)</f>
        <v>6907648435.8447599</v>
      </c>
      <c r="W692" s="246">
        <f>IFERROR(VLOOKUP(I692,PROGRAMAS[],2,FALSE),0)</f>
        <v>764796700.79905891</v>
      </c>
      <c r="X692" s="246">
        <f>IFERROR(VLOOKUP(J692,PROGRAMAS[],2,FALSE),0)</f>
        <v>7068496961.0436354</v>
      </c>
      <c r="Y692" s="246">
        <f>IFERROR(VLOOKUP(K692,PROGRAMAS[],2,FALSE),0)</f>
        <v>1892779498.5211046</v>
      </c>
      <c r="Z692" s="246">
        <f>IFERROR(VLOOKUP(L692,PROGRAMAS[],2,FALSE),0)</f>
        <v>0</v>
      </c>
      <c r="AA692" s="246">
        <f>IFERROR(VLOOKUP(M692,PROGRAMAS[],2,FALSE),0)</f>
        <v>0</v>
      </c>
      <c r="AB692" s="246">
        <f>IFERROR(VLOOKUP(N692,PROGRAMAS[],2,FALSE),0)</f>
        <v>0</v>
      </c>
      <c r="AC692" s="246">
        <f>IFERROR(VLOOKUP(O692,PROGRAMAS[],2,FALSE),0)</f>
        <v>0</v>
      </c>
      <c r="AD692" s="246">
        <f>IFERROR(VLOOKUP(P692,PROGRAMAS[],2,FALSE),0)</f>
        <v>0</v>
      </c>
      <c r="AE692" s="246">
        <f>IFERROR(VLOOKUP(Q692,PROGRAMAS[],2,FALSE),0)</f>
        <v>0</v>
      </c>
      <c r="AF692" s="246">
        <f>IFERROR(VLOOKUP(D692,PROGRAMAS[],3,FALSE),0)</f>
        <v>841888629.31080008</v>
      </c>
      <c r="AG692" s="246">
        <f>IFERROR(VLOOKUP(E692,PROGRAMAS[],3,FALSE),0)</f>
        <v>3848980803.1642323</v>
      </c>
      <c r="AH692" s="246">
        <f>IFERROR(VLOOKUP(F692,PROGRAMAS[],3,FALSE),0)</f>
        <v>3394901471.387517</v>
      </c>
      <c r="AI692" s="246">
        <f>IFERROR(VLOOKUP(G692,PROGRAMAS[],3,FALSE),0)</f>
        <v>125317226.95549992</v>
      </c>
      <c r="AJ692" s="246">
        <f>IFERROR(VLOOKUP(H692,PROGRAMAS[],3,FALSE),0)</f>
        <v>6129902208.7912121</v>
      </c>
      <c r="AK692" s="246">
        <f>IFERROR(VLOOKUP(I692,PROGRAMAS[],3,FALSE),0)</f>
        <v>675517840.109828</v>
      </c>
      <c r="AL692" s="246">
        <f>IFERROR(VLOOKUP(J692,PROGRAMAS[],3,FALSE),0)</f>
        <v>2406564599.0319901</v>
      </c>
      <c r="AM692" s="246">
        <f>IFERROR(VLOOKUP(K692,PROGRAMAS[],3,FALSE),0)</f>
        <v>948595847.09039903</v>
      </c>
      <c r="AN692" s="246">
        <f>IFERROR(VLOOKUP(L692,PROGRAMAS[],3,FALSE),0)</f>
        <v>0</v>
      </c>
      <c r="AO692" s="246">
        <f>IFERROR(VLOOKUP(M692,PROGRAMAS[],3,FALSE),0)</f>
        <v>0</v>
      </c>
      <c r="AP692" s="246">
        <f>IFERROR(VLOOKUP(N692,PROGRAMAS[],3,FALSE),0)</f>
        <v>0</v>
      </c>
      <c r="AQ692" s="246">
        <f>IFERROR(VLOOKUP(O692,PROGRAMAS[],3,FALSE),0)</f>
        <v>0</v>
      </c>
      <c r="AR692" s="246">
        <f>IFERROR(VLOOKUP(P692,PROGRAMAS[],3,FALSE),0)</f>
        <v>0</v>
      </c>
      <c r="AS692" s="246">
        <f>IFERROR(VLOOKUP(Q692,PROGRAMAS[],3,FALSE),0)</f>
        <v>0</v>
      </c>
      <c r="AT692" s="246">
        <f>IFERROR(VLOOKUP(D692,VOL_REC[],2,FALSE),0)</f>
        <v>0</v>
      </c>
      <c r="AU692" s="246">
        <f>IFERROR(VLOOKUP(E692,VOL_REC[],2,FALSE),0)</f>
        <v>0</v>
      </c>
      <c r="AV692" s="246">
        <f>IFERROR(VLOOKUP(F692,VOL_REC[],2,FALSE),0)</f>
        <v>11089674.200000001</v>
      </c>
      <c r="AW692" s="246">
        <f>IFERROR(VLOOKUP(G692,VOL_REC[],2,FALSE),0)</f>
        <v>90439.55</v>
      </c>
      <c r="AX692" s="246">
        <f>IFERROR(VLOOKUP(H692,VOL_REC[],2,FALSE),0)</f>
        <v>15540036.397699751</v>
      </c>
      <c r="AY692" s="246">
        <f>IFERROR(VLOOKUP(I692,VOL_REC[],2,FALSE),0)</f>
        <v>240696.79238099116</v>
      </c>
      <c r="AZ692" s="246">
        <f>IFERROR(VLOOKUP(J692,VOL_REC[],2,FALSE),0)</f>
        <v>1072354.9981737854</v>
      </c>
      <c r="BA692" s="246">
        <f>IFERROR(VLOOKUP(K692,VOL_REC[],2,FALSE),0)</f>
        <v>740113.98115702497</v>
      </c>
      <c r="BB692" s="246">
        <f>IFERROR(VLOOKUP(L692,VOL_REC[],2,FALSE),0)</f>
        <v>0</v>
      </c>
      <c r="BC692" s="246">
        <f>IFERROR(VLOOKUP(M692,VOL_REC[],2,FALSE),0)</f>
        <v>0</v>
      </c>
      <c r="BD692" s="246">
        <f>IFERROR(VLOOKUP(N692,VOL_REC[],2,FALSE),0)</f>
        <v>0</v>
      </c>
      <c r="BE692" s="246">
        <f>IFERROR(VLOOKUP(O692,VOL_REC[],2,FALSE),0)</f>
        <v>0</v>
      </c>
      <c r="BF692" s="246">
        <f>IFERROR(VLOOKUP(P692,VOL_REC[],2,FALSE),0)</f>
        <v>0</v>
      </c>
      <c r="BG692" s="246">
        <f>IFERROR(VLOOKUP(Q692,VOL_REC[],2,FALSE),0)</f>
        <v>0</v>
      </c>
      <c r="BH692" s="1710">
        <f t="shared" si="40"/>
        <v>20501285825.755608</v>
      </c>
      <c r="BI692" s="1710">
        <f t="shared" si="41"/>
        <v>18371668625.84148</v>
      </c>
      <c r="BJ692" s="1711">
        <f t="shared" si="42"/>
        <v>28773315.919411551</v>
      </c>
      <c r="BK692" s="1711">
        <f t="shared" si="43"/>
        <v>1.1159185506382703</v>
      </c>
      <c r="BL692">
        <f>BJ692</f>
        <v>28773315.919411551</v>
      </c>
      <c r="BO692">
        <f>BL692</f>
        <v>28773315.919411551</v>
      </c>
    </row>
    <row r="693" spans="3:67" x14ac:dyDescent="0.25">
      <c r="C693" s="246" t="s">
        <v>2043</v>
      </c>
      <c r="D693" s="246">
        <v>1</v>
      </c>
      <c r="E693" s="246">
        <v>2</v>
      </c>
      <c r="F693" s="246">
        <v>3</v>
      </c>
      <c r="G693" s="246">
        <v>4</v>
      </c>
      <c r="H693" s="246">
        <v>6</v>
      </c>
      <c r="I693" s="246">
        <v>13</v>
      </c>
      <c r="J693" s="246">
        <v>14</v>
      </c>
      <c r="K693" s="246">
        <v>15</v>
      </c>
      <c r="L693" s="246"/>
      <c r="M693" s="246"/>
      <c r="N693" s="246"/>
      <c r="O693" s="246"/>
      <c r="P693" s="246"/>
      <c r="Q693" s="246"/>
      <c r="R693" s="246">
        <f>IFERROR(VLOOKUP(D693,PROGRAMAS[],2,FALSE),0)</f>
        <v>97037803.679377079</v>
      </c>
      <c r="S693" s="246">
        <f>IFERROR(VLOOKUP(E693,PROGRAMAS[],2,FALSE),0)</f>
        <v>640501509.6821388</v>
      </c>
      <c r="T693" s="246">
        <f>IFERROR(VLOOKUP(F693,PROGRAMAS[],2,FALSE),0)</f>
        <v>3062327798.1525245</v>
      </c>
      <c r="U693" s="246">
        <f>IFERROR(VLOOKUP(G693,PROGRAMAS[],2,FALSE),0)</f>
        <v>67697118.033011258</v>
      </c>
      <c r="V693" s="246">
        <f>IFERROR(VLOOKUP(H693,PROGRAMAS[],2,FALSE),0)</f>
        <v>6907648435.8447599</v>
      </c>
      <c r="W693" s="246">
        <f>IFERROR(VLOOKUP(I693,PROGRAMAS[],2,FALSE),0)</f>
        <v>3776538594.4604583</v>
      </c>
      <c r="X693" s="246">
        <f>IFERROR(VLOOKUP(J693,PROGRAMAS[],2,FALSE),0)</f>
        <v>54223862.645839565</v>
      </c>
      <c r="Y693" s="246">
        <f>IFERROR(VLOOKUP(K693,PROGRAMAS[],2,FALSE),0)</f>
        <v>122159672.96346797</v>
      </c>
      <c r="Z693" s="246">
        <f>IFERROR(VLOOKUP(L693,PROGRAMAS[],2,FALSE),0)</f>
        <v>0</v>
      </c>
      <c r="AA693" s="246">
        <f>IFERROR(VLOOKUP(M693,PROGRAMAS[],2,FALSE),0)</f>
        <v>0</v>
      </c>
      <c r="AB693" s="246">
        <f>IFERROR(VLOOKUP(N693,PROGRAMAS[],2,FALSE),0)</f>
        <v>0</v>
      </c>
      <c r="AC693" s="246">
        <f>IFERROR(VLOOKUP(O693,PROGRAMAS[],2,FALSE),0)</f>
        <v>0</v>
      </c>
      <c r="AD693" s="246">
        <f>IFERROR(VLOOKUP(P693,PROGRAMAS[],2,FALSE),0)</f>
        <v>0</v>
      </c>
      <c r="AE693" s="246">
        <f>IFERROR(VLOOKUP(Q693,PROGRAMAS[],2,FALSE),0)</f>
        <v>0</v>
      </c>
      <c r="AF693" s="246">
        <f>IFERROR(VLOOKUP(D693,PROGRAMAS[],3,FALSE),0)</f>
        <v>841888629.31080008</v>
      </c>
      <c r="AG693" s="246">
        <f>IFERROR(VLOOKUP(E693,PROGRAMAS[],3,FALSE),0)</f>
        <v>3848980803.1642323</v>
      </c>
      <c r="AH693" s="246">
        <f>IFERROR(VLOOKUP(F693,PROGRAMAS[],3,FALSE),0)</f>
        <v>3394901471.387517</v>
      </c>
      <c r="AI693" s="246">
        <f>IFERROR(VLOOKUP(G693,PROGRAMAS[],3,FALSE),0)</f>
        <v>125317226.95549992</v>
      </c>
      <c r="AJ693" s="246">
        <f>IFERROR(VLOOKUP(H693,PROGRAMAS[],3,FALSE),0)</f>
        <v>6129902208.7912121</v>
      </c>
      <c r="AK693" s="246">
        <f>IFERROR(VLOOKUP(I693,PROGRAMAS[],3,FALSE),0)</f>
        <v>2392571243.5584412</v>
      </c>
      <c r="AL693" s="246">
        <f>IFERROR(VLOOKUP(J693,PROGRAMAS[],3,FALSE),0)</f>
        <v>31865326.38096505</v>
      </c>
      <c r="AM693" s="246">
        <f>IFERROR(VLOOKUP(K693,PROGRAMAS[],3,FALSE),0)</f>
        <v>118617452.52510804</v>
      </c>
      <c r="AN693" s="246">
        <f>IFERROR(VLOOKUP(L693,PROGRAMAS[],3,FALSE),0)</f>
        <v>0</v>
      </c>
      <c r="AO693" s="246">
        <f>IFERROR(VLOOKUP(M693,PROGRAMAS[],3,FALSE),0)</f>
        <v>0</v>
      </c>
      <c r="AP693" s="246">
        <f>IFERROR(VLOOKUP(N693,PROGRAMAS[],3,FALSE),0)</f>
        <v>0</v>
      </c>
      <c r="AQ693" s="246">
        <f>IFERROR(VLOOKUP(O693,PROGRAMAS[],3,FALSE),0)</f>
        <v>0</v>
      </c>
      <c r="AR693" s="246">
        <f>IFERROR(VLOOKUP(P693,PROGRAMAS[],3,FALSE),0)</f>
        <v>0</v>
      </c>
      <c r="AS693" s="246">
        <f>IFERROR(VLOOKUP(Q693,PROGRAMAS[],3,FALSE),0)</f>
        <v>0</v>
      </c>
      <c r="AT693" s="246">
        <f>IFERROR(VLOOKUP(D693,VOL_REC[],2,FALSE),0)</f>
        <v>0</v>
      </c>
      <c r="AU693" s="246">
        <f>IFERROR(VLOOKUP(E693,VOL_REC[],2,FALSE),0)</f>
        <v>0</v>
      </c>
      <c r="AV693" s="246">
        <f>IFERROR(VLOOKUP(F693,VOL_REC[],2,FALSE),0)</f>
        <v>11089674.200000001</v>
      </c>
      <c r="AW693" s="246">
        <f>IFERROR(VLOOKUP(G693,VOL_REC[],2,FALSE),0)</f>
        <v>90439.55</v>
      </c>
      <c r="AX693" s="246">
        <f>IFERROR(VLOOKUP(H693,VOL_REC[],2,FALSE),0)</f>
        <v>15540036.397699751</v>
      </c>
      <c r="AY693" s="246">
        <f>IFERROR(VLOOKUP(I693,VOL_REC[],2,FALSE),0)</f>
        <v>663244.80000000016</v>
      </c>
      <c r="AZ693" s="246">
        <f>IFERROR(VLOOKUP(J693,VOL_REC[],2,FALSE),0)</f>
        <v>17074.045034105649</v>
      </c>
      <c r="BA693" s="246">
        <f>IFERROR(VLOOKUP(K693,VOL_REC[],2,FALSE),0)</f>
        <v>105072</v>
      </c>
      <c r="BB693" s="246">
        <f>IFERROR(VLOOKUP(L693,VOL_REC[],2,FALSE),0)</f>
        <v>0</v>
      </c>
      <c r="BC693" s="246">
        <f>IFERROR(VLOOKUP(M693,VOL_REC[],2,FALSE),0)</f>
        <v>0</v>
      </c>
      <c r="BD693" s="246">
        <f>IFERROR(VLOOKUP(N693,VOL_REC[],2,FALSE),0)</f>
        <v>0</v>
      </c>
      <c r="BE693" s="246">
        <f>IFERROR(VLOOKUP(O693,VOL_REC[],2,FALSE),0)</f>
        <v>0</v>
      </c>
      <c r="BF693" s="246">
        <f>IFERROR(VLOOKUP(P693,VOL_REC[],2,FALSE),0)</f>
        <v>0</v>
      </c>
      <c r="BG693" s="246">
        <f>IFERROR(VLOOKUP(Q693,VOL_REC[],2,FALSE),0)</f>
        <v>0</v>
      </c>
      <c r="BH693" s="1710">
        <f t="shared" si="40"/>
        <v>14728134795.461578</v>
      </c>
      <c r="BI693" s="1710">
        <f t="shared" si="41"/>
        <v>16884044362.073774</v>
      </c>
      <c r="BJ693" s="1711">
        <f t="shared" si="42"/>
        <v>27505540.992733859</v>
      </c>
      <c r="BK693" s="1711">
        <f t="shared" si="43"/>
        <v>0.87231083261928855</v>
      </c>
    </row>
    <row r="694" spans="3:67" x14ac:dyDescent="0.25">
      <c r="C694" s="246" t="s">
        <v>2044</v>
      </c>
      <c r="D694" s="246">
        <v>1</v>
      </c>
      <c r="E694" s="246">
        <v>2</v>
      </c>
      <c r="F694" s="246">
        <v>3</v>
      </c>
      <c r="G694" s="246">
        <v>4</v>
      </c>
      <c r="H694" s="246">
        <v>6</v>
      </c>
      <c r="I694" s="246">
        <v>13</v>
      </c>
      <c r="J694" s="246">
        <v>14</v>
      </c>
      <c r="K694" s="246">
        <v>16</v>
      </c>
      <c r="L694" s="246"/>
      <c r="M694" s="246"/>
      <c r="N694" s="246"/>
      <c r="O694" s="246"/>
      <c r="P694" s="246"/>
      <c r="Q694" s="246"/>
      <c r="R694" s="246">
        <f>IFERROR(VLOOKUP(D694,PROGRAMAS[],2,FALSE),0)</f>
        <v>97037803.679377079</v>
      </c>
      <c r="S694" s="246">
        <f>IFERROR(VLOOKUP(E694,PROGRAMAS[],2,FALSE),0)</f>
        <v>640501509.6821388</v>
      </c>
      <c r="T694" s="246">
        <f>IFERROR(VLOOKUP(F694,PROGRAMAS[],2,FALSE),0)</f>
        <v>3062327798.1525245</v>
      </c>
      <c r="U694" s="246">
        <f>IFERROR(VLOOKUP(G694,PROGRAMAS[],2,FALSE),0)</f>
        <v>67697118.033011258</v>
      </c>
      <c r="V694" s="246">
        <f>IFERROR(VLOOKUP(H694,PROGRAMAS[],2,FALSE),0)</f>
        <v>6907648435.8447599</v>
      </c>
      <c r="W694" s="246">
        <f>IFERROR(VLOOKUP(I694,PROGRAMAS[],2,FALSE),0)</f>
        <v>3776538594.4604583</v>
      </c>
      <c r="X694" s="246">
        <f>IFERROR(VLOOKUP(J694,PROGRAMAS[],2,FALSE),0)</f>
        <v>54223862.645839565</v>
      </c>
      <c r="Y694" s="246">
        <f>IFERROR(VLOOKUP(K694,PROGRAMAS[],2,FALSE),0)</f>
        <v>7068496961.0436354</v>
      </c>
      <c r="Z694" s="246">
        <f>IFERROR(VLOOKUP(L694,PROGRAMAS[],2,FALSE),0)</f>
        <v>0</v>
      </c>
      <c r="AA694" s="246">
        <f>IFERROR(VLOOKUP(M694,PROGRAMAS[],2,FALSE),0)</f>
        <v>0</v>
      </c>
      <c r="AB694" s="246">
        <f>IFERROR(VLOOKUP(N694,PROGRAMAS[],2,FALSE),0)</f>
        <v>0</v>
      </c>
      <c r="AC694" s="246">
        <f>IFERROR(VLOOKUP(O694,PROGRAMAS[],2,FALSE),0)</f>
        <v>0</v>
      </c>
      <c r="AD694" s="246">
        <f>IFERROR(VLOOKUP(P694,PROGRAMAS[],2,FALSE),0)</f>
        <v>0</v>
      </c>
      <c r="AE694" s="246">
        <f>IFERROR(VLOOKUP(Q694,PROGRAMAS[],2,FALSE),0)</f>
        <v>0</v>
      </c>
      <c r="AF694" s="246">
        <f>IFERROR(VLOOKUP(D694,PROGRAMAS[],3,FALSE),0)</f>
        <v>841888629.31080008</v>
      </c>
      <c r="AG694" s="246">
        <f>IFERROR(VLOOKUP(E694,PROGRAMAS[],3,FALSE),0)</f>
        <v>3848980803.1642323</v>
      </c>
      <c r="AH694" s="246">
        <f>IFERROR(VLOOKUP(F694,PROGRAMAS[],3,FALSE),0)</f>
        <v>3394901471.387517</v>
      </c>
      <c r="AI694" s="246">
        <f>IFERROR(VLOOKUP(G694,PROGRAMAS[],3,FALSE),0)</f>
        <v>125317226.95549992</v>
      </c>
      <c r="AJ694" s="246">
        <f>IFERROR(VLOOKUP(H694,PROGRAMAS[],3,FALSE),0)</f>
        <v>6129902208.7912121</v>
      </c>
      <c r="AK694" s="246">
        <f>IFERROR(VLOOKUP(I694,PROGRAMAS[],3,FALSE),0)</f>
        <v>2392571243.5584412</v>
      </c>
      <c r="AL694" s="246">
        <f>IFERROR(VLOOKUP(J694,PROGRAMAS[],3,FALSE),0)</f>
        <v>31865326.38096505</v>
      </c>
      <c r="AM694" s="246">
        <f>IFERROR(VLOOKUP(K694,PROGRAMAS[],3,FALSE),0)</f>
        <v>2406564599.0319901</v>
      </c>
      <c r="AN694" s="246">
        <f>IFERROR(VLOOKUP(L694,PROGRAMAS[],3,FALSE),0)</f>
        <v>0</v>
      </c>
      <c r="AO694" s="246">
        <f>IFERROR(VLOOKUP(M694,PROGRAMAS[],3,FALSE),0)</f>
        <v>0</v>
      </c>
      <c r="AP694" s="246">
        <f>IFERROR(VLOOKUP(N694,PROGRAMAS[],3,FALSE),0)</f>
        <v>0</v>
      </c>
      <c r="AQ694" s="246">
        <f>IFERROR(VLOOKUP(O694,PROGRAMAS[],3,FALSE),0)</f>
        <v>0</v>
      </c>
      <c r="AR694" s="246">
        <f>IFERROR(VLOOKUP(P694,PROGRAMAS[],3,FALSE),0)</f>
        <v>0</v>
      </c>
      <c r="AS694" s="246">
        <f>IFERROR(VLOOKUP(Q694,PROGRAMAS[],3,FALSE),0)</f>
        <v>0</v>
      </c>
      <c r="AT694" s="246">
        <f>IFERROR(VLOOKUP(D694,VOL_REC[],2,FALSE),0)</f>
        <v>0</v>
      </c>
      <c r="AU694" s="246">
        <f>IFERROR(VLOOKUP(E694,VOL_REC[],2,FALSE),0)</f>
        <v>0</v>
      </c>
      <c r="AV694" s="246">
        <f>IFERROR(VLOOKUP(F694,VOL_REC[],2,FALSE),0)</f>
        <v>11089674.200000001</v>
      </c>
      <c r="AW694" s="246">
        <f>IFERROR(VLOOKUP(G694,VOL_REC[],2,FALSE),0)</f>
        <v>90439.55</v>
      </c>
      <c r="AX694" s="246">
        <f>IFERROR(VLOOKUP(H694,VOL_REC[],2,FALSE),0)</f>
        <v>15540036.397699751</v>
      </c>
      <c r="AY694" s="246">
        <f>IFERROR(VLOOKUP(I694,VOL_REC[],2,FALSE),0)</f>
        <v>663244.80000000016</v>
      </c>
      <c r="AZ694" s="246">
        <f>IFERROR(VLOOKUP(J694,VOL_REC[],2,FALSE),0)</f>
        <v>17074.045034105649</v>
      </c>
      <c r="BA694" s="246">
        <f>IFERROR(VLOOKUP(K694,VOL_REC[],2,FALSE),0)</f>
        <v>1072354.9981737854</v>
      </c>
      <c r="BB694" s="246">
        <f>IFERROR(VLOOKUP(L694,VOL_REC[],2,FALSE),0)</f>
        <v>0</v>
      </c>
      <c r="BC694" s="246">
        <f>IFERROR(VLOOKUP(M694,VOL_REC[],2,FALSE),0)</f>
        <v>0</v>
      </c>
      <c r="BD694" s="246">
        <f>IFERROR(VLOOKUP(N694,VOL_REC[],2,FALSE),0)</f>
        <v>0</v>
      </c>
      <c r="BE694" s="246">
        <f>IFERROR(VLOOKUP(O694,VOL_REC[],2,FALSE),0)</f>
        <v>0</v>
      </c>
      <c r="BF694" s="246">
        <f>IFERROR(VLOOKUP(P694,VOL_REC[],2,FALSE),0)</f>
        <v>0</v>
      </c>
      <c r="BG694" s="246">
        <f>IFERROR(VLOOKUP(Q694,VOL_REC[],2,FALSE),0)</f>
        <v>0</v>
      </c>
      <c r="BH694" s="1710">
        <f t="shared" si="40"/>
        <v>21674472083.541744</v>
      </c>
      <c r="BI694" s="1710">
        <f t="shared" si="41"/>
        <v>19171991508.580658</v>
      </c>
      <c r="BJ694" s="1711">
        <f t="shared" si="42"/>
        <v>28472823.990907643</v>
      </c>
      <c r="BK694" s="1711">
        <f t="shared" si="43"/>
        <v>1.1305279409205387</v>
      </c>
      <c r="BL694">
        <f>BJ694</f>
        <v>28472823.990907643</v>
      </c>
      <c r="BO694">
        <f>BL694</f>
        <v>28472823.990907643</v>
      </c>
    </row>
    <row r="695" spans="3:67" x14ac:dyDescent="0.25">
      <c r="C695" s="246" t="s">
        <v>2045</v>
      </c>
      <c r="D695" s="246">
        <v>1</v>
      </c>
      <c r="E695" s="246">
        <v>2</v>
      </c>
      <c r="F695" s="246">
        <v>3</v>
      </c>
      <c r="G695" s="246">
        <v>4</v>
      </c>
      <c r="H695" s="246">
        <v>6</v>
      </c>
      <c r="I695" s="246">
        <v>13</v>
      </c>
      <c r="J695" s="246">
        <v>14</v>
      </c>
      <c r="K695" s="246">
        <v>17</v>
      </c>
      <c r="L695" s="246"/>
      <c r="M695" s="246"/>
      <c r="N695" s="246"/>
      <c r="O695" s="246"/>
      <c r="P695" s="246"/>
      <c r="Q695" s="246"/>
      <c r="R695" s="246">
        <f>IFERROR(VLOOKUP(D695,PROGRAMAS[],2,FALSE),0)</f>
        <v>97037803.679377079</v>
      </c>
      <c r="S695" s="246">
        <f>IFERROR(VLOOKUP(E695,PROGRAMAS[],2,FALSE),0)</f>
        <v>640501509.6821388</v>
      </c>
      <c r="T695" s="246">
        <f>IFERROR(VLOOKUP(F695,PROGRAMAS[],2,FALSE),0)</f>
        <v>3062327798.1525245</v>
      </c>
      <c r="U695" s="246">
        <f>IFERROR(VLOOKUP(G695,PROGRAMAS[],2,FALSE),0)</f>
        <v>67697118.033011258</v>
      </c>
      <c r="V695" s="246">
        <f>IFERROR(VLOOKUP(H695,PROGRAMAS[],2,FALSE),0)</f>
        <v>6907648435.8447599</v>
      </c>
      <c r="W695" s="246">
        <f>IFERROR(VLOOKUP(I695,PROGRAMAS[],2,FALSE),0)</f>
        <v>3776538594.4604583</v>
      </c>
      <c r="X695" s="246">
        <f>IFERROR(VLOOKUP(J695,PROGRAMAS[],2,FALSE),0)</f>
        <v>54223862.645839565</v>
      </c>
      <c r="Y695" s="246">
        <f>IFERROR(VLOOKUP(K695,PROGRAMAS[],2,FALSE),0)</f>
        <v>1892779498.5211046</v>
      </c>
      <c r="Z695" s="246">
        <f>IFERROR(VLOOKUP(L695,PROGRAMAS[],2,FALSE),0)</f>
        <v>0</v>
      </c>
      <c r="AA695" s="246">
        <f>IFERROR(VLOOKUP(M695,PROGRAMAS[],2,FALSE),0)</f>
        <v>0</v>
      </c>
      <c r="AB695" s="246">
        <f>IFERROR(VLOOKUP(N695,PROGRAMAS[],2,FALSE),0)</f>
        <v>0</v>
      </c>
      <c r="AC695" s="246">
        <f>IFERROR(VLOOKUP(O695,PROGRAMAS[],2,FALSE),0)</f>
        <v>0</v>
      </c>
      <c r="AD695" s="246">
        <f>IFERROR(VLOOKUP(P695,PROGRAMAS[],2,FALSE),0)</f>
        <v>0</v>
      </c>
      <c r="AE695" s="246">
        <f>IFERROR(VLOOKUP(Q695,PROGRAMAS[],2,FALSE),0)</f>
        <v>0</v>
      </c>
      <c r="AF695" s="246">
        <f>IFERROR(VLOOKUP(D695,PROGRAMAS[],3,FALSE),0)</f>
        <v>841888629.31080008</v>
      </c>
      <c r="AG695" s="246">
        <f>IFERROR(VLOOKUP(E695,PROGRAMAS[],3,FALSE),0)</f>
        <v>3848980803.1642323</v>
      </c>
      <c r="AH695" s="246">
        <f>IFERROR(VLOOKUP(F695,PROGRAMAS[],3,FALSE),0)</f>
        <v>3394901471.387517</v>
      </c>
      <c r="AI695" s="246">
        <f>IFERROR(VLOOKUP(G695,PROGRAMAS[],3,FALSE),0)</f>
        <v>125317226.95549992</v>
      </c>
      <c r="AJ695" s="246">
        <f>IFERROR(VLOOKUP(H695,PROGRAMAS[],3,FALSE),0)</f>
        <v>6129902208.7912121</v>
      </c>
      <c r="AK695" s="246">
        <f>IFERROR(VLOOKUP(I695,PROGRAMAS[],3,FALSE),0)</f>
        <v>2392571243.5584412</v>
      </c>
      <c r="AL695" s="246">
        <f>IFERROR(VLOOKUP(J695,PROGRAMAS[],3,FALSE),0)</f>
        <v>31865326.38096505</v>
      </c>
      <c r="AM695" s="246">
        <f>IFERROR(VLOOKUP(K695,PROGRAMAS[],3,FALSE),0)</f>
        <v>948595847.09039903</v>
      </c>
      <c r="AN695" s="246">
        <f>IFERROR(VLOOKUP(L695,PROGRAMAS[],3,FALSE),0)</f>
        <v>0</v>
      </c>
      <c r="AO695" s="246">
        <f>IFERROR(VLOOKUP(M695,PROGRAMAS[],3,FALSE),0)</f>
        <v>0</v>
      </c>
      <c r="AP695" s="246">
        <f>IFERROR(VLOOKUP(N695,PROGRAMAS[],3,FALSE),0)</f>
        <v>0</v>
      </c>
      <c r="AQ695" s="246">
        <f>IFERROR(VLOOKUP(O695,PROGRAMAS[],3,FALSE),0)</f>
        <v>0</v>
      </c>
      <c r="AR695" s="246">
        <f>IFERROR(VLOOKUP(P695,PROGRAMAS[],3,FALSE),0)</f>
        <v>0</v>
      </c>
      <c r="AS695" s="246">
        <f>IFERROR(VLOOKUP(Q695,PROGRAMAS[],3,FALSE),0)</f>
        <v>0</v>
      </c>
      <c r="AT695" s="246">
        <f>IFERROR(VLOOKUP(D695,VOL_REC[],2,FALSE),0)</f>
        <v>0</v>
      </c>
      <c r="AU695" s="246">
        <f>IFERROR(VLOOKUP(E695,VOL_REC[],2,FALSE),0)</f>
        <v>0</v>
      </c>
      <c r="AV695" s="246">
        <f>IFERROR(VLOOKUP(F695,VOL_REC[],2,FALSE),0)</f>
        <v>11089674.200000001</v>
      </c>
      <c r="AW695" s="246">
        <f>IFERROR(VLOOKUP(G695,VOL_REC[],2,FALSE),0)</f>
        <v>90439.55</v>
      </c>
      <c r="AX695" s="246">
        <f>IFERROR(VLOOKUP(H695,VOL_REC[],2,FALSE),0)</f>
        <v>15540036.397699751</v>
      </c>
      <c r="AY695" s="246">
        <f>IFERROR(VLOOKUP(I695,VOL_REC[],2,FALSE),0)</f>
        <v>663244.80000000016</v>
      </c>
      <c r="AZ695" s="246">
        <f>IFERROR(VLOOKUP(J695,VOL_REC[],2,FALSE),0)</f>
        <v>17074.045034105649</v>
      </c>
      <c r="BA695" s="246">
        <f>IFERROR(VLOOKUP(K695,VOL_REC[],2,FALSE),0)</f>
        <v>740113.98115702497</v>
      </c>
      <c r="BB695" s="246">
        <f>IFERROR(VLOOKUP(L695,VOL_REC[],2,FALSE),0)</f>
        <v>0</v>
      </c>
      <c r="BC695" s="246">
        <f>IFERROR(VLOOKUP(M695,VOL_REC[],2,FALSE),0)</f>
        <v>0</v>
      </c>
      <c r="BD695" s="246">
        <f>IFERROR(VLOOKUP(N695,VOL_REC[],2,FALSE),0)</f>
        <v>0</v>
      </c>
      <c r="BE695" s="246">
        <f>IFERROR(VLOOKUP(O695,VOL_REC[],2,FALSE),0)</f>
        <v>0</v>
      </c>
      <c r="BF695" s="246">
        <f>IFERROR(VLOOKUP(P695,VOL_REC[],2,FALSE),0)</f>
        <v>0</v>
      </c>
      <c r="BG695" s="246">
        <f>IFERROR(VLOOKUP(Q695,VOL_REC[],2,FALSE),0)</f>
        <v>0</v>
      </c>
      <c r="BH695" s="1710">
        <f t="shared" si="40"/>
        <v>16498754621.019215</v>
      </c>
      <c r="BI695" s="1710">
        <f t="shared" si="41"/>
        <v>17714022756.639065</v>
      </c>
      <c r="BJ695" s="1711">
        <f t="shared" si="42"/>
        <v>28140582.973890882</v>
      </c>
      <c r="BK695" s="1711">
        <f t="shared" si="43"/>
        <v>0.93139513523745598</v>
      </c>
    </row>
    <row r="696" spans="3:67" x14ac:dyDescent="0.25">
      <c r="C696" s="246" t="s">
        <v>2046</v>
      </c>
      <c r="D696" s="246">
        <v>1</v>
      </c>
      <c r="E696" s="246">
        <v>2</v>
      </c>
      <c r="F696" s="246">
        <v>3</v>
      </c>
      <c r="G696" s="246">
        <v>4</v>
      </c>
      <c r="H696" s="246">
        <v>6</v>
      </c>
      <c r="I696" s="246">
        <v>13</v>
      </c>
      <c r="J696" s="246">
        <v>15</v>
      </c>
      <c r="K696" s="246">
        <v>16</v>
      </c>
      <c r="L696" s="246"/>
      <c r="M696" s="246"/>
      <c r="N696" s="246"/>
      <c r="O696" s="246"/>
      <c r="P696" s="246"/>
      <c r="Q696" s="246"/>
      <c r="R696" s="246">
        <f>IFERROR(VLOOKUP(D696,PROGRAMAS[],2,FALSE),0)</f>
        <v>97037803.679377079</v>
      </c>
      <c r="S696" s="246">
        <f>IFERROR(VLOOKUP(E696,PROGRAMAS[],2,FALSE),0)</f>
        <v>640501509.6821388</v>
      </c>
      <c r="T696" s="246">
        <f>IFERROR(VLOOKUP(F696,PROGRAMAS[],2,FALSE),0)</f>
        <v>3062327798.1525245</v>
      </c>
      <c r="U696" s="246">
        <f>IFERROR(VLOOKUP(G696,PROGRAMAS[],2,FALSE),0)</f>
        <v>67697118.033011258</v>
      </c>
      <c r="V696" s="246">
        <f>IFERROR(VLOOKUP(H696,PROGRAMAS[],2,FALSE),0)</f>
        <v>6907648435.8447599</v>
      </c>
      <c r="W696" s="246">
        <f>IFERROR(VLOOKUP(I696,PROGRAMAS[],2,FALSE),0)</f>
        <v>3776538594.4604583</v>
      </c>
      <c r="X696" s="246">
        <f>IFERROR(VLOOKUP(J696,PROGRAMAS[],2,FALSE),0)</f>
        <v>122159672.96346797</v>
      </c>
      <c r="Y696" s="246">
        <f>IFERROR(VLOOKUP(K696,PROGRAMAS[],2,FALSE),0)</f>
        <v>7068496961.0436354</v>
      </c>
      <c r="Z696" s="246">
        <f>IFERROR(VLOOKUP(L696,PROGRAMAS[],2,FALSE),0)</f>
        <v>0</v>
      </c>
      <c r="AA696" s="246">
        <f>IFERROR(VLOOKUP(M696,PROGRAMAS[],2,FALSE),0)</f>
        <v>0</v>
      </c>
      <c r="AB696" s="246">
        <f>IFERROR(VLOOKUP(N696,PROGRAMAS[],2,FALSE),0)</f>
        <v>0</v>
      </c>
      <c r="AC696" s="246">
        <f>IFERROR(VLOOKUP(O696,PROGRAMAS[],2,FALSE),0)</f>
        <v>0</v>
      </c>
      <c r="AD696" s="246">
        <f>IFERROR(VLOOKUP(P696,PROGRAMAS[],2,FALSE),0)</f>
        <v>0</v>
      </c>
      <c r="AE696" s="246">
        <f>IFERROR(VLOOKUP(Q696,PROGRAMAS[],2,FALSE),0)</f>
        <v>0</v>
      </c>
      <c r="AF696" s="246">
        <f>IFERROR(VLOOKUP(D696,PROGRAMAS[],3,FALSE),0)</f>
        <v>841888629.31080008</v>
      </c>
      <c r="AG696" s="246">
        <f>IFERROR(VLOOKUP(E696,PROGRAMAS[],3,FALSE),0)</f>
        <v>3848980803.1642323</v>
      </c>
      <c r="AH696" s="246">
        <f>IFERROR(VLOOKUP(F696,PROGRAMAS[],3,FALSE),0)</f>
        <v>3394901471.387517</v>
      </c>
      <c r="AI696" s="246">
        <f>IFERROR(VLOOKUP(G696,PROGRAMAS[],3,FALSE),0)</f>
        <v>125317226.95549992</v>
      </c>
      <c r="AJ696" s="246">
        <f>IFERROR(VLOOKUP(H696,PROGRAMAS[],3,FALSE),0)</f>
        <v>6129902208.7912121</v>
      </c>
      <c r="AK696" s="246">
        <f>IFERROR(VLOOKUP(I696,PROGRAMAS[],3,FALSE),0)</f>
        <v>2392571243.5584412</v>
      </c>
      <c r="AL696" s="246">
        <f>IFERROR(VLOOKUP(J696,PROGRAMAS[],3,FALSE),0)</f>
        <v>118617452.52510804</v>
      </c>
      <c r="AM696" s="246">
        <f>IFERROR(VLOOKUP(K696,PROGRAMAS[],3,FALSE),0)</f>
        <v>2406564599.0319901</v>
      </c>
      <c r="AN696" s="246">
        <f>IFERROR(VLOOKUP(L696,PROGRAMAS[],3,FALSE),0)</f>
        <v>0</v>
      </c>
      <c r="AO696" s="246">
        <f>IFERROR(VLOOKUP(M696,PROGRAMAS[],3,FALSE),0)</f>
        <v>0</v>
      </c>
      <c r="AP696" s="246">
        <f>IFERROR(VLOOKUP(N696,PROGRAMAS[],3,FALSE),0)</f>
        <v>0</v>
      </c>
      <c r="AQ696" s="246">
        <f>IFERROR(VLOOKUP(O696,PROGRAMAS[],3,FALSE),0)</f>
        <v>0</v>
      </c>
      <c r="AR696" s="246">
        <f>IFERROR(VLOOKUP(P696,PROGRAMAS[],3,FALSE),0)</f>
        <v>0</v>
      </c>
      <c r="AS696" s="246">
        <f>IFERROR(VLOOKUP(Q696,PROGRAMAS[],3,FALSE),0)</f>
        <v>0</v>
      </c>
      <c r="AT696" s="246">
        <f>IFERROR(VLOOKUP(D696,VOL_REC[],2,FALSE),0)</f>
        <v>0</v>
      </c>
      <c r="AU696" s="246">
        <f>IFERROR(VLOOKUP(E696,VOL_REC[],2,FALSE),0)</f>
        <v>0</v>
      </c>
      <c r="AV696" s="246">
        <f>IFERROR(VLOOKUP(F696,VOL_REC[],2,FALSE),0)</f>
        <v>11089674.200000001</v>
      </c>
      <c r="AW696" s="246">
        <f>IFERROR(VLOOKUP(G696,VOL_REC[],2,FALSE),0)</f>
        <v>90439.55</v>
      </c>
      <c r="AX696" s="246">
        <f>IFERROR(VLOOKUP(H696,VOL_REC[],2,FALSE),0)</f>
        <v>15540036.397699751</v>
      </c>
      <c r="AY696" s="246">
        <f>IFERROR(VLOOKUP(I696,VOL_REC[],2,FALSE),0)</f>
        <v>663244.80000000016</v>
      </c>
      <c r="AZ696" s="246">
        <f>IFERROR(VLOOKUP(J696,VOL_REC[],2,FALSE),0)</f>
        <v>105072</v>
      </c>
      <c r="BA696" s="246">
        <f>IFERROR(VLOOKUP(K696,VOL_REC[],2,FALSE),0)</f>
        <v>1072354.9981737854</v>
      </c>
      <c r="BB696" s="246">
        <f>IFERROR(VLOOKUP(L696,VOL_REC[],2,FALSE),0)</f>
        <v>0</v>
      </c>
      <c r="BC696" s="246">
        <f>IFERROR(VLOOKUP(M696,VOL_REC[],2,FALSE),0)</f>
        <v>0</v>
      </c>
      <c r="BD696" s="246">
        <f>IFERROR(VLOOKUP(N696,VOL_REC[],2,FALSE),0)</f>
        <v>0</v>
      </c>
      <c r="BE696" s="246">
        <f>IFERROR(VLOOKUP(O696,VOL_REC[],2,FALSE),0)</f>
        <v>0</v>
      </c>
      <c r="BF696" s="246">
        <f>IFERROR(VLOOKUP(P696,VOL_REC[],2,FALSE),0)</f>
        <v>0</v>
      </c>
      <c r="BG696" s="246">
        <f>IFERROR(VLOOKUP(Q696,VOL_REC[],2,FALSE),0)</f>
        <v>0</v>
      </c>
      <c r="BH696" s="1710">
        <f t="shared" si="40"/>
        <v>21742407893.859375</v>
      </c>
      <c r="BI696" s="1710">
        <f t="shared" si="41"/>
        <v>19258743634.7248</v>
      </c>
      <c r="BJ696" s="1711">
        <f t="shared" si="42"/>
        <v>28560821.945873536</v>
      </c>
      <c r="BK696" s="1711">
        <f t="shared" si="43"/>
        <v>1.1289629430788186</v>
      </c>
      <c r="BL696">
        <f>BJ696</f>
        <v>28560821.945873536</v>
      </c>
      <c r="BO696">
        <f>BL696</f>
        <v>28560821.945873536</v>
      </c>
    </row>
    <row r="697" spans="3:67" x14ac:dyDescent="0.25">
      <c r="C697" s="246" t="s">
        <v>2047</v>
      </c>
      <c r="D697" s="246">
        <v>1</v>
      </c>
      <c r="E697" s="246">
        <v>2</v>
      </c>
      <c r="F697" s="246">
        <v>3</v>
      </c>
      <c r="G697" s="246">
        <v>4</v>
      </c>
      <c r="H697" s="246">
        <v>6</v>
      </c>
      <c r="I697" s="246">
        <v>13</v>
      </c>
      <c r="J697" s="246">
        <v>15</v>
      </c>
      <c r="K697" s="246">
        <v>17</v>
      </c>
      <c r="L697" s="246"/>
      <c r="M697" s="246"/>
      <c r="N697" s="246"/>
      <c r="O697" s="246"/>
      <c r="P697" s="246"/>
      <c r="Q697" s="246"/>
      <c r="R697" s="246">
        <f>IFERROR(VLOOKUP(D697,PROGRAMAS[],2,FALSE),0)</f>
        <v>97037803.679377079</v>
      </c>
      <c r="S697" s="246">
        <f>IFERROR(VLOOKUP(E697,PROGRAMAS[],2,FALSE),0)</f>
        <v>640501509.6821388</v>
      </c>
      <c r="T697" s="246">
        <f>IFERROR(VLOOKUP(F697,PROGRAMAS[],2,FALSE),0)</f>
        <v>3062327798.1525245</v>
      </c>
      <c r="U697" s="246">
        <f>IFERROR(VLOOKUP(G697,PROGRAMAS[],2,FALSE),0)</f>
        <v>67697118.033011258</v>
      </c>
      <c r="V697" s="246">
        <f>IFERROR(VLOOKUP(H697,PROGRAMAS[],2,FALSE),0)</f>
        <v>6907648435.8447599</v>
      </c>
      <c r="W697" s="246">
        <f>IFERROR(VLOOKUP(I697,PROGRAMAS[],2,FALSE),0)</f>
        <v>3776538594.4604583</v>
      </c>
      <c r="X697" s="246">
        <f>IFERROR(VLOOKUP(J697,PROGRAMAS[],2,FALSE),0)</f>
        <v>122159672.96346797</v>
      </c>
      <c r="Y697" s="246">
        <f>IFERROR(VLOOKUP(K697,PROGRAMAS[],2,FALSE),0)</f>
        <v>1892779498.5211046</v>
      </c>
      <c r="Z697" s="246">
        <f>IFERROR(VLOOKUP(L697,PROGRAMAS[],2,FALSE),0)</f>
        <v>0</v>
      </c>
      <c r="AA697" s="246">
        <f>IFERROR(VLOOKUP(M697,PROGRAMAS[],2,FALSE),0)</f>
        <v>0</v>
      </c>
      <c r="AB697" s="246">
        <f>IFERROR(VLOOKUP(N697,PROGRAMAS[],2,FALSE),0)</f>
        <v>0</v>
      </c>
      <c r="AC697" s="246">
        <f>IFERROR(VLOOKUP(O697,PROGRAMAS[],2,FALSE),0)</f>
        <v>0</v>
      </c>
      <c r="AD697" s="246">
        <f>IFERROR(VLOOKUP(P697,PROGRAMAS[],2,FALSE),0)</f>
        <v>0</v>
      </c>
      <c r="AE697" s="246">
        <f>IFERROR(VLOOKUP(Q697,PROGRAMAS[],2,FALSE),0)</f>
        <v>0</v>
      </c>
      <c r="AF697" s="246">
        <f>IFERROR(VLOOKUP(D697,PROGRAMAS[],3,FALSE),0)</f>
        <v>841888629.31080008</v>
      </c>
      <c r="AG697" s="246">
        <f>IFERROR(VLOOKUP(E697,PROGRAMAS[],3,FALSE),0)</f>
        <v>3848980803.1642323</v>
      </c>
      <c r="AH697" s="246">
        <f>IFERROR(VLOOKUP(F697,PROGRAMAS[],3,FALSE),0)</f>
        <v>3394901471.387517</v>
      </c>
      <c r="AI697" s="246">
        <f>IFERROR(VLOOKUP(G697,PROGRAMAS[],3,FALSE),0)</f>
        <v>125317226.95549992</v>
      </c>
      <c r="AJ697" s="246">
        <f>IFERROR(VLOOKUP(H697,PROGRAMAS[],3,FALSE),0)</f>
        <v>6129902208.7912121</v>
      </c>
      <c r="AK697" s="246">
        <f>IFERROR(VLOOKUP(I697,PROGRAMAS[],3,FALSE),0)</f>
        <v>2392571243.5584412</v>
      </c>
      <c r="AL697" s="246">
        <f>IFERROR(VLOOKUP(J697,PROGRAMAS[],3,FALSE),0)</f>
        <v>118617452.52510804</v>
      </c>
      <c r="AM697" s="246">
        <f>IFERROR(VLOOKUP(K697,PROGRAMAS[],3,FALSE),0)</f>
        <v>948595847.09039903</v>
      </c>
      <c r="AN697" s="246">
        <f>IFERROR(VLOOKUP(L697,PROGRAMAS[],3,FALSE),0)</f>
        <v>0</v>
      </c>
      <c r="AO697" s="246">
        <f>IFERROR(VLOOKUP(M697,PROGRAMAS[],3,FALSE),0)</f>
        <v>0</v>
      </c>
      <c r="AP697" s="246">
        <f>IFERROR(VLOOKUP(N697,PROGRAMAS[],3,FALSE),0)</f>
        <v>0</v>
      </c>
      <c r="AQ697" s="246">
        <f>IFERROR(VLOOKUP(O697,PROGRAMAS[],3,FALSE),0)</f>
        <v>0</v>
      </c>
      <c r="AR697" s="246">
        <f>IFERROR(VLOOKUP(P697,PROGRAMAS[],3,FALSE),0)</f>
        <v>0</v>
      </c>
      <c r="AS697" s="246">
        <f>IFERROR(VLOOKUP(Q697,PROGRAMAS[],3,FALSE),0)</f>
        <v>0</v>
      </c>
      <c r="AT697" s="246">
        <f>IFERROR(VLOOKUP(D697,VOL_REC[],2,FALSE),0)</f>
        <v>0</v>
      </c>
      <c r="AU697" s="246">
        <f>IFERROR(VLOOKUP(E697,VOL_REC[],2,FALSE),0)</f>
        <v>0</v>
      </c>
      <c r="AV697" s="246">
        <f>IFERROR(VLOOKUP(F697,VOL_REC[],2,FALSE),0)</f>
        <v>11089674.200000001</v>
      </c>
      <c r="AW697" s="246">
        <f>IFERROR(VLOOKUP(G697,VOL_REC[],2,FALSE),0)</f>
        <v>90439.55</v>
      </c>
      <c r="AX697" s="246">
        <f>IFERROR(VLOOKUP(H697,VOL_REC[],2,FALSE),0)</f>
        <v>15540036.397699751</v>
      </c>
      <c r="AY697" s="246">
        <f>IFERROR(VLOOKUP(I697,VOL_REC[],2,FALSE),0)</f>
        <v>663244.80000000016</v>
      </c>
      <c r="AZ697" s="246">
        <f>IFERROR(VLOOKUP(J697,VOL_REC[],2,FALSE),0)</f>
        <v>105072</v>
      </c>
      <c r="BA697" s="246">
        <f>IFERROR(VLOOKUP(K697,VOL_REC[],2,FALSE),0)</f>
        <v>740113.98115702497</v>
      </c>
      <c r="BB697" s="246">
        <f>IFERROR(VLOOKUP(L697,VOL_REC[],2,FALSE),0)</f>
        <v>0</v>
      </c>
      <c r="BC697" s="246">
        <f>IFERROR(VLOOKUP(M697,VOL_REC[],2,FALSE),0)</f>
        <v>0</v>
      </c>
      <c r="BD697" s="246">
        <f>IFERROR(VLOOKUP(N697,VOL_REC[],2,FALSE),0)</f>
        <v>0</v>
      </c>
      <c r="BE697" s="246">
        <f>IFERROR(VLOOKUP(O697,VOL_REC[],2,FALSE),0)</f>
        <v>0</v>
      </c>
      <c r="BF697" s="246">
        <f>IFERROR(VLOOKUP(P697,VOL_REC[],2,FALSE),0)</f>
        <v>0</v>
      </c>
      <c r="BG697" s="246">
        <f>IFERROR(VLOOKUP(Q697,VOL_REC[],2,FALSE),0)</f>
        <v>0</v>
      </c>
      <c r="BH697" s="1710">
        <f t="shared" si="40"/>
        <v>16566690431.336843</v>
      </c>
      <c r="BI697" s="1710">
        <f t="shared" si="41"/>
        <v>17800774882.783211</v>
      </c>
      <c r="BJ697" s="1711">
        <f t="shared" si="42"/>
        <v>28228580.928856775</v>
      </c>
      <c r="BK697" s="1711">
        <f t="shared" si="43"/>
        <v>0.93067243085917761</v>
      </c>
    </row>
    <row r="698" spans="3:67" x14ac:dyDescent="0.25">
      <c r="C698" s="246" t="s">
        <v>2048</v>
      </c>
      <c r="D698" s="246">
        <v>1</v>
      </c>
      <c r="E698" s="246">
        <v>2</v>
      </c>
      <c r="F698" s="246">
        <v>3</v>
      </c>
      <c r="G698" s="246">
        <v>4</v>
      </c>
      <c r="H698" s="246">
        <v>6</v>
      </c>
      <c r="I698" s="246">
        <v>13</v>
      </c>
      <c r="J698" s="246">
        <v>16</v>
      </c>
      <c r="K698" s="246">
        <v>17</v>
      </c>
      <c r="L698" s="246"/>
      <c r="M698" s="246"/>
      <c r="N698" s="246"/>
      <c r="O698" s="246"/>
      <c r="P698" s="246"/>
      <c r="Q698" s="246"/>
      <c r="R698" s="246">
        <f>IFERROR(VLOOKUP(D698,PROGRAMAS[],2,FALSE),0)</f>
        <v>97037803.679377079</v>
      </c>
      <c r="S698" s="246">
        <f>IFERROR(VLOOKUP(E698,PROGRAMAS[],2,FALSE),0)</f>
        <v>640501509.6821388</v>
      </c>
      <c r="T698" s="246">
        <f>IFERROR(VLOOKUP(F698,PROGRAMAS[],2,FALSE),0)</f>
        <v>3062327798.1525245</v>
      </c>
      <c r="U698" s="246">
        <f>IFERROR(VLOOKUP(G698,PROGRAMAS[],2,FALSE),0)</f>
        <v>67697118.033011258</v>
      </c>
      <c r="V698" s="246">
        <f>IFERROR(VLOOKUP(H698,PROGRAMAS[],2,FALSE),0)</f>
        <v>6907648435.8447599</v>
      </c>
      <c r="W698" s="246">
        <f>IFERROR(VLOOKUP(I698,PROGRAMAS[],2,FALSE),0)</f>
        <v>3776538594.4604583</v>
      </c>
      <c r="X698" s="246">
        <f>IFERROR(VLOOKUP(J698,PROGRAMAS[],2,FALSE),0)</f>
        <v>7068496961.0436354</v>
      </c>
      <c r="Y698" s="246">
        <f>IFERROR(VLOOKUP(K698,PROGRAMAS[],2,FALSE),0)</f>
        <v>1892779498.5211046</v>
      </c>
      <c r="Z698" s="246">
        <f>IFERROR(VLOOKUP(L698,PROGRAMAS[],2,FALSE),0)</f>
        <v>0</v>
      </c>
      <c r="AA698" s="246">
        <f>IFERROR(VLOOKUP(M698,PROGRAMAS[],2,FALSE),0)</f>
        <v>0</v>
      </c>
      <c r="AB698" s="246">
        <f>IFERROR(VLOOKUP(N698,PROGRAMAS[],2,FALSE),0)</f>
        <v>0</v>
      </c>
      <c r="AC698" s="246">
        <f>IFERROR(VLOOKUP(O698,PROGRAMAS[],2,FALSE),0)</f>
        <v>0</v>
      </c>
      <c r="AD698" s="246">
        <f>IFERROR(VLOOKUP(P698,PROGRAMAS[],2,FALSE),0)</f>
        <v>0</v>
      </c>
      <c r="AE698" s="246">
        <f>IFERROR(VLOOKUP(Q698,PROGRAMAS[],2,FALSE),0)</f>
        <v>0</v>
      </c>
      <c r="AF698" s="246">
        <f>IFERROR(VLOOKUP(D698,PROGRAMAS[],3,FALSE),0)</f>
        <v>841888629.31080008</v>
      </c>
      <c r="AG698" s="246">
        <f>IFERROR(VLOOKUP(E698,PROGRAMAS[],3,FALSE),0)</f>
        <v>3848980803.1642323</v>
      </c>
      <c r="AH698" s="246">
        <f>IFERROR(VLOOKUP(F698,PROGRAMAS[],3,FALSE),0)</f>
        <v>3394901471.387517</v>
      </c>
      <c r="AI698" s="246">
        <f>IFERROR(VLOOKUP(G698,PROGRAMAS[],3,FALSE),0)</f>
        <v>125317226.95549992</v>
      </c>
      <c r="AJ698" s="246">
        <f>IFERROR(VLOOKUP(H698,PROGRAMAS[],3,FALSE),0)</f>
        <v>6129902208.7912121</v>
      </c>
      <c r="AK698" s="246">
        <f>IFERROR(VLOOKUP(I698,PROGRAMAS[],3,FALSE),0)</f>
        <v>2392571243.5584412</v>
      </c>
      <c r="AL698" s="246">
        <f>IFERROR(VLOOKUP(J698,PROGRAMAS[],3,FALSE),0)</f>
        <v>2406564599.0319901</v>
      </c>
      <c r="AM698" s="246">
        <f>IFERROR(VLOOKUP(K698,PROGRAMAS[],3,FALSE),0)</f>
        <v>948595847.09039903</v>
      </c>
      <c r="AN698" s="246">
        <f>IFERROR(VLOOKUP(L698,PROGRAMAS[],3,FALSE),0)</f>
        <v>0</v>
      </c>
      <c r="AO698" s="246">
        <f>IFERROR(VLOOKUP(M698,PROGRAMAS[],3,FALSE),0)</f>
        <v>0</v>
      </c>
      <c r="AP698" s="246">
        <f>IFERROR(VLOOKUP(N698,PROGRAMAS[],3,FALSE),0)</f>
        <v>0</v>
      </c>
      <c r="AQ698" s="246">
        <f>IFERROR(VLOOKUP(O698,PROGRAMAS[],3,FALSE),0)</f>
        <v>0</v>
      </c>
      <c r="AR698" s="246">
        <f>IFERROR(VLOOKUP(P698,PROGRAMAS[],3,FALSE),0)</f>
        <v>0</v>
      </c>
      <c r="AS698" s="246">
        <f>IFERROR(VLOOKUP(Q698,PROGRAMAS[],3,FALSE),0)</f>
        <v>0</v>
      </c>
      <c r="AT698" s="246">
        <f>IFERROR(VLOOKUP(D698,VOL_REC[],2,FALSE),0)</f>
        <v>0</v>
      </c>
      <c r="AU698" s="246">
        <f>IFERROR(VLOOKUP(E698,VOL_REC[],2,FALSE),0)</f>
        <v>0</v>
      </c>
      <c r="AV698" s="246">
        <f>IFERROR(VLOOKUP(F698,VOL_REC[],2,FALSE),0)</f>
        <v>11089674.200000001</v>
      </c>
      <c r="AW698" s="246">
        <f>IFERROR(VLOOKUP(G698,VOL_REC[],2,FALSE),0)</f>
        <v>90439.55</v>
      </c>
      <c r="AX698" s="246">
        <f>IFERROR(VLOOKUP(H698,VOL_REC[],2,FALSE),0)</f>
        <v>15540036.397699751</v>
      </c>
      <c r="AY698" s="246">
        <f>IFERROR(VLOOKUP(I698,VOL_REC[],2,FALSE),0)</f>
        <v>663244.80000000016</v>
      </c>
      <c r="AZ698" s="246">
        <f>IFERROR(VLOOKUP(J698,VOL_REC[],2,FALSE),0)</f>
        <v>1072354.9981737854</v>
      </c>
      <c r="BA698" s="246">
        <f>IFERROR(VLOOKUP(K698,VOL_REC[],2,FALSE),0)</f>
        <v>740113.98115702497</v>
      </c>
      <c r="BB698" s="246">
        <f>IFERROR(VLOOKUP(L698,VOL_REC[],2,FALSE),0)</f>
        <v>0</v>
      </c>
      <c r="BC698" s="246">
        <f>IFERROR(VLOOKUP(M698,VOL_REC[],2,FALSE),0)</f>
        <v>0</v>
      </c>
      <c r="BD698" s="246">
        <f>IFERROR(VLOOKUP(N698,VOL_REC[],2,FALSE),0)</f>
        <v>0</v>
      </c>
      <c r="BE698" s="246">
        <f>IFERROR(VLOOKUP(O698,VOL_REC[],2,FALSE),0)</f>
        <v>0</v>
      </c>
      <c r="BF698" s="246">
        <f>IFERROR(VLOOKUP(P698,VOL_REC[],2,FALSE),0)</f>
        <v>0</v>
      </c>
      <c r="BG698" s="246">
        <f>IFERROR(VLOOKUP(Q698,VOL_REC[],2,FALSE),0)</f>
        <v>0</v>
      </c>
      <c r="BH698" s="1710">
        <f t="shared" si="40"/>
        <v>23513027719.417007</v>
      </c>
      <c r="BI698" s="1710">
        <f t="shared" si="41"/>
        <v>20088722029.290092</v>
      </c>
      <c r="BJ698" s="1711">
        <f t="shared" si="42"/>
        <v>29195863.92703056</v>
      </c>
      <c r="BK698" s="1711">
        <f t="shared" si="43"/>
        <v>1.1704591105961919</v>
      </c>
      <c r="BL698">
        <f>BJ698</f>
        <v>29195863.92703056</v>
      </c>
      <c r="BO698">
        <f>BL698</f>
        <v>29195863.92703056</v>
      </c>
    </row>
    <row r="699" spans="3:67" x14ac:dyDescent="0.25">
      <c r="C699" s="246" t="s">
        <v>2049</v>
      </c>
      <c r="D699" s="246">
        <v>1</v>
      </c>
      <c r="E699" s="246">
        <v>2</v>
      </c>
      <c r="F699" s="246">
        <v>3</v>
      </c>
      <c r="G699" s="246">
        <v>4</v>
      </c>
      <c r="H699" s="246">
        <v>6</v>
      </c>
      <c r="I699" s="246">
        <v>14</v>
      </c>
      <c r="J699" s="246">
        <v>15</v>
      </c>
      <c r="K699" s="246">
        <v>16</v>
      </c>
      <c r="L699" s="246"/>
      <c r="M699" s="246"/>
      <c r="N699" s="246"/>
      <c r="O699" s="246"/>
      <c r="P699" s="246"/>
      <c r="Q699" s="246"/>
      <c r="R699" s="246">
        <f>IFERROR(VLOOKUP(D699,PROGRAMAS[],2,FALSE),0)</f>
        <v>97037803.679377079</v>
      </c>
      <c r="S699" s="246">
        <f>IFERROR(VLOOKUP(E699,PROGRAMAS[],2,FALSE),0)</f>
        <v>640501509.6821388</v>
      </c>
      <c r="T699" s="246">
        <f>IFERROR(VLOOKUP(F699,PROGRAMAS[],2,FALSE),0)</f>
        <v>3062327798.1525245</v>
      </c>
      <c r="U699" s="246">
        <f>IFERROR(VLOOKUP(G699,PROGRAMAS[],2,FALSE),0)</f>
        <v>67697118.033011258</v>
      </c>
      <c r="V699" s="246">
        <f>IFERROR(VLOOKUP(H699,PROGRAMAS[],2,FALSE),0)</f>
        <v>6907648435.8447599</v>
      </c>
      <c r="W699" s="246">
        <f>IFERROR(VLOOKUP(I699,PROGRAMAS[],2,FALSE),0)</f>
        <v>54223862.645839565</v>
      </c>
      <c r="X699" s="246">
        <f>IFERROR(VLOOKUP(J699,PROGRAMAS[],2,FALSE),0)</f>
        <v>122159672.96346797</v>
      </c>
      <c r="Y699" s="246">
        <f>IFERROR(VLOOKUP(K699,PROGRAMAS[],2,FALSE),0)</f>
        <v>7068496961.0436354</v>
      </c>
      <c r="Z699" s="246">
        <f>IFERROR(VLOOKUP(L699,PROGRAMAS[],2,FALSE),0)</f>
        <v>0</v>
      </c>
      <c r="AA699" s="246">
        <f>IFERROR(VLOOKUP(M699,PROGRAMAS[],2,FALSE),0)</f>
        <v>0</v>
      </c>
      <c r="AB699" s="246">
        <f>IFERROR(VLOOKUP(N699,PROGRAMAS[],2,FALSE),0)</f>
        <v>0</v>
      </c>
      <c r="AC699" s="246">
        <f>IFERROR(VLOOKUP(O699,PROGRAMAS[],2,FALSE),0)</f>
        <v>0</v>
      </c>
      <c r="AD699" s="246">
        <f>IFERROR(VLOOKUP(P699,PROGRAMAS[],2,FALSE),0)</f>
        <v>0</v>
      </c>
      <c r="AE699" s="246">
        <f>IFERROR(VLOOKUP(Q699,PROGRAMAS[],2,FALSE),0)</f>
        <v>0</v>
      </c>
      <c r="AF699" s="246">
        <f>IFERROR(VLOOKUP(D699,PROGRAMAS[],3,FALSE),0)</f>
        <v>841888629.31080008</v>
      </c>
      <c r="AG699" s="246">
        <f>IFERROR(VLOOKUP(E699,PROGRAMAS[],3,FALSE),0)</f>
        <v>3848980803.1642323</v>
      </c>
      <c r="AH699" s="246">
        <f>IFERROR(VLOOKUP(F699,PROGRAMAS[],3,FALSE),0)</f>
        <v>3394901471.387517</v>
      </c>
      <c r="AI699" s="246">
        <f>IFERROR(VLOOKUP(G699,PROGRAMAS[],3,FALSE),0)</f>
        <v>125317226.95549992</v>
      </c>
      <c r="AJ699" s="246">
        <f>IFERROR(VLOOKUP(H699,PROGRAMAS[],3,FALSE),0)</f>
        <v>6129902208.7912121</v>
      </c>
      <c r="AK699" s="246">
        <f>IFERROR(VLOOKUP(I699,PROGRAMAS[],3,FALSE),0)</f>
        <v>31865326.38096505</v>
      </c>
      <c r="AL699" s="246">
        <f>IFERROR(VLOOKUP(J699,PROGRAMAS[],3,FALSE),0)</f>
        <v>118617452.52510804</v>
      </c>
      <c r="AM699" s="246">
        <f>IFERROR(VLOOKUP(K699,PROGRAMAS[],3,FALSE),0)</f>
        <v>2406564599.0319901</v>
      </c>
      <c r="AN699" s="246">
        <f>IFERROR(VLOOKUP(L699,PROGRAMAS[],3,FALSE),0)</f>
        <v>0</v>
      </c>
      <c r="AO699" s="246">
        <f>IFERROR(VLOOKUP(M699,PROGRAMAS[],3,FALSE),0)</f>
        <v>0</v>
      </c>
      <c r="AP699" s="246">
        <f>IFERROR(VLOOKUP(N699,PROGRAMAS[],3,FALSE),0)</f>
        <v>0</v>
      </c>
      <c r="AQ699" s="246">
        <f>IFERROR(VLOOKUP(O699,PROGRAMAS[],3,FALSE),0)</f>
        <v>0</v>
      </c>
      <c r="AR699" s="246">
        <f>IFERROR(VLOOKUP(P699,PROGRAMAS[],3,FALSE),0)</f>
        <v>0</v>
      </c>
      <c r="AS699" s="246">
        <f>IFERROR(VLOOKUP(Q699,PROGRAMAS[],3,FALSE),0)</f>
        <v>0</v>
      </c>
      <c r="AT699" s="246">
        <f>IFERROR(VLOOKUP(D699,VOL_REC[],2,FALSE),0)</f>
        <v>0</v>
      </c>
      <c r="AU699" s="246">
        <f>IFERROR(VLOOKUP(E699,VOL_REC[],2,FALSE),0)</f>
        <v>0</v>
      </c>
      <c r="AV699" s="246">
        <f>IFERROR(VLOOKUP(F699,VOL_REC[],2,FALSE),0)</f>
        <v>11089674.200000001</v>
      </c>
      <c r="AW699" s="246">
        <f>IFERROR(VLOOKUP(G699,VOL_REC[],2,FALSE),0)</f>
        <v>90439.55</v>
      </c>
      <c r="AX699" s="246">
        <f>IFERROR(VLOOKUP(H699,VOL_REC[],2,FALSE),0)</f>
        <v>15540036.397699751</v>
      </c>
      <c r="AY699" s="246">
        <f>IFERROR(VLOOKUP(I699,VOL_REC[],2,FALSE),0)</f>
        <v>17074.045034105649</v>
      </c>
      <c r="AZ699" s="246">
        <f>IFERROR(VLOOKUP(J699,VOL_REC[],2,FALSE),0)</f>
        <v>105072</v>
      </c>
      <c r="BA699" s="246">
        <f>IFERROR(VLOOKUP(K699,VOL_REC[],2,FALSE),0)</f>
        <v>1072354.9981737854</v>
      </c>
      <c r="BB699" s="246">
        <f>IFERROR(VLOOKUP(L699,VOL_REC[],2,FALSE),0)</f>
        <v>0</v>
      </c>
      <c r="BC699" s="246">
        <f>IFERROR(VLOOKUP(M699,VOL_REC[],2,FALSE),0)</f>
        <v>0</v>
      </c>
      <c r="BD699" s="246">
        <f>IFERROR(VLOOKUP(N699,VOL_REC[],2,FALSE),0)</f>
        <v>0</v>
      </c>
      <c r="BE699" s="246">
        <f>IFERROR(VLOOKUP(O699,VOL_REC[],2,FALSE),0)</f>
        <v>0</v>
      </c>
      <c r="BF699" s="246">
        <f>IFERROR(VLOOKUP(P699,VOL_REC[],2,FALSE),0)</f>
        <v>0</v>
      </c>
      <c r="BG699" s="246">
        <f>IFERROR(VLOOKUP(Q699,VOL_REC[],2,FALSE),0)</f>
        <v>0</v>
      </c>
      <c r="BH699" s="1710">
        <f t="shared" si="40"/>
        <v>18020093162.044754</v>
      </c>
      <c r="BI699" s="1710">
        <f t="shared" si="41"/>
        <v>16898037717.547323</v>
      </c>
      <c r="BJ699" s="1711">
        <f t="shared" si="42"/>
        <v>27914651.190907642</v>
      </c>
      <c r="BK699" s="1711">
        <f t="shared" si="43"/>
        <v>1.0664015232568846</v>
      </c>
      <c r="BL699">
        <f>BJ699</f>
        <v>27914651.190907642</v>
      </c>
      <c r="BO699">
        <f>BL699</f>
        <v>27914651.190907642</v>
      </c>
    </row>
    <row r="700" spans="3:67" x14ac:dyDescent="0.25">
      <c r="C700" s="246" t="s">
        <v>2050</v>
      </c>
      <c r="D700" s="246">
        <v>1</v>
      </c>
      <c r="E700" s="246">
        <v>2</v>
      </c>
      <c r="F700" s="246">
        <v>3</v>
      </c>
      <c r="G700" s="246">
        <v>4</v>
      </c>
      <c r="H700" s="246">
        <v>6</v>
      </c>
      <c r="I700" s="246">
        <v>14</v>
      </c>
      <c r="J700" s="246">
        <v>15</v>
      </c>
      <c r="K700" s="246">
        <v>17</v>
      </c>
      <c r="L700" s="246"/>
      <c r="M700" s="246"/>
      <c r="N700" s="246"/>
      <c r="O700" s="246"/>
      <c r="P700" s="246"/>
      <c r="Q700" s="246"/>
      <c r="R700" s="246">
        <f>IFERROR(VLOOKUP(D700,PROGRAMAS[],2,FALSE),0)</f>
        <v>97037803.679377079</v>
      </c>
      <c r="S700" s="246">
        <f>IFERROR(VLOOKUP(E700,PROGRAMAS[],2,FALSE),0)</f>
        <v>640501509.6821388</v>
      </c>
      <c r="T700" s="246">
        <f>IFERROR(VLOOKUP(F700,PROGRAMAS[],2,FALSE),0)</f>
        <v>3062327798.1525245</v>
      </c>
      <c r="U700" s="246">
        <f>IFERROR(VLOOKUP(G700,PROGRAMAS[],2,FALSE),0)</f>
        <v>67697118.033011258</v>
      </c>
      <c r="V700" s="246">
        <f>IFERROR(VLOOKUP(H700,PROGRAMAS[],2,FALSE),0)</f>
        <v>6907648435.8447599</v>
      </c>
      <c r="W700" s="246">
        <f>IFERROR(VLOOKUP(I700,PROGRAMAS[],2,FALSE),0)</f>
        <v>54223862.645839565</v>
      </c>
      <c r="X700" s="246">
        <f>IFERROR(VLOOKUP(J700,PROGRAMAS[],2,FALSE),0)</f>
        <v>122159672.96346797</v>
      </c>
      <c r="Y700" s="246">
        <f>IFERROR(VLOOKUP(K700,PROGRAMAS[],2,FALSE),0)</f>
        <v>1892779498.5211046</v>
      </c>
      <c r="Z700" s="246">
        <f>IFERROR(VLOOKUP(L700,PROGRAMAS[],2,FALSE),0)</f>
        <v>0</v>
      </c>
      <c r="AA700" s="246">
        <f>IFERROR(VLOOKUP(M700,PROGRAMAS[],2,FALSE),0)</f>
        <v>0</v>
      </c>
      <c r="AB700" s="246">
        <f>IFERROR(VLOOKUP(N700,PROGRAMAS[],2,FALSE),0)</f>
        <v>0</v>
      </c>
      <c r="AC700" s="246">
        <f>IFERROR(VLOOKUP(O700,PROGRAMAS[],2,FALSE),0)</f>
        <v>0</v>
      </c>
      <c r="AD700" s="246">
        <f>IFERROR(VLOOKUP(P700,PROGRAMAS[],2,FALSE),0)</f>
        <v>0</v>
      </c>
      <c r="AE700" s="246">
        <f>IFERROR(VLOOKUP(Q700,PROGRAMAS[],2,FALSE),0)</f>
        <v>0</v>
      </c>
      <c r="AF700" s="246">
        <f>IFERROR(VLOOKUP(D700,PROGRAMAS[],3,FALSE),0)</f>
        <v>841888629.31080008</v>
      </c>
      <c r="AG700" s="246">
        <f>IFERROR(VLOOKUP(E700,PROGRAMAS[],3,FALSE),0)</f>
        <v>3848980803.1642323</v>
      </c>
      <c r="AH700" s="246">
        <f>IFERROR(VLOOKUP(F700,PROGRAMAS[],3,FALSE),0)</f>
        <v>3394901471.387517</v>
      </c>
      <c r="AI700" s="246">
        <f>IFERROR(VLOOKUP(G700,PROGRAMAS[],3,FALSE),0)</f>
        <v>125317226.95549992</v>
      </c>
      <c r="AJ700" s="246">
        <f>IFERROR(VLOOKUP(H700,PROGRAMAS[],3,FALSE),0)</f>
        <v>6129902208.7912121</v>
      </c>
      <c r="AK700" s="246">
        <f>IFERROR(VLOOKUP(I700,PROGRAMAS[],3,FALSE),0)</f>
        <v>31865326.38096505</v>
      </c>
      <c r="AL700" s="246">
        <f>IFERROR(VLOOKUP(J700,PROGRAMAS[],3,FALSE),0)</f>
        <v>118617452.52510804</v>
      </c>
      <c r="AM700" s="246">
        <f>IFERROR(VLOOKUP(K700,PROGRAMAS[],3,FALSE),0)</f>
        <v>948595847.09039903</v>
      </c>
      <c r="AN700" s="246">
        <f>IFERROR(VLOOKUP(L700,PROGRAMAS[],3,FALSE),0)</f>
        <v>0</v>
      </c>
      <c r="AO700" s="246">
        <f>IFERROR(VLOOKUP(M700,PROGRAMAS[],3,FALSE),0)</f>
        <v>0</v>
      </c>
      <c r="AP700" s="246">
        <f>IFERROR(VLOOKUP(N700,PROGRAMAS[],3,FALSE),0)</f>
        <v>0</v>
      </c>
      <c r="AQ700" s="246">
        <f>IFERROR(VLOOKUP(O700,PROGRAMAS[],3,FALSE),0)</f>
        <v>0</v>
      </c>
      <c r="AR700" s="246">
        <f>IFERROR(VLOOKUP(P700,PROGRAMAS[],3,FALSE),0)</f>
        <v>0</v>
      </c>
      <c r="AS700" s="246">
        <f>IFERROR(VLOOKUP(Q700,PROGRAMAS[],3,FALSE),0)</f>
        <v>0</v>
      </c>
      <c r="AT700" s="246">
        <f>IFERROR(VLOOKUP(D700,VOL_REC[],2,FALSE),0)</f>
        <v>0</v>
      </c>
      <c r="AU700" s="246">
        <f>IFERROR(VLOOKUP(E700,VOL_REC[],2,FALSE),0)</f>
        <v>0</v>
      </c>
      <c r="AV700" s="246">
        <f>IFERROR(VLOOKUP(F700,VOL_REC[],2,FALSE),0)</f>
        <v>11089674.200000001</v>
      </c>
      <c r="AW700" s="246">
        <f>IFERROR(VLOOKUP(G700,VOL_REC[],2,FALSE),0)</f>
        <v>90439.55</v>
      </c>
      <c r="AX700" s="246">
        <f>IFERROR(VLOOKUP(H700,VOL_REC[],2,FALSE),0)</f>
        <v>15540036.397699751</v>
      </c>
      <c r="AY700" s="246">
        <f>IFERROR(VLOOKUP(I700,VOL_REC[],2,FALSE),0)</f>
        <v>17074.045034105649</v>
      </c>
      <c r="AZ700" s="246">
        <f>IFERROR(VLOOKUP(J700,VOL_REC[],2,FALSE),0)</f>
        <v>105072</v>
      </c>
      <c r="BA700" s="246">
        <f>IFERROR(VLOOKUP(K700,VOL_REC[],2,FALSE),0)</f>
        <v>740113.98115702497</v>
      </c>
      <c r="BB700" s="246">
        <f>IFERROR(VLOOKUP(L700,VOL_REC[],2,FALSE),0)</f>
        <v>0</v>
      </c>
      <c r="BC700" s="246">
        <f>IFERROR(VLOOKUP(M700,VOL_REC[],2,FALSE),0)</f>
        <v>0</v>
      </c>
      <c r="BD700" s="246">
        <f>IFERROR(VLOOKUP(N700,VOL_REC[],2,FALSE),0)</f>
        <v>0</v>
      </c>
      <c r="BE700" s="246">
        <f>IFERROR(VLOOKUP(O700,VOL_REC[],2,FALSE),0)</f>
        <v>0</v>
      </c>
      <c r="BF700" s="246">
        <f>IFERROR(VLOOKUP(P700,VOL_REC[],2,FALSE),0)</f>
        <v>0</v>
      </c>
      <c r="BG700" s="246">
        <f>IFERROR(VLOOKUP(Q700,VOL_REC[],2,FALSE),0)</f>
        <v>0</v>
      </c>
      <c r="BH700" s="1710">
        <f t="shared" si="40"/>
        <v>12844375699.522224</v>
      </c>
      <c r="BI700" s="1710">
        <f t="shared" si="41"/>
        <v>15440068965.605732</v>
      </c>
      <c r="BJ700" s="1711">
        <f t="shared" si="42"/>
        <v>27582410.173890881</v>
      </c>
      <c r="BK700" s="1711">
        <f t="shared" si="43"/>
        <v>0.83188590207299795</v>
      </c>
    </row>
    <row r="701" spans="3:67" x14ac:dyDescent="0.25">
      <c r="C701" s="246" t="s">
        <v>2051</v>
      </c>
      <c r="D701" s="246">
        <v>1</v>
      </c>
      <c r="E701" s="246">
        <v>2</v>
      </c>
      <c r="F701" s="246">
        <v>3</v>
      </c>
      <c r="G701" s="246">
        <v>4</v>
      </c>
      <c r="H701" s="246">
        <v>6</v>
      </c>
      <c r="I701" s="246">
        <v>14</v>
      </c>
      <c r="J701" s="246">
        <v>16</v>
      </c>
      <c r="K701" s="246">
        <v>17</v>
      </c>
      <c r="L701" s="246"/>
      <c r="M701" s="246"/>
      <c r="N701" s="246"/>
      <c r="O701" s="246"/>
      <c r="P701" s="246"/>
      <c r="Q701" s="246"/>
      <c r="R701" s="246">
        <f>IFERROR(VLOOKUP(D701,PROGRAMAS[],2,FALSE),0)</f>
        <v>97037803.679377079</v>
      </c>
      <c r="S701" s="246">
        <f>IFERROR(VLOOKUP(E701,PROGRAMAS[],2,FALSE),0)</f>
        <v>640501509.6821388</v>
      </c>
      <c r="T701" s="246">
        <f>IFERROR(VLOOKUP(F701,PROGRAMAS[],2,FALSE),0)</f>
        <v>3062327798.1525245</v>
      </c>
      <c r="U701" s="246">
        <f>IFERROR(VLOOKUP(G701,PROGRAMAS[],2,FALSE),0)</f>
        <v>67697118.033011258</v>
      </c>
      <c r="V701" s="246">
        <f>IFERROR(VLOOKUP(H701,PROGRAMAS[],2,FALSE),0)</f>
        <v>6907648435.8447599</v>
      </c>
      <c r="W701" s="246">
        <f>IFERROR(VLOOKUP(I701,PROGRAMAS[],2,FALSE),0)</f>
        <v>54223862.645839565</v>
      </c>
      <c r="X701" s="246">
        <f>IFERROR(VLOOKUP(J701,PROGRAMAS[],2,FALSE),0)</f>
        <v>7068496961.0436354</v>
      </c>
      <c r="Y701" s="246">
        <f>IFERROR(VLOOKUP(K701,PROGRAMAS[],2,FALSE),0)</f>
        <v>1892779498.5211046</v>
      </c>
      <c r="Z701" s="246">
        <f>IFERROR(VLOOKUP(L701,PROGRAMAS[],2,FALSE),0)</f>
        <v>0</v>
      </c>
      <c r="AA701" s="246">
        <f>IFERROR(VLOOKUP(M701,PROGRAMAS[],2,FALSE),0)</f>
        <v>0</v>
      </c>
      <c r="AB701" s="246">
        <f>IFERROR(VLOOKUP(N701,PROGRAMAS[],2,FALSE),0)</f>
        <v>0</v>
      </c>
      <c r="AC701" s="246">
        <f>IFERROR(VLOOKUP(O701,PROGRAMAS[],2,FALSE),0)</f>
        <v>0</v>
      </c>
      <c r="AD701" s="246">
        <f>IFERROR(VLOOKUP(P701,PROGRAMAS[],2,FALSE),0)</f>
        <v>0</v>
      </c>
      <c r="AE701" s="246">
        <f>IFERROR(VLOOKUP(Q701,PROGRAMAS[],2,FALSE),0)</f>
        <v>0</v>
      </c>
      <c r="AF701" s="246">
        <f>IFERROR(VLOOKUP(D701,PROGRAMAS[],3,FALSE),0)</f>
        <v>841888629.31080008</v>
      </c>
      <c r="AG701" s="246">
        <f>IFERROR(VLOOKUP(E701,PROGRAMAS[],3,FALSE),0)</f>
        <v>3848980803.1642323</v>
      </c>
      <c r="AH701" s="246">
        <f>IFERROR(VLOOKUP(F701,PROGRAMAS[],3,FALSE),0)</f>
        <v>3394901471.387517</v>
      </c>
      <c r="AI701" s="246">
        <f>IFERROR(VLOOKUP(G701,PROGRAMAS[],3,FALSE),0)</f>
        <v>125317226.95549992</v>
      </c>
      <c r="AJ701" s="246">
        <f>IFERROR(VLOOKUP(H701,PROGRAMAS[],3,FALSE),0)</f>
        <v>6129902208.7912121</v>
      </c>
      <c r="AK701" s="246">
        <f>IFERROR(VLOOKUP(I701,PROGRAMAS[],3,FALSE),0)</f>
        <v>31865326.38096505</v>
      </c>
      <c r="AL701" s="246">
        <f>IFERROR(VLOOKUP(J701,PROGRAMAS[],3,FALSE),0)</f>
        <v>2406564599.0319901</v>
      </c>
      <c r="AM701" s="246">
        <f>IFERROR(VLOOKUP(K701,PROGRAMAS[],3,FALSE),0)</f>
        <v>948595847.09039903</v>
      </c>
      <c r="AN701" s="246">
        <f>IFERROR(VLOOKUP(L701,PROGRAMAS[],3,FALSE),0)</f>
        <v>0</v>
      </c>
      <c r="AO701" s="246">
        <f>IFERROR(VLOOKUP(M701,PROGRAMAS[],3,FALSE),0)</f>
        <v>0</v>
      </c>
      <c r="AP701" s="246">
        <f>IFERROR(VLOOKUP(N701,PROGRAMAS[],3,FALSE),0)</f>
        <v>0</v>
      </c>
      <c r="AQ701" s="246">
        <f>IFERROR(VLOOKUP(O701,PROGRAMAS[],3,FALSE),0)</f>
        <v>0</v>
      </c>
      <c r="AR701" s="246">
        <f>IFERROR(VLOOKUP(P701,PROGRAMAS[],3,FALSE),0)</f>
        <v>0</v>
      </c>
      <c r="AS701" s="246">
        <f>IFERROR(VLOOKUP(Q701,PROGRAMAS[],3,FALSE),0)</f>
        <v>0</v>
      </c>
      <c r="AT701" s="246">
        <f>IFERROR(VLOOKUP(D701,VOL_REC[],2,FALSE),0)</f>
        <v>0</v>
      </c>
      <c r="AU701" s="246">
        <f>IFERROR(VLOOKUP(E701,VOL_REC[],2,FALSE),0)</f>
        <v>0</v>
      </c>
      <c r="AV701" s="246">
        <f>IFERROR(VLOOKUP(F701,VOL_REC[],2,FALSE),0)</f>
        <v>11089674.200000001</v>
      </c>
      <c r="AW701" s="246">
        <f>IFERROR(VLOOKUP(G701,VOL_REC[],2,FALSE),0)</f>
        <v>90439.55</v>
      </c>
      <c r="AX701" s="246">
        <f>IFERROR(VLOOKUP(H701,VOL_REC[],2,FALSE),0)</f>
        <v>15540036.397699751</v>
      </c>
      <c r="AY701" s="246">
        <f>IFERROR(VLOOKUP(I701,VOL_REC[],2,FALSE),0)</f>
        <v>17074.045034105649</v>
      </c>
      <c r="AZ701" s="246">
        <f>IFERROR(VLOOKUP(J701,VOL_REC[],2,FALSE),0)</f>
        <v>1072354.9981737854</v>
      </c>
      <c r="BA701" s="246">
        <f>IFERROR(VLOOKUP(K701,VOL_REC[],2,FALSE),0)</f>
        <v>740113.98115702497</v>
      </c>
      <c r="BB701" s="246">
        <f>IFERROR(VLOOKUP(L701,VOL_REC[],2,FALSE),0)</f>
        <v>0</v>
      </c>
      <c r="BC701" s="246">
        <f>IFERROR(VLOOKUP(M701,VOL_REC[],2,FALSE),0)</f>
        <v>0</v>
      </c>
      <c r="BD701" s="246">
        <f>IFERROR(VLOOKUP(N701,VOL_REC[],2,FALSE),0)</f>
        <v>0</v>
      </c>
      <c r="BE701" s="246">
        <f>IFERROR(VLOOKUP(O701,VOL_REC[],2,FALSE),0)</f>
        <v>0</v>
      </c>
      <c r="BF701" s="246">
        <f>IFERROR(VLOOKUP(P701,VOL_REC[],2,FALSE),0)</f>
        <v>0</v>
      </c>
      <c r="BG701" s="246">
        <f>IFERROR(VLOOKUP(Q701,VOL_REC[],2,FALSE),0)</f>
        <v>0</v>
      </c>
      <c r="BH701" s="1710">
        <f t="shared" si="40"/>
        <v>19790712987.60239</v>
      </c>
      <c r="BI701" s="1710">
        <f t="shared" si="41"/>
        <v>17728016112.112614</v>
      </c>
      <c r="BJ701" s="1711">
        <f t="shared" si="42"/>
        <v>28549693.172064666</v>
      </c>
      <c r="BK701" s="1711">
        <f t="shared" si="43"/>
        <v>1.1163523804606905</v>
      </c>
      <c r="BL701">
        <f>BJ701</f>
        <v>28549693.172064666</v>
      </c>
      <c r="BO701">
        <f>BL701</f>
        <v>28549693.172064666</v>
      </c>
    </row>
    <row r="702" spans="3:67" x14ac:dyDescent="0.25">
      <c r="C702" s="246" t="s">
        <v>2052</v>
      </c>
      <c r="D702" s="246">
        <v>1</v>
      </c>
      <c r="E702" s="246">
        <v>2</v>
      </c>
      <c r="F702" s="246">
        <v>3</v>
      </c>
      <c r="G702" s="246">
        <v>4</v>
      </c>
      <c r="H702" s="246">
        <v>6</v>
      </c>
      <c r="I702" s="246">
        <v>15</v>
      </c>
      <c r="J702" s="246">
        <v>16</v>
      </c>
      <c r="K702" s="246">
        <v>17</v>
      </c>
      <c r="L702" s="246"/>
      <c r="M702" s="246"/>
      <c r="N702" s="246"/>
      <c r="O702" s="246"/>
      <c r="P702" s="246"/>
      <c r="Q702" s="246"/>
      <c r="R702" s="246">
        <f>IFERROR(VLOOKUP(D702,PROGRAMAS[],2,FALSE),0)</f>
        <v>97037803.679377079</v>
      </c>
      <c r="S702" s="246">
        <f>IFERROR(VLOOKUP(E702,PROGRAMAS[],2,FALSE),0)</f>
        <v>640501509.6821388</v>
      </c>
      <c r="T702" s="246">
        <f>IFERROR(VLOOKUP(F702,PROGRAMAS[],2,FALSE),0)</f>
        <v>3062327798.1525245</v>
      </c>
      <c r="U702" s="246">
        <f>IFERROR(VLOOKUP(G702,PROGRAMAS[],2,FALSE),0)</f>
        <v>67697118.033011258</v>
      </c>
      <c r="V702" s="246">
        <f>IFERROR(VLOOKUP(H702,PROGRAMAS[],2,FALSE),0)</f>
        <v>6907648435.8447599</v>
      </c>
      <c r="W702" s="246">
        <f>IFERROR(VLOOKUP(I702,PROGRAMAS[],2,FALSE),0)</f>
        <v>122159672.96346797</v>
      </c>
      <c r="X702" s="246">
        <f>IFERROR(VLOOKUP(J702,PROGRAMAS[],2,FALSE),0)</f>
        <v>7068496961.0436354</v>
      </c>
      <c r="Y702" s="246">
        <f>IFERROR(VLOOKUP(K702,PROGRAMAS[],2,FALSE),0)</f>
        <v>1892779498.5211046</v>
      </c>
      <c r="Z702" s="246">
        <f>IFERROR(VLOOKUP(L702,PROGRAMAS[],2,FALSE),0)</f>
        <v>0</v>
      </c>
      <c r="AA702" s="246">
        <f>IFERROR(VLOOKUP(M702,PROGRAMAS[],2,FALSE),0)</f>
        <v>0</v>
      </c>
      <c r="AB702" s="246">
        <f>IFERROR(VLOOKUP(N702,PROGRAMAS[],2,FALSE),0)</f>
        <v>0</v>
      </c>
      <c r="AC702" s="246">
        <f>IFERROR(VLOOKUP(O702,PROGRAMAS[],2,FALSE),0)</f>
        <v>0</v>
      </c>
      <c r="AD702" s="246">
        <f>IFERROR(VLOOKUP(P702,PROGRAMAS[],2,FALSE),0)</f>
        <v>0</v>
      </c>
      <c r="AE702" s="246">
        <f>IFERROR(VLOOKUP(Q702,PROGRAMAS[],2,FALSE),0)</f>
        <v>0</v>
      </c>
      <c r="AF702" s="246">
        <f>IFERROR(VLOOKUP(D702,PROGRAMAS[],3,FALSE),0)</f>
        <v>841888629.31080008</v>
      </c>
      <c r="AG702" s="246">
        <f>IFERROR(VLOOKUP(E702,PROGRAMAS[],3,FALSE),0)</f>
        <v>3848980803.1642323</v>
      </c>
      <c r="AH702" s="246">
        <f>IFERROR(VLOOKUP(F702,PROGRAMAS[],3,FALSE),0)</f>
        <v>3394901471.387517</v>
      </c>
      <c r="AI702" s="246">
        <f>IFERROR(VLOOKUP(G702,PROGRAMAS[],3,FALSE),0)</f>
        <v>125317226.95549992</v>
      </c>
      <c r="AJ702" s="246">
        <f>IFERROR(VLOOKUP(H702,PROGRAMAS[],3,FALSE),0)</f>
        <v>6129902208.7912121</v>
      </c>
      <c r="AK702" s="246">
        <f>IFERROR(VLOOKUP(I702,PROGRAMAS[],3,FALSE),0)</f>
        <v>118617452.52510804</v>
      </c>
      <c r="AL702" s="246">
        <f>IFERROR(VLOOKUP(J702,PROGRAMAS[],3,FALSE),0)</f>
        <v>2406564599.0319901</v>
      </c>
      <c r="AM702" s="246">
        <f>IFERROR(VLOOKUP(K702,PROGRAMAS[],3,FALSE),0)</f>
        <v>948595847.09039903</v>
      </c>
      <c r="AN702" s="246">
        <f>IFERROR(VLOOKUP(L702,PROGRAMAS[],3,FALSE),0)</f>
        <v>0</v>
      </c>
      <c r="AO702" s="246">
        <f>IFERROR(VLOOKUP(M702,PROGRAMAS[],3,FALSE),0)</f>
        <v>0</v>
      </c>
      <c r="AP702" s="246">
        <f>IFERROR(VLOOKUP(N702,PROGRAMAS[],3,FALSE),0)</f>
        <v>0</v>
      </c>
      <c r="AQ702" s="246">
        <f>IFERROR(VLOOKUP(O702,PROGRAMAS[],3,FALSE),0)</f>
        <v>0</v>
      </c>
      <c r="AR702" s="246">
        <f>IFERROR(VLOOKUP(P702,PROGRAMAS[],3,FALSE),0)</f>
        <v>0</v>
      </c>
      <c r="AS702" s="246">
        <f>IFERROR(VLOOKUP(Q702,PROGRAMAS[],3,FALSE),0)</f>
        <v>0</v>
      </c>
      <c r="AT702" s="246">
        <f>IFERROR(VLOOKUP(D702,VOL_REC[],2,FALSE),0)</f>
        <v>0</v>
      </c>
      <c r="AU702" s="246">
        <f>IFERROR(VLOOKUP(E702,VOL_REC[],2,FALSE),0)</f>
        <v>0</v>
      </c>
      <c r="AV702" s="246">
        <f>IFERROR(VLOOKUP(F702,VOL_REC[],2,FALSE),0)</f>
        <v>11089674.200000001</v>
      </c>
      <c r="AW702" s="246">
        <f>IFERROR(VLOOKUP(G702,VOL_REC[],2,FALSE),0)</f>
        <v>90439.55</v>
      </c>
      <c r="AX702" s="246">
        <f>IFERROR(VLOOKUP(H702,VOL_REC[],2,FALSE),0)</f>
        <v>15540036.397699751</v>
      </c>
      <c r="AY702" s="246">
        <f>IFERROR(VLOOKUP(I702,VOL_REC[],2,FALSE),0)</f>
        <v>105072</v>
      </c>
      <c r="AZ702" s="246">
        <f>IFERROR(VLOOKUP(J702,VOL_REC[],2,FALSE),0)</f>
        <v>1072354.9981737854</v>
      </c>
      <c r="BA702" s="246">
        <f>IFERROR(VLOOKUP(K702,VOL_REC[],2,FALSE),0)</f>
        <v>740113.98115702497</v>
      </c>
      <c r="BB702" s="246">
        <f>IFERROR(VLOOKUP(L702,VOL_REC[],2,FALSE),0)</f>
        <v>0</v>
      </c>
      <c r="BC702" s="246">
        <f>IFERROR(VLOOKUP(M702,VOL_REC[],2,FALSE),0)</f>
        <v>0</v>
      </c>
      <c r="BD702" s="246">
        <f>IFERROR(VLOOKUP(N702,VOL_REC[],2,FALSE),0)</f>
        <v>0</v>
      </c>
      <c r="BE702" s="246">
        <f>IFERROR(VLOOKUP(O702,VOL_REC[],2,FALSE),0)</f>
        <v>0</v>
      </c>
      <c r="BF702" s="246">
        <f>IFERROR(VLOOKUP(P702,VOL_REC[],2,FALSE),0)</f>
        <v>0</v>
      </c>
      <c r="BG702" s="246">
        <f>IFERROR(VLOOKUP(Q702,VOL_REC[],2,FALSE),0)</f>
        <v>0</v>
      </c>
      <c r="BH702" s="1710">
        <f t="shared" si="40"/>
        <v>19858648797.920017</v>
      </c>
      <c r="BI702" s="1710">
        <f t="shared" si="41"/>
        <v>17814768238.25676</v>
      </c>
      <c r="BJ702" s="1711">
        <f t="shared" si="42"/>
        <v>28637691.127030559</v>
      </c>
      <c r="BK702" s="1711">
        <f t="shared" si="43"/>
        <v>1.1147295621435072</v>
      </c>
      <c r="BL702">
        <f>BJ702</f>
        <v>28637691.127030559</v>
      </c>
      <c r="BO702">
        <f>BL702</f>
        <v>28637691.127030559</v>
      </c>
    </row>
    <row r="703" spans="3:67" x14ac:dyDescent="0.25">
      <c r="C703" s="246" t="s">
        <v>2053</v>
      </c>
      <c r="D703" s="246">
        <v>1</v>
      </c>
      <c r="E703" s="246">
        <v>2</v>
      </c>
      <c r="F703" s="246">
        <v>3</v>
      </c>
      <c r="G703" s="246">
        <v>4</v>
      </c>
      <c r="H703" s="246">
        <v>9</v>
      </c>
      <c r="I703" s="246">
        <v>10</v>
      </c>
      <c r="J703" s="246">
        <v>12</v>
      </c>
      <c r="K703" s="246">
        <v>13</v>
      </c>
      <c r="L703" s="246"/>
      <c r="M703" s="246"/>
      <c r="N703" s="246"/>
      <c r="O703" s="246"/>
      <c r="P703" s="246"/>
      <c r="Q703" s="246"/>
      <c r="R703" s="246">
        <f>IFERROR(VLOOKUP(D703,PROGRAMAS[],2,FALSE),0)</f>
        <v>97037803.679377079</v>
      </c>
      <c r="S703" s="246">
        <f>IFERROR(VLOOKUP(E703,PROGRAMAS[],2,FALSE),0)</f>
        <v>640501509.6821388</v>
      </c>
      <c r="T703" s="246">
        <f>IFERROR(VLOOKUP(F703,PROGRAMAS[],2,FALSE),0)</f>
        <v>3062327798.1525245</v>
      </c>
      <c r="U703" s="246">
        <f>IFERROR(VLOOKUP(G703,PROGRAMAS[],2,FALSE),0)</f>
        <v>67697118.033011258</v>
      </c>
      <c r="V703" s="246">
        <f>IFERROR(VLOOKUP(H703,PROGRAMAS[],2,FALSE),0)</f>
        <v>6128579952.1618185</v>
      </c>
      <c r="W703" s="246">
        <f>IFERROR(VLOOKUP(I703,PROGRAMAS[],2,FALSE),0)</f>
        <v>4635315027.8751087</v>
      </c>
      <c r="X703" s="246">
        <f>IFERROR(VLOOKUP(J703,PROGRAMAS[],2,FALSE),0)</f>
        <v>764796700.79905891</v>
      </c>
      <c r="Y703" s="246">
        <f>IFERROR(VLOOKUP(K703,PROGRAMAS[],2,FALSE),0)</f>
        <v>3776538594.4604583</v>
      </c>
      <c r="Z703" s="246">
        <f>IFERROR(VLOOKUP(L703,PROGRAMAS[],2,FALSE),0)</f>
        <v>0</v>
      </c>
      <c r="AA703" s="246">
        <f>IFERROR(VLOOKUP(M703,PROGRAMAS[],2,FALSE),0)</f>
        <v>0</v>
      </c>
      <c r="AB703" s="246">
        <f>IFERROR(VLOOKUP(N703,PROGRAMAS[],2,FALSE),0)</f>
        <v>0</v>
      </c>
      <c r="AC703" s="246">
        <f>IFERROR(VLOOKUP(O703,PROGRAMAS[],2,FALSE),0)</f>
        <v>0</v>
      </c>
      <c r="AD703" s="246">
        <f>IFERROR(VLOOKUP(P703,PROGRAMAS[],2,FALSE),0)</f>
        <v>0</v>
      </c>
      <c r="AE703" s="246">
        <f>IFERROR(VLOOKUP(Q703,PROGRAMAS[],2,FALSE),0)</f>
        <v>0</v>
      </c>
      <c r="AF703" s="246">
        <f>IFERROR(VLOOKUP(D703,PROGRAMAS[],3,FALSE),0)</f>
        <v>841888629.31080008</v>
      </c>
      <c r="AG703" s="246">
        <f>IFERROR(VLOOKUP(E703,PROGRAMAS[],3,FALSE),0)</f>
        <v>3848980803.1642323</v>
      </c>
      <c r="AH703" s="246">
        <f>IFERROR(VLOOKUP(F703,PROGRAMAS[],3,FALSE),0)</f>
        <v>3394901471.387517</v>
      </c>
      <c r="AI703" s="246">
        <f>IFERROR(VLOOKUP(G703,PROGRAMAS[],3,FALSE),0)</f>
        <v>125317226.95549992</v>
      </c>
      <c r="AJ703" s="246">
        <f>IFERROR(VLOOKUP(H703,PROGRAMAS[],3,FALSE),0)</f>
        <v>7011279577.519702</v>
      </c>
      <c r="AK703" s="246">
        <f>IFERROR(VLOOKUP(I703,PROGRAMAS[],3,FALSE),0)</f>
        <v>4099471734.9978786</v>
      </c>
      <c r="AL703" s="246">
        <f>IFERROR(VLOOKUP(J703,PROGRAMAS[],3,FALSE),0)</f>
        <v>675517840.109828</v>
      </c>
      <c r="AM703" s="246">
        <f>IFERROR(VLOOKUP(K703,PROGRAMAS[],3,FALSE),0)</f>
        <v>2392571243.5584412</v>
      </c>
      <c r="AN703" s="246">
        <f>IFERROR(VLOOKUP(L703,PROGRAMAS[],3,FALSE),0)</f>
        <v>0</v>
      </c>
      <c r="AO703" s="246">
        <f>IFERROR(VLOOKUP(M703,PROGRAMAS[],3,FALSE),0)</f>
        <v>0</v>
      </c>
      <c r="AP703" s="246">
        <f>IFERROR(VLOOKUP(N703,PROGRAMAS[],3,FALSE),0)</f>
        <v>0</v>
      </c>
      <c r="AQ703" s="246">
        <f>IFERROR(VLOOKUP(O703,PROGRAMAS[],3,FALSE),0)</f>
        <v>0</v>
      </c>
      <c r="AR703" s="246">
        <f>IFERROR(VLOOKUP(P703,PROGRAMAS[],3,FALSE),0)</f>
        <v>0</v>
      </c>
      <c r="AS703" s="246">
        <f>IFERROR(VLOOKUP(Q703,PROGRAMAS[],3,FALSE),0)</f>
        <v>0</v>
      </c>
      <c r="AT703" s="246">
        <f>IFERROR(VLOOKUP(D703,VOL_REC[],2,FALSE),0)</f>
        <v>0</v>
      </c>
      <c r="AU703" s="246">
        <f>IFERROR(VLOOKUP(E703,VOL_REC[],2,FALSE),0)</f>
        <v>0</v>
      </c>
      <c r="AV703" s="246">
        <f>IFERROR(VLOOKUP(F703,VOL_REC[],2,FALSE),0)</f>
        <v>11089674.200000001</v>
      </c>
      <c r="AW703" s="246">
        <f>IFERROR(VLOOKUP(G703,VOL_REC[],2,FALSE),0)</f>
        <v>90439.55</v>
      </c>
      <c r="AX703" s="246">
        <f>IFERROR(VLOOKUP(H703,VOL_REC[],2,FALSE),0)</f>
        <v>3761786</v>
      </c>
      <c r="AY703" s="246">
        <f>IFERROR(VLOOKUP(I703,VOL_REC[],2,FALSE),0)</f>
        <v>1812240</v>
      </c>
      <c r="AZ703" s="246">
        <f>IFERROR(VLOOKUP(J703,VOL_REC[],2,FALSE),0)</f>
        <v>240696.79238099116</v>
      </c>
      <c r="BA703" s="246">
        <f>IFERROR(VLOOKUP(K703,VOL_REC[],2,FALSE),0)</f>
        <v>663244.80000000016</v>
      </c>
      <c r="BB703" s="246">
        <f>IFERROR(VLOOKUP(L703,VOL_REC[],2,FALSE),0)</f>
        <v>0</v>
      </c>
      <c r="BC703" s="246">
        <f>IFERROR(VLOOKUP(M703,VOL_REC[],2,FALSE),0)</f>
        <v>0</v>
      </c>
      <c r="BD703" s="246">
        <f>IFERROR(VLOOKUP(N703,VOL_REC[],2,FALSE),0)</f>
        <v>0</v>
      </c>
      <c r="BE703" s="246">
        <f>IFERROR(VLOOKUP(O703,VOL_REC[],2,FALSE),0)</f>
        <v>0</v>
      </c>
      <c r="BF703" s="246">
        <f>IFERROR(VLOOKUP(P703,VOL_REC[],2,FALSE),0)</f>
        <v>0</v>
      </c>
      <c r="BG703" s="246">
        <f>IFERROR(VLOOKUP(Q703,VOL_REC[],2,FALSE),0)</f>
        <v>0</v>
      </c>
      <c r="BH703" s="1710">
        <f t="shared" si="40"/>
        <v>19172794504.843494</v>
      </c>
      <c r="BI703" s="1710">
        <f t="shared" si="41"/>
        <v>22389928527.003899</v>
      </c>
      <c r="BJ703" s="1711">
        <f t="shared" si="42"/>
        <v>17658081.342380993</v>
      </c>
      <c r="BK703" s="1711">
        <f t="shared" si="43"/>
        <v>0.85631334113995472</v>
      </c>
    </row>
    <row r="704" spans="3:67" x14ac:dyDescent="0.25">
      <c r="C704" s="246" t="s">
        <v>2054</v>
      </c>
      <c r="D704" s="246">
        <v>1</v>
      </c>
      <c r="E704" s="246">
        <v>2</v>
      </c>
      <c r="F704" s="246">
        <v>3</v>
      </c>
      <c r="G704" s="246">
        <v>4</v>
      </c>
      <c r="H704" s="246">
        <v>9</v>
      </c>
      <c r="I704" s="246">
        <v>10</v>
      </c>
      <c r="J704" s="246">
        <v>12</v>
      </c>
      <c r="K704" s="246">
        <v>14</v>
      </c>
      <c r="L704" s="246"/>
      <c r="M704" s="246"/>
      <c r="N704" s="246"/>
      <c r="O704" s="246"/>
      <c r="P704" s="246"/>
      <c r="Q704" s="246"/>
      <c r="R704" s="246">
        <f>IFERROR(VLOOKUP(D704,PROGRAMAS[],2,FALSE),0)</f>
        <v>97037803.679377079</v>
      </c>
      <c r="S704" s="246">
        <f>IFERROR(VLOOKUP(E704,PROGRAMAS[],2,FALSE),0)</f>
        <v>640501509.6821388</v>
      </c>
      <c r="T704" s="246">
        <f>IFERROR(VLOOKUP(F704,PROGRAMAS[],2,FALSE),0)</f>
        <v>3062327798.1525245</v>
      </c>
      <c r="U704" s="246">
        <f>IFERROR(VLOOKUP(G704,PROGRAMAS[],2,FALSE),0)</f>
        <v>67697118.033011258</v>
      </c>
      <c r="V704" s="246">
        <f>IFERROR(VLOOKUP(H704,PROGRAMAS[],2,FALSE),0)</f>
        <v>6128579952.1618185</v>
      </c>
      <c r="W704" s="246">
        <f>IFERROR(VLOOKUP(I704,PROGRAMAS[],2,FALSE),0)</f>
        <v>4635315027.8751087</v>
      </c>
      <c r="X704" s="246">
        <f>IFERROR(VLOOKUP(J704,PROGRAMAS[],2,FALSE),0)</f>
        <v>764796700.79905891</v>
      </c>
      <c r="Y704" s="246">
        <f>IFERROR(VLOOKUP(K704,PROGRAMAS[],2,FALSE),0)</f>
        <v>54223862.645839565</v>
      </c>
      <c r="Z704" s="246">
        <f>IFERROR(VLOOKUP(L704,PROGRAMAS[],2,FALSE),0)</f>
        <v>0</v>
      </c>
      <c r="AA704" s="246">
        <f>IFERROR(VLOOKUP(M704,PROGRAMAS[],2,FALSE),0)</f>
        <v>0</v>
      </c>
      <c r="AB704" s="246">
        <f>IFERROR(VLOOKUP(N704,PROGRAMAS[],2,FALSE),0)</f>
        <v>0</v>
      </c>
      <c r="AC704" s="246">
        <f>IFERROR(VLOOKUP(O704,PROGRAMAS[],2,FALSE),0)</f>
        <v>0</v>
      </c>
      <c r="AD704" s="246">
        <f>IFERROR(VLOOKUP(P704,PROGRAMAS[],2,FALSE),0)</f>
        <v>0</v>
      </c>
      <c r="AE704" s="246">
        <f>IFERROR(VLOOKUP(Q704,PROGRAMAS[],2,FALSE),0)</f>
        <v>0</v>
      </c>
      <c r="AF704" s="246">
        <f>IFERROR(VLOOKUP(D704,PROGRAMAS[],3,FALSE),0)</f>
        <v>841888629.31080008</v>
      </c>
      <c r="AG704" s="246">
        <f>IFERROR(VLOOKUP(E704,PROGRAMAS[],3,FALSE),0)</f>
        <v>3848980803.1642323</v>
      </c>
      <c r="AH704" s="246">
        <f>IFERROR(VLOOKUP(F704,PROGRAMAS[],3,FALSE),0)</f>
        <v>3394901471.387517</v>
      </c>
      <c r="AI704" s="246">
        <f>IFERROR(VLOOKUP(G704,PROGRAMAS[],3,FALSE),0)</f>
        <v>125317226.95549992</v>
      </c>
      <c r="AJ704" s="246">
        <f>IFERROR(VLOOKUP(H704,PROGRAMAS[],3,FALSE),0)</f>
        <v>7011279577.519702</v>
      </c>
      <c r="AK704" s="246">
        <f>IFERROR(VLOOKUP(I704,PROGRAMAS[],3,FALSE),0)</f>
        <v>4099471734.9978786</v>
      </c>
      <c r="AL704" s="246">
        <f>IFERROR(VLOOKUP(J704,PROGRAMAS[],3,FALSE),0)</f>
        <v>675517840.109828</v>
      </c>
      <c r="AM704" s="246">
        <f>IFERROR(VLOOKUP(K704,PROGRAMAS[],3,FALSE),0)</f>
        <v>31865326.38096505</v>
      </c>
      <c r="AN704" s="246">
        <f>IFERROR(VLOOKUP(L704,PROGRAMAS[],3,FALSE),0)</f>
        <v>0</v>
      </c>
      <c r="AO704" s="246">
        <f>IFERROR(VLOOKUP(M704,PROGRAMAS[],3,FALSE),0)</f>
        <v>0</v>
      </c>
      <c r="AP704" s="246">
        <f>IFERROR(VLOOKUP(N704,PROGRAMAS[],3,FALSE),0)</f>
        <v>0</v>
      </c>
      <c r="AQ704" s="246">
        <f>IFERROR(VLOOKUP(O704,PROGRAMAS[],3,FALSE),0)</f>
        <v>0</v>
      </c>
      <c r="AR704" s="246">
        <f>IFERROR(VLOOKUP(P704,PROGRAMAS[],3,FALSE),0)</f>
        <v>0</v>
      </c>
      <c r="AS704" s="246">
        <f>IFERROR(VLOOKUP(Q704,PROGRAMAS[],3,FALSE),0)</f>
        <v>0</v>
      </c>
      <c r="AT704" s="246">
        <f>IFERROR(VLOOKUP(D704,VOL_REC[],2,FALSE),0)</f>
        <v>0</v>
      </c>
      <c r="AU704" s="246">
        <f>IFERROR(VLOOKUP(E704,VOL_REC[],2,FALSE),0)</f>
        <v>0</v>
      </c>
      <c r="AV704" s="246">
        <f>IFERROR(VLOOKUP(F704,VOL_REC[],2,FALSE),0)</f>
        <v>11089674.200000001</v>
      </c>
      <c r="AW704" s="246">
        <f>IFERROR(VLOOKUP(G704,VOL_REC[],2,FALSE),0)</f>
        <v>90439.55</v>
      </c>
      <c r="AX704" s="246">
        <f>IFERROR(VLOOKUP(H704,VOL_REC[],2,FALSE),0)</f>
        <v>3761786</v>
      </c>
      <c r="AY704" s="246">
        <f>IFERROR(VLOOKUP(I704,VOL_REC[],2,FALSE),0)</f>
        <v>1812240</v>
      </c>
      <c r="AZ704" s="246">
        <f>IFERROR(VLOOKUP(J704,VOL_REC[],2,FALSE),0)</f>
        <v>240696.79238099116</v>
      </c>
      <c r="BA704" s="246">
        <f>IFERROR(VLOOKUP(K704,VOL_REC[],2,FALSE),0)</f>
        <v>17074.045034105649</v>
      </c>
      <c r="BB704" s="246">
        <f>IFERROR(VLOOKUP(L704,VOL_REC[],2,FALSE),0)</f>
        <v>0</v>
      </c>
      <c r="BC704" s="246">
        <f>IFERROR(VLOOKUP(M704,VOL_REC[],2,FALSE),0)</f>
        <v>0</v>
      </c>
      <c r="BD704" s="246">
        <f>IFERROR(VLOOKUP(N704,VOL_REC[],2,FALSE),0)</f>
        <v>0</v>
      </c>
      <c r="BE704" s="246">
        <f>IFERROR(VLOOKUP(O704,VOL_REC[],2,FALSE),0)</f>
        <v>0</v>
      </c>
      <c r="BF704" s="246">
        <f>IFERROR(VLOOKUP(P704,VOL_REC[],2,FALSE),0)</f>
        <v>0</v>
      </c>
      <c r="BG704" s="246">
        <f>IFERROR(VLOOKUP(Q704,VOL_REC[],2,FALSE),0)</f>
        <v>0</v>
      </c>
      <c r="BH704" s="1710">
        <f t="shared" si="40"/>
        <v>15450479773.028877</v>
      </c>
      <c r="BI704" s="1710">
        <f t="shared" si="41"/>
        <v>20029222609.826424</v>
      </c>
      <c r="BJ704" s="1711">
        <f t="shared" si="42"/>
        <v>17011910.587415099</v>
      </c>
      <c r="BK704" s="1711">
        <f t="shared" si="43"/>
        <v>0.77139687715332517</v>
      </c>
    </row>
    <row r="705" spans="3:67" x14ac:dyDescent="0.25">
      <c r="C705" s="246" t="s">
        <v>2055</v>
      </c>
      <c r="D705" s="246">
        <v>1</v>
      </c>
      <c r="E705" s="246">
        <v>2</v>
      </c>
      <c r="F705" s="246">
        <v>3</v>
      </c>
      <c r="G705" s="246">
        <v>4</v>
      </c>
      <c r="H705" s="246">
        <v>9</v>
      </c>
      <c r="I705" s="246">
        <v>10</v>
      </c>
      <c r="J705" s="246">
        <v>12</v>
      </c>
      <c r="K705" s="246">
        <v>15</v>
      </c>
      <c r="L705" s="246"/>
      <c r="M705" s="246"/>
      <c r="N705" s="246"/>
      <c r="O705" s="246"/>
      <c r="P705" s="246"/>
      <c r="Q705" s="246"/>
      <c r="R705" s="246">
        <f>IFERROR(VLOOKUP(D705,PROGRAMAS[],2,FALSE),0)</f>
        <v>97037803.679377079</v>
      </c>
      <c r="S705" s="246">
        <f>IFERROR(VLOOKUP(E705,PROGRAMAS[],2,FALSE),0)</f>
        <v>640501509.6821388</v>
      </c>
      <c r="T705" s="246">
        <f>IFERROR(VLOOKUP(F705,PROGRAMAS[],2,FALSE),0)</f>
        <v>3062327798.1525245</v>
      </c>
      <c r="U705" s="246">
        <f>IFERROR(VLOOKUP(G705,PROGRAMAS[],2,FALSE),0)</f>
        <v>67697118.033011258</v>
      </c>
      <c r="V705" s="246">
        <f>IFERROR(VLOOKUP(H705,PROGRAMAS[],2,FALSE),0)</f>
        <v>6128579952.1618185</v>
      </c>
      <c r="W705" s="246">
        <f>IFERROR(VLOOKUP(I705,PROGRAMAS[],2,FALSE),0)</f>
        <v>4635315027.8751087</v>
      </c>
      <c r="X705" s="246">
        <f>IFERROR(VLOOKUP(J705,PROGRAMAS[],2,FALSE),0)</f>
        <v>764796700.79905891</v>
      </c>
      <c r="Y705" s="246">
        <f>IFERROR(VLOOKUP(K705,PROGRAMAS[],2,FALSE),0)</f>
        <v>122159672.96346797</v>
      </c>
      <c r="Z705" s="246">
        <f>IFERROR(VLOOKUP(L705,PROGRAMAS[],2,FALSE),0)</f>
        <v>0</v>
      </c>
      <c r="AA705" s="246">
        <f>IFERROR(VLOOKUP(M705,PROGRAMAS[],2,FALSE),0)</f>
        <v>0</v>
      </c>
      <c r="AB705" s="246">
        <f>IFERROR(VLOOKUP(N705,PROGRAMAS[],2,FALSE),0)</f>
        <v>0</v>
      </c>
      <c r="AC705" s="246">
        <f>IFERROR(VLOOKUP(O705,PROGRAMAS[],2,FALSE),0)</f>
        <v>0</v>
      </c>
      <c r="AD705" s="246">
        <f>IFERROR(VLOOKUP(P705,PROGRAMAS[],2,FALSE),0)</f>
        <v>0</v>
      </c>
      <c r="AE705" s="246">
        <f>IFERROR(VLOOKUP(Q705,PROGRAMAS[],2,FALSE),0)</f>
        <v>0</v>
      </c>
      <c r="AF705" s="246">
        <f>IFERROR(VLOOKUP(D705,PROGRAMAS[],3,FALSE),0)</f>
        <v>841888629.31080008</v>
      </c>
      <c r="AG705" s="246">
        <f>IFERROR(VLOOKUP(E705,PROGRAMAS[],3,FALSE),0)</f>
        <v>3848980803.1642323</v>
      </c>
      <c r="AH705" s="246">
        <f>IFERROR(VLOOKUP(F705,PROGRAMAS[],3,FALSE),0)</f>
        <v>3394901471.387517</v>
      </c>
      <c r="AI705" s="246">
        <f>IFERROR(VLOOKUP(G705,PROGRAMAS[],3,FALSE),0)</f>
        <v>125317226.95549992</v>
      </c>
      <c r="AJ705" s="246">
        <f>IFERROR(VLOOKUP(H705,PROGRAMAS[],3,FALSE),0)</f>
        <v>7011279577.519702</v>
      </c>
      <c r="AK705" s="246">
        <f>IFERROR(VLOOKUP(I705,PROGRAMAS[],3,FALSE),0)</f>
        <v>4099471734.9978786</v>
      </c>
      <c r="AL705" s="246">
        <f>IFERROR(VLOOKUP(J705,PROGRAMAS[],3,FALSE),0)</f>
        <v>675517840.109828</v>
      </c>
      <c r="AM705" s="246">
        <f>IFERROR(VLOOKUP(K705,PROGRAMAS[],3,FALSE),0)</f>
        <v>118617452.52510804</v>
      </c>
      <c r="AN705" s="246">
        <f>IFERROR(VLOOKUP(L705,PROGRAMAS[],3,FALSE),0)</f>
        <v>0</v>
      </c>
      <c r="AO705" s="246">
        <f>IFERROR(VLOOKUP(M705,PROGRAMAS[],3,FALSE),0)</f>
        <v>0</v>
      </c>
      <c r="AP705" s="246">
        <f>IFERROR(VLOOKUP(N705,PROGRAMAS[],3,FALSE),0)</f>
        <v>0</v>
      </c>
      <c r="AQ705" s="246">
        <f>IFERROR(VLOOKUP(O705,PROGRAMAS[],3,FALSE),0)</f>
        <v>0</v>
      </c>
      <c r="AR705" s="246">
        <f>IFERROR(VLOOKUP(P705,PROGRAMAS[],3,FALSE),0)</f>
        <v>0</v>
      </c>
      <c r="AS705" s="246">
        <f>IFERROR(VLOOKUP(Q705,PROGRAMAS[],3,FALSE),0)</f>
        <v>0</v>
      </c>
      <c r="AT705" s="246">
        <f>IFERROR(VLOOKUP(D705,VOL_REC[],2,FALSE),0)</f>
        <v>0</v>
      </c>
      <c r="AU705" s="246">
        <f>IFERROR(VLOOKUP(E705,VOL_REC[],2,FALSE),0)</f>
        <v>0</v>
      </c>
      <c r="AV705" s="246">
        <f>IFERROR(VLOOKUP(F705,VOL_REC[],2,FALSE),0)</f>
        <v>11089674.200000001</v>
      </c>
      <c r="AW705" s="246">
        <f>IFERROR(VLOOKUP(G705,VOL_REC[],2,FALSE),0)</f>
        <v>90439.55</v>
      </c>
      <c r="AX705" s="246">
        <f>IFERROR(VLOOKUP(H705,VOL_REC[],2,FALSE),0)</f>
        <v>3761786</v>
      </c>
      <c r="AY705" s="246">
        <f>IFERROR(VLOOKUP(I705,VOL_REC[],2,FALSE),0)</f>
        <v>1812240</v>
      </c>
      <c r="AZ705" s="246">
        <f>IFERROR(VLOOKUP(J705,VOL_REC[],2,FALSE),0)</f>
        <v>240696.79238099116</v>
      </c>
      <c r="BA705" s="246">
        <f>IFERROR(VLOOKUP(K705,VOL_REC[],2,FALSE),0)</f>
        <v>105072</v>
      </c>
      <c r="BB705" s="246">
        <f>IFERROR(VLOOKUP(L705,VOL_REC[],2,FALSE),0)</f>
        <v>0</v>
      </c>
      <c r="BC705" s="246">
        <f>IFERROR(VLOOKUP(M705,VOL_REC[],2,FALSE),0)</f>
        <v>0</v>
      </c>
      <c r="BD705" s="246">
        <f>IFERROR(VLOOKUP(N705,VOL_REC[],2,FALSE),0)</f>
        <v>0</v>
      </c>
      <c r="BE705" s="246">
        <f>IFERROR(VLOOKUP(O705,VOL_REC[],2,FALSE),0)</f>
        <v>0</v>
      </c>
      <c r="BF705" s="246">
        <f>IFERROR(VLOOKUP(P705,VOL_REC[],2,FALSE),0)</f>
        <v>0</v>
      </c>
      <c r="BG705" s="246">
        <f>IFERROR(VLOOKUP(Q705,VOL_REC[],2,FALSE),0)</f>
        <v>0</v>
      </c>
      <c r="BH705" s="1710">
        <f t="shared" si="40"/>
        <v>15518415583.346506</v>
      </c>
      <c r="BI705" s="1710">
        <f t="shared" si="41"/>
        <v>20115974735.970566</v>
      </c>
      <c r="BJ705" s="1711">
        <f t="shared" si="42"/>
        <v>17099908.542380992</v>
      </c>
      <c r="BK705" s="1711">
        <f t="shared" si="43"/>
        <v>0.7714473589786881</v>
      </c>
    </row>
    <row r="706" spans="3:67" x14ac:dyDescent="0.25">
      <c r="C706" s="246" t="s">
        <v>2056</v>
      </c>
      <c r="D706" s="246">
        <v>1</v>
      </c>
      <c r="E706" s="246">
        <v>2</v>
      </c>
      <c r="F706" s="246">
        <v>3</v>
      </c>
      <c r="G706" s="246">
        <v>4</v>
      </c>
      <c r="H706" s="246">
        <v>9</v>
      </c>
      <c r="I706" s="246">
        <v>10</v>
      </c>
      <c r="J706" s="246">
        <v>12</v>
      </c>
      <c r="K706" s="246">
        <v>16</v>
      </c>
      <c r="L706" s="246"/>
      <c r="M706" s="246"/>
      <c r="N706" s="246"/>
      <c r="O706" s="246"/>
      <c r="P706" s="246"/>
      <c r="Q706" s="246"/>
      <c r="R706" s="246">
        <f>IFERROR(VLOOKUP(D706,PROGRAMAS[],2,FALSE),0)</f>
        <v>97037803.679377079</v>
      </c>
      <c r="S706" s="246">
        <f>IFERROR(VLOOKUP(E706,PROGRAMAS[],2,FALSE),0)</f>
        <v>640501509.6821388</v>
      </c>
      <c r="T706" s="246">
        <f>IFERROR(VLOOKUP(F706,PROGRAMAS[],2,FALSE),0)</f>
        <v>3062327798.1525245</v>
      </c>
      <c r="U706" s="246">
        <f>IFERROR(VLOOKUP(G706,PROGRAMAS[],2,FALSE),0)</f>
        <v>67697118.033011258</v>
      </c>
      <c r="V706" s="246">
        <f>IFERROR(VLOOKUP(H706,PROGRAMAS[],2,FALSE),0)</f>
        <v>6128579952.1618185</v>
      </c>
      <c r="W706" s="246">
        <f>IFERROR(VLOOKUP(I706,PROGRAMAS[],2,FALSE),0)</f>
        <v>4635315027.8751087</v>
      </c>
      <c r="X706" s="246">
        <f>IFERROR(VLOOKUP(J706,PROGRAMAS[],2,FALSE),0)</f>
        <v>764796700.79905891</v>
      </c>
      <c r="Y706" s="246">
        <f>IFERROR(VLOOKUP(K706,PROGRAMAS[],2,FALSE),0)</f>
        <v>7068496961.0436354</v>
      </c>
      <c r="Z706" s="246">
        <f>IFERROR(VLOOKUP(L706,PROGRAMAS[],2,FALSE),0)</f>
        <v>0</v>
      </c>
      <c r="AA706" s="246">
        <f>IFERROR(VLOOKUP(M706,PROGRAMAS[],2,FALSE),0)</f>
        <v>0</v>
      </c>
      <c r="AB706" s="246">
        <f>IFERROR(VLOOKUP(N706,PROGRAMAS[],2,FALSE),0)</f>
        <v>0</v>
      </c>
      <c r="AC706" s="246">
        <f>IFERROR(VLOOKUP(O706,PROGRAMAS[],2,FALSE),0)</f>
        <v>0</v>
      </c>
      <c r="AD706" s="246">
        <f>IFERROR(VLOOKUP(P706,PROGRAMAS[],2,FALSE),0)</f>
        <v>0</v>
      </c>
      <c r="AE706" s="246">
        <f>IFERROR(VLOOKUP(Q706,PROGRAMAS[],2,FALSE),0)</f>
        <v>0</v>
      </c>
      <c r="AF706" s="246">
        <f>IFERROR(VLOOKUP(D706,PROGRAMAS[],3,FALSE),0)</f>
        <v>841888629.31080008</v>
      </c>
      <c r="AG706" s="246">
        <f>IFERROR(VLOOKUP(E706,PROGRAMAS[],3,FALSE),0)</f>
        <v>3848980803.1642323</v>
      </c>
      <c r="AH706" s="246">
        <f>IFERROR(VLOOKUP(F706,PROGRAMAS[],3,FALSE),0)</f>
        <v>3394901471.387517</v>
      </c>
      <c r="AI706" s="246">
        <f>IFERROR(VLOOKUP(G706,PROGRAMAS[],3,FALSE),0)</f>
        <v>125317226.95549992</v>
      </c>
      <c r="AJ706" s="246">
        <f>IFERROR(VLOOKUP(H706,PROGRAMAS[],3,FALSE),0)</f>
        <v>7011279577.519702</v>
      </c>
      <c r="AK706" s="246">
        <f>IFERROR(VLOOKUP(I706,PROGRAMAS[],3,FALSE),0)</f>
        <v>4099471734.9978786</v>
      </c>
      <c r="AL706" s="246">
        <f>IFERROR(VLOOKUP(J706,PROGRAMAS[],3,FALSE),0)</f>
        <v>675517840.109828</v>
      </c>
      <c r="AM706" s="246">
        <f>IFERROR(VLOOKUP(K706,PROGRAMAS[],3,FALSE),0)</f>
        <v>2406564599.0319901</v>
      </c>
      <c r="AN706" s="246">
        <f>IFERROR(VLOOKUP(L706,PROGRAMAS[],3,FALSE),0)</f>
        <v>0</v>
      </c>
      <c r="AO706" s="246">
        <f>IFERROR(VLOOKUP(M706,PROGRAMAS[],3,FALSE),0)</f>
        <v>0</v>
      </c>
      <c r="AP706" s="246">
        <f>IFERROR(VLOOKUP(N706,PROGRAMAS[],3,FALSE),0)</f>
        <v>0</v>
      </c>
      <c r="AQ706" s="246">
        <f>IFERROR(VLOOKUP(O706,PROGRAMAS[],3,FALSE),0)</f>
        <v>0</v>
      </c>
      <c r="AR706" s="246">
        <f>IFERROR(VLOOKUP(P706,PROGRAMAS[],3,FALSE),0)</f>
        <v>0</v>
      </c>
      <c r="AS706" s="246">
        <f>IFERROR(VLOOKUP(Q706,PROGRAMAS[],3,FALSE),0)</f>
        <v>0</v>
      </c>
      <c r="AT706" s="246">
        <f>IFERROR(VLOOKUP(D706,VOL_REC[],2,FALSE),0)</f>
        <v>0</v>
      </c>
      <c r="AU706" s="246">
        <f>IFERROR(VLOOKUP(E706,VOL_REC[],2,FALSE),0)</f>
        <v>0</v>
      </c>
      <c r="AV706" s="246">
        <f>IFERROR(VLOOKUP(F706,VOL_REC[],2,FALSE),0)</f>
        <v>11089674.200000001</v>
      </c>
      <c r="AW706" s="246">
        <f>IFERROR(VLOOKUP(G706,VOL_REC[],2,FALSE),0)</f>
        <v>90439.55</v>
      </c>
      <c r="AX706" s="246">
        <f>IFERROR(VLOOKUP(H706,VOL_REC[],2,FALSE),0)</f>
        <v>3761786</v>
      </c>
      <c r="AY706" s="246">
        <f>IFERROR(VLOOKUP(I706,VOL_REC[],2,FALSE),0)</f>
        <v>1812240</v>
      </c>
      <c r="AZ706" s="246">
        <f>IFERROR(VLOOKUP(J706,VOL_REC[],2,FALSE),0)</f>
        <v>240696.79238099116</v>
      </c>
      <c r="BA706" s="246">
        <f>IFERROR(VLOOKUP(K706,VOL_REC[],2,FALSE),0)</f>
        <v>1072354.9981737854</v>
      </c>
      <c r="BB706" s="246">
        <f>IFERROR(VLOOKUP(L706,VOL_REC[],2,FALSE),0)</f>
        <v>0</v>
      </c>
      <c r="BC706" s="246">
        <f>IFERROR(VLOOKUP(M706,VOL_REC[],2,FALSE),0)</f>
        <v>0</v>
      </c>
      <c r="BD706" s="246">
        <f>IFERROR(VLOOKUP(N706,VOL_REC[],2,FALSE),0)</f>
        <v>0</v>
      </c>
      <c r="BE706" s="246">
        <f>IFERROR(VLOOKUP(O706,VOL_REC[],2,FALSE),0)</f>
        <v>0</v>
      </c>
      <c r="BF706" s="246">
        <f>IFERROR(VLOOKUP(P706,VOL_REC[],2,FALSE),0)</f>
        <v>0</v>
      </c>
      <c r="BG706" s="246">
        <f>IFERROR(VLOOKUP(Q706,VOL_REC[],2,FALSE),0)</f>
        <v>0</v>
      </c>
      <c r="BH706" s="1710">
        <f t="shared" ref="BH706:BH769" si="44">SUM(R706:AE706)</f>
        <v>22464752871.426674</v>
      </c>
      <c r="BI706" s="1710">
        <f t="shared" ref="BI706:BI769" si="45">SUM(AF706:AS706)</f>
        <v>22403921882.477448</v>
      </c>
      <c r="BJ706" s="1711">
        <f t="shared" ref="BJ706:BJ769" si="46">SUM(AT706:BG706)</f>
        <v>18067191.540554777</v>
      </c>
      <c r="BK706" s="1711">
        <f t="shared" ref="BK706:BK769" si="47">IFERROR(BH706/BI706,0)</f>
        <v>1.0027151937624279</v>
      </c>
      <c r="BL706">
        <f>BJ706</f>
        <v>18067191.540554777</v>
      </c>
      <c r="BO706">
        <f>BL706</f>
        <v>18067191.540554777</v>
      </c>
    </row>
    <row r="707" spans="3:67" x14ac:dyDescent="0.25">
      <c r="C707" s="246" t="s">
        <v>2057</v>
      </c>
      <c r="D707" s="246">
        <v>1</v>
      </c>
      <c r="E707" s="246">
        <v>2</v>
      </c>
      <c r="F707" s="246">
        <v>3</v>
      </c>
      <c r="G707" s="246">
        <v>4</v>
      </c>
      <c r="H707" s="246">
        <v>9</v>
      </c>
      <c r="I707" s="246">
        <v>10</v>
      </c>
      <c r="J707" s="246">
        <v>12</v>
      </c>
      <c r="K707" s="246">
        <v>17</v>
      </c>
      <c r="L707" s="246"/>
      <c r="M707" s="246"/>
      <c r="N707" s="246"/>
      <c r="O707" s="246"/>
      <c r="P707" s="246"/>
      <c r="Q707" s="246"/>
      <c r="R707" s="246">
        <f>IFERROR(VLOOKUP(D707,PROGRAMAS[],2,FALSE),0)</f>
        <v>97037803.679377079</v>
      </c>
      <c r="S707" s="246">
        <f>IFERROR(VLOOKUP(E707,PROGRAMAS[],2,FALSE),0)</f>
        <v>640501509.6821388</v>
      </c>
      <c r="T707" s="246">
        <f>IFERROR(VLOOKUP(F707,PROGRAMAS[],2,FALSE),0)</f>
        <v>3062327798.1525245</v>
      </c>
      <c r="U707" s="246">
        <f>IFERROR(VLOOKUP(G707,PROGRAMAS[],2,FALSE),0)</f>
        <v>67697118.033011258</v>
      </c>
      <c r="V707" s="246">
        <f>IFERROR(VLOOKUP(H707,PROGRAMAS[],2,FALSE),0)</f>
        <v>6128579952.1618185</v>
      </c>
      <c r="W707" s="246">
        <f>IFERROR(VLOOKUP(I707,PROGRAMAS[],2,FALSE),0)</f>
        <v>4635315027.8751087</v>
      </c>
      <c r="X707" s="246">
        <f>IFERROR(VLOOKUP(J707,PROGRAMAS[],2,FALSE),0)</f>
        <v>764796700.79905891</v>
      </c>
      <c r="Y707" s="246">
        <f>IFERROR(VLOOKUP(K707,PROGRAMAS[],2,FALSE),0)</f>
        <v>1892779498.5211046</v>
      </c>
      <c r="Z707" s="246">
        <f>IFERROR(VLOOKUP(L707,PROGRAMAS[],2,FALSE),0)</f>
        <v>0</v>
      </c>
      <c r="AA707" s="246">
        <f>IFERROR(VLOOKUP(M707,PROGRAMAS[],2,FALSE),0)</f>
        <v>0</v>
      </c>
      <c r="AB707" s="246">
        <f>IFERROR(VLOOKUP(N707,PROGRAMAS[],2,FALSE),0)</f>
        <v>0</v>
      </c>
      <c r="AC707" s="246">
        <f>IFERROR(VLOOKUP(O707,PROGRAMAS[],2,FALSE),0)</f>
        <v>0</v>
      </c>
      <c r="AD707" s="246">
        <f>IFERROR(VLOOKUP(P707,PROGRAMAS[],2,FALSE),0)</f>
        <v>0</v>
      </c>
      <c r="AE707" s="246">
        <f>IFERROR(VLOOKUP(Q707,PROGRAMAS[],2,FALSE),0)</f>
        <v>0</v>
      </c>
      <c r="AF707" s="246">
        <f>IFERROR(VLOOKUP(D707,PROGRAMAS[],3,FALSE),0)</f>
        <v>841888629.31080008</v>
      </c>
      <c r="AG707" s="246">
        <f>IFERROR(VLOOKUP(E707,PROGRAMAS[],3,FALSE),0)</f>
        <v>3848980803.1642323</v>
      </c>
      <c r="AH707" s="246">
        <f>IFERROR(VLOOKUP(F707,PROGRAMAS[],3,FALSE),0)</f>
        <v>3394901471.387517</v>
      </c>
      <c r="AI707" s="246">
        <f>IFERROR(VLOOKUP(G707,PROGRAMAS[],3,FALSE),0)</f>
        <v>125317226.95549992</v>
      </c>
      <c r="AJ707" s="246">
        <f>IFERROR(VLOOKUP(H707,PROGRAMAS[],3,FALSE),0)</f>
        <v>7011279577.519702</v>
      </c>
      <c r="AK707" s="246">
        <f>IFERROR(VLOOKUP(I707,PROGRAMAS[],3,FALSE),0)</f>
        <v>4099471734.9978786</v>
      </c>
      <c r="AL707" s="246">
        <f>IFERROR(VLOOKUP(J707,PROGRAMAS[],3,FALSE),0)</f>
        <v>675517840.109828</v>
      </c>
      <c r="AM707" s="246">
        <f>IFERROR(VLOOKUP(K707,PROGRAMAS[],3,FALSE),0)</f>
        <v>948595847.09039903</v>
      </c>
      <c r="AN707" s="246">
        <f>IFERROR(VLOOKUP(L707,PROGRAMAS[],3,FALSE),0)</f>
        <v>0</v>
      </c>
      <c r="AO707" s="246">
        <f>IFERROR(VLOOKUP(M707,PROGRAMAS[],3,FALSE),0)</f>
        <v>0</v>
      </c>
      <c r="AP707" s="246">
        <f>IFERROR(VLOOKUP(N707,PROGRAMAS[],3,FALSE),0)</f>
        <v>0</v>
      </c>
      <c r="AQ707" s="246">
        <f>IFERROR(VLOOKUP(O707,PROGRAMAS[],3,FALSE),0)</f>
        <v>0</v>
      </c>
      <c r="AR707" s="246">
        <f>IFERROR(VLOOKUP(P707,PROGRAMAS[],3,FALSE),0)</f>
        <v>0</v>
      </c>
      <c r="AS707" s="246">
        <f>IFERROR(VLOOKUP(Q707,PROGRAMAS[],3,FALSE),0)</f>
        <v>0</v>
      </c>
      <c r="AT707" s="246">
        <f>IFERROR(VLOOKUP(D707,VOL_REC[],2,FALSE),0)</f>
        <v>0</v>
      </c>
      <c r="AU707" s="246">
        <f>IFERROR(VLOOKUP(E707,VOL_REC[],2,FALSE),0)</f>
        <v>0</v>
      </c>
      <c r="AV707" s="246">
        <f>IFERROR(VLOOKUP(F707,VOL_REC[],2,FALSE),0)</f>
        <v>11089674.200000001</v>
      </c>
      <c r="AW707" s="246">
        <f>IFERROR(VLOOKUP(G707,VOL_REC[],2,FALSE),0)</f>
        <v>90439.55</v>
      </c>
      <c r="AX707" s="246">
        <f>IFERROR(VLOOKUP(H707,VOL_REC[],2,FALSE),0)</f>
        <v>3761786</v>
      </c>
      <c r="AY707" s="246">
        <f>IFERROR(VLOOKUP(I707,VOL_REC[],2,FALSE),0)</f>
        <v>1812240</v>
      </c>
      <c r="AZ707" s="246">
        <f>IFERROR(VLOOKUP(J707,VOL_REC[],2,FALSE),0)</f>
        <v>240696.79238099116</v>
      </c>
      <c r="BA707" s="246">
        <f>IFERROR(VLOOKUP(K707,VOL_REC[],2,FALSE),0)</f>
        <v>740113.98115702497</v>
      </c>
      <c r="BB707" s="246">
        <f>IFERROR(VLOOKUP(L707,VOL_REC[],2,FALSE),0)</f>
        <v>0</v>
      </c>
      <c r="BC707" s="246">
        <f>IFERROR(VLOOKUP(M707,VOL_REC[],2,FALSE),0)</f>
        <v>0</v>
      </c>
      <c r="BD707" s="246">
        <f>IFERROR(VLOOKUP(N707,VOL_REC[],2,FALSE),0)</f>
        <v>0</v>
      </c>
      <c r="BE707" s="246">
        <f>IFERROR(VLOOKUP(O707,VOL_REC[],2,FALSE),0)</f>
        <v>0</v>
      </c>
      <c r="BF707" s="246">
        <f>IFERROR(VLOOKUP(P707,VOL_REC[],2,FALSE),0)</f>
        <v>0</v>
      </c>
      <c r="BG707" s="246">
        <f>IFERROR(VLOOKUP(Q707,VOL_REC[],2,FALSE),0)</f>
        <v>0</v>
      </c>
      <c r="BH707" s="1710">
        <f t="shared" si="44"/>
        <v>17289035408.90414</v>
      </c>
      <c r="BI707" s="1710">
        <f t="shared" si="45"/>
        <v>20945953130.535858</v>
      </c>
      <c r="BJ707" s="1711">
        <f t="shared" si="46"/>
        <v>17734950.523538016</v>
      </c>
      <c r="BK707" s="1711">
        <f t="shared" si="47"/>
        <v>0.82541172994889811</v>
      </c>
    </row>
    <row r="708" spans="3:67" x14ac:dyDescent="0.25">
      <c r="C708" s="246" t="s">
        <v>2058</v>
      </c>
      <c r="D708" s="246">
        <v>1</v>
      </c>
      <c r="E708" s="246">
        <v>2</v>
      </c>
      <c r="F708" s="246">
        <v>3</v>
      </c>
      <c r="G708" s="246">
        <v>4</v>
      </c>
      <c r="H708" s="246">
        <v>9</v>
      </c>
      <c r="I708" s="246">
        <v>10</v>
      </c>
      <c r="J708" s="246">
        <v>13</v>
      </c>
      <c r="K708" s="246">
        <v>14</v>
      </c>
      <c r="L708" s="246"/>
      <c r="M708" s="246"/>
      <c r="N708" s="246"/>
      <c r="O708" s="246"/>
      <c r="P708" s="246"/>
      <c r="Q708" s="246"/>
      <c r="R708" s="246">
        <f>IFERROR(VLOOKUP(D708,PROGRAMAS[],2,FALSE),0)</f>
        <v>97037803.679377079</v>
      </c>
      <c r="S708" s="246">
        <f>IFERROR(VLOOKUP(E708,PROGRAMAS[],2,FALSE),0)</f>
        <v>640501509.6821388</v>
      </c>
      <c r="T708" s="246">
        <f>IFERROR(VLOOKUP(F708,PROGRAMAS[],2,FALSE),0)</f>
        <v>3062327798.1525245</v>
      </c>
      <c r="U708" s="246">
        <f>IFERROR(VLOOKUP(G708,PROGRAMAS[],2,FALSE),0)</f>
        <v>67697118.033011258</v>
      </c>
      <c r="V708" s="246">
        <f>IFERROR(VLOOKUP(H708,PROGRAMAS[],2,FALSE),0)</f>
        <v>6128579952.1618185</v>
      </c>
      <c r="W708" s="246">
        <f>IFERROR(VLOOKUP(I708,PROGRAMAS[],2,FALSE),0)</f>
        <v>4635315027.8751087</v>
      </c>
      <c r="X708" s="246">
        <f>IFERROR(VLOOKUP(J708,PROGRAMAS[],2,FALSE),0)</f>
        <v>3776538594.4604583</v>
      </c>
      <c r="Y708" s="246">
        <f>IFERROR(VLOOKUP(K708,PROGRAMAS[],2,FALSE),0)</f>
        <v>54223862.645839565</v>
      </c>
      <c r="Z708" s="246">
        <f>IFERROR(VLOOKUP(L708,PROGRAMAS[],2,FALSE),0)</f>
        <v>0</v>
      </c>
      <c r="AA708" s="246">
        <f>IFERROR(VLOOKUP(M708,PROGRAMAS[],2,FALSE),0)</f>
        <v>0</v>
      </c>
      <c r="AB708" s="246">
        <f>IFERROR(VLOOKUP(N708,PROGRAMAS[],2,FALSE),0)</f>
        <v>0</v>
      </c>
      <c r="AC708" s="246">
        <f>IFERROR(VLOOKUP(O708,PROGRAMAS[],2,FALSE),0)</f>
        <v>0</v>
      </c>
      <c r="AD708" s="246">
        <f>IFERROR(VLOOKUP(P708,PROGRAMAS[],2,FALSE),0)</f>
        <v>0</v>
      </c>
      <c r="AE708" s="246">
        <f>IFERROR(VLOOKUP(Q708,PROGRAMAS[],2,FALSE),0)</f>
        <v>0</v>
      </c>
      <c r="AF708" s="246">
        <f>IFERROR(VLOOKUP(D708,PROGRAMAS[],3,FALSE),0)</f>
        <v>841888629.31080008</v>
      </c>
      <c r="AG708" s="246">
        <f>IFERROR(VLOOKUP(E708,PROGRAMAS[],3,FALSE),0)</f>
        <v>3848980803.1642323</v>
      </c>
      <c r="AH708" s="246">
        <f>IFERROR(VLOOKUP(F708,PROGRAMAS[],3,FALSE),0)</f>
        <v>3394901471.387517</v>
      </c>
      <c r="AI708" s="246">
        <f>IFERROR(VLOOKUP(G708,PROGRAMAS[],3,FALSE),0)</f>
        <v>125317226.95549992</v>
      </c>
      <c r="AJ708" s="246">
        <f>IFERROR(VLOOKUP(H708,PROGRAMAS[],3,FALSE),0)</f>
        <v>7011279577.519702</v>
      </c>
      <c r="AK708" s="246">
        <f>IFERROR(VLOOKUP(I708,PROGRAMAS[],3,FALSE),0)</f>
        <v>4099471734.9978786</v>
      </c>
      <c r="AL708" s="246">
        <f>IFERROR(VLOOKUP(J708,PROGRAMAS[],3,FALSE),0)</f>
        <v>2392571243.5584412</v>
      </c>
      <c r="AM708" s="246">
        <f>IFERROR(VLOOKUP(K708,PROGRAMAS[],3,FALSE),0)</f>
        <v>31865326.38096505</v>
      </c>
      <c r="AN708" s="246">
        <f>IFERROR(VLOOKUP(L708,PROGRAMAS[],3,FALSE),0)</f>
        <v>0</v>
      </c>
      <c r="AO708" s="246">
        <f>IFERROR(VLOOKUP(M708,PROGRAMAS[],3,FALSE),0)</f>
        <v>0</v>
      </c>
      <c r="AP708" s="246">
        <f>IFERROR(VLOOKUP(N708,PROGRAMAS[],3,FALSE),0)</f>
        <v>0</v>
      </c>
      <c r="AQ708" s="246">
        <f>IFERROR(VLOOKUP(O708,PROGRAMAS[],3,FALSE),0)</f>
        <v>0</v>
      </c>
      <c r="AR708" s="246">
        <f>IFERROR(VLOOKUP(P708,PROGRAMAS[],3,FALSE),0)</f>
        <v>0</v>
      </c>
      <c r="AS708" s="246">
        <f>IFERROR(VLOOKUP(Q708,PROGRAMAS[],3,FALSE),0)</f>
        <v>0</v>
      </c>
      <c r="AT708" s="246">
        <f>IFERROR(VLOOKUP(D708,VOL_REC[],2,FALSE),0)</f>
        <v>0</v>
      </c>
      <c r="AU708" s="246">
        <f>IFERROR(VLOOKUP(E708,VOL_REC[],2,FALSE),0)</f>
        <v>0</v>
      </c>
      <c r="AV708" s="246">
        <f>IFERROR(VLOOKUP(F708,VOL_REC[],2,FALSE),0)</f>
        <v>11089674.200000001</v>
      </c>
      <c r="AW708" s="246">
        <f>IFERROR(VLOOKUP(G708,VOL_REC[],2,FALSE),0)</f>
        <v>90439.55</v>
      </c>
      <c r="AX708" s="246">
        <f>IFERROR(VLOOKUP(H708,VOL_REC[],2,FALSE),0)</f>
        <v>3761786</v>
      </c>
      <c r="AY708" s="246">
        <f>IFERROR(VLOOKUP(I708,VOL_REC[],2,FALSE),0)</f>
        <v>1812240</v>
      </c>
      <c r="AZ708" s="246">
        <f>IFERROR(VLOOKUP(J708,VOL_REC[],2,FALSE),0)</f>
        <v>663244.80000000016</v>
      </c>
      <c r="BA708" s="246">
        <f>IFERROR(VLOOKUP(K708,VOL_REC[],2,FALSE),0)</f>
        <v>17074.045034105649</v>
      </c>
      <c r="BB708" s="246">
        <f>IFERROR(VLOOKUP(L708,VOL_REC[],2,FALSE),0)</f>
        <v>0</v>
      </c>
      <c r="BC708" s="246">
        <f>IFERROR(VLOOKUP(M708,VOL_REC[],2,FALSE),0)</f>
        <v>0</v>
      </c>
      <c r="BD708" s="246">
        <f>IFERROR(VLOOKUP(N708,VOL_REC[],2,FALSE),0)</f>
        <v>0</v>
      </c>
      <c r="BE708" s="246">
        <f>IFERROR(VLOOKUP(O708,VOL_REC[],2,FALSE),0)</f>
        <v>0</v>
      </c>
      <c r="BF708" s="246">
        <f>IFERROR(VLOOKUP(P708,VOL_REC[],2,FALSE),0)</f>
        <v>0</v>
      </c>
      <c r="BG708" s="246">
        <f>IFERROR(VLOOKUP(Q708,VOL_REC[],2,FALSE),0)</f>
        <v>0</v>
      </c>
      <c r="BH708" s="1710">
        <f t="shared" si="44"/>
        <v>18462221666.690277</v>
      </c>
      <c r="BI708" s="1710">
        <f t="shared" si="45"/>
        <v>21746276013.275036</v>
      </c>
      <c r="BJ708" s="1711">
        <f t="shared" si="46"/>
        <v>17434458.595034108</v>
      </c>
      <c r="BK708" s="1711">
        <f t="shared" si="47"/>
        <v>0.84898313878753284</v>
      </c>
    </row>
    <row r="709" spans="3:67" x14ac:dyDescent="0.25">
      <c r="C709" s="246" t="s">
        <v>2059</v>
      </c>
      <c r="D709" s="246">
        <v>1</v>
      </c>
      <c r="E709" s="246">
        <v>2</v>
      </c>
      <c r="F709" s="246">
        <v>3</v>
      </c>
      <c r="G709" s="246">
        <v>4</v>
      </c>
      <c r="H709" s="246">
        <v>9</v>
      </c>
      <c r="I709" s="246">
        <v>10</v>
      </c>
      <c r="J709" s="246">
        <v>13</v>
      </c>
      <c r="K709" s="246">
        <v>15</v>
      </c>
      <c r="L709" s="246"/>
      <c r="M709" s="246"/>
      <c r="N709" s="246"/>
      <c r="O709" s="246"/>
      <c r="P709" s="246"/>
      <c r="Q709" s="246"/>
      <c r="R709" s="246">
        <f>IFERROR(VLOOKUP(D709,PROGRAMAS[],2,FALSE),0)</f>
        <v>97037803.679377079</v>
      </c>
      <c r="S709" s="246">
        <f>IFERROR(VLOOKUP(E709,PROGRAMAS[],2,FALSE),0)</f>
        <v>640501509.6821388</v>
      </c>
      <c r="T709" s="246">
        <f>IFERROR(VLOOKUP(F709,PROGRAMAS[],2,FALSE),0)</f>
        <v>3062327798.1525245</v>
      </c>
      <c r="U709" s="246">
        <f>IFERROR(VLOOKUP(G709,PROGRAMAS[],2,FALSE),0)</f>
        <v>67697118.033011258</v>
      </c>
      <c r="V709" s="246">
        <f>IFERROR(VLOOKUP(H709,PROGRAMAS[],2,FALSE),0)</f>
        <v>6128579952.1618185</v>
      </c>
      <c r="W709" s="246">
        <f>IFERROR(VLOOKUP(I709,PROGRAMAS[],2,FALSE),0)</f>
        <v>4635315027.8751087</v>
      </c>
      <c r="X709" s="246">
        <f>IFERROR(VLOOKUP(J709,PROGRAMAS[],2,FALSE),0)</f>
        <v>3776538594.4604583</v>
      </c>
      <c r="Y709" s="246">
        <f>IFERROR(VLOOKUP(K709,PROGRAMAS[],2,FALSE),0)</f>
        <v>122159672.96346797</v>
      </c>
      <c r="Z709" s="246">
        <f>IFERROR(VLOOKUP(L709,PROGRAMAS[],2,FALSE),0)</f>
        <v>0</v>
      </c>
      <c r="AA709" s="246">
        <f>IFERROR(VLOOKUP(M709,PROGRAMAS[],2,FALSE),0)</f>
        <v>0</v>
      </c>
      <c r="AB709" s="246">
        <f>IFERROR(VLOOKUP(N709,PROGRAMAS[],2,FALSE),0)</f>
        <v>0</v>
      </c>
      <c r="AC709" s="246">
        <f>IFERROR(VLOOKUP(O709,PROGRAMAS[],2,FALSE),0)</f>
        <v>0</v>
      </c>
      <c r="AD709" s="246">
        <f>IFERROR(VLOOKUP(P709,PROGRAMAS[],2,FALSE),0)</f>
        <v>0</v>
      </c>
      <c r="AE709" s="246">
        <f>IFERROR(VLOOKUP(Q709,PROGRAMAS[],2,FALSE),0)</f>
        <v>0</v>
      </c>
      <c r="AF709" s="246">
        <f>IFERROR(VLOOKUP(D709,PROGRAMAS[],3,FALSE),0)</f>
        <v>841888629.31080008</v>
      </c>
      <c r="AG709" s="246">
        <f>IFERROR(VLOOKUP(E709,PROGRAMAS[],3,FALSE),0)</f>
        <v>3848980803.1642323</v>
      </c>
      <c r="AH709" s="246">
        <f>IFERROR(VLOOKUP(F709,PROGRAMAS[],3,FALSE),0)</f>
        <v>3394901471.387517</v>
      </c>
      <c r="AI709" s="246">
        <f>IFERROR(VLOOKUP(G709,PROGRAMAS[],3,FALSE),0)</f>
        <v>125317226.95549992</v>
      </c>
      <c r="AJ709" s="246">
        <f>IFERROR(VLOOKUP(H709,PROGRAMAS[],3,FALSE),0)</f>
        <v>7011279577.519702</v>
      </c>
      <c r="AK709" s="246">
        <f>IFERROR(VLOOKUP(I709,PROGRAMAS[],3,FALSE),0)</f>
        <v>4099471734.9978786</v>
      </c>
      <c r="AL709" s="246">
        <f>IFERROR(VLOOKUP(J709,PROGRAMAS[],3,FALSE),0)</f>
        <v>2392571243.5584412</v>
      </c>
      <c r="AM709" s="246">
        <f>IFERROR(VLOOKUP(K709,PROGRAMAS[],3,FALSE),0)</f>
        <v>118617452.52510804</v>
      </c>
      <c r="AN709" s="246">
        <f>IFERROR(VLOOKUP(L709,PROGRAMAS[],3,FALSE),0)</f>
        <v>0</v>
      </c>
      <c r="AO709" s="246">
        <f>IFERROR(VLOOKUP(M709,PROGRAMAS[],3,FALSE),0)</f>
        <v>0</v>
      </c>
      <c r="AP709" s="246">
        <f>IFERROR(VLOOKUP(N709,PROGRAMAS[],3,FALSE),0)</f>
        <v>0</v>
      </c>
      <c r="AQ709" s="246">
        <f>IFERROR(VLOOKUP(O709,PROGRAMAS[],3,FALSE),0)</f>
        <v>0</v>
      </c>
      <c r="AR709" s="246">
        <f>IFERROR(VLOOKUP(P709,PROGRAMAS[],3,FALSE),0)</f>
        <v>0</v>
      </c>
      <c r="AS709" s="246">
        <f>IFERROR(VLOOKUP(Q709,PROGRAMAS[],3,FALSE),0)</f>
        <v>0</v>
      </c>
      <c r="AT709" s="246">
        <f>IFERROR(VLOOKUP(D709,VOL_REC[],2,FALSE),0)</f>
        <v>0</v>
      </c>
      <c r="AU709" s="246">
        <f>IFERROR(VLOOKUP(E709,VOL_REC[],2,FALSE),0)</f>
        <v>0</v>
      </c>
      <c r="AV709" s="246">
        <f>IFERROR(VLOOKUP(F709,VOL_REC[],2,FALSE),0)</f>
        <v>11089674.200000001</v>
      </c>
      <c r="AW709" s="246">
        <f>IFERROR(VLOOKUP(G709,VOL_REC[],2,FALSE),0)</f>
        <v>90439.55</v>
      </c>
      <c r="AX709" s="246">
        <f>IFERROR(VLOOKUP(H709,VOL_REC[],2,FALSE),0)</f>
        <v>3761786</v>
      </c>
      <c r="AY709" s="246">
        <f>IFERROR(VLOOKUP(I709,VOL_REC[],2,FALSE),0)</f>
        <v>1812240</v>
      </c>
      <c r="AZ709" s="246">
        <f>IFERROR(VLOOKUP(J709,VOL_REC[],2,FALSE),0)</f>
        <v>663244.80000000016</v>
      </c>
      <c r="BA709" s="246">
        <f>IFERROR(VLOOKUP(K709,VOL_REC[],2,FALSE),0)</f>
        <v>105072</v>
      </c>
      <c r="BB709" s="246">
        <f>IFERROR(VLOOKUP(L709,VOL_REC[],2,FALSE),0)</f>
        <v>0</v>
      </c>
      <c r="BC709" s="246">
        <f>IFERROR(VLOOKUP(M709,VOL_REC[],2,FALSE),0)</f>
        <v>0</v>
      </c>
      <c r="BD709" s="246">
        <f>IFERROR(VLOOKUP(N709,VOL_REC[],2,FALSE),0)</f>
        <v>0</v>
      </c>
      <c r="BE709" s="246">
        <f>IFERROR(VLOOKUP(O709,VOL_REC[],2,FALSE),0)</f>
        <v>0</v>
      </c>
      <c r="BF709" s="246">
        <f>IFERROR(VLOOKUP(P709,VOL_REC[],2,FALSE),0)</f>
        <v>0</v>
      </c>
      <c r="BG709" s="246">
        <f>IFERROR(VLOOKUP(Q709,VOL_REC[],2,FALSE),0)</f>
        <v>0</v>
      </c>
      <c r="BH709" s="1710">
        <f t="shared" si="44"/>
        <v>18530157477.007904</v>
      </c>
      <c r="BI709" s="1710">
        <f t="shared" si="45"/>
        <v>21833028139.419178</v>
      </c>
      <c r="BJ709" s="1711">
        <f t="shared" si="46"/>
        <v>17522456.550000001</v>
      </c>
      <c r="BK709" s="1711">
        <f t="shared" si="47"/>
        <v>0.84872136648566876</v>
      </c>
    </row>
    <row r="710" spans="3:67" x14ac:dyDescent="0.25">
      <c r="C710" s="246" t="s">
        <v>2060</v>
      </c>
      <c r="D710" s="246">
        <v>1</v>
      </c>
      <c r="E710" s="246">
        <v>2</v>
      </c>
      <c r="F710" s="246">
        <v>3</v>
      </c>
      <c r="G710" s="246">
        <v>4</v>
      </c>
      <c r="H710" s="246">
        <v>9</v>
      </c>
      <c r="I710" s="246">
        <v>10</v>
      </c>
      <c r="J710" s="246">
        <v>13</v>
      </c>
      <c r="K710" s="246">
        <v>16</v>
      </c>
      <c r="L710" s="246"/>
      <c r="M710" s="246"/>
      <c r="N710" s="246"/>
      <c r="O710" s="246"/>
      <c r="P710" s="246"/>
      <c r="Q710" s="246"/>
      <c r="R710" s="246">
        <f>IFERROR(VLOOKUP(D710,PROGRAMAS[],2,FALSE),0)</f>
        <v>97037803.679377079</v>
      </c>
      <c r="S710" s="246">
        <f>IFERROR(VLOOKUP(E710,PROGRAMAS[],2,FALSE),0)</f>
        <v>640501509.6821388</v>
      </c>
      <c r="T710" s="246">
        <f>IFERROR(VLOOKUP(F710,PROGRAMAS[],2,FALSE),0)</f>
        <v>3062327798.1525245</v>
      </c>
      <c r="U710" s="246">
        <f>IFERROR(VLOOKUP(G710,PROGRAMAS[],2,FALSE),0)</f>
        <v>67697118.033011258</v>
      </c>
      <c r="V710" s="246">
        <f>IFERROR(VLOOKUP(H710,PROGRAMAS[],2,FALSE),0)</f>
        <v>6128579952.1618185</v>
      </c>
      <c r="W710" s="246">
        <f>IFERROR(VLOOKUP(I710,PROGRAMAS[],2,FALSE),0)</f>
        <v>4635315027.8751087</v>
      </c>
      <c r="X710" s="246">
        <f>IFERROR(VLOOKUP(J710,PROGRAMAS[],2,FALSE),0)</f>
        <v>3776538594.4604583</v>
      </c>
      <c r="Y710" s="246">
        <f>IFERROR(VLOOKUP(K710,PROGRAMAS[],2,FALSE),0)</f>
        <v>7068496961.0436354</v>
      </c>
      <c r="Z710" s="246">
        <f>IFERROR(VLOOKUP(L710,PROGRAMAS[],2,FALSE),0)</f>
        <v>0</v>
      </c>
      <c r="AA710" s="246">
        <f>IFERROR(VLOOKUP(M710,PROGRAMAS[],2,FALSE),0)</f>
        <v>0</v>
      </c>
      <c r="AB710" s="246">
        <f>IFERROR(VLOOKUP(N710,PROGRAMAS[],2,FALSE),0)</f>
        <v>0</v>
      </c>
      <c r="AC710" s="246">
        <f>IFERROR(VLOOKUP(O710,PROGRAMAS[],2,FALSE),0)</f>
        <v>0</v>
      </c>
      <c r="AD710" s="246">
        <f>IFERROR(VLOOKUP(P710,PROGRAMAS[],2,FALSE),0)</f>
        <v>0</v>
      </c>
      <c r="AE710" s="246">
        <f>IFERROR(VLOOKUP(Q710,PROGRAMAS[],2,FALSE),0)</f>
        <v>0</v>
      </c>
      <c r="AF710" s="246">
        <f>IFERROR(VLOOKUP(D710,PROGRAMAS[],3,FALSE),0)</f>
        <v>841888629.31080008</v>
      </c>
      <c r="AG710" s="246">
        <f>IFERROR(VLOOKUP(E710,PROGRAMAS[],3,FALSE),0)</f>
        <v>3848980803.1642323</v>
      </c>
      <c r="AH710" s="246">
        <f>IFERROR(VLOOKUP(F710,PROGRAMAS[],3,FALSE),0)</f>
        <v>3394901471.387517</v>
      </c>
      <c r="AI710" s="246">
        <f>IFERROR(VLOOKUP(G710,PROGRAMAS[],3,FALSE),0)</f>
        <v>125317226.95549992</v>
      </c>
      <c r="AJ710" s="246">
        <f>IFERROR(VLOOKUP(H710,PROGRAMAS[],3,FALSE),0)</f>
        <v>7011279577.519702</v>
      </c>
      <c r="AK710" s="246">
        <f>IFERROR(VLOOKUP(I710,PROGRAMAS[],3,FALSE),0)</f>
        <v>4099471734.9978786</v>
      </c>
      <c r="AL710" s="246">
        <f>IFERROR(VLOOKUP(J710,PROGRAMAS[],3,FALSE),0)</f>
        <v>2392571243.5584412</v>
      </c>
      <c r="AM710" s="246">
        <f>IFERROR(VLOOKUP(K710,PROGRAMAS[],3,FALSE),0)</f>
        <v>2406564599.0319901</v>
      </c>
      <c r="AN710" s="246">
        <f>IFERROR(VLOOKUP(L710,PROGRAMAS[],3,FALSE),0)</f>
        <v>0</v>
      </c>
      <c r="AO710" s="246">
        <f>IFERROR(VLOOKUP(M710,PROGRAMAS[],3,FALSE),0)</f>
        <v>0</v>
      </c>
      <c r="AP710" s="246">
        <f>IFERROR(VLOOKUP(N710,PROGRAMAS[],3,FALSE),0)</f>
        <v>0</v>
      </c>
      <c r="AQ710" s="246">
        <f>IFERROR(VLOOKUP(O710,PROGRAMAS[],3,FALSE),0)</f>
        <v>0</v>
      </c>
      <c r="AR710" s="246">
        <f>IFERROR(VLOOKUP(P710,PROGRAMAS[],3,FALSE),0)</f>
        <v>0</v>
      </c>
      <c r="AS710" s="246">
        <f>IFERROR(VLOOKUP(Q710,PROGRAMAS[],3,FALSE),0)</f>
        <v>0</v>
      </c>
      <c r="AT710" s="246">
        <f>IFERROR(VLOOKUP(D710,VOL_REC[],2,FALSE),0)</f>
        <v>0</v>
      </c>
      <c r="AU710" s="246">
        <f>IFERROR(VLOOKUP(E710,VOL_REC[],2,FALSE),0)</f>
        <v>0</v>
      </c>
      <c r="AV710" s="246">
        <f>IFERROR(VLOOKUP(F710,VOL_REC[],2,FALSE),0)</f>
        <v>11089674.200000001</v>
      </c>
      <c r="AW710" s="246">
        <f>IFERROR(VLOOKUP(G710,VOL_REC[],2,FALSE),0)</f>
        <v>90439.55</v>
      </c>
      <c r="AX710" s="246">
        <f>IFERROR(VLOOKUP(H710,VOL_REC[],2,FALSE),0)</f>
        <v>3761786</v>
      </c>
      <c r="AY710" s="246">
        <f>IFERROR(VLOOKUP(I710,VOL_REC[],2,FALSE),0)</f>
        <v>1812240</v>
      </c>
      <c r="AZ710" s="246">
        <f>IFERROR(VLOOKUP(J710,VOL_REC[],2,FALSE),0)</f>
        <v>663244.80000000016</v>
      </c>
      <c r="BA710" s="246">
        <f>IFERROR(VLOOKUP(K710,VOL_REC[],2,FALSE),0)</f>
        <v>1072354.9981737854</v>
      </c>
      <c r="BB710" s="246">
        <f>IFERROR(VLOOKUP(L710,VOL_REC[],2,FALSE),0)</f>
        <v>0</v>
      </c>
      <c r="BC710" s="246">
        <f>IFERROR(VLOOKUP(M710,VOL_REC[],2,FALSE),0)</f>
        <v>0</v>
      </c>
      <c r="BD710" s="246">
        <f>IFERROR(VLOOKUP(N710,VOL_REC[],2,FALSE),0)</f>
        <v>0</v>
      </c>
      <c r="BE710" s="246">
        <f>IFERROR(VLOOKUP(O710,VOL_REC[],2,FALSE),0)</f>
        <v>0</v>
      </c>
      <c r="BF710" s="246">
        <f>IFERROR(VLOOKUP(P710,VOL_REC[],2,FALSE),0)</f>
        <v>0</v>
      </c>
      <c r="BG710" s="246">
        <f>IFERROR(VLOOKUP(Q710,VOL_REC[],2,FALSE),0)</f>
        <v>0</v>
      </c>
      <c r="BH710" s="1710">
        <f t="shared" si="44"/>
        <v>25476494765.088074</v>
      </c>
      <c r="BI710" s="1710">
        <f t="shared" si="45"/>
        <v>24120975285.92606</v>
      </c>
      <c r="BJ710" s="1711">
        <f t="shared" si="46"/>
        <v>18489739.548173785</v>
      </c>
      <c r="BK710" s="1711">
        <f t="shared" si="47"/>
        <v>1.0561967110821147</v>
      </c>
      <c r="BL710">
        <f>BJ710</f>
        <v>18489739.548173785</v>
      </c>
      <c r="BO710">
        <f>BL710</f>
        <v>18489739.548173785</v>
      </c>
    </row>
    <row r="711" spans="3:67" x14ac:dyDescent="0.25">
      <c r="C711" s="246" t="s">
        <v>2061</v>
      </c>
      <c r="D711" s="246">
        <v>1</v>
      </c>
      <c r="E711" s="246">
        <v>2</v>
      </c>
      <c r="F711" s="246">
        <v>3</v>
      </c>
      <c r="G711" s="246">
        <v>4</v>
      </c>
      <c r="H711" s="246">
        <v>9</v>
      </c>
      <c r="I711" s="246">
        <v>10</v>
      </c>
      <c r="J711" s="246">
        <v>13</v>
      </c>
      <c r="K711" s="246">
        <v>17</v>
      </c>
      <c r="L711" s="246"/>
      <c r="M711" s="246"/>
      <c r="N711" s="246"/>
      <c r="O711" s="246"/>
      <c r="P711" s="246"/>
      <c r="Q711" s="246"/>
      <c r="R711" s="246">
        <f>IFERROR(VLOOKUP(D711,PROGRAMAS[],2,FALSE),0)</f>
        <v>97037803.679377079</v>
      </c>
      <c r="S711" s="246">
        <f>IFERROR(VLOOKUP(E711,PROGRAMAS[],2,FALSE),0)</f>
        <v>640501509.6821388</v>
      </c>
      <c r="T711" s="246">
        <f>IFERROR(VLOOKUP(F711,PROGRAMAS[],2,FALSE),0)</f>
        <v>3062327798.1525245</v>
      </c>
      <c r="U711" s="246">
        <f>IFERROR(VLOOKUP(G711,PROGRAMAS[],2,FALSE),0)</f>
        <v>67697118.033011258</v>
      </c>
      <c r="V711" s="246">
        <f>IFERROR(VLOOKUP(H711,PROGRAMAS[],2,FALSE),0)</f>
        <v>6128579952.1618185</v>
      </c>
      <c r="W711" s="246">
        <f>IFERROR(VLOOKUP(I711,PROGRAMAS[],2,FALSE),0)</f>
        <v>4635315027.8751087</v>
      </c>
      <c r="X711" s="246">
        <f>IFERROR(VLOOKUP(J711,PROGRAMAS[],2,FALSE),0)</f>
        <v>3776538594.4604583</v>
      </c>
      <c r="Y711" s="246">
        <f>IFERROR(VLOOKUP(K711,PROGRAMAS[],2,FALSE),0)</f>
        <v>1892779498.5211046</v>
      </c>
      <c r="Z711" s="246">
        <f>IFERROR(VLOOKUP(L711,PROGRAMAS[],2,FALSE),0)</f>
        <v>0</v>
      </c>
      <c r="AA711" s="246">
        <f>IFERROR(VLOOKUP(M711,PROGRAMAS[],2,FALSE),0)</f>
        <v>0</v>
      </c>
      <c r="AB711" s="246">
        <f>IFERROR(VLOOKUP(N711,PROGRAMAS[],2,FALSE),0)</f>
        <v>0</v>
      </c>
      <c r="AC711" s="246">
        <f>IFERROR(VLOOKUP(O711,PROGRAMAS[],2,FALSE),0)</f>
        <v>0</v>
      </c>
      <c r="AD711" s="246">
        <f>IFERROR(VLOOKUP(P711,PROGRAMAS[],2,FALSE),0)</f>
        <v>0</v>
      </c>
      <c r="AE711" s="246">
        <f>IFERROR(VLOOKUP(Q711,PROGRAMAS[],2,FALSE),0)</f>
        <v>0</v>
      </c>
      <c r="AF711" s="246">
        <f>IFERROR(VLOOKUP(D711,PROGRAMAS[],3,FALSE),0)</f>
        <v>841888629.31080008</v>
      </c>
      <c r="AG711" s="246">
        <f>IFERROR(VLOOKUP(E711,PROGRAMAS[],3,FALSE),0)</f>
        <v>3848980803.1642323</v>
      </c>
      <c r="AH711" s="246">
        <f>IFERROR(VLOOKUP(F711,PROGRAMAS[],3,FALSE),0)</f>
        <v>3394901471.387517</v>
      </c>
      <c r="AI711" s="246">
        <f>IFERROR(VLOOKUP(G711,PROGRAMAS[],3,FALSE),0)</f>
        <v>125317226.95549992</v>
      </c>
      <c r="AJ711" s="246">
        <f>IFERROR(VLOOKUP(H711,PROGRAMAS[],3,FALSE),0)</f>
        <v>7011279577.519702</v>
      </c>
      <c r="AK711" s="246">
        <f>IFERROR(VLOOKUP(I711,PROGRAMAS[],3,FALSE),0)</f>
        <v>4099471734.9978786</v>
      </c>
      <c r="AL711" s="246">
        <f>IFERROR(VLOOKUP(J711,PROGRAMAS[],3,FALSE),0)</f>
        <v>2392571243.5584412</v>
      </c>
      <c r="AM711" s="246">
        <f>IFERROR(VLOOKUP(K711,PROGRAMAS[],3,FALSE),0)</f>
        <v>948595847.09039903</v>
      </c>
      <c r="AN711" s="246">
        <f>IFERROR(VLOOKUP(L711,PROGRAMAS[],3,FALSE),0)</f>
        <v>0</v>
      </c>
      <c r="AO711" s="246">
        <f>IFERROR(VLOOKUP(M711,PROGRAMAS[],3,FALSE),0)</f>
        <v>0</v>
      </c>
      <c r="AP711" s="246">
        <f>IFERROR(VLOOKUP(N711,PROGRAMAS[],3,FALSE),0)</f>
        <v>0</v>
      </c>
      <c r="AQ711" s="246">
        <f>IFERROR(VLOOKUP(O711,PROGRAMAS[],3,FALSE),0)</f>
        <v>0</v>
      </c>
      <c r="AR711" s="246">
        <f>IFERROR(VLOOKUP(P711,PROGRAMAS[],3,FALSE),0)</f>
        <v>0</v>
      </c>
      <c r="AS711" s="246">
        <f>IFERROR(VLOOKUP(Q711,PROGRAMAS[],3,FALSE),0)</f>
        <v>0</v>
      </c>
      <c r="AT711" s="246">
        <f>IFERROR(VLOOKUP(D711,VOL_REC[],2,FALSE),0)</f>
        <v>0</v>
      </c>
      <c r="AU711" s="246">
        <f>IFERROR(VLOOKUP(E711,VOL_REC[],2,FALSE),0)</f>
        <v>0</v>
      </c>
      <c r="AV711" s="246">
        <f>IFERROR(VLOOKUP(F711,VOL_REC[],2,FALSE),0)</f>
        <v>11089674.200000001</v>
      </c>
      <c r="AW711" s="246">
        <f>IFERROR(VLOOKUP(G711,VOL_REC[],2,FALSE),0)</f>
        <v>90439.55</v>
      </c>
      <c r="AX711" s="246">
        <f>IFERROR(VLOOKUP(H711,VOL_REC[],2,FALSE),0)</f>
        <v>3761786</v>
      </c>
      <c r="AY711" s="246">
        <f>IFERROR(VLOOKUP(I711,VOL_REC[],2,FALSE),0)</f>
        <v>1812240</v>
      </c>
      <c r="AZ711" s="246">
        <f>IFERROR(VLOOKUP(J711,VOL_REC[],2,FALSE),0)</f>
        <v>663244.80000000016</v>
      </c>
      <c r="BA711" s="246">
        <f>IFERROR(VLOOKUP(K711,VOL_REC[],2,FALSE),0)</f>
        <v>740113.98115702497</v>
      </c>
      <c r="BB711" s="246">
        <f>IFERROR(VLOOKUP(L711,VOL_REC[],2,FALSE),0)</f>
        <v>0</v>
      </c>
      <c r="BC711" s="246">
        <f>IFERROR(VLOOKUP(M711,VOL_REC[],2,FALSE),0)</f>
        <v>0</v>
      </c>
      <c r="BD711" s="246">
        <f>IFERROR(VLOOKUP(N711,VOL_REC[],2,FALSE),0)</f>
        <v>0</v>
      </c>
      <c r="BE711" s="246">
        <f>IFERROR(VLOOKUP(O711,VOL_REC[],2,FALSE),0)</f>
        <v>0</v>
      </c>
      <c r="BF711" s="246">
        <f>IFERROR(VLOOKUP(P711,VOL_REC[],2,FALSE),0)</f>
        <v>0</v>
      </c>
      <c r="BG711" s="246">
        <f>IFERROR(VLOOKUP(Q711,VOL_REC[],2,FALSE),0)</f>
        <v>0</v>
      </c>
      <c r="BH711" s="1710">
        <f t="shared" si="44"/>
        <v>20300777302.56554</v>
      </c>
      <c r="BI711" s="1710">
        <f t="shared" si="45"/>
        <v>22663006533.98447</v>
      </c>
      <c r="BJ711" s="1711">
        <f t="shared" si="46"/>
        <v>18157498.531157024</v>
      </c>
      <c r="BK711" s="1711">
        <f t="shared" si="47"/>
        <v>0.89576717335025113</v>
      </c>
    </row>
    <row r="712" spans="3:67" x14ac:dyDescent="0.25">
      <c r="C712" s="246" t="s">
        <v>2062</v>
      </c>
      <c r="D712" s="246">
        <v>1</v>
      </c>
      <c r="E712" s="246">
        <v>2</v>
      </c>
      <c r="F712" s="246">
        <v>3</v>
      </c>
      <c r="G712" s="246">
        <v>4</v>
      </c>
      <c r="H712" s="246">
        <v>9</v>
      </c>
      <c r="I712" s="246">
        <v>10</v>
      </c>
      <c r="J712" s="246">
        <v>14</v>
      </c>
      <c r="K712" s="246">
        <v>15</v>
      </c>
      <c r="L712" s="246"/>
      <c r="M712" s="246"/>
      <c r="N712" s="246"/>
      <c r="O712" s="246"/>
      <c r="P712" s="246"/>
      <c r="Q712" s="246"/>
      <c r="R712" s="246">
        <f>IFERROR(VLOOKUP(D712,PROGRAMAS[],2,FALSE),0)</f>
        <v>97037803.679377079</v>
      </c>
      <c r="S712" s="246">
        <f>IFERROR(VLOOKUP(E712,PROGRAMAS[],2,FALSE),0)</f>
        <v>640501509.6821388</v>
      </c>
      <c r="T712" s="246">
        <f>IFERROR(VLOOKUP(F712,PROGRAMAS[],2,FALSE),0)</f>
        <v>3062327798.1525245</v>
      </c>
      <c r="U712" s="246">
        <f>IFERROR(VLOOKUP(G712,PROGRAMAS[],2,FALSE),0)</f>
        <v>67697118.033011258</v>
      </c>
      <c r="V712" s="246">
        <f>IFERROR(VLOOKUP(H712,PROGRAMAS[],2,FALSE),0)</f>
        <v>6128579952.1618185</v>
      </c>
      <c r="W712" s="246">
        <f>IFERROR(VLOOKUP(I712,PROGRAMAS[],2,FALSE),0)</f>
        <v>4635315027.8751087</v>
      </c>
      <c r="X712" s="246">
        <f>IFERROR(VLOOKUP(J712,PROGRAMAS[],2,FALSE),0)</f>
        <v>54223862.645839565</v>
      </c>
      <c r="Y712" s="246">
        <f>IFERROR(VLOOKUP(K712,PROGRAMAS[],2,FALSE),0)</f>
        <v>122159672.96346797</v>
      </c>
      <c r="Z712" s="246">
        <f>IFERROR(VLOOKUP(L712,PROGRAMAS[],2,FALSE),0)</f>
        <v>0</v>
      </c>
      <c r="AA712" s="246">
        <f>IFERROR(VLOOKUP(M712,PROGRAMAS[],2,FALSE),0)</f>
        <v>0</v>
      </c>
      <c r="AB712" s="246">
        <f>IFERROR(VLOOKUP(N712,PROGRAMAS[],2,FALSE),0)</f>
        <v>0</v>
      </c>
      <c r="AC712" s="246">
        <f>IFERROR(VLOOKUP(O712,PROGRAMAS[],2,FALSE),0)</f>
        <v>0</v>
      </c>
      <c r="AD712" s="246">
        <f>IFERROR(VLOOKUP(P712,PROGRAMAS[],2,FALSE),0)</f>
        <v>0</v>
      </c>
      <c r="AE712" s="246">
        <f>IFERROR(VLOOKUP(Q712,PROGRAMAS[],2,FALSE),0)</f>
        <v>0</v>
      </c>
      <c r="AF712" s="246">
        <f>IFERROR(VLOOKUP(D712,PROGRAMAS[],3,FALSE),0)</f>
        <v>841888629.31080008</v>
      </c>
      <c r="AG712" s="246">
        <f>IFERROR(VLOOKUP(E712,PROGRAMAS[],3,FALSE),0)</f>
        <v>3848980803.1642323</v>
      </c>
      <c r="AH712" s="246">
        <f>IFERROR(VLOOKUP(F712,PROGRAMAS[],3,FALSE),0)</f>
        <v>3394901471.387517</v>
      </c>
      <c r="AI712" s="246">
        <f>IFERROR(VLOOKUP(G712,PROGRAMAS[],3,FALSE),0)</f>
        <v>125317226.95549992</v>
      </c>
      <c r="AJ712" s="246">
        <f>IFERROR(VLOOKUP(H712,PROGRAMAS[],3,FALSE),0)</f>
        <v>7011279577.519702</v>
      </c>
      <c r="AK712" s="246">
        <f>IFERROR(VLOOKUP(I712,PROGRAMAS[],3,FALSE),0)</f>
        <v>4099471734.9978786</v>
      </c>
      <c r="AL712" s="246">
        <f>IFERROR(VLOOKUP(J712,PROGRAMAS[],3,FALSE),0)</f>
        <v>31865326.38096505</v>
      </c>
      <c r="AM712" s="246">
        <f>IFERROR(VLOOKUP(K712,PROGRAMAS[],3,FALSE),0)</f>
        <v>118617452.52510804</v>
      </c>
      <c r="AN712" s="246">
        <f>IFERROR(VLOOKUP(L712,PROGRAMAS[],3,FALSE),0)</f>
        <v>0</v>
      </c>
      <c r="AO712" s="246">
        <f>IFERROR(VLOOKUP(M712,PROGRAMAS[],3,FALSE),0)</f>
        <v>0</v>
      </c>
      <c r="AP712" s="246">
        <f>IFERROR(VLOOKUP(N712,PROGRAMAS[],3,FALSE),0)</f>
        <v>0</v>
      </c>
      <c r="AQ712" s="246">
        <f>IFERROR(VLOOKUP(O712,PROGRAMAS[],3,FALSE),0)</f>
        <v>0</v>
      </c>
      <c r="AR712" s="246">
        <f>IFERROR(VLOOKUP(P712,PROGRAMAS[],3,FALSE),0)</f>
        <v>0</v>
      </c>
      <c r="AS712" s="246">
        <f>IFERROR(VLOOKUP(Q712,PROGRAMAS[],3,FALSE),0)</f>
        <v>0</v>
      </c>
      <c r="AT712" s="246">
        <f>IFERROR(VLOOKUP(D712,VOL_REC[],2,FALSE),0)</f>
        <v>0</v>
      </c>
      <c r="AU712" s="246">
        <f>IFERROR(VLOOKUP(E712,VOL_REC[],2,FALSE),0)</f>
        <v>0</v>
      </c>
      <c r="AV712" s="246">
        <f>IFERROR(VLOOKUP(F712,VOL_REC[],2,FALSE),0)</f>
        <v>11089674.200000001</v>
      </c>
      <c r="AW712" s="246">
        <f>IFERROR(VLOOKUP(G712,VOL_REC[],2,FALSE),0)</f>
        <v>90439.55</v>
      </c>
      <c r="AX712" s="246">
        <f>IFERROR(VLOOKUP(H712,VOL_REC[],2,FALSE),0)</f>
        <v>3761786</v>
      </c>
      <c r="AY712" s="246">
        <f>IFERROR(VLOOKUP(I712,VOL_REC[],2,FALSE),0)</f>
        <v>1812240</v>
      </c>
      <c r="AZ712" s="246">
        <f>IFERROR(VLOOKUP(J712,VOL_REC[],2,FALSE),0)</f>
        <v>17074.045034105649</v>
      </c>
      <c r="BA712" s="246">
        <f>IFERROR(VLOOKUP(K712,VOL_REC[],2,FALSE),0)</f>
        <v>105072</v>
      </c>
      <c r="BB712" s="246">
        <f>IFERROR(VLOOKUP(L712,VOL_REC[],2,FALSE),0)</f>
        <v>0</v>
      </c>
      <c r="BC712" s="246">
        <f>IFERROR(VLOOKUP(M712,VOL_REC[],2,FALSE),0)</f>
        <v>0</v>
      </c>
      <c r="BD712" s="246">
        <f>IFERROR(VLOOKUP(N712,VOL_REC[],2,FALSE),0)</f>
        <v>0</v>
      </c>
      <c r="BE712" s="246">
        <f>IFERROR(VLOOKUP(O712,VOL_REC[],2,FALSE),0)</f>
        <v>0</v>
      </c>
      <c r="BF712" s="246">
        <f>IFERROR(VLOOKUP(P712,VOL_REC[],2,FALSE),0)</f>
        <v>0</v>
      </c>
      <c r="BG712" s="246">
        <f>IFERROR(VLOOKUP(Q712,VOL_REC[],2,FALSE),0)</f>
        <v>0</v>
      </c>
      <c r="BH712" s="1710">
        <f t="shared" si="44"/>
        <v>14807842745.193287</v>
      </c>
      <c r="BI712" s="1710">
        <f t="shared" si="45"/>
        <v>19472322222.241703</v>
      </c>
      <c r="BJ712" s="1711">
        <f t="shared" si="46"/>
        <v>16876285.795034107</v>
      </c>
      <c r="BK712" s="1711">
        <f t="shared" si="47"/>
        <v>0.76045592180471688</v>
      </c>
    </row>
    <row r="713" spans="3:67" x14ac:dyDescent="0.25">
      <c r="C713" s="246" t="s">
        <v>2063</v>
      </c>
      <c r="D713" s="246">
        <v>1</v>
      </c>
      <c r="E713" s="246">
        <v>2</v>
      </c>
      <c r="F713" s="246">
        <v>3</v>
      </c>
      <c r="G713" s="246">
        <v>4</v>
      </c>
      <c r="H713" s="246">
        <v>9</v>
      </c>
      <c r="I713" s="246">
        <v>10</v>
      </c>
      <c r="J713" s="246">
        <v>14</v>
      </c>
      <c r="K713" s="246">
        <v>16</v>
      </c>
      <c r="L713" s="246"/>
      <c r="M713" s="246"/>
      <c r="N713" s="246"/>
      <c r="O713" s="246"/>
      <c r="P713" s="246"/>
      <c r="Q713" s="246"/>
      <c r="R713" s="246">
        <f>IFERROR(VLOOKUP(D713,PROGRAMAS[],2,FALSE),0)</f>
        <v>97037803.679377079</v>
      </c>
      <c r="S713" s="246">
        <f>IFERROR(VLOOKUP(E713,PROGRAMAS[],2,FALSE),0)</f>
        <v>640501509.6821388</v>
      </c>
      <c r="T713" s="246">
        <f>IFERROR(VLOOKUP(F713,PROGRAMAS[],2,FALSE),0)</f>
        <v>3062327798.1525245</v>
      </c>
      <c r="U713" s="246">
        <f>IFERROR(VLOOKUP(G713,PROGRAMAS[],2,FALSE),0)</f>
        <v>67697118.033011258</v>
      </c>
      <c r="V713" s="246">
        <f>IFERROR(VLOOKUP(H713,PROGRAMAS[],2,FALSE),0)</f>
        <v>6128579952.1618185</v>
      </c>
      <c r="W713" s="246">
        <f>IFERROR(VLOOKUP(I713,PROGRAMAS[],2,FALSE),0)</f>
        <v>4635315027.8751087</v>
      </c>
      <c r="X713" s="246">
        <f>IFERROR(VLOOKUP(J713,PROGRAMAS[],2,FALSE),0)</f>
        <v>54223862.645839565</v>
      </c>
      <c r="Y713" s="246">
        <f>IFERROR(VLOOKUP(K713,PROGRAMAS[],2,FALSE),0)</f>
        <v>7068496961.0436354</v>
      </c>
      <c r="Z713" s="246">
        <f>IFERROR(VLOOKUP(L713,PROGRAMAS[],2,FALSE),0)</f>
        <v>0</v>
      </c>
      <c r="AA713" s="246">
        <f>IFERROR(VLOOKUP(M713,PROGRAMAS[],2,FALSE),0)</f>
        <v>0</v>
      </c>
      <c r="AB713" s="246">
        <f>IFERROR(VLOOKUP(N713,PROGRAMAS[],2,FALSE),0)</f>
        <v>0</v>
      </c>
      <c r="AC713" s="246">
        <f>IFERROR(VLOOKUP(O713,PROGRAMAS[],2,FALSE),0)</f>
        <v>0</v>
      </c>
      <c r="AD713" s="246">
        <f>IFERROR(VLOOKUP(P713,PROGRAMAS[],2,FALSE),0)</f>
        <v>0</v>
      </c>
      <c r="AE713" s="246">
        <f>IFERROR(VLOOKUP(Q713,PROGRAMAS[],2,FALSE),0)</f>
        <v>0</v>
      </c>
      <c r="AF713" s="246">
        <f>IFERROR(VLOOKUP(D713,PROGRAMAS[],3,FALSE),0)</f>
        <v>841888629.31080008</v>
      </c>
      <c r="AG713" s="246">
        <f>IFERROR(VLOOKUP(E713,PROGRAMAS[],3,FALSE),0)</f>
        <v>3848980803.1642323</v>
      </c>
      <c r="AH713" s="246">
        <f>IFERROR(VLOOKUP(F713,PROGRAMAS[],3,FALSE),0)</f>
        <v>3394901471.387517</v>
      </c>
      <c r="AI713" s="246">
        <f>IFERROR(VLOOKUP(G713,PROGRAMAS[],3,FALSE),0)</f>
        <v>125317226.95549992</v>
      </c>
      <c r="AJ713" s="246">
        <f>IFERROR(VLOOKUP(H713,PROGRAMAS[],3,FALSE),0)</f>
        <v>7011279577.519702</v>
      </c>
      <c r="AK713" s="246">
        <f>IFERROR(VLOOKUP(I713,PROGRAMAS[],3,FALSE),0)</f>
        <v>4099471734.9978786</v>
      </c>
      <c r="AL713" s="246">
        <f>IFERROR(VLOOKUP(J713,PROGRAMAS[],3,FALSE),0)</f>
        <v>31865326.38096505</v>
      </c>
      <c r="AM713" s="246">
        <f>IFERROR(VLOOKUP(K713,PROGRAMAS[],3,FALSE),0)</f>
        <v>2406564599.0319901</v>
      </c>
      <c r="AN713" s="246">
        <f>IFERROR(VLOOKUP(L713,PROGRAMAS[],3,FALSE),0)</f>
        <v>0</v>
      </c>
      <c r="AO713" s="246">
        <f>IFERROR(VLOOKUP(M713,PROGRAMAS[],3,FALSE),0)</f>
        <v>0</v>
      </c>
      <c r="AP713" s="246">
        <f>IFERROR(VLOOKUP(N713,PROGRAMAS[],3,FALSE),0)</f>
        <v>0</v>
      </c>
      <c r="AQ713" s="246">
        <f>IFERROR(VLOOKUP(O713,PROGRAMAS[],3,FALSE),0)</f>
        <v>0</v>
      </c>
      <c r="AR713" s="246">
        <f>IFERROR(VLOOKUP(P713,PROGRAMAS[],3,FALSE),0)</f>
        <v>0</v>
      </c>
      <c r="AS713" s="246">
        <f>IFERROR(VLOOKUP(Q713,PROGRAMAS[],3,FALSE),0)</f>
        <v>0</v>
      </c>
      <c r="AT713" s="246">
        <f>IFERROR(VLOOKUP(D713,VOL_REC[],2,FALSE),0)</f>
        <v>0</v>
      </c>
      <c r="AU713" s="246">
        <f>IFERROR(VLOOKUP(E713,VOL_REC[],2,FALSE),0)</f>
        <v>0</v>
      </c>
      <c r="AV713" s="246">
        <f>IFERROR(VLOOKUP(F713,VOL_REC[],2,FALSE),0)</f>
        <v>11089674.200000001</v>
      </c>
      <c r="AW713" s="246">
        <f>IFERROR(VLOOKUP(G713,VOL_REC[],2,FALSE),0)</f>
        <v>90439.55</v>
      </c>
      <c r="AX713" s="246">
        <f>IFERROR(VLOOKUP(H713,VOL_REC[],2,FALSE),0)</f>
        <v>3761786</v>
      </c>
      <c r="AY713" s="246">
        <f>IFERROR(VLOOKUP(I713,VOL_REC[],2,FALSE),0)</f>
        <v>1812240</v>
      </c>
      <c r="AZ713" s="246">
        <f>IFERROR(VLOOKUP(J713,VOL_REC[],2,FALSE),0)</f>
        <v>17074.045034105649</v>
      </c>
      <c r="BA713" s="246">
        <f>IFERROR(VLOOKUP(K713,VOL_REC[],2,FALSE),0)</f>
        <v>1072354.9981737854</v>
      </c>
      <c r="BB713" s="246">
        <f>IFERROR(VLOOKUP(L713,VOL_REC[],2,FALSE),0)</f>
        <v>0</v>
      </c>
      <c r="BC713" s="246">
        <f>IFERROR(VLOOKUP(M713,VOL_REC[],2,FALSE),0)</f>
        <v>0</v>
      </c>
      <c r="BD713" s="246">
        <f>IFERROR(VLOOKUP(N713,VOL_REC[],2,FALSE),0)</f>
        <v>0</v>
      </c>
      <c r="BE713" s="246">
        <f>IFERROR(VLOOKUP(O713,VOL_REC[],2,FALSE),0)</f>
        <v>0</v>
      </c>
      <c r="BF713" s="246">
        <f>IFERROR(VLOOKUP(P713,VOL_REC[],2,FALSE),0)</f>
        <v>0</v>
      </c>
      <c r="BG713" s="246">
        <f>IFERROR(VLOOKUP(Q713,VOL_REC[],2,FALSE),0)</f>
        <v>0</v>
      </c>
      <c r="BH713" s="1710">
        <f t="shared" si="44"/>
        <v>21754180033.273453</v>
      </c>
      <c r="BI713" s="1710">
        <f t="shared" si="45"/>
        <v>21760269368.748585</v>
      </c>
      <c r="BJ713" s="1711">
        <f t="shared" si="46"/>
        <v>17843568.793207891</v>
      </c>
      <c r="BK713" s="1711">
        <f t="shared" si="47"/>
        <v>0.99972016267942543</v>
      </c>
    </row>
    <row r="714" spans="3:67" x14ac:dyDescent="0.25">
      <c r="C714" s="246" t="s">
        <v>2064</v>
      </c>
      <c r="D714" s="246">
        <v>1</v>
      </c>
      <c r="E714" s="246">
        <v>2</v>
      </c>
      <c r="F714" s="246">
        <v>3</v>
      </c>
      <c r="G714" s="246">
        <v>4</v>
      </c>
      <c r="H714" s="246">
        <v>9</v>
      </c>
      <c r="I714" s="246">
        <v>10</v>
      </c>
      <c r="J714" s="246">
        <v>14</v>
      </c>
      <c r="K714" s="246">
        <v>17</v>
      </c>
      <c r="L714" s="246"/>
      <c r="M714" s="246"/>
      <c r="N714" s="246"/>
      <c r="O714" s="246"/>
      <c r="P714" s="246"/>
      <c r="Q714" s="246"/>
      <c r="R714" s="246">
        <f>IFERROR(VLOOKUP(D714,PROGRAMAS[],2,FALSE),0)</f>
        <v>97037803.679377079</v>
      </c>
      <c r="S714" s="246">
        <f>IFERROR(VLOOKUP(E714,PROGRAMAS[],2,FALSE),0)</f>
        <v>640501509.6821388</v>
      </c>
      <c r="T714" s="246">
        <f>IFERROR(VLOOKUP(F714,PROGRAMAS[],2,FALSE),0)</f>
        <v>3062327798.1525245</v>
      </c>
      <c r="U714" s="246">
        <f>IFERROR(VLOOKUP(G714,PROGRAMAS[],2,FALSE),0)</f>
        <v>67697118.033011258</v>
      </c>
      <c r="V714" s="246">
        <f>IFERROR(VLOOKUP(H714,PROGRAMAS[],2,FALSE),0)</f>
        <v>6128579952.1618185</v>
      </c>
      <c r="W714" s="246">
        <f>IFERROR(VLOOKUP(I714,PROGRAMAS[],2,FALSE),0)</f>
        <v>4635315027.8751087</v>
      </c>
      <c r="X714" s="246">
        <f>IFERROR(VLOOKUP(J714,PROGRAMAS[],2,FALSE),0)</f>
        <v>54223862.645839565</v>
      </c>
      <c r="Y714" s="246">
        <f>IFERROR(VLOOKUP(K714,PROGRAMAS[],2,FALSE),0)</f>
        <v>1892779498.5211046</v>
      </c>
      <c r="Z714" s="246">
        <f>IFERROR(VLOOKUP(L714,PROGRAMAS[],2,FALSE),0)</f>
        <v>0</v>
      </c>
      <c r="AA714" s="246">
        <f>IFERROR(VLOOKUP(M714,PROGRAMAS[],2,FALSE),0)</f>
        <v>0</v>
      </c>
      <c r="AB714" s="246">
        <f>IFERROR(VLOOKUP(N714,PROGRAMAS[],2,FALSE),0)</f>
        <v>0</v>
      </c>
      <c r="AC714" s="246">
        <f>IFERROR(VLOOKUP(O714,PROGRAMAS[],2,FALSE),0)</f>
        <v>0</v>
      </c>
      <c r="AD714" s="246">
        <f>IFERROR(VLOOKUP(P714,PROGRAMAS[],2,FALSE),0)</f>
        <v>0</v>
      </c>
      <c r="AE714" s="246">
        <f>IFERROR(VLOOKUP(Q714,PROGRAMAS[],2,FALSE),0)</f>
        <v>0</v>
      </c>
      <c r="AF714" s="246">
        <f>IFERROR(VLOOKUP(D714,PROGRAMAS[],3,FALSE),0)</f>
        <v>841888629.31080008</v>
      </c>
      <c r="AG714" s="246">
        <f>IFERROR(VLOOKUP(E714,PROGRAMAS[],3,FALSE),0)</f>
        <v>3848980803.1642323</v>
      </c>
      <c r="AH714" s="246">
        <f>IFERROR(VLOOKUP(F714,PROGRAMAS[],3,FALSE),0)</f>
        <v>3394901471.387517</v>
      </c>
      <c r="AI714" s="246">
        <f>IFERROR(VLOOKUP(G714,PROGRAMAS[],3,FALSE),0)</f>
        <v>125317226.95549992</v>
      </c>
      <c r="AJ714" s="246">
        <f>IFERROR(VLOOKUP(H714,PROGRAMAS[],3,FALSE),0)</f>
        <v>7011279577.519702</v>
      </c>
      <c r="AK714" s="246">
        <f>IFERROR(VLOOKUP(I714,PROGRAMAS[],3,FALSE),0)</f>
        <v>4099471734.9978786</v>
      </c>
      <c r="AL714" s="246">
        <f>IFERROR(VLOOKUP(J714,PROGRAMAS[],3,FALSE),0)</f>
        <v>31865326.38096505</v>
      </c>
      <c r="AM714" s="246">
        <f>IFERROR(VLOOKUP(K714,PROGRAMAS[],3,FALSE),0)</f>
        <v>948595847.09039903</v>
      </c>
      <c r="AN714" s="246">
        <f>IFERROR(VLOOKUP(L714,PROGRAMAS[],3,FALSE),0)</f>
        <v>0</v>
      </c>
      <c r="AO714" s="246">
        <f>IFERROR(VLOOKUP(M714,PROGRAMAS[],3,FALSE),0)</f>
        <v>0</v>
      </c>
      <c r="AP714" s="246">
        <f>IFERROR(VLOOKUP(N714,PROGRAMAS[],3,FALSE),0)</f>
        <v>0</v>
      </c>
      <c r="AQ714" s="246">
        <f>IFERROR(VLOOKUP(O714,PROGRAMAS[],3,FALSE),0)</f>
        <v>0</v>
      </c>
      <c r="AR714" s="246">
        <f>IFERROR(VLOOKUP(P714,PROGRAMAS[],3,FALSE),0)</f>
        <v>0</v>
      </c>
      <c r="AS714" s="246">
        <f>IFERROR(VLOOKUP(Q714,PROGRAMAS[],3,FALSE),0)</f>
        <v>0</v>
      </c>
      <c r="AT714" s="246">
        <f>IFERROR(VLOOKUP(D714,VOL_REC[],2,FALSE),0)</f>
        <v>0</v>
      </c>
      <c r="AU714" s="246">
        <f>IFERROR(VLOOKUP(E714,VOL_REC[],2,FALSE),0)</f>
        <v>0</v>
      </c>
      <c r="AV714" s="246">
        <f>IFERROR(VLOOKUP(F714,VOL_REC[],2,FALSE),0)</f>
        <v>11089674.200000001</v>
      </c>
      <c r="AW714" s="246">
        <f>IFERROR(VLOOKUP(G714,VOL_REC[],2,FALSE),0)</f>
        <v>90439.55</v>
      </c>
      <c r="AX714" s="246">
        <f>IFERROR(VLOOKUP(H714,VOL_REC[],2,FALSE),0)</f>
        <v>3761786</v>
      </c>
      <c r="AY714" s="246">
        <f>IFERROR(VLOOKUP(I714,VOL_REC[],2,FALSE),0)</f>
        <v>1812240</v>
      </c>
      <c r="AZ714" s="246">
        <f>IFERROR(VLOOKUP(J714,VOL_REC[],2,FALSE),0)</f>
        <v>17074.045034105649</v>
      </c>
      <c r="BA714" s="246">
        <f>IFERROR(VLOOKUP(K714,VOL_REC[],2,FALSE),0)</f>
        <v>740113.98115702497</v>
      </c>
      <c r="BB714" s="246">
        <f>IFERROR(VLOOKUP(L714,VOL_REC[],2,FALSE),0)</f>
        <v>0</v>
      </c>
      <c r="BC714" s="246">
        <f>IFERROR(VLOOKUP(M714,VOL_REC[],2,FALSE),0)</f>
        <v>0</v>
      </c>
      <c r="BD714" s="246">
        <f>IFERROR(VLOOKUP(N714,VOL_REC[],2,FALSE),0)</f>
        <v>0</v>
      </c>
      <c r="BE714" s="246">
        <f>IFERROR(VLOOKUP(O714,VOL_REC[],2,FALSE),0)</f>
        <v>0</v>
      </c>
      <c r="BF714" s="246">
        <f>IFERROR(VLOOKUP(P714,VOL_REC[],2,FALSE),0)</f>
        <v>0</v>
      </c>
      <c r="BG714" s="246">
        <f>IFERROR(VLOOKUP(Q714,VOL_REC[],2,FALSE),0)</f>
        <v>0</v>
      </c>
      <c r="BH714" s="1710">
        <f t="shared" si="44"/>
        <v>16578462570.750923</v>
      </c>
      <c r="BI714" s="1710">
        <f t="shared" si="45"/>
        <v>20302300616.806995</v>
      </c>
      <c r="BJ714" s="1711">
        <f t="shared" si="46"/>
        <v>17511327.77619113</v>
      </c>
      <c r="BK714" s="1711">
        <f t="shared" si="47"/>
        <v>0.81658048925877191</v>
      </c>
    </row>
    <row r="715" spans="3:67" x14ac:dyDescent="0.25">
      <c r="C715" s="246" t="s">
        <v>2065</v>
      </c>
      <c r="D715" s="246">
        <v>1</v>
      </c>
      <c r="E715" s="246">
        <v>2</v>
      </c>
      <c r="F715" s="246">
        <v>3</v>
      </c>
      <c r="G715" s="246">
        <v>4</v>
      </c>
      <c r="H715" s="246">
        <v>9</v>
      </c>
      <c r="I715" s="246">
        <v>10</v>
      </c>
      <c r="J715" s="246">
        <v>15</v>
      </c>
      <c r="K715" s="246">
        <v>16</v>
      </c>
      <c r="L715" s="246"/>
      <c r="M715" s="246"/>
      <c r="N715" s="246"/>
      <c r="O715" s="246"/>
      <c r="P715" s="246"/>
      <c r="Q715" s="246"/>
      <c r="R715" s="246">
        <f>IFERROR(VLOOKUP(D715,PROGRAMAS[],2,FALSE),0)</f>
        <v>97037803.679377079</v>
      </c>
      <c r="S715" s="246">
        <f>IFERROR(VLOOKUP(E715,PROGRAMAS[],2,FALSE),0)</f>
        <v>640501509.6821388</v>
      </c>
      <c r="T715" s="246">
        <f>IFERROR(VLOOKUP(F715,PROGRAMAS[],2,FALSE),0)</f>
        <v>3062327798.1525245</v>
      </c>
      <c r="U715" s="246">
        <f>IFERROR(VLOOKUP(G715,PROGRAMAS[],2,FALSE),0)</f>
        <v>67697118.033011258</v>
      </c>
      <c r="V715" s="246">
        <f>IFERROR(VLOOKUP(H715,PROGRAMAS[],2,FALSE),0)</f>
        <v>6128579952.1618185</v>
      </c>
      <c r="W715" s="246">
        <f>IFERROR(VLOOKUP(I715,PROGRAMAS[],2,FALSE),0)</f>
        <v>4635315027.8751087</v>
      </c>
      <c r="X715" s="246">
        <f>IFERROR(VLOOKUP(J715,PROGRAMAS[],2,FALSE),0)</f>
        <v>122159672.96346797</v>
      </c>
      <c r="Y715" s="246">
        <f>IFERROR(VLOOKUP(K715,PROGRAMAS[],2,FALSE),0)</f>
        <v>7068496961.0436354</v>
      </c>
      <c r="Z715" s="246">
        <f>IFERROR(VLOOKUP(L715,PROGRAMAS[],2,FALSE),0)</f>
        <v>0</v>
      </c>
      <c r="AA715" s="246">
        <f>IFERROR(VLOOKUP(M715,PROGRAMAS[],2,FALSE),0)</f>
        <v>0</v>
      </c>
      <c r="AB715" s="246">
        <f>IFERROR(VLOOKUP(N715,PROGRAMAS[],2,FALSE),0)</f>
        <v>0</v>
      </c>
      <c r="AC715" s="246">
        <f>IFERROR(VLOOKUP(O715,PROGRAMAS[],2,FALSE),0)</f>
        <v>0</v>
      </c>
      <c r="AD715" s="246">
        <f>IFERROR(VLOOKUP(P715,PROGRAMAS[],2,FALSE),0)</f>
        <v>0</v>
      </c>
      <c r="AE715" s="246">
        <f>IFERROR(VLOOKUP(Q715,PROGRAMAS[],2,FALSE),0)</f>
        <v>0</v>
      </c>
      <c r="AF715" s="246">
        <f>IFERROR(VLOOKUP(D715,PROGRAMAS[],3,FALSE),0)</f>
        <v>841888629.31080008</v>
      </c>
      <c r="AG715" s="246">
        <f>IFERROR(VLOOKUP(E715,PROGRAMAS[],3,FALSE),0)</f>
        <v>3848980803.1642323</v>
      </c>
      <c r="AH715" s="246">
        <f>IFERROR(VLOOKUP(F715,PROGRAMAS[],3,FALSE),0)</f>
        <v>3394901471.387517</v>
      </c>
      <c r="AI715" s="246">
        <f>IFERROR(VLOOKUP(G715,PROGRAMAS[],3,FALSE),0)</f>
        <v>125317226.95549992</v>
      </c>
      <c r="AJ715" s="246">
        <f>IFERROR(VLOOKUP(H715,PROGRAMAS[],3,FALSE),0)</f>
        <v>7011279577.519702</v>
      </c>
      <c r="AK715" s="246">
        <f>IFERROR(VLOOKUP(I715,PROGRAMAS[],3,FALSE),0)</f>
        <v>4099471734.9978786</v>
      </c>
      <c r="AL715" s="246">
        <f>IFERROR(VLOOKUP(J715,PROGRAMAS[],3,FALSE),0)</f>
        <v>118617452.52510804</v>
      </c>
      <c r="AM715" s="246">
        <f>IFERROR(VLOOKUP(K715,PROGRAMAS[],3,FALSE),0)</f>
        <v>2406564599.0319901</v>
      </c>
      <c r="AN715" s="246">
        <f>IFERROR(VLOOKUP(L715,PROGRAMAS[],3,FALSE),0)</f>
        <v>0</v>
      </c>
      <c r="AO715" s="246">
        <f>IFERROR(VLOOKUP(M715,PROGRAMAS[],3,FALSE),0)</f>
        <v>0</v>
      </c>
      <c r="AP715" s="246">
        <f>IFERROR(VLOOKUP(N715,PROGRAMAS[],3,FALSE),0)</f>
        <v>0</v>
      </c>
      <c r="AQ715" s="246">
        <f>IFERROR(VLOOKUP(O715,PROGRAMAS[],3,FALSE),0)</f>
        <v>0</v>
      </c>
      <c r="AR715" s="246">
        <f>IFERROR(VLOOKUP(P715,PROGRAMAS[],3,FALSE),0)</f>
        <v>0</v>
      </c>
      <c r="AS715" s="246">
        <f>IFERROR(VLOOKUP(Q715,PROGRAMAS[],3,FALSE),0)</f>
        <v>0</v>
      </c>
      <c r="AT715" s="246">
        <f>IFERROR(VLOOKUP(D715,VOL_REC[],2,FALSE),0)</f>
        <v>0</v>
      </c>
      <c r="AU715" s="246">
        <f>IFERROR(VLOOKUP(E715,VOL_REC[],2,FALSE),0)</f>
        <v>0</v>
      </c>
      <c r="AV715" s="246">
        <f>IFERROR(VLOOKUP(F715,VOL_REC[],2,FALSE),0)</f>
        <v>11089674.200000001</v>
      </c>
      <c r="AW715" s="246">
        <f>IFERROR(VLOOKUP(G715,VOL_REC[],2,FALSE),0)</f>
        <v>90439.55</v>
      </c>
      <c r="AX715" s="246">
        <f>IFERROR(VLOOKUP(H715,VOL_REC[],2,FALSE),0)</f>
        <v>3761786</v>
      </c>
      <c r="AY715" s="246">
        <f>IFERROR(VLOOKUP(I715,VOL_REC[],2,FALSE),0)</f>
        <v>1812240</v>
      </c>
      <c r="AZ715" s="246">
        <f>IFERROR(VLOOKUP(J715,VOL_REC[],2,FALSE),0)</f>
        <v>105072</v>
      </c>
      <c r="BA715" s="246">
        <f>IFERROR(VLOOKUP(K715,VOL_REC[],2,FALSE),0)</f>
        <v>1072354.9981737854</v>
      </c>
      <c r="BB715" s="246">
        <f>IFERROR(VLOOKUP(L715,VOL_REC[],2,FALSE),0)</f>
        <v>0</v>
      </c>
      <c r="BC715" s="246">
        <f>IFERROR(VLOOKUP(M715,VOL_REC[],2,FALSE),0)</f>
        <v>0</v>
      </c>
      <c r="BD715" s="246">
        <f>IFERROR(VLOOKUP(N715,VOL_REC[],2,FALSE),0)</f>
        <v>0</v>
      </c>
      <c r="BE715" s="246">
        <f>IFERROR(VLOOKUP(O715,VOL_REC[],2,FALSE),0)</f>
        <v>0</v>
      </c>
      <c r="BF715" s="246">
        <f>IFERROR(VLOOKUP(P715,VOL_REC[],2,FALSE),0)</f>
        <v>0</v>
      </c>
      <c r="BG715" s="246">
        <f>IFERROR(VLOOKUP(Q715,VOL_REC[],2,FALSE),0)</f>
        <v>0</v>
      </c>
      <c r="BH715" s="1710">
        <f t="shared" si="44"/>
        <v>21822115843.591084</v>
      </c>
      <c r="BI715" s="1710">
        <f t="shared" si="45"/>
        <v>21847021494.892727</v>
      </c>
      <c r="BJ715" s="1711">
        <f t="shared" si="46"/>
        <v>17931566.748173784</v>
      </c>
      <c r="BK715" s="1711">
        <f t="shared" si="47"/>
        <v>0.99885999785794755</v>
      </c>
    </row>
    <row r="716" spans="3:67" x14ac:dyDescent="0.25">
      <c r="C716" s="246" t="s">
        <v>2066</v>
      </c>
      <c r="D716" s="246">
        <v>1</v>
      </c>
      <c r="E716" s="246">
        <v>2</v>
      </c>
      <c r="F716" s="246">
        <v>3</v>
      </c>
      <c r="G716" s="246">
        <v>4</v>
      </c>
      <c r="H716" s="246">
        <v>9</v>
      </c>
      <c r="I716" s="246">
        <v>10</v>
      </c>
      <c r="J716" s="246">
        <v>15</v>
      </c>
      <c r="K716" s="246">
        <v>17</v>
      </c>
      <c r="L716" s="246"/>
      <c r="M716" s="246"/>
      <c r="N716" s="246"/>
      <c r="O716" s="246"/>
      <c r="P716" s="246"/>
      <c r="Q716" s="246"/>
      <c r="R716" s="246">
        <f>IFERROR(VLOOKUP(D716,PROGRAMAS[],2,FALSE),0)</f>
        <v>97037803.679377079</v>
      </c>
      <c r="S716" s="246">
        <f>IFERROR(VLOOKUP(E716,PROGRAMAS[],2,FALSE),0)</f>
        <v>640501509.6821388</v>
      </c>
      <c r="T716" s="246">
        <f>IFERROR(VLOOKUP(F716,PROGRAMAS[],2,FALSE),0)</f>
        <v>3062327798.1525245</v>
      </c>
      <c r="U716" s="246">
        <f>IFERROR(VLOOKUP(G716,PROGRAMAS[],2,FALSE),0)</f>
        <v>67697118.033011258</v>
      </c>
      <c r="V716" s="246">
        <f>IFERROR(VLOOKUP(H716,PROGRAMAS[],2,FALSE),0)</f>
        <v>6128579952.1618185</v>
      </c>
      <c r="W716" s="246">
        <f>IFERROR(VLOOKUP(I716,PROGRAMAS[],2,FALSE),0)</f>
        <v>4635315027.8751087</v>
      </c>
      <c r="X716" s="246">
        <f>IFERROR(VLOOKUP(J716,PROGRAMAS[],2,FALSE),0)</f>
        <v>122159672.96346797</v>
      </c>
      <c r="Y716" s="246">
        <f>IFERROR(VLOOKUP(K716,PROGRAMAS[],2,FALSE),0)</f>
        <v>1892779498.5211046</v>
      </c>
      <c r="Z716" s="246">
        <f>IFERROR(VLOOKUP(L716,PROGRAMAS[],2,FALSE),0)</f>
        <v>0</v>
      </c>
      <c r="AA716" s="246">
        <f>IFERROR(VLOOKUP(M716,PROGRAMAS[],2,FALSE),0)</f>
        <v>0</v>
      </c>
      <c r="AB716" s="246">
        <f>IFERROR(VLOOKUP(N716,PROGRAMAS[],2,FALSE),0)</f>
        <v>0</v>
      </c>
      <c r="AC716" s="246">
        <f>IFERROR(VLOOKUP(O716,PROGRAMAS[],2,FALSE),0)</f>
        <v>0</v>
      </c>
      <c r="AD716" s="246">
        <f>IFERROR(VLOOKUP(P716,PROGRAMAS[],2,FALSE),0)</f>
        <v>0</v>
      </c>
      <c r="AE716" s="246">
        <f>IFERROR(VLOOKUP(Q716,PROGRAMAS[],2,FALSE),0)</f>
        <v>0</v>
      </c>
      <c r="AF716" s="246">
        <f>IFERROR(VLOOKUP(D716,PROGRAMAS[],3,FALSE),0)</f>
        <v>841888629.31080008</v>
      </c>
      <c r="AG716" s="246">
        <f>IFERROR(VLOOKUP(E716,PROGRAMAS[],3,FALSE),0)</f>
        <v>3848980803.1642323</v>
      </c>
      <c r="AH716" s="246">
        <f>IFERROR(VLOOKUP(F716,PROGRAMAS[],3,FALSE),0)</f>
        <v>3394901471.387517</v>
      </c>
      <c r="AI716" s="246">
        <f>IFERROR(VLOOKUP(G716,PROGRAMAS[],3,FALSE),0)</f>
        <v>125317226.95549992</v>
      </c>
      <c r="AJ716" s="246">
        <f>IFERROR(VLOOKUP(H716,PROGRAMAS[],3,FALSE),0)</f>
        <v>7011279577.519702</v>
      </c>
      <c r="AK716" s="246">
        <f>IFERROR(VLOOKUP(I716,PROGRAMAS[],3,FALSE),0)</f>
        <v>4099471734.9978786</v>
      </c>
      <c r="AL716" s="246">
        <f>IFERROR(VLOOKUP(J716,PROGRAMAS[],3,FALSE),0)</f>
        <v>118617452.52510804</v>
      </c>
      <c r="AM716" s="246">
        <f>IFERROR(VLOOKUP(K716,PROGRAMAS[],3,FALSE),0)</f>
        <v>948595847.09039903</v>
      </c>
      <c r="AN716" s="246">
        <f>IFERROR(VLOOKUP(L716,PROGRAMAS[],3,FALSE),0)</f>
        <v>0</v>
      </c>
      <c r="AO716" s="246">
        <f>IFERROR(VLOOKUP(M716,PROGRAMAS[],3,FALSE),0)</f>
        <v>0</v>
      </c>
      <c r="AP716" s="246">
        <f>IFERROR(VLOOKUP(N716,PROGRAMAS[],3,FALSE),0)</f>
        <v>0</v>
      </c>
      <c r="AQ716" s="246">
        <f>IFERROR(VLOOKUP(O716,PROGRAMAS[],3,FALSE),0)</f>
        <v>0</v>
      </c>
      <c r="AR716" s="246">
        <f>IFERROR(VLOOKUP(P716,PROGRAMAS[],3,FALSE),0)</f>
        <v>0</v>
      </c>
      <c r="AS716" s="246">
        <f>IFERROR(VLOOKUP(Q716,PROGRAMAS[],3,FALSE),0)</f>
        <v>0</v>
      </c>
      <c r="AT716" s="246">
        <f>IFERROR(VLOOKUP(D716,VOL_REC[],2,FALSE),0)</f>
        <v>0</v>
      </c>
      <c r="AU716" s="246">
        <f>IFERROR(VLOOKUP(E716,VOL_REC[],2,FALSE),0)</f>
        <v>0</v>
      </c>
      <c r="AV716" s="246">
        <f>IFERROR(VLOOKUP(F716,VOL_REC[],2,FALSE),0)</f>
        <v>11089674.200000001</v>
      </c>
      <c r="AW716" s="246">
        <f>IFERROR(VLOOKUP(G716,VOL_REC[],2,FALSE),0)</f>
        <v>90439.55</v>
      </c>
      <c r="AX716" s="246">
        <f>IFERROR(VLOOKUP(H716,VOL_REC[],2,FALSE),0)</f>
        <v>3761786</v>
      </c>
      <c r="AY716" s="246">
        <f>IFERROR(VLOOKUP(I716,VOL_REC[],2,FALSE),0)</f>
        <v>1812240</v>
      </c>
      <c r="AZ716" s="246">
        <f>IFERROR(VLOOKUP(J716,VOL_REC[],2,FALSE),0)</f>
        <v>105072</v>
      </c>
      <c r="BA716" s="246">
        <f>IFERROR(VLOOKUP(K716,VOL_REC[],2,FALSE),0)</f>
        <v>740113.98115702497</v>
      </c>
      <c r="BB716" s="246">
        <f>IFERROR(VLOOKUP(L716,VOL_REC[],2,FALSE),0)</f>
        <v>0</v>
      </c>
      <c r="BC716" s="246">
        <f>IFERROR(VLOOKUP(M716,VOL_REC[],2,FALSE),0)</f>
        <v>0</v>
      </c>
      <c r="BD716" s="246">
        <f>IFERROR(VLOOKUP(N716,VOL_REC[],2,FALSE),0)</f>
        <v>0</v>
      </c>
      <c r="BE716" s="246">
        <f>IFERROR(VLOOKUP(O716,VOL_REC[],2,FALSE),0)</f>
        <v>0</v>
      </c>
      <c r="BF716" s="246">
        <f>IFERROR(VLOOKUP(P716,VOL_REC[],2,FALSE),0)</f>
        <v>0</v>
      </c>
      <c r="BG716" s="246">
        <f>IFERROR(VLOOKUP(Q716,VOL_REC[],2,FALSE),0)</f>
        <v>0</v>
      </c>
      <c r="BH716" s="1710">
        <f t="shared" si="44"/>
        <v>16646398381.068552</v>
      </c>
      <c r="BI716" s="1710">
        <f t="shared" si="45"/>
        <v>20389052742.951138</v>
      </c>
      <c r="BJ716" s="1711">
        <f t="shared" si="46"/>
        <v>17599325.731157023</v>
      </c>
      <c r="BK716" s="1711">
        <f t="shared" si="47"/>
        <v>0.81643804599129854</v>
      </c>
    </row>
    <row r="717" spans="3:67" x14ac:dyDescent="0.25">
      <c r="C717" s="246" t="s">
        <v>2067</v>
      </c>
      <c r="D717" s="246">
        <v>1</v>
      </c>
      <c r="E717" s="246">
        <v>2</v>
      </c>
      <c r="F717" s="246">
        <v>3</v>
      </c>
      <c r="G717" s="246">
        <v>4</v>
      </c>
      <c r="H717" s="246">
        <v>9</v>
      </c>
      <c r="I717" s="246">
        <v>10</v>
      </c>
      <c r="J717" s="246">
        <v>16</v>
      </c>
      <c r="K717" s="246">
        <v>17</v>
      </c>
      <c r="L717" s="246"/>
      <c r="M717" s="246"/>
      <c r="N717" s="246"/>
      <c r="O717" s="246"/>
      <c r="P717" s="246"/>
      <c r="Q717" s="246"/>
      <c r="R717" s="246">
        <f>IFERROR(VLOOKUP(D717,PROGRAMAS[],2,FALSE),0)</f>
        <v>97037803.679377079</v>
      </c>
      <c r="S717" s="246">
        <f>IFERROR(VLOOKUP(E717,PROGRAMAS[],2,FALSE),0)</f>
        <v>640501509.6821388</v>
      </c>
      <c r="T717" s="246">
        <f>IFERROR(VLOOKUP(F717,PROGRAMAS[],2,FALSE),0)</f>
        <v>3062327798.1525245</v>
      </c>
      <c r="U717" s="246">
        <f>IFERROR(VLOOKUP(G717,PROGRAMAS[],2,FALSE),0)</f>
        <v>67697118.033011258</v>
      </c>
      <c r="V717" s="246">
        <f>IFERROR(VLOOKUP(H717,PROGRAMAS[],2,FALSE),0)</f>
        <v>6128579952.1618185</v>
      </c>
      <c r="W717" s="246">
        <f>IFERROR(VLOOKUP(I717,PROGRAMAS[],2,FALSE),0)</f>
        <v>4635315027.8751087</v>
      </c>
      <c r="X717" s="246">
        <f>IFERROR(VLOOKUP(J717,PROGRAMAS[],2,FALSE),0)</f>
        <v>7068496961.0436354</v>
      </c>
      <c r="Y717" s="246">
        <f>IFERROR(VLOOKUP(K717,PROGRAMAS[],2,FALSE),0)</f>
        <v>1892779498.5211046</v>
      </c>
      <c r="Z717" s="246">
        <f>IFERROR(VLOOKUP(L717,PROGRAMAS[],2,FALSE),0)</f>
        <v>0</v>
      </c>
      <c r="AA717" s="246">
        <f>IFERROR(VLOOKUP(M717,PROGRAMAS[],2,FALSE),0)</f>
        <v>0</v>
      </c>
      <c r="AB717" s="246">
        <f>IFERROR(VLOOKUP(N717,PROGRAMAS[],2,FALSE),0)</f>
        <v>0</v>
      </c>
      <c r="AC717" s="246">
        <f>IFERROR(VLOOKUP(O717,PROGRAMAS[],2,FALSE),0)</f>
        <v>0</v>
      </c>
      <c r="AD717" s="246">
        <f>IFERROR(VLOOKUP(P717,PROGRAMAS[],2,FALSE),0)</f>
        <v>0</v>
      </c>
      <c r="AE717" s="246">
        <f>IFERROR(VLOOKUP(Q717,PROGRAMAS[],2,FALSE),0)</f>
        <v>0</v>
      </c>
      <c r="AF717" s="246">
        <f>IFERROR(VLOOKUP(D717,PROGRAMAS[],3,FALSE),0)</f>
        <v>841888629.31080008</v>
      </c>
      <c r="AG717" s="246">
        <f>IFERROR(VLOOKUP(E717,PROGRAMAS[],3,FALSE),0)</f>
        <v>3848980803.1642323</v>
      </c>
      <c r="AH717" s="246">
        <f>IFERROR(VLOOKUP(F717,PROGRAMAS[],3,FALSE),0)</f>
        <v>3394901471.387517</v>
      </c>
      <c r="AI717" s="246">
        <f>IFERROR(VLOOKUP(G717,PROGRAMAS[],3,FALSE),0)</f>
        <v>125317226.95549992</v>
      </c>
      <c r="AJ717" s="246">
        <f>IFERROR(VLOOKUP(H717,PROGRAMAS[],3,FALSE),0)</f>
        <v>7011279577.519702</v>
      </c>
      <c r="AK717" s="246">
        <f>IFERROR(VLOOKUP(I717,PROGRAMAS[],3,FALSE),0)</f>
        <v>4099471734.9978786</v>
      </c>
      <c r="AL717" s="246">
        <f>IFERROR(VLOOKUP(J717,PROGRAMAS[],3,FALSE),0)</f>
        <v>2406564599.0319901</v>
      </c>
      <c r="AM717" s="246">
        <f>IFERROR(VLOOKUP(K717,PROGRAMAS[],3,FALSE),0)</f>
        <v>948595847.09039903</v>
      </c>
      <c r="AN717" s="246">
        <f>IFERROR(VLOOKUP(L717,PROGRAMAS[],3,FALSE),0)</f>
        <v>0</v>
      </c>
      <c r="AO717" s="246">
        <f>IFERROR(VLOOKUP(M717,PROGRAMAS[],3,FALSE),0)</f>
        <v>0</v>
      </c>
      <c r="AP717" s="246">
        <f>IFERROR(VLOOKUP(N717,PROGRAMAS[],3,FALSE),0)</f>
        <v>0</v>
      </c>
      <c r="AQ717" s="246">
        <f>IFERROR(VLOOKUP(O717,PROGRAMAS[],3,FALSE),0)</f>
        <v>0</v>
      </c>
      <c r="AR717" s="246">
        <f>IFERROR(VLOOKUP(P717,PROGRAMAS[],3,FALSE),0)</f>
        <v>0</v>
      </c>
      <c r="AS717" s="246">
        <f>IFERROR(VLOOKUP(Q717,PROGRAMAS[],3,FALSE),0)</f>
        <v>0</v>
      </c>
      <c r="AT717" s="246">
        <f>IFERROR(VLOOKUP(D717,VOL_REC[],2,FALSE),0)</f>
        <v>0</v>
      </c>
      <c r="AU717" s="246">
        <f>IFERROR(VLOOKUP(E717,VOL_REC[],2,FALSE),0)</f>
        <v>0</v>
      </c>
      <c r="AV717" s="246">
        <f>IFERROR(VLOOKUP(F717,VOL_REC[],2,FALSE),0)</f>
        <v>11089674.200000001</v>
      </c>
      <c r="AW717" s="246">
        <f>IFERROR(VLOOKUP(G717,VOL_REC[],2,FALSE),0)</f>
        <v>90439.55</v>
      </c>
      <c r="AX717" s="246">
        <f>IFERROR(VLOOKUP(H717,VOL_REC[],2,FALSE),0)</f>
        <v>3761786</v>
      </c>
      <c r="AY717" s="246">
        <f>IFERROR(VLOOKUP(I717,VOL_REC[],2,FALSE),0)</f>
        <v>1812240</v>
      </c>
      <c r="AZ717" s="246">
        <f>IFERROR(VLOOKUP(J717,VOL_REC[],2,FALSE),0)</f>
        <v>1072354.9981737854</v>
      </c>
      <c r="BA717" s="246">
        <f>IFERROR(VLOOKUP(K717,VOL_REC[],2,FALSE),0)</f>
        <v>740113.98115702497</v>
      </c>
      <c r="BB717" s="246">
        <f>IFERROR(VLOOKUP(L717,VOL_REC[],2,FALSE),0)</f>
        <v>0</v>
      </c>
      <c r="BC717" s="246">
        <f>IFERROR(VLOOKUP(M717,VOL_REC[],2,FALSE),0)</f>
        <v>0</v>
      </c>
      <c r="BD717" s="246">
        <f>IFERROR(VLOOKUP(N717,VOL_REC[],2,FALSE),0)</f>
        <v>0</v>
      </c>
      <c r="BE717" s="246">
        <f>IFERROR(VLOOKUP(O717,VOL_REC[],2,FALSE),0)</f>
        <v>0</v>
      </c>
      <c r="BF717" s="246">
        <f>IFERROR(VLOOKUP(P717,VOL_REC[],2,FALSE),0)</f>
        <v>0</v>
      </c>
      <c r="BG717" s="246">
        <f>IFERROR(VLOOKUP(Q717,VOL_REC[],2,FALSE),0)</f>
        <v>0</v>
      </c>
      <c r="BH717" s="1710">
        <f t="shared" si="44"/>
        <v>23592735669.148716</v>
      </c>
      <c r="BI717" s="1710">
        <f t="shared" si="45"/>
        <v>22676999889.458019</v>
      </c>
      <c r="BJ717" s="1711">
        <f t="shared" si="46"/>
        <v>18566608.729330812</v>
      </c>
      <c r="BK717" s="1711">
        <f t="shared" si="47"/>
        <v>1.0403816988205923</v>
      </c>
      <c r="BL717">
        <f>BJ717</f>
        <v>18566608.729330812</v>
      </c>
      <c r="BO717">
        <f>BL717</f>
        <v>18566608.729330812</v>
      </c>
    </row>
    <row r="718" spans="3:67" x14ac:dyDescent="0.25">
      <c r="C718" s="246" t="s">
        <v>2068</v>
      </c>
      <c r="D718" s="246">
        <v>1</v>
      </c>
      <c r="E718" s="246">
        <v>2</v>
      </c>
      <c r="F718" s="246">
        <v>3</v>
      </c>
      <c r="G718" s="246">
        <v>4</v>
      </c>
      <c r="H718" s="246">
        <v>9</v>
      </c>
      <c r="I718" s="246">
        <v>12</v>
      </c>
      <c r="J718" s="246">
        <v>13</v>
      </c>
      <c r="K718" s="246">
        <v>14</v>
      </c>
      <c r="L718" s="246"/>
      <c r="M718" s="246"/>
      <c r="N718" s="246"/>
      <c r="O718" s="246"/>
      <c r="P718" s="246"/>
      <c r="Q718" s="246"/>
      <c r="R718" s="246">
        <f>IFERROR(VLOOKUP(D718,PROGRAMAS[],2,FALSE),0)</f>
        <v>97037803.679377079</v>
      </c>
      <c r="S718" s="246">
        <f>IFERROR(VLOOKUP(E718,PROGRAMAS[],2,FALSE),0)</f>
        <v>640501509.6821388</v>
      </c>
      <c r="T718" s="246">
        <f>IFERROR(VLOOKUP(F718,PROGRAMAS[],2,FALSE),0)</f>
        <v>3062327798.1525245</v>
      </c>
      <c r="U718" s="246">
        <f>IFERROR(VLOOKUP(G718,PROGRAMAS[],2,FALSE),0)</f>
        <v>67697118.033011258</v>
      </c>
      <c r="V718" s="246">
        <f>IFERROR(VLOOKUP(H718,PROGRAMAS[],2,FALSE),0)</f>
        <v>6128579952.1618185</v>
      </c>
      <c r="W718" s="246">
        <f>IFERROR(VLOOKUP(I718,PROGRAMAS[],2,FALSE),0)</f>
        <v>764796700.79905891</v>
      </c>
      <c r="X718" s="246">
        <f>IFERROR(VLOOKUP(J718,PROGRAMAS[],2,FALSE),0)</f>
        <v>3776538594.4604583</v>
      </c>
      <c r="Y718" s="246">
        <f>IFERROR(VLOOKUP(K718,PROGRAMAS[],2,FALSE),0)</f>
        <v>54223862.645839565</v>
      </c>
      <c r="Z718" s="246">
        <f>IFERROR(VLOOKUP(L718,PROGRAMAS[],2,FALSE),0)</f>
        <v>0</v>
      </c>
      <c r="AA718" s="246">
        <f>IFERROR(VLOOKUP(M718,PROGRAMAS[],2,FALSE),0)</f>
        <v>0</v>
      </c>
      <c r="AB718" s="246">
        <f>IFERROR(VLOOKUP(N718,PROGRAMAS[],2,FALSE),0)</f>
        <v>0</v>
      </c>
      <c r="AC718" s="246">
        <f>IFERROR(VLOOKUP(O718,PROGRAMAS[],2,FALSE),0)</f>
        <v>0</v>
      </c>
      <c r="AD718" s="246">
        <f>IFERROR(VLOOKUP(P718,PROGRAMAS[],2,FALSE),0)</f>
        <v>0</v>
      </c>
      <c r="AE718" s="246">
        <f>IFERROR(VLOOKUP(Q718,PROGRAMAS[],2,FALSE),0)</f>
        <v>0</v>
      </c>
      <c r="AF718" s="246">
        <f>IFERROR(VLOOKUP(D718,PROGRAMAS[],3,FALSE),0)</f>
        <v>841888629.31080008</v>
      </c>
      <c r="AG718" s="246">
        <f>IFERROR(VLOOKUP(E718,PROGRAMAS[],3,FALSE),0)</f>
        <v>3848980803.1642323</v>
      </c>
      <c r="AH718" s="246">
        <f>IFERROR(VLOOKUP(F718,PROGRAMAS[],3,FALSE),0)</f>
        <v>3394901471.387517</v>
      </c>
      <c r="AI718" s="246">
        <f>IFERROR(VLOOKUP(G718,PROGRAMAS[],3,FALSE),0)</f>
        <v>125317226.95549992</v>
      </c>
      <c r="AJ718" s="246">
        <f>IFERROR(VLOOKUP(H718,PROGRAMAS[],3,FALSE),0)</f>
        <v>7011279577.519702</v>
      </c>
      <c r="AK718" s="246">
        <f>IFERROR(VLOOKUP(I718,PROGRAMAS[],3,FALSE),0)</f>
        <v>675517840.109828</v>
      </c>
      <c r="AL718" s="246">
        <f>IFERROR(VLOOKUP(J718,PROGRAMAS[],3,FALSE),0)</f>
        <v>2392571243.5584412</v>
      </c>
      <c r="AM718" s="246">
        <f>IFERROR(VLOOKUP(K718,PROGRAMAS[],3,FALSE),0)</f>
        <v>31865326.38096505</v>
      </c>
      <c r="AN718" s="246">
        <f>IFERROR(VLOOKUP(L718,PROGRAMAS[],3,FALSE),0)</f>
        <v>0</v>
      </c>
      <c r="AO718" s="246">
        <f>IFERROR(VLOOKUP(M718,PROGRAMAS[],3,FALSE),0)</f>
        <v>0</v>
      </c>
      <c r="AP718" s="246">
        <f>IFERROR(VLOOKUP(N718,PROGRAMAS[],3,FALSE),0)</f>
        <v>0</v>
      </c>
      <c r="AQ718" s="246">
        <f>IFERROR(VLOOKUP(O718,PROGRAMAS[],3,FALSE),0)</f>
        <v>0</v>
      </c>
      <c r="AR718" s="246">
        <f>IFERROR(VLOOKUP(P718,PROGRAMAS[],3,FALSE),0)</f>
        <v>0</v>
      </c>
      <c r="AS718" s="246">
        <f>IFERROR(VLOOKUP(Q718,PROGRAMAS[],3,FALSE),0)</f>
        <v>0</v>
      </c>
      <c r="AT718" s="246">
        <f>IFERROR(VLOOKUP(D718,VOL_REC[],2,FALSE),0)</f>
        <v>0</v>
      </c>
      <c r="AU718" s="246">
        <f>IFERROR(VLOOKUP(E718,VOL_REC[],2,FALSE),0)</f>
        <v>0</v>
      </c>
      <c r="AV718" s="246">
        <f>IFERROR(VLOOKUP(F718,VOL_REC[],2,FALSE),0)</f>
        <v>11089674.200000001</v>
      </c>
      <c r="AW718" s="246">
        <f>IFERROR(VLOOKUP(G718,VOL_REC[],2,FALSE),0)</f>
        <v>90439.55</v>
      </c>
      <c r="AX718" s="246">
        <f>IFERROR(VLOOKUP(H718,VOL_REC[],2,FALSE),0)</f>
        <v>3761786</v>
      </c>
      <c r="AY718" s="246">
        <f>IFERROR(VLOOKUP(I718,VOL_REC[],2,FALSE),0)</f>
        <v>240696.79238099116</v>
      </c>
      <c r="AZ718" s="246">
        <f>IFERROR(VLOOKUP(J718,VOL_REC[],2,FALSE),0)</f>
        <v>663244.80000000016</v>
      </c>
      <c r="BA718" s="246">
        <f>IFERROR(VLOOKUP(K718,VOL_REC[],2,FALSE),0)</f>
        <v>17074.045034105649</v>
      </c>
      <c r="BB718" s="246">
        <f>IFERROR(VLOOKUP(L718,VOL_REC[],2,FALSE),0)</f>
        <v>0</v>
      </c>
      <c r="BC718" s="246">
        <f>IFERROR(VLOOKUP(M718,VOL_REC[],2,FALSE),0)</f>
        <v>0</v>
      </c>
      <c r="BD718" s="246">
        <f>IFERROR(VLOOKUP(N718,VOL_REC[],2,FALSE),0)</f>
        <v>0</v>
      </c>
      <c r="BE718" s="246">
        <f>IFERROR(VLOOKUP(O718,VOL_REC[],2,FALSE),0)</f>
        <v>0</v>
      </c>
      <c r="BF718" s="246">
        <f>IFERROR(VLOOKUP(P718,VOL_REC[],2,FALSE),0)</f>
        <v>0</v>
      </c>
      <c r="BG718" s="246">
        <f>IFERROR(VLOOKUP(Q718,VOL_REC[],2,FALSE),0)</f>
        <v>0</v>
      </c>
      <c r="BH718" s="1710">
        <f t="shared" si="44"/>
        <v>14591703339.614227</v>
      </c>
      <c r="BI718" s="1710">
        <f t="shared" si="45"/>
        <v>18322322118.386986</v>
      </c>
      <c r="BJ718" s="1711">
        <f t="shared" si="46"/>
        <v>15862915.387415098</v>
      </c>
      <c r="BK718" s="1711">
        <f t="shared" si="47"/>
        <v>0.79638941206971936</v>
      </c>
    </row>
    <row r="719" spans="3:67" x14ac:dyDescent="0.25">
      <c r="C719" s="246" t="s">
        <v>2069</v>
      </c>
      <c r="D719" s="246">
        <v>1</v>
      </c>
      <c r="E719" s="246">
        <v>2</v>
      </c>
      <c r="F719" s="246">
        <v>3</v>
      </c>
      <c r="G719" s="246">
        <v>4</v>
      </c>
      <c r="H719" s="246">
        <v>9</v>
      </c>
      <c r="I719" s="246">
        <v>12</v>
      </c>
      <c r="J719" s="246">
        <v>13</v>
      </c>
      <c r="K719" s="246">
        <v>15</v>
      </c>
      <c r="L719" s="246"/>
      <c r="M719" s="246"/>
      <c r="N719" s="246"/>
      <c r="O719" s="246"/>
      <c r="P719" s="246"/>
      <c r="Q719" s="246"/>
      <c r="R719" s="246">
        <f>IFERROR(VLOOKUP(D719,PROGRAMAS[],2,FALSE),0)</f>
        <v>97037803.679377079</v>
      </c>
      <c r="S719" s="246">
        <f>IFERROR(VLOOKUP(E719,PROGRAMAS[],2,FALSE),0)</f>
        <v>640501509.6821388</v>
      </c>
      <c r="T719" s="246">
        <f>IFERROR(VLOOKUP(F719,PROGRAMAS[],2,FALSE),0)</f>
        <v>3062327798.1525245</v>
      </c>
      <c r="U719" s="246">
        <f>IFERROR(VLOOKUP(G719,PROGRAMAS[],2,FALSE),0)</f>
        <v>67697118.033011258</v>
      </c>
      <c r="V719" s="246">
        <f>IFERROR(VLOOKUP(H719,PROGRAMAS[],2,FALSE),0)</f>
        <v>6128579952.1618185</v>
      </c>
      <c r="W719" s="246">
        <f>IFERROR(VLOOKUP(I719,PROGRAMAS[],2,FALSE),0)</f>
        <v>764796700.79905891</v>
      </c>
      <c r="X719" s="246">
        <f>IFERROR(VLOOKUP(J719,PROGRAMAS[],2,FALSE),0)</f>
        <v>3776538594.4604583</v>
      </c>
      <c r="Y719" s="246">
        <f>IFERROR(VLOOKUP(K719,PROGRAMAS[],2,FALSE),0)</f>
        <v>122159672.96346797</v>
      </c>
      <c r="Z719" s="246">
        <f>IFERROR(VLOOKUP(L719,PROGRAMAS[],2,FALSE),0)</f>
        <v>0</v>
      </c>
      <c r="AA719" s="246">
        <f>IFERROR(VLOOKUP(M719,PROGRAMAS[],2,FALSE),0)</f>
        <v>0</v>
      </c>
      <c r="AB719" s="246">
        <f>IFERROR(VLOOKUP(N719,PROGRAMAS[],2,FALSE),0)</f>
        <v>0</v>
      </c>
      <c r="AC719" s="246">
        <f>IFERROR(VLOOKUP(O719,PROGRAMAS[],2,FALSE),0)</f>
        <v>0</v>
      </c>
      <c r="AD719" s="246">
        <f>IFERROR(VLOOKUP(P719,PROGRAMAS[],2,FALSE),0)</f>
        <v>0</v>
      </c>
      <c r="AE719" s="246">
        <f>IFERROR(VLOOKUP(Q719,PROGRAMAS[],2,FALSE),0)</f>
        <v>0</v>
      </c>
      <c r="AF719" s="246">
        <f>IFERROR(VLOOKUP(D719,PROGRAMAS[],3,FALSE),0)</f>
        <v>841888629.31080008</v>
      </c>
      <c r="AG719" s="246">
        <f>IFERROR(VLOOKUP(E719,PROGRAMAS[],3,FALSE),0)</f>
        <v>3848980803.1642323</v>
      </c>
      <c r="AH719" s="246">
        <f>IFERROR(VLOOKUP(F719,PROGRAMAS[],3,FALSE),0)</f>
        <v>3394901471.387517</v>
      </c>
      <c r="AI719" s="246">
        <f>IFERROR(VLOOKUP(G719,PROGRAMAS[],3,FALSE),0)</f>
        <v>125317226.95549992</v>
      </c>
      <c r="AJ719" s="246">
        <f>IFERROR(VLOOKUP(H719,PROGRAMAS[],3,FALSE),0)</f>
        <v>7011279577.519702</v>
      </c>
      <c r="AK719" s="246">
        <f>IFERROR(VLOOKUP(I719,PROGRAMAS[],3,FALSE),0)</f>
        <v>675517840.109828</v>
      </c>
      <c r="AL719" s="246">
        <f>IFERROR(VLOOKUP(J719,PROGRAMAS[],3,FALSE),0)</f>
        <v>2392571243.5584412</v>
      </c>
      <c r="AM719" s="246">
        <f>IFERROR(VLOOKUP(K719,PROGRAMAS[],3,FALSE),0)</f>
        <v>118617452.52510804</v>
      </c>
      <c r="AN719" s="246">
        <f>IFERROR(VLOOKUP(L719,PROGRAMAS[],3,FALSE),0)</f>
        <v>0</v>
      </c>
      <c r="AO719" s="246">
        <f>IFERROR(VLOOKUP(M719,PROGRAMAS[],3,FALSE),0)</f>
        <v>0</v>
      </c>
      <c r="AP719" s="246">
        <f>IFERROR(VLOOKUP(N719,PROGRAMAS[],3,FALSE),0)</f>
        <v>0</v>
      </c>
      <c r="AQ719" s="246">
        <f>IFERROR(VLOOKUP(O719,PROGRAMAS[],3,FALSE),0)</f>
        <v>0</v>
      </c>
      <c r="AR719" s="246">
        <f>IFERROR(VLOOKUP(P719,PROGRAMAS[],3,FALSE),0)</f>
        <v>0</v>
      </c>
      <c r="AS719" s="246">
        <f>IFERROR(VLOOKUP(Q719,PROGRAMAS[],3,FALSE),0)</f>
        <v>0</v>
      </c>
      <c r="AT719" s="246">
        <f>IFERROR(VLOOKUP(D719,VOL_REC[],2,FALSE),0)</f>
        <v>0</v>
      </c>
      <c r="AU719" s="246">
        <f>IFERROR(VLOOKUP(E719,VOL_REC[],2,FALSE),0)</f>
        <v>0</v>
      </c>
      <c r="AV719" s="246">
        <f>IFERROR(VLOOKUP(F719,VOL_REC[],2,FALSE),0)</f>
        <v>11089674.200000001</v>
      </c>
      <c r="AW719" s="246">
        <f>IFERROR(VLOOKUP(G719,VOL_REC[],2,FALSE),0)</f>
        <v>90439.55</v>
      </c>
      <c r="AX719" s="246">
        <f>IFERROR(VLOOKUP(H719,VOL_REC[],2,FALSE),0)</f>
        <v>3761786</v>
      </c>
      <c r="AY719" s="246">
        <f>IFERROR(VLOOKUP(I719,VOL_REC[],2,FALSE),0)</f>
        <v>240696.79238099116</v>
      </c>
      <c r="AZ719" s="246">
        <f>IFERROR(VLOOKUP(J719,VOL_REC[],2,FALSE),0)</f>
        <v>663244.80000000016</v>
      </c>
      <c r="BA719" s="246">
        <f>IFERROR(VLOOKUP(K719,VOL_REC[],2,FALSE),0)</f>
        <v>105072</v>
      </c>
      <c r="BB719" s="246">
        <f>IFERROR(VLOOKUP(L719,VOL_REC[],2,FALSE),0)</f>
        <v>0</v>
      </c>
      <c r="BC719" s="246">
        <f>IFERROR(VLOOKUP(M719,VOL_REC[],2,FALSE),0)</f>
        <v>0</v>
      </c>
      <c r="BD719" s="246">
        <f>IFERROR(VLOOKUP(N719,VOL_REC[],2,FALSE),0)</f>
        <v>0</v>
      </c>
      <c r="BE719" s="246">
        <f>IFERROR(VLOOKUP(O719,VOL_REC[],2,FALSE),0)</f>
        <v>0</v>
      </c>
      <c r="BF719" s="246">
        <f>IFERROR(VLOOKUP(P719,VOL_REC[],2,FALSE),0)</f>
        <v>0</v>
      </c>
      <c r="BG719" s="246">
        <f>IFERROR(VLOOKUP(Q719,VOL_REC[],2,FALSE),0)</f>
        <v>0</v>
      </c>
      <c r="BH719" s="1710">
        <f t="shared" si="44"/>
        <v>14659639149.931856</v>
      </c>
      <c r="BI719" s="1710">
        <f t="shared" si="45"/>
        <v>18409074244.531128</v>
      </c>
      <c r="BJ719" s="1711">
        <f t="shared" si="46"/>
        <v>15950913.342380993</v>
      </c>
      <c r="BK719" s="1711">
        <f t="shared" si="47"/>
        <v>0.79632679814341378</v>
      </c>
    </row>
    <row r="720" spans="3:67" x14ac:dyDescent="0.25">
      <c r="C720" s="246" t="s">
        <v>2070</v>
      </c>
      <c r="D720" s="246">
        <v>1</v>
      </c>
      <c r="E720" s="246">
        <v>2</v>
      </c>
      <c r="F720" s="246">
        <v>3</v>
      </c>
      <c r="G720" s="246">
        <v>4</v>
      </c>
      <c r="H720" s="246">
        <v>9</v>
      </c>
      <c r="I720" s="246">
        <v>12</v>
      </c>
      <c r="J720" s="246">
        <v>13</v>
      </c>
      <c r="K720" s="246">
        <v>16</v>
      </c>
      <c r="L720" s="246"/>
      <c r="M720" s="246"/>
      <c r="N720" s="246"/>
      <c r="O720" s="246"/>
      <c r="P720" s="246"/>
      <c r="Q720" s="246"/>
      <c r="R720" s="246">
        <f>IFERROR(VLOOKUP(D720,PROGRAMAS[],2,FALSE),0)</f>
        <v>97037803.679377079</v>
      </c>
      <c r="S720" s="246">
        <f>IFERROR(VLOOKUP(E720,PROGRAMAS[],2,FALSE),0)</f>
        <v>640501509.6821388</v>
      </c>
      <c r="T720" s="246">
        <f>IFERROR(VLOOKUP(F720,PROGRAMAS[],2,FALSE),0)</f>
        <v>3062327798.1525245</v>
      </c>
      <c r="U720" s="246">
        <f>IFERROR(VLOOKUP(G720,PROGRAMAS[],2,FALSE),0)</f>
        <v>67697118.033011258</v>
      </c>
      <c r="V720" s="246">
        <f>IFERROR(VLOOKUP(H720,PROGRAMAS[],2,FALSE),0)</f>
        <v>6128579952.1618185</v>
      </c>
      <c r="W720" s="246">
        <f>IFERROR(VLOOKUP(I720,PROGRAMAS[],2,FALSE),0)</f>
        <v>764796700.79905891</v>
      </c>
      <c r="X720" s="246">
        <f>IFERROR(VLOOKUP(J720,PROGRAMAS[],2,FALSE),0)</f>
        <v>3776538594.4604583</v>
      </c>
      <c r="Y720" s="246">
        <f>IFERROR(VLOOKUP(K720,PROGRAMAS[],2,FALSE),0)</f>
        <v>7068496961.0436354</v>
      </c>
      <c r="Z720" s="246">
        <f>IFERROR(VLOOKUP(L720,PROGRAMAS[],2,FALSE),0)</f>
        <v>0</v>
      </c>
      <c r="AA720" s="246">
        <f>IFERROR(VLOOKUP(M720,PROGRAMAS[],2,FALSE),0)</f>
        <v>0</v>
      </c>
      <c r="AB720" s="246">
        <f>IFERROR(VLOOKUP(N720,PROGRAMAS[],2,FALSE),0)</f>
        <v>0</v>
      </c>
      <c r="AC720" s="246">
        <f>IFERROR(VLOOKUP(O720,PROGRAMAS[],2,FALSE),0)</f>
        <v>0</v>
      </c>
      <c r="AD720" s="246">
        <f>IFERROR(VLOOKUP(P720,PROGRAMAS[],2,FALSE),0)</f>
        <v>0</v>
      </c>
      <c r="AE720" s="246">
        <f>IFERROR(VLOOKUP(Q720,PROGRAMAS[],2,FALSE),0)</f>
        <v>0</v>
      </c>
      <c r="AF720" s="246">
        <f>IFERROR(VLOOKUP(D720,PROGRAMAS[],3,FALSE),0)</f>
        <v>841888629.31080008</v>
      </c>
      <c r="AG720" s="246">
        <f>IFERROR(VLOOKUP(E720,PROGRAMAS[],3,FALSE),0)</f>
        <v>3848980803.1642323</v>
      </c>
      <c r="AH720" s="246">
        <f>IFERROR(VLOOKUP(F720,PROGRAMAS[],3,FALSE),0)</f>
        <v>3394901471.387517</v>
      </c>
      <c r="AI720" s="246">
        <f>IFERROR(VLOOKUP(G720,PROGRAMAS[],3,FALSE),0)</f>
        <v>125317226.95549992</v>
      </c>
      <c r="AJ720" s="246">
        <f>IFERROR(VLOOKUP(H720,PROGRAMAS[],3,FALSE),0)</f>
        <v>7011279577.519702</v>
      </c>
      <c r="AK720" s="246">
        <f>IFERROR(VLOOKUP(I720,PROGRAMAS[],3,FALSE),0)</f>
        <v>675517840.109828</v>
      </c>
      <c r="AL720" s="246">
        <f>IFERROR(VLOOKUP(J720,PROGRAMAS[],3,FALSE),0)</f>
        <v>2392571243.5584412</v>
      </c>
      <c r="AM720" s="246">
        <f>IFERROR(VLOOKUP(K720,PROGRAMAS[],3,FALSE),0)</f>
        <v>2406564599.0319901</v>
      </c>
      <c r="AN720" s="246">
        <f>IFERROR(VLOOKUP(L720,PROGRAMAS[],3,FALSE),0)</f>
        <v>0</v>
      </c>
      <c r="AO720" s="246">
        <f>IFERROR(VLOOKUP(M720,PROGRAMAS[],3,FALSE),0)</f>
        <v>0</v>
      </c>
      <c r="AP720" s="246">
        <f>IFERROR(VLOOKUP(N720,PROGRAMAS[],3,FALSE),0)</f>
        <v>0</v>
      </c>
      <c r="AQ720" s="246">
        <f>IFERROR(VLOOKUP(O720,PROGRAMAS[],3,FALSE),0)</f>
        <v>0</v>
      </c>
      <c r="AR720" s="246">
        <f>IFERROR(VLOOKUP(P720,PROGRAMAS[],3,FALSE),0)</f>
        <v>0</v>
      </c>
      <c r="AS720" s="246">
        <f>IFERROR(VLOOKUP(Q720,PROGRAMAS[],3,FALSE),0)</f>
        <v>0</v>
      </c>
      <c r="AT720" s="246">
        <f>IFERROR(VLOOKUP(D720,VOL_REC[],2,FALSE),0)</f>
        <v>0</v>
      </c>
      <c r="AU720" s="246">
        <f>IFERROR(VLOOKUP(E720,VOL_REC[],2,FALSE),0)</f>
        <v>0</v>
      </c>
      <c r="AV720" s="246">
        <f>IFERROR(VLOOKUP(F720,VOL_REC[],2,FALSE),0)</f>
        <v>11089674.200000001</v>
      </c>
      <c r="AW720" s="246">
        <f>IFERROR(VLOOKUP(G720,VOL_REC[],2,FALSE),0)</f>
        <v>90439.55</v>
      </c>
      <c r="AX720" s="246">
        <f>IFERROR(VLOOKUP(H720,VOL_REC[],2,FALSE),0)</f>
        <v>3761786</v>
      </c>
      <c r="AY720" s="246">
        <f>IFERROR(VLOOKUP(I720,VOL_REC[],2,FALSE),0)</f>
        <v>240696.79238099116</v>
      </c>
      <c r="AZ720" s="246">
        <f>IFERROR(VLOOKUP(J720,VOL_REC[],2,FALSE),0)</f>
        <v>663244.80000000016</v>
      </c>
      <c r="BA720" s="246">
        <f>IFERROR(VLOOKUP(K720,VOL_REC[],2,FALSE),0)</f>
        <v>1072354.9981737854</v>
      </c>
      <c r="BB720" s="246">
        <f>IFERROR(VLOOKUP(L720,VOL_REC[],2,FALSE),0)</f>
        <v>0</v>
      </c>
      <c r="BC720" s="246">
        <f>IFERROR(VLOOKUP(M720,VOL_REC[],2,FALSE),0)</f>
        <v>0</v>
      </c>
      <c r="BD720" s="246">
        <f>IFERROR(VLOOKUP(N720,VOL_REC[],2,FALSE),0)</f>
        <v>0</v>
      </c>
      <c r="BE720" s="246">
        <f>IFERROR(VLOOKUP(O720,VOL_REC[],2,FALSE),0)</f>
        <v>0</v>
      </c>
      <c r="BF720" s="246">
        <f>IFERROR(VLOOKUP(P720,VOL_REC[],2,FALSE),0)</f>
        <v>0</v>
      </c>
      <c r="BG720" s="246">
        <f>IFERROR(VLOOKUP(Q720,VOL_REC[],2,FALSE),0)</f>
        <v>0</v>
      </c>
      <c r="BH720" s="1710">
        <f t="shared" si="44"/>
        <v>21605976438.012024</v>
      </c>
      <c r="BI720" s="1710">
        <f t="shared" si="45"/>
        <v>20697021391.03801</v>
      </c>
      <c r="BJ720" s="1711">
        <f t="shared" si="46"/>
        <v>16918196.340554778</v>
      </c>
      <c r="BK720" s="1711">
        <f t="shared" si="47"/>
        <v>1.0439171912615213</v>
      </c>
      <c r="BL720">
        <f>BJ720</f>
        <v>16918196.340554778</v>
      </c>
      <c r="BO720">
        <f>BL720</f>
        <v>16918196.340554778</v>
      </c>
    </row>
    <row r="721" spans="3:67" x14ac:dyDescent="0.25">
      <c r="C721" s="246" t="s">
        <v>2071</v>
      </c>
      <c r="D721" s="246">
        <v>1</v>
      </c>
      <c r="E721" s="246">
        <v>2</v>
      </c>
      <c r="F721" s="246">
        <v>3</v>
      </c>
      <c r="G721" s="246">
        <v>4</v>
      </c>
      <c r="H721" s="246">
        <v>9</v>
      </c>
      <c r="I721" s="246">
        <v>12</v>
      </c>
      <c r="J721" s="246">
        <v>13</v>
      </c>
      <c r="K721" s="246">
        <v>17</v>
      </c>
      <c r="L721" s="246"/>
      <c r="M721" s="246"/>
      <c r="N721" s="246"/>
      <c r="O721" s="246"/>
      <c r="P721" s="246"/>
      <c r="Q721" s="246"/>
      <c r="R721" s="246">
        <f>IFERROR(VLOOKUP(D721,PROGRAMAS[],2,FALSE),0)</f>
        <v>97037803.679377079</v>
      </c>
      <c r="S721" s="246">
        <f>IFERROR(VLOOKUP(E721,PROGRAMAS[],2,FALSE),0)</f>
        <v>640501509.6821388</v>
      </c>
      <c r="T721" s="246">
        <f>IFERROR(VLOOKUP(F721,PROGRAMAS[],2,FALSE),0)</f>
        <v>3062327798.1525245</v>
      </c>
      <c r="U721" s="246">
        <f>IFERROR(VLOOKUP(G721,PROGRAMAS[],2,FALSE),0)</f>
        <v>67697118.033011258</v>
      </c>
      <c r="V721" s="246">
        <f>IFERROR(VLOOKUP(H721,PROGRAMAS[],2,FALSE),0)</f>
        <v>6128579952.1618185</v>
      </c>
      <c r="W721" s="246">
        <f>IFERROR(VLOOKUP(I721,PROGRAMAS[],2,FALSE),0)</f>
        <v>764796700.79905891</v>
      </c>
      <c r="X721" s="246">
        <f>IFERROR(VLOOKUP(J721,PROGRAMAS[],2,FALSE),0)</f>
        <v>3776538594.4604583</v>
      </c>
      <c r="Y721" s="246">
        <f>IFERROR(VLOOKUP(K721,PROGRAMAS[],2,FALSE),0)</f>
        <v>1892779498.5211046</v>
      </c>
      <c r="Z721" s="246">
        <f>IFERROR(VLOOKUP(L721,PROGRAMAS[],2,FALSE),0)</f>
        <v>0</v>
      </c>
      <c r="AA721" s="246">
        <f>IFERROR(VLOOKUP(M721,PROGRAMAS[],2,FALSE),0)</f>
        <v>0</v>
      </c>
      <c r="AB721" s="246">
        <f>IFERROR(VLOOKUP(N721,PROGRAMAS[],2,FALSE),0)</f>
        <v>0</v>
      </c>
      <c r="AC721" s="246">
        <f>IFERROR(VLOOKUP(O721,PROGRAMAS[],2,FALSE),0)</f>
        <v>0</v>
      </c>
      <c r="AD721" s="246">
        <f>IFERROR(VLOOKUP(P721,PROGRAMAS[],2,FALSE),0)</f>
        <v>0</v>
      </c>
      <c r="AE721" s="246">
        <f>IFERROR(VLOOKUP(Q721,PROGRAMAS[],2,FALSE),0)</f>
        <v>0</v>
      </c>
      <c r="AF721" s="246">
        <f>IFERROR(VLOOKUP(D721,PROGRAMAS[],3,FALSE),0)</f>
        <v>841888629.31080008</v>
      </c>
      <c r="AG721" s="246">
        <f>IFERROR(VLOOKUP(E721,PROGRAMAS[],3,FALSE),0)</f>
        <v>3848980803.1642323</v>
      </c>
      <c r="AH721" s="246">
        <f>IFERROR(VLOOKUP(F721,PROGRAMAS[],3,FALSE),0)</f>
        <v>3394901471.387517</v>
      </c>
      <c r="AI721" s="246">
        <f>IFERROR(VLOOKUP(G721,PROGRAMAS[],3,FALSE),0)</f>
        <v>125317226.95549992</v>
      </c>
      <c r="AJ721" s="246">
        <f>IFERROR(VLOOKUP(H721,PROGRAMAS[],3,FALSE),0)</f>
        <v>7011279577.519702</v>
      </c>
      <c r="AK721" s="246">
        <f>IFERROR(VLOOKUP(I721,PROGRAMAS[],3,FALSE),0)</f>
        <v>675517840.109828</v>
      </c>
      <c r="AL721" s="246">
        <f>IFERROR(VLOOKUP(J721,PROGRAMAS[],3,FALSE),0)</f>
        <v>2392571243.5584412</v>
      </c>
      <c r="AM721" s="246">
        <f>IFERROR(VLOOKUP(K721,PROGRAMAS[],3,FALSE),0)</f>
        <v>948595847.09039903</v>
      </c>
      <c r="AN721" s="246">
        <f>IFERROR(VLOOKUP(L721,PROGRAMAS[],3,FALSE),0)</f>
        <v>0</v>
      </c>
      <c r="AO721" s="246">
        <f>IFERROR(VLOOKUP(M721,PROGRAMAS[],3,FALSE),0)</f>
        <v>0</v>
      </c>
      <c r="AP721" s="246">
        <f>IFERROR(VLOOKUP(N721,PROGRAMAS[],3,FALSE),0)</f>
        <v>0</v>
      </c>
      <c r="AQ721" s="246">
        <f>IFERROR(VLOOKUP(O721,PROGRAMAS[],3,FALSE),0)</f>
        <v>0</v>
      </c>
      <c r="AR721" s="246">
        <f>IFERROR(VLOOKUP(P721,PROGRAMAS[],3,FALSE),0)</f>
        <v>0</v>
      </c>
      <c r="AS721" s="246">
        <f>IFERROR(VLOOKUP(Q721,PROGRAMAS[],3,FALSE),0)</f>
        <v>0</v>
      </c>
      <c r="AT721" s="246">
        <f>IFERROR(VLOOKUP(D721,VOL_REC[],2,FALSE),0)</f>
        <v>0</v>
      </c>
      <c r="AU721" s="246">
        <f>IFERROR(VLOOKUP(E721,VOL_REC[],2,FALSE),0)</f>
        <v>0</v>
      </c>
      <c r="AV721" s="246">
        <f>IFERROR(VLOOKUP(F721,VOL_REC[],2,FALSE),0)</f>
        <v>11089674.200000001</v>
      </c>
      <c r="AW721" s="246">
        <f>IFERROR(VLOOKUP(G721,VOL_REC[],2,FALSE),0)</f>
        <v>90439.55</v>
      </c>
      <c r="AX721" s="246">
        <f>IFERROR(VLOOKUP(H721,VOL_REC[],2,FALSE),0)</f>
        <v>3761786</v>
      </c>
      <c r="AY721" s="246">
        <f>IFERROR(VLOOKUP(I721,VOL_REC[],2,FALSE),0)</f>
        <v>240696.79238099116</v>
      </c>
      <c r="AZ721" s="246">
        <f>IFERROR(VLOOKUP(J721,VOL_REC[],2,FALSE),0)</f>
        <v>663244.80000000016</v>
      </c>
      <c r="BA721" s="246">
        <f>IFERROR(VLOOKUP(K721,VOL_REC[],2,FALSE),0)</f>
        <v>740113.98115702497</v>
      </c>
      <c r="BB721" s="246">
        <f>IFERROR(VLOOKUP(L721,VOL_REC[],2,FALSE),0)</f>
        <v>0</v>
      </c>
      <c r="BC721" s="246">
        <f>IFERROR(VLOOKUP(M721,VOL_REC[],2,FALSE),0)</f>
        <v>0</v>
      </c>
      <c r="BD721" s="246">
        <f>IFERROR(VLOOKUP(N721,VOL_REC[],2,FALSE),0)</f>
        <v>0</v>
      </c>
      <c r="BE721" s="246">
        <f>IFERROR(VLOOKUP(O721,VOL_REC[],2,FALSE),0)</f>
        <v>0</v>
      </c>
      <c r="BF721" s="246">
        <f>IFERROR(VLOOKUP(P721,VOL_REC[],2,FALSE),0)</f>
        <v>0</v>
      </c>
      <c r="BG721" s="246">
        <f>IFERROR(VLOOKUP(Q721,VOL_REC[],2,FALSE),0)</f>
        <v>0</v>
      </c>
      <c r="BH721" s="1710">
        <f t="shared" si="44"/>
        <v>16430258975.489492</v>
      </c>
      <c r="BI721" s="1710">
        <f t="shared" si="45"/>
        <v>19239052639.09642</v>
      </c>
      <c r="BJ721" s="1711">
        <f t="shared" si="46"/>
        <v>16585955.323538018</v>
      </c>
      <c r="BK721" s="1711">
        <f t="shared" si="47"/>
        <v>0.85400561470999514</v>
      </c>
    </row>
    <row r="722" spans="3:67" x14ac:dyDescent="0.25">
      <c r="C722" s="246" t="s">
        <v>2072</v>
      </c>
      <c r="D722" s="246">
        <v>1</v>
      </c>
      <c r="E722" s="246">
        <v>2</v>
      </c>
      <c r="F722" s="246">
        <v>3</v>
      </c>
      <c r="G722" s="246">
        <v>4</v>
      </c>
      <c r="H722" s="246">
        <v>9</v>
      </c>
      <c r="I722" s="246">
        <v>12</v>
      </c>
      <c r="J722" s="246">
        <v>14</v>
      </c>
      <c r="K722" s="246">
        <v>15</v>
      </c>
      <c r="L722" s="246"/>
      <c r="M722" s="246"/>
      <c r="N722" s="246"/>
      <c r="O722" s="246"/>
      <c r="P722" s="246"/>
      <c r="Q722" s="246"/>
      <c r="R722" s="246">
        <f>IFERROR(VLOOKUP(D722,PROGRAMAS[],2,FALSE),0)</f>
        <v>97037803.679377079</v>
      </c>
      <c r="S722" s="246">
        <f>IFERROR(VLOOKUP(E722,PROGRAMAS[],2,FALSE),0)</f>
        <v>640501509.6821388</v>
      </c>
      <c r="T722" s="246">
        <f>IFERROR(VLOOKUP(F722,PROGRAMAS[],2,FALSE),0)</f>
        <v>3062327798.1525245</v>
      </c>
      <c r="U722" s="246">
        <f>IFERROR(VLOOKUP(G722,PROGRAMAS[],2,FALSE),0)</f>
        <v>67697118.033011258</v>
      </c>
      <c r="V722" s="246">
        <f>IFERROR(VLOOKUP(H722,PROGRAMAS[],2,FALSE),0)</f>
        <v>6128579952.1618185</v>
      </c>
      <c r="W722" s="246">
        <f>IFERROR(VLOOKUP(I722,PROGRAMAS[],2,FALSE),0)</f>
        <v>764796700.79905891</v>
      </c>
      <c r="X722" s="246">
        <f>IFERROR(VLOOKUP(J722,PROGRAMAS[],2,FALSE),0)</f>
        <v>54223862.645839565</v>
      </c>
      <c r="Y722" s="246">
        <f>IFERROR(VLOOKUP(K722,PROGRAMAS[],2,FALSE),0)</f>
        <v>122159672.96346797</v>
      </c>
      <c r="Z722" s="246">
        <f>IFERROR(VLOOKUP(L722,PROGRAMAS[],2,FALSE),0)</f>
        <v>0</v>
      </c>
      <c r="AA722" s="246">
        <f>IFERROR(VLOOKUP(M722,PROGRAMAS[],2,FALSE),0)</f>
        <v>0</v>
      </c>
      <c r="AB722" s="246">
        <f>IFERROR(VLOOKUP(N722,PROGRAMAS[],2,FALSE),0)</f>
        <v>0</v>
      </c>
      <c r="AC722" s="246">
        <f>IFERROR(VLOOKUP(O722,PROGRAMAS[],2,FALSE),0)</f>
        <v>0</v>
      </c>
      <c r="AD722" s="246">
        <f>IFERROR(VLOOKUP(P722,PROGRAMAS[],2,FALSE),0)</f>
        <v>0</v>
      </c>
      <c r="AE722" s="246">
        <f>IFERROR(VLOOKUP(Q722,PROGRAMAS[],2,FALSE),0)</f>
        <v>0</v>
      </c>
      <c r="AF722" s="246">
        <f>IFERROR(VLOOKUP(D722,PROGRAMAS[],3,FALSE),0)</f>
        <v>841888629.31080008</v>
      </c>
      <c r="AG722" s="246">
        <f>IFERROR(VLOOKUP(E722,PROGRAMAS[],3,FALSE),0)</f>
        <v>3848980803.1642323</v>
      </c>
      <c r="AH722" s="246">
        <f>IFERROR(VLOOKUP(F722,PROGRAMAS[],3,FALSE),0)</f>
        <v>3394901471.387517</v>
      </c>
      <c r="AI722" s="246">
        <f>IFERROR(VLOOKUP(G722,PROGRAMAS[],3,FALSE),0)</f>
        <v>125317226.95549992</v>
      </c>
      <c r="AJ722" s="246">
        <f>IFERROR(VLOOKUP(H722,PROGRAMAS[],3,FALSE),0)</f>
        <v>7011279577.519702</v>
      </c>
      <c r="AK722" s="246">
        <f>IFERROR(VLOOKUP(I722,PROGRAMAS[],3,FALSE),0)</f>
        <v>675517840.109828</v>
      </c>
      <c r="AL722" s="246">
        <f>IFERROR(VLOOKUP(J722,PROGRAMAS[],3,FALSE),0)</f>
        <v>31865326.38096505</v>
      </c>
      <c r="AM722" s="246">
        <f>IFERROR(VLOOKUP(K722,PROGRAMAS[],3,FALSE),0)</f>
        <v>118617452.52510804</v>
      </c>
      <c r="AN722" s="246">
        <f>IFERROR(VLOOKUP(L722,PROGRAMAS[],3,FALSE),0)</f>
        <v>0</v>
      </c>
      <c r="AO722" s="246">
        <f>IFERROR(VLOOKUP(M722,PROGRAMAS[],3,FALSE),0)</f>
        <v>0</v>
      </c>
      <c r="AP722" s="246">
        <f>IFERROR(VLOOKUP(N722,PROGRAMAS[],3,FALSE),0)</f>
        <v>0</v>
      </c>
      <c r="AQ722" s="246">
        <f>IFERROR(VLOOKUP(O722,PROGRAMAS[],3,FALSE),0)</f>
        <v>0</v>
      </c>
      <c r="AR722" s="246">
        <f>IFERROR(VLOOKUP(P722,PROGRAMAS[],3,FALSE),0)</f>
        <v>0</v>
      </c>
      <c r="AS722" s="246">
        <f>IFERROR(VLOOKUP(Q722,PROGRAMAS[],3,FALSE),0)</f>
        <v>0</v>
      </c>
      <c r="AT722" s="246">
        <f>IFERROR(VLOOKUP(D722,VOL_REC[],2,FALSE),0)</f>
        <v>0</v>
      </c>
      <c r="AU722" s="246">
        <f>IFERROR(VLOOKUP(E722,VOL_REC[],2,FALSE),0)</f>
        <v>0</v>
      </c>
      <c r="AV722" s="246">
        <f>IFERROR(VLOOKUP(F722,VOL_REC[],2,FALSE),0)</f>
        <v>11089674.200000001</v>
      </c>
      <c r="AW722" s="246">
        <f>IFERROR(VLOOKUP(G722,VOL_REC[],2,FALSE),0)</f>
        <v>90439.55</v>
      </c>
      <c r="AX722" s="246">
        <f>IFERROR(VLOOKUP(H722,VOL_REC[],2,FALSE),0)</f>
        <v>3761786</v>
      </c>
      <c r="AY722" s="246">
        <f>IFERROR(VLOOKUP(I722,VOL_REC[],2,FALSE),0)</f>
        <v>240696.79238099116</v>
      </c>
      <c r="AZ722" s="246">
        <f>IFERROR(VLOOKUP(J722,VOL_REC[],2,FALSE),0)</f>
        <v>17074.045034105649</v>
      </c>
      <c r="BA722" s="246">
        <f>IFERROR(VLOOKUP(K722,VOL_REC[],2,FALSE),0)</f>
        <v>105072</v>
      </c>
      <c r="BB722" s="246">
        <f>IFERROR(VLOOKUP(L722,VOL_REC[],2,FALSE),0)</f>
        <v>0</v>
      </c>
      <c r="BC722" s="246">
        <f>IFERROR(VLOOKUP(M722,VOL_REC[],2,FALSE),0)</f>
        <v>0</v>
      </c>
      <c r="BD722" s="246">
        <f>IFERROR(VLOOKUP(N722,VOL_REC[],2,FALSE),0)</f>
        <v>0</v>
      </c>
      <c r="BE722" s="246">
        <f>IFERROR(VLOOKUP(O722,VOL_REC[],2,FALSE),0)</f>
        <v>0</v>
      </c>
      <c r="BF722" s="246">
        <f>IFERROR(VLOOKUP(P722,VOL_REC[],2,FALSE),0)</f>
        <v>0</v>
      </c>
      <c r="BG722" s="246">
        <f>IFERROR(VLOOKUP(Q722,VOL_REC[],2,FALSE),0)</f>
        <v>0</v>
      </c>
      <c r="BH722" s="1710">
        <f t="shared" si="44"/>
        <v>10937324418.117237</v>
      </c>
      <c r="BI722" s="1710">
        <f t="shared" si="45"/>
        <v>16048368327.353651</v>
      </c>
      <c r="BJ722" s="1711">
        <f t="shared" si="46"/>
        <v>15304742.587415097</v>
      </c>
      <c r="BK722" s="1711">
        <f t="shared" si="47"/>
        <v>0.68152251961186039</v>
      </c>
    </row>
    <row r="723" spans="3:67" x14ac:dyDescent="0.25">
      <c r="C723" s="246" t="s">
        <v>2073</v>
      </c>
      <c r="D723" s="246">
        <v>1</v>
      </c>
      <c r="E723" s="246">
        <v>2</v>
      </c>
      <c r="F723" s="246">
        <v>3</v>
      </c>
      <c r="G723" s="246">
        <v>4</v>
      </c>
      <c r="H723" s="246">
        <v>9</v>
      </c>
      <c r="I723" s="246">
        <v>12</v>
      </c>
      <c r="J723" s="246">
        <v>14</v>
      </c>
      <c r="K723" s="246">
        <v>16</v>
      </c>
      <c r="L723" s="246"/>
      <c r="M723" s="246"/>
      <c r="N723" s="246"/>
      <c r="O723" s="246"/>
      <c r="P723" s="246"/>
      <c r="Q723" s="246"/>
      <c r="R723" s="246">
        <f>IFERROR(VLOOKUP(D723,PROGRAMAS[],2,FALSE),0)</f>
        <v>97037803.679377079</v>
      </c>
      <c r="S723" s="246">
        <f>IFERROR(VLOOKUP(E723,PROGRAMAS[],2,FALSE),0)</f>
        <v>640501509.6821388</v>
      </c>
      <c r="T723" s="246">
        <f>IFERROR(VLOOKUP(F723,PROGRAMAS[],2,FALSE),0)</f>
        <v>3062327798.1525245</v>
      </c>
      <c r="U723" s="246">
        <f>IFERROR(VLOOKUP(G723,PROGRAMAS[],2,FALSE),0)</f>
        <v>67697118.033011258</v>
      </c>
      <c r="V723" s="246">
        <f>IFERROR(VLOOKUP(H723,PROGRAMAS[],2,FALSE),0)</f>
        <v>6128579952.1618185</v>
      </c>
      <c r="W723" s="246">
        <f>IFERROR(VLOOKUP(I723,PROGRAMAS[],2,FALSE),0)</f>
        <v>764796700.79905891</v>
      </c>
      <c r="X723" s="246">
        <f>IFERROR(VLOOKUP(J723,PROGRAMAS[],2,FALSE),0)</f>
        <v>54223862.645839565</v>
      </c>
      <c r="Y723" s="246">
        <f>IFERROR(VLOOKUP(K723,PROGRAMAS[],2,FALSE),0)</f>
        <v>7068496961.0436354</v>
      </c>
      <c r="Z723" s="246">
        <f>IFERROR(VLOOKUP(L723,PROGRAMAS[],2,FALSE),0)</f>
        <v>0</v>
      </c>
      <c r="AA723" s="246">
        <f>IFERROR(VLOOKUP(M723,PROGRAMAS[],2,FALSE),0)</f>
        <v>0</v>
      </c>
      <c r="AB723" s="246">
        <f>IFERROR(VLOOKUP(N723,PROGRAMAS[],2,FALSE),0)</f>
        <v>0</v>
      </c>
      <c r="AC723" s="246">
        <f>IFERROR(VLOOKUP(O723,PROGRAMAS[],2,FALSE),0)</f>
        <v>0</v>
      </c>
      <c r="AD723" s="246">
        <f>IFERROR(VLOOKUP(P723,PROGRAMAS[],2,FALSE),0)</f>
        <v>0</v>
      </c>
      <c r="AE723" s="246">
        <f>IFERROR(VLOOKUP(Q723,PROGRAMAS[],2,FALSE),0)</f>
        <v>0</v>
      </c>
      <c r="AF723" s="246">
        <f>IFERROR(VLOOKUP(D723,PROGRAMAS[],3,FALSE),0)</f>
        <v>841888629.31080008</v>
      </c>
      <c r="AG723" s="246">
        <f>IFERROR(VLOOKUP(E723,PROGRAMAS[],3,FALSE),0)</f>
        <v>3848980803.1642323</v>
      </c>
      <c r="AH723" s="246">
        <f>IFERROR(VLOOKUP(F723,PROGRAMAS[],3,FALSE),0)</f>
        <v>3394901471.387517</v>
      </c>
      <c r="AI723" s="246">
        <f>IFERROR(VLOOKUP(G723,PROGRAMAS[],3,FALSE),0)</f>
        <v>125317226.95549992</v>
      </c>
      <c r="AJ723" s="246">
        <f>IFERROR(VLOOKUP(H723,PROGRAMAS[],3,FALSE),0)</f>
        <v>7011279577.519702</v>
      </c>
      <c r="AK723" s="246">
        <f>IFERROR(VLOOKUP(I723,PROGRAMAS[],3,FALSE),0)</f>
        <v>675517840.109828</v>
      </c>
      <c r="AL723" s="246">
        <f>IFERROR(VLOOKUP(J723,PROGRAMAS[],3,FALSE),0)</f>
        <v>31865326.38096505</v>
      </c>
      <c r="AM723" s="246">
        <f>IFERROR(VLOOKUP(K723,PROGRAMAS[],3,FALSE),0)</f>
        <v>2406564599.0319901</v>
      </c>
      <c r="AN723" s="246">
        <f>IFERROR(VLOOKUP(L723,PROGRAMAS[],3,FALSE),0)</f>
        <v>0</v>
      </c>
      <c r="AO723" s="246">
        <f>IFERROR(VLOOKUP(M723,PROGRAMAS[],3,FALSE),0)</f>
        <v>0</v>
      </c>
      <c r="AP723" s="246">
        <f>IFERROR(VLOOKUP(N723,PROGRAMAS[],3,FALSE),0)</f>
        <v>0</v>
      </c>
      <c r="AQ723" s="246">
        <f>IFERROR(VLOOKUP(O723,PROGRAMAS[],3,FALSE),0)</f>
        <v>0</v>
      </c>
      <c r="AR723" s="246">
        <f>IFERROR(VLOOKUP(P723,PROGRAMAS[],3,FALSE),0)</f>
        <v>0</v>
      </c>
      <c r="AS723" s="246">
        <f>IFERROR(VLOOKUP(Q723,PROGRAMAS[],3,FALSE),0)</f>
        <v>0</v>
      </c>
      <c r="AT723" s="246">
        <f>IFERROR(VLOOKUP(D723,VOL_REC[],2,FALSE),0)</f>
        <v>0</v>
      </c>
      <c r="AU723" s="246">
        <f>IFERROR(VLOOKUP(E723,VOL_REC[],2,FALSE),0)</f>
        <v>0</v>
      </c>
      <c r="AV723" s="246">
        <f>IFERROR(VLOOKUP(F723,VOL_REC[],2,FALSE),0)</f>
        <v>11089674.200000001</v>
      </c>
      <c r="AW723" s="246">
        <f>IFERROR(VLOOKUP(G723,VOL_REC[],2,FALSE),0)</f>
        <v>90439.55</v>
      </c>
      <c r="AX723" s="246">
        <f>IFERROR(VLOOKUP(H723,VOL_REC[],2,FALSE),0)</f>
        <v>3761786</v>
      </c>
      <c r="AY723" s="246">
        <f>IFERROR(VLOOKUP(I723,VOL_REC[],2,FALSE),0)</f>
        <v>240696.79238099116</v>
      </c>
      <c r="AZ723" s="246">
        <f>IFERROR(VLOOKUP(J723,VOL_REC[],2,FALSE),0)</f>
        <v>17074.045034105649</v>
      </c>
      <c r="BA723" s="246">
        <f>IFERROR(VLOOKUP(K723,VOL_REC[],2,FALSE),0)</f>
        <v>1072354.9981737854</v>
      </c>
      <c r="BB723" s="246">
        <f>IFERROR(VLOOKUP(L723,VOL_REC[],2,FALSE),0)</f>
        <v>0</v>
      </c>
      <c r="BC723" s="246">
        <f>IFERROR(VLOOKUP(M723,VOL_REC[],2,FALSE),0)</f>
        <v>0</v>
      </c>
      <c r="BD723" s="246">
        <f>IFERROR(VLOOKUP(N723,VOL_REC[],2,FALSE),0)</f>
        <v>0</v>
      </c>
      <c r="BE723" s="246">
        <f>IFERROR(VLOOKUP(O723,VOL_REC[],2,FALSE),0)</f>
        <v>0</v>
      </c>
      <c r="BF723" s="246">
        <f>IFERROR(VLOOKUP(P723,VOL_REC[],2,FALSE),0)</f>
        <v>0</v>
      </c>
      <c r="BG723" s="246">
        <f>IFERROR(VLOOKUP(Q723,VOL_REC[],2,FALSE),0)</f>
        <v>0</v>
      </c>
      <c r="BH723" s="1710">
        <f t="shared" si="44"/>
        <v>17883661706.197403</v>
      </c>
      <c r="BI723" s="1710">
        <f t="shared" si="45"/>
        <v>18336315473.860535</v>
      </c>
      <c r="BJ723" s="1711">
        <f t="shared" si="46"/>
        <v>16272025.585588884</v>
      </c>
      <c r="BK723" s="1711">
        <f t="shared" si="47"/>
        <v>0.97531381000133777</v>
      </c>
    </row>
    <row r="724" spans="3:67" x14ac:dyDescent="0.25">
      <c r="C724" s="246" t="s">
        <v>2074</v>
      </c>
      <c r="D724" s="246">
        <v>1</v>
      </c>
      <c r="E724" s="246">
        <v>2</v>
      </c>
      <c r="F724" s="246">
        <v>3</v>
      </c>
      <c r="G724" s="246">
        <v>4</v>
      </c>
      <c r="H724" s="246">
        <v>9</v>
      </c>
      <c r="I724" s="246">
        <v>12</v>
      </c>
      <c r="J724" s="246">
        <v>14</v>
      </c>
      <c r="K724" s="246">
        <v>17</v>
      </c>
      <c r="L724" s="246"/>
      <c r="M724" s="246"/>
      <c r="N724" s="246"/>
      <c r="O724" s="246"/>
      <c r="P724" s="246"/>
      <c r="Q724" s="246"/>
      <c r="R724" s="246">
        <f>IFERROR(VLOOKUP(D724,PROGRAMAS[],2,FALSE),0)</f>
        <v>97037803.679377079</v>
      </c>
      <c r="S724" s="246">
        <f>IFERROR(VLOOKUP(E724,PROGRAMAS[],2,FALSE),0)</f>
        <v>640501509.6821388</v>
      </c>
      <c r="T724" s="246">
        <f>IFERROR(VLOOKUP(F724,PROGRAMAS[],2,FALSE),0)</f>
        <v>3062327798.1525245</v>
      </c>
      <c r="U724" s="246">
        <f>IFERROR(VLOOKUP(G724,PROGRAMAS[],2,FALSE),0)</f>
        <v>67697118.033011258</v>
      </c>
      <c r="V724" s="246">
        <f>IFERROR(VLOOKUP(H724,PROGRAMAS[],2,FALSE),0)</f>
        <v>6128579952.1618185</v>
      </c>
      <c r="W724" s="246">
        <f>IFERROR(VLOOKUP(I724,PROGRAMAS[],2,FALSE),0)</f>
        <v>764796700.79905891</v>
      </c>
      <c r="X724" s="246">
        <f>IFERROR(VLOOKUP(J724,PROGRAMAS[],2,FALSE),0)</f>
        <v>54223862.645839565</v>
      </c>
      <c r="Y724" s="246">
        <f>IFERROR(VLOOKUP(K724,PROGRAMAS[],2,FALSE),0)</f>
        <v>1892779498.5211046</v>
      </c>
      <c r="Z724" s="246">
        <f>IFERROR(VLOOKUP(L724,PROGRAMAS[],2,FALSE),0)</f>
        <v>0</v>
      </c>
      <c r="AA724" s="246">
        <f>IFERROR(VLOOKUP(M724,PROGRAMAS[],2,FALSE),0)</f>
        <v>0</v>
      </c>
      <c r="AB724" s="246">
        <f>IFERROR(VLOOKUP(N724,PROGRAMAS[],2,FALSE),0)</f>
        <v>0</v>
      </c>
      <c r="AC724" s="246">
        <f>IFERROR(VLOOKUP(O724,PROGRAMAS[],2,FALSE),0)</f>
        <v>0</v>
      </c>
      <c r="AD724" s="246">
        <f>IFERROR(VLOOKUP(P724,PROGRAMAS[],2,FALSE),0)</f>
        <v>0</v>
      </c>
      <c r="AE724" s="246">
        <f>IFERROR(VLOOKUP(Q724,PROGRAMAS[],2,FALSE),0)</f>
        <v>0</v>
      </c>
      <c r="AF724" s="246">
        <f>IFERROR(VLOOKUP(D724,PROGRAMAS[],3,FALSE),0)</f>
        <v>841888629.31080008</v>
      </c>
      <c r="AG724" s="246">
        <f>IFERROR(VLOOKUP(E724,PROGRAMAS[],3,FALSE),0)</f>
        <v>3848980803.1642323</v>
      </c>
      <c r="AH724" s="246">
        <f>IFERROR(VLOOKUP(F724,PROGRAMAS[],3,FALSE),0)</f>
        <v>3394901471.387517</v>
      </c>
      <c r="AI724" s="246">
        <f>IFERROR(VLOOKUP(G724,PROGRAMAS[],3,FALSE),0)</f>
        <v>125317226.95549992</v>
      </c>
      <c r="AJ724" s="246">
        <f>IFERROR(VLOOKUP(H724,PROGRAMAS[],3,FALSE),0)</f>
        <v>7011279577.519702</v>
      </c>
      <c r="AK724" s="246">
        <f>IFERROR(VLOOKUP(I724,PROGRAMAS[],3,FALSE),0)</f>
        <v>675517840.109828</v>
      </c>
      <c r="AL724" s="246">
        <f>IFERROR(VLOOKUP(J724,PROGRAMAS[],3,FALSE),0)</f>
        <v>31865326.38096505</v>
      </c>
      <c r="AM724" s="246">
        <f>IFERROR(VLOOKUP(K724,PROGRAMAS[],3,FALSE),0)</f>
        <v>948595847.09039903</v>
      </c>
      <c r="AN724" s="246">
        <f>IFERROR(VLOOKUP(L724,PROGRAMAS[],3,FALSE),0)</f>
        <v>0</v>
      </c>
      <c r="AO724" s="246">
        <f>IFERROR(VLOOKUP(M724,PROGRAMAS[],3,FALSE),0)</f>
        <v>0</v>
      </c>
      <c r="AP724" s="246">
        <f>IFERROR(VLOOKUP(N724,PROGRAMAS[],3,FALSE),0)</f>
        <v>0</v>
      </c>
      <c r="AQ724" s="246">
        <f>IFERROR(VLOOKUP(O724,PROGRAMAS[],3,FALSE),0)</f>
        <v>0</v>
      </c>
      <c r="AR724" s="246">
        <f>IFERROR(VLOOKUP(P724,PROGRAMAS[],3,FALSE),0)</f>
        <v>0</v>
      </c>
      <c r="AS724" s="246">
        <f>IFERROR(VLOOKUP(Q724,PROGRAMAS[],3,FALSE),0)</f>
        <v>0</v>
      </c>
      <c r="AT724" s="246">
        <f>IFERROR(VLOOKUP(D724,VOL_REC[],2,FALSE),0)</f>
        <v>0</v>
      </c>
      <c r="AU724" s="246">
        <f>IFERROR(VLOOKUP(E724,VOL_REC[],2,FALSE),0)</f>
        <v>0</v>
      </c>
      <c r="AV724" s="246">
        <f>IFERROR(VLOOKUP(F724,VOL_REC[],2,FALSE),0)</f>
        <v>11089674.200000001</v>
      </c>
      <c r="AW724" s="246">
        <f>IFERROR(VLOOKUP(G724,VOL_REC[],2,FALSE),0)</f>
        <v>90439.55</v>
      </c>
      <c r="AX724" s="246">
        <f>IFERROR(VLOOKUP(H724,VOL_REC[],2,FALSE),0)</f>
        <v>3761786</v>
      </c>
      <c r="AY724" s="246">
        <f>IFERROR(VLOOKUP(I724,VOL_REC[],2,FALSE),0)</f>
        <v>240696.79238099116</v>
      </c>
      <c r="AZ724" s="246">
        <f>IFERROR(VLOOKUP(J724,VOL_REC[],2,FALSE),0)</f>
        <v>17074.045034105649</v>
      </c>
      <c r="BA724" s="246">
        <f>IFERROR(VLOOKUP(K724,VOL_REC[],2,FALSE),0)</f>
        <v>740113.98115702497</v>
      </c>
      <c r="BB724" s="246">
        <f>IFERROR(VLOOKUP(L724,VOL_REC[],2,FALSE),0)</f>
        <v>0</v>
      </c>
      <c r="BC724" s="246">
        <f>IFERROR(VLOOKUP(M724,VOL_REC[],2,FALSE),0)</f>
        <v>0</v>
      </c>
      <c r="BD724" s="246">
        <f>IFERROR(VLOOKUP(N724,VOL_REC[],2,FALSE),0)</f>
        <v>0</v>
      </c>
      <c r="BE724" s="246">
        <f>IFERROR(VLOOKUP(O724,VOL_REC[],2,FALSE),0)</f>
        <v>0</v>
      </c>
      <c r="BF724" s="246">
        <f>IFERROR(VLOOKUP(P724,VOL_REC[],2,FALSE),0)</f>
        <v>0</v>
      </c>
      <c r="BG724" s="246">
        <f>IFERROR(VLOOKUP(Q724,VOL_REC[],2,FALSE),0)</f>
        <v>0</v>
      </c>
      <c r="BH724" s="1710">
        <f t="shared" si="44"/>
        <v>12707944243.674873</v>
      </c>
      <c r="BI724" s="1710">
        <f t="shared" si="45"/>
        <v>16878346721.918941</v>
      </c>
      <c r="BJ724" s="1711">
        <f t="shared" si="46"/>
        <v>15939784.568572123</v>
      </c>
      <c r="BK724" s="1711">
        <f t="shared" si="47"/>
        <v>0.75291404146662033</v>
      </c>
    </row>
    <row r="725" spans="3:67" x14ac:dyDescent="0.25">
      <c r="C725" s="246" t="s">
        <v>2075</v>
      </c>
      <c r="D725" s="246">
        <v>1</v>
      </c>
      <c r="E725" s="246">
        <v>2</v>
      </c>
      <c r="F725" s="246">
        <v>3</v>
      </c>
      <c r="G725" s="246">
        <v>4</v>
      </c>
      <c r="H725" s="246">
        <v>9</v>
      </c>
      <c r="I725" s="246">
        <v>12</v>
      </c>
      <c r="J725" s="246">
        <v>15</v>
      </c>
      <c r="K725" s="246">
        <v>16</v>
      </c>
      <c r="L725" s="246"/>
      <c r="M725" s="246"/>
      <c r="N725" s="246"/>
      <c r="O725" s="246"/>
      <c r="P725" s="246"/>
      <c r="Q725" s="246"/>
      <c r="R725" s="246">
        <f>IFERROR(VLOOKUP(D725,PROGRAMAS[],2,FALSE),0)</f>
        <v>97037803.679377079</v>
      </c>
      <c r="S725" s="246">
        <f>IFERROR(VLOOKUP(E725,PROGRAMAS[],2,FALSE),0)</f>
        <v>640501509.6821388</v>
      </c>
      <c r="T725" s="246">
        <f>IFERROR(VLOOKUP(F725,PROGRAMAS[],2,FALSE),0)</f>
        <v>3062327798.1525245</v>
      </c>
      <c r="U725" s="246">
        <f>IFERROR(VLOOKUP(G725,PROGRAMAS[],2,FALSE),0)</f>
        <v>67697118.033011258</v>
      </c>
      <c r="V725" s="246">
        <f>IFERROR(VLOOKUP(H725,PROGRAMAS[],2,FALSE),0)</f>
        <v>6128579952.1618185</v>
      </c>
      <c r="W725" s="246">
        <f>IFERROR(VLOOKUP(I725,PROGRAMAS[],2,FALSE),0)</f>
        <v>764796700.79905891</v>
      </c>
      <c r="X725" s="246">
        <f>IFERROR(VLOOKUP(J725,PROGRAMAS[],2,FALSE),0)</f>
        <v>122159672.96346797</v>
      </c>
      <c r="Y725" s="246">
        <f>IFERROR(VLOOKUP(K725,PROGRAMAS[],2,FALSE),0)</f>
        <v>7068496961.0436354</v>
      </c>
      <c r="Z725" s="246">
        <f>IFERROR(VLOOKUP(L725,PROGRAMAS[],2,FALSE),0)</f>
        <v>0</v>
      </c>
      <c r="AA725" s="246">
        <f>IFERROR(VLOOKUP(M725,PROGRAMAS[],2,FALSE),0)</f>
        <v>0</v>
      </c>
      <c r="AB725" s="246">
        <f>IFERROR(VLOOKUP(N725,PROGRAMAS[],2,FALSE),0)</f>
        <v>0</v>
      </c>
      <c r="AC725" s="246">
        <f>IFERROR(VLOOKUP(O725,PROGRAMAS[],2,FALSE),0)</f>
        <v>0</v>
      </c>
      <c r="AD725" s="246">
        <f>IFERROR(VLOOKUP(P725,PROGRAMAS[],2,FALSE),0)</f>
        <v>0</v>
      </c>
      <c r="AE725" s="246">
        <f>IFERROR(VLOOKUP(Q725,PROGRAMAS[],2,FALSE),0)</f>
        <v>0</v>
      </c>
      <c r="AF725" s="246">
        <f>IFERROR(VLOOKUP(D725,PROGRAMAS[],3,FALSE),0)</f>
        <v>841888629.31080008</v>
      </c>
      <c r="AG725" s="246">
        <f>IFERROR(VLOOKUP(E725,PROGRAMAS[],3,FALSE),0)</f>
        <v>3848980803.1642323</v>
      </c>
      <c r="AH725" s="246">
        <f>IFERROR(VLOOKUP(F725,PROGRAMAS[],3,FALSE),0)</f>
        <v>3394901471.387517</v>
      </c>
      <c r="AI725" s="246">
        <f>IFERROR(VLOOKUP(G725,PROGRAMAS[],3,FALSE),0)</f>
        <v>125317226.95549992</v>
      </c>
      <c r="AJ725" s="246">
        <f>IFERROR(VLOOKUP(H725,PROGRAMAS[],3,FALSE),0)</f>
        <v>7011279577.519702</v>
      </c>
      <c r="AK725" s="246">
        <f>IFERROR(VLOOKUP(I725,PROGRAMAS[],3,FALSE),0)</f>
        <v>675517840.109828</v>
      </c>
      <c r="AL725" s="246">
        <f>IFERROR(VLOOKUP(J725,PROGRAMAS[],3,FALSE),0)</f>
        <v>118617452.52510804</v>
      </c>
      <c r="AM725" s="246">
        <f>IFERROR(VLOOKUP(K725,PROGRAMAS[],3,FALSE),0)</f>
        <v>2406564599.0319901</v>
      </c>
      <c r="AN725" s="246">
        <f>IFERROR(VLOOKUP(L725,PROGRAMAS[],3,FALSE),0)</f>
        <v>0</v>
      </c>
      <c r="AO725" s="246">
        <f>IFERROR(VLOOKUP(M725,PROGRAMAS[],3,FALSE),0)</f>
        <v>0</v>
      </c>
      <c r="AP725" s="246">
        <f>IFERROR(VLOOKUP(N725,PROGRAMAS[],3,FALSE),0)</f>
        <v>0</v>
      </c>
      <c r="AQ725" s="246">
        <f>IFERROR(VLOOKUP(O725,PROGRAMAS[],3,FALSE),0)</f>
        <v>0</v>
      </c>
      <c r="AR725" s="246">
        <f>IFERROR(VLOOKUP(P725,PROGRAMAS[],3,FALSE),0)</f>
        <v>0</v>
      </c>
      <c r="AS725" s="246">
        <f>IFERROR(VLOOKUP(Q725,PROGRAMAS[],3,FALSE),0)</f>
        <v>0</v>
      </c>
      <c r="AT725" s="246">
        <f>IFERROR(VLOOKUP(D725,VOL_REC[],2,FALSE),0)</f>
        <v>0</v>
      </c>
      <c r="AU725" s="246">
        <f>IFERROR(VLOOKUP(E725,VOL_REC[],2,FALSE),0)</f>
        <v>0</v>
      </c>
      <c r="AV725" s="246">
        <f>IFERROR(VLOOKUP(F725,VOL_REC[],2,FALSE),0)</f>
        <v>11089674.200000001</v>
      </c>
      <c r="AW725" s="246">
        <f>IFERROR(VLOOKUP(G725,VOL_REC[],2,FALSE),0)</f>
        <v>90439.55</v>
      </c>
      <c r="AX725" s="246">
        <f>IFERROR(VLOOKUP(H725,VOL_REC[],2,FALSE),0)</f>
        <v>3761786</v>
      </c>
      <c r="AY725" s="246">
        <f>IFERROR(VLOOKUP(I725,VOL_REC[],2,FALSE),0)</f>
        <v>240696.79238099116</v>
      </c>
      <c r="AZ725" s="246">
        <f>IFERROR(VLOOKUP(J725,VOL_REC[],2,FALSE),0)</f>
        <v>105072</v>
      </c>
      <c r="BA725" s="246">
        <f>IFERROR(VLOOKUP(K725,VOL_REC[],2,FALSE),0)</f>
        <v>1072354.9981737854</v>
      </c>
      <c r="BB725" s="246">
        <f>IFERROR(VLOOKUP(L725,VOL_REC[],2,FALSE),0)</f>
        <v>0</v>
      </c>
      <c r="BC725" s="246">
        <f>IFERROR(VLOOKUP(M725,VOL_REC[],2,FALSE),0)</f>
        <v>0</v>
      </c>
      <c r="BD725" s="246">
        <f>IFERROR(VLOOKUP(N725,VOL_REC[],2,FALSE),0)</f>
        <v>0</v>
      </c>
      <c r="BE725" s="246">
        <f>IFERROR(VLOOKUP(O725,VOL_REC[],2,FALSE),0)</f>
        <v>0</v>
      </c>
      <c r="BF725" s="246">
        <f>IFERROR(VLOOKUP(P725,VOL_REC[],2,FALSE),0)</f>
        <v>0</v>
      </c>
      <c r="BG725" s="246">
        <f>IFERROR(VLOOKUP(Q725,VOL_REC[],2,FALSE),0)</f>
        <v>0</v>
      </c>
      <c r="BH725" s="1710">
        <f t="shared" si="44"/>
        <v>17951597516.515034</v>
      </c>
      <c r="BI725" s="1710">
        <f t="shared" si="45"/>
        <v>18423067600.004677</v>
      </c>
      <c r="BJ725" s="1711">
        <f t="shared" si="46"/>
        <v>16360023.540554777</v>
      </c>
      <c r="BK725" s="1711">
        <f t="shared" si="47"/>
        <v>0.97440870903119725</v>
      </c>
    </row>
    <row r="726" spans="3:67" x14ac:dyDescent="0.25">
      <c r="C726" s="246" t="s">
        <v>2076</v>
      </c>
      <c r="D726" s="246">
        <v>1</v>
      </c>
      <c r="E726" s="246">
        <v>2</v>
      </c>
      <c r="F726" s="246">
        <v>3</v>
      </c>
      <c r="G726" s="246">
        <v>4</v>
      </c>
      <c r="H726" s="246">
        <v>9</v>
      </c>
      <c r="I726" s="246">
        <v>12</v>
      </c>
      <c r="J726" s="246">
        <v>15</v>
      </c>
      <c r="K726" s="246">
        <v>17</v>
      </c>
      <c r="L726" s="246"/>
      <c r="M726" s="246"/>
      <c r="N726" s="246"/>
      <c r="O726" s="246"/>
      <c r="P726" s="246"/>
      <c r="Q726" s="246"/>
      <c r="R726" s="246">
        <f>IFERROR(VLOOKUP(D726,PROGRAMAS[],2,FALSE),0)</f>
        <v>97037803.679377079</v>
      </c>
      <c r="S726" s="246">
        <f>IFERROR(VLOOKUP(E726,PROGRAMAS[],2,FALSE),0)</f>
        <v>640501509.6821388</v>
      </c>
      <c r="T726" s="246">
        <f>IFERROR(VLOOKUP(F726,PROGRAMAS[],2,FALSE),0)</f>
        <v>3062327798.1525245</v>
      </c>
      <c r="U726" s="246">
        <f>IFERROR(VLOOKUP(G726,PROGRAMAS[],2,FALSE),0)</f>
        <v>67697118.033011258</v>
      </c>
      <c r="V726" s="246">
        <f>IFERROR(VLOOKUP(H726,PROGRAMAS[],2,FALSE),0)</f>
        <v>6128579952.1618185</v>
      </c>
      <c r="W726" s="246">
        <f>IFERROR(VLOOKUP(I726,PROGRAMAS[],2,FALSE),0)</f>
        <v>764796700.79905891</v>
      </c>
      <c r="X726" s="246">
        <f>IFERROR(VLOOKUP(J726,PROGRAMAS[],2,FALSE),0)</f>
        <v>122159672.96346797</v>
      </c>
      <c r="Y726" s="246">
        <f>IFERROR(VLOOKUP(K726,PROGRAMAS[],2,FALSE),0)</f>
        <v>1892779498.5211046</v>
      </c>
      <c r="Z726" s="246">
        <f>IFERROR(VLOOKUP(L726,PROGRAMAS[],2,FALSE),0)</f>
        <v>0</v>
      </c>
      <c r="AA726" s="246">
        <f>IFERROR(VLOOKUP(M726,PROGRAMAS[],2,FALSE),0)</f>
        <v>0</v>
      </c>
      <c r="AB726" s="246">
        <f>IFERROR(VLOOKUP(N726,PROGRAMAS[],2,FALSE),0)</f>
        <v>0</v>
      </c>
      <c r="AC726" s="246">
        <f>IFERROR(VLOOKUP(O726,PROGRAMAS[],2,FALSE),0)</f>
        <v>0</v>
      </c>
      <c r="AD726" s="246">
        <f>IFERROR(VLOOKUP(P726,PROGRAMAS[],2,FALSE),0)</f>
        <v>0</v>
      </c>
      <c r="AE726" s="246">
        <f>IFERROR(VLOOKUP(Q726,PROGRAMAS[],2,FALSE),0)</f>
        <v>0</v>
      </c>
      <c r="AF726" s="246">
        <f>IFERROR(VLOOKUP(D726,PROGRAMAS[],3,FALSE),0)</f>
        <v>841888629.31080008</v>
      </c>
      <c r="AG726" s="246">
        <f>IFERROR(VLOOKUP(E726,PROGRAMAS[],3,FALSE),0)</f>
        <v>3848980803.1642323</v>
      </c>
      <c r="AH726" s="246">
        <f>IFERROR(VLOOKUP(F726,PROGRAMAS[],3,FALSE),0)</f>
        <v>3394901471.387517</v>
      </c>
      <c r="AI726" s="246">
        <f>IFERROR(VLOOKUP(G726,PROGRAMAS[],3,FALSE),0)</f>
        <v>125317226.95549992</v>
      </c>
      <c r="AJ726" s="246">
        <f>IFERROR(VLOOKUP(H726,PROGRAMAS[],3,FALSE),0)</f>
        <v>7011279577.519702</v>
      </c>
      <c r="AK726" s="246">
        <f>IFERROR(VLOOKUP(I726,PROGRAMAS[],3,FALSE),0)</f>
        <v>675517840.109828</v>
      </c>
      <c r="AL726" s="246">
        <f>IFERROR(VLOOKUP(J726,PROGRAMAS[],3,FALSE),0)</f>
        <v>118617452.52510804</v>
      </c>
      <c r="AM726" s="246">
        <f>IFERROR(VLOOKUP(K726,PROGRAMAS[],3,FALSE),0)</f>
        <v>948595847.09039903</v>
      </c>
      <c r="AN726" s="246">
        <f>IFERROR(VLOOKUP(L726,PROGRAMAS[],3,FALSE),0)</f>
        <v>0</v>
      </c>
      <c r="AO726" s="246">
        <f>IFERROR(VLOOKUP(M726,PROGRAMAS[],3,FALSE),0)</f>
        <v>0</v>
      </c>
      <c r="AP726" s="246">
        <f>IFERROR(VLOOKUP(N726,PROGRAMAS[],3,FALSE),0)</f>
        <v>0</v>
      </c>
      <c r="AQ726" s="246">
        <f>IFERROR(VLOOKUP(O726,PROGRAMAS[],3,FALSE),0)</f>
        <v>0</v>
      </c>
      <c r="AR726" s="246">
        <f>IFERROR(VLOOKUP(P726,PROGRAMAS[],3,FALSE),0)</f>
        <v>0</v>
      </c>
      <c r="AS726" s="246">
        <f>IFERROR(VLOOKUP(Q726,PROGRAMAS[],3,FALSE),0)</f>
        <v>0</v>
      </c>
      <c r="AT726" s="246">
        <f>IFERROR(VLOOKUP(D726,VOL_REC[],2,FALSE),0)</f>
        <v>0</v>
      </c>
      <c r="AU726" s="246">
        <f>IFERROR(VLOOKUP(E726,VOL_REC[],2,FALSE),0)</f>
        <v>0</v>
      </c>
      <c r="AV726" s="246">
        <f>IFERROR(VLOOKUP(F726,VOL_REC[],2,FALSE),0)</f>
        <v>11089674.200000001</v>
      </c>
      <c r="AW726" s="246">
        <f>IFERROR(VLOOKUP(G726,VOL_REC[],2,FALSE),0)</f>
        <v>90439.55</v>
      </c>
      <c r="AX726" s="246">
        <f>IFERROR(VLOOKUP(H726,VOL_REC[],2,FALSE),0)</f>
        <v>3761786</v>
      </c>
      <c r="AY726" s="246">
        <f>IFERROR(VLOOKUP(I726,VOL_REC[],2,FALSE),0)</f>
        <v>240696.79238099116</v>
      </c>
      <c r="AZ726" s="246">
        <f>IFERROR(VLOOKUP(J726,VOL_REC[],2,FALSE),0)</f>
        <v>105072</v>
      </c>
      <c r="BA726" s="246">
        <f>IFERROR(VLOOKUP(K726,VOL_REC[],2,FALSE),0)</f>
        <v>740113.98115702497</v>
      </c>
      <c r="BB726" s="246">
        <f>IFERROR(VLOOKUP(L726,VOL_REC[],2,FALSE),0)</f>
        <v>0</v>
      </c>
      <c r="BC726" s="246">
        <f>IFERROR(VLOOKUP(M726,VOL_REC[],2,FALSE),0)</f>
        <v>0</v>
      </c>
      <c r="BD726" s="246">
        <f>IFERROR(VLOOKUP(N726,VOL_REC[],2,FALSE),0)</f>
        <v>0</v>
      </c>
      <c r="BE726" s="246">
        <f>IFERROR(VLOOKUP(O726,VOL_REC[],2,FALSE),0)</f>
        <v>0</v>
      </c>
      <c r="BF726" s="246">
        <f>IFERROR(VLOOKUP(P726,VOL_REC[],2,FALSE),0)</f>
        <v>0</v>
      </c>
      <c r="BG726" s="246">
        <f>IFERROR(VLOOKUP(Q726,VOL_REC[],2,FALSE),0)</f>
        <v>0</v>
      </c>
      <c r="BH726" s="1710">
        <f t="shared" si="44"/>
        <v>12775880053.992502</v>
      </c>
      <c r="BI726" s="1710">
        <f t="shared" si="45"/>
        <v>16965098848.063086</v>
      </c>
      <c r="BJ726" s="1711">
        <f t="shared" si="46"/>
        <v>16027782.523538018</v>
      </c>
      <c r="BK726" s="1711">
        <f t="shared" si="47"/>
        <v>0.75306841229817711</v>
      </c>
    </row>
    <row r="727" spans="3:67" x14ac:dyDescent="0.25">
      <c r="C727" s="246" t="s">
        <v>2077</v>
      </c>
      <c r="D727" s="246">
        <v>1</v>
      </c>
      <c r="E727" s="246">
        <v>2</v>
      </c>
      <c r="F727" s="246">
        <v>3</v>
      </c>
      <c r="G727" s="246">
        <v>4</v>
      </c>
      <c r="H727" s="246">
        <v>9</v>
      </c>
      <c r="I727" s="246">
        <v>12</v>
      </c>
      <c r="J727" s="246">
        <v>16</v>
      </c>
      <c r="K727" s="246">
        <v>17</v>
      </c>
      <c r="L727" s="246"/>
      <c r="M727" s="246"/>
      <c r="N727" s="246"/>
      <c r="O727" s="246"/>
      <c r="P727" s="246"/>
      <c r="Q727" s="246"/>
      <c r="R727" s="246">
        <f>IFERROR(VLOOKUP(D727,PROGRAMAS[],2,FALSE),0)</f>
        <v>97037803.679377079</v>
      </c>
      <c r="S727" s="246">
        <f>IFERROR(VLOOKUP(E727,PROGRAMAS[],2,FALSE),0)</f>
        <v>640501509.6821388</v>
      </c>
      <c r="T727" s="246">
        <f>IFERROR(VLOOKUP(F727,PROGRAMAS[],2,FALSE),0)</f>
        <v>3062327798.1525245</v>
      </c>
      <c r="U727" s="246">
        <f>IFERROR(VLOOKUP(G727,PROGRAMAS[],2,FALSE),0)</f>
        <v>67697118.033011258</v>
      </c>
      <c r="V727" s="246">
        <f>IFERROR(VLOOKUP(H727,PROGRAMAS[],2,FALSE),0)</f>
        <v>6128579952.1618185</v>
      </c>
      <c r="W727" s="246">
        <f>IFERROR(VLOOKUP(I727,PROGRAMAS[],2,FALSE),0)</f>
        <v>764796700.79905891</v>
      </c>
      <c r="X727" s="246">
        <f>IFERROR(VLOOKUP(J727,PROGRAMAS[],2,FALSE),0)</f>
        <v>7068496961.0436354</v>
      </c>
      <c r="Y727" s="246">
        <f>IFERROR(VLOOKUP(K727,PROGRAMAS[],2,FALSE),0)</f>
        <v>1892779498.5211046</v>
      </c>
      <c r="Z727" s="246">
        <f>IFERROR(VLOOKUP(L727,PROGRAMAS[],2,FALSE),0)</f>
        <v>0</v>
      </c>
      <c r="AA727" s="246">
        <f>IFERROR(VLOOKUP(M727,PROGRAMAS[],2,FALSE),0)</f>
        <v>0</v>
      </c>
      <c r="AB727" s="246">
        <f>IFERROR(VLOOKUP(N727,PROGRAMAS[],2,FALSE),0)</f>
        <v>0</v>
      </c>
      <c r="AC727" s="246">
        <f>IFERROR(VLOOKUP(O727,PROGRAMAS[],2,FALSE),0)</f>
        <v>0</v>
      </c>
      <c r="AD727" s="246">
        <f>IFERROR(VLOOKUP(P727,PROGRAMAS[],2,FALSE),0)</f>
        <v>0</v>
      </c>
      <c r="AE727" s="246">
        <f>IFERROR(VLOOKUP(Q727,PROGRAMAS[],2,FALSE),0)</f>
        <v>0</v>
      </c>
      <c r="AF727" s="246">
        <f>IFERROR(VLOOKUP(D727,PROGRAMAS[],3,FALSE),0)</f>
        <v>841888629.31080008</v>
      </c>
      <c r="AG727" s="246">
        <f>IFERROR(VLOOKUP(E727,PROGRAMAS[],3,FALSE),0)</f>
        <v>3848980803.1642323</v>
      </c>
      <c r="AH727" s="246">
        <f>IFERROR(VLOOKUP(F727,PROGRAMAS[],3,FALSE),0)</f>
        <v>3394901471.387517</v>
      </c>
      <c r="AI727" s="246">
        <f>IFERROR(VLOOKUP(G727,PROGRAMAS[],3,FALSE),0)</f>
        <v>125317226.95549992</v>
      </c>
      <c r="AJ727" s="246">
        <f>IFERROR(VLOOKUP(H727,PROGRAMAS[],3,FALSE),0)</f>
        <v>7011279577.519702</v>
      </c>
      <c r="AK727" s="246">
        <f>IFERROR(VLOOKUP(I727,PROGRAMAS[],3,FALSE),0)</f>
        <v>675517840.109828</v>
      </c>
      <c r="AL727" s="246">
        <f>IFERROR(VLOOKUP(J727,PROGRAMAS[],3,FALSE),0)</f>
        <v>2406564599.0319901</v>
      </c>
      <c r="AM727" s="246">
        <f>IFERROR(VLOOKUP(K727,PROGRAMAS[],3,FALSE),0)</f>
        <v>948595847.09039903</v>
      </c>
      <c r="AN727" s="246">
        <f>IFERROR(VLOOKUP(L727,PROGRAMAS[],3,FALSE),0)</f>
        <v>0</v>
      </c>
      <c r="AO727" s="246">
        <f>IFERROR(VLOOKUP(M727,PROGRAMAS[],3,FALSE),0)</f>
        <v>0</v>
      </c>
      <c r="AP727" s="246">
        <f>IFERROR(VLOOKUP(N727,PROGRAMAS[],3,FALSE),0)</f>
        <v>0</v>
      </c>
      <c r="AQ727" s="246">
        <f>IFERROR(VLOOKUP(O727,PROGRAMAS[],3,FALSE),0)</f>
        <v>0</v>
      </c>
      <c r="AR727" s="246">
        <f>IFERROR(VLOOKUP(P727,PROGRAMAS[],3,FALSE),0)</f>
        <v>0</v>
      </c>
      <c r="AS727" s="246">
        <f>IFERROR(VLOOKUP(Q727,PROGRAMAS[],3,FALSE),0)</f>
        <v>0</v>
      </c>
      <c r="AT727" s="246">
        <f>IFERROR(VLOOKUP(D727,VOL_REC[],2,FALSE),0)</f>
        <v>0</v>
      </c>
      <c r="AU727" s="246">
        <f>IFERROR(VLOOKUP(E727,VOL_REC[],2,FALSE),0)</f>
        <v>0</v>
      </c>
      <c r="AV727" s="246">
        <f>IFERROR(VLOOKUP(F727,VOL_REC[],2,FALSE),0)</f>
        <v>11089674.200000001</v>
      </c>
      <c r="AW727" s="246">
        <f>IFERROR(VLOOKUP(G727,VOL_REC[],2,FALSE),0)</f>
        <v>90439.55</v>
      </c>
      <c r="AX727" s="246">
        <f>IFERROR(VLOOKUP(H727,VOL_REC[],2,FALSE),0)</f>
        <v>3761786</v>
      </c>
      <c r="AY727" s="246">
        <f>IFERROR(VLOOKUP(I727,VOL_REC[],2,FALSE),0)</f>
        <v>240696.79238099116</v>
      </c>
      <c r="AZ727" s="246">
        <f>IFERROR(VLOOKUP(J727,VOL_REC[],2,FALSE),0)</f>
        <v>1072354.9981737854</v>
      </c>
      <c r="BA727" s="246">
        <f>IFERROR(VLOOKUP(K727,VOL_REC[],2,FALSE),0)</f>
        <v>740113.98115702497</v>
      </c>
      <c r="BB727" s="246">
        <f>IFERROR(VLOOKUP(L727,VOL_REC[],2,FALSE),0)</f>
        <v>0</v>
      </c>
      <c r="BC727" s="246">
        <f>IFERROR(VLOOKUP(M727,VOL_REC[],2,FALSE),0)</f>
        <v>0</v>
      </c>
      <c r="BD727" s="246">
        <f>IFERROR(VLOOKUP(N727,VOL_REC[],2,FALSE),0)</f>
        <v>0</v>
      </c>
      <c r="BE727" s="246">
        <f>IFERROR(VLOOKUP(O727,VOL_REC[],2,FALSE),0)</f>
        <v>0</v>
      </c>
      <c r="BF727" s="246">
        <f>IFERROR(VLOOKUP(P727,VOL_REC[],2,FALSE),0)</f>
        <v>0</v>
      </c>
      <c r="BG727" s="246">
        <f>IFERROR(VLOOKUP(Q727,VOL_REC[],2,FALSE),0)</f>
        <v>0</v>
      </c>
      <c r="BH727" s="1710">
        <f t="shared" si="44"/>
        <v>19722217342.072666</v>
      </c>
      <c r="BI727" s="1710">
        <f t="shared" si="45"/>
        <v>19253045994.569969</v>
      </c>
      <c r="BJ727" s="1711">
        <f t="shared" si="46"/>
        <v>16995065.5217118</v>
      </c>
      <c r="BK727" s="1711">
        <f t="shared" si="47"/>
        <v>1.0243686815912152</v>
      </c>
      <c r="BL727">
        <f>BJ727</f>
        <v>16995065.5217118</v>
      </c>
      <c r="BO727">
        <f>BL727</f>
        <v>16995065.5217118</v>
      </c>
    </row>
    <row r="728" spans="3:67" x14ac:dyDescent="0.25">
      <c r="C728" s="246" t="s">
        <v>2078</v>
      </c>
      <c r="D728" s="246">
        <v>1</v>
      </c>
      <c r="E728" s="246">
        <v>2</v>
      </c>
      <c r="F728" s="246">
        <v>3</v>
      </c>
      <c r="G728" s="246">
        <v>4</v>
      </c>
      <c r="H728" s="246">
        <v>9</v>
      </c>
      <c r="I728" s="246">
        <v>13</v>
      </c>
      <c r="J728" s="246">
        <v>14</v>
      </c>
      <c r="K728" s="246">
        <v>15</v>
      </c>
      <c r="L728" s="246"/>
      <c r="M728" s="246"/>
      <c r="N728" s="246"/>
      <c r="O728" s="246"/>
      <c r="P728" s="246"/>
      <c r="Q728" s="246"/>
      <c r="R728" s="246">
        <f>IFERROR(VLOOKUP(D728,PROGRAMAS[],2,FALSE),0)</f>
        <v>97037803.679377079</v>
      </c>
      <c r="S728" s="246">
        <f>IFERROR(VLOOKUP(E728,PROGRAMAS[],2,FALSE),0)</f>
        <v>640501509.6821388</v>
      </c>
      <c r="T728" s="246">
        <f>IFERROR(VLOOKUP(F728,PROGRAMAS[],2,FALSE),0)</f>
        <v>3062327798.1525245</v>
      </c>
      <c r="U728" s="246">
        <f>IFERROR(VLOOKUP(G728,PROGRAMAS[],2,FALSE),0)</f>
        <v>67697118.033011258</v>
      </c>
      <c r="V728" s="246">
        <f>IFERROR(VLOOKUP(H728,PROGRAMAS[],2,FALSE),0)</f>
        <v>6128579952.1618185</v>
      </c>
      <c r="W728" s="246">
        <f>IFERROR(VLOOKUP(I728,PROGRAMAS[],2,FALSE),0)</f>
        <v>3776538594.4604583</v>
      </c>
      <c r="X728" s="246">
        <f>IFERROR(VLOOKUP(J728,PROGRAMAS[],2,FALSE),0)</f>
        <v>54223862.645839565</v>
      </c>
      <c r="Y728" s="246">
        <f>IFERROR(VLOOKUP(K728,PROGRAMAS[],2,FALSE),0)</f>
        <v>122159672.96346797</v>
      </c>
      <c r="Z728" s="246">
        <f>IFERROR(VLOOKUP(L728,PROGRAMAS[],2,FALSE),0)</f>
        <v>0</v>
      </c>
      <c r="AA728" s="246">
        <f>IFERROR(VLOOKUP(M728,PROGRAMAS[],2,FALSE),0)</f>
        <v>0</v>
      </c>
      <c r="AB728" s="246">
        <f>IFERROR(VLOOKUP(N728,PROGRAMAS[],2,FALSE),0)</f>
        <v>0</v>
      </c>
      <c r="AC728" s="246">
        <f>IFERROR(VLOOKUP(O728,PROGRAMAS[],2,FALSE),0)</f>
        <v>0</v>
      </c>
      <c r="AD728" s="246">
        <f>IFERROR(VLOOKUP(P728,PROGRAMAS[],2,FALSE),0)</f>
        <v>0</v>
      </c>
      <c r="AE728" s="246">
        <f>IFERROR(VLOOKUP(Q728,PROGRAMAS[],2,FALSE),0)</f>
        <v>0</v>
      </c>
      <c r="AF728" s="246">
        <f>IFERROR(VLOOKUP(D728,PROGRAMAS[],3,FALSE),0)</f>
        <v>841888629.31080008</v>
      </c>
      <c r="AG728" s="246">
        <f>IFERROR(VLOOKUP(E728,PROGRAMAS[],3,FALSE),0)</f>
        <v>3848980803.1642323</v>
      </c>
      <c r="AH728" s="246">
        <f>IFERROR(VLOOKUP(F728,PROGRAMAS[],3,FALSE),0)</f>
        <v>3394901471.387517</v>
      </c>
      <c r="AI728" s="246">
        <f>IFERROR(VLOOKUP(G728,PROGRAMAS[],3,FALSE),0)</f>
        <v>125317226.95549992</v>
      </c>
      <c r="AJ728" s="246">
        <f>IFERROR(VLOOKUP(H728,PROGRAMAS[],3,FALSE),0)</f>
        <v>7011279577.519702</v>
      </c>
      <c r="AK728" s="246">
        <f>IFERROR(VLOOKUP(I728,PROGRAMAS[],3,FALSE),0)</f>
        <v>2392571243.5584412</v>
      </c>
      <c r="AL728" s="246">
        <f>IFERROR(VLOOKUP(J728,PROGRAMAS[],3,FALSE),0)</f>
        <v>31865326.38096505</v>
      </c>
      <c r="AM728" s="246">
        <f>IFERROR(VLOOKUP(K728,PROGRAMAS[],3,FALSE),0)</f>
        <v>118617452.52510804</v>
      </c>
      <c r="AN728" s="246">
        <f>IFERROR(VLOOKUP(L728,PROGRAMAS[],3,FALSE),0)</f>
        <v>0</v>
      </c>
      <c r="AO728" s="246">
        <f>IFERROR(VLOOKUP(M728,PROGRAMAS[],3,FALSE),0)</f>
        <v>0</v>
      </c>
      <c r="AP728" s="246">
        <f>IFERROR(VLOOKUP(N728,PROGRAMAS[],3,FALSE),0)</f>
        <v>0</v>
      </c>
      <c r="AQ728" s="246">
        <f>IFERROR(VLOOKUP(O728,PROGRAMAS[],3,FALSE),0)</f>
        <v>0</v>
      </c>
      <c r="AR728" s="246">
        <f>IFERROR(VLOOKUP(P728,PROGRAMAS[],3,FALSE),0)</f>
        <v>0</v>
      </c>
      <c r="AS728" s="246">
        <f>IFERROR(VLOOKUP(Q728,PROGRAMAS[],3,FALSE),0)</f>
        <v>0</v>
      </c>
      <c r="AT728" s="246">
        <f>IFERROR(VLOOKUP(D728,VOL_REC[],2,FALSE),0)</f>
        <v>0</v>
      </c>
      <c r="AU728" s="246">
        <f>IFERROR(VLOOKUP(E728,VOL_REC[],2,FALSE),0)</f>
        <v>0</v>
      </c>
      <c r="AV728" s="246">
        <f>IFERROR(VLOOKUP(F728,VOL_REC[],2,FALSE),0)</f>
        <v>11089674.200000001</v>
      </c>
      <c r="AW728" s="246">
        <f>IFERROR(VLOOKUP(G728,VOL_REC[],2,FALSE),0)</f>
        <v>90439.55</v>
      </c>
      <c r="AX728" s="246">
        <f>IFERROR(VLOOKUP(H728,VOL_REC[],2,FALSE),0)</f>
        <v>3761786</v>
      </c>
      <c r="AY728" s="246">
        <f>IFERROR(VLOOKUP(I728,VOL_REC[],2,FALSE),0)</f>
        <v>663244.80000000016</v>
      </c>
      <c r="AZ728" s="246">
        <f>IFERROR(VLOOKUP(J728,VOL_REC[],2,FALSE),0)</f>
        <v>17074.045034105649</v>
      </c>
      <c r="BA728" s="246">
        <f>IFERROR(VLOOKUP(K728,VOL_REC[],2,FALSE),0)</f>
        <v>105072</v>
      </c>
      <c r="BB728" s="246">
        <f>IFERROR(VLOOKUP(L728,VOL_REC[],2,FALSE),0)</f>
        <v>0</v>
      </c>
      <c r="BC728" s="246">
        <f>IFERROR(VLOOKUP(M728,VOL_REC[],2,FALSE),0)</f>
        <v>0</v>
      </c>
      <c r="BD728" s="246">
        <f>IFERROR(VLOOKUP(N728,VOL_REC[],2,FALSE),0)</f>
        <v>0</v>
      </c>
      <c r="BE728" s="246">
        <f>IFERROR(VLOOKUP(O728,VOL_REC[],2,FALSE),0)</f>
        <v>0</v>
      </c>
      <c r="BF728" s="246">
        <f>IFERROR(VLOOKUP(P728,VOL_REC[],2,FALSE),0)</f>
        <v>0</v>
      </c>
      <c r="BG728" s="246">
        <f>IFERROR(VLOOKUP(Q728,VOL_REC[],2,FALSE),0)</f>
        <v>0</v>
      </c>
      <c r="BH728" s="1710">
        <f t="shared" si="44"/>
        <v>13949066311.778637</v>
      </c>
      <c r="BI728" s="1710">
        <f t="shared" si="45"/>
        <v>17765421730.802269</v>
      </c>
      <c r="BJ728" s="1711">
        <f t="shared" si="46"/>
        <v>15727290.595034108</v>
      </c>
      <c r="BK728" s="1711">
        <f t="shared" si="47"/>
        <v>0.78518070232992498</v>
      </c>
    </row>
    <row r="729" spans="3:67" x14ac:dyDescent="0.25">
      <c r="C729" s="246" t="s">
        <v>2079</v>
      </c>
      <c r="D729" s="246">
        <v>1</v>
      </c>
      <c r="E729" s="246">
        <v>2</v>
      </c>
      <c r="F729" s="246">
        <v>3</v>
      </c>
      <c r="G729" s="246">
        <v>4</v>
      </c>
      <c r="H729" s="246">
        <v>9</v>
      </c>
      <c r="I729" s="246">
        <v>13</v>
      </c>
      <c r="J729" s="246">
        <v>14</v>
      </c>
      <c r="K729" s="246">
        <v>16</v>
      </c>
      <c r="L729" s="246"/>
      <c r="M729" s="246"/>
      <c r="N729" s="246"/>
      <c r="O729" s="246"/>
      <c r="P729" s="246"/>
      <c r="Q729" s="246"/>
      <c r="R729" s="246">
        <f>IFERROR(VLOOKUP(D729,PROGRAMAS[],2,FALSE),0)</f>
        <v>97037803.679377079</v>
      </c>
      <c r="S729" s="246">
        <f>IFERROR(VLOOKUP(E729,PROGRAMAS[],2,FALSE),0)</f>
        <v>640501509.6821388</v>
      </c>
      <c r="T729" s="246">
        <f>IFERROR(VLOOKUP(F729,PROGRAMAS[],2,FALSE),0)</f>
        <v>3062327798.1525245</v>
      </c>
      <c r="U729" s="246">
        <f>IFERROR(VLOOKUP(G729,PROGRAMAS[],2,FALSE),0)</f>
        <v>67697118.033011258</v>
      </c>
      <c r="V729" s="246">
        <f>IFERROR(VLOOKUP(H729,PROGRAMAS[],2,FALSE),0)</f>
        <v>6128579952.1618185</v>
      </c>
      <c r="W729" s="246">
        <f>IFERROR(VLOOKUP(I729,PROGRAMAS[],2,FALSE),0)</f>
        <v>3776538594.4604583</v>
      </c>
      <c r="X729" s="246">
        <f>IFERROR(VLOOKUP(J729,PROGRAMAS[],2,FALSE),0)</f>
        <v>54223862.645839565</v>
      </c>
      <c r="Y729" s="246">
        <f>IFERROR(VLOOKUP(K729,PROGRAMAS[],2,FALSE),0)</f>
        <v>7068496961.0436354</v>
      </c>
      <c r="Z729" s="246">
        <f>IFERROR(VLOOKUP(L729,PROGRAMAS[],2,FALSE),0)</f>
        <v>0</v>
      </c>
      <c r="AA729" s="246">
        <f>IFERROR(VLOOKUP(M729,PROGRAMAS[],2,FALSE),0)</f>
        <v>0</v>
      </c>
      <c r="AB729" s="246">
        <f>IFERROR(VLOOKUP(N729,PROGRAMAS[],2,FALSE),0)</f>
        <v>0</v>
      </c>
      <c r="AC729" s="246">
        <f>IFERROR(VLOOKUP(O729,PROGRAMAS[],2,FALSE),0)</f>
        <v>0</v>
      </c>
      <c r="AD729" s="246">
        <f>IFERROR(VLOOKUP(P729,PROGRAMAS[],2,FALSE),0)</f>
        <v>0</v>
      </c>
      <c r="AE729" s="246">
        <f>IFERROR(VLOOKUP(Q729,PROGRAMAS[],2,FALSE),0)</f>
        <v>0</v>
      </c>
      <c r="AF729" s="246">
        <f>IFERROR(VLOOKUP(D729,PROGRAMAS[],3,FALSE),0)</f>
        <v>841888629.31080008</v>
      </c>
      <c r="AG729" s="246">
        <f>IFERROR(VLOOKUP(E729,PROGRAMAS[],3,FALSE),0)</f>
        <v>3848980803.1642323</v>
      </c>
      <c r="AH729" s="246">
        <f>IFERROR(VLOOKUP(F729,PROGRAMAS[],3,FALSE),0)</f>
        <v>3394901471.387517</v>
      </c>
      <c r="AI729" s="246">
        <f>IFERROR(VLOOKUP(G729,PROGRAMAS[],3,FALSE),0)</f>
        <v>125317226.95549992</v>
      </c>
      <c r="AJ729" s="246">
        <f>IFERROR(VLOOKUP(H729,PROGRAMAS[],3,FALSE),0)</f>
        <v>7011279577.519702</v>
      </c>
      <c r="AK729" s="246">
        <f>IFERROR(VLOOKUP(I729,PROGRAMAS[],3,FALSE),0)</f>
        <v>2392571243.5584412</v>
      </c>
      <c r="AL729" s="246">
        <f>IFERROR(VLOOKUP(J729,PROGRAMAS[],3,FALSE),0)</f>
        <v>31865326.38096505</v>
      </c>
      <c r="AM729" s="246">
        <f>IFERROR(VLOOKUP(K729,PROGRAMAS[],3,FALSE),0)</f>
        <v>2406564599.0319901</v>
      </c>
      <c r="AN729" s="246">
        <f>IFERROR(VLOOKUP(L729,PROGRAMAS[],3,FALSE),0)</f>
        <v>0</v>
      </c>
      <c r="AO729" s="246">
        <f>IFERROR(VLOOKUP(M729,PROGRAMAS[],3,FALSE),0)</f>
        <v>0</v>
      </c>
      <c r="AP729" s="246">
        <f>IFERROR(VLOOKUP(N729,PROGRAMAS[],3,FALSE),0)</f>
        <v>0</v>
      </c>
      <c r="AQ729" s="246">
        <f>IFERROR(VLOOKUP(O729,PROGRAMAS[],3,FALSE),0)</f>
        <v>0</v>
      </c>
      <c r="AR729" s="246">
        <f>IFERROR(VLOOKUP(P729,PROGRAMAS[],3,FALSE),0)</f>
        <v>0</v>
      </c>
      <c r="AS729" s="246">
        <f>IFERROR(VLOOKUP(Q729,PROGRAMAS[],3,FALSE),0)</f>
        <v>0</v>
      </c>
      <c r="AT729" s="246">
        <f>IFERROR(VLOOKUP(D729,VOL_REC[],2,FALSE),0)</f>
        <v>0</v>
      </c>
      <c r="AU729" s="246">
        <f>IFERROR(VLOOKUP(E729,VOL_REC[],2,FALSE),0)</f>
        <v>0</v>
      </c>
      <c r="AV729" s="246">
        <f>IFERROR(VLOOKUP(F729,VOL_REC[],2,FALSE),0)</f>
        <v>11089674.200000001</v>
      </c>
      <c r="AW729" s="246">
        <f>IFERROR(VLOOKUP(G729,VOL_REC[],2,FALSE),0)</f>
        <v>90439.55</v>
      </c>
      <c r="AX729" s="246">
        <f>IFERROR(VLOOKUP(H729,VOL_REC[],2,FALSE),0)</f>
        <v>3761786</v>
      </c>
      <c r="AY729" s="246">
        <f>IFERROR(VLOOKUP(I729,VOL_REC[],2,FALSE),0)</f>
        <v>663244.80000000016</v>
      </c>
      <c r="AZ729" s="246">
        <f>IFERROR(VLOOKUP(J729,VOL_REC[],2,FALSE),0)</f>
        <v>17074.045034105649</v>
      </c>
      <c r="BA729" s="246">
        <f>IFERROR(VLOOKUP(K729,VOL_REC[],2,FALSE),0)</f>
        <v>1072354.9981737854</v>
      </c>
      <c r="BB729" s="246">
        <f>IFERROR(VLOOKUP(L729,VOL_REC[],2,FALSE),0)</f>
        <v>0</v>
      </c>
      <c r="BC729" s="246">
        <f>IFERROR(VLOOKUP(M729,VOL_REC[],2,FALSE),0)</f>
        <v>0</v>
      </c>
      <c r="BD729" s="246">
        <f>IFERROR(VLOOKUP(N729,VOL_REC[],2,FALSE),0)</f>
        <v>0</v>
      </c>
      <c r="BE729" s="246">
        <f>IFERROR(VLOOKUP(O729,VOL_REC[],2,FALSE),0)</f>
        <v>0</v>
      </c>
      <c r="BF729" s="246">
        <f>IFERROR(VLOOKUP(P729,VOL_REC[],2,FALSE),0)</f>
        <v>0</v>
      </c>
      <c r="BG729" s="246">
        <f>IFERROR(VLOOKUP(Q729,VOL_REC[],2,FALSE),0)</f>
        <v>0</v>
      </c>
      <c r="BH729" s="1710">
        <f t="shared" si="44"/>
        <v>20895403599.858803</v>
      </c>
      <c r="BI729" s="1710">
        <f t="shared" si="45"/>
        <v>20053368877.309151</v>
      </c>
      <c r="BJ729" s="1711">
        <f t="shared" si="46"/>
        <v>16694573.593207892</v>
      </c>
      <c r="BK729" s="1711">
        <f t="shared" si="47"/>
        <v>1.0419896889994595</v>
      </c>
      <c r="BL729">
        <f>BJ729</f>
        <v>16694573.593207892</v>
      </c>
      <c r="BO729">
        <f>BL729</f>
        <v>16694573.593207892</v>
      </c>
    </row>
    <row r="730" spans="3:67" x14ac:dyDescent="0.25">
      <c r="C730" s="246" t="s">
        <v>2080</v>
      </c>
      <c r="D730" s="246">
        <v>1</v>
      </c>
      <c r="E730" s="246">
        <v>2</v>
      </c>
      <c r="F730" s="246">
        <v>3</v>
      </c>
      <c r="G730" s="246">
        <v>4</v>
      </c>
      <c r="H730" s="246">
        <v>9</v>
      </c>
      <c r="I730" s="246">
        <v>13</v>
      </c>
      <c r="J730" s="246">
        <v>14</v>
      </c>
      <c r="K730" s="246">
        <v>17</v>
      </c>
      <c r="L730" s="246"/>
      <c r="M730" s="246"/>
      <c r="N730" s="246"/>
      <c r="O730" s="246"/>
      <c r="P730" s="246"/>
      <c r="Q730" s="246"/>
      <c r="R730" s="246">
        <f>IFERROR(VLOOKUP(D730,PROGRAMAS[],2,FALSE),0)</f>
        <v>97037803.679377079</v>
      </c>
      <c r="S730" s="246">
        <f>IFERROR(VLOOKUP(E730,PROGRAMAS[],2,FALSE),0)</f>
        <v>640501509.6821388</v>
      </c>
      <c r="T730" s="246">
        <f>IFERROR(VLOOKUP(F730,PROGRAMAS[],2,FALSE),0)</f>
        <v>3062327798.1525245</v>
      </c>
      <c r="U730" s="246">
        <f>IFERROR(VLOOKUP(G730,PROGRAMAS[],2,FALSE),0)</f>
        <v>67697118.033011258</v>
      </c>
      <c r="V730" s="246">
        <f>IFERROR(VLOOKUP(H730,PROGRAMAS[],2,FALSE),0)</f>
        <v>6128579952.1618185</v>
      </c>
      <c r="W730" s="246">
        <f>IFERROR(VLOOKUP(I730,PROGRAMAS[],2,FALSE),0)</f>
        <v>3776538594.4604583</v>
      </c>
      <c r="X730" s="246">
        <f>IFERROR(VLOOKUP(J730,PROGRAMAS[],2,FALSE),0)</f>
        <v>54223862.645839565</v>
      </c>
      <c r="Y730" s="246">
        <f>IFERROR(VLOOKUP(K730,PROGRAMAS[],2,FALSE),0)</f>
        <v>1892779498.5211046</v>
      </c>
      <c r="Z730" s="246">
        <f>IFERROR(VLOOKUP(L730,PROGRAMAS[],2,FALSE),0)</f>
        <v>0</v>
      </c>
      <c r="AA730" s="246">
        <f>IFERROR(VLOOKUP(M730,PROGRAMAS[],2,FALSE),0)</f>
        <v>0</v>
      </c>
      <c r="AB730" s="246">
        <f>IFERROR(VLOOKUP(N730,PROGRAMAS[],2,FALSE),0)</f>
        <v>0</v>
      </c>
      <c r="AC730" s="246">
        <f>IFERROR(VLOOKUP(O730,PROGRAMAS[],2,FALSE),0)</f>
        <v>0</v>
      </c>
      <c r="AD730" s="246">
        <f>IFERROR(VLOOKUP(P730,PROGRAMAS[],2,FALSE),0)</f>
        <v>0</v>
      </c>
      <c r="AE730" s="246">
        <f>IFERROR(VLOOKUP(Q730,PROGRAMAS[],2,FALSE),0)</f>
        <v>0</v>
      </c>
      <c r="AF730" s="246">
        <f>IFERROR(VLOOKUP(D730,PROGRAMAS[],3,FALSE),0)</f>
        <v>841888629.31080008</v>
      </c>
      <c r="AG730" s="246">
        <f>IFERROR(VLOOKUP(E730,PROGRAMAS[],3,FALSE),0)</f>
        <v>3848980803.1642323</v>
      </c>
      <c r="AH730" s="246">
        <f>IFERROR(VLOOKUP(F730,PROGRAMAS[],3,FALSE),0)</f>
        <v>3394901471.387517</v>
      </c>
      <c r="AI730" s="246">
        <f>IFERROR(VLOOKUP(G730,PROGRAMAS[],3,FALSE),0)</f>
        <v>125317226.95549992</v>
      </c>
      <c r="AJ730" s="246">
        <f>IFERROR(VLOOKUP(H730,PROGRAMAS[],3,FALSE),0)</f>
        <v>7011279577.519702</v>
      </c>
      <c r="AK730" s="246">
        <f>IFERROR(VLOOKUP(I730,PROGRAMAS[],3,FALSE),0)</f>
        <v>2392571243.5584412</v>
      </c>
      <c r="AL730" s="246">
        <f>IFERROR(VLOOKUP(J730,PROGRAMAS[],3,FALSE),0)</f>
        <v>31865326.38096505</v>
      </c>
      <c r="AM730" s="246">
        <f>IFERROR(VLOOKUP(K730,PROGRAMAS[],3,FALSE),0)</f>
        <v>948595847.09039903</v>
      </c>
      <c r="AN730" s="246">
        <f>IFERROR(VLOOKUP(L730,PROGRAMAS[],3,FALSE),0)</f>
        <v>0</v>
      </c>
      <c r="AO730" s="246">
        <f>IFERROR(VLOOKUP(M730,PROGRAMAS[],3,FALSE),0)</f>
        <v>0</v>
      </c>
      <c r="AP730" s="246">
        <f>IFERROR(VLOOKUP(N730,PROGRAMAS[],3,FALSE),0)</f>
        <v>0</v>
      </c>
      <c r="AQ730" s="246">
        <f>IFERROR(VLOOKUP(O730,PROGRAMAS[],3,FALSE),0)</f>
        <v>0</v>
      </c>
      <c r="AR730" s="246">
        <f>IFERROR(VLOOKUP(P730,PROGRAMAS[],3,FALSE),0)</f>
        <v>0</v>
      </c>
      <c r="AS730" s="246">
        <f>IFERROR(VLOOKUP(Q730,PROGRAMAS[],3,FALSE),0)</f>
        <v>0</v>
      </c>
      <c r="AT730" s="246">
        <f>IFERROR(VLOOKUP(D730,VOL_REC[],2,FALSE),0)</f>
        <v>0</v>
      </c>
      <c r="AU730" s="246">
        <f>IFERROR(VLOOKUP(E730,VOL_REC[],2,FALSE),0)</f>
        <v>0</v>
      </c>
      <c r="AV730" s="246">
        <f>IFERROR(VLOOKUP(F730,VOL_REC[],2,FALSE),0)</f>
        <v>11089674.200000001</v>
      </c>
      <c r="AW730" s="246">
        <f>IFERROR(VLOOKUP(G730,VOL_REC[],2,FALSE),0)</f>
        <v>90439.55</v>
      </c>
      <c r="AX730" s="246">
        <f>IFERROR(VLOOKUP(H730,VOL_REC[],2,FALSE),0)</f>
        <v>3761786</v>
      </c>
      <c r="AY730" s="246">
        <f>IFERROR(VLOOKUP(I730,VOL_REC[],2,FALSE),0)</f>
        <v>663244.80000000016</v>
      </c>
      <c r="AZ730" s="246">
        <f>IFERROR(VLOOKUP(J730,VOL_REC[],2,FALSE),0)</f>
        <v>17074.045034105649</v>
      </c>
      <c r="BA730" s="246">
        <f>IFERROR(VLOOKUP(K730,VOL_REC[],2,FALSE),0)</f>
        <v>740113.98115702497</v>
      </c>
      <c r="BB730" s="246">
        <f>IFERROR(VLOOKUP(L730,VOL_REC[],2,FALSE),0)</f>
        <v>0</v>
      </c>
      <c r="BC730" s="246">
        <f>IFERROR(VLOOKUP(M730,VOL_REC[],2,FALSE),0)</f>
        <v>0</v>
      </c>
      <c r="BD730" s="246">
        <f>IFERROR(VLOOKUP(N730,VOL_REC[],2,FALSE),0)</f>
        <v>0</v>
      </c>
      <c r="BE730" s="246">
        <f>IFERROR(VLOOKUP(O730,VOL_REC[],2,FALSE),0)</f>
        <v>0</v>
      </c>
      <c r="BF730" s="246">
        <f>IFERROR(VLOOKUP(P730,VOL_REC[],2,FALSE),0)</f>
        <v>0</v>
      </c>
      <c r="BG730" s="246">
        <f>IFERROR(VLOOKUP(Q730,VOL_REC[],2,FALSE),0)</f>
        <v>0</v>
      </c>
      <c r="BH730" s="1710">
        <f t="shared" si="44"/>
        <v>15719686137.336273</v>
      </c>
      <c r="BI730" s="1710">
        <f t="shared" si="45"/>
        <v>18595400125.367561</v>
      </c>
      <c r="BJ730" s="1711">
        <f t="shared" si="46"/>
        <v>16362332.576191133</v>
      </c>
      <c r="BK730" s="1711">
        <f t="shared" si="47"/>
        <v>0.84535347620144607</v>
      </c>
    </row>
    <row r="731" spans="3:67" x14ac:dyDescent="0.25">
      <c r="C731" s="246" t="s">
        <v>2081</v>
      </c>
      <c r="D731" s="246">
        <v>1</v>
      </c>
      <c r="E731" s="246">
        <v>2</v>
      </c>
      <c r="F731" s="246">
        <v>3</v>
      </c>
      <c r="G731" s="246">
        <v>4</v>
      </c>
      <c r="H731" s="246">
        <v>9</v>
      </c>
      <c r="I731" s="246">
        <v>13</v>
      </c>
      <c r="J731" s="246">
        <v>15</v>
      </c>
      <c r="K731" s="246">
        <v>16</v>
      </c>
      <c r="L731" s="246"/>
      <c r="M731" s="246"/>
      <c r="N731" s="246"/>
      <c r="O731" s="246"/>
      <c r="P731" s="246"/>
      <c r="Q731" s="246"/>
      <c r="R731" s="246">
        <f>IFERROR(VLOOKUP(D731,PROGRAMAS[],2,FALSE),0)</f>
        <v>97037803.679377079</v>
      </c>
      <c r="S731" s="246">
        <f>IFERROR(VLOOKUP(E731,PROGRAMAS[],2,FALSE),0)</f>
        <v>640501509.6821388</v>
      </c>
      <c r="T731" s="246">
        <f>IFERROR(VLOOKUP(F731,PROGRAMAS[],2,FALSE),0)</f>
        <v>3062327798.1525245</v>
      </c>
      <c r="U731" s="246">
        <f>IFERROR(VLOOKUP(G731,PROGRAMAS[],2,FALSE),0)</f>
        <v>67697118.033011258</v>
      </c>
      <c r="V731" s="246">
        <f>IFERROR(VLOOKUP(H731,PROGRAMAS[],2,FALSE),0)</f>
        <v>6128579952.1618185</v>
      </c>
      <c r="W731" s="246">
        <f>IFERROR(VLOOKUP(I731,PROGRAMAS[],2,FALSE),0)</f>
        <v>3776538594.4604583</v>
      </c>
      <c r="X731" s="246">
        <f>IFERROR(VLOOKUP(J731,PROGRAMAS[],2,FALSE),0)</f>
        <v>122159672.96346797</v>
      </c>
      <c r="Y731" s="246">
        <f>IFERROR(VLOOKUP(K731,PROGRAMAS[],2,FALSE),0)</f>
        <v>7068496961.0436354</v>
      </c>
      <c r="Z731" s="246">
        <f>IFERROR(VLOOKUP(L731,PROGRAMAS[],2,FALSE),0)</f>
        <v>0</v>
      </c>
      <c r="AA731" s="246">
        <f>IFERROR(VLOOKUP(M731,PROGRAMAS[],2,FALSE),0)</f>
        <v>0</v>
      </c>
      <c r="AB731" s="246">
        <f>IFERROR(VLOOKUP(N731,PROGRAMAS[],2,FALSE),0)</f>
        <v>0</v>
      </c>
      <c r="AC731" s="246">
        <f>IFERROR(VLOOKUP(O731,PROGRAMAS[],2,FALSE),0)</f>
        <v>0</v>
      </c>
      <c r="AD731" s="246">
        <f>IFERROR(VLOOKUP(P731,PROGRAMAS[],2,FALSE),0)</f>
        <v>0</v>
      </c>
      <c r="AE731" s="246">
        <f>IFERROR(VLOOKUP(Q731,PROGRAMAS[],2,FALSE),0)</f>
        <v>0</v>
      </c>
      <c r="AF731" s="246">
        <f>IFERROR(VLOOKUP(D731,PROGRAMAS[],3,FALSE),0)</f>
        <v>841888629.31080008</v>
      </c>
      <c r="AG731" s="246">
        <f>IFERROR(VLOOKUP(E731,PROGRAMAS[],3,FALSE),0)</f>
        <v>3848980803.1642323</v>
      </c>
      <c r="AH731" s="246">
        <f>IFERROR(VLOOKUP(F731,PROGRAMAS[],3,FALSE),0)</f>
        <v>3394901471.387517</v>
      </c>
      <c r="AI731" s="246">
        <f>IFERROR(VLOOKUP(G731,PROGRAMAS[],3,FALSE),0)</f>
        <v>125317226.95549992</v>
      </c>
      <c r="AJ731" s="246">
        <f>IFERROR(VLOOKUP(H731,PROGRAMAS[],3,FALSE),0)</f>
        <v>7011279577.519702</v>
      </c>
      <c r="AK731" s="246">
        <f>IFERROR(VLOOKUP(I731,PROGRAMAS[],3,FALSE),0)</f>
        <v>2392571243.5584412</v>
      </c>
      <c r="AL731" s="246">
        <f>IFERROR(VLOOKUP(J731,PROGRAMAS[],3,FALSE),0)</f>
        <v>118617452.52510804</v>
      </c>
      <c r="AM731" s="246">
        <f>IFERROR(VLOOKUP(K731,PROGRAMAS[],3,FALSE),0)</f>
        <v>2406564599.0319901</v>
      </c>
      <c r="AN731" s="246">
        <f>IFERROR(VLOOKUP(L731,PROGRAMAS[],3,FALSE),0)</f>
        <v>0</v>
      </c>
      <c r="AO731" s="246">
        <f>IFERROR(VLOOKUP(M731,PROGRAMAS[],3,FALSE),0)</f>
        <v>0</v>
      </c>
      <c r="AP731" s="246">
        <f>IFERROR(VLOOKUP(N731,PROGRAMAS[],3,FALSE),0)</f>
        <v>0</v>
      </c>
      <c r="AQ731" s="246">
        <f>IFERROR(VLOOKUP(O731,PROGRAMAS[],3,FALSE),0)</f>
        <v>0</v>
      </c>
      <c r="AR731" s="246">
        <f>IFERROR(VLOOKUP(P731,PROGRAMAS[],3,FALSE),0)</f>
        <v>0</v>
      </c>
      <c r="AS731" s="246">
        <f>IFERROR(VLOOKUP(Q731,PROGRAMAS[],3,FALSE),0)</f>
        <v>0</v>
      </c>
      <c r="AT731" s="246">
        <f>IFERROR(VLOOKUP(D731,VOL_REC[],2,FALSE),0)</f>
        <v>0</v>
      </c>
      <c r="AU731" s="246">
        <f>IFERROR(VLOOKUP(E731,VOL_REC[],2,FALSE),0)</f>
        <v>0</v>
      </c>
      <c r="AV731" s="246">
        <f>IFERROR(VLOOKUP(F731,VOL_REC[],2,FALSE),0)</f>
        <v>11089674.200000001</v>
      </c>
      <c r="AW731" s="246">
        <f>IFERROR(VLOOKUP(G731,VOL_REC[],2,FALSE),0)</f>
        <v>90439.55</v>
      </c>
      <c r="AX731" s="246">
        <f>IFERROR(VLOOKUP(H731,VOL_REC[],2,FALSE),0)</f>
        <v>3761786</v>
      </c>
      <c r="AY731" s="246">
        <f>IFERROR(VLOOKUP(I731,VOL_REC[],2,FALSE),0)</f>
        <v>663244.80000000016</v>
      </c>
      <c r="AZ731" s="246">
        <f>IFERROR(VLOOKUP(J731,VOL_REC[],2,FALSE),0)</f>
        <v>105072</v>
      </c>
      <c r="BA731" s="246">
        <f>IFERROR(VLOOKUP(K731,VOL_REC[],2,FALSE),0)</f>
        <v>1072354.9981737854</v>
      </c>
      <c r="BB731" s="246">
        <f>IFERROR(VLOOKUP(L731,VOL_REC[],2,FALSE),0)</f>
        <v>0</v>
      </c>
      <c r="BC731" s="246">
        <f>IFERROR(VLOOKUP(M731,VOL_REC[],2,FALSE),0)</f>
        <v>0</v>
      </c>
      <c r="BD731" s="246">
        <f>IFERROR(VLOOKUP(N731,VOL_REC[],2,FALSE),0)</f>
        <v>0</v>
      </c>
      <c r="BE731" s="246">
        <f>IFERROR(VLOOKUP(O731,VOL_REC[],2,FALSE),0)</f>
        <v>0</v>
      </c>
      <c r="BF731" s="246">
        <f>IFERROR(VLOOKUP(P731,VOL_REC[],2,FALSE),0)</f>
        <v>0</v>
      </c>
      <c r="BG731" s="246">
        <f>IFERROR(VLOOKUP(Q731,VOL_REC[],2,FALSE),0)</f>
        <v>0</v>
      </c>
      <c r="BH731" s="1710">
        <f t="shared" si="44"/>
        <v>20963339410.176434</v>
      </c>
      <c r="BI731" s="1710">
        <f t="shared" si="45"/>
        <v>20140121003.453293</v>
      </c>
      <c r="BJ731" s="1711">
        <f t="shared" si="46"/>
        <v>16782571.548173789</v>
      </c>
      <c r="BK731" s="1711">
        <f t="shared" si="47"/>
        <v>1.0408745511798061</v>
      </c>
      <c r="BL731">
        <f>BJ731</f>
        <v>16782571.548173789</v>
      </c>
      <c r="BO731">
        <f>BL731</f>
        <v>16782571.548173789</v>
      </c>
    </row>
    <row r="732" spans="3:67" x14ac:dyDescent="0.25">
      <c r="C732" s="246" t="s">
        <v>2082</v>
      </c>
      <c r="D732" s="246">
        <v>1</v>
      </c>
      <c r="E732" s="246">
        <v>2</v>
      </c>
      <c r="F732" s="246">
        <v>3</v>
      </c>
      <c r="G732" s="246">
        <v>4</v>
      </c>
      <c r="H732" s="246">
        <v>9</v>
      </c>
      <c r="I732" s="246">
        <v>13</v>
      </c>
      <c r="J732" s="246">
        <v>15</v>
      </c>
      <c r="K732" s="246">
        <v>17</v>
      </c>
      <c r="L732" s="246"/>
      <c r="M732" s="246"/>
      <c r="N732" s="246"/>
      <c r="O732" s="246"/>
      <c r="P732" s="246"/>
      <c r="Q732" s="246"/>
      <c r="R732" s="246">
        <f>IFERROR(VLOOKUP(D732,PROGRAMAS[],2,FALSE),0)</f>
        <v>97037803.679377079</v>
      </c>
      <c r="S732" s="246">
        <f>IFERROR(VLOOKUP(E732,PROGRAMAS[],2,FALSE),0)</f>
        <v>640501509.6821388</v>
      </c>
      <c r="T732" s="246">
        <f>IFERROR(VLOOKUP(F732,PROGRAMAS[],2,FALSE),0)</f>
        <v>3062327798.1525245</v>
      </c>
      <c r="U732" s="246">
        <f>IFERROR(VLOOKUP(G732,PROGRAMAS[],2,FALSE),0)</f>
        <v>67697118.033011258</v>
      </c>
      <c r="V732" s="246">
        <f>IFERROR(VLOOKUP(H732,PROGRAMAS[],2,FALSE),0)</f>
        <v>6128579952.1618185</v>
      </c>
      <c r="W732" s="246">
        <f>IFERROR(VLOOKUP(I732,PROGRAMAS[],2,FALSE),0)</f>
        <v>3776538594.4604583</v>
      </c>
      <c r="X732" s="246">
        <f>IFERROR(VLOOKUP(J732,PROGRAMAS[],2,FALSE),0)</f>
        <v>122159672.96346797</v>
      </c>
      <c r="Y732" s="246">
        <f>IFERROR(VLOOKUP(K732,PROGRAMAS[],2,FALSE),0)</f>
        <v>1892779498.5211046</v>
      </c>
      <c r="Z732" s="246">
        <f>IFERROR(VLOOKUP(L732,PROGRAMAS[],2,FALSE),0)</f>
        <v>0</v>
      </c>
      <c r="AA732" s="246">
        <f>IFERROR(VLOOKUP(M732,PROGRAMAS[],2,FALSE),0)</f>
        <v>0</v>
      </c>
      <c r="AB732" s="246">
        <f>IFERROR(VLOOKUP(N732,PROGRAMAS[],2,FALSE),0)</f>
        <v>0</v>
      </c>
      <c r="AC732" s="246">
        <f>IFERROR(VLOOKUP(O732,PROGRAMAS[],2,FALSE),0)</f>
        <v>0</v>
      </c>
      <c r="AD732" s="246">
        <f>IFERROR(VLOOKUP(P732,PROGRAMAS[],2,FALSE),0)</f>
        <v>0</v>
      </c>
      <c r="AE732" s="246">
        <f>IFERROR(VLOOKUP(Q732,PROGRAMAS[],2,FALSE),0)</f>
        <v>0</v>
      </c>
      <c r="AF732" s="246">
        <f>IFERROR(VLOOKUP(D732,PROGRAMAS[],3,FALSE),0)</f>
        <v>841888629.31080008</v>
      </c>
      <c r="AG732" s="246">
        <f>IFERROR(VLOOKUP(E732,PROGRAMAS[],3,FALSE),0)</f>
        <v>3848980803.1642323</v>
      </c>
      <c r="AH732" s="246">
        <f>IFERROR(VLOOKUP(F732,PROGRAMAS[],3,FALSE),0)</f>
        <v>3394901471.387517</v>
      </c>
      <c r="AI732" s="246">
        <f>IFERROR(VLOOKUP(G732,PROGRAMAS[],3,FALSE),0)</f>
        <v>125317226.95549992</v>
      </c>
      <c r="AJ732" s="246">
        <f>IFERROR(VLOOKUP(H732,PROGRAMAS[],3,FALSE),0)</f>
        <v>7011279577.519702</v>
      </c>
      <c r="AK732" s="246">
        <f>IFERROR(VLOOKUP(I732,PROGRAMAS[],3,FALSE),0)</f>
        <v>2392571243.5584412</v>
      </c>
      <c r="AL732" s="246">
        <f>IFERROR(VLOOKUP(J732,PROGRAMAS[],3,FALSE),0)</f>
        <v>118617452.52510804</v>
      </c>
      <c r="AM732" s="246">
        <f>IFERROR(VLOOKUP(K732,PROGRAMAS[],3,FALSE),0)</f>
        <v>948595847.09039903</v>
      </c>
      <c r="AN732" s="246">
        <f>IFERROR(VLOOKUP(L732,PROGRAMAS[],3,FALSE),0)</f>
        <v>0</v>
      </c>
      <c r="AO732" s="246">
        <f>IFERROR(VLOOKUP(M732,PROGRAMAS[],3,FALSE),0)</f>
        <v>0</v>
      </c>
      <c r="AP732" s="246">
        <f>IFERROR(VLOOKUP(N732,PROGRAMAS[],3,FALSE),0)</f>
        <v>0</v>
      </c>
      <c r="AQ732" s="246">
        <f>IFERROR(VLOOKUP(O732,PROGRAMAS[],3,FALSE),0)</f>
        <v>0</v>
      </c>
      <c r="AR732" s="246">
        <f>IFERROR(VLOOKUP(P732,PROGRAMAS[],3,FALSE),0)</f>
        <v>0</v>
      </c>
      <c r="AS732" s="246">
        <f>IFERROR(VLOOKUP(Q732,PROGRAMAS[],3,FALSE),0)</f>
        <v>0</v>
      </c>
      <c r="AT732" s="246">
        <f>IFERROR(VLOOKUP(D732,VOL_REC[],2,FALSE),0)</f>
        <v>0</v>
      </c>
      <c r="AU732" s="246">
        <f>IFERROR(VLOOKUP(E732,VOL_REC[],2,FALSE),0)</f>
        <v>0</v>
      </c>
      <c r="AV732" s="246">
        <f>IFERROR(VLOOKUP(F732,VOL_REC[],2,FALSE),0)</f>
        <v>11089674.200000001</v>
      </c>
      <c r="AW732" s="246">
        <f>IFERROR(VLOOKUP(G732,VOL_REC[],2,FALSE),0)</f>
        <v>90439.55</v>
      </c>
      <c r="AX732" s="246">
        <f>IFERROR(VLOOKUP(H732,VOL_REC[],2,FALSE),0)</f>
        <v>3761786</v>
      </c>
      <c r="AY732" s="246">
        <f>IFERROR(VLOOKUP(I732,VOL_REC[],2,FALSE),0)</f>
        <v>663244.80000000016</v>
      </c>
      <c r="AZ732" s="246">
        <f>IFERROR(VLOOKUP(J732,VOL_REC[],2,FALSE),0)</f>
        <v>105072</v>
      </c>
      <c r="BA732" s="246">
        <f>IFERROR(VLOOKUP(K732,VOL_REC[],2,FALSE),0)</f>
        <v>740113.98115702497</v>
      </c>
      <c r="BB732" s="246">
        <f>IFERROR(VLOOKUP(L732,VOL_REC[],2,FALSE),0)</f>
        <v>0</v>
      </c>
      <c r="BC732" s="246">
        <f>IFERROR(VLOOKUP(M732,VOL_REC[],2,FALSE),0)</f>
        <v>0</v>
      </c>
      <c r="BD732" s="246">
        <f>IFERROR(VLOOKUP(N732,VOL_REC[],2,FALSE),0)</f>
        <v>0</v>
      </c>
      <c r="BE732" s="246">
        <f>IFERROR(VLOOKUP(O732,VOL_REC[],2,FALSE),0)</f>
        <v>0</v>
      </c>
      <c r="BF732" s="246">
        <f>IFERROR(VLOOKUP(P732,VOL_REC[],2,FALSE),0)</f>
        <v>0</v>
      </c>
      <c r="BG732" s="246">
        <f>IFERROR(VLOOKUP(Q732,VOL_REC[],2,FALSE),0)</f>
        <v>0</v>
      </c>
      <c r="BH732" s="1710">
        <f t="shared" si="44"/>
        <v>15787621947.653902</v>
      </c>
      <c r="BI732" s="1710">
        <f t="shared" si="45"/>
        <v>18682152251.511703</v>
      </c>
      <c r="BJ732" s="1711">
        <f t="shared" si="46"/>
        <v>16450330.531157028</v>
      </c>
      <c r="BK732" s="1711">
        <f t="shared" si="47"/>
        <v>0.84506440880634703</v>
      </c>
    </row>
    <row r="733" spans="3:67" x14ac:dyDescent="0.25">
      <c r="C733" s="246" t="s">
        <v>2083</v>
      </c>
      <c r="D733" s="246">
        <v>1</v>
      </c>
      <c r="E733" s="246">
        <v>2</v>
      </c>
      <c r="F733" s="246">
        <v>3</v>
      </c>
      <c r="G733" s="246">
        <v>4</v>
      </c>
      <c r="H733" s="246">
        <v>9</v>
      </c>
      <c r="I733" s="246">
        <v>13</v>
      </c>
      <c r="J733" s="246">
        <v>16</v>
      </c>
      <c r="K733" s="246">
        <v>17</v>
      </c>
      <c r="L733" s="246"/>
      <c r="M733" s="246"/>
      <c r="N733" s="246"/>
      <c r="O733" s="246"/>
      <c r="P733" s="246"/>
      <c r="Q733" s="246"/>
      <c r="R733" s="246">
        <f>IFERROR(VLOOKUP(D733,PROGRAMAS[],2,FALSE),0)</f>
        <v>97037803.679377079</v>
      </c>
      <c r="S733" s="246">
        <f>IFERROR(VLOOKUP(E733,PROGRAMAS[],2,FALSE),0)</f>
        <v>640501509.6821388</v>
      </c>
      <c r="T733" s="246">
        <f>IFERROR(VLOOKUP(F733,PROGRAMAS[],2,FALSE),0)</f>
        <v>3062327798.1525245</v>
      </c>
      <c r="U733" s="246">
        <f>IFERROR(VLOOKUP(G733,PROGRAMAS[],2,FALSE),0)</f>
        <v>67697118.033011258</v>
      </c>
      <c r="V733" s="246">
        <f>IFERROR(VLOOKUP(H733,PROGRAMAS[],2,FALSE),0)</f>
        <v>6128579952.1618185</v>
      </c>
      <c r="W733" s="246">
        <f>IFERROR(VLOOKUP(I733,PROGRAMAS[],2,FALSE),0)</f>
        <v>3776538594.4604583</v>
      </c>
      <c r="X733" s="246">
        <f>IFERROR(VLOOKUP(J733,PROGRAMAS[],2,FALSE),0)</f>
        <v>7068496961.0436354</v>
      </c>
      <c r="Y733" s="246">
        <f>IFERROR(VLOOKUP(K733,PROGRAMAS[],2,FALSE),0)</f>
        <v>1892779498.5211046</v>
      </c>
      <c r="Z733" s="246">
        <f>IFERROR(VLOOKUP(L733,PROGRAMAS[],2,FALSE),0)</f>
        <v>0</v>
      </c>
      <c r="AA733" s="246">
        <f>IFERROR(VLOOKUP(M733,PROGRAMAS[],2,FALSE),0)</f>
        <v>0</v>
      </c>
      <c r="AB733" s="246">
        <f>IFERROR(VLOOKUP(N733,PROGRAMAS[],2,FALSE),0)</f>
        <v>0</v>
      </c>
      <c r="AC733" s="246">
        <f>IFERROR(VLOOKUP(O733,PROGRAMAS[],2,FALSE),0)</f>
        <v>0</v>
      </c>
      <c r="AD733" s="246">
        <f>IFERROR(VLOOKUP(P733,PROGRAMAS[],2,FALSE),0)</f>
        <v>0</v>
      </c>
      <c r="AE733" s="246">
        <f>IFERROR(VLOOKUP(Q733,PROGRAMAS[],2,FALSE),0)</f>
        <v>0</v>
      </c>
      <c r="AF733" s="246">
        <f>IFERROR(VLOOKUP(D733,PROGRAMAS[],3,FALSE),0)</f>
        <v>841888629.31080008</v>
      </c>
      <c r="AG733" s="246">
        <f>IFERROR(VLOOKUP(E733,PROGRAMAS[],3,FALSE),0)</f>
        <v>3848980803.1642323</v>
      </c>
      <c r="AH733" s="246">
        <f>IFERROR(VLOOKUP(F733,PROGRAMAS[],3,FALSE),0)</f>
        <v>3394901471.387517</v>
      </c>
      <c r="AI733" s="246">
        <f>IFERROR(VLOOKUP(G733,PROGRAMAS[],3,FALSE),0)</f>
        <v>125317226.95549992</v>
      </c>
      <c r="AJ733" s="246">
        <f>IFERROR(VLOOKUP(H733,PROGRAMAS[],3,FALSE),0)</f>
        <v>7011279577.519702</v>
      </c>
      <c r="AK733" s="246">
        <f>IFERROR(VLOOKUP(I733,PROGRAMAS[],3,FALSE),0)</f>
        <v>2392571243.5584412</v>
      </c>
      <c r="AL733" s="246">
        <f>IFERROR(VLOOKUP(J733,PROGRAMAS[],3,FALSE),0)</f>
        <v>2406564599.0319901</v>
      </c>
      <c r="AM733" s="246">
        <f>IFERROR(VLOOKUP(K733,PROGRAMAS[],3,FALSE),0)</f>
        <v>948595847.09039903</v>
      </c>
      <c r="AN733" s="246">
        <f>IFERROR(VLOOKUP(L733,PROGRAMAS[],3,FALSE),0)</f>
        <v>0</v>
      </c>
      <c r="AO733" s="246">
        <f>IFERROR(VLOOKUP(M733,PROGRAMAS[],3,FALSE),0)</f>
        <v>0</v>
      </c>
      <c r="AP733" s="246">
        <f>IFERROR(VLOOKUP(N733,PROGRAMAS[],3,FALSE),0)</f>
        <v>0</v>
      </c>
      <c r="AQ733" s="246">
        <f>IFERROR(VLOOKUP(O733,PROGRAMAS[],3,FALSE),0)</f>
        <v>0</v>
      </c>
      <c r="AR733" s="246">
        <f>IFERROR(VLOOKUP(P733,PROGRAMAS[],3,FALSE),0)</f>
        <v>0</v>
      </c>
      <c r="AS733" s="246">
        <f>IFERROR(VLOOKUP(Q733,PROGRAMAS[],3,FALSE),0)</f>
        <v>0</v>
      </c>
      <c r="AT733" s="246">
        <f>IFERROR(VLOOKUP(D733,VOL_REC[],2,FALSE),0)</f>
        <v>0</v>
      </c>
      <c r="AU733" s="246">
        <f>IFERROR(VLOOKUP(E733,VOL_REC[],2,FALSE),0)</f>
        <v>0</v>
      </c>
      <c r="AV733" s="246">
        <f>IFERROR(VLOOKUP(F733,VOL_REC[],2,FALSE),0)</f>
        <v>11089674.200000001</v>
      </c>
      <c r="AW733" s="246">
        <f>IFERROR(VLOOKUP(G733,VOL_REC[],2,FALSE),0)</f>
        <v>90439.55</v>
      </c>
      <c r="AX733" s="246">
        <f>IFERROR(VLOOKUP(H733,VOL_REC[],2,FALSE),0)</f>
        <v>3761786</v>
      </c>
      <c r="AY733" s="246">
        <f>IFERROR(VLOOKUP(I733,VOL_REC[],2,FALSE),0)</f>
        <v>663244.80000000016</v>
      </c>
      <c r="AZ733" s="246">
        <f>IFERROR(VLOOKUP(J733,VOL_REC[],2,FALSE),0)</f>
        <v>1072354.9981737854</v>
      </c>
      <c r="BA733" s="246">
        <f>IFERROR(VLOOKUP(K733,VOL_REC[],2,FALSE),0)</f>
        <v>740113.98115702497</v>
      </c>
      <c r="BB733" s="246">
        <f>IFERROR(VLOOKUP(L733,VOL_REC[],2,FALSE),0)</f>
        <v>0</v>
      </c>
      <c r="BC733" s="246">
        <f>IFERROR(VLOOKUP(M733,VOL_REC[],2,FALSE),0)</f>
        <v>0</v>
      </c>
      <c r="BD733" s="246">
        <f>IFERROR(VLOOKUP(N733,VOL_REC[],2,FALSE),0)</f>
        <v>0</v>
      </c>
      <c r="BE733" s="246">
        <f>IFERROR(VLOOKUP(O733,VOL_REC[],2,FALSE),0)</f>
        <v>0</v>
      </c>
      <c r="BF733" s="246">
        <f>IFERROR(VLOOKUP(P733,VOL_REC[],2,FALSE),0)</f>
        <v>0</v>
      </c>
      <c r="BG733" s="246">
        <f>IFERROR(VLOOKUP(Q733,VOL_REC[],2,FALSE),0)</f>
        <v>0</v>
      </c>
      <c r="BH733" s="1710">
        <f t="shared" si="44"/>
        <v>22733959235.734066</v>
      </c>
      <c r="BI733" s="1710">
        <f t="shared" si="45"/>
        <v>20970099398.018585</v>
      </c>
      <c r="BJ733" s="1711">
        <f t="shared" si="46"/>
        <v>17417613.529330812</v>
      </c>
      <c r="BK733" s="1711">
        <f t="shared" si="47"/>
        <v>1.0841130890339101</v>
      </c>
      <c r="BL733">
        <f>BJ733</f>
        <v>17417613.529330812</v>
      </c>
      <c r="BO733">
        <f>BL733</f>
        <v>17417613.529330812</v>
      </c>
    </row>
    <row r="734" spans="3:67" x14ac:dyDescent="0.25">
      <c r="C734" s="246" t="s">
        <v>2084</v>
      </c>
      <c r="D734" s="246">
        <v>1</v>
      </c>
      <c r="E734" s="246">
        <v>2</v>
      </c>
      <c r="F734" s="246">
        <v>3</v>
      </c>
      <c r="G734" s="246">
        <v>4</v>
      </c>
      <c r="H734" s="246">
        <v>9</v>
      </c>
      <c r="I734" s="246">
        <v>14</v>
      </c>
      <c r="J734" s="246">
        <v>15</v>
      </c>
      <c r="K734" s="246">
        <v>16</v>
      </c>
      <c r="L734" s="246"/>
      <c r="M734" s="246"/>
      <c r="N734" s="246"/>
      <c r="O734" s="246"/>
      <c r="P734" s="246"/>
      <c r="Q734" s="246"/>
      <c r="R734" s="246">
        <f>IFERROR(VLOOKUP(D734,PROGRAMAS[],2,FALSE),0)</f>
        <v>97037803.679377079</v>
      </c>
      <c r="S734" s="246">
        <f>IFERROR(VLOOKUP(E734,PROGRAMAS[],2,FALSE),0)</f>
        <v>640501509.6821388</v>
      </c>
      <c r="T734" s="246">
        <f>IFERROR(VLOOKUP(F734,PROGRAMAS[],2,FALSE),0)</f>
        <v>3062327798.1525245</v>
      </c>
      <c r="U734" s="246">
        <f>IFERROR(VLOOKUP(G734,PROGRAMAS[],2,FALSE),0)</f>
        <v>67697118.033011258</v>
      </c>
      <c r="V734" s="246">
        <f>IFERROR(VLOOKUP(H734,PROGRAMAS[],2,FALSE),0)</f>
        <v>6128579952.1618185</v>
      </c>
      <c r="W734" s="246">
        <f>IFERROR(VLOOKUP(I734,PROGRAMAS[],2,FALSE),0)</f>
        <v>54223862.645839565</v>
      </c>
      <c r="X734" s="246">
        <f>IFERROR(VLOOKUP(J734,PROGRAMAS[],2,FALSE),0)</f>
        <v>122159672.96346797</v>
      </c>
      <c r="Y734" s="246">
        <f>IFERROR(VLOOKUP(K734,PROGRAMAS[],2,FALSE),0)</f>
        <v>7068496961.0436354</v>
      </c>
      <c r="Z734" s="246">
        <f>IFERROR(VLOOKUP(L734,PROGRAMAS[],2,FALSE),0)</f>
        <v>0</v>
      </c>
      <c r="AA734" s="246">
        <f>IFERROR(VLOOKUP(M734,PROGRAMAS[],2,FALSE),0)</f>
        <v>0</v>
      </c>
      <c r="AB734" s="246">
        <f>IFERROR(VLOOKUP(N734,PROGRAMAS[],2,FALSE),0)</f>
        <v>0</v>
      </c>
      <c r="AC734" s="246">
        <f>IFERROR(VLOOKUP(O734,PROGRAMAS[],2,FALSE),0)</f>
        <v>0</v>
      </c>
      <c r="AD734" s="246">
        <f>IFERROR(VLOOKUP(P734,PROGRAMAS[],2,FALSE),0)</f>
        <v>0</v>
      </c>
      <c r="AE734" s="246">
        <f>IFERROR(VLOOKUP(Q734,PROGRAMAS[],2,FALSE),0)</f>
        <v>0</v>
      </c>
      <c r="AF734" s="246">
        <f>IFERROR(VLOOKUP(D734,PROGRAMAS[],3,FALSE),0)</f>
        <v>841888629.31080008</v>
      </c>
      <c r="AG734" s="246">
        <f>IFERROR(VLOOKUP(E734,PROGRAMAS[],3,FALSE),0)</f>
        <v>3848980803.1642323</v>
      </c>
      <c r="AH734" s="246">
        <f>IFERROR(VLOOKUP(F734,PROGRAMAS[],3,FALSE),0)</f>
        <v>3394901471.387517</v>
      </c>
      <c r="AI734" s="246">
        <f>IFERROR(VLOOKUP(G734,PROGRAMAS[],3,FALSE),0)</f>
        <v>125317226.95549992</v>
      </c>
      <c r="AJ734" s="246">
        <f>IFERROR(VLOOKUP(H734,PROGRAMAS[],3,FALSE),0)</f>
        <v>7011279577.519702</v>
      </c>
      <c r="AK734" s="246">
        <f>IFERROR(VLOOKUP(I734,PROGRAMAS[],3,FALSE),0)</f>
        <v>31865326.38096505</v>
      </c>
      <c r="AL734" s="246">
        <f>IFERROR(VLOOKUP(J734,PROGRAMAS[],3,FALSE),0)</f>
        <v>118617452.52510804</v>
      </c>
      <c r="AM734" s="246">
        <f>IFERROR(VLOOKUP(K734,PROGRAMAS[],3,FALSE),0)</f>
        <v>2406564599.0319901</v>
      </c>
      <c r="AN734" s="246">
        <f>IFERROR(VLOOKUP(L734,PROGRAMAS[],3,FALSE),0)</f>
        <v>0</v>
      </c>
      <c r="AO734" s="246">
        <f>IFERROR(VLOOKUP(M734,PROGRAMAS[],3,FALSE),0)</f>
        <v>0</v>
      </c>
      <c r="AP734" s="246">
        <f>IFERROR(VLOOKUP(N734,PROGRAMAS[],3,FALSE),0)</f>
        <v>0</v>
      </c>
      <c r="AQ734" s="246">
        <f>IFERROR(VLOOKUP(O734,PROGRAMAS[],3,FALSE),0)</f>
        <v>0</v>
      </c>
      <c r="AR734" s="246">
        <f>IFERROR(VLOOKUP(P734,PROGRAMAS[],3,FALSE),0)</f>
        <v>0</v>
      </c>
      <c r="AS734" s="246">
        <f>IFERROR(VLOOKUP(Q734,PROGRAMAS[],3,FALSE),0)</f>
        <v>0</v>
      </c>
      <c r="AT734" s="246">
        <f>IFERROR(VLOOKUP(D734,VOL_REC[],2,FALSE),0)</f>
        <v>0</v>
      </c>
      <c r="AU734" s="246">
        <f>IFERROR(VLOOKUP(E734,VOL_REC[],2,FALSE),0)</f>
        <v>0</v>
      </c>
      <c r="AV734" s="246">
        <f>IFERROR(VLOOKUP(F734,VOL_REC[],2,FALSE),0)</f>
        <v>11089674.200000001</v>
      </c>
      <c r="AW734" s="246">
        <f>IFERROR(VLOOKUP(G734,VOL_REC[],2,FALSE),0)</f>
        <v>90439.55</v>
      </c>
      <c r="AX734" s="246">
        <f>IFERROR(VLOOKUP(H734,VOL_REC[],2,FALSE),0)</f>
        <v>3761786</v>
      </c>
      <c r="AY734" s="246">
        <f>IFERROR(VLOOKUP(I734,VOL_REC[],2,FALSE),0)</f>
        <v>17074.045034105649</v>
      </c>
      <c r="AZ734" s="246">
        <f>IFERROR(VLOOKUP(J734,VOL_REC[],2,FALSE),0)</f>
        <v>105072</v>
      </c>
      <c r="BA734" s="246">
        <f>IFERROR(VLOOKUP(K734,VOL_REC[],2,FALSE),0)</f>
        <v>1072354.9981737854</v>
      </c>
      <c r="BB734" s="246">
        <f>IFERROR(VLOOKUP(L734,VOL_REC[],2,FALSE),0)</f>
        <v>0</v>
      </c>
      <c r="BC734" s="246">
        <f>IFERROR(VLOOKUP(M734,VOL_REC[],2,FALSE),0)</f>
        <v>0</v>
      </c>
      <c r="BD734" s="246">
        <f>IFERROR(VLOOKUP(N734,VOL_REC[],2,FALSE),0)</f>
        <v>0</v>
      </c>
      <c r="BE734" s="246">
        <f>IFERROR(VLOOKUP(O734,VOL_REC[],2,FALSE),0)</f>
        <v>0</v>
      </c>
      <c r="BF734" s="246">
        <f>IFERROR(VLOOKUP(P734,VOL_REC[],2,FALSE),0)</f>
        <v>0</v>
      </c>
      <c r="BG734" s="246">
        <f>IFERROR(VLOOKUP(Q734,VOL_REC[],2,FALSE),0)</f>
        <v>0</v>
      </c>
      <c r="BH734" s="1710">
        <f t="shared" si="44"/>
        <v>17241024678.361813</v>
      </c>
      <c r="BI734" s="1710">
        <f t="shared" si="45"/>
        <v>17779415086.275814</v>
      </c>
      <c r="BJ734" s="1711">
        <f t="shared" si="46"/>
        <v>16136400.793207891</v>
      </c>
      <c r="BK734" s="1711">
        <f t="shared" si="47"/>
        <v>0.96971832845448369</v>
      </c>
    </row>
    <row r="735" spans="3:67" x14ac:dyDescent="0.25">
      <c r="C735" s="246" t="s">
        <v>2085</v>
      </c>
      <c r="D735" s="246">
        <v>1</v>
      </c>
      <c r="E735" s="246">
        <v>2</v>
      </c>
      <c r="F735" s="246">
        <v>3</v>
      </c>
      <c r="G735" s="246">
        <v>4</v>
      </c>
      <c r="H735" s="246">
        <v>9</v>
      </c>
      <c r="I735" s="246">
        <v>14</v>
      </c>
      <c r="J735" s="246">
        <v>15</v>
      </c>
      <c r="K735" s="246">
        <v>17</v>
      </c>
      <c r="L735" s="246"/>
      <c r="M735" s="246"/>
      <c r="N735" s="246"/>
      <c r="O735" s="246"/>
      <c r="P735" s="246"/>
      <c r="Q735" s="246"/>
      <c r="R735" s="246">
        <f>IFERROR(VLOOKUP(D735,PROGRAMAS[],2,FALSE),0)</f>
        <v>97037803.679377079</v>
      </c>
      <c r="S735" s="246">
        <f>IFERROR(VLOOKUP(E735,PROGRAMAS[],2,FALSE),0)</f>
        <v>640501509.6821388</v>
      </c>
      <c r="T735" s="246">
        <f>IFERROR(VLOOKUP(F735,PROGRAMAS[],2,FALSE),0)</f>
        <v>3062327798.1525245</v>
      </c>
      <c r="U735" s="246">
        <f>IFERROR(VLOOKUP(G735,PROGRAMAS[],2,FALSE),0)</f>
        <v>67697118.033011258</v>
      </c>
      <c r="V735" s="246">
        <f>IFERROR(VLOOKUP(H735,PROGRAMAS[],2,FALSE),0)</f>
        <v>6128579952.1618185</v>
      </c>
      <c r="W735" s="246">
        <f>IFERROR(VLOOKUP(I735,PROGRAMAS[],2,FALSE),0)</f>
        <v>54223862.645839565</v>
      </c>
      <c r="X735" s="246">
        <f>IFERROR(VLOOKUP(J735,PROGRAMAS[],2,FALSE),0)</f>
        <v>122159672.96346797</v>
      </c>
      <c r="Y735" s="246">
        <f>IFERROR(VLOOKUP(K735,PROGRAMAS[],2,FALSE),0)</f>
        <v>1892779498.5211046</v>
      </c>
      <c r="Z735" s="246">
        <f>IFERROR(VLOOKUP(L735,PROGRAMAS[],2,FALSE),0)</f>
        <v>0</v>
      </c>
      <c r="AA735" s="246">
        <f>IFERROR(VLOOKUP(M735,PROGRAMAS[],2,FALSE),0)</f>
        <v>0</v>
      </c>
      <c r="AB735" s="246">
        <f>IFERROR(VLOOKUP(N735,PROGRAMAS[],2,FALSE),0)</f>
        <v>0</v>
      </c>
      <c r="AC735" s="246">
        <f>IFERROR(VLOOKUP(O735,PROGRAMAS[],2,FALSE),0)</f>
        <v>0</v>
      </c>
      <c r="AD735" s="246">
        <f>IFERROR(VLOOKUP(P735,PROGRAMAS[],2,FALSE),0)</f>
        <v>0</v>
      </c>
      <c r="AE735" s="246">
        <f>IFERROR(VLOOKUP(Q735,PROGRAMAS[],2,FALSE),0)</f>
        <v>0</v>
      </c>
      <c r="AF735" s="246">
        <f>IFERROR(VLOOKUP(D735,PROGRAMAS[],3,FALSE),0)</f>
        <v>841888629.31080008</v>
      </c>
      <c r="AG735" s="246">
        <f>IFERROR(VLOOKUP(E735,PROGRAMAS[],3,FALSE),0)</f>
        <v>3848980803.1642323</v>
      </c>
      <c r="AH735" s="246">
        <f>IFERROR(VLOOKUP(F735,PROGRAMAS[],3,FALSE),0)</f>
        <v>3394901471.387517</v>
      </c>
      <c r="AI735" s="246">
        <f>IFERROR(VLOOKUP(G735,PROGRAMAS[],3,FALSE),0)</f>
        <v>125317226.95549992</v>
      </c>
      <c r="AJ735" s="246">
        <f>IFERROR(VLOOKUP(H735,PROGRAMAS[],3,FALSE),0)</f>
        <v>7011279577.519702</v>
      </c>
      <c r="AK735" s="246">
        <f>IFERROR(VLOOKUP(I735,PROGRAMAS[],3,FALSE),0)</f>
        <v>31865326.38096505</v>
      </c>
      <c r="AL735" s="246">
        <f>IFERROR(VLOOKUP(J735,PROGRAMAS[],3,FALSE),0)</f>
        <v>118617452.52510804</v>
      </c>
      <c r="AM735" s="246">
        <f>IFERROR(VLOOKUP(K735,PROGRAMAS[],3,FALSE),0)</f>
        <v>948595847.09039903</v>
      </c>
      <c r="AN735" s="246">
        <f>IFERROR(VLOOKUP(L735,PROGRAMAS[],3,FALSE),0)</f>
        <v>0</v>
      </c>
      <c r="AO735" s="246">
        <f>IFERROR(VLOOKUP(M735,PROGRAMAS[],3,FALSE),0)</f>
        <v>0</v>
      </c>
      <c r="AP735" s="246">
        <f>IFERROR(VLOOKUP(N735,PROGRAMAS[],3,FALSE),0)</f>
        <v>0</v>
      </c>
      <c r="AQ735" s="246">
        <f>IFERROR(VLOOKUP(O735,PROGRAMAS[],3,FALSE),0)</f>
        <v>0</v>
      </c>
      <c r="AR735" s="246">
        <f>IFERROR(VLOOKUP(P735,PROGRAMAS[],3,FALSE),0)</f>
        <v>0</v>
      </c>
      <c r="AS735" s="246">
        <f>IFERROR(VLOOKUP(Q735,PROGRAMAS[],3,FALSE),0)</f>
        <v>0</v>
      </c>
      <c r="AT735" s="246">
        <f>IFERROR(VLOOKUP(D735,VOL_REC[],2,FALSE),0)</f>
        <v>0</v>
      </c>
      <c r="AU735" s="246">
        <f>IFERROR(VLOOKUP(E735,VOL_REC[],2,FALSE),0)</f>
        <v>0</v>
      </c>
      <c r="AV735" s="246">
        <f>IFERROR(VLOOKUP(F735,VOL_REC[],2,FALSE),0)</f>
        <v>11089674.200000001</v>
      </c>
      <c r="AW735" s="246">
        <f>IFERROR(VLOOKUP(G735,VOL_REC[],2,FALSE),0)</f>
        <v>90439.55</v>
      </c>
      <c r="AX735" s="246">
        <f>IFERROR(VLOOKUP(H735,VOL_REC[],2,FALSE),0)</f>
        <v>3761786</v>
      </c>
      <c r="AY735" s="246">
        <f>IFERROR(VLOOKUP(I735,VOL_REC[],2,FALSE),0)</f>
        <v>17074.045034105649</v>
      </c>
      <c r="AZ735" s="246">
        <f>IFERROR(VLOOKUP(J735,VOL_REC[],2,FALSE),0)</f>
        <v>105072</v>
      </c>
      <c r="BA735" s="246">
        <f>IFERROR(VLOOKUP(K735,VOL_REC[],2,FALSE),0)</f>
        <v>740113.98115702497</v>
      </c>
      <c r="BB735" s="246">
        <f>IFERROR(VLOOKUP(L735,VOL_REC[],2,FALSE),0)</f>
        <v>0</v>
      </c>
      <c r="BC735" s="246">
        <f>IFERROR(VLOOKUP(M735,VOL_REC[],2,FALSE),0)</f>
        <v>0</v>
      </c>
      <c r="BD735" s="246">
        <f>IFERROR(VLOOKUP(N735,VOL_REC[],2,FALSE),0)</f>
        <v>0</v>
      </c>
      <c r="BE735" s="246">
        <f>IFERROR(VLOOKUP(O735,VOL_REC[],2,FALSE),0)</f>
        <v>0</v>
      </c>
      <c r="BF735" s="246">
        <f>IFERROR(VLOOKUP(P735,VOL_REC[],2,FALSE),0)</f>
        <v>0</v>
      </c>
      <c r="BG735" s="246">
        <f>IFERROR(VLOOKUP(Q735,VOL_REC[],2,FALSE),0)</f>
        <v>0</v>
      </c>
      <c r="BH735" s="1710">
        <f t="shared" si="44"/>
        <v>12065307215.839283</v>
      </c>
      <c r="BI735" s="1710">
        <f t="shared" si="45"/>
        <v>16321446334.334223</v>
      </c>
      <c r="BJ735" s="1711">
        <f t="shared" si="46"/>
        <v>15804159.776191132</v>
      </c>
      <c r="BK735" s="1711">
        <f t="shared" si="47"/>
        <v>0.73923027216395565</v>
      </c>
    </row>
    <row r="736" spans="3:67" x14ac:dyDescent="0.25">
      <c r="C736" s="246" t="s">
        <v>2086</v>
      </c>
      <c r="D736" s="246">
        <v>1</v>
      </c>
      <c r="E736" s="246">
        <v>2</v>
      </c>
      <c r="F736" s="246">
        <v>3</v>
      </c>
      <c r="G736" s="246">
        <v>4</v>
      </c>
      <c r="H736" s="246">
        <v>9</v>
      </c>
      <c r="I736" s="246">
        <v>14</v>
      </c>
      <c r="J736" s="246">
        <v>16</v>
      </c>
      <c r="K736" s="246">
        <v>17</v>
      </c>
      <c r="L736" s="246"/>
      <c r="M736" s="246"/>
      <c r="N736" s="246"/>
      <c r="O736" s="246"/>
      <c r="P736" s="246"/>
      <c r="Q736" s="246"/>
      <c r="R736" s="246">
        <f>IFERROR(VLOOKUP(D736,PROGRAMAS[],2,FALSE),0)</f>
        <v>97037803.679377079</v>
      </c>
      <c r="S736" s="246">
        <f>IFERROR(VLOOKUP(E736,PROGRAMAS[],2,FALSE),0)</f>
        <v>640501509.6821388</v>
      </c>
      <c r="T736" s="246">
        <f>IFERROR(VLOOKUP(F736,PROGRAMAS[],2,FALSE),0)</f>
        <v>3062327798.1525245</v>
      </c>
      <c r="U736" s="246">
        <f>IFERROR(VLOOKUP(G736,PROGRAMAS[],2,FALSE),0)</f>
        <v>67697118.033011258</v>
      </c>
      <c r="V736" s="246">
        <f>IFERROR(VLOOKUP(H736,PROGRAMAS[],2,FALSE),0)</f>
        <v>6128579952.1618185</v>
      </c>
      <c r="W736" s="246">
        <f>IFERROR(VLOOKUP(I736,PROGRAMAS[],2,FALSE),0)</f>
        <v>54223862.645839565</v>
      </c>
      <c r="X736" s="246">
        <f>IFERROR(VLOOKUP(J736,PROGRAMAS[],2,FALSE),0)</f>
        <v>7068496961.0436354</v>
      </c>
      <c r="Y736" s="246">
        <f>IFERROR(VLOOKUP(K736,PROGRAMAS[],2,FALSE),0)</f>
        <v>1892779498.5211046</v>
      </c>
      <c r="Z736" s="246">
        <f>IFERROR(VLOOKUP(L736,PROGRAMAS[],2,FALSE),0)</f>
        <v>0</v>
      </c>
      <c r="AA736" s="246">
        <f>IFERROR(VLOOKUP(M736,PROGRAMAS[],2,FALSE),0)</f>
        <v>0</v>
      </c>
      <c r="AB736" s="246">
        <f>IFERROR(VLOOKUP(N736,PROGRAMAS[],2,FALSE),0)</f>
        <v>0</v>
      </c>
      <c r="AC736" s="246">
        <f>IFERROR(VLOOKUP(O736,PROGRAMAS[],2,FALSE),0)</f>
        <v>0</v>
      </c>
      <c r="AD736" s="246">
        <f>IFERROR(VLOOKUP(P736,PROGRAMAS[],2,FALSE),0)</f>
        <v>0</v>
      </c>
      <c r="AE736" s="246">
        <f>IFERROR(VLOOKUP(Q736,PROGRAMAS[],2,FALSE),0)</f>
        <v>0</v>
      </c>
      <c r="AF736" s="246">
        <f>IFERROR(VLOOKUP(D736,PROGRAMAS[],3,FALSE),0)</f>
        <v>841888629.31080008</v>
      </c>
      <c r="AG736" s="246">
        <f>IFERROR(VLOOKUP(E736,PROGRAMAS[],3,FALSE),0)</f>
        <v>3848980803.1642323</v>
      </c>
      <c r="AH736" s="246">
        <f>IFERROR(VLOOKUP(F736,PROGRAMAS[],3,FALSE),0)</f>
        <v>3394901471.387517</v>
      </c>
      <c r="AI736" s="246">
        <f>IFERROR(VLOOKUP(G736,PROGRAMAS[],3,FALSE),0)</f>
        <v>125317226.95549992</v>
      </c>
      <c r="AJ736" s="246">
        <f>IFERROR(VLOOKUP(H736,PROGRAMAS[],3,FALSE),0)</f>
        <v>7011279577.519702</v>
      </c>
      <c r="AK736" s="246">
        <f>IFERROR(VLOOKUP(I736,PROGRAMAS[],3,FALSE),0)</f>
        <v>31865326.38096505</v>
      </c>
      <c r="AL736" s="246">
        <f>IFERROR(VLOOKUP(J736,PROGRAMAS[],3,FALSE),0)</f>
        <v>2406564599.0319901</v>
      </c>
      <c r="AM736" s="246">
        <f>IFERROR(VLOOKUP(K736,PROGRAMAS[],3,FALSE),0)</f>
        <v>948595847.09039903</v>
      </c>
      <c r="AN736" s="246">
        <f>IFERROR(VLOOKUP(L736,PROGRAMAS[],3,FALSE),0)</f>
        <v>0</v>
      </c>
      <c r="AO736" s="246">
        <f>IFERROR(VLOOKUP(M736,PROGRAMAS[],3,FALSE),0)</f>
        <v>0</v>
      </c>
      <c r="AP736" s="246">
        <f>IFERROR(VLOOKUP(N736,PROGRAMAS[],3,FALSE),0)</f>
        <v>0</v>
      </c>
      <c r="AQ736" s="246">
        <f>IFERROR(VLOOKUP(O736,PROGRAMAS[],3,FALSE),0)</f>
        <v>0</v>
      </c>
      <c r="AR736" s="246">
        <f>IFERROR(VLOOKUP(P736,PROGRAMAS[],3,FALSE),0)</f>
        <v>0</v>
      </c>
      <c r="AS736" s="246">
        <f>IFERROR(VLOOKUP(Q736,PROGRAMAS[],3,FALSE),0)</f>
        <v>0</v>
      </c>
      <c r="AT736" s="246">
        <f>IFERROR(VLOOKUP(D736,VOL_REC[],2,FALSE),0)</f>
        <v>0</v>
      </c>
      <c r="AU736" s="246">
        <f>IFERROR(VLOOKUP(E736,VOL_REC[],2,FALSE),0)</f>
        <v>0</v>
      </c>
      <c r="AV736" s="246">
        <f>IFERROR(VLOOKUP(F736,VOL_REC[],2,FALSE),0)</f>
        <v>11089674.200000001</v>
      </c>
      <c r="AW736" s="246">
        <f>IFERROR(VLOOKUP(G736,VOL_REC[],2,FALSE),0)</f>
        <v>90439.55</v>
      </c>
      <c r="AX736" s="246">
        <f>IFERROR(VLOOKUP(H736,VOL_REC[],2,FALSE),0)</f>
        <v>3761786</v>
      </c>
      <c r="AY736" s="246">
        <f>IFERROR(VLOOKUP(I736,VOL_REC[],2,FALSE),0)</f>
        <v>17074.045034105649</v>
      </c>
      <c r="AZ736" s="246">
        <f>IFERROR(VLOOKUP(J736,VOL_REC[],2,FALSE),0)</f>
        <v>1072354.9981737854</v>
      </c>
      <c r="BA736" s="246">
        <f>IFERROR(VLOOKUP(K736,VOL_REC[],2,FALSE),0)</f>
        <v>740113.98115702497</v>
      </c>
      <c r="BB736" s="246">
        <f>IFERROR(VLOOKUP(L736,VOL_REC[],2,FALSE),0)</f>
        <v>0</v>
      </c>
      <c r="BC736" s="246">
        <f>IFERROR(VLOOKUP(M736,VOL_REC[],2,FALSE),0)</f>
        <v>0</v>
      </c>
      <c r="BD736" s="246">
        <f>IFERROR(VLOOKUP(N736,VOL_REC[],2,FALSE),0)</f>
        <v>0</v>
      </c>
      <c r="BE736" s="246">
        <f>IFERROR(VLOOKUP(O736,VOL_REC[],2,FALSE),0)</f>
        <v>0</v>
      </c>
      <c r="BF736" s="246">
        <f>IFERROR(VLOOKUP(P736,VOL_REC[],2,FALSE),0)</f>
        <v>0</v>
      </c>
      <c r="BG736" s="246">
        <f>IFERROR(VLOOKUP(Q736,VOL_REC[],2,FALSE),0)</f>
        <v>0</v>
      </c>
      <c r="BH736" s="1710">
        <f t="shared" si="44"/>
        <v>19011644503.919449</v>
      </c>
      <c r="BI736" s="1710">
        <f t="shared" si="45"/>
        <v>18609393480.841106</v>
      </c>
      <c r="BJ736" s="1711">
        <f t="shared" si="46"/>
        <v>16771442.774364917</v>
      </c>
      <c r="BK736" s="1711">
        <f t="shared" si="47"/>
        <v>1.0216154827126671</v>
      </c>
      <c r="BL736">
        <f>BJ736</f>
        <v>16771442.774364917</v>
      </c>
      <c r="BO736">
        <f>BL736</f>
        <v>16771442.774364917</v>
      </c>
    </row>
    <row r="737" spans="3:67" x14ac:dyDescent="0.25">
      <c r="C737" s="246" t="s">
        <v>2087</v>
      </c>
      <c r="D737" s="246">
        <v>1</v>
      </c>
      <c r="E737" s="246">
        <v>2</v>
      </c>
      <c r="F737" s="246">
        <v>3</v>
      </c>
      <c r="G737" s="246">
        <v>4</v>
      </c>
      <c r="H737" s="246">
        <v>9</v>
      </c>
      <c r="I737" s="246">
        <v>15</v>
      </c>
      <c r="J737" s="246">
        <v>16</v>
      </c>
      <c r="K737" s="246">
        <v>17</v>
      </c>
      <c r="L737" s="246"/>
      <c r="M737" s="246"/>
      <c r="N737" s="246"/>
      <c r="O737" s="246"/>
      <c r="P737" s="246"/>
      <c r="Q737" s="246"/>
      <c r="R737" s="246">
        <f>IFERROR(VLOOKUP(D737,PROGRAMAS[],2,FALSE),0)</f>
        <v>97037803.679377079</v>
      </c>
      <c r="S737" s="246">
        <f>IFERROR(VLOOKUP(E737,PROGRAMAS[],2,FALSE),0)</f>
        <v>640501509.6821388</v>
      </c>
      <c r="T737" s="246">
        <f>IFERROR(VLOOKUP(F737,PROGRAMAS[],2,FALSE),0)</f>
        <v>3062327798.1525245</v>
      </c>
      <c r="U737" s="246">
        <f>IFERROR(VLOOKUP(G737,PROGRAMAS[],2,FALSE),0)</f>
        <v>67697118.033011258</v>
      </c>
      <c r="V737" s="246">
        <f>IFERROR(VLOOKUP(H737,PROGRAMAS[],2,FALSE),0)</f>
        <v>6128579952.1618185</v>
      </c>
      <c r="W737" s="246">
        <f>IFERROR(VLOOKUP(I737,PROGRAMAS[],2,FALSE),0)</f>
        <v>122159672.96346797</v>
      </c>
      <c r="X737" s="246">
        <f>IFERROR(VLOOKUP(J737,PROGRAMAS[],2,FALSE),0)</f>
        <v>7068496961.0436354</v>
      </c>
      <c r="Y737" s="246">
        <f>IFERROR(VLOOKUP(K737,PROGRAMAS[],2,FALSE),0)</f>
        <v>1892779498.5211046</v>
      </c>
      <c r="Z737" s="246">
        <f>IFERROR(VLOOKUP(L737,PROGRAMAS[],2,FALSE),0)</f>
        <v>0</v>
      </c>
      <c r="AA737" s="246">
        <f>IFERROR(VLOOKUP(M737,PROGRAMAS[],2,FALSE),0)</f>
        <v>0</v>
      </c>
      <c r="AB737" s="246">
        <f>IFERROR(VLOOKUP(N737,PROGRAMAS[],2,FALSE),0)</f>
        <v>0</v>
      </c>
      <c r="AC737" s="246">
        <f>IFERROR(VLOOKUP(O737,PROGRAMAS[],2,FALSE),0)</f>
        <v>0</v>
      </c>
      <c r="AD737" s="246">
        <f>IFERROR(VLOOKUP(P737,PROGRAMAS[],2,FALSE),0)</f>
        <v>0</v>
      </c>
      <c r="AE737" s="246">
        <f>IFERROR(VLOOKUP(Q737,PROGRAMAS[],2,FALSE),0)</f>
        <v>0</v>
      </c>
      <c r="AF737" s="246">
        <f>IFERROR(VLOOKUP(D737,PROGRAMAS[],3,FALSE),0)</f>
        <v>841888629.31080008</v>
      </c>
      <c r="AG737" s="246">
        <f>IFERROR(VLOOKUP(E737,PROGRAMAS[],3,FALSE),0)</f>
        <v>3848980803.1642323</v>
      </c>
      <c r="AH737" s="246">
        <f>IFERROR(VLOOKUP(F737,PROGRAMAS[],3,FALSE),0)</f>
        <v>3394901471.387517</v>
      </c>
      <c r="AI737" s="246">
        <f>IFERROR(VLOOKUP(G737,PROGRAMAS[],3,FALSE),0)</f>
        <v>125317226.95549992</v>
      </c>
      <c r="AJ737" s="246">
        <f>IFERROR(VLOOKUP(H737,PROGRAMAS[],3,FALSE),0)</f>
        <v>7011279577.519702</v>
      </c>
      <c r="AK737" s="246">
        <f>IFERROR(VLOOKUP(I737,PROGRAMAS[],3,FALSE),0)</f>
        <v>118617452.52510804</v>
      </c>
      <c r="AL737" s="246">
        <f>IFERROR(VLOOKUP(J737,PROGRAMAS[],3,FALSE),0)</f>
        <v>2406564599.0319901</v>
      </c>
      <c r="AM737" s="246">
        <f>IFERROR(VLOOKUP(K737,PROGRAMAS[],3,FALSE),0)</f>
        <v>948595847.09039903</v>
      </c>
      <c r="AN737" s="246">
        <f>IFERROR(VLOOKUP(L737,PROGRAMAS[],3,FALSE),0)</f>
        <v>0</v>
      </c>
      <c r="AO737" s="246">
        <f>IFERROR(VLOOKUP(M737,PROGRAMAS[],3,FALSE),0)</f>
        <v>0</v>
      </c>
      <c r="AP737" s="246">
        <f>IFERROR(VLOOKUP(N737,PROGRAMAS[],3,FALSE),0)</f>
        <v>0</v>
      </c>
      <c r="AQ737" s="246">
        <f>IFERROR(VLOOKUP(O737,PROGRAMAS[],3,FALSE),0)</f>
        <v>0</v>
      </c>
      <c r="AR737" s="246">
        <f>IFERROR(VLOOKUP(P737,PROGRAMAS[],3,FALSE),0)</f>
        <v>0</v>
      </c>
      <c r="AS737" s="246">
        <f>IFERROR(VLOOKUP(Q737,PROGRAMAS[],3,FALSE),0)</f>
        <v>0</v>
      </c>
      <c r="AT737" s="246">
        <f>IFERROR(VLOOKUP(D737,VOL_REC[],2,FALSE),0)</f>
        <v>0</v>
      </c>
      <c r="AU737" s="246">
        <f>IFERROR(VLOOKUP(E737,VOL_REC[],2,FALSE),0)</f>
        <v>0</v>
      </c>
      <c r="AV737" s="246">
        <f>IFERROR(VLOOKUP(F737,VOL_REC[],2,FALSE),0)</f>
        <v>11089674.200000001</v>
      </c>
      <c r="AW737" s="246">
        <f>IFERROR(VLOOKUP(G737,VOL_REC[],2,FALSE),0)</f>
        <v>90439.55</v>
      </c>
      <c r="AX737" s="246">
        <f>IFERROR(VLOOKUP(H737,VOL_REC[],2,FALSE),0)</f>
        <v>3761786</v>
      </c>
      <c r="AY737" s="246">
        <f>IFERROR(VLOOKUP(I737,VOL_REC[],2,FALSE),0)</f>
        <v>105072</v>
      </c>
      <c r="AZ737" s="246">
        <f>IFERROR(VLOOKUP(J737,VOL_REC[],2,FALSE),0)</f>
        <v>1072354.9981737854</v>
      </c>
      <c r="BA737" s="246">
        <f>IFERROR(VLOOKUP(K737,VOL_REC[],2,FALSE),0)</f>
        <v>740113.98115702497</v>
      </c>
      <c r="BB737" s="246">
        <f>IFERROR(VLOOKUP(L737,VOL_REC[],2,FALSE),0)</f>
        <v>0</v>
      </c>
      <c r="BC737" s="246">
        <f>IFERROR(VLOOKUP(M737,VOL_REC[],2,FALSE),0)</f>
        <v>0</v>
      </c>
      <c r="BD737" s="246">
        <f>IFERROR(VLOOKUP(N737,VOL_REC[],2,FALSE),0)</f>
        <v>0</v>
      </c>
      <c r="BE737" s="246">
        <f>IFERROR(VLOOKUP(O737,VOL_REC[],2,FALSE),0)</f>
        <v>0</v>
      </c>
      <c r="BF737" s="246">
        <f>IFERROR(VLOOKUP(P737,VOL_REC[],2,FALSE),0)</f>
        <v>0</v>
      </c>
      <c r="BG737" s="246">
        <f>IFERROR(VLOOKUP(Q737,VOL_REC[],2,FALSE),0)</f>
        <v>0</v>
      </c>
      <c r="BH737" s="1710">
        <f t="shared" si="44"/>
        <v>19079580314.237076</v>
      </c>
      <c r="BI737" s="1710">
        <f t="shared" si="45"/>
        <v>18696145606.985252</v>
      </c>
      <c r="BJ737" s="1711">
        <f t="shared" si="46"/>
        <v>16859440.729330812</v>
      </c>
      <c r="BK737" s="1711">
        <f t="shared" si="47"/>
        <v>1.0205087570086406</v>
      </c>
      <c r="BL737">
        <f>BJ737</f>
        <v>16859440.729330812</v>
      </c>
      <c r="BO737">
        <f>BL737</f>
        <v>16859440.729330812</v>
      </c>
    </row>
    <row r="738" spans="3:67" x14ac:dyDescent="0.25">
      <c r="C738" s="246" t="s">
        <v>2088</v>
      </c>
      <c r="D738" s="246">
        <v>1</v>
      </c>
      <c r="E738" s="246">
        <v>2</v>
      </c>
      <c r="F738" s="246">
        <v>3</v>
      </c>
      <c r="G738" s="246">
        <v>4</v>
      </c>
      <c r="H738" s="246">
        <v>10</v>
      </c>
      <c r="I738" s="246">
        <v>12</v>
      </c>
      <c r="J738" s="246">
        <v>13</v>
      </c>
      <c r="K738" s="246">
        <v>14</v>
      </c>
      <c r="L738" s="246"/>
      <c r="M738" s="246"/>
      <c r="N738" s="246"/>
      <c r="O738" s="246"/>
      <c r="P738" s="246"/>
      <c r="Q738" s="246"/>
      <c r="R738" s="246">
        <f>IFERROR(VLOOKUP(D738,PROGRAMAS[],2,FALSE),0)</f>
        <v>97037803.679377079</v>
      </c>
      <c r="S738" s="246">
        <f>IFERROR(VLOOKUP(E738,PROGRAMAS[],2,FALSE),0)</f>
        <v>640501509.6821388</v>
      </c>
      <c r="T738" s="246">
        <f>IFERROR(VLOOKUP(F738,PROGRAMAS[],2,FALSE),0)</f>
        <v>3062327798.1525245</v>
      </c>
      <c r="U738" s="246">
        <f>IFERROR(VLOOKUP(G738,PROGRAMAS[],2,FALSE),0)</f>
        <v>67697118.033011258</v>
      </c>
      <c r="V738" s="246">
        <f>IFERROR(VLOOKUP(H738,PROGRAMAS[],2,FALSE),0)</f>
        <v>4635315027.8751087</v>
      </c>
      <c r="W738" s="246">
        <f>IFERROR(VLOOKUP(I738,PROGRAMAS[],2,FALSE),0)</f>
        <v>764796700.79905891</v>
      </c>
      <c r="X738" s="246">
        <f>IFERROR(VLOOKUP(J738,PROGRAMAS[],2,FALSE),0)</f>
        <v>3776538594.4604583</v>
      </c>
      <c r="Y738" s="246">
        <f>IFERROR(VLOOKUP(K738,PROGRAMAS[],2,FALSE),0)</f>
        <v>54223862.645839565</v>
      </c>
      <c r="Z738" s="246">
        <f>IFERROR(VLOOKUP(L738,PROGRAMAS[],2,FALSE),0)</f>
        <v>0</v>
      </c>
      <c r="AA738" s="246">
        <f>IFERROR(VLOOKUP(M738,PROGRAMAS[],2,FALSE),0)</f>
        <v>0</v>
      </c>
      <c r="AB738" s="246">
        <f>IFERROR(VLOOKUP(N738,PROGRAMAS[],2,FALSE),0)</f>
        <v>0</v>
      </c>
      <c r="AC738" s="246">
        <f>IFERROR(VLOOKUP(O738,PROGRAMAS[],2,FALSE),0)</f>
        <v>0</v>
      </c>
      <c r="AD738" s="246">
        <f>IFERROR(VLOOKUP(P738,PROGRAMAS[],2,FALSE),0)</f>
        <v>0</v>
      </c>
      <c r="AE738" s="246">
        <f>IFERROR(VLOOKUP(Q738,PROGRAMAS[],2,FALSE),0)</f>
        <v>0</v>
      </c>
      <c r="AF738" s="246">
        <f>IFERROR(VLOOKUP(D738,PROGRAMAS[],3,FALSE),0)</f>
        <v>841888629.31080008</v>
      </c>
      <c r="AG738" s="246">
        <f>IFERROR(VLOOKUP(E738,PROGRAMAS[],3,FALSE),0)</f>
        <v>3848980803.1642323</v>
      </c>
      <c r="AH738" s="246">
        <f>IFERROR(VLOOKUP(F738,PROGRAMAS[],3,FALSE),0)</f>
        <v>3394901471.387517</v>
      </c>
      <c r="AI738" s="246">
        <f>IFERROR(VLOOKUP(G738,PROGRAMAS[],3,FALSE),0)</f>
        <v>125317226.95549992</v>
      </c>
      <c r="AJ738" s="246">
        <f>IFERROR(VLOOKUP(H738,PROGRAMAS[],3,FALSE),0)</f>
        <v>4099471734.9978786</v>
      </c>
      <c r="AK738" s="246">
        <f>IFERROR(VLOOKUP(I738,PROGRAMAS[],3,FALSE),0)</f>
        <v>675517840.109828</v>
      </c>
      <c r="AL738" s="246">
        <f>IFERROR(VLOOKUP(J738,PROGRAMAS[],3,FALSE),0)</f>
        <v>2392571243.5584412</v>
      </c>
      <c r="AM738" s="246">
        <f>IFERROR(VLOOKUP(K738,PROGRAMAS[],3,FALSE),0)</f>
        <v>31865326.38096505</v>
      </c>
      <c r="AN738" s="246">
        <f>IFERROR(VLOOKUP(L738,PROGRAMAS[],3,FALSE),0)</f>
        <v>0</v>
      </c>
      <c r="AO738" s="246">
        <f>IFERROR(VLOOKUP(M738,PROGRAMAS[],3,FALSE),0)</f>
        <v>0</v>
      </c>
      <c r="AP738" s="246">
        <f>IFERROR(VLOOKUP(N738,PROGRAMAS[],3,FALSE),0)</f>
        <v>0</v>
      </c>
      <c r="AQ738" s="246">
        <f>IFERROR(VLOOKUP(O738,PROGRAMAS[],3,FALSE),0)</f>
        <v>0</v>
      </c>
      <c r="AR738" s="246">
        <f>IFERROR(VLOOKUP(P738,PROGRAMAS[],3,FALSE),0)</f>
        <v>0</v>
      </c>
      <c r="AS738" s="246">
        <f>IFERROR(VLOOKUP(Q738,PROGRAMAS[],3,FALSE),0)</f>
        <v>0</v>
      </c>
      <c r="AT738" s="246">
        <f>IFERROR(VLOOKUP(D738,VOL_REC[],2,FALSE),0)</f>
        <v>0</v>
      </c>
      <c r="AU738" s="246">
        <f>IFERROR(VLOOKUP(E738,VOL_REC[],2,FALSE),0)</f>
        <v>0</v>
      </c>
      <c r="AV738" s="246">
        <f>IFERROR(VLOOKUP(F738,VOL_REC[],2,FALSE),0)</f>
        <v>11089674.200000001</v>
      </c>
      <c r="AW738" s="246">
        <f>IFERROR(VLOOKUP(G738,VOL_REC[],2,FALSE),0)</f>
        <v>90439.55</v>
      </c>
      <c r="AX738" s="246">
        <f>IFERROR(VLOOKUP(H738,VOL_REC[],2,FALSE),0)</f>
        <v>1812240</v>
      </c>
      <c r="AY738" s="246">
        <f>IFERROR(VLOOKUP(I738,VOL_REC[],2,FALSE),0)</f>
        <v>240696.79238099116</v>
      </c>
      <c r="AZ738" s="246">
        <f>IFERROR(VLOOKUP(J738,VOL_REC[],2,FALSE),0)</f>
        <v>663244.80000000016</v>
      </c>
      <c r="BA738" s="246">
        <f>IFERROR(VLOOKUP(K738,VOL_REC[],2,FALSE),0)</f>
        <v>17074.045034105649</v>
      </c>
      <c r="BB738" s="246">
        <f>IFERROR(VLOOKUP(L738,VOL_REC[],2,FALSE),0)</f>
        <v>0</v>
      </c>
      <c r="BC738" s="246">
        <f>IFERROR(VLOOKUP(M738,VOL_REC[],2,FALSE),0)</f>
        <v>0</v>
      </c>
      <c r="BD738" s="246">
        <f>IFERROR(VLOOKUP(N738,VOL_REC[],2,FALSE),0)</f>
        <v>0</v>
      </c>
      <c r="BE738" s="246">
        <f>IFERROR(VLOOKUP(O738,VOL_REC[],2,FALSE),0)</f>
        <v>0</v>
      </c>
      <c r="BF738" s="246">
        <f>IFERROR(VLOOKUP(P738,VOL_REC[],2,FALSE),0)</f>
        <v>0</v>
      </c>
      <c r="BG738" s="246">
        <f>IFERROR(VLOOKUP(Q738,VOL_REC[],2,FALSE),0)</f>
        <v>0</v>
      </c>
      <c r="BH738" s="1710">
        <f t="shared" si="44"/>
        <v>13098438415.327518</v>
      </c>
      <c r="BI738" s="1710">
        <f t="shared" si="45"/>
        <v>15410514275.86516</v>
      </c>
      <c r="BJ738" s="1711">
        <f t="shared" si="46"/>
        <v>13913369.387415098</v>
      </c>
      <c r="BK738" s="1711">
        <f t="shared" si="47"/>
        <v>0.84996763773428063</v>
      </c>
    </row>
    <row r="739" spans="3:67" x14ac:dyDescent="0.25">
      <c r="C739" s="246" t="s">
        <v>2089</v>
      </c>
      <c r="D739" s="246">
        <v>1</v>
      </c>
      <c r="E739" s="246">
        <v>2</v>
      </c>
      <c r="F739" s="246">
        <v>3</v>
      </c>
      <c r="G739" s="246">
        <v>4</v>
      </c>
      <c r="H739" s="246">
        <v>10</v>
      </c>
      <c r="I739" s="246">
        <v>12</v>
      </c>
      <c r="J739" s="246">
        <v>13</v>
      </c>
      <c r="K739" s="246">
        <v>15</v>
      </c>
      <c r="L739" s="246"/>
      <c r="M739" s="246"/>
      <c r="N739" s="246"/>
      <c r="O739" s="246"/>
      <c r="P739" s="246"/>
      <c r="Q739" s="246"/>
      <c r="R739" s="246">
        <f>IFERROR(VLOOKUP(D739,PROGRAMAS[],2,FALSE),0)</f>
        <v>97037803.679377079</v>
      </c>
      <c r="S739" s="246">
        <f>IFERROR(VLOOKUP(E739,PROGRAMAS[],2,FALSE),0)</f>
        <v>640501509.6821388</v>
      </c>
      <c r="T739" s="246">
        <f>IFERROR(VLOOKUP(F739,PROGRAMAS[],2,FALSE),0)</f>
        <v>3062327798.1525245</v>
      </c>
      <c r="U739" s="246">
        <f>IFERROR(VLOOKUP(G739,PROGRAMAS[],2,FALSE),0)</f>
        <v>67697118.033011258</v>
      </c>
      <c r="V739" s="246">
        <f>IFERROR(VLOOKUP(H739,PROGRAMAS[],2,FALSE),0)</f>
        <v>4635315027.8751087</v>
      </c>
      <c r="W739" s="246">
        <f>IFERROR(VLOOKUP(I739,PROGRAMAS[],2,FALSE),0)</f>
        <v>764796700.79905891</v>
      </c>
      <c r="X739" s="246">
        <f>IFERROR(VLOOKUP(J739,PROGRAMAS[],2,FALSE),0)</f>
        <v>3776538594.4604583</v>
      </c>
      <c r="Y739" s="246">
        <f>IFERROR(VLOOKUP(K739,PROGRAMAS[],2,FALSE),0)</f>
        <v>122159672.96346797</v>
      </c>
      <c r="Z739" s="246">
        <f>IFERROR(VLOOKUP(L739,PROGRAMAS[],2,FALSE),0)</f>
        <v>0</v>
      </c>
      <c r="AA739" s="246">
        <f>IFERROR(VLOOKUP(M739,PROGRAMAS[],2,FALSE),0)</f>
        <v>0</v>
      </c>
      <c r="AB739" s="246">
        <f>IFERROR(VLOOKUP(N739,PROGRAMAS[],2,FALSE),0)</f>
        <v>0</v>
      </c>
      <c r="AC739" s="246">
        <f>IFERROR(VLOOKUP(O739,PROGRAMAS[],2,FALSE),0)</f>
        <v>0</v>
      </c>
      <c r="AD739" s="246">
        <f>IFERROR(VLOOKUP(P739,PROGRAMAS[],2,FALSE),0)</f>
        <v>0</v>
      </c>
      <c r="AE739" s="246">
        <f>IFERROR(VLOOKUP(Q739,PROGRAMAS[],2,FALSE),0)</f>
        <v>0</v>
      </c>
      <c r="AF739" s="246">
        <f>IFERROR(VLOOKUP(D739,PROGRAMAS[],3,FALSE),0)</f>
        <v>841888629.31080008</v>
      </c>
      <c r="AG739" s="246">
        <f>IFERROR(VLOOKUP(E739,PROGRAMAS[],3,FALSE),0)</f>
        <v>3848980803.1642323</v>
      </c>
      <c r="AH739" s="246">
        <f>IFERROR(VLOOKUP(F739,PROGRAMAS[],3,FALSE),0)</f>
        <v>3394901471.387517</v>
      </c>
      <c r="AI739" s="246">
        <f>IFERROR(VLOOKUP(G739,PROGRAMAS[],3,FALSE),0)</f>
        <v>125317226.95549992</v>
      </c>
      <c r="AJ739" s="246">
        <f>IFERROR(VLOOKUP(H739,PROGRAMAS[],3,FALSE),0)</f>
        <v>4099471734.9978786</v>
      </c>
      <c r="AK739" s="246">
        <f>IFERROR(VLOOKUP(I739,PROGRAMAS[],3,FALSE),0)</f>
        <v>675517840.109828</v>
      </c>
      <c r="AL739" s="246">
        <f>IFERROR(VLOOKUP(J739,PROGRAMAS[],3,FALSE),0)</f>
        <v>2392571243.5584412</v>
      </c>
      <c r="AM739" s="246">
        <f>IFERROR(VLOOKUP(K739,PROGRAMAS[],3,FALSE),0)</f>
        <v>118617452.52510804</v>
      </c>
      <c r="AN739" s="246">
        <f>IFERROR(VLOOKUP(L739,PROGRAMAS[],3,FALSE),0)</f>
        <v>0</v>
      </c>
      <c r="AO739" s="246">
        <f>IFERROR(VLOOKUP(M739,PROGRAMAS[],3,FALSE),0)</f>
        <v>0</v>
      </c>
      <c r="AP739" s="246">
        <f>IFERROR(VLOOKUP(N739,PROGRAMAS[],3,FALSE),0)</f>
        <v>0</v>
      </c>
      <c r="AQ739" s="246">
        <f>IFERROR(VLOOKUP(O739,PROGRAMAS[],3,FALSE),0)</f>
        <v>0</v>
      </c>
      <c r="AR739" s="246">
        <f>IFERROR(VLOOKUP(P739,PROGRAMAS[],3,FALSE),0)</f>
        <v>0</v>
      </c>
      <c r="AS739" s="246">
        <f>IFERROR(VLOOKUP(Q739,PROGRAMAS[],3,FALSE),0)</f>
        <v>0</v>
      </c>
      <c r="AT739" s="246">
        <f>IFERROR(VLOOKUP(D739,VOL_REC[],2,FALSE),0)</f>
        <v>0</v>
      </c>
      <c r="AU739" s="246">
        <f>IFERROR(VLOOKUP(E739,VOL_REC[],2,FALSE),0)</f>
        <v>0</v>
      </c>
      <c r="AV739" s="246">
        <f>IFERROR(VLOOKUP(F739,VOL_REC[],2,FALSE),0)</f>
        <v>11089674.200000001</v>
      </c>
      <c r="AW739" s="246">
        <f>IFERROR(VLOOKUP(G739,VOL_REC[],2,FALSE),0)</f>
        <v>90439.55</v>
      </c>
      <c r="AX739" s="246">
        <f>IFERROR(VLOOKUP(H739,VOL_REC[],2,FALSE),0)</f>
        <v>1812240</v>
      </c>
      <c r="AY739" s="246">
        <f>IFERROR(VLOOKUP(I739,VOL_REC[],2,FALSE),0)</f>
        <v>240696.79238099116</v>
      </c>
      <c r="AZ739" s="246">
        <f>IFERROR(VLOOKUP(J739,VOL_REC[],2,FALSE),0)</f>
        <v>663244.80000000016</v>
      </c>
      <c r="BA739" s="246">
        <f>IFERROR(VLOOKUP(K739,VOL_REC[],2,FALSE),0)</f>
        <v>105072</v>
      </c>
      <c r="BB739" s="246">
        <f>IFERROR(VLOOKUP(L739,VOL_REC[],2,FALSE),0)</f>
        <v>0</v>
      </c>
      <c r="BC739" s="246">
        <f>IFERROR(VLOOKUP(M739,VOL_REC[],2,FALSE),0)</f>
        <v>0</v>
      </c>
      <c r="BD739" s="246">
        <f>IFERROR(VLOOKUP(N739,VOL_REC[],2,FALSE),0)</f>
        <v>0</v>
      </c>
      <c r="BE739" s="246">
        <f>IFERROR(VLOOKUP(O739,VOL_REC[],2,FALSE),0)</f>
        <v>0</v>
      </c>
      <c r="BF739" s="246">
        <f>IFERROR(VLOOKUP(P739,VOL_REC[],2,FALSE),0)</f>
        <v>0</v>
      </c>
      <c r="BG739" s="246">
        <f>IFERROR(VLOOKUP(Q739,VOL_REC[],2,FALSE),0)</f>
        <v>0</v>
      </c>
      <c r="BH739" s="1710">
        <f t="shared" si="44"/>
        <v>13166374225.645147</v>
      </c>
      <c r="BI739" s="1710">
        <f t="shared" si="45"/>
        <v>15497266402.009304</v>
      </c>
      <c r="BJ739" s="1711">
        <f t="shared" si="46"/>
        <v>14001367.342380993</v>
      </c>
      <c r="BK739" s="1711">
        <f t="shared" si="47"/>
        <v>0.84959333369516421</v>
      </c>
    </row>
    <row r="740" spans="3:67" x14ac:dyDescent="0.25">
      <c r="C740" s="246" t="s">
        <v>2090</v>
      </c>
      <c r="D740" s="246">
        <v>1</v>
      </c>
      <c r="E740" s="246">
        <v>2</v>
      </c>
      <c r="F740" s="246">
        <v>3</v>
      </c>
      <c r="G740" s="246">
        <v>4</v>
      </c>
      <c r="H740" s="246">
        <v>10</v>
      </c>
      <c r="I740" s="246">
        <v>12</v>
      </c>
      <c r="J740" s="246">
        <v>13</v>
      </c>
      <c r="K740" s="246">
        <v>16</v>
      </c>
      <c r="L740" s="246"/>
      <c r="M740" s="246"/>
      <c r="N740" s="246"/>
      <c r="O740" s="246"/>
      <c r="P740" s="246"/>
      <c r="Q740" s="246"/>
      <c r="R740" s="246">
        <f>IFERROR(VLOOKUP(D740,PROGRAMAS[],2,FALSE),0)</f>
        <v>97037803.679377079</v>
      </c>
      <c r="S740" s="246">
        <f>IFERROR(VLOOKUP(E740,PROGRAMAS[],2,FALSE),0)</f>
        <v>640501509.6821388</v>
      </c>
      <c r="T740" s="246">
        <f>IFERROR(VLOOKUP(F740,PROGRAMAS[],2,FALSE),0)</f>
        <v>3062327798.1525245</v>
      </c>
      <c r="U740" s="246">
        <f>IFERROR(VLOOKUP(G740,PROGRAMAS[],2,FALSE),0)</f>
        <v>67697118.033011258</v>
      </c>
      <c r="V740" s="246">
        <f>IFERROR(VLOOKUP(H740,PROGRAMAS[],2,FALSE),0)</f>
        <v>4635315027.8751087</v>
      </c>
      <c r="W740" s="246">
        <f>IFERROR(VLOOKUP(I740,PROGRAMAS[],2,FALSE),0)</f>
        <v>764796700.79905891</v>
      </c>
      <c r="X740" s="246">
        <f>IFERROR(VLOOKUP(J740,PROGRAMAS[],2,FALSE),0)</f>
        <v>3776538594.4604583</v>
      </c>
      <c r="Y740" s="246">
        <f>IFERROR(VLOOKUP(K740,PROGRAMAS[],2,FALSE),0)</f>
        <v>7068496961.0436354</v>
      </c>
      <c r="Z740" s="246">
        <f>IFERROR(VLOOKUP(L740,PROGRAMAS[],2,FALSE),0)</f>
        <v>0</v>
      </c>
      <c r="AA740" s="246">
        <f>IFERROR(VLOOKUP(M740,PROGRAMAS[],2,FALSE),0)</f>
        <v>0</v>
      </c>
      <c r="AB740" s="246">
        <f>IFERROR(VLOOKUP(N740,PROGRAMAS[],2,FALSE),0)</f>
        <v>0</v>
      </c>
      <c r="AC740" s="246">
        <f>IFERROR(VLOOKUP(O740,PROGRAMAS[],2,FALSE),0)</f>
        <v>0</v>
      </c>
      <c r="AD740" s="246">
        <f>IFERROR(VLOOKUP(P740,PROGRAMAS[],2,FALSE),0)</f>
        <v>0</v>
      </c>
      <c r="AE740" s="246">
        <f>IFERROR(VLOOKUP(Q740,PROGRAMAS[],2,FALSE),0)</f>
        <v>0</v>
      </c>
      <c r="AF740" s="246">
        <f>IFERROR(VLOOKUP(D740,PROGRAMAS[],3,FALSE),0)</f>
        <v>841888629.31080008</v>
      </c>
      <c r="AG740" s="246">
        <f>IFERROR(VLOOKUP(E740,PROGRAMAS[],3,FALSE),0)</f>
        <v>3848980803.1642323</v>
      </c>
      <c r="AH740" s="246">
        <f>IFERROR(VLOOKUP(F740,PROGRAMAS[],3,FALSE),0)</f>
        <v>3394901471.387517</v>
      </c>
      <c r="AI740" s="246">
        <f>IFERROR(VLOOKUP(G740,PROGRAMAS[],3,FALSE),0)</f>
        <v>125317226.95549992</v>
      </c>
      <c r="AJ740" s="246">
        <f>IFERROR(VLOOKUP(H740,PROGRAMAS[],3,FALSE),0)</f>
        <v>4099471734.9978786</v>
      </c>
      <c r="AK740" s="246">
        <f>IFERROR(VLOOKUP(I740,PROGRAMAS[],3,FALSE),0)</f>
        <v>675517840.109828</v>
      </c>
      <c r="AL740" s="246">
        <f>IFERROR(VLOOKUP(J740,PROGRAMAS[],3,FALSE),0)</f>
        <v>2392571243.5584412</v>
      </c>
      <c r="AM740" s="246">
        <f>IFERROR(VLOOKUP(K740,PROGRAMAS[],3,FALSE),0)</f>
        <v>2406564599.0319901</v>
      </c>
      <c r="AN740" s="246">
        <f>IFERROR(VLOOKUP(L740,PROGRAMAS[],3,FALSE),0)</f>
        <v>0</v>
      </c>
      <c r="AO740" s="246">
        <f>IFERROR(VLOOKUP(M740,PROGRAMAS[],3,FALSE),0)</f>
        <v>0</v>
      </c>
      <c r="AP740" s="246">
        <f>IFERROR(VLOOKUP(N740,PROGRAMAS[],3,FALSE),0)</f>
        <v>0</v>
      </c>
      <c r="AQ740" s="246">
        <f>IFERROR(VLOOKUP(O740,PROGRAMAS[],3,FALSE),0)</f>
        <v>0</v>
      </c>
      <c r="AR740" s="246">
        <f>IFERROR(VLOOKUP(P740,PROGRAMAS[],3,FALSE),0)</f>
        <v>0</v>
      </c>
      <c r="AS740" s="246">
        <f>IFERROR(VLOOKUP(Q740,PROGRAMAS[],3,FALSE),0)</f>
        <v>0</v>
      </c>
      <c r="AT740" s="246">
        <f>IFERROR(VLOOKUP(D740,VOL_REC[],2,FALSE),0)</f>
        <v>0</v>
      </c>
      <c r="AU740" s="246">
        <f>IFERROR(VLOOKUP(E740,VOL_REC[],2,FALSE),0)</f>
        <v>0</v>
      </c>
      <c r="AV740" s="246">
        <f>IFERROR(VLOOKUP(F740,VOL_REC[],2,FALSE),0)</f>
        <v>11089674.200000001</v>
      </c>
      <c r="AW740" s="246">
        <f>IFERROR(VLOOKUP(G740,VOL_REC[],2,FALSE),0)</f>
        <v>90439.55</v>
      </c>
      <c r="AX740" s="246">
        <f>IFERROR(VLOOKUP(H740,VOL_REC[],2,FALSE),0)</f>
        <v>1812240</v>
      </c>
      <c r="AY740" s="246">
        <f>IFERROR(VLOOKUP(I740,VOL_REC[],2,FALSE),0)</f>
        <v>240696.79238099116</v>
      </c>
      <c r="AZ740" s="246">
        <f>IFERROR(VLOOKUP(J740,VOL_REC[],2,FALSE),0)</f>
        <v>663244.80000000016</v>
      </c>
      <c r="BA740" s="246">
        <f>IFERROR(VLOOKUP(K740,VOL_REC[],2,FALSE),0)</f>
        <v>1072354.9981737854</v>
      </c>
      <c r="BB740" s="246">
        <f>IFERROR(VLOOKUP(L740,VOL_REC[],2,FALSE),0)</f>
        <v>0</v>
      </c>
      <c r="BC740" s="246">
        <f>IFERROR(VLOOKUP(M740,VOL_REC[],2,FALSE),0)</f>
        <v>0</v>
      </c>
      <c r="BD740" s="246">
        <f>IFERROR(VLOOKUP(N740,VOL_REC[],2,FALSE),0)</f>
        <v>0</v>
      </c>
      <c r="BE740" s="246">
        <f>IFERROR(VLOOKUP(O740,VOL_REC[],2,FALSE),0)</f>
        <v>0</v>
      </c>
      <c r="BF740" s="246">
        <f>IFERROR(VLOOKUP(P740,VOL_REC[],2,FALSE),0)</f>
        <v>0</v>
      </c>
      <c r="BG740" s="246">
        <f>IFERROR(VLOOKUP(Q740,VOL_REC[],2,FALSE),0)</f>
        <v>0</v>
      </c>
      <c r="BH740" s="1710">
        <f t="shared" si="44"/>
        <v>20112711513.725315</v>
      </c>
      <c r="BI740" s="1710">
        <f t="shared" si="45"/>
        <v>17785213548.516186</v>
      </c>
      <c r="BJ740" s="1711">
        <f t="shared" si="46"/>
        <v>14968650.340554778</v>
      </c>
      <c r="BK740" s="1711">
        <f t="shared" si="47"/>
        <v>1.130867023826279</v>
      </c>
      <c r="BL740">
        <f>BJ740</f>
        <v>14968650.340554778</v>
      </c>
      <c r="BO740">
        <f>BL740</f>
        <v>14968650.340554778</v>
      </c>
    </row>
    <row r="741" spans="3:67" x14ac:dyDescent="0.25">
      <c r="C741" s="246" t="s">
        <v>2091</v>
      </c>
      <c r="D741" s="246">
        <v>1</v>
      </c>
      <c r="E741" s="246">
        <v>2</v>
      </c>
      <c r="F741" s="246">
        <v>3</v>
      </c>
      <c r="G741" s="246">
        <v>4</v>
      </c>
      <c r="H741" s="246">
        <v>10</v>
      </c>
      <c r="I741" s="246">
        <v>12</v>
      </c>
      <c r="J741" s="246">
        <v>13</v>
      </c>
      <c r="K741" s="246">
        <v>17</v>
      </c>
      <c r="L741" s="246"/>
      <c r="M741" s="246"/>
      <c r="N741" s="246"/>
      <c r="O741" s="246"/>
      <c r="P741" s="246"/>
      <c r="Q741" s="246"/>
      <c r="R741" s="246">
        <f>IFERROR(VLOOKUP(D741,PROGRAMAS[],2,FALSE),0)</f>
        <v>97037803.679377079</v>
      </c>
      <c r="S741" s="246">
        <f>IFERROR(VLOOKUP(E741,PROGRAMAS[],2,FALSE),0)</f>
        <v>640501509.6821388</v>
      </c>
      <c r="T741" s="246">
        <f>IFERROR(VLOOKUP(F741,PROGRAMAS[],2,FALSE),0)</f>
        <v>3062327798.1525245</v>
      </c>
      <c r="U741" s="246">
        <f>IFERROR(VLOOKUP(G741,PROGRAMAS[],2,FALSE),0)</f>
        <v>67697118.033011258</v>
      </c>
      <c r="V741" s="246">
        <f>IFERROR(VLOOKUP(H741,PROGRAMAS[],2,FALSE),0)</f>
        <v>4635315027.8751087</v>
      </c>
      <c r="W741" s="246">
        <f>IFERROR(VLOOKUP(I741,PROGRAMAS[],2,FALSE),0)</f>
        <v>764796700.79905891</v>
      </c>
      <c r="X741" s="246">
        <f>IFERROR(VLOOKUP(J741,PROGRAMAS[],2,FALSE),0)</f>
        <v>3776538594.4604583</v>
      </c>
      <c r="Y741" s="246">
        <f>IFERROR(VLOOKUP(K741,PROGRAMAS[],2,FALSE),0)</f>
        <v>1892779498.5211046</v>
      </c>
      <c r="Z741" s="246">
        <f>IFERROR(VLOOKUP(L741,PROGRAMAS[],2,FALSE),0)</f>
        <v>0</v>
      </c>
      <c r="AA741" s="246">
        <f>IFERROR(VLOOKUP(M741,PROGRAMAS[],2,FALSE),0)</f>
        <v>0</v>
      </c>
      <c r="AB741" s="246">
        <f>IFERROR(VLOOKUP(N741,PROGRAMAS[],2,FALSE),0)</f>
        <v>0</v>
      </c>
      <c r="AC741" s="246">
        <f>IFERROR(VLOOKUP(O741,PROGRAMAS[],2,FALSE),0)</f>
        <v>0</v>
      </c>
      <c r="AD741" s="246">
        <f>IFERROR(VLOOKUP(P741,PROGRAMAS[],2,FALSE),0)</f>
        <v>0</v>
      </c>
      <c r="AE741" s="246">
        <f>IFERROR(VLOOKUP(Q741,PROGRAMAS[],2,FALSE),0)</f>
        <v>0</v>
      </c>
      <c r="AF741" s="246">
        <f>IFERROR(VLOOKUP(D741,PROGRAMAS[],3,FALSE),0)</f>
        <v>841888629.31080008</v>
      </c>
      <c r="AG741" s="246">
        <f>IFERROR(VLOOKUP(E741,PROGRAMAS[],3,FALSE),0)</f>
        <v>3848980803.1642323</v>
      </c>
      <c r="AH741" s="246">
        <f>IFERROR(VLOOKUP(F741,PROGRAMAS[],3,FALSE),0)</f>
        <v>3394901471.387517</v>
      </c>
      <c r="AI741" s="246">
        <f>IFERROR(VLOOKUP(G741,PROGRAMAS[],3,FALSE),0)</f>
        <v>125317226.95549992</v>
      </c>
      <c r="AJ741" s="246">
        <f>IFERROR(VLOOKUP(H741,PROGRAMAS[],3,FALSE),0)</f>
        <v>4099471734.9978786</v>
      </c>
      <c r="AK741" s="246">
        <f>IFERROR(VLOOKUP(I741,PROGRAMAS[],3,FALSE),0)</f>
        <v>675517840.109828</v>
      </c>
      <c r="AL741" s="246">
        <f>IFERROR(VLOOKUP(J741,PROGRAMAS[],3,FALSE),0)</f>
        <v>2392571243.5584412</v>
      </c>
      <c r="AM741" s="246">
        <f>IFERROR(VLOOKUP(K741,PROGRAMAS[],3,FALSE),0)</f>
        <v>948595847.09039903</v>
      </c>
      <c r="AN741" s="246">
        <f>IFERROR(VLOOKUP(L741,PROGRAMAS[],3,FALSE),0)</f>
        <v>0</v>
      </c>
      <c r="AO741" s="246">
        <f>IFERROR(VLOOKUP(M741,PROGRAMAS[],3,FALSE),0)</f>
        <v>0</v>
      </c>
      <c r="AP741" s="246">
        <f>IFERROR(VLOOKUP(N741,PROGRAMAS[],3,FALSE),0)</f>
        <v>0</v>
      </c>
      <c r="AQ741" s="246">
        <f>IFERROR(VLOOKUP(O741,PROGRAMAS[],3,FALSE),0)</f>
        <v>0</v>
      </c>
      <c r="AR741" s="246">
        <f>IFERROR(VLOOKUP(P741,PROGRAMAS[],3,FALSE),0)</f>
        <v>0</v>
      </c>
      <c r="AS741" s="246">
        <f>IFERROR(VLOOKUP(Q741,PROGRAMAS[],3,FALSE),0)</f>
        <v>0</v>
      </c>
      <c r="AT741" s="246">
        <f>IFERROR(VLOOKUP(D741,VOL_REC[],2,FALSE),0)</f>
        <v>0</v>
      </c>
      <c r="AU741" s="246">
        <f>IFERROR(VLOOKUP(E741,VOL_REC[],2,FALSE),0)</f>
        <v>0</v>
      </c>
      <c r="AV741" s="246">
        <f>IFERROR(VLOOKUP(F741,VOL_REC[],2,FALSE),0)</f>
        <v>11089674.200000001</v>
      </c>
      <c r="AW741" s="246">
        <f>IFERROR(VLOOKUP(G741,VOL_REC[],2,FALSE),0)</f>
        <v>90439.55</v>
      </c>
      <c r="AX741" s="246">
        <f>IFERROR(VLOOKUP(H741,VOL_REC[],2,FALSE),0)</f>
        <v>1812240</v>
      </c>
      <c r="AY741" s="246">
        <f>IFERROR(VLOOKUP(I741,VOL_REC[],2,FALSE),0)</f>
        <v>240696.79238099116</v>
      </c>
      <c r="AZ741" s="246">
        <f>IFERROR(VLOOKUP(J741,VOL_REC[],2,FALSE),0)</f>
        <v>663244.80000000016</v>
      </c>
      <c r="BA741" s="246">
        <f>IFERROR(VLOOKUP(K741,VOL_REC[],2,FALSE),0)</f>
        <v>740113.98115702497</v>
      </c>
      <c r="BB741" s="246">
        <f>IFERROR(VLOOKUP(L741,VOL_REC[],2,FALSE),0)</f>
        <v>0</v>
      </c>
      <c r="BC741" s="246">
        <f>IFERROR(VLOOKUP(M741,VOL_REC[],2,FALSE),0)</f>
        <v>0</v>
      </c>
      <c r="BD741" s="246">
        <f>IFERROR(VLOOKUP(N741,VOL_REC[],2,FALSE),0)</f>
        <v>0</v>
      </c>
      <c r="BE741" s="246">
        <f>IFERROR(VLOOKUP(O741,VOL_REC[],2,FALSE),0)</f>
        <v>0</v>
      </c>
      <c r="BF741" s="246">
        <f>IFERROR(VLOOKUP(P741,VOL_REC[],2,FALSE),0)</f>
        <v>0</v>
      </c>
      <c r="BG741" s="246">
        <f>IFERROR(VLOOKUP(Q741,VOL_REC[],2,FALSE),0)</f>
        <v>0</v>
      </c>
      <c r="BH741" s="1710">
        <f t="shared" si="44"/>
        <v>14936994051.202784</v>
      </c>
      <c r="BI741" s="1710">
        <f t="shared" si="45"/>
        <v>16327244796.574594</v>
      </c>
      <c r="BJ741" s="1711">
        <f t="shared" si="46"/>
        <v>14636409.323538018</v>
      </c>
      <c r="BK741" s="1711">
        <f t="shared" si="47"/>
        <v>0.91485086659180359</v>
      </c>
    </row>
    <row r="742" spans="3:67" x14ac:dyDescent="0.25">
      <c r="C742" s="246" t="s">
        <v>2092</v>
      </c>
      <c r="D742" s="246">
        <v>1</v>
      </c>
      <c r="E742" s="246">
        <v>2</v>
      </c>
      <c r="F742" s="246">
        <v>3</v>
      </c>
      <c r="G742" s="246">
        <v>4</v>
      </c>
      <c r="H742" s="246">
        <v>10</v>
      </c>
      <c r="I742" s="246">
        <v>12</v>
      </c>
      <c r="J742" s="246">
        <v>14</v>
      </c>
      <c r="K742" s="246">
        <v>15</v>
      </c>
      <c r="L742" s="246"/>
      <c r="M742" s="246"/>
      <c r="N742" s="246"/>
      <c r="O742" s="246"/>
      <c r="P742" s="246"/>
      <c r="Q742" s="246"/>
      <c r="R742" s="246">
        <f>IFERROR(VLOOKUP(D742,PROGRAMAS[],2,FALSE),0)</f>
        <v>97037803.679377079</v>
      </c>
      <c r="S742" s="246">
        <f>IFERROR(VLOOKUP(E742,PROGRAMAS[],2,FALSE),0)</f>
        <v>640501509.6821388</v>
      </c>
      <c r="T742" s="246">
        <f>IFERROR(VLOOKUP(F742,PROGRAMAS[],2,FALSE),0)</f>
        <v>3062327798.1525245</v>
      </c>
      <c r="U742" s="246">
        <f>IFERROR(VLOOKUP(G742,PROGRAMAS[],2,FALSE),0)</f>
        <v>67697118.033011258</v>
      </c>
      <c r="V742" s="246">
        <f>IFERROR(VLOOKUP(H742,PROGRAMAS[],2,FALSE),0)</f>
        <v>4635315027.8751087</v>
      </c>
      <c r="W742" s="246">
        <f>IFERROR(VLOOKUP(I742,PROGRAMAS[],2,FALSE),0)</f>
        <v>764796700.79905891</v>
      </c>
      <c r="X742" s="246">
        <f>IFERROR(VLOOKUP(J742,PROGRAMAS[],2,FALSE),0)</f>
        <v>54223862.645839565</v>
      </c>
      <c r="Y742" s="246">
        <f>IFERROR(VLOOKUP(K742,PROGRAMAS[],2,FALSE),0)</f>
        <v>122159672.96346797</v>
      </c>
      <c r="Z742" s="246">
        <f>IFERROR(VLOOKUP(L742,PROGRAMAS[],2,FALSE),0)</f>
        <v>0</v>
      </c>
      <c r="AA742" s="246">
        <f>IFERROR(VLOOKUP(M742,PROGRAMAS[],2,FALSE),0)</f>
        <v>0</v>
      </c>
      <c r="AB742" s="246">
        <f>IFERROR(VLOOKUP(N742,PROGRAMAS[],2,FALSE),0)</f>
        <v>0</v>
      </c>
      <c r="AC742" s="246">
        <f>IFERROR(VLOOKUP(O742,PROGRAMAS[],2,FALSE),0)</f>
        <v>0</v>
      </c>
      <c r="AD742" s="246">
        <f>IFERROR(VLOOKUP(P742,PROGRAMAS[],2,FALSE),0)</f>
        <v>0</v>
      </c>
      <c r="AE742" s="246">
        <f>IFERROR(VLOOKUP(Q742,PROGRAMAS[],2,FALSE),0)</f>
        <v>0</v>
      </c>
      <c r="AF742" s="246">
        <f>IFERROR(VLOOKUP(D742,PROGRAMAS[],3,FALSE),0)</f>
        <v>841888629.31080008</v>
      </c>
      <c r="AG742" s="246">
        <f>IFERROR(VLOOKUP(E742,PROGRAMAS[],3,FALSE),0)</f>
        <v>3848980803.1642323</v>
      </c>
      <c r="AH742" s="246">
        <f>IFERROR(VLOOKUP(F742,PROGRAMAS[],3,FALSE),0)</f>
        <v>3394901471.387517</v>
      </c>
      <c r="AI742" s="246">
        <f>IFERROR(VLOOKUP(G742,PROGRAMAS[],3,FALSE),0)</f>
        <v>125317226.95549992</v>
      </c>
      <c r="AJ742" s="246">
        <f>IFERROR(VLOOKUP(H742,PROGRAMAS[],3,FALSE),0)</f>
        <v>4099471734.9978786</v>
      </c>
      <c r="AK742" s="246">
        <f>IFERROR(VLOOKUP(I742,PROGRAMAS[],3,FALSE),0)</f>
        <v>675517840.109828</v>
      </c>
      <c r="AL742" s="246">
        <f>IFERROR(VLOOKUP(J742,PROGRAMAS[],3,FALSE),0)</f>
        <v>31865326.38096505</v>
      </c>
      <c r="AM742" s="246">
        <f>IFERROR(VLOOKUP(K742,PROGRAMAS[],3,FALSE),0)</f>
        <v>118617452.52510804</v>
      </c>
      <c r="AN742" s="246">
        <f>IFERROR(VLOOKUP(L742,PROGRAMAS[],3,FALSE),0)</f>
        <v>0</v>
      </c>
      <c r="AO742" s="246">
        <f>IFERROR(VLOOKUP(M742,PROGRAMAS[],3,FALSE),0)</f>
        <v>0</v>
      </c>
      <c r="AP742" s="246">
        <f>IFERROR(VLOOKUP(N742,PROGRAMAS[],3,FALSE),0)</f>
        <v>0</v>
      </c>
      <c r="AQ742" s="246">
        <f>IFERROR(VLOOKUP(O742,PROGRAMAS[],3,FALSE),0)</f>
        <v>0</v>
      </c>
      <c r="AR742" s="246">
        <f>IFERROR(VLOOKUP(P742,PROGRAMAS[],3,FALSE),0)</f>
        <v>0</v>
      </c>
      <c r="AS742" s="246">
        <f>IFERROR(VLOOKUP(Q742,PROGRAMAS[],3,FALSE),0)</f>
        <v>0</v>
      </c>
      <c r="AT742" s="246">
        <f>IFERROR(VLOOKUP(D742,VOL_REC[],2,FALSE),0)</f>
        <v>0</v>
      </c>
      <c r="AU742" s="246">
        <f>IFERROR(VLOOKUP(E742,VOL_REC[],2,FALSE),0)</f>
        <v>0</v>
      </c>
      <c r="AV742" s="246">
        <f>IFERROR(VLOOKUP(F742,VOL_REC[],2,FALSE),0)</f>
        <v>11089674.200000001</v>
      </c>
      <c r="AW742" s="246">
        <f>IFERROR(VLOOKUP(G742,VOL_REC[],2,FALSE),0)</f>
        <v>90439.55</v>
      </c>
      <c r="AX742" s="246">
        <f>IFERROR(VLOOKUP(H742,VOL_REC[],2,FALSE),0)</f>
        <v>1812240</v>
      </c>
      <c r="AY742" s="246">
        <f>IFERROR(VLOOKUP(I742,VOL_REC[],2,FALSE),0)</f>
        <v>240696.79238099116</v>
      </c>
      <c r="AZ742" s="246">
        <f>IFERROR(VLOOKUP(J742,VOL_REC[],2,FALSE),0)</f>
        <v>17074.045034105649</v>
      </c>
      <c r="BA742" s="246">
        <f>IFERROR(VLOOKUP(K742,VOL_REC[],2,FALSE),0)</f>
        <v>105072</v>
      </c>
      <c r="BB742" s="246">
        <f>IFERROR(VLOOKUP(L742,VOL_REC[],2,FALSE),0)</f>
        <v>0</v>
      </c>
      <c r="BC742" s="246">
        <f>IFERROR(VLOOKUP(M742,VOL_REC[],2,FALSE),0)</f>
        <v>0</v>
      </c>
      <c r="BD742" s="246">
        <f>IFERROR(VLOOKUP(N742,VOL_REC[],2,FALSE),0)</f>
        <v>0</v>
      </c>
      <c r="BE742" s="246">
        <f>IFERROR(VLOOKUP(O742,VOL_REC[],2,FALSE),0)</f>
        <v>0</v>
      </c>
      <c r="BF742" s="246">
        <f>IFERROR(VLOOKUP(P742,VOL_REC[],2,FALSE),0)</f>
        <v>0</v>
      </c>
      <c r="BG742" s="246">
        <f>IFERROR(VLOOKUP(Q742,VOL_REC[],2,FALSE),0)</f>
        <v>0</v>
      </c>
      <c r="BH742" s="1710">
        <f t="shared" si="44"/>
        <v>9444059493.8305283</v>
      </c>
      <c r="BI742" s="1710">
        <f t="shared" si="45"/>
        <v>13136560484.831827</v>
      </c>
      <c r="BJ742" s="1711">
        <f t="shared" si="46"/>
        <v>13355196.587415097</v>
      </c>
      <c r="BK742" s="1711">
        <f t="shared" si="47"/>
        <v>0.7189141712349395</v>
      </c>
    </row>
    <row r="743" spans="3:67" x14ac:dyDescent="0.25">
      <c r="C743" s="246" t="s">
        <v>2093</v>
      </c>
      <c r="D743" s="246">
        <v>1</v>
      </c>
      <c r="E743" s="246">
        <v>2</v>
      </c>
      <c r="F743" s="246">
        <v>3</v>
      </c>
      <c r="G743" s="246">
        <v>4</v>
      </c>
      <c r="H743" s="246">
        <v>10</v>
      </c>
      <c r="I743" s="246">
        <v>12</v>
      </c>
      <c r="J743" s="246">
        <v>14</v>
      </c>
      <c r="K743" s="246">
        <v>16</v>
      </c>
      <c r="L743" s="246"/>
      <c r="M743" s="246"/>
      <c r="N743" s="246"/>
      <c r="O743" s="246"/>
      <c r="P743" s="246"/>
      <c r="Q743" s="246"/>
      <c r="R743" s="246">
        <f>IFERROR(VLOOKUP(D743,PROGRAMAS[],2,FALSE),0)</f>
        <v>97037803.679377079</v>
      </c>
      <c r="S743" s="246">
        <f>IFERROR(VLOOKUP(E743,PROGRAMAS[],2,FALSE),0)</f>
        <v>640501509.6821388</v>
      </c>
      <c r="T743" s="246">
        <f>IFERROR(VLOOKUP(F743,PROGRAMAS[],2,FALSE),0)</f>
        <v>3062327798.1525245</v>
      </c>
      <c r="U743" s="246">
        <f>IFERROR(VLOOKUP(G743,PROGRAMAS[],2,FALSE),0)</f>
        <v>67697118.033011258</v>
      </c>
      <c r="V743" s="246">
        <f>IFERROR(VLOOKUP(H743,PROGRAMAS[],2,FALSE),0)</f>
        <v>4635315027.8751087</v>
      </c>
      <c r="W743" s="246">
        <f>IFERROR(VLOOKUP(I743,PROGRAMAS[],2,FALSE),0)</f>
        <v>764796700.79905891</v>
      </c>
      <c r="X743" s="246">
        <f>IFERROR(VLOOKUP(J743,PROGRAMAS[],2,FALSE),0)</f>
        <v>54223862.645839565</v>
      </c>
      <c r="Y743" s="246">
        <f>IFERROR(VLOOKUP(K743,PROGRAMAS[],2,FALSE),0)</f>
        <v>7068496961.0436354</v>
      </c>
      <c r="Z743" s="246">
        <f>IFERROR(VLOOKUP(L743,PROGRAMAS[],2,FALSE),0)</f>
        <v>0</v>
      </c>
      <c r="AA743" s="246">
        <f>IFERROR(VLOOKUP(M743,PROGRAMAS[],2,FALSE),0)</f>
        <v>0</v>
      </c>
      <c r="AB743" s="246">
        <f>IFERROR(VLOOKUP(N743,PROGRAMAS[],2,FALSE),0)</f>
        <v>0</v>
      </c>
      <c r="AC743" s="246">
        <f>IFERROR(VLOOKUP(O743,PROGRAMAS[],2,FALSE),0)</f>
        <v>0</v>
      </c>
      <c r="AD743" s="246">
        <f>IFERROR(VLOOKUP(P743,PROGRAMAS[],2,FALSE),0)</f>
        <v>0</v>
      </c>
      <c r="AE743" s="246">
        <f>IFERROR(VLOOKUP(Q743,PROGRAMAS[],2,FALSE),0)</f>
        <v>0</v>
      </c>
      <c r="AF743" s="246">
        <f>IFERROR(VLOOKUP(D743,PROGRAMAS[],3,FALSE),0)</f>
        <v>841888629.31080008</v>
      </c>
      <c r="AG743" s="246">
        <f>IFERROR(VLOOKUP(E743,PROGRAMAS[],3,FALSE),0)</f>
        <v>3848980803.1642323</v>
      </c>
      <c r="AH743" s="246">
        <f>IFERROR(VLOOKUP(F743,PROGRAMAS[],3,FALSE),0)</f>
        <v>3394901471.387517</v>
      </c>
      <c r="AI743" s="246">
        <f>IFERROR(VLOOKUP(G743,PROGRAMAS[],3,FALSE),0)</f>
        <v>125317226.95549992</v>
      </c>
      <c r="AJ743" s="246">
        <f>IFERROR(VLOOKUP(H743,PROGRAMAS[],3,FALSE),0)</f>
        <v>4099471734.9978786</v>
      </c>
      <c r="AK743" s="246">
        <f>IFERROR(VLOOKUP(I743,PROGRAMAS[],3,FALSE),0)</f>
        <v>675517840.109828</v>
      </c>
      <c r="AL743" s="246">
        <f>IFERROR(VLOOKUP(J743,PROGRAMAS[],3,FALSE),0)</f>
        <v>31865326.38096505</v>
      </c>
      <c r="AM743" s="246">
        <f>IFERROR(VLOOKUP(K743,PROGRAMAS[],3,FALSE),0)</f>
        <v>2406564599.0319901</v>
      </c>
      <c r="AN743" s="246">
        <f>IFERROR(VLOOKUP(L743,PROGRAMAS[],3,FALSE),0)</f>
        <v>0</v>
      </c>
      <c r="AO743" s="246">
        <f>IFERROR(VLOOKUP(M743,PROGRAMAS[],3,FALSE),0)</f>
        <v>0</v>
      </c>
      <c r="AP743" s="246">
        <f>IFERROR(VLOOKUP(N743,PROGRAMAS[],3,FALSE),0)</f>
        <v>0</v>
      </c>
      <c r="AQ743" s="246">
        <f>IFERROR(VLOOKUP(O743,PROGRAMAS[],3,FALSE),0)</f>
        <v>0</v>
      </c>
      <c r="AR743" s="246">
        <f>IFERROR(VLOOKUP(P743,PROGRAMAS[],3,FALSE),0)</f>
        <v>0</v>
      </c>
      <c r="AS743" s="246">
        <f>IFERROR(VLOOKUP(Q743,PROGRAMAS[],3,FALSE),0)</f>
        <v>0</v>
      </c>
      <c r="AT743" s="246">
        <f>IFERROR(VLOOKUP(D743,VOL_REC[],2,FALSE),0)</f>
        <v>0</v>
      </c>
      <c r="AU743" s="246">
        <f>IFERROR(VLOOKUP(E743,VOL_REC[],2,FALSE),0)</f>
        <v>0</v>
      </c>
      <c r="AV743" s="246">
        <f>IFERROR(VLOOKUP(F743,VOL_REC[],2,FALSE),0)</f>
        <v>11089674.200000001</v>
      </c>
      <c r="AW743" s="246">
        <f>IFERROR(VLOOKUP(G743,VOL_REC[],2,FALSE),0)</f>
        <v>90439.55</v>
      </c>
      <c r="AX743" s="246">
        <f>IFERROR(VLOOKUP(H743,VOL_REC[],2,FALSE),0)</f>
        <v>1812240</v>
      </c>
      <c r="AY743" s="246">
        <f>IFERROR(VLOOKUP(I743,VOL_REC[],2,FALSE),0)</f>
        <v>240696.79238099116</v>
      </c>
      <c r="AZ743" s="246">
        <f>IFERROR(VLOOKUP(J743,VOL_REC[],2,FALSE),0)</f>
        <v>17074.045034105649</v>
      </c>
      <c r="BA743" s="246">
        <f>IFERROR(VLOOKUP(K743,VOL_REC[],2,FALSE),0)</f>
        <v>1072354.9981737854</v>
      </c>
      <c r="BB743" s="246">
        <f>IFERROR(VLOOKUP(L743,VOL_REC[],2,FALSE),0)</f>
        <v>0</v>
      </c>
      <c r="BC743" s="246">
        <f>IFERROR(VLOOKUP(M743,VOL_REC[],2,FALSE),0)</f>
        <v>0</v>
      </c>
      <c r="BD743" s="246">
        <f>IFERROR(VLOOKUP(N743,VOL_REC[],2,FALSE),0)</f>
        <v>0</v>
      </c>
      <c r="BE743" s="246">
        <f>IFERROR(VLOOKUP(O743,VOL_REC[],2,FALSE),0)</f>
        <v>0</v>
      </c>
      <c r="BF743" s="246">
        <f>IFERROR(VLOOKUP(P743,VOL_REC[],2,FALSE),0)</f>
        <v>0</v>
      </c>
      <c r="BG743" s="246">
        <f>IFERROR(VLOOKUP(Q743,VOL_REC[],2,FALSE),0)</f>
        <v>0</v>
      </c>
      <c r="BH743" s="1710">
        <f t="shared" si="44"/>
        <v>16390396781.910694</v>
      </c>
      <c r="BI743" s="1710">
        <f t="shared" si="45"/>
        <v>15424507631.338709</v>
      </c>
      <c r="BJ743" s="1711">
        <f t="shared" si="46"/>
        <v>14322479.585588884</v>
      </c>
      <c r="BK743" s="1711">
        <f t="shared" si="47"/>
        <v>1.0626204202855423</v>
      </c>
      <c r="BL743">
        <f>BJ743</f>
        <v>14322479.585588884</v>
      </c>
      <c r="BO743">
        <f>BL743</f>
        <v>14322479.585588884</v>
      </c>
    </row>
    <row r="744" spans="3:67" x14ac:dyDescent="0.25">
      <c r="C744" s="246" t="s">
        <v>2094</v>
      </c>
      <c r="D744" s="246">
        <v>1</v>
      </c>
      <c r="E744" s="246">
        <v>2</v>
      </c>
      <c r="F744" s="246">
        <v>3</v>
      </c>
      <c r="G744" s="246">
        <v>4</v>
      </c>
      <c r="H744" s="246">
        <v>10</v>
      </c>
      <c r="I744" s="246">
        <v>12</v>
      </c>
      <c r="J744" s="246">
        <v>14</v>
      </c>
      <c r="K744" s="246">
        <v>17</v>
      </c>
      <c r="L744" s="246"/>
      <c r="M744" s="246"/>
      <c r="N744" s="246"/>
      <c r="O744" s="246"/>
      <c r="P744" s="246"/>
      <c r="Q744" s="246"/>
      <c r="R744" s="246">
        <f>IFERROR(VLOOKUP(D744,PROGRAMAS[],2,FALSE),0)</f>
        <v>97037803.679377079</v>
      </c>
      <c r="S744" s="246">
        <f>IFERROR(VLOOKUP(E744,PROGRAMAS[],2,FALSE),0)</f>
        <v>640501509.6821388</v>
      </c>
      <c r="T744" s="246">
        <f>IFERROR(VLOOKUP(F744,PROGRAMAS[],2,FALSE),0)</f>
        <v>3062327798.1525245</v>
      </c>
      <c r="U744" s="246">
        <f>IFERROR(VLOOKUP(G744,PROGRAMAS[],2,FALSE),0)</f>
        <v>67697118.033011258</v>
      </c>
      <c r="V744" s="246">
        <f>IFERROR(VLOOKUP(H744,PROGRAMAS[],2,FALSE),0)</f>
        <v>4635315027.8751087</v>
      </c>
      <c r="W744" s="246">
        <f>IFERROR(VLOOKUP(I744,PROGRAMAS[],2,FALSE),0)</f>
        <v>764796700.79905891</v>
      </c>
      <c r="X744" s="246">
        <f>IFERROR(VLOOKUP(J744,PROGRAMAS[],2,FALSE),0)</f>
        <v>54223862.645839565</v>
      </c>
      <c r="Y744" s="246">
        <f>IFERROR(VLOOKUP(K744,PROGRAMAS[],2,FALSE),0)</f>
        <v>1892779498.5211046</v>
      </c>
      <c r="Z744" s="246">
        <f>IFERROR(VLOOKUP(L744,PROGRAMAS[],2,FALSE),0)</f>
        <v>0</v>
      </c>
      <c r="AA744" s="246">
        <f>IFERROR(VLOOKUP(M744,PROGRAMAS[],2,FALSE),0)</f>
        <v>0</v>
      </c>
      <c r="AB744" s="246">
        <f>IFERROR(VLOOKUP(N744,PROGRAMAS[],2,FALSE),0)</f>
        <v>0</v>
      </c>
      <c r="AC744" s="246">
        <f>IFERROR(VLOOKUP(O744,PROGRAMAS[],2,FALSE),0)</f>
        <v>0</v>
      </c>
      <c r="AD744" s="246">
        <f>IFERROR(VLOOKUP(P744,PROGRAMAS[],2,FALSE),0)</f>
        <v>0</v>
      </c>
      <c r="AE744" s="246">
        <f>IFERROR(VLOOKUP(Q744,PROGRAMAS[],2,FALSE),0)</f>
        <v>0</v>
      </c>
      <c r="AF744" s="246">
        <f>IFERROR(VLOOKUP(D744,PROGRAMAS[],3,FALSE),0)</f>
        <v>841888629.31080008</v>
      </c>
      <c r="AG744" s="246">
        <f>IFERROR(VLOOKUP(E744,PROGRAMAS[],3,FALSE),0)</f>
        <v>3848980803.1642323</v>
      </c>
      <c r="AH744" s="246">
        <f>IFERROR(VLOOKUP(F744,PROGRAMAS[],3,FALSE),0)</f>
        <v>3394901471.387517</v>
      </c>
      <c r="AI744" s="246">
        <f>IFERROR(VLOOKUP(G744,PROGRAMAS[],3,FALSE),0)</f>
        <v>125317226.95549992</v>
      </c>
      <c r="AJ744" s="246">
        <f>IFERROR(VLOOKUP(H744,PROGRAMAS[],3,FALSE),0)</f>
        <v>4099471734.9978786</v>
      </c>
      <c r="AK744" s="246">
        <f>IFERROR(VLOOKUP(I744,PROGRAMAS[],3,FALSE),0)</f>
        <v>675517840.109828</v>
      </c>
      <c r="AL744" s="246">
        <f>IFERROR(VLOOKUP(J744,PROGRAMAS[],3,FALSE),0)</f>
        <v>31865326.38096505</v>
      </c>
      <c r="AM744" s="246">
        <f>IFERROR(VLOOKUP(K744,PROGRAMAS[],3,FALSE),0)</f>
        <v>948595847.09039903</v>
      </c>
      <c r="AN744" s="246">
        <f>IFERROR(VLOOKUP(L744,PROGRAMAS[],3,FALSE),0)</f>
        <v>0</v>
      </c>
      <c r="AO744" s="246">
        <f>IFERROR(VLOOKUP(M744,PROGRAMAS[],3,FALSE),0)</f>
        <v>0</v>
      </c>
      <c r="AP744" s="246">
        <f>IFERROR(VLOOKUP(N744,PROGRAMAS[],3,FALSE),0)</f>
        <v>0</v>
      </c>
      <c r="AQ744" s="246">
        <f>IFERROR(VLOOKUP(O744,PROGRAMAS[],3,FALSE),0)</f>
        <v>0</v>
      </c>
      <c r="AR744" s="246">
        <f>IFERROR(VLOOKUP(P744,PROGRAMAS[],3,FALSE),0)</f>
        <v>0</v>
      </c>
      <c r="AS744" s="246">
        <f>IFERROR(VLOOKUP(Q744,PROGRAMAS[],3,FALSE),0)</f>
        <v>0</v>
      </c>
      <c r="AT744" s="246">
        <f>IFERROR(VLOOKUP(D744,VOL_REC[],2,FALSE),0)</f>
        <v>0</v>
      </c>
      <c r="AU744" s="246">
        <f>IFERROR(VLOOKUP(E744,VOL_REC[],2,FALSE),0)</f>
        <v>0</v>
      </c>
      <c r="AV744" s="246">
        <f>IFERROR(VLOOKUP(F744,VOL_REC[],2,FALSE),0)</f>
        <v>11089674.200000001</v>
      </c>
      <c r="AW744" s="246">
        <f>IFERROR(VLOOKUP(G744,VOL_REC[],2,FALSE),0)</f>
        <v>90439.55</v>
      </c>
      <c r="AX744" s="246">
        <f>IFERROR(VLOOKUP(H744,VOL_REC[],2,FALSE),0)</f>
        <v>1812240</v>
      </c>
      <c r="AY744" s="246">
        <f>IFERROR(VLOOKUP(I744,VOL_REC[],2,FALSE),0)</f>
        <v>240696.79238099116</v>
      </c>
      <c r="AZ744" s="246">
        <f>IFERROR(VLOOKUP(J744,VOL_REC[],2,FALSE),0)</f>
        <v>17074.045034105649</v>
      </c>
      <c r="BA744" s="246">
        <f>IFERROR(VLOOKUP(K744,VOL_REC[],2,FALSE),0)</f>
        <v>740113.98115702497</v>
      </c>
      <c r="BB744" s="246">
        <f>IFERROR(VLOOKUP(L744,VOL_REC[],2,FALSE),0)</f>
        <v>0</v>
      </c>
      <c r="BC744" s="246">
        <f>IFERROR(VLOOKUP(M744,VOL_REC[],2,FALSE),0)</f>
        <v>0</v>
      </c>
      <c r="BD744" s="246">
        <f>IFERROR(VLOOKUP(N744,VOL_REC[],2,FALSE),0)</f>
        <v>0</v>
      </c>
      <c r="BE744" s="246">
        <f>IFERROR(VLOOKUP(O744,VOL_REC[],2,FALSE),0)</f>
        <v>0</v>
      </c>
      <c r="BF744" s="246">
        <f>IFERROR(VLOOKUP(P744,VOL_REC[],2,FALSE),0)</f>
        <v>0</v>
      </c>
      <c r="BG744" s="246">
        <f>IFERROR(VLOOKUP(Q744,VOL_REC[],2,FALSE),0)</f>
        <v>0</v>
      </c>
      <c r="BH744" s="1710">
        <f t="shared" si="44"/>
        <v>11214679319.388165</v>
      </c>
      <c r="BI744" s="1710">
        <f t="shared" si="45"/>
        <v>13966538879.397118</v>
      </c>
      <c r="BJ744" s="1711">
        <f t="shared" si="46"/>
        <v>13990238.568572123</v>
      </c>
      <c r="BK744" s="1711">
        <f t="shared" si="47"/>
        <v>0.80296767984025108</v>
      </c>
    </row>
    <row r="745" spans="3:67" x14ac:dyDescent="0.25">
      <c r="C745" s="246" t="s">
        <v>2095</v>
      </c>
      <c r="D745" s="246">
        <v>1</v>
      </c>
      <c r="E745" s="246">
        <v>2</v>
      </c>
      <c r="F745" s="246">
        <v>3</v>
      </c>
      <c r="G745" s="246">
        <v>4</v>
      </c>
      <c r="H745" s="246">
        <v>10</v>
      </c>
      <c r="I745" s="246">
        <v>12</v>
      </c>
      <c r="J745" s="246">
        <v>15</v>
      </c>
      <c r="K745" s="246">
        <v>16</v>
      </c>
      <c r="L745" s="246"/>
      <c r="M745" s="246"/>
      <c r="N745" s="246"/>
      <c r="O745" s="246"/>
      <c r="P745" s="246"/>
      <c r="Q745" s="246"/>
      <c r="R745" s="246">
        <f>IFERROR(VLOOKUP(D745,PROGRAMAS[],2,FALSE),0)</f>
        <v>97037803.679377079</v>
      </c>
      <c r="S745" s="246">
        <f>IFERROR(VLOOKUP(E745,PROGRAMAS[],2,FALSE),0)</f>
        <v>640501509.6821388</v>
      </c>
      <c r="T745" s="246">
        <f>IFERROR(VLOOKUP(F745,PROGRAMAS[],2,FALSE),0)</f>
        <v>3062327798.1525245</v>
      </c>
      <c r="U745" s="246">
        <f>IFERROR(VLOOKUP(G745,PROGRAMAS[],2,FALSE),0)</f>
        <v>67697118.033011258</v>
      </c>
      <c r="V745" s="246">
        <f>IFERROR(VLOOKUP(H745,PROGRAMAS[],2,FALSE),0)</f>
        <v>4635315027.8751087</v>
      </c>
      <c r="W745" s="246">
        <f>IFERROR(VLOOKUP(I745,PROGRAMAS[],2,FALSE),0)</f>
        <v>764796700.79905891</v>
      </c>
      <c r="X745" s="246">
        <f>IFERROR(VLOOKUP(J745,PROGRAMAS[],2,FALSE),0)</f>
        <v>122159672.96346797</v>
      </c>
      <c r="Y745" s="246">
        <f>IFERROR(VLOOKUP(K745,PROGRAMAS[],2,FALSE),0)</f>
        <v>7068496961.0436354</v>
      </c>
      <c r="Z745" s="246">
        <f>IFERROR(VLOOKUP(L745,PROGRAMAS[],2,FALSE),0)</f>
        <v>0</v>
      </c>
      <c r="AA745" s="246">
        <f>IFERROR(VLOOKUP(M745,PROGRAMAS[],2,FALSE),0)</f>
        <v>0</v>
      </c>
      <c r="AB745" s="246">
        <f>IFERROR(VLOOKUP(N745,PROGRAMAS[],2,FALSE),0)</f>
        <v>0</v>
      </c>
      <c r="AC745" s="246">
        <f>IFERROR(VLOOKUP(O745,PROGRAMAS[],2,FALSE),0)</f>
        <v>0</v>
      </c>
      <c r="AD745" s="246">
        <f>IFERROR(VLOOKUP(P745,PROGRAMAS[],2,FALSE),0)</f>
        <v>0</v>
      </c>
      <c r="AE745" s="246">
        <f>IFERROR(VLOOKUP(Q745,PROGRAMAS[],2,FALSE),0)</f>
        <v>0</v>
      </c>
      <c r="AF745" s="246">
        <f>IFERROR(VLOOKUP(D745,PROGRAMAS[],3,FALSE),0)</f>
        <v>841888629.31080008</v>
      </c>
      <c r="AG745" s="246">
        <f>IFERROR(VLOOKUP(E745,PROGRAMAS[],3,FALSE),0)</f>
        <v>3848980803.1642323</v>
      </c>
      <c r="AH745" s="246">
        <f>IFERROR(VLOOKUP(F745,PROGRAMAS[],3,FALSE),0)</f>
        <v>3394901471.387517</v>
      </c>
      <c r="AI745" s="246">
        <f>IFERROR(VLOOKUP(G745,PROGRAMAS[],3,FALSE),0)</f>
        <v>125317226.95549992</v>
      </c>
      <c r="AJ745" s="246">
        <f>IFERROR(VLOOKUP(H745,PROGRAMAS[],3,FALSE),0)</f>
        <v>4099471734.9978786</v>
      </c>
      <c r="AK745" s="246">
        <f>IFERROR(VLOOKUP(I745,PROGRAMAS[],3,FALSE),0)</f>
        <v>675517840.109828</v>
      </c>
      <c r="AL745" s="246">
        <f>IFERROR(VLOOKUP(J745,PROGRAMAS[],3,FALSE),0)</f>
        <v>118617452.52510804</v>
      </c>
      <c r="AM745" s="246">
        <f>IFERROR(VLOOKUP(K745,PROGRAMAS[],3,FALSE),0)</f>
        <v>2406564599.0319901</v>
      </c>
      <c r="AN745" s="246">
        <f>IFERROR(VLOOKUP(L745,PROGRAMAS[],3,FALSE),0)</f>
        <v>0</v>
      </c>
      <c r="AO745" s="246">
        <f>IFERROR(VLOOKUP(M745,PROGRAMAS[],3,FALSE),0)</f>
        <v>0</v>
      </c>
      <c r="AP745" s="246">
        <f>IFERROR(VLOOKUP(N745,PROGRAMAS[],3,FALSE),0)</f>
        <v>0</v>
      </c>
      <c r="AQ745" s="246">
        <f>IFERROR(VLOOKUP(O745,PROGRAMAS[],3,FALSE),0)</f>
        <v>0</v>
      </c>
      <c r="AR745" s="246">
        <f>IFERROR(VLOOKUP(P745,PROGRAMAS[],3,FALSE),0)</f>
        <v>0</v>
      </c>
      <c r="AS745" s="246">
        <f>IFERROR(VLOOKUP(Q745,PROGRAMAS[],3,FALSE),0)</f>
        <v>0</v>
      </c>
      <c r="AT745" s="246">
        <f>IFERROR(VLOOKUP(D745,VOL_REC[],2,FALSE),0)</f>
        <v>0</v>
      </c>
      <c r="AU745" s="246">
        <f>IFERROR(VLOOKUP(E745,VOL_REC[],2,FALSE),0)</f>
        <v>0</v>
      </c>
      <c r="AV745" s="246">
        <f>IFERROR(VLOOKUP(F745,VOL_REC[],2,FALSE),0)</f>
        <v>11089674.200000001</v>
      </c>
      <c r="AW745" s="246">
        <f>IFERROR(VLOOKUP(G745,VOL_REC[],2,FALSE),0)</f>
        <v>90439.55</v>
      </c>
      <c r="AX745" s="246">
        <f>IFERROR(VLOOKUP(H745,VOL_REC[],2,FALSE),0)</f>
        <v>1812240</v>
      </c>
      <c r="AY745" s="246">
        <f>IFERROR(VLOOKUP(I745,VOL_REC[],2,FALSE),0)</f>
        <v>240696.79238099116</v>
      </c>
      <c r="AZ745" s="246">
        <f>IFERROR(VLOOKUP(J745,VOL_REC[],2,FALSE),0)</f>
        <v>105072</v>
      </c>
      <c r="BA745" s="246">
        <f>IFERROR(VLOOKUP(K745,VOL_REC[],2,FALSE),0)</f>
        <v>1072354.9981737854</v>
      </c>
      <c r="BB745" s="246">
        <f>IFERROR(VLOOKUP(L745,VOL_REC[],2,FALSE),0)</f>
        <v>0</v>
      </c>
      <c r="BC745" s="246">
        <f>IFERROR(VLOOKUP(M745,VOL_REC[],2,FALSE),0)</f>
        <v>0</v>
      </c>
      <c r="BD745" s="246">
        <f>IFERROR(VLOOKUP(N745,VOL_REC[],2,FALSE),0)</f>
        <v>0</v>
      </c>
      <c r="BE745" s="246">
        <f>IFERROR(VLOOKUP(O745,VOL_REC[],2,FALSE),0)</f>
        <v>0</v>
      </c>
      <c r="BF745" s="246">
        <f>IFERROR(VLOOKUP(P745,VOL_REC[],2,FALSE),0)</f>
        <v>0</v>
      </c>
      <c r="BG745" s="246">
        <f>IFERROR(VLOOKUP(Q745,VOL_REC[],2,FALSE),0)</f>
        <v>0</v>
      </c>
      <c r="BH745" s="1710">
        <f t="shared" si="44"/>
        <v>16458332592.228325</v>
      </c>
      <c r="BI745" s="1710">
        <f t="shared" si="45"/>
        <v>15511259757.482853</v>
      </c>
      <c r="BJ745" s="1711">
        <f t="shared" si="46"/>
        <v>14410477.540554777</v>
      </c>
      <c r="BK745" s="1711">
        <f t="shared" si="47"/>
        <v>1.0610571191220359</v>
      </c>
      <c r="BL745">
        <f>BJ745</f>
        <v>14410477.540554777</v>
      </c>
      <c r="BO745">
        <f>BL745</f>
        <v>14410477.540554777</v>
      </c>
    </row>
    <row r="746" spans="3:67" x14ac:dyDescent="0.25">
      <c r="C746" s="246" t="s">
        <v>2096</v>
      </c>
      <c r="D746" s="246">
        <v>1</v>
      </c>
      <c r="E746" s="246">
        <v>2</v>
      </c>
      <c r="F746" s="246">
        <v>3</v>
      </c>
      <c r="G746" s="246">
        <v>4</v>
      </c>
      <c r="H746" s="246">
        <v>10</v>
      </c>
      <c r="I746" s="246">
        <v>12</v>
      </c>
      <c r="J746" s="246">
        <v>15</v>
      </c>
      <c r="K746" s="246">
        <v>17</v>
      </c>
      <c r="L746" s="246"/>
      <c r="M746" s="246"/>
      <c r="N746" s="246"/>
      <c r="O746" s="246"/>
      <c r="P746" s="246"/>
      <c r="Q746" s="246"/>
      <c r="R746" s="246">
        <f>IFERROR(VLOOKUP(D746,PROGRAMAS[],2,FALSE),0)</f>
        <v>97037803.679377079</v>
      </c>
      <c r="S746" s="246">
        <f>IFERROR(VLOOKUP(E746,PROGRAMAS[],2,FALSE),0)</f>
        <v>640501509.6821388</v>
      </c>
      <c r="T746" s="246">
        <f>IFERROR(VLOOKUP(F746,PROGRAMAS[],2,FALSE),0)</f>
        <v>3062327798.1525245</v>
      </c>
      <c r="U746" s="246">
        <f>IFERROR(VLOOKUP(G746,PROGRAMAS[],2,FALSE),0)</f>
        <v>67697118.033011258</v>
      </c>
      <c r="V746" s="246">
        <f>IFERROR(VLOOKUP(H746,PROGRAMAS[],2,FALSE),0)</f>
        <v>4635315027.8751087</v>
      </c>
      <c r="W746" s="246">
        <f>IFERROR(VLOOKUP(I746,PROGRAMAS[],2,FALSE),0)</f>
        <v>764796700.79905891</v>
      </c>
      <c r="X746" s="246">
        <f>IFERROR(VLOOKUP(J746,PROGRAMAS[],2,FALSE),0)</f>
        <v>122159672.96346797</v>
      </c>
      <c r="Y746" s="246">
        <f>IFERROR(VLOOKUP(K746,PROGRAMAS[],2,FALSE),0)</f>
        <v>1892779498.5211046</v>
      </c>
      <c r="Z746" s="246">
        <f>IFERROR(VLOOKUP(L746,PROGRAMAS[],2,FALSE),0)</f>
        <v>0</v>
      </c>
      <c r="AA746" s="246">
        <f>IFERROR(VLOOKUP(M746,PROGRAMAS[],2,FALSE),0)</f>
        <v>0</v>
      </c>
      <c r="AB746" s="246">
        <f>IFERROR(VLOOKUP(N746,PROGRAMAS[],2,FALSE),0)</f>
        <v>0</v>
      </c>
      <c r="AC746" s="246">
        <f>IFERROR(VLOOKUP(O746,PROGRAMAS[],2,FALSE),0)</f>
        <v>0</v>
      </c>
      <c r="AD746" s="246">
        <f>IFERROR(VLOOKUP(P746,PROGRAMAS[],2,FALSE),0)</f>
        <v>0</v>
      </c>
      <c r="AE746" s="246">
        <f>IFERROR(VLOOKUP(Q746,PROGRAMAS[],2,FALSE),0)</f>
        <v>0</v>
      </c>
      <c r="AF746" s="246">
        <f>IFERROR(VLOOKUP(D746,PROGRAMAS[],3,FALSE),0)</f>
        <v>841888629.31080008</v>
      </c>
      <c r="AG746" s="246">
        <f>IFERROR(VLOOKUP(E746,PROGRAMAS[],3,FALSE),0)</f>
        <v>3848980803.1642323</v>
      </c>
      <c r="AH746" s="246">
        <f>IFERROR(VLOOKUP(F746,PROGRAMAS[],3,FALSE),0)</f>
        <v>3394901471.387517</v>
      </c>
      <c r="AI746" s="246">
        <f>IFERROR(VLOOKUP(G746,PROGRAMAS[],3,FALSE),0)</f>
        <v>125317226.95549992</v>
      </c>
      <c r="AJ746" s="246">
        <f>IFERROR(VLOOKUP(H746,PROGRAMAS[],3,FALSE),0)</f>
        <v>4099471734.9978786</v>
      </c>
      <c r="AK746" s="246">
        <f>IFERROR(VLOOKUP(I746,PROGRAMAS[],3,FALSE),0)</f>
        <v>675517840.109828</v>
      </c>
      <c r="AL746" s="246">
        <f>IFERROR(VLOOKUP(J746,PROGRAMAS[],3,FALSE),0)</f>
        <v>118617452.52510804</v>
      </c>
      <c r="AM746" s="246">
        <f>IFERROR(VLOOKUP(K746,PROGRAMAS[],3,FALSE),0)</f>
        <v>948595847.09039903</v>
      </c>
      <c r="AN746" s="246">
        <f>IFERROR(VLOOKUP(L746,PROGRAMAS[],3,FALSE),0)</f>
        <v>0</v>
      </c>
      <c r="AO746" s="246">
        <f>IFERROR(VLOOKUP(M746,PROGRAMAS[],3,FALSE),0)</f>
        <v>0</v>
      </c>
      <c r="AP746" s="246">
        <f>IFERROR(VLOOKUP(N746,PROGRAMAS[],3,FALSE),0)</f>
        <v>0</v>
      </c>
      <c r="AQ746" s="246">
        <f>IFERROR(VLOOKUP(O746,PROGRAMAS[],3,FALSE),0)</f>
        <v>0</v>
      </c>
      <c r="AR746" s="246">
        <f>IFERROR(VLOOKUP(P746,PROGRAMAS[],3,FALSE),0)</f>
        <v>0</v>
      </c>
      <c r="AS746" s="246">
        <f>IFERROR(VLOOKUP(Q746,PROGRAMAS[],3,FALSE),0)</f>
        <v>0</v>
      </c>
      <c r="AT746" s="246">
        <f>IFERROR(VLOOKUP(D746,VOL_REC[],2,FALSE),0)</f>
        <v>0</v>
      </c>
      <c r="AU746" s="246">
        <f>IFERROR(VLOOKUP(E746,VOL_REC[],2,FALSE),0)</f>
        <v>0</v>
      </c>
      <c r="AV746" s="246">
        <f>IFERROR(VLOOKUP(F746,VOL_REC[],2,FALSE),0)</f>
        <v>11089674.200000001</v>
      </c>
      <c r="AW746" s="246">
        <f>IFERROR(VLOOKUP(G746,VOL_REC[],2,FALSE),0)</f>
        <v>90439.55</v>
      </c>
      <c r="AX746" s="246">
        <f>IFERROR(VLOOKUP(H746,VOL_REC[],2,FALSE),0)</f>
        <v>1812240</v>
      </c>
      <c r="AY746" s="246">
        <f>IFERROR(VLOOKUP(I746,VOL_REC[],2,FALSE),0)</f>
        <v>240696.79238099116</v>
      </c>
      <c r="AZ746" s="246">
        <f>IFERROR(VLOOKUP(J746,VOL_REC[],2,FALSE),0)</f>
        <v>105072</v>
      </c>
      <c r="BA746" s="246">
        <f>IFERROR(VLOOKUP(K746,VOL_REC[],2,FALSE),0)</f>
        <v>740113.98115702497</v>
      </c>
      <c r="BB746" s="246">
        <f>IFERROR(VLOOKUP(L746,VOL_REC[],2,FALSE),0)</f>
        <v>0</v>
      </c>
      <c r="BC746" s="246">
        <f>IFERROR(VLOOKUP(M746,VOL_REC[],2,FALSE),0)</f>
        <v>0</v>
      </c>
      <c r="BD746" s="246">
        <f>IFERROR(VLOOKUP(N746,VOL_REC[],2,FALSE),0)</f>
        <v>0</v>
      </c>
      <c r="BE746" s="246">
        <f>IFERROR(VLOOKUP(O746,VOL_REC[],2,FALSE),0)</f>
        <v>0</v>
      </c>
      <c r="BF746" s="246">
        <f>IFERROR(VLOOKUP(P746,VOL_REC[],2,FALSE),0)</f>
        <v>0</v>
      </c>
      <c r="BG746" s="246">
        <f>IFERROR(VLOOKUP(Q746,VOL_REC[],2,FALSE),0)</f>
        <v>0</v>
      </c>
      <c r="BH746" s="1710">
        <f t="shared" si="44"/>
        <v>11282615129.705793</v>
      </c>
      <c r="BI746" s="1710">
        <f t="shared" si="45"/>
        <v>14053291005.541262</v>
      </c>
      <c r="BJ746" s="1711">
        <f t="shared" si="46"/>
        <v>14078236.523538018</v>
      </c>
      <c r="BK746" s="1711">
        <f t="shared" si="47"/>
        <v>0.80284505069004963</v>
      </c>
    </row>
    <row r="747" spans="3:67" x14ac:dyDescent="0.25">
      <c r="C747" s="246" t="s">
        <v>2097</v>
      </c>
      <c r="D747" s="246">
        <v>1</v>
      </c>
      <c r="E747" s="246">
        <v>2</v>
      </c>
      <c r="F747" s="246">
        <v>3</v>
      </c>
      <c r="G747" s="246">
        <v>4</v>
      </c>
      <c r="H747" s="246">
        <v>10</v>
      </c>
      <c r="I747" s="246">
        <v>12</v>
      </c>
      <c r="J747" s="246">
        <v>16</v>
      </c>
      <c r="K747" s="246">
        <v>17</v>
      </c>
      <c r="L747" s="246"/>
      <c r="M747" s="246"/>
      <c r="N747" s="246"/>
      <c r="O747" s="246"/>
      <c r="P747" s="246"/>
      <c r="Q747" s="246"/>
      <c r="R747" s="246">
        <f>IFERROR(VLOOKUP(D747,PROGRAMAS[],2,FALSE),0)</f>
        <v>97037803.679377079</v>
      </c>
      <c r="S747" s="246">
        <f>IFERROR(VLOOKUP(E747,PROGRAMAS[],2,FALSE),0)</f>
        <v>640501509.6821388</v>
      </c>
      <c r="T747" s="246">
        <f>IFERROR(VLOOKUP(F747,PROGRAMAS[],2,FALSE),0)</f>
        <v>3062327798.1525245</v>
      </c>
      <c r="U747" s="246">
        <f>IFERROR(VLOOKUP(G747,PROGRAMAS[],2,FALSE),0)</f>
        <v>67697118.033011258</v>
      </c>
      <c r="V747" s="246">
        <f>IFERROR(VLOOKUP(H747,PROGRAMAS[],2,FALSE),0)</f>
        <v>4635315027.8751087</v>
      </c>
      <c r="W747" s="246">
        <f>IFERROR(VLOOKUP(I747,PROGRAMAS[],2,FALSE),0)</f>
        <v>764796700.79905891</v>
      </c>
      <c r="X747" s="246">
        <f>IFERROR(VLOOKUP(J747,PROGRAMAS[],2,FALSE),0)</f>
        <v>7068496961.0436354</v>
      </c>
      <c r="Y747" s="246">
        <f>IFERROR(VLOOKUP(K747,PROGRAMAS[],2,FALSE),0)</f>
        <v>1892779498.5211046</v>
      </c>
      <c r="Z747" s="246">
        <f>IFERROR(VLOOKUP(L747,PROGRAMAS[],2,FALSE),0)</f>
        <v>0</v>
      </c>
      <c r="AA747" s="246">
        <f>IFERROR(VLOOKUP(M747,PROGRAMAS[],2,FALSE),0)</f>
        <v>0</v>
      </c>
      <c r="AB747" s="246">
        <f>IFERROR(VLOOKUP(N747,PROGRAMAS[],2,FALSE),0)</f>
        <v>0</v>
      </c>
      <c r="AC747" s="246">
        <f>IFERROR(VLOOKUP(O747,PROGRAMAS[],2,FALSE),0)</f>
        <v>0</v>
      </c>
      <c r="AD747" s="246">
        <f>IFERROR(VLOOKUP(P747,PROGRAMAS[],2,FALSE),0)</f>
        <v>0</v>
      </c>
      <c r="AE747" s="246">
        <f>IFERROR(VLOOKUP(Q747,PROGRAMAS[],2,FALSE),0)</f>
        <v>0</v>
      </c>
      <c r="AF747" s="246">
        <f>IFERROR(VLOOKUP(D747,PROGRAMAS[],3,FALSE),0)</f>
        <v>841888629.31080008</v>
      </c>
      <c r="AG747" s="246">
        <f>IFERROR(VLOOKUP(E747,PROGRAMAS[],3,FALSE),0)</f>
        <v>3848980803.1642323</v>
      </c>
      <c r="AH747" s="246">
        <f>IFERROR(VLOOKUP(F747,PROGRAMAS[],3,FALSE),0)</f>
        <v>3394901471.387517</v>
      </c>
      <c r="AI747" s="246">
        <f>IFERROR(VLOOKUP(G747,PROGRAMAS[],3,FALSE),0)</f>
        <v>125317226.95549992</v>
      </c>
      <c r="AJ747" s="246">
        <f>IFERROR(VLOOKUP(H747,PROGRAMAS[],3,FALSE),0)</f>
        <v>4099471734.9978786</v>
      </c>
      <c r="AK747" s="246">
        <f>IFERROR(VLOOKUP(I747,PROGRAMAS[],3,FALSE),0)</f>
        <v>675517840.109828</v>
      </c>
      <c r="AL747" s="246">
        <f>IFERROR(VLOOKUP(J747,PROGRAMAS[],3,FALSE),0)</f>
        <v>2406564599.0319901</v>
      </c>
      <c r="AM747" s="246">
        <f>IFERROR(VLOOKUP(K747,PROGRAMAS[],3,FALSE),0)</f>
        <v>948595847.09039903</v>
      </c>
      <c r="AN747" s="246">
        <f>IFERROR(VLOOKUP(L747,PROGRAMAS[],3,FALSE),0)</f>
        <v>0</v>
      </c>
      <c r="AO747" s="246">
        <f>IFERROR(VLOOKUP(M747,PROGRAMAS[],3,FALSE),0)</f>
        <v>0</v>
      </c>
      <c r="AP747" s="246">
        <f>IFERROR(VLOOKUP(N747,PROGRAMAS[],3,FALSE),0)</f>
        <v>0</v>
      </c>
      <c r="AQ747" s="246">
        <f>IFERROR(VLOOKUP(O747,PROGRAMAS[],3,FALSE),0)</f>
        <v>0</v>
      </c>
      <c r="AR747" s="246">
        <f>IFERROR(VLOOKUP(P747,PROGRAMAS[],3,FALSE),0)</f>
        <v>0</v>
      </c>
      <c r="AS747" s="246">
        <f>IFERROR(VLOOKUP(Q747,PROGRAMAS[],3,FALSE),0)</f>
        <v>0</v>
      </c>
      <c r="AT747" s="246">
        <f>IFERROR(VLOOKUP(D747,VOL_REC[],2,FALSE),0)</f>
        <v>0</v>
      </c>
      <c r="AU747" s="246">
        <f>IFERROR(VLOOKUP(E747,VOL_REC[],2,FALSE),0)</f>
        <v>0</v>
      </c>
      <c r="AV747" s="246">
        <f>IFERROR(VLOOKUP(F747,VOL_REC[],2,FALSE),0)</f>
        <v>11089674.200000001</v>
      </c>
      <c r="AW747" s="246">
        <f>IFERROR(VLOOKUP(G747,VOL_REC[],2,FALSE),0)</f>
        <v>90439.55</v>
      </c>
      <c r="AX747" s="246">
        <f>IFERROR(VLOOKUP(H747,VOL_REC[],2,FALSE),0)</f>
        <v>1812240</v>
      </c>
      <c r="AY747" s="246">
        <f>IFERROR(VLOOKUP(I747,VOL_REC[],2,FALSE),0)</f>
        <v>240696.79238099116</v>
      </c>
      <c r="AZ747" s="246">
        <f>IFERROR(VLOOKUP(J747,VOL_REC[],2,FALSE),0)</f>
        <v>1072354.9981737854</v>
      </c>
      <c r="BA747" s="246">
        <f>IFERROR(VLOOKUP(K747,VOL_REC[],2,FALSE),0)</f>
        <v>740113.98115702497</v>
      </c>
      <c r="BB747" s="246">
        <f>IFERROR(VLOOKUP(L747,VOL_REC[],2,FALSE),0)</f>
        <v>0</v>
      </c>
      <c r="BC747" s="246">
        <f>IFERROR(VLOOKUP(M747,VOL_REC[],2,FALSE),0)</f>
        <v>0</v>
      </c>
      <c r="BD747" s="246">
        <f>IFERROR(VLOOKUP(N747,VOL_REC[],2,FALSE),0)</f>
        <v>0</v>
      </c>
      <c r="BE747" s="246">
        <f>IFERROR(VLOOKUP(O747,VOL_REC[],2,FALSE),0)</f>
        <v>0</v>
      </c>
      <c r="BF747" s="246">
        <f>IFERROR(VLOOKUP(P747,VOL_REC[],2,FALSE),0)</f>
        <v>0</v>
      </c>
      <c r="BG747" s="246">
        <f>IFERROR(VLOOKUP(Q747,VOL_REC[],2,FALSE),0)</f>
        <v>0</v>
      </c>
      <c r="BH747" s="1710">
        <f t="shared" si="44"/>
        <v>18228952417.785957</v>
      </c>
      <c r="BI747" s="1710">
        <f t="shared" si="45"/>
        <v>16341238152.048143</v>
      </c>
      <c r="BJ747" s="1711">
        <f t="shared" si="46"/>
        <v>15045519.521711802</v>
      </c>
      <c r="BK747" s="1711">
        <f t="shared" si="47"/>
        <v>1.115518435517153</v>
      </c>
      <c r="BL747">
        <f>BJ747</f>
        <v>15045519.521711802</v>
      </c>
      <c r="BO747">
        <f>BL747</f>
        <v>15045519.521711802</v>
      </c>
    </row>
    <row r="748" spans="3:67" x14ac:dyDescent="0.25">
      <c r="C748" s="246" t="s">
        <v>2098</v>
      </c>
      <c r="D748" s="246">
        <v>1</v>
      </c>
      <c r="E748" s="246">
        <v>2</v>
      </c>
      <c r="F748" s="246">
        <v>3</v>
      </c>
      <c r="G748" s="246">
        <v>4</v>
      </c>
      <c r="H748" s="246">
        <v>10</v>
      </c>
      <c r="I748" s="246">
        <v>13</v>
      </c>
      <c r="J748" s="246">
        <v>14</v>
      </c>
      <c r="K748" s="246">
        <v>15</v>
      </c>
      <c r="L748" s="246"/>
      <c r="M748" s="246"/>
      <c r="N748" s="246"/>
      <c r="O748" s="246"/>
      <c r="P748" s="246"/>
      <c r="Q748" s="246"/>
      <c r="R748" s="246">
        <f>IFERROR(VLOOKUP(D748,PROGRAMAS[],2,FALSE),0)</f>
        <v>97037803.679377079</v>
      </c>
      <c r="S748" s="246">
        <f>IFERROR(VLOOKUP(E748,PROGRAMAS[],2,FALSE),0)</f>
        <v>640501509.6821388</v>
      </c>
      <c r="T748" s="246">
        <f>IFERROR(VLOOKUP(F748,PROGRAMAS[],2,FALSE),0)</f>
        <v>3062327798.1525245</v>
      </c>
      <c r="U748" s="246">
        <f>IFERROR(VLOOKUP(G748,PROGRAMAS[],2,FALSE),0)</f>
        <v>67697118.033011258</v>
      </c>
      <c r="V748" s="246">
        <f>IFERROR(VLOOKUP(H748,PROGRAMAS[],2,FALSE),0)</f>
        <v>4635315027.8751087</v>
      </c>
      <c r="W748" s="246">
        <f>IFERROR(VLOOKUP(I748,PROGRAMAS[],2,FALSE),0)</f>
        <v>3776538594.4604583</v>
      </c>
      <c r="X748" s="246">
        <f>IFERROR(VLOOKUP(J748,PROGRAMAS[],2,FALSE),0)</f>
        <v>54223862.645839565</v>
      </c>
      <c r="Y748" s="246">
        <f>IFERROR(VLOOKUP(K748,PROGRAMAS[],2,FALSE),0)</f>
        <v>122159672.96346797</v>
      </c>
      <c r="Z748" s="246">
        <f>IFERROR(VLOOKUP(L748,PROGRAMAS[],2,FALSE),0)</f>
        <v>0</v>
      </c>
      <c r="AA748" s="246">
        <f>IFERROR(VLOOKUP(M748,PROGRAMAS[],2,FALSE),0)</f>
        <v>0</v>
      </c>
      <c r="AB748" s="246">
        <f>IFERROR(VLOOKUP(N748,PROGRAMAS[],2,FALSE),0)</f>
        <v>0</v>
      </c>
      <c r="AC748" s="246">
        <f>IFERROR(VLOOKUP(O748,PROGRAMAS[],2,FALSE),0)</f>
        <v>0</v>
      </c>
      <c r="AD748" s="246">
        <f>IFERROR(VLOOKUP(P748,PROGRAMAS[],2,FALSE),0)</f>
        <v>0</v>
      </c>
      <c r="AE748" s="246">
        <f>IFERROR(VLOOKUP(Q748,PROGRAMAS[],2,FALSE),0)</f>
        <v>0</v>
      </c>
      <c r="AF748" s="246">
        <f>IFERROR(VLOOKUP(D748,PROGRAMAS[],3,FALSE),0)</f>
        <v>841888629.31080008</v>
      </c>
      <c r="AG748" s="246">
        <f>IFERROR(VLOOKUP(E748,PROGRAMAS[],3,FALSE),0)</f>
        <v>3848980803.1642323</v>
      </c>
      <c r="AH748" s="246">
        <f>IFERROR(VLOOKUP(F748,PROGRAMAS[],3,FALSE),0)</f>
        <v>3394901471.387517</v>
      </c>
      <c r="AI748" s="246">
        <f>IFERROR(VLOOKUP(G748,PROGRAMAS[],3,FALSE),0)</f>
        <v>125317226.95549992</v>
      </c>
      <c r="AJ748" s="246">
        <f>IFERROR(VLOOKUP(H748,PROGRAMAS[],3,FALSE),0)</f>
        <v>4099471734.9978786</v>
      </c>
      <c r="AK748" s="246">
        <f>IFERROR(VLOOKUP(I748,PROGRAMAS[],3,FALSE),0)</f>
        <v>2392571243.5584412</v>
      </c>
      <c r="AL748" s="246">
        <f>IFERROR(VLOOKUP(J748,PROGRAMAS[],3,FALSE),0)</f>
        <v>31865326.38096505</v>
      </c>
      <c r="AM748" s="246">
        <f>IFERROR(VLOOKUP(K748,PROGRAMAS[],3,FALSE),0)</f>
        <v>118617452.52510804</v>
      </c>
      <c r="AN748" s="246">
        <f>IFERROR(VLOOKUP(L748,PROGRAMAS[],3,FALSE),0)</f>
        <v>0</v>
      </c>
      <c r="AO748" s="246">
        <f>IFERROR(VLOOKUP(M748,PROGRAMAS[],3,FALSE),0)</f>
        <v>0</v>
      </c>
      <c r="AP748" s="246">
        <f>IFERROR(VLOOKUP(N748,PROGRAMAS[],3,FALSE),0)</f>
        <v>0</v>
      </c>
      <c r="AQ748" s="246">
        <f>IFERROR(VLOOKUP(O748,PROGRAMAS[],3,FALSE),0)</f>
        <v>0</v>
      </c>
      <c r="AR748" s="246">
        <f>IFERROR(VLOOKUP(P748,PROGRAMAS[],3,FALSE),0)</f>
        <v>0</v>
      </c>
      <c r="AS748" s="246">
        <f>IFERROR(VLOOKUP(Q748,PROGRAMAS[],3,FALSE),0)</f>
        <v>0</v>
      </c>
      <c r="AT748" s="246">
        <f>IFERROR(VLOOKUP(D748,VOL_REC[],2,FALSE),0)</f>
        <v>0</v>
      </c>
      <c r="AU748" s="246">
        <f>IFERROR(VLOOKUP(E748,VOL_REC[],2,FALSE),0)</f>
        <v>0</v>
      </c>
      <c r="AV748" s="246">
        <f>IFERROR(VLOOKUP(F748,VOL_REC[],2,FALSE),0)</f>
        <v>11089674.200000001</v>
      </c>
      <c r="AW748" s="246">
        <f>IFERROR(VLOOKUP(G748,VOL_REC[],2,FALSE),0)</f>
        <v>90439.55</v>
      </c>
      <c r="AX748" s="246">
        <f>IFERROR(VLOOKUP(H748,VOL_REC[],2,FALSE),0)</f>
        <v>1812240</v>
      </c>
      <c r="AY748" s="246">
        <f>IFERROR(VLOOKUP(I748,VOL_REC[],2,FALSE),0)</f>
        <v>663244.80000000016</v>
      </c>
      <c r="AZ748" s="246">
        <f>IFERROR(VLOOKUP(J748,VOL_REC[],2,FALSE),0)</f>
        <v>17074.045034105649</v>
      </c>
      <c r="BA748" s="246">
        <f>IFERROR(VLOOKUP(K748,VOL_REC[],2,FALSE),0)</f>
        <v>105072</v>
      </c>
      <c r="BB748" s="246">
        <f>IFERROR(VLOOKUP(L748,VOL_REC[],2,FALSE),0)</f>
        <v>0</v>
      </c>
      <c r="BC748" s="246">
        <f>IFERROR(VLOOKUP(M748,VOL_REC[],2,FALSE),0)</f>
        <v>0</v>
      </c>
      <c r="BD748" s="246">
        <f>IFERROR(VLOOKUP(N748,VOL_REC[],2,FALSE),0)</f>
        <v>0</v>
      </c>
      <c r="BE748" s="246">
        <f>IFERROR(VLOOKUP(O748,VOL_REC[],2,FALSE),0)</f>
        <v>0</v>
      </c>
      <c r="BF748" s="246">
        <f>IFERROR(VLOOKUP(P748,VOL_REC[],2,FALSE),0)</f>
        <v>0</v>
      </c>
      <c r="BG748" s="246">
        <f>IFERROR(VLOOKUP(Q748,VOL_REC[],2,FALSE),0)</f>
        <v>0</v>
      </c>
      <c r="BH748" s="1710">
        <f t="shared" si="44"/>
        <v>12455801387.491928</v>
      </c>
      <c r="BI748" s="1710">
        <f t="shared" si="45"/>
        <v>14853613888.280441</v>
      </c>
      <c r="BJ748" s="1711">
        <f t="shared" si="46"/>
        <v>13777744.595034108</v>
      </c>
      <c r="BK748" s="1711">
        <f t="shared" si="47"/>
        <v>0.83857043014424948</v>
      </c>
    </row>
    <row r="749" spans="3:67" x14ac:dyDescent="0.25">
      <c r="C749" s="246" t="s">
        <v>2099</v>
      </c>
      <c r="D749" s="246">
        <v>1</v>
      </c>
      <c r="E749" s="246">
        <v>2</v>
      </c>
      <c r="F749" s="246">
        <v>3</v>
      </c>
      <c r="G749" s="246">
        <v>4</v>
      </c>
      <c r="H749" s="246">
        <v>10</v>
      </c>
      <c r="I749" s="246">
        <v>13</v>
      </c>
      <c r="J749" s="246">
        <v>14</v>
      </c>
      <c r="K749" s="246">
        <v>16</v>
      </c>
      <c r="L749" s="246"/>
      <c r="M749" s="246"/>
      <c r="N749" s="246"/>
      <c r="O749" s="246"/>
      <c r="P749" s="246"/>
      <c r="Q749" s="246"/>
      <c r="R749" s="246">
        <f>IFERROR(VLOOKUP(D749,PROGRAMAS[],2,FALSE),0)</f>
        <v>97037803.679377079</v>
      </c>
      <c r="S749" s="246">
        <f>IFERROR(VLOOKUP(E749,PROGRAMAS[],2,FALSE),0)</f>
        <v>640501509.6821388</v>
      </c>
      <c r="T749" s="246">
        <f>IFERROR(VLOOKUP(F749,PROGRAMAS[],2,FALSE),0)</f>
        <v>3062327798.1525245</v>
      </c>
      <c r="U749" s="246">
        <f>IFERROR(VLOOKUP(G749,PROGRAMAS[],2,FALSE),0)</f>
        <v>67697118.033011258</v>
      </c>
      <c r="V749" s="246">
        <f>IFERROR(VLOOKUP(H749,PROGRAMAS[],2,FALSE),0)</f>
        <v>4635315027.8751087</v>
      </c>
      <c r="W749" s="246">
        <f>IFERROR(VLOOKUP(I749,PROGRAMAS[],2,FALSE),0)</f>
        <v>3776538594.4604583</v>
      </c>
      <c r="X749" s="246">
        <f>IFERROR(VLOOKUP(J749,PROGRAMAS[],2,FALSE),0)</f>
        <v>54223862.645839565</v>
      </c>
      <c r="Y749" s="246">
        <f>IFERROR(VLOOKUP(K749,PROGRAMAS[],2,FALSE),0)</f>
        <v>7068496961.0436354</v>
      </c>
      <c r="Z749" s="246">
        <f>IFERROR(VLOOKUP(L749,PROGRAMAS[],2,FALSE),0)</f>
        <v>0</v>
      </c>
      <c r="AA749" s="246">
        <f>IFERROR(VLOOKUP(M749,PROGRAMAS[],2,FALSE),0)</f>
        <v>0</v>
      </c>
      <c r="AB749" s="246">
        <f>IFERROR(VLOOKUP(N749,PROGRAMAS[],2,FALSE),0)</f>
        <v>0</v>
      </c>
      <c r="AC749" s="246">
        <f>IFERROR(VLOOKUP(O749,PROGRAMAS[],2,FALSE),0)</f>
        <v>0</v>
      </c>
      <c r="AD749" s="246">
        <f>IFERROR(VLOOKUP(P749,PROGRAMAS[],2,FALSE),0)</f>
        <v>0</v>
      </c>
      <c r="AE749" s="246">
        <f>IFERROR(VLOOKUP(Q749,PROGRAMAS[],2,FALSE),0)</f>
        <v>0</v>
      </c>
      <c r="AF749" s="246">
        <f>IFERROR(VLOOKUP(D749,PROGRAMAS[],3,FALSE),0)</f>
        <v>841888629.31080008</v>
      </c>
      <c r="AG749" s="246">
        <f>IFERROR(VLOOKUP(E749,PROGRAMAS[],3,FALSE),0)</f>
        <v>3848980803.1642323</v>
      </c>
      <c r="AH749" s="246">
        <f>IFERROR(VLOOKUP(F749,PROGRAMAS[],3,FALSE),0)</f>
        <v>3394901471.387517</v>
      </c>
      <c r="AI749" s="246">
        <f>IFERROR(VLOOKUP(G749,PROGRAMAS[],3,FALSE),0)</f>
        <v>125317226.95549992</v>
      </c>
      <c r="AJ749" s="246">
        <f>IFERROR(VLOOKUP(H749,PROGRAMAS[],3,FALSE),0)</f>
        <v>4099471734.9978786</v>
      </c>
      <c r="AK749" s="246">
        <f>IFERROR(VLOOKUP(I749,PROGRAMAS[],3,FALSE),0)</f>
        <v>2392571243.5584412</v>
      </c>
      <c r="AL749" s="246">
        <f>IFERROR(VLOOKUP(J749,PROGRAMAS[],3,FALSE),0)</f>
        <v>31865326.38096505</v>
      </c>
      <c r="AM749" s="246">
        <f>IFERROR(VLOOKUP(K749,PROGRAMAS[],3,FALSE),0)</f>
        <v>2406564599.0319901</v>
      </c>
      <c r="AN749" s="246">
        <f>IFERROR(VLOOKUP(L749,PROGRAMAS[],3,FALSE),0)</f>
        <v>0</v>
      </c>
      <c r="AO749" s="246">
        <f>IFERROR(VLOOKUP(M749,PROGRAMAS[],3,FALSE),0)</f>
        <v>0</v>
      </c>
      <c r="AP749" s="246">
        <f>IFERROR(VLOOKUP(N749,PROGRAMAS[],3,FALSE),0)</f>
        <v>0</v>
      </c>
      <c r="AQ749" s="246">
        <f>IFERROR(VLOOKUP(O749,PROGRAMAS[],3,FALSE),0)</f>
        <v>0</v>
      </c>
      <c r="AR749" s="246">
        <f>IFERROR(VLOOKUP(P749,PROGRAMAS[],3,FALSE),0)</f>
        <v>0</v>
      </c>
      <c r="AS749" s="246">
        <f>IFERROR(VLOOKUP(Q749,PROGRAMAS[],3,FALSE),0)</f>
        <v>0</v>
      </c>
      <c r="AT749" s="246">
        <f>IFERROR(VLOOKUP(D749,VOL_REC[],2,FALSE),0)</f>
        <v>0</v>
      </c>
      <c r="AU749" s="246">
        <f>IFERROR(VLOOKUP(E749,VOL_REC[],2,FALSE),0)</f>
        <v>0</v>
      </c>
      <c r="AV749" s="246">
        <f>IFERROR(VLOOKUP(F749,VOL_REC[],2,FALSE),0)</f>
        <v>11089674.200000001</v>
      </c>
      <c r="AW749" s="246">
        <f>IFERROR(VLOOKUP(G749,VOL_REC[],2,FALSE),0)</f>
        <v>90439.55</v>
      </c>
      <c r="AX749" s="246">
        <f>IFERROR(VLOOKUP(H749,VOL_REC[],2,FALSE),0)</f>
        <v>1812240</v>
      </c>
      <c r="AY749" s="246">
        <f>IFERROR(VLOOKUP(I749,VOL_REC[],2,FALSE),0)</f>
        <v>663244.80000000016</v>
      </c>
      <c r="AZ749" s="246">
        <f>IFERROR(VLOOKUP(J749,VOL_REC[],2,FALSE),0)</f>
        <v>17074.045034105649</v>
      </c>
      <c r="BA749" s="246">
        <f>IFERROR(VLOOKUP(K749,VOL_REC[],2,FALSE),0)</f>
        <v>1072354.9981737854</v>
      </c>
      <c r="BB749" s="246">
        <f>IFERROR(VLOOKUP(L749,VOL_REC[],2,FALSE),0)</f>
        <v>0</v>
      </c>
      <c r="BC749" s="246">
        <f>IFERROR(VLOOKUP(M749,VOL_REC[],2,FALSE),0)</f>
        <v>0</v>
      </c>
      <c r="BD749" s="246">
        <f>IFERROR(VLOOKUP(N749,VOL_REC[],2,FALSE),0)</f>
        <v>0</v>
      </c>
      <c r="BE749" s="246">
        <f>IFERROR(VLOOKUP(O749,VOL_REC[],2,FALSE),0)</f>
        <v>0</v>
      </c>
      <c r="BF749" s="246">
        <f>IFERROR(VLOOKUP(P749,VOL_REC[],2,FALSE),0)</f>
        <v>0</v>
      </c>
      <c r="BG749" s="246">
        <f>IFERROR(VLOOKUP(Q749,VOL_REC[],2,FALSE),0)</f>
        <v>0</v>
      </c>
      <c r="BH749" s="1710">
        <f t="shared" si="44"/>
        <v>19402138675.572094</v>
      </c>
      <c r="BI749" s="1710">
        <f t="shared" si="45"/>
        <v>17141561034.787323</v>
      </c>
      <c r="BJ749" s="1711">
        <f t="shared" si="46"/>
        <v>14745027.593207892</v>
      </c>
      <c r="BK749" s="1711">
        <f t="shared" si="47"/>
        <v>1.1318769997783238</v>
      </c>
      <c r="BL749">
        <f>BJ749</f>
        <v>14745027.593207892</v>
      </c>
      <c r="BO749">
        <f>BL749</f>
        <v>14745027.593207892</v>
      </c>
    </row>
    <row r="750" spans="3:67" x14ac:dyDescent="0.25">
      <c r="C750" s="246" t="s">
        <v>2100</v>
      </c>
      <c r="D750" s="246">
        <v>1</v>
      </c>
      <c r="E750" s="246">
        <v>2</v>
      </c>
      <c r="F750" s="246">
        <v>3</v>
      </c>
      <c r="G750" s="246">
        <v>4</v>
      </c>
      <c r="H750" s="246">
        <v>10</v>
      </c>
      <c r="I750" s="246">
        <v>13</v>
      </c>
      <c r="J750" s="246">
        <v>14</v>
      </c>
      <c r="K750" s="246">
        <v>17</v>
      </c>
      <c r="L750" s="246"/>
      <c r="M750" s="246"/>
      <c r="N750" s="246"/>
      <c r="O750" s="246"/>
      <c r="P750" s="246"/>
      <c r="Q750" s="246"/>
      <c r="R750" s="246">
        <f>IFERROR(VLOOKUP(D750,PROGRAMAS[],2,FALSE),0)</f>
        <v>97037803.679377079</v>
      </c>
      <c r="S750" s="246">
        <f>IFERROR(VLOOKUP(E750,PROGRAMAS[],2,FALSE),0)</f>
        <v>640501509.6821388</v>
      </c>
      <c r="T750" s="246">
        <f>IFERROR(VLOOKUP(F750,PROGRAMAS[],2,FALSE),0)</f>
        <v>3062327798.1525245</v>
      </c>
      <c r="U750" s="246">
        <f>IFERROR(VLOOKUP(G750,PROGRAMAS[],2,FALSE),0)</f>
        <v>67697118.033011258</v>
      </c>
      <c r="V750" s="246">
        <f>IFERROR(VLOOKUP(H750,PROGRAMAS[],2,FALSE),0)</f>
        <v>4635315027.8751087</v>
      </c>
      <c r="W750" s="246">
        <f>IFERROR(VLOOKUP(I750,PROGRAMAS[],2,FALSE),0)</f>
        <v>3776538594.4604583</v>
      </c>
      <c r="X750" s="246">
        <f>IFERROR(VLOOKUP(J750,PROGRAMAS[],2,FALSE),0)</f>
        <v>54223862.645839565</v>
      </c>
      <c r="Y750" s="246">
        <f>IFERROR(VLOOKUP(K750,PROGRAMAS[],2,FALSE),0)</f>
        <v>1892779498.5211046</v>
      </c>
      <c r="Z750" s="246">
        <f>IFERROR(VLOOKUP(L750,PROGRAMAS[],2,FALSE),0)</f>
        <v>0</v>
      </c>
      <c r="AA750" s="246">
        <f>IFERROR(VLOOKUP(M750,PROGRAMAS[],2,FALSE),0)</f>
        <v>0</v>
      </c>
      <c r="AB750" s="246">
        <f>IFERROR(VLOOKUP(N750,PROGRAMAS[],2,FALSE),0)</f>
        <v>0</v>
      </c>
      <c r="AC750" s="246">
        <f>IFERROR(VLOOKUP(O750,PROGRAMAS[],2,FALSE),0)</f>
        <v>0</v>
      </c>
      <c r="AD750" s="246">
        <f>IFERROR(VLOOKUP(P750,PROGRAMAS[],2,FALSE),0)</f>
        <v>0</v>
      </c>
      <c r="AE750" s="246">
        <f>IFERROR(VLOOKUP(Q750,PROGRAMAS[],2,FALSE),0)</f>
        <v>0</v>
      </c>
      <c r="AF750" s="246">
        <f>IFERROR(VLOOKUP(D750,PROGRAMAS[],3,FALSE),0)</f>
        <v>841888629.31080008</v>
      </c>
      <c r="AG750" s="246">
        <f>IFERROR(VLOOKUP(E750,PROGRAMAS[],3,FALSE),0)</f>
        <v>3848980803.1642323</v>
      </c>
      <c r="AH750" s="246">
        <f>IFERROR(VLOOKUP(F750,PROGRAMAS[],3,FALSE),0)</f>
        <v>3394901471.387517</v>
      </c>
      <c r="AI750" s="246">
        <f>IFERROR(VLOOKUP(G750,PROGRAMAS[],3,FALSE),0)</f>
        <v>125317226.95549992</v>
      </c>
      <c r="AJ750" s="246">
        <f>IFERROR(VLOOKUP(H750,PROGRAMAS[],3,FALSE),0)</f>
        <v>4099471734.9978786</v>
      </c>
      <c r="AK750" s="246">
        <f>IFERROR(VLOOKUP(I750,PROGRAMAS[],3,FALSE),0)</f>
        <v>2392571243.5584412</v>
      </c>
      <c r="AL750" s="246">
        <f>IFERROR(VLOOKUP(J750,PROGRAMAS[],3,FALSE),0)</f>
        <v>31865326.38096505</v>
      </c>
      <c r="AM750" s="246">
        <f>IFERROR(VLOOKUP(K750,PROGRAMAS[],3,FALSE),0)</f>
        <v>948595847.09039903</v>
      </c>
      <c r="AN750" s="246">
        <f>IFERROR(VLOOKUP(L750,PROGRAMAS[],3,FALSE),0)</f>
        <v>0</v>
      </c>
      <c r="AO750" s="246">
        <f>IFERROR(VLOOKUP(M750,PROGRAMAS[],3,FALSE),0)</f>
        <v>0</v>
      </c>
      <c r="AP750" s="246">
        <f>IFERROR(VLOOKUP(N750,PROGRAMAS[],3,FALSE),0)</f>
        <v>0</v>
      </c>
      <c r="AQ750" s="246">
        <f>IFERROR(VLOOKUP(O750,PROGRAMAS[],3,FALSE),0)</f>
        <v>0</v>
      </c>
      <c r="AR750" s="246">
        <f>IFERROR(VLOOKUP(P750,PROGRAMAS[],3,FALSE),0)</f>
        <v>0</v>
      </c>
      <c r="AS750" s="246">
        <f>IFERROR(VLOOKUP(Q750,PROGRAMAS[],3,FALSE),0)</f>
        <v>0</v>
      </c>
      <c r="AT750" s="246">
        <f>IFERROR(VLOOKUP(D750,VOL_REC[],2,FALSE),0)</f>
        <v>0</v>
      </c>
      <c r="AU750" s="246">
        <f>IFERROR(VLOOKUP(E750,VOL_REC[],2,FALSE),0)</f>
        <v>0</v>
      </c>
      <c r="AV750" s="246">
        <f>IFERROR(VLOOKUP(F750,VOL_REC[],2,FALSE),0)</f>
        <v>11089674.200000001</v>
      </c>
      <c r="AW750" s="246">
        <f>IFERROR(VLOOKUP(G750,VOL_REC[],2,FALSE),0)</f>
        <v>90439.55</v>
      </c>
      <c r="AX750" s="246">
        <f>IFERROR(VLOOKUP(H750,VOL_REC[],2,FALSE),0)</f>
        <v>1812240</v>
      </c>
      <c r="AY750" s="246">
        <f>IFERROR(VLOOKUP(I750,VOL_REC[],2,FALSE),0)</f>
        <v>663244.80000000016</v>
      </c>
      <c r="AZ750" s="246">
        <f>IFERROR(VLOOKUP(J750,VOL_REC[],2,FALSE),0)</f>
        <v>17074.045034105649</v>
      </c>
      <c r="BA750" s="246">
        <f>IFERROR(VLOOKUP(K750,VOL_REC[],2,FALSE),0)</f>
        <v>740113.98115702497</v>
      </c>
      <c r="BB750" s="246">
        <f>IFERROR(VLOOKUP(L750,VOL_REC[],2,FALSE),0)</f>
        <v>0</v>
      </c>
      <c r="BC750" s="246">
        <f>IFERROR(VLOOKUP(M750,VOL_REC[],2,FALSE),0)</f>
        <v>0</v>
      </c>
      <c r="BD750" s="246">
        <f>IFERROR(VLOOKUP(N750,VOL_REC[],2,FALSE),0)</f>
        <v>0</v>
      </c>
      <c r="BE750" s="246">
        <f>IFERROR(VLOOKUP(O750,VOL_REC[],2,FALSE),0)</f>
        <v>0</v>
      </c>
      <c r="BF750" s="246">
        <f>IFERROR(VLOOKUP(P750,VOL_REC[],2,FALSE),0)</f>
        <v>0</v>
      </c>
      <c r="BG750" s="246">
        <f>IFERROR(VLOOKUP(Q750,VOL_REC[],2,FALSE),0)</f>
        <v>0</v>
      </c>
      <c r="BH750" s="1710">
        <f t="shared" si="44"/>
        <v>14226421213.049564</v>
      </c>
      <c r="BI750" s="1710">
        <f t="shared" si="45"/>
        <v>15683592282.845732</v>
      </c>
      <c r="BJ750" s="1711">
        <f t="shared" si="46"/>
        <v>14412786.576191133</v>
      </c>
      <c r="BK750" s="1711">
        <f t="shared" si="47"/>
        <v>0.90708945734390334</v>
      </c>
    </row>
    <row r="751" spans="3:67" x14ac:dyDescent="0.25">
      <c r="C751" s="246" t="s">
        <v>2101</v>
      </c>
      <c r="D751" s="246">
        <v>1</v>
      </c>
      <c r="E751" s="246">
        <v>2</v>
      </c>
      <c r="F751" s="246">
        <v>3</v>
      </c>
      <c r="G751" s="246">
        <v>4</v>
      </c>
      <c r="H751" s="246">
        <v>10</v>
      </c>
      <c r="I751" s="246">
        <v>13</v>
      </c>
      <c r="J751" s="246">
        <v>15</v>
      </c>
      <c r="K751" s="246">
        <v>16</v>
      </c>
      <c r="L751" s="246"/>
      <c r="M751" s="246"/>
      <c r="N751" s="246"/>
      <c r="O751" s="246"/>
      <c r="P751" s="246"/>
      <c r="Q751" s="246"/>
      <c r="R751" s="246">
        <f>IFERROR(VLOOKUP(D751,PROGRAMAS[],2,FALSE),0)</f>
        <v>97037803.679377079</v>
      </c>
      <c r="S751" s="246">
        <f>IFERROR(VLOOKUP(E751,PROGRAMAS[],2,FALSE),0)</f>
        <v>640501509.6821388</v>
      </c>
      <c r="T751" s="246">
        <f>IFERROR(VLOOKUP(F751,PROGRAMAS[],2,FALSE),0)</f>
        <v>3062327798.1525245</v>
      </c>
      <c r="U751" s="246">
        <f>IFERROR(VLOOKUP(G751,PROGRAMAS[],2,FALSE),0)</f>
        <v>67697118.033011258</v>
      </c>
      <c r="V751" s="246">
        <f>IFERROR(VLOOKUP(H751,PROGRAMAS[],2,FALSE),0)</f>
        <v>4635315027.8751087</v>
      </c>
      <c r="W751" s="246">
        <f>IFERROR(VLOOKUP(I751,PROGRAMAS[],2,FALSE),0)</f>
        <v>3776538594.4604583</v>
      </c>
      <c r="X751" s="246">
        <f>IFERROR(VLOOKUP(J751,PROGRAMAS[],2,FALSE),0)</f>
        <v>122159672.96346797</v>
      </c>
      <c r="Y751" s="246">
        <f>IFERROR(VLOOKUP(K751,PROGRAMAS[],2,FALSE),0)</f>
        <v>7068496961.0436354</v>
      </c>
      <c r="Z751" s="246">
        <f>IFERROR(VLOOKUP(L751,PROGRAMAS[],2,FALSE),0)</f>
        <v>0</v>
      </c>
      <c r="AA751" s="246">
        <f>IFERROR(VLOOKUP(M751,PROGRAMAS[],2,FALSE),0)</f>
        <v>0</v>
      </c>
      <c r="AB751" s="246">
        <f>IFERROR(VLOOKUP(N751,PROGRAMAS[],2,FALSE),0)</f>
        <v>0</v>
      </c>
      <c r="AC751" s="246">
        <f>IFERROR(VLOOKUP(O751,PROGRAMAS[],2,FALSE),0)</f>
        <v>0</v>
      </c>
      <c r="AD751" s="246">
        <f>IFERROR(VLOOKUP(P751,PROGRAMAS[],2,FALSE),0)</f>
        <v>0</v>
      </c>
      <c r="AE751" s="246">
        <f>IFERROR(VLOOKUP(Q751,PROGRAMAS[],2,FALSE),0)</f>
        <v>0</v>
      </c>
      <c r="AF751" s="246">
        <f>IFERROR(VLOOKUP(D751,PROGRAMAS[],3,FALSE),0)</f>
        <v>841888629.31080008</v>
      </c>
      <c r="AG751" s="246">
        <f>IFERROR(VLOOKUP(E751,PROGRAMAS[],3,FALSE),0)</f>
        <v>3848980803.1642323</v>
      </c>
      <c r="AH751" s="246">
        <f>IFERROR(VLOOKUP(F751,PROGRAMAS[],3,FALSE),0)</f>
        <v>3394901471.387517</v>
      </c>
      <c r="AI751" s="246">
        <f>IFERROR(VLOOKUP(G751,PROGRAMAS[],3,FALSE),0)</f>
        <v>125317226.95549992</v>
      </c>
      <c r="AJ751" s="246">
        <f>IFERROR(VLOOKUP(H751,PROGRAMAS[],3,FALSE),0)</f>
        <v>4099471734.9978786</v>
      </c>
      <c r="AK751" s="246">
        <f>IFERROR(VLOOKUP(I751,PROGRAMAS[],3,FALSE),0)</f>
        <v>2392571243.5584412</v>
      </c>
      <c r="AL751" s="246">
        <f>IFERROR(VLOOKUP(J751,PROGRAMAS[],3,FALSE),0)</f>
        <v>118617452.52510804</v>
      </c>
      <c r="AM751" s="246">
        <f>IFERROR(VLOOKUP(K751,PROGRAMAS[],3,FALSE),0)</f>
        <v>2406564599.0319901</v>
      </c>
      <c r="AN751" s="246">
        <f>IFERROR(VLOOKUP(L751,PROGRAMAS[],3,FALSE),0)</f>
        <v>0</v>
      </c>
      <c r="AO751" s="246">
        <f>IFERROR(VLOOKUP(M751,PROGRAMAS[],3,FALSE),0)</f>
        <v>0</v>
      </c>
      <c r="AP751" s="246">
        <f>IFERROR(VLOOKUP(N751,PROGRAMAS[],3,FALSE),0)</f>
        <v>0</v>
      </c>
      <c r="AQ751" s="246">
        <f>IFERROR(VLOOKUP(O751,PROGRAMAS[],3,FALSE),0)</f>
        <v>0</v>
      </c>
      <c r="AR751" s="246">
        <f>IFERROR(VLOOKUP(P751,PROGRAMAS[],3,FALSE),0)</f>
        <v>0</v>
      </c>
      <c r="AS751" s="246">
        <f>IFERROR(VLOOKUP(Q751,PROGRAMAS[],3,FALSE),0)</f>
        <v>0</v>
      </c>
      <c r="AT751" s="246">
        <f>IFERROR(VLOOKUP(D751,VOL_REC[],2,FALSE),0)</f>
        <v>0</v>
      </c>
      <c r="AU751" s="246">
        <f>IFERROR(VLOOKUP(E751,VOL_REC[],2,FALSE),0)</f>
        <v>0</v>
      </c>
      <c r="AV751" s="246">
        <f>IFERROR(VLOOKUP(F751,VOL_REC[],2,FALSE),0)</f>
        <v>11089674.200000001</v>
      </c>
      <c r="AW751" s="246">
        <f>IFERROR(VLOOKUP(G751,VOL_REC[],2,FALSE),0)</f>
        <v>90439.55</v>
      </c>
      <c r="AX751" s="246">
        <f>IFERROR(VLOOKUP(H751,VOL_REC[],2,FALSE),0)</f>
        <v>1812240</v>
      </c>
      <c r="AY751" s="246">
        <f>IFERROR(VLOOKUP(I751,VOL_REC[],2,FALSE),0)</f>
        <v>663244.80000000016</v>
      </c>
      <c r="AZ751" s="246">
        <f>IFERROR(VLOOKUP(J751,VOL_REC[],2,FALSE),0)</f>
        <v>105072</v>
      </c>
      <c r="BA751" s="246">
        <f>IFERROR(VLOOKUP(K751,VOL_REC[],2,FALSE),0)</f>
        <v>1072354.9981737854</v>
      </c>
      <c r="BB751" s="246">
        <f>IFERROR(VLOOKUP(L751,VOL_REC[],2,FALSE),0)</f>
        <v>0</v>
      </c>
      <c r="BC751" s="246">
        <f>IFERROR(VLOOKUP(M751,VOL_REC[],2,FALSE),0)</f>
        <v>0</v>
      </c>
      <c r="BD751" s="246">
        <f>IFERROR(VLOOKUP(N751,VOL_REC[],2,FALSE),0)</f>
        <v>0</v>
      </c>
      <c r="BE751" s="246">
        <f>IFERROR(VLOOKUP(O751,VOL_REC[],2,FALSE),0)</f>
        <v>0</v>
      </c>
      <c r="BF751" s="246">
        <f>IFERROR(VLOOKUP(P751,VOL_REC[],2,FALSE),0)</f>
        <v>0</v>
      </c>
      <c r="BG751" s="246">
        <f>IFERROR(VLOOKUP(Q751,VOL_REC[],2,FALSE),0)</f>
        <v>0</v>
      </c>
      <c r="BH751" s="1710">
        <f t="shared" si="44"/>
        <v>19470074485.889725</v>
      </c>
      <c r="BI751" s="1710">
        <f t="shared" si="45"/>
        <v>17228313160.931465</v>
      </c>
      <c r="BJ751" s="1711">
        <f t="shared" si="46"/>
        <v>14833025.548173789</v>
      </c>
      <c r="BK751" s="1711">
        <f t="shared" si="47"/>
        <v>1.1301207671359195</v>
      </c>
      <c r="BL751">
        <f>BJ751</f>
        <v>14833025.548173789</v>
      </c>
      <c r="BO751">
        <f>BL751</f>
        <v>14833025.548173789</v>
      </c>
    </row>
    <row r="752" spans="3:67" x14ac:dyDescent="0.25">
      <c r="C752" s="246" t="s">
        <v>2102</v>
      </c>
      <c r="D752" s="246">
        <v>1</v>
      </c>
      <c r="E752" s="246">
        <v>2</v>
      </c>
      <c r="F752" s="246">
        <v>3</v>
      </c>
      <c r="G752" s="246">
        <v>4</v>
      </c>
      <c r="H752" s="246">
        <v>10</v>
      </c>
      <c r="I752" s="246">
        <v>13</v>
      </c>
      <c r="J752" s="246">
        <v>15</v>
      </c>
      <c r="K752" s="246">
        <v>17</v>
      </c>
      <c r="L752" s="246"/>
      <c r="M752" s="246"/>
      <c r="N752" s="246"/>
      <c r="O752" s="246"/>
      <c r="P752" s="246"/>
      <c r="Q752" s="246"/>
      <c r="R752" s="246">
        <f>IFERROR(VLOOKUP(D752,PROGRAMAS[],2,FALSE),0)</f>
        <v>97037803.679377079</v>
      </c>
      <c r="S752" s="246">
        <f>IFERROR(VLOOKUP(E752,PROGRAMAS[],2,FALSE),0)</f>
        <v>640501509.6821388</v>
      </c>
      <c r="T752" s="246">
        <f>IFERROR(VLOOKUP(F752,PROGRAMAS[],2,FALSE),0)</f>
        <v>3062327798.1525245</v>
      </c>
      <c r="U752" s="246">
        <f>IFERROR(VLOOKUP(G752,PROGRAMAS[],2,FALSE),0)</f>
        <v>67697118.033011258</v>
      </c>
      <c r="V752" s="246">
        <f>IFERROR(VLOOKUP(H752,PROGRAMAS[],2,FALSE),0)</f>
        <v>4635315027.8751087</v>
      </c>
      <c r="W752" s="246">
        <f>IFERROR(VLOOKUP(I752,PROGRAMAS[],2,FALSE),0)</f>
        <v>3776538594.4604583</v>
      </c>
      <c r="X752" s="246">
        <f>IFERROR(VLOOKUP(J752,PROGRAMAS[],2,FALSE),0)</f>
        <v>122159672.96346797</v>
      </c>
      <c r="Y752" s="246">
        <f>IFERROR(VLOOKUP(K752,PROGRAMAS[],2,FALSE),0)</f>
        <v>1892779498.5211046</v>
      </c>
      <c r="Z752" s="246">
        <f>IFERROR(VLOOKUP(L752,PROGRAMAS[],2,FALSE),0)</f>
        <v>0</v>
      </c>
      <c r="AA752" s="246">
        <f>IFERROR(VLOOKUP(M752,PROGRAMAS[],2,FALSE),0)</f>
        <v>0</v>
      </c>
      <c r="AB752" s="246">
        <f>IFERROR(VLOOKUP(N752,PROGRAMAS[],2,FALSE),0)</f>
        <v>0</v>
      </c>
      <c r="AC752" s="246">
        <f>IFERROR(VLOOKUP(O752,PROGRAMAS[],2,FALSE),0)</f>
        <v>0</v>
      </c>
      <c r="AD752" s="246">
        <f>IFERROR(VLOOKUP(P752,PROGRAMAS[],2,FALSE),0)</f>
        <v>0</v>
      </c>
      <c r="AE752" s="246">
        <f>IFERROR(VLOOKUP(Q752,PROGRAMAS[],2,FALSE),0)</f>
        <v>0</v>
      </c>
      <c r="AF752" s="246">
        <f>IFERROR(VLOOKUP(D752,PROGRAMAS[],3,FALSE),0)</f>
        <v>841888629.31080008</v>
      </c>
      <c r="AG752" s="246">
        <f>IFERROR(VLOOKUP(E752,PROGRAMAS[],3,FALSE),0)</f>
        <v>3848980803.1642323</v>
      </c>
      <c r="AH752" s="246">
        <f>IFERROR(VLOOKUP(F752,PROGRAMAS[],3,FALSE),0)</f>
        <v>3394901471.387517</v>
      </c>
      <c r="AI752" s="246">
        <f>IFERROR(VLOOKUP(G752,PROGRAMAS[],3,FALSE),0)</f>
        <v>125317226.95549992</v>
      </c>
      <c r="AJ752" s="246">
        <f>IFERROR(VLOOKUP(H752,PROGRAMAS[],3,FALSE),0)</f>
        <v>4099471734.9978786</v>
      </c>
      <c r="AK752" s="246">
        <f>IFERROR(VLOOKUP(I752,PROGRAMAS[],3,FALSE),0)</f>
        <v>2392571243.5584412</v>
      </c>
      <c r="AL752" s="246">
        <f>IFERROR(VLOOKUP(J752,PROGRAMAS[],3,FALSE),0)</f>
        <v>118617452.52510804</v>
      </c>
      <c r="AM752" s="246">
        <f>IFERROR(VLOOKUP(K752,PROGRAMAS[],3,FALSE),0)</f>
        <v>948595847.09039903</v>
      </c>
      <c r="AN752" s="246">
        <f>IFERROR(VLOOKUP(L752,PROGRAMAS[],3,FALSE),0)</f>
        <v>0</v>
      </c>
      <c r="AO752" s="246">
        <f>IFERROR(VLOOKUP(M752,PROGRAMAS[],3,FALSE),0)</f>
        <v>0</v>
      </c>
      <c r="AP752" s="246">
        <f>IFERROR(VLOOKUP(N752,PROGRAMAS[],3,FALSE),0)</f>
        <v>0</v>
      </c>
      <c r="AQ752" s="246">
        <f>IFERROR(VLOOKUP(O752,PROGRAMAS[],3,FALSE),0)</f>
        <v>0</v>
      </c>
      <c r="AR752" s="246">
        <f>IFERROR(VLOOKUP(P752,PROGRAMAS[],3,FALSE),0)</f>
        <v>0</v>
      </c>
      <c r="AS752" s="246">
        <f>IFERROR(VLOOKUP(Q752,PROGRAMAS[],3,FALSE),0)</f>
        <v>0</v>
      </c>
      <c r="AT752" s="246">
        <f>IFERROR(VLOOKUP(D752,VOL_REC[],2,FALSE),0)</f>
        <v>0</v>
      </c>
      <c r="AU752" s="246">
        <f>IFERROR(VLOOKUP(E752,VOL_REC[],2,FALSE),0)</f>
        <v>0</v>
      </c>
      <c r="AV752" s="246">
        <f>IFERROR(VLOOKUP(F752,VOL_REC[],2,FALSE),0)</f>
        <v>11089674.200000001</v>
      </c>
      <c r="AW752" s="246">
        <f>IFERROR(VLOOKUP(G752,VOL_REC[],2,FALSE),0)</f>
        <v>90439.55</v>
      </c>
      <c r="AX752" s="246">
        <f>IFERROR(VLOOKUP(H752,VOL_REC[],2,FALSE),0)</f>
        <v>1812240</v>
      </c>
      <c r="AY752" s="246">
        <f>IFERROR(VLOOKUP(I752,VOL_REC[],2,FALSE),0)</f>
        <v>663244.80000000016</v>
      </c>
      <c r="AZ752" s="246">
        <f>IFERROR(VLOOKUP(J752,VOL_REC[],2,FALSE),0)</f>
        <v>105072</v>
      </c>
      <c r="BA752" s="246">
        <f>IFERROR(VLOOKUP(K752,VOL_REC[],2,FALSE),0)</f>
        <v>740113.98115702497</v>
      </c>
      <c r="BB752" s="246">
        <f>IFERROR(VLOOKUP(L752,VOL_REC[],2,FALSE),0)</f>
        <v>0</v>
      </c>
      <c r="BC752" s="246">
        <f>IFERROR(VLOOKUP(M752,VOL_REC[],2,FALSE),0)</f>
        <v>0</v>
      </c>
      <c r="BD752" s="246">
        <f>IFERROR(VLOOKUP(N752,VOL_REC[],2,FALSE),0)</f>
        <v>0</v>
      </c>
      <c r="BE752" s="246">
        <f>IFERROR(VLOOKUP(O752,VOL_REC[],2,FALSE),0)</f>
        <v>0</v>
      </c>
      <c r="BF752" s="246">
        <f>IFERROR(VLOOKUP(P752,VOL_REC[],2,FALSE),0)</f>
        <v>0</v>
      </c>
      <c r="BG752" s="246">
        <f>IFERROR(VLOOKUP(Q752,VOL_REC[],2,FALSE),0)</f>
        <v>0</v>
      </c>
      <c r="BH752" s="1710">
        <f t="shared" si="44"/>
        <v>14294357023.367193</v>
      </c>
      <c r="BI752" s="1710">
        <f t="shared" si="45"/>
        <v>15770344408.989876</v>
      </c>
      <c r="BJ752" s="1711">
        <f t="shared" si="46"/>
        <v>14500784.531157028</v>
      </c>
      <c r="BK752" s="1711">
        <f t="shared" si="47"/>
        <v>0.90640740954387167</v>
      </c>
    </row>
    <row r="753" spans="3:67" x14ac:dyDescent="0.25">
      <c r="C753" s="246" t="s">
        <v>2103</v>
      </c>
      <c r="D753" s="246">
        <v>1</v>
      </c>
      <c r="E753" s="246">
        <v>2</v>
      </c>
      <c r="F753" s="246">
        <v>3</v>
      </c>
      <c r="G753" s="246">
        <v>4</v>
      </c>
      <c r="H753" s="246">
        <v>10</v>
      </c>
      <c r="I753" s="246">
        <v>13</v>
      </c>
      <c r="J753" s="246">
        <v>16</v>
      </c>
      <c r="K753" s="246">
        <v>17</v>
      </c>
      <c r="L753" s="246"/>
      <c r="M753" s="246"/>
      <c r="N753" s="246"/>
      <c r="O753" s="246"/>
      <c r="P753" s="246"/>
      <c r="Q753" s="246"/>
      <c r="R753" s="246">
        <f>IFERROR(VLOOKUP(D753,PROGRAMAS[],2,FALSE),0)</f>
        <v>97037803.679377079</v>
      </c>
      <c r="S753" s="246">
        <f>IFERROR(VLOOKUP(E753,PROGRAMAS[],2,FALSE),0)</f>
        <v>640501509.6821388</v>
      </c>
      <c r="T753" s="246">
        <f>IFERROR(VLOOKUP(F753,PROGRAMAS[],2,FALSE),0)</f>
        <v>3062327798.1525245</v>
      </c>
      <c r="U753" s="246">
        <f>IFERROR(VLOOKUP(G753,PROGRAMAS[],2,FALSE),0)</f>
        <v>67697118.033011258</v>
      </c>
      <c r="V753" s="246">
        <f>IFERROR(VLOOKUP(H753,PROGRAMAS[],2,FALSE),0)</f>
        <v>4635315027.8751087</v>
      </c>
      <c r="W753" s="246">
        <f>IFERROR(VLOOKUP(I753,PROGRAMAS[],2,FALSE),0)</f>
        <v>3776538594.4604583</v>
      </c>
      <c r="X753" s="246">
        <f>IFERROR(VLOOKUP(J753,PROGRAMAS[],2,FALSE),0)</f>
        <v>7068496961.0436354</v>
      </c>
      <c r="Y753" s="246">
        <f>IFERROR(VLOOKUP(K753,PROGRAMAS[],2,FALSE),0)</f>
        <v>1892779498.5211046</v>
      </c>
      <c r="Z753" s="246">
        <f>IFERROR(VLOOKUP(L753,PROGRAMAS[],2,FALSE),0)</f>
        <v>0</v>
      </c>
      <c r="AA753" s="246">
        <f>IFERROR(VLOOKUP(M753,PROGRAMAS[],2,FALSE),0)</f>
        <v>0</v>
      </c>
      <c r="AB753" s="246">
        <f>IFERROR(VLOOKUP(N753,PROGRAMAS[],2,FALSE),0)</f>
        <v>0</v>
      </c>
      <c r="AC753" s="246">
        <f>IFERROR(VLOOKUP(O753,PROGRAMAS[],2,FALSE),0)</f>
        <v>0</v>
      </c>
      <c r="AD753" s="246">
        <f>IFERROR(VLOOKUP(P753,PROGRAMAS[],2,FALSE),0)</f>
        <v>0</v>
      </c>
      <c r="AE753" s="246">
        <f>IFERROR(VLOOKUP(Q753,PROGRAMAS[],2,FALSE),0)</f>
        <v>0</v>
      </c>
      <c r="AF753" s="246">
        <f>IFERROR(VLOOKUP(D753,PROGRAMAS[],3,FALSE),0)</f>
        <v>841888629.31080008</v>
      </c>
      <c r="AG753" s="246">
        <f>IFERROR(VLOOKUP(E753,PROGRAMAS[],3,FALSE),0)</f>
        <v>3848980803.1642323</v>
      </c>
      <c r="AH753" s="246">
        <f>IFERROR(VLOOKUP(F753,PROGRAMAS[],3,FALSE),0)</f>
        <v>3394901471.387517</v>
      </c>
      <c r="AI753" s="246">
        <f>IFERROR(VLOOKUP(G753,PROGRAMAS[],3,FALSE),0)</f>
        <v>125317226.95549992</v>
      </c>
      <c r="AJ753" s="246">
        <f>IFERROR(VLOOKUP(H753,PROGRAMAS[],3,FALSE),0)</f>
        <v>4099471734.9978786</v>
      </c>
      <c r="AK753" s="246">
        <f>IFERROR(VLOOKUP(I753,PROGRAMAS[],3,FALSE),0)</f>
        <v>2392571243.5584412</v>
      </c>
      <c r="AL753" s="246">
        <f>IFERROR(VLOOKUP(J753,PROGRAMAS[],3,FALSE),0)</f>
        <v>2406564599.0319901</v>
      </c>
      <c r="AM753" s="246">
        <f>IFERROR(VLOOKUP(K753,PROGRAMAS[],3,FALSE),0)</f>
        <v>948595847.09039903</v>
      </c>
      <c r="AN753" s="246">
        <f>IFERROR(VLOOKUP(L753,PROGRAMAS[],3,FALSE),0)</f>
        <v>0</v>
      </c>
      <c r="AO753" s="246">
        <f>IFERROR(VLOOKUP(M753,PROGRAMAS[],3,FALSE),0)</f>
        <v>0</v>
      </c>
      <c r="AP753" s="246">
        <f>IFERROR(VLOOKUP(N753,PROGRAMAS[],3,FALSE),0)</f>
        <v>0</v>
      </c>
      <c r="AQ753" s="246">
        <f>IFERROR(VLOOKUP(O753,PROGRAMAS[],3,FALSE),0)</f>
        <v>0</v>
      </c>
      <c r="AR753" s="246">
        <f>IFERROR(VLOOKUP(P753,PROGRAMAS[],3,FALSE),0)</f>
        <v>0</v>
      </c>
      <c r="AS753" s="246">
        <f>IFERROR(VLOOKUP(Q753,PROGRAMAS[],3,FALSE),0)</f>
        <v>0</v>
      </c>
      <c r="AT753" s="246">
        <f>IFERROR(VLOOKUP(D753,VOL_REC[],2,FALSE),0)</f>
        <v>0</v>
      </c>
      <c r="AU753" s="246">
        <f>IFERROR(VLOOKUP(E753,VOL_REC[],2,FALSE),0)</f>
        <v>0</v>
      </c>
      <c r="AV753" s="246">
        <f>IFERROR(VLOOKUP(F753,VOL_REC[],2,FALSE),0)</f>
        <v>11089674.200000001</v>
      </c>
      <c r="AW753" s="246">
        <f>IFERROR(VLOOKUP(G753,VOL_REC[],2,FALSE),0)</f>
        <v>90439.55</v>
      </c>
      <c r="AX753" s="246">
        <f>IFERROR(VLOOKUP(H753,VOL_REC[],2,FALSE),0)</f>
        <v>1812240</v>
      </c>
      <c r="AY753" s="246">
        <f>IFERROR(VLOOKUP(I753,VOL_REC[],2,FALSE),0)</f>
        <v>663244.80000000016</v>
      </c>
      <c r="AZ753" s="246">
        <f>IFERROR(VLOOKUP(J753,VOL_REC[],2,FALSE),0)</f>
        <v>1072354.9981737854</v>
      </c>
      <c r="BA753" s="246">
        <f>IFERROR(VLOOKUP(K753,VOL_REC[],2,FALSE),0)</f>
        <v>740113.98115702497</v>
      </c>
      <c r="BB753" s="246">
        <f>IFERROR(VLOOKUP(L753,VOL_REC[],2,FALSE),0)</f>
        <v>0</v>
      </c>
      <c r="BC753" s="246">
        <f>IFERROR(VLOOKUP(M753,VOL_REC[],2,FALSE),0)</f>
        <v>0</v>
      </c>
      <c r="BD753" s="246">
        <f>IFERROR(VLOOKUP(N753,VOL_REC[],2,FALSE),0)</f>
        <v>0</v>
      </c>
      <c r="BE753" s="246">
        <f>IFERROR(VLOOKUP(O753,VOL_REC[],2,FALSE),0)</f>
        <v>0</v>
      </c>
      <c r="BF753" s="246">
        <f>IFERROR(VLOOKUP(P753,VOL_REC[],2,FALSE),0)</f>
        <v>0</v>
      </c>
      <c r="BG753" s="246">
        <f>IFERROR(VLOOKUP(Q753,VOL_REC[],2,FALSE),0)</f>
        <v>0</v>
      </c>
      <c r="BH753" s="1710">
        <f t="shared" si="44"/>
        <v>21240694311.447357</v>
      </c>
      <c r="BI753" s="1710">
        <f t="shared" si="45"/>
        <v>18058291555.496758</v>
      </c>
      <c r="BJ753" s="1711">
        <f t="shared" si="46"/>
        <v>15468067.529330814</v>
      </c>
      <c r="BK753" s="1711">
        <f t="shared" si="47"/>
        <v>1.1762294481828715</v>
      </c>
      <c r="BL753">
        <f>BJ753</f>
        <v>15468067.529330814</v>
      </c>
      <c r="BO753">
        <f>BL753</f>
        <v>15468067.529330814</v>
      </c>
    </row>
    <row r="754" spans="3:67" x14ac:dyDescent="0.25">
      <c r="C754" s="246" t="s">
        <v>2104</v>
      </c>
      <c r="D754" s="246">
        <v>1</v>
      </c>
      <c r="E754" s="246">
        <v>2</v>
      </c>
      <c r="F754" s="246">
        <v>3</v>
      </c>
      <c r="G754" s="246">
        <v>4</v>
      </c>
      <c r="H754" s="246">
        <v>10</v>
      </c>
      <c r="I754" s="246">
        <v>14</v>
      </c>
      <c r="J754" s="246">
        <v>15</v>
      </c>
      <c r="K754" s="246">
        <v>16</v>
      </c>
      <c r="L754" s="246"/>
      <c r="M754" s="246"/>
      <c r="N754" s="246"/>
      <c r="O754" s="246"/>
      <c r="P754" s="246"/>
      <c r="Q754" s="246"/>
      <c r="R754" s="246">
        <f>IFERROR(VLOOKUP(D754,PROGRAMAS[],2,FALSE),0)</f>
        <v>97037803.679377079</v>
      </c>
      <c r="S754" s="246">
        <f>IFERROR(VLOOKUP(E754,PROGRAMAS[],2,FALSE),0)</f>
        <v>640501509.6821388</v>
      </c>
      <c r="T754" s="246">
        <f>IFERROR(VLOOKUP(F754,PROGRAMAS[],2,FALSE),0)</f>
        <v>3062327798.1525245</v>
      </c>
      <c r="U754" s="246">
        <f>IFERROR(VLOOKUP(G754,PROGRAMAS[],2,FALSE),0)</f>
        <v>67697118.033011258</v>
      </c>
      <c r="V754" s="246">
        <f>IFERROR(VLOOKUP(H754,PROGRAMAS[],2,FALSE),0)</f>
        <v>4635315027.8751087</v>
      </c>
      <c r="W754" s="246">
        <f>IFERROR(VLOOKUP(I754,PROGRAMAS[],2,FALSE),0)</f>
        <v>54223862.645839565</v>
      </c>
      <c r="X754" s="246">
        <f>IFERROR(VLOOKUP(J754,PROGRAMAS[],2,FALSE),0)</f>
        <v>122159672.96346797</v>
      </c>
      <c r="Y754" s="246">
        <f>IFERROR(VLOOKUP(K754,PROGRAMAS[],2,FALSE),0)</f>
        <v>7068496961.0436354</v>
      </c>
      <c r="Z754" s="246">
        <f>IFERROR(VLOOKUP(L754,PROGRAMAS[],2,FALSE),0)</f>
        <v>0</v>
      </c>
      <c r="AA754" s="246">
        <f>IFERROR(VLOOKUP(M754,PROGRAMAS[],2,FALSE),0)</f>
        <v>0</v>
      </c>
      <c r="AB754" s="246">
        <f>IFERROR(VLOOKUP(N754,PROGRAMAS[],2,FALSE),0)</f>
        <v>0</v>
      </c>
      <c r="AC754" s="246">
        <f>IFERROR(VLOOKUP(O754,PROGRAMAS[],2,FALSE),0)</f>
        <v>0</v>
      </c>
      <c r="AD754" s="246">
        <f>IFERROR(VLOOKUP(P754,PROGRAMAS[],2,FALSE),0)</f>
        <v>0</v>
      </c>
      <c r="AE754" s="246">
        <f>IFERROR(VLOOKUP(Q754,PROGRAMAS[],2,FALSE),0)</f>
        <v>0</v>
      </c>
      <c r="AF754" s="246">
        <f>IFERROR(VLOOKUP(D754,PROGRAMAS[],3,FALSE),0)</f>
        <v>841888629.31080008</v>
      </c>
      <c r="AG754" s="246">
        <f>IFERROR(VLOOKUP(E754,PROGRAMAS[],3,FALSE),0)</f>
        <v>3848980803.1642323</v>
      </c>
      <c r="AH754" s="246">
        <f>IFERROR(VLOOKUP(F754,PROGRAMAS[],3,FALSE),0)</f>
        <v>3394901471.387517</v>
      </c>
      <c r="AI754" s="246">
        <f>IFERROR(VLOOKUP(G754,PROGRAMAS[],3,FALSE),0)</f>
        <v>125317226.95549992</v>
      </c>
      <c r="AJ754" s="246">
        <f>IFERROR(VLOOKUP(H754,PROGRAMAS[],3,FALSE),0)</f>
        <v>4099471734.9978786</v>
      </c>
      <c r="AK754" s="246">
        <f>IFERROR(VLOOKUP(I754,PROGRAMAS[],3,FALSE),0)</f>
        <v>31865326.38096505</v>
      </c>
      <c r="AL754" s="246">
        <f>IFERROR(VLOOKUP(J754,PROGRAMAS[],3,FALSE),0)</f>
        <v>118617452.52510804</v>
      </c>
      <c r="AM754" s="246">
        <f>IFERROR(VLOOKUP(K754,PROGRAMAS[],3,FALSE),0)</f>
        <v>2406564599.0319901</v>
      </c>
      <c r="AN754" s="246">
        <f>IFERROR(VLOOKUP(L754,PROGRAMAS[],3,FALSE),0)</f>
        <v>0</v>
      </c>
      <c r="AO754" s="246">
        <f>IFERROR(VLOOKUP(M754,PROGRAMAS[],3,FALSE),0)</f>
        <v>0</v>
      </c>
      <c r="AP754" s="246">
        <f>IFERROR(VLOOKUP(N754,PROGRAMAS[],3,FALSE),0)</f>
        <v>0</v>
      </c>
      <c r="AQ754" s="246">
        <f>IFERROR(VLOOKUP(O754,PROGRAMAS[],3,FALSE),0)</f>
        <v>0</v>
      </c>
      <c r="AR754" s="246">
        <f>IFERROR(VLOOKUP(P754,PROGRAMAS[],3,FALSE),0)</f>
        <v>0</v>
      </c>
      <c r="AS754" s="246">
        <f>IFERROR(VLOOKUP(Q754,PROGRAMAS[],3,FALSE),0)</f>
        <v>0</v>
      </c>
      <c r="AT754" s="246">
        <f>IFERROR(VLOOKUP(D754,VOL_REC[],2,FALSE),0)</f>
        <v>0</v>
      </c>
      <c r="AU754" s="246">
        <f>IFERROR(VLOOKUP(E754,VOL_REC[],2,FALSE),0)</f>
        <v>0</v>
      </c>
      <c r="AV754" s="246">
        <f>IFERROR(VLOOKUP(F754,VOL_REC[],2,FALSE),0)</f>
        <v>11089674.200000001</v>
      </c>
      <c r="AW754" s="246">
        <f>IFERROR(VLOOKUP(G754,VOL_REC[],2,FALSE),0)</f>
        <v>90439.55</v>
      </c>
      <c r="AX754" s="246">
        <f>IFERROR(VLOOKUP(H754,VOL_REC[],2,FALSE),0)</f>
        <v>1812240</v>
      </c>
      <c r="AY754" s="246">
        <f>IFERROR(VLOOKUP(I754,VOL_REC[],2,FALSE),0)</f>
        <v>17074.045034105649</v>
      </c>
      <c r="AZ754" s="246">
        <f>IFERROR(VLOOKUP(J754,VOL_REC[],2,FALSE),0)</f>
        <v>105072</v>
      </c>
      <c r="BA754" s="246">
        <f>IFERROR(VLOOKUP(K754,VOL_REC[],2,FALSE),0)</f>
        <v>1072354.9981737854</v>
      </c>
      <c r="BB754" s="246">
        <f>IFERROR(VLOOKUP(L754,VOL_REC[],2,FALSE),0)</f>
        <v>0</v>
      </c>
      <c r="BC754" s="246">
        <f>IFERROR(VLOOKUP(M754,VOL_REC[],2,FALSE),0)</f>
        <v>0</v>
      </c>
      <c r="BD754" s="246">
        <f>IFERROR(VLOOKUP(N754,VOL_REC[],2,FALSE),0)</f>
        <v>0</v>
      </c>
      <c r="BE754" s="246">
        <f>IFERROR(VLOOKUP(O754,VOL_REC[],2,FALSE),0)</f>
        <v>0</v>
      </c>
      <c r="BF754" s="246">
        <f>IFERROR(VLOOKUP(P754,VOL_REC[],2,FALSE),0)</f>
        <v>0</v>
      </c>
      <c r="BG754" s="246">
        <f>IFERROR(VLOOKUP(Q754,VOL_REC[],2,FALSE),0)</f>
        <v>0</v>
      </c>
      <c r="BH754" s="1710">
        <f t="shared" si="44"/>
        <v>15747759754.075104</v>
      </c>
      <c r="BI754" s="1710">
        <f t="shared" si="45"/>
        <v>14867607243.75399</v>
      </c>
      <c r="BJ754" s="1711">
        <f t="shared" si="46"/>
        <v>14186854.793207891</v>
      </c>
      <c r="BK754" s="1711">
        <f t="shared" si="47"/>
        <v>1.0591993382587419</v>
      </c>
      <c r="BL754">
        <f>BJ754</f>
        <v>14186854.793207891</v>
      </c>
      <c r="BO754">
        <f>BL754</f>
        <v>14186854.793207891</v>
      </c>
    </row>
    <row r="755" spans="3:67" x14ac:dyDescent="0.25">
      <c r="C755" s="246" t="s">
        <v>2105</v>
      </c>
      <c r="D755" s="246">
        <v>1</v>
      </c>
      <c r="E755" s="246">
        <v>2</v>
      </c>
      <c r="F755" s="246">
        <v>3</v>
      </c>
      <c r="G755" s="246">
        <v>4</v>
      </c>
      <c r="H755" s="246">
        <v>10</v>
      </c>
      <c r="I755" s="246">
        <v>14</v>
      </c>
      <c r="J755" s="246">
        <v>15</v>
      </c>
      <c r="K755" s="246">
        <v>17</v>
      </c>
      <c r="L755" s="246"/>
      <c r="M755" s="246"/>
      <c r="N755" s="246"/>
      <c r="O755" s="246"/>
      <c r="P755" s="246"/>
      <c r="Q755" s="246"/>
      <c r="R755" s="246">
        <f>IFERROR(VLOOKUP(D755,PROGRAMAS[],2,FALSE),0)</f>
        <v>97037803.679377079</v>
      </c>
      <c r="S755" s="246">
        <f>IFERROR(VLOOKUP(E755,PROGRAMAS[],2,FALSE),0)</f>
        <v>640501509.6821388</v>
      </c>
      <c r="T755" s="246">
        <f>IFERROR(VLOOKUP(F755,PROGRAMAS[],2,FALSE),0)</f>
        <v>3062327798.1525245</v>
      </c>
      <c r="U755" s="246">
        <f>IFERROR(VLOOKUP(G755,PROGRAMAS[],2,FALSE),0)</f>
        <v>67697118.033011258</v>
      </c>
      <c r="V755" s="246">
        <f>IFERROR(VLOOKUP(H755,PROGRAMAS[],2,FALSE),0)</f>
        <v>4635315027.8751087</v>
      </c>
      <c r="W755" s="246">
        <f>IFERROR(VLOOKUP(I755,PROGRAMAS[],2,FALSE),0)</f>
        <v>54223862.645839565</v>
      </c>
      <c r="X755" s="246">
        <f>IFERROR(VLOOKUP(J755,PROGRAMAS[],2,FALSE),0)</f>
        <v>122159672.96346797</v>
      </c>
      <c r="Y755" s="246">
        <f>IFERROR(VLOOKUP(K755,PROGRAMAS[],2,FALSE),0)</f>
        <v>1892779498.5211046</v>
      </c>
      <c r="Z755" s="246">
        <f>IFERROR(VLOOKUP(L755,PROGRAMAS[],2,FALSE),0)</f>
        <v>0</v>
      </c>
      <c r="AA755" s="246">
        <f>IFERROR(VLOOKUP(M755,PROGRAMAS[],2,FALSE),0)</f>
        <v>0</v>
      </c>
      <c r="AB755" s="246">
        <f>IFERROR(VLOOKUP(N755,PROGRAMAS[],2,FALSE),0)</f>
        <v>0</v>
      </c>
      <c r="AC755" s="246">
        <f>IFERROR(VLOOKUP(O755,PROGRAMAS[],2,FALSE),0)</f>
        <v>0</v>
      </c>
      <c r="AD755" s="246">
        <f>IFERROR(VLOOKUP(P755,PROGRAMAS[],2,FALSE),0)</f>
        <v>0</v>
      </c>
      <c r="AE755" s="246">
        <f>IFERROR(VLOOKUP(Q755,PROGRAMAS[],2,FALSE),0)</f>
        <v>0</v>
      </c>
      <c r="AF755" s="246">
        <f>IFERROR(VLOOKUP(D755,PROGRAMAS[],3,FALSE),0)</f>
        <v>841888629.31080008</v>
      </c>
      <c r="AG755" s="246">
        <f>IFERROR(VLOOKUP(E755,PROGRAMAS[],3,FALSE),0)</f>
        <v>3848980803.1642323</v>
      </c>
      <c r="AH755" s="246">
        <f>IFERROR(VLOOKUP(F755,PROGRAMAS[],3,FALSE),0)</f>
        <v>3394901471.387517</v>
      </c>
      <c r="AI755" s="246">
        <f>IFERROR(VLOOKUP(G755,PROGRAMAS[],3,FALSE),0)</f>
        <v>125317226.95549992</v>
      </c>
      <c r="AJ755" s="246">
        <f>IFERROR(VLOOKUP(H755,PROGRAMAS[],3,FALSE),0)</f>
        <v>4099471734.9978786</v>
      </c>
      <c r="AK755" s="246">
        <f>IFERROR(VLOOKUP(I755,PROGRAMAS[],3,FALSE),0)</f>
        <v>31865326.38096505</v>
      </c>
      <c r="AL755" s="246">
        <f>IFERROR(VLOOKUP(J755,PROGRAMAS[],3,FALSE),0)</f>
        <v>118617452.52510804</v>
      </c>
      <c r="AM755" s="246">
        <f>IFERROR(VLOOKUP(K755,PROGRAMAS[],3,FALSE),0)</f>
        <v>948595847.09039903</v>
      </c>
      <c r="AN755" s="246">
        <f>IFERROR(VLOOKUP(L755,PROGRAMAS[],3,FALSE),0)</f>
        <v>0</v>
      </c>
      <c r="AO755" s="246">
        <f>IFERROR(VLOOKUP(M755,PROGRAMAS[],3,FALSE),0)</f>
        <v>0</v>
      </c>
      <c r="AP755" s="246">
        <f>IFERROR(VLOOKUP(N755,PROGRAMAS[],3,FALSE),0)</f>
        <v>0</v>
      </c>
      <c r="AQ755" s="246">
        <f>IFERROR(VLOOKUP(O755,PROGRAMAS[],3,FALSE),0)</f>
        <v>0</v>
      </c>
      <c r="AR755" s="246">
        <f>IFERROR(VLOOKUP(P755,PROGRAMAS[],3,FALSE),0)</f>
        <v>0</v>
      </c>
      <c r="AS755" s="246">
        <f>IFERROR(VLOOKUP(Q755,PROGRAMAS[],3,FALSE),0)</f>
        <v>0</v>
      </c>
      <c r="AT755" s="246">
        <f>IFERROR(VLOOKUP(D755,VOL_REC[],2,FALSE),0)</f>
        <v>0</v>
      </c>
      <c r="AU755" s="246">
        <f>IFERROR(VLOOKUP(E755,VOL_REC[],2,FALSE),0)</f>
        <v>0</v>
      </c>
      <c r="AV755" s="246">
        <f>IFERROR(VLOOKUP(F755,VOL_REC[],2,FALSE),0)</f>
        <v>11089674.200000001</v>
      </c>
      <c r="AW755" s="246">
        <f>IFERROR(VLOOKUP(G755,VOL_REC[],2,FALSE),0)</f>
        <v>90439.55</v>
      </c>
      <c r="AX755" s="246">
        <f>IFERROR(VLOOKUP(H755,VOL_REC[],2,FALSE),0)</f>
        <v>1812240</v>
      </c>
      <c r="AY755" s="246">
        <f>IFERROR(VLOOKUP(I755,VOL_REC[],2,FALSE),0)</f>
        <v>17074.045034105649</v>
      </c>
      <c r="AZ755" s="246">
        <f>IFERROR(VLOOKUP(J755,VOL_REC[],2,FALSE),0)</f>
        <v>105072</v>
      </c>
      <c r="BA755" s="246">
        <f>IFERROR(VLOOKUP(K755,VOL_REC[],2,FALSE),0)</f>
        <v>740113.98115702497</v>
      </c>
      <c r="BB755" s="246">
        <f>IFERROR(VLOOKUP(L755,VOL_REC[],2,FALSE),0)</f>
        <v>0</v>
      </c>
      <c r="BC755" s="246">
        <f>IFERROR(VLOOKUP(M755,VOL_REC[],2,FALSE),0)</f>
        <v>0</v>
      </c>
      <c r="BD755" s="246">
        <f>IFERROR(VLOOKUP(N755,VOL_REC[],2,FALSE),0)</f>
        <v>0</v>
      </c>
      <c r="BE755" s="246">
        <f>IFERROR(VLOOKUP(O755,VOL_REC[],2,FALSE),0)</f>
        <v>0</v>
      </c>
      <c r="BF755" s="246">
        <f>IFERROR(VLOOKUP(P755,VOL_REC[],2,FALSE),0)</f>
        <v>0</v>
      </c>
      <c r="BG755" s="246">
        <f>IFERROR(VLOOKUP(Q755,VOL_REC[],2,FALSE),0)</f>
        <v>0</v>
      </c>
      <c r="BH755" s="1710">
        <f t="shared" si="44"/>
        <v>10572042291.552574</v>
      </c>
      <c r="BI755" s="1710">
        <f t="shared" si="45"/>
        <v>13409638491.812399</v>
      </c>
      <c r="BJ755" s="1711">
        <f t="shared" si="46"/>
        <v>13854613.776191132</v>
      </c>
      <c r="BK755" s="1711">
        <f t="shared" si="47"/>
        <v>0.78839129764815119</v>
      </c>
    </row>
    <row r="756" spans="3:67" x14ac:dyDescent="0.25">
      <c r="C756" s="246" t="s">
        <v>2106</v>
      </c>
      <c r="D756" s="246">
        <v>1</v>
      </c>
      <c r="E756" s="246">
        <v>2</v>
      </c>
      <c r="F756" s="246">
        <v>3</v>
      </c>
      <c r="G756" s="246">
        <v>4</v>
      </c>
      <c r="H756" s="246">
        <v>10</v>
      </c>
      <c r="I756" s="246">
        <v>14</v>
      </c>
      <c r="J756" s="246">
        <v>16</v>
      </c>
      <c r="K756" s="246">
        <v>17</v>
      </c>
      <c r="L756" s="246"/>
      <c r="M756" s="246"/>
      <c r="N756" s="246"/>
      <c r="O756" s="246"/>
      <c r="P756" s="246"/>
      <c r="Q756" s="246"/>
      <c r="R756" s="246">
        <f>IFERROR(VLOOKUP(D756,PROGRAMAS[],2,FALSE),0)</f>
        <v>97037803.679377079</v>
      </c>
      <c r="S756" s="246">
        <f>IFERROR(VLOOKUP(E756,PROGRAMAS[],2,FALSE),0)</f>
        <v>640501509.6821388</v>
      </c>
      <c r="T756" s="246">
        <f>IFERROR(VLOOKUP(F756,PROGRAMAS[],2,FALSE),0)</f>
        <v>3062327798.1525245</v>
      </c>
      <c r="U756" s="246">
        <f>IFERROR(VLOOKUP(G756,PROGRAMAS[],2,FALSE),0)</f>
        <v>67697118.033011258</v>
      </c>
      <c r="V756" s="246">
        <f>IFERROR(VLOOKUP(H756,PROGRAMAS[],2,FALSE),0)</f>
        <v>4635315027.8751087</v>
      </c>
      <c r="W756" s="246">
        <f>IFERROR(VLOOKUP(I756,PROGRAMAS[],2,FALSE),0)</f>
        <v>54223862.645839565</v>
      </c>
      <c r="X756" s="246">
        <f>IFERROR(VLOOKUP(J756,PROGRAMAS[],2,FALSE),0)</f>
        <v>7068496961.0436354</v>
      </c>
      <c r="Y756" s="246">
        <f>IFERROR(VLOOKUP(K756,PROGRAMAS[],2,FALSE),0)</f>
        <v>1892779498.5211046</v>
      </c>
      <c r="Z756" s="246">
        <f>IFERROR(VLOOKUP(L756,PROGRAMAS[],2,FALSE),0)</f>
        <v>0</v>
      </c>
      <c r="AA756" s="246">
        <f>IFERROR(VLOOKUP(M756,PROGRAMAS[],2,FALSE),0)</f>
        <v>0</v>
      </c>
      <c r="AB756" s="246">
        <f>IFERROR(VLOOKUP(N756,PROGRAMAS[],2,FALSE),0)</f>
        <v>0</v>
      </c>
      <c r="AC756" s="246">
        <f>IFERROR(VLOOKUP(O756,PROGRAMAS[],2,FALSE),0)</f>
        <v>0</v>
      </c>
      <c r="AD756" s="246">
        <f>IFERROR(VLOOKUP(P756,PROGRAMAS[],2,FALSE),0)</f>
        <v>0</v>
      </c>
      <c r="AE756" s="246">
        <f>IFERROR(VLOOKUP(Q756,PROGRAMAS[],2,FALSE),0)</f>
        <v>0</v>
      </c>
      <c r="AF756" s="246">
        <f>IFERROR(VLOOKUP(D756,PROGRAMAS[],3,FALSE),0)</f>
        <v>841888629.31080008</v>
      </c>
      <c r="AG756" s="246">
        <f>IFERROR(VLOOKUP(E756,PROGRAMAS[],3,FALSE),0)</f>
        <v>3848980803.1642323</v>
      </c>
      <c r="AH756" s="246">
        <f>IFERROR(VLOOKUP(F756,PROGRAMAS[],3,FALSE),0)</f>
        <v>3394901471.387517</v>
      </c>
      <c r="AI756" s="246">
        <f>IFERROR(VLOOKUP(G756,PROGRAMAS[],3,FALSE),0)</f>
        <v>125317226.95549992</v>
      </c>
      <c r="AJ756" s="246">
        <f>IFERROR(VLOOKUP(H756,PROGRAMAS[],3,FALSE),0)</f>
        <v>4099471734.9978786</v>
      </c>
      <c r="AK756" s="246">
        <f>IFERROR(VLOOKUP(I756,PROGRAMAS[],3,FALSE),0)</f>
        <v>31865326.38096505</v>
      </c>
      <c r="AL756" s="246">
        <f>IFERROR(VLOOKUP(J756,PROGRAMAS[],3,FALSE),0)</f>
        <v>2406564599.0319901</v>
      </c>
      <c r="AM756" s="246">
        <f>IFERROR(VLOOKUP(K756,PROGRAMAS[],3,FALSE),0)</f>
        <v>948595847.09039903</v>
      </c>
      <c r="AN756" s="246">
        <f>IFERROR(VLOOKUP(L756,PROGRAMAS[],3,FALSE),0)</f>
        <v>0</v>
      </c>
      <c r="AO756" s="246">
        <f>IFERROR(VLOOKUP(M756,PROGRAMAS[],3,FALSE),0)</f>
        <v>0</v>
      </c>
      <c r="AP756" s="246">
        <f>IFERROR(VLOOKUP(N756,PROGRAMAS[],3,FALSE),0)</f>
        <v>0</v>
      </c>
      <c r="AQ756" s="246">
        <f>IFERROR(VLOOKUP(O756,PROGRAMAS[],3,FALSE),0)</f>
        <v>0</v>
      </c>
      <c r="AR756" s="246">
        <f>IFERROR(VLOOKUP(P756,PROGRAMAS[],3,FALSE),0)</f>
        <v>0</v>
      </c>
      <c r="AS756" s="246">
        <f>IFERROR(VLOOKUP(Q756,PROGRAMAS[],3,FALSE),0)</f>
        <v>0</v>
      </c>
      <c r="AT756" s="246">
        <f>IFERROR(VLOOKUP(D756,VOL_REC[],2,FALSE),0)</f>
        <v>0</v>
      </c>
      <c r="AU756" s="246">
        <f>IFERROR(VLOOKUP(E756,VOL_REC[],2,FALSE),0)</f>
        <v>0</v>
      </c>
      <c r="AV756" s="246">
        <f>IFERROR(VLOOKUP(F756,VOL_REC[],2,FALSE),0)</f>
        <v>11089674.200000001</v>
      </c>
      <c r="AW756" s="246">
        <f>IFERROR(VLOOKUP(G756,VOL_REC[],2,FALSE),0)</f>
        <v>90439.55</v>
      </c>
      <c r="AX756" s="246">
        <f>IFERROR(VLOOKUP(H756,VOL_REC[],2,FALSE),0)</f>
        <v>1812240</v>
      </c>
      <c r="AY756" s="246">
        <f>IFERROR(VLOOKUP(I756,VOL_REC[],2,FALSE),0)</f>
        <v>17074.045034105649</v>
      </c>
      <c r="AZ756" s="246">
        <f>IFERROR(VLOOKUP(J756,VOL_REC[],2,FALSE),0)</f>
        <v>1072354.9981737854</v>
      </c>
      <c r="BA756" s="246">
        <f>IFERROR(VLOOKUP(K756,VOL_REC[],2,FALSE),0)</f>
        <v>740113.98115702497</v>
      </c>
      <c r="BB756" s="246">
        <f>IFERROR(VLOOKUP(L756,VOL_REC[],2,FALSE),0)</f>
        <v>0</v>
      </c>
      <c r="BC756" s="246">
        <f>IFERROR(VLOOKUP(M756,VOL_REC[],2,FALSE),0)</f>
        <v>0</v>
      </c>
      <c r="BD756" s="246">
        <f>IFERROR(VLOOKUP(N756,VOL_REC[],2,FALSE),0)</f>
        <v>0</v>
      </c>
      <c r="BE756" s="246">
        <f>IFERROR(VLOOKUP(O756,VOL_REC[],2,FALSE),0)</f>
        <v>0</v>
      </c>
      <c r="BF756" s="246">
        <f>IFERROR(VLOOKUP(P756,VOL_REC[],2,FALSE),0)</f>
        <v>0</v>
      </c>
      <c r="BG756" s="246">
        <f>IFERROR(VLOOKUP(Q756,VOL_REC[],2,FALSE),0)</f>
        <v>0</v>
      </c>
      <c r="BH756" s="1710">
        <f t="shared" si="44"/>
        <v>17518379579.63274</v>
      </c>
      <c r="BI756" s="1710">
        <f t="shared" si="45"/>
        <v>15697585638.319281</v>
      </c>
      <c r="BJ756" s="1711">
        <f t="shared" si="46"/>
        <v>14821896.774364917</v>
      </c>
      <c r="BK756" s="1711">
        <f t="shared" si="47"/>
        <v>1.1159919737509654</v>
      </c>
      <c r="BL756">
        <f>BJ756</f>
        <v>14821896.774364917</v>
      </c>
      <c r="BO756">
        <f>BL756</f>
        <v>14821896.774364917</v>
      </c>
    </row>
    <row r="757" spans="3:67" x14ac:dyDescent="0.25">
      <c r="C757" s="246" t="s">
        <v>2107</v>
      </c>
      <c r="D757" s="246">
        <v>1</v>
      </c>
      <c r="E757" s="246">
        <v>2</v>
      </c>
      <c r="F757" s="246">
        <v>3</v>
      </c>
      <c r="G757" s="246">
        <v>4</v>
      </c>
      <c r="H757" s="246">
        <v>10</v>
      </c>
      <c r="I757" s="246">
        <v>15</v>
      </c>
      <c r="J757" s="246">
        <v>16</v>
      </c>
      <c r="K757" s="246">
        <v>17</v>
      </c>
      <c r="L757" s="246"/>
      <c r="M757" s="246"/>
      <c r="N757" s="246"/>
      <c r="O757" s="246"/>
      <c r="P757" s="246"/>
      <c r="Q757" s="246"/>
      <c r="R757" s="246">
        <f>IFERROR(VLOOKUP(D757,PROGRAMAS[],2,FALSE),0)</f>
        <v>97037803.679377079</v>
      </c>
      <c r="S757" s="246">
        <f>IFERROR(VLOOKUP(E757,PROGRAMAS[],2,FALSE),0)</f>
        <v>640501509.6821388</v>
      </c>
      <c r="T757" s="246">
        <f>IFERROR(VLOOKUP(F757,PROGRAMAS[],2,FALSE),0)</f>
        <v>3062327798.1525245</v>
      </c>
      <c r="U757" s="246">
        <f>IFERROR(VLOOKUP(G757,PROGRAMAS[],2,FALSE),0)</f>
        <v>67697118.033011258</v>
      </c>
      <c r="V757" s="246">
        <f>IFERROR(VLOOKUP(H757,PROGRAMAS[],2,FALSE),0)</f>
        <v>4635315027.8751087</v>
      </c>
      <c r="W757" s="246">
        <f>IFERROR(VLOOKUP(I757,PROGRAMAS[],2,FALSE),0)</f>
        <v>122159672.96346797</v>
      </c>
      <c r="X757" s="246">
        <f>IFERROR(VLOOKUP(J757,PROGRAMAS[],2,FALSE),0)</f>
        <v>7068496961.0436354</v>
      </c>
      <c r="Y757" s="246">
        <f>IFERROR(VLOOKUP(K757,PROGRAMAS[],2,FALSE),0)</f>
        <v>1892779498.5211046</v>
      </c>
      <c r="Z757" s="246">
        <f>IFERROR(VLOOKUP(L757,PROGRAMAS[],2,FALSE),0)</f>
        <v>0</v>
      </c>
      <c r="AA757" s="246">
        <f>IFERROR(VLOOKUP(M757,PROGRAMAS[],2,FALSE),0)</f>
        <v>0</v>
      </c>
      <c r="AB757" s="246">
        <f>IFERROR(VLOOKUP(N757,PROGRAMAS[],2,FALSE),0)</f>
        <v>0</v>
      </c>
      <c r="AC757" s="246">
        <f>IFERROR(VLOOKUP(O757,PROGRAMAS[],2,FALSE),0)</f>
        <v>0</v>
      </c>
      <c r="AD757" s="246">
        <f>IFERROR(VLOOKUP(P757,PROGRAMAS[],2,FALSE),0)</f>
        <v>0</v>
      </c>
      <c r="AE757" s="246">
        <f>IFERROR(VLOOKUP(Q757,PROGRAMAS[],2,FALSE),0)</f>
        <v>0</v>
      </c>
      <c r="AF757" s="246">
        <f>IFERROR(VLOOKUP(D757,PROGRAMAS[],3,FALSE),0)</f>
        <v>841888629.31080008</v>
      </c>
      <c r="AG757" s="246">
        <f>IFERROR(VLOOKUP(E757,PROGRAMAS[],3,FALSE),0)</f>
        <v>3848980803.1642323</v>
      </c>
      <c r="AH757" s="246">
        <f>IFERROR(VLOOKUP(F757,PROGRAMAS[],3,FALSE),0)</f>
        <v>3394901471.387517</v>
      </c>
      <c r="AI757" s="246">
        <f>IFERROR(VLOOKUP(G757,PROGRAMAS[],3,FALSE),0)</f>
        <v>125317226.95549992</v>
      </c>
      <c r="AJ757" s="246">
        <f>IFERROR(VLOOKUP(H757,PROGRAMAS[],3,FALSE),0)</f>
        <v>4099471734.9978786</v>
      </c>
      <c r="AK757" s="246">
        <f>IFERROR(VLOOKUP(I757,PROGRAMAS[],3,FALSE),0)</f>
        <v>118617452.52510804</v>
      </c>
      <c r="AL757" s="246">
        <f>IFERROR(VLOOKUP(J757,PROGRAMAS[],3,FALSE),0)</f>
        <v>2406564599.0319901</v>
      </c>
      <c r="AM757" s="246">
        <f>IFERROR(VLOOKUP(K757,PROGRAMAS[],3,FALSE),0)</f>
        <v>948595847.09039903</v>
      </c>
      <c r="AN757" s="246">
        <f>IFERROR(VLOOKUP(L757,PROGRAMAS[],3,FALSE),0)</f>
        <v>0</v>
      </c>
      <c r="AO757" s="246">
        <f>IFERROR(VLOOKUP(M757,PROGRAMAS[],3,FALSE),0)</f>
        <v>0</v>
      </c>
      <c r="AP757" s="246">
        <f>IFERROR(VLOOKUP(N757,PROGRAMAS[],3,FALSE),0)</f>
        <v>0</v>
      </c>
      <c r="AQ757" s="246">
        <f>IFERROR(VLOOKUP(O757,PROGRAMAS[],3,FALSE),0)</f>
        <v>0</v>
      </c>
      <c r="AR757" s="246">
        <f>IFERROR(VLOOKUP(P757,PROGRAMAS[],3,FALSE),0)</f>
        <v>0</v>
      </c>
      <c r="AS757" s="246">
        <f>IFERROR(VLOOKUP(Q757,PROGRAMAS[],3,FALSE),0)</f>
        <v>0</v>
      </c>
      <c r="AT757" s="246">
        <f>IFERROR(VLOOKUP(D757,VOL_REC[],2,FALSE),0)</f>
        <v>0</v>
      </c>
      <c r="AU757" s="246">
        <f>IFERROR(VLOOKUP(E757,VOL_REC[],2,FALSE),0)</f>
        <v>0</v>
      </c>
      <c r="AV757" s="246">
        <f>IFERROR(VLOOKUP(F757,VOL_REC[],2,FALSE),0)</f>
        <v>11089674.200000001</v>
      </c>
      <c r="AW757" s="246">
        <f>IFERROR(VLOOKUP(G757,VOL_REC[],2,FALSE),0)</f>
        <v>90439.55</v>
      </c>
      <c r="AX757" s="246">
        <f>IFERROR(VLOOKUP(H757,VOL_REC[],2,FALSE),0)</f>
        <v>1812240</v>
      </c>
      <c r="AY757" s="246">
        <f>IFERROR(VLOOKUP(I757,VOL_REC[],2,FALSE),0)</f>
        <v>105072</v>
      </c>
      <c r="AZ757" s="246">
        <f>IFERROR(VLOOKUP(J757,VOL_REC[],2,FALSE),0)</f>
        <v>1072354.9981737854</v>
      </c>
      <c r="BA757" s="246">
        <f>IFERROR(VLOOKUP(K757,VOL_REC[],2,FALSE),0)</f>
        <v>740113.98115702497</v>
      </c>
      <c r="BB757" s="246">
        <f>IFERROR(VLOOKUP(L757,VOL_REC[],2,FALSE),0)</f>
        <v>0</v>
      </c>
      <c r="BC757" s="246">
        <f>IFERROR(VLOOKUP(M757,VOL_REC[],2,FALSE),0)</f>
        <v>0</v>
      </c>
      <c r="BD757" s="246">
        <f>IFERROR(VLOOKUP(N757,VOL_REC[],2,FALSE),0)</f>
        <v>0</v>
      </c>
      <c r="BE757" s="246">
        <f>IFERROR(VLOOKUP(O757,VOL_REC[],2,FALSE),0)</f>
        <v>0</v>
      </c>
      <c r="BF757" s="246">
        <f>IFERROR(VLOOKUP(P757,VOL_REC[],2,FALSE),0)</f>
        <v>0</v>
      </c>
      <c r="BG757" s="246">
        <f>IFERROR(VLOOKUP(Q757,VOL_REC[],2,FALSE),0)</f>
        <v>0</v>
      </c>
      <c r="BH757" s="1710">
        <f t="shared" si="44"/>
        <v>17586315389.950367</v>
      </c>
      <c r="BI757" s="1710">
        <f t="shared" si="45"/>
        <v>15784337764.463425</v>
      </c>
      <c r="BJ757" s="1711">
        <f t="shared" si="46"/>
        <v>14909894.729330814</v>
      </c>
      <c r="BK757" s="1711">
        <f t="shared" si="47"/>
        <v>1.1141623837741157</v>
      </c>
      <c r="BL757">
        <f>BJ757</f>
        <v>14909894.729330814</v>
      </c>
      <c r="BO757">
        <f>BL757</f>
        <v>14909894.729330814</v>
      </c>
    </row>
    <row r="758" spans="3:67" x14ac:dyDescent="0.25">
      <c r="C758" s="246" t="s">
        <v>2108</v>
      </c>
      <c r="D758" s="246">
        <v>1</v>
      </c>
      <c r="E758" s="246">
        <v>2</v>
      </c>
      <c r="F758" s="246">
        <v>3</v>
      </c>
      <c r="G758" s="246">
        <v>4</v>
      </c>
      <c r="H758" s="246">
        <v>12</v>
      </c>
      <c r="I758" s="246">
        <v>13</v>
      </c>
      <c r="J758" s="246">
        <v>14</v>
      </c>
      <c r="K758" s="246">
        <v>15</v>
      </c>
      <c r="L758" s="246"/>
      <c r="M758" s="246"/>
      <c r="N758" s="246"/>
      <c r="O758" s="246"/>
      <c r="P758" s="246"/>
      <c r="Q758" s="246"/>
      <c r="R758" s="246">
        <f>IFERROR(VLOOKUP(D758,PROGRAMAS[],2,FALSE),0)</f>
        <v>97037803.679377079</v>
      </c>
      <c r="S758" s="246">
        <f>IFERROR(VLOOKUP(E758,PROGRAMAS[],2,FALSE),0)</f>
        <v>640501509.6821388</v>
      </c>
      <c r="T758" s="246">
        <f>IFERROR(VLOOKUP(F758,PROGRAMAS[],2,FALSE),0)</f>
        <v>3062327798.1525245</v>
      </c>
      <c r="U758" s="246">
        <f>IFERROR(VLOOKUP(G758,PROGRAMAS[],2,FALSE),0)</f>
        <v>67697118.033011258</v>
      </c>
      <c r="V758" s="246">
        <f>IFERROR(VLOOKUP(H758,PROGRAMAS[],2,FALSE),0)</f>
        <v>764796700.79905891</v>
      </c>
      <c r="W758" s="246">
        <f>IFERROR(VLOOKUP(I758,PROGRAMAS[],2,FALSE),0)</f>
        <v>3776538594.4604583</v>
      </c>
      <c r="X758" s="246">
        <f>IFERROR(VLOOKUP(J758,PROGRAMAS[],2,FALSE),0)</f>
        <v>54223862.645839565</v>
      </c>
      <c r="Y758" s="246">
        <f>IFERROR(VLOOKUP(K758,PROGRAMAS[],2,FALSE),0)</f>
        <v>122159672.96346797</v>
      </c>
      <c r="Z758" s="246">
        <f>IFERROR(VLOOKUP(L758,PROGRAMAS[],2,FALSE),0)</f>
        <v>0</v>
      </c>
      <c r="AA758" s="246">
        <f>IFERROR(VLOOKUP(M758,PROGRAMAS[],2,FALSE),0)</f>
        <v>0</v>
      </c>
      <c r="AB758" s="246">
        <f>IFERROR(VLOOKUP(N758,PROGRAMAS[],2,FALSE),0)</f>
        <v>0</v>
      </c>
      <c r="AC758" s="246">
        <f>IFERROR(VLOOKUP(O758,PROGRAMAS[],2,FALSE),0)</f>
        <v>0</v>
      </c>
      <c r="AD758" s="246">
        <f>IFERROR(VLOOKUP(P758,PROGRAMAS[],2,FALSE),0)</f>
        <v>0</v>
      </c>
      <c r="AE758" s="246">
        <f>IFERROR(VLOOKUP(Q758,PROGRAMAS[],2,FALSE),0)</f>
        <v>0</v>
      </c>
      <c r="AF758" s="246">
        <f>IFERROR(VLOOKUP(D758,PROGRAMAS[],3,FALSE),0)</f>
        <v>841888629.31080008</v>
      </c>
      <c r="AG758" s="246">
        <f>IFERROR(VLOOKUP(E758,PROGRAMAS[],3,FALSE),0)</f>
        <v>3848980803.1642323</v>
      </c>
      <c r="AH758" s="246">
        <f>IFERROR(VLOOKUP(F758,PROGRAMAS[],3,FALSE),0)</f>
        <v>3394901471.387517</v>
      </c>
      <c r="AI758" s="246">
        <f>IFERROR(VLOOKUP(G758,PROGRAMAS[],3,FALSE),0)</f>
        <v>125317226.95549992</v>
      </c>
      <c r="AJ758" s="246">
        <f>IFERROR(VLOOKUP(H758,PROGRAMAS[],3,FALSE),0)</f>
        <v>675517840.109828</v>
      </c>
      <c r="AK758" s="246">
        <f>IFERROR(VLOOKUP(I758,PROGRAMAS[],3,FALSE),0)</f>
        <v>2392571243.5584412</v>
      </c>
      <c r="AL758" s="246">
        <f>IFERROR(VLOOKUP(J758,PROGRAMAS[],3,FALSE),0)</f>
        <v>31865326.38096505</v>
      </c>
      <c r="AM758" s="246">
        <f>IFERROR(VLOOKUP(K758,PROGRAMAS[],3,FALSE),0)</f>
        <v>118617452.52510804</v>
      </c>
      <c r="AN758" s="246">
        <f>IFERROR(VLOOKUP(L758,PROGRAMAS[],3,FALSE),0)</f>
        <v>0</v>
      </c>
      <c r="AO758" s="246">
        <f>IFERROR(VLOOKUP(M758,PROGRAMAS[],3,FALSE),0)</f>
        <v>0</v>
      </c>
      <c r="AP758" s="246">
        <f>IFERROR(VLOOKUP(N758,PROGRAMAS[],3,FALSE),0)</f>
        <v>0</v>
      </c>
      <c r="AQ758" s="246">
        <f>IFERROR(VLOOKUP(O758,PROGRAMAS[],3,FALSE),0)</f>
        <v>0</v>
      </c>
      <c r="AR758" s="246">
        <f>IFERROR(VLOOKUP(P758,PROGRAMAS[],3,FALSE),0)</f>
        <v>0</v>
      </c>
      <c r="AS758" s="246">
        <f>IFERROR(VLOOKUP(Q758,PROGRAMAS[],3,FALSE),0)</f>
        <v>0</v>
      </c>
      <c r="AT758" s="246">
        <f>IFERROR(VLOOKUP(D758,VOL_REC[],2,FALSE),0)</f>
        <v>0</v>
      </c>
      <c r="AU758" s="246">
        <f>IFERROR(VLOOKUP(E758,VOL_REC[],2,FALSE),0)</f>
        <v>0</v>
      </c>
      <c r="AV758" s="246">
        <f>IFERROR(VLOOKUP(F758,VOL_REC[],2,FALSE),0)</f>
        <v>11089674.200000001</v>
      </c>
      <c r="AW758" s="246">
        <f>IFERROR(VLOOKUP(G758,VOL_REC[],2,FALSE),0)</f>
        <v>90439.55</v>
      </c>
      <c r="AX758" s="246">
        <f>IFERROR(VLOOKUP(H758,VOL_REC[],2,FALSE),0)</f>
        <v>240696.79238099116</v>
      </c>
      <c r="AY758" s="246">
        <f>IFERROR(VLOOKUP(I758,VOL_REC[],2,FALSE),0)</f>
        <v>663244.80000000016</v>
      </c>
      <c r="AZ758" s="246">
        <f>IFERROR(VLOOKUP(J758,VOL_REC[],2,FALSE),0)</f>
        <v>17074.045034105649</v>
      </c>
      <c r="BA758" s="246">
        <f>IFERROR(VLOOKUP(K758,VOL_REC[],2,FALSE),0)</f>
        <v>105072</v>
      </c>
      <c r="BB758" s="246">
        <f>IFERROR(VLOOKUP(L758,VOL_REC[],2,FALSE),0)</f>
        <v>0</v>
      </c>
      <c r="BC758" s="246">
        <f>IFERROR(VLOOKUP(M758,VOL_REC[],2,FALSE),0)</f>
        <v>0</v>
      </c>
      <c r="BD758" s="246">
        <f>IFERROR(VLOOKUP(N758,VOL_REC[],2,FALSE),0)</f>
        <v>0</v>
      </c>
      <c r="BE758" s="246">
        <f>IFERROR(VLOOKUP(O758,VOL_REC[],2,FALSE),0)</f>
        <v>0</v>
      </c>
      <c r="BF758" s="246">
        <f>IFERROR(VLOOKUP(P758,VOL_REC[],2,FALSE),0)</f>
        <v>0</v>
      </c>
      <c r="BG758" s="246">
        <f>IFERROR(VLOOKUP(Q758,VOL_REC[],2,FALSE),0)</f>
        <v>0</v>
      </c>
      <c r="BH758" s="1710">
        <f t="shared" si="44"/>
        <v>8585283060.4158773</v>
      </c>
      <c r="BI758" s="1710">
        <f t="shared" si="45"/>
        <v>11429659993.392391</v>
      </c>
      <c r="BJ758" s="1711">
        <f t="shared" si="46"/>
        <v>12206201.387415098</v>
      </c>
      <c r="BK758" s="1711">
        <f t="shared" si="47"/>
        <v>0.75114072206689619</v>
      </c>
    </row>
    <row r="759" spans="3:67" x14ac:dyDescent="0.25">
      <c r="C759" s="246" t="s">
        <v>2109</v>
      </c>
      <c r="D759" s="246">
        <v>1</v>
      </c>
      <c r="E759" s="246">
        <v>2</v>
      </c>
      <c r="F759" s="246">
        <v>3</v>
      </c>
      <c r="G759" s="246">
        <v>4</v>
      </c>
      <c r="H759" s="246">
        <v>12</v>
      </c>
      <c r="I759" s="246">
        <v>13</v>
      </c>
      <c r="J759" s="246">
        <v>14</v>
      </c>
      <c r="K759" s="246">
        <v>16</v>
      </c>
      <c r="L759" s="246"/>
      <c r="M759" s="246"/>
      <c r="N759" s="246"/>
      <c r="O759" s="246"/>
      <c r="P759" s="246"/>
      <c r="Q759" s="246"/>
      <c r="R759" s="246">
        <f>IFERROR(VLOOKUP(D759,PROGRAMAS[],2,FALSE),0)</f>
        <v>97037803.679377079</v>
      </c>
      <c r="S759" s="246">
        <f>IFERROR(VLOOKUP(E759,PROGRAMAS[],2,FALSE),0)</f>
        <v>640501509.6821388</v>
      </c>
      <c r="T759" s="246">
        <f>IFERROR(VLOOKUP(F759,PROGRAMAS[],2,FALSE),0)</f>
        <v>3062327798.1525245</v>
      </c>
      <c r="U759" s="246">
        <f>IFERROR(VLOOKUP(G759,PROGRAMAS[],2,FALSE),0)</f>
        <v>67697118.033011258</v>
      </c>
      <c r="V759" s="246">
        <f>IFERROR(VLOOKUP(H759,PROGRAMAS[],2,FALSE),0)</f>
        <v>764796700.79905891</v>
      </c>
      <c r="W759" s="246">
        <f>IFERROR(VLOOKUP(I759,PROGRAMAS[],2,FALSE),0)</f>
        <v>3776538594.4604583</v>
      </c>
      <c r="X759" s="246">
        <f>IFERROR(VLOOKUP(J759,PROGRAMAS[],2,FALSE),0)</f>
        <v>54223862.645839565</v>
      </c>
      <c r="Y759" s="246">
        <f>IFERROR(VLOOKUP(K759,PROGRAMAS[],2,FALSE),0)</f>
        <v>7068496961.0436354</v>
      </c>
      <c r="Z759" s="246">
        <f>IFERROR(VLOOKUP(L759,PROGRAMAS[],2,FALSE),0)</f>
        <v>0</v>
      </c>
      <c r="AA759" s="246">
        <f>IFERROR(VLOOKUP(M759,PROGRAMAS[],2,FALSE),0)</f>
        <v>0</v>
      </c>
      <c r="AB759" s="246">
        <f>IFERROR(VLOOKUP(N759,PROGRAMAS[],2,FALSE),0)</f>
        <v>0</v>
      </c>
      <c r="AC759" s="246">
        <f>IFERROR(VLOOKUP(O759,PROGRAMAS[],2,FALSE),0)</f>
        <v>0</v>
      </c>
      <c r="AD759" s="246">
        <f>IFERROR(VLOOKUP(P759,PROGRAMAS[],2,FALSE),0)</f>
        <v>0</v>
      </c>
      <c r="AE759" s="246">
        <f>IFERROR(VLOOKUP(Q759,PROGRAMAS[],2,FALSE),0)</f>
        <v>0</v>
      </c>
      <c r="AF759" s="246">
        <f>IFERROR(VLOOKUP(D759,PROGRAMAS[],3,FALSE),0)</f>
        <v>841888629.31080008</v>
      </c>
      <c r="AG759" s="246">
        <f>IFERROR(VLOOKUP(E759,PROGRAMAS[],3,FALSE),0)</f>
        <v>3848980803.1642323</v>
      </c>
      <c r="AH759" s="246">
        <f>IFERROR(VLOOKUP(F759,PROGRAMAS[],3,FALSE),0)</f>
        <v>3394901471.387517</v>
      </c>
      <c r="AI759" s="246">
        <f>IFERROR(VLOOKUP(G759,PROGRAMAS[],3,FALSE),0)</f>
        <v>125317226.95549992</v>
      </c>
      <c r="AJ759" s="246">
        <f>IFERROR(VLOOKUP(H759,PROGRAMAS[],3,FALSE),0)</f>
        <v>675517840.109828</v>
      </c>
      <c r="AK759" s="246">
        <f>IFERROR(VLOOKUP(I759,PROGRAMAS[],3,FALSE),0)</f>
        <v>2392571243.5584412</v>
      </c>
      <c r="AL759" s="246">
        <f>IFERROR(VLOOKUP(J759,PROGRAMAS[],3,FALSE),0)</f>
        <v>31865326.38096505</v>
      </c>
      <c r="AM759" s="246">
        <f>IFERROR(VLOOKUP(K759,PROGRAMAS[],3,FALSE),0)</f>
        <v>2406564599.0319901</v>
      </c>
      <c r="AN759" s="246">
        <f>IFERROR(VLOOKUP(L759,PROGRAMAS[],3,FALSE),0)</f>
        <v>0</v>
      </c>
      <c r="AO759" s="246">
        <f>IFERROR(VLOOKUP(M759,PROGRAMAS[],3,FALSE),0)</f>
        <v>0</v>
      </c>
      <c r="AP759" s="246">
        <f>IFERROR(VLOOKUP(N759,PROGRAMAS[],3,FALSE),0)</f>
        <v>0</v>
      </c>
      <c r="AQ759" s="246">
        <f>IFERROR(VLOOKUP(O759,PROGRAMAS[],3,FALSE),0)</f>
        <v>0</v>
      </c>
      <c r="AR759" s="246">
        <f>IFERROR(VLOOKUP(P759,PROGRAMAS[],3,FALSE),0)</f>
        <v>0</v>
      </c>
      <c r="AS759" s="246">
        <f>IFERROR(VLOOKUP(Q759,PROGRAMAS[],3,FALSE),0)</f>
        <v>0</v>
      </c>
      <c r="AT759" s="246">
        <f>IFERROR(VLOOKUP(D759,VOL_REC[],2,FALSE),0)</f>
        <v>0</v>
      </c>
      <c r="AU759" s="246">
        <f>IFERROR(VLOOKUP(E759,VOL_REC[],2,FALSE),0)</f>
        <v>0</v>
      </c>
      <c r="AV759" s="246">
        <f>IFERROR(VLOOKUP(F759,VOL_REC[],2,FALSE),0)</f>
        <v>11089674.200000001</v>
      </c>
      <c r="AW759" s="246">
        <f>IFERROR(VLOOKUP(G759,VOL_REC[],2,FALSE),0)</f>
        <v>90439.55</v>
      </c>
      <c r="AX759" s="246">
        <f>IFERROR(VLOOKUP(H759,VOL_REC[],2,FALSE),0)</f>
        <v>240696.79238099116</v>
      </c>
      <c r="AY759" s="246">
        <f>IFERROR(VLOOKUP(I759,VOL_REC[],2,FALSE),0)</f>
        <v>663244.80000000016</v>
      </c>
      <c r="AZ759" s="246">
        <f>IFERROR(VLOOKUP(J759,VOL_REC[],2,FALSE),0)</f>
        <v>17074.045034105649</v>
      </c>
      <c r="BA759" s="246">
        <f>IFERROR(VLOOKUP(K759,VOL_REC[],2,FALSE),0)</f>
        <v>1072354.9981737854</v>
      </c>
      <c r="BB759" s="246">
        <f>IFERROR(VLOOKUP(L759,VOL_REC[],2,FALSE),0)</f>
        <v>0</v>
      </c>
      <c r="BC759" s="246">
        <f>IFERROR(VLOOKUP(M759,VOL_REC[],2,FALSE),0)</f>
        <v>0</v>
      </c>
      <c r="BD759" s="246">
        <f>IFERROR(VLOOKUP(N759,VOL_REC[],2,FALSE),0)</f>
        <v>0</v>
      </c>
      <c r="BE759" s="246">
        <f>IFERROR(VLOOKUP(O759,VOL_REC[],2,FALSE),0)</f>
        <v>0</v>
      </c>
      <c r="BF759" s="246">
        <f>IFERROR(VLOOKUP(P759,VOL_REC[],2,FALSE),0)</f>
        <v>0</v>
      </c>
      <c r="BG759" s="246">
        <f>IFERROR(VLOOKUP(Q759,VOL_REC[],2,FALSE),0)</f>
        <v>0</v>
      </c>
      <c r="BH759" s="1710">
        <f t="shared" si="44"/>
        <v>15531620348.496044</v>
      </c>
      <c r="BI759" s="1710">
        <f t="shared" si="45"/>
        <v>13717607139.899273</v>
      </c>
      <c r="BJ759" s="1711">
        <f t="shared" si="46"/>
        <v>13173484.385588884</v>
      </c>
      <c r="BK759" s="1711">
        <f t="shared" si="47"/>
        <v>1.1322397696694857</v>
      </c>
      <c r="BL759">
        <f>BJ759</f>
        <v>13173484.385588884</v>
      </c>
      <c r="BO759">
        <f>BL759</f>
        <v>13173484.385588884</v>
      </c>
    </row>
    <row r="760" spans="3:67" x14ac:dyDescent="0.25">
      <c r="C760" s="246" t="s">
        <v>2110</v>
      </c>
      <c r="D760" s="246">
        <v>1</v>
      </c>
      <c r="E760" s="246">
        <v>2</v>
      </c>
      <c r="F760" s="246">
        <v>3</v>
      </c>
      <c r="G760" s="246">
        <v>4</v>
      </c>
      <c r="H760" s="246">
        <v>12</v>
      </c>
      <c r="I760" s="246">
        <v>13</v>
      </c>
      <c r="J760" s="246">
        <v>14</v>
      </c>
      <c r="K760" s="246">
        <v>17</v>
      </c>
      <c r="L760" s="246"/>
      <c r="M760" s="246"/>
      <c r="N760" s="246"/>
      <c r="O760" s="246"/>
      <c r="P760" s="246"/>
      <c r="Q760" s="246"/>
      <c r="R760" s="246">
        <f>IFERROR(VLOOKUP(D760,PROGRAMAS[],2,FALSE),0)</f>
        <v>97037803.679377079</v>
      </c>
      <c r="S760" s="246">
        <f>IFERROR(VLOOKUP(E760,PROGRAMAS[],2,FALSE),0)</f>
        <v>640501509.6821388</v>
      </c>
      <c r="T760" s="246">
        <f>IFERROR(VLOOKUP(F760,PROGRAMAS[],2,FALSE),0)</f>
        <v>3062327798.1525245</v>
      </c>
      <c r="U760" s="246">
        <f>IFERROR(VLOOKUP(G760,PROGRAMAS[],2,FALSE),0)</f>
        <v>67697118.033011258</v>
      </c>
      <c r="V760" s="246">
        <f>IFERROR(VLOOKUP(H760,PROGRAMAS[],2,FALSE),0)</f>
        <v>764796700.79905891</v>
      </c>
      <c r="W760" s="246">
        <f>IFERROR(VLOOKUP(I760,PROGRAMAS[],2,FALSE),0)</f>
        <v>3776538594.4604583</v>
      </c>
      <c r="X760" s="246">
        <f>IFERROR(VLOOKUP(J760,PROGRAMAS[],2,FALSE),0)</f>
        <v>54223862.645839565</v>
      </c>
      <c r="Y760" s="246">
        <f>IFERROR(VLOOKUP(K760,PROGRAMAS[],2,FALSE),0)</f>
        <v>1892779498.5211046</v>
      </c>
      <c r="Z760" s="246">
        <f>IFERROR(VLOOKUP(L760,PROGRAMAS[],2,FALSE),0)</f>
        <v>0</v>
      </c>
      <c r="AA760" s="246">
        <f>IFERROR(VLOOKUP(M760,PROGRAMAS[],2,FALSE),0)</f>
        <v>0</v>
      </c>
      <c r="AB760" s="246">
        <f>IFERROR(VLOOKUP(N760,PROGRAMAS[],2,FALSE),0)</f>
        <v>0</v>
      </c>
      <c r="AC760" s="246">
        <f>IFERROR(VLOOKUP(O760,PROGRAMAS[],2,FALSE),0)</f>
        <v>0</v>
      </c>
      <c r="AD760" s="246">
        <f>IFERROR(VLOOKUP(P760,PROGRAMAS[],2,FALSE),0)</f>
        <v>0</v>
      </c>
      <c r="AE760" s="246">
        <f>IFERROR(VLOOKUP(Q760,PROGRAMAS[],2,FALSE),0)</f>
        <v>0</v>
      </c>
      <c r="AF760" s="246">
        <f>IFERROR(VLOOKUP(D760,PROGRAMAS[],3,FALSE),0)</f>
        <v>841888629.31080008</v>
      </c>
      <c r="AG760" s="246">
        <f>IFERROR(VLOOKUP(E760,PROGRAMAS[],3,FALSE),0)</f>
        <v>3848980803.1642323</v>
      </c>
      <c r="AH760" s="246">
        <f>IFERROR(VLOOKUP(F760,PROGRAMAS[],3,FALSE),0)</f>
        <v>3394901471.387517</v>
      </c>
      <c r="AI760" s="246">
        <f>IFERROR(VLOOKUP(G760,PROGRAMAS[],3,FALSE),0)</f>
        <v>125317226.95549992</v>
      </c>
      <c r="AJ760" s="246">
        <f>IFERROR(VLOOKUP(H760,PROGRAMAS[],3,FALSE),0)</f>
        <v>675517840.109828</v>
      </c>
      <c r="AK760" s="246">
        <f>IFERROR(VLOOKUP(I760,PROGRAMAS[],3,FALSE),0)</f>
        <v>2392571243.5584412</v>
      </c>
      <c r="AL760" s="246">
        <f>IFERROR(VLOOKUP(J760,PROGRAMAS[],3,FALSE),0)</f>
        <v>31865326.38096505</v>
      </c>
      <c r="AM760" s="246">
        <f>IFERROR(VLOOKUP(K760,PROGRAMAS[],3,FALSE),0)</f>
        <v>948595847.09039903</v>
      </c>
      <c r="AN760" s="246">
        <f>IFERROR(VLOOKUP(L760,PROGRAMAS[],3,FALSE),0)</f>
        <v>0</v>
      </c>
      <c r="AO760" s="246">
        <f>IFERROR(VLOOKUP(M760,PROGRAMAS[],3,FALSE),0)</f>
        <v>0</v>
      </c>
      <c r="AP760" s="246">
        <f>IFERROR(VLOOKUP(N760,PROGRAMAS[],3,FALSE),0)</f>
        <v>0</v>
      </c>
      <c r="AQ760" s="246">
        <f>IFERROR(VLOOKUP(O760,PROGRAMAS[],3,FALSE),0)</f>
        <v>0</v>
      </c>
      <c r="AR760" s="246">
        <f>IFERROR(VLOOKUP(P760,PROGRAMAS[],3,FALSE),0)</f>
        <v>0</v>
      </c>
      <c r="AS760" s="246">
        <f>IFERROR(VLOOKUP(Q760,PROGRAMAS[],3,FALSE),0)</f>
        <v>0</v>
      </c>
      <c r="AT760" s="246">
        <f>IFERROR(VLOOKUP(D760,VOL_REC[],2,FALSE),0)</f>
        <v>0</v>
      </c>
      <c r="AU760" s="246">
        <f>IFERROR(VLOOKUP(E760,VOL_REC[],2,FALSE),0)</f>
        <v>0</v>
      </c>
      <c r="AV760" s="246">
        <f>IFERROR(VLOOKUP(F760,VOL_REC[],2,FALSE),0)</f>
        <v>11089674.200000001</v>
      </c>
      <c r="AW760" s="246">
        <f>IFERROR(VLOOKUP(G760,VOL_REC[],2,FALSE),0)</f>
        <v>90439.55</v>
      </c>
      <c r="AX760" s="246">
        <f>IFERROR(VLOOKUP(H760,VOL_REC[],2,FALSE),0)</f>
        <v>240696.79238099116</v>
      </c>
      <c r="AY760" s="246">
        <f>IFERROR(VLOOKUP(I760,VOL_REC[],2,FALSE),0)</f>
        <v>663244.80000000016</v>
      </c>
      <c r="AZ760" s="246">
        <f>IFERROR(VLOOKUP(J760,VOL_REC[],2,FALSE),0)</f>
        <v>17074.045034105649</v>
      </c>
      <c r="BA760" s="246">
        <f>IFERROR(VLOOKUP(K760,VOL_REC[],2,FALSE),0)</f>
        <v>740113.98115702497</v>
      </c>
      <c r="BB760" s="246">
        <f>IFERROR(VLOOKUP(L760,VOL_REC[],2,FALSE),0)</f>
        <v>0</v>
      </c>
      <c r="BC760" s="246">
        <f>IFERROR(VLOOKUP(M760,VOL_REC[],2,FALSE),0)</f>
        <v>0</v>
      </c>
      <c r="BD760" s="246">
        <f>IFERROR(VLOOKUP(N760,VOL_REC[],2,FALSE),0)</f>
        <v>0</v>
      </c>
      <c r="BE760" s="246">
        <f>IFERROR(VLOOKUP(O760,VOL_REC[],2,FALSE),0)</f>
        <v>0</v>
      </c>
      <c r="BF760" s="246">
        <f>IFERROR(VLOOKUP(P760,VOL_REC[],2,FALSE),0)</f>
        <v>0</v>
      </c>
      <c r="BG760" s="246">
        <f>IFERROR(VLOOKUP(Q760,VOL_REC[],2,FALSE),0)</f>
        <v>0</v>
      </c>
      <c r="BH760" s="1710">
        <f t="shared" si="44"/>
        <v>10355902885.973515</v>
      </c>
      <c r="BI760" s="1710">
        <f t="shared" si="45"/>
        <v>12259638387.957682</v>
      </c>
      <c r="BJ760" s="1711">
        <f t="shared" si="46"/>
        <v>12841243.368572123</v>
      </c>
      <c r="BK760" s="1711">
        <f t="shared" si="47"/>
        <v>0.84471519944224815</v>
      </c>
    </row>
    <row r="761" spans="3:67" x14ac:dyDescent="0.25">
      <c r="C761" s="246" t="s">
        <v>2111</v>
      </c>
      <c r="D761" s="246">
        <v>1</v>
      </c>
      <c r="E761" s="246">
        <v>2</v>
      </c>
      <c r="F761" s="246">
        <v>3</v>
      </c>
      <c r="G761" s="246">
        <v>4</v>
      </c>
      <c r="H761" s="246">
        <v>12</v>
      </c>
      <c r="I761" s="246">
        <v>13</v>
      </c>
      <c r="J761" s="246">
        <v>15</v>
      </c>
      <c r="K761" s="246">
        <v>16</v>
      </c>
      <c r="L761" s="246"/>
      <c r="M761" s="246"/>
      <c r="N761" s="246"/>
      <c r="O761" s="246"/>
      <c r="P761" s="246"/>
      <c r="Q761" s="246"/>
      <c r="R761" s="246">
        <f>IFERROR(VLOOKUP(D761,PROGRAMAS[],2,FALSE),0)</f>
        <v>97037803.679377079</v>
      </c>
      <c r="S761" s="246">
        <f>IFERROR(VLOOKUP(E761,PROGRAMAS[],2,FALSE),0)</f>
        <v>640501509.6821388</v>
      </c>
      <c r="T761" s="246">
        <f>IFERROR(VLOOKUP(F761,PROGRAMAS[],2,FALSE),0)</f>
        <v>3062327798.1525245</v>
      </c>
      <c r="U761" s="246">
        <f>IFERROR(VLOOKUP(G761,PROGRAMAS[],2,FALSE),0)</f>
        <v>67697118.033011258</v>
      </c>
      <c r="V761" s="246">
        <f>IFERROR(VLOOKUP(H761,PROGRAMAS[],2,FALSE),0)</f>
        <v>764796700.79905891</v>
      </c>
      <c r="W761" s="246">
        <f>IFERROR(VLOOKUP(I761,PROGRAMAS[],2,FALSE),0)</f>
        <v>3776538594.4604583</v>
      </c>
      <c r="X761" s="246">
        <f>IFERROR(VLOOKUP(J761,PROGRAMAS[],2,FALSE),0)</f>
        <v>122159672.96346797</v>
      </c>
      <c r="Y761" s="246">
        <f>IFERROR(VLOOKUP(K761,PROGRAMAS[],2,FALSE),0)</f>
        <v>7068496961.0436354</v>
      </c>
      <c r="Z761" s="246">
        <f>IFERROR(VLOOKUP(L761,PROGRAMAS[],2,FALSE),0)</f>
        <v>0</v>
      </c>
      <c r="AA761" s="246">
        <f>IFERROR(VLOOKUP(M761,PROGRAMAS[],2,FALSE),0)</f>
        <v>0</v>
      </c>
      <c r="AB761" s="246">
        <f>IFERROR(VLOOKUP(N761,PROGRAMAS[],2,FALSE),0)</f>
        <v>0</v>
      </c>
      <c r="AC761" s="246">
        <f>IFERROR(VLOOKUP(O761,PROGRAMAS[],2,FALSE),0)</f>
        <v>0</v>
      </c>
      <c r="AD761" s="246">
        <f>IFERROR(VLOOKUP(P761,PROGRAMAS[],2,FALSE),0)</f>
        <v>0</v>
      </c>
      <c r="AE761" s="246">
        <f>IFERROR(VLOOKUP(Q761,PROGRAMAS[],2,FALSE),0)</f>
        <v>0</v>
      </c>
      <c r="AF761" s="246">
        <f>IFERROR(VLOOKUP(D761,PROGRAMAS[],3,FALSE),0)</f>
        <v>841888629.31080008</v>
      </c>
      <c r="AG761" s="246">
        <f>IFERROR(VLOOKUP(E761,PROGRAMAS[],3,FALSE),0)</f>
        <v>3848980803.1642323</v>
      </c>
      <c r="AH761" s="246">
        <f>IFERROR(VLOOKUP(F761,PROGRAMAS[],3,FALSE),0)</f>
        <v>3394901471.387517</v>
      </c>
      <c r="AI761" s="246">
        <f>IFERROR(VLOOKUP(G761,PROGRAMAS[],3,FALSE),0)</f>
        <v>125317226.95549992</v>
      </c>
      <c r="AJ761" s="246">
        <f>IFERROR(VLOOKUP(H761,PROGRAMAS[],3,FALSE),0)</f>
        <v>675517840.109828</v>
      </c>
      <c r="AK761" s="246">
        <f>IFERROR(VLOOKUP(I761,PROGRAMAS[],3,FALSE),0)</f>
        <v>2392571243.5584412</v>
      </c>
      <c r="AL761" s="246">
        <f>IFERROR(VLOOKUP(J761,PROGRAMAS[],3,FALSE),0)</f>
        <v>118617452.52510804</v>
      </c>
      <c r="AM761" s="246">
        <f>IFERROR(VLOOKUP(K761,PROGRAMAS[],3,FALSE),0)</f>
        <v>2406564599.0319901</v>
      </c>
      <c r="AN761" s="246">
        <f>IFERROR(VLOOKUP(L761,PROGRAMAS[],3,FALSE),0)</f>
        <v>0</v>
      </c>
      <c r="AO761" s="246">
        <f>IFERROR(VLOOKUP(M761,PROGRAMAS[],3,FALSE),0)</f>
        <v>0</v>
      </c>
      <c r="AP761" s="246">
        <f>IFERROR(VLOOKUP(N761,PROGRAMAS[],3,FALSE),0)</f>
        <v>0</v>
      </c>
      <c r="AQ761" s="246">
        <f>IFERROR(VLOOKUP(O761,PROGRAMAS[],3,FALSE),0)</f>
        <v>0</v>
      </c>
      <c r="AR761" s="246">
        <f>IFERROR(VLOOKUP(P761,PROGRAMAS[],3,FALSE),0)</f>
        <v>0</v>
      </c>
      <c r="AS761" s="246">
        <f>IFERROR(VLOOKUP(Q761,PROGRAMAS[],3,FALSE),0)</f>
        <v>0</v>
      </c>
      <c r="AT761" s="246">
        <f>IFERROR(VLOOKUP(D761,VOL_REC[],2,FALSE),0)</f>
        <v>0</v>
      </c>
      <c r="AU761" s="246">
        <f>IFERROR(VLOOKUP(E761,VOL_REC[],2,FALSE),0)</f>
        <v>0</v>
      </c>
      <c r="AV761" s="246">
        <f>IFERROR(VLOOKUP(F761,VOL_REC[],2,FALSE),0)</f>
        <v>11089674.200000001</v>
      </c>
      <c r="AW761" s="246">
        <f>IFERROR(VLOOKUP(G761,VOL_REC[],2,FALSE),0)</f>
        <v>90439.55</v>
      </c>
      <c r="AX761" s="246">
        <f>IFERROR(VLOOKUP(H761,VOL_REC[],2,FALSE),0)</f>
        <v>240696.79238099116</v>
      </c>
      <c r="AY761" s="246">
        <f>IFERROR(VLOOKUP(I761,VOL_REC[],2,FALSE),0)</f>
        <v>663244.80000000016</v>
      </c>
      <c r="AZ761" s="246">
        <f>IFERROR(VLOOKUP(J761,VOL_REC[],2,FALSE),0)</f>
        <v>105072</v>
      </c>
      <c r="BA761" s="246">
        <f>IFERROR(VLOOKUP(K761,VOL_REC[],2,FALSE),0)</f>
        <v>1072354.9981737854</v>
      </c>
      <c r="BB761" s="246">
        <f>IFERROR(VLOOKUP(L761,VOL_REC[],2,FALSE),0)</f>
        <v>0</v>
      </c>
      <c r="BC761" s="246">
        <f>IFERROR(VLOOKUP(M761,VOL_REC[],2,FALSE),0)</f>
        <v>0</v>
      </c>
      <c r="BD761" s="246">
        <f>IFERROR(VLOOKUP(N761,VOL_REC[],2,FALSE),0)</f>
        <v>0</v>
      </c>
      <c r="BE761" s="246">
        <f>IFERROR(VLOOKUP(O761,VOL_REC[],2,FALSE),0)</f>
        <v>0</v>
      </c>
      <c r="BF761" s="246">
        <f>IFERROR(VLOOKUP(P761,VOL_REC[],2,FALSE),0)</f>
        <v>0</v>
      </c>
      <c r="BG761" s="246">
        <f>IFERROR(VLOOKUP(Q761,VOL_REC[],2,FALSE),0)</f>
        <v>0</v>
      </c>
      <c r="BH761" s="1710">
        <f t="shared" si="44"/>
        <v>15599556158.813673</v>
      </c>
      <c r="BI761" s="1710">
        <f t="shared" si="45"/>
        <v>13804359266.043417</v>
      </c>
      <c r="BJ761" s="1711">
        <f t="shared" si="46"/>
        <v>13261482.340554778</v>
      </c>
      <c r="BK761" s="1711">
        <f t="shared" si="47"/>
        <v>1.1300456513897144</v>
      </c>
      <c r="BL761">
        <f>BJ761</f>
        <v>13261482.340554778</v>
      </c>
      <c r="BO761">
        <f>BL761</f>
        <v>13261482.340554778</v>
      </c>
    </row>
    <row r="762" spans="3:67" x14ac:dyDescent="0.25">
      <c r="C762" s="246" t="s">
        <v>2112</v>
      </c>
      <c r="D762" s="246">
        <v>1</v>
      </c>
      <c r="E762" s="246">
        <v>2</v>
      </c>
      <c r="F762" s="246">
        <v>3</v>
      </c>
      <c r="G762" s="246">
        <v>4</v>
      </c>
      <c r="H762" s="246">
        <v>12</v>
      </c>
      <c r="I762" s="246">
        <v>13</v>
      </c>
      <c r="J762" s="246">
        <v>15</v>
      </c>
      <c r="K762" s="246">
        <v>17</v>
      </c>
      <c r="L762" s="246"/>
      <c r="M762" s="246"/>
      <c r="N762" s="246"/>
      <c r="O762" s="246"/>
      <c r="P762" s="246"/>
      <c r="Q762" s="246"/>
      <c r="R762" s="246">
        <f>IFERROR(VLOOKUP(D762,PROGRAMAS[],2,FALSE),0)</f>
        <v>97037803.679377079</v>
      </c>
      <c r="S762" s="246">
        <f>IFERROR(VLOOKUP(E762,PROGRAMAS[],2,FALSE),0)</f>
        <v>640501509.6821388</v>
      </c>
      <c r="T762" s="246">
        <f>IFERROR(VLOOKUP(F762,PROGRAMAS[],2,FALSE),0)</f>
        <v>3062327798.1525245</v>
      </c>
      <c r="U762" s="246">
        <f>IFERROR(VLOOKUP(G762,PROGRAMAS[],2,FALSE),0)</f>
        <v>67697118.033011258</v>
      </c>
      <c r="V762" s="246">
        <f>IFERROR(VLOOKUP(H762,PROGRAMAS[],2,FALSE),0)</f>
        <v>764796700.79905891</v>
      </c>
      <c r="W762" s="246">
        <f>IFERROR(VLOOKUP(I762,PROGRAMAS[],2,FALSE),0)</f>
        <v>3776538594.4604583</v>
      </c>
      <c r="X762" s="246">
        <f>IFERROR(VLOOKUP(J762,PROGRAMAS[],2,FALSE),0)</f>
        <v>122159672.96346797</v>
      </c>
      <c r="Y762" s="246">
        <f>IFERROR(VLOOKUP(K762,PROGRAMAS[],2,FALSE),0)</f>
        <v>1892779498.5211046</v>
      </c>
      <c r="Z762" s="246">
        <f>IFERROR(VLOOKUP(L762,PROGRAMAS[],2,FALSE),0)</f>
        <v>0</v>
      </c>
      <c r="AA762" s="246">
        <f>IFERROR(VLOOKUP(M762,PROGRAMAS[],2,FALSE),0)</f>
        <v>0</v>
      </c>
      <c r="AB762" s="246">
        <f>IFERROR(VLOOKUP(N762,PROGRAMAS[],2,FALSE),0)</f>
        <v>0</v>
      </c>
      <c r="AC762" s="246">
        <f>IFERROR(VLOOKUP(O762,PROGRAMAS[],2,FALSE),0)</f>
        <v>0</v>
      </c>
      <c r="AD762" s="246">
        <f>IFERROR(VLOOKUP(P762,PROGRAMAS[],2,FALSE),0)</f>
        <v>0</v>
      </c>
      <c r="AE762" s="246">
        <f>IFERROR(VLOOKUP(Q762,PROGRAMAS[],2,FALSE),0)</f>
        <v>0</v>
      </c>
      <c r="AF762" s="246">
        <f>IFERROR(VLOOKUP(D762,PROGRAMAS[],3,FALSE),0)</f>
        <v>841888629.31080008</v>
      </c>
      <c r="AG762" s="246">
        <f>IFERROR(VLOOKUP(E762,PROGRAMAS[],3,FALSE),0)</f>
        <v>3848980803.1642323</v>
      </c>
      <c r="AH762" s="246">
        <f>IFERROR(VLOOKUP(F762,PROGRAMAS[],3,FALSE),0)</f>
        <v>3394901471.387517</v>
      </c>
      <c r="AI762" s="246">
        <f>IFERROR(VLOOKUP(G762,PROGRAMAS[],3,FALSE),0)</f>
        <v>125317226.95549992</v>
      </c>
      <c r="AJ762" s="246">
        <f>IFERROR(VLOOKUP(H762,PROGRAMAS[],3,FALSE),0)</f>
        <v>675517840.109828</v>
      </c>
      <c r="AK762" s="246">
        <f>IFERROR(VLOOKUP(I762,PROGRAMAS[],3,FALSE),0)</f>
        <v>2392571243.5584412</v>
      </c>
      <c r="AL762" s="246">
        <f>IFERROR(VLOOKUP(J762,PROGRAMAS[],3,FALSE),0)</f>
        <v>118617452.52510804</v>
      </c>
      <c r="AM762" s="246">
        <f>IFERROR(VLOOKUP(K762,PROGRAMAS[],3,FALSE),0)</f>
        <v>948595847.09039903</v>
      </c>
      <c r="AN762" s="246">
        <f>IFERROR(VLOOKUP(L762,PROGRAMAS[],3,FALSE),0)</f>
        <v>0</v>
      </c>
      <c r="AO762" s="246">
        <f>IFERROR(VLOOKUP(M762,PROGRAMAS[],3,FALSE),0)</f>
        <v>0</v>
      </c>
      <c r="AP762" s="246">
        <f>IFERROR(VLOOKUP(N762,PROGRAMAS[],3,FALSE),0)</f>
        <v>0</v>
      </c>
      <c r="AQ762" s="246">
        <f>IFERROR(VLOOKUP(O762,PROGRAMAS[],3,FALSE),0)</f>
        <v>0</v>
      </c>
      <c r="AR762" s="246">
        <f>IFERROR(VLOOKUP(P762,PROGRAMAS[],3,FALSE),0)</f>
        <v>0</v>
      </c>
      <c r="AS762" s="246">
        <f>IFERROR(VLOOKUP(Q762,PROGRAMAS[],3,FALSE),0)</f>
        <v>0</v>
      </c>
      <c r="AT762" s="246">
        <f>IFERROR(VLOOKUP(D762,VOL_REC[],2,FALSE),0)</f>
        <v>0</v>
      </c>
      <c r="AU762" s="246">
        <f>IFERROR(VLOOKUP(E762,VOL_REC[],2,FALSE),0)</f>
        <v>0</v>
      </c>
      <c r="AV762" s="246">
        <f>IFERROR(VLOOKUP(F762,VOL_REC[],2,FALSE),0)</f>
        <v>11089674.200000001</v>
      </c>
      <c r="AW762" s="246">
        <f>IFERROR(VLOOKUP(G762,VOL_REC[],2,FALSE),0)</f>
        <v>90439.55</v>
      </c>
      <c r="AX762" s="246">
        <f>IFERROR(VLOOKUP(H762,VOL_REC[],2,FALSE),0)</f>
        <v>240696.79238099116</v>
      </c>
      <c r="AY762" s="246">
        <f>IFERROR(VLOOKUP(I762,VOL_REC[],2,FALSE),0)</f>
        <v>663244.80000000016</v>
      </c>
      <c r="AZ762" s="246">
        <f>IFERROR(VLOOKUP(J762,VOL_REC[],2,FALSE),0)</f>
        <v>105072</v>
      </c>
      <c r="BA762" s="246">
        <f>IFERROR(VLOOKUP(K762,VOL_REC[],2,FALSE),0)</f>
        <v>740113.98115702497</v>
      </c>
      <c r="BB762" s="246">
        <f>IFERROR(VLOOKUP(L762,VOL_REC[],2,FALSE),0)</f>
        <v>0</v>
      </c>
      <c r="BC762" s="246">
        <f>IFERROR(VLOOKUP(M762,VOL_REC[],2,FALSE),0)</f>
        <v>0</v>
      </c>
      <c r="BD762" s="246">
        <f>IFERROR(VLOOKUP(N762,VOL_REC[],2,FALSE),0)</f>
        <v>0</v>
      </c>
      <c r="BE762" s="246">
        <f>IFERROR(VLOOKUP(O762,VOL_REC[],2,FALSE),0)</f>
        <v>0</v>
      </c>
      <c r="BF762" s="246">
        <f>IFERROR(VLOOKUP(P762,VOL_REC[],2,FALSE),0)</f>
        <v>0</v>
      </c>
      <c r="BG762" s="246">
        <f>IFERROR(VLOOKUP(Q762,VOL_REC[],2,FALSE),0)</f>
        <v>0</v>
      </c>
      <c r="BH762" s="1710">
        <f t="shared" si="44"/>
        <v>10423838696.291142</v>
      </c>
      <c r="BI762" s="1710">
        <f t="shared" si="45"/>
        <v>12346390514.101826</v>
      </c>
      <c r="BJ762" s="1711">
        <f t="shared" si="46"/>
        <v>12929241.323538018</v>
      </c>
      <c r="BK762" s="1711">
        <f t="shared" si="47"/>
        <v>0.84428227702543668</v>
      </c>
    </row>
    <row r="763" spans="3:67" x14ac:dyDescent="0.25">
      <c r="C763" s="246" t="s">
        <v>2113</v>
      </c>
      <c r="D763" s="246">
        <v>1</v>
      </c>
      <c r="E763" s="246">
        <v>2</v>
      </c>
      <c r="F763" s="246">
        <v>3</v>
      </c>
      <c r="G763" s="246">
        <v>4</v>
      </c>
      <c r="H763" s="246">
        <v>12</v>
      </c>
      <c r="I763" s="246">
        <v>13</v>
      </c>
      <c r="J763" s="246">
        <v>16</v>
      </c>
      <c r="K763" s="246">
        <v>17</v>
      </c>
      <c r="L763" s="246"/>
      <c r="M763" s="246"/>
      <c r="N763" s="246"/>
      <c r="O763" s="246"/>
      <c r="P763" s="246"/>
      <c r="Q763" s="246"/>
      <c r="R763" s="246">
        <f>IFERROR(VLOOKUP(D763,PROGRAMAS[],2,FALSE),0)</f>
        <v>97037803.679377079</v>
      </c>
      <c r="S763" s="246">
        <f>IFERROR(VLOOKUP(E763,PROGRAMAS[],2,FALSE),0)</f>
        <v>640501509.6821388</v>
      </c>
      <c r="T763" s="246">
        <f>IFERROR(VLOOKUP(F763,PROGRAMAS[],2,FALSE),0)</f>
        <v>3062327798.1525245</v>
      </c>
      <c r="U763" s="246">
        <f>IFERROR(VLOOKUP(G763,PROGRAMAS[],2,FALSE),0)</f>
        <v>67697118.033011258</v>
      </c>
      <c r="V763" s="246">
        <f>IFERROR(VLOOKUP(H763,PROGRAMAS[],2,FALSE),0)</f>
        <v>764796700.79905891</v>
      </c>
      <c r="W763" s="246">
        <f>IFERROR(VLOOKUP(I763,PROGRAMAS[],2,FALSE),0)</f>
        <v>3776538594.4604583</v>
      </c>
      <c r="X763" s="246">
        <f>IFERROR(VLOOKUP(J763,PROGRAMAS[],2,FALSE),0)</f>
        <v>7068496961.0436354</v>
      </c>
      <c r="Y763" s="246">
        <f>IFERROR(VLOOKUP(K763,PROGRAMAS[],2,FALSE),0)</f>
        <v>1892779498.5211046</v>
      </c>
      <c r="Z763" s="246">
        <f>IFERROR(VLOOKUP(L763,PROGRAMAS[],2,FALSE),0)</f>
        <v>0</v>
      </c>
      <c r="AA763" s="246">
        <f>IFERROR(VLOOKUP(M763,PROGRAMAS[],2,FALSE),0)</f>
        <v>0</v>
      </c>
      <c r="AB763" s="246">
        <f>IFERROR(VLOOKUP(N763,PROGRAMAS[],2,FALSE),0)</f>
        <v>0</v>
      </c>
      <c r="AC763" s="246">
        <f>IFERROR(VLOOKUP(O763,PROGRAMAS[],2,FALSE),0)</f>
        <v>0</v>
      </c>
      <c r="AD763" s="246">
        <f>IFERROR(VLOOKUP(P763,PROGRAMAS[],2,FALSE),0)</f>
        <v>0</v>
      </c>
      <c r="AE763" s="246">
        <f>IFERROR(VLOOKUP(Q763,PROGRAMAS[],2,FALSE),0)</f>
        <v>0</v>
      </c>
      <c r="AF763" s="246">
        <f>IFERROR(VLOOKUP(D763,PROGRAMAS[],3,FALSE),0)</f>
        <v>841888629.31080008</v>
      </c>
      <c r="AG763" s="246">
        <f>IFERROR(VLOOKUP(E763,PROGRAMAS[],3,FALSE),0)</f>
        <v>3848980803.1642323</v>
      </c>
      <c r="AH763" s="246">
        <f>IFERROR(VLOOKUP(F763,PROGRAMAS[],3,FALSE),0)</f>
        <v>3394901471.387517</v>
      </c>
      <c r="AI763" s="246">
        <f>IFERROR(VLOOKUP(G763,PROGRAMAS[],3,FALSE),0)</f>
        <v>125317226.95549992</v>
      </c>
      <c r="AJ763" s="246">
        <f>IFERROR(VLOOKUP(H763,PROGRAMAS[],3,FALSE),0)</f>
        <v>675517840.109828</v>
      </c>
      <c r="AK763" s="246">
        <f>IFERROR(VLOOKUP(I763,PROGRAMAS[],3,FALSE),0)</f>
        <v>2392571243.5584412</v>
      </c>
      <c r="AL763" s="246">
        <f>IFERROR(VLOOKUP(J763,PROGRAMAS[],3,FALSE),0)</f>
        <v>2406564599.0319901</v>
      </c>
      <c r="AM763" s="246">
        <f>IFERROR(VLOOKUP(K763,PROGRAMAS[],3,FALSE),0)</f>
        <v>948595847.09039903</v>
      </c>
      <c r="AN763" s="246">
        <f>IFERROR(VLOOKUP(L763,PROGRAMAS[],3,FALSE),0)</f>
        <v>0</v>
      </c>
      <c r="AO763" s="246">
        <f>IFERROR(VLOOKUP(M763,PROGRAMAS[],3,FALSE),0)</f>
        <v>0</v>
      </c>
      <c r="AP763" s="246">
        <f>IFERROR(VLOOKUP(N763,PROGRAMAS[],3,FALSE),0)</f>
        <v>0</v>
      </c>
      <c r="AQ763" s="246">
        <f>IFERROR(VLOOKUP(O763,PROGRAMAS[],3,FALSE),0)</f>
        <v>0</v>
      </c>
      <c r="AR763" s="246">
        <f>IFERROR(VLOOKUP(P763,PROGRAMAS[],3,FALSE),0)</f>
        <v>0</v>
      </c>
      <c r="AS763" s="246">
        <f>IFERROR(VLOOKUP(Q763,PROGRAMAS[],3,FALSE),0)</f>
        <v>0</v>
      </c>
      <c r="AT763" s="246">
        <f>IFERROR(VLOOKUP(D763,VOL_REC[],2,FALSE),0)</f>
        <v>0</v>
      </c>
      <c r="AU763" s="246">
        <f>IFERROR(VLOOKUP(E763,VOL_REC[],2,FALSE),0)</f>
        <v>0</v>
      </c>
      <c r="AV763" s="246">
        <f>IFERROR(VLOOKUP(F763,VOL_REC[],2,FALSE),0)</f>
        <v>11089674.200000001</v>
      </c>
      <c r="AW763" s="246">
        <f>IFERROR(VLOOKUP(G763,VOL_REC[],2,FALSE),0)</f>
        <v>90439.55</v>
      </c>
      <c r="AX763" s="246">
        <f>IFERROR(VLOOKUP(H763,VOL_REC[],2,FALSE),0)</f>
        <v>240696.79238099116</v>
      </c>
      <c r="AY763" s="246">
        <f>IFERROR(VLOOKUP(I763,VOL_REC[],2,FALSE),0)</f>
        <v>663244.80000000016</v>
      </c>
      <c r="AZ763" s="246">
        <f>IFERROR(VLOOKUP(J763,VOL_REC[],2,FALSE),0)</f>
        <v>1072354.9981737854</v>
      </c>
      <c r="BA763" s="246">
        <f>IFERROR(VLOOKUP(K763,VOL_REC[],2,FALSE),0)</f>
        <v>740113.98115702497</v>
      </c>
      <c r="BB763" s="246">
        <f>IFERROR(VLOOKUP(L763,VOL_REC[],2,FALSE),0)</f>
        <v>0</v>
      </c>
      <c r="BC763" s="246">
        <f>IFERROR(VLOOKUP(M763,VOL_REC[],2,FALSE),0)</f>
        <v>0</v>
      </c>
      <c r="BD763" s="246">
        <f>IFERROR(VLOOKUP(N763,VOL_REC[],2,FALSE),0)</f>
        <v>0</v>
      </c>
      <c r="BE763" s="246">
        <f>IFERROR(VLOOKUP(O763,VOL_REC[],2,FALSE),0)</f>
        <v>0</v>
      </c>
      <c r="BF763" s="246">
        <f>IFERROR(VLOOKUP(P763,VOL_REC[],2,FALSE),0)</f>
        <v>0</v>
      </c>
      <c r="BG763" s="246">
        <f>IFERROR(VLOOKUP(Q763,VOL_REC[],2,FALSE),0)</f>
        <v>0</v>
      </c>
      <c r="BH763" s="1710">
        <f t="shared" si="44"/>
        <v>17370175984.371307</v>
      </c>
      <c r="BI763" s="1710">
        <f t="shared" si="45"/>
        <v>14634337660.608707</v>
      </c>
      <c r="BJ763" s="1711">
        <f t="shared" si="46"/>
        <v>13896524.321711803</v>
      </c>
      <c r="BK763" s="1711">
        <f t="shared" si="47"/>
        <v>1.1869465080832913</v>
      </c>
      <c r="BL763">
        <f>BJ763</f>
        <v>13896524.321711803</v>
      </c>
      <c r="BO763">
        <f>BL763</f>
        <v>13896524.321711803</v>
      </c>
    </row>
    <row r="764" spans="3:67" x14ac:dyDescent="0.25">
      <c r="C764" s="246" t="s">
        <v>2114</v>
      </c>
      <c r="D764" s="246">
        <v>1</v>
      </c>
      <c r="E764" s="246">
        <v>2</v>
      </c>
      <c r="F764" s="246">
        <v>3</v>
      </c>
      <c r="G764" s="246">
        <v>4</v>
      </c>
      <c r="H764" s="246">
        <v>12</v>
      </c>
      <c r="I764" s="246">
        <v>14</v>
      </c>
      <c r="J764" s="246">
        <v>15</v>
      </c>
      <c r="K764" s="246">
        <v>16</v>
      </c>
      <c r="L764" s="246"/>
      <c r="M764" s="246"/>
      <c r="N764" s="246"/>
      <c r="O764" s="246"/>
      <c r="P764" s="246"/>
      <c r="Q764" s="246"/>
      <c r="R764" s="246">
        <f>IFERROR(VLOOKUP(D764,PROGRAMAS[],2,FALSE),0)</f>
        <v>97037803.679377079</v>
      </c>
      <c r="S764" s="246">
        <f>IFERROR(VLOOKUP(E764,PROGRAMAS[],2,FALSE),0)</f>
        <v>640501509.6821388</v>
      </c>
      <c r="T764" s="246">
        <f>IFERROR(VLOOKUP(F764,PROGRAMAS[],2,FALSE),0)</f>
        <v>3062327798.1525245</v>
      </c>
      <c r="U764" s="246">
        <f>IFERROR(VLOOKUP(G764,PROGRAMAS[],2,FALSE),0)</f>
        <v>67697118.033011258</v>
      </c>
      <c r="V764" s="246">
        <f>IFERROR(VLOOKUP(H764,PROGRAMAS[],2,FALSE),0)</f>
        <v>764796700.79905891</v>
      </c>
      <c r="W764" s="246">
        <f>IFERROR(VLOOKUP(I764,PROGRAMAS[],2,FALSE),0)</f>
        <v>54223862.645839565</v>
      </c>
      <c r="X764" s="246">
        <f>IFERROR(VLOOKUP(J764,PROGRAMAS[],2,FALSE),0)</f>
        <v>122159672.96346797</v>
      </c>
      <c r="Y764" s="246">
        <f>IFERROR(VLOOKUP(K764,PROGRAMAS[],2,FALSE),0)</f>
        <v>7068496961.0436354</v>
      </c>
      <c r="Z764" s="246">
        <f>IFERROR(VLOOKUP(L764,PROGRAMAS[],2,FALSE),0)</f>
        <v>0</v>
      </c>
      <c r="AA764" s="246">
        <f>IFERROR(VLOOKUP(M764,PROGRAMAS[],2,FALSE),0)</f>
        <v>0</v>
      </c>
      <c r="AB764" s="246">
        <f>IFERROR(VLOOKUP(N764,PROGRAMAS[],2,FALSE),0)</f>
        <v>0</v>
      </c>
      <c r="AC764" s="246">
        <f>IFERROR(VLOOKUP(O764,PROGRAMAS[],2,FALSE),0)</f>
        <v>0</v>
      </c>
      <c r="AD764" s="246">
        <f>IFERROR(VLOOKUP(P764,PROGRAMAS[],2,FALSE),0)</f>
        <v>0</v>
      </c>
      <c r="AE764" s="246">
        <f>IFERROR(VLOOKUP(Q764,PROGRAMAS[],2,FALSE),0)</f>
        <v>0</v>
      </c>
      <c r="AF764" s="246">
        <f>IFERROR(VLOOKUP(D764,PROGRAMAS[],3,FALSE),0)</f>
        <v>841888629.31080008</v>
      </c>
      <c r="AG764" s="246">
        <f>IFERROR(VLOOKUP(E764,PROGRAMAS[],3,FALSE),0)</f>
        <v>3848980803.1642323</v>
      </c>
      <c r="AH764" s="246">
        <f>IFERROR(VLOOKUP(F764,PROGRAMAS[],3,FALSE),0)</f>
        <v>3394901471.387517</v>
      </c>
      <c r="AI764" s="246">
        <f>IFERROR(VLOOKUP(G764,PROGRAMAS[],3,FALSE),0)</f>
        <v>125317226.95549992</v>
      </c>
      <c r="AJ764" s="246">
        <f>IFERROR(VLOOKUP(H764,PROGRAMAS[],3,FALSE),0)</f>
        <v>675517840.109828</v>
      </c>
      <c r="AK764" s="246">
        <f>IFERROR(VLOOKUP(I764,PROGRAMAS[],3,FALSE),0)</f>
        <v>31865326.38096505</v>
      </c>
      <c r="AL764" s="246">
        <f>IFERROR(VLOOKUP(J764,PROGRAMAS[],3,FALSE),0)</f>
        <v>118617452.52510804</v>
      </c>
      <c r="AM764" s="246">
        <f>IFERROR(VLOOKUP(K764,PROGRAMAS[],3,FALSE),0)</f>
        <v>2406564599.0319901</v>
      </c>
      <c r="AN764" s="246">
        <f>IFERROR(VLOOKUP(L764,PROGRAMAS[],3,FALSE),0)</f>
        <v>0</v>
      </c>
      <c r="AO764" s="246">
        <f>IFERROR(VLOOKUP(M764,PROGRAMAS[],3,FALSE),0)</f>
        <v>0</v>
      </c>
      <c r="AP764" s="246">
        <f>IFERROR(VLOOKUP(N764,PROGRAMAS[],3,FALSE),0)</f>
        <v>0</v>
      </c>
      <c r="AQ764" s="246">
        <f>IFERROR(VLOOKUP(O764,PROGRAMAS[],3,FALSE),0)</f>
        <v>0</v>
      </c>
      <c r="AR764" s="246">
        <f>IFERROR(VLOOKUP(P764,PROGRAMAS[],3,FALSE),0)</f>
        <v>0</v>
      </c>
      <c r="AS764" s="246">
        <f>IFERROR(VLOOKUP(Q764,PROGRAMAS[],3,FALSE),0)</f>
        <v>0</v>
      </c>
      <c r="AT764" s="246">
        <f>IFERROR(VLOOKUP(D764,VOL_REC[],2,FALSE),0)</f>
        <v>0</v>
      </c>
      <c r="AU764" s="246">
        <f>IFERROR(VLOOKUP(E764,VOL_REC[],2,FALSE),0)</f>
        <v>0</v>
      </c>
      <c r="AV764" s="246">
        <f>IFERROR(VLOOKUP(F764,VOL_REC[],2,FALSE),0)</f>
        <v>11089674.200000001</v>
      </c>
      <c r="AW764" s="246">
        <f>IFERROR(VLOOKUP(G764,VOL_REC[],2,FALSE),0)</f>
        <v>90439.55</v>
      </c>
      <c r="AX764" s="246">
        <f>IFERROR(VLOOKUP(H764,VOL_REC[],2,FALSE),0)</f>
        <v>240696.79238099116</v>
      </c>
      <c r="AY764" s="246">
        <f>IFERROR(VLOOKUP(I764,VOL_REC[],2,FALSE),0)</f>
        <v>17074.045034105649</v>
      </c>
      <c r="AZ764" s="246">
        <f>IFERROR(VLOOKUP(J764,VOL_REC[],2,FALSE),0)</f>
        <v>105072</v>
      </c>
      <c r="BA764" s="246">
        <f>IFERROR(VLOOKUP(K764,VOL_REC[],2,FALSE),0)</f>
        <v>1072354.9981737854</v>
      </c>
      <c r="BB764" s="246">
        <f>IFERROR(VLOOKUP(L764,VOL_REC[],2,FALSE),0)</f>
        <v>0</v>
      </c>
      <c r="BC764" s="246">
        <f>IFERROR(VLOOKUP(M764,VOL_REC[],2,FALSE),0)</f>
        <v>0</v>
      </c>
      <c r="BD764" s="246">
        <f>IFERROR(VLOOKUP(N764,VOL_REC[],2,FALSE),0)</f>
        <v>0</v>
      </c>
      <c r="BE764" s="246">
        <f>IFERROR(VLOOKUP(O764,VOL_REC[],2,FALSE),0)</f>
        <v>0</v>
      </c>
      <c r="BF764" s="246">
        <f>IFERROR(VLOOKUP(P764,VOL_REC[],2,FALSE),0)</f>
        <v>0</v>
      </c>
      <c r="BG764" s="246">
        <f>IFERROR(VLOOKUP(Q764,VOL_REC[],2,FALSE),0)</f>
        <v>0</v>
      </c>
      <c r="BH764" s="1710">
        <f t="shared" si="44"/>
        <v>11877241426.999054</v>
      </c>
      <c r="BI764" s="1710">
        <f t="shared" si="45"/>
        <v>11443653348.86594</v>
      </c>
      <c r="BJ764" s="1711">
        <f t="shared" si="46"/>
        <v>12615311.585588884</v>
      </c>
      <c r="BK764" s="1711">
        <f t="shared" si="47"/>
        <v>1.0378889559928939</v>
      </c>
      <c r="BL764">
        <f>BJ764</f>
        <v>12615311.585588884</v>
      </c>
      <c r="BO764">
        <f>BL764</f>
        <v>12615311.585588884</v>
      </c>
    </row>
    <row r="765" spans="3:67" x14ac:dyDescent="0.25">
      <c r="C765" s="246" t="s">
        <v>2115</v>
      </c>
      <c r="D765" s="246">
        <v>1</v>
      </c>
      <c r="E765" s="246">
        <v>2</v>
      </c>
      <c r="F765" s="246">
        <v>3</v>
      </c>
      <c r="G765" s="246">
        <v>4</v>
      </c>
      <c r="H765" s="246">
        <v>12</v>
      </c>
      <c r="I765" s="246">
        <v>14</v>
      </c>
      <c r="J765" s="246">
        <v>15</v>
      </c>
      <c r="K765" s="246">
        <v>17</v>
      </c>
      <c r="L765" s="246"/>
      <c r="M765" s="246"/>
      <c r="N765" s="246"/>
      <c r="O765" s="246"/>
      <c r="P765" s="246"/>
      <c r="Q765" s="246"/>
      <c r="R765" s="246">
        <f>IFERROR(VLOOKUP(D765,PROGRAMAS[],2,FALSE),0)</f>
        <v>97037803.679377079</v>
      </c>
      <c r="S765" s="246">
        <f>IFERROR(VLOOKUP(E765,PROGRAMAS[],2,FALSE),0)</f>
        <v>640501509.6821388</v>
      </c>
      <c r="T765" s="246">
        <f>IFERROR(VLOOKUP(F765,PROGRAMAS[],2,FALSE),0)</f>
        <v>3062327798.1525245</v>
      </c>
      <c r="U765" s="246">
        <f>IFERROR(VLOOKUP(G765,PROGRAMAS[],2,FALSE),0)</f>
        <v>67697118.033011258</v>
      </c>
      <c r="V765" s="246">
        <f>IFERROR(VLOOKUP(H765,PROGRAMAS[],2,FALSE),0)</f>
        <v>764796700.79905891</v>
      </c>
      <c r="W765" s="246">
        <f>IFERROR(VLOOKUP(I765,PROGRAMAS[],2,FALSE),0)</f>
        <v>54223862.645839565</v>
      </c>
      <c r="X765" s="246">
        <f>IFERROR(VLOOKUP(J765,PROGRAMAS[],2,FALSE),0)</f>
        <v>122159672.96346797</v>
      </c>
      <c r="Y765" s="246">
        <f>IFERROR(VLOOKUP(K765,PROGRAMAS[],2,FALSE),0)</f>
        <v>1892779498.5211046</v>
      </c>
      <c r="Z765" s="246">
        <f>IFERROR(VLOOKUP(L765,PROGRAMAS[],2,FALSE),0)</f>
        <v>0</v>
      </c>
      <c r="AA765" s="246">
        <f>IFERROR(VLOOKUP(M765,PROGRAMAS[],2,FALSE),0)</f>
        <v>0</v>
      </c>
      <c r="AB765" s="246">
        <f>IFERROR(VLOOKUP(N765,PROGRAMAS[],2,FALSE),0)</f>
        <v>0</v>
      </c>
      <c r="AC765" s="246">
        <f>IFERROR(VLOOKUP(O765,PROGRAMAS[],2,FALSE),0)</f>
        <v>0</v>
      </c>
      <c r="AD765" s="246">
        <f>IFERROR(VLOOKUP(P765,PROGRAMAS[],2,FALSE),0)</f>
        <v>0</v>
      </c>
      <c r="AE765" s="246">
        <f>IFERROR(VLOOKUP(Q765,PROGRAMAS[],2,FALSE),0)</f>
        <v>0</v>
      </c>
      <c r="AF765" s="246">
        <f>IFERROR(VLOOKUP(D765,PROGRAMAS[],3,FALSE),0)</f>
        <v>841888629.31080008</v>
      </c>
      <c r="AG765" s="246">
        <f>IFERROR(VLOOKUP(E765,PROGRAMAS[],3,FALSE),0)</f>
        <v>3848980803.1642323</v>
      </c>
      <c r="AH765" s="246">
        <f>IFERROR(VLOOKUP(F765,PROGRAMAS[],3,FALSE),0)</f>
        <v>3394901471.387517</v>
      </c>
      <c r="AI765" s="246">
        <f>IFERROR(VLOOKUP(G765,PROGRAMAS[],3,FALSE),0)</f>
        <v>125317226.95549992</v>
      </c>
      <c r="AJ765" s="246">
        <f>IFERROR(VLOOKUP(H765,PROGRAMAS[],3,FALSE),0)</f>
        <v>675517840.109828</v>
      </c>
      <c r="AK765" s="246">
        <f>IFERROR(VLOOKUP(I765,PROGRAMAS[],3,FALSE),0)</f>
        <v>31865326.38096505</v>
      </c>
      <c r="AL765" s="246">
        <f>IFERROR(VLOOKUP(J765,PROGRAMAS[],3,FALSE),0)</f>
        <v>118617452.52510804</v>
      </c>
      <c r="AM765" s="246">
        <f>IFERROR(VLOOKUP(K765,PROGRAMAS[],3,FALSE),0)</f>
        <v>948595847.09039903</v>
      </c>
      <c r="AN765" s="246">
        <f>IFERROR(VLOOKUP(L765,PROGRAMAS[],3,FALSE),0)</f>
        <v>0</v>
      </c>
      <c r="AO765" s="246">
        <f>IFERROR(VLOOKUP(M765,PROGRAMAS[],3,FALSE),0)</f>
        <v>0</v>
      </c>
      <c r="AP765" s="246">
        <f>IFERROR(VLOOKUP(N765,PROGRAMAS[],3,FALSE),0)</f>
        <v>0</v>
      </c>
      <c r="AQ765" s="246">
        <f>IFERROR(VLOOKUP(O765,PROGRAMAS[],3,FALSE),0)</f>
        <v>0</v>
      </c>
      <c r="AR765" s="246">
        <f>IFERROR(VLOOKUP(P765,PROGRAMAS[],3,FALSE),0)</f>
        <v>0</v>
      </c>
      <c r="AS765" s="246">
        <f>IFERROR(VLOOKUP(Q765,PROGRAMAS[],3,FALSE),0)</f>
        <v>0</v>
      </c>
      <c r="AT765" s="246">
        <f>IFERROR(VLOOKUP(D765,VOL_REC[],2,FALSE),0)</f>
        <v>0</v>
      </c>
      <c r="AU765" s="246">
        <f>IFERROR(VLOOKUP(E765,VOL_REC[],2,FALSE),0)</f>
        <v>0</v>
      </c>
      <c r="AV765" s="246">
        <f>IFERROR(VLOOKUP(F765,VOL_REC[],2,FALSE),0)</f>
        <v>11089674.200000001</v>
      </c>
      <c r="AW765" s="246">
        <f>IFERROR(VLOOKUP(G765,VOL_REC[],2,FALSE),0)</f>
        <v>90439.55</v>
      </c>
      <c r="AX765" s="246">
        <f>IFERROR(VLOOKUP(H765,VOL_REC[],2,FALSE),0)</f>
        <v>240696.79238099116</v>
      </c>
      <c r="AY765" s="246">
        <f>IFERROR(VLOOKUP(I765,VOL_REC[],2,FALSE),0)</f>
        <v>17074.045034105649</v>
      </c>
      <c r="AZ765" s="246">
        <f>IFERROR(VLOOKUP(J765,VOL_REC[],2,FALSE),0)</f>
        <v>105072</v>
      </c>
      <c r="BA765" s="246">
        <f>IFERROR(VLOOKUP(K765,VOL_REC[],2,FALSE),0)</f>
        <v>740113.98115702497</v>
      </c>
      <c r="BB765" s="246">
        <f>IFERROR(VLOOKUP(L765,VOL_REC[],2,FALSE),0)</f>
        <v>0</v>
      </c>
      <c r="BC765" s="246">
        <f>IFERROR(VLOOKUP(M765,VOL_REC[],2,FALSE),0)</f>
        <v>0</v>
      </c>
      <c r="BD765" s="246">
        <f>IFERROR(VLOOKUP(N765,VOL_REC[],2,FALSE),0)</f>
        <v>0</v>
      </c>
      <c r="BE765" s="246">
        <f>IFERROR(VLOOKUP(O765,VOL_REC[],2,FALSE),0)</f>
        <v>0</v>
      </c>
      <c r="BF765" s="246">
        <f>IFERROR(VLOOKUP(P765,VOL_REC[],2,FALSE),0)</f>
        <v>0</v>
      </c>
      <c r="BG765" s="246">
        <f>IFERROR(VLOOKUP(Q765,VOL_REC[],2,FALSE),0)</f>
        <v>0</v>
      </c>
      <c r="BH765" s="1710">
        <f t="shared" si="44"/>
        <v>6701523964.4765234</v>
      </c>
      <c r="BI765" s="1710">
        <f t="shared" si="45"/>
        <v>9985684596.9243488</v>
      </c>
      <c r="BJ765" s="1711">
        <f t="shared" si="46"/>
        <v>12283070.568572123</v>
      </c>
      <c r="BK765" s="1711">
        <f t="shared" si="47"/>
        <v>0.67111312193263473</v>
      </c>
    </row>
    <row r="766" spans="3:67" x14ac:dyDescent="0.25">
      <c r="C766" s="246" t="s">
        <v>2116</v>
      </c>
      <c r="D766" s="246">
        <v>1</v>
      </c>
      <c r="E766" s="246">
        <v>2</v>
      </c>
      <c r="F766" s="246">
        <v>3</v>
      </c>
      <c r="G766" s="246">
        <v>4</v>
      </c>
      <c r="H766" s="246">
        <v>12</v>
      </c>
      <c r="I766" s="246">
        <v>14</v>
      </c>
      <c r="J766" s="246">
        <v>16</v>
      </c>
      <c r="K766" s="246">
        <v>17</v>
      </c>
      <c r="L766" s="246"/>
      <c r="M766" s="246"/>
      <c r="N766" s="246"/>
      <c r="O766" s="246"/>
      <c r="P766" s="246"/>
      <c r="Q766" s="246"/>
      <c r="R766" s="246">
        <f>IFERROR(VLOOKUP(D766,PROGRAMAS[],2,FALSE),0)</f>
        <v>97037803.679377079</v>
      </c>
      <c r="S766" s="246">
        <f>IFERROR(VLOOKUP(E766,PROGRAMAS[],2,FALSE),0)</f>
        <v>640501509.6821388</v>
      </c>
      <c r="T766" s="246">
        <f>IFERROR(VLOOKUP(F766,PROGRAMAS[],2,FALSE),0)</f>
        <v>3062327798.1525245</v>
      </c>
      <c r="U766" s="246">
        <f>IFERROR(VLOOKUP(G766,PROGRAMAS[],2,FALSE),0)</f>
        <v>67697118.033011258</v>
      </c>
      <c r="V766" s="246">
        <f>IFERROR(VLOOKUP(H766,PROGRAMAS[],2,FALSE),0)</f>
        <v>764796700.79905891</v>
      </c>
      <c r="W766" s="246">
        <f>IFERROR(VLOOKUP(I766,PROGRAMAS[],2,FALSE),0)</f>
        <v>54223862.645839565</v>
      </c>
      <c r="X766" s="246">
        <f>IFERROR(VLOOKUP(J766,PROGRAMAS[],2,FALSE),0)</f>
        <v>7068496961.0436354</v>
      </c>
      <c r="Y766" s="246">
        <f>IFERROR(VLOOKUP(K766,PROGRAMAS[],2,FALSE),0)</f>
        <v>1892779498.5211046</v>
      </c>
      <c r="Z766" s="246">
        <f>IFERROR(VLOOKUP(L766,PROGRAMAS[],2,FALSE),0)</f>
        <v>0</v>
      </c>
      <c r="AA766" s="246">
        <f>IFERROR(VLOOKUP(M766,PROGRAMAS[],2,FALSE),0)</f>
        <v>0</v>
      </c>
      <c r="AB766" s="246">
        <f>IFERROR(VLOOKUP(N766,PROGRAMAS[],2,FALSE),0)</f>
        <v>0</v>
      </c>
      <c r="AC766" s="246">
        <f>IFERROR(VLOOKUP(O766,PROGRAMAS[],2,FALSE),0)</f>
        <v>0</v>
      </c>
      <c r="AD766" s="246">
        <f>IFERROR(VLOOKUP(P766,PROGRAMAS[],2,FALSE),0)</f>
        <v>0</v>
      </c>
      <c r="AE766" s="246">
        <f>IFERROR(VLOOKUP(Q766,PROGRAMAS[],2,FALSE),0)</f>
        <v>0</v>
      </c>
      <c r="AF766" s="246">
        <f>IFERROR(VLOOKUP(D766,PROGRAMAS[],3,FALSE),0)</f>
        <v>841888629.31080008</v>
      </c>
      <c r="AG766" s="246">
        <f>IFERROR(VLOOKUP(E766,PROGRAMAS[],3,FALSE),0)</f>
        <v>3848980803.1642323</v>
      </c>
      <c r="AH766" s="246">
        <f>IFERROR(VLOOKUP(F766,PROGRAMAS[],3,FALSE),0)</f>
        <v>3394901471.387517</v>
      </c>
      <c r="AI766" s="246">
        <f>IFERROR(VLOOKUP(G766,PROGRAMAS[],3,FALSE),0)</f>
        <v>125317226.95549992</v>
      </c>
      <c r="AJ766" s="246">
        <f>IFERROR(VLOOKUP(H766,PROGRAMAS[],3,FALSE),0)</f>
        <v>675517840.109828</v>
      </c>
      <c r="AK766" s="246">
        <f>IFERROR(VLOOKUP(I766,PROGRAMAS[],3,FALSE),0)</f>
        <v>31865326.38096505</v>
      </c>
      <c r="AL766" s="246">
        <f>IFERROR(VLOOKUP(J766,PROGRAMAS[],3,FALSE),0)</f>
        <v>2406564599.0319901</v>
      </c>
      <c r="AM766" s="246">
        <f>IFERROR(VLOOKUP(K766,PROGRAMAS[],3,FALSE),0)</f>
        <v>948595847.09039903</v>
      </c>
      <c r="AN766" s="246">
        <f>IFERROR(VLOOKUP(L766,PROGRAMAS[],3,FALSE),0)</f>
        <v>0</v>
      </c>
      <c r="AO766" s="246">
        <f>IFERROR(VLOOKUP(M766,PROGRAMAS[],3,FALSE),0)</f>
        <v>0</v>
      </c>
      <c r="AP766" s="246">
        <f>IFERROR(VLOOKUP(N766,PROGRAMAS[],3,FALSE),0)</f>
        <v>0</v>
      </c>
      <c r="AQ766" s="246">
        <f>IFERROR(VLOOKUP(O766,PROGRAMAS[],3,FALSE),0)</f>
        <v>0</v>
      </c>
      <c r="AR766" s="246">
        <f>IFERROR(VLOOKUP(P766,PROGRAMAS[],3,FALSE),0)</f>
        <v>0</v>
      </c>
      <c r="AS766" s="246">
        <f>IFERROR(VLOOKUP(Q766,PROGRAMAS[],3,FALSE),0)</f>
        <v>0</v>
      </c>
      <c r="AT766" s="246">
        <f>IFERROR(VLOOKUP(D766,VOL_REC[],2,FALSE),0)</f>
        <v>0</v>
      </c>
      <c r="AU766" s="246">
        <f>IFERROR(VLOOKUP(E766,VOL_REC[],2,FALSE),0)</f>
        <v>0</v>
      </c>
      <c r="AV766" s="246">
        <f>IFERROR(VLOOKUP(F766,VOL_REC[],2,FALSE),0)</f>
        <v>11089674.200000001</v>
      </c>
      <c r="AW766" s="246">
        <f>IFERROR(VLOOKUP(G766,VOL_REC[],2,FALSE),0)</f>
        <v>90439.55</v>
      </c>
      <c r="AX766" s="246">
        <f>IFERROR(VLOOKUP(H766,VOL_REC[],2,FALSE),0)</f>
        <v>240696.79238099116</v>
      </c>
      <c r="AY766" s="246">
        <f>IFERROR(VLOOKUP(I766,VOL_REC[],2,FALSE),0)</f>
        <v>17074.045034105649</v>
      </c>
      <c r="AZ766" s="246">
        <f>IFERROR(VLOOKUP(J766,VOL_REC[],2,FALSE),0)</f>
        <v>1072354.9981737854</v>
      </c>
      <c r="BA766" s="246">
        <f>IFERROR(VLOOKUP(K766,VOL_REC[],2,FALSE),0)</f>
        <v>740113.98115702497</v>
      </c>
      <c r="BB766" s="246">
        <f>IFERROR(VLOOKUP(L766,VOL_REC[],2,FALSE),0)</f>
        <v>0</v>
      </c>
      <c r="BC766" s="246">
        <f>IFERROR(VLOOKUP(M766,VOL_REC[],2,FALSE),0)</f>
        <v>0</v>
      </c>
      <c r="BD766" s="246">
        <f>IFERROR(VLOOKUP(N766,VOL_REC[],2,FALSE),0)</f>
        <v>0</v>
      </c>
      <c r="BE766" s="246">
        <f>IFERROR(VLOOKUP(O766,VOL_REC[],2,FALSE),0)</f>
        <v>0</v>
      </c>
      <c r="BF766" s="246">
        <f>IFERROR(VLOOKUP(P766,VOL_REC[],2,FALSE),0)</f>
        <v>0</v>
      </c>
      <c r="BG766" s="246">
        <f>IFERROR(VLOOKUP(Q766,VOL_REC[],2,FALSE),0)</f>
        <v>0</v>
      </c>
      <c r="BH766" s="1710">
        <f t="shared" si="44"/>
        <v>13647861252.556692</v>
      </c>
      <c r="BI766" s="1710">
        <f t="shared" si="45"/>
        <v>12273631743.431231</v>
      </c>
      <c r="BJ766" s="1711">
        <f t="shared" si="46"/>
        <v>13250353.566745909</v>
      </c>
      <c r="BK766" s="1711">
        <f t="shared" si="47"/>
        <v>1.1119660046718398</v>
      </c>
      <c r="BL766">
        <f>BJ766</f>
        <v>13250353.566745909</v>
      </c>
      <c r="BO766">
        <f>BL766</f>
        <v>13250353.566745909</v>
      </c>
    </row>
    <row r="767" spans="3:67" x14ac:dyDescent="0.25">
      <c r="C767" s="246" t="s">
        <v>2117</v>
      </c>
      <c r="D767" s="246">
        <v>1</v>
      </c>
      <c r="E767" s="246">
        <v>2</v>
      </c>
      <c r="F767" s="246">
        <v>3</v>
      </c>
      <c r="G767" s="246">
        <v>4</v>
      </c>
      <c r="H767" s="246">
        <v>12</v>
      </c>
      <c r="I767" s="246">
        <v>15</v>
      </c>
      <c r="J767" s="246">
        <v>16</v>
      </c>
      <c r="K767" s="246">
        <v>17</v>
      </c>
      <c r="L767" s="246"/>
      <c r="M767" s="246"/>
      <c r="N767" s="246"/>
      <c r="O767" s="246"/>
      <c r="P767" s="246"/>
      <c r="Q767" s="246"/>
      <c r="R767" s="246">
        <f>IFERROR(VLOOKUP(D767,PROGRAMAS[],2,FALSE),0)</f>
        <v>97037803.679377079</v>
      </c>
      <c r="S767" s="246">
        <f>IFERROR(VLOOKUP(E767,PROGRAMAS[],2,FALSE),0)</f>
        <v>640501509.6821388</v>
      </c>
      <c r="T767" s="246">
        <f>IFERROR(VLOOKUP(F767,PROGRAMAS[],2,FALSE),0)</f>
        <v>3062327798.1525245</v>
      </c>
      <c r="U767" s="246">
        <f>IFERROR(VLOOKUP(G767,PROGRAMAS[],2,FALSE),0)</f>
        <v>67697118.033011258</v>
      </c>
      <c r="V767" s="246">
        <f>IFERROR(VLOOKUP(H767,PROGRAMAS[],2,FALSE),0)</f>
        <v>764796700.79905891</v>
      </c>
      <c r="W767" s="246">
        <f>IFERROR(VLOOKUP(I767,PROGRAMAS[],2,FALSE),0)</f>
        <v>122159672.96346797</v>
      </c>
      <c r="X767" s="246">
        <f>IFERROR(VLOOKUP(J767,PROGRAMAS[],2,FALSE),0)</f>
        <v>7068496961.0436354</v>
      </c>
      <c r="Y767" s="246">
        <f>IFERROR(VLOOKUP(K767,PROGRAMAS[],2,FALSE),0)</f>
        <v>1892779498.5211046</v>
      </c>
      <c r="Z767" s="246">
        <f>IFERROR(VLOOKUP(L767,PROGRAMAS[],2,FALSE),0)</f>
        <v>0</v>
      </c>
      <c r="AA767" s="246">
        <f>IFERROR(VLOOKUP(M767,PROGRAMAS[],2,FALSE),0)</f>
        <v>0</v>
      </c>
      <c r="AB767" s="246">
        <f>IFERROR(VLOOKUP(N767,PROGRAMAS[],2,FALSE),0)</f>
        <v>0</v>
      </c>
      <c r="AC767" s="246">
        <f>IFERROR(VLOOKUP(O767,PROGRAMAS[],2,FALSE),0)</f>
        <v>0</v>
      </c>
      <c r="AD767" s="246">
        <f>IFERROR(VLOOKUP(P767,PROGRAMAS[],2,FALSE),0)</f>
        <v>0</v>
      </c>
      <c r="AE767" s="246">
        <f>IFERROR(VLOOKUP(Q767,PROGRAMAS[],2,FALSE),0)</f>
        <v>0</v>
      </c>
      <c r="AF767" s="246">
        <f>IFERROR(VLOOKUP(D767,PROGRAMAS[],3,FALSE),0)</f>
        <v>841888629.31080008</v>
      </c>
      <c r="AG767" s="246">
        <f>IFERROR(VLOOKUP(E767,PROGRAMAS[],3,FALSE),0)</f>
        <v>3848980803.1642323</v>
      </c>
      <c r="AH767" s="246">
        <f>IFERROR(VLOOKUP(F767,PROGRAMAS[],3,FALSE),0)</f>
        <v>3394901471.387517</v>
      </c>
      <c r="AI767" s="246">
        <f>IFERROR(VLOOKUP(G767,PROGRAMAS[],3,FALSE),0)</f>
        <v>125317226.95549992</v>
      </c>
      <c r="AJ767" s="246">
        <f>IFERROR(VLOOKUP(H767,PROGRAMAS[],3,FALSE),0)</f>
        <v>675517840.109828</v>
      </c>
      <c r="AK767" s="246">
        <f>IFERROR(VLOOKUP(I767,PROGRAMAS[],3,FALSE),0)</f>
        <v>118617452.52510804</v>
      </c>
      <c r="AL767" s="246">
        <f>IFERROR(VLOOKUP(J767,PROGRAMAS[],3,FALSE),0)</f>
        <v>2406564599.0319901</v>
      </c>
      <c r="AM767" s="246">
        <f>IFERROR(VLOOKUP(K767,PROGRAMAS[],3,FALSE),0)</f>
        <v>948595847.09039903</v>
      </c>
      <c r="AN767" s="246">
        <f>IFERROR(VLOOKUP(L767,PROGRAMAS[],3,FALSE),0)</f>
        <v>0</v>
      </c>
      <c r="AO767" s="246">
        <f>IFERROR(VLOOKUP(M767,PROGRAMAS[],3,FALSE),0)</f>
        <v>0</v>
      </c>
      <c r="AP767" s="246">
        <f>IFERROR(VLOOKUP(N767,PROGRAMAS[],3,FALSE),0)</f>
        <v>0</v>
      </c>
      <c r="AQ767" s="246">
        <f>IFERROR(VLOOKUP(O767,PROGRAMAS[],3,FALSE),0)</f>
        <v>0</v>
      </c>
      <c r="AR767" s="246">
        <f>IFERROR(VLOOKUP(P767,PROGRAMAS[],3,FALSE),0)</f>
        <v>0</v>
      </c>
      <c r="AS767" s="246">
        <f>IFERROR(VLOOKUP(Q767,PROGRAMAS[],3,FALSE),0)</f>
        <v>0</v>
      </c>
      <c r="AT767" s="246">
        <f>IFERROR(VLOOKUP(D767,VOL_REC[],2,FALSE),0)</f>
        <v>0</v>
      </c>
      <c r="AU767" s="246">
        <f>IFERROR(VLOOKUP(E767,VOL_REC[],2,FALSE),0)</f>
        <v>0</v>
      </c>
      <c r="AV767" s="246">
        <f>IFERROR(VLOOKUP(F767,VOL_REC[],2,FALSE),0)</f>
        <v>11089674.200000001</v>
      </c>
      <c r="AW767" s="246">
        <f>IFERROR(VLOOKUP(G767,VOL_REC[],2,FALSE),0)</f>
        <v>90439.55</v>
      </c>
      <c r="AX767" s="246">
        <f>IFERROR(VLOOKUP(H767,VOL_REC[],2,FALSE),0)</f>
        <v>240696.79238099116</v>
      </c>
      <c r="AY767" s="246">
        <f>IFERROR(VLOOKUP(I767,VOL_REC[],2,FALSE),0)</f>
        <v>105072</v>
      </c>
      <c r="AZ767" s="246">
        <f>IFERROR(VLOOKUP(J767,VOL_REC[],2,FALSE),0)</f>
        <v>1072354.9981737854</v>
      </c>
      <c r="BA767" s="246">
        <f>IFERROR(VLOOKUP(K767,VOL_REC[],2,FALSE),0)</f>
        <v>740113.98115702497</v>
      </c>
      <c r="BB767" s="246">
        <f>IFERROR(VLOOKUP(L767,VOL_REC[],2,FALSE),0)</f>
        <v>0</v>
      </c>
      <c r="BC767" s="246">
        <f>IFERROR(VLOOKUP(M767,VOL_REC[],2,FALSE),0)</f>
        <v>0</v>
      </c>
      <c r="BD767" s="246">
        <f>IFERROR(VLOOKUP(N767,VOL_REC[],2,FALSE),0)</f>
        <v>0</v>
      </c>
      <c r="BE767" s="246">
        <f>IFERROR(VLOOKUP(O767,VOL_REC[],2,FALSE),0)</f>
        <v>0</v>
      </c>
      <c r="BF767" s="246">
        <f>IFERROR(VLOOKUP(P767,VOL_REC[],2,FALSE),0)</f>
        <v>0</v>
      </c>
      <c r="BG767" s="246">
        <f>IFERROR(VLOOKUP(Q767,VOL_REC[],2,FALSE),0)</f>
        <v>0</v>
      </c>
      <c r="BH767" s="1710">
        <f t="shared" si="44"/>
        <v>13715797062.874319</v>
      </c>
      <c r="BI767" s="1710">
        <f t="shared" si="45"/>
        <v>12360383869.575375</v>
      </c>
      <c r="BJ767" s="1711">
        <f t="shared" si="46"/>
        <v>13338351.521711802</v>
      </c>
      <c r="BK767" s="1711">
        <f t="shared" si="47"/>
        <v>1.1096578559048837</v>
      </c>
      <c r="BL767">
        <f>BJ767</f>
        <v>13338351.521711802</v>
      </c>
      <c r="BO767">
        <f>BL767</f>
        <v>13338351.521711802</v>
      </c>
    </row>
    <row r="768" spans="3:67" x14ac:dyDescent="0.25">
      <c r="C768" s="246" t="s">
        <v>2118</v>
      </c>
      <c r="D768" s="246">
        <v>1</v>
      </c>
      <c r="E768" s="246">
        <v>2</v>
      </c>
      <c r="F768" s="246">
        <v>3</v>
      </c>
      <c r="G768" s="246">
        <v>4</v>
      </c>
      <c r="H768" s="246">
        <v>13</v>
      </c>
      <c r="I768" s="246">
        <v>14</v>
      </c>
      <c r="J768" s="246">
        <v>15</v>
      </c>
      <c r="K768" s="246">
        <v>16</v>
      </c>
      <c r="L768" s="246"/>
      <c r="M768" s="246"/>
      <c r="N768" s="246"/>
      <c r="O768" s="246"/>
      <c r="P768" s="246"/>
      <c r="Q768" s="246"/>
      <c r="R768" s="246">
        <f>IFERROR(VLOOKUP(D768,PROGRAMAS[],2,FALSE),0)</f>
        <v>97037803.679377079</v>
      </c>
      <c r="S768" s="246">
        <f>IFERROR(VLOOKUP(E768,PROGRAMAS[],2,FALSE),0)</f>
        <v>640501509.6821388</v>
      </c>
      <c r="T768" s="246">
        <f>IFERROR(VLOOKUP(F768,PROGRAMAS[],2,FALSE),0)</f>
        <v>3062327798.1525245</v>
      </c>
      <c r="U768" s="246">
        <f>IFERROR(VLOOKUP(G768,PROGRAMAS[],2,FALSE),0)</f>
        <v>67697118.033011258</v>
      </c>
      <c r="V768" s="246">
        <f>IFERROR(VLOOKUP(H768,PROGRAMAS[],2,FALSE),0)</f>
        <v>3776538594.4604583</v>
      </c>
      <c r="W768" s="246">
        <f>IFERROR(VLOOKUP(I768,PROGRAMAS[],2,FALSE),0)</f>
        <v>54223862.645839565</v>
      </c>
      <c r="X768" s="246">
        <f>IFERROR(VLOOKUP(J768,PROGRAMAS[],2,FALSE),0)</f>
        <v>122159672.96346797</v>
      </c>
      <c r="Y768" s="246">
        <f>IFERROR(VLOOKUP(K768,PROGRAMAS[],2,FALSE),0)</f>
        <v>7068496961.0436354</v>
      </c>
      <c r="Z768" s="246">
        <f>IFERROR(VLOOKUP(L768,PROGRAMAS[],2,FALSE),0)</f>
        <v>0</v>
      </c>
      <c r="AA768" s="246">
        <f>IFERROR(VLOOKUP(M768,PROGRAMAS[],2,FALSE),0)</f>
        <v>0</v>
      </c>
      <c r="AB768" s="246">
        <f>IFERROR(VLOOKUP(N768,PROGRAMAS[],2,FALSE),0)</f>
        <v>0</v>
      </c>
      <c r="AC768" s="246">
        <f>IFERROR(VLOOKUP(O768,PROGRAMAS[],2,FALSE),0)</f>
        <v>0</v>
      </c>
      <c r="AD768" s="246">
        <f>IFERROR(VLOOKUP(P768,PROGRAMAS[],2,FALSE),0)</f>
        <v>0</v>
      </c>
      <c r="AE768" s="246">
        <f>IFERROR(VLOOKUP(Q768,PROGRAMAS[],2,FALSE),0)</f>
        <v>0</v>
      </c>
      <c r="AF768" s="246">
        <f>IFERROR(VLOOKUP(D768,PROGRAMAS[],3,FALSE),0)</f>
        <v>841888629.31080008</v>
      </c>
      <c r="AG768" s="246">
        <f>IFERROR(VLOOKUP(E768,PROGRAMAS[],3,FALSE),0)</f>
        <v>3848980803.1642323</v>
      </c>
      <c r="AH768" s="246">
        <f>IFERROR(VLOOKUP(F768,PROGRAMAS[],3,FALSE),0)</f>
        <v>3394901471.387517</v>
      </c>
      <c r="AI768" s="246">
        <f>IFERROR(VLOOKUP(G768,PROGRAMAS[],3,FALSE),0)</f>
        <v>125317226.95549992</v>
      </c>
      <c r="AJ768" s="246">
        <f>IFERROR(VLOOKUP(H768,PROGRAMAS[],3,FALSE),0)</f>
        <v>2392571243.5584412</v>
      </c>
      <c r="AK768" s="246">
        <f>IFERROR(VLOOKUP(I768,PROGRAMAS[],3,FALSE),0)</f>
        <v>31865326.38096505</v>
      </c>
      <c r="AL768" s="246">
        <f>IFERROR(VLOOKUP(J768,PROGRAMAS[],3,FALSE),0)</f>
        <v>118617452.52510804</v>
      </c>
      <c r="AM768" s="246">
        <f>IFERROR(VLOOKUP(K768,PROGRAMAS[],3,FALSE),0)</f>
        <v>2406564599.0319901</v>
      </c>
      <c r="AN768" s="246">
        <f>IFERROR(VLOOKUP(L768,PROGRAMAS[],3,FALSE),0)</f>
        <v>0</v>
      </c>
      <c r="AO768" s="246">
        <f>IFERROR(VLOOKUP(M768,PROGRAMAS[],3,FALSE),0)</f>
        <v>0</v>
      </c>
      <c r="AP768" s="246">
        <f>IFERROR(VLOOKUP(N768,PROGRAMAS[],3,FALSE),0)</f>
        <v>0</v>
      </c>
      <c r="AQ768" s="246">
        <f>IFERROR(VLOOKUP(O768,PROGRAMAS[],3,FALSE),0)</f>
        <v>0</v>
      </c>
      <c r="AR768" s="246">
        <f>IFERROR(VLOOKUP(P768,PROGRAMAS[],3,FALSE),0)</f>
        <v>0</v>
      </c>
      <c r="AS768" s="246">
        <f>IFERROR(VLOOKUP(Q768,PROGRAMAS[],3,FALSE),0)</f>
        <v>0</v>
      </c>
      <c r="AT768" s="246">
        <f>IFERROR(VLOOKUP(D768,VOL_REC[],2,FALSE),0)</f>
        <v>0</v>
      </c>
      <c r="AU768" s="246">
        <f>IFERROR(VLOOKUP(E768,VOL_REC[],2,FALSE),0)</f>
        <v>0</v>
      </c>
      <c r="AV768" s="246">
        <f>IFERROR(VLOOKUP(F768,VOL_REC[],2,FALSE),0)</f>
        <v>11089674.200000001</v>
      </c>
      <c r="AW768" s="246">
        <f>IFERROR(VLOOKUP(G768,VOL_REC[],2,FALSE),0)</f>
        <v>90439.55</v>
      </c>
      <c r="AX768" s="246">
        <f>IFERROR(VLOOKUP(H768,VOL_REC[],2,FALSE),0)</f>
        <v>663244.80000000016</v>
      </c>
      <c r="AY768" s="246">
        <f>IFERROR(VLOOKUP(I768,VOL_REC[],2,FALSE),0)</f>
        <v>17074.045034105649</v>
      </c>
      <c r="AZ768" s="246">
        <f>IFERROR(VLOOKUP(J768,VOL_REC[],2,FALSE),0)</f>
        <v>105072</v>
      </c>
      <c r="BA768" s="246">
        <f>IFERROR(VLOOKUP(K768,VOL_REC[],2,FALSE),0)</f>
        <v>1072354.9981737854</v>
      </c>
      <c r="BB768" s="246">
        <f>IFERROR(VLOOKUP(L768,VOL_REC[],2,FALSE),0)</f>
        <v>0</v>
      </c>
      <c r="BC768" s="246">
        <f>IFERROR(VLOOKUP(M768,VOL_REC[],2,FALSE),0)</f>
        <v>0</v>
      </c>
      <c r="BD768" s="246">
        <f>IFERROR(VLOOKUP(N768,VOL_REC[],2,FALSE),0)</f>
        <v>0</v>
      </c>
      <c r="BE768" s="246">
        <f>IFERROR(VLOOKUP(O768,VOL_REC[],2,FALSE),0)</f>
        <v>0</v>
      </c>
      <c r="BF768" s="246">
        <f>IFERROR(VLOOKUP(P768,VOL_REC[],2,FALSE),0)</f>
        <v>0</v>
      </c>
      <c r="BG768" s="246">
        <f>IFERROR(VLOOKUP(Q768,VOL_REC[],2,FALSE),0)</f>
        <v>0</v>
      </c>
      <c r="BH768" s="1710">
        <f t="shared" si="44"/>
        <v>14888983320.660454</v>
      </c>
      <c r="BI768" s="1710">
        <f t="shared" si="45"/>
        <v>13160706752.314554</v>
      </c>
      <c r="BJ768" s="1711">
        <f t="shared" si="46"/>
        <v>13037859.593207892</v>
      </c>
      <c r="BK768" s="1711">
        <f t="shared" si="47"/>
        <v>1.1313209541761085</v>
      </c>
      <c r="BL768">
        <f>BJ768</f>
        <v>13037859.593207892</v>
      </c>
      <c r="BO768">
        <f>BL768</f>
        <v>13037859.593207892</v>
      </c>
    </row>
    <row r="769" spans="3:67" x14ac:dyDescent="0.25">
      <c r="C769" s="246" t="s">
        <v>2119</v>
      </c>
      <c r="D769" s="246">
        <v>1</v>
      </c>
      <c r="E769" s="246">
        <v>2</v>
      </c>
      <c r="F769" s="246">
        <v>3</v>
      </c>
      <c r="G769" s="246">
        <v>4</v>
      </c>
      <c r="H769" s="246">
        <v>13</v>
      </c>
      <c r="I769" s="246">
        <v>14</v>
      </c>
      <c r="J769" s="246">
        <v>15</v>
      </c>
      <c r="K769" s="246">
        <v>17</v>
      </c>
      <c r="L769" s="246"/>
      <c r="M769" s="246"/>
      <c r="N769" s="246"/>
      <c r="O769" s="246"/>
      <c r="P769" s="246"/>
      <c r="Q769" s="246"/>
      <c r="R769" s="246">
        <f>IFERROR(VLOOKUP(D769,PROGRAMAS[],2,FALSE),0)</f>
        <v>97037803.679377079</v>
      </c>
      <c r="S769" s="246">
        <f>IFERROR(VLOOKUP(E769,PROGRAMAS[],2,FALSE),0)</f>
        <v>640501509.6821388</v>
      </c>
      <c r="T769" s="246">
        <f>IFERROR(VLOOKUP(F769,PROGRAMAS[],2,FALSE),0)</f>
        <v>3062327798.1525245</v>
      </c>
      <c r="U769" s="246">
        <f>IFERROR(VLOOKUP(G769,PROGRAMAS[],2,FALSE),0)</f>
        <v>67697118.033011258</v>
      </c>
      <c r="V769" s="246">
        <f>IFERROR(VLOOKUP(H769,PROGRAMAS[],2,FALSE),0)</f>
        <v>3776538594.4604583</v>
      </c>
      <c r="W769" s="246">
        <f>IFERROR(VLOOKUP(I769,PROGRAMAS[],2,FALSE),0)</f>
        <v>54223862.645839565</v>
      </c>
      <c r="X769" s="246">
        <f>IFERROR(VLOOKUP(J769,PROGRAMAS[],2,FALSE),0)</f>
        <v>122159672.96346797</v>
      </c>
      <c r="Y769" s="246">
        <f>IFERROR(VLOOKUP(K769,PROGRAMAS[],2,FALSE),0)</f>
        <v>1892779498.5211046</v>
      </c>
      <c r="Z769" s="246">
        <f>IFERROR(VLOOKUP(L769,PROGRAMAS[],2,FALSE),0)</f>
        <v>0</v>
      </c>
      <c r="AA769" s="246">
        <f>IFERROR(VLOOKUP(M769,PROGRAMAS[],2,FALSE),0)</f>
        <v>0</v>
      </c>
      <c r="AB769" s="246">
        <f>IFERROR(VLOOKUP(N769,PROGRAMAS[],2,FALSE),0)</f>
        <v>0</v>
      </c>
      <c r="AC769" s="246">
        <f>IFERROR(VLOOKUP(O769,PROGRAMAS[],2,FALSE),0)</f>
        <v>0</v>
      </c>
      <c r="AD769" s="246">
        <f>IFERROR(VLOOKUP(P769,PROGRAMAS[],2,FALSE),0)</f>
        <v>0</v>
      </c>
      <c r="AE769" s="246">
        <f>IFERROR(VLOOKUP(Q769,PROGRAMAS[],2,FALSE),0)</f>
        <v>0</v>
      </c>
      <c r="AF769" s="246">
        <f>IFERROR(VLOOKUP(D769,PROGRAMAS[],3,FALSE),0)</f>
        <v>841888629.31080008</v>
      </c>
      <c r="AG769" s="246">
        <f>IFERROR(VLOOKUP(E769,PROGRAMAS[],3,FALSE),0)</f>
        <v>3848980803.1642323</v>
      </c>
      <c r="AH769" s="246">
        <f>IFERROR(VLOOKUP(F769,PROGRAMAS[],3,FALSE),0)</f>
        <v>3394901471.387517</v>
      </c>
      <c r="AI769" s="246">
        <f>IFERROR(VLOOKUP(G769,PROGRAMAS[],3,FALSE),0)</f>
        <v>125317226.95549992</v>
      </c>
      <c r="AJ769" s="246">
        <f>IFERROR(VLOOKUP(H769,PROGRAMAS[],3,FALSE),0)</f>
        <v>2392571243.5584412</v>
      </c>
      <c r="AK769" s="246">
        <f>IFERROR(VLOOKUP(I769,PROGRAMAS[],3,FALSE),0)</f>
        <v>31865326.38096505</v>
      </c>
      <c r="AL769" s="246">
        <f>IFERROR(VLOOKUP(J769,PROGRAMAS[],3,FALSE),0)</f>
        <v>118617452.52510804</v>
      </c>
      <c r="AM769" s="246">
        <f>IFERROR(VLOOKUP(K769,PROGRAMAS[],3,FALSE),0)</f>
        <v>948595847.09039903</v>
      </c>
      <c r="AN769" s="246">
        <f>IFERROR(VLOOKUP(L769,PROGRAMAS[],3,FALSE),0)</f>
        <v>0</v>
      </c>
      <c r="AO769" s="246">
        <f>IFERROR(VLOOKUP(M769,PROGRAMAS[],3,FALSE),0)</f>
        <v>0</v>
      </c>
      <c r="AP769" s="246">
        <f>IFERROR(VLOOKUP(N769,PROGRAMAS[],3,FALSE),0)</f>
        <v>0</v>
      </c>
      <c r="AQ769" s="246">
        <f>IFERROR(VLOOKUP(O769,PROGRAMAS[],3,FALSE),0)</f>
        <v>0</v>
      </c>
      <c r="AR769" s="246">
        <f>IFERROR(VLOOKUP(P769,PROGRAMAS[],3,FALSE),0)</f>
        <v>0</v>
      </c>
      <c r="AS769" s="246">
        <f>IFERROR(VLOOKUP(Q769,PROGRAMAS[],3,FALSE),0)</f>
        <v>0</v>
      </c>
      <c r="AT769" s="246">
        <f>IFERROR(VLOOKUP(D769,VOL_REC[],2,FALSE),0)</f>
        <v>0</v>
      </c>
      <c r="AU769" s="246">
        <f>IFERROR(VLOOKUP(E769,VOL_REC[],2,FALSE),0)</f>
        <v>0</v>
      </c>
      <c r="AV769" s="246">
        <f>IFERROR(VLOOKUP(F769,VOL_REC[],2,FALSE),0)</f>
        <v>11089674.200000001</v>
      </c>
      <c r="AW769" s="246">
        <f>IFERROR(VLOOKUP(G769,VOL_REC[],2,FALSE),0)</f>
        <v>90439.55</v>
      </c>
      <c r="AX769" s="246">
        <f>IFERROR(VLOOKUP(H769,VOL_REC[],2,FALSE),0)</f>
        <v>663244.80000000016</v>
      </c>
      <c r="AY769" s="246">
        <f>IFERROR(VLOOKUP(I769,VOL_REC[],2,FALSE),0)</f>
        <v>17074.045034105649</v>
      </c>
      <c r="AZ769" s="246">
        <f>IFERROR(VLOOKUP(J769,VOL_REC[],2,FALSE),0)</f>
        <v>105072</v>
      </c>
      <c r="BA769" s="246">
        <f>IFERROR(VLOOKUP(K769,VOL_REC[],2,FALSE),0)</f>
        <v>740113.98115702497</v>
      </c>
      <c r="BB769" s="246">
        <f>IFERROR(VLOOKUP(L769,VOL_REC[],2,FALSE),0)</f>
        <v>0</v>
      </c>
      <c r="BC769" s="246">
        <f>IFERROR(VLOOKUP(M769,VOL_REC[],2,FALSE),0)</f>
        <v>0</v>
      </c>
      <c r="BD769" s="246">
        <f>IFERROR(VLOOKUP(N769,VOL_REC[],2,FALSE),0)</f>
        <v>0</v>
      </c>
      <c r="BE769" s="246">
        <f>IFERROR(VLOOKUP(O769,VOL_REC[],2,FALSE),0)</f>
        <v>0</v>
      </c>
      <c r="BF769" s="246">
        <f>IFERROR(VLOOKUP(P769,VOL_REC[],2,FALSE),0)</f>
        <v>0</v>
      </c>
      <c r="BG769" s="246">
        <f>IFERROR(VLOOKUP(Q769,VOL_REC[],2,FALSE),0)</f>
        <v>0</v>
      </c>
      <c r="BH769" s="1710">
        <f t="shared" si="44"/>
        <v>9713265858.1379223</v>
      </c>
      <c r="BI769" s="1710">
        <f t="shared" si="45"/>
        <v>11702738000.372963</v>
      </c>
      <c r="BJ769" s="1711">
        <f t="shared" si="46"/>
        <v>12705618.576191133</v>
      </c>
      <c r="BK769" s="1711">
        <f t="shared" si="47"/>
        <v>0.82999942900784096</v>
      </c>
    </row>
    <row r="770" spans="3:67" x14ac:dyDescent="0.25">
      <c r="C770" s="246" t="s">
        <v>2120</v>
      </c>
      <c r="D770" s="246">
        <v>1</v>
      </c>
      <c r="E770" s="246">
        <v>2</v>
      </c>
      <c r="F770" s="246">
        <v>3</v>
      </c>
      <c r="G770" s="246">
        <v>4</v>
      </c>
      <c r="H770" s="246">
        <v>13</v>
      </c>
      <c r="I770" s="246">
        <v>14</v>
      </c>
      <c r="J770" s="246">
        <v>16</v>
      </c>
      <c r="K770" s="246">
        <v>17</v>
      </c>
      <c r="L770" s="246"/>
      <c r="M770" s="246"/>
      <c r="N770" s="246"/>
      <c r="O770" s="246"/>
      <c r="P770" s="246"/>
      <c r="Q770" s="246"/>
      <c r="R770" s="246">
        <f>IFERROR(VLOOKUP(D770,PROGRAMAS[],2,FALSE),0)</f>
        <v>97037803.679377079</v>
      </c>
      <c r="S770" s="246">
        <f>IFERROR(VLOOKUP(E770,PROGRAMAS[],2,FALSE),0)</f>
        <v>640501509.6821388</v>
      </c>
      <c r="T770" s="246">
        <f>IFERROR(VLOOKUP(F770,PROGRAMAS[],2,FALSE),0)</f>
        <v>3062327798.1525245</v>
      </c>
      <c r="U770" s="246">
        <f>IFERROR(VLOOKUP(G770,PROGRAMAS[],2,FALSE),0)</f>
        <v>67697118.033011258</v>
      </c>
      <c r="V770" s="246">
        <f>IFERROR(VLOOKUP(H770,PROGRAMAS[],2,FALSE),0)</f>
        <v>3776538594.4604583</v>
      </c>
      <c r="W770" s="246">
        <f>IFERROR(VLOOKUP(I770,PROGRAMAS[],2,FALSE),0)</f>
        <v>54223862.645839565</v>
      </c>
      <c r="X770" s="246">
        <f>IFERROR(VLOOKUP(J770,PROGRAMAS[],2,FALSE),0)</f>
        <v>7068496961.0436354</v>
      </c>
      <c r="Y770" s="246">
        <f>IFERROR(VLOOKUP(K770,PROGRAMAS[],2,FALSE),0)</f>
        <v>1892779498.5211046</v>
      </c>
      <c r="Z770" s="246">
        <f>IFERROR(VLOOKUP(L770,PROGRAMAS[],2,FALSE),0)</f>
        <v>0</v>
      </c>
      <c r="AA770" s="246">
        <f>IFERROR(VLOOKUP(M770,PROGRAMAS[],2,FALSE),0)</f>
        <v>0</v>
      </c>
      <c r="AB770" s="246">
        <f>IFERROR(VLOOKUP(N770,PROGRAMAS[],2,FALSE),0)</f>
        <v>0</v>
      </c>
      <c r="AC770" s="246">
        <f>IFERROR(VLOOKUP(O770,PROGRAMAS[],2,FALSE),0)</f>
        <v>0</v>
      </c>
      <c r="AD770" s="246">
        <f>IFERROR(VLOOKUP(P770,PROGRAMAS[],2,FALSE),0)</f>
        <v>0</v>
      </c>
      <c r="AE770" s="246">
        <f>IFERROR(VLOOKUP(Q770,PROGRAMAS[],2,FALSE),0)</f>
        <v>0</v>
      </c>
      <c r="AF770" s="246">
        <f>IFERROR(VLOOKUP(D770,PROGRAMAS[],3,FALSE),0)</f>
        <v>841888629.31080008</v>
      </c>
      <c r="AG770" s="246">
        <f>IFERROR(VLOOKUP(E770,PROGRAMAS[],3,FALSE),0)</f>
        <v>3848980803.1642323</v>
      </c>
      <c r="AH770" s="246">
        <f>IFERROR(VLOOKUP(F770,PROGRAMAS[],3,FALSE),0)</f>
        <v>3394901471.387517</v>
      </c>
      <c r="AI770" s="246">
        <f>IFERROR(VLOOKUP(G770,PROGRAMAS[],3,FALSE),0)</f>
        <v>125317226.95549992</v>
      </c>
      <c r="AJ770" s="246">
        <f>IFERROR(VLOOKUP(H770,PROGRAMAS[],3,FALSE),0)</f>
        <v>2392571243.5584412</v>
      </c>
      <c r="AK770" s="246">
        <f>IFERROR(VLOOKUP(I770,PROGRAMAS[],3,FALSE),0)</f>
        <v>31865326.38096505</v>
      </c>
      <c r="AL770" s="246">
        <f>IFERROR(VLOOKUP(J770,PROGRAMAS[],3,FALSE),0)</f>
        <v>2406564599.0319901</v>
      </c>
      <c r="AM770" s="246">
        <f>IFERROR(VLOOKUP(K770,PROGRAMAS[],3,FALSE),0)</f>
        <v>948595847.09039903</v>
      </c>
      <c r="AN770" s="246">
        <f>IFERROR(VLOOKUP(L770,PROGRAMAS[],3,FALSE),0)</f>
        <v>0</v>
      </c>
      <c r="AO770" s="246">
        <f>IFERROR(VLOOKUP(M770,PROGRAMAS[],3,FALSE),0)</f>
        <v>0</v>
      </c>
      <c r="AP770" s="246">
        <f>IFERROR(VLOOKUP(N770,PROGRAMAS[],3,FALSE),0)</f>
        <v>0</v>
      </c>
      <c r="AQ770" s="246">
        <f>IFERROR(VLOOKUP(O770,PROGRAMAS[],3,FALSE),0)</f>
        <v>0</v>
      </c>
      <c r="AR770" s="246">
        <f>IFERROR(VLOOKUP(P770,PROGRAMAS[],3,FALSE),0)</f>
        <v>0</v>
      </c>
      <c r="AS770" s="246">
        <f>IFERROR(VLOOKUP(Q770,PROGRAMAS[],3,FALSE),0)</f>
        <v>0</v>
      </c>
      <c r="AT770" s="246">
        <f>IFERROR(VLOOKUP(D770,VOL_REC[],2,FALSE),0)</f>
        <v>0</v>
      </c>
      <c r="AU770" s="246">
        <f>IFERROR(VLOOKUP(E770,VOL_REC[],2,FALSE),0)</f>
        <v>0</v>
      </c>
      <c r="AV770" s="246">
        <f>IFERROR(VLOOKUP(F770,VOL_REC[],2,FALSE),0)</f>
        <v>11089674.200000001</v>
      </c>
      <c r="AW770" s="246">
        <f>IFERROR(VLOOKUP(G770,VOL_REC[],2,FALSE),0)</f>
        <v>90439.55</v>
      </c>
      <c r="AX770" s="246">
        <f>IFERROR(VLOOKUP(H770,VOL_REC[],2,FALSE),0)</f>
        <v>663244.80000000016</v>
      </c>
      <c r="AY770" s="246">
        <f>IFERROR(VLOOKUP(I770,VOL_REC[],2,FALSE),0)</f>
        <v>17074.045034105649</v>
      </c>
      <c r="AZ770" s="246">
        <f>IFERROR(VLOOKUP(J770,VOL_REC[],2,FALSE),0)</f>
        <v>1072354.9981737854</v>
      </c>
      <c r="BA770" s="246">
        <f>IFERROR(VLOOKUP(K770,VOL_REC[],2,FALSE),0)</f>
        <v>740113.98115702497</v>
      </c>
      <c r="BB770" s="246">
        <f>IFERROR(VLOOKUP(L770,VOL_REC[],2,FALSE),0)</f>
        <v>0</v>
      </c>
      <c r="BC770" s="246">
        <f>IFERROR(VLOOKUP(M770,VOL_REC[],2,FALSE),0)</f>
        <v>0</v>
      </c>
      <c r="BD770" s="246">
        <f>IFERROR(VLOOKUP(N770,VOL_REC[],2,FALSE),0)</f>
        <v>0</v>
      </c>
      <c r="BE770" s="246">
        <f>IFERROR(VLOOKUP(O770,VOL_REC[],2,FALSE),0)</f>
        <v>0</v>
      </c>
      <c r="BF770" s="246">
        <f>IFERROR(VLOOKUP(P770,VOL_REC[],2,FALSE),0)</f>
        <v>0</v>
      </c>
      <c r="BG770" s="246">
        <f>IFERROR(VLOOKUP(Q770,VOL_REC[],2,FALSE),0)</f>
        <v>0</v>
      </c>
      <c r="BH770" s="1710">
        <f t="shared" ref="BH770:BH833" si="48">SUM(R770:AE770)</f>
        <v>16659603146.21809</v>
      </c>
      <c r="BI770" s="1710">
        <f t="shared" ref="BI770:BI833" si="49">SUM(AF770:AS770)</f>
        <v>13990685146.879845</v>
      </c>
      <c r="BJ770" s="1711">
        <f t="shared" ref="BJ770:BJ833" si="50">SUM(AT770:BG770)</f>
        <v>13672901.574364917</v>
      </c>
      <c r="BK770" s="1711">
        <f t="shared" ref="BK770:BK833" si="51">IFERROR(BH770/BI770,0)</f>
        <v>1.1907639240908412</v>
      </c>
      <c r="BL770">
        <f>BJ770</f>
        <v>13672901.574364917</v>
      </c>
      <c r="BO770">
        <f>BL770</f>
        <v>13672901.574364917</v>
      </c>
    </row>
    <row r="771" spans="3:67" x14ac:dyDescent="0.25">
      <c r="C771" s="246" t="s">
        <v>2121</v>
      </c>
      <c r="D771" s="246">
        <v>1</v>
      </c>
      <c r="E771" s="246">
        <v>2</v>
      </c>
      <c r="F771" s="246">
        <v>3</v>
      </c>
      <c r="G771" s="246">
        <v>4</v>
      </c>
      <c r="H771" s="246">
        <v>13</v>
      </c>
      <c r="I771" s="246">
        <v>15</v>
      </c>
      <c r="J771" s="246">
        <v>16</v>
      </c>
      <c r="K771" s="246">
        <v>17</v>
      </c>
      <c r="L771" s="246"/>
      <c r="M771" s="246"/>
      <c r="N771" s="246"/>
      <c r="O771" s="246"/>
      <c r="P771" s="246"/>
      <c r="Q771" s="246"/>
      <c r="R771" s="246">
        <f>IFERROR(VLOOKUP(D771,PROGRAMAS[],2,FALSE),0)</f>
        <v>97037803.679377079</v>
      </c>
      <c r="S771" s="246">
        <f>IFERROR(VLOOKUP(E771,PROGRAMAS[],2,FALSE),0)</f>
        <v>640501509.6821388</v>
      </c>
      <c r="T771" s="246">
        <f>IFERROR(VLOOKUP(F771,PROGRAMAS[],2,FALSE),0)</f>
        <v>3062327798.1525245</v>
      </c>
      <c r="U771" s="246">
        <f>IFERROR(VLOOKUP(G771,PROGRAMAS[],2,FALSE),0)</f>
        <v>67697118.033011258</v>
      </c>
      <c r="V771" s="246">
        <f>IFERROR(VLOOKUP(H771,PROGRAMAS[],2,FALSE),0)</f>
        <v>3776538594.4604583</v>
      </c>
      <c r="W771" s="246">
        <f>IFERROR(VLOOKUP(I771,PROGRAMAS[],2,FALSE),0)</f>
        <v>122159672.96346797</v>
      </c>
      <c r="X771" s="246">
        <f>IFERROR(VLOOKUP(J771,PROGRAMAS[],2,FALSE),0)</f>
        <v>7068496961.0436354</v>
      </c>
      <c r="Y771" s="246">
        <f>IFERROR(VLOOKUP(K771,PROGRAMAS[],2,FALSE),0)</f>
        <v>1892779498.5211046</v>
      </c>
      <c r="Z771" s="246">
        <f>IFERROR(VLOOKUP(L771,PROGRAMAS[],2,FALSE),0)</f>
        <v>0</v>
      </c>
      <c r="AA771" s="246">
        <f>IFERROR(VLOOKUP(M771,PROGRAMAS[],2,FALSE),0)</f>
        <v>0</v>
      </c>
      <c r="AB771" s="246">
        <f>IFERROR(VLOOKUP(N771,PROGRAMAS[],2,FALSE),0)</f>
        <v>0</v>
      </c>
      <c r="AC771" s="246">
        <f>IFERROR(VLOOKUP(O771,PROGRAMAS[],2,FALSE),0)</f>
        <v>0</v>
      </c>
      <c r="AD771" s="246">
        <f>IFERROR(VLOOKUP(P771,PROGRAMAS[],2,FALSE),0)</f>
        <v>0</v>
      </c>
      <c r="AE771" s="246">
        <f>IFERROR(VLOOKUP(Q771,PROGRAMAS[],2,FALSE),0)</f>
        <v>0</v>
      </c>
      <c r="AF771" s="246">
        <f>IFERROR(VLOOKUP(D771,PROGRAMAS[],3,FALSE),0)</f>
        <v>841888629.31080008</v>
      </c>
      <c r="AG771" s="246">
        <f>IFERROR(VLOOKUP(E771,PROGRAMAS[],3,FALSE),0)</f>
        <v>3848980803.1642323</v>
      </c>
      <c r="AH771" s="246">
        <f>IFERROR(VLOOKUP(F771,PROGRAMAS[],3,FALSE),0)</f>
        <v>3394901471.387517</v>
      </c>
      <c r="AI771" s="246">
        <f>IFERROR(VLOOKUP(G771,PROGRAMAS[],3,FALSE),0)</f>
        <v>125317226.95549992</v>
      </c>
      <c r="AJ771" s="246">
        <f>IFERROR(VLOOKUP(H771,PROGRAMAS[],3,FALSE),0)</f>
        <v>2392571243.5584412</v>
      </c>
      <c r="AK771" s="246">
        <f>IFERROR(VLOOKUP(I771,PROGRAMAS[],3,FALSE),0)</f>
        <v>118617452.52510804</v>
      </c>
      <c r="AL771" s="246">
        <f>IFERROR(VLOOKUP(J771,PROGRAMAS[],3,FALSE),0)</f>
        <v>2406564599.0319901</v>
      </c>
      <c r="AM771" s="246">
        <f>IFERROR(VLOOKUP(K771,PROGRAMAS[],3,FALSE),0)</f>
        <v>948595847.09039903</v>
      </c>
      <c r="AN771" s="246">
        <f>IFERROR(VLOOKUP(L771,PROGRAMAS[],3,FALSE),0)</f>
        <v>0</v>
      </c>
      <c r="AO771" s="246">
        <f>IFERROR(VLOOKUP(M771,PROGRAMAS[],3,FALSE),0)</f>
        <v>0</v>
      </c>
      <c r="AP771" s="246">
        <f>IFERROR(VLOOKUP(N771,PROGRAMAS[],3,FALSE),0)</f>
        <v>0</v>
      </c>
      <c r="AQ771" s="246">
        <f>IFERROR(VLOOKUP(O771,PROGRAMAS[],3,FALSE),0)</f>
        <v>0</v>
      </c>
      <c r="AR771" s="246">
        <f>IFERROR(VLOOKUP(P771,PROGRAMAS[],3,FALSE),0)</f>
        <v>0</v>
      </c>
      <c r="AS771" s="246">
        <f>IFERROR(VLOOKUP(Q771,PROGRAMAS[],3,FALSE),0)</f>
        <v>0</v>
      </c>
      <c r="AT771" s="246">
        <f>IFERROR(VLOOKUP(D771,VOL_REC[],2,FALSE),0)</f>
        <v>0</v>
      </c>
      <c r="AU771" s="246">
        <f>IFERROR(VLOOKUP(E771,VOL_REC[],2,FALSE),0)</f>
        <v>0</v>
      </c>
      <c r="AV771" s="246">
        <f>IFERROR(VLOOKUP(F771,VOL_REC[],2,FALSE),0)</f>
        <v>11089674.200000001</v>
      </c>
      <c r="AW771" s="246">
        <f>IFERROR(VLOOKUP(G771,VOL_REC[],2,FALSE),0)</f>
        <v>90439.55</v>
      </c>
      <c r="AX771" s="246">
        <f>IFERROR(VLOOKUP(H771,VOL_REC[],2,FALSE),0)</f>
        <v>663244.80000000016</v>
      </c>
      <c r="AY771" s="246">
        <f>IFERROR(VLOOKUP(I771,VOL_REC[],2,FALSE),0)</f>
        <v>105072</v>
      </c>
      <c r="AZ771" s="246">
        <f>IFERROR(VLOOKUP(J771,VOL_REC[],2,FALSE),0)</f>
        <v>1072354.9981737854</v>
      </c>
      <c r="BA771" s="246">
        <f>IFERROR(VLOOKUP(K771,VOL_REC[],2,FALSE),0)</f>
        <v>740113.98115702497</v>
      </c>
      <c r="BB771" s="246">
        <f>IFERROR(VLOOKUP(L771,VOL_REC[],2,FALSE),0)</f>
        <v>0</v>
      </c>
      <c r="BC771" s="246">
        <f>IFERROR(VLOOKUP(M771,VOL_REC[],2,FALSE),0)</f>
        <v>0</v>
      </c>
      <c r="BD771" s="246">
        <f>IFERROR(VLOOKUP(N771,VOL_REC[],2,FALSE),0)</f>
        <v>0</v>
      </c>
      <c r="BE771" s="246">
        <f>IFERROR(VLOOKUP(O771,VOL_REC[],2,FALSE),0)</f>
        <v>0</v>
      </c>
      <c r="BF771" s="246">
        <f>IFERROR(VLOOKUP(P771,VOL_REC[],2,FALSE),0)</f>
        <v>0</v>
      </c>
      <c r="BG771" s="246">
        <f>IFERROR(VLOOKUP(Q771,VOL_REC[],2,FALSE),0)</f>
        <v>0</v>
      </c>
      <c r="BH771" s="1710">
        <f t="shared" si="48"/>
        <v>16727538956.535719</v>
      </c>
      <c r="BI771" s="1710">
        <f t="shared" si="49"/>
        <v>14077437273.023989</v>
      </c>
      <c r="BJ771" s="1711">
        <f t="shared" si="50"/>
        <v>13760899.529330814</v>
      </c>
      <c r="BK771" s="1711">
        <f t="shared" si="51"/>
        <v>1.188251713157338</v>
      </c>
      <c r="BL771">
        <f>BJ771</f>
        <v>13760899.529330814</v>
      </c>
      <c r="BO771">
        <f>BL771</f>
        <v>13760899.529330814</v>
      </c>
    </row>
    <row r="772" spans="3:67" x14ac:dyDescent="0.25">
      <c r="C772" s="246" t="s">
        <v>2122</v>
      </c>
      <c r="D772" s="246">
        <v>1</v>
      </c>
      <c r="E772" s="246">
        <v>2</v>
      </c>
      <c r="F772" s="246">
        <v>3</v>
      </c>
      <c r="G772" s="246">
        <v>4</v>
      </c>
      <c r="H772" s="246">
        <v>14</v>
      </c>
      <c r="I772" s="246">
        <v>15</v>
      </c>
      <c r="J772" s="246">
        <v>16</v>
      </c>
      <c r="K772" s="246">
        <v>17</v>
      </c>
      <c r="L772" s="246"/>
      <c r="M772" s="246"/>
      <c r="N772" s="246"/>
      <c r="O772" s="246"/>
      <c r="P772" s="246"/>
      <c r="Q772" s="246"/>
      <c r="R772" s="246">
        <f>IFERROR(VLOOKUP(D772,PROGRAMAS[],2,FALSE),0)</f>
        <v>97037803.679377079</v>
      </c>
      <c r="S772" s="246">
        <f>IFERROR(VLOOKUP(E772,PROGRAMAS[],2,FALSE),0)</f>
        <v>640501509.6821388</v>
      </c>
      <c r="T772" s="246">
        <f>IFERROR(VLOOKUP(F772,PROGRAMAS[],2,FALSE),0)</f>
        <v>3062327798.1525245</v>
      </c>
      <c r="U772" s="246">
        <f>IFERROR(VLOOKUP(G772,PROGRAMAS[],2,FALSE),0)</f>
        <v>67697118.033011258</v>
      </c>
      <c r="V772" s="246">
        <f>IFERROR(VLOOKUP(H772,PROGRAMAS[],2,FALSE),0)</f>
        <v>54223862.645839565</v>
      </c>
      <c r="W772" s="246">
        <f>IFERROR(VLOOKUP(I772,PROGRAMAS[],2,FALSE),0)</f>
        <v>122159672.96346797</v>
      </c>
      <c r="X772" s="246">
        <f>IFERROR(VLOOKUP(J772,PROGRAMAS[],2,FALSE),0)</f>
        <v>7068496961.0436354</v>
      </c>
      <c r="Y772" s="246">
        <f>IFERROR(VLOOKUP(K772,PROGRAMAS[],2,FALSE),0)</f>
        <v>1892779498.5211046</v>
      </c>
      <c r="Z772" s="246">
        <f>IFERROR(VLOOKUP(L772,PROGRAMAS[],2,FALSE),0)</f>
        <v>0</v>
      </c>
      <c r="AA772" s="246">
        <f>IFERROR(VLOOKUP(M772,PROGRAMAS[],2,FALSE),0)</f>
        <v>0</v>
      </c>
      <c r="AB772" s="246">
        <f>IFERROR(VLOOKUP(N772,PROGRAMAS[],2,FALSE),0)</f>
        <v>0</v>
      </c>
      <c r="AC772" s="246">
        <f>IFERROR(VLOOKUP(O772,PROGRAMAS[],2,FALSE),0)</f>
        <v>0</v>
      </c>
      <c r="AD772" s="246">
        <f>IFERROR(VLOOKUP(P772,PROGRAMAS[],2,FALSE),0)</f>
        <v>0</v>
      </c>
      <c r="AE772" s="246">
        <f>IFERROR(VLOOKUP(Q772,PROGRAMAS[],2,FALSE),0)</f>
        <v>0</v>
      </c>
      <c r="AF772" s="246">
        <f>IFERROR(VLOOKUP(D772,PROGRAMAS[],3,FALSE),0)</f>
        <v>841888629.31080008</v>
      </c>
      <c r="AG772" s="246">
        <f>IFERROR(VLOOKUP(E772,PROGRAMAS[],3,FALSE),0)</f>
        <v>3848980803.1642323</v>
      </c>
      <c r="AH772" s="246">
        <f>IFERROR(VLOOKUP(F772,PROGRAMAS[],3,FALSE),0)</f>
        <v>3394901471.387517</v>
      </c>
      <c r="AI772" s="246">
        <f>IFERROR(VLOOKUP(G772,PROGRAMAS[],3,FALSE),0)</f>
        <v>125317226.95549992</v>
      </c>
      <c r="AJ772" s="246">
        <f>IFERROR(VLOOKUP(H772,PROGRAMAS[],3,FALSE),0)</f>
        <v>31865326.38096505</v>
      </c>
      <c r="AK772" s="246">
        <f>IFERROR(VLOOKUP(I772,PROGRAMAS[],3,FALSE),0)</f>
        <v>118617452.52510804</v>
      </c>
      <c r="AL772" s="246">
        <f>IFERROR(VLOOKUP(J772,PROGRAMAS[],3,FALSE),0)</f>
        <v>2406564599.0319901</v>
      </c>
      <c r="AM772" s="246">
        <f>IFERROR(VLOOKUP(K772,PROGRAMAS[],3,FALSE),0)</f>
        <v>948595847.09039903</v>
      </c>
      <c r="AN772" s="246">
        <f>IFERROR(VLOOKUP(L772,PROGRAMAS[],3,FALSE),0)</f>
        <v>0</v>
      </c>
      <c r="AO772" s="246">
        <f>IFERROR(VLOOKUP(M772,PROGRAMAS[],3,FALSE),0)</f>
        <v>0</v>
      </c>
      <c r="AP772" s="246">
        <f>IFERROR(VLOOKUP(N772,PROGRAMAS[],3,FALSE),0)</f>
        <v>0</v>
      </c>
      <c r="AQ772" s="246">
        <f>IFERROR(VLOOKUP(O772,PROGRAMAS[],3,FALSE),0)</f>
        <v>0</v>
      </c>
      <c r="AR772" s="246">
        <f>IFERROR(VLOOKUP(P772,PROGRAMAS[],3,FALSE),0)</f>
        <v>0</v>
      </c>
      <c r="AS772" s="246">
        <f>IFERROR(VLOOKUP(Q772,PROGRAMAS[],3,FALSE),0)</f>
        <v>0</v>
      </c>
      <c r="AT772" s="246">
        <f>IFERROR(VLOOKUP(D772,VOL_REC[],2,FALSE),0)</f>
        <v>0</v>
      </c>
      <c r="AU772" s="246">
        <f>IFERROR(VLOOKUP(E772,VOL_REC[],2,FALSE),0)</f>
        <v>0</v>
      </c>
      <c r="AV772" s="246">
        <f>IFERROR(VLOOKUP(F772,VOL_REC[],2,FALSE),0)</f>
        <v>11089674.200000001</v>
      </c>
      <c r="AW772" s="246">
        <f>IFERROR(VLOOKUP(G772,VOL_REC[],2,FALSE),0)</f>
        <v>90439.55</v>
      </c>
      <c r="AX772" s="246">
        <f>IFERROR(VLOOKUP(H772,VOL_REC[],2,FALSE),0)</f>
        <v>17074.045034105649</v>
      </c>
      <c r="AY772" s="246">
        <f>IFERROR(VLOOKUP(I772,VOL_REC[],2,FALSE),0)</f>
        <v>105072</v>
      </c>
      <c r="AZ772" s="246">
        <f>IFERROR(VLOOKUP(J772,VOL_REC[],2,FALSE),0)</f>
        <v>1072354.9981737854</v>
      </c>
      <c r="BA772" s="246">
        <f>IFERROR(VLOOKUP(K772,VOL_REC[],2,FALSE),0)</f>
        <v>740113.98115702497</v>
      </c>
      <c r="BB772" s="246">
        <f>IFERROR(VLOOKUP(L772,VOL_REC[],2,FALSE),0)</f>
        <v>0</v>
      </c>
      <c r="BC772" s="246">
        <f>IFERROR(VLOOKUP(M772,VOL_REC[],2,FALSE),0)</f>
        <v>0</v>
      </c>
      <c r="BD772" s="246">
        <f>IFERROR(VLOOKUP(N772,VOL_REC[],2,FALSE),0)</f>
        <v>0</v>
      </c>
      <c r="BE772" s="246">
        <f>IFERROR(VLOOKUP(O772,VOL_REC[],2,FALSE),0)</f>
        <v>0</v>
      </c>
      <c r="BF772" s="246">
        <f>IFERROR(VLOOKUP(P772,VOL_REC[],2,FALSE),0)</f>
        <v>0</v>
      </c>
      <c r="BG772" s="246">
        <f>IFERROR(VLOOKUP(Q772,VOL_REC[],2,FALSE),0)</f>
        <v>0</v>
      </c>
      <c r="BH772" s="1710">
        <f t="shared" si="48"/>
        <v>13005224224.7211</v>
      </c>
      <c r="BI772" s="1710">
        <f t="shared" si="49"/>
        <v>11716731355.846512</v>
      </c>
      <c r="BJ772" s="1711">
        <f t="shared" si="50"/>
        <v>13114728.774364917</v>
      </c>
      <c r="BK772" s="1711">
        <f t="shared" si="51"/>
        <v>1.1099703347070125</v>
      </c>
      <c r="BL772">
        <f>BJ772</f>
        <v>13114728.774364917</v>
      </c>
      <c r="BO772">
        <f>BL772</f>
        <v>13114728.774364917</v>
      </c>
    </row>
    <row r="773" spans="3:67" x14ac:dyDescent="0.25">
      <c r="C773" s="246" t="s">
        <v>2123</v>
      </c>
      <c r="D773" s="246">
        <v>1</v>
      </c>
      <c r="E773" s="246">
        <v>2</v>
      </c>
      <c r="F773" s="246">
        <v>3</v>
      </c>
      <c r="G773" s="246">
        <v>5</v>
      </c>
      <c r="H773" s="246">
        <v>6</v>
      </c>
      <c r="I773" s="246">
        <v>9</v>
      </c>
      <c r="J773" s="246">
        <v>10</v>
      </c>
      <c r="K773" s="246">
        <v>12</v>
      </c>
      <c r="L773" s="246"/>
      <c r="M773" s="246"/>
      <c r="N773" s="246"/>
      <c r="O773" s="246"/>
      <c r="P773" s="246"/>
      <c r="Q773" s="246"/>
      <c r="R773" s="246">
        <f>IFERROR(VLOOKUP(D773,PROGRAMAS[],2,FALSE),0)</f>
        <v>97037803.679377079</v>
      </c>
      <c r="S773" s="246">
        <f>IFERROR(VLOOKUP(E773,PROGRAMAS[],2,FALSE),0)</f>
        <v>640501509.6821388</v>
      </c>
      <c r="T773" s="246">
        <f>IFERROR(VLOOKUP(F773,PROGRAMAS[],2,FALSE),0)</f>
        <v>3062327798.1525245</v>
      </c>
      <c r="U773" s="246">
        <f>IFERROR(VLOOKUP(G773,PROGRAMAS[],2,FALSE),0)</f>
        <v>1440941976.2528784</v>
      </c>
      <c r="V773" s="246">
        <f>IFERROR(VLOOKUP(H773,PROGRAMAS[],2,FALSE),0)</f>
        <v>6907648435.8447599</v>
      </c>
      <c r="W773" s="246">
        <f>IFERROR(VLOOKUP(I773,PROGRAMAS[],2,FALSE),0)</f>
        <v>6128579952.1618185</v>
      </c>
      <c r="X773" s="246">
        <f>IFERROR(VLOOKUP(J773,PROGRAMAS[],2,FALSE),0)</f>
        <v>4635315027.8751087</v>
      </c>
      <c r="Y773" s="246">
        <f>IFERROR(VLOOKUP(K773,PROGRAMAS[],2,FALSE),0)</f>
        <v>764796700.79905891</v>
      </c>
      <c r="Z773" s="246">
        <f>IFERROR(VLOOKUP(L773,PROGRAMAS[],2,FALSE),0)</f>
        <v>0</v>
      </c>
      <c r="AA773" s="246">
        <f>IFERROR(VLOOKUP(M773,PROGRAMAS[],2,FALSE),0)</f>
        <v>0</v>
      </c>
      <c r="AB773" s="246">
        <f>IFERROR(VLOOKUP(N773,PROGRAMAS[],2,FALSE),0)</f>
        <v>0</v>
      </c>
      <c r="AC773" s="246">
        <f>IFERROR(VLOOKUP(O773,PROGRAMAS[],2,FALSE),0)</f>
        <v>0</v>
      </c>
      <c r="AD773" s="246">
        <f>IFERROR(VLOOKUP(P773,PROGRAMAS[],2,FALSE),0)</f>
        <v>0</v>
      </c>
      <c r="AE773" s="246">
        <f>IFERROR(VLOOKUP(Q773,PROGRAMAS[],2,FALSE),0)</f>
        <v>0</v>
      </c>
      <c r="AF773" s="246">
        <f>IFERROR(VLOOKUP(D773,PROGRAMAS[],3,FALSE),0)</f>
        <v>841888629.31080008</v>
      </c>
      <c r="AG773" s="246">
        <f>IFERROR(VLOOKUP(E773,PROGRAMAS[],3,FALSE),0)</f>
        <v>3848980803.1642323</v>
      </c>
      <c r="AH773" s="246">
        <f>IFERROR(VLOOKUP(F773,PROGRAMAS[],3,FALSE),0)</f>
        <v>3394901471.387517</v>
      </c>
      <c r="AI773" s="246">
        <f>IFERROR(VLOOKUP(G773,PROGRAMAS[],3,FALSE),0)</f>
        <v>1233505101.0616004</v>
      </c>
      <c r="AJ773" s="246">
        <f>IFERROR(VLOOKUP(H773,PROGRAMAS[],3,FALSE),0)</f>
        <v>6129902208.7912121</v>
      </c>
      <c r="AK773" s="246">
        <f>IFERROR(VLOOKUP(I773,PROGRAMAS[],3,FALSE),0)</f>
        <v>7011279577.519702</v>
      </c>
      <c r="AL773" s="246">
        <f>IFERROR(VLOOKUP(J773,PROGRAMAS[],3,FALSE),0)</f>
        <v>4099471734.9978786</v>
      </c>
      <c r="AM773" s="246">
        <f>IFERROR(VLOOKUP(K773,PROGRAMAS[],3,FALSE),0)</f>
        <v>675517840.109828</v>
      </c>
      <c r="AN773" s="246">
        <f>IFERROR(VLOOKUP(L773,PROGRAMAS[],3,FALSE),0)</f>
        <v>0</v>
      </c>
      <c r="AO773" s="246">
        <f>IFERROR(VLOOKUP(M773,PROGRAMAS[],3,FALSE),0)</f>
        <v>0</v>
      </c>
      <c r="AP773" s="246">
        <f>IFERROR(VLOOKUP(N773,PROGRAMAS[],3,FALSE),0)</f>
        <v>0</v>
      </c>
      <c r="AQ773" s="246">
        <f>IFERROR(VLOOKUP(O773,PROGRAMAS[],3,FALSE),0)</f>
        <v>0</v>
      </c>
      <c r="AR773" s="246">
        <f>IFERROR(VLOOKUP(P773,PROGRAMAS[],3,FALSE),0)</f>
        <v>0</v>
      </c>
      <c r="AS773" s="246">
        <f>IFERROR(VLOOKUP(Q773,PROGRAMAS[],3,FALSE),0)</f>
        <v>0</v>
      </c>
      <c r="AT773" s="246">
        <f>IFERROR(VLOOKUP(D773,VOL_REC[],2,FALSE),0)</f>
        <v>0</v>
      </c>
      <c r="AU773" s="246">
        <f>IFERROR(VLOOKUP(E773,VOL_REC[],2,FALSE),0)</f>
        <v>0</v>
      </c>
      <c r="AV773" s="246">
        <f>IFERROR(VLOOKUP(F773,VOL_REC[],2,FALSE),0)</f>
        <v>11089674.200000001</v>
      </c>
      <c r="AW773" s="246">
        <f>IFERROR(VLOOKUP(G773,VOL_REC[],2,FALSE),0)</f>
        <v>4325103.1812214684</v>
      </c>
      <c r="AX773" s="246">
        <f>IFERROR(VLOOKUP(H773,VOL_REC[],2,FALSE),0)</f>
        <v>15540036.397699751</v>
      </c>
      <c r="AY773" s="246">
        <f>IFERROR(VLOOKUP(I773,VOL_REC[],2,FALSE),0)</f>
        <v>3761786</v>
      </c>
      <c r="AZ773" s="246">
        <f>IFERROR(VLOOKUP(J773,VOL_REC[],2,FALSE),0)</f>
        <v>1812240</v>
      </c>
      <c r="BA773" s="246">
        <f>IFERROR(VLOOKUP(K773,VOL_REC[],2,FALSE),0)</f>
        <v>240696.79238099116</v>
      </c>
      <c r="BB773" s="246">
        <f>IFERROR(VLOOKUP(L773,VOL_REC[],2,FALSE),0)</f>
        <v>0</v>
      </c>
      <c r="BC773" s="246">
        <f>IFERROR(VLOOKUP(M773,VOL_REC[],2,FALSE),0)</f>
        <v>0</v>
      </c>
      <c r="BD773" s="246">
        <f>IFERROR(VLOOKUP(N773,VOL_REC[],2,FALSE),0)</f>
        <v>0</v>
      </c>
      <c r="BE773" s="246">
        <f>IFERROR(VLOOKUP(O773,VOL_REC[],2,FALSE),0)</f>
        <v>0</v>
      </c>
      <c r="BF773" s="246">
        <f>IFERROR(VLOOKUP(P773,VOL_REC[],2,FALSE),0)</f>
        <v>0</v>
      </c>
      <c r="BG773" s="246">
        <f>IFERROR(VLOOKUP(Q773,VOL_REC[],2,FALSE),0)</f>
        <v>0</v>
      </c>
      <c r="BH773" s="1710">
        <f t="shared" si="48"/>
        <v>23677149204.447662</v>
      </c>
      <c r="BI773" s="1710">
        <f t="shared" si="49"/>
        <v>27235447366.342773</v>
      </c>
      <c r="BJ773" s="1711">
        <f t="shared" si="50"/>
        <v>36769536.571302205</v>
      </c>
      <c r="BK773" s="1711">
        <f t="shared" si="51"/>
        <v>0.86935047865993886</v>
      </c>
    </row>
    <row r="774" spans="3:67" x14ac:dyDescent="0.25">
      <c r="C774" s="246" t="s">
        <v>2124</v>
      </c>
      <c r="D774" s="246">
        <v>1</v>
      </c>
      <c r="E774" s="246">
        <v>2</v>
      </c>
      <c r="F774" s="246">
        <v>3</v>
      </c>
      <c r="G774" s="246">
        <v>5</v>
      </c>
      <c r="H774" s="246">
        <v>6</v>
      </c>
      <c r="I774" s="246">
        <v>9</v>
      </c>
      <c r="J774" s="246">
        <v>10</v>
      </c>
      <c r="K774" s="246">
        <v>13</v>
      </c>
      <c r="L774" s="246"/>
      <c r="M774" s="246"/>
      <c r="N774" s="246"/>
      <c r="O774" s="246"/>
      <c r="P774" s="246"/>
      <c r="Q774" s="246"/>
      <c r="R774" s="246">
        <f>IFERROR(VLOOKUP(D774,PROGRAMAS[],2,FALSE),0)</f>
        <v>97037803.679377079</v>
      </c>
      <c r="S774" s="246">
        <f>IFERROR(VLOOKUP(E774,PROGRAMAS[],2,FALSE),0)</f>
        <v>640501509.6821388</v>
      </c>
      <c r="T774" s="246">
        <f>IFERROR(VLOOKUP(F774,PROGRAMAS[],2,FALSE),0)</f>
        <v>3062327798.1525245</v>
      </c>
      <c r="U774" s="246">
        <f>IFERROR(VLOOKUP(G774,PROGRAMAS[],2,FALSE),0)</f>
        <v>1440941976.2528784</v>
      </c>
      <c r="V774" s="246">
        <f>IFERROR(VLOOKUP(H774,PROGRAMAS[],2,FALSE),0)</f>
        <v>6907648435.8447599</v>
      </c>
      <c r="W774" s="246">
        <f>IFERROR(VLOOKUP(I774,PROGRAMAS[],2,FALSE),0)</f>
        <v>6128579952.1618185</v>
      </c>
      <c r="X774" s="246">
        <f>IFERROR(VLOOKUP(J774,PROGRAMAS[],2,FALSE),0)</f>
        <v>4635315027.8751087</v>
      </c>
      <c r="Y774" s="246">
        <f>IFERROR(VLOOKUP(K774,PROGRAMAS[],2,FALSE),0)</f>
        <v>3776538594.4604583</v>
      </c>
      <c r="Z774" s="246">
        <f>IFERROR(VLOOKUP(L774,PROGRAMAS[],2,FALSE),0)</f>
        <v>0</v>
      </c>
      <c r="AA774" s="246">
        <f>IFERROR(VLOOKUP(M774,PROGRAMAS[],2,FALSE),0)</f>
        <v>0</v>
      </c>
      <c r="AB774" s="246">
        <f>IFERROR(VLOOKUP(N774,PROGRAMAS[],2,FALSE),0)</f>
        <v>0</v>
      </c>
      <c r="AC774" s="246">
        <f>IFERROR(VLOOKUP(O774,PROGRAMAS[],2,FALSE),0)</f>
        <v>0</v>
      </c>
      <c r="AD774" s="246">
        <f>IFERROR(VLOOKUP(P774,PROGRAMAS[],2,FALSE),0)</f>
        <v>0</v>
      </c>
      <c r="AE774" s="246">
        <f>IFERROR(VLOOKUP(Q774,PROGRAMAS[],2,FALSE),0)</f>
        <v>0</v>
      </c>
      <c r="AF774" s="246">
        <f>IFERROR(VLOOKUP(D774,PROGRAMAS[],3,FALSE),0)</f>
        <v>841888629.31080008</v>
      </c>
      <c r="AG774" s="246">
        <f>IFERROR(VLOOKUP(E774,PROGRAMAS[],3,FALSE),0)</f>
        <v>3848980803.1642323</v>
      </c>
      <c r="AH774" s="246">
        <f>IFERROR(VLOOKUP(F774,PROGRAMAS[],3,FALSE),0)</f>
        <v>3394901471.387517</v>
      </c>
      <c r="AI774" s="246">
        <f>IFERROR(VLOOKUP(G774,PROGRAMAS[],3,FALSE),0)</f>
        <v>1233505101.0616004</v>
      </c>
      <c r="AJ774" s="246">
        <f>IFERROR(VLOOKUP(H774,PROGRAMAS[],3,FALSE),0)</f>
        <v>6129902208.7912121</v>
      </c>
      <c r="AK774" s="246">
        <f>IFERROR(VLOOKUP(I774,PROGRAMAS[],3,FALSE),0)</f>
        <v>7011279577.519702</v>
      </c>
      <c r="AL774" s="246">
        <f>IFERROR(VLOOKUP(J774,PROGRAMAS[],3,FALSE),0)</f>
        <v>4099471734.9978786</v>
      </c>
      <c r="AM774" s="246">
        <f>IFERROR(VLOOKUP(K774,PROGRAMAS[],3,FALSE),0)</f>
        <v>2392571243.5584412</v>
      </c>
      <c r="AN774" s="246">
        <f>IFERROR(VLOOKUP(L774,PROGRAMAS[],3,FALSE),0)</f>
        <v>0</v>
      </c>
      <c r="AO774" s="246">
        <f>IFERROR(VLOOKUP(M774,PROGRAMAS[],3,FALSE),0)</f>
        <v>0</v>
      </c>
      <c r="AP774" s="246">
        <f>IFERROR(VLOOKUP(N774,PROGRAMAS[],3,FALSE),0)</f>
        <v>0</v>
      </c>
      <c r="AQ774" s="246">
        <f>IFERROR(VLOOKUP(O774,PROGRAMAS[],3,FALSE),0)</f>
        <v>0</v>
      </c>
      <c r="AR774" s="246">
        <f>IFERROR(VLOOKUP(P774,PROGRAMAS[],3,FALSE),0)</f>
        <v>0</v>
      </c>
      <c r="AS774" s="246">
        <f>IFERROR(VLOOKUP(Q774,PROGRAMAS[],3,FALSE),0)</f>
        <v>0</v>
      </c>
      <c r="AT774" s="246">
        <f>IFERROR(VLOOKUP(D774,VOL_REC[],2,FALSE),0)</f>
        <v>0</v>
      </c>
      <c r="AU774" s="246">
        <f>IFERROR(VLOOKUP(E774,VOL_REC[],2,FALSE),0)</f>
        <v>0</v>
      </c>
      <c r="AV774" s="246">
        <f>IFERROR(VLOOKUP(F774,VOL_REC[],2,FALSE),0)</f>
        <v>11089674.200000001</v>
      </c>
      <c r="AW774" s="246">
        <f>IFERROR(VLOOKUP(G774,VOL_REC[],2,FALSE),0)</f>
        <v>4325103.1812214684</v>
      </c>
      <c r="AX774" s="246">
        <f>IFERROR(VLOOKUP(H774,VOL_REC[],2,FALSE),0)</f>
        <v>15540036.397699751</v>
      </c>
      <c r="AY774" s="246">
        <f>IFERROR(VLOOKUP(I774,VOL_REC[],2,FALSE),0)</f>
        <v>3761786</v>
      </c>
      <c r="AZ774" s="246">
        <f>IFERROR(VLOOKUP(J774,VOL_REC[],2,FALSE),0)</f>
        <v>1812240</v>
      </c>
      <c r="BA774" s="246">
        <f>IFERROR(VLOOKUP(K774,VOL_REC[],2,FALSE),0)</f>
        <v>663244.80000000016</v>
      </c>
      <c r="BB774" s="246">
        <f>IFERROR(VLOOKUP(L774,VOL_REC[],2,FALSE),0)</f>
        <v>0</v>
      </c>
      <c r="BC774" s="246">
        <f>IFERROR(VLOOKUP(M774,VOL_REC[],2,FALSE),0)</f>
        <v>0</v>
      </c>
      <c r="BD774" s="246">
        <f>IFERROR(VLOOKUP(N774,VOL_REC[],2,FALSE),0)</f>
        <v>0</v>
      </c>
      <c r="BE774" s="246">
        <f>IFERROR(VLOOKUP(O774,VOL_REC[],2,FALSE),0)</f>
        <v>0</v>
      </c>
      <c r="BF774" s="246">
        <f>IFERROR(VLOOKUP(P774,VOL_REC[],2,FALSE),0)</f>
        <v>0</v>
      </c>
      <c r="BG774" s="246">
        <f>IFERROR(VLOOKUP(Q774,VOL_REC[],2,FALSE),0)</f>
        <v>0</v>
      </c>
      <c r="BH774" s="1710">
        <f t="shared" si="48"/>
        <v>26688891098.109062</v>
      </c>
      <c r="BI774" s="1710">
        <f t="shared" si="49"/>
        <v>28952500769.791386</v>
      </c>
      <c r="BJ774" s="1711">
        <f t="shared" si="50"/>
        <v>37192084.578921214</v>
      </c>
      <c r="BK774" s="1711">
        <f t="shared" si="51"/>
        <v>0.92181643687083015</v>
      </c>
    </row>
    <row r="775" spans="3:67" x14ac:dyDescent="0.25">
      <c r="C775" s="246" t="s">
        <v>2125</v>
      </c>
      <c r="D775" s="246">
        <v>1</v>
      </c>
      <c r="E775" s="246">
        <v>2</v>
      </c>
      <c r="F775" s="246">
        <v>3</v>
      </c>
      <c r="G775" s="246">
        <v>5</v>
      </c>
      <c r="H775" s="246">
        <v>6</v>
      </c>
      <c r="I775" s="246">
        <v>9</v>
      </c>
      <c r="J775" s="246">
        <v>10</v>
      </c>
      <c r="K775" s="246">
        <v>14</v>
      </c>
      <c r="L775" s="246"/>
      <c r="M775" s="246"/>
      <c r="N775" s="246"/>
      <c r="O775" s="246"/>
      <c r="P775" s="246"/>
      <c r="Q775" s="246"/>
      <c r="R775" s="246">
        <f>IFERROR(VLOOKUP(D775,PROGRAMAS[],2,FALSE),0)</f>
        <v>97037803.679377079</v>
      </c>
      <c r="S775" s="246">
        <f>IFERROR(VLOOKUP(E775,PROGRAMAS[],2,FALSE),0)</f>
        <v>640501509.6821388</v>
      </c>
      <c r="T775" s="246">
        <f>IFERROR(VLOOKUP(F775,PROGRAMAS[],2,FALSE),0)</f>
        <v>3062327798.1525245</v>
      </c>
      <c r="U775" s="246">
        <f>IFERROR(VLOOKUP(G775,PROGRAMAS[],2,FALSE),0)</f>
        <v>1440941976.2528784</v>
      </c>
      <c r="V775" s="246">
        <f>IFERROR(VLOOKUP(H775,PROGRAMAS[],2,FALSE),0)</f>
        <v>6907648435.8447599</v>
      </c>
      <c r="W775" s="246">
        <f>IFERROR(VLOOKUP(I775,PROGRAMAS[],2,FALSE),0)</f>
        <v>6128579952.1618185</v>
      </c>
      <c r="X775" s="246">
        <f>IFERROR(VLOOKUP(J775,PROGRAMAS[],2,FALSE),0)</f>
        <v>4635315027.8751087</v>
      </c>
      <c r="Y775" s="246">
        <f>IFERROR(VLOOKUP(K775,PROGRAMAS[],2,FALSE),0)</f>
        <v>54223862.645839565</v>
      </c>
      <c r="Z775" s="246">
        <f>IFERROR(VLOOKUP(L775,PROGRAMAS[],2,FALSE),0)</f>
        <v>0</v>
      </c>
      <c r="AA775" s="246">
        <f>IFERROR(VLOOKUP(M775,PROGRAMAS[],2,FALSE),0)</f>
        <v>0</v>
      </c>
      <c r="AB775" s="246">
        <f>IFERROR(VLOOKUP(N775,PROGRAMAS[],2,FALSE),0)</f>
        <v>0</v>
      </c>
      <c r="AC775" s="246">
        <f>IFERROR(VLOOKUP(O775,PROGRAMAS[],2,FALSE),0)</f>
        <v>0</v>
      </c>
      <c r="AD775" s="246">
        <f>IFERROR(VLOOKUP(P775,PROGRAMAS[],2,FALSE),0)</f>
        <v>0</v>
      </c>
      <c r="AE775" s="246">
        <f>IFERROR(VLOOKUP(Q775,PROGRAMAS[],2,FALSE),0)</f>
        <v>0</v>
      </c>
      <c r="AF775" s="246">
        <f>IFERROR(VLOOKUP(D775,PROGRAMAS[],3,FALSE),0)</f>
        <v>841888629.31080008</v>
      </c>
      <c r="AG775" s="246">
        <f>IFERROR(VLOOKUP(E775,PROGRAMAS[],3,FALSE),0)</f>
        <v>3848980803.1642323</v>
      </c>
      <c r="AH775" s="246">
        <f>IFERROR(VLOOKUP(F775,PROGRAMAS[],3,FALSE),0)</f>
        <v>3394901471.387517</v>
      </c>
      <c r="AI775" s="246">
        <f>IFERROR(VLOOKUP(G775,PROGRAMAS[],3,FALSE),0)</f>
        <v>1233505101.0616004</v>
      </c>
      <c r="AJ775" s="246">
        <f>IFERROR(VLOOKUP(H775,PROGRAMAS[],3,FALSE),0)</f>
        <v>6129902208.7912121</v>
      </c>
      <c r="AK775" s="246">
        <f>IFERROR(VLOOKUP(I775,PROGRAMAS[],3,FALSE),0)</f>
        <v>7011279577.519702</v>
      </c>
      <c r="AL775" s="246">
        <f>IFERROR(VLOOKUP(J775,PROGRAMAS[],3,FALSE),0)</f>
        <v>4099471734.9978786</v>
      </c>
      <c r="AM775" s="246">
        <f>IFERROR(VLOOKUP(K775,PROGRAMAS[],3,FALSE),0)</f>
        <v>31865326.38096505</v>
      </c>
      <c r="AN775" s="246">
        <f>IFERROR(VLOOKUP(L775,PROGRAMAS[],3,FALSE),0)</f>
        <v>0</v>
      </c>
      <c r="AO775" s="246">
        <f>IFERROR(VLOOKUP(M775,PROGRAMAS[],3,FALSE),0)</f>
        <v>0</v>
      </c>
      <c r="AP775" s="246">
        <f>IFERROR(VLOOKUP(N775,PROGRAMAS[],3,FALSE),0)</f>
        <v>0</v>
      </c>
      <c r="AQ775" s="246">
        <f>IFERROR(VLOOKUP(O775,PROGRAMAS[],3,FALSE),0)</f>
        <v>0</v>
      </c>
      <c r="AR775" s="246">
        <f>IFERROR(VLOOKUP(P775,PROGRAMAS[],3,FALSE),0)</f>
        <v>0</v>
      </c>
      <c r="AS775" s="246">
        <f>IFERROR(VLOOKUP(Q775,PROGRAMAS[],3,FALSE),0)</f>
        <v>0</v>
      </c>
      <c r="AT775" s="246">
        <f>IFERROR(VLOOKUP(D775,VOL_REC[],2,FALSE),0)</f>
        <v>0</v>
      </c>
      <c r="AU775" s="246">
        <f>IFERROR(VLOOKUP(E775,VOL_REC[],2,FALSE),0)</f>
        <v>0</v>
      </c>
      <c r="AV775" s="246">
        <f>IFERROR(VLOOKUP(F775,VOL_REC[],2,FALSE),0)</f>
        <v>11089674.200000001</v>
      </c>
      <c r="AW775" s="246">
        <f>IFERROR(VLOOKUP(G775,VOL_REC[],2,FALSE),0)</f>
        <v>4325103.1812214684</v>
      </c>
      <c r="AX775" s="246">
        <f>IFERROR(VLOOKUP(H775,VOL_REC[],2,FALSE),0)</f>
        <v>15540036.397699751</v>
      </c>
      <c r="AY775" s="246">
        <f>IFERROR(VLOOKUP(I775,VOL_REC[],2,FALSE),0)</f>
        <v>3761786</v>
      </c>
      <c r="AZ775" s="246">
        <f>IFERROR(VLOOKUP(J775,VOL_REC[],2,FALSE),0)</f>
        <v>1812240</v>
      </c>
      <c r="BA775" s="246">
        <f>IFERROR(VLOOKUP(K775,VOL_REC[],2,FALSE),0)</f>
        <v>17074.045034105649</v>
      </c>
      <c r="BB775" s="246">
        <f>IFERROR(VLOOKUP(L775,VOL_REC[],2,FALSE),0)</f>
        <v>0</v>
      </c>
      <c r="BC775" s="246">
        <f>IFERROR(VLOOKUP(M775,VOL_REC[],2,FALSE),0)</f>
        <v>0</v>
      </c>
      <c r="BD775" s="246">
        <f>IFERROR(VLOOKUP(N775,VOL_REC[],2,FALSE),0)</f>
        <v>0</v>
      </c>
      <c r="BE775" s="246">
        <f>IFERROR(VLOOKUP(O775,VOL_REC[],2,FALSE),0)</f>
        <v>0</v>
      </c>
      <c r="BF775" s="246">
        <f>IFERROR(VLOOKUP(P775,VOL_REC[],2,FALSE),0)</f>
        <v>0</v>
      </c>
      <c r="BG775" s="246">
        <f>IFERROR(VLOOKUP(Q775,VOL_REC[],2,FALSE),0)</f>
        <v>0</v>
      </c>
      <c r="BH775" s="1710">
        <f t="shared" si="48"/>
        <v>22966576366.294445</v>
      </c>
      <c r="BI775" s="1710">
        <f t="shared" si="49"/>
        <v>26591794852.613911</v>
      </c>
      <c r="BJ775" s="1711">
        <f t="shared" si="50"/>
        <v>36545913.82395532</v>
      </c>
      <c r="BK775" s="1711">
        <f t="shared" si="51"/>
        <v>0.86367153829170296</v>
      </c>
    </row>
    <row r="776" spans="3:67" x14ac:dyDescent="0.25">
      <c r="C776" s="246" t="s">
        <v>2126</v>
      </c>
      <c r="D776" s="246">
        <v>1</v>
      </c>
      <c r="E776" s="246">
        <v>2</v>
      </c>
      <c r="F776" s="246">
        <v>3</v>
      </c>
      <c r="G776" s="246">
        <v>5</v>
      </c>
      <c r="H776" s="246">
        <v>6</v>
      </c>
      <c r="I776" s="246">
        <v>9</v>
      </c>
      <c r="J776" s="246">
        <v>10</v>
      </c>
      <c r="K776" s="246">
        <v>15</v>
      </c>
      <c r="L776" s="246"/>
      <c r="M776" s="246"/>
      <c r="N776" s="246"/>
      <c r="O776" s="246"/>
      <c r="P776" s="246"/>
      <c r="Q776" s="246"/>
      <c r="R776" s="246">
        <f>IFERROR(VLOOKUP(D776,PROGRAMAS[],2,FALSE),0)</f>
        <v>97037803.679377079</v>
      </c>
      <c r="S776" s="246">
        <f>IFERROR(VLOOKUP(E776,PROGRAMAS[],2,FALSE),0)</f>
        <v>640501509.6821388</v>
      </c>
      <c r="T776" s="246">
        <f>IFERROR(VLOOKUP(F776,PROGRAMAS[],2,FALSE),0)</f>
        <v>3062327798.1525245</v>
      </c>
      <c r="U776" s="246">
        <f>IFERROR(VLOOKUP(G776,PROGRAMAS[],2,FALSE),0)</f>
        <v>1440941976.2528784</v>
      </c>
      <c r="V776" s="246">
        <f>IFERROR(VLOOKUP(H776,PROGRAMAS[],2,FALSE),0)</f>
        <v>6907648435.8447599</v>
      </c>
      <c r="W776" s="246">
        <f>IFERROR(VLOOKUP(I776,PROGRAMAS[],2,FALSE),0)</f>
        <v>6128579952.1618185</v>
      </c>
      <c r="X776" s="246">
        <f>IFERROR(VLOOKUP(J776,PROGRAMAS[],2,FALSE),0)</f>
        <v>4635315027.8751087</v>
      </c>
      <c r="Y776" s="246">
        <f>IFERROR(VLOOKUP(K776,PROGRAMAS[],2,FALSE),0)</f>
        <v>122159672.96346797</v>
      </c>
      <c r="Z776" s="246">
        <f>IFERROR(VLOOKUP(L776,PROGRAMAS[],2,FALSE),0)</f>
        <v>0</v>
      </c>
      <c r="AA776" s="246">
        <f>IFERROR(VLOOKUP(M776,PROGRAMAS[],2,FALSE),0)</f>
        <v>0</v>
      </c>
      <c r="AB776" s="246">
        <f>IFERROR(VLOOKUP(N776,PROGRAMAS[],2,FALSE),0)</f>
        <v>0</v>
      </c>
      <c r="AC776" s="246">
        <f>IFERROR(VLOOKUP(O776,PROGRAMAS[],2,FALSE),0)</f>
        <v>0</v>
      </c>
      <c r="AD776" s="246">
        <f>IFERROR(VLOOKUP(P776,PROGRAMAS[],2,FALSE),0)</f>
        <v>0</v>
      </c>
      <c r="AE776" s="246">
        <f>IFERROR(VLOOKUP(Q776,PROGRAMAS[],2,FALSE),0)</f>
        <v>0</v>
      </c>
      <c r="AF776" s="246">
        <f>IFERROR(VLOOKUP(D776,PROGRAMAS[],3,FALSE),0)</f>
        <v>841888629.31080008</v>
      </c>
      <c r="AG776" s="246">
        <f>IFERROR(VLOOKUP(E776,PROGRAMAS[],3,FALSE),0)</f>
        <v>3848980803.1642323</v>
      </c>
      <c r="AH776" s="246">
        <f>IFERROR(VLOOKUP(F776,PROGRAMAS[],3,FALSE),0)</f>
        <v>3394901471.387517</v>
      </c>
      <c r="AI776" s="246">
        <f>IFERROR(VLOOKUP(G776,PROGRAMAS[],3,FALSE),0)</f>
        <v>1233505101.0616004</v>
      </c>
      <c r="AJ776" s="246">
        <f>IFERROR(VLOOKUP(H776,PROGRAMAS[],3,FALSE),0)</f>
        <v>6129902208.7912121</v>
      </c>
      <c r="AK776" s="246">
        <f>IFERROR(VLOOKUP(I776,PROGRAMAS[],3,FALSE),0)</f>
        <v>7011279577.519702</v>
      </c>
      <c r="AL776" s="246">
        <f>IFERROR(VLOOKUP(J776,PROGRAMAS[],3,FALSE),0)</f>
        <v>4099471734.9978786</v>
      </c>
      <c r="AM776" s="246">
        <f>IFERROR(VLOOKUP(K776,PROGRAMAS[],3,FALSE),0)</f>
        <v>118617452.52510804</v>
      </c>
      <c r="AN776" s="246">
        <f>IFERROR(VLOOKUP(L776,PROGRAMAS[],3,FALSE),0)</f>
        <v>0</v>
      </c>
      <c r="AO776" s="246">
        <f>IFERROR(VLOOKUP(M776,PROGRAMAS[],3,FALSE),0)</f>
        <v>0</v>
      </c>
      <c r="AP776" s="246">
        <f>IFERROR(VLOOKUP(N776,PROGRAMAS[],3,FALSE),0)</f>
        <v>0</v>
      </c>
      <c r="AQ776" s="246">
        <f>IFERROR(VLOOKUP(O776,PROGRAMAS[],3,FALSE),0)</f>
        <v>0</v>
      </c>
      <c r="AR776" s="246">
        <f>IFERROR(VLOOKUP(P776,PROGRAMAS[],3,FALSE),0)</f>
        <v>0</v>
      </c>
      <c r="AS776" s="246">
        <f>IFERROR(VLOOKUP(Q776,PROGRAMAS[],3,FALSE),0)</f>
        <v>0</v>
      </c>
      <c r="AT776" s="246">
        <f>IFERROR(VLOOKUP(D776,VOL_REC[],2,FALSE),0)</f>
        <v>0</v>
      </c>
      <c r="AU776" s="246">
        <f>IFERROR(VLOOKUP(E776,VOL_REC[],2,FALSE),0)</f>
        <v>0</v>
      </c>
      <c r="AV776" s="246">
        <f>IFERROR(VLOOKUP(F776,VOL_REC[],2,FALSE),0)</f>
        <v>11089674.200000001</v>
      </c>
      <c r="AW776" s="246">
        <f>IFERROR(VLOOKUP(G776,VOL_REC[],2,FALSE),0)</f>
        <v>4325103.1812214684</v>
      </c>
      <c r="AX776" s="246">
        <f>IFERROR(VLOOKUP(H776,VOL_REC[],2,FALSE),0)</f>
        <v>15540036.397699751</v>
      </c>
      <c r="AY776" s="246">
        <f>IFERROR(VLOOKUP(I776,VOL_REC[],2,FALSE),0)</f>
        <v>3761786</v>
      </c>
      <c r="AZ776" s="246">
        <f>IFERROR(VLOOKUP(J776,VOL_REC[],2,FALSE),0)</f>
        <v>1812240</v>
      </c>
      <c r="BA776" s="246">
        <f>IFERROR(VLOOKUP(K776,VOL_REC[],2,FALSE),0)</f>
        <v>105072</v>
      </c>
      <c r="BB776" s="246">
        <f>IFERROR(VLOOKUP(L776,VOL_REC[],2,FALSE),0)</f>
        <v>0</v>
      </c>
      <c r="BC776" s="246">
        <f>IFERROR(VLOOKUP(M776,VOL_REC[],2,FALSE),0)</f>
        <v>0</v>
      </c>
      <c r="BD776" s="246">
        <f>IFERROR(VLOOKUP(N776,VOL_REC[],2,FALSE),0)</f>
        <v>0</v>
      </c>
      <c r="BE776" s="246">
        <f>IFERROR(VLOOKUP(O776,VOL_REC[],2,FALSE),0)</f>
        <v>0</v>
      </c>
      <c r="BF776" s="246">
        <f>IFERROR(VLOOKUP(P776,VOL_REC[],2,FALSE),0)</f>
        <v>0</v>
      </c>
      <c r="BG776" s="246">
        <f>IFERROR(VLOOKUP(Q776,VOL_REC[],2,FALSE),0)</f>
        <v>0</v>
      </c>
      <c r="BH776" s="1710">
        <f t="shared" si="48"/>
        <v>23034512176.612072</v>
      </c>
      <c r="BI776" s="1710">
        <f t="shared" si="49"/>
        <v>26678546978.758053</v>
      </c>
      <c r="BJ776" s="1711">
        <f t="shared" si="50"/>
        <v>36633911.778921217</v>
      </c>
      <c r="BK776" s="1711">
        <f t="shared" si="51"/>
        <v>0.86340954756466204</v>
      </c>
    </row>
    <row r="777" spans="3:67" x14ac:dyDescent="0.25">
      <c r="C777" s="246" t="s">
        <v>2127</v>
      </c>
      <c r="D777" s="246">
        <v>1</v>
      </c>
      <c r="E777" s="246">
        <v>2</v>
      </c>
      <c r="F777" s="246">
        <v>3</v>
      </c>
      <c r="G777" s="246">
        <v>5</v>
      </c>
      <c r="H777" s="246">
        <v>6</v>
      </c>
      <c r="I777" s="246">
        <v>9</v>
      </c>
      <c r="J777" s="246">
        <v>10</v>
      </c>
      <c r="K777" s="246">
        <v>16</v>
      </c>
      <c r="L777" s="246"/>
      <c r="M777" s="246"/>
      <c r="N777" s="246"/>
      <c r="O777" s="246"/>
      <c r="P777" s="246"/>
      <c r="Q777" s="246"/>
      <c r="R777" s="246">
        <f>IFERROR(VLOOKUP(D777,PROGRAMAS[],2,FALSE),0)</f>
        <v>97037803.679377079</v>
      </c>
      <c r="S777" s="246">
        <f>IFERROR(VLOOKUP(E777,PROGRAMAS[],2,FALSE),0)</f>
        <v>640501509.6821388</v>
      </c>
      <c r="T777" s="246">
        <f>IFERROR(VLOOKUP(F777,PROGRAMAS[],2,FALSE),0)</f>
        <v>3062327798.1525245</v>
      </c>
      <c r="U777" s="246">
        <f>IFERROR(VLOOKUP(G777,PROGRAMAS[],2,FALSE),0)</f>
        <v>1440941976.2528784</v>
      </c>
      <c r="V777" s="246">
        <f>IFERROR(VLOOKUP(H777,PROGRAMAS[],2,FALSE),0)</f>
        <v>6907648435.8447599</v>
      </c>
      <c r="W777" s="246">
        <f>IFERROR(VLOOKUP(I777,PROGRAMAS[],2,FALSE),0)</f>
        <v>6128579952.1618185</v>
      </c>
      <c r="X777" s="246">
        <f>IFERROR(VLOOKUP(J777,PROGRAMAS[],2,FALSE),0)</f>
        <v>4635315027.8751087</v>
      </c>
      <c r="Y777" s="246">
        <f>IFERROR(VLOOKUP(K777,PROGRAMAS[],2,FALSE),0)</f>
        <v>7068496961.0436354</v>
      </c>
      <c r="Z777" s="246">
        <f>IFERROR(VLOOKUP(L777,PROGRAMAS[],2,FALSE),0)</f>
        <v>0</v>
      </c>
      <c r="AA777" s="246">
        <f>IFERROR(VLOOKUP(M777,PROGRAMAS[],2,FALSE),0)</f>
        <v>0</v>
      </c>
      <c r="AB777" s="246">
        <f>IFERROR(VLOOKUP(N777,PROGRAMAS[],2,FALSE),0)</f>
        <v>0</v>
      </c>
      <c r="AC777" s="246">
        <f>IFERROR(VLOOKUP(O777,PROGRAMAS[],2,FALSE),0)</f>
        <v>0</v>
      </c>
      <c r="AD777" s="246">
        <f>IFERROR(VLOOKUP(P777,PROGRAMAS[],2,FALSE),0)</f>
        <v>0</v>
      </c>
      <c r="AE777" s="246">
        <f>IFERROR(VLOOKUP(Q777,PROGRAMAS[],2,FALSE),0)</f>
        <v>0</v>
      </c>
      <c r="AF777" s="246">
        <f>IFERROR(VLOOKUP(D777,PROGRAMAS[],3,FALSE),0)</f>
        <v>841888629.31080008</v>
      </c>
      <c r="AG777" s="246">
        <f>IFERROR(VLOOKUP(E777,PROGRAMAS[],3,FALSE),0)</f>
        <v>3848980803.1642323</v>
      </c>
      <c r="AH777" s="246">
        <f>IFERROR(VLOOKUP(F777,PROGRAMAS[],3,FALSE),0)</f>
        <v>3394901471.387517</v>
      </c>
      <c r="AI777" s="246">
        <f>IFERROR(VLOOKUP(G777,PROGRAMAS[],3,FALSE),0)</f>
        <v>1233505101.0616004</v>
      </c>
      <c r="AJ777" s="246">
        <f>IFERROR(VLOOKUP(H777,PROGRAMAS[],3,FALSE),0)</f>
        <v>6129902208.7912121</v>
      </c>
      <c r="AK777" s="246">
        <f>IFERROR(VLOOKUP(I777,PROGRAMAS[],3,FALSE),0)</f>
        <v>7011279577.519702</v>
      </c>
      <c r="AL777" s="246">
        <f>IFERROR(VLOOKUP(J777,PROGRAMAS[],3,FALSE),0)</f>
        <v>4099471734.9978786</v>
      </c>
      <c r="AM777" s="246">
        <f>IFERROR(VLOOKUP(K777,PROGRAMAS[],3,FALSE),0)</f>
        <v>2406564599.0319901</v>
      </c>
      <c r="AN777" s="246">
        <f>IFERROR(VLOOKUP(L777,PROGRAMAS[],3,FALSE),0)</f>
        <v>0</v>
      </c>
      <c r="AO777" s="246">
        <f>IFERROR(VLOOKUP(M777,PROGRAMAS[],3,FALSE),0)</f>
        <v>0</v>
      </c>
      <c r="AP777" s="246">
        <f>IFERROR(VLOOKUP(N777,PROGRAMAS[],3,FALSE),0)</f>
        <v>0</v>
      </c>
      <c r="AQ777" s="246">
        <f>IFERROR(VLOOKUP(O777,PROGRAMAS[],3,FALSE),0)</f>
        <v>0</v>
      </c>
      <c r="AR777" s="246">
        <f>IFERROR(VLOOKUP(P777,PROGRAMAS[],3,FALSE),0)</f>
        <v>0</v>
      </c>
      <c r="AS777" s="246">
        <f>IFERROR(VLOOKUP(Q777,PROGRAMAS[],3,FALSE),0)</f>
        <v>0</v>
      </c>
      <c r="AT777" s="246">
        <f>IFERROR(VLOOKUP(D777,VOL_REC[],2,FALSE),0)</f>
        <v>0</v>
      </c>
      <c r="AU777" s="246">
        <f>IFERROR(VLOOKUP(E777,VOL_REC[],2,FALSE),0)</f>
        <v>0</v>
      </c>
      <c r="AV777" s="246">
        <f>IFERROR(VLOOKUP(F777,VOL_REC[],2,FALSE),0)</f>
        <v>11089674.200000001</v>
      </c>
      <c r="AW777" s="246">
        <f>IFERROR(VLOOKUP(G777,VOL_REC[],2,FALSE),0)</f>
        <v>4325103.1812214684</v>
      </c>
      <c r="AX777" s="246">
        <f>IFERROR(VLOOKUP(H777,VOL_REC[],2,FALSE),0)</f>
        <v>15540036.397699751</v>
      </c>
      <c r="AY777" s="246">
        <f>IFERROR(VLOOKUP(I777,VOL_REC[],2,FALSE),0)</f>
        <v>3761786</v>
      </c>
      <c r="AZ777" s="246">
        <f>IFERROR(VLOOKUP(J777,VOL_REC[],2,FALSE),0)</f>
        <v>1812240</v>
      </c>
      <c r="BA777" s="246">
        <f>IFERROR(VLOOKUP(K777,VOL_REC[],2,FALSE),0)</f>
        <v>1072354.9981737854</v>
      </c>
      <c r="BB777" s="246">
        <f>IFERROR(VLOOKUP(L777,VOL_REC[],2,FALSE),0)</f>
        <v>0</v>
      </c>
      <c r="BC777" s="246">
        <f>IFERROR(VLOOKUP(M777,VOL_REC[],2,FALSE),0)</f>
        <v>0</v>
      </c>
      <c r="BD777" s="246">
        <f>IFERROR(VLOOKUP(N777,VOL_REC[],2,FALSE),0)</f>
        <v>0</v>
      </c>
      <c r="BE777" s="246">
        <f>IFERROR(VLOOKUP(O777,VOL_REC[],2,FALSE),0)</f>
        <v>0</v>
      </c>
      <c r="BF777" s="246">
        <f>IFERROR(VLOOKUP(P777,VOL_REC[],2,FALSE),0)</f>
        <v>0</v>
      </c>
      <c r="BG777" s="246">
        <f>IFERROR(VLOOKUP(Q777,VOL_REC[],2,FALSE),0)</f>
        <v>0</v>
      </c>
      <c r="BH777" s="1710">
        <f t="shared" si="48"/>
        <v>29980849464.692242</v>
      </c>
      <c r="BI777" s="1710">
        <f t="shared" si="49"/>
        <v>28966494125.264935</v>
      </c>
      <c r="BJ777" s="1711">
        <f t="shared" si="50"/>
        <v>37601194.777095005</v>
      </c>
      <c r="BK777" s="1711">
        <f t="shared" si="51"/>
        <v>1.0350182295116817</v>
      </c>
      <c r="BL777">
        <f>BJ777</f>
        <v>37601194.777095005</v>
      </c>
      <c r="BO777">
        <f>BL777</f>
        <v>37601194.777095005</v>
      </c>
    </row>
    <row r="778" spans="3:67" x14ac:dyDescent="0.25">
      <c r="C778" s="246" t="s">
        <v>2128</v>
      </c>
      <c r="D778" s="246">
        <v>1</v>
      </c>
      <c r="E778" s="246">
        <v>2</v>
      </c>
      <c r="F778" s="246">
        <v>3</v>
      </c>
      <c r="G778" s="246">
        <v>5</v>
      </c>
      <c r="H778" s="246">
        <v>6</v>
      </c>
      <c r="I778" s="246">
        <v>9</v>
      </c>
      <c r="J778" s="246">
        <v>10</v>
      </c>
      <c r="K778" s="246">
        <v>17</v>
      </c>
      <c r="L778" s="246"/>
      <c r="M778" s="246"/>
      <c r="N778" s="246"/>
      <c r="O778" s="246"/>
      <c r="P778" s="246"/>
      <c r="Q778" s="246"/>
      <c r="R778" s="246">
        <f>IFERROR(VLOOKUP(D778,PROGRAMAS[],2,FALSE),0)</f>
        <v>97037803.679377079</v>
      </c>
      <c r="S778" s="246">
        <f>IFERROR(VLOOKUP(E778,PROGRAMAS[],2,FALSE),0)</f>
        <v>640501509.6821388</v>
      </c>
      <c r="T778" s="246">
        <f>IFERROR(VLOOKUP(F778,PROGRAMAS[],2,FALSE),0)</f>
        <v>3062327798.1525245</v>
      </c>
      <c r="U778" s="246">
        <f>IFERROR(VLOOKUP(G778,PROGRAMAS[],2,FALSE),0)</f>
        <v>1440941976.2528784</v>
      </c>
      <c r="V778" s="246">
        <f>IFERROR(VLOOKUP(H778,PROGRAMAS[],2,FALSE),0)</f>
        <v>6907648435.8447599</v>
      </c>
      <c r="W778" s="246">
        <f>IFERROR(VLOOKUP(I778,PROGRAMAS[],2,FALSE),0)</f>
        <v>6128579952.1618185</v>
      </c>
      <c r="X778" s="246">
        <f>IFERROR(VLOOKUP(J778,PROGRAMAS[],2,FALSE),0)</f>
        <v>4635315027.8751087</v>
      </c>
      <c r="Y778" s="246">
        <f>IFERROR(VLOOKUP(K778,PROGRAMAS[],2,FALSE),0)</f>
        <v>1892779498.5211046</v>
      </c>
      <c r="Z778" s="246">
        <f>IFERROR(VLOOKUP(L778,PROGRAMAS[],2,FALSE),0)</f>
        <v>0</v>
      </c>
      <c r="AA778" s="246">
        <f>IFERROR(VLOOKUP(M778,PROGRAMAS[],2,FALSE),0)</f>
        <v>0</v>
      </c>
      <c r="AB778" s="246">
        <f>IFERROR(VLOOKUP(N778,PROGRAMAS[],2,FALSE),0)</f>
        <v>0</v>
      </c>
      <c r="AC778" s="246">
        <f>IFERROR(VLOOKUP(O778,PROGRAMAS[],2,FALSE),0)</f>
        <v>0</v>
      </c>
      <c r="AD778" s="246">
        <f>IFERROR(VLOOKUP(P778,PROGRAMAS[],2,FALSE),0)</f>
        <v>0</v>
      </c>
      <c r="AE778" s="246">
        <f>IFERROR(VLOOKUP(Q778,PROGRAMAS[],2,FALSE),0)</f>
        <v>0</v>
      </c>
      <c r="AF778" s="246">
        <f>IFERROR(VLOOKUP(D778,PROGRAMAS[],3,FALSE),0)</f>
        <v>841888629.31080008</v>
      </c>
      <c r="AG778" s="246">
        <f>IFERROR(VLOOKUP(E778,PROGRAMAS[],3,FALSE),0)</f>
        <v>3848980803.1642323</v>
      </c>
      <c r="AH778" s="246">
        <f>IFERROR(VLOOKUP(F778,PROGRAMAS[],3,FALSE),0)</f>
        <v>3394901471.387517</v>
      </c>
      <c r="AI778" s="246">
        <f>IFERROR(VLOOKUP(G778,PROGRAMAS[],3,FALSE),0)</f>
        <v>1233505101.0616004</v>
      </c>
      <c r="AJ778" s="246">
        <f>IFERROR(VLOOKUP(H778,PROGRAMAS[],3,FALSE),0)</f>
        <v>6129902208.7912121</v>
      </c>
      <c r="AK778" s="246">
        <f>IFERROR(VLOOKUP(I778,PROGRAMAS[],3,FALSE),0)</f>
        <v>7011279577.519702</v>
      </c>
      <c r="AL778" s="246">
        <f>IFERROR(VLOOKUP(J778,PROGRAMAS[],3,FALSE),0)</f>
        <v>4099471734.9978786</v>
      </c>
      <c r="AM778" s="246">
        <f>IFERROR(VLOOKUP(K778,PROGRAMAS[],3,FALSE),0)</f>
        <v>948595847.09039903</v>
      </c>
      <c r="AN778" s="246">
        <f>IFERROR(VLOOKUP(L778,PROGRAMAS[],3,FALSE),0)</f>
        <v>0</v>
      </c>
      <c r="AO778" s="246">
        <f>IFERROR(VLOOKUP(M778,PROGRAMAS[],3,FALSE),0)</f>
        <v>0</v>
      </c>
      <c r="AP778" s="246">
        <f>IFERROR(VLOOKUP(N778,PROGRAMAS[],3,FALSE),0)</f>
        <v>0</v>
      </c>
      <c r="AQ778" s="246">
        <f>IFERROR(VLOOKUP(O778,PROGRAMAS[],3,FALSE),0)</f>
        <v>0</v>
      </c>
      <c r="AR778" s="246">
        <f>IFERROR(VLOOKUP(P778,PROGRAMAS[],3,FALSE),0)</f>
        <v>0</v>
      </c>
      <c r="AS778" s="246">
        <f>IFERROR(VLOOKUP(Q778,PROGRAMAS[],3,FALSE),0)</f>
        <v>0</v>
      </c>
      <c r="AT778" s="246">
        <f>IFERROR(VLOOKUP(D778,VOL_REC[],2,FALSE),0)</f>
        <v>0</v>
      </c>
      <c r="AU778" s="246">
        <f>IFERROR(VLOOKUP(E778,VOL_REC[],2,FALSE),0)</f>
        <v>0</v>
      </c>
      <c r="AV778" s="246">
        <f>IFERROR(VLOOKUP(F778,VOL_REC[],2,FALSE),0)</f>
        <v>11089674.200000001</v>
      </c>
      <c r="AW778" s="246">
        <f>IFERROR(VLOOKUP(G778,VOL_REC[],2,FALSE),0)</f>
        <v>4325103.1812214684</v>
      </c>
      <c r="AX778" s="246">
        <f>IFERROR(VLOOKUP(H778,VOL_REC[],2,FALSE),0)</f>
        <v>15540036.397699751</v>
      </c>
      <c r="AY778" s="246">
        <f>IFERROR(VLOOKUP(I778,VOL_REC[],2,FALSE),0)</f>
        <v>3761786</v>
      </c>
      <c r="AZ778" s="246">
        <f>IFERROR(VLOOKUP(J778,VOL_REC[],2,FALSE),0)</f>
        <v>1812240</v>
      </c>
      <c r="BA778" s="246">
        <f>IFERROR(VLOOKUP(K778,VOL_REC[],2,FALSE),0)</f>
        <v>740113.98115702497</v>
      </c>
      <c r="BB778" s="246">
        <f>IFERROR(VLOOKUP(L778,VOL_REC[],2,FALSE),0)</f>
        <v>0</v>
      </c>
      <c r="BC778" s="246">
        <f>IFERROR(VLOOKUP(M778,VOL_REC[],2,FALSE),0)</f>
        <v>0</v>
      </c>
      <c r="BD778" s="246">
        <f>IFERROR(VLOOKUP(N778,VOL_REC[],2,FALSE),0)</f>
        <v>0</v>
      </c>
      <c r="BE778" s="246">
        <f>IFERROR(VLOOKUP(O778,VOL_REC[],2,FALSE),0)</f>
        <v>0</v>
      </c>
      <c r="BF778" s="246">
        <f>IFERROR(VLOOKUP(P778,VOL_REC[],2,FALSE),0)</f>
        <v>0</v>
      </c>
      <c r="BG778" s="246">
        <f>IFERROR(VLOOKUP(Q778,VOL_REC[],2,FALSE),0)</f>
        <v>0</v>
      </c>
      <c r="BH778" s="1710">
        <f t="shared" si="48"/>
        <v>24805132002.169708</v>
      </c>
      <c r="BI778" s="1710">
        <f t="shared" si="49"/>
        <v>27508525373.323345</v>
      </c>
      <c r="BJ778" s="1711">
        <f t="shared" si="50"/>
        <v>37268953.760078244</v>
      </c>
      <c r="BK778" s="1711">
        <f t="shared" si="51"/>
        <v>0.90172525300918971</v>
      </c>
    </row>
    <row r="779" spans="3:67" x14ac:dyDescent="0.25">
      <c r="C779" s="246" t="s">
        <v>2129</v>
      </c>
      <c r="D779" s="246">
        <v>1</v>
      </c>
      <c r="E779" s="246">
        <v>2</v>
      </c>
      <c r="F779" s="246">
        <v>3</v>
      </c>
      <c r="G779" s="246">
        <v>5</v>
      </c>
      <c r="H779" s="246">
        <v>6</v>
      </c>
      <c r="I779" s="246">
        <v>9</v>
      </c>
      <c r="J779" s="246">
        <v>12</v>
      </c>
      <c r="K779" s="246">
        <v>13</v>
      </c>
      <c r="L779" s="246"/>
      <c r="M779" s="246"/>
      <c r="N779" s="246"/>
      <c r="O779" s="246"/>
      <c r="P779" s="246"/>
      <c r="Q779" s="246"/>
      <c r="R779" s="246">
        <f>IFERROR(VLOOKUP(D779,PROGRAMAS[],2,FALSE),0)</f>
        <v>97037803.679377079</v>
      </c>
      <c r="S779" s="246">
        <f>IFERROR(VLOOKUP(E779,PROGRAMAS[],2,FALSE),0)</f>
        <v>640501509.6821388</v>
      </c>
      <c r="T779" s="246">
        <f>IFERROR(VLOOKUP(F779,PROGRAMAS[],2,FALSE),0)</f>
        <v>3062327798.1525245</v>
      </c>
      <c r="U779" s="246">
        <f>IFERROR(VLOOKUP(G779,PROGRAMAS[],2,FALSE),0)</f>
        <v>1440941976.2528784</v>
      </c>
      <c r="V779" s="246">
        <f>IFERROR(VLOOKUP(H779,PROGRAMAS[],2,FALSE),0)</f>
        <v>6907648435.8447599</v>
      </c>
      <c r="W779" s="246">
        <f>IFERROR(VLOOKUP(I779,PROGRAMAS[],2,FALSE),0)</f>
        <v>6128579952.1618185</v>
      </c>
      <c r="X779" s="246">
        <f>IFERROR(VLOOKUP(J779,PROGRAMAS[],2,FALSE),0)</f>
        <v>764796700.79905891</v>
      </c>
      <c r="Y779" s="246">
        <f>IFERROR(VLOOKUP(K779,PROGRAMAS[],2,FALSE),0)</f>
        <v>3776538594.4604583</v>
      </c>
      <c r="Z779" s="246">
        <f>IFERROR(VLOOKUP(L779,PROGRAMAS[],2,FALSE),0)</f>
        <v>0</v>
      </c>
      <c r="AA779" s="246">
        <f>IFERROR(VLOOKUP(M779,PROGRAMAS[],2,FALSE),0)</f>
        <v>0</v>
      </c>
      <c r="AB779" s="246">
        <f>IFERROR(VLOOKUP(N779,PROGRAMAS[],2,FALSE),0)</f>
        <v>0</v>
      </c>
      <c r="AC779" s="246">
        <f>IFERROR(VLOOKUP(O779,PROGRAMAS[],2,FALSE),0)</f>
        <v>0</v>
      </c>
      <c r="AD779" s="246">
        <f>IFERROR(VLOOKUP(P779,PROGRAMAS[],2,FALSE),0)</f>
        <v>0</v>
      </c>
      <c r="AE779" s="246">
        <f>IFERROR(VLOOKUP(Q779,PROGRAMAS[],2,FALSE),0)</f>
        <v>0</v>
      </c>
      <c r="AF779" s="246">
        <f>IFERROR(VLOOKUP(D779,PROGRAMAS[],3,FALSE),0)</f>
        <v>841888629.31080008</v>
      </c>
      <c r="AG779" s="246">
        <f>IFERROR(VLOOKUP(E779,PROGRAMAS[],3,FALSE),0)</f>
        <v>3848980803.1642323</v>
      </c>
      <c r="AH779" s="246">
        <f>IFERROR(VLOOKUP(F779,PROGRAMAS[],3,FALSE),0)</f>
        <v>3394901471.387517</v>
      </c>
      <c r="AI779" s="246">
        <f>IFERROR(VLOOKUP(G779,PROGRAMAS[],3,FALSE),0)</f>
        <v>1233505101.0616004</v>
      </c>
      <c r="AJ779" s="246">
        <f>IFERROR(VLOOKUP(H779,PROGRAMAS[],3,FALSE),0)</f>
        <v>6129902208.7912121</v>
      </c>
      <c r="AK779" s="246">
        <f>IFERROR(VLOOKUP(I779,PROGRAMAS[],3,FALSE),0)</f>
        <v>7011279577.519702</v>
      </c>
      <c r="AL779" s="246">
        <f>IFERROR(VLOOKUP(J779,PROGRAMAS[],3,FALSE),0)</f>
        <v>675517840.109828</v>
      </c>
      <c r="AM779" s="246">
        <f>IFERROR(VLOOKUP(K779,PROGRAMAS[],3,FALSE),0)</f>
        <v>2392571243.5584412</v>
      </c>
      <c r="AN779" s="246">
        <f>IFERROR(VLOOKUP(L779,PROGRAMAS[],3,FALSE),0)</f>
        <v>0</v>
      </c>
      <c r="AO779" s="246">
        <f>IFERROR(VLOOKUP(M779,PROGRAMAS[],3,FALSE),0)</f>
        <v>0</v>
      </c>
      <c r="AP779" s="246">
        <f>IFERROR(VLOOKUP(N779,PROGRAMAS[],3,FALSE),0)</f>
        <v>0</v>
      </c>
      <c r="AQ779" s="246">
        <f>IFERROR(VLOOKUP(O779,PROGRAMAS[],3,FALSE),0)</f>
        <v>0</v>
      </c>
      <c r="AR779" s="246">
        <f>IFERROR(VLOOKUP(P779,PROGRAMAS[],3,FALSE),0)</f>
        <v>0</v>
      </c>
      <c r="AS779" s="246">
        <f>IFERROR(VLOOKUP(Q779,PROGRAMAS[],3,FALSE),0)</f>
        <v>0</v>
      </c>
      <c r="AT779" s="246">
        <f>IFERROR(VLOOKUP(D779,VOL_REC[],2,FALSE),0)</f>
        <v>0</v>
      </c>
      <c r="AU779" s="246">
        <f>IFERROR(VLOOKUP(E779,VOL_REC[],2,FALSE),0)</f>
        <v>0</v>
      </c>
      <c r="AV779" s="246">
        <f>IFERROR(VLOOKUP(F779,VOL_REC[],2,FALSE),0)</f>
        <v>11089674.200000001</v>
      </c>
      <c r="AW779" s="246">
        <f>IFERROR(VLOOKUP(G779,VOL_REC[],2,FALSE),0)</f>
        <v>4325103.1812214684</v>
      </c>
      <c r="AX779" s="246">
        <f>IFERROR(VLOOKUP(H779,VOL_REC[],2,FALSE),0)</f>
        <v>15540036.397699751</v>
      </c>
      <c r="AY779" s="246">
        <f>IFERROR(VLOOKUP(I779,VOL_REC[],2,FALSE),0)</f>
        <v>3761786</v>
      </c>
      <c r="AZ779" s="246">
        <f>IFERROR(VLOOKUP(J779,VOL_REC[],2,FALSE),0)</f>
        <v>240696.79238099116</v>
      </c>
      <c r="BA779" s="246">
        <f>IFERROR(VLOOKUP(K779,VOL_REC[],2,FALSE),0)</f>
        <v>663244.80000000016</v>
      </c>
      <c r="BB779" s="246">
        <f>IFERROR(VLOOKUP(L779,VOL_REC[],2,FALSE),0)</f>
        <v>0</v>
      </c>
      <c r="BC779" s="246">
        <f>IFERROR(VLOOKUP(M779,VOL_REC[],2,FALSE),0)</f>
        <v>0</v>
      </c>
      <c r="BD779" s="246">
        <f>IFERROR(VLOOKUP(N779,VOL_REC[],2,FALSE),0)</f>
        <v>0</v>
      </c>
      <c r="BE779" s="246">
        <f>IFERROR(VLOOKUP(O779,VOL_REC[],2,FALSE),0)</f>
        <v>0</v>
      </c>
      <c r="BF779" s="246">
        <f>IFERROR(VLOOKUP(P779,VOL_REC[],2,FALSE),0)</f>
        <v>0</v>
      </c>
      <c r="BG779" s="246">
        <f>IFERROR(VLOOKUP(Q779,VOL_REC[],2,FALSE),0)</f>
        <v>0</v>
      </c>
      <c r="BH779" s="1710">
        <f t="shared" si="48"/>
        <v>22818372771.033012</v>
      </c>
      <c r="BI779" s="1710">
        <f t="shared" si="49"/>
        <v>25528546874.903336</v>
      </c>
      <c r="BJ779" s="1711">
        <f t="shared" si="50"/>
        <v>35620541.371302202</v>
      </c>
      <c r="BK779" s="1711">
        <f t="shared" si="51"/>
        <v>0.89383750993932809</v>
      </c>
    </row>
    <row r="780" spans="3:67" x14ac:dyDescent="0.25">
      <c r="C780" s="246" t="s">
        <v>2130</v>
      </c>
      <c r="D780" s="246">
        <v>1</v>
      </c>
      <c r="E780" s="246">
        <v>2</v>
      </c>
      <c r="F780" s="246">
        <v>3</v>
      </c>
      <c r="G780" s="246">
        <v>5</v>
      </c>
      <c r="H780" s="246">
        <v>6</v>
      </c>
      <c r="I780" s="246">
        <v>9</v>
      </c>
      <c r="J780" s="246">
        <v>12</v>
      </c>
      <c r="K780" s="246">
        <v>14</v>
      </c>
      <c r="L780" s="246"/>
      <c r="M780" s="246"/>
      <c r="N780" s="246"/>
      <c r="O780" s="246"/>
      <c r="P780" s="246"/>
      <c r="Q780" s="246"/>
      <c r="R780" s="246">
        <f>IFERROR(VLOOKUP(D780,PROGRAMAS[],2,FALSE),0)</f>
        <v>97037803.679377079</v>
      </c>
      <c r="S780" s="246">
        <f>IFERROR(VLOOKUP(E780,PROGRAMAS[],2,FALSE),0)</f>
        <v>640501509.6821388</v>
      </c>
      <c r="T780" s="246">
        <f>IFERROR(VLOOKUP(F780,PROGRAMAS[],2,FALSE),0)</f>
        <v>3062327798.1525245</v>
      </c>
      <c r="U780" s="246">
        <f>IFERROR(VLOOKUP(G780,PROGRAMAS[],2,FALSE),0)</f>
        <v>1440941976.2528784</v>
      </c>
      <c r="V780" s="246">
        <f>IFERROR(VLOOKUP(H780,PROGRAMAS[],2,FALSE),0)</f>
        <v>6907648435.8447599</v>
      </c>
      <c r="W780" s="246">
        <f>IFERROR(VLOOKUP(I780,PROGRAMAS[],2,FALSE),0)</f>
        <v>6128579952.1618185</v>
      </c>
      <c r="X780" s="246">
        <f>IFERROR(VLOOKUP(J780,PROGRAMAS[],2,FALSE),0)</f>
        <v>764796700.79905891</v>
      </c>
      <c r="Y780" s="246">
        <f>IFERROR(VLOOKUP(K780,PROGRAMAS[],2,FALSE),0)</f>
        <v>54223862.645839565</v>
      </c>
      <c r="Z780" s="246">
        <f>IFERROR(VLOOKUP(L780,PROGRAMAS[],2,FALSE),0)</f>
        <v>0</v>
      </c>
      <c r="AA780" s="246">
        <f>IFERROR(VLOOKUP(M780,PROGRAMAS[],2,FALSE),0)</f>
        <v>0</v>
      </c>
      <c r="AB780" s="246">
        <f>IFERROR(VLOOKUP(N780,PROGRAMAS[],2,FALSE),0)</f>
        <v>0</v>
      </c>
      <c r="AC780" s="246">
        <f>IFERROR(VLOOKUP(O780,PROGRAMAS[],2,FALSE),0)</f>
        <v>0</v>
      </c>
      <c r="AD780" s="246">
        <f>IFERROR(VLOOKUP(P780,PROGRAMAS[],2,FALSE),0)</f>
        <v>0</v>
      </c>
      <c r="AE780" s="246">
        <f>IFERROR(VLOOKUP(Q780,PROGRAMAS[],2,FALSE),0)</f>
        <v>0</v>
      </c>
      <c r="AF780" s="246">
        <f>IFERROR(VLOOKUP(D780,PROGRAMAS[],3,FALSE),0)</f>
        <v>841888629.31080008</v>
      </c>
      <c r="AG780" s="246">
        <f>IFERROR(VLOOKUP(E780,PROGRAMAS[],3,FALSE),0)</f>
        <v>3848980803.1642323</v>
      </c>
      <c r="AH780" s="246">
        <f>IFERROR(VLOOKUP(F780,PROGRAMAS[],3,FALSE),0)</f>
        <v>3394901471.387517</v>
      </c>
      <c r="AI780" s="246">
        <f>IFERROR(VLOOKUP(G780,PROGRAMAS[],3,FALSE),0)</f>
        <v>1233505101.0616004</v>
      </c>
      <c r="AJ780" s="246">
        <f>IFERROR(VLOOKUP(H780,PROGRAMAS[],3,FALSE),0)</f>
        <v>6129902208.7912121</v>
      </c>
      <c r="AK780" s="246">
        <f>IFERROR(VLOOKUP(I780,PROGRAMAS[],3,FALSE),0)</f>
        <v>7011279577.519702</v>
      </c>
      <c r="AL780" s="246">
        <f>IFERROR(VLOOKUP(J780,PROGRAMAS[],3,FALSE),0)</f>
        <v>675517840.109828</v>
      </c>
      <c r="AM780" s="246">
        <f>IFERROR(VLOOKUP(K780,PROGRAMAS[],3,FALSE),0)</f>
        <v>31865326.38096505</v>
      </c>
      <c r="AN780" s="246">
        <f>IFERROR(VLOOKUP(L780,PROGRAMAS[],3,FALSE),0)</f>
        <v>0</v>
      </c>
      <c r="AO780" s="246">
        <f>IFERROR(VLOOKUP(M780,PROGRAMAS[],3,FALSE),0)</f>
        <v>0</v>
      </c>
      <c r="AP780" s="246">
        <f>IFERROR(VLOOKUP(N780,PROGRAMAS[],3,FALSE),0)</f>
        <v>0</v>
      </c>
      <c r="AQ780" s="246">
        <f>IFERROR(VLOOKUP(O780,PROGRAMAS[],3,FALSE),0)</f>
        <v>0</v>
      </c>
      <c r="AR780" s="246">
        <f>IFERROR(VLOOKUP(P780,PROGRAMAS[],3,FALSE),0)</f>
        <v>0</v>
      </c>
      <c r="AS780" s="246">
        <f>IFERROR(VLOOKUP(Q780,PROGRAMAS[],3,FALSE),0)</f>
        <v>0</v>
      </c>
      <c r="AT780" s="246">
        <f>IFERROR(VLOOKUP(D780,VOL_REC[],2,FALSE),0)</f>
        <v>0</v>
      </c>
      <c r="AU780" s="246">
        <f>IFERROR(VLOOKUP(E780,VOL_REC[],2,FALSE),0)</f>
        <v>0</v>
      </c>
      <c r="AV780" s="246">
        <f>IFERROR(VLOOKUP(F780,VOL_REC[],2,FALSE),0)</f>
        <v>11089674.200000001</v>
      </c>
      <c r="AW780" s="246">
        <f>IFERROR(VLOOKUP(G780,VOL_REC[],2,FALSE),0)</f>
        <v>4325103.1812214684</v>
      </c>
      <c r="AX780" s="246">
        <f>IFERROR(VLOOKUP(H780,VOL_REC[],2,FALSE),0)</f>
        <v>15540036.397699751</v>
      </c>
      <c r="AY780" s="246">
        <f>IFERROR(VLOOKUP(I780,VOL_REC[],2,FALSE),0)</f>
        <v>3761786</v>
      </c>
      <c r="AZ780" s="246">
        <f>IFERROR(VLOOKUP(J780,VOL_REC[],2,FALSE),0)</f>
        <v>240696.79238099116</v>
      </c>
      <c r="BA780" s="246">
        <f>IFERROR(VLOOKUP(K780,VOL_REC[],2,FALSE),0)</f>
        <v>17074.045034105649</v>
      </c>
      <c r="BB780" s="246">
        <f>IFERROR(VLOOKUP(L780,VOL_REC[],2,FALSE),0)</f>
        <v>0</v>
      </c>
      <c r="BC780" s="246">
        <f>IFERROR(VLOOKUP(M780,VOL_REC[],2,FALSE),0)</f>
        <v>0</v>
      </c>
      <c r="BD780" s="246">
        <f>IFERROR(VLOOKUP(N780,VOL_REC[],2,FALSE),0)</f>
        <v>0</v>
      </c>
      <c r="BE780" s="246">
        <f>IFERROR(VLOOKUP(O780,VOL_REC[],2,FALSE),0)</f>
        <v>0</v>
      </c>
      <c r="BF780" s="246">
        <f>IFERROR(VLOOKUP(P780,VOL_REC[],2,FALSE),0)</f>
        <v>0</v>
      </c>
      <c r="BG780" s="246">
        <f>IFERROR(VLOOKUP(Q780,VOL_REC[],2,FALSE),0)</f>
        <v>0</v>
      </c>
      <c r="BH780" s="1710">
        <f t="shared" si="48"/>
        <v>19096058039.218395</v>
      </c>
      <c r="BI780" s="1710">
        <f t="shared" si="49"/>
        <v>23167840957.725861</v>
      </c>
      <c r="BJ780" s="1711">
        <f t="shared" si="50"/>
        <v>34974370.616336308</v>
      </c>
      <c r="BK780" s="1711">
        <f t="shared" si="51"/>
        <v>0.82424849488835805</v>
      </c>
    </row>
    <row r="781" spans="3:67" x14ac:dyDescent="0.25">
      <c r="C781" s="246" t="s">
        <v>2131</v>
      </c>
      <c r="D781" s="246">
        <v>1</v>
      </c>
      <c r="E781" s="246">
        <v>2</v>
      </c>
      <c r="F781" s="246">
        <v>3</v>
      </c>
      <c r="G781" s="246">
        <v>5</v>
      </c>
      <c r="H781" s="246">
        <v>6</v>
      </c>
      <c r="I781" s="246">
        <v>9</v>
      </c>
      <c r="J781" s="246">
        <v>12</v>
      </c>
      <c r="K781" s="246">
        <v>15</v>
      </c>
      <c r="L781" s="246"/>
      <c r="M781" s="246"/>
      <c r="N781" s="246"/>
      <c r="O781" s="246"/>
      <c r="P781" s="246"/>
      <c r="Q781" s="246"/>
      <c r="R781" s="246">
        <f>IFERROR(VLOOKUP(D781,PROGRAMAS[],2,FALSE),0)</f>
        <v>97037803.679377079</v>
      </c>
      <c r="S781" s="246">
        <f>IFERROR(VLOOKUP(E781,PROGRAMAS[],2,FALSE),0)</f>
        <v>640501509.6821388</v>
      </c>
      <c r="T781" s="246">
        <f>IFERROR(VLOOKUP(F781,PROGRAMAS[],2,FALSE),0)</f>
        <v>3062327798.1525245</v>
      </c>
      <c r="U781" s="246">
        <f>IFERROR(VLOOKUP(G781,PROGRAMAS[],2,FALSE),0)</f>
        <v>1440941976.2528784</v>
      </c>
      <c r="V781" s="246">
        <f>IFERROR(VLOOKUP(H781,PROGRAMAS[],2,FALSE),0)</f>
        <v>6907648435.8447599</v>
      </c>
      <c r="W781" s="246">
        <f>IFERROR(VLOOKUP(I781,PROGRAMAS[],2,FALSE),0)</f>
        <v>6128579952.1618185</v>
      </c>
      <c r="X781" s="246">
        <f>IFERROR(VLOOKUP(J781,PROGRAMAS[],2,FALSE),0)</f>
        <v>764796700.79905891</v>
      </c>
      <c r="Y781" s="246">
        <f>IFERROR(VLOOKUP(K781,PROGRAMAS[],2,FALSE),0)</f>
        <v>122159672.96346797</v>
      </c>
      <c r="Z781" s="246">
        <f>IFERROR(VLOOKUP(L781,PROGRAMAS[],2,FALSE),0)</f>
        <v>0</v>
      </c>
      <c r="AA781" s="246">
        <f>IFERROR(VLOOKUP(M781,PROGRAMAS[],2,FALSE),0)</f>
        <v>0</v>
      </c>
      <c r="AB781" s="246">
        <f>IFERROR(VLOOKUP(N781,PROGRAMAS[],2,FALSE),0)</f>
        <v>0</v>
      </c>
      <c r="AC781" s="246">
        <f>IFERROR(VLOOKUP(O781,PROGRAMAS[],2,FALSE),0)</f>
        <v>0</v>
      </c>
      <c r="AD781" s="246">
        <f>IFERROR(VLOOKUP(P781,PROGRAMAS[],2,FALSE),0)</f>
        <v>0</v>
      </c>
      <c r="AE781" s="246">
        <f>IFERROR(VLOOKUP(Q781,PROGRAMAS[],2,FALSE),0)</f>
        <v>0</v>
      </c>
      <c r="AF781" s="246">
        <f>IFERROR(VLOOKUP(D781,PROGRAMAS[],3,FALSE),0)</f>
        <v>841888629.31080008</v>
      </c>
      <c r="AG781" s="246">
        <f>IFERROR(VLOOKUP(E781,PROGRAMAS[],3,FALSE),0)</f>
        <v>3848980803.1642323</v>
      </c>
      <c r="AH781" s="246">
        <f>IFERROR(VLOOKUP(F781,PROGRAMAS[],3,FALSE),0)</f>
        <v>3394901471.387517</v>
      </c>
      <c r="AI781" s="246">
        <f>IFERROR(VLOOKUP(G781,PROGRAMAS[],3,FALSE),0)</f>
        <v>1233505101.0616004</v>
      </c>
      <c r="AJ781" s="246">
        <f>IFERROR(VLOOKUP(H781,PROGRAMAS[],3,FALSE),0)</f>
        <v>6129902208.7912121</v>
      </c>
      <c r="AK781" s="246">
        <f>IFERROR(VLOOKUP(I781,PROGRAMAS[],3,FALSE),0)</f>
        <v>7011279577.519702</v>
      </c>
      <c r="AL781" s="246">
        <f>IFERROR(VLOOKUP(J781,PROGRAMAS[],3,FALSE),0)</f>
        <v>675517840.109828</v>
      </c>
      <c r="AM781" s="246">
        <f>IFERROR(VLOOKUP(K781,PROGRAMAS[],3,FALSE),0)</f>
        <v>118617452.52510804</v>
      </c>
      <c r="AN781" s="246">
        <f>IFERROR(VLOOKUP(L781,PROGRAMAS[],3,FALSE),0)</f>
        <v>0</v>
      </c>
      <c r="AO781" s="246">
        <f>IFERROR(VLOOKUP(M781,PROGRAMAS[],3,FALSE),0)</f>
        <v>0</v>
      </c>
      <c r="AP781" s="246">
        <f>IFERROR(VLOOKUP(N781,PROGRAMAS[],3,FALSE),0)</f>
        <v>0</v>
      </c>
      <c r="AQ781" s="246">
        <f>IFERROR(VLOOKUP(O781,PROGRAMAS[],3,FALSE),0)</f>
        <v>0</v>
      </c>
      <c r="AR781" s="246">
        <f>IFERROR(VLOOKUP(P781,PROGRAMAS[],3,FALSE),0)</f>
        <v>0</v>
      </c>
      <c r="AS781" s="246">
        <f>IFERROR(VLOOKUP(Q781,PROGRAMAS[],3,FALSE),0)</f>
        <v>0</v>
      </c>
      <c r="AT781" s="246">
        <f>IFERROR(VLOOKUP(D781,VOL_REC[],2,FALSE),0)</f>
        <v>0</v>
      </c>
      <c r="AU781" s="246">
        <f>IFERROR(VLOOKUP(E781,VOL_REC[],2,FALSE),0)</f>
        <v>0</v>
      </c>
      <c r="AV781" s="246">
        <f>IFERROR(VLOOKUP(F781,VOL_REC[],2,FALSE),0)</f>
        <v>11089674.200000001</v>
      </c>
      <c r="AW781" s="246">
        <f>IFERROR(VLOOKUP(G781,VOL_REC[],2,FALSE),0)</f>
        <v>4325103.1812214684</v>
      </c>
      <c r="AX781" s="246">
        <f>IFERROR(VLOOKUP(H781,VOL_REC[],2,FALSE),0)</f>
        <v>15540036.397699751</v>
      </c>
      <c r="AY781" s="246">
        <f>IFERROR(VLOOKUP(I781,VOL_REC[],2,FALSE),0)</f>
        <v>3761786</v>
      </c>
      <c r="AZ781" s="246">
        <f>IFERROR(VLOOKUP(J781,VOL_REC[],2,FALSE),0)</f>
        <v>240696.79238099116</v>
      </c>
      <c r="BA781" s="246">
        <f>IFERROR(VLOOKUP(K781,VOL_REC[],2,FALSE),0)</f>
        <v>105072</v>
      </c>
      <c r="BB781" s="246">
        <f>IFERROR(VLOOKUP(L781,VOL_REC[],2,FALSE),0)</f>
        <v>0</v>
      </c>
      <c r="BC781" s="246">
        <f>IFERROR(VLOOKUP(M781,VOL_REC[],2,FALSE),0)</f>
        <v>0</v>
      </c>
      <c r="BD781" s="246">
        <f>IFERROR(VLOOKUP(N781,VOL_REC[],2,FALSE),0)</f>
        <v>0</v>
      </c>
      <c r="BE781" s="246">
        <f>IFERROR(VLOOKUP(O781,VOL_REC[],2,FALSE),0)</f>
        <v>0</v>
      </c>
      <c r="BF781" s="246">
        <f>IFERROR(VLOOKUP(P781,VOL_REC[],2,FALSE),0)</f>
        <v>0</v>
      </c>
      <c r="BG781" s="246">
        <f>IFERROR(VLOOKUP(Q781,VOL_REC[],2,FALSE),0)</f>
        <v>0</v>
      </c>
      <c r="BH781" s="1710">
        <f t="shared" si="48"/>
        <v>19163993849.536022</v>
      </c>
      <c r="BI781" s="1710">
        <f t="shared" si="49"/>
        <v>23254593083.870003</v>
      </c>
      <c r="BJ781" s="1711">
        <f t="shared" si="50"/>
        <v>35062368.571302205</v>
      </c>
      <c r="BK781" s="1711">
        <f t="shared" si="51"/>
        <v>0.82409499836953382</v>
      </c>
    </row>
    <row r="782" spans="3:67" x14ac:dyDescent="0.25">
      <c r="C782" s="246" t="s">
        <v>2132</v>
      </c>
      <c r="D782" s="246">
        <v>1</v>
      </c>
      <c r="E782" s="246">
        <v>2</v>
      </c>
      <c r="F782" s="246">
        <v>3</v>
      </c>
      <c r="G782" s="246">
        <v>5</v>
      </c>
      <c r="H782" s="246">
        <v>6</v>
      </c>
      <c r="I782" s="246">
        <v>9</v>
      </c>
      <c r="J782" s="246">
        <v>12</v>
      </c>
      <c r="K782" s="246">
        <v>16</v>
      </c>
      <c r="L782" s="246"/>
      <c r="M782" s="246"/>
      <c r="N782" s="246"/>
      <c r="O782" s="246"/>
      <c r="P782" s="246"/>
      <c r="Q782" s="246"/>
      <c r="R782" s="246">
        <f>IFERROR(VLOOKUP(D782,PROGRAMAS[],2,FALSE),0)</f>
        <v>97037803.679377079</v>
      </c>
      <c r="S782" s="246">
        <f>IFERROR(VLOOKUP(E782,PROGRAMAS[],2,FALSE),0)</f>
        <v>640501509.6821388</v>
      </c>
      <c r="T782" s="246">
        <f>IFERROR(VLOOKUP(F782,PROGRAMAS[],2,FALSE),0)</f>
        <v>3062327798.1525245</v>
      </c>
      <c r="U782" s="246">
        <f>IFERROR(VLOOKUP(G782,PROGRAMAS[],2,FALSE),0)</f>
        <v>1440941976.2528784</v>
      </c>
      <c r="V782" s="246">
        <f>IFERROR(VLOOKUP(H782,PROGRAMAS[],2,FALSE),0)</f>
        <v>6907648435.8447599</v>
      </c>
      <c r="W782" s="246">
        <f>IFERROR(VLOOKUP(I782,PROGRAMAS[],2,FALSE),0)</f>
        <v>6128579952.1618185</v>
      </c>
      <c r="X782" s="246">
        <f>IFERROR(VLOOKUP(J782,PROGRAMAS[],2,FALSE),0)</f>
        <v>764796700.79905891</v>
      </c>
      <c r="Y782" s="246">
        <f>IFERROR(VLOOKUP(K782,PROGRAMAS[],2,FALSE),0)</f>
        <v>7068496961.0436354</v>
      </c>
      <c r="Z782" s="246">
        <f>IFERROR(VLOOKUP(L782,PROGRAMAS[],2,FALSE),0)</f>
        <v>0</v>
      </c>
      <c r="AA782" s="246">
        <f>IFERROR(VLOOKUP(M782,PROGRAMAS[],2,FALSE),0)</f>
        <v>0</v>
      </c>
      <c r="AB782" s="246">
        <f>IFERROR(VLOOKUP(N782,PROGRAMAS[],2,FALSE),0)</f>
        <v>0</v>
      </c>
      <c r="AC782" s="246">
        <f>IFERROR(VLOOKUP(O782,PROGRAMAS[],2,FALSE),0)</f>
        <v>0</v>
      </c>
      <c r="AD782" s="246">
        <f>IFERROR(VLOOKUP(P782,PROGRAMAS[],2,FALSE),0)</f>
        <v>0</v>
      </c>
      <c r="AE782" s="246">
        <f>IFERROR(VLOOKUP(Q782,PROGRAMAS[],2,FALSE),0)</f>
        <v>0</v>
      </c>
      <c r="AF782" s="246">
        <f>IFERROR(VLOOKUP(D782,PROGRAMAS[],3,FALSE),0)</f>
        <v>841888629.31080008</v>
      </c>
      <c r="AG782" s="246">
        <f>IFERROR(VLOOKUP(E782,PROGRAMAS[],3,FALSE),0)</f>
        <v>3848980803.1642323</v>
      </c>
      <c r="AH782" s="246">
        <f>IFERROR(VLOOKUP(F782,PROGRAMAS[],3,FALSE),0)</f>
        <v>3394901471.387517</v>
      </c>
      <c r="AI782" s="246">
        <f>IFERROR(VLOOKUP(G782,PROGRAMAS[],3,FALSE),0)</f>
        <v>1233505101.0616004</v>
      </c>
      <c r="AJ782" s="246">
        <f>IFERROR(VLOOKUP(H782,PROGRAMAS[],3,FALSE),0)</f>
        <v>6129902208.7912121</v>
      </c>
      <c r="AK782" s="246">
        <f>IFERROR(VLOOKUP(I782,PROGRAMAS[],3,FALSE),0)</f>
        <v>7011279577.519702</v>
      </c>
      <c r="AL782" s="246">
        <f>IFERROR(VLOOKUP(J782,PROGRAMAS[],3,FALSE),0)</f>
        <v>675517840.109828</v>
      </c>
      <c r="AM782" s="246">
        <f>IFERROR(VLOOKUP(K782,PROGRAMAS[],3,FALSE),0)</f>
        <v>2406564599.0319901</v>
      </c>
      <c r="AN782" s="246">
        <f>IFERROR(VLOOKUP(L782,PROGRAMAS[],3,FALSE),0)</f>
        <v>0</v>
      </c>
      <c r="AO782" s="246">
        <f>IFERROR(VLOOKUP(M782,PROGRAMAS[],3,FALSE),0)</f>
        <v>0</v>
      </c>
      <c r="AP782" s="246">
        <f>IFERROR(VLOOKUP(N782,PROGRAMAS[],3,FALSE),0)</f>
        <v>0</v>
      </c>
      <c r="AQ782" s="246">
        <f>IFERROR(VLOOKUP(O782,PROGRAMAS[],3,FALSE),0)</f>
        <v>0</v>
      </c>
      <c r="AR782" s="246">
        <f>IFERROR(VLOOKUP(P782,PROGRAMAS[],3,FALSE),0)</f>
        <v>0</v>
      </c>
      <c r="AS782" s="246">
        <f>IFERROR(VLOOKUP(Q782,PROGRAMAS[],3,FALSE),0)</f>
        <v>0</v>
      </c>
      <c r="AT782" s="246">
        <f>IFERROR(VLOOKUP(D782,VOL_REC[],2,FALSE),0)</f>
        <v>0</v>
      </c>
      <c r="AU782" s="246">
        <f>IFERROR(VLOOKUP(E782,VOL_REC[],2,FALSE),0)</f>
        <v>0</v>
      </c>
      <c r="AV782" s="246">
        <f>IFERROR(VLOOKUP(F782,VOL_REC[],2,FALSE),0)</f>
        <v>11089674.200000001</v>
      </c>
      <c r="AW782" s="246">
        <f>IFERROR(VLOOKUP(G782,VOL_REC[],2,FALSE),0)</f>
        <v>4325103.1812214684</v>
      </c>
      <c r="AX782" s="246">
        <f>IFERROR(VLOOKUP(H782,VOL_REC[],2,FALSE),0)</f>
        <v>15540036.397699751</v>
      </c>
      <c r="AY782" s="246">
        <f>IFERROR(VLOOKUP(I782,VOL_REC[],2,FALSE),0)</f>
        <v>3761786</v>
      </c>
      <c r="AZ782" s="246">
        <f>IFERROR(VLOOKUP(J782,VOL_REC[],2,FALSE),0)</f>
        <v>240696.79238099116</v>
      </c>
      <c r="BA782" s="246">
        <f>IFERROR(VLOOKUP(K782,VOL_REC[],2,FALSE),0)</f>
        <v>1072354.9981737854</v>
      </c>
      <c r="BB782" s="246">
        <f>IFERROR(VLOOKUP(L782,VOL_REC[],2,FALSE),0)</f>
        <v>0</v>
      </c>
      <c r="BC782" s="246">
        <f>IFERROR(VLOOKUP(M782,VOL_REC[],2,FALSE),0)</f>
        <v>0</v>
      </c>
      <c r="BD782" s="246">
        <f>IFERROR(VLOOKUP(N782,VOL_REC[],2,FALSE),0)</f>
        <v>0</v>
      </c>
      <c r="BE782" s="246">
        <f>IFERROR(VLOOKUP(O782,VOL_REC[],2,FALSE),0)</f>
        <v>0</v>
      </c>
      <c r="BF782" s="246">
        <f>IFERROR(VLOOKUP(P782,VOL_REC[],2,FALSE),0)</f>
        <v>0</v>
      </c>
      <c r="BG782" s="246">
        <f>IFERROR(VLOOKUP(Q782,VOL_REC[],2,FALSE),0)</f>
        <v>0</v>
      </c>
      <c r="BH782" s="1710">
        <f t="shared" si="48"/>
        <v>26110331137.616192</v>
      </c>
      <c r="BI782" s="1710">
        <f t="shared" si="49"/>
        <v>25542540230.376884</v>
      </c>
      <c r="BJ782" s="1711">
        <f t="shared" si="50"/>
        <v>36029651.569475994</v>
      </c>
      <c r="BK782" s="1711">
        <f t="shared" si="51"/>
        <v>1.022229226307102</v>
      </c>
      <c r="BL782">
        <f>BJ782</f>
        <v>36029651.569475994</v>
      </c>
      <c r="BO782">
        <f>BL782</f>
        <v>36029651.569475994</v>
      </c>
    </row>
    <row r="783" spans="3:67" x14ac:dyDescent="0.25">
      <c r="C783" s="246" t="s">
        <v>2133</v>
      </c>
      <c r="D783" s="246">
        <v>1</v>
      </c>
      <c r="E783" s="246">
        <v>2</v>
      </c>
      <c r="F783" s="246">
        <v>3</v>
      </c>
      <c r="G783" s="246">
        <v>5</v>
      </c>
      <c r="H783" s="246">
        <v>6</v>
      </c>
      <c r="I783" s="246">
        <v>9</v>
      </c>
      <c r="J783" s="246">
        <v>12</v>
      </c>
      <c r="K783" s="246">
        <v>17</v>
      </c>
      <c r="L783" s="246"/>
      <c r="M783" s="246"/>
      <c r="N783" s="246"/>
      <c r="O783" s="246"/>
      <c r="P783" s="246"/>
      <c r="Q783" s="246"/>
      <c r="R783" s="246">
        <f>IFERROR(VLOOKUP(D783,PROGRAMAS[],2,FALSE),0)</f>
        <v>97037803.679377079</v>
      </c>
      <c r="S783" s="246">
        <f>IFERROR(VLOOKUP(E783,PROGRAMAS[],2,FALSE),0)</f>
        <v>640501509.6821388</v>
      </c>
      <c r="T783" s="246">
        <f>IFERROR(VLOOKUP(F783,PROGRAMAS[],2,FALSE),0)</f>
        <v>3062327798.1525245</v>
      </c>
      <c r="U783" s="246">
        <f>IFERROR(VLOOKUP(G783,PROGRAMAS[],2,FALSE),0)</f>
        <v>1440941976.2528784</v>
      </c>
      <c r="V783" s="246">
        <f>IFERROR(VLOOKUP(H783,PROGRAMAS[],2,FALSE),0)</f>
        <v>6907648435.8447599</v>
      </c>
      <c r="W783" s="246">
        <f>IFERROR(VLOOKUP(I783,PROGRAMAS[],2,FALSE),0)</f>
        <v>6128579952.1618185</v>
      </c>
      <c r="X783" s="246">
        <f>IFERROR(VLOOKUP(J783,PROGRAMAS[],2,FALSE),0)</f>
        <v>764796700.79905891</v>
      </c>
      <c r="Y783" s="246">
        <f>IFERROR(VLOOKUP(K783,PROGRAMAS[],2,FALSE),0)</f>
        <v>1892779498.5211046</v>
      </c>
      <c r="Z783" s="246">
        <f>IFERROR(VLOOKUP(L783,PROGRAMAS[],2,FALSE),0)</f>
        <v>0</v>
      </c>
      <c r="AA783" s="246">
        <f>IFERROR(VLOOKUP(M783,PROGRAMAS[],2,FALSE),0)</f>
        <v>0</v>
      </c>
      <c r="AB783" s="246">
        <f>IFERROR(VLOOKUP(N783,PROGRAMAS[],2,FALSE),0)</f>
        <v>0</v>
      </c>
      <c r="AC783" s="246">
        <f>IFERROR(VLOOKUP(O783,PROGRAMAS[],2,FALSE),0)</f>
        <v>0</v>
      </c>
      <c r="AD783" s="246">
        <f>IFERROR(VLOOKUP(P783,PROGRAMAS[],2,FALSE),0)</f>
        <v>0</v>
      </c>
      <c r="AE783" s="246">
        <f>IFERROR(VLOOKUP(Q783,PROGRAMAS[],2,FALSE),0)</f>
        <v>0</v>
      </c>
      <c r="AF783" s="246">
        <f>IFERROR(VLOOKUP(D783,PROGRAMAS[],3,FALSE),0)</f>
        <v>841888629.31080008</v>
      </c>
      <c r="AG783" s="246">
        <f>IFERROR(VLOOKUP(E783,PROGRAMAS[],3,FALSE),0)</f>
        <v>3848980803.1642323</v>
      </c>
      <c r="AH783" s="246">
        <f>IFERROR(VLOOKUP(F783,PROGRAMAS[],3,FALSE),0)</f>
        <v>3394901471.387517</v>
      </c>
      <c r="AI783" s="246">
        <f>IFERROR(VLOOKUP(G783,PROGRAMAS[],3,FALSE),0)</f>
        <v>1233505101.0616004</v>
      </c>
      <c r="AJ783" s="246">
        <f>IFERROR(VLOOKUP(H783,PROGRAMAS[],3,FALSE),0)</f>
        <v>6129902208.7912121</v>
      </c>
      <c r="AK783" s="246">
        <f>IFERROR(VLOOKUP(I783,PROGRAMAS[],3,FALSE),0)</f>
        <v>7011279577.519702</v>
      </c>
      <c r="AL783" s="246">
        <f>IFERROR(VLOOKUP(J783,PROGRAMAS[],3,FALSE),0)</f>
        <v>675517840.109828</v>
      </c>
      <c r="AM783" s="246">
        <f>IFERROR(VLOOKUP(K783,PROGRAMAS[],3,FALSE),0)</f>
        <v>948595847.09039903</v>
      </c>
      <c r="AN783" s="246">
        <f>IFERROR(VLOOKUP(L783,PROGRAMAS[],3,FALSE),0)</f>
        <v>0</v>
      </c>
      <c r="AO783" s="246">
        <f>IFERROR(VLOOKUP(M783,PROGRAMAS[],3,FALSE),0)</f>
        <v>0</v>
      </c>
      <c r="AP783" s="246">
        <f>IFERROR(VLOOKUP(N783,PROGRAMAS[],3,FALSE),0)</f>
        <v>0</v>
      </c>
      <c r="AQ783" s="246">
        <f>IFERROR(VLOOKUP(O783,PROGRAMAS[],3,FALSE),0)</f>
        <v>0</v>
      </c>
      <c r="AR783" s="246">
        <f>IFERROR(VLOOKUP(P783,PROGRAMAS[],3,FALSE),0)</f>
        <v>0</v>
      </c>
      <c r="AS783" s="246">
        <f>IFERROR(VLOOKUP(Q783,PROGRAMAS[],3,FALSE),0)</f>
        <v>0</v>
      </c>
      <c r="AT783" s="246">
        <f>IFERROR(VLOOKUP(D783,VOL_REC[],2,FALSE),0)</f>
        <v>0</v>
      </c>
      <c r="AU783" s="246">
        <f>IFERROR(VLOOKUP(E783,VOL_REC[],2,FALSE),0)</f>
        <v>0</v>
      </c>
      <c r="AV783" s="246">
        <f>IFERROR(VLOOKUP(F783,VOL_REC[],2,FALSE),0)</f>
        <v>11089674.200000001</v>
      </c>
      <c r="AW783" s="246">
        <f>IFERROR(VLOOKUP(G783,VOL_REC[],2,FALSE),0)</f>
        <v>4325103.1812214684</v>
      </c>
      <c r="AX783" s="246">
        <f>IFERROR(VLOOKUP(H783,VOL_REC[],2,FALSE),0)</f>
        <v>15540036.397699751</v>
      </c>
      <c r="AY783" s="246">
        <f>IFERROR(VLOOKUP(I783,VOL_REC[],2,FALSE),0)</f>
        <v>3761786</v>
      </c>
      <c r="AZ783" s="246">
        <f>IFERROR(VLOOKUP(J783,VOL_REC[],2,FALSE),0)</f>
        <v>240696.79238099116</v>
      </c>
      <c r="BA783" s="246">
        <f>IFERROR(VLOOKUP(K783,VOL_REC[],2,FALSE),0)</f>
        <v>740113.98115702497</v>
      </c>
      <c r="BB783" s="246">
        <f>IFERROR(VLOOKUP(L783,VOL_REC[],2,FALSE),0)</f>
        <v>0</v>
      </c>
      <c r="BC783" s="246">
        <f>IFERROR(VLOOKUP(M783,VOL_REC[],2,FALSE),0)</f>
        <v>0</v>
      </c>
      <c r="BD783" s="246">
        <f>IFERROR(VLOOKUP(N783,VOL_REC[],2,FALSE),0)</f>
        <v>0</v>
      </c>
      <c r="BE783" s="246">
        <f>IFERROR(VLOOKUP(O783,VOL_REC[],2,FALSE),0)</f>
        <v>0</v>
      </c>
      <c r="BF783" s="246">
        <f>IFERROR(VLOOKUP(P783,VOL_REC[],2,FALSE),0)</f>
        <v>0</v>
      </c>
      <c r="BG783" s="246">
        <f>IFERROR(VLOOKUP(Q783,VOL_REC[],2,FALSE),0)</f>
        <v>0</v>
      </c>
      <c r="BH783" s="1710">
        <f t="shared" si="48"/>
        <v>20934613675.093658</v>
      </c>
      <c r="BI783" s="1710">
        <f t="shared" si="49"/>
        <v>24084571478.435295</v>
      </c>
      <c r="BJ783" s="1711">
        <f t="shared" si="50"/>
        <v>35697410.552459233</v>
      </c>
      <c r="BK783" s="1711">
        <f t="shared" si="51"/>
        <v>0.86921262825198997</v>
      </c>
    </row>
    <row r="784" spans="3:67" x14ac:dyDescent="0.25">
      <c r="C784" s="246" t="s">
        <v>2134</v>
      </c>
      <c r="D784" s="246">
        <v>1</v>
      </c>
      <c r="E784" s="246">
        <v>2</v>
      </c>
      <c r="F784" s="246">
        <v>3</v>
      </c>
      <c r="G784" s="246">
        <v>5</v>
      </c>
      <c r="H784" s="246">
        <v>6</v>
      </c>
      <c r="I784" s="246">
        <v>9</v>
      </c>
      <c r="J784" s="246">
        <v>13</v>
      </c>
      <c r="K784" s="246">
        <v>14</v>
      </c>
      <c r="L784" s="246"/>
      <c r="M784" s="246"/>
      <c r="N784" s="246"/>
      <c r="O784" s="246"/>
      <c r="P784" s="246"/>
      <c r="Q784" s="246"/>
      <c r="R784" s="246">
        <f>IFERROR(VLOOKUP(D784,PROGRAMAS[],2,FALSE),0)</f>
        <v>97037803.679377079</v>
      </c>
      <c r="S784" s="246">
        <f>IFERROR(VLOOKUP(E784,PROGRAMAS[],2,FALSE),0)</f>
        <v>640501509.6821388</v>
      </c>
      <c r="T784" s="246">
        <f>IFERROR(VLOOKUP(F784,PROGRAMAS[],2,FALSE),0)</f>
        <v>3062327798.1525245</v>
      </c>
      <c r="U784" s="246">
        <f>IFERROR(VLOOKUP(G784,PROGRAMAS[],2,FALSE),0)</f>
        <v>1440941976.2528784</v>
      </c>
      <c r="V784" s="246">
        <f>IFERROR(VLOOKUP(H784,PROGRAMAS[],2,FALSE),0)</f>
        <v>6907648435.8447599</v>
      </c>
      <c r="W784" s="246">
        <f>IFERROR(VLOOKUP(I784,PROGRAMAS[],2,FALSE),0)</f>
        <v>6128579952.1618185</v>
      </c>
      <c r="X784" s="246">
        <f>IFERROR(VLOOKUP(J784,PROGRAMAS[],2,FALSE),0)</f>
        <v>3776538594.4604583</v>
      </c>
      <c r="Y784" s="246">
        <f>IFERROR(VLOOKUP(K784,PROGRAMAS[],2,FALSE),0)</f>
        <v>54223862.645839565</v>
      </c>
      <c r="Z784" s="246">
        <f>IFERROR(VLOOKUP(L784,PROGRAMAS[],2,FALSE),0)</f>
        <v>0</v>
      </c>
      <c r="AA784" s="246">
        <f>IFERROR(VLOOKUP(M784,PROGRAMAS[],2,FALSE),0)</f>
        <v>0</v>
      </c>
      <c r="AB784" s="246">
        <f>IFERROR(VLOOKUP(N784,PROGRAMAS[],2,FALSE),0)</f>
        <v>0</v>
      </c>
      <c r="AC784" s="246">
        <f>IFERROR(VLOOKUP(O784,PROGRAMAS[],2,FALSE),0)</f>
        <v>0</v>
      </c>
      <c r="AD784" s="246">
        <f>IFERROR(VLOOKUP(P784,PROGRAMAS[],2,FALSE),0)</f>
        <v>0</v>
      </c>
      <c r="AE784" s="246">
        <f>IFERROR(VLOOKUP(Q784,PROGRAMAS[],2,FALSE),0)</f>
        <v>0</v>
      </c>
      <c r="AF784" s="246">
        <f>IFERROR(VLOOKUP(D784,PROGRAMAS[],3,FALSE),0)</f>
        <v>841888629.31080008</v>
      </c>
      <c r="AG784" s="246">
        <f>IFERROR(VLOOKUP(E784,PROGRAMAS[],3,FALSE),0)</f>
        <v>3848980803.1642323</v>
      </c>
      <c r="AH784" s="246">
        <f>IFERROR(VLOOKUP(F784,PROGRAMAS[],3,FALSE),0)</f>
        <v>3394901471.387517</v>
      </c>
      <c r="AI784" s="246">
        <f>IFERROR(VLOOKUP(G784,PROGRAMAS[],3,FALSE),0)</f>
        <v>1233505101.0616004</v>
      </c>
      <c r="AJ784" s="246">
        <f>IFERROR(VLOOKUP(H784,PROGRAMAS[],3,FALSE),0)</f>
        <v>6129902208.7912121</v>
      </c>
      <c r="AK784" s="246">
        <f>IFERROR(VLOOKUP(I784,PROGRAMAS[],3,FALSE),0)</f>
        <v>7011279577.519702</v>
      </c>
      <c r="AL784" s="246">
        <f>IFERROR(VLOOKUP(J784,PROGRAMAS[],3,FALSE),0)</f>
        <v>2392571243.5584412</v>
      </c>
      <c r="AM784" s="246">
        <f>IFERROR(VLOOKUP(K784,PROGRAMAS[],3,FALSE),0)</f>
        <v>31865326.38096505</v>
      </c>
      <c r="AN784" s="246">
        <f>IFERROR(VLOOKUP(L784,PROGRAMAS[],3,FALSE),0)</f>
        <v>0</v>
      </c>
      <c r="AO784" s="246">
        <f>IFERROR(VLOOKUP(M784,PROGRAMAS[],3,FALSE),0)</f>
        <v>0</v>
      </c>
      <c r="AP784" s="246">
        <f>IFERROR(VLOOKUP(N784,PROGRAMAS[],3,FALSE),0)</f>
        <v>0</v>
      </c>
      <c r="AQ784" s="246">
        <f>IFERROR(VLOOKUP(O784,PROGRAMAS[],3,FALSE),0)</f>
        <v>0</v>
      </c>
      <c r="AR784" s="246">
        <f>IFERROR(VLOOKUP(P784,PROGRAMAS[],3,FALSE),0)</f>
        <v>0</v>
      </c>
      <c r="AS784" s="246">
        <f>IFERROR(VLOOKUP(Q784,PROGRAMAS[],3,FALSE),0)</f>
        <v>0</v>
      </c>
      <c r="AT784" s="246">
        <f>IFERROR(VLOOKUP(D784,VOL_REC[],2,FALSE),0)</f>
        <v>0</v>
      </c>
      <c r="AU784" s="246">
        <f>IFERROR(VLOOKUP(E784,VOL_REC[],2,FALSE),0)</f>
        <v>0</v>
      </c>
      <c r="AV784" s="246">
        <f>IFERROR(VLOOKUP(F784,VOL_REC[],2,FALSE),0)</f>
        <v>11089674.200000001</v>
      </c>
      <c r="AW784" s="246">
        <f>IFERROR(VLOOKUP(G784,VOL_REC[],2,FALSE),0)</f>
        <v>4325103.1812214684</v>
      </c>
      <c r="AX784" s="246">
        <f>IFERROR(VLOOKUP(H784,VOL_REC[],2,FALSE),0)</f>
        <v>15540036.397699751</v>
      </c>
      <c r="AY784" s="246">
        <f>IFERROR(VLOOKUP(I784,VOL_REC[],2,FALSE),0)</f>
        <v>3761786</v>
      </c>
      <c r="AZ784" s="246">
        <f>IFERROR(VLOOKUP(J784,VOL_REC[],2,FALSE),0)</f>
        <v>663244.80000000016</v>
      </c>
      <c r="BA784" s="246">
        <f>IFERROR(VLOOKUP(K784,VOL_REC[],2,FALSE),0)</f>
        <v>17074.045034105649</v>
      </c>
      <c r="BB784" s="246">
        <f>IFERROR(VLOOKUP(L784,VOL_REC[],2,FALSE),0)</f>
        <v>0</v>
      </c>
      <c r="BC784" s="246">
        <f>IFERROR(VLOOKUP(M784,VOL_REC[],2,FALSE),0)</f>
        <v>0</v>
      </c>
      <c r="BD784" s="246">
        <f>IFERROR(VLOOKUP(N784,VOL_REC[],2,FALSE),0)</f>
        <v>0</v>
      </c>
      <c r="BE784" s="246">
        <f>IFERROR(VLOOKUP(O784,VOL_REC[],2,FALSE),0)</f>
        <v>0</v>
      </c>
      <c r="BF784" s="246">
        <f>IFERROR(VLOOKUP(P784,VOL_REC[],2,FALSE),0)</f>
        <v>0</v>
      </c>
      <c r="BG784" s="246">
        <f>IFERROR(VLOOKUP(Q784,VOL_REC[],2,FALSE),0)</f>
        <v>0</v>
      </c>
      <c r="BH784" s="1710">
        <f t="shared" si="48"/>
        <v>22107799932.879795</v>
      </c>
      <c r="BI784" s="1710">
        <f t="shared" si="49"/>
        <v>24884894361.174473</v>
      </c>
      <c r="BJ784" s="1711">
        <f t="shared" si="50"/>
        <v>35396918.623955317</v>
      </c>
      <c r="BK784" s="1711">
        <f t="shared" si="51"/>
        <v>0.88840240235749146</v>
      </c>
    </row>
    <row r="785" spans="3:67" x14ac:dyDescent="0.25">
      <c r="C785" s="246" t="s">
        <v>2135</v>
      </c>
      <c r="D785" s="246">
        <v>1</v>
      </c>
      <c r="E785" s="246">
        <v>2</v>
      </c>
      <c r="F785" s="246">
        <v>3</v>
      </c>
      <c r="G785" s="246">
        <v>5</v>
      </c>
      <c r="H785" s="246">
        <v>6</v>
      </c>
      <c r="I785" s="246">
        <v>9</v>
      </c>
      <c r="J785" s="246">
        <v>13</v>
      </c>
      <c r="K785" s="246">
        <v>15</v>
      </c>
      <c r="L785" s="246"/>
      <c r="M785" s="246"/>
      <c r="N785" s="246"/>
      <c r="O785" s="246"/>
      <c r="P785" s="246"/>
      <c r="Q785" s="246"/>
      <c r="R785" s="246">
        <f>IFERROR(VLOOKUP(D785,PROGRAMAS[],2,FALSE),0)</f>
        <v>97037803.679377079</v>
      </c>
      <c r="S785" s="246">
        <f>IFERROR(VLOOKUP(E785,PROGRAMAS[],2,FALSE),0)</f>
        <v>640501509.6821388</v>
      </c>
      <c r="T785" s="246">
        <f>IFERROR(VLOOKUP(F785,PROGRAMAS[],2,FALSE),0)</f>
        <v>3062327798.1525245</v>
      </c>
      <c r="U785" s="246">
        <f>IFERROR(VLOOKUP(G785,PROGRAMAS[],2,FALSE),0)</f>
        <v>1440941976.2528784</v>
      </c>
      <c r="V785" s="246">
        <f>IFERROR(VLOOKUP(H785,PROGRAMAS[],2,FALSE),0)</f>
        <v>6907648435.8447599</v>
      </c>
      <c r="W785" s="246">
        <f>IFERROR(VLOOKUP(I785,PROGRAMAS[],2,FALSE),0)</f>
        <v>6128579952.1618185</v>
      </c>
      <c r="X785" s="246">
        <f>IFERROR(VLOOKUP(J785,PROGRAMAS[],2,FALSE),0)</f>
        <v>3776538594.4604583</v>
      </c>
      <c r="Y785" s="246">
        <f>IFERROR(VLOOKUP(K785,PROGRAMAS[],2,FALSE),0)</f>
        <v>122159672.96346797</v>
      </c>
      <c r="Z785" s="246">
        <f>IFERROR(VLOOKUP(L785,PROGRAMAS[],2,FALSE),0)</f>
        <v>0</v>
      </c>
      <c r="AA785" s="246">
        <f>IFERROR(VLOOKUP(M785,PROGRAMAS[],2,FALSE),0)</f>
        <v>0</v>
      </c>
      <c r="AB785" s="246">
        <f>IFERROR(VLOOKUP(N785,PROGRAMAS[],2,FALSE),0)</f>
        <v>0</v>
      </c>
      <c r="AC785" s="246">
        <f>IFERROR(VLOOKUP(O785,PROGRAMAS[],2,FALSE),0)</f>
        <v>0</v>
      </c>
      <c r="AD785" s="246">
        <f>IFERROR(VLOOKUP(P785,PROGRAMAS[],2,FALSE),0)</f>
        <v>0</v>
      </c>
      <c r="AE785" s="246">
        <f>IFERROR(VLOOKUP(Q785,PROGRAMAS[],2,FALSE),0)</f>
        <v>0</v>
      </c>
      <c r="AF785" s="246">
        <f>IFERROR(VLOOKUP(D785,PROGRAMAS[],3,FALSE),0)</f>
        <v>841888629.31080008</v>
      </c>
      <c r="AG785" s="246">
        <f>IFERROR(VLOOKUP(E785,PROGRAMAS[],3,FALSE),0)</f>
        <v>3848980803.1642323</v>
      </c>
      <c r="AH785" s="246">
        <f>IFERROR(VLOOKUP(F785,PROGRAMAS[],3,FALSE),0)</f>
        <v>3394901471.387517</v>
      </c>
      <c r="AI785" s="246">
        <f>IFERROR(VLOOKUP(G785,PROGRAMAS[],3,FALSE),0)</f>
        <v>1233505101.0616004</v>
      </c>
      <c r="AJ785" s="246">
        <f>IFERROR(VLOOKUP(H785,PROGRAMAS[],3,FALSE),0)</f>
        <v>6129902208.7912121</v>
      </c>
      <c r="AK785" s="246">
        <f>IFERROR(VLOOKUP(I785,PROGRAMAS[],3,FALSE),0)</f>
        <v>7011279577.519702</v>
      </c>
      <c r="AL785" s="246">
        <f>IFERROR(VLOOKUP(J785,PROGRAMAS[],3,FALSE),0)</f>
        <v>2392571243.5584412</v>
      </c>
      <c r="AM785" s="246">
        <f>IFERROR(VLOOKUP(K785,PROGRAMAS[],3,FALSE),0)</f>
        <v>118617452.52510804</v>
      </c>
      <c r="AN785" s="246">
        <f>IFERROR(VLOOKUP(L785,PROGRAMAS[],3,FALSE),0)</f>
        <v>0</v>
      </c>
      <c r="AO785" s="246">
        <f>IFERROR(VLOOKUP(M785,PROGRAMAS[],3,FALSE),0)</f>
        <v>0</v>
      </c>
      <c r="AP785" s="246">
        <f>IFERROR(VLOOKUP(N785,PROGRAMAS[],3,FALSE),0)</f>
        <v>0</v>
      </c>
      <c r="AQ785" s="246">
        <f>IFERROR(VLOOKUP(O785,PROGRAMAS[],3,FALSE),0)</f>
        <v>0</v>
      </c>
      <c r="AR785" s="246">
        <f>IFERROR(VLOOKUP(P785,PROGRAMAS[],3,FALSE),0)</f>
        <v>0</v>
      </c>
      <c r="AS785" s="246">
        <f>IFERROR(VLOOKUP(Q785,PROGRAMAS[],3,FALSE),0)</f>
        <v>0</v>
      </c>
      <c r="AT785" s="246">
        <f>IFERROR(VLOOKUP(D785,VOL_REC[],2,FALSE),0)</f>
        <v>0</v>
      </c>
      <c r="AU785" s="246">
        <f>IFERROR(VLOOKUP(E785,VOL_REC[],2,FALSE),0)</f>
        <v>0</v>
      </c>
      <c r="AV785" s="246">
        <f>IFERROR(VLOOKUP(F785,VOL_REC[],2,FALSE),0)</f>
        <v>11089674.200000001</v>
      </c>
      <c r="AW785" s="246">
        <f>IFERROR(VLOOKUP(G785,VOL_REC[],2,FALSE),0)</f>
        <v>4325103.1812214684</v>
      </c>
      <c r="AX785" s="246">
        <f>IFERROR(VLOOKUP(H785,VOL_REC[],2,FALSE),0)</f>
        <v>15540036.397699751</v>
      </c>
      <c r="AY785" s="246">
        <f>IFERROR(VLOOKUP(I785,VOL_REC[],2,FALSE),0)</f>
        <v>3761786</v>
      </c>
      <c r="AZ785" s="246">
        <f>IFERROR(VLOOKUP(J785,VOL_REC[],2,FALSE),0)</f>
        <v>663244.80000000016</v>
      </c>
      <c r="BA785" s="246">
        <f>IFERROR(VLOOKUP(K785,VOL_REC[],2,FALSE),0)</f>
        <v>105072</v>
      </c>
      <c r="BB785" s="246">
        <f>IFERROR(VLOOKUP(L785,VOL_REC[],2,FALSE),0)</f>
        <v>0</v>
      </c>
      <c r="BC785" s="246">
        <f>IFERROR(VLOOKUP(M785,VOL_REC[],2,FALSE),0)</f>
        <v>0</v>
      </c>
      <c r="BD785" s="246">
        <f>IFERROR(VLOOKUP(N785,VOL_REC[],2,FALSE),0)</f>
        <v>0</v>
      </c>
      <c r="BE785" s="246">
        <f>IFERROR(VLOOKUP(O785,VOL_REC[],2,FALSE),0)</f>
        <v>0</v>
      </c>
      <c r="BF785" s="246">
        <f>IFERROR(VLOOKUP(P785,VOL_REC[],2,FALSE),0)</f>
        <v>0</v>
      </c>
      <c r="BG785" s="246">
        <f>IFERROR(VLOOKUP(Q785,VOL_REC[],2,FALSE),0)</f>
        <v>0</v>
      </c>
      <c r="BH785" s="1710">
        <f t="shared" si="48"/>
        <v>22175735743.197422</v>
      </c>
      <c r="BI785" s="1710">
        <f t="shared" si="49"/>
        <v>24971646487.318615</v>
      </c>
      <c r="BJ785" s="1711">
        <f t="shared" si="50"/>
        <v>35484916.578921214</v>
      </c>
      <c r="BK785" s="1711">
        <f t="shared" si="51"/>
        <v>0.8880365879942661</v>
      </c>
    </row>
    <row r="786" spans="3:67" x14ac:dyDescent="0.25">
      <c r="C786" s="246" t="s">
        <v>2136</v>
      </c>
      <c r="D786" s="246">
        <v>1</v>
      </c>
      <c r="E786" s="246">
        <v>2</v>
      </c>
      <c r="F786" s="246">
        <v>3</v>
      </c>
      <c r="G786" s="246">
        <v>5</v>
      </c>
      <c r="H786" s="246">
        <v>6</v>
      </c>
      <c r="I786" s="246">
        <v>9</v>
      </c>
      <c r="J786" s="246">
        <v>13</v>
      </c>
      <c r="K786" s="246">
        <v>16</v>
      </c>
      <c r="L786" s="246"/>
      <c r="M786" s="246"/>
      <c r="N786" s="246"/>
      <c r="O786" s="246"/>
      <c r="P786" s="246"/>
      <c r="Q786" s="246"/>
      <c r="R786" s="246">
        <f>IFERROR(VLOOKUP(D786,PROGRAMAS[],2,FALSE),0)</f>
        <v>97037803.679377079</v>
      </c>
      <c r="S786" s="246">
        <f>IFERROR(VLOOKUP(E786,PROGRAMAS[],2,FALSE),0)</f>
        <v>640501509.6821388</v>
      </c>
      <c r="T786" s="246">
        <f>IFERROR(VLOOKUP(F786,PROGRAMAS[],2,FALSE),0)</f>
        <v>3062327798.1525245</v>
      </c>
      <c r="U786" s="246">
        <f>IFERROR(VLOOKUP(G786,PROGRAMAS[],2,FALSE),0)</f>
        <v>1440941976.2528784</v>
      </c>
      <c r="V786" s="246">
        <f>IFERROR(VLOOKUP(H786,PROGRAMAS[],2,FALSE),0)</f>
        <v>6907648435.8447599</v>
      </c>
      <c r="W786" s="246">
        <f>IFERROR(VLOOKUP(I786,PROGRAMAS[],2,FALSE),0)</f>
        <v>6128579952.1618185</v>
      </c>
      <c r="X786" s="246">
        <f>IFERROR(VLOOKUP(J786,PROGRAMAS[],2,FALSE),0)</f>
        <v>3776538594.4604583</v>
      </c>
      <c r="Y786" s="246">
        <f>IFERROR(VLOOKUP(K786,PROGRAMAS[],2,FALSE),0)</f>
        <v>7068496961.0436354</v>
      </c>
      <c r="Z786" s="246">
        <f>IFERROR(VLOOKUP(L786,PROGRAMAS[],2,FALSE),0)</f>
        <v>0</v>
      </c>
      <c r="AA786" s="246">
        <f>IFERROR(VLOOKUP(M786,PROGRAMAS[],2,FALSE),0)</f>
        <v>0</v>
      </c>
      <c r="AB786" s="246">
        <f>IFERROR(VLOOKUP(N786,PROGRAMAS[],2,FALSE),0)</f>
        <v>0</v>
      </c>
      <c r="AC786" s="246">
        <f>IFERROR(VLOOKUP(O786,PROGRAMAS[],2,FALSE),0)</f>
        <v>0</v>
      </c>
      <c r="AD786" s="246">
        <f>IFERROR(VLOOKUP(P786,PROGRAMAS[],2,FALSE),0)</f>
        <v>0</v>
      </c>
      <c r="AE786" s="246">
        <f>IFERROR(VLOOKUP(Q786,PROGRAMAS[],2,FALSE),0)</f>
        <v>0</v>
      </c>
      <c r="AF786" s="246">
        <f>IFERROR(VLOOKUP(D786,PROGRAMAS[],3,FALSE),0)</f>
        <v>841888629.31080008</v>
      </c>
      <c r="AG786" s="246">
        <f>IFERROR(VLOOKUP(E786,PROGRAMAS[],3,FALSE),0)</f>
        <v>3848980803.1642323</v>
      </c>
      <c r="AH786" s="246">
        <f>IFERROR(VLOOKUP(F786,PROGRAMAS[],3,FALSE),0)</f>
        <v>3394901471.387517</v>
      </c>
      <c r="AI786" s="246">
        <f>IFERROR(VLOOKUP(G786,PROGRAMAS[],3,FALSE),0)</f>
        <v>1233505101.0616004</v>
      </c>
      <c r="AJ786" s="246">
        <f>IFERROR(VLOOKUP(H786,PROGRAMAS[],3,FALSE),0)</f>
        <v>6129902208.7912121</v>
      </c>
      <c r="AK786" s="246">
        <f>IFERROR(VLOOKUP(I786,PROGRAMAS[],3,FALSE),0)</f>
        <v>7011279577.519702</v>
      </c>
      <c r="AL786" s="246">
        <f>IFERROR(VLOOKUP(J786,PROGRAMAS[],3,FALSE),0)</f>
        <v>2392571243.5584412</v>
      </c>
      <c r="AM786" s="246">
        <f>IFERROR(VLOOKUP(K786,PROGRAMAS[],3,FALSE),0)</f>
        <v>2406564599.0319901</v>
      </c>
      <c r="AN786" s="246">
        <f>IFERROR(VLOOKUP(L786,PROGRAMAS[],3,FALSE),0)</f>
        <v>0</v>
      </c>
      <c r="AO786" s="246">
        <f>IFERROR(VLOOKUP(M786,PROGRAMAS[],3,FALSE),0)</f>
        <v>0</v>
      </c>
      <c r="AP786" s="246">
        <f>IFERROR(VLOOKUP(N786,PROGRAMAS[],3,FALSE),0)</f>
        <v>0</v>
      </c>
      <c r="AQ786" s="246">
        <f>IFERROR(VLOOKUP(O786,PROGRAMAS[],3,FALSE),0)</f>
        <v>0</v>
      </c>
      <c r="AR786" s="246">
        <f>IFERROR(VLOOKUP(P786,PROGRAMAS[],3,FALSE),0)</f>
        <v>0</v>
      </c>
      <c r="AS786" s="246">
        <f>IFERROR(VLOOKUP(Q786,PROGRAMAS[],3,FALSE),0)</f>
        <v>0</v>
      </c>
      <c r="AT786" s="246">
        <f>IFERROR(VLOOKUP(D786,VOL_REC[],2,FALSE),0)</f>
        <v>0</v>
      </c>
      <c r="AU786" s="246">
        <f>IFERROR(VLOOKUP(E786,VOL_REC[],2,FALSE),0)</f>
        <v>0</v>
      </c>
      <c r="AV786" s="246">
        <f>IFERROR(VLOOKUP(F786,VOL_REC[],2,FALSE),0)</f>
        <v>11089674.200000001</v>
      </c>
      <c r="AW786" s="246">
        <f>IFERROR(VLOOKUP(G786,VOL_REC[],2,FALSE),0)</f>
        <v>4325103.1812214684</v>
      </c>
      <c r="AX786" s="246">
        <f>IFERROR(VLOOKUP(H786,VOL_REC[],2,FALSE),0)</f>
        <v>15540036.397699751</v>
      </c>
      <c r="AY786" s="246">
        <f>IFERROR(VLOOKUP(I786,VOL_REC[],2,FALSE),0)</f>
        <v>3761786</v>
      </c>
      <c r="AZ786" s="246">
        <f>IFERROR(VLOOKUP(J786,VOL_REC[],2,FALSE),0)</f>
        <v>663244.80000000016</v>
      </c>
      <c r="BA786" s="246">
        <f>IFERROR(VLOOKUP(K786,VOL_REC[],2,FALSE),0)</f>
        <v>1072354.9981737854</v>
      </c>
      <c r="BB786" s="246">
        <f>IFERROR(VLOOKUP(L786,VOL_REC[],2,FALSE),0)</f>
        <v>0</v>
      </c>
      <c r="BC786" s="246">
        <f>IFERROR(VLOOKUP(M786,VOL_REC[],2,FALSE),0)</f>
        <v>0</v>
      </c>
      <c r="BD786" s="246">
        <f>IFERROR(VLOOKUP(N786,VOL_REC[],2,FALSE),0)</f>
        <v>0</v>
      </c>
      <c r="BE786" s="246">
        <f>IFERROR(VLOOKUP(O786,VOL_REC[],2,FALSE),0)</f>
        <v>0</v>
      </c>
      <c r="BF786" s="246">
        <f>IFERROR(VLOOKUP(P786,VOL_REC[],2,FALSE),0)</f>
        <v>0</v>
      </c>
      <c r="BG786" s="246">
        <f>IFERROR(VLOOKUP(Q786,VOL_REC[],2,FALSE),0)</f>
        <v>0</v>
      </c>
      <c r="BH786" s="1710">
        <f t="shared" si="48"/>
        <v>29122073031.277592</v>
      </c>
      <c r="BI786" s="1710">
        <f t="shared" si="49"/>
        <v>27259593633.825497</v>
      </c>
      <c r="BJ786" s="1711">
        <f t="shared" si="50"/>
        <v>36452199.577095002</v>
      </c>
      <c r="BK786" s="1711">
        <f t="shared" si="51"/>
        <v>1.0683238137174946</v>
      </c>
      <c r="BL786">
        <f>BJ786</f>
        <v>36452199.577095002</v>
      </c>
      <c r="BO786">
        <f>BL786</f>
        <v>36452199.577095002</v>
      </c>
    </row>
    <row r="787" spans="3:67" x14ac:dyDescent="0.25">
      <c r="C787" s="246" t="s">
        <v>2137</v>
      </c>
      <c r="D787" s="246">
        <v>1</v>
      </c>
      <c r="E787" s="246">
        <v>2</v>
      </c>
      <c r="F787" s="246">
        <v>3</v>
      </c>
      <c r="G787" s="246">
        <v>5</v>
      </c>
      <c r="H787" s="246">
        <v>6</v>
      </c>
      <c r="I787" s="246">
        <v>9</v>
      </c>
      <c r="J787" s="246">
        <v>13</v>
      </c>
      <c r="K787" s="246">
        <v>17</v>
      </c>
      <c r="L787" s="246"/>
      <c r="M787" s="246"/>
      <c r="N787" s="246"/>
      <c r="O787" s="246"/>
      <c r="P787" s="246"/>
      <c r="Q787" s="246"/>
      <c r="R787" s="246">
        <f>IFERROR(VLOOKUP(D787,PROGRAMAS[],2,FALSE),0)</f>
        <v>97037803.679377079</v>
      </c>
      <c r="S787" s="246">
        <f>IFERROR(VLOOKUP(E787,PROGRAMAS[],2,FALSE),0)</f>
        <v>640501509.6821388</v>
      </c>
      <c r="T787" s="246">
        <f>IFERROR(VLOOKUP(F787,PROGRAMAS[],2,FALSE),0)</f>
        <v>3062327798.1525245</v>
      </c>
      <c r="U787" s="246">
        <f>IFERROR(VLOOKUP(G787,PROGRAMAS[],2,FALSE),0)</f>
        <v>1440941976.2528784</v>
      </c>
      <c r="V787" s="246">
        <f>IFERROR(VLOOKUP(H787,PROGRAMAS[],2,FALSE),0)</f>
        <v>6907648435.8447599</v>
      </c>
      <c r="W787" s="246">
        <f>IFERROR(VLOOKUP(I787,PROGRAMAS[],2,FALSE),0)</f>
        <v>6128579952.1618185</v>
      </c>
      <c r="X787" s="246">
        <f>IFERROR(VLOOKUP(J787,PROGRAMAS[],2,FALSE),0)</f>
        <v>3776538594.4604583</v>
      </c>
      <c r="Y787" s="246">
        <f>IFERROR(VLOOKUP(K787,PROGRAMAS[],2,FALSE),0)</f>
        <v>1892779498.5211046</v>
      </c>
      <c r="Z787" s="246">
        <f>IFERROR(VLOOKUP(L787,PROGRAMAS[],2,FALSE),0)</f>
        <v>0</v>
      </c>
      <c r="AA787" s="246">
        <f>IFERROR(VLOOKUP(M787,PROGRAMAS[],2,FALSE),0)</f>
        <v>0</v>
      </c>
      <c r="AB787" s="246">
        <f>IFERROR(VLOOKUP(N787,PROGRAMAS[],2,FALSE),0)</f>
        <v>0</v>
      </c>
      <c r="AC787" s="246">
        <f>IFERROR(VLOOKUP(O787,PROGRAMAS[],2,FALSE),0)</f>
        <v>0</v>
      </c>
      <c r="AD787" s="246">
        <f>IFERROR(VLOOKUP(P787,PROGRAMAS[],2,FALSE),0)</f>
        <v>0</v>
      </c>
      <c r="AE787" s="246">
        <f>IFERROR(VLOOKUP(Q787,PROGRAMAS[],2,FALSE),0)</f>
        <v>0</v>
      </c>
      <c r="AF787" s="246">
        <f>IFERROR(VLOOKUP(D787,PROGRAMAS[],3,FALSE),0)</f>
        <v>841888629.31080008</v>
      </c>
      <c r="AG787" s="246">
        <f>IFERROR(VLOOKUP(E787,PROGRAMAS[],3,FALSE),0)</f>
        <v>3848980803.1642323</v>
      </c>
      <c r="AH787" s="246">
        <f>IFERROR(VLOOKUP(F787,PROGRAMAS[],3,FALSE),0)</f>
        <v>3394901471.387517</v>
      </c>
      <c r="AI787" s="246">
        <f>IFERROR(VLOOKUP(G787,PROGRAMAS[],3,FALSE),0)</f>
        <v>1233505101.0616004</v>
      </c>
      <c r="AJ787" s="246">
        <f>IFERROR(VLOOKUP(H787,PROGRAMAS[],3,FALSE),0)</f>
        <v>6129902208.7912121</v>
      </c>
      <c r="AK787" s="246">
        <f>IFERROR(VLOOKUP(I787,PROGRAMAS[],3,FALSE),0)</f>
        <v>7011279577.519702</v>
      </c>
      <c r="AL787" s="246">
        <f>IFERROR(VLOOKUP(J787,PROGRAMAS[],3,FALSE),0)</f>
        <v>2392571243.5584412</v>
      </c>
      <c r="AM787" s="246">
        <f>IFERROR(VLOOKUP(K787,PROGRAMAS[],3,FALSE),0)</f>
        <v>948595847.09039903</v>
      </c>
      <c r="AN787" s="246">
        <f>IFERROR(VLOOKUP(L787,PROGRAMAS[],3,FALSE),0)</f>
        <v>0</v>
      </c>
      <c r="AO787" s="246">
        <f>IFERROR(VLOOKUP(M787,PROGRAMAS[],3,FALSE),0)</f>
        <v>0</v>
      </c>
      <c r="AP787" s="246">
        <f>IFERROR(VLOOKUP(N787,PROGRAMAS[],3,FALSE),0)</f>
        <v>0</v>
      </c>
      <c r="AQ787" s="246">
        <f>IFERROR(VLOOKUP(O787,PROGRAMAS[],3,FALSE),0)</f>
        <v>0</v>
      </c>
      <c r="AR787" s="246">
        <f>IFERROR(VLOOKUP(P787,PROGRAMAS[],3,FALSE),0)</f>
        <v>0</v>
      </c>
      <c r="AS787" s="246">
        <f>IFERROR(VLOOKUP(Q787,PROGRAMAS[],3,FALSE),0)</f>
        <v>0</v>
      </c>
      <c r="AT787" s="246">
        <f>IFERROR(VLOOKUP(D787,VOL_REC[],2,FALSE),0)</f>
        <v>0</v>
      </c>
      <c r="AU787" s="246">
        <f>IFERROR(VLOOKUP(E787,VOL_REC[],2,FALSE),0)</f>
        <v>0</v>
      </c>
      <c r="AV787" s="246">
        <f>IFERROR(VLOOKUP(F787,VOL_REC[],2,FALSE),0)</f>
        <v>11089674.200000001</v>
      </c>
      <c r="AW787" s="246">
        <f>IFERROR(VLOOKUP(G787,VOL_REC[],2,FALSE),0)</f>
        <v>4325103.1812214684</v>
      </c>
      <c r="AX787" s="246">
        <f>IFERROR(VLOOKUP(H787,VOL_REC[],2,FALSE),0)</f>
        <v>15540036.397699751</v>
      </c>
      <c r="AY787" s="246">
        <f>IFERROR(VLOOKUP(I787,VOL_REC[],2,FALSE),0)</f>
        <v>3761786</v>
      </c>
      <c r="AZ787" s="246">
        <f>IFERROR(VLOOKUP(J787,VOL_REC[],2,FALSE),0)</f>
        <v>663244.80000000016</v>
      </c>
      <c r="BA787" s="246">
        <f>IFERROR(VLOOKUP(K787,VOL_REC[],2,FALSE),0)</f>
        <v>740113.98115702497</v>
      </c>
      <c r="BB787" s="246">
        <f>IFERROR(VLOOKUP(L787,VOL_REC[],2,FALSE),0)</f>
        <v>0</v>
      </c>
      <c r="BC787" s="246">
        <f>IFERROR(VLOOKUP(M787,VOL_REC[],2,FALSE),0)</f>
        <v>0</v>
      </c>
      <c r="BD787" s="246">
        <f>IFERROR(VLOOKUP(N787,VOL_REC[],2,FALSE),0)</f>
        <v>0</v>
      </c>
      <c r="BE787" s="246">
        <f>IFERROR(VLOOKUP(O787,VOL_REC[],2,FALSE),0)</f>
        <v>0</v>
      </c>
      <c r="BF787" s="246">
        <f>IFERROR(VLOOKUP(P787,VOL_REC[],2,FALSE),0)</f>
        <v>0</v>
      </c>
      <c r="BG787" s="246">
        <f>IFERROR(VLOOKUP(Q787,VOL_REC[],2,FALSE),0)</f>
        <v>0</v>
      </c>
      <c r="BH787" s="1710">
        <f t="shared" si="48"/>
        <v>23946355568.755058</v>
      </c>
      <c r="BI787" s="1710">
        <f t="shared" si="49"/>
        <v>25801624881.883907</v>
      </c>
      <c r="BJ787" s="1711">
        <f t="shared" si="50"/>
        <v>36119958.560078241</v>
      </c>
      <c r="BK787" s="1711">
        <f t="shared" si="51"/>
        <v>0.92809486527991925</v>
      </c>
    </row>
    <row r="788" spans="3:67" x14ac:dyDescent="0.25">
      <c r="C788" s="246" t="s">
        <v>2138</v>
      </c>
      <c r="D788" s="246">
        <v>1</v>
      </c>
      <c r="E788" s="246">
        <v>2</v>
      </c>
      <c r="F788" s="246">
        <v>3</v>
      </c>
      <c r="G788" s="246">
        <v>5</v>
      </c>
      <c r="H788" s="246">
        <v>6</v>
      </c>
      <c r="I788" s="246">
        <v>9</v>
      </c>
      <c r="J788" s="246">
        <v>14</v>
      </c>
      <c r="K788" s="246">
        <v>15</v>
      </c>
      <c r="L788" s="246"/>
      <c r="M788" s="246"/>
      <c r="N788" s="246"/>
      <c r="O788" s="246"/>
      <c r="P788" s="246"/>
      <c r="Q788" s="246"/>
      <c r="R788" s="246">
        <f>IFERROR(VLOOKUP(D788,PROGRAMAS[],2,FALSE),0)</f>
        <v>97037803.679377079</v>
      </c>
      <c r="S788" s="246">
        <f>IFERROR(VLOOKUP(E788,PROGRAMAS[],2,FALSE),0)</f>
        <v>640501509.6821388</v>
      </c>
      <c r="T788" s="246">
        <f>IFERROR(VLOOKUP(F788,PROGRAMAS[],2,FALSE),0)</f>
        <v>3062327798.1525245</v>
      </c>
      <c r="U788" s="246">
        <f>IFERROR(VLOOKUP(G788,PROGRAMAS[],2,FALSE),0)</f>
        <v>1440941976.2528784</v>
      </c>
      <c r="V788" s="246">
        <f>IFERROR(VLOOKUP(H788,PROGRAMAS[],2,FALSE),0)</f>
        <v>6907648435.8447599</v>
      </c>
      <c r="W788" s="246">
        <f>IFERROR(VLOOKUP(I788,PROGRAMAS[],2,FALSE),0)</f>
        <v>6128579952.1618185</v>
      </c>
      <c r="X788" s="246">
        <f>IFERROR(VLOOKUP(J788,PROGRAMAS[],2,FALSE),0)</f>
        <v>54223862.645839565</v>
      </c>
      <c r="Y788" s="246">
        <f>IFERROR(VLOOKUP(K788,PROGRAMAS[],2,FALSE),0)</f>
        <v>122159672.96346797</v>
      </c>
      <c r="Z788" s="246">
        <f>IFERROR(VLOOKUP(L788,PROGRAMAS[],2,FALSE),0)</f>
        <v>0</v>
      </c>
      <c r="AA788" s="246">
        <f>IFERROR(VLOOKUP(M788,PROGRAMAS[],2,FALSE),0)</f>
        <v>0</v>
      </c>
      <c r="AB788" s="246">
        <f>IFERROR(VLOOKUP(N788,PROGRAMAS[],2,FALSE),0)</f>
        <v>0</v>
      </c>
      <c r="AC788" s="246">
        <f>IFERROR(VLOOKUP(O788,PROGRAMAS[],2,FALSE),0)</f>
        <v>0</v>
      </c>
      <c r="AD788" s="246">
        <f>IFERROR(VLOOKUP(P788,PROGRAMAS[],2,FALSE),0)</f>
        <v>0</v>
      </c>
      <c r="AE788" s="246">
        <f>IFERROR(VLOOKUP(Q788,PROGRAMAS[],2,FALSE),0)</f>
        <v>0</v>
      </c>
      <c r="AF788" s="246">
        <f>IFERROR(VLOOKUP(D788,PROGRAMAS[],3,FALSE),0)</f>
        <v>841888629.31080008</v>
      </c>
      <c r="AG788" s="246">
        <f>IFERROR(VLOOKUP(E788,PROGRAMAS[],3,FALSE),0)</f>
        <v>3848980803.1642323</v>
      </c>
      <c r="AH788" s="246">
        <f>IFERROR(VLOOKUP(F788,PROGRAMAS[],3,FALSE),0)</f>
        <v>3394901471.387517</v>
      </c>
      <c r="AI788" s="246">
        <f>IFERROR(VLOOKUP(G788,PROGRAMAS[],3,FALSE),0)</f>
        <v>1233505101.0616004</v>
      </c>
      <c r="AJ788" s="246">
        <f>IFERROR(VLOOKUP(H788,PROGRAMAS[],3,FALSE),0)</f>
        <v>6129902208.7912121</v>
      </c>
      <c r="AK788" s="246">
        <f>IFERROR(VLOOKUP(I788,PROGRAMAS[],3,FALSE),0)</f>
        <v>7011279577.519702</v>
      </c>
      <c r="AL788" s="246">
        <f>IFERROR(VLOOKUP(J788,PROGRAMAS[],3,FALSE),0)</f>
        <v>31865326.38096505</v>
      </c>
      <c r="AM788" s="246">
        <f>IFERROR(VLOOKUP(K788,PROGRAMAS[],3,FALSE),0)</f>
        <v>118617452.52510804</v>
      </c>
      <c r="AN788" s="246">
        <f>IFERROR(VLOOKUP(L788,PROGRAMAS[],3,FALSE),0)</f>
        <v>0</v>
      </c>
      <c r="AO788" s="246">
        <f>IFERROR(VLOOKUP(M788,PROGRAMAS[],3,FALSE),0)</f>
        <v>0</v>
      </c>
      <c r="AP788" s="246">
        <f>IFERROR(VLOOKUP(N788,PROGRAMAS[],3,FALSE),0)</f>
        <v>0</v>
      </c>
      <c r="AQ788" s="246">
        <f>IFERROR(VLOOKUP(O788,PROGRAMAS[],3,FALSE),0)</f>
        <v>0</v>
      </c>
      <c r="AR788" s="246">
        <f>IFERROR(VLOOKUP(P788,PROGRAMAS[],3,FALSE),0)</f>
        <v>0</v>
      </c>
      <c r="AS788" s="246">
        <f>IFERROR(VLOOKUP(Q788,PROGRAMAS[],3,FALSE),0)</f>
        <v>0</v>
      </c>
      <c r="AT788" s="246">
        <f>IFERROR(VLOOKUP(D788,VOL_REC[],2,FALSE),0)</f>
        <v>0</v>
      </c>
      <c r="AU788" s="246">
        <f>IFERROR(VLOOKUP(E788,VOL_REC[],2,FALSE),0)</f>
        <v>0</v>
      </c>
      <c r="AV788" s="246">
        <f>IFERROR(VLOOKUP(F788,VOL_REC[],2,FALSE),0)</f>
        <v>11089674.200000001</v>
      </c>
      <c r="AW788" s="246">
        <f>IFERROR(VLOOKUP(G788,VOL_REC[],2,FALSE),0)</f>
        <v>4325103.1812214684</v>
      </c>
      <c r="AX788" s="246">
        <f>IFERROR(VLOOKUP(H788,VOL_REC[],2,FALSE),0)</f>
        <v>15540036.397699751</v>
      </c>
      <c r="AY788" s="246">
        <f>IFERROR(VLOOKUP(I788,VOL_REC[],2,FALSE),0)</f>
        <v>3761786</v>
      </c>
      <c r="AZ788" s="246">
        <f>IFERROR(VLOOKUP(J788,VOL_REC[],2,FALSE),0)</f>
        <v>17074.045034105649</v>
      </c>
      <c r="BA788" s="246">
        <f>IFERROR(VLOOKUP(K788,VOL_REC[],2,FALSE),0)</f>
        <v>105072</v>
      </c>
      <c r="BB788" s="246">
        <f>IFERROR(VLOOKUP(L788,VOL_REC[],2,FALSE),0)</f>
        <v>0</v>
      </c>
      <c r="BC788" s="246">
        <f>IFERROR(VLOOKUP(M788,VOL_REC[],2,FALSE),0)</f>
        <v>0</v>
      </c>
      <c r="BD788" s="246">
        <f>IFERROR(VLOOKUP(N788,VOL_REC[],2,FALSE),0)</f>
        <v>0</v>
      </c>
      <c r="BE788" s="246">
        <f>IFERROR(VLOOKUP(O788,VOL_REC[],2,FALSE),0)</f>
        <v>0</v>
      </c>
      <c r="BF788" s="246">
        <f>IFERROR(VLOOKUP(P788,VOL_REC[],2,FALSE),0)</f>
        <v>0</v>
      </c>
      <c r="BG788" s="246">
        <f>IFERROR(VLOOKUP(Q788,VOL_REC[],2,FALSE),0)</f>
        <v>0</v>
      </c>
      <c r="BH788" s="1710">
        <f t="shared" si="48"/>
        <v>18453421011.382805</v>
      </c>
      <c r="BI788" s="1710">
        <f t="shared" si="49"/>
        <v>22610940570.14114</v>
      </c>
      <c r="BJ788" s="1711">
        <f t="shared" si="50"/>
        <v>34838745.82395532</v>
      </c>
      <c r="BK788" s="1711">
        <f t="shared" si="51"/>
        <v>0.81612796929604314</v>
      </c>
    </row>
    <row r="789" spans="3:67" x14ac:dyDescent="0.25">
      <c r="C789" s="246" t="s">
        <v>2139</v>
      </c>
      <c r="D789" s="246">
        <v>1</v>
      </c>
      <c r="E789" s="246">
        <v>2</v>
      </c>
      <c r="F789" s="246">
        <v>3</v>
      </c>
      <c r="G789" s="246">
        <v>5</v>
      </c>
      <c r="H789" s="246">
        <v>6</v>
      </c>
      <c r="I789" s="246">
        <v>9</v>
      </c>
      <c r="J789" s="246">
        <v>14</v>
      </c>
      <c r="K789" s="246">
        <v>16</v>
      </c>
      <c r="L789" s="246"/>
      <c r="M789" s="246"/>
      <c r="N789" s="246"/>
      <c r="O789" s="246"/>
      <c r="P789" s="246"/>
      <c r="Q789" s="246"/>
      <c r="R789" s="246">
        <f>IFERROR(VLOOKUP(D789,PROGRAMAS[],2,FALSE),0)</f>
        <v>97037803.679377079</v>
      </c>
      <c r="S789" s="246">
        <f>IFERROR(VLOOKUP(E789,PROGRAMAS[],2,FALSE),0)</f>
        <v>640501509.6821388</v>
      </c>
      <c r="T789" s="246">
        <f>IFERROR(VLOOKUP(F789,PROGRAMAS[],2,FALSE),0)</f>
        <v>3062327798.1525245</v>
      </c>
      <c r="U789" s="246">
        <f>IFERROR(VLOOKUP(G789,PROGRAMAS[],2,FALSE),0)</f>
        <v>1440941976.2528784</v>
      </c>
      <c r="V789" s="246">
        <f>IFERROR(VLOOKUP(H789,PROGRAMAS[],2,FALSE),0)</f>
        <v>6907648435.8447599</v>
      </c>
      <c r="W789" s="246">
        <f>IFERROR(VLOOKUP(I789,PROGRAMAS[],2,FALSE),0)</f>
        <v>6128579952.1618185</v>
      </c>
      <c r="X789" s="246">
        <f>IFERROR(VLOOKUP(J789,PROGRAMAS[],2,FALSE),0)</f>
        <v>54223862.645839565</v>
      </c>
      <c r="Y789" s="246">
        <f>IFERROR(VLOOKUP(K789,PROGRAMAS[],2,FALSE),0)</f>
        <v>7068496961.0436354</v>
      </c>
      <c r="Z789" s="246">
        <f>IFERROR(VLOOKUP(L789,PROGRAMAS[],2,FALSE),0)</f>
        <v>0</v>
      </c>
      <c r="AA789" s="246">
        <f>IFERROR(VLOOKUP(M789,PROGRAMAS[],2,FALSE),0)</f>
        <v>0</v>
      </c>
      <c r="AB789" s="246">
        <f>IFERROR(VLOOKUP(N789,PROGRAMAS[],2,FALSE),0)</f>
        <v>0</v>
      </c>
      <c r="AC789" s="246">
        <f>IFERROR(VLOOKUP(O789,PROGRAMAS[],2,FALSE),0)</f>
        <v>0</v>
      </c>
      <c r="AD789" s="246">
        <f>IFERROR(VLOOKUP(P789,PROGRAMAS[],2,FALSE),0)</f>
        <v>0</v>
      </c>
      <c r="AE789" s="246">
        <f>IFERROR(VLOOKUP(Q789,PROGRAMAS[],2,FALSE),0)</f>
        <v>0</v>
      </c>
      <c r="AF789" s="246">
        <f>IFERROR(VLOOKUP(D789,PROGRAMAS[],3,FALSE),0)</f>
        <v>841888629.31080008</v>
      </c>
      <c r="AG789" s="246">
        <f>IFERROR(VLOOKUP(E789,PROGRAMAS[],3,FALSE),0)</f>
        <v>3848980803.1642323</v>
      </c>
      <c r="AH789" s="246">
        <f>IFERROR(VLOOKUP(F789,PROGRAMAS[],3,FALSE),0)</f>
        <v>3394901471.387517</v>
      </c>
      <c r="AI789" s="246">
        <f>IFERROR(VLOOKUP(G789,PROGRAMAS[],3,FALSE),0)</f>
        <v>1233505101.0616004</v>
      </c>
      <c r="AJ789" s="246">
        <f>IFERROR(VLOOKUP(H789,PROGRAMAS[],3,FALSE),0)</f>
        <v>6129902208.7912121</v>
      </c>
      <c r="AK789" s="246">
        <f>IFERROR(VLOOKUP(I789,PROGRAMAS[],3,FALSE),0)</f>
        <v>7011279577.519702</v>
      </c>
      <c r="AL789" s="246">
        <f>IFERROR(VLOOKUP(J789,PROGRAMAS[],3,FALSE),0)</f>
        <v>31865326.38096505</v>
      </c>
      <c r="AM789" s="246">
        <f>IFERROR(VLOOKUP(K789,PROGRAMAS[],3,FALSE),0)</f>
        <v>2406564599.0319901</v>
      </c>
      <c r="AN789" s="246">
        <f>IFERROR(VLOOKUP(L789,PROGRAMAS[],3,FALSE),0)</f>
        <v>0</v>
      </c>
      <c r="AO789" s="246">
        <f>IFERROR(VLOOKUP(M789,PROGRAMAS[],3,FALSE),0)</f>
        <v>0</v>
      </c>
      <c r="AP789" s="246">
        <f>IFERROR(VLOOKUP(N789,PROGRAMAS[],3,FALSE),0)</f>
        <v>0</v>
      </c>
      <c r="AQ789" s="246">
        <f>IFERROR(VLOOKUP(O789,PROGRAMAS[],3,FALSE),0)</f>
        <v>0</v>
      </c>
      <c r="AR789" s="246">
        <f>IFERROR(VLOOKUP(P789,PROGRAMAS[],3,FALSE),0)</f>
        <v>0</v>
      </c>
      <c r="AS789" s="246">
        <f>IFERROR(VLOOKUP(Q789,PROGRAMAS[],3,FALSE),0)</f>
        <v>0</v>
      </c>
      <c r="AT789" s="246">
        <f>IFERROR(VLOOKUP(D789,VOL_REC[],2,FALSE),0)</f>
        <v>0</v>
      </c>
      <c r="AU789" s="246">
        <f>IFERROR(VLOOKUP(E789,VOL_REC[],2,FALSE),0)</f>
        <v>0</v>
      </c>
      <c r="AV789" s="246">
        <f>IFERROR(VLOOKUP(F789,VOL_REC[],2,FALSE),0)</f>
        <v>11089674.200000001</v>
      </c>
      <c r="AW789" s="246">
        <f>IFERROR(VLOOKUP(G789,VOL_REC[],2,FALSE),0)</f>
        <v>4325103.1812214684</v>
      </c>
      <c r="AX789" s="246">
        <f>IFERROR(VLOOKUP(H789,VOL_REC[],2,FALSE),0)</f>
        <v>15540036.397699751</v>
      </c>
      <c r="AY789" s="246">
        <f>IFERROR(VLOOKUP(I789,VOL_REC[],2,FALSE),0)</f>
        <v>3761786</v>
      </c>
      <c r="AZ789" s="246">
        <f>IFERROR(VLOOKUP(J789,VOL_REC[],2,FALSE),0)</f>
        <v>17074.045034105649</v>
      </c>
      <c r="BA789" s="246">
        <f>IFERROR(VLOOKUP(K789,VOL_REC[],2,FALSE),0)</f>
        <v>1072354.9981737854</v>
      </c>
      <c r="BB789" s="246">
        <f>IFERROR(VLOOKUP(L789,VOL_REC[],2,FALSE),0)</f>
        <v>0</v>
      </c>
      <c r="BC789" s="246">
        <f>IFERROR(VLOOKUP(M789,VOL_REC[],2,FALSE),0)</f>
        <v>0</v>
      </c>
      <c r="BD789" s="246">
        <f>IFERROR(VLOOKUP(N789,VOL_REC[],2,FALSE),0)</f>
        <v>0</v>
      </c>
      <c r="BE789" s="246">
        <f>IFERROR(VLOOKUP(O789,VOL_REC[],2,FALSE),0)</f>
        <v>0</v>
      </c>
      <c r="BF789" s="246">
        <f>IFERROR(VLOOKUP(P789,VOL_REC[],2,FALSE),0)</f>
        <v>0</v>
      </c>
      <c r="BG789" s="246">
        <f>IFERROR(VLOOKUP(Q789,VOL_REC[],2,FALSE),0)</f>
        <v>0</v>
      </c>
      <c r="BH789" s="1710">
        <f t="shared" si="48"/>
        <v>25399758299.462975</v>
      </c>
      <c r="BI789" s="1710">
        <f t="shared" si="49"/>
        <v>24898887716.648022</v>
      </c>
      <c r="BJ789" s="1711">
        <f t="shared" si="50"/>
        <v>35806028.822129108</v>
      </c>
      <c r="BK789" s="1711">
        <f t="shared" si="51"/>
        <v>1.0201161830405805</v>
      </c>
      <c r="BL789">
        <f>BJ789</f>
        <v>35806028.822129108</v>
      </c>
      <c r="BO789">
        <f>BL789</f>
        <v>35806028.822129108</v>
      </c>
    </row>
    <row r="790" spans="3:67" x14ac:dyDescent="0.25">
      <c r="C790" s="246" t="s">
        <v>2140</v>
      </c>
      <c r="D790" s="246">
        <v>1</v>
      </c>
      <c r="E790" s="246">
        <v>2</v>
      </c>
      <c r="F790" s="246">
        <v>3</v>
      </c>
      <c r="G790" s="246">
        <v>5</v>
      </c>
      <c r="H790" s="246">
        <v>6</v>
      </c>
      <c r="I790" s="246">
        <v>9</v>
      </c>
      <c r="J790" s="246">
        <v>14</v>
      </c>
      <c r="K790" s="246">
        <v>17</v>
      </c>
      <c r="L790" s="246"/>
      <c r="M790" s="246"/>
      <c r="N790" s="246"/>
      <c r="O790" s="246"/>
      <c r="P790" s="246"/>
      <c r="Q790" s="246"/>
      <c r="R790" s="246">
        <f>IFERROR(VLOOKUP(D790,PROGRAMAS[],2,FALSE),0)</f>
        <v>97037803.679377079</v>
      </c>
      <c r="S790" s="246">
        <f>IFERROR(VLOOKUP(E790,PROGRAMAS[],2,FALSE),0)</f>
        <v>640501509.6821388</v>
      </c>
      <c r="T790" s="246">
        <f>IFERROR(VLOOKUP(F790,PROGRAMAS[],2,FALSE),0)</f>
        <v>3062327798.1525245</v>
      </c>
      <c r="U790" s="246">
        <f>IFERROR(VLOOKUP(G790,PROGRAMAS[],2,FALSE),0)</f>
        <v>1440941976.2528784</v>
      </c>
      <c r="V790" s="246">
        <f>IFERROR(VLOOKUP(H790,PROGRAMAS[],2,FALSE),0)</f>
        <v>6907648435.8447599</v>
      </c>
      <c r="W790" s="246">
        <f>IFERROR(VLOOKUP(I790,PROGRAMAS[],2,FALSE),0)</f>
        <v>6128579952.1618185</v>
      </c>
      <c r="X790" s="246">
        <f>IFERROR(VLOOKUP(J790,PROGRAMAS[],2,FALSE),0)</f>
        <v>54223862.645839565</v>
      </c>
      <c r="Y790" s="246">
        <f>IFERROR(VLOOKUP(K790,PROGRAMAS[],2,FALSE),0)</f>
        <v>1892779498.5211046</v>
      </c>
      <c r="Z790" s="246">
        <f>IFERROR(VLOOKUP(L790,PROGRAMAS[],2,FALSE),0)</f>
        <v>0</v>
      </c>
      <c r="AA790" s="246">
        <f>IFERROR(VLOOKUP(M790,PROGRAMAS[],2,FALSE),0)</f>
        <v>0</v>
      </c>
      <c r="AB790" s="246">
        <f>IFERROR(VLOOKUP(N790,PROGRAMAS[],2,FALSE),0)</f>
        <v>0</v>
      </c>
      <c r="AC790" s="246">
        <f>IFERROR(VLOOKUP(O790,PROGRAMAS[],2,FALSE),0)</f>
        <v>0</v>
      </c>
      <c r="AD790" s="246">
        <f>IFERROR(VLOOKUP(P790,PROGRAMAS[],2,FALSE),0)</f>
        <v>0</v>
      </c>
      <c r="AE790" s="246">
        <f>IFERROR(VLOOKUP(Q790,PROGRAMAS[],2,FALSE),0)</f>
        <v>0</v>
      </c>
      <c r="AF790" s="246">
        <f>IFERROR(VLOOKUP(D790,PROGRAMAS[],3,FALSE),0)</f>
        <v>841888629.31080008</v>
      </c>
      <c r="AG790" s="246">
        <f>IFERROR(VLOOKUP(E790,PROGRAMAS[],3,FALSE),0)</f>
        <v>3848980803.1642323</v>
      </c>
      <c r="AH790" s="246">
        <f>IFERROR(VLOOKUP(F790,PROGRAMAS[],3,FALSE),0)</f>
        <v>3394901471.387517</v>
      </c>
      <c r="AI790" s="246">
        <f>IFERROR(VLOOKUP(G790,PROGRAMAS[],3,FALSE),0)</f>
        <v>1233505101.0616004</v>
      </c>
      <c r="AJ790" s="246">
        <f>IFERROR(VLOOKUP(H790,PROGRAMAS[],3,FALSE),0)</f>
        <v>6129902208.7912121</v>
      </c>
      <c r="AK790" s="246">
        <f>IFERROR(VLOOKUP(I790,PROGRAMAS[],3,FALSE),0)</f>
        <v>7011279577.519702</v>
      </c>
      <c r="AL790" s="246">
        <f>IFERROR(VLOOKUP(J790,PROGRAMAS[],3,FALSE),0)</f>
        <v>31865326.38096505</v>
      </c>
      <c r="AM790" s="246">
        <f>IFERROR(VLOOKUP(K790,PROGRAMAS[],3,FALSE),0)</f>
        <v>948595847.09039903</v>
      </c>
      <c r="AN790" s="246">
        <f>IFERROR(VLOOKUP(L790,PROGRAMAS[],3,FALSE),0)</f>
        <v>0</v>
      </c>
      <c r="AO790" s="246">
        <f>IFERROR(VLOOKUP(M790,PROGRAMAS[],3,FALSE),0)</f>
        <v>0</v>
      </c>
      <c r="AP790" s="246">
        <f>IFERROR(VLOOKUP(N790,PROGRAMAS[],3,FALSE),0)</f>
        <v>0</v>
      </c>
      <c r="AQ790" s="246">
        <f>IFERROR(VLOOKUP(O790,PROGRAMAS[],3,FALSE),0)</f>
        <v>0</v>
      </c>
      <c r="AR790" s="246">
        <f>IFERROR(VLOOKUP(P790,PROGRAMAS[],3,FALSE),0)</f>
        <v>0</v>
      </c>
      <c r="AS790" s="246">
        <f>IFERROR(VLOOKUP(Q790,PROGRAMAS[],3,FALSE),0)</f>
        <v>0</v>
      </c>
      <c r="AT790" s="246">
        <f>IFERROR(VLOOKUP(D790,VOL_REC[],2,FALSE),0)</f>
        <v>0</v>
      </c>
      <c r="AU790" s="246">
        <f>IFERROR(VLOOKUP(E790,VOL_REC[],2,FALSE),0)</f>
        <v>0</v>
      </c>
      <c r="AV790" s="246">
        <f>IFERROR(VLOOKUP(F790,VOL_REC[],2,FALSE),0)</f>
        <v>11089674.200000001</v>
      </c>
      <c r="AW790" s="246">
        <f>IFERROR(VLOOKUP(G790,VOL_REC[],2,FALSE),0)</f>
        <v>4325103.1812214684</v>
      </c>
      <c r="AX790" s="246">
        <f>IFERROR(VLOOKUP(H790,VOL_REC[],2,FALSE),0)</f>
        <v>15540036.397699751</v>
      </c>
      <c r="AY790" s="246">
        <f>IFERROR(VLOOKUP(I790,VOL_REC[],2,FALSE),0)</f>
        <v>3761786</v>
      </c>
      <c r="AZ790" s="246">
        <f>IFERROR(VLOOKUP(J790,VOL_REC[],2,FALSE),0)</f>
        <v>17074.045034105649</v>
      </c>
      <c r="BA790" s="246">
        <f>IFERROR(VLOOKUP(K790,VOL_REC[],2,FALSE),0)</f>
        <v>740113.98115702497</v>
      </c>
      <c r="BB790" s="246">
        <f>IFERROR(VLOOKUP(L790,VOL_REC[],2,FALSE),0)</f>
        <v>0</v>
      </c>
      <c r="BC790" s="246">
        <f>IFERROR(VLOOKUP(M790,VOL_REC[],2,FALSE),0)</f>
        <v>0</v>
      </c>
      <c r="BD790" s="246">
        <f>IFERROR(VLOOKUP(N790,VOL_REC[],2,FALSE),0)</f>
        <v>0</v>
      </c>
      <c r="BE790" s="246">
        <f>IFERROR(VLOOKUP(O790,VOL_REC[],2,FALSE),0)</f>
        <v>0</v>
      </c>
      <c r="BF790" s="246">
        <f>IFERROR(VLOOKUP(P790,VOL_REC[],2,FALSE),0)</f>
        <v>0</v>
      </c>
      <c r="BG790" s="246">
        <f>IFERROR(VLOOKUP(Q790,VOL_REC[],2,FALSE),0)</f>
        <v>0</v>
      </c>
      <c r="BH790" s="1710">
        <f t="shared" si="48"/>
        <v>20224040836.940441</v>
      </c>
      <c r="BI790" s="1710">
        <f t="shared" si="49"/>
        <v>23440918964.706432</v>
      </c>
      <c r="BJ790" s="1711">
        <f t="shared" si="50"/>
        <v>35473787.805112347</v>
      </c>
      <c r="BK790" s="1711">
        <f t="shared" si="51"/>
        <v>0.8627665522580642</v>
      </c>
    </row>
    <row r="791" spans="3:67" x14ac:dyDescent="0.25">
      <c r="C791" s="246" t="s">
        <v>2141</v>
      </c>
      <c r="D791" s="246">
        <v>1</v>
      </c>
      <c r="E791" s="246">
        <v>2</v>
      </c>
      <c r="F791" s="246">
        <v>3</v>
      </c>
      <c r="G791" s="246">
        <v>5</v>
      </c>
      <c r="H791" s="246">
        <v>6</v>
      </c>
      <c r="I791" s="246">
        <v>9</v>
      </c>
      <c r="J791" s="246">
        <v>15</v>
      </c>
      <c r="K791" s="246">
        <v>16</v>
      </c>
      <c r="L791" s="246"/>
      <c r="M791" s="246"/>
      <c r="N791" s="246"/>
      <c r="O791" s="246"/>
      <c r="P791" s="246"/>
      <c r="Q791" s="246"/>
      <c r="R791" s="246">
        <f>IFERROR(VLOOKUP(D791,PROGRAMAS[],2,FALSE),0)</f>
        <v>97037803.679377079</v>
      </c>
      <c r="S791" s="246">
        <f>IFERROR(VLOOKUP(E791,PROGRAMAS[],2,FALSE),0)</f>
        <v>640501509.6821388</v>
      </c>
      <c r="T791" s="246">
        <f>IFERROR(VLOOKUP(F791,PROGRAMAS[],2,FALSE),0)</f>
        <v>3062327798.1525245</v>
      </c>
      <c r="U791" s="246">
        <f>IFERROR(VLOOKUP(G791,PROGRAMAS[],2,FALSE),0)</f>
        <v>1440941976.2528784</v>
      </c>
      <c r="V791" s="246">
        <f>IFERROR(VLOOKUP(H791,PROGRAMAS[],2,FALSE),0)</f>
        <v>6907648435.8447599</v>
      </c>
      <c r="W791" s="246">
        <f>IFERROR(VLOOKUP(I791,PROGRAMAS[],2,FALSE),0)</f>
        <v>6128579952.1618185</v>
      </c>
      <c r="X791" s="246">
        <f>IFERROR(VLOOKUP(J791,PROGRAMAS[],2,FALSE),0)</f>
        <v>122159672.96346797</v>
      </c>
      <c r="Y791" s="246">
        <f>IFERROR(VLOOKUP(K791,PROGRAMAS[],2,FALSE),0)</f>
        <v>7068496961.0436354</v>
      </c>
      <c r="Z791" s="246">
        <f>IFERROR(VLOOKUP(L791,PROGRAMAS[],2,FALSE),0)</f>
        <v>0</v>
      </c>
      <c r="AA791" s="246">
        <f>IFERROR(VLOOKUP(M791,PROGRAMAS[],2,FALSE),0)</f>
        <v>0</v>
      </c>
      <c r="AB791" s="246">
        <f>IFERROR(VLOOKUP(N791,PROGRAMAS[],2,FALSE),0)</f>
        <v>0</v>
      </c>
      <c r="AC791" s="246">
        <f>IFERROR(VLOOKUP(O791,PROGRAMAS[],2,FALSE),0)</f>
        <v>0</v>
      </c>
      <c r="AD791" s="246">
        <f>IFERROR(VLOOKUP(P791,PROGRAMAS[],2,FALSE),0)</f>
        <v>0</v>
      </c>
      <c r="AE791" s="246">
        <f>IFERROR(VLOOKUP(Q791,PROGRAMAS[],2,FALSE),0)</f>
        <v>0</v>
      </c>
      <c r="AF791" s="246">
        <f>IFERROR(VLOOKUP(D791,PROGRAMAS[],3,FALSE),0)</f>
        <v>841888629.31080008</v>
      </c>
      <c r="AG791" s="246">
        <f>IFERROR(VLOOKUP(E791,PROGRAMAS[],3,FALSE),0)</f>
        <v>3848980803.1642323</v>
      </c>
      <c r="AH791" s="246">
        <f>IFERROR(VLOOKUP(F791,PROGRAMAS[],3,FALSE),0)</f>
        <v>3394901471.387517</v>
      </c>
      <c r="AI791" s="246">
        <f>IFERROR(VLOOKUP(G791,PROGRAMAS[],3,FALSE),0)</f>
        <v>1233505101.0616004</v>
      </c>
      <c r="AJ791" s="246">
        <f>IFERROR(VLOOKUP(H791,PROGRAMAS[],3,FALSE),0)</f>
        <v>6129902208.7912121</v>
      </c>
      <c r="AK791" s="246">
        <f>IFERROR(VLOOKUP(I791,PROGRAMAS[],3,FALSE),0)</f>
        <v>7011279577.519702</v>
      </c>
      <c r="AL791" s="246">
        <f>IFERROR(VLOOKUP(J791,PROGRAMAS[],3,FALSE),0)</f>
        <v>118617452.52510804</v>
      </c>
      <c r="AM791" s="246">
        <f>IFERROR(VLOOKUP(K791,PROGRAMAS[],3,FALSE),0)</f>
        <v>2406564599.0319901</v>
      </c>
      <c r="AN791" s="246">
        <f>IFERROR(VLOOKUP(L791,PROGRAMAS[],3,FALSE),0)</f>
        <v>0</v>
      </c>
      <c r="AO791" s="246">
        <f>IFERROR(VLOOKUP(M791,PROGRAMAS[],3,FALSE),0)</f>
        <v>0</v>
      </c>
      <c r="AP791" s="246">
        <f>IFERROR(VLOOKUP(N791,PROGRAMAS[],3,FALSE),0)</f>
        <v>0</v>
      </c>
      <c r="AQ791" s="246">
        <f>IFERROR(VLOOKUP(O791,PROGRAMAS[],3,FALSE),0)</f>
        <v>0</v>
      </c>
      <c r="AR791" s="246">
        <f>IFERROR(VLOOKUP(P791,PROGRAMAS[],3,FALSE),0)</f>
        <v>0</v>
      </c>
      <c r="AS791" s="246">
        <f>IFERROR(VLOOKUP(Q791,PROGRAMAS[],3,FALSE),0)</f>
        <v>0</v>
      </c>
      <c r="AT791" s="246">
        <f>IFERROR(VLOOKUP(D791,VOL_REC[],2,FALSE),0)</f>
        <v>0</v>
      </c>
      <c r="AU791" s="246">
        <f>IFERROR(VLOOKUP(E791,VOL_REC[],2,FALSE),0)</f>
        <v>0</v>
      </c>
      <c r="AV791" s="246">
        <f>IFERROR(VLOOKUP(F791,VOL_REC[],2,FALSE),0)</f>
        <v>11089674.200000001</v>
      </c>
      <c r="AW791" s="246">
        <f>IFERROR(VLOOKUP(G791,VOL_REC[],2,FALSE),0)</f>
        <v>4325103.1812214684</v>
      </c>
      <c r="AX791" s="246">
        <f>IFERROR(VLOOKUP(H791,VOL_REC[],2,FALSE),0)</f>
        <v>15540036.397699751</v>
      </c>
      <c r="AY791" s="246">
        <f>IFERROR(VLOOKUP(I791,VOL_REC[],2,FALSE),0)</f>
        <v>3761786</v>
      </c>
      <c r="AZ791" s="246">
        <f>IFERROR(VLOOKUP(J791,VOL_REC[],2,FALSE),0)</f>
        <v>105072</v>
      </c>
      <c r="BA791" s="246">
        <f>IFERROR(VLOOKUP(K791,VOL_REC[],2,FALSE),0)</f>
        <v>1072354.9981737854</v>
      </c>
      <c r="BB791" s="246">
        <f>IFERROR(VLOOKUP(L791,VOL_REC[],2,FALSE),0)</f>
        <v>0</v>
      </c>
      <c r="BC791" s="246">
        <f>IFERROR(VLOOKUP(M791,VOL_REC[],2,FALSE),0)</f>
        <v>0</v>
      </c>
      <c r="BD791" s="246">
        <f>IFERROR(VLOOKUP(N791,VOL_REC[],2,FALSE),0)</f>
        <v>0</v>
      </c>
      <c r="BE791" s="246">
        <f>IFERROR(VLOOKUP(O791,VOL_REC[],2,FALSE),0)</f>
        <v>0</v>
      </c>
      <c r="BF791" s="246">
        <f>IFERROR(VLOOKUP(P791,VOL_REC[],2,FALSE),0)</f>
        <v>0</v>
      </c>
      <c r="BG791" s="246">
        <f>IFERROR(VLOOKUP(Q791,VOL_REC[],2,FALSE),0)</f>
        <v>0</v>
      </c>
      <c r="BH791" s="1710">
        <f t="shared" si="48"/>
        <v>25467694109.780602</v>
      </c>
      <c r="BI791" s="1710">
        <f t="shared" si="49"/>
        <v>24985639842.792164</v>
      </c>
      <c r="BJ791" s="1711">
        <f t="shared" si="50"/>
        <v>35894026.777095005</v>
      </c>
      <c r="BK791" s="1711">
        <f t="shared" si="51"/>
        <v>1.0192932528452938</v>
      </c>
      <c r="BL791">
        <f>BJ791</f>
        <v>35894026.777095005</v>
      </c>
      <c r="BO791">
        <f>BL791</f>
        <v>35894026.777095005</v>
      </c>
    </row>
    <row r="792" spans="3:67" x14ac:dyDescent="0.25">
      <c r="C792" s="246" t="s">
        <v>2142</v>
      </c>
      <c r="D792" s="246">
        <v>1</v>
      </c>
      <c r="E792" s="246">
        <v>2</v>
      </c>
      <c r="F792" s="246">
        <v>3</v>
      </c>
      <c r="G792" s="246">
        <v>5</v>
      </c>
      <c r="H792" s="246">
        <v>6</v>
      </c>
      <c r="I792" s="246">
        <v>9</v>
      </c>
      <c r="J792" s="246">
        <v>15</v>
      </c>
      <c r="K792" s="246">
        <v>17</v>
      </c>
      <c r="L792" s="246"/>
      <c r="M792" s="246"/>
      <c r="N792" s="246"/>
      <c r="O792" s="246"/>
      <c r="P792" s="246"/>
      <c r="Q792" s="246"/>
      <c r="R792" s="246">
        <f>IFERROR(VLOOKUP(D792,PROGRAMAS[],2,FALSE),0)</f>
        <v>97037803.679377079</v>
      </c>
      <c r="S792" s="246">
        <f>IFERROR(VLOOKUP(E792,PROGRAMAS[],2,FALSE),0)</f>
        <v>640501509.6821388</v>
      </c>
      <c r="T792" s="246">
        <f>IFERROR(VLOOKUP(F792,PROGRAMAS[],2,FALSE),0)</f>
        <v>3062327798.1525245</v>
      </c>
      <c r="U792" s="246">
        <f>IFERROR(VLOOKUP(G792,PROGRAMAS[],2,FALSE),0)</f>
        <v>1440941976.2528784</v>
      </c>
      <c r="V792" s="246">
        <f>IFERROR(VLOOKUP(H792,PROGRAMAS[],2,FALSE),0)</f>
        <v>6907648435.8447599</v>
      </c>
      <c r="W792" s="246">
        <f>IFERROR(VLOOKUP(I792,PROGRAMAS[],2,FALSE),0)</f>
        <v>6128579952.1618185</v>
      </c>
      <c r="X792" s="246">
        <f>IFERROR(VLOOKUP(J792,PROGRAMAS[],2,FALSE),0)</f>
        <v>122159672.96346797</v>
      </c>
      <c r="Y792" s="246">
        <f>IFERROR(VLOOKUP(K792,PROGRAMAS[],2,FALSE),0)</f>
        <v>1892779498.5211046</v>
      </c>
      <c r="Z792" s="246">
        <f>IFERROR(VLOOKUP(L792,PROGRAMAS[],2,FALSE),0)</f>
        <v>0</v>
      </c>
      <c r="AA792" s="246">
        <f>IFERROR(VLOOKUP(M792,PROGRAMAS[],2,FALSE),0)</f>
        <v>0</v>
      </c>
      <c r="AB792" s="246">
        <f>IFERROR(VLOOKUP(N792,PROGRAMAS[],2,FALSE),0)</f>
        <v>0</v>
      </c>
      <c r="AC792" s="246">
        <f>IFERROR(VLOOKUP(O792,PROGRAMAS[],2,FALSE),0)</f>
        <v>0</v>
      </c>
      <c r="AD792" s="246">
        <f>IFERROR(VLOOKUP(P792,PROGRAMAS[],2,FALSE),0)</f>
        <v>0</v>
      </c>
      <c r="AE792" s="246">
        <f>IFERROR(VLOOKUP(Q792,PROGRAMAS[],2,FALSE),0)</f>
        <v>0</v>
      </c>
      <c r="AF792" s="246">
        <f>IFERROR(VLOOKUP(D792,PROGRAMAS[],3,FALSE),0)</f>
        <v>841888629.31080008</v>
      </c>
      <c r="AG792" s="246">
        <f>IFERROR(VLOOKUP(E792,PROGRAMAS[],3,FALSE),0)</f>
        <v>3848980803.1642323</v>
      </c>
      <c r="AH792" s="246">
        <f>IFERROR(VLOOKUP(F792,PROGRAMAS[],3,FALSE),0)</f>
        <v>3394901471.387517</v>
      </c>
      <c r="AI792" s="246">
        <f>IFERROR(VLOOKUP(G792,PROGRAMAS[],3,FALSE),0)</f>
        <v>1233505101.0616004</v>
      </c>
      <c r="AJ792" s="246">
        <f>IFERROR(VLOOKUP(H792,PROGRAMAS[],3,FALSE),0)</f>
        <v>6129902208.7912121</v>
      </c>
      <c r="AK792" s="246">
        <f>IFERROR(VLOOKUP(I792,PROGRAMAS[],3,FALSE),0)</f>
        <v>7011279577.519702</v>
      </c>
      <c r="AL792" s="246">
        <f>IFERROR(VLOOKUP(J792,PROGRAMAS[],3,FALSE),0)</f>
        <v>118617452.52510804</v>
      </c>
      <c r="AM792" s="246">
        <f>IFERROR(VLOOKUP(K792,PROGRAMAS[],3,FALSE),0)</f>
        <v>948595847.09039903</v>
      </c>
      <c r="AN792" s="246">
        <f>IFERROR(VLOOKUP(L792,PROGRAMAS[],3,FALSE),0)</f>
        <v>0</v>
      </c>
      <c r="AO792" s="246">
        <f>IFERROR(VLOOKUP(M792,PROGRAMAS[],3,FALSE),0)</f>
        <v>0</v>
      </c>
      <c r="AP792" s="246">
        <f>IFERROR(VLOOKUP(N792,PROGRAMAS[],3,FALSE),0)</f>
        <v>0</v>
      </c>
      <c r="AQ792" s="246">
        <f>IFERROR(VLOOKUP(O792,PROGRAMAS[],3,FALSE),0)</f>
        <v>0</v>
      </c>
      <c r="AR792" s="246">
        <f>IFERROR(VLOOKUP(P792,PROGRAMAS[],3,FALSE),0)</f>
        <v>0</v>
      </c>
      <c r="AS792" s="246">
        <f>IFERROR(VLOOKUP(Q792,PROGRAMAS[],3,FALSE),0)</f>
        <v>0</v>
      </c>
      <c r="AT792" s="246">
        <f>IFERROR(VLOOKUP(D792,VOL_REC[],2,FALSE),0)</f>
        <v>0</v>
      </c>
      <c r="AU792" s="246">
        <f>IFERROR(VLOOKUP(E792,VOL_REC[],2,FALSE),0)</f>
        <v>0</v>
      </c>
      <c r="AV792" s="246">
        <f>IFERROR(VLOOKUP(F792,VOL_REC[],2,FALSE),0)</f>
        <v>11089674.200000001</v>
      </c>
      <c r="AW792" s="246">
        <f>IFERROR(VLOOKUP(G792,VOL_REC[],2,FALSE),0)</f>
        <v>4325103.1812214684</v>
      </c>
      <c r="AX792" s="246">
        <f>IFERROR(VLOOKUP(H792,VOL_REC[],2,FALSE),0)</f>
        <v>15540036.397699751</v>
      </c>
      <c r="AY792" s="246">
        <f>IFERROR(VLOOKUP(I792,VOL_REC[],2,FALSE),0)</f>
        <v>3761786</v>
      </c>
      <c r="AZ792" s="246">
        <f>IFERROR(VLOOKUP(J792,VOL_REC[],2,FALSE),0)</f>
        <v>105072</v>
      </c>
      <c r="BA792" s="246">
        <f>IFERROR(VLOOKUP(K792,VOL_REC[],2,FALSE),0)</f>
        <v>740113.98115702497</v>
      </c>
      <c r="BB792" s="246">
        <f>IFERROR(VLOOKUP(L792,VOL_REC[],2,FALSE),0)</f>
        <v>0</v>
      </c>
      <c r="BC792" s="246">
        <f>IFERROR(VLOOKUP(M792,VOL_REC[],2,FALSE),0)</f>
        <v>0</v>
      </c>
      <c r="BD792" s="246">
        <f>IFERROR(VLOOKUP(N792,VOL_REC[],2,FALSE),0)</f>
        <v>0</v>
      </c>
      <c r="BE792" s="246">
        <f>IFERROR(VLOOKUP(O792,VOL_REC[],2,FALSE),0)</f>
        <v>0</v>
      </c>
      <c r="BF792" s="246">
        <f>IFERROR(VLOOKUP(P792,VOL_REC[],2,FALSE),0)</f>
        <v>0</v>
      </c>
      <c r="BG792" s="246">
        <f>IFERROR(VLOOKUP(Q792,VOL_REC[],2,FALSE),0)</f>
        <v>0</v>
      </c>
      <c r="BH792" s="1710">
        <f t="shared" si="48"/>
        <v>20291976647.258068</v>
      </c>
      <c r="BI792" s="1710">
        <f t="shared" si="49"/>
        <v>23527671090.850574</v>
      </c>
      <c r="BJ792" s="1711">
        <f t="shared" si="50"/>
        <v>35561785.760078244</v>
      </c>
      <c r="BK792" s="1711">
        <f t="shared" si="51"/>
        <v>0.86247281207315074</v>
      </c>
    </row>
    <row r="793" spans="3:67" x14ac:dyDescent="0.25">
      <c r="C793" s="246" t="s">
        <v>2143</v>
      </c>
      <c r="D793" s="246">
        <v>1</v>
      </c>
      <c r="E793" s="246">
        <v>2</v>
      </c>
      <c r="F793" s="246">
        <v>3</v>
      </c>
      <c r="G793" s="246">
        <v>5</v>
      </c>
      <c r="H793" s="246">
        <v>6</v>
      </c>
      <c r="I793" s="246">
        <v>9</v>
      </c>
      <c r="J793" s="246">
        <v>16</v>
      </c>
      <c r="K793" s="246">
        <v>17</v>
      </c>
      <c r="L793" s="246"/>
      <c r="M793" s="246"/>
      <c r="N793" s="246"/>
      <c r="O793" s="246"/>
      <c r="P793" s="246"/>
      <c r="Q793" s="246"/>
      <c r="R793" s="246">
        <f>IFERROR(VLOOKUP(D793,PROGRAMAS[],2,FALSE),0)</f>
        <v>97037803.679377079</v>
      </c>
      <c r="S793" s="246">
        <f>IFERROR(VLOOKUP(E793,PROGRAMAS[],2,FALSE),0)</f>
        <v>640501509.6821388</v>
      </c>
      <c r="T793" s="246">
        <f>IFERROR(VLOOKUP(F793,PROGRAMAS[],2,FALSE),0)</f>
        <v>3062327798.1525245</v>
      </c>
      <c r="U793" s="246">
        <f>IFERROR(VLOOKUP(G793,PROGRAMAS[],2,FALSE),0)</f>
        <v>1440941976.2528784</v>
      </c>
      <c r="V793" s="246">
        <f>IFERROR(VLOOKUP(H793,PROGRAMAS[],2,FALSE),0)</f>
        <v>6907648435.8447599</v>
      </c>
      <c r="W793" s="246">
        <f>IFERROR(VLOOKUP(I793,PROGRAMAS[],2,FALSE),0)</f>
        <v>6128579952.1618185</v>
      </c>
      <c r="X793" s="246">
        <f>IFERROR(VLOOKUP(J793,PROGRAMAS[],2,FALSE),0)</f>
        <v>7068496961.0436354</v>
      </c>
      <c r="Y793" s="246">
        <f>IFERROR(VLOOKUP(K793,PROGRAMAS[],2,FALSE),0)</f>
        <v>1892779498.5211046</v>
      </c>
      <c r="Z793" s="246">
        <f>IFERROR(VLOOKUP(L793,PROGRAMAS[],2,FALSE),0)</f>
        <v>0</v>
      </c>
      <c r="AA793" s="246">
        <f>IFERROR(VLOOKUP(M793,PROGRAMAS[],2,FALSE),0)</f>
        <v>0</v>
      </c>
      <c r="AB793" s="246">
        <f>IFERROR(VLOOKUP(N793,PROGRAMAS[],2,FALSE),0)</f>
        <v>0</v>
      </c>
      <c r="AC793" s="246">
        <f>IFERROR(VLOOKUP(O793,PROGRAMAS[],2,FALSE),0)</f>
        <v>0</v>
      </c>
      <c r="AD793" s="246">
        <f>IFERROR(VLOOKUP(P793,PROGRAMAS[],2,FALSE),0)</f>
        <v>0</v>
      </c>
      <c r="AE793" s="246">
        <f>IFERROR(VLOOKUP(Q793,PROGRAMAS[],2,FALSE),0)</f>
        <v>0</v>
      </c>
      <c r="AF793" s="246">
        <f>IFERROR(VLOOKUP(D793,PROGRAMAS[],3,FALSE),0)</f>
        <v>841888629.31080008</v>
      </c>
      <c r="AG793" s="246">
        <f>IFERROR(VLOOKUP(E793,PROGRAMAS[],3,FALSE),0)</f>
        <v>3848980803.1642323</v>
      </c>
      <c r="AH793" s="246">
        <f>IFERROR(VLOOKUP(F793,PROGRAMAS[],3,FALSE),0)</f>
        <v>3394901471.387517</v>
      </c>
      <c r="AI793" s="246">
        <f>IFERROR(VLOOKUP(G793,PROGRAMAS[],3,FALSE),0)</f>
        <v>1233505101.0616004</v>
      </c>
      <c r="AJ793" s="246">
        <f>IFERROR(VLOOKUP(H793,PROGRAMAS[],3,FALSE),0)</f>
        <v>6129902208.7912121</v>
      </c>
      <c r="AK793" s="246">
        <f>IFERROR(VLOOKUP(I793,PROGRAMAS[],3,FALSE),0)</f>
        <v>7011279577.519702</v>
      </c>
      <c r="AL793" s="246">
        <f>IFERROR(VLOOKUP(J793,PROGRAMAS[],3,FALSE),0)</f>
        <v>2406564599.0319901</v>
      </c>
      <c r="AM793" s="246">
        <f>IFERROR(VLOOKUP(K793,PROGRAMAS[],3,FALSE),0)</f>
        <v>948595847.09039903</v>
      </c>
      <c r="AN793" s="246">
        <f>IFERROR(VLOOKUP(L793,PROGRAMAS[],3,FALSE),0)</f>
        <v>0</v>
      </c>
      <c r="AO793" s="246">
        <f>IFERROR(VLOOKUP(M793,PROGRAMAS[],3,FALSE),0)</f>
        <v>0</v>
      </c>
      <c r="AP793" s="246">
        <f>IFERROR(VLOOKUP(N793,PROGRAMAS[],3,FALSE),0)</f>
        <v>0</v>
      </c>
      <c r="AQ793" s="246">
        <f>IFERROR(VLOOKUP(O793,PROGRAMAS[],3,FALSE),0)</f>
        <v>0</v>
      </c>
      <c r="AR793" s="246">
        <f>IFERROR(VLOOKUP(P793,PROGRAMAS[],3,FALSE),0)</f>
        <v>0</v>
      </c>
      <c r="AS793" s="246">
        <f>IFERROR(VLOOKUP(Q793,PROGRAMAS[],3,FALSE),0)</f>
        <v>0</v>
      </c>
      <c r="AT793" s="246">
        <f>IFERROR(VLOOKUP(D793,VOL_REC[],2,FALSE),0)</f>
        <v>0</v>
      </c>
      <c r="AU793" s="246">
        <f>IFERROR(VLOOKUP(E793,VOL_REC[],2,FALSE),0)</f>
        <v>0</v>
      </c>
      <c r="AV793" s="246">
        <f>IFERROR(VLOOKUP(F793,VOL_REC[],2,FALSE),0)</f>
        <v>11089674.200000001</v>
      </c>
      <c r="AW793" s="246">
        <f>IFERROR(VLOOKUP(G793,VOL_REC[],2,FALSE),0)</f>
        <v>4325103.1812214684</v>
      </c>
      <c r="AX793" s="246">
        <f>IFERROR(VLOOKUP(H793,VOL_REC[],2,FALSE),0)</f>
        <v>15540036.397699751</v>
      </c>
      <c r="AY793" s="246">
        <f>IFERROR(VLOOKUP(I793,VOL_REC[],2,FALSE),0)</f>
        <v>3761786</v>
      </c>
      <c r="AZ793" s="246">
        <f>IFERROR(VLOOKUP(J793,VOL_REC[],2,FALSE),0)</f>
        <v>1072354.9981737854</v>
      </c>
      <c r="BA793" s="246">
        <f>IFERROR(VLOOKUP(K793,VOL_REC[],2,FALSE),0)</f>
        <v>740113.98115702497</v>
      </c>
      <c r="BB793" s="246">
        <f>IFERROR(VLOOKUP(L793,VOL_REC[],2,FALSE),0)</f>
        <v>0</v>
      </c>
      <c r="BC793" s="246">
        <f>IFERROR(VLOOKUP(M793,VOL_REC[],2,FALSE),0)</f>
        <v>0</v>
      </c>
      <c r="BD793" s="246">
        <f>IFERROR(VLOOKUP(N793,VOL_REC[],2,FALSE),0)</f>
        <v>0</v>
      </c>
      <c r="BE793" s="246">
        <f>IFERROR(VLOOKUP(O793,VOL_REC[],2,FALSE),0)</f>
        <v>0</v>
      </c>
      <c r="BF793" s="246">
        <f>IFERROR(VLOOKUP(P793,VOL_REC[],2,FALSE),0)</f>
        <v>0</v>
      </c>
      <c r="BG793" s="246">
        <f>IFERROR(VLOOKUP(Q793,VOL_REC[],2,FALSE),0)</f>
        <v>0</v>
      </c>
      <c r="BH793" s="1710">
        <f t="shared" si="48"/>
        <v>27238313935.338238</v>
      </c>
      <c r="BI793" s="1710">
        <f t="shared" si="49"/>
        <v>25815618237.357456</v>
      </c>
      <c r="BJ793" s="1711">
        <f t="shared" si="50"/>
        <v>36529068.758252032</v>
      </c>
      <c r="BK793" s="1711">
        <f t="shared" si="51"/>
        <v>1.0551098828972461</v>
      </c>
      <c r="BL793">
        <f>BJ793</f>
        <v>36529068.758252032</v>
      </c>
      <c r="BO793">
        <f>BL793</f>
        <v>36529068.758252032</v>
      </c>
    </row>
    <row r="794" spans="3:67" x14ac:dyDescent="0.25">
      <c r="C794" s="246" t="s">
        <v>2144</v>
      </c>
      <c r="D794" s="246">
        <v>1</v>
      </c>
      <c r="E794" s="246">
        <v>2</v>
      </c>
      <c r="F794" s="246">
        <v>3</v>
      </c>
      <c r="G794" s="246">
        <v>5</v>
      </c>
      <c r="H794" s="246">
        <v>6</v>
      </c>
      <c r="I794" s="246">
        <v>10</v>
      </c>
      <c r="J794" s="246">
        <v>12</v>
      </c>
      <c r="K794" s="246">
        <v>13</v>
      </c>
      <c r="L794" s="246"/>
      <c r="M794" s="246"/>
      <c r="N794" s="246"/>
      <c r="O794" s="246"/>
      <c r="P794" s="246"/>
      <c r="Q794" s="246"/>
      <c r="R794" s="246">
        <f>IFERROR(VLOOKUP(D794,PROGRAMAS[],2,FALSE),0)</f>
        <v>97037803.679377079</v>
      </c>
      <c r="S794" s="246">
        <f>IFERROR(VLOOKUP(E794,PROGRAMAS[],2,FALSE),0)</f>
        <v>640501509.6821388</v>
      </c>
      <c r="T794" s="246">
        <f>IFERROR(VLOOKUP(F794,PROGRAMAS[],2,FALSE),0)</f>
        <v>3062327798.1525245</v>
      </c>
      <c r="U794" s="246">
        <f>IFERROR(VLOOKUP(G794,PROGRAMAS[],2,FALSE),0)</f>
        <v>1440941976.2528784</v>
      </c>
      <c r="V794" s="246">
        <f>IFERROR(VLOOKUP(H794,PROGRAMAS[],2,FALSE),0)</f>
        <v>6907648435.8447599</v>
      </c>
      <c r="W794" s="246">
        <f>IFERROR(VLOOKUP(I794,PROGRAMAS[],2,FALSE),0)</f>
        <v>4635315027.8751087</v>
      </c>
      <c r="X794" s="246">
        <f>IFERROR(VLOOKUP(J794,PROGRAMAS[],2,FALSE),0)</f>
        <v>764796700.79905891</v>
      </c>
      <c r="Y794" s="246">
        <f>IFERROR(VLOOKUP(K794,PROGRAMAS[],2,FALSE),0)</f>
        <v>3776538594.4604583</v>
      </c>
      <c r="Z794" s="246">
        <f>IFERROR(VLOOKUP(L794,PROGRAMAS[],2,FALSE),0)</f>
        <v>0</v>
      </c>
      <c r="AA794" s="246">
        <f>IFERROR(VLOOKUP(M794,PROGRAMAS[],2,FALSE),0)</f>
        <v>0</v>
      </c>
      <c r="AB794" s="246">
        <f>IFERROR(VLOOKUP(N794,PROGRAMAS[],2,FALSE),0)</f>
        <v>0</v>
      </c>
      <c r="AC794" s="246">
        <f>IFERROR(VLOOKUP(O794,PROGRAMAS[],2,FALSE),0)</f>
        <v>0</v>
      </c>
      <c r="AD794" s="246">
        <f>IFERROR(VLOOKUP(P794,PROGRAMAS[],2,FALSE),0)</f>
        <v>0</v>
      </c>
      <c r="AE794" s="246">
        <f>IFERROR(VLOOKUP(Q794,PROGRAMAS[],2,FALSE),0)</f>
        <v>0</v>
      </c>
      <c r="AF794" s="246">
        <f>IFERROR(VLOOKUP(D794,PROGRAMAS[],3,FALSE),0)</f>
        <v>841888629.31080008</v>
      </c>
      <c r="AG794" s="246">
        <f>IFERROR(VLOOKUP(E794,PROGRAMAS[],3,FALSE),0)</f>
        <v>3848980803.1642323</v>
      </c>
      <c r="AH794" s="246">
        <f>IFERROR(VLOOKUP(F794,PROGRAMAS[],3,FALSE),0)</f>
        <v>3394901471.387517</v>
      </c>
      <c r="AI794" s="246">
        <f>IFERROR(VLOOKUP(G794,PROGRAMAS[],3,FALSE),0)</f>
        <v>1233505101.0616004</v>
      </c>
      <c r="AJ794" s="246">
        <f>IFERROR(VLOOKUP(H794,PROGRAMAS[],3,FALSE),0)</f>
        <v>6129902208.7912121</v>
      </c>
      <c r="AK794" s="246">
        <f>IFERROR(VLOOKUP(I794,PROGRAMAS[],3,FALSE),0)</f>
        <v>4099471734.9978786</v>
      </c>
      <c r="AL794" s="246">
        <f>IFERROR(VLOOKUP(J794,PROGRAMAS[],3,FALSE),0)</f>
        <v>675517840.109828</v>
      </c>
      <c r="AM794" s="246">
        <f>IFERROR(VLOOKUP(K794,PROGRAMAS[],3,FALSE),0)</f>
        <v>2392571243.5584412</v>
      </c>
      <c r="AN794" s="246">
        <f>IFERROR(VLOOKUP(L794,PROGRAMAS[],3,FALSE),0)</f>
        <v>0</v>
      </c>
      <c r="AO794" s="246">
        <f>IFERROR(VLOOKUP(M794,PROGRAMAS[],3,FALSE),0)</f>
        <v>0</v>
      </c>
      <c r="AP794" s="246">
        <f>IFERROR(VLOOKUP(N794,PROGRAMAS[],3,FALSE),0)</f>
        <v>0</v>
      </c>
      <c r="AQ794" s="246">
        <f>IFERROR(VLOOKUP(O794,PROGRAMAS[],3,FALSE),0)</f>
        <v>0</v>
      </c>
      <c r="AR794" s="246">
        <f>IFERROR(VLOOKUP(P794,PROGRAMAS[],3,FALSE),0)</f>
        <v>0</v>
      </c>
      <c r="AS794" s="246">
        <f>IFERROR(VLOOKUP(Q794,PROGRAMAS[],3,FALSE),0)</f>
        <v>0</v>
      </c>
      <c r="AT794" s="246">
        <f>IFERROR(VLOOKUP(D794,VOL_REC[],2,FALSE),0)</f>
        <v>0</v>
      </c>
      <c r="AU794" s="246">
        <f>IFERROR(VLOOKUP(E794,VOL_REC[],2,FALSE),0)</f>
        <v>0</v>
      </c>
      <c r="AV794" s="246">
        <f>IFERROR(VLOOKUP(F794,VOL_REC[],2,FALSE),0)</f>
        <v>11089674.200000001</v>
      </c>
      <c r="AW794" s="246">
        <f>IFERROR(VLOOKUP(G794,VOL_REC[],2,FALSE),0)</f>
        <v>4325103.1812214684</v>
      </c>
      <c r="AX794" s="246">
        <f>IFERROR(VLOOKUP(H794,VOL_REC[],2,FALSE),0)</f>
        <v>15540036.397699751</v>
      </c>
      <c r="AY794" s="246">
        <f>IFERROR(VLOOKUP(I794,VOL_REC[],2,FALSE),0)</f>
        <v>1812240</v>
      </c>
      <c r="AZ794" s="246">
        <f>IFERROR(VLOOKUP(J794,VOL_REC[],2,FALSE),0)</f>
        <v>240696.79238099116</v>
      </c>
      <c r="BA794" s="246">
        <f>IFERROR(VLOOKUP(K794,VOL_REC[],2,FALSE),0)</f>
        <v>663244.80000000016</v>
      </c>
      <c r="BB794" s="246">
        <f>IFERROR(VLOOKUP(L794,VOL_REC[],2,FALSE),0)</f>
        <v>0</v>
      </c>
      <c r="BC794" s="246">
        <f>IFERROR(VLOOKUP(M794,VOL_REC[],2,FALSE),0)</f>
        <v>0</v>
      </c>
      <c r="BD794" s="246">
        <f>IFERROR(VLOOKUP(N794,VOL_REC[],2,FALSE),0)</f>
        <v>0</v>
      </c>
      <c r="BE794" s="246">
        <f>IFERROR(VLOOKUP(O794,VOL_REC[],2,FALSE),0)</f>
        <v>0</v>
      </c>
      <c r="BF794" s="246">
        <f>IFERROR(VLOOKUP(P794,VOL_REC[],2,FALSE),0)</f>
        <v>0</v>
      </c>
      <c r="BG794" s="246">
        <f>IFERROR(VLOOKUP(Q794,VOL_REC[],2,FALSE),0)</f>
        <v>0</v>
      </c>
      <c r="BH794" s="1710">
        <f t="shared" si="48"/>
        <v>21325107846.746304</v>
      </c>
      <c r="BI794" s="1710">
        <f t="shared" si="49"/>
        <v>22616739032.381512</v>
      </c>
      <c r="BJ794" s="1711">
        <f t="shared" si="50"/>
        <v>33670995.37130221</v>
      </c>
      <c r="BK794" s="1711">
        <f t="shared" si="51"/>
        <v>0.94289047666041004</v>
      </c>
    </row>
    <row r="795" spans="3:67" x14ac:dyDescent="0.25">
      <c r="C795" s="246" t="s">
        <v>2145</v>
      </c>
      <c r="D795" s="246">
        <v>1</v>
      </c>
      <c r="E795" s="246">
        <v>2</v>
      </c>
      <c r="F795" s="246">
        <v>3</v>
      </c>
      <c r="G795" s="246">
        <v>5</v>
      </c>
      <c r="H795" s="246">
        <v>6</v>
      </c>
      <c r="I795" s="246">
        <v>10</v>
      </c>
      <c r="J795" s="246">
        <v>12</v>
      </c>
      <c r="K795" s="246">
        <v>14</v>
      </c>
      <c r="L795" s="246"/>
      <c r="M795" s="246"/>
      <c r="N795" s="246"/>
      <c r="O795" s="246"/>
      <c r="P795" s="246"/>
      <c r="Q795" s="246"/>
      <c r="R795" s="246">
        <f>IFERROR(VLOOKUP(D795,PROGRAMAS[],2,FALSE),0)</f>
        <v>97037803.679377079</v>
      </c>
      <c r="S795" s="246">
        <f>IFERROR(VLOOKUP(E795,PROGRAMAS[],2,FALSE),0)</f>
        <v>640501509.6821388</v>
      </c>
      <c r="T795" s="246">
        <f>IFERROR(VLOOKUP(F795,PROGRAMAS[],2,FALSE),0)</f>
        <v>3062327798.1525245</v>
      </c>
      <c r="U795" s="246">
        <f>IFERROR(VLOOKUP(G795,PROGRAMAS[],2,FALSE),0)</f>
        <v>1440941976.2528784</v>
      </c>
      <c r="V795" s="246">
        <f>IFERROR(VLOOKUP(H795,PROGRAMAS[],2,FALSE),0)</f>
        <v>6907648435.8447599</v>
      </c>
      <c r="W795" s="246">
        <f>IFERROR(VLOOKUP(I795,PROGRAMAS[],2,FALSE),0)</f>
        <v>4635315027.8751087</v>
      </c>
      <c r="X795" s="246">
        <f>IFERROR(VLOOKUP(J795,PROGRAMAS[],2,FALSE),0)</f>
        <v>764796700.79905891</v>
      </c>
      <c r="Y795" s="246">
        <f>IFERROR(VLOOKUP(K795,PROGRAMAS[],2,FALSE),0)</f>
        <v>54223862.645839565</v>
      </c>
      <c r="Z795" s="246">
        <f>IFERROR(VLOOKUP(L795,PROGRAMAS[],2,FALSE),0)</f>
        <v>0</v>
      </c>
      <c r="AA795" s="246">
        <f>IFERROR(VLOOKUP(M795,PROGRAMAS[],2,FALSE),0)</f>
        <v>0</v>
      </c>
      <c r="AB795" s="246">
        <f>IFERROR(VLOOKUP(N795,PROGRAMAS[],2,FALSE),0)</f>
        <v>0</v>
      </c>
      <c r="AC795" s="246">
        <f>IFERROR(VLOOKUP(O795,PROGRAMAS[],2,FALSE),0)</f>
        <v>0</v>
      </c>
      <c r="AD795" s="246">
        <f>IFERROR(VLOOKUP(P795,PROGRAMAS[],2,FALSE),0)</f>
        <v>0</v>
      </c>
      <c r="AE795" s="246">
        <f>IFERROR(VLOOKUP(Q795,PROGRAMAS[],2,FALSE),0)</f>
        <v>0</v>
      </c>
      <c r="AF795" s="246">
        <f>IFERROR(VLOOKUP(D795,PROGRAMAS[],3,FALSE),0)</f>
        <v>841888629.31080008</v>
      </c>
      <c r="AG795" s="246">
        <f>IFERROR(VLOOKUP(E795,PROGRAMAS[],3,FALSE),0)</f>
        <v>3848980803.1642323</v>
      </c>
      <c r="AH795" s="246">
        <f>IFERROR(VLOOKUP(F795,PROGRAMAS[],3,FALSE),0)</f>
        <v>3394901471.387517</v>
      </c>
      <c r="AI795" s="246">
        <f>IFERROR(VLOOKUP(G795,PROGRAMAS[],3,FALSE),0)</f>
        <v>1233505101.0616004</v>
      </c>
      <c r="AJ795" s="246">
        <f>IFERROR(VLOOKUP(H795,PROGRAMAS[],3,FALSE),0)</f>
        <v>6129902208.7912121</v>
      </c>
      <c r="AK795" s="246">
        <f>IFERROR(VLOOKUP(I795,PROGRAMAS[],3,FALSE),0)</f>
        <v>4099471734.9978786</v>
      </c>
      <c r="AL795" s="246">
        <f>IFERROR(VLOOKUP(J795,PROGRAMAS[],3,FALSE),0)</f>
        <v>675517840.109828</v>
      </c>
      <c r="AM795" s="246">
        <f>IFERROR(VLOOKUP(K795,PROGRAMAS[],3,FALSE),0)</f>
        <v>31865326.38096505</v>
      </c>
      <c r="AN795" s="246">
        <f>IFERROR(VLOOKUP(L795,PROGRAMAS[],3,FALSE),0)</f>
        <v>0</v>
      </c>
      <c r="AO795" s="246">
        <f>IFERROR(VLOOKUP(M795,PROGRAMAS[],3,FALSE),0)</f>
        <v>0</v>
      </c>
      <c r="AP795" s="246">
        <f>IFERROR(VLOOKUP(N795,PROGRAMAS[],3,FALSE),0)</f>
        <v>0</v>
      </c>
      <c r="AQ795" s="246">
        <f>IFERROR(VLOOKUP(O795,PROGRAMAS[],3,FALSE),0)</f>
        <v>0</v>
      </c>
      <c r="AR795" s="246">
        <f>IFERROR(VLOOKUP(P795,PROGRAMAS[],3,FALSE),0)</f>
        <v>0</v>
      </c>
      <c r="AS795" s="246">
        <f>IFERROR(VLOOKUP(Q795,PROGRAMAS[],3,FALSE),0)</f>
        <v>0</v>
      </c>
      <c r="AT795" s="246">
        <f>IFERROR(VLOOKUP(D795,VOL_REC[],2,FALSE),0)</f>
        <v>0</v>
      </c>
      <c r="AU795" s="246">
        <f>IFERROR(VLOOKUP(E795,VOL_REC[],2,FALSE),0)</f>
        <v>0</v>
      </c>
      <c r="AV795" s="246">
        <f>IFERROR(VLOOKUP(F795,VOL_REC[],2,FALSE),0)</f>
        <v>11089674.200000001</v>
      </c>
      <c r="AW795" s="246">
        <f>IFERROR(VLOOKUP(G795,VOL_REC[],2,FALSE),0)</f>
        <v>4325103.1812214684</v>
      </c>
      <c r="AX795" s="246">
        <f>IFERROR(VLOOKUP(H795,VOL_REC[],2,FALSE),0)</f>
        <v>15540036.397699751</v>
      </c>
      <c r="AY795" s="246">
        <f>IFERROR(VLOOKUP(I795,VOL_REC[],2,FALSE),0)</f>
        <v>1812240</v>
      </c>
      <c r="AZ795" s="246">
        <f>IFERROR(VLOOKUP(J795,VOL_REC[],2,FALSE),0)</f>
        <v>240696.79238099116</v>
      </c>
      <c r="BA795" s="246">
        <f>IFERROR(VLOOKUP(K795,VOL_REC[],2,FALSE),0)</f>
        <v>17074.045034105649</v>
      </c>
      <c r="BB795" s="246">
        <f>IFERROR(VLOOKUP(L795,VOL_REC[],2,FALSE),0)</f>
        <v>0</v>
      </c>
      <c r="BC795" s="246">
        <f>IFERROR(VLOOKUP(M795,VOL_REC[],2,FALSE),0)</f>
        <v>0</v>
      </c>
      <c r="BD795" s="246">
        <f>IFERROR(VLOOKUP(N795,VOL_REC[],2,FALSE),0)</f>
        <v>0</v>
      </c>
      <c r="BE795" s="246">
        <f>IFERROR(VLOOKUP(O795,VOL_REC[],2,FALSE),0)</f>
        <v>0</v>
      </c>
      <c r="BF795" s="246">
        <f>IFERROR(VLOOKUP(P795,VOL_REC[],2,FALSE),0)</f>
        <v>0</v>
      </c>
      <c r="BG795" s="246">
        <f>IFERROR(VLOOKUP(Q795,VOL_REC[],2,FALSE),0)</f>
        <v>0</v>
      </c>
      <c r="BH795" s="1710">
        <f t="shared" si="48"/>
        <v>17602793114.931686</v>
      </c>
      <c r="BI795" s="1710">
        <f t="shared" si="49"/>
        <v>20256033115.204037</v>
      </c>
      <c r="BJ795" s="1711">
        <f t="shared" si="50"/>
        <v>33024824.61633632</v>
      </c>
      <c r="BK795" s="1711">
        <f t="shared" si="51"/>
        <v>0.86901482707979738</v>
      </c>
    </row>
    <row r="796" spans="3:67" x14ac:dyDescent="0.25">
      <c r="C796" s="246" t="s">
        <v>2146</v>
      </c>
      <c r="D796" s="246">
        <v>1</v>
      </c>
      <c r="E796" s="246">
        <v>2</v>
      </c>
      <c r="F796" s="246">
        <v>3</v>
      </c>
      <c r="G796" s="246">
        <v>5</v>
      </c>
      <c r="H796" s="246">
        <v>6</v>
      </c>
      <c r="I796" s="246">
        <v>10</v>
      </c>
      <c r="J796" s="246">
        <v>12</v>
      </c>
      <c r="K796" s="246">
        <v>15</v>
      </c>
      <c r="L796" s="246"/>
      <c r="M796" s="246"/>
      <c r="N796" s="246"/>
      <c r="O796" s="246"/>
      <c r="P796" s="246"/>
      <c r="Q796" s="246"/>
      <c r="R796" s="246">
        <f>IFERROR(VLOOKUP(D796,PROGRAMAS[],2,FALSE),0)</f>
        <v>97037803.679377079</v>
      </c>
      <c r="S796" s="246">
        <f>IFERROR(VLOOKUP(E796,PROGRAMAS[],2,FALSE),0)</f>
        <v>640501509.6821388</v>
      </c>
      <c r="T796" s="246">
        <f>IFERROR(VLOOKUP(F796,PROGRAMAS[],2,FALSE),0)</f>
        <v>3062327798.1525245</v>
      </c>
      <c r="U796" s="246">
        <f>IFERROR(VLOOKUP(G796,PROGRAMAS[],2,FALSE),0)</f>
        <v>1440941976.2528784</v>
      </c>
      <c r="V796" s="246">
        <f>IFERROR(VLOOKUP(H796,PROGRAMAS[],2,FALSE),0)</f>
        <v>6907648435.8447599</v>
      </c>
      <c r="W796" s="246">
        <f>IFERROR(VLOOKUP(I796,PROGRAMAS[],2,FALSE),0)</f>
        <v>4635315027.8751087</v>
      </c>
      <c r="X796" s="246">
        <f>IFERROR(VLOOKUP(J796,PROGRAMAS[],2,FALSE),0)</f>
        <v>764796700.79905891</v>
      </c>
      <c r="Y796" s="246">
        <f>IFERROR(VLOOKUP(K796,PROGRAMAS[],2,FALSE),0)</f>
        <v>122159672.96346797</v>
      </c>
      <c r="Z796" s="246">
        <f>IFERROR(VLOOKUP(L796,PROGRAMAS[],2,FALSE),0)</f>
        <v>0</v>
      </c>
      <c r="AA796" s="246">
        <f>IFERROR(VLOOKUP(M796,PROGRAMAS[],2,FALSE),0)</f>
        <v>0</v>
      </c>
      <c r="AB796" s="246">
        <f>IFERROR(VLOOKUP(N796,PROGRAMAS[],2,FALSE),0)</f>
        <v>0</v>
      </c>
      <c r="AC796" s="246">
        <f>IFERROR(VLOOKUP(O796,PROGRAMAS[],2,FALSE),0)</f>
        <v>0</v>
      </c>
      <c r="AD796" s="246">
        <f>IFERROR(VLOOKUP(P796,PROGRAMAS[],2,FALSE),0)</f>
        <v>0</v>
      </c>
      <c r="AE796" s="246">
        <f>IFERROR(VLOOKUP(Q796,PROGRAMAS[],2,FALSE),0)</f>
        <v>0</v>
      </c>
      <c r="AF796" s="246">
        <f>IFERROR(VLOOKUP(D796,PROGRAMAS[],3,FALSE),0)</f>
        <v>841888629.31080008</v>
      </c>
      <c r="AG796" s="246">
        <f>IFERROR(VLOOKUP(E796,PROGRAMAS[],3,FALSE),0)</f>
        <v>3848980803.1642323</v>
      </c>
      <c r="AH796" s="246">
        <f>IFERROR(VLOOKUP(F796,PROGRAMAS[],3,FALSE),0)</f>
        <v>3394901471.387517</v>
      </c>
      <c r="AI796" s="246">
        <f>IFERROR(VLOOKUP(G796,PROGRAMAS[],3,FALSE),0)</f>
        <v>1233505101.0616004</v>
      </c>
      <c r="AJ796" s="246">
        <f>IFERROR(VLOOKUP(H796,PROGRAMAS[],3,FALSE),0)</f>
        <v>6129902208.7912121</v>
      </c>
      <c r="AK796" s="246">
        <f>IFERROR(VLOOKUP(I796,PROGRAMAS[],3,FALSE),0)</f>
        <v>4099471734.9978786</v>
      </c>
      <c r="AL796" s="246">
        <f>IFERROR(VLOOKUP(J796,PROGRAMAS[],3,FALSE),0)</f>
        <v>675517840.109828</v>
      </c>
      <c r="AM796" s="246">
        <f>IFERROR(VLOOKUP(K796,PROGRAMAS[],3,FALSE),0)</f>
        <v>118617452.52510804</v>
      </c>
      <c r="AN796" s="246">
        <f>IFERROR(VLOOKUP(L796,PROGRAMAS[],3,FALSE),0)</f>
        <v>0</v>
      </c>
      <c r="AO796" s="246">
        <f>IFERROR(VLOOKUP(M796,PROGRAMAS[],3,FALSE),0)</f>
        <v>0</v>
      </c>
      <c r="AP796" s="246">
        <f>IFERROR(VLOOKUP(N796,PROGRAMAS[],3,FALSE),0)</f>
        <v>0</v>
      </c>
      <c r="AQ796" s="246">
        <f>IFERROR(VLOOKUP(O796,PROGRAMAS[],3,FALSE),0)</f>
        <v>0</v>
      </c>
      <c r="AR796" s="246">
        <f>IFERROR(VLOOKUP(P796,PROGRAMAS[],3,FALSE),0)</f>
        <v>0</v>
      </c>
      <c r="AS796" s="246">
        <f>IFERROR(VLOOKUP(Q796,PROGRAMAS[],3,FALSE),0)</f>
        <v>0</v>
      </c>
      <c r="AT796" s="246">
        <f>IFERROR(VLOOKUP(D796,VOL_REC[],2,FALSE),0)</f>
        <v>0</v>
      </c>
      <c r="AU796" s="246">
        <f>IFERROR(VLOOKUP(E796,VOL_REC[],2,FALSE),0)</f>
        <v>0</v>
      </c>
      <c r="AV796" s="246">
        <f>IFERROR(VLOOKUP(F796,VOL_REC[],2,FALSE),0)</f>
        <v>11089674.200000001</v>
      </c>
      <c r="AW796" s="246">
        <f>IFERROR(VLOOKUP(G796,VOL_REC[],2,FALSE),0)</f>
        <v>4325103.1812214684</v>
      </c>
      <c r="AX796" s="246">
        <f>IFERROR(VLOOKUP(H796,VOL_REC[],2,FALSE),0)</f>
        <v>15540036.397699751</v>
      </c>
      <c r="AY796" s="246">
        <f>IFERROR(VLOOKUP(I796,VOL_REC[],2,FALSE),0)</f>
        <v>1812240</v>
      </c>
      <c r="AZ796" s="246">
        <f>IFERROR(VLOOKUP(J796,VOL_REC[],2,FALSE),0)</f>
        <v>240696.79238099116</v>
      </c>
      <c r="BA796" s="246">
        <f>IFERROR(VLOOKUP(K796,VOL_REC[],2,FALSE),0)</f>
        <v>105072</v>
      </c>
      <c r="BB796" s="246">
        <f>IFERROR(VLOOKUP(L796,VOL_REC[],2,FALSE),0)</f>
        <v>0</v>
      </c>
      <c r="BC796" s="246">
        <f>IFERROR(VLOOKUP(M796,VOL_REC[],2,FALSE),0)</f>
        <v>0</v>
      </c>
      <c r="BD796" s="246">
        <f>IFERROR(VLOOKUP(N796,VOL_REC[],2,FALSE),0)</f>
        <v>0</v>
      </c>
      <c r="BE796" s="246">
        <f>IFERROR(VLOOKUP(O796,VOL_REC[],2,FALSE),0)</f>
        <v>0</v>
      </c>
      <c r="BF796" s="246">
        <f>IFERROR(VLOOKUP(P796,VOL_REC[],2,FALSE),0)</f>
        <v>0</v>
      </c>
      <c r="BG796" s="246">
        <f>IFERROR(VLOOKUP(Q796,VOL_REC[],2,FALSE),0)</f>
        <v>0</v>
      </c>
      <c r="BH796" s="1710">
        <f t="shared" si="48"/>
        <v>17670728925.249313</v>
      </c>
      <c r="BI796" s="1710">
        <f t="shared" si="49"/>
        <v>20342785241.348179</v>
      </c>
      <c r="BJ796" s="1711">
        <f t="shared" si="50"/>
        <v>33112822.571302213</v>
      </c>
      <c r="BK796" s="1711">
        <f t="shared" si="51"/>
        <v>0.86864845278572189</v>
      </c>
    </row>
    <row r="797" spans="3:67" x14ac:dyDescent="0.25">
      <c r="C797" s="246" t="s">
        <v>2147</v>
      </c>
      <c r="D797" s="246">
        <v>1</v>
      </c>
      <c r="E797" s="246">
        <v>2</v>
      </c>
      <c r="F797" s="246">
        <v>3</v>
      </c>
      <c r="G797" s="246">
        <v>5</v>
      </c>
      <c r="H797" s="246">
        <v>6</v>
      </c>
      <c r="I797" s="246">
        <v>10</v>
      </c>
      <c r="J797" s="246">
        <v>12</v>
      </c>
      <c r="K797" s="246">
        <v>16</v>
      </c>
      <c r="L797" s="246"/>
      <c r="M797" s="246"/>
      <c r="N797" s="246"/>
      <c r="O797" s="246"/>
      <c r="P797" s="246"/>
      <c r="Q797" s="246"/>
      <c r="R797" s="246">
        <f>IFERROR(VLOOKUP(D797,PROGRAMAS[],2,FALSE),0)</f>
        <v>97037803.679377079</v>
      </c>
      <c r="S797" s="246">
        <f>IFERROR(VLOOKUP(E797,PROGRAMAS[],2,FALSE),0)</f>
        <v>640501509.6821388</v>
      </c>
      <c r="T797" s="246">
        <f>IFERROR(VLOOKUP(F797,PROGRAMAS[],2,FALSE),0)</f>
        <v>3062327798.1525245</v>
      </c>
      <c r="U797" s="246">
        <f>IFERROR(VLOOKUP(G797,PROGRAMAS[],2,FALSE),0)</f>
        <v>1440941976.2528784</v>
      </c>
      <c r="V797" s="246">
        <f>IFERROR(VLOOKUP(H797,PROGRAMAS[],2,FALSE),0)</f>
        <v>6907648435.8447599</v>
      </c>
      <c r="W797" s="246">
        <f>IFERROR(VLOOKUP(I797,PROGRAMAS[],2,FALSE),0)</f>
        <v>4635315027.8751087</v>
      </c>
      <c r="X797" s="246">
        <f>IFERROR(VLOOKUP(J797,PROGRAMAS[],2,FALSE),0)</f>
        <v>764796700.79905891</v>
      </c>
      <c r="Y797" s="246">
        <f>IFERROR(VLOOKUP(K797,PROGRAMAS[],2,FALSE),0)</f>
        <v>7068496961.0436354</v>
      </c>
      <c r="Z797" s="246">
        <f>IFERROR(VLOOKUP(L797,PROGRAMAS[],2,FALSE),0)</f>
        <v>0</v>
      </c>
      <c r="AA797" s="246">
        <f>IFERROR(VLOOKUP(M797,PROGRAMAS[],2,FALSE),0)</f>
        <v>0</v>
      </c>
      <c r="AB797" s="246">
        <f>IFERROR(VLOOKUP(N797,PROGRAMAS[],2,FALSE),0)</f>
        <v>0</v>
      </c>
      <c r="AC797" s="246">
        <f>IFERROR(VLOOKUP(O797,PROGRAMAS[],2,FALSE),0)</f>
        <v>0</v>
      </c>
      <c r="AD797" s="246">
        <f>IFERROR(VLOOKUP(P797,PROGRAMAS[],2,FALSE),0)</f>
        <v>0</v>
      </c>
      <c r="AE797" s="246">
        <f>IFERROR(VLOOKUP(Q797,PROGRAMAS[],2,FALSE),0)</f>
        <v>0</v>
      </c>
      <c r="AF797" s="246">
        <f>IFERROR(VLOOKUP(D797,PROGRAMAS[],3,FALSE),0)</f>
        <v>841888629.31080008</v>
      </c>
      <c r="AG797" s="246">
        <f>IFERROR(VLOOKUP(E797,PROGRAMAS[],3,FALSE),0)</f>
        <v>3848980803.1642323</v>
      </c>
      <c r="AH797" s="246">
        <f>IFERROR(VLOOKUP(F797,PROGRAMAS[],3,FALSE),0)</f>
        <v>3394901471.387517</v>
      </c>
      <c r="AI797" s="246">
        <f>IFERROR(VLOOKUP(G797,PROGRAMAS[],3,FALSE),0)</f>
        <v>1233505101.0616004</v>
      </c>
      <c r="AJ797" s="246">
        <f>IFERROR(VLOOKUP(H797,PROGRAMAS[],3,FALSE),0)</f>
        <v>6129902208.7912121</v>
      </c>
      <c r="AK797" s="246">
        <f>IFERROR(VLOOKUP(I797,PROGRAMAS[],3,FALSE),0)</f>
        <v>4099471734.9978786</v>
      </c>
      <c r="AL797" s="246">
        <f>IFERROR(VLOOKUP(J797,PROGRAMAS[],3,FALSE),0)</f>
        <v>675517840.109828</v>
      </c>
      <c r="AM797" s="246">
        <f>IFERROR(VLOOKUP(K797,PROGRAMAS[],3,FALSE),0)</f>
        <v>2406564599.0319901</v>
      </c>
      <c r="AN797" s="246">
        <f>IFERROR(VLOOKUP(L797,PROGRAMAS[],3,FALSE),0)</f>
        <v>0</v>
      </c>
      <c r="AO797" s="246">
        <f>IFERROR(VLOOKUP(M797,PROGRAMAS[],3,FALSE),0)</f>
        <v>0</v>
      </c>
      <c r="AP797" s="246">
        <f>IFERROR(VLOOKUP(N797,PROGRAMAS[],3,FALSE),0)</f>
        <v>0</v>
      </c>
      <c r="AQ797" s="246">
        <f>IFERROR(VLOOKUP(O797,PROGRAMAS[],3,FALSE),0)</f>
        <v>0</v>
      </c>
      <c r="AR797" s="246">
        <f>IFERROR(VLOOKUP(P797,PROGRAMAS[],3,FALSE),0)</f>
        <v>0</v>
      </c>
      <c r="AS797" s="246">
        <f>IFERROR(VLOOKUP(Q797,PROGRAMAS[],3,FALSE),0)</f>
        <v>0</v>
      </c>
      <c r="AT797" s="246">
        <f>IFERROR(VLOOKUP(D797,VOL_REC[],2,FALSE),0)</f>
        <v>0</v>
      </c>
      <c r="AU797" s="246">
        <f>IFERROR(VLOOKUP(E797,VOL_REC[],2,FALSE),0)</f>
        <v>0</v>
      </c>
      <c r="AV797" s="246">
        <f>IFERROR(VLOOKUP(F797,VOL_REC[],2,FALSE),0)</f>
        <v>11089674.200000001</v>
      </c>
      <c r="AW797" s="246">
        <f>IFERROR(VLOOKUP(G797,VOL_REC[],2,FALSE),0)</f>
        <v>4325103.1812214684</v>
      </c>
      <c r="AX797" s="246">
        <f>IFERROR(VLOOKUP(H797,VOL_REC[],2,FALSE),0)</f>
        <v>15540036.397699751</v>
      </c>
      <c r="AY797" s="246">
        <f>IFERROR(VLOOKUP(I797,VOL_REC[],2,FALSE),0)</f>
        <v>1812240</v>
      </c>
      <c r="AZ797" s="246">
        <f>IFERROR(VLOOKUP(J797,VOL_REC[],2,FALSE),0)</f>
        <v>240696.79238099116</v>
      </c>
      <c r="BA797" s="246">
        <f>IFERROR(VLOOKUP(K797,VOL_REC[],2,FALSE),0)</f>
        <v>1072354.9981737854</v>
      </c>
      <c r="BB797" s="246">
        <f>IFERROR(VLOOKUP(L797,VOL_REC[],2,FALSE),0)</f>
        <v>0</v>
      </c>
      <c r="BC797" s="246">
        <f>IFERROR(VLOOKUP(M797,VOL_REC[],2,FALSE),0)</f>
        <v>0</v>
      </c>
      <c r="BD797" s="246">
        <f>IFERROR(VLOOKUP(N797,VOL_REC[],2,FALSE),0)</f>
        <v>0</v>
      </c>
      <c r="BE797" s="246">
        <f>IFERROR(VLOOKUP(O797,VOL_REC[],2,FALSE),0)</f>
        <v>0</v>
      </c>
      <c r="BF797" s="246">
        <f>IFERROR(VLOOKUP(P797,VOL_REC[],2,FALSE),0)</f>
        <v>0</v>
      </c>
      <c r="BG797" s="246">
        <f>IFERROR(VLOOKUP(Q797,VOL_REC[],2,FALSE),0)</f>
        <v>0</v>
      </c>
      <c r="BH797" s="1710">
        <f t="shared" si="48"/>
        <v>24617066213.329483</v>
      </c>
      <c r="BI797" s="1710">
        <f t="shared" si="49"/>
        <v>22630732387.855061</v>
      </c>
      <c r="BJ797" s="1711">
        <f t="shared" si="50"/>
        <v>34080105.569476001</v>
      </c>
      <c r="BK797" s="1711">
        <f t="shared" si="51"/>
        <v>1.0877715219919442</v>
      </c>
      <c r="BL797">
        <f>BJ797</f>
        <v>34080105.569476001</v>
      </c>
      <c r="BO797">
        <f>BL797</f>
        <v>34080105.569476001</v>
      </c>
    </row>
    <row r="798" spans="3:67" x14ac:dyDescent="0.25">
      <c r="C798" s="246" t="s">
        <v>2148</v>
      </c>
      <c r="D798" s="246">
        <v>1</v>
      </c>
      <c r="E798" s="246">
        <v>2</v>
      </c>
      <c r="F798" s="246">
        <v>3</v>
      </c>
      <c r="G798" s="246">
        <v>5</v>
      </c>
      <c r="H798" s="246">
        <v>6</v>
      </c>
      <c r="I798" s="246">
        <v>10</v>
      </c>
      <c r="J798" s="246">
        <v>12</v>
      </c>
      <c r="K798" s="246">
        <v>17</v>
      </c>
      <c r="L798" s="246"/>
      <c r="M798" s="246"/>
      <c r="N798" s="246"/>
      <c r="O798" s="246"/>
      <c r="P798" s="246"/>
      <c r="Q798" s="246"/>
      <c r="R798" s="246">
        <f>IFERROR(VLOOKUP(D798,PROGRAMAS[],2,FALSE),0)</f>
        <v>97037803.679377079</v>
      </c>
      <c r="S798" s="246">
        <f>IFERROR(VLOOKUP(E798,PROGRAMAS[],2,FALSE),0)</f>
        <v>640501509.6821388</v>
      </c>
      <c r="T798" s="246">
        <f>IFERROR(VLOOKUP(F798,PROGRAMAS[],2,FALSE),0)</f>
        <v>3062327798.1525245</v>
      </c>
      <c r="U798" s="246">
        <f>IFERROR(VLOOKUP(G798,PROGRAMAS[],2,FALSE),0)</f>
        <v>1440941976.2528784</v>
      </c>
      <c r="V798" s="246">
        <f>IFERROR(VLOOKUP(H798,PROGRAMAS[],2,FALSE),0)</f>
        <v>6907648435.8447599</v>
      </c>
      <c r="W798" s="246">
        <f>IFERROR(VLOOKUP(I798,PROGRAMAS[],2,FALSE),0)</f>
        <v>4635315027.8751087</v>
      </c>
      <c r="X798" s="246">
        <f>IFERROR(VLOOKUP(J798,PROGRAMAS[],2,FALSE),0)</f>
        <v>764796700.79905891</v>
      </c>
      <c r="Y798" s="246">
        <f>IFERROR(VLOOKUP(K798,PROGRAMAS[],2,FALSE),0)</f>
        <v>1892779498.5211046</v>
      </c>
      <c r="Z798" s="246">
        <f>IFERROR(VLOOKUP(L798,PROGRAMAS[],2,FALSE),0)</f>
        <v>0</v>
      </c>
      <c r="AA798" s="246">
        <f>IFERROR(VLOOKUP(M798,PROGRAMAS[],2,FALSE),0)</f>
        <v>0</v>
      </c>
      <c r="AB798" s="246">
        <f>IFERROR(VLOOKUP(N798,PROGRAMAS[],2,FALSE),0)</f>
        <v>0</v>
      </c>
      <c r="AC798" s="246">
        <f>IFERROR(VLOOKUP(O798,PROGRAMAS[],2,FALSE),0)</f>
        <v>0</v>
      </c>
      <c r="AD798" s="246">
        <f>IFERROR(VLOOKUP(P798,PROGRAMAS[],2,FALSE),0)</f>
        <v>0</v>
      </c>
      <c r="AE798" s="246">
        <f>IFERROR(VLOOKUP(Q798,PROGRAMAS[],2,FALSE),0)</f>
        <v>0</v>
      </c>
      <c r="AF798" s="246">
        <f>IFERROR(VLOOKUP(D798,PROGRAMAS[],3,FALSE),0)</f>
        <v>841888629.31080008</v>
      </c>
      <c r="AG798" s="246">
        <f>IFERROR(VLOOKUP(E798,PROGRAMAS[],3,FALSE),0)</f>
        <v>3848980803.1642323</v>
      </c>
      <c r="AH798" s="246">
        <f>IFERROR(VLOOKUP(F798,PROGRAMAS[],3,FALSE),0)</f>
        <v>3394901471.387517</v>
      </c>
      <c r="AI798" s="246">
        <f>IFERROR(VLOOKUP(G798,PROGRAMAS[],3,FALSE),0)</f>
        <v>1233505101.0616004</v>
      </c>
      <c r="AJ798" s="246">
        <f>IFERROR(VLOOKUP(H798,PROGRAMAS[],3,FALSE),0)</f>
        <v>6129902208.7912121</v>
      </c>
      <c r="AK798" s="246">
        <f>IFERROR(VLOOKUP(I798,PROGRAMAS[],3,FALSE),0)</f>
        <v>4099471734.9978786</v>
      </c>
      <c r="AL798" s="246">
        <f>IFERROR(VLOOKUP(J798,PROGRAMAS[],3,FALSE),0)</f>
        <v>675517840.109828</v>
      </c>
      <c r="AM798" s="246">
        <f>IFERROR(VLOOKUP(K798,PROGRAMAS[],3,FALSE),0)</f>
        <v>948595847.09039903</v>
      </c>
      <c r="AN798" s="246">
        <f>IFERROR(VLOOKUP(L798,PROGRAMAS[],3,FALSE),0)</f>
        <v>0</v>
      </c>
      <c r="AO798" s="246">
        <f>IFERROR(VLOOKUP(M798,PROGRAMAS[],3,FALSE),0)</f>
        <v>0</v>
      </c>
      <c r="AP798" s="246">
        <f>IFERROR(VLOOKUP(N798,PROGRAMAS[],3,FALSE),0)</f>
        <v>0</v>
      </c>
      <c r="AQ798" s="246">
        <f>IFERROR(VLOOKUP(O798,PROGRAMAS[],3,FALSE),0)</f>
        <v>0</v>
      </c>
      <c r="AR798" s="246">
        <f>IFERROR(VLOOKUP(P798,PROGRAMAS[],3,FALSE),0)</f>
        <v>0</v>
      </c>
      <c r="AS798" s="246">
        <f>IFERROR(VLOOKUP(Q798,PROGRAMAS[],3,FALSE),0)</f>
        <v>0</v>
      </c>
      <c r="AT798" s="246">
        <f>IFERROR(VLOOKUP(D798,VOL_REC[],2,FALSE),0)</f>
        <v>0</v>
      </c>
      <c r="AU798" s="246">
        <f>IFERROR(VLOOKUP(E798,VOL_REC[],2,FALSE),0)</f>
        <v>0</v>
      </c>
      <c r="AV798" s="246">
        <f>IFERROR(VLOOKUP(F798,VOL_REC[],2,FALSE),0)</f>
        <v>11089674.200000001</v>
      </c>
      <c r="AW798" s="246">
        <f>IFERROR(VLOOKUP(G798,VOL_REC[],2,FALSE),0)</f>
        <v>4325103.1812214684</v>
      </c>
      <c r="AX798" s="246">
        <f>IFERROR(VLOOKUP(H798,VOL_REC[],2,FALSE),0)</f>
        <v>15540036.397699751</v>
      </c>
      <c r="AY798" s="246">
        <f>IFERROR(VLOOKUP(I798,VOL_REC[],2,FALSE),0)</f>
        <v>1812240</v>
      </c>
      <c r="AZ798" s="246">
        <f>IFERROR(VLOOKUP(J798,VOL_REC[],2,FALSE),0)</f>
        <v>240696.79238099116</v>
      </c>
      <c r="BA798" s="246">
        <f>IFERROR(VLOOKUP(K798,VOL_REC[],2,FALSE),0)</f>
        <v>740113.98115702497</v>
      </c>
      <c r="BB798" s="246">
        <f>IFERROR(VLOOKUP(L798,VOL_REC[],2,FALSE),0)</f>
        <v>0</v>
      </c>
      <c r="BC798" s="246">
        <f>IFERROR(VLOOKUP(M798,VOL_REC[],2,FALSE),0)</f>
        <v>0</v>
      </c>
      <c r="BD798" s="246">
        <f>IFERROR(VLOOKUP(N798,VOL_REC[],2,FALSE),0)</f>
        <v>0</v>
      </c>
      <c r="BE798" s="246">
        <f>IFERROR(VLOOKUP(O798,VOL_REC[],2,FALSE),0)</f>
        <v>0</v>
      </c>
      <c r="BF798" s="246">
        <f>IFERROR(VLOOKUP(P798,VOL_REC[],2,FALSE),0)</f>
        <v>0</v>
      </c>
      <c r="BG798" s="246">
        <f>IFERROR(VLOOKUP(Q798,VOL_REC[],2,FALSE),0)</f>
        <v>0</v>
      </c>
      <c r="BH798" s="1710">
        <f t="shared" si="48"/>
        <v>19441348750.80695</v>
      </c>
      <c r="BI798" s="1710">
        <f t="shared" si="49"/>
        <v>21172763635.913471</v>
      </c>
      <c r="BJ798" s="1711">
        <f t="shared" si="50"/>
        <v>33747864.55245924</v>
      </c>
      <c r="BK798" s="1711">
        <f t="shared" si="51"/>
        <v>0.91822442667948756</v>
      </c>
    </row>
    <row r="799" spans="3:67" x14ac:dyDescent="0.25">
      <c r="C799" s="246" t="s">
        <v>2149</v>
      </c>
      <c r="D799" s="246">
        <v>1</v>
      </c>
      <c r="E799" s="246">
        <v>2</v>
      </c>
      <c r="F799" s="246">
        <v>3</v>
      </c>
      <c r="G799" s="246">
        <v>5</v>
      </c>
      <c r="H799" s="246">
        <v>6</v>
      </c>
      <c r="I799" s="246">
        <v>10</v>
      </c>
      <c r="J799" s="246">
        <v>13</v>
      </c>
      <c r="K799" s="246">
        <v>14</v>
      </c>
      <c r="L799" s="246"/>
      <c r="M799" s="246"/>
      <c r="N799" s="246"/>
      <c r="O799" s="246"/>
      <c r="P799" s="246"/>
      <c r="Q799" s="246"/>
      <c r="R799" s="246">
        <f>IFERROR(VLOOKUP(D799,PROGRAMAS[],2,FALSE),0)</f>
        <v>97037803.679377079</v>
      </c>
      <c r="S799" s="246">
        <f>IFERROR(VLOOKUP(E799,PROGRAMAS[],2,FALSE),0)</f>
        <v>640501509.6821388</v>
      </c>
      <c r="T799" s="246">
        <f>IFERROR(VLOOKUP(F799,PROGRAMAS[],2,FALSE),0)</f>
        <v>3062327798.1525245</v>
      </c>
      <c r="U799" s="246">
        <f>IFERROR(VLOOKUP(G799,PROGRAMAS[],2,FALSE),0)</f>
        <v>1440941976.2528784</v>
      </c>
      <c r="V799" s="246">
        <f>IFERROR(VLOOKUP(H799,PROGRAMAS[],2,FALSE),0)</f>
        <v>6907648435.8447599</v>
      </c>
      <c r="W799" s="246">
        <f>IFERROR(VLOOKUP(I799,PROGRAMAS[],2,FALSE),0)</f>
        <v>4635315027.8751087</v>
      </c>
      <c r="X799" s="246">
        <f>IFERROR(VLOOKUP(J799,PROGRAMAS[],2,FALSE),0)</f>
        <v>3776538594.4604583</v>
      </c>
      <c r="Y799" s="246">
        <f>IFERROR(VLOOKUP(K799,PROGRAMAS[],2,FALSE),0)</f>
        <v>54223862.645839565</v>
      </c>
      <c r="Z799" s="246">
        <f>IFERROR(VLOOKUP(L799,PROGRAMAS[],2,FALSE),0)</f>
        <v>0</v>
      </c>
      <c r="AA799" s="246">
        <f>IFERROR(VLOOKUP(M799,PROGRAMAS[],2,FALSE),0)</f>
        <v>0</v>
      </c>
      <c r="AB799" s="246">
        <f>IFERROR(VLOOKUP(N799,PROGRAMAS[],2,FALSE),0)</f>
        <v>0</v>
      </c>
      <c r="AC799" s="246">
        <f>IFERROR(VLOOKUP(O799,PROGRAMAS[],2,FALSE),0)</f>
        <v>0</v>
      </c>
      <c r="AD799" s="246">
        <f>IFERROR(VLOOKUP(P799,PROGRAMAS[],2,FALSE),0)</f>
        <v>0</v>
      </c>
      <c r="AE799" s="246">
        <f>IFERROR(VLOOKUP(Q799,PROGRAMAS[],2,FALSE),0)</f>
        <v>0</v>
      </c>
      <c r="AF799" s="246">
        <f>IFERROR(VLOOKUP(D799,PROGRAMAS[],3,FALSE),0)</f>
        <v>841888629.31080008</v>
      </c>
      <c r="AG799" s="246">
        <f>IFERROR(VLOOKUP(E799,PROGRAMAS[],3,FALSE),0)</f>
        <v>3848980803.1642323</v>
      </c>
      <c r="AH799" s="246">
        <f>IFERROR(VLOOKUP(F799,PROGRAMAS[],3,FALSE),0)</f>
        <v>3394901471.387517</v>
      </c>
      <c r="AI799" s="246">
        <f>IFERROR(VLOOKUP(G799,PROGRAMAS[],3,FALSE),0)</f>
        <v>1233505101.0616004</v>
      </c>
      <c r="AJ799" s="246">
        <f>IFERROR(VLOOKUP(H799,PROGRAMAS[],3,FALSE),0)</f>
        <v>6129902208.7912121</v>
      </c>
      <c r="AK799" s="246">
        <f>IFERROR(VLOOKUP(I799,PROGRAMAS[],3,FALSE),0)</f>
        <v>4099471734.9978786</v>
      </c>
      <c r="AL799" s="246">
        <f>IFERROR(VLOOKUP(J799,PROGRAMAS[],3,FALSE),0)</f>
        <v>2392571243.5584412</v>
      </c>
      <c r="AM799" s="246">
        <f>IFERROR(VLOOKUP(K799,PROGRAMAS[],3,FALSE),0)</f>
        <v>31865326.38096505</v>
      </c>
      <c r="AN799" s="246">
        <f>IFERROR(VLOOKUP(L799,PROGRAMAS[],3,FALSE),0)</f>
        <v>0</v>
      </c>
      <c r="AO799" s="246">
        <f>IFERROR(VLOOKUP(M799,PROGRAMAS[],3,FALSE),0)</f>
        <v>0</v>
      </c>
      <c r="AP799" s="246">
        <f>IFERROR(VLOOKUP(N799,PROGRAMAS[],3,FALSE),0)</f>
        <v>0</v>
      </c>
      <c r="AQ799" s="246">
        <f>IFERROR(VLOOKUP(O799,PROGRAMAS[],3,FALSE),0)</f>
        <v>0</v>
      </c>
      <c r="AR799" s="246">
        <f>IFERROR(VLOOKUP(P799,PROGRAMAS[],3,FALSE),0)</f>
        <v>0</v>
      </c>
      <c r="AS799" s="246">
        <f>IFERROR(VLOOKUP(Q799,PROGRAMAS[],3,FALSE),0)</f>
        <v>0</v>
      </c>
      <c r="AT799" s="246">
        <f>IFERROR(VLOOKUP(D799,VOL_REC[],2,FALSE),0)</f>
        <v>0</v>
      </c>
      <c r="AU799" s="246">
        <f>IFERROR(VLOOKUP(E799,VOL_REC[],2,FALSE),0)</f>
        <v>0</v>
      </c>
      <c r="AV799" s="246">
        <f>IFERROR(VLOOKUP(F799,VOL_REC[],2,FALSE),0)</f>
        <v>11089674.200000001</v>
      </c>
      <c r="AW799" s="246">
        <f>IFERROR(VLOOKUP(G799,VOL_REC[],2,FALSE),0)</f>
        <v>4325103.1812214684</v>
      </c>
      <c r="AX799" s="246">
        <f>IFERROR(VLOOKUP(H799,VOL_REC[],2,FALSE),0)</f>
        <v>15540036.397699751</v>
      </c>
      <c r="AY799" s="246">
        <f>IFERROR(VLOOKUP(I799,VOL_REC[],2,FALSE),0)</f>
        <v>1812240</v>
      </c>
      <c r="AZ799" s="246">
        <f>IFERROR(VLOOKUP(J799,VOL_REC[],2,FALSE),0)</f>
        <v>663244.80000000016</v>
      </c>
      <c r="BA799" s="246">
        <f>IFERROR(VLOOKUP(K799,VOL_REC[],2,FALSE),0)</f>
        <v>17074.045034105649</v>
      </c>
      <c r="BB799" s="246">
        <f>IFERROR(VLOOKUP(L799,VOL_REC[],2,FALSE),0)</f>
        <v>0</v>
      </c>
      <c r="BC799" s="246">
        <f>IFERROR(VLOOKUP(M799,VOL_REC[],2,FALSE),0)</f>
        <v>0</v>
      </c>
      <c r="BD799" s="246">
        <f>IFERROR(VLOOKUP(N799,VOL_REC[],2,FALSE),0)</f>
        <v>0</v>
      </c>
      <c r="BE799" s="246">
        <f>IFERROR(VLOOKUP(O799,VOL_REC[],2,FALSE),0)</f>
        <v>0</v>
      </c>
      <c r="BF799" s="246">
        <f>IFERROR(VLOOKUP(P799,VOL_REC[],2,FALSE),0)</f>
        <v>0</v>
      </c>
      <c r="BG799" s="246">
        <f>IFERROR(VLOOKUP(Q799,VOL_REC[],2,FALSE),0)</f>
        <v>0</v>
      </c>
      <c r="BH799" s="1710">
        <f t="shared" si="48"/>
        <v>20614535008.593086</v>
      </c>
      <c r="BI799" s="1710">
        <f t="shared" si="49"/>
        <v>21973086518.652649</v>
      </c>
      <c r="BJ799" s="1711">
        <f t="shared" si="50"/>
        <v>33447372.623955328</v>
      </c>
      <c r="BK799" s="1711">
        <f t="shared" si="51"/>
        <v>0.93817202199125249</v>
      </c>
    </row>
    <row r="800" spans="3:67" x14ac:dyDescent="0.25">
      <c r="C800" s="246" t="s">
        <v>2150</v>
      </c>
      <c r="D800" s="246">
        <v>1</v>
      </c>
      <c r="E800" s="246">
        <v>2</v>
      </c>
      <c r="F800" s="246">
        <v>3</v>
      </c>
      <c r="G800" s="246">
        <v>5</v>
      </c>
      <c r="H800" s="246">
        <v>6</v>
      </c>
      <c r="I800" s="246">
        <v>10</v>
      </c>
      <c r="J800" s="246">
        <v>13</v>
      </c>
      <c r="K800" s="246">
        <v>15</v>
      </c>
      <c r="L800" s="246"/>
      <c r="M800" s="246"/>
      <c r="N800" s="246"/>
      <c r="O800" s="246"/>
      <c r="P800" s="246"/>
      <c r="Q800" s="246"/>
      <c r="R800" s="246">
        <f>IFERROR(VLOOKUP(D800,PROGRAMAS[],2,FALSE),0)</f>
        <v>97037803.679377079</v>
      </c>
      <c r="S800" s="246">
        <f>IFERROR(VLOOKUP(E800,PROGRAMAS[],2,FALSE),0)</f>
        <v>640501509.6821388</v>
      </c>
      <c r="T800" s="246">
        <f>IFERROR(VLOOKUP(F800,PROGRAMAS[],2,FALSE),0)</f>
        <v>3062327798.1525245</v>
      </c>
      <c r="U800" s="246">
        <f>IFERROR(VLOOKUP(G800,PROGRAMAS[],2,FALSE),0)</f>
        <v>1440941976.2528784</v>
      </c>
      <c r="V800" s="246">
        <f>IFERROR(VLOOKUP(H800,PROGRAMAS[],2,FALSE),0)</f>
        <v>6907648435.8447599</v>
      </c>
      <c r="W800" s="246">
        <f>IFERROR(VLOOKUP(I800,PROGRAMAS[],2,FALSE),0)</f>
        <v>4635315027.8751087</v>
      </c>
      <c r="X800" s="246">
        <f>IFERROR(VLOOKUP(J800,PROGRAMAS[],2,FALSE),0)</f>
        <v>3776538594.4604583</v>
      </c>
      <c r="Y800" s="246">
        <f>IFERROR(VLOOKUP(K800,PROGRAMAS[],2,FALSE),0)</f>
        <v>122159672.96346797</v>
      </c>
      <c r="Z800" s="246">
        <f>IFERROR(VLOOKUP(L800,PROGRAMAS[],2,FALSE),0)</f>
        <v>0</v>
      </c>
      <c r="AA800" s="246">
        <f>IFERROR(VLOOKUP(M800,PROGRAMAS[],2,FALSE),0)</f>
        <v>0</v>
      </c>
      <c r="AB800" s="246">
        <f>IFERROR(VLOOKUP(N800,PROGRAMAS[],2,FALSE),0)</f>
        <v>0</v>
      </c>
      <c r="AC800" s="246">
        <f>IFERROR(VLOOKUP(O800,PROGRAMAS[],2,FALSE),0)</f>
        <v>0</v>
      </c>
      <c r="AD800" s="246">
        <f>IFERROR(VLOOKUP(P800,PROGRAMAS[],2,FALSE),0)</f>
        <v>0</v>
      </c>
      <c r="AE800" s="246">
        <f>IFERROR(VLOOKUP(Q800,PROGRAMAS[],2,FALSE),0)</f>
        <v>0</v>
      </c>
      <c r="AF800" s="246">
        <f>IFERROR(VLOOKUP(D800,PROGRAMAS[],3,FALSE),0)</f>
        <v>841888629.31080008</v>
      </c>
      <c r="AG800" s="246">
        <f>IFERROR(VLOOKUP(E800,PROGRAMAS[],3,FALSE),0)</f>
        <v>3848980803.1642323</v>
      </c>
      <c r="AH800" s="246">
        <f>IFERROR(VLOOKUP(F800,PROGRAMAS[],3,FALSE),0)</f>
        <v>3394901471.387517</v>
      </c>
      <c r="AI800" s="246">
        <f>IFERROR(VLOOKUP(G800,PROGRAMAS[],3,FALSE),0)</f>
        <v>1233505101.0616004</v>
      </c>
      <c r="AJ800" s="246">
        <f>IFERROR(VLOOKUP(H800,PROGRAMAS[],3,FALSE),0)</f>
        <v>6129902208.7912121</v>
      </c>
      <c r="AK800" s="246">
        <f>IFERROR(VLOOKUP(I800,PROGRAMAS[],3,FALSE),0)</f>
        <v>4099471734.9978786</v>
      </c>
      <c r="AL800" s="246">
        <f>IFERROR(VLOOKUP(J800,PROGRAMAS[],3,FALSE),0)</f>
        <v>2392571243.5584412</v>
      </c>
      <c r="AM800" s="246">
        <f>IFERROR(VLOOKUP(K800,PROGRAMAS[],3,FALSE),0)</f>
        <v>118617452.52510804</v>
      </c>
      <c r="AN800" s="246">
        <f>IFERROR(VLOOKUP(L800,PROGRAMAS[],3,FALSE),0)</f>
        <v>0</v>
      </c>
      <c r="AO800" s="246">
        <f>IFERROR(VLOOKUP(M800,PROGRAMAS[],3,FALSE),0)</f>
        <v>0</v>
      </c>
      <c r="AP800" s="246">
        <f>IFERROR(VLOOKUP(N800,PROGRAMAS[],3,FALSE),0)</f>
        <v>0</v>
      </c>
      <c r="AQ800" s="246">
        <f>IFERROR(VLOOKUP(O800,PROGRAMAS[],3,FALSE),0)</f>
        <v>0</v>
      </c>
      <c r="AR800" s="246">
        <f>IFERROR(VLOOKUP(P800,PROGRAMAS[],3,FALSE),0)</f>
        <v>0</v>
      </c>
      <c r="AS800" s="246">
        <f>IFERROR(VLOOKUP(Q800,PROGRAMAS[],3,FALSE),0)</f>
        <v>0</v>
      </c>
      <c r="AT800" s="246">
        <f>IFERROR(VLOOKUP(D800,VOL_REC[],2,FALSE),0)</f>
        <v>0</v>
      </c>
      <c r="AU800" s="246">
        <f>IFERROR(VLOOKUP(E800,VOL_REC[],2,FALSE),0)</f>
        <v>0</v>
      </c>
      <c r="AV800" s="246">
        <f>IFERROR(VLOOKUP(F800,VOL_REC[],2,FALSE),0)</f>
        <v>11089674.200000001</v>
      </c>
      <c r="AW800" s="246">
        <f>IFERROR(VLOOKUP(G800,VOL_REC[],2,FALSE),0)</f>
        <v>4325103.1812214684</v>
      </c>
      <c r="AX800" s="246">
        <f>IFERROR(VLOOKUP(H800,VOL_REC[],2,FALSE),0)</f>
        <v>15540036.397699751</v>
      </c>
      <c r="AY800" s="246">
        <f>IFERROR(VLOOKUP(I800,VOL_REC[],2,FALSE),0)</f>
        <v>1812240</v>
      </c>
      <c r="AZ800" s="246">
        <f>IFERROR(VLOOKUP(J800,VOL_REC[],2,FALSE),0)</f>
        <v>663244.80000000016</v>
      </c>
      <c r="BA800" s="246">
        <f>IFERROR(VLOOKUP(K800,VOL_REC[],2,FALSE),0)</f>
        <v>105072</v>
      </c>
      <c r="BB800" s="246">
        <f>IFERROR(VLOOKUP(L800,VOL_REC[],2,FALSE),0)</f>
        <v>0</v>
      </c>
      <c r="BC800" s="246">
        <f>IFERROR(VLOOKUP(M800,VOL_REC[],2,FALSE),0)</f>
        <v>0</v>
      </c>
      <c r="BD800" s="246">
        <f>IFERROR(VLOOKUP(N800,VOL_REC[],2,FALSE),0)</f>
        <v>0</v>
      </c>
      <c r="BE800" s="246">
        <f>IFERROR(VLOOKUP(O800,VOL_REC[],2,FALSE),0)</f>
        <v>0</v>
      </c>
      <c r="BF800" s="246">
        <f>IFERROR(VLOOKUP(P800,VOL_REC[],2,FALSE),0)</f>
        <v>0</v>
      </c>
      <c r="BG800" s="246">
        <f>IFERROR(VLOOKUP(Q800,VOL_REC[],2,FALSE),0)</f>
        <v>0</v>
      </c>
      <c r="BH800" s="1710">
        <f t="shared" si="48"/>
        <v>20682470818.910713</v>
      </c>
      <c r="BI800" s="1710">
        <f t="shared" si="49"/>
        <v>22059838644.796791</v>
      </c>
      <c r="BJ800" s="1711">
        <f t="shared" si="50"/>
        <v>33535370.578921221</v>
      </c>
      <c r="BK800" s="1711">
        <f t="shared" si="51"/>
        <v>0.93756219852446854</v>
      </c>
    </row>
    <row r="801" spans="3:67" x14ac:dyDescent="0.25">
      <c r="C801" s="246" t="s">
        <v>2151</v>
      </c>
      <c r="D801" s="246">
        <v>1</v>
      </c>
      <c r="E801" s="246">
        <v>2</v>
      </c>
      <c r="F801" s="246">
        <v>3</v>
      </c>
      <c r="G801" s="246">
        <v>5</v>
      </c>
      <c r="H801" s="246">
        <v>6</v>
      </c>
      <c r="I801" s="246">
        <v>10</v>
      </c>
      <c r="J801" s="246">
        <v>13</v>
      </c>
      <c r="K801" s="246">
        <v>16</v>
      </c>
      <c r="L801" s="246"/>
      <c r="M801" s="246"/>
      <c r="N801" s="246"/>
      <c r="O801" s="246"/>
      <c r="P801" s="246"/>
      <c r="Q801" s="246"/>
      <c r="R801" s="246">
        <f>IFERROR(VLOOKUP(D801,PROGRAMAS[],2,FALSE),0)</f>
        <v>97037803.679377079</v>
      </c>
      <c r="S801" s="246">
        <f>IFERROR(VLOOKUP(E801,PROGRAMAS[],2,FALSE),0)</f>
        <v>640501509.6821388</v>
      </c>
      <c r="T801" s="246">
        <f>IFERROR(VLOOKUP(F801,PROGRAMAS[],2,FALSE),0)</f>
        <v>3062327798.1525245</v>
      </c>
      <c r="U801" s="246">
        <f>IFERROR(VLOOKUP(G801,PROGRAMAS[],2,FALSE),0)</f>
        <v>1440941976.2528784</v>
      </c>
      <c r="V801" s="246">
        <f>IFERROR(VLOOKUP(H801,PROGRAMAS[],2,FALSE),0)</f>
        <v>6907648435.8447599</v>
      </c>
      <c r="W801" s="246">
        <f>IFERROR(VLOOKUP(I801,PROGRAMAS[],2,FALSE),0)</f>
        <v>4635315027.8751087</v>
      </c>
      <c r="X801" s="246">
        <f>IFERROR(VLOOKUP(J801,PROGRAMAS[],2,FALSE),0)</f>
        <v>3776538594.4604583</v>
      </c>
      <c r="Y801" s="246">
        <f>IFERROR(VLOOKUP(K801,PROGRAMAS[],2,FALSE),0)</f>
        <v>7068496961.0436354</v>
      </c>
      <c r="Z801" s="246">
        <f>IFERROR(VLOOKUP(L801,PROGRAMAS[],2,FALSE),0)</f>
        <v>0</v>
      </c>
      <c r="AA801" s="246">
        <f>IFERROR(VLOOKUP(M801,PROGRAMAS[],2,FALSE),0)</f>
        <v>0</v>
      </c>
      <c r="AB801" s="246">
        <f>IFERROR(VLOOKUP(N801,PROGRAMAS[],2,FALSE),0)</f>
        <v>0</v>
      </c>
      <c r="AC801" s="246">
        <f>IFERROR(VLOOKUP(O801,PROGRAMAS[],2,FALSE),0)</f>
        <v>0</v>
      </c>
      <c r="AD801" s="246">
        <f>IFERROR(VLOOKUP(P801,PROGRAMAS[],2,FALSE),0)</f>
        <v>0</v>
      </c>
      <c r="AE801" s="246">
        <f>IFERROR(VLOOKUP(Q801,PROGRAMAS[],2,FALSE),0)</f>
        <v>0</v>
      </c>
      <c r="AF801" s="246">
        <f>IFERROR(VLOOKUP(D801,PROGRAMAS[],3,FALSE),0)</f>
        <v>841888629.31080008</v>
      </c>
      <c r="AG801" s="246">
        <f>IFERROR(VLOOKUP(E801,PROGRAMAS[],3,FALSE),0)</f>
        <v>3848980803.1642323</v>
      </c>
      <c r="AH801" s="246">
        <f>IFERROR(VLOOKUP(F801,PROGRAMAS[],3,FALSE),0)</f>
        <v>3394901471.387517</v>
      </c>
      <c r="AI801" s="246">
        <f>IFERROR(VLOOKUP(G801,PROGRAMAS[],3,FALSE),0)</f>
        <v>1233505101.0616004</v>
      </c>
      <c r="AJ801" s="246">
        <f>IFERROR(VLOOKUP(H801,PROGRAMAS[],3,FALSE),0)</f>
        <v>6129902208.7912121</v>
      </c>
      <c r="AK801" s="246">
        <f>IFERROR(VLOOKUP(I801,PROGRAMAS[],3,FALSE),0)</f>
        <v>4099471734.9978786</v>
      </c>
      <c r="AL801" s="246">
        <f>IFERROR(VLOOKUP(J801,PROGRAMAS[],3,FALSE),0)</f>
        <v>2392571243.5584412</v>
      </c>
      <c r="AM801" s="246">
        <f>IFERROR(VLOOKUP(K801,PROGRAMAS[],3,FALSE),0)</f>
        <v>2406564599.0319901</v>
      </c>
      <c r="AN801" s="246">
        <f>IFERROR(VLOOKUP(L801,PROGRAMAS[],3,FALSE),0)</f>
        <v>0</v>
      </c>
      <c r="AO801" s="246">
        <f>IFERROR(VLOOKUP(M801,PROGRAMAS[],3,FALSE),0)</f>
        <v>0</v>
      </c>
      <c r="AP801" s="246">
        <f>IFERROR(VLOOKUP(N801,PROGRAMAS[],3,FALSE),0)</f>
        <v>0</v>
      </c>
      <c r="AQ801" s="246">
        <f>IFERROR(VLOOKUP(O801,PROGRAMAS[],3,FALSE),0)</f>
        <v>0</v>
      </c>
      <c r="AR801" s="246">
        <f>IFERROR(VLOOKUP(P801,PROGRAMAS[],3,FALSE),0)</f>
        <v>0</v>
      </c>
      <c r="AS801" s="246">
        <f>IFERROR(VLOOKUP(Q801,PROGRAMAS[],3,FALSE),0)</f>
        <v>0</v>
      </c>
      <c r="AT801" s="246">
        <f>IFERROR(VLOOKUP(D801,VOL_REC[],2,FALSE),0)</f>
        <v>0</v>
      </c>
      <c r="AU801" s="246">
        <f>IFERROR(VLOOKUP(E801,VOL_REC[],2,FALSE),0)</f>
        <v>0</v>
      </c>
      <c r="AV801" s="246">
        <f>IFERROR(VLOOKUP(F801,VOL_REC[],2,FALSE),0)</f>
        <v>11089674.200000001</v>
      </c>
      <c r="AW801" s="246">
        <f>IFERROR(VLOOKUP(G801,VOL_REC[],2,FALSE),0)</f>
        <v>4325103.1812214684</v>
      </c>
      <c r="AX801" s="246">
        <f>IFERROR(VLOOKUP(H801,VOL_REC[],2,FALSE),0)</f>
        <v>15540036.397699751</v>
      </c>
      <c r="AY801" s="246">
        <f>IFERROR(VLOOKUP(I801,VOL_REC[],2,FALSE),0)</f>
        <v>1812240</v>
      </c>
      <c r="AZ801" s="246">
        <f>IFERROR(VLOOKUP(J801,VOL_REC[],2,FALSE),0)</f>
        <v>663244.80000000016</v>
      </c>
      <c r="BA801" s="246">
        <f>IFERROR(VLOOKUP(K801,VOL_REC[],2,FALSE),0)</f>
        <v>1072354.9981737854</v>
      </c>
      <c r="BB801" s="246">
        <f>IFERROR(VLOOKUP(L801,VOL_REC[],2,FALSE),0)</f>
        <v>0</v>
      </c>
      <c r="BC801" s="246">
        <f>IFERROR(VLOOKUP(M801,VOL_REC[],2,FALSE),0)</f>
        <v>0</v>
      </c>
      <c r="BD801" s="246">
        <f>IFERROR(VLOOKUP(N801,VOL_REC[],2,FALSE),0)</f>
        <v>0</v>
      </c>
      <c r="BE801" s="246">
        <f>IFERROR(VLOOKUP(O801,VOL_REC[],2,FALSE),0)</f>
        <v>0</v>
      </c>
      <c r="BF801" s="246">
        <f>IFERROR(VLOOKUP(P801,VOL_REC[],2,FALSE),0)</f>
        <v>0</v>
      </c>
      <c r="BG801" s="246">
        <f>IFERROR(VLOOKUP(Q801,VOL_REC[],2,FALSE),0)</f>
        <v>0</v>
      </c>
      <c r="BH801" s="1710">
        <f t="shared" si="48"/>
        <v>27628808106.990883</v>
      </c>
      <c r="BI801" s="1710">
        <f t="shared" si="49"/>
        <v>24347785791.303673</v>
      </c>
      <c r="BJ801" s="1711">
        <f t="shared" si="50"/>
        <v>34502653.577095009</v>
      </c>
      <c r="BK801" s="1711">
        <f t="shared" si="51"/>
        <v>1.1347564967020163</v>
      </c>
      <c r="BL801">
        <f>BJ801</f>
        <v>34502653.577095009</v>
      </c>
      <c r="BO801">
        <f>BL801</f>
        <v>34502653.577095009</v>
      </c>
    </row>
    <row r="802" spans="3:67" x14ac:dyDescent="0.25">
      <c r="C802" s="246" t="s">
        <v>2152</v>
      </c>
      <c r="D802" s="246">
        <v>1</v>
      </c>
      <c r="E802" s="246">
        <v>2</v>
      </c>
      <c r="F802" s="246">
        <v>3</v>
      </c>
      <c r="G802" s="246">
        <v>5</v>
      </c>
      <c r="H802" s="246">
        <v>6</v>
      </c>
      <c r="I802" s="246">
        <v>10</v>
      </c>
      <c r="J802" s="246">
        <v>13</v>
      </c>
      <c r="K802" s="246">
        <v>17</v>
      </c>
      <c r="L802" s="246"/>
      <c r="M802" s="246"/>
      <c r="N802" s="246"/>
      <c r="O802" s="246"/>
      <c r="P802" s="246"/>
      <c r="Q802" s="246"/>
      <c r="R802" s="246">
        <f>IFERROR(VLOOKUP(D802,PROGRAMAS[],2,FALSE),0)</f>
        <v>97037803.679377079</v>
      </c>
      <c r="S802" s="246">
        <f>IFERROR(VLOOKUP(E802,PROGRAMAS[],2,FALSE),0)</f>
        <v>640501509.6821388</v>
      </c>
      <c r="T802" s="246">
        <f>IFERROR(VLOOKUP(F802,PROGRAMAS[],2,FALSE),0)</f>
        <v>3062327798.1525245</v>
      </c>
      <c r="U802" s="246">
        <f>IFERROR(VLOOKUP(G802,PROGRAMAS[],2,FALSE),0)</f>
        <v>1440941976.2528784</v>
      </c>
      <c r="V802" s="246">
        <f>IFERROR(VLOOKUP(H802,PROGRAMAS[],2,FALSE),0)</f>
        <v>6907648435.8447599</v>
      </c>
      <c r="W802" s="246">
        <f>IFERROR(VLOOKUP(I802,PROGRAMAS[],2,FALSE),0)</f>
        <v>4635315027.8751087</v>
      </c>
      <c r="X802" s="246">
        <f>IFERROR(VLOOKUP(J802,PROGRAMAS[],2,FALSE),0)</f>
        <v>3776538594.4604583</v>
      </c>
      <c r="Y802" s="246">
        <f>IFERROR(VLOOKUP(K802,PROGRAMAS[],2,FALSE),0)</f>
        <v>1892779498.5211046</v>
      </c>
      <c r="Z802" s="246">
        <f>IFERROR(VLOOKUP(L802,PROGRAMAS[],2,FALSE),0)</f>
        <v>0</v>
      </c>
      <c r="AA802" s="246">
        <f>IFERROR(VLOOKUP(M802,PROGRAMAS[],2,FALSE),0)</f>
        <v>0</v>
      </c>
      <c r="AB802" s="246">
        <f>IFERROR(VLOOKUP(N802,PROGRAMAS[],2,FALSE),0)</f>
        <v>0</v>
      </c>
      <c r="AC802" s="246">
        <f>IFERROR(VLOOKUP(O802,PROGRAMAS[],2,FALSE),0)</f>
        <v>0</v>
      </c>
      <c r="AD802" s="246">
        <f>IFERROR(VLOOKUP(P802,PROGRAMAS[],2,FALSE),0)</f>
        <v>0</v>
      </c>
      <c r="AE802" s="246">
        <f>IFERROR(VLOOKUP(Q802,PROGRAMAS[],2,FALSE),0)</f>
        <v>0</v>
      </c>
      <c r="AF802" s="246">
        <f>IFERROR(VLOOKUP(D802,PROGRAMAS[],3,FALSE),0)</f>
        <v>841888629.31080008</v>
      </c>
      <c r="AG802" s="246">
        <f>IFERROR(VLOOKUP(E802,PROGRAMAS[],3,FALSE),0)</f>
        <v>3848980803.1642323</v>
      </c>
      <c r="AH802" s="246">
        <f>IFERROR(VLOOKUP(F802,PROGRAMAS[],3,FALSE),0)</f>
        <v>3394901471.387517</v>
      </c>
      <c r="AI802" s="246">
        <f>IFERROR(VLOOKUP(G802,PROGRAMAS[],3,FALSE),0)</f>
        <v>1233505101.0616004</v>
      </c>
      <c r="AJ802" s="246">
        <f>IFERROR(VLOOKUP(H802,PROGRAMAS[],3,FALSE),0)</f>
        <v>6129902208.7912121</v>
      </c>
      <c r="AK802" s="246">
        <f>IFERROR(VLOOKUP(I802,PROGRAMAS[],3,FALSE),0)</f>
        <v>4099471734.9978786</v>
      </c>
      <c r="AL802" s="246">
        <f>IFERROR(VLOOKUP(J802,PROGRAMAS[],3,FALSE),0)</f>
        <v>2392571243.5584412</v>
      </c>
      <c r="AM802" s="246">
        <f>IFERROR(VLOOKUP(K802,PROGRAMAS[],3,FALSE),0)</f>
        <v>948595847.09039903</v>
      </c>
      <c r="AN802" s="246">
        <f>IFERROR(VLOOKUP(L802,PROGRAMAS[],3,FALSE),0)</f>
        <v>0</v>
      </c>
      <c r="AO802" s="246">
        <f>IFERROR(VLOOKUP(M802,PROGRAMAS[],3,FALSE),0)</f>
        <v>0</v>
      </c>
      <c r="AP802" s="246">
        <f>IFERROR(VLOOKUP(N802,PROGRAMAS[],3,FALSE),0)</f>
        <v>0</v>
      </c>
      <c r="AQ802" s="246">
        <f>IFERROR(VLOOKUP(O802,PROGRAMAS[],3,FALSE),0)</f>
        <v>0</v>
      </c>
      <c r="AR802" s="246">
        <f>IFERROR(VLOOKUP(P802,PROGRAMAS[],3,FALSE),0)</f>
        <v>0</v>
      </c>
      <c r="AS802" s="246">
        <f>IFERROR(VLOOKUP(Q802,PROGRAMAS[],3,FALSE),0)</f>
        <v>0</v>
      </c>
      <c r="AT802" s="246">
        <f>IFERROR(VLOOKUP(D802,VOL_REC[],2,FALSE),0)</f>
        <v>0</v>
      </c>
      <c r="AU802" s="246">
        <f>IFERROR(VLOOKUP(E802,VOL_REC[],2,FALSE),0)</f>
        <v>0</v>
      </c>
      <c r="AV802" s="246">
        <f>IFERROR(VLOOKUP(F802,VOL_REC[],2,FALSE),0)</f>
        <v>11089674.200000001</v>
      </c>
      <c r="AW802" s="246">
        <f>IFERROR(VLOOKUP(G802,VOL_REC[],2,FALSE),0)</f>
        <v>4325103.1812214684</v>
      </c>
      <c r="AX802" s="246">
        <f>IFERROR(VLOOKUP(H802,VOL_REC[],2,FALSE),0)</f>
        <v>15540036.397699751</v>
      </c>
      <c r="AY802" s="246">
        <f>IFERROR(VLOOKUP(I802,VOL_REC[],2,FALSE),0)</f>
        <v>1812240</v>
      </c>
      <c r="AZ802" s="246">
        <f>IFERROR(VLOOKUP(J802,VOL_REC[],2,FALSE),0)</f>
        <v>663244.80000000016</v>
      </c>
      <c r="BA802" s="246">
        <f>IFERROR(VLOOKUP(K802,VOL_REC[],2,FALSE),0)</f>
        <v>740113.98115702497</v>
      </c>
      <c r="BB802" s="246">
        <f>IFERROR(VLOOKUP(L802,VOL_REC[],2,FALSE),0)</f>
        <v>0</v>
      </c>
      <c r="BC802" s="246">
        <f>IFERROR(VLOOKUP(M802,VOL_REC[],2,FALSE),0)</f>
        <v>0</v>
      </c>
      <c r="BD802" s="246">
        <f>IFERROR(VLOOKUP(N802,VOL_REC[],2,FALSE),0)</f>
        <v>0</v>
      </c>
      <c r="BE802" s="246">
        <f>IFERROR(VLOOKUP(O802,VOL_REC[],2,FALSE),0)</f>
        <v>0</v>
      </c>
      <c r="BF802" s="246">
        <f>IFERROR(VLOOKUP(P802,VOL_REC[],2,FALSE),0)</f>
        <v>0</v>
      </c>
      <c r="BG802" s="246">
        <f>IFERROR(VLOOKUP(Q802,VOL_REC[],2,FALSE),0)</f>
        <v>0</v>
      </c>
      <c r="BH802" s="1710">
        <f t="shared" si="48"/>
        <v>22453090644.468349</v>
      </c>
      <c r="BI802" s="1710">
        <f t="shared" si="49"/>
        <v>22889817039.362083</v>
      </c>
      <c r="BJ802" s="1711">
        <f t="shared" si="50"/>
        <v>34170412.560078248</v>
      </c>
      <c r="BK802" s="1711">
        <f t="shared" si="51"/>
        <v>0.98092049429042072</v>
      </c>
    </row>
    <row r="803" spans="3:67" x14ac:dyDescent="0.25">
      <c r="C803" s="246" t="s">
        <v>2153</v>
      </c>
      <c r="D803" s="246">
        <v>1</v>
      </c>
      <c r="E803" s="246">
        <v>2</v>
      </c>
      <c r="F803" s="246">
        <v>3</v>
      </c>
      <c r="G803" s="246">
        <v>5</v>
      </c>
      <c r="H803" s="246">
        <v>6</v>
      </c>
      <c r="I803" s="246">
        <v>10</v>
      </c>
      <c r="J803" s="246">
        <v>14</v>
      </c>
      <c r="K803" s="246">
        <v>15</v>
      </c>
      <c r="L803" s="246"/>
      <c r="M803" s="246"/>
      <c r="N803" s="246"/>
      <c r="O803" s="246"/>
      <c r="P803" s="246"/>
      <c r="Q803" s="246"/>
      <c r="R803" s="246">
        <f>IFERROR(VLOOKUP(D803,PROGRAMAS[],2,FALSE),0)</f>
        <v>97037803.679377079</v>
      </c>
      <c r="S803" s="246">
        <f>IFERROR(VLOOKUP(E803,PROGRAMAS[],2,FALSE),0)</f>
        <v>640501509.6821388</v>
      </c>
      <c r="T803" s="246">
        <f>IFERROR(VLOOKUP(F803,PROGRAMAS[],2,FALSE),0)</f>
        <v>3062327798.1525245</v>
      </c>
      <c r="U803" s="246">
        <f>IFERROR(VLOOKUP(G803,PROGRAMAS[],2,FALSE),0)</f>
        <v>1440941976.2528784</v>
      </c>
      <c r="V803" s="246">
        <f>IFERROR(VLOOKUP(H803,PROGRAMAS[],2,FALSE),0)</f>
        <v>6907648435.8447599</v>
      </c>
      <c r="W803" s="246">
        <f>IFERROR(VLOOKUP(I803,PROGRAMAS[],2,FALSE),0)</f>
        <v>4635315027.8751087</v>
      </c>
      <c r="X803" s="246">
        <f>IFERROR(VLOOKUP(J803,PROGRAMAS[],2,FALSE),0)</f>
        <v>54223862.645839565</v>
      </c>
      <c r="Y803" s="246">
        <f>IFERROR(VLOOKUP(K803,PROGRAMAS[],2,FALSE),0)</f>
        <v>122159672.96346797</v>
      </c>
      <c r="Z803" s="246">
        <f>IFERROR(VLOOKUP(L803,PROGRAMAS[],2,FALSE),0)</f>
        <v>0</v>
      </c>
      <c r="AA803" s="246">
        <f>IFERROR(VLOOKUP(M803,PROGRAMAS[],2,FALSE),0)</f>
        <v>0</v>
      </c>
      <c r="AB803" s="246">
        <f>IFERROR(VLOOKUP(N803,PROGRAMAS[],2,FALSE),0)</f>
        <v>0</v>
      </c>
      <c r="AC803" s="246">
        <f>IFERROR(VLOOKUP(O803,PROGRAMAS[],2,FALSE),0)</f>
        <v>0</v>
      </c>
      <c r="AD803" s="246">
        <f>IFERROR(VLOOKUP(P803,PROGRAMAS[],2,FALSE),0)</f>
        <v>0</v>
      </c>
      <c r="AE803" s="246">
        <f>IFERROR(VLOOKUP(Q803,PROGRAMAS[],2,FALSE),0)</f>
        <v>0</v>
      </c>
      <c r="AF803" s="246">
        <f>IFERROR(VLOOKUP(D803,PROGRAMAS[],3,FALSE),0)</f>
        <v>841888629.31080008</v>
      </c>
      <c r="AG803" s="246">
        <f>IFERROR(VLOOKUP(E803,PROGRAMAS[],3,FALSE),0)</f>
        <v>3848980803.1642323</v>
      </c>
      <c r="AH803" s="246">
        <f>IFERROR(VLOOKUP(F803,PROGRAMAS[],3,FALSE),0)</f>
        <v>3394901471.387517</v>
      </c>
      <c r="AI803" s="246">
        <f>IFERROR(VLOOKUP(G803,PROGRAMAS[],3,FALSE),0)</f>
        <v>1233505101.0616004</v>
      </c>
      <c r="AJ803" s="246">
        <f>IFERROR(VLOOKUP(H803,PROGRAMAS[],3,FALSE),0)</f>
        <v>6129902208.7912121</v>
      </c>
      <c r="AK803" s="246">
        <f>IFERROR(VLOOKUP(I803,PROGRAMAS[],3,FALSE),0)</f>
        <v>4099471734.9978786</v>
      </c>
      <c r="AL803" s="246">
        <f>IFERROR(VLOOKUP(J803,PROGRAMAS[],3,FALSE),0)</f>
        <v>31865326.38096505</v>
      </c>
      <c r="AM803" s="246">
        <f>IFERROR(VLOOKUP(K803,PROGRAMAS[],3,FALSE),0)</f>
        <v>118617452.52510804</v>
      </c>
      <c r="AN803" s="246">
        <f>IFERROR(VLOOKUP(L803,PROGRAMAS[],3,FALSE),0)</f>
        <v>0</v>
      </c>
      <c r="AO803" s="246">
        <f>IFERROR(VLOOKUP(M803,PROGRAMAS[],3,FALSE),0)</f>
        <v>0</v>
      </c>
      <c r="AP803" s="246">
        <f>IFERROR(VLOOKUP(N803,PROGRAMAS[],3,FALSE),0)</f>
        <v>0</v>
      </c>
      <c r="AQ803" s="246">
        <f>IFERROR(VLOOKUP(O803,PROGRAMAS[],3,FALSE),0)</f>
        <v>0</v>
      </c>
      <c r="AR803" s="246">
        <f>IFERROR(VLOOKUP(P803,PROGRAMAS[],3,FALSE),0)</f>
        <v>0</v>
      </c>
      <c r="AS803" s="246">
        <f>IFERROR(VLOOKUP(Q803,PROGRAMAS[],3,FALSE),0)</f>
        <v>0</v>
      </c>
      <c r="AT803" s="246">
        <f>IFERROR(VLOOKUP(D803,VOL_REC[],2,FALSE),0)</f>
        <v>0</v>
      </c>
      <c r="AU803" s="246">
        <f>IFERROR(VLOOKUP(E803,VOL_REC[],2,FALSE),0)</f>
        <v>0</v>
      </c>
      <c r="AV803" s="246">
        <f>IFERROR(VLOOKUP(F803,VOL_REC[],2,FALSE),0)</f>
        <v>11089674.200000001</v>
      </c>
      <c r="AW803" s="246">
        <f>IFERROR(VLOOKUP(G803,VOL_REC[],2,FALSE),0)</f>
        <v>4325103.1812214684</v>
      </c>
      <c r="AX803" s="246">
        <f>IFERROR(VLOOKUP(H803,VOL_REC[],2,FALSE),0)</f>
        <v>15540036.397699751</v>
      </c>
      <c r="AY803" s="246">
        <f>IFERROR(VLOOKUP(I803,VOL_REC[],2,FALSE),0)</f>
        <v>1812240</v>
      </c>
      <c r="AZ803" s="246">
        <f>IFERROR(VLOOKUP(J803,VOL_REC[],2,FALSE),0)</f>
        <v>17074.045034105649</v>
      </c>
      <c r="BA803" s="246">
        <f>IFERROR(VLOOKUP(K803,VOL_REC[],2,FALSE),0)</f>
        <v>105072</v>
      </c>
      <c r="BB803" s="246">
        <f>IFERROR(VLOOKUP(L803,VOL_REC[],2,FALSE),0)</f>
        <v>0</v>
      </c>
      <c r="BC803" s="246">
        <f>IFERROR(VLOOKUP(M803,VOL_REC[],2,FALSE),0)</f>
        <v>0</v>
      </c>
      <c r="BD803" s="246">
        <f>IFERROR(VLOOKUP(N803,VOL_REC[],2,FALSE),0)</f>
        <v>0</v>
      </c>
      <c r="BE803" s="246">
        <f>IFERROR(VLOOKUP(O803,VOL_REC[],2,FALSE),0)</f>
        <v>0</v>
      </c>
      <c r="BF803" s="246">
        <f>IFERROR(VLOOKUP(P803,VOL_REC[],2,FALSE),0)</f>
        <v>0</v>
      </c>
      <c r="BG803" s="246">
        <f>IFERROR(VLOOKUP(Q803,VOL_REC[],2,FALSE),0)</f>
        <v>0</v>
      </c>
      <c r="BH803" s="1710">
        <f t="shared" si="48"/>
        <v>16960156087.096096</v>
      </c>
      <c r="BI803" s="1710">
        <f t="shared" si="49"/>
        <v>19699132727.619316</v>
      </c>
      <c r="BJ803" s="1711">
        <f t="shared" si="50"/>
        <v>32889199.823955327</v>
      </c>
      <c r="BK803" s="1711">
        <f t="shared" si="51"/>
        <v>0.86095953165069961</v>
      </c>
    </row>
    <row r="804" spans="3:67" x14ac:dyDescent="0.25">
      <c r="C804" s="246" t="s">
        <v>2154</v>
      </c>
      <c r="D804" s="246">
        <v>1</v>
      </c>
      <c r="E804" s="246">
        <v>2</v>
      </c>
      <c r="F804" s="246">
        <v>3</v>
      </c>
      <c r="G804" s="246">
        <v>5</v>
      </c>
      <c r="H804" s="246">
        <v>6</v>
      </c>
      <c r="I804" s="246">
        <v>10</v>
      </c>
      <c r="J804" s="246">
        <v>14</v>
      </c>
      <c r="K804" s="246">
        <v>16</v>
      </c>
      <c r="L804" s="246"/>
      <c r="M804" s="246"/>
      <c r="N804" s="246"/>
      <c r="O804" s="246"/>
      <c r="P804" s="246"/>
      <c r="Q804" s="246"/>
      <c r="R804" s="246">
        <f>IFERROR(VLOOKUP(D804,PROGRAMAS[],2,FALSE),0)</f>
        <v>97037803.679377079</v>
      </c>
      <c r="S804" s="246">
        <f>IFERROR(VLOOKUP(E804,PROGRAMAS[],2,FALSE),0)</f>
        <v>640501509.6821388</v>
      </c>
      <c r="T804" s="246">
        <f>IFERROR(VLOOKUP(F804,PROGRAMAS[],2,FALSE),0)</f>
        <v>3062327798.1525245</v>
      </c>
      <c r="U804" s="246">
        <f>IFERROR(VLOOKUP(G804,PROGRAMAS[],2,FALSE),0)</f>
        <v>1440941976.2528784</v>
      </c>
      <c r="V804" s="246">
        <f>IFERROR(VLOOKUP(H804,PROGRAMAS[],2,FALSE),0)</f>
        <v>6907648435.8447599</v>
      </c>
      <c r="W804" s="246">
        <f>IFERROR(VLOOKUP(I804,PROGRAMAS[],2,FALSE),0)</f>
        <v>4635315027.8751087</v>
      </c>
      <c r="X804" s="246">
        <f>IFERROR(VLOOKUP(J804,PROGRAMAS[],2,FALSE),0)</f>
        <v>54223862.645839565</v>
      </c>
      <c r="Y804" s="246">
        <f>IFERROR(VLOOKUP(K804,PROGRAMAS[],2,FALSE),0)</f>
        <v>7068496961.0436354</v>
      </c>
      <c r="Z804" s="246">
        <f>IFERROR(VLOOKUP(L804,PROGRAMAS[],2,FALSE),0)</f>
        <v>0</v>
      </c>
      <c r="AA804" s="246">
        <f>IFERROR(VLOOKUP(M804,PROGRAMAS[],2,FALSE),0)</f>
        <v>0</v>
      </c>
      <c r="AB804" s="246">
        <f>IFERROR(VLOOKUP(N804,PROGRAMAS[],2,FALSE),0)</f>
        <v>0</v>
      </c>
      <c r="AC804" s="246">
        <f>IFERROR(VLOOKUP(O804,PROGRAMAS[],2,FALSE),0)</f>
        <v>0</v>
      </c>
      <c r="AD804" s="246">
        <f>IFERROR(VLOOKUP(P804,PROGRAMAS[],2,FALSE),0)</f>
        <v>0</v>
      </c>
      <c r="AE804" s="246">
        <f>IFERROR(VLOOKUP(Q804,PROGRAMAS[],2,FALSE),0)</f>
        <v>0</v>
      </c>
      <c r="AF804" s="246">
        <f>IFERROR(VLOOKUP(D804,PROGRAMAS[],3,FALSE),0)</f>
        <v>841888629.31080008</v>
      </c>
      <c r="AG804" s="246">
        <f>IFERROR(VLOOKUP(E804,PROGRAMAS[],3,FALSE),0)</f>
        <v>3848980803.1642323</v>
      </c>
      <c r="AH804" s="246">
        <f>IFERROR(VLOOKUP(F804,PROGRAMAS[],3,FALSE),0)</f>
        <v>3394901471.387517</v>
      </c>
      <c r="AI804" s="246">
        <f>IFERROR(VLOOKUP(G804,PROGRAMAS[],3,FALSE),0)</f>
        <v>1233505101.0616004</v>
      </c>
      <c r="AJ804" s="246">
        <f>IFERROR(VLOOKUP(H804,PROGRAMAS[],3,FALSE),0)</f>
        <v>6129902208.7912121</v>
      </c>
      <c r="AK804" s="246">
        <f>IFERROR(VLOOKUP(I804,PROGRAMAS[],3,FALSE),0)</f>
        <v>4099471734.9978786</v>
      </c>
      <c r="AL804" s="246">
        <f>IFERROR(VLOOKUP(J804,PROGRAMAS[],3,FALSE),0)</f>
        <v>31865326.38096505</v>
      </c>
      <c r="AM804" s="246">
        <f>IFERROR(VLOOKUP(K804,PROGRAMAS[],3,FALSE),0)</f>
        <v>2406564599.0319901</v>
      </c>
      <c r="AN804" s="246">
        <f>IFERROR(VLOOKUP(L804,PROGRAMAS[],3,FALSE),0)</f>
        <v>0</v>
      </c>
      <c r="AO804" s="246">
        <f>IFERROR(VLOOKUP(M804,PROGRAMAS[],3,FALSE),0)</f>
        <v>0</v>
      </c>
      <c r="AP804" s="246">
        <f>IFERROR(VLOOKUP(N804,PROGRAMAS[],3,FALSE),0)</f>
        <v>0</v>
      </c>
      <c r="AQ804" s="246">
        <f>IFERROR(VLOOKUP(O804,PROGRAMAS[],3,FALSE),0)</f>
        <v>0</v>
      </c>
      <c r="AR804" s="246">
        <f>IFERROR(VLOOKUP(P804,PROGRAMAS[],3,FALSE),0)</f>
        <v>0</v>
      </c>
      <c r="AS804" s="246">
        <f>IFERROR(VLOOKUP(Q804,PROGRAMAS[],3,FALSE),0)</f>
        <v>0</v>
      </c>
      <c r="AT804" s="246">
        <f>IFERROR(VLOOKUP(D804,VOL_REC[],2,FALSE),0)</f>
        <v>0</v>
      </c>
      <c r="AU804" s="246">
        <f>IFERROR(VLOOKUP(E804,VOL_REC[],2,FALSE),0)</f>
        <v>0</v>
      </c>
      <c r="AV804" s="246">
        <f>IFERROR(VLOOKUP(F804,VOL_REC[],2,FALSE),0)</f>
        <v>11089674.200000001</v>
      </c>
      <c r="AW804" s="246">
        <f>IFERROR(VLOOKUP(G804,VOL_REC[],2,FALSE),0)</f>
        <v>4325103.1812214684</v>
      </c>
      <c r="AX804" s="246">
        <f>IFERROR(VLOOKUP(H804,VOL_REC[],2,FALSE),0)</f>
        <v>15540036.397699751</v>
      </c>
      <c r="AY804" s="246">
        <f>IFERROR(VLOOKUP(I804,VOL_REC[],2,FALSE),0)</f>
        <v>1812240</v>
      </c>
      <c r="AZ804" s="246">
        <f>IFERROR(VLOOKUP(J804,VOL_REC[],2,FALSE),0)</f>
        <v>17074.045034105649</v>
      </c>
      <c r="BA804" s="246">
        <f>IFERROR(VLOOKUP(K804,VOL_REC[],2,FALSE),0)</f>
        <v>1072354.9981737854</v>
      </c>
      <c r="BB804" s="246">
        <f>IFERROR(VLOOKUP(L804,VOL_REC[],2,FALSE),0)</f>
        <v>0</v>
      </c>
      <c r="BC804" s="246">
        <f>IFERROR(VLOOKUP(M804,VOL_REC[],2,FALSE),0)</f>
        <v>0</v>
      </c>
      <c r="BD804" s="246">
        <f>IFERROR(VLOOKUP(N804,VOL_REC[],2,FALSE),0)</f>
        <v>0</v>
      </c>
      <c r="BE804" s="246">
        <f>IFERROR(VLOOKUP(O804,VOL_REC[],2,FALSE),0)</f>
        <v>0</v>
      </c>
      <c r="BF804" s="246">
        <f>IFERROR(VLOOKUP(P804,VOL_REC[],2,FALSE),0)</f>
        <v>0</v>
      </c>
      <c r="BG804" s="246">
        <f>IFERROR(VLOOKUP(Q804,VOL_REC[],2,FALSE),0)</f>
        <v>0</v>
      </c>
      <c r="BH804" s="1710">
        <f t="shared" si="48"/>
        <v>23906493375.176262</v>
      </c>
      <c r="BI804" s="1710">
        <f t="shared" si="49"/>
        <v>21987079874.126198</v>
      </c>
      <c r="BJ804" s="1711">
        <f t="shared" si="50"/>
        <v>33856482.822129115</v>
      </c>
      <c r="BK804" s="1711">
        <f t="shared" si="51"/>
        <v>1.0872973360736629</v>
      </c>
      <c r="BL804">
        <f>BJ804</f>
        <v>33856482.822129115</v>
      </c>
      <c r="BO804">
        <f>BL804</f>
        <v>33856482.822129115</v>
      </c>
    </row>
    <row r="805" spans="3:67" x14ac:dyDescent="0.25">
      <c r="C805" s="246" t="s">
        <v>2155</v>
      </c>
      <c r="D805" s="246">
        <v>1</v>
      </c>
      <c r="E805" s="246">
        <v>2</v>
      </c>
      <c r="F805" s="246">
        <v>3</v>
      </c>
      <c r="G805" s="246">
        <v>5</v>
      </c>
      <c r="H805" s="246">
        <v>6</v>
      </c>
      <c r="I805" s="246">
        <v>10</v>
      </c>
      <c r="J805" s="246">
        <v>14</v>
      </c>
      <c r="K805" s="246">
        <v>17</v>
      </c>
      <c r="L805" s="246"/>
      <c r="M805" s="246"/>
      <c r="N805" s="246"/>
      <c r="O805" s="246"/>
      <c r="P805" s="246"/>
      <c r="Q805" s="246"/>
      <c r="R805" s="246">
        <f>IFERROR(VLOOKUP(D805,PROGRAMAS[],2,FALSE),0)</f>
        <v>97037803.679377079</v>
      </c>
      <c r="S805" s="246">
        <f>IFERROR(VLOOKUP(E805,PROGRAMAS[],2,FALSE),0)</f>
        <v>640501509.6821388</v>
      </c>
      <c r="T805" s="246">
        <f>IFERROR(VLOOKUP(F805,PROGRAMAS[],2,FALSE),0)</f>
        <v>3062327798.1525245</v>
      </c>
      <c r="U805" s="246">
        <f>IFERROR(VLOOKUP(G805,PROGRAMAS[],2,FALSE),0)</f>
        <v>1440941976.2528784</v>
      </c>
      <c r="V805" s="246">
        <f>IFERROR(VLOOKUP(H805,PROGRAMAS[],2,FALSE),0)</f>
        <v>6907648435.8447599</v>
      </c>
      <c r="W805" s="246">
        <f>IFERROR(VLOOKUP(I805,PROGRAMAS[],2,FALSE),0)</f>
        <v>4635315027.8751087</v>
      </c>
      <c r="X805" s="246">
        <f>IFERROR(VLOOKUP(J805,PROGRAMAS[],2,FALSE),0)</f>
        <v>54223862.645839565</v>
      </c>
      <c r="Y805" s="246">
        <f>IFERROR(VLOOKUP(K805,PROGRAMAS[],2,FALSE),0)</f>
        <v>1892779498.5211046</v>
      </c>
      <c r="Z805" s="246">
        <f>IFERROR(VLOOKUP(L805,PROGRAMAS[],2,FALSE),0)</f>
        <v>0</v>
      </c>
      <c r="AA805" s="246">
        <f>IFERROR(VLOOKUP(M805,PROGRAMAS[],2,FALSE),0)</f>
        <v>0</v>
      </c>
      <c r="AB805" s="246">
        <f>IFERROR(VLOOKUP(N805,PROGRAMAS[],2,FALSE),0)</f>
        <v>0</v>
      </c>
      <c r="AC805" s="246">
        <f>IFERROR(VLOOKUP(O805,PROGRAMAS[],2,FALSE),0)</f>
        <v>0</v>
      </c>
      <c r="AD805" s="246">
        <f>IFERROR(VLOOKUP(P805,PROGRAMAS[],2,FALSE),0)</f>
        <v>0</v>
      </c>
      <c r="AE805" s="246">
        <f>IFERROR(VLOOKUP(Q805,PROGRAMAS[],2,FALSE),0)</f>
        <v>0</v>
      </c>
      <c r="AF805" s="246">
        <f>IFERROR(VLOOKUP(D805,PROGRAMAS[],3,FALSE),0)</f>
        <v>841888629.31080008</v>
      </c>
      <c r="AG805" s="246">
        <f>IFERROR(VLOOKUP(E805,PROGRAMAS[],3,FALSE),0)</f>
        <v>3848980803.1642323</v>
      </c>
      <c r="AH805" s="246">
        <f>IFERROR(VLOOKUP(F805,PROGRAMAS[],3,FALSE),0)</f>
        <v>3394901471.387517</v>
      </c>
      <c r="AI805" s="246">
        <f>IFERROR(VLOOKUP(G805,PROGRAMAS[],3,FALSE),0)</f>
        <v>1233505101.0616004</v>
      </c>
      <c r="AJ805" s="246">
        <f>IFERROR(VLOOKUP(H805,PROGRAMAS[],3,FALSE),0)</f>
        <v>6129902208.7912121</v>
      </c>
      <c r="AK805" s="246">
        <f>IFERROR(VLOOKUP(I805,PROGRAMAS[],3,FALSE),0)</f>
        <v>4099471734.9978786</v>
      </c>
      <c r="AL805" s="246">
        <f>IFERROR(VLOOKUP(J805,PROGRAMAS[],3,FALSE),0)</f>
        <v>31865326.38096505</v>
      </c>
      <c r="AM805" s="246">
        <f>IFERROR(VLOOKUP(K805,PROGRAMAS[],3,FALSE),0)</f>
        <v>948595847.09039903</v>
      </c>
      <c r="AN805" s="246">
        <f>IFERROR(VLOOKUP(L805,PROGRAMAS[],3,FALSE),0)</f>
        <v>0</v>
      </c>
      <c r="AO805" s="246">
        <f>IFERROR(VLOOKUP(M805,PROGRAMAS[],3,FALSE),0)</f>
        <v>0</v>
      </c>
      <c r="AP805" s="246">
        <f>IFERROR(VLOOKUP(N805,PROGRAMAS[],3,FALSE),0)</f>
        <v>0</v>
      </c>
      <c r="AQ805" s="246">
        <f>IFERROR(VLOOKUP(O805,PROGRAMAS[],3,FALSE),0)</f>
        <v>0</v>
      </c>
      <c r="AR805" s="246">
        <f>IFERROR(VLOOKUP(P805,PROGRAMAS[],3,FALSE),0)</f>
        <v>0</v>
      </c>
      <c r="AS805" s="246">
        <f>IFERROR(VLOOKUP(Q805,PROGRAMAS[],3,FALSE),0)</f>
        <v>0</v>
      </c>
      <c r="AT805" s="246">
        <f>IFERROR(VLOOKUP(D805,VOL_REC[],2,FALSE),0)</f>
        <v>0</v>
      </c>
      <c r="AU805" s="246">
        <f>IFERROR(VLOOKUP(E805,VOL_REC[],2,FALSE),0)</f>
        <v>0</v>
      </c>
      <c r="AV805" s="246">
        <f>IFERROR(VLOOKUP(F805,VOL_REC[],2,FALSE),0)</f>
        <v>11089674.200000001</v>
      </c>
      <c r="AW805" s="246">
        <f>IFERROR(VLOOKUP(G805,VOL_REC[],2,FALSE),0)</f>
        <v>4325103.1812214684</v>
      </c>
      <c r="AX805" s="246">
        <f>IFERROR(VLOOKUP(H805,VOL_REC[],2,FALSE),0)</f>
        <v>15540036.397699751</v>
      </c>
      <c r="AY805" s="246">
        <f>IFERROR(VLOOKUP(I805,VOL_REC[],2,FALSE),0)</f>
        <v>1812240</v>
      </c>
      <c r="AZ805" s="246">
        <f>IFERROR(VLOOKUP(J805,VOL_REC[],2,FALSE),0)</f>
        <v>17074.045034105649</v>
      </c>
      <c r="BA805" s="246">
        <f>IFERROR(VLOOKUP(K805,VOL_REC[],2,FALSE),0)</f>
        <v>740113.98115702497</v>
      </c>
      <c r="BB805" s="246">
        <f>IFERROR(VLOOKUP(L805,VOL_REC[],2,FALSE),0)</f>
        <v>0</v>
      </c>
      <c r="BC805" s="246">
        <f>IFERROR(VLOOKUP(M805,VOL_REC[],2,FALSE),0)</f>
        <v>0</v>
      </c>
      <c r="BD805" s="246">
        <f>IFERROR(VLOOKUP(N805,VOL_REC[],2,FALSE),0)</f>
        <v>0</v>
      </c>
      <c r="BE805" s="246">
        <f>IFERROR(VLOOKUP(O805,VOL_REC[],2,FALSE),0)</f>
        <v>0</v>
      </c>
      <c r="BF805" s="246">
        <f>IFERROR(VLOOKUP(P805,VOL_REC[],2,FALSE),0)</f>
        <v>0</v>
      </c>
      <c r="BG805" s="246">
        <f>IFERROR(VLOOKUP(Q805,VOL_REC[],2,FALSE),0)</f>
        <v>0</v>
      </c>
      <c r="BH805" s="1710">
        <f t="shared" si="48"/>
        <v>18730775912.653732</v>
      </c>
      <c r="BI805" s="1710">
        <f t="shared" si="49"/>
        <v>20529111122.184608</v>
      </c>
      <c r="BJ805" s="1711">
        <f t="shared" si="50"/>
        <v>33524241.805112351</v>
      </c>
      <c r="BK805" s="1711">
        <f t="shared" si="51"/>
        <v>0.9124007270052954</v>
      </c>
    </row>
    <row r="806" spans="3:67" x14ac:dyDescent="0.25">
      <c r="C806" s="246" t="s">
        <v>2156</v>
      </c>
      <c r="D806" s="246">
        <v>1</v>
      </c>
      <c r="E806" s="246">
        <v>2</v>
      </c>
      <c r="F806" s="246">
        <v>3</v>
      </c>
      <c r="G806" s="246">
        <v>5</v>
      </c>
      <c r="H806" s="246">
        <v>6</v>
      </c>
      <c r="I806" s="246">
        <v>10</v>
      </c>
      <c r="J806" s="246">
        <v>15</v>
      </c>
      <c r="K806" s="246">
        <v>16</v>
      </c>
      <c r="L806" s="246"/>
      <c r="M806" s="246"/>
      <c r="N806" s="246"/>
      <c r="O806" s="246"/>
      <c r="P806" s="246"/>
      <c r="Q806" s="246"/>
      <c r="R806" s="246">
        <f>IFERROR(VLOOKUP(D806,PROGRAMAS[],2,FALSE),0)</f>
        <v>97037803.679377079</v>
      </c>
      <c r="S806" s="246">
        <f>IFERROR(VLOOKUP(E806,PROGRAMAS[],2,FALSE),0)</f>
        <v>640501509.6821388</v>
      </c>
      <c r="T806" s="246">
        <f>IFERROR(VLOOKUP(F806,PROGRAMAS[],2,FALSE),0)</f>
        <v>3062327798.1525245</v>
      </c>
      <c r="U806" s="246">
        <f>IFERROR(VLOOKUP(G806,PROGRAMAS[],2,FALSE),0)</f>
        <v>1440941976.2528784</v>
      </c>
      <c r="V806" s="246">
        <f>IFERROR(VLOOKUP(H806,PROGRAMAS[],2,FALSE),0)</f>
        <v>6907648435.8447599</v>
      </c>
      <c r="W806" s="246">
        <f>IFERROR(VLOOKUP(I806,PROGRAMAS[],2,FALSE),0)</f>
        <v>4635315027.8751087</v>
      </c>
      <c r="X806" s="246">
        <f>IFERROR(VLOOKUP(J806,PROGRAMAS[],2,FALSE),0)</f>
        <v>122159672.96346797</v>
      </c>
      <c r="Y806" s="246">
        <f>IFERROR(VLOOKUP(K806,PROGRAMAS[],2,FALSE),0)</f>
        <v>7068496961.0436354</v>
      </c>
      <c r="Z806" s="246">
        <f>IFERROR(VLOOKUP(L806,PROGRAMAS[],2,FALSE),0)</f>
        <v>0</v>
      </c>
      <c r="AA806" s="246">
        <f>IFERROR(VLOOKUP(M806,PROGRAMAS[],2,FALSE),0)</f>
        <v>0</v>
      </c>
      <c r="AB806" s="246">
        <f>IFERROR(VLOOKUP(N806,PROGRAMAS[],2,FALSE),0)</f>
        <v>0</v>
      </c>
      <c r="AC806" s="246">
        <f>IFERROR(VLOOKUP(O806,PROGRAMAS[],2,FALSE),0)</f>
        <v>0</v>
      </c>
      <c r="AD806" s="246">
        <f>IFERROR(VLOOKUP(P806,PROGRAMAS[],2,FALSE),0)</f>
        <v>0</v>
      </c>
      <c r="AE806" s="246">
        <f>IFERROR(VLOOKUP(Q806,PROGRAMAS[],2,FALSE),0)</f>
        <v>0</v>
      </c>
      <c r="AF806" s="246">
        <f>IFERROR(VLOOKUP(D806,PROGRAMAS[],3,FALSE),0)</f>
        <v>841888629.31080008</v>
      </c>
      <c r="AG806" s="246">
        <f>IFERROR(VLOOKUP(E806,PROGRAMAS[],3,FALSE),0)</f>
        <v>3848980803.1642323</v>
      </c>
      <c r="AH806" s="246">
        <f>IFERROR(VLOOKUP(F806,PROGRAMAS[],3,FALSE),0)</f>
        <v>3394901471.387517</v>
      </c>
      <c r="AI806" s="246">
        <f>IFERROR(VLOOKUP(G806,PROGRAMAS[],3,FALSE),0)</f>
        <v>1233505101.0616004</v>
      </c>
      <c r="AJ806" s="246">
        <f>IFERROR(VLOOKUP(H806,PROGRAMAS[],3,FALSE),0)</f>
        <v>6129902208.7912121</v>
      </c>
      <c r="AK806" s="246">
        <f>IFERROR(VLOOKUP(I806,PROGRAMAS[],3,FALSE),0)</f>
        <v>4099471734.9978786</v>
      </c>
      <c r="AL806" s="246">
        <f>IFERROR(VLOOKUP(J806,PROGRAMAS[],3,FALSE),0)</f>
        <v>118617452.52510804</v>
      </c>
      <c r="AM806" s="246">
        <f>IFERROR(VLOOKUP(K806,PROGRAMAS[],3,FALSE),0)</f>
        <v>2406564599.0319901</v>
      </c>
      <c r="AN806" s="246">
        <f>IFERROR(VLOOKUP(L806,PROGRAMAS[],3,FALSE),0)</f>
        <v>0</v>
      </c>
      <c r="AO806" s="246">
        <f>IFERROR(VLOOKUP(M806,PROGRAMAS[],3,FALSE),0)</f>
        <v>0</v>
      </c>
      <c r="AP806" s="246">
        <f>IFERROR(VLOOKUP(N806,PROGRAMAS[],3,FALSE),0)</f>
        <v>0</v>
      </c>
      <c r="AQ806" s="246">
        <f>IFERROR(VLOOKUP(O806,PROGRAMAS[],3,FALSE),0)</f>
        <v>0</v>
      </c>
      <c r="AR806" s="246">
        <f>IFERROR(VLOOKUP(P806,PROGRAMAS[],3,FALSE),0)</f>
        <v>0</v>
      </c>
      <c r="AS806" s="246">
        <f>IFERROR(VLOOKUP(Q806,PROGRAMAS[],3,FALSE),0)</f>
        <v>0</v>
      </c>
      <c r="AT806" s="246">
        <f>IFERROR(VLOOKUP(D806,VOL_REC[],2,FALSE),0)</f>
        <v>0</v>
      </c>
      <c r="AU806" s="246">
        <f>IFERROR(VLOOKUP(E806,VOL_REC[],2,FALSE),0)</f>
        <v>0</v>
      </c>
      <c r="AV806" s="246">
        <f>IFERROR(VLOOKUP(F806,VOL_REC[],2,FALSE),0)</f>
        <v>11089674.200000001</v>
      </c>
      <c r="AW806" s="246">
        <f>IFERROR(VLOOKUP(G806,VOL_REC[],2,FALSE),0)</f>
        <v>4325103.1812214684</v>
      </c>
      <c r="AX806" s="246">
        <f>IFERROR(VLOOKUP(H806,VOL_REC[],2,FALSE),0)</f>
        <v>15540036.397699751</v>
      </c>
      <c r="AY806" s="246">
        <f>IFERROR(VLOOKUP(I806,VOL_REC[],2,FALSE),0)</f>
        <v>1812240</v>
      </c>
      <c r="AZ806" s="246">
        <f>IFERROR(VLOOKUP(J806,VOL_REC[],2,FALSE),0)</f>
        <v>105072</v>
      </c>
      <c r="BA806" s="246">
        <f>IFERROR(VLOOKUP(K806,VOL_REC[],2,FALSE),0)</f>
        <v>1072354.9981737854</v>
      </c>
      <c r="BB806" s="246">
        <f>IFERROR(VLOOKUP(L806,VOL_REC[],2,FALSE),0)</f>
        <v>0</v>
      </c>
      <c r="BC806" s="246">
        <f>IFERROR(VLOOKUP(M806,VOL_REC[],2,FALSE),0)</f>
        <v>0</v>
      </c>
      <c r="BD806" s="246">
        <f>IFERROR(VLOOKUP(N806,VOL_REC[],2,FALSE),0)</f>
        <v>0</v>
      </c>
      <c r="BE806" s="246">
        <f>IFERROR(VLOOKUP(O806,VOL_REC[],2,FALSE),0)</f>
        <v>0</v>
      </c>
      <c r="BF806" s="246">
        <f>IFERROR(VLOOKUP(P806,VOL_REC[],2,FALSE),0)</f>
        <v>0</v>
      </c>
      <c r="BG806" s="246">
        <f>IFERROR(VLOOKUP(Q806,VOL_REC[],2,FALSE),0)</f>
        <v>0</v>
      </c>
      <c r="BH806" s="1710">
        <f t="shared" si="48"/>
        <v>23974429185.493893</v>
      </c>
      <c r="BI806" s="1710">
        <f t="shared" si="49"/>
        <v>22073832000.27034</v>
      </c>
      <c r="BJ806" s="1711">
        <f t="shared" si="50"/>
        <v>33944480.777095005</v>
      </c>
      <c r="BK806" s="1711">
        <f t="shared" si="51"/>
        <v>1.0861018234260493</v>
      </c>
      <c r="BL806">
        <f>BJ806</f>
        <v>33944480.777095005</v>
      </c>
      <c r="BO806">
        <f>BL806</f>
        <v>33944480.777095005</v>
      </c>
    </row>
    <row r="807" spans="3:67" x14ac:dyDescent="0.25">
      <c r="C807" s="246" t="s">
        <v>2157</v>
      </c>
      <c r="D807" s="246">
        <v>1</v>
      </c>
      <c r="E807" s="246">
        <v>2</v>
      </c>
      <c r="F807" s="246">
        <v>3</v>
      </c>
      <c r="G807" s="246">
        <v>5</v>
      </c>
      <c r="H807" s="246">
        <v>6</v>
      </c>
      <c r="I807" s="246">
        <v>10</v>
      </c>
      <c r="J807" s="246">
        <v>15</v>
      </c>
      <c r="K807" s="246">
        <v>17</v>
      </c>
      <c r="L807" s="246"/>
      <c r="M807" s="246"/>
      <c r="N807" s="246"/>
      <c r="O807" s="246"/>
      <c r="P807" s="246"/>
      <c r="Q807" s="246"/>
      <c r="R807" s="246">
        <f>IFERROR(VLOOKUP(D807,PROGRAMAS[],2,FALSE),0)</f>
        <v>97037803.679377079</v>
      </c>
      <c r="S807" s="246">
        <f>IFERROR(VLOOKUP(E807,PROGRAMAS[],2,FALSE),0)</f>
        <v>640501509.6821388</v>
      </c>
      <c r="T807" s="246">
        <f>IFERROR(VLOOKUP(F807,PROGRAMAS[],2,FALSE),0)</f>
        <v>3062327798.1525245</v>
      </c>
      <c r="U807" s="246">
        <f>IFERROR(VLOOKUP(G807,PROGRAMAS[],2,FALSE),0)</f>
        <v>1440941976.2528784</v>
      </c>
      <c r="V807" s="246">
        <f>IFERROR(VLOOKUP(H807,PROGRAMAS[],2,FALSE),0)</f>
        <v>6907648435.8447599</v>
      </c>
      <c r="W807" s="246">
        <f>IFERROR(VLOOKUP(I807,PROGRAMAS[],2,FALSE),0)</f>
        <v>4635315027.8751087</v>
      </c>
      <c r="X807" s="246">
        <f>IFERROR(VLOOKUP(J807,PROGRAMAS[],2,FALSE),0)</f>
        <v>122159672.96346797</v>
      </c>
      <c r="Y807" s="246">
        <f>IFERROR(VLOOKUP(K807,PROGRAMAS[],2,FALSE),0)</f>
        <v>1892779498.5211046</v>
      </c>
      <c r="Z807" s="246">
        <f>IFERROR(VLOOKUP(L807,PROGRAMAS[],2,FALSE),0)</f>
        <v>0</v>
      </c>
      <c r="AA807" s="246">
        <f>IFERROR(VLOOKUP(M807,PROGRAMAS[],2,FALSE),0)</f>
        <v>0</v>
      </c>
      <c r="AB807" s="246">
        <f>IFERROR(VLOOKUP(N807,PROGRAMAS[],2,FALSE),0)</f>
        <v>0</v>
      </c>
      <c r="AC807" s="246">
        <f>IFERROR(VLOOKUP(O807,PROGRAMAS[],2,FALSE),0)</f>
        <v>0</v>
      </c>
      <c r="AD807" s="246">
        <f>IFERROR(VLOOKUP(P807,PROGRAMAS[],2,FALSE),0)</f>
        <v>0</v>
      </c>
      <c r="AE807" s="246">
        <f>IFERROR(VLOOKUP(Q807,PROGRAMAS[],2,FALSE),0)</f>
        <v>0</v>
      </c>
      <c r="AF807" s="246">
        <f>IFERROR(VLOOKUP(D807,PROGRAMAS[],3,FALSE),0)</f>
        <v>841888629.31080008</v>
      </c>
      <c r="AG807" s="246">
        <f>IFERROR(VLOOKUP(E807,PROGRAMAS[],3,FALSE),0)</f>
        <v>3848980803.1642323</v>
      </c>
      <c r="AH807" s="246">
        <f>IFERROR(VLOOKUP(F807,PROGRAMAS[],3,FALSE),0)</f>
        <v>3394901471.387517</v>
      </c>
      <c r="AI807" s="246">
        <f>IFERROR(VLOOKUP(G807,PROGRAMAS[],3,FALSE),0)</f>
        <v>1233505101.0616004</v>
      </c>
      <c r="AJ807" s="246">
        <f>IFERROR(VLOOKUP(H807,PROGRAMAS[],3,FALSE),0)</f>
        <v>6129902208.7912121</v>
      </c>
      <c r="AK807" s="246">
        <f>IFERROR(VLOOKUP(I807,PROGRAMAS[],3,FALSE),0)</f>
        <v>4099471734.9978786</v>
      </c>
      <c r="AL807" s="246">
        <f>IFERROR(VLOOKUP(J807,PROGRAMAS[],3,FALSE),0)</f>
        <v>118617452.52510804</v>
      </c>
      <c r="AM807" s="246">
        <f>IFERROR(VLOOKUP(K807,PROGRAMAS[],3,FALSE),0)</f>
        <v>948595847.09039903</v>
      </c>
      <c r="AN807" s="246">
        <f>IFERROR(VLOOKUP(L807,PROGRAMAS[],3,FALSE),0)</f>
        <v>0</v>
      </c>
      <c r="AO807" s="246">
        <f>IFERROR(VLOOKUP(M807,PROGRAMAS[],3,FALSE),0)</f>
        <v>0</v>
      </c>
      <c r="AP807" s="246">
        <f>IFERROR(VLOOKUP(N807,PROGRAMAS[],3,FALSE),0)</f>
        <v>0</v>
      </c>
      <c r="AQ807" s="246">
        <f>IFERROR(VLOOKUP(O807,PROGRAMAS[],3,FALSE),0)</f>
        <v>0</v>
      </c>
      <c r="AR807" s="246">
        <f>IFERROR(VLOOKUP(P807,PROGRAMAS[],3,FALSE),0)</f>
        <v>0</v>
      </c>
      <c r="AS807" s="246">
        <f>IFERROR(VLOOKUP(Q807,PROGRAMAS[],3,FALSE),0)</f>
        <v>0</v>
      </c>
      <c r="AT807" s="246">
        <f>IFERROR(VLOOKUP(D807,VOL_REC[],2,FALSE),0)</f>
        <v>0</v>
      </c>
      <c r="AU807" s="246">
        <f>IFERROR(VLOOKUP(E807,VOL_REC[],2,FALSE),0)</f>
        <v>0</v>
      </c>
      <c r="AV807" s="246">
        <f>IFERROR(VLOOKUP(F807,VOL_REC[],2,FALSE),0)</f>
        <v>11089674.200000001</v>
      </c>
      <c r="AW807" s="246">
        <f>IFERROR(VLOOKUP(G807,VOL_REC[],2,FALSE),0)</f>
        <v>4325103.1812214684</v>
      </c>
      <c r="AX807" s="246">
        <f>IFERROR(VLOOKUP(H807,VOL_REC[],2,FALSE),0)</f>
        <v>15540036.397699751</v>
      </c>
      <c r="AY807" s="246">
        <f>IFERROR(VLOOKUP(I807,VOL_REC[],2,FALSE),0)</f>
        <v>1812240</v>
      </c>
      <c r="AZ807" s="246">
        <f>IFERROR(VLOOKUP(J807,VOL_REC[],2,FALSE),0)</f>
        <v>105072</v>
      </c>
      <c r="BA807" s="246">
        <f>IFERROR(VLOOKUP(K807,VOL_REC[],2,FALSE),0)</f>
        <v>740113.98115702497</v>
      </c>
      <c r="BB807" s="246">
        <f>IFERROR(VLOOKUP(L807,VOL_REC[],2,FALSE),0)</f>
        <v>0</v>
      </c>
      <c r="BC807" s="246">
        <f>IFERROR(VLOOKUP(M807,VOL_REC[],2,FALSE),0)</f>
        <v>0</v>
      </c>
      <c r="BD807" s="246">
        <f>IFERROR(VLOOKUP(N807,VOL_REC[],2,FALSE),0)</f>
        <v>0</v>
      </c>
      <c r="BE807" s="246">
        <f>IFERROR(VLOOKUP(O807,VOL_REC[],2,FALSE),0)</f>
        <v>0</v>
      </c>
      <c r="BF807" s="246">
        <f>IFERROR(VLOOKUP(P807,VOL_REC[],2,FALSE),0)</f>
        <v>0</v>
      </c>
      <c r="BG807" s="246">
        <f>IFERROR(VLOOKUP(Q807,VOL_REC[],2,FALSE),0)</f>
        <v>0</v>
      </c>
      <c r="BH807" s="1710">
        <f t="shared" si="48"/>
        <v>18798711722.971359</v>
      </c>
      <c r="BI807" s="1710">
        <f t="shared" si="49"/>
        <v>20615863248.328751</v>
      </c>
      <c r="BJ807" s="1711">
        <f t="shared" si="50"/>
        <v>33612239.760078244</v>
      </c>
      <c r="BK807" s="1711">
        <f t="shared" si="51"/>
        <v>0.91185663663612526</v>
      </c>
    </row>
    <row r="808" spans="3:67" x14ac:dyDescent="0.25">
      <c r="C808" s="246" t="s">
        <v>2158</v>
      </c>
      <c r="D808" s="246">
        <v>1</v>
      </c>
      <c r="E808" s="246">
        <v>2</v>
      </c>
      <c r="F808" s="246">
        <v>3</v>
      </c>
      <c r="G808" s="246">
        <v>5</v>
      </c>
      <c r="H808" s="246">
        <v>6</v>
      </c>
      <c r="I808" s="246">
        <v>10</v>
      </c>
      <c r="J808" s="246">
        <v>16</v>
      </c>
      <c r="K808" s="246">
        <v>17</v>
      </c>
      <c r="L808" s="246"/>
      <c r="M808" s="246"/>
      <c r="N808" s="246"/>
      <c r="O808" s="246"/>
      <c r="P808" s="246"/>
      <c r="Q808" s="246"/>
      <c r="R808" s="246">
        <f>IFERROR(VLOOKUP(D808,PROGRAMAS[],2,FALSE),0)</f>
        <v>97037803.679377079</v>
      </c>
      <c r="S808" s="246">
        <f>IFERROR(VLOOKUP(E808,PROGRAMAS[],2,FALSE),0)</f>
        <v>640501509.6821388</v>
      </c>
      <c r="T808" s="246">
        <f>IFERROR(VLOOKUP(F808,PROGRAMAS[],2,FALSE),0)</f>
        <v>3062327798.1525245</v>
      </c>
      <c r="U808" s="246">
        <f>IFERROR(VLOOKUP(G808,PROGRAMAS[],2,FALSE),0)</f>
        <v>1440941976.2528784</v>
      </c>
      <c r="V808" s="246">
        <f>IFERROR(VLOOKUP(H808,PROGRAMAS[],2,FALSE),0)</f>
        <v>6907648435.8447599</v>
      </c>
      <c r="W808" s="246">
        <f>IFERROR(VLOOKUP(I808,PROGRAMAS[],2,FALSE),0)</f>
        <v>4635315027.8751087</v>
      </c>
      <c r="X808" s="246">
        <f>IFERROR(VLOOKUP(J808,PROGRAMAS[],2,FALSE),0)</f>
        <v>7068496961.0436354</v>
      </c>
      <c r="Y808" s="246">
        <f>IFERROR(VLOOKUP(K808,PROGRAMAS[],2,FALSE),0)</f>
        <v>1892779498.5211046</v>
      </c>
      <c r="Z808" s="246">
        <f>IFERROR(VLOOKUP(L808,PROGRAMAS[],2,FALSE),0)</f>
        <v>0</v>
      </c>
      <c r="AA808" s="246">
        <f>IFERROR(VLOOKUP(M808,PROGRAMAS[],2,FALSE),0)</f>
        <v>0</v>
      </c>
      <c r="AB808" s="246">
        <f>IFERROR(VLOOKUP(N808,PROGRAMAS[],2,FALSE),0)</f>
        <v>0</v>
      </c>
      <c r="AC808" s="246">
        <f>IFERROR(VLOOKUP(O808,PROGRAMAS[],2,FALSE),0)</f>
        <v>0</v>
      </c>
      <c r="AD808" s="246">
        <f>IFERROR(VLOOKUP(P808,PROGRAMAS[],2,FALSE),0)</f>
        <v>0</v>
      </c>
      <c r="AE808" s="246">
        <f>IFERROR(VLOOKUP(Q808,PROGRAMAS[],2,FALSE),0)</f>
        <v>0</v>
      </c>
      <c r="AF808" s="246">
        <f>IFERROR(VLOOKUP(D808,PROGRAMAS[],3,FALSE),0)</f>
        <v>841888629.31080008</v>
      </c>
      <c r="AG808" s="246">
        <f>IFERROR(VLOOKUP(E808,PROGRAMAS[],3,FALSE),0)</f>
        <v>3848980803.1642323</v>
      </c>
      <c r="AH808" s="246">
        <f>IFERROR(VLOOKUP(F808,PROGRAMAS[],3,FALSE),0)</f>
        <v>3394901471.387517</v>
      </c>
      <c r="AI808" s="246">
        <f>IFERROR(VLOOKUP(G808,PROGRAMAS[],3,FALSE),0)</f>
        <v>1233505101.0616004</v>
      </c>
      <c r="AJ808" s="246">
        <f>IFERROR(VLOOKUP(H808,PROGRAMAS[],3,FALSE),0)</f>
        <v>6129902208.7912121</v>
      </c>
      <c r="AK808" s="246">
        <f>IFERROR(VLOOKUP(I808,PROGRAMAS[],3,FALSE),0)</f>
        <v>4099471734.9978786</v>
      </c>
      <c r="AL808" s="246">
        <f>IFERROR(VLOOKUP(J808,PROGRAMAS[],3,FALSE),0)</f>
        <v>2406564599.0319901</v>
      </c>
      <c r="AM808" s="246">
        <f>IFERROR(VLOOKUP(K808,PROGRAMAS[],3,FALSE),0)</f>
        <v>948595847.09039903</v>
      </c>
      <c r="AN808" s="246">
        <f>IFERROR(VLOOKUP(L808,PROGRAMAS[],3,FALSE),0)</f>
        <v>0</v>
      </c>
      <c r="AO808" s="246">
        <f>IFERROR(VLOOKUP(M808,PROGRAMAS[],3,FALSE),0)</f>
        <v>0</v>
      </c>
      <c r="AP808" s="246">
        <f>IFERROR(VLOOKUP(N808,PROGRAMAS[],3,FALSE),0)</f>
        <v>0</v>
      </c>
      <c r="AQ808" s="246">
        <f>IFERROR(VLOOKUP(O808,PROGRAMAS[],3,FALSE),0)</f>
        <v>0</v>
      </c>
      <c r="AR808" s="246">
        <f>IFERROR(VLOOKUP(P808,PROGRAMAS[],3,FALSE),0)</f>
        <v>0</v>
      </c>
      <c r="AS808" s="246">
        <f>IFERROR(VLOOKUP(Q808,PROGRAMAS[],3,FALSE),0)</f>
        <v>0</v>
      </c>
      <c r="AT808" s="246">
        <f>IFERROR(VLOOKUP(D808,VOL_REC[],2,FALSE),0)</f>
        <v>0</v>
      </c>
      <c r="AU808" s="246">
        <f>IFERROR(VLOOKUP(E808,VOL_REC[],2,FALSE),0)</f>
        <v>0</v>
      </c>
      <c r="AV808" s="246">
        <f>IFERROR(VLOOKUP(F808,VOL_REC[],2,FALSE),0)</f>
        <v>11089674.200000001</v>
      </c>
      <c r="AW808" s="246">
        <f>IFERROR(VLOOKUP(G808,VOL_REC[],2,FALSE),0)</f>
        <v>4325103.1812214684</v>
      </c>
      <c r="AX808" s="246">
        <f>IFERROR(VLOOKUP(H808,VOL_REC[],2,FALSE),0)</f>
        <v>15540036.397699751</v>
      </c>
      <c r="AY808" s="246">
        <f>IFERROR(VLOOKUP(I808,VOL_REC[],2,FALSE),0)</f>
        <v>1812240</v>
      </c>
      <c r="AZ808" s="246">
        <f>IFERROR(VLOOKUP(J808,VOL_REC[],2,FALSE),0)</f>
        <v>1072354.9981737854</v>
      </c>
      <c r="BA808" s="246">
        <f>IFERROR(VLOOKUP(K808,VOL_REC[],2,FALSE),0)</f>
        <v>740113.98115702497</v>
      </c>
      <c r="BB808" s="246">
        <f>IFERROR(VLOOKUP(L808,VOL_REC[],2,FALSE),0)</f>
        <v>0</v>
      </c>
      <c r="BC808" s="246">
        <f>IFERROR(VLOOKUP(M808,VOL_REC[],2,FALSE),0)</f>
        <v>0</v>
      </c>
      <c r="BD808" s="246">
        <f>IFERROR(VLOOKUP(N808,VOL_REC[],2,FALSE),0)</f>
        <v>0</v>
      </c>
      <c r="BE808" s="246">
        <f>IFERROR(VLOOKUP(O808,VOL_REC[],2,FALSE),0)</f>
        <v>0</v>
      </c>
      <c r="BF808" s="246">
        <f>IFERROR(VLOOKUP(P808,VOL_REC[],2,FALSE),0)</f>
        <v>0</v>
      </c>
      <c r="BG808" s="246">
        <f>IFERROR(VLOOKUP(Q808,VOL_REC[],2,FALSE),0)</f>
        <v>0</v>
      </c>
      <c r="BH808" s="1710">
        <f t="shared" si="48"/>
        <v>25745049011.051525</v>
      </c>
      <c r="BI808" s="1710">
        <f t="shared" si="49"/>
        <v>22903810394.835632</v>
      </c>
      <c r="BJ808" s="1711">
        <f t="shared" si="50"/>
        <v>34579522.758252032</v>
      </c>
      <c r="BK808" s="1711">
        <f t="shared" si="51"/>
        <v>1.1240509141158685</v>
      </c>
      <c r="BL808">
        <f>BJ808</f>
        <v>34579522.758252032</v>
      </c>
      <c r="BO808">
        <f>BL808</f>
        <v>34579522.758252032</v>
      </c>
    </row>
    <row r="809" spans="3:67" x14ac:dyDescent="0.25">
      <c r="C809" s="246" t="s">
        <v>2159</v>
      </c>
      <c r="D809" s="246">
        <v>1</v>
      </c>
      <c r="E809" s="246">
        <v>2</v>
      </c>
      <c r="F809" s="246">
        <v>3</v>
      </c>
      <c r="G809" s="246">
        <v>5</v>
      </c>
      <c r="H809" s="246">
        <v>6</v>
      </c>
      <c r="I809" s="246">
        <v>12</v>
      </c>
      <c r="J809" s="246">
        <v>13</v>
      </c>
      <c r="K809" s="246">
        <v>14</v>
      </c>
      <c r="L809" s="246"/>
      <c r="M809" s="246"/>
      <c r="N809" s="246"/>
      <c r="O809" s="246"/>
      <c r="P809" s="246"/>
      <c r="Q809" s="246"/>
      <c r="R809" s="246">
        <f>IFERROR(VLOOKUP(D809,PROGRAMAS[],2,FALSE),0)</f>
        <v>97037803.679377079</v>
      </c>
      <c r="S809" s="246">
        <f>IFERROR(VLOOKUP(E809,PROGRAMAS[],2,FALSE),0)</f>
        <v>640501509.6821388</v>
      </c>
      <c r="T809" s="246">
        <f>IFERROR(VLOOKUP(F809,PROGRAMAS[],2,FALSE),0)</f>
        <v>3062327798.1525245</v>
      </c>
      <c r="U809" s="246">
        <f>IFERROR(VLOOKUP(G809,PROGRAMAS[],2,FALSE),0)</f>
        <v>1440941976.2528784</v>
      </c>
      <c r="V809" s="246">
        <f>IFERROR(VLOOKUP(H809,PROGRAMAS[],2,FALSE),0)</f>
        <v>6907648435.8447599</v>
      </c>
      <c r="W809" s="246">
        <f>IFERROR(VLOOKUP(I809,PROGRAMAS[],2,FALSE),0)</f>
        <v>764796700.79905891</v>
      </c>
      <c r="X809" s="246">
        <f>IFERROR(VLOOKUP(J809,PROGRAMAS[],2,FALSE),0)</f>
        <v>3776538594.4604583</v>
      </c>
      <c r="Y809" s="246">
        <f>IFERROR(VLOOKUP(K809,PROGRAMAS[],2,FALSE),0)</f>
        <v>54223862.645839565</v>
      </c>
      <c r="Z809" s="246">
        <f>IFERROR(VLOOKUP(L809,PROGRAMAS[],2,FALSE),0)</f>
        <v>0</v>
      </c>
      <c r="AA809" s="246">
        <f>IFERROR(VLOOKUP(M809,PROGRAMAS[],2,FALSE),0)</f>
        <v>0</v>
      </c>
      <c r="AB809" s="246">
        <f>IFERROR(VLOOKUP(N809,PROGRAMAS[],2,FALSE),0)</f>
        <v>0</v>
      </c>
      <c r="AC809" s="246">
        <f>IFERROR(VLOOKUP(O809,PROGRAMAS[],2,FALSE),0)</f>
        <v>0</v>
      </c>
      <c r="AD809" s="246">
        <f>IFERROR(VLOOKUP(P809,PROGRAMAS[],2,FALSE),0)</f>
        <v>0</v>
      </c>
      <c r="AE809" s="246">
        <f>IFERROR(VLOOKUP(Q809,PROGRAMAS[],2,FALSE),0)</f>
        <v>0</v>
      </c>
      <c r="AF809" s="246">
        <f>IFERROR(VLOOKUP(D809,PROGRAMAS[],3,FALSE),0)</f>
        <v>841888629.31080008</v>
      </c>
      <c r="AG809" s="246">
        <f>IFERROR(VLOOKUP(E809,PROGRAMAS[],3,FALSE),0)</f>
        <v>3848980803.1642323</v>
      </c>
      <c r="AH809" s="246">
        <f>IFERROR(VLOOKUP(F809,PROGRAMAS[],3,FALSE),0)</f>
        <v>3394901471.387517</v>
      </c>
      <c r="AI809" s="246">
        <f>IFERROR(VLOOKUP(G809,PROGRAMAS[],3,FALSE),0)</f>
        <v>1233505101.0616004</v>
      </c>
      <c r="AJ809" s="246">
        <f>IFERROR(VLOOKUP(H809,PROGRAMAS[],3,FALSE),0)</f>
        <v>6129902208.7912121</v>
      </c>
      <c r="AK809" s="246">
        <f>IFERROR(VLOOKUP(I809,PROGRAMAS[],3,FALSE),0)</f>
        <v>675517840.109828</v>
      </c>
      <c r="AL809" s="246">
        <f>IFERROR(VLOOKUP(J809,PROGRAMAS[],3,FALSE),0)</f>
        <v>2392571243.5584412</v>
      </c>
      <c r="AM809" s="246">
        <f>IFERROR(VLOOKUP(K809,PROGRAMAS[],3,FALSE),0)</f>
        <v>31865326.38096505</v>
      </c>
      <c r="AN809" s="246">
        <f>IFERROR(VLOOKUP(L809,PROGRAMAS[],3,FALSE),0)</f>
        <v>0</v>
      </c>
      <c r="AO809" s="246">
        <f>IFERROR(VLOOKUP(M809,PROGRAMAS[],3,FALSE),0)</f>
        <v>0</v>
      </c>
      <c r="AP809" s="246">
        <f>IFERROR(VLOOKUP(N809,PROGRAMAS[],3,FALSE),0)</f>
        <v>0</v>
      </c>
      <c r="AQ809" s="246">
        <f>IFERROR(VLOOKUP(O809,PROGRAMAS[],3,FALSE),0)</f>
        <v>0</v>
      </c>
      <c r="AR809" s="246">
        <f>IFERROR(VLOOKUP(P809,PROGRAMAS[],3,FALSE),0)</f>
        <v>0</v>
      </c>
      <c r="AS809" s="246">
        <f>IFERROR(VLOOKUP(Q809,PROGRAMAS[],3,FALSE),0)</f>
        <v>0</v>
      </c>
      <c r="AT809" s="246">
        <f>IFERROR(VLOOKUP(D809,VOL_REC[],2,FALSE),0)</f>
        <v>0</v>
      </c>
      <c r="AU809" s="246">
        <f>IFERROR(VLOOKUP(E809,VOL_REC[],2,FALSE),0)</f>
        <v>0</v>
      </c>
      <c r="AV809" s="246">
        <f>IFERROR(VLOOKUP(F809,VOL_REC[],2,FALSE),0)</f>
        <v>11089674.200000001</v>
      </c>
      <c r="AW809" s="246">
        <f>IFERROR(VLOOKUP(G809,VOL_REC[],2,FALSE),0)</f>
        <v>4325103.1812214684</v>
      </c>
      <c r="AX809" s="246">
        <f>IFERROR(VLOOKUP(H809,VOL_REC[],2,FALSE),0)</f>
        <v>15540036.397699751</v>
      </c>
      <c r="AY809" s="246">
        <f>IFERROR(VLOOKUP(I809,VOL_REC[],2,FALSE),0)</f>
        <v>240696.79238099116</v>
      </c>
      <c r="AZ809" s="246">
        <f>IFERROR(VLOOKUP(J809,VOL_REC[],2,FALSE),0)</f>
        <v>663244.80000000016</v>
      </c>
      <c r="BA809" s="246">
        <f>IFERROR(VLOOKUP(K809,VOL_REC[],2,FALSE),0)</f>
        <v>17074.045034105649</v>
      </c>
      <c r="BB809" s="246">
        <f>IFERROR(VLOOKUP(L809,VOL_REC[],2,FALSE),0)</f>
        <v>0</v>
      </c>
      <c r="BC809" s="246">
        <f>IFERROR(VLOOKUP(M809,VOL_REC[],2,FALSE),0)</f>
        <v>0</v>
      </c>
      <c r="BD809" s="246">
        <f>IFERROR(VLOOKUP(N809,VOL_REC[],2,FALSE),0)</f>
        <v>0</v>
      </c>
      <c r="BE809" s="246">
        <f>IFERROR(VLOOKUP(O809,VOL_REC[],2,FALSE),0)</f>
        <v>0</v>
      </c>
      <c r="BF809" s="246">
        <f>IFERROR(VLOOKUP(P809,VOL_REC[],2,FALSE),0)</f>
        <v>0</v>
      </c>
      <c r="BG809" s="246">
        <f>IFERROR(VLOOKUP(Q809,VOL_REC[],2,FALSE),0)</f>
        <v>0</v>
      </c>
      <c r="BH809" s="1710">
        <f t="shared" si="48"/>
        <v>16744016681.517036</v>
      </c>
      <c r="BI809" s="1710">
        <f t="shared" si="49"/>
        <v>18549132623.764599</v>
      </c>
      <c r="BJ809" s="1711">
        <f t="shared" si="50"/>
        <v>31875829.41633632</v>
      </c>
      <c r="BK809" s="1711">
        <f t="shared" si="51"/>
        <v>0.90268461718070303</v>
      </c>
    </row>
    <row r="810" spans="3:67" x14ac:dyDescent="0.25">
      <c r="C810" s="246" t="s">
        <v>2160</v>
      </c>
      <c r="D810" s="246">
        <v>1</v>
      </c>
      <c r="E810" s="246">
        <v>2</v>
      </c>
      <c r="F810" s="246">
        <v>3</v>
      </c>
      <c r="G810" s="246">
        <v>5</v>
      </c>
      <c r="H810" s="246">
        <v>6</v>
      </c>
      <c r="I810" s="246">
        <v>12</v>
      </c>
      <c r="J810" s="246">
        <v>13</v>
      </c>
      <c r="K810" s="246">
        <v>15</v>
      </c>
      <c r="L810" s="246"/>
      <c r="M810" s="246"/>
      <c r="N810" s="246"/>
      <c r="O810" s="246"/>
      <c r="P810" s="246"/>
      <c r="Q810" s="246"/>
      <c r="R810" s="246">
        <f>IFERROR(VLOOKUP(D810,PROGRAMAS[],2,FALSE),0)</f>
        <v>97037803.679377079</v>
      </c>
      <c r="S810" s="246">
        <f>IFERROR(VLOOKUP(E810,PROGRAMAS[],2,FALSE),0)</f>
        <v>640501509.6821388</v>
      </c>
      <c r="T810" s="246">
        <f>IFERROR(VLOOKUP(F810,PROGRAMAS[],2,FALSE),0)</f>
        <v>3062327798.1525245</v>
      </c>
      <c r="U810" s="246">
        <f>IFERROR(VLOOKUP(G810,PROGRAMAS[],2,FALSE),0)</f>
        <v>1440941976.2528784</v>
      </c>
      <c r="V810" s="246">
        <f>IFERROR(VLOOKUP(H810,PROGRAMAS[],2,FALSE),0)</f>
        <v>6907648435.8447599</v>
      </c>
      <c r="W810" s="246">
        <f>IFERROR(VLOOKUP(I810,PROGRAMAS[],2,FALSE),0)</f>
        <v>764796700.79905891</v>
      </c>
      <c r="X810" s="246">
        <f>IFERROR(VLOOKUP(J810,PROGRAMAS[],2,FALSE),0)</f>
        <v>3776538594.4604583</v>
      </c>
      <c r="Y810" s="246">
        <f>IFERROR(VLOOKUP(K810,PROGRAMAS[],2,FALSE),0)</f>
        <v>122159672.96346797</v>
      </c>
      <c r="Z810" s="246">
        <f>IFERROR(VLOOKUP(L810,PROGRAMAS[],2,FALSE),0)</f>
        <v>0</v>
      </c>
      <c r="AA810" s="246">
        <f>IFERROR(VLOOKUP(M810,PROGRAMAS[],2,FALSE),0)</f>
        <v>0</v>
      </c>
      <c r="AB810" s="246">
        <f>IFERROR(VLOOKUP(N810,PROGRAMAS[],2,FALSE),0)</f>
        <v>0</v>
      </c>
      <c r="AC810" s="246">
        <f>IFERROR(VLOOKUP(O810,PROGRAMAS[],2,FALSE),0)</f>
        <v>0</v>
      </c>
      <c r="AD810" s="246">
        <f>IFERROR(VLOOKUP(P810,PROGRAMAS[],2,FALSE),0)</f>
        <v>0</v>
      </c>
      <c r="AE810" s="246">
        <f>IFERROR(VLOOKUP(Q810,PROGRAMAS[],2,FALSE),0)</f>
        <v>0</v>
      </c>
      <c r="AF810" s="246">
        <f>IFERROR(VLOOKUP(D810,PROGRAMAS[],3,FALSE),0)</f>
        <v>841888629.31080008</v>
      </c>
      <c r="AG810" s="246">
        <f>IFERROR(VLOOKUP(E810,PROGRAMAS[],3,FALSE),0)</f>
        <v>3848980803.1642323</v>
      </c>
      <c r="AH810" s="246">
        <f>IFERROR(VLOOKUP(F810,PROGRAMAS[],3,FALSE),0)</f>
        <v>3394901471.387517</v>
      </c>
      <c r="AI810" s="246">
        <f>IFERROR(VLOOKUP(G810,PROGRAMAS[],3,FALSE),0)</f>
        <v>1233505101.0616004</v>
      </c>
      <c r="AJ810" s="246">
        <f>IFERROR(VLOOKUP(H810,PROGRAMAS[],3,FALSE),0)</f>
        <v>6129902208.7912121</v>
      </c>
      <c r="AK810" s="246">
        <f>IFERROR(VLOOKUP(I810,PROGRAMAS[],3,FALSE),0)</f>
        <v>675517840.109828</v>
      </c>
      <c r="AL810" s="246">
        <f>IFERROR(VLOOKUP(J810,PROGRAMAS[],3,FALSE),0)</f>
        <v>2392571243.5584412</v>
      </c>
      <c r="AM810" s="246">
        <f>IFERROR(VLOOKUP(K810,PROGRAMAS[],3,FALSE),0)</f>
        <v>118617452.52510804</v>
      </c>
      <c r="AN810" s="246">
        <f>IFERROR(VLOOKUP(L810,PROGRAMAS[],3,FALSE),0)</f>
        <v>0</v>
      </c>
      <c r="AO810" s="246">
        <f>IFERROR(VLOOKUP(M810,PROGRAMAS[],3,FALSE),0)</f>
        <v>0</v>
      </c>
      <c r="AP810" s="246">
        <f>IFERROR(VLOOKUP(N810,PROGRAMAS[],3,FALSE),0)</f>
        <v>0</v>
      </c>
      <c r="AQ810" s="246">
        <f>IFERROR(VLOOKUP(O810,PROGRAMAS[],3,FALSE),0)</f>
        <v>0</v>
      </c>
      <c r="AR810" s="246">
        <f>IFERROR(VLOOKUP(P810,PROGRAMAS[],3,FALSE),0)</f>
        <v>0</v>
      </c>
      <c r="AS810" s="246">
        <f>IFERROR(VLOOKUP(Q810,PROGRAMAS[],3,FALSE),0)</f>
        <v>0</v>
      </c>
      <c r="AT810" s="246">
        <f>IFERROR(VLOOKUP(D810,VOL_REC[],2,FALSE),0)</f>
        <v>0</v>
      </c>
      <c r="AU810" s="246">
        <f>IFERROR(VLOOKUP(E810,VOL_REC[],2,FALSE),0)</f>
        <v>0</v>
      </c>
      <c r="AV810" s="246">
        <f>IFERROR(VLOOKUP(F810,VOL_REC[],2,FALSE),0)</f>
        <v>11089674.200000001</v>
      </c>
      <c r="AW810" s="246">
        <f>IFERROR(VLOOKUP(G810,VOL_REC[],2,FALSE),0)</f>
        <v>4325103.1812214684</v>
      </c>
      <c r="AX810" s="246">
        <f>IFERROR(VLOOKUP(H810,VOL_REC[],2,FALSE),0)</f>
        <v>15540036.397699751</v>
      </c>
      <c r="AY810" s="246">
        <f>IFERROR(VLOOKUP(I810,VOL_REC[],2,FALSE),0)</f>
        <v>240696.79238099116</v>
      </c>
      <c r="AZ810" s="246">
        <f>IFERROR(VLOOKUP(J810,VOL_REC[],2,FALSE),0)</f>
        <v>663244.80000000016</v>
      </c>
      <c r="BA810" s="246">
        <f>IFERROR(VLOOKUP(K810,VOL_REC[],2,FALSE),0)</f>
        <v>105072</v>
      </c>
      <c r="BB810" s="246">
        <f>IFERROR(VLOOKUP(L810,VOL_REC[],2,FALSE),0)</f>
        <v>0</v>
      </c>
      <c r="BC810" s="246">
        <f>IFERROR(VLOOKUP(M810,VOL_REC[],2,FALSE),0)</f>
        <v>0</v>
      </c>
      <c r="BD810" s="246">
        <f>IFERROR(VLOOKUP(N810,VOL_REC[],2,FALSE),0)</f>
        <v>0</v>
      </c>
      <c r="BE810" s="246">
        <f>IFERROR(VLOOKUP(O810,VOL_REC[],2,FALSE),0)</f>
        <v>0</v>
      </c>
      <c r="BF810" s="246">
        <f>IFERROR(VLOOKUP(P810,VOL_REC[],2,FALSE),0)</f>
        <v>0</v>
      </c>
      <c r="BG810" s="246">
        <f>IFERROR(VLOOKUP(Q810,VOL_REC[],2,FALSE),0)</f>
        <v>0</v>
      </c>
      <c r="BH810" s="1710">
        <f t="shared" si="48"/>
        <v>16811952491.834665</v>
      </c>
      <c r="BI810" s="1710">
        <f t="shared" si="49"/>
        <v>18635884749.908741</v>
      </c>
      <c r="BJ810" s="1711">
        <f t="shared" si="50"/>
        <v>31963827.371302214</v>
      </c>
      <c r="BK810" s="1711">
        <f t="shared" si="51"/>
        <v>0.90212794924678807</v>
      </c>
    </row>
    <row r="811" spans="3:67" x14ac:dyDescent="0.25">
      <c r="C811" s="246" t="s">
        <v>2161</v>
      </c>
      <c r="D811" s="246">
        <v>1</v>
      </c>
      <c r="E811" s="246">
        <v>2</v>
      </c>
      <c r="F811" s="246">
        <v>3</v>
      </c>
      <c r="G811" s="246">
        <v>5</v>
      </c>
      <c r="H811" s="246">
        <v>6</v>
      </c>
      <c r="I811" s="246">
        <v>12</v>
      </c>
      <c r="J811" s="246">
        <v>13</v>
      </c>
      <c r="K811" s="246">
        <v>16</v>
      </c>
      <c r="L811" s="246"/>
      <c r="M811" s="246"/>
      <c r="N811" s="246"/>
      <c r="O811" s="246"/>
      <c r="P811" s="246"/>
      <c r="Q811" s="246"/>
      <c r="R811" s="246">
        <f>IFERROR(VLOOKUP(D811,PROGRAMAS[],2,FALSE),0)</f>
        <v>97037803.679377079</v>
      </c>
      <c r="S811" s="246">
        <f>IFERROR(VLOOKUP(E811,PROGRAMAS[],2,FALSE),0)</f>
        <v>640501509.6821388</v>
      </c>
      <c r="T811" s="246">
        <f>IFERROR(VLOOKUP(F811,PROGRAMAS[],2,FALSE),0)</f>
        <v>3062327798.1525245</v>
      </c>
      <c r="U811" s="246">
        <f>IFERROR(VLOOKUP(G811,PROGRAMAS[],2,FALSE),0)</f>
        <v>1440941976.2528784</v>
      </c>
      <c r="V811" s="246">
        <f>IFERROR(VLOOKUP(H811,PROGRAMAS[],2,FALSE),0)</f>
        <v>6907648435.8447599</v>
      </c>
      <c r="W811" s="246">
        <f>IFERROR(VLOOKUP(I811,PROGRAMAS[],2,FALSE),0)</f>
        <v>764796700.79905891</v>
      </c>
      <c r="X811" s="246">
        <f>IFERROR(VLOOKUP(J811,PROGRAMAS[],2,FALSE),0)</f>
        <v>3776538594.4604583</v>
      </c>
      <c r="Y811" s="246">
        <f>IFERROR(VLOOKUP(K811,PROGRAMAS[],2,FALSE),0)</f>
        <v>7068496961.0436354</v>
      </c>
      <c r="Z811" s="246">
        <f>IFERROR(VLOOKUP(L811,PROGRAMAS[],2,FALSE),0)</f>
        <v>0</v>
      </c>
      <c r="AA811" s="246">
        <f>IFERROR(VLOOKUP(M811,PROGRAMAS[],2,FALSE),0)</f>
        <v>0</v>
      </c>
      <c r="AB811" s="246">
        <f>IFERROR(VLOOKUP(N811,PROGRAMAS[],2,FALSE),0)</f>
        <v>0</v>
      </c>
      <c r="AC811" s="246">
        <f>IFERROR(VLOOKUP(O811,PROGRAMAS[],2,FALSE),0)</f>
        <v>0</v>
      </c>
      <c r="AD811" s="246">
        <f>IFERROR(VLOOKUP(P811,PROGRAMAS[],2,FALSE),0)</f>
        <v>0</v>
      </c>
      <c r="AE811" s="246">
        <f>IFERROR(VLOOKUP(Q811,PROGRAMAS[],2,FALSE),0)</f>
        <v>0</v>
      </c>
      <c r="AF811" s="246">
        <f>IFERROR(VLOOKUP(D811,PROGRAMAS[],3,FALSE),0)</f>
        <v>841888629.31080008</v>
      </c>
      <c r="AG811" s="246">
        <f>IFERROR(VLOOKUP(E811,PROGRAMAS[],3,FALSE),0)</f>
        <v>3848980803.1642323</v>
      </c>
      <c r="AH811" s="246">
        <f>IFERROR(VLOOKUP(F811,PROGRAMAS[],3,FALSE),0)</f>
        <v>3394901471.387517</v>
      </c>
      <c r="AI811" s="246">
        <f>IFERROR(VLOOKUP(G811,PROGRAMAS[],3,FALSE),0)</f>
        <v>1233505101.0616004</v>
      </c>
      <c r="AJ811" s="246">
        <f>IFERROR(VLOOKUP(H811,PROGRAMAS[],3,FALSE),0)</f>
        <v>6129902208.7912121</v>
      </c>
      <c r="AK811" s="246">
        <f>IFERROR(VLOOKUP(I811,PROGRAMAS[],3,FALSE),0)</f>
        <v>675517840.109828</v>
      </c>
      <c r="AL811" s="246">
        <f>IFERROR(VLOOKUP(J811,PROGRAMAS[],3,FALSE),0)</f>
        <v>2392571243.5584412</v>
      </c>
      <c r="AM811" s="246">
        <f>IFERROR(VLOOKUP(K811,PROGRAMAS[],3,FALSE),0)</f>
        <v>2406564599.0319901</v>
      </c>
      <c r="AN811" s="246">
        <f>IFERROR(VLOOKUP(L811,PROGRAMAS[],3,FALSE),0)</f>
        <v>0</v>
      </c>
      <c r="AO811" s="246">
        <f>IFERROR(VLOOKUP(M811,PROGRAMAS[],3,FALSE),0)</f>
        <v>0</v>
      </c>
      <c r="AP811" s="246">
        <f>IFERROR(VLOOKUP(N811,PROGRAMAS[],3,FALSE),0)</f>
        <v>0</v>
      </c>
      <c r="AQ811" s="246">
        <f>IFERROR(VLOOKUP(O811,PROGRAMAS[],3,FALSE),0)</f>
        <v>0</v>
      </c>
      <c r="AR811" s="246">
        <f>IFERROR(VLOOKUP(P811,PROGRAMAS[],3,FALSE),0)</f>
        <v>0</v>
      </c>
      <c r="AS811" s="246">
        <f>IFERROR(VLOOKUP(Q811,PROGRAMAS[],3,FALSE),0)</f>
        <v>0</v>
      </c>
      <c r="AT811" s="246">
        <f>IFERROR(VLOOKUP(D811,VOL_REC[],2,FALSE),0)</f>
        <v>0</v>
      </c>
      <c r="AU811" s="246">
        <f>IFERROR(VLOOKUP(E811,VOL_REC[],2,FALSE),0)</f>
        <v>0</v>
      </c>
      <c r="AV811" s="246">
        <f>IFERROR(VLOOKUP(F811,VOL_REC[],2,FALSE),0)</f>
        <v>11089674.200000001</v>
      </c>
      <c r="AW811" s="246">
        <f>IFERROR(VLOOKUP(G811,VOL_REC[],2,FALSE),0)</f>
        <v>4325103.1812214684</v>
      </c>
      <c r="AX811" s="246">
        <f>IFERROR(VLOOKUP(H811,VOL_REC[],2,FALSE),0)</f>
        <v>15540036.397699751</v>
      </c>
      <c r="AY811" s="246">
        <f>IFERROR(VLOOKUP(I811,VOL_REC[],2,FALSE),0)</f>
        <v>240696.79238099116</v>
      </c>
      <c r="AZ811" s="246">
        <f>IFERROR(VLOOKUP(J811,VOL_REC[],2,FALSE),0)</f>
        <v>663244.80000000016</v>
      </c>
      <c r="BA811" s="246">
        <f>IFERROR(VLOOKUP(K811,VOL_REC[],2,FALSE),0)</f>
        <v>1072354.9981737854</v>
      </c>
      <c r="BB811" s="246">
        <f>IFERROR(VLOOKUP(L811,VOL_REC[],2,FALSE),0)</f>
        <v>0</v>
      </c>
      <c r="BC811" s="246">
        <f>IFERROR(VLOOKUP(M811,VOL_REC[],2,FALSE),0)</f>
        <v>0</v>
      </c>
      <c r="BD811" s="246">
        <f>IFERROR(VLOOKUP(N811,VOL_REC[],2,FALSE),0)</f>
        <v>0</v>
      </c>
      <c r="BE811" s="246">
        <f>IFERROR(VLOOKUP(O811,VOL_REC[],2,FALSE),0)</f>
        <v>0</v>
      </c>
      <c r="BF811" s="246">
        <f>IFERROR(VLOOKUP(P811,VOL_REC[],2,FALSE),0)</f>
        <v>0</v>
      </c>
      <c r="BG811" s="246">
        <f>IFERROR(VLOOKUP(Q811,VOL_REC[],2,FALSE),0)</f>
        <v>0</v>
      </c>
      <c r="BH811" s="1710">
        <f t="shared" si="48"/>
        <v>23758289779.914833</v>
      </c>
      <c r="BI811" s="1710">
        <f t="shared" si="49"/>
        <v>20923831896.415623</v>
      </c>
      <c r="BJ811" s="1711">
        <f t="shared" si="50"/>
        <v>32931110.369475998</v>
      </c>
      <c r="BK811" s="1711">
        <f t="shared" si="51"/>
        <v>1.1354655255084882</v>
      </c>
      <c r="BL811">
        <f>BJ811</f>
        <v>32931110.369475998</v>
      </c>
      <c r="BO811">
        <f>BL811</f>
        <v>32931110.369475998</v>
      </c>
    </row>
    <row r="812" spans="3:67" x14ac:dyDescent="0.25">
      <c r="C812" s="246" t="s">
        <v>2162</v>
      </c>
      <c r="D812" s="246">
        <v>1</v>
      </c>
      <c r="E812" s="246">
        <v>2</v>
      </c>
      <c r="F812" s="246">
        <v>3</v>
      </c>
      <c r="G812" s="246">
        <v>5</v>
      </c>
      <c r="H812" s="246">
        <v>6</v>
      </c>
      <c r="I812" s="246">
        <v>12</v>
      </c>
      <c r="J812" s="246">
        <v>13</v>
      </c>
      <c r="K812" s="246">
        <v>17</v>
      </c>
      <c r="L812" s="246"/>
      <c r="M812" s="246"/>
      <c r="N812" s="246"/>
      <c r="O812" s="246"/>
      <c r="P812" s="246"/>
      <c r="Q812" s="246"/>
      <c r="R812" s="246">
        <f>IFERROR(VLOOKUP(D812,PROGRAMAS[],2,FALSE),0)</f>
        <v>97037803.679377079</v>
      </c>
      <c r="S812" s="246">
        <f>IFERROR(VLOOKUP(E812,PROGRAMAS[],2,FALSE),0)</f>
        <v>640501509.6821388</v>
      </c>
      <c r="T812" s="246">
        <f>IFERROR(VLOOKUP(F812,PROGRAMAS[],2,FALSE),0)</f>
        <v>3062327798.1525245</v>
      </c>
      <c r="U812" s="246">
        <f>IFERROR(VLOOKUP(G812,PROGRAMAS[],2,FALSE),0)</f>
        <v>1440941976.2528784</v>
      </c>
      <c r="V812" s="246">
        <f>IFERROR(VLOOKUP(H812,PROGRAMAS[],2,FALSE),0)</f>
        <v>6907648435.8447599</v>
      </c>
      <c r="W812" s="246">
        <f>IFERROR(VLOOKUP(I812,PROGRAMAS[],2,FALSE),0)</f>
        <v>764796700.79905891</v>
      </c>
      <c r="X812" s="246">
        <f>IFERROR(VLOOKUP(J812,PROGRAMAS[],2,FALSE),0)</f>
        <v>3776538594.4604583</v>
      </c>
      <c r="Y812" s="246">
        <f>IFERROR(VLOOKUP(K812,PROGRAMAS[],2,FALSE),0)</f>
        <v>1892779498.5211046</v>
      </c>
      <c r="Z812" s="246">
        <f>IFERROR(VLOOKUP(L812,PROGRAMAS[],2,FALSE),0)</f>
        <v>0</v>
      </c>
      <c r="AA812" s="246">
        <f>IFERROR(VLOOKUP(M812,PROGRAMAS[],2,FALSE),0)</f>
        <v>0</v>
      </c>
      <c r="AB812" s="246">
        <f>IFERROR(VLOOKUP(N812,PROGRAMAS[],2,FALSE),0)</f>
        <v>0</v>
      </c>
      <c r="AC812" s="246">
        <f>IFERROR(VLOOKUP(O812,PROGRAMAS[],2,FALSE),0)</f>
        <v>0</v>
      </c>
      <c r="AD812" s="246">
        <f>IFERROR(VLOOKUP(P812,PROGRAMAS[],2,FALSE),0)</f>
        <v>0</v>
      </c>
      <c r="AE812" s="246">
        <f>IFERROR(VLOOKUP(Q812,PROGRAMAS[],2,FALSE),0)</f>
        <v>0</v>
      </c>
      <c r="AF812" s="246">
        <f>IFERROR(VLOOKUP(D812,PROGRAMAS[],3,FALSE),0)</f>
        <v>841888629.31080008</v>
      </c>
      <c r="AG812" s="246">
        <f>IFERROR(VLOOKUP(E812,PROGRAMAS[],3,FALSE),0)</f>
        <v>3848980803.1642323</v>
      </c>
      <c r="AH812" s="246">
        <f>IFERROR(VLOOKUP(F812,PROGRAMAS[],3,FALSE),0)</f>
        <v>3394901471.387517</v>
      </c>
      <c r="AI812" s="246">
        <f>IFERROR(VLOOKUP(G812,PROGRAMAS[],3,FALSE),0)</f>
        <v>1233505101.0616004</v>
      </c>
      <c r="AJ812" s="246">
        <f>IFERROR(VLOOKUP(H812,PROGRAMAS[],3,FALSE),0)</f>
        <v>6129902208.7912121</v>
      </c>
      <c r="AK812" s="246">
        <f>IFERROR(VLOOKUP(I812,PROGRAMAS[],3,FALSE),0)</f>
        <v>675517840.109828</v>
      </c>
      <c r="AL812" s="246">
        <f>IFERROR(VLOOKUP(J812,PROGRAMAS[],3,FALSE),0)</f>
        <v>2392571243.5584412</v>
      </c>
      <c r="AM812" s="246">
        <f>IFERROR(VLOOKUP(K812,PROGRAMAS[],3,FALSE),0)</f>
        <v>948595847.09039903</v>
      </c>
      <c r="AN812" s="246">
        <f>IFERROR(VLOOKUP(L812,PROGRAMAS[],3,FALSE),0)</f>
        <v>0</v>
      </c>
      <c r="AO812" s="246">
        <f>IFERROR(VLOOKUP(M812,PROGRAMAS[],3,FALSE),0)</f>
        <v>0</v>
      </c>
      <c r="AP812" s="246">
        <f>IFERROR(VLOOKUP(N812,PROGRAMAS[],3,FALSE),0)</f>
        <v>0</v>
      </c>
      <c r="AQ812" s="246">
        <f>IFERROR(VLOOKUP(O812,PROGRAMAS[],3,FALSE),0)</f>
        <v>0</v>
      </c>
      <c r="AR812" s="246">
        <f>IFERROR(VLOOKUP(P812,PROGRAMAS[],3,FALSE),0)</f>
        <v>0</v>
      </c>
      <c r="AS812" s="246">
        <f>IFERROR(VLOOKUP(Q812,PROGRAMAS[],3,FALSE),0)</f>
        <v>0</v>
      </c>
      <c r="AT812" s="246">
        <f>IFERROR(VLOOKUP(D812,VOL_REC[],2,FALSE),0)</f>
        <v>0</v>
      </c>
      <c r="AU812" s="246">
        <f>IFERROR(VLOOKUP(E812,VOL_REC[],2,FALSE),0)</f>
        <v>0</v>
      </c>
      <c r="AV812" s="246">
        <f>IFERROR(VLOOKUP(F812,VOL_REC[],2,FALSE),0)</f>
        <v>11089674.200000001</v>
      </c>
      <c r="AW812" s="246">
        <f>IFERROR(VLOOKUP(G812,VOL_REC[],2,FALSE),0)</f>
        <v>4325103.1812214684</v>
      </c>
      <c r="AX812" s="246">
        <f>IFERROR(VLOOKUP(H812,VOL_REC[],2,FALSE),0)</f>
        <v>15540036.397699751</v>
      </c>
      <c r="AY812" s="246">
        <f>IFERROR(VLOOKUP(I812,VOL_REC[],2,FALSE),0)</f>
        <v>240696.79238099116</v>
      </c>
      <c r="AZ812" s="246">
        <f>IFERROR(VLOOKUP(J812,VOL_REC[],2,FALSE),0)</f>
        <v>663244.80000000016</v>
      </c>
      <c r="BA812" s="246">
        <f>IFERROR(VLOOKUP(K812,VOL_REC[],2,FALSE),0)</f>
        <v>740113.98115702497</v>
      </c>
      <c r="BB812" s="246">
        <f>IFERROR(VLOOKUP(L812,VOL_REC[],2,FALSE),0)</f>
        <v>0</v>
      </c>
      <c r="BC812" s="246">
        <f>IFERROR(VLOOKUP(M812,VOL_REC[],2,FALSE),0)</f>
        <v>0</v>
      </c>
      <c r="BD812" s="246">
        <f>IFERROR(VLOOKUP(N812,VOL_REC[],2,FALSE),0)</f>
        <v>0</v>
      </c>
      <c r="BE812" s="246">
        <f>IFERROR(VLOOKUP(O812,VOL_REC[],2,FALSE),0)</f>
        <v>0</v>
      </c>
      <c r="BF812" s="246">
        <f>IFERROR(VLOOKUP(P812,VOL_REC[],2,FALSE),0)</f>
        <v>0</v>
      </c>
      <c r="BG812" s="246">
        <f>IFERROR(VLOOKUP(Q812,VOL_REC[],2,FALSE),0)</f>
        <v>0</v>
      </c>
      <c r="BH812" s="1710">
        <f t="shared" si="48"/>
        <v>18582572317.3923</v>
      </c>
      <c r="BI812" s="1710">
        <f t="shared" si="49"/>
        <v>19465863144.474033</v>
      </c>
      <c r="BJ812" s="1711">
        <f t="shared" si="50"/>
        <v>32598869.352459237</v>
      </c>
      <c r="BK812" s="1711">
        <f t="shared" si="51"/>
        <v>0.95462359821776088</v>
      </c>
    </row>
    <row r="813" spans="3:67" x14ac:dyDescent="0.25">
      <c r="C813" s="246" t="s">
        <v>2163</v>
      </c>
      <c r="D813" s="246">
        <v>1</v>
      </c>
      <c r="E813" s="246">
        <v>2</v>
      </c>
      <c r="F813" s="246">
        <v>3</v>
      </c>
      <c r="G813" s="246">
        <v>5</v>
      </c>
      <c r="H813" s="246">
        <v>6</v>
      </c>
      <c r="I813" s="246">
        <v>12</v>
      </c>
      <c r="J813" s="246">
        <v>14</v>
      </c>
      <c r="K813" s="246">
        <v>15</v>
      </c>
      <c r="L813" s="246"/>
      <c r="M813" s="246"/>
      <c r="N813" s="246"/>
      <c r="O813" s="246"/>
      <c r="P813" s="246"/>
      <c r="Q813" s="246"/>
      <c r="R813" s="246">
        <f>IFERROR(VLOOKUP(D813,PROGRAMAS[],2,FALSE),0)</f>
        <v>97037803.679377079</v>
      </c>
      <c r="S813" s="246">
        <f>IFERROR(VLOOKUP(E813,PROGRAMAS[],2,FALSE),0)</f>
        <v>640501509.6821388</v>
      </c>
      <c r="T813" s="246">
        <f>IFERROR(VLOOKUP(F813,PROGRAMAS[],2,FALSE),0)</f>
        <v>3062327798.1525245</v>
      </c>
      <c r="U813" s="246">
        <f>IFERROR(VLOOKUP(G813,PROGRAMAS[],2,FALSE),0)</f>
        <v>1440941976.2528784</v>
      </c>
      <c r="V813" s="246">
        <f>IFERROR(VLOOKUP(H813,PROGRAMAS[],2,FALSE),0)</f>
        <v>6907648435.8447599</v>
      </c>
      <c r="W813" s="246">
        <f>IFERROR(VLOOKUP(I813,PROGRAMAS[],2,FALSE),0)</f>
        <v>764796700.79905891</v>
      </c>
      <c r="X813" s="246">
        <f>IFERROR(VLOOKUP(J813,PROGRAMAS[],2,FALSE),0)</f>
        <v>54223862.645839565</v>
      </c>
      <c r="Y813" s="246">
        <f>IFERROR(VLOOKUP(K813,PROGRAMAS[],2,FALSE),0)</f>
        <v>122159672.96346797</v>
      </c>
      <c r="Z813" s="246">
        <f>IFERROR(VLOOKUP(L813,PROGRAMAS[],2,FALSE),0)</f>
        <v>0</v>
      </c>
      <c r="AA813" s="246">
        <f>IFERROR(VLOOKUP(M813,PROGRAMAS[],2,FALSE),0)</f>
        <v>0</v>
      </c>
      <c r="AB813" s="246">
        <f>IFERROR(VLOOKUP(N813,PROGRAMAS[],2,FALSE),0)</f>
        <v>0</v>
      </c>
      <c r="AC813" s="246">
        <f>IFERROR(VLOOKUP(O813,PROGRAMAS[],2,FALSE),0)</f>
        <v>0</v>
      </c>
      <c r="AD813" s="246">
        <f>IFERROR(VLOOKUP(P813,PROGRAMAS[],2,FALSE),0)</f>
        <v>0</v>
      </c>
      <c r="AE813" s="246">
        <f>IFERROR(VLOOKUP(Q813,PROGRAMAS[],2,FALSE),0)</f>
        <v>0</v>
      </c>
      <c r="AF813" s="246">
        <f>IFERROR(VLOOKUP(D813,PROGRAMAS[],3,FALSE),0)</f>
        <v>841888629.31080008</v>
      </c>
      <c r="AG813" s="246">
        <f>IFERROR(VLOOKUP(E813,PROGRAMAS[],3,FALSE),0)</f>
        <v>3848980803.1642323</v>
      </c>
      <c r="AH813" s="246">
        <f>IFERROR(VLOOKUP(F813,PROGRAMAS[],3,FALSE),0)</f>
        <v>3394901471.387517</v>
      </c>
      <c r="AI813" s="246">
        <f>IFERROR(VLOOKUP(G813,PROGRAMAS[],3,FALSE),0)</f>
        <v>1233505101.0616004</v>
      </c>
      <c r="AJ813" s="246">
        <f>IFERROR(VLOOKUP(H813,PROGRAMAS[],3,FALSE),0)</f>
        <v>6129902208.7912121</v>
      </c>
      <c r="AK813" s="246">
        <f>IFERROR(VLOOKUP(I813,PROGRAMAS[],3,FALSE),0)</f>
        <v>675517840.109828</v>
      </c>
      <c r="AL813" s="246">
        <f>IFERROR(VLOOKUP(J813,PROGRAMAS[],3,FALSE),0)</f>
        <v>31865326.38096505</v>
      </c>
      <c r="AM813" s="246">
        <f>IFERROR(VLOOKUP(K813,PROGRAMAS[],3,FALSE),0)</f>
        <v>118617452.52510804</v>
      </c>
      <c r="AN813" s="246">
        <f>IFERROR(VLOOKUP(L813,PROGRAMAS[],3,FALSE),0)</f>
        <v>0</v>
      </c>
      <c r="AO813" s="246">
        <f>IFERROR(VLOOKUP(M813,PROGRAMAS[],3,FALSE),0)</f>
        <v>0</v>
      </c>
      <c r="AP813" s="246">
        <f>IFERROR(VLOOKUP(N813,PROGRAMAS[],3,FALSE),0)</f>
        <v>0</v>
      </c>
      <c r="AQ813" s="246">
        <f>IFERROR(VLOOKUP(O813,PROGRAMAS[],3,FALSE),0)</f>
        <v>0</v>
      </c>
      <c r="AR813" s="246">
        <f>IFERROR(VLOOKUP(P813,PROGRAMAS[],3,FALSE),0)</f>
        <v>0</v>
      </c>
      <c r="AS813" s="246">
        <f>IFERROR(VLOOKUP(Q813,PROGRAMAS[],3,FALSE),0)</f>
        <v>0</v>
      </c>
      <c r="AT813" s="246">
        <f>IFERROR(VLOOKUP(D813,VOL_REC[],2,FALSE),0)</f>
        <v>0</v>
      </c>
      <c r="AU813" s="246">
        <f>IFERROR(VLOOKUP(E813,VOL_REC[],2,FALSE),0)</f>
        <v>0</v>
      </c>
      <c r="AV813" s="246">
        <f>IFERROR(VLOOKUP(F813,VOL_REC[],2,FALSE),0)</f>
        <v>11089674.200000001</v>
      </c>
      <c r="AW813" s="246">
        <f>IFERROR(VLOOKUP(G813,VOL_REC[],2,FALSE),0)</f>
        <v>4325103.1812214684</v>
      </c>
      <c r="AX813" s="246">
        <f>IFERROR(VLOOKUP(H813,VOL_REC[],2,FALSE),0)</f>
        <v>15540036.397699751</v>
      </c>
      <c r="AY813" s="246">
        <f>IFERROR(VLOOKUP(I813,VOL_REC[],2,FALSE),0)</f>
        <v>240696.79238099116</v>
      </c>
      <c r="AZ813" s="246">
        <f>IFERROR(VLOOKUP(J813,VOL_REC[],2,FALSE),0)</f>
        <v>17074.045034105649</v>
      </c>
      <c r="BA813" s="246">
        <f>IFERROR(VLOOKUP(K813,VOL_REC[],2,FALSE),0)</f>
        <v>105072</v>
      </c>
      <c r="BB813" s="246">
        <f>IFERROR(VLOOKUP(L813,VOL_REC[],2,FALSE),0)</f>
        <v>0</v>
      </c>
      <c r="BC813" s="246">
        <f>IFERROR(VLOOKUP(M813,VOL_REC[],2,FALSE),0)</f>
        <v>0</v>
      </c>
      <c r="BD813" s="246">
        <f>IFERROR(VLOOKUP(N813,VOL_REC[],2,FALSE),0)</f>
        <v>0</v>
      </c>
      <c r="BE813" s="246">
        <f>IFERROR(VLOOKUP(O813,VOL_REC[],2,FALSE),0)</f>
        <v>0</v>
      </c>
      <c r="BF813" s="246">
        <f>IFERROR(VLOOKUP(P813,VOL_REC[],2,FALSE),0)</f>
        <v>0</v>
      </c>
      <c r="BG813" s="246">
        <f>IFERROR(VLOOKUP(Q813,VOL_REC[],2,FALSE),0)</f>
        <v>0</v>
      </c>
      <c r="BH813" s="1710">
        <f t="shared" si="48"/>
        <v>13089637760.020046</v>
      </c>
      <c r="BI813" s="1710">
        <f t="shared" si="49"/>
        <v>16275178832.731264</v>
      </c>
      <c r="BJ813" s="1711">
        <f t="shared" si="50"/>
        <v>31317656.61633632</v>
      </c>
      <c r="BK813" s="1711">
        <f t="shared" si="51"/>
        <v>0.80426998035163044</v>
      </c>
    </row>
    <row r="814" spans="3:67" x14ac:dyDescent="0.25">
      <c r="C814" s="246" t="s">
        <v>2164</v>
      </c>
      <c r="D814" s="246">
        <v>1</v>
      </c>
      <c r="E814" s="246">
        <v>2</v>
      </c>
      <c r="F814" s="246">
        <v>3</v>
      </c>
      <c r="G814" s="246">
        <v>5</v>
      </c>
      <c r="H814" s="246">
        <v>6</v>
      </c>
      <c r="I814" s="246">
        <v>12</v>
      </c>
      <c r="J814" s="246">
        <v>14</v>
      </c>
      <c r="K814" s="246">
        <v>16</v>
      </c>
      <c r="L814" s="246"/>
      <c r="M814" s="246"/>
      <c r="N814" s="246"/>
      <c r="O814" s="246"/>
      <c r="P814" s="246"/>
      <c r="Q814" s="246"/>
      <c r="R814" s="246">
        <f>IFERROR(VLOOKUP(D814,PROGRAMAS[],2,FALSE),0)</f>
        <v>97037803.679377079</v>
      </c>
      <c r="S814" s="246">
        <f>IFERROR(VLOOKUP(E814,PROGRAMAS[],2,FALSE),0)</f>
        <v>640501509.6821388</v>
      </c>
      <c r="T814" s="246">
        <f>IFERROR(VLOOKUP(F814,PROGRAMAS[],2,FALSE),0)</f>
        <v>3062327798.1525245</v>
      </c>
      <c r="U814" s="246">
        <f>IFERROR(VLOOKUP(G814,PROGRAMAS[],2,FALSE),0)</f>
        <v>1440941976.2528784</v>
      </c>
      <c r="V814" s="246">
        <f>IFERROR(VLOOKUP(H814,PROGRAMAS[],2,FALSE),0)</f>
        <v>6907648435.8447599</v>
      </c>
      <c r="W814" s="246">
        <f>IFERROR(VLOOKUP(I814,PROGRAMAS[],2,FALSE),0)</f>
        <v>764796700.79905891</v>
      </c>
      <c r="X814" s="246">
        <f>IFERROR(VLOOKUP(J814,PROGRAMAS[],2,FALSE),0)</f>
        <v>54223862.645839565</v>
      </c>
      <c r="Y814" s="246">
        <f>IFERROR(VLOOKUP(K814,PROGRAMAS[],2,FALSE),0)</f>
        <v>7068496961.0436354</v>
      </c>
      <c r="Z814" s="246">
        <f>IFERROR(VLOOKUP(L814,PROGRAMAS[],2,FALSE),0)</f>
        <v>0</v>
      </c>
      <c r="AA814" s="246">
        <f>IFERROR(VLOOKUP(M814,PROGRAMAS[],2,FALSE),0)</f>
        <v>0</v>
      </c>
      <c r="AB814" s="246">
        <f>IFERROR(VLOOKUP(N814,PROGRAMAS[],2,FALSE),0)</f>
        <v>0</v>
      </c>
      <c r="AC814" s="246">
        <f>IFERROR(VLOOKUP(O814,PROGRAMAS[],2,FALSE),0)</f>
        <v>0</v>
      </c>
      <c r="AD814" s="246">
        <f>IFERROR(VLOOKUP(P814,PROGRAMAS[],2,FALSE),0)</f>
        <v>0</v>
      </c>
      <c r="AE814" s="246">
        <f>IFERROR(VLOOKUP(Q814,PROGRAMAS[],2,FALSE),0)</f>
        <v>0</v>
      </c>
      <c r="AF814" s="246">
        <f>IFERROR(VLOOKUP(D814,PROGRAMAS[],3,FALSE),0)</f>
        <v>841888629.31080008</v>
      </c>
      <c r="AG814" s="246">
        <f>IFERROR(VLOOKUP(E814,PROGRAMAS[],3,FALSE),0)</f>
        <v>3848980803.1642323</v>
      </c>
      <c r="AH814" s="246">
        <f>IFERROR(VLOOKUP(F814,PROGRAMAS[],3,FALSE),0)</f>
        <v>3394901471.387517</v>
      </c>
      <c r="AI814" s="246">
        <f>IFERROR(VLOOKUP(G814,PROGRAMAS[],3,FALSE),0)</f>
        <v>1233505101.0616004</v>
      </c>
      <c r="AJ814" s="246">
        <f>IFERROR(VLOOKUP(H814,PROGRAMAS[],3,FALSE),0)</f>
        <v>6129902208.7912121</v>
      </c>
      <c r="AK814" s="246">
        <f>IFERROR(VLOOKUP(I814,PROGRAMAS[],3,FALSE),0)</f>
        <v>675517840.109828</v>
      </c>
      <c r="AL814" s="246">
        <f>IFERROR(VLOOKUP(J814,PROGRAMAS[],3,FALSE),0)</f>
        <v>31865326.38096505</v>
      </c>
      <c r="AM814" s="246">
        <f>IFERROR(VLOOKUP(K814,PROGRAMAS[],3,FALSE),0)</f>
        <v>2406564599.0319901</v>
      </c>
      <c r="AN814" s="246">
        <f>IFERROR(VLOOKUP(L814,PROGRAMAS[],3,FALSE),0)</f>
        <v>0</v>
      </c>
      <c r="AO814" s="246">
        <f>IFERROR(VLOOKUP(M814,PROGRAMAS[],3,FALSE),0)</f>
        <v>0</v>
      </c>
      <c r="AP814" s="246">
        <f>IFERROR(VLOOKUP(N814,PROGRAMAS[],3,FALSE),0)</f>
        <v>0</v>
      </c>
      <c r="AQ814" s="246">
        <f>IFERROR(VLOOKUP(O814,PROGRAMAS[],3,FALSE),0)</f>
        <v>0</v>
      </c>
      <c r="AR814" s="246">
        <f>IFERROR(VLOOKUP(P814,PROGRAMAS[],3,FALSE),0)</f>
        <v>0</v>
      </c>
      <c r="AS814" s="246">
        <f>IFERROR(VLOOKUP(Q814,PROGRAMAS[],3,FALSE),0)</f>
        <v>0</v>
      </c>
      <c r="AT814" s="246">
        <f>IFERROR(VLOOKUP(D814,VOL_REC[],2,FALSE),0)</f>
        <v>0</v>
      </c>
      <c r="AU814" s="246">
        <f>IFERROR(VLOOKUP(E814,VOL_REC[],2,FALSE),0)</f>
        <v>0</v>
      </c>
      <c r="AV814" s="246">
        <f>IFERROR(VLOOKUP(F814,VOL_REC[],2,FALSE),0)</f>
        <v>11089674.200000001</v>
      </c>
      <c r="AW814" s="246">
        <f>IFERROR(VLOOKUP(G814,VOL_REC[],2,FALSE),0)</f>
        <v>4325103.1812214684</v>
      </c>
      <c r="AX814" s="246">
        <f>IFERROR(VLOOKUP(H814,VOL_REC[],2,FALSE),0)</f>
        <v>15540036.397699751</v>
      </c>
      <c r="AY814" s="246">
        <f>IFERROR(VLOOKUP(I814,VOL_REC[],2,FALSE),0)</f>
        <v>240696.79238099116</v>
      </c>
      <c r="AZ814" s="246">
        <f>IFERROR(VLOOKUP(J814,VOL_REC[],2,FALSE),0)</f>
        <v>17074.045034105649</v>
      </c>
      <c r="BA814" s="246">
        <f>IFERROR(VLOOKUP(K814,VOL_REC[],2,FALSE),0)</f>
        <v>1072354.9981737854</v>
      </c>
      <c r="BB814" s="246">
        <f>IFERROR(VLOOKUP(L814,VOL_REC[],2,FALSE),0)</f>
        <v>0</v>
      </c>
      <c r="BC814" s="246">
        <f>IFERROR(VLOOKUP(M814,VOL_REC[],2,FALSE),0)</f>
        <v>0</v>
      </c>
      <c r="BD814" s="246">
        <f>IFERROR(VLOOKUP(N814,VOL_REC[],2,FALSE),0)</f>
        <v>0</v>
      </c>
      <c r="BE814" s="246">
        <f>IFERROR(VLOOKUP(O814,VOL_REC[],2,FALSE),0)</f>
        <v>0</v>
      </c>
      <c r="BF814" s="246">
        <f>IFERROR(VLOOKUP(P814,VOL_REC[],2,FALSE),0)</f>
        <v>0</v>
      </c>
      <c r="BG814" s="246">
        <f>IFERROR(VLOOKUP(Q814,VOL_REC[],2,FALSE),0)</f>
        <v>0</v>
      </c>
      <c r="BH814" s="1710">
        <f t="shared" si="48"/>
        <v>20035975048.100212</v>
      </c>
      <c r="BI814" s="1710">
        <f t="shared" si="49"/>
        <v>18563125979.238144</v>
      </c>
      <c r="BJ814" s="1711">
        <f t="shared" si="50"/>
        <v>32284939.614510104</v>
      </c>
      <c r="BK814" s="1711">
        <f t="shared" si="51"/>
        <v>1.0793427287251818</v>
      </c>
      <c r="BL814">
        <f>BJ814</f>
        <v>32284939.614510104</v>
      </c>
      <c r="BO814">
        <f>BL814</f>
        <v>32284939.614510104</v>
      </c>
    </row>
    <row r="815" spans="3:67" x14ac:dyDescent="0.25">
      <c r="C815" s="246" t="s">
        <v>2165</v>
      </c>
      <c r="D815" s="246">
        <v>1</v>
      </c>
      <c r="E815" s="246">
        <v>2</v>
      </c>
      <c r="F815" s="246">
        <v>3</v>
      </c>
      <c r="G815" s="246">
        <v>5</v>
      </c>
      <c r="H815" s="246">
        <v>6</v>
      </c>
      <c r="I815" s="246">
        <v>12</v>
      </c>
      <c r="J815" s="246">
        <v>14</v>
      </c>
      <c r="K815" s="246">
        <v>17</v>
      </c>
      <c r="L815" s="246"/>
      <c r="M815" s="246"/>
      <c r="N815" s="246"/>
      <c r="O815" s="246"/>
      <c r="P815" s="246"/>
      <c r="Q815" s="246"/>
      <c r="R815" s="246">
        <f>IFERROR(VLOOKUP(D815,PROGRAMAS[],2,FALSE),0)</f>
        <v>97037803.679377079</v>
      </c>
      <c r="S815" s="246">
        <f>IFERROR(VLOOKUP(E815,PROGRAMAS[],2,FALSE),0)</f>
        <v>640501509.6821388</v>
      </c>
      <c r="T815" s="246">
        <f>IFERROR(VLOOKUP(F815,PROGRAMAS[],2,FALSE),0)</f>
        <v>3062327798.1525245</v>
      </c>
      <c r="U815" s="246">
        <f>IFERROR(VLOOKUP(G815,PROGRAMAS[],2,FALSE),0)</f>
        <v>1440941976.2528784</v>
      </c>
      <c r="V815" s="246">
        <f>IFERROR(VLOOKUP(H815,PROGRAMAS[],2,FALSE),0)</f>
        <v>6907648435.8447599</v>
      </c>
      <c r="W815" s="246">
        <f>IFERROR(VLOOKUP(I815,PROGRAMAS[],2,FALSE),0)</f>
        <v>764796700.79905891</v>
      </c>
      <c r="X815" s="246">
        <f>IFERROR(VLOOKUP(J815,PROGRAMAS[],2,FALSE),0)</f>
        <v>54223862.645839565</v>
      </c>
      <c r="Y815" s="246">
        <f>IFERROR(VLOOKUP(K815,PROGRAMAS[],2,FALSE),0)</f>
        <v>1892779498.5211046</v>
      </c>
      <c r="Z815" s="246">
        <f>IFERROR(VLOOKUP(L815,PROGRAMAS[],2,FALSE),0)</f>
        <v>0</v>
      </c>
      <c r="AA815" s="246">
        <f>IFERROR(VLOOKUP(M815,PROGRAMAS[],2,FALSE),0)</f>
        <v>0</v>
      </c>
      <c r="AB815" s="246">
        <f>IFERROR(VLOOKUP(N815,PROGRAMAS[],2,FALSE),0)</f>
        <v>0</v>
      </c>
      <c r="AC815" s="246">
        <f>IFERROR(VLOOKUP(O815,PROGRAMAS[],2,FALSE),0)</f>
        <v>0</v>
      </c>
      <c r="AD815" s="246">
        <f>IFERROR(VLOOKUP(P815,PROGRAMAS[],2,FALSE),0)</f>
        <v>0</v>
      </c>
      <c r="AE815" s="246">
        <f>IFERROR(VLOOKUP(Q815,PROGRAMAS[],2,FALSE),0)</f>
        <v>0</v>
      </c>
      <c r="AF815" s="246">
        <f>IFERROR(VLOOKUP(D815,PROGRAMAS[],3,FALSE),0)</f>
        <v>841888629.31080008</v>
      </c>
      <c r="AG815" s="246">
        <f>IFERROR(VLOOKUP(E815,PROGRAMAS[],3,FALSE),0)</f>
        <v>3848980803.1642323</v>
      </c>
      <c r="AH815" s="246">
        <f>IFERROR(VLOOKUP(F815,PROGRAMAS[],3,FALSE),0)</f>
        <v>3394901471.387517</v>
      </c>
      <c r="AI815" s="246">
        <f>IFERROR(VLOOKUP(G815,PROGRAMAS[],3,FALSE),0)</f>
        <v>1233505101.0616004</v>
      </c>
      <c r="AJ815" s="246">
        <f>IFERROR(VLOOKUP(H815,PROGRAMAS[],3,FALSE),0)</f>
        <v>6129902208.7912121</v>
      </c>
      <c r="AK815" s="246">
        <f>IFERROR(VLOOKUP(I815,PROGRAMAS[],3,FALSE),0)</f>
        <v>675517840.109828</v>
      </c>
      <c r="AL815" s="246">
        <f>IFERROR(VLOOKUP(J815,PROGRAMAS[],3,FALSE),0)</f>
        <v>31865326.38096505</v>
      </c>
      <c r="AM815" s="246">
        <f>IFERROR(VLOOKUP(K815,PROGRAMAS[],3,FALSE),0)</f>
        <v>948595847.09039903</v>
      </c>
      <c r="AN815" s="246">
        <f>IFERROR(VLOOKUP(L815,PROGRAMAS[],3,FALSE),0)</f>
        <v>0</v>
      </c>
      <c r="AO815" s="246">
        <f>IFERROR(VLOOKUP(M815,PROGRAMAS[],3,FALSE),0)</f>
        <v>0</v>
      </c>
      <c r="AP815" s="246">
        <f>IFERROR(VLOOKUP(N815,PROGRAMAS[],3,FALSE),0)</f>
        <v>0</v>
      </c>
      <c r="AQ815" s="246">
        <f>IFERROR(VLOOKUP(O815,PROGRAMAS[],3,FALSE),0)</f>
        <v>0</v>
      </c>
      <c r="AR815" s="246">
        <f>IFERROR(VLOOKUP(P815,PROGRAMAS[],3,FALSE),0)</f>
        <v>0</v>
      </c>
      <c r="AS815" s="246">
        <f>IFERROR(VLOOKUP(Q815,PROGRAMAS[],3,FALSE),0)</f>
        <v>0</v>
      </c>
      <c r="AT815" s="246">
        <f>IFERROR(VLOOKUP(D815,VOL_REC[],2,FALSE),0)</f>
        <v>0</v>
      </c>
      <c r="AU815" s="246">
        <f>IFERROR(VLOOKUP(E815,VOL_REC[],2,FALSE),0)</f>
        <v>0</v>
      </c>
      <c r="AV815" s="246">
        <f>IFERROR(VLOOKUP(F815,VOL_REC[],2,FALSE),0)</f>
        <v>11089674.200000001</v>
      </c>
      <c r="AW815" s="246">
        <f>IFERROR(VLOOKUP(G815,VOL_REC[],2,FALSE),0)</f>
        <v>4325103.1812214684</v>
      </c>
      <c r="AX815" s="246">
        <f>IFERROR(VLOOKUP(H815,VOL_REC[],2,FALSE),0)</f>
        <v>15540036.397699751</v>
      </c>
      <c r="AY815" s="246">
        <f>IFERROR(VLOOKUP(I815,VOL_REC[],2,FALSE),0)</f>
        <v>240696.79238099116</v>
      </c>
      <c r="AZ815" s="246">
        <f>IFERROR(VLOOKUP(J815,VOL_REC[],2,FALSE),0)</f>
        <v>17074.045034105649</v>
      </c>
      <c r="BA815" s="246">
        <f>IFERROR(VLOOKUP(K815,VOL_REC[],2,FALSE),0)</f>
        <v>740113.98115702497</v>
      </c>
      <c r="BB815" s="246">
        <f>IFERROR(VLOOKUP(L815,VOL_REC[],2,FALSE),0)</f>
        <v>0</v>
      </c>
      <c r="BC815" s="246">
        <f>IFERROR(VLOOKUP(M815,VOL_REC[],2,FALSE),0)</f>
        <v>0</v>
      </c>
      <c r="BD815" s="246">
        <f>IFERROR(VLOOKUP(N815,VOL_REC[],2,FALSE),0)</f>
        <v>0</v>
      </c>
      <c r="BE815" s="246">
        <f>IFERROR(VLOOKUP(O815,VOL_REC[],2,FALSE),0)</f>
        <v>0</v>
      </c>
      <c r="BF815" s="246">
        <f>IFERROR(VLOOKUP(P815,VOL_REC[],2,FALSE),0)</f>
        <v>0</v>
      </c>
      <c r="BG815" s="246">
        <f>IFERROR(VLOOKUP(Q815,VOL_REC[],2,FALSE),0)</f>
        <v>0</v>
      </c>
      <c r="BH815" s="1710">
        <f t="shared" si="48"/>
        <v>14860257585.577682</v>
      </c>
      <c r="BI815" s="1710">
        <f t="shared" si="49"/>
        <v>17105157227.296555</v>
      </c>
      <c r="BJ815" s="1711">
        <f t="shared" si="50"/>
        <v>31952698.597493343</v>
      </c>
      <c r="BK815" s="1711">
        <f t="shared" si="51"/>
        <v>0.8687589004948495</v>
      </c>
    </row>
    <row r="816" spans="3:67" x14ac:dyDescent="0.25">
      <c r="C816" s="246" t="s">
        <v>2166</v>
      </c>
      <c r="D816" s="246">
        <v>1</v>
      </c>
      <c r="E816" s="246">
        <v>2</v>
      </c>
      <c r="F816" s="246">
        <v>3</v>
      </c>
      <c r="G816" s="246">
        <v>5</v>
      </c>
      <c r="H816" s="246">
        <v>6</v>
      </c>
      <c r="I816" s="246">
        <v>12</v>
      </c>
      <c r="J816" s="246">
        <v>15</v>
      </c>
      <c r="K816" s="246">
        <v>16</v>
      </c>
      <c r="L816" s="246"/>
      <c r="M816" s="246"/>
      <c r="N816" s="246"/>
      <c r="O816" s="246"/>
      <c r="P816" s="246"/>
      <c r="Q816" s="246"/>
      <c r="R816" s="246">
        <f>IFERROR(VLOOKUP(D816,PROGRAMAS[],2,FALSE),0)</f>
        <v>97037803.679377079</v>
      </c>
      <c r="S816" s="246">
        <f>IFERROR(VLOOKUP(E816,PROGRAMAS[],2,FALSE),0)</f>
        <v>640501509.6821388</v>
      </c>
      <c r="T816" s="246">
        <f>IFERROR(VLOOKUP(F816,PROGRAMAS[],2,FALSE),0)</f>
        <v>3062327798.1525245</v>
      </c>
      <c r="U816" s="246">
        <f>IFERROR(VLOOKUP(G816,PROGRAMAS[],2,FALSE),0)</f>
        <v>1440941976.2528784</v>
      </c>
      <c r="V816" s="246">
        <f>IFERROR(VLOOKUP(H816,PROGRAMAS[],2,FALSE),0)</f>
        <v>6907648435.8447599</v>
      </c>
      <c r="W816" s="246">
        <f>IFERROR(VLOOKUP(I816,PROGRAMAS[],2,FALSE),0)</f>
        <v>764796700.79905891</v>
      </c>
      <c r="X816" s="246">
        <f>IFERROR(VLOOKUP(J816,PROGRAMAS[],2,FALSE),0)</f>
        <v>122159672.96346797</v>
      </c>
      <c r="Y816" s="246">
        <f>IFERROR(VLOOKUP(K816,PROGRAMAS[],2,FALSE),0)</f>
        <v>7068496961.0436354</v>
      </c>
      <c r="Z816" s="246">
        <f>IFERROR(VLOOKUP(L816,PROGRAMAS[],2,FALSE),0)</f>
        <v>0</v>
      </c>
      <c r="AA816" s="246">
        <f>IFERROR(VLOOKUP(M816,PROGRAMAS[],2,FALSE),0)</f>
        <v>0</v>
      </c>
      <c r="AB816" s="246">
        <f>IFERROR(VLOOKUP(N816,PROGRAMAS[],2,FALSE),0)</f>
        <v>0</v>
      </c>
      <c r="AC816" s="246">
        <f>IFERROR(VLOOKUP(O816,PROGRAMAS[],2,FALSE),0)</f>
        <v>0</v>
      </c>
      <c r="AD816" s="246">
        <f>IFERROR(VLOOKUP(P816,PROGRAMAS[],2,FALSE),0)</f>
        <v>0</v>
      </c>
      <c r="AE816" s="246">
        <f>IFERROR(VLOOKUP(Q816,PROGRAMAS[],2,FALSE),0)</f>
        <v>0</v>
      </c>
      <c r="AF816" s="246">
        <f>IFERROR(VLOOKUP(D816,PROGRAMAS[],3,FALSE),0)</f>
        <v>841888629.31080008</v>
      </c>
      <c r="AG816" s="246">
        <f>IFERROR(VLOOKUP(E816,PROGRAMAS[],3,FALSE),0)</f>
        <v>3848980803.1642323</v>
      </c>
      <c r="AH816" s="246">
        <f>IFERROR(VLOOKUP(F816,PROGRAMAS[],3,FALSE),0)</f>
        <v>3394901471.387517</v>
      </c>
      <c r="AI816" s="246">
        <f>IFERROR(VLOOKUP(G816,PROGRAMAS[],3,FALSE),0)</f>
        <v>1233505101.0616004</v>
      </c>
      <c r="AJ816" s="246">
        <f>IFERROR(VLOOKUP(H816,PROGRAMAS[],3,FALSE),0)</f>
        <v>6129902208.7912121</v>
      </c>
      <c r="AK816" s="246">
        <f>IFERROR(VLOOKUP(I816,PROGRAMAS[],3,FALSE),0)</f>
        <v>675517840.109828</v>
      </c>
      <c r="AL816" s="246">
        <f>IFERROR(VLOOKUP(J816,PROGRAMAS[],3,FALSE),0)</f>
        <v>118617452.52510804</v>
      </c>
      <c r="AM816" s="246">
        <f>IFERROR(VLOOKUP(K816,PROGRAMAS[],3,FALSE),0)</f>
        <v>2406564599.0319901</v>
      </c>
      <c r="AN816" s="246">
        <f>IFERROR(VLOOKUP(L816,PROGRAMAS[],3,FALSE),0)</f>
        <v>0</v>
      </c>
      <c r="AO816" s="246">
        <f>IFERROR(VLOOKUP(M816,PROGRAMAS[],3,FALSE),0)</f>
        <v>0</v>
      </c>
      <c r="AP816" s="246">
        <f>IFERROR(VLOOKUP(N816,PROGRAMAS[],3,FALSE),0)</f>
        <v>0</v>
      </c>
      <c r="AQ816" s="246">
        <f>IFERROR(VLOOKUP(O816,PROGRAMAS[],3,FALSE),0)</f>
        <v>0</v>
      </c>
      <c r="AR816" s="246">
        <f>IFERROR(VLOOKUP(P816,PROGRAMAS[],3,FALSE),0)</f>
        <v>0</v>
      </c>
      <c r="AS816" s="246">
        <f>IFERROR(VLOOKUP(Q816,PROGRAMAS[],3,FALSE),0)</f>
        <v>0</v>
      </c>
      <c r="AT816" s="246">
        <f>IFERROR(VLOOKUP(D816,VOL_REC[],2,FALSE),0)</f>
        <v>0</v>
      </c>
      <c r="AU816" s="246">
        <f>IFERROR(VLOOKUP(E816,VOL_REC[],2,FALSE),0)</f>
        <v>0</v>
      </c>
      <c r="AV816" s="246">
        <f>IFERROR(VLOOKUP(F816,VOL_REC[],2,FALSE),0)</f>
        <v>11089674.200000001</v>
      </c>
      <c r="AW816" s="246">
        <f>IFERROR(VLOOKUP(G816,VOL_REC[],2,FALSE),0)</f>
        <v>4325103.1812214684</v>
      </c>
      <c r="AX816" s="246">
        <f>IFERROR(VLOOKUP(H816,VOL_REC[],2,FALSE),0)</f>
        <v>15540036.397699751</v>
      </c>
      <c r="AY816" s="246">
        <f>IFERROR(VLOOKUP(I816,VOL_REC[],2,FALSE),0)</f>
        <v>240696.79238099116</v>
      </c>
      <c r="AZ816" s="246">
        <f>IFERROR(VLOOKUP(J816,VOL_REC[],2,FALSE),0)</f>
        <v>105072</v>
      </c>
      <c r="BA816" s="246">
        <f>IFERROR(VLOOKUP(K816,VOL_REC[],2,FALSE),0)</f>
        <v>1072354.9981737854</v>
      </c>
      <c r="BB816" s="246">
        <f>IFERROR(VLOOKUP(L816,VOL_REC[],2,FALSE),0)</f>
        <v>0</v>
      </c>
      <c r="BC816" s="246">
        <f>IFERROR(VLOOKUP(M816,VOL_REC[],2,FALSE),0)</f>
        <v>0</v>
      </c>
      <c r="BD816" s="246">
        <f>IFERROR(VLOOKUP(N816,VOL_REC[],2,FALSE),0)</f>
        <v>0</v>
      </c>
      <c r="BE816" s="246">
        <f>IFERROR(VLOOKUP(O816,VOL_REC[],2,FALSE),0)</f>
        <v>0</v>
      </c>
      <c r="BF816" s="246">
        <f>IFERROR(VLOOKUP(P816,VOL_REC[],2,FALSE),0)</f>
        <v>0</v>
      </c>
      <c r="BG816" s="246">
        <f>IFERROR(VLOOKUP(Q816,VOL_REC[],2,FALSE),0)</f>
        <v>0</v>
      </c>
      <c r="BH816" s="1710">
        <f t="shared" si="48"/>
        <v>20103910858.417843</v>
      </c>
      <c r="BI816" s="1710">
        <f t="shared" si="49"/>
        <v>18649878105.38229</v>
      </c>
      <c r="BJ816" s="1711">
        <f t="shared" si="50"/>
        <v>32372937.569475997</v>
      </c>
      <c r="BK816" s="1711">
        <f t="shared" si="51"/>
        <v>1.0779647322529107</v>
      </c>
      <c r="BL816">
        <f>BJ816</f>
        <v>32372937.569475997</v>
      </c>
      <c r="BO816">
        <f>BL816</f>
        <v>32372937.569475997</v>
      </c>
    </row>
    <row r="817" spans="3:67" x14ac:dyDescent="0.25">
      <c r="C817" s="246" t="s">
        <v>2167</v>
      </c>
      <c r="D817" s="246">
        <v>1</v>
      </c>
      <c r="E817" s="246">
        <v>2</v>
      </c>
      <c r="F817" s="246">
        <v>3</v>
      </c>
      <c r="G817" s="246">
        <v>5</v>
      </c>
      <c r="H817" s="246">
        <v>6</v>
      </c>
      <c r="I817" s="246">
        <v>12</v>
      </c>
      <c r="J817" s="246">
        <v>15</v>
      </c>
      <c r="K817" s="246">
        <v>17</v>
      </c>
      <c r="L817" s="246"/>
      <c r="M817" s="246"/>
      <c r="N817" s="246"/>
      <c r="O817" s="246"/>
      <c r="P817" s="246"/>
      <c r="Q817" s="246"/>
      <c r="R817" s="246">
        <f>IFERROR(VLOOKUP(D817,PROGRAMAS[],2,FALSE),0)</f>
        <v>97037803.679377079</v>
      </c>
      <c r="S817" s="246">
        <f>IFERROR(VLOOKUP(E817,PROGRAMAS[],2,FALSE),0)</f>
        <v>640501509.6821388</v>
      </c>
      <c r="T817" s="246">
        <f>IFERROR(VLOOKUP(F817,PROGRAMAS[],2,FALSE),0)</f>
        <v>3062327798.1525245</v>
      </c>
      <c r="U817" s="246">
        <f>IFERROR(VLOOKUP(G817,PROGRAMAS[],2,FALSE),0)</f>
        <v>1440941976.2528784</v>
      </c>
      <c r="V817" s="246">
        <f>IFERROR(VLOOKUP(H817,PROGRAMAS[],2,FALSE),0)</f>
        <v>6907648435.8447599</v>
      </c>
      <c r="W817" s="246">
        <f>IFERROR(VLOOKUP(I817,PROGRAMAS[],2,FALSE),0)</f>
        <v>764796700.79905891</v>
      </c>
      <c r="X817" s="246">
        <f>IFERROR(VLOOKUP(J817,PROGRAMAS[],2,FALSE),0)</f>
        <v>122159672.96346797</v>
      </c>
      <c r="Y817" s="246">
        <f>IFERROR(VLOOKUP(K817,PROGRAMAS[],2,FALSE),0)</f>
        <v>1892779498.5211046</v>
      </c>
      <c r="Z817" s="246">
        <f>IFERROR(VLOOKUP(L817,PROGRAMAS[],2,FALSE),0)</f>
        <v>0</v>
      </c>
      <c r="AA817" s="246">
        <f>IFERROR(VLOOKUP(M817,PROGRAMAS[],2,FALSE),0)</f>
        <v>0</v>
      </c>
      <c r="AB817" s="246">
        <f>IFERROR(VLOOKUP(N817,PROGRAMAS[],2,FALSE),0)</f>
        <v>0</v>
      </c>
      <c r="AC817" s="246">
        <f>IFERROR(VLOOKUP(O817,PROGRAMAS[],2,FALSE),0)</f>
        <v>0</v>
      </c>
      <c r="AD817" s="246">
        <f>IFERROR(VLOOKUP(P817,PROGRAMAS[],2,FALSE),0)</f>
        <v>0</v>
      </c>
      <c r="AE817" s="246">
        <f>IFERROR(VLOOKUP(Q817,PROGRAMAS[],2,FALSE),0)</f>
        <v>0</v>
      </c>
      <c r="AF817" s="246">
        <f>IFERROR(VLOOKUP(D817,PROGRAMAS[],3,FALSE),0)</f>
        <v>841888629.31080008</v>
      </c>
      <c r="AG817" s="246">
        <f>IFERROR(VLOOKUP(E817,PROGRAMAS[],3,FALSE),0)</f>
        <v>3848980803.1642323</v>
      </c>
      <c r="AH817" s="246">
        <f>IFERROR(VLOOKUP(F817,PROGRAMAS[],3,FALSE),0)</f>
        <v>3394901471.387517</v>
      </c>
      <c r="AI817" s="246">
        <f>IFERROR(VLOOKUP(G817,PROGRAMAS[],3,FALSE),0)</f>
        <v>1233505101.0616004</v>
      </c>
      <c r="AJ817" s="246">
        <f>IFERROR(VLOOKUP(H817,PROGRAMAS[],3,FALSE),0)</f>
        <v>6129902208.7912121</v>
      </c>
      <c r="AK817" s="246">
        <f>IFERROR(VLOOKUP(I817,PROGRAMAS[],3,FALSE),0)</f>
        <v>675517840.109828</v>
      </c>
      <c r="AL817" s="246">
        <f>IFERROR(VLOOKUP(J817,PROGRAMAS[],3,FALSE),0)</f>
        <v>118617452.52510804</v>
      </c>
      <c r="AM817" s="246">
        <f>IFERROR(VLOOKUP(K817,PROGRAMAS[],3,FALSE),0)</f>
        <v>948595847.09039903</v>
      </c>
      <c r="AN817" s="246">
        <f>IFERROR(VLOOKUP(L817,PROGRAMAS[],3,FALSE),0)</f>
        <v>0</v>
      </c>
      <c r="AO817" s="246">
        <f>IFERROR(VLOOKUP(M817,PROGRAMAS[],3,FALSE),0)</f>
        <v>0</v>
      </c>
      <c r="AP817" s="246">
        <f>IFERROR(VLOOKUP(N817,PROGRAMAS[],3,FALSE),0)</f>
        <v>0</v>
      </c>
      <c r="AQ817" s="246">
        <f>IFERROR(VLOOKUP(O817,PROGRAMAS[],3,FALSE),0)</f>
        <v>0</v>
      </c>
      <c r="AR817" s="246">
        <f>IFERROR(VLOOKUP(P817,PROGRAMAS[],3,FALSE),0)</f>
        <v>0</v>
      </c>
      <c r="AS817" s="246">
        <f>IFERROR(VLOOKUP(Q817,PROGRAMAS[],3,FALSE),0)</f>
        <v>0</v>
      </c>
      <c r="AT817" s="246">
        <f>IFERROR(VLOOKUP(D817,VOL_REC[],2,FALSE),0)</f>
        <v>0</v>
      </c>
      <c r="AU817" s="246">
        <f>IFERROR(VLOOKUP(E817,VOL_REC[],2,FALSE),0)</f>
        <v>0</v>
      </c>
      <c r="AV817" s="246">
        <f>IFERROR(VLOOKUP(F817,VOL_REC[],2,FALSE),0)</f>
        <v>11089674.200000001</v>
      </c>
      <c r="AW817" s="246">
        <f>IFERROR(VLOOKUP(G817,VOL_REC[],2,FALSE),0)</f>
        <v>4325103.1812214684</v>
      </c>
      <c r="AX817" s="246">
        <f>IFERROR(VLOOKUP(H817,VOL_REC[],2,FALSE),0)</f>
        <v>15540036.397699751</v>
      </c>
      <c r="AY817" s="246">
        <f>IFERROR(VLOOKUP(I817,VOL_REC[],2,FALSE),0)</f>
        <v>240696.79238099116</v>
      </c>
      <c r="AZ817" s="246">
        <f>IFERROR(VLOOKUP(J817,VOL_REC[],2,FALSE),0)</f>
        <v>105072</v>
      </c>
      <c r="BA817" s="246">
        <f>IFERROR(VLOOKUP(K817,VOL_REC[],2,FALSE),0)</f>
        <v>740113.98115702497</v>
      </c>
      <c r="BB817" s="246">
        <f>IFERROR(VLOOKUP(L817,VOL_REC[],2,FALSE),0)</f>
        <v>0</v>
      </c>
      <c r="BC817" s="246">
        <f>IFERROR(VLOOKUP(M817,VOL_REC[],2,FALSE),0)</f>
        <v>0</v>
      </c>
      <c r="BD817" s="246">
        <f>IFERROR(VLOOKUP(N817,VOL_REC[],2,FALSE),0)</f>
        <v>0</v>
      </c>
      <c r="BE817" s="246">
        <f>IFERROR(VLOOKUP(O817,VOL_REC[],2,FALSE),0)</f>
        <v>0</v>
      </c>
      <c r="BF817" s="246">
        <f>IFERROR(VLOOKUP(P817,VOL_REC[],2,FALSE),0)</f>
        <v>0</v>
      </c>
      <c r="BG817" s="246">
        <f>IFERROR(VLOOKUP(Q817,VOL_REC[],2,FALSE),0)</f>
        <v>0</v>
      </c>
      <c r="BH817" s="1710">
        <f t="shared" si="48"/>
        <v>14928193395.895311</v>
      </c>
      <c r="BI817" s="1710">
        <f t="shared" si="49"/>
        <v>17191909353.440701</v>
      </c>
      <c r="BJ817" s="1711">
        <f t="shared" si="50"/>
        <v>32040696.552459236</v>
      </c>
      <c r="BK817" s="1711">
        <f t="shared" si="51"/>
        <v>0.8683266697720029</v>
      </c>
    </row>
    <row r="818" spans="3:67" x14ac:dyDescent="0.25">
      <c r="C818" s="246" t="s">
        <v>2168</v>
      </c>
      <c r="D818" s="246">
        <v>1</v>
      </c>
      <c r="E818" s="246">
        <v>2</v>
      </c>
      <c r="F818" s="246">
        <v>3</v>
      </c>
      <c r="G818" s="246">
        <v>5</v>
      </c>
      <c r="H818" s="246">
        <v>6</v>
      </c>
      <c r="I818" s="246">
        <v>12</v>
      </c>
      <c r="J818" s="246">
        <v>16</v>
      </c>
      <c r="K818" s="246">
        <v>17</v>
      </c>
      <c r="L818" s="246"/>
      <c r="M818" s="246"/>
      <c r="N818" s="246"/>
      <c r="O818" s="246"/>
      <c r="P818" s="246"/>
      <c r="Q818" s="246"/>
      <c r="R818" s="246">
        <f>IFERROR(VLOOKUP(D818,PROGRAMAS[],2,FALSE),0)</f>
        <v>97037803.679377079</v>
      </c>
      <c r="S818" s="246">
        <f>IFERROR(VLOOKUP(E818,PROGRAMAS[],2,FALSE),0)</f>
        <v>640501509.6821388</v>
      </c>
      <c r="T818" s="246">
        <f>IFERROR(VLOOKUP(F818,PROGRAMAS[],2,FALSE),0)</f>
        <v>3062327798.1525245</v>
      </c>
      <c r="U818" s="246">
        <f>IFERROR(VLOOKUP(G818,PROGRAMAS[],2,FALSE),0)</f>
        <v>1440941976.2528784</v>
      </c>
      <c r="V818" s="246">
        <f>IFERROR(VLOOKUP(H818,PROGRAMAS[],2,FALSE),0)</f>
        <v>6907648435.8447599</v>
      </c>
      <c r="W818" s="246">
        <f>IFERROR(VLOOKUP(I818,PROGRAMAS[],2,FALSE),0)</f>
        <v>764796700.79905891</v>
      </c>
      <c r="X818" s="246">
        <f>IFERROR(VLOOKUP(J818,PROGRAMAS[],2,FALSE),0)</f>
        <v>7068496961.0436354</v>
      </c>
      <c r="Y818" s="246">
        <f>IFERROR(VLOOKUP(K818,PROGRAMAS[],2,FALSE),0)</f>
        <v>1892779498.5211046</v>
      </c>
      <c r="Z818" s="246">
        <f>IFERROR(VLOOKUP(L818,PROGRAMAS[],2,FALSE),0)</f>
        <v>0</v>
      </c>
      <c r="AA818" s="246">
        <f>IFERROR(VLOOKUP(M818,PROGRAMAS[],2,FALSE),0)</f>
        <v>0</v>
      </c>
      <c r="AB818" s="246">
        <f>IFERROR(VLOOKUP(N818,PROGRAMAS[],2,FALSE),0)</f>
        <v>0</v>
      </c>
      <c r="AC818" s="246">
        <f>IFERROR(VLOOKUP(O818,PROGRAMAS[],2,FALSE),0)</f>
        <v>0</v>
      </c>
      <c r="AD818" s="246">
        <f>IFERROR(VLOOKUP(P818,PROGRAMAS[],2,FALSE),0)</f>
        <v>0</v>
      </c>
      <c r="AE818" s="246">
        <f>IFERROR(VLOOKUP(Q818,PROGRAMAS[],2,FALSE),0)</f>
        <v>0</v>
      </c>
      <c r="AF818" s="246">
        <f>IFERROR(VLOOKUP(D818,PROGRAMAS[],3,FALSE),0)</f>
        <v>841888629.31080008</v>
      </c>
      <c r="AG818" s="246">
        <f>IFERROR(VLOOKUP(E818,PROGRAMAS[],3,FALSE),0)</f>
        <v>3848980803.1642323</v>
      </c>
      <c r="AH818" s="246">
        <f>IFERROR(VLOOKUP(F818,PROGRAMAS[],3,FALSE),0)</f>
        <v>3394901471.387517</v>
      </c>
      <c r="AI818" s="246">
        <f>IFERROR(VLOOKUP(G818,PROGRAMAS[],3,FALSE),0)</f>
        <v>1233505101.0616004</v>
      </c>
      <c r="AJ818" s="246">
        <f>IFERROR(VLOOKUP(H818,PROGRAMAS[],3,FALSE),0)</f>
        <v>6129902208.7912121</v>
      </c>
      <c r="AK818" s="246">
        <f>IFERROR(VLOOKUP(I818,PROGRAMAS[],3,FALSE),0)</f>
        <v>675517840.109828</v>
      </c>
      <c r="AL818" s="246">
        <f>IFERROR(VLOOKUP(J818,PROGRAMAS[],3,FALSE),0)</f>
        <v>2406564599.0319901</v>
      </c>
      <c r="AM818" s="246">
        <f>IFERROR(VLOOKUP(K818,PROGRAMAS[],3,FALSE),0)</f>
        <v>948595847.09039903</v>
      </c>
      <c r="AN818" s="246">
        <f>IFERROR(VLOOKUP(L818,PROGRAMAS[],3,FALSE),0)</f>
        <v>0</v>
      </c>
      <c r="AO818" s="246">
        <f>IFERROR(VLOOKUP(M818,PROGRAMAS[],3,FALSE),0)</f>
        <v>0</v>
      </c>
      <c r="AP818" s="246">
        <f>IFERROR(VLOOKUP(N818,PROGRAMAS[],3,FALSE),0)</f>
        <v>0</v>
      </c>
      <c r="AQ818" s="246">
        <f>IFERROR(VLOOKUP(O818,PROGRAMAS[],3,FALSE),0)</f>
        <v>0</v>
      </c>
      <c r="AR818" s="246">
        <f>IFERROR(VLOOKUP(P818,PROGRAMAS[],3,FALSE),0)</f>
        <v>0</v>
      </c>
      <c r="AS818" s="246">
        <f>IFERROR(VLOOKUP(Q818,PROGRAMAS[],3,FALSE),0)</f>
        <v>0</v>
      </c>
      <c r="AT818" s="246">
        <f>IFERROR(VLOOKUP(D818,VOL_REC[],2,FALSE),0)</f>
        <v>0</v>
      </c>
      <c r="AU818" s="246">
        <f>IFERROR(VLOOKUP(E818,VOL_REC[],2,FALSE),0)</f>
        <v>0</v>
      </c>
      <c r="AV818" s="246">
        <f>IFERROR(VLOOKUP(F818,VOL_REC[],2,FALSE),0)</f>
        <v>11089674.200000001</v>
      </c>
      <c r="AW818" s="246">
        <f>IFERROR(VLOOKUP(G818,VOL_REC[],2,FALSE),0)</f>
        <v>4325103.1812214684</v>
      </c>
      <c r="AX818" s="246">
        <f>IFERROR(VLOOKUP(H818,VOL_REC[],2,FALSE),0)</f>
        <v>15540036.397699751</v>
      </c>
      <c r="AY818" s="246">
        <f>IFERROR(VLOOKUP(I818,VOL_REC[],2,FALSE),0)</f>
        <v>240696.79238099116</v>
      </c>
      <c r="AZ818" s="246">
        <f>IFERROR(VLOOKUP(J818,VOL_REC[],2,FALSE),0)</f>
        <v>1072354.9981737854</v>
      </c>
      <c r="BA818" s="246">
        <f>IFERROR(VLOOKUP(K818,VOL_REC[],2,FALSE),0)</f>
        <v>740113.98115702497</v>
      </c>
      <c r="BB818" s="246">
        <f>IFERROR(VLOOKUP(L818,VOL_REC[],2,FALSE),0)</f>
        <v>0</v>
      </c>
      <c r="BC818" s="246">
        <f>IFERROR(VLOOKUP(M818,VOL_REC[],2,FALSE),0)</f>
        <v>0</v>
      </c>
      <c r="BD818" s="246">
        <f>IFERROR(VLOOKUP(N818,VOL_REC[],2,FALSE),0)</f>
        <v>0</v>
      </c>
      <c r="BE818" s="246">
        <f>IFERROR(VLOOKUP(O818,VOL_REC[],2,FALSE),0)</f>
        <v>0</v>
      </c>
      <c r="BF818" s="246">
        <f>IFERROR(VLOOKUP(P818,VOL_REC[],2,FALSE),0)</f>
        <v>0</v>
      </c>
      <c r="BG818" s="246">
        <f>IFERROR(VLOOKUP(Q818,VOL_REC[],2,FALSE),0)</f>
        <v>0</v>
      </c>
      <c r="BH818" s="1710">
        <f t="shared" si="48"/>
        <v>21874530683.975475</v>
      </c>
      <c r="BI818" s="1710">
        <f t="shared" si="49"/>
        <v>19479856499.947582</v>
      </c>
      <c r="BJ818" s="1711">
        <f t="shared" si="50"/>
        <v>33007979.550633021</v>
      </c>
      <c r="BK818" s="1711">
        <f t="shared" si="51"/>
        <v>1.1229307918174005</v>
      </c>
      <c r="BL818">
        <f>BJ818</f>
        <v>33007979.550633021</v>
      </c>
      <c r="BO818">
        <f>BL818</f>
        <v>33007979.550633021</v>
      </c>
    </row>
    <row r="819" spans="3:67" x14ac:dyDescent="0.25">
      <c r="C819" s="246" t="s">
        <v>2169</v>
      </c>
      <c r="D819" s="246">
        <v>1</v>
      </c>
      <c r="E819" s="246">
        <v>2</v>
      </c>
      <c r="F819" s="246">
        <v>3</v>
      </c>
      <c r="G819" s="246">
        <v>5</v>
      </c>
      <c r="H819" s="246">
        <v>6</v>
      </c>
      <c r="I819" s="246">
        <v>13</v>
      </c>
      <c r="J819" s="246">
        <v>14</v>
      </c>
      <c r="K819" s="246">
        <v>15</v>
      </c>
      <c r="L819" s="246"/>
      <c r="M819" s="246"/>
      <c r="N819" s="246"/>
      <c r="O819" s="246"/>
      <c r="P819" s="246"/>
      <c r="Q819" s="246"/>
      <c r="R819" s="246">
        <f>IFERROR(VLOOKUP(D819,PROGRAMAS[],2,FALSE),0)</f>
        <v>97037803.679377079</v>
      </c>
      <c r="S819" s="246">
        <f>IFERROR(VLOOKUP(E819,PROGRAMAS[],2,FALSE),0)</f>
        <v>640501509.6821388</v>
      </c>
      <c r="T819" s="246">
        <f>IFERROR(VLOOKUP(F819,PROGRAMAS[],2,FALSE),0)</f>
        <v>3062327798.1525245</v>
      </c>
      <c r="U819" s="246">
        <f>IFERROR(VLOOKUP(G819,PROGRAMAS[],2,FALSE),0)</f>
        <v>1440941976.2528784</v>
      </c>
      <c r="V819" s="246">
        <f>IFERROR(VLOOKUP(H819,PROGRAMAS[],2,FALSE),0)</f>
        <v>6907648435.8447599</v>
      </c>
      <c r="W819" s="246">
        <f>IFERROR(VLOOKUP(I819,PROGRAMAS[],2,FALSE),0)</f>
        <v>3776538594.4604583</v>
      </c>
      <c r="X819" s="246">
        <f>IFERROR(VLOOKUP(J819,PROGRAMAS[],2,FALSE),0)</f>
        <v>54223862.645839565</v>
      </c>
      <c r="Y819" s="246">
        <f>IFERROR(VLOOKUP(K819,PROGRAMAS[],2,FALSE),0)</f>
        <v>122159672.96346797</v>
      </c>
      <c r="Z819" s="246">
        <f>IFERROR(VLOOKUP(L819,PROGRAMAS[],2,FALSE),0)</f>
        <v>0</v>
      </c>
      <c r="AA819" s="246">
        <f>IFERROR(VLOOKUP(M819,PROGRAMAS[],2,FALSE),0)</f>
        <v>0</v>
      </c>
      <c r="AB819" s="246">
        <f>IFERROR(VLOOKUP(N819,PROGRAMAS[],2,FALSE),0)</f>
        <v>0</v>
      </c>
      <c r="AC819" s="246">
        <f>IFERROR(VLOOKUP(O819,PROGRAMAS[],2,FALSE),0)</f>
        <v>0</v>
      </c>
      <c r="AD819" s="246">
        <f>IFERROR(VLOOKUP(P819,PROGRAMAS[],2,FALSE),0)</f>
        <v>0</v>
      </c>
      <c r="AE819" s="246">
        <f>IFERROR(VLOOKUP(Q819,PROGRAMAS[],2,FALSE),0)</f>
        <v>0</v>
      </c>
      <c r="AF819" s="246">
        <f>IFERROR(VLOOKUP(D819,PROGRAMAS[],3,FALSE),0)</f>
        <v>841888629.31080008</v>
      </c>
      <c r="AG819" s="246">
        <f>IFERROR(VLOOKUP(E819,PROGRAMAS[],3,FALSE),0)</f>
        <v>3848980803.1642323</v>
      </c>
      <c r="AH819" s="246">
        <f>IFERROR(VLOOKUP(F819,PROGRAMAS[],3,FALSE),0)</f>
        <v>3394901471.387517</v>
      </c>
      <c r="AI819" s="246">
        <f>IFERROR(VLOOKUP(G819,PROGRAMAS[],3,FALSE),0)</f>
        <v>1233505101.0616004</v>
      </c>
      <c r="AJ819" s="246">
        <f>IFERROR(VLOOKUP(H819,PROGRAMAS[],3,FALSE),0)</f>
        <v>6129902208.7912121</v>
      </c>
      <c r="AK819" s="246">
        <f>IFERROR(VLOOKUP(I819,PROGRAMAS[],3,FALSE),0)</f>
        <v>2392571243.5584412</v>
      </c>
      <c r="AL819" s="246">
        <f>IFERROR(VLOOKUP(J819,PROGRAMAS[],3,FALSE),0)</f>
        <v>31865326.38096505</v>
      </c>
      <c r="AM819" s="246">
        <f>IFERROR(VLOOKUP(K819,PROGRAMAS[],3,FALSE),0)</f>
        <v>118617452.52510804</v>
      </c>
      <c r="AN819" s="246">
        <f>IFERROR(VLOOKUP(L819,PROGRAMAS[],3,FALSE),0)</f>
        <v>0</v>
      </c>
      <c r="AO819" s="246">
        <f>IFERROR(VLOOKUP(M819,PROGRAMAS[],3,FALSE),0)</f>
        <v>0</v>
      </c>
      <c r="AP819" s="246">
        <f>IFERROR(VLOOKUP(N819,PROGRAMAS[],3,FALSE),0)</f>
        <v>0</v>
      </c>
      <c r="AQ819" s="246">
        <f>IFERROR(VLOOKUP(O819,PROGRAMAS[],3,FALSE),0)</f>
        <v>0</v>
      </c>
      <c r="AR819" s="246">
        <f>IFERROR(VLOOKUP(P819,PROGRAMAS[],3,FALSE),0)</f>
        <v>0</v>
      </c>
      <c r="AS819" s="246">
        <f>IFERROR(VLOOKUP(Q819,PROGRAMAS[],3,FALSE),0)</f>
        <v>0</v>
      </c>
      <c r="AT819" s="246">
        <f>IFERROR(VLOOKUP(D819,VOL_REC[],2,FALSE),0)</f>
        <v>0</v>
      </c>
      <c r="AU819" s="246">
        <f>IFERROR(VLOOKUP(E819,VOL_REC[],2,FALSE),0)</f>
        <v>0</v>
      </c>
      <c r="AV819" s="246">
        <f>IFERROR(VLOOKUP(F819,VOL_REC[],2,FALSE),0)</f>
        <v>11089674.200000001</v>
      </c>
      <c r="AW819" s="246">
        <f>IFERROR(VLOOKUP(G819,VOL_REC[],2,FALSE),0)</f>
        <v>4325103.1812214684</v>
      </c>
      <c r="AX819" s="246">
        <f>IFERROR(VLOOKUP(H819,VOL_REC[],2,FALSE),0)</f>
        <v>15540036.397699751</v>
      </c>
      <c r="AY819" s="246">
        <f>IFERROR(VLOOKUP(I819,VOL_REC[],2,FALSE),0)</f>
        <v>663244.80000000016</v>
      </c>
      <c r="AZ819" s="246">
        <f>IFERROR(VLOOKUP(J819,VOL_REC[],2,FALSE),0)</f>
        <v>17074.045034105649</v>
      </c>
      <c r="BA819" s="246">
        <f>IFERROR(VLOOKUP(K819,VOL_REC[],2,FALSE),0)</f>
        <v>105072</v>
      </c>
      <c r="BB819" s="246">
        <f>IFERROR(VLOOKUP(L819,VOL_REC[],2,FALSE),0)</f>
        <v>0</v>
      </c>
      <c r="BC819" s="246">
        <f>IFERROR(VLOOKUP(M819,VOL_REC[],2,FALSE),0)</f>
        <v>0</v>
      </c>
      <c r="BD819" s="246">
        <f>IFERROR(VLOOKUP(N819,VOL_REC[],2,FALSE),0)</f>
        <v>0</v>
      </c>
      <c r="BE819" s="246">
        <f>IFERROR(VLOOKUP(O819,VOL_REC[],2,FALSE),0)</f>
        <v>0</v>
      </c>
      <c r="BF819" s="246">
        <f>IFERROR(VLOOKUP(P819,VOL_REC[],2,FALSE),0)</f>
        <v>0</v>
      </c>
      <c r="BG819" s="246">
        <f>IFERROR(VLOOKUP(Q819,VOL_REC[],2,FALSE),0)</f>
        <v>0</v>
      </c>
      <c r="BH819" s="1710">
        <f t="shared" si="48"/>
        <v>16101379653.681446</v>
      </c>
      <c r="BI819" s="1710">
        <f t="shared" si="49"/>
        <v>17992232236.179878</v>
      </c>
      <c r="BJ819" s="1711">
        <f t="shared" si="50"/>
        <v>31740204.623955328</v>
      </c>
      <c r="BK819" s="1711">
        <f t="shared" si="51"/>
        <v>0.89490728233841987</v>
      </c>
    </row>
    <row r="820" spans="3:67" x14ac:dyDescent="0.25">
      <c r="C820" s="246" t="s">
        <v>2170</v>
      </c>
      <c r="D820" s="246">
        <v>1</v>
      </c>
      <c r="E820" s="246">
        <v>2</v>
      </c>
      <c r="F820" s="246">
        <v>3</v>
      </c>
      <c r="G820" s="246">
        <v>5</v>
      </c>
      <c r="H820" s="246">
        <v>6</v>
      </c>
      <c r="I820" s="246">
        <v>13</v>
      </c>
      <c r="J820" s="246">
        <v>14</v>
      </c>
      <c r="K820" s="246">
        <v>16</v>
      </c>
      <c r="L820" s="246"/>
      <c r="M820" s="246"/>
      <c r="N820" s="246"/>
      <c r="O820" s="246"/>
      <c r="P820" s="246"/>
      <c r="Q820" s="246"/>
      <c r="R820" s="246">
        <f>IFERROR(VLOOKUP(D820,PROGRAMAS[],2,FALSE),0)</f>
        <v>97037803.679377079</v>
      </c>
      <c r="S820" s="246">
        <f>IFERROR(VLOOKUP(E820,PROGRAMAS[],2,FALSE),0)</f>
        <v>640501509.6821388</v>
      </c>
      <c r="T820" s="246">
        <f>IFERROR(VLOOKUP(F820,PROGRAMAS[],2,FALSE),0)</f>
        <v>3062327798.1525245</v>
      </c>
      <c r="U820" s="246">
        <f>IFERROR(VLOOKUP(G820,PROGRAMAS[],2,FALSE),0)</f>
        <v>1440941976.2528784</v>
      </c>
      <c r="V820" s="246">
        <f>IFERROR(VLOOKUP(H820,PROGRAMAS[],2,FALSE),0)</f>
        <v>6907648435.8447599</v>
      </c>
      <c r="W820" s="246">
        <f>IFERROR(VLOOKUP(I820,PROGRAMAS[],2,FALSE),0)</f>
        <v>3776538594.4604583</v>
      </c>
      <c r="X820" s="246">
        <f>IFERROR(VLOOKUP(J820,PROGRAMAS[],2,FALSE),0)</f>
        <v>54223862.645839565</v>
      </c>
      <c r="Y820" s="246">
        <f>IFERROR(VLOOKUP(K820,PROGRAMAS[],2,FALSE),0)</f>
        <v>7068496961.0436354</v>
      </c>
      <c r="Z820" s="246">
        <f>IFERROR(VLOOKUP(L820,PROGRAMAS[],2,FALSE),0)</f>
        <v>0</v>
      </c>
      <c r="AA820" s="246">
        <f>IFERROR(VLOOKUP(M820,PROGRAMAS[],2,FALSE),0)</f>
        <v>0</v>
      </c>
      <c r="AB820" s="246">
        <f>IFERROR(VLOOKUP(N820,PROGRAMAS[],2,FALSE),0)</f>
        <v>0</v>
      </c>
      <c r="AC820" s="246">
        <f>IFERROR(VLOOKUP(O820,PROGRAMAS[],2,FALSE),0)</f>
        <v>0</v>
      </c>
      <c r="AD820" s="246">
        <f>IFERROR(VLOOKUP(P820,PROGRAMAS[],2,FALSE),0)</f>
        <v>0</v>
      </c>
      <c r="AE820" s="246">
        <f>IFERROR(VLOOKUP(Q820,PROGRAMAS[],2,FALSE),0)</f>
        <v>0</v>
      </c>
      <c r="AF820" s="246">
        <f>IFERROR(VLOOKUP(D820,PROGRAMAS[],3,FALSE),0)</f>
        <v>841888629.31080008</v>
      </c>
      <c r="AG820" s="246">
        <f>IFERROR(VLOOKUP(E820,PROGRAMAS[],3,FALSE),0)</f>
        <v>3848980803.1642323</v>
      </c>
      <c r="AH820" s="246">
        <f>IFERROR(VLOOKUP(F820,PROGRAMAS[],3,FALSE),0)</f>
        <v>3394901471.387517</v>
      </c>
      <c r="AI820" s="246">
        <f>IFERROR(VLOOKUP(G820,PROGRAMAS[],3,FALSE),0)</f>
        <v>1233505101.0616004</v>
      </c>
      <c r="AJ820" s="246">
        <f>IFERROR(VLOOKUP(H820,PROGRAMAS[],3,FALSE),0)</f>
        <v>6129902208.7912121</v>
      </c>
      <c r="AK820" s="246">
        <f>IFERROR(VLOOKUP(I820,PROGRAMAS[],3,FALSE),0)</f>
        <v>2392571243.5584412</v>
      </c>
      <c r="AL820" s="246">
        <f>IFERROR(VLOOKUP(J820,PROGRAMAS[],3,FALSE),0)</f>
        <v>31865326.38096505</v>
      </c>
      <c r="AM820" s="246">
        <f>IFERROR(VLOOKUP(K820,PROGRAMAS[],3,FALSE),0)</f>
        <v>2406564599.0319901</v>
      </c>
      <c r="AN820" s="246">
        <f>IFERROR(VLOOKUP(L820,PROGRAMAS[],3,FALSE),0)</f>
        <v>0</v>
      </c>
      <c r="AO820" s="246">
        <f>IFERROR(VLOOKUP(M820,PROGRAMAS[],3,FALSE),0)</f>
        <v>0</v>
      </c>
      <c r="AP820" s="246">
        <f>IFERROR(VLOOKUP(N820,PROGRAMAS[],3,FALSE),0)</f>
        <v>0</v>
      </c>
      <c r="AQ820" s="246">
        <f>IFERROR(VLOOKUP(O820,PROGRAMAS[],3,FALSE),0)</f>
        <v>0</v>
      </c>
      <c r="AR820" s="246">
        <f>IFERROR(VLOOKUP(P820,PROGRAMAS[],3,FALSE),0)</f>
        <v>0</v>
      </c>
      <c r="AS820" s="246">
        <f>IFERROR(VLOOKUP(Q820,PROGRAMAS[],3,FALSE),0)</f>
        <v>0</v>
      </c>
      <c r="AT820" s="246">
        <f>IFERROR(VLOOKUP(D820,VOL_REC[],2,FALSE),0)</f>
        <v>0</v>
      </c>
      <c r="AU820" s="246">
        <f>IFERROR(VLOOKUP(E820,VOL_REC[],2,FALSE),0)</f>
        <v>0</v>
      </c>
      <c r="AV820" s="246">
        <f>IFERROR(VLOOKUP(F820,VOL_REC[],2,FALSE),0)</f>
        <v>11089674.200000001</v>
      </c>
      <c r="AW820" s="246">
        <f>IFERROR(VLOOKUP(G820,VOL_REC[],2,FALSE),0)</f>
        <v>4325103.1812214684</v>
      </c>
      <c r="AX820" s="246">
        <f>IFERROR(VLOOKUP(H820,VOL_REC[],2,FALSE),0)</f>
        <v>15540036.397699751</v>
      </c>
      <c r="AY820" s="246">
        <f>IFERROR(VLOOKUP(I820,VOL_REC[],2,FALSE),0)</f>
        <v>663244.80000000016</v>
      </c>
      <c r="AZ820" s="246">
        <f>IFERROR(VLOOKUP(J820,VOL_REC[],2,FALSE),0)</f>
        <v>17074.045034105649</v>
      </c>
      <c r="BA820" s="246">
        <f>IFERROR(VLOOKUP(K820,VOL_REC[],2,FALSE),0)</f>
        <v>1072354.9981737854</v>
      </c>
      <c r="BB820" s="246">
        <f>IFERROR(VLOOKUP(L820,VOL_REC[],2,FALSE),0)</f>
        <v>0</v>
      </c>
      <c r="BC820" s="246">
        <f>IFERROR(VLOOKUP(M820,VOL_REC[],2,FALSE),0)</f>
        <v>0</v>
      </c>
      <c r="BD820" s="246">
        <f>IFERROR(VLOOKUP(N820,VOL_REC[],2,FALSE),0)</f>
        <v>0</v>
      </c>
      <c r="BE820" s="246">
        <f>IFERROR(VLOOKUP(O820,VOL_REC[],2,FALSE),0)</f>
        <v>0</v>
      </c>
      <c r="BF820" s="246">
        <f>IFERROR(VLOOKUP(P820,VOL_REC[],2,FALSE),0)</f>
        <v>0</v>
      </c>
      <c r="BG820" s="246">
        <f>IFERROR(VLOOKUP(Q820,VOL_REC[],2,FALSE),0)</f>
        <v>0</v>
      </c>
      <c r="BH820" s="1710">
        <f t="shared" si="48"/>
        <v>23047716941.761612</v>
      </c>
      <c r="BI820" s="1710">
        <f t="shared" si="49"/>
        <v>20280179382.68676</v>
      </c>
      <c r="BJ820" s="1711">
        <f t="shared" si="50"/>
        <v>32707487.622129112</v>
      </c>
      <c r="BK820" s="1711">
        <f t="shared" si="51"/>
        <v>1.1364651419916683</v>
      </c>
      <c r="BL820">
        <f>BJ820</f>
        <v>32707487.622129112</v>
      </c>
      <c r="BO820">
        <f>BL820</f>
        <v>32707487.622129112</v>
      </c>
    </row>
    <row r="821" spans="3:67" x14ac:dyDescent="0.25">
      <c r="C821" s="246" t="s">
        <v>2171</v>
      </c>
      <c r="D821" s="246">
        <v>1</v>
      </c>
      <c r="E821" s="246">
        <v>2</v>
      </c>
      <c r="F821" s="246">
        <v>3</v>
      </c>
      <c r="G821" s="246">
        <v>5</v>
      </c>
      <c r="H821" s="246">
        <v>6</v>
      </c>
      <c r="I821" s="246">
        <v>13</v>
      </c>
      <c r="J821" s="246">
        <v>14</v>
      </c>
      <c r="K821" s="246">
        <v>17</v>
      </c>
      <c r="L821" s="246"/>
      <c r="M821" s="246"/>
      <c r="N821" s="246"/>
      <c r="O821" s="246"/>
      <c r="P821" s="246"/>
      <c r="Q821" s="246"/>
      <c r="R821" s="246">
        <f>IFERROR(VLOOKUP(D821,PROGRAMAS[],2,FALSE),0)</f>
        <v>97037803.679377079</v>
      </c>
      <c r="S821" s="246">
        <f>IFERROR(VLOOKUP(E821,PROGRAMAS[],2,FALSE),0)</f>
        <v>640501509.6821388</v>
      </c>
      <c r="T821" s="246">
        <f>IFERROR(VLOOKUP(F821,PROGRAMAS[],2,FALSE),0)</f>
        <v>3062327798.1525245</v>
      </c>
      <c r="U821" s="246">
        <f>IFERROR(VLOOKUP(G821,PROGRAMAS[],2,FALSE),0)</f>
        <v>1440941976.2528784</v>
      </c>
      <c r="V821" s="246">
        <f>IFERROR(VLOOKUP(H821,PROGRAMAS[],2,FALSE),0)</f>
        <v>6907648435.8447599</v>
      </c>
      <c r="W821" s="246">
        <f>IFERROR(VLOOKUP(I821,PROGRAMAS[],2,FALSE),0)</f>
        <v>3776538594.4604583</v>
      </c>
      <c r="X821" s="246">
        <f>IFERROR(VLOOKUP(J821,PROGRAMAS[],2,FALSE),0)</f>
        <v>54223862.645839565</v>
      </c>
      <c r="Y821" s="246">
        <f>IFERROR(VLOOKUP(K821,PROGRAMAS[],2,FALSE),0)</f>
        <v>1892779498.5211046</v>
      </c>
      <c r="Z821" s="246">
        <f>IFERROR(VLOOKUP(L821,PROGRAMAS[],2,FALSE),0)</f>
        <v>0</v>
      </c>
      <c r="AA821" s="246">
        <f>IFERROR(VLOOKUP(M821,PROGRAMAS[],2,FALSE),0)</f>
        <v>0</v>
      </c>
      <c r="AB821" s="246">
        <f>IFERROR(VLOOKUP(N821,PROGRAMAS[],2,FALSE),0)</f>
        <v>0</v>
      </c>
      <c r="AC821" s="246">
        <f>IFERROR(VLOOKUP(O821,PROGRAMAS[],2,FALSE),0)</f>
        <v>0</v>
      </c>
      <c r="AD821" s="246">
        <f>IFERROR(VLOOKUP(P821,PROGRAMAS[],2,FALSE),0)</f>
        <v>0</v>
      </c>
      <c r="AE821" s="246">
        <f>IFERROR(VLOOKUP(Q821,PROGRAMAS[],2,FALSE),0)</f>
        <v>0</v>
      </c>
      <c r="AF821" s="246">
        <f>IFERROR(VLOOKUP(D821,PROGRAMAS[],3,FALSE),0)</f>
        <v>841888629.31080008</v>
      </c>
      <c r="AG821" s="246">
        <f>IFERROR(VLOOKUP(E821,PROGRAMAS[],3,FALSE),0)</f>
        <v>3848980803.1642323</v>
      </c>
      <c r="AH821" s="246">
        <f>IFERROR(VLOOKUP(F821,PROGRAMAS[],3,FALSE),0)</f>
        <v>3394901471.387517</v>
      </c>
      <c r="AI821" s="246">
        <f>IFERROR(VLOOKUP(G821,PROGRAMAS[],3,FALSE),0)</f>
        <v>1233505101.0616004</v>
      </c>
      <c r="AJ821" s="246">
        <f>IFERROR(VLOOKUP(H821,PROGRAMAS[],3,FALSE),0)</f>
        <v>6129902208.7912121</v>
      </c>
      <c r="AK821" s="246">
        <f>IFERROR(VLOOKUP(I821,PROGRAMAS[],3,FALSE),0)</f>
        <v>2392571243.5584412</v>
      </c>
      <c r="AL821" s="246">
        <f>IFERROR(VLOOKUP(J821,PROGRAMAS[],3,FALSE),0)</f>
        <v>31865326.38096505</v>
      </c>
      <c r="AM821" s="246">
        <f>IFERROR(VLOOKUP(K821,PROGRAMAS[],3,FALSE),0)</f>
        <v>948595847.09039903</v>
      </c>
      <c r="AN821" s="246">
        <f>IFERROR(VLOOKUP(L821,PROGRAMAS[],3,FALSE),0)</f>
        <v>0</v>
      </c>
      <c r="AO821" s="246">
        <f>IFERROR(VLOOKUP(M821,PROGRAMAS[],3,FALSE),0)</f>
        <v>0</v>
      </c>
      <c r="AP821" s="246">
        <f>IFERROR(VLOOKUP(N821,PROGRAMAS[],3,FALSE),0)</f>
        <v>0</v>
      </c>
      <c r="AQ821" s="246">
        <f>IFERROR(VLOOKUP(O821,PROGRAMAS[],3,FALSE),0)</f>
        <v>0</v>
      </c>
      <c r="AR821" s="246">
        <f>IFERROR(VLOOKUP(P821,PROGRAMAS[],3,FALSE),0)</f>
        <v>0</v>
      </c>
      <c r="AS821" s="246">
        <f>IFERROR(VLOOKUP(Q821,PROGRAMAS[],3,FALSE),0)</f>
        <v>0</v>
      </c>
      <c r="AT821" s="246">
        <f>IFERROR(VLOOKUP(D821,VOL_REC[],2,FALSE),0)</f>
        <v>0</v>
      </c>
      <c r="AU821" s="246">
        <f>IFERROR(VLOOKUP(E821,VOL_REC[],2,FALSE),0)</f>
        <v>0</v>
      </c>
      <c r="AV821" s="246">
        <f>IFERROR(VLOOKUP(F821,VOL_REC[],2,FALSE),0)</f>
        <v>11089674.200000001</v>
      </c>
      <c r="AW821" s="246">
        <f>IFERROR(VLOOKUP(G821,VOL_REC[],2,FALSE),0)</f>
        <v>4325103.1812214684</v>
      </c>
      <c r="AX821" s="246">
        <f>IFERROR(VLOOKUP(H821,VOL_REC[],2,FALSE),0)</f>
        <v>15540036.397699751</v>
      </c>
      <c r="AY821" s="246">
        <f>IFERROR(VLOOKUP(I821,VOL_REC[],2,FALSE),0)</f>
        <v>663244.80000000016</v>
      </c>
      <c r="AZ821" s="246">
        <f>IFERROR(VLOOKUP(J821,VOL_REC[],2,FALSE),0)</f>
        <v>17074.045034105649</v>
      </c>
      <c r="BA821" s="246">
        <f>IFERROR(VLOOKUP(K821,VOL_REC[],2,FALSE),0)</f>
        <v>740113.98115702497</v>
      </c>
      <c r="BB821" s="246">
        <f>IFERROR(VLOOKUP(L821,VOL_REC[],2,FALSE),0)</f>
        <v>0</v>
      </c>
      <c r="BC821" s="246">
        <f>IFERROR(VLOOKUP(M821,VOL_REC[],2,FALSE),0)</f>
        <v>0</v>
      </c>
      <c r="BD821" s="246">
        <f>IFERROR(VLOOKUP(N821,VOL_REC[],2,FALSE),0)</f>
        <v>0</v>
      </c>
      <c r="BE821" s="246">
        <f>IFERROR(VLOOKUP(O821,VOL_REC[],2,FALSE),0)</f>
        <v>0</v>
      </c>
      <c r="BF821" s="246">
        <f>IFERROR(VLOOKUP(P821,VOL_REC[],2,FALSE),0)</f>
        <v>0</v>
      </c>
      <c r="BG821" s="246">
        <f>IFERROR(VLOOKUP(Q821,VOL_REC[],2,FALSE),0)</f>
        <v>0</v>
      </c>
      <c r="BH821" s="1710">
        <f t="shared" si="48"/>
        <v>17871999479.239082</v>
      </c>
      <c r="BI821" s="1710">
        <f t="shared" si="49"/>
        <v>18822210630.745171</v>
      </c>
      <c r="BJ821" s="1711">
        <f t="shared" si="50"/>
        <v>32375246.605112351</v>
      </c>
      <c r="BK821" s="1711">
        <f t="shared" si="51"/>
        <v>0.94951649568972707</v>
      </c>
    </row>
    <row r="822" spans="3:67" x14ac:dyDescent="0.25">
      <c r="C822" s="246" t="s">
        <v>2172</v>
      </c>
      <c r="D822" s="246">
        <v>1</v>
      </c>
      <c r="E822" s="246">
        <v>2</v>
      </c>
      <c r="F822" s="246">
        <v>3</v>
      </c>
      <c r="G822" s="246">
        <v>5</v>
      </c>
      <c r="H822" s="246">
        <v>6</v>
      </c>
      <c r="I822" s="246">
        <v>13</v>
      </c>
      <c r="J822" s="246">
        <v>15</v>
      </c>
      <c r="K822" s="246">
        <v>16</v>
      </c>
      <c r="L822" s="246"/>
      <c r="M822" s="246"/>
      <c r="N822" s="246"/>
      <c r="O822" s="246"/>
      <c r="P822" s="246"/>
      <c r="Q822" s="246"/>
      <c r="R822" s="246">
        <f>IFERROR(VLOOKUP(D822,PROGRAMAS[],2,FALSE),0)</f>
        <v>97037803.679377079</v>
      </c>
      <c r="S822" s="246">
        <f>IFERROR(VLOOKUP(E822,PROGRAMAS[],2,FALSE),0)</f>
        <v>640501509.6821388</v>
      </c>
      <c r="T822" s="246">
        <f>IFERROR(VLOOKUP(F822,PROGRAMAS[],2,FALSE),0)</f>
        <v>3062327798.1525245</v>
      </c>
      <c r="U822" s="246">
        <f>IFERROR(VLOOKUP(G822,PROGRAMAS[],2,FALSE),0)</f>
        <v>1440941976.2528784</v>
      </c>
      <c r="V822" s="246">
        <f>IFERROR(VLOOKUP(H822,PROGRAMAS[],2,FALSE),0)</f>
        <v>6907648435.8447599</v>
      </c>
      <c r="W822" s="246">
        <f>IFERROR(VLOOKUP(I822,PROGRAMAS[],2,FALSE),0)</f>
        <v>3776538594.4604583</v>
      </c>
      <c r="X822" s="246">
        <f>IFERROR(VLOOKUP(J822,PROGRAMAS[],2,FALSE),0)</f>
        <v>122159672.96346797</v>
      </c>
      <c r="Y822" s="246">
        <f>IFERROR(VLOOKUP(K822,PROGRAMAS[],2,FALSE),0)</f>
        <v>7068496961.0436354</v>
      </c>
      <c r="Z822" s="246">
        <f>IFERROR(VLOOKUP(L822,PROGRAMAS[],2,FALSE),0)</f>
        <v>0</v>
      </c>
      <c r="AA822" s="246">
        <f>IFERROR(VLOOKUP(M822,PROGRAMAS[],2,FALSE),0)</f>
        <v>0</v>
      </c>
      <c r="AB822" s="246">
        <f>IFERROR(VLOOKUP(N822,PROGRAMAS[],2,FALSE),0)</f>
        <v>0</v>
      </c>
      <c r="AC822" s="246">
        <f>IFERROR(VLOOKUP(O822,PROGRAMAS[],2,FALSE),0)</f>
        <v>0</v>
      </c>
      <c r="AD822" s="246">
        <f>IFERROR(VLOOKUP(P822,PROGRAMAS[],2,FALSE),0)</f>
        <v>0</v>
      </c>
      <c r="AE822" s="246">
        <f>IFERROR(VLOOKUP(Q822,PROGRAMAS[],2,FALSE),0)</f>
        <v>0</v>
      </c>
      <c r="AF822" s="246">
        <f>IFERROR(VLOOKUP(D822,PROGRAMAS[],3,FALSE),0)</f>
        <v>841888629.31080008</v>
      </c>
      <c r="AG822" s="246">
        <f>IFERROR(VLOOKUP(E822,PROGRAMAS[],3,FALSE),0)</f>
        <v>3848980803.1642323</v>
      </c>
      <c r="AH822" s="246">
        <f>IFERROR(VLOOKUP(F822,PROGRAMAS[],3,FALSE),0)</f>
        <v>3394901471.387517</v>
      </c>
      <c r="AI822" s="246">
        <f>IFERROR(VLOOKUP(G822,PROGRAMAS[],3,FALSE),0)</f>
        <v>1233505101.0616004</v>
      </c>
      <c r="AJ822" s="246">
        <f>IFERROR(VLOOKUP(H822,PROGRAMAS[],3,FALSE),0)</f>
        <v>6129902208.7912121</v>
      </c>
      <c r="AK822" s="246">
        <f>IFERROR(VLOOKUP(I822,PROGRAMAS[],3,FALSE),0)</f>
        <v>2392571243.5584412</v>
      </c>
      <c r="AL822" s="246">
        <f>IFERROR(VLOOKUP(J822,PROGRAMAS[],3,FALSE),0)</f>
        <v>118617452.52510804</v>
      </c>
      <c r="AM822" s="246">
        <f>IFERROR(VLOOKUP(K822,PROGRAMAS[],3,FALSE),0)</f>
        <v>2406564599.0319901</v>
      </c>
      <c r="AN822" s="246">
        <f>IFERROR(VLOOKUP(L822,PROGRAMAS[],3,FALSE),0)</f>
        <v>0</v>
      </c>
      <c r="AO822" s="246">
        <f>IFERROR(VLOOKUP(M822,PROGRAMAS[],3,FALSE),0)</f>
        <v>0</v>
      </c>
      <c r="AP822" s="246">
        <f>IFERROR(VLOOKUP(N822,PROGRAMAS[],3,FALSE),0)</f>
        <v>0</v>
      </c>
      <c r="AQ822" s="246">
        <f>IFERROR(VLOOKUP(O822,PROGRAMAS[],3,FALSE),0)</f>
        <v>0</v>
      </c>
      <c r="AR822" s="246">
        <f>IFERROR(VLOOKUP(P822,PROGRAMAS[],3,FALSE),0)</f>
        <v>0</v>
      </c>
      <c r="AS822" s="246">
        <f>IFERROR(VLOOKUP(Q822,PROGRAMAS[],3,FALSE),0)</f>
        <v>0</v>
      </c>
      <c r="AT822" s="246">
        <f>IFERROR(VLOOKUP(D822,VOL_REC[],2,FALSE),0)</f>
        <v>0</v>
      </c>
      <c r="AU822" s="246">
        <f>IFERROR(VLOOKUP(E822,VOL_REC[],2,FALSE),0)</f>
        <v>0</v>
      </c>
      <c r="AV822" s="246">
        <f>IFERROR(VLOOKUP(F822,VOL_REC[],2,FALSE),0)</f>
        <v>11089674.200000001</v>
      </c>
      <c r="AW822" s="246">
        <f>IFERROR(VLOOKUP(G822,VOL_REC[],2,FALSE),0)</f>
        <v>4325103.1812214684</v>
      </c>
      <c r="AX822" s="246">
        <f>IFERROR(VLOOKUP(H822,VOL_REC[],2,FALSE),0)</f>
        <v>15540036.397699751</v>
      </c>
      <c r="AY822" s="246">
        <f>IFERROR(VLOOKUP(I822,VOL_REC[],2,FALSE),0)</f>
        <v>663244.80000000016</v>
      </c>
      <c r="AZ822" s="246">
        <f>IFERROR(VLOOKUP(J822,VOL_REC[],2,FALSE),0)</f>
        <v>105072</v>
      </c>
      <c r="BA822" s="246">
        <f>IFERROR(VLOOKUP(K822,VOL_REC[],2,FALSE),0)</f>
        <v>1072354.9981737854</v>
      </c>
      <c r="BB822" s="246">
        <f>IFERROR(VLOOKUP(L822,VOL_REC[],2,FALSE),0)</f>
        <v>0</v>
      </c>
      <c r="BC822" s="246">
        <f>IFERROR(VLOOKUP(M822,VOL_REC[],2,FALSE),0)</f>
        <v>0</v>
      </c>
      <c r="BD822" s="246">
        <f>IFERROR(VLOOKUP(N822,VOL_REC[],2,FALSE),0)</f>
        <v>0</v>
      </c>
      <c r="BE822" s="246">
        <f>IFERROR(VLOOKUP(O822,VOL_REC[],2,FALSE),0)</f>
        <v>0</v>
      </c>
      <c r="BF822" s="246">
        <f>IFERROR(VLOOKUP(P822,VOL_REC[],2,FALSE),0)</f>
        <v>0</v>
      </c>
      <c r="BG822" s="246">
        <f>IFERROR(VLOOKUP(Q822,VOL_REC[],2,FALSE),0)</f>
        <v>0</v>
      </c>
      <c r="BH822" s="1710">
        <f t="shared" si="48"/>
        <v>23115652752.079243</v>
      </c>
      <c r="BI822" s="1710">
        <f t="shared" si="49"/>
        <v>20366931508.830902</v>
      </c>
      <c r="BJ822" s="1711">
        <f t="shared" si="50"/>
        <v>32795485.577095006</v>
      </c>
      <c r="BK822" s="1711">
        <f t="shared" si="51"/>
        <v>1.1349600081905573</v>
      </c>
      <c r="BL822">
        <f>BJ822</f>
        <v>32795485.577095006</v>
      </c>
      <c r="BO822">
        <f>BL822</f>
        <v>32795485.577095006</v>
      </c>
    </row>
    <row r="823" spans="3:67" x14ac:dyDescent="0.25">
      <c r="C823" s="246" t="s">
        <v>2173</v>
      </c>
      <c r="D823" s="246">
        <v>1</v>
      </c>
      <c r="E823" s="246">
        <v>2</v>
      </c>
      <c r="F823" s="246">
        <v>3</v>
      </c>
      <c r="G823" s="246">
        <v>5</v>
      </c>
      <c r="H823" s="246">
        <v>6</v>
      </c>
      <c r="I823" s="246">
        <v>13</v>
      </c>
      <c r="J823" s="246">
        <v>15</v>
      </c>
      <c r="K823" s="246">
        <v>17</v>
      </c>
      <c r="L823" s="246"/>
      <c r="M823" s="246"/>
      <c r="N823" s="246"/>
      <c r="O823" s="246"/>
      <c r="P823" s="246"/>
      <c r="Q823" s="246"/>
      <c r="R823" s="246">
        <f>IFERROR(VLOOKUP(D823,PROGRAMAS[],2,FALSE),0)</f>
        <v>97037803.679377079</v>
      </c>
      <c r="S823" s="246">
        <f>IFERROR(VLOOKUP(E823,PROGRAMAS[],2,FALSE),0)</f>
        <v>640501509.6821388</v>
      </c>
      <c r="T823" s="246">
        <f>IFERROR(VLOOKUP(F823,PROGRAMAS[],2,FALSE),0)</f>
        <v>3062327798.1525245</v>
      </c>
      <c r="U823" s="246">
        <f>IFERROR(VLOOKUP(G823,PROGRAMAS[],2,FALSE),0)</f>
        <v>1440941976.2528784</v>
      </c>
      <c r="V823" s="246">
        <f>IFERROR(VLOOKUP(H823,PROGRAMAS[],2,FALSE),0)</f>
        <v>6907648435.8447599</v>
      </c>
      <c r="W823" s="246">
        <f>IFERROR(VLOOKUP(I823,PROGRAMAS[],2,FALSE),0)</f>
        <v>3776538594.4604583</v>
      </c>
      <c r="X823" s="246">
        <f>IFERROR(VLOOKUP(J823,PROGRAMAS[],2,FALSE),0)</f>
        <v>122159672.96346797</v>
      </c>
      <c r="Y823" s="246">
        <f>IFERROR(VLOOKUP(K823,PROGRAMAS[],2,FALSE),0)</f>
        <v>1892779498.5211046</v>
      </c>
      <c r="Z823" s="246">
        <f>IFERROR(VLOOKUP(L823,PROGRAMAS[],2,FALSE),0)</f>
        <v>0</v>
      </c>
      <c r="AA823" s="246">
        <f>IFERROR(VLOOKUP(M823,PROGRAMAS[],2,FALSE),0)</f>
        <v>0</v>
      </c>
      <c r="AB823" s="246">
        <f>IFERROR(VLOOKUP(N823,PROGRAMAS[],2,FALSE),0)</f>
        <v>0</v>
      </c>
      <c r="AC823" s="246">
        <f>IFERROR(VLOOKUP(O823,PROGRAMAS[],2,FALSE),0)</f>
        <v>0</v>
      </c>
      <c r="AD823" s="246">
        <f>IFERROR(VLOOKUP(P823,PROGRAMAS[],2,FALSE),0)</f>
        <v>0</v>
      </c>
      <c r="AE823" s="246">
        <f>IFERROR(VLOOKUP(Q823,PROGRAMAS[],2,FALSE),0)</f>
        <v>0</v>
      </c>
      <c r="AF823" s="246">
        <f>IFERROR(VLOOKUP(D823,PROGRAMAS[],3,FALSE),0)</f>
        <v>841888629.31080008</v>
      </c>
      <c r="AG823" s="246">
        <f>IFERROR(VLOOKUP(E823,PROGRAMAS[],3,FALSE),0)</f>
        <v>3848980803.1642323</v>
      </c>
      <c r="AH823" s="246">
        <f>IFERROR(VLOOKUP(F823,PROGRAMAS[],3,FALSE),0)</f>
        <v>3394901471.387517</v>
      </c>
      <c r="AI823" s="246">
        <f>IFERROR(VLOOKUP(G823,PROGRAMAS[],3,FALSE),0)</f>
        <v>1233505101.0616004</v>
      </c>
      <c r="AJ823" s="246">
        <f>IFERROR(VLOOKUP(H823,PROGRAMAS[],3,FALSE),0)</f>
        <v>6129902208.7912121</v>
      </c>
      <c r="AK823" s="246">
        <f>IFERROR(VLOOKUP(I823,PROGRAMAS[],3,FALSE),0)</f>
        <v>2392571243.5584412</v>
      </c>
      <c r="AL823" s="246">
        <f>IFERROR(VLOOKUP(J823,PROGRAMAS[],3,FALSE),0)</f>
        <v>118617452.52510804</v>
      </c>
      <c r="AM823" s="246">
        <f>IFERROR(VLOOKUP(K823,PROGRAMAS[],3,FALSE),0)</f>
        <v>948595847.09039903</v>
      </c>
      <c r="AN823" s="246">
        <f>IFERROR(VLOOKUP(L823,PROGRAMAS[],3,FALSE),0)</f>
        <v>0</v>
      </c>
      <c r="AO823" s="246">
        <f>IFERROR(VLOOKUP(M823,PROGRAMAS[],3,FALSE),0)</f>
        <v>0</v>
      </c>
      <c r="AP823" s="246">
        <f>IFERROR(VLOOKUP(N823,PROGRAMAS[],3,FALSE),0)</f>
        <v>0</v>
      </c>
      <c r="AQ823" s="246">
        <f>IFERROR(VLOOKUP(O823,PROGRAMAS[],3,FALSE),0)</f>
        <v>0</v>
      </c>
      <c r="AR823" s="246">
        <f>IFERROR(VLOOKUP(P823,PROGRAMAS[],3,FALSE),0)</f>
        <v>0</v>
      </c>
      <c r="AS823" s="246">
        <f>IFERROR(VLOOKUP(Q823,PROGRAMAS[],3,FALSE),0)</f>
        <v>0</v>
      </c>
      <c r="AT823" s="246">
        <f>IFERROR(VLOOKUP(D823,VOL_REC[],2,FALSE),0)</f>
        <v>0</v>
      </c>
      <c r="AU823" s="246">
        <f>IFERROR(VLOOKUP(E823,VOL_REC[],2,FALSE),0)</f>
        <v>0</v>
      </c>
      <c r="AV823" s="246">
        <f>IFERROR(VLOOKUP(F823,VOL_REC[],2,FALSE),0)</f>
        <v>11089674.200000001</v>
      </c>
      <c r="AW823" s="246">
        <f>IFERROR(VLOOKUP(G823,VOL_REC[],2,FALSE),0)</f>
        <v>4325103.1812214684</v>
      </c>
      <c r="AX823" s="246">
        <f>IFERROR(VLOOKUP(H823,VOL_REC[],2,FALSE),0)</f>
        <v>15540036.397699751</v>
      </c>
      <c r="AY823" s="246">
        <f>IFERROR(VLOOKUP(I823,VOL_REC[],2,FALSE),0)</f>
        <v>663244.80000000016</v>
      </c>
      <c r="AZ823" s="246">
        <f>IFERROR(VLOOKUP(J823,VOL_REC[],2,FALSE),0)</f>
        <v>105072</v>
      </c>
      <c r="BA823" s="246">
        <f>IFERROR(VLOOKUP(K823,VOL_REC[],2,FALSE),0)</f>
        <v>740113.98115702497</v>
      </c>
      <c r="BB823" s="246">
        <f>IFERROR(VLOOKUP(L823,VOL_REC[],2,FALSE),0)</f>
        <v>0</v>
      </c>
      <c r="BC823" s="246">
        <f>IFERROR(VLOOKUP(M823,VOL_REC[],2,FALSE),0)</f>
        <v>0</v>
      </c>
      <c r="BD823" s="246">
        <f>IFERROR(VLOOKUP(N823,VOL_REC[],2,FALSE),0)</f>
        <v>0</v>
      </c>
      <c r="BE823" s="246">
        <f>IFERROR(VLOOKUP(O823,VOL_REC[],2,FALSE),0)</f>
        <v>0</v>
      </c>
      <c r="BF823" s="246">
        <f>IFERROR(VLOOKUP(P823,VOL_REC[],2,FALSE),0)</f>
        <v>0</v>
      </c>
      <c r="BG823" s="246">
        <f>IFERROR(VLOOKUP(Q823,VOL_REC[],2,FALSE),0)</f>
        <v>0</v>
      </c>
      <c r="BH823" s="1710">
        <f t="shared" si="48"/>
        <v>17939935289.556709</v>
      </c>
      <c r="BI823" s="1710">
        <f t="shared" si="49"/>
        <v>18908962756.889313</v>
      </c>
      <c r="BJ823" s="1711">
        <f t="shared" si="50"/>
        <v>32463244.560078245</v>
      </c>
      <c r="BK823" s="1711">
        <f t="shared" si="51"/>
        <v>0.94875300777777738</v>
      </c>
    </row>
    <row r="824" spans="3:67" x14ac:dyDescent="0.25">
      <c r="C824" s="246" t="s">
        <v>2174</v>
      </c>
      <c r="D824" s="246">
        <v>1</v>
      </c>
      <c r="E824" s="246">
        <v>2</v>
      </c>
      <c r="F824" s="246">
        <v>3</v>
      </c>
      <c r="G824" s="246">
        <v>5</v>
      </c>
      <c r="H824" s="246">
        <v>6</v>
      </c>
      <c r="I824" s="246">
        <v>13</v>
      </c>
      <c r="J824" s="246">
        <v>16</v>
      </c>
      <c r="K824" s="246">
        <v>17</v>
      </c>
      <c r="L824" s="246"/>
      <c r="M824" s="246"/>
      <c r="N824" s="246"/>
      <c r="O824" s="246"/>
      <c r="P824" s="246"/>
      <c r="Q824" s="246"/>
      <c r="R824" s="246">
        <f>IFERROR(VLOOKUP(D824,PROGRAMAS[],2,FALSE),0)</f>
        <v>97037803.679377079</v>
      </c>
      <c r="S824" s="246">
        <f>IFERROR(VLOOKUP(E824,PROGRAMAS[],2,FALSE),0)</f>
        <v>640501509.6821388</v>
      </c>
      <c r="T824" s="246">
        <f>IFERROR(VLOOKUP(F824,PROGRAMAS[],2,FALSE),0)</f>
        <v>3062327798.1525245</v>
      </c>
      <c r="U824" s="246">
        <f>IFERROR(VLOOKUP(G824,PROGRAMAS[],2,FALSE),0)</f>
        <v>1440941976.2528784</v>
      </c>
      <c r="V824" s="246">
        <f>IFERROR(VLOOKUP(H824,PROGRAMAS[],2,FALSE),0)</f>
        <v>6907648435.8447599</v>
      </c>
      <c r="W824" s="246">
        <f>IFERROR(VLOOKUP(I824,PROGRAMAS[],2,FALSE),0)</f>
        <v>3776538594.4604583</v>
      </c>
      <c r="X824" s="246">
        <f>IFERROR(VLOOKUP(J824,PROGRAMAS[],2,FALSE),0)</f>
        <v>7068496961.0436354</v>
      </c>
      <c r="Y824" s="246">
        <f>IFERROR(VLOOKUP(K824,PROGRAMAS[],2,FALSE),0)</f>
        <v>1892779498.5211046</v>
      </c>
      <c r="Z824" s="246">
        <f>IFERROR(VLOOKUP(L824,PROGRAMAS[],2,FALSE),0)</f>
        <v>0</v>
      </c>
      <c r="AA824" s="246">
        <f>IFERROR(VLOOKUP(M824,PROGRAMAS[],2,FALSE),0)</f>
        <v>0</v>
      </c>
      <c r="AB824" s="246">
        <f>IFERROR(VLOOKUP(N824,PROGRAMAS[],2,FALSE),0)</f>
        <v>0</v>
      </c>
      <c r="AC824" s="246">
        <f>IFERROR(VLOOKUP(O824,PROGRAMAS[],2,FALSE),0)</f>
        <v>0</v>
      </c>
      <c r="AD824" s="246">
        <f>IFERROR(VLOOKUP(P824,PROGRAMAS[],2,FALSE),0)</f>
        <v>0</v>
      </c>
      <c r="AE824" s="246">
        <f>IFERROR(VLOOKUP(Q824,PROGRAMAS[],2,FALSE),0)</f>
        <v>0</v>
      </c>
      <c r="AF824" s="246">
        <f>IFERROR(VLOOKUP(D824,PROGRAMAS[],3,FALSE),0)</f>
        <v>841888629.31080008</v>
      </c>
      <c r="AG824" s="246">
        <f>IFERROR(VLOOKUP(E824,PROGRAMAS[],3,FALSE),0)</f>
        <v>3848980803.1642323</v>
      </c>
      <c r="AH824" s="246">
        <f>IFERROR(VLOOKUP(F824,PROGRAMAS[],3,FALSE),0)</f>
        <v>3394901471.387517</v>
      </c>
      <c r="AI824" s="246">
        <f>IFERROR(VLOOKUP(G824,PROGRAMAS[],3,FALSE),0)</f>
        <v>1233505101.0616004</v>
      </c>
      <c r="AJ824" s="246">
        <f>IFERROR(VLOOKUP(H824,PROGRAMAS[],3,FALSE),0)</f>
        <v>6129902208.7912121</v>
      </c>
      <c r="AK824" s="246">
        <f>IFERROR(VLOOKUP(I824,PROGRAMAS[],3,FALSE),0)</f>
        <v>2392571243.5584412</v>
      </c>
      <c r="AL824" s="246">
        <f>IFERROR(VLOOKUP(J824,PROGRAMAS[],3,FALSE),0)</f>
        <v>2406564599.0319901</v>
      </c>
      <c r="AM824" s="246">
        <f>IFERROR(VLOOKUP(K824,PROGRAMAS[],3,FALSE),0)</f>
        <v>948595847.09039903</v>
      </c>
      <c r="AN824" s="246">
        <f>IFERROR(VLOOKUP(L824,PROGRAMAS[],3,FALSE),0)</f>
        <v>0</v>
      </c>
      <c r="AO824" s="246">
        <f>IFERROR(VLOOKUP(M824,PROGRAMAS[],3,FALSE),0)</f>
        <v>0</v>
      </c>
      <c r="AP824" s="246">
        <f>IFERROR(VLOOKUP(N824,PROGRAMAS[],3,FALSE),0)</f>
        <v>0</v>
      </c>
      <c r="AQ824" s="246">
        <f>IFERROR(VLOOKUP(O824,PROGRAMAS[],3,FALSE),0)</f>
        <v>0</v>
      </c>
      <c r="AR824" s="246">
        <f>IFERROR(VLOOKUP(P824,PROGRAMAS[],3,FALSE),0)</f>
        <v>0</v>
      </c>
      <c r="AS824" s="246">
        <f>IFERROR(VLOOKUP(Q824,PROGRAMAS[],3,FALSE),0)</f>
        <v>0</v>
      </c>
      <c r="AT824" s="246">
        <f>IFERROR(VLOOKUP(D824,VOL_REC[],2,FALSE),0)</f>
        <v>0</v>
      </c>
      <c r="AU824" s="246">
        <f>IFERROR(VLOOKUP(E824,VOL_REC[],2,FALSE),0)</f>
        <v>0</v>
      </c>
      <c r="AV824" s="246">
        <f>IFERROR(VLOOKUP(F824,VOL_REC[],2,FALSE),0)</f>
        <v>11089674.200000001</v>
      </c>
      <c r="AW824" s="246">
        <f>IFERROR(VLOOKUP(G824,VOL_REC[],2,FALSE),0)</f>
        <v>4325103.1812214684</v>
      </c>
      <c r="AX824" s="246">
        <f>IFERROR(VLOOKUP(H824,VOL_REC[],2,FALSE),0)</f>
        <v>15540036.397699751</v>
      </c>
      <c r="AY824" s="246">
        <f>IFERROR(VLOOKUP(I824,VOL_REC[],2,FALSE),0)</f>
        <v>663244.80000000016</v>
      </c>
      <c r="AZ824" s="246">
        <f>IFERROR(VLOOKUP(J824,VOL_REC[],2,FALSE),0)</f>
        <v>1072354.9981737854</v>
      </c>
      <c r="BA824" s="246">
        <f>IFERROR(VLOOKUP(K824,VOL_REC[],2,FALSE),0)</f>
        <v>740113.98115702497</v>
      </c>
      <c r="BB824" s="246">
        <f>IFERROR(VLOOKUP(L824,VOL_REC[],2,FALSE),0)</f>
        <v>0</v>
      </c>
      <c r="BC824" s="246">
        <f>IFERROR(VLOOKUP(M824,VOL_REC[],2,FALSE),0)</f>
        <v>0</v>
      </c>
      <c r="BD824" s="246">
        <f>IFERROR(VLOOKUP(N824,VOL_REC[],2,FALSE),0)</f>
        <v>0</v>
      </c>
      <c r="BE824" s="246">
        <f>IFERROR(VLOOKUP(O824,VOL_REC[],2,FALSE),0)</f>
        <v>0</v>
      </c>
      <c r="BF824" s="246">
        <f>IFERROR(VLOOKUP(P824,VOL_REC[],2,FALSE),0)</f>
        <v>0</v>
      </c>
      <c r="BG824" s="246">
        <f>IFERROR(VLOOKUP(Q824,VOL_REC[],2,FALSE),0)</f>
        <v>0</v>
      </c>
      <c r="BH824" s="1710">
        <f t="shared" si="48"/>
        <v>24886272577.636875</v>
      </c>
      <c r="BI824" s="1710">
        <f t="shared" si="49"/>
        <v>21196909903.396194</v>
      </c>
      <c r="BJ824" s="1711">
        <f t="shared" si="50"/>
        <v>33430527.558252029</v>
      </c>
      <c r="BK824" s="1711">
        <f t="shared" si="51"/>
        <v>1.1740519109179006</v>
      </c>
      <c r="BL824">
        <f>BJ824</f>
        <v>33430527.558252029</v>
      </c>
      <c r="BO824">
        <f>BL824</f>
        <v>33430527.558252029</v>
      </c>
    </row>
    <row r="825" spans="3:67" x14ac:dyDescent="0.25">
      <c r="C825" s="246" t="s">
        <v>2175</v>
      </c>
      <c r="D825" s="246">
        <v>1</v>
      </c>
      <c r="E825" s="246">
        <v>2</v>
      </c>
      <c r="F825" s="246">
        <v>3</v>
      </c>
      <c r="G825" s="246">
        <v>5</v>
      </c>
      <c r="H825" s="246">
        <v>6</v>
      </c>
      <c r="I825" s="246">
        <v>14</v>
      </c>
      <c r="J825" s="246">
        <v>15</v>
      </c>
      <c r="K825" s="246">
        <v>16</v>
      </c>
      <c r="L825" s="246"/>
      <c r="M825" s="246"/>
      <c r="N825" s="246"/>
      <c r="O825" s="246"/>
      <c r="P825" s="246"/>
      <c r="Q825" s="246"/>
      <c r="R825" s="246">
        <f>IFERROR(VLOOKUP(D825,PROGRAMAS[],2,FALSE),0)</f>
        <v>97037803.679377079</v>
      </c>
      <c r="S825" s="246">
        <f>IFERROR(VLOOKUP(E825,PROGRAMAS[],2,FALSE),0)</f>
        <v>640501509.6821388</v>
      </c>
      <c r="T825" s="246">
        <f>IFERROR(VLOOKUP(F825,PROGRAMAS[],2,FALSE),0)</f>
        <v>3062327798.1525245</v>
      </c>
      <c r="U825" s="246">
        <f>IFERROR(VLOOKUP(G825,PROGRAMAS[],2,FALSE),0)</f>
        <v>1440941976.2528784</v>
      </c>
      <c r="V825" s="246">
        <f>IFERROR(VLOOKUP(H825,PROGRAMAS[],2,FALSE),0)</f>
        <v>6907648435.8447599</v>
      </c>
      <c r="W825" s="246">
        <f>IFERROR(VLOOKUP(I825,PROGRAMAS[],2,FALSE),0)</f>
        <v>54223862.645839565</v>
      </c>
      <c r="X825" s="246">
        <f>IFERROR(VLOOKUP(J825,PROGRAMAS[],2,FALSE),0)</f>
        <v>122159672.96346797</v>
      </c>
      <c r="Y825" s="246">
        <f>IFERROR(VLOOKUP(K825,PROGRAMAS[],2,FALSE),0)</f>
        <v>7068496961.0436354</v>
      </c>
      <c r="Z825" s="246">
        <f>IFERROR(VLOOKUP(L825,PROGRAMAS[],2,FALSE),0)</f>
        <v>0</v>
      </c>
      <c r="AA825" s="246">
        <f>IFERROR(VLOOKUP(M825,PROGRAMAS[],2,FALSE),0)</f>
        <v>0</v>
      </c>
      <c r="AB825" s="246">
        <f>IFERROR(VLOOKUP(N825,PROGRAMAS[],2,FALSE),0)</f>
        <v>0</v>
      </c>
      <c r="AC825" s="246">
        <f>IFERROR(VLOOKUP(O825,PROGRAMAS[],2,FALSE),0)</f>
        <v>0</v>
      </c>
      <c r="AD825" s="246">
        <f>IFERROR(VLOOKUP(P825,PROGRAMAS[],2,FALSE),0)</f>
        <v>0</v>
      </c>
      <c r="AE825" s="246">
        <f>IFERROR(VLOOKUP(Q825,PROGRAMAS[],2,FALSE),0)</f>
        <v>0</v>
      </c>
      <c r="AF825" s="246">
        <f>IFERROR(VLOOKUP(D825,PROGRAMAS[],3,FALSE),0)</f>
        <v>841888629.31080008</v>
      </c>
      <c r="AG825" s="246">
        <f>IFERROR(VLOOKUP(E825,PROGRAMAS[],3,FALSE),0)</f>
        <v>3848980803.1642323</v>
      </c>
      <c r="AH825" s="246">
        <f>IFERROR(VLOOKUP(F825,PROGRAMAS[],3,FALSE),0)</f>
        <v>3394901471.387517</v>
      </c>
      <c r="AI825" s="246">
        <f>IFERROR(VLOOKUP(G825,PROGRAMAS[],3,FALSE),0)</f>
        <v>1233505101.0616004</v>
      </c>
      <c r="AJ825" s="246">
        <f>IFERROR(VLOOKUP(H825,PROGRAMAS[],3,FALSE),0)</f>
        <v>6129902208.7912121</v>
      </c>
      <c r="AK825" s="246">
        <f>IFERROR(VLOOKUP(I825,PROGRAMAS[],3,FALSE),0)</f>
        <v>31865326.38096505</v>
      </c>
      <c r="AL825" s="246">
        <f>IFERROR(VLOOKUP(J825,PROGRAMAS[],3,FALSE),0)</f>
        <v>118617452.52510804</v>
      </c>
      <c r="AM825" s="246">
        <f>IFERROR(VLOOKUP(K825,PROGRAMAS[],3,FALSE),0)</f>
        <v>2406564599.0319901</v>
      </c>
      <c r="AN825" s="246">
        <f>IFERROR(VLOOKUP(L825,PROGRAMAS[],3,FALSE),0)</f>
        <v>0</v>
      </c>
      <c r="AO825" s="246">
        <f>IFERROR(VLOOKUP(M825,PROGRAMAS[],3,FALSE),0)</f>
        <v>0</v>
      </c>
      <c r="AP825" s="246">
        <f>IFERROR(VLOOKUP(N825,PROGRAMAS[],3,FALSE),0)</f>
        <v>0</v>
      </c>
      <c r="AQ825" s="246">
        <f>IFERROR(VLOOKUP(O825,PROGRAMAS[],3,FALSE),0)</f>
        <v>0</v>
      </c>
      <c r="AR825" s="246">
        <f>IFERROR(VLOOKUP(P825,PROGRAMAS[],3,FALSE),0)</f>
        <v>0</v>
      </c>
      <c r="AS825" s="246">
        <f>IFERROR(VLOOKUP(Q825,PROGRAMAS[],3,FALSE),0)</f>
        <v>0</v>
      </c>
      <c r="AT825" s="246">
        <f>IFERROR(VLOOKUP(D825,VOL_REC[],2,FALSE),0)</f>
        <v>0</v>
      </c>
      <c r="AU825" s="246">
        <f>IFERROR(VLOOKUP(E825,VOL_REC[],2,FALSE),0)</f>
        <v>0</v>
      </c>
      <c r="AV825" s="246">
        <f>IFERROR(VLOOKUP(F825,VOL_REC[],2,FALSE),0)</f>
        <v>11089674.200000001</v>
      </c>
      <c r="AW825" s="246">
        <f>IFERROR(VLOOKUP(G825,VOL_REC[],2,FALSE),0)</f>
        <v>4325103.1812214684</v>
      </c>
      <c r="AX825" s="246">
        <f>IFERROR(VLOOKUP(H825,VOL_REC[],2,FALSE),0)</f>
        <v>15540036.397699751</v>
      </c>
      <c r="AY825" s="246">
        <f>IFERROR(VLOOKUP(I825,VOL_REC[],2,FALSE),0)</f>
        <v>17074.045034105649</v>
      </c>
      <c r="AZ825" s="246">
        <f>IFERROR(VLOOKUP(J825,VOL_REC[],2,FALSE),0)</f>
        <v>105072</v>
      </c>
      <c r="BA825" s="246">
        <f>IFERROR(VLOOKUP(K825,VOL_REC[],2,FALSE),0)</f>
        <v>1072354.9981737854</v>
      </c>
      <c r="BB825" s="246">
        <f>IFERROR(VLOOKUP(L825,VOL_REC[],2,FALSE),0)</f>
        <v>0</v>
      </c>
      <c r="BC825" s="246">
        <f>IFERROR(VLOOKUP(M825,VOL_REC[],2,FALSE),0)</f>
        <v>0</v>
      </c>
      <c r="BD825" s="246">
        <f>IFERROR(VLOOKUP(N825,VOL_REC[],2,FALSE),0)</f>
        <v>0</v>
      </c>
      <c r="BE825" s="246">
        <f>IFERROR(VLOOKUP(O825,VOL_REC[],2,FALSE),0)</f>
        <v>0</v>
      </c>
      <c r="BF825" s="246">
        <f>IFERROR(VLOOKUP(P825,VOL_REC[],2,FALSE),0)</f>
        <v>0</v>
      </c>
      <c r="BG825" s="246">
        <f>IFERROR(VLOOKUP(Q825,VOL_REC[],2,FALSE),0)</f>
        <v>0</v>
      </c>
      <c r="BH825" s="1710">
        <f t="shared" si="48"/>
        <v>19393338020.264622</v>
      </c>
      <c r="BI825" s="1710">
        <f t="shared" si="49"/>
        <v>18006225591.653427</v>
      </c>
      <c r="BJ825" s="1711">
        <f t="shared" si="50"/>
        <v>32149314.822129112</v>
      </c>
      <c r="BK825" s="1711">
        <f t="shared" si="51"/>
        <v>1.077035157732011</v>
      </c>
      <c r="BL825">
        <f>BJ825</f>
        <v>32149314.822129112</v>
      </c>
      <c r="BO825">
        <f>BL825</f>
        <v>32149314.822129112</v>
      </c>
    </row>
    <row r="826" spans="3:67" x14ac:dyDescent="0.25">
      <c r="C826" s="246" t="s">
        <v>2176</v>
      </c>
      <c r="D826" s="246">
        <v>1</v>
      </c>
      <c r="E826" s="246">
        <v>2</v>
      </c>
      <c r="F826" s="246">
        <v>3</v>
      </c>
      <c r="G826" s="246">
        <v>5</v>
      </c>
      <c r="H826" s="246">
        <v>6</v>
      </c>
      <c r="I826" s="246">
        <v>14</v>
      </c>
      <c r="J826" s="246">
        <v>15</v>
      </c>
      <c r="K826" s="246">
        <v>17</v>
      </c>
      <c r="L826" s="246"/>
      <c r="M826" s="246"/>
      <c r="N826" s="246"/>
      <c r="O826" s="246"/>
      <c r="P826" s="246"/>
      <c r="Q826" s="246"/>
      <c r="R826" s="246">
        <f>IFERROR(VLOOKUP(D826,PROGRAMAS[],2,FALSE),0)</f>
        <v>97037803.679377079</v>
      </c>
      <c r="S826" s="246">
        <f>IFERROR(VLOOKUP(E826,PROGRAMAS[],2,FALSE),0)</f>
        <v>640501509.6821388</v>
      </c>
      <c r="T826" s="246">
        <f>IFERROR(VLOOKUP(F826,PROGRAMAS[],2,FALSE),0)</f>
        <v>3062327798.1525245</v>
      </c>
      <c r="U826" s="246">
        <f>IFERROR(VLOOKUP(G826,PROGRAMAS[],2,FALSE),0)</f>
        <v>1440941976.2528784</v>
      </c>
      <c r="V826" s="246">
        <f>IFERROR(VLOOKUP(H826,PROGRAMAS[],2,FALSE),0)</f>
        <v>6907648435.8447599</v>
      </c>
      <c r="W826" s="246">
        <f>IFERROR(VLOOKUP(I826,PROGRAMAS[],2,FALSE),0)</f>
        <v>54223862.645839565</v>
      </c>
      <c r="X826" s="246">
        <f>IFERROR(VLOOKUP(J826,PROGRAMAS[],2,FALSE),0)</f>
        <v>122159672.96346797</v>
      </c>
      <c r="Y826" s="246">
        <f>IFERROR(VLOOKUP(K826,PROGRAMAS[],2,FALSE),0)</f>
        <v>1892779498.5211046</v>
      </c>
      <c r="Z826" s="246">
        <f>IFERROR(VLOOKUP(L826,PROGRAMAS[],2,FALSE),0)</f>
        <v>0</v>
      </c>
      <c r="AA826" s="246">
        <f>IFERROR(VLOOKUP(M826,PROGRAMAS[],2,FALSE),0)</f>
        <v>0</v>
      </c>
      <c r="AB826" s="246">
        <f>IFERROR(VLOOKUP(N826,PROGRAMAS[],2,FALSE),0)</f>
        <v>0</v>
      </c>
      <c r="AC826" s="246">
        <f>IFERROR(VLOOKUP(O826,PROGRAMAS[],2,FALSE),0)</f>
        <v>0</v>
      </c>
      <c r="AD826" s="246">
        <f>IFERROR(VLOOKUP(P826,PROGRAMAS[],2,FALSE),0)</f>
        <v>0</v>
      </c>
      <c r="AE826" s="246">
        <f>IFERROR(VLOOKUP(Q826,PROGRAMAS[],2,FALSE),0)</f>
        <v>0</v>
      </c>
      <c r="AF826" s="246">
        <f>IFERROR(VLOOKUP(D826,PROGRAMAS[],3,FALSE),0)</f>
        <v>841888629.31080008</v>
      </c>
      <c r="AG826" s="246">
        <f>IFERROR(VLOOKUP(E826,PROGRAMAS[],3,FALSE),0)</f>
        <v>3848980803.1642323</v>
      </c>
      <c r="AH826" s="246">
        <f>IFERROR(VLOOKUP(F826,PROGRAMAS[],3,FALSE),0)</f>
        <v>3394901471.387517</v>
      </c>
      <c r="AI826" s="246">
        <f>IFERROR(VLOOKUP(G826,PROGRAMAS[],3,FALSE),0)</f>
        <v>1233505101.0616004</v>
      </c>
      <c r="AJ826" s="246">
        <f>IFERROR(VLOOKUP(H826,PROGRAMAS[],3,FALSE),0)</f>
        <v>6129902208.7912121</v>
      </c>
      <c r="AK826" s="246">
        <f>IFERROR(VLOOKUP(I826,PROGRAMAS[],3,FALSE),0)</f>
        <v>31865326.38096505</v>
      </c>
      <c r="AL826" s="246">
        <f>IFERROR(VLOOKUP(J826,PROGRAMAS[],3,FALSE),0)</f>
        <v>118617452.52510804</v>
      </c>
      <c r="AM826" s="246">
        <f>IFERROR(VLOOKUP(K826,PROGRAMAS[],3,FALSE),0)</f>
        <v>948595847.09039903</v>
      </c>
      <c r="AN826" s="246">
        <f>IFERROR(VLOOKUP(L826,PROGRAMAS[],3,FALSE),0)</f>
        <v>0</v>
      </c>
      <c r="AO826" s="246">
        <f>IFERROR(VLOOKUP(M826,PROGRAMAS[],3,FALSE),0)</f>
        <v>0</v>
      </c>
      <c r="AP826" s="246">
        <f>IFERROR(VLOOKUP(N826,PROGRAMAS[],3,FALSE),0)</f>
        <v>0</v>
      </c>
      <c r="AQ826" s="246">
        <f>IFERROR(VLOOKUP(O826,PROGRAMAS[],3,FALSE),0)</f>
        <v>0</v>
      </c>
      <c r="AR826" s="246">
        <f>IFERROR(VLOOKUP(P826,PROGRAMAS[],3,FALSE),0)</f>
        <v>0</v>
      </c>
      <c r="AS826" s="246">
        <f>IFERROR(VLOOKUP(Q826,PROGRAMAS[],3,FALSE),0)</f>
        <v>0</v>
      </c>
      <c r="AT826" s="246">
        <f>IFERROR(VLOOKUP(D826,VOL_REC[],2,FALSE),0)</f>
        <v>0</v>
      </c>
      <c r="AU826" s="246">
        <f>IFERROR(VLOOKUP(E826,VOL_REC[],2,FALSE),0)</f>
        <v>0</v>
      </c>
      <c r="AV826" s="246">
        <f>IFERROR(VLOOKUP(F826,VOL_REC[],2,FALSE),0)</f>
        <v>11089674.200000001</v>
      </c>
      <c r="AW826" s="246">
        <f>IFERROR(VLOOKUP(G826,VOL_REC[],2,FALSE),0)</f>
        <v>4325103.1812214684</v>
      </c>
      <c r="AX826" s="246">
        <f>IFERROR(VLOOKUP(H826,VOL_REC[],2,FALSE),0)</f>
        <v>15540036.397699751</v>
      </c>
      <c r="AY826" s="246">
        <f>IFERROR(VLOOKUP(I826,VOL_REC[],2,FALSE),0)</f>
        <v>17074.045034105649</v>
      </c>
      <c r="AZ826" s="246">
        <f>IFERROR(VLOOKUP(J826,VOL_REC[],2,FALSE),0)</f>
        <v>105072</v>
      </c>
      <c r="BA826" s="246">
        <f>IFERROR(VLOOKUP(K826,VOL_REC[],2,FALSE),0)</f>
        <v>740113.98115702497</v>
      </c>
      <c r="BB826" s="246">
        <f>IFERROR(VLOOKUP(L826,VOL_REC[],2,FALSE),0)</f>
        <v>0</v>
      </c>
      <c r="BC826" s="246">
        <f>IFERROR(VLOOKUP(M826,VOL_REC[],2,FALSE),0)</f>
        <v>0</v>
      </c>
      <c r="BD826" s="246">
        <f>IFERROR(VLOOKUP(N826,VOL_REC[],2,FALSE),0)</f>
        <v>0</v>
      </c>
      <c r="BE826" s="246">
        <f>IFERROR(VLOOKUP(O826,VOL_REC[],2,FALSE),0)</f>
        <v>0</v>
      </c>
      <c r="BF826" s="246">
        <f>IFERROR(VLOOKUP(P826,VOL_REC[],2,FALSE),0)</f>
        <v>0</v>
      </c>
      <c r="BG826" s="246">
        <f>IFERROR(VLOOKUP(Q826,VOL_REC[],2,FALSE),0)</f>
        <v>0</v>
      </c>
      <c r="BH826" s="1710">
        <f t="shared" si="48"/>
        <v>14217620557.742092</v>
      </c>
      <c r="BI826" s="1710">
        <f t="shared" si="49"/>
        <v>16548256839.711834</v>
      </c>
      <c r="BJ826" s="1711">
        <f t="shared" si="50"/>
        <v>31817073.805112351</v>
      </c>
      <c r="BK826" s="1711">
        <f t="shared" si="51"/>
        <v>0.85916122135735917</v>
      </c>
    </row>
    <row r="827" spans="3:67" x14ac:dyDescent="0.25">
      <c r="C827" s="246" t="s">
        <v>2177</v>
      </c>
      <c r="D827" s="246">
        <v>1</v>
      </c>
      <c r="E827" s="246">
        <v>2</v>
      </c>
      <c r="F827" s="246">
        <v>3</v>
      </c>
      <c r="G827" s="246">
        <v>5</v>
      </c>
      <c r="H827" s="246">
        <v>6</v>
      </c>
      <c r="I827" s="246">
        <v>14</v>
      </c>
      <c r="J827" s="246">
        <v>16</v>
      </c>
      <c r="K827" s="246">
        <v>17</v>
      </c>
      <c r="L827" s="246"/>
      <c r="M827" s="246"/>
      <c r="N827" s="246"/>
      <c r="O827" s="246"/>
      <c r="P827" s="246"/>
      <c r="Q827" s="246"/>
      <c r="R827" s="246">
        <f>IFERROR(VLOOKUP(D827,PROGRAMAS[],2,FALSE),0)</f>
        <v>97037803.679377079</v>
      </c>
      <c r="S827" s="246">
        <f>IFERROR(VLOOKUP(E827,PROGRAMAS[],2,FALSE),0)</f>
        <v>640501509.6821388</v>
      </c>
      <c r="T827" s="246">
        <f>IFERROR(VLOOKUP(F827,PROGRAMAS[],2,FALSE),0)</f>
        <v>3062327798.1525245</v>
      </c>
      <c r="U827" s="246">
        <f>IFERROR(VLOOKUP(G827,PROGRAMAS[],2,FALSE),0)</f>
        <v>1440941976.2528784</v>
      </c>
      <c r="V827" s="246">
        <f>IFERROR(VLOOKUP(H827,PROGRAMAS[],2,FALSE),0)</f>
        <v>6907648435.8447599</v>
      </c>
      <c r="W827" s="246">
        <f>IFERROR(VLOOKUP(I827,PROGRAMAS[],2,FALSE),0)</f>
        <v>54223862.645839565</v>
      </c>
      <c r="X827" s="246">
        <f>IFERROR(VLOOKUP(J827,PROGRAMAS[],2,FALSE),0)</f>
        <v>7068496961.0436354</v>
      </c>
      <c r="Y827" s="246">
        <f>IFERROR(VLOOKUP(K827,PROGRAMAS[],2,FALSE),0)</f>
        <v>1892779498.5211046</v>
      </c>
      <c r="Z827" s="246">
        <f>IFERROR(VLOOKUP(L827,PROGRAMAS[],2,FALSE),0)</f>
        <v>0</v>
      </c>
      <c r="AA827" s="246">
        <f>IFERROR(VLOOKUP(M827,PROGRAMAS[],2,FALSE),0)</f>
        <v>0</v>
      </c>
      <c r="AB827" s="246">
        <f>IFERROR(VLOOKUP(N827,PROGRAMAS[],2,FALSE),0)</f>
        <v>0</v>
      </c>
      <c r="AC827" s="246">
        <f>IFERROR(VLOOKUP(O827,PROGRAMAS[],2,FALSE),0)</f>
        <v>0</v>
      </c>
      <c r="AD827" s="246">
        <f>IFERROR(VLOOKUP(P827,PROGRAMAS[],2,FALSE),0)</f>
        <v>0</v>
      </c>
      <c r="AE827" s="246">
        <f>IFERROR(VLOOKUP(Q827,PROGRAMAS[],2,FALSE),0)</f>
        <v>0</v>
      </c>
      <c r="AF827" s="246">
        <f>IFERROR(VLOOKUP(D827,PROGRAMAS[],3,FALSE),0)</f>
        <v>841888629.31080008</v>
      </c>
      <c r="AG827" s="246">
        <f>IFERROR(VLOOKUP(E827,PROGRAMAS[],3,FALSE),0)</f>
        <v>3848980803.1642323</v>
      </c>
      <c r="AH827" s="246">
        <f>IFERROR(VLOOKUP(F827,PROGRAMAS[],3,FALSE),0)</f>
        <v>3394901471.387517</v>
      </c>
      <c r="AI827" s="246">
        <f>IFERROR(VLOOKUP(G827,PROGRAMAS[],3,FALSE),0)</f>
        <v>1233505101.0616004</v>
      </c>
      <c r="AJ827" s="246">
        <f>IFERROR(VLOOKUP(H827,PROGRAMAS[],3,FALSE),0)</f>
        <v>6129902208.7912121</v>
      </c>
      <c r="AK827" s="246">
        <f>IFERROR(VLOOKUP(I827,PROGRAMAS[],3,FALSE),0)</f>
        <v>31865326.38096505</v>
      </c>
      <c r="AL827" s="246">
        <f>IFERROR(VLOOKUP(J827,PROGRAMAS[],3,FALSE),0)</f>
        <v>2406564599.0319901</v>
      </c>
      <c r="AM827" s="246">
        <f>IFERROR(VLOOKUP(K827,PROGRAMAS[],3,FALSE),0)</f>
        <v>948595847.09039903</v>
      </c>
      <c r="AN827" s="246">
        <f>IFERROR(VLOOKUP(L827,PROGRAMAS[],3,FALSE),0)</f>
        <v>0</v>
      </c>
      <c r="AO827" s="246">
        <f>IFERROR(VLOOKUP(M827,PROGRAMAS[],3,FALSE),0)</f>
        <v>0</v>
      </c>
      <c r="AP827" s="246">
        <f>IFERROR(VLOOKUP(N827,PROGRAMAS[],3,FALSE),0)</f>
        <v>0</v>
      </c>
      <c r="AQ827" s="246">
        <f>IFERROR(VLOOKUP(O827,PROGRAMAS[],3,FALSE),0)</f>
        <v>0</v>
      </c>
      <c r="AR827" s="246">
        <f>IFERROR(VLOOKUP(P827,PROGRAMAS[],3,FALSE),0)</f>
        <v>0</v>
      </c>
      <c r="AS827" s="246">
        <f>IFERROR(VLOOKUP(Q827,PROGRAMAS[],3,FALSE),0)</f>
        <v>0</v>
      </c>
      <c r="AT827" s="246">
        <f>IFERROR(VLOOKUP(D827,VOL_REC[],2,FALSE),0)</f>
        <v>0</v>
      </c>
      <c r="AU827" s="246">
        <f>IFERROR(VLOOKUP(E827,VOL_REC[],2,FALSE),0)</f>
        <v>0</v>
      </c>
      <c r="AV827" s="246">
        <f>IFERROR(VLOOKUP(F827,VOL_REC[],2,FALSE),0)</f>
        <v>11089674.200000001</v>
      </c>
      <c r="AW827" s="246">
        <f>IFERROR(VLOOKUP(G827,VOL_REC[],2,FALSE),0)</f>
        <v>4325103.1812214684</v>
      </c>
      <c r="AX827" s="246">
        <f>IFERROR(VLOOKUP(H827,VOL_REC[],2,FALSE),0)</f>
        <v>15540036.397699751</v>
      </c>
      <c r="AY827" s="246">
        <f>IFERROR(VLOOKUP(I827,VOL_REC[],2,FALSE),0)</f>
        <v>17074.045034105649</v>
      </c>
      <c r="AZ827" s="246">
        <f>IFERROR(VLOOKUP(J827,VOL_REC[],2,FALSE),0)</f>
        <v>1072354.9981737854</v>
      </c>
      <c r="BA827" s="246">
        <f>IFERROR(VLOOKUP(K827,VOL_REC[],2,FALSE),0)</f>
        <v>740113.98115702497</v>
      </c>
      <c r="BB827" s="246">
        <f>IFERROR(VLOOKUP(L827,VOL_REC[],2,FALSE),0)</f>
        <v>0</v>
      </c>
      <c r="BC827" s="246">
        <f>IFERROR(VLOOKUP(M827,VOL_REC[],2,FALSE),0)</f>
        <v>0</v>
      </c>
      <c r="BD827" s="246">
        <f>IFERROR(VLOOKUP(N827,VOL_REC[],2,FALSE),0)</f>
        <v>0</v>
      </c>
      <c r="BE827" s="246">
        <f>IFERROR(VLOOKUP(O827,VOL_REC[],2,FALSE),0)</f>
        <v>0</v>
      </c>
      <c r="BF827" s="246">
        <f>IFERROR(VLOOKUP(P827,VOL_REC[],2,FALSE),0)</f>
        <v>0</v>
      </c>
      <c r="BG827" s="246">
        <f>IFERROR(VLOOKUP(Q827,VOL_REC[],2,FALSE),0)</f>
        <v>0</v>
      </c>
      <c r="BH827" s="1710">
        <f t="shared" si="48"/>
        <v>21163957845.822258</v>
      </c>
      <c r="BI827" s="1710">
        <f t="shared" si="49"/>
        <v>18836203986.218719</v>
      </c>
      <c r="BJ827" s="1711">
        <f t="shared" si="50"/>
        <v>32784356.803286135</v>
      </c>
      <c r="BK827" s="1711">
        <f t="shared" si="51"/>
        <v>1.1235787136997779</v>
      </c>
      <c r="BL827">
        <f>BJ827</f>
        <v>32784356.803286135</v>
      </c>
      <c r="BO827">
        <f>BL827</f>
        <v>32784356.803286135</v>
      </c>
    </row>
    <row r="828" spans="3:67" x14ac:dyDescent="0.25">
      <c r="C828" s="246" t="s">
        <v>2178</v>
      </c>
      <c r="D828" s="246">
        <v>1</v>
      </c>
      <c r="E828" s="246">
        <v>2</v>
      </c>
      <c r="F828" s="246">
        <v>3</v>
      </c>
      <c r="G828" s="246">
        <v>5</v>
      </c>
      <c r="H828" s="246">
        <v>6</v>
      </c>
      <c r="I828" s="246">
        <v>15</v>
      </c>
      <c r="J828" s="246">
        <v>16</v>
      </c>
      <c r="K828" s="246">
        <v>17</v>
      </c>
      <c r="L828" s="246"/>
      <c r="M828" s="246"/>
      <c r="N828" s="246"/>
      <c r="O828" s="246"/>
      <c r="P828" s="246"/>
      <c r="Q828" s="246"/>
      <c r="R828" s="246">
        <f>IFERROR(VLOOKUP(D828,PROGRAMAS[],2,FALSE),0)</f>
        <v>97037803.679377079</v>
      </c>
      <c r="S828" s="246">
        <f>IFERROR(VLOOKUP(E828,PROGRAMAS[],2,FALSE),0)</f>
        <v>640501509.6821388</v>
      </c>
      <c r="T828" s="246">
        <f>IFERROR(VLOOKUP(F828,PROGRAMAS[],2,FALSE),0)</f>
        <v>3062327798.1525245</v>
      </c>
      <c r="U828" s="246">
        <f>IFERROR(VLOOKUP(G828,PROGRAMAS[],2,FALSE),0)</f>
        <v>1440941976.2528784</v>
      </c>
      <c r="V828" s="246">
        <f>IFERROR(VLOOKUP(H828,PROGRAMAS[],2,FALSE),0)</f>
        <v>6907648435.8447599</v>
      </c>
      <c r="W828" s="246">
        <f>IFERROR(VLOOKUP(I828,PROGRAMAS[],2,FALSE),0)</f>
        <v>122159672.96346797</v>
      </c>
      <c r="X828" s="246">
        <f>IFERROR(VLOOKUP(J828,PROGRAMAS[],2,FALSE),0)</f>
        <v>7068496961.0436354</v>
      </c>
      <c r="Y828" s="246">
        <f>IFERROR(VLOOKUP(K828,PROGRAMAS[],2,FALSE),0)</f>
        <v>1892779498.5211046</v>
      </c>
      <c r="Z828" s="246">
        <f>IFERROR(VLOOKUP(L828,PROGRAMAS[],2,FALSE),0)</f>
        <v>0</v>
      </c>
      <c r="AA828" s="246">
        <f>IFERROR(VLOOKUP(M828,PROGRAMAS[],2,FALSE),0)</f>
        <v>0</v>
      </c>
      <c r="AB828" s="246">
        <f>IFERROR(VLOOKUP(N828,PROGRAMAS[],2,FALSE),0)</f>
        <v>0</v>
      </c>
      <c r="AC828" s="246">
        <f>IFERROR(VLOOKUP(O828,PROGRAMAS[],2,FALSE),0)</f>
        <v>0</v>
      </c>
      <c r="AD828" s="246">
        <f>IFERROR(VLOOKUP(P828,PROGRAMAS[],2,FALSE),0)</f>
        <v>0</v>
      </c>
      <c r="AE828" s="246">
        <f>IFERROR(VLOOKUP(Q828,PROGRAMAS[],2,FALSE),0)</f>
        <v>0</v>
      </c>
      <c r="AF828" s="246">
        <f>IFERROR(VLOOKUP(D828,PROGRAMAS[],3,FALSE),0)</f>
        <v>841888629.31080008</v>
      </c>
      <c r="AG828" s="246">
        <f>IFERROR(VLOOKUP(E828,PROGRAMAS[],3,FALSE),0)</f>
        <v>3848980803.1642323</v>
      </c>
      <c r="AH828" s="246">
        <f>IFERROR(VLOOKUP(F828,PROGRAMAS[],3,FALSE),0)</f>
        <v>3394901471.387517</v>
      </c>
      <c r="AI828" s="246">
        <f>IFERROR(VLOOKUP(G828,PROGRAMAS[],3,FALSE),0)</f>
        <v>1233505101.0616004</v>
      </c>
      <c r="AJ828" s="246">
        <f>IFERROR(VLOOKUP(H828,PROGRAMAS[],3,FALSE),0)</f>
        <v>6129902208.7912121</v>
      </c>
      <c r="AK828" s="246">
        <f>IFERROR(VLOOKUP(I828,PROGRAMAS[],3,FALSE),0)</f>
        <v>118617452.52510804</v>
      </c>
      <c r="AL828" s="246">
        <f>IFERROR(VLOOKUP(J828,PROGRAMAS[],3,FALSE),0)</f>
        <v>2406564599.0319901</v>
      </c>
      <c r="AM828" s="246">
        <f>IFERROR(VLOOKUP(K828,PROGRAMAS[],3,FALSE),0)</f>
        <v>948595847.09039903</v>
      </c>
      <c r="AN828" s="246">
        <f>IFERROR(VLOOKUP(L828,PROGRAMAS[],3,FALSE),0)</f>
        <v>0</v>
      </c>
      <c r="AO828" s="246">
        <f>IFERROR(VLOOKUP(M828,PROGRAMAS[],3,FALSE),0)</f>
        <v>0</v>
      </c>
      <c r="AP828" s="246">
        <f>IFERROR(VLOOKUP(N828,PROGRAMAS[],3,FALSE),0)</f>
        <v>0</v>
      </c>
      <c r="AQ828" s="246">
        <f>IFERROR(VLOOKUP(O828,PROGRAMAS[],3,FALSE),0)</f>
        <v>0</v>
      </c>
      <c r="AR828" s="246">
        <f>IFERROR(VLOOKUP(P828,PROGRAMAS[],3,FALSE),0)</f>
        <v>0</v>
      </c>
      <c r="AS828" s="246">
        <f>IFERROR(VLOOKUP(Q828,PROGRAMAS[],3,FALSE),0)</f>
        <v>0</v>
      </c>
      <c r="AT828" s="246">
        <f>IFERROR(VLOOKUP(D828,VOL_REC[],2,FALSE),0)</f>
        <v>0</v>
      </c>
      <c r="AU828" s="246">
        <f>IFERROR(VLOOKUP(E828,VOL_REC[],2,FALSE),0)</f>
        <v>0</v>
      </c>
      <c r="AV828" s="246">
        <f>IFERROR(VLOOKUP(F828,VOL_REC[],2,FALSE),0)</f>
        <v>11089674.200000001</v>
      </c>
      <c r="AW828" s="246">
        <f>IFERROR(VLOOKUP(G828,VOL_REC[],2,FALSE),0)</f>
        <v>4325103.1812214684</v>
      </c>
      <c r="AX828" s="246">
        <f>IFERROR(VLOOKUP(H828,VOL_REC[],2,FALSE),0)</f>
        <v>15540036.397699751</v>
      </c>
      <c r="AY828" s="246">
        <f>IFERROR(VLOOKUP(I828,VOL_REC[],2,FALSE),0)</f>
        <v>105072</v>
      </c>
      <c r="AZ828" s="246">
        <f>IFERROR(VLOOKUP(J828,VOL_REC[],2,FALSE),0)</f>
        <v>1072354.9981737854</v>
      </c>
      <c r="BA828" s="246">
        <f>IFERROR(VLOOKUP(K828,VOL_REC[],2,FALSE),0)</f>
        <v>740113.98115702497</v>
      </c>
      <c r="BB828" s="246">
        <f>IFERROR(VLOOKUP(L828,VOL_REC[],2,FALSE),0)</f>
        <v>0</v>
      </c>
      <c r="BC828" s="246">
        <f>IFERROR(VLOOKUP(M828,VOL_REC[],2,FALSE),0)</f>
        <v>0</v>
      </c>
      <c r="BD828" s="246">
        <f>IFERROR(VLOOKUP(N828,VOL_REC[],2,FALSE),0)</f>
        <v>0</v>
      </c>
      <c r="BE828" s="246">
        <f>IFERROR(VLOOKUP(O828,VOL_REC[],2,FALSE),0)</f>
        <v>0</v>
      </c>
      <c r="BF828" s="246">
        <f>IFERROR(VLOOKUP(P828,VOL_REC[],2,FALSE),0)</f>
        <v>0</v>
      </c>
      <c r="BG828" s="246">
        <f>IFERROR(VLOOKUP(Q828,VOL_REC[],2,FALSE),0)</f>
        <v>0</v>
      </c>
      <c r="BH828" s="1710">
        <f t="shared" si="48"/>
        <v>21231893656.139885</v>
      </c>
      <c r="BI828" s="1710">
        <f t="shared" si="49"/>
        <v>18922956112.362862</v>
      </c>
      <c r="BJ828" s="1711">
        <f t="shared" si="50"/>
        <v>32872354.758252028</v>
      </c>
      <c r="BK828" s="1711">
        <f t="shared" si="51"/>
        <v>1.1220178036701429</v>
      </c>
      <c r="BL828">
        <f>BJ828</f>
        <v>32872354.758252028</v>
      </c>
      <c r="BO828">
        <f>BL828</f>
        <v>32872354.758252028</v>
      </c>
    </row>
    <row r="829" spans="3:67" x14ac:dyDescent="0.25">
      <c r="C829" s="246" t="s">
        <v>2179</v>
      </c>
      <c r="D829" s="246">
        <v>1</v>
      </c>
      <c r="E829" s="246">
        <v>2</v>
      </c>
      <c r="F829" s="246">
        <v>3</v>
      </c>
      <c r="G829" s="246">
        <v>5</v>
      </c>
      <c r="H829" s="246">
        <v>9</v>
      </c>
      <c r="I829" s="246">
        <v>10</v>
      </c>
      <c r="J829" s="246">
        <v>12</v>
      </c>
      <c r="K829" s="246">
        <v>13</v>
      </c>
      <c r="L829" s="246"/>
      <c r="M829" s="246"/>
      <c r="N829" s="246"/>
      <c r="O829" s="246"/>
      <c r="P829" s="246"/>
      <c r="Q829" s="246"/>
      <c r="R829" s="246">
        <f>IFERROR(VLOOKUP(D829,PROGRAMAS[],2,FALSE),0)</f>
        <v>97037803.679377079</v>
      </c>
      <c r="S829" s="246">
        <f>IFERROR(VLOOKUP(E829,PROGRAMAS[],2,FALSE),0)</f>
        <v>640501509.6821388</v>
      </c>
      <c r="T829" s="246">
        <f>IFERROR(VLOOKUP(F829,PROGRAMAS[],2,FALSE),0)</f>
        <v>3062327798.1525245</v>
      </c>
      <c r="U829" s="246">
        <f>IFERROR(VLOOKUP(G829,PROGRAMAS[],2,FALSE),0)</f>
        <v>1440941976.2528784</v>
      </c>
      <c r="V829" s="246">
        <f>IFERROR(VLOOKUP(H829,PROGRAMAS[],2,FALSE),0)</f>
        <v>6128579952.1618185</v>
      </c>
      <c r="W829" s="246">
        <f>IFERROR(VLOOKUP(I829,PROGRAMAS[],2,FALSE),0)</f>
        <v>4635315027.8751087</v>
      </c>
      <c r="X829" s="246">
        <f>IFERROR(VLOOKUP(J829,PROGRAMAS[],2,FALSE),0)</f>
        <v>764796700.79905891</v>
      </c>
      <c r="Y829" s="246">
        <f>IFERROR(VLOOKUP(K829,PROGRAMAS[],2,FALSE),0)</f>
        <v>3776538594.4604583</v>
      </c>
      <c r="Z829" s="246">
        <f>IFERROR(VLOOKUP(L829,PROGRAMAS[],2,FALSE),0)</f>
        <v>0</v>
      </c>
      <c r="AA829" s="246">
        <f>IFERROR(VLOOKUP(M829,PROGRAMAS[],2,FALSE),0)</f>
        <v>0</v>
      </c>
      <c r="AB829" s="246">
        <f>IFERROR(VLOOKUP(N829,PROGRAMAS[],2,FALSE),0)</f>
        <v>0</v>
      </c>
      <c r="AC829" s="246">
        <f>IFERROR(VLOOKUP(O829,PROGRAMAS[],2,FALSE),0)</f>
        <v>0</v>
      </c>
      <c r="AD829" s="246">
        <f>IFERROR(VLOOKUP(P829,PROGRAMAS[],2,FALSE),0)</f>
        <v>0</v>
      </c>
      <c r="AE829" s="246">
        <f>IFERROR(VLOOKUP(Q829,PROGRAMAS[],2,FALSE),0)</f>
        <v>0</v>
      </c>
      <c r="AF829" s="246">
        <f>IFERROR(VLOOKUP(D829,PROGRAMAS[],3,FALSE),0)</f>
        <v>841888629.31080008</v>
      </c>
      <c r="AG829" s="246">
        <f>IFERROR(VLOOKUP(E829,PROGRAMAS[],3,FALSE),0)</f>
        <v>3848980803.1642323</v>
      </c>
      <c r="AH829" s="246">
        <f>IFERROR(VLOOKUP(F829,PROGRAMAS[],3,FALSE),0)</f>
        <v>3394901471.387517</v>
      </c>
      <c r="AI829" s="246">
        <f>IFERROR(VLOOKUP(G829,PROGRAMAS[],3,FALSE),0)</f>
        <v>1233505101.0616004</v>
      </c>
      <c r="AJ829" s="246">
        <f>IFERROR(VLOOKUP(H829,PROGRAMAS[],3,FALSE),0)</f>
        <v>7011279577.519702</v>
      </c>
      <c r="AK829" s="246">
        <f>IFERROR(VLOOKUP(I829,PROGRAMAS[],3,FALSE),0)</f>
        <v>4099471734.9978786</v>
      </c>
      <c r="AL829" s="246">
        <f>IFERROR(VLOOKUP(J829,PROGRAMAS[],3,FALSE),0)</f>
        <v>675517840.109828</v>
      </c>
      <c r="AM829" s="246">
        <f>IFERROR(VLOOKUP(K829,PROGRAMAS[],3,FALSE),0)</f>
        <v>2392571243.5584412</v>
      </c>
      <c r="AN829" s="246">
        <f>IFERROR(VLOOKUP(L829,PROGRAMAS[],3,FALSE),0)</f>
        <v>0</v>
      </c>
      <c r="AO829" s="246">
        <f>IFERROR(VLOOKUP(M829,PROGRAMAS[],3,FALSE),0)</f>
        <v>0</v>
      </c>
      <c r="AP829" s="246">
        <f>IFERROR(VLOOKUP(N829,PROGRAMAS[],3,FALSE),0)</f>
        <v>0</v>
      </c>
      <c r="AQ829" s="246">
        <f>IFERROR(VLOOKUP(O829,PROGRAMAS[],3,FALSE),0)</f>
        <v>0</v>
      </c>
      <c r="AR829" s="246">
        <f>IFERROR(VLOOKUP(P829,PROGRAMAS[],3,FALSE),0)</f>
        <v>0</v>
      </c>
      <c r="AS829" s="246">
        <f>IFERROR(VLOOKUP(Q829,PROGRAMAS[],3,FALSE),0)</f>
        <v>0</v>
      </c>
      <c r="AT829" s="246">
        <f>IFERROR(VLOOKUP(D829,VOL_REC[],2,FALSE),0)</f>
        <v>0</v>
      </c>
      <c r="AU829" s="246">
        <f>IFERROR(VLOOKUP(E829,VOL_REC[],2,FALSE),0)</f>
        <v>0</v>
      </c>
      <c r="AV829" s="246">
        <f>IFERROR(VLOOKUP(F829,VOL_REC[],2,FALSE),0)</f>
        <v>11089674.200000001</v>
      </c>
      <c r="AW829" s="246">
        <f>IFERROR(VLOOKUP(G829,VOL_REC[],2,FALSE),0)</f>
        <v>4325103.1812214684</v>
      </c>
      <c r="AX829" s="246">
        <f>IFERROR(VLOOKUP(H829,VOL_REC[],2,FALSE),0)</f>
        <v>3761786</v>
      </c>
      <c r="AY829" s="246">
        <f>IFERROR(VLOOKUP(I829,VOL_REC[],2,FALSE),0)</f>
        <v>1812240</v>
      </c>
      <c r="AZ829" s="246">
        <f>IFERROR(VLOOKUP(J829,VOL_REC[],2,FALSE),0)</f>
        <v>240696.79238099116</v>
      </c>
      <c r="BA829" s="246">
        <f>IFERROR(VLOOKUP(K829,VOL_REC[],2,FALSE),0)</f>
        <v>663244.80000000016</v>
      </c>
      <c r="BB829" s="246">
        <f>IFERROR(VLOOKUP(L829,VOL_REC[],2,FALSE),0)</f>
        <v>0</v>
      </c>
      <c r="BC829" s="246">
        <f>IFERROR(VLOOKUP(M829,VOL_REC[],2,FALSE),0)</f>
        <v>0</v>
      </c>
      <c r="BD829" s="246">
        <f>IFERROR(VLOOKUP(N829,VOL_REC[],2,FALSE),0)</f>
        <v>0</v>
      </c>
      <c r="BE829" s="246">
        <f>IFERROR(VLOOKUP(O829,VOL_REC[],2,FALSE),0)</f>
        <v>0</v>
      </c>
      <c r="BF829" s="246">
        <f>IFERROR(VLOOKUP(P829,VOL_REC[],2,FALSE),0)</f>
        <v>0</v>
      </c>
      <c r="BG829" s="246">
        <f>IFERROR(VLOOKUP(Q829,VOL_REC[],2,FALSE),0)</f>
        <v>0</v>
      </c>
      <c r="BH829" s="1710">
        <f t="shared" si="48"/>
        <v>20546039363.063362</v>
      </c>
      <c r="BI829" s="1710">
        <f t="shared" si="49"/>
        <v>23498116401.110001</v>
      </c>
      <c r="BJ829" s="1711">
        <f t="shared" si="50"/>
        <v>21892744.973602463</v>
      </c>
      <c r="BK829" s="1711">
        <f t="shared" si="51"/>
        <v>0.87436963083955155</v>
      </c>
    </row>
    <row r="830" spans="3:67" x14ac:dyDescent="0.25">
      <c r="C830" s="246" t="s">
        <v>2180</v>
      </c>
      <c r="D830" s="246">
        <v>1</v>
      </c>
      <c r="E830" s="246">
        <v>2</v>
      </c>
      <c r="F830" s="246">
        <v>3</v>
      </c>
      <c r="G830" s="246">
        <v>5</v>
      </c>
      <c r="H830" s="246">
        <v>9</v>
      </c>
      <c r="I830" s="246">
        <v>10</v>
      </c>
      <c r="J830" s="246">
        <v>12</v>
      </c>
      <c r="K830" s="246">
        <v>14</v>
      </c>
      <c r="L830" s="246"/>
      <c r="M830" s="246"/>
      <c r="N830" s="246"/>
      <c r="O830" s="246"/>
      <c r="P830" s="246"/>
      <c r="Q830" s="246"/>
      <c r="R830" s="246">
        <f>IFERROR(VLOOKUP(D830,PROGRAMAS[],2,FALSE),0)</f>
        <v>97037803.679377079</v>
      </c>
      <c r="S830" s="246">
        <f>IFERROR(VLOOKUP(E830,PROGRAMAS[],2,FALSE),0)</f>
        <v>640501509.6821388</v>
      </c>
      <c r="T830" s="246">
        <f>IFERROR(VLOOKUP(F830,PROGRAMAS[],2,FALSE),0)</f>
        <v>3062327798.1525245</v>
      </c>
      <c r="U830" s="246">
        <f>IFERROR(VLOOKUP(G830,PROGRAMAS[],2,FALSE),0)</f>
        <v>1440941976.2528784</v>
      </c>
      <c r="V830" s="246">
        <f>IFERROR(VLOOKUP(H830,PROGRAMAS[],2,FALSE),0)</f>
        <v>6128579952.1618185</v>
      </c>
      <c r="W830" s="246">
        <f>IFERROR(VLOOKUP(I830,PROGRAMAS[],2,FALSE),0)</f>
        <v>4635315027.8751087</v>
      </c>
      <c r="X830" s="246">
        <f>IFERROR(VLOOKUP(J830,PROGRAMAS[],2,FALSE),0)</f>
        <v>764796700.79905891</v>
      </c>
      <c r="Y830" s="246">
        <f>IFERROR(VLOOKUP(K830,PROGRAMAS[],2,FALSE),0)</f>
        <v>54223862.645839565</v>
      </c>
      <c r="Z830" s="246">
        <f>IFERROR(VLOOKUP(L830,PROGRAMAS[],2,FALSE),0)</f>
        <v>0</v>
      </c>
      <c r="AA830" s="246">
        <f>IFERROR(VLOOKUP(M830,PROGRAMAS[],2,FALSE),0)</f>
        <v>0</v>
      </c>
      <c r="AB830" s="246">
        <f>IFERROR(VLOOKUP(N830,PROGRAMAS[],2,FALSE),0)</f>
        <v>0</v>
      </c>
      <c r="AC830" s="246">
        <f>IFERROR(VLOOKUP(O830,PROGRAMAS[],2,FALSE),0)</f>
        <v>0</v>
      </c>
      <c r="AD830" s="246">
        <f>IFERROR(VLOOKUP(P830,PROGRAMAS[],2,FALSE),0)</f>
        <v>0</v>
      </c>
      <c r="AE830" s="246">
        <f>IFERROR(VLOOKUP(Q830,PROGRAMAS[],2,FALSE),0)</f>
        <v>0</v>
      </c>
      <c r="AF830" s="246">
        <f>IFERROR(VLOOKUP(D830,PROGRAMAS[],3,FALSE),0)</f>
        <v>841888629.31080008</v>
      </c>
      <c r="AG830" s="246">
        <f>IFERROR(VLOOKUP(E830,PROGRAMAS[],3,FALSE),0)</f>
        <v>3848980803.1642323</v>
      </c>
      <c r="AH830" s="246">
        <f>IFERROR(VLOOKUP(F830,PROGRAMAS[],3,FALSE),0)</f>
        <v>3394901471.387517</v>
      </c>
      <c r="AI830" s="246">
        <f>IFERROR(VLOOKUP(G830,PROGRAMAS[],3,FALSE),0)</f>
        <v>1233505101.0616004</v>
      </c>
      <c r="AJ830" s="246">
        <f>IFERROR(VLOOKUP(H830,PROGRAMAS[],3,FALSE),0)</f>
        <v>7011279577.519702</v>
      </c>
      <c r="AK830" s="246">
        <f>IFERROR(VLOOKUP(I830,PROGRAMAS[],3,FALSE),0)</f>
        <v>4099471734.9978786</v>
      </c>
      <c r="AL830" s="246">
        <f>IFERROR(VLOOKUP(J830,PROGRAMAS[],3,FALSE),0)</f>
        <v>675517840.109828</v>
      </c>
      <c r="AM830" s="246">
        <f>IFERROR(VLOOKUP(K830,PROGRAMAS[],3,FALSE),0)</f>
        <v>31865326.38096505</v>
      </c>
      <c r="AN830" s="246">
        <f>IFERROR(VLOOKUP(L830,PROGRAMAS[],3,FALSE),0)</f>
        <v>0</v>
      </c>
      <c r="AO830" s="246">
        <f>IFERROR(VLOOKUP(M830,PROGRAMAS[],3,FALSE),0)</f>
        <v>0</v>
      </c>
      <c r="AP830" s="246">
        <f>IFERROR(VLOOKUP(N830,PROGRAMAS[],3,FALSE),0)</f>
        <v>0</v>
      </c>
      <c r="AQ830" s="246">
        <f>IFERROR(VLOOKUP(O830,PROGRAMAS[],3,FALSE),0)</f>
        <v>0</v>
      </c>
      <c r="AR830" s="246">
        <f>IFERROR(VLOOKUP(P830,PROGRAMAS[],3,FALSE),0)</f>
        <v>0</v>
      </c>
      <c r="AS830" s="246">
        <f>IFERROR(VLOOKUP(Q830,PROGRAMAS[],3,FALSE),0)</f>
        <v>0</v>
      </c>
      <c r="AT830" s="246">
        <f>IFERROR(VLOOKUP(D830,VOL_REC[],2,FALSE),0)</f>
        <v>0</v>
      </c>
      <c r="AU830" s="246">
        <f>IFERROR(VLOOKUP(E830,VOL_REC[],2,FALSE),0)</f>
        <v>0</v>
      </c>
      <c r="AV830" s="246">
        <f>IFERROR(VLOOKUP(F830,VOL_REC[],2,FALSE),0)</f>
        <v>11089674.200000001</v>
      </c>
      <c r="AW830" s="246">
        <f>IFERROR(VLOOKUP(G830,VOL_REC[],2,FALSE),0)</f>
        <v>4325103.1812214684</v>
      </c>
      <c r="AX830" s="246">
        <f>IFERROR(VLOOKUP(H830,VOL_REC[],2,FALSE),0)</f>
        <v>3761786</v>
      </c>
      <c r="AY830" s="246">
        <f>IFERROR(VLOOKUP(I830,VOL_REC[],2,FALSE),0)</f>
        <v>1812240</v>
      </c>
      <c r="AZ830" s="246">
        <f>IFERROR(VLOOKUP(J830,VOL_REC[],2,FALSE),0)</f>
        <v>240696.79238099116</v>
      </c>
      <c r="BA830" s="246">
        <f>IFERROR(VLOOKUP(K830,VOL_REC[],2,FALSE),0)</f>
        <v>17074.045034105649</v>
      </c>
      <c r="BB830" s="246">
        <f>IFERROR(VLOOKUP(L830,VOL_REC[],2,FALSE),0)</f>
        <v>0</v>
      </c>
      <c r="BC830" s="246">
        <f>IFERROR(VLOOKUP(M830,VOL_REC[],2,FALSE),0)</f>
        <v>0</v>
      </c>
      <c r="BD830" s="246">
        <f>IFERROR(VLOOKUP(N830,VOL_REC[],2,FALSE),0)</f>
        <v>0</v>
      </c>
      <c r="BE830" s="246">
        <f>IFERROR(VLOOKUP(O830,VOL_REC[],2,FALSE),0)</f>
        <v>0</v>
      </c>
      <c r="BF830" s="246">
        <f>IFERROR(VLOOKUP(P830,VOL_REC[],2,FALSE),0)</f>
        <v>0</v>
      </c>
      <c r="BG830" s="246">
        <f>IFERROR(VLOOKUP(Q830,VOL_REC[],2,FALSE),0)</f>
        <v>0</v>
      </c>
      <c r="BH830" s="1710">
        <f t="shared" si="48"/>
        <v>16823724631.248745</v>
      </c>
      <c r="BI830" s="1710">
        <f t="shared" si="49"/>
        <v>21137410483.932526</v>
      </c>
      <c r="BJ830" s="1711">
        <f t="shared" si="50"/>
        <v>21246574.218636569</v>
      </c>
      <c r="BK830" s="1711">
        <f t="shared" si="51"/>
        <v>0.79592174472067889</v>
      </c>
    </row>
    <row r="831" spans="3:67" x14ac:dyDescent="0.25">
      <c r="C831" s="246" t="s">
        <v>2181</v>
      </c>
      <c r="D831" s="246">
        <v>1</v>
      </c>
      <c r="E831" s="246">
        <v>2</v>
      </c>
      <c r="F831" s="246">
        <v>3</v>
      </c>
      <c r="G831" s="246">
        <v>5</v>
      </c>
      <c r="H831" s="246">
        <v>9</v>
      </c>
      <c r="I831" s="246">
        <v>10</v>
      </c>
      <c r="J831" s="246">
        <v>12</v>
      </c>
      <c r="K831" s="246">
        <v>15</v>
      </c>
      <c r="L831" s="246"/>
      <c r="M831" s="246"/>
      <c r="N831" s="246"/>
      <c r="O831" s="246"/>
      <c r="P831" s="246"/>
      <c r="Q831" s="246"/>
      <c r="R831" s="246">
        <f>IFERROR(VLOOKUP(D831,PROGRAMAS[],2,FALSE),0)</f>
        <v>97037803.679377079</v>
      </c>
      <c r="S831" s="246">
        <f>IFERROR(VLOOKUP(E831,PROGRAMAS[],2,FALSE),0)</f>
        <v>640501509.6821388</v>
      </c>
      <c r="T831" s="246">
        <f>IFERROR(VLOOKUP(F831,PROGRAMAS[],2,FALSE),0)</f>
        <v>3062327798.1525245</v>
      </c>
      <c r="U831" s="246">
        <f>IFERROR(VLOOKUP(G831,PROGRAMAS[],2,FALSE),0)</f>
        <v>1440941976.2528784</v>
      </c>
      <c r="V831" s="246">
        <f>IFERROR(VLOOKUP(H831,PROGRAMAS[],2,FALSE),0)</f>
        <v>6128579952.1618185</v>
      </c>
      <c r="W831" s="246">
        <f>IFERROR(VLOOKUP(I831,PROGRAMAS[],2,FALSE),0)</f>
        <v>4635315027.8751087</v>
      </c>
      <c r="X831" s="246">
        <f>IFERROR(VLOOKUP(J831,PROGRAMAS[],2,FALSE),0)</f>
        <v>764796700.79905891</v>
      </c>
      <c r="Y831" s="246">
        <f>IFERROR(VLOOKUP(K831,PROGRAMAS[],2,FALSE),0)</f>
        <v>122159672.96346797</v>
      </c>
      <c r="Z831" s="246">
        <f>IFERROR(VLOOKUP(L831,PROGRAMAS[],2,FALSE),0)</f>
        <v>0</v>
      </c>
      <c r="AA831" s="246">
        <f>IFERROR(VLOOKUP(M831,PROGRAMAS[],2,FALSE),0)</f>
        <v>0</v>
      </c>
      <c r="AB831" s="246">
        <f>IFERROR(VLOOKUP(N831,PROGRAMAS[],2,FALSE),0)</f>
        <v>0</v>
      </c>
      <c r="AC831" s="246">
        <f>IFERROR(VLOOKUP(O831,PROGRAMAS[],2,FALSE),0)</f>
        <v>0</v>
      </c>
      <c r="AD831" s="246">
        <f>IFERROR(VLOOKUP(P831,PROGRAMAS[],2,FALSE),0)</f>
        <v>0</v>
      </c>
      <c r="AE831" s="246">
        <f>IFERROR(VLOOKUP(Q831,PROGRAMAS[],2,FALSE),0)</f>
        <v>0</v>
      </c>
      <c r="AF831" s="246">
        <f>IFERROR(VLOOKUP(D831,PROGRAMAS[],3,FALSE),0)</f>
        <v>841888629.31080008</v>
      </c>
      <c r="AG831" s="246">
        <f>IFERROR(VLOOKUP(E831,PROGRAMAS[],3,FALSE),0)</f>
        <v>3848980803.1642323</v>
      </c>
      <c r="AH831" s="246">
        <f>IFERROR(VLOOKUP(F831,PROGRAMAS[],3,FALSE),0)</f>
        <v>3394901471.387517</v>
      </c>
      <c r="AI831" s="246">
        <f>IFERROR(VLOOKUP(G831,PROGRAMAS[],3,FALSE),0)</f>
        <v>1233505101.0616004</v>
      </c>
      <c r="AJ831" s="246">
        <f>IFERROR(VLOOKUP(H831,PROGRAMAS[],3,FALSE),0)</f>
        <v>7011279577.519702</v>
      </c>
      <c r="AK831" s="246">
        <f>IFERROR(VLOOKUP(I831,PROGRAMAS[],3,FALSE),0)</f>
        <v>4099471734.9978786</v>
      </c>
      <c r="AL831" s="246">
        <f>IFERROR(VLOOKUP(J831,PROGRAMAS[],3,FALSE),0)</f>
        <v>675517840.109828</v>
      </c>
      <c r="AM831" s="246">
        <f>IFERROR(VLOOKUP(K831,PROGRAMAS[],3,FALSE),0)</f>
        <v>118617452.52510804</v>
      </c>
      <c r="AN831" s="246">
        <f>IFERROR(VLOOKUP(L831,PROGRAMAS[],3,FALSE),0)</f>
        <v>0</v>
      </c>
      <c r="AO831" s="246">
        <f>IFERROR(VLOOKUP(M831,PROGRAMAS[],3,FALSE),0)</f>
        <v>0</v>
      </c>
      <c r="AP831" s="246">
        <f>IFERROR(VLOOKUP(N831,PROGRAMAS[],3,FALSE),0)</f>
        <v>0</v>
      </c>
      <c r="AQ831" s="246">
        <f>IFERROR(VLOOKUP(O831,PROGRAMAS[],3,FALSE),0)</f>
        <v>0</v>
      </c>
      <c r="AR831" s="246">
        <f>IFERROR(VLOOKUP(P831,PROGRAMAS[],3,FALSE),0)</f>
        <v>0</v>
      </c>
      <c r="AS831" s="246">
        <f>IFERROR(VLOOKUP(Q831,PROGRAMAS[],3,FALSE),0)</f>
        <v>0</v>
      </c>
      <c r="AT831" s="246">
        <f>IFERROR(VLOOKUP(D831,VOL_REC[],2,FALSE),0)</f>
        <v>0</v>
      </c>
      <c r="AU831" s="246">
        <f>IFERROR(VLOOKUP(E831,VOL_REC[],2,FALSE),0)</f>
        <v>0</v>
      </c>
      <c r="AV831" s="246">
        <f>IFERROR(VLOOKUP(F831,VOL_REC[],2,FALSE),0)</f>
        <v>11089674.200000001</v>
      </c>
      <c r="AW831" s="246">
        <f>IFERROR(VLOOKUP(G831,VOL_REC[],2,FALSE),0)</f>
        <v>4325103.1812214684</v>
      </c>
      <c r="AX831" s="246">
        <f>IFERROR(VLOOKUP(H831,VOL_REC[],2,FALSE),0)</f>
        <v>3761786</v>
      </c>
      <c r="AY831" s="246">
        <f>IFERROR(VLOOKUP(I831,VOL_REC[],2,FALSE),0)</f>
        <v>1812240</v>
      </c>
      <c r="AZ831" s="246">
        <f>IFERROR(VLOOKUP(J831,VOL_REC[],2,FALSE),0)</f>
        <v>240696.79238099116</v>
      </c>
      <c r="BA831" s="246">
        <f>IFERROR(VLOOKUP(K831,VOL_REC[],2,FALSE),0)</f>
        <v>105072</v>
      </c>
      <c r="BB831" s="246">
        <f>IFERROR(VLOOKUP(L831,VOL_REC[],2,FALSE),0)</f>
        <v>0</v>
      </c>
      <c r="BC831" s="246">
        <f>IFERROR(VLOOKUP(M831,VOL_REC[],2,FALSE),0)</f>
        <v>0</v>
      </c>
      <c r="BD831" s="246">
        <f>IFERROR(VLOOKUP(N831,VOL_REC[],2,FALSE),0)</f>
        <v>0</v>
      </c>
      <c r="BE831" s="246">
        <f>IFERROR(VLOOKUP(O831,VOL_REC[],2,FALSE),0)</f>
        <v>0</v>
      </c>
      <c r="BF831" s="246">
        <f>IFERROR(VLOOKUP(P831,VOL_REC[],2,FALSE),0)</f>
        <v>0</v>
      </c>
      <c r="BG831" s="246">
        <f>IFERROR(VLOOKUP(Q831,VOL_REC[],2,FALSE),0)</f>
        <v>0</v>
      </c>
      <c r="BH831" s="1710">
        <f t="shared" si="48"/>
        <v>16891660441.566374</v>
      </c>
      <c r="BI831" s="1710">
        <f t="shared" si="49"/>
        <v>21224162610.076668</v>
      </c>
      <c r="BJ831" s="1711">
        <f t="shared" si="50"/>
        <v>21334572.173602462</v>
      </c>
      <c r="BK831" s="1711">
        <f t="shared" si="51"/>
        <v>0.79586934721027169</v>
      </c>
    </row>
    <row r="832" spans="3:67" x14ac:dyDescent="0.25">
      <c r="C832" s="246" t="s">
        <v>2182</v>
      </c>
      <c r="D832" s="246">
        <v>1</v>
      </c>
      <c r="E832" s="246">
        <v>2</v>
      </c>
      <c r="F832" s="246">
        <v>3</v>
      </c>
      <c r="G832" s="246">
        <v>5</v>
      </c>
      <c r="H832" s="246">
        <v>9</v>
      </c>
      <c r="I832" s="246">
        <v>10</v>
      </c>
      <c r="J832" s="246">
        <v>12</v>
      </c>
      <c r="K832" s="246">
        <v>16</v>
      </c>
      <c r="L832" s="246"/>
      <c r="M832" s="246"/>
      <c r="N832" s="246"/>
      <c r="O832" s="246"/>
      <c r="P832" s="246"/>
      <c r="Q832" s="246"/>
      <c r="R832" s="246">
        <f>IFERROR(VLOOKUP(D832,PROGRAMAS[],2,FALSE),0)</f>
        <v>97037803.679377079</v>
      </c>
      <c r="S832" s="246">
        <f>IFERROR(VLOOKUP(E832,PROGRAMAS[],2,FALSE),0)</f>
        <v>640501509.6821388</v>
      </c>
      <c r="T832" s="246">
        <f>IFERROR(VLOOKUP(F832,PROGRAMAS[],2,FALSE),0)</f>
        <v>3062327798.1525245</v>
      </c>
      <c r="U832" s="246">
        <f>IFERROR(VLOOKUP(G832,PROGRAMAS[],2,FALSE),0)</f>
        <v>1440941976.2528784</v>
      </c>
      <c r="V832" s="246">
        <f>IFERROR(VLOOKUP(H832,PROGRAMAS[],2,FALSE),0)</f>
        <v>6128579952.1618185</v>
      </c>
      <c r="W832" s="246">
        <f>IFERROR(VLOOKUP(I832,PROGRAMAS[],2,FALSE),0)</f>
        <v>4635315027.8751087</v>
      </c>
      <c r="X832" s="246">
        <f>IFERROR(VLOOKUP(J832,PROGRAMAS[],2,FALSE),0)</f>
        <v>764796700.79905891</v>
      </c>
      <c r="Y832" s="246">
        <f>IFERROR(VLOOKUP(K832,PROGRAMAS[],2,FALSE),0)</f>
        <v>7068496961.0436354</v>
      </c>
      <c r="Z832" s="246">
        <f>IFERROR(VLOOKUP(L832,PROGRAMAS[],2,FALSE),0)</f>
        <v>0</v>
      </c>
      <c r="AA832" s="246">
        <f>IFERROR(VLOOKUP(M832,PROGRAMAS[],2,FALSE),0)</f>
        <v>0</v>
      </c>
      <c r="AB832" s="246">
        <f>IFERROR(VLOOKUP(N832,PROGRAMAS[],2,FALSE),0)</f>
        <v>0</v>
      </c>
      <c r="AC832" s="246">
        <f>IFERROR(VLOOKUP(O832,PROGRAMAS[],2,FALSE),0)</f>
        <v>0</v>
      </c>
      <c r="AD832" s="246">
        <f>IFERROR(VLOOKUP(P832,PROGRAMAS[],2,FALSE),0)</f>
        <v>0</v>
      </c>
      <c r="AE832" s="246">
        <f>IFERROR(VLOOKUP(Q832,PROGRAMAS[],2,FALSE),0)</f>
        <v>0</v>
      </c>
      <c r="AF832" s="246">
        <f>IFERROR(VLOOKUP(D832,PROGRAMAS[],3,FALSE),0)</f>
        <v>841888629.31080008</v>
      </c>
      <c r="AG832" s="246">
        <f>IFERROR(VLOOKUP(E832,PROGRAMAS[],3,FALSE),0)</f>
        <v>3848980803.1642323</v>
      </c>
      <c r="AH832" s="246">
        <f>IFERROR(VLOOKUP(F832,PROGRAMAS[],3,FALSE),0)</f>
        <v>3394901471.387517</v>
      </c>
      <c r="AI832" s="246">
        <f>IFERROR(VLOOKUP(G832,PROGRAMAS[],3,FALSE),0)</f>
        <v>1233505101.0616004</v>
      </c>
      <c r="AJ832" s="246">
        <f>IFERROR(VLOOKUP(H832,PROGRAMAS[],3,FALSE),0)</f>
        <v>7011279577.519702</v>
      </c>
      <c r="AK832" s="246">
        <f>IFERROR(VLOOKUP(I832,PROGRAMAS[],3,FALSE),0)</f>
        <v>4099471734.9978786</v>
      </c>
      <c r="AL832" s="246">
        <f>IFERROR(VLOOKUP(J832,PROGRAMAS[],3,FALSE),0)</f>
        <v>675517840.109828</v>
      </c>
      <c r="AM832" s="246">
        <f>IFERROR(VLOOKUP(K832,PROGRAMAS[],3,FALSE),0)</f>
        <v>2406564599.0319901</v>
      </c>
      <c r="AN832" s="246">
        <f>IFERROR(VLOOKUP(L832,PROGRAMAS[],3,FALSE),0)</f>
        <v>0</v>
      </c>
      <c r="AO832" s="246">
        <f>IFERROR(VLOOKUP(M832,PROGRAMAS[],3,FALSE),0)</f>
        <v>0</v>
      </c>
      <c r="AP832" s="246">
        <f>IFERROR(VLOOKUP(N832,PROGRAMAS[],3,FALSE),0)</f>
        <v>0</v>
      </c>
      <c r="AQ832" s="246">
        <f>IFERROR(VLOOKUP(O832,PROGRAMAS[],3,FALSE),0)</f>
        <v>0</v>
      </c>
      <c r="AR832" s="246">
        <f>IFERROR(VLOOKUP(P832,PROGRAMAS[],3,FALSE),0)</f>
        <v>0</v>
      </c>
      <c r="AS832" s="246">
        <f>IFERROR(VLOOKUP(Q832,PROGRAMAS[],3,FALSE),0)</f>
        <v>0</v>
      </c>
      <c r="AT832" s="246">
        <f>IFERROR(VLOOKUP(D832,VOL_REC[],2,FALSE),0)</f>
        <v>0</v>
      </c>
      <c r="AU832" s="246">
        <f>IFERROR(VLOOKUP(E832,VOL_REC[],2,FALSE),0)</f>
        <v>0</v>
      </c>
      <c r="AV832" s="246">
        <f>IFERROR(VLOOKUP(F832,VOL_REC[],2,FALSE),0)</f>
        <v>11089674.200000001</v>
      </c>
      <c r="AW832" s="246">
        <f>IFERROR(VLOOKUP(G832,VOL_REC[],2,FALSE),0)</f>
        <v>4325103.1812214684</v>
      </c>
      <c r="AX832" s="246">
        <f>IFERROR(VLOOKUP(H832,VOL_REC[],2,FALSE),0)</f>
        <v>3761786</v>
      </c>
      <c r="AY832" s="246">
        <f>IFERROR(VLOOKUP(I832,VOL_REC[],2,FALSE),0)</f>
        <v>1812240</v>
      </c>
      <c r="AZ832" s="246">
        <f>IFERROR(VLOOKUP(J832,VOL_REC[],2,FALSE),0)</f>
        <v>240696.79238099116</v>
      </c>
      <c r="BA832" s="246">
        <f>IFERROR(VLOOKUP(K832,VOL_REC[],2,FALSE),0)</f>
        <v>1072354.9981737854</v>
      </c>
      <c r="BB832" s="246">
        <f>IFERROR(VLOOKUP(L832,VOL_REC[],2,FALSE),0)</f>
        <v>0</v>
      </c>
      <c r="BC832" s="246">
        <f>IFERROR(VLOOKUP(M832,VOL_REC[],2,FALSE),0)</f>
        <v>0</v>
      </c>
      <c r="BD832" s="246">
        <f>IFERROR(VLOOKUP(N832,VOL_REC[],2,FALSE),0)</f>
        <v>0</v>
      </c>
      <c r="BE832" s="246">
        <f>IFERROR(VLOOKUP(O832,VOL_REC[],2,FALSE),0)</f>
        <v>0</v>
      </c>
      <c r="BF832" s="246">
        <f>IFERROR(VLOOKUP(P832,VOL_REC[],2,FALSE),0)</f>
        <v>0</v>
      </c>
      <c r="BG832" s="246">
        <f>IFERROR(VLOOKUP(Q832,VOL_REC[],2,FALSE),0)</f>
        <v>0</v>
      </c>
      <c r="BH832" s="1710">
        <f t="shared" si="48"/>
        <v>23837997729.646542</v>
      </c>
      <c r="BI832" s="1710">
        <f t="shared" si="49"/>
        <v>23512109756.583549</v>
      </c>
      <c r="BJ832" s="1711">
        <f t="shared" si="50"/>
        <v>22301855.171776246</v>
      </c>
      <c r="BK832" s="1711">
        <f t="shared" si="51"/>
        <v>1.0138604309199324</v>
      </c>
      <c r="BL832">
        <f>BJ832</f>
        <v>22301855.171776246</v>
      </c>
      <c r="BO832">
        <f>BL832</f>
        <v>22301855.171776246</v>
      </c>
    </row>
    <row r="833" spans="3:67" x14ac:dyDescent="0.25">
      <c r="C833" s="246" t="s">
        <v>2183</v>
      </c>
      <c r="D833" s="246">
        <v>1</v>
      </c>
      <c r="E833" s="246">
        <v>2</v>
      </c>
      <c r="F833" s="246">
        <v>3</v>
      </c>
      <c r="G833" s="246">
        <v>5</v>
      </c>
      <c r="H833" s="246">
        <v>9</v>
      </c>
      <c r="I833" s="246">
        <v>10</v>
      </c>
      <c r="J833" s="246">
        <v>12</v>
      </c>
      <c r="K833" s="246">
        <v>17</v>
      </c>
      <c r="L833" s="246"/>
      <c r="M833" s="246"/>
      <c r="N833" s="246"/>
      <c r="O833" s="246"/>
      <c r="P833" s="246"/>
      <c r="Q833" s="246"/>
      <c r="R833" s="246">
        <f>IFERROR(VLOOKUP(D833,PROGRAMAS[],2,FALSE),0)</f>
        <v>97037803.679377079</v>
      </c>
      <c r="S833" s="246">
        <f>IFERROR(VLOOKUP(E833,PROGRAMAS[],2,FALSE),0)</f>
        <v>640501509.6821388</v>
      </c>
      <c r="T833" s="246">
        <f>IFERROR(VLOOKUP(F833,PROGRAMAS[],2,FALSE),0)</f>
        <v>3062327798.1525245</v>
      </c>
      <c r="U833" s="246">
        <f>IFERROR(VLOOKUP(G833,PROGRAMAS[],2,FALSE),0)</f>
        <v>1440941976.2528784</v>
      </c>
      <c r="V833" s="246">
        <f>IFERROR(VLOOKUP(H833,PROGRAMAS[],2,FALSE),0)</f>
        <v>6128579952.1618185</v>
      </c>
      <c r="W833" s="246">
        <f>IFERROR(VLOOKUP(I833,PROGRAMAS[],2,FALSE),0)</f>
        <v>4635315027.8751087</v>
      </c>
      <c r="X833" s="246">
        <f>IFERROR(VLOOKUP(J833,PROGRAMAS[],2,FALSE),0)</f>
        <v>764796700.79905891</v>
      </c>
      <c r="Y833" s="246">
        <f>IFERROR(VLOOKUP(K833,PROGRAMAS[],2,FALSE),0)</f>
        <v>1892779498.5211046</v>
      </c>
      <c r="Z833" s="246">
        <f>IFERROR(VLOOKUP(L833,PROGRAMAS[],2,FALSE),0)</f>
        <v>0</v>
      </c>
      <c r="AA833" s="246">
        <f>IFERROR(VLOOKUP(M833,PROGRAMAS[],2,FALSE),0)</f>
        <v>0</v>
      </c>
      <c r="AB833" s="246">
        <f>IFERROR(VLOOKUP(N833,PROGRAMAS[],2,FALSE),0)</f>
        <v>0</v>
      </c>
      <c r="AC833" s="246">
        <f>IFERROR(VLOOKUP(O833,PROGRAMAS[],2,FALSE),0)</f>
        <v>0</v>
      </c>
      <c r="AD833" s="246">
        <f>IFERROR(VLOOKUP(P833,PROGRAMAS[],2,FALSE),0)</f>
        <v>0</v>
      </c>
      <c r="AE833" s="246">
        <f>IFERROR(VLOOKUP(Q833,PROGRAMAS[],2,FALSE),0)</f>
        <v>0</v>
      </c>
      <c r="AF833" s="246">
        <f>IFERROR(VLOOKUP(D833,PROGRAMAS[],3,FALSE),0)</f>
        <v>841888629.31080008</v>
      </c>
      <c r="AG833" s="246">
        <f>IFERROR(VLOOKUP(E833,PROGRAMAS[],3,FALSE),0)</f>
        <v>3848980803.1642323</v>
      </c>
      <c r="AH833" s="246">
        <f>IFERROR(VLOOKUP(F833,PROGRAMAS[],3,FALSE),0)</f>
        <v>3394901471.387517</v>
      </c>
      <c r="AI833" s="246">
        <f>IFERROR(VLOOKUP(G833,PROGRAMAS[],3,FALSE),0)</f>
        <v>1233505101.0616004</v>
      </c>
      <c r="AJ833" s="246">
        <f>IFERROR(VLOOKUP(H833,PROGRAMAS[],3,FALSE),0)</f>
        <v>7011279577.519702</v>
      </c>
      <c r="AK833" s="246">
        <f>IFERROR(VLOOKUP(I833,PROGRAMAS[],3,FALSE),0)</f>
        <v>4099471734.9978786</v>
      </c>
      <c r="AL833" s="246">
        <f>IFERROR(VLOOKUP(J833,PROGRAMAS[],3,FALSE),0)</f>
        <v>675517840.109828</v>
      </c>
      <c r="AM833" s="246">
        <f>IFERROR(VLOOKUP(K833,PROGRAMAS[],3,FALSE),0)</f>
        <v>948595847.09039903</v>
      </c>
      <c r="AN833" s="246">
        <f>IFERROR(VLOOKUP(L833,PROGRAMAS[],3,FALSE),0)</f>
        <v>0</v>
      </c>
      <c r="AO833" s="246">
        <f>IFERROR(VLOOKUP(M833,PROGRAMAS[],3,FALSE),0)</f>
        <v>0</v>
      </c>
      <c r="AP833" s="246">
        <f>IFERROR(VLOOKUP(N833,PROGRAMAS[],3,FALSE),0)</f>
        <v>0</v>
      </c>
      <c r="AQ833" s="246">
        <f>IFERROR(VLOOKUP(O833,PROGRAMAS[],3,FALSE),0)</f>
        <v>0</v>
      </c>
      <c r="AR833" s="246">
        <f>IFERROR(VLOOKUP(P833,PROGRAMAS[],3,FALSE),0)</f>
        <v>0</v>
      </c>
      <c r="AS833" s="246">
        <f>IFERROR(VLOOKUP(Q833,PROGRAMAS[],3,FALSE),0)</f>
        <v>0</v>
      </c>
      <c r="AT833" s="246">
        <f>IFERROR(VLOOKUP(D833,VOL_REC[],2,FALSE),0)</f>
        <v>0</v>
      </c>
      <c r="AU833" s="246">
        <f>IFERROR(VLOOKUP(E833,VOL_REC[],2,FALSE),0)</f>
        <v>0</v>
      </c>
      <c r="AV833" s="246">
        <f>IFERROR(VLOOKUP(F833,VOL_REC[],2,FALSE),0)</f>
        <v>11089674.200000001</v>
      </c>
      <c r="AW833" s="246">
        <f>IFERROR(VLOOKUP(G833,VOL_REC[],2,FALSE),0)</f>
        <v>4325103.1812214684</v>
      </c>
      <c r="AX833" s="246">
        <f>IFERROR(VLOOKUP(H833,VOL_REC[],2,FALSE),0)</f>
        <v>3761786</v>
      </c>
      <c r="AY833" s="246">
        <f>IFERROR(VLOOKUP(I833,VOL_REC[],2,FALSE),0)</f>
        <v>1812240</v>
      </c>
      <c r="AZ833" s="246">
        <f>IFERROR(VLOOKUP(J833,VOL_REC[],2,FALSE),0)</f>
        <v>240696.79238099116</v>
      </c>
      <c r="BA833" s="246">
        <f>IFERROR(VLOOKUP(K833,VOL_REC[],2,FALSE),0)</f>
        <v>740113.98115702497</v>
      </c>
      <c r="BB833" s="246">
        <f>IFERROR(VLOOKUP(L833,VOL_REC[],2,FALSE),0)</f>
        <v>0</v>
      </c>
      <c r="BC833" s="246">
        <f>IFERROR(VLOOKUP(M833,VOL_REC[],2,FALSE),0)</f>
        <v>0</v>
      </c>
      <c r="BD833" s="246">
        <f>IFERROR(VLOOKUP(N833,VOL_REC[],2,FALSE),0)</f>
        <v>0</v>
      </c>
      <c r="BE833" s="246">
        <f>IFERROR(VLOOKUP(O833,VOL_REC[],2,FALSE),0)</f>
        <v>0</v>
      </c>
      <c r="BF833" s="246">
        <f>IFERROR(VLOOKUP(P833,VOL_REC[],2,FALSE),0)</f>
        <v>0</v>
      </c>
      <c r="BG833" s="246">
        <f>IFERROR(VLOOKUP(Q833,VOL_REC[],2,FALSE),0)</f>
        <v>0</v>
      </c>
      <c r="BH833" s="1710">
        <f t="shared" si="48"/>
        <v>18662280267.124008</v>
      </c>
      <c r="BI833" s="1710">
        <f t="shared" si="49"/>
        <v>22054141004.64196</v>
      </c>
      <c r="BJ833" s="1711">
        <f t="shared" si="50"/>
        <v>21969614.154759485</v>
      </c>
      <c r="BK833" s="1711">
        <f t="shared" si="51"/>
        <v>0.8462029993911786</v>
      </c>
    </row>
    <row r="834" spans="3:67" x14ac:dyDescent="0.25">
      <c r="C834" s="246" t="s">
        <v>2184</v>
      </c>
      <c r="D834" s="246">
        <v>1</v>
      </c>
      <c r="E834" s="246">
        <v>2</v>
      </c>
      <c r="F834" s="246">
        <v>3</v>
      </c>
      <c r="G834" s="246">
        <v>5</v>
      </c>
      <c r="H834" s="246">
        <v>9</v>
      </c>
      <c r="I834" s="246">
        <v>10</v>
      </c>
      <c r="J834" s="246">
        <v>13</v>
      </c>
      <c r="K834" s="246">
        <v>14</v>
      </c>
      <c r="L834" s="246"/>
      <c r="M834" s="246"/>
      <c r="N834" s="246"/>
      <c r="O834" s="246"/>
      <c r="P834" s="246"/>
      <c r="Q834" s="246"/>
      <c r="R834" s="246">
        <f>IFERROR(VLOOKUP(D834,PROGRAMAS[],2,FALSE),0)</f>
        <v>97037803.679377079</v>
      </c>
      <c r="S834" s="246">
        <f>IFERROR(VLOOKUP(E834,PROGRAMAS[],2,FALSE),0)</f>
        <v>640501509.6821388</v>
      </c>
      <c r="T834" s="246">
        <f>IFERROR(VLOOKUP(F834,PROGRAMAS[],2,FALSE),0)</f>
        <v>3062327798.1525245</v>
      </c>
      <c r="U834" s="246">
        <f>IFERROR(VLOOKUP(G834,PROGRAMAS[],2,FALSE),0)</f>
        <v>1440941976.2528784</v>
      </c>
      <c r="V834" s="246">
        <f>IFERROR(VLOOKUP(H834,PROGRAMAS[],2,FALSE),0)</f>
        <v>6128579952.1618185</v>
      </c>
      <c r="W834" s="246">
        <f>IFERROR(VLOOKUP(I834,PROGRAMAS[],2,FALSE),0)</f>
        <v>4635315027.8751087</v>
      </c>
      <c r="X834" s="246">
        <f>IFERROR(VLOOKUP(J834,PROGRAMAS[],2,FALSE),0)</f>
        <v>3776538594.4604583</v>
      </c>
      <c r="Y834" s="246">
        <f>IFERROR(VLOOKUP(K834,PROGRAMAS[],2,FALSE),0)</f>
        <v>54223862.645839565</v>
      </c>
      <c r="Z834" s="246">
        <f>IFERROR(VLOOKUP(L834,PROGRAMAS[],2,FALSE),0)</f>
        <v>0</v>
      </c>
      <c r="AA834" s="246">
        <f>IFERROR(VLOOKUP(M834,PROGRAMAS[],2,FALSE),0)</f>
        <v>0</v>
      </c>
      <c r="AB834" s="246">
        <f>IFERROR(VLOOKUP(N834,PROGRAMAS[],2,FALSE),0)</f>
        <v>0</v>
      </c>
      <c r="AC834" s="246">
        <f>IFERROR(VLOOKUP(O834,PROGRAMAS[],2,FALSE),0)</f>
        <v>0</v>
      </c>
      <c r="AD834" s="246">
        <f>IFERROR(VLOOKUP(P834,PROGRAMAS[],2,FALSE),0)</f>
        <v>0</v>
      </c>
      <c r="AE834" s="246">
        <f>IFERROR(VLOOKUP(Q834,PROGRAMAS[],2,FALSE),0)</f>
        <v>0</v>
      </c>
      <c r="AF834" s="246">
        <f>IFERROR(VLOOKUP(D834,PROGRAMAS[],3,FALSE),0)</f>
        <v>841888629.31080008</v>
      </c>
      <c r="AG834" s="246">
        <f>IFERROR(VLOOKUP(E834,PROGRAMAS[],3,FALSE),0)</f>
        <v>3848980803.1642323</v>
      </c>
      <c r="AH834" s="246">
        <f>IFERROR(VLOOKUP(F834,PROGRAMAS[],3,FALSE),0)</f>
        <v>3394901471.387517</v>
      </c>
      <c r="AI834" s="246">
        <f>IFERROR(VLOOKUP(G834,PROGRAMAS[],3,FALSE),0)</f>
        <v>1233505101.0616004</v>
      </c>
      <c r="AJ834" s="246">
        <f>IFERROR(VLOOKUP(H834,PROGRAMAS[],3,FALSE),0)</f>
        <v>7011279577.519702</v>
      </c>
      <c r="AK834" s="246">
        <f>IFERROR(VLOOKUP(I834,PROGRAMAS[],3,FALSE),0)</f>
        <v>4099471734.9978786</v>
      </c>
      <c r="AL834" s="246">
        <f>IFERROR(VLOOKUP(J834,PROGRAMAS[],3,FALSE),0)</f>
        <v>2392571243.5584412</v>
      </c>
      <c r="AM834" s="246">
        <f>IFERROR(VLOOKUP(K834,PROGRAMAS[],3,FALSE),0)</f>
        <v>31865326.38096505</v>
      </c>
      <c r="AN834" s="246">
        <f>IFERROR(VLOOKUP(L834,PROGRAMAS[],3,FALSE),0)</f>
        <v>0</v>
      </c>
      <c r="AO834" s="246">
        <f>IFERROR(VLOOKUP(M834,PROGRAMAS[],3,FALSE),0)</f>
        <v>0</v>
      </c>
      <c r="AP834" s="246">
        <f>IFERROR(VLOOKUP(N834,PROGRAMAS[],3,FALSE),0)</f>
        <v>0</v>
      </c>
      <c r="AQ834" s="246">
        <f>IFERROR(VLOOKUP(O834,PROGRAMAS[],3,FALSE),0)</f>
        <v>0</v>
      </c>
      <c r="AR834" s="246">
        <f>IFERROR(VLOOKUP(P834,PROGRAMAS[],3,FALSE),0)</f>
        <v>0</v>
      </c>
      <c r="AS834" s="246">
        <f>IFERROR(VLOOKUP(Q834,PROGRAMAS[],3,FALSE),0)</f>
        <v>0</v>
      </c>
      <c r="AT834" s="246">
        <f>IFERROR(VLOOKUP(D834,VOL_REC[],2,FALSE),0)</f>
        <v>0</v>
      </c>
      <c r="AU834" s="246">
        <f>IFERROR(VLOOKUP(E834,VOL_REC[],2,FALSE),0)</f>
        <v>0</v>
      </c>
      <c r="AV834" s="246">
        <f>IFERROR(VLOOKUP(F834,VOL_REC[],2,FALSE),0)</f>
        <v>11089674.200000001</v>
      </c>
      <c r="AW834" s="246">
        <f>IFERROR(VLOOKUP(G834,VOL_REC[],2,FALSE),0)</f>
        <v>4325103.1812214684</v>
      </c>
      <c r="AX834" s="246">
        <f>IFERROR(VLOOKUP(H834,VOL_REC[],2,FALSE),0)</f>
        <v>3761786</v>
      </c>
      <c r="AY834" s="246">
        <f>IFERROR(VLOOKUP(I834,VOL_REC[],2,FALSE),0)</f>
        <v>1812240</v>
      </c>
      <c r="AZ834" s="246">
        <f>IFERROR(VLOOKUP(J834,VOL_REC[],2,FALSE),0)</f>
        <v>663244.80000000016</v>
      </c>
      <c r="BA834" s="246">
        <f>IFERROR(VLOOKUP(K834,VOL_REC[],2,FALSE),0)</f>
        <v>17074.045034105649</v>
      </c>
      <c r="BB834" s="246">
        <f>IFERROR(VLOOKUP(L834,VOL_REC[],2,FALSE),0)</f>
        <v>0</v>
      </c>
      <c r="BC834" s="246">
        <f>IFERROR(VLOOKUP(M834,VOL_REC[],2,FALSE),0)</f>
        <v>0</v>
      </c>
      <c r="BD834" s="246">
        <f>IFERROR(VLOOKUP(N834,VOL_REC[],2,FALSE),0)</f>
        <v>0</v>
      </c>
      <c r="BE834" s="246">
        <f>IFERROR(VLOOKUP(O834,VOL_REC[],2,FALSE),0)</f>
        <v>0</v>
      </c>
      <c r="BF834" s="246">
        <f>IFERROR(VLOOKUP(P834,VOL_REC[],2,FALSE),0)</f>
        <v>0</v>
      </c>
      <c r="BG834" s="246">
        <f>IFERROR(VLOOKUP(Q834,VOL_REC[],2,FALSE),0)</f>
        <v>0</v>
      </c>
      <c r="BH834" s="1710">
        <f t="shared" ref="BH834:BH897" si="52">SUM(R834:AE834)</f>
        <v>19835466524.910145</v>
      </c>
      <c r="BI834" s="1710">
        <f t="shared" ref="BI834:BI897" si="53">SUM(AF834:AS834)</f>
        <v>22854463887.381138</v>
      </c>
      <c r="BJ834" s="1711">
        <f t="shared" ref="BJ834:BJ897" si="54">SUM(AT834:BG834)</f>
        <v>21669122.226255577</v>
      </c>
      <c r="BK834" s="1711">
        <f t="shared" ref="BK834:BK897" si="55">IFERROR(BH834/BI834,0)</f>
        <v>0.86790338301753378</v>
      </c>
    </row>
    <row r="835" spans="3:67" x14ac:dyDescent="0.25">
      <c r="C835" s="246" t="s">
        <v>2185</v>
      </c>
      <c r="D835" s="246">
        <v>1</v>
      </c>
      <c r="E835" s="246">
        <v>2</v>
      </c>
      <c r="F835" s="246">
        <v>3</v>
      </c>
      <c r="G835" s="246">
        <v>5</v>
      </c>
      <c r="H835" s="246">
        <v>9</v>
      </c>
      <c r="I835" s="246">
        <v>10</v>
      </c>
      <c r="J835" s="246">
        <v>13</v>
      </c>
      <c r="K835" s="246">
        <v>15</v>
      </c>
      <c r="L835" s="246"/>
      <c r="M835" s="246"/>
      <c r="N835" s="246"/>
      <c r="O835" s="246"/>
      <c r="P835" s="246"/>
      <c r="Q835" s="246"/>
      <c r="R835" s="246">
        <f>IFERROR(VLOOKUP(D835,PROGRAMAS[],2,FALSE),0)</f>
        <v>97037803.679377079</v>
      </c>
      <c r="S835" s="246">
        <f>IFERROR(VLOOKUP(E835,PROGRAMAS[],2,FALSE),0)</f>
        <v>640501509.6821388</v>
      </c>
      <c r="T835" s="246">
        <f>IFERROR(VLOOKUP(F835,PROGRAMAS[],2,FALSE),0)</f>
        <v>3062327798.1525245</v>
      </c>
      <c r="U835" s="246">
        <f>IFERROR(VLOOKUP(G835,PROGRAMAS[],2,FALSE),0)</f>
        <v>1440941976.2528784</v>
      </c>
      <c r="V835" s="246">
        <f>IFERROR(VLOOKUP(H835,PROGRAMAS[],2,FALSE),0)</f>
        <v>6128579952.1618185</v>
      </c>
      <c r="W835" s="246">
        <f>IFERROR(VLOOKUP(I835,PROGRAMAS[],2,FALSE),0)</f>
        <v>4635315027.8751087</v>
      </c>
      <c r="X835" s="246">
        <f>IFERROR(VLOOKUP(J835,PROGRAMAS[],2,FALSE),0)</f>
        <v>3776538594.4604583</v>
      </c>
      <c r="Y835" s="246">
        <f>IFERROR(VLOOKUP(K835,PROGRAMAS[],2,FALSE),0)</f>
        <v>122159672.96346797</v>
      </c>
      <c r="Z835" s="246">
        <f>IFERROR(VLOOKUP(L835,PROGRAMAS[],2,FALSE),0)</f>
        <v>0</v>
      </c>
      <c r="AA835" s="246">
        <f>IFERROR(VLOOKUP(M835,PROGRAMAS[],2,FALSE),0)</f>
        <v>0</v>
      </c>
      <c r="AB835" s="246">
        <f>IFERROR(VLOOKUP(N835,PROGRAMAS[],2,FALSE),0)</f>
        <v>0</v>
      </c>
      <c r="AC835" s="246">
        <f>IFERROR(VLOOKUP(O835,PROGRAMAS[],2,FALSE),0)</f>
        <v>0</v>
      </c>
      <c r="AD835" s="246">
        <f>IFERROR(VLOOKUP(P835,PROGRAMAS[],2,FALSE),0)</f>
        <v>0</v>
      </c>
      <c r="AE835" s="246">
        <f>IFERROR(VLOOKUP(Q835,PROGRAMAS[],2,FALSE),0)</f>
        <v>0</v>
      </c>
      <c r="AF835" s="246">
        <f>IFERROR(VLOOKUP(D835,PROGRAMAS[],3,FALSE),0)</f>
        <v>841888629.31080008</v>
      </c>
      <c r="AG835" s="246">
        <f>IFERROR(VLOOKUP(E835,PROGRAMAS[],3,FALSE),0)</f>
        <v>3848980803.1642323</v>
      </c>
      <c r="AH835" s="246">
        <f>IFERROR(VLOOKUP(F835,PROGRAMAS[],3,FALSE),0)</f>
        <v>3394901471.387517</v>
      </c>
      <c r="AI835" s="246">
        <f>IFERROR(VLOOKUP(G835,PROGRAMAS[],3,FALSE),0)</f>
        <v>1233505101.0616004</v>
      </c>
      <c r="AJ835" s="246">
        <f>IFERROR(VLOOKUP(H835,PROGRAMAS[],3,FALSE),0)</f>
        <v>7011279577.519702</v>
      </c>
      <c r="AK835" s="246">
        <f>IFERROR(VLOOKUP(I835,PROGRAMAS[],3,FALSE),0)</f>
        <v>4099471734.9978786</v>
      </c>
      <c r="AL835" s="246">
        <f>IFERROR(VLOOKUP(J835,PROGRAMAS[],3,FALSE),0)</f>
        <v>2392571243.5584412</v>
      </c>
      <c r="AM835" s="246">
        <f>IFERROR(VLOOKUP(K835,PROGRAMAS[],3,FALSE),0)</f>
        <v>118617452.52510804</v>
      </c>
      <c r="AN835" s="246">
        <f>IFERROR(VLOOKUP(L835,PROGRAMAS[],3,FALSE),0)</f>
        <v>0</v>
      </c>
      <c r="AO835" s="246">
        <f>IFERROR(VLOOKUP(M835,PROGRAMAS[],3,FALSE),0)</f>
        <v>0</v>
      </c>
      <c r="AP835" s="246">
        <f>IFERROR(VLOOKUP(N835,PROGRAMAS[],3,FALSE),0)</f>
        <v>0</v>
      </c>
      <c r="AQ835" s="246">
        <f>IFERROR(VLOOKUP(O835,PROGRAMAS[],3,FALSE),0)</f>
        <v>0</v>
      </c>
      <c r="AR835" s="246">
        <f>IFERROR(VLOOKUP(P835,PROGRAMAS[],3,FALSE),0)</f>
        <v>0</v>
      </c>
      <c r="AS835" s="246">
        <f>IFERROR(VLOOKUP(Q835,PROGRAMAS[],3,FALSE),0)</f>
        <v>0</v>
      </c>
      <c r="AT835" s="246">
        <f>IFERROR(VLOOKUP(D835,VOL_REC[],2,FALSE),0)</f>
        <v>0</v>
      </c>
      <c r="AU835" s="246">
        <f>IFERROR(VLOOKUP(E835,VOL_REC[],2,FALSE),0)</f>
        <v>0</v>
      </c>
      <c r="AV835" s="246">
        <f>IFERROR(VLOOKUP(F835,VOL_REC[],2,FALSE),0)</f>
        <v>11089674.200000001</v>
      </c>
      <c r="AW835" s="246">
        <f>IFERROR(VLOOKUP(G835,VOL_REC[],2,FALSE),0)</f>
        <v>4325103.1812214684</v>
      </c>
      <c r="AX835" s="246">
        <f>IFERROR(VLOOKUP(H835,VOL_REC[],2,FALSE),0)</f>
        <v>3761786</v>
      </c>
      <c r="AY835" s="246">
        <f>IFERROR(VLOOKUP(I835,VOL_REC[],2,FALSE),0)</f>
        <v>1812240</v>
      </c>
      <c r="AZ835" s="246">
        <f>IFERROR(VLOOKUP(J835,VOL_REC[],2,FALSE),0)</f>
        <v>663244.80000000016</v>
      </c>
      <c r="BA835" s="246">
        <f>IFERROR(VLOOKUP(K835,VOL_REC[],2,FALSE),0)</f>
        <v>105072</v>
      </c>
      <c r="BB835" s="246">
        <f>IFERROR(VLOOKUP(L835,VOL_REC[],2,FALSE),0)</f>
        <v>0</v>
      </c>
      <c r="BC835" s="246">
        <f>IFERROR(VLOOKUP(M835,VOL_REC[],2,FALSE),0)</f>
        <v>0</v>
      </c>
      <c r="BD835" s="246">
        <f>IFERROR(VLOOKUP(N835,VOL_REC[],2,FALSE),0)</f>
        <v>0</v>
      </c>
      <c r="BE835" s="246">
        <f>IFERROR(VLOOKUP(O835,VOL_REC[],2,FALSE),0)</f>
        <v>0</v>
      </c>
      <c r="BF835" s="246">
        <f>IFERROR(VLOOKUP(P835,VOL_REC[],2,FALSE),0)</f>
        <v>0</v>
      </c>
      <c r="BG835" s="246">
        <f>IFERROR(VLOOKUP(Q835,VOL_REC[],2,FALSE),0)</f>
        <v>0</v>
      </c>
      <c r="BH835" s="1710">
        <f t="shared" si="52"/>
        <v>19903402335.227772</v>
      </c>
      <c r="BI835" s="1710">
        <f t="shared" si="53"/>
        <v>22941216013.52528</v>
      </c>
      <c r="BJ835" s="1711">
        <f t="shared" si="54"/>
        <v>21757120.18122147</v>
      </c>
      <c r="BK835" s="1711">
        <f t="shared" si="55"/>
        <v>0.86758270893284262</v>
      </c>
    </row>
    <row r="836" spans="3:67" x14ac:dyDescent="0.25">
      <c r="C836" s="246" t="s">
        <v>2186</v>
      </c>
      <c r="D836" s="246">
        <v>1</v>
      </c>
      <c r="E836" s="246">
        <v>2</v>
      </c>
      <c r="F836" s="246">
        <v>3</v>
      </c>
      <c r="G836" s="246">
        <v>5</v>
      </c>
      <c r="H836" s="246">
        <v>9</v>
      </c>
      <c r="I836" s="246">
        <v>10</v>
      </c>
      <c r="J836" s="246">
        <v>13</v>
      </c>
      <c r="K836" s="246">
        <v>16</v>
      </c>
      <c r="L836" s="246"/>
      <c r="M836" s="246"/>
      <c r="N836" s="246"/>
      <c r="O836" s="246"/>
      <c r="P836" s="246"/>
      <c r="Q836" s="246"/>
      <c r="R836" s="246">
        <f>IFERROR(VLOOKUP(D836,PROGRAMAS[],2,FALSE),0)</f>
        <v>97037803.679377079</v>
      </c>
      <c r="S836" s="246">
        <f>IFERROR(VLOOKUP(E836,PROGRAMAS[],2,FALSE),0)</f>
        <v>640501509.6821388</v>
      </c>
      <c r="T836" s="246">
        <f>IFERROR(VLOOKUP(F836,PROGRAMAS[],2,FALSE),0)</f>
        <v>3062327798.1525245</v>
      </c>
      <c r="U836" s="246">
        <f>IFERROR(VLOOKUP(G836,PROGRAMAS[],2,FALSE),0)</f>
        <v>1440941976.2528784</v>
      </c>
      <c r="V836" s="246">
        <f>IFERROR(VLOOKUP(H836,PROGRAMAS[],2,FALSE),0)</f>
        <v>6128579952.1618185</v>
      </c>
      <c r="W836" s="246">
        <f>IFERROR(VLOOKUP(I836,PROGRAMAS[],2,FALSE),0)</f>
        <v>4635315027.8751087</v>
      </c>
      <c r="X836" s="246">
        <f>IFERROR(VLOOKUP(J836,PROGRAMAS[],2,FALSE),0)</f>
        <v>3776538594.4604583</v>
      </c>
      <c r="Y836" s="246">
        <f>IFERROR(VLOOKUP(K836,PROGRAMAS[],2,FALSE),0)</f>
        <v>7068496961.0436354</v>
      </c>
      <c r="Z836" s="246">
        <f>IFERROR(VLOOKUP(L836,PROGRAMAS[],2,FALSE),0)</f>
        <v>0</v>
      </c>
      <c r="AA836" s="246">
        <f>IFERROR(VLOOKUP(M836,PROGRAMAS[],2,FALSE),0)</f>
        <v>0</v>
      </c>
      <c r="AB836" s="246">
        <f>IFERROR(VLOOKUP(N836,PROGRAMAS[],2,FALSE),0)</f>
        <v>0</v>
      </c>
      <c r="AC836" s="246">
        <f>IFERROR(VLOOKUP(O836,PROGRAMAS[],2,FALSE),0)</f>
        <v>0</v>
      </c>
      <c r="AD836" s="246">
        <f>IFERROR(VLOOKUP(P836,PROGRAMAS[],2,FALSE),0)</f>
        <v>0</v>
      </c>
      <c r="AE836" s="246">
        <f>IFERROR(VLOOKUP(Q836,PROGRAMAS[],2,FALSE),0)</f>
        <v>0</v>
      </c>
      <c r="AF836" s="246">
        <f>IFERROR(VLOOKUP(D836,PROGRAMAS[],3,FALSE),0)</f>
        <v>841888629.31080008</v>
      </c>
      <c r="AG836" s="246">
        <f>IFERROR(VLOOKUP(E836,PROGRAMAS[],3,FALSE),0)</f>
        <v>3848980803.1642323</v>
      </c>
      <c r="AH836" s="246">
        <f>IFERROR(VLOOKUP(F836,PROGRAMAS[],3,FALSE),0)</f>
        <v>3394901471.387517</v>
      </c>
      <c r="AI836" s="246">
        <f>IFERROR(VLOOKUP(G836,PROGRAMAS[],3,FALSE),0)</f>
        <v>1233505101.0616004</v>
      </c>
      <c r="AJ836" s="246">
        <f>IFERROR(VLOOKUP(H836,PROGRAMAS[],3,FALSE),0)</f>
        <v>7011279577.519702</v>
      </c>
      <c r="AK836" s="246">
        <f>IFERROR(VLOOKUP(I836,PROGRAMAS[],3,FALSE),0)</f>
        <v>4099471734.9978786</v>
      </c>
      <c r="AL836" s="246">
        <f>IFERROR(VLOOKUP(J836,PROGRAMAS[],3,FALSE),0)</f>
        <v>2392571243.5584412</v>
      </c>
      <c r="AM836" s="246">
        <f>IFERROR(VLOOKUP(K836,PROGRAMAS[],3,FALSE),0)</f>
        <v>2406564599.0319901</v>
      </c>
      <c r="AN836" s="246">
        <f>IFERROR(VLOOKUP(L836,PROGRAMAS[],3,FALSE),0)</f>
        <v>0</v>
      </c>
      <c r="AO836" s="246">
        <f>IFERROR(VLOOKUP(M836,PROGRAMAS[],3,FALSE),0)</f>
        <v>0</v>
      </c>
      <c r="AP836" s="246">
        <f>IFERROR(VLOOKUP(N836,PROGRAMAS[],3,FALSE),0)</f>
        <v>0</v>
      </c>
      <c r="AQ836" s="246">
        <f>IFERROR(VLOOKUP(O836,PROGRAMAS[],3,FALSE),0)</f>
        <v>0</v>
      </c>
      <c r="AR836" s="246">
        <f>IFERROR(VLOOKUP(P836,PROGRAMAS[],3,FALSE),0)</f>
        <v>0</v>
      </c>
      <c r="AS836" s="246">
        <f>IFERROR(VLOOKUP(Q836,PROGRAMAS[],3,FALSE),0)</f>
        <v>0</v>
      </c>
      <c r="AT836" s="246">
        <f>IFERROR(VLOOKUP(D836,VOL_REC[],2,FALSE),0)</f>
        <v>0</v>
      </c>
      <c r="AU836" s="246">
        <f>IFERROR(VLOOKUP(E836,VOL_REC[],2,FALSE),0)</f>
        <v>0</v>
      </c>
      <c r="AV836" s="246">
        <f>IFERROR(VLOOKUP(F836,VOL_REC[],2,FALSE),0)</f>
        <v>11089674.200000001</v>
      </c>
      <c r="AW836" s="246">
        <f>IFERROR(VLOOKUP(G836,VOL_REC[],2,FALSE),0)</f>
        <v>4325103.1812214684</v>
      </c>
      <c r="AX836" s="246">
        <f>IFERROR(VLOOKUP(H836,VOL_REC[],2,FALSE),0)</f>
        <v>3761786</v>
      </c>
      <c r="AY836" s="246">
        <f>IFERROR(VLOOKUP(I836,VOL_REC[],2,FALSE),0)</f>
        <v>1812240</v>
      </c>
      <c r="AZ836" s="246">
        <f>IFERROR(VLOOKUP(J836,VOL_REC[],2,FALSE),0)</f>
        <v>663244.80000000016</v>
      </c>
      <c r="BA836" s="246">
        <f>IFERROR(VLOOKUP(K836,VOL_REC[],2,FALSE),0)</f>
        <v>1072354.9981737854</v>
      </c>
      <c r="BB836" s="246">
        <f>IFERROR(VLOOKUP(L836,VOL_REC[],2,FALSE),0)</f>
        <v>0</v>
      </c>
      <c r="BC836" s="246">
        <f>IFERROR(VLOOKUP(M836,VOL_REC[],2,FALSE),0)</f>
        <v>0</v>
      </c>
      <c r="BD836" s="246">
        <f>IFERROR(VLOOKUP(N836,VOL_REC[],2,FALSE),0)</f>
        <v>0</v>
      </c>
      <c r="BE836" s="246">
        <f>IFERROR(VLOOKUP(O836,VOL_REC[],2,FALSE),0)</f>
        <v>0</v>
      </c>
      <c r="BF836" s="246">
        <f>IFERROR(VLOOKUP(P836,VOL_REC[],2,FALSE),0)</f>
        <v>0</v>
      </c>
      <c r="BG836" s="246">
        <f>IFERROR(VLOOKUP(Q836,VOL_REC[],2,FALSE),0)</f>
        <v>0</v>
      </c>
      <c r="BH836" s="1710">
        <f t="shared" si="52"/>
        <v>26849739623.307941</v>
      </c>
      <c r="BI836" s="1710">
        <f t="shared" si="53"/>
        <v>25229163160.032162</v>
      </c>
      <c r="BJ836" s="1711">
        <f t="shared" si="54"/>
        <v>22724403.179395255</v>
      </c>
      <c r="BK836" s="1711">
        <f t="shared" si="55"/>
        <v>1.0642342535499982</v>
      </c>
      <c r="BL836">
        <f>BJ836</f>
        <v>22724403.179395255</v>
      </c>
      <c r="BO836">
        <f>BL836</f>
        <v>22724403.179395255</v>
      </c>
    </row>
    <row r="837" spans="3:67" x14ac:dyDescent="0.25">
      <c r="C837" s="246" t="s">
        <v>2187</v>
      </c>
      <c r="D837" s="246">
        <v>1</v>
      </c>
      <c r="E837" s="246">
        <v>2</v>
      </c>
      <c r="F837" s="246">
        <v>3</v>
      </c>
      <c r="G837" s="246">
        <v>5</v>
      </c>
      <c r="H837" s="246">
        <v>9</v>
      </c>
      <c r="I837" s="246">
        <v>10</v>
      </c>
      <c r="J837" s="246">
        <v>13</v>
      </c>
      <c r="K837" s="246">
        <v>17</v>
      </c>
      <c r="L837" s="246"/>
      <c r="M837" s="246"/>
      <c r="N837" s="246"/>
      <c r="O837" s="246"/>
      <c r="P837" s="246"/>
      <c r="Q837" s="246"/>
      <c r="R837" s="246">
        <f>IFERROR(VLOOKUP(D837,PROGRAMAS[],2,FALSE),0)</f>
        <v>97037803.679377079</v>
      </c>
      <c r="S837" s="246">
        <f>IFERROR(VLOOKUP(E837,PROGRAMAS[],2,FALSE),0)</f>
        <v>640501509.6821388</v>
      </c>
      <c r="T837" s="246">
        <f>IFERROR(VLOOKUP(F837,PROGRAMAS[],2,FALSE),0)</f>
        <v>3062327798.1525245</v>
      </c>
      <c r="U837" s="246">
        <f>IFERROR(VLOOKUP(G837,PROGRAMAS[],2,FALSE),0)</f>
        <v>1440941976.2528784</v>
      </c>
      <c r="V837" s="246">
        <f>IFERROR(VLOOKUP(H837,PROGRAMAS[],2,FALSE),0)</f>
        <v>6128579952.1618185</v>
      </c>
      <c r="W837" s="246">
        <f>IFERROR(VLOOKUP(I837,PROGRAMAS[],2,FALSE),0)</f>
        <v>4635315027.8751087</v>
      </c>
      <c r="X837" s="246">
        <f>IFERROR(VLOOKUP(J837,PROGRAMAS[],2,FALSE),0)</f>
        <v>3776538594.4604583</v>
      </c>
      <c r="Y837" s="246">
        <f>IFERROR(VLOOKUP(K837,PROGRAMAS[],2,FALSE),0)</f>
        <v>1892779498.5211046</v>
      </c>
      <c r="Z837" s="246">
        <f>IFERROR(VLOOKUP(L837,PROGRAMAS[],2,FALSE),0)</f>
        <v>0</v>
      </c>
      <c r="AA837" s="246">
        <f>IFERROR(VLOOKUP(M837,PROGRAMAS[],2,FALSE),0)</f>
        <v>0</v>
      </c>
      <c r="AB837" s="246">
        <f>IFERROR(VLOOKUP(N837,PROGRAMAS[],2,FALSE),0)</f>
        <v>0</v>
      </c>
      <c r="AC837" s="246">
        <f>IFERROR(VLOOKUP(O837,PROGRAMAS[],2,FALSE),0)</f>
        <v>0</v>
      </c>
      <c r="AD837" s="246">
        <f>IFERROR(VLOOKUP(P837,PROGRAMAS[],2,FALSE),0)</f>
        <v>0</v>
      </c>
      <c r="AE837" s="246">
        <f>IFERROR(VLOOKUP(Q837,PROGRAMAS[],2,FALSE),0)</f>
        <v>0</v>
      </c>
      <c r="AF837" s="246">
        <f>IFERROR(VLOOKUP(D837,PROGRAMAS[],3,FALSE),0)</f>
        <v>841888629.31080008</v>
      </c>
      <c r="AG837" s="246">
        <f>IFERROR(VLOOKUP(E837,PROGRAMAS[],3,FALSE),0)</f>
        <v>3848980803.1642323</v>
      </c>
      <c r="AH837" s="246">
        <f>IFERROR(VLOOKUP(F837,PROGRAMAS[],3,FALSE),0)</f>
        <v>3394901471.387517</v>
      </c>
      <c r="AI837" s="246">
        <f>IFERROR(VLOOKUP(G837,PROGRAMAS[],3,FALSE),0)</f>
        <v>1233505101.0616004</v>
      </c>
      <c r="AJ837" s="246">
        <f>IFERROR(VLOOKUP(H837,PROGRAMAS[],3,FALSE),0)</f>
        <v>7011279577.519702</v>
      </c>
      <c r="AK837" s="246">
        <f>IFERROR(VLOOKUP(I837,PROGRAMAS[],3,FALSE),0)</f>
        <v>4099471734.9978786</v>
      </c>
      <c r="AL837" s="246">
        <f>IFERROR(VLOOKUP(J837,PROGRAMAS[],3,FALSE),0)</f>
        <v>2392571243.5584412</v>
      </c>
      <c r="AM837" s="246">
        <f>IFERROR(VLOOKUP(K837,PROGRAMAS[],3,FALSE),0)</f>
        <v>948595847.09039903</v>
      </c>
      <c r="AN837" s="246">
        <f>IFERROR(VLOOKUP(L837,PROGRAMAS[],3,FALSE),0)</f>
        <v>0</v>
      </c>
      <c r="AO837" s="246">
        <f>IFERROR(VLOOKUP(M837,PROGRAMAS[],3,FALSE),0)</f>
        <v>0</v>
      </c>
      <c r="AP837" s="246">
        <f>IFERROR(VLOOKUP(N837,PROGRAMAS[],3,FALSE),0)</f>
        <v>0</v>
      </c>
      <c r="AQ837" s="246">
        <f>IFERROR(VLOOKUP(O837,PROGRAMAS[],3,FALSE),0)</f>
        <v>0</v>
      </c>
      <c r="AR837" s="246">
        <f>IFERROR(VLOOKUP(P837,PROGRAMAS[],3,FALSE),0)</f>
        <v>0</v>
      </c>
      <c r="AS837" s="246">
        <f>IFERROR(VLOOKUP(Q837,PROGRAMAS[],3,FALSE),0)</f>
        <v>0</v>
      </c>
      <c r="AT837" s="246">
        <f>IFERROR(VLOOKUP(D837,VOL_REC[],2,FALSE),0)</f>
        <v>0</v>
      </c>
      <c r="AU837" s="246">
        <f>IFERROR(VLOOKUP(E837,VOL_REC[],2,FALSE),0)</f>
        <v>0</v>
      </c>
      <c r="AV837" s="246">
        <f>IFERROR(VLOOKUP(F837,VOL_REC[],2,FALSE),0)</f>
        <v>11089674.200000001</v>
      </c>
      <c r="AW837" s="246">
        <f>IFERROR(VLOOKUP(G837,VOL_REC[],2,FALSE),0)</f>
        <v>4325103.1812214684</v>
      </c>
      <c r="AX837" s="246">
        <f>IFERROR(VLOOKUP(H837,VOL_REC[],2,FALSE),0)</f>
        <v>3761786</v>
      </c>
      <c r="AY837" s="246">
        <f>IFERROR(VLOOKUP(I837,VOL_REC[],2,FALSE),0)</f>
        <v>1812240</v>
      </c>
      <c r="AZ837" s="246">
        <f>IFERROR(VLOOKUP(J837,VOL_REC[],2,FALSE),0)</f>
        <v>663244.80000000016</v>
      </c>
      <c r="BA837" s="246">
        <f>IFERROR(VLOOKUP(K837,VOL_REC[],2,FALSE),0)</f>
        <v>740113.98115702497</v>
      </c>
      <c r="BB837" s="246">
        <f>IFERROR(VLOOKUP(L837,VOL_REC[],2,FALSE),0)</f>
        <v>0</v>
      </c>
      <c r="BC837" s="246">
        <f>IFERROR(VLOOKUP(M837,VOL_REC[],2,FALSE),0)</f>
        <v>0</v>
      </c>
      <c r="BD837" s="246">
        <f>IFERROR(VLOOKUP(N837,VOL_REC[],2,FALSE),0)</f>
        <v>0</v>
      </c>
      <c r="BE837" s="246">
        <f>IFERROR(VLOOKUP(O837,VOL_REC[],2,FALSE),0)</f>
        <v>0</v>
      </c>
      <c r="BF837" s="246">
        <f>IFERROR(VLOOKUP(P837,VOL_REC[],2,FALSE),0)</f>
        <v>0</v>
      </c>
      <c r="BG837" s="246">
        <f>IFERROR(VLOOKUP(Q837,VOL_REC[],2,FALSE),0)</f>
        <v>0</v>
      </c>
      <c r="BH837" s="1710">
        <f t="shared" si="52"/>
        <v>21674022160.785408</v>
      </c>
      <c r="BI837" s="1710">
        <f t="shared" si="53"/>
        <v>23771194408.090572</v>
      </c>
      <c r="BJ837" s="1711">
        <f t="shared" si="54"/>
        <v>22392162.162378494</v>
      </c>
      <c r="BK837" s="1711">
        <f t="shared" si="55"/>
        <v>0.91177674073493808</v>
      </c>
    </row>
    <row r="838" spans="3:67" x14ac:dyDescent="0.25">
      <c r="C838" s="246" t="s">
        <v>2188</v>
      </c>
      <c r="D838" s="246">
        <v>1</v>
      </c>
      <c r="E838" s="246">
        <v>2</v>
      </c>
      <c r="F838" s="246">
        <v>3</v>
      </c>
      <c r="G838" s="246">
        <v>5</v>
      </c>
      <c r="H838" s="246">
        <v>9</v>
      </c>
      <c r="I838" s="246">
        <v>10</v>
      </c>
      <c r="J838" s="246">
        <v>14</v>
      </c>
      <c r="K838" s="246">
        <v>15</v>
      </c>
      <c r="L838" s="246"/>
      <c r="M838" s="246"/>
      <c r="N838" s="246"/>
      <c r="O838" s="246"/>
      <c r="P838" s="246"/>
      <c r="Q838" s="246"/>
      <c r="R838" s="246">
        <f>IFERROR(VLOOKUP(D838,PROGRAMAS[],2,FALSE),0)</f>
        <v>97037803.679377079</v>
      </c>
      <c r="S838" s="246">
        <f>IFERROR(VLOOKUP(E838,PROGRAMAS[],2,FALSE),0)</f>
        <v>640501509.6821388</v>
      </c>
      <c r="T838" s="246">
        <f>IFERROR(VLOOKUP(F838,PROGRAMAS[],2,FALSE),0)</f>
        <v>3062327798.1525245</v>
      </c>
      <c r="U838" s="246">
        <f>IFERROR(VLOOKUP(G838,PROGRAMAS[],2,FALSE),0)</f>
        <v>1440941976.2528784</v>
      </c>
      <c r="V838" s="246">
        <f>IFERROR(VLOOKUP(H838,PROGRAMAS[],2,FALSE),0)</f>
        <v>6128579952.1618185</v>
      </c>
      <c r="W838" s="246">
        <f>IFERROR(VLOOKUP(I838,PROGRAMAS[],2,FALSE),0)</f>
        <v>4635315027.8751087</v>
      </c>
      <c r="X838" s="246">
        <f>IFERROR(VLOOKUP(J838,PROGRAMAS[],2,FALSE),0)</f>
        <v>54223862.645839565</v>
      </c>
      <c r="Y838" s="246">
        <f>IFERROR(VLOOKUP(K838,PROGRAMAS[],2,FALSE),0)</f>
        <v>122159672.96346797</v>
      </c>
      <c r="Z838" s="246">
        <f>IFERROR(VLOOKUP(L838,PROGRAMAS[],2,FALSE),0)</f>
        <v>0</v>
      </c>
      <c r="AA838" s="246">
        <f>IFERROR(VLOOKUP(M838,PROGRAMAS[],2,FALSE),0)</f>
        <v>0</v>
      </c>
      <c r="AB838" s="246">
        <f>IFERROR(VLOOKUP(N838,PROGRAMAS[],2,FALSE),0)</f>
        <v>0</v>
      </c>
      <c r="AC838" s="246">
        <f>IFERROR(VLOOKUP(O838,PROGRAMAS[],2,FALSE),0)</f>
        <v>0</v>
      </c>
      <c r="AD838" s="246">
        <f>IFERROR(VLOOKUP(P838,PROGRAMAS[],2,FALSE),0)</f>
        <v>0</v>
      </c>
      <c r="AE838" s="246">
        <f>IFERROR(VLOOKUP(Q838,PROGRAMAS[],2,FALSE),0)</f>
        <v>0</v>
      </c>
      <c r="AF838" s="246">
        <f>IFERROR(VLOOKUP(D838,PROGRAMAS[],3,FALSE),0)</f>
        <v>841888629.31080008</v>
      </c>
      <c r="AG838" s="246">
        <f>IFERROR(VLOOKUP(E838,PROGRAMAS[],3,FALSE),0)</f>
        <v>3848980803.1642323</v>
      </c>
      <c r="AH838" s="246">
        <f>IFERROR(VLOOKUP(F838,PROGRAMAS[],3,FALSE),0)</f>
        <v>3394901471.387517</v>
      </c>
      <c r="AI838" s="246">
        <f>IFERROR(VLOOKUP(G838,PROGRAMAS[],3,FALSE),0)</f>
        <v>1233505101.0616004</v>
      </c>
      <c r="AJ838" s="246">
        <f>IFERROR(VLOOKUP(H838,PROGRAMAS[],3,FALSE),0)</f>
        <v>7011279577.519702</v>
      </c>
      <c r="AK838" s="246">
        <f>IFERROR(VLOOKUP(I838,PROGRAMAS[],3,FALSE),0)</f>
        <v>4099471734.9978786</v>
      </c>
      <c r="AL838" s="246">
        <f>IFERROR(VLOOKUP(J838,PROGRAMAS[],3,FALSE),0)</f>
        <v>31865326.38096505</v>
      </c>
      <c r="AM838" s="246">
        <f>IFERROR(VLOOKUP(K838,PROGRAMAS[],3,FALSE),0)</f>
        <v>118617452.52510804</v>
      </c>
      <c r="AN838" s="246">
        <f>IFERROR(VLOOKUP(L838,PROGRAMAS[],3,FALSE),0)</f>
        <v>0</v>
      </c>
      <c r="AO838" s="246">
        <f>IFERROR(VLOOKUP(M838,PROGRAMAS[],3,FALSE),0)</f>
        <v>0</v>
      </c>
      <c r="AP838" s="246">
        <f>IFERROR(VLOOKUP(N838,PROGRAMAS[],3,FALSE),0)</f>
        <v>0</v>
      </c>
      <c r="AQ838" s="246">
        <f>IFERROR(VLOOKUP(O838,PROGRAMAS[],3,FALSE),0)</f>
        <v>0</v>
      </c>
      <c r="AR838" s="246">
        <f>IFERROR(VLOOKUP(P838,PROGRAMAS[],3,FALSE),0)</f>
        <v>0</v>
      </c>
      <c r="AS838" s="246">
        <f>IFERROR(VLOOKUP(Q838,PROGRAMAS[],3,FALSE),0)</f>
        <v>0</v>
      </c>
      <c r="AT838" s="246">
        <f>IFERROR(VLOOKUP(D838,VOL_REC[],2,FALSE),0)</f>
        <v>0</v>
      </c>
      <c r="AU838" s="246">
        <f>IFERROR(VLOOKUP(E838,VOL_REC[],2,FALSE),0)</f>
        <v>0</v>
      </c>
      <c r="AV838" s="246">
        <f>IFERROR(VLOOKUP(F838,VOL_REC[],2,FALSE),0)</f>
        <v>11089674.200000001</v>
      </c>
      <c r="AW838" s="246">
        <f>IFERROR(VLOOKUP(G838,VOL_REC[],2,FALSE),0)</f>
        <v>4325103.1812214684</v>
      </c>
      <c r="AX838" s="246">
        <f>IFERROR(VLOOKUP(H838,VOL_REC[],2,FALSE),0)</f>
        <v>3761786</v>
      </c>
      <c r="AY838" s="246">
        <f>IFERROR(VLOOKUP(I838,VOL_REC[],2,FALSE),0)</f>
        <v>1812240</v>
      </c>
      <c r="AZ838" s="246">
        <f>IFERROR(VLOOKUP(J838,VOL_REC[],2,FALSE),0)</f>
        <v>17074.045034105649</v>
      </c>
      <c r="BA838" s="246">
        <f>IFERROR(VLOOKUP(K838,VOL_REC[],2,FALSE),0)</f>
        <v>105072</v>
      </c>
      <c r="BB838" s="246">
        <f>IFERROR(VLOOKUP(L838,VOL_REC[],2,FALSE),0)</f>
        <v>0</v>
      </c>
      <c r="BC838" s="246">
        <f>IFERROR(VLOOKUP(M838,VOL_REC[],2,FALSE),0)</f>
        <v>0</v>
      </c>
      <c r="BD838" s="246">
        <f>IFERROR(VLOOKUP(N838,VOL_REC[],2,FALSE),0)</f>
        <v>0</v>
      </c>
      <c r="BE838" s="246">
        <f>IFERROR(VLOOKUP(O838,VOL_REC[],2,FALSE),0)</f>
        <v>0</v>
      </c>
      <c r="BF838" s="246">
        <f>IFERROR(VLOOKUP(P838,VOL_REC[],2,FALSE),0)</f>
        <v>0</v>
      </c>
      <c r="BG838" s="246">
        <f>IFERROR(VLOOKUP(Q838,VOL_REC[],2,FALSE),0)</f>
        <v>0</v>
      </c>
      <c r="BH838" s="1710">
        <f t="shared" si="52"/>
        <v>16181087603.413155</v>
      </c>
      <c r="BI838" s="1710">
        <f t="shared" si="53"/>
        <v>20580510096.347805</v>
      </c>
      <c r="BJ838" s="1711">
        <f t="shared" si="54"/>
        <v>21110949.426255576</v>
      </c>
      <c r="BK838" s="1711">
        <f t="shared" si="55"/>
        <v>0.78623355435124187</v>
      </c>
    </row>
    <row r="839" spans="3:67" x14ac:dyDescent="0.25">
      <c r="C839" s="246" t="s">
        <v>2189</v>
      </c>
      <c r="D839" s="246">
        <v>1</v>
      </c>
      <c r="E839" s="246">
        <v>2</v>
      </c>
      <c r="F839" s="246">
        <v>3</v>
      </c>
      <c r="G839" s="246">
        <v>5</v>
      </c>
      <c r="H839" s="246">
        <v>9</v>
      </c>
      <c r="I839" s="246">
        <v>10</v>
      </c>
      <c r="J839" s="246">
        <v>14</v>
      </c>
      <c r="K839" s="246">
        <v>16</v>
      </c>
      <c r="L839" s="246"/>
      <c r="M839" s="246"/>
      <c r="N839" s="246"/>
      <c r="O839" s="246"/>
      <c r="P839" s="246"/>
      <c r="Q839" s="246"/>
      <c r="R839" s="246">
        <f>IFERROR(VLOOKUP(D839,PROGRAMAS[],2,FALSE),0)</f>
        <v>97037803.679377079</v>
      </c>
      <c r="S839" s="246">
        <f>IFERROR(VLOOKUP(E839,PROGRAMAS[],2,FALSE),0)</f>
        <v>640501509.6821388</v>
      </c>
      <c r="T839" s="246">
        <f>IFERROR(VLOOKUP(F839,PROGRAMAS[],2,FALSE),0)</f>
        <v>3062327798.1525245</v>
      </c>
      <c r="U839" s="246">
        <f>IFERROR(VLOOKUP(G839,PROGRAMAS[],2,FALSE),0)</f>
        <v>1440941976.2528784</v>
      </c>
      <c r="V839" s="246">
        <f>IFERROR(VLOOKUP(H839,PROGRAMAS[],2,FALSE),0)</f>
        <v>6128579952.1618185</v>
      </c>
      <c r="W839" s="246">
        <f>IFERROR(VLOOKUP(I839,PROGRAMAS[],2,FALSE),0)</f>
        <v>4635315027.8751087</v>
      </c>
      <c r="X839" s="246">
        <f>IFERROR(VLOOKUP(J839,PROGRAMAS[],2,FALSE),0)</f>
        <v>54223862.645839565</v>
      </c>
      <c r="Y839" s="246">
        <f>IFERROR(VLOOKUP(K839,PROGRAMAS[],2,FALSE),0)</f>
        <v>7068496961.0436354</v>
      </c>
      <c r="Z839" s="246">
        <f>IFERROR(VLOOKUP(L839,PROGRAMAS[],2,FALSE),0)</f>
        <v>0</v>
      </c>
      <c r="AA839" s="246">
        <f>IFERROR(VLOOKUP(M839,PROGRAMAS[],2,FALSE),0)</f>
        <v>0</v>
      </c>
      <c r="AB839" s="246">
        <f>IFERROR(VLOOKUP(N839,PROGRAMAS[],2,FALSE),0)</f>
        <v>0</v>
      </c>
      <c r="AC839" s="246">
        <f>IFERROR(VLOOKUP(O839,PROGRAMAS[],2,FALSE),0)</f>
        <v>0</v>
      </c>
      <c r="AD839" s="246">
        <f>IFERROR(VLOOKUP(P839,PROGRAMAS[],2,FALSE),0)</f>
        <v>0</v>
      </c>
      <c r="AE839" s="246">
        <f>IFERROR(VLOOKUP(Q839,PROGRAMAS[],2,FALSE),0)</f>
        <v>0</v>
      </c>
      <c r="AF839" s="246">
        <f>IFERROR(VLOOKUP(D839,PROGRAMAS[],3,FALSE),0)</f>
        <v>841888629.31080008</v>
      </c>
      <c r="AG839" s="246">
        <f>IFERROR(VLOOKUP(E839,PROGRAMAS[],3,FALSE),0)</f>
        <v>3848980803.1642323</v>
      </c>
      <c r="AH839" s="246">
        <f>IFERROR(VLOOKUP(F839,PROGRAMAS[],3,FALSE),0)</f>
        <v>3394901471.387517</v>
      </c>
      <c r="AI839" s="246">
        <f>IFERROR(VLOOKUP(G839,PROGRAMAS[],3,FALSE),0)</f>
        <v>1233505101.0616004</v>
      </c>
      <c r="AJ839" s="246">
        <f>IFERROR(VLOOKUP(H839,PROGRAMAS[],3,FALSE),0)</f>
        <v>7011279577.519702</v>
      </c>
      <c r="AK839" s="246">
        <f>IFERROR(VLOOKUP(I839,PROGRAMAS[],3,FALSE),0)</f>
        <v>4099471734.9978786</v>
      </c>
      <c r="AL839" s="246">
        <f>IFERROR(VLOOKUP(J839,PROGRAMAS[],3,FALSE),0)</f>
        <v>31865326.38096505</v>
      </c>
      <c r="AM839" s="246">
        <f>IFERROR(VLOOKUP(K839,PROGRAMAS[],3,FALSE),0)</f>
        <v>2406564599.0319901</v>
      </c>
      <c r="AN839" s="246">
        <f>IFERROR(VLOOKUP(L839,PROGRAMAS[],3,FALSE),0)</f>
        <v>0</v>
      </c>
      <c r="AO839" s="246">
        <f>IFERROR(VLOOKUP(M839,PROGRAMAS[],3,FALSE),0)</f>
        <v>0</v>
      </c>
      <c r="AP839" s="246">
        <f>IFERROR(VLOOKUP(N839,PROGRAMAS[],3,FALSE),0)</f>
        <v>0</v>
      </c>
      <c r="AQ839" s="246">
        <f>IFERROR(VLOOKUP(O839,PROGRAMAS[],3,FALSE),0)</f>
        <v>0</v>
      </c>
      <c r="AR839" s="246">
        <f>IFERROR(VLOOKUP(P839,PROGRAMAS[],3,FALSE),0)</f>
        <v>0</v>
      </c>
      <c r="AS839" s="246">
        <f>IFERROR(VLOOKUP(Q839,PROGRAMAS[],3,FALSE),0)</f>
        <v>0</v>
      </c>
      <c r="AT839" s="246">
        <f>IFERROR(VLOOKUP(D839,VOL_REC[],2,FALSE),0)</f>
        <v>0</v>
      </c>
      <c r="AU839" s="246">
        <f>IFERROR(VLOOKUP(E839,VOL_REC[],2,FALSE),0)</f>
        <v>0</v>
      </c>
      <c r="AV839" s="246">
        <f>IFERROR(VLOOKUP(F839,VOL_REC[],2,FALSE),0)</f>
        <v>11089674.200000001</v>
      </c>
      <c r="AW839" s="246">
        <f>IFERROR(VLOOKUP(G839,VOL_REC[],2,FALSE),0)</f>
        <v>4325103.1812214684</v>
      </c>
      <c r="AX839" s="246">
        <f>IFERROR(VLOOKUP(H839,VOL_REC[],2,FALSE),0)</f>
        <v>3761786</v>
      </c>
      <c r="AY839" s="246">
        <f>IFERROR(VLOOKUP(I839,VOL_REC[],2,FALSE),0)</f>
        <v>1812240</v>
      </c>
      <c r="AZ839" s="246">
        <f>IFERROR(VLOOKUP(J839,VOL_REC[],2,FALSE),0)</f>
        <v>17074.045034105649</v>
      </c>
      <c r="BA839" s="246">
        <f>IFERROR(VLOOKUP(K839,VOL_REC[],2,FALSE),0)</f>
        <v>1072354.9981737854</v>
      </c>
      <c r="BB839" s="246">
        <f>IFERROR(VLOOKUP(L839,VOL_REC[],2,FALSE),0)</f>
        <v>0</v>
      </c>
      <c r="BC839" s="246">
        <f>IFERROR(VLOOKUP(M839,VOL_REC[],2,FALSE),0)</f>
        <v>0</v>
      </c>
      <c r="BD839" s="246">
        <f>IFERROR(VLOOKUP(N839,VOL_REC[],2,FALSE),0)</f>
        <v>0</v>
      </c>
      <c r="BE839" s="246">
        <f>IFERROR(VLOOKUP(O839,VOL_REC[],2,FALSE),0)</f>
        <v>0</v>
      </c>
      <c r="BF839" s="246">
        <f>IFERROR(VLOOKUP(P839,VOL_REC[],2,FALSE),0)</f>
        <v>0</v>
      </c>
      <c r="BG839" s="246">
        <f>IFERROR(VLOOKUP(Q839,VOL_REC[],2,FALSE),0)</f>
        <v>0</v>
      </c>
      <c r="BH839" s="1710">
        <f t="shared" si="52"/>
        <v>23127424891.49332</v>
      </c>
      <c r="BI839" s="1710">
        <f t="shared" si="53"/>
        <v>22868457242.854687</v>
      </c>
      <c r="BJ839" s="1711">
        <f t="shared" si="54"/>
        <v>22078232.424429361</v>
      </c>
      <c r="BK839" s="1711">
        <f t="shared" si="55"/>
        <v>1.0113242290850009</v>
      </c>
      <c r="BL839">
        <f>BJ839</f>
        <v>22078232.424429361</v>
      </c>
      <c r="BO839">
        <f>BL839</f>
        <v>22078232.424429361</v>
      </c>
    </row>
    <row r="840" spans="3:67" x14ac:dyDescent="0.25">
      <c r="C840" s="246" t="s">
        <v>2190</v>
      </c>
      <c r="D840" s="246">
        <v>1</v>
      </c>
      <c r="E840" s="246">
        <v>2</v>
      </c>
      <c r="F840" s="246">
        <v>3</v>
      </c>
      <c r="G840" s="246">
        <v>5</v>
      </c>
      <c r="H840" s="246">
        <v>9</v>
      </c>
      <c r="I840" s="246">
        <v>10</v>
      </c>
      <c r="J840" s="246">
        <v>14</v>
      </c>
      <c r="K840" s="246">
        <v>17</v>
      </c>
      <c r="L840" s="246"/>
      <c r="M840" s="246"/>
      <c r="N840" s="246"/>
      <c r="O840" s="246"/>
      <c r="P840" s="246"/>
      <c r="Q840" s="246"/>
      <c r="R840" s="246">
        <f>IFERROR(VLOOKUP(D840,PROGRAMAS[],2,FALSE),0)</f>
        <v>97037803.679377079</v>
      </c>
      <c r="S840" s="246">
        <f>IFERROR(VLOOKUP(E840,PROGRAMAS[],2,FALSE),0)</f>
        <v>640501509.6821388</v>
      </c>
      <c r="T840" s="246">
        <f>IFERROR(VLOOKUP(F840,PROGRAMAS[],2,FALSE),0)</f>
        <v>3062327798.1525245</v>
      </c>
      <c r="U840" s="246">
        <f>IFERROR(VLOOKUP(G840,PROGRAMAS[],2,FALSE),0)</f>
        <v>1440941976.2528784</v>
      </c>
      <c r="V840" s="246">
        <f>IFERROR(VLOOKUP(H840,PROGRAMAS[],2,FALSE),0)</f>
        <v>6128579952.1618185</v>
      </c>
      <c r="W840" s="246">
        <f>IFERROR(VLOOKUP(I840,PROGRAMAS[],2,FALSE),0)</f>
        <v>4635315027.8751087</v>
      </c>
      <c r="X840" s="246">
        <f>IFERROR(VLOOKUP(J840,PROGRAMAS[],2,FALSE),0)</f>
        <v>54223862.645839565</v>
      </c>
      <c r="Y840" s="246">
        <f>IFERROR(VLOOKUP(K840,PROGRAMAS[],2,FALSE),0)</f>
        <v>1892779498.5211046</v>
      </c>
      <c r="Z840" s="246">
        <f>IFERROR(VLOOKUP(L840,PROGRAMAS[],2,FALSE),0)</f>
        <v>0</v>
      </c>
      <c r="AA840" s="246">
        <f>IFERROR(VLOOKUP(M840,PROGRAMAS[],2,FALSE),0)</f>
        <v>0</v>
      </c>
      <c r="AB840" s="246">
        <f>IFERROR(VLOOKUP(N840,PROGRAMAS[],2,FALSE),0)</f>
        <v>0</v>
      </c>
      <c r="AC840" s="246">
        <f>IFERROR(VLOOKUP(O840,PROGRAMAS[],2,FALSE),0)</f>
        <v>0</v>
      </c>
      <c r="AD840" s="246">
        <f>IFERROR(VLOOKUP(P840,PROGRAMAS[],2,FALSE),0)</f>
        <v>0</v>
      </c>
      <c r="AE840" s="246">
        <f>IFERROR(VLOOKUP(Q840,PROGRAMAS[],2,FALSE),0)</f>
        <v>0</v>
      </c>
      <c r="AF840" s="246">
        <f>IFERROR(VLOOKUP(D840,PROGRAMAS[],3,FALSE),0)</f>
        <v>841888629.31080008</v>
      </c>
      <c r="AG840" s="246">
        <f>IFERROR(VLOOKUP(E840,PROGRAMAS[],3,FALSE),0)</f>
        <v>3848980803.1642323</v>
      </c>
      <c r="AH840" s="246">
        <f>IFERROR(VLOOKUP(F840,PROGRAMAS[],3,FALSE),0)</f>
        <v>3394901471.387517</v>
      </c>
      <c r="AI840" s="246">
        <f>IFERROR(VLOOKUP(G840,PROGRAMAS[],3,FALSE),0)</f>
        <v>1233505101.0616004</v>
      </c>
      <c r="AJ840" s="246">
        <f>IFERROR(VLOOKUP(H840,PROGRAMAS[],3,FALSE),0)</f>
        <v>7011279577.519702</v>
      </c>
      <c r="AK840" s="246">
        <f>IFERROR(VLOOKUP(I840,PROGRAMAS[],3,FALSE),0)</f>
        <v>4099471734.9978786</v>
      </c>
      <c r="AL840" s="246">
        <f>IFERROR(VLOOKUP(J840,PROGRAMAS[],3,FALSE),0)</f>
        <v>31865326.38096505</v>
      </c>
      <c r="AM840" s="246">
        <f>IFERROR(VLOOKUP(K840,PROGRAMAS[],3,FALSE),0)</f>
        <v>948595847.09039903</v>
      </c>
      <c r="AN840" s="246">
        <f>IFERROR(VLOOKUP(L840,PROGRAMAS[],3,FALSE),0)</f>
        <v>0</v>
      </c>
      <c r="AO840" s="246">
        <f>IFERROR(VLOOKUP(M840,PROGRAMAS[],3,FALSE),0)</f>
        <v>0</v>
      </c>
      <c r="AP840" s="246">
        <f>IFERROR(VLOOKUP(N840,PROGRAMAS[],3,FALSE),0)</f>
        <v>0</v>
      </c>
      <c r="AQ840" s="246">
        <f>IFERROR(VLOOKUP(O840,PROGRAMAS[],3,FALSE),0)</f>
        <v>0</v>
      </c>
      <c r="AR840" s="246">
        <f>IFERROR(VLOOKUP(P840,PROGRAMAS[],3,FALSE),0)</f>
        <v>0</v>
      </c>
      <c r="AS840" s="246">
        <f>IFERROR(VLOOKUP(Q840,PROGRAMAS[],3,FALSE),0)</f>
        <v>0</v>
      </c>
      <c r="AT840" s="246">
        <f>IFERROR(VLOOKUP(D840,VOL_REC[],2,FALSE),0)</f>
        <v>0</v>
      </c>
      <c r="AU840" s="246">
        <f>IFERROR(VLOOKUP(E840,VOL_REC[],2,FALSE),0)</f>
        <v>0</v>
      </c>
      <c r="AV840" s="246">
        <f>IFERROR(VLOOKUP(F840,VOL_REC[],2,FALSE),0)</f>
        <v>11089674.200000001</v>
      </c>
      <c r="AW840" s="246">
        <f>IFERROR(VLOOKUP(G840,VOL_REC[],2,FALSE),0)</f>
        <v>4325103.1812214684</v>
      </c>
      <c r="AX840" s="246">
        <f>IFERROR(VLOOKUP(H840,VOL_REC[],2,FALSE),0)</f>
        <v>3761786</v>
      </c>
      <c r="AY840" s="246">
        <f>IFERROR(VLOOKUP(I840,VOL_REC[],2,FALSE),0)</f>
        <v>1812240</v>
      </c>
      <c r="AZ840" s="246">
        <f>IFERROR(VLOOKUP(J840,VOL_REC[],2,FALSE),0)</f>
        <v>17074.045034105649</v>
      </c>
      <c r="BA840" s="246">
        <f>IFERROR(VLOOKUP(K840,VOL_REC[],2,FALSE),0)</f>
        <v>740113.98115702497</v>
      </c>
      <c r="BB840" s="246">
        <f>IFERROR(VLOOKUP(L840,VOL_REC[],2,FALSE),0)</f>
        <v>0</v>
      </c>
      <c r="BC840" s="246">
        <f>IFERROR(VLOOKUP(M840,VOL_REC[],2,FALSE),0)</f>
        <v>0</v>
      </c>
      <c r="BD840" s="246">
        <f>IFERROR(VLOOKUP(N840,VOL_REC[],2,FALSE),0)</f>
        <v>0</v>
      </c>
      <c r="BE840" s="246">
        <f>IFERROR(VLOOKUP(O840,VOL_REC[],2,FALSE),0)</f>
        <v>0</v>
      </c>
      <c r="BF840" s="246">
        <f>IFERROR(VLOOKUP(P840,VOL_REC[],2,FALSE),0)</f>
        <v>0</v>
      </c>
      <c r="BG840" s="246">
        <f>IFERROR(VLOOKUP(Q840,VOL_REC[],2,FALSE),0)</f>
        <v>0</v>
      </c>
      <c r="BH840" s="1710">
        <f t="shared" si="52"/>
        <v>17951707428.970791</v>
      </c>
      <c r="BI840" s="1710">
        <f t="shared" si="53"/>
        <v>21410488490.913097</v>
      </c>
      <c r="BJ840" s="1711">
        <f t="shared" si="54"/>
        <v>21745991.4074126</v>
      </c>
      <c r="BK840" s="1711">
        <f t="shared" si="55"/>
        <v>0.83845389312764818</v>
      </c>
    </row>
    <row r="841" spans="3:67" x14ac:dyDescent="0.25">
      <c r="C841" s="246" t="s">
        <v>2191</v>
      </c>
      <c r="D841" s="246">
        <v>1</v>
      </c>
      <c r="E841" s="246">
        <v>2</v>
      </c>
      <c r="F841" s="246">
        <v>3</v>
      </c>
      <c r="G841" s="246">
        <v>5</v>
      </c>
      <c r="H841" s="246">
        <v>9</v>
      </c>
      <c r="I841" s="246">
        <v>10</v>
      </c>
      <c r="J841" s="246">
        <v>15</v>
      </c>
      <c r="K841" s="246">
        <v>16</v>
      </c>
      <c r="L841" s="246"/>
      <c r="M841" s="246"/>
      <c r="N841" s="246"/>
      <c r="O841" s="246"/>
      <c r="P841" s="246"/>
      <c r="Q841" s="246"/>
      <c r="R841" s="246">
        <f>IFERROR(VLOOKUP(D841,PROGRAMAS[],2,FALSE),0)</f>
        <v>97037803.679377079</v>
      </c>
      <c r="S841" s="246">
        <f>IFERROR(VLOOKUP(E841,PROGRAMAS[],2,FALSE),0)</f>
        <v>640501509.6821388</v>
      </c>
      <c r="T841" s="246">
        <f>IFERROR(VLOOKUP(F841,PROGRAMAS[],2,FALSE),0)</f>
        <v>3062327798.1525245</v>
      </c>
      <c r="U841" s="246">
        <f>IFERROR(VLOOKUP(G841,PROGRAMAS[],2,FALSE),0)</f>
        <v>1440941976.2528784</v>
      </c>
      <c r="V841" s="246">
        <f>IFERROR(VLOOKUP(H841,PROGRAMAS[],2,FALSE),0)</f>
        <v>6128579952.1618185</v>
      </c>
      <c r="W841" s="246">
        <f>IFERROR(VLOOKUP(I841,PROGRAMAS[],2,FALSE),0)</f>
        <v>4635315027.8751087</v>
      </c>
      <c r="X841" s="246">
        <f>IFERROR(VLOOKUP(J841,PROGRAMAS[],2,FALSE),0)</f>
        <v>122159672.96346797</v>
      </c>
      <c r="Y841" s="246">
        <f>IFERROR(VLOOKUP(K841,PROGRAMAS[],2,FALSE),0)</f>
        <v>7068496961.0436354</v>
      </c>
      <c r="Z841" s="246">
        <f>IFERROR(VLOOKUP(L841,PROGRAMAS[],2,FALSE),0)</f>
        <v>0</v>
      </c>
      <c r="AA841" s="246">
        <f>IFERROR(VLOOKUP(M841,PROGRAMAS[],2,FALSE),0)</f>
        <v>0</v>
      </c>
      <c r="AB841" s="246">
        <f>IFERROR(VLOOKUP(N841,PROGRAMAS[],2,FALSE),0)</f>
        <v>0</v>
      </c>
      <c r="AC841" s="246">
        <f>IFERROR(VLOOKUP(O841,PROGRAMAS[],2,FALSE),0)</f>
        <v>0</v>
      </c>
      <c r="AD841" s="246">
        <f>IFERROR(VLOOKUP(P841,PROGRAMAS[],2,FALSE),0)</f>
        <v>0</v>
      </c>
      <c r="AE841" s="246">
        <f>IFERROR(VLOOKUP(Q841,PROGRAMAS[],2,FALSE),0)</f>
        <v>0</v>
      </c>
      <c r="AF841" s="246">
        <f>IFERROR(VLOOKUP(D841,PROGRAMAS[],3,FALSE),0)</f>
        <v>841888629.31080008</v>
      </c>
      <c r="AG841" s="246">
        <f>IFERROR(VLOOKUP(E841,PROGRAMAS[],3,FALSE),0)</f>
        <v>3848980803.1642323</v>
      </c>
      <c r="AH841" s="246">
        <f>IFERROR(VLOOKUP(F841,PROGRAMAS[],3,FALSE),0)</f>
        <v>3394901471.387517</v>
      </c>
      <c r="AI841" s="246">
        <f>IFERROR(VLOOKUP(G841,PROGRAMAS[],3,FALSE),0)</f>
        <v>1233505101.0616004</v>
      </c>
      <c r="AJ841" s="246">
        <f>IFERROR(VLOOKUP(H841,PROGRAMAS[],3,FALSE),0)</f>
        <v>7011279577.519702</v>
      </c>
      <c r="AK841" s="246">
        <f>IFERROR(VLOOKUP(I841,PROGRAMAS[],3,FALSE),0)</f>
        <v>4099471734.9978786</v>
      </c>
      <c r="AL841" s="246">
        <f>IFERROR(VLOOKUP(J841,PROGRAMAS[],3,FALSE),0)</f>
        <v>118617452.52510804</v>
      </c>
      <c r="AM841" s="246">
        <f>IFERROR(VLOOKUP(K841,PROGRAMAS[],3,FALSE),0)</f>
        <v>2406564599.0319901</v>
      </c>
      <c r="AN841" s="246">
        <f>IFERROR(VLOOKUP(L841,PROGRAMAS[],3,FALSE),0)</f>
        <v>0</v>
      </c>
      <c r="AO841" s="246">
        <f>IFERROR(VLOOKUP(M841,PROGRAMAS[],3,FALSE),0)</f>
        <v>0</v>
      </c>
      <c r="AP841" s="246">
        <f>IFERROR(VLOOKUP(N841,PROGRAMAS[],3,FALSE),0)</f>
        <v>0</v>
      </c>
      <c r="AQ841" s="246">
        <f>IFERROR(VLOOKUP(O841,PROGRAMAS[],3,FALSE),0)</f>
        <v>0</v>
      </c>
      <c r="AR841" s="246">
        <f>IFERROR(VLOOKUP(P841,PROGRAMAS[],3,FALSE),0)</f>
        <v>0</v>
      </c>
      <c r="AS841" s="246">
        <f>IFERROR(VLOOKUP(Q841,PROGRAMAS[],3,FALSE),0)</f>
        <v>0</v>
      </c>
      <c r="AT841" s="246">
        <f>IFERROR(VLOOKUP(D841,VOL_REC[],2,FALSE),0)</f>
        <v>0</v>
      </c>
      <c r="AU841" s="246">
        <f>IFERROR(VLOOKUP(E841,VOL_REC[],2,FALSE),0)</f>
        <v>0</v>
      </c>
      <c r="AV841" s="246">
        <f>IFERROR(VLOOKUP(F841,VOL_REC[],2,FALSE),0)</f>
        <v>11089674.200000001</v>
      </c>
      <c r="AW841" s="246">
        <f>IFERROR(VLOOKUP(G841,VOL_REC[],2,FALSE),0)</f>
        <v>4325103.1812214684</v>
      </c>
      <c r="AX841" s="246">
        <f>IFERROR(VLOOKUP(H841,VOL_REC[],2,FALSE),0)</f>
        <v>3761786</v>
      </c>
      <c r="AY841" s="246">
        <f>IFERROR(VLOOKUP(I841,VOL_REC[],2,FALSE),0)</f>
        <v>1812240</v>
      </c>
      <c r="AZ841" s="246">
        <f>IFERROR(VLOOKUP(J841,VOL_REC[],2,FALSE),0)</f>
        <v>105072</v>
      </c>
      <c r="BA841" s="246">
        <f>IFERROR(VLOOKUP(K841,VOL_REC[],2,FALSE),0)</f>
        <v>1072354.9981737854</v>
      </c>
      <c r="BB841" s="246">
        <f>IFERROR(VLOOKUP(L841,VOL_REC[],2,FALSE),0)</f>
        <v>0</v>
      </c>
      <c r="BC841" s="246">
        <f>IFERROR(VLOOKUP(M841,VOL_REC[],2,FALSE),0)</f>
        <v>0</v>
      </c>
      <c r="BD841" s="246">
        <f>IFERROR(VLOOKUP(N841,VOL_REC[],2,FALSE),0)</f>
        <v>0</v>
      </c>
      <c r="BE841" s="246">
        <f>IFERROR(VLOOKUP(O841,VOL_REC[],2,FALSE),0)</f>
        <v>0</v>
      </c>
      <c r="BF841" s="246">
        <f>IFERROR(VLOOKUP(P841,VOL_REC[],2,FALSE),0)</f>
        <v>0</v>
      </c>
      <c r="BG841" s="246">
        <f>IFERROR(VLOOKUP(Q841,VOL_REC[],2,FALSE),0)</f>
        <v>0</v>
      </c>
      <c r="BH841" s="1710">
        <f t="shared" si="52"/>
        <v>23195360701.810951</v>
      </c>
      <c r="BI841" s="1710">
        <f t="shared" si="53"/>
        <v>22955209368.998829</v>
      </c>
      <c r="BJ841" s="1711">
        <f t="shared" si="54"/>
        <v>22166230.379395254</v>
      </c>
      <c r="BK841" s="1711">
        <f t="shared" si="55"/>
        <v>1.0104617356762795</v>
      </c>
      <c r="BL841">
        <f>BJ841</f>
        <v>22166230.379395254</v>
      </c>
      <c r="BO841">
        <f>BL841</f>
        <v>22166230.379395254</v>
      </c>
    </row>
    <row r="842" spans="3:67" x14ac:dyDescent="0.25">
      <c r="C842" s="246" t="s">
        <v>2192</v>
      </c>
      <c r="D842" s="246">
        <v>1</v>
      </c>
      <c r="E842" s="246">
        <v>2</v>
      </c>
      <c r="F842" s="246">
        <v>3</v>
      </c>
      <c r="G842" s="246">
        <v>5</v>
      </c>
      <c r="H842" s="246">
        <v>9</v>
      </c>
      <c r="I842" s="246">
        <v>10</v>
      </c>
      <c r="J842" s="246">
        <v>15</v>
      </c>
      <c r="K842" s="246">
        <v>17</v>
      </c>
      <c r="L842" s="246"/>
      <c r="M842" s="246"/>
      <c r="N842" s="246"/>
      <c r="O842" s="246"/>
      <c r="P842" s="246"/>
      <c r="Q842" s="246"/>
      <c r="R842" s="246">
        <f>IFERROR(VLOOKUP(D842,PROGRAMAS[],2,FALSE),0)</f>
        <v>97037803.679377079</v>
      </c>
      <c r="S842" s="246">
        <f>IFERROR(VLOOKUP(E842,PROGRAMAS[],2,FALSE),0)</f>
        <v>640501509.6821388</v>
      </c>
      <c r="T842" s="246">
        <f>IFERROR(VLOOKUP(F842,PROGRAMAS[],2,FALSE),0)</f>
        <v>3062327798.1525245</v>
      </c>
      <c r="U842" s="246">
        <f>IFERROR(VLOOKUP(G842,PROGRAMAS[],2,FALSE),0)</f>
        <v>1440941976.2528784</v>
      </c>
      <c r="V842" s="246">
        <f>IFERROR(VLOOKUP(H842,PROGRAMAS[],2,FALSE),0)</f>
        <v>6128579952.1618185</v>
      </c>
      <c r="W842" s="246">
        <f>IFERROR(VLOOKUP(I842,PROGRAMAS[],2,FALSE),0)</f>
        <v>4635315027.8751087</v>
      </c>
      <c r="X842" s="246">
        <f>IFERROR(VLOOKUP(J842,PROGRAMAS[],2,FALSE),0)</f>
        <v>122159672.96346797</v>
      </c>
      <c r="Y842" s="246">
        <f>IFERROR(VLOOKUP(K842,PROGRAMAS[],2,FALSE),0)</f>
        <v>1892779498.5211046</v>
      </c>
      <c r="Z842" s="246">
        <f>IFERROR(VLOOKUP(L842,PROGRAMAS[],2,FALSE),0)</f>
        <v>0</v>
      </c>
      <c r="AA842" s="246">
        <f>IFERROR(VLOOKUP(M842,PROGRAMAS[],2,FALSE),0)</f>
        <v>0</v>
      </c>
      <c r="AB842" s="246">
        <f>IFERROR(VLOOKUP(N842,PROGRAMAS[],2,FALSE),0)</f>
        <v>0</v>
      </c>
      <c r="AC842" s="246">
        <f>IFERROR(VLOOKUP(O842,PROGRAMAS[],2,FALSE),0)</f>
        <v>0</v>
      </c>
      <c r="AD842" s="246">
        <f>IFERROR(VLOOKUP(P842,PROGRAMAS[],2,FALSE),0)</f>
        <v>0</v>
      </c>
      <c r="AE842" s="246">
        <f>IFERROR(VLOOKUP(Q842,PROGRAMAS[],2,FALSE),0)</f>
        <v>0</v>
      </c>
      <c r="AF842" s="246">
        <f>IFERROR(VLOOKUP(D842,PROGRAMAS[],3,FALSE),0)</f>
        <v>841888629.31080008</v>
      </c>
      <c r="AG842" s="246">
        <f>IFERROR(VLOOKUP(E842,PROGRAMAS[],3,FALSE),0)</f>
        <v>3848980803.1642323</v>
      </c>
      <c r="AH842" s="246">
        <f>IFERROR(VLOOKUP(F842,PROGRAMAS[],3,FALSE),0)</f>
        <v>3394901471.387517</v>
      </c>
      <c r="AI842" s="246">
        <f>IFERROR(VLOOKUP(G842,PROGRAMAS[],3,FALSE),0)</f>
        <v>1233505101.0616004</v>
      </c>
      <c r="AJ842" s="246">
        <f>IFERROR(VLOOKUP(H842,PROGRAMAS[],3,FALSE),0)</f>
        <v>7011279577.519702</v>
      </c>
      <c r="AK842" s="246">
        <f>IFERROR(VLOOKUP(I842,PROGRAMAS[],3,FALSE),0)</f>
        <v>4099471734.9978786</v>
      </c>
      <c r="AL842" s="246">
        <f>IFERROR(VLOOKUP(J842,PROGRAMAS[],3,FALSE),0)</f>
        <v>118617452.52510804</v>
      </c>
      <c r="AM842" s="246">
        <f>IFERROR(VLOOKUP(K842,PROGRAMAS[],3,FALSE),0)</f>
        <v>948595847.09039903</v>
      </c>
      <c r="AN842" s="246">
        <f>IFERROR(VLOOKUP(L842,PROGRAMAS[],3,FALSE),0)</f>
        <v>0</v>
      </c>
      <c r="AO842" s="246">
        <f>IFERROR(VLOOKUP(M842,PROGRAMAS[],3,FALSE),0)</f>
        <v>0</v>
      </c>
      <c r="AP842" s="246">
        <f>IFERROR(VLOOKUP(N842,PROGRAMAS[],3,FALSE),0)</f>
        <v>0</v>
      </c>
      <c r="AQ842" s="246">
        <f>IFERROR(VLOOKUP(O842,PROGRAMAS[],3,FALSE),0)</f>
        <v>0</v>
      </c>
      <c r="AR842" s="246">
        <f>IFERROR(VLOOKUP(P842,PROGRAMAS[],3,FALSE),0)</f>
        <v>0</v>
      </c>
      <c r="AS842" s="246">
        <f>IFERROR(VLOOKUP(Q842,PROGRAMAS[],3,FALSE),0)</f>
        <v>0</v>
      </c>
      <c r="AT842" s="246">
        <f>IFERROR(VLOOKUP(D842,VOL_REC[],2,FALSE),0)</f>
        <v>0</v>
      </c>
      <c r="AU842" s="246">
        <f>IFERROR(VLOOKUP(E842,VOL_REC[],2,FALSE),0)</f>
        <v>0</v>
      </c>
      <c r="AV842" s="246">
        <f>IFERROR(VLOOKUP(F842,VOL_REC[],2,FALSE),0)</f>
        <v>11089674.200000001</v>
      </c>
      <c r="AW842" s="246">
        <f>IFERROR(VLOOKUP(G842,VOL_REC[],2,FALSE),0)</f>
        <v>4325103.1812214684</v>
      </c>
      <c r="AX842" s="246">
        <f>IFERROR(VLOOKUP(H842,VOL_REC[],2,FALSE),0)</f>
        <v>3761786</v>
      </c>
      <c r="AY842" s="246">
        <f>IFERROR(VLOOKUP(I842,VOL_REC[],2,FALSE),0)</f>
        <v>1812240</v>
      </c>
      <c r="AZ842" s="246">
        <f>IFERROR(VLOOKUP(J842,VOL_REC[],2,FALSE),0)</f>
        <v>105072</v>
      </c>
      <c r="BA842" s="246">
        <f>IFERROR(VLOOKUP(K842,VOL_REC[],2,FALSE),0)</f>
        <v>740113.98115702497</v>
      </c>
      <c r="BB842" s="246">
        <f>IFERROR(VLOOKUP(L842,VOL_REC[],2,FALSE),0)</f>
        <v>0</v>
      </c>
      <c r="BC842" s="246">
        <f>IFERROR(VLOOKUP(M842,VOL_REC[],2,FALSE),0)</f>
        <v>0</v>
      </c>
      <c r="BD842" s="246">
        <f>IFERROR(VLOOKUP(N842,VOL_REC[],2,FALSE),0)</f>
        <v>0</v>
      </c>
      <c r="BE842" s="246">
        <f>IFERROR(VLOOKUP(O842,VOL_REC[],2,FALSE),0)</f>
        <v>0</v>
      </c>
      <c r="BF842" s="246">
        <f>IFERROR(VLOOKUP(P842,VOL_REC[],2,FALSE),0)</f>
        <v>0</v>
      </c>
      <c r="BG842" s="246">
        <f>IFERROR(VLOOKUP(Q842,VOL_REC[],2,FALSE),0)</f>
        <v>0</v>
      </c>
      <c r="BH842" s="1710">
        <f t="shared" si="52"/>
        <v>18019643239.288418</v>
      </c>
      <c r="BI842" s="1710">
        <f t="shared" si="53"/>
        <v>21497240617.05724</v>
      </c>
      <c r="BJ842" s="1711">
        <f t="shared" si="54"/>
        <v>21833989.362378493</v>
      </c>
      <c r="BK842" s="1711">
        <f t="shared" si="55"/>
        <v>0.8382305227113902</v>
      </c>
    </row>
    <row r="843" spans="3:67" x14ac:dyDescent="0.25">
      <c r="C843" s="246" t="s">
        <v>2193</v>
      </c>
      <c r="D843" s="246">
        <v>1</v>
      </c>
      <c r="E843" s="246">
        <v>2</v>
      </c>
      <c r="F843" s="246">
        <v>3</v>
      </c>
      <c r="G843" s="246">
        <v>5</v>
      </c>
      <c r="H843" s="246">
        <v>9</v>
      </c>
      <c r="I843" s="246">
        <v>10</v>
      </c>
      <c r="J843" s="246">
        <v>16</v>
      </c>
      <c r="K843" s="246">
        <v>17</v>
      </c>
      <c r="L843" s="246"/>
      <c r="M843" s="246"/>
      <c r="N843" s="246"/>
      <c r="O843" s="246"/>
      <c r="P843" s="246"/>
      <c r="Q843" s="246"/>
      <c r="R843" s="246">
        <f>IFERROR(VLOOKUP(D843,PROGRAMAS[],2,FALSE),0)</f>
        <v>97037803.679377079</v>
      </c>
      <c r="S843" s="246">
        <f>IFERROR(VLOOKUP(E843,PROGRAMAS[],2,FALSE),0)</f>
        <v>640501509.6821388</v>
      </c>
      <c r="T843" s="246">
        <f>IFERROR(VLOOKUP(F843,PROGRAMAS[],2,FALSE),0)</f>
        <v>3062327798.1525245</v>
      </c>
      <c r="U843" s="246">
        <f>IFERROR(VLOOKUP(G843,PROGRAMAS[],2,FALSE),0)</f>
        <v>1440941976.2528784</v>
      </c>
      <c r="V843" s="246">
        <f>IFERROR(VLOOKUP(H843,PROGRAMAS[],2,FALSE),0)</f>
        <v>6128579952.1618185</v>
      </c>
      <c r="W843" s="246">
        <f>IFERROR(VLOOKUP(I843,PROGRAMAS[],2,FALSE),0)</f>
        <v>4635315027.8751087</v>
      </c>
      <c r="X843" s="246">
        <f>IFERROR(VLOOKUP(J843,PROGRAMAS[],2,FALSE),0)</f>
        <v>7068496961.0436354</v>
      </c>
      <c r="Y843" s="246">
        <f>IFERROR(VLOOKUP(K843,PROGRAMAS[],2,FALSE),0)</f>
        <v>1892779498.5211046</v>
      </c>
      <c r="Z843" s="246">
        <f>IFERROR(VLOOKUP(L843,PROGRAMAS[],2,FALSE),0)</f>
        <v>0</v>
      </c>
      <c r="AA843" s="246">
        <f>IFERROR(VLOOKUP(M843,PROGRAMAS[],2,FALSE),0)</f>
        <v>0</v>
      </c>
      <c r="AB843" s="246">
        <f>IFERROR(VLOOKUP(N843,PROGRAMAS[],2,FALSE),0)</f>
        <v>0</v>
      </c>
      <c r="AC843" s="246">
        <f>IFERROR(VLOOKUP(O843,PROGRAMAS[],2,FALSE),0)</f>
        <v>0</v>
      </c>
      <c r="AD843" s="246">
        <f>IFERROR(VLOOKUP(P843,PROGRAMAS[],2,FALSE),0)</f>
        <v>0</v>
      </c>
      <c r="AE843" s="246">
        <f>IFERROR(VLOOKUP(Q843,PROGRAMAS[],2,FALSE),0)</f>
        <v>0</v>
      </c>
      <c r="AF843" s="246">
        <f>IFERROR(VLOOKUP(D843,PROGRAMAS[],3,FALSE),0)</f>
        <v>841888629.31080008</v>
      </c>
      <c r="AG843" s="246">
        <f>IFERROR(VLOOKUP(E843,PROGRAMAS[],3,FALSE),0)</f>
        <v>3848980803.1642323</v>
      </c>
      <c r="AH843" s="246">
        <f>IFERROR(VLOOKUP(F843,PROGRAMAS[],3,FALSE),0)</f>
        <v>3394901471.387517</v>
      </c>
      <c r="AI843" s="246">
        <f>IFERROR(VLOOKUP(G843,PROGRAMAS[],3,FALSE),0)</f>
        <v>1233505101.0616004</v>
      </c>
      <c r="AJ843" s="246">
        <f>IFERROR(VLOOKUP(H843,PROGRAMAS[],3,FALSE),0)</f>
        <v>7011279577.519702</v>
      </c>
      <c r="AK843" s="246">
        <f>IFERROR(VLOOKUP(I843,PROGRAMAS[],3,FALSE),0)</f>
        <v>4099471734.9978786</v>
      </c>
      <c r="AL843" s="246">
        <f>IFERROR(VLOOKUP(J843,PROGRAMAS[],3,FALSE),0)</f>
        <v>2406564599.0319901</v>
      </c>
      <c r="AM843" s="246">
        <f>IFERROR(VLOOKUP(K843,PROGRAMAS[],3,FALSE),0)</f>
        <v>948595847.09039903</v>
      </c>
      <c r="AN843" s="246">
        <f>IFERROR(VLOOKUP(L843,PROGRAMAS[],3,FALSE),0)</f>
        <v>0</v>
      </c>
      <c r="AO843" s="246">
        <f>IFERROR(VLOOKUP(M843,PROGRAMAS[],3,FALSE),0)</f>
        <v>0</v>
      </c>
      <c r="AP843" s="246">
        <f>IFERROR(VLOOKUP(N843,PROGRAMAS[],3,FALSE),0)</f>
        <v>0</v>
      </c>
      <c r="AQ843" s="246">
        <f>IFERROR(VLOOKUP(O843,PROGRAMAS[],3,FALSE),0)</f>
        <v>0</v>
      </c>
      <c r="AR843" s="246">
        <f>IFERROR(VLOOKUP(P843,PROGRAMAS[],3,FALSE),0)</f>
        <v>0</v>
      </c>
      <c r="AS843" s="246">
        <f>IFERROR(VLOOKUP(Q843,PROGRAMAS[],3,FALSE),0)</f>
        <v>0</v>
      </c>
      <c r="AT843" s="246">
        <f>IFERROR(VLOOKUP(D843,VOL_REC[],2,FALSE),0)</f>
        <v>0</v>
      </c>
      <c r="AU843" s="246">
        <f>IFERROR(VLOOKUP(E843,VOL_REC[],2,FALSE),0)</f>
        <v>0</v>
      </c>
      <c r="AV843" s="246">
        <f>IFERROR(VLOOKUP(F843,VOL_REC[],2,FALSE),0)</f>
        <v>11089674.200000001</v>
      </c>
      <c r="AW843" s="246">
        <f>IFERROR(VLOOKUP(G843,VOL_REC[],2,FALSE),0)</f>
        <v>4325103.1812214684</v>
      </c>
      <c r="AX843" s="246">
        <f>IFERROR(VLOOKUP(H843,VOL_REC[],2,FALSE),0)</f>
        <v>3761786</v>
      </c>
      <c r="AY843" s="246">
        <f>IFERROR(VLOOKUP(I843,VOL_REC[],2,FALSE),0)</f>
        <v>1812240</v>
      </c>
      <c r="AZ843" s="246">
        <f>IFERROR(VLOOKUP(J843,VOL_REC[],2,FALSE),0)</f>
        <v>1072354.9981737854</v>
      </c>
      <c r="BA843" s="246">
        <f>IFERROR(VLOOKUP(K843,VOL_REC[],2,FALSE),0)</f>
        <v>740113.98115702497</v>
      </c>
      <c r="BB843" s="246">
        <f>IFERROR(VLOOKUP(L843,VOL_REC[],2,FALSE),0)</f>
        <v>0</v>
      </c>
      <c r="BC843" s="246">
        <f>IFERROR(VLOOKUP(M843,VOL_REC[],2,FALSE),0)</f>
        <v>0</v>
      </c>
      <c r="BD843" s="246">
        <f>IFERROR(VLOOKUP(N843,VOL_REC[],2,FALSE),0)</f>
        <v>0</v>
      </c>
      <c r="BE843" s="246">
        <f>IFERROR(VLOOKUP(O843,VOL_REC[],2,FALSE),0)</f>
        <v>0</v>
      </c>
      <c r="BF843" s="246">
        <f>IFERROR(VLOOKUP(P843,VOL_REC[],2,FALSE),0)</f>
        <v>0</v>
      </c>
      <c r="BG843" s="246">
        <f>IFERROR(VLOOKUP(Q843,VOL_REC[],2,FALSE),0)</f>
        <v>0</v>
      </c>
      <c r="BH843" s="1710">
        <f t="shared" si="52"/>
        <v>24965980527.368584</v>
      </c>
      <c r="BI843" s="1710">
        <f t="shared" si="53"/>
        <v>23785187763.564121</v>
      </c>
      <c r="BJ843" s="1711">
        <f t="shared" si="54"/>
        <v>22801272.360552277</v>
      </c>
      <c r="BK843" s="1711">
        <f t="shared" si="55"/>
        <v>1.0496440379425251</v>
      </c>
      <c r="BL843">
        <f>BJ843</f>
        <v>22801272.360552277</v>
      </c>
      <c r="BO843">
        <f>BL843</f>
        <v>22801272.360552277</v>
      </c>
    </row>
    <row r="844" spans="3:67" x14ac:dyDescent="0.25">
      <c r="C844" s="246" t="s">
        <v>2194</v>
      </c>
      <c r="D844" s="246">
        <v>1</v>
      </c>
      <c r="E844" s="246">
        <v>2</v>
      </c>
      <c r="F844" s="246">
        <v>3</v>
      </c>
      <c r="G844" s="246">
        <v>5</v>
      </c>
      <c r="H844" s="246">
        <v>9</v>
      </c>
      <c r="I844" s="246">
        <v>12</v>
      </c>
      <c r="J844" s="246">
        <v>13</v>
      </c>
      <c r="K844" s="246">
        <v>14</v>
      </c>
      <c r="L844" s="246"/>
      <c r="M844" s="246"/>
      <c r="N844" s="246"/>
      <c r="O844" s="246"/>
      <c r="P844" s="246"/>
      <c r="Q844" s="246"/>
      <c r="R844" s="246">
        <f>IFERROR(VLOOKUP(D844,PROGRAMAS[],2,FALSE),0)</f>
        <v>97037803.679377079</v>
      </c>
      <c r="S844" s="246">
        <f>IFERROR(VLOOKUP(E844,PROGRAMAS[],2,FALSE),0)</f>
        <v>640501509.6821388</v>
      </c>
      <c r="T844" s="246">
        <f>IFERROR(VLOOKUP(F844,PROGRAMAS[],2,FALSE),0)</f>
        <v>3062327798.1525245</v>
      </c>
      <c r="U844" s="246">
        <f>IFERROR(VLOOKUP(G844,PROGRAMAS[],2,FALSE),0)</f>
        <v>1440941976.2528784</v>
      </c>
      <c r="V844" s="246">
        <f>IFERROR(VLOOKUP(H844,PROGRAMAS[],2,FALSE),0)</f>
        <v>6128579952.1618185</v>
      </c>
      <c r="W844" s="246">
        <f>IFERROR(VLOOKUP(I844,PROGRAMAS[],2,FALSE),0)</f>
        <v>764796700.79905891</v>
      </c>
      <c r="X844" s="246">
        <f>IFERROR(VLOOKUP(J844,PROGRAMAS[],2,FALSE),0)</f>
        <v>3776538594.4604583</v>
      </c>
      <c r="Y844" s="246">
        <f>IFERROR(VLOOKUP(K844,PROGRAMAS[],2,FALSE),0)</f>
        <v>54223862.645839565</v>
      </c>
      <c r="Z844" s="246">
        <f>IFERROR(VLOOKUP(L844,PROGRAMAS[],2,FALSE),0)</f>
        <v>0</v>
      </c>
      <c r="AA844" s="246">
        <f>IFERROR(VLOOKUP(M844,PROGRAMAS[],2,FALSE),0)</f>
        <v>0</v>
      </c>
      <c r="AB844" s="246">
        <f>IFERROR(VLOOKUP(N844,PROGRAMAS[],2,FALSE),0)</f>
        <v>0</v>
      </c>
      <c r="AC844" s="246">
        <f>IFERROR(VLOOKUP(O844,PROGRAMAS[],2,FALSE),0)</f>
        <v>0</v>
      </c>
      <c r="AD844" s="246">
        <f>IFERROR(VLOOKUP(P844,PROGRAMAS[],2,FALSE),0)</f>
        <v>0</v>
      </c>
      <c r="AE844" s="246">
        <f>IFERROR(VLOOKUP(Q844,PROGRAMAS[],2,FALSE),0)</f>
        <v>0</v>
      </c>
      <c r="AF844" s="246">
        <f>IFERROR(VLOOKUP(D844,PROGRAMAS[],3,FALSE),0)</f>
        <v>841888629.31080008</v>
      </c>
      <c r="AG844" s="246">
        <f>IFERROR(VLOOKUP(E844,PROGRAMAS[],3,FALSE),0)</f>
        <v>3848980803.1642323</v>
      </c>
      <c r="AH844" s="246">
        <f>IFERROR(VLOOKUP(F844,PROGRAMAS[],3,FALSE),0)</f>
        <v>3394901471.387517</v>
      </c>
      <c r="AI844" s="246">
        <f>IFERROR(VLOOKUP(G844,PROGRAMAS[],3,FALSE),0)</f>
        <v>1233505101.0616004</v>
      </c>
      <c r="AJ844" s="246">
        <f>IFERROR(VLOOKUP(H844,PROGRAMAS[],3,FALSE),0)</f>
        <v>7011279577.519702</v>
      </c>
      <c r="AK844" s="246">
        <f>IFERROR(VLOOKUP(I844,PROGRAMAS[],3,FALSE),0)</f>
        <v>675517840.109828</v>
      </c>
      <c r="AL844" s="246">
        <f>IFERROR(VLOOKUP(J844,PROGRAMAS[],3,FALSE),0)</f>
        <v>2392571243.5584412</v>
      </c>
      <c r="AM844" s="246">
        <f>IFERROR(VLOOKUP(K844,PROGRAMAS[],3,FALSE),0)</f>
        <v>31865326.38096505</v>
      </c>
      <c r="AN844" s="246">
        <f>IFERROR(VLOOKUP(L844,PROGRAMAS[],3,FALSE),0)</f>
        <v>0</v>
      </c>
      <c r="AO844" s="246">
        <f>IFERROR(VLOOKUP(M844,PROGRAMAS[],3,FALSE),0)</f>
        <v>0</v>
      </c>
      <c r="AP844" s="246">
        <f>IFERROR(VLOOKUP(N844,PROGRAMAS[],3,FALSE),0)</f>
        <v>0</v>
      </c>
      <c r="AQ844" s="246">
        <f>IFERROR(VLOOKUP(O844,PROGRAMAS[],3,FALSE),0)</f>
        <v>0</v>
      </c>
      <c r="AR844" s="246">
        <f>IFERROR(VLOOKUP(P844,PROGRAMAS[],3,FALSE),0)</f>
        <v>0</v>
      </c>
      <c r="AS844" s="246">
        <f>IFERROR(VLOOKUP(Q844,PROGRAMAS[],3,FALSE),0)</f>
        <v>0</v>
      </c>
      <c r="AT844" s="246">
        <f>IFERROR(VLOOKUP(D844,VOL_REC[],2,FALSE),0)</f>
        <v>0</v>
      </c>
      <c r="AU844" s="246">
        <f>IFERROR(VLOOKUP(E844,VOL_REC[],2,FALSE),0)</f>
        <v>0</v>
      </c>
      <c r="AV844" s="246">
        <f>IFERROR(VLOOKUP(F844,VOL_REC[],2,FALSE),0)</f>
        <v>11089674.200000001</v>
      </c>
      <c r="AW844" s="246">
        <f>IFERROR(VLOOKUP(G844,VOL_REC[],2,FALSE),0)</f>
        <v>4325103.1812214684</v>
      </c>
      <c r="AX844" s="246">
        <f>IFERROR(VLOOKUP(H844,VOL_REC[],2,FALSE),0)</f>
        <v>3761786</v>
      </c>
      <c r="AY844" s="246">
        <f>IFERROR(VLOOKUP(I844,VOL_REC[],2,FALSE),0)</f>
        <v>240696.79238099116</v>
      </c>
      <c r="AZ844" s="246">
        <f>IFERROR(VLOOKUP(J844,VOL_REC[],2,FALSE),0)</f>
        <v>663244.80000000016</v>
      </c>
      <c r="BA844" s="246">
        <f>IFERROR(VLOOKUP(K844,VOL_REC[],2,FALSE),0)</f>
        <v>17074.045034105649</v>
      </c>
      <c r="BB844" s="246">
        <f>IFERROR(VLOOKUP(L844,VOL_REC[],2,FALSE),0)</f>
        <v>0</v>
      </c>
      <c r="BC844" s="246">
        <f>IFERROR(VLOOKUP(M844,VOL_REC[],2,FALSE),0)</f>
        <v>0</v>
      </c>
      <c r="BD844" s="246">
        <f>IFERROR(VLOOKUP(N844,VOL_REC[],2,FALSE),0)</f>
        <v>0</v>
      </c>
      <c r="BE844" s="246">
        <f>IFERROR(VLOOKUP(O844,VOL_REC[],2,FALSE),0)</f>
        <v>0</v>
      </c>
      <c r="BF844" s="246">
        <f>IFERROR(VLOOKUP(P844,VOL_REC[],2,FALSE),0)</f>
        <v>0</v>
      </c>
      <c r="BG844" s="246">
        <f>IFERROR(VLOOKUP(Q844,VOL_REC[],2,FALSE),0)</f>
        <v>0</v>
      </c>
      <c r="BH844" s="1710">
        <f t="shared" si="52"/>
        <v>15964948197.834095</v>
      </c>
      <c r="BI844" s="1710">
        <f t="shared" si="53"/>
        <v>19430509992.493088</v>
      </c>
      <c r="BJ844" s="1711">
        <f t="shared" si="54"/>
        <v>20097579.018636569</v>
      </c>
      <c r="BK844" s="1711">
        <f t="shared" si="55"/>
        <v>0.82164329212162213</v>
      </c>
    </row>
    <row r="845" spans="3:67" x14ac:dyDescent="0.25">
      <c r="C845" s="246" t="s">
        <v>2195</v>
      </c>
      <c r="D845" s="246">
        <v>1</v>
      </c>
      <c r="E845" s="246">
        <v>2</v>
      </c>
      <c r="F845" s="246">
        <v>3</v>
      </c>
      <c r="G845" s="246">
        <v>5</v>
      </c>
      <c r="H845" s="246">
        <v>9</v>
      </c>
      <c r="I845" s="246">
        <v>12</v>
      </c>
      <c r="J845" s="246">
        <v>13</v>
      </c>
      <c r="K845" s="246">
        <v>15</v>
      </c>
      <c r="L845" s="246"/>
      <c r="M845" s="246"/>
      <c r="N845" s="246"/>
      <c r="O845" s="246"/>
      <c r="P845" s="246"/>
      <c r="Q845" s="246"/>
      <c r="R845" s="246">
        <f>IFERROR(VLOOKUP(D845,PROGRAMAS[],2,FALSE),0)</f>
        <v>97037803.679377079</v>
      </c>
      <c r="S845" s="246">
        <f>IFERROR(VLOOKUP(E845,PROGRAMAS[],2,FALSE),0)</f>
        <v>640501509.6821388</v>
      </c>
      <c r="T845" s="246">
        <f>IFERROR(VLOOKUP(F845,PROGRAMAS[],2,FALSE),0)</f>
        <v>3062327798.1525245</v>
      </c>
      <c r="U845" s="246">
        <f>IFERROR(VLOOKUP(G845,PROGRAMAS[],2,FALSE),0)</f>
        <v>1440941976.2528784</v>
      </c>
      <c r="V845" s="246">
        <f>IFERROR(VLOOKUP(H845,PROGRAMAS[],2,FALSE),0)</f>
        <v>6128579952.1618185</v>
      </c>
      <c r="W845" s="246">
        <f>IFERROR(VLOOKUP(I845,PROGRAMAS[],2,FALSE),0)</f>
        <v>764796700.79905891</v>
      </c>
      <c r="X845" s="246">
        <f>IFERROR(VLOOKUP(J845,PROGRAMAS[],2,FALSE),0)</f>
        <v>3776538594.4604583</v>
      </c>
      <c r="Y845" s="246">
        <f>IFERROR(VLOOKUP(K845,PROGRAMAS[],2,FALSE),0)</f>
        <v>122159672.96346797</v>
      </c>
      <c r="Z845" s="246">
        <f>IFERROR(VLOOKUP(L845,PROGRAMAS[],2,FALSE),0)</f>
        <v>0</v>
      </c>
      <c r="AA845" s="246">
        <f>IFERROR(VLOOKUP(M845,PROGRAMAS[],2,FALSE),0)</f>
        <v>0</v>
      </c>
      <c r="AB845" s="246">
        <f>IFERROR(VLOOKUP(N845,PROGRAMAS[],2,FALSE),0)</f>
        <v>0</v>
      </c>
      <c r="AC845" s="246">
        <f>IFERROR(VLOOKUP(O845,PROGRAMAS[],2,FALSE),0)</f>
        <v>0</v>
      </c>
      <c r="AD845" s="246">
        <f>IFERROR(VLOOKUP(P845,PROGRAMAS[],2,FALSE),0)</f>
        <v>0</v>
      </c>
      <c r="AE845" s="246">
        <f>IFERROR(VLOOKUP(Q845,PROGRAMAS[],2,FALSE),0)</f>
        <v>0</v>
      </c>
      <c r="AF845" s="246">
        <f>IFERROR(VLOOKUP(D845,PROGRAMAS[],3,FALSE),0)</f>
        <v>841888629.31080008</v>
      </c>
      <c r="AG845" s="246">
        <f>IFERROR(VLOOKUP(E845,PROGRAMAS[],3,FALSE),0)</f>
        <v>3848980803.1642323</v>
      </c>
      <c r="AH845" s="246">
        <f>IFERROR(VLOOKUP(F845,PROGRAMAS[],3,FALSE),0)</f>
        <v>3394901471.387517</v>
      </c>
      <c r="AI845" s="246">
        <f>IFERROR(VLOOKUP(G845,PROGRAMAS[],3,FALSE),0)</f>
        <v>1233505101.0616004</v>
      </c>
      <c r="AJ845" s="246">
        <f>IFERROR(VLOOKUP(H845,PROGRAMAS[],3,FALSE),0)</f>
        <v>7011279577.519702</v>
      </c>
      <c r="AK845" s="246">
        <f>IFERROR(VLOOKUP(I845,PROGRAMAS[],3,FALSE),0)</f>
        <v>675517840.109828</v>
      </c>
      <c r="AL845" s="246">
        <f>IFERROR(VLOOKUP(J845,PROGRAMAS[],3,FALSE),0)</f>
        <v>2392571243.5584412</v>
      </c>
      <c r="AM845" s="246">
        <f>IFERROR(VLOOKUP(K845,PROGRAMAS[],3,FALSE),0)</f>
        <v>118617452.52510804</v>
      </c>
      <c r="AN845" s="246">
        <f>IFERROR(VLOOKUP(L845,PROGRAMAS[],3,FALSE),0)</f>
        <v>0</v>
      </c>
      <c r="AO845" s="246">
        <f>IFERROR(VLOOKUP(M845,PROGRAMAS[],3,FALSE),0)</f>
        <v>0</v>
      </c>
      <c r="AP845" s="246">
        <f>IFERROR(VLOOKUP(N845,PROGRAMAS[],3,FALSE),0)</f>
        <v>0</v>
      </c>
      <c r="AQ845" s="246">
        <f>IFERROR(VLOOKUP(O845,PROGRAMAS[],3,FALSE),0)</f>
        <v>0</v>
      </c>
      <c r="AR845" s="246">
        <f>IFERROR(VLOOKUP(P845,PROGRAMAS[],3,FALSE),0)</f>
        <v>0</v>
      </c>
      <c r="AS845" s="246">
        <f>IFERROR(VLOOKUP(Q845,PROGRAMAS[],3,FALSE),0)</f>
        <v>0</v>
      </c>
      <c r="AT845" s="246">
        <f>IFERROR(VLOOKUP(D845,VOL_REC[],2,FALSE),0)</f>
        <v>0</v>
      </c>
      <c r="AU845" s="246">
        <f>IFERROR(VLOOKUP(E845,VOL_REC[],2,FALSE),0)</f>
        <v>0</v>
      </c>
      <c r="AV845" s="246">
        <f>IFERROR(VLOOKUP(F845,VOL_REC[],2,FALSE),0)</f>
        <v>11089674.200000001</v>
      </c>
      <c r="AW845" s="246">
        <f>IFERROR(VLOOKUP(G845,VOL_REC[],2,FALSE),0)</f>
        <v>4325103.1812214684</v>
      </c>
      <c r="AX845" s="246">
        <f>IFERROR(VLOOKUP(H845,VOL_REC[],2,FALSE),0)</f>
        <v>3761786</v>
      </c>
      <c r="AY845" s="246">
        <f>IFERROR(VLOOKUP(I845,VOL_REC[],2,FALSE),0)</f>
        <v>240696.79238099116</v>
      </c>
      <c r="AZ845" s="246">
        <f>IFERROR(VLOOKUP(J845,VOL_REC[],2,FALSE),0)</f>
        <v>663244.80000000016</v>
      </c>
      <c r="BA845" s="246">
        <f>IFERROR(VLOOKUP(K845,VOL_REC[],2,FALSE),0)</f>
        <v>105072</v>
      </c>
      <c r="BB845" s="246">
        <f>IFERROR(VLOOKUP(L845,VOL_REC[],2,FALSE),0)</f>
        <v>0</v>
      </c>
      <c r="BC845" s="246">
        <f>IFERROR(VLOOKUP(M845,VOL_REC[],2,FALSE),0)</f>
        <v>0</v>
      </c>
      <c r="BD845" s="246">
        <f>IFERROR(VLOOKUP(N845,VOL_REC[],2,FALSE),0)</f>
        <v>0</v>
      </c>
      <c r="BE845" s="246">
        <f>IFERROR(VLOOKUP(O845,VOL_REC[],2,FALSE),0)</f>
        <v>0</v>
      </c>
      <c r="BF845" s="246">
        <f>IFERROR(VLOOKUP(P845,VOL_REC[],2,FALSE),0)</f>
        <v>0</v>
      </c>
      <c r="BG845" s="246">
        <f>IFERROR(VLOOKUP(Q845,VOL_REC[],2,FALSE),0)</f>
        <v>0</v>
      </c>
      <c r="BH845" s="1710">
        <f t="shared" si="52"/>
        <v>16032884008.151724</v>
      </c>
      <c r="BI845" s="1710">
        <f t="shared" si="53"/>
        <v>19517262118.63723</v>
      </c>
      <c r="BJ845" s="1711">
        <f t="shared" si="54"/>
        <v>20185576.973602463</v>
      </c>
      <c r="BK845" s="1711">
        <f t="shared" si="55"/>
        <v>0.82147198263232635</v>
      </c>
    </row>
    <row r="846" spans="3:67" x14ac:dyDescent="0.25">
      <c r="C846" s="246" t="s">
        <v>2196</v>
      </c>
      <c r="D846" s="246">
        <v>1</v>
      </c>
      <c r="E846" s="246">
        <v>2</v>
      </c>
      <c r="F846" s="246">
        <v>3</v>
      </c>
      <c r="G846" s="246">
        <v>5</v>
      </c>
      <c r="H846" s="246">
        <v>9</v>
      </c>
      <c r="I846" s="246">
        <v>12</v>
      </c>
      <c r="J846" s="246">
        <v>13</v>
      </c>
      <c r="K846" s="246">
        <v>16</v>
      </c>
      <c r="L846" s="246"/>
      <c r="M846" s="246"/>
      <c r="N846" s="246"/>
      <c r="O846" s="246"/>
      <c r="P846" s="246"/>
      <c r="Q846" s="246"/>
      <c r="R846" s="246">
        <f>IFERROR(VLOOKUP(D846,PROGRAMAS[],2,FALSE),0)</f>
        <v>97037803.679377079</v>
      </c>
      <c r="S846" s="246">
        <f>IFERROR(VLOOKUP(E846,PROGRAMAS[],2,FALSE),0)</f>
        <v>640501509.6821388</v>
      </c>
      <c r="T846" s="246">
        <f>IFERROR(VLOOKUP(F846,PROGRAMAS[],2,FALSE),0)</f>
        <v>3062327798.1525245</v>
      </c>
      <c r="U846" s="246">
        <f>IFERROR(VLOOKUP(G846,PROGRAMAS[],2,FALSE),0)</f>
        <v>1440941976.2528784</v>
      </c>
      <c r="V846" s="246">
        <f>IFERROR(VLOOKUP(H846,PROGRAMAS[],2,FALSE),0)</f>
        <v>6128579952.1618185</v>
      </c>
      <c r="W846" s="246">
        <f>IFERROR(VLOOKUP(I846,PROGRAMAS[],2,FALSE),0)</f>
        <v>764796700.79905891</v>
      </c>
      <c r="X846" s="246">
        <f>IFERROR(VLOOKUP(J846,PROGRAMAS[],2,FALSE),0)</f>
        <v>3776538594.4604583</v>
      </c>
      <c r="Y846" s="246">
        <f>IFERROR(VLOOKUP(K846,PROGRAMAS[],2,FALSE),0)</f>
        <v>7068496961.0436354</v>
      </c>
      <c r="Z846" s="246">
        <f>IFERROR(VLOOKUP(L846,PROGRAMAS[],2,FALSE),0)</f>
        <v>0</v>
      </c>
      <c r="AA846" s="246">
        <f>IFERROR(VLOOKUP(M846,PROGRAMAS[],2,FALSE),0)</f>
        <v>0</v>
      </c>
      <c r="AB846" s="246">
        <f>IFERROR(VLOOKUP(N846,PROGRAMAS[],2,FALSE),0)</f>
        <v>0</v>
      </c>
      <c r="AC846" s="246">
        <f>IFERROR(VLOOKUP(O846,PROGRAMAS[],2,FALSE),0)</f>
        <v>0</v>
      </c>
      <c r="AD846" s="246">
        <f>IFERROR(VLOOKUP(P846,PROGRAMAS[],2,FALSE),0)</f>
        <v>0</v>
      </c>
      <c r="AE846" s="246">
        <f>IFERROR(VLOOKUP(Q846,PROGRAMAS[],2,FALSE),0)</f>
        <v>0</v>
      </c>
      <c r="AF846" s="246">
        <f>IFERROR(VLOOKUP(D846,PROGRAMAS[],3,FALSE),0)</f>
        <v>841888629.31080008</v>
      </c>
      <c r="AG846" s="246">
        <f>IFERROR(VLOOKUP(E846,PROGRAMAS[],3,FALSE),0)</f>
        <v>3848980803.1642323</v>
      </c>
      <c r="AH846" s="246">
        <f>IFERROR(VLOOKUP(F846,PROGRAMAS[],3,FALSE),0)</f>
        <v>3394901471.387517</v>
      </c>
      <c r="AI846" s="246">
        <f>IFERROR(VLOOKUP(G846,PROGRAMAS[],3,FALSE),0)</f>
        <v>1233505101.0616004</v>
      </c>
      <c r="AJ846" s="246">
        <f>IFERROR(VLOOKUP(H846,PROGRAMAS[],3,FALSE),0)</f>
        <v>7011279577.519702</v>
      </c>
      <c r="AK846" s="246">
        <f>IFERROR(VLOOKUP(I846,PROGRAMAS[],3,FALSE),0)</f>
        <v>675517840.109828</v>
      </c>
      <c r="AL846" s="246">
        <f>IFERROR(VLOOKUP(J846,PROGRAMAS[],3,FALSE),0)</f>
        <v>2392571243.5584412</v>
      </c>
      <c r="AM846" s="246">
        <f>IFERROR(VLOOKUP(K846,PROGRAMAS[],3,FALSE),0)</f>
        <v>2406564599.0319901</v>
      </c>
      <c r="AN846" s="246">
        <f>IFERROR(VLOOKUP(L846,PROGRAMAS[],3,FALSE),0)</f>
        <v>0</v>
      </c>
      <c r="AO846" s="246">
        <f>IFERROR(VLOOKUP(M846,PROGRAMAS[],3,FALSE),0)</f>
        <v>0</v>
      </c>
      <c r="AP846" s="246">
        <f>IFERROR(VLOOKUP(N846,PROGRAMAS[],3,FALSE),0)</f>
        <v>0</v>
      </c>
      <c r="AQ846" s="246">
        <f>IFERROR(VLOOKUP(O846,PROGRAMAS[],3,FALSE),0)</f>
        <v>0</v>
      </c>
      <c r="AR846" s="246">
        <f>IFERROR(VLOOKUP(P846,PROGRAMAS[],3,FALSE),0)</f>
        <v>0</v>
      </c>
      <c r="AS846" s="246">
        <f>IFERROR(VLOOKUP(Q846,PROGRAMAS[],3,FALSE),0)</f>
        <v>0</v>
      </c>
      <c r="AT846" s="246">
        <f>IFERROR(VLOOKUP(D846,VOL_REC[],2,FALSE),0)</f>
        <v>0</v>
      </c>
      <c r="AU846" s="246">
        <f>IFERROR(VLOOKUP(E846,VOL_REC[],2,FALSE),0)</f>
        <v>0</v>
      </c>
      <c r="AV846" s="246">
        <f>IFERROR(VLOOKUP(F846,VOL_REC[],2,FALSE),0)</f>
        <v>11089674.200000001</v>
      </c>
      <c r="AW846" s="246">
        <f>IFERROR(VLOOKUP(G846,VOL_REC[],2,FALSE),0)</f>
        <v>4325103.1812214684</v>
      </c>
      <c r="AX846" s="246">
        <f>IFERROR(VLOOKUP(H846,VOL_REC[],2,FALSE),0)</f>
        <v>3761786</v>
      </c>
      <c r="AY846" s="246">
        <f>IFERROR(VLOOKUP(I846,VOL_REC[],2,FALSE),0)</f>
        <v>240696.79238099116</v>
      </c>
      <c r="AZ846" s="246">
        <f>IFERROR(VLOOKUP(J846,VOL_REC[],2,FALSE),0)</f>
        <v>663244.80000000016</v>
      </c>
      <c r="BA846" s="246">
        <f>IFERROR(VLOOKUP(K846,VOL_REC[],2,FALSE),0)</f>
        <v>1072354.9981737854</v>
      </c>
      <c r="BB846" s="246">
        <f>IFERROR(VLOOKUP(L846,VOL_REC[],2,FALSE),0)</f>
        <v>0</v>
      </c>
      <c r="BC846" s="246">
        <f>IFERROR(VLOOKUP(M846,VOL_REC[],2,FALSE),0)</f>
        <v>0</v>
      </c>
      <c r="BD846" s="246">
        <f>IFERROR(VLOOKUP(N846,VOL_REC[],2,FALSE),0)</f>
        <v>0</v>
      </c>
      <c r="BE846" s="246">
        <f>IFERROR(VLOOKUP(O846,VOL_REC[],2,FALSE),0)</f>
        <v>0</v>
      </c>
      <c r="BF846" s="246">
        <f>IFERROR(VLOOKUP(P846,VOL_REC[],2,FALSE),0)</f>
        <v>0</v>
      </c>
      <c r="BG846" s="246">
        <f>IFERROR(VLOOKUP(Q846,VOL_REC[],2,FALSE),0)</f>
        <v>0</v>
      </c>
      <c r="BH846" s="1710">
        <f t="shared" si="52"/>
        <v>22979221296.231892</v>
      </c>
      <c r="BI846" s="1710">
        <f t="shared" si="53"/>
        <v>21805209265.144112</v>
      </c>
      <c r="BJ846" s="1711">
        <f t="shared" si="54"/>
        <v>21152859.971776247</v>
      </c>
      <c r="BK846" s="1711">
        <f t="shared" si="55"/>
        <v>1.0538408972283726</v>
      </c>
      <c r="BL846">
        <f>BJ846</f>
        <v>21152859.971776247</v>
      </c>
      <c r="BO846">
        <f>BL846</f>
        <v>21152859.971776247</v>
      </c>
    </row>
    <row r="847" spans="3:67" x14ac:dyDescent="0.25">
      <c r="C847" s="246" t="s">
        <v>2197</v>
      </c>
      <c r="D847" s="246">
        <v>1</v>
      </c>
      <c r="E847" s="246">
        <v>2</v>
      </c>
      <c r="F847" s="246">
        <v>3</v>
      </c>
      <c r="G847" s="246">
        <v>5</v>
      </c>
      <c r="H847" s="246">
        <v>9</v>
      </c>
      <c r="I847" s="246">
        <v>12</v>
      </c>
      <c r="J847" s="246">
        <v>13</v>
      </c>
      <c r="K847" s="246">
        <v>17</v>
      </c>
      <c r="L847" s="246"/>
      <c r="M847" s="246"/>
      <c r="N847" s="246"/>
      <c r="O847" s="246"/>
      <c r="P847" s="246"/>
      <c r="Q847" s="246"/>
      <c r="R847" s="246">
        <f>IFERROR(VLOOKUP(D847,PROGRAMAS[],2,FALSE),0)</f>
        <v>97037803.679377079</v>
      </c>
      <c r="S847" s="246">
        <f>IFERROR(VLOOKUP(E847,PROGRAMAS[],2,FALSE),0)</f>
        <v>640501509.6821388</v>
      </c>
      <c r="T847" s="246">
        <f>IFERROR(VLOOKUP(F847,PROGRAMAS[],2,FALSE),0)</f>
        <v>3062327798.1525245</v>
      </c>
      <c r="U847" s="246">
        <f>IFERROR(VLOOKUP(G847,PROGRAMAS[],2,FALSE),0)</f>
        <v>1440941976.2528784</v>
      </c>
      <c r="V847" s="246">
        <f>IFERROR(VLOOKUP(H847,PROGRAMAS[],2,FALSE),0)</f>
        <v>6128579952.1618185</v>
      </c>
      <c r="W847" s="246">
        <f>IFERROR(VLOOKUP(I847,PROGRAMAS[],2,FALSE),0)</f>
        <v>764796700.79905891</v>
      </c>
      <c r="X847" s="246">
        <f>IFERROR(VLOOKUP(J847,PROGRAMAS[],2,FALSE),0)</f>
        <v>3776538594.4604583</v>
      </c>
      <c r="Y847" s="246">
        <f>IFERROR(VLOOKUP(K847,PROGRAMAS[],2,FALSE),0)</f>
        <v>1892779498.5211046</v>
      </c>
      <c r="Z847" s="246">
        <f>IFERROR(VLOOKUP(L847,PROGRAMAS[],2,FALSE),0)</f>
        <v>0</v>
      </c>
      <c r="AA847" s="246">
        <f>IFERROR(VLOOKUP(M847,PROGRAMAS[],2,FALSE),0)</f>
        <v>0</v>
      </c>
      <c r="AB847" s="246">
        <f>IFERROR(VLOOKUP(N847,PROGRAMAS[],2,FALSE),0)</f>
        <v>0</v>
      </c>
      <c r="AC847" s="246">
        <f>IFERROR(VLOOKUP(O847,PROGRAMAS[],2,FALSE),0)</f>
        <v>0</v>
      </c>
      <c r="AD847" s="246">
        <f>IFERROR(VLOOKUP(P847,PROGRAMAS[],2,FALSE),0)</f>
        <v>0</v>
      </c>
      <c r="AE847" s="246">
        <f>IFERROR(VLOOKUP(Q847,PROGRAMAS[],2,FALSE),0)</f>
        <v>0</v>
      </c>
      <c r="AF847" s="246">
        <f>IFERROR(VLOOKUP(D847,PROGRAMAS[],3,FALSE),0)</f>
        <v>841888629.31080008</v>
      </c>
      <c r="AG847" s="246">
        <f>IFERROR(VLOOKUP(E847,PROGRAMAS[],3,FALSE),0)</f>
        <v>3848980803.1642323</v>
      </c>
      <c r="AH847" s="246">
        <f>IFERROR(VLOOKUP(F847,PROGRAMAS[],3,FALSE),0)</f>
        <v>3394901471.387517</v>
      </c>
      <c r="AI847" s="246">
        <f>IFERROR(VLOOKUP(G847,PROGRAMAS[],3,FALSE),0)</f>
        <v>1233505101.0616004</v>
      </c>
      <c r="AJ847" s="246">
        <f>IFERROR(VLOOKUP(H847,PROGRAMAS[],3,FALSE),0)</f>
        <v>7011279577.519702</v>
      </c>
      <c r="AK847" s="246">
        <f>IFERROR(VLOOKUP(I847,PROGRAMAS[],3,FALSE),0)</f>
        <v>675517840.109828</v>
      </c>
      <c r="AL847" s="246">
        <f>IFERROR(VLOOKUP(J847,PROGRAMAS[],3,FALSE),0)</f>
        <v>2392571243.5584412</v>
      </c>
      <c r="AM847" s="246">
        <f>IFERROR(VLOOKUP(K847,PROGRAMAS[],3,FALSE),0)</f>
        <v>948595847.09039903</v>
      </c>
      <c r="AN847" s="246">
        <f>IFERROR(VLOOKUP(L847,PROGRAMAS[],3,FALSE),0)</f>
        <v>0</v>
      </c>
      <c r="AO847" s="246">
        <f>IFERROR(VLOOKUP(M847,PROGRAMAS[],3,FALSE),0)</f>
        <v>0</v>
      </c>
      <c r="AP847" s="246">
        <f>IFERROR(VLOOKUP(N847,PROGRAMAS[],3,FALSE),0)</f>
        <v>0</v>
      </c>
      <c r="AQ847" s="246">
        <f>IFERROR(VLOOKUP(O847,PROGRAMAS[],3,FALSE),0)</f>
        <v>0</v>
      </c>
      <c r="AR847" s="246">
        <f>IFERROR(VLOOKUP(P847,PROGRAMAS[],3,FALSE),0)</f>
        <v>0</v>
      </c>
      <c r="AS847" s="246">
        <f>IFERROR(VLOOKUP(Q847,PROGRAMAS[],3,FALSE),0)</f>
        <v>0</v>
      </c>
      <c r="AT847" s="246">
        <f>IFERROR(VLOOKUP(D847,VOL_REC[],2,FALSE),0)</f>
        <v>0</v>
      </c>
      <c r="AU847" s="246">
        <f>IFERROR(VLOOKUP(E847,VOL_REC[],2,FALSE),0)</f>
        <v>0</v>
      </c>
      <c r="AV847" s="246">
        <f>IFERROR(VLOOKUP(F847,VOL_REC[],2,FALSE),0)</f>
        <v>11089674.200000001</v>
      </c>
      <c r="AW847" s="246">
        <f>IFERROR(VLOOKUP(G847,VOL_REC[],2,FALSE),0)</f>
        <v>4325103.1812214684</v>
      </c>
      <c r="AX847" s="246">
        <f>IFERROR(VLOOKUP(H847,VOL_REC[],2,FALSE),0)</f>
        <v>3761786</v>
      </c>
      <c r="AY847" s="246">
        <f>IFERROR(VLOOKUP(I847,VOL_REC[],2,FALSE),0)</f>
        <v>240696.79238099116</v>
      </c>
      <c r="AZ847" s="246">
        <f>IFERROR(VLOOKUP(J847,VOL_REC[],2,FALSE),0)</f>
        <v>663244.80000000016</v>
      </c>
      <c r="BA847" s="246">
        <f>IFERROR(VLOOKUP(K847,VOL_REC[],2,FALSE),0)</f>
        <v>740113.98115702497</v>
      </c>
      <c r="BB847" s="246">
        <f>IFERROR(VLOOKUP(L847,VOL_REC[],2,FALSE),0)</f>
        <v>0</v>
      </c>
      <c r="BC847" s="246">
        <f>IFERROR(VLOOKUP(M847,VOL_REC[],2,FALSE),0)</f>
        <v>0</v>
      </c>
      <c r="BD847" s="246">
        <f>IFERROR(VLOOKUP(N847,VOL_REC[],2,FALSE),0)</f>
        <v>0</v>
      </c>
      <c r="BE847" s="246">
        <f>IFERROR(VLOOKUP(O847,VOL_REC[],2,FALSE),0)</f>
        <v>0</v>
      </c>
      <c r="BF847" s="246">
        <f>IFERROR(VLOOKUP(P847,VOL_REC[],2,FALSE),0)</f>
        <v>0</v>
      </c>
      <c r="BG847" s="246">
        <f>IFERROR(VLOOKUP(Q847,VOL_REC[],2,FALSE),0)</f>
        <v>0</v>
      </c>
      <c r="BH847" s="1710">
        <f t="shared" si="52"/>
        <v>17803503833.709358</v>
      </c>
      <c r="BI847" s="1710">
        <f t="shared" si="53"/>
        <v>20347240513.202522</v>
      </c>
      <c r="BJ847" s="1711">
        <f t="shared" si="54"/>
        <v>20820618.954759486</v>
      </c>
      <c r="BK847" s="1711">
        <f t="shared" si="55"/>
        <v>0.87498370219575305</v>
      </c>
    </row>
    <row r="848" spans="3:67" x14ac:dyDescent="0.25">
      <c r="C848" s="246" t="s">
        <v>2198</v>
      </c>
      <c r="D848" s="246">
        <v>1</v>
      </c>
      <c r="E848" s="246">
        <v>2</v>
      </c>
      <c r="F848" s="246">
        <v>3</v>
      </c>
      <c r="G848" s="246">
        <v>5</v>
      </c>
      <c r="H848" s="246">
        <v>9</v>
      </c>
      <c r="I848" s="246">
        <v>12</v>
      </c>
      <c r="J848" s="246">
        <v>14</v>
      </c>
      <c r="K848" s="246">
        <v>15</v>
      </c>
      <c r="L848" s="246"/>
      <c r="M848" s="246"/>
      <c r="N848" s="246"/>
      <c r="O848" s="246"/>
      <c r="P848" s="246"/>
      <c r="Q848" s="246"/>
      <c r="R848" s="246">
        <f>IFERROR(VLOOKUP(D848,PROGRAMAS[],2,FALSE),0)</f>
        <v>97037803.679377079</v>
      </c>
      <c r="S848" s="246">
        <f>IFERROR(VLOOKUP(E848,PROGRAMAS[],2,FALSE),0)</f>
        <v>640501509.6821388</v>
      </c>
      <c r="T848" s="246">
        <f>IFERROR(VLOOKUP(F848,PROGRAMAS[],2,FALSE),0)</f>
        <v>3062327798.1525245</v>
      </c>
      <c r="U848" s="246">
        <f>IFERROR(VLOOKUP(G848,PROGRAMAS[],2,FALSE),0)</f>
        <v>1440941976.2528784</v>
      </c>
      <c r="V848" s="246">
        <f>IFERROR(VLOOKUP(H848,PROGRAMAS[],2,FALSE),0)</f>
        <v>6128579952.1618185</v>
      </c>
      <c r="W848" s="246">
        <f>IFERROR(VLOOKUP(I848,PROGRAMAS[],2,FALSE),0)</f>
        <v>764796700.79905891</v>
      </c>
      <c r="X848" s="246">
        <f>IFERROR(VLOOKUP(J848,PROGRAMAS[],2,FALSE),0)</f>
        <v>54223862.645839565</v>
      </c>
      <c r="Y848" s="246">
        <f>IFERROR(VLOOKUP(K848,PROGRAMAS[],2,FALSE),0)</f>
        <v>122159672.96346797</v>
      </c>
      <c r="Z848" s="246">
        <f>IFERROR(VLOOKUP(L848,PROGRAMAS[],2,FALSE),0)</f>
        <v>0</v>
      </c>
      <c r="AA848" s="246">
        <f>IFERROR(VLOOKUP(M848,PROGRAMAS[],2,FALSE),0)</f>
        <v>0</v>
      </c>
      <c r="AB848" s="246">
        <f>IFERROR(VLOOKUP(N848,PROGRAMAS[],2,FALSE),0)</f>
        <v>0</v>
      </c>
      <c r="AC848" s="246">
        <f>IFERROR(VLOOKUP(O848,PROGRAMAS[],2,FALSE),0)</f>
        <v>0</v>
      </c>
      <c r="AD848" s="246">
        <f>IFERROR(VLOOKUP(P848,PROGRAMAS[],2,FALSE),0)</f>
        <v>0</v>
      </c>
      <c r="AE848" s="246">
        <f>IFERROR(VLOOKUP(Q848,PROGRAMAS[],2,FALSE),0)</f>
        <v>0</v>
      </c>
      <c r="AF848" s="246">
        <f>IFERROR(VLOOKUP(D848,PROGRAMAS[],3,FALSE),0)</f>
        <v>841888629.31080008</v>
      </c>
      <c r="AG848" s="246">
        <f>IFERROR(VLOOKUP(E848,PROGRAMAS[],3,FALSE),0)</f>
        <v>3848980803.1642323</v>
      </c>
      <c r="AH848" s="246">
        <f>IFERROR(VLOOKUP(F848,PROGRAMAS[],3,FALSE),0)</f>
        <v>3394901471.387517</v>
      </c>
      <c r="AI848" s="246">
        <f>IFERROR(VLOOKUP(G848,PROGRAMAS[],3,FALSE),0)</f>
        <v>1233505101.0616004</v>
      </c>
      <c r="AJ848" s="246">
        <f>IFERROR(VLOOKUP(H848,PROGRAMAS[],3,FALSE),0)</f>
        <v>7011279577.519702</v>
      </c>
      <c r="AK848" s="246">
        <f>IFERROR(VLOOKUP(I848,PROGRAMAS[],3,FALSE),0)</f>
        <v>675517840.109828</v>
      </c>
      <c r="AL848" s="246">
        <f>IFERROR(VLOOKUP(J848,PROGRAMAS[],3,FALSE),0)</f>
        <v>31865326.38096505</v>
      </c>
      <c r="AM848" s="246">
        <f>IFERROR(VLOOKUP(K848,PROGRAMAS[],3,FALSE),0)</f>
        <v>118617452.52510804</v>
      </c>
      <c r="AN848" s="246">
        <f>IFERROR(VLOOKUP(L848,PROGRAMAS[],3,FALSE),0)</f>
        <v>0</v>
      </c>
      <c r="AO848" s="246">
        <f>IFERROR(VLOOKUP(M848,PROGRAMAS[],3,FALSE),0)</f>
        <v>0</v>
      </c>
      <c r="AP848" s="246">
        <f>IFERROR(VLOOKUP(N848,PROGRAMAS[],3,FALSE),0)</f>
        <v>0</v>
      </c>
      <c r="AQ848" s="246">
        <f>IFERROR(VLOOKUP(O848,PROGRAMAS[],3,FALSE),0)</f>
        <v>0</v>
      </c>
      <c r="AR848" s="246">
        <f>IFERROR(VLOOKUP(P848,PROGRAMAS[],3,FALSE),0)</f>
        <v>0</v>
      </c>
      <c r="AS848" s="246">
        <f>IFERROR(VLOOKUP(Q848,PROGRAMAS[],3,FALSE),0)</f>
        <v>0</v>
      </c>
      <c r="AT848" s="246">
        <f>IFERROR(VLOOKUP(D848,VOL_REC[],2,FALSE),0)</f>
        <v>0</v>
      </c>
      <c r="AU848" s="246">
        <f>IFERROR(VLOOKUP(E848,VOL_REC[],2,FALSE),0)</f>
        <v>0</v>
      </c>
      <c r="AV848" s="246">
        <f>IFERROR(VLOOKUP(F848,VOL_REC[],2,FALSE),0)</f>
        <v>11089674.200000001</v>
      </c>
      <c r="AW848" s="246">
        <f>IFERROR(VLOOKUP(G848,VOL_REC[],2,FALSE),0)</f>
        <v>4325103.1812214684</v>
      </c>
      <c r="AX848" s="246">
        <f>IFERROR(VLOOKUP(H848,VOL_REC[],2,FALSE),0)</f>
        <v>3761786</v>
      </c>
      <c r="AY848" s="246">
        <f>IFERROR(VLOOKUP(I848,VOL_REC[],2,FALSE),0)</f>
        <v>240696.79238099116</v>
      </c>
      <c r="AZ848" s="246">
        <f>IFERROR(VLOOKUP(J848,VOL_REC[],2,FALSE),0)</f>
        <v>17074.045034105649</v>
      </c>
      <c r="BA848" s="246">
        <f>IFERROR(VLOOKUP(K848,VOL_REC[],2,FALSE),0)</f>
        <v>105072</v>
      </c>
      <c r="BB848" s="246">
        <f>IFERROR(VLOOKUP(L848,VOL_REC[],2,FALSE),0)</f>
        <v>0</v>
      </c>
      <c r="BC848" s="246">
        <f>IFERROR(VLOOKUP(M848,VOL_REC[],2,FALSE),0)</f>
        <v>0</v>
      </c>
      <c r="BD848" s="246">
        <f>IFERROR(VLOOKUP(N848,VOL_REC[],2,FALSE),0)</f>
        <v>0</v>
      </c>
      <c r="BE848" s="246">
        <f>IFERROR(VLOOKUP(O848,VOL_REC[],2,FALSE),0)</f>
        <v>0</v>
      </c>
      <c r="BF848" s="246">
        <f>IFERROR(VLOOKUP(P848,VOL_REC[],2,FALSE),0)</f>
        <v>0</v>
      </c>
      <c r="BG848" s="246">
        <f>IFERROR(VLOOKUP(Q848,VOL_REC[],2,FALSE),0)</f>
        <v>0</v>
      </c>
      <c r="BH848" s="1710">
        <f t="shared" si="52"/>
        <v>12310569276.337105</v>
      </c>
      <c r="BI848" s="1710">
        <f t="shared" si="53"/>
        <v>17156556201.459753</v>
      </c>
      <c r="BJ848" s="1711">
        <f t="shared" si="54"/>
        <v>19539406.218636569</v>
      </c>
      <c r="BK848" s="1711">
        <f t="shared" si="55"/>
        <v>0.71754314396088825</v>
      </c>
    </row>
    <row r="849" spans="3:67" x14ac:dyDescent="0.25">
      <c r="C849" s="246" t="s">
        <v>2199</v>
      </c>
      <c r="D849" s="246">
        <v>1</v>
      </c>
      <c r="E849" s="246">
        <v>2</v>
      </c>
      <c r="F849" s="246">
        <v>3</v>
      </c>
      <c r="G849" s="246">
        <v>5</v>
      </c>
      <c r="H849" s="246">
        <v>9</v>
      </c>
      <c r="I849" s="246">
        <v>12</v>
      </c>
      <c r="J849" s="246">
        <v>14</v>
      </c>
      <c r="K849" s="246">
        <v>16</v>
      </c>
      <c r="L849" s="246"/>
      <c r="M849" s="246"/>
      <c r="N849" s="246"/>
      <c r="O849" s="246"/>
      <c r="P849" s="246"/>
      <c r="Q849" s="246"/>
      <c r="R849" s="246">
        <f>IFERROR(VLOOKUP(D849,PROGRAMAS[],2,FALSE),0)</f>
        <v>97037803.679377079</v>
      </c>
      <c r="S849" s="246">
        <f>IFERROR(VLOOKUP(E849,PROGRAMAS[],2,FALSE),0)</f>
        <v>640501509.6821388</v>
      </c>
      <c r="T849" s="246">
        <f>IFERROR(VLOOKUP(F849,PROGRAMAS[],2,FALSE),0)</f>
        <v>3062327798.1525245</v>
      </c>
      <c r="U849" s="246">
        <f>IFERROR(VLOOKUP(G849,PROGRAMAS[],2,FALSE),0)</f>
        <v>1440941976.2528784</v>
      </c>
      <c r="V849" s="246">
        <f>IFERROR(VLOOKUP(H849,PROGRAMAS[],2,FALSE),0)</f>
        <v>6128579952.1618185</v>
      </c>
      <c r="W849" s="246">
        <f>IFERROR(VLOOKUP(I849,PROGRAMAS[],2,FALSE),0)</f>
        <v>764796700.79905891</v>
      </c>
      <c r="X849" s="246">
        <f>IFERROR(VLOOKUP(J849,PROGRAMAS[],2,FALSE),0)</f>
        <v>54223862.645839565</v>
      </c>
      <c r="Y849" s="246">
        <f>IFERROR(VLOOKUP(K849,PROGRAMAS[],2,FALSE),0)</f>
        <v>7068496961.0436354</v>
      </c>
      <c r="Z849" s="246">
        <f>IFERROR(VLOOKUP(L849,PROGRAMAS[],2,FALSE),0)</f>
        <v>0</v>
      </c>
      <c r="AA849" s="246">
        <f>IFERROR(VLOOKUP(M849,PROGRAMAS[],2,FALSE),0)</f>
        <v>0</v>
      </c>
      <c r="AB849" s="246">
        <f>IFERROR(VLOOKUP(N849,PROGRAMAS[],2,FALSE),0)</f>
        <v>0</v>
      </c>
      <c r="AC849" s="246">
        <f>IFERROR(VLOOKUP(O849,PROGRAMAS[],2,FALSE),0)</f>
        <v>0</v>
      </c>
      <c r="AD849" s="246">
        <f>IFERROR(VLOOKUP(P849,PROGRAMAS[],2,FALSE),0)</f>
        <v>0</v>
      </c>
      <c r="AE849" s="246">
        <f>IFERROR(VLOOKUP(Q849,PROGRAMAS[],2,FALSE),0)</f>
        <v>0</v>
      </c>
      <c r="AF849" s="246">
        <f>IFERROR(VLOOKUP(D849,PROGRAMAS[],3,FALSE),0)</f>
        <v>841888629.31080008</v>
      </c>
      <c r="AG849" s="246">
        <f>IFERROR(VLOOKUP(E849,PROGRAMAS[],3,FALSE),0)</f>
        <v>3848980803.1642323</v>
      </c>
      <c r="AH849" s="246">
        <f>IFERROR(VLOOKUP(F849,PROGRAMAS[],3,FALSE),0)</f>
        <v>3394901471.387517</v>
      </c>
      <c r="AI849" s="246">
        <f>IFERROR(VLOOKUP(G849,PROGRAMAS[],3,FALSE),0)</f>
        <v>1233505101.0616004</v>
      </c>
      <c r="AJ849" s="246">
        <f>IFERROR(VLOOKUP(H849,PROGRAMAS[],3,FALSE),0)</f>
        <v>7011279577.519702</v>
      </c>
      <c r="AK849" s="246">
        <f>IFERROR(VLOOKUP(I849,PROGRAMAS[],3,FALSE),0)</f>
        <v>675517840.109828</v>
      </c>
      <c r="AL849" s="246">
        <f>IFERROR(VLOOKUP(J849,PROGRAMAS[],3,FALSE),0)</f>
        <v>31865326.38096505</v>
      </c>
      <c r="AM849" s="246">
        <f>IFERROR(VLOOKUP(K849,PROGRAMAS[],3,FALSE),0)</f>
        <v>2406564599.0319901</v>
      </c>
      <c r="AN849" s="246">
        <f>IFERROR(VLOOKUP(L849,PROGRAMAS[],3,FALSE),0)</f>
        <v>0</v>
      </c>
      <c r="AO849" s="246">
        <f>IFERROR(VLOOKUP(M849,PROGRAMAS[],3,FALSE),0)</f>
        <v>0</v>
      </c>
      <c r="AP849" s="246">
        <f>IFERROR(VLOOKUP(N849,PROGRAMAS[],3,FALSE),0)</f>
        <v>0</v>
      </c>
      <c r="AQ849" s="246">
        <f>IFERROR(VLOOKUP(O849,PROGRAMAS[],3,FALSE),0)</f>
        <v>0</v>
      </c>
      <c r="AR849" s="246">
        <f>IFERROR(VLOOKUP(P849,PROGRAMAS[],3,FALSE),0)</f>
        <v>0</v>
      </c>
      <c r="AS849" s="246">
        <f>IFERROR(VLOOKUP(Q849,PROGRAMAS[],3,FALSE),0)</f>
        <v>0</v>
      </c>
      <c r="AT849" s="246">
        <f>IFERROR(VLOOKUP(D849,VOL_REC[],2,FALSE),0)</f>
        <v>0</v>
      </c>
      <c r="AU849" s="246">
        <f>IFERROR(VLOOKUP(E849,VOL_REC[],2,FALSE),0)</f>
        <v>0</v>
      </c>
      <c r="AV849" s="246">
        <f>IFERROR(VLOOKUP(F849,VOL_REC[],2,FALSE),0)</f>
        <v>11089674.200000001</v>
      </c>
      <c r="AW849" s="246">
        <f>IFERROR(VLOOKUP(G849,VOL_REC[],2,FALSE),0)</f>
        <v>4325103.1812214684</v>
      </c>
      <c r="AX849" s="246">
        <f>IFERROR(VLOOKUP(H849,VOL_REC[],2,FALSE),0)</f>
        <v>3761786</v>
      </c>
      <c r="AY849" s="246">
        <f>IFERROR(VLOOKUP(I849,VOL_REC[],2,FALSE),0)</f>
        <v>240696.79238099116</v>
      </c>
      <c r="AZ849" s="246">
        <f>IFERROR(VLOOKUP(J849,VOL_REC[],2,FALSE),0)</f>
        <v>17074.045034105649</v>
      </c>
      <c r="BA849" s="246">
        <f>IFERROR(VLOOKUP(K849,VOL_REC[],2,FALSE),0)</f>
        <v>1072354.9981737854</v>
      </c>
      <c r="BB849" s="246">
        <f>IFERROR(VLOOKUP(L849,VOL_REC[],2,FALSE),0)</f>
        <v>0</v>
      </c>
      <c r="BC849" s="246">
        <f>IFERROR(VLOOKUP(M849,VOL_REC[],2,FALSE),0)</f>
        <v>0</v>
      </c>
      <c r="BD849" s="246">
        <f>IFERROR(VLOOKUP(N849,VOL_REC[],2,FALSE),0)</f>
        <v>0</v>
      </c>
      <c r="BE849" s="246">
        <f>IFERROR(VLOOKUP(O849,VOL_REC[],2,FALSE),0)</f>
        <v>0</v>
      </c>
      <c r="BF849" s="246">
        <f>IFERROR(VLOOKUP(P849,VOL_REC[],2,FALSE),0)</f>
        <v>0</v>
      </c>
      <c r="BG849" s="246">
        <f>IFERROR(VLOOKUP(Q849,VOL_REC[],2,FALSE),0)</f>
        <v>0</v>
      </c>
      <c r="BH849" s="1710">
        <f t="shared" si="52"/>
        <v>19256906564.417271</v>
      </c>
      <c r="BI849" s="1710">
        <f t="shared" si="53"/>
        <v>19444503347.966637</v>
      </c>
      <c r="BJ849" s="1711">
        <f t="shared" si="54"/>
        <v>20506689.216810353</v>
      </c>
      <c r="BK849" s="1711">
        <f t="shared" si="55"/>
        <v>0.99035219464378943</v>
      </c>
    </row>
    <row r="850" spans="3:67" x14ac:dyDescent="0.25">
      <c r="C850" s="246" t="s">
        <v>2200</v>
      </c>
      <c r="D850" s="246">
        <v>1</v>
      </c>
      <c r="E850" s="246">
        <v>2</v>
      </c>
      <c r="F850" s="246">
        <v>3</v>
      </c>
      <c r="G850" s="246">
        <v>5</v>
      </c>
      <c r="H850" s="246">
        <v>9</v>
      </c>
      <c r="I850" s="246">
        <v>12</v>
      </c>
      <c r="J850" s="246">
        <v>14</v>
      </c>
      <c r="K850" s="246">
        <v>17</v>
      </c>
      <c r="L850" s="246"/>
      <c r="M850" s="246"/>
      <c r="N850" s="246"/>
      <c r="O850" s="246"/>
      <c r="P850" s="246"/>
      <c r="Q850" s="246"/>
      <c r="R850" s="246">
        <f>IFERROR(VLOOKUP(D850,PROGRAMAS[],2,FALSE),0)</f>
        <v>97037803.679377079</v>
      </c>
      <c r="S850" s="246">
        <f>IFERROR(VLOOKUP(E850,PROGRAMAS[],2,FALSE),0)</f>
        <v>640501509.6821388</v>
      </c>
      <c r="T850" s="246">
        <f>IFERROR(VLOOKUP(F850,PROGRAMAS[],2,FALSE),0)</f>
        <v>3062327798.1525245</v>
      </c>
      <c r="U850" s="246">
        <f>IFERROR(VLOOKUP(G850,PROGRAMAS[],2,FALSE),0)</f>
        <v>1440941976.2528784</v>
      </c>
      <c r="V850" s="246">
        <f>IFERROR(VLOOKUP(H850,PROGRAMAS[],2,FALSE),0)</f>
        <v>6128579952.1618185</v>
      </c>
      <c r="W850" s="246">
        <f>IFERROR(VLOOKUP(I850,PROGRAMAS[],2,FALSE),0)</f>
        <v>764796700.79905891</v>
      </c>
      <c r="X850" s="246">
        <f>IFERROR(VLOOKUP(J850,PROGRAMAS[],2,FALSE),0)</f>
        <v>54223862.645839565</v>
      </c>
      <c r="Y850" s="246">
        <f>IFERROR(VLOOKUP(K850,PROGRAMAS[],2,FALSE),0)</f>
        <v>1892779498.5211046</v>
      </c>
      <c r="Z850" s="246">
        <f>IFERROR(VLOOKUP(L850,PROGRAMAS[],2,FALSE),0)</f>
        <v>0</v>
      </c>
      <c r="AA850" s="246">
        <f>IFERROR(VLOOKUP(M850,PROGRAMAS[],2,FALSE),0)</f>
        <v>0</v>
      </c>
      <c r="AB850" s="246">
        <f>IFERROR(VLOOKUP(N850,PROGRAMAS[],2,FALSE),0)</f>
        <v>0</v>
      </c>
      <c r="AC850" s="246">
        <f>IFERROR(VLOOKUP(O850,PROGRAMAS[],2,FALSE),0)</f>
        <v>0</v>
      </c>
      <c r="AD850" s="246">
        <f>IFERROR(VLOOKUP(P850,PROGRAMAS[],2,FALSE),0)</f>
        <v>0</v>
      </c>
      <c r="AE850" s="246">
        <f>IFERROR(VLOOKUP(Q850,PROGRAMAS[],2,FALSE),0)</f>
        <v>0</v>
      </c>
      <c r="AF850" s="246">
        <f>IFERROR(VLOOKUP(D850,PROGRAMAS[],3,FALSE),0)</f>
        <v>841888629.31080008</v>
      </c>
      <c r="AG850" s="246">
        <f>IFERROR(VLOOKUP(E850,PROGRAMAS[],3,FALSE),0)</f>
        <v>3848980803.1642323</v>
      </c>
      <c r="AH850" s="246">
        <f>IFERROR(VLOOKUP(F850,PROGRAMAS[],3,FALSE),0)</f>
        <v>3394901471.387517</v>
      </c>
      <c r="AI850" s="246">
        <f>IFERROR(VLOOKUP(G850,PROGRAMAS[],3,FALSE),0)</f>
        <v>1233505101.0616004</v>
      </c>
      <c r="AJ850" s="246">
        <f>IFERROR(VLOOKUP(H850,PROGRAMAS[],3,FALSE),0)</f>
        <v>7011279577.519702</v>
      </c>
      <c r="AK850" s="246">
        <f>IFERROR(VLOOKUP(I850,PROGRAMAS[],3,FALSE),0)</f>
        <v>675517840.109828</v>
      </c>
      <c r="AL850" s="246">
        <f>IFERROR(VLOOKUP(J850,PROGRAMAS[],3,FALSE),0)</f>
        <v>31865326.38096505</v>
      </c>
      <c r="AM850" s="246">
        <f>IFERROR(VLOOKUP(K850,PROGRAMAS[],3,FALSE),0)</f>
        <v>948595847.09039903</v>
      </c>
      <c r="AN850" s="246">
        <f>IFERROR(VLOOKUP(L850,PROGRAMAS[],3,FALSE),0)</f>
        <v>0</v>
      </c>
      <c r="AO850" s="246">
        <f>IFERROR(VLOOKUP(M850,PROGRAMAS[],3,FALSE),0)</f>
        <v>0</v>
      </c>
      <c r="AP850" s="246">
        <f>IFERROR(VLOOKUP(N850,PROGRAMAS[],3,FALSE),0)</f>
        <v>0</v>
      </c>
      <c r="AQ850" s="246">
        <f>IFERROR(VLOOKUP(O850,PROGRAMAS[],3,FALSE),0)</f>
        <v>0</v>
      </c>
      <c r="AR850" s="246">
        <f>IFERROR(VLOOKUP(P850,PROGRAMAS[],3,FALSE),0)</f>
        <v>0</v>
      </c>
      <c r="AS850" s="246">
        <f>IFERROR(VLOOKUP(Q850,PROGRAMAS[],3,FALSE),0)</f>
        <v>0</v>
      </c>
      <c r="AT850" s="246">
        <f>IFERROR(VLOOKUP(D850,VOL_REC[],2,FALSE),0)</f>
        <v>0</v>
      </c>
      <c r="AU850" s="246">
        <f>IFERROR(VLOOKUP(E850,VOL_REC[],2,FALSE),0)</f>
        <v>0</v>
      </c>
      <c r="AV850" s="246">
        <f>IFERROR(VLOOKUP(F850,VOL_REC[],2,FALSE),0)</f>
        <v>11089674.200000001</v>
      </c>
      <c r="AW850" s="246">
        <f>IFERROR(VLOOKUP(G850,VOL_REC[],2,FALSE),0)</f>
        <v>4325103.1812214684</v>
      </c>
      <c r="AX850" s="246">
        <f>IFERROR(VLOOKUP(H850,VOL_REC[],2,FALSE),0)</f>
        <v>3761786</v>
      </c>
      <c r="AY850" s="246">
        <f>IFERROR(VLOOKUP(I850,VOL_REC[],2,FALSE),0)</f>
        <v>240696.79238099116</v>
      </c>
      <c r="AZ850" s="246">
        <f>IFERROR(VLOOKUP(J850,VOL_REC[],2,FALSE),0)</f>
        <v>17074.045034105649</v>
      </c>
      <c r="BA850" s="246">
        <f>IFERROR(VLOOKUP(K850,VOL_REC[],2,FALSE),0)</f>
        <v>740113.98115702497</v>
      </c>
      <c r="BB850" s="246">
        <f>IFERROR(VLOOKUP(L850,VOL_REC[],2,FALSE),0)</f>
        <v>0</v>
      </c>
      <c r="BC850" s="246">
        <f>IFERROR(VLOOKUP(M850,VOL_REC[],2,FALSE),0)</f>
        <v>0</v>
      </c>
      <c r="BD850" s="246">
        <f>IFERROR(VLOOKUP(N850,VOL_REC[],2,FALSE),0)</f>
        <v>0</v>
      </c>
      <c r="BE850" s="246">
        <f>IFERROR(VLOOKUP(O850,VOL_REC[],2,FALSE),0)</f>
        <v>0</v>
      </c>
      <c r="BF850" s="246">
        <f>IFERROR(VLOOKUP(P850,VOL_REC[],2,FALSE),0)</f>
        <v>0</v>
      </c>
      <c r="BG850" s="246">
        <f>IFERROR(VLOOKUP(Q850,VOL_REC[],2,FALSE),0)</f>
        <v>0</v>
      </c>
      <c r="BH850" s="1710">
        <f t="shared" si="52"/>
        <v>14081189101.894741</v>
      </c>
      <c r="BI850" s="1710">
        <f t="shared" si="53"/>
        <v>17986534596.025043</v>
      </c>
      <c r="BJ850" s="1711">
        <f t="shared" si="54"/>
        <v>20174448.199793592</v>
      </c>
      <c r="BK850" s="1711">
        <f t="shared" si="55"/>
        <v>0.78287393420445928</v>
      </c>
    </row>
    <row r="851" spans="3:67" x14ac:dyDescent="0.25">
      <c r="C851" s="246" t="s">
        <v>2201</v>
      </c>
      <c r="D851" s="246">
        <v>1</v>
      </c>
      <c r="E851" s="246">
        <v>2</v>
      </c>
      <c r="F851" s="246">
        <v>3</v>
      </c>
      <c r="G851" s="246">
        <v>5</v>
      </c>
      <c r="H851" s="246">
        <v>9</v>
      </c>
      <c r="I851" s="246">
        <v>12</v>
      </c>
      <c r="J851" s="246">
        <v>15</v>
      </c>
      <c r="K851" s="246">
        <v>16</v>
      </c>
      <c r="L851" s="246"/>
      <c r="M851" s="246"/>
      <c r="N851" s="246"/>
      <c r="O851" s="246"/>
      <c r="P851" s="246"/>
      <c r="Q851" s="246"/>
      <c r="R851" s="246">
        <f>IFERROR(VLOOKUP(D851,PROGRAMAS[],2,FALSE),0)</f>
        <v>97037803.679377079</v>
      </c>
      <c r="S851" s="246">
        <f>IFERROR(VLOOKUP(E851,PROGRAMAS[],2,FALSE),0)</f>
        <v>640501509.6821388</v>
      </c>
      <c r="T851" s="246">
        <f>IFERROR(VLOOKUP(F851,PROGRAMAS[],2,FALSE),0)</f>
        <v>3062327798.1525245</v>
      </c>
      <c r="U851" s="246">
        <f>IFERROR(VLOOKUP(G851,PROGRAMAS[],2,FALSE),0)</f>
        <v>1440941976.2528784</v>
      </c>
      <c r="V851" s="246">
        <f>IFERROR(VLOOKUP(H851,PROGRAMAS[],2,FALSE),0)</f>
        <v>6128579952.1618185</v>
      </c>
      <c r="W851" s="246">
        <f>IFERROR(VLOOKUP(I851,PROGRAMAS[],2,FALSE),0)</f>
        <v>764796700.79905891</v>
      </c>
      <c r="X851" s="246">
        <f>IFERROR(VLOOKUP(J851,PROGRAMAS[],2,FALSE),0)</f>
        <v>122159672.96346797</v>
      </c>
      <c r="Y851" s="246">
        <f>IFERROR(VLOOKUP(K851,PROGRAMAS[],2,FALSE),0)</f>
        <v>7068496961.0436354</v>
      </c>
      <c r="Z851" s="246">
        <f>IFERROR(VLOOKUP(L851,PROGRAMAS[],2,FALSE),0)</f>
        <v>0</v>
      </c>
      <c r="AA851" s="246">
        <f>IFERROR(VLOOKUP(M851,PROGRAMAS[],2,FALSE),0)</f>
        <v>0</v>
      </c>
      <c r="AB851" s="246">
        <f>IFERROR(VLOOKUP(N851,PROGRAMAS[],2,FALSE),0)</f>
        <v>0</v>
      </c>
      <c r="AC851" s="246">
        <f>IFERROR(VLOOKUP(O851,PROGRAMAS[],2,FALSE),0)</f>
        <v>0</v>
      </c>
      <c r="AD851" s="246">
        <f>IFERROR(VLOOKUP(P851,PROGRAMAS[],2,FALSE),0)</f>
        <v>0</v>
      </c>
      <c r="AE851" s="246">
        <f>IFERROR(VLOOKUP(Q851,PROGRAMAS[],2,FALSE),0)</f>
        <v>0</v>
      </c>
      <c r="AF851" s="246">
        <f>IFERROR(VLOOKUP(D851,PROGRAMAS[],3,FALSE),0)</f>
        <v>841888629.31080008</v>
      </c>
      <c r="AG851" s="246">
        <f>IFERROR(VLOOKUP(E851,PROGRAMAS[],3,FALSE),0)</f>
        <v>3848980803.1642323</v>
      </c>
      <c r="AH851" s="246">
        <f>IFERROR(VLOOKUP(F851,PROGRAMAS[],3,FALSE),0)</f>
        <v>3394901471.387517</v>
      </c>
      <c r="AI851" s="246">
        <f>IFERROR(VLOOKUP(G851,PROGRAMAS[],3,FALSE),0)</f>
        <v>1233505101.0616004</v>
      </c>
      <c r="AJ851" s="246">
        <f>IFERROR(VLOOKUP(H851,PROGRAMAS[],3,FALSE),0)</f>
        <v>7011279577.519702</v>
      </c>
      <c r="AK851" s="246">
        <f>IFERROR(VLOOKUP(I851,PROGRAMAS[],3,FALSE),0)</f>
        <v>675517840.109828</v>
      </c>
      <c r="AL851" s="246">
        <f>IFERROR(VLOOKUP(J851,PROGRAMAS[],3,FALSE),0)</f>
        <v>118617452.52510804</v>
      </c>
      <c r="AM851" s="246">
        <f>IFERROR(VLOOKUP(K851,PROGRAMAS[],3,FALSE),0)</f>
        <v>2406564599.0319901</v>
      </c>
      <c r="AN851" s="246">
        <f>IFERROR(VLOOKUP(L851,PROGRAMAS[],3,FALSE),0)</f>
        <v>0</v>
      </c>
      <c r="AO851" s="246">
        <f>IFERROR(VLOOKUP(M851,PROGRAMAS[],3,FALSE),0)</f>
        <v>0</v>
      </c>
      <c r="AP851" s="246">
        <f>IFERROR(VLOOKUP(N851,PROGRAMAS[],3,FALSE),0)</f>
        <v>0</v>
      </c>
      <c r="AQ851" s="246">
        <f>IFERROR(VLOOKUP(O851,PROGRAMAS[],3,FALSE),0)</f>
        <v>0</v>
      </c>
      <c r="AR851" s="246">
        <f>IFERROR(VLOOKUP(P851,PROGRAMAS[],3,FALSE),0)</f>
        <v>0</v>
      </c>
      <c r="AS851" s="246">
        <f>IFERROR(VLOOKUP(Q851,PROGRAMAS[],3,FALSE),0)</f>
        <v>0</v>
      </c>
      <c r="AT851" s="246">
        <f>IFERROR(VLOOKUP(D851,VOL_REC[],2,FALSE),0)</f>
        <v>0</v>
      </c>
      <c r="AU851" s="246">
        <f>IFERROR(VLOOKUP(E851,VOL_REC[],2,FALSE),0)</f>
        <v>0</v>
      </c>
      <c r="AV851" s="246">
        <f>IFERROR(VLOOKUP(F851,VOL_REC[],2,FALSE),0)</f>
        <v>11089674.200000001</v>
      </c>
      <c r="AW851" s="246">
        <f>IFERROR(VLOOKUP(G851,VOL_REC[],2,FALSE),0)</f>
        <v>4325103.1812214684</v>
      </c>
      <c r="AX851" s="246">
        <f>IFERROR(VLOOKUP(H851,VOL_REC[],2,FALSE),0)</f>
        <v>3761786</v>
      </c>
      <c r="AY851" s="246">
        <f>IFERROR(VLOOKUP(I851,VOL_REC[],2,FALSE),0)</f>
        <v>240696.79238099116</v>
      </c>
      <c r="AZ851" s="246">
        <f>IFERROR(VLOOKUP(J851,VOL_REC[],2,FALSE),0)</f>
        <v>105072</v>
      </c>
      <c r="BA851" s="246">
        <f>IFERROR(VLOOKUP(K851,VOL_REC[],2,FALSE),0)</f>
        <v>1072354.9981737854</v>
      </c>
      <c r="BB851" s="246">
        <f>IFERROR(VLOOKUP(L851,VOL_REC[],2,FALSE),0)</f>
        <v>0</v>
      </c>
      <c r="BC851" s="246">
        <f>IFERROR(VLOOKUP(M851,VOL_REC[],2,FALSE),0)</f>
        <v>0</v>
      </c>
      <c r="BD851" s="246">
        <f>IFERROR(VLOOKUP(N851,VOL_REC[],2,FALSE),0)</f>
        <v>0</v>
      </c>
      <c r="BE851" s="246">
        <f>IFERROR(VLOOKUP(O851,VOL_REC[],2,FALSE),0)</f>
        <v>0</v>
      </c>
      <c r="BF851" s="246">
        <f>IFERROR(VLOOKUP(P851,VOL_REC[],2,FALSE),0)</f>
        <v>0</v>
      </c>
      <c r="BG851" s="246">
        <f>IFERROR(VLOOKUP(Q851,VOL_REC[],2,FALSE),0)</f>
        <v>0</v>
      </c>
      <c r="BH851" s="1710">
        <f t="shared" si="52"/>
        <v>19324842374.734901</v>
      </c>
      <c r="BI851" s="1710">
        <f t="shared" si="53"/>
        <v>19531255474.110779</v>
      </c>
      <c r="BJ851" s="1711">
        <f t="shared" si="54"/>
        <v>20594687.171776246</v>
      </c>
      <c r="BK851" s="1711">
        <f t="shared" si="55"/>
        <v>0.9894316522739931</v>
      </c>
    </row>
    <row r="852" spans="3:67" x14ac:dyDescent="0.25">
      <c r="C852" s="246" t="s">
        <v>2202</v>
      </c>
      <c r="D852" s="246">
        <v>1</v>
      </c>
      <c r="E852" s="246">
        <v>2</v>
      </c>
      <c r="F852" s="246">
        <v>3</v>
      </c>
      <c r="G852" s="246">
        <v>5</v>
      </c>
      <c r="H852" s="246">
        <v>9</v>
      </c>
      <c r="I852" s="246">
        <v>12</v>
      </c>
      <c r="J852" s="246">
        <v>15</v>
      </c>
      <c r="K852" s="246">
        <v>17</v>
      </c>
      <c r="L852" s="246"/>
      <c r="M852" s="246"/>
      <c r="N852" s="246"/>
      <c r="O852" s="246"/>
      <c r="P852" s="246"/>
      <c r="Q852" s="246"/>
      <c r="R852" s="246">
        <f>IFERROR(VLOOKUP(D852,PROGRAMAS[],2,FALSE),0)</f>
        <v>97037803.679377079</v>
      </c>
      <c r="S852" s="246">
        <f>IFERROR(VLOOKUP(E852,PROGRAMAS[],2,FALSE),0)</f>
        <v>640501509.6821388</v>
      </c>
      <c r="T852" s="246">
        <f>IFERROR(VLOOKUP(F852,PROGRAMAS[],2,FALSE),0)</f>
        <v>3062327798.1525245</v>
      </c>
      <c r="U852" s="246">
        <f>IFERROR(VLOOKUP(G852,PROGRAMAS[],2,FALSE),0)</f>
        <v>1440941976.2528784</v>
      </c>
      <c r="V852" s="246">
        <f>IFERROR(VLOOKUP(H852,PROGRAMAS[],2,FALSE),0)</f>
        <v>6128579952.1618185</v>
      </c>
      <c r="W852" s="246">
        <f>IFERROR(VLOOKUP(I852,PROGRAMAS[],2,FALSE),0)</f>
        <v>764796700.79905891</v>
      </c>
      <c r="X852" s="246">
        <f>IFERROR(VLOOKUP(J852,PROGRAMAS[],2,FALSE),0)</f>
        <v>122159672.96346797</v>
      </c>
      <c r="Y852" s="246">
        <f>IFERROR(VLOOKUP(K852,PROGRAMAS[],2,FALSE),0)</f>
        <v>1892779498.5211046</v>
      </c>
      <c r="Z852" s="246">
        <f>IFERROR(VLOOKUP(L852,PROGRAMAS[],2,FALSE),0)</f>
        <v>0</v>
      </c>
      <c r="AA852" s="246">
        <f>IFERROR(VLOOKUP(M852,PROGRAMAS[],2,FALSE),0)</f>
        <v>0</v>
      </c>
      <c r="AB852" s="246">
        <f>IFERROR(VLOOKUP(N852,PROGRAMAS[],2,FALSE),0)</f>
        <v>0</v>
      </c>
      <c r="AC852" s="246">
        <f>IFERROR(VLOOKUP(O852,PROGRAMAS[],2,FALSE),0)</f>
        <v>0</v>
      </c>
      <c r="AD852" s="246">
        <f>IFERROR(VLOOKUP(P852,PROGRAMAS[],2,FALSE),0)</f>
        <v>0</v>
      </c>
      <c r="AE852" s="246">
        <f>IFERROR(VLOOKUP(Q852,PROGRAMAS[],2,FALSE),0)</f>
        <v>0</v>
      </c>
      <c r="AF852" s="246">
        <f>IFERROR(VLOOKUP(D852,PROGRAMAS[],3,FALSE),0)</f>
        <v>841888629.31080008</v>
      </c>
      <c r="AG852" s="246">
        <f>IFERROR(VLOOKUP(E852,PROGRAMAS[],3,FALSE),0)</f>
        <v>3848980803.1642323</v>
      </c>
      <c r="AH852" s="246">
        <f>IFERROR(VLOOKUP(F852,PROGRAMAS[],3,FALSE),0)</f>
        <v>3394901471.387517</v>
      </c>
      <c r="AI852" s="246">
        <f>IFERROR(VLOOKUP(G852,PROGRAMAS[],3,FALSE),0)</f>
        <v>1233505101.0616004</v>
      </c>
      <c r="AJ852" s="246">
        <f>IFERROR(VLOOKUP(H852,PROGRAMAS[],3,FALSE),0)</f>
        <v>7011279577.519702</v>
      </c>
      <c r="AK852" s="246">
        <f>IFERROR(VLOOKUP(I852,PROGRAMAS[],3,FALSE),0)</f>
        <v>675517840.109828</v>
      </c>
      <c r="AL852" s="246">
        <f>IFERROR(VLOOKUP(J852,PROGRAMAS[],3,FALSE),0)</f>
        <v>118617452.52510804</v>
      </c>
      <c r="AM852" s="246">
        <f>IFERROR(VLOOKUP(K852,PROGRAMAS[],3,FALSE),0)</f>
        <v>948595847.09039903</v>
      </c>
      <c r="AN852" s="246">
        <f>IFERROR(VLOOKUP(L852,PROGRAMAS[],3,FALSE),0)</f>
        <v>0</v>
      </c>
      <c r="AO852" s="246">
        <f>IFERROR(VLOOKUP(M852,PROGRAMAS[],3,FALSE),0)</f>
        <v>0</v>
      </c>
      <c r="AP852" s="246">
        <f>IFERROR(VLOOKUP(N852,PROGRAMAS[],3,FALSE),0)</f>
        <v>0</v>
      </c>
      <c r="AQ852" s="246">
        <f>IFERROR(VLOOKUP(O852,PROGRAMAS[],3,FALSE),0)</f>
        <v>0</v>
      </c>
      <c r="AR852" s="246">
        <f>IFERROR(VLOOKUP(P852,PROGRAMAS[],3,FALSE),0)</f>
        <v>0</v>
      </c>
      <c r="AS852" s="246">
        <f>IFERROR(VLOOKUP(Q852,PROGRAMAS[],3,FALSE),0)</f>
        <v>0</v>
      </c>
      <c r="AT852" s="246">
        <f>IFERROR(VLOOKUP(D852,VOL_REC[],2,FALSE),0)</f>
        <v>0</v>
      </c>
      <c r="AU852" s="246">
        <f>IFERROR(VLOOKUP(E852,VOL_REC[],2,FALSE),0)</f>
        <v>0</v>
      </c>
      <c r="AV852" s="246">
        <f>IFERROR(VLOOKUP(F852,VOL_REC[],2,FALSE),0)</f>
        <v>11089674.200000001</v>
      </c>
      <c r="AW852" s="246">
        <f>IFERROR(VLOOKUP(G852,VOL_REC[],2,FALSE),0)</f>
        <v>4325103.1812214684</v>
      </c>
      <c r="AX852" s="246">
        <f>IFERROR(VLOOKUP(H852,VOL_REC[],2,FALSE),0)</f>
        <v>3761786</v>
      </c>
      <c r="AY852" s="246">
        <f>IFERROR(VLOOKUP(I852,VOL_REC[],2,FALSE),0)</f>
        <v>240696.79238099116</v>
      </c>
      <c r="AZ852" s="246">
        <f>IFERROR(VLOOKUP(J852,VOL_REC[],2,FALSE),0)</f>
        <v>105072</v>
      </c>
      <c r="BA852" s="246">
        <f>IFERROR(VLOOKUP(K852,VOL_REC[],2,FALSE),0)</f>
        <v>740113.98115702497</v>
      </c>
      <c r="BB852" s="246">
        <f>IFERROR(VLOOKUP(L852,VOL_REC[],2,FALSE),0)</f>
        <v>0</v>
      </c>
      <c r="BC852" s="246">
        <f>IFERROR(VLOOKUP(M852,VOL_REC[],2,FALSE),0)</f>
        <v>0</v>
      </c>
      <c r="BD852" s="246">
        <f>IFERROR(VLOOKUP(N852,VOL_REC[],2,FALSE),0)</f>
        <v>0</v>
      </c>
      <c r="BE852" s="246">
        <f>IFERROR(VLOOKUP(O852,VOL_REC[],2,FALSE),0)</f>
        <v>0</v>
      </c>
      <c r="BF852" s="246">
        <f>IFERROR(VLOOKUP(P852,VOL_REC[],2,FALSE),0)</f>
        <v>0</v>
      </c>
      <c r="BG852" s="246">
        <f>IFERROR(VLOOKUP(Q852,VOL_REC[],2,FALSE),0)</f>
        <v>0</v>
      </c>
      <c r="BH852" s="1710">
        <f t="shared" si="52"/>
        <v>14149124912.21237</v>
      </c>
      <c r="BI852" s="1710">
        <f t="shared" si="53"/>
        <v>18073286722.169189</v>
      </c>
      <c r="BJ852" s="1711">
        <f t="shared" si="54"/>
        <v>20262446.154759485</v>
      </c>
      <c r="BK852" s="1711">
        <f t="shared" si="55"/>
        <v>0.78287503151580418</v>
      </c>
    </row>
    <row r="853" spans="3:67" x14ac:dyDescent="0.25">
      <c r="C853" s="246" t="s">
        <v>2203</v>
      </c>
      <c r="D853" s="246">
        <v>1</v>
      </c>
      <c r="E853" s="246">
        <v>2</v>
      </c>
      <c r="F853" s="246">
        <v>3</v>
      </c>
      <c r="G853" s="246">
        <v>5</v>
      </c>
      <c r="H853" s="246">
        <v>9</v>
      </c>
      <c r="I853" s="246">
        <v>12</v>
      </c>
      <c r="J853" s="246">
        <v>16</v>
      </c>
      <c r="K853" s="246">
        <v>17</v>
      </c>
      <c r="L853" s="246"/>
      <c r="M853" s="246"/>
      <c r="N853" s="246"/>
      <c r="O853" s="246"/>
      <c r="P853" s="246"/>
      <c r="Q853" s="246"/>
      <c r="R853" s="246">
        <f>IFERROR(VLOOKUP(D853,PROGRAMAS[],2,FALSE),0)</f>
        <v>97037803.679377079</v>
      </c>
      <c r="S853" s="246">
        <f>IFERROR(VLOOKUP(E853,PROGRAMAS[],2,FALSE),0)</f>
        <v>640501509.6821388</v>
      </c>
      <c r="T853" s="246">
        <f>IFERROR(VLOOKUP(F853,PROGRAMAS[],2,FALSE),0)</f>
        <v>3062327798.1525245</v>
      </c>
      <c r="U853" s="246">
        <f>IFERROR(VLOOKUP(G853,PROGRAMAS[],2,FALSE),0)</f>
        <v>1440941976.2528784</v>
      </c>
      <c r="V853" s="246">
        <f>IFERROR(VLOOKUP(H853,PROGRAMAS[],2,FALSE),0)</f>
        <v>6128579952.1618185</v>
      </c>
      <c r="W853" s="246">
        <f>IFERROR(VLOOKUP(I853,PROGRAMAS[],2,FALSE),0)</f>
        <v>764796700.79905891</v>
      </c>
      <c r="X853" s="246">
        <f>IFERROR(VLOOKUP(J853,PROGRAMAS[],2,FALSE),0)</f>
        <v>7068496961.0436354</v>
      </c>
      <c r="Y853" s="246">
        <f>IFERROR(VLOOKUP(K853,PROGRAMAS[],2,FALSE),0)</f>
        <v>1892779498.5211046</v>
      </c>
      <c r="Z853" s="246">
        <f>IFERROR(VLOOKUP(L853,PROGRAMAS[],2,FALSE),0)</f>
        <v>0</v>
      </c>
      <c r="AA853" s="246">
        <f>IFERROR(VLOOKUP(M853,PROGRAMAS[],2,FALSE),0)</f>
        <v>0</v>
      </c>
      <c r="AB853" s="246">
        <f>IFERROR(VLOOKUP(N853,PROGRAMAS[],2,FALSE),0)</f>
        <v>0</v>
      </c>
      <c r="AC853" s="246">
        <f>IFERROR(VLOOKUP(O853,PROGRAMAS[],2,FALSE),0)</f>
        <v>0</v>
      </c>
      <c r="AD853" s="246">
        <f>IFERROR(VLOOKUP(P853,PROGRAMAS[],2,FALSE),0)</f>
        <v>0</v>
      </c>
      <c r="AE853" s="246">
        <f>IFERROR(VLOOKUP(Q853,PROGRAMAS[],2,FALSE),0)</f>
        <v>0</v>
      </c>
      <c r="AF853" s="246">
        <f>IFERROR(VLOOKUP(D853,PROGRAMAS[],3,FALSE),0)</f>
        <v>841888629.31080008</v>
      </c>
      <c r="AG853" s="246">
        <f>IFERROR(VLOOKUP(E853,PROGRAMAS[],3,FALSE),0)</f>
        <v>3848980803.1642323</v>
      </c>
      <c r="AH853" s="246">
        <f>IFERROR(VLOOKUP(F853,PROGRAMAS[],3,FALSE),0)</f>
        <v>3394901471.387517</v>
      </c>
      <c r="AI853" s="246">
        <f>IFERROR(VLOOKUP(G853,PROGRAMAS[],3,FALSE),0)</f>
        <v>1233505101.0616004</v>
      </c>
      <c r="AJ853" s="246">
        <f>IFERROR(VLOOKUP(H853,PROGRAMAS[],3,FALSE),0)</f>
        <v>7011279577.519702</v>
      </c>
      <c r="AK853" s="246">
        <f>IFERROR(VLOOKUP(I853,PROGRAMAS[],3,FALSE),0)</f>
        <v>675517840.109828</v>
      </c>
      <c r="AL853" s="246">
        <f>IFERROR(VLOOKUP(J853,PROGRAMAS[],3,FALSE),0)</f>
        <v>2406564599.0319901</v>
      </c>
      <c r="AM853" s="246">
        <f>IFERROR(VLOOKUP(K853,PROGRAMAS[],3,FALSE),0)</f>
        <v>948595847.09039903</v>
      </c>
      <c r="AN853" s="246">
        <f>IFERROR(VLOOKUP(L853,PROGRAMAS[],3,FALSE),0)</f>
        <v>0</v>
      </c>
      <c r="AO853" s="246">
        <f>IFERROR(VLOOKUP(M853,PROGRAMAS[],3,FALSE),0)</f>
        <v>0</v>
      </c>
      <c r="AP853" s="246">
        <f>IFERROR(VLOOKUP(N853,PROGRAMAS[],3,FALSE),0)</f>
        <v>0</v>
      </c>
      <c r="AQ853" s="246">
        <f>IFERROR(VLOOKUP(O853,PROGRAMAS[],3,FALSE),0)</f>
        <v>0</v>
      </c>
      <c r="AR853" s="246">
        <f>IFERROR(VLOOKUP(P853,PROGRAMAS[],3,FALSE),0)</f>
        <v>0</v>
      </c>
      <c r="AS853" s="246">
        <f>IFERROR(VLOOKUP(Q853,PROGRAMAS[],3,FALSE),0)</f>
        <v>0</v>
      </c>
      <c r="AT853" s="246">
        <f>IFERROR(VLOOKUP(D853,VOL_REC[],2,FALSE),0)</f>
        <v>0</v>
      </c>
      <c r="AU853" s="246">
        <f>IFERROR(VLOOKUP(E853,VOL_REC[],2,FALSE),0)</f>
        <v>0</v>
      </c>
      <c r="AV853" s="246">
        <f>IFERROR(VLOOKUP(F853,VOL_REC[],2,FALSE),0)</f>
        <v>11089674.200000001</v>
      </c>
      <c r="AW853" s="246">
        <f>IFERROR(VLOOKUP(G853,VOL_REC[],2,FALSE),0)</f>
        <v>4325103.1812214684</v>
      </c>
      <c r="AX853" s="246">
        <f>IFERROR(VLOOKUP(H853,VOL_REC[],2,FALSE),0)</f>
        <v>3761786</v>
      </c>
      <c r="AY853" s="246">
        <f>IFERROR(VLOOKUP(I853,VOL_REC[],2,FALSE),0)</f>
        <v>240696.79238099116</v>
      </c>
      <c r="AZ853" s="246">
        <f>IFERROR(VLOOKUP(J853,VOL_REC[],2,FALSE),0)</f>
        <v>1072354.9981737854</v>
      </c>
      <c r="BA853" s="246">
        <f>IFERROR(VLOOKUP(K853,VOL_REC[],2,FALSE),0)</f>
        <v>740113.98115702497</v>
      </c>
      <c r="BB853" s="246">
        <f>IFERROR(VLOOKUP(L853,VOL_REC[],2,FALSE),0)</f>
        <v>0</v>
      </c>
      <c r="BC853" s="246">
        <f>IFERROR(VLOOKUP(M853,VOL_REC[],2,FALSE),0)</f>
        <v>0</v>
      </c>
      <c r="BD853" s="246">
        <f>IFERROR(VLOOKUP(N853,VOL_REC[],2,FALSE),0)</f>
        <v>0</v>
      </c>
      <c r="BE853" s="246">
        <f>IFERROR(VLOOKUP(O853,VOL_REC[],2,FALSE),0)</f>
        <v>0</v>
      </c>
      <c r="BF853" s="246">
        <f>IFERROR(VLOOKUP(P853,VOL_REC[],2,FALSE),0)</f>
        <v>0</v>
      </c>
      <c r="BG853" s="246">
        <f>IFERROR(VLOOKUP(Q853,VOL_REC[],2,FALSE),0)</f>
        <v>0</v>
      </c>
      <c r="BH853" s="1710">
        <f t="shared" si="52"/>
        <v>21095462200.292534</v>
      </c>
      <c r="BI853" s="1710">
        <f t="shared" si="53"/>
        <v>20361233868.676071</v>
      </c>
      <c r="BJ853" s="1711">
        <f t="shared" si="54"/>
        <v>21229729.15293327</v>
      </c>
      <c r="BK853" s="1711">
        <f t="shared" si="55"/>
        <v>1.0360601099300768</v>
      </c>
      <c r="BL853">
        <f>BJ853</f>
        <v>21229729.15293327</v>
      </c>
      <c r="BO853">
        <f>BL853</f>
        <v>21229729.15293327</v>
      </c>
    </row>
    <row r="854" spans="3:67" x14ac:dyDescent="0.25">
      <c r="C854" s="246" t="s">
        <v>2204</v>
      </c>
      <c r="D854" s="246">
        <v>1</v>
      </c>
      <c r="E854" s="246">
        <v>2</v>
      </c>
      <c r="F854" s="246">
        <v>3</v>
      </c>
      <c r="G854" s="246">
        <v>5</v>
      </c>
      <c r="H854" s="246">
        <v>9</v>
      </c>
      <c r="I854" s="246">
        <v>13</v>
      </c>
      <c r="J854" s="246">
        <v>14</v>
      </c>
      <c r="K854" s="246">
        <v>15</v>
      </c>
      <c r="L854" s="246"/>
      <c r="M854" s="246"/>
      <c r="N854" s="246"/>
      <c r="O854" s="246"/>
      <c r="P854" s="246"/>
      <c r="Q854" s="246"/>
      <c r="R854" s="246">
        <f>IFERROR(VLOOKUP(D854,PROGRAMAS[],2,FALSE),0)</f>
        <v>97037803.679377079</v>
      </c>
      <c r="S854" s="246">
        <f>IFERROR(VLOOKUP(E854,PROGRAMAS[],2,FALSE),0)</f>
        <v>640501509.6821388</v>
      </c>
      <c r="T854" s="246">
        <f>IFERROR(VLOOKUP(F854,PROGRAMAS[],2,FALSE),0)</f>
        <v>3062327798.1525245</v>
      </c>
      <c r="U854" s="246">
        <f>IFERROR(VLOOKUP(G854,PROGRAMAS[],2,FALSE),0)</f>
        <v>1440941976.2528784</v>
      </c>
      <c r="V854" s="246">
        <f>IFERROR(VLOOKUP(H854,PROGRAMAS[],2,FALSE),0)</f>
        <v>6128579952.1618185</v>
      </c>
      <c r="W854" s="246">
        <f>IFERROR(VLOOKUP(I854,PROGRAMAS[],2,FALSE),0)</f>
        <v>3776538594.4604583</v>
      </c>
      <c r="X854" s="246">
        <f>IFERROR(VLOOKUP(J854,PROGRAMAS[],2,FALSE),0)</f>
        <v>54223862.645839565</v>
      </c>
      <c r="Y854" s="246">
        <f>IFERROR(VLOOKUP(K854,PROGRAMAS[],2,FALSE),0)</f>
        <v>122159672.96346797</v>
      </c>
      <c r="Z854" s="246">
        <f>IFERROR(VLOOKUP(L854,PROGRAMAS[],2,FALSE),0)</f>
        <v>0</v>
      </c>
      <c r="AA854" s="246">
        <f>IFERROR(VLOOKUP(M854,PROGRAMAS[],2,FALSE),0)</f>
        <v>0</v>
      </c>
      <c r="AB854" s="246">
        <f>IFERROR(VLOOKUP(N854,PROGRAMAS[],2,FALSE),0)</f>
        <v>0</v>
      </c>
      <c r="AC854" s="246">
        <f>IFERROR(VLOOKUP(O854,PROGRAMAS[],2,FALSE),0)</f>
        <v>0</v>
      </c>
      <c r="AD854" s="246">
        <f>IFERROR(VLOOKUP(P854,PROGRAMAS[],2,FALSE),0)</f>
        <v>0</v>
      </c>
      <c r="AE854" s="246">
        <f>IFERROR(VLOOKUP(Q854,PROGRAMAS[],2,FALSE),0)</f>
        <v>0</v>
      </c>
      <c r="AF854" s="246">
        <f>IFERROR(VLOOKUP(D854,PROGRAMAS[],3,FALSE),0)</f>
        <v>841888629.31080008</v>
      </c>
      <c r="AG854" s="246">
        <f>IFERROR(VLOOKUP(E854,PROGRAMAS[],3,FALSE),0)</f>
        <v>3848980803.1642323</v>
      </c>
      <c r="AH854" s="246">
        <f>IFERROR(VLOOKUP(F854,PROGRAMAS[],3,FALSE),0)</f>
        <v>3394901471.387517</v>
      </c>
      <c r="AI854" s="246">
        <f>IFERROR(VLOOKUP(G854,PROGRAMAS[],3,FALSE),0)</f>
        <v>1233505101.0616004</v>
      </c>
      <c r="AJ854" s="246">
        <f>IFERROR(VLOOKUP(H854,PROGRAMAS[],3,FALSE),0)</f>
        <v>7011279577.519702</v>
      </c>
      <c r="AK854" s="246">
        <f>IFERROR(VLOOKUP(I854,PROGRAMAS[],3,FALSE),0)</f>
        <v>2392571243.5584412</v>
      </c>
      <c r="AL854" s="246">
        <f>IFERROR(VLOOKUP(J854,PROGRAMAS[],3,FALSE),0)</f>
        <v>31865326.38096505</v>
      </c>
      <c r="AM854" s="246">
        <f>IFERROR(VLOOKUP(K854,PROGRAMAS[],3,FALSE),0)</f>
        <v>118617452.52510804</v>
      </c>
      <c r="AN854" s="246">
        <f>IFERROR(VLOOKUP(L854,PROGRAMAS[],3,FALSE),0)</f>
        <v>0</v>
      </c>
      <c r="AO854" s="246">
        <f>IFERROR(VLOOKUP(M854,PROGRAMAS[],3,FALSE),0)</f>
        <v>0</v>
      </c>
      <c r="AP854" s="246">
        <f>IFERROR(VLOOKUP(N854,PROGRAMAS[],3,FALSE),0)</f>
        <v>0</v>
      </c>
      <c r="AQ854" s="246">
        <f>IFERROR(VLOOKUP(O854,PROGRAMAS[],3,FALSE),0)</f>
        <v>0</v>
      </c>
      <c r="AR854" s="246">
        <f>IFERROR(VLOOKUP(P854,PROGRAMAS[],3,FALSE),0)</f>
        <v>0</v>
      </c>
      <c r="AS854" s="246">
        <f>IFERROR(VLOOKUP(Q854,PROGRAMAS[],3,FALSE),0)</f>
        <v>0</v>
      </c>
      <c r="AT854" s="246">
        <f>IFERROR(VLOOKUP(D854,VOL_REC[],2,FALSE),0)</f>
        <v>0</v>
      </c>
      <c r="AU854" s="246">
        <f>IFERROR(VLOOKUP(E854,VOL_REC[],2,FALSE),0)</f>
        <v>0</v>
      </c>
      <c r="AV854" s="246">
        <f>IFERROR(VLOOKUP(F854,VOL_REC[],2,FALSE),0)</f>
        <v>11089674.200000001</v>
      </c>
      <c r="AW854" s="246">
        <f>IFERROR(VLOOKUP(G854,VOL_REC[],2,FALSE),0)</f>
        <v>4325103.1812214684</v>
      </c>
      <c r="AX854" s="246">
        <f>IFERROR(VLOOKUP(H854,VOL_REC[],2,FALSE),0)</f>
        <v>3761786</v>
      </c>
      <c r="AY854" s="246">
        <f>IFERROR(VLOOKUP(I854,VOL_REC[],2,FALSE),0)</f>
        <v>663244.80000000016</v>
      </c>
      <c r="AZ854" s="246">
        <f>IFERROR(VLOOKUP(J854,VOL_REC[],2,FALSE),0)</f>
        <v>17074.045034105649</v>
      </c>
      <c r="BA854" s="246">
        <f>IFERROR(VLOOKUP(K854,VOL_REC[],2,FALSE),0)</f>
        <v>105072</v>
      </c>
      <c r="BB854" s="246">
        <f>IFERROR(VLOOKUP(L854,VOL_REC[],2,FALSE),0)</f>
        <v>0</v>
      </c>
      <c r="BC854" s="246">
        <f>IFERROR(VLOOKUP(M854,VOL_REC[],2,FALSE),0)</f>
        <v>0</v>
      </c>
      <c r="BD854" s="246">
        <f>IFERROR(VLOOKUP(N854,VOL_REC[],2,FALSE),0)</f>
        <v>0</v>
      </c>
      <c r="BE854" s="246">
        <f>IFERROR(VLOOKUP(O854,VOL_REC[],2,FALSE),0)</f>
        <v>0</v>
      </c>
      <c r="BF854" s="246">
        <f>IFERROR(VLOOKUP(P854,VOL_REC[],2,FALSE),0)</f>
        <v>0</v>
      </c>
      <c r="BG854" s="246">
        <f>IFERROR(VLOOKUP(Q854,VOL_REC[],2,FALSE),0)</f>
        <v>0</v>
      </c>
      <c r="BH854" s="1710">
        <f t="shared" si="52"/>
        <v>15322311169.998505</v>
      </c>
      <c r="BI854" s="1710">
        <f t="shared" si="53"/>
        <v>18873609604.908367</v>
      </c>
      <c r="BJ854" s="1711">
        <f t="shared" si="54"/>
        <v>19961954.226255577</v>
      </c>
      <c r="BK854" s="1711">
        <f t="shared" si="55"/>
        <v>0.81183787790194128</v>
      </c>
    </row>
    <row r="855" spans="3:67" x14ac:dyDescent="0.25">
      <c r="C855" s="246" t="s">
        <v>2205</v>
      </c>
      <c r="D855" s="246">
        <v>1</v>
      </c>
      <c r="E855" s="246">
        <v>2</v>
      </c>
      <c r="F855" s="246">
        <v>3</v>
      </c>
      <c r="G855" s="246">
        <v>5</v>
      </c>
      <c r="H855" s="246">
        <v>9</v>
      </c>
      <c r="I855" s="246">
        <v>13</v>
      </c>
      <c r="J855" s="246">
        <v>14</v>
      </c>
      <c r="K855" s="246">
        <v>16</v>
      </c>
      <c r="L855" s="246"/>
      <c r="M855" s="246"/>
      <c r="N855" s="246"/>
      <c r="O855" s="246"/>
      <c r="P855" s="246"/>
      <c r="Q855" s="246"/>
      <c r="R855" s="246">
        <f>IFERROR(VLOOKUP(D855,PROGRAMAS[],2,FALSE),0)</f>
        <v>97037803.679377079</v>
      </c>
      <c r="S855" s="246">
        <f>IFERROR(VLOOKUP(E855,PROGRAMAS[],2,FALSE),0)</f>
        <v>640501509.6821388</v>
      </c>
      <c r="T855" s="246">
        <f>IFERROR(VLOOKUP(F855,PROGRAMAS[],2,FALSE),0)</f>
        <v>3062327798.1525245</v>
      </c>
      <c r="U855" s="246">
        <f>IFERROR(VLOOKUP(G855,PROGRAMAS[],2,FALSE),0)</f>
        <v>1440941976.2528784</v>
      </c>
      <c r="V855" s="246">
        <f>IFERROR(VLOOKUP(H855,PROGRAMAS[],2,FALSE),0)</f>
        <v>6128579952.1618185</v>
      </c>
      <c r="W855" s="246">
        <f>IFERROR(VLOOKUP(I855,PROGRAMAS[],2,FALSE),0)</f>
        <v>3776538594.4604583</v>
      </c>
      <c r="X855" s="246">
        <f>IFERROR(VLOOKUP(J855,PROGRAMAS[],2,FALSE),0)</f>
        <v>54223862.645839565</v>
      </c>
      <c r="Y855" s="246">
        <f>IFERROR(VLOOKUP(K855,PROGRAMAS[],2,FALSE),0)</f>
        <v>7068496961.0436354</v>
      </c>
      <c r="Z855" s="246">
        <f>IFERROR(VLOOKUP(L855,PROGRAMAS[],2,FALSE),0)</f>
        <v>0</v>
      </c>
      <c r="AA855" s="246">
        <f>IFERROR(VLOOKUP(M855,PROGRAMAS[],2,FALSE),0)</f>
        <v>0</v>
      </c>
      <c r="AB855" s="246">
        <f>IFERROR(VLOOKUP(N855,PROGRAMAS[],2,FALSE),0)</f>
        <v>0</v>
      </c>
      <c r="AC855" s="246">
        <f>IFERROR(VLOOKUP(O855,PROGRAMAS[],2,FALSE),0)</f>
        <v>0</v>
      </c>
      <c r="AD855" s="246">
        <f>IFERROR(VLOOKUP(P855,PROGRAMAS[],2,FALSE),0)</f>
        <v>0</v>
      </c>
      <c r="AE855" s="246">
        <f>IFERROR(VLOOKUP(Q855,PROGRAMAS[],2,FALSE),0)</f>
        <v>0</v>
      </c>
      <c r="AF855" s="246">
        <f>IFERROR(VLOOKUP(D855,PROGRAMAS[],3,FALSE),0)</f>
        <v>841888629.31080008</v>
      </c>
      <c r="AG855" s="246">
        <f>IFERROR(VLOOKUP(E855,PROGRAMAS[],3,FALSE),0)</f>
        <v>3848980803.1642323</v>
      </c>
      <c r="AH855" s="246">
        <f>IFERROR(VLOOKUP(F855,PROGRAMAS[],3,FALSE),0)</f>
        <v>3394901471.387517</v>
      </c>
      <c r="AI855" s="246">
        <f>IFERROR(VLOOKUP(G855,PROGRAMAS[],3,FALSE),0)</f>
        <v>1233505101.0616004</v>
      </c>
      <c r="AJ855" s="246">
        <f>IFERROR(VLOOKUP(H855,PROGRAMAS[],3,FALSE),0)</f>
        <v>7011279577.519702</v>
      </c>
      <c r="AK855" s="246">
        <f>IFERROR(VLOOKUP(I855,PROGRAMAS[],3,FALSE),0)</f>
        <v>2392571243.5584412</v>
      </c>
      <c r="AL855" s="246">
        <f>IFERROR(VLOOKUP(J855,PROGRAMAS[],3,FALSE),0)</f>
        <v>31865326.38096505</v>
      </c>
      <c r="AM855" s="246">
        <f>IFERROR(VLOOKUP(K855,PROGRAMAS[],3,FALSE),0)</f>
        <v>2406564599.0319901</v>
      </c>
      <c r="AN855" s="246">
        <f>IFERROR(VLOOKUP(L855,PROGRAMAS[],3,FALSE),0)</f>
        <v>0</v>
      </c>
      <c r="AO855" s="246">
        <f>IFERROR(VLOOKUP(M855,PROGRAMAS[],3,FALSE),0)</f>
        <v>0</v>
      </c>
      <c r="AP855" s="246">
        <f>IFERROR(VLOOKUP(N855,PROGRAMAS[],3,FALSE),0)</f>
        <v>0</v>
      </c>
      <c r="AQ855" s="246">
        <f>IFERROR(VLOOKUP(O855,PROGRAMAS[],3,FALSE),0)</f>
        <v>0</v>
      </c>
      <c r="AR855" s="246">
        <f>IFERROR(VLOOKUP(P855,PROGRAMAS[],3,FALSE),0)</f>
        <v>0</v>
      </c>
      <c r="AS855" s="246">
        <f>IFERROR(VLOOKUP(Q855,PROGRAMAS[],3,FALSE),0)</f>
        <v>0</v>
      </c>
      <c r="AT855" s="246">
        <f>IFERROR(VLOOKUP(D855,VOL_REC[],2,FALSE),0)</f>
        <v>0</v>
      </c>
      <c r="AU855" s="246">
        <f>IFERROR(VLOOKUP(E855,VOL_REC[],2,FALSE),0)</f>
        <v>0</v>
      </c>
      <c r="AV855" s="246">
        <f>IFERROR(VLOOKUP(F855,VOL_REC[],2,FALSE),0)</f>
        <v>11089674.200000001</v>
      </c>
      <c r="AW855" s="246">
        <f>IFERROR(VLOOKUP(G855,VOL_REC[],2,FALSE),0)</f>
        <v>4325103.1812214684</v>
      </c>
      <c r="AX855" s="246">
        <f>IFERROR(VLOOKUP(H855,VOL_REC[],2,FALSE),0)</f>
        <v>3761786</v>
      </c>
      <c r="AY855" s="246">
        <f>IFERROR(VLOOKUP(I855,VOL_REC[],2,FALSE),0)</f>
        <v>663244.80000000016</v>
      </c>
      <c r="AZ855" s="246">
        <f>IFERROR(VLOOKUP(J855,VOL_REC[],2,FALSE),0)</f>
        <v>17074.045034105649</v>
      </c>
      <c r="BA855" s="246">
        <f>IFERROR(VLOOKUP(K855,VOL_REC[],2,FALSE),0)</f>
        <v>1072354.9981737854</v>
      </c>
      <c r="BB855" s="246">
        <f>IFERROR(VLOOKUP(L855,VOL_REC[],2,FALSE),0)</f>
        <v>0</v>
      </c>
      <c r="BC855" s="246">
        <f>IFERROR(VLOOKUP(M855,VOL_REC[],2,FALSE),0)</f>
        <v>0</v>
      </c>
      <c r="BD855" s="246">
        <f>IFERROR(VLOOKUP(N855,VOL_REC[],2,FALSE),0)</f>
        <v>0</v>
      </c>
      <c r="BE855" s="246">
        <f>IFERROR(VLOOKUP(O855,VOL_REC[],2,FALSE),0)</f>
        <v>0</v>
      </c>
      <c r="BF855" s="246">
        <f>IFERROR(VLOOKUP(P855,VOL_REC[],2,FALSE),0)</f>
        <v>0</v>
      </c>
      <c r="BG855" s="246">
        <f>IFERROR(VLOOKUP(Q855,VOL_REC[],2,FALSE),0)</f>
        <v>0</v>
      </c>
      <c r="BH855" s="1710">
        <f t="shared" si="52"/>
        <v>22268648458.078671</v>
      </c>
      <c r="BI855" s="1710">
        <f t="shared" si="53"/>
        <v>21161556751.415249</v>
      </c>
      <c r="BJ855" s="1711">
        <f t="shared" si="54"/>
        <v>20929237.224429362</v>
      </c>
      <c r="BK855" s="1711">
        <f t="shared" si="55"/>
        <v>1.0523161750181438</v>
      </c>
      <c r="BL855">
        <f>BJ855</f>
        <v>20929237.224429362</v>
      </c>
      <c r="BO855">
        <f>BL855</f>
        <v>20929237.224429362</v>
      </c>
    </row>
    <row r="856" spans="3:67" x14ac:dyDescent="0.25">
      <c r="C856" s="246" t="s">
        <v>2206</v>
      </c>
      <c r="D856" s="246">
        <v>1</v>
      </c>
      <c r="E856" s="246">
        <v>2</v>
      </c>
      <c r="F856" s="246">
        <v>3</v>
      </c>
      <c r="G856" s="246">
        <v>5</v>
      </c>
      <c r="H856" s="246">
        <v>9</v>
      </c>
      <c r="I856" s="246">
        <v>13</v>
      </c>
      <c r="J856" s="246">
        <v>14</v>
      </c>
      <c r="K856" s="246">
        <v>17</v>
      </c>
      <c r="L856" s="246"/>
      <c r="M856" s="246"/>
      <c r="N856" s="246"/>
      <c r="O856" s="246"/>
      <c r="P856" s="246"/>
      <c r="Q856" s="246"/>
      <c r="R856" s="246">
        <f>IFERROR(VLOOKUP(D856,PROGRAMAS[],2,FALSE),0)</f>
        <v>97037803.679377079</v>
      </c>
      <c r="S856" s="246">
        <f>IFERROR(VLOOKUP(E856,PROGRAMAS[],2,FALSE),0)</f>
        <v>640501509.6821388</v>
      </c>
      <c r="T856" s="246">
        <f>IFERROR(VLOOKUP(F856,PROGRAMAS[],2,FALSE),0)</f>
        <v>3062327798.1525245</v>
      </c>
      <c r="U856" s="246">
        <f>IFERROR(VLOOKUP(G856,PROGRAMAS[],2,FALSE),0)</f>
        <v>1440941976.2528784</v>
      </c>
      <c r="V856" s="246">
        <f>IFERROR(VLOOKUP(H856,PROGRAMAS[],2,FALSE),0)</f>
        <v>6128579952.1618185</v>
      </c>
      <c r="W856" s="246">
        <f>IFERROR(VLOOKUP(I856,PROGRAMAS[],2,FALSE),0)</f>
        <v>3776538594.4604583</v>
      </c>
      <c r="X856" s="246">
        <f>IFERROR(VLOOKUP(J856,PROGRAMAS[],2,FALSE),0)</f>
        <v>54223862.645839565</v>
      </c>
      <c r="Y856" s="246">
        <f>IFERROR(VLOOKUP(K856,PROGRAMAS[],2,FALSE),0)</f>
        <v>1892779498.5211046</v>
      </c>
      <c r="Z856" s="246">
        <f>IFERROR(VLOOKUP(L856,PROGRAMAS[],2,FALSE),0)</f>
        <v>0</v>
      </c>
      <c r="AA856" s="246">
        <f>IFERROR(VLOOKUP(M856,PROGRAMAS[],2,FALSE),0)</f>
        <v>0</v>
      </c>
      <c r="AB856" s="246">
        <f>IFERROR(VLOOKUP(N856,PROGRAMAS[],2,FALSE),0)</f>
        <v>0</v>
      </c>
      <c r="AC856" s="246">
        <f>IFERROR(VLOOKUP(O856,PROGRAMAS[],2,FALSE),0)</f>
        <v>0</v>
      </c>
      <c r="AD856" s="246">
        <f>IFERROR(VLOOKUP(P856,PROGRAMAS[],2,FALSE),0)</f>
        <v>0</v>
      </c>
      <c r="AE856" s="246">
        <f>IFERROR(VLOOKUP(Q856,PROGRAMAS[],2,FALSE),0)</f>
        <v>0</v>
      </c>
      <c r="AF856" s="246">
        <f>IFERROR(VLOOKUP(D856,PROGRAMAS[],3,FALSE),0)</f>
        <v>841888629.31080008</v>
      </c>
      <c r="AG856" s="246">
        <f>IFERROR(VLOOKUP(E856,PROGRAMAS[],3,FALSE),0)</f>
        <v>3848980803.1642323</v>
      </c>
      <c r="AH856" s="246">
        <f>IFERROR(VLOOKUP(F856,PROGRAMAS[],3,FALSE),0)</f>
        <v>3394901471.387517</v>
      </c>
      <c r="AI856" s="246">
        <f>IFERROR(VLOOKUP(G856,PROGRAMAS[],3,FALSE),0)</f>
        <v>1233505101.0616004</v>
      </c>
      <c r="AJ856" s="246">
        <f>IFERROR(VLOOKUP(H856,PROGRAMAS[],3,FALSE),0)</f>
        <v>7011279577.519702</v>
      </c>
      <c r="AK856" s="246">
        <f>IFERROR(VLOOKUP(I856,PROGRAMAS[],3,FALSE),0)</f>
        <v>2392571243.5584412</v>
      </c>
      <c r="AL856" s="246">
        <f>IFERROR(VLOOKUP(J856,PROGRAMAS[],3,FALSE),0)</f>
        <v>31865326.38096505</v>
      </c>
      <c r="AM856" s="246">
        <f>IFERROR(VLOOKUP(K856,PROGRAMAS[],3,FALSE),0)</f>
        <v>948595847.09039903</v>
      </c>
      <c r="AN856" s="246">
        <f>IFERROR(VLOOKUP(L856,PROGRAMAS[],3,FALSE),0)</f>
        <v>0</v>
      </c>
      <c r="AO856" s="246">
        <f>IFERROR(VLOOKUP(M856,PROGRAMAS[],3,FALSE),0)</f>
        <v>0</v>
      </c>
      <c r="AP856" s="246">
        <f>IFERROR(VLOOKUP(N856,PROGRAMAS[],3,FALSE),0)</f>
        <v>0</v>
      </c>
      <c r="AQ856" s="246">
        <f>IFERROR(VLOOKUP(O856,PROGRAMAS[],3,FALSE),0)</f>
        <v>0</v>
      </c>
      <c r="AR856" s="246">
        <f>IFERROR(VLOOKUP(P856,PROGRAMAS[],3,FALSE),0)</f>
        <v>0</v>
      </c>
      <c r="AS856" s="246">
        <f>IFERROR(VLOOKUP(Q856,PROGRAMAS[],3,FALSE),0)</f>
        <v>0</v>
      </c>
      <c r="AT856" s="246">
        <f>IFERROR(VLOOKUP(D856,VOL_REC[],2,FALSE),0)</f>
        <v>0</v>
      </c>
      <c r="AU856" s="246">
        <f>IFERROR(VLOOKUP(E856,VOL_REC[],2,FALSE),0)</f>
        <v>0</v>
      </c>
      <c r="AV856" s="246">
        <f>IFERROR(VLOOKUP(F856,VOL_REC[],2,FALSE),0)</f>
        <v>11089674.200000001</v>
      </c>
      <c r="AW856" s="246">
        <f>IFERROR(VLOOKUP(G856,VOL_REC[],2,FALSE),0)</f>
        <v>4325103.1812214684</v>
      </c>
      <c r="AX856" s="246">
        <f>IFERROR(VLOOKUP(H856,VOL_REC[],2,FALSE),0)</f>
        <v>3761786</v>
      </c>
      <c r="AY856" s="246">
        <f>IFERROR(VLOOKUP(I856,VOL_REC[],2,FALSE),0)</f>
        <v>663244.80000000016</v>
      </c>
      <c r="AZ856" s="246">
        <f>IFERROR(VLOOKUP(J856,VOL_REC[],2,FALSE),0)</f>
        <v>17074.045034105649</v>
      </c>
      <c r="BA856" s="246">
        <f>IFERROR(VLOOKUP(K856,VOL_REC[],2,FALSE),0)</f>
        <v>740113.98115702497</v>
      </c>
      <c r="BB856" s="246">
        <f>IFERROR(VLOOKUP(L856,VOL_REC[],2,FALSE),0)</f>
        <v>0</v>
      </c>
      <c r="BC856" s="246">
        <f>IFERROR(VLOOKUP(M856,VOL_REC[],2,FALSE),0)</f>
        <v>0</v>
      </c>
      <c r="BD856" s="246">
        <f>IFERROR(VLOOKUP(N856,VOL_REC[],2,FALSE),0)</f>
        <v>0</v>
      </c>
      <c r="BE856" s="246">
        <f>IFERROR(VLOOKUP(O856,VOL_REC[],2,FALSE),0)</f>
        <v>0</v>
      </c>
      <c r="BF856" s="246">
        <f>IFERROR(VLOOKUP(P856,VOL_REC[],2,FALSE),0)</f>
        <v>0</v>
      </c>
      <c r="BG856" s="246">
        <f>IFERROR(VLOOKUP(Q856,VOL_REC[],2,FALSE),0)</f>
        <v>0</v>
      </c>
      <c r="BH856" s="1710">
        <f t="shared" si="52"/>
        <v>17092930995.556141</v>
      </c>
      <c r="BI856" s="1710">
        <f t="shared" si="53"/>
        <v>19703587999.47366</v>
      </c>
      <c r="BJ856" s="1711">
        <f t="shared" si="54"/>
        <v>20596996.207412601</v>
      </c>
      <c r="BK856" s="1711">
        <f t="shared" si="55"/>
        <v>0.86750347175411624</v>
      </c>
    </row>
    <row r="857" spans="3:67" x14ac:dyDescent="0.25">
      <c r="C857" s="246" t="s">
        <v>2207</v>
      </c>
      <c r="D857" s="246">
        <v>1</v>
      </c>
      <c r="E857" s="246">
        <v>2</v>
      </c>
      <c r="F857" s="246">
        <v>3</v>
      </c>
      <c r="G857" s="246">
        <v>5</v>
      </c>
      <c r="H857" s="246">
        <v>9</v>
      </c>
      <c r="I857" s="246">
        <v>13</v>
      </c>
      <c r="J857" s="246">
        <v>15</v>
      </c>
      <c r="K857" s="246">
        <v>16</v>
      </c>
      <c r="L857" s="246"/>
      <c r="M857" s="246"/>
      <c r="N857" s="246"/>
      <c r="O857" s="246"/>
      <c r="P857" s="246"/>
      <c r="Q857" s="246"/>
      <c r="R857" s="246">
        <f>IFERROR(VLOOKUP(D857,PROGRAMAS[],2,FALSE),0)</f>
        <v>97037803.679377079</v>
      </c>
      <c r="S857" s="246">
        <f>IFERROR(VLOOKUP(E857,PROGRAMAS[],2,FALSE),0)</f>
        <v>640501509.6821388</v>
      </c>
      <c r="T857" s="246">
        <f>IFERROR(VLOOKUP(F857,PROGRAMAS[],2,FALSE),0)</f>
        <v>3062327798.1525245</v>
      </c>
      <c r="U857" s="246">
        <f>IFERROR(VLOOKUP(G857,PROGRAMAS[],2,FALSE),0)</f>
        <v>1440941976.2528784</v>
      </c>
      <c r="V857" s="246">
        <f>IFERROR(VLOOKUP(H857,PROGRAMAS[],2,FALSE),0)</f>
        <v>6128579952.1618185</v>
      </c>
      <c r="W857" s="246">
        <f>IFERROR(VLOOKUP(I857,PROGRAMAS[],2,FALSE),0)</f>
        <v>3776538594.4604583</v>
      </c>
      <c r="X857" s="246">
        <f>IFERROR(VLOOKUP(J857,PROGRAMAS[],2,FALSE),0)</f>
        <v>122159672.96346797</v>
      </c>
      <c r="Y857" s="246">
        <f>IFERROR(VLOOKUP(K857,PROGRAMAS[],2,FALSE),0)</f>
        <v>7068496961.0436354</v>
      </c>
      <c r="Z857" s="246">
        <f>IFERROR(VLOOKUP(L857,PROGRAMAS[],2,FALSE),0)</f>
        <v>0</v>
      </c>
      <c r="AA857" s="246">
        <f>IFERROR(VLOOKUP(M857,PROGRAMAS[],2,FALSE),0)</f>
        <v>0</v>
      </c>
      <c r="AB857" s="246">
        <f>IFERROR(VLOOKUP(N857,PROGRAMAS[],2,FALSE),0)</f>
        <v>0</v>
      </c>
      <c r="AC857" s="246">
        <f>IFERROR(VLOOKUP(O857,PROGRAMAS[],2,FALSE),0)</f>
        <v>0</v>
      </c>
      <c r="AD857" s="246">
        <f>IFERROR(VLOOKUP(P857,PROGRAMAS[],2,FALSE),0)</f>
        <v>0</v>
      </c>
      <c r="AE857" s="246">
        <f>IFERROR(VLOOKUP(Q857,PROGRAMAS[],2,FALSE),0)</f>
        <v>0</v>
      </c>
      <c r="AF857" s="246">
        <f>IFERROR(VLOOKUP(D857,PROGRAMAS[],3,FALSE),0)</f>
        <v>841888629.31080008</v>
      </c>
      <c r="AG857" s="246">
        <f>IFERROR(VLOOKUP(E857,PROGRAMAS[],3,FALSE),0)</f>
        <v>3848980803.1642323</v>
      </c>
      <c r="AH857" s="246">
        <f>IFERROR(VLOOKUP(F857,PROGRAMAS[],3,FALSE),0)</f>
        <v>3394901471.387517</v>
      </c>
      <c r="AI857" s="246">
        <f>IFERROR(VLOOKUP(G857,PROGRAMAS[],3,FALSE),0)</f>
        <v>1233505101.0616004</v>
      </c>
      <c r="AJ857" s="246">
        <f>IFERROR(VLOOKUP(H857,PROGRAMAS[],3,FALSE),0)</f>
        <v>7011279577.519702</v>
      </c>
      <c r="AK857" s="246">
        <f>IFERROR(VLOOKUP(I857,PROGRAMAS[],3,FALSE),0)</f>
        <v>2392571243.5584412</v>
      </c>
      <c r="AL857" s="246">
        <f>IFERROR(VLOOKUP(J857,PROGRAMAS[],3,FALSE),0)</f>
        <v>118617452.52510804</v>
      </c>
      <c r="AM857" s="246">
        <f>IFERROR(VLOOKUP(K857,PROGRAMAS[],3,FALSE),0)</f>
        <v>2406564599.0319901</v>
      </c>
      <c r="AN857" s="246">
        <f>IFERROR(VLOOKUP(L857,PROGRAMAS[],3,FALSE),0)</f>
        <v>0</v>
      </c>
      <c r="AO857" s="246">
        <f>IFERROR(VLOOKUP(M857,PROGRAMAS[],3,FALSE),0)</f>
        <v>0</v>
      </c>
      <c r="AP857" s="246">
        <f>IFERROR(VLOOKUP(N857,PROGRAMAS[],3,FALSE),0)</f>
        <v>0</v>
      </c>
      <c r="AQ857" s="246">
        <f>IFERROR(VLOOKUP(O857,PROGRAMAS[],3,FALSE),0)</f>
        <v>0</v>
      </c>
      <c r="AR857" s="246">
        <f>IFERROR(VLOOKUP(P857,PROGRAMAS[],3,FALSE),0)</f>
        <v>0</v>
      </c>
      <c r="AS857" s="246">
        <f>IFERROR(VLOOKUP(Q857,PROGRAMAS[],3,FALSE),0)</f>
        <v>0</v>
      </c>
      <c r="AT857" s="246">
        <f>IFERROR(VLOOKUP(D857,VOL_REC[],2,FALSE),0)</f>
        <v>0</v>
      </c>
      <c r="AU857" s="246">
        <f>IFERROR(VLOOKUP(E857,VOL_REC[],2,FALSE),0)</f>
        <v>0</v>
      </c>
      <c r="AV857" s="246">
        <f>IFERROR(VLOOKUP(F857,VOL_REC[],2,FALSE),0)</f>
        <v>11089674.200000001</v>
      </c>
      <c r="AW857" s="246">
        <f>IFERROR(VLOOKUP(G857,VOL_REC[],2,FALSE),0)</f>
        <v>4325103.1812214684</v>
      </c>
      <c r="AX857" s="246">
        <f>IFERROR(VLOOKUP(H857,VOL_REC[],2,FALSE),0)</f>
        <v>3761786</v>
      </c>
      <c r="AY857" s="246">
        <f>IFERROR(VLOOKUP(I857,VOL_REC[],2,FALSE),0)</f>
        <v>663244.80000000016</v>
      </c>
      <c r="AZ857" s="246">
        <f>IFERROR(VLOOKUP(J857,VOL_REC[],2,FALSE),0)</f>
        <v>105072</v>
      </c>
      <c r="BA857" s="246">
        <f>IFERROR(VLOOKUP(K857,VOL_REC[],2,FALSE),0)</f>
        <v>1072354.9981737854</v>
      </c>
      <c r="BB857" s="246">
        <f>IFERROR(VLOOKUP(L857,VOL_REC[],2,FALSE),0)</f>
        <v>0</v>
      </c>
      <c r="BC857" s="246">
        <f>IFERROR(VLOOKUP(M857,VOL_REC[],2,FALSE),0)</f>
        <v>0</v>
      </c>
      <c r="BD857" s="246">
        <f>IFERROR(VLOOKUP(N857,VOL_REC[],2,FALSE),0)</f>
        <v>0</v>
      </c>
      <c r="BE857" s="246">
        <f>IFERROR(VLOOKUP(O857,VOL_REC[],2,FALSE),0)</f>
        <v>0</v>
      </c>
      <c r="BF857" s="246">
        <f>IFERROR(VLOOKUP(P857,VOL_REC[],2,FALSE),0)</f>
        <v>0</v>
      </c>
      <c r="BG857" s="246">
        <f>IFERROR(VLOOKUP(Q857,VOL_REC[],2,FALSE),0)</f>
        <v>0</v>
      </c>
      <c r="BH857" s="1710">
        <f t="shared" si="52"/>
        <v>22336584268.396301</v>
      </c>
      <c r="BI857" s="1710">
        <f t="shared" si="53"/>
        <v>21248308877.559391</v>
      </c>
      <c r="BJ857" s="1711">
        <f t="shared" si="54"/>
        <v>21017235.179395255</v>
      </c>
      <c r="BK857" s="1711">
        <f t="shared" si="55"/>
        <v>1.0512170355348256</v>
      </c>
      <c r="BL857">
        <f>BJ857</f>
        <v>21017235.179395255</v>
      </c>
      <c r="BO857">
        <f>BL857</f>
        <v>21017235.179395255</v>
      </c>
    </row>
    <row r="858" spans="3:67" x14ac:dyDescent="0.25">
      <c r="C858" s="246" t="s">
        <v>2208</v>
      </c>
      <c r="D858" s="246">
        <v>1</v>
      </c>
      <c r="E858" s="246">
        <v>2</v>
      </c>
      <c r="F858" s="246">
        <v>3</v>
      </c>
      <c r="G858" s="246">
        <v>5</v>
      </c>
      <c r="H858" s="246">
        <v>9</v>
      </c>
      <c r="I858" s="246">
        <v>13</v>
      </c>
      <c r="J858" s="246">
        <v>15</v>
      </c>
      <c r="K858" s="246">
        <v>17</v>
      </c>
      <c r="L858" s="246"/>
      <c r="M858" s="246"/>
      <c r="N858" s="246"/>
      <c r="O858" s="246"/>
      <c r="P858" s="246"/>
      <c r="Q858" s="246"/>
      <c r="R858" s="246">
        <f>IFERROR(VLOOKUP(D858,PROGRAMAS[],2,FALSE),0)</f>
        <v>97037803.679377079</v>
      </c>
      <c r="S858" s="246">
        <f>IFERROR(VLOOKUP(E858,PROGRAMAS[],2,FALSE),0)</f>
        <v>640501509.6821388</v>
      </c>
      <c r="T858" s="246">
        <f>IFERROR(VLOOKUP(F858,PROGRAMAS[],2,FALSE),0)</f>
        <v>3062327798.1525245</v>
      </c>
      <c r="U858" s="246">
        <f>IFERROR(VLOOKUP(G858,PROGRAMAS[],2,FALSE),0)</f>
        <v>1440941976.2528784</v>
      </c>
      <c r="V858" s="246">
        <f>IFERROR(VLOOKUP(H858,PROGRAMAS[],2,FALSE),0)</f>
        <v>6128579952.1618185</v>
      </c>
      <c r="W858" s="246">
        <f>IFERROR(VLOOKUP(I858,PROGRAMAS[],2,FALSE),0)</f>
        <v>3776538594.4604583</v>
      </c>
      <c r="X858" s="246">
        <f>IFERROR(VLOOKUP(J858,PROGRAMAS[],2,FALSE),0)</f>
        <v>122159672.96346797</v>
      </c>
      <c r="Y858" s="246">
        <f>IFERROR(VLOOKUP(K858,PROGRAMAS[],2,FALSE),0)</f>
        <v>1892779498.5211046</v>
      </c>
      <c r="Z858" s="246">
        <f>IFERROR(VLOOKUP(L858,PROGRAMAS[],2,FALSE),0)</f>
        <v>0</v>
      </c>
      <c r="AA858" s="246">
        <f>IFERROR(VLOOKUP(M858,PROGRAMAS[],2,FALSE),0)</f>
        <v>0</v>
      </c>
      <c r="AB858" s="246">
        <f>IFERROR(VLOOKUP(N858,PROGRAMAS[],2,FALSE),0)</f>
        <v>0</v>
      </c>
      <c r="AC858" s="246">
        <f>IFERROR(VLOOKUP(O858,PROGRAMAS[],2,FALSE),0)</f>
        <v>0</v>
      </c>
      <c r="AD858" s="246">
        <f>IFERROR(VLOOKUP(P858,PROGRAMAS[],2,FALSE),0)</f>
        <v>0</v>
      </c>
      <c r="AE858" s="246">
        <f>IFERROR(VLOOKUP(Q858,PROGRAMAS[],2,FALSE),0)</f>
        <v>0</v>
      </c>
      <c r="AF858" s="246">
        <f>IFERROR(VLOOKUP(D858,PROGRAMAS[],3,FALSE),0)</f>
        <v>841888629.31080008</v>
      </c>
      <c r="AG858" s="246">
        <f>IFERROR(VLOOKUP(E858,PROGRAMAS[],3,FALSE),0)</f>
        <v>3848980803.1642323</v>
      </c>
      <c r="AH858" s="246">
        <f>IFERROR(VLOOKUP(F858,PROGRAMAS[],3,FALSE),0)</f>
        <v>3394901471.387517</v>
      </c>
      <c r="AI858" s="246">
        <f>IFERROR(VLOOKUP(G858,PROGRAMAS[],3,FALSE),0)</f>
        <v>1233505101.0616004</v>
      </c>
      <c r="AJ858" s="246">
        <f>IFERROR(VLOOKUP(H858,PROGRAMAS[],3,FALSE),0)</f>
        <v>7011279577.519702</v>
      </c>
      <c r="AK858" s="246">
        <f>IFERROR(VLOOKUP(I858,PROGRAMAS[],3,FALSE),0)</f>
        <v>2392571243.5584412</v>
      </c>
      <c r="AL858" s="246">
        <f>IFERROR(VLOOKUP(J858,PROGRAMAS[],3,FALSE),0)</f>
        <v>118617452.52510804</v>
      </c>
      <c r="AM858" s="246">
        <f>IFERROR(VLOOKUP(K858,PROGRAMAS[],3,FALSE),0)</f>
        <v>948595847.09039903</v>
      </c>
      <c r="AN858" s="246">
        <f>IFERROR(VLOOKUP(L858,PROGRAMAS[],3,FALSE),0)</f>
        <v>0</v>
      </c>
      <c r="AO858" s="246">
        <f>IFERROR(VLOOKUP(M858,PROGRAMAS[],3,FALSE),0)</f>
        <v>0</v>
      </c>
      <c r="AP858" s="246">
        <f>IFERROR(VLOOKUP(N858,PROGRAMAS[],3,FALSE),0)</f>
        <v>0</v>
      </c>
      <c r="AQ858" s="246">
        <f>IFERROR(VLOOKUP(O858,PROGRAMAS[],3,FALSE),0)</f>
        <v>0</v>
      </c>
      <c r="AR858" s="246">
        <f>IFERROR(VLOOKUP(P858,PROGRAMAS[],3,FALSE),0)</f>
        <v>0</v>
      </c>
      <c r="AS858" s="246">
        <f>IFERROR(VLOOKUP(Q858,PROGRAMAS[],3,FALSE),0)</f>
        <v>0</v>
      </c>
      <c r="AT858" s="246">
        <f>IFERROR(VLOOKUP(D858,VOL_REC[],2,FALSE),0)</f>
        <v>0</v>
      </c>
      <c r="AU858" s="246">
        <f>IFERROR(VLOOKUP(E858,VOL_REC[],2,FALSE),0)</f>
        <v>0</v>
      </c>
      <c r="AV858" s="246">
        <f>IFERROR(VLOOKUP(F858,VOL_REC[],2,FALSE),0)</f>
        <v>11089674.200000001</v>
      </c>
      <c r="AW858" s="246">
        <f>IFERROR(VLOOKUP(G858,VOL_REC[],2,FALSE),0)</f>
        <v>4325103.1812214684</v>
      </c>
      <c r="AX858" s="246">
        <f>IFERROR(VLOOKUP(H858,VOL_REC[],2,FALSE),0)</f>
        <v>3761786</v>
      </c>
      <c r="AY858" s="246">
        <f>IFERROR(VLOOKUP(I858,VOL_REC[],2,FALSE),0)</f>
        <v>663244.80000000016</v>
      </c>
      <c r="AZ858" s="246">
        <f>IFERROR(VLOOKUP(J858,VOL_REC[],2,FALSE),0)</f>
        <v>105072</v>
      </c>
      <c r="BA858" s="246">
        <f>IFERROR(VLOOKUP(K858,VOL_REC[],2,FALSE),0)</f>
        <v>740113.98115702497</v>
      </c>
      <c r="BB858" s="246">
        <f>IFERROR(VLOOKUP(L858,VOL_REC[],2,FALSE),0)</f>
        <v>0</v>
      </c>
      <c r="BC858" s="246">
        <f>IFERROR(VLOOKUP(M858,VOL_REC[],2,FALSE),0)</f>
        <v>0</v>
      </c>
      <c r="BD858" s="246">
        <f>IFERROR(VLOOKUP(N858,VOL_REC[],2,FALSE),0)</f>
        <v>0</v>
      </c>
      <c r="BE858" s="246">
        <f>IFERROR(VLOOKUP(O858,VOL_REC[],2,FALSE),0)</f>
        <v>0</v>
      </c>
      <c r="BF858" s="246">
        <f>IFERROR(VLOOKUP(P858,VOL_REC[],2,FALSE),0)</f>
        <v>0</v>
      </c>
      <c r="BG858" s="246">
        <f>IFERROR(VLOOKUP(Q858,VOL_REC[],2,FALSE),0)</f>
        <v>0</v>
      </c>
      <c r="BH858" s="1710">
        <f t="shared" si="52"/>
        <v>17160866805.87377</v>
      </c>
      <c r="BI858" s="1710">
        <f t="shared" si="53"/>
        <v>19790340125.617802</v>
      </c>
      <c r="BJ858" s="1711">
        <f t="shared" si="54"/>
        <v>20684994.162378494</v>
      </c>
      <c r="BK858" s="1711">
        <f t="shared" si="55"/>
        <v>0.86713349527832095</v>
      </c>
    </row>
    <row r="859" spans="3:67" x14ac:dyDescent="0.25">
      <c r="C859" s="246" t="s">
        <v>2209</v>
      </c>
      <c r="D859" s="246">
        <v>1</v>
      </c>
      <c r="E859" s="246">
        <v>2</v>
      </c>
      <c r="F859" s="246">
        <v>3</v>
      </c>
      <c r="G859" s="246">
        <v>5</v>
      </c>
      <c r="H859" s="246">
        <v>9</v>
      </c>
      <c r="I859" s="246">
        <v>13</v>
      </c>
      <c r="J859" s="246">
        <v>16</v>
      </c>
      <c r="K859" s="246">
        <v>17</v>
      </c>
      <c r="L859" s="246"/>
      <c r="M859" s="246"/>
      <c r="N859" s="246"/>
      <c r="O859" s="246"/>
      <c r="P859" s="246"/>
      <c r="Q859" s="246"/>
      <c r="R859" s="246">
        <f>IFERROR(VLOOKUP(D859,PROGRAMAS[],2,FALSE),0)</f>
        <v>97037803.679377079</v>
      </c>
      <c r="S859" s="246">
        <f>IFERROR(VLOOKUP(E859,PROGRAMAS[],2,FALSE),0)</f>
        <v>640501509.6821388</v>
      </c>
      <c r="T859" s="246">
        <f>IFERROR(VLOOKUP(F859,PROGRAMAS[],2,FALSE),0)</f>
        <v>3062327798.1525245</v>
      </c>
      <c r="U859" s="246">
        <f>IFERROR(VLOOKUP(G859,PROGRAMAS[],2,FALSE),0)</f>
        <v>1440941976.2528784</v>
      </c>
      <c r="V859" s="246">
        <f>IFERROR(VLOOKUP(H859,PROGRAMAS[],2,FALSE),0)</f>
        <v>6128579952.1618185</v>
      </c>
      <c r="W859" s="246">
        <f>IFERROR(VLOOKUP(I859,PROGRAMAS[],2,FALSE),0)</f>
        <v>3776538594.4604583</v>
      </c>
      <c r="X859" s="246">
        <f>IFERROR(VLOOKUP(J859,PROGRAMAS[],2,FALSE),0)</f>
        <v>7068496961.0436354</v>
      </c>
      <c r="Y859" s="246">
        <f>IFERROR(VLOOKUP(K859,PROGRAMAS[],2,FALSE),0)</f>
        <v>1892779498.5211046</v>
      </c>
      <c r="Z859" s="246">
        <f>IFERROR(VLOOKUP(L859,PROGRAMAS[],2,FALSE),0)</f>
        <v>0</v>
      </c>
      <c r="AA859" s="246">
        <f>IFERROR(VLOOKUP(M859,PROGRAMAS[],2,FALSE),0)</f>
        <v>0</v>
      </c>
      <c r="AB859" s="246">
        <f>IFERROR(VLOOKUP(N859,PROGRAMAS[],2,FALSE),0)</f>
        <v>0</v>
      </c>
      <c r="AC859" s="246">
        <f>IFERROR(VLOOKUP(O859,PROGRAMAS[],2,FALSE),0)</f>
        <v>0</v>
      </c>
      <c r="AD859" s="246">
        <f>IFERROR(VLOOKUP(P859,PROGRAMAS[],2,FALSE),0)</f>
        <v>0</v>
      </c>
      <c r="AE859" s="246">
        <f>IFERROR(VLOOKUP(Q859,PROGRAMAS[],2,FALSE),0)</f>
        <v>0</v>
      </c>
      <c r="AF859" s="246">
        <f>IFERROR(VLOOKUP(D859,PROGRAMAS[],3,FALSE),0)</f>
        <v>841888629.31080008</v>
      </c>
      <c r="AG859" s="246">
        <f>IFERROR(VLOOKUP(E859,PROGRAMAS[],3,FALSE),0)</f>
        <v>3848980803.1642323</v>
      </c>
      <c r="AH859" s="246">
        <f>IFERROR(VLOOKUP(F859,PROGRAMAS[],3,FALSE),0)</f>
        <v>3394901471.387517</v>
      </c>
      <c r="AI859" s="246">
        <f>IFERROR(VLOOKUP(G859,PROGRAMAS[],3,FALSE),0)</f>
        <v>1233505101.0616004</v>
      </c>
      <c r="AJ859" s="246">
        <f>IFERROR(VLOOKUP(H859,PROGRAMAS[],3,FALSE),0)</f>
        <v>7011279577.519702</v>
      </c>
      <c r="AK859" s="246">
        <f>IFERROR(VLOOKUP(I859,PROGRAMAS[],3,FALSE),0)</f>
        <v>2392571243.5584412</v>
      </c>
      <c r="AL859" s="246">
        <f>IFERROR(VLOOKUP(J859,PROGRAMAS[],3,FALSE),0)</f>
        <v>2406564599.0319901</v>
      </c>
      <c r="AM859" s="246">
        <f>IFERROR(VLOOKUP(K859,PROGRAMAS[],3,FALSE),0)</f>
        <v>948595847.09039903</v>
      </c>
      <c r="AN859" s="246">
        <f>IFERROR(VLOOKUP(L859,PROGRAMAS[],3,FALSE),0)</f>
        <v>0</v>
      </c>
      <c r="AO859" s="246">
        <f>IFERROR(VLOOKUP(M859,PROGRAMAS[],3,FALSE),0)</f>
        <v>0</v>
      </c>
      <c r="AP859" s="246">
        <f>IFERROR(VLOOKUP(N859,PROGRAMAS[],3,FALSE),0)</f>
        <v>0</v>
      </c>
      <c r="AQ859" s="246">
        <f>IFERROR(VLOOKUP(O859,PROGRAMAS[],3,FALSE),0)</f>
        <v>0</v>
      </c>
      <c r="AR859" s="246">
        <f>IFERROR(VLOOKUP(P859,PROGRAMAS[],3,FALSE),0)</f>
        <v>0</v>
      </c>
      <c r="AS859" s="246">
        <f>IFERROR(VLOOKUP(Q859,PROGRAMAS[],3,FALSE),0)</f>
        <v>0</v>
      </c>
      <c r="AT859" s="246">
        <f>IFERROR(VLOOKUP(D859,VOL_REC[],2,FALSE),0)</f>
        <v>0</v>
      </c>
      <c r="AU859" s="246">
        <f>IFERROR(VLOOKUP(E859,VOL_REC[],2,FALSE),0)</f>
        <v>0</v>
      </c>
      <c r="AV859" s="246">
        <f>IFERROR(VLOOKUP(F859,VOL_REC[],2,FALSE),0)</f>
        <v>11089674.200000001</v>
      </c>
      <c r="AW859" s="246">
        <f>IFERROR(VLOOKUP(G859,VOL_REC[],2,FALSE),0)</f>
        <v>4325103.1812214684</v>
      </c>
      <c r="AX859" s="246">
        <f>IFERROR(VLOOKUP(H859,VOL_REC[],2,FALSE),0)</f>
        <v>3761786</v>
      </c>
      <c r="AY859" s="246">
        <f>IFERROR(VLOOKUP(I859,VOL_REC[],2,FALSE),0)</f>
        <v>663244.80000000016</v>
      </c>
      <c r="AZ859" s="246">
        <f>IFERROR(VLOOKUP(J859,VOL_REC[],2,FALSE),0)</f>
        <v>1072354.9981737854</v>
      </c>
      <c r="BA859" s="246">
        <f>IFERROR(VLOOKUP(K859,VOL_REC[],2,FALSE),0)</f>
        <v>740113.98115702497</v>
      </c>
      <c r="BB859" s="246">
        <f>IFERROR(VLOOKUP(L859,VOL_REC[],2,FALSE),0)</f>
        <v>0</v>
      </c>
      <c r="BC859" s="246">
        <f>IFERROR(VLOOKUP(M859,VOL_REC[],2,FALSE),0)</f>
        <v>0</v>
      </c>
      <c r="BD859" s="246">
        <f>IFERROR(VLOOKUP(N859,VOL_REC[],2,FALSE),0)</f>
        <v>0</v>
      </c>
      <c r="BE859" s="246">
        <f>IFERROR(VLOOKUP(O859,VOL_REC[],2,FALSE),0)</f>
        <v>0</v>
      </c>
      <c r="BF859" s="246">
        <f>IFERROR(VLOOKUP(P859,VOL_REC[],2,FALSE),0)</f>
        <v>0</v>
      </c>
      <c r="BG859" s="246">
        <f>IFERROR(VLOOKUP(Q859,VOL_REC[],2,FALSE),0)</f>
        <v>0</v>
      </c>
      <c r="BH859" s="1710">
        <f t="shared" si="52"/>
        <v>24107204093.953934</v>
      </c>
      <c r="BI859" s="1710">
        <f t="shared" si="53"/>
        <v>22078287272.124683</v>
      </c>
      <c r="BJ859" s="1711">
        <f t="shared" si="54"/>
        <v>21652277.160552278</v>
      </c>
      <c r="BK859" s="1711">
        <f t="shared" si="55"/>
        <v>1.0918964771506934</v>
      </c>
      <c r="BL859">
        <f>BJ859</f>
        <v>21652277.160552278</v>
      </c>
      <c r="BO859">
        <f>BL859</f>
        <v>21652277.160552278</v>
      </c>
    </row>
    <row r="860" spans="3:67" x14ac:dyDescent="0.25">
      <c r="C860" s="246" t="s">
        <v>2210</v>
      </c>
      <c r="D860" s="246">
        <v>1</v>
      </c>
      <c r="E860" s="246">
        <v>2</v>
      </c>
      <c r="F860" s="246">
        <v>3</v>
      </c>
      <c r="G860" s="246">
        <v>5</v>
      </c>
      <c r="H860" s="246">
        <v>9</v>
      </c>
      <c r="I860" s="246">
        <v>14</v>
      </c>
      <c r="J860" s="246">
        <v>15</v>
      </c>
      <c r="K860" s="246">
        <v>16</v>
      </c>
      <c r="L860" s="246"/>
      <c r="M860" s="246"/>
      <c r="N860" s="246"/>
      <c r="O860" s="246"/>
      <c r="P860" s="246"/>
      <c r="Q860" s="246"/>
      <c r="R860" s="246">
        <f>IFERROR(VLOOKUP(D860,PROGRAMAS[],2,FALSE),0)</f>
        <v>97037803.679377079</v>
      </c>
      <c r="S860" s="246">
        <f>IFERROR(VLOOKUP(E860,PROGRAMAS[],2,FALSE),0)</f>
        <v>640501509.6821388</v>
      </c>
      <c r="T860" s="246">
        <f>IFERROR(VLOOKUP(F860,PROGRAMAS[],2,FALSE),0)</f>
        <v>3062327798.1525245</v>
      </c>
      <c r="U860" s="246">
        <f>IFERROR(VLOOKUP(G860,PROGRAMAS[],2,FALSE),0)</f>
        <v>1440941976.2528784</v>
      </c>
      <c r="V860" s="246">
        <f>IFERROR(VLOOKUP(H860,PROGRAMAS[],2,FALSE),0)</f>
        <v>6128579952.1618185</v>
      </c>
      <c r="W860" s="246">
        <f>IFERROR(VLOOKUP(I860,PROGRAMAS[],2,FALSE),0)</f>
        <v>54223862.645839565</v>
      </c>
      <c r="X860" s="246">
        <f>IFERROR(VLOOKUP(J860,PROGRAMAS[],2,FALSE),0)</f>
        <v>122159672.96346797</v>
      </c>
      <c r="Y860" s="246">
        <f>IFERROR(VLOOKUP(K860,PROGRAMAS[],2,FALSE),0)</f>
        <v>7068496961.0436354</v>
      </c>
      <c r="Z860" s="246">
        <f>IFERROR(VLOOKUP(L860,PROGRAMAS[],2,FALSE),0)</f>
        <v>0</v>
      </c>
      <c r="AA860" s="246">
        <f>IFERROR(VLOOKUP(M860,PROGRAMAS[],2,FALSE),0)</f>
        <v>0</v>
      </c>
      <c r="AB860" s="246">
        <f>IFERROR(VLOOKUP(N860,PROGRAMAS[],2,FALSE),0)</f>
        <v>0</v>
      </c>
      <c r="AC860" s="246">
        <f>IFERROR(VLOOKUP(O860,PROGRAMAS[],2,FALSE),0)</f>
        <v>0</v>
      </c>
      <c r="AD860" s="246">
        <f>IFERROR(VLOOKUP(P860,PROGRAMAS[],2,FALSE),0)</f>
        <v>0</v>
      </c>
      <c r="AE860" s="246">
        <f>IFERROR(VLOOKUP(Q860,PROGRAMAS[],2,FALSE),0)</f>
        <v>0</v>
      </c>
      <c r="AF860" s="246">
        <f>IFERROR(VLOOKUP(D860,PROGRAMAS[],3,FALSE),0)</f>
        <v>841888629.31080008</v>
      </c>
      <c r="AG860" s="246">
        <f>IFERROR(VLOOKUP(E860,PROGRAMAS[],3,FALSE),0)</f>
        <v>3848980803.1642323</v>
      </c>
      <c r="AH860" s="246">
        <f>IFERROR(VLOOKUP(F860,PROGRAMAS[],3,FALSE),0)</f>
        <v>3394901471.387517</v>
      </c>
      <c r="AI860" s="246">
        <f>IFERROR(VLOOKUP(G860,PROGRAMAS[],3,FALSE),0)</f>
        <v>1233505101.0616004</v>
      </c>
      <c r="AJ860" s="246">
        <f>IFERROR(VLOOKUP(H860,PROGRAMAS[],3,FALSE),0)</f>
        <v>7011279577.519702</v>
      </c>
      <c r="AK860" s="246">
        <f>IFERROR(VLOOKUP(I860,PROGRAMAS[],3,FALSE),0)</f>
        <v>31865326.38096505</v>
      </c>
      <c r="AL860" s="246">
        <f>IFERROR(VLOOKUP(J860,PROGRAMAS[],3,FALSE),0)</f>
        <v>118617452.52510804</v>
      </c>
      <c r="AM860" s="246">
        <f>IFERROR(VLOOKUP(K860,PROGRAMAS[],3,FALSE),0)</f>
        <v>2406564599.0319901</v>
      </c>
      <c r="AN860" s="246">
        <f>IFERROR(VLOOKUP(L860,PROGRAMAS[],3,FALSE),0)</f>
        <v>0</v>
      </c>
      <c r="AO860" s="246">
        <f>IFERROR(VLOOKUP(M860,PROGRAMAS[],3,FALSE),0)</f>
        <v>0</v>
      </c>
      <c r="AP860" s="246">
        <f>IFERROR(VLOOKUP(N860,PROGRAMAS[],3,FALSE),0)</f>
        <v>0</v>
      </c>
      <c r="AQ860" s="246">
        <f>IFERROR(VLOOKUP(O860,PROGRAMAS[],3,FALSE),0)</f>
        <v>0</v>
      </c>
      <c r="AR860" s="246">
        <f>IFERROR(VLOOKUP(P860,PROGRAMAS[],3,FALSE),0)</f>
        <v>0</v>
      </c>
      <c r="AS860" s="246">
        <f>IFERROR(VLOOKUP(Q860,PROGRAMAS[],3,FALSE),0)</f>
        <v>0</v>
      </c>
      <c r="AT860" s="246">
        <f>IFERROR(VLOOKUP(D860,VOL_REC[],2,FALSE),0)</f>
        <v>0</v>
      </c>
      <c r="AU860" s="246">
        <f>IFERROR(VLOOKUP(E860,VOL_REC[],2,FALSE),0)</f>
        <v>0</v>
      </c>
      <c r="AV860" s="246">
        <f>IFERROR(VLOOKUP(F860,VOL_REC[],2,FALSE),0)</f>
        <v>11089674.200000001</v>
      </c>
      <c r="AW860" s="246">
        <f>IFERROR(VLOOKUP(G860,VOL_REC[],2,FALSE),0)</f>
        <v>4325103.1812214684</v>
      </c>
      <c r="AX860" s="246">
        <f>IFERROR(VLOOKUP(H860,VOL_REC[],2,FALSE),0)</f>
        <v>3761786</v>
      </c>
      <c r="AY860" s="246">
        <f>IFERROR(VLOOKUP(I860,VOL_REC[],2,FALSE),0)</f>
        <v>17074.045034105649</v>
      </c>
      <c r="AZ860" s="246">
        <f>IFERROR(VLOOKUP(J860,VOL_REC[],2,FALSE),0)</f>
        <v>105072</v>
      </c>
      <c r="BA860" s="246">
        <f>IFERROR(VLOOKUP(K860,VOL_REC[],2,FALSE),0)</f>
        <v>1072354.9981737854</v>
      </c>
      <c r="BB860" s="246">
        <f>IFERROR(VLOOKUP(L860,VOL_REC[],2,FALSE),0)</f>
        <v>0</v>
      </c>
      <c r="BC860" s="246">
        <f>IFERROR(VLOOKUP(M860,VOL_REC[],2,FALSE),0)</f>
        <v>0</v>
      </c>
      <c r="BD860" s="246">
        <f>IFERROR(VLOOKUP(N860,VOL_REC[],2,FALSE),0)</f>
        <v>0</v>
      </c>
      <c r="BE860" s="246">
        <f>IFERROR(VLOOKUP(O860,VOL_REC[],2,FALSE),0)</f>
        <v>0</v>
      </c>
      <c r="BF860" s="246">
        <f>IFERROR(VLOOKUP(P860,VOL_REC[],2,FALSE),0)</f>
        <v>0</v>
      </c>
      <c r="BG860" s="246">
        <f>IFERROR(VLOOKUP(Q860,VOL_REC[],2,FALSE),0)</f>
        <v>0</v>
      </c>
      <c r="BH860" s="1710">
        <f t="shared" si="52"/>
        <v>18614269536.58168</v>
      </c>
      <c r="BI860" s="1710">
        <f t="shared" si="53"/>
        <v>18887602960.381912</v>
      </c>
      <c r="BJ860" s="1711">
        <f t="shared" si="54"/>
        <v>20371064.424429361</v>
      </c>
      <c r="BK860" s="1711">
        <f t="shared" si="55"/>
        <v>0.98552842177095912</v>
      </c>
    </row>
    <row r="861" spans="3:67" x14ac:dyDescent="0.25">
      <c r="C861" s="246" t="s">
        <v>2211</v>
      </c>
      <c r="D861" s="246">
        <v>1</v>
      </c>
      <c r="E861" s="246">
        <v>2</v>
      </c>
      <c r="F861" s="246">
        <v>3</v>
      </c>
      <c r="G861" s="246">
        <v>5</v>
      </c>
      <c r="H861" s="246">
        <v>9</v>
      </c>
      <c r="I861" s="246">
        <v>14</v>
      </c>
      <c r="J861" s="246">
        <v>15</v>
      </c>
      <c r="K861" s="246">
        <v>17</v>
      </c>
      <c r="L861" s="246"/>
      <c r="M861" s="246"/>
      <c r="N861" s="246"/>
      <c r="O861" s="246"/>
      <c r="P861" s="246"/>
      <c r="Q861" s="246"/>
      <c r="R861" s="246">
        <f>IFERROR(VLOOKUP(D861,PROGRAMAS[],2,FALSE),0)</f>
        <v>97037803.679377079</v>
      </c>
      <c r="S861" s="246">
        <f>IFERROR(VLOOKUP(E861,PROGRAMAS[],2,FALSE),0)</f>
        <v>640501509.6821388</v>
      </c>
      <c r="T861" s="246">
        <f>IFERROR(VLOOKUP(F861,PROGRAMAS[],2,FALSE),0)</f>
        <v>3062327798.1525245</v>
      </c>
      <c r="U861" s="246">
        <f>IFERROR(VLOOKUP(G861,PROGRAMAS[],2,FALSE),0)</f>
        <v>1440941976.2528784</v>
      </c>
      <c r="V861" s="246">
        <f>IFERROR(VLOOKUP(H861,PROGRAMAS[],2,FALSE),0)</f>
        <v>6128579952.1618185</v>
      </c>
      <c r="W861" s="246">
        <f>IFERROR(VLOOKUP(I861,PROGRAMAS[],2,FALSE),0)</f>
        <v>54223862.645839565</v>
      </c>
      <c r="X861" s="246">
        <f>IFERROR(VLOOKUP(J861,PROGRAMAS[],2,FALSE),0)</f>
        <v>122159672.96346797</v>
      </c>
      <c r="Y861" s="246">
        <f>IFERROR(VLOOKUP(K861,PROGRAMAS[],2,FALSE),0)</f>
        <v>1892779498.5211046</v>
      </c>
      <c r="Z861" s="246">
        <f>IFERROR(VLOOKUP(L861,PROGRAMAS[],2,FALSE),0)</f>
        <v>0</v>
      </c>
      <c r="AA861" s="246">
        <f>IFERROR(VLOOKUP(M861,PROGRAMAS[],2,FALSE),0)</f>
        <v>0</v>
      </c>
      <c r="AB861" s="246">
        <f>IFERROR(VLOOKUP(N861,PROGRAMAS[],2,FALSE),0)</f>
        <v>0</v>
      </c>
      <c r="AC861" s="246">
        <f>IFERROR(VLOOKUP(O861,PROGRAMAS[],2,FALSE),0)</f>
        <v>0</v>
      </c>
      <c r="AD861" s="246">
        <f>IFERROR(VLOOKUP(P861,PROGRAMAS[],2,FALSE),0)</f>
        <v>0</v>
      </c>
      <c r="AE861" s="246">
        <f>IFERROR(VLOOKUP(Q861,PROGRAMAS[],2,FALSE),0)</f>
        <v>0</v>
      </c>
      <c r="AF861" s="246">
        <f>IFERROR(VLOOKUP(D861,PROGRAMAS[],3,FALSE),0)</f>
        <v>841888629.31080008</v>
      </c>
      <c r="AG861" s="246">
        <f>IFERROR(VLOOKUP(E861,PROGRAMAS[],3,FALSE),0)</f>
        <v>3848980803.1642323</v>
      </c>
      <c r="AH861" s="246">
        <f>IFERROR(VLOOKUP(F861,PROGRAMAS[],3,FALSE),0)</f>
        <v>3394901471.387517</v>
      </c>
      <c r="AI861" s="246">
        <f>IFERROR(VLOOKUP(G861,PROGRAMAS[],3,FALSE),0)</f>
        <v>1233505101.0616004</v>
      </c>
      <c r="AJ861" s="246">
        <f>IFERROR(VLOOKUP(H861,PROGRAMAS[],3,FALSE),0)</f>
        <v>7011279577.519702</v>
      </c>
      <c r="AK861" s="246">
        <f>IFERROR(VLOOKUP(I861,PROGRAMAS[],3,FALSE),0)</f>
        <v>31865326.38096505</v>
      </c>
      <c r="AL861" s="246">
        <f>IFERROR(VLOOKUP(J861,PROGRAMAS[],3,FALSE),0)</f>
        <v>118617452.52510804</v>
      </c>
      <c r="AM861" s="246">
        <f>IFERROR(VLOOKUP(K861,PROGRAMAS[],3,FALSE),0)</f>
        <v>948595847.09039903</v>
      </c>
      <c r="AN861" s="246">
        <f>IFERROR(VLOOKUP(L861,PROGRAMAS[],3,FALSE),0)</f>
        <v>0</v>
      </c>
      <c r="AO861" s="246">
        <f>IFERROR(VLOOKUP(M861,PROGRAMAS[],3,FALSE),0)</f>
        <v>0</v>
      </c>
      <c r="AP861" s="246">
        <f>IFERROR(VLOOKUP(N861,PROGRAMAS[],3,FALSE),0)</f>
        <v>0</v>
      </c>
      <c r="AQ861" s="246">
        <f>IFERROR(VLOOKUP(O861,PROGRAMAS[],3,FALSE),0)</f>
        <v>0</v>
      </c>
      <c r="AR861" s="246">
        <f>IFERROR(VLOOKUP(P861,PROGRAMAS[],3,FALSE),0)</f>
        <v>0</v>
      </c>
      <c r="AS861" s="246">
        <f>IFERROR(VLOOKUP(Q861,PROGRAMAS[],3,FALSE),0)</f>
        <v>0</v>
      </c>
      <c r="AT861" s="246">
        <f>IFERROR(VLOOKUP(D861,VOL_REC[],2,FALSE),0)</f>
        <v>0</v>
      </c>
      <c r="AU861" s="246">
        <f>IFERROR(VLOOKUP(E861,VOL_REC[],2,FALSE),0)</f>
        <v>0</v>
      </c>
      <c r="AV861" s="246">
        <f>IFERROR(VLOOKUP(F861,VOL_REC[],2,FALSE),0)</f>
        <v>11089674.200000001</v>
      </c>
      <c r="AW861" s="246">
        <f>IFERROR(VLOOKUP(G861,VOL_REC[],2,FALSE),0)</f>
        <v>4325103.1812214684</v>
      </c>
      <c r="AX861" s="246">
        <f>IFERROR(VLOOKUP(H861,VOL_REC[],2,FALSE),0)</f>
        <v>3761786</v>
      </c>
      <c r="AY861" s="246">
        <f>IFERROR(VLOOKUP(I861,VOL_REC[],2,FALSE),0)</f>
        <v>17074.045034105649</v>
      </c>
      <c r="AZ861" s="246">
        <f>IFERROR(VLOOKUP(J861,VOL_REC[],2,FALSE),0)</f>
        <v>105072</v>
      </c>
      <c r="BA861" s="246">
        <f>IFERROR(VLOOKUP(K861,VOL_REC[],2,FALSE),0)</f>
        <v>740113.98115702497</v>
      </c>
      <c r="BB861" s="246">
        <f>IFERROR(VLOOKUP(L861,VOL_REC[],2,FALSE),0)</f>
        <v>0</v>
      </c>
      <c r="BC861" s="246">
        <f>IFERROR(VLOOKUP(M861,VOL_REC[],2,FALSE),0)</f>
        <v>0</v>
      </c>
      <c r="BD861" s="246">
        <f>IFERROR(VLOOKUP(N861,VOL_REC[],2,FALSE),0)</f>
        <v>0</v>
      </c>
      <c r="BE861" s="246">
        <f>IFERROR(VLOOKUP(O861,VOL_REC[],2,FALSE),0)</f>
        <v>0</v>
      </c>
      <c r="BF861" s="246">
        <f>IFERROR(VLOOKUP(P861,VOL_REC[],2,FALSE),0)</f>
        <v>0</v>
      </c>
      <c r="BG861" s="246">
        <f>IFERROR(VLOOKUP(Q861,VOL_REC[],2,FALSE),0)</f>
        <v>0</v>
      </c>
      <c r="BH861" s="1710">
        <f t="shared" si="52"/>
        <v>13438552074.059151</v>
      </c>
      <c r="BI861" s="1710">
        <f t="shared" si="53"/>
        <v>17429634208.440323</v>
      </c>
      <c r="BJ861" s="1711">
        <f t="shared" si="54"/>
        <v>20038823.4074126</v>
      </c>
      <c r="BK861" s="1711">
        <f t="shared" si="55"/>
        <v>0.77101744725953658</v>
      </c>
    </row>
    <row r="862" spans="3:67" x14ac:dyDescent="0.25">
      <c r="C862" s="246" t="s">
        <v>2212</v>
      </c>
      <c r="D862" s="246">
        <v>1</v>
      </c>
      <c r="E862" s="246">
        <v>2</v>
      </c>
      <c r="F862" s="246">
        <v>3</v>
      </c>
      <c r="G862" s="246">
        <v>5</v>
      </c>
      <c r="H862" s="246">
        <v>9</v>
      </c>
      <c r="I862" s="246">
        <v>14</v>
      </c>
      <c r="J862" s="246">
        <v>16</v>
      </c>
      <c r="K862" s="246">
        <v>17</v>
      </c>
      <c r="L862" s="246"/>
      <c r="M862" s="246"/>
      <c r="N862" s="246"/>
      <c r="O862" s="246"/>
      <c r="P862" s="246"/>
      <c r="Q862" s="246"/>
      <c r="R862" s="246">
        <f>IFERROR(VLOOKUP(D862,PROGRAMAS[],2,FALSE),0)</f>
        <v>97037803.679377079</v>
      </c>
      <c r="S862" s="246">
        <f>IFERROR(VLOOKUP(E862,PROGRAMAS[],2,FALSE),0)</f>
        <v>640501509.6821388</v>
      </c>
      <c r="T862" s="246">
        <f>IFERROR(VLOOKUP(F862,PROGRAMAS[],2,FALSE),0)</f>
        <v>3062327798.1525245</v>
      </c>
      <c r="U862" s="246">
        <f>IFERROR(VLOOKUP(G862,PROGRAMAS[],2,FALSE),0)</f>
        <v>1440941976.2528784</v>
      </c>
      <c r="V862" s="246">
        <f>IFERROR(VLOOKUP(H862,PROGRAMAS[],2,FALSE),0)</f>
        <v>6128579952.1618185</v>
      </c>
      <c r="W862" s="246">
        <f>IFERROR(VLOOKUP(I862,PROGRAMAS[],2,FALSE),0)</f>
        <v>54223862.645839565</v>
      </c>
      <c r="X862" s="246">
        <f>IFERROR(VLOOKUP(J862,PROGRAMAS[],2,FALSE),0)</f>
        <v>7068496961.0436354</v>
      </c>
      <c r="Y862" s="246">
        <f>IFERROR(VLOOKUP(K862,PROGRAMAS[],2,FALSE),0)</f>
        <v>1892779498.5211046</v>
      </c>
      <c r="Z862" s="246">
        <f>IFERROR(VLOOKUP(L862,PROGRAMAS[],2,FALSE),0)</f>
        <v>0</v>
      </c>
      <c r="AA862" s="246">
        <f>IFERROR(VLOOKUP(M862,PROGRAMAS[],2,FALSE),0)</f>
        <v>0</v>
      </c>
      <c r="AB862" s="246">
        <f>IFERROR(VLOOKUP(N862,PROGRAMAS[],2,FALSE),0)</f>
        <v>0</v>
      </c>
      <c r="AC862" s="246">
        <f>IFERROR(VLOOKUP(O862,PROGRAMAS[],2,FALSE),0)</f>
        <v>0</v>
      </c>
      <c r="AD862" s="246">
        <f>IFERROR(VLOOKUP(P862,PROGRAMAS[],2,FALSE),0)</f>
        <v>0</v>
      </c>
      <c r="AE862" s="246">
        <f>IFERROR(VLOOKUP(Q862,PROGRAMAS[],2,FALSE),0)</f>
        <v>0</v>
      </c>
      <c r="AF862" s="246">
        <f>IFERROR(VLOOKUP(D862,PROGRAMAS[],3,FALSE),0)</f>
        <v>841888629.31080008</v>
      </c>
      <c r="AG862" s="246">
        <f>IFERROR(VLOOKUP(E862,PROGRAMAS[],3,FALSE),0)</f>
        <v>3848980803.1642323</v>
      </c>
      <c r="AH862" s="246">
        <f>IFERROR(VLOOKUP(F862,PROGRAMAS[],3,FALSE),0)</f>
        <v>3394901471.387517</v>
      </c>
      <c r="AI862" s="246">
        <f>IFERROR(VLOOKUP(G862,PROGRAMAS[],3,FALSE),0)</f>
        <v>1233505101.0616004</v>
      </c>
      <c r="AJ862" s="246">
        <f>IFERROR(VLOOKUP(H862,PROGRAMAS[],3,FALSE),0)</f>
        <v>7011279577.519702</v>
      </c>
      <c r="AK862" s="246">
        <f>IFERROR(VLOOKUP(I862,PROGRAMAS[],3,FALSE),0)</f>
        <v>31865326.38096505</v>
      </c>
      <c r="AL862" s="246">
        <f>IFERROR(VLOOKUP(J862,PROGRAMAS[],3,FALSE),0)</f>
        <v>2406564599.0319901</v>
      </c>
      <c r="AM862" s="246">
        <f>IFERROR(VLOOKUP(K862,PROGRAMAS[],3,FALSE),0)</f>
        <v>948595847.09039903</v>
      </c>
      <c r="AN862" s="246">
        <f>IFERROR(VLOOKUP(L862,PROGRAMAS[],3,FALSE),0)</f>
        <v>0</v>
      </c>
      <c r="AO862" s="246">
        <f>IFERROR(VLOOKUP(M862,PROGRAMAS[],3,FALSE),0)</f>
        <v>0</v>
      </c>
      <c r="AP862" s="246">
        <f>IFERROR(VLOOKUP(N862,PROGRAMAS[],3,FALSE),0)</f>
        <v>0</v>
      </c>
      <c r="AQ862" s="246">
        <f>IFERROR(VLOOKUP(O862,PROGRAMAS[],3,FALSE),0)</f>
        <v>0</v>
      </c>
      <c r="AR862" s="246">
        <f>IFERROR(VLOOKUP(P862,PROGRAMAS[],3,FALSE),0)</f>
        <v>0</v>
      </c>
      <c r="AS862" s="246">
        <f>IFERROR(VLOOKUP(Q862,PROGRAMAS[],3,FALSE),0)</f>
        <v>0</v>
      </c>
      <c r="AT862" s="246">
        <f>IFERROR(VLOOKUP(D862,VOL_REC[],2,FALSE),0)</f>
        <v>0</v>
      </c>
      <c r="AU862" s="246">
        <f>IFERROR(VLOOKUP(E862,VOL_REC[],2,FALSE),0)</f>
        <v>0</v>
      </c>
      <c r="AV862" s="246">
        <f>IFERROR(VLOOKUP(F862,VOL_REC[],2,FALSE),0)</f>
        <v>11089674.200000001</v>
      </c>
      <c r="AW862" s="246">
        <f>IFERROR(VLOOKUP(G862,VOL_REC[],2,FALSE),0)</f>
        <v>4325103.1812214684</v>
      </c>
      <c r="AX862" s="246">
        <f>IFERROR(VLOOKUP(H862,VOL_REC[],2,FALSE),0)</f>
        <v>3761786</v>
      </c>
      <c r="AY862" s="246">
        <f>IFERROR(VLOOKUP(I862,VOL_REC[],2,FALSE),0)</f>
        <v>17074.045034105649</v>
      </c>
      <c r="AZ862" s="246">
        <f>IFERROR(VLOOKUP(J862,VOL_REC[],2,FALSE),0)</f>
        <v>1072354.9981737854</v>
      </c>
      <c r="BA862" s="246">
        <f>IFERROR(VLOOKUP(K862,VOL_REC[],2,FALSE),0)</f>
        <v>740113.98115702497</v>
      </c>
      <c r="BB862" s="246">
        <f>IFERROR(VLOOKUP(L862,VOL_REC[],2,FALSE),0)</f>
        <v>0</v>
      </c>
      <c r="BC862" s="246">
        <f>IFERROR(VLOOKUP(M862,VOL_REC[],2,FALSE),0)</f>
        <v>0</v>
      </c>
      <c r="BD862" s="246">
        <f>IFERROR(VLOOKUP(N862,VOL_REC[],2,FALSE),0)</f>
        <v>0</v>
      </c>
      <c r="BE862" s="246">
        <f>IFERROR(VLOOKUP(O862,VOL_REC[],2,FALSE),0)</f>
        <v>0</v>
      </c>
      <c r="BF862" s="246">
        <f>IFERROR(VLOOKUP(P862,VOL_REC[],2,FALSE),0)</f>
        <v>0</v>
      </c>
      <c r="BG862" s="246">
        <f>IFERROR(VLOOKUP(Q862,VOL_REC[],2,FALSE),0)</f>
        <v>0</v>
      </c>
      <c r="BH862" s="1710">
        <f t="shared" si="52"/>
        <v>20384889362.139317</v>
      </c>
      <c r="BI862" s="1710">
        <f t="shared" si="53"/>
        <v>19717581354.947205</v>
      </c>
      <c r="BJ862" s="1711">
        <f t="shared" si="54"/>
        <v>21006106.405586384</v>
      </c>
      <c r="BK862" s="1711">
        <f t="shared" si="55"/>
        <v>1.0338432992961726</v>
      </c>
      <c r="BL862">
        <f>BJ862</f>
        <v>21006106.405586384</v>
      </c>
      <c r="BO862">
        <f>BL862</f>
        <v>21006106.405586384</v>
      </c>
    </row>
    <row r="863" spans="3:67" x14ac:dyDescent="0.25">
      <c r="C863" s="246" t="s">
        <v>2213</v>
      </c>
      <c r="D863" s="246">
        <v>1</v>
      </c>
      <c r="E863" s="246">
        <v>2</v>
      </c>
      <c r="F863" s="246">
        <v>3</v>
      </c>
      <c r="G863" s="246">
        <v>5</v>
      </c>
      <c r="H863" s="246">
        <v>9</v>
      </c>
      <c r="I863" s="246">
        <v>15</v>
      </c>
      <c r="J863" s="246">
        <v>16</v>
      </c>
      <c r="K863" s="246">
        <v>17</v>
      </c>
      <c r="L863" s="246"/>
      <c r="M863" s="246"/>
      <c r="N863" s="246"/>
      <c r="O863" s="246"/>
      <c r="P863" s="246"/>
      <c r="Q863" s="246"/>
      <c r="R863" s="246">
        <f>IFERROR(VLOOKUP(D863,PROGRAMAS[],2,FALSE),0)</f>
        <v>97037803.679377079</v>
      </c>
      <c r="S863" s="246">
        <f>IFERROR(VLOOKUP(E863,PROGRAMAS[],2,FALSE),0)</f>
        <v>640501509.6821388</v>
      </c>
      <c r="T863" s="246">
        <f>IFERROR(VLOOKUP(F863,PROGRAMAS[],2,FALSE),0)</f>
        <v>3062327798.1525245</v>
      </c>
      <c r="U863" s="246">
        <f>IFERROR(VLOOKUP(G863,PROGRAMAS[],2,FALSE),0)</f>
        <v>1440941976.2528784</v>
      </c>
      <c r="V863" s="246">
        <f>IFERROR(VLOOKUP(H863,PROGRAMAS[],2,FALSE),0)</f>
        <v>6128579952.1618185</v>
      </c>
      <c r="W863" s="246">
        <f>IFERROR(VLOOKUP(I863,PROGRAMAS[],2,FALSE),0)</f>
        <v>122159672.96346797</v>
      </c>
      <c r="X863" s="246">
        <f>IFERROR(VLOOKUP(J863,PROGRAMAS[],2,FALSE),0)</f>
        <v>7068496961.0436354</v>
      </c>
      <c r="Y863" s="246">
        <f>IFERROR(VLOOKUP(K863,PROGRAMAS[],2,FALSE),0)</f>
        <v>1892779498.5211046</v>
      </c>
      <c r="Z863" s="246">
        <f>IFERROR(VLOOKUP(L863,PROGRAMAS[],2,FALSE),0)</f>
        <v>0</v>
      </c>
      <c r="AA863" s="246">
        <f>IFERROR(VLOOKUP(M863,PROGRAMAS[],2,FALSE),0)</f>
        <v>0</v>
      </c>
      <c r="AB863" s="246">
        <f>IFERROR(VLOOKUP(N863,PROGRAMAS[],2,FALSE),0)</f>
        <v>0</v>
      </c>
      <c r="AC863" s="246">
        <f>IFERROR(VLOOKUP(O863,PROGRAMAS[],2,FALSE),0)</f>
        <v>0</v>
      </c>
      <c r="AD863" s="246">
        <f>IFERROR(VLOOKUP(P863,PROGRAMAS[],2,FALSE),0)</f>
        <v>0</v>
      </c>
      <c r="AE863" s="246">
        <f>IFERROR(VLOOKUP(Q863,PROGRAMAS[],2,FALSE),0)</f>
        <v>0</v>
      </c>
      <c r="AF863" s="246">
        <f>IFERROR(VLOOKUP(D863,PROGRAMAS[],3,FALSE),0)</f>
        <v>841888629.31080008</v>
      </c>
      <c r="AG863" s="246">
        <f>IFERROR(VLOOKUP(E863,PROGRAMAS[],3,FALSE),0)</f>
        <v>3848980803.1642323</v>
      </c>
      <c r="AH863" s="246">
        <f>IFERROR(VLOOKUP(F863,PROGRAMAS[],3,FALSE),0)</f>
        <v>3394901471.387517</v>
      </c>
      <c r="AI863" s="246">
        <f>IFERROR(VLOOKUP(G863,PROGRAMAS[],3,FALSE),0)</f>
        <v>1233505101.0616004</v>
      </c>
      <c r="AJ863" s="246">
        <f>IFERROR(VLOOKUP(H863,PROGRAMAS[],3,FALSE),0)</f>
        <v>7011279577.519702</v>
      </c>
      <c r="AK863" s="246">
        <f>IFERROR(VLOOKUP(I863,PROGRAMAS[],3,FALSE),0)</f>
        <v>118617452.52510804</v>
      </c>
      <c r="AL863" s="246">
        <f>IFERROR(VLOOKUP(J863,PROGRAMAS[],3,FALSE),0)</f>
        <v>2406564599.0319901</v>
      </c>
      <c r="AM863" s="246">
        <f>IFERROR(VLOOKUP(K863,PROGRAMAS[],3,FALSE),0)</f>
        <v>948595847.09039903</v>
      </c>
      <c r="AN863" s="246">
        <f>IFERROR(VLOOKUP(L863,PROGRAMAS[],3,FALSE),0)</f>
        <v>0</v>
      </c>
      <c r="AO863" s="246">
        <f>IFERROR(VLOOKUP(M863,PROGRAMAS[],3,FALSE),0)</f>
        <v>0</v>
      </c>
      <c r="AP863" s="246">
        <f>IFERROR(VLOOKUP(N863,PROGRAMAS[],3,FALSE),0)</f>
        <v>0</v>
      </c>
      <c r="AQ863" s="246">
        <f>IFERROR(VLOOKUP(O863,PROGRAMAS[],3,FALSE),0)</f>
        <v>0</v>
      </c>
      <c r="AR863" s="246">
        <f>IFERROR(VLOOKUP(P863,PROGRAMAS[],3,FALSE),0)</f>
        <v>0</v>
      </c>
      <c r="AS863" s="246">
        <f>IFERROR(VLOOKUP(Q863,PROGRAMAS[],3,FALSE),0)</f>
        <v>0</v>
      </c>
      <c r="AT863" s="246">
        <f>IFERROR(VLOOKUP(D863,VOL_REC[],2,FALSE),0)</f>
        <v>0</v>
      </c>
      <c r="AU863" s="246">
        <f>IFERROR(VLOOKUP(E863,VOL_REC[],2,FALSE),0)</f>
        <v>0</v>
      </c>
      <c r="AV863" s="246">
        <f>IFERROR(VLOOKUP(F863,VOL_REC[],2,FALSE),0)</f>
        <v>11089674.200000001</v>
      </c>
      <c r="AW863" s="246">
        <f>IFERROR(VLOOKUP(G863,VOL_REC[],2,FALSE),0)</f>
        <v>4325103.1812214684</v>
      </c>
      <c r="AX863" s="246">
        <f>IFERROR(VLOOKUP(H863,VOL_REC[],2,FALSE),0)</f>
        <v>3761786</v>
      </c>
      <c r="AY863" s="246">
        <f>IFERROR(VLOOKUP(I863,VOL_REC[],2,FALSE),0)</f>
        <v>105072</v>
      </c>
      <c r="AZ863" s="246">
        <f>IFERROR(VLOOKUP(J863,VOL_REC[],2,FALSE),0)</f>
        <v>1072354.9981737854</v>
      </c>
      <c r="BA863" s="246">
        <f>IFERROR(VLOOKUP(K863,VOL_REC[],2,FALSE),0)</f>
        <v>740113.98115702497</v>
      </c>
      <c r="BB863" s="246">
        <f>IFERROR(VLOOKUP(L863,VOL_REC[],2,FALSE),0)</f>
        <v>0</v>
      </c>
      <c r="BC863" s="246">
        <f>IFERROR(VLOOKUP(M863,VOL_REC[],2,FALSE),0)</f>
        <v>0</v>
      </c>
      <c r="BD863" s="246">
        <f>IFERROR(VLOOKUP(N863,VOL_REC[],2,FALSE),0)</f>
        <v>0</v>
      </c>
      <c r="BE863" s="246">
        <f>IFERROR(VLOOKUP(O863,VOL_REC[],2,FALSE),0)</f>
        <v>0</v>
      </c>
      <c r="BF863" s="246">
        <f>IFERROR(VLOOKUP(P863,VOL_REC[],2,FALSE),0)</f>
        <v>0</v>
      </c>
      <c r="BG863" s="246">
        <f>IFERROR(VLOOKUP(Q863,VOL_REC[],2,FALSE),0)</f>
        <v>0</v>
      </c>
      <c r="BH863" s="1710">
        <f t="shared" si="52"/>
        <v>20452825172.456944</v>
      </c>
      <c r="BI863" s="1710">
        <f t="shared" si="53"/>
        <v>19804333481.091351</v>
      </c>
      <c r="BJ863" s="1711">
        <f t="shared" si="54"/>
        <v>21094104.360552277</v>
      </c>
      <c r="BK863" s="1711">
        <f t="shared" si="55"/>
        <v>1.0327449389793781</v>
      </c>
      <c r="BL863">
        <f>BJ863</f>
        <v>21094104.360552277</v>
      </c>
      <c r="BO863">
        <f>BL863</f>
        <v>21094104.360552277</v>
      </c>
    </row>
    <row r="864" spans="3:67" x14ac:dyDescent="0.25">
      <c r="C864" s="246" t="s">
        <v>2214</v>
      </c>
      <c r="D864" s="246">
        <v>1</v>
      </c>
      <c r="E864" s="246">
        <v>2</v>
      </c>
      <c r="F864" s="246">
        <v>3</v>
      </c>
      <c r="G864" s="246">
        <v>5</v>
      </c>
      <c r="H864" s="246">
        <v>10</v>
      </c>
      <c r="I864" s="246">
        <v>12</v>
      </c>
      <c r="J864" s="246">
        <v>13</v>
      </c>
      <c r="K864" s="246">
        <v>14</v>
      </c>
      <c r="L864" s="246"/>
      <c r="M864" s="246"/>
      <c r="N864" s="246"/>
      <c r="O864" s="246"/>
      <c r="P864" s="246"/>
      <c r="Q864" s="246"/>
      <c r="R864" s="246">
        <f>IFERROR(VLOOKUP(D864,PROGRAMAS[],2,FALSE),0)</f>
        <v>97037803.679377079</v>
      </c>
      <c r="S864" s="246">
        <f>IFERROR(VLOOKUP(E864,PROGRAMAS[],2,FALSE),0)</f>
        <v>640501509.6821388</v>
      </c>
      <c r="T864" s="246">
        <f>IFERROR(VLOOKUP(F864,PROGRAMAS[],2,FALSE),0)</f>
        <v>3062327798.1525245</v>
      </c>
      <c r="U864" s="246">
        <f>IFERROR(VLOOKUP(G864,PROGRAMAS[],2,FALSE),0)</f>
        <v>1440941976.2528784</v>
      </c>
      <c r="V864" s="246">
        <f>IFERROR(VLOOKUP(H864,PROGRAMAS[],2,FALSE),0)</f>
        <v>4635315027.8751087</v>
      </c>
      <c r="W864" s="246">
        <f>IFERROR(VLOOKUP(I864,PROGRAMAS[],2,FALSE),0)</f>
        <v>764796700.79905891</v>
      </c>
      <c r="X864" s="246">
        <f>IFERROR(VLOOKUP(J864,PROGRAMAS[],2,FALSE),0)</f>
        <v>3776538594.4604583</v>
      </c>
      <c r="Y864" s="246">
        <f>IFERROR(VLOOKUP(K864,PROGRAMAS[],2,FALSE),0)</f>
        <v>54223862.645839565</v>
      </c>
      <c r="Z864" s="246">
        <f>IFERROR(VLOOKUP(L864,PROGRAMAS[],2,FALSE),0)</f>
        <v>0</v>
      </c>
      <c r="AA864" s="246">
        <f>IFERROR(VLOOKUP(M864,PROGRAMAS[],2,FALSE),0)</f>
        <v>0</v>
      </c>
      <c r="AB864" s="246">
        <f>IFERROR(VLOOKUP(N864,PROGRAMAS[],2,FALSE),0)</f>
        <v>0</v>
      </c>
      <c r="AC864" s="246">
        <f>IFERROR(VLOOKUP(O864,PROGRAMAS[],2,FALSE),0)</f>
        <v>0</v>
      </c>
      <c r="AD864" s="246">
        <f>IFERROR(VLOOKUP(P864,PROGRAMAS[],2,FALSE),0)</f>
        <v>0</v>
      </c>
      <c r="AE864" s="246">
        <f>IFERROR(VLOOKUP(Q864,PROGRAMAS[],2,FALSE),0)</f>
        <v>0</v>
      </c>
      <c r="AF864" s="246">
        <f>IFERROR(VLOOKUP(D864,PROGRAMAS[],3,FALSE),0)</f>
        <v>841888629.31080008</v>
      </c>
      <c r="AG864" s="246">
        <f>IFERROR(VLOOKUP(E864,PROGRAMAS[],3,FALSE),0)</f>
        <v>3848980803.1642323</v>
      </c>
      <c r="AH864" s="246">
        <f>IFERROR(VLOOKUP(F864,PROGRAMAS[],3,FALSE),0)</f>
        <v>3394901471.387517</v>
      </c>
      <c r="AI864" s="246">
        <f>IFERROR(VLOOKUP(G864,PROGRAMAS[],3,FALSE),0)</f>
        <v>1233505101.0616004</v>
      </c>
      <c r="AJ864" s="246">
        <f>IFERROR(VLOOKUP(H864,PROGRAMAS[],3,FALSE),0)</f>
        <v>4099471734.9978786</v>
      </c>
      <c r="AK864" s="246">
        <f>IFERROR(VLOOKUP(I864,PROGRAMAS[],3,FALSE),0)</f>
        <v>675517840.109828</v>
      </c>
      <c r="AL864" s="246">
        <f>IFERROR(VLOOKUP(J864,PROGRAMAS[],3,FALSE),0)</f>
        <v>2392571243.5584412</v>
      </c>
      <c r="AM864" s="246">
        <f>IFERROR(VLOOKUP(K864,PROGRAMAS[],3,FALSE),0)</f>
        <v>31865326.38096505</v>
      </c>
      <c r="AN864" s="246">
        <f>IFERROR(VLOOKUP(L864,PROGRAMAS[],3,FALSE),0)</f>
        <v>0</v>
      </c>
      <c r="AO864" s="246">
        <f>IFERROR(VLOOKUP(M864,PROGRAMAS[],3,FALSE),0)</f>
        <v>0</v>
      </c>
      <c r="AP864" s="246">
        <f>IFERROR(VLOOKUP(N864,PROGRAMAS[],3,FALSE),0)</f>
        <v>0</v>
      </c>
      <c r="AQ864" s="246">
        <f>IFERROR(VLOOKUP(O864,PROGRAMAS[],3,FALSE),0)</f>
        <v>0</v>
      </c>
      <c r="AR864" s="246">
        <f>IFERROR(VLOOKUP(P864,PROGRAMAS[],3,FALSE),0)</f>
        <v>0</v>
      </c>
      <c r="AS864" s="246">
        <f>IFERROR(VLOOKUP(Q864,PROGRAMAS[],3,FALSE),0)</f>
        <v>0</v>
      </c>
      <c r="AT864" s="246">
        <f>IFERROR(VLOOKUP(D864,VOL_REC[],2,FALSE),0)</f>
        <v>0</v>
      </c>
      <c r="AU864" s="246">
        <f>IFERROR(VLOOKUP(E864,VOL_REC[],2,FALSE),0)</f>
        <v>0</v>
      </c>
      <c r="AV864" s="246">
        <f>IFERROR(VLOOKUP(F864,VOL_REC[],2,FALSE),0)</f>
        <v>11089674.200000001</v>
      </c>
      <c r="AW864" s="246">
        <f>IFERROR(VLOOKUP(G864,VOL_REC[],2,FALSE),0)</f>
        <v>4325103.1812214684</v>
      </c>
      <c r="AX864" s="246">
        <f>IFERROR(VLOOKUP(H864,VOL_REC[],2,FALSE),0)</f>
        <v>1812240</v>
      </c>
      <c r="AY864" s="246">
        <f>IFERROR(VLOOKUP(I864,VOL_REC[],2,FALSE),0)</f>
        <v>240696.79238099116</v>
      </c>
      <c r="AZ864" s="246">
        <f>IFERROR(VLOOKUP(J864,VOL_REC[],2,FALSE),0)</f>
        <v>663244.80000000016</v>
      </c>
      <c r="BA864" s="246">
        <f>IFERROR(VLOOKUP(K864,VOL_REC[],2,FALSE),0)</f>
        <v>17074.045034105649</v>
      </c>
      <c r="BB864" s="246">
        <f>IFERROR(VLOOKUP(L864,VOL_REC[],2,FALSE),0)</f>
        <v>0</v>
      </c>
      <c r="BC864" s="246">
        <f>IFERROR(VLOOKUP(M864,VOL_REC[],2,FALSE),0)</f>
        <v>0</v>
      </c>
      <c r="BD864" s="246">
        <f>IFERROR(VLOOKUP(N864,VOL_REC[],2,FALSE),0)</f>
        <v>0</v>
      </c>
      <c r="BE864" s="246">
        <f>IFERROR(VLOOKUP(O864,VOL_REC[],2,FALSE),0)</f>
        <v>0</v>
      </c>
      <c r="BF864" s="246">
        <f>IFERROR(VLOOKUP(P864,VOL_REC[],2,FALSE),0)</f>
        <v>0</v>
      </c>
      <c r="BG864" s="246">
        <f>IFERROR(VLOOKUP(Q864,VOL_REC[],2,FALSE),0)</f>
        <v>0</v>
      </c>
      <c r="BH864" s="1710">
        <f t="shared" si="52"/>
        <v>14471683273.547386</v>
      </c>
      <c r="BI864" s="1710">
        <f t="shared" si="53"/>
        <v>16518702149.971262</v>
      </c>
      <c r="BJ864" s="1711">
        <f t="shared" si="54"/>
        <v>18148033.018636569</v>
      </c>
      <c r="BK864" s="1711">
        <f t="shared" si="55"/>
        <v>0.87607871018926042</v>
      </c>
    </row>
    <row r="865" spans="3:67" x14ac:dyDescent="0.25">
      <c r="C865" s="246" t="s">
        <v>2215</v>
      </c>
      <c r="D865" s="246">
        <v>1</v>
      </c>
      <c r="E865" s="246">
        <v>2</v>
      </c>
      <c r="F865" s="246">
        <v>3</v>
      </c>
      <c r="G865" s="246">
        <v>5</v>
      </c>
      <c r="H865" s="246">
        <v>10</v>
      </c>
      <c r="I865" s="246">
        <v>12</v>
      </c>
      <c r="J865" s="246">
        <v>13</v>
      </c>
      <c r="K865" s="246">
        <v>15</v>
      </c>
      <c r="L865" s="246"/>
      <c r="M865" s="246"/>
      <c r="N865" s="246"/>
      <c r="O865" s="246"/>
      <c r="P865" s="246"/>
      <c r="Q865" s="246"/>
      <c r="R865" s="246">
        <f>IFERROR(VLOOKUP(D865,PROGRAMAS[],2,FALSE),0)</f>
        <v>97037803.679377079</v>
      </c>
      <c r="S865" s="246">
        <f>IFERROR(VLOOKUP(E865,PROGRAMAS[],2,FALSE),0)</f>
        <v>640501509.6821388</v>
      </c>
      <c r="T865" s="246">
        <f>IFERROR(VLOOKUP(F865,PROGRAMAS[],2,FALSE),0)</f>
        <v>3062327798.1525245</v>
      </c>
      <c r="U865" s="246">
        <f>IFERROR(VLOOKUP(G865,PROGRAMAS[],2,FALSE),0)</f>
        <v>1440941976.2528784</v>
      </c>
      <c r="V865" s="246">
        <f>IFERROR(VLOOKUP(H865,PROGRAMAS[],2,FALSE),0)</f>
        <v>4635315027.8751087</v>
      </c>
      <c r="W865" s="246">
        <f>IFERROR(VLOOKUP(I865,PROGRAMAS[],2,FALSE),0)</f>
        <v>764796700.79905891</v>
      </c>
      <c r="X865" s="246">
        <f>IFERROR(VLOOKUP(J865,PROGRAMAS[],2,FALSE),0)</f>
        <v>3776538594.4604583</v>
      </c>
      <c r="Y865" s="246">
        <f>IFERROR(VLOOKUP(K865,PROGRAMAS[],2,FALSE),0)</f>
        <v>122159672.96346797</v>
      </c>
      <c r="Z865" s="246">
        <f>IFERROR(VLOOKUP(L865,PROGRAMAS[],2,FALSE),0)</f>
        <v>0</v>
      </c>
      <c r="AA865" s="246">
        <f>IFERROR(VLOOKUP(M865,PROGRAMAS[],2,FALSE),0)</f>
        <v>0</v>
      </c>
      <c r="AB865" s="246">
        <f>IFERROR(VLOOKUP(N865,PROGRAMAS[],2,FALSE),0)</f>
        <v>0</v>
      </c>
      <c r="AC865" s="246">
        <f>IFERROR(VLOOKUP(O865,PROGRAMAS[],2,FALSE),0)</f>
        <v>0</v>
      </c>
      <c r="AD865" s="246">
        <f>IFERROR(VLOOKUP(P865,PROGRAMAS[],2,FALSE),0)</f>
        <v>0</v>
      </c>
      <c r="AE865" s="246">
        <f>IFERROR(VLOOKUP(Q865,PROGRAMAS[],2,FALSE),0)</f>
        <v>0</v>
      </c>
      <c r="AF865" s="246">
        <f>IFERROR(VLOOKUP(D865,PROGRAMAS[],3,FALSE),0)</f>
        <v>841888629.31080008</v>
      </c>
      <c r="AG865" s="246">
        <f>IFERROR(VLOOKUP(E865,PROGRAMAS[],3,FALSE),0)</f>
        <v>3848980803.1642323</v>
      </c>
      <c r="AH865" s="246">
        <f>IFERROR(VLOOKUP(F865,PROGRAMAS[],3,FALSE),0)</f>
        <v>3394901471.387517</v>
      </c>
      <c r="AI865" s="246">
        <f>IFERROR(VLOOKUP(G865,PROGRAMAS[],3,FALSE),0)</f>
        <v>1233505101.0616004</v>
      </c>
      <c r="AJ865" s="246">
        <f>IFERROR(VLOOKUP(H865,PROGRAMAS[],3,FALSE),0)</f>
        <v>4099471734.9978786</v>
      </c>
      <c r="AK865" s="246">
        <f>IFERROR(VLOOKUP(I865,PROGRAMAS[],3,FALSE),0)</f>
        <v>675517840.109828</v>
      </c>
      <c r="AL865" s="246">
        <f>IFERROR(VLOOKUP(J865,PROGRAMAS[],3,FALSE),0)</f>
        <v>2392571243.5584412</v>
      </c>
      <c r="AM865" s="246">
        <f>IFERROR(VLOOKUP(K865,PROGRAMAS[],3,FALSE),0)</f>
        <v>118617452.52510804</v>
      </c>
      <c r="AN865" s="246">
        <f>IFERROR(VLOOKUP(L865,PROGRAMAS[],3,FALSE),0)</f>
        <v>0</v>
      </c>
      <c r="AO865" s="246">
        <f>IFERROR(VLOOKUP(M865,PROGRAMAS[],3,FALSE),0)</f>
        <v>0</v>
      </c>
      <c r="AP865" s="246">
        <f>IFERROR(VLOOKUP(N865,PROGRAMAS[],3,FALSE),0)</f>
        <v>0</v>
      </c>
      <c r="AQ865" s="246">
        <f>IFERROR(VLOOKUP(O865,PROGRAMAS[],3,FALSE),0)</f>
        <v>0</v>
      </c>
      <c r="AR865" s="246">
        <f>IFERROR(VLOOKUP(P865,PROGRAMAS[],3,FALSE),0)</f>
        <v>0</v>
      </c>
      <c r="AS865" s="246">
        <f>IFERROR(VLOOKUP(Q865,PROGRAMAS[],3,FALSE),0)</f>
        <v>0</v>
      </c>
      <c r="AT865" s="246">
        <f>IFERROR(VLOOKUP(D865,VOL_REC[],2,FALSE),0)</f>
        <v>0</v>
      </c>
      <c r="AU865" s="246">
        <f>IFERROR(VLOOKUP(E865,VOL_REC[],2,FALSE),0)</f>
        <v>0</v>
      </c>
      <c r="AV865" s="246">
        <f>IFERROR(VLOOKUP(F865,VOL_REC[],2,FALSE),0)</f>
        <v>11089674.200000001</v>
      </c>
      <c r="AW865" s="246">
        <f>IFERROR(VLOOKUP(G865,VOL_REC[],2,FALSE),0)</f>
        <v>4325103.1812214684</v>
      </c>
      <c r="AX865" s="246">
        <f>IFERROR(VLOOKUP(H865,VOL_REC[],2,FALSE),0)</f>
        <v>1812240</v>
      </c>
      <c r="AY865" s="246">
        <f>IFERROR(VLOOKUP(I865,VOL_REC[],2,FALSE),0)</f>
        <v>240696.79238099116</v>
      </c>
      <c r="AZ865" s="246">
        <f>IFERROR(VLOOKUP(J865,VOL_REC[],2,FALSE),0)</f>
        <v>663244.80000000016</v>
      </c>
      <c r="BA865" s="246">
        <f>IFERROR(VLOOKUP(K865,VOL_REC[],2,FALSE),0)</f>
        <v>105072</v>
      </c>
      <c r="BB865" s="246">
        <f>IFERROR(VLOOKUP(L865,VOL_REC[],2,FALSE),0)</f>
        <v>0</v>
      </c>
      <c r="BC865" s="246">
        <f>IFERROR(VLOOKUP(M865,VOL_REC[],2,FALSE),0)</f>
        <v>0</v>
      </c>
      <c r="BD865" s="246">
        <f>IFERROR(VLOOKUP(N865,VOL_REC[],2,FALSE),0)</f>
        <v>0</v>
      </c>
      <c r="BE865" s="246">
        <f>IFERROR(VLOOKUP(O865,VOL_REC[],2,FALSE),0)</f>
        <v>0</v>
      </c>
      <c r="BF865" s="246">
        <f>IFERROR(VLOOKUP(P865,VOL_REC[],2,FALSE),0)</f>
        <v>0</v>
      </c>
      <c r="BG865" s="246">
        <f>IFERROR(VLOOKUP(Q865,VOL_REC[],2,FALSE),0)</f>
        <v>0</v>
      </c>
      <c r="BH865" s="1710">
        <f t="shared" si="52"/>
        <v>14539619083.865015</v>
      </c>
      <c r="BI865" s="1710">
        <f t="shared" si="53"/>
        <v>16605454276.115406</v>
      </c>
      <c r="BJ865" s="1711">
        <f t="shared" si="54"/>
        <v>18236030.973602463</v>
      </c>
      <c r="BK865" s="1711">
        <f t="shared" si="55"/>
        <v>0.87559297337491082</v>
      </c>
    </row>
    <row r="866" spans="3:67" x14ac:dyDescent="0.25">
      <c r="C866" s="246" t="s">
        <v>2216</v>
      </c>
      <c r="D866" s="246">
        <v>1</v>
      </c>
      <c r="E866" s="246">
        <v>2</v>
      </c>
      <c r="F866" s="246">
        <v>3</v>
      </c>
      <c r="G866" s="246">
        <v>5</v>
      </c>
      <c r="H866" s="246">
        <v>10</v>
      </c>
      <c r="I866" s="246">
        <v>12</v>
      </c>
      <c r="J866" s="246">
        <v>13</v>
      </c>
      <c r="K866" s="246">
        <v>16</v>
      </c>
      <c r="L866" s="246"/>
      <c r="M866" s="246"/>
      <c r="N866" s="246"/>
      <c r="O866" s="246"/>
      <c r="P866" s="246"/>
      <c r="Q866" s="246"/>
      <c r="R866" s="246">
        <f>IFERROR(VLOOKUP(D866,PROGRAMAS[],2,FALSE),0)</f>
        <v>97037803.679377079</v>
      </c>
      <c r="S866" s="246">
        <f>IFERROR(VLOOKUP(E866,PROGRAMAS[],2,FALSE),0)</f>
        <v>640501509.6821388</v>
      </c>
      <c r="T866" s="246">
        <f>IFERROR(VLOOKUP(F866,PROGRAMAS[],2,FALSE),0)</f>
        <v>3062327798.1525245</v>
      </c>
      <c r="U866" s="246">
        <f>IFERROR(VLOOKUP(G866,PROGRAMAS[],2,FALSE),0)</f>
        <v>1440941976.2528784</v>
      </c>
      <c r="V866" s="246">
        <f>IFERROR(VLOOKUP(H866,PROGRAMAS[],2,FALSE),0)</f>
        <v>4635315027.8751087</v>
      </c>
      <c r="W866" s="246">
        <f>IFERROR(VLOOKUP(I866,PROGRAMAS[],2,FALSE),0)</f>
        <v>764796700.79905891</v>
      </c>
      <c r="X866" s="246">
        <f>IFERROR(VLOOKUP(J866,PROGRAMAS[],2,FALSE),0)</f>
        <v>3776538594.4604583</v>
      </c>
      <c r="Y866" s="246">
        <f>IFERROR(VLOOKUP(K866,PROGRAMAS[],2,FALSE),0)</f>
        <v>7068496961.0436354</v>
      </c>
      <c r="Z866" s="246">
        <f>IFERROR(VLOOKUP(L866,PROGRAMAS[],2,FALSE),0)</f>
        <v>0</v>
      </c>
      <c r="AA866" s="246">
        <f>IFERROR(VLOOKUP(M866,PROGRAMAS[],2,FALSE),0)</f>
        <v>0</v>
      </c>
      <c r="AB866" s="246">
        <f>IFERROR(VLOOKUP(N866,PROGRAMAS[],2,FALSE),0)</f>
        <v>0</v>
      </c>
      <c r="AC866" s="246">
        <f>IFERROR(VLOOKUP(O866,PROGRAMAS[],2,FALSE),0)</f>
        <v>0</v>
      </c>
      <c r="AD866" s="246">
        <f>IFERROR(VLOOKUP(P866,PROGRAMAS[],2,FALSE),0)</f>
        <v>0</v>
      </c>
      <c r="AE866" s="246">
        <f>IFERROR(VLOOKUP(Q866,PROGRAMAS[],2,FALSE),0)</f>
        <v>0</v>
      </c>
      <c r="AF866" s="246">
        <f>IFERROR(VLOOKUP(D866,PROGRAMAS[],3,FALSE),0)</f>
        <v>841888629.31080008</v>
      </c>
      <c r="AG866" s="246">
        <f>IFERROR(VLOOKUP(E866,PROGRAMAS[],3,FALSE),0)</f>
        <v>3848980803.1642323</v>
      </c>
      <c r="AH866" s="246">
        <f>IFERROR(VLOOKUP(F866,PROGRAMAS[],3,FALSE),0)</f>
        <v>3394901471.387517</v>
      </c>
      <c r="AI866" s="246">
        <f>IFERROR(VLOOKUP(G866,PROGRAMAS[],3,FALSE),0)</f>
        <v>1233505101.0616004</v>
      </c>
      <c r="AJ866" s="246">
        <f>IFERROR(VLOOKUP(H866,PROGRAMAS[],3,FALSE),0)</f>
        <v>4099471734.9978786</v>
      </c>
      <c r="AK866" s="246">
        <f>IFERROR(VLOOKUP(I866,PROGRAMAS[],3,FALSE),0)</f>
        <v>675517840.109828</v>
      </c>
      <c r="AL866" s="246">
        <f>IFERROR(VLOOKUP(J866,PROGRAMAS[],3,FALSE),0)</f>
        <v>2392571243.5584412</v>
      </c>
      <c r="AM866" s="246">
        <f>IFERROR(VLOOKUP(K866,PROGRAMAS[],3,FALSE),0)</f>
        <v>2406564599.0319901</v>
      </c>
      <c r="AN866" s="246">
        <f>IFERROR(VLOOKUP(L866,PROGRAMAS[],3,FALSE),0)</f>
        <v>0</v>
      </c>
      <c r="AO866" s="246">
        <f>IFERROR(VLOOKUP(M866,PROGRAMAS[],3,FALSE),0)</f>
        <v>0</v>
      </c>
      <c r="AP866" s="246">
        <f>IFERROR(VLOOKUP(N866,PROGRAMAS[],3,FALSE),0)</f>
        <v>0</v>
      </c>
      <c r="AQ866" s="246">
        <f>IFERROR(VLOOKUP(O866,PROGRAMAS[],3,FALSE),0)</f>
        <v>0</v>
      </c>
      <c r="AR866" s="246">
        <f>IFERROR(VLOOKUP(P866,PROGRAMAS[],3,FALSE),0)</f>
        <v>0</v>
      </c>
      <c r="AS866" s="246">
        <f>IFERROR(VLOOKUP(Q866,PROGRAMAS[],3,FALSE),0)</f>
        <v>0</v>
      </c>
      <c r="AT866" s="246">
        <f>IFERROR(VLOOKUP(D866,VOL_REC[],2,FALSE),0)</f>
        <v>0</v>
      </c>
      <c r="AU866" s="246">
        <f>IFERROR(VLOOKUP(E866,VOL_REC[],2,FALSE),0)</f>
        <v>0</v>
      </c>
      <c r="AV866" s="246">
        <f>IFERROR(VLOOKUP(F866,VOL_REC[],2,FALSE),0)</f>
        <v>11089674.200000001</v>
      </c>
      <c r="AW866" s="246">
        <f>IFERROR(VLOOKUP(G866,VOL_REC[],2,FALSE),0)</f>
        <v>4325103.1812214684</v>
      </c>
      <c r="AX866" s="246">
        <f>IFERROR(VLOOKUP(H866,VOL_REC[],2,FALSE),0)</f>
        <v>1812240</v>
      </c>
      <c r="AY866" s="246">
        <f>IFERROR(VLOOKUP(I866,VOL_REC[],2,FALSE),0)</f>
        <v>240696.79238099116</v>
      </c>
      <c r="AZ866" s="246">
        <f>IFERROR(VLOOKUP(J866,VOL_REC[],2,FALSE),0)</f>
        <v>663244.80000000016</v>
      </c>
      <c r="BA866" s="246">
        <f>IFERROR(VLOOKUP(K866,VOL_REC[],2,FALSE),0)</f>
        <v>1072354.9981737854</v>
      </c>
      <c r="BB866" s="246">
        <f>IFERROR(VLOOKUP(L866,VOL_REC[],2,FALSE),0)</f>
        <v>0</v>
      </c>
      <c r="BC866" s="246">
        <f>IFERROR(VLOOKUP(M866,VOL_REC[],2,FALSE),0)</f>
        <v>0</v>
      </c>
      <c r="BD866" s="246">
        <f>IFERROR(VLOOKUP(N866,VOL_REC[],2,FALSE),0)</f>
        <v>0</v>
      </c>
      <c r="BE866" s="246">
        <f>IFERROR(VLOOKUP(O866,VOL_REC[],2,FALSE),0)</f>
        <v>0</v>
      </c>
      <c r="BF866" s="246">
        <f>IFERROR(VLOOKUP(P866,VOL_REC[],2,FALSE),0)</f>
        <v>0</v>
      </c>
      <c r="BG866" s="246">
        <f>IFERROR(VLOOKUP(Q866,VOL_REC[],2,FALSE),0)</f>
        <v>0</v>
      </c>
      <c r="BH866" s="1710">
        <f t="shared" si="52"/>
        <v>21485956371.945183</v>
      </c>
      <c r="BI866" s="1710">
        <f t="shared" si="53"/>
        <v>18893401422.622288</v>
      </c>
      <c r="BJ866" s="1711">
        <f t="shared" si="54"/>
        <v>19203313.971776247</v>
      </c>
      <c r="BK866" s="1711">
        <f t="shared" si="55"/>
        <v>1.1372201273519051</v>
      </c>
      <c r="BL866">
        <f>BJ866</f>
        <v>19203313.971776247</v>
      </c>
      <c r="BO866">
        <f>BL866</f>
        <v>19203313.971776247</v>
      </c>
    </row>
    <row r="867" spans="3:67" x14ac:dyDescent="0.25">
      <c r="C867" s="246" t="s">
        <v>2217</v>
      </c>
      <c r="D867" s="246">
        <v>1</v>
      </c>
      <c r="E867" s="246">
        <v>2</v>
      </c>
      <c r="F867" s="246">
        <v>3</v>
      </c>
      <c r="G867" s="246">
        <v>5</v>
      </c>
      <c r="H867" s="246">
        <v>10</v>
      </c>
      <c r="I867" s="246">
        <v>12</v>
      </c>
      <c r="J867" s="246">
        <v>13</v>
      </c>
      <c r="K867" s="246">
        <v>17</v>
      </c>
      <c r="L867" s="246"/>
      <c r="M867" s="246"/>
      <c r="N867" s="246"/>
      <c r="O867" s="246"/>
      <c r="P867" s="246"/>
      <c r="Q867" s="246"/>
      <c r="R867" s="246">
        <f>IFERROR(VLOOKUP(D867,PROGRAMAS[],2,FALSE),0)</f>
        <v>97037803.679377079</v>
      </c>
      <c r="S867" s="246">
        <f>IFERROR(VLOOKUP(E867,PROGRAMAS[],2,FALSE),0)</f>
        <v>640501509.6821388</v>
      </c>
      <c r="T867" s="246">
        <f>IFERROR(VLOOKUP(F867,PROGRAMAS[],2,FALSE),0)</f>
        <v>3062327798.1525245</v>
      </c>
      <c r="U867" s="246">
        <f>IFERROR(VLOOKUP(G867,PROGRAMAS[],2,FALSE),0)</f>
        <v>1440941976.2528784</v>
      </c>
      <c r="V867" s="246">
        <f>IFERROR(VLOOKUP(H867,PROGRAMAS[],2,FALSE),0)</f>
        <v>4635315027.8751087</v>
      </c>
      <c r="W867" s="246">
        <f>IFERROR(VLOOKUP(I867,PROGRAMAS[],2,FALSE),0)</f>
        <v>764796700.79905891</v>
      </c>
      <c r="X867" s="246">
        <f>IFERROR(VLOOKUP(J867,PROGRAMAS[],2,FALSE),0)</f>
        <v>3776538594.4604583</v>
      </c>
      <c r="Y867" s="246">
        <f>IFERROR(VLOOKUP(K867,PROGRAMAS[],2,FALSE),0)</f>
        <v>1892779498.5211046</v>
      </c>
      <c r="Z867" s="246">
        <f>IFERROR(VLOOKUP(L867,PROGRAMAS[],2,FALSE),0)</f>
        <v>0</v>
      </c>
      <c r="AA867" s="246">
        <f>IFERROR(VLOOKUP(M867,PROGRAMAS[],2,FALSE),0)</f>
        <v>0</v>
      </c>
      <c r="AB867" s="246">
        <f>IFERROR(VLOOKUP(N867,PROGRAMAS[],2,FALSE),0)</f>
        <v>0</v>
      </c>
      <c r="AC867" s="246">
        <f>IFERROR(VLOOKUP(O867,PROGRAMAS[],2,FALSE),0)</f>
        <v>0</v>
      </c>
      <c r="AD867" s="246">
        <f>IFERROR(VLOOKUP(P867,PROGRAMAS[],2,FALSE),0)</f>
        <v>0</v>
      </c>
      <c r="AE867" s="246">
        <f>IFERROR(VLOOKUP(Q867,PROGRAMAS[],2,FALSE),0)</f>
        <v>0</v>
      </c>
      <c r="AF867" s="246">
        <f>IFERROR(VLOOKUP(D867,PROGRAMAS[],3,FALSE),0)</f>
        <v>841888629.31080008</v>
      </c>
      <c r="AG867" s="246">
        <f>IFERROR(VLOOKUP(E867,PROGRAMAS[],3,FALSE),0)</f>
        <v>3848980803.1642323</v>
      </c>
      <c r="AH867" s="246">
        <f>IFERROR(VLOOKUP(F867,PROGRAMAS[],3,FALSE),0)</f>
        <v>3394901471.387517</v>
      </c>
      <c r="AI867" s="246">
        <f>IFERROR(VLOOKUP(G867,PROGRAMAS[],3,FALSE),0)</f>
        <v>1233505101.0616004</v>
      </c>
      <c r="AJ867" s="246">
        <f>IFERROR(VLOOKUP(H867,PROGRAMAS[],3,FALSE),0)</f>
        <v>4099471734.9978786</v>
      </c>
      <c r="AK867" s="246">
        <f>IFERROR(VLOOKUP(I867,PROGRAMAS[],3,FALSE),0)</f>
        <v>675517840.109828</v>
      </c>
      <c r="AL867" s="246">
        <f>IFERROR(VLOOKUP(J867,PROGRAMAS[],3,FALSE),0)</f>
        <v>2392571243.5584412</v>
      </c>
      <c r="AM867" s="246">
        <f>IFERROR(VLOOKUP(K867,PROGRAMAS[],3,FALSE),0)</f>
        <v>948595847.09039903</v>
      </c>
      <c r="AN867" s="246">
        <f>IFERROR(VLOOKUP(L867,PROGRAMAS[],3,FALSE),0)</f>
        <v>0</v>
      </c>
      <c r="AO867" s="246">
        <f>IFERROR(VLOOKUP(M867,PROGRAMAS[],3,FALSE),0)</f>
        <v>0</v>
      </c>
      <c r="AP867" s="246">
        <f>IFERROR(VLOOKUP(N867,PROGRAMAS[],3,FALSE),0)</f>
        <v>0</v>
      </c>
      <c r="AQ867" s="246">
        <f>IFERROR(VLOOKUP(O867,PROGRAMAS[],3,FALSE),0)</f>
        <v>0</v>
      </c>
      <c r="AR867" s="246">
        <f>IFERROR(VLOOKUP(P867,PROGRAMAS[],3,FALSE),0)</f>
        <v>0</v>
      </c>
      <c r="AS867" s="246">
        <f>IFERROR(VLOOKUP(Q867,PROGRAMAS[],3,FALSE),0)</f>
        <v>0</v>
      </c>
      <c r="AT867" s="246">
        <f>IFERROR(VLOOKUP(D867,VOL_REC[],2,FALSE),0)</f>
        <v>0</v>
      </c>
      <c r="AU867" s="246">
        <f>IFERROR(VLOOKUP(E867,VOL_REC[],2,FALSE),0)</f>
        <v>0</v>
      </c>
      <c r="AV867" s="246">
        <f>IFERROR(VLOOKUP(F867,VOL_REC[],2,FALSE),0)</f>
        <v>11089674.200000001</v>
      </c>
      <c r="AW867" s="246">
        <f>IFERROR(VLOOKUP(G867,VOL_REC[],2,FALSE),0)</f>
        <v>4325103.1812214684</v>
      </c>
      <c r="AX867" s="246">
        <f>IFERROR(VLOOKUP(H867,VOL_REC[],2,FALSE),0)</f>
        <v>1812240</v>
      </c>
      <c r="AY867" s="246">
        <f>IFERROR(VLOOKUP(I867,VOL_REC[],2,FALSE),0)</f>
        <v>240696.79238099116</v>
      </c>
      <c r="AZ867" s="246">
        <f>IFERROR(VLOOKUP(J867,VOL_REC[],2,FALSE),0)</f>
        <v>663244.80000000016</v>
      </c>
      <c r="BA867" s="246">
        <f>IFERROR(VLOOKUP(K867,VOL_REC[],2,FALSE),0)</f>
        <v>740113.98115702497</v>
      </c>
      <c r="BB867" s="246">
        <f>IFERROR(VLOOKUP(L867,VOL_REC[],2,FALSE),0)</f>
        <v>0</v>
      </c>
      <c r="BC867" s="246">
        <f>IFERROR(VLOOKUP(M867,VOL_REC[],2,FALSE),0)</f>
        <v>0</v>
      </c>
      <c r="BD867" s="246">
        <f>IFERROR(VLOOKUP(N867,VOL_REC[],2,FALSE),0)</f>
        <v>0</v>
      </c>
      <c r="BE867" s="246">
        <f>IFERROR(VLOOKUP(O867,VOL_REC[],2,FALSE),0)</f>
        <v>0</v>
      </c>
      <c r="BF867" s="246">
        <f>IFERROR(VLOOKUP(P867,VOL_REC[],2,FALSE),0)</f>
        <v>0</v>
      </c>
      <c r="BG867" s="246">
        <f>IFERROR(VLOOKUP(Q867,VOL_REC[],2,FALSE),0)</f>
        <v>0</v>
      </c>
      <c r="BH867" s="1710">
        <f t="shared" si="52"/>
        <v>16310238909.422651</v>
      </c>
      <c r="BI867" s="1710">
        <f t="shared" si="53"/>
        <v>17435432670.680698</v>
      </c>
      <c r="BJ867" s="1711">
        <f t="shared" si="54"/>
        <v>18871072.954759486</v>
      </c>
      <c r="BK867" s="1711">
        <f t="shared" si="55"/>
        <v>0.93546510817880846</v>
      </c>
    </row>
    <row r="868" spans="3:67" x14ac:dyDescent="0.25">
      <c r="C868" s="246" t="s">
        <v>2218</v>
      </c>
      <c r="D868" s="246">
        <v>1</v>
      </c>
      <c r="E868" s="246">
        <v>2</v>
      </c>
      <c r="F868" s="246">
        <v>3</v>
      </c>
      <c r="G868" s="246">
        <v>5</v>
      </c>
      <c r="H868" s="246">
        <v>10</v>
      </c>
      <c r="I868" s="246">
        <v>12</v>
      </c>
      <c r="J868" s="246">
        <v>14</v>
      </c>
      <c r="K868" s="246">
        <v>15</v>
      </c>
      <c r="L868" s="246"/>
      <c r="M868" s="246"/>
      <c r="N868" s="246"/>
      <c r="O868" s="246"/>
      <c r="P868" s="246"/>
      <c r="Q868" s="246"/>
      <c r="R868" s="246">
        <f>IFERROR(VLOOKUP(D868,PROGRAMAS[],2,FALSE),0)</f>
        <v>97037803.679377079</v>
      </c>
      <c r="S868" s="246">
        <f>IFERROR(VLOOKUP(E868,PROGRAMAS[],2,FALSE),0)</f>
        <v>640501509.6821388</v>
      </c>
      <c r="T868" s="246">
        <f>IFERROR(VLOOKUP(F868,PROGRAMAS[],2,FALSE),0)</f>
        <v>3062327798.1525245</v>
      </c>
      <c r="U868" s="246">
        <f>IFERROR(VLOOKUP(G868,PROGRAMAS[],2,FALSE),0)</f>
        <v>1440941976.2528784</v>
      </c>
      <c r="V868" s="246">
        <f>IFERROR(VLOOKUP(H868,PROGRAMAS[],2,FALSE),0)</f>
        <v>4635315027.8751087</v>
      </c>
      <c r="W868" s="246">
        <f>IFERROR(VLOOKUP(I868,PROGRAMAS[],2,FALSE),0)</f>
        <v>764796700.79905891</v>
      </c>
      <c r="X868" s="246">
        <f>IFERROR(VLOOKUP(J868,PROGRAMAS[],2,FALSE),0)</f>
        <v>54223862.645839565</v>
      </c>
      <c r="Y868" s="246">
        <f>IFERROR(VLOOKUP(K868,PROGRAMAS[],2,FALSE),0)</f>
        <v>122159672.96346797</v>
      </c>
      <c r="Z868" s="246">
        <f>IFERROR(VLOOKUP(L868,PROGRAMAS[],2,FALSE),0)</f>
        <v>0</v>
      </c>
      <c r="AA868" s="246">
        <f>IFERROR(VLOOKUP(M868,PROGRAMAS[],2,FALSE),0)</f>
        <v>0</v>
      </c>
      <c r="AB868" s="246">
        <f>IFERROR(VLOOKUP(N868,PROGRAMAS[],2,FALSE),0)</f>
        <v>0</v>
      </c>
      <c r="AC868" s="246">
        <f>IFERROR(VLOOKUP(O868,PROGRAMAS[],2,FALSE),0)</f>
        <v>0</v>
      </c>
      <c r="AD868" s="246">
        <f>IFERROR(VLOOKUP(P868,PROGRAMAS[],2,FALSE),0)</f>
        <v>0</v>
      </c>
      <c r="AE868" s="246">
        <f>IFERROR(VLOOKUP(Q868,PROGRAMAS[],2,FALSE),0)</f>
        <v>0</v>
      </c>
      <c r="AF868" s="246">
        <f>IFERROR(VLOOKUP(D868,PROGRAMAS[],3,FALSE),0)</f>
        <v>841888629.31080008</v>
      </c>
      <c r="AG868" s="246">
        <f>IFERROR(VLOOKUP(E868,PROGRAMAS[],3,FALSE),0)</f>
        <v>3848980803.1642323</v>
      </c>
      <c r="AH868" s="246">
        <f>IFERROR(VLOOKUP(F868,PROGRAMAS[],3,FALSE),0)</f>
        <v>3394901471.387517</v>
      </c>
      <c r="AI868" s="246">
        <f>IFERROR(VLOOKUP(G868,PROGRAMAS[],3,FALSE),0)</f>
        <v>1233505101.0616004</v>
      </c>
      <c r="AJ868" s="246">
        <f>IFERROR(VLOOKUP(H868,PROGRAMAS[],3,FALSE),0)</f>
        <v>4099471734.9978786</v>
      </c>
      <c r="AK868" s="246">
        <f>IFERROR(VLOOKUP(I868,PROGRAMAS[],3,FALSE),0)</f>
        <v>675517840.109828</v>
      </c>
      <c r="AL868" s="246">
        <f>IFERROR(VLOOKUP(J868,PROGRAMAS[],3,FALSE),0)</f>
        <v>31865326.38096505</v>
      </c>
      <c r="AM868" s="246">
        <f>IFERROR(VLOOKUP(K868,PROGRAMAS[],3,FALSE),0)</f>
        <v>118617452.52510804</v>
      </c>
      <c r="AN868" s="246">
        <f>IFERROR(VLOOKUP(L868,PROGRAMAS[],3,FALSE),0)</f>
        <v>0</v>
      </c>
      <c r="AO868" s="246">
        <f>IFERROR(VLOOKUP(M868,PROGRAMAS[],3,FALSE),0)</f>
        <v>0</v>
      </c>
      <c r="AP868" s="246">
        <f>IFERROR(VLOOKUP(N868,PROGRAMAS[],3,FALSE),0)</f>
        <v>0</v>
      </c>
      <c r="AQ868" s="246">
        <f>IFERROR(VLOOKUP(O868,PROGRAMAS[],3,FALSE),0)</f>
        <v>0</v>
      </c>
      <c r="AR868" s="246">
        <f>IFERROR(VLOOKUP(P868,PROGRAMAS[],3,FALSE),0)</f>
        <v>0</v>
      </c>
      <c r="AS868" s="246">
        <f>IFERROR(VLOOKUP(Q868,PROGRAMAS[],3,FALSE),0)</f>
        <v>0</v>
      </c>
      <c r="AT868" s="246">
        <f>IFERROR(VLOOKUP(D868,VOL_REC[],2,FALSE),0)</f>
        <v>0</v>
      </c>
      <c r="AU868" s="246">
        <f>IFERROR(VLOOKUP(E868,VOL_REC[],2,FALSE),0)</f>
        <v>0</v>
      </c>
      <c r="AV868" s="246">
        <f>IFERROR(VLOOKUP(F868,VOL_REC[],2,FALSE),0)</f>
        <v>11089674.200000001</v>
      </c>
      <c r="AW868" s="246">
        <f>IFERROR(VLOOKUP(G868,VOL_REC[],2,FALSE),0)</f>
        <v>4325103.1812214684</v>
      </c>
      <c r="AX868" s="246">
        <f>IFERROR(VLOOKUP(H868,VOL_REC[],2,FALSE),0)</f>
        <v>1812240</v>
      </c>
      <c r="AY868" s="246">
        <f>IFERROR(VLOOKUP(I868,VOL_REC[],2,FALSE),0)</f>
        <v>240696.79238099116</v>
      </c>
      <c r="AZ868" s="246">
        <f>IFERROR(VLOOKUP(J868,VOL_REC[],2,FALSE),0)</f>
        <v>17074.045034105649</v>
      </c>
      <c r="BA868" s="246">
        <f>IFERROR(VLOOKUP(K868,VOL_REC[],2,FALSE),0)</f>
        <v>105072</v>
      </c>
      <c r="BB868" s="246">
        <f>IFERROR(VLOOKUP(L868,VOL_REC[],2,FALSE),0)</f>
        <v>0</v>
      </c>
      <c r="BC868" s="246">
        <f>IFERROR(VLOOKUP(M868,VOL_REC[],2,FALSE),0)</f>
        <v>0</v>
      </c>
      <c r="BD868" s="246">
        <f>IFERROR(VLOOKUP(N868,VOL_REC[],2,FALSE),0)</f>
        <v>0</v>
      </c>
      <c r="BE868" s="246">
        <f>IFERROR(VLOOKUP(O868,VOL_REC[],2,FALSE),0)</f>
        <v>0</v>
      </c>
      <c r="BF868" s="246">
        <f>IFERROR(VLOOKUP(P868,VOL_REC[],2,FALSE),0)</f>
        <v>0</v>
      </c>
      <c r="BG868" s="246">
        <f>IFERROR(VLOOKUP(Q868,VOL_REC[],2,FALSE),0)</f>
        <v>0</v>
      </c>
      <c r="BH868" s="1710">
        <f t="shared" si="52"/>
        <v>10817304352.050396</v>
      </c>
      <c r="BI868" s="1710">
        <f t="shared" si="53"/>
        <v>14244748358.937929</v>
      </c>
      <c r="BJ868" s="1711">
        <f t="shared" si="54"/>
        <v>17589860.218636569</v>
      </c>
      <c r="BK868" s="1711">
        <f t="shared" si="55"/>
        <v>0.75938893966231646</v>
      </c>
    </row>
    <row r="869" spans="3:67" x14ac:dyDescent="0.25">
      <c r="C869" s="246" t="s">
        <v>2219</v>
      </c>
      <c r="D869" s="246">
        <v>1</v>
      </c>
      <c r="E869" s="246">
        <v>2</v>
      </c>
      <c r="F869" s="246">
        <v>3</v>
      </c>
      <c r="G869" s="246">
        <v>5</v>
      </c>
      <c r="H869" s="246">
        <v>10</v>
      </c>
      <c r="I869" s="246">
        <v>12</v>
      </c>
      <c r="J869" s="246">
        <v>14</v>
      </c>
      <c r="K869" s="246">
        <v>16</v>
      </c>
      <c r="L869" s="246"/>
      <c r="M869" s="246"/>
      <c r="N869" s="246"/>
      <c r="O869" s="246"/>
      <c r="P869" s="246"/>
      <c r="Q869" s="246"/>
      <c r="R869" s="246">
        <f>IFERROR(VLOOKUP(D869,PROGRAMAS[],2,FALSE),0)</f>
        <v>97037803.679377079</v>
      </c>
      <c r="S869" s="246">
        <f>IFERROR(VLOOKUP(E869,PROGRAMAS[],2,FALSE),0)</f>
        <v>640501509.6821388</v>
      </c>
      <c r="T869" s="246">
        <f>IFERROR(VLOOKUP(F869,PROGRAMAS[],2,FALSE),0)</f>
        <v>3062327798.1525245</v>
      </c>
      <c r="U869" s="246">
        <f>IFERROR(VLOOKUP(G869,PROGRAMAS[],2,FALSE),0)</f>
        <v>1440941976.2528784</v>
      </c>
      <c r="V869" s="246">
        <f>IFERROR(VLOOKUP(H869,PROGRAMAS[],2,FALSE),0)</f>
        <v>4635315027.8751087</v>
      </c>
      <c r="W869" s="246">
        <f>IFERROR(VLOOKUP(I869,PROGRAMAS[],2,FALSE),0)</f>
        <v>764796700.79905891</v>
      </c>
      <c r="X869" s="246">
        <f>IFERROR(VLOOKUP(J869,PROGRAMAS[],2,FALSE),0)</f>
        <v>54223862.645839565</v>
      </c>
      <c r="Y869" s="246">
        <f>IFERROR(VLOOKUP(K869,PROGRAMAS[],2,FALSE),0)</f>
        <v>7068496961.0436354</v>
      </c>
      <c r="Z869" s="246">
        <f>IFERROR(VLOOKUP(L869,PROGRAMAS[],2,FALSE),0)</f>
        <v>0</v>
      </c>
      <c r="AA869" s="246">
        <f>IFERROR(VLOOKUP(M869,PROGRAMAS[],2,FALSE),0)</f>
        <v>0</v>
      </c>
      <c r="AB869" s="246">
        <f>IFERROR(VLOOKUP(N869,PROGRAMAS[],2,FALSE),0)</f>
        <v>0</v>
      </c>
      <c r="AC869" s="246">
        <f>IFERROR(VLOOKUP(O869,PROGRAMAS[],2,FALSE),0)</f>
        <v>0</v>
      </c>
      <c r="AD869" s="246">
        <f>IFERROR(VLOOKUP(P869,PROGRAMAS[],2,FALSE),0)</f>
        <v>0</v>
      </c>
      <c r="AE869" s="246">
        <f>IFERROR(VLOOKUP(Q869,PROGRAMAS[],2,FALSE),0)</f>
        <v>0</v>
      </c>
      <c r="AF869" s="246">
        <f>IFERROR(VLOOKUP(D869,PROGRAMAS[],3,FALSE),0)</f>
        <v>841888629.31080008</v>
      </c>
      <c r="AG869" s="246">
        <f>IFERROR(VLOOKUP(E869,PROGRAMAS[],3,FALSE),0)</f>
        <v>3848980803.1642323</v>
      </c>
      <c r="AH869" s="246">
        <f>IFERROR(VLOOKUP(F869,PROGRAMAS[],3,FALSE),0)</f>
        <v>3394901471.387517</v>
      </c>
      <c r="AI869" s="246">
        <f>IFERROR(VLOOKUP(G869,PROGRAMAS[],3,FALSE),0)</f>
        <v>1233505101.0616004</v>
      </c>
      <c r="AJ869" s="246">
        <f>IFERROR(VLOOKUP(H869,PROGRAMAS[],3,FALSE),0)</f>
        <v>4099471734.9978786</v>
      </c>
      <c r="AK869" s="246">
        <f>IFERROR(VLOOKUP(I869,PROGRAMAS[],3,FALSE),0)</f>
        <v>675517840.109828</v>
      </c>
      <c r="AL869" s="246">
        <f>IFERROR(VLOOKUP(J869,PROGRAMAS[],3,FALSE),0)</f>
        <v>31865326.38096505</v>
      </c>
      <c r="AM869" s="246">
        <f>IFERROR(VLOOKUP(K869,PROGRAMAS[],3,FALSE),0)</f>
        <v>2406564599.0319901</v>
      </c>
      <c r="AN869" s="246">
        <f>IFERROR(VLOOKUP(L869,PROGRAMAS[],3,FALSE),0)</f>
        <v>0</v>
      </c>
      <c r="AO869" s="246">
        <f>IFERROR(VLOOKUP(M869,PROGRAMAS[],3,FALSE),0)</f>
        <v>0</v>
      </c>
      <c r="AP869" s="246">
        <f>IFERROR(VLOOKUP(N869,PROGRAMAS[],3,FALSE),0)</f>
        <v>0</v>
      </c>
      <c r="AQ869" s="246">
        <f>IFERROR(VLOOKUP(O869,PROGRAMAS[],3,FALSE),0)</f>
        <v>0</v>
      </c>
      <c r="AR869" s="246">
        <f>IFERROR(VLOOKUP(P869,PROGRAMAS[],3,FALSE),0)</f>
        <v>0</v>
      </c>
      <c r="AS869" s="246">
        <f>IFERROR(VLOOKUP(Q869,PROGRAMAS[],3,FALSE),0)</f>
        <v>0</v>
      </c>
      <c r="AT869" s="246">
        <f>IFERROR(VLOOKUP(D869,VOL_REC[],2,FALSE),0)</f>
        <v>0</v>
      </c>
      <c r="AU869" s="246">
        <f>IFERROR(VLOOKUP(E869,VOL_REC[],2,FALSE),0)</f>
        <v>0</v>
      </c>
      <c r="AV869" s="246">
        <f>IFERROR(VLOOKUP(F869,VOL_REC[],2,FALSE),0)</f>
        <v>11089674.200000001</v>
      </c>
      <c r="AW869" s="246">
        <f>IFERROR(VLOOKUP(G869,VOL_REC[],2,FALSE),0)</f>
        <v>4325103.1812214684</v>
      </c>
      <c r="AX869" s="246">
        <f>IFERROR(VLOOKUP(H869,VOL_REC[],2,FALSE),0)</f>
        <v>1812240</v>
      </c>
      <c r="AY869" s="246">
        <f>IFERROR(VLOOKUP(I869,VOL_REC[],2,FALSE),0)</f>
        <v>240696.79238099116</v>
      </c>
      <c r="AZ869" s="246">
        <f>IFERROR(VLOOKUP(J869,VOL_REC[],2,FALSE),0)</f>
        <v>17074.045034105649</v>
      </c>
      <c r="BA869" s="246">
        <f>IFERROR(VLOOKUP(K869,VOL_REC[],2,FALSE),0)</f>
        <v>1072354.9981737854</v>
      </c>
      <c r="BB869" s="246">
        <f>IFERROR(VLOOKUP(L869,VOL_REC[],2,FALSE),0)</f>
        <v>0</v>
      </c>
      <c r="BC869" s="246">
        <f>IFERROR(VLOOKUP(M869,VOL_REC[],2,FALSE),0)</f>
        <v>0</v>
      </c>
      <c r="BD869" s="246">
        <f>IFERROR(VLOOKUP(N869,VOL_REC[],2,FALSE),0)</f>
        <v>0</v>
      </c>
      <c r="BE869" s="246">
        <f>IFERROR(VLOOKUP(O869,VOL_REC[],2,FALSE),0)</f>
        <v>0</v>
      </c>
      <c r="BF869" s="246">
        <f>IFERROR(VLOOKUP(P869,VOL_REC[],2,FALSE),0)</f>
        <v>0</v>
      </c>
      <c r="BG869" s="246">
        <f>IFERROR(VLOOKUP(Q869,VOL_REC[],2,FALSE),0)</f>
        <v>0</v>
      </c>
      <c r="BH869" s="1710">
        <f t="shared" si="52"/>
        <v>17763641640.130562</v>
      </c>
      <c r="BI869" s="1710">
        <f t="shared" si="53"/>
        <v>16532695505.444811</v>
      </c>
      <c r="BJ869" s="1711">
        <f t="shared" si="54"/>
        <v>18557143.216810353</v>
      </c>
      <c r="BK869" s="1711">
        <f t="shared" si="55"/>
        <v>1.0744552595358909</v>
      </c>
      <c r="BL869">
        <f>BJ869</f>
        <v>18557143.216810353</v>
      </c>
      <c r="BO869">
        <f>BL869</f>
        <v>18557143.216810353</v>
      </c>
    </row>
    <row r="870" spans="3:67" x14ac:dyDescent="0.25">
      <c r="C870" s="246" t="s">
        <v>2220</v>
      </c>
      <c r="D870" s="246">
        <v>1</v>
      </c>
      <c r="E870" s="246">
        <v>2</v>
      </c>
      <c r="F870" s="246">
        <v>3</v>
      </c>
      <c r="G870" s="246">
        <v>5</v>
      </c>
      <c r="H870" s="246">
        <v>10</v>
      </c>
      <c r="I870" s="246">
        <v>12</v>
      </c>
      <c r="J870" s="246">
        <v>14</v>
      </c>
      <c r="K870" s="246">
        <v>17</v>
      </c>
      <c r="L870" s="246"/>
      <c r="M870" s="246"/>
      <c r="N870" s="246"/>
      <c r="O870" s="246"/>
      <c r="P870" s="246"/>
      <c r="Q870" s="246"/>
      <c r="R870" s="246">
        <f>IFERROR(VLOOKUP(D870,PROGRAMAS[],2,FALSE),0)</f>
        <v>97037803.679377079</v>
      </c>
      <c r="S870" s="246">
        <f>IFERROR(VLOOKUP(E870,PROGRAMAS[],2,FALSE),0)</f>
        <v>640501509.6821388</v>
      </c>
      <c r="T870" s="246">
        <f>IFERROR(VLOOKUP(F870,PROGRAMAS[],2,FALSE),0)</f>
        <v>3062327798.1525245</v>
      </c>
      <c r="U870" s="246">
        <f>IFERROR(VLOOKUP(G870,PROGRAMAS[],2,FALSE),0)</f>
        <v>1440941976.2528784</v>
      </c>
      <c r="V870" s="246">
        <f>IFERROR(VLOOKUP(H870,PROGRAMAS[],2,FALSE),0)</f>
        <v>4635315027.8751087</v>
      </c>
      <c r="W870" s="246">
        <f>IFERROR(VLOOKUP(I870,PROGRAMAS[],2,FALSE),0)</f>
        <v>764796700.79905891</v>
      </c>
      <c r="X870" s="246">
        <f>IFERROR(VLOOKUP(J870,PROGRAMAS[],2,FALSE),0)</f>
        <v>54223862.645839565</v>
      </c>
      <c r="Y870" s="246">
        <f>IFERROR(VLOOKUP(K870,PROGRAMAS[],2,FALSE),0)</f>
        <v>1892779498.5211046</v>
      </c>
      <c r="Z870" s="246">
        <f>IFERROR(VLOOKUP(L870,PROGRAMAS[],2,FALSE),0)</f>
        <v>0</v>
      </c>
      <c r="AA870" s="246">
        <f>IFERROR(VLOOKUP(M870,PROGRAMAS[],2,FALSE),0)</f>
        <v>0</v>
      </c>
      <c r="AB870" s="246">
        <f>IFERROR(VLOOKUP(N870,PROGRAMAS[],2,FALSE),0)</f>
        <v>0</v>
      </c>
      <c r="AC870" s="246">
        <f>IFERROR(VLOOKUP(O870,PROGRAMAS[],2,FALSE),0)</f>
        <v>0</v>
      </c>
      <c r="AD870" s="246">
        <f>IFERROR(VLOOKUP(P870,PROGRAMAS[],2,FALSE),0)</f>
        <v>0</v>
      </c>
      <c r="AE870" s="246">
        <f>IFERROR(VLOOKUP(Q870,PROGRAMAS[],2,FALSE),0)</f>
        <v>0</v>
      </c>
      <c r="AF870" s="246">
        <f>IFERROR(VLOOKUP(D870,PROGRAMAS[],3,FALSE),0)</f>
        <v>841888629.31080008</v>
      </c>
      <c r="AG870" s="246">
        <f>IFERROR(VLOOKUP(E870,PROGRAMAS[],3,FALSE),0)</f>
        <v>3848980803.1642323</v>
      </c>
      <c r="AH870" s="246">
        <f>IFERROR(VLOOKUP(F870,PROGRAMAS[],3,FALSE),0)</f>
        <v>3394901471.387517</v>
      </c>
      <c r="AI870" s="246">
        <f>IFERROR(VLOOKUP(G870,PROGRAMAS[],3,FALSE),0)</f>
        <v>1233505101.0616004</v>
      </c>
      <c r="AJ870" s="246">
        <f>IFERROR(VLOOKUP(H870,PROGRAMAS[],3,FALSE),0)</f>
        <v>4099471734.9978786</v>
      </c>
      <c r="AK870" s="246">
        <f>IFERROR(VLOOKUP(I870,PROGRAMAS[],3,FALSE),0)</f>
        <v>675517840.109828</v>
      </c>
      <c r="AL870" s="246">
        <f>IFERROR(VLOOKUP(J870,PROGRAMAS[],3,FALSE),0)</f>
        <v>31865326.38096505</v>
      </c>
      <c r="AM870" s="246">
        <f>IFERROR(VLOOKUP(K870,PROGRAMAS[],3,FALSE),0)</f>
        <v>948595847.09039903</v>
      </c>
      <c r="AN870" s="246">
        <f>IFERROR(VLOOKUP(L870,PROGRAMAS[],3,FALSE),0)</f>
        <v>0</v>
      </c>
      <c r="AO870" s="246">
        <f>IFERROR(VLOOKUP(M870,PROGRAMAS[],3,FALSE),0)</f>
        <v>0</v>
      </c>
      <c r="AP870" s="246">
        <f>IFERROR(VLOOKUP(N870,PROGRAMAS[],3,FALSE),0)</f>
        <v>0</v>
      </c>
      <c r="AQ870" s="246">
        <f>IFERROR(VLOOKUP(O870,PROGRAMAS[],3,FALSE),0)</f>
        <v>0</v>
      </c>
      <c r="AR870" s="246">
        <f>IFERROR(VLOOKUP(P870,PROGRAMAS[],3,FALSE),0)</f>
        <v>0</v>
      </c>
      <c r="AS870" s="246">
        <f>IFERROR(VLOOKUP(Q870,PROGRAMAS[],3,FALSE),0)</f>
        <v>0</v>
      </c>
      <c r="AT870" s="246">
        <f>IFERROR(VLOOKUP(D870,VOL_REC[],2,FALSE),0)</f>
        <v>0</v>
      </c>
      <c r="AU870" s="246">
        <f>IFERROR(VLOOKUP(E870,VOL_REC[],2,FALSE),0)</f>
        <v>0</v>
      </c>
      <c r="AV870" s="246">
        <f>IFERROR(VLOOKUP(F870,VOL_REC[],2,FALSE),0)</f>
        <v>11089674.200000001</v>
      </c>
      <c r="AW870" s="246">
        <f>IFERROR(VLOOKUP(G870,VOL_REC[],2,FALSE),0)</f>
        <v>4325103.1812214684</v>
      </c>
      <c r="AX870" s="246">
        <f>IFERROR(VLOOKUP(H870,VOL_REC[],2,FALSE),0)</f>
        <v>1812240</v>
      </c>
      <c r="AY870" s="246">
        <f>IFERROR(VLOOKUP(I870,VOL_REC[],2,FALSE),0)</f>
        <v>240696.79238099116</v>
      </c>
      <c r="AZ870" s="246">
        <f>IFERROR(VLOOKUP(J870,VOL_REC[],2,FALSE),0)</f>
        <v>17074.045034105649</v>
      </c>
      <c r="BA870" s="246">
        <f>IFERROR(VLOOKUP(K870,VOL_REC[],2,FALSE),0)</f>
        <v>740113.98115702497</v>
      </c>
      <c r="BB870" s="246">
        <f>IFERROR(VLOOKUP(L870,VOL_REC[],2,FALSE),0)</f>
        <v>0</v>
      </c>
      <c r="BC870" s="246">
        <f>IFERROR(VLOOKUP(M870,VOL_REC[],2,FALSE),0)</f>
        <v>0</v>
      </c>
      <c r="BD870" s="246">
        <f>IFERROR(VLOOKUP(N870,VOL_REC[],2,FALSE),0)</f>
        <v>0</v>
      </c>
      <c r="BE870" s="246">
        <f>IFERROR(VLOOKUP(O870,VOL_REC[],2,FALSE),0)</f>
        <v>0</v>
      </c>
      <c r="BF870" s="246">
        <f>IFERROR(VLOOKUP(P870,VOL_REC[],2,FALSE),0)</f>
        <v>0</v>
      </c>
      <c r="BG870" s="246">
        <f>IFERROR(VLOOKUP(Q870,VOL_REC[],2,FALSE),0)</f>
        <v>0</v>
      </c>
      <c r="BH870" s="1710">
        <f t="shared" si="52"/>
        <v>12587924177.608032</v>
      </c>
      <c r="BI870" s="1710">
        <f t="shared" si="53"/>
        <v>15074726753.50322</v>
      </c>
      <c r="BJ870" s="1711">
        <f t="shared" si="54"/>
        <v>18224902.199793592</v>
      </c>
      <c r="BK870" s="1711">
        <f t="shared" si="55"/>
        <v>0.83503498162464018</v>
      </c>
    </row>
    <row r="871" spans="3:67" x14ac:dyDescent="0.25">
      <c r="C871" s="246" t="s">
        <v>2221</v>
      </c>
      <c r="D871" s="246">
        <v>1</v>
      </c>
      <c r="E871" s="246">
        <v>2</v>
      </c>
      <c r="F871" s="246">
        <v>3</v>
      </c>
      <c r="G871" s="246">
        <v>5</v>
      </c>
      <c r="H871" s="246">
        <v>10</v>
      </c>
      <c r="I871" s="246">
        <v>12</v>
      </c>
      <c r="J871" s="246">
        <v>15</v>
      </c>
      <c r="K871" s="246">
        <v>16</v>
      </c>
      <c r="L871" s="246"/>
      <c r="M871" s="246"/>
      <c r="N871" s="246"/>
      <c r="O871" s="246"/>
      <c r="P871" s="246"/>
      <c r="Q871" s="246"/>
      <c r="R871" s="246">
        <f>IFERROR(VLOOKUP(D871,PROGRAMAS[],2,FALSE),0)</f>
        <v>97037803.679377079</v>
      </c>
      <c r="S871" s="246">
        <f>IFERROR(VLOOKUP(E871,PROGRAMAS[],2,FALSE),0)</f>
        <v>640501509.6821388</v>
      </c>
      <c r="T871" s="246">
        <f>IFERROR(VLOOKUP(F871,PROGRAMAS[],2,FALSE),0)</f>
        <v>3062327798.1525245</v>
      </c>
      <c r="U871" s="246">
        <f>IFERROR(VLOOKUP(G871,PROGRAMAS[],2,FALSE),0)</f>
        <v>1440941976.2528784</v>
      </c>
      <c r="V871" s="246">
        <f>IFERROR(VLOOKUP(H871,PROGRAMAS[],2,FALSE),0)</f>
        <v>4635315027.8751087</v>
      </c>
      <c r="W871" s="246">
        <f>IFERROR(VLOOKUP(I871,PROGRAMAS[],2,FALSE),0)</f>
        <v>764796700.79905891</v>
      </c>
      <c r="X871" s="246">
        <f>IFERROR(VLOOKUP(J871,PROGRAMAS[],2,FALSE),0)</f>
        <v>122159672.96346797</v>
      </c>
      <c r="Y871" s="246">
        <f>IFERROR(VLOOKUP(K871,PROGRAMAS[],2,FALSE),0)</f>
        <v>7068496961.0436354</v>
      </c>
      <c r="Z871" s="246">
        <f>IFERROR(VLOOKUP(L871,PROGRAMAS[],2,FALSE),0)</f>
        <v>0</v>
      </c>
      <c r="AA871" s="246">
        <f>IFERROR(VLOOKUP(M871,PROGRAMAS[],2,FALSE),0)</f>
        <v>0</v>
      </c>
      <c r="AB871" s="246">
        <f>IFERROR(VLOOKUP(N871,PROGRAMAS[],2,FALSE),0)</f>
        <v>0</v>
      </c>
      <c r="AC871" s="246">
        <f>IFERROR(VLOOKUP(O871,PROGRAMAS[],2,FALSE),0)</f>
        <v>0</v>
      </c>
      <c r="AD871" s="246">
        <f>IFERROR(VLOOKUP(P871,PROGRAMAS[],2,FALSE),0)</f>
        <v>0</v>
      </c>
      <c r="AE871" s="246">
        <f>IFERROR(VLOOKUP(Q871,PROGRAMAS[],2,FALSE),0)</f>
        <v>0</v>
      </c>
      <c r="AF871" s="246">
        <f>IFERROR(VLOOKUP(D871,PROGRAMAS[],3,FALSE),0)</f>
        <v>841888629.31080008</v>
      </c>
      <c r="AG871" s="246">
        <f>IFERROR(VLOOKUP(E871,PROGRAMAS[],3,FALSE),0)</f>
        <v>3848980803.1642323</v>
      </c>
      <c r="AH871" s="246">
        <f>IFERROR(VLOOKUP(F871,PROGRAMAS[],3,FALSE),0)</f>
        <v>3394901471.387517</v>
      </c>
      <c r="AI871" s="246">
        <f>IFERROR(VLOOKUP(G871,PROGRAMAS[],3,FALSE),0)</f>
        <v>1233505101.0616004</v>
      </c>
      <c r="AJ871" s="246">
        <f>IFERROR(VLOOKUP(H871,PROGRAMAS[],3,FALSE),0)</f>
        <v>4099471734.9978786</v>
      </c>
      <c r="AK871" s="246">
        <f>IFERROR(VLOOKUP(I871,PROGRAMAS[],3,FALSE),0)</f>
        <v>675517840.109828</v>
      </c>
      <c r="AL871" s="246">
        <f>IFERROR(VLOOKUP(J871,PROGRAMAS[],3,FALSE),0)</f>
        <v>118617452.52510804</v>
      </c>
      <c r="AM871" s="246">
        <f>IFERROR(VLOOKUP(K871,PROGRAMAS[],3,FALSE),0)</f>
        <v>2406564599.0319901</v>
      </c>
      <c r="AN871" s="246">
        <f>IFERROR(VLOOKUP(L871,PROGRAMAS[],3,FALSE),0)</f>
        <v>0</v>
      </c>
      <c r="AO871" s="246">
        <f>IFERROR(VLOOKUP(M871,PROGRAMAS[],3,FALSE),0)</f>
        <v>0</v>
      </c>
      <c r="AP871" s="246">
        <f>IFERROR(VLOOKUP(N871,PROGRAMAS[],3,FALSE),0)</f>
        <v>0</v>
      </c>
      <c r="AQ871" s="246">
        <f>IFERROR(VLOOKUP(O871,PROGRAMAS[],3,FALSE),0)</f>
        <v>0</v>
      </c>
      <c r="AR871" s="246">
        <f>IFERROR(VLOOKUP(P871,PROGRAMAS[],3,FALSE),0)</f>
        <v>0</v>
      </c>
      <c r="AS871" s="246">
        <f>IFERROR(VLOOKUP(Q871,PROGRAMAS[],3,FALSE),0)</f>
        <v>0</v>
      </c>
      <c r="AT871" s="246">
        <f>IFERROR(VLOOKUP(D871,VOL_REC[],2,FALSE),0)</f>
        <v>0</v>
      </c>
      <c r="AU871" s="246">
        <f>IFERROR(VLOOKUP(E871,VOL_REC[],2,FALSE),0)</f>
        <v>0</v>
      </c>
      <c r="AV871" s="246">
        <f>IFERROR(VLOOKUP(F871,VOL_REC[],2,FALSE),0)</f>
        <v>11089674.200000001</v>
      </c>
      <c r="AW871" s="246">
        <f>IFERROR(VLOOKUP(G871,VOL_REC[],2,FALSE),0)</f>
        <v>4325103.1812214684</v>
      </c>
      <c r="AX871" s="246">
        <f>IFERROR(VLOOKUP(H871,VOL_REC[],2,FALSE),0)</f>
        <v>1812240</v>
      </c>
      <c r="AY871" s="246">
        <f>IFERROR(VLOOKUP(I871,VOL_REC[],2,FALSE),0)</f>
        <v>240696.79238099116</v>
      </c>
      <c r="AZ871" s="246">
        <f>IFERROR(VLOOKUP(J871,VOL_REC[],2,FALSE),0)</f>
        <v>105072</v>
      </c>
      <c r="BA871" s="246">
        <f>IFERROR(VLOOKUP(K871,VOL_REC[],2,FALSE),0)</f>
        <v>1072354.9981737854</v>
      </c>
      <c r="BB871" s="246">
        <f>IFERROR(VLOOKUP(L871,VOL_REC[],2,FALSE),0)</f>
        <v>0</v>
      </c>
      <c r="BC871" s="246">
        <f>IFERROR(VLOOKUP(M871,VOL_REC[],2,FALSE),0)</f>
        <v>0</v>
      </c>
      <c r="BD871" s="246">
        <f>IFERROR(VLOOKUP(N871,VOL_REC[],2,FALSE),0)</f>
        <v>0</v>
      </c>
      <c r="BE871" s="246">
        <f>IFERROR(VLOOKUP(O871,VOL_REC[],2,FALSE),0)</f>
        <v>0</v>
      </c>
      <c r="BF871" s="246">
        <f>IFERROR(VLOOKUP(P871,VOL_REC[],2,FALSE),0)</f>
        <v>0</v>
      </c>
      <c r="BG871" s="246">
        <f>IFERROR(VLOOKUP(Q871,VOL_REC[],2,FALSE),0)</f>
        <v>0</v>
      </c>
      <c r="BH871" s="1710">
        <f t="shared" si="52"/>
        <v>17831577450.448193</v>
      </c>
      <c r="BI871" s="1710">
        <f t="shared" si="53"/>
        <v>16619447631.588955</v>
      </c>
      <c r="BJ871" s="1711">
        <f t="shared" si="54"/>
        <v>18645141.171776246</v>
      </c>
      <c r="BK871" s="1711">
        <f t="shared" si="55"/>
        <v>1.0729344227154287</v>
      </c>
      <c r="BL871">
        <f>BJ871</f>
        <v>18645141.171776246</v>
      </c>
      <c r="BO871">
        <f>BL871</f>
        <v>18645141.171776246</v>
      </c>
    </row>
    <row r="872" spans="3:67" x14ac:dyDescent="0.25">
      <c r="C872" s="246" t="s">
        <v>2222</v>
      </c>
      <c r="D872" s="246">
        <v>1</v>
      </c>
      <c r="E872" s="246">
        <v>2</v>
      </c>
      <c r="F872" s="246">
        <v>3</v>
      </c>
      <c r="G872" s="246">
        <v>5</v>
      </c>
      <c r="H872" s="246">
        <v>10</v>
      </c>
      <c r="I872" s="246">
        <v>12</v>
      </c>
      <c r="J872" s="246">
        <v>15</v>
      </c>
      <c r="K872" s="246">
        <v>17</v>
      </c>
      <c r="L872" s="246"/>
      <c r="M872" s="246"/>
      <c r="N872" s="246"/>
      <c r="O872" s="246"/>
      <c r="P872" s="246"/>
      <c r="Q872" s="246"/>
      <c r="R872" s="246">
        <f>IFERROR(VLOOKUP(D872,PROGRAMAS[],2,FALSE),0)</f>
        <v>97037803.679377079</v>
      </c>
      <c r="S872" s="246">
        <f>IFERROR(VLOOKUP(E872,PROGRAMAS[],2,FALSE),0)</f>
        <v>640501509.6821388</v>
      </c>
      <c r="T872" s="246">
        <f>IFERROR(VLOOKUP(F872,PROGRAMAS[],2,FALSE),0)</f>
        <v>3062327798.1525245</v>
      </c>
      <c r="U872" s="246">
        <f>IFERROR(VLOOKUP(G872,PROGRAMAS[],2,FALSE),0)</f>
        <v>1440941976.2528784</v>
      </c>
      <c r="V872" s="246">
        <f>IFERROR(VLOOKUP(H872,PROGRAMAS[],2,FALSE),0)</f>
        <v>4635315027.8751087</v>
      </c>
      <c r="W872" s="246">
        <f>IFERROR(VLOOKUP(I872,PROGRAMAS[],2,FALSE),0)</f>
        <v>764796700.79905891</v>
      </c>
      <c r="X872" s="246">
        <f>IFERROR(VLOOKUP(J872,PROGRAMAS[],2,FALSE),0)</f>
        <v>122159672.96346797</v>
      </c>
      <c r="Y872" s="246">
        <f>IFERROR(VLOOKUP(K872,PROGRAMAS[],2,FALSE),0)</f>
        <v>1892779498.5211046</v>
      </c>
      <c r="Z872" s="246">
        <f>IFERROR(VLOOKUP(L872,PROGRAMAS[],2,FALSE),0)</f>
        <v>0</v>
      </c>
      <c r="AA872" s="246">
        <f>IFERROR(VLOOKUP(M872,PROGRAMAS[],2,FALSE),0)</f>
        <v>0</v>
      </c>
      <c r="AB872" s="246">
        <f>IFERROR(VLOOKUP(N872,PROGRAMAS[],2,FALSE),0)</f>
        <v>0</v>
      </c>
      <c r="AC872" s="246">
        <f>IFERROR(VLOOKUP(O872,PROGRAMAS[],2,FALSE),0)</f>
        <v>0</v>
      </c>
      <c r="AD872" s="246">
        <f>IFERROR(VLOOKUP(P872,PROGRAMAS[],2,FALSE),0)</f>
        <v>0</v>
      </c>
      <c r="AE872" s="246">
        <f>IFERROR(VLOOKUP(Q872,PROGRAMAS[],2,FALSE),0)</f>
        <v>0</v>
      </c>
      <c r="AF872" s="246">
        <f>IFERROR(VLOOKUP(D872,PROGRAMAS[],3,FALSE),0)</f>
        <v>841888629.31080008</v>
      </c>
      <c r="AG872" s="246">
        <f>IFERROR(VLOOKUP(E872,PROGRAMAS[],3,FALSE),0)</f>
        <v>3848980803.1642323</v>
      </c>
      <c r="AH872" s="246">
        <f>IFERROR(VLOOKUP(F872,PROGRAMAS[],3,FALSE),0)</f>
        <v>3394901471.387517</v>
      </c>
      <c r="AI872" s="246">
        <f>IFERROR(VLOOKUP(G872,PROGRAMAS[],3,FALSE),0)</f>
        <v>1233505101.0616004</v>
      </c>
      <c r="AJ872" s="246">
        <f>IFERROR(VLOOKUP(H872,PROGRAMAS[],3,FALSE),0)</f>
        <v>4099471734.9978786</v>
      </c>
      <c r="AK872" s="246">
        <f>IFERROR(VLOOKUP(I872,PROGRAMAS[],3,FALSE),0)</f>
        <v>675517840.109828</v>
      </c>
      <c r="AL872" s="246">
        <f>IFERROR(VLOOKUP(J872,PROGRAMAS[],3,FALSE),0)</f>
        <v>118617452.52510804</v>
      </c>
      <c r="AM872" s="246">
        <f>IFERROR(VLOOKUP(K872,PROGRAMAS[],3,FALSE),0)</f>
        <v>948595847.09039903</v>
      </c>
      <c r="AN872" s="246">
        <f>IFERROR(VLOOKUP(L872,PROGRAMAS[],3,FALSE),0)</f>
        <v>0</v>
      </c>
      <c r="AO872" s="246">
        <f>IFERROR(VLOOKUP(M872,PROGRAMAS[],3,FALSE),0)</f>
        <v>0</v>
      </c>
      <c r="AP872" s="246">
        <f>IFERROR(VLOOKUP(N872,PROGRAMAS[],3,FALSE),0)</f>
        <v>0</v>
      </c>
      <c r="AQ872" s="246">
        <f>IFERROR(VLOOKUP(O872,PROGRAMAS[],3,FALSE),0)</f>
        <v>0</v>
      </c>
      <c r="AR872" s="246">
        <f>IFERROR(VLOOKUP(P872,PROGRAMAS[],3,FALSE),0)</f>
        <v>0</v>
      </c>
      <c r="AS872" s="246">
        <f>IFERROR(VLOOKUP(Q872,PROGRAMAS[],3,FALSE),0)</f>
        <v>0</v>
      </c>
      <c r="AT872" s="246">
        <f>IFERROR(VLOOKUP(D872,VOL_REC[],2,FALSE),0)</f>
        <v>0</v>
      </c>
      <c r="AU872" s="246">
        <f>IFERROR(VLOOKUP(E872,VOL_REC[],2,FALSE),0)</f>
        <v>0</v>
      </c>
      <c r="AV872" s="246">
        <f>IFERROR(VLOOKUP(F872,VOL_REC[],2,FALSE),0)</f>
        <v>11089674.200000001</v>
      </c>
      <c r="AW872" s="246">
        <f>IFERROR(VLOOKUP(G872,VOL_REC[],2,FALSE),0)</f>
        <v>4325103.1812214684</v>
      </c>
      <c r="AX872" s="246">
        <f>IFERROR(VLOOKUP(H872,VOL_REC[],2,FALSE),0)</f>
        <v>1812240</v>
      </c>
      <c r="AY872" s="246">
        <f>IFERROR(VLOOKUP(I872,VOL_REC[],2,FALSE),0)</f>
        <v>240696.79238099116</v>
      </c>
      <c r="AZ872" s="246">
        <f>IFERROR(VLOOKUP(J872,VOL_REC[],2,FALSE),0)</f>
        <v>105072</v>
      </c>
      <c r="BA872" s="246">
        <f>IFERROR(VLOOKUP(K872,VOL_REC[],2,FALSE),0)</f>
        <v>740113.98115702497</v>
      </c>
      <c r="BB872" s="246">
        <f>IFERROR(VLOOKUP(L872,VOL_REC[],2,FALSE),0)</f>
        <v>0</v>
      </c>
      <c r="BC872" s="246">
        <f>IFERROR(VLOOKUP(M872,VOL_REC[],2,FALSE),0)</f>
        <v>0</v>
      </c>
      <c r="BD872" s="246">
        <f>IFERROR(VLOOKUP(N872,VOL_REC[],2,FALSE),0)</f>
        <v>0</v>
      </c>
      <c r="BE872" s="246">
        <f>IFERROR(VLOOKUP(O872,VOL_REC[],2,FALSE),0)</f>
        <v>0</v>
      </c>
      <c r="BF872" s="246">
        <f>IFERROR(VLOOKUP(P872,VOL_REC[],2,FALSE),0)</f>
        <v>0</v>
      </c>
      <c r="BG872" s="246">
        <f>IFERROR(VLOOKUP(Q872,VOL_REC[],2,FALSE),0)</f>
        <v>0</v>
      </c>
      <c r="BH872" s="1710">
        <f t="shared" si="52"/>
        <v>12655859987.925661</v>
      </c>
      <c r="BI872" s="1710">
        <f t="shared" si="53"/>
        <v>15161478879.647364</v>
      </c>
      <c r="BJ872" s="1711">
        <f t="shared" si="54"/>
        <v>18312900.154759485</v>
      </c>
      <c r="BK872" s="1711">
        <f t="shared" si="55"/>
        <v>0.83473783054994566</v>
      </c>
    </row>
    <row r="873" spans="3:67" x14ac:dyDescent="0.25">
      <c r="C873" s="246" t="s">
        <v>2223</v>
      </c>
      <c r="D873" s="246">
        <v>1</v>
      </c>
      <c r="E873" s="246">
        <v>2</v>
      </c>
      <c r="F873" s="246">
        <v>3</v>
      </c>
      <c r="G873" s="246">
        <v>5</v>
      </c>
      <c r="H873" s="246">
        <v>10</v>
      </c>
      <c r="I873" s="246">
        <v>12</v>
      </c>
      <c r="J873" s="246">
        <v>16</v>
      </c>
      <c r="K873" s="246">
        <v>17</v>
      </c>
      <c r="L873" s="246"/>
      <c r="M873" s="246"/>
      <c r="N873" s="246"/>
      <c r="O873" s="246"/>
      <c r="P873" s="246"/>
      <c r="Q873" s="246"/>
      <c r="R873" s="246">
        <f>IFERROR(VLOOKUP(D873,PROGRAMAS[],2,FALSE),0)</f>
        <v>97037803.679377079</v>
      </c>
      <c r="S873" s="246">
        <f>IFERROR(VLOOKUP(E873,PROGRAMAS[],2,FALSE),0)</f>
        <v>640501509.6821388</v>
      </c>
      <c r="T873" s="246">
        <f>IFERROR(VLOOKUP(F873,PROGRAMAS[],2,FALSE),0)</f>
        <v>3062327798.1525245</v>
      </c>
      <c r="U873" s="246">
        <f>IFERROR(VLOOKUP(G873,PROGRAMAS[],2,FALSE),0)</f>
        <v>1440941976.2528784</v>
      </c>
      <c r="V873" s="246">
        <f>IFERROR(VLOOKUP(H873,PROGRAMAS[],2,FALSE),0)</f>
        <v>4635315027.8751087</v>
      </c>
      <c r="W873" s="246">
        <f>IFERROR(VLOOKUP(I873,PROGRAMAS[],2,FALSE),0)</f>
        <v>764796700.79905891</v>
      </c>
      <c r="X873" s="246">
        <f>IFERROR(VLOOKUP(J873,PROGRAMAS[],2,FALSE),0)</f>
        <v>7068496961.0436354</v>
      </c>
      <c r="Y873" s="246">
        <f>IFERROR(VLOOKUP(K873,PROGRAMAS[],2,FALSE),0)</f>
        <v>1892779498.5211046</v>
      </c>
      <c r="Z873" s="246">
        <f>IFERROR(VLOOKUP(L873,PROGRAMAS[],2,FALSE),0)</f>
        <v>0</v>
      </c>
      <c r="AA873" s="246">
        <f>IFERROR(VLOOKUP(M873,PROGRAMAS[],2,FALSE),0)</f>
        <v>0</v>
      </c>
      <c r="AB873" s="246">
        <f>IFERROR(VLOOKUP(N873,PROGRAMAS[],2,FALSE),0)</f>
        <v>0</v>
      </c>
      <c r="AC873" s="246">
        <f>IFERROR(VLOOKUP(O873,PROGRAMAS[],2,FALSE),0)</f>
        <v>0</v>
      </c>
      <c r="AD873" s="246">
        <f>IFERROR(VLOOKUP(P873,PROGRAMAS[],2,FALSE),0)</f>
        <v>0</v>
      </c>
      <c r="AE873" s="246">
        <f>IFERROR(VLOOKUP(Q873,PROGRAMAS[],2,FALSE),0)</f>
        <v>0</v>
      </c>
      <c r="AF873" s="246">
        <f>IFERROR(VLOOKUP(D873,PROGRAMAS[],3,FALSE),0)</f>
        <v>841888629.31080008</v>
      </c>
      <c r="AG873" s="246">
        <f>IFERROR(VLOOKUP(E873,PROGRAMAS[],3,FALSE),0)</f>
        <v>3848980803.1642323</v>
      </c>
      <c r="AH873" s="246">
        <f>IFERROR(VLOOKUP(F873,PROGRAMAS[],3,FALSE),0)</f>
        <v>3394901471.387517</v>
      </c>
      <c r="AI873" s="246">
        <f>IFERROR(VLOOKUP(G873,PROGRAMAS[],3,FALSE),0)</f>
        <v>1233505101.0616004</v>
      </c>
      <c r="AJ873" s="246">
        <f>IFERROR(VLOOKUP(H873,PROGRAMAS[],3,FALSE),0)</f>
        <v>4099471734.9978786</v>
      </c>
      <c r="AK873" s="246">
        <f>IFERROR(VLOOKUP(I873,PROGRAMAS[],3,FALSE),0)</f>
        <v>675517840.109828</v>
      </c>
      <c r="AL873" s="246">
        <f>IFERROR(VLOOKUP(J873,PROGRAMAS[],3,FALSE),0)</f>
        <v>2406564599.0319901</v>
      </c>
      <c r="AM873" s="246">
        <f>IFERROR(VLOOKUP(K873,PROGRAMAS[],3,FALSE),0)</f>
        <v>948595847.09039903</v>
      </c>
      <c r="AN873" s="246">
        <f>IFERROR(VLOOKUP(L873,PROGRAMAS[],3,FALSE),0)</f>
        <v>0</v>
      </c>
      <c r="AO873" s="246">
        <f>IFERROR(VLOOKUP(M873,PROGRAMAS[],3,FALSE),0)</f>
        <v>0</v>
      </c>
      <c r="AP873" s="246">
        <f>IFERROR(VLOOKUP(N873,PROGRAMAS[],3,FALSE),0)</f>
        <v>0</v>
      </c>
      <c r="AQ873" s="246">
        <f>IFERROR(VLOOKUP(O873,PROGRAMAS[],3,FALSE),0)</f>
        <v>0</v>
      </c>
      <c r="AR873" s="246">
        <f>IFERROR(VLOOKUP(P873,PROGRAMAS[],3,FALSE),0)</f>
        <v>0</v>
      </c>
      <c r="AS873" s="246">
        <f>IFERROR(VLOOKUP(Q873,PROGRAMAS[],3,FALSE),0)</f>
        <v>0</v>
      </c>
      <c r="AT873" s="246">
        <f>IFERROR(VLOOKUP(D873,VOL_REC[],2,FALSE),0)</f>
        <v>0</v>
      </c>
      <c r="AU873" s="246">
        <f>IFERROR(VLOOKUP(E873,VOL_REC[],2,FALSE),0)</f>
        <v>0</v>
      </c>
      <c r="AV873" s="246">
        <f>IFERROR(VLOOKUP(F873,VOL_REC[],2,FALSE),0)</f>
        <v>11089674.200000001</v>
      </c>
      <c r="AW873" s="246">
        <f>IFERROR(VLOOKUP(G873,VOL_REC[],2,FALSE),0)</f>
        <v>4325103.1812214684</v>
      </c>
      <c r="AX873" s="246">
        <f>IFERROR(VLOOKUP(H873,VOL_REC[],2,FALSE),0)</f>
        <v>1812240</v>
      </c>
      <c r="AY873" s="246">
        <f>IFERROR(VLOOKUP(I873,VOL_REC[],2,FALSE),0)</f>
        <v>240696.79238099116</v>
      </c>
      <c r="AZ873" s="246">
        <f>IFERROR(VLOOKUP(J873,VOL_REC[],2,FALSE),0)</f>
        <v>1072354.9981737854</v>
      </c>
      <c r="BA873" s="246">
        <f>IFERROR(VLOOKUP(K873,VOL_REC[],2,FALSE),0)</f>
        <v>740113.98115702497</v>
      </c>
      <c r="BB873" s="246">
        <f>IFERROR(VLOOKUP(L873,VOL_REC[],2,FALSE),0)</f>
        <v>0</v>
      </c>
      <c r="BC873" s="246">
        <f>IFERROR(VLOOKUP(M873,VOL_REC[],2,FALSE),0)</f>
        <v>0</v>
      </c>
      <c r="BD873" s="246">
        <f>IFERROR(VLOOKUP(N873,VOL_REC[],2,FALSE),0)</f>
        <v>0</v>
      </c>
      <c r="BE873" s="246">
        <f>IFERROR(VLOOKUP(O873,VOL_REC[],2,FALSE),0)</f>
        <v>0</v>
      </c>
      <c r="BF873" s="246">
        <f>IFERROR(VLOOKUP(P873,VOL_REC[],2,FALSE),0)</f>
        <v>0</v>
      </c>
      <c r="BG873" s="246">
        <f>IFERROR(VLOOKUP(Q873,VOL_REC[],2,FALSE),0)</f>
        <v>0</v>
      </c>
      <c r="BH873" s="1710">
        <f t="shared" si="52"/>
        <v>19602197276.005825</v>
      </c>
      <c r="BI873" s="1710">
        <f t="shared" si="53"/>
        <v>17449426026.154247</v>
      </c>
      <c r="BJ873" s="1711">
        <f t="shared" si="54"/>
        <v>19280183.15293327</v>
      </c>
      <c r="BK873" s="1711">
        <f t="shared" si="55"/>
        <v>1.1233720379469718</v>
      </c>
      <c r="BL873">
        <f>BJ873</f>
        <v>19280183.15293327</v>
      </c>
      <c r="BO873">
        <f>BL873</f>
        <v>19280183.15293327</v>
      </c>
    </row>
    <row r="874" spans="3:67" x14ac:dyDescent="0.25">
      <c r="C874" s="246" t="s">
        <v>2224</v>
      </c>
      <c r="D874" s="246">
        <v>1</v>
      </c>
      <c r="E874" s="246">
        <v>2</v>
      </c>
      <c r="F874" s="246">
        <v>3</v>
      </c>
      <c r="G874" s="246">
        <v>5</v>
      </c>
      <c r="H874" s="246">
        <v>10</v>
      </c>
      <c r="I874" s="246">
        <v>13</v>
      </c>
      <c r="J874" s="246">
        <v>14</v>
      </c>
      <c r="K874" s="246">
        <v>15</v>
      </c>
      <c r="L874" s="246"/>
      <c r="M874" s="246"/>
      <c r="N874" s="246"/>
      <c r="O874" s="246"/>
      <c r="P874" s="246"/>
      <c r="Q874" s="246"/>
      <c r="R874" s="246">
        <f>IFERROR(VLOOKUP(D874,PROGRAMAS[],2,FALSE),0)</f>
        <v>97037803.679377079</v>
      </c>
      <c r="S874" s="246">
        <f>IFERROR(VLOOKUP(E874,PROGRAMAS[],2,FALSE),0)</f>
        <v>640501509.6821388</v>
      </c>
      <c r="T874" s="246">
        <f>IFERROR(VLOOKUP(F874,PROGRAMAS[],2,FALSE),0)</f>
        <v>3062327798.1525245</v>
      </c>
      <c r="U874" s="246">
        <f>IFERROR(VLOOKUP(G874,PROGRAMAS[],2,FALSE),0)</f>
        <v>1440941976.2528784</v>
      </c>
      <c r="V874" s="246">
        <f>IFERROR(VLOOKUP(H874,PROGRAMAS[],2,FALSE),0)</f>
        <v>4635315027.8751087</v>
      </c>
      <c r="W874" s="246">
        <f>IFERROR(VLOOKUP(I874,PROGRAMAS[],2,FALSE),0)</f>
        <v>3776538594.4604583</v>
      </c>
      <c r="X874" s="246">
        <f>IFERROR(VLOOKUP(J874,PROGRAMAS[],2,FALSE),0)</f>
        <v>54223862.645839565</v>
      </c>
      <c r="Y874" s="246">
        <f>IFERROR(VLOOKUP(K874,PROGRAMAS[],2,FALSE),0)</f>
        <v>122159672.96346797</v>
      </c>
      <c r="Z874" s="246">
        <f>IFERROR(VLOOKUP(L874,PROGRAMAS[],2,FALSE),0)</f>
        <v>0</v>
      </c>
      <c r="AA874" s="246">
        <f>IFERROR(VLOOKUP(M874,PROGRAMAS[],2,FALSE),0)</f>
        <v>0</v>
      </c>
      <c r="AB874" s="246">
        <f>IFERROR(VLOOKUP(N874,PROGRAMAS[],2,FALSE),0)</f>
        <v>0</v>
      </c>
      <c r="AC874" s="246">
        <f>IFERROR(VLOOKUP(O874,PROGRAMAS[],2,FALSE),0)</f>
        <v>0</v>
      </c>
      <c r="AD874" s="246">
        <f>IFERROR(VLOOKUP(P874,PROGRAMAS[],2,FALSE),0)</f>
        <v>0</v>
      </c>
      <c r="AE874" s="246">
        <f>IFERROR(VLOOKUP(Q874,PROGRAMAS[],2,FALSE),0)</f>
        <v>0</v>
      </c>
      <c r="AF874" s="246">
        <f>IFERROR(VLOOKUP(D874,PROGRAMAS[],3,FALSE),0)</f>
        <v>841888629.31080008</v>
      </c>
      <c r="AG874" s="246">
        <f>IFERROR(VLOOKUP(E874,PROGRAMAS[],3,FALSE),0)</f>
        <v>3848980803.1642323</v>
      </c>
      <c r="AH874" s="246">
        <f>IFERROR(VLOOKUP(F874,PROGRAMAS[],3,FALSE),0)</f>
        <v>3394901471.387517</v>
      </c>
      <c r="AI874" s="246">
        <f>IFERROR(VLOOKUP(G874,PROGRAMAS[],3,FALSE),0)</f>
        <v>1233505101.0616004</v>
      </c>
      <c r="AJ874" s="246">
        <f>IFERROR(VLOOKUP(H874,PROGRAMAS[],3,FALSE),0)</f>
        <v>4099471734.9978786</v>
      </c>
      <c r="AK874" s="246">
        <f>IFERROR(VLOOKUP(I874,PROGRAMAS[],3,FALSE),0)</f>
        <v>2392571243.5584412</v>
      </c>
      <c r="AL874" s="246">
        <f>IFERROR(VLOOKUP(J874,PROGRAMAS[],3,FALSE),0)</f>
        <v>31865326.38096505</v>
      </c>
      <c r="AM874" s="246">
        <f>IFERROR(VLOOKUP(K874,PROGRAMAS[],3,FALSE),0)</f>
        <v>118617452.52510804</v>
      </c>
      <c r="AN874" s="246">
        <f>IFERROR(VLOOKUP(L874,PROGRAMAS[],3,FALSE),0)</f>
        <v>0</v>
      </c>
      <c r="AO874" s="246">
        <f>IFERROR(VLOOKUP(M874,PROGRAMAS[],3,FALSE),0)</f>
        <v>0</v>
      </c>
      <c r="AP874" s="246">
        <f>IFERROR(VLOOKUP(N874,PROGRAMAS[],3,FALSE),0)</f>
        <v>0</v>
      </c>
      <c r="AQ874" s="246">
        <f>IFERROR(VLOOKUP(O874,PROGRAMAS[],3,FALSE),0)</f>
        <v>0</v>
      </c>
      <c r="AR874" s="246">
        <f>IFERROR(VLOOKUP(P874,PROGRAMAS[],3,FALSE),0)</f>
        <v>0</v>
      </c>
      <c r="AS874" s="246">
        <f>IFERROR(VLOOKUP(Q874,PROGRAMAS[],3,FALSE),0)</f>
        <v>0</v>
      </c>
      <c r="AT874" s="246">
        <f>IFERROR(VLOOKUP(D874,VOL_REC[],2,FALSE),0)</f>
        <v>0</v>
      </c>
      <c r="AU874" s="246">
        <f>IFERROR(VLOOKUP(E874,VOL_REC[],2,FALSE),0)</f>
        <v>0</v>
      </c>
      <c r="AV874" s="246">
        <f>IFERROR(VLOOKUP(F874,VOL_REC[],2,FALSE),0)</f>
        <v>11089674.200000001</v>
      </c>
      <c r="AW874" s="246">
        <f>IFERROR(VLOOKUP(G874,VOL_REC[],2,FALSE),0)</f>
        <v>4325103.1812214684</v>
      </c>
      <c r="AX874" s="246">
        <f>IFERROR(VLOOKUP(H874,VOL_REC[],2,FALSE),0)</f>
        <v>1812240</v>
      </c>
      <c r="AY874" s="246">
        <f>IFERROR(VLOOKUP(I874,VOL_REC[],2,FALSE),0)</f>
        <v>663244.80000000016</v>
      </c>
      <c r="AZ874" s="246">
        <f>IFERROR(VLOOKUP(J874,VOL_REC[],2,FALSE),0)</f>
        <v>17074.045034105649</v>
      </c>
      <c r="BA874" s="246">
        <f>IFERROR(VLOOKUP(K874,VOL_REC[],2,FALSE),0)</f>
        <v>105072</v>
      </c>
      <c r="BB874" s="246">
        <f>IFERROR(VLOOKUP(L874,VOL_REC[],2,FALSE),0)</f>
        <v>0</v>
      </c>
      <c r="BC874" s="246">
        <f>IFERROR(VLOOKUP(M874,VOL_REC[],2,FALSE),0)</f>
        <v>0</v>
      </c>
      <c r="BD874" s="246">
        <f>IFERROR(VLOOKUP(N874,VOL_REC[],2,FALSE),0)</f>
        <v>0</v>
      </c>
      <c r="BE874" s="246">
        <f>IFERROR(VLOOKUP(O874,VOL_REC[],2,FALSE),0)</f>
        <v>0</v>
      </c>
      <c r="BF874" s="246">
        <f>IFERROR(VLOOKUP(P874,VOL_REC[],2,FALSE),0)</f>
        <v>0</v>
      </c>
      <c r="BG874" s="246">
        <f>IFERROR(VLOOKUP(Q874,VOL_REC[],2,FALSE),0)</f>
        <v>0</v>
      </c>
      <c r="BH874" s="1710">
        <f t="shared" si="52"/>
        <v>13829046245.711796</v>
      </c>
      <c r="BI874" s="1710">
        <f t="shared" si="53"/>
        <v>15961801762.386543</v>
      </c>
      <c r="BJ874" s="1711">
        <f t="shared" si="54"/>
        <v>18012408.226255577</v>
      </c>
      <c r="BK874" s="1711">
        <f t="shared" si="55"/>
        <v>0.86638378621513046</v>
      </c>
    </row>
    <row r="875" spans="3:67" x14ac:dyDescent="0.25">
      <c r="C875" s="246" t="s">
        <v>2225</v>
      </c>
      <c r="D875" s="246">
        <v>1</v>
      </c>
      <c r="E875" s="246">
        <v>2</v>
      </c>
      <c r="F875" s="246">
        <v>3</v>
      </c>
      <c r="G875" s="246">
        <v>5</v>
      </c>
      <c r="H875" s="246">
        <v>10</v>
      </c>
      <c r="I875" s="246">
        <v>13</v>
      </c>
      <c r="J875" s="246">
        <v>14</v>
      </c>
      <c r="K875" s="246">
        <v>16</v>
      </c>
      <c r="L875" s="246"/>
      <c r="M875" s="246"/>
      <c r="N875" s="246"/>
      <c r="O875" s="246"/>
      <c r="P875" s="246"/>
      <c r="Q875" s="246"/>
      <c r="R875" s="246">
        <f>IFERROR(VLOOKUP(D875,PROGRAMAS[],2,FALSE),0)</f>
        <v>97037803.679377079</v>
      </c>
      <c r="S875" s="246">
        <f>IFERROR(VLOOKUP(E875,PROGRAMAS[],2,FALSE),0)</f>
        <v>640501509.6821388</v>
      </c>
      <c r="T875" s="246">
        <f>IFERROR(VLOOKUP(F875,PROGRAMAS[],2,FALSE),0)</f>
        <v>3062327798.1525245</v>
      </c>
      <c r="U875" s="246">
        <f>IFERROR(VLOOKUP(G875,PROGRAMAS[],2,FALSE),0)</f>
        <v>1440941976.2528784</v>
      </c>
      <c r="V875" s="246">
        <f>IFERROR(VLOOKUP(H875,PROGRAMAS[],2,FALSE),0)</f>
        <v>4635315027.8751087</v>
      </c>
      <c r="W875" s="246">
        <f>IFERROR(VLOOKUP(I875,PROGRAMAS[],2,FALSE),0)</f>
        <v>3776538594.4604583</v>
      </c>
      <c r="X875" s="246">
        <f>IFERROR(VLOOKUP(J875,PROGRAMAS[],2,FALSE),0)</f>
        <v>54223862.645839565</v>
      </c>
      <c r="Y875" s="246">
        <f>IFERROR(VLOOKUP(K875,PROGRAMAS[],2,FALSE),0)</f>
        <v>7068496961.0436354</v>
      </c>
      <c r="Z875" s="246">
        <f>IFERROR(VLOOKUP(L875,PROGRAMAS[],2,FALSE),0)</f>
        <v>0</v>
      </c>
      <c r="AA875" s="246">
        <f>IFERROR(VLOOKUP(M875,PROGRAMAS[],2,FALSE),0)</f>
        <v>0</v>
      </c>
      <c r="AB875" s="246">
        <f>IFERROR(VLOOKUP(N875,PROGRAMAS[],2,FALSE),0)</f>
        <v>0</v>
      </c>
      <c r="AC875" s="246">
        <f>IFERROR(VLOOKUP(O875,PROGRAMAS[],2,FALSE),0)</f>
        <v>0</v>
      </c>
      <c r="AD875" s="246">
        <f>IFERROR(VLOOKUP(P875,PROGRAMAS[],2,FALSE),0)</f>
        <v>0</v>
      </c>
      <c r="AE875" s="246">
        <f>IFERROR(VLOOKUP(Q875,PROGRAMAS[],2,FALSE),0)</f>
        <v>0</v>
      </c>
      <c r="AF875" s="246">
        <f>IFERROR(VLOOKUP(D875,PROGRAMAS[],3,FALSE),0)</f>
        <v>841888629.31080008</v>
      </c>
      <c r="AG875" s="246">
        <f>IFERROR(VLOOKUP(E875,PROGRAMAS[],3,FALSE),0)</f>
        <v>3848980803.1642323</v>
      </c>
      <c r="AH875" s="246">
        <f>IFERROR(VLOOKUP(F875,PROGRAMAS[],3,FALSE),0)</f>
        <v>3394901471.387517</v>
      </c>
      <c r="AI875" s="246">
        <f>IFERROR(VLOOKUP(G875,PROGRAMAS[],3,FALSE),0)</f>
        <v>1233505101.0616004</v>
      </c>
      <c r="AJ875" s="246">
        <f>IFERROR(VLOOKUP(H875,PROGRAMAS[],3,FALSE),0)</f>
        <v>4099471734.9978786</v>
      </c>
      <c r="AK875" s="246">
        <f>IFERROR(VLOOKUP(I875,PROGRAMAS[],3,FALSE),0)</f>
        <v>2392571243.5584412</v>
      </c>
      <c r="AL875" s="246">
        <f>IFERROR(VLOOKUP(J875,PROGRAMAS[],3,FALSE),0)</f>
        <v>31865326.38096505</v>
      </c>
      <c r="AM875" s="246">
        <f>IFERROR(VLOOKUP(K875,PROGRAMAS[],3,FALSE),0)</f>
        <v>2406564599.0319901</v>
      </c>
      <c r="AN875" s="246">
        <f>IFERROR(VLOOKUP(L875,PROGRAMAS[],3,FALSE),0)</f>
        <v>0</v>
      </c>
      <c r="AO875" s="246">
        <f>IFERROR(VLOOKUP(M875,PROGRAMAS[],3,FALSE),0)</f>
        <v>0</v>
      </c>
      <c r="AP875" s="246">
        <f>IFERROR(VLOOKUP(N875,PROGRAMAS[],3,FALSE),0)</f>
        <v>0</v>
      </c>
      <c r="AQ875" s="246">
        <f>IFERROR(VLOOKUP(O875,PROGRAMAS[],3,FALSE),0)</f>
        <v>0</v>
      </c>
      <c r="AR875" s="246">
        <f>IFERROR(VLOOKUP(P875,PROGRAMAS[],3,FALSE),0)</f>
        <v>0</v>
      </c>
      <c r="AS875" s="246">
        <f>IFERROR(VLOOKUP(Q875,PROGRAMAS[],3,FALSE),0)</f>
        <v>0</v>
      </c>
      <c r="AT875" s="246">
        <f>IFERROR(VLOOKUP(D875,VOL_REC[],2,FALSE),0)</f>
        <v>0</v>
      </c>
      <c r="AU875" s="246">
        <f>IFERROR(VLOOKUP(E875,VOL_REC[],2,FALSE),0)</f>
        <v>0</v>
      </c>
      <c r="AV875" s="246">
        <f>IFERROR(VLOOKUP(F875,VOL_REC[],2,FALSE),0)</f>
        <v>11089674.200000001</v>
      </c>
      <c r="AW875" s="246">
        <f>IFERROR(VLOOKUP(G875,VOL_REC[],2,FALSE),0)</f>
        <v>4325103.1812214684</v>
      </c>
      <c r="AX875" s="246">
        <f>IFERROR(VLOOKUP(H875,VOL_REC[],2,FALSE),0)</f>
        <v>1812240</v>
      </c>
      <c r="AY875" s="246">
        <f>IFERROR(VLOOKUP(I875,VOL_REC[],2,FALSE),0)</f>
        <v>663244.80000000016</v>
      </c>
      <c r="AZ875" s="246">
        <f>IFERROR(VLOOKUP(J875,VOL_REC[],2,FALSE),0)</f>
        <v>17074.045034105649</v>
      </c>
      <c r="BA875" s="246">
        <f>IFERROR(VLOOKUP(K875,VOL_REC[],2,FALSE),0)</f>
        <v>1072354.9981737854</v>
      </c>
      <c r="BB875" s="246">
        <f>IFERROR(VLOOKUP(L875,VOL_REC[],2,FALSE),0)</f>
        <v>0</v>
      </c>
      <c r="BC875" s="246">
        <f>IFERROR(VLOOKUP(M875,VOL_REC[],2,FALSE),0)</f>
        <v>0</v>
      </c>
      <c r="BD875" s="246">
        <f>IFERROR(VLOOKUP(N875,VOL_REC[],2,FALSE),0)</f>
        <v>0</v>
      </c>
      <c r="BE875" s="246">
        <f>IFERROR(VLOOKUP(O875,VOL_REC[],2,FALSE),0)</f>
        <v>0</v>
      </c>
      <c r="BF875" s="246">
        <f>IFERROR(VLOOKUP(P875,VOL_REC[],2,FALSE),0)</f>
        <v>0</v>
      </c>
      <c r="BG875" s="246">
        <f>IFERROR(VLOOKUP(Q875,VOL_REC[],2,FALSE),0)</f>
        <v>0</v>
      </c>
      <c r="BH875" s="1710">
        <f t="shared" si="52"/>
        <v>20775383533.791962</v>
      </c>
      <c r="BI875" s="1710">
        <f t="shared" si="53"/>
        <v>18249748908.893425</v>
      </c>
      <c r="BJ875" s="1711">
        <f t="shared" si="54"/>
        <v>18979691.224429362</v>
      </c>
      <c r="BK875" s="1711">
        <f t="shared" si="55"/>
        <v>1.1383928424170127</v>
      </c>
      <c r="BL875">
        <f>BJ875</f>
        <v>18979691.224429362</v>
      </c>
      <c r="BO875">
        <f>BL875</f>
        <v>18979691.224429362</v>
      </c>
    </row>
    <row r="876" spans="3:67" x14ac:dyDescent="0.25">
      <c r="C876" s="246" t="s">
        <v>2226</v>
      </c>
      <c r="D876" s="246">
        <v>1</v>
      </c>
      <c r="E876" s="246">
        <v>2</v>
      </c>
      <c r="F876" s="246">
        <v>3</v>
      </c>
      <c r="G876" s="246">
        <v>5</v>
      </c>
      <c r="H876" s="246">
        <v>10</v>
      </c>
      <c r="I876" s="246">
        <v>13</v>
      </c>
      <c r="J876" s="246">
        <v>14</v>
      </c>
      <c r="K876" s="246">
        <v>17</v>
      </c>
      <c r="L876" s="246"/>
      <c r="M876" s="246"/>
      <c r="N876" s="246"/>
      <c r="O876" s="246"/>
      <c r="P876" s="246"/>
      <c r="Q876" s="246"/>
      <c r="R876" s="246">
        <f>IFERROR(VLOOKUP(D876,PROGRAMAS[],2,FALSE),0)</f>
        <v>97037803.679377079</v>
      </c>
      <c r="S876" s="246">
        <f>IFERROR(VLOOKUP(E876,PROGRAMAS[],2,FALSE),0)</f>
        <v>640501509.6821388</v>
      </c>
      <c r="T876" s="246">
        <f>IFERROR(VLOOKUP(F876,PROGRAMAS[],2,FALSE),0)</f>
        <v>3062327798.1525245</v>
      </c>
      <c r="U876" s="246">
        <f>IFERROR(VLOOKUP(G876,PROGRAMAS[],2,FALSE),0)</f>
        <v>1440941976.2528784</v>
      </c>
      <c r="V876" s="246">
        <f>IFERROR(VLOOKUP(H876,PROGRAMAS[],2,FALSE),0)</f>
        <v>4635315027.8751087</v>
      </c>
      <c r="W876" s="246">
        <f>IFERROR(VLOOKUP(I876,PROGRAMAS[],2,FALSE),0)</f>
        <v>3776538594.4604583</v>
      </c>
      <c r="X876" s="246">
        <f>IFERROR(VLOOKUP(J876,PROGRAMAS[],2,FALSE),0)</f>
        <v>54223862.645839565</v>
      </c>
      <c r="Y876" s="246">
        <f>IFERROR(VLOOKUP(K876,PROGRAMAS[],2,FALSE),0)</f>
        <v>1892779498.5211046</v>
      </c>
      <c r="Z876" s="246">
        <f>IFERROR(VLOOKUP(L876,PROGRAMAS[],2,FALSE),0)</f>
        <v>0</v>
      </c>
      <c r="AA876" s="246">
        <f>IFERROR(VLOOKUP(M876,PROGRAMAS[],2,FALSE),0)</f>
        <v>0</v>
      </c>
      <c r="AB876" s="246">
        <f>IFERROR(VLOOKUP(N876,PROGRAMAS[],2,FALSE),0)</f>
        <v>0</v>
      </c>
      <c r="AC876" s="246">
        <f>IFERROR(VLOOKUP(O876,PROGRAMAS[],2,FALSE),0)</f>
        <v>0</v>
      </c>
      <c r="AD876" s="246">
        <f>IFERROR(VLOOKUP(P876,PROGRAMAS[],2,FALSE),0)</f>
        <v>0</v>
      </c>
      <c r="AE876" s="246">
        <f>IFERROR(VLOOKUP(Q876,PROGRAMAS[],2,FALSE),0)</f>
        <v>0</v>
      </c>
      <c r="AF876" s="246">
        <f>IFERROR(VLOOKUP(D876,PROGRAMAS[],3,FALSE),0)</f>
        <v>841888629.31080008</v>
      </c>
      <c r="AG876" s="246">
        <f>IFERROR(VLOOKUP(E876,PROGRAMAS[],3,FALSE),0)</f>
        <v>3848980803.1642323</v>
      </c>
      <c r="AH876" s="246">
        <f>IFERROR(VLOOKUP(F876,PROGRAMAS[],3,FALSE),0)</f>
        <v>3394901471.387517</v>
      </c>
      <c r="AI876" s="246">
        <f>IFERROR(VLOOKUP(G876,PROGRAMAS[],3,FALSE),0)</f>
        <v>1233505101.0616004</v>
      </c>
      <c r="AJ876" s="246">
        <f>IFERROR(VLOOKUP(H876,PROGRAMAS[],3,FALSE),0)</f>
        <v>4099471734.9978786</v>
      </c>
      <c r="AK876" s="246">
        <f>IFERROR(VLOOKUP(I876,PROGRAMAS[],3,FALSE),0)</f>
        <v>2392571243.5584412</v>
      </c>
      <c r="AL876" s="246">
        <f>IFERROR(VLOOKUP(J876,PROGRAMAS[],3,FALSE),0)</f>
        <v>31865326.38096505</v>
      </c>
      <c r="AM876" s="246">
        <f>IFERROR(VLOOKUP(K876,PROGRAMAS[],3,FALSE),0)</f>
        <v>948595847.09039903</v>
      </c>
      <c r="AN876" s="246">
        <f>IFERROR(VLOOKUP(L876,PROGRAMAS[],3,FALSE),0)</f>
        <v>0</v>
      </c>
      <c r="AO876" s="246">
        <f>IFERROR(VLOOKUP(M876,PROGRAMAS[],3,FALSE),0)</f>
        <v>0</v>
      </c>
      <c r="AP876" s="246">
        <f>IFERROR(VLOOKUP(N876,PROGRAMAS[],3,FALSE),0)</f>
        <v>0</v>
      </c>
      <c r="AQ876" s="246">
        <f>IFERROR(VLOOKUP(O876,PROGRAMAS[],3,FALSE),0)</f>
        <v>0</v>
      </c>
      <c r="AR876" s="246">
        <f>IFERROR(VLOOKUP(P876,PROGRAMAS[],3,FALSE),0)</f>
        <v>0</v>
      </c>
      <c r="AS876" s="246">
        <f>IFERROR(VLOOKUP(Q876,PROGRAMAS[],3,FALSE),0)</f>
        <v>0</v>
      </c>
      <c r="AT876" s="246">
        <f>IFERROR(VLOOKUP(D876,VOL_REC[],2,FALSE),0)</f>
        <v>0</v>
      </c>
      <c r="AU876" s="246">
        <f>IFERROR(VLOOKUP(E876,VOL_REC[],2,FALSE),0)</f>
        <v>0</v>
      </c>
      <c r="AV876" s="246">
        <f>IFERROR(VLOOKUP(F876,VOL_REC[],2,FALSE),0)</f>
        <v>11089674.200000001</v>
      </c>
      <c r="AW876" s="246">
        <f>IFERROR(VLOOKUP(G876,VOL_REC[],2,FALSE),0)</f>
        <v>4325103.1812214684</v>
      </c>
      <c r="AX876" s="246">
        <f>IFERROR(VLOOKUP(H876,VOL_REC[],2,FALSE),0)</f>
        <v>1812240</v>
      </c>
      <c r="AY876" s="246">
        <f>IFERROR(VLOOKUP(I876,VOL_REC[],2,FALSE),0)</f>
        <v>663244.80000000016</v>
      </c>
      <c r="AZ876" s="246">
        <f>IFERROR(VLOOKUP(J876,VOL_REC[],2,FALSE),0)</f>
        <v>17074.045034105649</v>
      </c>
      <c r="BA876" s="246">
        <f>IFERROR(VLOOKUP(K876,VOL_REC[],2,FALSE),0)</f>
        <v>740113.98115702497</v>
      </c>
      <c r="BB876" s="246">
        <f>IFERROR(VLOOKUP(L876,VOL_REC[],2,FALSE),0)</f>
        <v>0</v>
      </c>
      <c r="BC876" s="246">
        <f>IFERROR(VLOOKUP(M876,VOL_REC[],2,FALSE),0)</f>
        <v>0</v>
      </c>
      <c r="BD876" s="246">
        <f>IFERROR(VLOOKUP(N876,VOL_REC[],2,FALSE),0)</f>
        <v>0</v>
      </c>
      <c r="BE876" s="246">
        <f>IFERROR(VLOOKUP(O876,VOL_REC[],2,FALSE),0)</f>
        <v>0</v>
      </c>
      <c r="BF876" s="246">
        <f>IFERROR(VLOOKUP(P876,VOL_REC[],2,FALSE),0)</f>
        <v>0</v>
      </c>
      <c r="BG876" s="246">
        <f>IFERROR(VLOOKUP(Q876,VOL_REC[],2,FALSE),0)</f>
        <v>0</v>
      </c>
      <c r="BH876" s="1710">
        <f t="shared" si="52"/>
        <v>15599666071.269432</v>
      </c>
      <c r="BI876" s="1710">
        <f t="shared" si="53"/>
        <v>16791780156.951834</v>
      </c>
      <c r="BJ876" s="1711">
        <f t="shared" si="54"/>
        <v>18647450.207412601</v>
      </c>
      <c r="BK876" s="1711">
        <f t="shared" si="55"/>
        <v>0.9290060925917456</v>
      </c>
    </row>
    <row r="877" spans="3:67" x14ac:dyDescent="0.25">
      <c r="C877" s="246" t="s">
        <v>2227</v>
      </c>
      <c r="D877" s="246">
        <v>1</v>
      </c>
      <c r="E877" s="246">
        <v>2</v>
      </c>
      <c r="F877" s="246">
        <v>3</v>
      </c>
      <c r="G877" s="246">
        <v>5</v>
      </c>
      <c r="H877" s="246">
        <v>10</v>
      </c>
      <c r="I877" s="246">
        <v>13</v>
      </c>
      <c r="J877" s="246">
        <v>15</v>
      </c>
      <c r="K877" s="246">
        <v>16</v>
      </c>
      <c r="L877" s="246"/>
      <c r="M877" s="246"/>
      <c r="N877" s="246"/>
      <c r="O877" s="246"/>
      <c r="P877" s="246"/>
      <c r="Q877" s="246"/>
      <c r="R877" s="246">
        <f>IFERROR(VLOOKUP(D877,PROGRAMAS[],2,FALSE),0)</f>
        <v>97037803.679377079</v>
      </c>
      <c r="S877" s="246">
        <f>IFERROR(VLOOKUP(E877,PROGRAMAS[],2,FALSE),0)</f>
        <v>640501509.6821388</v>
      </c>
      <c r="T877" s="246">
        <f>IFERROR(VLOOKUP(F877,PROGRAMAS[],2,FALSE),0)</f>
        <v>3062327798.1525245</v>
      </c>
      <c r="U877" s="246">
        <f>IFERROR(VLOOKUP(G877,PROGRAMAS[],2,FALSE),0)</f>
        <v>1440941976.2528784</v>
      </c>
      <c r="V877" s="246">
        <f>IFERROR(VLOOKUP(H877,PROGRAMAS[],2,FALSE),0)</f>
        <v>4635315027.8751087</v>
      </c>
      <c r="W877" s="246">
        <f>IFERROR(VLOOKUP(I877,PROGRAMAS[],2,FALSE),0)</f>
        <v>3776538594.4604583</v>
      </c>
      <c r="X877" s="246">
        <f>IFERROR(VLOOKUP(J877,PROGRAMAS[],2,FALSE),0)</f>
        <v>122159672.96346797</v>
      </c>
      <c r="Y877" s="246">
        <f>IFERROR(VLOOKUP(K877,PROGRAMAS[],2,FALSE),0)</f>
        <v>7068496961.0436354</v>
      </c>
      <c r="Z877" s="246">
        <f>IFERROR(VLOOKUP(L877,PROGRAMAS[],2,FALSE),0)</f>
        <v>0</v>
      </c>
      <c r="AA877" s="246">
        <f>IFERROR(VLOOKUP(M877,PROGRAMAS[],2,FALSE),0)</f>
        <v>0</v>
      </c>
      <c r="AB877" s="246">
        <f>IFERROR(VLOOKUP(N877,PROGRAMAS[],2,FALSE),0)</f>
        <v>0</v>
      </c>
      <c r="AC877" s="246">
        <f>IFERROR(VLOOKUP(O877,PROGRAMAS[],2,FALSE),0)</f>
        <v>0</v>
      </c>
      <c r="AD877" s="246">
        <f>IFERROR(VLOOKUP(P877,PROGRAMAS[],2,FALSE),0)</f>
        <v>0</v>
      </c>
      <c r="AE877" s="246">
        <f>IFERROR(VLOOKUP(Q877,PROGRAMAS[],2,FALSE),0)</f>
        <v>0</v>
      </c>
      <c r="AF877" s="246">
        <f>IFERROR(VLOOKUP(D877,PROGRAMAS[],3,FALSE),0)</f>
        <v>841888629.31080008</v>
      </c>
      <c r="AG877" s="246">
        <f>IFERROR(VLOOKUP(E877,PROGRAMAS[],3,FALSE),0)</f>
        <v>3848980803.1642323</v>
      </c>
      <c r="AH877" s="246">
        <f>IFERROR(VLOOKUP(F877,PROGRAMAS[],3,FALSE),0)</f>
        <v>3394901471.387517</v>
      </c>
      <c r="AI877" s="246">
        <f>IFERROR(VLOOKUP(G877,PROGRAMAS[],3,FALSE),0)</f>
        <v>1233505101.0616004</v>
      </c>
      <c r="AJ877" s="246">
        <f>IFERROR(VLOOKUP(H877,PROGRAMAS[],3,FALSE),0)</f>
        <v>4099471734.9978786</v>
      </c>
      <c r="AK877" s="246">
        <f>IFERROR(VLOOKUP(I877,PROGRAMAS[],3,FALSE),0)</f>
        <v>2392571243.5584412</v>
      </c>
      <c r="AL877" s="246">
        <f>IFERROR(VLOOKUP(J877,PROGRAMAS[],3,FALSE),0)</f>
        <v>118617452.52510804</v>
      </c>
      <c r="AM877" s="246">
        <f>IFERROR(VLOOKUP(K877,PROGRAMAS[],3,FALSE),0)</f>
        <v>2406564599.0319901</v>
      </c>
      <c r="AN877" s="246">
        <f>IFERROR(VLOOKUP(L877,PROGRAMAS[],3,FALSE),0)</f>
        <v>0</v>
      </c>
      <c r="AO877" s="246">
        <f>IFERROR(VLOOKUP(M877,PROGRAMAS[],3,FALSE),0)</f>
        <v>0</v>
      </c>
      <c r="AP877" s="246">
        <f>IFERROR(VLOOKUP(N877,PROGRAMAS[],3,FALSE),0)</f>
        <v>0</v>
      </c>
      <c r="AQ877" s="246">
        <f>IFERROR(VLOOKUP(O877,PROGRAMAS[],3,FALSE),0)</f>
        <v>0</v>
      </c>
      <c r="AR877" s="246">
        <f>IFERROR(VLOOKUP(P877,PROGRAMAS[],3,FALSE),0)</f>
        <v>0</v>
      </c>
      <c r="AS877" s="246">
        <f>IFERROR(VLOOKUP(Q877,PROGRAMAS[],3,FALSE),0)</f>
        <v>0</v>
      </c>
      <c r="AT877" s="246">
        <f>IFERROR(VLOOKUP(D877,VOL_REC[],2,FALSE),0)</f>
        <v>0</v>
      </c>
      <c r="AU877" s="246">
        <f>IFERROR(VLOOKUP(E877,VOL_REC[],2,FALSE),0)</f>
        <v>0</v>
      </c>
      <c r="AV877" s="246">
        <f>IFERROR(VLOOKUP(F877,VOL_REC[],2,FALSE),0)</f>
        <v>11089674.200000001</v>
      </c>
      <c r="AW877" s="246">
        <f>IFERROR(VLOOKUP(G877,VOL_REC[],2,FALSE),0)</f>
        <v>4325103.1812214684</v>
      </c>
      <c r="AX877" s="246">
        <f>IFERROR(VLOOKUP(H877,VOL_REC[],2,FALSE),0)</f>
        <v>1812240</v>
      </c>
      <c r="AY877" s="246">
        <f>IFERROR(VLOOKUP(I877,VOL_REC[],2,FALSE),0)</f>
        <v>663244.80000000016</v>
      </c>
      <c r="AZ877" s="246">
        <f>IFERROR(VLOOKUP(J877,VOL_REC[],2,FALSE),0)</f>
        <v>105072</v>
      </c>
      <c r="BA877" s="246">
        <f>IFERROR(VLOOKUP(K877,VOL_REC[],2,FALSE),0)</f>
        <v>1072354.9981737854</v>
      </c>
      <c r="BB877" s="246">
        <f>IFERROR(VLOOKUP(L877,VOL_REC[],2,FALSE),0)</f>
        <v>0</v>
      </c>
      <c r="BC877" s="246">
        <f>IFERROR(VLOOKUP(M877,VOL_REC[],2,FALSE),0)</f>
        <v>0</v>
      </c>
      <c r="BD877" s="246">
        <f>IFERROR(VLOOKUP(N877,VOL_REC[],2,FALSE),0)</f>
        <v>0</v>
      </c>
      <c r="BE877" s="246">
        <f>IFERROR(VLOOKUP(O877,VOL_REC[],2,FALSE),0)</f>
        <v>0</v>
      </c>
      <c r="BF877" s="246">
        <f>IFERROR(VLOOKUP(P877,VOL_REC[],2,FALSE),0)</f>
        <v>0</v>
      </c>
      <c r="BG877" s="246">
        <f>IFERROR(VLOOKUP(Q877,VOL_REC[],2,FALSE),0)</f>
        <v>0</v>
      </c>
      <c r="BH877" s="1710">
        <f t="shared" si="52"/>
        <v>20843319344.109592</v>
      </c>
      <c r="BI877" s="1710">
        <f t="shared" si="53"/>
        <v>18336501035.037567</v>
      </c>
      <c r="BJ877" s="1711">
        <f t="shared" si="54"/>
        <v>19067689.179395255</v>
      </c>
      <c r="BK877" s="1711">
        <f t="shared" si="55"/>
        <v>1.136711922535383</v>
      </c>
      <c r="BL877">
        <f>BJ877</f>
        <v>19067689.179395255</v>
      </c>
      <c r="BO877">
        <f>BL877</f>
        <v>19067689.179395255</v>
      </c>
    </row>
    <row r="878" spans="3:67" x14ac:dyDescent="0.25">
      <c r="C878" s="246" t="s">
        <v>2228</v>
      </c>
      <c r="D878" s="246">
        <v>1</v>
      </c>
      <c r="E878" s="246">
        <v>2</v>
      </c>
      <c r="F878" s="246">
        <v>3</v>
      </c>
      <c r="G878" s="246">
        <v>5</v>
      </c>
      <c r="H878" s="246">
        <v>10</v>
      </c>
      <c r="I878" s="246">
        <v>13</v>
      </c>
      <c r="J878" s="246">
        <v>15</v>
      </c>
      <c r="K878" s="246">
        <v>17</v>
      </c>
      <c r="L878" s="246"/>
      <c r="M878" s="246"/>
      <c r="N878" s="246"/>
      <c r="O878" s="246"/>
      <c r="P878" s="246"/>
      <c r="Q878" s="246"/>
      <c r="R878" s="246">
        <f>IFERROR(VLOOKUP(D878,PROGRAMAS[],2,FALSE),0)</f>
        <v>97037803.679377079</v>
      </c>
      <c r="S878" s="246">
        <f>IFERROR(VLOOKUP(E878,PROGRAMAS[],2,FALSE),0)</f>
        <v>640501509.6821388</v>
      </c>
      <c r="T878" s="246">
        <f>IFERROR(VLOOKUP(F878,PROGRAMAS[],2,FALSE),0)</f>
        <v>3062327798.1525245</v>
      </c>
      <c r="U878" s="246">
        <f>IFERROR(VLOOKUP(G878,PROGRAMAS[],2,FALSE),0)</f>
        <v>1440941976.2528784</v>
      </c>
      <c r="V878" s="246">
        <f>IFERROR(VLOOKUP(H878,PROGRAMAS[],2,FALSE),0)</f>
        <v>4635315027.8751087</v>
      </c>
      <c r="W878" s="246">
        <f>IFERROR(VLOOKUP(I878,PROGRAMAS[],2,FALSE),0)</f>
        <v>3776538594.4604583</v>
      </c>
      <c r="X878" s="246">
        <f>IFERROR(VLOOKUP(J878,PROGRAMAS[],2,FALSE),0)</f>
        <v>122159672.96346797</v>
      </c>
      <c r="Y878" s="246">
        <f>IFERROR(VLOOKUP(K878,PROGRAMAS[],2,FALSE),0)</f>
        <v>1892779498.5211046</v>
      </c>
      <c r="Z878" s="246">
        <f>IFERROR(VLOOKUP(L878,PROGRAMAS[],2,FALSE),0)</f>
        <v>0</v>
      </c>
      <c r="AA878" s="246">
        <f>IFERROR(VLOOKUP(M878,PROGRAMAS[],2,FALSE),0)</f>
        <v>0</v>
      </c>
      <c r="AB878" s="246">
        <f>IFERROR(VLOOKUP(N878,PROGRAMAS[],2,FALSE),0)</f>
        <v>0</v>
      </c>
      <c r="AC878" s="246">
        <f>IFERROR(VLOOKUP(O878,PROGRAMAS[],2,FALSE),0)</f>
        <v>0</v>
      </c>
      <c r="AD878" s="246">
        <f>IFERROR(VLOOKUP(P878,PROGRAMAS[],2,FALSE),0)</f>
        <v>0</v>
      </c>
      <c r="AE878" s="246">
        <f>IFERROR(VLOOKUP(Q878,PROGRAMAS[],2,FALSE),0)</f>
        <v>0</v>
      </c>
      <c r="AF878" s="246">
        <f>IFERROR(VLOOKUP(D878,PROGRAMAS[],3,FALSE),0)</f>
        <v>841888629.31080008</v>
      </c>
      <c r="AG878" s="246">
        <f>IFERROR(VLOOKUP(E878,PROGRAMAS[],3,FALSE),0)</f>
        <v>3848980803.1642323</v>
      </c>
      <c r="AH878" s="246">
        <f>IFERROR(VLOOKUP(F878,PROGRAMAS[],3,FALSE),0)</f>
        <v>3394901471.387517</v>
      </c>
      <c r="AI878" s="246">
        <f>IFERROR(VLOOKUP(G878,PROGRAMAS[],3,FALSE),0)</f>
        <v>1233505101.0616004</v>
      </c>
      <c r="AJ878" s="246">
        <f>IFERROR(VLOOKUP(H878,PROGRAMAS[],3,FALSE),0)</f>
        <v>4099471734.9978786</v>
      </c>
      <c r="AK878" s="246">
        <f>IFERROR(VLOOKUP(I878,PROGRAMAS[],3,FALSE),0)</f>
        <v>2392571243.5584412</v>
      </c>
      <c r="AL878" s="246">
        <f>IFERROR(VLOOKUP(J878,PROGRAMAS[],3,FALSE),0)</f>
        <v>118617452.52510804</v>
      </c>
      <c r="AM878" s="246">
        <f>IFERROR(VLOOKUP(K878,PROGRAMAS[],3,FALSE),0)</f>
        <v>948595847.09039903</v>
      </c>
      <c r="AN878" s="246">
        <f>IFERROR(VLOOKUP(L878,PROGRAMAS[],3,FALSE),0)</f>
        <v>0</v>
      </c>
      <c r="AO878" s="246">
        <f>IFERROR(VLOOKUP(M878,PROGRAMAS[],3,FALSE),0)</f>
        <v>0</v>
      </c>
      <c r="AP878" s="246">
        <f>IFERROR(VLOOKUP(N878,PROGRAMAS[],3,FALSE),0)</f>
        <v>0</v>
      </c>
      <c r="AQ878" s="246">
        <f>IFERROR(VLOOKUP(O878,PROGRAMAS[],3,FALSE),0)</f>
        <v>0</v>
      </c>
      <c r="AR878" s="246">
        <f>IFERROR(VLOOKUP(P878,PROGRAMAS[],3,FALSE),0)</f>
        <v>0</v>
      </c>
      <c r="AS878" s="246">
        <f>IFERROR(VLOOKUP(Q878,PROGRAMAS[],3,FALSE),0)</f>
        <v>0</v>
      </c>
      <c r="AT878" s="246">
        <f>IFERROR(VLOOKUP(D878,VOL_REC[],2,FALSE),0)</f>
        <v>0</v>
      </c>
      <c r="AU878" s="246">
        <f>IFERROR(VLOOKUP(E878,VOL_REC[],2,FALSE),0)</f>
        <v>0</v>
      </c>
      <c r="AV878" s="246">
        <f>IFERROR(VLOOKUP(F878,VOL_REC[],2,FALSE),0)</f>
        <v>11089674.200000001</v>
      </c>
      <c r="AW878" s="246">
        <f>IFERROR(VLOOKUP(G878,VOL_REC[],2,FALSE),0)</f>
        <v>4325103.1812214684</v>
      </c>
      <c r="AX878" s="246">
        <f>IFERROR(VLOOKUP(H878,VOL_REC[],2,FALSE),0)</f>
        <v>1812240</v>
      </c>
      <c r="AY878" s="246">
        <f>IFERROR(VLOOKUP(I878,VOL_REC[],2,FALSE),0)</f>
        <v>663244.80000000016</v>
      </c>
      <c r="AZ878" s="246">
        <f>IFERROR(VLOOKUP(J878,VOL_REC[],2,FALSE),0)</f>
        <v>105072</v>
      </c>
      <c r="BA878" s="246">
        <f>IFERROR(VLOOKUP(K878,VOL_REC[],2,FALSE),0)</f>
        <v>740113.98115702497</v>
      </c>
      <c r="BB878" s="246">
        <f>IFERROR(VLOOKUP(L878,VOL_REC[],2,FALSE),0)</f>
        <v>0</v>
      </c>
      <c r="BC878" s="246">
        <f>IFERROR(VLOOKUP(M878,VOL_REC[],2,FALSE),0)</f>
        <v>0</v>
      </c>
      <c r="BD878" s="246">
        <f>IFERROR(VLOOKUP(N878,VOL_REC[],2,FALSE),0)</f>
        <v>0</v>
      </c>
      <c r="BE878" s="246">
        <f>IFERROR(VLOOKUP(O878,VOL_REC[],2,FALSE),0)</f>
        <v>0</v>
      </c>
      <c r="BF878" s="246">
        <f>IFERROR(VLOOKUP(P878,VOL_REC[],2,FALSE),0)</f>
        <v>0</v>
      </c>
      <c r="BG878" s="246">
        <f>IFERROR(VLOOKUP(Q878,VOL_REC[],2,FALSE),0)</f>
        <v>0</v>
      </c>
      <c r="BH878" s="1710">
        <f t="shared" si="52"/>
        <v>15667601881.587061</v>
      </c>
      <c r="BI878" s="1710">
        <f t="shared" si="53"/>
        <v>16878532283.095978</v>
      </c>
      <c r="BJ878" s="1711">
        <f t="shared" si="54"/>
        <v>18735448.162378494</v>
      </c>
      <c r="BK878" s="1711">
        <f t="shared" si="55"/>
        <v>0.92825617884312872</v>
      </c>
    </row>
    <row r="879" spans="3:67" x14ac:dyDescent="0.25">
      <c r="C879" s="246" t="s">
        <v>2229</v>
      </c>
      <c r="D879" s="246">
        <v>1</v>
      </c>
      <c r="E879" s="246">
        <v>2</v>
      </c>
      <c r="F879" s="246">
        <v>3</v>
      </c>
      <c r="G879" s="246">
        <v>5</v>
      </c>
      <c r="H879" s="246">
        <v>10</v>
      </c>
      <c r="I879" s="246">
        <v>13</v>
      </c>
      <c r="J879" s="246">
        <v>16</v>
      </c>
      <c r="K879" s="246">
        <v>17</v>
      </c>
      <c r="L879" s="246"/>
      <c r="M879" s="246"/>
      <c r="N879" s="246"/>
      <c r="O879" s="246"/>
      <c r="P879" s="246"/>
      <c r="Q879" s="246"/>
      <c r="R879" s="246">
        <f>IFERROR(VLOOKUP(D879,PROGRAMAS[],2,FALSE),0)</f>
        <v>97037803.679377079</v>
      </c>
      <c r="S879" s="246">
        <f>IFERROR(VLOOKUP(E879,PROGRAMAS[],2,FALSE),0)</f>
        <v>640501509.6821388</v>
      </c>
      <c r="T879" s="246">
        <f>IFERROR(VLOOKUP(F879,PROGRAMAS[],2,FALSE),0)</f>
        <v>3062327798.1525245</v>
      </c>
      <c r="U879" s="246">
        <f>IFERROR(VLOOKUP(G879,PROGRAMAS[],2,FALSE),0)</f>
        <v>1440941976.2528784</v>
      </c>
      <c r="V879" s="246">
        <f>IFERROR(VLOOKUP(H879,PROGRAMAS[],2,FALSE),0)</f>
        <v>4635315027.8751087</v>
      </c>
      <c r="W879" s="246">
        <f>IFERROR(VLOOKUP(I879,PROGRAMAS[],2,FALSE),0)</f>
        <v>3776538594.4604583</v>
      </c>
      <c r="X879" s="246">
        <f>IFERROR(VLOOKUP(J879,PROGRAMAS[],2,FALSE),0)</f>
        <v>7068496961.0436354</v>
      </c>
      <c r="Y879" s="246">
        <f>IFERROR(VLOOKUP(K879,PROGRAMAS[],2,FALSE),0)</f>
        <v>1892779498.5211046</v>
      </c>
      <c r="Z879" s="246">
        <f>IFERROR(VLOOKUP(L879,PROGRAMAS[],2,FALSE),0)</f>
        <v>0</v>
      </c>
      <c r="AA879" s="246">
        <f>IFERROR(VLOOKUP(M879,PROGRAMAS[],2,FALSE),0)</f>
        <v>0</v>
      </c>
      <c r="AB879" s="246">
        <f>IFERROR(VLOOKUP(N879,PROGRAMAS[],2,FALSE),0)</f>
        <v>0</v>
      </c>
      <c r="AC879" s="246">
        <f>IFERROR(VLOOKUP(O879,PROGRAMAS[],2,FALSE),0)</f>
        <v>0</v>
      </c>
      <c r="AD879" s="246">
        <f>IFERROR(VLOOKUP(P879,PROGRAMAS[],2,FALSE),0)</f>
        <v>0</v>
      </c>
      <c r="AE879" s="246">
        <f>IFERROR(VLOOKUP(Q879,PROGRAMAS[],2,FALSE),0)</f>
        <v>0</v>
      </c>
      <c r="AF879" s="246">
        <f>IFERROR(VLOOKUP(D879,PROGRAMAS[],3,FALSE),0)</f>
        <v>841888629.31080008</v>
      </c>
      <c r="AG879" s="246">
        <f>IFERROR(VLOOKUP(E879,PROGRAMAS[],3,FALSE),0)</f>
        <v>3848980803.1642323</v>
      </c>
      <c r="AH879" s="246">
        <f>IFERROR(VLOOKUP(F879,PROGRAMAS[],3,FALSE),0)</f>
        <v>3394901471.387517</v>
      </c>
      <c r="AI879" s="246">
        <f>IFERROR(VLOOKUP(G879,PROGRAMAS[],3,FALSE),0)</f>
        <v>1233505101.0616004</v>
      </c>
      <c r="AJ879" s="246">
        <f>IFERROR(VLOOKUP(H879,PROGRAMAS[],3,FALSE),0)</f>
        <v>4099471734.9978786</v>
      </c>
      <c r="AK879" s="246">
        <f>IFERROR(VLOOKUP(I879,PROGRAMAS[],3,FALSE),0)</f>
        <v>2392571243.5584412</v>
      </c>
      <c r="AL879" s="246">
        <f>IFERROR(VLOOKUP(J879,PROGRAMAS[],3,FALSE),0)</f>
        <v>2406564599.0319901</v>
      </c>
      <c r="AM879" s="246">
        <f>IFERROR(VLOOKUP(K879,PROGRAMAS[],3,FALSE),0)</f>
        <v>948595847.09039903</v>
      </c>
      <c r="AN879" s="246">
        <f>IFERROR(VLOOKUP(L879,PROGRAMAS[],3,FALSE),0)</f>
        <v>0</v>
      </c>
      <c r="AO879" s="246">
        <f>IFERROR(VLOOKUP(M879,PROGRAMAS[],3,FALSE),0)</f>
        <v>0</v>
      </c>
      <c r="AP879" s="246">
        <f>IFERROR(VLOOKUP(N879,PROGRAMAS[],3,FALSE),0)</f>
        <v>0</v>
      </c>
      <c r="AQ879" s="246">
        <f>IFERROR(VLOOKUP(O879,PROGRAMAS[],3,FALSE),0)</f>
        <v>0</v>
      </c>
      <c r="AR879" s="246">
        <f>IFERROR(VLOOKUP(P879,PROGRAMAS[],3,FALSE),0)</f>
        <v>0</v>
      </c>
      <c r="AS879" s="246">
        <f>IFERROR(VLOOKUP(Q879,PROGRAMAS[],3,FALSE),0)</f>
        <v>0</v>
      </c>
      <c r="AT879" s="246">
        <f>IFERROR(VLOOKUP(D879,VOL_REC[],2,FALSE),0)</f>
        <v>0</v>
      </c>
      <c r="AU879" s="246">
        <f>IFERROR(VLOOKUP(E879,VOL_REC[],2,FALSE),0)</f>
        <v>0</v>
      </c>
      <c r="AV879" s="246">
        <f>IFERROR(VLOOKUP(F879,VOL_REC[],2,FALSE),0)</f>
        <v>11089674.200000001</v>
      </c>
      <c r="AW879" s="246">
        <f>IFERROR(VLOOKUP(G879,VOL_REC[],2,FALSE),0)</f>
        <v>4325103.1812214684</v>
      </c>
      <c r="AX879" s="246">
        <f>IFERROR(VLOOKUP(H879,VOL_REC[],2,FALSE),0)</f>
        <v>1812240</v>
      </c>
      <c r="AY879" s="246">
        <f>IFERROR(VLOOKUP(I879,VOL_REC[],2,FALSE),0)</f>
        <v>663244.80000000016</v>
      </c>
      <c r="AZ879" s="246">
        <f>IFERROR(VLOOKUP(J879,VOL_REC[],2,FALSE),0)</f>
        <v>1072354.9981737854</v>
      </c>
      <c r="BA879" s="246">
        <f>IFERROR(VLOOKUP(K879,VOL_REC[],2,FALSE),0)</f>
        <v>740113.98115702497</v>
      </c>
      <c r="BB879" s="246">
        <f>IFERROR(VLOOKUP(L879,VOL_REC[],2,FALSE),0)</f>
        <v>0</v>
      </c>
      <c r="BC879" s="246">
        <f>IFERROR(VLOOKUP(M879,VOL_REC[],2,FALSE),0)</f>
        <v>0</v>
      </c>
      <c r="BD879" s="246">
        <f>IFERROR(VLOOKUP(N879,VOL_REC[],2,FALSE),0)</f>
        <v>0</v>
      </c>
      <c r="BE879" s="246">
        <f>IFERROR(VLOOKUP(O879,VOL_REC[],2,FALSE),0)</f>
        <v>0</v>
      </c>
      <c r="BF879" s="246">
        <f>IFERROR(VLOOKUP(P879,VOL_REC[],2,FALSE),0)</f>
        <v>0</v>
      </c>
      <c r="BG879" s="246">
        <f>IFERROR(VLOOKUP(Q879,VOL_REC[],2,FALSE),0)</f>
        <v>0</v>
      </c>
      <c r="BH879" s="1710">
        <f t="shared" si="52"/>
        <v>22613939169.667225</v>
      </c>
      <c r="BI879" s="1710">
        <f t="shared" si="53"/>
        <v>19166479429.602859</v>
      </c>
      <c r="BJ879" s="1711">
        <f t="shared" si="54"/>
        <v>19702731.160552278</v>
      </c>
      <c r="BK879" s="1711">
        <f t="shared" si="55"/>
        <v>1.1798692218217042</v>
      </c>
      <c r="BL879">
        <f>BJ879</f>
        <v>19702731.160552278</v>
      </c>
      <c r="BO879">
        <f>BL879</f>
        <v>19702731.160552278</v>
      </c>
    </row>
    <row r="880" spans="3:67" x14ac:dyDescent="0.25">
      <c r="C880" s="246" t="s">
        <v>2230</v>
      </c>
      <c r="D880" s="246">
        <v>1</v>
      </c>
      <c r="E880" s="246">
        <v>2</v>
      </c>
      <c r="F880" s="246">
        <v>3</v>
      </c>
      <c r="G880" s="246">
        <v>5</v>
      </c>
      <c r="H880" s="246">
        <v>10</v>
      </c>
      <c r="I880" s="246">
        <v>14</v>
      </c>
      <c r="J880" s="246">
        <v>15</v>
      </c>
      <c r="K880" s="246">
        <v>16</v>
      </c>
      <c r="L880" s="246"/>
      <c r="M880" s="246"/>
      <c r="N880" s="246"/>
      <c r="O880" s="246"/>
      <c r="P880" s="246"/>
      <c r="Q880" s="246"/>
      <c r="R880" s="246">
        <f>IFERROR(VLOOKUP(D880,PROGRAMAS[],2,FALSE),0)</f>
        <v>97037803.679377079</v>
      </c>
      <c r="S880" s="246">
        <f>IFERROR(VLOOKUP(E880,PROGRAMAS[],2,FALSE),0)</f>
        <v>640501509.6821388</v>
      </c>
      <c r="T880" s="246">
        <f>IFERROR(VLOOKUP(F880,PROGRAMAS[],2,FALSE),0)</f>
        <v>3062327798.1525245</v>
      </c>
      <c r="U880" s="246">
        <f>IFERROR(VLOOKUP(G880,PROGRAMAS[],2,FALSE),0)</f>
        <v>1440941976.2528784</v>
      </c>
      <c r="V880" s="246">
        <f>IFERROR(VLOOKUP(H880,PROGRAMAS[],2,FALSE),0)</f>
        <v>4635315027.8751087</v>
      </c>
      <c r="W880" s="246">
        <f>IFERROR(VLOOKUP(I880,PROGRAMAS[],2,FALSE),0)</f>
        <v>54223862.645839565</v>
      </c>
      <c r="X880" s="246">
        <f>IFERROR(VLOOKUP(J880,PROGRAMAS[],2,FALSE),0)</f>
        <v>122159672.96346797</v>
      </c>
      <c r="Y880" s="246">
        <f>IFERROR(VLOOKUP(K880,PROGRAMAS[],2,FALSE),0)</f>
        <v>7068496961.0436354</v>
      </c>
      <c r="Z880" s="246">
        <f>IFERROR(VLOOKUP(L880,PROGRAMAS[],2,FALSE),0)</f>
        <v>0</v>
      </c>
      <c r="AA880" s="246">
        <f>IFERROR(VLOOKUP(M880,PROGRAMAS[],2,FALSE),0)</f>
        <v>0</v>
      </c>
      <c r="AB880" s="246">
        <f>IFERROR(VLOOKUP(N880,PROGRAMAS[],2,FALSE),0)</f>
        <v>0</v>
      </c>
      <c r="AC880" s="246">
        <f>IFERROR(VLOOKUP(O880,PROGRAMAS[],2,FALSE),0)</f>
        <v>0</v>
      </c>
      <c r="AD880" s="246">
        <f>IFERROR(VLOOKUP(P880,PROGRAMAS[],2,FALSE),0)</f>
        <v>0</v>
      </c>
      <c r="AE880" s="246">
        <f>IFERROR(VLOOKUP(Q880,PROGRAMAS[],2,FALSE),0)</f>
        <v>0</v>
      </c>
      <c r="AF880" s="246">
        <f>IFERROR(VLOOKUP(D880,PROGRAMAS[],3,FALSE),0)</f>
        <v>841888629.31080008</v>
      </c>
      <c r="AG880" s="246">
        <f>IFERROR(VLOOKUP(E880,PROGRAMAS[],3,FALSE),0)</f>
        <v>3848980803.1642323</v>
      </c>
      <c r="AH880" s="246">
        <f>IFERROR(VLOOKUP(F880,PROGRAMAS[],3,FALSE),0)</f>
        <v>3394901471.387517</v>
      </c>
      <c r="AI880" s="246">
        <f>IFERROR(VLOOKUP(G880,PROGRAMAS[],3,FALSE),0)</f>
        <v>1233505101.0616004</v>
      </c>
      <c r="AJ880" s="246">
        <f>IFERROR(VLOOKUP(H880,PROGRAMAS[],3,FALSE),0)</f>
        <v>4099471734.9978786</v>
      </c>
      <c r="AK880" s="246">
        <f>IFERROR(VLOOKUP(I880,PROGRAMAS[],3,FALSE),0)</f>
        <v>31865326.38096505</v>
      </c>
      <c r="AL880" s="246">
        <f>IFERROR(VLOOKUP(J880,PROGRAMAS[],3,FALSE),0)</f>
        <v>118617452.52510804</v>
      </c>
      <c r="AM880" s="246">
        <f>IFERROR(VLOOKUP(K880,PROGRAMAS[],3,FALSE),0)</f>
        <v>2406564599.0319901</v>
      </c>
      <c r="AN880" s="246">
        <f>IFERROR(VLOOKUP(L880,PROGRAMAS[],3,FALSE),0)</f>
        <v>0</v>
      </c>
      <c r="AO880" s="246">
        <f>IFERROR(VLOOKUP(M880,PROGRAMAS[],3,FALSE),0)</f>
        <v>0</v>
      </c>
      <c r="AP880" s="246">
        <f>IFERROR(VLOOKUP(N880,PROGRAMAS[],3,FALSE),0)</f>
        <v>0</v>
      </c>
      <c r="AQ880" s="246">
        <f>IFERROR(VLOOKUP(O880,PROGRAMAS[],3,FALSE),0)</f>
        <v>0</v>
      </c>
      <c r="AR880" s="246">
        <f>IFERROR(VLOOKUP(P880,PROGRAMAS[],3,FALSE),0)</f>
        <v>0</v>
      </c>
      <c r="AS880" s="246">
        <f>IFERROR(VLOOKUP(Q880,PROGRAMAS[],3,FALSE),0)</f>
        <v>0</v>
      </c>
      <c r="AT880" s="246">
        <f>IFERROR(VLOOKUP(D880,VOL_REC[],2,FALSE),0)</f>
        <v>0</v>
      </c>
      <c r="AU880" s="246">
        <f>IFERROR(VLOOKUP(E880,VOL_REC[],2,FALSE),0)</f>
        <v>0</v>
      </c>
      <c r="AV880" s="246">
        <f>IFERROR(VLOOKUP(F880,VOL_REC[],2,FALSE),0)</f>
        <v>11089674.200000001</v>
      </c>
      <c r="AW880" s="246">
        <f>IFERROR(VLOOKUP(G880,VOL_REC[],2,FALSE),0)</f>
        <v>4325103.1812214684</v>
      </c>
      <c r="AX880" s="246">
        <f>IFERROR(VLOOKUP(H880,VOL_REC[],2,FALSE),0)</f>
        <v>1812240</v>
      </c>
      <c r="AY880" s="246">
        <f>IFERROR(VLOOKUP(I880,VOL_REC[],2,FALSE),0)</f>
        <v>17074.045034105649</v>
      </c>
      <c r="AZ880" s="246">
        <f>IFERROR(VLOOKUP(J880,VOL_REC[],2,FALSE),0)</f>
        <v>105072</v>
      </c>
      <c r="BA880" s="246">
        <f>IFERROR(VLOOKUP(K880,VOL_REC[],2,FALSE),0)</f>
        <v>1072354.9981737854</v>
      </c>
      <c r="BB880" s="246">
        <f>IFERROR(VLOOKUP(L880,VOL_REC[],2,FALSE),0)</f>
        <v>0</v>
      </c>
      <c r="BC880" s="246">
        <f>IFERROR(VLOOKUP(M880,VOL_REC[],2,FALSE),0)</f>
        <v>0</v>
      </c>
      <c r="BD880" s="246">
        <f>IFERROR(VLOOKUP(N880,VOL_REC[],2,FALSE),0)</f>
        <v>0</v>
      </c>
      <c r="BE880" s="246">
        <f>IFERROR(VLOOKUP(O880,VOL_REC[],2,FALSE),0)</f>
        <v>0</v>
      </c>
      <c r="BF880" s="246">
        <f>IFERROR(VLOOKUP(P880,VOL_REC[],2,FALSE),0)</f>
        <v>0</v>
      </c>
      <c r="BG880" s="246">
        <f>IFERROR(VLOOKUP(Q880,VOL_REC[],2,FALSE),0)</f>
        <v>0</v>
      </c>
      <c r="BH880" s="1710">
        <f t="shared" si="52"/>
        <v>17121004612.294971</v>
      </c>
      <c r="BI880" s="1710">
        <f t="shared" si="53"/>
        <v>15975795117.860092</v>
      </c>
      <c r="BJ880" s="1711">
        <f t="shared" si="54"/>
        <v>18421518.424429361</v>
      </c>
      <c r="BK880" s="1711">
        <f t="shared" si="55"/>
        <v>1.071684037381939</v>
      </c>
      <c r="BL880">
        <f>BJ880</f>
        <v>18421518.424429361</v>
      </c>
      <c r="BO880">
        <f>BL880</f>
        <v>18421518.424429361</v>
      </c>
    </row>
    <row r="881" spans="3:67" x14ac:dyDescent="0.25">
      <c r="C881" s="246" t="s">
        <v>2231</v>
      </c>
      <c r="D881" s="246">
        <v>1</v>
      </c>
      <c r="E881" s="246">
        <v>2</v>
      </c>
      <c r="F881" s="246">
        <v>3</v>
      </c>
      <c r="G881" s="246">
        <v>5</v>
      </c>
      <c r="H881" s="246">
        <v>10</v>
      </c>
      <c r="I881" s="246">
        <v>14</v>
      </c>
      <c r="J881" s="246">
        <v>15</v>
      </c>
      <c r="K881" s="246">
        <v>17</v>
      </c>
      <c r="L881" s="246"/>
      <c r="M881" s="246"/>
      <c r="N881" s="246"/>
      <c r="O881" s="246"/>
      <c r="P881" s="246"/>
      <c r="Q881" s="246"/>
      <c r="R881" s="246">
        <f>IFERROR(VLOOKUP(D881,PROGRAMAS[],2,FALSE),0)</f>
        <v>97037803.679377079</v>
      </c>
      <c r="S881" s="246">
        <f>IFERROR(VLOOKUP(E881,PROGRAMAS[],2,FALSE),0)</f>
        <v>640501509.6821388</v>
      </c>
      <c r="T881" s="246">
        <f>IFERROR(VLOOKUP(F881,PROGRAMAS[],2,FALSE),0)</f>
        <v>3062327798.1525245</v>
      </c>
      <c r="U881" s="246">
        <f>IFERROR(VLOOKUP(G881,PROGRAMAS[],2,FALSE),0)</f>
        <v>1440941976.2528784</v>
      </c>
      <c r="V881" s="246">
        <f>IFERROR(VLOOKUP(H881,PROGRAMAS[],2,FALSE),0)</f>
        <v>4635315027.8751087</v>
      </c>
      <c r="W881" s="246">
        <f>IFERROR(VLOOKUP(I881,PROGRAMAS[],2,FALSE),0)</f>
        <v>54223862.645839565</v>
      </c>
      <c r="X881" s="246">
        <f>IFERROR(VLOOKUP(J881,PROGRAMAS[],2,FALSE),0)</f>
        <v>122159672.96346797</v>
      </c>
      <c r="Y881" s="246">
        <f>IFERROR(VLOOKUP(K881,PROGRAMAS[],2,FALSE),0)</f>
        <v>1892779498.5211046</v>
      </c>
      <c r="Z881" s="246">
        <f>IFERROR(VLOOKUP(L881,PROGRAMAS[],2,FALSE),0)</f>
        <v>0</v>
      </c>
      <c r="AA881" s="246">
        <f>IFERROR(VLOOKUP(M881,PROGRAMAS[],2,FALSE),0)</f>
        <v>0</v>
      </c>
      <c r="AB881" s="246">
        <f>IFERROR(VLOOKUP(N881,PROGRAMAS[],2,FALSE),0)</f>
        <v>0</v>
      </c>
      <c r="AC881" s="246">
        <f>IFERROR(VLOOKUP(O881,PROGRAMAS[],2,FALSE),0)</f>
        <v>0</v>
      </c>
      <c r="AD881" s="246">
        <f>IFERROR(VLOOKUP(P881,PROGRAMAS[],2,FALSE),0)</f>
        <v>0</v>
      </c>
      <c r="AE881" s="246">
        <f>IFERROR(VLOOKUP(Q881,PROGRAMAS[],2,FALSE),0)</f>
        <v>0</v>
      </c>
      <c r="AF881" s="246">
        <f>IFERROR(VLOOKUP(D881,PROGRAMAS[],3,FALSE),0)</f>
        <v>841888629.31080008</v>
      </c>
      <c r="AG881" s="246">
        <f>IFERROR(VLOOKUP(E881,PROGRAMAS[],3,FALSE),0)</f>
        <v>3848980803.1642323</v>
      </c>
      <c r="AH881" s="246">
        <f>IFERROR(VLOOKUP(F881,PROGRAMAS[],3,FALSE),0)</f>
        <v>3394901471.387517</v>
      </c>
      <c r="AI881" s="246">
        <f>IFERROR(VLOOKUP(G881,PROGRAMAS[],3,FALSE),0)</f>
        <v>1233505101.0616004</v>
      </c>
      <c r="AJ881" s="246">
        <f>IFERROR(VLOOKUP(H881,PROGRAMAS[],3,FALSE),0)</f>
        <v>4099471734.9978786</v>
      </c>
      <c r="AK881" s="246">
        <f>IFERROR(VLOOKUP(I881,PROGRAMAS[],3,FALSE),0)</f>
        <v>31865326.38096505</v>
      </c>
      <c r="AL881" s="246">
        <f>IFERROR(VLOOKUP(J881,PROGRAMAS[],3,FALSE),0)</f>
        <v>118617452.52510804</v>
      </c>
      <c r="AM881" s="246">
        <f>IFERROR(VLOOKUP(K881,PROGRAMAS[],3,FALSE),0)</f>
        <v>948595847.09039903</v>
      </c>
      <c r="AN881" s="246">
        <f>IFERROR(VLOOKUP(L881,PROGRAMAS[],3,FALSE),0)</f>
        <v>0</v>
      </c>
      <c r="AO881" s="246">
        <f>IFERROR(VLOOKUP(M881,PROGRAMAS[],3,FALSE),0)</f>
        <v>0</v>
      </c>
      <c r="AP881" s="246">
        <f>IFERROR(VLOOKUP(N881,PROGRAMAS[],3,FALSE),0)</f>
        <v>0</v>
      </c>
      <c r="AQ881" s="246">
        <f>IFERROR(VLOOKUP(O881,PROGRAMAS[],3,FALSE),0)</f>
        <v>0</v>
      </c>
      <c r="AR881" s="246">
        <f>IFERROR(VLOOKUP(P881,PROGRAMAS[],3,FALSE),0)</f>
        <v>0</v>
      </c>
      <c r="AS881" s="246">
        <f>IFERROR(VLOOKUP(Q881,PROGRAMAS[],3,FALSE),0)</f>
        <v>0</v>
      </c>
      <c r="AT881" s="246">
        <f>IFERROR(VLOOKUP(D881,VOL_REC[],2,FALSE),0)</f>
        <v>0</v>
      </c>
      <c r="AU881" s="246">
        <f>IFERROR(VLOOKUP(E881,VOL_REC[],2,FALSE),0)</f>
        <v>0</v>
      </c>
      <c r="AV881" s="246">
        <f>IFERROR(VLOOKUP(F881,VOL_REC[],2,FALSE),0)</f>
        <v>11089674.200000001</v>
      </c>
      <c r="AW881" s="246">
        <f>IFERROR(VLOOKUP(G881,VOL_REC[],2,FALSE),0)</f>
        <v>4325103.1812214684</v>
      </c>
      <c r="AX881" s="246">
        <f>IFERROR(VLOOKUP(H881,VOL_REC[],2,FALSE),0)</f>
        <v>1812240</v>
      </c>
      <c r="AY881" s="246">
        <f>IFERROR(VLOOKUP(I881,VOL_REC[],2,FALSE),0)</f>
        <v>17074.045034105649</v>
      </c>
      <c r="AZ881" s="246">
        <f>IFERROR(VLOOKUP(J881,VOL_REC[],2,FALSE),0)</f>
        <v>105072</v>
      </c>
      <c r="BA881" s="246">
        <f>IFERROR(VLOOKUP(K881,VOL_REC[],2,FALSE),0)</f>
        <v>740113.98115702497</v>
      </c>
      <c r="BB881" s="246">
        <f>IFERROR(VLOOKUP(L881,VOL_REC[],2,FALSE),0)</f>
        <v>0</v>
      </c>
      <c r="BC881" s="246">
        <f>IFERROR(VLOOKUP(M881,VOL_REC[],2,FALSE),0)</f>
        <v>0</v>
      </c>
      <c r="BD881" s="246">
        <f>IFERROR(VLOOKUP(N881,VOL_REC[],2,FALSE),0)</f>
        <v>0</v>
      </c>
      <c r="BE881" s="246">
        <f>IFERROR(VLOOKUP(O881,VOL_REC[],2,FALSE),0)</f>
        <v>0</v>
      </c>
      <c r="BF881" s="246">
        <f>IFERROR(VLOOKUP(P881,VOL_REC[],2,FALSE),0)</f>
        <v>0</v>
      </c>
      <c r="BG881" s="246">
        <f>IFERROR(VLOOKUP(Q881,VOL_REC[],2,FALSE),0)</f>
        <v>0</v>
      </c>
      <c r="BH881" s="1710">
        <f t="shared" si="52"/>
        <v>11945287149.772442</v>
      </c>
      <c r="BI881" s="1710">
        <f t="shared" si="53"/>
        <v>14517826365.918501</v>
      </c>
      <c r="BJ881" s="1711">
        <f t="shared" si="54"/>
        <v>18089277.4074126</v>
      </c>
      <c r="BK881" s="1711">
        <f t="shared" si="55"/>
        <v>0.82280135115920283</v>
      </c>
    </row>
    <row r="882" spans="3:67" x14ac:dyDescent="0.25">
      <c r="C882" s="246" t="s">
        <v>2232</v>
      </c>
      <c r="D882" s="246">
        <v>1</v>
      </c>
      <c r="E882" s="246">
        <v>2</v>
      </c>
      <c r="F882" s="246">
        <v>3</v>
      </c>
      <c r="G882" s="246">
        <v>5</v>
      </c>
      <c r="H882" s="246">
        <v>10</v>
      </c>
      <c r="I882" s="246">
        <v>14</v>
      </c>
      <c r="J882" s="246">
        <v>16</v>
      </c>
      <c r="K882" s="246">
        <v>17</v>
      </c>
      <c r="L882" s="246"/>
      <c r="M882" s="246"/>
      <c r="N882" s="246"/>
      <c r="O882" s="246"/>
      <c r="P882" s="246"/>
      <c r="Q882" s="246"/>
      <c r="R882" s="246">
        <f>IFERROR(VLOOKUP(D882,PROGRAMAS[],2,FALSE),0)</f>
        <v>97037803.679377079</v>
      </c>
      <c r="S882" s="246">
        <f>IFERROR(VLOOKUP(E882,PROGRAMAS[],2,FALSE),0)</f>
        <v>640501509.6821388</v>
      </c>
      <c r="T882" s="246">
        <f>IFERROR(VLOOKUP(F882,PROGRAMAS[],2,FALSE),0)</f>
        <v>3062327798.1525245</v>
      </c>
      <c r="U882" s="246">
        <f>IFERROR(VLOOKUP(G882,PROGRAMAS[],2,FALSE),0)</f>
        <v>1440941976.2528784</v>
      </c>
      <c r="V882" s="246">
        <f>IFERROR(VLOOKUP(H882,PROGRAMAS[],2,FALSE),0)</f>
        <v>4635315027.8751087</v>
      </c>
      <c r="W882" s="246">
        <f>IFERROR(VLOOKUP(I882,PROGRAMAS[],2,FALSE),0)</f>
        <v>54223862.645839565</v>
      </c>
      <c r="X882" s="246">
        <f>IFERROR(VLOOKUP(J882,PROGRAMAS[],2,FALSE),0)</f>
        <v>7068496961.0436354</v>
      </c>
      <c r="Y882" s="246">
        <f>IFERROR(VLOOKUP(K882,PROGRAMAS[],2,FALSE),0)</f>
        <v>1892779498.5211046</v>
      </c>
      <c r="Z882" s="246">
        <f>IFERROR(VLOOKUP(L882,PROGRAMAS[],2,FALSE),0)</f>
        <v>0</v>
      </c>
      <c r="AA882" s="246">
        <f>IFERROR(VLOOKUP(M882,PROGRAMAS[],2,FALSE),0)</f>
        <v>0</v>
      </c>
      <c r="AB882" s="246">
        <f>IFERROR(VLOOKUP(N882,PROGRAMAS[],2,FALSE),0)</f>
        <v>0</v>
      </c>
      <c r="AC882" s="246">
        <f>IFERROR(VLOOKUP(O882,PROGRAMAS[],2,FALSE),0)</f>
        <v>0</v>
      </c>
      <c r="AD882" s="246">
        <f>IFERROR(VLOOKUP(P882,PROGRAMAS[],2,FALSE),0)</f>
        <v>0</v>
      </c>
      <c r="AE882" s="246">
        <f>IFERROR(VLOOKUP(Q882,PROGRAMAS[],2,FALSE),0)</f>
        <v>0</v>
      </c>
      <c r="AF882" s="246">
        <f>IFERROR(VLOOKUP(D882,PROGRAMAS[],3,FALSE),0)</f>
        <v>841888629.31080008</v>
      </c>
      <c r="AG882" s="246">
        <f>IFERROR(VLOOKUP(E882,PROGRAMAS[],3,FALSE),0)</f>
        <v>3848980803.1642323</v>
      </c>
      <c r="AH882" s="246">
        <f>IFERROR(VLOOKUP(F882,PROGRAMAS[],3,FALSE),0)</f>
        <v>3394901471.387517</v>
      </c>
      <c r="AI882" s="246">
        <f>IFERROR(VLOOKUP(G882,PROGRAMAS[],3,FALSE),0)</f>
        <v>1233505101.0616004</v>
      </c>
      <c r="AJ882" s="246">
        <f>IFERROR(VLOOKUP(H882,PROGRAMAS[],3,FALSE),0)</f>
        <v>4099471734.9978786</v>
      </c>
      <c r="AK882" s="246">
        <f>IFERROR(VLOOKUP(I882,PROGRAMAS[],3,FALSE),0)</f>
        <v>31865326.38096505</v>
      </c>
      <c r="AL882" s="246">
        <f>IFERROR(VLOOKUP(J882,PROGRAMAS[],3,FALSE),0)</f>
        <v>2406564599.0319901</v>
      </c>
      <c r="AM882" s="246">
        <f>IFERROR(VLOOKUP(K882,PROGRAMAS[],3,FALSE),0)</f>
        <v>948595847.09039903</v>
      </c>
      <c r="AN882" s="246">
        <f>IFERROR(VLOOKUP(L882,PROGRAMAS[],3,FALSE),0)</f>
        <v>0</v>
      </c>
      <c r="AO882" s="246">
        <f>IFERROR(VLOOKUP(M882,PROGRAMAS[],3,FALSE),0)</f>
        <v>0</v>
      </c>
      <c r="AP882" s="246">
        <f>IFERROR(VLOOKUP(N882,PROGRAMAS[],3,FALSE),0)</f>
        <v>0</v>
      </c>
      <c r="AQ882" s="246">
        <f>IFERROR(VLOOKUP(O882,PROGRAMAS[],3,FALSE),0)</f>
        <v>0</v>
      </c>
      <c r="AR882" s="246">
        <f>IFERROR(VLOOKUP(P882,PROGRAMAS[],3,FALSE),0)</f>
        <v>0</v>
      </c>
      <c r="AS882" s="246">
        <f>IFERROR(VLOOKUP(Q882,PROGRAMAS[],3,FALSE),0)</f>
        <v>0</v>
      </c>
      <c r="AT882" s="246">
        <f>IFERROR(VLOOKUP(D882,VOL_REC[],2,FALSE),0)</f>
        <v>0</v>
      </c>
      <c r="AU882" s="246">
        <f>IFERROR(VLOOKUP(E882,VOL_REC[],2,FALSE),0)</f>
        <v>0</v>
      </c>
      <c r="AV882" s="246">
        <f>IFERROR(VLOOKUP(F882,VOL_REC[],2,FALSE),0)</f>
        <v>11089674.200000001</v>
      </c>
      <c r="AW882" s="246">
        <f>IFERROR(VLOOKUP(G882,VOL_REC[],2,FALSE),0)</f>
        <v>4325103.1812214684</v>
      </c>
      <c r="AX882" s="246">
        <f>IFERROR(VLOOKUP(H882,VOL_REC[],2,FALSE),0)</f>
        <v>1812240</v>
      </c>
      <c r="AY882" s="246">
        <f>IFERROR(VLOOKUP(I882,VOL_REC[],2,FALSE),0)</f>
        <v>17074.045034105649</v>
      </c>
      <c r="AZ882" s="246">
        <f>IFERROR(VLOOKUP(J882,VOL_REC[],2,FALSE),0)</f>
        <v>1072354.9981737854</v>
      </c>
      <c r="BA882" s="246">
        <f>IFERROR(VLOOKUP(K882,VOL_REC[],2,FALSE),0)</f>
        <v>740113.98115702497</v>
      </c>
      <c r="BB882" s="246">
        <f>IFERROR(VLOOKUP(L882,VOL_REC[],2,FALSE),0)</f>
        <v>0</v>
      </c>
      <c r="BC882" s="246">
        <f>IFERROR(VLOOKUP(M882,VOL_REC[],2,FALSE),0)</f>
        <v>0</v>
      </c>
      <c r="BD882" s="246">
        <f>IFERROR(VLOOKUP(N882,VOL_REC[],2,FALSE),0)</f>
        <v>0</v>
      </c>
      <c r="BE882" s="246">
        <f>IFERROR(VLOOKUP(O882,VOL_REC[],2,FALSE),0)</f>
        <v>0</v>
      </c>
      <c r="BF882" s="246">
        <f>IFERROR(VLOOKUP(P882,VOL_REC[],2,FALSE),0)</f>
        <v>0</v>
      </c>
      <c r="BG882" s="246">
        <f>IFERROR(VLOOKUP(Q882,VOL_REC[],2,FALSE),0)</f>
        <v>0</v>
      </c>
      <c r="BH882" s="1710">
        <f t="shared" si="52"/>
        <v>18891624437.852608</v>
      </c>
      <c r="BI882" s="1710">
        <f t="shared" si="53"/>
        <v>16805773512.425383</v>
      </c>
      <c r="BJ882" s="1711">
        <f t="shared" si="54"/>
        <v>19056560.405586384</v>
      </c>
      <c r="BK882" s="1711">
        <f t="shared" si="55"/>
        <v>1.1241151395908702</v>
      </c>
      <c r="BL882">
        <f>BJ882</f>
        <v>19056560.405586384</v>
      </c>
      <c r="BO882">
        <f>BL882</f>
        <v>19056560.405586384</v>
      </c>
    </row>
    <row r="883" spans="3:67" x14ac:dyDescent="0.25">
      <c r="C883" s="246" t="s">
        <v>2233</v>
      </c>
      <c r="D883" s="246">
        <v>1</v>
      </c>
      <c r="E883" s="246">
        <v>2</v>
      </c>
      <c r="F883" s="246">
        <v>3</v>
      </c>
      <c r="G883" s="246">
        <v>5</v>
      </c>
      <c r="H883" s="246">
        <v>10</v>
      </c>
      <c r="I883" s="246">
        <v>15</v>
      </c>
      <c r="J883" s="246">
        <v>16</v>
      </c>
      <c r="K883" s="246">
        <v>17</v>
      </c>
      <c r="L883" s="246"/>
      <c r="M883" s="246"/>
      <c r="N883" s="246"/>
      <c r="O883" s="246"/>
      <c r="P883" s="246"/>
      <c r="Q883" s="246"/>
      <c r="R883" s="246">
        <f>IFERROR(VLOOKUP(D883,PROGRAMAS[],2,FALSE),0)</f>
        <v>97037803.679377079</v>
      </c>
      <c r="S883" s="246">
        <f>IFERROR(VLOOKUP(E883,PROGRAMAS[],2,FALSE),0)</f>
        <v>640501509.6821388</v>
      </c>
      <c r="T883" s="246">
        <f>IFERROR(VLOOKUP(F883,PROGRAMAS[],2,FALSE),0)</f>
        <v>3062327798.1525245</v>
      </c>
      <c r="U883" s="246">
        <f>IFERROR(VLOOKUP(G883,PROGRAMAS[],2,FALSE),0)</f>
        <v>1440941976.2528784</v>
      </c>
      <c r="V883" s="246">
        <f>IFERROR(VLOOKUP(H883,PROGRAMAS[],2,FALSE),0)</f>
        <v>4635315027.8751087</v>
      </c>
      <c r="W883" s="246">
        <f>IFERROR(VLOOKUP(I883,PROGRAMAS[],2,FALSE),0)</f>
        <v>122159672.96346797</v>
      </c>
      <c r="X883" s="246">
        <f>IFERROR(VLOOKUP(J883,PROGRAMAS[],2,FALSE),0)</f>
        <v>7068496961.0436354</v>
      </c>
      <c r="Y883" s="246">
        <f>IFERROR(VLOOKUP(K883,PROGRAMAS[],2,FALSE),0)</f>
        <v>1892779498.5211046</v>
      </c>
      <c r="Z883" s="246">
        <f>IFERROR(VLOOKUP(L883,PROGRAMAS[],2,FALSE),0)</f>
        <v>0</v>
      </c>
      <c r="AA883" s="246">
        <f>IFERROR(VLOOKUP(M883,PROGRAMAS[],2,FALSE),0)</f>
        <v>0</v>
      </c>
      <c r="AB883" s="246">
        <f>IFERROR(VLOOKUP(N883,PROGRAMAS[],2,FALSE),0)</f>
        <v>0</v>
      </c>
      <c r="AC883" s="246">
        <f>IFERROR(VLOOKUP(O883,PROGRAMAS[],2,FALSE),0)</f>
        <v>0</v>
      </c>
      <c r="AD883" s="246">
        <f>IFERROR(VLOOKUP(P883,PROGRAMAS[],2,FALSE),0)</f>
        <v>0</v>
      </c>
      <c r="AE883" s="246">
        <f>IFERROR(VLOOKUP(Q883,PROGRAMAS[],2,FALSE),0)</f>
        <v>0</v>
      </c>
      <c r="AF883" s="246">
        <f>IFERROR(VLOOKUP(D883,PROGRAMAS[],3,FALSE),0)</f>
        <v>841888629.31080008</v>
      </c>
      <c r="AG883" s="246">
        <f>IFERROR(VLOOKUP(E883,PROGRAMAS[],3,FALSE),0)</f>
        <v>3848980803.1642323</v>
      </c>
      <c r="AH883" s="246">
        <f>IFERROR(VLOOKUP(F883,PROGRAMAS[],3,FALSE),0)</f>
        <v>3394901471.387517</v>
      </c>
      <c r="AI883" s="246">
        <f>IFERROR(VLOOKUP(G883,PROGRAMAS[],3,FALSE),0)</f>
        <v>1233505101.0616004</v>
      </c>
      <c r="AJ883" s="246">
        <f>IFERROR(VLOOKUP(H883,PROGRAMAS[],3,FALSE),0)</f>
        <v>4099471734.9978786</v>
      </c>
      <c r="AK883" s="246">
        <f>IFERROR(VLOOKUP(I883,PROGRAMAS[],3,FALSE),0)</f>
        <v>118617452.52510804</v>
      </c>
      <c r="AL883" s="246">
        <f>IFERROR(VLOOKUP(J883,PROGRAMAS[],3,FALSE),0)</f>
        <v>2406564599.0319901</v>
      </c>
      <c r="AM883" s="246">
        <f>IFERROR(VLOOKUP(K883,PROGRAMAS[],3,FALSE),0)</f>
        <v>948595847.09039903</v>
      </c>
      <c r="AN883" s="246">
        <f>IFERROR(VLOOKUP(L883,PROGRAMAS[],3,FALSE),0)</f>
        <v>0</v>
      </c>
      <c r="AO883" s="246">
        <f>IFERROR(VLOOKUP(M883,PROGRAMAS[],3,FALSE),0)</f>
        <v>0</v>
      </c>
      <c r="AP883" s="246">
        <f>IFERROR(VLOOKUP(N883,PROGRAMAS[],3,FALSE),0)</f>
        <v>0</v>
      </c>
      <c r="AQ883" s="246">
        <f>IFERROR(VLOOKUP(O883,PROGRAMAS[],3,FALSE),0)</f>
        <v>0</v>
      </c>
      <c r="AR883" s="246">
        <f>IFERROR(VLOOKUP(P883,PROGRAMAS[],3,FALSE),0)</f>
        <v>0</v>
      </c>
      <c r="AS883" s="246">
        <f>IFERROR(VLOOKUP(Q883,PROGRAMAS[],3,FALSE),0)</f>
        <v>0</v>
      </c>
      <c r="AT883" s="246">
        <f>IFERROR(VLOOKUP(D883,VOL_REC[],2,FALSE),0)</f>
        <v>0</v>
      </c>
      <c r="AU883" s="246">
        <f>IFERROR(VLOOKUP(E883,VOL_REC[],2,FALSE),0)</f>
        <v>0</v>
      </c>
      <c r="AV883" s="246">
        <f>IFERROR(VLOOKUP(F883,VOL_REC[],2,FALSE),0)</f>
        <v>11089674.200000001</v>
      </c>
      <c r="AW883" s="246">
        <f>IFERROR(VLOOKUP(G883,VOL_REC[],2,FALSE),0)</f>
        <v>4325103.1812214684</v>
      </c>
      <c r="AX883" s="246">
        <f>IFERROR(VLOOKUP(H883,VOL_REC[],2,FALSE),0)</f>
        <v>1812240</v>
      </c>
      <c r="AY883" s="246">
        <f>IFERROR(VLOOKUP(I883,VOL_REC[],2,FALSE),0)</f>
        <v>105072</v>
      </c>
      <c r="AZ883" s="246">
        <f>IFERROR(VLOOKUP(J883,VOL_REC[],2,FALSE),0)</f>
        <v>1072354.9981737854</v>
      </c>
      <c r="BA883" s="246">
        <f>IFERROR(VLOOKUP(K883,VOL_REC[],2,FALSE),0)</f>
        <v>740113.98115702497</v>
      </c>
      <c r="BB883" s="246">
        <f>IFERROR(VLOOKUP(L883,VOL_REC[],2,FALSE),0)</f>
        <v>0</v>
      </c>
      <c r="BC883" s="246">
        <f>IFERROR(VLOOKUP(M883,VOL_REC[],2,FALSE),0)</f>
        <v>0</v>
      </c>
      <c r="BD883" s="246">
        <f>IFERROR(VLOOKUP(N883,VOL_REC[],2,FALSE),0)</f>
        <v>0</v>
      </c>
      <c r="BE883" s="246">
        <f>IFERROR(VLOOKUP(O883,VOL_REC[],2,FALSE),0)</f>
        <v>0</v>
      </c>
      <c r="BF883" s="246">
        <f>IFERROR(VLOOKUP(P883,VOL_REC[],2,FALSE),0)</f>
        <v>0</v>
      </c>
      <c r="BG883" s="246">
        <f>IFERROR(VLOOKUP(Q883,VOL_REC[],2,FALSE),0)</f>
        <v>0</v>
      </c>
      <c r="BH883" s="1710">
        <f t="shared" si="52"/>
        <v>18959560248.170235</v>
      </c>
      <c r="BI883" s="1710">
        <f t="shared" si="53"/>
        <v>16892525638.569527</v>
      </c>
      <c r="BJ883" s="1711">
        <f t="shared" si="54"/>
        <v>19144558.360552277</v>
      </c>
      <c r="BK883" s="1711">
        <f t="shared" si="55"/>
        <v>1.122363858065202</v>
      </c>
      <c r="BL883">
        <f>BJ883</f>
        <v>19144558.360552277</v>
      </c>
      <c r="BO883">
        <f>BL883</f>
        <v>19144558.360552277</v>
      </c>
    </row>
    <row r="884" spans="3:67" x14ac:dyDescent="0.25">
      <c r="C884" s="246" t="s">
        <v>2234</v>
      </c>
      <c r="D884" s="246">
        <v>1</v>
      </c>
      <c r="E884" s="246">
        <v>2</v>
      </c>
      <c r="F884" s="246">
        <v>3</v>
      </c>
      <c r="G884" s="246">
        <v>5</v>
      </c>
      <c r="H884" s="246">
        <v>12</v>
      </c>
      <c r="I884" s="246">
        <v>13</v>
      </c>
      <c r="J884" s="246">
        <v>14</v>
      </c>
      <c r="K884" s="246">
        <v>15</v>
      </c>
      <c r="L884" s="246"/>
      <c r="M884" s="246"/>
      <c r="N884" s="246"/>
      <c r="O884" s="246"/>
      <c r="P884" s="246"/>
      <c r="Q884" s="246"/>
      <c r="R884" s="246">
        <f>IFERROR(VLOOKUP(D884,PROGRAMAS[],2,FALSE),0)</f>
        <v>97037803.679377079</v>
      </c>
      <c r="S884" s="246">
        <f>IFERROR(VLOOKUP(E884,PROGRAMAS[],2,FALSE),0)</f>
        <v>640501509.6821388</v>
      </c>
      <c r="T884" s="246">
        <f>IFERROR(VLOOKUP(F884,PROGRAMAS[],2,FALSE),0)</f>
        <v>3062327798.1525245</v>
      </c>
      <c r="U884" s="246">
        <f>IFERROR(VLOOKUP(G884,PROGRAMAS[],2,FALSE),0)</f>
        <v>1440941976.2528784</v>
      </c>
      <c r="V884" s="246">
        <f>IFERROR(VLOOKUP(H884,PROGRAMAS[],2,FALSE),0)</f>
        <v>764796700.79905891</v>
      </c>
      <c r="W884" s="246">
        <f>IFERROR(VLOOKUP(I884,PROGRAMAS[],2,FALSE),0)</f>
        <v>3776538594.4604583</v>
      </c>
      <c r="X884" s="246">
        <f>IFERROR(VLOOKUP(J884,PROGRAMAS[],2,FALSE),0)</f>
        <v>54223862.645839565</v>
      </c>
      <c r="Y884" s="246">
        <f>IFERROR(VLOOKUP(K884,PROGRAMAS[],2,FALSE),0)</f>
        <v>122159672.96346797</v>
      </c>
      <c r="Z884" s="246">
        <f>IFERROR(VLOOKUP(L884,PROGRAMAS[],2,FALSE),0)</f>
        <v>0</v>
      </c>
      <c r="AA884" s="246">
        <f>IFERROR(VLOOKUP(M884,PROGRAMAS[],2,FALSE),0)</f>
        <v>0</v>
      </c>
      <c r="AB884" s="246">
        <f>IFERROR(VLOOKUP(N884,PROGRAMAS[],2,FALSE),0)</f>
        <v>0</v>
      </c>
      <c r="AC884" s="246">
        <f>IFERROR(VLOOKUP(O884,PROGRAMAS[],2,FALSE),0)</f>
        <v>0</v>
      </c>
      <c r="AD884" s="246">
        <f>IFERROR(VLOOKUP(P884,PROGRAMAS[],2,FALSE),0)</f>
        <v>0</v>
      </c>
      <c r="AE884" s="246">
        <f>IFERROR(VLOOKUP(Q884,PROGRAMAS[],2,FALSE),0)</f>
        <v>0</v>
      </c>
      <c r="AF884" s="246">
        <f>IFERROR(VLOOKUP(D884,PROGRAMAS[],3,FALSE),0)</f>
        <v>841888629.31080008</v>
      </c>
      <c r="AG884" s="246">
        <f>IFERROR(VLOOKUP(E884,PROGRAMAS[],3,FALSE),0)</f>
        <v>3848980803.1642323</v>
      </c>
      <c r="AH884" s="246">
        <f>IFERROR(VLOOKUP(F884,PROGRAMAS[],3,FALSE),0)</f>
        <v>3394901471.387517</v>
      </c>
      <c r="AI884" s="246">
        <f>IFERROR(VLOOKUP(G884,PROGRAMAS[],3,FALSE),0)</f>
        <v>1233505101.0616004</v>
      </c>
      <c r="AJ884" s="246">
        <f>IFERROR(VLOOKUP(H884,PROGRAMAS[],3,FALSE),0)</f>
        <v>675517840.109828</v>
      </c>
      <c r="AK884" s="246">
        <f>IFERROR(VLOOKUP(I884,PROGRAMAS[],3,FALSE),0)</f>
        <v>2392571243.5584412</v>
      </c>
      <c r="AL884" s="246">
        <f>IFERROR(VLOOKUP(J884,PROGRAMAS[],3,FALSE),0)</f>
        <v>31865326.38096505</v>
      </c>
      <c r="AM884" s="246">
        <f>IFERROR(VLOOKUP(K884,PROGRAMAS[],3,FALSE),0)</f>
        <v>118617452.52510804</v>
      </c>
      <c r="AN884" s="246">
        <f>IFERROR(VLOOKUP(L884,PROGRAMAS[],3,FALSE),0)</f>
        <v>0</v>
      </c>
      <c r="AO884" s="246">
        <f>IFERROR(VLOOKUP(M884,PROGRAMAS[],3,FALSE),0)</f>
        <v>0</v>
      </c>
      <c r="AP884" s="246">
        <f>IFERROR(VLOOKUP(N884,PROGRAMAS[],3,FALSE),0)</f>
        <v>0</v>
      </c>
      <c r="AQ884" s="246">
        <f>IFERROR(VLOOKUP(O884,PROGRAMAS[],3,FALSE),0)</f>
        <v>0</v>
      </c>
      <c r="AR884" s="246">
        <f>IFERROR(VLOOKUP(P884,PROGRAMAS[],3,FALSE),0)</f>
        <v>0</v>
      </c>
      <c r="AS884" s="246">
        <f>IFERROR(VLOOKUP(Q884,PROGRAMAS[],3,FALSE),0)</f>
        <v>0</v>
      </c>
      <c r="AT884" s="246">
        <f>IFERROR(VLOOKUP(D884,VOL_REC[],2,FALSE),0)</f>
        <v>0</v>
      </c>
      <c r="AU884" s="246">
        <f>IFERROR(VLOOKUP(E884,VOL_REC[],2,FALSE),0)</f>
        <v>0</v>
      </c>
      <c r="AV884" s="246">
        <f>IFERROR(VLOOKUP(F884,VOL_REC[],2,FALSE),0)</f>
        <v>11089674.200000001</v>
      </c>
      <c r="AW884" s="246">
        <f>IFERROR(VLOOKUP(G884,VOL_REC[],2,FALSE),0)</f>
        <v>4325103.1812214684</v>
      </c>
      <c r="AX884" s="246">
        <f>IFERROR(VLOOKUP(H884,VOL_REC[],2,FALSE),0)</f>
        <v>240696.79238099116</v>
      </c>
      <c r="AY884" s="246">
        <f>IFERROR(VLOOKUP(I884,VOL_REC[],2,FALSE),0)</f>
        <v>663244.80000000016</v>
      </c>
      <c r="AZ884" s="246">
        <f>IFERROR(VLOOKUP(J884,VOL_REC[],2,FALSE),0)</f>
        <v>17074.045034105649</v>
      </c>
      <c r="BA884" s="246">
        <f>IFERROR(VLOOKUP(K884,VOL_REC[],2,FALSE),0)</f>
        <v>105072</v>
      </c>
      <c r="BB884" s="246">
        <f>IFERROR(VLOOKUP(L884,VOL_REC[],2,FALSE),0)</f>
        <v>0</v>
      </c>
      <c r="BC884" s="246">
        <f>IFERROR(VLOOKUP(M884,VOL_REC[],2,FALSE),0)</f>
        <v>0</v>
      </c>
      <c r="BD884" s="246">
        <f>IFERROR(VLOOKUP(N884,VOL_REC[],2,FALSE),0)</f>
        <v>0</v>
      </c>
      <c r="BE884" s="246">
        <f>IFERROR(VLOOKUP(O884,VOL_REC[],2,FALSE),0)</f>
        <v>0</v>
      </c>
      <c r="BF884" s="246">
        <f>IFERROR(VLOOKUP(P884,VOL_REC[],2,FALSE),0)</f>
        <v>0</v>
      </c>
      <c r="BG884" s="246">
        <f>IFERROR(VLOOKUP(Q884,VOL_REC[],2,FALSE),0)</f>
        <v>0</v>
      </c>
      <c r="BH884" s="1710">
        <f t="shared" si="52"/>
        <v>9958527918.6357441</v>
      </c>
      <c r="BI884" s="1710">
        <f t="shared" si="53"/>
        <v>12537847867.498491</v>
      </c>
      <c r="BJ884" s="1711">
        <f t="shared" si="54"/>
        <v>16440865.018636566</v>
      </c>
      <c r="BK884" s="1711">
        <f t="shared" si="55"/>
        <v>0.79427729733832186</v>
      </c>
    </row>
    <row r="885" spans="3:67" x14ac:dyDescent="0.25">
      <c r="C885" s="246" t="s">
        <v>2235</v>
      </c>
      <c r="D885" s="246">
        <v>1</v>
      </c>
      <c r="E885" s="246">
        <v>2</v>
      </c>
      <c r="F885" s="246">
        <v>3</v>
      </c>
      <c r="G885" s="246">
        <v>5</v>
      </c>
      <c r="H885" s="246">
        <v>12</v>
      </c>
      <c r="I885" s="246">
        <v>13</v>
      </c>
      <c r="J885" s="246">
        <v>14</v>
      </c>
      <c r="K885" s="246">
        <v>16</v>
      </c>
      <c r="L885" s="246"/>
      <c r="M885" s="246"/>
      <c r="N885" s="246"/>
      <c r="O885" s="246"/>
      <c r="P885" s="246"/>
      <c r="Q885" s="246"/>
      <c r="R885" s="246">
        <f>IFERROR(VLOOKUP(D885,PROGRAMAS[],2,FALSE),0)</f>
        <v>97037803.679377079</v>
      </c>
      <c r="S885" s="246">
        <f>IFERROR(VLOOKUP(E885,PROGRAMAS[],2,FALSE),0)</f>
        <v>640501509.6821388</v>
      </c>
      <c r="T885" s="246">
        <f>IFERROR(VLOOKUP(F885,PROGRAMAS[],2,FALSE),0)</f>
        <v>3062327798.1525245</v>
      </c>
      <c r="U885" s="246">
        <f>IFERROR(VLOOKUP(G885,PROGRAMAS[],2,FALSE),0)</f>
        <v>1440941976.2528784</v>
      </c>
      <c r="V885" s="246">
        <f>IFERROR(VLOOKUP(H885,PROGRAMAS[],2,FALSE),0)</f>
        <v>764796700.79905891</v>
      </c>
      <c r="W885" s="246">
        <f>IFERROR(VLOOKUP(I885,PROGRAMAS[],2,FALSE),0)</f>
        <v>3776538594.4604583</v>
      </c>
      <c r="X885" s="246">
        <f>IFERROR(VLOOKUP(J885,PROGRAMAS[],2,FALSE),0)</f>
        <v>54223862.645839565</v>
      </c>
      <c r="Y885" s="246">
        <f>IFERROR(VLOOKUP(K885,PROGRAMAS[],2,FALSE),0)</f>
        <v>7068496961.0436354</v>
      </c>
      <c r="Z885" s="246">
        <f>IFERROR(VLOOKUP(L885,PROGRAMAS[],2,FALSE),0)</f>
        <v>0</v>
      </c>
      <c r="AA885" s="246">
        <f>IFERROR(VLOOKUP(M885,PROGRAMAS[],2,FALSE),0)</f>
        <v>0</v>
      </c>
      <c r="AB885" s="246">
        <f>IFERROR(VLOOKUP(N885,PROGRAMAS[],2,FALSE),0)</f>
        <v>0</v>
      </c>
      <c r="AC885" s="246">
        <f>IFERROR(VLOOKUP(O885,PROGRAMAS[],2,FALSE),0)</f>
        <v>0</v>
      </c>
      <c r="AD885" s="246">
        <f>IFERROR(VLOOKUP(P885,PROGRAMAS[],2,FALSE),0)</f>
        <v>0</v>
      </c>
      <c r="AE885" s="246">
        <f>IFERROR(VLOOKUP(Q885,PROGRAMAS[],2,FALSE),0)</f>
        <v>0</v>
      </c>
      <c r="AF885" s="246">
        <f>IFERROR(VLOOKUP(D885,PROGRAMAS[],3,FALSE),0)</f>
        <v>841888629.31080008</v>
      </c>
      <c r="AG885" s="246">
        <f>IFERROR(VLOOKUP(E885,PROGRAMAS[],3,FALSE),0)</f>
        <v>3848980803.1642323</v>
      </c>
      <c r="AH885" s="246">
        <f>IFERROR(VLOOKUP(F885,PROGRAMAS[],3,FALSE),0)</f>
        <v>3394901471.387517</v>
      </c>
      <c r="AI885" s="246">
        <f>IFERROR(VLOOKUP(G885,PROGRAMAS[],3,FALSE),0)</f>
        <v>1233505101.0616004</v>
      </c>
      <c r="AJ885" s="246">
        <f>IFERROR(VLOOKUP(H885,PROGRAMAS[],3,FALSE),0)</f>
        <v>675517840.109828</v>
      </c>
      <c r="AK885" s="246">
        <f>IFERROR(VLOOKUP(I885,PROGRAMAS[],3,FALSE),0)</f>
        <v>2392571243.5584412</v>
      </c>
      <c r="AL885" s="246">
        <f>IFERROR(VLOOKUP(J885,PROGRAMAS[],3,FALSE),0)</f>
        <v>31865326.38096505</v>
      </c>
      <c r="AM885" s="246">
        <f>IFERROR(VLOOKUP(K885,PROGRAMAS[],3,FALSE),0)</f>
        <v>2406564599.0319901</v>
      </c>
      <c r="AN885" s="246">
        <f>IFERROR(VLOOKUP(L885,PROGRAMAS[],3,FALSE),0)</f>
        <v>0</v>
      </c>
      <c r="AO885" s="246">
        <f>IFERROR(VLOOKUP(M885,PROGRAMAS[],3,FALSE),0)</f>
        <v>0</v>
      </c>
      <c r="AP885" s="246">
        <f>IFERROR(VLOOKUP(N885,PROGRAMAS[],3,FALSE),0)</f>
        <v>0</v>
      </c>
      <c r="AQ885" s="246">
        <f>IFERROR(VLOOKUP(O885,PROGRAMAS[],3,FALSE),0)</f>
        <v>0</v>
      </c>
      <c r="AR885" s="246">
        <f>IFERROR(VLOOKUP(P885,PROGRAMAS[],3,FALSE),0)</f>
        <v>0</v>
      </c>
      <c r="AS885" s="246">
        <f>IFERROR(VLOOKUP(Q885,PROGRAMAS[],3,FALSE),0)</f>
        <v>0</v>
      </c>
      <c r="AT885" s="246">
        <f>IFERROR(VLOOKUP(D885,VOL_REC[],2,FALSE),0)</f>
        <v>0</v>
      </c>
      <c r="AU885" s="246">
        <f>IFERROR(VLOOKUP(E885,VOL_REC[],2,FALSE),0)</f>
        <v>0</v>
      </c>
      <c r="AV885" s="246">
        <f>IFERROR(VLOOKUP(F885,VOL_REC[],2,FALSE),0)</f>
        <v>11089674.200000001</v>
      </c>
      <c r="AW885" s="246">
        <f>IFERROR(VLOOKUP(G885,VOL_REC[],2,FALSE),0)</f>
        <v>4325103.1812214684</v>
      </c>
      <c r="AX885" s="246">
        <f>IFERROR(VLOOKUP(H885,VOL_REC[],2,FALSE),0)</f>
        <v>240696.79238099116</v>
      </c>
      <c r="AY885" s="246">
        <f>IFERROR(VLOOKUP(I885,VOL_REC[],2,FALSE),0)</f>
        <v>663244.80000000016</v>
      </c>
      <c r="AZ885" s="246">
        <f>IFERROR(VLOOKUP(J885,VOL_REC[],2,FALSE),0)</f>
        <v>17074.045034105649</v>
      </c>
      <c r="BA885" s="246">
        <f>IFERROR(VLOOKUP(K885,VOL_REC[],2,FALSE),0)</f>
        <v>1072354.9981737854</v>
      </c>
      <c r="BB885" s="246">
        <f>IFERROR(VLOOKUP(L885,VOL_REC[],2,FALSE),0)</f>
        <v>0</v>
      </c>
      <c r="BC885" s="246">
        <f>IFERROR(VLOOKUP(M885,VOL_REC[],2,FALSE),0)</f>
        <v>0</v>
      </c>
      <c r="BD885" s="246">
        <f>IFERROR(VLOOKUP(N885,VOL_REC[],2,FALSE),0)</f>
        <v>0</v>
      </c>
      <c r="BE885" s="246">
        <f>IFERROR(VLOOKUP(O885,VOL_REC[],2,FALSE),0)</f>
        <v>0</v>
      </c>
      <c r="BF885" s="246">
        <f>IFERROR(VLOOKUP(P885,VOL_REC[],2,FALSE),0)</f>
        <v>0</v>
      </c>
      <c r="BG885" s="246">
        <f>IFERROR(VLOOKUP(Q885,VOL_REC[],2,FALSE),0)</f>
        <v>0</v>
      </c>
      <c r="BH885" s="1710">
        <f t="shared" si="52"/>
        <v>16904865206.715912</v>
      </c>
      <c r="BI885" s="1710">
        <f t="shared" si="53"/>
        <v>14825795014.005373</v>
      </c>
      <c r="BJ885" s="1711">
        <f t="shared" si="54"/>
        <v>17408148.01681035</v>
      </c>
      <c r="BK885" s="1711">
        <f t="shared" si="55"/>
        <v>1.1402333022105404</v>
      </c>
      <c r="BL885">
        <f>BJ885</f>
        <v>17408148.01681035</v>
      </c>
      <c r="BO885">
        <f>BL885</f>
        <v>17408148.01681035</v>
      </c>
    </row>
    <row r="886" spans="3:67" x14ac:dyDescent="0.25">
      <c r="C886" s="246" t="s">
        <v>2236</v>
      </c>
      <c r="D886" s="246">
        <v>1</v>
      </c>
      <c r="E886" s="246">
        <v>2</v>
      </c>
      <c r="F886" s="246">
        <v>3</v>
      </c>
      <c r="G886" s="246">
        <v>5</v>
      </c>
      <c r="H886" s="246">
        <v>12</v>
      </c>
      <c r="I886" s="246">
        <v>13</v>
      </c>
      <c r="J886" s="246">
        <v>14</v>
      </c>
      <c r="K886" s="246">
        <v>17</v>
      </c>
      <c r="L886" s="246"/>
      <c r="M886" s="246"/>
      <c r="N886" s="246"/>
      <c r="O886" s="246"/>
      <c r="P886" s="246"/>
      <c r="Q886" s="246"/>
      <c r="R886" s="246">
        <f>IFERROR(VLOOKUP(D886,PROGRAMAS[],2,FALSE),0)</f>
        <v>97037803.679377079</v>
      </c>
      <c r="S886" s="246">
        <f>IFERROR(VLOOKUP(E886,PROGRAMAS[],2,FALSE),0)</f>
        <v>640501509.6821388</v>
      </c>
      <c r="T886" s="246">
        <f>IFERROR(VLOOKUP(F886,PROGRAMAS[],2,FALSE),0)</f>
        <v>3062327798.1525245</v>
      </c>
      <c r="U886" s="246">
        <f>IFERROR(VLOOKUP(G886,PROGRAMAS[],2,FALSE),0)</f>
        <v>1440941976.2528784</v>
      </c>
      <c r="V886" s="246">
        <f>IFERROR(VLOOKUP(H886,PROGRAMAS[],2,FALSE),0)</f>
        <v>764796700.79905891</v>
      </c>
      <c r="W886" s="246">
        <f>IFERROR(VLOOKUP(I886,PROGRAMAS[],2,FALSE),0)</f>
        <v>3776538594.4604583</v>
      </c>
      <c r="X886" s="246">
        <f>IFERROR(VLOOKUP(J886,PROGRAMAS[],2,FALSE),0)</f>
        <v>54223862.645839565</v>
      </c>
      <c r="Y886" s="246">
        <f>IFERROR(VLOOKUP(K886,PROGRAMAS[],2,FALSE),0)</f>
        <v>1892779498.5211046</v>
      </c>
      <c r="Z886" s="246">
        <f>IFERROR(VLOOKUP(L886,PROGRAMAS[],2,FALSE),0)</f>
        <v>0</v>
      </c>
      <c r="AA886" s="246">
        <f>IFERROR(VLOOKUP(M886,PROGRAMAS[],2,FALSE),0)</f>
        <v>0</v>
      </c>
      <c r="AB886" s="246">
        <f>IFERROR(VLOOKUP(N886,PROGRAMAS[],2,FALSE),0)</f>
        <v>0</v>
      </c>
      <c r="AC886" s="246">
        <f>IFERROR(VLOOKUP(O886,PROGRAMAS[],2,FALSE),0)</f>
        <v>0</v>
      </c>
      <c r="AD886" s="246">
        <f>IFERROR(VLOOKUP(P886,PROGRAMAS[],2,FALSE),0)</f>
        <v>0</v>
      </c>
      <c r="AE886" s="246">
        <f>IFERROR(VLOOKUP(Q886,PROGRAMAS[],2,FALSE),0)</f>
        <v>0</v>
      </c>
      <c r="AF886" s="246">
        <f>IFERROR(VLOOKUP(D886,PROGRAMAS[],3,FALSE),0)</f>
        <v>841888629.31080008</v>
      </c>
      <c r="AG886" s="246">
        <f>IFERROR(VLOOKUP(E886,PROGRAMAS[],3,FALSE),0)</f>
        <v>3848980803.1642323</v>
      </c>
      <c r="AH886" s="246">
        <f>IFERROR(VLOOKUP(F886,PROGRAMAS[],3,FALSE),0)</f>
        <v>3394901471.387517</v>
      </c>
      <c r="AI886" s="246">
        <f>IFERROR(VLOOKUP(G886,PROGRAMAS[],3,FALSE),0)</f>
        <v>1233505101.0616004</v>
      </c>
      <c r="AJ886" s="246">
        <f>IFERROR(VLOOKUP(H886,PROGRAMAS[],3,FALSE),0)</f>
        <v>675517840.109828</v>
      </c>
      <c r="AK886" s="246">
        <f>IFERROR(VLOOKUP(I886,PROGRAMAS[],3,FALSE),0)</f>
        <v>2392571243.5584412</v>
      </c>
      <c r="AL886" s="246">
        <f>IFERROR(VLOOKUP(J886,PROGRAMAS[],3,FALSE),0)</f>
        <v>31865326.38096505</v>
      </c>
      <c r="AM886" s="246">
        <f>IFERROR(VLOOKUP(K886,PROGRAMAS[],3,FALSE),0)</f>
        <v>948595847.09039903</v>
      </c>
      <c r="AN886" s="246">
        <f>IFERROR(VLOOKUP(L886,PROGRAMAS[],3,FALSE),0)</f>
        <v>0</v>
      </c>
      <c r="AO886" s="246">
        <f>IFERROR(VLOOKUP(M886,PROGRAMAS[],3,FALSE),0)</f>
        <v>0</v>
      </c>
      <c r="AP886" s="246">
        <f>IFERROR(VLOOKUP(N886,PROGRAMAS[],3,FALSE),0)</f>
        <v>0</v>
      </c>
      <c r="AQ886" s="246">
        <f>IFERROR(VLOOKUP(O886,PROGRAMAS[],3,FALSE),0)</f>
        <v>0</v>
      </c>
      <c r="AR886" s="246">
        <f>IFERROR(VLOOKUP(P886,PROGRAMAS[],3,FALSE),0)</f>
        <v>0</v>
      </c>
      <c r="AS886" s="246">
        <f>IFERROR(VLOOKUP(Q886,PROGRAMAS[],3,FALSE),0)</f>
        <v>0</v>
      </c>
      <c r="AT886" s="246">
        <f>IFERROR(VLOOKUP(D886,VOL_REC[],2,FALSE),0)</f>
        <v>0</v>
      </c>
      <c r="AU886" s="246">
        <f>IFERROR(VLOOKUP(E886,VOL_REC[],2,FALSE),0)</f>
        <v>0</v>
      </c>
      <c r="AV886" s="246">
        <f>IFERROR(VLOOKUP(F886,VOL_REC[],2,FALSE),0)</f>
        <v>11089674.200000001</v>
      </c>
      <c r="AW886" s="246">
        <f>IFERROR(VLOOKUP(G886,VOL_REC[],2,FALSE),0)</f>
        <v>4325103.1812214684</v>
      </c>
      <c r="AX886" s="246">
        <f>IFERROR(VLOOKUP(H886,VOL_REC[],2,FALSE),0)</f>
        <v>240696.79238099116</v>
      </c>
      <c r="AY886" s="246">
        <f>IFERROR(VLOOKUP(I886,VOL_REC[],2,FALSE),0)</f>
        <v>663244.80000000016</v>
      </c>
      <c r="AZ886" s="246">
        <f>IFERROR(VLOOKUP(J886,VOL_REC[],2,FALSE),0)</f>
        <v>17074.045034105649</v>
      </c>
      <c r="BA886" s="246">
        <f>IFERROR(VLOOKUP(K886,VOL_REC[],2,FALSE),0)</f>
        <v>740113.98115702497</v>
      </c>
      <c r="BB886" s="246">
        <f>IFERROR(VLOOKUP(L886,VOL_REC[],2,FALSE),0)</f>
        <v>0</v>
      </c>
      <c r="BC886" s="246">
        <f>IFERROR(VLOOKUP(M886,VOL_REC[],2,FALSE),0)</f>
        <v>0</v>
      </c>
      <c r="BD886" s="246">
        <f>IFERROR(VLOOKUP(N886,VOL_REC[],2,FALSE),0)</f>
        <v>0</v>
      </c>
      <c r="BE886" s="246">
        <f>IFERROR(VLOOKUP(O886,VOL_REC[],2,FALSE),0)</f>
        <v>0</v>
      </c>
      <c r="BF886" s="246">
        <f>IFERROR(VLOOKUP(P886,VOL_REC[],2,FALSE),0)</f>
        <v>0</v>
      </c>
      <c r="BG886" s="246">
        <f>IFERROR(VLOOKUP(Q886,VOL_REC[],2,FALSE),0)</f>
        <v>0</v>
      </c>
      <c r="BH886" s="1710">
        <f t="shared" si="52"/>
        <v>11729147744.19338</v>
      </c>
      <c r="BI886" s="1710">
        <f t="shared" si="53"/>
        <v>13367826262.063782</v>
      </c>
      <c r="BJ886" s="1711">
        <f t="shared" si="54"/>
        <v>17075906.999793589</v>
      </c>
      <c r="BK886" s="1711">
        <f t="shared" si="55"/>
        <v>0.87741623164861393</v>
      </c>
    </row>
    <row r="887" spans="3:67" x14ac:dyDescent="0.25">
      <c r="C887" s="246" t="s">
        <v>2237</v>
      </c>
      <c r="D887" s="246">
        <v>1</v>
      </c>
      <c r="E887" s="246">
        <v>2</v>
      </c>
      <c r="F887" s="246">
        <v>3</v>
      </c>
      <c r="G887" s="246">
        <v>5</v>
      </c>
      <c r="H887" s="246">
        <v>12</v>
      </c>
      <c r="I887" s="246">
        <v>13</v>
      </c>
      <c r="J887" s="246">
        <v>15</v>
      </c>
      <c r="K887" s="246">
        <v>16</v>
      </c>
      <c r="L887" s="246"/>
      <c r="M887" s="246"/>
      <c r="N887" s="246"/>
      <c r="O887" s="246"/>
      <c r="P887" s="246"/>
      <c r="Q887" s="246"/>
      <c r="R887" s="246">
        <f>IFERROR(VLOOKUP(D887,PROGRAMAS[],2,FALSE),0)</f>
        <v>97037803.679377079</v>
      </c>
      <c r="S887" s="246">
        <f>IFERROR(VLOOKUP(E887,PROGRAMAS[],2,FALSE),0)</f>
        <v>640501509.6821388</v>
      </c>
      <c r="T887" s="246">
        <f>IFERROR(VLOOKUP(F887,PROGRAMAS[],2,FALSE),0)</f>
        <v>3062327798.1525245</v>
      </c>
      <c r="U887" s="246">
        <f>IFERROR(VLOOKUP(G887,PROGRAMAS[],2,FALSE),0)</f>
        <v>1440941976.2528784</v>
      </c>
      <c r="V887" s="246">
        <f>IFERROR(VLOOKUP(H887,PROGRAMAS[],2,FALSE),0)</f>
        <v>764796700.79905891</v>
      </c>
      <c r="W887" s="246">
        <f>IFERROR(VLOOKUP(I887,PROGRAMAS[],2,FALSE),0)</f>
        <v>3776538594.4604583</v>
      </c>
      <c r="X887" s="246">
        <f>IFERROR(VLOOKUP(J887,PROGRAMAS[],2,FALSE),0)</f>
        <v>122159672.96346797</v>
      </c>
      <c r="Y887" s="246">
        <f>IFERROR(VLOOKUP(K887,PROGRAMAS[],2,FALSE),0)</f>
        <v>7068496961.0436354</v>
      </c>
      <c r="Z887" s="246">
        <f>IFERROR(VLOOKUP(L887,PROGRAMAS[],2,FALSE),0)</f>
        <v>0</v>
      </c>
      <c r="AA887" s="246">
        <f>IFERROR(VLOOKUP(M887,PROGRAMAS[],2,FALSE),0)</f>
        <v>0</v>
      </c>
      <c r="AB887" s="246">
        <f>IFERROR(VLOOKUP(N887,PROGRAMAS[],2,FALSE),0)</f>
        <v>0</v>
      </c>
      <c r="AC887" s="246">
        <f>IFERROR(VLOOKUP(O887,PROGRAMAS[],2,FALSE),0)</f>
        <v>0</v>
      </c>
      <c r="AD887" s="246">
        <f>IFERROR(VLOOKUP(P887,PROGRAMAS[],2,FALSE),0)</f>
        <v>0</v>
      </c>
      <c r="AE887" s="246">
        <f>IFERROR(VLOOKUP(Q887,PROGRAMAS[],2,FALSE),0)</f>
        <v>0</v>
      </c>
      <c r="AF887" s="246">
        <f>IFERROR(VLOOKUP(D887,PROGRAMAS[],3,FALSE),0)</f>
        <v>841888629.31080008</v>
      </c>
      <c r="AG887" s="246">
        <f>IFERROR(VLOOKUP(E887,PROGRAMAS[],3,FALSE),0)</f>
        <v>3848980803.1642323</v>
      </c>
      <c r="AH887" s="246">
        <f>IFERROR(VLOOKUP(F887,PROGRAMAS[],3,FALSE),0)</f>
        <v>3394901471.387517</v>
      </c>
      <c r="AI887" s="246">
        <f>IFERROR(VLOOKUP(G887,PROGRAMAS[],3,FALSE),0)</f>
        <v>1233505101.0616004</v>
      </c>
      <c r="AJ887" s="246">
        <f>IFERROR(VLOOKUP(H887,PROGRAMAS[],3,FALSE),0)</f>
        <v>675517840.109828</v>
      </c>
      <c r="AK887" s="246">
        <f>IFERROR(VLOOKUP(I887,PROGRAMAS[],3,FALSE),0)</f>
        <v>2392571243.5584412</v>
      </c>
      <c r="AL887" s="246">
        <f>IFERROR(VLOOKUP(J887,PROGRAMAS[],3,FALSE),0)</f>
        <v>118617452.52510804</v>
      </c>
      <c r="AM887" s="246">
        <f>IFERROR(VLOOKUP(K887,PROGRAMAS[],3,FALSE),0)</f>
        <v>2406564599.0319901</v>
      </c>
      <c r="AN887" s="246">
        <f>IFERROR(VLOOKUP(L887,PROGRAMAS[],3,FALSE),0)</f>
        <v>0</v>
      </c>
      <c r="AO887" s="246">
        <f>IFERROR(VLOOKUP(M887,PROGRAMAS[],3,FALSE),0)</f>
        <v>0</v>
      </c>
      <c r="AP887" s="246">
        <f>IFERROR(VLOOKUP(N887,PROGRAMAS[],3,FALSE),0)</f>
        <v>0</v>
      </c>
      <c r="AQ887" s="246">
        <f>IFERROR(VLOOKUP(O887,PROGRAMAS[],3,FALSE),0)</f>
        <v>0</v>
      </c>
      <c r="AR887" s="246">
        <f>IFERROR(VLOOKUP(P887,PROGRAMAS[],3,FALSE),0)</f>
        <v>0</v>
      </c>
      <c r="AS887" s="246">
        <f>IFERROR(VLOOKUP(Q887,PROGRAMAS[],3,FALSE),0)</f>
        <v>0</v>
      </c>
      <c r="AT887" s="246">
        <f>IFERROR(VLOOKUP(D887,VOL_REC[],2,FALSE),0)</f>
        <v>0</v>
      </c>
      <c r="AU887" s="246">
        <f>IFERROR(VLOOKUP(E887,VOL_REC[],2,FALSE),0)</f>
        <v>0</v>
      </c>
      <c r="AV887" s="246">
        <f>IFERROR(VLOOKUP(F887,VOL_REC[],2,FALSE),0)</f>
        <v>11089674.200000001</v>
      </c>
      <c r="AW887" s="246">
        <f>IFERROR(VLOOKUP(G887,VOL_REC[],2,FALSE),0)</f>
        <v>4325103.1812214684</v>
      </c>
      <c r="AX887" s="246">
        <f>IFERROR(VLOOKUP(H887,VOL_REC[],2,FALSE),0)</f>
        <v>240696.79238099116</v>
      </c>
      <c r="AY887" s="246">
        <f>IFERROR(VLOOKUP(I887,VOL_REC[],2,FALSE),0)</f>
        <v>663244.80000000016</v>
      </c>
      <c r="AZ887" s="246">
        <f>IFERROR(VLOOKUP(J887,VOL_REC[],2,FALSE),0)</f>
        <v>105072</v>
      </c>
      <c r="BA887" s="246">
        <f>IFERROR(VLOOKUP(K887,VOL_REC[],2,FALSE),0)</f>
        <v>1072354.9981737854</v>
      </c>
      <c r="BB887" s="246">
        <f>IFERROR(VLOOKUP(L887,VOL_REC[],2,FALSE),0)</f>
        <v>0</v>
      </c>
      <c r="BC887" s="246">
        <f>IFERROR(VLOOKUP(M887,VOL_REC[],2,FALSE),0)</f>
        <v>0</v>
      </c>
      <c r="BD887" s="246">
        <f>IFERROR(VLOOKUP(N887,VOL_REC[],2,FALSE),0)</f>
        <v>0</v>
      </c>
      <c r="BE887" s="246">
        <f>IFERROR(VLOOKUP(O887,VOL_REC[],2,FALSE),0)</f>
        <v>0</v>
      </c>
      <c r="BF887" s="246">
        <f>IFERROR(VLOOKUP(P887,VOL_REC[],2,FALSE),0)</f>
        <v>0</v>
      </c>
      <c r="BG887" s="246">
        <f>IFERROR(VLOOKUP(Q887,VOL_REC[],2,FALSE),0)</f>
        <v>0</v>
      </c>
      <c r="BH887" s="1710">
        <f t="shared" si="52"/>
        <v>16972801017.033539</v>
      </c>
      <c r="BI887" s="1710">
        <f t="shared" si="53"/>
        <v>14912547140.149517</v>
      </c>
      <c r="BJ887" s="1711">
        <f t="shared" si="54"/>
        <v>17496145.971776247</v>
      </c>
      <c r="BK887" s="1711">
        <f t="shared" si="55"/>
        <v>1.1381557327210143</v>
      </c>
      <c r="BL887">
        <f>BJ887</f>
        <v>17496145.971776247</v>
      </c>
      <c r="BO887">
        <f>BL887</f>
        <v>17496145.971776247</v>
      </c>
    </row>
    <row r="888" spans="3:67" x14ac:dyDescent="0.25">
      <c r="C888" s="246" t="s">
        <v>2238</v>
      </c>
      <c r="D888" s="246">
        <v>1</v>
      </c>
      <c r="E888" s="246">
        <v>2</v>
      </c>
      <c r="F888" s="246">
        <v>3</v>
      </c>
      <c r="G888" s="246">
        <v>5</v>
      </c>
      <c r="H888" s="246">
        <v>12</v>
      </c>
      <c r="I888" s="246">
        <v>13</v>
      </c>
      <c r="J888" s="246">
        <v>15</v>
      </c>
      <c r="K888" s="246">
        <v>17</v>
      </c>
      <c r="L888" s="246"/>
      <c r="M888" s="246"/>
      <c r="N888" s="246"/>
      <c r="O888" s="246"/>
      <c r="P888" s="246"/>
      <c r="Q888" s="246"/>
      <c r="R888" s="246">
        <f>IFERROR(VLOOKUP(D888,PROGRAMAS[],2,FALSE),0)</f>
        <v>97037803.679377079</v>
      </c>
      <c r="S888" s="246">
        <f>IFERROR(VLOOKUP(E888,PROGRAMAS[],2,FALSE),0)</f>
        <v>640501509.6821388</v>
      </c>
      <c r="T888" s="246">
        <f>IFERROR(VLOOKUP(F888,PROGRAMAS[],2,FALSE),0)</f>
        <v>3062327798.1525245</v>
      </c>
      <c r="U888" s="246">
        <f>IFERROR(VLOOKUP(G888,PROGRAMAS[],2,FALSE),0)</f>
        <v>1440941976.2528784</v>
      </c>
      <c r="V888" s="246">
        <f>IFERROR(VLOOKUP(H888,PROGRAMAS[],2,FALSE),0)</f>
        <v>764796700.79905891</v>
      </c>
      <c r="W888" s="246">
        <f>IFERROR(VLOOKUP(I888,PROGRAMAS[],2,FALSE),0)</f>
        <v>3776538594.4604583</v>
      </c>
      <c r="X888" s="246">
        <f>IFERROR(VLOOKUP(J888,PROGRAMAS[],2,FALSE),0)</f>
        <v>122159672.96346797</v>
      </c>
      <c r="Y888" s="246">
        <f>IFERROR(VLOOKUP(K888,PROGRAMAS[],2,FALSE),0)</f>
        <v>1892779498.5211046</v>
      </c>
      <c r="Z888" s="246">
        <f>IFERROR(VLOOKUP(L888,PROGRAMAS[],2,FALSE),0)</f>
        <v>0</v>
      </c>
      <c r="AA888" s="246">
        <f>IFERROR(VLOOKUP(M888,PROGRAMAS[],2,FALSE),0)</f>
        <v>0</v>
      </c>
      <c r="AB888" s="246">
        <f>IFERROR(VLOOKUP(N888,PROGRAMAS[],2,FALSE),0)</f>
        <v>0</v>
      </c>
      <c r="AC888" s="246">
        <f>IFERROR(VLOOKUP(O888,PROGRAMAS[],2,FALSE),0)</f>
        <v>0</v>
      </c>
      <c r="AD888" s="246">
        <f>IFERROR(VLOOKUP(P888,PROGRAMAS[],2,FALSE),0)</f>
        <v>0</v>
      </c>
      <c r="AE888" s="246">
        <f>IFERROR(VLOOKUP(Q888,PROGRAMAS[],2,FALSE),0)</f>
        <v>0</v>
      </c>
      <c r="AF888" s="246">
        <f>IFERROR(VLOOKUP(D888,PROGRAMAS[],3,FALSE),0)</f>
        <v>841888629.31080008</v>
      </c>
      <c r="AG888" s="246">
        <f>IFERROR(VLOOKUP(E888,PROGRAMAS[],3,FALSE),0)</f>
        <v>3848980803.1642323</v>
      </c>
      <c r="AH888" s="246">
        <f>IFERROR(VLOOKUP(F888,PROGRAMAS[],3,FALSE),0)</f>
        <v>3394901471.387517</v>
      </c>
      <c r="AI888" s="246">
        <f>IFERROR(VLOOKUP(G888,PROGRAMAS[],3,FALSE),0)</f>
        <v>1233505101.0616004</v>
      </c>
      <c r="AJ888" s="246">
        <f>IFERROR(VLOOKUP(H888,PROGRAMAS[],3,FALSE),0)</f>
        <v>675517840.109828</v>
      </c>
      <c r="AK888" s="246">
        <f>IFERROR(VLOOKUP(I888,PROGRAMAS[],3,FALSE),0)</f>
        <v>2392571243.5584412</v>
      </c>
      <c r="AL888" s="246">
        <f>IFERROR(VLOOKUP(J888,PROGRAMAS[],3,FALSE),0)</f>
        <v>118617452.52510804</v>
      </c>
      <c r="AM888" s="246">
        <f>IFERROR(VLOOKUP(K888,PROGRAMAS[],3,FALSE),0)</f>
        <v>948595847.09039903</v>
      </c>
      <c r="AN888" s="246">
        <f>IFERROR(VLOOKUP(L888,PROGRAMAS[],3,FALSE),0)</f>
        <v>0</v>
      </c>
      <c r="AO888" s="246">
        <f>IFERROR(VLOOKUP(M888,PROGRAMAS[],3,FALSE),0)</f>
        <v>0</v>
      </c>
      <c r="AP888" s="246">
        <f>IFERROR(VLOOKUP(N888,PROGRAMAS[],3,FALSE),0)</f>
        <v>0</v>
      </c>
      <c r="AQ888" s="246">
        <f>IFERROR(VLOOKUP(O888,PROGRAMAS[],3,FALSE),0)</f>
        <v>0</v>
      </c>
      <c r="AR888" s="246">
        <f>IFERROR(VLOOKUP(P888,PROGRAMAS[],3,FALSE),0)</f>
        <v>0</v>
      </c>
      <c r="AS888" s="246">
        <f>IFERROR(VLOOKUP(Q888,PROGRAMAS[],3,FALSE),0)</f>
        <v>0</v>
      </c>
      <c r="AT888" s="246">
        <f>IFERROR(VLOOKUP(D888,VOL_REC[],2,FALSE),0)</f>
        <v>0</v>
      </c>
      <c r="AU888" s="246">
        <f>IFERROR(VLOOKUP(E888,VOL_REC[],2,FALSE),0)</f>
        <v>0</v>
      </c>
      <c r="AV888" s="246">
        <f>IFERROR(VLOOKUP(F888,VOL_REC[],2,FALSE),0)</f>
        <v>11089674.200000001</v>
      </c>
      <c r="AW888" s="246">
        <f>IFERROR(VLOOKUP(G888,VOL_REC[],2,FALSE),0)</f>
        <v>4325103.1812214684</v>
      </c>
      <c r="AX888" s="246">
        <f>IFERROR(VLOOKUP(H888,VOL_REC[],2,FALSE),0)</f>
        <v>240696.79238099116</v>
      </c>
      <c r="AY888" s="246">
        <f>IFERROR(VLOOKUP(I888,VOL_REC[],2,FALSE),0)</f>
        <v>663244.80000000016</v>
      </c>
      <c r="AZ888" s="246">
        <f>IFERROR(VLOOKUP(J888,VOL_REC[],2,FALSE),0)</f>
        <v>105072</v>
      </c>
      <c r="BA888" s="246">
        <f>IFERROR(VLOOKUP(K888,VOL_REC[],2,FALSE),0)</f>
        <v>740113.98115702497</v>
      </c>
      <c r="BB888" s="246">
        <f>IFERROR(VLOOKUP(L888,VOL_REC[],2,FALSE),0)</f>
        <v>0</v>
      </c>
      <c r="BC888" s="246">
        <f>IFERROR(VLOOKUP(M888,VOL_REC[],2,FALSE),0)</f>
        <v>0</v>
      </c>
      <c r="BD888" s="246">
        <f>IFERROR(VLOOKUP(N888,VOL_REC[],2,FALSE),0)</f>
        <v>0</v>
      </c>
      <c r="BE888" s="246">
        <f>IFERROR(VLOOKUP(O888,VOL_REC[],2,FALSE),0)</f>
        <v>0</v>
      </c>
      <c r="BF888" s="246">
        <f>IFERROR(VLOOKUP(P888,VOL_REC[],2,FALSE),0)</f>
        <v>0</v>
      </c>
      <c r="BG888" s="246">
        <f>IFERROR(VLOOKUP(Q888,VOL_REC[],2,FALSE),0)</f>
        <v>0</v>
      </c>
      <c r="BH888" s="1710">
        <f t="shared" si="52"/>
        <v>11797083554.511009</v>
      </c>
      <c r="BI888" s="1710">
        <f t="shared" si="53"/>
        <v>13454578388.207926</v>
      </c>
      <c r="BJ888" s="1711">
        <f t="shared" si="54"/>
        <v>17163904.954759486</v>
      </c>
      <c r="BK888" s="1711">
        <f t="shared" si="55"/>
        <v>0.87680811796008384</v>
      </c>
    </row>
    <row r="889" spans="3:67" x14ac:dyDescent="0.25">
      <c r="C889" s="246" t="s">
        <v>2239</v>
      </c>
      <c r="D889" s="246">
        <v>1</v>
      </c>
      <c r="E889" s="246">
        <v>2</v>
      </c>
      <c r="F889" s="246">
        <v>3</v>
      </c>
      <c r="G889" s="246">
        <v>5</v>
      </c>
      <c r="H889" s="246">
        <v>12</v>
      </c>
      <c r="I889" s="246">
        <v>13</v>
      </c>
      <c r="J889" s="246">
        <v>16</v>
      </c>
      <c r="K889" s="246">
        <v>17</v>
      </c>
      <c r="L889" s="246"/>
      <c r="M889" s="246"/>
      <c r="N889" s="246"/>
      <c r="O889" s="246"/>
      <c r="P889" s="246"/>
      <c r="Q889" s="246"/>
      <c r="R889" s="246">
        <f>IFERROR(VLOOKUP(D889,PROGRAMAS[],2,FALSE),0)</f>
        <v>97037803.679377079</v>
      </c>
      <c r="S889" s="246">
        <f>IFERROR(VLOOKUP(E889,PROGRAMAS[],2,FALSE),0)</f>
        <v>640501509.6821388</v>
      </c>
      <c r="T889" s="246">
        <f>IFERROR(VLOOKUP(F889,PROGRAMAS[],2,FALSE),0)</f>
        <v>3062327798.1525245</v>
      </c>
      <c r="U889" s="246">
        <f>IFERROR(VLOOKUP(G889,PROGRAMAS[],2,FALSE),0)</f>
        <v>1440941976.2528784</v>
      </c>
      <c r="V889" s="246">
        <f>IFERROR(VLOOKUP(H889,PROGRAMAS[],2,FALSE),0)</f>
        <v>764796700.79905891</v>
      </c>
      <c r="W889" s="246">
        <f>IFERROR(VLOOKUP(I889,PROGRAMAS[],2,FALSE),0)</f>
        <v>3776538594.4604583</v>
      </c>
      <c r="X889" s="246">
        <f>IFERROR(VLOOKUP(J889,PROGRAMAS[],2,FALSE),0)</f>
        <v>7068496961.0436354</v>
      </c>
      <c r="Y889" s="246">
        <f>IFERROR(VLOOKUP(K889,PROGRAMAS[],2,FALSE),0)</f>
        <v>1892779498.5211046</v>
      </c>
      <c r="Z889" s="246">
        <f>IFERROR(VLOOKUP(L889,PROGRAMAS[],2,FALSE),0)</f>
        <v>0</v>
      </c>
      <c r="AA889" s="246">
        <f>IFERROR(VLOOKUP(M889,PROGRAMAS[],2,FALSE),0)</f>
        <v>0</v>
      </c>
      <c r="AB889" s="246">
        <f>IFERROR(VLOOKUP(N889,PROGRAMAS[],2,FALSE),0)</f>
        <v>0</v>
      </c>
      <c r="AC889" s="246">
        <f>IFERROR(VLOOKUP(O889,PROGRAMAS[],2,FALSE),0)</f>
        <v>0</v>
      </c>
      <c r="AD889" s="246">
        <f>IFERROR(VLOOKUP(P889,PROGRAMAS[],2,FALSE),0)</f>
        <v>0</v>
      </c>
      <c r="AE889" s="246">
        <f>IFERROR(VLOOKUP(Q889,PROGRAMAS[],2,FALSE),0)</f>
        <v>0</v>
      </c>
      <c r="AF889" s="246">
        <f>IFERROR(VLOOKUP(D889,PROGRAMAS[],3,FALSE),0)</f>
        <v>841888629.31080008</v>
      </c>
      <c r="AG889" s="246">
        <f>IFERROR(VLOOKUP(E889,PROGRAMAS[],3,FALSE),0)</f>
        <v>3848980803.1642323</v>
      </c>
      <c r="AH889" s="246">
        <f>IFERROR(VLOOKUP(F889,PROGRAMAS[],3,FALSE),0)</f>
        <v>3394901471.387517</v>
      </c>
      <c r="AI889" s="246">
        <f>IFERROR(VLOOKUP(G889,PROGRAMAS[],3,FALSE),0)</f>
        <v>1233505101.0616004</v>
      </c>
      <c r="AJ889" s="246">
        <f>IFERROR(VLOOKUP(H889,PROGRAMAS[],3,FALSE),0)</f>
        <v>675517840.109828</v>
      </c>
      <c r="AK889" s="246">
        <f>IFERROR(VLOOKUP(I889,PROGRAMAS[],3,FALSE),0)</f>
        <v>2392571243.5584412</v>
      </c>
      <c r="AL889" s="246">
        <f>IFERROR(VLOOKUP(J889,PROGRAMAS[],3,FALSE),0)</f>
        <v>2406564599.0319901</v>
      </c>
      <c r="AM889" s="246">
        <f>IFERROR(VLOOKUP(K889,PROGRAMAS[],3,FALSE),0)</f>
        <v>948595847.09039903</v>
      </c>
      <c r="AN889" s="246">
        <f>IFERROR(VLOOKUP(L889,PROGRAMAS[],3,FALSE),0)</f>
        <v>0</v>
      </c>
      <c r="AO889" s="246">
        <f>IFERROR(VLOOKUP(M889,PROGRAMAS[],3,FALSE),0)</f>
        <v>0</v>
      </c>
      <c r="AP889" s="246">
        <f>IFERROR(VLOOKUP(N889,PROGRAMAS[],3,FALSE),0)</f>
        <v>0</v>
      </c>
      <c r="AQ889" s="246">
        <f>IFERROR(VLOOKUP(O889,PROGRAMAS[],3,FALSE),0)</f>
        <v>0</v>
      </c>
      <c r="AR889" s="246">
        <f>IFERROR(VLOOKUP(P889,PROGRAMAS[],3,FALSE),0)</f>
        <v>0</v>
      </c>
      <c r="AS889" s="246">
        <f>IFERROR(VLOOKUP(Q889,PROGRAMAS[],3,FALSE),0)</f>
        <v>0</v>
      </c>
      <c r="AT889" s="246">
        <f>IFERROR(VLOOKUP(D889,VOL_REC[],2,FALSE),0)</f>
        <v>0</v>
      </c>
      <c r="AU889" s="246">
        <f>IFERROR(VLOOKUP(E889,VOL_REC[],2,FALSE),0)</f>
        <v>0</v>
      </c>
      <c r="AV889" s="246">
        <f>IFERROR(VLOOKUP(F889,VOL_REC[],2,FALSE),0)</f>
        <v>11089674.200000001</v>
      </c>
      <c r="AW889" s="246">
        <f>IFERROR(VLOOKUP(G889,VOL_REC[],2,FALSE),0)</f>
        <v>4325103.1812214684</v>
      </c>
      <c r="AX889" s="246">
        <f>IFERROR(VLOOKUP(H889,VOL_REC[],2,FALSE),0)</f>
        <v>240696.79238099116</v>
      </c>
      <c r="AY889" s="246">
        <f>IFERROR(VLOOKUP(I889,VOL_REC[],2,FALSE),0)</f>
        <v>663244.80000000016</v>
      </c>
      <c r="AZ889" s="246">
        <f>IFERROR(VLOOKUP(J889,VOL_REC[],2,FALSE),0)</f>
        <v>1072354.9981737854</v>
      </c>
      <c r="BA889" s="246">
        <f>IFERROR(VLOOKUP(K889,VOL_REC[],2,FALSE),0)</f>
        <v>740113.98115702497</v>
      </c>
      <c r="BB889" s="246">
        <f>IFERROR(VLOOKUP(L889,VOL_REC[],2,FALSE),0)</f>
        <v>0</v>
      </c>
      <c r="BC889" s="246">
        <f>IFERROR(VLOOKUP(M889,VOL_REC[],2,FALSE),0)</f>
        <v>0</v>
      </c>
      <c r="BD889" s="246">
        <f>IFERROR(VLOOKUP(N889,VOL_REC[],2,FALSE),0)</f>
        <v>0</v>
      </c>
      <c r="BE889" s="246">
        <f>IFERROR(VLOOKUP(O889,VOL_REC[],2,FALSE),0)</f>
        <v>0</v>
      </c>
      <c r="BF889" s="246">
        <f>IFERROR(VLOOKUP(P889,VOL_REC[],2,FALSE),0)</f>
        <v>0</v>
      </c>
      <c r="BG889" s="246">
        <f>IFERROR(VLOOKUP(Q889,VOL_REC[],2,FALSE),0)</f>
        <v>0</v>
      </c>
      <c r="BH889" s="1710">
        <f t="shared" si="52"/>
        <v>18743420842.591175</v>
      </c>
      <c r="BI889" s="1710">
        <f t="shared" si="53"/>
        <v>15742525534.714808</v>
      </c>
      <c r="BJ889" s="1711">
        <f t="shared" si="54"/>
        <v>18131187.95293327</v>
      </c>
      <c r="BK889" s="1711">
        <f t="shared" si="55"/>
        <v>1.1906234994670271</v>
      </c>
      <c r="BL889">
        <f>BJ889</f>
        <v>18131187.95293327</v>
      </c>
      <c r="BO889">
        <f>BL889</f>
        <v>18131187.95293327</v>
      </c>
    </row>
    <row r="890" spans="3:67" x14ac:dyDescent="0.25">
      <c r="C890" s="246" t="s">
        <v>2240</v>
      </c>
      <c r="D890" s="246">
        <v>1</v>
      </c>
      <c r="E890" s="246">
        <v>2</v>
      </c>
      <c r="F890" s="246">
        <v>3</v>
      </c>
      <c r="G890" s="246">
        <v>5</v>
      </c>
      <c r="H890" s="246">
        <v>12</v>
      </c>
      <c r="I890" s="246">
        <v>14</v>
      </c>
      <c r="J890" s="246">
        <v>15</v>
      </c>
      <c r="K890" s="246">
        <v>16</v>
      </c>
      <c r="L890" s="246"/>
      <c r="M890" s="246"/>
      <c r="N890" s="246"/>
      <c r="O890" s="246"/>
      <c r="P890" s="246"/>
      <c r="Q890" s="246"/>
      <c r="R890" s="246">
        <f>IFERROR(VLOOKUP(D890,PROGRAMAS[],2,FALSE),0)</f>
        <v>97037803.679377079</v>
      </c>
      <c r="S890" s="246">
        <f>IFERROR(VLOOKUP(E890,PROGRAMAS[],2,FALSE),0)</f>
        <v>640501509.6821388</v>
      </c>
      <c r="T890" s="246">
        <f>IFERROR(VLOOKUP(F890,PROGRAMAS[],2,FALSE),0)</f>
        <v>3062327798.1525245</v>
      </c>
      <c r="U890" s="246">
        <f>IFERROR(VLOOKUP(G890,PROGRAMAS[],2,FALSE),0)</f>
        <v>1440941976.2528784</v>
      </c>
      <c r="V890" s="246">
        <f>IFERROR(VLOOKUP(H890,PROGRAMAS[],2,FALSE),0)</f>
        <v>764796700.79905891</v>
      </c>
      <c r="W890" s="246">
        <f>IFERROR(VLOOKUP(I890,PROGRAMAS[],2,FALSE),0)</f>
        <v>54223862.645839565</v>
      </c>
      <c r="X890" s="246">
        <f>IFERROR(VLOOKUP(J890,PROGRAMAS[],2,FALSE),0)</f>
        <v>122159672.96346797</v>
      </c>
      <c r="Y890" s="246">
        <f>IFERROR(VLOOKUP(K890,PROGRAMAS[],2,FALSE),0)</f>
        <v>7068496961.0436354</v>
      </c>
      <c r="Z890" s="246">
        <f>IFERROR(VLOOKUP(L890,PROGRAMAS[],2,FALSE),0)</f>
        <v>0</v>
      </c>
      <c r="AA890" s="246">
        <f>IFERROR(VLOOKUP(M890,PROGRAMAS[],2,FALSE),0)</f>
        <v>0</v>
      </c>
      <c r="AB890" s="246">
        <f>IFERROR(VLOOKUP(N890,PROGRAMAS[],2,FALSE),0)</f>
        <v>0</v>
      </c>
      <c r="AC890" s="246">
        <f>IFERROR(VLOOKUP(O890,PROGRAMAS[],2,FALSE),0)</f>
        <v>0</v>
      </c>
      <c r="AD890" s="246">
        <f>IFERROR(VLOOKUP(P890,PROGRAMAS[],2,FALSE),0)</f>
        <v>0</v>
      </c>
      <c r="AE890" s="246">
        <f>IFERROR(VLOOKUP(Q890,PROGRAMAS[],2,FALSE),0)</f>
        <v>0</v>
      </c>
      <c r="AF890" s="246">
        <f>IFERROR(VLOOKUP(D890,PROGRAMAS[],3,FALSE),0)</f>
        <v>841888629.31080008</v>
      </c>
      <c r="AG890" s="246">
        <f>IFERROR(VLOOKUP(E890,PROGRAMAS[],3,FALSE),0)</f>
        <v>3848980803.1642323</v>
      </c>
      <c r="AH890" s="246">
        <f>IFERROR(VLOOKUP(F890,PROGRAMAS[],3,FALSE),0)</f>
        <v>3394901471.387517</v>
      </c>
      <c r="AI890" s="246">
        <f>IFERROR(VLOOKUP(G890,PROGRAMAS[],3,FALSE),0)</f>
        <v>1233505101.0616004</v>
      </c>
      <c r="AJ890" s="246">
        <f>IFERROR(VLOOKUP(H890,PROGRAMAS[],3,FALSE),0)</f>
        <v>675517840.109828</v>
      </c>
      <c r="AK890" s="246">
        <f>IFERROR(VLOOKUP(I890,PROGRAMAS[],3,FALSE),0)</f>
        <v>31865326.38096505</v>
      </c>
      <c r="AL890" s="246">
        <f>IFERROR(VLOOKUP(J890,PROGRAMAS[],3,FALSE),0)</f>
        <v>118617452.52510804</v>
      </c>
      <c r="AM890" s="246">
        <f>IFERROR(VLOOKUP(K890,PROGRAMAS[],3,FALSE),0)</f>
        <v>2406564599.0319901</v>
      </c>
      <c r="AN890" s="246">
        <f>IFERROR(VLOOKUP(L890,PROGRAMAS[],3,FALSE),0)</f>
        <v>0</v>
      </c>
      <c r="AO890" s="246">
        <f>IFERROR(VLOOKUP(M890,PROGRAMAS[],3,FALSE),0)</f>
        <v>0</v>
      </c>
      <c r="AP890" s="246">
        <f>IFERROR(VLOOKUP(N890,PROGRAMAS[],3,FALSE),0)</f>
        <v>0</v>
      </c>
      <c r="AQ890" s="246">
        <f>IFERROR(VLOOKUP(O890,PROGRAMAS[],3,FALSE),0)</f>
        <v>0</v>
      </c>
      <c r="AR890" s="246">
        <f>IFERROR(VLOOKUP(P890,PROGRAMAS[],3,FALSE),0)</f>
        <v>0</v>
      </c>
      <c r="AS890" s="246">
        <f>IFERROR(VLOOKUP(Q890,PROGRAMAS[],3,FALSE),0)</f>
        <v>0</v>
      </c>
      <c r="AT890" s="246">
        <f>IFERROR(VLOOKUP(D890,VOL_REC[],2,FALSE),0)</f>
        <v>0</v>
      </c>
      <c r="AU890" s="246">
        <f>IFERROR(VLOOKUP(E890,VOL_REC[],2,FALSE),0)</f>
        <v>0</v>
      </c>
      <c r="AV890" s="246">
        <f>IFERROR(VLOOKUP(F890,VOL_REC[],2,FALSE),0)</f>
        <v>11089674.200000001</v>
      </c>
      <c r="AW890" s="246">
        <f>IFERROR(VLOOKUP(G890,VOL_REC[],2,FALSE),0)</f>
        <v>4325103.1812214684</v>
      </c>
      <c r="AX890" s="246">
        <f>IFERROR(VLOOKUP(H890,VOL_REC[],2,FALSE),0)</f>
        <v>240696.79238099116</v>
      </c>
      <c r="AY890" s="246">
        <f>IFERROR(VLOOKUP(I890,VOL_REC[],2,FALSE),0)</f>
        <v>17074.045034105649</v>
      </c>
      <c r="AZ890" s="246">
        <f>IFERROR(VLOOKUP(J890,VOL_REC[],2,FALSE),0)</f>
        <v>105072</v>
      </c>
      <c r="BA890" s="246">
        <f>IFERROR(VLOOKUP(K890,VOL_REC[],2,FALSE),0)</f>
        <v>1072354.9981737854</v>
      </c>
      <c r="BB890" s="246">
        <f>IFERROR(VLOOKUP(L890,VOL_REC[],2,FALSE),0)</f>
        <v>0</v>
      </c>
      <c r="BC890" s="246">
        <f>IFERROR(VLOOKUP(M890,VOL_REC[],2,FALSE),0)</f>
        <v>0</v>
      </c>
      <c r="BD890" s="246">
        <f>IFERROR(VLOOKUP(N890,VOL_REC[],2,FALSE),0)</f>
        <v>0</v>
      </c>
      <c r="BE890" s="246">
        <f>IFERROR(VLOOKUP(O890,VOL_REC[],2,FALSE),0)</f>
        <v>0</v>
      </c>
      <c r="BF890" s="246">
        <f>IFERROR(VLOOKUP(P890,VOL_REC[],2,FALSE),0)</f>
        <v>0</v>
      </c>
      <c r="BG890" s="246">
        <f>IFERROR(VLOOKUP(Q890,VOL_REC[],2,FALSE),0)</f>
        <v>0</v>
      </c>
      <c r="BH890" s="1710">
        <f t="shared" si="52"/>
        <v>13250486285.218922</v>
      </c>
      <c r="BI890" s="1710">
        <f t="shared" si="53"/>
        <v>12551841222.97204</v>
      </c>
      <c r="BJ890" s="1711">
        <f t="shared" si="54"/>
        <v>16849975.216810349</v>
      </c>
      <c r="BK890" s="1711">
        <f t="shared" si="55"/>
        <v>1.0556607632168131</v>
      </c>
      <c r="BL890">
        <f>BJ890</f>
        <v>16849975.216810349</v>
      </c>
      <c r="BO890">
        <f>BL890</f>
        <v>16849975.216810349</v>
      </c>
    </row>
    <row r="891" spans="3:67" x14ac:dyDescent="0.25">
      <c r="C891" s="246" t="s">
        <v>2241</v>
      </c>
      <c r="D891" s="246">
        <v>1</v>
      </c>
      <c r="E891" s="246">
        <v>2</v>
      </c>
      <c r="F891" s="246">
        <v>3</v>
      </c>
      <c r="G891" s="246">
        <v>5</v>
      </c>
      <c r="H891" s="246">
        <v>12</v>
      </c>
      <c r="I891" s="246">
        <v>14</v>
      </c>
      <c r="J891" s="246">
        <v>15</v>
      </c>
      <c r="K891" s="246">
        <v>17</v>
      </c>
      <c r="L891" s="246"/>
      <c r="M891" s="246"/>
      <c r="N891" s="246"/>
      <c r="O891" s="246"/>
      <c r="P891" s="246"/>
      <c r="Q891" s="246"/>
      <c r="R891" s="246">
        <f>IFERROR(VLOOKUP(D891,PROGRAMAS[],2,FALSE),0)</f>
        <v>97037803.679377079</v>
      </c>
      <c r="S891" s="246">
        <f>IFERROR(VLOOKUP(E891,PROGRAMAS[],2,FALSE),0)</f>
        <v>640501509.6821388</v>
      </c>
      <c r="T891" s="246">
        <f>IFERROR(VLOOKUP(F891,PROGRAMAS[],2,FALSE),0)</f>
        <v>3062327798.1525245</v>
      </c>
      <c r="U891" s="246">
        <f>IFERROR(VLOOKUP(G891,PROGRAMAS[],2,FALSE),0)</f>
        <v>1440941976.2528784</v>
      </c>
      <c r="V891" s="246">
        <f>IFERROR(VLOOKUP(H891,PROGRAMAS[],2,FALSE),0)</f>
        <v>764796700.79905891</v>
      </c>
      <c r="W891" s="246">
        <f>IFERROR(VLOOKUP(I891,PROGRAMAS[],2,FALSE),0)</f>
        <v>54223862.645839565</v>
      </c>
      <c r="X891" s="246">
        <f>IFERROR(VLOOKUP(J891,PROGRAMAS[],2,FALSE),0)</f>
        <v>122159672.96346797</v>
      </c>
      <c r="Y891" s="246">
        <f>IFERROR(VLOOKUP(K891,PROGRAMAS[],2,FALSE),0)</f>
        <v>1892779498.5211046</v>
      </c>
      <c r="Z891" s="246">
        <f>IFERROR(VLOOKUP(L891,PROGRAMAS[],2,FALSE),0)</f>
        <v>0</v>
      </c>
      <c r="AA891" s="246">
        <f>IFERROR(VLOOKUP(M891,PROGRAMAS[],2,FALSE),0)</f>
        <v>0</v>
      </c>
      <c r="AB891" s="246">
        <f>IFERROR(VLOOKUP(N891,PROGRAMAS[],2,FALSE),0)</f>
        <v>0</v>
      </c>
      <c r="AC891" s="246">
        <f>IFERROR(VLOOKUP(O891,PROGRAMAS[],2,FALSE),0)</f>
        <v>0</v>
      </c>
      <c r="AD891" s="246">
        <f>IFERROR(VLOOKUP(P891,PROGRAMAS[],2,FALSE),0)</f>
        <v>0</v>
      </c>
      <c r="AE891" s="246">
        <f>IFERROR(VLOOKUP(Q891,PROGRAMAS[],2,FALSE),0)</f>
        <v>0</v>
      </c>
      <c r="AF891" s="246">
        <f>IFERROR(VLOOKUP(D891,PROGRAMAS[],3,FALSE),0)</f>
        <v>841888629.31080008</v>
      </c>
      <c r="AG891" s="246">
        <f>IFERROR(VLOOKUP(E891,PROGRAMAS[],3,FALSE),0)</f>
        <v>3848980803.1642323</v>
      </c>
      <c r="AH891" s="246">
        <f>IFERROR(VLOOKUP(F891,PROGRAMAS[],3,FALSE),0)</f>
        <v>3394901471.387517</v>
      </c>
      <c r="AI891" s="246">
        <f>IFERROR(VLOOKUP(G891,PROGRAMAS[],3,FALSE),0)</f>
        <v>1233505101.0616004</v>
      </c>
      <c r="AJ891" s="246">
        <f>IFERROR(VLOOKUP(H891,PROGRAMAS[],3,FALSE),0)</f>
        <v>675517840.109828</v>
      </c>
      <c r="AK891" s="246">
        <f>IFERROR(VLOOKUP(I891,PROGRAMAS[],3,FALSE),0)</f>
        <v>31865326.38096505</v>
      </c>
      <c r="AL891" s="246">
        <f>IFERROR(VLOOKUP(J891,PROGRAMAS[],3,FALSE),0)</f>
        <v>118617452.52510804</v>
      </c>
      <c r="AM891" s="246">
        <f>IFERROR(VLOOKUP(K891,PROGRAMAS[],3,FALSE),0)</f>
        <v>948595847.09039903</v>
      </c>
      <c r="AN891" s="246">
        <f>IFERROR(VLOOKUP(L891,PROGRAMAS[],3,FALSE),0)</f>
        <v>0</v>
      </c>
      <c r="AO891" s="246">
        <f>IFERROR(VLOOKUP(M891,PROGRAMAS[],3,FALSE),0)</f>
        <v>0</v>
      </c>
      <c r="AP891" s="246">
        <f>IFERROR(VLOOKUP(N891,PROGRAMAS[],3,FALSE),0)</f>
        <v>0</v>
      </c>
      <c r="AQ891" s="246">
        <f>IFERROR(VLOOKUP(O891,PROGRAMAS[],3,FALSE),0)</f>
        <v>0</v>
      </c>
      <c r="AR891" s="246">
        <f>IFERROR(VLOOKUP(P891,PROGRAMAS[],3,FALSE),0)</f>
        <v>0</v>
      </c>
      <c r="AS891" s="246">
        <f>IFERROR(VLOOKUP(Q891,PROGRAMAS[],3,FALSE),0)</f>
        <v>0</v>
      </c>
      <c r="AT891" s="246">
        <f>IFERROR(VLOOKUP(D891,VOL_REC[],2,FALSE),0)</f>
        <v>0</v>
      </c>
      <c r="AU891" s="246">
        <f>IFERROR(VLOOKUP(E891,VOL_REC[],2,FALSE),0)</f>
        <v>0</v>
      </c>
      <c r="AV891" s="246">
        <f>IFERROR(VLOOKUP(F891,VOL_REC[],2,FALSE),0)</f>
        <v>11089674.200000001</v>
      </c>
      <c r="AW891" s="246">
        <f>IFERROR(VLOOKUP(G891,VOL_REC[],2,FALSE),0)</f>
        <v>4325103.1812214684</v>
      </c>
      <c r="AX891" s="246">
        <f>IFERROR(VLOOKUP(H891,VOL_REC[],2,FALSE),0)</f>
        <v>240696.79238099116</v>
      </c>
      <c r="AY891" s="246">
        <f>IFERROR(VLOOKUP(I891,VOL_REC[],2,FALSE),0)</f>
        <v>17074.045034105649</v>
      </c>
      <c r="AZ891" s="246">
        <f>IFERROR(VLOOKUP(J891,VOL_REC[],2,FALSE),0)</f>
        <v>105072</v>
      </c>
      <c r="BA891" s="246">
        <f>IFERROR(VLOOKUP(K891,VOL_REC[],2,FALSE),0)</f>
        <v>740113.98115702497</v>
      </c>
      <c r="BB891" s="246">
        <f>IFERROR(VLOOKUP(L891,VOL_REC[],2,FALSE),0)</f>
        <v>0</v>
      </c>
      <c r="BC891" s="246">
        <f>IFERROR(VLOOKUP(M891,VOL_REC[],2,FALSE),0)</f>
        <v>0</v>
      </c>
      <c r="BD891" s="246">
        <f>IFERROR(VLOOKUP(N891,VOL_REC[],2,FALSE),0)</f>
        <v>0</v>
      </c>
      <c r="BE891" s="246">
        <f>IFERROR(VLOOKUP(O891,VOL_REC[],2,FALSE),0)</f>
        <v>0</v>
      </c>
      <c r="BF891" s="246">
        <f>IFERROR(VLOOKUP(P891,VOL_REC[],2,FALSE),0)</f>
        <v>0</v>
      </c>
      <c r="BG891" s="246">
        <f>IFERROR(VLOOKUP(Q891,VOL_REC[],2,FALSE),0)</f>
        <v>0</v>
      </c>
      <c r="BH891" s="1710">
        <f t="shared" si="52"/>
        <v>8074768822.6963902</v>
      </c>
      <c r="BI891" s="1710">
        <f t="shared" si="53"/>
        <v>11093872471.030449</v>
      </c>
      <c r="BJ891" s="1711">
        <f t="shared" si="54"/>
        <v>16517734.19979359</v>
      </c>
      <c r="BK891" s="1711">
        <f t="shared" si="55"/>
        <v>0.72785845012930539</v>
      </c>
    </row>
    <row r="892" spans="3:67" x14ac:dyDescent="0.25">
      <c r="C892" s="246" t="s">
        <v>2242</v>
      </c>
      <c r="D892" s="246">
        <v>1</v>
      </c>
      <c r="E892" s="246">
        <v>2</v>
      </c>
      <c r="F892" s="246">
        <v>3</v>
      </c>
      <c r="G892" s="246">
        <v>5</v>
      </c>
      <c r="H892" s="246">
        <v>12</v>
      </c>
      <c r="I892" s="246">
        <v>14</v>
      </c>
      <c r="J892" s="246">
        <v>16</v>
      </c>
      <c r="K892" s="246">
        <v>17</v>
      </c>
      <c r="L892" s="246"/>
      <c r="M892" s="246"/>
      <c r="N892" s="246"/>
      <c r="O892" s="246"/>
      <c r="P892" s="246"/>
      <c r="Q892" s="246"/>
      <c r="R892" s="246">
        <f>IFERROR(VLOOKUP(D892,PROGRAMAS[],2,FALSE),0)</f>
        <v>97037803.679377079</v>
      </c>
      <c r="S892" s="246">
        <f>IFERROR(VLOOKUP(E892,PROGRAMAS[],2,FALSE),0)</f>
        <v>640501509.6821388</v>
      </c>
      <c r="T892" s="246">
        <f>IFERROR(VLOOKUP(F892,PROGRAMAS[],2,FALSE),0)</f>
        <v>3062327798.1525245</v>
      </c>
      <c r="U892" s="246">
        <f>IFERROR(VLOOKUP(G892,PROGRAMAS[],2,FALSE),0)</f>
        <v>1440941976.2528784</v>
      </c>
      <c r="V892" s="246">
        <f>IFERROR(VLOOKUP(H892,PROGRAMAS[],2,FALSE),0)</f>
        <v>764796700.79905891</v>
      </c>
      <c r="W892" s="246">
        <f>IFERROR(VLOOKUP(I892,PROGRAMAS[],2,FALSE),0)</f>
        <v>54223862.645839565</v>
      </c>
      <c r="X892" s="246">
        <f>IFERROR(VLOOKUP(J892,PROGRAMAS[],2,FALSE),0)</f>
        <v>7068496961.0436354</v>
      </c>
      <c r="Y892" s="246">
        <f>IFERROR(VLOOKUP(K892,PROGRAMAS[],2,FALSE),0)</f>
        <v>1892779498.5211046</v>
      </c>
      <c r="Z892" s="246">
        <f>IFERROR(VLOOKUP(L892,PROGRAMAS[],2,FALSE),0)</f>
        <v>0</v>
      </c>
      <c r="AA892" s="246">
        <f>IFERROR(VLOOKUP(M892,PROGRAMAS[],2,FALSE),0)</f>
        <v>0</v>
      </c>
      <c r="AB892" s="246">
        <f>IFERROR(VLOOKUP(N892,PROGRAMAS[],2,FALSE),0)</f>
        <v>0</v>
      </c>
      <c r="AC892" s="246">
        <f>IFERROR(VLOOKUP(O892,PROGRAMAS[],2,FALSE),0)</f>
        <v>0</v>
      </c>
      <c r="AD892" s="246">
        <f>IFERROR(VLOOKUP(P892,PROGRAMAS[],2,FALSE),0)</f>
        <v>0</v>
      </c>
      <c r="AE892" s="246">
        <f>IFERROR(VLOOKUP(Q892,PROGRAMAS[],2,FALSE),0)</f>
        <v>0</v>
      </c>
      <c r="AF892" s="246">
        <f>IFERROR(VLOOKUP(D892,PROGRAMAS[],3,FALSE),0)</f>
        <v>841888629.31080008</v>
      </c>
      <c r="AG892" s="246">
        <f>IFERROR(VLOOKUP(E892,PROGRAMAS[],3,FALSE),0)</f>
        <v>3848980803.1642323</v>
      </c>
      <c r="AH892" s="246">
        <f>IFERROR(VLOOKUP(F892,PROGRAMAS[],3,FALSE),0)</f>
        <v>3394901471.387517</v>
      </c>
      <c r="AI892" s="246">
        <f>IFERROR(VLOOKUP(G892,PROGRAMAS[],3,FALSE),0)</f>
        <v>1233505101.0616004</v>
      </c>
      <c r="AJ892" s="246">
        <f>IFERROR(VLOOKUP(H892,PROGRAMAS[],3,FALSE),0)</f>
        <v>675517840.109828</v>
      </c>
      <c r="AK892" s="246">
        <f>IFERROR(VLOOKUP(I892,PROGRAMAS[],3,FALSE),0)</f>
        <v>31865326.38096505</v>
      </c>
      <c r="AL892" s="246">
        <f>IFERROR(VLOOKUP(J892,PROGRAMAS[],3,FALSE),0)</f>
        <v>2406564599.0319901</v>
      </c>
      <c r="AM892" s="246">
        <f>IFERROR(VLOOKUP(K892,PROGRAMAS[],3,FALSE),0)</f>
        <v>948595847.09039903</v>
      </c>
      <c r="AN892" s="246">
        <f>IFERROR(VLOOKUP(L892,PROGRAMAS[],3,FALSE),0)</f>
        <v>0</v>
      </c>
      <c r="AO892" s="246">
        <f>IFERROR(VLOOKUP(M892,PROGRAMAS[],3,FALSE),0)</f>
        <v>0</v>
      </c>
      <c r="AP892" s="246">
        <f>IFERROR(VLOOKUP(N892,PROGRAMAS[],3,FALSE),0)</f>
        <v>0</v>
      </c>
      <c r="AQ892" s="246">
        <f>IFERROR(VLOOKUP(O892,PROGRAMAS[],3,FALSE),0)</f>
        <v>0</v>
      </c>
      <c r="AR892" s="246">
        <f>IFERROR(VLOOKUP(P892,PROGRAMAS[],3,FALSE),0)</f>
        <v>0</v>
      </c>
      <c r="AS892" s="246">
        <f>IFERROR(VLOOKUP(Q892,PROGRAMAS[],3,FALSE),0)</f>
        <v>0</v>
      </c>
      <c r="AT892" s="246">
        <f>IFERROR(VLOOKUP(D892,VOL_REC[],2,FALSE),0)</f>
        <v>0</v>
      </c>
      <c r="AU892" s="246">
        <f>IFERROR(VLOOKUP(E892,VOL_REC[],2,FALSE),0)</f>
        <v>0</v>
      </c>
      <c r="AV892" s="246">
        <f>IFERROR(VLOOKUP(F892,VOL_REC[],2,FALSE),0)</f>
        <v>11089674.200000001</v>
      </c>
      <c r="AW892" s="246">
        <f>IFERROR(VLOOKUP(G892,VOL_REC[],2,FALSE),0)</f>
        <v>4325103.1812214684</v>
      </c>
      <c r="AX892" s="246">
        <f>IFERROR(VLOOKUP(H892,VOL_REC[],2,FALSE),0)</f>
        <v>240696.79238099116</v>
      </c>
      <c r="AY892" s="246">
        <f>IFERROR(VLOOKUP(I892,VOL_REC[],2,FALSE),0)</f>
        <v>17074.045034105649</v>
      </c>
      <c r="AZ892" s="246">
        <f>IFERROR(VLOOKUP(J892,VOL_REC[],2,FALSE),0)</f>
        <v>1072354.9981737854</v>
      </c>
      <c r="BA892" s="246">
        <f>IFERROR(VLOOKUP(K892,VOL_REC[],2,FALSE),0)</f>
        <v>740113.98115702497</v>
      </c>
      <c r="BB892" s="246">
        <f>IFERROR(VLOOKUP(L892,VOL_REC[],2,FALSE),0)</f>
        <v>0</v>
      </c>
      <c r="BC892" s="246">
        <f>IFERROR(VLOOKUP(M892,VOL_REC[],2,FALSE),0)</f>
        <v>0</v>
      </c>
      <c r="BD892" s="246">
        <f>IFERROR(VLOOKUP(N892,VOL_REC[],2,FALSE),0)</f>
        <v>0</v>
      </c>
      <c r="BE892" s="246">
        <f>IFERROR(VLOOKUP(O892,VOL_REC[],2,FALSE),0)</f>
        <v>0</v>
      </c>
      <c r="BF892" s="246">
        <f>IFERROR(VLOOKUP(P892,VOL_REC[],2,FALSE),0)</f>
        <v>0</v>
      </c>
      <c r="BG892" s="246">
        <f>IFERROR(VLOOKUP(Q892,VOL_REC[],2,FALSE),0)</f>
        <v>0</v>
      </c>
      <c r="BH892" s="1710">
        <f t="shared" si="52"/>
        <v>15021106110.776558</v>
      </c>
      <c r="BI892" s="1710">
        <f t="shared" si="53"/>
        <v>13381819617.537331</v>
      </c>
      <c r="BJ892" s="1711">
        <f t="shared" si="54"/>
        <v>17485017.197967373</v>
      </c>
      <c r="BK892" s="1711">
        <f t="shared" si="55"/>
        <v>1.1225010155637494</v>
      </c>
      <c r="BL892">
        <f>BJ892</f>
        <v>17485017.197967373</v>
      </c>
      <c r="BO892">
        <f>BL892</f>
        <v>17485017.197967373</v>
      </c>
    </row>
    <row r="893" spans="3:67" x14ac:dyDescent="0.25">
      <c r="C893" s="246" t="s">
        <v>2243</v>
      </c>
      <c r="D893" s="246">
        <v>1</v>
      </c>
      <c r="E893" s="246">
        <v>2</v>
      </c>
      <c r="F893" s="246">
        <v>3</v>
      </c>
      <c r="G893" s="246">
        <v>5</v>
      </c>
      <c r="H893" s="246">
        <v>12</v>
      </c>
      <c r="I893" s="246">
        <v>15</v>
      </c>
      <c r="J893" s="246">
        <v>16</v>
      </c>
      <c r="K893" s="246">
        <v>17</v>
      </c>
      <c r="L893" s="246"/>
      <c r="M893" s="246"/>
      <c r="N893" s="246"/>
      <c r="O893" s="246"/>
      <c r="P893" s="246"/>
      <c r="Q893" s="246"/>
      <c r="R893" s="246">
        <f>IFERROR(VLOOKUP(D893,PROGRAMAS[],2,FALSE),0)</f>
        <v>97037803.679377079</v>
      </c>
      <c r="S893" s="246">
        <f>IFERROR(VLOOKUP(E893,PROGRAMAS[],2,FALSE),0)</f>
        <v>640501509.6821388</v>
      </c>
      <c r="T893" s="246">
        <f>IFERROR(VLOOKUP(F893,PROGRAMAS[],2,FALSE),0)</f>
        <v>3062327798.1525245</v>
      </c>
      <c r="U893" s="246">
        <f>IFERROR(VLOOKUP(G893,PROGRAMAS[],2,FALSE),0)</f>
        <v>1440941976.2528784</v>
      </c>
      <c r="V893" s="246">
        <f>IFERROR(VLOOKUP(H893,PROGRAMAS[],2,FALSE),0)</f>
        <v>764796700.79905891</v>
      </c>
      <c r="W893" s="246">
        <f>IFERROR(VLOOKUP(I893,PROGRAMAS[],2,FALSE),0)</f>
        <v>122159672.96346797</v>
      </c>
      <c r="X893" s="246">
        <f>IFERROR(VLOOKUP(J893,PROGRAMAS[],2,FALSE),0)</f>
        <v>7068496961.0436354</v>
      </c>
      <c r="Y893" s="246">
        <f>IFERROR(VLOOKUP(K893,PROGRAMAS[],2,FALSE),0)</f>
        <v>1892779498.5211046</v>
      </c>
      <c r="Z893" s="246">
        <f>IFERROR(VLOOKUP(L893,PROGRAMAS[],2,FALSE),0)</f>
        <v>0</v>
      </c>
      <c r="AA893" s="246">
        <f>IFERROR(VLOOKUP(M893,PROGRAMAS[],2,FALSE),0)</f>
        <v>0</v>
      </c>
      <c r="AB893" s="246">
        <f>IFERROR(VLOOKUP(N893,PROGRAMAS[],2,FALSE),0)</f>
        <v>0</v>
      </c>
      <c r="AC893" s="246">
        <f>IFERROR(VLOOKUP(O893,PROGRAMAS[],2,FALSE),0)</f>
        <v>0</v>
      </c>
      <c r="AD893" s="246">
        <f>IFERROR(VLOOKUP(P893,PROGRAMAS[],2,FALSE),0)</f>
        <v>0</v>
      </c>
      <c r="AE893" s="246">
        <f>IFERROR(VLOOKUP(Q893,PROGRAMAS[],2,FALSE),0)</f>
        <v>0</v>
      </c>
      <c r="AF893" s="246">
        <f>IFERROR(VLOOKUP(D893,PROGRAMAS[],3,FALSE),0)</f>
        <v>841888629.31080008</v>
      </c>
      <c r="AG893" s="246">
        <f>IFERROR(VLOOKUP(E893,PROGRAMAS[],3,FALSE),0)</f>
        <v>3848980803.1642323</v>
      </c>
      <c r="AH893" s="246">
        <f>IFERROR(VLOOKUP(F893,PROGRAMAS[],3,FALSE),0)</f>
        <v>3394901471.387517</v>
      </c>
      <c r="AI893" s="246">
        <f>IFERROR(VLOOKUP(G893,PROGRAMAS[],3,FALSE),0)</f>
        <v>1233505101.0616004</v>
      </c>
      <c r="AJ893" s="246">
        <f>IFERROR(VLOOKUP(H893,PROGRAMAS[],3,FALSE),0)</f>
        <v>675517840.109828</v>
      </c>
      <c r="AK893" s="246">
        <f>IFERROR(VLOOKUP(I893,PROGRAMAS[],3,FALSE),0)</f>
        <v>118617452.52510804</v>
      </c>
      <c r="AL893" s="246">
        <f>IFERROR(VLOOKUP(J893,PROGRAMAS[],3,FALSE),0)</f>
        <v>2406564599.0319901</v>
      </c>
      <c r="AM893" s="246">
        <f>IFERROR(VLOOKUP(K893,PROGRAMAS[],3,FALSE),0)</f>
        <v>948595847.09039903</v>
      </c>
      <c r="AN893" s="246">
        <f>IFERROR(VLOOKUP(L893,PROGRAMAS[],3,FALSE),0)</f>
        <v>0</v>
      </c>
      <c r="AO893" s="246">
        <f>IFERROR(VLOOKUP(M893,PROGRAMAS[],3,FALSE),0)</f>
        <v>0</v>
      </c>
      <c r="AP893" s="246">
        <f>IFERROR(VLOOKUP(N893,PROGRAMAS[],3,FALSE),0)</f>
        <v>0</v>
      </c>
      <c r="AQ893" s="246">
        <f>IFERROR(VLOOKUP(O893,PROGRAMAS[],3,FALSE),0)</f>
        <v>0</v>
      </c>
      <c r="AR893" s="246">
        <f>IFERROR(VLOOKUP(P893,PROGRAMAS[],3,FALSE),0)</f>
        <v>0</v>
      </c>
      <c r="AS893" s="246">
        <f>IFERROR(VLOOKUP(Q893,PROGRAMAS[],3,FALSE),0)</f>
        <v>0</v>
      </c>
      <c r="AT893" s="246">
        <f>IFERROR(VLOOKUP(D893,VOL_REC[],2,FALSE),0)</f>
        <v>0</v>
      </c>
      <c r="AU893" s="246">
        <f>IFERROR(VLOOKUP(E893,VOL_REC[],2,FALSE),0)</f>
        <v>0</v>
      </c>
      <c r="AV893" s="246">
        <f>IFERROR(VLOOKUP(F893,VOL_REC[],2,FALSE),0)</f>
        <v>11089674.200000001</v>
      </c>
      <c r="AW893" s="246">
        <f>IFERROR(VLOOKUP(G893,VOL_REC[],2,FALSE),0)</f>
        <v>4325103.1812214684</v>
      </c>
      <c r="AX893" s="246">
        <f>IFERROR(VLOOKUP(H893,VOL_REC[],2,FALSE),0)</f>
        <v>240696.79238099116</v>
      </c>
      <c r="AY893" s="246">
        <f>IFERROR(VLOOKUP(I893,VOL_REC[],2,FALSE),0)</f>
        <v>105072</v>
      </c>
      <c r="AZ893" s="246">
        <f>IFERROR(VLOOKUP(J893,VOL_REC[],2,FALSE),0)</f>
        <v>1072354.9981737854</v>
      </c>
      <c r="BA893" s="246">
        <f>IFERROR(VLOOKUP(K893,VOL_REC[],2,FALSE),0)</f>
        <v>740113.98115702497</v>
      </c>
      <c r="BB893" s="246">
        <f>IFERROR(VLOOKUP(L893,VOL_REC[],2,FALSE),0)</f>
        <v>0</v>
      </c>
      <c r="BC893" s="246">
        <f>IFERROR(VLOOKUP(M893,VOL_REC[],2,FALSE),0)</f>
        <v>0</v>
      </c>
      <c r="BD893" s="246">
        <f>IFERROR(VLOOKUP(N893,VOL_REC[],2,FALSE),0)</f>
        <v>0</v>
      </c>
      <c r="BE893" s="246">
        <f>IFERROR(VLOOKUP(O893,VOL_REC[],2,FALSE),0)</f>
        <v>0</v>
      </c>
      <c r="BF893" s="246">
        <f>IFERROR(VLOOKUP(P893,VOL_REC[],2,FALSE),0)</f>
        <v>0</v>
      </c>
      <c r="BG893" s="246">
        <f>IFERROR(VLOOKUP(Q893,VOL_REC[],2,FALSE),0)</f>
        <v>0</v>
      </c>
      <c r="BH893" s="1710">
        <f t="shared" si="52"/>
        <v>15089041921.094187</v>
      </c>
      <c r="BI893" s="1710">
        <f t="shared" si="53"/>
        <v>13468571743.681475</v>
      </c>
      <c r="BJ893" s="1711">
        <f t="shared" si="54"/>
        <v>17573015.15293327</v>
      </c>
      <c r="BK893" s="1711">
        <f t="shared" si="55"/>
        <v>1.1203149233824978</v>
      </c>
      <c r="BL893">
        <f>BJ893</f>
        <v>17573015.15293327</v>
      </c>
      <c r="BO893">
        <f>BL893</f>
        <v>17573015.15293327</v>
      </c>
    </row>
    <row r="894" spans="3:67" x14ac:dyDescent="0.25">
      <c r="C894" s="246" t="s">
        <v>2244</v>
      </c>
      <c r="D894" s="246">
        <v>1</v>
      </c>
      <c r="E894" s="246">
        <v>2</v>
      </c>
      <c r="F894" s="246">
        <v>3</v>
      </c>
      <c r="G894" s="246">
        <v>5</v>
      </c>
      <c r="H894" s="246">
        <v>13</v>
      </c>
      <c r="I894" s="246">
        <v>14</v>
      </c>
      <c r="J894" s="246">
        <v>15</v>
      </c>
      <c r="K894" s="246">
        <v>16</v>
      </c>
      <c r="L894" s="246"/>
      <c r="M894" s="246"/>
      <c r="N894" s="246"/>
      <c r="O894" s="246"/>
      <c r="P894" s="246"/>
      <c r="Q894" s="246"/>
      <c r="R894" s="246">
        <f>IFERROR(VLOOKUP(D894,PROGRAMAS[],2,FALSE),0)</f>
        <v>97037803.679377079</v>
      </c>
      <c r="S894" s="246">
        <f>IFERROR(VLOOKUP(E894,PROGRAMAS[],2,FALSE),0)</f>
        <v>640501509.6821388</v>
      </c>
      <c r="T894" s="246">
        <f>IFERROR(VLOOKUP(F894,PROGRAMAS[],2,FALSE),0)</f>
        <v>3062327798.1525245</v>
      </c>
      <c r="U894" s="246">
        <f>IFERROR(VLOOKUP(G894,PROGRAMAS[],2,FALSE),0)</f>
        <v>1440941976.2528784</v>
      </c>
      <c r="V894" s="246">
        <f>IFERROR(VLOOKUP(H894,PROGRAMAS[],2,FALSE),0)</f>
        <v>3776538594.4604583</v>
      </c>
      <c r="W894" s="246">
        <f>IFERROR(VLOOKUP(I894,PROGRAMAS[],2,FALSE),0)</f>
        <v>54223862.645839565</v>
      </c>
      <c r="X894" s="246">
        <f>IFERROR(VLOOKUP(J894,PROGRAMAS[],2,FALSE),0)</f>
        <v>122159672.96346797</v>
      </c>
      <c r="Y894" s="246">
        <f>IFERROR(VLOOKUP(K894,PROGRAMAS[],2,FALSE),0)</f>
        <v>7068496961.0436354</v>
      </c>
      <c r="Z894" s="246">
        <f>IFERROR(VLOOKUP(L894,PROGRAMAS[],2,FALSE),0)</f>
        <v>0</v>
      </c>
      <c r="AA894" s="246">
        <f>IFERROR(VLOOKUP(M894,PROGRAMAS[],2,FALSE),0)</f>
        <v>0</v>
      </c>
      <c r="AB894" s="246">
        <f>IFERROR(VLOOKUP(N894,PROGRAMAS[],2,FALSE),0)</f>
        <v>0</v>
      </c>
      <c r="AC894" s="246">
        <f>IFERROR(VLOOKUP(O894,PROGRAMAS[],2,FALSE),0)</f>
        <v>0</v>
      </c>
      <c r="AD894" s="246">
        <f>IFERROR(VLOOKUP(P894,PROGRAMAS[],2,FALSE),0)</f>
        <v>0</v>
      </c>
      <c r="AE894" s="246">
        <f>IFERROR(VLOOKUP(Q894,PROGRAMAS[],2,FALSE),0)</f>
        <v>0</v>
      </c>
      <c r="AF894" s="246">
        <f>IFERROR(VLOOKUP(D894,PROGRAMAS[],3,FALSE),0)</f>
        <v>841888629.31080008</v>
      </c>
      <c r="AG894" s="246">
        <f>IFERROR(VLOOKUP(E894,PROGRAMAS[],3,FALSE),0)</f>
        <v>3848980803.1642323</v>
      </c>
      <c r="AH894" s="246">
        <f>IFERROR(VLOOKUP(F894,PROGRAMAS[],3,FALSE),0)</f>
        <v>3394901471.387517</v>
      </c>
      <c r="AI894" s="246">
        <f>IFERROR(VLOOKUP(G894,PROGRAMAS[],3,FALSE),0)</f>
        <v>1233505101.0616004</v>
      </c>
      <c r="AJ894" s="246">
        <f>IFERROR(VLOOKUP(H894,PROGRAMAS[],3,FALSE),0)</f>
        <v>2392571243.5584412</v>
      </c>
      <c r="AK894" s="246">
        <f>IFERROR(VLOOKUP(I894,PROGRAMAS[],3,FALSE),0)</f>
        <v>31865326.38096505</v>
      </c>
      <c r="AL894" s="246">
        <f>IFERROR(VLOOKUP(J894,PROGRAMAS[],3,FALSE),0)</f>
        <v>118617452.52510804</v>
      </c>
      <c r="AM894" s="246">
        <f>IFERROR(VLOOKUP(K894,PROGRAMAS[],3,FALSE),0)</f>
        <v>2406564599.0319901</v>
      </c>
      <c r="AN894" s="246">
        <f>IFERROR(VLOOKUP(L894,PROGRAMAS[],3,FALSE),0)</f>
        <v>0</v>
      </c>
      <c r="AO894" s="246">
        <f>IFERROR(VLOOKUP(M894,PROGRAMAS[],3,FALSE),0)</f>
        <v>0</v>
      </c>
      <c r="AP894" s="246">
        <f>IFERROR(VLOOKUP(N894,PROGRAMAS[],3,FALSE),0)</f>
        <v>0</v>
      </c>
      <c r="AQ894" s="246">
        <f>IFERROR(VLOOKUP(O894,PROGRAMAS[],3,FALSE),0)</f>
        <v>0</v>
      </c>
      <c r="AR894" s="246">
        <f>IFERROR(VLOOKUP(P894,PROGRAMAS[],3,FALSE),0)</f>
        <v>0</v>
      </c>
      <c r="AS894" s="246">
        <f>IFERROR(VLOOKUP(Q894,PROGRAMAS[],3,FALSE),0)</f>
        <v>0</v>
      </c>
      <c r="AT894" s="246">
        <f>IFERROR(VLOOKUP(D894,VOL_REC[],2,FALSE),0)</f>
        <v>0</v>
      </c>
      <c r="AU894" s="246">
        <f>IFERROR(VLOOKUP(E894,VOL_REC[],2,FALSE),0)</f>
        <v>0</v>
      </c>
      <c r="AV894" s="246">
        <f>IFERROR(VLOOKUP(F894,VOL_REC[],2,FALSE),0)</f>
        <v>11089674.200000001</v>
      </c>
      <c r="AW894" s="246">
        <f>IFERROR(VLOOKUP(G894,VOL_REC[],2,FALSE),0)</f>
        <v>4325103.1812214684</v>
      </c>
      <c r="AX894" s="246">
        <f>IFERROR(VLOOKUP(H894,VOL_REC[],2,FALSE),0)</f>
        <v>663244.80000000016</v>
      </c>
      <c r="AY894" s="246">
        <f>IFERROR(VLOOKUP(I894,VOL_REC[],2,FALSE),0)</f>
        <v>17074.045034105649</v>
      </c>
      <c r="AZ894" s="246">
        <f>IFERROR(VLOOKUP(J894,VOL_REC[],2,FALSE),0)</f>
        <v>105072</v>
      </c>
      <c r="BA894" s="246">
        <f>IFERROR(VLOOKUP(K894,VOL_REC[],2,FALSE),0)</f>
        <v>1072354.9981737854</v>
      </c>
      <c r="BB894" s="246">
        <f>IFERROR(VLOOKUP(L894,VOL_REC[],2,FALSE),0)</f>
        <v>0</v>
      </c>
      <c r="BC894" s="246">
        <f>IFERROR(VLOOKUP(M894,VOL_REC[],2,FALSE),0)</f>
        <v>0</v>
      </c>
      <c r="BD894" s="246">
        <f>IFERROR(VLOOKUP(N894,VOL_REC[],2,FALSE),0)</f>
        <v>0</v>
      </c>
      <c r="BE894" s="246">
        <f>IFERROR(VLOOKUP(O894,VOL_REC[],2,FALSE),0)</f>
        <v>0</v>
      </c>
      <c r="BF894" s="246">
        <f>IFERROR(VLOOKUP(P894,VOL_REC[],2,FALSE),0)</f>
        <v>0</v>
      </c>
      <c r="BG894" s="246">
        <f>IFERROR(VLOOKUP(Q894,VOL_REC[],2,FALSE),0)</f>
        <v>0</v>
      </c>
      <c r="BH894" s="1710">
        <f t="shared" si="52"/>
        <v>16262228178.880322</v>
      </c>
      <c r="BI894" s="1710">
        <f t="shared" si="53"/>
        <v>14268894626.420654</v>
      </c>
      <c r="BJ894" s="1711">
        <f t="shared" si="54"/>
        <v>17272523.224429362</v>
      </c>
      <c r="BK894" s="1711">
        <f t="shared" si="55"/>
        <v>1.1396978255602757</v>
      </c>
      <c r="BL894">
        <f>BJ894</f>
        <v>17272523.224429362</v>
      </c>
      <c r="BO894">
        <f>BL894</f>
        <v>17272523.224429362</v>
      </c>
    </row>
    <row r="895" spans="3:67" x14ac:dyDescent="0.25">
      <c r="C895" s="246" t="s">
        <v>2245</v>
      </c>
      <c r="D895" s="246">
        <v>1</v>
      </c>
      <c r="E895" s="246">
        <v>2</v>
      </c>
      <c r="F895" s="246">
        <v>3</v>
      </c>
      <c r="G895" s="246">
        <v>5</v>
      </c>
      <c r="H895" s="246">
        <v>13</v>
      </c>
      <c r="I895" s="246">
        <v>14</v>
      </c>
      <c r="J895" s="246">
        <v>15</v>
      </c>
      <c r="K895" s="246">
        <v>17</v>
      </c>
      <c r="L895" s="246"/>
      <c r="M895" s="246"/>
      <c r="N895" s="246"/>
      <c r="O895" s="246"/>
      <c r="P895" s="246"/>
      <c r="Q895" s="246"/>
      <c r="R895" s="246">
        <f>IFERROR(VLOOKUP(D895,PROGRAMAS[],2,FALSE),0)</f>
        <v>97037803.679377079</v>
      </c>
      <c r="S895" s="246">
        <f>IFERROR(VLOOKUP(E895,PROGRAMAS[],2,FALSE),0)</f>
        <v>640501509.6821388</v>
      </c>
      <c r="T895" s="246">
        <f>IFERROR(VLOOKUP(F895,PROGRAMAS[],2,FALSE),0)</f>
        <v>3062327798.1525245</v>
      </c>
      <c r="U895" s="246">
        <f>IFERROR(VLOOKUP(G895,PROGRAMAS[],2,FALSE),0)</f>
        <v>1440941976.2528784</v>
      </c>
      <c r="V895" s="246">
        <f>IFERROR(VLOOKUP(H895,PROGRAMAS[],2,FALSE),0)</f>
        <v>3776538594.4604583</v>
      </c>
      <c r="W895" s="246">
        <f>IFERROR(VLOOKUP(I895,PROGRAMAS[],2,FALSE),0)</f>
        <v>54223862.645839565</v>
      </c>
      <c r="X895" s="246">
        <f>IFERROR(VLOOKUP(J895,PROGRAMAS[],2,FALSE),0)</f>
        <v>122159672.96346797</v>
      </c>
      <c r="Y895" s="246">
        <f>IFERROR(VLOOKUP(K895,PROGRAMAS[],2,FALSE),0)</f>
        <v>1892779498.5211046</v>
      </c>
      <c r="Z895" s="246">
        <f>IFERROR(VLOOKUP(L895,PROGRAMAS[],2,FALSE),0)</f>
        <v>0</v>
      </c>
      <c r="AA895" s="246">
        <f>IFERROR(VLOOKUP(M895,PROGRAMAS[],2,FALSE),0)</f>
        <v>0</v>
      </c>
      <c r="AB895" s="246">
        <f>IFERROR(VLOOKUP(N895,PROGRAMAS[],2,FALSE),0)</f>
        <v>0</v>
      </c>
      <c r="AC895" s="246">
        <f>IFERROR(VLOOKUP(O895,PROGRAMAS[],2,FALSE),0)</f>
        <v>0</v>
      </c>
      <c r="AD895" s="246">
        <f>IFERROR(VLOOKUP(P895,PROGRAMAS[],2,FALSE),0)</f>
        <v>0</v>
      </c>
      <c r="AE895" s="246">
        <f>IFERROR(VLOOKUP(Q895,PROGRAMAS[],2,FALSE),0)</f>
        <v>0</v>
      </c>
      <c r="AF895" s="246">
        <f>IFERROR(VLOOKUP(D895,PROGRAMAS[],3,FALSE),0)</f>
        <v>841888629.31080008</v>
      </c>
      <c r="AG895" s="246">
        <f>IFERROR(VLOOKUP(E895,PROGRAMAS[],3,FALSE),0)</f>
        <v>3848980803.1642323</v>
      </c>
      <c r="AH895" s="246">
        <f>IFERROR(VLOOKUP(F895,PROGRAMAS[],3,FALSE),0)</f>
        <v>3394901471.387517</v>
      </c>
      <c r="AI895" s="246">
        <f>IFERROR(VLOOKUP(G895,PROGRAMAS[],3,FALSE),0)</f>
        <v>1233505101.0616004</v>
      </c>
      <c r="AJ895" s="246">
        <f>IFERROR(VLOOKUP(H895,PROGRAMAS[],3,FALSE),0)</f>
        <v>2392571243.5584412</v>
      </c>
      <c r="AK895" s="246">
        <f>IFERROR(VLOOKUP(I895,PROGRAMAS[],3,FALSE),0)</f>
        <v>31865326.38096505</v>
      </c>
      <c r="AL895" s="246">
        <f>IFERROR(VLOOKUP(J895,PROGRAMAS[],3,FALSE),0)</f>
        <v>118617452.52510804</v>
      </c>
      <c r="AM895" s="246">
        <f>IFERROR(VLOOKUP(K895,PROGRAMAS[],3,FALSE),0)</f>
        <v>948595847.09039903</v>
      </c>
      <c r="AN895" s="246">
        <f>IFERROR(VLOOKUP(L895,PROGRAMAS[],3,FALSE),0)</f>
        <v>0</v>
      </c>
      <c r="AO895" s="246">
        <f>IFERROR(VLOOKUP(M895,PROGRAMAS[],3,FALSE),0)</f>
        <v>0</v>
      </c>
      <c r="AP895" s="246">
        <f>IFERROR(VLOOKUP(N895,PROGRAMAS[],3,FALSE),0)</f>
        <v>0</v>
      </c>
      <c r="AQ895" s="246">
        <f>IFERROR(VLOOKUP(O895,PROGRAMAS[],3,FALSE),0)</f>
        <v>0</v>
      </c>
      <c r="AR895" s="246">
        <f>IFERROR(VLOOKUP(P895,PROGRAMAS[],3,FALSE),0)</f>
        <v>0</v>
      </c>
      <c r="AS895" s="246">
        <f>IFERROR(VLOOKUP(Q895,PROGRAMAS[],3,FALSE),0)</f>
        <v>0</v>
      </c>
      <c r="AT895" s="246">
        <f>IFERROR(VLOOKUP(D895,VOL_REC[],2,FALSE),0)</f>
        <v>0</v>
      </c>
      <c r="AU895" s="246">
        <f>IFERROR(VLOOKUP(E895,VOL_REC[],2,FALSE),0)</f>
        <v>0</v>
      </c>
      <c r="AV895" s="246">
        <f>IFERROR(VLOOKUP(F895,VOL_REC[],2,FALSE),0)</f>
        <v>11089674.200000001</v>
      </c>
      <c r="AW895" s="246">
        <f>IFERROR(VLOOKUP(G895,VOL_REC[],2,FALSE),0)</f>
        <v>4325103.1812214684</v>
      </c>
      <c r="AX895" s="246">
        <f>IFERROR(VLOOKUP(H895,VOL_REC[],2,FALSE),0)</f>
        <v>663244.80000000016</v>
      </c>
      <c r="AY895" s="246">
        <f>IFERROR(VLOOKUP(I895,VOL_REC[],2,FALSE),0)</f>
        <v>17074.045034105649</v>
      </c>
      <c r="AZ895" s="246">
        <f>IFERROR(VLOOKUP(J895,VOL_REC[],2,FALSE),0)</f>
        <v>105072</v>
      </c>
      <c r="BA895" s="246">
        <f>IFERROR(VLOOKUP(K895,VOL_REC[],2,FALSE),0)</f>
        <v>740113.98115702497</v>
      </c>
      <c r="BB895" s="246">
        <f>IFERROR(VLOOKUP(L895,VOL_REC[],2,FALSE),0)</f>
        <v>0</v>
      </c>
      <c r="BC895" s="246">
        <f>IFERROR(VLOOKUP(M895,VOL_REC[],2,FALSE),0)</f>
        <v>0</v>
      </c>
      <c r="BD895" s="246">
        <f>IFERROR(VLOOKUP(N895,VOL_REC[],2,FALSE),0)</f>
        <v>0</v>
      </c>
      <c r="BE895" s="246">
        <f>IFERROR(VLOOKUP(O895,VOL_REC[],2,FALSE),0)</f>
        <v>0</v>
      </c>
      <c r="BF895" s="246">
        <f>IFERROR(VLOOKUP(P895,VOL_REC[],2,FALSE),0)</f>
        <v>0</v>
      </c>
      <c r="BG895" s="246">
        <f>IFERROR(VLOOKUP(Q895,VOL_REC[],2,FALSE),0)</f>
        <v>0</v>
      </c>
      <c r="BH895" s="1710">
        <f t="shared" si="52"/>
        <v>11086510716.35779</v>
      </c>
      <c r="BI895" s="1710">
        <f t="shared" si="53"/>
        <v>12810925874.479063</v>
      </c>
      <c r="BJ895" s="1711">
        <f t="shared" si="54"/>
        <v>16940282.207412601</v>
      </c>
      <c r="BK895" s="1711">
        <f t="shared" si="55"/>
        <v>0.8653949624705487</v>
      </c>
    </row>
    <row r="896" spans="3:67" x14ac:dyDescent="0.25">
      <c r="C896" s="246" t="s">
        <v>2246</v>
      </c>
      <c r="D896" s="246">
        <v>1</v>
      </c>
      <c r="E896" s="246">
        <v>2</v>
      </c>
      <c r="F896" s="246">
        <v>3</v>
      </c>
      <c r="G896" s="246">
        <v>5</v>
      </c>
      <c r="H896" s="246">
        <v>13</v>
      </c>
      <c r="I896" s="246">
        <v>14</v>
      </c>
      <c r="J896" s="246">
        <v>16</v>
      </c>
      <c r="K896" s="246">
        <v>17</v>
      </c>
      <c r="L896" s="246"/>
      <c r="M896" s="246"/>
      <c r="N896" s="246"/>
      <c r="O896" s="246"/>
      <c r="P896" s="246"/>
      <c r="Q896" s="246"/>
      <c r="R896" s="246">
        <f>IFERROR(VLOOKUP(D896,PROGRAMAS[],2,FALSE),0)</f>
        <v>97037803.679377079</v>
      </c>
      <c r="S896" s="246">
        <f>IFERROR(VLOOKUP(E896,PROGRAMAS[],2,FALSE),0)</f>
        <v>640501509.6821388</v>
      </c>
      <c r="T896" s="246">
        <f>IFERROR(VLOOKUP(F896,PROGRAMAS[],2,FALSE),0)</f>
        <v>3062327798.1525245</v>
      </c>
      <c r="U896" s="246">
        <f>IFERROR(VLOOKUP(G896,PROGRAMAS[],2,FALSE),0)</f>
        <v>1440941976.2528784</v>
      </c>
      <c r="V896" s="246">
        <f>IFERROR(VLOOKUP(H896,PROGRAMAS[],2,FALSE),0)</f>
        <v>3776538594.4604583</v>
      </c>
      <c r="W896" s="246">
        <f>IFERROR(VLOOKUP(I896,PROGRAMAS[],2,FALSE),0)</f>
        <v>54223862.645839565</v>
      </c>
      <c r="X896" s="246">
        <f>IFERROR(VLOOKUP(J896,PROGRAMAS[],2,FALSE),0)</f>
        <v>7068496961.0436354</v>
      </c>
      <c r="Y896" s="246">
        <f>IFERROR(VLOOKUP(K896,PROGRAMAS[],2,FALSE),0)</f>
        <v>1892779498.5211046</v>
      </c>
      <c r="Z896" s="246">
        <f>IFERROR(VLOOKUP(L896,PROGRAMAS[],2,FALSE),0)</f>
        <v>0</v>
      </c>
      <c r="AA896" s="246">
        <f>IFERROR(VLOOKUP(M896,PROGRAMAS[],2,FALSE),0)</f>
        <v>0</v>
      </c>
      <c r="AB896" s="246">
        <f>IFERROR(VLOOKUP(N896,PROGRAMAS[],2,FALSE),0)</f>
        <v>0</v>
      </c>
      <c r="AC896" s="246">
        <f>IFERROR(VLOOKUP(O896,PROGRAMAS[],2,FALSE),0)</f>
        <v>0</v>
      </c>
      <c r="AD896" s="246">
        <f>IFERROR(VLOOKUP(P896,PROGRAMAS[],2,FALSE),0)</f>
        <v>0</v>
      </c>
      <c r="AE896" s="246">
        <f>IFERROR(VLOOKUP(Q896,PROGRAMAS[],2,FALSE),0)</f>
        <v>0</v>
      </c>
      <c r="AF896" s="246">
        <f>IFERROR(VLOOKUP(D896,PROGRAMAS[],3,FALSE),0)</f>
        <v>841888629.31080008</v>
      </c>
      <c r="AG896" s="246">
        <f>IFERROR(VLOOKUP(E896,PROGRAMAS[],3,FALSE),0)</f>
        <v>3848980803.1642323</v>
      </c>
      <c r="AH896" s="246">
        <f>IFERROR(VLOOKUP(F896,PROGRAMAS[],3,FALSE),0)</f>
        <v>3394901471.387517</v>
      </c>
      <c r="AI896" s="246">
        <f>IFERROR(VLOOKUP(G896,PROGRAMAS[],3,FALSE),0)</f>
        <v>1233505101.0616004</v>
      </c>
      <c r="AJ896" s="246">
        <f>IFERROR(VLOOKUP(H896,PROGRAMAS[],3,FALSE),0)</f>
        <v>2392571243.5584412</v>
      </c>
      <c r="AK896" s="246">
        <f>IFERROR(VLOOKUP(I896,PROGRAMAS[],3,FALSE),0)</f>
        <v>31865326.38096505</v>
      </c>
      <c r="AL896" s="246">
        <f>IFERROR(VLOOKUP(J896,PROGRAMAS[],3,FALSE),0)</f>
        <v>2406564599.0319901</v>
      </c>
      <c r="AM896" s="246">
        <f>IFERROR(VLOOKUP(K896,PROGRAMAS[],3,FALSE),0)</f>
        <v>948595847.09039903</v>
      </c>
      <c r="AN896" s="246">
        <f>IFERROR(VLOOKUP(L896,PROGRAMAS[],3,FALSE),0)</f>
        <v>0</v>
      </c>
      <c r="AO896" s="246">
        <f>IFERROR(VLOOKUP(M896,PROGRAMAS[],3,FALSE),0)</f>
        <v>0</v>
      </c>
      <c r="AP896" s="246">
        <f>IFERROR(VLOOKUP(N896,PROGRAMAS[],3,FALSE),0)</f>
        <v>0</v>
      </c>
      <c r="AQ896" s="246">
        <f>IFERROR(VLOOKUP(O896,PROGRAMAS[],3,FALSE),0)</f>
        <v>0</v>
      </c>
      <c r="AR896" s="246">
        <f>IFERROR(VLOOKUP(P896,PROGRAMAS[],3,FALSE),0)</f>
        <v>0</v>
      </c>
      <c r="AS896" s="246">
        <f>IFERROR(VLOOKUP(Q896,PROGRAMAS[],3,FALSE),0)</f>
        <v>0</v>
      </c>
      <c r="AT896" s="246">
        <f>IFERROR(VLOOKUP(D896,VOL_REC[],2,FALSE),0)</f>
        <v>0</v>
      </c>
      <c r="AU896" s="246">
        <f>IFERROR(VLOOKUP(E896,VOL_REC[],2,FALSE),0)</f>
        <v>0</v>
      </c>
      <c r="AV896" s="246">
        <f>IFERROR(VLOOKUP(F896,VOL_REC[],2,FALSE),0)</f>
        <v>11089674.200000001</v>
      </c>
      <c r="AW896" s="246">
        <f>IFERROR(VLOOKUP(G896,VOL_REC[],2,FALSE),0)</f>
        <v>4325103.1812214684</v>
      </c>
      <c r="AX896" s="246">
        <f>IFERROR(VLOOKUP(H896,VOL_REC[],2,FALSE),0)</f>
        <v>663244.80000000016</v>
      </c>
      <c r="AY896" s="246">
        <f>IFERROR(VLOOKUP(I896,VOL_REC[],2,FALSE),0)</f>
        <v>17074.045034105649</v>
      </c>
      <c r="AZ896" s="246">
        <f>IFERROR(VLOOKUP(J896,VOL_REC[],2,FALSE),0)</f>
        <v>1072354.9981737854</v>
      </c>
      <c r="BA896" s="246">
        <f>IFERROR(VLOOKUP(K896,VOL_REC[],2,FALSE),0)</f>
        <v>740113.98115702497</v>
      </c>
      <c r="BB896" s="246">
        <f>IFERROR(VLOOKUP(L896,VOL_REC[],2,FALSE),0)</f>
        <v>0</v>
      </c>
      <c r="BC896" s="246">
        <f>IFERROR(VLOOKUP(M896,VOL_REC[],2,FALSE),0)</f>
        <v>0</v>
      </c>
      <c r="BD896" s="246">
        <f>IFERROR(VLOOKUP(N896,VOL_REC[],2,FALSE),0)</f>
        <v>0</v>
      </c>
      <c r="BE896" s="246">
        <f>IFERROR(VLOOKUP(O896,VOL_REC[],2,FALSE),0)</f>
        <v>0</v>
      </c>
      <c r="BF896" s="246">
        <f>IFERROR(VLOOKUP(P896,VOL_REC[],2,FALSE),0)</f>
        <v>0</v>
      </c>
      <c r="BG896" s="246">
        <f>IFERROR(VLOOKUP(Q896,VOL_REC[],2,FALSE),0)</f>
        <v>0</v>
      </c>
      <c r="BH896" s="1710">
        <f t="shared" si="52"/>
        <v>18032848004.437954</v>
      </c>
      <c r="BI896" s="1710">
        <f t="shared" si="53"/>
        <v>15098873020.985945</v>
      </c>
      <c r="BJ896" s="1711">
        <f t="shared" si="54"/>
        <v>17907565.205586385</v>
      </c>
      <c r="BK896" s="1711">
        <f t="shared" si="55"/>
        <v>1.1943174817997391</v>
      </c>
      <c r="BL896">
        <f>BJ896</f>
        <v>17907565.205586385</v>
      </c>
      <c r="BO896">
        <f>BL896</f>
        <v>17907565.205586385</v>
      </c>
    </row>
    <row r="897" spans="3:67" x14ac:dyDescent="0.25">
      <c r="C897" s="246" t="s">
        <v>2247</v>
      </c>
      <c r="D897" s="246">
        <v>1</v>
      </c>
      <c r="E897" s="246">
        <v>2</v>
      </c>
      <c r="F897" s="246">
        <v>3</v>
      </c>
      <c r="G897" s="246">
        <v>5</v>
      </c>
      <c r="H897" s="246">
        <v>13</v>
      </c>
      <c r="I897" s="246">
        <v>15</v>
      </c>
      <c r="J897" s="246">
        <v>16</v>
      </c>
      <c r="K897" s="246">
        <v>17</v>
      </c>
      <c r="L897" s="246"/>
      <c r="M897" s="246"/>
      <c r="N897" s="246"/>
      <c r="O897" s="246"/>
      <c r="P897" s="246"/>
      <c r="Q897" s="246"/>
      <c r="R897" s="246">
        <f>IFERROR(VLOOKUP(D897,PROGRAMAS[],2,FALSE),0)</f>
        <v>97037803.679377079</v>
      </c>
      <c r="S897" s="246">
        <f>IFERROR(VLOOKUP(E897,PROGRAMAS[],2,FALSE),0)</f>
        <v>640501509.6821388</v>
      </c>
      <c r="T897" s="246">
        <f>IFERROR(VLOOKUP(F897,PROGRAMAS[],2,FALSE),0)</f>
        <v>3062327798.1525245</v>
      </c>
      <c r="U897" s="246">
        <f>IFERROR(VLOOKUP(G897,PROGRAMAS[],2,FALSE),0)</f>
        <v>1440941976.2528784</v>
      </c>
      <c r="V897" s="246">
        <f>IFERROR(VLOOKUP(H897,PROGRAMAS[],2,FALSE),0)</f>
        <v>3776538594.4604583</v>
      </c>
      <c r="W897" s="246">
        <f>IFERROR(VLOOKUP(I897,PROGRAMAS[],2,FALSE),0)</f>
        <v>122159672.96346797</v>
      </c>
      <c r="X897" s="246">
        <f>IFERROR(VLOOKUP(J897,PROGRAMAS[],2,FALSE),0)</f>
        <v>7068496961.0436354</v>
      </c>
      <c r="Y897" s="246">
        <f>IFERROR(VLOOKUP(K897,PROGRAMAS[],2,FALSE),0)</f>
        <v>1892779498.5211046</v>
      </c>
      <c r="Z897" s="246">
        <f>IFERROR(VLOOKUP(L897,PROGRAMAS[],2,FALSE),0)</f>
        <v>0</v>
      </c>
      <c r="AA897" s="246">
        <f>IFERROR(VLOOKUP(M897,PROGRAMAS[],2,FALSE),0)</f>
        <v>0</v>
      </c>
      <c r="AB897" s="246">
        <f>IFERROR(VLOOKUP(N897,PROGRAMAS[],2,FALSE),0)</f>
        <v>0</v>
      </c>
      <c r="AC897" s="246">
        <f>IFERROR(VLOOKUP(O897,PROGRAMAS[],2,FALSE),0)</f>
        <v>0</v>
      </c>
      <c r="AD897" s="246">
        <f>IFERROR(VLOOKUP(P897,PROGRAMAS[],2,FALSE),0)</f>
        <v>0</v>
      </c>
      <c r="AE897" s="246">
        <f>IFERROR(VLOOKUP(Q897,PROGRAMAS[],2,FALSE),0)</f>
        <v>0</v>
      </c>
      <c r="AF897" s="246">
        <f>IFERROR(VLOOKUP(D897,PROGRAMAS[],3,FALSE),0)</f>
        <v>841888629.31080008</v>
      </c>
      <c r="AG897" s="246">
        <f>IFERROR(VLOOKUP(E897,PROGRAMAS[],3,FALSE),0)</f>
        <v>3848980803.1642323</v>
      </c>
      <c r="AH897" s="246">
        <f>IFERROR(VLOOKUP(F897,PROGRAMAS[],3,FALSE),0)</f>
        <v>3394901471.387517</v>
      </c>
      <c r="AI897" s="246">
        <f>IFERROR(VLOOKUP(G897,PROGRAMAS[],3,FALSE),0)</f>
        <v>1233505101.0616004</v>
      </c>
      <c r="AJ897" s="246">
        <f>IFERROR(VLOOKUP(H897,PROGRAMAS[],3,FALSE),0)</f>
        <v>2392571243.5584412</v>
      </c>
      <c r="AK897" s="246">
        <f>IFERROR(VLOOKUP(I897,PROGRAMAS[],3,FALSE),0)</f>
        <v>118617452.52510804</v>
      </c>
      <c r="AL897" s="246">
        <f>IFERROR(VLOOKUP(J897,PROGRAMAS[],3,FALSE),0)</f>
        <v>2406564599.0319901</v>
      </c>
      <c r="AM897" s="246">
        <f>IFERROR(VLOOKUP(K897,PROGRAMAS[],3,FALSE),0)</f>
        <v>948595847.09039903</v>
      </c>
      <c r="AN897" s="246">
        <f>IFERROR(VLOOKUP(L897,PROGRAMAS[],3,FALSE),0)</f>
        <v>0</v>
      </c>
      <c r="AO897" s="246">
        <f>IFERROR(VLOOKUP(M897,PROGRAMAS[],3,FALSE),0)</f>
        <v>0</v>
      </c>
      <c r="AP897" s="246">
        <f>IFERROR(VLOOKUP(N897,PROGRAMAS[],3,FALSE),0)</f>
        <v>0</v>
      </c>
      <c r="AQ897" s="246">
        <f>IFERROR(VLOOKUP(O897,PROGRAMAS[],3,FALSE),0)</f>
        <v>0</v>
      </c>
      <c r="AR897" s="246">
        <f>IFERROR(VLOOKUP(P897,PROGRAMAS[],3,FALSE),0)</f>
        <v>0</v>
      </c>
      <c r="AS897" s="246">
        <f>IFERROR(VLOOKUP(Q897,PROGRAMAS[],3,FALSE),0)</f>
        <v>0</v>
      </c>
      <c r="AT897" s="246">
        <f>IFERROR(VLOOKUP(D897,VOL_REC[],2,FALSE),0)</f>
        <v>0</v>
      </c>
      <c r="AU897" s="246">
        <f>IFERROR(VLOOKUP(E897,VOL_REC[],2,FALSE),0)</f>
        <v>0</v>
      </c>
      <c r="AV897" s="246">
        <f>IFERROR(VLOOKUP(F897,VOL_REC[],2,FALSE),0)</f>
        <v>11089674.200000001</v>
      </c>
      <c r="AW897" s="246">
        <f>IFERROR(VLOOKUP(G897,VOL_REC[],2,FALSE),0)</f>
        <v>4325103.1812214684</v>
      </c>
      <c r="AX897" s="246">
        <f>IFERROR(VLOOKUP(H897,VOL_REC[],2,FALSE),0)</f>
        <v>663244.80000000016</v>
      </c>
      <c r="AY897" s="246">
        <f>IFERROR(VLOOKUP(I897,VOL_REC[],2,FALSE),0)</f>
        <v>105072</v>
      </c>
      <c r="AZ897" s="246">
        <f>IFERROR(VLOOKUP(J897,VOL_REC[],2,FALSE),0)</f>
        <v>1072354.9981737854</v>
      </c>
      <c r="BA897" s="246">
        <f>IFERROR(VLOOKUP(K897,VOL_REC[],2,FALSE),0)</f>
        <v>740113.98115702497</v>
      </c>
      <c r="BB897" s="246">
        <f>IFERROR(VLOOKUP(L897,VOL_REC[],2,FALSE),0)</f>
        <v>0</v>
      </c>
      <c r="BC897" s="246">
        <f>IFERROR(VLOOKUP(M897,VOL_REC[],2,FALSE),0)</f>
        <v>0</v>
      </c>
      <c r="BD897" s="246">
        <f>IFERROR(VLOOKUP(N897,VOL_REC[],2,FALSE),0)</f>
        <v>0</v>
      </c>
      <c r="BE897" s="246">
        <f>IFERROR(VLOOKUP(O897,VOL_REC[],2,FALSE),0)</f>
        <v>0</v>
      </c>
      <c r="BF897" s="246">
        <f>IFERROR(VLOOKUP(P897,VOL_REC[],2,FALSE),0)</f>
        <v>0</v>
      </c>
      <c r="BG897" s="246">
        <f>IFERROR(VLOOKUP(Q897,VOL_REC[],2,FALSE),0)</f>
        <v>0</v>
      </c>
      <c r="BH897" s="1710">
        <f t="shared" si="52"/>
        <v>18100783814.755585</v>
      </c>
      <c r="BI897" s="1710">
        <f t="shared" si="53"/>
        <v>15185625147.130089</v>
      </c>
      <c r="BJ897" s="1711">
        <f t="shared" si="54"/>
        <v>17995563.160552278</v>
      </c>
      <c r="BK897" s="1711">
        <f t="shared" si="55"/>
        <v>1.1919683015602704</v>
      </c>
      <c r="BL897">
        <f>BJ897</f>
        <v>17995563.160552278</v>
      </c>
      <c r="BO897">
        <f>BL897</f>
        <v>17995563.160552278</v>
      </c>
    </row>
    <row r="898" spans="3:67" x14ac:dyDescent="0.25">
      <c r="C898" s="246" t="s">
        <v>2248</v>
      </c>
      <c r="D898" s="246">
        <v>1</v>
      </c>
      <c r="E898" s="246">
        <v>2</v>
      </c>
      <c r="F898" s="246">
        <v>3</v>
      </c>
      <c r="G898" s="246">
        <v>5</v>
      </c>
      <c r="H898" s="246">
        <v>14</v>
      </c>
      <c r="I898" s="246">
        <v>15</v>
      </c>
      <c r="J898" s="246">
        <v>16</v>
      </c>
      <c r="K898" s="246">
        <v>17</v>
      </c>
      <c r="L898" s="246"/>
      <c r="M898" s="246"/>
      <c r="N898" s="246"/>
      <c r="O898" s="246"/>
      <c r="P898" s="246"/>
      <c r="Q898" s="246"/>
      <c r="R898" s="246">
        <f>IFERROR(VLOOKUP(D898,PROGRAMAS[],2,FALSE),0)</f>
        <v>97037803.679377079</v>
      </c>
      <c r="S898" s="246">
        <f>IFERROR(VLOOKUP(E898,PROGRAMAS[],2,FALSE),0)</f>
        <v>640501509.6821388</v>
      </c>
      <c r="T898" s="246">
        <f>IFERROR(VLOOKUP(F898,PROGRAMAS[],2,FALSE),0)</f>
        <v>3062327798.1525245</v>
      </c>
      <c r="U898" s="246">
        <f>IFERROR(VLOOKUP(G898,PROGRAMAS[],2,FALSE),0)</f>
        <v>1440941976.2528784</v>
      </c>
      <c r="V898" s="246">
        <f>IFERROR(VLOOKUP(H898,PROGRAMAS[],2,FALSE),0)</f>
        <v>54223862.645839565</v>
      </c>
      <c r="W898" s="246">
        <f>IFERROR(VLOOKUP(I898,PROGRAMAS[],2,FALSE),0)</f>
        <v>122159672.96346797</v>
      </c>
      <c r="X898" s="246">
        <f>IFERROR(VLOOKUP(J898,PROGRAMAS[],2,FALSE),0)</f>
        <v>7068496961.0436354</v>
      </c>
      <c r="Y898" s="246">
        <f>IFERROR(VLOOKUP(K898,PROGRAMAS[],2,FALSE),0)</f>
        <v>1892779498.5211046</v>
      </c>
      <c r="Z898" s="246">
        <f>IFERROR(VLOOKUP(L898,PROGRAMAS[],2,FALSE),0)</f>
        <v>0</v>
      </c>
      <c r="AA898" s="246">
        <f>IFERROR(VLOOKUP(M898,PROGRAMAS[],2,FALSE),0)</f>
        <v>0</v>
      </c>
      <c r="AB898" s="246">
        <f>IFERROR(VLOOKUP(N898,PROGRAMAS[],2,FALSE),0)</f>
        <v>0</v>
      </c>
      <c r="AC898" s="246">
        <f>IFERROR(VLOOKUP(O898,PROGRAMAS[],2,FALSE),0)</f>
        <v>0</v>
      </c>
      <c r="AD898" s="246">
        <f>IFERROR(VLOOKUP(P898,PROGRAMAS[],2,FALSE),0)</f>
        <v>0</v>
      </c>
      <c r="AE898" s="246">
        <f>IFERROR(VLOOKUP(Q898,PROGRAMAS[],2,FALSE),0)</f>
        <v>0</v>
      </c>
      <c r="AF898" s="246">
        <f>IFERROR(VLOOKUP(D898,PROGRAMAS[],3,FALSE),0)</f>
        <v>841888629.31080008</v>
      </c>
      <c r="AG898" s="246">
        <f>IFERROR(VLOOKUP(E898,PROGRAMAS[],3,FALSE),0)</f>
        <v>3848980803.1642323</v>
      </c>
      <c r="AH898" s="246">
        <f>IFERROR(VLOOKUP(F898,PROGRAMAS[],3,FALSE),0)</f>
        <v>3394901471.387517</v>
      </c>
      <c r="AI898" s="246">
        <f>IFERROR(VLOOKUP(G898,PROGRAMAS[],3,FALSE),0)</f>
        <v>1233505101.0616004</v>
      </c>
      <c r="AJ898" s="246">
        <f>IFERROR(VLOOKUP(H898,PROGRAMAS[],3,FALSE),0)</f>
        <v>31865326.38096505</v>
      </c>
      <c r="AK898" s="246">
        <f>IFERROR(VLOOKUP(I898,PROGRAMAS[],3,FALSE),0)</f>
        <v>118617452.52510804</v>
      </c>
      <c r="AL898" s="246">
        <f>IFERROR(VLOOKUP(J898,PROGRAMAS[],3,FALSE),0)</f>
        <v>2406564599.0319901</v>
      </c>
      <c r="AM898" s="246">
        <f>IFERROR(VLOOKUP(K898,PROGRAMAS[],3,FALSE),0)</f>
        <v>948595847.09039903</v>
      </c>
      <c r="AN898" s="246">
        <f>IFERROR(VLOOKUP(L898,PROGRAMAS[],3,FALSE),0)</f>
        <v>0</v>
      </c>
      <c r="AO898" s="246">
        <f>IFERROR(VLOOKUP(M898,PROGRAMAS[],3,FALSE),0)</f>
        <v>0</v>
      </c>
      <c r="AP898" s="246">
        <f>IFERROR(VLOOKUP(N898,PROGRAMAS[],3,FALSE),0)</f>
        <v>0</v>
      </c>
      <c r="AQ898" s="246">
        <f>IFERROR(VLOOKUP(O898,PROGRAMAS[],3,FALSE),0)</f>
        <v>0</v>
      </c>
      <c r="AR898" s="246">
        <f>IFERROR(VLOOKUP(P898,PROGRAMAS[],3,FALSE),0)</f>
        <v>0</v>
      </c>
      <c r="AS898" s="246">
        <f>IFERROR(VLOOKUP(Q898,PROGRAMAS[],3,FALSE),0)</f>
        <v>0</v>
      </c>
      <c r="AT898" s="246">
        <f>IFERROR(VLOOKUP(D898,VOL_REC[],2,FALSE),0)</f>
        <v>0</v>
      </c>
      <c r="AU898" s="246">
        <f>IFERROR(VLOOKUP(E898,VOL_REC[],2,FALSE),0)</f>
        <v>0</v>
      </c>
      <c r="AV898" s="246">
        <f>IFERROR(VLOOKUP(F898,VOL_REC[],2,FALSE),0)</f>
        <v>11089674.200000001</v>
      </c>
      <c r="AW898" s="246">
        <f>IFERROR(VLOOKUP(G898,VOL_REC[],2,FALSE),0)</f>
        <v>4325103.1812214684</v>
      </c>
      <c r="AX898" s="246">
        <f>IFERROR(VLOOKUP(H898,VOL_REC[],2,FALSE),0)</f>
        <v>17074.045034105649</v>
      </c>
      <c r="AY898" s="246">
        <f>IFERROR(VLOOKUP(I898,VOL_REC[],2,FALSE),0)</f>
        <v>105072</v>
      </c>
      <c r="AZ898" s="246">
        <f>IFERROR(VLOOKUP(J898,VOL_REC[],2,FALSE),0)</f>
        <v>1072354.9981737854</v>
      </c>
      <c r="BA898" s="246">
        <f>IFERROR(VLOOKUP(K898,VOL_REC[],2,FALSE),0)</f>
        <v>740113.98115702497</v>
      </c>
      <c r="BB898" s="246">
        <f>IFERROR(VLOOKUP(L898,VOL_REC[],2,FALSE),0)</f>
        <v>0</v>
      </c>
      <c r="BC898" s="246">
        <f>IFERROR(VLOOKUP(M898,VOL_REC[],2,FALSE),0)</f>
        <v>0</v>
      </c>
      <c r="BD898" s="246">
        <f>IFERROR(VLOOKUP(N898,VOL_REC[],2,FALSE),0)</f>
        <v>0</v>
      </c>
      <c r="BE898" s="246">
        <f>IFERROR(VLOOKUP(O898,VOL_REC[],2,FALSE),0)</f>
        <v>0</v>
      </c>
      <c r="BF898" s="246">
        <f>IFERROR(VLOOKUP(P898,VOL_REC[],2,FALSE),0)</f>
        <v>0</v>
      </c>
      <c r="BG898" s="246">
        <f>IFERROR(VLOOKUP(Q898,VOL_REC[],2,FALSE),0)</f>
        <v>0</v>
      </c>
      <c r="BH898" s="1710">
        <f t="shared" ref="BH898:BH961" si="56">SUM(R898:AE898)</f>
        <v>14378469082.940966</v>
      </c>
      <c r="BI898" s="1710">
        <f t="shared" ref="BI898:BI961" si="57">SUM(AF898:AS898)</f>
        <v>12824919229.952612</v>
      </c>
      <c r="BJ898" s="1711">
        <f t="shared" ref="BJ898:BJ961" si="58">SUM(AT898:BG898)</f>
        <v>17349392.405586384</v>
      </c>
      <c r="BK898" s="1711">
        <f t="shared" ref="BK898:BK961" si="59">IFERROR(BH898/BI898,0)</f>
        <v>1.1211352543538859</v>
      </c>
      <c r="BL898">
        <f>BJ898</f>
        <v>17349392.405586384</v>
      </c>
      <c r="BO898">
        <f>BL898</f>
        <v>17349392.405586384</v>
      </c>
    </row>
    <row r="899" spans="3:67" x14ac:dyDescent="0.25">
      <c r="C899" s="246" t="s">
        <v>2249</v>
      </c>
      <c r="D899" s="246">
        <v>1</v>
      </c>
      <c r="E899" s="246">
        <v>2</v>
      </c>
      <c r="F899" s="246">
        <v>3</v>
      </c>
      <c r="G899" s="246">
        <v>6</v>
      </c>
      <c r="H899" s="246">
        <v>9</v>
      </c>
      <c r="I899" s="246">
        <v>10</v>
      </c>
      <c r="J899" s="246">
        <v>12</v>
      </c>
      <c r="K899" s="246">
        <v>13</v>
      </c>
      <c r="L899" s="246"/>
      <c r="M899" s="246"/>
      <c r="N899" s="246"/>
      <c r="O899" s="246"/>
      <c r="P899" s="246"/>
      <c r="Q899" s="246"/>
      <c r="R899" s="246">
        <f>IFERROR(VLOOKUP(D899,PROGRAMAS[],2,FALSE),0)</f>
        <v>97037803.679377079</v>
      </c>
      <c r="S899" s="246">
        <f>IFERROR(VLOOKUP(E899,PROGRAMAS[],2,FALSE),0)</f>
        <v>640501509.6821388</v>
      </c>
      <c r="T899" s="246">
        <f>IFERROR(VLOOKUP(F899,PROGRAMAS[],2,FALSE),0)</f>
        <v>3062327798.1525245</v>
      </c>
      <c r="U899" s="246">
        <f>IFERROR(VLOOKUP(G899,PROGRAMAS[],2,FALSE),0)</f>
        <v>6907648435.8447599</v>
      </c>
      <c r="V899" s="246">
        <f>IFERROR(VLOOKUP(H899,PROGRAMAS[],2,FALSE),0)</f>
        <v>6128579952.1618185</v>
      </c>
      <c r="W899" s="246">
        <f>IFERROR(VLOOKUP(I899,PROGRAMAS[],2,FALSE),0)</f>
        <v>4635315027.8751087</v>
      </c>
      <c r="X899" s="246">
        <f>IFERROR(VLOOKUP(J899,PROGRAMAS[],2,FALSE),0)</f>
        <v>764796700.79905891</v>
      </c>
      <c r="Y899" s="246">
        <f>IFERROR(VLOOKUP(K899,PROGRAMAS[],2,FALSE),0)</f>
        <v>3776538594.4604583</v>
      </c>
      <c r="Z899" s="246">
        <f>IFERROR(VLOOKUP(L899,PROGRAMAS[],2,FALSE),0)</f>
        <v>0</v>
      </c>
      <c r="AA899" s="246">
        <f>IFERROR(VLOOKUP(M899,PROGRAMAS[],2,FALSE),0)</f>
        <v>0</v>
      </c>
      <c r="AB899" s="246">
        <f>IFERROR(VLOOKUP(N899,PROGRAMAS[],2,FALSE),0)</f>
        <v>0</v>
      </c>
      <c r="AC899" s="246">
        <f>IFERROR(VLOOKUP(O899,PROGRAMAS[],2,FALSE),0)</f>
        <v>0</v>
      </c>
      <c r="AD899" s="246">
        <f>IFERROR(VLOOKUP(P899,PROGRAMAS[],2,FALSE),0)</f>
        <v>0</v>
      </c>
      <c r="AE899" s="246">
        <f>IFERROR(VLOOKUP(Q899,PROGRAMAS[],2,FALSE),0)</f>
        <v>0</v>
      </c>
      <c r="AF899" s="246">
        <f>IFERROR(VLOOKUP(D899,PROGRAMAS[],3,FALSE),0)</f>
        <v>841888629.31080008</v>
      </c>
      <c r="AG899" s="246">
        <f>IFERROR(VLOOKUP(E899,PROGRAMAS[],3,FALSE),0)</f>
        <v>3848980803.1642323</v>
      </c>
      <c r="AH899" s="246">
        <f>IFERROR(VLOOKUP(F899,PROGRAMAS[],3,FALSE),0)</f>
        <v>3394901471.387517</v>
      </c>
      <c r="AI899" s="246">
        <f>IFERROR(VLOOKUP(G899,PROGRAMAS[],3,FALSE),0)</f>
        <v>6129902208.7912121</v>
      </c>
      <c r="AJ899" s="246">
        <f>IFERROR(VLOOKUP(H899,PROGRAMAS[],3,FALSE),0)</f>
        <v>7011279577.519702</v>
      </c>
      <c r="AK899" s="246">
        <f>IFERROR(VLOOKUP(I899,PROGRAMAS[],3,FALSE),0)</f>
        <v>4099471734.9978786</v>
      </c>
      <c r="AL899" s="246">
        <f>IFERROR(VLOOKUP(J899,PROGRAMAS[],3,FALSE),0)</f>
        <v>675517840.109828</v>
      </c>
      <c r="AM899" s="246">
        <f>IFERROR(VLOOKUP(K899,PROGRAMAS[],3,FALSE),0)</f>
        <v>2392571243.5584412</v>
      </c>
      <c r="AN899" s="246">
        <f>IFERROR(VLOOKUP(L899,PROGRAMAS[],3,FALSE),0)</f>
        <v>0</v>
      </c>
      <c r="AO899" s="246">
        <f>IFERROR(VLOOKUP(M899,PROGRAMAS[],3,FALSE),0)</f>
        <v>0</v>
      </c>
      <c r="AP899" s="246">
        <f>IFERROR(VLOOKUP(N899,PROGRAMAS[],3,FALSE),0)</f>
        <v>0</v>
      </c>
      <c r="AQ899" s="246">
        <f>IFERROR(VLOOKUP(O899,PROGRAMAS[],3,FALSE),0)</f>
        <v>0</v>
      </c>
      <c r="AR899" s="246">
        <f>IFERROR(VLOOKUP(P899,PROGRAMAS[],3,FALSE),0)</f>
        <v>0</v>
      </c>
      <c r="AS899" s="246">
        <f>IFERROR(VLOOKUP(Q899,PROGRAMAS[],3,FALSE),0)</f>
        <v>0</v>
      </c>
      <c r="AT899" s="246">
        <f>IFERROR(VLOOKUP(D899,VOL_REC[],2,FALSE),0)</f>
        <v>0</v>
      </c>
      <c r="AU899" s="246">
        <f>IFERROR(VLOOKUP(E899,VOL_REC[],2,FALSE),0)</f>
        <v>0</v>
      </c>
      <c r="AV899" s="246">
        <f>IFERROR(VLOOKUP(F899,VOL_REC[],2,FALSE),0)</f>
        <v>11089674.200000001</v>
      </c>
      <c r="AW899" s="246">
        <f>IFERROR(VLOOKUP(G899,VOL_REC[],2,FALSE),0)</f>
        <v>15540036.397699751</v>
      </c>
      <c r="AX899" s="246">
        <f>IFERROR(VLOOKUP(H899,VOL_REC[],2,FALSE),0)</f>
        <v>3761786</v>
      </c>
      <c r="AY899" s="246">
        <f>IFERROR(VLOOKUP(I899,VOL_REC[],2,FALSE),0)</f>
        <v>1812240</v>
      </c>
      <c r="AZ899" s="246">
        <f>IFERROR(VLOOKUP(J899,VOL_REC[],2,FALSE),0)</f>
        <v>240696.79238099116</v>
      </c>
      <c r="BA899" s="246">
        <f>IFERROR(VLOOKUP(K899,VOL_REC[],2,FALSE),0)</f>
        <v>663244.80000000016</v>
      </c>
      <c r="BB899" s="246">
        <f>IFERROR(VLOOKUP(L899,VOL_REC[],2,FALSE),0)</f>
        <v>0</v>
      </c>
      <c r="BC899" s="246">
        <f>IFERROR(VLOOKUP(M899,VOL_REC[],2,FALSE),0)</f>
        <v>0</v>
      </c>
      <c r="BD899" s="246">
        <f>IFERROR(VLOOKUP(N899,VOL_REC[],2,FALSE),0)</f>
        <v>0</v>
      </c>
      <c r="BE899" s="246">
        <f>IFERROR(VLOOKUP(O899,VOL_REC[],2,FALSE),0)</f>
        <v>0</v>
      </c>
      <c r="BF899" s="246">
        <f>IFERROR(VLOOKUP(P899,VOL_REC[],2,FALSE),0)</f>
        <v>0</v>
      </c>
      <c r="BG899" s="246">
        <f>IFERROR(VLOOKUP(Q899,VOL_REC[],2,FALSE),0)</f>
        <v>0</v>
      </c>
      <c r="BH899" s="1710">
        <f t="shared" si="56"/>
        <v>26012745822.655243</v>
      </c>
      <c r="BI899" s="1710">
        <f t="shared" si="57"/>
        <v>28394513508.839615</v>
      </c>
      <c r="BJ899" s="1711">
        <f t="shared" si="58"/>
        <v>33107678.190080747</v>
      </c>
      <c r="BK899" s="1711">
        <f t="shared" si="59"/>
        <v>0.91611873591555304</v>
      </c>
    </row>
    <row r="900" spans="3:67" x14ac:dyDescent="0.25">
      <c r="C900" s="246" t="s">
        <v>2250</v>
      </c>
      <c r="D900" s="246">
        <v>1</v>
      </c>
      <c r="E900" s="246">
        <v>2</v>
      </c>
      <c r="F900" s="246">
        <v>3</v>
      </c>
      <c r="G900" s="246">
        <v>6</v>
      </c>
      <c r="H900" s="246">
        <v>9</v>
      </c>
      <c r="I900" s="246">
        <v>10</v>
      </c>
      <c r="J900" s="246">
        <v>12</v>
      </c>
      <c r="K900" s="246">
        <v>14</v>
      </c>
      <c r="L900" s="246"/>
      <c r="M900" s="246"/>
      <c r="N900" s="246"/>
      <c r="O900" s="246"/>
      <c r="P900" s="246"/>
      <c r="Q900" s="246"/>
      <c r="R900" s="246">
        <f>IFERROR(VLOOKUP(D900,PROGRAMAS[],2,FALSE),0)</f>
        <v>97037803.679377079</v>
      </c>
      <c r="S900" s="246">
        <f>IFERROR(VLOOKUP(E900,PROGRAMAS[],2,FALSE),0)</f>
        <v>640501509.6821388</v>
      </c>
      <c r="T900" s="246">
        <f>IFERROR(VLOOKUP(F900,PROGRAMAS[],2,FALSE),0)</f>
        <v>3062327798.1525245</v>
      </c>
      <c r="U900" s="246">
        <f>IFERROR(VLOOKUP(G900,PROGRAMAS[],2,FALSE),0)</f>
        <v>6907648435.8447599</v>
      </c>
      <c r="V900" s="246">
        <f>IFERROR(VLOOKUP(H900,PROGRAMAS[],2,FALSE),0)</f>
        <v>6128579952.1618185</v>
      </c>
      <c r="W900" s="246">
        <f>IFERROR(VLOOKUP(I900,PROGRAMAS[],2,FALSE),0)</f>
        <v>4635315027.8751087</v>
      </c>
      <c r="X900" s="246">
        <f>IFERROR(VLOOKUP(J900,PROGRAMAS[],2,FALSE),0)</f>
        <v>764796700.79905891</v>
      </c>
      <c r="Y900" s="246">
        <f>IFERROR(VLOOKUP(K900,PROGRAMAS[],2,FALSE),0)</f>
        <v>54223862.645839565</v>
      </c>
      <c r="Z900" s="246">
        <f>IFERROR(VLOOKUP(L900,PROGRAMAS[],2,FALSE),0)</f>
        <v>0</v>
      </c>
      <c r="AA900" s="246">
        <f>IFERROR(VLOOKUP(M900,PROGRAMAS[],2,FALSE),0)</f>
        <v>0</v>
      </c>
      <c r="AB900" s="246">
        <f>IFERROR(VLOOKUP(N900,PROGRAMAS[],2,FALSE),0)</f>
        <v>0</v>
      </c>
      <c r="AC900" s="246">
        <f>IFERROR(VLOOKUP(O900,PROGRAMAS[],2,FALSE),0)</f>
        <v>0</v>
      </c>
      <c r="AD900" s="246">
        <f>IFERROR(VLOOKUP(P900,PROGRAMAS[],2,FALSE),0)</f>
        <v>0</v>
      </c>
      <c r="AE900" s="246">
        <f>IFERROR(VLOOKUP(Q900,PROGRAMAS[],2,FALSE),0)</f>
        <v>0</v>
      </c>
      <c r="AF900" s="246">
        <f>IFERROR(VLOOKUP(D900,PROGRAMAS[],3,FALSE),0)</f>
        <v>841888629.31080008</v>
      </c>
      <c r="AG900" s="246">
        <f>IFERROR(VLOOKUP(E900,PROGRAMAS[],3,FALSE),0)</f>
        <v>3848980803.1642323</v>
      </c>
      <c r="AH900" s="246">
        <f>IFERROR(VLOOKUP(F900,PROGRAMAS[],3,FALSE),0)</f>
        <v>3394901471.387517</v>
      </c>
      <c r="AI900" s="246">
        <f>IFERROR(VLOOKUP(G900,PROGRAMAS[],3,FALSE),0)</f>
        <v>6129902208.7912121</v>
      </c>
      <c r="AJ900" s="246">
        <f>IFERROR(VLOOKUP(H900,PROGRAMAS[],3,FALSE),0)</f>
        <v>7011279577.519702</v>
      </c>
      <c r="AK900" s="246">
        <f>IFERROR(VLOOKUP(I900,PROGRAMAS[],3,FALSE),0)</f>
        <v>4099471734.9978786</v>
      </c>
      <c r="AL900" s="246">
        <f>IFERROR(VLOOKUP(J900,PROGRAMAS[],3,FALSE),0)</f>
        <v>675517840.109828</v>
      </c>
      <c r="AM900" s="246">
        <f>IFERROR(VLOOKUP(K900,PROGRAMAS[],3,FALSE),0)</f>
        <v>31865326.38096505</v>
      </c>
      <c r="AN900" s="246">
        <f>IFERROR(VLOOKUP(L900,PROGRAMAS[],3,FALSE),0)</f>
        <v>0</v>
      </c>
      <c r="AO900" s="246">
        <f>IFERROR(VLOOKUP(M900,PROGRAMAS[],3,FALSE),0)</f>
        <v>0</v>
      </c>
      <c r="AP900" s="246">
        <f>IFERROR(VLOOKUP(N900,PROGRAMAS[],3,FALSE),0)</f>
        <v>0</v>
      </c>
      <c r="AQ900" s="246">
        <f>IFERROR(VLOOKUP(O900,PROGRAMAS[],3,FALSE),0)</f>
        <v>0</v>
      </c>
      <c r="AR900" s="246">
        <f>IFERROR(VLOOKUP(P900,PROGRAMAS[],3,FALSE),0)</f>
        <v>0</v>
      </c>
      <c r="AS900" s="246">
        <f>IFERROR(VLOOKUP(Q900,PROGRAMAS[],3,FALSE),0)</f>
        <v>0</v>
      </c>
      <c r="AT900" s="246">
        <f>IFERROR(VLOOKUP(D900,VOL_REC[],2,FALSE),0)</f>
        <v>0</v>
      </c>
      <c r="AU900" s="246">
        <f>IFERROR(VLOOKUP(E900,VOL_REC[],2,FALSE),0)</f>
        <v>0</v>
      </c>
      <c r="AV900" s="246">
        <f>IFERROR(VLOOKUP(F900,VOL_REC[],2,FALSE),0)</f>
        <v>11089674.200000001</v>
      </c>
      <c r="AW900" s="246">
        <f>IFERROR(VLOOKUP(G900,VOL_REC[],2,FALSE),0)</f>
        <v>15540036.397699751</v>
      </c>
      <c r="AX900" s="246">
        <f>IFERROR(VLOOKUP(H900,VOL_REC[],2,FALSE),0)</f>
        <v>3761786</v>
      </c>
      <c r="AY900" s="246">
        <f>IFERROR(VLOOKUP(I900,VOL_REC[],2,FALSE),0)</f>
        <v>1812240</v>
      </c>
      <c r="AZ900" s="246">
        <f>IFERROR(VLOOKUP(J900,VOL_REC[],2,FALSE),0)</f>
        <v>240696.79238099116</v>
      </c>
      <c r="BA900" s="246">
        <f>IFERROR(VLOOKUP(K900,VOL_REC[],2,FALSE),0)</f>
        <v>17074.045034105649</v>
      </c>
      <c r="BB900" s="246">
        <f>IFERROR(VLOOKUP(L900,VOL_REC[],2,FALSE),0)</f>
        <v>0</v>
      </c>
      <c r="BC900" s="246">
        <f>IFERROR(VLOOKUP(M900,VOL_REC[],2,FALSE),0)</f>
        <v>0</v>
      </c>
      <c r="BD900" s="246">
        <f>IFERROR(VLOOKUP(N900,VOL_REC[],2,FALSE),0)</f>
        <v>0</v>
      </c>
      <c r="BE900" s="246">
        <f>IFERROR(VLOOKUP(O900,VOL_REC[],2,FALSE),0)</f>
        <v>0</v>
      </c>
      <c r="BF900" s="246">
        <f>IFERROR(VLOOKUP(P900,VOL_REC[],2,FALSE),0)</f>
        <v>0</v>
      </c>
      <c r="BG900" s="246">
        <f>IFERROR(VLOOKUP(Q900,VOL_REC[],2,FALSE),0)</f>
        <v>0</v>
      </c>
      <c r="BH900" s="1710">
        <f t="shared" si="56"/>
        <v>22290431090.840626</v>
      </c>
      <c r="BI900" s="1710">
        <f t="shared" si="57"/>
        <v>26033807591.66214</v>
      </c>
      <c r="BJ900" s="1711">
        <f t="shared" si="58"/>
        <v>32461507.435114853</v>
      </c>
      <c r="BK900" s="1711">
        <f t="shared" si="59"/>
        <v>0.85621094848913271</v>
      </c>
    </row>
    <row r="901" spans="3:67" x14ac:dyDescent="0.25">
      <c r="C901" s="246" t="s">
        <v>2251</v>
      </c>
      <c r="D901" s="246">
        <v>1</v>
      </c>
      <c r="E901" s="246">
        <v>2</v>
      </c>
      <c r="F901" s="246">
        <v>3</v>
      </c>
      <c r="G901" s="246">
        <v>6</v>
      </c>
      <c r="H901" s="246">
        <v>9</v>
      </c>
      <c r="I901" s="246">
        <v>10</v>
      </c>
      <c r="J901" s="246">
        <v>12</v>
      </c>
      <c r="K901" s="246">
        <v>15</v>
      </c>
      <c r="L901" s="246"/>
      <c r="M901" s="246"/>
      <c r="N901" s="246"/>
      <c r="O901" s="246"/>
      <c r="P901" s="246"/>
      <c r="Q901" s="246"/>
      <c r="R901" s="246">
        <f>IFERROR(VLOOKUP(D901,PROGRAMAS[],2,FALSE),0)</f>
        <v>97037803.679377079</v>
      </c>
      <c r="S901" s="246">
        <f>IFERROR(VLOOKUP(E901,PROGRAMAS[],2,FALSE),0)</f>
        <v>640501509.6821388</v>
      </c>
      <c r="T901" s="246">
        <f>IFERROR(VLOOKUP(F901,PROGRAMAS[],2,FALSE),0)</f>
        <v>3062327798.1525245</v>
      </c>
      <c r="U901" s="246">
        <f>IFERROR(VLOOKUP(G901,PROGRAMAS[],2,FALSE),0)</f>
        <v>6907648435.8447599</v>
      </c>
      <c r="V901" s="246">
        <f>IFERROR(VLOOKUP(H901,PROGRAMAS[],2,FALSE),0)</f>
        <v>6128579952.1618185</v>
      </c>
      <c r="W901" s="246">
        <f>IFERROR(VLOOKUP(I901,PROGRAMAS[],2,FALSE),0)</f>
        <v>4635315027.8751087</v>
      </c>
      <c r="X901" s="246">
        <f>IFERROR(VLOOKUP(J901,PROGRAMAS[],2,FALSE),0)</f>
        <v>764796700.79905891</v>
      </c>
      <c r="Y901" s="246">
        <f>IFERROR(VLOOKUP(K901,PROGRAMAS[],2,FALSE),0)</f>
        <v>122159672.96346797</v>
      </c>
      <c r="Z901" s="246">
        <f>IFERROR(VLOOKUP(L901,PROGRAMAS[],2,FALSE),0)</f>
        <v>0</v>
      </c>
      <c r="AA901" s="246">
        <f>IFERROR(VLOOKUP(M901,PROGRAMAS[],2,FALSE),0)</f>
        <v>0</v>
      </c>
      <c r="AB901" s="246">
        <f>IFERROR(VLOOKUP(N901,PROGRAMAS[],2,FALSE),0)</f>
        <v>0</v>
      </c>
      <c r="AC901" s="246">
        <f>IFERROR(VLOOKUP(O901,PROGRAMAS[],2,FALSE),0)</f>
        <v>0</v>
      </c>
      <c r="AD901" s="246">
        <f>IFERROR(VLOOKUP(P901,PROGRAMAS[],2,FALSE),0)</f>
        <v>0</v>
      </c>
      <c r="AE901" s="246">
        <f>IFERROR(VLOOKUP(Q901,PROGRAMAS[],2,FALSE),0)</f>
        <v>0</v>
      </c>
      <c r="AF901" s="246">
        <f>IFERROR(VLOOKUP(D901,PROGRAMAS[],3,FALSE),0)</f>
        <v>841888629.31080008</v>
      </c>
      <c r="AG901" s="246">
        <f>IFERROR(VLOOKUP(E901,PROGRAMAS[],3,FALSE),0)</f>
        <v>3848980803.1642323</v>
      </c>
      <c r="AH901" s="246">
        <f>IFERROR(VLOOKUP(F901,PROGRAMAS[],3,FALSE),0)</f>
        <v>3394901471.387517</v>
      </c>
      <c r="AI901" s="246">
        <f>IFERROR(VLOOKUP(G901,PROGRAMAS[],3,FALSE),0)</f>
        <v>6129902208.7912121</v>
      </c>
      <c r="AJ901" s="246">
        <f>IFERROR(VLOOKUP(H901,PROGRAMAS[],3,FALSE),0)</f>
        <v>7011279577.519702</v>
      </c>
      <c r="AK901" s="246">
        <f>IFERROR(VLOOKUP(I901,PROGRAMAS[],3,FALSE),0)</f>
        <v>4099471734.9978786</v>
      </c>
      <c r="AL901" s="246">
        <f>IFERROR(VLOOKUP(J901,PROGRAMAS[],3,FALSE),0)</f>
        <v>675517840.109828</v>
      </c>
      <c r="AM901" s="246">
        <f>IFERROR(VLOOKUP(K901,PROGRAMAS[],3,FALSE),0)</f>
        <v>118617452.52510804</v>
      </c>
      <c r="AN901" s="246">
        <f>IFERROR(VLOOKUP(L901,PROGRAMAS[],3,FALSE),0)</f>
        <v>0</v>
      </c>
      <c r="AO901" s="246">
        <f>IFERROR(VLOOKUP(M901,PROGRAMAS[],3,FALSE),0)</f>
        <v>0</v>
      </c>
      <c r="AP901" s="246">
        <f>IFERROR(VLOOKUP(N901,PROGRAMAS[],3,FALSE),0)</f>
        <v>0</v>
      </c>
      <c r="AQ901" s="246">
        <f>IFERROR(VLOOKUP(O901,PROGRAMAS[],3,FALSE),0)</f>
        <v>0</v>
      </c>
      <c r="AR901" s="246">
        <f>IFERROR(VLOOKUP(P901,PROGRAMAS[],3,FALSE),0)</f>
        <v>0</v>
      </c>
      <c r="AS901" s="246">
        <f>IFERROR(VLOOKUP(Q901,PROGRAMAS[],3,FALSE),0)</f>
        <v>0</v>
      </c>
      <c r="AT901" s="246">
        <f>IFERROR(VLOOKUP(D901,VOL_REC[],2,FALSE),0)</f>
        <v>0</v>
      </c>
      <c r="AU901" s="246">
        <f>IFERROR(VLOOKUP(E901,VOL_REC[],2,FALSE),0)</f>
        <v>0</v>
      </c>
      <c r="AV901" s="246">
        <f>IFERROR(VLOOKUP(F901,VOL_REC[],2,FALSE),0)</f>
        <v>11089674.200000001</v>
      </c>
      <c r="AW901" s="246">
        <f>IFERROR(VLOOKUP(G901,VOL_REC[],2,FALSE),0)</f>
        <v>15540036.397699751</v>
      </c>
      <c r="AX901" s="246">
        <f>IFERROR(VLOOKUP(H901,VOL_REC[],2,FALSE),0)</f>
        <v>3761786</v>
      </c>
      <c r="AY901" s="246">
        <f>IFERROR(VLOOKUP(I901,VOL_REC[],2,FALSE),0)</f>
        <v>1812240</v>
      </c>
      <c r="AZ901" s="246">
        <f>IFERROR(VLOOKUP(J901,VOL_REC[],2,FALSE),0)</f>
        <v>240696.79238099116</v>
      </c>
      <c r="BA901" s="246">
        <f>IFERROR(VLOOKUP(K901,VOL_REC[],2,FALSE),0)</f>
        <v>105072</v>
      </c>
      <c r="BB901" s="246">
        <f>IFERROR(VLOOKUP(L901,VOL_REC[],2,FALSE),0)</f>
        <v>0</v>
      </c>
      <c r="BC901" s="246">
        <f>IFERROR(VLOOKUP(M901,VOL_REC[],2,FALSE),0)</f>
        <v>0</v>
      </c>
      <c r="BD901" s="246">
        <f>IFERROR(VLOOKUP(N901,VOL_REC[],2,FALSE),0)</f>
        <v>0</v>
      </c>
      <c r="BE901" s="246">
        <f>IFERROR(VLOOKUP(O901,VOL_REC[],2,FALSE),0)</f>
        <v>0</v>
      </c>
      <c r="BF901" s="246">
        <f>IFERROR(VLOOKUP(P901,VOL_REC[],2,FALSE),0)</f>
        <v>0</v>
      </c>
      <c r="BG901" s="246">
        <f>IFERROR(VLOOKUP(Q901,VOL_REC[],2,FALSE),0)</f>
        <v>0</v>
      </c>
      <c r="BH901" s="1710">
        <f t="shared" si="56"/>
        <v>22358366901.158253</v>
      </c>
      <c r="BI901" s="1710">
        <f t="shared" si="57"/>
        <v>26120559717.806282</v>
      </c>
      <c r="BJ901" s="1711">
        <f t="shared" si="58"/>
        <v>32549505.390080746</v>
      </c>
      <c r="BK901" s="1711">
        <f t="shared" si="59"/>
        <v>0.85596813937783434</v>
      </c>
    </row>
    <row r="902" spans="3:67" x14ac:dyDescent="0.25">
      <c r="C902" s="246" t="s">
        <v>2252</v>
      </c>
      <c r="D902" s="246">
        <v>1</v>
      </c>
      <c r="E902" s="246">
        <v>2</v>
      </c>
      <c r="F902" s="246">
        <v>3</v>
      </c>
      <c r="G902" s="246">
        <v>6</v>
      </c>
      <c r="H902" s="246">
        <v>9</v>
      </c>
      <c r="I902" s="246">
        <v>10</v>
      </c>
      <c r="J902" s="246">
        <v>12</v>
      </c>
      <c r="K902" s="246">
        <v>16</v>
      </c>
      <c r="L902" s="246"/>
      <c r="M902" s="246"/>
      <c r="N902" s="246"/>
      <c r="O902" s="246"/>
      <c r="P902" s="246"/>
      <c r="Q902" s="246"/>
      <c r="R902" s="246">
        <f>IFERROR(VLOOKUP(D902,PROGRAMAS[],2,FALSE),0)</f>
        <v>97037803.679377079</v>
      </c>
      <c r="S902" s="246">
        <f>IFERROR(VLOOKUP(E902,PROGRAMAS[],2,FALSE),0)</f>
        <v>640501509.6821388</v>
      </c>
      <c r="T902" s="246">
        <f>IFERROR(VLOOKUP(F902,PROGRAMAS[],2,FALSE),0)</f>
        <v>3062327798.1525245</v>
      </c>
      <c r="U902" s="246">
        <f>IFERROR(VLOOKUP(G902,PROGRAMAS[],2,FALSE),0)</f>
        <v>6907648435.8447599</v>
      </c>
      <c r="V902" s="246">
        <f>IFERROR(VLOOKUP(H902,PROGRAMAS[],2,FALSE),0)</f>
        <v>6128579952.1618185</v>
      </c>
      <c r="W902" s="246">
        <f>IFERROR(VLOOKUP(I902,PROGRAMAS[],2,FALSE),0)</f>
        <v>4635315027.8751087</v>
      </c>
      <c r="X902" s="246">
        <f>IFERROR(VLOOKUP(J902,PROGRAMAS[],2,FALSE),0)</f>
        <v>764796700.79905891</v>
      </c>
      <c r="Y902" s="246">
        <f>IFERROR(VLOOKUP(K902,PROGRAMAS[],2,FALSE),0)</f>
        <v>7068496961.0436354</v>
      </c>
      <c r="Z902" s="246">
        <f>IFERROR(VLOOKUP(L902,PROGRAMAS[],2,FALSE),0)</f>
        <v>0</v>
      </c>
      <c r="AA902" s="246">
        <f>IFERROR(VLOOKUP(M902,PROGRAMAS[],2,FALSE),0)</f>
        <v>0</v>
      </c>
      <c r="AB902" s="246">
        <f>IFERROR(VLOOKUP(N902,PROGRAMAS[],2,FALSE),0)</f>
        <v>0</v>
      </c>
      <c r="AC902" s="246">
        <f>IFERROR(VLOOKUP(O902,PROGRAMAS[],2,FALSE),0)</f>
        <v>0</v>
      </c>
      <c r="AD902" s="246">
        <f>IFERROR(VLOOKUP(P902,PROGRAMAS[],2,FALSE),0)</f>
        <v>0</v>
      </c>
      <c r="AE902" s="246">
        <f>IFERROR(VLOOKUP(Q902,PROGRAMAS[],2,FALSE),0)</f>
        <v>0</v>
      </c>
      <c r="AF902" s="246">
        <f>IFERROR(VLOOKUP(D902,PROGRAMAS[],3,FALSE),0)</f>
        <v>841888629.31080008</v>
      </c>
      <c r="AG902" s="246">
        <f>IFERROR(VLOOKUP(E902,PROGRAMAS[],3,FALSE),0)</f>
        <v>3848980803.1642323</v>
      </c>
      <c r="AH902" s="246">
        <f>IFERROR(VLOOKUP(F902,PROGRAMAS[],3,FALSE),0)</f>
        <v>3394901471.387517</v>
      </c>
      <c r="AI902" s="246">
        <f>IFERROR(VLOOKUP(G902,PROGRAMAS[],3,FALSE),0)</f>
        <v>6129902208.7912121</v>
      </c>
      <c r="AJ902" s="246">
        <f>IFERROR(VLOOKUP(H902,PROGRAMAS[],3,FALSE),0)</f>
        <v>7011279577.519702</v>
      </c>
      <c r="AK902" s="246">
        <f>IFERROR(VLOOKUP(I902,PROGRAMAS[],3,FALSE),0)</f>
        <v>4099471734.9978786</v>
      </c>
      <c r="AL902" s="246">
        <f>IFERROR(VLOOKUP(J902,PROGRAMAS[],3,FALSE),0)</f>
        <v>675517840.109828</v>
      </c>
      <c r="AM902" s="246">
        <f>IFERROR(VLOOKUP(K902,PROGRAMAS[],3,FALSE),0)</f>
        <v>2406564599.0319901</v>
      </c>
      <c r="AN902" s="246">
        <f>IFERROR(VLOOKUP(L902,PROGRAMAS[],3,FALSE),0)</f>
        <v>0</v>
      </c>
      <c r="AO902" s="246">
        <f>IFERROR(VLOOKUP(M902,PROGRAMAS[],3,FALSE),0)</f>
        <v>0</v>
      </c>
      <c r="AP902" s="246">
        <f>IFERROR(VLOOKUP(N902,PROGRAMAS[],3,FALSE),0)</f>
        <v>0</v>
      </c>
      <c r="AQ902" s="246">
        <f>IFERROR(VLOOKUP(O902,PROGRAMAS[],3,FALSE),0)</f>
        <v>0</v>
      </c>
      <c r="AR902" s="246">
        <f>IFERROR(VLOOKUP(P902,PROGRAMAS[],3,FALSE),0)</f>
        <v>0</v>
      </c>
      <c r="AS902" s="246">
        <f>IFERROR(VLOOKUP(Q902,PROGRAMAS[],3,FALSE),0)</f>
        <v>0</v>
      </c>
      <c r="AT902" s="246">
        <f>IFERROR(VLOOKUP(D902,VOL_REC[],2,FALSE),0)</f>
        <v>0</v>
      </c>
      <c r="AU902" s="246">
        <f>IFERROR(VLOOKUP(E902,VOL_REC[],2,FALSE),0)</f>
        <v>0</v>
      </c>
      <c r="AV902" s="246">
        <f>IFERROR(VLOOKUP(F902,VOL_REC[],2,FALSE),0)</f>
        <v>11089674.200000001</v>
      </c>
      <c r="AW902" s="246">
        <f>IFERROR(VLOOKUP(G902,VOL_REC[],2,FALSE),0)</f>
        <v>15540036.397699751</v>
      </c>
      <c r="AX902" s="246">
        <f>IFERROR(VLOOKUP(H902,VOL_REC[],2,FALSE),0)</f>
        <v>3761786</v>
      </c>
      <c r="AY902" s="246">
        <f>IFERROR(VLOOKUP(I902,VOL_REC[],2,FALSE),0)</f>
        <v>1812240</v>
      </c>
      <c r="AZ902" s="246">
        <f>IFERROR(VLOOKUP(J902,VOL_REC[],2,FALSE),0)</f>
        <v>240696.79238099116</v>
      </c>
      <c r="BA902" s="246">
        <f>IFERROR(VLOOKUP(K902,VOL_REC[],2,FALSE),0)</f>
        <v>1072354.9981737854</v>
      </c>
      <c r="BB902" s="246">
        <f>IFERROR(VLOOKUP(L902,VOL_REC[],2,FALSE),0)</f>
        <v>0</v>
      </c>
      <c r="BC902" s="246">
        <f>IFERROR(VLOOKUP(M902,VOL_REC[],2,FALSE),0)</f>
        <v>0</v>
      </c>
      <c r="BD902" s="246">
        <f>IFERROR(VLOOKUP(N902,VOL_REC[],2,FALSE),0)</f>
        <v>0</v>
      </c>
      <c r="BE902" s="246">
        <f>IFERROR(VLOOKUP(O902,VOL_REC[],2,FALSE),0)</f>
        <v>0</v>
      </c>
      <c r="BF902" s="246">
        <f>IFERROR(VLOOKUP(P902,VOL_REC[],2,FALSE),0)</f>
        <v>0</v>
      </c>
      <c r="BG902" s="246">
        <f>IFERROR(VLOOKUP(Q902,VOL_REC[],2,FALSE),0)</f>
        <v>0</v>
      </c>
      <c r="BH902" s="1710">
        <f t="shared" si="56"/>
        <v>29304704189.238422</v>
      </c>
      <c r="BI902" s="1710">
        <f t="shared" si="57"/>
        <v>28408506864.313164</v>
      </c>
      <c r="BJ902" s="1711">
        <f t="shared" si="58"/>
        <v>33516788.388254531</v>
      </c>
      <c r="BK902" s="1711">
        <f t="shared" si="59"/>
        <v>1.0315467943882353</v>
      </c>
      <c r="BL902">
        <f>BJ902</f>
        <v>33516788.388254531</v>
      </c>
      <c r="BO902">
        <f>BL902</f>
        <v>33516788.388254531</v>
      </c>
    </row>
    <row r="903" spans="3:67" x14ac:dyDescent="0.25">
      <c r="C903" s="246" t="s">
        <v>2253</v>
      </c>
      <c r="D903" s="246">
        <v>1</v>
      </c>
      <c r="E903" s="246">
        <v>2</v>
      </c>
      <c r="F903" s="246">
        <v>3</v>
      </c>
      <c r="G903" s="246">
        <v>6</v>
      </c>
      <c r="H903" s="246">
        <v>9</v>
      </c>
      <c r="I903" s="246">
        <v>10</v>
      </c>
      <c r="J903" s="246">
        <v>12</v>
      </c>
      <c r="K903" s="246">
        <v>17</v>
      </c>
      <c r="L903" s="246"/>
      <c r="M903" s="246"/>
      <c r="N903" s="246"/>
      <c r="O903" s="246"/>
      <c r="P903" s="246"/>
      <c r="Q903" s="246"/>
      <c r="R903" s="246">
        <f>IFERROR(VLOOKUP(D903,PROGRAMAS[],2,FALSE),0)</f>
        <v>97037803.679377079</v>
      </c>
      <c r="S903" s="246">
        <f>IFERROR(VLOOKUP(E903,PROGRAMAS[],2,FALSE),0)</f>
        <v>640501509.6821388</v>
      </c>
      <c r="T903" s="246">
        <f>IFERROR(VLOOKUP(F903,PROGRAMAS[],2,FALSE),0)</f>
        <v>3062327798.1525245</v>
      </c>
      <c r="U903" s="246">
        <f>IFERROR(VLOOKUP(G903,PROGRAMAS[],2,FALSE),0)</f>
        <v>6907648435.8447599</v>
      </c>
      <c r="V903" s="246">
        <f>IFERROR(VLOOKUP(H903,PROGRAMAS[],2,FALSE),0)</f>
        <v>6128579952.1618185</v>
      </c>
      <c r="W903" s="246">
        <f>IFERROR(VLOOKUP(I903,PROGRAMAS[],2,FALSE),0)</f>
        <v>4635315027.8751087</v>
      </c>
      <c r="X903" s="246">
        <f>IFERROR(VLOOKUP(J903,PROGRAMAS[],2,FALSE),0)</f>
        <v>764796700.79905891</v>
      </c>
      <c r="Y903" s="246">
        <f>IFERROR(VLOOKUP(K903,PROGRAMAS[],2,FALSE),0)</f>
        <v>1892779498.5211046</v>
      </c>
      <c r="Z903" s="246">
        <f>IFERROR(VLOOKUP(L903,PROGRAMAS[],2,FALSE),0)</f>
        <v>0</v>
      </c>
      <c r="AA903" s="246">
        <f>IFERROR(VLOOKUP(M903,PROGRAMAS[],2,FALSE),0)</f>
        <v>0</v>
      </c>
      <c r="AB903" s="246">
        <f>IFERROR(VLOOKUP(N903,PROGRAMAS[],2,FALSE),0)</f>
        <v>0</v>
      </c>
      <c r="AC903" s="246">
        <f>IFERROR(VLOOKUP(O903,PROGRAMAS[],2,FALSE),0)</f>
        <v>0</v>
      </c>
      <c r="AD903" s="246">
        <f>IFERROR(VLOOKUP(P903,PROGRAMAS[],2,FALSE),0)</f>
        <v>0</v>
      </c>
      <c r="AE903" s="246">
        <f>IFERROR(VLOOKUP(Q903,PROGRAMAS[],2,FALSE),0)</f>
        <v>0</v>
      </c>
      <c r="AF903" s="246">
        <f>IFERROR(VLOOKUP(D903,PROGRAMAS[],3,FALSE),0)</f>
        <v>841888629.31080008</v>
      </c>
      <c r="AG903" s="246">
        <f>IFERROR(VLOOKUP(E903,PROGRAMAS[],3,FALSE),0)</f>
        <v>3848980803.1642323</v>
      </c>
      <c r="AH903" s="246">
        <f>IFERROR(VLOOKUP(F903,PROGRAMAS[],3,FALSE),0)</f>
        <v>3394901471.387517</v>
      </c>
      <c r="AI903" s="246">
        <f>IFERROR(VLOOKUP(G903,PROGRAMAS[],3,FALSE),0)</f>
        <v>6129902208.7912121</v>
      </c>
      <c r="AJ903" s="246">
        <f>IFERROR(VLOOKUP(H903,PROGRAMAS[],3,FALSE),0)</f>
        <v>7011279577.519702</v>
      </c>
      <c r="AK903" s="246">
        <f>IFERROR(VLOOKUP(I903,PROGRAMAS[],3,FALSE),0)</f>
        <v>4099471734.9978786</v>
      </c>
      <c r="AL903" s="246">
        <f>IFERROR(VLOOKUP(J903,PROGRAMAS[],3,FALSE),0)</f>
        <v>675517840.109828</v>
      </c>
      <c r="AM903" s="246">
        <f>IFERROR(VLOOKUP(K903,PROGRAMAS[],3,FALSE),0)</f>
        <v>948595847.09039903</v>
      </c>
      <c r="AN903" s="246">
        <f>IFERROR(VLOOKUP(L903,PROGRAMAS[],3,FALSE),0)</f>
        <v>0</v>
      </c>
      <c r="AO903" s="246">
        <f>IFERROR(VLOOKUP(M903,PROGRAMAS[],3,FALSE),0)</f>
        <v>0</v>
      </c>
      <c r="AP903" s="246">
        <f>IFERROR(VLOOKUP(N903,PROGRAMAS[],3,FALSE),0)</f>
        <v>0</v>
      </c>
      <c r="AQ903" s="246">
        <f>IFERROR(VLOOKUP(O903,PROGRAMAS[],3,FALSE),0)</f>
        <v>0</v>
      </c>
      <c r="AR903" s="246">
        <f>IFERROR(VLOOKUP(P903,PROGRAMAS[],3,FALSE),0)</f>
        <v>0</v>
      </c>
      <c r="AS903" s="246">
        <f>IFERROR(VLOOKUP(Q903,PROGRAMAS[],3,FALSE),0)</f>
        <v>0</v>
      </c>
      <c r="AT903" s="246">
        <f>IFERROR(VLOOKUP(D903,VOL_REC[],2,FALSE),0)</f>
        <v>0</v>
      </c>
      <c r="AU903" s="246">
        <f>IFERROR(VLOOKUP(E903,VOL_REC[],2,FALSE),0)</f>
        <v>0</v>
      </c>
      <c r="AV903" s="246">
        <f>IFERROR(VLOOKUP(F903,VOL_REC[],2,FALSE),0)</f>
        <v>11089674.200000001</v>
      </c>
      <c r="AW903" s="246">
        <f>IFERROR(VLOOKUP(G903,VOL_REC[],2,FALSE),0)</f>
        <v>15540036.397699751</v>
      </c>
      <c r="AX903" s="246">
        <f>IFERROR(VLOOKUP(H903,VOL_REC[],2,FALSE),0)</f>
        <v>3761786</v>
      </c>
      <c r="AY903" s="246">
        <f>IFERROR(VLOOKUP(I903,VOL_REC[],2,FALSE),0)</f>
        <v>1812240</v>
      </c>
      <c r="AZ903" s="246">
        <f>IFERROR(VLOOKUP(J903,VOL_REC[],2,FALSE),0)</f>
        <v>240696.79238099116</v>
      </c>
      <c r="BA903" s="246">
        <f>IFERROR(VLOOKUP(K903,VOL_REC[],2,FALSE),0)</f>
        <v>740113.98115702497</v>
      </c>
      <c r="BB903" s="246">
        <f>IFERROR(VLOOKUP(L903,VOL_REC[],2,FALSE),0)</f>
        <v>0</v>
      </c>
      <c r="BC903" s="246">
        <f>IFERROR(VLOOKUP(M903,VOL_REC[],2,FALSE),0)</f>
        <v>0</v>
      </c>
      <c r="BD903" s="246">
        <f>IFERROR(VLOOKUP(N903,VOL_REC[],2,FALSE),0)</f>
        <v>0</v>
      </c>
      <c r="BE903" s="246">
        <f>IFERROR(VLOOKUP(O903,VOL_REC[],2,FALSE),0)</f>
        <v>0</v>
      </c>
      <c r="BF903" s="246">
        <f>IFERROR(VLOOKUP(P903,VOL_REC[],2,FALSE),0)</f>
        <v>0</v>
      </c>
      <c r="BG903" s="246">
        <f>IFERROR(VLOOKUP(Q903,VOL_REC[],2,FALSE),0)</f>
        <v>0</v>
      </c>
      <c r="BH903" s="1710">
        <f t="shared" si="56"/>
        <v>24128986726.715889</v>
      </c>
      <c r="BI903" s="1710">
        <f t="shared" si="57"/>
        <v>26950538112.371574</v>
      </c>
      <c r="BJ903" s="1711">
        <f t="shared" si="58"/>
        <v>33184547.37123777</v>
      </c>
      <c r="BK903" s="1711">
        <f t="shared" si="59"/>
        <v>0.89530630617128715</v>
      </c>
    </row>
    <row r="904" spans="3:67" x14ac:dyDescent="0.25">
      <c r="C904" s="246" t="s">
        <v>2254</v>
      </c>
      <c r="D904" s="246">
        <v>1</v>
      </c>
      <c r="E904" s="246">
        <v>2</v>
      </c>
      <c r="F904" s="246">
        <v>3</v>
      </c>
      <c r="G904" s="246">
        <v>6</v>
      </c>
      <c r="H904" s="246">
        <v>9</v>
      </c>
      <c r="I904" s="246">
        <v>10</v>
      </c>
      <c r="J904" s="246">
        <v>13</v>
      </c>
      <c r="K904" s="246">
        <v>14</v>
      </c>
      <c r="L904" s="246"/>
      <c r="M904" s="246"/>
      <c r="N904" s="246"/>
      <c r="O904" s="246"/>
      <c r="P904" s="246"/>
      <c r="Q904" s="246"/>
      <c r="R904" s="246">
        <f>IFERROR(VLOOKUP(D904,PROGRAMAS[],2,FALSE),0)</f>
        <v>97037803.679377079</v>
      </c>
      <c r="S904" s="246">
        <f>IFERROR(VLOOKUP(E904,PROGRAMAS[],2,FALSE),0)</f>
        <v>640501509.6821388</v>
      </c>
      <c r="T904" s="246">
        <f>IFERROR(VLOOKUP(F904,PROGRAMAS[],2,FALSE),0)</f>
        <v>3062327798.1525245</v>
      </c>
      <c r="U904" s="246">
        <f>IFERROR(VLOOKUP(G904,PROGRAMAS[],2,FALSE),0)</f>
        <v>6907648435.8447599</v>
      </c>
      <c r="V904" s="246">
        <f>IFERROR(VLOOKUP(H904,PROGRAMAS[],2,FALSE),0)</f>
        <v>6128579952.1618185</v>
      </c>
      <c r="W904" s="246">
        <f>IFERROR(VLOOKUP(I904,PROGRAMAS[],2,FALSE),0)</f>
        <v>4635315027.8751087</v>
      </c>
      <c r="X904" s="246">
        <f>IFERROR(VLOOKUP(J904,PROGRAMAS[],2,FALSE),0)</f>
        <v>3776538594.4604583</v>
      </c>
      <c r="Y904" s="246">
        <f>IFERROR(VLOOKUP(K904,PROGRAMAS[],2,FALSE),0)</f>
        <v>54223862.645839565</v>
      </c>
      <c r="Z904" s="246">
        <f>IFERROR(VLOOKUP(L904,PROGRAMAS[],2,FALSE),0)</f>
        <v>0</v>
      </c>
      <c r="AA904" s="246">
        <f>IFERROR(VLOOKUP(M904,PROGRAMAS[],2,FALSE),0)</f>
        <v>0</v>
      </c>
      <c r="AB904" s="246">
        <f>IFERROR(VLOOKUP(N904,PROGRAMAS[],2,FALSE),0)</f>
        <v>0</v>
      </c>
      <c r="AC904" s="246">
        <f>IFERROR(VLOOKUP(O904,PROGRAMAS[],2,FALSE),0)</f>
        <v>0</v>
      </c>
      <c r="AD904" s="246">
        <f>IFERROR(VLOOKUP(P904,PROGRAMAS[],2,FALSE),0)</f>
        <v>0</v>
      </c>
      <c r="AE904" s="246">
        <f>IFERROR(VLOOKUP(Q904,PROGRAMAS[],2,FALSE),0)</f>
        <v>0</v>
      </c>
      <c r="AF904" s="246">
        <f>IFERROR(VLOOKUP(D904,PROGRAMAS[],3,FALSE),0)</f>
        <v>841888629.31080008</v>
      </c>
      <c r="AG904" s="246">
        <f>IFERROR(VLOOKUP(E904,PROGRAMAS[],3,FALSE),0)</f>
        <v>3848980803.1642323</v>
      </c>
      <c r="AH904" s="246">
        <f>IFERROR(VLOOKUP(F904,PROGRAMAS[],3,FALSE),0)</f>
        <v>3394901471.387517</v>
      </c>
      <c r="AI904" s="246">
        <f>IFERROR(VLOOKUP(G904,PROGRAMAS[],3,FALSE),0)</f>
        <v>6129902208.7912121</v>
      </c>
      <c r="AJ904" s="246">
        <f>IFERROR(VLOOKUP(H904,PROGRAMAS[],3,FALSE),0)</f>
        <v>7011279577.519702</v>
      </c>
      <c r="AK904" s="246">
        <f>IFERROR(VLOOKUP(I904,PROGRAMAS[],3,FALSE),0)</f>
        <v>4099471734.9978786</v>
      </c>
      <c r="AL904" s="246">
        <f>IFERROR(VLOOKUP(J904,PROGRAMAS[],3,FALSE),0)</f>
        <v>2392571243.5584412</v>
      </c>
      <c r="AM904" s="246">
        <f>IFERROR(VLOOKUP(K904,PROGRAMAS[],3,FALSE),0)</f>
        <v>31865326.38096505</v>
      </c>
      <c r="AN904" s="246">
        <f>IFERROR(VLOOKUP(L904,PROGRAMAS[],3,FALSE),0)</f>
        <v>0</v>
      </c>
      <c r="AO904" s="246">
        <f>IFERROR(VLOOKUP(M904,PROGRAMAS[],3,FALSE),0)</f>
        <v>0</v>
      </c>
      <c r="AP904" s="246">
        <f>IFERROR(VLOOKUP(N904,PROGRAMAS[],3,FALSE),0)</f>
        <v>0</v>
      </c>
      <c r="AQ904" s="246">
        <f>IFERROR(VLOOKUP(O904,PROGRAMAS[],3,FALSE),0)</f>
        <v>0</v>
      </c>
      <c r="AR904" s="246">
        <f>IFERROR(VLOOKUP(P904,PROGRAMAS[],3,FALSE),0)</f>
        <v>0</v>
      </c>
      <c r="AS904" s="246">
        <f>IFERROR(VLOOKUP(Q904,PROGRAMAS[],3,FALSE),0)</f>
        <v>0</v>
      </c>
      <c r="AT904" s="246">
        <f>IFERROR(VLOOKUP(D904,VOL_REC[],2,FALSE),0)</f>
        <v>0</v>
      </c>
      <c r="AU904" s="246">
        <f>IFERROR(VLOOKUP(E904,VOL_REC[],2,FALSE),0)</f>
        <v>0</v>
      </c>
      <c r="AV904" s="246">
        <f>IFERROR(VLOOKUP(F904,VOL_REC[],2,FALSE),0)</f>
        <v>11089674.200000001</v>
      </c>
      <c r="AW904" s="246">
        <f>IFERROR(VLOOKUP(G904,VOL_REC[],2,FALSE),0)</f>
        <v>15540036.397699751</v>
      </c>
      <c r="AX904" s="246">
        <f>IFERROR(VLOOKUP(H904,VOL_REC[],2,FALSE),0)</f>
        <v>3761786</v>
      </c>
      <c r="AY904" s="246">
        <f>IFERROR(VLOOKUP(I904,VOL_REC[],2,FALSE),0)</f>
        <v>1812240</v>
      </c>
      <c r="AZ904" s="246">
        <f>IFERROR(VLOOKUP(J904,VOL_REC[],2,FALSE),0)</f>
        <v>663244.80000000016</v>
      </c>
      <c r="BA904" s="246">
        <f>IFERROR(VLOOKUP(K904,VOL_REC[],2,FALSE),0)</f>
        <v>17074.045034105649</v>
      </c>
      <c r="BB904" s="246">
        <f>IFERROR(VLOOKUP(L904,VOL_REC[],2,FALSE),0)</f>
        <v>0</v>
      </c>
      <c r="BC904" s="246">
        <f>IFERROR(VLOOKUP(M904,VOL_REC[],2,FALSE),0)</f>
        <v>0</v>
      </c>
      <c r="BD904" s="246">
        <f>IFERROR(VLOOKUP(N904,VOL_REC[],2,FALSE),0)</f>
        <v>0</v>
      </c>
      <c r="BE904" s="246">
        <f>IFERROR(VLOOKUP(O904,VOL_REC[],2,FALSE),0)</f>
        <v>0</v>
      </c>
      <c r="BF904" s="246">
        <f>IFERROR(VLOOKUP(P904,VOL_REC[],2,FALSE),0)</f>
        <v>0</v>
      </c>
      <c r="BG904" s="246">
        <f>IFERROR(VLOOKUP(Q904,VOL_REC[],2,FALSE),0)</f>
        <v>0</v>
      </c>
      <c r="BH904" s="1710">
        <f t="shared" si="56"/>
        <v>25302172984.502026</v>
      </c>
      <c r="BI904" s="1710">
        <f t="shared" si="57"/>
        <v>27750860995.110752</v>
      </c>
      <c r="BJ904" s="1711">
        <f t="shared" si="58"/>
        <v>32884055.442733862</v>
      </c>
      <c r="BK904" s="1711">
        <f t="shared" si="59"/>
        <v>0.91176172836438674</v>
      </c>
    </row>
    <row r="905" spans="3:67" x14ac:dyDescent="0.25">
      <c r="C905" s="246" t="s">
        <v>2255</v>
      </c>
      <c r="D905" s="246">
        <v>1</v>
      </c>
      <c r="E905" s="246">
        <v>2</v>
      </c>
      <c r="F905" s="246">
        <v>3</v>
      </c>
      <c r="G905" s="246">
        <v>6</v>
      </c>
      <c r="H905" s="246">
        <v>9</v>
      </c>
      <c r="I905" s="246">
        <v>10</v>
      </c>
      <c r="J905" s="246">
        <v>13</v>
      </c>
      <c r="K905" s="246">
        <v>15</v>
      </c>
      <c r="L905" s="246"/>
      <c r="M905" s="246"/>
      <c r="N905" s="246"/>
      <c r="O905" s="246"/>
      <c r="P905" s="246"/>
      <c r="Q905" s="246"/>
      <c r="R905" s="246">
        <f>IFERROR(VLOOKUP(D905,PROGRAMAS[],2,FALSE),0)</f>
        <v>97037803.679377079</v>
      </c>
      <c r="S905" s="246">
        <f>IFERROR(VLOOKUP(E905,PROGRAMAS[],2,FALSE),0)</f>
        <v>640501509.6821388</v>
      </c>
      <c r="T905" s="246">
        <f>IFERROR(VLOOKUP(F905,PROGRAMAS[],2,FALSE),0)</f>
        <v>3062327798.1525245</v>
      </c>
      <c r="U905" s="246">
        <f>IFERROR(VLOOKUP(G905,PROGRAMAS[],2,FALSE),0)</f>
        <v>6907648435.8447599</v>
      </c>
      <c r="V905" s="246">
        <f>IFERROR(VLOOKUP(H905,PROGRAMAS[],2,FALSE),0)</f>
        <v>6128579952.1618185</v>
      </c>
      <c r="W905" s="246">
        <f>IFERROR(VLOOKUP(I905,PROGRAMAS[],2,FALSE),0)</f>
        <v>4635315027.8751087</v>
      </c>
      <c r="X905" s="246">
        <f>IFERROR(VLOOKUP(J905,PROGRAMAS[],2,FALSE),0)</f>
        <v>3776538594.4604583</v>
      </c>
      <c r="Y905" s="246">
        <f>IFERROR(VLOOKUP(K905,PROGRAMAS[],2,FALSE),0)</f>
        <v>122159672.96346797</v>
      </c>
      <c r="Z905" s="246">
        <f>IFERROR(VLOOKUP(L905,PROGRAMAS[],2,FALSE),0)</f>
        <v>0</v>
      </c>
      <c r="AA905" s="246">
        <f>IFERROR(VLOOKUP(M905,PROGRAMAS[],2,FALSE),0)</f>
        <v>0</v>
      </c>
      <c r="AB905" s="246">
        <f>IFERROR(VLOOKUP(N905,PROGRAMAS[],2,FALSE),0)</f>
        <v>0</v>
      </c>
      <c r="AC905" s="246">
        <f>IFERROR(VLOOKUP(O905,PROGRAMAS[],2,FALSE),0)</f>
        <v>0</v>
      </c>
      <c r="AD905" s="246">
        <f>IFERROR(VLOOKUP(P905,PROGRAMAS[],2,FALSE),0)</f>
        <v>0</v>
      </c>
      <c r="AE905" s="246">
        <f>IFERROR(VLOOKUP(Q905,PROGRAMAS[],2,FALSE),0)</f>
        <v>0</v>
      </c>
      <c r="AF905" s="246">
        <f>IFERROR(VLOOKUP(D905,PROGRAMAS[],3,FALSE),0)</f>
        <v>841888629.31080008</v>
      </c>
      <c r="AG905" s="246">
        <f>IFERROR(VLOOKUP(E905,PROGRAMAS[],3,FALSE),0)</f>
        <v>3848980803.1642323</v>
      </c>
      <c r="AH905" s="246">
        <f>IFERROR(VLOOKUP(F905,PROGRAMAS[],3,FALSE),0)</f>
        <v>3394901471.387517</v>
      </c>
      <c r="AI905" s="246">
        <f>IFERROR(VLOOKUP(G905,PROGRAMAS[],3,FALSE),0)</f>
        <v>6129902208.7912121</v>
      </c>
      <c r="AJ905" s="246">
        <f>IFERROR(VLOOKUP(H905,PROGRAMAS[],3,FALSE),0)</f>
        <v>7011279577.519702</v>
      </c>
      <c r="AK905" s="246">
        <f>IFERROR(VLOOKUP(I905,PROGRAMAS[],3,FALSE),0)</f>
        <v>4099471734.9978786</v>
      </c>
      <c r="AL905" s="246">
        <f>IFERROR(VLOOKUP(J905,PROGRAMAS[],3,FALSE),0)</f>
        <v>2392571243.5584412</v>
      </c>
      <c r="AM905" s="246">
        <f>IFERROR(VLOOKUP(K905,PROGRAMAS[],3,FALSE),0)</f>
        <v>118617452.52510804</v>
      </c>
      <c r="AN905" s="246">
        <f>IFERROR(VLOOKUP(L905,PROGRAMAS[],3,FALSE),0)</f>
        <v>0</v>
      </c>
      <c r="AO905" s="246">
        <f>IFERROR(VLOOKUP(M905,PROGRAMAS[],3,FALSE),0)</f>
        <v>0</v>
      </c>
      <c r="AP905" s="246">
        <f>IFERROR(VLOOKUP(N905,PROGRAMAS[],3,FALSE),0)</f>
        <v>0</v>
      </c>
      <c r="AQ905" s="246">
        <f>IFERROR(VLOOKUP(O905,PROGRAMAS[],3,FALSE),0)</f>
        <v>0</v>
      </c>
      <c r="AR905" s="246">
        <f>IFERROR(VLOOKUP(P905,PROGRAMAS[],3,FALSE),0)</f>
        <v>0</v>
      </c>
      <c r="AS905" s="246">
        <f>IFERROR(VLOOKUP(Q905,PROGRAMAS[],3,FALSE),0)</f>
        <v>0</v>
      </c>
      <c r="AT905" s="246">
        <f>IFERROR(VLOOKUP(D905,VOL_REC[],2,FALSE),0)</f>
        <v>0</v>
      </c>
      <c r="AU905" s="246">
        <f>IFERROR(VLOOKUP(E905,VOL_REC[],2,FALSE),0)</f>
        <v>0</v>
      </c>
      <c r="AV905" s="246">
        <f>IFERROR(VLOOKUP(F905,VOL_REC[],2,FALSE),0)</f>
        <v>11089674.200000001</v>
      </c>
      <c r="AW905" s="246">
        <f>IFERROR(VLOOKUP(G905,VOL_REC[],2,FALSE),0)</f>
        <v>15540036.397699751</v>
      </c>
      <c r="AX905" s="246">
        <f>IFERROR(VLOOKUP(H905,VOL_REC[],2,FALSE),0)</f>
        <v>3761786</v>
      </c>
      <c r="AY905" s="246">
        <f>IFERROR(VLOOKUP(I905,VOL_REC[],2,FALSE),0)</f>
        <v>1812240</v>
      </c>
      <c r="AZ905" s="246">
        <f>IFERROR(VLOOKUP(J905,VOL_REC[],2,FALSE),0)</f>
        <v>663244.80000000016</v>
      </c>
      <c r="BA905" s="246">
        <f>IFERROR(VLOOKUP(K905,VOL_REC[],2,FALSE),0)</f>
        <v>105072</v>
      </c>
      <c r="BB905" s="246">
        <f>IFERROR(VLOOKUP(L905,VOL_REC[],2,FALSE),0)</f>
        <v>0</v>
      </c>
      <c r="BC905" s="246">
        <f>IFERROR(VLOOKUP(M905,VOL_REC[],2,FALSE),0)</f>
        <v>0</v>
      </c>
      <c r="BD905" s="246">
        <f>IFERROR(VLOOKUP(N905,VOL_REC[],2,FALSE),0)</f>
        <v>0</v>
      </c>
      <c r="BE905" s="246">
        <f>IFERROR(VLOOKUP(O905,VOL_REC[],2,FALSE),0)</f>
        <v>0</v>
      </c>
      <c r="BF905" s="246">
        <f>IFERROR(VLOOKUP(P905,VOL_REC[],2,FALSE),0)</f>
        <v>0</v>
      </c>
      <c r="BG905" s="246">
        <f>IFERROR(VLOOKUP(Q905,VOL_REC[],2,FALSE),0)</f>
        <v>0</v>
      </c>
      <c r="BH905" s="1710">
        <f t="shared" si="56"/>
        <v>25370108794.819653</v>
      </c>
      <c r="BI905" s="1710">
        <f t="shared" si="57"/>
        <v>27837613121.254894</v>
      </c>
      <c r="BJ905" s="1711">
        <f t="shared" si="58"/>
        <v>32972053.397699755</v>
      </c>
      <c r="BK905" s="1711">
        <f t="shared" si="59"/>
        <v>0.91136077954358719</v>
      </c>
    </row>
    <row r="906" spans="3:67" x14ac:dyDescent="0.25">
      <c r="C906" s="246" t="s">
        <v>2256</v>
      </c>
      <c r="D906" s="246">
        <v>1</v>
      </c>
      <c r="E906" s="246">
        <v>2</v>
      </c>
      <c r="F906" s="246">
        <v>3</v>
      </c>
      <c r="G906" s="246">
        <v>6</v>
      </c>
      <c r="H906" s="246">
        <v>9</v>
      </c>
      <c r="I906" s="246">
        <v>10</v>
      </c>
      <c r="J906" s="246">
        <v>13</v>
      </c>
      <c r="K906" s="246">
        <v>16</v>
      </c>
      <c r="L906" s="246"/>
      <c r="M906" s="246"/>
      <c r="N906" s="246"/>
      <c r="O906" s="246"/>
      <c r="P906" s="246"/>
      <c r="Q906" s="246"/>
      <c r="R906" s="246">
        <f>IFERROR(VLOOKUP(D906,PROGRAMAS[],2,FALSE),0)</f>
        <v>97037803.679377079</v>
      </c>
      <c r="S906" s="246">
        <f>IFERROR(VLOOKUP(E906,PROGRAMAS[],2,FALSE),0)</f>
        <v>640501509.6821388</v>
      </c>
      <c r="T906" s="246">
        <f>IFERROR(VLOOKUP(F906,PROGRAMAS[],2,FALSE),0)</f>
        <v>3062327798.1525245</v>
      </c>
      <c r="U906" s="246">
        <f>IFERROR(VLOOKUP(G906,PROGRAMAS[],2,FALSE),0)</f>
        <v>6907648435.8447599</v>
      </c>
      <c r="V906" s="246">
        <f>IFERROR(VLOOKUP(H906,PROGRAMAS[],2,FALSE),0)</f>
        <v>6128579952.1618185</v>
      </c>
      <c r="W906" s="246">
        <f>IFERROR(VLOOKUP(I906,PROGRAMAS[],2,FALSE),0)</f>
        <v>4635315027.8751087</v>
      </c>
      <c r="X906" s="246">
        <f>IFERROR(VLOOKUP(J906,PROGRAMAS[],2,FALSE),0)</f>
        <v>3776538594.4604583</v>
      </c>
      <c r="Y906" s="246">
        <f>IFERROR(VLOOKUP(K906,PROGRAMAS[],2,FALSE),0)</f>
        <v>7068496961.0436354</v>
      </c>
      <c r="Z906" s="246">
        <f>IFERROR(VLOOKUP(L906,PROGRAMAS[],2,FALSE),0)</f>
        <v>0</v>
      </c>
      <c r="AA906" s="246">
        <f>IFERROR(VLOOKUP(M906,PROGRAMAS[],2,FALSE),0)</f>
        <v>0</v>
      </c>
      <c r="AB906" s="246">
        <f>IFERROR(VLOOKUP(N906,PROGRAMAS[],2,FALSE),0)</f>
        <v>0</v>
      </c>
      <c r="AC906" s="246">
        <f>IFERROR(VLOOKUP(O906,PROGRAMAS[],2,FALSE),0)</f>
        <v>0</v>
      </c>
      <c r="AD906" s="246">
        <f>IFERROR(VLOOKUP(P906,PROGRAMAS[],2,FALSE),0)</f>
        <v>0</v>
      </c>
      <c r="AE906" s="246">
        <f>IFERROR(VLOOKUP(Q906,PROGRAMAS[],2,FALSE),0)</f>
        <v>0</v>
      </c>
      <c r="AF906" s="246">
        <f>IFERROR(VLOOKUP(D906,PROGRAMAS[],3,FALSE),0)</f>
        <v>841888629.31080008</v>
      </c>
      <c r="AG906" s="246">
        <f>IFERROR(VLOOKUP(E906,PROGRAMAS[],3,FALSE),0)</f>
        <v>3848980803.1642323</v>
      </c>
      <c r="AH906" s="246">
        <f>IFERROR(VLOOKUP(F906,PROGRAMAS[],3,FALSE),0)</f>
        <v>3394901471.387517</v>
      </c>
      <c r="AI906" s="246">
        <f>IFERROR(VLOOKUP(G906,PROGRAMAS[],3,FALSE),0)</f>
        <v>6129902208.7912121</v>
      </c>
      <c r="AJ906" s="246">
        <f>IFERROR(VLOOKUP(H906,PROGRAMAS[],3,FALSE),0)</f>
        <v>7011279577.519702</v>
      </c>
      <c r="AK906" s="246">
        <f>IFERROR(VLOOKUP(I906,PROGRAMAS[],3,FALSE),0)</f>
        <v>4099471734.9978786</v>
      </c>
      <c r="AL906" s="246">
        <f>IFERROR(VLOOKUP(J906,PROGRAMAS[],3,FALSE),0)</f>
        <v>2392571243.5584412</v>
      </c>
      <c r="AM906" s="246">
        <f>IFERROR(VLOOKUP(K906,PROGRAMAS[],3,FALSE),0)</f>
        <v>2406564599.0319901</v>
      </c>
      <c r="AN906" s="246">
        <f>IFERROR(VLOOKUP(L906,PROGRAMAS[],3,FALSE),0)</f>
        <v>0</v>
      </c>
      <c r="AO906" s="246">
        <f>IFERROR(VLOOKUP(M906,PROGRAMAS[],3,FALSE),0)</f>
        <v>0</v>
      </c>
      <c r="AP906" s="246">
        <f>IFERROR(VLOOKUP(N906,PROGRAMAS[],3,FALSE),0)</f>
        <v>0</v>
      </c>
      <c r="AQ906" s="246">
        <f>IFERROR(VLOOKUP(O906,PROGRAMAS[],3,FALSE),0)</f>
        <v>0</v>
      </c>
      <c r="AR906" s="246">
        <f>IFERROR(VLOOKUP(P906,PROGRAMAS[],3,FALSE),0)</f>
        <v>0</v>
      </c>
      <c r="AS906" s="246">
        <f>IFERROR(VLOOKUP(Q906,PROGRAMAS[],3,FALSE),0)</f>
        <v>0</v>
      </c>
      <c r="AT906" s="246">
        <f>IFERROR(VLOOKUP(D906,VOL_REC[],2,FALSE),0)</f>
        <v>0</v>
      </c>
      <c r="AU906" s="246">
        <f>IFERROR(VLOOKUP(E906,VOL_REC[],2,FALSE),0)</f>
        <v>0</v>
      </c>
      <c r="AV906" s="246">
        <f>IFERROR(VLOOKUP(F906,VOL_REC[],2,FALSE),0)</f>
        <v>11089674.200000001</v>
      </c>
      <c r="AW906" s="246">
        <f>IFERROR(VLOOKUP(G906,VOL_REC[],2,FALSE),0)</f>
        <v>15540036.397699751</v>
      </c>
      <c r="AX906" s="246">
        <f>IFERROR(VLOOKUP(H906,VOL_REC[],2,FALSE),0)</f>
        <v>3761786</v>
      </c>
      <c r="AY906" s="246">
        <f>IFERROR(VLOOKUP(I906,VOL_REC[],2,FALSE),0)</f>
        <v>1812240</v>
      </c>
      <c r="AZ906" s="246">
        <f>IFERROR(VLOOKUP(J906,VOL_REC[],2,FALSE),0)</f>
        <v>663244.80000000016</v>
      </c>
      <c r="BA906" s="246">
        <f>IFERROR(VLOOKUP(K906,VOL_REC[],2,FALSE),0)</f>
        <v>1072354.9981737854</v>
      </c>
      <c r="BB906" s="246">
        <f>IFERROR(VLOOKUP(L906,VOL_REC[],2,FALSE),0)</f>
        <v>0</v>
      </c>
      <c r="BC906" s="246">
        <f>IFERROR(VLOOKUP(M906,VOL_REC[],2,FALSE),0)</f>
        <v>0</v>
      </c>
      <c r="BD906" s="246">
        <f>IFERROR(VLOOKUP(N906,VOL_REC[],2,FALSE),0)</f>
        <v>0</v>
      </c>
      <c r="BE906" s="246">
        <f>IFERROR(VLOOKUP(O906,VOL_REC[],2,FALSE),0)</f>
        <v>0</v>
      </c>
      <c r="BF906" s="246">
        <f>IFERROR(VLOOKUP(P906,VOL_REC[],2,FALSE),0)</f>
        <v>0</v>
      </c>
      <c r="BG906" s="246">
        <f>IFERROR(VLOOKUP(Q906,VOL_REC[],2,FALSE),0)</f>
        <v>0</v>
      </c>
      <c r="BH906" s="1710">
        <f t="shared" si="56"/>
        <v>32316446082.899822</v>
      </c>
      <c r="BI906" s="1710">
        <f t="shared" si="57"/>
        <v>30125560267.761776</v>
      </c>
      <c r="BJ906" s="1711">
        <f t="shared" si="58"/>
        <v>33939336.395873539</v>
      </c>
      <c r="BK906" s="1711">
        <f t="shared" si="59"/>
        <v>1.0727251475380053</v>
      </c>
      <c r="BL906">
        <f>BJ906</f>
        <v>33939336.395873539</v>
      </c>
      <c r="BO906">
        <f>BL906</f>
        <v>33939336.395873539</v>
      </c>
    </row>
    <row r="907" spans="3:67" x14ac:dyDescent="0.25">
      <c r="C907" s="246" t="s">
        <v>2257</v>
      </c>
      <c r="D907" s="246">
        <v>1</v>
      </c>
      <c r="E907" s="246">
        <v>2</v>
      </c>
      <c r="F907" s="246">
        <v>3</v>
      </c>
      <c r="G907" s="246">
        <v>6</v>
      </c>
      <c r="H907" s="246">
        <v>9</v>
      </c>
      <c r="I907" s="246">
        <v>10</v>
      </c>
      <c r="J907" s="246">
        <v>13</v>
      </c>
      <c r="K907" s="246">
        <v>17</v>
      </c>
      <c r="L907" s="246"/>
      <c r="M907" s="246"/>
      <c r="N907" s="246"/>
      <c r="O907" s="246"/>
      <c r="P907" s="246"/>
      <c r="Q907" s="246"/>
      <c r="R907" s="246">
        <f>IFERROR(VLOOKUP(D907,PROGRAMAS[],2,FALSE),0)</f>
        <v>97037803.679377079</v>
      </c>
      <c r="S907" s="246">
        <f>IFERROR(VLOOKUP(E907,PROGRAMAS[],2,FALSE),0)</f>
        <v>640501509.6821388</v>
      </c>
      <c r="T907" s="246">
        <f>IFERROR(VLOOKUP(F907,PROGRAMAS[],2,FALSE),0)</f>
        <v>3062327798.1525245</v>
      </c>
      <c r="U907" s="246">
        <f>IFERROR(VLOOKUP(G907,PROGRAMAS[],2,FALSE),0)</f>
        <v>6907648435.8447599</v>
      </c>
      <c r="V907" s="246">
        <f>IFERROR(VLOOKUP(H907,PROGRAMAS[],2,FALSE),0)</f>
        <v>6128579952.1618185</v>
      </c>
      <c r="W907" s="246">
        <f>IFERROR(VLOOKUP(I907,PROGRAMAS[],2,FALSE),0)</f>
        <v>4635315027.8751087</v>
      </c>
      <c r="X907" s="246">
        <f>IFERROR(VLOOKUP(J907,PROGRAMAS[],2,FALSE),0)</f>
        <v>3776538594.4604583</v>
      </c>
      <c r="Y907" s="246">
        <f>IFERROR(VLOOKUP(K907,PROGRAMAS[],2,FALSE),0)</f>
        <v>1892779498.5211046</v>
      </c>
      <c r="Z907" s="246">
        <f>IFERROR(VLOOKUP(L907,PROGRAMAS[],2,FALSE),0)</f>
        <v>0</v>
      </c>
      <c r="AA907" s="246">
        <f>IFERROR(VLOOKUP(M907,PROGRAMAS[],2,FALSE),0)</f>
        <v>0</v>
      </c>
      <c r="AB907" s="246">
        <f>IFERROR(VLOOKUP(N907,PROGRAMAS[],2,FALSE),0)</f>
        <v>0</v>
      </c>
      <c r="AC907" s="246">
        <f>IFERROR(VLOOKUP(O907,PROGRAMAS[],2,FALSE),0)</f>
        <v>0</v>
      </c>
      <c r="AD907" s="246">
        <f>IFERROR(VLOOKUP(P907,PROGRAMAS[],2,FALSE),0)</f>
        <v>0</v>
      </c>
      <c r="AE907" s="246">
        <f>IFERROR(VLOOKUP(Q907,PROGRAMAS[],2,FALSE),0)</f>
        <v>0</v>
      </c>
      <c r="AF907" s="246">
        <f>IFERROR(VLOOKUP(D907,PROGRAMAS[],3,FALSE),0)</f>
        <v>841888629.31080008</v>
      </c>
      <c r="AG907" s="246">
        <f>IFERROR(VLOOKUP(E907,PROGRAMAS[],3,FALSE),0)</f>
        <v>3848980803.1642323</v>
      </c>
      <c r="AH907" s="246">
        <f>IFERROR(VLOOKUP(F907,PROGRAMAS[],3,FALSE),0)</f>
        <v>3394901471.387517</v>
      </c>
      <c r="AI907" s="246">
        <f>IFERROR(VLOOKUP(G907,PROGRAMAS[],3,FALSE),0)</f>
        <v>6129902208.7912121</v>
      </c>
      <c r="AJ907" s="246">
        <f>IFERROR(VLOOKUP(H907,PROGRAMAS[],3,FALSE),0)</f>
        <v>7011279577.519702</v>
      </c>
      <c r="AK907" s="246">
        <f>IFERROR(VLOOKUP(I907,PROGRAMAS[],3,FALSE),0)</f>
        <v>4099471734.9978786</v>
      </c>
      <c r="AL907" s="246">
        <f>IFERROR(VLOOKUP(J907,PROGRAMAS[],3,FALSE),0)</f>
        <v>2392571243.5584412</v>
      </c>
      <c r="AM907" s="246">
        <f>IFERROR(VLOOKUP(K907,PROGRAMAS[],3,FALSE),0)</f>
        <v>948595847.09039903</v>
      </c>
      <c r="AN907" s="246">
        <f>IFERROR(VLOOKUP(L907,PROGRAMAS[],3,FALSE),0)</f>
        <v>0</v>
      </c>
      <c r="AO907" s="246">
        <f>IFERROR(VLOOKUP(M907,PROGRAMAS[],3,FALSE),0)</f>
        <v>0</v>
      </c>
      <c r="AP907" s="246">
        <f>IFERROR(VLOOKUP(N907,PROGRAMAS[],3,FALSE),0)</f>
        <v>0</v>
      </c>
      <c r="AQ907" s="246">
        <f>IFERROR(VLOOKUP(O907,PROGRAMAS[],3,FALSE),0)</f>
        <v>0</v>
      </c>
      <c r="AR907" s="246">
        <f>IFERROR(VLOOKUP(P907,PROGRAMAS[],3,FALSE),0)</f>
        <v>0</v>
      </c>
      <c r="AS907" s="246">
        <f>IFERROR(VLOOKUP(Q907,PROGRAMAS[],3,FALSE),0)</f>
        <v>0</v>
      </c>
      <c r="AT907" s="246">
        <f>IFERROR(VLOOKUP(D907,VOL_REC[],2,FALSE),0)</f>
        <v>0</v>
      </c>
      <c r="AU907" s="246">
        <f>IFERROR(VLOOKUP(E907,VOL_REC[],2,FALSE),0)</f>
        <v>0</v>
      </c>
      <c r="AV907" s="246">
        <f>IFERROR(VLOOKUP(F907,VOL_REC[],2,FALSE),0)</f>
        <v>11089674.200000001</v>
      </c>
      <c r="AW907" s="246">
        <f>IFERROR(VLOOKUP(G907,VOL_REC[],2,FALSE),0)</f>
        <v>15540036.397699751</v>
      </c>
      <c r="AX907" s="246">
        <f>IFERROR(VLOOKUP(H907,VOL_REC[],2,FALSE),0)</f>
        <v>3761786</v>
      </c>
      <c r="AY907" s="246">
        <f>IFERROR(VLOOKUP(I907,VOL_REC[],2,FALSE),0)</f>
        <v>1812240</v>
      </c>
      <c r="AZ907" s="246">
        <f>IFERROR(VLOOKUP(J907,VOL_REC[],2,FALSE),0)</f>
        <v>663244.80000000016</v>
      </c>
      <c r="BA907" s="246">
        <f>IFERROR(VLOOKUP(K907,VOL_REC[],2,FALSE),0)</f>
        <v>740113.98115702497</v>
      </c>
      <c r="BB907" s="246">
        <f>IFERROR(VLOOKUP(L907,VOL_REC[],2,FALSE),0)</f>
        <v>0</v>
      </c>
      <c r="BC907" s="246">
        <f>IFERROR(VLOOKUP(M907,VOL_REC[],2,FALSE),0)</f>
        <v>0</v>
      </c>
      <c r="BD907" s="246">
        <f>IFERROR(VLOOKUP(N907,VOL_REC[],2,FALSE),0)</f>
        <v>0</v>
      </c>
      <c r="BE907" s="246">
        <f>IFERROR(VLOOKUP(O907,VOL_REC[],2,FALSE),0)</f>
        <v>0</v>
      </c>
      <c r="BF907" s="246">
        <f>IFERROR(VLOOKUP(P907,VOL_REC[],2,FALSE),0)</f>
        <v>0</v>
      </c>
      <c r="BG907" s="246">
        <f>IFERROR(VLOOKUP(Q907,VOL_REC[],2,FALSE),0)</f>
        <v>0</v>
      </c>
      <c r="BH907" s="1710">
        <f t="shared" si="56"/>
        <v>27140728620.377289</v>
      </c>
      <c r="BI907" s="1710">
        <f t="shared" si="57"/>
        <v>28667591515.820187</v>
      </c>
      <c r="BJ907" s="1711">
        <f t="shared" si="58"/>
        <v>33607095.378856778</v>
      </c>
      <c r="BK907" s="1711">
        <f t="shared" si="59"/>
        <v>0.94673905917069101</v>
      </c>
    </row>
    <row r="908" spans="3:67" x14ac:dyDescent="0.25">
      <c r="C908" s="246" t="s">
        <v>2258</v>
      </c>
      <c r="D908" s="246">
        <v>1</v>
      </c>
      <c r="E908" s="246">
        <v>2</v>
      </c>
      <c r="F908" s="246">
        <v>3</v>
      </c>
      <c r="G908" s="246">
        <v>6</v>
      </c>
      <c r="H908" s="246">
        <v>9</v>
      </c>
      <c r="I908" s="246">
        <v>10</v>
      </c>
      <c r="J908" s="246">
        <v>14</v>
      </c>
      <c r="K908" s="246">
        <v>15</v>
      </c>
      <c r="L908" s="246"/>
      <c r="M908" s="246"/>
      <c r="N908" s="246"/>
      <c r="O908" s="246"/>
      <c r="P908" s="246"/>
      <c r="Q908" s="246"/>
      <c r="R908" s="246">
        <f>IFERROR(VLOOKUP(D908,PROGRAMAS[],2,FALSE),0)</f>
        <v>97037803.679377079</v>
      </c>
      <c r="S908" s="246">
        <f>IFERROR(VLOOKUP(E908,PROGRAMAS[],2,FALSE),0)</f>
        <v>640501509.6821388</v>
      </c>
      <c r="T908" s="246">
        <f>IFERROR(VLOOKUP(F908,PROGRAMAS[],2,FALSE),0)</f>
        <v>3062327798.1525245</v>
      </c>
      <c r="U908" s="246">
        <f>IFERROR(VLOOKUP(G908,PROGRAMAS[],2,FALSE),0)</f>
        <v>6907648435.8447599</v>
      </c>
      <c r="V908" s="246">
        <f>IFERROR(VLOOKUP(H908,PROGRAMAS[],2,FALSE),0)</f>
        <v>6128579952.1618185</v>
      </c>
      <c r="W908" s="246">
        <f>IFERROR(VLOOKUP(I908,PROGRAMAS[],2,FALSE),0)</f>
        <v>4635315027.8751087</v>
      </c>
      <c r="X908" s="246">
        <f>IFERROR(VLOOKUP(J908,PROGRAMAS[],2,FALSE),0)</f>
        <v>54223862.645839565</v>
      </c>
      <c r="Y908" s="246">
        <f>IFERROR(VLOOKUP(K908,PROGRAMAS[],2,FALSE),0)</f>
        <v>122159672.96346797</v>
      </c>
      <c r="Z908" s="246">
        <f>IFERROR(VLOOKUP(L908,PROGRAMAS[],2,FALSE),0)</f>
        <v>0</v>
      </c>
      <c r="AA908" s="246">
        <f>IFERROR(VLOOKUP(M908,PROGRAMAS[],2,FALSE),0)</f>
        <v>0</v>
      </c>
      <c r="AB908" s="246">
        <f>IFERROR(VLOOKUP(N908,PROGRAMAS[],2,FALSE),0)</f>
        <v>0</v>
      </c>
      <c r="AC908" s="246">
        <f>IFERROR(VLOOKUP(O908,PROGRAMAS[],2,FALSE),0)</f>
        <v>0</v>
      </c>
      <c r="AD908" s="246">
        <f>IFERROR(VLOOKUP(P908,PROGRAMAS[],2,FALSE),0)</f>
        <v>0</v>
      </c>
      <c r="AE908" s="246">
        <f>IFERROR(VLOOKUP(Q908,PROGRAMAS[],2,FALSE),0)</f>
        <v>0</v>
      </c>
      <c r="AF908" s="246">
        <f>IFERROR(VLOOKUP(D908,PROGRAMAS[],3,FALSE),0)</f>
        <v>841888629.31080008</v>
      </c>
      <c r="AG908" s="246">
        <f>IFERROR(VLOOKUP(E908,PROGRAMAS[],3,FALSE),0)</f>
        <v>3848980803.1642323</v>
      </c>
      <c r="AH908" s="246">
        <f>IFERROR(VLOOKUP(F908,PROGRAMAS[],3,FALSE),0)</f>
        <v>3394901471.387517</v>
      </c>
      <c r="AI908" s="246">
        <f>IFERROR(VLOOKUP(G908,PROGRAMAS[],3,FALSE),0)</f>
        <v>6129902208.7912121</v>
      </c>
      <c r="AJ908" s="246">
        <f>IFERROR(VLOOKUP(H908,PROGRAMAS[],3,FALSE),0)</f>
        <v>7011279577.519702</v>
      </c>
      <c r="AK908" s="246">
        <f>IFERROR(VLOOKUP(I908,PROGRAMAS[],3,FALSE),0)</f>
        <v>4099471734.9978786</v>
      </c>
      <c r="AL908" s="246">
        <f>IFERROR(VLOOKUP(J908,PROGRAMAS[],3,FALSE),0)</f>
        <v>31865326.38096505</v>
      </c>
      <c r="AM908" s="246">
        <f>IFERROR(VLOOKUP(K908,PROGRAMAS[],3,FALSE),0)</f>
        <v>118617452.52510804</v>
      </c>
      <c r="AN908" s="246">
        <f>IFERROR(VLOOKUP(L908,PROGRAMAS[],3,FALSE),0)</f>
        <v>0</v>
      </c>
      <c r="AO908" s="246">
        <f>IFERROR(VLOOKUP(M908,PROGRAMAS[],3,FALSE),0)</f>
        <v>0</v>
      </c>
      <c r="AP908" s="246">
        <f>IFERROR(VLOOKUP(N908,PROGRAMAS[],3,FALSE),0)</f>
        <v>0</v>
      </c>
      <c r="AQ908" s="246">
        <f>IFERROR(VLOOKUP(O908,PROGRAMAS[],3,FALSE),0)</f>
        <v>0</v>
      </c>
      <c r="AR908" s="246">
        <f>IFERROR(VLOOKUP(P908,PROGRAMAS[],3,FALSE),0)</f>
        <v>0</v>
      </c>
      <c r="AS908" s="246">
        <f>IFERROR(VLOOKUP(Q908,PROGRAMAS[],3,FALSE),0)</f>
        <v>0</v>
      </c>
      <c r="AT908" s="246">
        <f>IFERROR(VLOOKUP(D908,VOL_REC[],2,FALSE),0)</f>
        <v>0</v>
      </c>
      <c r="AU908" s="246">
        <f>IFERROR(VLOOKUP(E908,VOL_REC[],2,FALSE),0)</f>
        <v>0</v>
      </c>
      <c r="AV908" s="246">
        <f>IFERROR(VLOOKUP(F908,VOL_REC[],2,FALSE),0)</f>
        <v>11089674.200000001</v>
      </c>
      <c r="AW908" s="246">
        <f>IFERROR(VLOOKUP(G908,VOL_REC[],2,FALSE),0)</f>
        <v>15540036.397699751</v>
      </c>
      <c r="AX908" s="246">
        <f>IFERROR(VLOOKUP(H908,VOL_REC[],2,FALSE),0)</f>
        <v>3761786</v>
      </c>
      <c r="AY908" s="246">
        <f>IFERROR(VLOOKUP(I908,VOL_REC[],2,FALSE),0)</f>
        <v>1812240</v>
      </c>
      <c r="AZ908" s="246">
        <f>IFERROR(VLOOKUP(J908,VOL_REC[],2,FALSE),0)</f>
        <v>17074.045034105649</v>
      </c>
      <c r="BA908" s="246">
        <f>IFERROR(VLOOKUP(K908,VOL_REC[],2,FALSE),0)</f>
        <v>105072</v>
      </c>
      <c r="BB908" s="246">
        <f>IFERROR(VLOOKUP(L908,VOL_REC[],2,FALSE),0)</f>
        <v>0</v>
      </c>
      <c r="BC908" s="246">
        <f>IFERROR(VLOOKUP(M908,VOL_REC[],2,FALSE),0)</f>
        <v>0</v>
      </c>
      <c r="BD908" s="246">
        <f>IFERROR(VLOOKUP(N908,VOL_REC[],2,FALSE),0)</f>
        <v>0</v>
      </c>
      <c r="BE908" s="246">
        <f>IFERROR(VLOOKUP(O908,VOL_REC[],2,FALSE),0)</f>
        <v>0</v>
      </c>
      <c r="BF908" s="246">
        <f>IFERROR(VLOOKUP(P908,VOL_REC[],2,FALSE),0)</f>
        <v>0</v>
      </c>
      <c r="BG908" s="246">
        <f>IFERROR(VLOOKUP(Q908,VOL_REC[],2,FALSE),0)</f>
        <v>0</v>
      </c>
      <c r="BH908" s="1710">
        <f t="shared" si="56"/>
        <v>21647794063.005035</v>
      </c>
      <c r="BI908" s="1710">
        <f t="shared" si="57"/>
        <v>25476907204.077419</v>
      </c>
      <c r="BJ908" s="1711">
        <f t="shared" si="58"/>
        <v>32325882.642733861</v>
      </c>
      <c r="BK908" s="1711">
        <f t="shared" si="59"/>
        <v>0.84970259104058132</v>
      </c>
    </row>
    <row r="909" spans="3:67" x14ac:dyDescent="0.25">
      <c r="C909" s="246" t="s">
        <v>2259</v>
      </c>
      <c r="D909" s="246">
        <v>1</v>
      </c>
      <c r="E909" s="246">
        <v>2</v>
      </c>
      <c r="F909" s="246">
        <v>3</v>
      </c>
      <c r="G909" s="246">
        <v>6</v>
      </c>
      <c r="H909" s="246">
        <v>9</v>
      </c>
      <c r="I909" s="246">
        <v>10</v>
      </c>
      <c r="J909" s="246">
        <v>14</v>
      </c>
      <c r="K909" s="246">
        <v>16</v>
      </c>
      <c r="L909" s="246"/>
      <c r="M909" s="246"/>
      <c r="N909" s="246"/>
      <c r="O909" s="246"/>
      <c r="P909" s="246"/>
      <c r="Q909" s="246"/>
      <c r="R909" s="246">
        <f>IFERROR(VLOOKUP(D909,PROGRAMAS[],2,FALSE),0)</f>
        <v>97037803.679377079</v>
      </c>
      <c r="S909" s="246">
        <f>IFERROR(VLOOKUP(E909,PROGRAMAS[],2,FALSE),0)</f>
        <v>640501509.6821388</v>
      </c>
      <c r="T909" s="246">
        <f>IFERROR(VLOOKUP(F909,PROGRAMAS[],2,FALSE),0)</f>
        <v>3062327798.1525245</v>
      </c>
      <c r="U909" s="246">
        <f>IFERROR(VLOOKUP(G909,PROGRAMAS[],2,FALSE),0)</f>
        <v>6907648435.8447599</v>
      </c>
      <c r="V909" s="246">
        <f>IFERROR(VLOOKUP(H909,PROGRAMAS[],2,FALSE),0)</f>
        <v>6128579952.1618185</v>
      </c>
      <c r="W909" s="246">
        <f>IFERROR(VLOOKUP(I909,PROGRAMAS[],2,FALSE),0)</f>
        <v>4635315027.8751087</v>
      </c>
      <c r="X909" s="246">
        <f>IFERROR(VLOOKUP(J909,PROGRAMAS[],2,FALSE),0)</f>
        <v>54223862.645839565</v>
      </c>
      <c r="Y909" s="246">
        <f>IFERROR(VLOOKUP(K909,PROGRAMAS[],2,FALSE),0)</f>
        <v>7068496961.0436354</v>
      </c>
      <c r="Z909" s="246">
        <f>IFERROR(VLOOKUP(L909,PROGRAMAS[],2,FALSE),0)</f>
        <v>0</v>
      </c>
      <c r="AA909" s="246">
        <f>IFERROR(VLOOKUP(M909,PROGRAMAS[],2,FALSE),0)</f>
        <v>0</v>
      </c>
      <c r="AB909" s="246">
        <f>IFERROR(VLOOKUP(N909,PROGRAMAS[],2,FALSE),0)</f>
        <v>0</v>
      </c>
      <c r="AC909" s="246">
        <f>IFERROR(VLOOKUP(O909,PROGRAMAS[],2,FALSE),0)</f>
        <v>0</v>
      </c>
      <c r="AD909" s="246">
        <f>IFERROR(VLOOKUP(P909,PROGRAMAS[],2,FALSE),0)</f>
        <v>0</v>
      </c>
      <c r="AE909" s="246">
        <f>IFERROR(VLOOKUP(Q909,PROGRAMAS[],2,FALSE),0)</f>
        <v>0</v>
      </c>
      <c r="AF909" s="246">
        <f>IFERROR(VLOOKUP(D909,PROGRAMAS[],3,FALSE),0)</f>
        <v>841888629.31080008</v>
      </c>
      <c r="AG909" s="246">
        <f>IFERROR(VLOOKUP(E909,PROGRAMAS[],3,FALSE),0)</f>
        <v>3848980803.1642323</v>
      </c>
      <c r="AH909" s="246">
        <f>IFERROR(VLOOKUP(F909,PROGRAMAS[],3,FALSE),0)</f>
        <v>3394901471.387517</v>
      </c>
      <c r="AI909" s="246">
        <f>IFERROR(VLOOKUP(G909,PROGRAMAS[],3,FALSE),0)</f>
        <v>6129902208.7912121</v>
      </c>
      <c r="AJ909" s="246">
        <f>IFERROR(VLOOKUP(H909,PROGRAMAS[],3,FALSE),0)</f>
        <v>7011279577.519702</v>
      </c>
      <c r="AK909" s="246">
        <f>IFERROR(VLOOKUP(I909,PROGRAMAS[],3,FALSE),0)</f>
        <v>4099471734.9978786</v>
      </c>
      <c r="AL909" s="246">
        <f>IFERROR(VLOOKUP(J909,PROGRAMAS[],3,FALSE),0)</f>
        <v>31865326.38096505</v>
      </c>
      <c r="AM909" s="246">
        <f>IFERROR(VLOOKUP(K909,PROGRAMAS[],3,FALSE),0)</f>
        <v>2406564599.0319901</v>
      </c>
      <c r="AN909" s="246">
        <f>IFERROR(VLOOKUP(L909,PROGRAMAS[],3,FALSE),0)</f>
        <v>0</v>
      </c>
      <c r="AO909" s="246">
        <f>IFERROR(VLOOKUP(M909,PROGRAMAS[],3,FALSE),0)</f>
        <v>0</v>
      </c>
      <c r="AP909" s="246">
        <f>IFERROR(VLOOKUP(N909,PROGRAMAS[],3,FALSE),0)</f>
        <v>0</v>
      </c>
      <c r="AQ909" s="246">
        <f>IFERROR(VLOOKUP(O909,PROGRAMAS[],3,FALSE),0)</f>
        <v>0</v>
      </c>
      <c r="AR909" s="246">
        <f>IFERROR(VLOOKUP(P909,PROGRAMAS[],3,FALSE),0)</f>
        <v>0</v>
      </c>
      <c r="AS909" s="246">
        <f>IFERROR(VLOOKUP(Q909,PROGRAMAS[],3,FALSE),0)</f>
        <v>0</v>
      </c>
      <c r="AT909" s="246">
        <f>IFERROR(VLOOKUP(D909,VOL_REC[],2,FALSE),0)</f>
        <v>0</v>
      </c>
      <c r="AU909" s="246">
        <f>IFERROR(VLOOKUP(E909,VOL_REC[],2,FALSE),0)</f>
        <v>0</v>
      </c>
      <c r="AV909" s="246">
        <f>IFERROR(VLOOKUP(F909,VOL_REC[],2,FALSE),0)</f>
        <v>11089674.200000001</v>
      </c>
      <c r="AW909" s="246">
        <f>IFERROR(VLOOKUP(G909,VOL_REC[],2,FALSE),0)</f>
        <v>15540036.397699751</v>
      </c>
      <c r="AX909" s="246">
        <f>IFERROR(VLOOKUP(H909,VOL_REC[],2,FALSE),0)</f>
        <v>3761786</v>
      </c>
      <c r="AY909" s="246">
        <f>IFERROR(VLOOKUP(I909,VOL_REC[],2,FALSE),0)</f>
        <v>1812240</v>
      </c>
      <c r="AZ909" s="246">
        <f>IFERROR(VLOOKUP(J909,VOL_REC[],2,FALSE),0)</f>
        <v>17074.045034105649</v>
      </c>
      <c r="BA909" s="246">
        <f>IFERROR(VLOOKUP(K909,VOL_REC[],2,FALSE),0)</f>
        <v>1072354.9981737854</v>
      </c>
      <c r="BB909" s="246">
        <f>IFERROR(VLOOKUP(L909,VOL_REC[],2,FALSE),0)</f>
        <v>0</v>
      </c>
      <c r="BC909" s="246">
        <f>IFERROR(VLOOKUP(M909,VOL_REC[],2,FALSE),0)</f>
        <v>0</v>
      </c>
      <c r="BD909" s="246">
        <f>IFERROR(VLOOKUP(N909,VOL_REC[],2,FALSE),0)</f>
        <v>0</v>
      </c>
      <c r="BE909" s="246">
        <f>IFERROR(VLOOKUP(O909,VOL_REC[],2,FALSE),0)</f>
        <v>0</v>
      </c>
      <c r="BF909" s="246">
        <f>IFERROR(VLOOKUP(P909,VOL_REC[],2,FALSE),0)</f>
        <v>0</v>
      </c>
      <c r="BG909" s="246">
        <f>IFERROR(VLOOKUP(Q909,VOL_REC[],2,FALSE),0)</f>
        <v>0</v>
      </c>
      <c r="BH909" s="1710">
        <f t="shared" si="56"/>
        <v>28594131351.085205</v>
      </c>
      <c r="BI909" s="1710">
        <f t="shared" si="57"/>
        <v>27764854350.584301</v>
      </c>
      <c r="BJ909" s="1711">
        <f t="shared" si="58"/>
        <v>33293165.640907645</v>
      </c>
      <c r="BK909" s="1711">
        <f t="shared" si="59"/>
        <v>1.0298678678457915</v>
      </c>
      <c r="BL909">
        <f>BJ909</f>
        <v>33293165.640907645</v>
      </c>
      <c r="BO909">
        <f>BL909</f>
        <v>33293165.640907645</v>
      </c>
    </row>
    <row r="910" spans="3:67" x14ac:dyDescent="0.25">
      <c r="C910" s="246" t="s">
        <v>2260</v>
      </c>
      <c r="D910" s="246">
        <v>1</v>
      </c>
      <c r="E910" s="246">
        <v>2</v>
      </c>
      <c r="F910" s="246">
        <v>3</v>
      </c>
      <c r="G910" s="246">
        <v>6</v>
      </c>
      <c r="H910" s="246">
        <v>9</v>
      </c>
      <c r="I910" s="246">
        <v>10</v>
      </c>
      <c r="J910" s="246">
        <v>14</v>
      </c>
      <c r="K910" s="246">
        <v>17</v>
      </c>
      <c r="L910" s="246"/>
      <c r="M910" s="246"/>
      <c r="N910" s="246"/>
      <c r="O910" s="246"/>
      <c r="P910" s="246"/>
      <c r="Q910" s="246"/>
      <c r="R910" s="246">
        <f>IFERROR(VLOOKUP(D910,PROGRAMAS[],2,FALSE),0)</f>
        <v>97037803.679377079</v>
      </c>
      <c r="S910" s="246">
        <f>IFERROR(VLOOKUP(E910,PROGRAMAS[],2,FALSE),0)</f>
        <v>640501509.6821388</v>
      </c>
      <c r="T910" s="246">
        <f>IFERROR(VLOOKUP(F910,PROGRAMAS[],2,FALSE),0)</f>
        <v>3062327798.1525245</v>
      </c>
      <c r="U910" s="246">
        <f>IFERROR(VLOOKUP(G910,PROGRAMAS[],2,FALSE),0)</f>
        <v>6907648435.8447599</v>
      </c>
      <c r="V910" s="246">
        <f>IFERROR(VLOOKUP(H910,PROGRAMAS[],2,FALSE),0)</f>
        <v>6128579952.1618185</v>
      </c>
      <c r="W910" s="246">
        <f>IFERROR(VLOOKUP(I910,PROGRAMAS[],2,FALSE),0)</f>
        <v>4635315027.8751087</v>
      </c>
      <c r="X910" s="246">
        <f>IFERROR(VLOOKUP(J910,PROGRAMAS[],2,FALSE),0)</f>
        <v>54223862.645839565</v>
      </c>
      <c r="Y910" s="246">
        <f>IFERROR(VLOOKUP(K910,PROGRAMAS[],2,FALSE),0)</f>
        <v>1892779498.5211046</v>
      </c>
      <c r="Z910" s="246">
        <f>IFERROR(VLOOKUP(L910,PROGRAMAS[],2,FALSE),0)</f>
        <v>0</v>
      </c>
      <c r="AA910" s="246">
        <f>IFERROR(VLOOKUP(M910,PROGRAMAS[],2,FALSE),0)</f>
        <v>0</v>
      </c>
      <c r="AB910" s="246">
        <f>IFERROR(VLOOKUP(N910,PROGRAMAS[],2,FALSE),0)</f>
        <v>0</v>
      </c>
      <c r="AC910" s="246">
        <f>IFERROR(VLOOKUP(O910,PROGRAMAS[],2,FALSE),0)</f>
        <v>0</v>
      </c>
      <c r="AD910" s="246">
        <f>IFERROR(VLOOKUP(P910,PROGRAMAS[],2,FALSE),0)</f>
        <v>0</v>
      </c>
      <c r="AE910" s="246">
        <f>IFERROR(VLOOKUP(Q910,PROGRAMAS[],2,FALSE),0)</f>
        <v>0</v>
      </c>
      <c r="AF910" s="246">
        <f>IFERROR(VLOOKUP(D910,PROGRAMAS[],3,FALSE),0)</f>
        <v>841888629.31080008</v>
      </c>
      <c r="AG910" s="246">
        <f>IFERROR(VLOOKUP(E910,PROGRAMAS[],3,FALSE),0)</f>
        <v>3848980803.1642323</v>
      </c>
      <c r="AH910" s="246">
        <f>IFERROR(VLOOKUP(F910,PROGRAMAS[],3,FALSE),0)</f>
        <v>3394901471.387517</v>
      </c>
      <c r="AI910" s="246">
        <f>IFERROR(VLOOKUP(G910,PROGRAMAS[],3,FALSE),0)</f>
        <v>6129902208.7912121</v>
      </c>
      <c r="AJ910" s="246">
        <f>IFERROR(VLOOKUP(H910,PROGRAMAS[],3,FALSE),0)</f>
        <v>7011279577.519702</v>
      </c>
      <c r="AK910" s="246">
        <f>IFERROR(VLOOKUP(I910,PROGRAMAS[],3,FALSE),0)</f>
        <v>4099471734.9978786</v>
      </c>
      <c r="AL910" s="246">
        <f>IFERROR(VLOOKUP(J910,PROGRAMAS[],3,FALSE),0)</f>
        <v>31865326.38096505</v>
      </c>
      <c r="AM910" s="246">
        <f>IFERROR(VLOOKUP(K910,PROGRAMAS[],3,FALSE),0)</f>
        <v>948595847.09039903</v>
      </c>
      <c r="AN910" s="246">
        <f>IFERROR(VLOOKUP(L910,PROGRAMAS[],3,FALSE),0)</f>
        <v>0</v>
      </c>
      <c r="AO910" s="246">
        <f>IFERROR(VLOOKUP(M910,PROGRAMAS[],3,FALSE),0)</f>
        <v>0</v>
      </c>
      <c r="AP910" s="246">
        <f>IFERROR(VLOOKUP(N910,PROGRAMAS[],3,FALSE),0)</f>
        <v>0</v>
      </c>
      <c r="AQ910" s="246">
        <f>IFERROR(VLOOKUP(O910,PROGRAMAS[],3,FALSE),0)</f>
        <v>0</v>
      </c>
      <c r="AR910" s="246">
        <f>IFERROR(VLOOKUP(P910,PROGRAMAS[],3,FALSE),0)</f>
        <v>0</v>
      </c>
      <c r="AS910" s="246">
        <f>IFERROR(VLOOKUP(Q910,PROGRAMAS[],3,FALSE),0)</f>
        <v>0</v>
      </c>
      <c r="AT910" s="246">
        <f>IFERROR(VLOOKUP(D910,VOL_REC[],2,FALSE),0)</f>
        <v>0</v>
      </c>
      <c r="AU910" s="246">
        <f>IFERROR(VLOOKUP(E910,VOL_REC[],2,FALSE),0)</f>
        <v>0</v>
      </c>
      <c r="AV910" s="246">
        <f>IFERROR(VLOOKUP(F910,VOL_REC[],2,FALSE),0)</f>
        <v>11089674.200000001</v>
      </c>
      <c r="AW910" s="246">
        <f>IFERROR(VLOOKUP(G910,VOL_REC[],2,FALSE),0)</f>
        <v>15540036.397699751</v>
      </c>
      <c r="AX910" s="246">
        <f>IFERROR(VLOOKUP(H910,VOL_REC[],2,FALSE),0)</f>
        <v>3761786</v>
      </c>
      <c r="AY910" s="246">
        <f>IFERROR(VLOOKUP(I910,VOL_REC[],2,FALSE),0)</f>
        <v>1812240</v>
      </c>
      <c r="AZ910" s="246">
        <f>IFERROR(VLOOKUP(J910,VOL_REC[],2,FALSE),0)</f>
        <v>17074.045034105649</v>
      </c>
      <c r="BA910" s="246">
        <f>IFERROR(VLOOKUP(K910,VOL_REC[],2,FALSE),0)</f>
        <v>740113.98115702497</v>
      </c>
      <c r="BB910" s="246">
        <f>IFERROR(VLOOKUP(L910,VOL_REC[],2,FALSE),0)</f>
        <v>0</v>
      </c>
      <c r="BC910" s="246">
        <f>IFERROR(VLOOKUP(M910,VOL_REC[],2,FALSE),0)</f>
        <v>0</v>
      </c>
      <c r="BD910" s="246">
        <f>IFERROR(VLOOKUP(N910,VOL_REC[],2,FALSE),0)</f>
        <v>0</v>
      </c>
      <c r="BE910" s="246">
        <f>IFERROR(VLOOKUP(O910,VOL_REC[],2,FALSE),0)</f>
        <v>0</v>
      </c>
      <c r="BF910" s="246">
        <f>IFERROR(VLOOKUP(P910,VOL_REC[],2,FALSE),0)</f>
        <v>0</v>
      </c>
      <c r="BG910" s="246">
        <f>IFERROR(VLOOKUP(Q910,VOL_REC[],2,FALSE),0)</f>
        <v>0</v>
      </c>
      <c r="BH910" s="1710">
        <f t="shared" si="56"/>
        <v>23418413888.562672</v>
      </c>
      <c r="BI910" s="1710">
        <f t="shared" si="57"/>
        <v>26306885598.642712</v>
      </c>
      <c r="BJ910" s="1711">
        <f t="shared" si="58"/>
        <v>32960924.623890884</v>
      </c>
      <c r="BK910" s="1711">
        <f t="shared" si="59"/>
        <v>0.89020092480163937</v>
      </c>
    </row>
    <row r="911" spans="3:67" x14ac:dyDescent="0.25">
      <c r="C911" s="246" t="s">
        <v>2261</v>
      </c>
      <c r="D911" s="246">
        <v>1</v>
      </c>
      <c r="E911" s="246">
        <v>2</v>
      </c>
      <c r="F911" s="246">
        <v>3</v>
      </c>
      <c r="G911" s="246">
        <v>6</v>
      </c>
      <c r="H911" s="246">
        <v>9</v>
      </c>
      <c r="I911" s="246">
        <v>10</v>
      </c>
      <c r="J911" s="246">
        <v>15</v>
      </c>
      <c r="K911" s="246">
        <v>16</v>
      </c>
      <c r="L911" s="246"/>
      <c r="M911" s="246"/>
      <c r="N911" s="246"/>
      <c r="O911" s="246"/>
      <c r="P911" s="246"/>
      <c r="Q911" s="246"/>
      <c r="R911" s="246">
        <f>IFERROR(VLOOKUP(D911,PROGRAMAS[],2,FALSE),0)</f>
        <v>97037803.679377079</v>
      </c>
      <c r="S911" s="246">
        <f>IFERROR(VLOOKUP(E911,PROGRAMAS[],2,FALSE),0)</f>
        <v>640501509.6821388</v>
      </c>
      <c r="T911" s="246">
        <f>IFERROR(VLOOKUP(F911,PROGRAMAS[],2,FALSE),0)</f>
        <v>3062327798.1525245</v>
      </c>
      <c r="U911" s="246">
        <f>IFERROR(VLOOKUP(G911,PROGRAMAS[],2,FALSE),0)</f>
        <v>6907648435.8447599</v>
      </c>
      <c r="V911" s="246">
        <f>IFERROR(VLOOKUP(H911,PROGRAMAS[],2,FALSE),0)</f>
        <v>6128579952.1618185</v>
      </c>
      <c r="W911" s="246">
        <f>IFERROR(VLOOKUP(I911,PROGRAMAS[],2,FALSE),0)</f>
        <v>4635315027.8751087</v>
      </c>
      <c r="X911" s="246">
        <f>IFERROR(VLOOKUP(J911,PROGRAMAS[],2,FALSE),0)</f>
        <v>122159672.96346797</v>
      </c>
      <c r="Y911" s="246">
        <f>IFERROR(VLOOKUP(K911,PROGRAMAS[],2,FALSE),0)</f>
        <v>7068496961.0436354</v>
      </c>
      <c r="Z911" s="246">
        <f>IFERROR(VLOOKUP(L911,PROGRAMAS[],2,FALSE),0)</f>
        <v>0</v>
      </c>
      <c r="AA911" s="246">
        <f>IFERROR(VLOOKUP(M911,PROGRAMAS[],2,FALSE),0)</f>
        <v>0</v>
      </c>
      <c r="AB911" s="246">
        <f>IFERROR(VLOOKUP(N911,PROGRAMAS[],2,FALSE),0)</f>
        <v>0</v>
      </c>
      <c r="AC911" s="246">
        <f>IFERROR(VLOOKUP(O911,PROGRAMAS[],2,FALSE),0)</f>
        <v>0</v>
      </c>
      <c r="AD911" s="246">
        <f>IFERROR(VLOOKUP(P911,PROGRAMAS[],2,FALSE),0)</f>
        <v>0</v>
      </c>
      <c r="AE911" s="246">
        <f>IFERROR(VLOOKUP(Q911,PROGRAMAS[],2,FALSE),0)</f>
        <v>0</v>
      </c>
      <c r="AF911" s="246">
        <f>IFERROR(VLOOKUP(D911,PROGRAMAS[],3,FALSE),0)</f>
        <v>841888629.31080008</v>
      </c>
      <c r="AG911" s="246">
        <f>IFERROR(VLOOKUP(E911,PROGRAMAS[],3,FALSE),0)</f>
        <v>3848980803.1642323</v>
      </c>
      <c r="AH911" s="246">
        <f>IFERROR(VLOOKUP(F911,PROGRAMAS[],3,FALSE),0)</f>
        <v>3394901471.387517</v>
      </c>
      <c r="AI911" s="246">
        <f>IFERROR(VLOOKUP(G911,PROGRAMAS[],3,FALSE),0)</f>
        <v>6129902208.7912121</v>
      </c>
      <c r="AJ911" s="246">
        <f>IFERROR(VLOOKUP(H911,PROGRAMAS[],3,FALSE),0)</f>
        <v>7011279577.519702</v>
      </c>
      <c r="AK911" s="246">
        <f>IFERROR(VLOOKUP(I911,PROGRAMAS[],3,FALSE),0)</f>
        <v>4099471734.9978786</v>
      </c>
      <c r="AL911" s="246">
        <f>IFERROR(VLOOKUP(J911,PROGRAMAS[],3,FALSE),0)</f>
        <v>118617452.52510804</v>
      </c>
      <c r="AM911" s="246">
        <f>IFERROR(VLOOKUP(K911,PROGRAMAS[],3,FALSE),0)</f>
        <v>2406564599.0319901</v>
      </c>
      <c r="AN911" s="246">
        <f>IFERROR(VLOOKUP(L911,PROGRAMAS[],3,FALSE),0)</f>
        <v>0</v>
      </c>
      <c r="AO911" s="246">
        <f>IFERROR(VLOOKUP(M911,PROGRAMAS[],3,FALSE),0)</f>
        <v>0</v>
      </c>
      <c r="AP911" s="246">
        <f>IFERROR(VLOOKUP(N911,PROGRAMAS[],3,FALSE),0)</f>
        <v>0</v>
      </c>
      <c r="AQ911" s="246">
        <f>IFERROR(VLOOKUP(O911,PROGRAMAS[],3,FALSE),0)</f>
        <v>0</v>
      </c>
      <c r="AR911" s="246">
        <f>IFERROR(VLOOKUP(P911,PROGRAMAS[],3,FALSE),0)</f>
        <v>0</v>
      </c>
      <c r="AS911" s="246">
        <f>IFERROR(VLOOKUP(Q911,PROGRAMAS[],3,FALSE),0)</f>
        <v>0</v>
      </c>
      <c r="AT911" s="246">
        <f>IFERROR(VLOOKUP(D911,VOL_REC[],2,FALSE),0)</f>
        <v>0</v>
      </c>
      <c r="AU911" s="246">
        <f>IFERROR(VLOOKUP(E911,VOL_REC[],2,FALSE),0)</f>
        <v>0</v>
      </c>
      <c r="AV911" s="246">
        <f>IFERROR(VLOOKUP(F911,VOL_REC[],2,FALSE),0)</f>
        <v>11089674.200000001</v>
      </c>
      <c r="AW911" s="246">
        <f>IFERROR(VLOOKUP(G911,VOL_REC[],2,FALSE),0)</f>
        <v>15540036.397699751</v>
      </c>
      <c r="AX911" s="246">
        <f>IFERROR(VLOOKUP(H911,VOL_REC[],2,FALSE),0)</f>
        <v>3761786</v>
      </c>
      <c r="AY911" s="246">
        <f>IFERROR(VLOOKUP(I911,VOL_REC[],2,FALSE),0)</f>
        <v>1812240</v>
      </c>
      <c r="AZ911" s="246">
        <f>IFERROR(VLOOKUP(J911,VOL_REC[],2,FALSE),0)</f>
        <v>105072</v>
      </c>
      <c r="BA911" s="246">
        <f>IFERROR(VLOOKUP(K911,VOL_REC[],2,FALSE),0)</f>
        <v>1072354.9981737854</v>
      </c>
      <c r="BB911" s="246">
        <f>IFERROR(VLOOKUP(L911,VOL_REC[],2,FALSE),0)</f>
        <v>0</v>
      </c>
      <c r="BC911" s="246">
        <f>IFERROR(VLOOKUP(M911,VOL_REC[],2,FALSE),0)</f>
        <v>0</v>
      </c>
      <c r="BD911" s="246">
        <f>IFERROR(VLOOKUP(N911,VOL_REC[],2,FALSE),0)</f>
        <v>0</v>
      </c>
      <c r="BE911" s="246">
        <f>IFERROR(VLOOKUP(O911,VOL_REC[],2,FALSE),0)</f>
        <v>0</v>
      </c>
      <c r="BF911" s="246">
        <f>IFERROR(VLOOKUP(P911,VOL_REC[],2,FALSE),0)</f>
        <v>0</v>
      </c>
      <c r="BG911" s="246">
        <f>IFERROR(VLOOKUP(Q911,VOL_REC[],2,FALSE),0)</f>
        <v>0</v>
      </c>
      <c r="BH911" s="1710">
        <f t="shared" si="56"/>
        <v>28662067161.402832</v>
      </c>
      <c r="BI911" s="1710">
        <f t="shared" si="57"/>
        <v>27851606476.728443</v>
      </c>
      <c r="BJ911" s="1711">
        <f t="shared" si="58"/>
        <v>33381163.595873538</v>
      </c>
      <c r="BK911" s="1711">
        <f t="shared" si="59"/>
        <v>1.029099243713341</v>
      </c>
      <c r="BL911">
        <f>BJ911</f>
        <v>33381163.595873538</v>
      </c>
      <c r="BO911">
        <f>BL911</f>
        <v>33381163.595873538</v>
      </c>
    </row>
    <row r="912" spans="3:67" x14ac:dyDescent="0.25">
      <c r="C912" s="246" t="s">
        <v>2262</v>
      </c>
      <c r="D912" s="246">
        <v>1</v>
      </c>
      <c r="E912" s="246">
        <v>2</v>
      </c>
      <c r="F912" s="246">
        <v>3</v>
      </c>
      <c r="G912" s="246">
        <v>6</v>
      </c>
      <c r="H912" s="246">
        <v>9</v>
      </c>
      <c r="I912" s="246">
        <v>10</v>
      </c>
      <c r="J912" s="246">
        <v>15</v>
      </c>
      <c r="K912" s="246">
        <v>17</v>
      </c>
      <c r="L912" s="246"/>
      <c r="M912" s="246"/>
      <c r="N912" s="246"/>
      <c r="O912" s="246"/>
      <c r="P912" s="246"/>
      <c r="Q912" s="246"/>
      <c r="R912" s="246">
        <f>IFERROR(VLOOKUP(D912,PROGRAMAS[],2,FALSE),0)</f>
        <v>97037803.679377079</v>
      </c>
      <c r="S912" s="246">
        <f>IFERROR(VLOOKUP(E912,PROGRAMAS[],2,FALSE),0)</f>
        <v>640501509.6821388</v>
      </c>
      <c r="T912" s="246">
        <f>IFERROR(VLOOKUP(F912,PROGRAMAS[],2,FALSE),0)</f>
        <v>3062327798.1525245</v>
      </c>
      <c r="U912" s="246">
        <f>IFERROR(VLOOKUP(G912,PROGRAMAS[],2,FALSE),0)</f>
        <v>6907648435.8447599</v>
      </c>
      <c r="V912" s="246">
        <f>IFERROR(VLOOKUP(H912,PROGRAMAS[],2,FALSE),0)</f>
        <v>6128579952.1618185</v>
      </c>
      <c r="W912" s="246">
        <f>IFERROR(VLOOKUP(I912,PROGRAMAS[],2,FALSE),0)</f>
        <v>4635315027.8751087</v>
      </c>
      <c r="X912" s="246">
        <f>IFERROR(VLOOKUP(J912,PROGRAMAS[],2,FALSE),0)</f>
        <v>122159672.96346797</v>
      </c>
      <c r="Y912" s="246">
        <f>IFERROR(VLOOKUP(K912,PROGRAMAS[],2,FALSE),0)</f>
        <v>1892779498.5211046</v>
      </c>
      <c r="Z912" s="246">
        <f>IFERROR(VLOOKUP(L912,PROGRAMAS[],2,FALSE),0)</f>
        <v>0</v>
      </c>
      <c r="AA912" s="246">
        <f>IFERROR(VLOOKUP(M912,PROGRAMAS[],2,FALSE),0)</f>
        <v>0</v>
      </c>
      <c r="AB912" s="246">
        <f>IFERROR(VLOOKUP(N912,PROGRAMAS[],2,FALSE),0)</f>
        <v>0</v>
      </c>
      <c r="AC912" s="246">
        <f>IFERROR(VLOOKUP(O912,PROGRAMAS[],2,FALSE),0)</f>
        <v>0</v>
      </c>
      <c r="AD912" s="246">
        <f>IFERROR(VLOOKUP(P912,PROGRAMAS[],2,FALSE),0)</f>
        <v>0</v>
      </c>
      <c r="AE912" s="246">
        <f>IFERROR(VLOOKUP(Q912,PROGRAMAS[],2,FALSE),0)</f>
        <v>0</v>
      </c>
      <c r="AF912" s="246">
        <f>IFERROR(VLOOKUP(D912,PROGRAMAS[],3,FALSE),0)</f>
        <v>841888629.31080008</v>
      </c>
      <c r="AG912" s="246">
        <f>IFERROR(VLOOKUP(E912,PROGRAMAS[],3,FALSE),0)</f>
        <v>3848980803.1642323</v>
      </c>
      <c r="AH912" s="246">
        <f>IFERROR(VLOOKUP(F912,PROGRAMAS[],3,FALSE),0)</f>
        <v>3394901471.387517</v>
      </c>
      <c r="AI912" s="246">
        <f>IFERROR(VLOOKUP(G912,PROGRAMAS[],3,FALSE),0)</f>
        <v>6129902208.7912121</v>
      </c>
      <c r="AJ912" s="246">
        <f>IFERROR(VLOOKUP(H912,PROGRAMAS[],3,FALSE),0)</f>
        <v>7011279577.519702</v>
      </c>
      <c r="AK912" s="246">
        <f>IFERROR(VLOOKUP(I912,PROGRAMAS[],3,FALSE),0)</f>
        <v>4099471734.9978786</v>
      </c>
      <c r="AL912" s="246">
        <f>IFERROR(VLOOKUP(J912,PROGRAMAS[],3,FALSE),0)</f>
        <v>118617452.52510804</v>
      </c>
      <c r="AM912" s="246">
        <f>IFERROR(VLOOKUP(K912,PROGRAMAS[],3,FALSE),0)</f>
        <v>948595847.09039903</v>
      </c>
      <c r="AN912" s="246">
        <f>IFERROR(VLOOKUP(L912,PROGRAMAS[],3,FALSE),0)</f>
        <v>0</v>
      </c>
      <c r="AO912" s="246">
        <f>IFERROR(VLOOKUP(M912,PROGRAMAS[],3,FALSE),0)</f>
        <v>0</v>
      </c>
      <c r="AP912" s="246">
        <f>IFERROR(VLOOKUP(N912,PROGRAMAS[],3,FALSE),0)</f>
        <v>0</v>
      </c>
      <c r="AQ912" s="246">
        <f>IFERROR(VLOOKUP(O912,PROGRAMAS[],3,FALSE),0)</f>
        <v>0</v>
      </c>
      <c r="AR912" s="246">
        <f>IFERROR(VLOOKUP(P912,PROGRAMAS[],3,FALSE),0)</f>
        <v>0</v>
      </c>
      <c r="AS912" s="246">
        <f>IFERROR(VLOOKUP(Q912,PROGRAMAS[],3,FALSE),0)</f>
        <v>0</v>
      </c>
      <c r="AT912" s="246">
        <f>IFERROR(VLOOKUP(D912,VOL_REC[],2,FALSE),0)</f>
        <v>0</v>
      </c>
      <c r="AU912" s="246">
        <f>IFERROR(VLOOKUP(E912,VOL_REC[],2,FALSE),0)</f>
        <v>0</v>
      </c>
      <c r="AV912" s="246">
        <f>IFERROR(VLOOKUP(F912,VOL_REC[],2,FALSE),0)</f>
        <v>11089674.200000001</v>
      </c>
      <c r="AW912" s="246">
        <f>IFERROR(VLOOKUP(G912,VOL_REC[],2,FALSE),0)</f>
        <v>15540036.397699751</v>
      </c>
      <c r="AX912" s="246">
        <f>IFERROR(VLOOKUP(H912,VOL_REC[],2,FALSE),0)</f>
        <v>3761786</v>
      </c>
      <c r="AY912" s="246">
        <f>IFERROR(VLOOKUP(I912,VOL_REC[],2,FALSE),0)</f>
        <v>1812240</v>
      </c>
      <c r="AZ912" s="246">
        <f>IFERROR(VLOOKUP(J912,VOL_REC[],2,FALSE),0)</f>
        <v>105072</v>
      </c>
      <c r="BA912" s="246">
        <f>IFERROR(VLOOKUP(K912,VOL_REC[],2,FALSE),0)</f>
        <v>740113.98115702497</v>
      </c>
      <c r="BB912" s="246">
        <f>IFERROR(VLOOKUP(L912,VOL_REC[],2,FALSE),0)</f>
        <v>0</v>
      </c>
      <c r="BC912" s="246">
        <f>IFERROR(VLOOKUP(M912,VOL_REC[],2,FALSE),0)</f>
        <v>0</v>
      </c>
      <c r="BD912" s="246">
        <f>IFERROR(VLOOKUP(N912,VOL_REC[],2,FALSE),0)</f>
        <v>0</v>
      </c>
      <c r="BE912" s="246">
        <f>IFERROR(VLOOKUP(O912,VOL_REC[],2,FALSE),0)</f>
        <v>0</v>
      </c>
      <c r="BF912" s="246">
        <f>IFERROR(VLOOKUP(P912,VOL_REC[],2,FALSE),0)</f>
        <v>0</v>
      </c>
      <c r="BG912" s="246">
        <f>IFERROR(VLOOKUP(Q912,VOL_REC[],2,FALSE),0)</f>
        <v>0</v>
      </c>
      <c r="BH912" s="1710">
        <f t="shared" si="56"/>
        <v>23486349698.880299</v>
      </c>
      <c r="BI912" s="1710">
        <f t="shared" si="57"/>
        <v>26393637724.786854</v>
      </c>
      <c r="BJ912" s="1711">
        <f t="shared" si="58"/>
        <v>33048922.578856777</v>
      </c>
      <c r="BK912" s="1711">
        <f t="shared" si="59"/>
        <v>0.88984890767155389</v>
      </c>
    </row>
    <row r="913" spans="3:67" x14ac:dyDescent="0.25">
      <c r="C913" s="246" t="s">
        <v>2263</v>
      </c>
      <c r="D913" s="246">
        <v>1</v>
      </c>
      <c r="E913" s="246">
        <v>2</v>
      </c>
      <c r="F913" s="246">
        <v>3</v>
      </c>
      <c r="G913" s="246">
        <v>6</v>
      </c>
      <c r="H913" s="246">
        <v>9</v>
      </c>
      <c r="I913" s="246">
        <v>10</v>
      </c>
      <c r="J913" s="246">
        <v>16</v>
      </c>
      <c r="K913" s="246">
        <v>17</v>
      </c>
      <c r="L913" s="246"/>
      <c r="M913" s="246"/>
      <c r="N913" s="246"/>
      <c r="O913" s="246"/>
      <c r="P913" s="246"/>
      <c r="Q913" s="246"/>
      <c r="R913" s="246">
        <f>IFERROR(VLOOKUP(D913,PROGRAMAS[],2,FALSE),0)</f>
        <v>97037803.679377079</v>
      </c>
      <c r="S913" s="246">
        <f>IFERROR(VLOOKUP(E913,PROGRAMAS[],2,FALSE),0)</f>
        <v>640501509.6821388</v>
      </c>
      <c r="T913" s="246">
        <f>IFERROR(VLOOKUP(F913,PROGRAMAS[],2,FALSE),0)</f>
        <v>3062327798.1525245</v>
      </c>
      <c r="U913" s="246">
        <f>IFERROR(VLOOKUP(G913,PROGRAMAS[],2,FALSE),0)</f>
        <v>6907648435.8447599</v>
      </c>
      <c r="V913" s="246">
        <f>IFERROR(VLOOKUP(H913,PROGRAMAS[],2,FALSE),0)</f>
        <v>6128579952.1618185</v>
      </c>
      <c r="W913" s="246">
        <f>IFERROR(VLOOKUP(I913,PROGRAMAS[],2,FALSE),0)</f>
        <v>4635315027.8751087</v>
      </c>
      <c r="X913" s="246">
        <f>IFERROR(VLOOKUP(J913,PROGRAMAS[],2,FALSE),0)</f>
        <v>7068496961.0436354</v>
      </c>
      <c r="Y913" s="246">
        <f>IFERROR(VLOOKUP(K913,PROGRAMAS[],2,FALSE),0)</f>
        <v>1892779498.5211046</v>
      </c>
      <c r="Z913" s="246">
        <f>IFERROR(VLOOKUP(L913,PROGRAMAS[],2,FALSE),0)</f>
        <v>0</v>
      </c>
      <c r="AA913" s="246">
        <f>IFERROR(VLOOKUP(M913,PROGRAMAS[],2,FALSE),0)</f>
        <v>0</v>
      </c>
      <c r="AB913" s="246">
        <f>IFERROR(VLOOKUP(N913,PROGRAMAS[],2,FALSE),0)</f>
        <v>0</v>
      </c>
      <c r="AC913" s="246">
        <f>IFERROR(VLOOKUP(O913,PROGRAMAS[],2,FALSE),0)</f>
        <v>0</v>
      </c>
      <c r="AD913" s="246">
        <f>IFERROR(VLOOKUP(P913,PROGRAMAS[],2,FALSE),0)</f>
        <v>0</v>
      </c>
      <c r="AE913" s="246">
        <f>IFERROR(VLOOKUP(Q913,PROGRAMAS[],2,FALSE),0)</f>
        <v>0</v>
      </c>
      <c r="AF913" s="246">
        <f>IFERROR(VLOOKUP(D913,PROGRAMAS[],3,FALSE),0)</f>
        <v>841888629.31080008</v>
      </c>
      <c r="AG913" s="246">
        <f>IFERROR(VLOOKUP(E913,PROGRAMAS[],3,FALSE),0)</f>
        <v>3848980803.1642323</v>
      </c>
      <c r="AH913" s="246">
        <f>IFERROR(VLOOKUP(F913,PROGRAMAS[],3,FALSE),0)</f>
        <v>3394901471.387517</v>
      </c>
      <c r="AI913" s="246">
        <f>IFERROR(VLOOKUP(G913,PROGRAMAS[],3,FALSE),0)</f>
        <v>6129902208.7912121</v>
      </c>
      <c r="AJ913" s="246">
        <f>IFERROR(VLOOKUP(H913,PROGRAMAS[],3,FALSE),0)</f>
        <v>7011279577.519702</v>
      </c>
      <c r="AK913" s="246">
        <f>IFERROR(VLOOKUP(I913,PROGRAMAS[],3,FALSE),0)</f>
        <v>4099471734.9978786</v>
      </c>
      <c r="AL913" s="246">
        <f>IFERROR(VLOOKUP(J913,PROGRAMAS[],3,FALSE),0)</f>
        <v>2406564599.0319901</v>
      </c>
      <c r="AM913" s="246">
        <f>IFERROR(VLOOKUP(K913,PROGRAMAS[],3,FALSE),0)</f>
        <v>948595847.09039903</v>
      </c>
      <c r="AN913" s="246">
        <f>IFERROR(VLOOKUP(L913,PROGRAMAS[],3,FALSE),0)</f>
        <v>0</v>
      </c>
      <c r="AO913" s="246">
        <f>IFERROR(VLOOKUP(M913,PROGRAMAS[],3,FALSE),0)</f>
        <v>0</v>
      </c>
      <c r="AP913" s="246">
        <f>IFERROR(VLOOKUP(N913,PROGRAMAS[],3,FALSE),0)</f>
        <v>0</v>
      </c>
      <c r="AQ913" s="246">
        <f>IFERROR(VLOOKUP(O913,PROGRAMAS[],3,FALSE),0)</f>
        <v>0</v>
      </c>
      <c r="AR913" s="246">
        <f>IFERROR(VLOOKUP(P913,PROGRAMAS[],3,FALSE),0)</f>
        <v>0</v>
      </c>
      <c r="AS913" s="246">
        <f>IFERROR(VLOOKUP(Q913,PROGRAMAS[],3,FALSE),0)</f>
        <v>0</v>
      </c>
      <c r="AT913" s="246">
        <f>IFERROR(VLOOKUP(D913,VOL_REC[],2,FALSE),0)</f>
        <v>0</v>
      </c>
      <c r="AU913" s="246">
        <f>IFERROR(VLOOKUP(E913,VOL_REC[],2,FALSE),0)</f>
        <v>0</v>
      </c>
      <c r="AV913" s="246">
        <f>IFERROR(VLOOKUP(F913,VOL_REC[],2,FALSE),0)</f>
        <v>11089674.200000001</v>
      </c>
      <c r="AW913" s="246">
        <f>IFERROR(VLOOKUP(G913,VOL_REC[],2,FALSE),0)</f>
        <v>15540036.397699751</v>
      </c>
      <c r="AX913" s="246">
        <f>IFERROR(VLOOKUP(H913,VOL_REC[],2,FALSE),0)</f>
        <v>3761786</v>
      </c>
      <c r="AY913" s="246">
        <f>IFERROR(VLOOKUP(I913,VOL_REC[],2,FALSE),0)</f>
        <v>1812240</v>
      </c>
      <c r="AZ913" s="246">
        <f>IFERROR(VLOOKUP(J913,VOL_REC[],2,FALSE),0)</f>
        <v>1072354.9981737854</v>
      </c>
      <c r="BA913" s="246">
        <f>IFERROR(VLOOKUP(K913,VOL_REC[],2,FALSE),0)</f>
        <v>740113.98115702497</v>
      </c>
      <c r="BB913" s="246">
        <f>IFERROR(VLOOKUP(L913,VOL_REC[],2,FALSE),0)</f>
        <v>0</v>
      </c>
      <c r="BC913" s="246">
        <f>IFERROR(VLOOKUP(M913,VOL_REC[],2,FALSE),0)</f>
        <v>0</v>
      </c>
      <c r="BD913" s="246">
        <f>IFERROR(VLOOKUP(N913,VOL_REC[],2,FALSE),0)</f>
        <v>0</v>
      </c>
      <c r="BE913" s="246">
        <f>IFERROR(VLOOKUP(O913,VOL_REC[],2,FALSE),0)</f>
        <v>0</v>
      </c>
      <c r="BF913" s="246">
        <f>IFERROR(VLOOKUP(P913,VOL_REC[],2,FALSE),0)</f>
        <v>0</v>
      </c>
      <c r="BG913" s="246">
        <f>IFERROR(VLOOKUP(Q913,VOL_REC[],2,FALSE),0)</f>
        <v>0</v>
      </c>
      <c r="BH913" s="1710">
        <f t="shared" si="56"/>
        <v>30432686986.960468</v>
      </c>
      <c r="BI913" s="1710">
        <f t="shared" si="57"/>
        <v>28681584871.293736</v>
      </c>
      <c r="BJ913" s="1711">
        <f t="shared" si="58"/>
        <v>34016205.577030562</v>
      </c>
      <c r="BK913" s="1711">
        <f t="shared" si="59"/>
        <v>1.0610531852937926</v>
      </c>
      <c r="BL913">
        <f>BJ913</f>
        <v>34016205.577030562</v>
      </c>
      <c r="BO913">
        <f>BL913</f>
        <v>34016205.577030562</v>
      </c>
    </row>
    <row r="914" spans="3:67" x14ac:dyDescent="0.25">
      <c r="C914" s="246" t="s">
        <v>2264</v>
      </c>
      <c r="D914" s="246">
        <v>1</v>
      </c>
      <c r="E914" s="246">
        <v>2</v>
      </c>
      <c r="F914" s="246">
        <v>3</v>
      </c>
      <c r="G914" s="246">
        <v>6</v>
      </c>
      <c r="H914" s="246">
        <v>9</v>
      </c>
      <c r="I914" s="246">
        <v>12</v>
      </c>
      <c r="J914" s="246">
        <v>13</v>
      </c>
      <c r="K914" s="246">
        <v>14</v>
      </c>
      <c r="L914" s="246"/>
      <c r="M914" s="246"/>
      <c r="N914" s="246"/>
      <c r="O914" s="246"/>
      <c r="P914" s="246"/>
      <c r="Q914" s="246"/>
      <c r="R914" s="246">
        <f>IFERROR(VLOOKUP(D914,PROGRAMAS[],2,FALSE),0)</f>
        <v>97037803.679377079</v>
      </c>
      <c r="S914" s="246">
        <f>IFERROR(VLOOKUP(E914,PROGRAMAS[],2,FALSE),0)</f>
        <v>640501509.6821388</v>
      </c>
      <c r="T914" s="246">
        <f>IFERROR(VLOOKUP(F914,PROGRAMAS[],2,FALSE),0)</f>
        <v>3062327798.1525245</v>
      </c>
      <c r="U914" s="246">
        <f>IFERROR(VLOOKUP(G914,PROGRAMAS[],2,FALSE),0)</f>
        <v>6907648435.8447599</v>
      </c>
      <c r="V914" s="246">
        <f>IFERROR(VLOOKUP(H914,PROGRAMAS[],2,FALSE),0)</f>
        <v>6128579952.1618185</v>
      </c>
      <c r="W914" s="246">
        <f>IFERROR(VLOOKUP(I914,PROGRAMAS[],2,FALSE),0)</f>
        <v>764796700.79905891</v>
      </c>
      <c r="X914" s="246">
        <f>IFERROR(VLOOKUP(J914,PROGRAMAS[],2,FALSE),0)</f>
        <v>3776538594.4604583</v>
      </c>
      <c r="Y914" s="246">
        <f>IFERROR(VLOOKUP(K914,PROGRAMAS[],2,FALSE),0)</f>
        <v>54223862.645839565</v>
      </c>
      <c r="Z914" s="246">
        <f>IFERROR(VLOOKUP(L914,PROGRAMAS[],2,FALSE),0)</f>
        <v>0</v>
      </c>
      <c r="AA914" s="246">
        <f>IFERROR(VLOOKUP(M914,PROGRAMAS[],2,FALSE),0)</f>
        <v>0</v>
      </c>
      <c r="AB914" s="246">
        <f>IFERROR(VLOOKUP(N914,PROGRAMAS[],2,FALSE),0)</f>
        <v>0</v>
      </c>
      <c r="AC914" s="246">
        <f>IFERROR(VLOOKUP(O914,PROGRAMAS[],2,FALSE),0)</f>
        <v>0</v>
      </c>
      <c r="AD914" s="246">
        <f>IFERROR(VLOOKUP(P914,PROGRAMAS[],2,FALSE),0)</f>
        <v>0</v>
      </c>
      <c r="AE914" s="246">
        <f>IFERROR(VLOOKUP(Q914,PROGRAMAS[],2,FALSE),0)</f>
        <v>0</v>
      </c>
      <c r="AF914" s="246">
        <f>IFERROR(VLOOKUP(D914,PROGRAMAS[],3,FALSE),0)</f>
        <v>841888629.31080008</v>
      </c>
      <c r="AG914" s="246">
        <f>IFERROR(VLOOKUP(E914,PROGRAMAS[],3,FALSE),0)</f>
        <v>3848980803.1642323</v>
      </c>
      <c r="AH914" s="246">
        <f>IFERROR(VLOOKUP(F914,PROGRAMAS[],3,FALSE),0)</f>
        <v>3394901471.387517</v>
      </c>
      <c r="AI914" s="246">
        <f>IFERROR(VLOOKUP(G914,PROGRAMAS[],3,FALSE),0)</f>
        <v>6129902208.7912121</v>
      </c>
      <c r="AJ914" s="246">
        <f>IFERROR(VLOOKUP(H914,PROGRAMAS[],3,FALSE),0)</f>
        <v>7011279577.519702</v>
      </c>
      <c r="AK914" s="246">
        <f>IFERROR(VLOOKUP(I914,PROGRAMAS[],3,FALSE),0)</f>
        <v>675517840.109828</v>
      </c>
      <c r="AL914" s="246">
        <f>IFERROR(VLOOKUP(J914,PROGRAMAS[],3,FALSE),0)</f>
        <v>2392571243.5584412</v>
      </c>
      <c r="AM914" s="246">
        <f>IFERROR(VLOOKUP(K914,PROGRAMAS[],3,FALSE),0)</f>
        <v>31865326.38096505</v>
      </c>
      <c r="AN914" s="246">
        <f>IFERROR(VLOOKUP(L914,PROGRAMAS[],3,FALSE),0)</f>
        <v>0</v>
      </c>
      <c r="AO914" s="246">
        <f>IFERROR(VLOOKUP(M914,PROGRAMAS[],3,FALSE),0)</f>
        <v>0</v>
      </c>
      <c r="AP914" s="246">
        <f>IFERROR(VLOOKUP(N914,PROGRAMAS[],3,FALSE),0)</f>
        <v>0</v>
      </c>
      <c r="AQ914" s="246">
        <f>IFERROR(VLOOKUP(O914,PROGRAMAS[],3,FALSE),0)</f>
        <v>0</v>
      </c>
      <c r="AR914" s="246">
        <f>IFERROR(VLOOKUP(P914,PROGRAMAS[],3,FALSE),0)</f>
        <v>0</v>
      </c>
      <c r="AS914" s="246">
        <f>IFERROR(VLOOKUP(Q914,PROGRAMAS[],3,FALSE),0)</f>
        <v>0</v>
      </c>
      <c r="AT914" s="246">
        <f>IFERROR(VLOOKUP(D914,VOL_REC[],2,FALSE),0)</f>
        <v>0</v>
      </c>
      <c r="AU914" s="246">
        <f>IFERROR(VLOOKUP(E914,VOL_REC[],2,FALSE),0)</f>
        <v>0</v>
      </c>
      <c r="AV914" s="246">
        <f>IFERROR(VLOOKUP(F914,VOL_REC[],2,FALSE),0)</f>
        <v>11089674.200000001</v>
      </c>
      <c r="AW914" s="246">
        <f>IFERROR(VLOOKUP(G914,VOL_REC[],2,FALSE),0)</f>
        <v>15540036.397699751</v>
      </c>
      <c r="AX914" s="246">
        <f>IFERROR(VLOOKUP(H914,VOL_REC[],2,FALSE),0)</f>
        <v>3761786</v>
      </c>
      <c r="AY914" s="246">
        <f>IFERROR(VLOOKUP(I914,VOL_REC[],2,FALSE),0)</f>
        <v>240696.79238099116</v>
      </c>
      <c r="AZ914" s="246">
        <f>IFERROR(VLOOKUP(J914,VOL_REC[],2,FALSE),0)</f>
        <v>663244.80000000016</v>
      </c>
      <c r="BA914" s="246">
        <f>IFERROR(VLOOKUP(K914,VOL_REC[],2,FALSE),0)</f>
        <v>17074.045034105649</v>
      </c>
      <c r="BB914" s="246">
        <f>IFERROR(VLOOKUP(L914,VOL_REC[],2,FALSE),0)</f>
        <v>0</v>
      </c>
      <c r="BC914" s="246">
        <f>IFERROR(VLOOKUP(M914,VOL_REC[],2,FALSE),0)</f>
        <v>0</v>
      </c>
      <c r="BD914" s="246">
        <f>IFERROR(VLOOKUP(N914,VOL_REC[],2,FALSE),0)</f>
        <v>0</v>
      </c>
      <c r="BE914" s="246">
        <f>IFERROR(VLOOKUP(O914,VOL_REC[],2,FALSE),0)</f>
        <v>0</v>
      </c>
      <c r="BF914" s="246">
        <f>IFERROR(VLOOKUP(P914,VOL_REC[],2,FALSE),0)</f>
        <v>0</v>
      </c>
      <c r="BG914" s="246">
        <f>IFERROR(VLOOKUP(Q914,VOL_REC[],2,FALSE),0)</f>
        <v>0</v>
      </c>
      <c r="BH914" s="1710">
        <f t="shared" si="56"/>
        <v>21431654657.425976</v>
      </c>
      <c r="BI914" s="1710">
        <f t="shared" si="57"/>
        <v>24326907100.222702</v>
      </c>
      <c r="BJ914" s="1711">
        <f t="shared" si="58"/>
        <v>31312512.235114854</v>
      </c>
      <c r="BK914" s="1711">
        <f t="shared" si="59"/>
        <v>0.88098559217294736</v>
      </c>
    </row>
    <row r="915" spans="3:67" x14ac:dyDescent="0.25">
      <c r="C915" s="246" t="s">
        <v>2265</v>
      </c>
      <c r="D915" s="246">
        <v>1</v>
      </c>
      <c r="E915" s="246">
        <v>2</v>
      </c>
      <c r="F915" s="246">
        <v>3</v>
      </c>
      <c r="G915" s="246">
        <v>6</v>
      </c>
      <c r="H915" s="246">
        <v>9</v>
      </c>
      <c r="I915" s="246">
        <v>12</v>
      </c>
      <c r="J915" s="246">
        <v>13</v>
      </c>
      <c r="K915" s="246">
        <v>15</v>
      </c>
      <c r="L915" s="246"/>
      <c r="M915" s="246"/>
      <c r="N915" s="246"/>
      <c r="O915" s="246"/>
      <c r="P915" s="246"/>
      <c r="Q915" s="246"/>
      <c r="R915" s="246">
        <f>IFERROR(VLOOKUP(D915,PROGRAMAS[],2,FALSE),0)</f>
        <v>97037803.679377079</v>
      </c>
      <c r="S915" s="246">
        <f>IFERROR(VLOOKUP(E915,PROGRAMAS[],2,FALSE),0)</f>
        <v>640501509.6821388</v>
      </c>
      <c r="T915" s="246">
        <f>IFERROR(VLOOKUP(F915,PROGRAMAS[],2,FALSE),0)</f>
        <v>3062327798.1525245</v>
      </c>
      <c r="U915" s="246">
        <f>IFERROR(VLOOKUP(G915,PROGRAMAS[],2,FALSE),0)</f>
        <v>6907648435.8447599</v>
      </c>
      <c r="V915" s="246">
        <f>IFERROR(VLOOKUP(H915,PROGRAMAS[],2,FALSE),0)</f>
        <v>6128579952.1618185</v>
      </c>
      <c r="W915" s="246">
        <f>IFERROR(VLOOKUP(I915,PROGRAMAS[],2,FALSE),0)</f>
        <v>764796700.79905891</v>
      </c>
      <c r="X915" s="246">
        <f>IFERROR(VLOOKUP(J915,PROGRAMAS[],2,FALSE),0)</f>
        <v>3776538594.4604583</v>
      </c>
      <c r="Y915" s="246">
        <f>IFERROR(VLOOKUP(K915,PROGRAMAS[],2,FALSE),0)</f>
        <v>122159672.96346797</v>
      </c>
      <c r="Z915" s="246">
        <f>IFERROR(VLOOKUP(L915,PROGRAMAS[],2,FALSE),0)</f>
        <v>0</v>
      </c>
      <c r="AA915" s="246">
        <f>IFERROR(VLOOKUP(M915,PROGRAMAS[],2,FALSE),0)</f>
        <v>0</v>
      </c>
      <c r="AB915" s="246">
        <f>IFERROR(VLOOKUP(N915,PROGRAMAS[],2,FALSE),0)</f>
        <v>0</v>
      </c>
      <c r="AC915" s="246">
        <f>IFERROR(VLOOKUP(O915,PROGRAMAS[],2,FALSE),0)</f>
        <v>0</v>
      </c>
      <c r="AD915" s="246">
        <f>IFERROR(VLOOKUP(P915,PROGRAMAS[],2,FALSE),0)</f>
        <v>0</v>
      </c>
      <c r="AE915" s="246">
        <f>IFERROR(VLOOKUP(Q915,PROGRAMAS[],2,FALSE),0)</f>
        <v>0</v>
      </c>
      <c r="AF915" s="246">
        <f>IFERROR(VLOOKUP(D915,PROGRAMAS[],3,FALSE),0)</f>
        <v>841888629.31080008</v>
      </c>
      <c r="AG915" s="246">
        <f>IFERROR(VLOOKUP(E915,PROGRAMAS[],3,FALSE),0)</f>
        <v>3848980803.1642323</v>
      </c>
      <c r="AH915" s="246">
        <f>IFERROR(VLOOKUP(F915,PROGRAMAS[],3,FALSE),0)</f>
        <v>3394901471.387517</v>
      </c>
      <c r="AI915" s="246">
        <f>IFERROR(VLOOKUP(G915,PROGRAMAS[],3,FALSE),0)</f>
        <v>6129902208.7912121</v>
      </c>
      <c r="AJ915" s="246">
        <f>IFERROR(VLOOKUP(H915,PROGRAMAS[],3,FALSE),0)</f>
        <v>7011279577.519702</v>
      </c>
      <c r="AK915" s="246">
        <f>IFERROR(VLOOKUP(I915,PROGRAMAS[],3,FALSE),0)</f>
        <v>675517840.109828</v>
      </c>
      <c r="AL915" s="246">
        <f>IFERROR(VLOOKUP(J915,PROGRAMAS[],3,FALSE),0)</f>
        <v>2392571243.5584412</v>
      </c>
      <c r="AM915" s="246">
        <f>IFERROR(VLOOKUP(K915,PROGRAMAS[],3,FALSE),0)</f>
        <v>118617452.52510804</v>
      </c>
      <c r="AN915" s="246">
        <f>IFERROR(VLOOKUP(L915,PROGRAMAS[],3,FALSE),0)</f>
        <v>0</v>
      </c>
      <c r="AO915" s="246">
        <f>IFERROR(VLOOKUP(M915,PROGRAMAS[],3,FALSE),0)</f>
        <v>0</v>
      </c>
      <c r="AP915" s="246">
        <f>IFERROR(VLOOKUP(N915,PROGRAMAS[],3,FALSE),0)</f>
        <v>0</v>
      </c>
      <c r="AQ915" s="246">
        <f>IFERROR(VLOOKUP(O915,PROGRAMAS[],3,FALSE),0)</f>
        <v>0</v>
      </c>
      <c r="AR915" s="246">
        <f>IFERROR(VLOOKUP(P915,PROGRAMAS[],3,FALSE),0)</f>
        <v>0</v>
      </c>
      <c r="AS915" s="246">
        <f>IFERROR(VLOOKUP(Q915,PROGRAMAS[],3,FALSE),0)</f>
        <v>0</v>
      </c>
      <c r="AT915" s="246">
        <f>IFERROR(VLOOKUP(D915,VOL_REC[],2,FALSE),0)</f>
        <v>0</v>
      </c>
      <c r="AU915" s="246">
        <f>IFERROR(VLOOKUP(E915,VOL_REC[],2,FALSE),0)</f>
        <v>0</v>
      </c>
      <c r="AV915" s="246">
        <f>IFERROR(VLOOKUP(F915,VOL_REC[],2,FALSE),0)</f>
        <v>11089674.200000001</v>
      </c>
      <c r="AW915" s="246">
        <f>IFERROR(VLOOKUP(G915,VOL_REC[],2,FALSE),0)</f>
        <v>15540036.397699751</v>
      </c>
      <c r="AX915" s="246">
        <f>IFERROR(VLOOKUP(H915,VOL_REC[],2,FALSE),0)</f>
        <v>3761786</v>
      </c>
      <c r="AY915" s="246">
        <f>IFERROR(VLOOKUP(I915,VOL_REC[],2,FALSE),0)</f>
        <v>240696.79238099116</v>
      </c>
      <c r="AZ915" s="246">
        <f>IFERROR(VLOOKUP(J915,VOL_REC[],2,FALSE),0)</f>
        <v>663244.80000000016</v>
      </c>
      <c r="BA915" s="246">
        <f>IFERROR(VLOOKUP(K915,VOL_REC[],2,FALSE),0)</f>
        <v>105072</v>
      </c>
      <c r="BB915" s="246">
        <f>IFERROR(VLOOKUP(L915,VOL_REC[],2,FALSE),0)</f>
        <v>0</v>
      </c>
      <c r="BC915" s="246">
        <f>IFERROR(VLOOKUP(M915,VOL_REC[],2,FALSE),0)</f>
        <v>0</v>
      </c>
      <c r="BD915" s="246">
        <f>IFERROR(VLOOKUP(N915,VOL_REC[],2,FALSE),0)</f>
        <v>0</v>
      </c>
      <c r="BE915" s="246">
        <f>IFERROR(VLOOKUP(O915,VOL_REC[],2,FALSE),0)</f>
        <v>0</v>
      </c>
      <c r="BF915" s="246">
        <f>IFERROR(VLOOKUP(P915,VOL_REC[],2,FALSE),0)</f>
        <v>0</v>
      </c>
      <c r="BG915" s="246">
        <f>IFERROR(VLOOKUP(Q915,VOL_REC[],2,FALSE),0)</f>
        <v>0</v>
      </c>
      <c r="BH915" s="1710">
        <f t="shared" si="56"/>
        <v>21499590467.743603</v>
      </c>
      <c r="BI915" s="1710">
        <f t="shared" si="57"/>
        <v>24413659226.366844</v>
      </c>
      <c r="BJ915" s="1711">
        <f t="shared" si="58"/>
        <v>31400510.190080747</v>
      </c>
      <c r="BK915" s="1711">
        <f t="shared" si="59"/>
        <v>0.88063777201100457</v>
      </c>
    </row>
    <row r="916" spans="3:67" x14ac:dyDescent="0.25">
      <c r="C916" s="246" t="s">
        <v>2266</v>
      </c>
      <c r="D916" s="246">
        <v>1</v>
      </c>
      <c r="E916" s="246">
        <v>2</v>
      </c>
      <c r="F916" s="246">
        <v>3</v>
      </c>
      <c r="G916" s="246">
        <v>6</v>
      </c>
      <c r="H916" s="246">
        <v>9</v>
      </c>
      <c r="I916" s="246">
        <v>12</v>
      </c>
      <c r="J916" s="246">
        <v>13</v>
      </c>
      <c r="K916" s="246">
        <v>16</v>
      </c>
      <c r="L916" s="246"/>
      <c r="M916" s="246"/>
      <c r="N916" s="246"/>
      <c r="O916" s="246"/>
      <c r="P916" s="246"/>
      <c r="Q916" s="246"/>
      <c r="R916" s="246">
        <f>IFERROR(VLOOKUP(D916,PROGRAMAS[],2,FALSE),0)</f>
        <v>97037803.679377079</v>
      </c>
      <c r="S916" s="246">
        <f>IFERROR(VLOOKUP(E916,PROGRAMAS[],2,FALSE),0)</f>
        <v>640501509.6821388</v>
      </c>
      <c r="T916" s="246">
        <f>IFERROR(VLOOKUP(F916,PROGRAMAS[],2,FALSE),0)</f>
        <v>3062327798.1525245</v>
      </c>
      <c r="U916" s="246">
        <f>IFERROR(VLOOKUP(G916,PROGRAMAS[],2,FALSE),0)</f>
        <v>6907648435.8447599</v>
      </c>
      <c r="V916" s="246">
        <f>IFERROR(VLOOKUP(H916,PROGRAMAS[],2,FALSE),0)</f>
        <v>6128579952.1618185</v>
      </c>
      <c r="W916" s="246">
        <f>IFERROR(VLOOKUP(I916,PROGRAMAS[],2,FALSE),0)</f>
        <v>764796700.79905891</v>
      </c>
      <c r="X916" s="246">
        <f>IFERROR(VLOOKUP(J916,PROGRAMAS[],2,FALSE),0)</f>
        <v>3776538594.4604583</v>
      </c>
      <c r="Y916" s="246">
        <f>IFERROR(VLOOKUP(K916,PROGRAMAS[],2,FALSE),0)</f>
        <v>7068496961.0436354</v>
      </c>
      <c r="Z916" s="246">
        <f>IFERROR(VLOOKUP(L916,PROGRAMAS[],2,FALSE),0)</f>
        <v>0</v>
      </c>
      <c r="AA916" s="246">
        <f>IFERROR(VLOOKUP(M916,PROGRAMAS[],2,FALSE),0)</f>
        <v>0</v>
      </c>
      <c r="AB916" s="246">
        <f>IFERROR(VLOOKUP(N916,PROGRAMAS[],2,FALSE),0)</f>
        <v>0</v>
      </c>
      <c r="AC916" s="246">
        <f>IFERROR(VLOOKUP(O916,PROGRAMAS[],2,FALSE),0)</f>
        <v>0</v>
      </c>
      <c r="AD916" s="246">
        <f>IFERROR(VLOOKUP(P916,PROGRAMAS[],2,FALSE),0)</f>
        <v>0</v>
      </c>
      <c r="AE916" s="246">
        <f>IFERROR(VLOOKUP(Q916,PROGRAMAS[],2,FALSE),0)</f>
        <v>0</v>
      </c>
      <c r="AF916" s="246">
        <f>IFERROR(VLOOKUP(D916,PROGRAMAS[],3,FALSE),0)</f>
        <v>841888629.31080008</v>
      </c>
      <c r="AG916" s="246">
        <f>IFERROR(VLOOKUP(E916,PROGRAMAS[],3,FALSE),0)</f>
        <v>3848980803.1642323</v>
      </c>
      <c r="AH916" s="246">
        <f>IFERROR(VLOOKUP(F916,PROGRAMAS[],3,FALSE),0)</f>
        <v>3394901471.387517</v>
      </c>
      <c r="AI916" s="246">
        <f>IFERROR(VLOOKUP(G916,PROGRAMAS[],3,FALSE),0)</f>
        <v>6129902208.7912121</v>
      </c>
      <c r="AJ916" s="246">
        <f>IFERROR(VLOOKUP(H916,PROGRAMAS[],3,FALSE),0)</f>
        <v>7011279577.519702</v>
      </c>
      <c r="AK916" s="246">
        <f>IFERROR(VLOOKUP(I916,PROGRAMAS[],3,FALSE),0)</f>
        <v>675517840.109828</v>
      </c>
      <c r="AL916" s="246">
        <f>IFERROR(VLOOKUP(J916,PROGRAMAS[],3,FALSE),0)</f>
        <v>2392571243.5584412</v>
      </c>
      <c r="AM916" s="246">
        <f>IFERROR(VLOOKUP(K916,PROGRAMAS[],3,FALSE),0)</f>
        <v>2406564599.0319901</v>
      </c>
      <c r="AN916" s="246">
        <f>IFERROR(VLOOKUP(L916,PROGRAMAS[],3,FALSE),0)</f>
        <v>0</v>
      </c>
      <c r="AO916" s="246">
        <f>IFERROR(VLOOKUP(M916,PROGRAMAS[],3,FALSE),0)</f>
        <v>0</v>
      </c>
      <c r="AP916" s="246">
        <f>IFERROR(VLOOKUP(N916,PROGRAMAS[],3,FALSE),0)</f>
        <v>0</v>
      </c>
      <c r="AQ916" s="246">
        <f>IFERROR(VLOOKUP(O916,PROGRAMAS[],3,FALSE),0)</f>
        <v>0</v>
      </c>
      <c r="AR916" s="246">
        <f>IFERROR(VLOOKUP(P916,PROGRAMAS[],3,FALSE),0)</f>
        <v>0</v>
      </c>
      <c r="AS916" s="246">
        <f>IFERROR(VLOOKUP(Q916,PROGRAMAS[],3,FALSE),0)</f>
        <v>0</v>
      </c>
      <c r="AT916" s="246">
        <f>IFERROR(VLOOKUP(D916,VOL_REC[],2,FALSE),0)</f>
        <v>0</v>
      </c>
      <c r="AU916" s="246">
        <f>IFERROR(VLOOKUP(E916,VOL_REC[],2,FALSE),0)</f>
        <v>0</v>
      </c>
      <c r="AV916" s="246">
        <f>IFERROR(VLOOKUP(F916,VOL_REC[],2,FALSE),0)</f>
        <v>11089674.200000001</v>
      </c>
      <c r="AW916" s="246">
        <f>IFERROR(VLOOKUP(G916,VOL_REC[],2,FALSE),0)</f>
        <v>15540036.397699751</v>
      </c>
      <c r="AX916" s="246">
        <f>IFERROR(VLOOKUP(H916,VOL_REC[],2,FALSE),0)</f>
        <v>3761786</v>
      </c>
      <c r="AY916" s="246">
        <f>IFERROR(VLOOKUP(I916,VOL_REC[],2,FALSE),0)</f>
        <v>240696.79238099116</v>
      </c>
      <c r="AZ916" s="246">
        <f>IFERROR(VLOOKUP(J916,VOL_REC[],2,FALSE),0)</f>
        <v>663244.80000000016</v>
      </c>
      <c r="BA916" s="246">
        <f>IFERROR(VLOOKUP(K916,VOL_REC[],2,FALSE),0)</f>
        <v>1072354.9981737854</v>
      </c>
      <c r="BB916" s="246">
        <f>IFERROR(VLOOKUP(L916,VOL_REC[],2,FALSE),0)</f>
        <v>0</v>
      </c>
      <c r="BC916" s="246">
        <f>IFERROR(VLOOKUP(M916,VOL_REC[],2,FALSE),0)</f>
        <v>0</v>
      </c>
      <c r="BD916" s="246">
        <f>IFERROR(VLOOKUP(N916,VOL_REC[],2,FALSE),0)</f>
        <v>0</v>
      </c>
      <c r="BE916" s="246">
        <f>IFERROR(VLOOKUP(O916,VOL_REC[],2,FALSE),0)</f>
        <v>0</v>
      </c>
      <c r="BF916" s="246">
        <f>IFERROR(VLOOKUP(P916,VOL_REC[],2,FALSE),0)</f>
        <v>0</v>
      </c>
      <c r="BG916" s="246">
        <f>IFERROR(VLOOKUP(Q916,VOL_REC[],2,FALSE),0)</f>
        <v>0</v>
      </c>
      <c r="BH916" s="1710">
        <f t="shared" si="56"/>
        <v>28445927755.823772</v>
      </c>
      <c r="BI916" s="1710">
        <f t="shared" si="57"/>
        <v>26701606372.873726</v>
      </c>
      <c r="BJ916" s="1711">
        <f t="shared" si="58"/>
        <v>32367793.188254531</v>
      </c>
      <c r="BK916" s="1711">
        <f t="shared" si="59"/>
        <v>1.0653264585879789</v>
      </c>
      <c r="BL916">
        <f>BJ916</f>
        <v>32367793.188254531</v>
      </c>
      <c r="BO916">
        <f>BL916</f>
        <v>32367793.188254531</v>
      </c>
    </row>
    <row r="917" spans="3:67" x14ac:dyDescent="0.25">
      <c r="C917" s="246" t="s">
        <v>2267</v>
      </c>
      <c r="D917" s="246">
        <v>1</v>
      </c>
      <c r="E917" s="246">
        <v>2</v>
      </c>
      <c r="F917" s="246">
        <v>3</v>
      </c>
      <c r="G917" s="246">
        <v>6</v>
      </c>
      <c r="H917" s="246">
        <v>9</v>
      </c>
      <c r="I917" s="246">
        <v>12</v>
      </c>
      <c r="J917" s="246">
        <v>13</v>
      </c>
      <c r="K917" s="246">
        <v>17</v>
      </c>
      <c r="L917" s="246"/>
      <c r="M917" s="246"/>
      <c r="N917" s="246"/>
      <c r="O917" s="246"/>
      <c r="P917" s="246"/>
      <c r="Q917" s="246"/>
      <c r="R917" s="246">
        <f>IFERROR(VLOOKUP(D917,PROGRAMAS[],2,FALSE),0)</f>
        <v>97037803.679377079</v>
      </c>
      <c r="S917" s="246">
        <f>IFERROR(VLOOKUP(E917,PROGRAMAS[],2,FALSE),0)</f>
        <v>640501509.6821388</v>
      </c>
      <c r="T917" s="246">
        <f>IFERROR(VLOOKUP(F917,PROGRAMAS[],2,FALSE),0)</f>
        <v>3062327798.1525245</v>
      </c>
      <c r="U917" s="246">
        <f>IFERROR(VLOOKUP(G917,PROGRAMAS[],2,FALSE),0)</f>
        <v>6907648435.8447599</v>
      </c>
      <c r="V917" s="246">
        <f>IFERROR(VLOOKUP(H917,PROGRAMAS[],2,FALSE),0)</f>
        <v>6128579952.1618185</v>
      </c>
      <c r="W917" s="246">
        <f>IFERROR(VLOOKUP(I917,PROGRAMAS[],2,FALSE),0)</f>
        <v>764796700.79905891</v>
      </c>
      <c r="X917" s="246">
        <f>IFERROR(VLOOKUP(J917,PROGRAMAS[],2,FALSE),0)</f>
        <v>3776538594.4604583</v>
      </c>
      <c r="Y917" s="246">
        <f>IFERROR(VLOOKUP(K917,PROGRAMAS[],2,FALSE),0)</f>
        <v>1892779498.5211046</v>
      </c>
      <c r="Z917" s="246">
        <f>IFERROR(VLOOKUP(L917,PROGRAMAS[],2,FALSE),0)</f>
        <v>0</v>
      </c>
      <c r="AA917" s="246">
        <f>IFERROR(VLOOKUP(M917,PROGRAMAS[],2,FALSE),0)</f>
        <v>0</v>
      </c>
      <c r="AB917" s="246">
        <f>IFERROR(VLOOKUP(N917,PROGRAMAS[],2,FALSE),0)</f>
        <v>0</v>
      </c>
      <c r="AC917" s="246">
        <f>IFERROR(VLOOKUP(O917,PROGRAMAS[],2,FALSE),0)</f>
        <v>0</v>
      </c>
      <c r="AD917" s="246">
        <f>IFERROR(VLOOKUP(P917,PROGRAMAS[],2,FALSE),0)</f>
        <v>0</v>
      </c>
      <c r="AE917" s="246">
        <f>IFERROR(VLOOKUP(Q917,PROGRAMAS[],2,FALSE),0)</f>
        <v>0</v>
      </c>
      <c r="AF917" s="246">
        <f>IFERROR(VLOOKUP(D917,PROGRAMAS[],3,FALSE),0)</f>
        <v>841888629.31080008</v>
      </c>
      <c r="AG917" s="246">
        <f>IFERROR(VLOOKUP(E917,PROGRAMAS[],3,FALSE),0)</f>
        <v>3848980803.1642323</v>
      </c>
      <c r="AH917" s="246">
        <f>IFERROR(VLOOKUP(F917,PROGRAMAS[],3,FALSE),0)</f>
        <v>3394901471.387517</v>
      </c>
      <c r="AI917" s="246">
        <f>IFERROR(VLOOKUP(G917,PROGRAMAS[],3,FALSE),0)</f>
        <v>6129902208.7912121</v>
      </c>
      <c r="AJ917" s="246">
        <f>IFERROR(VLOOKUP(H917,PROGRAMAS[],3,FALSE),0)</f>
        <v>7011279577.519702</v>
      </c>
      <c r="AK917" s="246">
        <f>IFERROR(VLOOKUP(I917,PROGRAMAS[],3,FALSE),0)</f>
        <v>675517840.109828</v>
      </c>
      <c r="AL917" s="246">
        <f>IFERROR(VLOOKUP(J917,PROGRAMAS[],3,FALSE),0)</f>
        <v>2392571243.5584412</v>
      </c>
      <c r="AM917" s="246">
        <f>IFERROR(VLOOKUP(K917,PROGRAMAS[],3,FALSE),0)</f>
        <v>948595847.09039903</v>
      </c>
      <c r="AN917" s="246">
        <f>IFERROR(VLOOKUP(L917,PROGRAMAS[],3,FALSE),0)</f>
        <v>0</v>
      </c>
      <c r="AO917" s="246">
        <f>IFERROR(VLOOKUP(M917,PROGRAMAS[],3,FALSE),0)</f>
        <v>0</v>
      </c>
      <c r="AP917" s="246">
        <f>IFERROR(VLOOKUP(N917,PROGRAMAS[],3,FALSE),0)</f>
        <v>0</v>
      </c>
      <c r="AQ917" s="246">
        <f>IFERROR(VLOOKUP(O917,PROGRAMAS[],3,FALSE),0)</f>
        <v>0</v>
      </c>
      <c r="AR917" s="246">
        <f>IFERROR(VLOOKUP(P917,PROGRAMAS[],3,FALSE),0)</f>
        <v>0</v>
      </c>
      <c r="AS917" s="246">
        <f>IFERROR(VLOOKUP(Q917,PROGRAMAS[],3,FALSE),0)</f>
        <v>0</v>
      </c>
      <c r="AT917" s="246">
        <f>IFERROR(VLOOKUP(D917,VOL_REC[],2,FALSE),0)</f>
        <v>0</v>
      </c>
      <c r="AU917" s="246">
        <f>IFERROR(VLOOKUP(E917,VOL_REC[],2,FALSE),0)</f>
        <v>0</v>
      </c>
      <c r="AV917" s="246">
        <f>IFERROR(VLOOKUP(F917,VOL_REC[],2,FALSE),0)</f>
        <v>11089674.200000001</v>
      </c>
      <c r="AW917" s="246">
        <f>IFERROR(VLOOKUP(G917,VOL_REC[],2,FALSE),0)</f>
        <v>15540036.397699751</v>
      </c>
      <c r="AX917" s="246">
        <f>IFERROR(VLOOKUP(H917,VOL_REC[],2,FALSE),0)</f>
        <v>3761786</v>
      </c>
      <c r="AY917" s="246">
        <f>IFERROR(VLOOKUP(I917,VOL_REC[],2,FALSE),0)</f>
        <v>240696.79238099116</v>
      </c>
      <c r="AZ917" s="246">
        <f>IFERROR(VLOOKUP(J917,VOL_REC[],2,FALSE),0)</f>
        <v>663244.80000000016</v>
      </c>
      <c r="BA917" s="246">
        <f>IFERROR(VLOOKUP(K917,VOL_REC[],2,FALSE),0)</f>
        <v>740113.98115702497</v>
      </c>
      <c r="BB917" s="246">
        <f>IFERROR(VLOOKUP(L917,VOL_REC[],2,FALSE),0)</f>
        <v>0</v>
      </c>
      <c r="BC917" s="246">
        <f>IFERROR(VLOOKUP(M917,VOL_REC[],2,FALSE),0)</f>
        <v>0</v>
      </c>
      <c r="BD917" s="246">
        <f>IFERROR(VLOOKUP(N917,VOL_REC[],2,FALSE),0)</f>
        <v>0</v>
      </c>
      <c r="BE917" s="246">
        <f>IFERROR(VLOOKUP(O917,VOL_REC[],2,FALSE),0)</f>
        <v>0</v>
      </c>
      <c r="BF917" s="246">
        <f>IFERROR(VLOOKUP(P917,VOL_REC[],2,FALSE),0)</f>
        <v>0</v>
      </c>
      <c r="BG917" s="246">
        <f>IFERROR(VLOOKUP(Q917,VOL_REC[],2,FALSE),0)</f>
        <v>0</v>
      </c>
      <c r="BH917" s="1710">
        <f t="shared" si="56"/>
        <v>23270210293.301239</v>
      </c>
      <c r="BI917" s="1710">
        <f t="shared" si="57"/>
        <v>25243637620.932137</v>
      </c>
      <c r="BJ917" s="1711">
        <f t="shared" si="58"/>
        <v>32035552.17123777</v>
      </c>
      <c r="BK917" s="1711">
        <f t="shared" si="59"/>
        <v>0.92182476403501679</v>
      </c>
    </row>
    <row r="918" spans="3:67" x14ac:dyDescent="0.25">
      <c r="C918" s="246" t="s">
        <v>2268</v>
      </c>
      <c r="D918" s="246">
        <v>1</v>
      </c>
      <c r="E918" s="246">
        <v>2</v>
      </c>
      <c r="F918" s="246">
        <v>3</v>
      </c>
      <c r="G918" s="246">
        <v>6</v>
      </c>
      <c r="H918" s="246">
        <v>9</v>
      </c>
      <c r="I918" s="246">
        <v>12</v>
      </c>
      <c r="J918" s="246">
        <v>14</v>
      </c>
      <c r="K918" s="246">
        <v>15</v>
      </c>
      <c r="L918" s="246"/>
      <c r="M918" s="246"/>
      <c r="N918" s="246"/>
      <c r="O918" s="246"/>
      <c r="P918" s="246"/>
      <c r="Q918" s="246"/>
      <c r="R918" s="246">
        <f>IFERROR(VLOOKUP(D918,PROGRAMAS[],2,FALSE),0)</f>
        <v>97037803.679377079</v>
      </c>
      <c r="S918" s="246">
        <f>IFERROR(VLOOKUP(E918,PROGRAMAS[],2,FALSE),0)</f>
        <v>640501509.6821388</v>
      </c>
      <c r="T918" s="246">
        <f>IFERROR(VLOOKUP(F918,PROGRAMAS[],2,FALSE),0)</f>
        <v>3062327798.1525245</v>
      </c>
      <c r="U918" s="246">
        <f>IFERROR(VLOOKUP(G918,PROGRAMAS[],2,FALSE),0)</f>
        <v>6907648435.8447599</v>
      </c>
      <c r="V918" s="246">
        <f>IFERROR(VLOOKUP(H918,PROGRAMAS[],2,FALSE),0)</f>
        <v>6128579952.1618185</v>
      </c>
      <c r="W918" s="246">
        <f>IFERROR(VLOOKUP(I918,PROGRAMAS[],2,FALSE),0)</f>
        <v>764796700.79905891</v>
      </c>
      <c r="X918" s="246">
        <f>IFERROR(VLOOKUP(J918,PROGRAMAS[],2,FALSE),0)</f>
        <v>54223862.645839565</v>
      </c>
      <c r="Y918" s="246">
        <f>IFERROR(VLOOKUP(K918,PROGRAMAS[],2,FALSE),0)</f>
        <v>122159672.96346797</v>
      </c>
      <c r="Z918" s="246">
        <f>IFERROR(VLOOKUP(L918,PROGRAMAS[],2,FALSE),0)</f>
        <v>0</v>
      </c>
      <c r="AA918" s="246">
        <f>IFERROR(VLOOKUP(M918,PROGRAMAS[],2,FALSE),0)</f>
        <v>0</v>
      </c>
      <c r="AB918" s="246">
        <f>IFERROR(VLOOKUP(N918,PROGRAMAS[],2,FALSE),0)</f>
        <v>0</v>
      </c>
      <c r="AC918" s="246">
        <f>IFERROR(VLOOKUP(O918,PROGRAMAS[],2,FALSE),0)</f>
        <v>0</v>
      </c>
      <c r="AD918" s="246">
        <f>IFERROR(VLOOKUP(P918,PROGRAMAS[],2,FALSE),0)</f>
        <v>0</v>
      </c>
      <c r="AE918" s="246">
        <f>IFERROR(VLOOKUP(Q918,PROGRAMAS[],2,FALSE),0)</f>
        <v>0</v>
      </c>
      <c r="AF918" s="246">
        <f>IFERROR(VLOOKUP(D918,PROGRAMAS[],3,FALSE),0)</f>
        <v>841888629.31080008</v>
      </c>
      <c r="AG918" s="246">
        <f>IFERROR(VLOOKUP(E918,PROGRAMAS[],3,FALSE),0)</f>
        <v>3848980803.1642323</v>
      </c>
      <c r="AH918" s="246">
        <f>IFERROR(VLOOKUP(F918,PROGRAMAS[],3,FALSE),0)</f>
        <v>3394901471.387517</v>
      </c>
      <c r="AI918" s="246">
        <f>IFERROR(VLOOKUP(G918,PROGRAMAS[],3,FALSE),0)</f>
        <v>6129902208.7912121</v>
      </c>
      <c r="AJ918" s="246">
        <f>IFERROR(VLOOKUP(H918,PROGRAMAS[],3,FALSE),0)</f>
        <v>7011279577.519702</v>
      </c>
      <c r="AK918" s="246">
        <f>IFERROR(VLOOKUP(I918,PROGRAMAS[],3,FALSE),0)</f>
        <v>675517840.109828</v>
      </c>
      <c r="AL918" s="246">
        <f>IFERROR(VLOOKUP(J918,PROGRAMAS[],3,FALSE),0)</f>
        <v>31865326.38096505</v>
      </c>
      <c r="AM918" s="246">
        <f>IFERROR(VLOOKUP(K918,PROGRAMAS[],3,FALSE),0)</f>
        <v>118617452.52510804</v>
      </c>
      <c r="AN918" s="246">
        <f>IFERROR(VLOOKUP(L918,PROGRAMAS[],3,FALSE),0)</f>
        <v>0</v>
      </c>
      <c r="AO918" s="246">
        <f>IFERROR(VLOOKUP(M918,PROGRAMAS[],3,FALSE),0)</f>
        <v>0</v>
      </c>
      <c r="AP918" s="246">
        <f>IFERROR(VLOOKUP(N918,PROGRAMAS[],3,FALSE),0)</f>
        <v>0</v>
      </c>
      <c r="AQ918" s="246">
        <f>IFERROR(VLOOKUP(O918,PROGRAMAS[],3,FALSE),0)</f>
        <v>0</v>
      </c>
      <c r="AR918" s="246">
        <f>IFERROR(VLOOKUP(P918,PROGRAMAS[],3,FALSE),0)</f>
        <v>0</v>
      </c>
      <c r="AS918" s="246">
        <f>IFERROR(VLOOKUP(Q918,PROGRAMAS[],3,FALSE),0)</f>
        <v>0</v>
      </c>
      <c r="AT918" s="246">
        <f>IFERROR(VLOOKUP(D918,VOL_REC[],2,FALSE),0)</f>
        <v>0</v>
      </c>
      <c r="AU918" s="246">
        <f>IFERROR(VLOOKUP(E918,VOL_REC[],2,FALSE),0)</f>
        <v>0</v>
      </c>
      <c r="AV918" s="246">
        <f>IFERROR(VLOOKUP(F918,VOL_REC[],2,FALSE),0)</f>
        <v>11089674.200000001</v>
      </c>
      <c r="AW918" s="246">
        <f>IFERROR(VLOOKUP(G918,VOL_REC[],2,FALSE),0)</f>
        <v>15540036.397699751</v>
      </c>
      <c r="AX918" s="246">
        <f>IFERROR(VLOOKUP(H918,VOL_REC[],2,FALSE),0)</f>
        <v>3761786</v>
      </c>
      <c r="AY918" s="246">
        <f>IFERROR(VLOOKUP(I918,VOL_REC[],2,FALSE),0)</f>
        <v>240696.79238099116</v>
      </c>
      <c r="AZ918" s="246">
        <f>IFERROR(VLOOKUP(J918,VOL_REC[],2,FALSE),0)</f>
        <v>17074.045034105649</v>
      </c>
      <c r="BA918" s="246">
        <f>IFERROR(VLOOKUP(K918,VOL_REC[],2,FALSE),0)</f>
        <v>105072</v>
      </c>
      <c r="BB918" s="246">
        <f>IFERROR(VLOOKUP(L918,VOL_REC[],2,FALSE),0)</f>
        <v>0</v>
      </c>
      <c r="BC918" s="246">
        <f>IFERROR(VLOOKUP(M918,VOL_REC[],2,FALSE),0)</f>
        <v>0</v>
      </c>
      <c r="BD918" s="246">
        <f>IFERROR(VLOOKUP(N918,VOL_REC[],2,FALSE),0)</f>
        <v>0</v>
      </c>
      <c r="BE918" s="246">
        <f>IFERROR(VLOOKUP(O918,VOL_REC[],2,FALSE),0)</f>
        <v>0</v>
      </c>
      <c r="BF918" s="246">
        <f>IFERROR(VLOOKUP(P918,VOL_REC[],2,FALSE),0)</f>
        <v>0</v>
      </c>
      <c r="BG918" s="246">
        <f>IFERROR(VLOOKUP(Q918,VOL_REC[],2,FALSE),0)</f>
        <v>0</v>
      </c>
      <c r="BH918" s="1710">
        <f t="shared" si="56"/>
        <v>17777275735.928986</v>
      </c>
      <c r="BI918" s="1710">
        <f t="shared" si="57"/>
        <v>22052953309.189369</v>
      </c>
      <c r="BJ918" s="1711">
        <f t="shared" si="58"/>
        <v>30754339.435114853</v>
      </c>
      <c r="BK918" s="1711">
        <f t="shared" si="59"/>
        <v>0.80611768803415884</v>
      </c>
    </row>
    <row r="919" spans="3:67" x14ac:dyDescent="0.25">
      <c r="C919" s="246" t="s">
        <v>2269</v>
      </c>
      <c r="D919" s="246">
        <v>1</v>
      </c>
      <c r="E919" s="246">
        <v>2</v>
      </c>
      <c r="F919" s="246">
        <v>3</v>
      </c>
      <c r="G919" s="246">
        <v>6</v>
      </c>
      <c r="H919" s="246">
        <v>9</v>
      </c>
      <c r="I919" s="246">
        <v>12</v>
      </c>
      <c r="J919" s="246">
        <v>14</v>
      </c>
      <c r="K919" s="246">
        <v>16</v>
      </c>
      <c r="L919" s="246"/>
      <c r="M919" s="246"/>
      <c r="N919" s="246"/>
      <c r="O919" s="246"/>
      <c r="P919" s="246"/>
      <c r="Q919" s="246"/>
      <c r="R919" s="246">
        <f>IFERROR(VLOOKUP(D919,PROGRAMAS[],2,FALSE),0)</f>
        <v>97037803.679377079</v>
      </c>
      <c r="S919" s="246">
        <f>IFERROR(VLOOKUP(E919,PROGRAMAS[],2,FALSE),0)</f>
        <v>640501509.6821388</v>
      </c>
      <c r="T919" s="246">
        <f>IFERROR(VLOOKUP(F919,PROGRAMAS[],2,FALSE),0)</f>
        <v>3062327798.1525245</v>
      </c>
      <c r="U919" s="246">
        <f>IFERROR(VLOOKUP(G919,PROGRAMAS[],2,FALSE),0)</f>
        <v>6907648435.8447599</v>
      </c>
      <c r="V919" s="246">
        <f>IFERROR(VLOOKUP(H919,PROGRAMAS[],2,FALSE),0)</f>
        <v>6128579952.1618185</v>
      </c>
      <c r="W919" s="246">
        <f>IFERROR(VLOOKUP(I919,PROGRAMAS[],2,FALSE),0)</f>
        <v>764796700.79905891</v>
      </c>
      <c r="X919" s="246">
        <f>IFERROR(VLOOKUP(J919,PROGRAMAS[],2,FALSE),0)</f>
        <v>54223862.645839565</v>
      </c>
      <c r="Y919" s="246">
        <f>IFERROR(VLOOKUP(K919,PROGRAMAS[],2,FALSE),0)</f>
        <v>7068496961.0436354</v>
      </c>
      <c r="Z919" s="246">
        <f>IFERROR(VLOOKUP(L919,PROGRAMAS[],2,FALSE),0)</f>
        <v>0</v>
      </c>
      <c r="AA919" s="246">
        <f>IFERROR(VLOOKUP(M919,PROGRAMAS[],2,FALSE),0)</f>
        <v>0</v>
      </c>
      <c r="AB919" s="246">
        <f>IFERROR(VLOOKUP(N919,PROGRAMAS[],2,FALSE),0)</f>
        <v>0</v>
      </c>
      <c r="AC919" s="246">
        <f>IFERROR(VLOOKUP(O919,PROGRAMAS[],2,FALSE),0)</f>
        <v>0</v>
      </c>
      <c r="AD919" s="246">
        <f>IFERROR(VLOOKUP(P919,PROGRAMAS[],2,FALSE),0)</f>
        <v>0</v>
      </c>
      <c r="AE919" s="246">
        <f>IFERROR(VLOOKUP(Q919,PROGRAMAS[],2,FALSE),0)</f>
        <v>0</v>
      </c>
      <c r="AF919" s="246">
        <f>IFERROR(VLOOKUP(D919,PROGRAMAS[],3,FALSE),0)</f>
        <v>841888629.31080008</v>
      </c>
      <c r="AG919" s="246">
        <f>IFERROR(VLOOKUP(E919,PROGRAMAS[],3,FALSE),0)</f>
        <v>3848980803.1642323</v>
      </c>
      <c r="AH919" s="246">
        <f>IFERROR(VLOOKUP(F919,PROGRAMAS[],3,FALSE),0)</f>
        <v>3394901471.387517</v>
      </c>
      <c r="AI919" s="246">
        <f>IFERROR(VLOOKUP(G919,PROGRAMAS[],3,FALSE),0)</f>
        <v>6129902208.7912121</v>
      </c>
      <c r="AJ919" s="246">
        <f>IFERROR(VLOOKUP(H919,PROGRAMAS[],3,FALSE),0)</f>
        <v>7011279577.519702</v>
      </c>
      <c r="AK919" s="246">
        <f>IFERROR(VLOOKUP(I919,PROGRAMAS[],3,FALSE),0)</f>
        <v>675517840.109828</v>
      </c>
      <c r="AL919" s="246">
        <f>IFERROR(VLOOKUP(J919,PROGRAMAS[],3,FALSE),0)</f>
        <v>31865326.38096505</v>
      </c>
      <c r="AM919" s="246">
        <f>IFERROR(VLOOKUP(K919,PROGRAMAS[],3,FALSE),0)</f>
        <v>2406564599.0319901</v>
      </c>
      <c r="AN919" s="246">
        <f>IFERROR(VLOOKUP(L919,PROGRAMAS[],3,FALSE),0)</f>
        <v>0</v>
      </c>
      <c r="AO919" s="246">
        <f>IFERROR(VLOOKUP(M919,PROGRAMAS[],3,FALSE),0)</f>
        <v>0</v>
      </c>
      <c r="AP919" s="246">
        <f>IFERROR(VLOOKUP(N919,PROGRAMAS[],3,FALSE),0)</f>
        <v>0</v>
      </c>
      <c r="AQ919" s="246">
        <f>IFERROR(VLOOKUP(O919,PROGRAMAS[],3,FALSE),0)</f>
        <v>0</v>
      </c>
      <c r="AR919" s="246">
        <f>IFERROR(VLOOKUP(P919,PROGRAMAS[],3,FALSE),0)</f>
        <v>0</v>
      </c>
      <c r="AS919" s="246">
        <f>IFERROR(VLOOKUP(Q919,PROGRAMAS[],3,FALSE),0)</f>
        <v>0</v>
      </c>
      <c r="AT919" s="246">
        <f>IFERROR(VLOOKUP(D919,VOL_REC[],2,FALSE),0)</f>
        <v>0</v>
      </c>
      <c r="AU919" s="246">
        <f>IFERROR(VLOOKUP(E919,VOL_REC[],2,FALSE),0)</f>
        <v>0</v>
      </c>
      <c r="AV919" s="246">
        <f>IFERROR(VLOOKUP(F919,VOL_REC[],2,FALSE),0)</f>
        <v>11089674.200000001</v>
      </c>
      <c r="AW919" s="246">
        <f>IFERROR(VLOOKUP(G919,VOL_REC[],2,FALSE),0)</f>
        <v>15540036.397699751</v>
      </c>
      <c r="AX919" s="246">
        <f>IFERROR(VLOOKUP(H919,VOL_REC[],2,FALSE),0)</f>
        <v>3761786</v>
      </c>
      <c r="AY919" s="246">
        <f>IFERROR(VLOOKUP(I919,VOL_REC[],2,FALSE),0)</f>
        <v>240696.79238099116</v>
      </c>
      <c r="AZ919" s="246">
        <f>IFERROR(VLOOKUP(J919,VOL_REC[],2,FALSE),0)</f>
        <v>17074.045034105649</v>
      </c>
      <c r="BA919" s="246">
        <f>IFERROR(VLOOKUP(K919,VOL_REC[],2,FALSE),0)</f>
        <v>1072354.9981737854</v>
      </c>
      <c r="BB919" s="246">
        <f>IFERROR(VLOOKUP(L919,VOL_REC[],2,FALSE),0)</f>
        <v>0</v>
      </c>
      <c r="BC919" s="246">
        <f>IFERROR(VLOOKUP(M919,VOL_REC[],2,FALSE),0)</f>
        <v>0</v>
      </c>
      <c r="BD919" s="246">
        <f>IFERROR(VLOOKUP(N919,VOL_REC[],2,FALSE),0)</f>
        <v>0</v>
      </c>
      <c r="BE919" s="246">
        <f>IFERROR(VLOOKUP(O919,VOL_REC[],2,FALSE),0)</f>
        <v>0</v>
      </c>
      <c r="BF919" s="246">
        <f>IFERROR(VLOOKUP(P919,VOL_REC[],2,FALSE),0)</f>
        <v>0</v>
      </c>
      <c r="BG919" s="246">
        <f>IFERROR(VLOOKUP(Q919,VOL_REC[],2,FALSE),0)</f>
        <v>0</v>
      </c>
      <c r="BH919" s="1710">
        <f t="shared" si="56"/>
        <v>24723613024.009155</v>
      </c>
      <c r="BI919" s="1710">
        <f t="shared" si="57"/>
        <v>24340900455.696251</v>
      </c>
      <c r="BJ919" s="1711">
        <f t="shared" si="58"/>
        <v>31721622.433288638</v>
      </c>
      <c r="BK919" s="1711">
        <f t="shared" si="59"/>
        <v>1.0157230242574424</v>
      </c>
      <c r="BL919">
        <f>BJ919</f>
        <v>31721622.433288638</v>
      </c>
      <c r="BO919">
        <f>BL919</f>
        <v>31721622.433288638</v>
      </c>
    </row>
    <row r="920" spans="3:67" x14ac:dyDescent="0.25">
      <c r="C920" s="246" t="s">
        <v>2270</v>
      </c>
      <c r="D920" s="246">
        <v>1</v>
      </c>
      <c r="E920" s="246">
        <v>2</v>
      </c>
      <c r="F920" s="246">
        <v>3</v>
      </c>
      <c r="G920" s="246">
        <v>6</v>
      </c>
      <c r="H920" s="246">
        <v>9</v>
      </c>
      <c r="I920" s="246">
        <v>12</v>
      </c>
      <c r="J920" s="246">
        <v>14</v>
      </c>
      <c r="K920" s="246">
        <v>17</v>
      </c>
      <c r="L920" s="246"/>
      <c r="M920" s="246"/>
      <c r="N920" s="246"/>
      <c r="O920" s="246"/>
      <c r="P920" s="246"/>
      <c r="Q920" s="246"/>
      <c r="R920" s="246">
        <f>IFERROR(VLOOKUP(D920,PROGRAMAS[],2,FALSE),0)</f>
        <v>97037803.679377079</v>
      </c>
      <c r="S920" s="246">
        <f>IFERROR(VLOOKUP(E920,PROGRAMAS[],2,FALSE),0)</f>
        <v>640501509.6821388</v>
      </c>
      <c r="T920" s="246">
        <f>IFERROR(VLOOKUP(F920,PROGRAMAS[],2,FALSE),0)</f>
        <v>3062327798.1525245</v>
      </c>
      <c r="U920" s="246">
        <f>IFERROR(VLOOKUP(G920,PROGRAMAS[],2,FALSE),0)</f>
        <v>6907648435.8447599</v>
      </c>
      <c r="V920" s="246">
        <f>IFERROR(VLOOKUP(H920,PROGRAMAS[],2,FALSE),0)</f>
        <v>6128579952.1618185</v>
      </c>
      <c r="W920" s="246">
        <f>IFERROR(VLOOKUP(I920,PROGRAMAS[],2,FALSE),0)</f>
        <v>764796700.79905891</v>
      </c>
      <c r="X920" s="246">
        <f>IFERROR(VLOOKUP(J920,PROGRAMAS[],2,FALSE),0)</f>
        <v>54223862.645839565</v>
      </c>
      <c r="Y920" s="246">
        <f>IFERROR(VLOOKUP(K920,PROGRAMAS[],2,FALSE),0)</f>
        <v>1892779498.5211046</v>
      </c>
      <c r="Z920" s="246">
        <f>IFERROR(VLOOKUP(L920,PROGRAMAS[],2,FALSE),0)</f>
        <v>0</v>
      </c>
      <c r="AA920" s="246">
        <f>IFERROR(VLOOKUP(M920,PROGRAMAS[],2,FALSE),0)</f>
        <v>0</v>
      </c>
      <c r="AB920" s="246">
        <f>IFERROR(VLOOKUP(N920,PROGRAMAS[],2,FALSE),0)</f>
        <v>0</v>
      </c>
      <c r="AC920" s="246">
        <f>IFERROR(VLOOKUP(O920,PROGRAMAS[],2,FALSE),0)</f>
        <v>0</v>
      </c>
      <c r="AD920" s="246">
        <f>IFERROR(VLOOKUP(P920,PROGRAMAS[],2,FALSE),0)</f>
        <v>0</v>
      </c>
      <c r="AE920" s="246">
        <f>IFERROR(VLOOKUP(Q920,PROGRAMAS[],2,FALSE),0)</f>
        <v>0</v>
      </c>
      <c r="AF920" s="246">
        <f>IFERROR(VLOOKUP(D920,PROGRAMAS[],3,FALSE),0)</f>
        <v>841888629.31080008</v>
      </c>
      <c r="AG920" s="246">
        <f>IFERROR(VLOOKUP(E920,PROGRAMAS[],3,FALSE),0)</f>
        <v>3848980803.1642323</v>
      </c>
      <c r="AH920" s="246">
        <f>IFERROR(VLOOKUP(F920,PROGRAMAS[],3,FALSE),0)</f>
        <v>3394901471.387517</v>
      </c>
      <c r="AI920" s="246">
        <f>IFERROR(VLOOKUP(G920,PROGRAMAS[],3,FALSE),0)</f>
        <v>6129902208.7912121</v>
      </c>
      <c r="AJ920" s="246">
        <f>IFERROR(VLOOKUP(H920,PROGRAMAS[],3,FALSE),0)</f>
        <v>7011279577.519702</v>
      </c>
      <c r="AK920" s="246">
        <f>IFERROR(VLOOKUP(I920,PROGRAMAS[],3,FALSE),0)</f>
        <v>675517840.109828</v>
      </c>
      <c r="AL920" s="246">
        <f>IFERROR(VLOOKUP(J920,PROGRAMAS[],3,FALSE),0)</f>
        <v>31865326.38096505</v>
      </c>
      <c r="AM920" s="246">
        <f>IFERROR(VLOOKUP(K920,PROGRAMAS[],3,FALSE),0)</f>
        <v>948595847.09039903</v>
      </c>
      <c r="AN920" s="246">
        <f>IFERROR(VLOOKUP(L920,PROGRAMAS[],3,FALSE),0)</f>
        <v>0</v>
      </c>
      <c r="AO920" s="246">
        <f>IFERROR(VLOOKUP(M920,PROGRAMAS[],3,FALSE),0)</f>
        <v>0</v>
      </c>
      <c r="AP920" s="246">
        <f>IFERROR(VLOOKUP(N920,PROGRAMAS[],3,FALSE),0)</f>
        <v>0</v>
      </c>
      <c r="AQ920" s="246">
        <f>IFERROR(VLOOKUP(O920,PROGRAMAS[],3,FALSE),0)</f>
        <v>0</v>
      </c>
      <c r="AR920" s="246">
        <f>IFERROR(VLOOKUP(P920,PROGRAMAS[],3,FALSE),0)</f>
        <v>0</v>
      </c>
      <c r="AS920" s="246">
        <f>IFERROR(VLOOKUP(Q920,PROGRAMAS[],3,FALSE),0)</f>
        <v>0</v>
      </c>
      <c r="AT920" s="246">
        <f>IFERROR(VLOOKUP(D920,VOL_REC[],2,FALSE),0)</f>
        <v>0</v>
      </c>
      <c r="AU920" s="246">
        <f>IFERROR(VLOOKUP(E920,VOL_REC[],2,FALSE),0)</f>
        <v>0</v>
      </c>
      <c r="AV920" s="246">
        <f>IFERROR(VLOOKUP(F920,VOL_REC[],2,FALSE),0)</f>
        <v>11089674.200000001</v>
      </c>
      <c r="AW920" s="246">
        <f>IFERROR(VLOOKUP(G920,VOL_REC[],2,FALSE),0)</f>
        <v>15540036.397699751</v>
      </c>
      <c r="AX920" s="246">
        <f>IFERROR(VLOOKUP(H920,VOL_REC[],2,FALSE),0)</f>
        <v>3761786</v>
      </c>
      <c r="AY920" s="246">
        <f>IFERROR(VLOOKUP(I920,VOL_REC[],2,FALSE),0)</f>
        <v>240696.79238099116</v>
      </c>
      <c r="AZ920" s="246">
        <f>IFERROR(VLOOKUP(J920,VOL_REC[],2,FALSE),0)</f>
        <v>17074.045034105649</v>
      </c>
      <c r="BA920" s="246">
        <f>IFERROR(VLOOKUP(K920,VOL_REC[],2,FALSE),0)</f>
        <v>740113.98115702497</v>
      </c>
      <c r="BB920" s="246">
        <f>IFERROR(VLOOKUP(L920,VOL_REC[],2,FALSE),0)</f>
        <v>0</v>
      </c>
      <c r="BC920" s="246">
        <f>IFERROR(VLOOKUP(M920,VOL_REC[],2,FALSE),0)</f>
        <v>0</v>
      </c>
      <c r="BD920" s="246">
        <f>IFERROR(VLOOKUP(N920,VOL_REC[],2,FALSE),0)</f>
        <v>0</v>
      </c>
      <c r="BE920" s="246">
        <f>IFERROR(VLOOKUP(O920,VOL_REC[],2,FALSE),0)</f>
        <v>0</v>
      </c>
      <c r="BF920" s="246">
        <f>IFERROR(VLOOKUP(P920,VOL_REC[],2,FALSE),0)</f>
        <v>0</v>
      </c>
      <c r="BG920" s="246">
        <f>IFERROR(VLOOKUP(Q920,VOL_REC[],2,FALSE),0)</f>
        <v>0</v>
      </c>
      <c r="BH920" s="1710">
        <f t="shared" si="56"/>
        <v>19547895561.486622</v>
      </c>
      <c r="BI920" s="1710">
        <f t="shared" si="57"/>
        <v>22882931703.754662</v>
      </c>
      <c r="BJ920" s="1711">
        <f t="shared" si="58"/>
        <v>31389381.416271877</v>
      </c>
      <c r="BK920" s="1711">
        <f t="shared" si="59"/>
        <v>0.85425660551524429</v>
      </c>
    </row>
    <row r="921" spans="3:67" x14ac:dyDescent="0.25">
      <c r="C921" s="246" t="s">
        <v>2271</v>
      </c>
      <c r="D921" s="246">
        <v>1</v>
      </c>
      <c r="E921" s="246">
        <v>2</v>
      </c>
      <c r="F921" s="246">
        <v>3</v>
      </c>
      <c r="G921" s="246">
        <v>6</v>
      </c>
      <c r="H921" s="246">
        <v>9</v>
      </c>
      <c r="I921" s="246">
        <v>12</v>
      </c>
      <c r="J921" s="246">
        <v>15</v>
      </c>
      <c r="K921" s="246">
        <v>16</v>
      </c>
      <c r="L921" s="246"/>
      <c r="M921" s="246"/>
      <c r="N921" s="246"/>
      <c r="O921" s="246"/>
      <c r="P921" s="246"/>
      <c r="Q921" s="246"/>
      <c r="R921" s="246">
        <f>IFERROR(VLOOKUP(D921,PROGRAMAS[],2,FALSE),0)</f>
        <v>97037803.679377079</v>
      </c>
      <c r="S921" s="246">
        <f>IFERROR(VLOOKUP(E921,PROGRAMAS[],2,FALSE),0)</f>
        <v>640501509.6821388</v>
      </c>
      <c r="T921" s="246">
        <f>IFERROR(VLOOKUP(F921,PROGRAMAS[],2,FALSE),0)</f>
        <v>3062327798.1525245</v>
      </c>
      <c r="U921" s="246">
        <f>IFERROR(VLOOKUP(G921,PROGRAMAS[],2,FALSE),0)</f>
        <v>6907648435.8447599</v>
      </c>
      <c r="V921" s="246">
        <f>IFERROR(VLOOKUP(H921,PROGRAMAS[],2,FALSE),0)</f>
        <v>6128579952.1618185</v>
      </c>
      <c r="W921" s="246">
        <f>IFERROR(VLOOKUP(I921,PROGRAMAS[],2,FALSE),0)</f>
        <v>764796700.79905891</v>
      </c>
      <c r="X921" s="246">
        <f>IFERROR(VLOOKUP(J921,PROGRAMAS[],2,FALSE),0)</f>
        <v>122159672.96346797</v>
      </c>
      <c r="Y921" s="246">
        <f>IFERROR(VLOOKUP(K921,PROGRAMAS[],2,FALSE),0)</f>
        <v>7068496961.0436354</v>
      </c>
      <c r="Z921" s="246">
        <f>IFERROR(VLOOKUP(L921,PROGRAMAS[],2,FALSE),0)</f>
        <v>0</v>
      </c>
      <c r="AA921" s="246">
        <f>IFERROR(VLOOKUP(M921,PROGRAMAS[],2,FALSE),0)</f>
        <v>0</v>
      </c>
      <c r="AB921" s="246">
        <f>IFERROR(VLOOKUP(N921,PROGRAMAS[],2,FALSE),0)</f>
        <v>0</v>
      </c>
      <c r="AC921" s="246">
        <f>IFERROR(VLOOKUP(O921,PROGRAMAS[],2,FALSE),0)</f>
        <v>0</v>
      </c>
      <c r="AD921" s="246">
        <f>IFERROR(VLOOKUP(P921,PROGRAMAS[],2,FALSE),0)</f>
        <v>0</v>
      </c>
      <c r="AE921" s="246">
        <f>IFERROR(VLOOKUP(Q921,PROGRAMAS[],2,FALSE),0)</f>
        <v>0</v>
      </c>
      <c r="AF921" s="246">
        <f>IFERROR(VLOOKUP(D921,PROGRAMAS[],3,FALSE),0)</f>
        <v>841888629.31080008</v>
      </c>
      <c r="AG921" s="246">
        <f>IFERROR(VLOOKUP(E921,PROGRAMAS[],3,FALSE),0)</f>
        <v>3848980803.1642323</v>
      </c>
      <c r="AH921" s="246">
        <f>IFERROR(VLOOKUP(F921,PROGRAMAS[],3,FALSE),0)</f>
        <v>3394901471.387517</v>
      </c>
      <c r="AI921" s="246">
        <f>IFERROR(VLOOKUP(G921,PROGRAMAS[],3,FALSE),0)</f>
        <v>6129902208.7912121</v>
      </c>
      <c r="AJ921" s="246">
        <f>IFERROR(VLOOKUP(H921,PROGRAMAS[],3,FALSE),0)</f>
        <v>7011279577.519702</v>
      </c>
      <c r="AK921" s="246">
        <f>IFERROR(VLOOKUP(I921,PROGRAMAS[],3,FALSE),0)</f>
        <v>675517840.109828</v>
      </c>
      <c r="AL921" s="246">
        <f>IFERROR(VLOOKUP(J921,PROGRAMAS[],3,FALSE),0)</f>
        <v>118617452.52510804</v>
      </c>
      <c r="AM921" s="246">
        <f>IFERROR(VLOOKUP(K921,PROGRAMAS[],3,FALSE),0)</f>
        <v>2406564599.0319901</v>
      </c>
      <c r="AN921" s="246">
        <f>IFERROR(VLOOKUP(L921,PROGRAMAS[],3,FALSE),0)</f>
        <v>0</v>
      </c>
      <c r="AO921" s="246">
        <f>IFERROR(VLOOKUP(M921,PROGRAMAS[],3,FALSE),0)</f>
        <v>0</v>
      </c>
      <c r="AP921" s="246">
        <f>IFERROR(VLOOKUP(N921,PROGRAMAS[],3,FALSE),0)</f>
        <v>0</v>
      </c>
      <c r="AQ921" s="246">
        <f>IFERROR(VLOOKUP(O921,PROGRAMAS[],3,FALSE),0)</f>
        <v>0</v>
      </c>
      <c r="AR921" s="246">
        <f>IFERROR(VLOOKUP(P921,PROGRAMAS[],3,FALSE),0)</f>
        <v>0</v>
      </c>
      <c r="AS921" s="246">
        <f>IFERROR(VLOOKUP(Q921,PROGRAMAS[],3,FALSE),0)</f>
        <v>0</v>
      </c>
      <c r="AT921" s="246">
        <f>IFERROR(VLOOKUP(D921,VOL_REC[],2,FALSE),0)</f>
        <v>0</v>
      </c>
      <c r="AU921" s="246">
        <f>IFERROR(VLOOKUP(E921,VOL_REC[],2,FALSE),0)</f>
        <v>0</v>
      </c>
      <c r="AV921" s="246">
        <f>IFERROR(VLOOKUP(F921,VOL_REC[],2,FALSE),0)</f>
        <v>11089674.200000001</v>
      </c>
      <c r="AW921" s="246">
        <f>IFERROR(VLOOKUP(G921,VOL_REC[],2,FALSE),0)</f>
        <v>15540036.397699751</v>
      </c>
      <c r="AX921" s="246">
        <f>IFERROR(VLOOKUP(H921,VOL_REC[],2,FALSE),0)</f>
        <v>3761786</v>
      </c>
      <c r="AY921" s="246">
        <f>IFERROR(VLOOKUP(I921,VOL_REC[],2,FALSE),0)</f>
        <v>240696.79238099116</v>
      </c>
      <c r="AZ921" s="246">
        <f>IFERROR(VLOOKUP(J921,VOL_REC[],2,FALSE),0)</f>
        <v>105072</v>
      </c>
      <c r="BA921" s="246">
        <f>IFERROR(VLOOKUP(K921,VOL_REC[],2,FALSE),0)</f>
        <v>1072354.9981737854</v>
      </c>
      <c r="BB921" s="246">
        <f>IFERROR(VLOOKUP(L921,VOL_REC[],2,FALSE),0)</f>
        <v>0</v>
      </c>
      <c r="BC921" s="246">
        <f>IFERROR(VLOOKUP(M921,VOL_REC[],2,FALSE),0)</f>
        <v>0</v>
      </c>
      <c r="BD921" s="246">
        <f>IFERROR(VLOOKUP(N921,VOL_REC[],2,FALSE),0)</f>
        <v>0</v>
      </c>
      <c r="BE921" s="246">
        <f>IFERROR(VLOOKUP(O921,VOL_REC[],2,FALSE),0)</f>
        <v>0</v>
      </c>
      <c r="BF921" s="246">
        <f>IFERROR(VLOOKUP(P921,VOL_REC[],2,FALSE),0)</f>
        <v>0</v>
      </c>
      <c r="BG921" s="246">
        <f>IFERROR(VLOOKUP(Q921,VOL_REC[],2,FALSE),0)</f>
        <v>0</v>
      </c>
      <c r="BH921" s="1710">
        <f t="shared" si="56"/>
        <v>24791548834.326782</v>
      </c>
      <c r="BI921" s="1710">
        <f t="shared" si="57"/>
        <v>24427652581.840393</v>
      </c>
      <c r="BJ921" s="1711">
        <f t="shared" si="58"/>
        <v>31809620.388254531</v>
      </c>
      <c r="BK921" s="1711">
        <f t="shared" si="59"/>
        <v>1.0148968981471806</v>
      </c>
      <c r="BL921">
        <f>BJ921</f>
        <v>31809620.388254531</v>
      </c>
      <c r="BO921">
        <f>BL921</f>
        <v>31809620.388254531</v>
      </c>
    </row>
    <row r="922" spans="3:67" x14ac:dyDescent="0.25">
      <c r="C922" s="246" t="s">
        <v>2272</v>
      </c>
      <c r="D922" s="246">
        <v>1</v>
      </c>
      <c r="E922" s="246">
        <v>2</v>
      </c>
      <c r="F922" s="246">
        <v>3</v>
      </c>
      <c r="G922" s="246">
        <v>6</v>
      </c>
      <c r="H922" s="246">
        <v>9</v>
      </c>
      <c r="I922" s="246">
        <v>12</v>
      </c>
      <c r="J922" s="246">
        <v>15</v>
      </c>
      <c r="K922" s="246">
        <v>17</v>
      </c>
      <c r="L922" s="246"/>
      <c r="M922" s="246"/>
      <c r="N922" s="246"/>
      <c r="O922" s="246"/>
      <c r="P922" s="246"/>
      <c r="Q922" s="246"/>
      <c r="R922" s="246">
        <f>IFERROR(VLOOKUP(D922,PROGRAMAS[],2,FALSE),0)</f>
        <v>97037803.679377079</v>
      </c>
      <c r="S922" s="246">
        <f>IFERROR(VLOOKUP(E922,PROGRAMAS[],2,FALSE),0)</f>
        <v>640501509.6821388</v>
      </c>
      <c r="T922" s="246">
        <f>IFERROR(VLOOKUP(F922,PROGRAMAS[],2,FALSE),0)</f>
        <v>3062327798.1525245</v>
      </c>
      <c r="U922" s="246">
        <f>IFERROR(VLOOKUP(G922,PROGRAMAS[],2,FALSE),0)</f>
        <v>6907648435.8447599</v>
      </c>
      <c r="V922" s="246">
        <f>IFERROR(VLOOKUP(H922,PROGRAMAS[],2,FALSE),0)</f>
        <v>6128579952.1618185</v>
      </c>
      <c r="W922" s="246">
        <f>IFERROR(VLOOKUP(I922,PROGRAMAS[],2,FALSE),0)</f>
        <v>764796700.79905891</v>
      </c>
      <c r="X922" s="246">
        <f>IFERROR(VLOOKUP(J922,PROGRAMAS[],2,FALSE),0)</f>
        <v>122159672.96346797</v>
      </c>
      <c r="Y922" s="246">
        <f>IFERROR(VLOOKUP(K922,PROGRAMAS[],2,FALSE),0)</f>
        <v>1892779498.5211046</v>
      </c>
      <c r="Z922" s="246">
        <f>IFERROR(VLOOKUP(L922,PROGRAMAS[],2,FALSE),0)</f>
        <v>0</v>
      </c>
      <c r="AA922" s="246">
        <f>IFERROR(VLOOKUP(M922,PROGRAMAS[],2,FALSE),0)</f>
        <v>0</v>
      </c>
      <c r="AB922" s="246">
        <f>IFERROR(VLOOKUP(N922,PROGRAMAS[],2,FALSE),0)</f>
        <v>0</v>
      </c>
      <c r="AC922" s="246">
        <f>IFERROR(VLOOKUP(O922,PROGRAMAS[],2,FALSE),0)</f>
        <v>0</v>
      </c>
      <c r="AD922" s="246">
        <f>IFERROR(VLOOKUP(P922,PROGRAMAS[],2,FALSE),0)</f>
        <v>0</v>
      </c>
      <c r="AE922" s="246">
        <f>IFERROR(VLOOKUP(Q922,PROGRAMAS[],2,FALSE),0)</f>
        <v>0</v>
      </c>
      <c r="AF922" s="246">
        <f>IFERROR(VLOOKUP(D922,PROGRAMAS[],3,FALSE),0)</f>
        <v>841888629.31080008</v>
      </c>
      <c r="AG922" s="246">
        <f>IFERROR(VLOOKUP(E922,PROGRAMAS[],3,FALSE),0)</f>
        <v>3848980803.1642323</v>
      </c>
      <c r="AH922" s="246">
        <f>IFERROR(VLOOKUP(F922,PROGRAMAS[],3,FALSE),0)</f>
        <v>3394901471.387517</v>
      </c>
      <c r="AI922" s="246">
        <f>IFERROR(VLOOKUP(G922,PROGRAMAS[],3,FALSE),0)</f>
        <v>6129902208.7912121</v>
      </c>
      <c r="AJ922" s="246">
        <f>IFERROR(VLOOKUP(H922,PROGRAMAS[],3,FALSE),0)</f>
        <v>7011279577.519702</v>
      </c>
      <c r="AK922" s="246">
        <f>IFERROR(VLOOKUP(I922,PROGRAMAS[],3,FALSE),0)</f>
        <v>675517840.109828</v>
      </c>
      <c r="AL922" s="246">
        <f>IFERROR(VLOOKUP(J922,PROGRAMAS[],3,FALSE),0)</f>
        <v>118617452.52510804</v>
      </c>
      <c r="AM922" s="246">
        <f>IFERROR(VLOOKUP(K922,PROGRAMAS[],3,FALSE),0)</f>
        <v>948595847.09039903</v>
      </c>
      <c r="AN922" s="246">
        <f>IFERROR(VLOOKUP(L922,PROGRAMAS[],3,FALSE),0)</f>
        <v>0</v>
      </c>
      <c r="AO922" s="246">
        <f>IFERROR(VLOOKUP(M922,PROGRAMAS[],3,FALSE),0)</f>
        <v>0</v>
      </c>
      <c r="AP922" s="246">
        <f>IFERROR(VLOOKUP(N922,PROGRAMAS[],3,FALSE),0)</f>
        <v>0</v>
      </c>
      <c r="AQ922" s="246">
        <f>IFERROR(VLOOKUP(O922,PROGRAMAS[],3,FALSE),0)</f>
        <v>0</v>
      </c>
      <c r="AR922" s="246">
        <f>IFERROR(VLOOKUP(P922,PROGRAMAS[],3,FALSE),0)</f>
        <v>0</v>
      </c>
      <c r="AS922" s="246">
        <f>IFERROR(VLOOKUP(Q922,PROGRAMAS[],3,FALSE),0)</f>
        <v>0</v>
      </c>
      <c r="AT922" s="246">
        <f>IFERROR(VLOOKUP(D922,VOL_REC[],2,FALSE),0)</f>
        <v>0</v>
      </c>
      <c r="AU922" s="246">
        <f>IFERROR(VLOOKUP(E922,VOL_REC[],2,FALSE),0)</f>
        <v>0</v>
      </c>
      <c r="AV922" s="246">
        <f>IFERROR(VLOOKUP(F922,VOL_REC[],2,FALSE),0)</f>
        <v>11089674.200000001</v>
      </c>
      <c r="AW922" s="246">
        <f>IFERROR(VLOOKUP(G922,VOL_REC[],2,FALSE),0)</f>
        <v>15540036.397699751</v>
      </c>
      <c r="AX922" s="246">
        <f>IFERROR(VLOOKUP(H922,VOL_REC[],2,FALSE),0)</f>
        <v>3761786</v>
      </c>
      <c r="AY922" s="246">
        <f>IFERROR(VLOOKUP(I922,VOL_REC[],2,FALSE),0)</f>
        <v>240696.79238099116</v>
      </c>
      <c r="AZ922" s="246">
        <f>IFERROR(VLOOKUP(J922,VOL_REC[],2,FALSE),0)</f>
        <v>105072</v>
      </c>
      <c r="BA922" s="246">
        <f>IFERROR(VLOOKUP(K922,VOL_REC[],2,FALSE),0)</f>
        <v>740113.98115702497</v>
      </c>
      <c r="BB922" s="246">
        <f>IFERROR(VLOOKUP(L922,VOL_REC[],2,FALSE),0)</f>
        <v>0</v>
      </c>
      <c r="BC922" s="246">
        <f>IFERROR(VLOOKUP(M922,VOL_REC[],2,FALSE),0)</f>
        <v>0</v>
      </c>
      <c r="BD922" s="246">
        <f>IFERROR(VLOOKUP(N922,VOL_REC[],2,FALSE),0)</f>
        <v>0</v>
      </c>
      <c r="BE922" s="246">
        <f>IFERROR(VLOOKUP(O922,VOL_REC[],2,FALSE),0)</f>
        <v>0</v>
      </c>
      <c r="BF922" s="246">
        <f>IFERROR(VLOOKUP(P922,VOL_REC[],2,FALSE),0)</f>
        <v>0</v>
      </c>
      <c r="BG922" s="246">
        <f>IFERROR(VLOOKUP(Q922,VOL_REC[],2,FALSE),0)</f>
        <v>0</v>
      </c>
      <c r="BH922" s="1710">
        <f t="shared" si="56"/>
        <v>19615831371.804249</v>
      </c>
      <c r="BI922" s="1710">
        <f t="shared" si="57"/>
        <v>22969683829.898804</v>
      </c>
      <c r="BJ922" s="1711">
        <f t="shared" si="58"/>
        <v>31477379.37123777</v>
      </c>
      <c r="BK922" s="1711">
        <f t="shared" si="59"/>
        <v>0.85398787014521438</v>
      </c>
    </row>
    <row r="923" spans="3:67" x14ac:dyDescent="0.25">
      <c r="C923" s="246" t="s">
        <v>2273</v>
      </c>
      <c r="D923" s="246">
        <v>1</v>
      </c>
      <c r="E923" s="246">
        <v>2</v>
      </c>
      <c r="F923" s="246">
        <v>3</v>
      </c>
      <c r="G923" s="246">
        <v>6</v>
      </c>
      <c r="H923" s="246">
        <v>9</v>
      </c>
      <c r="I923" s="246">
        <v>12</v>
      </c>
      <c r="J923" s="246">
        <v>16</v>
      </c>
      <c r="K923" s="246">
        <v>17</v>
      </c>
      <c r="L923" s="246"/>
      <c r="M923" s="246"/>
      <c r="N923" s="246"/>
      <c r="O923" s="246"/>
      <c r="P923" s="246"/>
      <c r="Q923" s="246"/>
      <c r="R923" s="246">
        <f>IFERROR(VLOOKUP(D923,PROGRAMAS[],2,FALSE),0)</f>
        <v>97037803.679377079</v>
      </c>
      <c r="S923" s="246">
        <f>IFERROR(VLOOKUP(E923,PROGRAMAS[],2,FALSE),0)</f>
        <v>640501509.6821388</v>
      </c>
      <c r="T923" s="246">
        <f>IFERROR(VLOOKUP(F923,PROGRAMAS[],2,FALSE),0)</f>
        <v>3062327798.1525245</v>
      </c>
      <c r="U923" s="246">
        <f>IFERROR(VLOOKUP(G923,PROGRAMAS[],2,FALSE),0)</f>
        <v>6907648435.8447599</v>
      </c>
      <c r="V923" s="246">
        <f>IFERROR(VLOOKUP(H923,PROGRAMAS[],2,FALSE),0)</f>
        <v>6128579952.1618185</v>
      </c>
      <c r="W923" s="246">
        <f>IFERROR(VLOOKUP(I923,PROGRAMAS[],2,FALSE),0)</f>
        <v>764796700.79905891</v>
      </c>
      <c r="X923" s="246">
        <f>IFERROR(VLOOKUP(J923,PROGRAMAS[],2,FALSE),0)</f>
        <v>7068496961.0436354</v>
      </c>
      <c r="Y923" s="246">
        <f>IFERROR(VLOOKUP(K923,PROGRAMAS[],2,FALSE),0)</f>
        <v>1892779498.5211046</v>
      </c>
      <c r="Z923" s="246">
        <f>IFERROR(VLOOKUP(L923,PROGRAMAS[],2,FALSE),0)</f>
        <v>0</v>
      </c>
      <c r="AA923" s="246">
        <f>IFERROR(VLOOKUP(M923,PROGRAMAS[],2,FALSE),0)</f>
        <v>0</v>
      </c>
      <c r="AB923" s="246">
        <f>IFERROR(VLOOKUP(N923,PROGRAMAS[],2,FALSE),0)</f>
        <v>0</v>
      </c>
      <c r="AC923" s="246">
        <f>IFERROR(VLOOKUP(O923,PROGRAMAS[],2,FALSE),0)</f>
        <v>0</v>
      </c>
      <c r="AD923" s="246">
        <f>IFERROR(VLOOKUP(P923,PROGRAMAS[],2,FALSE),0)</f>
        <v>0</v>
      </c>
      <c r="AE923" s="246">
        <f>IFERROR(VLOOKUP(Q923,PROGRAMAS[],2,FALSE),0)</f>
        <v>0</v>
      </c>
      <c r="AF923" s="246">
        <f>IFERROR(VLOOKUP(D923,PROGRAMAS[],3,FALSE),0)</f>
        <v>841888629.31080008</v>
      </c>
      <c r="AG923" s="246">
        <f>IFERROR(VLOOKUP(E923,PROGRAMAS[],3,FALSE),0)</f>
        <v>3848980803.1642323</v>
      </c>
      <c r="AH923" s="246">
        <f>IFERROR(VLOOKUP(F923,PROGRAMAS[],3,FALSE),0)</f>
        <v>3394901471.387517</v>
      </c>
      <c r="AI923" s="246">
        <f>IFERROR(VLOOKUP(G923,PROGRAMAS[],3,FALSE),0)</f>
        <v>6129902208.7912121</v>
      </c>
      <c r="AJ923" s="246">
        <f>IFERROR(VLOOKUP(H923,PROGRAMAS[],3,FALSE),0)</f>
        <v>7011279577.519702</v>
      </c>
      <c r="AK923" s="246">
        <f>IFERROR(VLOOKUP(I923,PROGRAMAS[],3,FALSE),0)</f>
        <v>675517840.109828</v>
      </c>
      <c r="AL923" s="246">
        <f>IFERROR(VLOOKUP(J923,PROGRAMAS[],3,FALSE),0)</f>
        <v>2406564599.0319901</v>
      </c>
      <c r="AM923" s="246">
        <f>IFERROR(VLOOKUP(K923,PROGRAMAS[],3,FALSE),0)</f>
        <v>948595847.09039903</v>
      </c>
      <c r="AN923" s="246">
        <f>IFERROR(VLOOKUP(L923,PROGRAMAS[],3,FALSE),0)</f>
        <v>0</v>
      </c>
      <c r="AO923" s="246">
        <f>IFERROR(VLOOKUP(M923,PROGRAMAS[],3,FALSE),0)</f>
        <v>0</v>
      </c>
      <c r="AP923" s="246">
        <f>IFERROR(VLOOKUP(N923,PROGRAMAS[],3,FALSE),0)</f>
        <v>0</v>
      </c>
      <c r="AQ923" s="246">
        <f>IFERROR(VLOOKUP(O923,PROGRAMAS[],3,FALSE),0)</f>
        <v>0</v>
      </c>
      <c r="AR923" s="246">
        <f>IFERROR(VLOOKUP(P923,PROGRAMAS[],3,FALSE),0)</f>
        <v>0</v>
      </c>
      <c r="AS923" s="246">
        <f>IFERROR(VLOOKUP(Q923,PROGRAMAS[],3,FALSE),0)</f>
        <v>0</v>
      </c>
      <c r="AT923" s="246">
        <f>IFERROR(VLOOKUP(D923,VOL_REC[],2,FALSE),0)</f>
        <v>0</v>
      </c>
      <c r="AU923" s="246">
        <f>IFERROR(VLOOKUP(E923,VOL_REC[],2,FALSE),0)</f>
        <v>0</v>
      </c>
      <c r="AV923" s="246">
        <f>IFERROR(VLOOKUP(F923,VOL_REC[],2,FALSE),0)</f>
        <v>11089674.200000001</v>
      </c>
      <c r="AW923" s="246">
        <f>IFERROR(VLOOKUP(G923,VOL_REC[],2,FALSE),0)</f>
        <v>15540036.397699751</v>
      </c>
      <c r="AX923" s="246">
        <f>IFERROR(VLOOKUP(H923,VOL_REC[],2,FALSE),0)</f>
        <v>3761786</v>
      </c>
      <c r="AY923" s="246">
        <f>IFERROR(VLOOKUP(I923,VOL_REC[],2,FALSE),0)</f>
        <v>240696.79238099116</v>
      </c>
      <c r="AZ923" s="246">
        <f>IFERROR(VLOOKUP(J923,VOL_REC[],2,FALSE),0)</f>
        <v>1072354.9981737854</v>
      </c>
      <c r="BA923" s="246">
        <f>IFERROR(VLOOKUP(K923,VOL_REC[],2,FALSE),0)</f>
        <v>740113.98115702497</v>
      </c>
      <c r="BB923" s="246">
        <f>IFERROR(VLOOKUP(L923,VOL_REC[],2,FALSE),0)</f>
        <v>0</v>
      </c>
      <c r="BC923" s="246">
        <f>IFERROR(VLOOKUP(M923,VOL_REC[],2,FALSE),0)</f>
        <v>0</v>
      </c>
      <c r="BD923" s="246">
        <f>IFERROR(VLOOKUP(N923,VOL_REC[],2,FALSE),0)</f>
        <v>0</v>
      </c>
      <c r="BE923" s="246">
        <f>IFERROR(VLOOKUP(O923,VOL_REC[],2,FALSE),0)</f>
        <v>0</v>
      </c>
      <c r="BF923" s="246">
        <f>IFERROR(VLOOKUP(P923,VOL_REC[],2,FALSE),0)</f>
        <v>0</v>
      </c>
      <c r="BG923" s="246">
        <f>IFERROR(VLOOKUP(Q923,VOL_REC[],2,FALSE),0)</f>
        <v>0</v>
      </c>
      <c r="BH923" s="1710">
        <f t="shared" si="56"/>
        <v>26562168659.884418</v>
      </c>
      <c r="BI923" s="1710">
        <f t="shared" si="57"/>
        <v>25257630976.405685</v>
      </c>
      <c r="BJ923" s="1711">
        <f t="shared" si="58"/>
        <v>32444662.369411554</v>
      </c>
      <c r="BK923" s="1711">
        <f t="shared" si="59"/>
        <v>1.0516492494762222</v>
      </c>
      <c r="BL923">
        <f>BJ923</f>
        <v>32444662.369411554</v>
      </c>
      <c r="BO923">
        <f>BL923</f>
        <v>32444662.369411554</v>
      </c>
    </row>
    <row r="924" spans="3:67" x14ac:dyDescent="0.25">
      <c r="C924" s="246" t="s">
        <v>2274</v>
      </c>
      <c r="D924" s="246">
        <v>1</v>
      </c>
      <c r="E924" s="246">
        <v>2</v>
      </c>
      <c r="F924" s="246">
        <v>3</v>
      </c>
      <c r="G924" s="246">
        <v>6</v>
      </c>
      <c r="H924" s="246">
        <v>9</v>
      </c>
      <c r="I924" s="246">
        <v>13</v>
      </c>
      <c r="J924" s="246">
        <v>14</v>
      </c>
      <c r="K924" s="246">
        <v>15</v>
      </c>
      <c r="L924" s="246"/>
      <c r="M924" s="246"/>
      <c r="N924" s="246"/>
      <c r="O924" s="246"/>
      <c r="P924" s="246"/>
      <c r="Q924" s="246"/>
      <c r="R924" s="246">
        <f>IFERROR(VLOOKUP(D924,PROGRAMAS[],2,FALSE),0)</f>
        <v>97037803.679377079</v>
      </c>
      <c r="S924" s="246">
        <f>IFERROR(VLOOKUP(E924,PROGRAMAS[],2,FALSE),0)</f>
        <v>640501509.6821388</v>
      </c>
      <c r="T924" s="246">
        <f>IFERROR(VLOOKUP(F924,PROGRAMAS[],2,FALSE),0)</f>
        <v>3062327798.1525245</v>
      </c>
      <c r="U924" s="246">
        <f>IFERROR(VLOOKUP(G924,PROGRAMAS[],2,FALSE),0)</f>
        <v>6907648435.8447599</v>
      </c>
      <c r="V924" s="246">
        <f>IFERROR(VLOOKUP(H924,PROGRAMAS[],2,FALSE),0)</f>
        <v>6128579952.1618185</v>
      </c>
      <c r="W924" s="246">
        <f>IFERROR(VLOOKUP(I924,PROGRAMAS[],2,FALSE),0)</f>
        <v>3776538594.4604583</v>
      </c>
      <c r="X924" s="246">
        <f>IFERROR(VLOOKUP(J924,PROGRAMAS[],2,FALSE),0)</f>
        <v>54223862.645839565</v>
      </c>
      <c r="Y924" s="246">
        <f>IFERROR(VLOOKUP(K924,PROGRAMAS[],2,FALSE),0)</f>
        <v>122159672.96346797</v>
      </c>
      <c r="Z924" s="246">
        <f>IFERROR(VLOOKUP(L924,PROGRAMAS[],2,FALSE),0)</f>
        <v>0</v>
      </c>
      <c r="AA924" s="246">
        <f>IFERROR(VLOOKUP(M924,PROGRAMAS[],2,FALSE),0)</f>
        <v>0</v>
      </c>
      <c r="AB924" s="246">
        <f>IFERROR(VLOOKUP(N924,PROGRAMAS[],2,FALSE),0)</f>
        <v>0</v>
      </c>
      <c r="AC924" s="246">
        <f>IFERROR(VLOOKUP(O924,PROGRAMAS[],2,FALSE),0)</f>
        <v>0</v>
      </c>
      <c r="AD924" s="246">
        <f>IFERROR(VLOOKUP(P924,PROGRAMAS[],2,FALSE),0)</f>
        <v>0</v>
      </c>
      <c r="AE924" s="246">
        <f>IFERROR(VLOOKUP(Q924,PROGRAMAS[],2,FALSE),0)</f>
        <v>0</v>
      </c>
      <c r="AF924" s="246">
        <f>IFERROR(VLOOKUP(D924,PROGRAMAS[],3,FALSE),0)</f>
        <v>841888629.31080008</v>
      </c>
      <c r="AG924" s="246">
        <f>IFERROR(VLOOKUP(E924,PROGRAMAS[],3,FALSE),0)</f>
        <v>3848980803.1642323</v>
      </c>
      <c r="AH924" s="246">
        <f>IFERROR(VLOOKUP(F924,PROGRAMAS[],3,FALSE),0)</f>
        <v>3394901471.387517</v>
      </c>
      <c r="AI924" s="246">
        <f>IFERROR(VLOOKUP(G924,PROGRAMAS[],3,FALSE),0)</f>
        <v>6129902208.7912121</v>
      </c>
      <c r="AJ924" s="246">
        <f>IFERROR(VLOOKUP(H924,PROGRAMAS[],3,FALSE),0)</f>
        <v>7011279577.519702</v>
      </c>
      <c r="AK924" s="246">
        <f>IFERROR(VLOOKUP(I924,PROGRAMAS[],3,FALSE),0)</f>
        <v>2392571243.5584412</v>
      </c>
      <c r="AL924" s="246">
        <f>IFERROR(VLOOKUP(J924,PROGRAMAS[],3,FALSE),0)</f>
        <v>31865326.38096505</v>
      </c>
      <c r="AM924" s="246">
        <f>IFERROR(VLOOKUP(K924,PROGRAMAS[],3,FALSE),0)</f>
        <v>118617452.52510804</v>
      </c>
      <c r="AN924" s="246">
        <f>IFERROR(VLOOKUP(L924,PROGRAMAS[],3,FALSE),0)</f>
        <v>0</v>
      </c>
      <c r="AO924" s="246">
        <f>IFERROR(VLOOKUP(M924,PROGRAMAS[],3,FALSE),0)</f>
        <v>0</v>
      </c>
      <c r="AP924" s="246">
        <f>IFERROR(VLOOKUP(N924,PROGRAMAS[],3,FALSE),0)</f>
        <v>0</v>
      </c>
      <c r="AQ924" s="246">
        <f>IFERROR(VLOOKUP(O924,PROGRAMAS[],3,FALSE),0)</f>
        <v>0</v>
      </c>
      <c r="AR924" s="246">
        <f>IFERROR(VLOOKUP(P924,PROGRAMAS[],3,FALSE),0)</f>
        <v>0</v>
      </c>
      <c r="AS924" s="246">
        <f>IFERROR(VLOOKUP(Q924,PROGRAMAS[],3,FALSE),0)</f>
        <v>0</v>
      </c>
      <c r="AT924" s="246">
        <f>IFERROR(VLOOKUP(D924,VOL_REC[],2,FALSE),0)</f>
        <v>0</v>
      </c>
      <c r="AU924" s="246">
        <f>IFERROR(VLOOKUP(E924,VOL_REC[],2,FALSE),0)</f>
        <v>0</v>
      </c>
      <c r="AV924" s="246">
        <f>IFERROR(VLOOKUP(F924,VOL_REC[],2,FALSE),0)</f>
        <v>11089674.200000001</v>
      </c>
      <c r="AW924" s="246">
        <f>IFERROR(VLOOKUP(G924,VOL_REC[],2,FALSE),0)</f>
        <v>15540036.397699751</v>
      </c>
      <c r="AX924" s="246">
        <f>IFERROR(VLOOKUP(H924,VOL_REC[],2,FALSE),0)</f>
        <v>3761786</v>
      </c>
      <c r="AY924" s="246">
        <f>IFERROR(VLOOKUP(I924,VOL_REC[],2,FALSE),0)</f>
        <v>663244.80000000016</v>
      </c>
      <c r="AZ924" s="246">
        <f>IFERROR(VLOOKUP(J924,VOL_REC[],2,FALSE),0)</f>
        <v>17074.045034105649</v>
      </c>
      <c r="BA924" s="246">
        <f>IFERROR(VLOOKUP(K924,VOL_REC[],2,FALSE),0)</f>
        <v>105072</v>
      </c>
      <c r="BB924" s="246">
        <f>IFERROR(VLOOKUP(L924,VOL_REC[],2,FALSE),0)</f>
        <v>0</v>
      </c>
      <c r="BC924" s="246">
        <f>IFERROR(VLOOKUP(M924,VOL_REC[],2,FALSE),0)</f>
        <v>0</v>
      </c>
      <c r="BD924" s="246">
        <f>IFERROR(VLOOKUP(N924,VOL_REC[],2,FALSE),0)</f>
        <v>0</v>
      </c>
      <c r="BE924" s="246">
        <f>IFERROR(VLOOKUP(O924,VOL_REC[],2,FALSE),0)</f>
        <v>0</v>
      </c>
      <c r="BF924" s="246">
        <f>IFERROR(VLOOKUP(P924,VOL_REC[],2,FALSE),0)</f>
        <v>0</v>
      </c>
      <c r="BG924" s="246">
        <f>IFERROR(VLOOKUP(Q924,VOL_REC[],2,FALSE),0)</f>
        <v>0</v>
      </c>
      <c r="BH924" s="1710">
        <f t="shared" si="56"/>
        <v>20789017629.590382</v>
      </c>
      <c r="BI924" s="1710">
        <f t="shared" si="57"/>
        <v>23770006712.637981</v>
      </c>
      <c r="BJ924" s="1711">
        <f t="shared" si="58"/>
        <v>31176887.442733862</v>
      </c>
      <c r="BK924" s="1711">
        <f t="shared" si="59"/>
        <v>0.87459031378974439</v>
      </c>
    </row>
    <row r="925" spans="3:67" x14ac:dyDescent="0.25">
      <c r="C925" s="246" t="s">
        <v>2275</v>
      </c>
      <c r="D925" s="246">
        <v>1</v>
      </c>
      <c r="E925" s="246">
        <v>2</v>
      </c>
      <c r="F925" s="246">
        <v>3</v>
      </c>
      <c r="G925" s="246">
        <v>6</v>
      </c>
      <c r="H925" s="246">
        <v>9</v>
      </c>
      <c r="I925" s="246">
        <v>13</v>
      </c>
      <c r="J925" s="246">
        <v>14</v>
      </c>
      <c r="K925" s="246">
        <v>16</v>
      </c>
      <c r="L925" s="246"/>
      <c r="M925" s="246"/>
      <c r="N925" s="246"/>
      <c r="O925" s="246"/>
      <c r="P925" s="246"/>
      <c r="Q925" s="246"/>
      <c r="R925" s="246">
        <f>IFERROR(VLOOKUP(D925,PROGRAMAS[],2,FALSE),0)</f>
        <v>97037803.679377079</v>
      </c>
      <c r="S925" s="246">
        <f>IFERROR(VLOOKUP(E925,PROGRAMAS[],2,FALSE),0)</f>
        <v>640501509.6821388</v>
      </c>
      <c r="T925" s="246">
        <f>IFERROR(VLOOKUP(F925,PROGRAMAS[],2,FALSE),0)</f>
        <v>3062327798.1525245</v>
      </c>
      <c r="U925" s="246">
        <f>IFERROR(VLOOKUP(G925,PROGRAMAS[],2,FALSE),0)</f>
        <v>6907648435.8447599</v>
      </c>
      <c r="V925" s="246">
        <f>IFERROR(VLOOKUP(H925,PROGRAMAS[],2,FALSE),0)</f>
        <v>6128579952.1618185</v>
      </c>
      <c r="W925" s="246">
        <f>IFERROR(VLOOKUP(I925,PROGRAMAS[],2,FALSE),0)</f>
        <v>3776538594.4604583</v>
      </c>
      <c r="X925" s="246">
        <f>IFERROR(VLOOKUP(J925,PROGRAMAS[],2,FALSE),0)</f>
        <v>54223862.645839565</v>
      </c>
      <c r="Y925" s="246">
        <f>IFERROR(VLOOKUP(K925,PROGRAMAS[],2,FALSE),0)</f>
        <v>7068496961.0436354</v>
      </c>
      <c r="Z925" s="246">
        <f>IFERROR(VLOOKUP(L925,PROGRAMAS[],2,FALSE),0)</f>
        <v>0</v>
      </c>
      <c r="AA925" s="246">
        <f>IFERROR(VLOOKUP(M925,PROGRAMAS[],2,FALSE),0)</f>
        <v>0</v>
      </c>
      <c r="AB925" s="246">
        <f>IFERROR(VLOOKUP(N925,PROGRAMAS[],2,FALSE),0)</f>
        <v>0</v>
      </c>
      <c r="AC925" s="246">
        <f>IFERROR(VLOOKUP(O925,PROGRAMAS[],2,FALSE),0)</f>
        <v>0</v>
      </c>
      <c r="AD925" s="246">
        <f>IFERROR(VLOOKUP(P925,PROGRAMAS[],2,FALSE),0)</f>
        <v>0</v>
      </c>
      <c r="AE925" s="246">
        <f>IFERROR(VLOOKUP(Q925,PROGRAMAS[],2,FALSE),0)</f>
        <v>0</v>
      </c>
      <c r="AF925" s="246">
        <f>IFERROR(VLOOKUP(D925,PROGRAMAS[],3,FALSE),0)</f>
        <v>841888629.31080008</v>
      </c>
      <c r="AG925" s="246">
        <f>IFERROR(VLOOKUP(E925,PROGRAMAS[],3,FALSE),0)</f>
        <v>3848980803.1642323</v>
      </c>
      <c r="AH925" s="246">
        <f>IFERROR(VLOOKUP(F925,PROGRAMAS[],3,FALSE),0)</f>
        <v>3394901471.387517</v>
      </c>
      <c r="AI925" s="246">
        <f>IFERROR(VLOOKUP(G925,PROGRAMAS[],3,FALSE),0)</f>
        <v>6129902208.7912121</v>
      </c>
      <c r="AJ925" s="246">
        <f>IFERROR(VLOOKUP(H925,PROGRAMAS[],3,FALSE),0)</f>
        <v>7011279577.519702</v>
      </c>
      <c r="AK925" s="246">
        <f>IFERROR(VLOOKUP(I925,PROGRAMAS[],3,FALSE),0)</f>
        <v>2392571243.5584412</v>
      </c>
      <c r="AL925" s="246">
        <f>IFERROR(VLOOKUP(J925,PROGRAMAS[],3,FALSE),0)</f>
        <v>31865326.38096505</v>
      </c>
      <c r="AM925" s="246">
        <f>IFERROR(VLOOKUP(K925,PROGRAMAS[],3,FALSE),0)</f>
        <v>2406564599.0319901</v>
      </c>
      <c r="AN925" s="246">
        <f>IFERROR(VLOOKUP(L925,PROGRAMAS[],3,FALSE),0)</f>
        <v>0</v>
      </c>
      <c r="AO925" s="246">
        <f>IFERROR(VLOOKUP(M925,PROGRAMAS[],3,FALSE),0)</f>
        <v>0</v>
      </c>
      <c r="AP925" s="246">
        <f>IFERROR(VLOOKUP(N925,PROGRAMAS[],3,FALSE),0)</f>
        <v>0</v>
      </c>
      <c r="AQ925" s="246">
        <f>IFERROR(VLOOKUP(O925,PROGRAMAS[],3,FALSE),0)</f>
        <v>0</v>
      </c>
      <c r="AR925" s="246">
        <f>IFERROR(VLOOKUP(P925,PROGRAMAS[],3,FALSE),0)</f>
        <v>0</v>
      </c>
      <c r="AS925" s="246">
        <f>IFERROR(VLOOKUP(Q925,PROGRAMAS[],3,FALSE),0)</f>
        <v>0</v>
      </c>
      <c r="AT925" s="246">
        <f>IFERROR(VLOOKUP(D925,VOL_REC[],2,FALSE),0)</f>
        <v>0</v>
      </c>
      <c r="AU925" s="246">
        <f>IFERROR(VLOOKUP(E925,VOL_REC[],2,FALSE),0)</f>
        <v>0</v>
      </c>
      <c r="AV925" s="246">
        <f>IFERROR(VLOOKUP(F925,VOL_REC[],2,FALSE),0)</f>
        <v>11089674.200000001</v>
      </c>
      <c r="AW925" s="246">
        <f>IFERROR(VLOOKUP(G925,VOL_REC[],2,FALSE),0)</f>
        <v>15540036.397699751</v>
      </c>
      <c r="AX925" s="246">
        <f>IFERROR(VLOOKUP(H925,VOL_REC[],2,FALSE),0)</f>
        <v>3761786</v>
      </c>
      <c r="AY925" s="246">
        <f>IFERROR(VLOOKUP(I925,VOL_REC[],2,FALSE),0)</f>
        <v>663244.80000000016</v>
      </c>
      <c r="AZ925" s="246">
        <f>IFERROR(VLOOKUP(J925,VOL_REC[],2,FALSE),0)</f>
        <v>17074.045034105649</v>
      </c>
      <c r="BA925" s="246">
        <f>IFERROR(VLOOKUP(K925,VOL_REC[],2,FALSE),0)</f>
        <v>1072354.9981737854</v>
      </c>
      <c r="BB925" s="246">
        <f>IFERROR(VLOOKUP(L925,VOL_REC[],2,FALSE),0)</f>
        <v>0</v>
      </c>
      <c r="BC925" s="246">
        <f>IFERROR(VLOOKUP(M925,VOL_REC[],2,FALSE),0)</f>
        <v>0</v>
      </c>
      <c r="BD925" s="246">
        <f>IFERROR(VLOOKUP(N925,VOL_REC[],2,FALSE),0)</f>
        <v>0</v>
      </c>
      <c r="BE925" s="246">
        <f>IFERROR(VLOOKUP(O925,VOL_REC[],2,FALSE),0)</f>
        <v>0</v>
      </c>
      <c r="BF925" s="246">
        <f>IFERROR(VLOOKUP(P925,VOL_REC[],2,FALSE),0)</f>
        <v>0</v>
      </c>
      <c r="BG925" s="246">
        <f>IFERROR(VLOOKUP(Q925,VOL_REC[],2,FALSE),0)</f>
        <v>0</v>
      </c>
      <c r="BH925" s="1710">
        <f t="shared" si="56"/>
        <v>27735354917.670551</v>
      </c>
      <c r="BI925" s="1710">
        <f t="shared" si="57"/>
        <v>26057953859.144863</v>
      </c>
      <c r="BJ925" s="1711">
        <f t="shared" si="58"/>
        <v>32144170.440907646</v>
      </c>
      <c r="BK925" s="1711">
        <f t="shared" si="59"/>
        <v>1.0643719406210022</v>
      </c>
      <c r="BL925">
        <f>BJ925</f>
        <v>32144170.440907646</v>
      </c>
      <c r="BO925">
        <f>BL925</f>
        <v>32144170.440907646</v>
      </c>
    </row>
    <row r="926" spans="3:67" x14ac:dyDescent="0.25">
      <c r="C926" s="246" t="s">
        <v>2276</v>
      </c>
      <c r="D926" s="246">
        <v>1</v>
      </c>
      <c r="E926" s="246">
        <v>2</v>
      </c>
      <c r="F926" s="246">
        <v>3</v>
      </c>
      <c r="G926" s="246">
        <v>6</v>
      </c>
      <c r="H926" s="246">
        <v>9</v>
      </c>
      <c r="I926" s="246">
        <v>13</v>
      </c>
      <c r="J926" s="246">
        <v>14</v>
      </c>
      <c r="K926" s="246">
        <v>17</v>
      </c>
      <c r="L926" s="246"/>
      <c r="M926" s="246"/>
      <c r="N926" s="246"/>
      <c r="O926" s="246"/>
      <c r="P926" s="246"/>
      <c r="Q926" s="246"/>
      <c r="R926" s="246">
        <f>IFERROR(VLOOKUP(D926,PROGRAMAS[],2,FALSE),0)</f>
        <v>97037803.679377079</v>
      </c>
      <c r="S926" s="246">
        <f>IFERROR(VLOOKUP(E926,PROGRAMAS[],2,FALSE),0)</f>
        <v>640501509.6821388</v>
      </c>
      <c r="T926" s="246">
        <f>IFERROR(VLOOKUP(F926,PROGRAMAS[],2,FALSE),0)</f>
        <v>3062327798.1525245</v>
      </c>
      <c r="U926" s="246">
        <f>IFERROR(VLOOKUP(G926,PROGRAMAS[],2,FALSE),0)</f>
        <v>6907648435.8447599</v>
      </c>
      <c r="V926" s="246">
        <f>IFERROR(VLOOKUP(H926,PROGRAMAS[],2,FALSE),0)</f>
        <v>6128579952.1618185</v>
      </c>
      <c r="W926" s="246">
        <f>IFERROR(VLOOKUP(I926,PROGRAMAS[],2,FALSE),0)</f>
        <v>3776538594.4604583</v>
      </c>
      <c r="X926" s="246">
        <f>IFERROR(VLOOKUP(J926,PROGRAMAS[],2,FALSE),0)</f>
        <v>54223862.645839565</v>
      </c>
      <c r="Y926" s="246">
        <f>IFERROR(VLOOKUP(K926,PROGRAMAS[],2,FALSE),0)</f>
        <v>1892779498.5211046</v>
      </c>
      <c r="Z926" s="246">
        <f>IFERROR(VLOOKUP(L926,PROGRAMAS[],2,FALSE),0)</f>
        <v>0</v>
      </c>
      <c r="AA926" s="246">
        <f>IFERROR(VLOOKUP(M926,PROGRAMAS[],2,FALSE),0)</f>
        <v>0</v>
      </c>
      <c r="AB926" s="246">
        <f>IFERROR(VLOOKUP(N926,PROGRAMAS[],2,FALSE),0)</f>
        <v>0</v>
      </c>
      <c r="AC926" s="246">
        <f>IFERROR(VLOOKUP(O926,PROGRAMAS[],2,FALSE),0)</f>
        <v>0</v>
      </c>
      <c r="AD926" s="246">
        <f>IFERROR(VLOOKUP(P926,PROGRAMAS[],2,FALSE),0)</f>
        <v>0</v>
      </c>
      <c r="AE926" s="246">
        <f>IFERROR(VLOOKUP(Q926,PROGRAMAS[],2,FALSE),0)</f>
        <v>0</v>
      </c>
      <c r="AF926" s="246">
        <f>IFERROR(VLOOKUP(D926,PROGRAMAS[],3,FALSE),0)</f>
        <v>841888629.31080008</v>
      </c>
      <c r="AG926" s="246">
        <f>IFERROR(VLOOKUP(E926,PROGRAMAS[],3,FALSE),0)</f>
        <v>3848980803.1642323</v>
      </c>
      <c r="AH926" s="246">
        <f>IFERROR(VLOOKUP(F926,PROGRAMAS[],3,FALSE),0)</f>
        <v>3394901471.387517</v>
      </c>
      <c r="AI926" s="246">
        <f>IFERROR(VLOOKUP(G926,PROGRAMAS[],3,FALSE),0)</f>
        <v>6129902208.7912121</v>
      </c>
      <c r="AJ926" s="246">
        <f>IFERROR(VLOOKUP(H926,PROGRAMAS[],3,FALSE),0)</f>
        <v>7011279577.519702</v>
      </c>
      <c r="AK926" s="246">
        <f>IFERROR(VLOOKUP(I926,PROGRAMAS[],3,FALSE),0)</f>
        <v>2392571243.5584412</v>
      </c>
      <c r="AL926" s="246">
        <f>IFERROR(VLOOKUP(J926,PROGRAMAS[],3,FALSE),0)</f>
        <v>31865326.38096505</v>
      </c>
      <c r="AM926" s="246">
        <f>IFERROR(VLOOKUP(K926,PROGRAMAS[],3,FALSE),0)</f>
        <v>948595847.09039903</v>
      </c>
      <c r="AN926" s="246">
        <f>IFERROR(VLOOKUP(L926,PROGRAMAS[],3,FALSE),0)</f>
        <v>0</v>
      </c>
      <c r="AO926" s="246">
        <f>IFERROR(VLOOKUP(M926,PROGRAMAS[],3,FALSE),0)</f>
        <v>0</v>
      </c>
      <c r="AP926" s="246">
        <f>IFERROR(VLOOKUP(N926,PROGRAMAS[],3,FALSE),0)</f>
        <v>0</v>
      </c>
      <c r="AQ926" s="246">
        <f>IFERROR(VLOOKUP(O926,PROGRAMAS[],3,FALSE),0)</f>
        <v>0</v>
      </c>
      <c r="AR926" s="246">
        <f>IFERROR(VLOOKUP(P926,PROGRAMAS[],3,FALSE),0)</f>
        <v>0</v>
      </c>
      <c r="AS926" s="246">
        <f>IFERROR(VLOOKUP(Q926,PROGRAMAS[],3,FALSE),0)</f>
        <v>0</v>
      </c>
      <c r="AT926" s="246">
        <f>IFERROR(VLOOKUP(D926,VOL_REC[],2,FALSE),0)</f>
        <v>0</v>
      </c>
      <c r="AU926" s="246">
        <f>IFERROR(VLOOKUP(E926,VOL_REC[],2,FALSE),0)</f>
        <v>0</v>
      </c>
      <c r="AV926" s="246">
        <f>IFERROR(VLOOKUP(F926,VOL_REC[],2,FALSE),0)</f>
        <v>11089674.200000001</v>
      </c>
      <c r="AW926" s="246">
        <f>IFERROR(VLOOKUP(G926,VOL_REC[],2,FALSE),0)</f>
        <v>15540036.397699751</v>
      </c>
      <c r="AX926" s="246">
        <f>IFERROR(VLOOKUP(H926,VOL_REC[],2,FALSE),0)</f>
        <v>3761786</v>
      </c>
      <c r="AY926" s="246">
        <f>IFERROR(VLOOKUP(I926,VOL_REC[],2,FALSE),0)</f>
        <v>663244.80000000016</v>
      </c>
      <c r="AZ926" s="246">
        <f>IFERROR(VLOOKUP(J926,VOL_REC[],2,FALSE),0)</f>
        <v>17074.045034105649</v>
      </c>
      <c r="BA926" s="246">
        <f>IFERROR(VLOOKUP(K926,VOL_REC[],2,FALSE),0)</f>
        <v>740113.98115702497</v>
      </c>
      <c r="BB926" s="246">
        <f>IFERROR(VLOOKUP(L926,VOL_REC[],2,FALSE),0)</f>
        <v>0</v>
      </c>
      <c r="BC926" s="246">
        <f>IFERROR(VLOOKUP(M926,VOL_REC[],2,FALSE),0)</f>
        <v>0</v>
      </c>
      <c r="BD926" s="246">
        <f>IFERROR(VLOOKUP(N926,VOL_REC[],2,FALSE),0)</f>
        <v>0</v>
      </c>
      <c r="BE926" s="246">
        <f>IFERROR(VLOOKUP(O926,VOL_REC[],2,FALSE),0)</f>
        <v>0</v>
      </c>
      <c r="BF926" s="246">
        <f>IFERROR(VLOOKUP(P926,VOL_REC[],2,FALSE),0)</f>
        <v>0</v>
      </c>
      <c r="BG926" s="246">
        <f>IFERROR(VLOOKUP(Q926,VOL_REC[],2,FALSE),0)</f>
        <v>0</v>
      </c>
      <c r="BH926" s="1710">
        <f t="shared" si="56"/>
        <v>22559637455.148018</v>
      </c>
      <c r="BI926" s="1710">
        <f t="shared" si="57"/>
        <v>24599985107.203274</v>
      </c>
      <c r="BJ926" s="1711">
        <f t="shared" si="58"/>
        <v>31811929.423890885</v>
      </c>
      <c r="BK926" s="1711">
        <f t="shared" si="59"/>
        <v>0.91705898832199662</v>
      </c>
    </row>
    <row r="927" spans="3:67" x14ac:dyDescent="0.25">
      <c r="C927" s="246" t="s">
        <v>2277</v>
      </c>
      <c r="D927" s="246">
        <v>1</v>
      </c>
      <c r="E927" s="246">
        <v>2</v>
      </c>
      <c r="F927" s="246">
        <v>3</v>
      </c>
      <c r="G927" s="246">
        <v>6</v>
      </c>
      <c r="H927" s="246">
        <v>9</v>
      </c>
      <c r="I927" s="246">
        <v>13</v>
      </c>
      <c r="J927" s="246">
        <v>15</v>
      </c>
      <c r="K927" s="246">
        <v>16</v>
      </c>
      <c r="L927" s="246"/>
      <c r="M927" s="246"/>
      <c r="N927" s="246"/>
      <c r="O927" s="246"/>
      <c r="P927" s="246"/>
      <c r="Q927" s="246"/>
      <c r="R927" s="246">
        <f>IFERROR(VLOOKUP(D927,PROGRAMAS[],2,FALSE),0)</f>
        <v>97037803.679377079</v>
      </c>
      <c r="S927" s="246">
        <f>IFERROR(VLOOKUP(E927,PROGRAMAS[],2,FALSE),0)</f>
        <v>640501509.6821388</v>
      </c>
      <c r="T927" s="246">
        <f>IFERROR(VLOOKUP(F927,PROGRAMAS[],2,FALSE),0)</f>
        <v>3062327798.1525245</v>
      </c>
      <c r="U927" s="246">
        <f>IFERROR(VLOOKUP(G927,PROGRAMAS[],2,FALSE),0)</f>
        <v>6907648435.8447599</v>
      </c>
      <c r="V927" s="246">
        <f>IFERROR(VLOOKUP(H927,PROGRAMAS[],2,FALSE),0)</f>
        <v>6128579952.1618185</v>
      </c>
      <c r="W927" s="246">
        <f>IFERROR(VLOOKUP(I927,PROGRAMAS[],2,FALSE),0)</f>
        <v>3776538594.4604583</v>
      </c>
      <c r="X927" s="246">
        <f>IFERROR(VLOOKUP(J927,PROGRAMAS[],2,FALSE),0)</f>
        <v>122159672.96346797</v>
      </c>
      <c r="Y927" s="246">
        <f>IFERROR(VLOOKUP(K927,PROGRAMAS[],2,FALSE),0)</f>
        <v>7068496961.0436354</v>
      </c>
      <c r="Z927" s="246">
        <f>IFERROR(VLOOKUP(L927,PROGRAMAS[],2,FALSE),0)</f>
        <v>0</v>
      </c>
      <c r="AA927" s="246">
        <f>IFERROR(VLOOKUP(M927,PROGRAMAS[],2,FALSE),0)</f>
        <v>0</v>
      </c>
      <c r="AB927" s="246">
        <f>IFERROR(VLOOKUP(N927,PROGRAMAS[],2,FALSE),0)</f>
        <v>0</v>
      </c>
      <c r="AC927" s="246">
        <f>IFERROR(VLOOKUP(O927,PROGRAMAS[],2,FALSE),0)</f>
        <v>0</v>
      </c>
      <c r="AD927" s="246">
        <f>IFERROR(VLOOKUP(P927,PROGRAMAS[],2,FALSE),0)</f>
        <v>0</v>
      </c>
      <c r="AE927" s="246">
        <f>IFERROR(VLOOKUP(Q927,PROGRAMAS[],2,FALSE),0)</f>
        <v>0</v>
      </c>
      <c r="AF927" s="246">
        <f>IFERROR(VLOOKUP(D927,PROGRAMAS[],3,FALSE),0)</f>
        <v>841888629.31080008</v>
      </c>
      <c r="AG927" s="246">
        <f>IFERROR(VLOOKUP(E927,PROGRAMAS[],3,FALSE),0)</f>
        <v>3848980803.1642323</v>
      </c>
      <c r="AH927" s="246">
        <f>IFERROR(VLOOKUP(F927,PROGRAMAS[],3,FALSE),0)</f>
        <v>3394901471.387517</v>
      </c>
      <c r="AI927" s="246">
        <f>IFERROR(VLOOKUP(G927,PROGRAMAS[],3,FALSE),0)</f>
        <v>6129902208.7912121</v>
      </c>
      <c r="AJ927" s="246">
        <f>IFERROR(VLOOKUP(H927,PROGRAMAS[],3,FALSE),0)</f>
        <v>7011279577.519702</v>
      </c>
      <c r="AK927" s="246">
        <f>IFERROR(VLOOKUP(I927,PROGRAMAS[],3,FALSE),0)</f>
        <v>2392571243.5584412</v>
      </c>
      <c r="AL927" s="246">
        <f>IFERROR(VLOOKUP(J927,PROGRAMAS[],3,FALSE),0)</f>
        <v>118617452.52510804</v>
      </c>
      <c r="AM927" s="246">
        <f>IFERROR(VLOOKUP(K927,PROGRAMAS[],3,FALSE),0)</f>
        <v>2406564599.0319901</v>
      </c>
      <c r="AN927" s="246">
        <f>IFERROR(VLOOKUP(L927,PROGRAMAS[],3,FALSE),0)</f>
        <v>0</v>
      </c>
      <c r="AO927" s="246">
        <f>IFERROR(VLOOKUP(M927,PROGRAMAS[],3,FALSE),0)</f>
        <v>0</v>
      </c>
      <c r="AP927" s="246">
        <f>IFERROR(VLOOKUP(N927,PROGRAMAS[],3,FALSE),0)</f>
        <v>0</v>
      </c>
      <c r="AQ927" s="246">
        <f>IFERROR(VLOOKUP(O927,PROGRAMAS[],3,FALSE),0)</f>
        <v>0</v>
      </c>
      <c r="AR927" s="246">
        <f>IFERROR(VLOOKUP(P927,PROGRAMAS[],3,FALSE),0)</f>
        <v>0</v>
      </c>
      <c r="AS927" s="246">
        <f>IFERROR(VLOOKUP(Q927,PROGRAMAS[],3,FALSE),0)</f>
        <v>0</v>
      </c>
      <c r="AT927" s="246">
        <f>IFERROR(VLOOKUP(D927,VOL_REC[],2,FALSE),0)</f>
        <v>0</v>
      </c>
      <c r="AU927" s="246">
        <f>IFERROR(VLOOKUP(E927,VOL_REC[],2,FALSE),0)</f>
        <v>0</v>
      </c>
      <c r="AV927" s="246">
        <f>IFERROR(VLOOKUP(F927,VOL_REC[],2,FALSE),0)</f>
        <v>11089674.200000001</v>
      </c>
      <c r="AW927" s="246">
        <f>IFERROR(VLOOKUP(G927,VOL_REC[],2,FALSE),0)</f>
        <v>15540036.397699751</v>
      </c>
      <c r="AX927" s="246">
        <f>IFERROR(VLOOKUP(H927,VOL_REC[],2,FALSE),0)</f>
        <v>3761786</v>
      </c>
      <c r="AY927" s="246">
        <f>IFERROR(VLOOKUP(I927,VOL_REC[],2,FALSE),0)</f>
        <v>663244.80000000016</v>
      </c>
      <c r="AZ927" s="246">
        <f>IFERROR(VLOOKUP(J927,VOL_REC[],2,FALSE),0)</f>
        <v>105072</v>
      </c>
      <c r="BA927" s="246">
        <f>IFERROR(VLOOKUP(K927,VOL_REC[],2,FALSE),0)</f>
        <v>1072354.9981737854</v>
      </c>
      <c r="BB927" s="246">
        <f>IFERROR(VLOOKUP(L927,VOL_REC[],2,FALSE),0)</f>
        <v>0</v>
      </c>
      <c r="BC927" s="246">
        <f>IFERROR(VLOOKUP(M927,VOL_REC[],2,FALSE),0)</f>
        <v>0</v>
      </c>
      <c r="BD927" s="246">
        <f>IFERROR(VLOOKUP(N927,VOL_REC[],2,FALSE),0)</f>
        <v>0</v>
      </c>
      <c r="BE927" s="246">
        <f>IFERROR(VLOOKUP(O927,VOL_REC[],2,FALSE),0)</f>
        <v>0</v>
      </c>
      <c r="BF927" s="246">
        <f>IFERROR(VLOOKUP(P927,VOL_REC[],2,FALSE),0)</f>
        <v>0</v>
      </c>
      <c r="BG927" s="246">
        <f>IFERROR(VLOOKUP(Q927,VOL_REC[],2,FALSE),0)</f>
        <v>0</v>
      </c>
      <c r="BH927" s="1710">
        <f t="shared" si="56"/>
        <v>27803290727.988178</v>
      </c>
      <c r="BI927" s="1710">
        <f t="shared" si="57"/>
        <v>26144705985.289005</v>
      </c>
      <c r="BJ927" s="1711">
        <f t="shared" si="58"/>
        <v>32232168.395873539</v>
      </c>
      <c r="BK927" s="1711">
        <f t="shared" si="59"/>
        <v>1.0634386458058629</v>
      </c>
      <c r="BL927">
        <f>BJ927</f>
        <v>32232168.395873539</v>
      </c>
      <c r="BO927">
        <f>BL927</f>
        <v>32232168.395873539</v>
      </c>
    </row>
    <row r="928" spans="3:67" x14ac:dyDescent="0.25">
      <c r="C928" s="246" t="s">
        <v>2278</v>
      </c>
      <c r="D928" s="246">
        <v>1</v>
      </c>
      <c r="E928" s="246">
        <v>2</v>
      </c>
      <c r="F928" s="246">
        <v>3</v>
      </c>
      <c r="G928" s="246">
        <v>6</v>
      </c>
      <c r="H928" s="246">
        <v>9</v>
      </c>
      <c r="I928" s="246">
        <v>13</v>
      </c>
      <c r="J928" s="246">
        <v>15</v>
      </c>
      <c r="K928" s="246">
        <v>17</v>
      </c>
      <c r="L928" s="246"/>
      <c r="M928" s="246"/>
      <c r="N928" s="246"/>
      <c r="O928" s="246"/>
      <c r="P928" s="246"/>
      <c r="Q928" s="246"/>
      <c r="R928" s="246">
        <f>IFERROR(VLOOKUP(D928,PROGRAMAS[],2,FALSE),0)</f>
        <v>97037803.679377079</v>
      </c>
      <c r="S928" s="246">
        <f>IFERROR(VLOOKUP(E928,PROGRAMAS[],2,FALSE),0)</f>
        <v>640501509.6821388</v>
      </c>
      <c r="T928" s="246">
        <f>IFERROR(VLOOKUP(F928,PROGRAMAS[],2,FALSE),0)</f>
        <v>3062327798.1525245</v>
      </c>
      <c r="U928" s="246">
        <f>IFERROR(VLOOKUP(G928,PROGRAMAS[],2,FALSE),0)</f>
        <v>6907648435.8447599</v>
      </c>
      <c r="V928" s="246">
        <f>IFERROR(VLOOKUP(H928,PROGRAMAS[],2,FALSE),0)</f>
        <v>6128579952.1618185</v>
      </c>
      <c r="W928" s="246">
        <f>IFERROR(VLOOKUP(I928,PROGRAMAS[],2,FALSE),0)</f>
        <v>3776538594.4604583</v>
      </c>
      <c r="X928" s="246">
        <f>IFERROR(VLOOKUP(J928,PROGRAMAS[],2,FALSE),0)</f>
        <v>122159672.96346797</v>
      </c>
      <c r="Y928" s="246">
        <f>IFERROR(VLOOKUP(K928,PROGRAMAS[],2,FALSE),0)</f>
        <v>1892779498.5211046</v>
      </c>
      <c r="Z928" s="246">
        <f>IFERROR(VLOOKUP(L928,PROGRAMAS[],2,FALSE),0)</f>
        <v>0</v>
      </c>
      <c r="AA928" s="246">
        <f>IFERROR(VLOOKUP(M928,PROGRAMAS[],2,FALSE),0)</f>
        <v>0</v>
      </c>
      <c r="AB928" s="246">
        <f>IFERROR(VLOOKUP(N928,PROGRAMAS[],2,FALSE),0)</f>
        <v>0</v>
      </c>
      <c r="AC928" s="246">
        <f>IFERROR(VLOOKUP(O928,PROGRAMAS[],2,FALSE),0)</f>
        <v>0</v>
      </c>
      <c r="AD928" s="246">
        <f>IFERROR(VLOOKUP(P928,PROGRAMAS[],2,FALSE),0)</f>
        <v>0</v>
      </c>
      <c r="AE928" s="246">
        <f>IFERROR(VLOOKUP(Q928,PROGRAMAS[],2,FALSE),0)</f>
        <v>0</v>
      </c>
      <c r="AF928" s="246">
        <f>IFERROR(VLOOKUP(D928,PROGRAMAS[],3,FALSE),0)</f>
        <v>841888629.31080008</v>
      </c>
      <c r="AG928" s="246">
        <f>IFERROR(VLOOKUP(E928,PROGRAMAS[],3,FALSE),0)</f>
        <v>3848980803.1642323</v>
      </c>
      <c r="AH928" s="246">
        <f>IFERROR(VLOOKUP(F928,PROGRAMAS[],3,FALSE),0)</f>
        <v>3394901471.387517</v>
      </c>
      <c r="AI928" s="246">
        <f>IFERROR(VLOOKUP(G928,PROGRAMAS[],3,FALSE),0)</f>
        <v>6129902208.7912121</v>
      </c>
      <c r="AJ928" s="246">
        <f>IFERROR(VLOOKUP(H928,PROGRAMAS[],3,FALSE),0)</f>
        <v>7011279577.519702</v>
      </c>
      <c r="AK928" s="246">
        <f>IFERROR(VLOOKUP(I928,PROGRAMAS[],3,FALSE),0)</f>
        <v>2392571243.5584412</v>
      </c>
      <c r="AL928" s="246">
        <f>IFERROR(VLOOKUP(J928,PROGRAMAS[],3,FALSE),0)</f>
        <v>118617452.52510804</v>
      </c>
      <c r="AM928" s="246">
        <f>IFERROR(VLOOKUP(K928,PROGRAMAS[],3,FALSE),0)</f>
        <v>948595847.09039903</v>
      </c>
      <c r="AN928" s="246">
        <f>IFERROR(VLOOKUP(L928,PROGRAMAS[],3,FALSE),0)</f>
        <v>0</v>
      </c>
      <c r="AO928" s="246">
        <f>IFERROR(VLOOKUP(M928,PROGRAMAS[],3,FALSE),0)</f>
        <v>0</v>
      </c>
      <c r="AP928" s="246">
        <f>IFERROR(VLOOKUP(N928,PROGRAMAS[],3,FALSE),0)</f>
        <v>0</v>
      </c>
      <c r="AQ928" s="246">
        <f>IFERROR(VLOOKUP(O928,PROGRAMAS[],3,FALSE),0)</f>
        <v>0</v>
      </c>
      <c r="AR928" s="246">
        <f>IFERROR(VLOOKUP(P928,PROGRAMAS[],3,FALSE),0)</f>
        <v>0</v>
      </c>
      <c r="AS928" s="246">
        <f>IFERROR(VLOOKUP(Q928,PROGRAMAS[],3,FALSE),0)</f>
        <v>0</v>
      </c>
      <c r="AT928" s="246">
        <f>IFERROR(VLOOKUP(D928,VOL_REC[],2,FALSE),0)</f>
        <v>0</v>
      </c>
      <c r="AU928" s="246">
        <f>IFERROR(VLOOKUP(E928,VOL_REC[],2,FALSE),0)</f>
        <v>0</v>
      </c>
      <c r="AV928" s="246">
        <f>IFERROR(VLOOKUP(F928,VOL_REC[],2,FALSE),0)</f>
        <v>11089674.200000001</v>
      </c>
      <c r="AW928" s="246">
        <f>IFERROR(VLOOKUP(G928,VOL_REC[],2,FALSE),0)</f>
        <v>15540036.397699751</v>
      </c>
      <c r="AX928" s="246">
        <f>IFERROR(VLOOKUP(H928,VOL_REC[],2,FALSE),0)</f>
        <v>3761786</v>
      </c>
      <c r="AY928" s="246">
        <f>IFERROR(VLOOKUP(I928,VOL_REC[],2,FALSE),0)</f>
        <v>663244.80000000016</v>
      </c>
      <c r="AZ928" s="246">
        <f>IFERROR(VLOOKUP(J928,VOL_REC[],2,FALSE),0)</f>
        <v>105072</v>
      </c>
      <c r="BA928" s="246">
        <f>IFERROR(VLOOKUP(K928,VOL_REC[],2,FALSE),0)</f>
        <v>740113.98115702497</v>
      </c>
      <c r="BB928" s="246">
        <f>IFERROR(VLOOKUP(L928,VOL_REC[],2,FALSE),0)</f>
        <v>0</v>
      </c>
      <c r="BC928" s="246">
        <f>IFERROR(VLOOKUP(M928,VOL_REC[],2,FALSE),0)</f>
        <v>0</v>
      </c>
      <c r="BD928" s="246">
        <f>IFERROR(VLOOKUP(N928,VOL_REC[],2,FALSE),0)</f>
        <v>0</v>
      </c>
      <c r="BE928" s="246">
        <f>IFERROR(VLOOKUP(O928,VOL_REC[],2,FALSE),0)</f>
        <v>0</v>
      </c>
      <c r="BF928" s="246">
        <f>IFERROR(VLOOKUP(P928,VOL_REC[],2,FALSE),0)</f>
        <v>0</v>
      </c>
      <c r="BG928" s="246">
        <f>IFERROR(VLOOKUP(Q928,VOL_REC[],2,FALSE),0)</f>
        <v>0</v>
      </c>
      <c r="BH928" s="1710">
        <f t="shared" si="56"/>
        <v>22627573265.465645</v>
      </c>
      <c r="BI928" s="1710">
        <f t="shared" si="57"/>
        <v>24686737233.347416</v>
      </c>
      <c r="BJ928" s="1711">
        <f t="shared" si="58"/>
        <v>31899927.378856778</v>
      </c>
      <c r="BK928" s="1711">
        <f t="shared" si="59"/>
        <v>0.91658824945484474</v>
      </c>
    </row>
    <row r="929" spans="3:67" x14ac:dyDescent="0.25">
      <c r="C929" s="246" t="s">
        <v>2279</v>
      </c>
      <c r="D929" s="246">
        <v>1</v>
      </c>
      <c r="E929" s="246">
        <v>2</v>
      </c>
      <c r="F929" s="246">
        <v>3</v>
      </c>
      <c r="G929" s="246">
        <v>6</v>
      </c>
      <c r="H929" s="246">
        <v>9</v>
      </c>
      <c r="I929" s="246">
        <v>13</v>
      </c>
      <c r="J929" s="246">
        <v>16</v>
      </c>
      <c r="K929" s="246">
        <v>17</v>
      </c>
      <c r="L929" s="246"/>
      <c r="M929" s="246"/>
      <c r="N929" s="246"/>
      <c r="O929" s="246"/>
      <c r="P929" s="246"/>
      <c r="Q929" s="246"/>
      <c r="R929" s="246">
        <f>IFERROR(VLOOKUP(D929,PROGRAMAS[],2,FALSE),0)</f>
        <v>97037803.679377079</v>
      </c>
      <c r="S929" s="246">
        <f>IFERROR(VLOOKUP(E929,PROGRAMAS[],2,FALSE),0)</f>
        <v>640501509.6821388</v>
      </c>
      <c r="T929" s="246">
        <f>IFERROR(VLOOKUP(F929,PROGRAMAS[],2,FALSE),0)</f>
        <v>3062327798.1525245</v>
      </c>
      <c r="U929" s="246">
        <f>IFERROR(VLOOKUP(G929,PROGRAMAS[],2,FALSE),0)</f>
        <v>6907648435.8447599</v>
      </c>
      <c r="V929" s="246">
        <f>IFERROR(VLOOKUP(H929,PROGRAMAS[],2,FALSE),0)</f>
        <v>6128579952.1618185</v>
      </c>
      <c r="W929" s="246">
        <f>IFERROR(VLOOKUP(I929,PROGRAMAS[],2,FALSE),0)</f>
        <v>3776538594.4604583</v>
      </c>
      <c r="X929" s="246">
        <f>IFERROR(VLOOKUP(J929,PROGRAMAS[],2,FALSE),0)</f>
        <v>7068496961.0436354</v>
      </c>
      <c r="Y929" s="246">
        <f>IFERROR(VLOOKUP(K929,PROGRAMAS[],2,FALSE),0)</f>
        <v>1892779498.5211046</v>
      </c>
      <c r="Z929" s="246">
        <f>IFERROR(VLOOKUP(L929,PROGRAMAS[],2,FALSE),0)</f>
        <v>0</v>
      </c>
      <c r="AA929" s="246">
        <f>IFERROR(VLOOKUP(M929,PROGRAMAS[],2,FALSE),0)</f>
        <v>0</v>
      </c>
      <c r="AB929" s="246">
        <f>IFERROR(VLOOKUP(N929,PROGRAMAS[],2,FALSE),0)</f>
        <v>0</v>
      </c>
      <c r="AC929" s="246">
        <f>IFERROR(VLOOKUP(O929,PROGRAMAS[],2,FALSE),0)</f>
        <v>0</v>
      </c>
      <c r="AD929" s="246">
        <f>IFERROR(VLOOKUP(P929,PROGRAMAS[],2,FALSE),0)</f>
        <v>0</v>
      </c>
      <c r="AE929" s="246">
        <f>IFERROR(VLOOKUP(Q929,PROGRAMAS[],2,FALSE),0)</f>
        <v>0</v>
      </c>
      <c r="AF929" s="246">
        <f>IFERROR(VLOOKUP(D929,PROGRAMAS[],3,FALSE),0)</f>
        <v>841888629.31080008</v>
      </c>
      <c r="AG929" s="246">
        <f>IFERROR(VLOOKUP(E929,PROGRAMAS[],3,FALSE),0)</f>
        <v>3848980803.1642323</v>
      </c>
      <c r="AH929" s="246">
        <f>IFERROR(VLOOKUP(F929,PROGRAMAS[],3,FALSE),0)</f>
        <v>3394901471.387517</v>
      </c>
      <c r="AI929" s="246">
        <f>IFERROR(VLOOKUP(G929,PROGRAMAS[],3,FALSE),0)</f>
        <v>6129902208.7912121</v>
      </c>
      <c r="AJ929" s="246">
        <f>IFERROR(VLOOKUP(H929,PROGRAMAS[],3,FALSE),0)</f>
        <v>7011279577.519702</v>
      </c>
      <c r="AK929" s="246">
        <f>IFERROR(VLOOKUP(I929,PROGRAMAS[],3,FALSE),0)</f>
        <v>2392571243.5584412</v>
      </c>
      <c r="AL929" s="246">
        <f>IFERROR(VLOOKUP(J929,PROGRAMAS[],3,FALSE),0)</f>
        <v>2406564599.0319901</v>
      </c>
      <c r="AM929" s="246">
        <f>IFERROR(VLOOKUP(K929,PROGRAMAS[],3,FALSE),0)</f>
        <v>948595847.09039903</v>
      </c>
      <c r="AN929" s="246">
        <f>IFERROR(VLOOKUP(L929,PROGRAMAS[],3,FALSE),0)</f>
        <v>0</v>
      </c>
      <c r="AO929" s="246">
        <f>IFERROR(VLOOKUP(M929,PROGRAMAS[],3,FALSE),0)</f>
        <v>0</v>
      </c>
      <c r="AP929" s="246">
        <f>IFERROR(VLOOKUP(N929,PROGRAMAS[],3,FALSE),0)</f>
        <v>0</v>
      </c>
      <c r="AQ929" s="246">
        <f>IFERROR(VLOOKUP(O929,PROGRAMAS[],3,FALSE),0)</f>
        <v>0</v>
      </c>
      <c r="AR929" s="246">
        <f>IFERROR(VLOOKUP(P929,PROGRAMAS[],3,FALSE),0)</f>
        <v>0</v>
      </c>
      <c r="AS929" s="246">
        <f>IFERROR(VLOOKUP(Q929,PROGRAMAS[],3,FALSE),0)</f>
        <v>0</v>
      </c>
      <c r="AT929" s="246">
        <f>IFERROR(VLOOKUP(D929,VOL_REC[],2,FALSE),0)</f>
        <v>0</v>
      </c>
      <c r="AU929" s="246">
        <f>IFERROR(VLOOKUP(E929,VOL_REC[],2,FALSE),0)</f>
        <v>0</v>
      </c>
      <c r="AV929" s="246">
        <f>IFERROR(VLOOKUP(F929,VOL_REC[],2,FALSE),0)</f>
        <v>11089674.200000001</v>
      </c>
      <c r="AW929" s="246">
        <f>IFERROR(VLOOKUP(G929,VOL_REC[],2,FALSE),0)</f>
        <v>15540036.397699751</v>
      </c>
      <c r="AX929" s="246">
        <f>IFERROR(VLOOKUP(H929,VOL_REC[],2,FALSE),0)</f>
        <v>3761786</v>
      </c>
      <c r="AY929" s="246">
        <f>IFERROR(VLOOKUP(I929,VOL_REC[],2,FALSE),0)</f>
        <v>663244.80000000016</v>
      </c>
      <c r="AZ929" s="246">
        <f>IFERROR(VLOOKUP(J929,VOL_REC[],2,FALSE),0)</f>
        <v>1072354.9981737854</v>
      </c>
      <c r="BA929" s="246">
        <f>IFERROR(VLOOKUP(K929,VOL_REC[],2,FALSE),0)</f>
        <v>740113.98115702497</v>
      </c>
      <c r="BB929" s="246">
        <f>IFERROR(VLOOKUP(L929,VOL_REC[],2,FALSE),0)</f>
        <v>0</v>
      </c>
      <c r="BC929" s="246">
        <f>IFERROR(VLOOKUP(M929,VOL_REC[],2,FALSE),0)</f>
        <v>0</v>
      </c>
      <c r="BD929" s="246">
        <f>IFERROR(VLOOKUP(N929,VOL_REC[],2,FALSE),0)</f>
        <v>0</v>
      </c>
      <c r="BE929" s="246">
        <f>IFERROR(VLOOKUP(O929,VOL_REC[],2,FALSE),0)</f>
        <v>0</v>
      </c>
      <c r="BF929" s="246">
        <f>IFERROR(VLOOKUP(P929,VOL_REC[],2,FALSE),0)</f>
        <v>0</v>
      </c>
      <c r="BG929" s="246">
        <f>IFERROR(VLOOKUP(Q929,VOL_REC[],2,FALSE),0)</f>
        <v>0</v>
      </c>
      <c r="BH929" s="1710">
        <f t="shared" si="56"/>
        <v>29573910553.545815</v>
      </c>
      <c r="BI929" s="1710">
        <f t="shared" si="57"/>
        <v>26974684379.854298</v>
      </c>
      <c r="BJ929" s="1711">
        <f t="shared" si="58"/>
        <v>32867210.377030563</v>
      </c>
      <c r="BK929" s="1711">
        <f t="shared" si="59"/>
        <v>1.0963579828067502</v>
      </c>
      <c r="BL929">
        <f>BJ929</f>
        <v>32867210.377030563</v>
      </c>
      <c r="BO929">
        <f>BL929</f>
        <v>32867210.377030563</v>
      </c>
    </row>
    <row r="930" spans="3:67" x14ac:dyDescent="0.25">
      <c r="C930" s="246" t="s">
        <v>2280</v>
      </c>
      <c r="D930" s="246">
        <v>1</v>
      </c>
      <c r="E930" s="246">
        <v>2</v>
      </c>
      <c r="F930" s="246">
        <v>3</v>
      </c>
      <c r="G930" s="246">
        <v>6</v>
      </c>
      <c r="H930" s="246">
        <v>9</v>
      </c>
      <c r="I930" s="246">
        <v>14</v>
      </c>
      <c r="J930" s="246">
        <v>15</v>
      </c>
      <c r="K930" s="246">
        <v>16</v>
      </c>
      <c r="L930" s="246"/>
      <c r="M930" s="246"/>
      <c r="N930" s="246"/>
      <c r="O930" s="246"/>
      <c r="P930" s="246"/>
      <c r="Q930" s="246"/>
      <c r="R930" s="246">
        <f>IFERROR(VLOOKUP(D930,PROGRAMAS[],2,FALSE),0)</f>
        <v>97037803.679377079</v>
      </c>
      <c r="S930" s="246">
        <f>IFERROR(VLOOKUP(E930,PROGRAMAS[],2,FALSE),0)</f>
        <v>640501509.6821388</v>
      </c>
      <c r="T930" s="246">
        <f>IFERROR(VLOOKUP(F930,PROGRAMAS[],2,FALSE),0)</f>
        <v>3062327798.1525245</v>
      </c>
      <c r="U930" s="246">
        <f>IFERROR(VLOOKUP(G930,PROGRAMAS[],2,FALSE),0)</f>
        <v>6907648435.8447599</v>
      </c>
      <c r="V930" s="246">
        <f>IFERROR(VLOOKUP(H930,PROGRAMAS[],2,FALSE),0)</f>
        <v>6128579952.1618185</v>
      </c>
      <c r="W930" s="246">
        <f>IFERROR(VLOOKUP(I930,PROGRAMAS[],2,FALSE),0)</f>
        <v>54223862.645839565</v>
      </c>
      <c r="X930" s="246">
        <f>IFERROR(VLOOKUP(J930,PROGRAMAS[],2,FALSE),0)</f>
        <v>122159672.96346797</v>
      </c>
      <c r="Y930" s="246">
        <f>IFERROR(VLOOKUP(K930,PROGRAMAS[],2,FALSE),0)</f>
        <v>7068496961.0436354</v>
      </c>
      <c r="Z930" s="246">
        <f>IFERROR(VLOOKUP(L930,PROGRAMAS[],2,FALSE),0)</f>
        <v>0</v>
      </c>
      <c r="AA930" s="246">
        <f>IFERROR(VLOOKUP(M930,PROGRAMAS[],2,FALSE),0)</f>
        <v>0</v>
      </c>
      <c r="AB930" s="246">
        <f>IFERROR(VLOOKUP(N930,PROGRAMAS[],2,FALSE),0)</f>
        <v>0</v>
      </c>
      <c r="AC930" s="246">
        <f>IFERROR(VLOOKUP(O930,PROGRAMAS[],2,FALSE),0)</f>
        <v>0</v>
      </c>
      <c r="AD930" s="246">
        <f>IFERROR(VLOOKUP(P930,PROGRAMAS[],2,FALSE),0)</f>
        <v>0</v>
      </c>
      <c r="AE930" s="246">
        <f>IFERROR(VLOOKUP(Q930,PROGRAMAS[],2,FALSE),0)</f>
        <v>0</v>
      </c>
      <c r="AF930" s="246">
        <f>IFERROR(VLOOKUP(D930,PROGRAMAS[],3,FALSE),0)</f>
        <v>841888629.31080008</v>
      </c>
      <c r="AG930" s="246">
        <f>IFERROR(VLOOKUP(E930,PROGRAMAS[],3,FALSE),0)</f>
        <v>3848980803.1642323</v>
      </c>
      <c r="AH930" s="246">
        <f>IFERROR(VLOOKUP(F930,PROGRAMAS[],3,FALSE),0)</f>
        <v>3394901471.387517</v>
      </c>
      <c r="AI930" s="246">
        <f>IFERROR(VLOOKUP(G930,PROGRAMAS[],3,FALSE),0)</f>
        <v>6129902208.7912121</v>
      </c>
      <c r="AJ930" s="246">
        <f>IFERROR(VLOOKUP(H930,PROGRAMAS[],3,FALSE),0)</f>
        <v>7011279577.519702</v>
      </c>
      <c r="AK930" s="246">
        <f>IFERROR(VLOOKUP(I930,PROGRAMAS[],3,FALSE),0)</f>
        <v>31865326.38096505</v>
      </c>
      <c r="AL930" s="246">
        <f>IFERROR(VLOOKUP(J930,PROGRAMAS[],3,FALSE),0)</f>
        <v>118617452.52510804</v>
      </c>
      <c r="AM930" s="246">
        <f>IFERROR(VLOOKUP(K930,PROGRAMAS[],3,FALSE),0)</f>
        <v>2406564599.0319901</v>
      </c>
      <c r="AN930" s="246">
        <f>IFERROR(VLOOKUP(L930,PROGRAMAS[],3,FALSE),0)</f>
        <v>0</v>
      </c>
      <c r="AO930" s="246">
        <f>IFERROR(VLOOKUP(M930,PROGRAMAS[],3,FALSE),0)</f>
        <v>0</v>
      </c>
      <c r="AP930" s="246">
        <f>IFERROR(VLOOKUP(N930,PROGRAMAS[],3,FALSE),0)</f>
        <v>0</v>
      </c>
      <c r="AQ930" s="246">
        <f>IFERROR(VLOOKUP(O930,PROGRAMAS[],3,FALSE),0)</f>
        <v>0</v>
      </c>
      <c r="AR930" s="246">
        <f>IFERROR(VLOOKUP(P930,PROGRAMAS[],3,FALSE),0)</f>
        <v>0</v>
      </c>
      <c r="AS930" s="246">
        <f>IFERROR(VLOOKUP(Q930,PROGRAMAS[],3,FALSE),0)</f>
        <v>0</v>
      </c>
      <c r="AT930" s="246">
        <f>IFERROR(VLOOKUP(D930,VOL_REC[],2,FALSE),0)</f>
        <v>0</v>
      </c>
      <c r="AU930" s="246">
        <f>IFERROR(VLOOKUP(E930,VOL_REC[],2,FALSE),0)</f>
        <v>0</v>
      </c>
      <c r="AV930" s="246">
        <f>IFERROR(VLOOKUP(F930,VOL_REC[],2,FALSE),0)</f>
        <v>11089674.200000001</v>
      </c>
      <c r="AW930" s="246">
        <f>IFERROR(VLOOKUP(G930,VOL_REC[],2,FALSE),0)</f>
        <v>15540036.397699751</v>
      </c>
      <c r="AX930" s="246">
        <f>IFERROR(VLOOKUP(H930,VOL_REC[],2,FALSE),0)</f>
        <v>3761786</v>
      </c>
      <c r="AY930" s="246">
        <f>IFERROR(VLOOKUP(I930,VOL_REC[],2,FALSE),0)</f>
        <v>17074.045034105649</v>
      </c>
      <c r="AZ930" s="246">
        <f>IFERROR(VLOOKUP(J930,VOL_REC[],2,FALSE),0)</f>
        <v>105072</v>
      </c>
      <c r="BA930" s="246">
        <f>IFERROR(VLOOKUP(K930,VOL_REC[],2,FALSE),0)</f>
        <v>1072354.9981737854</v>
      </c>
      <c r="BB930" s="246">
        <f>IFERROR(VLOOKUP(L930,VOL_REC[],2,FALSE),0)</f>
        <v>0</v>
      </c>
      <c r="BC930" s="246">
        <f>IFERROR(VLOOKUP(M930,VOL_REC[],2,FALSE),0)</f>
        <v>0</v>
      </c>
      <c r="BD930" s="246">
        <f>IFERROR(VLOOKUP(N930,VOL_REC[],2,FALSE),0)</f>
        <v>0</v>
      </c>
      <c r="BE930" s="246">
        <f>IFERROR(VLOOKUP(O930,VOL_REC[],2,FALSE),0)</f>
        <v>0</v>
      </c>
      <c r="BF930" s="246">
        <f>IFERROR(VLOOKUP(P930,VOL_REC[],2,FALSE),0)</f>
        <v>0</v>
      </c>
      <c r="BG930" s="246">
        <f>IFERROR(VLOOKUP(Q930,VOL_REC[],2,FALSE),0)</f>
        <v>0</v>
      </c>
      <c r="BH930" s="1710">
        <f t="shared" si="56"/>
        <v>24080975996.173561</v>
      </c>
      <c r="BI930" s="1710">
        <f t="shared" si="57"/>
        <v>23784000068.11153</v>
      </c>
      <c r="BJ930" s="1711">
        <f t="shared" si="58"/>
        <v>31585997.640907645</v>
      </c>
      <c r="BK930" s="1711">
        <f t="shared" si="59"/>
        <v>1.0124863743361741</v>
      </c>
      <c r="BL930">
        <f>BJ930</f>
        <v>31585997.640907645</v>
      </c>
      <c r="BO930">
        <f>BL930</f>
        <v>31585997.640907645</v>
      </c>
    </row>
    <row r="931" spans="3:67" x14ac:dyDescent="0.25">
      <c r="C931" s="246" t="s">
        <v>2281</v>
      </c>
      <c r="D931" s="246">
        <v>1</v>
      </c>
      <c r="E931" s="246">
        <v>2</v>
      </c>
      <c r="F931" s="246">
        <v>3</v>
      </c>
      <c r="G931" s="246">
        <v>6</v>
      </c>
      <c r="H931" s="246">
        <v>9</v>
      </c>
      <c r="I931" s="246">
        <v>14</v>
      </c>
      <c r="J931" s="246">
        <v>15</v>
      </c>
      <c r="K931" s="246">
        <v>17</v>
      </c>
      <c r="L931" s="246"/>
      <c r="M931" s="246"/>
      <c r="N931" s="246"/>
      <c r="O931" s="246"/>
      <c r="P931" s="246"/>
      <c r="Q931" s="246"/>
      <c r="R931" s="246">
        <f>IFERROR(VLOOKUP(D931,PROGRAMAS[],2,FALSE),0)</f>
        <v>97037803.679377079</v>
      </c>
      <c r="S931" s="246">
        <f>IFERROR(VLOOKUP(E931,PROGRAMAS[],2,FALSE),0)</f>
        <v>640501509.6821388</v>
      </c>
      <c r="T931" s="246">
        <f>IFERROR(VLOOKUP(F931,PROGRAMAS[],2,FALSE),0)</f>
        <v>3062327798.1525245</v>
      </c>
      <c r="U931" s="246">
        <f>IFERROR(VLOOKUP(G931,PROGRAMAS[],2,FALSE),0)</f>
        <v>6907648435.8447599</v>
      </c>
      <c r="V931" s="246">
        <f>IFERROR(VLOOKUP(H931,PROGRAMAS[],2,FALSE),0)</f>
        <v>6128579952.1618185</v>
      </c>
      <c r="W931" s="246">
        <f>IFERROR(VLOOKUP(I931,PROGRAMAS[],2,FALSE),0)</f>
        <v>54223862.645839565</v>
      </c>
      <c r="X931" s="246">
        <f>IFERROR(VLOOKUP(J931,PROGRAMAS[],2,FALSE),0)</f>
        <v>122159672.96346797</v>
      </c>
      <c r="Y931" s="246">
        <f>IFERROR(VLOOKUP(K931,PROGRAMAS[],2,FALSE),0)</f>
        <v>1892779498.5211046</v>
      </c>
      <c r="Z931" s="246">
        <f>IFERROR(VLOOKUP(L931,PROGRAMAS[],2,FALSE),0)</f>
        <v>0</v>
      </c>
      <c r="AA931" s="246">
        <f>IFERROR(VLOOKUP(M931,PROGRAMAS[],2,FALSE),0)</f>
        <v>0</v>
      </c>
      <c r="AB931" s="246">
        <f>IFERROR(VLOOKUP(N931,PROGRAMAS[],2,FALSE),0)</f>
        <v>0</v>
      </c>
      <c r="AC931" s="246">
        <f>IFERROR(VLOOKUP(O931,PROGRAMAS[],2,FALSE),0)</f>
        <v>0</v>
      </c>
      <c r="AD931" s="246">
        <f>IFERROR(VLOOKUP(P931,PROGRAMAS[],2,FALSE),0)</f>
        <v>0</v>
      </c>
      <c r="AE931" s="246">
        <f>IFERROR(VLOOKUP(Q931,PROGRAMAS[],2,FALSE),0)</f>
        <v>0</v>
      </c>
      <c r="AF931" s="246">
        <f>IFERROR(VLOOKUP(D931,PROGRAMAS[],3,FALSE),0)</f>
        <v>841888629.31080008</v>
      </c>
      <c r="AG931" s="246">
        <f>IFERROR(VLOOKUP(E931,PROGRAMAS[],3,FALSE),0)</f>
        <v>3848980803.1642323</v>
      </c>
      <c r="AH931" s="246">
        <f>IFERROR(VLOOKUP(F931,PROGRAMAS[],3,FALSE),0)</f>
        <v>3394901471.387517</v>
      </c>
      <c r="AI931" s="246">
        <f>IFERROR(VLOOKUP(G931,PROGRAMAS[],3,FALSE),0)</f>
        <v>6129902208.7912121</v>
      </c>
      <c r="AJ931" s="246">
        <f>IFERROR(VLOOKUP(H931,PROGRAMAS[],3,FALSE),0)</f>
        <v>7011279577.519702</v>
      </c>
      <c r="AK931" s="246">
        <f>IFERROR(VLOOKUP(I931,PROGRAMAS[],3,FALSE),0)</f>
        <v>31865326.38096505</v>
      </c>
      <c r="AL931" s="246">
        <f>IFERROR(VLOOKUP(J931,PROGRAMAS[],3,FALSE),0)</f>
        <v>118617452.52510804</v>
      </c>
      <c r="AM931" s="246">
        <f>IFERROR(VLOOKUP(K931,PROGRAMAS[],3,FALSE),0)</f>
        <v>948595847.09039903</v>
      </c>
      <c r="AN931" s="246">
        <f>IFERROR(VLOOKUP(L931,PROGRAMAS[],3,FALSE),0)</f>
        <v>0</v>
      </c>
      <c r="AO931" s="246">
        <f>IFERROR(VLOOKUP(M931,PROGRAMAS[],3,FALSE),0)</f>
        <v>0</v>
      </c>
      <c r="AP931" s="246">
        <f>IFERROR(VLOOKUP(N931,PROGRAMAS[],3,FALSE),0)</f>
        <v>0</v>
      </c>
      <c r="AQ931" s="246">
        <f>IFERROR(VLOOKUP(O931,PROGRAMAS[],3,FALSE),0)</f>
        <v>0</v>
      </c>
      <c r="AR931" s="246">
        <f>IFERROR(VLOOKUP(P931,PROGRAMAS[],3,FALSE),0)</f>
        <v>0</v>
      </c>
      <c r="AS931" s="246">
        <f>IFERROR(VLOOKUP(Q931,PROGRAMAS[],3,FALSE),0)</f>
        <v>0</v>
      </c>
      <c r="AT931" s="246">
        <f>IFERROR(VLOOKUP(D931,VOL_REC[],2,FALSE),0)</f>
        <v>0</v>
      </c>
      <c r="AU931" s="246">
        <f>IFERROR(VLOOKUP(E931,VOL_REC[],2,FALSE),0)</f>
        <v>0</v>
      </c>
      <c r="AV931" s="246">
        <f>IFERROR(VLOOKUP(F931,VOL_REC[],2,FALSE),0)</f>
        <v>11089674.200000001</v>
      </c>
      <c r="AW931" s="246">
        <f>IFERROR(VLOOKUP(G931,VOL_REC[],2,FALSE),0)</f>
        <v>15540036.397699751</v>
      </c>
      <c r="AX931" s="246">
        <f>IFERROR(VLOOKUP(H931,VOL_REC[],2,FALSE),0)</f>
        <v>3761786</v>
      </c>
      <c r="AY931" s="246">
        <f>IFERROR(VLOOKUP(I931,VOL_REC[],2,FALSE),0)</f>
        <v>17074.045034105649</v>
      </c>
      <c r="AZ931" s="246">
        <f>IFERROR(VLOOKUP(J931,VOL_REC[],2,FALSE),0)</f>
        <v>105072</v>
      </c>
      <c r="BA931" s="246">
        <f>IFERROR(VLOOKUP(K931,VOL_REC[],2,FALSE),0)</f>
        <v>740113.98115702497</v>
      </c>
      <c r="BB931" s="246">
        <f>IFERROR(VLOOKUP(L931,VOL_REC[],2,FALSE),0)</f>
        <v>0</v>
      </c>
      <c r="BC931" s="246">
        <f>IFERROR(VLOOKUP(M931,VOL_REC[],2,FALSE),0)</f>
        <v>0</v>
      </c>
      <c r="BD931" s="246">
        <f>IFERROR(VLOOKUP(N931,VOL_REC[],2,FALSE),0)</f>
        <v>0</v>
      </c>
      <c r="BE931" s="246">
        <f>IFERROR(VLOOKUP(O931,VOL_REC[],2,FALSE),0)</f>
        <v>0</v>
      </c>
      <c r="BF931" s="246">
        <f>IFERROR(VLOOKUP(P931,VOL_REC[],2,FALSE),0)</f>
        <v>0</v>
      </c>
      <c r="BG931" s="246">
        <f>IFERROR(VLOOKUP(Q931,VOL_REC[],2,FALSE),0)</f>
        <v>0</v>
      </c>
      <c r="BH931" s="1710">
        <f t="shared" si="56"/>
        <v>18905258533.651031</v>
      </c>
      <c r="BI931" s="1710">
        <f t="shared" si="57"/>
        <v>22326031316.169941</v>
      </c>
      <c r="BJ931" s="1711">
        <f t="shared" si="58"/>
        <v>31253756.623890884</v>
      </c>
      <c r="BK931" s="1711">
        <f t="shared" si="59"/>
        <v>0.84678097356060922</v>
      </c>
    </row>
    <row r="932" spans="3:67" x14ac:dyDescent="0.25">
      <c r="C932" s="246" t="s">
        <v>2282</v>
      </c>
      <c r="D932" s="246">
        <v>1</v>
      </c>
      <c r="E932" s="246">
        <v>2</v>
      </c>
      <c r="F932" s="246">
        <v>3</v>
      </c>
      <c r="G932" s="246">
        <v>6</v>
      </c>
      <c r="H932" s="246">
        <v>9</v>
      </c>
      <c r="I932" s="246">
        <v>14</v>
      </c>
      <c r="J932" s="246">
        <v>16</v>
      </c>
      <c r="K932" s="246">
        <v>17</v>
      </c>
      <c r="L932" s="246"/>
      <c r="M932" s="246"/>
      <c r="N932" s="246"/>
      <c r="O932" s="246"/>
      <c r="P932" s="246"/>
      <c r="Q932" s="246"/>
      <c r="R932" s="246">
        <f>IFERROR(VLOOKUP(D932,PROGRAMAS[],2,FALSE),0)</f>
        <v>97037803.679377079</v>
      </c>
      <c r="S932" s="246">
        <f>IFERROR(VLOOKUP(E932,PROGRAMAS[],2,FALSE),0)</f>
        <v>640501509.6821388</v>
      </c>
      <c r="T932" s="246">
        <f>IFERROR(VLOOKUP(F932,PROGRAMAS[],2,FALSE),0)</f>
        <v>3062327798.1525245</v>
      </c>
      <c r="U932" s="246">
        <f>IFERROR(VLOOKUP(G932,PROGRAMAS[],2,FALSE),0)</f>
        <v>6907648435.8447599</v>
      </c>
      <c r="V932" s="246">
        <f>IFERROR(VLOOKUP(H932,PROGRAMAS[],2,FALSE),0)</f>
        <v>6128579952.1618185</v>
      </c>
      <c r="W932" s="246">
        <f>IFERROR(VLOOKUP(I932,PROGRAMAS[],2,FALSE),0)</f>
        <v>54223862.645839565</v>
      </c>
      <c r="X932" s="246">
        <f>IFERROR(VLOOKUP(J932,PROGRAMAS[],2,FALSE),0)</f>
        <v>7068496961.0436354</v>
      </c>
      <c r="Y932" s="246">
        <f>IFERROR(VLOOKUP(K932,PROGRAMAS[],2,FALSE),0)</f>
        <v>1892779498.5211046</v>
      </c>
      <c r="Z932" s="246">
        <f>IFERROR(VLOOKUP(L932,PROGRAMAS[],2,FALSE),0)</f>
        <v>0</v>
      </c>
      <c r="AA932" s="246">
        <f>IFERROR(VLOOKUP(M932,PROGRAMAS[],2,FALSE),0)</f>
        <v>0</v>
      </c>
      <c r="AB932" s="246">
        <f>IFERROR(VLOOKUP(N932,PROGRAMAS[],2,FALSE),0)</f>
        <v>0</v>
      </c>
      <c r="AC932" s="246">
        <f>IFERROR(VLOOKUP(O932,PROGRAMAS[],2,FALSE),0)</f>
        <v>0</v>
      </c>
      <c r="AD932" s="246">
        <f>IFERROR(VLOOKUP(P932,PROGRAMAS[],2,FALSE),0)</f>
        <v>0</v>
      </c>
      <c r="AE932" s="246">
        <f>IFERROR(VLOOKUP(Q932,PROGRAMAS[],2,FALSE),0)</f>
        <v>0</v>
      </c>
      <c r="AF932" s="246">
        <f>IFERROR(VLOOKUP(D932,PROGRAMAS[],3,FALSE),0)</f>
        <v>841888629.31080008</v>
      </c>
      <c r="AG932" s="246">
        <f>IFERROR(VLOOKUP(E932,PROGRAMAS[],3,FALSE),0)</f>
        <v>3848980803.1642323</v>
      </c>
      <c r="AH932" s="246">
        <f>IFERROR(VLOOKUP(F932,PROGRAMAS[],3,FALSE),0)</f>
        <v>3394901471.387517</v>
      </c>
      <c r="AI932" s="246">
        <f>IFERROR(VLOOKUP(G932,PROGRAMAS[],3,FALSE),0)</f>
        <v>6129902208.7912121</v>
      </c>
      <c r="AJ932" s="246">
        <f>IFERROR(VLOOKUP(H932,PROGRAMAS[],3,FALSE),0)</f>
        <v>7011279577.519702</v>
      </c>
      <c r="AK932" s="246">
        <f>IFERROR(VLOOKUP(I932,PROGRAMAS[],3,FALSE),0)</f>
        <v>31865326.38096505</v>
      </c>
      <c r="AL932" s="246">
        <f>IFERROR(VLOOKUP(J932,PROGRAMAS[],3,FALSE),0)</f>
        <v>2406564599.0319901</v>
      </c>
      <c r="AM932" s="246">
        <f>IFERROR(VLOOKUP(K932,PROGRAMAS[],3,FALSE),0)</f>
        <v>948595847.09039903</v>
      </c>
      <c r="AN932" s="246">
        <f>IFERROR(VLOOKUP(L932,PROGRAMAS[],3,FALSE),0)</f>
        <v>0</v>
      </c>
      <c r="AO932" s="246">
        <f>IFERROR(VLOOKUP(M932,PROGRAMAS[],3,FALSE),0)</f>
        <v>0</v>
      </c>
      <c r="AP932" s="246">
        <f>IFERROR(VLOOKUP(N932,PROGRAMAS[],3,FALSE),0)</f>
        <v>0</v>
      </c>
      <c r="AQ932" s="246">
        <f>IFERROR(VLOOKUP(O932,PROGRAMAS[],3,FALSE),0)</f>
        <v>0</v>
      </c>
      <c r="AR932" s="246">
        <f>IFERROR(VLOOKUP(P932,PROGRAMAS[],3,FALSE),0)</f>
        <v>0</v>
      </c>
      <c r="AS932" s="246">
        <f>IFERROR(VLOOKUP(Q932,PROGRAMAS[],3,FALSE),0)</f>
        <v>0</v>
      </c>
      <c r="AT932" s="246">
        <f>IFERROR(VLOOKUP(D932,VOL_REC[],2,FALSE),0)</f>
        <v>0</v>
      </c>
      <c r="AU932" s="246">
        <f>IFERROR(VLOOKUP(E932,VOL_REC[],2,FALSE),0)</f>
        <v>0</v>
      </c>
      <c r="AV932" s="246">
        <f>IFERROR(VLOOKUP(F932,VOL_REC[],2,FALSE),0)</f>
        <v>11089674.200000001</v>
      </c>
      <c r="AW932" s="246">
        <f>IFERROR(VLOOKUP(G932,VOL_REC[],2,FALSE),0)</f>
        <v>15540036.397699751</v>
      </c>
      <c r="AX932" s="246">
        <f>IFERROR(VLOOKUP(H932,VOL_REC[],2,FALSE),0)</f>
        <v>3761786</v>
      </c>
      <c r="AY932" s="246">
        <f>IFERROR(VLOOKUP(I932,VOL_REC[],2,FALSE),0)</f>
        <v>17074.045034105649</v>
      </c>
      <c r="AZ932" s="246">
        <f>IFERROR(VLOOKUP(J932,VOL_REC[],2,FALSE),0)</f>
        <v>1072354.9981737854</v>
      </c>
      <c r="BA932" s="246">
        <f>IFERROR(VLOOKUP(K932,VOL_REC[],2,FALSE),0)</f>
        <v>740113.98115702497</v>
      </c>
      <c r="BB932" s="246">
        <f>IFERROR(VLOOKUP(L932,VOL_REC[],2,FALSE),0)</f>
        <v>0</v>
      </c>
      <c r="BC932" s="246">
        <f>IFERROR(VLOOKUP(M932,VOL_REC[],2,FALSE),0)</f>
        <v>0</v>
      </c>
      <c r="BD932" s="246">
        <f>IFERROR(VLOOKUP(N932,VOL_REC[],2,FALSE),0)</f>
        <v>0</v>
      </c>
      <c r="BE932" s="246">
        <f>IFERROR(VLOOKUP(O932,VOL_REC[],2,FALSE),0)</f>
        <v>0</v>
      </c>
      <c r="BF932" s="246">
        <f>IFERROR(VLOOKUP(P932,VOL_REC[],2,FALSE),0)</f>
        <v>0</v>
      </c>
      <c r="BG932" s="246">
        <f>IFERROR(VLOOKUP(Q932,VOL_REC[],2,FALSE),0)</f>
        <v>0</v>
      </c>
      <c r="BH932" s="1710">
        <f t="shared" si="56"/>
        <v>25851595821.731197</v>
      </c>
      <c r="BI932" s="1710">
        <f t="shared" si="57"/>
        <v>24613978462.676823</v>
      </c>
      <c r="BJ932" s="1711">
        <f t="shared" si="58"/>
        <v>32221039.622064669</v>
      </c>
      <c r="BK932" s="1711">
        <f t="shared" si="59"/>
        <v>1.0502810775158118</v>
      </c>
      <c r="BL932">
        <f>BJ932</f>
        <v>32221039.622064669</v>
      </c>
      <c r="BO932">
        <f>BL932</f>
        <v>32221039.622064669</v>
      </c>
    </row>
    <row r="933" spans="3:67" x14ac:dyDescent="0.25">
      <c r="C933" s="246" t="s">
        <v>2283</v>
      </c>
      <c r="D933" s="246">
        <v>1</v>
      </c>
      <c r="E933" s="246">
        <v>2</v>
      </c>
      <c r="F933" s="246">
        <v>3</v>
      </c>
      <c r="G933" s="246">
        <v>6</v>
      </c>
      <c r="H933" s="246">
        <v>9</v>
      </c>
      <c r="I933" s="246">
        <v>15</v>
      </c>
      <c r="J933" s="246">
        <v>16</v>
      </c>
      <c r="K933" s="246">
        <v>17</v>
      </c>
      <c r="L933" s="246"/>
      <c r="M933" s="246"/>
      <c r="N933" s="246"/>
      <c r="O933" s="246"/>
      <c r="P933" s="246"/>
      <c r="Q933" s="246"/>
      <c r="R933" s="246">
        <f>IFERROR(VLOOKUP(D933,PROGRAMAS[],2,FALSE),0)</f>
        <v>97037803.679377079</v>
      </c>
      <c r="S933" s="246">
        <f>IFERROR(VLOOKUP(E933,PROGRAMAS[],2,FALSE),0)</f>
        <v>640501509.6821388</v>
      </c>
      <c r="T933" s="246">
        <f>IFERROR(VLOOKUP(F933,PROGRAMAS[],2,FALSE),0)</f>
        <v>3062327798.1525245</v>
      </c>
      <c r="U933" s="246">
        <f>IFERROR(VLOOKUP(G933,PROGRAMAS[],2,FALSE),0)</f>
        <v>6907648435.8447599</v>
      </c>
      <c r="V933" s="246">
        <f>IFERROR(VLOOKUP(H933,PROGRAMAS[],2,FALSE),0)</f>
        <v>6128579952.1618185</v>
      </c>
      <c r="W933" s="246">
        <f>IFERROR(VLOOKUP(I933,PROGRAMAS[],2,FALSE),0)</f>
        <v>122159672.96346797</v>
      </c>
      <c r="X933" s="246">
        <f>IFERROR(VLOOKUP(J933,PROGRAMAS[],2,FALSE),0)</f>
        <v>7068496961.0436354</v>
      </c>
      <c r="Y933" s="246">
        <f>IFERROR(VLOOKUP(K933,PROGRAMAS[],2,FALSE),0)</f>
        <v>1892779498.5211046</v>
      </c>
      <c r="Z933" s="246">
        <f>IFERROR(VLOOKUP(L933,PROGRAMAS[],2,FALSE),0)</f>
        <v>0</v>
      </c>
      <c r="AA933" s="246">
        <f>IFERROR(VLOOKUP(M933,PROGRAMAS[],2,FALSE),0)</f>
        <v>0</v>
      </c>
      <c r="AB933" s="246">
        <f>IFERROR(VLOOKUP(N933,PROGRAMAS[],2,FALSE),0)</f>
        <v>0</v>
      </c>
      <c r="AC933" s="246">
        <f>IFERROR(VLOOKUP(O933,PROGRAMAS[],2,FALSE),0)</f>
        <v>0</v>
      </c>
      <c r="AD933" s="246">
        <f>IFERROR(VLOOKUP(P933,PROGRAMAS[],2,FALSE),0)</f>
        <v>0</v>
      </c>
      <c r="AE933" s="246">
        <f>IFERROR(VLOOKUP(Q933,PROGRAMAS[],2,FALSE),0)</f>
        <v>0</v>
      </c>
      <c r="AF933" s="246">
        <f>IFERROR(VLOOKUP(D933,PROGRAMAS[],3,FALSE),0)</f>
        <v>841888629.31080008</v>
      </c>
      <c r="AG933" s="246">
        <f>IFERROR(VLOOKUP(E933,PROGRAMAS[],3,FALSE),0)</f>
        <v>3848980803.1642323</v>
      </c>
      <c r="AH933" s="246">
        <f>IFERROR(VLOOKUP(F933,PROGRAMAS[],3,FALSE),0)</f>
        <v>3394901471.387517</v>
      </c>
      <c r="AI933" s="246">
        <f>IFERROR(VLOOKUP(G933,PROGRAMAS[],3,FALSE),0)</f>
        <v>6129902208.7912121</v>
      </c>
      <c r="AJ933" s="246">
        <f>IFERROR(VLOOKUP(H933,PROGRAMAS[],3,FALSE),0)</f>
        <v>7011279577.519702</v>
      </c>
      <c r="AK933" s="246">
        <f>IFERROR(VLOOKUP(I933,PROGRAMAS[],3,FALSE),0)</f>
        <v>118617452.52510804</v>
      </c>
      <c r="AL933" s="246">
        <f>IFERROR(VLOOKUP(J933,PROGRAMAS[],3,FALSE),0)</f>
        <v>2406564599.0319901</v>
      </c>
      <c r="AM933" s="246">
        <f>IFERROR(VLOOKUP(K933,PROGRAMAS[],3,FALSE),0)</f>
        <v>948595847.09039903</v>
      </c>
      <c r="AN933" s="246">
        <f>IFERROR(VLOOKUP(L933,PROGRAMAS[],3,FALSE),0)</f>
        <v>0</v>
      </c>
      <c r="AO933" s="246">
        <f>IFERROR(VLOOKUP(M933,PROGRAMAS[],3,FALSE),0)</f>
        <v>0</v>
      </c>
      <c r="AP933" s="246">
        <f>IFERROR(VLOOKUP(N933,PROGRAMAS[],3,FALSE),0)</f>
        <v>0</v>
      </c>
      <c r="AQ933" s="246">
        <f>IFERROR(VLOOKUP(O933,PROGRAMAS[],3,FALSE),0)</f>
        <v>0</v>
      </c>
      <c r="AR933" s="246">
        <f>IFERROR(VLOOKUP(P933,PROGRAMAS[],3,FALSE),0)</f>
        <v>0</v>
      </c>
      <c r="AS933" s="246">
        <f>IFERROR(VLOOKUP(Q933,PROGRAMAS[],3,FALSE),0)</f>
        <v>0</v>
      </c>
      <c r="AT933" s="246">
        <f>IFERROR(VLOOKUP(D933,VOL_REC[],2,FALSE),0)</f>
        <v>0</v>
      </c>
      <c r="AU933" s="246">
        <f>IFERROR(VLOOKUP(E933,VOL_REC[],2,FALSE),0)</f>
        <v>0</v>
      </c>
      <c r="AV933" s="246">
        <f>IFERROR(VLOOKUP(F933,VOL_REC[],2,FALSE),0)</f>
        <v>11089674.200000001</v>
      </c>
      <c r="AW933" s="246">
        <f>IFERROR(VLOOKUP(G933,VOL_REC[],2,FALSE),0)</f>
        <v>15540036.397699751</v>
      </c>
      <c r="AX933" s="246">
        <f>IFERROR(VLOOKUP(H933,VOL_REC[],2,FALSE),0)</f>
        <v>3761786</v>
      </c>
      <c r="AY933" s="246">
        <f>IFERROR(VLOOKUP(I933,VOL_REC[],2,FALSE),0)</f>
        <v>105072</v>
      </c>
      <c r="AZ933" s="246">
        <f>IFERROR(VLOOKUP(J933,VOL_REC[],2,FALSE),0)</f>
        <v>1072354.9981737854</v>
      </c>
      <c r="BA933" s="246">
        <f>IFERROR(VLOOKUP(K933,VOL_REC[],2,FALSE),0)</f>
        <v>740113.98115702497</v>
      </c>
      <c r="BB933" s="246">
        <f>IFERROR(VLOOKUP(L933,VOL_REC[],2,FALSE),0)</f>
        <v>0</v>
      </c>
      <c r="BC933" s="246">
        <f>IFERROR(VLOOKUP(M933,VOL_REC[],2,FALSE),0)</f>
        <v>0</v>
      </c>
      <c r="BD933" s="246">
        <f>IFERROR(VLOOKUP(N933,VOL_REC[],2,FALSE),0)</f>
        <v>0</v>
      </c>
      <c r="BE933" s="246">
        <f>IFERROR(VLOOKUP(O933,VOL_REC[],2,FALSE),0)</f>
        <v>0</v>
      </c>
      <c r="BF933" s="246">
        <f>IFERROR(VLOOKUP(P933,VOL_REC[],2,FALSE),0)</f>
        <v>0</v>
      </c>
      <c r="BG933" s="246">
        <f>IFERROR(VLOOKUP(Q933,VOL_REC[],2,FALSE),0)</f>
        <v>0</v>
      </c>
      <c r="BH933" s="1710">
        <f t="shared" si="56"/>
        <v>25919531632.048824</v>
      </c>
      <c r="BI933" s="1710">
        <f t="shared" si="57"/>
        <v>24700730588.820965</v>
      </c>
      <c r="BJ933" s="1711">
        <f t="shared" si="58"/>
        <v>32309037.577030562</v>
      </c>
      <c r="BK933" s="1711">
        <f t="shared" si="59"/>
        <v>1.0493427123074435</v>
      </c>
      <c r="BL933">
        <f>BJ933</f>
        <v>32309037.577030562</v>
      </c>
      <c r="BO933">
        <f>BL933</f>
        <v>32309037.577030562</v>
      </c>
    </row>
    <row r="934" spans="3:67" x14ac:dyDescent="0.25">
      <c r="C934" s="246" t="s">
        <v>2284</v>
      </c>
      <c r="D934" s="246">
        <v>1</v>
      </c>
      <c r="E934" s="246">
        <v>2</v>
      </c>
      <c r="F934" s="246">
        <v>3</v>
      </c>
      <c r="G934" s="246">
        <v>6</v>
      </c>
      <c r="H934" s="246">
        <v>10</v>
      </c>
      <c r="I934" s="246">
        <v>12</v>
      </c>
      <c r="J934" s="246">
        <v>13</v>
      </c>
      <c r="K934" s="246">
        <v>14</v>
      </c>
      <c r="L934" s="246"/>
      <c r="M934" s="246"/>
      <c r="N934" s="246"/>
      <c r="O934" s="246"/>
      <c r="P934" s="246"/>
      <c r="Q934" s="246"/>
      <c r="R934" s="246">
        <f>IFERROR(VLOOKUP(D934,PROGRAMAS[],2,FALSE),0)</f>
        <v>97037803.679377079</v>
      </c>
      <c r="S934" s="246">
        <f>IFERROR(VLOOKUP(E934,PROGRAMAS[],2,FALSE),0)</f>
        <v>640501509.6821388</v>
      </c>
      <c r="T934" s="246">
        <f>IFERROR(VLOOKUP(F934,PROGRAMAS[],2,FALSE),0)</f>
        <v>3062327798.1525245</v>
      </c>
      <c r="U934" s="246">
        <f>IFERROR(VLOOKUP(G934,PROGRAMAS[],2,FALSE),0)</f>
        <v>6907648435.8447599</v>
      </c>
      <c r="V934" s="246">
        <f>IFERROR(VLOOKUP(H934,PROGRAMAS[],2,FALSE),0)</f>
        <v>4635315027.8751087</v>
      </c>
      <c r="W934" s="246">
        <f>IFERROR(VLOOKUP(I934,PROGRAMAS[],2,FALSE),0)</f>
        <v>764796700.79905891</v>
      </c>
      <c r="X934" s="246">
        <f>IFERROR(VLOOKUP(J934,PROGRAMAS[],2,FALSE),0)</f>
        <v>3776538594.4604583</v>
      </c>
      <c r="Y934" s="246">
        <f>IFERROR(VLOOKUP(K934,PROGRAMAS[],2,FALSE),0)</f>
        <v>54223862.645839565</v>
      </c>
      <c r="Z934" s="246">
        <f>IFERROR(VLOOKUP(L934,PROGRAMAS[],2,FALSE),0)</f>
        <v>0</v>
      </c>
      <c r="AA934" s="246">
        <f>IFERROR(VLOOKUP(M934,PROGRAMAS[],2,FALSE),0)</f>
        <v>0</v>
      </c>
      <c r="AB934" s="246">
        <f>IFERROR(VLOOKUP(N934,PROGRAMAS[],2,FALSE),0)</f>
        <v>0</v>
      </c>
      <c r="AC934" s="246">
        <f>IFERROR(VLOOKUP(O934,PROGRAMAS[],2,FALSE),0)</f>
        <v>0</v>
      </c>
      <c r="AD934" s="246">
        <f>IFERROR(VLOOKUP(P934,PROGRAMAS[],2,FALSE),0)</f>
        <v>0</v>
      </c>
      <c r="AE934" s="246">
        <f>IFERROR(VLOOKUP(Q934,PROGRAMAS[],2,FALSE),0)</f>
        <v>0</v>
      </c>
      <c r="AF934" s="246">
        <f>IFERROR(VLOOKUP(D934,PROGRAMAS[],3,FALSE),0)</f>
        <v>841888629.31080008</v>
      </c>
      <c r="AG934" s="246">
        <f>IFERROR(VLOOKUP(E934,PROGRAMAS[],3,FALSE),0)</f>
        <v>3848980803.1642323</v>
      </c>
      <c r="AH934" s="246">
        <f>IFERROR(VLOOKUP(F934,PROGRAMAS[],3,FALSE),0)</f>
        <v>3394901471.387517</v>
      </c>
      <c r="AI934" s="246">
        <f>IFERROR(VLOOKUP(G934,PROGRAMAS[],3,FALSE),0)</f>
        <v>6129902208.7912121</v>
      </c>
      <c r="AJ934" s="246">
        <f>IFERROR(VLOOKUP(H934,PROGRAMAS[],3,FALSE),0)</f>
        <v>4099471734.9978786</v>
      </c>
      <c r="AK934" s="246">
        <f>IFERROR(VLOOKUP(I934,PROGRAMAS[],3,FALSE),0)</f>
        <v>675517840.109828</v>
      </c>
      <c r="AL934" s="246">
        <f>IFERROR(VLOOKUP(J934,PROGRAMAS[],3,FALSE),0)</f>
        <v>2392571243.5584412</v>
      </c>
      <c r="AM934" s="246">
        <f>IFERROR(VLOOKUP(K934,PROGRAMAS[],3,FALSE),0)</f>
        <v>31865326.38096505</v>
      </c>
      <c r="AN934" s="246">
        <f>IFERROR(VLOOKUP(L934,PROGRAMAS[],3,FALSE),0)</f>
        <v>0</v>
      </c>
      <c r="AO934" s="246">
        <f>IFERROR(VLOOKUP(M934,PROGRAMAS[],3,FALSE),0)</f>
        <v>0</v>
      </c>
      <c r="AP934" s="246">
        <f>IFERROR(VLOOKUP(N934,PROGRAMAS[],3,FALSE),0)</f>
        <v>0</v>
      </c>
      <c r="AQ934" s="246">
        <f>IFERROR(VLOOKUP(O934,PROGRAMAS[],3,FALSE),0)</f>
        <v>0</v>
      </c>
      <c r="AR934" s="246">
        <f>IFERROR(VLOOKUP(P934,PROGRAMAS[],3,FALSE),0)</f>
        <v>0</v>
      </c>
      <c r="AS934" s="246">
        <f>IFERROR(VLOOKUP(Q934,PROGRAMAS[],3,FALSE),0)</f>
        <v>0</v>
      </c>
      <c r="AT934" s="246">
        <f>IFERROR(VLOOKUP(D934,VOL_REC[],2,FALSE),0)</f>
        <v>0</v>
      </c>
      <c r="AU934" s="246">
        <f>IFERROR(VLOOKUP(E934,VOL_REC[],2,FALSE),0)</f>
        <v>0</v>
      </c>
      <c r="AV934" s="246">
        <f>IFERROR(VLOOKUP(F934,VOL_REC[],2,FALSE),0)</f>
        <v>11089674.200000001</v>
      </c>
      <c r="AW934" s="246">
        <f>IFERROR(VLOOKUP(G934,VOL_REC[],2,FALSE),0)</f>
        <v>15540036.397699751</v>
      </c>
      <c r="AX934" s="246">
        <f>IFERROR(VLOOKUP(H934,VOL_REC[],2,FALSE),0)</f>
        <v>1812240</v>
      </c>
      <c r="AY934" s="246">
        <f>IFERROR(VLOOKUP(I934,VOL_REC[],2,FALSE),0)</f>
        <v>240696.79238099116</v>
      </c>
      <c r="AZ934" s="246">
        <f>IFERROR(VLOOKUP(J934,VOL_REC[],2,FALSE),0)</f>
        <v>663244.80000000016</v>
      </c>
      <c r="BA934" s="246">
        <f>IFERROR(VLOOKUP(K934,VOL_REC[],2,FALSE),0)</f>
        <v>17074.045034105649</v>
      </c>
      <c r="BB934" s="246">
        <f>IFERROR(VLOOKUP(L934,VOL_REC[],2,FALSE),0)</f>
        <v>0</v>
      </c>
      <c r="BC934" s="246">
        <f>IFERROR(VLOOKUP(M934,VOL_REC[],2,FALSE),0)</f>
        <v>0</v>
      </c>
      <c r="BD934" s="246">
        <f>IFERROR(VLOOKUP(N934,VOL_REC[],2,FALSE),0)</f>
        <v>0</v>
      </c>
      <c r="BE934" s="246">
        <f>IFERROR(VLOOKUP(O934,VOL_REC[],2,FALSE),0)</f>
        <v>0</v>
      </c>
      <c r="BF934" s="246">
        <f>IFERROR(VLOOKUP(P934,VOL_REC[],2,FALSE),0)</f>
        <v>0</v>
      </c>
      <c r="BG934" s="246">
        <f>IFERROR(VLOOKUP(Q934,VOL_REC[],2,FALSE),0)</f>
        <v>0</v>
      </c>
      <c r="BH934" s="1710">
        <f t="shared" si="56"/>
        <v>19938389733.139267</v>
      </c>
      <c r="BI934" s="1710">
        <f t="shared" si="57"/>
        <v>21415099257.700878</v>
      </c>
      <c r="BJ934" s="1711">
        <f t="shared" si="58"/>
        <v>29362966.235114854</v>
      </c>
      <c r="BK934" s="1711">
        <f t="shared" si="59"/>
        <v>0.9310435358346244</v>
      </c>
    </row>
    <row r="935" spans="3:67" x14ac:dyDescent="0.25">
      <c r="C935" s="246" t="s">
        <v>2285</v>
      </c>
      <c r="D935" s="246">
        <v>1</v>
      </c>
      <c r="E935" s="246">
        <v>2</v>
      </c>
      <c r="F935" s="246">
        <v>3</v>
      </c>
      <c r="G935" s="246">
        <v>6</v>
      </c>
      <c r="H935" s="246">
        <v>10</v>
      </c>
      <c r="I935" s="246">
        <v>12</v>
      </c>
      <c r="J935" s="246">
        <v>13</v>
      </c>
      <c r="K935" s="246">
        <v>15</v>
      </c>
      <c r="L935" s="246"/>
      <c r="M935" s="246"/>
      <c r="N935" s="246"/>
      <c r="O935" s="246"/>
      <c r="P935" s="246"/>
      <c r="Q935" s="246"/>
      <c r="R935" s="246">
        <f>IFERROR(VLOOKUP(D935,PROGRAMAS[],2,FALSE),0)</f>
        <v>97037803.679377079</v>
      </c>
      <c r="S935" s="246">
        <f>IFERROR(VLOOKUP(E935,PROGRAMAS[],2,FALSE),0)</f>
        <v>640501509.6821388</v>
      </c>
      <c r="T935" s="246">
        <f>IFERROR(VLOOKUP(F935,PROGRAMAS[],2,FALSE),0)</f>
        <v>3062327798.1525245</v>
      </c>
      <c r="U935" s="246">
        <f>IFERROR(VLOOKUP(G935,PROGRAMAS[],2,FALSE),0)</f>
        <v>6907648435.8447599</v>
      </c>
      <c r="V935" s="246">
        <f>IFERROR(VLOOKUP(H935,PROGRAMAS[],2,FALSE),0)</f>
        <v>4635315027.8751087</v>
      </c>
      <c r="W935" s="246">
        <f>IFERROR(VLOOKUP(I935,PROGRAMAS[],2,FALSE),0)</f>
        <v>764796700.79905891</v>
      </c>
      <c r="X935" s="246">
        <f>IFERROR(VLOOKUP(J935,PROGRAMAS[],2,FALSE),0)</f>
        <v>3776538594.4604583</v>
      </c>
      <c r="Y935" s="246">
        <f>IFERROR(VLOOKUP(K935,PROGRAMAS[],2,FALSE),0)</f>
        <v>122159672.96346797</v>
      </c>
      <c r="Z935" s="246">
        <f>IFERROR(VLOOKUP(L935,PROGRAMAS[],2,FALSE),0)</f>
        <v>0</v>
      </c>
      <c r="AA935" s="246">
        <f>IFERROR(VLOOKUP(M935,PROGRAMAS[],2,FALSE),0)</f>
        <v>0</v>
      </c>
      <c r="AB935" s="246">
        <f>IFERROR(VLOOKUP(N935,PROGRAMAS[],2,FALSE),0)</f>
        <v>0</v>
      </c>
      <c r="AC935" s="246">
        <f>IFERROR(VLOOKUP(O935,PROGRAMAS[],2,FALSE),0)</f>
        <v>0</v>
      </c>
      <c r="AD935" s="246">
        <f>IFERROR(VLOOKUP(P935,PROGRAMAS[],2,FALSE),0)</f>
        <v>0</v>
      </c>
      <c r="AE935" s="246">
        <f>IFERROR(VLOOKUP(Q935,PROGRAMAS[],2,FALSE),0)</f>
        <v>0</v>
      </c>
      <c r="AF935" s="246">
        <f>IFERROR(VLOOKUP(D935,PROGRAMAS[],3,FALSE),0)</f>
        <v>841888629.31080008</v>
      </c>
      <c r="AG935" s="246">
        <f>IFERROR(VLOOKUP(E935,PROGRAMAS[],3,FALSE),0)</f>
        <v>3848980803.1642323</v>
      </c>
      <c r="AH935" s="246">
        <f>IFERROR(VLOOKUP(F935,PROGRAMAS[],3,FALSE),0)</f>
        <v>3394901471.387517</v>
      </c>
      <c r="AI935" s="246">
        <f>IFERROR(VLOOKUP(G935,PROGRAMAS[],3,FALSE),0)</f>
        <v>6129902208.7912121</v>
      </c>
      <c r="AJ935" s="246">
        <f>IFERROR(VLOOKUP(H935,PROGRAMAS[],3,FALSE),0)</f>
        <v>4099471734.9978786</v>
      </c>
      <c r="AK935" s="246">
        <f>IFERROR(VLOOKUP(I935,PROGRAMAS[],3,FALSE),0)</f>
        <v>675517840.109828</v>
      </c>
      <c r="AL935" s="246">
        <f>IFERROR(VLOOKUP(J935,PROGRAMAS[],3,FALSE),0)</f>
        <v>2392571243.5584412</v>
      </c>
      <c r="AM935" s="246">
        <f>IFERROR(VLOOKUP(K935,PROGRAMAS[],3,FALSE),0)</f>
        <v>118617452.52510804</v>
      </c>
      <c r="AN935" s="246">
        <f>IFERROR(VLOOKUP(L935,PROGRAMAS[],3,FALSE),0)</f>
        <v>0</v>
      </c>
      <c r="AO935" s="246">
        <f>IFERROR(VLOOKUP(M935,PROGRAMAS[],3,FALSE),0)</f>
        <v>0</v>
      </c>
      <c r="AP935" s="246">
        <f>IFERROR(VLOOKUP(N935,PROGRAMAS[],3,FALSE),0)</f>
        <v>0</v>
      </c>
      <c r="AQ935" s="246">
        <f>IFERROR(VLOOKUP(O935,PROGRAMAS[],3,FALSE),0)</f>
        <v>0</v>
      </c>
      <c r="AR935" s="246">
        <f>IFERROR(VLOOKUP(P935,PROGRAMAS[],3,FALSE),0)</f>
        <v>0</v>
      </c>
      <c r="AS935" s="246">
        <f>IFERROR(VLOOKUP(Q935,PROGRAMAS[],3,FALSE),0)</f>
        <v>0</v>
      </c>
      <c r="AT935" s="246">
        <f>IFERROR(VLOOKUP(D935,VOL_REC[],2,FALSE),0)</f>
        <v>0</v>
      </c>
      <c r="AU935" s="246">
        <f>IFERROR(VLOOKUP(E935,VOL_REC[],2,FALSE),0)</f>
        <v>0</v>
      </c>
      <c r="AV935" s="246">
        <f>IFERROR(VLOOKUP(F935,VOL_REC[],2,FALSE),0)</f>
        <v>11089674.200000001</v>
      </c>
      <c r="AW935" s="246">
        <f>IFERROR(VLOOKUP(G935,VOL_REC[],2,FALSE),0)</f>
        <v>15540036.397699751</v>
      </c>
      <c r="AX935" s="246">
        <f>IFERROR(VLOOKUP(H935,VOL_REC[],2,FALSE),0)</f>
        <v>1812240</v>
      </c>
      <c r="AY935" s="246">
        <f>IFERROR(VLOOKUP(I935,VOL_REC[],2,FALSE),0)</f>
        <v>240696.79238099116</v>
      </c>
      <c r="AZ935" s="246">
        <f>IFERROR(VLOOKUP(J935,VOL_REC[],2,FALSE),0)</f>
        <v>663244.80000000016</v>
      </c>
      <c r="BA935" s="246">
        <f>IFERROR(VLOOKUP(K935,VOL_REC[],2,FALSE),0)</f>
        <v>105072</v>
      </c>
      <c r="BB935" s="246">
        <f>IFERROR(VLOOKUP(L935,VOL_REC[],2,FALSE),0)</f>
        <v>0</v>
      </c>
      <c r="BC935" s="246">
        <f>IFERROR(VLOOKUP(M935,VOL_REC[],2,FALSE),0)</f>
        <v>0</v>
      </c>
      <c r="BD935" s="246">
        <f>IFERROR(VLOOKUP(N935,VOL_REC[],2,FALSE),0)</f>
        <v>0</v>
      </c>
      <c r="BE935" s="246">
        <f>IFERROR(VLOOKUP(O935,VOL_REC[],2,FALSE),0)</f>
        <v>0</v>
      </c>
      <c r="BF935" s="246">
        <f>IFERROR(VLOOKUP(P935,VOL_REC[],2,FALSE),0)</f>
        <v>0</v>
      </c>
      <c r="BG935" s="246">
        <f>IFERROR(VLOOKUP(Q935,VOL_REC[],2,FALSE),0)</f>
        <v>0</v>
      </c>
      <c r="BH935" s="1710">
        <f t="shared" si="56"/>
        <v>20006325543.456894</v>
      </c>
      <c r="BI935" s="1710">
        <f t="shared" si="57"/>
        <v>21501851383.84502</v>
      </c>
      <c r="BJ935" s="1711">
        <f t="shared" si="58"/>
        <v>29450964.190080747</v>
      </c>
      <c r="BK935" s="1711">
        <f t="shared" si="59"/>
        <v>0.93044664788671361</v>
      </c>
    </row>
    <row r="936" spans="3:67" x14ac:dyDescent="0.25">
      <c r="C936" s="246" t="s">
        <v>2286</v>
      </c>
      <c r="D936" s="246">
        <v>1</v>
      </c>
      <c r="E936" s="246">
        <v>2</v>
      </c>
      <c r="F936" s="246">
        <v>3</v>
      </c>
      <c r="G936" s="246">
        <v>6</v>
      </c>
      <c r="H936" s="246">
        <v>10</v>
      </c>
      <c r="I936" s="246">
        <v>12</v>
      </c>
      <c r="J936" s="246">
        <v>13</v>
      </c>
      <c r="K936" s="246">
        <v>16</v>
      </c>
      <c r="L936" s="246"/>
      <c r="M936" s="246"/>
      <c r="N936" s="246"/>
      <c r="O936" s="246"/>
      <c r="P936" s="246"/>
      <c r="Q936" s="246"/>
      <c r="R936" s="246">
        <f>IFERROR(VLOOKUP(D936,PROGRAMAS[],2,FALSE),0)</f>
        <v>97037803.679377079</v>
      </c>
      <c r="S936" s="246">
        <f>IFERROR(VLOOKUP(E936,PROGRAMAS[],2,FALSE),0)</f>
        <v>640501509.6821388</v>
      </c>
      <c r="T936" s="246">
        <f>IFERROR(VLOOKUP(F936,PROGRAMAS[],2,FALSE),0)</f>
        <v>3062327798.1525245</v>
      </c>
      <c r="U936" s="246">
        <f>IFERROR(VLOOKUP(G936,PROGRAMAS[],2,FALSE),0)</f>
        <v>6907648435.8447599</v>
      </c>
      <c r="V936" s="246">
        <f>IFERROR(VLOOKUP(H936,PROGRAMAS[],2,FALSE),0)</f>
        <v>4635315027.8751087</v>
      </c>
      <c r="W936" s="246">
        <f>IFERROR(VLOOKUP(I936,PROGRAMAS[],2,FALSE),0)</f>
        <v>764796700.79905891</v>
      </c>
      <c r="X936" s="246">
        <f>IFERROR(VLOOKUP(J936,PROGRAMAS[],2,FALSE),0)</f>
        <v>3776538594.4604583</v>
      </c>
      <c r="Y936" s="246">
        <f>IFERROR(VLOOKUP(K936,PROGRAMAS[],2,FALSE),0)</f>
        <v>7068496961.0436354</v>
      </c>
      <c r="Z936" s="246">
        <f>IFERROR(VLOOKUP(L936,PROGRAMAS[],2,FALSE),0)</f>
        <v>0</v>
      </c>
      <c r="AA936" s="246">
        <f>IFERROR(VLOOKUP(M936,PROGRAMAS[],2,FALSE),0)</f>
        <v>0</v>
      </c>
      <c r="AB936" s="246">
        <f>IFERROR(VLOOKUP(N936,PROGRAMAS[],2,FALSE),0)</f>
        <v>0</v>
      </c>
      <c r="AC936" s="246">
        <f>IFERROR(VLOOKUP(O936,PROGRAMAS[],2,FALSE),0)</f>
        <v>0</v>
      </c>
      <c r="AD936" s="246">
        <f>IFERROR(VLOOKUP(P936,PROGRAMAS[],2,FALSE),0)</f>
        <v>0</v>
      </c>
      <c r="AE936" s="246">
        <f>IFERROR(VLOOKUP(Q936,PROGRAMAS[],2,FALSE),0)</f>
        <v>0</v>
      </c>
      <c r="AF936" s="246">
        <f>IFERROR(VLOOKUP(D936,PROGRAMAS[],3,FALSE),0)</f>
        <v>841888629.31080008</v>
      </c>
      <c r="AG936" s="246">
        <f>IFERROR(VLOOKUP(E936,PROGRAMAS[],3,FALSE),0)</f>
        <v>3848980803.1642323</v>
      </c>
      <c r="AH936" s="246">
        <f>IFERROR(VLOOKUP(F936,PROGRAMAS[],3,FALSE),0)</f>
        <v>3394901471.387517</v>
      </c>
      <c r="AI936" s="246">
        <f>IFERROR(VLOOKUP(G936,PROGRAMAS[],3,FALSE),0)</f>
        <v>6129902208.7912121</v>
      </c>
      <c r="AJ936" s="246">
        <f>IFERROR(VLOOKUP(H936,PROGRAMAS[],3,FALSE),0)</f>
        <v>4099471734.9978786</v>
      </c>
      <c r="AK936" s="246">
        <f>IFERROR(VLOOKUP(I936,PROGRAMAS[],3,FALSE),0)</f>
        <v>675517840.109828</v>
      </c>
      <c r="AL936" s="246">
        <f>IFERROR(VLOOKUP(J936,PROGRAMAS[],3,FALSE),0)</f>
        <v>2392571243.5584412</v>
      </c>
      <c r="AM936" s="246">
        <f>IFERROR(VLOOKUP(K936,PROGRAMAS[],3,FALSE),0)</f>
        <v>2406564599.0319901</v>
      </c>
      <c r="AN936" s="246">
        <f>IFERROR(VLOOKUP(L936,PROGRAMAS[],3,FALSE),0)</f>
        <v>0</v>
      </c>
      <c r="AO936" s="246">
        <f>IFERROR(VLOOKUP(M936,PROGRAMAS[],3,FALSE),0)</f>
        <v>0</v>
      </c>
      <c r="AP936" s="246">
        <f>IFERROR(VLOOKUP(N936,PROGRAMAS[],3,FALSE),0)</f>
        <v>0</v>
      </c>
      <c r="AQ936" s="246">
        <f>IFERROR(VLOOKUP(O936,PROGRAMAS[],3,FALSE),0)</f>
        <v>0</v>
      </c>
      <c r="AR936" s="246">
        <f>IFERROR(VLOOKUP(P936,PROGRAMAS[],3,FALSE),0)</f>
        <v>0</v>
      </c>
      <c r="AS936" s="246">
        <f>IFERROR(VLOOKUP(Q936,PROGRAMAS[],3,FALSE),0)</f>
        <v>0</v>
      </c>
      <c r="AT936" s="246">
        <f>IFERROR(VLOOKUP(D936,VOL_REC[],2,FALSE),0)</f>
        <v>0</v>
      </c>
      <c r="AU936" s="246">
        <f>IFERROR(VLOOKUP(E936,VOL_REC[],2,FALSE),0)</f>
        <v>0</v>
      </c>
      <c r="AV936" s="246">
        <f>IFERROR(VLOOKUP(F936,VOL_REC[],2,FALSE),0)</f>
        <v>11089674.200000001</v>
      </c>
      <c r="AW936" s="246">
        <f>IFERROR(VLOOKUP(G936,VOL_REC[],2,FALSE),0)</f>
        <v>15540036.397699751</v>
      </c>
      <c r="AX936" s="246">
        <f>IFERROR(VLOOKUP(H936,VOL_REC[],2,FALSE),0)</f>
        <v>1812240</v>
      </c>
      <c r="AY936" s="246">
        <f>IFERROR(VLOOKUP(I936,VOL_REC[],2,FALSE),0)</f>
        <v>240696.79238099116</v>
      </c>
      <c r="AZ936" s="246">
        <f>IFERROR(VLOOKUP(J936,VOL_REC[],2,FALSE),0)</f>
        <v>663244.80000000016</v>
      </c>
      <c r="BA936" s="246">
        <f>IFERROR(VLOOKUP(K936,VOL_REC[],2,FALSE),0)</f>
        <v>1072354.9981737854</v>
      </c>
      <c r="BB936" s="246">
        <f>IFERROR(VLOOKUP(L936,VOL_REC[],2,FALSE),0)</f>
        <v>0</v>
      </c>
      <c r="BC936" s="246">
        <f>IFERROR(VLOOKUP(M936,VOL_REC[],2,FALSE),0)</f>
        <v>0</v>
      </c>
      <c r="BD936" s="246">
        <f>IFERROR(VLOOKUP(N936,VOL_REC[],2,FALSE),0)</f>
        <v>0</v>
      </c>
      <c r="BE936" s="246">
        <f>IFERROR(VLOOKUP(O936,VOL_REC[],2,FALSE),0)</f>
        <v>0</v>
      </c>
      <c r="BF936" s="246">
        <f>IFERROR(VLOOKUP(P936,VOL_REC[],2,FALSE),0)</f>
        <v>0</v>
      </c>
      <c r="BG936" s="246">
        <f>IFERROR(VLOOKUP(Q936,VOL_REC[],2,FALSE),0)</f>
        <v>0</v>
      </c>
      <c r="BH936" s="1710">
        <f t="shared" si="56"/>
        <v>26952662831.537064</v>
      </c>
      <c r="BI936" s="1710">
        <f t="shared" si="57"/>
        <v>23789798530.351902</v>
      </c>
      <c r="BJ936" s="1711">
        <f t="shared" si="58"/>
        <v>30418247.188254531</v>
      </c>
      <c r="BK936" s="1711">
        <f t="shared" si="59"/>
        <v>1.1329504450048142</v>
      </c>
      <c r="BL936">
        <f>BJ936</f>
        <v>30418247.188254531</v>
      </c>
      <c r="BO936">
        <f>BL936</f>
        <v>30418247.188254531</v>
      </c>
    </row>
    <row r="937" spans="3:67" x14ac:dyDescent="0.25">
      <c r="C937" s="246" t="s">
        <v>2287</v>
      </c>
      <c r="D937" s="246">
        <v>1</v>
      </c>
      <c r="E937" s="246">
        <v>2</v>
      </c>
      <c r="F937" s="246">
        <v>3</v>
      </c>
      <c r="G937" s="246">
        <v>6</v>
      </c>
      <c r="H937" s="246">
        <v>10</v>
      </c>
      <c r="I937" s="246">
        <v>12</v>
      </c>
      <c r="J937" s="246">
        <v>13</v>
      </c>
      <c r="K937" s="246">
        <v>17</v>
      </c>
      <c r="L937" s="246"/>
      <c r="M937" s="246"/>
      <c r="N937" s="246"/>
      <c r="O937" s="246"/>
      <c r="P937" s="246"/>
      <c r="Q937" s="246"/>
      <c r="R937" s="246">
        <f>IFERROR(VLOOKUP(D937,PROGRAMAS[],2,FALSE),0)</f>
        <v>97037803.679377079</v>
      </c>
      <c r="S937" s="246">
        <f>IFERROR(VLOOKUP(E937,PROGRAMAS[],2,FALSE),0)</f>
        <v>640501509.6821388</v>
      </c>
      <c r="T937" s="246">
        <f>IFERROR(VLOOKUP(F937,PROGRAMAS[],2,FALSE),0)</f>
        <v>3062327798.1525245</v>
      </c>
      <c r="U937" s="246">
        <f>IFERROR(VLOOKUP(G937,PROGRAMAS[],2,FALSE),0)</f>
        <v>6907648435.8447599</v>
      </c>
      <c r="V937" s="246">
        <f>IFERROR(VLOOKUP(H937,PROGRAMAS[],2,FALSE),0)</f>
        <v>4635315027.8751087</v>
      </c>
      <c r="W937" s="246">
        <f>IFERROR(VLOOKUP(I937,PROGRAMAS[],2,FALSE),0)</f>
        <v>764796700.79905891</v>
      </c>
      <c r="X937" s="246">
        <f>IFERROR(VLOOKUP(J937,PROGRAMAS[],2,FALSE),0)</f>
        <v>3776538594.4604583</v>
      </c>
      <c r="Y937" s="246">
        <f>IFERROR(VLOOKUP(K937,PROGRAMAS[],2,FALSE),0)</f>
        <v>1892779498.5211046</v>
      </c>
      <c r="Z937" s="246">
        <f>IFERROR(VLOOKUP(L937,PROGRAMAS[],2,FALSE),0)</f>
        <v>0</v>
      </c>
      <c r="AA937" s="246">
        <f>IFERROR(VLOOKUP(M937,PROGRAMAS[],2,FALSE),0)</f>
        <v>0</v>
      </c>
      <c r="AB937" s="246">
        <f>IFERROR(VLOOKUP(N937,PROGRAMAS[],2,FALSE),0)</f>
        <v>0</v>
      </c>
      <c r="AC937" s="246">
        <f>IFERROR(VLOOKUP(O937,PROGRAMAS[],2,FALSE),0)</f>
        <v>0</v>
      </c>
      <c r="AD937" s="246">
        <f>IFERROR(VLOOKUP(P937,PROGRAMAS[],2,FALSE),0)</f>
        <v>0</v>
      </c>
      <c r="AE937" s="246">
        <f>IFERROR(VLOOKUP(Q937,PROGRAMAS[],2,FALSE),0)</f>
        <v>0</v>
      </c>
      <c r="AF937" s="246">
        <f>IFERROR(VLOOKUP(D937,PROGRAMAS[],3,FALSE),0)</f>
        <v>841888629.31080008</v>
      </c>
      <c r="AG937" s="246">
        <f>IFERROR(VLOOKUP(E937,PROGRAMAS[],3,FALSE),0)</f>
        <v>3848980803.1642323</v>
      </c>
      <c r="AH937" s="246">
        <f>IFERROR(VLOOKUP(F937,PROGRAMAS[],3,FALSE),0)</f>
        <v>3394901471.387517</v>
      </c>
      <c r="AI937" s="246">
        <f>IFERROR(VLOOKUP(G937,PROGRAMAS[],3,FALSE),0)</f>
        <v>6129902208.7912121</v>
      </c>
      <c r="AJ937" s="246">
        <f>IFERROR(VLOOKUP(H937,PROGRAMAS[],3,FALSE),0)</f>
        <v>4099471734.9978786</v>
      </c>
      <c r="AK937" s="246">
        <f>IFERROR(VLOOKUP(I937,PROGRAMAS[],3,FALSE),0)</f>
        <v>675517840.109828</v>
      </c>
      <c r="AL937" s="246">
        <f>IFERROR(VLOOKUP(J937,PROGRAMAS[],3,FALSE),0)</f>
        <v>2392571243.5584412</v>
      </c>
      <c r="AM937" s="246">
        <f>IFERROR(VLOOKUP(K937,PROGRAMAS[],3,FALSE),0)</f>
        <v>948595847.09039903</v>
      </c>
      <c r="AN937" s="246">
        <f>IFERROR(VLOOKUP(L937,PROGRAMAS[],3,FALSE),0)</f>
        <v>0</v>
      </c>
      <c r="AO937" s="246">
        <f>IFERROR(VLOOKUP(M937,PROGRAMAS[],3,FALSE),0)</f>
        <v>0</v>
      </c>
      <c r="AP937" s="246">
        <f>IFERROR(VLOOKUP(N937,PROGRAMAS[],3,FALSE),0)</f>
        <v>0</v>
      </c>
      <c r="AQ937" s="246">
        <f>IFERROR(VLOOKUP(O937,PROGRAMAS[],3,FALSE),0)</f>
        <v>0</v>
      </c>
      <c r="AR937" s="246">
        <f>IFERROR(VLOOKUP(P937,PROGRAMAS[],3,FALSE),0)</f>
        <v>0</v>
      </c>
      <c r="AS937" s="246">
        <f>IFERROR(VLOOKUP(Q937,PROGRAMAS[],3,FALSE),0)</f>
        <v>0</v>
      </c>
      <c r="AT937" s="246">
        <f>IFERROR(VLOOKUP(D937,VOL_REC[],2,FALSE),0)</f>
        <v>0</v>
      </c>
      <c r="AU937" s="246">
        <f>IFERROR(VLOOKUP(E937,VOL_REC[],2,FALSE),0)</f>
        <v>0</v>
      </c>
      <c r="AV937" s="246">
        <f>IFERROR(VLOOKUP(F937,VOL_REC[],2,FALSE),0)</f>
        <v>11089674.200000001</v>
      </c>
      <c r="AW937" s="246">
        <f>IFERROR(VLOOKUP(G937,VOL_REC[],2,FALSE),0)</f>
        <v>15540036.397699751</v>
      </c>
      <c r="AX937" s="246">
        <f>IFERROR(VLOOKUP(H937,VOL_REC[],2,FALSE),0)</f>
        <v>1812240</v>
      </c>
      <c r="AY937" s="246">
        <f>IFERROR(VLOOKUP(I937,VOL_REC[],2,FALSE),0)</f>
        <v>240696.79238099116</v>
      </c>
      <c r="AZ937" s="246">
        <f>IFERROR(VLOOKUP(J937,VOL_REC[],2,FALSE),0)</f>
        <v>663244.80000000016</v>
      </c>
      <c r="BA937" s="246">
        <f>IFERROR(VLOOKUP(K937,VOL_REC[],2,FALSE),0)</f>
        <v>740113.98115702497</v>
      </c>
      <c r="BB937" s="246">
        <f>IFERROR(VLOOKUP(L937,VOL_REC[],2,FALSE),0)</f>
        <v>0</v>
      </c>
      <c r="BC937" s="246">
        <f>IFERROR(VLOOKUP(M937,VOL_REC[],2,FALSE),0)</f>
        <v>0</v>
      </c>
      <c r="BD937" s="246">
        <f>IFERROR(VLOOKUP(N937,VOL_REC[],2,FALSE),0)</f>
        <v>0</v>
      </c>
      <c r="BE937" s="246">
        <f>IFERROR(VLOOKUP(O937,VOL_REC[],2,FALSE),0)</f>
        <v>0</v>
      </c>
      <c r="BF937" s="246">
        <f>IFERROR(VLOOKUP(P937,VOL_REC[],2,FALSE),0)</f>
        <v>0</v>
      </c>
      <c r="BG937" s="246">
        <f>IFERROR(VLOOKUP(Q937,VOL_REC[],2,FALSE),0)</f>
        <v>0</v>
      </c>
      <c r="BH937" s="1710">
        <f t="shared" si="56"/>
        <v>21776945369.01453</v>
      </c>
      <c r="BI937" s="1710">
        <f t="shared" si="57"/>
        <v>22331829778.410313</v>
      </c>
      <c r="BJ937" s="1711">
        <f t="shared" si="58"/>
        <v>30086006.17123777</v>
      </c>
      <c r="BK937" s="1711">
        <f t="shared" si="59"/>
        <v>0.97515275663025935</v>
      </c>
    </row>
    <row r="938" spans="3:67" x14ac:dyDescent="0.25">
      <c r="C938" s="246" t="s">
        <v>2288</v>
      </c>
      <c r="D938" s="246">
        <v>1</v>
      </c>
      <c r="E938" s="246">
        <v>2</v>
      </c>
      <c r="F938" s="246">
        <v>3</v>
      </c>
      <c r="G938" s="246">
        <v>6</v>
      </c>
      <c r="H938" s="246">
        <v>10</v>
      </c>
      <c r="I938" s="246">
        <v>12</v>
      </c>
      <c r="J938" s="246">
        <v>14</v>
      </c>
      <c r="K938" s="246">
        <v>15</v>
      </c>
      <c r="L938" s="246"/>
      <c r="M938" s="246"/>
      <c r="N938" s="246"/>
      <c r="O938" s="246"/>
      <c r="P938" s="246"/>
      <c r="Q938" s="246"/>
      <c r="R938" s="246">
        <f>IFERROR(VLOOKUP(D938,PROGRAMAS[],2,FALSE),0)</f>
        <v>97037803.679377079</v>
      </c>
      <c r="S938" s="246">
        <f>IFERROR(VLOOKUP(E938,PROGRAMAS[],2,FALSE),0)</f>
        <v>640501509.6821388</v>
      </c>
      <c r="T938" s="246">
        <f>IFERROR(VLOOKUP(F938,PROGRAMAS[],2,FALSE),0)</f>
        <v>3062327798.1525245</v>
      </c>
      <c r="U938" s="246">
        <f>IFERROR(VLOOKUP(G938,PROGRAMAS[],2,FALSE),0)</f>
        <v>6907648435.8447599</v>
      </c>
      <c r="V938" s="246">
        <f>IFERROR(VLOOKUP(H938,PROGRAMAS[],2,FALSE),0)</f>
        <v>4635315027.8751087</v>
      </c>
      <c r="W938" s="246">
        <f>IFERROR(VLOOKUP(I938,PROGRAMAS[],2,FALSE),0)</f>
        <v>764796700.79905891</v>
      </c>
      <c r="X938" s="246">
        <f>IFERROR(VLOOKUP(J938,PROGRAMAS[],2,FALSE),0)</f>
        <v>54223862.645839565</v>
      </c>
      <c r="Y938" s="246">
        <f>IFERROR(VLOOKUP(K938,PROGRAMAS[],2,FALSE),0)</f>
        <v>122159672.96346797</v>
      </c>
      <c r="Z938" s="246">
        <f>IFERROR(VLOOKUP(L938,PROGRAMAS[],2,FALSE),0)</f>
        <v>0</v>
      </c>
      <c r="AA938" s="246">
        <f>IFERROR(VLOOKUP(M938,PROGRAMAS[],2,FALSE),0)</f>
        <v>0</v>
      </c>
      <c r="AB938" s="246">
        <f>IFERROR(VLOOKUP(N938,PROGRAMAS[],2,FALSE),0)</f>
        <v>0</v>
      </c>
      <c r="AC938" s="246">
        <f>IFERROR(VLOOKUP(O938,PROGRAMAS[],2,FALSE),0)</f>
        <v>0</v>
      </c>
      <c r="AD938" s="246">
        <f>IFERROR(VLOOKUP(P938,PROGRAMAS[],2,FALSE),0)</f>
        <v>0</v>
      </c>
      <c r="AE938" s="246">
        <f>IFERROR(VLOOKUP(Q938,PROGRAMAS[],2,FALSE),0)</f>
        <v>0</v>
      </c>
      <c r="AF938" s="246">
        <f>IFERROR(VLOOKUP(D938,PROGRAMAS[],3,FALSE),0)</f>
        <v>841888629.31080008</v>
      </c>
      <c r="AG938" s="246">
        <f>IFERROR(VLOOKUP(E938,PROGRAMAS[],3,FALSE),0)</f>
        <v>3848980803.1642323</v>
      </c>
      <c r="AH938" s="246">
        <f>IFERROR(VLOOKUP(F938,PROGRAMAS[],3,FALSE),0)</f>
        <v>3394901471.387517</v>
      </c>
      <c r="AI938" s="246">
        <f>IFERROR(VLOOKUP(G938,PROGRAMAS[],3,FALSE),0)</f>
        <v>6129902208.7912121</v>
      </c>
      <c r="AJ938" s="246">
        <f>IFERROR(VLOOKUP(H938,PROGRAMAS[],3,FALSE),0)</f>
        <v>4099471734.9978786</v>
      </c>
      <c r="AK938" s="246">
        <f>IFERROR(VLOOKUP(I938,PROGRAMAS[],3,FALSE),0)</f>
        <v>675517840.109828</v>
      </c>
      <c r="AL938" s="246">
        <f>IFERROR(VLOOKUP(J938,PROGRAMAS[],3,FALSE),0)</f>
        <v>31865326.38096505</v>
      </c>
      <c r="AM938" s="246">
        <f>IFERROR(VLOOKUP(K938,PROGRAMAS[],3,FALSE),0)</f>
        <v>118617452.52510804</v>
      </c>
      <c r="AN938" s="246">
        <f>IFERROR(VLOOKUP(L938,PROGRAMAS[],3,FALSE),0)</f>
        <v>0</v>
      </c>
      <c r="AO938" s="246">
        <f>IFERROR(VLOOKUP(M938,PROGRAMAS[],3,FALSE),0)</f>
        <v>0</v>
      </c>
      <c r="AP938" s="246">
        <f>IFERROR(VLOOKUP(N938,PROGRAMAS[],3,FALSE),0)</f>
        <v>0</v>
      </c>
      <c r="AQ938" s="246">
        <f>IFERROR(VLOOKUP(O938,PROGRAMAS[],3,FALSE),0)</f>
        <v>0</v>
      </c>
      <c r="AR938" s="246">
        <f>IFERROR(VLOOKUP(P938,PROGRAMAS[],3,FALSE),0)</f>
        <v>0</v>
      </c>
      <c r="AS938" s="246">
        <f>IFERROR(VLOOKUP(Q938,PROGRAMAS[],3,FALSE),0)</f>
        <v>0</v>
      </c>
      <c r="AT938" s="246">
        <f>IFERROR(VLOOKUP(D938,VOL_REC[],2,FALSE),0)</f>
        <v>0</v>
      </c>
      <c r="AU938" s="246">
        <f>IFERROR(VLOOKUP(E938,VOL_REC[],2,FALSE),0)</f>
        <v>0</v>
      </c>
      <c r="AV938" s="246">
        <f>IFERROR(VLOOKUP(F938,VOL_REC[],2,FALSE),0)</f>
        <v>11089674.200000001</v>
      </c>
      <c r="AW938" s="246">
        <f>IFERROR(VLOOKUP(G938,VOL_REC[],2,FALSE),0)</f>
        <v>15540036.397699751</v>
      </c>
      <c r="AX938" s="246">
        <f>IFERROR(VLOOKUP(H938,VOL_REC[],2,FALSE),0)</f>
        <v>1812240</v>
      </c>
      <c r="AY938" s="246">
        <f>IFERROR(VLOOKUP(I938,VOL_REC[],2,FALSE),0)</f>
        <v>240696.79238099116</v>
      </c>
      <c r="AZ938" s="246">
        <f>IFERROR(VLOOKUP(J938,VOL_REC[],2,FALSE),0)</f>
        <v>17074.045034105649</v>
      </c>
      <c r="BA938" s="246">
        <f>IFERROR(VLOOKUP(K938,VOL_REC[],2,FALSE),0)</f>
        <v>105072</v>
      </c>
      <c r="BB938" s="246">
        <f>IFERROR(VLOOKUP(L938,VOL_REC[],2,FALSE),0)</f>
        <v>0</v>
      </c>
      <c r="BC938" s="246">
        <f>IFERROR(VLOOKUP(M938,VOL_REC[],2,FALSE),0)</f>
        <v>0</v>
      </c>
      <c r="BD938" s="246">
        <f>IFERROR(VLOOKUP(N938,VOL_REC[],2,FALSE),0)</f>
        <v>0</v>
      </c>
      <c r="BE938" s="246">
        <f>IFERROR(VLOOKUP(O938,VOL_REC[],2,FALSE),0)</f>
        <v>0</v>
      </c>
      <c r="BF938" s="246">
        <f>IFERROR(VLOOKUP(P938,VOL_REC[],2,FALSE),0)</f>
        <v>0</v>
      </c>
      <c r="BG938" s="246">
        <f>IFERROR(VLOOKUP(Q938,VOL_REC[],2,FALSE),0)</f>
        <v>0</v>
      </c>
      <c r="BH938" s="1710">
        <f t="shared" si="56"/>
        <v>16284010811.642277</v>
      </c>
      <c r="BI938" s="1710">
        <f t="shared" si="57"/>
        <v>19141145466.667545</v>
      </c>
      <c r="BJ938" s="1711">
        <f t="shared" si="58"/>
        <v>28804793.435114853</v>
      </c>
      <c r="BK938" s="1711">
        <f t="shared" si="59"/>
        <v>0.85073335031068587</v>
      </c>
    </row>
    <row r="939" spans="3:67" x14ac:dyDescent="0.25">
      <c r="C939" s="246" t="s">
        <v>2289</v>
      </c>
      <c r="D939" s="246">
        <v>1</v>
      </c>
      <c r="E939" s="246">
        <v>2</v>
      </c>
      <c r="F939" s="246">
        <v>3</v>
      </c>
      <c r="G939" s="246">
        <v>6</v>
      </c>
      <c r="H939" s="246">
        <v>10</v>
      </c>
      <c r="I939" s="246">
        <v>12</v>
      </c>
      <c r="J939" s="246">
        <v>14</v>
      </c>
      <c r="K939" s="246">
        <v>16</v>
      </c>
      <c r="L939" s="246"/>
      <c r="M939" s="246"/>
      <c r="N939" s="246"/>
      <c r="O939" s="246"/>
      <c r="P939" s="246"/>
      <c r="Q939" s="246"/>
      <c r="R939" s="246">
        <f>IFERROR(VLOOKUP(D939,PROGRAMAS[],2,FALSE),0)</f>
        <v>97037803.679377079</v>
      </c>
      <c r="S939" s="246">
        <f>IFERROR(VLOOKUP(E939,PROGRAMAS[],2,FALSE),0)</f>
        <v>640501509.6821388</v>
      </c>
      <c r="T939" s="246">
        <f>IFERROR(VLOOKUP(F939,PROGRAMAS[],2,FALSE),0)</f>
        <v>3062327798.1525245</v>
      </c>
      <c r="U939" s="246">
        <f>IFERROR(VLOOKUP(G939,PROGRAMAS[],2,FALSE),0)</f>
        <v>6907648435.8447599</v>
      </c>
      <c r="V939" s="246">
        <f>IFERROR(VLOOKUP(H939,PROGRAMAS[],2,FALSE),0)</f>
        <v>4635315027.8751087</v>
      </c>
      <c r="W939" s="246">
        <f>IFERROR(VLOOKUP(I939,PROGRAMAS[],2,FALSE),0)</f>
        <v>764796700.79905891</v>
      </c>
      <c r="X939" s="246">
        <f>IFERROR(VLOOKUP(J939,PROGRAMAS[],2,FALSE),0)</f>
        <v>54223862.645839565</v>
      </c>
      <c r="Y939" s="246">
        <f>IFERROR(VLOOKUP(K939,PROGRAMAS[],2,FALSE),0)</f>
        <v>7068496961.0436354</v>
      </c>
      <c r="Z939" s="246">
        <f>IFERROR(VLOOKUP(L939,PROGRAMAS[],2,FALSE),0)</f>
        <v>0</v>
      </c>
      <c r="AA939" s="246">
        <f>IFERROR(VLOOKUP(M939,PROGRAMAS[],2,FALSE),0)</f>
        <v>0</v>
      </c>
      <c r="AB939" s="246">
        <f>IFERROR(VLOOKUP(N939,PROGRAMAS[],2,FALSE),0)</f>
        <v>0</v>
      </c>
      <c r="AC939" s="246">
        <f>IFERROR(VLOOKUP(O939,PROGRAMAS[],2,FALSE),0)</f>
        <v>0</v>
      </c>
      <c r="AD939" s="246">
        <f>IFERROR(VLOOKUP(P939,PROGRAMAS[],2,FALSE),0)</f>
        <v>0</v>
      </c>
      <c r="AE939" s="246">
        <f>IFERROR(VLOOKUP(Q939,PROGRAMAS[],2,FALSE),0)</f>
        <v>0</v>
      </c>
      <c r="AF939" s="246">
        <f>IFERROR(VLOOKUP(D939,PROGRAMAS[],3,FALSE),0)</f>
        <v>841888629.31080008</v>
      </c>
      <c r="AG939" s="246">
        <f>IFERROR(VLOOKUP(E939,PROGRAMAS[],3,FALSE),0)</f>
        <v>3848980803.1642323</v>
      </c>
      <c r="AH939" s="246">
        <f>IFERROR(VLOOKUP(F939,PROGRAMAS[],3,FALSE),0)</f>
        <v>3394901471.387517</v>
      </c>
      <c r="AI939" s="246">
        <f>IFERROR(VLOOKUP(G939,PROGRAMAS[],3,FALSE),0)</f>
        <v>6129902208.7912121</v>
      </c>
      <c r="AJ939" s="246">
        <f>IFERROR(VLOOKUP(H939,PROGRAMAS[],3,FALSE),0)</f>
        <v>4099471734.9978786</v>
      </c>
      <c r="AK939" s="246">
        <f>IFERROR(VLOOKUP(I939,PROGRAMAS[],3,FALSE),0)</f>
        <v>675517840.109828</v>
      </c>
      <c r="AL939" s="246">
        <f>IFERROR(VLOOKUP(J939,PROGRAMAS[],3,FALSE),0)</f>
        <v>31865326.38096505</v>
      </c>
      <c r="AM939" s="246">
        <f>IFERROR(VLOOKUP(K939,PROGRAMAS[],3,FALSE),0)</f>
        <v>2406564599.0319901</v>
      </c>
      <c r="AN939" s="246">
        <f>IFERROR(VLOOKUP(L939,PROGRAMAS[],3,FALSE),0)</f>
        <v>0</v>
      </c>
      <c r="AO939" s="246">
        <f>IFERROR(VLOOKUP(M939,PROGRAMAS[],3,FALSE),0)</f>
        <v>0</v>
      </c>
      <c r="AP939" s="246">
        <f>IFERROR(VLOOKUP(N939,PROGRAMAS[],3,FALSE),0)</f>
        <v>0</v>
      </c>
      <c r="AQ939" s="246">
        <f>IFERROR(VLOOKUP(O939,PROGRAMAS[],3,FALSE),0)</f>
        <v>0</v>
      </c>
      <c r="AR939" s="246">
        <f>IFERROR(VLOOKUP(P939,PROGRAMAS[],3,FALSE),0)</f>
        <v>0</v>
      </c>
      <c r="AS939" s="246">
        <f>IFERROR(VLOOKUP(Q939,PROGRAMAS[],3,FALSE),0)</f>
        <v>0</v>
      </c>
      <c r="AT939" s="246">
        <f>IFERROR(VLOOKUP(D939,VOL_REC[],2,FALSE),0)</f>
        <v>0</v>
      </c>
      <c r="AU939" s="246">
        <f>IFERROR(VLOOKUP(E939,VOL_REC[],2,FALSE),0)</f>
        <v>0</v>
      </c>
      <c r="AV939" s="246">
        <f>IFERROR(VLOOKUP(F939,VOL_REC[],2,FALSE),0)</f>
        <v>11089674.200000001</v>
      </c>
      <c r="AW939" s="246">
        <f>IFERROR(VLOOKUP(G939,VOL_REC[],2,FALSE),0)</f>
        <v>15540036.397699751</v>
      </c>
      <c r="AX939" s="246">
        <f>IFERROR(VLOOKUP(H939,VOL_REC[],2,FALSE),0)</f>
        <v>1812240</v>
      </c>
      <c r="AY939" s="246">
        <f>IFERROR(VLOOKUP(I939,VOL_REC[],2,FALSE),0)</f>
        <v>240696.79238099116</v>
      </c>
      <c r="AZ939" s="246">
        <f>IFERROR(VLOOKUP(J939,VOL_REC[],2,FALSE),0)</f>
        <v>17074.045034105649</v>
      </c>
      <c r="BA939" s="246">
        <f>IFERROR(VLOOKUP(K939,VOL_REC[],2,FALSE),0)</f>
        <v>1072354.9981737854</v>
      </c>
      <c r="BB939" s="246">
        <f>IFERROR(VLOOKUP(L939,VOL_REC[],2,FALSE),0)</f>
        <v>0</v>
      </c>
      <c r="BC939" s="246">
        <f>IFERROR(VLOOKUP(M939,VOL_REC[],2,FALSE),0)</f>
        <v>0</v>
      </c>
      <c r="BD939" s="246">
        <f>IFERROR(VLOOKUP(N939,VOL_REC[],2,FALSE),0)</f>
        <v>0</v>
      </c>
      <c r="BE939" s="246">
        <f>IFERROR(VLOOKUP(O939,VOL_REC[],2,FALSE),0)</f>
        <v>0</v>
      </c>
      <c r="BF939" s="246">
        <f>IFERROR(VLOOKUP(P939,VOL_REC[],2,FALSE),0)</f>
        <v>0</v>
      </c>
      <c r="BG939" s="246">
        <f>IFERROR(VLOOKUP(Q939,VOL_REC[],2,FALSE),0)</f>
        <v>0</v>
      </c>
      <c r="BH939" s="1710">
        <f t="shared" si="56"/>
        <v>23230348099.722443</v>
      </c>
      <c r="BI939" s="1710">
        <f t="shared" si="57"/>
        <v>21429092613.174427</v>
      </c>
      <c r="BJ939" s="1711">
        <f t="shared" si="58"/>
        <v>29772076.433288638</v>
      </c>
      <c r="BK939" s="1711">
        <f t="shared" si="59"/>
        <v>1.0840565449533135</v>
      </c>
      <c r="BL939">
        <f>BJ939</f>
        <v>29772076.433288638</v>
      </c>
      <c r="BO939">
        <f>BL939</f>
        <v>29772076.433288638</v>
      </c>
    </row>
    <row r="940" spans="3:67" x14ac:dyDescent="0.25">
      <c r="C940" s="246" t="s">
        <v>2290</v>
      </c>
      <c r="D940" s="246">
        <v>1</v>
      </c>
      <c r="E940" s="246">
        <v>2</v>
      </c>
      <c r="F940" s="246">
        <v>3</v>
      </c>
      <c r="G940" s="246">
        <v>6</v>
      </c>
      <c r="H940" s="246">
        <v>10</v>
      </c>
      <c r="I940" s="246">
        <v>12</v>
      </c>
      <c r="J940" s="246">
        <v>14</v>
      </c>
      <c r="K940" s="246">
        <v>17</v>
      </c>
      <c r="L940" s="246"/>
      <c r="M940" s="246"/>
      <c r="N940" s="246"/>
      <c r="O940" s="246"/>
      <c r="P940" s="246"/>
      <c r="Q940" s="246"/>
      <c r="R940" s="246">
        <f>IFERROR(VLOOKUP(D940,PROGRAMAS[],2,FALSE),0)</f>
        <v>97037803.679377079</v>
      </c>
      <c r="S940" s="246">
        <f>IFERROR(VLOOKUP(E940,PROGRAMAS[],2,FALSE),0)</f>
        <v>640501509.6821388</v>
      </c>
      <c r="T940" s="246">
        <f>IFERROR(VLOOKUP(F940,PROGRAMAS[],2,FALSE),0)</f>
        <v>3062327798.1525245</v>
      </c>
      <c r="U940" s="246">
        <f>IFERROR(VLOOKUP(G940,PROGRAMAS[],2,FALSE),0)</f>
        <v>6907648435.8447599</v>
      </c>
      <c r="V940" s="246">
        <f>IFERROR(VLOOKUP(H940,PROGRAMAS[],2,FALSE),0)</f>
        <v>4635315027.8751087</v>
      </c>
      <c r="W940" s="246">
        <f>IFERROR(VLOOKUP(I940,PROGRAMAS[],2,FALSE),0)</f>
        <v>764796700.79905891</v>
      </c>
      <c r="X940" s="246">
        <f>IFERROR(VLOOKUP(J940,PROGRAMAS[],2,FALSE),0)</f>
        <v>54223862.645839565</v>
      </c>
      <c r="Y940" s="246">
        <f>IFERROR(VLOOKUP(K940,PROGRAMAS[],2,FALSE),0)</f>
        <v>1892779498.5211046</v>
      </c>
      <c r="Z940" s="246">
        <f>IFERROR(VLOOKUP(L940,PROGRAMAS[],2,FALSE),0)</f>
        <v>0</v>
      </c>
      <c r="AA940" s="246">
        <f>IFERROR(VLOOKUP(M940,PROGRAMAS[],2,FALSE),0)</f>
        <v>0</v>
      </c>
      <c r="AB940" s="246">
        <f>IFERROR(VLOOKUP(N940,PROGRAMAS[],2,FALSE),0)</f>
        <v>0</v>
      </c>
      <c r="AC940" s="246">
        <f>IFERROR(VLOOKUP(O940,PROGRAMAS[],2,FALSE),0)</f>
        <v>0</v>
      </c>
      <c r="AD940" s="246">
        <f>IFERROR(VLOOKUP(P940,PROGRAMAS[],2,FALSE),0)</f>
        <v>0</v>
      </c>
      <c r="AE940" s="246">
        <f>IFERROR(VLOOKUP(Q940,PROGRAMAS[],2,FALSE),0)</f>
        <v>0</v>
      </c>
      <c r="AF940" s="246">
        <f>IFERROR(VLOOKUP(D940,PROGRAMAS[],3,FALSE),0)</f>
        <v>841888629.31080008</v>
      </c>
      <c r="AG940" s="246">
        <f>IFERROR(VLOOKUP(E940,PROGRAMAS[],3,FALSE),0)</f>
        <v>3848980803.1642323</v>
      </c>
      <c r="AH940" s="246">
        <f>IFERROR(VLOOKUP(F940,PROGRAMAS[],3,FALSE),0)</f>
        <v>3394901471.387517</v>
      </c>
      <c r="AI940" s="246">
        <f>IFERROR(VLOOKUP(G940,PROGRAMAS[],3,FALSE),0)</f>
        <v>6129902208.7912121</v>
      </c>
      <c r="AJ940" s="246">
        <f>IFERROR(VLOOKUP(H940,PROGRAMAS[],3,FALSE),0)</f>
        <v>4099471734.9978786</v>
      </c>
      <c r="AK940" s="246">
        <f>IFERROR(VLOOKUP(I940,PROGRAMAS[],3,FALSE),0)</f>
        <v>675517840.109828</v>
      </c>
      <c r="AL940" s="246">
        <f>IFERROR(VLOOKUP(J940,PROGRAMAS[],3,FALSE),0)</f>
        <v>31865326.38096505</v>
      </c>
      <c r="AM940" s="246">
        <f>IFERROR(VLOOKUP(K940,PROGRAMAS[],3,FALSE),0)</f>
        <v>948595847.09039903</v>
      </c>
      <c r="AN940" s="246">
        <f>IFERROR(VLOOKUP(L940,PROGRAMAS[],3,FALSE),0)</f>
        <v>0</v>
      </c>
      <c r="AO940" s="246">
        <f>IFERROR(VLOOKUP(M940,PROGRAMAS[],3,FALSE),0)</f>
        <v>0</v>
      </c>
      <c r="AP940" s="246">
        <f>IFERROR(VLOOKUP(N940,PROGRAMAS[],3,FALSE),0)</f>
        <v>0</v>
      </c>
      <c r="AQ940" s="246">
        <f>IFERROR(VLOOKUP(O940,PROGRAMAS[],3,FALSE),0)</f>
        <v>0</v>
      </c>
      <c r="AR940" s="246">
        <f>IFERROR(VLOOKUP(P940,PROGRAMAS[],3,FALSE),0)</f>
        <v>0</v>
      </c>
      <c r="AS940" s="246">
        <f>IFERROR(VLOOKUP(Q940,PROGRAMAS[],3,FALSE),0)</f>
        <v>0</v>
      </c>
      <c r="AT940" s="246">
        <f>IFERROR(VLOOKUP(D940,VOL_REC[],2,FALSE),0)</f>
        <v>0</v>
      </c>
      <c r="AU940" s="246">
        <f>IFERROR(VLOOKUP(E940,VOL_REC[],2,FALSE),0)</f>
        <v>0</v>
      </c>
      <c r="AV940" s="246">
        <f>IFERROR(VLOOKUP(F940,VOL_REC[],2,FALSE),0)</f>
        <v>11089674.200000001</v>
      </c>
      <c r="AW940" s="246">
        <f>IFERROR(VLOOKUP(G940,VOL_REC[],2,FALSE),0)</f>
        <v>15540036.397699751</v>
      </c>
      <c r="AX940" s="246">
        <f>IFERROR(VLOOKUP(H940,VOL_REC[],2,FALSE),0)</f>
        <v>1812240</v>
      </c>
      <c r="AY940" s="246">
        <f>IFERROR(VLOOKUP(I940,VOL_REC[],2,FALSE),0)</f>
        <v>240696.79238099116</v>
      </c>
      <c r="AZ940" s="246">
        <f>IFERROR(VLOOKUP(J940,VOL_REC[],2,FALSE),0)</f>
        <v>17074.045034105649</v>
      </c>
      <c r="BA940" s="246">
        <f>IFERROR(VLOOKUP(K940,VOL_REC[],2,FALSE),0)</f>
        <v>740113.98115702497</v>
      </c>
      <c r="BB940" s="246">
        <f>IFERROR(VLOOKUP(L940,VOL_REC[],2,FALSE),0)</f>
        <v>0</v>
      </c>
      <c r="BC940" s="246">
        <f>IFERROR(VLOOKUP(M940,VOL_REC[],2,FALSE),0)</f>
        <v>0</v>
      </c>
      <c r="BD940" s="246">
        <f>IFERROR(VLOOKUP(N940,VOL_REC[],2,FALSE),0)</f>
        <v>0</v>
      </c>
      <c r="BE940" s="246">
        <f>IFERROR(VLOOKUP(O940,VOL_REC[],2,FALSE),0)</f>
        <v>0</v>
      </c>
      <c r="BF940" s="246">
        <f>IFERROR(VLOOKUP(P940,VOL_REC[],2,FALSE),0)</f>
        <v>0</v>
      </c>
      <c r="BG940" s="246">
        <f>IFERROR(VLOOKUP(Q940,VOL_REC[],2,FALSE),0)</f>
        <v>0</v>
      </c>
      <c r="BH940" s="1710">
        <f t="shared" si="56"/>
        <v>18054630637.199913</v>
      </c>
      <c r="BI940" s="1710">
        <f t="shared" si="57"/>
        <v>19971123861.232838</v>
      </c>
      <c r="BJ940" s="1711">
        <f t="shared" si="58"/>
        <v>29439835.416271877</v>
      </c>
      <c r="BK940" s="1711">
        <f t="shared" si="59"/>
        <v>0.90403678644479557</v>
      </c>
    </row>
    <row r="941" spans="3:67" x14ac:dyDescent="0.25">
      <c r="C941" s="246" t="s">
        <v>2291</v>
      </c>
      <c r="D941" s="246">
        <v>1</v>
      </c>
      <c r="E941" s="246">
        <v>2</v>
      </c>
      <c r="F941" s="246">
        <v>3</v>
      </c>
      <c r="G941" s="246">
        <v>6</v>
      </c>
      <c r="H941" s="246">
        <v>10</v>
      </c>
      <c r="I941" s="246">
        <v>12</v>
      </c>
      <c r="J941" s="246">
        <v>15</v>
      </c>
      <c r="K941" s="246">
        <v>16</v>
      </c>
      <c r="L941" s="246"/>
      <c r="M941" s="246"/>
      <c r="N941" s="246"/>
      <c r="O941" s="246"/>
      <c r="P941" s="246"/>
      <c r="Q941" s="246"/>
      <c r="R941" s="246">
        <f>IFERROR(VLOOKUP(D941,PROGRAMAS[],2,FALSE),0)</f>
        <v>97037803.679377079</v>
      </c>
      <c r="S941" s="246">
        <f>IFERROR(VLOOKUP(E941,PROGRAMAS[],2,FALSE),0)</f>
        <v>640501509.6821388</v>
      </c>
      <c r="T941" s="246">
        <f>IFERROR(VLOOKUP(F941,PROGRAMAS[],2,FALSE),0)</f>
        <v>3062327798.1525245</v>
      </c>
      <c r="U941" s="246">
        <f>IFERROR(VLOOKUP(G941,PROGRAMAS[],2,FALSE),0)</f>
        <v>6907648435.8447599</v>
      </c>
      <c r="V941" s="246">
        <f>IFERROR(VLOOKUP(H941,PROGRAMAS[],2,FALSE),0)</f>
        <v>4635315027.8751087</v>
      </c>
      <c r="W941" s="246">
        <f>IFERROR(VLOOKUP(I941,PROGRAMAS[],2,FALSE),0)</f>
        <v>764796700.79905891</v>
      </c>
      <c r="X941" s="246">
        <f>IFERROR(VLOOKUP(J941,PROGRAMAS[],2,FALSE),0)</f>
        <v>122159672.96346797</v>
      </c>
      <c r="Y941" s="246">
        <f>IFERROR(VLOOKUP(K941,PROGRAMAS[],2,FALSE),0)</f>
        <v>7068496961.0436354</v>
      </c>
      <c r="Z941" s="246">
        <f>IFERROR(VLOOKUP(L941,PROGRAMAS[],2,FALSE),0)</f>
        <v>0</v>
      </c>
      <c r="AA941" s="246">
        <f>IFERROR(VLOOKUP(M941,PROGRAMAS[],2,FALSE),0)</f>
        <v>0</v>
      </c>
      <c r="AB941" s="246">
        <f>IFERROR(VLOOKUP(N941,PROGRAMAS[],2,FALSE),0)</f>
        <v>0</v>
      </c>
      <c r="AC941" s="246">
        <f>IFERROR(VLOOKUP(O941,PROGRAMAS[],2,FALSE),0)</f>
        <v>0</v>
      </c>
      <c r="AD941" s="246">
        <f>IFERROR(VLOOKUP(P941,PROGRAMAS[],2,FALSE),0)</f>
        <v>0</v>
      </c>
      <c r="AE941" s="246">
        <f>IFERROR(VLOOKUP(Q941,PROGRAMAS[],2,FALSE),0)</f>
        <v>0</v>
      </c>
      <c r="AF941" s="246">
        <f>IFERROR(VLOOKUP(D941,PROGRAMAS[],3,FALSE),0)</f>
        <v>841888629.31080008</v>
      </c>
      <c r="AG941" s="246">
        <f>IFERROR(VLOOKUP(E941,PROGRAMAS[],3,FALSE),0)</f>
        <v>3848980803.1642323</v>
      </c>
      <c r="AH941" s="246">
        <f>IFERROR(VLOOKUP(F941,PROGRAMAS[],3,FALSE),0)</f>
        <v>3394901471.387517</v>
      </c>
      <c r="AI941" s="246">
        <f>IFERROR(VLOOKUP(G941,PROGRAMAS[],3,FALSE),0)</f>
        <v>6129902208.7912121</v>
      </c>
      <c r="AJ941" s="246">
        <f>IFERROR(VLOOKUP(H941,PROGRAMAS[],3,FALSE),0)</f>
        <v>4099471734.9978786</v>
      </c>
      <c r="AK941" s="246">
        <f>IFERROR(VLOOKUP(I941,PROGRAMAS[],3,FALSE),0)</f>
        <v>675517840.109828</v>
      </c>
      <c r="AL941" s="246">
        <f>IFERROR(VLOOKUP(J941,PROGRAMAS[],3,FALSE),0)</f>
        <v>118617452.52510804</v>
      </c>
      <c r="AM941" s="246">
        <f>IFERROR(VLOOKUP(K941,PROGRAMAS[],3,FALSE),0)</f>
        <v>2406564599.0319901</v>
      </c>
      <c r="AN941" s="246">
        <f>IFERROR(VLOOKUP(L941,PROGRAMAS[],3,FALSE),0)</f>
        <v>0</v>
      </c>
      <c r="AO941" s="246">
        <f>IFERROR(VLOOKUP(M941,PROGRAMAS[],3,FALSE),0)</f>
        <v>0</v>
      </c>
      <c r="AP941" s="246">
        <f>IFERROR(VLOOKUP(N941,PROGRAMAS[],3,FALSE),0)</f>
        <v>0</v>
      </c>
      <c r="AQ941" s="246">
        <f>IFERROR(VLOOKUP(O941,PROGRAMAS[],3,FALSE),0)</f>
        <v>0</v>
      </c>
      <c r="AR941" s="246">
        <f>IFERROR(VLOOKUP(P941,PROGRAMAS[],3,FALSE),0)</f>
        <v>0</v>
      </c>
      <c r="AS941" s="246">
        <f>IFERROR(VLOOKUP(Q941,PROGRAMAS[],3,FALSE),0)</f>
        <v>0</v>
      </c>
      <c r="AT941" s="246">
        <f>IFERROR(VLOOKUP(D941,VOL_REC[],2,FALSE),0)</f>
        <v>0</v>
      </c>
      <c r="AU941" s="246">
        <f>IFERROR(VLOOKUP(E941,VOL_REC[],2,FALSE),0)</f>
        <v>0</v>
      </c>
      <c r="AV941" s="246">
        <f>IFERROR(VLOOKUP(F941,VOL_REC[],2,FALSE),0)</f>
        <v>11089674.200000001</v>
      </c>
      <c r="AW941" s="246">
        <f>IFERROR(VLOOKUP(G941,VOL_REC[],2,FALSE),0)</f>
        <v>15540036.397699751</v>
      </c>
      <c r="AX941" s="246">
        <f>IFERROR(VLOOKUP(H941,VOL_REC[],2,FALSE),0)</f>
        <v>1812240</v>
      </c>
      <c r="AY941" s="246">
        <f>IFERROR(VLOOKUP(I941,VOL_REC[],2,FALSE),0)</f>
        <v>240696.79238099116</v>
      </c>
      <c r="AZ941" s="246">
        <f>IFERROR(VLOOKUP(J941,VOL_REC[],2,FALSE),0)</f>
        <v>105072</v>
      </c>
      <c r="BA941" s="246">
        <f>IFERROR(VLOOKUP(K941,VOL_REC[],2,FALSE),0)</f>
        <v>1072354.9981737854</v>
      </c>
      <c r="BB941" s="246">
        <f>IFERROR(VLOOKUP(L941,VOL_REC[],2,FALSE),0)</f>
        <v>0</v>
      </c>
      <c r="BC941" s="246">
        <f>IFERROR(VLOOKUP(M941,VOL_REC[],2,FALSE),0)</f>
        <v>0</v>
      </c>
      <c r="BD941" s="246">
        <f>IFERROR(VLOOKUP(N941,VOL_REC[],2,FALSE),0)</f>
        <v>0</v>
      </c>
      <c r="BE941" s="246">
        <f>IFERROR(VLOOKUP(O941,VOL_REC[],2,FALSE),0)</f>
        <v>0</v>
      </c>
      <c r="BF941" s="246">
        <f>IFERROR(VLOOKUP(P941,VOL_REC[],2,FALSE),0)</f>
        <v>0</v>
      </c>
      <c r="BG941" s="246">
        <f>IFERROR(VLOOKUP(Q941,VOL_REC[],2,FALSE),0)</f>
        <v>0</v>
      </c>
      <c r="BH941" s="1710">
        <f t="shared" si="56"/>
        <v>23298283910.040073</v>
      </c>
      <c r="BI941" s="1710">
        <f t="shared" si="57"/>
        <v>21515844739.318569</v>
      </c>
      <c r="BJ941" s="1711">
        <f t="shared" si="58"/>
        <v>29860074.388254531</v>
      </c>
      <c r="BK941" s="1711">
        <f t="shared" si="59"/>
        <v>1.0828430950454031</v>
      </c>
      <c r="BL941">
        <f>BJ941</f>
        <v>29860074.388254531</v>
      </c>
      <c r="BO941">
        <f>BL941</f>
        <v>29860074.388254531</v>
      </c>
    </row>
    <row r="942" spans="3:67" x14ac:dyDescent="0.25">
      <c r="C942" s="246" t="s">
        <v>2292</v>
      </c>
      <c r="D942" s="246">
        <v>1</v>
      </c>
      <c r="E942" s="246">
        <v>2</v>
      </c>
      <c r="F942" s="246">
        <v>3</v>
      </c>
      <c r="G942" s="246">
        <v>6</v>
      </c>
      <c r="H942" s="246">
        <v>10</v>
      </c>
      <c r="I942" s="246">
        <v>12</v>
      </c>
      <c r="J942" s="246">
        <v>15</v>
      </c>
      <c r="K942" s="246">
        <v>17</v>
      </c>
      <c r="L942" s="246"/>
      <c r="M942" s="246"/>
      <c r="N942" s="246"/>
      <c r="O942" s="246"/>
      <c r="P942" s="246"/>
      <c r="Q942" s="246"/>
      <c r="R942" s="246">
        <f>IFERROR(VLOOKUP(D942,PROGRAMAS[],2,FALSE),0)</f>
        <v>97037803.679377079</v>
      </c>
      <c r="S942" s="246">
        <f>IFERROR(VLOOKUP(E942,PROGRAMAS[],2,FALSE),0)</f>
        <v>640501509.6821388</v>
      </c>
      <c r="T942" s="246">
        <f>IFERROR(VLOOKUP(F942,PROGRAMAS[],2,FALSE),0)</f>
        <v>3062327798.1525245</v>
      </c>
      <c r="U942" s="246">
        <f>IFERROR(VLOOKUP(G942,PROGRAMAS[],2,FALSE),0)</f>
        <v>6907648435.8447599</v>
      </c>
      <c r="V942" s="246">
        <f>IFERROR(VLOOKUP(H942,PROGRAMAS[],2,FALSE),0)</f>
        <v>4635315027.8751087</v>
      </c>
      <c r="W942" s="246">
        <f>IFERROR(VLOOKUP(I942,PROGRAMAS[],2,FALSE),0)</f>
        <v>764796700.79905891</v>
      </c>
      <c r="X942" s="246">
        <f>IFERROR(VLOOKUP(J942,PROGRAMAS[],2,FALSE),0)</f>
        <v>122159672.96346797</v>
      </c>
      <c r="Y942" s="246">
        <f>IFERROR(VLOOKUP(K942,PROGRAMAS[],2,FALSE),0)</f>
        <v>1892779498.5211046</v>
      </c>
      <c r="Z942" s="246">
        <f>IFERROR(VLOOKUP(L942,PROGRAMAS[],2,FALSE),0)</f>
        <v>0</v>
      </c>
      <c r="AA942" s="246">
        <f>IFERROR(VLOOKUP(M942,PROGRAMAS[],2,FALSE),0)</f>
        <v>0</v>
      </c>
      <c r="AB942" s="246">
        <f>IFERROR(VLOOKUP(N942,PROGRAMAS[],2,FALSE),0)</f>
        <v>0</v>
      </c>
      <c r="AC942" s="246">
        <f>IFERROR(VLOOKUP(O942,PROGRAMAS[],2,FALSE),0)</f>
        <v>0</v>
      </c>
      <c r="AD942" s="246">
        <f>IFERROR(VLOOKUP(P942,PROGRAMAS[],2,FALSE),0)</f>
        <v>0</v>
      </c>
      <c r="AE942" s="246">
        <f>IFERROR(VLOOKUP(Q942,PROGRAMAS[],2,FALSE),0)</f>
        <v>0</v>
      </c>
      <c r="AF942" s="246">
        <f>IFERROR(VLOOKUP(D942,PROGRAMAS[],3,FALSE),0)</f>
        <v>841888629.31080008</v>
      </c>
      <c r="AG942" s="246">
        <f>IFERROR(VLOOKUP(E942,PROGRAMAS[],3,FALSE),0)</f>
        <v>3848980803.1642323</v>
      </c>
      <c r="AH942" s="246">
        <f>IFERROR(VLOOKUP(F942,PROGRAMAS[],3,FALSE),0)</f>
        <v>3394901471.387517</v>
      </c>
      <c r="AI942" s="246">
        <f>IFERROR(VLOOKUP(G942,PROGRAMAS[],3,FALSE),0)</f>
        <v>6129902208.7912121</v>
      </c>
      <c r="AJ942" s="246">
        <f>IFERROR(VLOOKUP(H942,PROGRAMAS[],3,FALSE),0)</f>
        <v>4099471734.9978786</v>
      </c>
      <c r="AK942" s="246">
        <f>IFERROR(VLOOKUP(I942,PROGRAMAS[],3,FALSE),0)</f>
        <v>675517840.109828</v>
      </c>
      <c r="AL942" s="246">
        <f>IFERROR(VLOOKUP(J942,PROGRAMAS[],3,FALSE),0)</f>
        <v>118617452.52510804</v>
      </c>
      <c r="AM942" s="246">
        <f>IFERROR(VLOOKUP(K942,PROGRAMAS[],3,FALSE),0)</f>
        <v>948595847.09039903</v>
      </c>
      <c r="AN942" s="246">
        <f>IFERROR(VLOOKUP(L942,PROGRAMAS[],3,FALSE),0)</f>
        <v>0</v>
      </c>
      <c r="AO942" s="246">
        <f>IFERROR(VLOOKUP(M942,PROGRAMAS[],3,FALSE),0)</f>
        <v>0</v>
      </c>
      <c r="AP942" s="246">
        <f>IFERROR(VLOOKUP(N942,PROGRAMAS[],3,FALSE),0)</f>
        <v>0</v>
      </c>
      <c r="AQ942" s="246">
        <f>IFERROR(VLOOKUP(O942,PROGRAMAS[],3,FALSE),0)</f>
        <v>0</v>
      </c>
      <c r="AR942" s="246">
        <f>IFERROR(VLOOKUP(P942,PROGRAMAS[],3,FALSE),0)</f>
        <v>0</v>
      </c>
      <c r="AS942" s="246">
        <f>IFERROR(VLOOKUP(Q942,PROGRAMAS[],3,FALSE),0)</f>
        <v>0</v>
      </c>
      <c r="AT942" s="246">
        <f>IFERROR(VLOOKUP(D942,VOL_REC[],2,FALSE),0)</f>
        <v>0</v>
      </c>
      <c r="AU942" s="246">
        <f>IFERROR(VLOOKUP(E942,VOL_REC[],2,FALSE),0)</f>
        <v>0</v>
      </c>
      <c r="AV942" s="246">
        <f>IFERROR(VLOOKUP(F942,VOL_REC[],2,FALSE),0)</f>
        <v>11089674.200000001</v>
      </c>
      <c r="AW942" s="246">
        <f>IFERROR(VLOOKUP(G942,VOL_REC[],2,FALSE),0)</f>
        <v>15540036.397699751</v>
      </c>
      <c r="AX942" s="246">
        <f>IFERROR(VLOOKUP(H942,VOL_REC[],2,FALSE),0)</f>
        <v>1812240</v>
      </c>
      <c r="AY942" s="246">
        <f>IFERROR(VLOOKUP(I942,VOL_REC[],2,FALSE),0)</f>
        <v>240696.79238099116</v>
      </c>
      <c r="AZ942" s="246">
        <f>IFERROR(VLOOKUP(J942,VOL_REC[],2,FALSE),0)</f>
        <v>105072</v>
      </c>
      <c r="BA942" s="246">
        <f>IFERROR(VLOOKUP(K942,VOL_REC[],2,FALSE),0)</f>
        <v>740113.98115702497</v>
      </c>
      <c r="BB942" s="246">
        <f>IFERROR(VLOOKUP(L942,VOL_REC[],2,FALSE),0)</f>
        <v>0</v>
      </c>
      <c r="BC942" s="246">
        <f>IFERROR(VLOOKUP(M942,VOL_REC[],2,FALSE),0)</f>
        <v>0</v>
      </c>
      <c r="BD942" s="246">
        <f>IFERROR(VLOOKUP(N942,VOL_REC[],2,FALSE),0)</f>
        <v>0</v>
      </c>
      <c r="BE942" s="246">
        <f>IFERROR(VLOOKUP(O942,VOL_REC[],2,FALSE),0)</f>
        <v>0</v>
      </c>
      <c r="BF942" s="246">
        <f>IFERROR(VLOOKUP(P942,VOL_REC[],2,FALSE),0)</f>
        <v>0</v>
      </c>
      <c r="BG942" s="246">
        <f>IFERROR(VLOOKUP(Q942,VOL_REC[],2,FALSE),0)</f>
        <v>0</v>
      </c>
      <c r="BH942" s="1710">
        <f t="shared" si="56"/>
        <v>18122566447.51754</v>
      </c>
      <c r="BI942" s="1710">
        <f t="shared" si="57"/>
        <v>20057875987.37698</v>
      </c>
      <c r="BJ942" s="1711">
        <f t="shared" si="58"/>
        <v>29527833.37123777</v>
      </c>
      <c r="BK942" s="1711">
        <f t="shared" si="59"/>
        <v>0.9035137349000768</v>
      </c>
    </row>
    <row r="943" spans="3:67" x14ac:dyDescent="0.25">
      <c r="C943" s="246" t="s">
        <v>2293</v>
      </c>
      <c r="D943" s="246">
        <v>1</v>
      </c>
      <c r="E943" s="246">
        <v>2</v>
      </c>
      <c r="F943" s="246">
        <v>3</v>
      </c>
      <c r="G943" s="246">
        <v>6</v>
      </c>
      <c r="H943" s="246">
        <v>10</v>
      </c>
      <c r="I943" s="246">
        <v>12</v>
      </c>
      <c r="J943" s="246">
        <v>16</v>
      </c>
      <c r="K943" s="246">
        <v>17</v>
      </c>
      <c r="L943" s="246"/>
      <c r="M943" s="246"/>
      <c r="N943" s="246"/>
      <c r="O943" s="246"/>
      <c r="P943" s="246"/>
      <c r="Q943" s="246"/>
      <c r="R943" s="246">
        <f>IFERROR(VLOOKUP(D943,PROGRAMAS[],2,FALSE),0)</f>
        <v>97037803.679377079</v>
      </c>
      <c r="S943" s="246">
        <f>IFERROR(VLOOKUP(E943,PROGRAMAS[],2,FALSE),0)</f>
        <v>640501509.6821388</v>
      </c>
      <c r="T943" s="246">
        <f>IFERROR(VLOOKUP(F943,PROGRAMAS[],2,FALSE),0)</f>
        <v>3062327798.1525245</v>
      </c>
      <c r="U943" s="246">
        <f>IFERROR(VLOOKUP(G943,PROGRAMAS[],2,FALSE),0)</f>
        <v>6907648435.8447599</v>
      </c>
      <c r="V943" s="246">
        <f>IFERROR(VLOOKUP(H943,PROGRAMAS[],2,FALSE),0)</f>
        <v>4635315027.8751087</v>
      </c>
      <c r="W943" s="246">
        <f>IFERROR(VLOOKUP(I943,PROGRAMAS[],2,FALSE),0)</f>
        <v>764796700.79905891</v>
      </c>
      <c r="X943" s="246">
        <f>IFERROR(VLOOKUP(J943,PROGRAMAS[],2,FALSE),0)</f>
        <v>7068496961.0436354</v>
      </c>
      <c r="Y943" s="246">
        <f>IFERROR(VLOOKUP(K943,PROGRAMAS[],2,FALSE),0)</f>
        <v>1892779498.5211046</v>
      </c>
      <c r="Z943" s="246">
        <f>IFERROR(VLOOKUP(L943,PROGRAMAS[],2,FALSE),0)</f>
        <v>0</v>
      </c>
      <c r="AA943" s="246">
        <f>IFERROR(VLOOKUP(M943,PROGRAMAS[],2,FALSE),0)</f>
        <v>0</v>
      </c>
      <c r="AB943" s="246">
        <f>IFERROR(VLOOKUP(N943,PROGRAMAS[],2,FALSE),0)</f>
        <v>0</v>
      </c>
      <c r="AC943" s="246">
        <f>IFERROR(VLOOKUP(O943,PROGRAMAS[],2,FALSE),0)</f>
        <v>0</v>
      </c>
      <c r="AD943" s="246">
        <f>IFERROR(VLOOKUP(P943,PROGRAMAS[],2,FALSE),0)</f>
        <v>0</v>
      </c>
      <c r="AE943" s="246">
        <f>IFERROR(VLOOKUP(Q943,PROGRAMAS[],2,FALSE),0)</f>
        <v>0</v>
      </c>
      <c r="AF943" s="246">
        <f>IFERROR(VLOOKUP(D943,PROGRAMAS[],3,FALSE),0)</f>
        <v>841888629.31080008</v>
      </c>
      <c r="AG943" s="246">
        <f>IFERROR(VLOOKUP(E943,PROGRAMAS[],3,FALSE),0)</f>
        <v>3848980803.1642323</v>
      </c>
      <c r="AH943" s="246">
        <f>IFERROR(VLOOKUP(F943,PROGRAMAS[],3,FALSE),0)</f>
        <v>3394901471.387517</v>
      </c>
      <c r="AI943" s="246">
        <f>IFERROR(VLOOKUP(G943,PROGRAMAS[],3,FALSE),0)</f>
        <v>6129902208.7912121</v>
      </c>
      <c r="AJ943" s="246">
        <f>IFERROR(VLOOKUP(H943,PROGRAMAS[],3,FALSE),0)</f>
        <v>4099471734.9978786</v>
      </c>
      <c r="AK943" s="246">
        <f>IFERROR(VLOOKUP(I943,PROGRAMAS[],3,FALSE),0)</f>
        <v>675517840.109828</v>
      </c>
      <c r="AL943" s="246">
        <f>IFERROR(VLOOKUP(J943,PROGRAMAS[],3,FALSE),0)</f>
        <v>2406564599.0319901</v>
      </c>
      <c r="AM943" s="246">
        <f>IFERROR(VLOOKUP(K943,PROGRAMAS[],3,FALSE),0)</f>
        <v>948595847.09039903</v>
      </c>
      <c r="AN943" s="246">
        <f>IFERROR(VLOOKUP(L943,PROGRAMAS[],3,FALSE),0)</f>
        <v>0</v>
      </c>
      <c r="AO943" s="246">
        <f>IFERROR(VLOOKUP(M943,PROGRAMAS[],3,FALSE),0)</f>
        <v>0</v>
      </c>
      <c r="AP943" s="246">
        <f>IFERROR(VLOOKUP(N943,PROGRAMAS[],3,FALSE),0)</f>
        <v>0</v>
      </c>
      <c r="AQ943" s="246">
        <f>IFERROR(VLOOKUP(O943,PROGRAMAS[],3,FALSE),0)</f>
        <v>0</v>
      </c>
      <c r="AR943" s="246">
        <f>IFERROR(VLOOKUP(P943,PROGRAMAS[],3,FALSE),0)</f>
        <v>0</v>
      </c>
      <c r="AS943" s="246">
        <f>IFERROR(VLOOKUP(Q943,PROGRAMAS[],3,FALSE),0)</f>
        <v>0</v>
      </c>
      <c r="AT943" s="246">
        <f>IFERROR(VLOOKUP(D943,VOL_REC[],2,FALSE),0)</f>
        <v>0</v>
      </c>
      <c r="AU943" s="246">
        <f>IFERROR(VLOOKUP(E943,VOL_REC[],2,FALSE),0)</f>
        <v>0</v>
      </c>
      <c r="AV943" s="246">
        <f>IFERROR(VLOOKUP(F943,VOL_REC[],2,FALSE),0)</f>
        <v>11089674.200000001</v>
      </c>
      <c r="AW943" s="246">
        <f>IFERROR(VLOOKUP(G943,VOL_REC[],2,FALSE),0)</f>
        <v>15540036.397699751</v>
      </c>
      <c r="AX943" s="246">
        <f>IFERROR(VLOOKUP(H943,VOL_REC[],2,FALSE),0)</f>
        <v>1812240</v>
      </c>
      <c r="AY943" s="246">
        <f>IFERROR(VLOOKUP(I943,VOL_REC[],2,FALSE),0)</f>
        <v>240696.79238099116</v>
      </c>
      <c r="AZ943" s="246">
        <f>IFERROR(VLOOKUP(J943,VOL_REC[],2,FALSE),0)</f>
        <v>1072354.9981737854</v>
      </c>
      <c r="BA943" s="246">
        <f>IFERROR(VLOOKUP(K943,VOL_REC[],2,FALSE),0)</f>
        <v>740113.98115702497</v>
      </c>
      <c r="BB943" s="246">
        <f>IFERROR(VLOOKUP(L943,VOL_REC[],2,FALSE),0)</f>
        <v>0</v>
      </c>
      <c r="BC943" s="246">
        <f>IFERROR(VLOOKUP(M943,VOL_REC[],2,FALSE),0)</f>
        <v>0</v>
      </c>
      <c r="BD943" s="246">
        <f>IFERROR(VLOOKUP(N943,VOL_REC[],2,FALSE),0)</f>
        <v>0</v>
      </c>
      <c r="BE943" s="246">
        <f>IFERROR(VLOOKUP(O943,VOL_REC[],2,FALSE),0)</f>
        <v>0</v>
      </c>
      <c r="BF943" s="246">
        <f>IFERROR(VLOOKUP(P943,VOL_REC[],2,FALSE),0)</f>
        <v>0</v>
      </c>
      <c r="BG943" s="246">
        <f>IFERROR(VLOOKUP(Q943,VOL_REC[],2,FALSE),0)</f>
        <v>0</v>
      </c>
      <c r="BH943" s="1710">
        <f t="shared" si="56"/>
        <v>25068903735.597706</v>
      </c>
      <c r="BI943" s="1710">
        <f t="shared" si="57"/>
        <v>22345823133.883862</v>
      </c>
      <c r="BJ943" s="1711">
        <f t="shared" si="58"/>
        <v>30495116.369411554</v>
      </c>
      <c r="BK943" s="1711">
        <f t="shared" si="59"/>
        <v>1.1218608321295056</v>
      </c>
      <c r="BL943">
        <f>BJ943</f>
        <v>30495116.369411554</v>
      </c>
      <c r="BO943">
        <f>BL943</f>
        <v>30495116.369411554</v>
      </c>
    </row>
    <row r="944" spans="3:67" x14ac:dyDescent="0.25">
      <c r="C944" s="246" t="s">
        <v>2294</v>
      </c>
      <c r="D944" s="246">
        <v>1</v>
      </c>
      <c r="E944" s="246">
        <v>2</v>
      </c>
      <c r="F944" s="246">
        <v>3</v>
      </c>
      <c r="G944" s="246">
        <v>6</v>
      </c>
      <c r="H944" s="246">
        <v>10</v>
      </c>
      <c r="I944" s="246">
        <v>13</v>
      </c>
      <c r="J944" s="246">
        <v>14</v>
      </c>
      <c r="K944" s="246">
        <v>15</v>
      </c>
      <c r="L944" s="246"/>
      <c r="M944" s="246"/>
      <c r="N944" s="246"/>
      <c r="O944" s="246"/>
      <c r="P944" s="246"/>
      <c r="Q944" s="246"/>
      <c r="R944" s="246">
        <f>IFERROR(VLOOKUP(D944,PROGRAMAS[],2,FALSE),0)</f>
        <v>97037803.679377079</v>
      </c>
      <c r="S944" s="246">
        <f>IFERROR(VLOOKUP(E944,PROGRAMAS[],2,FALSE),0)</f>
        <v>640501509.6821388</v>
      </c>
      <c r="T944" s="246">
        <f>IFERROR(VLOOKUP(F944,PROGRAMAS[],2,FALSE),0)</f>
        <v>3062327798.1525245</v>
      </c>
      <c r="U944" s="246">
        <f>IFERROR(VLOOKUP(G944,PROGRAMAS[],2,FALSE),0)</f>
        <v>6907648435.8447599</v>
      </c>
      <c r="V944" s="246">
        <f>IFERROR(VLOOKUP(H944,PROGRAMAS[],2,FALSE),0)</f>
        <v>4635315027.8751087</v>
      </c>
      <c r="W944" s="246">
        <f>IFERROR(VLOOKUP(I944,PROGRAMAS[],2,FALSE),0)</f>
        <v>3776538594.4604583</v>
      </c>
      <c r="X944" s="246">
        <f>IFERROR(VLOOKUP(J944,PROGRAMAS[],2,FALSE),0)</f>
        <v>54223862.645839565</v>
      </c>
      <c r="Y944" s="246">
        <f>IFERROR(VLOOKUP(K944,PROGRAMAS[],2,FALSE),0)</f>
        <v>122159672.96346797</v>
      </c>
      <c r="Z944" s="246">
        <f>IFERROR(VLOOKUP(L944,PROGRAMAS[],2,FALSE),0)</f>
        <v>0</v>
      </c>
      <c r="AA944" s="246">
        <f>IFERROR(VLOOKUP(M944,PROGRAMAS[],2,FALSE),0)</f>
        <v>0</v>
      </c>
      <c r="AB944" s="246">
        <f>IFERROR(VLOOKUP(N944,PROGRAMAS[],2,FALSE),0)</f>
        <v>0</v>
      </c>
      <c r="AC944" s="246">
        <f>IFERROR(VLOOKUP(O944,PROGRAMAS[],2,FALSE),0)</f>
        <v>0</v>
      </c>
      <c r="AD944" s="246">
        <f>IFERROR(VLOOKUP(P944,PROGRAMAS[],2,FALSE),0)</f>
        <v>0</v>
      </c>
      <c r="AE944" s="246">
        <f>IFERROR(VLOOKUP(Q944,PROGRAMAS[],2,FALSE),0)</f>
        <v>0</v>
      </c>
      <c r="AF944" s="246">
        <f>IFERROR(VLOOKUP(D944,PROGRAMAS[],3,FALSE),0)</f>
        <v>841888629.31080008</v>
      </c>
      <c r="AG944" s="246">
        <f>IFERROR(VLOOKUP(E944,PROGRAMAS[],3,FALSE),0)</f>
        <v>3848980803.1642323</v>
      </c>
      <c r="AH944" s="246">
        <f>IFERROR(VLOOKUP(F944,PROGRAMAS[],3,FALSE),0)</f>
        <v>3394901471.387517</v>
      </c>
      <c r="AI944" s="246">
        <f>IFERROR(VLOOKUP(G944,PROGRAMAS[],3,FALSE),0)</f>
        <v>6129902208.7912121</v>
      </c>
      <c r="AJ944" s="246">
        <f>IFERROR(VLOOKUP(H944,PROGRAMAS[],3,FALSE),0)</f>
        <v>4099471734.9978786</v>
      </c>
      <c r="AK944" s="246">
        <f>IFERROR(VLOOKUP(I944,PROGRAMAS[],3,FALSE),0)</f>
        <v>2392571243.5584412</v>
      </c>
      <c r="AL944" s="246">
        <f>IFERROR(VLOOKUP(J944,PROGRAMAS[],3,FALSE),0)</f>
        <v>31865326.38096505</v>
      </c>
      <c r="AM944" s="246">
        <f>IFERROR(VLOOKUP(K944,PROGRAMAS[],3,FALSE),0)</f>
        <v>118617452.52510804</v>
      </c>
      <c r="AN944" s="246">
        <f>IFERROR(VLOOKUP(L944,PROGRAMAS[],3,FALSE),0)</f>
        <v>0</v>
      </c>
      <c r="AO944" s="246">
        <f>IFERROR(VLOOKUP(M944,PROGRAMAS[],3,FALSE),0)</f>
        <v>0</v>
      </c>
      <c r="AP944" s="246">
        <f>IFERROR(VLOOKUP(N944,PROGRAMAS[],3,FALSE),0)</f>
        <v>0</v>
      </c>
      <c r="AQ944" s="246">
        <f>IFERROR(VLOOKUP(O944,PROGRAMAS[],3,FALSE),0)</f>
        <v>0</v>
      </c>
      <c r="AR944" s="246">
        <f>IFERROR(VLOOKUP(P944,PROGRAMAS[],3,FALSE),0)</f>
        <v>0</v>
      </c>
      <c r="AS944" s="246">
        <f>IFERROR(VLOOKUP(Q944,PROGRAMAS[],3,FALSE),0)</f>
        <v>0</v>
      </c>
      <c r="AT944" s="246">
        <f>IFERROR(VLOOKUP(D944,VOL_REC[],2,FALSE),0)</f>
        <v>0</v>
      </c>
      <c r="AU944" s="246">
        <f>IFERROR(VLOOKUP(E944,VOL_REC[],2,FALSE),0)</f>
        <v>0</v>
      </c>
      <c r="AV944" s="246">
        <f>IFERROR(VLOOKUP(F944,VOL_REC[],2,FALSE),0)</f>
        <v>11089674.200000001</v>
      </c>
      <c r="AW944" s="246">
        <f>IFERROR(VLOOKUP(G944,VOL_REC[],2,FALSE),0)</f>
        <v>15540036.397699751</v>
      </c>
      <c r="AX944" s="246">
        <f>IFERROR(VLOOKUP(H944,VOL_REC[],2,FALSE),0)</f>
        <v>1812240</v>
      </c>
      <c r="AY944" s="246">
        <f>IFERROR(VLOOKUP(I944,VOL_REC[],2,FALSE),0)</f>
        <v>663244.80000000016</v>
      </c>
      <c r="AZ944" s="246">
        <f>IFERROR(VLOOKUP(J944,VOL_REC[],2,FALSE),0)</f>
        <v>17074.045034105649</v>
      </c>
      <c r="BA944" s="246">
        <f>IFERROR(VLOOKUP(K944,VOL_REC[],2,FALSE),0)</f>
        <v>105072</v>
      </c>
      <c r="BB944" s="246">
        <f>IFERROR(VLOOKUP(L944,VOL_REC[],2,FALSE),0)</f>
        <v>0</v>
      </c>
      <c r="BC944" s="246">
        <f>IFERROR(VLOOKUP(M944,VOL_REC[],2,FALSE),0)</f>
        <v>0</v>
      </c>
      <c r="BD944" s="246">
        <f>IFERROR(VLOOKUP(N944,VOL_REC[],2,FALSE),0)</f>
        <v>0</v>
      </c>
      <c r="BE944" s="246">
        <f>IFERROR(VLOOKUP(O944,VOL_REC[],2,FALSE),0)</f>
        <v>0</v>
      </c>
      <c r="BF944" s="246">
        <f>IFERROR(VLOOKUP(P944,VOL_REC[],2,FALSE),0)</f>
        <v>0</v>
      </c>
      <c r="BG944" s="246">
        <f>IFERROR(VLOOKUP(Q944,VOL_REC[],2,FALSE),0)</f>
        <v>0</v>
      </c>
      <c r="BH944" s="1710">
        <f t="shared" si="56"/>
        <v>19295752705.303673</v>
      </c>
      <c r="BI944" s="1710">
        <f t="shared" si="57"/>
        <v>20858198870.116158</v>
      </c>
      <c r="BJ944" s="1711">
        <f t="shared" si="58"/>
        <v>29227341.442733862</v>
      </c>
      <c r="BK944" s="1711">
        <f t="shared" si="59"/>
        <v>0.92509199022687316</v>
      </c>
    </row>
    <row r="945" spans="3:67" x14ac:dyDescent="0.25">
      <c r="C945" s="246" t="s">
        <v>2295</v>
      </c>
      <c r="D945" s="246">
        <v>1</v>
      </c>
      <c r="E945" s="246">
        <v>2</v>
      </c>
      <c r="F945" s="246">
        <v>3</v>
      </c>
      <c r="G945" s="246">
        <v>6</v>
      </c>
      <c r="H945" s="246">
        <v>10</v>
      </c>
      <c r="I945" s="246">
        <v>13</v>
      </c>
      <c r="J945" s="246">
        <v>14</v>
      </c>
      <c r="K945" s="246">
        <v>16</v>
      </c>
      <c r="L945" s="246"/>
      <c r="M945" s="246"/>
      <c r="N945" s="246"/>
      <c r="O945" s="246"/>
      <c r="P945" s="246"/>
      <c r="Q945" s="246"/>
      <c r="R945" s="246">
        <f>IFERROR(VLOOKUP(D945,PROGRAMAS[],2,FALSE),0)</f>
        <v>97037803.679377079</v>
      </c>
      <c r="S945" s="246">
        <f>IFERROR(VLOOKUP(E945,PROGRAMAS[],2,FALSE),0)</f>
        <v>640501509.6821388</v>
      </c>
      <c r="T945" s="246">
        <f>IFERROR(VLOOKUP(F945,PROGRAMAS[],2,FALSE),0)</f>
        <v>3062327798.1525245</v>
      </c>
      <c r="U945" s="246">
        <f>IFERROR(VLOOKUP(G945,PROGRAMAS[],2,FALSE),0)</f>
        <v>6907648435.8447599</v>
      </c>
      <c r="V945" s="246">
        <f>IFERROR(VLOOKUP(H945,PROGRAMAS[],2,FALSE),0)</f>
        <v>4635315027.8751087</v>
      </c>
      <c r="W945" s="246">
        <f>IFERROR(VLOOKUP(I945,PROGRAMAS[],2,FALSE),0)</f>
        <v>3776538594.4604583</v>
      </c>
      <c r="X945" s="246">
        <f>IFERROR(VLOOKUP(J945,PROGRAMAS[],2,FALSE),0)</f>
        <v>54223862.645839565</v>
      </c>
      <c r="Y945" s="246">
        <f>IFERROR(VLOOKUP(K945,PROGRAMAS[],2,FALSE),0)</f>
        <v>7068496961.0436354</v>
      </c>
      <c r="Z945" s="246">
        <f>IFERROR(VLOOKUP(L945,PROGRAMAS[],2,FALSE),0)</f>
        <v>0</v>
      </c>
      <c r="AA945" s="246">
        <f>IFERROR(VLOOKUP(M945,PROGRAMAS[],2,FALSE),0)</f>
        <v>0</v>
      </c>
      <c r="AB945" s="246">
        <f>IFERROR(VLOOKUP(N945,PROGRAMAS[],2,FALSE),0)</f>
        <v>0</v>
      </c>
      <c r="AC945" s="246">
        <f>IFERROR(VLOOKUP(O945,PROGRAMAS[],2,FALSE),0)</f>
        <v>0</v>
      </c>
      <c r="AD945" s="246">
        <f>IFERROR(VLOOKUP(P945,PROGRAMAS[],2,FALSE),0)</f>
        <v>0</v>
      </c>
      <c r="AE945" s="246">
        <f>IFERROR(VLOOKUP(Q945,PROGRAMAS[],2,FALSE),0)</f>
        <v>0</v>
      </c>
      <c r="AF945" s="246">
        <f>IFERROR(VLOOKUP(D945,PROGRAMAS[],3,FALSE),0)</f>
        <v>841888629.31080008</v>
      </c>
      <c r="AG945" s="246">
        <f>IFERROR(VLOOKUP(E945,PROGRAMAS[],3,FALSE),0)</f>
        <v>3848980803.1642323</v>
      </c>
      <c r="AH945" s="246">
        <f>IFERROR(VLOOKUP(F945,PROGRAMAS[],3,FALSE),0)</f>
        <v>3394901471.387517</v>
      </c>
      <c r="AI945" s="246">
        <f>IFERROR(VLOOKUP(G945,PROGRAMAS[],3,FALSE),0)</f>
        <v>6129902208.7912121</v>
      </c>
      <c r="AJ945" s="246">
        <f>IFERROR(VLOOKUP(H945,PROGRAMAS[],3,FALSE),0)</f>
        <v>4099471734.9978786</v>
      </c>
      <c r="AK945" s="246">
        <f>IFERROR(VLOOKUP(I945,PROGRAMAS[],3,FALSE),0)</f>
        <v>2392571243.5584412</v>
      </c>
      <c r="AL945" s="246">
        <f>IFERROR(VLOOKUP(J945,PROGRAMAS[],3,FALSE),0)</f>
        <v>31865326.38096505</v>
      </c>
      <c r="AM945" s="246">
        <f>IFERROR(VLOOKUP(K945,PROGRAMAS[],3,FALSE),0)</f>
        <v>2406564599.0319901</v>
      </c>
      <c r="AN945" s="246">
        <f>IFERROR(VLOOKUP(L945,PROGRAMAS[],3,FALSE),0)</f>
        <v>0</v>
      </c>
      <c r="AO945" s="246">
        <f>IFERROR(VLOOKUP(M945,PROGRAMAS[],3,FALSE),0)</f>
        <v>0</v>
      </c>
      <c r="AP945" s="246">
        <f>IFERROR(VLOOKUP(N945,PROGRAMAS[],3,FALSE),0)</f>
        <v>0</v>
      </c>
      <c r="AQ945" s="246">
        <f>IFERROR(VLOOKUP(O945,PROGRAMAS[],3,FALSE),0)</f>
        <v>0</v>
      </c>
      <c r="AR945" s="246">
        <f>IFERROR(VLOOKUP(P945,PROGRAMAS[],3,FALSE),0)</f>
        <v>0</v>
      </c>
      <c r="AS945" s="246">
        <f>IFERROR(VLOOKUP(Q945,PROGRAMAS[],3,FALSE),0)</f>
        <v>0</v>
      </c>
      <c r="AT945" s="246">
        <f>IFERROR(VLOOKUP(D945,VOL_REC[],2,FALSE),0)</f>
        <v>0</v>
      </c>
      <c r="AU945" s="246">
        <f>IFERROR(VLOOKUP(E945,VOL_REC[],2,FALSE),0)</f>
        <v>0</v>
      </c>
      <c r="AV945" s="246">
        <f>IFERROR(VLOOKUP(F945,VOL_REC[],2,FALSE),0)</f>
        <v>11089674.200000001</v>
      </c>
      <c r="AW945" s="246">
        <f>IFERROR(VLOOKUP(G945,VOL_REC[],2,FALSE),0)</f>
        <v>15540036.397699751</v>
      </c>
      <c r="AX945" s="246">
        <f>IFERROR(VLOOKUP(H945,VOL_REC[],2,FALSE),0)</f>
        <v>1812240</v>
      </c>
      <c r="AY945" s="246">
        <f>IFERROR(VLOOKUP(I945,VOL_REC[],2,FALSE),0)</f>
        <v>663244.80000000016</v>
      </c>
      <c r="AZ945" s="246">
        <f>IFERROR(VLOOKUP(J945,VOL_REC[],2,FALSE),0)</f>
        <v>17074.045034105649</v>
      </c>
      <c r="BA945" s="246">
        <f>IFERROR(VLOOKUP(K945,VOL_REC[],2,FALSE),0)</f>
        <v>1072354.9981737854</v>
      </c>
      <c r="BB945" s="246">
        <f>IFERROR(VLOOKUP(L945,VOL_REC[],2,FALSE),0)</f>
        <v>0</v>
      </c>
      <c r="BC945" s="246">
        <f>IFERROR(VLOOKUP(M945,VOL_REC[],2,FALSE),0)</f>
        <v>0</v>
      </c>
      <c r="BD945" s="246">
        <f>IFERROR(VLOOKUP(N945,VOL_REC[],2,FALSE),0)</f>
        <v>0</v>
      </c>
      <c r="BE945" s="246">
        <f>IFERROR(VLOOKUP(O945,VOL_REC[],2,FALSE),0)</f>
        <v>0</v>
      </c>
      <c r="BF945" s="246">
        <f>IFERROR(VLOOKUP(P945,VOL_REC[],2,FALSE),0)</f>
        <v>0</v>
      </c>
      <c r="BG945" s="246">
        <f>IFERROR(VLOOKUP(Q945,VOL_REC[],2,FALSE),0)</f>
        <v>0</v>
      </c>
      <c r="BH945" s="1710">
        <f t="shared" si="56"/>
        <v>26242089993.383842</v>
      </c>
      <c r="BI945" s="1710">
        <f t="shared" si="57"/>
        <v>23146146016.623039</v>
      </c>
      <c r="BJ945" s="1711">
        <f t="shared" si="58"/>
        <v>30194624.440907646</v>
      </c>
      <c r="BK945" s="1711">
        <f t="shared" si="59"/>
        <v>1.1337563486611277</v>
      </c>
      <c r="BL945">
        <f>BJ945</f>
        <v>30194624.440907646</v>
      </c>
      <c r="BO945">
        <f>BL945</f>
        <v>30194624.440907646</v>
      </c>
    </row>
    <row r="946" spans="3:67" x14ac:dyDescent="0.25">
      <c r="C946" s="246" t="s">
        <v>2296</v>
      </c>
      <c r="D946" s="246">
        <v>1</v>
      </c>
      <c r="E946" s="246">
        <v>2</v>
      </c>
      <c r="F946" s="246">
        <v>3</v>
      </c>
      <c r="G946" s="246">
        <v>6</v>
      </c>
      <c r="H946" s="246">
        <v>10</v>
      </c>
      <c r="I946" s="246">
        <v>13</v>
      </c>
      <c r="J946" s="246">
        <v>14</v>
      </c>
      <c r="K946" s="246">
        <v>17</v>
      </c>
      <c r="L946" s="246"/>
      <c r="M946" s="246"/>
      <c r="N946" s="246"/>
      <c r="O946" s="246"/>
      <c r="P946" s="246"/>
      <c r="Q946" s="246"/>
      <c r="R946" s="246">
        <f>IFERROR(VLOOKUP(D946,PROGRAMAS[],2,FALSE),0)</f>
        <v>97037803.679377079</v>
      </c>
      <c r="S946" s="246">
        <f>IFERROR(VLOOKUP(E946,PROGRAMAS[],2,FALSE),0)</f>
        <v>640501509.6821388</v>
      </c>
      <c r="T946" s="246">
        <f>IFERROR(VLOOKUP(F946,PROGRAMAS[],2,FALSE),0)</f>
        <v>3062327798.1525245</v>
      </c>
      <c r="U946" s="246">
        <f>IFERROR(VLOOKUP(G946,PROGRAMAS[],2,FALSE),0)</f>
        <v>6907648435.8447599</v>
      </c>
      <c r="V946" s="246">
        <f>IFERROR(VLOOKUP(H946,PROGRAMAS[],2,FALSE),0)</f>
        <v>4635315027.8751087</v>
      </c>
      <c r="W946" s="246">
        <f>IFERROR(VLOOKUP(I946,PROGRAMAS[],2,FALSE),0)</f>
        <v>3776538594.4604583</v>
      </c>
      <c r="X946" s="246">
        <f>IFERROR(VLOOKUP(J946,PROGRAMAS[],2,FALSE),0)</f>
        <v>54223862.645839565</v>
      </c>
      <c r="Y946" s="246">
        <f>IFERROR(VLOOKUP(K946,PROGRAMAS[],2,FALSE),0)</f>
        <v>1892779498.5211046</v>
      </c>
      <c r="Z946" s="246">
        <f>IFERROR(VLOOKUP(L946,PROGRAMAS[],2,FALSE),0)</f>
        <v>0</v>
      </c>
      <c r="AA946" s="246">
        <f>IFERROR(VLOOKUP(M946,PROGRAMAS[],2,FALSE),0)</f>
        <v>0</v>
      </c>
      <c r="AB946" s="246">
        <f>IFERROR(VLOOKUP(N946,PROGRAMAS[],2,FALSE),0)</f>
        <v>0</v>
      </c>
      <c r="AC946" s="246">
        <f>IFERROR(VLOOKUP(O946,PROGRAMAS[],2,FALSE),0)</f>
        <v>0</v>
      </c>
      <c r="AD946" s="246">
        <f>IFERROR(VLOOKUP(P946,PROGRAMAS[],2,FALSE),0)</f>
        <v>0</v>
      </c>
      <c r="AE946" s="246">
        <f>IFERROR(VLOOKUP(Q946,PROGRAMAS[],2,FALSE),0)</f>
        <v>0</v>
      </c>
      <c r="AF946" s="246">
        <f>IFERROR(VLOOKUP(D946,PROGRAMAS[],3,FALSE),0)</f>
        <v>841888629.31080008</v>
      </c>
      <c r="AG946" s="246">
        <f>IFERROR(VLOOKUP(E946,PROGRAMAS[],3,FALSE),0)</f>
        <v>3848980803.1642323</v>
      </c>
      <c r="AH946" s="246">
        <f>IFERROR(VLOOKUP(F946,PROGRAMAS[],3,FALSE),0)</f>
        <v>3394901471.387517</v>
      </c>
      <c r="AI946" s="246">
        <f>IFERROR(VLOOKUP(G946,PROGRAMAS[],3,FALSE),0)</f>
        <v>6129902208.7912121</v>
      </c>
      <c r="AJ946" s="246">
        <f>IFERROR(VLOOKUP(H946,PROGRAMAS[],3,FALSE),0)</f>
        <v>4099471734.9978786</v>
      </c>
      <c r="AK946" s="246">
        <f>IFERROR(VLOOKUP(I946,PROGRAMAS[],3,FALSE),0)</f>
        <v>2392571243.5584412</v>
      </c>
      <c r="AL946" s="246">
        <f>IFERROR(VLOOKUP(J946,PROGRAMAS[],3,FALSE),0)</f>
        <v>31865326.38096505</v>
      </c>
      <c r="AM946" s="246">
        <f>IFERROR(VLOOKUP(K946,PROGRAMAS[],3,FALSE),0)</f>
        <v>948595847.09039903</v>
      </c>
      <c r="AN946" s="246">
        <f>IFERROR(VLOOKUP(L946,PROGRAMAS[],3,FALSE),0)</f>
        <v>0</v>
      </c>
      <c r="AO946" s="246">
        <f>IFERROR(VLOOKUP(M946,PROGRAMAS[],3,FALSE),0)</f>
        <v>0</v>
      </c>
      <c r="AP946" s="246">
        <f>IFERROR(VLOOKUP(N946,PROGRAMAS[],3,FALSE),0)</f>
        <v>0</v>
      </c>
      <c r="AQ946" s="246">
        <f>IFERROR(VLOOKUP(O946,PROGRAMAS[],3,FALSE),0)</f>
        <v>0</v>
      </c>
      <c r="AR946" s="246">
        <f>IFERROR(VLOOKUP(P946,PROGRAMAS[],3,FALSE),0)</f>
        <v>0</v>
      </c>
      <c r="AS946" s="246">
        <f>IFERROR(VLOOKUP(Q946,PROGRAMAS[],3,FALSE),0)</f>
        <v>0</v>
      </c>
      <c r="AT946" s="246">
        <f>IFERROR(VLOOKUP(D946,VOL_REC[],2,FALSE),0)</f>
        <v>0</v>
      </c>
      <c r="AU946" s="246">
        <f>IFERROR(VLOOKUP(E946,VOL_REC[],2,FALSE),0)</f>
        <v>0</v>
      </c>
      <c r="AV946" s="246">
        <f>IFERROR(VLOOKUP(F946,VOL_REC[],2,FALSE),0)</f>
        <v>11089674.200000001</v>
      </c>
      <c r="AW946" s="246">
        <f>IFERROR(VLOOKUP(G946,VOL_REC[],2,FALSE),0)</f>
        <v>15540036.397699751</v>
      </c>
      <c r="AX946" s="246">
        <f>IFERROR(VLOOKUP(H946,VOL_REC[],2,FALSE),0)</f>
        <v>1812240</v>
      </c>
      <c r="AY946" s="246">
        <f>IFERROR(VLOOKUP(I946,VOL_REC[],2,FALSE),0)</f>
        <v>663244.80000000016</v>
      </c>
      <c r="AZ946" s="246">
        <f>IFERROR(VLOOKUP(J946,VOL_REC[],2,FALSE),0)</f>
        <v>17074.045034105649</v>
      </c>
      <c r="BA946" s="246">
        <f>IFERROR(VLOOKUP(K946,VOL_REC[],2,FALSE),0)</f>
        <v>740113.98115702497</v>
      </c>
      <c r="BB946" s="246">
        <f>IFERROR(VLOOKUP(L946,VOL_REC[],2,FALSE),0)</f>
        <v>0</v>
      </c>
      <c r="BC946" s="246">
        <f>IFERROR(VLOOKUP(M946,VOL_REC[],2,FALSE),0)</f>
        <v>0</v>
      </c>
      <c r="BD946" s="246">
        <f>IFERROR(VLOOKUP(N946,VOL_REC[],2,FALSE),0)</f>
        <v>0</v>
      </c>
      <c r="BE946" s="246">
        <f>IFERROR(VLOOKUP(O946,VOL_REC[],2,FALSE),0)</f>
        <v>0</v>
      </c>
      <c r="BF946" s="246">
        <f>IFERROR(VLOOKUP(P946,VOL_REC[],2,FALSE),0)</f>
        <v>0</v>
      </c>
      <c r="BG946" s="246">
        <f>IFERROR(VLOOKUP(Q946,VOL_REC[],2,FALSE),0)</f>
        <v>0</v>
      </c>
      <c r="BH946" s="1710">
        <f t="shared" si="56"/>
        <v>21066372530.861309</v>
      </c>
      <c r="BI946" s="1710">
        <f t="shared" si="57"/>
        <v>21688177264.68145</v>
      </c>
      <c r="BJ946" s="1711">
        <f t="shared" si="58"/>
        <v>29862383.423890885</v>
      </c>
      <c r="BK946" s="1711">
        <f t="shared" si="59"/>
        <v>0.97132978367745404</v>
      </c>
    </row>
    <row r="947" spans="3:67" x14ac:dyDescent="0.25">
      <c r="C947" s="246" t="s">
        <v>2297</v>
      </c>
      <c r="D947" s="246">
        <v>1</v>
      </c>
      <c r="E947" s="246">
        <v>2</v>
      </c>
      <c r="F947" s="246">
        <v>3</v>
      </c>
      <c r="G947" s="246">
        <v>6</v>
      </c>
      <c r="H947" s="246">
        <v>10</v>
      </c>
      <c r="I947" s="246">
        <v>13</v>
      </c>
      <c r="J947" s="246">
        <v>15</v>
      </c>
      <c r="K947" s="246">
        <v>16</v>
      </c>
      <c r="L947" s="246"/>
      <c r="M947" s="246"/>
      <c r="N947" s="246"/>
      <c r="O947" s="246"/>
      <c r="P947" s="246"/>
      <c r="Q947" s="246"/>
      <c r="R947" s="246">
        <f>IFERROR(VLOOKUP(D947,PROGRAMAS[],2,FALSE),0)</f>
        <v>97037803.679377079</v>
      </c>
      <c r="S947" s="246">
        <f>IFERROR(VLOOKUP(E947,PROGRAMAS[],2,FALSE),0)</f>
        <v>640501509.6821388</v>
      </c>
      <c r="T947" s="246">
        <f>IFERROR(VLOOKUP(F947,PROGRAMAS[],2,FALSE),0)</f>
        <v>3062327798.1525245</v>
      </c>
      <c r="U947" s="246">
        <f>IFERROR(VLOOKUP(G947,PROGRAMAS[],2,FALSE),0)</f>
        <v>6907648435.8447599</v>
      </c>
      <c r="V947" s="246">
        <f>IFERROR(VLOOKUP(H947,PROGRAMAS[],2,FALSE),0)</f>
        <v>4635315027.8751087</v>
      </c>
      <c r="W947" s="246">
        <f>IFERROR(VLOOKUP(I947,PROGRAMAS[],2,FALSE),0)</f>
        <v>3776538594.4604583</v>
      </c>
      <c r="X947" s="246">
        <f>IFERROR(VLOOKUP(J947,PROGRAMAS[],2,FALSE),0)</f>
        <v>122159672.96346797</v>
      </c>
      <c r="Y947" s="246">
        <f>IFERROR(VLOOKUP(K947,PROGRAMAS[],2,FALSE),0)</f>
        <v>7068496961.0436354</v>
      </c>
      <c r="Z947" s="246">
        <f>IFERROR(VLOOKUP(L947,PROGRAMAS[],2,FALSE),0)</f>
        <v>0</v>
      </c>
      <c r="AA947" s="246">
        <f>IFERROR(VLOOKUP(M947,PROGRAMAS[],2,FALSE),0)</f>
        <v>0</v>
      </c>
      <c r="AB947" s="246">
        <f>IFERROR(VLOOKUP(N947,PROGRAMAS[],2,FALSE),0)</f>
        <v>0</v>
      </c>
      <c r="AC947" s="246">
        <f>IFERROR(VLOOKUP(O947,PROGRAMAS[],2,FALSE),0)</f>
        <v>0</v>
      </c>
      <c r="AD947" s="246">
        <f>IFERROR(VLOOKUP(P947,PROGRAMAS[],2,FALSE),0)</f>
        <v>0</v>
      </c>
      <c r="AE947" s="246">
        <f>IFERROR(VLOOKUP(Q947,PROGRAMAS[],2,FALSE),0)</f>
        <v>0</v>
      </c>
      <c r="AF947" s="246">
        <f>IFERROR(VLOOKUP(D947,PROGRAMAS[],3,FALSE),0)</f>
        <v>841888629.31080008</v>
      </c>
      <c r="AG947" s="246">
        <f>IFERROR(VLOOKUP(E947,PROGRAMAS[],3,FALSE),0)</f>
        <v>3848980803.1642323</v>
      </c>
      <c r="AH947" s="246">
        <f>IFERROR(VLOOKUP(F947,PROGRAMAS[],3,FALSE),0)</f>
        <v>3394901471.387517</v>
      </c>
      <c r="AI947" s="246">
        <f>IFERROR(VLOOKUP(G947,PROGRAMAS[],3,FALSE),0)</f>
        <v>6129902208.7912121</v>
      </c>
      <c r="AJ947" s="246">
        <f>IFERROR(VLOOKUP(H947,PROGRAMAS[],3,FALSE),0)</f>
        <v>4099471734.9978786</v>
      </c>
      <c r="AK947" s="246">
        <f>IFERROR(VLOOKUP(I947,PROGRAMAS[],3,FALSE),0)</f>
        <v>2392571243.5584412</v>
      </c>
      <c r="AL947" s="246">
        <f>IFERROR(VLOOKUP(J947,PROGRAMAS[],3,FALSE),0)</f>
        <v>118617452.52510804</v>
      </c>
      <c r="AM947" s="246">
        <f>IFERROR(VLOOKUP(K947,PROGRAMAS[],3,FALSE),0)</f>
        <v>2406564599.0319901</v>
      </c>
      <c r="AN947" s="246">
        <f>IFERROR(VLOOKUP(L947,PROGRAMAS[],3,FALSE),0)</f>
        <v>0</v>
      </c>
      <c r="AO947" s="246">
        <f>IFERROR(VLOOKUP(M947,PROGRAMAS[],3,FALSE),0)</f>
        <v>0</v>
      </c>
      <c r="AP947" s="246">
        <f>IFERROR(VLOOKUP(N947,PROGRAMAS[],3,FALSE),0)</f>
        <v>0</v>
      </c>
      <c r="AQ947" s="246">
        <f>IFERROR(VLOOKUP(O947,PROGRAMAS[],3,FALSE),0)</f>
        <v>0</v>
      </c>
      <c r="AR947" s="246">
        <f>IFERROR(VLOOKUP(P947,PROGRAMAS[],3,FALSE),0)</f>
        <v>0</v>
      </c>
      <c r="AS947" s="246">
        <f>IFERROR(VLOOKUP(Q947,PROGRAMAS[],3,FALSE),0)</f>
        <v>0</v>
      </c>
      <c r="AT947" s="246">
        <f>IFERROR(VLOOKUP(D947,VOL_REC[],2,FALSE),0)</f>
        <v>0</v>
      </c>
      <c r="AU947" s="246">
        <f>IFERROR(VLOOKUP(E947,VOL_REC[],2,FALSE),0)</f>
        <v>0</v>
      </c>
      <c r="AV947" s="246">
        <f>IFERROR(VLOOKUP(F947,VOL_REC[],2,FALSE),0)</f>
        <v>11089674.200000001</v>
      </c>
      <c r="AW947" s="246">
        <f>IFERROR(VLOOKUP(G947,VOL_REC[],2,FALSE),0)</f>
        <v>15540036.397699751</v>
      </c>
      <c r="AX947" s="246">
        <f>IFERROR(VLOOKUP(H947,VOL_REC[],2,FALSE),0)</f>
        <v>1812240</v>
      </c>
      <c r="AY947" s="246">
        <f>IFERROR(VLOOKUP(I947,VOL_REC[],2,FALSE),0)</f>
        <v>663244.80000000016</v>
      </c>
      <c r="AZ947" s="246">
        <f>IFERROR(VLOOKUP(J947,VOL_REC[],2,FALSE),0)</f>
        <v>105072</v>
      </c>
      <c r="BA947" s="246">
        <f>IFERROR(VLOOKUP(K947,VOL_REC[],2,FALSE),0)</f>
        <v>1072354.9981737854</v>
      </c>
      <c r="BB947" s="246">
        <f>IFERROR(VLOOKUP(L947,VOL_REC[],2,FALSE),0)</f>
        <v>0</v>
      </c>
      <c r="BC947" s="246">
        <f>IFERROR(VLOOKUP(M947,VOL_REC[],2,FALSE),0)</f>
        <v>0</v>
      </c>
      <c r="BD947" s="246">
        <f>IFERROR(VLOOKUP(N947,VOL_REC[],2,FALSE),0)</f>
        <v>0</v>
      </c>
      <c r="BE947" s="246">
        <f>IFERROR(VLOOKUP(O947,VOL_REC[],2,FALSE),0)</f>
        <v>0</v>
      </c>
      <c r="BF947" s="246">
        <f>IFERROR(VLOOKUP(P947,VOL_REC[],2,FALSE),0)</f>
        <v>0</v>
      </c>
      <c r="BG947" s="246">
        <f>IFERROR(VLOOKUP(Q947,VOL_REC[],2,FALSE),0)</f>
        <v>0</v>
      </c>
      <c r="BH947" s="1710">
        <f t="shared" si="56"/>
        <v>26310025803.701469</v>
      </c>
      <c r="BI947" s="1710">
        <f t="shared" si="57"/>
        <v>23232898142.767181</v>
      </c>
      <c r="BJ947" s="1711">
        <f t="shared" si="58"/>
        <v>30282622.395873539</v>
      </c>
      <c r="BK947" s="1711">
        <f t="shared" si="59"/>
        <v>1.132447000026652</v>
      </c>
      <c r="BL947">
        <f>BJ947</f>
        <v>30282622.395873539</v>
      </c>
      <c r="BO947">
        <f>BL947</f>
        <v>30282622.395873539</v>
      </c>
    </row>
    <row r="948" spans="3:67" x14ac:dyDescent="0.25">
      <c r="C948" s="246" t="s">
        <v>2298</v>
      </c>
      <c r="D948" s="246">
        <v>1</v>
      </c>
      <c r="E948" s="246">
        <v>2</v>
      </c>
      <c r="F948" s="246">
        <v>3</v>
      </c>
      <c r="G948" s="246">
        <v>6</v>
      </c>
      <c r="H948" s="246">
        <v>10</v>
      </c>
      <c r="I948" s="246">
        <v>13</v>
      </c>
      <c r="J948" s="246">
        <v>15</v>
      </c>
      <c r="K948" s="246">
        <v>17</v>
      </c>
      <c r="L948" s="246"/>
      <c r="M948" s="246"/>
      <c r="N948" s="246"/>
      <c r="O948" s="246"/>
      <c r="P948" s="246"/>
      <c r="Q948" s="246"/>
      <c r="R948" s="246">
        <f>IFERROR(VLOOKUP(D948,PROGRAMAS[],2,FALSE),0)</f>
        <v>97037803.679377079</v>
      </c>
      <c r="S948" s="246">
        <f>IFERROR(VLOOKUP(E948,PROGRAMAS[],2,FALSE),0)</f>
        <v>640501509.6821388</v>
      </c>
      <c r="T948" s="246">
        <f>IFERROR(VLOOKUP(F948,PROGRAMAS[],2,FALSE),0)</f>
        <v>3062327798.1525245</v>
      </c>
      <c r="U948" s="246">
        <f>IFERROR(VLOOKUP(G948,PROGRAMAS[],2,FALSE),0)</f>
        <v>6907648435.8447599</v>
      </c>
      <c r="V948" s="246">
        <f>IFERROR(VLOOKUP(H948,PROGRAMAS[],2,FALSE),0)</f>
        <v>4635315027.8751087</v>
      </c>
      <c r="W948" s="246">
        <f>IFERROR(VLOOKUP(I948,PROGRAMAS[],2,FALSE),0)</f>
        <v>3776538594.4604583</v>
      </c>
      <c r="X948" s="246">
        <f>IFERROR(VLOOKUP(J948,PROGRAMAS[],2,FALSE),0)</f>
        <v>122159672.96346797</v>
      </c>
      <c r="Y948" s="246">
        <f>IFERROR(VLOOKUP(K948,PROGRAMAS[],2,FALSE),0)</f>
        <v>1892779498.5211046</v>
      </c>
      <c r="Z948" s="246">
        <f>IFERROR(VLOOKUP(L948,PROGRAMAS[],2,FALSE),0)</f>
        <v>0</v>
      </c>
      <c r="AA948" s="246">
        <f>IFERROR(VLOOKUP(M948,PROGRAMAS[],2,FALSE),0)</f>
        <v>0</v>
      </c>
      <c r="AB948" s="246">
        <f>IFERROR(VLOOKUP(N948,PROGRAMAS[],2,FALSE),0)</f>
        <v>0</v>
      </c>
      <c r="AC948" s="246">
        <f>IFERROR(VLOOKUP(O948,PROGRAMAS[],2,FALSE),0)</f>
        <v>0</v>
      </c>
      <c r="AD948" s="246">
        <f>IFERROR(VLOOKUP(P948,PROGRAMAS[],2,FALSE),0)</f>
        <v>0</v>
      </c>
      <c r="AE948" s="246">
        <f>IFERROR(VLOOKUP(Q948,PROGRAMAS[],2,FALSE),0)</f>
        <v>0</v>
      </c>
      <c r="AF948" s="246">
        <f>IFERROR(VLOOKUP(D948,PROGRAMAS[],3,FALSE),0)</f>
        <v>841888629.31080008</v>
      </c>
      <c r="AG948" s="246">
        <f>IFERROR(VLOOKUP(E948,PROGRAMAS[],3,FALSE),0)</f>
        <v>3848980803.1642323</v>
      </c>
      <c r="AH948" s="246">
        <f>IFERROR(VLOOKUP(F948,PROGRAMAS[],3,FALSE),0)</f>
        <v>3394901471.387517</v>
      </c>
      <c r="AI948" s="246">
        <f>IFERROR(VLOOKUP(G948,PROGRAMAS[],3,FALSE),0)</f>
        <v>6129902208.7912121</v>
      </c>
      <c r="AJ948" s="246">
        <f>IFERROR(VLOOKUP(H948,PROGRAMAS[],3,FALSE),0)</f>
        <v>4099471734.9978786</v>
      </c>
      <c r="AK948" s="246">
        <f>IFERROR(VLOOKUP(I948,PROGRAMAS[],3,FALSE),0)</f>
        <v>2392571243.5584412</v>
      </c>
      <c r="AL948" s="246">
        <f>IFERROR(VLOOKUP(J948,PROGRAMAS[],3,FALSE),0)</f>
        <v>118617452.52510804</v>
      </c>
      <c r="AM948" s="246">
        <f>IFERROR(VLOOKUP(K948,PROGRAMAS[],3,FALSE),0)</f>
        <v>948595847.09039903</v>
      </c>
      <c r="AN948" s="246">
        <f>IFERROR(VLOOKUP(L948,PROGRAMAS[],3,FALSE),0)</f>
        <v>0</v>
      </c>
      <c r="AO948" s="246">
        <f>IFERROR(VLOOKUP(M948,PROGRAMAS[],3,FALSE),0)</f>
        <v>0</v>
      </c>
      <c r="AP948" s="246">
        <f>IFERROR(VLOOKUP(N948,PROGRAMAS[],3,FALSE),0)</f>
        <v>0</v>
      </c>
      <c r="AQ948" s="246">
        <f>IFERROR(VLOOKUP(O948,PROGRAMAS[],3,FALSE),0)</f>
        <v>0</v>
      </c>
      <c r="AR948" s="246">
        <f>IFERROR(VLOOKUP(P948,PROGRAMAS[],3,FALSE),0)</f>
        <v>0</v>
      </c>
      <c r="AS948" s="246">
        <f>IFERROR(VLOOKUP(Q948,PROGRAMAS[],3,FALSE),0)</f>
        <v>0</v>
      </c>
      <c r="AT948" s="246">
        <f>IFERROR(VLOOKUP(D948,VOL_REC[],2,FALSE),0)</f>
        <v>0</v>
      </c>
      <c r="AU948" s="246">
        <f>IFERROR(VLOOKUP(E948,VOL_REC[],2,FALSE),0)</f>
        <v>0</v>
      </c>
      <c r="AV948" s="246">
        <f>IFERROR(VLOOKUP(F948,VOL_REC[],2,FALSE),0)</f>
        <v>11089674.200000001</v>
      </c>
      <c r="AW948" s="246">
        <f>IFERROR(VLOOKUP(G948,VOL_REC[],2,FALSE),0)</f>
        <v>15540036.397699751</v>
      </c>
      <c r="AX948" s="246">
        <f>IFERROR(VLOOKUP(H948,VOL_REC[],2,FALSE),0)</f>
        <v>1812240</v>
      </c>
      <c r="AY948" s="246">
        <f>IFERROR(VLOOKUP(I948,VOL_REC[],2,FALSE),0)</f>
        <v>663244.80000000016</v>
      </c>
      <c r="AZ948" s="246">
        <f>IFERROR(VLOOKUP(J948,VOL_REC[],2,FALSE),0)</f>
        <v>105072</v>
      </c>
      <c r="BA948" s="246">
        <f>IFERROR(VLOOKUP(K948,VOL_REC[],2,FALSE),0)</f>
        <v>740113.98115702497</v>
      </c>
      <c r="BB948" s="246">
        <f>IFERROR(VLOOKUP(L948,VOL_REC[],2,FALSE),0)</f>
        <v>0</v>
      </c>
      <c r="BC948" s="246">
        <f>IFERROR(VLOOKUP(M948,VOL_REC[],2,FALSE),0)</f>
        <v>0</v>
      </c>
      <c r="BD948" s="246">
        <f>IFERROR(VLOOKUP(N948,VOL_REC[],2,FALSE),0)</f>
        <v>0</v>
      </c>
      <c r="BE948" s="246">
        <f>IFERROR(VLOOKUP(O948,VOL_REC[],2,FALSE),0)</f>
        <v>0</v>
      </c>
      <c r="BF948" s="246">
        <f>IFERROR(VLOOKUP(P948,VOL_REC[],2,FALSE),0)</f>
        <v>0</v>
      </c>
      <c r="BG948" s="246">
        <f>IFERROR(VLOOKUP(Q948,VOL_REC[],2,FALSE),0)</f>
        <v>0</v>
      </c>
      <c r="BH948" s="1710">
        <f t="shared" si="56"/>
        <v>21134308341.178936</v>
      </c>
      <c r="BI948" s="1710">
        <f t="shared" si="57"/>
        <v>21774929390.825592</v>
      </c>
      <c r="BJ948" s="1711">
        <f t="shared" si="58"/>
        <v>29950381.378856778</v>
      </c>
      <c r="BK948" s="1711">
        <f t="shared" si="59"/>
        <v>0.97057987935811318</v>
      </c>
    </row>
    <row r="949" spans="3:67" x14ac:dyDescent="0.25">
      <c r="C949" s="246" t="s">
        <v>2299</v>
      </c>
      <c r="D949" s="246">
        <v>1</v>
      </c>
      <c r="E949" s="246">
        <v>2</v>
      </c>
      <c r="F949" s="246">
        <v>3</v>
      </c>
      <c r="G949" s="246">
        <v>6</v>
      </c>
      <c r="H949" s="246">
        <v>10</v>
      </c>
      <c r="I949" s="246">
        <v>13</v>
      </c>
      <c r="J949" s="246">
        <v>16</v>
      </c>
      <c r="K949" s="246">
        <v>17</v>
      </c>
      <c r="L949" s="246"/>
      <c r="M949" s="246"/>
      <c r="N949" s="246"/>
      <c r="O949" s="246"/>
      <c r="P949" s="246"/>
      <c r="Q949" s="246"/>
      <c r="R949" s="246">
        <f>IFERROR(VLOOKUP(D949,PROGRAMAS[],2,FALSE),0)</f>
        <v>97037803.679377079</v>
      </c>
      <c r="S949" s="246">
        <f>IFERROR(VLOOKUP(E949,PROGRAMAS[],2,FALSE),0)</f>
        <v>640501509.6821388</v>
      </c>
      <c r="T949" s="246">
        <f>IFERROR(VLOOKUP(F949,PROGRAMAS[],2,FALSE),0)</f>
        <v>3062327798.1525245</v>
      </c>
      <c r="U949" s="246">
        <f>IFERROR(VLOOKUP(G949,PROGRAMAS[],2,FALSE),0)</f>
        <v>6907648435.8447599</v>
      </c>
      <c r="V949" s="246">
        <f>IFERROR(VLOOKUP(H949,PROGRAMAS[],2,FALSE),0)</f>
        <v>4635315027.8751087</v>
      </c>
      <c r="W949" s="246">
        <f>IFERROR(VLOOKUP(I949,PROGRAMAS[],2,FALSE),0)</f>
        <v>3776538594.4604583</v>
      </c>
      <c r="X949" s="246">
        <f>IFERROR(VLOOKUP(J949,PROGRAMAS[],2,FALSE),0)</f>
        <v>7068496961.0436354</v>
      </c>
      <c r="Y949" s="246">
        <f>IFERROR(VLOOKUP(K949,PROGRAMAS[],2,FALSE),0)</f>
        <v>1892779498.5211046</v>
      </c>
      <c r="Z949" s="246">
        <f>IFERROR(VLOOKUP(L949,PROGRAMAS[],2,FALSE),0)</f>
        <v>0</v>
      </c>
      <c r="AA949" s="246">
        <f>IFERROR(VLOOKUP(M949,PROGRAMAS[],2,FALSE),0)</f>
        <v>0</v>
      </c>
      <c r="AB949" s="246">
        <f>IFERROR(VLOOKUP(N949,PROGRAMAS[],2,FALSE),0)</f>
        <v>0</v>
      </c>
      <c r="AC949" s="246">
        <f>IFERROR(VLOOKUP(O949,PROGRAMAS[],2,FALSE),0)</f>
        <v>0</v>
      </c>
      <c r="AD949" s="246">
        <f>IFERROR(VLOOKUP(P949,PROGRAMAS[],2,FALSE),0)</f>
        <v>0</v>
      </c>
      <c r="AE949" s="246">
        <f>IFERROR(VLOOKUP(Q949,PROGRAMAS[],2,FALSE),0)</f>
        <v>0</v>
      </c>
      <c r="AF949" s="246">
        <f>IFERROR(VLOOKUP(D949,PROGRAMAS[],3,FALSE),0)</f>
        <v>841888629.31080008</v>
      </c>
      <c r="AG949" s="246">
        <f>IFERROR(VLOOKUP(E949,PROGRAMAS[],3,FALSE),0)</f>
        <v>3848980803.1642323</v>
      </c>
      <c r="AH949" s="246">
        <f>IFERROR(VLOOKUP(F949,PROGRAMAS[],3,FALSE),0)</f>
        <v>3394901471.387517</v>
      </c>
      <c r="AI949" s="246">
        <f>IFERROR(VLOOKUP(G949,PROGRAMAS[],3,FALSE),0)</f>
        <v>6129902208.7912121</v>
      </c>
      <c r="AJ949" s="246">
        <f>IFERROR(VLOOKUP(H949,PROGRAMAS[],3,FALSE),0)</f>
        <v>4099471734.9978786</v>
      </c>
      <c r="AK949" s="246">
        <f>IFERROR(VLOOKUP(I949,PROGRAMAS[],3,FALSE),0)</f>
        <v>2392571243.5584412</v>
      </c>
      <c r="AL949" s="246">
        <f>IFERROR(VLOOKUP(J949,PROGRAMAS[],3,FALSE),0)</f>
        <v>2406564599.0319901</v>
      </c>
      <c r="AM949" s="246">
        <f>IFERROR(VLOOKUP(K949,PROGRAMAS[],3,FALSE),0)</f>
        <v>948595847.09039903</v>
      </c>
      <c r="AN949" s="246">
        <f>IFERROR(VLOOKUP(L949,PROGRAMAS[],3,FALSE),0)</f>
        <v>0</v>
      </c>
      <c r="AO949" s="246">
        <f>IFERROR(VLOOKUP(M949,PROGRAMAS[],3,FALSE),0)</f>
        <v>0</v>
      </c>
      <c r="AP949" s="246">
        <f>IFERROR(VLOOKUP(N949,PROGRAMAS[],3,FALSE),0)</f>
        <v>0</v>
      </c>
      <c r="AQ949" s="246">
        <f>IFERROR(VLOOKUP(O949,PROGRAMAS[],3,FALSE),0)</f>
        <v>0</v>
      </c>
      <c r="AR949" s="246">
        <f>IFERROR(VLOOKUP(P949,PROGRAMAS[],3,FALSE),0)</f>
        <v>0</v>
      </c>
      <c r="AS949" s="246">
        <f>IFERROR(VLOOKUP(Q949,PROGRAMAS[],3,FALSE),0)</f>
        <v>0</v>
      </c>
      <c r="AT949" s="246">
        <f>IFERROR(VLOOKUP(D949,VOL_REC[],2,FALSE),0)</f>
        <v>0</v>
      </c>
      <c r="AU949" s="246">
        <f>IFERROR(VLOOKUP(E949,VOL_REC[],2,FALSE),0)</f>
        <v>0</v>
      </c>
      <c r="AV949" s="246">
        <f>IFERROR(VLOOKUP(F949,VOL_REC[],2,FALSE),0)</f>
        <v>11089674.200000001</v>
      </c>
      <c r="AW949" s="246">
        <f>IFERROR(VLOOKUP(G949,VOL_REC[],2,FALSE),0)</f>
        <v>15540036.397699751</v>
      </c>
      <c r="AX949" s="246">
        <f>IFERROR(VLOOKUP(H949,VOL_REC[],2,FALSE),0)</f>
        <v>1812240</v>
      </c>
      <c r="AY949" s="246">
        <f>IFERROR(VLOOKUP(I949,VOL_REC[],2,FALSE),0)</f>
        <v>663244.80000000016</v>
      </c>
      <c r="AZ949" s="246">
        <f>IFERROR(VLOOKUP(J949,VOL_REC[],2,FALSE),0)</f>
        <v>1072354.9981737854</v>
      </c>
      <c r="BA949" s="246">
        <f>IFERROR(VLOOKUP(K949,VOL_REC[],2,FALSE),0)</f>
        <v>740113.98115702497</v>
      </c>
      <c r="BB949" s="246">
        <f>IFERROR(VLOOKUP(L949,VOL_REC[],2,FALSE),0)</f>
        <v>0</v>
      </c>
      <c r="BC949" s="246">
        <f>IFERROR(VLOOKUP(M949,VOL_REC[],2,FALSE),0)</f>
        <v>0</v>
      </c>
      <c r="BD949" s="246">
        <f>IFERROR(VLOOKUP(N949,VOL_REC[],2,FALSE),0)</f>
        <v>0</v>
      </c>
      <c r="BE949" s="246">
        <f>IFERROR(VLOOKUP(O949,VOL_REC[],2,FALSE),0)</f>
        <v>0</v>
      </c>
      <c r="BF949" s="246">
        <f>IFERROR(VLOOKUP(P949,VOL_REC[],2,FALSE),0)</f>
        <v>0</v>
      </c>
      <c r="BG949" s="246">
        <f>IFERROR(VLOOKUP(Q949,VOL_REC[],2,FALSE),0)</f>
        <v>0</v>
      </c>
      <c r="BH949" s="1710">
        <f t="shared" si="56"/>
        <v>28080645629.259106</v>
      </c>
      <c r="BI949" s="1710">
        <f t="shared" si="57"/>
        <v>24062876537.332474</v>
      </c>
      <c r="BJ949" s="1711">
        <f t="shared" si="58"/>
        <v>30917664.377030563</v>
      </c>
      <c r="BK949" s="1711">
        <f t="shared" si="59"/>
        <v>1.1669696092108208</v>
      </c>
      <c r="BL949">
        <f>BJ949</f>
        <v>30917664.377030563</v>
      </c>
      <c r="BO949">
        <f>BL949</f>
        <v>30917664.377030563</v>
      </c>
    </row>
    <row r="950" spans="3:67" x14ac:dyDescent="0.25">
      <c r="C950" s="246" t="s">
        <v>2300</v>
      </c>
      <c r="D950" s="246">
        <v>1</v>
      </c>
      <c r="E950" s="246">
        <v>2</v>
      </c>
      <c r="F950" s="246">
        <v>3</v>
      </c>
      <c r="G950" s="246">
        <v>6</v>
      </c>
      <c r="H950" s="246">
        <v>10</v>
      </c>
      <c r="I950" s="246">
        <v>14</v>
      </c>
      <c r="J950" s="246">
        <v>15</v>
      </c>
      <c r="K950" s="246">
        <v>16</v>
      </c>
      <c r="L950" s="246"/>
      <c r="M950" s="246"/>
      <c r="N950" s="246"/>
      <c r="O950" s="246"/>
      <c r="P950" s="246"/>
      <c r="Q950" s="246"/>
      <c r="R950" s="246">
        <f>IFERROR(VLOOKUP(D950,PROGRAMAS[],2,FALSE),0)</f>
        <v>97037803.679377079</v>
      </c>
      <c r="S950" s="246">
        <f>IFERROR(VLOOKUP(E950,PROGRAMAS[],2,FALSE),0)</f>
        <v>640501509.6821388</v>
      </c>
      <c r="T950" s="246">
        <f>IFERROR(VLOOKUP(F950,PROGRAMAS[],2,FALSE),0)</f>
        <v>3062327798.1525245</v>
      </c>
      <c r="U950" s="246">
        <f>IFERROR(VLOOKUP(G950,PROGRAMAS[],2,FALSE),0)</f>
        <v>6907648435.8447599</v>
      </c>
      <c r="V950" s="246">
        <f>IFERROR(VLOOKUP(H950,PROGRAMAS[],2,FALSE),0)</f>
        <v>4635315027.8751087</v>
      </c>
      <c r="W950" s="246">
        <f>IFERROR(VLOOKUP(I950,PROGRAMAS[],2,FALSE),0)</f>
        <v>54223862.645839565</v>
      </c>
      <c r="X950" s="246">
        <f>IFERROR(VLOOKUP(J950,PROGRAMAS[],2,FALSE),0)</f>
        <v>122159672.96346797</v>
      </c>
      <c r="Y950" s="246">
        <f>IFERROR(VLOOKUP(K950,PROGRAMAS[],2,FALSE),0)</f>
        <v>7068496961.0436354</v>
      </c>
      <c r="Z950" s="246">
        <f>IFERROR(VLOOKUP(L950,PROGRAMAS[],2,FALSE),0)</f>
        <v>0</v>
      </c>
      <c r="AA950" s="246">
        <f>IFERROR(VLOOKUP(M950,PROGRAMAS[],2,FALSE),0)</f>
        <v>0</v>
      </c>
      <c r="AB950" s="246">
        <f>IFERROR(VLOOKUP(N950,PROGRAMAS[],2,FALSE),0)</f>
        <v>0</v>
      </c>
      <c r="AC950" s="246">
        <f>IFERROR(VLOOKUP(O950,PROGRAMAS[],2,FALSE),0)</f>
        <v>0</v>
      </c>
      <c r="AD950" s="246">
        <f>IFERROR(VLOOKUP(P950,PROGRAMAS[],2,FALSE),0)</f>
        <v>0</v>
      </c>
      <c r="AE950" s="246">
        <f>IFERROR(VLOOKUP(Q950,PROGRAMAS[],2,FALSE),0)</f>
        <v>0</v>
      </c>
      <c r="AF950" s="246">
        <f>IFERROR(VLOOKUP(D950,PROGRAMAS[],3,FALSE),0)</f>
        <v>841888629.31080008</v>
      </c>
      <c r="AG950" s="246">
        <f>IFERROR(VLOOKUP(E950,PROGRAMAS[],3,FALSE),0)</f>
        <v>3848980803.1642323</v>
      </c>
      <c r="AH950" s="246">
        <f>IFERROR(VLOOKUP(F950,PROGRAMAS[],3,FALSE),0)</f>
        <v>3394901471.387517</v>
      </c>
      <c r="AI950" s="246">
        <f>IFERROR(VLOOKUP(G950,PROGRAMAS[],3,FALSE),0)</f>
        <v>6129902208.7912121</v>
      </c>
      <c r="AJ950" s="246">
        <f>IFERROR(VLOOKUP(H950,PROGRAMAS[],3,FALSE),0)</f>
        <v>4099471734.9978786</v>
      </c>
      <c r="AK950" s="246">
        <f>IFERROR(VLOOKUP(I950,PROGRAMAS[],3,FALSE),0)</f>
        <v>31865326.38096505</v>
      </c>
      <c r="AL950" s="246">
        <f>IFERROR(VLOOKUP(J950,PROGRAMAS[],3,FALSE),0)</f>
        <v>118617452.52510804</v>
      </c>
      <c r="AM950" s="246">
        <f>IFERROR(VLOOKUP(K950,PROGRAMAS[],3,FALSE),0)</f>
        <v>2406564599.0319901</v>
      </c>
      <c r="AN950" s="246">
        <f>IFERROR(VLOOKUP(L950,PROGRAMAS[],3,FALSE),0)</f>
        <v>0</v>
      </c>
      <c r="AO950" s="246">
        <f>IFERROR(VLOOKUP(M950,PROGRAMAS[],3,FALSE),0)</f>
        <v>0</v>
      </c>
      <c r="AP950" s="246">
        <f>IFERROR(VLOOKUP(N950,PROGRAMAS[],3,FALSE),0)</f>
        <v>0</v>
      </c>
      <c r="AQ950" s="246">
        <f>IFERROR(VLOOKUP(O950,PROGRAMAS[],3,FALSE),0)</f>
        <v>0</v>
      </c>
      <c r="AR950" s="246">
        <f>IFERROR(VLOOKUP(P950,PROGRAMAS[],3,FALSE),0)</f>
        <v>0</v>
      </c>
      <c r="AS950" s="246">
        <f>IFERROR(VLOOKUP(Q950,PROGRAMAS[],3,FALSE),0)</f>
        <v>0</v>
      </c>
      <c r="AT950" s="246">
        <f>IFERROR(VLOOKUP(D950,VOL_REC[],2,FALSE),0)</f>
        <v>0</v>
      </c>
      <c r="AU950" s="246">
        <f>IFERROR(VLOOKUP(E950,VOL_REC[],2,FALSE),0)</f>
        <v>0</v>
      </c>
      <c r="AV950" s="246">
        <f>IFERROR(VLOOKUP(F950,VOL_REC[],2,FALSE),0)</f>
        <v>11089674.200000001</v>
      </c>
      <c r="AW950" s="246">
        <f>IFERROR(VLOOKUP(G950,VOL_REC[],2,FALSE),0)</f>
        <v>15540036.397699751</v>
      </c>
      <c r="AX950" s="246">
        <f>IFERROR(VLOOKUP(H950,VOL_REC[],2,FALSE),0)</f>
        <v>1812240</v>
      </c>
      <c r="AY950" s="246">
        <f>IFERROR(VLOOKUP(I950,VOL_REC[],2,FALSE),0)</f>
        <v>17074.045034105649</v>
      </c>
      <c r="AZ950" s="246">
        <f>IFERROR(VLOOKUP(J950,VOL_REC[],2,FALSE),0)</f>
        <v>105072</v>
      </c>
      <c r="BA950" s="246">
        <f>IFERROR(VLOOKUP(K950,VOL_REC[],2,FALSE),0)</f>
        <v>1072354.9981737854</v>
      </c>
      <c r="BB950" s="246">
        <f>IFERROR(VLOOKUP(L950,VOL_REC[],2,FALSE),0)</f>
        <v>0</v>
      </c>
      <c r="BC950" s="246">
        <f>IFERROR(VLOOKUP(M950,VOL_REC[],2,FALSE),0)</f>
        <v>0</v>
      </c>
      <c r="BD950" s="246">
        <f>IFERROR(VLOOKUP(N950,VOL_REC[],2,FALSE),0)</f>
        <v>0</v>
      </c>
      <c r="BE950" s="246">
        <f>IFERROR(VLOOKUP(O950,VOL_REC[],2,FALSE),0)</f>
        <v>0</v>
      </c>
      <c r="BF950" s="246">
        <f>IFERROR(VLOOKUP(P950,VOL_REC[],2,FALSE),0)</f>
        <v>0</v>
      </c>
      <c r="BG950" s="246">
        <f>IFERROR(VLOOKUP(Q950,VOL_REC[],2,FALSE),0)</f>
        <v>0</v>
      </c>
      <c r="BH950" s="1710">
        <f t="shared" si="56"/>
        <v>22587711071.886852</v>
      </c>
      <c r="BI950" s="1710">
        <f t="shared" si="57"/>
        <v>20872192225.589706</v>
      </c>
      <c r="BJ950" s="1711">
        <f t="shared" si="58"/>
        <v>29636451.640907645</v>
      </c>
      <c r="BK950" s="1711">
        <f t="shared" si="59"/>
        <v>1.0821915986474044</v>
      </c>
      <c r="BL950">
        <f>BJ950</f>
        <v>29636451.640907645</v>
      </c>
      <c r="BO950">
        <f>BL950</f>
        <v>29636451.640907645</v>
      </c>
    </row>
    <row r="951" spans="3:67" x14ac:dyDescent="0.25">
      <c r="C951" s="246" t="s">
        <v>2301</v>
      </c>
      <c r="D951" s="246">
        <v>1</v>
      </c>
      <c r="E951" s="246">
        <v>2</v>
      </c>
      <c r="F951" s="246">
        <v>3</v>
      </c>
      <c r="G951" s="246">
        <v>6</v>
      </c>
      <c r="H951" s="246">
        <v>10</v>
      </c>
      <c r="I951" s="246">
        <v>14</v>
      </c>
      <c r="J951" s="246">
        <v>15</v>
      </c>
      <c r="K951" s="246">
        <v>17</v>
      </c>
      <c r="L951" s="246"/>
      <c r="M951" s="246"/>
      <c r="N951" s="246"/>
      <c r="O951" s="246"/>
      <c r="P951" s="246"/>
      <c r="Q951" s="246"/>
      <c r="R951" s="246">
        <f>IFERROR(VLOOKUP(D951,PROGRAMAS[],2,FALSE),0)</f>
        <v>97037803.679377079</v>
      </c>
      <c r="S951" s="246">
        <f>IFERROR(VLOOKUP(E951,PROGRAMAS[],2,FALSE),0)</f>
        <v>640501509.6821388</v>
      </c>
      <c r="T951" s="246">
        <f>IFERROR(VLOOKUP(F951,PROGRAMAS[],2,FALSE),0)</f>
        <v>3062327798.1525245</v>
      </c>
      <c r="U951" s="246">
        <f>IFERROR(VLOOKUP(G951,PROGRAMAS[],2,FALSE),0)</f>
        <v>6907648435.8447599</v>
      </c>
      <c r="V951" s="246">
        <f>IFERROR(VLOOKUP(H951,PROGRAMAS[],2,FALSE),0)</f>
        <v>4635315027.8751087</v>
      </c>
      <c r="W951" s="246">
        <f>IFERROR(VLOOKUP(I951,PROGRAMAS[],2,FALSE),0)</f>
        <v>54223862.645839565</v>
      </c>
      <c r="X951" s="246">
        <f>IFERROR(VLOOKUP(J951,PROGRAMAS[],2,FALSE),0)</f>
        <v>122159672.96346797</v>
      </c>
      <c r="Y951" s="246">
        <f>IFERROR(VLOOKUP(K951,PROGRAMAS[],2,FALSE),0)</f>
        <v>1892779498.5211046</v>
      </c>
      <c r="Z951" s="246">
        <f>IFERROR(VLOOKUP(L951,PROGRAMAS[],2,FALSE),0)</f>
        <v>0</v>
      </c>
      <c r="AA951" s="246">
        <f>IFERROR(VLOOKUP(M951,PROGRAMAS[],2,FALSE),0)</f>
        <v>0</v>
      </c>
      <c r="AB951" s="246">
        <f>IFERROR(VLOOKUP(N951,PROGRAMAS[],2,FALSE),0)</f>
        <v>0</v>
      </c>
      <c r="AC951" s="246">
        <f>IFERROR(VLOOKUP(O951,PROGRAMAS[],2,FALSE),0)</f>
        <v>0</v>
      </c>
      <c r="AD951" s="246">
        <f>IFERROR(VLOOKUP(P951,PROGRAMAS[],2,FALSE),0)</f>
        <v>0</v>
      </c>
      <c r="AE951" s="246">
        <f>IFERROR(VLOOKUP(Q951,PROGRAMAS[],2,FALSE),0)</f>
        <v>0</v>
      </c>
      <c r="AF951" s="246">
        <f>IFERROR(VLOOKUP(D951,PROGRAMAS[],3,FALSE),0)</f>
        <v>841888629.31080008</v>
      </c>
      <c r="AG951" s="246">
        <f>IFERROR(VLOOKUP(E951,PROGRAMAS[],3,FALSE),0)</f>
        <v>3848980803.1642323</v>
      </c>
      <c r="AH951" s="246">
        <f>IFERROR(VLOOKUP(F951,PROGRAMAS[],3,FALSE),0)</f>
        <v>3394901471.387517</v>
      </c>
      <c r="AI951" s="246">
        <f>IFERROR(VLOOKUP(G951,PROGRAMAS[],3,FALSE),0)</f>
        <v>6129902208.7912121</v>
      </c>
      <c r="AJ951" s="246">
        <f>IFERROR(VLOOKUP(H951,PROGRAMAS[],3,FALSE),0)</f>
        <v>4099471734.9978786</v>
      </c>
      <c r="AK951" s="246">
        <f>IFERROR(VLOOKUP(I951,PROGRAMAS[],3,FALSE),0)</f>
        <v>31865326.38096505</v>
      </c>
      <c r="AL951" s="246">
        <f>IFERROR(VLOOKUP(J951,PROGRAMAS[],3,FALSE),0)</f>
        <v>118617452.52510804</v>
      </c>
      <c r="AM951" s="246">
        <f>IFERROR(VLOOKUP(K951,PROGRAMAS[],3,FALSE),0)</f>
        <v>948595847.09039903</v>
      </c>
      <c r="AN951" s="246">
        <f>IFERROR(VLOOKUP(L951,PROGRAMAS[],3,FALSE),0)</f>
        <v>0</v>
      </c>
      <c r="AO951" s="246">
        <f>IFERROR(VLOOKUP(M951,PROGRAMAS[],3,FALSE),0)</f>
        <v>0</v>
      </c>
      <c r="AP951" s="246">
        <f>IFERROR(VLOOKUP(N951,PROGRAMAS[],3,FALSE),0)</f>
        <v>0</v>
      </c>
      <c r="AQ951" s="246">
        <f>IFERROR(VLOOKUP(O951,PROGRAMAS[],3,FALSE),0)</f>
        <v>0</v>
      </c>
      <c r="AR951" s="246">
        <f>IFERROR(VLOOKUP(P951,PROGRAMAS[],3,FALSE),0)</f>
        <v>0</v>
      </c>
      <c r="AS951" s="246">
        <f>IFERROR(VLOOKUP(Q951,PROGRAMAS[],3,FALSE),0)</f>
        <v>0</v>
      </c>
      <c r="AT951" s="246">
        <f>IFERROR(VLOOKUP(D951,VOL_REC[],2,FALSE),0)</f>
        <v>0</v>
      </c>
      <c r="AU951" s="246">
        <f>IFERROR(VLOOKUP(E951,VOL_REC[],2,FALSE),0)</f>
        <v>0</v>
      </c>
      <c r="AV951" s="246">
        <f>IFERROR(VLOOKUP(F951,VOL_REC[],2,FALSE),0)</f>
        <v>11089674.200000001</v>
      </c>
      <c r="AW951" s="246">
        <f>IFERROR(VLOOKUP(G951,VOL_REC[],2,FALSE),0)</f>
        <v>15540036.397699751</v>
      </c>
      <c r="AX951" s="246">
        <f>IFERROR(VLOOKUP(H951,VOL_REC[],2,FALSE),0)</f>
        <v>1812240</v>
      </c>
      <c r="AY951" s="246">
        <f>IFERROR(VLOOKUP(I951,VOL_REC[],2,FALSE),0)</f>
        <v>17074.045034105649</v>
      </c>
      <c r="AZ951" s="246">
        <f>IFERROR(VLOOKUP(J951,VOL_REC[],2,FALSE),0)</f>
        <v>105072</v>
      </c>
      <c r="BA951" s="246">
        <f>IFERROR(VLOOKUP(K951,VOL_REC[],2,FALSE),0)</f>
        <v>740113.98115702497</v>
      </c>
      <c r="BB951" s="246">
        <f>IFERROR(VLOOKUP(L951,VOL_REC[],2,FALSE),0)</f>
        <v>0</v>
      </c>
      <c r="BC951" s="246">
        <f>IFERROR(VLOOKUP(M951,VOL_REC[],2,FALSE),0)</f>
        <v>0</v>
      </c>
      <c r="BD951" s="246">
        <f>IFERROR(VLOOKUP(N951,VOL_REC[],2,FALSE),0)</f>
        <v>0</v>
      </c>
      <c r="BE951" s="246">
        <f>IFERROR(VLOOKUP(O951,VOL_REC[],2,FALSE),0)</f>
        <v>0</v>
      </c>
      <c r="BF951" s="246">
        <f>IFERROR(VLOOKUP(P951,VOL_REC[],2,FALSE),0)</f>
        <v>0</v>
      </c>
      <c r="BG951" s="246">
        <f>IFERROR(VLOOKUP(Q951,VOL_REC[],2,FALSE),0)</f>
        <v>0</v>
      </c>
      <c r="BH951" s="1710">
        <f t="shared" si="56"/>
        <v>17411993609.364323</v>
      </c>
      <c r="BI951" s="1710">
        <f t="shared" si="57"/>
        <v>19414223473.648117</v>
      </c>
      <c r="BJ951" s="1711">
        <f t="shared" si="58"/>
        <v>29304210.623890884</v>
      </c>
      <c r="BK951" s="1711">
        <f t="shared" si="59"/>
        <v>0.89686788827781239</v>
      </c>
    </row>
    <row r="952" spans="3:67" x14ac:dyDescent="0.25">
      <c r="C952" s="246" t="s">
        <v>2302</v>
      </c>
      <c r="D952" s="246">
        <v>1</v>
      </c>
      <c r="E952" s="246">
        <v>2</v>
      </c>
      <c r="F952" s="246">
        <v>3</v>
      </c>
      <c r="G952" s="246">
        <v>6</v>
      </c>
      <c r="H952" s="246">
        <v>10</v>
      </c>
      <c r="I952" s="246">
        <v>14</v>
      </c>
      <c r="J952" s="246">
        <v>16</v>
      </c>
      <c r="K952" s="246">
        <v>17</v>
      </c>
      <c r="L952" s="246"/>
      <c r="M952" s="246"/>
      <c r="N952" s="246"/>
      <c r="O952" s="246"/>
      <c r="P952" s="246"/>
      <c r="Q952" s="246"/>
      <c r="R952" s="246">
        <f>IFERROR(VLOOKUP(D952,PROGRAMAS[],2,FALSE),0)</f>
        <v>97037803.679377079</v>
      </c>
      <c r="S952" s="246">
        <f>IFERROR(VLOOKUP(E952,PROGRAMAS[],2,FALSE),0)</f>
        <v>640501509.6821388</v>
      </c>
      <c r="T952" s="246">
        <f>IFERROR(VLOOKUP(F952,PROGRAMAS[],2,FALSE),0)</f>
        <v>3062327798.1525245</v>
      </c>
      <c r="U952" s="246">
        <f>IFERROR(VLOOKUP(G952,PROGRAMAS[],2,FALSE),0)</f>
        <v>6907648435.8447599</v>
      </c>
      <c r="V952" s="246">
        <f>IFERROR(VLOOKUP(H952,PROGRAMAS[],2,FALSE),0)</f>
        <v>4635315027.8751087</v>
      </c>
      <c r="W952" s="246">
        <f>IFERROR(VLOOKUP(I952,PROGRAMAS[],2,FALSE),0)</f>
        <v>54223862.645839565</v>
      </c>
      <c r="X952" s="246">
        <f>IFERROR(VLOOKUP(J952,PROGRAMAS[],2,FALSE),0)</f>
        <v>7068496961.0436354</v>
      </c>
      <c r="Y952" s="246">
        <f>IFERROR(VLOOKUP(K952,PROGRAMAS[],2,FALSE),0)</f>
        <v>1892779498.5211046</v>
      </c>
      <c r="Z952" s="246">
        <f>IFERROR(VLOOKUP(L952,PROGRAMAS[],2,FALSE),0)</f>
        <v>0</v>
      </c>
      <c r="AA952" s="246">
        <f>IFERROR(VLOOKUP(M952,PROGRAMAS[],2,FALSE),0)</f>
        <v>0</v>
      </c>
      <c r="AB952" s="246">
        <f>IFERROR(VLOOKUP(N952,PROGRAMAS[],2,FALSE),0)</f>
        <v>0</v>
      </c>
      <c r="AC952" s="246">
        <f>IFERROR(VLOOKUP(O952,PROGRAMAS[],2,FALSE),0)</f>
        <v>0</v>
      </c>
      <c r="AD952" s="246">
        <f>IFERROR(VLOOKUP(P952,PROGRAMAS[],2,FALSE),0)</f>
        <v>0</v>
      </c>
      <c r="AE952" s="246">
        <f>IFERROR(VLOOKUP(Q952,PROGRAMAS[],2,FALSE),0)</f>
        <v>0</v>
      </c>
      <c r="AF952" s="246">
        <f>IFERROR(VLOOKUP(D952,PROGRAMAS[],3,FALSE),0)</f>
        <v>841888629.31080008</v>
      </c>
      <c r="AG952" s="246">
        <f>IFERROR(VLOOKUP(E952,PROGRAMAS[],3,FALSE),0)</f>
        <v>3848980803.1642323</v>
      </c>
      <c r="AH952" s="246">
        <f>IFERROR(VLOOKUP(F952,PROGRAMAS[],3,FALSE),0)</f>
        <v>3394901471.387517</v>
      </c>
      <c r="AI952" s="246">
        <f>IFERROR(VLOOKUP(G952,PROGRAMAS[],3,FALSE),0)</f>
        <v>6129902208.7912121</v>
      </c>
      <c r="AJ952" s="246">
        <f>IFERROR(VLOOKUP(H952,PROGRAMAS[],3,FALSE),0)</f>
        <v>4099471734.9978786</v>
      </c>
      <c r="AK952" s="246">
        <f>IFERROR(VLOOKUP(I952,PROGRAMAS[],3,FALSE),0)</f>
        <v>31865326.38096505</v>
      </c>
      <c r="AL952" s="246">
        <f>IFERROR(VLOOKUP(J952,PROGRAMAS[],3,FALSE),0)</f>
        <v>2406564599.0319901</v>
      </c>
      <c r="AM952" s="246">
        <f>IFERROR(VLOOKUP(K952,PROGRAMAS[],3,FALSE),0)</f>
        <v>948595847.09039903</v>
      </c>
      <c r="AN952" s="246">
        <f>IFERROR(VLOOKUP(L952,PROGRAMAS[],3,FALSE),0)</f>
        <v>0</v>
      </c>
      <c r="AO952" s="246">
        <f>IFERROR(VLOOKUP(M952,PROGRAMAS[],3,FALSE),0)</f>
        <v>0</v>
      </c>
      <c r="AP952" s="246">
        <f>IFERROR(VLOOKUP(N952,PROGRAMAS[],3,FALSE),0)</f>
        <v>0</v>
      </c>
      <c r="AQ952" s="246">
        <f>IFERROR(VLOOKUP(O952,PROGRAMAS[],3,FALSE),0)</f>
        <v>0</v>
      </c>
      <c r="AR952" s="246">
        <f>IFERROR(VLOOKUP(P952,PROGRAMAS[],3,FALSE),0)</f>
        <v>0</v>
      </c>
      <c r="AS952" s="246">
        <f>IFERROR(VLOOKUP(Q952,PROGRAMAS[],3,FALSE),0)</f>
        <v>0</v>
      </c>
      <c r="AT952" s="246">
        <f>IFERROR(VLOOKUP(D952,VOL_REC[],2,FALSE),0)</f>
        <v>0</v>
      </c>
      <c r="AU952" s="246">
        <f>IFERROR(VLOOKUP(E952,VOL_REC[],2,FALSE),0)</f>
        <v>0</v>
      </c>
      <c r="AV952" s="246">
        <f>IFERROR(VLOOKUP(F952,VOL_REC[],2,FALSE),0)</f>
        <v>11089674.200000001</v>
      </c>
      <c r="AW952" s="246">
        <f>IFERROR(VLOOKUP(G952,VOL_REC[],2,FALSE),0)</f>
        <v>15540036.397699751</v>
      </c>
      <c r="AX952" s="246">
        <f>IFERROR(VLOOKUP(H952,VOL_REC[],2,FALSE),0)</f>
        <v>1812240</v>
      </c>
      <c r="AY952" s="246">
        <f>IFERROR(VLOOKUP(I952,VOL_REC[],2,FALSE),0)</f>
        <v>17074.045034105649</v>
      </c>
      <c r="AZ952" s="246">
        <f>IFERROR(VLOOKUP(J952,VOL_REC[],2,FALSE),0)</f>
        <v>1072354.9981737854</v>
      </c>
      <c r="BA952" s="246">
        <f>IFERROR(VLOOKUP(K952,VOL_REC[],2,FALSE),0)</f>
        <v>740113.98115702497</v>
      </c>
      <c r="BB952" s="246">
        <f>IFERROR(VLOOKUP(L952,VOL_REC[],2,FALSE),0)</f>
        <v>0</v>
      </c>
      <c r="BC952" s="246">
        <f>IFERROR(VLOOKUP(M952,VOL_REC[],2,FALSE),0)</f>
        <v>0</v>
      </c>
      <c r="BD952" s="246">
        <f>IFERROR(VLOOKUP(N952,VOL_REC[],2,FALSE),0)</f>
        <v>0</v>
      </c>
      <c r="BE952" s="246">
        <f>IFERROR(VLOOKUP(O952,VOL_REC[],2,FALSE),0)</f>
        <v>0</v>
      </c>
      <c r="BF952" s="246">
        <f>IFERROR(VLOOKUP(P952,VOL_REC[],2,FALSE),0)</f>
        <v>0</v>
      </c>
      <c r="BG952" s="246">
        <f>IFERROR(VLOOKUP(Q952,VOL_REC[],2,FALSE),0)</f>
        <v>0</v>
      </c>
      <c r="BH952" s="1710">
        <f t="shared" si="56"/>
        <v>24358330897.444489</v>
      </c>
      <c r="BI952" s="1710">
        <f t="shared" si="57"/>
        <v>21702170620.154999</v>
      </c>
      <c r="BJ952" s="1711">
        <f t="shared" si="58"/>
        <v>30271493.622064669</v>
      </c>
      <c r="BK952" s="1711">
        <f t="shared" si="59"/>
        <v>1.1223914567708122</v>
      </c>
      <c r="BL952">
        <f>BJ952</f>
        <v>30271493.622064669</v>
      </c>
      <c r="BO952">
        <f>BL952</f>
        <v>30271493.622064669</v>
      </c>
    </row>
    <row r="953" spans="3:67" x14ac:dyDescent="0.25">
      <c r="C953" s="246" t="s">
        <v>2303</v>
      </c>
      <c r="D953" s="246">
        <v>1</v>
      </c>
      <c r="E953" s="246">
        <v>2</v>
      </c>
      <c r="F953" s="246">
        <v>3</v>
      </c>
      <c r="G953" s="246">
        <v>6</v>
      </c>
      <c r="H953" s="246">
        <v>10</v>
      </c>
      <c r="I953" s="246">
        <v>15</v>
      </c>
      <c r="J953" s="246">
        <v>16</v>
      </c>
      <c r="K953" s="246">
        <v>17</v>
      </c>
      <c r="L953" s="246"/>
      <c r="M953" s="246"/>
      <c r="N953" s="246"/>
      <c r="O953" s="246"/>
      <c r="P953" s="246"/>
      <c r="Q953" s="246"/>
      <c r="R953" s="246">
        <f>IFERROR(VLOOKUP(D953,PROGRAMAS[],2,FALSE),0)</f>
        <v>97037803.679377079</v>
      </c>
      <c r="S953" s="246">
        <f>IFERROR(VLOOKUP(E953,PROGRAMAS[],2,FALSE),0)</f>
        <v>640501509.6821388</v>
      </c>
      <c r="T953" s="246">
        <f>IFERROR(VLOOKUP(F953,PROGRAMAS[],2,FALSE),0)</f>
        <v>3062327798.1525245</v>
      </c>
      <c r="U953" s="246">
        <f>IFERROR(VLOOKUP(G953,PROGRAMAS[],2,FALSE),0)</f>
        <v>6907648435.8447599</v>
      </c>
      <c r="V953" s="246">
        <f>IFERROR(VLOOKUP(H953,PROGRAMAS[],2,FALSE),0)</f>
        <v>4635315027.8751087</v>
      </c>
      <c r="W953" s="246">
        <f>IFERROR(VLOOKUP(I953,PROGRAMAS[],2,FALSE),0)</f>
        <v>122159672.96346797</v>
      </c>
      <c r="X953" s="246">
        <f>IFERROR(VLOOKUP(J953,PROGRAMAS[],2,FALSE),0)</f>
        <v>7068496961.0436354</v>
      </c>
      <c r="Y953" s="246">
        <f>IFERROR(VLOOKUP(K953,PROGRAMAS[],2,FALSE),0)</f>
        <v>1892779498.5211046</v>
      </c>
      <c r="Z953" s="246">
        <f>IFERROR(VLOOKUP(L953,PROGRAMAS[],2,FALSE),0)</f>
        <v>0</v>
      </c>
      <c r="AA953" s="246">
        <f>IFERROR(VLOOKUP(M953,PROGRAMAS[],2,FALSE),0)</f>
        <v>0</v>
      </c>
      <c r="AB953" s="246">
        <f>IFERROR(VLOOKUP(N953,PROGRAMAS[],2,FALSE),0)</f>
        <v>0</v>
      </c>
      <c r="AC953" s="246">
        <f>IFERROR(VLOOKUP(O953,PROGRAMAS[],2,FALSE),0)</f>
        <v>0</v>
      </c>
      <c r="AD953" s="246">
        <f>IFERROR(VLOOKUP(P953,PROGRAMAS[],2,FALSE),0)</f>
        <v>0</v>
      </c>
      <c r="AE953" s="246">
        <f>IFERROR(VLOOKUP(Q953,PROGRAMAS[],2,FALSE),0)</f>
        <v>0</v>
      </c>
      <c r="AF953" s="246">
        <f>IFERROR(VLOOKUP(D953,PROGRAMAS[],3,FALSE),0)</f>
        <v>841888629.31080008</v>
      </c>
      <c r="AG953" s="246">
        <f>IFERROR(VLOOKUP(E953,PROGRAMAS[],3,FALSE),0)</f>
        <v>3848980803.1642323</v>
      </c>
      <c r="AH953" s="246">
        <f>IFERROR(VLOOKUP(F953,PROGRAMAS[],3,FALSE),0)</f>
        <v>3394901471.387517</v>
      </c>
      <c r="AI953" s="246">
        <f>IFERROR(VLOOKUP(G953,PROGRAMAS[],3,FALSE),0)</f>
        <v>6129902208.7912121</v>
      </c>
      <c r="AJ953" s="246">
        <f>IFERROR(VLOOKUP(H953,PROGRAMAS[],3,FALSE),0)</f>
        <v>4099471734.9978786</v>
      </c>
      <c r="AK953" s="246">
        <f>IFERROR(VLOOKUP(I953,PROGRAMAS[],3,FALSE),0)</f>
        <v>118617452.52510804</v>
      </c>
      <c r="AL953" s="246">
        <f>IFERROR(VLOOKUP(J953,PROGRAMAS[],3,FALSE),0)</f>
        <v>2406564599.0319901</v>
      </c>
      <c r="AM953" s="246">
        <f>IFERROR(VLOOKUP(K953,PROGRAMAS[],3,FALSE),0)</f>
        <v>948595847.09039903</v>
      </c>
      <c r="AN953" s="246">
        <f>IFERROR(VLOOKUP(L953,PROGRAMAS[],3,FALSE),0)</f>
        <v>0</v>
      </c>
      <c r="AO953" s="246">
        <f>IFERROR(VLOOKUP(M953,PROGRAMAS[],3,FALSE),0)</f>
        <v>0</v>
      </c>
      <c r="AP953" s="246">
        <f>IFERROR(VLOOKUP(N953,PROGRAMAS[],3,FALSE),0)</f>
        <v>0</v>
      </c>
      <c r="AQ953" s="246">
        <f>IFERROR(VLOOKUP(O953,PROGRAMAS[],3,FALSE),0)</f>
        <v>0</v>
      </c>
      <c r="AR953" s="246">
        <f>IFERROR(VLOOKUP(P953,PROGRAMAS[],3,FALSE),0)</f>
        <v>0</v>
      </c>
      <c r="AS953" s="246">
        <f>IFERROR(VLOOKUP(Q953,PROGRAMAS[],3,FALSE),0)</f>
        <v>0</v>
      </c>
      <c r="AT953" s="246">
        <f>IFERROR(VLOOKUP(D953,VOL_REC[],2,FALSE),0)</f>
        <v>0</v>
      </c>
      <c r="AU953" s="246">
        <f>IFERROR(VLOOKUP(E953,VOL_REC[],2,FALSE),0)</f>
        <v>0</v>
      </c>
      <c r="AV953" s="246">
        <f>IFERROR(VLOOKUP(F953,VOL_REC[],2,FALSE),0)</f>
        <v>11089674.200000001</v>
      </c>
      <c r="AW953" s="246">
        <f>IFERROR(VLOOKUP(G953,VOL_REC[],2,FALSE),0)</f>
        <v>15540036.397699751</v>
      </c>
      <c r="AX953" s="246">
        <f>IFERROR(VLOOKUP(H953,VOL_REC[],2,FALSE),0)</f>
        <v>1812240</v>
      </c>
      <c r="AY953" s="246">
        <f>IFERROR(VLOOKUP(I953,VOL_REC[],2,FALSE),0)</f>
        <v>105072</v>
      </c>
      <c r="AZ953" s="246">
        <f>IFERROR(VLOOKUP(J953,VOL_REC[],2,FALSE),0)</f>
        <v>1072354.9981737854</v>
      </c>
      <c r="BA953" s="246">
        <f>IFERROR(VLOOKUP(K953,VOL_REC[],2,FALSE),0)</f>
        <v>740113.98115702497</v>
      </c>
      <c r="BB953" s="246">
        <f>IFERROR(VLOOKUP(L953,VOL_REC[],2,FALSE),0)</f>
        <v>0</v>
      </c>
      <c r="BC953" s="246">
        <f>IFERROR(VLOOKUP(M953,VOL_REC[],2,FALSE),0)</f>
        <v>0</v>
      </c>
      <c r="BD953" s="246">
        <f>IFERROR(VLOOKUP(N953,VOL_REC[],2,FALSE),0)</f>
        <v>0</v>
      </c>
      <c r="BE953" s="246">
        <f>IFERROR(VLOOKUP(O953,VOL_REC[],2,FALSE),0)</f>
        <v>0</v>
      </c>
      <c r="BF953" s="246">
        <f>IFERROR(VLOOKUP(P953,VOL_REC[],2,FALSE),0)</f>
        <v>0</v>
      </c>
      <c r="BG953" s="246">
        <f>IFERROR(VLOOKUP(Q953,VOL_REC[],2,FALSE),0)</f>
        <v>0</v>
      </c>
      <c r="BH953" s="1710">
        <f t="shared" si="56"/>
        <v>24426266707.762115</v>
      </c>
      <c r="BI953" s="1710">
        <f t="shared" si="57"/>
        <v>21788922746.299141</v>
      </c>
      <c r="BJ953" s="1711">
        <f t="shared" si="58"/>
        <v>30359491.577030562</v>
      </c>
      <c r="BK953" s="1711">
        <f t="shared" si="59"/>
        <v>1.121040585263029</v>
      </c>
      <c r="BL953">
        <f>BJ953</f>
        <v>30359491.577030562</v>
      </c>
      <c r="BO953">
        <f>BL953</f>
        <v>30359491.577030562</v>
      </c>
    </row>
    <row r="954" spans="3:67" x14ac:dyDescent="0.25">
      <c r="C954" s="246" t="s">
        <v>2304</v>
      </c>
      <c r="D954" s="246">
        <v>1</v>
      </c>
      <c r="E954" s="246">
        <v>2</v>
      </c>
      <c r="F954" s="246">
        <v>3</v>
      </c>
      <c r="G954" s="246">
        <v>6</v>
      </c>
      <c r="H954" s="246">
        <v>12</v>
      </c>
      <c r="I954" s="246">
        <v>13</v>
      </c>
      <c r="J954" s="246">
        <v>14</v>
      </c>
      <c r="K954" s="246">
        <v>15</v>
      </c>
      <c r="L954" s="246"/>
      <c r="M954" s="246"/>
      <c r="N954" s="246"/>
      <c r="O954" s="246"/>
      <c r="P954" s="246"/>
      <c r="Q954" s="246"/>
      <c r="R954" s="246">
        <f>IFERROR(VLOOKUP(D954,PROGRAMAS[],2,FALSE),0)</f>
        <v>97037803.679377079</v>
      </c>
      <c r="S954" s="246">
        <f>IFERROR(VLOOKUP(E954,PROGRAMAS[],2,FALSE),0)</f>
        <v>640501509.6821388</v>
      </c>
      <c r="T954" s="246">
        <f>IFERROR(VLOOKUP(F954,PROGRAMAS[],2,FALSE),0)</f>
        <v>3062327798.1525245</v>
      </c>
      <c r="U954" s="246">
        <f>IFERROR(VLOOKUP(G954,PROGRAMAS[],2,FALSE),0)</f>
        <v>6907648435.8447599</v>
      </c>
      <c r="V954" s="246">
        <f>IFERROR(VLOOKUP(H954,PROGRAMAS[],2,FALSE),0)</f>
        <v>764796700.79905891</v>
      </c>
      <c r="W954" s="246">
        <f>IFERROR(VLOOKUP(I954,PROGRAMAS[],2,FALSE),0)</f>
        <v>3776538594.4604583</v>
      </c>
      <c r="X954" s="246">
        <f>IFERROR(VLOOKUP(J954,PROGRAMAS[],2,FALSE),0)</f>
        <v>54223862.645839565</v>
      </c>
      <c r="Y954" s="246">
        <f>IFERROR(VLOOKUP(K954,PROGRAMAS[],2,FALSE),0)</f>
        <v>122159672.96346797</v>
      </c>
      <c r="Z954" s="246">
        <f>IFERROR(VLOOKUP(L954,PROGRAMAS[],2,FALSE),0)</f>
        <v>0</v>
      </c>
      <c r="AA954" s="246">
        <f>IFERROR(VLOOKUP(M954,PROGRAMAS[],2,FALSE),0)</f>
        <v>0</v>
      </c>
      <c r="AB954" s="246">
        <f>IFERROR(VLOOKUP(N954,PROGRAMAS[],2,FALSE),0)</f>
        <v>0</v>
      </c>
      <c r="AC954" s="246">
        <f>IFERROR(VLOOKUP(O954,PROGRAMAS[],2,FALSE),0)</f>
        <v>0</v>
      </c>
      <c r="AD954" s="246">
        <f>IFERROR(VLOOKUP(P954,PROGRAMAS[],2,FALSE),0)</f>
        <v>0</v>
      </c>
      <c r="AE954" s="246">
        <f>IFERROR(VLOOKUP(Q954,PROGRAMAS[],2,FALSE),0)</f>
        <v>0</v>
      </c>
      <c r="AF954" s="246">
        <f>IFERROR(VLOOKUP(D954,PROGRAMAS[],3,FALSE),0)</f>
        <v>841888629.31080008</v>
      </c>
      <c r="AG954" s="246">
        <f>IFERROR(VLOOKUP(E954,PROGRAMAS[],3,FALSE),0)</f>
        <v>3848980803.1642323</v>
      </c>
      <c r="AH954" s="246">
        <f>IFERROR(VLOOKUP(F954,PROGRAMAS[],3,FALSE),0)</f>
        <v>3394901471.387517</v>
      </c>
      <c r="AI954" s="246">
        <f>IFERROR(VLOOKUP(G954,PROGRAMAS[],3,FALSE),0)</f>
        <v>6129902208.7912121</v>
      </c>
      <c r="AJ954" s="246">
        <f>IFERROR(VLOOKUP(H954,PROGRAMAS[],3,FALSE),0)</f>
        <v>675517840.109828</v>
      </c>
      <c r="AK954" s="246">
        <f>IFERROR(VLOOKUP(I954,PROGRAMAS[],3,FALSE),0)</f>
        <v>2392571243.5584412</v>
      </c>
      <c r="AL954" s="246">
        <f>IFERROR(VLOOKUP(J954,PROGRAMAS[],3,FALSE),0)</f>
        <v>31865326.38096505</v>
      </c>
      <c r="AM954" s="246">
        <f>IFERROR(VLOOKUP(K954,PROGRAMAS[],3,FALSE),0)</f>
        <v>118617452.52510804</v>
      </c>
      <c r="AN954" s="246">
        <f>IFERROR(VLOOKUP(L954,PROGRAMAS[],3,FALSE),0)</f>
        <v>0</v>
      </c>
      <c r="AO954" s="246">
        <f>IFERROR(VLOOKUP(M954,PROGRAMAS[],3,FALSE),0)</f>
        <v>0</v>
      </c>
      <c r="AP954" s="246">
        <f>IFERROR(VLOOKUP(N954,PROGRAMAS[],3,FALSE),0)</f>
        <v>0</v>
      </c>
      <c r="AQ954" s="246">
        <f>IFERROR(VLOOKUP(O954,PROGRAMAS[],3,FALSE),0)</f>
        <v>0</v>
      </c>
      <c r="AR954" s="246">
        <f>IFERROR(VLOOKUP(P954,PROGRAMAS[],3,FALSE),0)</f>
        <v>0</v>
      </c>
      <c r="AS954" s="246">
        <f>IFERROR(VLOOKUP(Q954,PROGRAMAS[],3,FALSE),0)</f>
        <v>0</v>
      </c>
      <c r="AT954" s="246">
        <f>IFERROR(VLOOKUP(D954,VOL_REC[],2,FALSE),0)</f>
        <v>0</v>
      </c>
      <c r="AU954" s="246">
        <f>IFERROR(VLOOKUP(E954,VOL_REC[],2,FALSE),0)</f>
        <v>0</v>
      </c>
      <c r="AV954" s="246">
        <f>IFERROR(VLOOKUP(F954,VOL_REC[],2,FALSE),0)</f>
        <v>11089674.200000001</v>
      </c>
      <c r="AW954" s="246">
        <f>IFERROR(VLOOKUP(G954,VOL_REC[],2,FALSE),0)</f>
        <v>15540036.397699751</v>
      </c>
      <c r="AX954" s="246">
        <f>IFERROR(VLOOKUP(H954,VOL_REC[],2,FALSE),0)</f>
        <v>240696.79238099116</v>
      </c>
      <c r="AY954" s="246">
        <f>IFERROR(VLOOKUP(I954,VOL_REC[],2,FALSE),0)</f>
        <v>663244.80000000016</v>
      </c>
      <c r="AZ954" s="246">
        <f>IFERROR(VLOOKUP(J954,VOL_REC[],2,FALSE),0)</f>
        <v>17074.045034105649</v>
      </c>
      <c r="BA954" s="246">
        <f>IFERROR(VLOOKUP(K954,VOL_REC[],2,FALSE),0)</f>
        <v>105072</v>
      </c>
      <c r="BB954" s="246">
        <f>IFERROR(VLOOKUP(L954,VOL_REC[],2,FALSE),0)</f>
        <v>0</v>
      </c>
      <c r="BC954" s="246">
        <f>IFERROR(VLOOKUP(M954,VOL_REC[],2,FALSE),0)</f>
        <v>0</v>
      </c>
      <c r="BD954" s="246">
        <f>IFERROR(VLOOKUP(N954,VOL_REC[],2,FALSE),0)</f>
        <v>0</v>
      </c>
      <c r="BE954" s="246">
        <f>IFERROR(VLOOKUP(O954,VOL_REC[],2,FALSE),0)</f>
        <v>0</v>
      </c>
      <c r="BF954" s="246">
        <f>IFERROR(VLOOKUP(P954,VOL_REC[],2,FALSE),0)</f>
        <v>0</v>
      </c>
      <c r="BG954" s="246">
        <f>IFERROR(VLOOKUP(Q954,VOL_REC[],2,FALSE),0)</f>
        <v>0</v>
      </c>
      <c r="BH954" s="1710">
        <f t="shared" si="56"/>
        <v>15425234378.227627</v>
      </c>
      <c r="BI954" s="1710">
        <f t="shared" si="57"/>
        <v>17434244975.228107</v>
      </c>
      <c r="BJ954" s="1711">
        <f t="shared" si="58"/>
        <v>27655798.235114854</v>
      </c>
      <c r="BK954" s="1711">
        <f t="shared" si="59"/>
        <v>0.88476641231925823</v>
      </c>
    </row>
    <row r="955" spans="3:67" x14ac:dyDescent="0.25">
      <c r="C955" s="246" t="s">
        <v>2305</v>
      </c>
      <c r="D955" s="246">
        <v>1</v>
      </c>
      <c r="E955" s="246">
        <v>2</v>
      </c>
      <c r="F955" s="246">
        <v>3</v>
      </c>
      <c r="G955" s="246">
        <v>6</v>
      </c>
      <c r="H955" s="246">
        <v>12</v>
      </c>
      <c r="I955" s="246">
        <v>13</v>
      </c>
      <c r="J955" s="246">
        <v>14</v>
      </c>
      <c r="K955" s="246">
        <v>16</v>
      </c>
      <c r="L955" s="246"/>
      <c r="M955" s="246"/>
      <c r="N955" s="246"/>
      <c r="O955" s="246"/>
      <c r="P955" s="246"/>
      <c r="Q955" s="246"/>
      <c r="R955" s="246">
        <f>IFERROR(VLOOKUP(D955,PROGRAMAS[],2,FALSE),0)</f>
        <v>97037803.679377079</v>
      </c>
      <c r="S955" s="246">
        <f>IFERROR(VLOOKUP(E955,PROGRAMAS[],2,FALSE),0)</f>
        <v>640501509.6821388</v>
      </c>
      <c r="T955" s="246">
        <f>IFERROR(VLOOKUP(F955,PROGRAMAS[],2,FALSE),0)</f>
        <v>3062327798.1525245</v>
      </c>
      <c r="U955" s="246">
        <f>IFERROR(VLOOKUP(G955,PROGRAMAS[],2,FALSE),0)</f>
        <v>6907648435.8447599</v>
      </c>
      <c r="V955" s="246">
        <f>IFERROR(VLOOKUP(H955,PROGRAMAS[],2,FALSE),0)</f>
        <v>764796700.79905891</v>
      </c>
      <c r="W955" s="246">
        <f>IFERROR(VLOOKUP(I955,PROGRAMAS[],2,FALSE),0)</f>
        <v>3776538594.4604583</v>
      </c>
      <c r="X955" s="246">
        <f>IFERROR(VLOOKUP(J955,PROGRAMAS[],2,FALSE),0)</f>
        <v>54223862.645839565</v>
      </c>
      <c r="Y955" s="246">
        <f>IFERROR(VLOOKUP(K955,PROGRAMAS[],2,FALSE),0)</f>
        <v>7068496961.0436354</v>
      </c>
      <c r="Z955" s="246">
        <f>IFERROR(VLOOKUP(L955,PROGRAMAS[],2,FALSE),0)</f>
        <v>0</v>
      </c>
      <c r="AA955" s="246">
        <f>IFERROR(VLOOKUP(M955,PROGRAMAS[],2,FALSE),0)</f>
        <v>0</v>
      </c>
      <c r="AB955" s="246">
        <f>IFERROR(VLOOKUP(N955,PROGRAMAS[],2,FALSE),0)</f>
        <v>0</v>
      </c>
      <c r="AC955" s="246">
        <f>IFERROR(VLOOKUP(O955,PROGRAMAS[],2,FALSE),0)</f>
        <v>0</v>
      </c>
      <c r="AD955" s="246">
        <f>IFERROR(VLOOKUP(P955,PROGRAMAS[],2,FALSE),0)</f>
        <v>0</v>
      </c>
      <c r="AE955" s="246">
        <f>IFERROR(VLOOKUP(Q955,PROGRAMAS[],2,FALSE),0)</f>
        <v>0</v>
      </c>
      <c r="AF955" s="246">
        <f>IFERROR(VLOOKUP(D955,PROGRAMAS[],3,FALSE),0)</f>
        <v>841888629.31080008</v>
      </c>
      <c r="AG955" s="246">
        <f>IFERROR(VLOOKUP(E955,PROGRAMAS[],3,FALSE),0)</f>
        <v>3848980803.1642323</v>
      </c>
      <c r="AH955" s="246">
        <f>IFERROR(VLOOKUP(F955,PROGRAMAS[],3,FALSE),0)</f>
        <v>3394901471.387517</v>
      </c>
      <c r="AI955" s="246">
        <f>IFERROR(VLOOKUP(G955,PROGRAMAS[],3,FALSE),0)</f>
        <v>6129902208.7912121</v>
      </c>
      <c r="AJ955" s="246">
        <f>IFERROR(VLOOKUP(H955,PROGRAMAS[],3,FALSE),0)</f>
        <v>675517840.109828</v>
      </c>
      <c r="AK955" s="246">
        <f>IFERROR(VLOOKUP(I955,PROGRAMAS[],3,FALSE),0)</f>
        <v>2392571243.5584412</v>
      </c>
      <c r="AL955" s="246">
        <f>IFERROR(VLOOKUP(J955,PROGRAMAS[],3,FALSE),0)</f>
        <v>31865326.38096505</v>
      </c>
      <c r="AM955" s="246">
        <f>IFERROR(VLOOKUP(K955,PROGRAMAS[],3,FALSE),0)</f>
        <v>2406564599.0319901</v>
      </c>
      <c r="AN955" s="246">
        <f>IFERROR(VLOOKUP(L955,PROGRAMAS[],3,FALSE),0)</f>
        <v>0</v>
      </c>
      <c r="AO955" s="246">
        <f>IFERROR(VLOOKUP(M955,PROGRAMAS[],3,FALSE),0)</f>
        <v>0</v>
      </c>
      <c r="AP955" s="246">
        <f>IFERROR(VLOOKUP(N955,PROGRAMAS[],3,FALSE),0)</f>
        <v>0</v>
      </c>
      <c r="AQ955" s="246">
        <f>IFERROR(VLOOKUP(O955,PROGRAMAS[],3,FALSE),0)</f>
        <v>0</v>
      </c>
      <c r="AR955" s="246">
        <f>IFERROR(VLOOKUP(P955,PROGRAMAS[],3,FALSE),0)</f>
        <v>0</v>
      </c>
      <c r="AS955" s="246">
        <f>IFERROR(VLOOKUP(Q955,PROGRAMAS[],3,FALSE),0)</f>
        <v>0</v>
      </c>
      <c r="AT955" s="246">
        <f>IFERROR(VLOOKUP(D955,VOL_REC[],2,FALSE),0)</f>
        <v>0</v>
      </c>
      <c r="AU955" s="246">
        <f>IFERROR(VLOOKUP(E955,VOL_REC[],2,FALSE),0)</f>
        <v>0</v>
      </c>
      <c r="AV955" s="246">
        <f>IFERROR(VLOOKUP(F955,VOL_REC[],2,FALSE),0)</f>
        <v>11089674.200000001</v>
      </c>
      <c r="AW955" s="246">
        <f>IFERROR(VLOOKUP(G955,VOL_REC[],2,FALSE),0)</f>
        <v>15540036.397699751</v>
      </c>
      <c r="AX955" s="246">
        <f>IFERROR(VLOOKUP(H955,VOL_REC[],2,FALSE),0)</f>
        <v>240696.79238099116</v>
      </c>
      <c r="AY955" s="246">
        <f>IFERROR(VLOOKUP(I955,VOL_REC[],2,FALSE),0)</f>
        <v>663244.80000000016</v>
      </c>
      <c r="AZ955" s="246">
        <f>IFERROR(VLOOKUP(J955,VOL_REC[],2,FALSE),0)</f>
        <v>17074.045034105649</v>
      </c>
      <c r="BA955" s="246">
        <f>IFERROR(VLOOKUP(K955,VOL_REC[],2,FALSE),0)</f>
        <v>1072354.9981737854</v>
      </c>
      <c r="BB955" s="246">
        <f>IFERROR(VLOOKUP(L955,VOL_REC[],2,FALSE),0)</f>
        <v>0</v>
      </c>
      <c r="BC955" s="246">
        <f>IFERROR(VLOOKUP(M955,VOL_REC[],2,FALSE),0)</f>
        <v>0</v>
      </c>
      <c r="BD955" s="246">
        <f>IFERROR(VLOOKUP(N955,VOL_REC[],2,FALSE),0)</f>
        <v>0</v>
      </c>
      <c r="BE955" s="246">
        <f>IFERROR(VLOOKUP(O955,VOL_REC[],2,FALSE),0)</f>
        <v>0</v>
      </c>
      <c r="BF955" s="246">
        <f>IFERROR(VLOOKUP(P955,VOL_REC[],2,FALSE),0)</f>
        <v>0</v>
      </c>
      <c r="BG955" s="246">
        <f>IFERROR(VLOOKUP(Q955,VOL_REC[],2,FALSE),0)</f>
        <v>0</v>
      </c>
      <c r="BH955" s="1710">
        <f t="shared" si="56"/>
        <v>22371571666.307793</v>
      </c>
      <c r="BI955" s="1710">
        <f t="shared" si="57"/>
        <v>19722192121.734989</v>
      </c>
      <c r="BJ955" s="1711">
        <f t="shared" si="58"/>
        <v>28623081.233288638</v>
      </c>
      <c r="BK955" s="1711">
        <f t="shared" si="59"/>
        <v>1.1343349424962266</v>
      </c>
      <c r="BL955">
        <f>BJ955</f>
        <v>28623081.233288638</v>
      </c>
      <c r="BO955">
        <f>BL955</f>
        <v>28623081.233288638</v>
      </c>
    </row>
    <row r="956" spans="3:67" x14ac:dyDescent="0.25">
      <c r="C956" s="246" t="s">
        <v>2306</v>
      </c>
      <c r="D956" s="246">
        <v>1</v>
      </c>
      <c r="E956" s="246">
        <v>2</v>
      </c>
      <c r="F956" s="246">
        <v>3</v>
      </c>
      <c r="G956" s="246">
        <v>6</v>
      </c>
      <c r="H956" s="246">
        <v>12</v>
      </c>
      <c r="I956" s="246">
        <v>13</v>
      </c>
      <c r="J956" s="246">
        <v>14</v>
      </c>
      <c r="K956" s="246">
        <v>17</v>
      </c>
      <c r="L956" s="246"/>
      <c r="M956" s="246"/>
      <c r="N956" s="246"/>
      <c r="O956" s="246"/>
      <c r="P956" s="246"/>
      <c r="Q956" s="246"/>
      <c r="R956" s="246">
        <f>IFERROR(VLOOKUP(D956,PROGRAMAS[],2,FALSE),0)</f>
        <v>97037803.679377079</v>
      </c>
      <c r="S956" s="246">
        <f>IFERROR(VLOOKUP(E956,PROGRAMAS[],2,FALSE),0)</f>
        <v>640501509.6821388</v>
      </c>
      <c r="T956" s="246">
        <f>IFERROR(VLOOKUP(F956,PROGRAMAS[],2,FALSE),0)</f>
        <v>3062327798.1525245</v>
      </c>
      <c r="U956" s="246">
        <f>IFERROR(VLOOKUP(G956,PROGRAMAS[],2,FALSE),0)</f>
        <v>6907648435.8447599</v>
      </c>
      <c r="V956" s="246">
        <f>IFERROR(VLOOKUP(H956,PROGRAMAS[],2,FALSE),0)</f>
        <v>764796700.79905891</v>
      </c>
      <c r="W956" s="246">
        <f>IFERROR(VLOOKUP(I956,PROGRAMAS[],2,FALSE),0)</f>
        <v>3776538594.4604583</v>
      </c>
      <c r="X956" s="246">
        <f>IFERROR(VLOOKUP(J956,PROGRAMAS[],2,FALSE),0)</f>
        <v>54223862.645839565</v>
      </c>
      <c r="Y956" s="246">
        <f>IFERROR(VLOOKUP(K956,PROGRAMAS[],2,FALSE),0)</f>
        <v>1892779498.5211046</v>
      </c>
      <c r="Z956" s="246">
        <f>IFERROR(VLOOKUP(L956,PROGRAMAS[],2,FALSE),0)</f>
        <v>0</v>
      </c>
      <c r="AA956" s="246">
        <f>IFERROR(VLOOKUP(M956,PROGRAMAS[],2,FALSE),0)</f>
        <v>0</v>
      </c>
      <c r="AB956" s="246">
        <f>IFERROR(VLOOKUP(N956,PROGRAMAS[],2,FALSE),0)</f>
        <v>0</v>
      </c>
      <c r="AC956" s="246">
        <f>IFERROR(VLOOKUP(O956,PROGRAMAS[],2,FALSE),0)</f>
        <v>0</v>
      </c>
      <c r="AD956" s="246">
        <f>IFERROR(VLOOKUP(P956,PROGRAMAS[],2,FALSE),0)</f>
        <v>0</v>
      </c>
      <c r="AE956" s="246">
        <f>IFERROR(VLOOKUP(Q956,PROGRAMAS[],2,FALSE),0)</f>
        <v>0</v>
      </c>
      <c r="AF956" s="246">
        <f>IFERROR(VLOOKUP(D956,PROGRAMAS[],3,FALSE),0)</f>
        <v>841888629.31080008</v>
      </c>
      <c r="AG956" s="246">
        <f>IFERROR(VLOOKUP(E956,PROGRAMAS[],3,FALSE),0)</f>
        <v>3848980803.1642323</v>
      </c>
      <c r="AH956" s="246">
        <f>IFERROR(VLOOKUP(F956,PROGRAMAS[],3,FALSE),0)</f>
        <v>3394901471.387517</v>
      </c>
      <c r="AI956" s="246">
        <f>IFERROR(VLOOKUP(G956,PROGRAMAS[],3,FALSE),0)</f>
        <v>6129902208.7912121</v>
      </c>
      <c r="AJ956" s="246">
        <f>IFERROR(VLOOKUP(H956,PROGRAMAS[],3,FALSE),0)</f>
        <v>675517840.109828</v>
      </c>
      <c r="AK956" s="246">
        <f>IFERROR(VLOOKUP(I956,PROGRAMAS[],3,FALSE),0)</f>
        <v>2392571243.5584412</v>
      </c>
      <c r="AL956" s="246">
        <f>IFERROR(VLOOKUP(J956,PROGRAMAS[],3,FALSE),0)</f>
        <v>31865326.38096505</v>
      </c>
      <c r="AM956" s="246">
        <f>IFERROR(VLOOKUP(K956,PROGRAMAS[],3,FALSE),0)</f>
        <v>948595847.09039903</v>
      </c>
      <c r="AN956" s="246">
        <f>IFERROR(VLOOKUP(L956,PROGRAMAS[],3,FALSE),0)</f>
        <v>0</v>
      </c>
      <c r="AO956" s="246">
        <f>IFERROR(VLOOKUP(M956,PROGRAMAS[],3,FALSE),0)</f>
        <v>0</v>
      </c>
      <c r="AP956" s="246">
        <f>IFERROR(VLOOKUP(N956,PROGRAMAS[],3,FALSE),0)</f>
        <v>0</v>
      </c>
      <c r="AQ956" s="246">
        <f>IFERROR(VLOOKUP(O956,PROGRAMAS[],3,FALSE),0)</f>
        <v>0</v>
      </c>
      <c r="AR956" s="246">
        <f>IFERROR(VLOOKUP(P956,PROGRAMAS[],3,FALSE),0)</f>
        <v>0</v>
      </c>
      <c r="AS956" s="246">
        <f>IFERROR(VLOOKUP(Q956,PROGRAMAS[],3,FALSE),0)</f>
        <v>0</v>
      </c>
      <c r="AT956" s="246">
        <f>IFERROR(VLOOKUP(D956,VOL_REC[],2,FALSE),0)</f>
        <v>0</v>
      </c>
      <c r="AU956" s="246">
        <f>IFERROR(VLOOKUP(E956,VOL_REC[],2,FALSE),0)</f>
        <v>0</v>
      </c>
      <c r="AV956" s="246">
        <f>IFERROR(VLOOKUP(F956,VOL_REC[],2,FALSE),0)</f>
        <v>11089674.200000001</v>
      </c>
      <c r="AW956" s="246">
        <f>IFERROR(VLOOKUP(G956,VOL_REC[],2,FALSE),0)</f>
        <v>15540036.397699751</v>
      </c>
      <c r="AX956" s="246">
        <f>IFERROR(VLOOKUP(H956,VOL_REC[],2,FALSE),0)</f>
        <v>240696.79238099116</v>
      </c>
      <c r="AY956" s="246">
        <f>IFERROR(VLOOKUP(I956,VOL_REC[],2,FALSE),0)</f>
        <v>663244.80000000016</v>
      </c>
      <c r="AZ956" s="246">
        <f>IFERROR(VLOOKUP(J956,VOL_REC[],2,FALSE),0)</f>
        <v>17074.045034105649</v>
      </c>
      <c r="BA956" s="246">
        <f>IFERROR(VLOOKUP(K956,VOL_REC[],2,FALSE),0)</f>
        <v>740113.98115702497</v>
      </c>
      <c r="BB956" s="246">
        <f>IFERROR(VLOOKUP(L956,VOL_REC[],2,FALSE),0)</f>
        <v>0</v>
      </c>
      <c r="BC956" s="246">
        <f>IFERROR(VLOOKUP(M956,VOL_REC[],2,FALSE),0)</f>
        <v>0</v>
      </c>
      <c r="BD956" s="246">
        <f>IFERROR(VLOOKUP(N956,VOL_REC[],2,FALSE),0)</f>
        <v>0</v>
      </c>
      <c r="BE956" s="246">
        <f>IFERROR(VLOOKUP(O956,VOL_REC[],2,FALSE),0)</f>
        <v>0</v>
      </c>
      <c r="BF956" s="246">
        <f>IFERROR(VLOOKUP(P956,VOL_REC[],2,FALSE),0)</f>
        <v>0</v>
      </c>
      <c r="BG956" s="246">
        <f>IFERROR(VLOOKUP(Q956,VOL_REC[],2,FALSE),0)</f>
        <v>0</v>
      </c>
      <c r="BH956" s="1710">
        <f t="shared" si="56"/>
        <v>17195854203.785263</v>
      </c>
      <c r="BI956" s="1710">
        <f t="shared" si="57"/>
        <v>18264223369.7934</v>
      </c>
      <c r="BJ956" s="1711">
        <f t="shared" si="58"/>
        <v>28290840.216271877</v>
      </c>
      <c r="BK956" s="1711">
        <f t="shared" si="59"/>
        <v>0.94150481274911046</v>
      </c>
    </row>
    <row r="957" spans="3:67" x14ac:dyDescent="0.25">
      <c r="C957" s="246" t="s">
        <v>2307</v>
      </c>
      <c r="D957" s="246">
        <v>1</v>
      </c>
      <c r="E957" s="246">
        <v>2</v>
      </c>
      <c r="F957" s="246">
        <v>3</v>
      </c>
      <c r="G957" s="246">
        <v>6</v>
      </c>
      <c r="H957" s="246">
        <v>12</v>
      </c>
      <c r="I957" s="246">
        <v>13</v>
      </c>
      <c r="J957" s="246">
        <v>15</v>
      </c>
      <c r="K957" s="246">
        <v>16</v>
      </c>
      <c r="L957" s="246"/>
      <c r="M957" s="246"/>
      <c r="N957" s="246"/>
      <c r="O957" s="246"/>
      <c r="P957" s="246"/>
      <c r="Q957" s="246"/>
      <c r="R957" s="246">
        <f>IFERROR(VLOOKUP(D957,PROGRAMAS[],2,FALSE),0)</f>
        <v>97037803.679377079</v>
      </c>
      <c r="S957" s="246">
        <f>IFERROR(VLOOKUP(E957,PROGRAMAS[],2,FALSE),0)</f>
        <v>640501509.6821388</v>
      </c>
      <c r="T957" s="246">
        <f>IFERROR(VLOOKUP(F957,PROGRAMAS[],2,FALSE),0)</f>
        <v>3062327798.1525245</v>
      </c>
      <c r="U957" s="246">
        <f>IFERROR(VLOOKUP(G957,PROGRAMAS[],2,FALSE),0)</f>
        <v>6907648435.8447599</v>
      </c>
      <c r="V957" s="246">
        <f>IFERROR(VLOOKUP(H957,PROGRAMAS[],2,FALSE),0)</f>
        <v>764796700.79905891</v>
      </c>
      <c r="W957" s="246">
        <f>IFERROR(VLOOKUP(I957,PROGRAMAS[],2,FALSE),0)</f>
        <v>3776538594.4604583</v>
      </c>
      <c r="X957" s="246">
        <f>IFERROR(VLOOKUP(J957,PROGRAMAS[],2,FALSE),0)</f>
        <v>122159672.96346797</v>
      </c>
      <c r="Y957" s="246">
        <f>IFERROR(VLOOKUP(K957,PROGRAMAS[],2,FALSE),0)</f>
        <v>7068496961.0436354</v>
      </c>
      <c r="Z957" s="246">
        <f>IFERROR(VLOOKUP(L957,PROGRAMAS[],2,FALSE),0)</f>
        <v>0</v>
      </c>
      <c r="AA957" s="246">
        <f>IFERROR(VLOOKUP(M957,PROGRAMAS[],2,FALSE),0)</f>
        <v>0</v>
      </c>
      <c r="AB957" s="246">
        <f>IFERROR(VLOOKUP(N957,PROGRAMAS[],2,FALSE),0)</f>
        <v>0</v>
      </c>
      <c r="AC957" s="246">
        <f>IFERROR(VLOOKUP(O957,PROGRAMAS[],2,FALSE),0)</f>
        <v>0</v>
      </c>
      <c r="AD957" s="246">
        <f>IFERROR(VLOOKUP(P957,PROGRAMAS[],2,FALSE),0)</f>
        <v>0</v>
      </c>
      <c r="AE957" s="246">
        <f>IFERROR(VLOOKUP(Q957,PROGRAMAS[],2,FALSE),0)</f>
        <v>0</v>
      </c>
      <c r="AF957" s="246">
        <f>IFERROR(VLOOKUP(D957,PROGRAMAS[],3,FALSE),0)</f>
        <v>841888629.31080008</v>
      </c>
      <c r="AG957" s="246">
        <f>IFERROR(VLOOKUP(E957,PROGRAMAS[],3,FALSE),0)</f>
        <v>3848980803.1642323</v>
      </c>
      <c r="AH957" s="246">
        <f>IFERROR(VLOOKUP(F957,PROGRAMAS[],3,FALSE),0)</f>
        <v>3394901471.387517</v>
      </c>
      <c r="AI957" s="246">
        <f>IFERROR(VLOOKUP(G957,PROGRAMAS[],3,FALSE),0)</f>
        <v>6129902208.7912121</v>
      </c>
      <c r="AJ957" s="246">
        <f>IFERROR(VLOOKUP(H957,PROGRAMAS[],3,FALSE),0)</f>
        <v>675517840.109828</v>
      </c>
      <c r="AK957" s="246">
        <f>IFERROR(VLOOKUP(I957,PROGRAMAS[],3,FALSE),0)</f>
        <v>2392571243.5584412</v>
      </c>
      <c r="AL957" s="246">
        <f>IFERROR(VLOOKUP(J957,PROGRAMAS[],3,FALSE),0)</f>
        <v>118617452.52510804</v>
      </c>
      <c r="AM957" s="246">
        <f>IFERROR(VLOOKUP(K957,PROGRAMAS[],3,FALSE),0)</f>
        <v>2406564599.0319901</v>
      </c>
      <c r="AN957" s="246">
        <f>IFERROR(VLOOKUP(L957,PROGRAMAS[],3,FALSE),0)</f>
        <v>0</v>
      </c>
      <c r="AO957" s="246">
        <f>IFERROR(VLOOKUP(M957,PROGRAMAS[],3,FALSE),0)</f>
        <v>0</v>
      </c>
      <c r="AP957" s="246">
        <f>IFERROR(VLOOKUP(N957,PROGRAMAS[],3,FALSE),0)</f>
        <v>0</v>
      </c>
      <c r="AQ957" s="246">
        <f>IFERROR(VLOOKUP(O957,PROGRAMAS[],3,FALSE),0)</f>
        <v>0</v>
      </c>
      <c r="AR957" s="246">
        <f>IFERROR(VLOOKUP(P957,PROGRAMAS[],3,FALSE),0)</f>
        <v>0</v>
      </c>
      <c r="AS957" s="246">
        <f>IFERROR(VLOOKUP(Q957,PROGRAMAS[],3,FALSE),0)</f>
        <v>0</v>
      </c>
      <c r="AT957" s="246">
        <f>IFERROR(VLOOKUP(D957,VOL_REC[],2,FALSE),0)</f>
        <v>0</v>
      </c>
      <c r="AU957" s="246">
        <f>IFERROR(VLOOKUP(E957,VOL_REC[],2,FALSE),0)</f>
        <v>0</v>
      </c>
      <c r="AV957" s="246">
        <f>IFERROR(VLOOKUP(F957,VOL_REC[],2,FALSE),0)</f>
        <v>11089674.200000001</v>
      </c>
      <c r="AW957" s="246">
        <f>IFERROR(VLOOKUP(G957,VOL_REC[],2,FALSE),0)</f>
        <v>15540036.397699751</v>
      </c>
      <c r="AX957" s="246">
        <f>IFERROR(VLOOKUP(H957,VOL_REC[],2,FALSE),0)</f>
        <v>240696.79238099116</v>
      </c>
      <c r="AY957" s="246">
        <f>IFERROR(VLOOKUP(I957,VOL_REC[],2,FALSE),0)</f>
        <v>663244.80000000016</v>
      </c>
      <c r="AZ957" s="246">
        <f>IFERROR(VLOOKUP(J957,VOL_REC[],2,FALSE),0)</f>
        <v>105072</v>
      </c>
      <c r="BA957" s="246">
        <f>IFERROR(VLOOKUP(K957,VOL_REC[],2,FALSE),0)</f>
        <v>1072354.9981737854</v>
      </c>
      <c r="BB957" s="246">
        <f>IFERROR(VLOOKUP(L957,VOL_REC[],2,FALSE),0)</f>
        <v>0</v>
      </c>
      <c r="BC957" s="246">
        <f>IFERROR(VLOOKUP(M957,VOL_REC[],2,FALSE),0)</f>
        <v>0</v>
      </c>
      <c r="BD957" s="246">
        <f>IFERROR(VLOOKUP(N957,VOL_REC[],2,FALSE),0)</f>
        <v>0</v>
      </c>
      <c r="BE957" s="246">
        <f>IFERROR(VLOOKUP(O957,VOL_REC[],2,FALSE),0)</f>
        <v>0</v>
      </c>
      <c r="BF957" s="246">
        <f>IFERROR(VLOOKUP(P957,VOL_REC[],2,FALSE),0)</f>
        <v>0</v>
      </c>
      <c r="BG957" s="246">
        <f>IFERROR(VLOOKUP(Q957,VOL_REC[],2,FALSE),0)</f>
        <v>0</v>
      </c>
      <c r="BH957" s="1710">
        <f t="shared" si="56"/>
        <v>22439507476.625423</v>
      </c>
      <c r="BI957" s="1710">
        <f t="shared" si="57"/>
        <v>19808944247.879131</v>
      </c>
      <c r="BJ957" s="1711">
        <f t="shared" si="58"/>
        <v>28711079.188254531</v>
      </c>
      <c r="BK957" s="1711">
        <f t="shared" si="59"/>
        <v>1.1327967404940289</v>
      </c>
      <c r="BL957">
        <f>BJ957</f>
        <v>28711079.188254531</v>
      </c>
      <c r="BO957">
        <f>BL957</f>
        <v>28711079.188254531</v>
      </c>
    </row>
    <row r="958" spans="3:67" x14ac:dyDescent="0.25">
      <c r="C958" s="246" t="s">
        <v>2308</v>
      </c>
      <c r="D958" s="246">
        <v>1</v>
      </c>
      <c r="E958" s="246">
        <v>2</v>
      </c>
      <c r="F958" s="246">
        <v>3</v>
      </c>
      <c r="G958" s="246">
        <v>6</v>
      </c>
      <c r="H958" s="246">
        <v>12</v>
      </c>
      <c r="I958" s="246">
        <v>13</v>
      </c>
      <c r="J958" s="246">
        <v>15</v>
      </c>
      <c r="K958" s="246">
        <v>17</v>
      </c>
      <c r="L958" s="246"/>
      <c r="M958" s="246"/>
      <c r="N958" s="246"/>
      <c r="O958" s="246"/>
      <c r="P958" s="246"/>
      <c r="Q958" s="246"/>
      <c r="R958" s="246">
        <f>IFERROR(VLOOKUP(D958,PROGRAMAS[],2,FALSE),0)</f>
        <v>97037803.679377079</v>
      </c>
      <c r="S958" s="246">
        <f>IFERROR(VLOOKUP(E958,PROGRAMAS[],2,FALSE),0)</f>
        <v>640501509.6821388</v>
      </c>
      <c r="T958" s="246">
        <f>IFERROR(VLOOKUP(F958,PROGRAMAS[],2,FALSE),0)</f>
        <v>3062327798.1525245</v>
      </c>
      <c r="U958" s="246">
        <f>IFERROR(VLOOKUP(G958,PROGRAMAS[],2,FALSE),0)</f>
        <v>6907648435.8447599</v>
      </c>
      <c r="V958" s="246">
        <f>IFERROR(VLOOKUP(H958,PROGRAMAS[],2,FALSE),0)</f>
        <v>764796700.79905891</v>
      </c>
      <c r="W958" s="246">
        <f>IFERROR(VLOOKUP(I958,PROGRAMAS[],2,FALSE),0)</f>
        <v>3776538594.4604583</v>
      </c>
      <c r="X958" s="246">
        <f>IFERROR(VLOOKUP(J958,PROGRAMAS[],2,FALSE),0)</f>
        <v>122159672.96346797</v>
      </c>
      <c r="Y958" s="246">
        <f>IFERROR(VLOOKUP(K958,PROGRAMAS[],2,FALSE),0)</f>
        <v>1892779498.5211046</v>
      </c>
      <c r="Z958" s="246">
        <f>IFERROR(VLOOKUP(L958,PROGRAMAS[],2,FALSE),0)</f>
        <v>0</v>
      </c>
      <c r="AA958" s="246">
        <f>IFERROR(VLOOKUP(M958,PROGRAMAS[],2,FALSE),0)</f>
        <v>0</v>
      </c>
      <c r="AB958" s="246">
        <f>IFERROR(VLOOKUP(N958,PROGRAMAS[],2,FALSE),0)</f>
        <v>0</v>
      </c>
      <c r="AC958" s="246">
        <f>IFERROR(VLOOKUP(O958,PROGRAMAS[],2,FALSE),0)</f>
        <v>0</v>
      </c>
      <c r="AD958" s="246">
        <f>IFERROR(VLOOKUP(P958,PROGRAMAS[],2,FALSE),0)</f>
        <v>0</v>
      </c>
      <c r="AE958" s="246">
        <f>IFERROR(VLOOKUP(Q958,PROGRAMAS[],2,FALSE),0)</f>
        <v>0</v>
      </c>
      <c r="AF958" s="246">
        <f>IFERROR(VLOOKUP(D958,PROGRAMAS[],3,FALSE),0)</f>
        <v>841888629.31080008</v>
      </c>
      <c r="AG958" s="246">
        <f>IFERROR(VLOOKUP(E958,PROGRAMAS[],3,FALSE),0)</f>
        <v>3848980803.1642323</v>
      </c>
      <c r="AH958" s="246">
        <f>IFERROR(VLOOKUP(F958,PROGRAMAS[],3,FALSE),0)</f>
        <v>3394901471.387517</v>
      </c>
      <c r="AI958" s="246">
        <f>IFERROR(VLOOKUP(G958,PROGRAMAS[],3,FALSE),0)</f>
        <v>6129902208.7912121</v>
      </c>
      <c r="AJ958" s="246">
        <f>IFERROR(VLOOKUP(H958,PROGRAMAS[],3,FALSE),0)</f>
        <v>675517840.109828</v>
      </c>
      <c r="AK958" s="246">
        <f>IFERROR(VLOOKUP(I958,PROGRAMAS[],3,FALSE),0)</f>
        <v>2392571243.5584412</v>
      </c>
      <c r="AL958" s="246">
        <f>IFERROR(VLOOKUP(J958,PROGRAMAS[],3,FALSE),0)</f>
        <v>118617452.52510804</v>
      </c>
      <c r="AM958" s="246">
        <f>IFERROR(VLOOKUP(K958,PROGRAMAS[],3,FALSE),0)</f>
        <v>948595847.09039903</v>
      </c>
      <c r="AN958" s="246">
        <f>IFERROR(VLOOKUP(L958,PROGRAMAS[],3,FALSE),0)</f>
        <v>0</v>
      </c>
      <c r="AO958" s="246">
        <f>IFERROR(VLOOKUP(M958,PROGRAMAS[],3,FALSE),0)</f>
        <v>0</v>
      </c>
      <c r="AP958" s="246">
        <f>IFERROR(VLOOKUP(N958,PROGRAMAS[],3,FALSE),0)</f>
        <v>0</v>
      </c>
      <c r="AQ958" s="246">
        <f>IFERROR(VLOOKUP(O958,PROGRAMAS[],3,FALSE),0)</f>
        <v>0</v>
      </c>
      <c r="AR958" s="246">
        <f>IFERROR(VLOOKUP(P958,PROGRAMAS[],3,FALSE),0)</f>
        <v>0</v>
      </c>
      <c r="AS958" s="246">
        <f>IFERROR(VLOOKUP(Q958,PROGRAMAS[],3,FALSE),0)</f>
        <v>0</v>
      </c>
      <c r="AT958" s="246">
        <f>IFERROR(VLOOKUP(D958,VOL_REC[],2,FALSE),0)</f>
        <v>0</v>
      </c>
      <c r="AU958" s="246">
        <f>IFERROR(VLOOKUP(E958,VOL_REC[],2,FALSE),0)</f>
        <v>0</v>
      </c>
      <c r="AV958" s="246">
        <f>IFERROR(VLOOKUP(F958,VOL_REC[],2,FALSE),0)</f>
        <v>11089674.200000001</v>
      </c>
      <c r="AW958" s="246">
        <f>IFERROR(VLOOKUP(G958,VOL_REC[],2,FALSE),0)</f>
        <v>15540036.397699751</v>
      </c>
      <c r="AX958" s="246">
        <f>IFERROR(VLOOKUP(H958,VOL_REC[],2,FALSE),0)</f>
        <v>240696.79238099116</v>
      </c>
      <c r="AY958" s="246">
        <f>IFERROR(VLOOKUP(I958,VOL_REC[],2,FALSE),0)</f>
        <v>663244.80000000016</v>
      </c>
      <c r="AZ958" s="246">
        <f>IFERROR(VLOOKUP(J958,VOL_REC[],2,FALSE),0)</f>
        <v>105072</v>
      </c>
      <c r="BA958" s="246">
        <f>IFERROR(VLOOKUP(K958,VOL_REC[],2,FALSE),0)</f>
        <v>740113.98115702497</v>
      </c>
      <c r="BB958" s="246">
        <f>IFERROR(VLOOKUP(L958,VOL_REC[],2,FALSE),0)</f>
        <v>0</v>
      </c>
      <c r="BC958" s="246">
        <f>IFERROR(VLOOKUP(M958,VOL_REC[],2,FALSE),0)</f>
        <v>0</v>
      </c>
      <c r="BD958" s="246">
        <f>IFERROR(VLOOKUP(N958,VOL_REC[],2,FALSE),0)</f>
        <v>0</v>
      </c>
      <c r="BE958" s="246">
        <f>IFERROR(VLOOKUP(O958,VOL_REC[],2,FALSE),0)</f>
        <v>0</v>
      </c>
      <c r="BF958" s="246">
        <f>IFERROR(VLOOKUP(P958,VOL_REC[],2,FALSE),0)</f>
        <v>0</v>
      </c>
      <c r="BG958" s="246">
        <f>IFERROR(VLOOKUP(Q958,VOL_REC[],2,FALSE),0)</f>
        <v>0</v>
      </c>
      <c r="BH958" s="1710">
        <f t="shared" si="56"/>
        <v>17263790014.10289</v>
      </c>
      <c r="BI958" s="1710">
        <f t="shared" si="57"/>
        <v>18350975495.937542</v>
      </c>
      <c r="BJ958" s="1711">
        <f t="shared" si="58"/>
        <v>28378838.17123777</v>
      </c>
      <c r="BK958" s="1711">
        <f t="shared" si="59"/>
        <v>0.94075598422136586</v>
      </c>
    </row>
    <row r="959" spans="3:67" x14ac:dyDescent="0.25">
      <c r="C959" s="246" t="s">
        <v>2309</v>
      </c>
      <c r="D959" s="246">
        <v>1</v>
      </c>
      <c r="E959" s="246">
        <v>2</v>
      </c>
      <c r="F959" s="246">
        <v>3</v>
      </c>
      <c r="G959" s="246">
        <v>6</v>
      </c>
      <c r="H959" s="246">
        <v>12</v>
      </c>
      <c r="I959" s="246">
        <v>13</v>
      </c>
      <c r="J959" s="246">
        <v>16</v>
      </c>
      <c r="K959" s="246">
        <v>17</v>
      </c>
      <c r="L959" s="246"/>
      <c r="M959" s="246"/>
      <c r="N959" s="246"/>
      <c r="O959" s="246"/>
      <c r="P959" s="246"/>
      <c r="Q959" s="246"/>
      <c r="R959" s="246">
        <f>IFERROR(VLOOKUP(D959,PROGRAMAS[],2,FALSE),0)</f>
        <v>97037803.679377079</v>
      </c>
      <c r="S959" s="246">
        <f>IFERROR(VLOOKUP(E959,PROGRAMAS[],2,FALSE),0)</f>
        <v>640501509.6821388</v>
      </c>
      <c r="T959" s="246">
        <f>IFERROR(VLOOKUP(F959,PROGRAMAS[],2,FALSE),0)</f>
        <v>3062327798.1525245</v>
      </c>
      <c r="U959" s="246">
        <f>IFERROR(VLOOKUP(G959,PROGRAMAS[],2,FALSE),0)</f>
        <v>6907648435.8447599</v>
      </c>
      <c r="V959" s="246">
        <f>IFERROR(VLOOKUP(H959,PROGRAMAS[],2,FALSE),0)</f>
        <v>764796700.79905891</v>
      </c>
      <c r="W959" s="246">
        <f>IFERROR(VLOOKUP(I959,PROGRAMAS[],2,FALSE),0)</f>
        <v>3776538594.4604583</v>
      </c>
      <c r="X959" s="246">
        <f>IFERROR(VLOOKUP(J959,PROGRAMAS[],2,FALSE),0)</f>
        <v>7068496961.0436354</v>
      </c>
      <c r="Y959" s="246">
        <f>IFERROR(VLOOKUP(K959,PROGRAMAS[],2,FALSE),0)</f>
        <v>1892779498.5211046</v>
      </c>
      <c r="Z959" s="246">
        <f>IFERROR(VLOOKUP(L959,PROGRAMAS[],2,FALSE),0)</f>
        <v>0</v>
      </c>
      <c r="AA959" s="246">
        <f>IFERROR(VLOOKUP(M959,PROGRAMAS[],2,FALSE),0)</f>
        <v>0</v>
      </c>
      <c r="AB959" s="246">
        <f>IFERROR(VLOOKUP(N959,PROGRAMAS[],2,FALSE),0)</f>
        <v>0</v>
      </c>
      <c r="AC959" s="246">
        <f>IFERROR(VLOOKUP(O959,PROGRAMAS[],2,FALSE),0)</f>
        <v>0</v>
      </c>
      <c r="AD959" s="246">
        <f>IFERROR(VLOOKUP(P959,PROGRAMAS[],2,FALSE),0)</f>
        <v>0</v>
      </c>
      <c r="AE959" s="246">
        <f>IFERROR(VLOOKUP(Q959,PROGRAMAS[],2,FALSE),0)</f>
        <v>0</v>
      </c>
      <c r="AF959" s="246">
        <f>IFERROR(VLOOKUP(D959,PROGRAMAS[],3,FALSE),0)</f>
        <v>841888629.31080008</v>
      </c>
      <c r="AG959" s="246">
        <f>IFERROR(VLOOKUP(E959,PROGRAMAS[],3,FALSE),0)</f>
        <v>3848980803.1642323</v>
      </c>
      <c r="AH959" s="246">
        <f>IFERROR(VLOOKUP(F959,PROGRAMAS[],3,FALSE),0)</f>
        <v>3394901471.387517</v>
      </c>
      <c r="AI959" s="246">
        <f>IFERROR(VLOOKUP(G959,PROGRAMAS[],3,FALSE),0)</f>
        <v>6129902208.7912121</v>
      </c>
      <c r="AJ959" s="246">
        <f>IFERROR(VLOOKUP(H959,PROGRAMAS[],3,FALSE),0)</f>
        <v>675517840.109828</v>
      </c>
      <c r="AK959" s="246">
        <f>IFERROR(VLOOKUP(I959,PROGRAMAS[],3,FALSE),0)</f>
        <v>2392571243.5584412</v>
      </c>
      <c r="AL959" s="246">
        <f>IFERROR(VLOOKUP(J959,PROGRAMAS[],3,FALSE),0)</f>
        <v>2406564599.0319901</v>
      </c>
      <c r="AM959" s="246">
        <f>IFERROR(VLOOKUP(K959,PROGRAMAS[],3,FALSE),0)</f>
        <v>948595847.09039903</v>
      </c>
      <c r="AN959" s="246">
        <f>IFERROR(VLOOKUP(L959,PROGRAMAS[],3,FALSE),0)</f>
        <v>0</v>
      </c>
      <c r="AO959" s="246">
        <f>IFERROR(VLOOKUP(M959,PROGRAMAS[],3,FALSE),0)</f>
        <v>0</v>
      </c>
      <c r="AP959" s="246">
        <f>IFERROR(VLOOKUP(N959,PROGRAMAS[],3,FALSE),0)</f>
        <v>0</v>
      </c>
      <c r="AQ959" s="246">
        <f>IFERROR(VLOOKUP(O959,PROGRAMAS[],3,FALSE),0)</f>
        <v>0</v>
      </c>
      <c r="AR959" s="246">
        <f>IFERROR(VLOOKUP(P959,PROGRAMAS[],3,FALSE),0)</f>
        <v>0</v>
      </c>
      <c r="AS959" s="246">
        <f>IFERROR(VLOOKUP(Q959,PROGRAMAS[],3,FALSE),0)</f>
        <v>0</v>
      </c>
      <c r="AT959" s="246">
        <f>IFERROR(VLOOKUP(D959,VOL_REC[],2,FALSE),0)</f>
        <v>0</v>
      </c>
      <c r="AU959" s="246">
        <f>IFERROR(VLOOKUP(E959,VOL_REC[],2,FALSE),0)</f>
        <v>0</v>
      </c>
      <c r="AV959" s="246">
        <f>IFERROR(VLOOKUP(F959,VOL_REC[],2,FALSE),0)</f>
        <v>11089674.200000001</v>
      </c>
      <c r="AW959" s="246">
        <f>IFERROR(VLOOKUP(G959,VOL_REC[],2,FALSE),0)</f>
        <v>15540036.397699751</v>
      </c>
      <c r="AX959" s="246">
        <f>IFERROR(VLOOKUP(H959,VOL_REC[],2,FALSE),0)</f>
        <v>240696.79238099116</v>
      </c>
      <c r="AY959" s="246">
        <f>IFERROR(VLOOKUP(I959,VOL_REC[],2,FALSE),0)</f>
        <v>663244.80000000016</v>
      </c>
      <c r="AZ959" s="246">
        <f>IFERROR(VLOOKUP(J959,VOL_REC[],2,FALSE),0)</f>
        <v>1072354.9981737854</v>
      </c>
      <c r="BA959" s="246">
        <f>IFERROR(VLOOKUP(K959,VOL_REC[],2,FALSE),0)</f>
        <v>740113.98115702497</v>
      </c>
      <c r="BB959" s="246">
        <f>IFERROR(VLOOKUP(L959,VOL_REC[],2,FALSE),0)</f>
        <v>0</v>
      </c>
      <c r="BC959" s="246">
        <f>IFERROR(VLOOKUP(M959,VOL_REC[],2,FALSE),0)</f>
        <v>0</v>
      </c>
      <c r="BD959" s="246">
        <f>IFERROR(VLOOKUP(N959,VOL_REC[],2,FALSE),0)</f>
        <v>0</v>
      </c>
      <c r="BE959" s="246">
        <f>IFERROR(VLOOKUP(O959,VOL_REC[],2,FALSE),0)</f>
        <v>0</v>
      </c>
      <c r="BF959" s="246">
        <f>IFERROR(VLOOKUP(P959,VOL_REC[],2,FALSE),0)</f>
        <v>0</v>
      </c>
      <c r="BG959" s="246">
        <f>IFERROR(VLOOKUP(Q959,VOL_REC[],2,FALSE),0)</f>
        <v>0</v>
      </c>
      <c r="BH959" s="1710">
        <f t="shared" si="56"/>
        <v>24210127302.183056</v>
      </c>
      <c r="BI959" s="1710">
        <f t="shared" si="57"/>
        <v>20638922642.444424</v>
      </c>
      <c r="BJ959" s="1711">
        <f t="shared" si="58"/>
        <v>29346121.169411555</v>
      </c>
      <c r="BK959" s="1711">
        <f t="shared" si="59"/>
        <v>1.1730325134507926</v>
      </c>
      <c r="BL959">
        <f>BJ959</f>
        <v>29346121.169411555</v>
      </c>
      <c r="BO959">
        <f>BL959</f>
        <v>29346121.169411555</v>
      </c>
    </row>
    <row r="960" spans="3:67" x14ac:dyDescent="0.25">
      <c r="C960" s="246" t="s">
        <v>2310</v>
      </c>
      <c r="D960" s="246">
        <v>1</v>
      </c>
      <c r="E960" s="246">
        <v>2</v>
      </c>
      <c r="F960" s="246">
        <v>3</v>
      </c>
      <c r="G960" s="246">
        <v>6</v>
      </c>
      <c r="H960" s="246">
        <v>12</v>
      </c>
      <c r="I960" s="246">
        <v>14</v>
      </c>
      <c r="J960" s="246">
        <v>15</v>
      </c>
      <c r="K960" s="246">
        <v>16</v>
      </c>
      <c r="L960" s="246"/>
      <c r="M960" s="246"/>
      <c r="N960" s="246"/>
      <c r="O960" s="246"/>
      <c r="P960" s="246"/>
      <c r="Q960" s="246"/>
      <c r="R960" s="246">
        <f>IFERROR(VLOOKUP(D960,PROGRAMAS[],2,FALSE),0)</f>
        <v>97037803.679377079</v>
      </c>
      <c r="S960" s="246">
        <f>IFERROR(VLOOKUP(E960,PROGRAMAS[],2,FALSE),0)</f>
        <v>640501509.6821388</v>
      </c>
      <c r="T960" s="246">
        <f>IFERROR(VLOOKUP(F960,PROGRAMAS[],2,FALSE),0)</f>
        <v>3062327798.1525245</v>
      </c>
      <c r="U960" s="246">
        <f>IFERROR(VLOOKUP(G960,PROGRAMAS[],2,FALSE),0)</f>
        <v>6907648435.8447599</v>
      </c>
      <c r="V960" s="246">
        <f>IFERROR(VLOOKUP(H960,PROGRAMAS[],2,FALSE),0)</f>
        <v>764796700.79905891</v>
      </c>
      <c r="W960" s="246">
        <f>IFERROR(VLOOKUP(I960,PROGRAMAS[],2,FALSE),0)</f>
        <v>54223862.645839565</v>
      </c>
      <c r="X960" s="246">
        <f>IFERROR(VLOOKUP(J960,PROGRAMAS[],2,FALSE),0)</f>
        <v>122159672.96346797</v>
      </c>
      <c r="Y960" s="246">
        <f>IFERROR(VLOOKUP(K960,PROGRAMAS[],2,FALSE),0)</f>
        <v>7068496961.0436354</v>
      </c>
      <c r="Z960" s="246">
        <f>IFERROR(VLOOKUP(L960,PROGRAMAS[],2,FALSE),0)</f>
        <v>0</v>
      </c>
      <c r="AA960" s="246">
        <f>IFERROR(VLOOKUP(M960,PROGRAMAS[],2,FALSE),0)</f>
        <v>0</v>
      </c>
      <c r="AB960" s="246">
        <f>IFERROR(VLOOKUP(N960,PROGRAMAS[],2,FALSE),0)</f>
        <v>0</v>
      </c>
      <c r="AC960" s="246">
        <f>IFERROR(VLOOKUP(O960,PROGRAMAS[],2,FALSE),0)</f>
        <v>0</v>
      </c>
      <c r="AD960" s="246">
        <f>IFERROR(VLOOKUP(P960,PROGRAMAS[],2,FALSE),0)</f>
        <v>0</v>
      </c>
      <c r="AE960" s="246">
        <f>IFERROR(VLOOKUP(Q960,PROGRAMAS[],2,FALSE),0)</f>
        <v>0</v>
      </c>
      <c r="AF960" s="246">
        <f>IFERROR(VLOOKUP(D960,PROGRAMAS[],3,FALSE),0)</f>
        <v>841888629.31080008</v>
      </c>
      <c r="AG960" s="246">
        <f>IFERROR(VLOOKUP(E960,PROGRAMAS[],3,FALSE),0)</f>
        <v>3848980803.1642323</v>
      </c>
      <c r="AH960" s="246">
        <f>IFERROR(VLOOKUP(F960,PROGRAMAS[],3,FALSE),0)</f>
        <v>3394901471.387517</v>
      </c>
      <c r="AI960" s="246">
        <f>IFERROR(VLOOKUP(G960,PROGRAMAS[],3,FALSE),0)</f>
        <v>6129902208.7912121</v>
      </c>
      <c r="AJ960" s="246">
        <f>IFERROR(VLOOKUP(H960,PROGRAMAS[],3,FALSE),0)</f>
        <v>675517840.109828</v>
      </c>
      <c r="AK960" s="246">
        <f>IFERROR(VLOOKUP(I960,PROGRAMAS[],3,FALSE),0)</f>
        <v>31865326.38096505</v>
      </c>
      <c r="AL960" s="246">
        <f>IFERROR(VLOOKUP(J960,PROGRAMAS[],3,FALSE),0)</f>
        <v>118617452.52510804</v>
      </c>
      <c r="AM960" s="246">
        <f>IFERROR(VLOOKUP(K960,PROGRAMAS[],3,FALSE),0)</f>
        <v>2406564599.0319901</v>
      </c>
      <c r="AN960" s="246">
        <f>IFERROR(VLOOKUP(L960,PROGRAMAS[],3,FALSE),0)</f>
        <v>0</v>
      </c>
      <c r="AO960" s="246">
        <f>IFERROR(VLOOKUP(M960,PROGRAMAS[],3,FALSE),0)</f>
        <v>0</v>
      </c>
      <c r="AP960" s="246">
        <f>IFERROR(VLOOKUP(N960,PROGRAMAS[],3,FALSE),0)</f>
        <v>0</v>
      </c>
      <c r="AQ960" s="246">
        <f>IFERROR(VLOOKUP(O960,PROGRAMAS[],3,FALSE),0)</f>
        <v>0</v>
      </c>
      <c r="AR960" s="246">
        <f>IFERROR(VLOOKUP(P960,PROGRAMAS[],3,FALSE),0)</f>
        <v>0</v>
      </c>
      <c r="AS960" s="246">
        <f>IFERROR(VLOOKUP(Q960,PROGRAMAS[],3,FALSE),0)</f>
        <v>0</v>
      </c>
      <c r="AT960" s="246">
        <f>IFERROR(VLOOKUP(D960,VOL_REC[],2,FALSE),0)</f>
        <v>0</v>
      </c>
      <c r="AU960" s="246">
        <f>IFERROR(VLOOKUP(E960,VOL_REC[],2,FALSE),0)</f>
        <v>0</v>
      </c>
      <c r="AV960" s="246">
        <f>IFERROR(VLOOKUP(F960,VOL_REC[],2,FALSE),0)</f>
        <v>11089674.200000001</v>
      </c>
      <c r="AW960" s="246">
        <f>IFERROR(VLOOKUP(G960,VOL_REC[],2,FALSE),0)</f>
        <v>15540036.397699751</v>
      </c>
      <c r="AX960" s="246">
        <f>IFERROR(VLOOKUP(H960,VOL_REC[],2,FALSE),0)</f>
        <v>240696.79238099116</v>
      </c>
      <c r="AY960" s="246">
        <f>IFERROR(VLOOKUP(I960,VOL_REC[],2,FALSE),0)</f>
        <v>17074.045034105649</v>
      </c>
      <c r="AZ960" s="246">
        <f>IFERROR(VLOOKUP(J960,VOL_REC[],2,FALSE),0)</f>
        <v>105072</v>
      </c>
      <c r="BA960" s="246">
        <f>IFERROR(VLOOKUP(K960,VOL_REC[],2,FALSE),0)</f>
        <v>1072354.9981737854</v>
      </c>
      <c r="BB960" s="246">
        <f>IFERROR(VLOOKUP(L960,VOL_REC[],2,FALSE),0)</f>
        <v>0</v>
      </c>
      <c r="BC960" s="246">
        <f>IFERROR(VLOOKUP(M960,VOL_REC[],2,FALSE),0)</f>
        <v>0</v>
      </c>
      <c r="BD960" s="246">
        <f>IFERROR(VLOOKUP(N960,VOL_REC[],2,FALSE),0)</f>
        <v>0</v>
      </c>
      <c r="BE960" s="246">
        <f>IFERROR(VLOOKUP(O960,VOL_REC[],2,FALSE),0)</f>
        <v>0</v>
      </c>
      <c r="BF960" s="246">
        <f>IFERROR(VLOOKUP(P960,VOL_REC[],2,FALSE),0)</f>
        <v>0</v>
      </c>
      <c r="BG960" s="246">
        <f>IFERROR(VLOOKUP(Q960,VOL_REC[],2,FALSE),0)</f>
        <v>0</v>
      </c>
      <c r="BH960" s="1710">
        <f t="shared" si="56"/>
        <v>18717192744.810802</v>
      </c>
      <c r="BI960" s="1710">
        <f t="shared" si="57"/>
        <v>17448238330.701653</v>
      </c>
      <c r="BJ960" s="1711">
        <f t="shared" si="58"/>
        <v>28064908.433288638</v>
      </c>
      <c r="BK960" s="1711">
        <f t="shared" si="59"/>
        <v>1.0727267928176059</v>
      </c>
      <c r="BL960">
        <f>BJ960</f>
        <v>28064908.433288638</v>
      </c>
      <c r="BO960">
        <f>BL960</f>
        <v>28064908.433288638</v>
      </c>
    </row>
    <row r="961" spans="3:67" x14ac:dyDescent="0.25">
      <c r="C961" s="246" t="s">
        <v>2311</v>
      </c>
      <c r="D961" s="246">
        <v>1</v>
      </c>
      <c r="E961" s="246">
        <v>2</v>
      </c>
      <c r="F961" s="246">
        <v>3</v>
      </c>
      <c r="G961" s="246">
        <v>6</v>
      </c>
      <c r="H961" s="246">
        <v>12</v>
      </c>
      <c r="I961" s="246">
        <v>14</v>
      </c>
      <c r="J961" s="246">
        <v>15</v>
      </c>
      <c r="K961" s="246">
        <v>17</v>
      </c>
      <c r="L961" s="246"/>
      <c r="M961" s="246"/>
      <c r="N961" s="246"/>
      <c r="O961" s="246"/>
      <c r="P961" s="246"/>
      <c r="Q961" s="246"/>
      <c r="R961" s="246">
        <f>IFERROR(VLOOKUP(D961,PROGRAMAS[],2,FALSE),0)</f>
        <v>97037803.679377079</v>
      </c>
      <c r="S961" s="246">
        <f>IFERROR(VLOOKUP(E961,PROGRAMAS[],2,FALSE),0)</f>
        <v>640501509.6821388</v>
      </c>
      <c r="T961" s="246">
        <f>IFERROR(VLOOKUP(F961,PROGRAMAS[],2,FALSE),0)</f>
        <v>3062327798.1525245</v>
      </c>
      <c r="U961" s="246">
        <f>IFERROR(VLOOKUP(G961,PROGRAMAS[],2,FALSE),0)</f>
        <v>6907648435.8447599</v>
      </c>
      <c r="V961" s="246">
        <f>IFERROR(VLOOKUP(H961,PROGRAMAS[],2,FALSE),0)</f>
        <v>764796700.79905891</v>
      </c>
      <c r="W961" s="246">
        <f>IFERROR(VLOOKUP(I961,PROGRAMAS[],2,FALSE),0)</f>
        <v>54223862.645839565</v>
      </c>
      <c r="X961" s="246">
        <f>IFERROR(VLOOKUP(J961,PROGRAMAS[],2,FALSE),0)</f>
        <v>122159672.96346797</v>
      </c>
      <c r="Y961" s="246">
        <f>IFERROR(VLOOKUP(K961,PROGRAMAS[],2,FALSE),0)</f>
        <v>1892779498.5211046</v>
      </c>
      <c r="Z961" s="246">
        <f>IFERROR(VLOOKUP(L961,PROGRAMAS[],2,FALSE),0)</f>
        <v>0</v>
      </c>
      <c r="AA961" s="246">
        <f>IFERROR(VLOOKUP(M961,PROGRAMAS[],2,FALSE),0)</f>
        <v>0</v>
      </c>
      <c r="AB961" s="246">
        <f>IFERROR(VLOOKUP(N961,PROGRAMAS[],2,FALSE),0)</f>
        <v>0</v>
      </c>
      <c r="AC961" s="246">
        <f>IFERROR(VLOOKUP(O961,PROGRAMAS[],2,FALSE),0)</f>
        <v>0</v>
      </c>
      <c r="AD961" s="246">
        <f>IFERROR(VLOOKUP(P961,PROGRAMAS[],2,FALSE),0)</f>
        <v>0</v>
      </c>
      <c r="AE961" s="246">
        <f>IFERROR(VLOOKUP(Q961,PROGRAMAS[],2,FALSE),0)</f>
        <v>0</v>
      </c>
      <c r="AF961" s="246">
        <f>IFERROR(VLOOKUP(D961,PROGRAMAS[],3,FALSE),0)</f>
        <v>841888629.31080008</v>
      </c>
      <c r="AG961" s="246">
        <f>IFERROR(VLOOKUP(E961,PROGRAMAS[],3,FALSE),0)</f>
        <v>3848980803.1642323</v>
      </c>
      <c r="AH961" s="246">
        <f>IFERROR(VLOOKUP(F961,PROGRAMAS[],3,FALSE),0)</f>
        <v>3394901471.387517</v>
      </c>
      <c r="AI961" s="246">
        <f>IFERROR(VLOOKUP(G961,PROGRAMAS[],3,FALSE),0)</f>
        <v>6129902208.7912121</v>
      </c>
      <c r="AJ961" s="246">
        <f>IFERROR(VLOOKUP(H961,PROGRAMAS[],3,FALSE),0)</f>
        <v>675517840.109828</v>
      </c>
      <c r="AK961" s="246">
        <f>IFERROR(VLOOKUP(I961,PROGRAMAS[],3,FALSE),0)</f>
        <v>31865326.38096505</v>
      </c>
      <c r="AL961" s="246">
        <f>IFERROR(VLOOKUP(J961,PROGRAMAS[],3,FALSE),0)</f>
        <v>118617452.52510804</v>
      </c>
      <c r="AM961" s="246">
        <f>IFERROR(VLOOKUP(K961,PROGRAMAS[],3,FALSE),0)</f>
        <v>948595847.09039903</v>
      </c>
      <c r="AN961" s="246">
        <f>IFERROR(VLOOKUP(L961,PROGRAMAS[],3,FALSE),0)</f>
        <v>0</v>
      </c>
      <c r="AO961" s="246">
        <f>IFERROR(VLOOKUP(M961,PROGRAMAS[],3,FALSE),0)</f>
        <v>0</v>
      </c>
      <c r="AP961" s="246">
        <f>IFERROR(VLOOKUP(N961,PROGRAMAS[],3,FALSE),0)</f>
        <v>0</v>
      </c>
      <c r="AQ961" s="246">
        <f>IFERROR(VLOOKUP(O961,PROGRAMAS[],3,FALSE),0)</f>
        <v>0</v>
      </c>
      <c r="AR961" s="246">
        <f>IFERROR(VLOOKUP(P961,PROGRAMAS[],3,FALSE),0)</f>
        <v>0</v>
      </c>
      <c r="AS961" s="246">
        <f>IFERROR(VLOOKUP(Q961,PROGRAMAS[],3,FALSE),0)</f>
        <v>0</v>
      </c>
      <c r="AT961" s="246">
        <f>IFERROR(VLOOKUP(D961,VOL_REC[],2,FALSE),0)</f>
        <v>0</v>
      </c>
      <c r="AU961" s="246">
        <f>IFERROR(VLOOKUP(E961,VOL_REC[],2,FALSE),0)</f>
        <v>0</v>
      </c>
      <c r="AV961" s="246">
        <f>IFERROR(VLOOKUP(F961,VOL_REC[],2,FALSE),0)</f>
        <v>11089674.200000001</v>
      </c>
      <c r="AW961" s="246">
        <f>IFERROR(VLOOKUP(G961,VOL_REC[],2,FALSE),0)</f>
        <v>15540036.397699751</v>
      </c>
      <c r="AX961" s="246">
        <f>IFERROR(VLOOKUP(H961,VOL_REC[],2,FALSE),0)</f>
        <v>240696.79238099116</v>
      </c>
      <c r="AY961" s="246">
        <f>IFERROR(VLOOKUP(I961,VOL_REC[],2,FALSE),0)</f>
        <v>17074.045034105649</v>
      </c>
      <c r="AZ961" s="246">
        <f>IFERROR(VLOOKUP(J961,VOL_REC[],2,FALSE),0)</f>
        <v>105072</v>
      </c>
      <c r="BA961" s="246">
        <f>IFERROR(VLOOKUP(K961,VOL_REC[],2,FALSE),0)</f>
        <v>740113.98115702497</v>
      </c>
      <c r="BB961" s="246">
        <f>IFERROR(VLOOKUP(L961,VOL_REC[],2,FALSE),0)</f>
        <v>0</v>
      </c>
      <c r="BC961" s="246">
        <f>IFERROR(VLOOKUP(M961,VOL_REC[],2,FALSE),0)</f>
        <v>0</v>
      </c>
      <c r="BD961" s="246">
        <f>IFERROR(VLOOKUP(N961,VOL_REC[],2,FALSE),0)</f>
        <v>0</v>
      </c>
      <c r="BE961" s="246">
        <f>IFERROR(VLOOKUP(O961,VOL_REC[],2,FALSE),0)</f>
        <v>0</v>
      </c>
      <c r="BF961" s="246">
        <f>IFERROR(VLOOKUP(P961,VOL_REC[],2,FALSE),0)</f>
        <v>0</v>
      </c>
      <c r="BG961" s="246">
        <f>IFERROR(VLOOKUP(Q961,VOL_REC[],2,FALSE),0)</f>
        <v>0</v>
      </c>
      <c r="BH961" s="1710">
        <f t="shared" si="56"/>
        <v>13541475282.288273</v>
      </c>
      <c r="BI961" s="1710">
        <f t="shared" si="57"/>
        <v>15990269578.760063</v>
      </c>
      <c r="BJ961" s="1711">
        <f t="shared" si="58"/>
        <v>27732667.416271877</v>
      </c>
      <c r="BK961" s="1711">
        <f t="shared" si="59"/>
        <v>0.84685722248707218</v>
      </c>
    </row>
    <row r="962" spans="3:67" x14ac:dyDescent="0.25">
      <c r="C962" s="246" t="s">
        <v>2312</v>
      </c>
      <c r="D962" s="246">
        <v>1</v>
      </c>
      <c r="E962" s="246">
        <v>2</v>
      </c>
      <c r="F962" s="246">
        <v>3</v>
      </c>
      <c r="G962" s="246">
        <v>6</v>
      </c>
      <c r="H962" s="246">
        <v>12</v>
      </c>
      <c r="I962" s="246">
        <v>14</v>
      </c>
      <c r="J962" s="246">
        <v>16</v>
      </c>
      <c r="K962" s="246">
        <v>17</v>
      </c>
      <c r="L962" s="246"/>
      <c r="M962" s="246"/>
      <c r="N962" s="246"/>
      <c r="O962" s="246"/>
      <c r="P962" s="246"/>
      <c r="Q962" s="246"/>
      <c r="R962" s="246">
        <f>IFERROR(VLOOKUP(D962,PROGRAMAS[],2,FALSE),0)</f>
        <v>97037803.679377079</v>
      </c>
      <c r="S962" s="246">
        <f>IFERROR(VLOOKUP(E962,PROGRAMAS[],2,FALSE),0)</f>
        <v>640501509.6821388</v>
      </c>
      <c r="T962" s="246">
        <f>IFERROR(VLOOKUP(F962,PROGRAMAS[],2,FALSE),0)</f>
        <v>3062327798.1525245</v>
      </c>
      <c r="U962" s="246">
        <f>IFERROR(VLOOKUP(G962,PROGRAMAS[],2,FALSE),0)</f>
        <v>6907648435.8447599</v>
      </c>
      <c r="V962" s="246">
        <f>IFERROR(VLOOKUP(H962,PROGRAMAS[],2,FALSE),0)</f>
        <v>764796700.79905891</v>
      </c>
      <c r="W962" s="246">
        <f>IFERROR(VLOOKUP(I962,PROGRAMAS[],2,FALSE),0)</f>
        <v>54223862.645839565</v>
      </c>
      <c r="X962" s="246">
        <f>IFERROR(VLOOKUP(J962,PROGRAMAS[],2,FALSE),0)</f>
        <v>7068496961.0436354</v>
      </c>
      <c r="Y962" s="246">
        <f>IFERROR(VLOOKUP(K962,PROGRAMAS[],2,FALSE),0)</f>
        <v>1892779498.5211046</v>
      </c>
      <c r="Z962" s="246">
        <f>IFERROR(VLOOKUP(L962,PROGRAMAS[],2,FALSE),0)</f>
        <v>0</v>
      </c>
      <c r="AA962" s="246">
        <f>IFERROR(VLOOKUP(M962,PROGRAMAS[],2,FALSE),0)</f>
        <v>0</v>
      </c>
      <c r="AB962" s="246">
        <f>IFERROR(VLOOKUP(N962,PROGRAMAS[],2,FALSE),0)</f>
        <v>0</v>
      </c>
      <c r="AC962" s="246">
        <f>IFERROR(VLOOKUP(O962,PROGRAMAS[],2,FALSE),0)</f>
        <v>0</v>
      </c>
      <c r="AD962" s="246">
        <f>IFERROR(VLOOKUP(P962,PROGRAMAS[],2,FALSE),0)</f>
        <v>0</v>
      </c>
      <c r="AE962" s="246">
        <f>IFERROR(VLOOKUP(Q962,PROGRAMAS[],2,FALSE),0)</f>
        <v>0</v>
      </c>
      <c r="AF962" s="246">
        <f>IFERROR(VLOOKUP(D962,PROGRAMAS[],3,FALSE),0)</f>
        <v>841888629.31080008</v>
      </c>
      <c r="AG962" s="246">
        <f>IFERROR(VLOOKUP(E962,PROGRAMAS[],3,FALSE),0)</f>
        <v>3848980803.1642323</v>
      </c>
      <c r="AH962" s="246">
        <f>IFERROR(VLOOKUP(F962,PROGRAMAS[],3,FALSE),0)</f>
        <v>3394901471.387517</v>
      </c>
      <c r="AI962" s="246">
        <f>IFERROR(VLOOKUP(G962,PROGRAMAS[],3,FALSE),0)</f>
        <v>6129902208.7912121</v>
      </c>
      <c r="AJ962" s="246">
        <f>IFERROR(VLOOKUP(H962,PROGRAMAS[],3,FALSE),0)</f>
        <v>675517840.109828</v>
      </c>
      <c r="AK962" s="246">
        <f>IFERROR(VLOOKUP(I962,PROGRAMAS[],3,FALSE),0)</f>
        <v>31865326.38096505</v>
      </c>
      <c r="AL962" s="246">
        <f>IFERROR(VLOOKUP(J962,PROGRAMAS[],3,FALSE),0)</f>
        <v>2406564599.0319901</v>
      </c>
      <c r="AM962" s="246">
        <f>IFERROR(VLOOKUP(K962,PROGRAMAS[],3,FALSE),0)</f>
        <v>948595847.09039903</v>
      </c>
      <c r="AN962" s="246">
        <f>IFERROR(VLOOKUP(L962,PROGRAMAS[],3,FALSE),0)</f>
        <v>0</v>
      </c>
      <c r="AO962" s="246">
        <f>IFERROR(VLOOKUP(M962,PROGRAMAS[],3,FALSE),0)</f>
        <v>0</v>
      </c>
      <c r="AP962" s="246">
        <f>IFERROR(VLOOKUP(N962,PROGRAMAS[],3,FALSE),0)</f>
        <v>0</v>
      </c>
      <c r="AQ962" s="246">
        <f>IFERROR(VLOOKUP(O962,PROGRAMAS[],3,FALSE),0)</f>
        <v>0</v>
      </c>
      <c r="AR962" s="246">
        <f>IFERROR(VLOOKUP(P962,PROGRAMAS[],3,FALSE),0)</f>
        <v>0</v>
      </c>
      <c r="AS962" s="246">
        <f>IFERROR(VLOOKUP(Q962,PROGRAMAS[],3,FALSE),0)</f>
        <v>0</v>
      </c>
      <c r="AT962" s="246">
        <f>IFERROR(VLOOKUP(D962,VOL_REC[],2,FALSE),0)</f>
        <v>0</v>
      </c>
      <c r="AU962" s="246">
        <f>IFERROR(VLOOKUP(E962,VOL_REC[],2,FALSE),0)</f>
        <v>0</v>
      </c>
      <c r="AV962" s="246">
        <f>IFERROR(VLOOKUP(F962,VOL_REC[],2,FALSE),0)</f>
        <v>11089674.200000001</v>
      </c>
      <c r="AW962" s="246">
        <f>IFERROR(VLOOKUP(G962,VOL_REC[],2,FALSE),0)</f>
        <v>15540036.397699751</v>
      </c>
      <c r="AX962" s="246">
        <f>IFERROR(VLOOKUP(H962,VOL_REC[],2,FALSE),0)</f>
        <v>240696.79238099116</v>
      </c>
      <c r="AY962" s="246">
        <f>IFERROR(VLOOKUP(I962,VOL_REC[],2,FALSE),0)</f>
        <v>17074.045034105649</v>
      </c>
      <c r="AZ962" s="246">
        <f>IFERROR(VLOOKUP(J962,VOL_REC[],2,FALSE),0)</f>
        <v>1072354.9981737854</v>
      </c>
      <c r="BA962" s="246">
        <f>IFERROR(VLOOKUP(K962,VOL_REC[],2,FALSE),0)</f>
        <v>740113.98115702497</v>
      </c>
      <c r="BB962" s="246">
        <f>IFERROR(VLOOKUP(L962,VOL_REC[],2,FALSE),0)</f>
        <v>0</v>
      </c>
      <c r="BC962" s="246">
        <f>IFERROR(VLOOKUP(M962,VOL_REC[],2,FALSE),0)</f>
        <v>0</v>
      </c>
      <c r="BD962" s="246">
        <f>IFERROR(VLOOKUP(N962,VOL_REC[],2,FALSE),0)</f>
        <v>0</v>
      </c>
      <c r="BE962" s="246">
        <f>IFERROR(VLOOKUP(O962,VOL_REC[],2,FALSE),0)</f>
        <v>0</v>
      </c>
      <c r="BF962" s="246">
        <f>IFERROR(VLOOKUP(P962,VOL_REC[],2,FALSE),0)</f>
        <v>0</v>
      </c>
      <c r="BG962" s="246">
        <f>IFERROR(VLOOKUP(Q962,VOL_REC[],2,FALSE),0)</f>
        <v>0</v>
      </c>
      <c r="BH962" s="1710">
        <f t="shared" ref="BH962:BH1025" si="60">SUM(R962:AE962)</f>
        <v>20487812570.368439</v>
      </c>
      <c r="BI962" s="1710">
        <f t="shared" ref="BI962:BI1025" si="61">SUM(AF962:AS962)</f>
        <v>18278216725.266945</v>
      </c>
      <c r="BJ962" s="1711">
        <f t="shared" ref="BJ962:BJ1025" si="62">SUM(AT962:BG962)</f>
        <v>28699950.414445661</v>
      </c>
      <c r="BK962" s="1711">
        <f t="shared" ref="BK962:BK1025" si="63">IFERROR(BH962/BI962,0)</f>
        <v>1.1208868391437252</v>
      </c>
      <c r="BL962">
        <f>BJ962</f>
        <v>28699950.414445661</v>
      </c>
      <c r="BO962">
        <f>BL962</f>
        <v>28699950.414445661</v>
      </c>
    </row>
    <row r="963" spans="3:67" x14ac:dyDescent="0.25">
      <c r="C963" s="246" t="s">
        <v>2313</v>
      </c>
      <c r="D963" s="246">
        <v>1</v>
      </c>
      <c r="E963" s="246">
        <v>2</v>
      </c>
      <c r="F963" s="246">
        <v>3</v>
      </c>
      <c r="G963" s="246">
        <v>6</v>
      </c>
      <c r="H963" s="246">
        <v>12</v>
      </c>
      <c r="I963" s="246">
        <v>15</v>
      </c>
      <c r="J963" s="246">
        <v>16</v>
      </c>
      <c r="K963" s="246">
        <v>17</v>
      </c>
      <c r="L963" s="246"/>
      <c r="M963" s="246"/>
      <c r="N963" s="246"/>
      <c r="O963" s="246"/>
      <c r="P963" s="246"/>
      <c r="Q963" s="246"/>
      <c r="R963" s="246">
        <f>IFERROR(VLOOKUP(D963,PROGRAMAS[],2,FALSE),0)</f>
        <v>97037803.679377079</v>
      </c>
      <c r="S963" s="246">
        <f>IFERROR(VLOOKUP(E963,PROGRAMAS[],2,FALSE),0)</f>
        <v>640501509.6821388</v>
      </c>
      <c r="T963" s="246">
        <f>IFERROR(VLOOKUP(F963,PROGRAMAS[],2,FALSE),0)</f>
        <v>3062327798.1525245</v>
      </c>
      <c r="U963" s="246">
        <f>IFERROR(VLOOKUP(G963,PROGRAMAS[],2,FALSE),0)</f>
        <v>6907648435.8447599</v>
      </c>
      <c r="V963" s="246">
        <f>IFERROR(VLOOKUP(H963,PROGRAMAS[],2,FALSE),0)</f>
        <v>764796700.79905891</v>
      </c>
      <c r="W963" s="246">
        <f>IFERROR(VLOOKUP(I963,PROGRAMAS[],2,FALSE),0)</f>
        <v>122159672.96346797</v>
      </c>
      <c r="X963" s="246">
        <f>IFERROR(VLOOKUP(J963,PROGRAMAS[],2,FALSE),0)</f>
        <v>7068496961.0436354</v>
      </c>
      <c r="Y963" s="246">
        <f>IFERROR(VLOOKUP(K963,PROGRAMAS[],2,FALSE),0)</f>
        <v>1892779498.5211046</v>
      </c>
      <c r="Z963" s="246">
        <f>IFERROR(VLOOKUP(L963,PROGRAMAS[],2,FALSE),0)</f>
        <v>0</v>
      </c>
      <c r="AA963" s="246">
        <f>IFERROR(VLOOKUP(M963,PROGRAMAS[],2,FALSE),0)</f>
        <v>0</v>
      </c>
      <c r="AB963" s="246">
        <f>IFERROR(VLOOKUP(N963,PROGRAMAS[],2,FALSE),0)</f>
        <v>0</v>
      </c>
      <c r="AC963" s="246">
        <f>IFERROR(VLOOKUP(O963,PROGRAMAS[],2,FALSE),0)</f>
        <v>0</v>
      </c>
      <c r="AD963" s="246">
        <f>IFERROR(VLOOKUP(P963,PROGRAMAS[],2,FALSE),0)</f>
        <v>0</v>
      </c>
      <c r="AE963" s="246">
        <f>IFERROR(VLOOKUP(Q963,PROGRAMAS[],2,FALSE),0)</f>
        <v>0</v>
      </c>
      <c r="AF963" s="246">
        <f>IFERROR(VLOOKUP(D963,PROGRAMAS[],3,FALSE),0)</f>
        <v>841888629.31080008</v>
      </c>
      <c r="AG963" s="246">
        <f>IFERROR(VLOOKUP(E963,PROGRAMAS[],3,FALSE),0)</f>
        <v>3848980803.1642323</v>
      </c>
      <c r="AH963" s="246">
        <f>IFERROR(VLOOKUP(F963,PROGRAMAS[],3,FALSE),0)</f>
        <v>3394901471.387517</v>
      </c>
      <c r="AI963" s="246">
        <f>IFERROR(VLOOKUP(G963,PROGRAMAS[],3,FALSE),0)</f>
        <v>6129902208.7912121</v>
      </c>
      <c r="AJ963" s="246">
        <f>IFERROR(VLOOKUP(H963,PROGRAMAS[],3,FALSE),0)</f>
        <v>675517840.109828</v>
      </c>
      <c r="AK963" s="246">
        <f>IFERROR(VLOOKUP(I963,PROGRAMAS[],3,FALSE),0)</f>
        <v>118617452.52510804</v>
      </c>
      <c r="AL963" s="246">
        <f>IFERROR(VLOOKUP(J963,PROGRAMAS[],3,FALSE),0)</f>
        <v>2406564599.0319901</v>
      </c>
      <c r="AM963" s="246">
        <f>IFERROR(VLOOKUP(K963,PROGRAMAS[],3,FALSE),0)</f>
        <v>948595847.09039903</v>
      </c>
      <c r="AN963" s="246">
        <f>IFERROR(VLOOKUP(L963,PROGRAMAS[],3,FALSE),0)</f>
        <v>0</v>
      </c>
      <c r="AO963" s="246">
        <f>IFERROR(VLOOKUP(M963,PROGRAMAS[],3,FALSE),0)</f>
        <v>0</v>
      </c>
      <c r="AP963" s="246">
        <f>IFERROR(VLOOKUP(N963,PROGRAMAS[],3,FALSE),0)</f>
        <v>0</v>
      </c>
      <c r="AQ963" s="246">
        <f>IFERROR(VLOOKUP(O963,PROGRAMAS[],3,FALSE),0)</f>
        <v>0</v>
      </c>
      <c r="AR963" s="246">
        <f>IFERROR(VLOOKUP(P963,PROGRAMAS[],3,FALSE),0)</f>
        <v>0</v>
      </c>
      <c r="AS963" s="246">
        <f>IFERROR(VLOOKUP(Q963,PROGRAMAS[],3,FALSE),0)</f>
        <v>0</v>
      </c>
      <c r="AT963" s="246">
        <f>IFERROR(VLOOKUP(D963,VOL_REC[],2,FALSE),0)</f>
        <v>0</v>
      </c>
      <c r="AU963" s="246">
        <f>IFERROR(VLOOKUP(E963,VOL_REC[],2,FALSE),0)</f>
        <v>0</v>
      </c>
      <c r="AV963" s="246">
        <f>IFERROR(VLOOKUP(F963,VOL_REC[],2,FALSE),0)</f>
        <v>11089674.200000001</v>
      </c>
      <c r="AW963" s="246">
        <f>IFERROR(VLOOKUP(G963,VOL_REC[],2,FALSE),0)</f>
        <v>15540036.397699751</v>
      </c>
      <c r="AX963" s="246">
        <f>IFERROR(VLOOKUP(H963,VOL_REC[],2,FALSE),0)</f>
        <v>240696.79238099116</v>
      </c>
      <c r="AY963" s="246">
        <f>IFERROR(VLOOKUP(I963,VOL_REC[],2,FALSE),0)</f>
        <v>105072</v>
      </c>
      <c r="AZ963" s="246">
        <f>IFERROR(VLOOKUP(J963,VOL_REC[],2,FALSE),0)</f>
        <v>1072354.9981737854</v>
      </c>
      <c r="BA963" s="246">
        <f>IFERROR(VLOOKUP(K963,VOL_REC[],2,FALSE),0)</f>
        <v>740113.98115702497</v>
      </c>
      <c r="BB963" s="246">
        <f>IFERROR(VLOOKUP(L963,VOL_REC[],2,FALSE),0)</f>
        <v>0</v>
      </c>
      <c r="BC963" s="246">
        <f>IFERROR(VLOOKUP(M963,VOL_REC[],2,FALSE),0)</f>
        <v>0</v>
      </c>
      <c r="BD963" s="246">
        <f>IFERROR(VLOOKUP(N963,VOL_REC[],2,FALSE),0)</f>
        <v>0</v>
      </c>
      <c r="BE963" s="246">
        <f>IFERROR(VLOOKUP(O963,VOL_REC[],2,FALSE),0)</f>
        <v>0</v>
      </c>
      <c r="BF963" s="246">
        <f>IFERROR(VLOOKUP(P963,VOL_REC[],2,FALSE),0)</f>
        <v>0</v>
      </c>
      <c r="BG963" s="246">
        <f>IFERROR(VLOOKUP(Q963,VOL_REC[],2,FALSE),0)</f>
        <v>0</v>
      </c>
      <c r="BH963" s="1710">
        <f t="shared" si="60"/>
        <v>20555748380.686066</v>
      </c>
      <c r="BI963" s="1710">
        <f t="shared" si="61"/>
        <v>18364968851.411091</v>
      </c>
      <c r="BJ963" s="1711">
        <f t="shared" si="62"/>
        <v>28787948.369411554</v>
      </c>
      <c r="BK963" s="1711">
        <f t="shared" si="63"/>
        <v>1.1192912194406823</v>
      </c>
      <c r="BL963">
        <f>BJ963</f>
        <v>28787948.369411554</v>
      </c>
      <c r="BO963">
        <f>BL963</f>
        <v>28787948.369411554</v>
      </c>
    </row>
    <row r="964" spans="3:67" x14ac:dyDescent="0.25">
      <c r="C964" s="246" t="s">
        <v>2314</v>
      </c>
      <c r="D964" s="246">
        <v>1</v>
      </c>
      <c r="E964" s="246">
        <v>2</v>
      </c>
      <c r="F964" s="246">
        <v>3</v>
      </c>
      <c r="G964" s="246">
        <v>6</v>
      </c>
      <c r="H964" s="246">
        <v>13</v>
      </c>
      <c r="I964" s="246">
        <v>14</v>
      </c>
      <c r="J964" s="246">
        <v>15</v>
      </c>
      <c r="K964" s="246">
        <v>16</v>
      </c>
      <c r="L964" s="246"/>
      <c r="M964" s="246"/>
      <c r="N964" s="246"/>
      <c r="O964" s="246"/>
      <c r="P964" s="246"/>
      <c r="Q964" s="246"/>
      <c r="R964" s="246">
        <f>IFERROR(VLOOKUP(D964,PROGRAMAS[],2,FALSE),0)</f>
        <v>97037803.679377079</v>
      </c>
      <c r="S964" s="246">
        <f>IFERROR(VLOOKUP(E964,PROGRAMAS[],2,FALSE),0)</f>
        <v>640501509.6821388</v>
      </c>
      <c r="T964" s="246">
        <f>IFERROR(VLOOKUP(F964,PROGRAMAS[],2,FALSE),0)</f>
        <v>3062327798.1525245</v>
      </c>
      <c r="U964" s="246">
        <f>IFERROR(VLOOKUP(G964,PROGRAMAS[],2,FALSE),0)</f>
        <v>6907648435.8447599</v>
      </c>
      <c r="V964" s="246">
        <f>IFERROR(VLOOKUP(H964,PROGRAMAS[],2,FALSE),0)</f>
        <v>3776538594.4604583</v>
      </c>
      <c r="W964" s="246">
        <f>IFERROR(VLOOKUP(I964,PROGRAMAS[],2,FALSE),0)</f>
        <v>54223862.645839565</v>
      </c>
      <c r="X964" s="246">
        <f>IFERROR(VLOOKUP(J964,PROGRAMAS[],2,FALSE),0)</f>
        <v>122159672.96346797</v>
      </c>
      <c r="Y964" s="246">
        <f>IFERROR(VLOOKUP(K964,PROGRAMAS[],2,FALSE),0)</f>
        <v>7068496961.0436354</v>
      </c>
      <c r="Z964" s="246">
        <f>IFERROR(VLOOKUP(L964,PROGRAMAS[],2,FALSE),0)</f>
        <v>0</v>
      </c>
      <c r="AA964" s="246">
        <f>IFERROR(VLOOKUP(M964,PROGRAMAS[],2,FALSE),0)</f>
        <v>0</v>
      </c>
      <c r="AB964" s="246">
        <f>IFERROR(VLOOKUP(N964,PROGRAMAS[],2,FALSE),0)</f>
        <v>0</v>
      </c>
      <c r="AC964" s="246">
        <f>IFERROR(VLOOKUP(O964,PROGRAMAS[],2,FALSE),0)</f>
        <v>0</v>
      </c>
      <c r="AD964" s="246">
        <f>IFERROR(VLOOKUP(P964,PROGRAMAS[],2,FALSE),0)</f>
        <v>0</v>
      </c>
      <c r="AE964" s="246">
        <f>IFERROR(VLOOKUP(Q964,PROGRAMAS[],2,FALSE),0)</f>
        <v>0</v>
      </c>
      <c r="AF964" s="246">
        <f>IFERROR(VLOOKUP(D964,PROGRAMAS[],3,FALSE),0)</f>
        <v>841888629.31080008</v>
      </c>
      <c r="AG964" s="246">
        <f>IFERROR(VLOOKUP(E964,PROGRAMAS[],3,FALSE),0)</f>
        <v>3848980803.1642323</v>
      </c>
      <c r="AH964" s="246">
        <f>IFERROR(VLOOKUP(F964,PROGRAMAS[],3,FALSE),0)</f>
        <v>3394901471.387517</v>
      </c>
      <c r="AI964" s="246">
        <f>IFERROR(VLOOKUP(G964,PROGRAMAS[],3,FALSE),0)</f>
        <v>6129902208.7912121</v>
      </c>
      <c r="AJ964" s="246">
        <f>IFERROR(VLOOKUP(H964,PROGRAMAS[],3,FALSE),0)</f>
        <v>2392571243.5584412</v>
      </c>
      <c r="AK964" s="246">
        <f>IFERROR(VLOOKUP(I964,PROGRAMAS[],3,FALSE),0)</f>
        <v>31865326.38096505</v>
      </c>
      <c r="AL964" s="246">
        <f>IFERROR(VLOOKUP(J964,PROGRAMAS[],3,FALSE),0)</f>
        <v>118617452.52510804</v>
      </c>
      <c r="AM964" s="246">
        <f>IFERROR(VLOOKUP(K964,PROGRAMAS[],3,FALSE),0)</f>
        <v>2406564599.0319901</v>
      </c>
      <c r="AN964" s="246">
        <f>IFERROR(VLOOKUP(L964,PROGRAMAS[],3,FALSE),0)</f>
        <v>0</v>
      </c>
      <c r="AO964" s="246">
        <f>IFERROR(VLOOKUP(M964,PROGRAMAS[],3,FALSE),0)</f>
        <v>0</v>
      </c>
      <c r="AP964" s="246">
        <f>IFERROR(VLOOKUP(N964,PROGRAMAS[],3,FALSE),0)</f>
        <v>0</v>
      </c>
      <c r="AQ964" s="246">
        <f>IFERROR(VLOOKUP(O964,PROGRAMAS[],3,FALSE),0)</f>
        <v>0</v>
      </c>
      <c r="AR964" s="246">
        <f>IFERROR(VLOOKUP(P964,PROGRAMAS[],3,FALSE),0)</f>
        <v>0</v>
      </c>
      <c r="AS964" s="246">
        <f>IFERROR(VLOOKUP(Q964,PROGRAMAS[],3,FALSE),0)</f>
        <v>0</v>
      </c>
      <c r="AT964" s="246">
        <f>IFERROR(VLOOKUP(D964,VOL_REC[],2,FALSE),0)</f>
        <v>0</v>
      </c>
      <c r="AU964" s="246">
        <f>IFERROR(VLOOKUP(E964,VOL_REC[],2,FALSE),0)</f>
        <v>0</v>
      </c>
      <c r="AV964" s="246">
        <f>IFERROR(VLOOKUP(F964,VOL_REC[],2,FALSE),0)</f>
        <v>11089674.200000001</v>
      </c>
      <c r="AW964" s="246">
        <f>IFERROR(VLOOKUP(G964,VOL_REC[],2,FALSE),0)</f>
        <v>15540036.397699751</v>
      </c>
      <c r="AX964" s="246">
        <f>IFERROR(VLOOKUP(H964,VOL_REC[],2,FALSE),0)</f>
        <v>663244.80000000016</v>
      </c>
      <c r="AY964" s="246">
        <f>IFERROR(VLOOKUP(I964,VOL_REC[],2,FALSE),0)</f>
        <v>17074.045034105649</v>
      </c>
      <c r="AZ964" s="246">
        <f>IFERROR(VLOOKUP(J964,VOL_REC[],2,FALSE),0)</f>
        <v>105072</v>
      </c>
      <c r="BA964" s="246">
        <f>IFERROR(VLOOKUP(K964,VOL_REC[],2,FALSE),0)</f>
        <v>1072354.9981737854</v>
      </c>
      <c r="BB964" s="246">
        <f>IFERROR(VLOOKUP(L964,VOL_REC[],2,FALSE),0)</f>
        <v>0</v>
      </c>
      <c r="BC964" s="246">
        <f>IFERROR(VLOOKUP(M964,VOL_REC[],2,FALSE),0)</f>
        <v>0</v>
      </c>
      <c r="BD964" s="246">
        <f>IFERROR(VLOOKUP(N964,VOL_REC[],2,FALSE),0)</f>
        <v>0</v>
      </c>
      <c r="BE964" s="246">
        <f>IFERROR(VLOOKUP(O964,VOL_REC[],2,FALSE),0)</f>
        <v>0</v>
      </c>
      <c r="BF964" s="246">
        <f>IFERROR(VLOOKUP(P964,VOL_REC[],2,FALSE),0)</f>
        <v>0</v>
      </c>
      <c r="BG964" s="246">
        <f>IFERROR(VLOOKUP(Q964,VOL_REC[],2,FALSE),0)</f>
        <v>0</v>
      </c>
      <c r="BH964" s="1710">
        <f t="shared" si="60"/>
        <v>21728934638.472202</v>
      </c>
      <c r="BI964" s="1710">
        <f t="shared" si="61"/>
        <v>19165291734.150269</v>
      </c>
      <c r="BJ964" s="1711">
        <f t="shared" si="62"/>
        <v>28487456.440907646</v>
      </c>
      <c r="BK964" s="1711">
        <f t="shared" si="63"/>
        <v>1.1337648776696587</v>
      </c>
      <c r="BL964">
        <f>BJ964</f>
        <v>28487456.440907646</v>
      </c>
      <c r="BO964">
        <f>BL964</f>
        <v>28487456.440907646</v>
      </c>
    </row>
    <row r="965" spans="3:67" x14ac:dyDescent="0.25">
      <c r="C965" s="246" t="s">
        <v>2315</v>
      </c>
      <c r="D965" s="246">
        <v>1</v>
      </c>
      <c r="E965" s="246">
        <v>2</v>
      </c>
      <c r="F965" s="246">
        <v>3</v>
      </c>
      <c r="G965" s="246">
        <v>6</v>
      </c>
      <c r="H965" s="246">
        <v>13</v>
      </c>
      <c r="I965" s="246">
        <v>14</v>
      </c>
      <c r="J965" s="246">
        <v>15</v>
      </c>
      <c r="K965" s="246">
        <v>17</v>
      </c>
      <c r="L965" s="246"/>
      <c r="M965" s="246"/>
      <c r="N965" s="246"/>
      <c r="O965" s="246"/>
      <c r="P965" s="246"/>
      <c r="Q965" s="246"/>
      <c r="R965" s="246">
        <f>IFERROR(VLOOKUP(D965,PROGRAMAS[],2,FALSE),0)</f>
        <v>97037803.679377079</v>
      </c>
      <c r="S965" s="246">
        <f>IFERROR(VLOOKUP(E965,PROGRAMAS[],2,FALSE),0)</f>
        <v>640501509.6821388</v>
      </c>
      <c r="T965" s="246">
        <f>IFERROR(VLOOKUP(F965,PROGRAMAS[],2,FALSE),0)</f>
        <v>3062327798.1525245</v>
      </c>
      <c r="U965" s="246">
        <f>IFERROR(VLOOKUP(G965,PROGRAMAS[],2,FALSE),0)</f>
        <v>6907648435.8447599</v>
      </c>
      <c r="V965" s="246">
        <f>IFERROR(VLOOKUP(H965,PROGRAMAS[],2,FALSE),0)</f>
        <v>3776538594.4604583</v>
      </c>
      <c r="W965" s="246">
        <f>IFERROR(VLOOKUP(I965,PROGRAMAS[],2,FALSE),0)</f>
        <v>54223862.645839565</v>
      </c>
      <c r="X965" s="246">
        <f>IFERROR(VLOOKUP(J965,PROGRAMAS[],2,FALSE),0)</f>
        <v>122159672.96346797</v>
      </c>
      <c r="Y965" s="246">
        <f>IFERROR(VLOOKUP(K965,PROGRAMAS[],2,FALSE),0)</f>
        <v>1892779498.5211046</v>
      </c>
      <c r="Z965" s="246">
        <f>IFERROR(VLOOKUP(L965,PROGRAMAS[],2,FALSE),0)</f>
        <v>0</v>
      </c>
      <c r="AA965" s="246">
        <f>IFERROR(VLOOKUP(M965,PROGRAMAS[],2,FALSE),0)</f>
        <v>0</v>
      </c>
      <c r="AB965" s="246">
        <f>IFERROR(VLOOKUP(N965,PROGRAMAS[],2,FALSE),0)</f>
        <v>0</v>
      </c>
      <c r="AC965" s="246">
        <f>IFERROR(VLOOKUP(O965,PROGRAMAS[],2,FALSE),0)</f>
        <v>0</v>
      </c>
      <c r="AD965" s="246">
        <f>IFERROR(VLOOKUP(P965,PROGRAMAS[],2,FALSE),0)</f>
        <v>0</v>
      </c>
      <c r="AE965" s="246">
        <f>IFERROR(VLOOKUP(Q965,PROGRAMAS[],2,FALSE),0)</f>
        <v>0</v>
      </c>
      <c r="AF965" s="246">
        <f>IFERROR(VLOOKUP(D965,PROGRAMAS[],3,FALSE),0)</f>
        <v>841888629.31080008</v>
      </c>
      <c r="AG965" s="246">
        <f>IFERROR(VLOOKUP(E965,PROGRAMAS[],3,FALSE),0)</f>
        <v>3848980803.1642323</v>
      </c>
      <c r="AH965" s="246">
        <f>IFERROR(VLOOKUP(F965,PROGRAMAS[],3,FALSE),0)</f>
        <v>3394901471.387517</v>
      </c>
      <c r="AI965" s="246">
        <f>IFERROR(VLOOKUP(G965,PROGRAMAS[],3,FALSE),0)</f>
        <v>6129902208.7912121</v>
      </c>
      <c r="AJ965" s="246">
        <f>IFERROR(VLOOKUP(H965,PROGRAMAS[],3,FALSE),0)</f>
        <v>2392571243.5584412</v>
      </c>
      <c r="AK965" s="246">
        <f>IFERROR(VLOOKUP(I965,PROGRAMAS[],3,FALSE),0)</f>
        <v>31865326.38096505</v>
      </c>
      <c r="AL965" s="246">
        <f>IFERROR(VLOOKUP(J965,PROGRAMAS[],3,FALSE),0)</f>
        <v>118617452.52510804</v>
      </c>
      <c r="AM965" s="246">
        <f>IFERROR(VLOOKUP(K965,PROGRAMAS[],3,FALSE),0)</f>
        <v>948595847.09039903</v>
      </c>
      <c r="AN965" s="246">
        <f>IFERROR(VLOOKUP(L965,PROGRAMAS[],3,FALSE),0)</f>
        <v>0</v>
      </c>
      <c r="AO965" s="246">
        <f>IFERROR(VLOOKUP(M965,PROGRAMAS[],3,FALSE),0)</f>
        <v>0</v>
      </c>
      <c r="AP965" s="246">
        <f>IFERROR(VLOOKUP(N965,PROGRAMAS[],3,FALSE),0)</f>
        <v>0</v>
      </c>
      <c r="AQ965" s="246">
        <f>IFERROR(VLOOKUP(O965,PROGRAMAS[],3,FALSE),0)</f>
        <v>0</v>
      </c>
      <c r="AR965" s="246">
        <f>IFERROR(VLOOKUP(P965,PROGRAMAS[],3,FALSE),0)</f>
        <v>0</v>
      </c>
      <c r="AS965" s="246">
        <f>IFERROR(VLOOKUP(Q965,PROGRAMAS[],3,FALSE),0)</f>
        <v>0</v>
      </c>
      <c r="AT965" s="246">
        <f>IFERROR(VLOOKUP(D965,VOL_REC[],2,FALSE),0)</f>
        <v>0</v>
      </c>
      <c r="AU965" s="246">
        <f>IFERROR(VLOOKUP(E965,VOL_REC[],2,FALSE),0)</f>
        <v>0</v>
      </c>
      <c r="AV965" s="246">
        <f>IFERROR(VLOOKUP(F965,VOL_REC[],2,FALSE),0)</f>
        <v>11089674.200000001</v>
      </c>
      <c r="AW965" s="246">
        <f>IFERROR(VLOOKUP(G965,VOL_REC[],2,FALSE),0)</f>
        <v>15540036.397699751</v>
      </c>
      <c r="AX965" s="246">
        <f>IFERROR(VLOOKUP(H965,VOL_REC[],2,FALSE),0)</f>
        <v>663244.80000000016</v>
      </c>
      <c r="AY965" s="246">
        <f>IFERROR(VLOOKUP(I965,VOL_REC[],2,FALSE),0)</f>
        <v>17074.045034105649</v>
      </c>
      <c r="AZ965" s="246">
        <f>IFERROR(VLOOKUP(J965,VOL_REC[],2,FALSE),0)</f>
        <v>105072</v>
      </c>
      <c r="BA965" s="246">
        <f>IFERROR(VLOOKUP(K965,VOL_REC[],2,FALSE),0)</f>
        <v>740113.98115702497</v>
      </c>
      <c r="BB965" s="246">
        <f>IFERROR(VLOOKUP(L965,VOL_REC[],2,FALSE),0)</f>
        <v>0</v>
      </c>
      <c r="BC965" s="246">
        <f>IFERROR(VLOOKUP(M965,VOL_REC[],2,FALSE),0)</f>
        <v>0</v>
      </c>
      <c r="BD965" s="246">
        <f>IFERROR(VLOOKUP(N965,VOL_REC[],2,FALSE),0)</f>
        <v>0</v>
      </c>
      <c r="BE965" s="246">
        <f>IFERROR(VLOOKUP(O965,VOL_REC[],2,FALSE),0)</f>
        <v>0</v>
      </c>
      <c r="BF965" s="246">
        <f>IFERROR(VLOOKUP(P965,VOL_REC[],2,FALSE),0)</f>
        <v>0</v>
      </c>
      <c r="BG965" s="246">
        <f>IFERROR(VLOOKUP(Q965,VOL_REC[],2,FALSE),0)</f>
        <v>0</v>
      </c>
      <c r="BH965" s="1710">
        <f t="shared" si="60"/>
        <v>16553217175.949673</v>
      </c>
      <c r="BI965" s="1710">
        <f t="shared" si="61"/>
        <v>17707322982.208675</v>
      </c>
      <c r="BJ965" s="1711">
        <f t="shared" si="62"/>
        <v>28155215.423890885</v>
      </c>
      <c r="BK965" s="1711">
        <f t="shared" si="63"/>
        <v>0.93482324756720236</v>
      </c>
    </row>
    <row r="966" spans="3:67" x14ac:dyDescent="0.25">
      <c r="C966" s="246" t="s">
        <v>2316</v>
      </c>
      <c r="D966" s="246">
        <v>1</v>
      </c>
      <c r="E966" s="246">
        <v>2</v>
      </c>
      <c r="F966" s="246">
        <v>3</v>
      </c>
      <c r="G966" s="246">
        <v>6</v>
      </c>
      <c r="H966" s="246">
        <v>13</v>
      </c>
      <c r="I966" s="246">
        <v>14</v>
      </c>
      <c r="J966" s="246">
        <v>16</v>
      </c>
      <c r="K966" s="246">
        <v>17</v>
      </c>
      <c r="L966" s="246"/>
      <c r="M966" s="246"/>
      <c r="N966" s="246"/>
      <c r="O966" s="246"/>
      <c r="P966" s="246"/>
      <c r="Q966" s="246"/>
      <c r="R966" s="246">
        <f>IFERROR(VLOOKUP(D966,PROGRAMAS[],2,FALSE),0)</f>
        <v>97037803.679377079</v>
      </c>
      <c r="S966" s="246">
        <f>IFERROR(VLOOKUP(E966,PROGRAMAS[],2,FALSE),0)</f>
        <v>640501509.6821388</v>
      </c>
      <c r="T966" s="246">
        <f>IFERROR(VLOOKUP(F966,PROGRAMAS[],2,FALSE),0)</f>
        <v>3062327798.1525245</v>
      </c>
      <c r="U966" s="246">
        <f>IFERROR(VLOOKUP(G966,PROGRAMAS[],2,FALSE),0)</f>
        <v>6907648435.8447599</v>
      </c>
      <c r="V966" s="246">
        <f>IFERROR(VLOOKUP(H966,PROGRAMAS[],2,FALSE),0)</f>
        <v>3776538594.4604583</v>
      </c>
      <c r="W966" s="246">
        <f>IFERROR(VLOOKUP(I966,PROGRAMAS[],2,FALSE),0)</f>
        <v>54223862.645839565</v>
      </c>
      <c r="X966" s="246">
        <f>IFERROR(VLOOKUP(J966,PROGRAMAS[],2,FALSE),0)</f>
        <v>7068496961.0436354</v>
      </c>
      <c r="Y966" s="246">
        <f>IFERROR(VLOOKUP(K966,PROGRAMAS[],2,FALSE),0)</f>
        <v>1892779498.5211046</v>
      </c>
      <c r="Z966" s="246">
        <f>IFERROR(VLOOKUP(L966,PROGRAMAS[],2,FALSE),0)</f>
        <v>0</v>
      </c>
      <c r="AA966" s="246">
        <f>IFERROR(VLOOKUP(M966,PROGRAMAS[],2,FALSE),0)</f>
        <v>0</v>
      </c>
      <c r="AB966" s="246">
        <f>IFERROR(VLOOKUP(N966,PROGRAMAS[],2,FALSE),0)</f>
        <v>0</v>
      </c>
      <c r="AC966" s="246">
        <f>IFERROR(VLOOKUP(O966,PROGRAMAS[],2,FALSE),0)</f>
        <v>0</v>
      </c>
      <c r="AD966" s="246">
        <f>IFERROR(VLOOKUP(P966,PROGRAMAS[],2,FALSE),0)</f>
        <v>0</v>
      </c>
      <c r="AE966" s="246">
        <f>IFERROR(VLOOKUP(Q966,PROGRAMAS[],2,FALSE),0)</f>
        <v>0</v>
      </c>
      <c r="AF966" s="246">
        <f>IFERROR(VLOOKUP(D966,PROGRAMAS[],3,FALSE),0)</f>
        <v>841888629.31080008</v>
      </c>
      <c r="AG966" s="246">
        <f>IFERROR(VLOOKUP(E966,PROGRAMAS[],3,FALSE),0)</f>
        <v>3848980803.1642323</v>
      </c>
      <c r="AH966" s="246">
        <f>IFERROR(VLOOKUP(F966,PROGRAMAS[],3,FALSE),0)</f>
        <v>3394901471.387517</v>
      </c>
      <c r="AI966" s="246">
        <f>IFERROR(VLOOKUP(G966,PROGRAMAS[],3,FALSE),0)</f>
        <v>6129902208.7912121</v>
      </c>
      <c r="AJ966" s="246">
        <f>IFERROR(VLOOKUP(H966,PROGRAMAS[],3,FALSE),0)</f>
        <v>2392571243.5584412</v>
      </c>
      <c r="AK966" s="246">
        <f>IFERROR(VLOOKUP(I966,PROGRAMAS[],3,FALSE),0)</f>
        <v>31865326.38096505</v>
      </c>
      <c r="AL966" s="246">
        <f>IFERROR(VLOOKUP(J966,PROGRAMAS[],3,FALSE),0)</f>
        <v>2406564599.0319901</v>
      </c>
      <c r="AM966" s="246">
        <f>IFERROR(VLOOKUP(K966,PROGRAMAS[],3,FALSE),0)</f>
        <v>948595847.09039903</v>
      </c>
      <c r="AN966" s="246">
        <f>IFERROR(VLOOKUP(L966,PROGRAMAS[],3,FALSE),0)</f>
        <v>0</v>
      </c>
      <c r="AO966" s="246">
        <f>IFERROR(VLOOKUP(M966,PROGRAMAS[],3,FALSE),0)</f>
        <v>0</v>
      </c>
      <c r="AP966" s="246">
        <f>IFERROR(VLOOKUP(N966,PROGRAMAS[],3,FALSE),0)</f>
        <v>0</v>
      </c>
      <c r="AQ966" s="246">
        <f>IFERROR(VLOOKUP(O966,PROGRAMAS[],3,FALSE),0)</f>
        <v>0</v>
      </c>
      <c r="AR966" s="246">
        <f>IFERROR(VLOOKUP(P966,PROGRAMAS[],3,FALSE),0)</f>
        <v>0</v>
      </c>
      <c r="AS966" s="246">
        <f>IFERROR(VLOOKUP(Q966,PROGRAMAS[],3,FALSE),0)</f>
        <v>0</v>
      </c>
      <c r="AT966" s="246">
        <f>IFERROR(VLOOKUP(D966,VOL_REC[],2,FALSE),0)</f>
        <v>0</v>
      </c>
      <c r="AU966" s="246">
        <f>IFERROR(VLOOKUP(E966,VOL_REC[],2,FALSE),0)</f>
        <v>0</v>
      </c>
      <c r="AV966" s="246">
        <f>IFERROR(VLOOKUP(F966,VOL_REC[],2,FALSE),0)</f>
        <v>11089674.200000001</v>
      </c>
      <c r="AW966" s="246">
        <f>IFERROR(VLOOKUP(G966,VOL_REC[],2,FALSE),0)</f>
        <v>15540036.397699751</v>
      </c>
      <c r="AX966" s="246">
        <f>IFERROR(VLOOKUP(H966,VOL_REC[],2,FALSE),0)</f>
        <v>663244.80000000016</v>
      </c>
      <c r="AY966" s="246">
        <f>IFERROR(VLOOKUP(I966,VOL_REC[],2,FALSE),0)</f>
        <v>17074.045034105649</v>
      </c>
      <c r="AZ966" s="246">
        <f>IFERROR(VLOOKUP(J966,VOL_REC[],2,FALSE),0)</f>
        <v>1072354.9981737854</v>
      </c>
      <c r="BA966" s="246">
        <f>IFERROR(VLOOKUP(K966,VOL_REC[],2,FALSE),0)</f>
        <v>740113.98115702497</v>
      </c>
      <c r="BB966" s="246">
        <f>IFERROR(VLOOKUP(L966,VOL_REC[],2,FALSE),0)</f>
        <v>0</v>
      </c>
      <c r="BC966" s="246">
        <f>IFERROR(VLOOKUP(M966,VOL_REC[],2,FALSE),0)</f>
        <v>0</v>
      </c>
      <c r="BD966" s="246">
        <f>IFERROR(VLOOKUP(N966,VOL_REC[],2,FALSE),0)</f>
        <v>0</v>
      </c>
      <c r="BE966" s="246">
        <f>IFERROR(VLOOKUP(O966,VOL_REC[],2,FALSE),0)</f>
        <v>0</v>
      </c>
      <c r="BF966" s="246">
        <f>IFERROR(VLOOKUP(P966,VOL_REC[],2,FALSE),0)</f>
        <v>0</v>
      </c>
      <c r="BG966" s="246">
        <f>IFERROR(VLOOKUP(Q966,VOL_REC[],2,FALSE),0)</f>
        <v>0</v>
      </c>
      <c r="BH966" s="1710">
        <f t="shared" si="60"/>
        <v>23499554464.029839</v>
      </c>
      <c r="BI966" s="1710">
        <f t="shared" si="61"/>
        <v>19995270128.715561</v>
      </c>
      <c r="BJ966" s="1711">
        <f t="shared" si="62"/>
        <v>29122498.422064669</v>
      </c>
      <c r="BK966" s="1711">
        <f t="shared" si="63"/>
        <v>1.1752556636022493</v>
      </c>
      <c r="BL966">
        <f>BJ966</f>
        <v>29122498.422064669</v>
      </c>
      <c r="BO966">
        <f>BL966</f>
        <v>29122498.422064669</v>
      </c>
    </row>
    <row r="967" spans="3:67" x14ac:dyDescent="0.25">
      <c r="C967" s="246" t="s">
        <v>2317</v>
      </c>
      <c r="D967" s="246">
        <v>1</v>
      </c>
      <c r="E967" s="246">
        <v>2</v>
      </c>
      <c r="F967" s="246">
        <v>3</v>
      </c>
      <c r="G967" s="246">
        <v>6</v>
      </c>
      <c r="H967" s="246">
        <v>13</v>
      </c>
      <c r="I967" s="246">
        <v>15</v>
      </c>
      <c r="J967" s="246">
        <v>16</v>
      </c>
      <c r="K967" s="246">
        <v>17</v>
      </c>
      <c r="L967" s="246"/>
      <c r="M967" s="246"/>
      <c r="N967" s="246"/>
      <c r="O967" s="246"/>
      <c r="P967" s="246"/>
      <c r="Q967" s="246"/>
      <c r="R967" s="246">
        <f>IFERROR(VLOOKUP(D967,PROGRAMAS[],2,FALSE),0)</f>
        <v>97037803.679377079</v>
      </c>
      <c r="S967" s="246">
        <f>IFERROR(VLOOKUP(E967,PROGRAMAS[],2,FALSE),0)</f>
        <v>640501509.6821388</v>
      </c>
      <c r="T967" s="246">
        <f>IFERROR(VLOOKUP(F967,PROGRAMAS[],2,FALSE),0)</f>
        <v>3062327798.1525245</v>
      </c>
      <c r="U967" s="246">
        <f>IFERROR(VLOOKUP(G967,PROGRAMAS[],2,FALSE),0)</f>
        <v>6907648435.8447599</v>
      </c>
      <c r="V967" s="246">
        <f>IFERROR(VLOOKUP(H967,PROGRAMAS[],2,FALSE),0)</f>
        <v>3776538594.4604583</v>
      </c>
      <c r="W967" s="246">
        <f>IFERROR(VLOOKUP(I967,PROGRAMAS[],2,FALSE),0)</f>
        <v>122159672.96346797</v>
      </c>
      <c r="X967" s="246">
        <f>IFERROR(VLOOKUP(J967,PROGRAMAS[],2,FALSE),0)</f>
        <v>7068496961.0436354</v>
      </c>
      <c r="Y967" s="246">
        <f>IFERROR(VLOOKUP(K967,PROGRAMAS[],2,FALSE),0)</f>
        <v>1892779498.5211046</v>
      </c>
      <c r="Z967" s="246">
        <f>IFERROR(VLOOKUP(L967,PROGRAMAS[],2,FALSE),0)</f>
        <v>0</v>
      </c>
      <c r="AA967" s="246">
        <f>IFERROR(VLOOKUP(M967,PROGRAMAS[],2,FALSE),0)</f>
        <v>0</v>
      </c>
      <c r="AB967" s="246">
        <f>IFERROR(VLOOKUP(N967,PROGRAMAS[],2,FALSE),0)</f>
        <v>0</v>
      </c>
      <c r="AC967" s="246">
        <f>IFERROR(VLOOKUP(O967,PROGRAMAS[],2,FALSE),0)</f>
        <v>0</v>
      </c>
      <c r="AD967" s="246">
        <f>IFERROR(VLOOKUP(P967,PROGRAMAS[],2,FALSE),0)</f>
        <v>0</v>
      </c>
      <c r="AE967" s="246">
        <f>IFERROR(VLOOKUP(Q967,PROGRAMAS[],2,FALSE),0)</f>
        <v>0</v>
      </c>
      <c r="AF967" s="246">
        <f>IFERROR(VLOOKUP(D967,PROGRAMAS[],3,FALSE),0)</f>
        <v>841888629.31080008</v>
      </c>
      <c r="AG967" s="246">
        <f>IFERROR(VLOOKUP(E967,PROGRAMAS[],3,FALSE),0)</f>
        <v>3848980803.1642323</v>
      </c>
      <c r="AH967" s="246">
        <f>IFERROR(VLOOKUP(F967,PROGRAMAS[],3,FALSE),0)</f>
        <v>3394901471.387517</v>
      </c>
      <c r="AI967" s="246">
        <f>IFERROR(VLOOKUP(G967,PROGRAMAS[],3,FALSE),0)</f>
        <v>6129902208.7912121</v>
      </c>
      <c r="AJ967" s="246">
        <f>IFERROR(VLOOKUP(H967,PROGRAMAS[],3,FALSE),0)</f>
        <v>2392571243.5584412</v>
      </c>
      <c r="AK967" s="246">
        <f>IFERROR(VLOOKUP(I967,PROGRAMAS[],3,FALSE),0)</f>
        <v>118617452.52510804</v>
      </c>
      <c r="AL967" s="246">
        <f>IFERROR(VLOOKUP(J967,PROGRAMAS[],3,FALSE),0)</f>
        <v>2406564599.0319901</v>
      </c>
      <c r="AM967" s="246">
        <f>IFERROR(VLOOKUP(K967,PROGRAMAS[],3,FALSE),0)</f>
        <v>948595847.09039903</v>
      </c>
      <c r="AN967" s="246">
        <f>IFERROR(VLOOKUP(L967,PROGRAMAS[],3,FALSE),0)</f>
        <v>0</v>
      </c>
      <c r="AO967" s="246">
        <f>IFERROR(VLOOKUP(M967,PROGRAMAS[],3,FALSE),0)</f>
        <v>0</v>
      </c>
      <c r="AP967" s="246">
        <f>IFERROR(VLOOKUP(N967,PROGRAMAS[],3,FALSE),0)</f>
        <v>0</v>
      </c>
      <c r="AQ967" s="246">
        <f>IFERROR(VLOOKUP(O967,PROGRAMAS[],3,FALSE),0)</f>
        <v>0</v>
      </c>
      <c r="AR967" s="246">
        <f>IFERROR(VLOOKUP(P967,PROGRAMAS[],3,FALSE),0)</f>
        <v>0</v>
      </c>
      <c r="AS967" s="246">
        <f>IFERROR(VLOOKUP(Q967,PROGRAMAS[],3,FALSE),0)</f>
        <v>0</v>
      </c>
      <c r="AT967" s="246">
        <f>IFERROR(VLOOKUP(D967,VOL_REC[],2,FALSE),0)</f>
        <v>0</v>
      </c>
      <c r="AU967" s="246">
        <f>IFERROR(VLOOKUP(E967,VOL_REC[],2,FALSE),0)</f>
        <v>0</v>
      </c>
      <c r="AV967" s="246">
        <f>IFERROR(VLOOKUP(F967,VOL_REC[],2,FALSE),0)</f>
        <v>11089674.200000001</v>
      </c>
      <c r="AW967" s="246">
        <f>IFERROR(VLOOKUP(G967,VOL_REC[],2,FALSE),0)</f>
        <v>15540036.397699751</v>
      </c>
      <c r="AX967" s="246">
        <f>IFERROR(VLOOKUP(H967,VOL_REC[],2,FALSE),0)</f>
        <v>663244.80000000016</v>
      </c>
      <c r="AY967" s="246">
        <f>IFERROR(VLOOKUP(I967,VOL_REC[],2,FALSE),0)</f>
        <v>105072</v>
      </c>
      <c r="AZ967" s="246">
        <f>IFERROR(VLOOKUP(J967,VOL_REC[],2,FALSE),0)</f>
        <v>1072354.9981737854</v>
      </c>
      <c r="BA967" s="246">
        <f>IFERROR(VLOOKUP(K967,VOL_REC[],2,FALSE),0)</f>
        <v>740113.98115702497</v>
      </c>
      <c r="BB967" s="246">
        <f>IFERROR(VLOOKUP(L967,VOL_REC[],2,FALSE),0)</f>
        <v>0</v>
      </c>
      <c r="BC967" s="246">
        <f>IFERROR(VLOOKUP(M967,VOL_REC[],2,FALSE),0)</f>
        <v>0</v>
      </c>
      <c r="BD967" s="246">
        <f>IFERROR(VLOOKUP(N967,VOL_REC[],2,FALSE),0)</f>
        <v>0</v>
      </c>
      <c r="BE967" s="246">
        <f>IFERROR(VLOOKUP(O967,VOL_REC[],2,FALSE),0)</f>
        <v>0</v>
      </c>
      <c r="BF967" s="246">
        <f>IFERROR(VLOOKUP(P967,VOL_REC[],2,FALSE),0)</f>
        <v>0</v>
      </c>
      <c r="BG967" s="246">
        <f>IFERROR(VLOOKUP(Q967,VOL_REC[],2,FALSE),0)</f>
        <v>0</v>
      </c>
      <c r="BH967" s="1710">
        <f t="shared" si="60"/>
        <v>23567490274.347466</v>
      </c>
      <c r="BI967" s="1710">
        <f t="shared" si="61"/>
        <v>20082022254.859703</v>
      </c>
      <c r="BJ967" s="1711">
        <f t="shared" si="62"/>
        <v>29210496.377030563</v>
      </c>
      <c r="BK967" s="1711">
        <f t="shared" si="63"/>
        <v>1.1735616052633497</v>
      </c>
      <c r="BL967">
        <f>BJ967</f>
        <v>29210496.377030563</v>
      </c>
      <c r="BO967">
        <f>BL967</f>
        <v>29210496.377030563</v>
      </c>
    </row>
    <row r="968" spans="3:67" x14ac:dyDescent="0.25">
      <c r="C968" s="246" t="s">
        <v>2318</v>
      </c>
      <c r="D968" s="246">
        <v>1</v>
      </c>
      <c r="E968" s="246">
        <v>2</v>
      </c>
      <c r="F968" s="246">
        <v>3</v>
      </c>
      <c r="G968" s="246">
        <v>6</v>
      </c>
      <c r="H968" s="246">
        <v>14</v>
      </c>
      <c r="I968" s="246">
        <v>15</v>
      </c>
      <c r="J968" s="246">
        <v>16</v>
      </c>
      <c r="K968" s="246">
        <v>17</v>
      </c>
      <c r="L968" s="246"/>
      <c r="M968" s="246"/>
      <c r="N968" s="246"/>
      <c r="O968" s="246"/>
      <c r="P968" s="246"/>
      <c r="Q968" s="246"/>
      <c r="R968" s="246">
        <f>IFERROR(VLOOKUP(D968,PROGRAMAS[],2,FALSE),0)</f>
        <v>97037803.679377079</v>
      </c>
      <c r="S968" s="246">
        <f>IFERROR(VLOOKUP(E968,PROGRAMAS[],2,FALSE),0)</f>
        <v>640501509.6821388</v>
      </c>
      <c r="T968" s="246">
        <f>IFERROR(VLOOKUP(F968,PROGRAMAS[],2,FALSE),0)</f>
        <v>3062327798.1525245</v>
      </c>
      <c r="U968" s="246">
        <f>IFERROR(VLOOKUP(G968,PROGRAMAS[],2,FALSE),0)</f>
        <v>6907648435.8447599</v>
      </c>
      <c r="V968" s="246">
        <f>IFERROR(VLOOKUP(H968,PROGRAMAS[],2,FALSE),0)</f>
        <v>54223862.645839565</v>
      </c>
      <c r="W968" s="246">
        <f>IFERROR(VLOOKUP(I968,PROGRAMAS[],2,FALSE),0)</f>
        <v>122159672.96346797</v>
      </c>
      <c r="X968" s="246">
        <f>IFERROR(VLOOKUP(J968,PROGRAMAS[],2,FALSE),0)</f>
        <v>7068496961.0436354</v>
      </c>
      <c r="Y968" s="246">
        <f>IFERROR(VLOOKUP(K968,PROGRAMAS[],2,FALSE),0)</f>
        <v>1892779498.5211046</v>
      </c>
      <c r="Z968" s="246">
        <f>IFERROR(VLOOKUP(L968,PROGRAMAS[],2,FALSE),0)</f>
        <v>0</v>
      </c>
      <c r="AA968" s="246">
        <f>IFERROR(VLOOKUP(M968,PROGRAMAS[],2,FALSE),0)</f>
        <v>0</v>
      </c>
      <c r="AB968" s="246">
        <f>IFERROR(VLOOKUP(N968,PROGRAMAS[],2,FALSE),0)</f>
        <v>0</v>
      </c>
      <c r="AC968" s="246">
        <f>IFERROR(VLOOKUP(O968,PROGRAMAS[],2,FALSE),0)</f>
        <v>0</v>
      </c>
      <c r="AD968" s="246">
        <f>IFERROR(VLOOKUP(P968,PROGRAMAS[],2,FALSE),0)</f>
        <v>0</v>
      </c>
      <c r="AE968" s="246">
        <f>IFERROR(VLOOKUP(Q968,PROGRAMAS[],2,FALSE),0)</f>
        <v>0</v>
      </c>
      <c r="AF968" s="246">
        <f>IFERROR(VLOOKUP(D968,PROGRAMAS[],3,FALSE),0)</f>
        <v>841888629.31080008</v>
      </c>
      <c r="AG968" s="246">
        <f>IFERROR(VLOOKUP(E968,PROGRAMAS[],3,FALSE),0)</f>
        <v>3848980803.1642323</v>
      </c>
      <c r="AH968" s="246">
        <f>IFERROR(VLOOKUP(F968,PROGRAMAS[],3,FALSE),0)</f>
        <v>3394901471.387517</v>
      </c>
      <c r="AI968" s="246">
        <f>IFERROR(VLOOKUP(G968,PROGRAMAS[],3,FALSE),0)</f>
        <v>6129902208.7912121</v>
      </c>
      <c r="AJ968" s="246">
        <f>IFERROR(VLOOKUP(H968,PROGRAMAS[],3,FALSE),0)</f>
        <v>31865326.38096505</v>
      </c>
      <c r="AK968" s="246">
        <f>IFERROR(VLOOKUP(I968,PROGRAMAS[],3,FALSE),0)</f>
        <v>118617452.52510804</v>
      </c>
      <c r="AL968" s="246">
        <f>IFERROR(VLOOKUP(J968,PROGRAMAS[],3,FALSE),0)</f>
        <v>2406564599.0319901</v>
      </c>
      <c r="AM968" s="246">
        <f>IFERROR(VLOOKUP(K968,PROGRAMAS[],3,FALSE),0)</f>
        <v>948595847.09039903</v>
      </c>
      <c r="AN968" s="246">
        <f>IFERROR(VLOOKUP(L968,PROGRAMAS[],3,FALSE),0)</f>
        <v>0</v>
      </c>
      <c r="AO968" s="246">
        <f>IFERROR(VLOOKUP(M968,PROGRAMAS[],3,FALSE),0)</f>
        <v>0</v>
      </c>
      <c r="AP968" s="246">
        <f>IFERROR(VLOOKUP(N968,PROGRAMAS[],3,FALSE),0)</f>
        <v>0</v>
      </c>
      <c r="AQ968" s="246">
        <f>IFERROR(VLOOKUP(O968,PROGRAMAS[],3,FALSE),0)</f>
        <v>0</v>
      </c>
      <c r="AR968" s="246">
        <f>IFERROR(VLOOKUP(P968,PROGRAMAS[],3,FALSE),0)</f>
        <v>0</v>
      </c>
      <c r="AS968" s="246">
        <f>IFERROR(VLOOKUP(Q968,PROGRAMAS[],3,FALSE),0)</f>
        <v>0</v>
      </c>
      <c r="AT968" s="246">
        <f>IFERROR(VLOOKUP(D968,VOL_REC[],2,FALSE),0)</f>
        <v>0</v>
      </c>
      <c r="AU968" s="246">
        <f>IFERROR(VLOOKUP(E968,VOL_REC[],2,FALSE),0)</f>
        <v>0</v>
      </c>
      <c r="AV968" s="246">
        <f>IFERROR(VLOOKUP(F968,VOL_REC[],2,FALSE),0)</f>
        <v>11089674.200000001</v>
      </c>
      <c r="AW968" s="246">
        <f>IFERROR(VLOOKUP(G968,VOL_REC[],2,FALSE),0)</f>
        <v>15540036.397699751</v>
      </c>
      <c r="AX968" s="246">
        <f>IFERROR(VLOOKUP(H968,VOL_REC[],2,FALSE),0)</f>
        <v>17074.045034105649</v>
      </c>
      <c r="AY968" s="246">
        <f>IFERROR(VLOOKUP(I968,VOL_REC[],2,FALSE),0)</f>
        <v>105072</v>
      </c>
      <c r="AZ968" s="246">
        <f>IFERROR(VLOOKUP(J968,VOL_REC[],2,FALSE),0)</f>
        <v>1072354.9981737854</v>
      </c>
      <c r="BA968" s="246">
        <f>IFERROR(VLOOKUP(K968,VOL_REC[],2,FALSE),0)</f>
        <v>740113.98115702497</v>
      </c>
      <c r="BB968" s="246">
        <f>IFERROR(VLOOKUP(L968,VOL_REC[],2,FALSE),0)</f>
        <v>0</v>
      </c>
      <c r="BC968" s="246">
        <f>IFERROR(VLOOKUP(M968,VOL_REC[],2,FALSE),0)</f>
        <v>0</v>
      </c>
      <c r="BD968" s="246">
        <f>IFERROR(VLOOKUP(N968,VOL_REC[],2,FALSE),0)</f>
        <v>0</v>
      </c>
      <c r="BE968" s="246">
        <f>IFERROR(VLOOKUP(O968,VOL_REC[],2,FALSE),0)</f>
        <v>0</v>
      </c>
      <c r="BF968" s="246">
        <f>IFERROR(VLOOKUP(P968,VOL_REC[],2,FALSE),0)</f>
        <v>0</v>
      </c>
      <c r="BG968" s="246">
        <f>IFERROR(VLOOKUP(Q968,VOL_REC[],2,FALSE),0)</f>
        <v>0</v>
      </c>
      <c r="BH968" s="1710">
        <f t="shared" si="60"/>
        <v>19845175542.532848</v>
      </c>
      <c r="BI968" s="1710">
        <f t="shared" si="61"/>
        <v>17721316337.682224</v>
      </c>
      <c r="BJ968" s="1711">
        <f t="shared" si="62"/>
        <v>28564325.622064669</v>
      </c>
      <c r="BK968" s="1711">
        <f t="shared" si="63"/>
        <v>1.1198477113313809</v>
      </c>
      <c r="BL968">
        <f>BJ968</f>
        <v>28564325.622064669</v>
      </c>
      <c r="BO968">
        <f>BL968</f>
        <v>28564325.622064669</v>
      </c>
    </row>
    <row r="969" spans="3:67" x14ac:dyDescent="0.25">
      <c r="C969" s="246" t="s">
        <v>2319</v>
      </c>
      <c r="D969" s="246">
        <v>1</v>
      </c>
      <c r="E969" s="246">
        <v>2</v>
      </c>
      <c r="F969" s="246">
        <v>3</v>
      </c>
      <c r="G969" s="246">
        <v>9</v>
      </c>
      <c r="H969" s="246">
        <v>10</v>
      </c>
      <c r="I969" s="246">
        <v>12</v>
      </c>
      <c r="J969" s="246">
        <v>13</v>
      </c>
      <c r="K969" s="246">
        <v>14</v>
      </c>
      <c r="L969" s="246"/>
      <c r="M969" s="246"/>
      <c r="N969" s="246"/>
      <c r="O969" s="246"/>
      <c r="P969" s="246"/>
      <c r="Q969" s="246"/>
      <c r="R969" s="246">
        <f>IFERROR(VLOOKUP(D969,PROGRAMAS[],2,FALSE),0)</f>
        <v>97037803.679377079</v>
      </c>
      <c r="S969" s="246">
        <f>IFERROR(VLOOKUP(E969,PROGRAMAS[],2,FALSE),0)</f>
        <v>640501509.6821388</v>
      </c>
      <c r="T969" s="246">
        <f>IFERROR(VLOOKUP(F969,PROGRAMAS[],2,FALSE),0)</f>
        <v>3062327798.1525245</v>
      </c>
      <c r="U969" s="246">
        <f>IFERROR(VLOOKUP(G969,PROGRAMAS[],2,FALSE),0)</f>
        <v>6128579952.1618185</v>
      </c>
      <c r="V969" s="246">
        <f>IFERROR(VLOOKUP(H969,PROGRAMAS[],2,FALSE),0)</f>
        <v>4635315027.8751087</v>
      </c>
      <c r="W969" s="246">
        <f>IFERROR(VLOOKUP(I969,PROGRAMAS[],2,FALSE),0)</f>
        <v>764796700.79905891</v>
      </c>
      <c r="X969" s="246">
        <f>IFERROR(VLOOKUP(J969,PROGRAMAS[],2,FALSE),0)</f>
        <v>3776538594.4604583</v>
      </c>
      <c r="Y969" s="246">
        <f>IFERROR(VLOOKUP(K969,PROGRAMAS[],2,FALSE),0)</f>
        <v>54223862.645839565</v>
      </c>
      <c r="Z969" s="246">
        <f>IFERROR(VLOOKUP(L969,PROGRAMAS[],2,FALSE),0)</f>
        <v>0</v>
      </c>
      <c r="AA969" s="246">
        <f>IFERROR(VLOOKUP(M969,PROGRAMAS[],2,FALSE),0)</f>
        <v>0</v>
      </c>
      <c r="AB969" s="246">
        <f>IFERROR(VLOOKUP(N969,PROGRAMAS[],2,FALSE),0)</f>
        <v>0</v>
      </c>
      <c r="AC969" s="246">
        <f>IFERROR(VLOOKUP(O969,PROGRAMAS[],2,FALSE),0)</f>
        <v>0</v>
      </c>
      <c r="AD969" s="246">
        <f>IFERROR(VLOOKUP(P969,PROGRAMAS[],2,FALSE),0)</f>
        <v>0</v>
      </c>
      <c r="AE969" s="246">
        <f>IFERROR(VLOOKUP(Q969,PROGRAMAS[],2,FALSE),0)</f>
        <v>0</v>
      </c>
      <c r="AF969" s="246">
        <f>IFERROR(VLOOKUP(D969,PROGRAMAS[],3,FALSE),0)</f>
        <v>841888629.31080008</v>
      </c>
      <c r="AG969" s="246">
        <f>IFERROR(VLOOKUP(E969,PROGRAMAS[],3,FALSE),0)</f>
        <v>3848980803.1642323</v>
      </c>
      <c r="AH969" s="246">
        <f>IFERROR(VLOOKUP(F969,PROGRAMAS[],3,FALSE),0)</f>
        <v>3394901471.387517</v>
      </c>
      <c r="AI969" s="246">
        <f>IFERROR(VLOOKUP(G969,PROGRAMAS[],3,FALSE),0)</f>
        <v>7011279577.519702</v>
      </c>
      <c r="AJ969" s="246">
        <f>IFERROR(VLOOKUP(H969,PROGRAMAS[],3,FALSE),0)</f>
        <v>4099471734.9978786</v>
      </c>
      <c r="AK969" s="246">
        <f>IFERROR(VLOOKUP(I969,PROGRAMAS[],3,FALSE),0)</f>
        <v>675517840.109828</v>
      </c>
      <c r="AL969" s="246">
        <f>IFERROR(VLOOKUP(J969,PROGRAMAS[],3,FALSE),0)</f>
        <v>2392571243.5584412</v>
      </c>
      <c r="AM969" s="246">
        <f>IFERROR(VLOOKUP(K969,PROGRAMAS[],3,FALSE),0)</f>
        <v>31865326.38096505</v>
      </c>
      <c r="AN969" s="246">
        <f>IFERROR(VLOOKUP(L969,PROGRAMAS[],3,FALSE),0)</f>
        <v>0</v>
      </c>
      <c r="AO969" s="246">
        <f>IFERROR(VLOOKUP(M969,PROGRAMAS[],3,FALSE),0)</f>
        <v>0</v>
      </c>
      <c r="AP969" s="246">
        <f>IFERROR(VLOOKUP(N969,PROGRAMAS[],3,FALSE),0)</f>
        <v>0</v>
      </c>
      <c r="AQ969" s="246">
        <f>IFERROR(VLOOKUP(O969,PROGRAMAS[],3,FALSE),0)</f>
        <v>0</v>
      </c>
      <c r="AR969" s="246">
        <f>IFERROR(VLOOKUP(P969,PROGRAMAS[],3,FALSE),0)</f>
        <v>0</v>
      </c>
      <c r="AS969" s="246">
        <f>IFERROR(VLOOKUP(Q969,PROGRAMAS[],3,FALSE),0)</f>
        <v>0</v>
      </c>
      <c r="AT969" s="246">
        <f>IFERROR(VLOOKUP(D969,VOL_REC[],2,FALSE),0)</f>
        <v>0</v>
      </c>
      <c r="AU969" s="246">
        <f>IFERROR(VLOOKUP(E969,VOL_REC[],2,FALSE),0)</f>
        <v>0</v>
      </c>
      <c r="AV969" s="246">
        <f>IFERROR(VLOOKUP(F969,VOL_REC[],2,FALSE),0)</f>
        <v>11089674.200000001</v>
      </c>
      <c r="AW969" s="246">
        <f>IFERROR(VLOOKUP(G969,VOL_REC[],2,FALSE),0)</f>
        <v>3761786</v>
      </c>
      <c r="AX969" s="246">
        <f>IFERROR(VLOOKUP(H969,VOL_REC[],2,FALSE),0)</f>
        <v>1812240</v>
      </c>
      <c r="AY969" s="246">
        <f>IFERROR(VLOOKUP(I969,VOL_REC[],2,FALSE),0)</f>
        <v>240696.79238099116</v>
      </c>
      <c r="AZ969" s="246">
        <f>IFERROR(VLOOKUP(J969,VOL_REC[],2,FALSE),0)</f>
        <v>663244.80000000016</v>
      </c>
      <c r="BA969" s="246">
        <f>IFERROR(VLOOKUP(K969,VOL_REC[],2,FALSE),0)</f>
        <v>17074.045034105649</v>
      </c>
      <c r="BB969" s="246">
        <f>IFERROR(VLOOKUP(L969,VOL_REC[],2,FALSE),0)</f>
        <v>0</v>
      </c>
      <c r="BC969" s="246">
        <f>IFERROR(VLOOKUP(M969,VOL_REC[],2,FALSE),0)</f>
        <v>0</v>
      </c>
      <c r="BD969" s="246">
        <f>IFERROR(VLOOKUP(N969,VOL_REC[],2,FALSE),0)</f>
        <v>0</v>
      </c>
      <c r="BE969" s="246">
        <f>IFERROR(VLOOKUP(O969,VOL_REC[],2,FALSE),0)</f>
        <v>0</v>
      </c>
      <c r="BF969" s="246">
        <f>IFERROR(VLOOKUP(P969,VOL_REC[],2,FALSE),0)</f>
        <v>0</v>
      </c>
      <c r="BG969" s="246">
        <f>IFERROR(VLOOKUP(Q969,VOL_REC[],2,FALSE),0)</f>
        <v>0</v>
      </c>
      <c r="BH969" s="1710">
        <f t="shared" si="60"/>
        <v>19159321249.456326</v>
      </c>
      <c r="BI969" s="1710">
        <f t="shared" si="61"/>
        <v>22296476626.429367</v>
      </c>
      <c r="BJ969" s="1711">
        <f t="shared" si="62"/>
        <v>17584715.837415099</v>
      </c>
      <c r="BK969" s="1711">
        <f t="shared" si="63"/>
        <v>0.85929815595822068</v>
      </c>
    </row>
    <row r="970" spans="3:67" x14ac:dyDescent="0.25">
      <c r="C970" s="246" t="s">
        <v>2320</v>
      </c>
      <c r="D970" s="246">
        <v>1</v>
      </c>
      <c r="E970" s="246">
        <v>2</v>
      </c>
      <c r="F970" s="246">
        <v>3</v>
      </c>
      <c r="G970" s="246">
        <v>9</v>
      </c>
      <c r="H970" s="246">
        <v>10</v>
      </c>
      <c r="I970" s="246">
        <v>12</v>
      </c>
      <c r="J970" s="246">
        <v>13</v>
      </c>
      <c r="K970" s="246">
        <v>15</v>
      </c>
      <c r="L970" s="246"/>
      <c r="M970" s="246"/>
      <c r="N970" s="246"/>
      <c r="O970" s="246"/>
      <c r="P970" s="246"/>
      <c r="Q970" s="246"/>
      <c r="R970" s="246">
        <f>IFERROR(VLOOKUP(D970,PROGRAMAS[],2,FALSE),0)</f>
        <v>97037803.679377079</v>
      </c>
      <c r="S970" s="246">
        <f>IFERROR(VLOOKUP(E970,PROGRAMAS[],2,FALSE),0)</f>
        <v>640501509.6821388</v>
      </c>
      <c r="T970" s="246">
        <f>IFERROR(VLOOKUP(F970,PROGRAMAS[],2,FALSE),0)</f>
        <v>3062327798.1525245</v>
      </c>
      <c r="U970" s="246">
        <f>IFERROR(VLOOKUP(G970,PROGRAMAS[],2,FALSE),0)</f>
        <v>6128579952.1618185</v>
      </c>
      <c r="V970" s="246">
        <f>IFERROR(VLOOKUP(H970,PROGRAMAS[],2,FALSE),0)</f>
        <v>4635315027.8751087</v>
      </c>
      <c r="W970" s="246">
        <f>IFERROR(VLOOKUP(I970,PROGRAMAS[],2,FALSE),0)</f>
        <v>764796700.79905891</v>
      </c>
      <c r="X970" s="246">
        <f>IFERROR(VLOOKUP(J970,PROGRAMAS[],2,FALSE),0)</f>
        <v>3776538594.4604583</v>
      </c>
      <c r="Y970" s="246">
        <f>IFERROR(VLOOKUP(K970,PROGRAMAS[],2,FALSE),0)</f>
        <v>122159672.96346797</v>
      </c>
      <c r="Z970" s="246">
        <f>IFERROR(VLOOKUP(L970,PROGRAMAS[],2,FALSE),0)</f>
        <v>0</v>
      </c>
      <c r="AA970" s="246">
        <f>IFERROR(VLOOKUP(M970,PROGRAMAS[],2,FALSE),0)</f>
        <v>0</v>
      </c>
      <c r="AB970" s="246">
        <f>IFERROR(VLOOKUP(N970,PROGRAMAS[],2,FALSE),0)</f>
        <v>0</v>
      </c>
      <c r="AC970" s="246">
        <f>IFERROR(VLOOKUP(O970,PROGRAMAS[],2,FALSE),0)</f>
        <v>0</v>
      </c>
      <c r="AD970" s="246">
        <f>IFERROR(VLOOKUP(P970,PROGRAMAS[],2,FALSE),0)</f>
        <v>0</v>
      </c>
      <c r="AE970" s="246">
        <f>IFERROR(VLOOKUP(Q970,PROGRAMAS[],2,FALSE),0)</f>
        <v>0</v>
      </c>
      <c r="AF970" s="246">
        <f>IFERROR(VLOOKUP(D970,PROGRAMAS[],3,FALSE),0)</f>
        <v>841888629.31080008</v>
      </c>
      <c r="AG970" s="246">
        <f>IFERROR(VLOOKUP(E970,PROGRAMAS[],3,FALSE),0)</f>
        <v>3848980803.1642323</v>
      </c>
      <c r="AH970" s="246">
        <f>IFERROR(VLOOKUP(F970,PROGRAMAS[],3,FALSE),0)</f>
        <v>3394901471.387517</v>
      </c>
      <c r="AI970" s="246">
        <f>IFERROR(VLOOKUP(G970,PROGRAMAS[],3,FALSE),0)</f>
        <v>7011279577.519702</v>
      </c>
      <c r="AJ970" s="246">
        <f>IFERROR(VLOOKUP(H970,PROGRAMAS[],3,FALSE),0)</f>
        <v>4099471734.9978786</v>
      </c>
      <c r="AK970" s="246">
        <f>IFERROR(VLOOKUP(I970,PROGRAMAS[],3,FALSE),0)</f>
        <v>675517840.109828</v>
      </c>
      <c r="AL970" s="246">
        <f>IFERROR(VLOOKUP(J970,PROGRAMAS[],3,FALSE),0)</f>
        <v>2392571243.5584412</v>
      </c>
      <c r="AM970" s="246">
        <f>IFERROR(VLOOKUP(K970,PROGRAMAS[],3,FALSE),0)</f>
        <v>118617452.52510804</v>
      </c>
      <c r="AN970" s="246">
        <f>IFERROR(VLOOKUP(L970,PROGRAMAS[],3,FALSE),0)</f>
        <v>0</v>
      </c>
      <c r="AO970" s="246">
        <f>IFERROR(VLOOKUP(M970,PROGRAMAS[],3,FALSE),0)</f>
        <v>0</v>
      </c>
      <c r="AP970" s="246">
        <f>IFERROR(VLOOKUP(N970,PROGRAMAS[],3,FALSE),0)</f>
        <v>0</v>
      </c>
      <c r="AQ970" s="246">
        <f>IFERROR(VLOOKUP(O970,PROGRAMAS[],3,FALSE),0)</f>
        <v>0</v>
      </c>
      <c r="AR970" s="246">
        <f>IFERROR(VLOOKUP(P970,PROGRAMAS[],3,FALSE),0)</f>
        <v>0</v>
      </c>
      <c r="AS970" s="246">
        <f>IFERROR(VLOOKUP(Q970,PROGRAMAS[],3,FALSE),0)</f>
        <v>0</v>
      </c>
      <c r="AT970" s="246">
        <f>IFERROR(VLOOKUP(D970,VOL_REC[],2,FALSE),0)</f>
        <v>0</v>
      </c>
      <c r="AU970" s="246">
        <f>IFERROR(VLOOKUP(E970,VOL_REC[],2,FALSE),0)</f>
        <v>0</v>
      </c>
      <c r="AV970" s="246">
        <f>IFERROR(VLOOKUP(F970,VOL_REC[],2,FALSE),0)</f>
        <v>11089674.200000001</v>
      </c>
      <c r="AW970" s="246">
        <f>IFERROR(VLOOKUP(G970,VOL_REC[],2,FALSE),0)</f>
        <v>3761786</v>
      </c>
      <c r="AX970" s="246">
        <f>IFERROR(VLOOKUP(H970,VOL_REC[],2,FALSE),0)</f>
        <v>1812240</v>
      </c>
      <c r="AY970" s="246">
        <f>IFERROR(VLOOKUP(I970,VOL_REC[],2,FALSE),0)</f>
        <v>240696.79238099116</v>
      </c>
      <c r="AZ970" s="246">
        <f>IFERROR(VLOOKUP(J970,VOL_REC[],2,FALSE),0)</f>
        <v>663244.80000000016</v>
      </c>
      <c r="BA970" s="246">
        <f>IFERROR(VLOOKUP(K970,VOL_REC[],2,FALSE),0)</f>
        <v>105072</v>
      </c>
      <c r="BB970" s="246">
        <f>IFERROR(VLOOKUP(L970,VOL_REC[],2,FALSE),0)</f>
        <v>0</v>
      </c>
      <c r="BC970" s="246">
        <f>IFERROR(VLOOKUP(M970,VOL_REC[],2,FALSE),0)</f>
        <v>0</v>
      </c>
      <c r="BD970" s="246">
        <f>IFERROR(VLOOKUP(N970,VOL_REC[],2,FALSE),0)</f>
        <v>0</v>
      </c>
      <c r="BE970" s="246">
        <f>IFERROR(VLOOKUP(O970,VOL_REC[],2,FALSE),0)</f>
        <v>0</v>
      </c>
      <c r="BF970" s="246">
        <f>IFERROR(VLOOKUP(P970,VOL_REC[],2,FALSE),0)</f>
        <v>0</v>
      </c>
      <c r="BG970" s="246">
        <f>IFERROR(VLOOKUP(Q970,VOL_REC[],2,FALSE),0)</f>
        <v>0</v>
      </c>
      <c r="BH970" s="1710">
        <f t="shared" si="60"/>
        <v>19227257059.773952</v>
      </c>
      <c r="BI970" s="1710">
        <f t="shared" si="61"/>
        <v>22383228752.573509</v>
      </c>
      <c r="BJ970" s="1711">
        <f t="shared" si="62"/>
        <v>17672713.792380992</v>
      </c>
      <c r="BK970" s="1711">
        <f t="shared" si="63"/>
        <v>0.85900283968474833</v>
      </c>
    </row>
    <row r="971" spans="3:67" x14ac:dyDescent="0.25">
      <c r="C971" s="246" t="s">
        <v>2321</v>
      </c>
      <c r="D971" s="246">
        <v>1</v>
      </c>
      <c r="E971" s="246">
        <v>2</v>
      </c>
      <c r="F971" s="246">
        <v>3</v>
      </c>
      <c r="G971" s="246">
        <v>9</v>
      </c>
      <c r="H971" s="246">
        <v>10</v>
      </c>
      <c r="I971" s="246">
        <v>12</v>
      </c>
      <c r="J971" s="246">
        <v>13</v>
      </c>
      <c r="K971" s="246">
        <v>16</v>
      </c>
      <c r="L971" s="246"/>
      <c r="M971" s="246"/>
      <c r="N971" s="246"/>
      <c r="O971" s="246"/>
      <c r="P971" s="246"/>
      <c r="Q971" s="246"/>
      <c r="R971" s="246">
        <f>IFERROR(VLOOKUP(D971,PROGRAMAS[],2,FALSE),0)</f>
        <v>97037803.679377079</v>
      </c>
      <c r="S971" s="246">
        <f>IFERROR(VLOOKUP(E971,PROGRAMAS[],2,FALSE),0)</f>
        <v>640501509.6821388</v>
      </c>
      <c r="T971" s="246">
        <f>IFERROR(VLOOKUP(F971,PROGRAMAS[],2,FALSE),0)</f>
        <v>3062327798.1525245</v>
      </c>
      <c r="U971" s="246">
        <f>IFERROR(VLOOKUP(G971,PROGRAMAS[],2,FALSE),0)</f>
        <v>6128579952.1618185</v>
      </c>
      <c r="V971" s="246">
        <f>IFERROR(VLOOKUP(H971,PROGRAMAS[],2,FALSE),0)</f>
        <v>4635315027.8751087</v>
      </c>
      <c r="W971" s="246">
        <f>IFERROR(VLOOKUP(I971,PROGRAMAS[],2,FALSE),0)</f>
        <v>764796700.79905891</v>
      </c>
      <c r="X971" s="246">
        <f>IFERROR(VLOOKUP(J971,PROGRAMAS[],2,FALSE),0)</f>
        <v>3776538594.4604583</v>
      </c>
      <c r="Y971" s="246">
        <f>IFERROR(VLOOKUP(K971,PROGRAMAS[],2,FALSE),0)</f>
        <v>7068496961.0436354</v>
      </c>
      <c r="Z971" s="246">
        <f>IFERROR(VLOOKUP(L971,PROGRAMAS[],2,FALSE),0)</f>
        <v>0</v>
      </c>
      <c r="AA971" s="246">
        <f>IFERROR(VLOOKUP(M971,PROGRAMAS[],2,FALSE),0)</f>
        <v>0</v>
      </c>
      <c r="AB971" s="246">
        <f>IFERROR(VLOOKUP(N971,PROGRAMAS[],2,FALSE),0)</f>
        <v>0</v>
      </c>
      <c r="AC971" s="246">
        <f>IFERROR(VLOOKUP(O971,PROGRAMAS[],2,FALSE),0)</f>
        <v>0</v>
      </c>
      <c r="AD971" s="246">
        <f>IFERROR(VLOOKUP(P971,PROGRAMAS[],2,FALSE),0)</f>
        <v>0</v>
      </c>
      <c r="AE971" s="246">
        <f>IFERROR(VLOOKUP(Q971,PROGRAMAS[],2,FALSE),0)</f>
        <v>0</v>
      </c>
      <c r="AF971" s="246">
        <f>IFERROR(VLOOKUP(D971,PROGRAMAS[],3,FALSE),0)</f>
        <v>841888629.31080008</v>
      </c>
      <c r="AG971" s="246">
        <f>IFERROR(VLOOKUP(E971,PROGRAMAS[],3,FALSE),0)</f>
        <v>3848980803.1642323</v>
      </c>
      <c r="AH971" s="246">
        <f>IFERROR(VLOOKUP(F971,PROGRAMAS[],3,FALSE),0)</f>
        <v>3394901471.387517</v>
      </c>
      <c r="AI971" s="246">
        <f>IFERROR(VLOOKUP(G971,PROGRAMAS[],3,FALSE),0)</f>
        <v>7011279577.519702</v>
      </c>
      <c r="AJ971" s="246">
        <f>IFERROR(VLOOKUP(H971,PROGRAMAS[],3,FALSE),0)</f>
        <v>4099471734.9978786</v>
      </c>
      <c r="AK971" s="246">
        <f>IFERROR(VLOOKUP(I971,PROGRAMAS[],3,FALSE),0)</f>
        <v>675517840.109828</v>
      </c>
      <c r="AL971" s="246">
        <f>IFERROR(VLOOKUP(J971,PROGRAMAS[],3,FALSE),0)</f>
        <v>2392571243.5584412</v>
      </c>
      <c r="AM971" s="246">
        <f>IFERROR(VLOOKUP(K971,PROGRAMAS[],3,FALSE),0)</f>
        <v>2406564599.0319901</v>
      </c>
      <c r="AN971" s="246">
        <f>IFERROR(VLOOKUP(L971,PROGRAMAS[],3,FALSE),0)</f>
        <v>0</v>
      </c>
      <c r="AO971" s="246">
        <f>IFERROR(VLOOKUP(M971,PROGRAMAS[],3,FALSE),0)</f>
        <v>0</v>
      </c>
      <c r="AP971" s="246">
        <f>IFERROR(VLOOKUP(N971,PROGRAMAS[],3,FALSE),0)</f>
        <v>0</v>
      </c>
      <c r="AQ971" s="246">
        <f>IFERROR(VLOOKUP(O971,PROGRAMAS[],3,FALSE),0)</f>
        <v>0</v>
      </c>
      <c r="AR971" s="246">
        <f>IFERROR(VLOOKUP(P971,PROGRAMAS[],3,FALSE),0)</f>
        <v>0</v>
      </c>
      <c r="AS971" s="246">
        <f>IFERROR(VLOOKUP(Q971,PROGRAMAS[],3,FALSE),0)</f>
        <v>0</v>
      </c>
      <c r="AT971" s="246">
        <f>IFERROR(VLOOKUP(D971,VOL_REC[],2,FALSE),0)</f>
        <v>0</v>
      </c>
      <c r="AU971" s="246">
        <f>IFERROR(VLOOKUP(E971,VOL_REC[],2,FALSE),0)</f>
        <v>0</v>
      </c>
      <c r="AV971" s="246">
        <f>IFERROR(VLOOKUP(F971,VOL_REC[],2,FALSE),0)</f>
        <v>11089674.200000001</v>
      </c>
      <c r="AW971" s="246">
        <f>IFERROR(VLOOKUP(G971,VOL_REC[],2,FALSE),0)</f>
        <v>3761786</v>
      </c>
      <c r="AX971" s="246">
        <f>IFERROR(VLOOKUP(H971,VOL_REC[],2,FALSE),0)</f>
        <v>1812240</v>
      </c>
      <c r="AY971" s="246">
        <f>IFERROR(VLOOKUP(I971,VOL_REC[],2,FALSE),0)</f>
        <v>240696.79238099116</v>
      </c>
      <c r="AZ971" s="246">
        <f>IFERROR(VLOOKUP(J971,VOL_REC[],2,FALSE),0)</f>
        <v>663244.80000000016</v>
      </c>
      <c r="BA971" s="246">
        <f>IFERROR(VLOOKUP(K971,VOL_REC[],2,FALSE),0)</f>
        <v>1072354.9981737854</v>
      </c>
      <c r="BB971" s="246">
        <f>IFERROR(VLOOKUP(L971,VOL_REC[],2,FALSE),0)</f>
        <v>0</v>
      </c>
      <c r="BC971" s="246">
        <f>IFERROR(VLOOKUP(M971,VOL_REC[],2,FALSE),0)</f>
        <v>0</v>
      </c>
      <c r="BD971" s="246">
        <f>IFERROR(VLOOKUP(N971,VOL_REC[],2,FALSE),0)</f>
        <v>0</v>
      </c>
      <c r="BE971" s="246">
        <f>IFERROR(VLOOKUP(O971,VOL_REC[],2,FALSE),0)</f>
        <v>0</v>
      </c>
      <c r="BF971" s="246">
        <f>IFERROR(VLOOKUP(P971,VOL_REC[],2,FALSE),0)</f>
        <v>0</v>
      </c>
      <c r="BG971" s="246">
        <f>IFERROR(VLOOKUP(Q971,VOL_REC[],2,FALSE),0)</f>
        <v>0</v>
      </c>
      <c r="BH971" s="1710">
        <f t="shared" si="60"/>
        <v>26173594347.854122</v>
      </c>
      <c r="BI971" s="1710">
        <f t="shared" si="61"/>
        <v>24671175899.080391</v>
      </c>
      <c r="BJ971" s="1711">
        <f t="shared" si="62"/>
        <v>18639996.790554777</v>
      </c>
      <c r="BK971" s="1711">
        <f t="shared" si="63"/>
        <v>1.0608977235183077</v>
      </c>
      <c r="BL971">
        <f>BJ971</f>
        <v>18639996.790554777</v>
      </c>
      <c r="BO971">
        <f>BL971</f>
        <v>18639996.790554777</v>
      </c>
    </row>
    <row r="972" spans="3:67" x14ac:dyDescent="0.25">
      <c r="C972" s="246" t="s">
        <v>2322</v>
      </c>
      <c r="D972" s="246">
        <v>1</v>
      </c>
      <c r="E972" s="246">
        <v>2</v>
      </c>
      <c r="F972" s="246">
        <v>3</v>
      </c>
      <c r="G972" s="246">
        <v>9</v>
      </c>
      <c r="H972" s="246">
        <v>10</v>
      </c>
      <c r="I972" s="246">
        <v>12</v>
      </c>
      <c r="J972" s="246">
        <v>13</v>
      </c>
      <c r="K972" s="246">
        <v>17</v>
      </c>
      <c r="L972" s="246"/>
      <c r="M972" s="246"/>
      <c r="N972" s="246"/>
      <c r="O972" s="246"/>
      <c r="P972" s="246"/>
      <c r="Q972" s="246"/>
      <c r="R972" s="246">
        <f>IFERROR(VLOOKUP(D972,PROGRAMAS[],2,FALSE),0)</f>
        <v>97037803.679377079</v>
      </c>
      <c r="S972" s="246">
        <f>IFERROR(VLOOKUP(E972,PROGRAMAS[],2,FALSE),0)</f>
        <v>640501509.6821388</v>
      </c>
      <c r="T972" s="246">
        <f>IFERROR(VLOOKUP(F972,PROGRAMAS[],2,FALSE),0)</f>
        <v>3062327798.1525245</v>
      </c>
      <c r="U972" s="246">
        <f>IFERROR(VLOOKUP(G972,PROGRAMAS[],2,FALSE),0)</f>
        <v>6128579952.1618185</v>
      </c>
      <c r="V972" s="246">
        <f>IFERROR(VLOOKUP(H972,PROGRAMAS[],2,FALSE),0)</f>
        <v>4635315027.8751087</v>
      </c>
      <c r="W972" s="246">
        <f>IFERROR(VLOOKUP(I972,PROGRAMAS[],2,FALSE),0)</f>
        <v>764796700.79905891</v>
      </c>
      <c r="X972" s="246">
        <f>IFERROR(VLOOKUP(J972,PROGRAMAS[],2,FALSE),0)</f>
        <v>3776538594.4604583</v>
      </c>
      <c r="Y972" s="246">
        <f>IFERROR(VLOOKUP(K972,PROGRAMAS[],2,FALSE),0)</f>
        <v>1892779498.5211046</v>
      </c>
      <c r="Z972" s="246">
        <f>IFERROR(VLOOKUP(L972,PROGRAMAS[],2,FALSE),0)</f>
        <v>0</v>
      </c>
      <c r="AA972" s="246">
        <f>IFERROR(VLOOKUP(M972,PROGRAMAS[],2,FALSE),0)</f>
        <v>0</v>
      </c>
      <c r="AB972" s="246">
        <f>IFERROR(VLOOKUP(N972,PROGRAMAS[],2,FALSE),0)</f>
        <v>0</v>
      </c>
      <c r="AC972" s="246">
        <f>IFERROR(VLOOKUP(O972,PROGRAMAS[],2,FALSE),0)</f>
        <v>0</v>
      </c>
      <c r="AD972" s="246">
        <f>IFERROR(VLOOKUP(P972,PROGRAMAS[],2,FALSE),0)</f>
        <v>0</v>
      </c>
      <c r="AE972" s="246">
        <f>IFERROR(VLOOKUP(Q972,PROGRAMAS[],2,FALSE),0)</f>
        <v>0</v>
      </c>
      <c r="AF972" s="246">
        <f>IFERROR(VLOOKUP(D972,PROGRAMAS[],3,FALSE),0)</f>
        <v>841888629.31080008</v>
      </c>
      <c r="AG972" s="246">
        <f>IFERROR(VLOOKUP(E972,PROGRAMAS[],3,FALSE),0)</f>
        <v>3848980803.1642323</v>
      </c>
      <c r="AH972" s="246">
        <f>IFERROR(VLOOKUP(F972,PROGRAMAS[],3,FALSE),0)</f>
        <v>3394901471.387517</v>
      </c>
      <c r="AI972" s="246">
        <f>IFERROR(VLOOKUP(G972,PROGRAMAS[],3,FALSE),0)</f>
        <v>7011279577.519702</v>
      </c>
      <c r="AJ972" s="246">
        <f>IFERROR(VLOOKUP(H972,PROGRAMAS[],3,FALSE),0)</f>
        <v>4099471734.9978786</v>
      </c>
      <c r="AK972" s="246">
        <f>IFERROR(VLOOKUP(I972,PROGRAMAS[],3,FALSE),0)</f>
        <v>675517840.109828</v>
      </c>
      <c r="AL972" s="246">
        <f>IFERROR(VLOOKUP(J972,PROGRAMAS[],3,FALSE),0)</f>
        <v>2392571243.5584412</v>
      </c>
      <c r="AM972" s="246">
        <f>IFERROR(VLOOKUP(K972,PROGRAMAS[],3,FALSE),0)</f>
        <v>948595847.09039903</v>
      </c>
      <c r="AN972" s="246">
        <f>IFERROR(VLOOKUP(L972,PROGRAMAS[],3,FALSE),0)</f>
        <v>0</v>
      </c>
      <c r="AO972" s="246">
        <f>IFERROR(VLOOKUP(M972,PROGRAMAS[],3,FALSE),0)</f>
        <v>0</v>
      </c>
      <c r="AP972" s="246">
        <f>IFERROR(VLOOKUP(N972,PROGRAMAS[],3,FALSE),0)</f>
        <v>0</v>
      </c>
      <c r="AQ972" s="246">
        <f>IFERROR(VLOOKUP(O972,PROGRAMAS[],3,FALSE),0)</f>
        <v>0</v>
      </c>
      <c r="AR972" s="246">
        <f>IFERROR(VLOOKUP(P972,PROGRAMAS[],3,FALSE),0)</f>
        <v>0</v>
      </c>
      <c r="AS972" s="246">
        <f>IFERROR(VLOOKUP(Q972,PROGRAMAS[],3,FALSE),0)</f>
        <v>0</v>
      </c>
      <c r="AT972" s="246">
        <f>IFERROR(VLOOKUP(D972,VOL_REC[],2,FALSE),0)</f>
        <v>0</v>
      </c>
      <c r="AU972" s="246">
        <f>IFERROR(VLOOKUP(E972,VOL_REC[],2,FALSE),0)</f>
        <v>0</v>
      </c>
      <c r="AV972" s="246">
        <f>IFERROR(VLOOKUP(F972,VOL_REC[],2,FALSE),0)</f>
        <v>11089674.200000001</v>
      </c>
      <c r="AW972" s="246">
        <f>IFERROR(VLOOKUP(G972,VOL_REC[],2,FALSE),0)</f>
        <v>3761786</v>
      </c>
      <c r="AX972" s="246">
        <f>IFERROR(VLOOKUP(H972,VOL_REC[],2,FALSE),0)</f>
        <v>1812240</v>
      </c>
      <c r="AY972" s="246">
        <f>IFERROR(VLOOKUP(I972,VOL_REC[],2,FALSE),0)</f>
        <v>240696.79238099116</v>
      </c>
      <c r="AZ972" s="246">
        <f>IFERROR(VLOOKUP(J972,VOL_REC[],2,FALSE),0)</f>
        <v>663244.80000000016</v>
      </c>
      <c r="BA972" s="246">
        <f>IFERROR(VLOOKUP(K972,VOL_REC[],2,FALSE),0)</f>
        <v>740113.98115702497</v>
      </c>
      <c r="BB972" s="246">
        <f>IFERROR(VLOOKUP(L972,VOL_REC[],2,FALSE),0)</f>
        <v>0</v>
      </c>
      <c r="BC972" s="246">
        <f>IFERROR(VLOOKUP(M972,VOL_REC[],2,FALSE),0)</f>
        <v>0</v>
      </c>
      <c r="BD972" s="246">
        <f>IFERROR(VLOOKUP(N972,VOL_REC[],2,FALSE),0)</f>
        <v>0</v>
      </c>
      <c r="BE972" s="246">
        <f>IFERROR(VLOOKUP(O972,VOL_REC[],2,FALSE),0)</f>
        <v>0</v>
      </c>
      <c r="BF972" s="246">
        <f>IFERROR(VLOOKUP(P972,VOL_REC[],2,FALSE),0)</f>
        <v>0</v>
      </c>
      <c r="BG972" s="246">
        <f>IFERROR(VLOOKUP(Q972,VOL_REC[],2,FALSE),0)</f>
        <v>0</v>
      </c>
      <c r="BH972" s="1710">
        <f t="shared" si="60"/>
        <v>20997876885.331589</v>
      </c>
      <c r="BI972" s="1710">
        <f t="shared" si="61"/>
        <v>23213207147.138802</v>
      </c>
      <c r="BJ972" s="1711">
        <f t="shared" si="62"/>
        <v>18307755.773538016</v>
      </c>
      <c r="BK972" s="1711">
        <f t="shared" si="63"/>
        <v>0.90456595472718782</v>
      </c>
    </row>
    <row r="973" spans="3:67" x14ac:dyDescent="0.25">
      <c r="C973" s="246" t="s">
        <v>2323</v>
      </c>
      <c r="D973" s="246">
        <v>1</v>
      </c>
      <c r="E973" s="246">
        <v>2</v>
      </c>
      <c r="F973" s="246">
        <v>3</v>
      </c>
      <c r="G973" s="246">
        <v>9</v>
      </c>
      <c r="H973" s="246">
        <v>10</v>
      </c>
      <c r="I973" s="246">
        <v>12</v>
      </c>
      <c r="J973" s="246">
        <v>14</v>
      </c>
      <c r="K973" s="246">
        <v>15</v>
      </c>
      <c r="L973" s="246"/>
      <c r="M973" s="246"/>
      <c r="N973" s="246"/>
      <c r="O973" s="246"/>
      <c r="P973" s="246"/>
      <c r="Q973" s="246"/>
      <c r="R973" s="246">
        <f>IFERROR(VLOOKUP(D973,PROGRAMAS[],2,FALSE),0)</f>
        <v>97037803.679377079</v>
      </c>
      <c r="S973" s="246">
        <f>IFERROR(VLOOKUP(E973,PROGRAMAS[],2,FALSE),0)</f>
        <v>640501509.6821388</v>
      </c>
      <c r="T973" s="246">
        <f>IFERROR(VLOOKUP(F973,PROGRAMAS[],2,FALSE),0)</f>
        <v>3062327798.1525245</v>
      </c>
      <c r="U973" s="246">
        <f>IFERROR(VLOOKUP(G973,PROGRAMAS[],2,FALSE),0)</f>
        <v>6128579952.1618185</v>
      </c>
      <c r="V973" s="246">
        <f>IFERROR(VLOOKUP(H973,PROGRAMAS[],2,FALSE),0)</f>
        <v>4635315027.8751087</v>
      </c>
      <c r="W973" s="246">
        <f>IFERROR(VLOOKUP(I973,PROGRAMAS[],2,FALSE),0)</f>
        <v>764796700.79905891</v>
      </c>
      <c r="X973" s="246">
        <f>IFERROR(VLOOKUP(J973,PROGRAMAS[],2,FALSE),0)</f>
        <v>54223862.645839565</v>
      </c>
      <c r="Y973" s="246">
        <f>IFERROR(VLOOKUP(K973,PROGRAMAS[],2,FALSE),0)</f>
        <v>122159672.96346797</v>
      </c>
      <c r="Z973" s="246">
        <f>IFERROR(VLOOKUP(L973,PROGRAMAS[],2,FALSE),0)</f>
        <v>0</v>
      </c>
      <c r="AA973" s="246">
        <f>IFERROR(VLOOKUP(M973,PROGRAMAS[],2,FALSE),0)</f>
        <v>0</v>
      </c>
      <c r="AB973" s="246">
        <f>IFERROR(VLOOKUP(N973,PROGRAMAS[],2,FALSE),0)</f>
        <v>0</v>
      </c>
      <c r="AC973" s="246">
        <f>IFERROR(VLOOKUP(O973,PROGRAMAS[],2,FALSE),0)</f>
        <v>0</v>
      </c>
      <c r="AD973" s="246">
        <f>IFERROR(VLOOKUP(P973,PROGRAMAS[],2,FALSE),0)</f>
        <v>0</v>
      </c>
      <c r="AE973" s="246">
        <f>IFERROR(VLOOKUP(Q973,PROGRAMAS[],2,FALSE),0)</f>
        <v>0</v>
      </c>
      <c r="AF973" s="246">
        <f>IFERROR(VLOOKUP(D973,PROGRAMAS[],3,FALSE),0)</f>
        <v>841888629.31080008</v>
      </c>
      <c r="AG973" s="246">
        <f>IFERROR(VLOOKUP(E973,PROGRAMAS[],3,FALSE),0)</f>
        <v>3848980803.1642323</v>
      </c>
      <c r="AH973" s="246">
        <f>IFERROR(VLOOKUP(F973,PROGRAMAS[],3,FALSE),0)</f>
        <v>3394901471.387517</v>
      </c>
      <c r="AI973" s="246">
        <f>IFERROR(VLOOKUP(G973,PROGRAMAS[],3,FALSE),0)</f>
        <v>7011279577.519702</v>
      </c>
      <c r="AJ973" s="246">
        <f>IFERROR(VLOOKUP(H973,PROGRAMAS[],3,FALSE),0)</f>
        <v>4099471734.9978786</v>
      </c>
      <c r="AK973" s="246">
        <f>IFERROR(VLOOKUP(I973,PROGRAMAS[],3,FALSE),0)</f>
        <v>675517840.109828</v>
      </c>
      <c r="AL973" s="246">
        <f>IFERROR(VLOOKUP(J973,PROGRAMAS[],3,FALSE),0)</f>
        <v>31865326.38096505</v>
      </c>
      <c r="AM973" s="246">
        <f>IFERROR(VLOOKUP(K973,PROGRAMAS[],3,FALSE),0)</f>
        <v>118617452.52510804</v>
      </c>
      <c r="AN973" s="246">
        <f>IFERROR(VLOOKUP(L973,PROGRAMAS[],3,FALSE),0)</f>
        <v>0</v>
      </c>
      <c r="AO973" s="246">
        <f>IFERROR(VLOOKUP(M973,PROGRAMAS[],3,FALSE),0)</f>
        <v>0</v>
      </c>
      <c r="AP973" s="246">
        <f>IFERROR(VLOOKUP(N973,PROGRAMAS[],3,FALSE),0)</f>
        <v>0</v>
      </c>
      <c r="AQ973" s="246">
        <f>IFERROR(VLOOKUP(O973,PROGRAMAS[],3,FALSE),0)</f>
        <v>0</v>
      </c>
      <c r="AR973" s="246">
        <f>IFERROR(VLOOKUP(P973,PROGRAMAS[],3,FALSE),0)</f>
        <v>0</v>
      </c>
      <c r="AS973" s="246">
        <f>IFERROR(VLOOKUP(Q973,PROGRAMAS[],3,FALSE),0)</f>
        <v>0</v>
      </c>
      <c r="AT973" s="246">
        <f>IFERROR(VLOOKUP(D973,VOL_REC[],2,FALSE),0)</f>
        <v>0</v>
      </c>
      <c r="AU973" s="246">
        <f>IFERROR(VLOOKUP(E973,VOL_REC[],2,FALSE),0)</f>
        <v>0</v>
      </c>
      <c r="AV973" s="246">
        <f>IFERROR(VLOOKUP(F973,VOL_REC[],2,FALSE),0)</f>
        <v>11089674.200000001</v>
      </c>
      <c r="AW973" s="246">
        <f>IFERROR(VLOOKUP(G973,VOL_REC[],2,FALSE),0)</f>
        <v>3761786</v>
      </c>
      <c r="AX973" s="246">
        <f>IFERROR(VLOOKUP(H973,VOL_REC[],2,FALSE),0)</f>
        <v>1812240</v>
      </c>
      <c r="AY973" s="246">
        <f>IFERROR(VLOOKUP(I973,VOL_REC[],2,FALSE),0)</f>
        <v>240696.79238099116</v>
      </c>
      <c r="AZ973" s="246">
        <f>IFERROR(VLOOKUP(J973,VOL_REC[],2,FALSE),0)</f>
        <v>17074.045034105649</v>
      </c>
      <c r="BA973" s="246">
        <f>IFERROR(VLOOKUP(K973,VOL_REC[],2,FALSE),0)</f>
        <v>105072</v>
      </c>
      <c r="BB973" s="246">
        <f>IFERROR(VLOOKUP(L973,VOL_REC[],2,FALSE),0)</f>
        <v>0</v>
      </c>
      <c r="BC973" s="246">
        <f>IFERROR(VLOOKUP(M973,VOL_REC[],2,FALSE),0)</f>
        <v>0</v>
      </c>
      <c r="BD973" s="246">
        <f>IFERROR(VLOOKUP(N973,VOL_REC[],2,FALSE),0)</f>
        <v>0</v>
      </c>
      <c r="BE973" s="246">
        <f>IFERROR(VLOOKUP(O973,VOL_REC[],2,FALSE),0)</f>
        <v>0</v>
      </c>
      <c r="BF973" s="246">
        <f>IFERROR(VLOOKUP(P973,VOL_REC[],2,FALSE),0)</f>
        <v>0</v>
      </c>
      <c r="BG973" s="246">
        <f>IFERROR(VLOOKUP(Q973,VOL_REC[],2,FALSE),0)</f>
        <v>0</v>
      </c>
      <c r="BH973" s="1710">
        <f t="shared" si="60"/>
        <v>15504942327.959335</v>
      </c>
      <c r="BI973" s="1710">
        <f t="shared" si="61"/>
        <v>20022522835.396034</v>
      </c>
      <c r="BJ973" s="1711">
        <f t="shared" si="62"/>
        <v>17026543.037415098</v>
      </c>
      <c r="BK973" s="1711">
        <f t="shared" si="63"/>
        <v>0.77437506029707348</v>
      </c>
    </row>
    <row r="974" spans="3:67" x14ac:dyDescent="0.25">
      <c r="C974" s="246" t="s">
        <v>2324</v>
      </c>
      <c r="D974" s="246">
        <v>1</v>
      </c>
      <c r="E974" s="246">
        <v>2</v>
      </c>
      <c r="F974" s="246">
        <v>3</v>
      </c>
      <c r="G974" s="246">
        <v>9</v>
      </c>
      <c r="H974" s="246">
        <v>10</v>
      </c>
      <c r="I974" s="246">
        <v>12</v>
      </c>
      <c r="J974" s="246">
        <v>14</v>
      </c>
      <c r="K974" s="246">
        <v>16</v>
      </c>
      <c r="L974" s="246"/>
      <c r="M974" s="246"/>
      <c r="N974" s="246"/>
      <c r="O974" s="246"/>
      <c r="P974" s="246"/>
      <c r="Q974" s="246"/>
      <c r="R974" s="246">
        <f>IFERROR(VLOOKUP(D974,PROGRAMAS[],2,FALSE),0)</f>
        <v>97037803.679377079</v>
      </c>
      <c r="S974" s="246">
        <f>IFERROR(VLOOKUP(E974,PROGRAMAS[],2,FALSE),0)</f>
        <v>640501509.6821388</v>
      </c>
      <c r="T974" s="246">
        <f>IFERROR(VLOOKUP(F974,PROGRAMAS[],2,FALSE),0)</f>
        <v>3062327798.1525245</v>
      </c>
      <c r="U974" s="246">
        <f>IFERROR(VLOOKUP(G974,PROGRAMAS[],2,FALSE),0)</f>
        <v>6128579952.1618185</v>
      </c>
      <c r="V974" s="246">
        <f>IFERROR(VLOOKUP(H974,PROGRAMAS[],2,FALSE),0)</f>
        <v>4635315027.8751087</v>
      </c>
      <c r="W974" s="246">
        <f>IFERROR(VLOOKUP(I974,PROGRAMAS[],2,FALSE),0)</f>
        <v>764796700.79905891</v>
      </c>
      <c r="X974" s="246">
        <f>IFERROR(VLOOKUP(J974,PROGRAMAS[],2,FALSE),0)</f>
        <v>54223862.645839565</v>
      </c>
      <c r="Y974" s="246">
        <f>IFERROR(VLOOKUP(K974,PROGRAMAS[],2,FALSE),0)</f>
        <v>7068496961.0436354</v>
      </c>
      <c r="Z974" s="246">
        <f>IFERROR(VLOOKUP(L974,PROGRAMAS[],2,FALSE),0)</f>
        <v>0</v>
      </c>
      <c r="AA974" s="246">
        <f>IFERROR(VLOOKUP(M974,PROGRAMAS[],2,FALSE),0)</f>
        <v>0</v>
      </c>
      <c r="AB974" s="246">
        <f>IFERROR(VLOOKUP(N974,PROGRAMAS[],2,FALSE),0)</f>
        <v>0</v>
      </c>
      <c r="AC974" s="246">
        <f>IFERROR(VLOOKUP(O974,PROGRAMAS[],2,FALSE),0)</f>
        <v>0</v>
      </c>
      <c r="AD974" s="246">
        <f>IFERROR(VLOOKUP(P974,PROGRAMAS[],2,FALSE),0)</f>
        <v>0</v>
      </c>
      <c r="AE974" s="246">
        <f>IFERROR(VLOOKUP(Q974,PROGRAMAS[],2,FALSE),0)</f>
        <v>0</v>
      </c>
      <c r="AF974" s="246">
        <f>IFERROR(VLOOKUP(D974,PROGRAMAS[],3,FALSE),0)</f>
        <v>841888629.31080008</v>
      </c>
      <c r="AG974" s="246">
        <f>IFERROR(VLOOKUP(E974,PROGRAMAS[],3,FALSE),0)</f>
        <v>3848980803.1642323</v>
      </c>
      <c r="AH974" s="246">
        <f>IFERROR(VLOOKUP(F974,PROGRAMAS[],3,FALSE),0)</f>
        <v>3394901471.387517</v>
      </c>
      <c r="AI974" s="246">
        <f>IFERROR(VLOOKUP(G974,PROGRAMAS[],3,FALSE),0)</f>
        <v>7011279577.519702</v>
      </c>
      <c r="AJ974" s="246">
        <f>IFERROR(VLOOKUP(H974,PROGRAMAS[],3,FALSE),0)</f>
        <v>4099471734.9978786</v>
      </c>
      <c r="AK974" s="246">
        <f>IFERROR(VLOOKUP(I974,PROGRAMAS[],3,FALSE),0)</f>
        <v>675517840.109828</v>
      </c>
      <c r="AL974" s="246">
        <f>IFERROR(VLOOKUP(J974,PROGRAMAS[],3,FALSE),0)</f>
        <v>31865326.38096505</v>
      </c>
      <c r="AM974" s="246">
        <f>IFERROR(VLOOKUP(K974,PROGRAMAS[],3,FALSE),0)</f>
        <v>2406564599.0319901</v>
      </c>
      <c r="AN974" s="246">
        <f>IFERROR(VLOOKUP(L974,PROGRAMAS[],3,FALSE),0)</f>
        <v>0</v>
      </c>
      <c r="AO974" s="246">
        <f>IFERROR(VLOOKUP(M974,PROGRAMAS[],3,FALSE),0)</f>
        <v>0</v>
      </c>
      <c r="AP974" s="246">
        <f>IFERROR(VLOOKUP(N974,PROGRAMAS[],3,FALSE),0)</f>
        <v>0</v>
      </c>
      <c r="AQ974" s="246">
        <f>IFERROR(VLOOKUP(O974,PROGRAMAS[],3,FALSE),0)</f>
        <v>0</v>
      </c>
      <c r="AR974" s="246">
        <f>IFERROR(VLOOKUP(P974,PROGRAMAS[],3,FALSE),0)</f>
        <v>0</v>
      </c>
      <c r="AS974" s="246">
        <f>IFERROR(VLOOKUP(Q974,PROGRAMAS[],3,FALSE),0)</f>
        <v>0</v>
      </c>
      <c r="AT974" s="246">
        <f>IFERROR(VLOOKUP(D974,VOL_REC[],2,FALSE),0)</f>
        <v>0</v>
      </c>
      <c r="AU974" s="246">
        <f>IFERROR(VLOOKUP(E974,VOL_REC[],2,FALSE),0)</f>
        <v>0</v>
      </c>
      <c r="AV974" s="246">
        <f>IFERROR(VLOOKUP(F974,VOL_REC[],2,FALSE),0)</f>
        <v>11089674.200000001</v>
      </c>
      <c r="AW974" s="246">
        <f>IFERROR(VLOOKUP(G974,VOL_REC[],2,FALSE),0)</f>
        <v>3761786</v>
      </c>
      <c r="AX974" s="246">
        <f>IFERROR(VLOOKUP(H974,VOL_REC[],2,FALSE),0)</f>
        <v>1812240</v>
      </c>
      <c r="AY974" s="246">
        <f>IFERROR(VLOOKUP(I974,VOL_REC[],2,FALSE),0)</f>
        <v>240696.79238099116</v>
      </c>
      <c r="AZ974" s="246">
        <f>IFERROR(VLOOKUP(J974,VOL_REC[],2,FALSE),0)</f>
        <v>17074.045034105649</v>
      </c>
      <c r="BA974" s="246">
        <f>IFERROR(VLOOKUP(K974,VOL_REC[],2,FALSE),0)</f>
        <v>1072354.9981737854</v>
      </c>
      <c r="BB974" s="246">
        <f>IFERROR(VLOOKUP(L974,VOL_REC[],2,FALSE),0)</f>
        <v>0</v>
      </c>
      <c r="BC974" s="246">
        <f>IFERROR(VLOOKUP(M974,VOL_REC[],2,FALSE),0)</f>
        <v>0</v>
      </c>
      <c r="BD974" s="246">
        <f>IFERROR(VLOOKUP(N974,VOL_REC[],2,FALSE),0)</f>
        <v>0</v>
      </c>
      <c r="BE974" s="246">
        <f>IFERROR(VLOOKUP(O974,VOL_REC[],2,FALSE),0)</f>
        <v>0</v>
      </c>
      <c r="BF974" s="246">
        <f>IFERROR(VLOOKUP(P974,VOL_REC[],2,FALSE),0)</f>
        <v>0</v>
      </c>
      <c r="BG974" s="246">
        <f>IFERROR(VLOOKUP(Q974,VOL_REC[],2,FALSE),0)</f>
        <v>0</v>
      </c>
      <c r="BH974" s="1710">
        <f t="shared" si="60"/>
        <v>22451279616.039501</v>
      </c>
      <c r="BI974" s="1710">
        <f t="shared" si="61"/>
        <v>22310469981.902916</v>
      </c>
      <c r="BJ974" s="1711">
        <f t="shared" si="62"/>
        <v>17993826.035588883</v>
      </c>
      <c r="BK974" s="1711">
        <f t="shared" si="63"/>
        <v>1.0063113701437398</v>
      </c>
      <c r="BL974">
        <f>BJ974</f>
        <v>17993826.035588883</v>
      </c>
      <c r="BO974">
        <f>BL974</f>
        <v>17993826.035588883</v>
      </c>
    </row>
    <row r="975" spans="3:67" x14ac:dyDescent="0.25">
      <c r="C975" s="246" t="s">
        <v>2325</v>
      </c>
      <c r="D975" s="246">
        <v>1</v>
      </c>
      <c r="E975" s="246">
        <v>2</v>
      </c>
      <c r="F975" s="246">
        <v>3</v>
      </c>
      <c r="G975" s="246">
        <v>9</v>
      </c>
      <c r="H975" s="246">
        <v>10</v>
      </c>
      <c r="I975" s="246">
        <v>12</v>
      </c>
      <c r="J975" s="246">
        <v>14</v>
      </c>
      <c r="K975" s="246">
        <v>17</v>
      </c>
      <c r="L975" s="246"/>
      <c r="M975" s="246"/>
      <c r="N975" s="246"/>
      <c r="O975" s="246"/>
      <c r="P975" s="246"/>
      <c r="Q975" s="246"/>
      <c r="R975" s="246">
        <f>IFERROR(VLOOKUP(D975,PROGRAMAS[],2,FALSE),0)</f>
        <v>97037803.679377079</v>
      </c>
      <c r="S975" s="246">
        <f>IFERROR(VLOOKUP(E975,PROGRAMAS[],2,FALSE),0)</f>
        <v>640501509.6821388</v>
      </c>
      <c r="T975" s="246">
        <f>IFERROR(VLOOKUP(F975,PROGRAMAS[],2,FALSE),0)</f>
        <v>3062327798.1525245</v>
      </c>
      <c r="U975" s="246">
        <f>IFERROR(VLOOKUP(G975,PROGRAMAS[],2,FALSE),0)</f>
        <v>6128579952.1618185</v>
      </c>
      <c r="V975" s="246">
        <f>IFERROR(VLOOKUP(H975,PROGRAMAS[],2,FALSE),0)</f>
        <v>4635315027.8751087</v>
      </c>
      <c r="W975" s="246">
        <f>IFERROR(VLOOKUP(I975,PROGRAMAS[],2,FALSE),0)</f>
        <v>764796700.79905891</v>
      </c>
      <c r="X975" s="246">
        <f>IFERROR(VLOOKUP(J975,PROGRAMAS[],2,FALSE),0)</f>
        <v>54223862.645839565</v>
      </c>
      <c r="Y975" s="246">
        <f>IFERROR(VLOOKUP(K975,PROGRAMAS[],2,FALSE),0)</f>
        <v>1892779498.5211046</v>
      </c>
      <c r="Z975" s="246">
        <f>IFERROR(VLOOKUP(L975,PROGRAMAS[],2,FALSE),0)</f>
        <v>0</v>
      </c>
      <c r="AA975" s="246">
        <f>IFERROR(VLOOKUP(M975,PROGRAMAS[],2,FALSE),0)</f>
        <v>0</v>
      </c>
      <c r="AB975" s="246">
        <f>IFERROR(VLOOKUP(N975,PROGRAMAS[],2,FALSE),0)</f>
        <v>0</v>
      </c>
      <c r="AC975" s="246">
        <f>IFERROR(VLOOKUP(O975,PROGRAMAS[],2,FALSE),0)</f>
        <v>0</v>
      </c>
      <c r="AD975" s="246">
        <f>IFERROR(VLOOKUP(P975,PROGRAMAS[],2,FALSE),0)</f>
        <v>0</v>
      </c>
      <c r="AE975" s="246">
        <f>IFERROR(VLOOKUP(Q975,PROGRAMAS[],2,FALSE),0)</f>
        <v>0</v>
      </c>
      <c r="AF975" s="246">
        <f>IFERROR(VLOOKUP(D975,PROGRAMAS[],3,FALSE),0)</f>
        <v>841888629.31080008</v>
      </c>
      <c r="AG975" s="246">
        <f>IFERROR(VLOOKUP(E975,PROGRAMAS[],3,FALSE),0)</f>
        <v>3848980803.1642323</v>
      </c>
      <c r="AH975" s="246">
        <f>IFERROR(VLOOKUP(F975,PROGRAMAS[],3,FALSE),0)</f>
        <v>3394901471.387517</v>
      </c>
      <c r="AI975" s="246">
        <f>IFERROR(VLOOKUP(G975,PROGRAMAS[],3,FALSE),0)</f>
        <v>7011279577.519702</v>
      </c>
      <c r="AJ975" s="246">
        <f>IFERROR(VLOOKUP(H975,PROGRAMAS[],3,FALSE),0)</f>
        <v>4099471734.9978786</v>
      </c>
      <c r="AK975" s="246">
        <f>IFERROR(VLOOKUP(I975,PROGRAMAS[],3,FALSE),0)</f>
        <v>675517840.109828</v>
      </c>
      <c r="AL975" s="246">
        <f>IFERROR(VLOOKUP(J975,PROGRAMAS[],3,FALSE),0)</f>
        <v>31865326.38096505</v>
      </c>
      <c r="AM975" s="246">
        <f>IFERROR(VLOOKUP(K975,PROGRAMAS[],3,FALSE),0)</f>
        <v>948595847.09039903</v>
      </c>
      <c r="AN975" s="246">
        <f>IFERROR(VLOOKUP(L975,PROGRAMAS[],3,FALSE),0)</f>
        <v>0</v>
      </c>
      <c r="AO975" s="246">
        <f>IFERROR(VLOOKUP(M975,PROGRAMAS[],3,FALSE),0)</f>
        <v>0</v>
      </c>
      <c r="AP975" s="246">
        <f>IFERROR(VLOOKUP(N975,PROGRAMAS[],3,FALSE),0)</f>
        <v>0</v>
      </c>
      <c r="AQ975" s="246">
        <f>IFERROR(VLOOKUP(O975,PROGRAMAS[],3,FALSE),0)</f>
        <v>0</v>
      </c>
      <c r="AR975" s="246">
        <f>IFERROR(VLOOKUP(P975,PROGRAMAS[],3,FALSE),0)</f>
        <v>0</v>
      </c>
      <c r="AS975" s="246">
        <f>IFERROR(VLOOKUP(Q975,PROGRAMAS[],3,FALSE),0)</f>
        <v>0</v>
      </c>
      <c r="AT975" s="246">
        <f>IFERROR(VLOOKUP(D975,VOL_REC[],2,FALSE),0)</f>
        <v>0</v>
      </c>
      <c r="AU975" s="246">
        <f>IFERROR(VLOOKUP(E975,VOL_REC[],2,FALSE),0)</f>
        <v>0</v>
      </c>
      <c r="AV975" s="246">
        <f>IFERROR(VLOOKUP(F975,VOL_REC[],2,FALSE),0)</f>
        <v>11089674.200000001</v>
      </c>
      <c r="AW975" s="246">
        <f>IFERROR(VLOOKUP(G975,VOL_REC[],2,FALSE),0)</f>
        <v>3761786</v>
      </c>
      <c r="AX975" s="246">
        <f>IFERROR(VLOOKUP(H975,VOL_REC[],2,FALSE),0)</f>
        <v>1812240</v>
      </c>
      <c r="AY975" s="246">
        <f>IFERROR(VLOOKUP(I975,VOL_REC[],2,FALSE),0)</f>
        <v>240696.79238099116</v>
      </c>
      <c r="AZ975" s="246">
        <f>IFERROR(VLOOKUP(J975,VOL_REC[],2,FALSE),0)</f>
        <v>17074.045034105649</v>
      </c>
      <c r="BA975" s="246">
        <f>IFERROR(VLOOKUP(K975,VOL_REC[],2,FALSE),0)</f>
        <v>740113.98115702497</v>
      </c>
      <c r="BB975" s="246">
        <f>IFERROR(VLOOKUP(L975,VOL_REC[],2,FALSE),0)</f>
        <v>0</v>
      </c>
      <c r="BC975" s="246">
        <f>IFERROR(VLOOKUP(M975,VOL_REC[],2,FALSE),0)</f>
        <v>0</v>
      </c>
      <c r="BD975" s="246">
        <f>IFERROR(VLOOKUP(N975,VOL_REC[],2,FALSE),0)</f>
        <v>0</v>
      </c>
      <c r="BE975" s="246">
        <f>IFERROR(VLOOKUP(O975,VOL_REC[],2,FALSE),0)</f>
        <v>0</v>
      </c>
      <c r="BF975" s="246">
        <f>IFERROR(VLOOKUP(P975,VOL_REC[],2,FALSE),0)</f>
        <v>0</v>
      </c>
      <c r="BG975" s="246">
        <f>IFERROR(VLOOKUP(Q975,VOL_REC[],2,FALSE),0)</f>
        <v>0</v>
      </c>
      <c r="BH975" s="1710">
        <f t="shared" si="60"/>
        <v>17275562153.516972</v>
      </c>
      <c r="BI975" s="1710">
        <f t="shared" si="61"/>
        <v>20852501229.961327</v>
      </c>
      <c r="BJ975" s="1711">
        <f t="shared" si="62"/>
        <v>17661585.018572122</v>
      </c>
      <c r="BK975" s="1711">
        <f t="shared" si="63"/>
        <v>0.82846474689065452</v>
      </c>
    </row>
    <row r="976" spans="3:67" x14ac:dyDescent="0.25">
      <c r="C976" s="246" t="s">
        <v>2326</v>
      </c>
      <c r="D976" s="246">
        <v>1</v>
      </c>
      <c r="E976" s="246">
        <v>2</v>
      </c>
      <c r="F976" s="246">
        <v>3</v>
      </c>
      <c r="G976" s="246">
        <v>9</v>
      </c>
      <c r="H976" s="246">
        <v>10</v>
      </c>
      <c r="I976" s="246">
        <v>12</v>
      </c>
      <c r="J976" s="246">
        <v>15</v>
      </c>
      <c r="K976" s="246">
        <v>16</v>
      </c>
      <c r="L976" s="246"/>
      <c r="M976" s="246"/>
      <c r="N976" s="246"/>
      <c r="O976" s="246"/>
      <c r="P976" s="246"/>
      <c r="Q976" s="246"/>
      <c r="R976" s="246">
        <f>IFERROR(VLOOKUP(D976,PROGRAMAS[],2,FALSE),0)</f>
        <v>97037803.679377079</v>
      </c>
      <c r="S976" s="246">
        <f>IFERROR(VLOOKUP(E976,PROGRAMAS[],2,FALSE),0)</f>
        <v>640501509.6821388</v>
      </c>
      <c r="T976" s="246">
        <f>IFERROR(VLOOKUP(F976,PROGRAMAS[],2,FALSE),0)</f>
        <v>3062327798.1525245</v>
      </c>
      <c r="U976" s="246">
        <f>IFERROR(VLOOKUP(G976,PROGRAMAS[],2,FALSE),0)</f>
        <v>6128579952.1618185</v>
      </c>
      <c r="V976" s="246">
        <f>IFERROR(VLOOKUP(H976,PROGRAMAS[],2,FALSE),0)</f>
        <v>4635315027.8751087</v>
      </c>
      <c r="W976" s="246">
        <f>IFERROR(VLOOKUP(I976,PROGRAMAS[],2,FALSE),0)</f>
        <v>764796700.79905891</v>
      </c>
      <c r="X976" s="246">
        <f>IFERROR(VLOOKUP(J976,PROGRAMAS[],2,FALSE),0)</f>
        <v>122159672.96346797</v>
      </c>
      <c r="Y976" s="246">
        <f>IFERROR(VLOOKUP(K976,PROGRAMAS[],2,FALSE),0)</f>
        <v>7068496961.0436354</v>
      </c>
      <c r="Z976" s="246">
        <f>IFERROR(VLOOKUP(L976,PROGRAMAS[],2,FALSE),0)</f>
        <v>0</v>
      </c>
      <c r="AA976" s="246">
        <f>IFERROR(VLOOKUP(M976,PROGRAMAS[],2,FALSE),0)</f>
        <v>0</v>
      </c>
      <c r="AB976" s="246">
        <f>IFERROR(VLOOKUP(N976,PROGRAMAS[],2,FALSE),0)</f>
        <v>0</v>
      </c>
      <c r="AC976" s="246">
        <f>IFERROR(VLOOKUP(O976,PROGRAMAS[],2,FALSE),0)</f>
        <v>0</v>
      </c>
      <c r="AD976" s="246">
        <f>IFERROR(VLOOKUP(P976,PROGRAMAS[],2,FALSE),0)</f>
        <v>0</v>
      </c>
      <c r="AE976" s="246">
        <f>IFERROR(VLOOKUP(Q976,PROGRAMAS[],2,FALSE),0)</f>
        <v>0</v>
      </c>
      <c r="AF976" s="246">
        <f>IFERROR(VLOOKUP(D976,PROGRAMAS[],3,FALSE),0)</f>
        <v>841888629.31080008</v>
      </c>
      <c r="AG976" s="246">
        <f>IFERROR(VLOOKUP(E976,PROGRAMAS[],3,FALSE),0)</f>
        <v>3848980803.1642323</v>
      </c>
      <c r="AH976" s="246">
        <f>IFERROR(VLOOKUP(F976,PROGRAMAS[],3,FALSE),0)</f>
        <v>3394901471.387517</v>
      </c>
      <c r="AI976" s="246">
        <f>IFERROR(VLOOKUP(G976,PROGRAMAS[],3,FALSE),0)</f>
        <v>7011279577.519702</v>
      </c>
      <c r="AJ976" s="246">
        <f>IFERROR(VLOOKUP(H976,PROGRAMAS[],3,FALSE),0)</f>
        <v>4099471734.9978786</v>
      </c>
      <c r="AK976" s="246">
        <f>IFERROR(VLOOKUP(I976,PROGRAMAS[],3,FALSE),0)</f>
        <v>675517840.109828</v>
      </c>
      <c r="AL976" s="246">
        <f>IFERROR(VLOOKUP(J976,PROGRAMAS[],3,FALSE),0)</f>
        <v>118617452.52510804</v>
      </c>
      <c r="AM976" s="246">
        <f>IFERROR(VLOOKUP(K976,PROGRAMAS[],3,FALSE),0)</f>
        <v>2406564599.0319901</v>
      </c>
      <c r="AN976" s="246">
        <f>IFERROR(VLOOKUP(L976,PROGRAMAS[],3,FALSE),0)</f>
        <v>0</v>
      </c>
      <c r="AO976" s="246">
        <f>IFERROR(VLOOKUP(M976,PROGRAMAS[],3,FALSE),0)</f>
        <v>0</v>
      </c>
      <c r="AP976" s="246">
        <f>IFERROR(VLOOKUP(N976,PROGRAMAS[],3,FALSE),0)</f>
        <v>0</v>
      </c>
      <c r="AQ976" s="246">
        <f>IFERROR(VLOOKUP(O976,PROGRAMAS[],3,FALSE),0)</f>
        <v>0</v>
      </c>
      <c r="AR976" s="246">
        <f>IFERROR(VLOOKUP(P976,PROGRAMAS[],3,FALSE),0)</f>
        <v>0</v>
      </c>
      <c r="AS976" s="246">
        <f>IFERROR(VLOOKUP(Q976,PROGRAMAS[],3,FALSE),0)</f>
        <v>0</v>
      </c>
      <c r="AT976" s="246">
        <f>IFERROR(VLOOKUP(D976,VOL_REC[],2,FALSE),0)</f>
        <v>0</v>
      </c>
      <c r="AU976" s="246">
        <f>IFERROR(VLOOKUP(E976,VOL_REC[],2,FALSE),0)</f>
        <v>0</v>
      </c>
      <c r="AV976" s="246">
        <f>IFERROR(VLOOKUP(F976,VOL_REC[],2,FALSE),0)</f>
        <v>11089674.200000001</v>
      </c>
      <c r="AW976" s="246">
        <f>IFERROR(VLOOKUP(G976,VOL_REC[],2,FALSE),0)</f>
        <v>3761786</v>
      </c>
      <c r="AX976" s="246">
        <f>IFERROR(VLOOKUP(H976,VOL_REC[],2,FALSE),0)</f>
        <v>1812240</v>
      </c>
      <c r="AY976" s="246">
        <f>IFERROR(VLOOKUP(I976,VOL_REC[],2,FALSE),0)</f>
        <v>240696.79238099116</v>
      </c>
      <c r="AZ976" s="246">
        <f>IFERROR(VLOOKUP(J976,VOL_REC[],2,FALSE),0)</f>
        <v>105072</v>
      </c>
      <c r="BA976" s="246">
        <f>IFERROR(VLOOKUP(K976,VOL_REC[],2,FALSE),0)</f>
        <v>1072354.9981737854</v>
      </c>
      <c r="BB976" s="246">
        <f>IFERROR(VLOOKUP(L976,VOL_REC[],2,FALSE),0)</f>
        <v>0</v>
      </c>
      <c r="BC976" s="246">
        <f>IFERROR(VLOOKUP(M976,VOL_REC[],2,FALSE),0)</f>
        <v>0</v>
      </c>
      <c r="BD976" s="246">
        <f>IFERROR(VLOOKUP(N976,VOL_REC[],2,FALSE),0)</f>
        <v>0</v>
      </c>
      <c r="BE976" s="246">
        <f>IFERROR(VLOOKUP(O976,VOL_REC[],2,FALSE),0)</f>
        <v>0</v>
      </c>
      <c r="BF976" s="246">
        <f>IFERROR(VLOOKUP(P976,VOL_REC[],2,FALSE),0)</f>
        <v>0</v>
      </c>
      <c r="BG976" s="246">
        <f>IFERROR(VLOOKUP(Q976,VOL_REC[],2,FALSE),0)</f>
        <v>0</v>
      </c>
      <c r="BH976" s="1710">
        <f t="shared" si="60"/>
        <v>22519215426.357132</v>
      </c>
      <c r="BI976" s="1710">
        <f t="shared" si="61"/>
        <v>22397222108.047058</v>
      </c>
      <c r="BJ976" s="1711">
        <f t="shared" si="62"/>
        <v>18081823.990554776</v>
      </c>
      <c r="BK976" s="1711">
        <f t="shared" si="63"/>
        <v>1.0054468057566051</v>
      </c>
      <c r="BL976">
        <f>BJ976</f>
        <v>18081823.990554776</v>
      </c>
      <c r="BO976">
        <f>BL976</f>
        <v>18081823.990554776</v>
      </c>
    </row>
    <row r="977" spans="3:67" x14ac:dyDescent="0.25">
      <c r="C977" s="246" t="s">
        <v>2327</v>
      </c>
      <c r="D977" s="246">
        <v>1</v>
      </c>
      <c r="E977" s="246">
        <v>2</v>
      </c>
      <c r="F977" s="246">
        <v>3</v>
      </c>
      <c r="G977" s="246">
        <v>9</v>
      </c>
      <c r="H977" s="246">
        <v>10</v>
      </c>
      <c r="I977" s="246">
        <v>12</v>
      </c>
      <c r="J977" s="246">
        <v>15</v>
      </c>
      <c r="K977" s="246">
        <v>17</v>
      </c>
      <c r="L977" s="246"/>
      <c r="M977" s="246"/>
      <c r="N977" s="246"/>
      <c r="O977" s="246"/>
      <c r="P977" s="246"/>
      <c r="Q977" s="246"/>
      <c r="R977" s="246">
        <f>IFERROR(VLOOKUP(D977,PROGRAMAS[],2,FALSE),0)</f>
        <v>97037803.679377079</v>
      </c>
      <c r="S977" s="246">
        <f>IFERROR(VLOOKUP(E977,PROGRAMAS[],2,FALSE),0)</f>
        <v>640501509.6821388</v>
      </c>
      <c r="T977" s="246">
        <f>IFERROR(VLOOKUP(F977,PROGRAMAS[],2,FALSE),0)</f>
        <v>3062327798.1525245</v>
      </c>
      <c r="U977" s="246">
        <f>IFERROR(VLOOKUP(G977,PROGRAMAS[],2,FALSE),0)</f>
        <v>6128579952.1618185</v>
      </c>
      <c r="V977" s="246">
        <f>IFERROR(VLOOKUP(H977,PROGRAMAS[],2,FALSE),0)</f>
        <v>4635315027.8751087</v>
      </c>
      <c r="W977" s="246">
        <f>IFERROR(VLOOKUP(I977,PROGRAMAS[],2,FALSE),0)</f>
        <v>764796700.79905891</v>
      </c>
      <c r="X977" s="246">
        <f>IFERROR(VLOOKUP(J977,PROGRAMAS[],2,FALSE),0)</f>
        <v>122159672.96346797</v>
      </c>
      <c r="Y977" s="246">
        <f>IFERROR(VLOOKUP(K977,PROGRAMAS[],2,FALSE),0)</f>
        <v>1892779498.5211046</v>
      </c>
      <c r="Z977" s="246">
        <f>IFERROR(VLOOKUP(L977,PROGRAMAS[],2,FALSE),0)</f>
        <v>0</v>
      </c>
      <c r="AA977" s="246">
        <f>IFERROR(VLOOKUP(M977,PROGRAMAS[],2,FALSE),0)</f>
        <v>0</v>
      </c>
      <c r="AB977" s="246">
        <f>IFERROR(VLOOKUP(N977,PROGRAMAS[],2,FALSE),0)</f>
        <v>0</v>
      </c>
      <c r="AC977" s="246">
        <f>IFERROR(VLOOKUP(O977,PROGRAMAS[],2,FALSE),0)</f>
        <v>0</v>
      </c>
      <c r="AD977" s="246">
        <f>IFERROR(VLOOKUP(P977,PROGRAMAS[],2,FALSE),0)</f>
        <v>0</v>
      </c>
      <c r="AE977" s="246">
        <f>IFERROR(VLOOKUP(Q977,PROGRAMAS[],2,FALSE),0)</f>
        <v>0</v>
      </c>
      <c r="AF977" s="246">
        <f>IFERROR(VLOOKUP(D977,PROGRAMAS[],3,FALSE),0)</f>
        <v>841888629.31080008</v>
      </c>
      <c r="AG977" s="246">
        <f>IFERROR(VLOOKUP(E977,PROGRAMAS[],3,FALSE),0)</f>
        <v>3848980803.1642323</v>
      </c>
      <c r="AH977" s="246">
        <f>IFERROR(VLOOKUP(F977,PROGRAMAS[],3,FALSE),0)</f>
        <v>3394901471.387517</v>
      </c>
      <c r="AI977" s="246">
        <f>IFERROR(VLOOKUP(G977,PROGRAMAS[],3,FALSE),0)</f>
        <v>7011279577.519702</v>
      </c>
      <c r="AJ977" s="246">
        <f>IFERROR(VLOOKUP(H977,PROGRAMAS[],3,FALSE),0)</f>
        <v>4099471734.9978786</v>
      </c>
      <c r="AK977" s="246">
        <f>IFERROR(VLOOKUP(I977,PROGRAMAS[],3,FALSE),0)</f>
        <v>675517840.109828</v>
      </c>
      <c r="AL977" s="246">
        <f>IFERROR(VLOOKUP(J977,PROGRAMAS[],3,FALSE),0)</f>
        <v>118617452.52510804</v>
      </c>
      <c r="AM977" s="246">
        <f>IFERROR(VLOOKUP(K977,PROGRAMAS[],3,FALSE),0)</f>
        <v>948595847.09039903</v>
      </c>
      <c r="AN977" s="246">
        <f>IFERROR(VLOOKUP(L977,PROGRAMAS[],3,FALSE),0)</f>
        <v>0</v>
      </c>
      <c r="AO977" s="246">
        <f>IFERROR(VLOOKUP(M977,PROGRAMAS[],3,FALSE),0)</f>
        <v>0</v>
      </c>
      <c r="AP977" s="246">
        <f>IFERROR(VLOOKUP(N977,PROGRAMAS[],3,FALSE),0)</f>
        <v>0</v>
      </c>
      <c r="AQ977" s="246">
        <f>IFERROR(VLOOKUP(O977,PROGRAMAS[],3,FALSE),0)</f>
        <v>0</v>
      </c>
      <c r="AR977" s="246">
        <f>IFERROR(VLOOKUP(P977,PROGRAMAS[],3,FALSE),0)</f>
        <v>0</v>
      </c>
      <c r="AS977" s="246">
        <f>IFERROR(VLOOKUP(Q977,PROGRAMAS[],3,FALSE),0)</f>
        <v>0</v>
      </c>
      <c r="AT977" s="246">
        <f>IFERROR(VLOOKUP(D977,VOL_REC[],2,FALSE),0)</f>
        <v>0</v>
      </c>
      <c r="AU977" s="246">
        <f>IFERROR(VLOOKUP(E977,VOL_REC[],2,FALSE),0)</f>
        <v>0</v>
      </c>
      <c r="AV977" s="246">
        <f>IFERROR(VLOOKUP(F977,VOL_REC[],2,FALSE),0)</f>
        <v>11089674.200000001</v>
      </c>
      <c r="AW977" s="246">
        <f>IFERROR(VLOOKUP(G977,VOL_REC[],2,FALSE),0)</f>
        <v>3761786</v>
      </c>
      <c r="AX977" s="246">
        <f>IFERROR(VLOOKUP(H977,VOL_REC[],2,FALSE),0)</f>
        <v>1812240</v>
      </c>
      <c r="AY977" s="246">
        <f>IFERROR(VLOOKUP(I977,VOL_REC[],2,FALSE),0)</f>
        <v>240696.79238099116</v>
      </c>
      <c r="AZ977" s="246">
        <f>IFERROR(VLOOKUP(J977,VOL_REC[],2,FALSE),0)</f>
        <v>105072</v>
      </c>
      <c r="BA977" s="246">
        <f>IFERROR(VLOOKUP(K977,VOL_REC[],2,FALSE),0)</f>
        <v>740113.98115702497</v>
      </c>
      <c r="BB977" s="246">
        <f>IFERROR(VLOOKUP(L977,VOL_REC[],2,FALSE),0)</f>
        <v>0</v>
      </c>
      <c r="BC977" s="246">
        <f>IFERROR(VLOOKUP(M977,VOL_REC[],2,FALSE),0)</f>
        <v>0</v>
      </c>
      <c r="BD977" s="246">
        <f>IFERROR(VLOOKUP(N977,VOL_REC[],2,FALSE),0)</f>
        <v>0</v>
      </c>
      <c r="BE977" s="246">
        <f>IFERROR(VLOOKUP(O977,VOL_REC[],2,FALSE),0)</f>
        <v>0</v>
      </c>
      <c r="BF977" s="246">
        <f>IFERROR(VLOOKUP(P977,VOL_REC[],2,FALSE),0)</f>
        <v>0</v>
      </c>
      <c r="BG977" s="246">
        <f>IFERROR(VLOOKUP(Q977,VOL_REC[],2,FALSE),0)</f>
        <v>0</v>
      </c>
      <c r="BH977" s="1710">
        <f t="shared" si="60"/>
        <v>17343497963.834599</v>
      </c>
      <c r="BI977" s="1710">
        <f t="shared" si="61"/>
        <v>20939253356.105469</v>
      </c>
      <c r="BJ977" s="1711">
        <f t="shared" si="62"/>
        <v>17749582.973538015</v>
      </c>
      <c r="BK977" s="1711">
        <f t="shared" si="63"/>
        <v>0.82827680953473826</v>
      </c>
    </row>
    <row r="978" spans="3:67" x14ac:dyDescent="0.25">
      <c r="C978" s="246" t="s">
        <v>2328</v>
      </c>
      <c r="D978" s="246">
        <v>1</v>
      </c>
      <c r="E978" s="246">
        <v>2</v>
      </c>
      <c r="F978" s="246">
        <v>3</v>
      </c>
      <c r="G978" s="246">
        <v>9</v>
      </c>
      <c r="H978" s="246">
        <v>10</v>
      </c>
      <c r="I978" s="246">
        <v>12</v>
      </c>
      <c r="J978" s="246">
        <v>16</v>
      </c>
      <c r="K978" s="246">
        <v>17</v>
      </c>
      <c r="L978" s="246"/>
      <c r="M978" s="246"/>
      <c r="N978" s="246"/>
      <c r="O978" s="246"/>
      <c r="P978" s="246"/>
      <c r="Q978" s="246"/>
      <c r="R978" s="246">
        <f>IFERROR(VLOOKUP(D978,PROGRAMAS[],2,FALSE),0)</f>
        <v>97037803.679377079</v>
      </c>
      <c r="S978" s="246">
        <f>IFERROR(VLOOKUP(E978,PROGRAMAS[],2,FALSE),0)</f>
        <v>640501509.6821388</v>
      </c>
      <c r="T978" s="246">
        <f>IFERROR(VLOOKUP(F978,PROGRAMAS[],2,FALSE),0)</f>
        <v>3062327798.1525245</v>
      </c>
      <c r="U978" s="246">
        <f>IFERROR(VLOOKUP(G978,PROGRAMAS[],2,FALSE),0)</f>
        <v>6128579952.1618185</v>
      </c>
      <c r="V978" s="246">
        <f>IFERROR(VLOOKUP(H978,PROGRAMAS[],2,FALSE),0)</f>
        <v>4635315027.8751087</v>
      </c>
      <c r="W978" s="246">
        <f>IFERROR(VLOOKUP(I978,PROGRAMAS[],2,FALSE),0)</f>
        <v>764796700.79905891</v>
      </c>
      <c r="X978" s="246">
        <f>IFERROR(VLOOKUP(J978,PROGRAMAS[],2,FALSE),0)</f>
        <v>7068496961.0436354</v>
      </c>
      <c r="Y978" s="246">
        <f>IFERROR(VLOOKUP(K978,PROGRAMAS[],2,FALSE),0)</f>
        <v>1892779498.5211046</v>
      </c>
      <c r="Z978" s="246">
        <f>IFERROR(VLOOKUP(L978,PROGRAMAS[],2,FALSE),0)</f>
        <v>0</v>
      </c>
      <c r="AA978" s="246">
        <f>IFERROR(VLOOKUP(M978,PROGRAMAS[],2,FALSE),0)</f>
        <v>0</v>
      </c>
      <c r="AB978" s="246">
        <f>IFERROR(VLOOKUP(N978,PROGRAMAS[],2,FALSE),0)</f>
        <v>0</v>
      </c>
      <c r="AC978" s="246">
        <f>IFERROR(VLOOKUP(O978,PROGRAMAS[],2,FALSE),0)</f>
        <v>0</v>
      </c>
      <c r="AD978" s="246">
        <f>IFERROR(VLOOKUP(P978,PROGRAMAS[],2,FALSE),0)</f>
        <v>0</v>
      </c>
      <c r="AE978" s="246">
        <f>IFERROR(VLOOKUP(Q978,PROGRAMAS[],2,FALSE),0)</f>
        <v>0</v>
      </c>
      <c r="AF978" s="246">
        <f>IFERROR(VLOOKUP(D978,PROGRAMAS[],3,FALSE),0)</f>
        <v>841888629.31080008</v>
      </c>
      <c r="AG978" s="246">
        <f>IFERROR(VLOOKUP(E978,PROGRAMAS[],3,FALSE),0)</f>
        <v>3848980803.1642323</v>
      </c>
      <c r="AH978" s="246">
        <f>IFERROR(VLOOKUP(F978,PROGRAMAS[],3,FALSE),0)</f>
        <v>3394901471.387517</v>
      </c>
      <c r="AI978" s="246">
        <f>IFERROR(VLOOKUP(G978,PROGRAMAS[],3,FALSE),0)</f>
        <v>7011279577.519702</v>
      </c>
      <c r="AJ978" s="246">
        <f>IFERROR(VLOOKUP(H978,PROGRAMAS[],3,FALSE),0)</f>
        <v>4099471734.9978786</v>
      </c>
      <c r="AK978" s="246">
        <f>IFERROR(VLOOKUP(I978,PROGRAMAS[],3,FALSE),0)</f>
        <v>675517840.109828</v>
      </c>
      <c r="AL978" s="246">
        <f>IFERROR(VLOOKUP(J978,PROGRAMAS[],3,FALSE),0)</f>
        <v>2406564599.0319901</v>
      </c>
      <c r="AM978" s="246">
        <f>IFERROR(VLOOKUP(K978,PROGRAMAS[],3,FALSE),0)</f>
        <v>948595847.09039903</v>
      </c>
      <c r="AN978" s="246">
        <f>IFERROR(VLOOKUP(L978,PROGRAMAS[],3,FALSE),0)</f>
        <v>0</v>
      </c>
      <c r="AO978" s="246">
        <f>IFERROR(VLOOKUP(M978,PROGRAMAS[],3,FALSE),0)</f>
        <v>0</v>
      </c>
      <c r="AP978" s="246">
        <f>IFERROR(VLOOKUP(N978,PROGRAMAS[],3,FALSE),0)</f>
        <v>0</v>
      </c>
      <c r="AQ978" s="246">
        <f>IFERROR(VLOOKUP(O978,PROGRAMAS[],3,FALSE),0)</f>
        <v>0</v>
      </c>
      <c r="AR978" s="246">
        <f>IFERROR(VLOOKUP(P978,PROGRAMAS[],3,FALSE),0)</f>
        <v>0</v>
      </c>
      <c r="AS978" s="246">
        <f>IFERROR(VLOOKUP(Q978,PROGRAMAS[],3,FALSE),0)</f>
        <v>0</v>
      </c>
      <c r="AT978" s="246">
        <f>IFERROR(VLOOKUP(D978,VOL_REC[],2,FALSE),0)</f>
        <v>0</v>
      </c>
      <c r="AU978" s="246">
        <f>IFERROR(VLOOKUP(E978,VOL_REC[],2,FALSE),0)</f>
        <v>0</v>
      </c>
      <c r="AV978" s="246">
        <f>IFERROR(VLOOKUP(F978,VOL_REC[],2,FALSE),0)</f>
        <v>11089674.200000001</v>
      </c>
      <c r="AW978" s="246">
        <f>IFERROR(VLOOKUP(G978,VOL_REC[],2,FALSE),0)</f>
        <v>3761786</v>
      </c>
      <c r="AX978" s="246">
        <f>IFERROR(VLOOKUP(H978,VOL_REC[],2,FALSE),0)</f>
        <v>1812240</v>
      </c>
      <c r="AY978" s="246">
        <f>IFERROR(VLOOKUP(I978,VOL_REC[],2,FALSE),0)</f>
        <v>240696.79238099116</v>
      </c>
      <c r="AZ978" s="246">
        <f>IFERROR(VLOOKUP(J978,VOL_REC[],2,FALSE),0)</f>
        <v>1072354.9981737854</v>
      </c>
      <c r="BA978" s="246">
        <f>IFERROR(VLOOKUP(K978,VOL_REC[],2,FALSE),0)</f>
        <v>740113.98115702497</v>
      </c>
      <c r="BB978" s="246">
        <f>IFERROR(VLOOKUP(L978,VOL_REC[],2,FALSE),0)</f>
        <v>0</v>
      </c>
      <c r="BC978" s="246">
        <f>IFERROR(VLOOKUP(M978,VOL_REC[],2,FALSE),0)</f>
        <v>0</v>
      </c>
      <c r="BD978" s="246">
        <f>IFERROR(VLOOKUP(N978,VOL_REC[],2,FALSE),0)</f>
        <v>0</v>
      </c>
      <c r="BE978" s="246">
        <f>IFERROR(VLOOKUP(O978,VOL_REC[],2,FALSE),0)</f>
        <v>0</v>
      </c>
      <c r="BF978" s="246">
        <f>IFERROR(VLOOKUP(P978,VOL_REC[],2,FALSE),0)</f>
        <v>0</v>
      </c>
      <c r="BG978" s="246">
        <f>IFERROR(VLOOKUP(Q978,VOL_REC[],2,FALSE),0)</f>
        <v>0</v>
      </c>
      <c r="BH978" s="1710">
        <f t="shared" si="60"/>
        <v>24289835251.914764</v>
      </c>
      <c r="BI978" s="1710">
        <f t="shared" si="61"/>
        <v>23227200502.61235</v>
      </c>
      <c r="BJ978" s="1711">
        <f t="shared" si="62"/>
        <v>18716865.9717118</v>
      </c>
      <c r="BK978" s="1711">
        <f t="shared" si="63"/>
        <v>1.0457495835188102</v>
      </c>
      <c r="BL978">
        <f>BJ978</f>
        <v>18716865.9717118</v>
      </c>
      <c r="BO978">
        <f>BL978</f>
        <v>18716865.9717118</v>
      </c>
    </row>
    <row r="979" spans="3:67" x14ac:dyDescent="0.25">
      <c r="C979" s="246" t="s">
        <v>2329</v>
      </c>
      <c r="D979" s="246">
        <v>1</v>
      </c>
      <c r="E979" s="246">
        <v>2</v>
      </c>
      <c r="F979" s="246">
        <v>3</v>
      </c>
      <c r="G979" s="246">
        <v>9</v>
      </c>
      <c r="H979" s="246">
        <v>10</v>
      </c>
      <c r="I979" s="246">
        <v>13</v>
      </c>
      <c r="J979" s="246">
        <v>14</v>
      </c>
      <c r="K979" s="246">
        <v>15</v>
      </c>
      <c r="L979" s="246"/>
      <c r="M979" s="246"/>
      <c r="N979" s="246"/>
      <c r="O979" s="246"/>
      <c r="P979" s="246"/>
      <c r="Q979" s="246"/>
      <c r="R979" s="246">
        <f>IFERROR(VLOOKUP(D979,PROGRAMAS[],2,FALSE),0)</f>
        <v>97037803.679377079</v>
      </c>
      <c r="S979" s="246">
        <f>IFERROR(VLOOKUP(E979,PROGRAMAS[],2,FALSE),0)</f>
        <v>640501509.6821388</v>
      </c>
      <c r="T979" s="246">
        <f>IFERROR(VLOOKUP(F979,PROGRAMAS[],2,FALSE),0)</f>
        <v>3062327798.1525245</v>
      </c>
      <c r="U979" s="246">
        <f>IFERROR(VLOOKUP(G979,PROGRAMAS[],2,FALSE),0)</f>
        <v>6128579952.1618185</v>
      </c>
      <c r="V979" s="246">
        <f>IFERROR(VLOOKUP(H979,PROGRAMAS[],2,FALSE),0)</f>
        <v>4635315027.8751087</v>
      </c>
      <c r="W979" s="246">
        <f>IFERROR(VLOOKUP(I979,PROGRAMAS[],2,FALSE),0)</f>
        <v>3776538594.4604583</v>
      </c>
      <c r="X979" s="246">
        <f>IFERROR(VLOOKUP(J979,PROGRAMAS[],2,FALSE),0)</f>
        <v>54223862.645839565</v>
      </c>
      <c r="Y979" s="246">
        <f>IFERROR(VLOOKUP(K979,PROGRAMAS[],2,FALSE),0)</f>
        <v>122159672.96346797</v>
      </c>
      <c r="Z979" s="246">
        <f>IFERROR(VLOOKUP(L979,PROGRAMAS[],2,FALSE),0)</f>
        <v>0</v>
      </c>
      <c r="AA979" s="246">
        <f>IFERROR(VLOOKUP(M979,PROGRAMAS[],2,FALSE),0)</f>
        <v>0</v>
      </c>
      <c r="AB979" s="246">
        <f>IFERROR(VLOOKUP(N979,PROGRAMAS[],2,FALSE),0)</f>
        <v>0</v>
      </c>
      <c r="AC979" s="246">
        <f>IFERROR(VLOOKUP(O979,PROGRAMAS[],2,FALSE),0)</f>
        <v>0</v>
      </c>
      <c r="AD979" s="246">
        <f>IFERROR(VLOOKUP(P979,PROGRAMAS[],2,FALSE),0)</f>
        <v>0</v>
      </c>
      <c r="AE979" s="246">
        <f>IFERROR(VLOOKUP(Q979,PROGRAMAS[],2,FALSE),0)</f>
        <v>0</v>
      </c>
      <c r="AF979" s="246">
        <f>IFERROR(VLOOKUP(D979,PROGRAMAS[],3,FALSE),0)</f>
        <v>841888629.31080008</v>
      </c>
      <c r="AG979" s="246">
        <f>IFERROR(VLOOKUP(E979,PROGRAMAS[],3,FALSE),0)</f>
        <v>3848980803.1642323</v>
      </c>
      <c r="AH979" s="246">
        <f>IFERROR(VLOOKUP(F979,PROGRAMAS[],3,FALSE),0)</f>
        <v>3394901471.387517</v>
      </c>
      <c r="AI979" s="246">
        <f>IFERROR(VLOOKUP(G979,PROGRAMAS[],3,FALSE),0)</f>
        <v>7011279577.519702</v>
      </c>
      <c r="AJ979" s="246">
        <f>IFERROR(VLOOKUP(H979,PROGRAMAS[],3,FALSE),0)</f>
        <v>4099471734.9978786</v>
      </c>
      <c r="AK979" s="246">
        <f>IFERROR(VLOOKUP(I979,PROGRAMAS[],3,FALSE),0)</f>
        <v>2392571243.5584412</v>
      </c>
      <c r="AL979" s="246">
        <f>IFERROR(VLOOKUP(J979,PROGRAMAS[],3,FALSE),0)</f>
        <v>31865326.38096505</v>
      </c>
      <c r="AM979" s="246">
        <f>IFERROR(VLOOKUP(K979,PROGRAMAS[],3,FALSE),0)</f>
        <v>118617452.52510804</v>
      </c>
      <c r="AN979" s="246">
        <f>IFERROR(VLOOKUP(L979,PROGRAMAS[],3,FALSE),0)</f>
        <v>0</v>
      </c>
      <c r="AO979" s="246">
        <f>IFERROR(VLOOKUP(M979,PROGRAMAS[],3,FALSE),0)</f>
        <v>0</v>
      </c>
      <c r="AP979" s="246">
        <f>IFERROR(VLOOKUP(N979,PROGRAMAS[],3,FALSE),0)</f>
        <v>0</v>
      </c>
      <c r="AQ979" s="246">
        <f>IFERROR(VLOOKUP(O979,PROGRAMAS[],3,FALSE),0)</f>
        <v>0</v>
      </c>
      <c r="AR979" s="246">
        <f>IFERROR(VLOOKUP(P979,PROGRAMAS[],3,FALSE),0)</f>
        <v>0</v>
      </c>
      <c r="AS979" s="246">
        <f>IFERROR(VLOOKUP(Q979,PROGRAMAS[],3,FALSE),0)</f>
        <v>0</v>
      </c>
      <c r="AT979" s="246">
        <f>IFERROR(VLOOKUP(D979,VOL_REC[],2,FALSE),0)</f>
        <v>0</v>
      </c>
      <c r="AU979" s="246">
        <f>IFERROR(VLOOKUP(E979,VOL_REC[],2,FALSE),0)</f>
        <v>0</v>
      </c>
      <c r="AV979" s="246">
        <f>IFERROR(VLOOKUP(F979,VOL_REC[],2,FALSE),0)</f>
        <v>11089674.200000001</v>
      </c>
      <c r="AW979" s="246">
        <f>IFERROR(VLOOKUP(G979,VOL_REC[],2,FALSE),0)</f>
        <v>3761786</v>
      </c>
      <c r="AX979" s="246">
        <f>IFERROR(VLOOKUP(H979,VOL_REC[],2,FALSE),0)</f>
        <v>1812240</v>
      </c>
      <c r="AY979" s="246">
        <f>IFERROR(VLOOKUP(I979,VOL_REC[],2,FALSE),0)</f>
        <v>663244.80000000016</v>
      </c>
      <c r="AZ979" s="246">
        <f>IFERROR(VLOOKUP(J979,VOL_REC[],2,FALSE),0)</f>
        <v>17074.045034105649</v>
      </c>
      <c r="BA979" s="246">
        <f>IFERROR(VLOOKUP(K979,VOL_REC[],2,FALSE),0)</f>
        <v>105072</v>
      </c>
      <c r="BB979" s="246">
        <f>IFERROR(VLOOKUP(L979,VOL_REC[],2,FALSE),0)</f>
        <v>0</v>
      </c>
      <c r="BC979" s="246">
        <f>IFERROR(VLOOKUP(M979,VOL_REC[],2,FALSE),0)</f>
        <v>0</v>
      </c>
      <c r="BD979" s="246">
        <f>IFERROR(VLOOKUP(N979,VOL_REC[],2,FALSE),0)</f>
        <v>0</v>
      </c>
      <c r="BE979" s="246">
        <f>IFERROR(VLOOKUP(O979,VOL_REC[],2,FALSE),0)</f>
        <v>0</v>
      </c>
      <c r="BF979" s="246">
        <f>IFERROR(VLOOKUP(P979,VOL_REC[],2,FALSE),0)</f>
        <v>0</v>
      </c>
      <c r="BG979" s="246">
        <f>IFERROR(VLOOKUP(Q979,VOL_REC[],2,FALSE),0)</f>
        <v>0</v>
      </c>
      <c r="BH979" s="1710">
        <f t="shared" si="60"/>
        <v>18516684221.620731</v>
      </c>
      <c r="BI979" s="1710">
        <f t="shared" si="61"/>
        <v>21739576238.844646</v>
      </c>
      <c r="BJ979" s="1711">
        <f t="shared" si="62"/>
        <v>17449091.045034107</v>
      </c>
      <c r="BK979" s="1711">
        <f t="shared" si="63"/>
        <v>0.85175000736834983</v>
      </c>
    </row>
    <row r="980" spans="3:67" x14ac:dyDescent="0.25">
      <c r="C980" s="246" t="s">
        <v>2330</v>
      </c>
      <c r="D980" s="246">
        <v>1</v>
      </c>
      <c r="E980" s="246">
        <v>2</v>
      </c>
      <c r="F980" s="246">
        <v>3</v>
      </c>
      <c r="G980" s="246">
        <v>9</v>
      </c>
      <c r="H980" s="246">
        <v>10</v>
      </c>
      <c r="I980" s="246">
        <v>13</v>
      </c>
      <c r="J980" s="246">
        <v>14</v>
      </c>
      <c r="K980" s="246">
        <v>16</v>
      </c>
      <c r="L980" s="246"/>
      <c r="M980" s="246"/>
      <c r="N980" s="246"/>
      <c r="O980" s="246"/>
      <c r="P980" s="246"/>
      <c r="Q980" s="246"/>
      <c r="R980" s="246">
        <f>IFERROR(VLOOKUP(D980,PROGRAMAS[],2,FALSE),0)</f>
        <v>97037803.679377079</v>
      </c>
      <c r="S980" s="246">
        <f>IFERROR(VLOOKUP(E980,PROGRAMAS[],2,FALSE),0)</f>
        <v>640501509.6821388</v>
      </c>
      <c r="T980" s="246">
        <f>IFERROR(VLOOKUP(F980,PROGRAMAS[],2,FALSE),0)</f>
        <v>3062327798.1525245</v>
      </c>
      <c r="U980" s="246">
        <f>IFERROR(VLOOKUP(G980,PROGRAMAS[],2,FALSE),0)</f>
        <v>6128579952.1618185</v>
      </c>
      <c r="V980" s="246">
        <f>IFERROR(VLOOKUP(H980,PROGRAMAS[],2,FALSE),0)</f>
        <v>4635315027.8751087</v>
      </c>
      <c r="W980" s="246">
        <f>IFERROR(VLOOKUP(I980,PROGRAMAS[],2,FALSE),0)</f>
        <v>3776538594.4604583</v>
      </c>
      <c r="X980" s="246">
        <f>IFERROR(VLOOKUP(J980,PROGRAMAS[],2,FALSE),0)</f>
        <v>54223862.645839565</v>
      </c>
      <c r="Y980" s="246">
        <f>IFERROR(VLOOKUP(K980,PROGRAMAS[],2,FALSE),0)</f>
        <v>7068496961.0436354</v>
      </c>
      <c r="Z980" s="246">
        <f>IFERROR(VLOOKUP(L980,PROGRAMAS[],2,FALSE),0)</f>
        <v>0</v>
      </c>
      <c r="AA980" s="246">
        <f>IFERROR(VLOOKUP(M980,PROGRAMAS[],2,FALSE),0)</f>
        <v>0</v>
      </c>
      <c r="AB980" s="246">
        <f>IFERROR(VLOOKUP(N980,PROGRAMAS[],2,FALSE),0)</f>
        <v>0</v>
      </c>
      <c r="AC980" s="246">
        <f>IFERROR(VLOOKUP(O980,PROGRAMAS[],2,FALSE),0)</f>
        <v>0</v>
      </c>
      <c r="AD980" s="246">
        <f>IFERROR(VLOOKUP(P980,PROGRAMAS[],2,FALSE),0)</f>
        <v>0</v>
      </c>
      <c r="AE980" s="246">
        <f>IFERROR(VLOOKUP(Q980,PROGRAMAS[],2,FALSE),0)</f>
        <v>0</v>
      </c>
      <c r="AF980" s="246">
        <f>IFERROR(VLOOKUP(D980,PROGRAMAS[],3,FALSE),0)</f>
        <v>841888629.31080008</v>
      </c>
      <c r="AG980" s="246">
        <f>IFERROR(VLOOKUP(E980,PROGRAMAS[],3,FALSE),0)</f>
        <v>3848980803.1642323</v>
      </c>
      <c r="AH980" s="246">
        <f>IFERROR(VLOOKUP(F980,PROGRAMAS[],3,FALSE),0)</f>
        <v>3394901471.387517</v>
      </c>
      <c r="AI980" s="246">
        <f>IFERROR(VLOOKUP(G980,PROGRAMAS[],3,FALSE),0)</f>
        <v>7011279577.519702</v>
      </c>
      <c r="AJ980" s="246">
        <f>IFERROR(VLOOKUP(H980,PROGRAMAS[],3,FALSE),0)</f>
        <v>4099471734.9978786</v>
      </c>
      <c r="AK980" s="246">
        <f>IFERROR(VLOOKUP(I980,PROGRAMAS[],3,FALSE),0)</f>
        <v>2392571243.5584412</v>
      </c>
      <c r="AL980" s="246">
        <f>IFERROR(VLOOKUP(J980,PROGRAMAS[],3,FALSE),0)</f>
        <v>31865326.38096505</v>
      </c>
      <c r="AM980" s="246">
        <f>IFERROR(VLOOKUP(K980,PROGRAMAS[],3,FALSE),0)</f>
        <v>2406564599.0319901</v>
      </c>
      <c r="AN980" s="246">
        <f>IFERROR(VLOOKUP(L980,PROGRAMAS[],3,FALSE),0)</f>
        <v>0</v>
      </c>
      <c r="AO980" s="246">
        <f>IFERROR(VLOOKUP(M980,PROGRAMAS[],3,FALSE),0)</f>
        <v>0</v>
      </c>
      <c r="AP980" s="246">
        <f>IFERROR(VLOOKUP(N980,PROGRAMAS[],3,FALSE),0)</f>
        <v>0</v>
      </c>
      <c r="AQ980" s="246">
        <f>IFERROR(VLOOKUP(O980,PROGRAMAS[],3,FALSE),0)</f>
        <v>0</v>
      </c>
      <c r="AR980" s="246">
        <f>IFERROR(VLOOKUP(P980,PROGRAMAS[],3,FALSE),0)</f>
        <v>0</v>
      </c>
      <c r="AS980" s="246">
        <f>IFERROR(VLOOKUP(Q980,PROGRAMAS[],3,FALSE),0)</f>
        <v>0</v>
      </c>
      <c r="AT980" s="246">
        <f>IFERROR(VLOOKUP(D980,VOL_REC[],2,FALSE),0)</f>
        <v>0</v>
      </c>
      <c r="AU980" s="246">
        <f>IFERROR(VLOOKUP(E980,VOL_REC[],2,FALSE),0)</f>
        <v>0</v>
      </c>
      <c r="AV980" s="246">
        <f>IFERROR(VLOOKUP(F980,VOL_REC[],2,FALSE),0)</f>
        <v>11089674.200000001</v>
      </c>
      <c r="AW980" s="246">
        <f>IFERROR(VLOOKUP(G980,VOL_REC[],2,FALSE),0)</f>
        <v>3761786</v>
      </c>
      <c r="AX980" s="246">
        <f>IFERROR(VLOOKUP(H980,VOL_REC[],2,FALSE),0)</f>
        <v>1812240</v>
      </c>
      <c r="AY980" s="246">
        <f>IFERROR(VLOOKUP(I980,VOL_REC[],2,FALSE),0)</f>
        <v>663244.80000000016</v>
      </c>
      <c r="AZ980" s="246">
        <f>IFERROR(VLOOKUP(J980,VOL_REC[],2,FALSE),0)</f>
        <v>17074.045034105649</v>
      </c>
      <c r="BA980" s="246">
        <f>IFERROR(VLOOKUP(K980,VOL_REC[],2,FALSE),0)</f>
        <v>1072354.9981737854</v>
      </c>
      <c r="BB980" s="246">
        <f>IFERROR(VLOOKUP(L980,VOL_REC[],2,FALSE),0)</f>
        <v>0</v>
      </c>
      <c r="BC980" s="246">
        <f>IFERROR(VLOOKUP(M980,VOL_REC[],2,FALSE),0)</f>
        <v>0</v>
      </c>
      <c r="BD980" s="246">
        <f>IFERROR(VLOOKUP(N980,VOL_REC[],2,FALSE),0)</f>
        <v>0</v>
      </c>
      <c r="BE980" s="246">
        <f>IFERROR(VLOOKUP(O980,VOL_REC[],2,FALSE),0)</f>
        <v>0</v>
      </c>
      <c r="BF980" s="246">
        <f>IFERROR(VLOOKUP(P980,VOL_REC[],2,FALSE),0)</f>
        <v>0</v>
      </c>
      <c r="BG980" s="246">
        <f>IFERROR(VLOOKUP(Q980,VOL_REC[],2,FALSE),0)</f>
        <v>0</v>
      </c>
      <c r="BH980" s="1710">
        <f t="shared" si="60"/>
        <v>25463021509.700901</v>
      </c>
      <c r="BI980" s="1710">
        <f t="shared" si="61"/>
        <v>24027523385.351528</v>
      </c>
      <c r="BJ980" s="1711">
        <f t="shared" si="62"/>
        <v>18416374.043207891</v>
      </c>
      <c r="BK980" s="1711">
        <f t="shared" si="63"/>
        <v>1.0597439070738572</v>
      </c>
      <c r="BL980">
        <f>BJ980</f>
        <v>18416374.043207891</v>
      </c>
      <c r="BO980">
        <f>BL980</f>
        <v>18416374.043207891</v>
      </c>
    </row>
    <row r="981" spans="3:67" x14ac:dyDescent="0.25">
      <c r="C981" s="246" t="s">
        <v>2331</v>
      </c>
      <c r="D981" s="246">
        <v>1</v>
      </c>
      <c r="E981" s="246">
        <v>2</v>
      </c>
      <c r="F981" s="246">
        <v>3</v>
      </c>
      <c r="G981" s="246">
        <v>9</v>
      </c>
      <c r="H981" s="246">
        <v>10</v>
      </c>
      <c r="I981" s="246">
        <v>13</v>
      </c>
      <c r="J981" s="246">
        <v>14</v>
      </c>
      <c r="K981" s="246">
        <v>17</v>
      </c>
      <c r="L981" s="246"/>
      <c r="M981" s="246"/>
      <c r="N981" s="246"/>
      <c r="O981" s="246"/>
      <c r="P981" s="246"/>
      <c r="Q981" s="246"/>
      <c r="R981" s="246">
        <f>IFERROR(VLOOKUP(D981,PROGRAMAS[],2,FALSE),0)</f>
        <v>97037803.679377079</v>
      </c>
      <c r="S981" s="246">
        <f>IFERROR(VLOOKUP(E981,PROGRAMAS[],2,FALSE),0)</f>
        <v>640501509.6821388</v>
      </c>
      <c r="T981" s="246">
        <f>IFERROR(VLOOKUP(F981,PROGRAMAS[],2,FALSE),0)</f>
        <v>3062327798.1525245</v>
      </c>
      <c r="U981" s="246">
        <f>IFERROR(VLOOKUP(G981,PROGRAMAS[],2,FALSE),0)</f>
        <v>6128579952.1618185</v>
      </c>
      <c r="V981" s="246">
        <f>IFERROR(VLOOKUP(H981,PROGRAMAS[],2,FALSE),0)</f>
        <v>4635315027.8751087</v>
      </c>
      <c r="W981" s="246">
        <f>IFERROR(VLOOKUP(I981,PROGRAMAS[],2,FALSE),0)</f>
        <v>3776538594.4604583</v>
      </c>
      <c r="X981" s="246">
        <f>IFERROR(VLOOKUP(J981,PROGRAMAS[],2,FALSE),0)</f>
        <v>54223862.645839565</v>
      </c>
      <c r="Y981" s="246">
        <f>IFERROR(VLOOKUP(K981,PROGRAMAS[],2,FALSE),0)</f>
        <v>1892779498.5211046</v>
      </c>
      <c r="Z981" s="246">
        <f>IFERROR(VLOOKUP(L981,PROGRAMAS[],2,FALSE),0)</f>
        <v>0</v>
      </c>
      <c r="AA981" s="246">
        <f>IFERROR(VLOOKUP(M981,PROGRAMAS[],2,FALSE),0)</f>
        <v>0</v>
      </c>
      <c r="AB981" s="246">
        <f>IFERROR(VLOOKUP(N981,PROGRAMAS[],2,FALSE),0)</f>
        <v>0</v>
      </c>
      <c r="AC981" s="246">
        <f>IFERROR(VLOOKUP(O981,PROGRAMAS[],2,FALSE),0)</f>
        <v>0</v>
      </c>
      <c r="AD981" s="246">
        <f>IFERROR(VLOOKUP(P981,PROGRAMAS[],2,FALSE),0)</f>
        <v>0</v>
      </c>
      <c r="AE981" s="246">
        <f>IFERROR(VLOOKUP(Q981,PROGRAMAS[],2,FALSE),0)</f>
        <v>0</v>
      </c>
      <c r="AF981" s="246">
        <f>IFERROR(VLOOKUP(D981,PROGRAMAS[],3,FALSE),0)</f>
        <v>841888629.31080008</v>
      </c>
      <c r="AG981" s="246">
        <f>IFERROR(VLOOKUP(E981,PROGRAMAS[],3,FALSE),0)</f>
        <v>3848980803.1642323</v>
      </c>
      <c r="AH981" s="246">
        <f>IFERROR(VLOOKUP(F981,PROGRAMAS[],3,FALSE),0)</f>
        <v>3394901471.387517</v>
      </c>
      <c r="AI981" s="246">
        <f>IFERROR(VLOOKUP(G981,PROGRAMAS[],3,FALSE),0)</f>
        <v>7011279577.519702</v>
      </c>
      <c r="AJ981" s="246">
        <f>IFERROR(VLOOKUP(H981,PROGRAMAS[],3,FALSE),0)</f>
        <v>4099471734.9978786</v>
      </c>
      <c r="AK981" s="246">
        <f>IFERROR(VLOOKUP(I981,PROGRAMAS[],3,FALSE),0)</f>
        <v>2392571243.5584412</v>
      </c>
      <c r="AL981" s="246">
        <f>IFERROR(VLOOKUP(J981,PROGRAMAS[],3,FALSE),0)</f>
        <v>31865326.38096505</v>
      </c>
      <c r="AM981" s="246">
        <f>IFERROR(VLOOKUP(K981,PROGRAMAS[],3,FALSE),0)</f>
        <v>948595847.09039903</v>
      </c>
      <c r="AN981" s="246">
        <f>IFERROR(VLOOKUP(L981,PROGRAMAS[],3,FALSE),0)</f>
        <v>0</v>
      </c>
      <c r="AO981" s="246">
        <f>IFERROR(VLOOKUP(M981,PROGRAMAS[],3,FALSE),0)</f>
        <v>0</v>
      </c>
      <c r="AP981" s="246">
        <f>IFERROR(VLOOKUP(N981,PROGRAMAS[],3,FALSE),0)</f>
        <v>0</v>
      </c>
      <c r="AQ981" s="246">
        <f>IFERROR(VLOOKUP(O981,PROGRAMAS[],3,FALSE),0)</f>
        <v>0</v>
      </c>
      <c r="AR981" s="246">
        <f>IFERROR(VLOOKUP(P981,PROGRAMAS[],3,FALSE),0)</f>
        <v>0</v>
      </c>
      <c r="AS981" s="246">
        <f>IFERROR(VLOOKUP(Q981,PROGRAMAS[],3,FALSE),0)</f>
        <v>0</v>
      </c>
      <c r="AT981" s="246">
        <f>IFERROR(VLOOKUP(D981,VOL_REC[],2,FALSE),0)</f>
        <v>0</v>
      </c>
      <c r="AU981" s="246">
        <f>IFERROR(VLOOKUP(E981,VOL_REC[],2,FALSE),0)</f>
        <v>0</v>
      </c>
      <c r="AV981" s="246">
        <f>IFERROR(VLOOKUP(F981,VOL_REC[],2,FALSE),0)</f>
        <v>11089674.200000001</v>
      </c>
      <c r="AW981" s="246">
        <f>IFERROR(VLOOKUP(G981,VOL_REC[],2,FALSE),0)</f>
        <v>3761786</v>
      </c>
      <c r="AX981" s="246">
        <f>IFERROR(VLOOKUP(H981,VOL_REC[],2,FALSE),0)</f>
        <v>1812240</v>
      </c>
      <c r="AY981" s="246">
        <f>IFERROR(VLOOKUP(I981,VOL_REC[],2,FALSE),0)</f>
        <v>663244.80000000016</v>
      </c>
      <c r="AZ981" s="246">
        <f>IFERROR(VLOOKUP(J981,VOL_REC[],2,FALSE),0)</f>
        <v>17074.045034105649</v>
      </c>
      <c r="BA981" s="246">
        <f>IFERROR(VLOOKUP(K981,VOL_REC[],2,FALSE),0)</f>
        <v>740113.98115702497</v>
      </c>
      <c r="BB981" s="246">
        <f>IFERROR(VLOOKUP(L981,VOL_REC[],2,FALSE),0)</f>
        <v>0</v>
      </c>
      <c r="BC981" s="246">
        <f>IFERROR(VLOOKUP(M981,VOL_REC[],2,FALSE),0)</f>
        <v>0</v>
      </c>
      <c r="BD981" s="246">
        <f>IFERROR(VLOOKUP(N981,VOL_REC[],2,FALSE),0)</f>
        <v>0</v>
      </c>
      <c r="BE981" s="246">
        <f>IFERROR(VLOOKUP(O981,VOL_REC[],2,FALSE),0)</f>
        <v>0</v>
      </c>
      <c r="BF981" s="246">
        <f>IFERROR(VLOOKUP(P981,VOL_REC[],2,FALSE),0)</f>
        <v>0</v>
      </c>
      <c r="BG981" s="246">
        <f>IFERROR(VLOOKUP(Q981,VOL_REC[],2,FALSE),0)</f>
        <v>0</v>
      </c>
      <c r="BH981" s="1710">
        <f t="shared" si="60"/>
        <v>20287304047.178368</v>
      </c>
      <c r="BI981" s="1710">
        <f t="shared" si="61"/>
        <v>22569554633.409939</v>
      </c>
      <c r="BJ981" s="1711">
        <f t="shared" si="62"/>
        <v>18084133.02619113</v>
      </c>
      <c r="BK981" s="1711">
        <f t="shared" si="63"/>
        <v>0.89887923694988947</v>
      </c>
    </row>
    <row r="982" spans="3:67" x14ac:dyDescent="0.25">
      <c r="C982" s="246" t="s">
        <v>2332</v>
      </c>
      <c r="D982" s="246">
        <v>1</v>
      </c>
      <c r="E982" s="246">
        <v>2</v>
      </c>
      <c r="F982" s="246">
        <v>3</v>
      </c>
      <c r="G982" s="246">
        <v>9</v>
      </c>
      <c r="H982" s="246">
        <v>10</v>
      </c>
      <c r="I982" s="246">
        <v>13</v>
      </c>
      <c r="J982" s="246">
        <v>15</v>
      </c>
      <c r="K982" s="246">
        <v>16</v>
      </c>
      <c r="L982" s="246"/>
      <c r="M982" s="246"/>
      <c r="N982" s="246"/>
      <c r="O982" s="246"/>
      <c r="P982" s="246"/>
      <c r="Q982" s="246"/>
      <c r="R982" s="246">
        <f>IFERROR(VLOOKUP(D982,PROGRAMAS[],2,FALSE),0)</f>
        <v>97037803.679377079</v>
      </c>
      <c r="S982" s="246">
        <f>IFERROR(VLOOKUP(E982,PROGRAMAS[],2,FALSE),0)</f>
        <v>640501509.6821388</v>
      </c>
      <c r="T982" s="246">
        <f>IFERROR(VLOOKUP(F982,PROGRAMAS[],2,FALSE),0)</f>
        <v>3062327798.1525245</v>
      </c>
      <c r="U982" s="246">
        <f>IFERROR(VLOOKUP(G982,PROGRAMAS[],2,FALSE),0)</f>
        <v>6128579952.1618185</v>
      </c>
      <c r="V982" s="246">
        <f>IFERROR(VLOOKUP(H982,PROGRAMAS[],2,FALSE),0)</f>
        <v>4635315027.8751087</v>
      </c>
      <c r="W982" s="246">
        <f>IFERROR(VLOOKUP(I982,PROGRAMAS[],2,FALSE),0)</f>
        <v>3776538594.4604583</v>
      </c>
      <c r="X982" s="246">
        <f>IFERROR(VLOOKUP(J982,PROGRAMAS[],2,FALSE),0)</f>
        <v>122159672.96346797</v>
      </c>
      <c r="Y982" s="246">
        <f>IFERROR(VLOOKUP(K982,PROGRAMAS[],2,FALSE),0)</f>
        <v>7068496961.0436354</v>
      </c>
      <c r="Z982" s="246">
        <f>IFERROR(VLOOKUP(L982,PROGRAMAS[],2,FALSE),0)</f>
        <v>0</v>
      </c>
      <c r="AA982" s="246">
        <f>IFERROR(VLOOKUP(M982,PROGRAMAS[],2,FALSE),0)</f>
        <v>0</v>
      </c>
      <c r="AB982" s="246">
        <f>IFERROR(VLOOKUP(N982,PROGRAMAS[],2,FALSE),0)</f>
        <v>0</v>
      </c>
      <c r="AC982" s="246">
        <f>IFERROR(VLOOKUP(O982,PROGRAMAS[],2,FALSE),0)</f>
        <v>0</v>
      </c>
      <c r="AD982" s="246">
        <f>IFERROR(VLOOKUP(P982,PROGRAMAS[],2,FALSE),0)</f>
        <v>0</v>
      </c>
      <c r="AE982" s="246">
        <f>IFERROR(VLOOKUP(Q982,PROGRAMAS[],2,FALSE),0)</f>
        <v>0</v>
      </c>
      <c r="AF982" s="246">
        <f>IFERROR(VLOOKUP(D982,PROGRAMAS[],3,FALSE),0)</f>
        <v>841888629.31080008</v>
      </c>
      <c r="AG982" s="246">
        <f>IFERROR(VLOOKUP(E982,PROGRAMAS[],3,FALSE),0)</f>
        <v>3848980803.1642323</v>
      </c>
      <c r="AH982" s="246">
        <f>IFERROR(VLOOKUP(F982,PROGRAMAS[],3,FALSE),0)</f>
        <v>3394901471.387517</v>
      </c>
      <c r="AI982" s="246">
        <f>IFERROR(VLOOKUP(G982,PROGRAMAS[],3,FALSE),0)</f>
        <v>7011279577.519702</v>
      </c>
      <c r="AJ982" s="246">
        <f>IFERROR(VLOOKUP(H982,PROGRAMAS[],3,FALSE),0)</f>
        <v>4099471734.9978786</v>
      </c>
      <c r="AK982" s="246">
        <f>IFERROR(VLOOKUP(I982,PROGRAMAS[],3,FALSE),0)</f>
        <v>2392571243.5584412</v>
      </c>
      <c r="AL982" s="246">
        <f>IFERROR(VLOOKUP(J982,PROGRAMAS[],3,FALSE),0)</f>
        <v>118617452.52510804</v>
      </c>
      <c r="AM982" s="246">
        <f>IFERROR(VLOOKUP(K982,PROGRAMAS[],3,FALSE),0)</f>
        <v>2406564599.0319901</v>
      </c>
      <c r="AN982" s="246">
        <f>IFERROR(VLOOKUP(L982,PROGRAMAS[],3,FALSE),0)</f>
        <v>0</v>
      </c>
      <c r="AO982" s="246">
        <f>IFERROR(VLOOKUP(M982,PROGRAMAS[],3,FALSE),0)</f>
        <v>0</v>
      </c>
      <c r="AP982" s="246">
        <f>IFERROR(VLOOKUP(N982,PROGRAMAS[],3,FALSE),0)</f>
        <v>0</v>
      </c>
      <c r="AQ982" s="246">
        <f>IFERROR(VLOOKUP(O982,PROGRAMAS[],3,FALSE),0)</f>
        <v>0</v>
      </c>
      <c r="AR982" s="246">
        <f>IFERROR(VLOOKUP(P982,PROGRAMAS[],3,FALSE),0)</f>
        <v>0</v>
      </c>
      <c r="AS982" s="246">
        <f>IFERROR(VLOOKUP(Q982,PROGRAMAS[],3,FALSE),0)</f>
        <v>0</v>
      </c>
      <c r="AT982" s="246">
        <f>IFERROR(VLOOKUP(D982,VOL_REC[],2,FALSE),0)</f>
        <v>0</v>
      </c>
      <c r="AU982" s="246">
        <f>IFERROR(VLOOKUP(E982,VOL_REC[],2,FALSE),0)</f>
        <v>0</v>
      </c>
      <c r="AV982" s="246">
        <f>IFERROR(VLOOKUP(F982,VOL_REC[],2,FALSE),0)</f>
        <v>11089674.200000001</v>
      </c>
      <c r="AW982" s="246">
        <f>IFERROR(VLOOKUP(G982,VOL_REC[],2,FALSE),0)</f>
        <v>3761786</v>
      </c>
      <c r="AX982" s="246">
        <f>IFERROR(VLOOKUP(H982,VOL_REC[],2,FALSE),0)</f>
        <v>1812240</v>
      </c>
      <c r="AY982" s="246">
        <f>IFERROR(VLOOKUP(I982,VOL_REC[],2,FALSE),0)</f>
        <v>663244.80000000016</v>
      </c>
      <c r="AZ982" s="246">
        <f>IFERROR(VLOOKUP(J982,VOL_REC[],2,FALSE),0)</f>
        <v>105072</v>
      </c>
      <c r="BA982" s="246">
        <f>IFERROR(VLOOKUP(K982,VOL_REC[],2,FALSE),0)</f>
        <v>1072354.9981737854</v>
      </c>
      <c r="BB982" s="246">
        <f>IFERROR(VLOOKUP(L982,VOL_REC[],2,FALSE),0)</f>
        <v>0</v>
      </c>
      <c r="BC982" s="246">
        <f>IFERROR(VLOOKUP(M982,VOL_REC[],2,FALSE),0)</f>
        <v>0</v>
      </c>
      <c r="BD982" s="246">
        <f>IFERROR(VLOOKUP(N982,VOL_REC[],2,FALSE),0)</f>
        <v>0</v>
      </c>
      <c r="BE982" s="246">
        <f>IFERROR(VLOOKUP(O982,VOL_REC[],2,FALSE),0)</f>
        <v>0</v>
      </c>
      <c r="BF982" s="246">
        <f>IFERROR(VLOOKUP(P982,VOL_REC[],2,FALSE),0)</f>
        <v>0</v>
      </c>
      <c r="BG982" s="246">
        <f>IFERROR(VLOOKUP(Q982,VOL_REC[],2,FALSE),0)</f>
        <v>0</v>
      </c>
      <c r="BH982" s="1710">
        <f t="shared" si="60"/>
        <v>25530957320.018528</v>
      </c>
      <c r="BI982" s="1710">
        <f t="shared" si="61"/>
        <v>24114275511.49567</v>
      </c>
      <c r="BJ982" s="1711">
        <f t="shared" si="62"/>
        <v>18504371.998173784</v>
      </c>
      <c r="BK982" s="1711">
        <f t="shared" si="63"/>
        <v>1.0587486780536908</v>
      </c>
      <c r="BL982">
        <f>BJ982</f>
        <v>18504371.998173784</v>
      </c>
      <c r="BO982">
        <f>BL982</f>
        <v>18504371.998173784</v>
      </c>
    </row>
    <row r="983" spans="3:67" x14ac:dyDescent="0.25">
      <c r="C983" s="246" t="s">
        <v>2333</v>
      </c>
      <c r="D983" s="246">
        <v>1</v>
      </c>
      <c r="E983" s="246">
        <v>2</v>
      </c>
      <c r="F983" s="246">
        <v>3</v>
      </c>
      <c r="G983" s="246">
        <v>9</v>
      </c>
      <c r="H983" s="246">
        <v>10</v>
      </c>
      <c r="I983" s="246">
        <v>13</v>
      </c>
      <c r="J983" s="246">
        <v>15</v>
      </c>
      <c r="K983" s="246">
        <v>17</v>
      </c>
      <c r="L983" s="246"/>
      <c r="M983" s="246"/>
      <c r="N983" s="246"/>
      <c r="O983" s="246"/>
      <c r="P983" s="246"/>
      <c r="Q983" s="246"/>
      <c r="R983" s="246">
        <f>IFERROR(VLOOKUP(D983,PROGRAMAS[],2,FALSE),0)</f>
        <v>97037803.679377079</v>
      </c>
      <c r="S983" s="246">
        <f>IFERROR(VLOOKUP(E983,PROGRAMAS[],2,FALSE),0)</f>
        <v>640501509.6821388</v>
      </c>
      <c r="T983" s="246">
        <f>IFERROR(VLOOKUP(F983,PROGRAMAS[],2,FALSE),0)</f>
        <v>3062327798.1525245</v>
      </c>
      <c r="U983" s="246">
        <f>IFERROR(VLOOKUP(G983,PROGRAMAS[],2,FALSE),0)</f>
        <v>6128579952.1618185</v>
      </c>
      <c r="V983" s="246">
        <f>IFERROR(VLOOKUP(H983,PROGRAMAS[],2,FALSE),0)</f>
        <v>4635315027.8751087</v>
      </c>
      <c r="W983" s="246">
        <f>IFERROR(VLOOKUP(I983,PROGRAMAS[],2,FALSE),0)</f>
        <v>3776538594.4604583</v>
      </c>
      <c r="X983" s="246">
        <f>IFERROR(VLOOKUP(J983,PROGRAMAS[],2,FALSE),0)</f>
        <v>122159672.96346797</v>
      </c>
      <c r="Y983" s="246">
        <f>IFERROR(VLOOKUP(K983,PROGRAMAS[],2,FALSE),0)</f>
        <v>1892779498.5211046</v>
      </c>
      <c r="Z983" s="246">
        <f>IFERROR(VLOOKUP(L983,PROGRAMAS[],2,FALSE),0)</f>
        <v>0</v>
      </c>
      <c r="AA983" s="246">
        <f>IFERROR(VLOOKUP(M983,PROGRAMAS[],2,FALSE),0)</f>
        <v>0</v>
      </c>
      <c r="AB983" s="246">
        <f>IFERROR(VLOOKUP(N983,PROGRAMAS[],2,FALSE),0)</f>
        <v>0</v>
      </c>
      <c r="AC983" s="246">
        <f>IFERROR(VLOOKUP(O983,PROGRAMAS[],2,FALSE),0)</f>
        <v>0</v>
      </c>
      <c r="AD983" s="246">
        <f>IFERROR(VLOOKUP(P983,PROGRAMAS[],2,FALSE),0)</f>
        <v>0</v>
      </c>
      <c r="AE983" s="246">
        <f>IFERROR(VLOOKUP(Q983,PROGRAMAS[],2,FALSE),0)</f>
        <v>0</v>
      </c>
      <c r="AF983" s="246">
        <f>IFERROR(VLOOKUP(D983,PROGRAMAS[],3,FALSE),0)</f>
        <v>841888629.31080008</v>
      </c>
      <c r="AG983" s="246">
        <f>IFERROR(VLOOKUP(E983,PROGRAMAS[],3,FALSE),0)</f>
        <v>3848980803.1642323</v>
      </c>
      <c r="AH983" s="246">
        <f>IFERROR(VLOOKUP(F983,PROGRAMAS[],3,FALSE),0)</f>
        <v>3394901471.387517</v>
      </c>
      <c r="AI983" s="246">
        <f>IFERROR(VLOOKUP(G983,PROGRAMAS[],3,FALSE),0)</f>
        <v>7011279577.519702</v>
      </c>
      <c r="AJ983" s="246">
        <f>IFERROR(VLOOKUP(H983,PROGRAMAS[],3,FALSE),0)</f>
        <v>4099471734.9978786</v>
      </c>
      <c r="AK983" s="246">
        <f>IFERROR(VLOOKUP(I983,PROGRAMAS[],3,FALSE),0)</f>
        <v>2392571243.5584412</v>
      </c>
      <c r="AL983" s="246">
        <f>IFERROR(VLOOKUP(J983,PROGRAMAS[],3,FALSE),0)</f>
        <v>118617452.52510804</v>
      </c>
      <c r="AM983" s="246">
        <f>IFERROR(VLOOKUP(K983,PROGRAMAS[],3,FALSE),0)</f>
        <v>948595847.09039903</v>
      </c>
      <c r="AN983" s="246">
        <f>IFERROR(VLOOKUP(L983,PROGRAMAS[],3,FALSE),0)</f>
        <v>0</v>
      </c>
      <c r="AO983" s="246">
        <f>IFERROR(VLOOKUP(M983,PROGRAMAS[],3,FALSE),0)</f>
        <v>0</v>
      </c>
      <c r="AP983" s="246">
        <f>IFERROR(VLOOKUP(N983,PROGRAMAS[],3,FALSE),0)</f>
        <v>0</v>
      </c>
      <c r="AQ983" s="246">
        <f>IFERROR(VLOOKUP(O983,PROGRAMAS[],3,FALSE),0)</f>
        <v>0</v>
      </c>
      <c r="AR983" s="246">
        <f>IFERROR(VLOOKUP(P983,PROGRAMAS[],3,FALSE),0)</f>
        <v>0</v>
      </c>
      <c r="AS983" s="246">
        <f>IFERROR(VLOOKUP(Q983,PROGRAMAS[],3,FALSE),0)</f>
        <v>0</v>
      </c>
      <c r="AT983" s="246">
        <f>IFERROR(VLOOKUP(D983,VOL_REC[],2,FALSE),0)</f>
        <v>0</v>
      </c>
      <c r="AU983" s="246">
        <f>IFERROR(VLOOKUP(E983,VOL_REC[],2,FALSE),0)</f>
        <v>0</v>
      </c>
      <c r="AV983" s="246">
        <f>IFERROR(VLOOKUP(F983,VOL_REC[],2,FALSE),0)</f>
        <v>11089674.200000001</v>
      </c>
      <c r="AW983" s="246">
        <f>IFERROR(VLOOKUP(G983,VOL_REC[],2,FALSE),0)</f>
        <v>3761786</v>
      </c>
      <c r="AX983" s="246">
        <f>IFERROR(VLOOKUP(H983,VOL_REC[],2,FALSE),0)</f>
        <v>1812240</v>
      </c>
      <c r="AY983" s="246">
        <f>IFERROR(VLOOKUP(I983,VOL_REC[],2,FALSE),0)</f>
        <v>663244.80000000016</v>
      </c>
      <c r="AZ983" s="246">
        <f>IFERROR(VLOOKUP(J983,VOL_REC[],2,FALSE),0)</f>
        <v>105072</v>
      </c>
      <c r="BA983" s="246">
        <f>IFERROR(VLOOKUP(K983,VOL_REC[],2,FALSE),0)</f>
        <v>740113.98115702497</v>
      </c>
      <c r="BB983" s="246">
        <f>IFERROR(VLOOKUP(L983,VOL_REC[],2,FALSE),0)</f>
        <v>0</v>
      </c>
      <c r="BC983" s="246">
        <f>IFERROR(VLOOKUP(M983,VOL_REC[],2,FALSE),0)</f>
        <v>0</v>
      </c>
      <c r="BD983" s="246">
        <f>IFERROR(VLOOKUP(N983,VOL_REC[],2,FALSE),0)</f>
        <v>0</v>
      </c>
      <c r="BE983" s="246">
        <f>IFERROR(VLOOKUP(O983,VOL_REC[],2,FALSE),0)</f>
        <v>0</v>
      </c>
      <c r="BF983" s="246">
        <f>IFERROR(VLOOKUP(P983,VOL_REC[],2,FALSE),0)</f>
        <v>0</v>
      </c>
      <c r="BG983" s="246">
        <f>IFERROR(VLOOKUP(Q983,VOL_REC[],2,FALSE),0)</f>
        <v>0</v>
      </c>
      <c r="BH983" s="1710">
        <f t="shared" si="60"/>
        <v>20355239857.495995</v>
      </c>
      <c r="BI983" s="1710">
        <f t="shared" si="61"/>
        <v>22656306759.554081</v>
      </c>
      <c r="BJ983" s="1711">
        <f t="shared" si="62"/>
        <v>18172130.981157023</v>
      </c>
      <c r="BK983" s="1711">
        <f t="shared" si="63"/>
        <v>0.89843592221456237</v>
      </c>
    </row>
    <row r="984" spans="3:67" x14ac:dyDescent="0.25">
      <c r="C984" s="246" t="s">
        <v>2334</v>
      </c>
      <c r="D984" s="246">
        <v>1</v>
      </c>
      <c r="E984" s="246">
        <v>2</v>
      </c>
      <c r="F984" s="246">
        <v>3</v>
      </c>
      <c r="G984" s="246">
        <v>9</v>
      </c>
      <c r="H984" s="246">
        <v>10</v>
      </c>
      <c r="I984" s="246">
        <v>13</v>
      </c>
      <c r="J984" s="246">
        <v>16</v>
      </c>
      <c r="K984" s="246">
        <v>17</v>
      </c>
      <c r="L984" s="246"/>
      <c r="M984" s="246"/>
      <c r="N984" s="246"/>
      <c r="O984" s="246"/>
      <c r="P984" s="246"/>
      <c r="Q984" s="246"/>
      <c r="R984" s="246">
        <f>IFERROR(VLOOKUP(D984,PROGRAMAS[],2,FALSE),0)</f>
        <v>97037803.679377079</v>
      </c>
      <c r="S984" s="246">
        <f>IFERROR(VLOOKUP(E984,PROGRAMAS[],2,FALSE),0)</f>
        <v>640501509.6821388</v>
      </c>
      <c r="T984" s="246">
        <f>IFERROR(VLOOKUP(F984,PROGRAMAS[],2,FALSE),0)</f>
        <v>3062327798.1525245</v>
      </c>
      <c r="U984" s="246">
        <f>IFERROR(VLOOKUP(G984,PROGRAMAS[],2,FALSE),0)</f>
        <v>6128579952.1618185</v>
      </c>
      <c r="V984" s="246">
        <f>IFERROR(VLOOKUP(H984,PROGRAMAS[],2,FALSE),0)</f>
        <v>4635315027.8751087</v>
      </c>
      <c r="W984" s="246">
        <f>IFERROR(VLOOKUP(I984,PROGRAMAS[],2,FALSE),0)</f>
        <v>3776538594.4604583</v>
      </c>
      <c r="X984" s="246">
        <f>IFERROR(VLOOKUP(J984,PROGRAMAS[],2,FALSE),0)</f>
        <v>7068496961.0436354</v>
      </c>
      <c r="Y984" s="246">
        <f>IFERROR(VLOOKUP(K984,PROGRAMAS[],2,FALSE),0)</f>
        <v>1892779498.5211046</v>
      </c>
      <c r="Z984" s="246">
        <f>IFERROR(VLOOKUP(L984,PROGRAMAS[],2,FALSE),0)</f>
        <v>0</v>
      </c>
      <c r="AA984" s="246">
        <f>IFERROR(VLOOKUP(M984,PROGRAMAS[],2,FALSE),0)</f>
        <v>0</v>
      </c>
      <c r="AB984" s="246">
        <f>IFERROR(VLOOKUP(N984,PROGRAMAS[],2,FALSE),0)</f>
        <v>0</v>
      </c>
      <c r="AC984" s="246">
        <f>IFERROR(VLOOKUP(O984,PROGRAMAS[],2,FALSE),0)</f>
        <v>0</v>
      </c>
      <c r="AD984" s="246">
        <f>IFERROR(VLOOKUP(P984,PROGRAMAS[],2,FALSE),0)</f>
        <v>0</v>
      </c>
      <c r="AE984" s="246">
        <f>IFERROR(VLOOKUP(Q984,PROGRAMAS[],2,FALSE),0)</f>
        <v>0</v>
      </c>
      <c r="AF984" s="246">
        <f>IFERROR(VLOOKUP(D984,PROGRAMAS[],3,FALSE),0)</f>
        <v>841888629.31080008</v>
      </c>
      <c r="AG984" s="246">
        <f>IFERROR(VLOOKUP(E984,PROGRAMAS[],3,FALSE),0)</f>
        <v>3848980803.1642323</v>
      </c>
      <c r="AH984" s="246">
        <f>IFERROR(VLOOKUP(F984,PROGRAMAS[],3,FALSE),0)</f>
        <v>3394901471.387517</v>
      </c>
      <c r="AI984" s="246">
        <f>IFERROR(VLOOKUP(G984,PROGRAMAS[],3,FALSE),0)</f>
        <v>7011279577.519702</v>
      </c>
      <c r="AJ984" s="246">
        <f>IFERROR(VLOOKUP(H984,PROGRAMAS[],3,FALSE),0)</f>
        <v>4099471734.9978786</v>
      </c>
      <c r="AK984" s="246">
        <f>IFERROR(VLOOKUP(I984,PROGRAMAS[],3,FALSE),0)</f>
        <v>2392571243.5584412</v>
      </c>
      <c r="AL984" s="246">
        <f>IFERROR(VLOOKUP(J984,PROGRAMAS[],3,FALSE),0)</f>
        <v>2406564599.0319901</v>
      </c>
      <c r="AM984" s="246">
        <f>IFERROR(VLOOKUP(K984,PROGRAMAS[],3,FALSE),0)</f>
        <v>948595847.09039903</v>
      </c>
      <c r="AN984" s="246">
        <f>IFERROR(VLOOKUP(L984,PROGRAMAS[],3,FALSE),0)</f>
        <v>0</v>
      </c>
      <c r="AO984" s="246">
        <f>IFERROR(VLOOKUP(M984,PROGRAMAS[],3,FALSE),0)</f>
        <v>0</v>
      </c>
      <c r="AP984" s="246">
        <f>IFERROR(VLOOKUP(N984,PROGRAMAS[],3,FALSE),0)</f>
        <v>0</v>
      </c>
      <c r="AQ984" s="246">
        <f>IFERROR(VLOOKUP(O984,PROGRAMAS[],3,FALSE),0)</f>
        <v>0</v>
      </c>
      <c r="AR984" s="246">
        <f>IFERROR(VLOOKUP(P984,PROGRAMAS[],3,FALSE),0)</f>
        <v>0</v>
      </c>
      <c r="AS984" s="246">
        <f>IFERROR(VLOOKUP(Q984,PROGRAMAS[],3,FALSE),0)</f>
        <v>0</v>
      </c>
      <c r="AT984" s="246">
        <f>IFERROR(VLOOKUP(D984,VOL_REC[],2,FALSE),0)</f>
        <v>0</v>
      </c>
      <c r="AU984" s="246">
        <f>IFERROR(VLOOKUP(E984,VOL_REC[],2,FALSE),0)</f>
        <v>0</v>
      </c>
      <c r="AV984" s="246">
        <f>IFERROR(VLOOKUP(F984,VOL_REC[],2,FALSE),0)</f>
        <v>11089674.200000001</v>
      </c>
      <c r="AW984" s="246">
        <f>IFERROR(VLOOKUP(G984,VOL_REC[],2,FALSE),0)</f>
        <v>3761786</v>
      </c>
      <c r="AX984" s="246">
        <f>IFERROR(VLOOKUP(H984,VOL_REC[],2,FALSE),0)</f>
        <v>1812240</v>
      </c>
      <c r="AY984" s="246">
        <f>IFERROR(VLOOKUP(I984,VOL_REC[],2,FALSE),0)</f>
        <v>663244.80000000016</v>
      </c>
      <c r="AZ984" s="246">
        <f>IFERROR(VLOOKUP(J984,VOL_REC[],2,FALSE),0)</f>
        <v>1072354.9981737854</v>
      </c>
      <c r="BA984" s="246">
        <f>IFERROR(VLOOKUP(K984,VOL_REC[],2,FALSE),0)</f>
        <v>740113.98115702497</v>
      </c>
      <c r="BB984" s="246">
        <f>IFERROR(VLOOKUP(L984,VOL_REC[],2,FALSE),0)</f>
        <v>0</v>
      </c>
      <c r="BC984" s="246">
        <f>IFERROR(VLOOKUP(M984,VOL_REC[],2,FALSE),0)</f>
        <v>0</v>
      </c>
      <c r="BD984" s="246">
        <f>IFERROR(VLOOKUP(N984,VOL_REC[],2,FALSE),0)</f>
        <v>0</v>
      </c>
      <c r="BE984" s="246">
        <f>IFERROR(VLOOKUP(O984,VOL_REC[],2,FALSE),0)</f>
        <v>0</v>
      </c>
      <c r="BF984" s="246">
        <f>IFERROR(VLOOKUP(P984,VOL_REC[],2,FALSE),0)</f>
        <v>0</v>
      </c>
      <c r="BG984" s="246">
        <f>IFERROR(VLOOKUP(Q984,VOL_REC[],2,FALSE),0)</f>
        <v>0</v>
      </c>
      <c r="BH984" s="1710">
        <f t="shared" si="60"/>
        <v>27301577145.576164</v>
      </c>
      <c r="BI984" s="1710">
        <f t="shared" si="61"/>
        <v>24944253906.060963</v>
      </c>
      <c r="BJ984" s="1711">
        <f t="shared" si="62"/>
        <v>19139413.979330808</v>
      </c>
      <c r="BK984" s="1711">
        <f t="shared" si="63"/>
        <v>1.0945036579724046</v>
      </c>
      <c r="BL984">
        <f>BJ984</f>
        <v>19139413.979330808</v>
      </c>
      <c r="BO984">
        <f>BL984</f>
        <v>19139413.979330808</v>
      </c>
    </row>
    <row r="985" spans="3:67" x14ac:dyDescent="0.25">
      <c r="C985" s="246" t="s">
        <v>2335</v>
      </c>
      <c r="D985" s="246">
        <v>1</v>
      </c>
      <c r="E985" s="246">
        <v>2</v>
      </c>
      <c r="F985" s="246">
        <v>3</v>
      </c>
      <c r="G985" s="246">
        <v>9</v>
      </c>
      <c r="H985" s="246">
        <v>10</v>
      </c>
      <c r="I985" s="246">
        <v>14</v>
      </c>
      <c r="J985" s="246">
        <v>15</v>
      </c>
      <c r="K985" s="246">
        <v>16</v>
      </c>
      <c r="L985" s="246"/>
      <c r="M985" s="246"/>
      <c r="N985" s="246"/>
      <c r="O985" s="246"/>
      <c r="P985" s="246"/>
      <c r="Q985" s="246"/>
      <c r="R985" s="246">
        <f>IFERROR(VLOOKUP(D985,PROGRAMAS[],2,FALSE),0)</f>
        <v>97037803.679377079</v>
      </c>
      <c r="S985" s="246">
        <f>IFERROR(VLOOKUP(E985,PROGRAMAS[],2,FALSE),0)</f>
        <v>640501509.6821388</v>
      </c>
      <c r="T985" s="246">
        <f>IFERROR(VLOOKUP(F985,PROGRAMAS[],2,FALSE),0)</f>
        <v>3062327798.1525245</v>
      </c>
      <c r="U985" s="246">
        <f>IFERROR(VLOOKUP(G985,PROGRAMAS[],2,FALSE),0)</f>
        <v>6128579952.1618185</v>
      </c>
      <c r="V985" s="246">
        <f>IFERROR(VLOOKUP(H985,PROGRAMAS[],2,FALSE),0)</f>
        <v>4635315027.8751087</v>
      </c>
      <c r="W985" s="246">
        <f>IFERROR(VLOOKUP(I985,PROGRAMAS[],2,FALSE),0)</f>
        <v>54223862.645839565</v>
      </c>
      <c r="X985" s="246">
        <f>IFERROR(VLOOKUP(J985,PROGRAMAS[],2,FALSE),0)</f>
        <v>122159672.96346797</v>
      </c>
      <c r="Y985" s="246">
        <f>IFERROR(VLOOKUP(K985,PROGRAMAS[],2,FALSE),0)</f>
        <v>7068496961.0436354</v>
      </c>
      <c r="Z985" s="246">
        <f>IFERROR(VLOOKUP(L985,PROGRAMAS[],2,FALSE),0)</f>
        <v>0</v>
      </c>
      <c r="AA985" s="246">
        <f>IFERROR(VLOOKUP(M985,PROGRAMAS[],2,FALSE),0)</f>
        <v>0</v>
      </c>
      <c r="AB985" s="246">
        <f>IFERROR(VLOOKUP(N985,PROGRAMAS[],2,FALSE),0)</f>
        <v>0</v>
      </c>
      <c r="AC985" s="246">
        <f>IFERROR(VLOOKUP(O985,PROGRAMAS[],2,FALSE),0)</f>
        <v>0</v>
      </c>
      <c r="AD985" s="246">
        <f>IFERROR(VLOOKUP(P985,PROGRAMAS[],2,FALSE),0)</f>
        <v>0</v>
      </c>
      <c r="AE985" s="246">
        <f>IFERROR(VLOOKUP(Q985,PROGRAMAS[],2,FALSE),0)</f>
        <v>0</v>
      </c>
      <c r="AF985" s="246">
        <f>IFERROR(VLOOKUP(D985,PROGRAMAS[],3,FALSE),0)</f>
        <v>841888629.31080008</v>
      </c>
      <c r="AG985" s="246">
        <f>IFERROR(VLOOKUP(E985,PROGRAMAS[],3,FALSE),0)</f>
        <v>3848980803.1642323</v>
      </c>
      <c r="AH985" s="246">
        <f>IFERROR(VLOOKUP(F985,PROGRAMAS[],3,FALSE),0)</f>
        <v>3394901471.387517</v>
      </c>
      <c r="AI985" s="246">
        <f>IFERROR(VLOOKUP(G985,PROGRAMAS[],3,FALSE),0)</f>
        <v>7011279577.519702</v>
      </c>
      <c r="AJ985" s="246">
        <f>IFERROR(VLOOKUP(H985,PROGRAMAS[],3,FALSE),0)</f>
        <v>4099471734.9978786</v>
      </c>
      <c r="AK985" s="246">
        <f>IFERROR(VLOOKUP(I985,PROGRAMAS[],3,FALSE),0)</f>
        <v>31865326.38096505</v>
      </c>
      <c r="AL985" s="246">
        <f>IFERROR(VLOOKUP(J985,PROGRAMAS[],3,FALSE),0)</f>
        <v>118617452.52510804</v>
      </c>
      <c r="AM985" s="246">
        <f>IFERROR(VLOOKUP(K985,PROGRAMAS[],3,FALSE),0)</f>
        <v>2406564599.0319901</v>
      </c>
      <c r="AN985" s="246">
        <f>IFERROR(VLOOKUP(L985,PROGRAMAS[],3,FALSE),0)</f>
        <v>0</v>
      </c>
      <c r="AO985" s="246">
        <f>IFERROR(VLOOKUP(M985,PROGRAMAS[],3,FALSE),0)</f>
        <v>0</v>
      </c>
      <c r="AP985" s="246">
        <f>IFERROR(VLOOKUP(N985,PROGRAMAS[],3,FALSE),0)</f>
        <v>0</v>
      </c>
      <c r="AQ985" s="246">
        <f>IFERROR(VLOOKUP(O985,PROGRAMAS[],3,FALSE),0)</f>
        <v>0</v>
      </c>
      <c r="AR985" s="246">
        <f>IFERROR(VLOOKUP(P985,PROGRAMAS[],3,FALSE),0)</f>
        <v>0</v>
      </c>
      <c r="AS985" s="246">
        <f>IFERROR(VLOOKUP(Q985,PROGRAMAS[],3,FALSE),0)</f>
        <v>0</v>
      </c>
      <c r="AT985" s="246">
        <f>IFERROR(VLOOKUP(D985,VOL_REC[],2,FALSE),0)</f>
        <v>0</v>
      </c>
      <c r="AU985" s="246">
        <f>IFERROR(VLOOKUP(E985,VOL_REC[],2,FALSE),0)</f>
        <v>0</v>
      </c>
      <c r="AV985" s="246">
        <f>IFERROR(VLOOKUP(F985,VOL_REC[],2,FALSE),0)</f>
        <v>11089674.200000001</v>
      </c>
      <c r="AW985" s="246">
        <f>IFERROR(VLOOKUP(G985,VOL_REC[],2,FALSE),0)</f>
        <v>3761786</v>
      </c>
      <c r="AX985" s="246">
        <f>IFERROR(VLOOKUP(H985,VOL_REC[],2,FALSE),0)</f>
        <v>1812240</v>
      </c>
      <c r="AY985" s="246">
        <f>IFERROR(VLOOKUP(I985,VOL_REC[],2,FALSE),0)</f>
        <v>17074.045034105649</v>
      </c>
      <c r="AZ985" s="246">
        <f>IFERROR(VLOOKUP(J985,VOL_REC[],2,FALSE),0)</f>
        <v>105072</v>
      </c>
      <c r="BA985" s="246">
        <f>IFERROR(VLOOKUP(K985,VOL_REC[],2,FALSE),0)</f>
        <v>1072354.9981737854</v>
      </c>
      <c r="BB985" s="246">
        <f>IFERROR(VLOOKUP(L985,VOL_REC[],2,FALSE),0)</f>
        <v>0</v>
      </c>
      <c r="BC985" s="246">
        <f>IFERROR(VLOOKUP(M985,VOL_REC[],2,FALSE),0)</f>
        <v>0</v>
      </c>
      <c r="BD985" s="246">
        <f>IFERROR(VLOOKUP(N985,VOL_REC[],2,FALSE),0)</f>
        <v>0</v>
      </c>
      <c r="BE985" s="246">
        <f>IFERROR(VLOOKUP(O985,VOL_REC[],2,FALSE),0)</f>
        <v>0</v>
      </c>
      <c r="BF985" s="246">
        <f>IFERROR(VLOOKUP(P985,VOL_REC[],2,FALSE),0)</f>
        <v>0</v>
      </c>
      <c r="BG985" s="246">
        <f>IFERROR(VLOOKUP(Q985,VOL_REC[],2,FALSE),0)</f>
        <v>0</v>
      </c>
      <c r="BH985" s="1710">
        <f t="shared" si="60"/>
        <v>21808642588.203911</v>
      </c>
      <c r="BI985" s="1710">
        <f t="shared" si="61"/>
        <v>21753569594.318195</v>
      </c>
      <c r="BJ985" s="1711">
        <f t="shared" si="62"/>
        <v>17858201.243207891</v>
      </c>
      <c r="BK985" s="1711">
        <f t="shared" si="63"/>
        <v>1.0025316761760379</v>
      </c>
      <c r="BL985">
        <f>BJ985</f>
        <v>17858201.243207891</v>
      </c>
      <c r="BO985">
        <f>BL985</f>
        <v>17858201.243207891</v>
      </c>
    </row>
    <row r="986" spans="3:67" x14ac:dyDescent="0.25">
      <c r="C986" s="246" t="s">
        <v>2336</v>
      </c>
      <c r="D986" s="246">
        <v>1</v>
      </c>
      <c r="E986" s="246">
        <v>2</v>
      </c>
      <c r="F986" s="246">
        <v>3</v>
      </c>
      <c r="G986" s="246">
        <v>9</v>
      </c>
      <c r="H986" s="246">
        <v>10</v>
      </c>
      <c r="I986" s="246">
        <v>14</v>
      </c>
      <c r="J986" s="246">
        <v>15</v>
      </c>
      <c r="K986" s="246">
        <v>17</v>
      </c>
      <c r="L986" s="246"/>
      <c r="M986" s="246"/>
      <c r="N986" s="246"/>
      <c r="O986" s="246"/>
      <c r="P986" s="246"/>
      <c r="Q986" s="246"/>
      <c r="R986" s="246">
        <f>IFERROR(VLOOKUP(D986,PROGRAMAS[],2,FALSE),0)</f>
        <v>97037803.679377079</v>
      </c>
      <c r="S986" s="246">
        <f>IFERROR(VLOOKUP(E986,PROGRAMAS[],2,FALSE),0)</f>
        <v>640501509.6821388</v>
      </c>
      <c r="T986" s="246">
        <f>IFERROR(VLOOKUP(F986,PROGRAMAS[],2,FALSE),0)</f>
        <v>3062327798.1525245</v>
      </c>
      <c r="U986" s="246">
        <f>IFERROR(VLOOKUP(G986,PROGRAMAS[],2,FALSE),0)</f>
        <v>6128579952.1618185</v>
      </c>
      <c r="V986" s="246">
        <f>IFERROR(VLOOKUP(H986,PROGRAMAS[],2,FALSE),0)</f>
        <v>4635315027.8751087</v>
      </c>
      <c r="W986" s="246">
        <f>IFERROR(VLOOKUP(I986,PROGRAMAS[],2,FALSE),0)</f>
        <v>54223862.645839565</v>
      </c>
      <c r="X986" s="246">
        <f>IFERROR(VLOOKUP(J986,PROGRAMAS[],2,FALSE),0)</f>
        <v>122159672.96346797</v>
      </c>
      <c r="Y986" s="246">
        <f>IFERROR(VLOOKUP(K986,PROGRAMAS[],2,FALSE),0)</f>
        <v>1892779498.5211046</v>
      </c>
      <c r="Z986" s="246">
        <f>IFERROR(VLOOKUP(L986,PROGRAMAS[],2,FALSE),0)</f>
        <v>0</v>
      </c>
      <c r="AA986" s="246">
        <f>IFERROR(VLOOKUP(M986,PROGRAMAS[],2,FALSE),0)</f>
        <v>0</v>
      </c>
      <c r="AB986" s="246">
        <f>IFERROR(VLOOKUP(N986,PROGRAMAS[],2,FALSE),0)</f>
        <v>0</v>
      </c>
      <c r="AC986" s="246">
        <f>IFERROR(VLOOKUP(O986,PROGRAMAS[],2,FALSE),0)</f>
        <v>0</v>
      </c>
      <c r="AD986" s="246">
        <f>IFERROR(VLOOKUP(P986,PROGRAMAS[],2,FALSE),0)</f>
        <v>0</v>
      </c>
      <c r="AE986" s="246">
        <f>IFERROR(VLOOKUP(Q986,PROGRAMAS[],2,FALSE),0)</f>
        <v>0</v>
      </c>
      <c r="AF986" s="246">
        <f>IFERROR(VLOOKUP(D986,PROGRAMAS[],3,FALSE),0)</f>
        <v>841888629.31080008</v>
      </c>
      <c r="AG986" s="246">
        <f>IFERROR(VLOOKUP(E986,PROGRAMAS[],3,FALSE),0)</f>
        <v>3848980803.1642323</v>
      </c>
      <c r="AH986" s="246">
        <f>IFERROR(VLOOKUP(F986,PROGRAMAS[],3,FALSE),0)</f>
        <v>3394901471.387517</v>
      </c>
      <c r="AI986" s="246">
        <f>IFERROR(VLOOKUP(G986,PROGRAMAS[],3,FALSE),0)</f>
        <v>7011279577.519702</v>
      </c>
      <c r="AJ986" s="246">
        <f>IFERROR(VLOOKUP(H986,PROGRAMAS[],3,FALSE),0)</f>
        <v>4099471734.9978786</v>
      </c>
      <c r="AK986" s="246">
        <f>IFERROR(VLOOKUP(I986,PROGRAMAS[],3,FALSE),0)</f>
        <v>31865326.38096505</v>
      </c>
      <c r="AL986" s="246">
        <f>IFERROR(VLOOKUP(J986,PROGRAMAS[],3,FALSE),0)</f>
        <v>118617452.52510804</v>
      </c>
      <c r="AM986" s="246">
        <f>IFERROR(VLOOKUP(K986,PROGRAMAS[],3,FALSE),0)</f>
        <v>948595847.09039903</v>
      </c>
      <c r="AN986" s="246">
        <f>IFERROR(VLOOKUP(L986,PROGRAMAS[],3,FALSE),0)</f>
        <v>0</v>
      </c>
      <c r="AO986" s="246">
        <f>IFERROR(VLOOKUP(M986,PROGRAMAS[],3,FALSE),0)</f>
        <v>0</v>
      </c>
      <c r="AP986" s="246">
        <f>IFERROR(VLOOKUP(N986,PROGRAMAS[],3,FALSE),0)</f>
        <v>0</v>
      </c>
      <c r="AQ986" s="246">
        <f>IFERROR(VLOOKUP(O986,PROGRAMAS[],3,FALSE),0)</f>
        <v>0</v>
      </c>
      <c r="AR986" s="246">
        <f>IFERROR(VLOOKUP(P986,PROGRAMAS[],3,FALSE),0)</f>
        <v>0</v>
      </c>
      <c r="AS986" s="246">
        <f>IFERROR(VLOOKUP(Q986,PROGRAMAS[],3,FALSE),0)</f>
        <v>0</v>
      </c>
      <c r="AT986" s="246">
        <f>IFERROR(VLOOKUP(D986,VOL_REC[],2,FALSE),0)</f>
        <v>0</v>
      </c>
      <c r="AU986" s="246">
        <f>IFERROR(VLOOKUP(E986,VOL_REC[],2,FALSE),0)</f>
        <v>0</v>
      </c>
      <c r="AV986" s="246">
        <f>IFERROR(VLOOKUP(F986,VOL_REC[],2,FALSE),0)</f>
        <v>11089674.200000001</v>
      </c>
      <c r="AW986" s="246">
        <f>IFERROR(VLOOKUP(G986,VOL_REC[],2,FALSE),0)</f>
        <v>3761786</v>
      </c>
      <c r="AX986" s="246">
        <f>IFERROR(VLOOKUP(H986,VOL_REC[],2,FALSE),0)</f>
        <v>1812240</v>
      </c>
      <c r="AY986" s="246">
        <f>IFERROR(VLOOKUP(I986,VOL_REC[],2,FALSE),0)</f>
        <v>17074.045034105649</v>
      </c>
      <c r="AZ986" s="246">
        <f>IFERROR(VLOOKUP(J986,VOL_REC[],2,FALSE),0)</f>
        <v>105072</v>
      </c>
      <c r="BA986" s="246">
        <f>IFERROR(VLOOKUP(K986,VOL_REC[],2,FALSE),0)</f>
        <v>740113.98115702497</v>
      </c>
      <c r="BB986" s="246">
        <f>IFERROR(VLOOKUP(L986,VOL_REC[],2,FALSE),0)</f>
        <v>0</v>
      </c>
      <c r="BC986" s="246">
        <f>IFERROR(VLOOKUP(M986,VOL_REC[],2,FALSE),0)</f>
        <v>0</v>
      </c>
      <c r="BD986" s="246">
        <f>IFERROR(VLOOKUP(N986,VOL_REC[],2,FALSE),0)</f>
        <v>0</v>
      </c>
      <c r="BE986" s="246">
        <f>IFERROR(VLOOKUP(O986,VOL_REC[],2,FALSE),0)</f>
        <v>0</v>
      </c>
      <c r="BF986" s="246">
        <f>IFERROR(VLOOKUP(P986,VOL_REC[],2,FALSE),0)</f>
        <v>0</v>
      </c>
      <c r="BG986" s="246">
        <f>IFERROR(VLOOKUP(Q986,VOL_REC[],2,FALSE),0)</f>
        <v>0</v>
      </c>
      <c r="BH986" s="1710">
        <f t="shared" si="60"/>
        <v>16632925125.681381</v>
      </c>
      <c r="BI986" s="1710">
        <f t="shared" si="61"/>
        <v>20295600842.376606</v>
      </c>
      <c r="BJ986" s="1711">
        <f t="shared" si="62"/>
        <v>17525960.22619113</v>
      </c>
      <c r="BK986" s="1711">
        <f t="shared" si="63"/>
        <v>0.81953351639397298</v>
      </c>
    </row>
    <row r="987" spans="3:67" x14ac:dyDescent="0.25">
      <c r="C987" s="246" t="s">
        <v>2337</v>
      </c>
      <c r="D987" s="246">
        <v>1</v>
      </c>
      <c r="E987" s="246">
        <v>2</v>
      </c>
      <c r="F987" s="246">
        <v>3</v>
      </c>
      <c r="G987" s="246">
        <v>9</v>
      </c>
      <c r="H987" s="246">
        <v>10</v>
      </c>
      <c r="I987" s="246">
        <v>14</v>
      </c>
      <c r="J987" s="246">
        <v>16</v>
      </c>
      <c r="K987" s="246">
        <v>17</v>
      </c>
      <c r="L987" s="246"/>
      <c r="M987" s="246"/>
      <c r="N987" s="246"/>
      <c r="O987" s="246"/>
      <c r="P987" s="246"/>
      <c r="Q987" s="246"/>
      <c r="R987" s="246">
        <f>IFERROR(VLOOKUP(D987,PROGRAMAS[],2,FALSE),0)</f>
        <v>97037803.679377079</v>
      </c>
      <c r="S987" s="246">
        <f>IFERROR(VLOOKUP(E987,PROGRAMAS[],2,FALSE),0)</f>
        <v>640501509.6821388</v>
      </c>
      <c r="T987" s="246">
        <f>IFERROR(VLOOKUP(F987,PROGRAMAS[],2,FALSE),0)</f>
        <v>3062327798.1525245</v>
      </c>
      <c r="U987" s="246">
        <f>IFERROR(VLOOKUP(G987,PROGRAMAS[],2,FALSE),0)</f>
        <v>6128579952.1618185</v>
      </c>
      <c r="V987" s="246">
        <f>IFERROR(VLOOKUP(H987,PROGRAMAS[],2,FALSE),0)</f>
        <v>4635315027.8751087</v>
      </c>
      <c r="W987" s="246">
        <f>IFERROR(VLOOKUP(I987,PROGRAMAS[],2,FALSE),0)</f>
        <v>54223862.645839565</v>
      </c>
      <c r="X987" s="246">
        <f>IFERROR(VLOOKUP(J987,PROGRAMAS[],2,FALSE),0)</f>
        <v>7068496961.0436354</v>
      </c>
      <c r="Y987" s="246">
        <f>IFERROR(VLOOKUP(K987,PROGRAMAS[],2,FALSE),0)</f>
        <v>1892779498.5211046</v>
      </c>
      <c r="Z987" s="246">
        <f>IFERROR(VLOOKUP(L987,PROGRAMAS[],2,FALSE),0)</f>
        <v>0</v>
      </c>
      <c r="AA987" s="246">
        <f>IFERROR(VLOOKUP(M987,PROGRAMAS[],2,FALSE),0)</f>
        <v>0</v>
      </c>
      <c r="AB987" s="246">
        <f>IFERROR(VLOOKUP(N987,PROGRAMAS[],2,FALSE),0)</f>
        <v>0</v>
      </c>
      <c r="AC987" s="246">
        <f>IFERROR(VLOOKUP(O987,PROGRAMAS[],2,FALSE),0)</f>
        <v>0</v>
      </c>
      <c r="AD987" s="246">
        <f>IFERROR(VLOOKUP(P987,PROGRAMAS[],2,FALSE),0)</f>
        <v>0</v>
      </c>
      <c r="AE987" s="246">
        <f>IFERROR(VLOOKUP(Q987,PROGRAMAS[],2,FALSE),0)</f>
        <v>0</v>
      </c>
      <c r="AF987" s="246">
        <f>IFERROR(VLOOKUP(D987,PROGRAMAS[],3,FALSE),0)</f>
        <v>841888629.31080008</v>
      </c>
      <c r="AG987" s="246">
        <f>IFERROR(VLOOKUP(E987,PROGRAMAS[],3,FALSE),0)</f>
        <v>3848980803.1642323</v>
      </c>
      <c r="AH987" s="246">
        <f>IFERROR(VLOOKUP(F987,PROGRAMAS[],3,FALSE),0)</f>
        <v>3394901471.387517</v>
      </c>
      <c r="AI987" s="246">
        <f>IFERROR(VLOOKUP(G987,PROGRAMAS[],3,FALSE),0)</f>
        <v>7011279577.519702</v>
      </c>
      <c r="AJ987" s="246">
        <f>IFERROR(VLOOKUP(H987,PROGRAMAS[],3,FALSE),0)</f>
        <v>4099471734.9978786</v>
      </c>
      <c r="AK987" s="246">
        <f>IFERROR(VLOOKUP(I987,PROGRAMAS[],3,FALSE),0)</f>
        <v>31865326.38096505</v>
      </c>
      <c r="AL987" s="246">
        <f>IFERROR(VLOOKUP(J987,PROGRAMAS[],3,FALSE),0)</f>
        <v>2406564599.0319901</v>
      </c>
      <c r="AM987" s="246">
        <f>IFERROR(VLOOKUP(K987,PROGRAMAS[],3,FALSE),0)</f>
        <v>948595847.09039903</v>
      </c>
      <c r="AN987" s="246">
        <f>IFERROR(VLOOKUP(L987,PROGRAMAS[],3,FALSE),0)</f>
        <v>0</v>
      </c>
      <c r="AO987" s="246">
        <f>IFERROR(VLOOKUP(M987,PROGRAMAS[],3,FALSE),0)</f>
        <v>0</v>
      </c>
      <c r="AP987" s="246">
        <f>IFERROR(VLOOKUP(N987,PROGRAMAS[],3,FALSE),0)</f>
        <v>0</v>
      </c>
      <c r="AQ987" s="246">
        <f>IFERROR(VLOOKUP(O987,PROGRAMAS[],3,FALSE),0)</f>
        <v>0</v>
      </c>
      <c r="AR987" s="246">
        <f>IFERROR(VLOOKUP(P987,PROGRAMAS[],3,FALSE),0)</f>
        <v>0</v>
      </c>
      <c r="AS987" s="246">
        <f>IFERROR(VLOOKUP(Q987,PROGRAMAS[],3,FALSE),0)</f>
        <v>0</v>
      </c>
      <c r="AT987" s="246">
        <f>IFERROR(VLOOKUP(D987,VOL_REC[],2,FALSE),0)</f>
        <v>0</v>
      </c>
      <c r="AU987" s="246">
        <f>IFERROR(VLOOKUP(E987,VOL_REC[],2,FALSE),0)</f>
        <v>0</v>
      </c>
      <c r="AV987" s="246">
        <f>IFERROR(VLOOKUP(F987,VOL_REC[],2,FALSE),0)</f>
        <v>11089674.200000001</v>
      </c>
      <c r="AW987" s="246">
        <f>IFERROR(VLOOKUP(G987,VOL_REC[],2,FALSE),0)</f>
        <v>3761786</v>
      </c>
      <c r="AX987" s="246">
        <f>IFERROR(VLOOKUP(H987,VOL_REC[],2,FALSE),0)</f>
        <v>1812240</v>
      </c>
      <c r="AY987" s="246">
        <f>IFERROR(VLOOKUP(I987,VOL_REC[],2,FALSE),0)</f>
        <v>17074.045034105649</v>
      </c>
      <c r="AZ987" s="246">
        <f>IFERROR(VLOOKUP(J987,VOL_REC[],2,FALSE),0)</f>
        <v>1072354.9981737854</v>
      </c>
      <c r="BA987" s="246">
        <f>IFERROR(VLOOKUP(K987,VOL_REC[],2,FALSE),0)</f>
        <v>740113.98115702497</v>
      </c>
      <c r="BB987" s="246">
        <f>IFERROR(VLOOKUP(L987,VOL_REC[],2,FALSE),0)</f>
        <v>0</v>
      </c>
      <c r="BC987" s="246">
        <f>IFERROR(VLOOKUP(M987,VOL_REC[],2,FALSE),0)</f>
        <v>0</v>
      </c>
      <c r="BD987" s="246">
        <f>IFERROR(VLOOKUP(N987,VOL_REC[],2,FALSE),0)</f>
        <v>0</v>
      </c>
      <c r="BE987" s="246">
        <f>IFERROR(VLOOKUP(O987,VOL_REC[],2,FALSE),0)</f>
        <v>0</v>
      </c>
      <c r="BF987" s="246">
        <f>IFERROR(VLOOKUP(P987,VOL_REC[],2,FALSE),0)</f>
        <v>0</v>
      </c>
      <c r="BG987" s="246">
        <f>IFERROR(VLOOKUP(Q987,VOL_REC[],2,FALSE),0)</f>
        <v>0</v>
      </c>
      <c r="BH987" s="1710">
        <f t="shared" si="60"/>
        <v>23579262413.761547</v>
      </c>
      <c r="BI987" s="1710">
        <f t="shared" si="61"/>
        <v>22583547988.883488</v>
      </c>
      <c r="BJ987" s="1711">
        <f t="shared" si="62"/>
        <v>18493243.224364914</v>
      </c>
      <c r="BK987" s="1711">
        <f t="shared" si="63"/>
        <v>1.0440902565605807</v>
      </c>
      <c r="BL987">
        <f>BJ987</f>
        <v>18493243.224364914</v>
      </c>
      <c r="BO987">
        <f>BL987</f>
        <v>18493243.224364914</v>
      </c>
    </row>
    <row r="988" spans="3:67" x14ac:dyDescent="0.25">
      <c r="C988" s="246" t="s">
        <v>2338</v>
      </c>
      <c r="D988" s="246">
        <v>1</v>
      </c>
      <c r="E988" s="246">
        <v>2</v>
      </c>
      <c r="F988" s="246">
        <v>3</v>
      </c>
      <c r="G988" s="246">
        <v>9</v>
      </c>
      <c r="H988" s="246">
        <v>10</v>
      </c>
      <c r="I988" s="246">
        <v>15</v>
      </c>
      <c r="J988" s="246">
        <v>16</v>
      </c>
      <c r="K988" s="246">
        <v>17</v>
      </c>
      <c r="L988" s="246"/>
      <c r="M988" s="246"/>
      <c r="N988" s="246"/>
      <c r="O988" s="246"/>
      <c r="P988" s="246"/>
      <c r="Q988" s="246"/>
      <c r="R988" s="246">
        <f>IFERROR(VLOOKUP(D988,PROGRAMAS[],2,FALSE),0)</f>
        <v>97037803.679377079</v>
      </c>
      <c r="S988" s="246">
        <f>IFERROR(VLOOKUP(E988,PROGRAMAS[],2,FALSE),0)</f>
        <v>640501509.6821388</v>
      </c>
      <c r="T988" s="246">
        <f>IFERROR(VLOOKUP(F988,PROGRAMAS[],2,FALSE),0)</f>
        <v>3062327798.1525245</v>
      </c>
      <c r="U988" s="246">
        <f>IFERROR(VLOOKUP(G988,PROGRAMAS[],2,FALSE),0)</f>
        <v>6128579952.1618185</v>
      </c>
      <c r="V988" s="246">
        <f>IFERROR(VLOOKUP(H988,PROGRAMAS[],2,FALSE),0)</f>
        <v>4635315027.8751087</v>
      </c>
      <c r="W988" s="246">
        <f>IFERROR(VLOOKUP(I988,PROGRAMAS[],2,FALSE),0)</f>
        <v>122159672.96346797</v>
      </c>
      <c r="X988" s="246">
        <f>IFERROR(VLOOKUP(J988,PROGRAMAS[],2,FALSE),0)</f>
        <v>7068496961.0436354</v>
      </c>
      <c r="Y988" s="246">
        <f>IFERROR(VLOOKUP(K988,PROGRAMAS[],2,FALSE),0)</f>
        <v>1892779498.5211046</v>
      </c>
      <c r="Z988" s="246">
        <f>IFERROR(VLOOKUP(L988,PROGRAMAS[],2,FALSE),0)</f>
        <v>0</v>
      </c>
      <c r="AA988" s="246">
        <f>IFERROR(VLOOKUP(M988,PROGRAMAS[],2,FALSE),0)</f>
        <v>0</v>
      </c>
      <c r="AB988" s="246">
        <f>IFERROR(VLOOKUP(N988,PROGRAMAS[],2,FALSE),0)</f>
        <v>0</v>
      </c>
      <c r="AC988" s="246">
        <f>IFERROR(VLOOKUP(O988,PROGRAMAS[],2,FALSE),0)</f>
        <v>0</v>
      </c>
      <c r="AD988" s="246">
        <f>IFERROR(VLOOKUP(P988,PROGRAMAS[],2,FALSE),0)</f>
        <v>0</v>
      </c>
      <c r="AE988" s="246">
        <f>IFERROR(VLOOKUP(Q988,PROGRAMAS[],2,FALSE),0)</f>
        <v>0</v>
      </c>
      <c r="AF988" s="246">
        <f>IFERROR(VLOOKUP(D988,PROGRAMAS[],3,FALSE),0)</f>
        <v>841888629.31080008</v>
      </c>
      <c r="AG988" s="246">
        <f>IFERROR(VLOOKUP(E988,PROGRAMAS[],3,FALSE),0)</f>
        <v>3848980803.1642323</v>
      </c>
      <c r="AH988" s="246">
        <f>IFERROR(VLOOKUP(F988,PROGRAMAS[],3,FALSE),0)</f>
        <v>3394901471.387517</v>
      </c>
      <c r="AI988" s="246">
        <f>IFERROR(VLOOKUP(G988,PROGRAMAS[],3,FALSE),0)</f>
        <v>7011279577.519702</v>
      </c>
      <c r="AJ988" s="246">
        <f>IFERROR(VLOOKUP(H988,PROGRAMAS[],3,FALSE),0)</f>
        <v>4099471734.9978786</v>
      </c>
      <c r="AK988" s="246">
        <f>IFERROR(VLOOKUP(I988,PROGRAMAS[],3,FALSE),0)</f>
        <v>118617452.52510804</v>
      </c>
      <c r="AL988" s="246">
        <f>IFERROR(VLOOKUP(J988,PROGRAMAS[],3,FALSE),0)</f>
        <v>2406564599.0319901</v>
      </c>
      <c r="AM988" s="246">
        <f>IFERROR(VLOOKUP(K988,PROGRAMAS[],3,FALSE),0)</f>
        <v>948595847.09039903</v>
      </c>
      <c r="AN988" s="246">
        <f>IFERROR(VLOOKUP(L988,PROGRAMAS[],3,FALSE),0)</f>
        <v>0</v>
      </c>
      <c r="AO988" s="246">
        <f>IFERROR(VLOOKUP(M988,PROGRAMAS[],3,FALSE),0)</f>
        <v>0</v>
      </c>
      <c r="AP988" s="246">
        <f>IFERROR(VLOOKUP(N988,PROGRAMAS[],3,FALSE),0)</f>
        <v>0</v>
      </c>
      <c r="AQ988" s="246">
        <f>IFERROR(VLOOKUP(O988,PROGRAMAS[],3,FALSE),0)</f>
        <v>0</v>
      </c>
      <c r="AR988" s="246">
        <f>IFERROR(VLOOKUP(P988,PROGRAMAS[],3,FALSE),0)</f>
        <v>0</v>
      </c>
      <c r="AS988" s="246">
        <f>IFERROR(VLOOKUP(Q988,PROGRAMAS[],3,FALSE),0)</f>
        <v>0</v>
      </c>
      <c r="AT988" s="246">
        <f>IFERROR(VLOOKUP(D988,VOL_REC[],2,FALSE),0)</f>
        <v>0</v>
      </c>
      <c r="AU988" s="246">
        <f>IFERROR(VLOOKUP(E988,VOL_REC[],2,FALSE),0)</f>
        <v>0</v>
      </c>
      <c r="AV988" s="246">
        <f>IFERROR(VLOOKUP(F988,VOL_REC[],2,FALSE),0)</f>
        <v>11089674.200000001</v>
      </c>
      <c r="AW988" s="246">
        <f>IFERROR(VLOOKUP(G988,VOL_REC[],2,FALSE),0)</f>
        <v>3761786</v>
      </c>
      <c r="AX988" s="246">
        <f>IFERROR(VLOOKUP(H988,VOL_REC[],2,FALSE),0)</f>
        <v>1812240</v>
      </c>
      <c r="AY988" s="246">
        <f>IFERROR(VLOOKUP(I988,VOL_REC[],2,FALSE),0)</f>
        <v>105072</v>
      </c>
      <c r="AZ988" s="246">
        <f>IFERROR(VLOOKUP(J988,VOL_REC[],2,FALSE),0)</f>
        <v>1072354.9981737854</v>
      </c>
      <c r="BA988" s="246">
        <f>IFERROR(VLOOKUP(K988,VOL_REC[],2,FALSE),0)</f>
        <v>740113.98115702497</v>
      </c>
      <c r="BB988" s="246">
        <f>IFERROR(VLOOKUP(L988,VOL_REC[],2,FALSE),0)</f>
        <v>0</v>
      </c>
      <c r="BC988" s="246">
        <f>IFERROR(VLOOKUP(M988,VOL_REC[],2,FALSE),0)</f>
        <v>0</v>
      </c>
      <c r="BD988" s="246">
        <f>IFERROR(VLOOKUP(N988,VOL_REC[],2,FALSE),0)</f>
        <v>0</v>
      </c>
      <c r="BE988" s="246">
        <f>IFERROR(VLOOKUP(O988,VOL_REC[],2,FALSE),0)</f>
        <v>0</v>
      </c>
      <c r="BF988" s="246">
        <f>IFERROR(VLOOKUP(P988,VOL_REC[],2,FALSE),0)</f>
        <v>0</v>
      </c>
      <c r="BG988" s="246">
        <f>IFERROR(VLOOKUP(Q988,VOL_REC[],2,FALSE),0)</f>
        <v>0</v>
      </c>
      <c r="BH988" s="1710">
        <f t="shared" si="60"/>
        <v>23647198224.079174</v>
      </c>
      <c r="BI988" s="1710">
        <f t="shared" si="61"/>
        <v>22670300115.02763</v>
      </c>
      <c r="BJ988" s="1711">
        <f t="shared" si="62"/>
        <v>18581241.179330811</v>
      </c>
      <c r="BK988" s="1711">
        <f t="shared" si="63"/>
        <v>1.0430915384487558</v>
      </c>
      <c r="BL988">
        <f>BJ988</f>
        <v>18581241.179330811</v>
      </c>
      <c r="BO988">
        <f>BL988</f>
        <v>18581241.179330811</v>
      </c>
    </row>
    <row r="989" spans="3:67" x14ac:dyDescent="0.25">
      <c r="C989" s="246" t="s">
        <v>2339</v>
      </c>
      <c r="D989" s="246">
        <v>1</v>
      </c>
      <c r="E989" s="246">
        <v>2</v>
      </c>
      <c r="F989" s="246">
        <v>3</v>
      </c>
      <c r="G989" s="246">
        <v>9</v>
      </c>
      <c r="H989" s="246">
        <v>12</v>
      </c>
      <c r="I989" s="246">
        <v>13</v>
      </c>
      <c r="J989" s="246">
        <v>14</v>
      </c>
      <c r="K989" s="246">
        <v>15</v>
      </c>
      <c r="L989" s="246"/>
      <c r="M989" s="246"/>
      <c r="N989" s="246"/>
      <c r="O989" s="246"/>
      <c r="P989" s="246"/>
      <c r="Q989" s="246"/>
      <c r="R989" s="246">
        <f>IFERROR(VLOOKUP(D989,PROGRAMAS[],2,FALSE),0)</f>
        <v>97037803.679377079</v>
      </c>
      <c r="S989" s="246">
        <f>IFERROR(VLOOKUP(E989,PROGRAMAS[],2,FALSE),0)</f>
        <v>640501509.6821388</v>
      </c>
      <c r="T989" s="246">
        <f>IFERROR(VLOOKUP(F989,PROGRAMAS[],2,FALSE),0)</f>
        <v>3062327798.1525245</v>
      </c>
      <c r="U989" s="246">
        <f>IFERROR(VLOOKUP(G989,PROGRAMAS[],2,FALSE),0)</f>
        <v>6128579952.1618185</v>
      </c>
      <c r="V989" s="246">
        <f>IFERROR(VLOOKUP(H989,PROGRAMAS[],2,FALSE),0)</f>
        <v>764796700.79905891</v>
      </c>
      <c r="W989" s="246">
        <f>IFERROR(VLOOKUP(I989,PROGRAMAS[],2,FALSE),0)</f>
        <v>3776538594.4604583</v>
      </c>
      <c r="X989" s="246">
        <f>IFERROR(VLOOKUP(J989,PROGRAMAS[],2,FALSE),0)</f>
        <v>54223862.645839565</v>
      </c>
      <c r="Y989" s="246">
        <f>IFERROR(VLOOKUP(K989,PROGRAMAS[],2,FALSE),0)</f>
        <v>122159672.96346797</v>
      </c>
      <c r="Z989" s="246">
        <f>IFERROR(VLOOKUP(L989,PROGRAMAS[],2,FALSE),0)</f>
        <v>0</v>
      </c>
      <c r="AA989" s="246">
        <f>IFERROR(VLOOKUP(M989,PROGRAMAS[],2,FALSE),0)</f>
        <v>0</v>
      </c>
      <c r="AB989" s="246">
        <f>IFERROR(VLOOKUP(N989,PROGRAMAS[],2,FALSE),0)</f>
        <v>0</v>
      </c>
      <c r="AC989" s="246">
        <f>IFERROR(VLOOKUP(O989,PROGRAMAS[],2,FALSE),0)</f>
        <v>0</v>
      </c>
      <c r="AD989" s="246">
        <f>IFERROR(VLOOKUP(P989,PROGRAMAS[],2,FALSE),0)</f>
        <v>0</v>
      </c>
      <c r="AE989" s="246">
        <f>IFERROR(VLOOKUP(Q989,PROGRAMAS[],2,FALSE),0)</f>
        <v>0</v>
      </c>
      <c r="AF989" s="246">
        <f>IFERROR(VLOOKUP(D989,PROGRAMAS[],3,FALSE),0)</f>
        <v>841888629.31080008</v>
      </c>
      <c r="AG989" s="246">
        <f>IFERROR(VLOOKUP(E989,PROGRAMAS[],3,FALSE),0)</f>
        <v>3848980803.1642323</v>
      </c>
      <c r="AH989" s="246">
        <f>IFERROR(VLOOKUP(F989,PROGRAMAS[],3,FALSE),0)</f>
        <v>3394901471.387517</v>
      </c>
      <c r="AI989" s="246">
        <f>IFERROR(VLOOKUP(G989,PROGRAMAS[],3,FALSE),0)</f>
        <v>7011279577.519702</v>
      </c>
      <c r="AJ989" s="246">
        <f>IFERROR(VLOOKUP(H989,PROGRAMAS[],3,FALSE),0)</f>
        <v>675517840.109828</v>
      </c>
      <c r="AK989" s="246">
        <f>IFERROR(VLOOKUP(I989,PROGRAMAS[],3,FALSE),0)</f>
        <v>2392571243.5584412</v>
      </c>
      <c r="AL989" s="246">
        <f>IFERROR(VLOOKUP(J989,PROGRAMAS[],3,FALSE),0)</f>
        <v>31865326.38096505</v>
      </c>
      <c r="AM989" s="246">
        <f>IFERROR(VLOOKUP(K989,PROGRAMAS[],3,FALSE),0)</f>
        <v>118617452.52510804</v>
      </c>
      <c r="AN989" s="246">
        <f>IFERROR(VLOOKUP(L989,PROGRAMAS[],3,FALSE),0)</f>
        <v>0</v>
      </c>
      <c r="AO989" s="246">
        <f>IFERROR(VLOOKUP(M989,PROGRAMAS[],3,FALSE),0)</f>
        <v>0</v>
      </c>
      <c r="AP989" s="246">
        <f>IFERROR(VLOOKUP(N989,PROGRAMAS[],3,FALSE),0)</f>
        <v>0</v>
      </c>
      <c r="AQ989" s="246">
        <f>IFERROR(VLOOKUP(O989,PROGRAMAS[],3,FALSE),0)</f>
        <v>0</v>
      </c>
      <c r="AR989" s="246">
        <f>IFERROR(VLOOKUP(P989,PROGRAMAS[],3,FALSE),0)</f>
        <v>0</v>
      </c>
      <c r="AS989" s="246">
        <f>IFERROR(VLOOKUP(Q989,PROGRAMAS[],3,FALSE),0)</f>
        <v>0</v>
      </c>
      <c r="AT989" s="246">
        <f>IFERROR(VLOOKUP(D989,VOL_REC[],2,FALSE),0)</f>
        <v>0</v>
      </c>
      <c r="AU989" s="246">
        <f>IFERROR(VLOOKUP(E989,VOL_REC[],2,FALSE),0)</f>
        <v>0</v>
      </c>
      <c r="AV989" s="246">
        <f>IFERROR(VLOOKUP(F989,VOL_REC[],2,FALSE),0)</f>
        <v>11089674.200000001</v>
      </c>
      <c r="AW989" s="246">
        <f>IFERROR(VLOOKUP(G989,VOL_REC[],2,FALSE),0)</f>
        <v>3761786</v>
      </c>
      <c r="AX989" s="246">
        <f>IFERROR(VLOOKUP(H989,VOL_REC[],2,FALSE),0)</f>
        <v>240696.79238099116</v>
      </c>
      <c r="AY989" s="246">
        <f>IFERROR(VLOOKUP(I989,VOL_REC[],2,FALSE),0)</f>
        <v>663244.80000000016</v>
      </c>
      <c r="AZ989" s="246">
        <f>IFERROR(VLOOKUP(J989,VOL_REC[],2,FALSE),0)</f>
        <v>17074.045034105649</v>
      </c>
      <c r="BA989" s="246">
        <f>IFERROR(VLOOKUP(K989,VOL_REC[],2,FALSE),0)</f>
        <v>105072</v>
      </c>
      <c r="BB989" s="246">
        <f>IFERROR(VLOOKUP(L989,VOL_REC[],2,FALSE),0)</f>
        <v>0</v>
      </c>
      <c r="BC989" s="246">
        <f>IFERROR(VLOOKUP(M989,VOL_REC[],2,FALSE),0)</f>
        <v>0</v>
      </c>
      <c r="BD989" s="246">
        <f>IFERROR(VLOOKUP(N989,VOL_REC[],2,FALSE),0)</f>
        <v>0</v>
      </c>
      <c r="BE989" s="246">
        <f>IFERROR(VLOOKUP(O989,VOL_REC[],2,FALSE),0)</f>
        <v>0</v>
      </c>
      <c r="BF989" s="246">
        <f>IFERROR(VLOOKUP(P989,VOL_REC[],2,FALSE),0)</f>
        <v>0</v>
      </c>
      <c r="BG989" s="246">
        <f>IFERROR(VLOOKUP(Q989,VOL_REC[],2,FALSE),0)</f>
        <v>0</v>
      </c>
      <c r="BH989" s="1710">
        <f t="shared" si="60"/>
        <v>14646165894.544685</v>
      </c>
      <c r="BI989" s="1710">
        <f t="shared" si="61"/>
        <v>18315622343.956596</v>
      </c>
      <c r="BJ989" s="1711">
        <f t="shared" si="62"/>
        <v>15877547.837415097</v>
      </c>
      <c r="BK989" s="1711">
        <f t="shared" si="63"/>
        <v>0.79965428525978088</v>
      </c>
    </row>
    <row r="990" spans="3:67" x14ac:dyDescent="0.25">
      <c r="C990" s="246" t="s">
        <v>2340</v>
      </c>
      <c r="D990" s="246">
        <v>1</v>
      </c>
      <c r="E990" s="246">
        <v>2</v>
      </c>
      <c r="F990" s="246">
        <v>3</v>
      </c>
      <c r="G990" s="246">
        <v>9</v>
      </c>
      <c r="H990" s="246">
        <v>12</v>
      </c>
      <c r="I990" s="246">
        <v>13</v>
      </c>
      <c r="J990" s="246">
        <v>14</v>
      </c>
      <c r="K990" s="246">
        <v>16</v>
      </c>
      <c r="L990" s="246"/>
      <c r="M990" s="246"/>
      <c r="N990" s="246"/>
      <c r="O990" s="246"/>
      <c r="P990" s="246"/>
      <c r="Q990" s="246"/>
      <c r="R990" s="246">
        <f>IFERROR(VLOOKUP(D990,PROGRAMAS[],2,FALSE),0)</f>
        <v>97037803.679377079</v>
      </c>
      <c r="S990" s="246">
        <f>IFERROR(VLOOKUP(E990,PROGRAMAS[],2,FALSE),0)</f>
        <v>640501509.6821388</v>
      </c>
      <c r="T990" s="246">
        <f>IFERROR(VLOOKUP(F990,PROGRAMAS[],2,FALSE),0)</f>
        <v>3062327798.1525245</v>
      </c>
      <c r="U990" s="246">
        <f>IFERROR(VLOOKUP(G990,PROGRAMAS[],2,FALSE),0)</f>
        <v>6128579952.1618185</v>
      </c>
      <c r="V990" s="246">
        <f>IFERROR(VLOOKUP(H990,PROGRAMAS[],2,FALSE),0)</f>
        <v>764796700.79905891</v>
      </c>
      <c r="W990" s="246">
        <f>IFERROR(VLOOKUP(I990,PROGRAMAS[],2,FALSE),0)</f>
        <v>3776538594.4604583</v>
      </c>
      <c r="X990" s="246">
        <f>IFERROR(VLOOKUP(J990,PROGRAMAS[],2,FALSE),0)</f>
        <v>54223862.645839565</v>
      </c>
      <c r="Y990" s="246">
        <f>IFERROR(VLOOKUP(K990,PROGRAMAS[],2,FALSE),0)</f>
        <v>7068496961.0436354</v>
      </c>
      <c r="Z990" s="246">
        <f>IFERROR(VLOOKUP(L990,PROGRAMAS[],2,FALSE),0)</f>
        <v>0</v>
      </c>
      <c r="AA990" s="246">
        <f>IFERROR(VLOOKUP(M990,PROGRAMAS[],2,FALSE),0)</f>
        <v>0</v>
      </c>
      <c r="AB990" s="246">
        <f>IFERROR(VLOOKUP(N990,PROGRAMAS[],2,FALSE),0)</f>
        <v>0</v>
      </c>
      <c r="AC990" s="246">
        <f>IFERROR(VLOOKUP(O990,PROGRAMAS[],2,FALSE),0)</f>
        <v>0</v>
      </c>
      <c r="AD990" s="246">
        <f>IFERROR(VLOOKUP(P990,PROGRAMAS[],2,FALSE),0)</f>
        <v>0</v>
      </c>
      <c r="AE990" s="246">
        <f>IFERROR(VLOOKUP(Q990,PROGRAMAS[],2,FALSE),0)</f>
        <v>0</v>
      </c>
      <c r="AF990" s="246">
        <f>IFERROR(VLOOKUP(D990,PROGRAMAS[],3,FALSE),0)</f>
        <v>841888629.31080008</v>
      </c>
      <c r="AG990" s="246">
        <f>IFERROR(VLOOKUP(E990,PROGRAMAS[],3,FALSE),0)</f>
        <v>3848980803.1642323</v>
      </c>
      <c r="AH990" s="246">
        <f>IFERROR(VLOOKUP(F990,PROGRAMAS[],3,FALSE),0)</f>
        <v>3394901471.387517</v>
      </c>
      <c r="AI990" s="246">
        <f>IFERROR(VLOOKUP(G990,PROGRAMAS[],3,FALSE),0)</f>
        <v>7011279577.519702</v>
      </c>
      <c r="AJ990" s="246">
        <f>IFERROR(VLOOKUP(H990,PROGRAMAS[],3,FALSE),0)</f>
        <v>675517840.109828</v>
      </c>
      <c r="AK990" s="246">
        <f>IFERROR(VLOOKUP(I990,PROGRAMAS[],3,FALSE),0)</f>
        <v>2392571243.5584412</v>
      </c>
      <c r="AL990" s="246">
        <f>IFERROR(VLOOKUP(J990,PROGRAMAS[],3,FALSE),0)</f>
        <v>31865326.38096505</v>
      </c>
      <c r="AM990" s="246">
        <f>IFERROR(VLOOKUP(K990,PROGRAMAS[],3,FALSE),0)</f>
        <v>2406564599.0319901</v>
      </c>
      <c r="AN990" s="246">
        <f>IFERROR(VLOOKUP(L990,PROGRAMAS[],3,FALSE),0)</f>
        <v>0</v>
      </c>
      <c r="AO990" s="246">
        <f>IFERROR(VLOOKUP(M990,PROGRAMAS[],3,FALSE),0)</f>
        <v>0</v>
      </c>
      <c r="AP990" s="246">
        <f>IFERROR(VLOOKUP(N990,PROGRAMAS[],3,FALSE),0)</f>
        <v>0</v>
      </c>
      <c r="AQ990" s="246">
        <f>IFERROR(VLOOKUP(O990,PROGRAMAS[],3,FALSE),0)</f>
        <v>0</v>
      </c>
      <c r="AR990" s="246">
        <f>IFERROR(VLOOKUP(P990,PROGRAMAS[],3,FALSE),0)</f>
        <v>0</v>
      </c>
      <c r="AS990" s="246">
        <f>IFERROR(VLOOKUP(Q990,PROGRAMAS[],3,FALSE),0)</f>
        <v>0</v>
      </c>
      <c r="AT990" s="246">
        <f>IFERROR(VLOOKUP(D990,VOL_REC[],2,FALSE),0)</f>
        <v>0</v>
      </c>
      <c r="AU990" s="246">
        <f>IFERROR(VLOOKUP(E990,VOL_REC[],2,FALSE),0)</f>
        <v>0</v>
      </c>
      <c r="AV990" s="246">
        <f>IFERROR(VLOOKUP(F990,VOL_REC[],2,FALSE),0)</f>
        <v>11089674.200000001</v>
      </c>
      <c r="AW990" s="246">
        <f>IFERROR(VLOOKUP(G990,VOL_REC[],2,FALSE),0)</f>
        <v>3761786</v>
      </c>
      <c r="AX990" s="246">
        <f>IFERROR(VLOOKUP(H990,VOL_REC[],2,FALSE),0)</f>
        <v>240696.79238099116</v>
      </c>
      <c r="AY990" s="246">
        <f>IFERROR(VLOOKUP(I990,VOL_REC[],2,FALSE),0)</f>
        <v>663244.80000000016</v>
      </c>
      <c r="AZ990" s="246">
        <f>IFERROR(VLOOKUP(J990,VOL_REC[],2,FALSE),0)</f>
        <v>17074.045034105649</v>
      </c>
      <c r="BA990" s="246">
        <f>IFERROR(VLOOKUP(K990,VOL_REC[],2,FALSE),0)</f>
        <v>1072354.9981737854</v>
      </c>
      <c r="BB990" s="246">
        <f>IFERROR(VLOOKUP(L990,VOL_REC[],2,FALSE),0)</f>
        <v>0</v>
      </c>
      <c r="BC990" s="246">
        <f>IFERROR(VLOOKUP(M990,VOL_REC[],2,FALSE),0)</f>
        <v>0</v>
      </c>
      <c r="BD990" s="246">
        <f>IFERROR(VLOOKUP(N990,VOL_REC[],2,FALSE),0)</f>
        <v>0</v>
      </c>
      <c r="BE990" s="246">
        <f>IFERROR(VLOOKUP(O990,VOL_REC[],2,FALSE),0)</f>
        <v>0</v>
      </c>
      <c r="BF990" s="246">
        <f>IFERROR(VLOOKUP(P990,VOL_REC[],2,FALSE),0)</f>
        <v>0</v>
      </c>
      <c r="BG990" s="246">
        <f>IFERROR(VLOOKUP(Q990,VOL_REC[],2,FALSE),0)</f>
        <v>0</v>
      </c>
      <c r="BH990" s="1710">
        <f t="shared" si="60"/>
        <v>21592503182.624851</v>
      </c>
      <c r="BI990" s="1710">
        <f t="shared" si="61"/>
        <v>20603569490.463478</v>
      </c>
      <c r="BJ990" s="1711">
        <f t="shared" si="62"/>
        <v>16844830.835588884</v>
      </c>
      <c r="BK990" s="1711">
        <f t="shared" si="63"/>
        <v>1.047998172967995</v>
      </c>
      <c r="BL990">
        <f>BJ990</f>
        <v>16844830.835588884</v>
      </c>
      <c r="BO990">
        <f>BL990</f>
        <v>16844830.835588884</v>
      </c>
    </row>
    <row r="991" spans="3:67" x14ac:dyDescent="0.25">
      <c r="C991" s="246" t="s">
        <v>2341</v>
      </c>
      <c r="D991" s="246">
        <v>1</v>
      </c>
      <c r="E991" s="246">
        <v>2</v>
      </c>
      <c r="F991" s="246">
        <v>3</v>
      </c>
      <c r="G991" s="246">
        <v>9</v>
      </c>
      <c r="H991" s="246">
        <v>12</v>
      </c>
      <c r="I991" s="246">
        <v>13</v>
      </c>
      <c r="J991" s="246">
        <v>14</v>
      </c>
      <c r="K991" s="246">
        <v>17</v>
      </c>
      <c r="L991" s="246"/>
      <c r="M991" s="246"/>
      <c r="N991" s="246"/>
      <c r="O991" s="246"/>
      <c r="P991" s="246"/>
      <c r="Q991" s="246"/>
      <c r="R991" s="246">
        <f>IFERROR(VLOOKUP(D991,PROGRAMAS[],2,FALSE),0)</f>
        <v>97037803.679377079</v>
      </c>
      <c r="S991" s="246">
        <f>IFERROR(VLOOKUP(E991,PROGRAMAS[],2,FALSE),0)</f>
        <v>640501509.6821388</v>
      </c>
      <c r="T991" s="246">
        <f>IFERROR(VLOOKUP(F991,PROGRAMAS[],2,FALSE),0)</f>
        <v>3062327798.1525245</v>
      </c>
      <c r="U991" s="246">
        <f>IFERROR(VLOOKUP(G991,PROGRAMAS[],2,FALSE),0)</f>
        <v>6128579952.1618185</v>
      </c>
      <c r="V991" s="246">
        <f>IFERROR(VLOOKUP(H991,PROGRAMAS[],2,FALSE),0)</f>
        <v>764796700.79905891</v>
      </c>
      <c r="W991" s="246">
        <f>IFERROR(VLOOKUP(I991,PROGRAMAS[],2,FALSE),0)</f>
        <v>3776538594.4604583</v>
      </c>
      <c r="X991" s="246">
        <f>IFERROR(VLOOKUP(J991,PROGRAMAS[],2,FALSE),0)</f>
        <v>54223862.645839565</v>
      </c>
      <c r="Y991" s="246">
        <f>IFERROR(VLOOKUP(K991,PROGRAMAS[],2,FALSE),0)</f>
        <v>1892779498.5211046</v>
      </c>
      <c r="Z991" s="246">
        <f>IFERROR(VLOOKUP(L991,PROGRAMAS[],2,FALSE),0)</f>
        <v>0</v>
      </c>
      <c r="AA991" s="246">
        <f>IFERROR(VLOOKUP(M991,PROGRAMAS[],2,FALSE),0)</f>
        <v>0</v>
      </c>
      <c r="AB991" s="246">
        <f>IFERROR(VLOOKUP(N991,PROGRAMAS[],2,FALSE),0)</f>
        <v>0</v>
      </c>
      <c r="AC991" s="246">
        <f>IFERROR(VLOOKUP(O991,PROGRAMAS[],2,FALSE),0)</f>
        <v>0</v>
      </c>
      <c r="AD991" s="246">
        <f>IFERROR(VLOOKUP(P991,PROGRAMAS[],2,FALSE),0)</f>
        <v>0</v>
      </c>
      <c r="AE991" s="246">
        <f>IFERROR(VLOOKUP(Q991,PROGRAMAS[],2,FALSE),0)</f>
        <v>0</v>
      </c>
      <c r="AF991" s="246">
        <f>IFERROR(VLOOKUP(D991,PROGRAMAS[],3,FALSE),0)</f>
        <v>841888629.31080008</v>
      </c>
      <c r="AG991" s="246">
        <f>IFERROR(VLOOKUP(E991,PROGRAMAS[],3,FALSE),0)</f>
        <v>3848980803.1642323</v>
      </c>
      <c r="AH991" s="246">
        <f>IFERROR(VLOOKUP(F991,PROGRAMAS[],3,FALSE),0)</f>
        <v>3394901471.387517</v>
      </c>
      <c r="AI991" s="246">
        <f>IFERROR(VLOOKUP(G991,PROGRAMAS[],3,FALSE),0)</f>
        <v>7011279577.519702</v>
      </c>
      <c r="AJ991" s="246">
        <f>IFERROR(VLOOKUP(H991,PROGRAMAS[],3,FALSE),0)</f>
        <v>675517840.109828</v>
      </c>
      <c r="AK991" s="246">
        <f>IFERROR(VLOOKUP(I991,PROGRAMAS[],3,FALSE),0)</f>
        <v>2392571243.5584412</v>
      </c>
      <c r="AL991" s="246">
        <f>IFERROR(VLOOKUP(J991,PROGRAMAS[],3,FALSE),0)</f>
        <v>31865326.38096505</v>
      </c>
      <c r="AM991" s="246">
        <f>IFERROR(VLOOKUP(K991,PROGRAMAS[],3,FALSE),0)</f>
        <v>948595847.09039903</v>
      </c>
      <c r="AN991" s="246">
        <f>IFERROR(VLOOKUP(L991,PROGRAMAS[],3,FALSE),0)</f>
        <v>0</v>
      </c>
      <c r="AO991" s="246">
        <f>IFERROR(VLOOKUP(M991,PROGRAMAS[],3,FALSE),0)</f>
        <v>0</v>
      </c>
      <c r="AP991" s="246">
        <f>IFERROR(VLOOKUP(N991,PROGRAMAS[],3,FALSE),0)</f>
        <v>0</v>
      </c>
      <c r="AQ991" s="246">
        <f>IFERROR(VLOOKUP(O991,PROGRAMAS[],3,FALSE),0)</f>
        <v>0</v>
      </c>
      <c r="AR991" s="246">
        <f>IFERROR(VLOOKUP(P991,PROGRAMAS[],3,FALSE),0)</f>
        <v>0</v>
      </c>
      <c r="AS991" s="246">
        <f>IFERROR(VLOOKUP(Q991,PROGRAMAS[],3,FALSE),0)</f>
        <v>0</v>
      </c>
      <c r="AT991" s="246">
        <f>IFERROR(VLOOKUP(D991,VOL_REC[],2,FALSE),0)</f>
        <v>0</v>
      </c>
      <c r="AU991" s="246">
        <f>IFERROR(VLOOKUP(E991,VOL_REC[],2,FALSE),0)</f>
        <v>0</v>
      </c>
      <c r="AV991" s="246">
        <f>IFERROR(VLOOKUP(F991,VOL_REC[],2,FALSE),0)</f>
        <v>11089674.200000001</v>
      </c>
      <c r="AW991" s="246">
        <f>IFERROR(VLOOKUP(G991,VOL_REC[],2,FALSE),0)</f>
        <v>3761786</v>
      </c>
      <c r="AX991" s="246">
        <f>IFERROR(VLOOKUP(H991,VOL_REC[],2,FALSE),0)</f>
        <v>240696.79238099116</v>
      </c>
      <c r="AY991" s="246">
        <f>IFERROR(VLOOKUP(I991,VOL_REC[],2,FALSE),0)</f>
        <v>663244.80000000016</v>
      </c>
      <c r="AZ991" s="246">
        <f>IFERROR(VLOOKUP(J991,VOL_REC[],2,FALSE),0)</f>
        <v>17074.045034105649</v>
      </c>
      <c r="BA991" s="246">
        <f>IFERROR(VLOOKUP(K991,VOL_REC[],2,FALSE),0)</f>
        <v>740113.98115702497</v>
      </c>
      <c r="BB991" s="246">
        <f>IFERROR(VLOOKUP(L991,VOL_REC[],2,FALSE),0)</f>
        <v>0</v>
      </c>
      <c r="BC991" s="246">
        <f>IFERROR(VLOOKUP(M991,VOL_REC[],2,FALSE),0)</f>
        <v>0</v>
      </c>
      <c r="BD991" s="246">
        <f>IFERROR(VLOOKUP(N991,VOL_REC[],2,FALSE),0)</f>
        <v>0</v>
      </c>
      <c r="BE991" s="246">
        <f>IFERROR(VLOOKUP(O991,VOL_REC[],2,FALSE),0)</f>
        <v>0</v>
      </c>
      <c r="BF991" s="246">
        <f>IFERROR(VLOOKUP(P991,VOL_REC[],2,FALSE),0)</f>
        <v>0</v>
      </c>
      <c r="BG991" s="246">
        <f>IFERROR(VLOOKUP(Q991,VOL_REC[],2,FALSE),0)</f>
        <v>0</v>
      </c>
      <c r="BH991" s="1710">
        <f t="shared" si="60"/>
        <v>16416785720.102322</v>
      </c>
      <c r="BI991" s="1710">
        <f t="shared" si="61"/>
        <v>19145600738.521889</v>
      </c>
      <c r="BJ991" s="1711">
        <f t="shared" si="62"/>
        <v>16512589.818572123</v>
      </c>
      <c r="BK991" s="1711">
        <f t="shared" si="63"/>
        <v>0.85747038937623632</v>
      </c>
    </row>
    <row r="992" spans="3:67" x14ac:dyDescent="0.25">
      <c r="C992" s="246" t="s">
        <v>2342</v>
      </c>
      <c r="D992" s="246">
        <v>1</v>
      </c>
      <c r="E992" s="246">
        <v>2</v>
      </c>
      <c r="F992" s="246">
        <v>3</v>
      </c>
      <c r="G992" s="246">
        <v>9</v>
      </c>
      <c r="H992" s="246">
        <v>12</v>
      </c>
      <c r="I992" s="246">
        <v>13</v>
      </c>
      <c r="J992" s="246">
        <v>15</v>
      </c>
      <c r="K992" s="246">
        <v>16</v>
      </c>
      <c r="L992" s="246"/>
      <c r="M992" s="246"/>
      <c r="N992" s="246"/>
      <c r="O992" s="246"/>
      <c r="P992" s="246"/>
      <c r="Q992" s="246"/>
      <c r="R992" s="246">
        <f>IFERROR(VLOOKUP(D992,PROGRAMAS[],2,FALSE),0)</f>
        <v>97037803.679377079</v>
      </c>
      <c r="S992" s="246">
        <f>IFERROR(VLOOKUP(E992,PROGRAMAS[],2,FALSE),0)</f>
        <v>640501509.6821388</v>
      </c>
      <c r="T992" s="246">
        <f>IFERROR(VLOOKUP(F992,PROGRAMAS[],2,FALSE),0)</f>
        <v>3062327798.1525245</v>
      </c>
      <c r="U992" s="246">
        <f>IFERROR(VLOOKUP(G992,PROGRAMAS[],2,FALSE),0)</f>
        <v>6128579952.1618185</v>
      </c>
      <c r="V992" s="246">
        <f>IFERROR(VLOOKUP(H992,PROGRAMAS[],2,FALSE),0)</f>
        <v>764796700.79905891</v>
      </c>
      <c r="W992" s="246">
        <f>IFERROR(VLOOKUP(I992,PROGRAMAS[],2,FALSE),0)</f>
        <v>3776538594.4604583</v>
      </c>
      <c r="X992" s="246">
        <f>IFERROR(VLOOKUP(J992,PROGRAMAS[],2,FALSE),0)</f>
        <v>122159672.96346797</v>
      </c>
      <c r="Y992" s="246">
        <f>IFERROR(VLOOKUP(K992,PROGRAMAS[],2,FALSE),0)</f>
        <v>7068496961.0436354</v>
      </c>
      <c r="Z992" s="246">
        <f>IFERROR(VLOOKUP(L992,PROGRAMAS[],2,FALSE),0)</f>
        <v>0</v>
      </c>
      <c r="AA992" s="246">
        <f>IFERROR(VLOOKUP(M992,PROGRAMAS[],2,FALSE),0)</f>
        <v>0</v>
      </c>
      <c r="AB992" s="246">
        <f>IFERROR(VLOOKUP(N992,PROGRAMAS[],2,FALSE),0)</f>
        <v>0</v>
      </c>
      <c r="AC992" s="246">
        <f>IFERROR(VLOOKUP(O992,PROGRAMAS[],2,FALSE),0)</f>
        <v>0</v>
      </c>
      <c r="AD992" s="246">
        <f>IFERROR(VLOOKUP(P992,PROGRAMAS[],2,FALSE),0)</f>
        <v>0</v>
      </c>
      <c r="AE992" s="246">
        <f>IFERROR(VLOOKUP(Q992,PROGRAMAS[],2,FALSE),0)</f>
        <v>0</v>
      </c>
      <c r="AF992" s="246">
        <f>IFERROR(VLOOKUP(D992,PROGRAMAS[],3,FALSE),0)</f>
        <v>841888629.31080008</v>
      </c>
      <c r="AG992" s="246">
        <f>IFERROR(VLOOKUP(E992,PROGRAMAS[],3,FALSE),0)</f>
        <v>3848980803.1642323</v>
      </c>
      <c r="AH992" s="246">
        <f>IFERROR(VLOOKUP(F992,PROGRAMAS[],3,FALSE),0)</f>
        <v>3394901471.387517</v>
      </c>
      <c r="AI992" s="246">
        <f>IFERROR(VLOOKUP(G992,PROGRAMAS[],3,FALSE),0)</f>
        <v>7011279577.519702</v>
      </c>
      <c r="AJ992" s="246">
        <f>IFERROR(VLOOKUP(H992,PROGRAMAS[],3,FALSE),0)</f>
        <v>675517840.109828</v>
      </c>
      <c r="AK992" s="246">
        <f>IFERROR(VLOOKUP(I992,PROGRAMAS[],3,FALSE),0)</f>
        <v>2392571243.5584412</v>
      </c>
      <c r="AL992" s="246">
        <f>IFERROR(VLOOKUP(J992,PROGRAMAS[],3,FALSE),0)</f>
        <v>118617452.52510804</v>
      </c>
      <c r="AM992" s="246">
        <f>IFERROR(VLOOKUP(K992,PROGRAMAS[],3,FALSE),0)</f>
        <v>2406564599.0319901</v>
      </c>
      <c r="AN992" s="246">
        <f>IFERROR(VLOOKUP(L992,PROGRAMAS[],3,FALSE),0)</f>
        <v>0</v>
      </c>
      <c r="AO992" s="246">
        <f>IFERROR(VLOOKUP(M992,PROGRAMAS[],3,FALSE),0)</f>
        <v>0</v>
      </c>
      <c r="AP992" s="246">
        <f>IFERROR(VLOOKUP(N992,PROGRAMAS[],3,FALSE),0)</f>
        <v>0</v>
      </c>
      <c r="AQ992" s="246">
        <f>IFERROR(VLOOKUP(O992,PROGRAMAS[],3,FALSE),0)</f>
        <v>0</v>
      </c>
      <c r="AR992" s="246">
        <f>IFERROR(VLOOKUP(P992,PROGRAMAS[],3,FALSE),0)</f>
        <v>0</v>
      </c>
      <c r="AS992" s="246">
        <f>IFERROR(VLOOKUP(Q992,PROGRAMAS[],3,FALSE),0)</f>
        <v>0</v>
      </c>
      <c r="AT992" s="246">
        <f>IFERROR(VLOOKUP(D992,VOL_REC[],2,FALSE),0)</f>
        <v>0</v>
      </c>
      <c r="AU992" s="246">
        <f>IFERROR(VLOOKUP(E992,VOL_REC[],2,FALSE),0)</f>
        <v>0</v>
      </c>
      <c r="AV992" s="246">
        <f>IFERROR(VLOOKUP(F992,VOL_REC[],2,FALSE),0)</f>
        <v>11089674.200000001</v>
      </c>
      <c r="AW992" s="246">
        <f>IFERROR(VLOOKUP(G992,VOL_REC[],2,FALSE),0)</f>
        <v>3761786</v>
      </c>
      <c r="AX992" s="246">
        <f>IFERROR(VLOOKUP(H992,VOL_REC[],2,FALSE),0)</f>
        <v>240696.79238099116</v>
      </c>
      <c r="AY992" s="246">
        <f>IFERROR(VLOOKUP(I992,VOL_REC[],2,FALSE),0)</f>
        <v>663244.80000000016</v>
      </c>
      <c r="AZ992" s="246">
        <f>IFERROR(VLOOKUP(J992,VOL_REC[],2,FALSE),0)</f>
        <v>105072</v>
      </c>
      <c r="BA992" s="246">
        <f>IFERROR(VLOOKUP(K992,VOL_REC[],2,FALSE),0)</f>
        <v>1072354.9981737854</v>
      </c>
      <c r="BB992" s="246">
        <f>IFERROR(VLOOKUP(L992,VOL_REC[],2,FALSE),0)</f>
        <v>0</v>
      </c>
      <c r="BC992" s="246">
        <f>IFERROR(VLOOKUP(M992,VOL_REC[],2,FALSE),0)</f>
        <v>0</v>
      </c>
      <c r="BD992" s="246">
        <f>IFERROR(VLOOKUP(N992,VOL_REC[],2,FALSE),0)</f>
        <v>0</v>
      </c>
      <c r="BE992" s="246">
        <f>IFERROR(VLOOKUP(O992,VOL_REC[],2,FALSE),0)</f>
        <v>0</v>
      </c>
      <c r="BF992" s="246">
        <f>IFERROR(VLOOKUP(P992,VOL_REC[],2,FALSE),0)</f>
        <v>0</v>
      </c>
      <c r="BG992" s="246">
        <f>IFERROR(VLOOKUP(Q992,VOL_REC[],2,FALSE),0)</f>
        <v>0</v>
      </c>
      <c r="BH992" s="1710">
        <f t="shared" si="60"/>
        <v>21660438992.942482</v>
      </c>
      <c r="BI992" s="1710">
        <f t="shared" si="61"/>
        <v>20690321616.60762</v>
      </c>
      <c r="BJ992" s="1711">
        <f t="shared" si="62"/>
        <v>16932828.790554777</v>
      </c>
      <c r="BK992" s="1711">
        <f t="shared" si="63"/>
        <v>1.0468874962077037</v>
      </c>
      <c r="BL992">
        <f>BJ992</f>
        <v>16932828.790554777</v>
      </c>
      <c r="BO992">
        <f>BL992</f>
        <v>16932828.790554777</v>
      </c>
    </row>
    <row r="993" spans="3:67" x14ac:dyDescent="0.25">
      <c r="C993" s="246" t="s">
        <v>2343</v>
      </c>
      <c r="D993" s="246">
        <v>1</v>
      </c>
      <c r="E993" s="246">
        <v>2</v>
      </c>
      <c r="F993" s="246">
        <v>3</v>
      </c>
      <c r="G993" s="246">
        <v>9</v>
      </c>
      <c r="H993" s="246">
        <v>12</v>
      </c>
      <c r="I993" s="246">
        <v>13</v>
      </c>
      <c r="J993" s="246">
        <v>15</v>
      </c>
      <c r="K993" s="246">
        <v>17</v>
      </c>
      <c r="L993" s="246"/>
      <c r="M993" s="246"/>
      <c r="N993" s="246"/>
      <c r="O993" s="246"/>
      <c r="P993" s="246"/>
      <c r="Q993" s="246"/>
      <c r="R993" s="246">
        <f>IFERROR(VLOOKUP(D993,PROGRAMAS[],2,FALSE),0)</f>
        <v>97037803.679377079</v>
      </c>
      <c r="S993" s="246">
        <f>IFERROR(VLOOKUP(E993,PROGRAMAS[],2,FALSE),0)</f>
        <v>640501509.6821388</v>
      </c>
      <c r="T993" s="246">
        <f>IFERROR(VLOOKUP(F993,PROGRAMAS[],2,FALSE),0)</f>
        <v>3062327798.1525245</v>
      </c>
      <c r="U993" s="246">
        <f>IFERROR(VLOOKUP(G993,PROGRAMAS[],2,FALSE),0)</f>
        <v>6128579952.1618185</v>
      </c>
      <c r="V993" s="246">
        <f>IFERROR(VLOOKUP(H993,PROGRAMAS[],2,FALSE),0)</f>
        <v>764796700.79905891</v>
      </c>
      <c r="W993" s="246">
        <f>IFERROR(VLOOKUP(I993,PROGRAMAS[],2,FALSE),0)</f>
        <v>3776538594.4604583</v>
      </c>
      <c r="X993" s="246">
        <f>IFERROR(VLOOKUP(J993,PROGRAMAS[],2,FALSE),0)</f>
        <v>122159672.96346797</v>
      </c>
      <c r="Y993" s="246">
        <f>IFERROR(VLOOKUP(K993,PROGRAMAS[],2,FALSE),0)</f>
        <v>1892779498.5211046</v>
      </c>
      <c r="Z993" s="246">
        <f>IFERROR(VLOOKUP(L993,PROGRAMAS[],2,FALSE),0)</f>
        <v>0</v>
      </c>
      <c r="AA993" s="246">
        <f>IFERROR(VLOOKUP(M993,PROGRAMAS[],2,FALSE),0)</f>
        <v>0</v>
      </c>
      <c r="AB993" s="246">
        <f>IFERROR(VLOOKUP(N993,PROGRAMAS[],2,FALSE),0)</f>
        <v>0</v>
      </c>
      <c r="AC993" s="246">
        <f>IFERROR(VLOOKUP(O993,PROGRAMAS[],2,FALSE),0)</f>
        <v>0</v>
      </c>
      <c r="AD993" s="246">
        <f>IFERROR(VLOOKUP(P993,PROGRAMAS[],2,FALSE),0)</f>
        <v>0</v>
      </c>
      <c r="AE993" s="246">
        <f>IFERROR(VLOOKUP(Q993,PROGRAMAS[],2,FALSE),0)</f>
        <v>0</v>
      </c>
      <c r="AF993" s="246">
        <f>IFERROR(VLOOKUP(D993,PROGRAMAS[],3,FALSE),0)</f>
        <v>841888629.31080008</v>
      </c>
      <c r="AG993" s="246">
        <f>IFERROR(VLOOKUP(E993,PROGRAMAS[],3,FALSE),0)</f>
        <v>3848980803.1642323</v>
      </c>
      <c r="AH993" s="246">
        <f>IFERROR(VLOOKUP(F993,PROGRAMAS[],3,FALSE),0)</f>
        <v>3394901471.387517</v>
      </c>
      <c r="AI993" s="246">
        <f>IFERROR(VLOOKUP(G993,PROGRAMAS[],3,FALSE),0)</f>
        <v>7011279577.519702</v>
      </c>
      <c r="AJ993" s="246">
        <f>IFERROR(VLOOKUP(H993,PROGRAMAS[],3,FALSE),0)</f>
        <v>675517840.109828</v>
      </c>
      <c r="AK993" s="246">
        <f>IFERROR(VLOOKUP(I993,PROGRAMAS[],3,FALSE),0)</f>
        <v>2392571243.5584412</v>
      </c>
      <c r="AL993" s="246">
        <f>IFERROR(VLOOKUP(J993,PROGRAMAS[],3,FALSE),0)</f>
        <v>118617452.52510804</v>
      </c>
      <c r="AM993" s="246">
        <f>IFERROR(VLOOKUP(K993,PROGRAMAS[],3,FALSE),0)</f>
        <v>948595847.09039903</v>
      </c>
      <c r="AN993" s="246">
        <f>IFERROR(VLOOKUP(L993,PROGRAMAS[],3,FALSE),0)</f>
        <v>0</v>
      </c>
      <c r="AO993" s="246">
        <f>IFERROR(VLOOKUP(M993,PROGRAMAS[],3,FALSE),0)</f>
        <v>0</v>
      </c>
      <c r="AP993" s="246">
        <f>IFERROR(VLOOKUP(N993,PROGRAMAS[],3,FALSE),0)</f>
        <v>0</v>
      </c>
      <c r="AQ993" s="246">
        <f>IFERROR(VLOOKUP(O993,PROGRAMAS[],3,FALSE),0)</f>
        <v>0</v>
      </c>
      <c r="AR993" s="246">
        <f>IFERROR(VLOOKUP(P993,PROGRAMAS[],3,FALSE),0)</f>
        <v>0</v>
      </c>
      <c r="AS993" s="246">
        <f>IFERROR(VLOOKUP(Q993,PROGRAMAS[],3,FALSE),0)</f>
        <v>0</v>
      </c>
      <c r="AT993" s="246">
        <f>IFERROR(VLOOKUP(D993,VOL_REC[],2,FALSE),0)</f>
        <v>0</v>
      </c>
      <c r="AU993" s="246">
        <f>IFERROR(VLOOKUP(E993,VOL_REC[],2,FALSE),0)</f>
        <v>0</v>
      </c>
      <c r="AV993" s="246">
        <f>IFERROR(VLOOKUP(F993,VOL_REC[],2,FALSE),0)</f>
        <v>11089674.200000001</v>
      </c>
      <c r="AW993" s="246">
        <f>IFERROR(VLOOKUP(G993,VOL_REC[],2,FALSE),0)</f>
        <v>3761786</v>
      </c>
      <c r="AX993" s="246">
        <f>IFERROR(VLOOKUP(H993,VOL_REC[],2,FALSE),0)</f>
        <v>240696.79238099116</v>
      </c>
      <c r="AY993" s="246">
        <f>IFERROR(VLOOKUP(I993,VOL_REC[],2,FALSE),0)</f>
        <v>663244.80000000016</v>
      </c>
      <c r="AZ993" s="246">
        <f>IFERROR(VLOOKUP(J993,VOL_REC[],2,FALSE),0)</f>
        <v>105072</v>
      </c>
      <c r="BA993" s="246">
        <f>IFERROR(VLOOKUP(K993,VOL_REC[],2,FALSE),0)</f>
        <v>740113.98115702497</v>
      </c>
      <c r="BB993" s="246">
        <f>IFERROR(VLOOKUP(L993,VOL_REC[],2,FALSE),0)</f>
        <v>0</v>
      </c>
      <c r="BC993" s="246">
        <f>IFERROR(VLOOKUP(M993,VOL_REC[],2,FALSE),0)</f>
        <v>0</v>
      </c>
      <c r="BD993" s="246">
        <f>IFERROR(VLOOKUP(N993,VOL_REC[],2,FALSE),0)</f>
        <v>0</v>
      </c>
      <c r="BE993" s="246">
        <f>IFERROR(VLOOKUP(O993,VOL_REC[],2,FALSE),0)</f>
        <v>0</v>
      </c>
      <c r="BF993" s="246">
        <f>IFERROR(VLOOKUP(P993,VOL_REC[],2,FALSE),0)</f>
        <v>0</v>
      </c>
      <c r="BG993" s="246">
        <f>IFERROR(VLOOKUP(Q993,VOL_REC[],2,FALSE),0)</f>
        <v>0</v>
      </c>
      <c r="BH993" s="1710">
        <f t="shared" si="60"/>
        <v>16484721530.41995</v>
      </c>
      <c r="BI993" s="1710">
        <f t="shared" si="61"/>
        <v>19232352864.666031</v>
      </c>
      <c r="BJ993" s="1711">
        <f t="shared" si="62"/>
        <v>16600587.773538018</v>
      </c>
      <c r="BK993" s="1711">
        <f t="shared" si="63"/>
        <v>0.85713493540906949</v>
      </c>
    </row>
    <row r="994" spans="3:67" x14ac:dyDescent="0.25">
      <c r="C994" s="246" t="s">
        <v>2344</v>
      </c>
      <c r="D994" s="246">
        <v>1</v>
      </c>
      <c r="E994" s="246">
        <v>2</v>
      </c>
      <c r="F994" s="246">
        <v>3</v>
      </c>
      <c r="G994" s="246">
        <v>9</v>
      </c>
      <c r="H994" s="246">
        <v>12</v>
      </c>
      <c r="I994" s="246">
        <v>13</v>
      </c>
      <c r="J994" s="246">
        <v>16</v>
      </c>
      <c r="K994" s="246">
        <v>17</v>
      </c>
      <c r="L994" s="246"/>
      <c r="M994" s="246"/>
      <c r="N994" s="246"/>
      <c r="O994" s="246"/>
      <c r="P994" s="246"/>
      <c r="Q994" s="246"/>
      <c r="R994" s="246">
        <f>IFERROR(VLOOKUP(D994,PROGRAMAS[],2,FALSE),0)</f>
        <v>97037803.679377079</v>
      </c>
      <c r="S994" s="246">
        <f>IFERROR(VLOOKUP(E994,PROGRAMAS[],2,FALSE),0)</f>
        <v>640501509.6821388</v>
      </c>
      <c r="T994" s="246">
        <f>IFERROR(VLOOKUP(F994,PROGRAMAS[],2,FALSE),0)</f>
        <v>3062327798.1525245</v>
      </c>
      <c r="U994" s="246">
        <f>IFERROR(VLOOKUP(G994,PROGRAMAS[],2,FALSE),0)</f>
        <v>6128579952.1618185</v>
      </c>
      <c r="V994" s="246">
        <f>IFERROR(VLOOKUP(H994,PROGRAMAS[],2,FALSE),0)</f>
        <v>764796700.79905891</v>
      </c>
      <c r="W994" s="246">
        <f>IFERROR(VLOOKUP(I994,PROGRAMAS[],2,FALSE),0)</f>
        <v>3776538594.4604583</v>
      </c>
      <c r="X994" s="246">
        <f>IFERROR(VLOOKUP(J994,PROGRAMAS[],2,FALSE),0)</f>
        <v>7068496961.0436354</v>
      </c>
      <c r="Y994" s="246">
        <f>IFERROR(VLOOKUP(K994,PROGRAMAS[],2,FALSE),0)</f>
        <v>1892779498.5211046</v>
      </c>
      <c r="Z994" s="246">
        <f>IFERROR(VLOOKUP(L994,PROGRAMAS[],2,FALSE),0)</f>
        <v>0</v>
      </c>
      <c r="AA994" s="246">
        <f>IFERROR(VLOOKUP(M994,PROGRAMAS[],2,FALSE),0)</f>
        <v>0</v>
      </c>
      <c r="AB994" s="246">
        <f>IFERROR(VLOOKUP(N994,PROGRAMAS[],2,FALSE),0)</f>
        <v>0</v>
      </c>
      <c r="AC994" s="246">
        <f>IFERROR(VLOOKUP(O994,PROGRAMAS[],2,FALSE),0)</f>
        <v>0</v>
      </c>
      <c r="AD994" s="246">
        <f>IFERROR(VLOOKUP(P994,PROGRAMAS[],2,FALSE),0)</f>
        <v>0</v>
      </c>
      <c r="AE994" s="246">
        <f>IFERROR(VLOOKUP(Q994,PROGRAMAS[],2,FALSE),0)</f>
        <v>0</v>
      </c>
      <c r="AF994" s="246">
        <f>IFERROR(VLOOKUP(D994,PROGRAMAS[],3,FALSE),0)</f>
        <v>841888629.31080008</v>
      </c>
      <c r="AG994" s="246">
        <f>IFERROR(VLOOKUP(E994,PROGRAMAS[],3,FALSE),0)</f>
        <v>3848980803.1642323</v>
      </c>
      <c r="AH994" s="246">
        <f>IFERROR(VLOOKUP(F994,PROGRAMAS[],3,FALSE),0)</f>
        <v>3394901471.387517</v>
      </c>
      <c r="AI994" s="246">
        <f>IFERROR(VLOOKUP(G994,PROGRAMAS[],3,FALSE),0)</f>
        <v>7011279577.519702</v>
      </c>
      <c r="AJ994" s="246">
        <f>IFERROR(VLOOKUP(H994,PROGRAMAS[],3,FALSE),0)</f>
        <v>675517840.109828</v>
      </c>
      <c r="AK994" s="246">
        <f>IFERROR(VLOOKUP(I994,PROGRAMAS[],3,FALSE),0)</f>
        <v>2392571243.5584412</v>
      </c>
      <c r="AL994" s="246">
        <f>IFERROR(VLOOKUP(J994,PROGRAMAS[],3,FALSE),0)</f>
        <v>2406564599.0319901</v>
      </c>
      <c r="AM994" s="246">
        <f>IFERROR(VLOOKUP(K994,PROGRAMAS[],3,FALSE),0)</f>
        <v>948595847.09039903</v>
      </c>
      <c r="AN994" s="246">
        <f>IFERROR(VLOOKUP(L994,PROGRAMAS[],3,FALSE),0)</f>
        <v>0</v>
      </c>
      <c r="AO994" s="246">
        <f>IFERROR(VLOOKUP(M994,PROGRAMAS[],3,FALSE),0)</f>
        <v>0</v>
      </c>
      <c r="AP994" s="246">
        <f>IFERROR(VLOOKUP(N994,PROGRAMAS[],3,FALSE),0)</f>
        <v>0</v>
      </c>
      <c r="AQ994" s="246">
        <f>IFERROR(VLOOKUP(O994,PROGRAMAS[],3,FALSE),0)</f>
        <v>0</v>
      </c>
      <c r="AR994" s="246">
        <f>IFERROR(VLOOKUP(P994,PROGRAMAS[],3,FALSE),0)</f>
        <v>0</v>
      </c>
      <c r="AS994" s="246">
        <f>IFERROR(VLOOKUP(Q994,PROGRAMAS[],3,FALSE),0)</f>
        <v>0</v>
      </c>
      <c r="AT994" s="246">
        <f>IFERROR(VLOOKUP(D994,VOL_REC[],2,FALSE),0)</f>
        <v>0</v>
      </c>
      <c r="AU994" s="246">
        <f>IFERROR(VLOOKUP(E994,VOL_REC[],2,FALSE),0)</f>
        <v>0</v>
      </c>
      <c r="AV994" s="246">
        <f>IFERROR(VLOOKUP(F994,VOL_REC[],2,FALSE),0)</f>
        <v>11089674.200000001</v>
      </c>
      <c r="AW994" s="246">
        <f>IFERROR(VLOOKUP(G994,VOL_REC[],2,FALSE),0)</f>
        <v>3761786</v>
      </c>
      <c r="AX994" s="246">
        <f>IFERROR(VLOOKUP(H994,VOL_REC[],2,FALSE),0)</f>
        <v>240696.79238099116</v>
      </c>
      <c r="AY994" s="246">
        <f>IFERROR(VLOOKUP(I994,VOL_REC[],2,FALSE),0)</f>
        <v>663244.80000000016</v>
      </c>
      <c r="AZ994" s="246">
        <f>IFERROR(VLOOKUP(J994,VOL_REC[],2,FALSE),0)</f>
        <v>1072354.9981737854</v>
      </c>
      <c r="BA994" s="246">
        <f>IFERROR(VLOOKUP(K994,VOL_REC[],2,FALSE),0)</f>
        <v>740113.98115702497</v>
      </c>
      <c r="BB994" s="246">
        <f>IFERROR(VLOOKUP(L994,VOL_REC[],2,FALSE),0)</f>
        <v>0</v>
      </c>
      <c r="BC994" s="246">
        <f>IFERROR(VLOOKUP(M994,VOL_REC[],2,FALSE),0)</f>
        <v>0</v>
      </c>
      <c r="BD994" s="246">
        <f>IFERROR(VLOOKUP(N994,VOL_REC[],2,FALSE),0)</f>
        <v>0</v>
      </c>
      <c r="BE994" s="246">
        <f>IFERROR(VLOOKUP(O994,VOL_REC[],2,FALSE),0)</f>
        <v>0</v>
      </c>
      <c r="BF994" s="246">
        <f>IFERROR(VLOOKUP(P994,VOL_REC[],2,FALSE),0)</f>
        <v>0</v>
      </c>
      <c r="BG994" s="246">
        <f>IFERROR(VLOOKUP(Q994,VOL_REC[],2,FALSE),0)</f>
        <v>0</v>
      </c>
      <c r="BH994" s="1710">
        <f t="shared" si="60"/>
        <v>23431058818.500114</v>
      </c>
      <c r="BI994" s="1710">
        <f t="shared" si="61"/>
        <v>21520300011.172913</v>
      </c>
      <c r="BJ994" s="1711">
        <f t="shared" si="62"/>
        <v>17567870.7717118</v>
      </c>
      <c r="BK994" s="1711">
        <f t="shared" si="63"/>
        <v>1.0887886695973186</v>
      </c>
      <c r="BL994">
        <f>BJ994</f>
        <v>17567870.7717118</v>
      </c>
      <c r="BO994">
        <f>BL994</f>
        <v>17567870.7717118</v>
      </c>
    </row>
    <row r="995" spans="3:67" x14ac:dyDescent="0.25">
      <c r="C995" s="246" t="s">
        <v>2345</v>
      </c>
      <c r="D995" s="246">
        <v>1</v>
      </c>
      <c r="E995" s="246">
        <v>2</v>
      </c>
      <c r="F995" s="246">
        <v>3</v>
      </c>
      <c r="G995" s="246">
        <v>9</v>
      </c>
      <c r="H995" s="246">
        <v>12</v>
      </c>
      <c r="I995" s="246">
        <v>14</v>
      </c>
      <c r="J995" s="246">
        <v>15</v>
      </c>
      <c r="K995" s="246">
        <v>16</v>
      </c>
      <c r="L995" s="246"/>
      <c r="M995" s="246"/>
      <c r="N995" s="246"/>
      <c r="O995" s="246"/>
      <c r="P995" s="246"/>
      <c r="Q995" s="246"/>
      <c r="R995" s="246">
        <f>IFERROR(VLOOKUP(D995,PROGRAMAS[],2,FALSE),0)</f>
        <v>97037803.679377079</v>
      </c>
      <c r="S995" s="246">
        <f>IFERROR(VLOOKUP(E995,PROGRAMAS[],2,FALSE),0)</f>
        <v>640501509.6821388</v>
      </c>
      <c r="T995" s="246">
        <f>IFERROR(VLOOKUP(F995,PROGRAMAS[],2,FALSE),0)</f>
        <v>3062327798.1525245</v>
      </c>
      <c r="U995" s="246">
        <f>IFERROR(VLOOKUP(G995,PROGRAMAS[],2,FALSE),0)</f>
        <v>6128579952.1618185</v>
      </c>
      <c r="V995" s="246">
        <f>IFERROR(VLOOKUP(H995,PROGRAMAS[],2,FALSE),0)</f>
        <v>764796700.79905891</v>
      </c>
      <c r="W995" s="246">
        <f>IFERROR(VLOOKUP(I995,PROGRAMAS[],2,FALSE),0)</f>
        <v>54223862.645839565</v>
      </c>
      <c r="X995" s="246">
        <f>IFERROR(VLOOKUP(J995,PROGRAMAS[],2,FALSE),0)</f>
        <v>122159672.96346797</v>
      </c>
      <c r="Y995" s="246">
        <f>IFERROR(VLOOKUP(K995,PROGRAMAS[],2,FALSE),0)</f>
        <v>7068496961.0436354</v>
      </c>
      <c r="Z995" s="246">
        <f>IFERROR(VLOOKUP(L995,PROGRAMAS[],2,FALSE),0)</f>
        <v>0</v>
      </c>
      <c r="AA995" s="246">
        <f>IFERROR(VLOOKUP(M995,PROGRAMAS[],2,FALSE),0)</f>
        <v>0</v>
      </c>
      <c r="AB995" s="246">
        <f>IFERROR(VLOOKUP(N995,PROGRAMAS[],2,FALSE),0)</f>
        <v>0</v>
      </c>
      <c r="AC995" s="246">
        <f>IFERROR(VLOOKUP(O995,PROGRAMAS[],2,FALSE),0)</f>
        <v>0</v>
      </c>
      <c r="AD995" s="246">
        <f>IFERROR(VLOOKUP(P995,PROGRAMAS[],2,FALSE),0)</f>
        <v>0</v>
      </c>
      <c r="AE995" s="246">
        <f>IFERROR(VLOOKUP(Q995,PROGRAMAS[],2,FALSE),0)</f>
        <v>0</v>
      </c>
      <c r="AF995" s="246">
        <f>IFERROR(VLOOKUP(D995,PROGRAMAS[],3,FALSE),0)</f>
        <v>841888629.31080008</v>
      </c>
      <c r="AG995" s="246">
        <f>IFERROR(VLOOKUP(E995,PROGRAMAS[],3,FALSE),0)</f>
        <v>3848980803.1642323</v>
      </c>
      <c r="AH995" s="246">
        <f>IFERROR(VLOOKUP(F995,PROGRAMAS[],3,FALSE),0)</f>
        <v>3394901471.387517</v>
      </c>
      <c r="AI995" s="246">
        <f>IFERROR(VLOOKUP(G995,PROGRAMAS[],3,FALSE),0)</f>
        <v>7011279577.519702</v>
      </c>
      <c r="AJ995" s="246">
        <f>IFERROR(VLOOKUP(H995,PROGRAMAS[],3,FALSE),0)</f>
        <v>675517840.109828</v>
      </c>
      <c r="AK995" s="246">
        <f>IFERROR(VLOOKUP(I995,PROGRAMAS[],3,FALSE),0)</f>
        <v>31865326.38096505</v>
      </c>
      <c r="AL995" s="246">
        <f>IFERROR(VLOOKUP(J995,PROGRAMAS[],3,FALSE),0)</f>
        <v>118617452.52510804</v>
      </c>
      <c r="AM995" s="246">
        <f>IFERROR(VLOOKUP(K995,PROGRAMAS[],3,FALSE),0)</f>
        <v>2406564599.0319901</v>
      </c>
      <c r="AN995" s="246">
        <f>IFERROR(VLOOKUP(L995,PROGRAMAS[],3,FALSE),0)</f>
        <v>0</v>
      </c>
      <c r="AO995" s="246">
        <f>IFERROR(VLOOKUP(M995,PROGRAMAS[],3,FALSE),0)</f>
        <v>0</v>
      </c>
      <c r="AP995" s="246">
        <f>IFERROR(VLOOKUP(N995,PROGRAMAS[],3,FALSE),0)</f>
        <v>0</v>
      </c>
      <c r="AQ995" s="246">
        <f>IFERROR(VLOOKUP(O995,PROGRAMAS[],3,FALSE),0)</f>
        <v>0</v>
      </c>
      <c r="AR995" s="246">
        <f>IFERROR(VLOOKUP(P995,PROGRAMAS[],3,FALSE),0)</f>
        <v>0</v>
      </c>
      <c r="AS995" s="246">
        <f>IFERROR(VLOOKUP(Q995,PROGRAMAS[],3,FALSE),0)</f>
        <v>0</v>
      </c>
      <c r="AT995" s="246">
        <f>IFERROR(VLOOKUP(D995,VOL_REC[],2,FALSE),0)</f>
        <v>0</v>
      </c>
      <c r="AU995" s="246">
        <f>IFERROR(VLOOKUP(E995,VOL_REC[],2,FALSE),0)</f>
        <v>0</v>
      </c>
      <c r="AV995" s="246">
        <f>IFERROR(VLOOKUP(F995,VOL_REC[],2,FALSE),0)</f>
        <v>11089674.200000001</v>
      </c>
      <c r="AW995" s="246">
        <f>IFERROR(VLOOKUP(G995,VOL_REC[],2,FALSE),0)</f>
        <v>3761786</v>
      </c>
      <c r="AX995" s="246">
        <f>IFERROR(VLOOKUP(H995,VOL_REC[],2,FALSE),0)</f>
        <v>240696.79238099116</v>
      </c>
      <c r="AY995" s="246">
        <f>IFERROR(VLOOKUP(I995,VOL_REC[],2,FALSE),0)</f>
        <v>17074.045034105649</v>
      </c>
      <c r="AZ995" s="246">
        <f>IFERROR(VLOOKUP(J995,VOL_REC[],2,FALSE),0)</f>
        <v>105072</v>
      </c>
      <c r="BA995" s="246">
        <f>IFERROR(VLOOKUP(K995,VOL_REC[],2,FALSE),0)</f>
        <v>1072354.9981737854</v>
      </c>
      <c r="BB995" s="246">
        <f>IFERROR(VLOOKUP(L995,VOL_REC[],2,FALSE),0)</f>
        <v>0</v>
      </c>
      <c r="BC995" s="246">
        <f>IFERROR(VLOOKUP(M995,VOL_REC[],2,FALSE),0)</f>
        <v>0</v>
      </c>
      <c r="BD995" s="246">
        <f>IFERROR(VLOOKUP(N995,VOL_REC[],2,FALSE),0)</f>
        <v>0</v>
      </c>
      <c r="BE995" s="246">
        <f>IFERROR(VLOOKUP(O995,VOL_REC[],2,FALSE),0)</f>
        <v>0</v>
      </c>
      <c r="BF995" s="246">
        <f>IFERROR(VLOOKUP(P995,VOL_REC[],2,FALSE),0)</f>
        <v>0</v>
      </c>
      <c r="BG995" s="246">
        <f>IFERROR(VLOOKUP(Q995,VOL_REC[],2,FALSE),0)</f>
        <v>0</v>
      </c>
      <c r="BH995" s="1710">
        <f t="shared" si="60"/>
        <v>17938124261.127861</v>
      </c>
      <c r="BI995" s="1710">
        <f t="shared" si="61"/>
        <v>18329615699.430145</v>
      </c>
      <c r="BJ995" s="1711">
        <f t="shared" si="62"/>
        <v>16286658.035588883</v>
      </c>
      <c r="BK995" s="1711">
        <f t="shared" si="63"/>
        <v>0.97864159048820343</v>
      </c>
    </row>
    <row r="996" spans="3:67" x14ac:dyDescent="0.25">
      <c r="C996" s="246" t="s">
        <v>2346</v>
      </c>
      <c r="D996" s="246">
        <v>1</v>
      </c>
      <c r="E996" s="246">
        <v>2</v>
      </c>
      <c r="F996" s="246">
        <v>3</v>
      </c>
      <c r="G996" s="246">
        <v>9</v>
      </c>
      <c r="H996" s="246">
        <v>12</v>
      </c>
      <c r="I996" s="246">
        <v>14</v>
      </c>
      <c r="J996" s="246">
        <v>15</v>
      </c>
      <c r="K996" s="246">
        <v>17</v>
      </c>
      <c r="L996" s="246"/>
      <c r="M996" s="246"/>
      <c r="N996" s="246"/>
      <c r="O996" s="246"/>
      <c r="P996" s="246"/>
      <c r="Q996" s="246"/>
      <c r="R996" s="246">
        <f>IFERROR(VLOOKUP(D996,PROGRAMAS[],2,FALSE),0)</f>
        <v>97037803.679377079</v>
      </c>
      <c r="S996" s="246">
        <f>IFERROR(VLOOKUP(E996,PROGRAMAS[],2,FALSE),0)</f>
        <v>640501509.6821388</v>
      </c>
      <c r="T996" s="246">
        <f>IFERROR(VLOOKUP(F996,PROGRAMAS[],2,FALSE),0)</f>
        <v>3062327798.1525245</v>
      </c>
      <c r="U996" s="246">
        <f>IFERROR(VLOOKUP(G996,PROGRAMAS[],2,FALSE),0)</f>
        <v>6128579952.1618185</v>
      </c>
      <c r="V996" s="246">
        <f>IFERROR(VLOOKUP(H996,PROGRAMAS[],2,FALSE),0)</f>
        <v>764796700.79905891</v>
      </c>
      <c r="W996" s="246">
        <f>IFERROR(VLOOKUP(I996,PROGRAMAS[],2,FALSE),0)</f>
        <v>54223862.645839565</v>
      </c>
      <c r="X996" s="246">
        <f>IFERROR(VLOOKUP(J996,PROGRAMAS[],2,FALSE),0)</f>
        <v>122159672.96346797</v>
      </c>
      <c r="Y996" s="246">
        <f>IFERROR(VLOOKUP(K996,PROGRAMAS[],2,FALSE),0)</f>
        <v>1892779498.5211046</v>
      </c>
      <c r="Z996" s="246">
        <f>IFERROR(VLOOKUP(L996,PROGRAMAS[],2,FALSE),0)</f>
        <v>0</v>
      </c>
      <c r="AA996" s="246">
        <f>IFERROR(VLOOKUP(M996,PROGRAMAS[],2,FALSE),0)</f>
        <v>0</v>
      </c>
      <c r="AB996" s="246">
        <f>IFERROR(VLOOKUP(N996,PROGRAMAS[],2,FALSE),0)</f>
        <v>0</v>
      </c>
      <c r="AC996" s="246">
        <f>IFERROR(VLOOKUP(O996,PROGRAMAS[],2,FALSE),0)</f>
        <v>0</v>
      </c>
      <c r="AD996" s="246">
        <f>IFERROR(VLOOKUP(P996,PROGRAMAS[],2,FALSE),0)</f>
        <v>0</v>
      </c>
      <c r="AE996" s="246">
        <f>IFERROR(VLOOKUP(Q996,PROGRAMAS[],2,FALSE),0)</f>
        <v>0</v>
      </c>
      <c r="AF996" s="246">
        <f>IFERROR(VLOOKUP(D996,PROGRAMAS[],3,FALSE),0)</f>
        <v>841888629.31080008</v>
      </c>
      <c r="AG996" s="246">
        <f>IFERROR(VLOOKUP(E996,PROGRAMAS[],3,FALSE),0)</f>
        <v>3848980803.1642323</v>
      </c>
      <c r="AH996" s="246">
        <f>IFERROR(VLOOKUP(F996,PROGRAMAS[],3,FALSE),0)</f>
        <v>3394901471.387517</v>
      </c>
      <c r="AI996" s="246">
        <f>IFERROR(VLOOKUP(G996,PROGRAMAS[],3,FALSE),0)</f>
        <v>7011279577.519702</v>
      </c>
      <c r="AJ996" s="246">
        <f>IFERROR(VLOOKUP(H996,PROGRAMAS[],3,FALSE),0)</f>
        <v>675517840.109828</v>
      </c>
      <c r="AK996" s="246">
        <f>IFERROR(VLOOKUP(I996,PROGRAMAS[],3,FALSE),0)</f>
        <v>31865326.38096505</v>
      </c>
      <c r="AL996" s="246">
        <f>IFERROR(VLOOKUP(J996,PROGRAMAS[],3,FALSE),0)</f>
        <v>118617452.52510804</v>
      </c>
      <c r="AM996" s="246">
        <f>IFERROR(VLOOKUP(K996,PROGRAMAS[],3,FALSE),0)</f>
        <v>948595847.09039903</v>
      </c>
      <c r="AN996" s="246">
        <f>IFERROR(VLOOKUP(L996,PROGRAMAS[],3,FALSE),0)</f>
        <v>0</v>
      </c>
      <c r="AO996" s="246">
        <f>IFERROR(VLOOKUP(M996,PROGRAMAS[],3,FALSE),0)</f>
        <v>0</v>
      </c>
      <c r="AP996" s="246">
        <f>IFERROR(VLOOKUP(N996,PROGRAMAS[],3,FALSE),0)</f>
        <v>0</v>
      </c>
      <c r="AQ996" s="246">
        <f>IFERROR(VLOOKUP(O996,PROGRAMAS[],3,FALSE),0)</f>
        <v>0</v>
      </c>
      <c r="AR996" s="246">
        <f>IFERROR(VLOOKUP(P996,PROGRAMAS[],3,FALSE),0)</f>
        <v>0</v>
      </c>
      <c r="AS996" s="246">
        <f>IFERROR(VLOOKUP(Q996,PROGRAMAS[],3,FALSE),0)</f>
        <v>0</v>
      </c>
      <c r="AT996" s="246">
        <f>IFERROR(VLOOKUP(D996,VOL_REC[],2,FALSE),0)</f>
        <v>0</v>
      </c>
      <c r="AU996" s="246">
        <f>IFERROR(VLOOKUP(E996,VOL_REC[],2,FALSE),0)</f>
        <v>0</v>
      </c>
      <c r="AV996" s="246">
        <f>IFERROR(VLOOKUP(F996,VOL_REC[],2,FALSE),0)</f>
        <v>11089674.200000001</v>
      </c>
      <c r="AW996" s="246">
        <f>IFERROR(VLOOKUP(G996,VOL_REC[],2,FALSE),0)</f>
        <v>3761786</v>
      </c>
      <c r="AX996" s="246">
        <f>IFERROR(VLOOKUP(H996,VOL_REC[],2,FALSE),0)</f>
        <v>240696.79238099116</v>
      </c>
      <c r="AY996" s="246">
        <f>IFERROR(VLOOKUP(I996,VOL_REC[],2,FALSE),0)</f>
        <v>17074.045034105649</v>
      </c>
      <c r="AZ996" s="246">
        <f>IFERROR(VLOOKUP(J996,VOL_REC[],2,FALSE),0)</f>
        <v>105072</v>
      </c>
      <c r="BA996" s="246">
        <f>IFERROR(VLOOKUP(K996,VOL_REC[],2,FALSE),0)</f>
        <v>740113.98115702497</v>
      </c>
      <c r="BB996" s="246">
        <f>IFERROR(VLOOKUP(L996,VOL_REC[],2,FALSE),0)</f>
        <v>0</v>
      </c>
      <c r="BC996" s="246">
        <f>IFERROR(VLOOKUP(M996,VOL_REC[],2,FALSE),0)</f>
        <v>0</v>
      </c>
      <c r="BD996" s="246">
        <f>IFERROR(VLOOKUP(N996,VOL_REC[],2,FALSE),0)</f>
        <v>0</v>
      </c>
      <c r="BE996" s="246">
        <f>IFERROR(VLOOKUP(O996,VOL_REC[],2,FALSE),0)</f>
        <v>0</v>
      </c>
      <c r="BF996" s="246">
        <f>IFERROR(VLOOKUP(P996,VOL_REC[],2,FALSE),0)</f>
        <v>0</v>
      </c>
      <c r="BG996" s="246">
        <f>IFERROR(VLOOKUP(Q996,VOL_REC[],2,FALSE),0)</f>
        <v>0</v>
      </c>
      <c r="BH996" s="1710">
        <f t="shared" si="60"/>
        <v>12762406798.605331</v>
      </c>
      <c r="BI996" s="1710">
        <f t="shared" si="61"/>
        <v>16871646947.488552</v>
      </c>
      <c r="BJ996" s="1711">
        <f t="shared" si="62"/>
        <v>15954417.018572122</v>
      </c>
      <c r="BK996" s="1711">
        <f t="shared" si="63"/>
        <v>0.75644107764506618</v>
      </c>
    </row>
    <row r="997" spans="3:67" x14ac:dyDescent="0.25">
      <c r="C997" s="246" t="s">
        <v>2347</v>
      </c>
      <c r="D997" s="246">
        <v>1</v>
      </c>
      <c r="E997" s="246">
        <v>2</v>
      </c>
      <c r="F997" s="246">
        <v>3</v>
      </c>
      <c r="G997" s="246">
        <v>9</v>
      </c>
      <c r="H997" s="246">
        <v>12</v>
      </c>
      <c r="I997" s="246">
        <v>14</v>
      </c>
      <c r="J997" s="246">
        <v>16</v>
      </c>
      <c r="K997" s="246">
        <v>17</v>
      </c>
      <c r="L997" s="246"/>
      <c r="M997" s="246"/>
      <c r="N997" s="246"/>
      <c r="O997" s="246"/>
      <c r="P997" s="246"/>
      <c r="Q997" s="246"/>
      <c r="R997" s="246">
        <f>IFERROR(VLOOKUP(D997,PROGRAMAS[],2,FALSE),0)</f>
        <v>97037803.679377079</v>
      </c>
      <c r="S997" s="246">
        <f>IFERROR(VLOOKUP(E997,PROGRAMAS[],2,FALSE),0)</f>
        <v>640501509.6821388</v>
      </c>
      <c r="T997" s="246">
        <f>IFERROR(VLOOKUP(F997,PROGRAMAS[],2,FALSE),0)</f>
        <v>3062327798.1525245</v>
      </c>
      <c r="U997" s="246">
        <f>IFERROR(VLOOKUP(G997,PROGRAMAS[],2,FALSE),0)</f>
        <v>6128579952.1618185</v>
      </c>
      <c r="V997" s="246">
        <f>IFERROR(VLOOKUP(H997,PROGRAMAS[],2,FALSE),0)</f>
        <v>764796700.79905891</v>
      </c>
      <c r="W997" s="246">
        <f>IFERROR(VLOOKUP(I997,PROGRAMAS[],2,FALSE),0)</f>
        <v>54223862.645839565</v>
      </c>
      <c r="X997" s="246">
        <f>IFERROR(VLOOKUP(J997,PROGRAMAS[],2,FALSE),0)</f>
        <v>7068496961.0436354</v>
      </c>
      <c r="Y997" s="246">
        <f>IFERROR(VLOOKUP(K997,PROGRAMAS[],2,FALSE),0)</f>
        <v>1892779498.5211046</v>
      </c>
      <c r="Z997" s="246">
        <f>IFERROR(VLOOKUP(L997,PROGRAMAS[],2,FALSE),0)</f>
        <v>0</v>
      </c>
      <c r="AA997" s="246">
        <f>IFERROR(VLOOKUP(M997,PROGRAMAS[],2,FALSE),0)</f>
        <v>0</v>
      </c>
      <c r="AB997" s="246">
        <f>IFERROR(VLOOKUP(N997,PROGRAMAS[],2,FALSE),0)</f>
        <v>0</v>
      </c>
      <c r="AC997" s="246">
        <f>IFERROR(VLOOKUP(O997,PROGRAMAS[],2,FALSE),0)</f>
        <v>0</v>
      </c>
      <c r="AD997" s="246">
        <f>IFERROR(VLOOKUP(P997,PROGRAMAS[],2,FALSE),0)</f>
        <v>0</v>
      </c>
      <c r="AE997" s="246">
        <f>IFERROR(VLOOKUP(Q997,PROGRAMAS[],2,FALSE),0)</f>
        <v>0</v>
      </c>
      <c r="AF997" s="246">
        <f>IFERROR(VLOOKUP(D997,PROGRAMAS[],3,FALSE),0)</f>
        <v>841888629.31080008</v>
      </c>
      <c r="AG997" s="246">
        <f>IFERROR(VLOOKUP(E997,PROGRAMAS[],3,FALSE),0)</f>
        <v>3848980803.1642323</v>
      </c>
      <c r="AH997" s="246">
        <f>IFERROR(VLOOKUP(F997,PROGRAMAS[],3,FALSE),0)</f>
        <v>3394901471.387517</v>
      </c>
      <c r="AI997" s="246">
        <f>IFERROR(VLOOKUP(G997,PROGRAMAS[],3,FALSE),0)</f>
        <v>7011279577.519702</v>
      </c>
      <c r="AJ997" s="246">
        <f>IFERROR(VLOOKUP(H997,PROGRAMAS[],3,FALSE),0)</f>
        <v>675517840.109828</v>
      </c>
      <c r="AK997" s="246">
        <f>IFERROR(VLOOKUP(I997,PROGRAMAS[],3,FALSE),0)</f>
        <v>31865326.38096505</v>
      </c>
      <c r="AL997" s="246">
        <f>IFERROR(VLOOKUP(J997,PROGRAMAS[],3,FALSE),0)</f>
        <v>2406564599.0319901</v>
      </c>
      <c r="AM997" s="246">
        <f>IFERROR(VLOOKUP(K997,PROGRAMAS[],3,FALSE),0)</f>
        <v>948595847.09039903</v>
      </c>
      <c r="AN997" s="246">
        <f>IFERROR(VLOOKUP(L997,PROGRAMAS[],3,FALSE),0)</f>
        <v>0</v>
      </c>
      <c r="AO997" s="246">
        <f>IFERROR(VLOOKUP(M997,PROGRAMAS[],3,FALSE),0)</f>
        <v>0</v>
      </c>
      <c r="AP997" s="246">
        <f>IFERROR(VLOOKUP(N997,PROGRAMAS[],3,FALSE),0)</f>
        <v>0</v>
      </c>
      <c r="AQ997" s="246">
        <f>IFERROR(VLOOKUP(O997,PROGRAMAS[],3,FALSE),0)</f>
        <v>0</v>
      </c>
      <c r="AR997" s="246">
        <f>IFERROR(VLOOKUP(P997,PROGRAMAS[],3,FALSE),0)</f>
        <v>0</v>
      </c>
      <c r="AS997" s="246">
        <f>IFERROR(VLOOKUP(Q997,PROGRAMAS[],3,FALSE),0)</f>
        <v>0</v>
      </c>
      <c r="AT997" s="246">
        <f>IFERROR(VLOOKUP(D997,VOL_REC[],2,FALSE),0)</f>
        <v>0</v>
      </c>
      <c r="AU997" s="246">
        <f>IFERROR(VLOOKUP(E997,VOL_REC[],2,FALSE),0)</f>
        <v>0</v>
      </c>
      <c r="AV997" s="246">
        <f>IFERROR(VLOOKUP(F997,VOL_REC[],2,FALSE),0)</f>
        <v>11089674.200000001</v>
      </c>
      <c r="AW997" s="246">
        <f>IFERROR(VLOOKUP(G997,VOL_REC[],2,FALSE),0)</f>
        <v>3761786</v>
      </c>
      <c r="AX997" s="246">
        <f>IFERROR(VLOOKUP(H997,VOL_REC[],2,FALSE),0)</f>
        <v>240696.79238099116</v>
      </c>
      <c r="AY997" s="246">
        <f>IFERROR(VLOOKUP(I997,VOL_REC[],2,FALSE),0)</f>
        <v>17074.045034105649</v>
      </c>
      <c r="AZ997" s="246">
        <f>IFERROR(VLOOKUP(J997,VOL_REC[],2,FALSE),0)</f>
        <v>1072354.9981737854</v>
      </c>
      <c r="BA997" s="246">
        <f>IFERROR(VLOOKUP(K997,VOL_REC[],2,FALSE),0)</f>
        <v>740113.98115702497</v>
      </c>
      <c r="BB997" s="246">
        <f>IFERROR(VLOOKUP(L997,VOL_REC[],2,FALSE),0)</f>
        <v>0</v>
      </c>
      <c r="BC997" s="246">
        <f>IFERROR(VLOOKUP(M997,VOL_REC[],2,FALSE),0)</f>
        <v>0</v>
      </c>
      <c r="BD997" s="246">
        <f>IFERROR(VLOOKUP(N997,VOL_REC[],2,FALSE),0)</f>
        <v>0</v>
      </c>
      <c r="BE997" s="246">
        <f>IFERROR(VLOOKUP(O997,VOL_REC[],2,FALSE),0)</f>
        <v>0</v>
      </c>
      <c r="BF997" s="246">
        <f>IFERROR(VLOOKUP(P997,VOL_REC[],2,FALSE),0)</f>
        <v>0</v>
      </c>
      <c r="BG997" s="246">
        <f>IFERROR(VLOOKUP(Q997,VOL_REC[],2,FALSE),0)</f>
        <v>0</v>
      </c>
      <c r="BH997" s="1710">
        <f t="shared" si="60"/>
        <v>19708744086.685497</v>
      </c>
      <c r="BI997" s="1710">
        <f t="shared" si="61"/>
        <v>19159594093.995438</v>
      </c>
      <c r="BJ997" s="1711">
        <f t="shared" si="62"/>
        <v>16921700.016745906</v>
      </c>
      <c r="BK997" s="1711">
        <f t="shared" si="63"/>
        <v>1.0286618803089447</v>
      </c>
      <c r="BL997">
        <f>BJ997</f>
        <v>16921700.016745906</v>
      </c>
      <c r="BO997">
        <f>BL997</f>
        <v>16921700.016745906</v>
      </c>
    </row>
    <row r="998" spans="3:67" x14ac:dyDescent="0.25">
      <c r="C998" s="246" t="s">
        <v>2348</v>
      </c>
      <c r="D998" s="246">
        <v>1</v>
      </c>
      <c r="E998" s="246">
        <v>2</v>
      </c>
      <c r="F998" s="246">
        <v>3</v>
      </c>
      <c r="G998" s="246">
        <v>9</v>
      </c>
      <c r="H998" s="246">
        <v>12</v>
      </c>
      <c r="I998" s="246">
        <v>15</v>
      </c>
      <c r="J998" s="246">
        <v>16</v>
      </c>
      <c r="K998" s="246">
        <v>17</v>
      </c>
      <c r="L998" s="246"/>
      <c r="M998" s="246"/>
      <c r="N998" s="246"/>
      <c r="O998" s="246"/>
      <c r="P998" s="246"/>
      <c r="Q998" s="246"/>
      <c r="R998" s="246">
        <f>IFERROR(VLOOKUP(D998,PROGRAMAS[],2,FALSE),0)</f>
        <v>97037803.679377079</v>
      </c>
      <c r="S998" s="246">
        <f>IFERROR(VLOOKUP(E998,PROGRAMAS[],2,FALSE),0)</f>
        <v>640501509.6821388</v>
      </c>
      <c r="T998" s="246">
        <f>IFERROR(VLOOKUP(F998,PROGRAMAS[],2,FALSE),0)</f>
        <v>3062327798.1525245</v>
      </c>
      <c r="U998" s="246">
        <f>IFERROR(VLOOKUP(G998,PROGRAMAS[],2,FALSE),0)</f>
        <v>6128579952.1618185</v>
      </c>
      <c r="V998" s="246">
        <f>IFERROR(VLOOKUP(H998,PROGRAMAS[],2,FALSE),0)</f>
        <v>764796700.79905891</v>
      </c>
      <c r="W998" s="246">
        <f>IFERROR(VLOOKUP(I998,PROGRAMAS[],2,FALSE),0)</f>
        <v>122159672.96346797</v>
      </c>
      <c r="X998" s="246">
        <f>IFERROR(VLOOKUP(J998,PROGRAMAS[],2,FALSE),0)</f>
        <v>7068496961.0436354</v>
      </c>
      <c r="Y998" s="246">
        <f>IFERROR(VLOOKUP(K998,PROGRAMAS[],2,FALSE),0)</f>
        <v>1892779498.5211046</v>
      </c>
      <c r="Z998" s="246">
        <f>IFERROR(VLOOKUP(L998,PROGRAMAS[],2,FALSE),0)</f>
        <v>0</v>
      </c>
      <c r="AA998" s="246">
        <f>IFERROR(VLOOKUP(M998,PROGRAMAS[],2,FALSE),0)</f>
        <v>0</v>
      </c>
      <c r="AB998" s="246">
        <f>IFERROR(VLOOKUP(N998,PROGRAMAS[],2,FALSE),0)</f>
        <v>0</v>
      </c>
      <c r="AC998" s="246">
        <f>IFERROR(VLOOKUP(O998,PROGRAMAS[],2,FALSE),0)</f>
        <v>0</v>
      </c>
      <c r="AD998" s="246">
        <f>IFERROR(VLOOKUP(P998,PROGRAMAS[],2,FALSE),0)</f>
        <v>0</v>
      </c>
      <c r="AE998" s="246">
        <f>IFERROR(VLOOKUP(Q998,PROGRAMAS[],2,FALSE),0)</f>
        <v>0</v>
      </c>
      <c r="AF998" s="246">
        <f>IFERROR(VLOOKUP(D998,PROGRAMAS[],3,FALSE),0)</f>
        <v>841888629.31080008</v>
      </c>
      <c r="AG998" s="246">
        <f>IFERROR(VLOOKUP(E998,PROGRAMAS[],3,FALSE),0)</f>
        <v>3848980803.1642323</v>
      </c>
      <c r="AH998" s="246">
        <f>IFERROR(VLOOKUP(F998,PROGRAMAS[],3,FALSE),0)</f>
        <v>3394901471.387517</v>
      </c>
      <c r="AI998" s="246">
        <f>IFERROR(VLOOKUP(G998,PROGRAMAS[],3,FALSE),0)</f>
        <v>7011279577.519702</v>
      </c>
      <c r="AJ998" s="246">
        <f>IFERROR(VLOOKUP(H998,PROGRAMAS[],3,FALSE),0)</f>
        <v>675517840.109828</v>
      </c>
      <c r="AK998" s="246">
        <f>IFERROR(VLOOKUP(I998,PROGRAMAS[],3,FALSE),0)</f>
        <v>118617452.52510804</v>
      </c>
      <c r="AL998" s="246">
        <f>IFERROR(VLOOKUP(J998,PROGRAMAS[],3,FALSE),0)</f>
        <v>2406564599.0319901</v>
      </c>
      <c r="AM998" s="246">
        <f>IFERROR(VLOOKUP(K998,PROGRAMAS[],3,FALSE),0)</f>
        <v>948595847.09039903</v>
      </c>
      <c r="AN998" s="246">
        <f>IFERROR(VLOOKUP(L998,PROGRAMAS[],3,FALSE),0)</f>
        <v>0</v>
      </c>
      <c r="AO998" s="246">
        <f>IFERROR(VLOOKUP(M998,PROGRAMAS[],3,FALSE),0)</f>
        <v>0</v>
      </c>
      <c r="AP998" s="246">
        <f>IFERROR(VLOOKUP(N998,PROGRAMAS[],3,FALSE),0)</f>
        <v>0</v>
      </c>
      <c r="AQ998" s="246">
        <f>IFERROR(VLOOKUP(O998,PROGRAMAS[],3,FALSE),0)</f>
        <v>0</v>
      </c>
      <c r="AR998" s="246">
        <f>IFERROR(VLOOKUP(P998,PROGRAMAS[],3,FALSE),0)</f>
        <v>0</v>
      </c>
      <c r="AS998" s="246">
        <f>IFERROR(VLOOKUP(Q998,PROGRAMAS[],3,FALSE),0)</f>
        <v>0</v>
      </c>
      <c r="AT998" s="246">
        <f>IFERROR(VLOOKUP(D998,VOL_REC[],2,FALSE),0)</f>
        <v>0</v>
      </c>
      <c r="AU998" s="246">
        <f>IFERROR(VLOOKUP(E998,VOL_REC[],2,FALSE),0)</f>
        <v>0</v>
      </c>
      <c r="AV998" s="246">
        <f>IFERROR(VLOOKUP(F998,VOL_REC[],2,FALSE),0)</f>
        <v>11089674.200000001</v>
      </c>
      <c r="AW998" s="246">
        <f>IFERROR(VLOOKUP(G998,VOL_REC[],2,FALSE),0)</f>
        <v>3761786</v>
      </c>
      <c r="AX998" s="246">
        <f>IFERROR(VLOOKUP(H998,VOL_REC[],2,FALSE),0)</f>
        <v>240696.79238099116</v>
      </c>
      <c r="AY998" s="246">
        <f>IFERROR(VLOOKUP(I998,VOL_REC[],2,FALSE),0)</f>
        <v>105072</v>
      </c>
      <c r="AZ998" s="246">
        <f>IFERROR(VLOOKUP(J998,VOL_REC[],2,FALSE),0)</f>
        <v>1072354.9981737854</v>
      </c>
      <c r="BA998" s="246">
        <f>IFERROR(VLOOKUP(K998,VOL_REC[],2,FALSE),0)</f>
        <v>740113.98115702497</v>
      </c>
      <c r="BB998" s="246">
        <f>IFERROR(VLOOKUP(L998,VOL_REC[],2,FALSE),0)</f>
        <v>0</v>
      </c>
      <c r="BC998" s="246">
        <f>IFERROR(VLOOKUP(M998,VOL_REC[],2,FALSE),0)</f>
        <v>0</v>
      </c>
      <c r="BD998" s="246">
        <f>IFERROR(VLOOKUP(N998,VOL_REC[],2,FALSE),0)</f>
        <v>0</v>
      </c>
      <c r="BE998" s="246">
        <f>IFERROR(VLOOKUP(O998,VOL_REC[],2,FALSE),0)</f>
        <v>0</v>
      </c>
      <c r="BF998" s="246">
        <f>IFERROR(VLOOKUP(P998,VOL_REC[],2,FALSE),0)</f>
        <v>0</v>
      </c>
      <c r="BG998" s="246">
        <f>IFERROR(VLOOKUP(Q998,VOL_REC[],2,FALSE),0)</f>
        <v>0</v>
      </c>
      <c r="BH998" s="1710">
        <f t="shared" si="60"/>
        <v>19776679897.003124</v>
      </c>
      <c r="BI998" s="1710">
        <f t="shared" si="61"/>
        <v>19246346220.13958</v>
      </c>
      <c r="BJ998" s="1711">
        <f t="shared" si="62"/>
        <v>17009697.9717118</v>
      </c>
      <c r="BK998" s="1711">
        <f t="shared" si="63"/>
        <v>1.0275550315263786</v>
      </c>
      <c r="BL998">
        <f>BJ998</f>
        <v>17009697.9717118</v>
      </c>
      <c r="BO998">
        <f>BL998</f>
        <v>17009697.9717118</v>
      </c>
    </row>
    <row r="999" spans="3:67" x14ac:dyDescent="0.25">
      <c r="C999" s="246" t="s">
        <v>2349</v>
      </c>
      <c r="D999" s="246">
        <v>1</v>
      </c>
      <c r="E999" s="246">
        <v>2</v>
      </c>
      <c r="F999" s="246">
        <v>3</v>
      </c>
      <c r="G999" s="246">
        <v>9</v>
      </c>
      <c r="H999" s="246">
        <v>13</v>
      </c>
      <c r="I999" s="246">
        <v>14</v>
      </c>
      <c r="J999" s="246">
        <v>15</v>
      </c>
      <c r="K999" s="246">
        <v>16</v>
      </c>
      <c r="L999" s="246"/>
      <c r="M999" s="246"/>
      <c r="N999" s="246"/>
      <c r="O999" s="246"/>
      <c r="P999" s="246"/>
      <c r="Q999" s="246"/>
      <c r="R999" s="246">
        <f>IFERROR(VLOOKUP(D999,PROGRAMAS[],2,FALSE),0)</f>
        <v>97037803.679377079</v>
      </c>
      <c r="S999" s="246">
        <f>IFERROR(VLOOKUP(E999,PROGRAMAS[],2,FALSE),0)</f>
        <v>640501509.6821388</v>
      </c>
      <c r="T999" s="246">
        <f>IFERROR(VLOOKUP(F999,PROGRAMAS[],2,FALSE),0)</f>
        <v>3062327798.1525245</v>
      </c>
      <c r="U999" s="246">
        <f>IFERROR(VLOOKUP(G999,PROGRAMAS[],2,FALSE),0)</f>
        <v>6128579952.1618185</v>
      </c>
      <c r="V999" s="246">
        <f>IFERROR(VLOOKUP(H999,PROGRAMAS[],2,FALSE),0)</f>
        <v>3776538594.4604583</v>
      </c>
      <c r="W999" s="246">
        <f>IFERROR(VLOOKUP(I999,PROGRAMAS[],2,FALSE),0)</f>
        <v>54223862.645839565</v>
      </c>
      <c r="X999" s="246">
        <f>IFERROR(VLOOKUP(J999,PROGRAMAS[],2,FALSE),0)</f>
        <v>122159672.96346797</v>
      </c>
      <c r="Y999" s="246">
        <f>IFERROR(VLOOKUP(K999,PROGRAMAS[],2,FALSE),0)</f>
        <v>7068496961.0436354</v>
      </c>
      <c r="Z999" s="246">
        <f>IFERROR(VLOOKUP(L999,PROGRAMAS[],2,FALSE),0)</f>
        <v>0</v>
      </c>
      <c r="AA999" s="246">
        <f>IFERROR(VLOOKUP(M999,PROGRAMAS[],2,FALSE),0)</f>
        <v>0</v>
      </c>
      <c r="AB999" s="246">
        <f>IFERROR(VLOOKUP(N999,PROGRAMAS[],2,FALSE),0)</f>
        <v>0</v>
      </c>
      <c r="AC999" s="246">
        <f>IFERROR(VLOOKUP(O999,PROGRAMAS[],2,FALSE),0)</f>
        <v>0</v>
      </c>
      <c r="AD999" s="246">
        <f>IFERROR(VLOOKUP(P999,PROGRAMAS[],2,FALSE),0)</f>
        <v>0</v>
      </c>
      <c r="AE999" s="246">
        <f>IFERROR(VLOOKUP(Q999,PROGRAMAS[],2,FALSE),0)</f>
        <v>0</v>
      </c>
      <c r="AF999" s="246">
        <f>IFERROR(VLOOKUP(D999,PROGRAMAS[],3,FALSE),0)</f>
        <v>841888629.31080008</v>
      </c>
      <c r="AG999" s="246">
        <f>IFERROR(VLOOKUP(E999,PROGRAMAS[],3,FALSE),0)</f>
        <v>3848980803.1642323</v>
      </c>
      <c r="AH999" s="246">
        <f>IFERROR(VLOOKUP(F999,PROGRAMAS[],3,FALSE),0)</f>
        <v>3394901471.387517</v>
      </c>
      <c r="AI999" s="246">
        <f>IFERROR(VLOOKUP(G999,PROGRAMAS[],3,FALSE),0)</f>
        <v>7011279577.519702</v>
      </c>
      <c r="AJ999" s="246">
        <f>IFERROR(VLOOKUP(H999,PROGRAMAS[],3,FALSE),0)</f>
        <v>2392571243.5584412</v>
      </c>
      <c r="AK999" s="246">
        <f>IFERROR(VLOOKUP(I999,PROGRAMAS[],3,FALSE),0)</f>
        <v>31865326.38096505</v>
      </c>
      <c r="AL999" s="246">
        <f>IFERROR(VLOOKUP(J999,PROGRAMAS[],3,FALSE),0)</f>
        <v>118617452.52510804</v>
      </c>
      <c r="AM999" s="246">
        <f>IFERROR(VLOOKUP(K999,PROGRAMAS[],3,FALSE),0)</f>
        <v>2406564599.0319901</v>
      </c>
      <c r="AN999" s="246">
        <f>IFERROR(VLOOKUP(L999,PROGRAMAS[],3,FALSE),0)</f>
        <v>0</v>
      </c>
      <c r="AO999" s="246">
        <f>IFERROR(VLOOKUP(M999,PROGRAMAS[],3,FALSE),0)</f>
        <v>0</v>
      </c>
      <c r="AP999" s="246">
        <f>IFERROR(VLOOKUP(N999,PROGRAMAS[],3,FALSE),0)</f>
        <v>0</v>
      </c>
      <c r="AQ999" s="246">
        <f>IFERROR(VLOOKUP(O999,PROGRAMAS[],3,FALSE),0)</f>
        <v>0</v>
      </c>
      <c r="AR999" s="246">
        <f>IFERROR(VLOOKUP(P999,PROGRAMAS[],3,FALSE),0)</f>
        <v>0</v>
      </c>
      <c r="AS999" s="246">
        <f>IFERROR(VLOOKUP(Q999,PROGRAMAS[],3,FALSE),0)</f>
        <v>0</v>
      </c>
      <c r="AT999" s="246">
        <f>IFERROR(VLOOKUP(D999,VOL_REC[],2,FALSE),0)</f>
        <v>0</v>
      </c>
      <c r="AU999" s="246">
        <f>IFERROR(VLOOKUP(E999,VOL_REC[],2,FALSE),0)</f>
        <v>0</v>
      </c>
      <c r="AV999" s="246">
        <f>IFERROR(VLOOKUP(F999,VOL_REC[],2,FALSE),0)</f>
        <v>11089674.200000001</v>
      </c>
      <c r="AW999" s="246">
        <f>IFERROR(VLOOKUP(G999,VOL_REC[],2,FALSE),0)</f>
        <v>3761786</v>
      </c>
      <c r="AX999" s="246">
        <f>IFERROR(VLOOKUP(H999,VOL_REC[],2,FALSE),0)</f>
        <v>663244.80000000016</v>
      </c>
      <c r="AY999" s="246">
        <f>IFERROR(VLOOKUP(I999,VOL_REC[],2,FALSE),0)</f>
        <v>17074.045034105649</v>
      </c>
      <c r="AZ999" s="246">
        <f>IFERROR(VLOOKUP(J999,VOL_REC[],2,FALSE),0)</f>
        <v>105072</v>
      </c>
      <c r="BA999" s="246">
        <f>IFERROR(VLOOKUP(K999,VOL_REC[],2,FALSE),0)</f>
        <v>1072354.9981737854</v>
      </c>
      <c r="BB999" s="246">
        <f>IFERROR(VLOOKUP(L999,VOL_REC[],2,FALSE),0)</f>
        <v>0</v>
      </c>
      <c r="BC999" s="246">
        <f>IFERROR(VLOOKUP(M999,VOL_REC[],2,FALSE),0)</f>
        <v>0</v>
      </c>
      <c r="BD999" s="246">
        <f>IFERROR(VLOOKUP(N999,VOL_REC[],2,FALSE),0)</f>
        <v>0</v>
      </c>
      <c r="BE999" s="246">
        <f>IFERROR(VLOOKUP(O999,VOL_REC[],2,FALSE),0)</f>
        <v>0</v>
      </c>
      <c r="BF999" s="246">
        <f>IFERROR(VLOOKUP(P999,VOL_REC[],2,FALSE),0)</f>
        <v>0</v>
      </c>
      <c r="BG999" s="246">
        <f>IFERROR(VLOOKUP(Q999,VOL_REC[],2,FALSE),0)</f>
        <v>0</v>
      </c>
      <c r="BH999" s="1710">
        <f t="shared" si="60"/>
        <v>20949866154.789261</v>
      </c>
      <c r="BI999" s="1710">
        <f t="shared" si="61"/>
        <v>20046669102.878757</v>
      </c>
      <c r="BJ999" s="1711">
        <f t="shared" si="62"/>
        <v>16709206.043207891</v>
      </c>
      <c r="BK999" s="1711">
        <f t="shared" si="63"/>
        <v>1.0450547194287156</v>
      </c>
      <c r="BL999">
        <f>BJ999</f>
        <v>16709206.043207891</v>
      </c>
      <c r="BO999">
        <f>BL999</f>
        <v>16709206.043207891</v>
      </c>
    </row>
    <row r="1000" spans="3:67" x14ac:dyDescent="0.25">
      <c r="C1000" s="246" t="s">
        <v>2350</v>
      </c>
      <c r="D1000" s="246">
        <v>1</v>
      </c>
      <c r="E1000" s="246">
        <v>2</v>
      </c>
      <c r="F1000" s="246">
        <v>3</v>
      </c>
      <c r="G1000" s="246">
        <v>9</v>
      </c>
      <c r="H1000" s="246">
        <v>13</v>
      </c>
      <c r="I1000" s="246">
        <v>14</v>
      </c>
      <c r="J1000" s="246">
        <v>15</v>
      </c>
      <c r="K1000" s="246">
        <v>17</v>
      </c>
      <c r="L1000" s="246"/>
      <c r="M1000" s="246"/>
      <c r="N1000" s="246"/>
      <c r="O1000" s="246"/>
      <c r="P1000" s="246"/>
      <c r="Q1000" s="246"/>
      <c r="R1000" s="246">
        <f>IFERROR(VLOOKUP(D1000,PROGRAMAS[],2,FALSE),0)</f>
        <v>97037803.679377079</v>
      </c>
      <c r="S1000" s="246">
        <f>IFERROR(VLOOKUP(E1000,PROGRAMAS[],2,FALSE),0)</f>
        <v>640501509.6821388</v>
      </c>
      <c r="T1000" s="246">
        <f>IFERROR(VLOOKUP(F1000,PROGRAMAS[],2,FALSE),0)</f>
        <v>3062327798.1525245</v>
      </c>
      <c r="U1000" s="246">
        <f>IFERROR(VLOOKUP(G1000,PROGRAMAS[],2,FALSE),0)</f>
        <v>6128579952.1618185</v>
      </c>
      <c r="V1000" s="246">
        <f>IFERROR(VLOOKUP(H1000,PROGRAMAS[],2,FALSE),0)</f>
        <v>3776538594.4604583</v>
      </c>
      <c r="W1000" s="246">
        <f>IFERROR(VLOOKUP(I1000,PROGRAMAS[],2,FALSE),0)</f>
        <v>54223862.645839565</v>
      </c>
      <c r="X1000" s="246">
        <f>IFERROR(VLOOKUP(J1000,PROGRAMAS[],2,FALSE),0)</f>
        <v>122159672.96346797</v>
      </c>
      <c r="Y1000" s="246">
        <f>IFERROR(VLOOKUP(K1000,PROGRAMAS[],2,FALSE),0)</f>
        <v>1892779498.5211046</v>
      </c>
      <c r="Z1000" s="246">
        <f>IFERROR(VLOOKUP(L1000,PROGRAMAS[],2,FALSE),0)</f>
        <v>0</v>
      </c>
      <c r="AA1000" s="246">
        <f>IFERROR(VLOOKUP(M1000,PROGRAMAS[],2,FALSE),0)</f>
        <v>0</v>
      </c>
      <c r="AB1000" s="246">
        <f>IFERROR(VLOOKUP(N1000,PROGRAMAS[],2,FALSE),0)</f>
        <v>0</v>
      </c>
      <c r="AC1000" s="246">
        <f>IFERROR(VLOOKUP(O1000,PROGRAMAS[],2,FALSE),0)</f>
        <v>0</v>
      </c>
      <c r="AD1000" s="246">
        <f>IFERROR(VLOOKUP(P1000,PROGRAMAS[],2,FALSE),0)</f>
        <v>0</v>
      </c>
      <c r="AE1000" s="246">
        <f>IFERROR(VLOOKUP(Q1000,PROGRAMAS[],2,FALSE),0)</f>
        <v>0</v>
      </c>
      <c r="AF1000" s="246">
        <f>IFERROR(VLOOKUP(D1000,PROGRAMAS[],3,FALSE),0)</f>
        <v>841888629.31080008</v>
      </c>
      <c r="AG1000" s="246">
        <f>IFERROR(VLOOKUP(E1000,PROGRAMAS[],3,FALSE),0)</f>
        <v>3848980803.1642323</v>
      </c>
      <c r="AH1000" s="246">
        <f>IFERROR(VLOOKUP(F1000,PROGRAMAS[],3,FALSE),0)</f>
        <v>3394901471.387517</v>
      </c>
      <c r="AI1000" s="246">
        <f>IFERROR(VLOOKUP(G1000,PROGRAMAS[],3,FALSE),0)</f>
        <v>7011279577.519702</v>
      </c>
      <c r="AJ1000" s="246">
        <f>IFERROR(VLOOKUP(H1000,PROGRAMAS[],3,FALSE),0)</f>
        <v>2392571243.5584412</v>
      </c>
      <c r="AK1000" s="246">
        <f>IFERROR(VLOOKUP(I1000,PROGRAMAS[],3,FALSE),0)</f>
        <v>31865326.38096505</v>
      </c>
      <c r="AL1000" s="246">
        <f>IFERROR(VLOOKUP(J1000,PROGRAMAS[],3,FALSE),0)</f>
        <v>118617452.52510804</v>
      </c>
      <c r="AM1000" s="246">
        <f>IFERROR(VLOOKUP(K1000,PROGRAMAS[],3,FALSE),0)</f>
        <v>948595847.09039903</v>
      </c>
      <c r="AN1000" s="246">
        <f>IFERROR(VLOOKUP(L1000,PROGRAMAS[],3,FALSE),0)</f>
        <v>0</v>
      </c>
      <c r="AO1000" s="246">
        <f>IFERROR(VLOOKUP(M1000,PROGRAMAS[],3,FALSE),0)</f>
        <v>0</v>
      </c>
      <c r="AP1000" s="246">
        <f>IFERROR(VLOOKUP(N1000,PROGRAMAS[],3,FALSE),0)</f>
        <v>0</v>
      </c>
      <c r="AQ1000" s="246">
        <f>IFERROR(VLOOKUP(O1000,PROGRAMAS[],3,FALSE),0)</f>
        <v>0</v>
      </c>
      <c r="AR1000" s="246">
        <f>IFERROR(VLOOKUP(P1000,PROGRAMAS[],3,FALSE),0)</f>
        <v>0</v>
      </c>
      <c r="AS1000" s="246">
        <f>IFERROR(VLOOKUP(Q1000,PROGRAMAS[],3,FALSE),0)</f>
        <v>0</v>
      </c>
      <c r="AT1000" s="246">
        <f>IFERROR(VLOOKUP(D1000,VOL_REC[],2,FALSE),0)</f>
        <v>0</v>
      </c>
      <c r="AU1000" s="246">
        <f>IFERROR(VLOOKUP(E1000,VOL_REC[],2,FALSE),0)</f>
        <v>0</v>
      </c>
      <c r="AV1000" s="246">
        <f>IFERROR(VLOOKUP(F1000,VOL_REC[],2,FALSE),0)</f>
        <v>11089674.200000001</v>
      </c>
      <c r="AW1000" s="246">
        <f>IFERROR(VLOOKUP(G1000,VOL_REC[],2,FALSE),0)</f>
        <v>3761786</v>
      </c>
      <c r="AX1000" s="246">
        <f>IFERROR(VLOOKUP(H1000,VOL_REC[],2,FALSE),0)</f>
        <v>663244.80000000016</v>
      </c>
      <c r="AY1000" s="246">
        <f>IFERROR(VLOOKUP(I1000,VOL_REC[],2,FALSE),0)</f>
        <v>17074.045034105649</v>
      </c>
      <c r="AZ1000" s="246">
        <f>IFERROR(VLOOKUP(J1000,VOL_REC[],2,FALSE),0)</f>
        <v>105072</v>
      </c>
      <c r="BA1000" s="246">
        <f>IFERROR(VLOOKUP(K1000,VOL_REC[],2,FALSE),0)</f>
        <v>740113.98115702497</v>
      </c>
      <c r="BB1000" s="246">
        <f>IFERROR(VLOOKUP(L1000,VOL_REC[],2,FALSE),0)</f>
        <v>0</v>
      </c>
      <c r="BC1000" s="246">
        <f>IFERROR(VLOOKUP(M1000,VOL_REC[],2,FALSE),0)</f>
        <v>0</v>
      </c>
      <c r="BD1000" s="246">
        <f>IFERROR(VLOOKUP(N1000,VOL_REC[],2,FALSE),0)</f>
        <v>0</v>
      </c>
      <c r="BE1000" s="246">
        <f>IFERROR(VLOOKUP(O1000,VOL_REC[],2,FALSE),0)</f>
        <v>0</v>
      </c>
      <c r="BF1000" s="246">
        <f>IFERROR(VLOOKUP(P1000,VOL_REC[],2,FALSE),0)</f>
        <v>0</v>
      </c>
      <c r="BG1000" s="246">
        <f>IFERROR(VLOOKUP(Q1000,VOL_REC[],2,FALSE),0)</f>
        <v>0</v>
      </c>
      <c r="BH1000" s="1710">
        <f t="shared" si="60"/>
        <v>15774148692.266731</v>
      </c>
      <c r="BI1000" s="1710">
        <f t="shared" si="61"/>
        <v>18588700350.937168</v>
      </c>
      <c r="BJ1000" s="1711">
        <f t="shared" si="62"/>
        <v>16376965.026191132</v>
      </c>
      <c r="BK1000" s="1711">
        <f t="shared" si="63"/>
        <v>0.84858803436849539</v>
      </c>
    </row>
    <row r="1001" spans="3:67" x14ac:dyDescent="0.25">
      <c r="C1001" s="246" t="s">
        <v>2351</v>
      </c>
      <c r="D1001" s="246">
        <v>1</v>
      </c>
      <c r="E1001" s="246">
        <v>2</v>
      </c>
      <c r="F1001" s="246">
        <v>3</v>
      </c>
      <c r="G1001" s="246">
        <v>9</v>
      </c>
      <c r="H1001" s="246">
        <v>13</v>
      </c>
      <c r="I1001" s="246">
        <v>14</v>
      </c>
      <c r="J1001" s="246">
        <v>16</v>
      </c>
      <c r="K1001" s="246">
        <v>17</v>
      </c>
      <c r="L1001" s="246"/>
      <c r="M1001" s="246"/>
      <c r="N1001" s="246"/>
      <c r="O1001" s="246"/>
      <c r="P1001" s="246"/>
      <c r="Q1001" s="246"/>
      <c r="R1001" s="246">
        <f>IFERROR(VLOOKUP(D1001,PROGRAMAS[],2,FALSE),0)</f>
        <v>97037803.679377079</v>
      </c>
      <c r="S1001" s="246">
        <f>IFERROR(VLOOKUP(E1001,PROGRAMAS[],2,FALSE),0)</f>
        <v>640501509.6821388</v>
      </c>
      <c r="T1001" s="246">
        <f>IFERROR(VLOOKUP(F1001,PROGRAMAS[],2,FALSE),0)</f>
        <v>3062327798.1525245</v>
      </c>
      <c r="U1001" s="246">
        <f>IFERROR(VLOOKUP(G1001,PROGRAMAS[],2,FALSE),0)</f>
        <v>6128579952.1618185</v>
      </c>
      <c r="V1001" s="246">
        <f>IFERROR(VLOOKUP(H1001,PROGRAMAS[],2,FALSE),0)</f>
        <v>3776538594.4604583</v>
      </c>
      <c r="W1001" s="246">
        <f>IFERROR(VLOOKUP(I1001,PROGRAMAS[],2,FALSE),0)</f>
        <v>54223862.645839565</v>
      </c>
      <c r="X1001" s="246">
        <f>IFERROR(VLOOKUP(J1001,PROGRAMAS[],2,FALSE),0)</f>
        <v>7068496961.0436354</v>
      </c>
      <c r="Y1001" s="246">
        <f>IFERROR(VLOOKUP(K1001,PROGRAMAS[],2,FALSE),0)</f>
        <v>1892779498.5211046</v>
      </c>
      <c r="Z1001" s="246">
        <f>IFERROR(VLOOKUP(L1001,PROGRAMAS[],2,FALSE),0)</f>
        <v>0</v>
      </c>
      <c r="AA1001" s="246">
        <f>IFERROR(VLOOKUP(M1001,PROGRAMAS[],2,FALSE),0)</f>
        <v>0</v>
      </c>
      <c r="AB1001" s="246">
        <f>IFERROR(VLOOKUP(N1001,PROGRAMAS[],2,FALSE),0)</f>
        <v>0</v>
      </c>
      <c r="AC1001" s="246">
        <f>IFERROR(VLOOKUP(O1001,PROGRAMAS[],2,FALSE),0)</f>
        <v>0</v>
      </c>
      <c r="AD1001" s="246">
        <f>IFERROR(VLOOKUP(P1001,PROGRAMAS[],2,FALSE),0)</f>
        <v>0</v>
      </c>
      <c r="AE1001" s="246">
        <f>IFERROR(VLOOKUP(Q1001,PROGRAMAS[],2,FALSE),0)</f>
        <v>0</v>
      </c>
      <c r="AF1001" s="246">
        <f>IFERROR(VLOOKUP(D1001,PROGRAMAS[],3,FALSE),0)</f>
        <v>841888629.31080008</v>
      </c>
      <c r="AG1001" s="246">
        <f>IFERROR(VLOOKUP(E1001,PROGRAMAS[],3,FALSE),0)</f>
        <v>3848980803.1642323</v>
      </c>
      <c r="AH1001" s="246">
        <f>IFERROR(VLOOKUP(F1001,PROGRAMAS[],3,FALSE),0)</f>
        <v>3394901471.387517</v>
      </c>
      <c r="AI1001" s="246">
        <f>IFERROR(VLOOKUP(G1001,PROGRAMAS[],3,FALSE),0)</f>
        <v>7011279577.519702</v>
      </c>
      <c r="AJ1001" s="246">
        <f>IFERROR(VLOOKUP(H1001,PROGRAMAS[],3,FALSE),0)</f>
        <v>2392571243.5584412</v>
      </c>
      <c r="AK1001" s="246">
        <f>IFERROR(VLOOKUP(I1001,PROGRAMAS[],3,FALSE),0)</f>
        <v>31865326.38096505</v>
      </c>
      <c r="AL1001" s="246">
        <f>IFERROR(VLOOKUP(J1001,PROGRAMAS[],3,FALSE),0)</f>
        <v>2406564599.0319901</v>
      </c>
      <c r="AM1001" s="246">
        <f>IFERROR(VLOOKUP(K1001,PROGRAMAS[],3,FALSE),0)</f>
        <v>948595847.09039903</v>
      </c>
      <c r="AN1001" s="246">
        <f>IFERROR(VLOOKUP(L1001,PROGRAMAS[],3,FALSE),0)</f>
        <v>0</v>
      </c>
      <c r="AO1001" s="246">
        <f>IFERROR(VLOOKUP(M1001,PROGRAMAS[],3,FALSE),0)</f>
        <v>0</v>
      </c>
      <c r="AP1001" s="246">
        <f>IFERROR(VLOOKUP(N1001,PROGRAMAS[],3,FALSE),0)</f>
        <v>0</v>
      </c>
      <c r="AQ1001" s="246">
        <f>IFERROR(VLOOKUP(O1001,PROGRAMAS[],3,FALSE),0)</f>
        <v>0</v>
      </c>
      <c r="AR1001" s="246">
        <f>IFERROR(VLOOKUP(P1001,PROGRAMAS[],3,FALSE),0)</f>
        <v>0</v>
      </c>
      <c r="AS1001" s="246">
        <f>IFERROR(VLOOKUP(Q1001,PROGRAMAS[],3,FALSE),0)</f>
        <v>0</v>
      </c>
      <c r="AT1001" s="246">
        <f>IFERROR(VLOOKUP(D1001,VOL_REC[],2,FALSE),0)</f>
        <v>0</v>
      </c>
      <c r="AU1001" s="246">
        <f>IFERROR(VLOOKUP(E1001,VOL_REC[],2,FALSE),0)</f>
        <v>0</v>
      </c>
      <c r="AV1001" s="246">
        <f>IFERROR(VLOOKUP(F1001,VOL_REC[],2,FALSE),0)</f>
        <v>11089674.200000001</v>
      </c>
      <c r="AW1001" s="246">
        <f>IFERROR(VLOOKUP(G1001,VOL_REC[],2,FALSE),0)</f>
        <v>3761786</v>
      </c>
      <c r="AX1001" s="246">
        <f>IFERROR(VLOOKUP(H1001,VOL_REC[],2,FALSE),0)</f>
        <v>663244.80000000016</v>
      </c>
      <c r="AY1001" s="246">
        <f>IFERROR(VLOOKUP(I1001,VOL_REC[],2,FALSE),0)</f>
        <v>17074.045034105649</v>
      </c>
      <c r="AZ1001" s="246">
        <f>IFERROR(VLOOKUP(J1001,VOL_REC[],2,FALSE),0)</f>
        <v>1072354.9981737854</v>
      </c>
      <c r="BA1001" s="246">
        <f>IFERROR(VLOOKUP(K1001,VOL_REC[],2,FALSE),0)</f>
        <v>740113.98115702497</v>
      </c>
      <c r="BB1001" s="246">
        <f>IFERROR(VLOOKUP(L1001,VOL_REC[],2,FALSE),0)</f>
        <v>0</v>
      </c>
      <c r="BC1001" s="246">
        <f>IFERROR(VLOOKUP(M1001,VOL_REC[],2,FALSE),0)</f>
        <v>0</v>
      </c>
      <c r="BD1001" s="246">
        <f>IFERROR(VLOOKUP(N1001,VOL_REC[],2,FALSE),0)</f>
        <v>0</v>
      </c>
      <c r="BE1001" s="246">
        <f>IFERROR(VLOOKUP(O1001,VOL_REC[],2,FALSE),0)</f>
        <v>0</v>
      </c>
      <c r="BF1001" s="246">
        <f>IFERROR(VLOOKUP(P1001,VOL_REC[],2,FALSE),0)</f>
        <v>0</v>
      </c>
      <c r="BG1001" s="246">
        <f>IFERROR(VLOOKUP(Q1001,VOL_REC[],2,FALSE),0)</f>
        <v>0</v>
      </c>
      <c r="BH1001" s="1710">
        <f t="shared" si="60"/>
        <v>22720485980.346897</v>
      </c>
      <c r="BI1001" s="1710">
        <f t="shared" si="61"/>
        <v>20876647497.44405</v>
      </c>
      <c r="BJ1001" s="1711">
        <f t="shared" si="62"/>
        <v>17344248.024364915</v>
      </c>
      <c r="BK1001" s="1711">
        <f t="shared" si="63"/>
        <v>1.0883206215523153</v>
      </c>
      <c r="BL1001">
        <f>BJ1001</f>
        <v>17344248.024364915</v>
      </c>
      <c r="BO1001">
        <f>BL1001</f>
        <v>17344248.024364915</v>
      </c>
    </row>
    <row r="1002" spans="3:67" x14ac:dyDescent="0.25">
      <c r="C1002" s="246" t="s">
        <v>2352</v>
      </c>
      <c r="D1002" s="246">
        <v>1</v>
      </c>
      <c r="E1002" s="246">
        <v>2</v>
      </c>
      <c r="F1002" s="246">
        <v>3</v>
      </c>
      <c r="G1002" s="246">
        <v>9</v>
      </c>
      <c r="H1002" s="246">
        <v>13</v>
      </c>
      <c r="I1002" s="246">
        <v>15</v>
      </c>
      <c r="J1002" s="246">
        <v>16</v>
      </c>
      <c r="K1002" s="246">
        <v>17</v>
      </c>
      <c r="L1002" s="246"/>
      <c r="M1002" s="246"/>
      <c r="N1002" s="246"/>
      <c r="O1002" s="246"/>
      <c r="P1002" s="246"/>
      <c r="Q1002" s="246"/>
      <c r="R1002" s="246">
        <f>IFERROR(VLOOKUP(D1002,PROGRAMAS[],2,FALSE),0)</f>
        <v>97037803.679377079</v>
      </c>
      <c r="S1002" s="246">
        <f>IFERROR(VLOOKUP(E1002,PROGRAMAS[],2,FALSE),0)</f>
        <v>640501509.6821388</v>
      </c>
      <c r="T1002" s="246">
        <f>IFERROR(VLOOKUP(F1002,PROGRAMAS[],2,FALSE),0)</f>
        <v>3062327798.1525245</v>
      </c>
      <c r="U1002" s="246">
        <f>IFERROR(VLOOKUP(G1002,PROGRAMAS[],2,FALSE),0)</f>
        <v>6128579952.1618185</v>
      </c>
      <c r="V1002" s="246">
        <f>IFERROR(VLOOKUP(H1002,PROGRAMAS[],2,FALSE),0)</f>
        <v>3776538594.4604583</v>
      </c>
      <c r="W1002" s="246">
        <f>IFERROR(VLOOKUP(I1002,PROGRAMAS[],2,FALSE),0)</f>
        <v>122159672.96346797</v>
      </c>
      <c r="X1002" s="246">
        <f>IFERROR(VLOOKUP(J1002,PROGRAMAS[],2,FALSE),0)</f>
        <v>7068496961.0436354</v>
      </c>
      <c r="Y1002" s="246">
        <f>IFERROR(VLOOKUP(K1002,PROGRAMAS[],2,FALSE),0)</f>
        <v>1892779498.5211046</v>
      </c>
      <c r="Z1002" s="246">
        <f>IFERROR(VLOOKUP(L1002,PROGRAMAS[],2,FALSE),0)</f>
        <v>0</v>
      </c>
      <c r="AA1002" s="246">
        <f>IFERROR(VLOOKUP(M1002,PROGRAMAS[],2,FALSE),0)</f>
        <v>0</v>
      </c>
      <c r="AB1002" s="246">
        <f>IFERROR(VLOOKUP(N1002,PROGRAMAS[],2,FALSE),0)</f>
        <v>0</v>
      </c>
      <c r="AC1002" s="246">
        <f>IFERROR(VLOOKUP(O1002,PROGRAMAS[],2,FALSE),0)</f>
        <v>0</v>
      </c>
      <c r="AD1002" s="246">
        <f>IFERROR(VLOOKUP(P1002,PROGRAMAS[],2,FALSE),0)</f>
        <v>0</v>
      </c>
      <c r="AE1002" s="246">
        <f>IFERROR(VLOOKUP(Q1002,PROGRAMAS[],2,FALSE),0)</f>
        <v>0</v>
      </c>
      <c r="AF1002" s="246">
        <f>IFERROR(VLOOKUP(D1002,PROGRAMAS[],3,FALSE),0)</f>
        <v>841888629.31080008</v>
      </c>
      <c r="AG1002" s="246">
        <f>IFERROR(VLOOKUP(E1002,PROGRAMAS[],3,FALSE),0)</f>
        <v>3848980803.1642323</v>
      </c>
      <c r="AH1002" s="246">
        <f>IFERROR(VLOOKUP(F1002,PROGRAMAS[],3,FALSE),0)</f>
        <v>3394901471.387517</v>
      </c>
      <c r="AI1002" s="246">
        <f>IFERROR(VLOOKUP(G1002,PROGRAMAS[],3,FALSE),0)</f>
        <v>7011279577.519702</v>
      </c>
      <c r="AJ1002" s="246">
        <f>IFERROR(VLOOKUP(H1002,PROGRAMAS[],3,FALSE),0)</f>
        <v>2392571243.5584412</v>
      </c>
      <c r="AK1002" s="246">
        <f>IFERROR(VLOOKUP(I1002,PROGRAMAS[],3,FALSE),0)</f>
        <v>118617452.52510804</v>
      </c>
      <c r="AL1002" s="246">
        <f>IFERROR(VLOOKUP(J1002,PROGRAMAS[],3,FALSE),0)</f>
        <v>2406564599.0319901</v>
      </c>
      <c r="AM1002" s="246">
        <f>IFERROR(VLOOKUP(K1002,PROGRAMAS[],3,FALSE),0)</f>
        <v>948595847.09039903</v>
      </c>
      <c r="AN1002" s="246">
        <f>IFERROR(VLOOKUP(L1002,PROGRAMAS[],3,FALSE),0)</f>
        <v>0</v>
      </c>
      <c r="AO1002" s="246">
        <f>IFERROR(VLOOKUP(M1002,PROGRAMAS[],3,FALSE),0)</f>
        <v>0</v>
      </c>
      <c r="AP1002" s="246">
        <f>IFERROR(VLOOKUP(N1002,PROGRAMAS[],3,FALSE),0)</f>
        <v>0</v>
      </c>
      <c r="AQ1002" s="246">
        <f>IFERROR(VLOOKUP(O1002,PROGRAMAS[],3,FALSE),0)</f>
        <v>0</v>
      </c>
      <c r="AR1002" s="246">
        <f>IFERROR(VLOOKUP(P1002,PROGRAMAS[],3,FALSE),0)</f>
        <v>0</v>
      </c>
      <c r="AS1002" s="246">
        <f>IFERROR(VLOOKUP(Q1002,PROGRAMAS[],3,FALSE),0)</f>
        <v>0</v>
      </c>
      <c r="AT1002" s="246">
        <f>IFERROR(VLOOKUP(D1002,VOL_REC[],2,FALSE),0)</f>
        <v>0</v>
      </c>
      <c r="AU1002" s="246">
        <f>IFERROR(VLOOKUP(E1002,VOL_REC[],2,FALSE),0)</f>
        <v>0</v>
      </c>
      <c r="AV1002" s="246">
        <f>IFERROR(VLOOKUP(F1002,VOL_REC[],2,FALSE),0)</f>
        <v>11089674.200000001</v>
      </c>
      <c r="AW1002" s="246">
        <f>IFERROR(VLOOKUP(G1002,VOL_REC[],2,FALSE),0)</f>
        <v>3761786</v>
      </c>
      <c r="AX1002" s="246">
        <f>IFERROR(VLOOKUP(H1002,VOL_REC[],2,FALSE),0)</f>
        <v>663244.80000000016</v>
      </c>
      <c r="AY1002" s="246">
        <f>IFERROR(VLOOKUP(I1002,VOL_REC[],2,FALSE),0)</f>
        <v>105072</v>
      </c>
      <c r="AZ1002" s="246">
        <f>IFERROR(VLOOKUP(J1002,VOL_REC[],2,FALSE),0)</f>
        <v>1072354.9981737854</v>
      </c>
      <c r="BA1002" s="246">
        <f>IFERROR(VLOOKUP(K1002,VOL_REC[],2,FALSE),0)</f>
        <v>740113.98115702497</v>
      </c>
      <c r="BB1002" s="246">
        <f>IFERROR(VLOOKUP(L1002,VOL_REC[],2,FALSE),0)</f>
        <v>0</v>
      </c>
      <c r="BC1002" s="246">
        <f>IFERROR(VLOOKUP(M1002,VOL_REC[],2,FALSE),0)</f>
        <v>0</v>
      </c>
      <c r="BD1002" s="246">
        <f>IFERROR(VLOOKUP(N1002,VOL_REC[],2,FALSE),0)</f>
        <v>0</v>
      </c>
      <c r="BE1002" s="246">
        <f>IFERROR(VLOOKUP(O1002,VOL_REC[],2,FALSE),0)</f>
        <v>0</v>
      </c>
      <c r="BF1002" s="246">
        <f>IFERROR(VLOOKUP(P1002,VOL_REC[],2,FALSE),0)</f>
        <v>0</v>
      </c>
      <c r="BG1002" s="246">
        <f>IFERROR(VLOOKUP(Q1002,VOL_REC[],2,FALSE),0)</f>
        <v>0</v>
      </c>
      <c r="BH1002" s="1710">
        <f t="shared" si="60"/>
        <v>22788421790.664524</v>
      </c>
      <c r="BI1002" s="1710">
        <f t="shared" si="61"/>
        <v>20963399623.588192</v>
      </c>
      <c r="BJ1002" s="1711">
        <f t="shared" si="62"/>
        <v>17432245.979330812</v>
      </c>
      <c r="BK1002" s="1711">
        <f t="shared" si="63"/>
        <v>1.0870575479094908</v>
      </c>
      <c r="BL1002">
        <f>BJ1002</f>
        <v>17432245.979330812</v>
      </c>
      <c r="BO1002">
        <f>BL1002</f>
        <v>17432245.979330812</v>
      </c>
    </row>
    <row r="1003" spans="3:67" x14ac:dyDescent="0.25">
      <c r="C1003" s="246" t="s">
        <v>2353</v>
      </c>
      <c r="D1003" s="246">
        <v>1</v>
      </c>
      <c r="E1003" s="246">
        <v>2</v>
      </c>
      <c r="F1003" s="246">
        <v>3</v>
      </c>
      <c r="G1003" s="246">
        <v>9</v>
      </c>
      <c r="H1003" s="246">
        <v>14</v>
      </c>
      <c r="I1003" s="246">
        <v>15</v>
      </c>
      <c r="J1003" s="246">
        <v>16</v>
      </c>
      <c r="K1003" s="246">
        <v>17</v>
      </c>
      <c r="L1003" s="246"/>
      <c r="M1003" s="246"/>
      <c r="N1003" s="246"/>
      <c r="O1003" s="246"/>
      <c r="P1003" s="246"/>
      <c r="Q1003" s="246"/>
      <c r="R1003" s="246">
        <f>IFERROR(VLOOKUP(D1003,PROGRAMAS[],2,FALSE),0)</f>
        <v>97037803.679377079</v>
      </c>
      <c r="S1003" s="246">
        <f>IFERROR(VLOOKUP(E1003,PROGRAMAS[],2,FALSE),0)</f>
        <v>640501509.6821388</v>
      </c>
      <c r="T1003" s="246">
        <f>IFERROR(VLOOKUP(F1003,PROGRAMAS[],2,FALSE),0)</f>
        <v>3062327798.1525245</v>
      </c>
      <c r="U1003" s="246">
        <f>IFERROR(VLOOKUP(G1003,PROGRAMAS[],2,FALSE),0)</f>
        <v>6128579952.1618185</v>
      </c>
      <c r="V1003" s="246">
        <f>IFERROR(VLOOKUP(H1003,PROGRAMAS[],2,FALSE),0)</f>
        <v>54223862.645839565</v>
      </c>
      <c r="W1003" s="246">
        <f>IFERROR(VLOOKUP(I1003,PROGRAMAS[],2,FALSE),0)</f>
        <v>122159672.96346797</v>
      </c>
      <c r="X1003" s="246">
        <f>IFERROR(VLOOKUP(J1003,PROGRAMAS[],2,FALSE),0)</f>
        <v>7068496961.0436354</v>
      </c>
      <c r="Y1003" s="246">
        <f>IFERROR(VLOOKUP(K1003,PROGRAMAS[],2,FALSE),0)</f>
        <v>1892779498.5211046</v>
      </c>
      <c r="Z1003" s="246">
        <f>IFERROR(VLOOKUP(L1003,PROGRAMAS[],2,FALSE),0)</f>
        <v>0</v>
      </c>
      <c r="AA1003" s="246">
        <f>IFERROR(VLOOKUP(M1003,PROGRAMAS[],2,FALSE),0)</f>
        <v>0</v>
      </c>
      <c r="AB1003" s="246">
        <f>IFERROR(VLOOKUP(N1003,PROGRAMAS[],2,FALSE),0)</f>
        <v>0</v>
      </c>
      <c r="AC1003" s="246">
        <f>IFERROR(VLOOKUP(O1003,PROGRAMAS[],2,FALSE),0)</f>
        <v>0</v>
      </c>
      <c r="AD1003" s="246">
        <f>IFERROR(VLOOKUP(P1003,PROGRAMAS[],2,FALSE),0)</f>
        <v>0</v>
      </c>
      <c r="AE1003" s="246">
        <f>IFERROR(VLOOKUP(Q1003,PROGRAMAS[],2,FALSE),0)</f>
        <v>0</v>
      </c>
      <c r="AF1003" s="246">
        <f>IFERROR(VLOOKUP(D1003,PROGRAMAS[],3,FALSE),0)</f>
        <v>841888629.31080008</v>
      </c>
      <c r="AG1003" s="246">
        <f>IFERROR(VLOOKUP(E1003,PROGRAMAS[],3,FALSE),0)</f>
        <v>3848980803.1642323</v>
      </c>
      <c r="AH1003" s="246">
        <f>IFERROR(VLOOKUP(F1003,PROGRAMAS[],3,FALSE),0)</f>
        <v>3394901471.387517</v>
      </c>
      <c r="AI1003" s="246">
        <f>IFERROR(VLOOKUP(G1003,PROGRAMAS[],3,FALSE),0)</f>
        <v>7011279577.519702</v>
      </c>
      <c r="AJ1003" s="246">
        <f>IFERROR(VLOOKUP(H1003,PROGRAMAS[],3,FALSE),0)</f>
        <v>31865326.38096505</v>
      </c>
      <c r="AK1003" s="246">
        <f>IFERROR(VLOOKUP(I1003,PROGRAMAS[],3,FALSE),0)</f>
        <v>118617452.52510804</v>
      </c>
      <c r="AL1003" s="246">
        <f>IFERROR(VLOOKUP(J1003,PROGRAMAS[],3,FALSE),0)</f>
        <v>2406564599.0319901</v>
      </c>
      <c r="AM1003" s="246">
        <f>IFERROR(VLOOKUP(K1003,PROGRAMAS[],3,FALSE),0)</f>
        <v>948595847.09039903</v>
      </c>
      <c r="AN1003" s="246">
        <f>IFERROR(VLOOKUP(L1003,PROGRAMAS[],3,FALSE),0)</f>
        <v>0</v>
      </c>
      <c r="AO1003" s="246">
        <f>IFERROR(VLOOKUP(M1003,PROGRAMAS[],3,FALSE),0)</f>
        <v>0</v>
      </c>
      <c r="AP1003" s="246">
        <f>IFERROR(VLOOKUP(N1003,PROGRAMAS[],3,FALSE),0)</f>
        <v>0</v>
      </c>
      <c r="AQ1003" s="246">
        <f>IFERROR(VLOOKUP(O1003,PROGRAMAS[],3,FALSE),0)</f>
        <v>0</v>
      </c>
      <c r="AR1003" s="246">
        <f>IFERROR(VLOOKUP(P1003,PROGRAMAS[],3,FALSE),0)</f>
        <v>0</v>
      </c>
      <c r="AS1003" s="246">
        <f>IFERROR(VLOOKUP(Q1003,PROGRAMAS[],3,FALSE),0)</f>
        <v>0</v>
      </c>
      <c r="AT1003" s="246">
        <f>IFERROR(VLOOKUP(D1003,VOL_REC[],2,FALSE),0)</f>
        <v>0</v>
      </c>
      <c r="AU1003" s="246">
        <f>IFERROR(VLOOKUP(E1003,VOL_REC[],2,FALSE),0)</f>
        <v>0</v>
      </c>
      <c r="AV1003" s="246">
        <f>IFERROR(VLOOKUP(F1003,VOL_REC[],2,FALSE),0)</f>
        <v>11089674.200000001</v>
      </c>
      <c r="AW1003" s="246">
        <f>IFERROR(VLOOKUP(G1003,VOL_REC[],2,FALSE),0)</f>
        <v>3761786</v>
      </c>
      <c r="AX1003" s="246">
        <f>IFERROR(VLOOKUP(H1003,VOL_REC[],2,FALSE),0)</f>
        <v>17074.045034105649</v>
      </c>
      <c r="AY1003" s="246">
        <f>IFERROR(VLOOKUP(I1003,VOL_REC[],2,FALSE),0)</f>
        <v>105072</v>
      </c>
      <c r="AZ1003" s="246">
        <f>IFERROR(VLOOKUP(J1003,VOL_REC[],2,FALSE),0)</f>
        <v>1072354.9981737854</v>
      </c>
      <c r="BA1003" s="246">
        <f>IFERROR(VLOOKUP(K1003,VOL_REC[],2,FALSE),0)</f>
        <v>740113.98115702497</v>
      </c>
      <c r="BB1003" s="246">
        <f>IFERROR(VLOOKUP(L1003,VOL_REC[],2,FALSE),0)</f>
        <v>0</v>
      </c>
      <c r="BC1003" s="246">
        <f>IFERROR(VLOOKUP(M1003,VOL_REC[],2,FALSE),0)</f>
        <v>0</v>
      </c>
      <c r="BD1003" s="246">
        <f>IFERROR(VLOOKUP(N1003,VOL_REC[],2,FALSE),0)</f>
        <v>0</v>
      </c>
      <c r="BE1003" s="246">
        <f>IFERROR(VLOOKUP(O1003,VOL_REC[],2,FALSE),0)</f>
        <v>0</v>
      </c>
      <c r="BF1003" s="246">
        <f>IFERROR(VLOOKUP(P1003,VOL_REC[],2,FALSE),0)</f>
        <v>0</v>
      </c>
      <c r="BG1003" s="246">
        <f>IFERROR(VLOOKUP(Q1003,VOL_REC[],2,FALSE),0)</f>
        <v>0</v>
      </c>
      <c r="BH1003" s="1710">
        <f t="shared" si="60"/>
        <v>19066107058.849907</v>
      </c>
      <c r="BI1003" s="1710">
        <f t="shared" si="61"/>
        <v>18602693706.410713</v>
      </c>
      <c r="BJ1003" s="1711">
        <f t="shared" si="62"/>
        <v>16786075.224364914</v>
      </c>
      <c r="BK1003" s="1711">
        <f t="shared" si="63"/>
        <v>1.0249110886709647</v>
      </c>
      <c r="BL1003">
        <f>BJ1003</f>
        <v>16786075.224364914</v>
      </c>
      <c r="BO1003">
        <f>BL1003</f>
        <v>16786075.224364914</v>
      </c>
    </row>
    <row r="1004" spans="3:67" x14ac:dyDescent="0.25">
      <c r="C1004" s="246" t="s">
        <v>2354</v>
      </c>
      <c r="D1004" s="246">
        <v>1</v>
      </c>
      <c r="E1004" s="246">
        <v>2</v>
      </c>
      <c r="F1004" s="246">
        <v>3</v>
      </c>
      <c r="G1004" s="246">
        <v>10</v>
      </c>
      <c r="H1004" s="246">
        <v>12</v>
      </c>
      <c r="I1004" s="246">
        <v>13</v>
      </c>
      <c r="J1004" s="246">
        <v>14</v>
      </c>
      <c r="K1004" s="246">
        <v>15</v>
      </c>
      <c r="L1004" s="246"/>
      <c r="M1004" s="246"/>
      <c r="N1004" s="246"/>
      <c r="O1004" s="246"/>
      <c r="P1004" s="246"/>
      <c r="Q1004" s="246"/>
      <c r="R1004" s="246">
        <f>IFERROR(VLOOKUP(D1004,PROGRAMAS[],2,FALSE),0)</f>
        <v>97037803.679377079</v>
      </c>
      <c r="S1004" s="246">
        <f>IFERROR(VLOOKUP(E1004,PROGRAMAS[],2,FALSE),0)</f>
        <v>640501509.6821388</v>
      </c>
      <c r="T1004" s="246">
        <f>IFERROR(VLOOKUP(F1004,PROGRAMAS[],2,FALSE),0)</f>
        <v>3062327798.1525245</v>
      </c>
      <c r="U1004" s="246">
        <f>IFERROR(VLOOKUP(G1004,PROGRAMAS[],2,FALSE),0)</f>
        <v>4635315027.8751087</v>
      </c>
      <c r="V1004" s="246">
        <f>IFERROR(VLOOKUP(H1004,PROGRAMAS[],2,FALSE),0)</f>
        <v>764796700.79905891</v>
      </c>
      <c r="W1004" s="246">
        <f>IFERROR(VLOOKUP(I1004,PROGRAMAS[],2,FALSE),0)</f>
        <v>3776538594.4604583</v>
      </c>
      <c r="X1004" s="246">
        <f>IFERROR(VLOOKUP(J1004,PROGRAMAS[],2,FALSE),0)</f>
        <v>54223862.645839565</v>
      </c>
      <c r="Y1004" s="246">
        <f>IFERROR(VLOOKUP(K1004,PROGRAMAS[],2,FALSE),0)</f>
        <v>122159672.96346797</v>
      </c>
      <c r="Z1004" s="246">
        <f>IFERROR(VLOOKUP(L1004,PROGRAMAS[],2,FALSE),0)</f>
        <v>0</v>
      </c>
      <c r="AA1004" s="246">
        <f>IFERROR(VLOOKUP(M1004,PROGRAMAS[],2,FALSE),0)</f>
        <v>0</v>
      </c>
      <c r="AB1004" s="246">
        <f>IFERROR(VLOOKUP(N1004,PROGRAMAS[],2,FALSE),0)</f>
        <v>0</v>
      </c>
      <c r="AC1004" s="246">
        <f>IFERROR(VLOOKUP(O1004,PROGRAMAS[],2,FALSE),0)</f>
        <v>0</v>
      </c>
      <c r="AD1004" s="246">
        <f>IFERROR(VLOOKUP(P1004,PROGRAMAS[],2,FALSE),0)</f>
        <v>0</v>
      </c>
      <c r="AE1004" s="246">
        <f>IFERROR(VLOOKUP(Q1004,PROGRAMAS[],2,FALSE),0)</f>
        <v>0</v>
      </c>
      <c r="AF1004" s="246">
        <f>IFERROR(VLOOKUP(D1004,PROGRAMAS[],3,FALSE),0)</f>
        <v>841888629.31080008</v>
      </c>
      <c r="AG1004" s="246">
        <f>IFERROR(VLOOKUP(E1004,PROGRAMAS[],3,FALSE),0)</f>
        <v>3848980803.1642323</v>
      </c>
      <c r="AH1004" s="246">
        <f>IFERROR(VLOOKUP(F1004,PROGRAMAS[],3,FALSE),0)</f>
        <v>3394901471.387517</v>
      </c>
      <c r="AI1004" s="246">
        <f>IFERROR(VLOOKUP(G1004,PROGRAMAS[],3,FALSE),0)</f>
        <v>4099471734.9978786</v>
      </c>
      <c r="AJ1004" s="246">
        <f>IFERROR(VLOOKUP(H1004,PROGRAMAS[],3,FALSE),0)</f>
        <v>675517840.109828</v>
      </c>
      <c r="AK1004" s="246">
        <f>IFERROR(VLOOKUP(I1004,PROGRAMAS[],3,FALSE),0)</f>
        <v>2392571243.5584412</v>
      </c>
      <c r="AL1004" s="246">
        <f>IFERROR(VLOOKUP(J1004,PROGRAMAS[],3,FALSE),0)</f>
        <v>31865326.38096505</v>
      </c>
      <c r="AM1004" s="246">
        <f>IFERROR(VLOOKUP(K1004,PROGRAMAS[],3,FALSE),0)</f>
        <v>118617452.52510804</v>
      </c>
      <c r="AN1004" s="246">
        <f>IFERROR(VLOOKUP(L1004,PROGRAMAS[],3,FALSE),0)</f>
        <v>0</v>
      </c>
      <c r="AO1004" s="246">
        <f>IFERROR(VLOOKUP(M1004,PROGRAMAS[],3,FALSE),0)</f>
        <v>0</v>
      </c>
      <c r="AP1004" s="246">
        <f>IFERROR(VLOOKUP(N1004,PROGRAMAS[],3,FALSE),0)</f>
        <v>0</v>
      </c>
      <c r="AQ1004" s="246">
        <f>IFERROR(VLOOKUP(O1004,PROGRAMAS[],3,FALSE),0)</f>
        <v>0</v>
      </c>
      <c r="AR1004" s="246">
        <f>IFERROR(VLOOKUP(P1004,PROGRAMAS[],3,FALSE),0)</f>
        <v>0</v>
      </c>
      <c r="AS1004" s="246">
        <f>IFERROR(VLOOKUP(Q1004,PROGRAMAS[],3,FALSE),0)</f>
        <v>0</v>
      </c>
      <c r="AT1004" s="246">
        <f>IFERROR(VLOOKUP(D1004,VOL_REC[],2,FALSE),0)</f>
        <v>0</v>
      </c>
      <c r="AU1004" s="246">
        <f>IFERROR(VLOOKUP(E1004,VOL_REC[],2,FALSE),0)</f>
        <v>0</v>
      </c>
      <c r="AV1004" s="246">
        <f>IFERROR(VLOOKUP(F1004,VOL_REC[],2,FALSE),0)</f>
        <v>11089674.200000001</v>
      </c>
      <c r="AW1004" s="246">
        <f>IFERROR(VLOOKUP(G1004,VOL_REC[],2,FALSE),0)</f>
        <v>1812240</v>
      </c>
      <c r="AX1004" s="246">
        <f>IFERROR(VLOOKUP(H1004,VOL_REC[],2,FALSE),0)</f>
        <v>240696.79238099116</v>
      </c>
      <c r="AY1004" s="246">
        <f>IFERROR(VLOOKUP(I1004,VOL_REC[],2,FALSE),0)</f>
        <v>663244.80000000016</v>
      </c>
      <c r="AZ1004" s="246">
        <f>IFERROR(VLOOKUP(J1004,VOL_REC[],2,FALSE),0)</f>
        <v>17074.045034105649</v>
      </c>
      <c r="BA1004" s="246">
        <f>IFERROR(VLOOKUP(K1004,VOL_REC[],2,FALSE),0)</f>
        <v>105072</v>
      </c>
      <c r="BB1004" s="246">
        <f>IFERROR(VLOOKUP(L1004,VOL_REC[],2,FALSE),0)</f>
        <v>0</v>
      </c>
      <c r="BC1004" s="246">
        <f>IFERROR(VLOOKUP(M1004,VOL_REC[],2,FALSE),0)</f>
        <v>0</v>
      </c>
      <c r="BD1004" s="246">
        <f>IFERROR(VLOOKUP(N1004,VOL_REC[],2,FALSE),0)</f>
        <v>0</v>
      </c>
      <c r="BE1004" s="246">
        <f>IFERROR(VLOOKUP(O1004,VOL_REC[],2,FALSE),0)</f>
        <v>0</v>
      </c>
      <c r="BF1004" s="246">
        <f>IFERROR(VLOOKUP(P1004,VOL_REC[],2,FALSE),0)</f>
        <v>0</v>
      </c>
      <c r="BG1004" s="246">
        <f>IFERROR(VLOOKUP(Q1004,VOL_REC[],2,FALSE),0)</f>
        <v>0</v>
      </c>
      <c r="BH1004" s="1710">
        <f t="shared" si="60"/>
        <v>13152900970.257975</v>
      </c>
      <c r="BI1004" s="1710">
        <f t="shared" si="61"/>
        <v>15403814501.434771</v>
      </c>
      <c r="BJ1004" s="1711">
        <f t="shared" si="62"/>
        <v>13928001.837415097</v>
      </c>
      <c r="BK1004" s="1711">
        <f t="shared" si="63"/>
        <v>0.8538729786075302</v>
      </c>
    </row>
    <row r="1005" spans="3:67" x14ac:dyDescent="0.25">
      <c r="C1005" s="246" t="s">
        <v>2355</v>
      </c>
      <c r="D1005" s="246">
        <v>1</v>
      </c>
      <c r="E1005" s="246">
        <v>2</v>
      </c>
      <c r="F1005" s="246">
        <v>3</v>
      </c>
      <c r="G1005" s="246">
        <v>10</v>
      </c>
      <c r="H1005" s="246">
        <v>12</v>
      </c>
      <c r="I1005" s="246">
        <v>13</v>
      </c>
      <c r="J1005" s="246">
        <v>14</v>
      </c>
      <c r="K1005" s="246">
        <v>16</v>
      </c>
      <c r="L1005" s="246"/>
      <c r="M1005" s="246"/>
      <c r="N1005" s="246"/>
      <c r="O1005" s="246"/>
      <c r="P1005" s="246"/>
      <c r="Q1005" s="246"/>
      <c r="R1005" s="246">
        <f>IFERROR(VLOOKUP(D1005,PROGRAMAS[],2,FALSE),0)</f>
        <v>97037803.679377079</v>
      </c>
      <c r="S1005" s="246">
        <f>IFERROR(VLOOKUP(E1005,PROGRAMAS[],2,FALSE),0)</f>
        <v>640501509.6821388</v>
      </c>
      <c r="T1005" s="246">
        <f>IFERROR(VLOOKUP(F1005,PROGRAMAS[],2,FALSE),0)</f>
        <v>3062327798.1525245</v>
      </c>
      <c r="U1005" s="246">
        <f>IFERROR(VLOOKUP(G1005,PROGRAMAS[],2,FALSE),0)</f>
        <v>4635315027.8751087</v>
      </c>
      <c r="V1005" s="246">
        <f>IFERROR(VLOOKUP(H1005,PROGRAMAS[],2,FALSE),0)</f>
        <v>764796700.79905891</v>
      </c>
      <c r="W1005" s="246">
        <f>IFERROR(VLOOKUP(I1005,PROGRAMAS[],2,FALSE),0)</f>
        <v>3776538594.4604583</v>
      </c>
      <c r="X1005" s="246">
        <f>IFERROR(VLOOKUP(J1005,PROGRAMAS[],2,FALSE),0)</f>
        <v>54223862.645839565</v>
      </c>
      <c r="Y1005" s="246">
        <f>IFERROR(VLOOKUP(K1005,PROGRAMAS[],2,FALSE),0)</f>
        <v>7068496961.0436354</v>
      </c>
      <c r="Z1005" s="246">
        <f>IFERROR(VLOOKUP(L1005,PROGRAMAS[],2,FALSE),0)</f>
        <v>0</v>
      </c>
      <c r="AA1005" s="246">
        <f>IFERROR(VLOOKUP(M1005,PROGRAMAS[],2,FALSE),0)</f>
        <v>0</v>
      </c>
      <c r="AB1005" s="246">
        <f>IFERROR(VLOOKUP(N1005,PROGRAMAS[],2,FALSE),0)</f>
        <v>0</v>
      </c>
      <c r="AC1005" s="246">
        <f>IFERROR(VLOOKUP(O1005,PROGRAMAS[],2,FALSE),0)</f>
        <v>0</v>
      </c>
      <c r="AD1005" s="246">
        <f>IFERROR(VLOOKUP(P1005,PROGRAMAS[],2,FALSE),0)</f>
        <v>0</v>
      </c>
      <c r="AE1005" s="246">
        <f>IFERROR(VLOOKUP(Q1005,PROGRAMAS[],2,FALSE),0)</f>
        <v>0</v>
      </c>
      <c r="AF1005" s="246">
        <f>IFERROR(VLOOKUP(D1005,PROGRAMAS[],3,FALSE),0)</f>
        <v>841888629.31080008</v>
      </c>
      <c r="AG1005" s="246">
        <f>IFERROR(VLOOKUP(E1005,PROGRAMAS[],3,FALSE),0)</f>
        <v>3848980803.1642323</v>
      </c>
      <c r="AH1005" s="246">
        <f>IFERROR(VLOOKUP(F1005,PROGRAMAS[],3,FALSE),0)</f>
        <v>3394901471.387517</v>
      </c>
      <c r="AI1005" s="246">
        <f>IFERROR(VLOOKUP(G1005,PROGRAMAS[],3,FALSE),0)</f>
        <v>4099471734.9978786</v>
      </c>
      <c r="AJ1005" s="246">
        <f>IFERROR(VLOOKUP(H1005,PROGRAMAS[],3,FALSE),0)</f>
        <v>675517840.109828</v>
      </c>
      <c r="AK1005" s="246">
        <f>IFERROR(VLOOKUP(I1005,PROGRAMAS[],3,FALSE),0)</f>
        <v>2392571243.5584412</v>
      </c>
      <c r="AL1005" s="246">
        <f>IFERROR(VLOOKUP(J1005,PROGRAMAS[],3,FALSE),0)</f>
        <v>31865326.38096505</v>
      </c>
      <c r="AM1005" s="246">
        <f>IFERROR(VLOOKUP(K1005,PROGRAMAS[],3,FALSE),0)</f>
        <v>2406564599.0319901</v>
      </c>
      <c r="AN1005" s="246">
        <f>IFERROR(VLOOKUP(L1005,PROGRAMAS[],3,FALSE),0)</f>
        <v>0</v>
      </c>
      <c r="AO1005" s="246">
        <f>IFERROR(VLOOKUP(M1005,PROGRAMAS[],3,FALSE),0)</f>
        <v>0</v>
      </c>
      <c r="AP1005" s="246">
        <f>IFERROR(VLOOKUP(N1005,PROGRAMAS[],3,FALSE),0)</f>
        <v>0</v>
      </c>
      <c r="AQ1005" s="246">
        <f>IFERROR(VLOOKUP(O1005,PROGRAMAS[],3,FALSE),0)</f>
        <v>0</v>
      </c>
      <c r="AR1005" s="246">
        <f>IFERROR(VLOOKUP(P1005,PROGRAMAS[],3,FALSE),0)</f>
        <v>0</v>
      </c>
      <c r="AS1005" s="246">
        <f>IFERROR(VLOOKUP(Q1005,PROGRAMAS[],3,FALSE),0)</f>
        <v>0</v>
      </c>
      <c r="AT1005" s="246">
        <f>IFERROR(VLOOKUP(D1005,VOL_REC[],2,FALSE),0)</f>
        <v>0</v>
      </c>
      <c r="AU1005" s="246">
        <f>IFERROR(VLOOKUP(E1005,VOL_REC[],2,FALSE),0)</f>
        <v>0</v>
      </c>
      <c r="AV1005" s="246">
        <f>IFERROR(VLOOKUP(F1005,VOL_REC[],2,FALSE),0)</f>
        <v>11089674.200000001</v>
      </c>
      <c r="AW1005" s="246">
        <f>IFERROR(VLOOKUP(G1005,VOL_REC[],2,FALSE),0)</f>
        <v>1812240</v>
      </c>
      <c r="AX1005" s="246">
        <f>IFERROR(VLOOKUP(H1005,VOL_REC[],2,FALSE),0)</f>
        <v>240696.79238099116</v>
      </c>
      <c r="AY1005" s="246">
        <f>IFERROR(VLOOKUP(I1005,VOL_REC[],2,FALSE),0)</f>
        <v>663244.80000000016</v>
      </c>
      <c r="AZ1005" s="246">
        <f>IFERROR(VLOOKUP(J1005,VOL_REC[],2,FALSE),0)</f>
        <v>17074.045034105649</v>
      </c>
      <c r="BA1005" s="246">
        <f>IFERROR(VLOOKUP(K1005,VOL_REC[],2,FALSE),0)</f>
        <v>1072354.9981737854</v>
      </c>
      <c r="BB1005" s="246">
        <f>IFERROR(VLOOKUP(L1005,VOL_REC[],2,FALSE),0)</f>
        <v>0</v>
      </c>
      <c r="BC1005" s="246">
        <f>IFERROR(VLOOKUP(M1005,VOL_REC[],2,FALSE),0)</f>
        <v>0</v>
      </c>
      <c r="BD1005" s="246">
        <f>IFERROR(VLOOKUP(N1005,VOL_REC[],2,FALSE),0)</f>
        <v>0</v>
      </c>
      <c r="BE1005" s="246">
        <f>IFERROR(VLOOKUP(O1005,VOL_REC[],2,FALSE),0)</f>
        <v>0</v>
      </c>
      <c r="BF1005" s="246">
        <f>IFERROR(VLOOKUP(P1005,VOL_REC[],2,FALSE),0)</f>
        <v>0</v>
      </c>
      <c r="BG1005" s="246">
        <f>IFERROR(VLOOKUP(Q1005,VOL_REC[],2,FALSE),0)</f>
        <v>0</v>
      </c>
      <c r="BH1005" s="1710">
        <f t="shared" si="60"/>
        <v>20099238258.338142</v>
      </c>
      <c r="BI1005" s="1710">
        <f t="shared" si="61"/>
        <v>17691761647.94165</v>
      </c>
      <c r="BJ1005" s="1711">
        <f t="shared" si="62"/>
        <v>14895284.835588884</v>
      </c>
      <c r="BK1005" s="1711">
        <f t="shared" si="63"/>
        <v>1.1360789647918748</v>
      </c>
      <c r="BL1005">
        <f>BJ1005</f>
        <v>14895284.835588884</v>
      </c>
      <c r="BO1005">
        <f>BL1005</f>
        <v>14895284.835588884</v>
      </c>
    </row>
    <row r="1006" spans="3:67" x14ac:dyDescent="0.25">
      <c r="C1006" s="246" t="s">
        <v>2356</v>
      </c>
      <c r="D1006" s="246">
        <v>1</v>
      </c>
      <c r="E1006" s="246">
        <v>2</v>
      </c>
      <c r="F1006" s="246">
        <v>3</v>
      </c>
      <c r="G1006" s="246">
        <v>10</v>
      </c>
      <c r="H1006" s="246">
        <v>12</v>
      </c>
      <c r="I1006" s="246">
        <v>13</v>
      </c>
      <c r="J1006" s="246">
        <v>14</v>
      </c>
      <c r="K1006" s="246">
        <v>17</v>
      </c>
      <c r="L1006" s="246"/>
      <c r="M1006" s="246"/>
      <c r="N1006" s="246"/>
      <c r="O1006" s="246"/>
      <c r="P1006" s="246"/>
      <c r="Q1006" s="246"/>
      <c r="R1006" s="246">
        <f>IFERROR(VLOOKUP(D1006,PROGRAMAS[],2,FALSE),0)</f>
        <v>97037803.679377079</v>
      </c>
      <c r="S1006" s="246">
        <f>IFERROR(VLOOKUP(E1006,PROGRAMAS[],2,FALSE),0)</f>
        <v>640501509.6821388</v>
      </c>
      <c r="T1006" s="246">
        <f>IFERROR(VLOOKUP(F1006,PROGRAMAS[],2,FALSE),0)</f>
        <v>3062327798.1525245</v>
      </c>
      <c r="U1006" s="246">
        <f>IFERROR(VLOOKUP(G1006,PROGRAMAS[],2,FALSE),0)</f>
        <v>4635315027.8751087</v>
      </c>
      <c r="V1006" s="246">
        <f>IFERROR(VLOOKUP(H1006,PROGRAMAS[],2,FALSE),0)</f>
        <v>764796700.79905891</v>
      </c>
      <c r="W1006" s="246">
        <f>IFERROR(VLOOKUP(I1006,PROGRAMAS[],2,FALSE),0)</f>
        <v>3776538594.4604583</v>
      </c>
      <c r="X1006" s="246">
        <f>IFERROR(VLOOKUP(J1006,PROGRAMAS[],2,FALSE),0)</f>
        <v>54223862.645839565</v>
      </c>
      <c r="Y1006" s="246">
        <f>IFERROR(VLOOKUP(K1006,PROGRAMAS[],2,FALSE),0)</f>
        <v>1892779498.5211046</v>
      </c>
      <c r="Z1006" s="246">
        <f>IFERROR(VLOOKUP(L1006,PROGRAMAS[],2,FALSE),0)</f>
        <v>0</v>
      </c>
      <c r="AA1006" s="246">
        <f>IFERROR(VLOOKUP(M1006,PROGRAMAS[],2,FALSE),0)</f>
        <v>0</v>
      </c>
      <c r="AB1006" s="246">
        <f>IFERROR(VLOOKUP(N1006,PROGRAMAS[],2,FALSE),0)</f>
        <v>0</v>
      </c>
      <c r="AC1006" s="246">
        <f>IFERROR(VLOOKUP(O1006,PROGRAMAS[],2,FALSE),0)</f>
        <v>0</v>
      </c>
      <c r="AD1006" s="246">
        <f>IFERROR(VLOOKUP(P1006,PROGRAMAS[],2,FALSE),0)</f>
        <v>0</v>
      </c>
      <c r="AE1006" s="246">
        <f>IFERROR(VLOOKUP(Q1006,PROGRAMAS[],2,FALSE),0)</f>
        <v>0</v>
      </c>
      <c r="AF1006" s="246">
        <f>IFERROR(VLOOKUP(D1006,PROGRAMAS[],3,FALSE),0)</f>
        <v>841888629.31080008</v>
      </c>
      <c r="AG1006" s="246">
        <f>IFERROR(VLOOKUP(E1006,PROGRAMAS[],3,FALSE),0)</f>
        <v>3848980803.1642323</v>
      </c>
      <c r="AH1006" s="246">
        <f>IFERROR(VLOOKUP(F1006,PROGRAMAS[],3,FALSE),0)</f>
        <v>3394901471.387517</v>
      </c>
      <c r="AI1006" s="246">
        <f>IFERROR(VLOOKUP(G1006,PROGRAMAS[],3,FALSE),0)</f>
        <v>4099471734.9978786</v>
      </c>
      <c r="AJ1006" s="246">
        <f>IFERROR(VLOOKUP(H1006,PROGRAMAS[],3,FALSE),0)</f>
        <v>675517840.109828</v>
      </c>
      <c r="AK1006" s="246">
        <f>IFERROR(VLOOKUP(I1006,PROGRAMAS[],3,FALSE),0)</f>
        <v>2392571243.5584412</v>
      </c>
      <c r="AL1006" s="246">
        <f>IFERROR(VLOOKUP(J1006,PROGRAMAS[],3,FALSE),0)</f>
        <v>31865326.38096505</v>
      </c>
      <c r="AM1006" s="246">
        <f>IFERROR(VLOOKUP(K1006,PROGRAMAS[],3,FALSE),0)</f>
        <v>948595847.09039903</v>
      </c>
      <c r="AN1006" s="246">
        <f>IFERROR(VLOOKUP(L1006,PROGRAMAS[],3,FALSE),0)</f>
        <v>0</v>
      </c>
      <c r="AO1006" s="246">
        <f>IFERROR(VLOOKUP(M1006,PROGRAMAS[],3,FALSE),0)</f>
        <v>0</v>
      </c>
      <c r="AP1006" s="246">
        <f>IFERROR(VLOOKUP(N1006,PROGRAMAS[],3,FALSE),0)</f>
        <v>0</v>
      </c>
      <c r="AQ1006" s="246">
        <f>IFERROR(VLOOKUP(O1006,PROGRAMAS[],3,FALSE),0)</f>
        <v>0</v>
      </c>
      <c r="AR1006" s="246">
        <f>IFERROR(VLOOKUP(P1006,PROGRAMAS[],3,FALSE),0)</f>
        <v>0</v>
      </c>
      <c r="AS1006" s="246">
        <f>IFERROR(VLOOKUP(Q1006,PROGRAMAS[],3,FALSE),0)</f>
        <v>0</v>
      </c>
      <c r="AT1006" s="246">
        <f>IFERROR(VLOOKUP(D1006,VOL_REC[],2,FALSE),0)</f>
        <v>0</v>
      </c>
      <c r="AU1006" s="246">
        <f>IFERROR(VLOOKUP(E1006,VOL_REC[],2,FALSE),0)</f>
        <v>0</v>
      </c>
      <c r="AV1006" s="246">
        <f>IFERROR(VLOOKUP(F1006,VOL_REC[],2,FALSE),0)</f>
        <v>11089674.200000001</v>
      </c>
      <c r="AW1006" s="246">
        <f>IFERROR(VLOOKUP(G1006,VOL_REC[],2,FALSE),0)</f>
        <v>1812240</v>
      </c>
      <c r="AX1006" s="246">
        <f>IFERROR(VLOOKUP(H1006,VOL_REC[],2,FALSE),0)</f>
        <v>240696.79238099116</v>
      </c>
      <c r="AY1006" s="246">
        <f>IFERROR(VLOOKUP(I1006,VOL_REC[],2,FALSE),0)</f>
        <v>663244.80000000016</v>
      </c>
      <c r="AZ1006" s="246">
        <f>IFERROR(VLOOKUP(J1006,VOL_REC[],2,FALSE),0)</f>
        <v>17074.045034105649</v>
      </c>
      <c r="BA1006" s="246">
        <f>IFERROR(VLOOKUP(K1006,VOL_REC[],2,FALSE),0)</f>
        <v>740113.98115702497</v>
      </c>
      <c r="BB1006" s="246">
        <f>IFERROR(VLOOKUP(L1006,VOL_REC[],2,FALSE),0)</f>
        <v>0</v>
      </c>
      <c r="BC1006" s="246">
        <f>IFERROR(VLOOKUP(M1006,VOL_REC[],2,FALSE),0)</f>
        <v>0</v>
      </c>
      <c r="BD1006" s="246">
        <f>IFERROR(VLOOKUP(N1006,VOL_REC[],2,FALSE),0)</f>
        <v>0</v>
      </c>
      <c r="BE1006" s="246">
        <f>IFERROR(VLOOKUP(O1006,VOL_REC[],2,FALSE),0)</f>
        <v>0</v>
      </c>
      <c r="BF1006" s="246">
        <f>IFERROR(VLOOKUP(P1006,VOL_REC[],2,FALSE),0)</f>
        <v>0</v>
      </c>
      <c r="BG1006" s="246">
        <f>IFERROR(VLOOKUP(Q1006,VOL_REC[],2,FALSE),0)</f>
        <v>0</v>
      </c>
      <c r="BH1006" s="1710">
        <f t="shared" si="60"/>
        <v>14923520795.815611</v>
      </c>
      <c r="BI1006" s="1710">
        <f t="shared" si="61"/>
        <v>16233792896.000061</v>
      </c>
      <c r="BJ1006" s="1711">
        <f t="shared" si="62"/>
        <v>14563043.818572123</v>
      </c>
      <c r="BK1006" s="1711">
        <f t="shared" si="63"/>
        <v>0.91928737119054316</v>
      </c>
    </row>
    <row r="1007" spans="3:67" x14ac:dyDescent="0.25">
      <c r="C1007" s="246" t="s">
        <v>2357</v>
      </c>
      <c r="D1007" s="246">
        <v>1</v>
      </c>
      <c r="E1007" s="246">
        <v>2</v>
      </c>
      <c r="F1007" s="246">
        <v>3</v>
      </c>
      <c r="G1007" s="246">
        <v>10</v>
      </c>
      <c r="H1007" s="246">
        <v>12</v>
      </c>
      <c r="I1007" s="246">
        <v>13</v>
      </c>
      <c r="J1007" s="246">
        <v>15</v>
      </c>
      <c r="K1007" s="246">
        <v>16</v>
      </c>
      <c r="L1007" s="246"/>
      <c r="M1007" s="246"/>
      <c r="N1007" s="246"/>
      <c r="O1007" s="246"/>
      <c r="P1007" s="246"/>
      <c r="Q1007" s="246"/>
      <c r="R1007" s="246">
        <f>IFERROR(VLOOKUP(D1007,PROGRAMAS[],2,FALSE),0)</f>
        <v>97037803.679377079</v>
      </c>
      <c r="S1007" s="246">
        <f>IFERROR(VLOOKUP(E1007,PROGRAMAS[],2,FALSE),0)</f>
        <v>640501509.6821388</v>
      </c>
      <c r="T1007" s="246">
        <f>IFERROR(VLOOKUP(F1007,PROGRAMAS[],2,FALSE),0)</f>
        <v>3062327798.1525245</v>
      </c>
      <c r="U1007" s="246">
        <f>IFERROR(VLOOKUP(G1007,PROGRAMAS[],2,FALSE),0)</f>
        <v>4635315027.8751087</v>
      </c>
      <c r="V1007" s="246">
        <f>IFERROR(VLOOKUP(H1007,PROGRAMAS[],2,FALSE),0)</f>
        <v>764796700.79905891</v>
      </c>
      <c r="W1007" s="246">
        <f>IFERROR(VLOOKUP(I1007,PROGRAMAS[],2,FALSE),0)</f>
        <v>3776538594.4604583</v>
      </c>
      <c r="X1007" s="246">
        <f>IFERROR(VLOOKUP(J1007,PROGRAMAS[],2,FALSE),0)</f>
        <v>122159672.96346797</v>
      </c>
      <c r="Y1007" s="246">
        <f>IFERROR(VLOOKUP(K1007,PROGRAMAS[],2,FALSE),0)</f>
        <v>7068496961.0436354</v>
      </c>
      <c r="Z1007" s="246">
        <f>IFERROR(VLOOKUP(L1007,PROGRAMAS[],2,FALSE),0)</f>
        <v>0</v>
      </c>
      <c r="AA1007" s="246">
        <f>IFERROR(VLOOKUP(M1007,PROGRAMAS[],2,FALSE),0)</f>
        <v>0</v>
      </c>
      <c r="AB1007" s="246">
        <f>IFERROR(VLOOKUP(N1007,PROGRAMAS[],2,FALSE),0)</f>
        <v>0</v>
      </c>
      <c r="AC1007" s="246">
        <f>IFERROR(VLOOKUP(O1007,PROGRAMAS[],2,FALSE),0)</f>
        <v>0</v>
      </c>
      <c r="AD1007" s="246">
        <f>IFERROR(VLOOKUP(P1007,PROGRAMAS[],2,FALSE),0)</f>
        <v>0</v>
      </c>
      <c r="AE1007" s="246">
        <f>IFERROR(VLOOKUP(Q1007,PROGRAMAS[],2,FALSE),0)</f>
        <v>0</v>
      </c>
      <c r="AF1007" s="246">
        <f>IFERROR(VLOOKUP(D1007,PROGRAMAS[],3,FALSE),0)</f>
        <v>841888629.31080008</v>
      </c>
      <c r="AG1007" s="246">
        <f>IFERROR(VLOOKUP(E1007,PROGRAMAS[],3,FALSE),0)</f>
        <v>3848980803.1642323</v>
      </c>
      <c r="AH1007" s="246">
        <f>IFERROR(VLOOKUP(F1007,PROGRAMAS[],3,FALSE),0)</f>
        <v>3394901471.387517</v>
      </c>
      <c r="AI1007" s="246">
        <f>IFERROR(VLOOKUP(G1007,PROGRAMAS[],3,FALSE),0)</f>
        <v>4099471734.9978786</v>
      </c>
      <c r="AJ1007" s="246">
        <f>IFERROR(VLOOKUP(H1007,PROGRAMAS[],3,FALSE),0)</f>
        <v>675517840.109828</v>
      </c>
      <c r="AK1007" s="246">
        <f>IFERROR(VLOOKUP(I1007,PROGRAMAS[],3,FALSE),0)</f>
        <v>2392571243.5584412</v>
      </c>
      <c r="AL1007" s="246">
        <f>IFERROR(VLOOKUP(J1007,PROGRAMAS[],3,FALSE),0)</f>
        <v>118617452.52510804</v>
      </c>
      <c r="AM1007" s="246">
        <f>IFERROR(VLOOKUP(K1007,PROGRAMAS[],3,FALSE),0)</f>
        <v>2406564599.0319901</v>
      </c>
      <c r="AN1007" s="246">
        <f>IFERROR(VLOOKUP(L1007,PROGRAMAS[],3,FALSE),0)</f>
        <v>0</v>
      </c>
      <c r="AO1007" s="246">
        <f>IFERROR(VLOOKUP(M1007,PROGRAMAS[],3,FALSE),0)</f>
        <v>0</v>
      </c>
      <c r="AP1007" s="246">
        <f>IFERROR(VLOOKUP(N1007,PROGRAMAS[],3,FALSE),0)</f>
        <v>0</v>
      </c>
      <c r="AQ1007" s="246">
        <f>IFERROR(VLOOKUP(O1007,PROGRAMAS[],3,FALSE),0)</f>
        <v>0</v>
      </c>
      <c r="AR1007" s="246">
        <f>IFERROR(VLOOKUP(P1007,PROGRAMAS[],3,FALSE),0)</f>
        <v>0</v>
      </c>
      <c r="AS1007" s="246">
        <f>IFERROR(VLOOKUP(Q1007,PROGRAMAS[],3,FALSE),0)</f>
        <v>0</v>
      </c>
      <c r="AT1007" s="246">
        <f>IFERROR(VLOOKUP(D1007,VOL_REC[],2,FALSE),0)</f>
        <v>0</v>
      </c>
      <c r="AU1007" s="246">
        <f>IFERROR(VLOOKUP(E1007,VOL_REC[],2,FALSE),0)</f>
        <v>0</v>
      </c>
      <c r="AV1007" s="246">
        <f>IFERROR(VLOOKUP(F1007,VOL_REC[],2,FALSE),0)</f>
        <v>11089674.200000001</v>
      </c>
      <c r="AW1007" s="246">
        <f>IFERROR(VLOOKUP(G1007,VOL_REC[],2,FALSE),0)</f>
        <v>1812240</v>
      </c>
      <c r="AX1007" s="246">
        <f>IFERROR(VLOOKUP(H1007,VOL_REC[],2,FALSE),0)</f>
        <v>240696.79238099116</v>
      </c>
      <c r="AY1007" s="246">
        <f>IFERROR(VLOOKUP(I1007,VOL_REC[],2,FALSE),0)</f>
        <v>663244.80000000016</v>
      </c>
      <c r="AZ1007" s="246">
        <f>IFERROR(VLOOKUP(J1007,VOL_REC[],2,FALSE),0)</f>
        <v>105072</v>
      </c>
      <c r="BA1007" s="246">
        <f>IFERROR(VLOOKUP(K1007,VOL_REC[],2,FALSE),0)</f>
        <v>1072354.9981737854</v>
      </c>
      <c r="BB1007" s="246">
        <f>IFERROR(VLOOKUP(L1007,VOL_REC[],2,FALSE),0)</f>
        <v>0</v>
      </c>
      <c r="BC1007" s="246">
        <f>IFERROR(VLOOKUP(M1007,VOL_REC[],2,FALSE),0)</f>
        <v>0</v>
      </c>
      <c r="BD1007" s="246">
        <f>IFERROR(VLOOKUP(N1007,VOL_REC[],2,FALSE),0)</f>
        <v>0</v>
      </c>
      <c r="BE1007" s="246">
        <f>IFERROR(VLOOKUP(O1007,VOL_REC[],2,FALSE),0)</f>
        <v>0</v>
      </c>
      <c r="BF1007" s="246">
        <f>IFERROR(VLOOKUP(P1007,VOL_REC[],2,FALSE),0)</f>
        <v>0</v>
      </c>
      <c r="BG1007" s="246">
        <f>IFERROR(VLOOKUP(Q1007,VOL_REC[],2,FALSE),0)</f>
        <v>0</v>
      </c>
      <c r="BH1007" s="1710">
        <f t="shared" si="60"/>
        <v>20167174068.655769</v>
      </c>
      <c r="BI1007" s="1710">
        <f t="shared" si="61"/>
        <v>17778513774.085796</v>
      </c>
      <c r="BJ1007" s="1711">
        <f t="shared" si="62"/>
        <v>14983282.790554777</v>
      </c>
      <c r="BK1007" s="1711">
        <f t="shared" si="63"/>
        <v>1.1343565792350829</v>
      </c>
      <c r="BL1007">
        <f>BJ1007</f>
        <v>14983282.790554777</v>
      </c>
      <c r="BO1007">
        <f>BL1007</f>
        <v>14983282.790554777</v>
      </c>
    </row>
    <row r="1008" spans="3:67" x14ac:dyDescent="0.25">
      <c r="C1008" s="246" t="s">
        <v>2358</v>
      </c>
      <c r="D1008" s="246">
        <v>1</v>
      </c>
      <c r="E1008" s="246">
        <v>2</v>
      </c>
      <c r="F1008" s="246">
        <v>3</v>
      </c>
      <c r="G1008" s="246">
        <v>10</v>
      </c>
      <c r="H1008" s="246">
        <v>12</v>
      </c>
      <c r="I1008" s="246">
        <v>13</v>
      </c>
      <c r="J1008" s="246">
        <v>15</v>
      </c>
      <c r="K1008" s="246">
        <v>17</v>
      </c>
      <c r="L1008" s="246"/>
      <c r="M1008" s="246"/>
      <c r="N1008" s="246"/>
      <c r="O1008" s="246"/>
      <c r="P1008" s="246"/>
      <c r="Q1008" s="246"/>
      <c r="R1008" s="246">
        <f>IFERROR(VLOOKUP(D1008,PROGRAMAS[],2,FALSE),0)</f>
        <v>97037803.679377079</v>
      </c>
      <c r="S1008" s="246">
        <f>IFERROR(VLOOKUP(E1008,PROGRAMAS[],2,FALSE),0)</f>
        <v>640501509.6821388</v>
      </c>
      <c r="T1008" s="246">
        <f>IFERROR(VLOOKUP(F1008,PROGRAMAS[],2,FALSE),0)</f>
        <v>3062327798.1525245</v>
      </c>
      <c r="U1008" s="246">
        <f>IFERROR(VLOOKUP(G1008,PROGRAMAS[],2,FALSE),0)</f>
        <v>4635315027.8751087</v>
      </c>
      <c r="V1008" s="246">
        <f>IFERROR(VLOOKUP(H1008,PROGRAMAS[],2,FALSE),0)</f>
        <v>764796700.79905891</v>
      </c>
      <c r="W1008" s="246">
        <f>IFERROR(VLOOKUP(I1008,PROGRAMAS[],2,FALSE),0)</f>
        <v>3776538594.4604583</v>
      </c>
      <c r="X1008" s="246">
        <f>IFERROR(VLOOKUP(J1008,PROGRAMAS[],2,FALSE),0)</f>
        <v>122159672.96346797</v>
      </c>
      <c r="Y1008" s="246">
        <f>IFERROR(VLOOKUP(K1008,PROGRAMAS[],2,FALSE),0)</f>
        <v>1892779498.5211046</v>
      </c>
      <c r="Z1008" s="246">
        <f>IFERROR(VLOOKUP(L1008,PROGRAMAS[],2,FALSE),0)</f>
        <v>0</v>
      </c>
      <c r="AA1008" s="246">
        <f>IFERROR(VLOOKUP(M1008,PROGRAMAS[],2,FALSE),0)</f>
        <v>0</v>
      </c>
      <c r="AB1008" s="246">
        <f>IFERROR(VLOOKUP(N1008,PROGRAMAS[],2,FALSE),0)</f>
        <v>0</v>
      </c>
      <c r="AC1008" s="246">
        <f>IFERROR(VLOOKUP(O1008,PROGRAMAS[],2,FALSE),0)</f>
        <v>0</v>
      </c>
      <c r="AD1008" s="246">
        <f>IFERROR(VLOOKUP(P1008,PROGRAMAS[],2,FALSE),0)</f>
        <v>0</v>
      </c>
      <c r="AE1008" s="246">
        <f>IFERROR(VLOOKUP(Q1008,PROGRAMAS[],2,FALSE),0)</f>
        <v>0</v>
      </c>
      <c r="AF1008" s="246">
        <f>IFERROR(VLOOKUP(D1008,PROGRAMAS[],3,FALSE),0)</f>
        <v>841888629.31080008</v>
      </c>
      <c r="AG1008" s="246">
        <f>IFERROR(VLOOKUP(E1008,PROGRAMAS[],3,FALSE),0)</f>
        <v>3848980803.1642323</v>
      </c>
      <c r="AH1008" s="246">
        <f>IFERROR(VLOOKUP(F1008,PROGRAMAS[],3,FALSE),0)</f>
        <v>3394901471.387517</v>
      </c>
      <c r="AI1008" s="246">
        <f>IFERROR(VLOOKUP(G1008,PROGRAMAS[],3,FALSE),0)</f>
        <v>4099471734.9978786</v>
      </c>
      <c r="AJ1008" s="246">
        <f>IFERROR(VLOOKUP(H1008,PROGRAMAS[],3,FALSE),0)</f>
        <v>675517840.109828</v>
      </c>
      <c r="AK1008" s="246">
        <f>IFERROR(VLOOKUP(I1008,PROGRAMAS[],3,FALSE),0)</f>
        <v>2392571243.5584412</v>
      </c>
      <c r="AL1008" s="246">
        <f>IFERROR(VLOOKUP(J1008,PROGRAMAS[],3,FALSE),0)</f>
        <v>118617452.52510804</v>
      </c>
      <c r="AM1008" s="246">
        <f>IFERROR(VLOOKUP(K1008,PROGRAMAS[],3,FALSE),0)</f>
        <v>948595847.09039903</v>
      </c>
      <c r="AN1008" s="246">
        <f>IFERROR(VLOOKUP(L1008,PROGRAMAS[],3,FALSE),0)</f>
        <v>0</v>
      </c>
      <c r="AO1008" s="246">
        <f>IFERROR(VLOOKUP(M1008,PROGRAMAS[],3,FALSE),0)</f>
        <v>0</v>
      </c>
      <c r="AP1008" s="246">
        <f>IFERROR(VLOOKUP(N1008,PROGRAMAS[],3,FALSE),0)</f>
        <v>0</v>
      </c>
      <c r="AQ1008" s="246">
        <f>IFERROR(VLOOKUP(O1008,PROGRAMAS[],3,FALSE),0)</f>
        <v>0</v>
      </c>
      <c r="AR1008" s="246">
        <f>IFERROR(VLOOKUP(P1008,PROGRAMAS[],3,FALSE),0)</f>
        <v>0</v>
      </c>
      <c r="AS1008" s="246">
        <f>IFERROR(VLOOKUP(Q1008,PROGRAMAS[],3,FALSE),0)</f>
        <v>0</v>
      </c>
      <c r="AT1008" s="246">
        <f>IFERROR(VLOOKUP(D1008,VOL_REC[],2,FALSE),0)</f>
        <v>0</v>
      </c>
      <c r="AU1008" s="246">
        <f>IFERROR(VLOOKUP(E1008,VOL_REC[],2,FALSE),0)</f>
        <v>0</v>
      </c>
      <c r="AV1008" s="246">
        <f>IFERROR(VLOOKUP(F1008,VOL_REC[],2,FALSE),0)</f>
        <v>11089674.200000001</v>
      </c>
      <c r="AW1008" s="246">
        <f>IFERROR(VLOOKUP(G1008,VOL_REC[],2,FALSE),0)</f>
        <v>1812240</v>
      </c>
      <c r="AX1008" s="246">
        <f>IFERROR(VLOOKUP(H1008,VOL_REC[],2,FALSE),0)</f>
        <v>240696.79238099116</v>
      </c>
      <c r="AY1008" s="246">
        <f>IFERROR(VLOOKUP(I1008,VOL_REC[],2,FALSE),0)</f>
        <v>663244.80000000016</v>
      </c>
      <c r="AZ1008" s="246">
        <f>IFERROR(VLOOKUP(J1008,VOL_REC[],2,FALSE),0)</f>
        <v>105072</v>
      </c>
      <c r="BA1008" s="246">
        <f>IFERROR(VLOOKUP(K1008,VOL_REC[],2,FALSE),0)</f>
        <v>740113.98115702497</v>
      </c>
      <c r="BB1008" s="246">
        <f>IFERROR(VLOOKUP(L1008,VOL_REC[],2,FALSE),0)</f>
        <v>0</v>
      </c>
      <c r="BC1008" s="246">
        <f>IFERROR(VLOOKUP(M1008,VOL_REC[],2,FALSE),0)</f>
        <v>0</v>
      </c>
      <c r="BD1008" s="246">
        <f>IFERROR(VLOOKUP(N1008,VOL_REC[],2,FALSE),0)</f>
        <v>0</v>
      </c>
      <c r="BE1008" s="246">
        <f>IFERROR(VLOOKUP(O1008,VOL_REC[],2,FALSE),0)</f>
        <v>0</v>
      </c>
      <c r="BF1008" s="246">
        <f>IFERROR(VLOOKUP(P1008,VOL_REC[],2,FALSE),0)</f>
        <v>0</v>
      </c>
      <c r="BG1008" s="246">
        <f>IFERROR(VLOOKUP(Q1008,VOL_REC[],2,FALSE),0)</f>
        <v>0</v>
      </c>
      <c r="BH1008" s="1710">
        <f t="shared" si="60"/>
        <v>14991456606.13324</v>
      </c>
      <c r="BI1008" s="1710">
        <f t="shared" si="61"/>
        <v>16320545022.144205</v>
      </c>
      <c r="BJ1008" s="1711">
        <f t="shared" si="62"/>
        <v>14651041.773538018</v>
      </c>
      <c r="BK1008" s="1711">
        <f t="shared" si="63"/>
        <v>0.91856347847405717</v>
      </c>
    </row>
    <row r="1009" spans="3:67" x14ac:dyDescent="0.25">
      <c r="C1009" s="246" t="s">
        <v>2359</v>
      </c>
      <c r="D1009" s="246">
        <v>1</v>
      </c>
      <c r="E1009" s="246">
        <v>2</v>
      </c>
      <c r="F1009" s="246">
        <v>3</v>
      </c>
      <c r="G1009" s="246">
        <v>10</v>
      </c>
      <c r="H1009" s="246">
        <v>12</v>
      </c>
      <c r="I1009" s="246">
        <v>13</v>
      </c>
      <c r="J1009" s="246">
        <v>16</v>
      </c>
      <c r="K1009" s="246">
        <v>17</v>
      </c>
      <c r="L1009" s="246"/>
      <c r="M1009" s="246"/>
      <c r="N1009" s="246"/>
      <c r="O1009" s="246"/>
      <c r="P1009" s="246"/>
      <c r="Q1009" s="246"/>
      <c r="R1009" s="246">
        <f>IFERROR(VLOOKUP(D1009,PROGRAMAS[],2,FALSE),0)</f>
        <v>97037803.679377079</v>
      </c>
      <c r="S1009" s="246">
        <f>IFERROR(VLOOKUP(E1009,PROGRAMAS[],2,FALSE),0)</f>
        <v>640501509.6821388</v>
      </c>
      <c r="T1009" s="246">
        <f>IFERROR(VLOOKUP(F1009,PROGRAMAS[],2,FALSE),0)</f>
        <v>3062327798.1525245</v>
      </c>
      <c r="U1009" s="246">
        <f>IFERROR(VLOOKUP(G1009,PROGRAMAS[],2,FALSE),0)</f>
        <v>4635315027.8751087</v>
      </c>
      <c r="V1009" s="246">
        <f>IFERROR(VLOOKUP(H1009,PROGRAMAS[],2,FALSE),0)</f>
        <v>764796700.79905891</v>
      </c>
      <c r="W1009" s="246">
        <f>IFERROR(VLOOKUP(I1009,PROGRAMAS[],2,FALSE),0)</f>
        <v>3776538594.4604583</v>
      </c>
      <c r="X1009" s="246">
        <f>IFERROR(VLOOKUP(J1009,PROGRAMAS[],2,FALSE),0)</f>
        <v>7068496961.0436354</v>
      </c>
      <c r="Y1009" s="246">
        <f>IFERROR(VLOOKUP(K1009,PROGRAMAS[],2,FALSE),0)</f>
        <v>1892779498.5211046</v>
      </c>
      <c r="Z1009" s="246">
        <f>IFERROR(VLOOKUP(L1009,PROGRAMAS[],2,FALSE),0)</f>
        <v>0</v>
      </c>
      <c r="AA1009" s="246">
        <f>IFERROR(VLOOKUP(M1009,PROGRAMAS[],2,FALSE),0)</f>
        <v>0</v>
      </c>
      <c r="AB1009" s="246">
        <f>IFERROR(VLOOKUP(N1009,PROGRAMAS[],2,FALSE),0)</f>
        <v>0</v>
      </c>
      <c r="AC1009" s="246">
        <f>IFERROR(VLOOKUP(O1009,PROGRAMAS[],2,FALSE),0)</f>
        <v>0</v>
      </c>
      <c r="AD1009" s="246">
        <f>IFERROR(VLOOKUP(P1009,PROGRAMAS[],2,FALSE),0)</f>
        <v>0</v>
      </c>
      <c r="AE1009" s="246">
        <f>IFERROR(VLOOKUP(Q1009,PROGRAMAS[],2,FALSE),0)</f>
        <v>0</v>
      </c>
      <c r="AF1009" s="246">
        <f>IFERROR(VLOOKUP(D1009,PROGRAMAS[],3,FALSE),0)</f>
        <v>841888629.31080008</v>
      </c>
      <c r="AG1009" s="246">
        <f>IFERROR(VLOOKUP(E1009,PROGRAMAS[],3,FALSE),0)</f>
        <v>3848980803.1642323</v>
      </c>
      <c r="AH1009" s="246">
        <f>IFERROR(VLOOKUP(F1009,PROGRAMAS[],3,FALSE),0)</f>
        <v>3394901471.387517</v>
      </c>
      <c r="AI1009" s="246">
        <f>IFERROR(VLOOKUP(G1009,PROGRAMAS[],3,FALSE),0)</f>
        <v>4099471734.9978786</v>
      </c>
      <c r="AJ1009" s="246">
        <f>IFERROR(VLOOKUP(H1009,PROGRAMAS[],3,FALSE),0)</f>
        <v>675517840.109828</v>
      </c>
      <c r="AK1009" s="246">
        <f>IFERROR(VLOOKUP(I1009,PROGRAMAS[],3,FALSE),0)</f>
        <v>2392571243.5584412</v>
      </c>
      <c r="AL1009" s="246">
        <f>IFERROR(VLOOKUP(J1009,PROGRAMAS[],3,FALSE),0)</f>
        <v>2406564599.0319901</v>
      </c>
      <c r="AM1009" s="246">
        <f>IFERROR(VLOOKUP(K1009,PROGRAMAS[],3,FALSE),0)</f>
        <v>948595847.09039903</v>
      </c>
      <c r="AN1009" s="246">
        <f>IFERROR(VLOOKUP(L1009,PROGRAMAS[],3,FALSE),0)</f>
        <v>0</v>
      </c>
      <c r="AO1009" s="246">
        <f>IFERROR(VLOOKUP(M1009,PROGRAMAS[],3,FALSE),0)</f>
        <v>0</v>
      </c>
      <c r="AP1009" s="246">
        <f>IFERROR(VLOOKUP(N1009,PROGRAMAS[],3,FALSE),0)</f>
        <v>0</v>
      </c>
      <c r="AQ1009" s="246">
        <f>IFERROR(VLOOKUP(O1009,PROGRAMAS[],3,FALSE),0)</f>
        <v>0</v>
      </c>
      <c r="AR1009" s="246">
        <f>IFERROR(VLOOKUP(P1009,PROGRAMAS[],3,FALSE),0)</f>
        <v>0</v>
      </c>
      <c r="AS1009" s="246">
        <f>IFERROR(VLOOKUP(Q1009,PROGRAMAS[],3,FALSE),0)</f>
        <v>0</v>
      </c>
      <c r="AT1009" s="246">
        <f>IFERROR(VLOOKUP(D1009,VOL_REC[],2,FALSE),0)</f>
        <v>0</v>
      </c>
      <c r="AU1009" s="246">
        <f>IFERROR(VLOOKUP(E1009,VOL_REC[],2,FALSE),0)</f>
        <v>0</v>
      </c>
      <c r="AV1009" s="246">
        <f>IFERROR(VLOOKUP(F1009,VOL_REC[],2,FALSE),0)</f>
        <v>11089674.200000001</v>
      </c>
      <c r="AW1009" s="246">
        <f>IFERROR(VLOOKUP(G1009,VOL_REC[],2,FALSE),0)</f>
        <v>1812240</v>
      </c>
      <c r="AX1009" s="246">
        <f>IFERROR(VLOOKUP(H1009,VOL_REC[],2,FALSE),0)</f>
        <v>240696.79238099116</v>
      </c>
      <c r="AY1009" s="246">
        <f>IFERROR(VLOOKUP(I1009,VOL_REC[],2,FALSE),0)</f>
        <v>663244.80000000016</v>
      </c>
      <c r="AZ1009" s="246">
        <f>IFERROR(VLOOKUP(J1009,VOL_REC[],2,FALSE),0)</f>
        <v>1072354.9981737854</v>
      </c>
      <c r="BA1009" s="246">
        <f>IFERROR(VLOOKUP(K1009,VOL_REC[],2,FALSE),0)</f>
        <v>740113.98115702497</v>
      </c>
      <c r="BB1009" s="246">
        <f>IFERROR(VLOOKUP(L1009,VOL_REC[],2,FALSE),0)</f>
        <v>0</v>
      </c>
      <c r="BC1009" s="246">
        <f>IFERROR(VLOOKUP(M1009,VOL_REC[],2,FALSE),0)</f>
        <v>0</v>
      </c>
      <c r="BD1009" s="246">
        <f>IFERROR(VLOOKUP(N1009,VOL_REC[],2,FALSE),0)</f>
        <v>0</v>
      </c>
      <c r="BE1009" s="246">
        <f>IFERROR(VLOOKUP(O1009,VOL_REC[],2,FALSE),0)</f>
        <v>0</v>
      </c>
      <c r="BF1009" s="246">
        <f>IFERROR(VLOOKUP(P1009,VOL_REC[],2,FALSE),0)</f>
        <v>0</v>
      </c>
      <c r="BG1009" s="246">
        <f>IFERROR(VLOOKUP(Q1009,VOL_REC[],2,FALSE),0)</f>
        <v>0</v>
      </c>
      <c r="BH1009" s="1710">
        <f t="shared" si="60"/>
        <v>21937793894.213406</v>
      </c>
      <c r="BI1009" s="1710">
        <f t="shared" si="61"/>
        <v>18608492168.651089</v>
      </c>
      <c r="BJ1009" s="1711">
        <f t="shared" si="62"/>
        <v>15618324.771711802</v>
      </c>
      <c r="BK1009" s="1711">
        <f t="shared" si="63"/>
        <v>1.1789130304265623</v>
      </c>
      <c r="BL1009">
        <f>BJ1009</f>
        <v>15618324.771711802</v>
      </c>
      <c r="BO1009">
        <f>BL1009</f>
        <v>15618324.771711802</v>
      </c>
    </row>
    <row r="1010" spans="3:67" x14ac:dyDescent="0.25">
      <c r="C1010" s="246" t="s">
        <v>2360</v>
      </c>
      <c r="D1010" s="246">
        <v>1</v>
      </c>
      <c r="E1010" s="246">
        <v>2</v>
      </c>
      <c r="F1010" s="246">
        <v>3</v>
      </c>
      <c r="G1010" s="246">
        <v>10</v>
      </c>
      <c r="H1010" s="246">
        <v>12</v>
      </c>
      <c r="I1010" s="246">
        <v>14</v>
      </c>
      <c r="J1010" s="246">
        <v>15</v>
      </c>
      <c r="K1010" s="246">
        <v>16</v>
      </c>
      <c r="L1010" s="246"/>
      <c r="M1010" s="246"/>
      <c r="N1010" s="246"/>
      <c r="O1010" s="246"/>
      <c r="P1010" s="246"/>
      <c r="Q1010" s="246"/>
      <c r="R1010" s="246">
        <f>IFERROR(VLOOKUP(D1010,PROGRAMAS[],2,FALSE),0)</f>
        <v>97037803.679377079</v>
      </c>
      <c r="S1010" s="246">
        <f>IFERROR(VLOOKUP(E1010,PROGRAMAS[],2,FALSE),0)</f>
        <v>640501509.6821388</v>
      </c>
      <c r="T1010" s="246">
        <f>IFERROR(VLOOKUP(F1010,PROGRAMAS[],2,FALSE),0)</f>
        <v>3062327798.1525245</v>
      </c>
      <c r="U1010" s="246">
        <f>IFERROR(VLOOKUP(G1010,PROGRAMAS[],2,FALSE),0)</f>
        <v>4635315027.8751087</v>
      </c>
      <c r="V1010" s="246">
        <f>IFERROR(VLOOKUP(H1010,PROGRAMAS[],2,FALSE),0)</f>
        <v>764796700.79905891</v>
      </c>
      <c r="W1010" s="246">
        <f>IFERROR(VLOOKUP(I1010,PROGRAMAS[],2,FALSE),0)</f>
        <v>54223862.645839565</v>
      </c>
      <c r="X1010" s="246">
        <f>IFERROR(VLOOKUP(J1010,PROGRAMAS[],2,FALSE),0)</f>
        <v>122159672.96346797</v>
      </c>
      <c r="Y1010" s="246">
        <f>IFERROR(VLOOKUP(K1010,PROGRAMAS[],2,FALSE),0)</f>
        <v>7068496961.0436354</v>
      </c>
      <c r="Z1010" s="246">
        <f>IFERROR(VLOOKUP(L1010,PROGRAMAS[],2,FALSE),0)</f>
        <v>0</v>
      </c>
      <c r="AA1010" s="246">
        <f>IFERROR(VLOOKUP(M1010,PROGRAMAS[],2,FALSE),0)</f>
        <v>0</v>
      </c>
      <c r="AB1010" s="246">
        <f>IFERROR(VLOOKUP(N1010,PROGRAMAS[],2,FALSE),0)</f>
        <v>0</v>
      </c>
      <c r="AC1010" s="246">
        <f>IFERROR(VLOOKUP(O1010,PROGRAMAS[],2,FALSE),0)</f>
        <v>0</v>
      </c>
      <c r="AD1010" s="246">
        <f>IFERROR(VLOOKUP(P1010,PROGRAMAS[],2,FALSE),0)</f>
        <v>0</v>
      </c>
      <c r="AE1010" s="246">
        <f>IFERROR(VLOOKUP(Q1010,PROGRAMAS[],2,FALSE),0)</f>
        <v>0</v>
      </c>
      <c r="AF1010" s="246">
        <f>IFERROR(VLOOKUP(D1010,PROGRAMAS[],3,FALSE),0)</f>
        <v>841888629.31080008</v>
      </c>
      <c r="AG1010" s="246">
        <f>IFERROR(VLOOKUP(E1010,PROGRAMAS[],3,FALSE),0)</f>
        <v>3848980803.1642323</v>
      </c>
      <c r="AH1010" s="246">
        <f>IFERROR(VLOOKUP(F1010,PROGRAMAS[],3,FALSE),0)</f>
        <v>3394901471.387517</v>
      </c>
      <c r="AI1010" s="246">
        <f>IFERROR(VLOOKUP(G1010,PROGRAMAS[],3,FALSE),0)</f>
        <v>4099471734.9978786</v>
      </c>
      <c r="AJ1010" s="246">
        <f>IFERROR(VLOOKUP(H1010,PROGRAMAS[],3,FALSE),0)</f>
        <v>675517840.109828</v>
      </c>
      <c r="AK1010" s="246">
        <f>IFERROR(VLOOKUP(I1010,PROGRAMAS[],3,FALSE),0)</f>
        <v>31865326.38096505</v>
      </c>
      <c r="AL1010" s="246">
        <f>IFERROR(VLOOKUP(J1010,PROGRAMAS[],3,FALSE),0)</f>
        <v>118617452.52510804</v>
      </c>
      <c r="AM1010" s="246">
        <f>IFERROR(VLOOKUP(K1010,PROGRAMAS[],3,FALSE),0)</f>
        <v>2406564599.0319901</v>
      </c>
      <c r="AN1010" s="246">
        <f>IFERROR(VLOOKUP(L1010,PROGRAMAS[],3,FALSE),0)</f>
        <v>0</v>
      </c>
      <c r="AO1010" s="246">
        <f>IFERROR(VLOOKUP(M1010,PROGRAMAS[],3,FALSE),0)</f>
        <v>0</v>
      </c>
      <c r="AP1010" s="246">
        <f>IFERROR(VLOOKUP(N1010,PROGRAMAS[],3,FALSE),0)</f>
        <v>0</v>
      </c>
      <c r="AQ1010" s="246">
        <f>IFERROR(VLOOKUP(O1010,PROGRAMAS[],3,FALSE),0)</f>
        <v>0</v>
      </c>
      <c r="AR1010" s="246">
        <f>IFERROR(VLOOKUP(P1010,PROGRAMAS[],3,FALSE),0)</f>
        <v>0</v>
      </c>
      <c r="AS1010" s="246">
        <f>IFERROR(VLOOKUP(Q1010,PROGRAMAS[],3,FALSE),0)</f>
        <v>0</v>
      </c>
      <c r="AT1010" s="246">
        <f>IFERROR(VLOOKUP(D1010,VOL_REC[],2,FALSE),0)</f>
        <v>0</v>
      </c>
      <c r="AU1010" s="246">
        <f>IFERROR(VLOOKUP(E1010,VOL_REC[],2,FALSE),0)</f>
        <v>0</v>
      </c>
      <c r="AV1010" s="246">
        <f>IFERROR(VLOOKUP(F1010,VOL_REC[],2,FALSE),0)</f>
        <v>11089674.200000001</v>
      </c>
      <c r="AW1010" s="246">
        <f>IFERROR(VLOOKUP(G1010,VOL_REC[],2,FALSE),0)</f>
        <v>1812240</v>
      </c>
      <c r="AX1010" s="246">
        <f>IFERROR(VLOOKUP(H1010,VOL_REC[],2,FALSE),0)</f>
        <v>240696.79238099116</v>
      </c>
      <c r="AY1010" s="246">
        <f>IFERROR(VLOOKUP(I1010,VOL_REC[],2,FALSE),0)</f>
        <v>17074.045034105649</v>
      </c>
      <c r="AZ1010" s="246">
        <f>IFERROR(VLOOKUP(J1010,VOL_REC[],2,FALSE),0)</f>
        <v>105072</v>
      </c>
      <c r="BA1010" s="246">
        <f>IFERROR(VLOOKUP(K1010,VOL_REC[],2,FALSE),0)</f>
        <v>1072354.9981737854</v>
      </c>
      <c r="BB1010" s="246">
        <f>IFERROR(VLOOKUP(L1010,VOL_REC[],2,FALSE),0)</f>
        <v>0</v>
      </c>
      <c r="BC1010" s="246">
        <f>IFERROR(VLOOKUP(M1010,VOL_REC[],2,FALSE),0)</f>
        <v>0</v>
      </c>
      <c r="BD1010" s="246">
        <f>IFERROR(VLOOKUP(N1010,VOL_REC[],2,FALSE),0)</f>
        <v>0</v>
      </c>
      <c r="BE1010" s="246">
        <f>IFERROR(VLOOKUP(O1010,VOL_REC[],2,FALSE),0)</f>
        <v>0</v>
      </c>
      <c r="BF1010" s="246">
        <f>IFERROR(VLOOKUP(P1010,VOL_REC[],2,FALSE),0)</f>
        <v>0</v>
      </c>
      <c r="BG1010" s="246">
        <f>IFERROR(VLOOKUP(Q1010,VOL_REC[],2,FALSE),0)</f>
        <v>0</v>
      </c>
      <c r="BH1010" s="1710">
        <f t="shared" si="60"/>
        <v>16444859336.841152</v>
      </c>
      <c r="BI1010" s="1710">
        <f t="shared" si="61"/>
        <v>15417807856.908319</v>
      </c>
      <c r="BJ1010" s="1711">
        <f t="shared" si="62"/>
        <v>14337112.035588883</v>
      </c>
      <c r="BK1010" s="1711">
        <f t="shared" si="63"/>
        <v>1.0666146244307122</v>
      </c>
      <c r="BL1010">
        <f>BJ1010</f>
        <v>14337112.035588883</v>
      </c>
      <c r="BO1010">
        <f>BL1010</f>
        <v>14337112.035588883</v>
      </c>
    </row>
    <row r="1011" spans="3:67" x14ac:dyDescent="0.25">
      <c r="C1011" s="246" t="s">
        <v>2361</v>
      </c>
      <c r="D1011" s="246">
        <v>1</v>
      </c>
      <c r="E1011" s="246">
        <v>2</v>
      </c>
      <c r="F1011" s="246">
        <v>3</v>
      </c>
      <c r="G1011" s="246">
        <v>10</v>
      </c>
      <c r="H1011" s="246">
        <v>12</v>
      </c>
      <c r="I1011" s="246">
        <v>14</v>
      </c>
      <c r="J1011" s="246">
        <v>15</v>
      </c>
      <c r="K1011" s="246">
        <v>17</v>
      </c>
      <c r="L1011" s="246"/>
      <c r="M1011" s="246"/>
      <c r="N1011" s="246"/>
      <c r="O1011" s="246"/>
      <c r="P1011" s="246"/>
      <c r="Q1011" s="246"/>
      <c r="R1011" s="246">
        <f>IFERROR(VLOOKUP(D1011,PROGRAMAS[],2,FALSE),0)</f>
        <v>97037803.679377079</v>
      </c>
      <c r="S1011" s="246">
        <f>IFERROR(VLOOKUP(E1011,PROGRAMAS[],2,FALSE),0)</f>
        <v>640501509.6821388</v>
      </c>
      <c r="T1011" s="246">
        <f>IFERROR(VLOOKUP(F1011,PROGRAMAS[],2,FALSE),0)</f>
        <v>3062327798.1525245</v>
      </c>
      <c r="U1011" s="246">
        <f>IFERROR(VLOOKUP(G1011,PROGRAMAS[],2,FALSE),0)</f>
        <v>4635315027.8751087</v>
      </c>
      <c r="V1011" s="246">
        <f>IFERROR(VLOOKUP(H1011,PROGRAMAS[],2,FALSE),0)</f>
        <v>764796700.79905891</v>
      </c>
      <c r="W1011" s="246">
        <f>IFERROR(VLOOKUP(I1011,PROGRAMAS[],2,FALSE),0)</f>
        <v>54223862.645839565</v>
      </c>
      <c r="X1011" s="246">
        <f>IFERROR(VLOOKUP(J1011,PROGRAMAS[],2,FALSE),0)</f>
        <v>122159672.96346797</v>
      </c>
      <c r="Y1011" s="246">
        <f>IFERROR(VLOOKUP(K1011,PROGRAMAS[],2,FALSE),0)</f>
        <v>1892779498.5211046</v>
      </c>
      <c r="Z1011" s="246">
        <f>IFERROR(VLOOKUP(L1011,PROGRAMAS[],2,FALSE),0)</f>
        <v>0</v>
      </c>
      <c r="AA1011" s="246">
        <f>IFERROR(VLOOKUP(M1011,PROGRAMAS[],2,FALSE),0)</f>
        <v>0</v>
      </c>
      <c r="AB1011" s="246">
        <f>IFERROR(VLOOKUP(N1011,PROGRAMAS[],2,FALSE),0)</f>
        <v>0</v>
      </c>
      <c r="AC1011" s="246">
        <f>IFERROR(VLOOKUP(O1011,PROGRAMAS[],2,FALSE),0)</f>
        <v>0</v>
      </c>
      <c r="AD1011" s="246">
        <f>IFERROR(VLOOKUP(P1011,PROGRAMAS[],2,FALSE),0)</f>
        <v>0</v>
      </c>
      <c r="AE1011" s="246">
        <f>IFERROR(VLOOKUP(Q1011,PROGRAMAS[],2,FALSE),0)</f>
        <v>0</v>
      </c>
      <c r="AF1011" s="246">
        <f>IFERROR(VLOOKUP(D1011,PROGRAMAS[],3,FALSE),0)</f>
        <v>841888629.31080008</v>
      </c>
      <c r="AG1011" s="246">
        <f>IFERROR(VLOOKUP(E1011,PROGRAMAS[],3,FALSE),0)</f>
        <v>3848980803.1642323</v>
      </c>
      <c r="AH1011" s="246">
        <f>IFERROR(VLOOKUP(F1011,PROGRAMAS[],3,FALSE),0)</f>
        <v>3394901471.387517</v>
      </c>
      <c r="AI1011" s="246">
        <f>IFERROR(VLOOKUP(G1011,PROGRAMAS[],3,FALSE),0)</f>
        <v>4099471734.9978786</v>
      </c>
      <c r="AJ1011" s="246">
        <f>IFERROR(VLOOKUP(H1011,PROGRAMAS[],3,FALSE),0)</f>
        <v>675517840.109828</v>
      </c>
      <c r="AK1011" s="246">
        <f>IFERROR(VLOOKUP(I1011,PROGRAMAS[],3,FALSE),0)</f>
        <v>31865326.38096505</v>
      </c>
      <c r="AL1011" s="246">
        <f>IFERROR(VLOOKUP(J1011,PROGRAMAS[],3,FALSE),0)</f>
        <v>118617452.52510804</v>
      </c>
      <c r="AM1011" s="246">
        <f>IFERROR(VLOOKUP(K1011,PROGRAMAS[],3,FALSE),0)</f>
        <v>948595847.09039903</v>
      </c>
      <c r="AN1011" s="246">
        <f>IFERROR(VLOOKUP(L1011,PROGRAMAS[],3,FALSE),0)</f>
        <v>0</v>
      </c>
      <c r="AO1011" s="246">
        <f>IFERROR(VLOOKUP(M1011,PROGRAMAS[],3,FALSE),0)</f>
        <v>0</v>
      </c>
      <c r="AP1011" s="246">
        <f>IFERROR(VLOOKUP(N1011,PROGRAMAS[],3,FALSE),0)</f>
        <v>0</v>
      </c>
      <c r="AQ1011" s="246">
        <f>IFERROR(VLOOKUP(O1011,PROGRAMAS[],3,FALSE),0)</f>
        <v>0</v>
      </c>
      <c r="AR1011" s="246">
        <f>IFERROR(VLOOKUP(P1011,PROGRAMAS[],3,FALSE),0)</f>
        <v>0</v>
      </c>
      <c r="AS1011" s="246">
        <f>IFERROR(VLOOKUP(Q1011,PROGRAMAS[],3,FALSE),0)</f>
        <v>0</v>
      </c>
      <c r="AT1011" s="246">
        <f>IFERROR(VLOOKUP(D1011,VOL_REC[],2,FALSE),0)</f>
        <v>0</v>
      </c>
      <c r="AU1011" s="246">
        <f>IFERROR(VLOOKUP(E1011,VOL_REC[],2,FALSE),0)</f>
        <v>0</v>
      </c>
      <c r="AV1011" s="246">
        <f>IFERROR(VLOOKUP(F1011,VOL_REC[],2,FALSE),0)</f>
        <v>11089674.200000001</v>
      </c>
      <c r="AW1011" s="246">
        <f>IFERROR(VLOOKUP(G1011,VOL_REC[],2,FALSE),0)</f>
        <v>1812240</v>
      </c>
      <c r="AX1011" s="246">
        <f>IFERROR(VLOOKUP(H1011,VOL_REC[],2,FALSE),0)</f>
        <v>240696.79238099116</v>
      </c>
      <c r="AY1011" s="246">
        <f>IFERROR(VLOOKUP(I1011,VOL_REC[],2,FALSE),0)</f>
        <v>17074.045034105649</v>
      </c>
      <c r="AZ1011" s="246">
        <f>IFERROR(VLOOKUP(J1011,VOL_REC[],2,FALSE),0)</f>
        <v>105072</v>
      </c>
      <c r="BA1011" s="246">
        <f>IFERROR(VLOOKUP(K1011,VOL_REC[],2,FALSE),0)</f>
        <v>740113.98115702497</v>
      </c>
      <c r="BB1011" s="246">
        <f>IFERROR(VLOOKUP(L1011,VOL_REC[],2,FALSE),0)</f>
        <v>0</v>
      </c>
      <c r="BC1011" s="246">
        <f>IFERROR(VLOOKUP(M1011,VOL_REC[],2,FALSE),0)</f>
        <v>0</v>
      </c>
      <c r="BD1011" s="246">
        <f>IFERROR(VLOOKUP(N1011,VOL_REC[],2,FALSE),0)</f>
        <v>0</v>
      </c>
      <c r="BE1011" s="246">
        <f>IFERROR(VLOOKUP(O1011,VOL_REC[],2,FALSE),0)</f>
        <v>0</v>
      </c>
      <c r="BF1011" s="246">
        <f>IFERROR(VLOOKUP(P1011,VOL_REC[],2,FALSE),0)</f>
        <v>0</v>
      </c>
      <c r="BG1011" s="246">
        <f>IFERROR(VLOOKUP(Q1011,VOL_REC[],2,FALSE),0)</f>
        <v>0</v>
      </c>
      <c r="BH1011" s="1710">
        <f t="shared" si="60"/>
        <v>11269141874.318621</v>
      </c>
      <c r="BI1011" s="1710">
        <f t="shared" si="61"/>
        <v>13959839104.966728</v>
      </c>
      <c r="BJ1011" s="1711">
        <f t="shared" si="62"/>
        <v>14004871.018572122</v>
      </c>
      <c r="BK1011" s="1711">
        <f t="shared" si="63"/>
        <v>0.80725442389298074</v>
      </c>
    </row>
    <row r="1012" spans="3:67" x14ac:dyDescent="0.25">
      <c r="C1012" s="246" t="s">
        <v>2362</v>
      </c>
      <c r="D1012" s="246">
        <v>1</v>
      </c>
      <c r="E1012" s="246">
        <v>2</v>
      </c>
      <c r="F1012" s="246">
        <v>3</v>
      </c>
      <c r="G1012" s="246">
        <v>10</v>
      </c>
      <c r="H1012" s="246">
        <v>12</v>
      </c>
      <c r="I1012" s="246">
        <v>14</v>
      </c>
      <c r="J1012" s="246">
        <v>16</v>
      </c>
      <c r="K1012" s="246">
        <v>17</v>
      </c>
      <c r="L1012" s="246"/>
      <c r="M1012" s="246"/>
      <c r="N1012" s="246"/>
      <c r="O1012" s="246"/>
      <c r="P1012" s="246"/>
      <c r="Q1012" s="246"/>
      <c r="R1012" s="246">
        <f>IFERROR(VLOOKUP(D1012,PROGRAMAS[],2,FALSE),0)</f>
        <v>97037803.679377079</v>
      </c>
      <c r="S1012" s="246">
        <f>IFERROR(VLOOKUP(E1012,PROGRAMAS[],2,FALSE),0)</f>
        <v>640501509.6821388</v>
      </c>
      <c r="T1012" s="246">
        <f>IFERROR(VLOOKUP(F1012,PROGRAMAS[],2,FALSE),0)</f>
        <v>3062327798.1525245</v>
      </c>
      <c r="U1012" s="246">
        <f>IFERROR(VLOOKUP(G1012,PROGRAMAS[],2,FALSE),0)</f>
        <v>4635315027.8751087</v>
      </c>
      <c r="V1012" s="246">
        <f>IFERROR(VLOOKUP(H1012,PROGRAMAS[],2,FALSE),0)</f>
        <v>764796700.79905891</v>
      </c>
      <c r="W1012" s="246">
        <f>IFERROR(VLOOKUP(I1012,PROGRAMAS[],2,FALSE),0)</f>
        <v>54223862.645839565</v>
      </c>
      <c r="X1012" s="246">
        <f>IFERROR(VLOOKUP(J1012,PROGRAMAS[],2,FALSE),0)</f>
        <v>7068496961.0436354</v>
      </c>
      <c r="Y1012" s="246">
        <f>IFERROR(VLOOKUP(K1012,PROGRAMAS[],2,FALSE),0)</f>
        <v>1892779498.5211046</v>
      </c>
      <c r="Z1012" s="246">
        <f>IFERROR(VLOOKUP(L1012,PROGRAMAS[],2,FALSE),0)</f>
        <v>0</v>
      </c>
      <c r="AA1012" s="246">
        <f>IFERROR(VLOOKUP(M1012,PROGRAMAS[],2,FALSE),0)</f>
        <v>0</v>
      </c>
      <c r="AB1012" s="246">
        <f>IFERROR(VLOOKUP(N1012,PROGRAMAS[],2,FALSE),0)</f>
        <v>0</v>
      </c>
      <c r="AC1012" s="246">
        <f>IFERROR(VLOOKUP(O1012,PROGRAMAS[],2,FALSE),0)</f>
        <v>0</v>
      </c>
      <c r="AD1012" s="246">
        <f>IFERROR(VLOOKUP(P1012,PROGRAMAS[],2,FALSE),0)</f>
        <v>0</v>
      </c>
      <c r="AE1012" s="246">
        <f>IFERROR(VLOOKUP(Q1012,PROGRAMAS[],2,FALSE),0)</f>
        <v>0</v>
      </c>
      <c r="AF1012" s="246">
        <f>IFERROR(VLOOKUP(D1012,PROGRAMAS[],3,FALSE),0)</f>
        <v>841888629.31080008</v>
      </c>
      <c r="AG1012" s="246">
        <f>IFERROR(VLOOKUP(E1012,PROGRAMAS[],3,FALSE),0)</f>
        <v>3848980803.1642323</v>
      </c>
      <c r="AH1012" s="246">
        <f>IFERROR(VLOOKUP(F1012,PROGRAMAS[],3,FALSE),0)</f>
        <v>3394901471.387517</v>
      </c>
      <c r="AI1012" s="246">
        <f>IFERROR(VLOOKUP(G1012,PROGRAMAS[],3,FALSE),0)</f>
        <v>4099471734.9978786</v>
      </c>
      <c r="AJ1012" s="246">
        <f>IFERROR(VLOOKUP(H1012,PROGRAMAS[],3,FALSE),0)</f>
        <v>675517840.109828</v>
      </c>
      <c r="AK1012" s="246">
        <f>IFERROR(VLOOKUP(I1012,PROGRAMAS[],3,FALSE),0)</f>
        <v>31865326.38096505</v>
      </c>
      <c r="AL1012" s="246">
        <f>IFERROR(VLOOKUP(J1012,PROGRAMAS[],3,FALSE),0)</f>
        <v>2406564599.0319901</v>
      </c>
      <c r="AM1012" s="246">
        <f>IFERROR(VLOOKUP(K1012,PROGRAMAS[],3,FALSE),0)</f>
        <v>948595847.09039903</v>
      </c>
      <c r="AN1012" s="246">
        <f>IFERROR(VLOOKUP(L1012,PROGRAMAS[],3,FALSE),0)</f>
        <v>0</v>
      </c>
      <c r="AO1012" s="246">
        <f>IFERROR(VLOOKUP(M1012,PROGRAMAS[],3,FALSE),0)</f>
        <v>0</v>
      </c>
      <c r="AP1012" s="246">
        <f>IFERROR(VLOOKUP(N1012,PROGRAMAS[],3,FALSE),0)</f>
        <v>0</v>
      </c>
      <c r="AQ1012" s="246">
        <f>IFERROR(VLOOKUP(O1012,PROGRAMAS[],3,FALSE),0)</f>
        <v>0</v>
      </c>
      <c r="AR1012" s="246">
        <f>IFERROR(VLOOKUP(P1012,PROGRAMAS[],3,FALSE),0)</f>
        <v>0</v>
      </c>
      <c r="AS1012" s="246">
        <f>IFERROR(VLOOKUP(Q1012,PROGRAMAS[],3,FALSE),0)</f>
        <v>0</v>
      </c>
      <c r="AT1012" s="246">
        <f>IFERROR(VLOOKUP(D1012,VOL_REC[],2,FALSE),0)</f>
        <v>0</v>
      </c>
      <c r="AU1012" s="246">
        <f>IFERROR(VLOOKUP(E1012,VOL_REC[],2,FALSE),0)</f>
        <v>0</v>
      </c>
      <c r="AV1012" s="246">
        <f>IFERROR(VLOOKUP(F1012,VOL_REC[],2,FALSE),0)</f>
        <v>11089674.200000001</v>
      </c>
      <c r="AW1012" s="246">
        <f>IFERROR(VLOOKUP(G1012,VOL_REC[],2,FALSE),0)</f>
        <v>1812240</v>
      </c>
      <c r="AX1012" s="246">
        <f>IFERROR(VLOOKUP(H1012,VOL_REC[],2,FALSE),0)</f>
        <v>240696.79238099116</v>
      </c>
      <c r="AY1012" s="246">
        <f>IFERROR(VLOOKUP(I1012,VOL_REC[],2,FALSE),0)</f>
        <v>17074.045034105649</v>
      </c>
      <c r="AZ1012" s="246">
        <f>IFERROR(VLOOKUP(J1012,VOL_REC[],2,FALSE),0)</f>
        <v>1072354.9981737854</v>
      </c>
      <c r="BA1012" s="246">
        <f>IFERROR(VLOOKUP(K1012,VOL_REC[],2,FALSE),0)</f>
        <v>740113.98115702497</v>
      </c>
      <c r="BB1012" s="246">
        <f>IFERROR(VLOOKUP(L1012,VOL_REC[],2,FALSE),0)</f>
        <v>0</v>
      </c>
      <c r="BC1012" s="246">
        <f>IFERROR(VLOOKUP(M1012,VOL_REC[],2,FALSE),0)</f>
        <v>0</v>
      </c>
      <c r="BD1012" s="246">
        <f>IFERROR(VLOOKUP(N1012,VOL_REC[],2,FALSE),0)</f>
        <v>0</v>
      </c>
      <c r="BE1012" s="246">
        <f>IFERROR(VLOOKUP(O1012,VOL_REC[],2,FALSE),0)</f>
        <v>0</v>
      </c>
      <c r="BF1012" s="246">
        <f>IFERROR(VLOOKUP(P1012,VOL_REC[],2,FALSE),0)</f>
        <v>0</v>
      </c>
      <c r="BG1012" s="246">
        <f>IFERROR(VLOOKUP(Q1012,VOL_REC[],2,FALSE),0)</f>
        <v>0</v>
      </c>
      <c r="BH1012" s="1710">
        <f t="shared" si="60"/>
        <v>18215479162.398785</v>
      </c>
      <c r="BI1012" s="1710">
        <f t="shared" si="61"/>
        <v>16247786251.47361</v>
      </c>
      <c r="BJ1012" s="1711">
        <f t="shared" si="62"/>
        <v>14972154.016745908</v>
      </c>
      <c r="BK1012" s="1711">
        <f t="shared" si="63"/>
        <v>1.1211052927746827</v>
      </c>
      <c r="BL1012">
        <f>BJ1012</f>
        <v>14972154.016745908</v>
      </c>
      <c r="BO1012">
        <f>BL1012</f>
        <v>14972154.016745908</v>
      </c>
    </row>
    <row r="1013" spans="3:67" x14ac:dyDescent="0.25">
      <c r="C1013" s="246" t="s">
        <v>2363</v>
      </c>
      <c r="D1013" s="246">
        <v>1</v>
      </c>
      <c r="E1013" s="246">
        <v>2</v>
      </c>
      <c r="F1013" s="246">
        <v>3</v>
      </c>
      <c r="G1013" s="246">
        <v>10</v>
      </c>
      <c r="H1013" s="246">
        <v>12</v>
      </c>
      <c r="I1013" s="246">
        <v>15</v>
      </c>
      <c r="J1013" s="246">
        <v>16</v>
      </c>
      <c r="K1013" s="246">
        <v>17</v>
      </c>
      <c r="L1013" s="246"/>
      <c r="M1013" s="246"/>
      <c r="N1013" s="246"/>
      <c r="O1013" s="246"/>
      <c r="P1013" s="246"/>
      <c r="Q1013" s="246"/>
      <c r="R1013" s="246">
        <f>IFERROR(VLOOKUP(D1013,PROGRAMAS[],2,FALSE),0)</f>
        <v>97037803.679377079</v>
      </c>
      <c r="S1013" s="246">
        <f>IFERROR(VLOOKUP(E1013,PROGRAMAS[],2,FALSE),0)</f>
        <v>640501509.6821388</v>
      </c>
      <c r="T1013" s="246">
        <f>IFERROR(VLOOKUP(F1013,PROGRAMAS[],2,FALSE),0)</f>
        <v>3062327798.1525245</v>
      </c>
      <c r="U1013" s="246">
        <f>IFERROR(VLOOKUP(G1013,PROGRAMAS[],2,FALSE),0)</f>
        <v>4635315027.8751087</v>
      </c>
      <c r="V1013" s="246">
        <f>IFERROR(VLOOKUP(H1013,PROGRAMAS[],2,FALSE),0)</f>
        <v>764796700.79905891</v>
      </c>
      <c r="W1013" s="246">
        <f>IFERROR(VLOOKUP(I1013,PROGRAMAS[],2,FALSE),0)</f>
        <v>122159672.96346797</v>
      </c>
      <c r="X1013" s="246">
        <f>IFERROR(VLOOKUP(J1013,PROGRAMAS[],2,FALSE),0)</f>
        <v>7068496961.0436354</v>
      </c>
      <c r="Y1013" s="246">
        <f>IFERROR(VLOOKUP(K1013,PROGRAMAS[],2,FALSE),0)</f>
        <v>1892779498.5211046</v>
      </c>
      <c r="Z1013" s="246">
        <f>IFERROR(VLOOKUP(L1013,PROGRAMAS[],2,FALSE),0)</f>
        <v>0</v>
      </c>
      <c r="AA1013" s="246">
        <f>IFERROR(VLOOKUP(M1013,PROGRAMAS[],2,FALSE),0)</f>
        <v>0</v>
      </c>
      <c r="AB1013" s="246">
        <f>IFERROR(VLOOKUP(N1013,PROGRAMAS[],2,FALSE),0)</f>
        <v>0</v>
      </c>
      <c r="AC1013" s="246">
        <f>IFERROR(VLOOKUP(O1013,PROGRAMAS[],2,FALSE),0)</f>
        <v>0</v>
      </c>
      <c r="AD1013" s="246">
        <f>IFERROR(VLOOKUP(P1013,PROGRAMAS[],2,FALSE),0)</f>
        <v>0</v>
      </c>
      <c r="AE1013" s="246">
        <f>IFERROR(VLOOKUP(Q1013,PROGRAMAS[],2,FALSE),0)</f>
        <v>0</v>
      </c>
      <c r="AF1013" s="246">
        <f>IFERROR(VLOOKUP(D1013,PROGRAMAS[],3,FALSE),0)</f>
        <v>841888629.31080008</v>
      </c>
      <c r="AG1013" s="246">
        <f>IFERROR(VLOOKUP(E1013,PROGRAMAS[],3,FALSE),0)</f>
        <v>3848980803.1642323</v>
      </c>
      <c r="AH1013" s="246">
        <f>IFERROR(VLOOKUP(F1013,PROGRAMAS[],3,FALSE),0)</f>
        <v>3394901471.387517</v>
      </c>
      <c r="AI1013" s="246">
        <f>IFERROR(VLOOKUP(G1013,PROGRAMAS[],3,FALSE),0)</f>
        <v>4099471734.9978786</v>
      </c>
      <c r="AJ1013" s="246">
        <f>IFERROR(VLOOKUP(H1013,PROGRAMAS[],3,FALSE),0)</f>
        <v>675517840.109828</v>
      </c>
      <c r="AK1013" s="246">
        <f>IFERROR(VLOOKUP(I1013,PROGRAMAS[],3,FALSE),0)</f>
        <v>118617452.52510804</v>
      </c>
      <c r="AL1013" s="246">
        <f>IFERROR(VLOOKUP(J1013,PROGRAMAS[],3,FALSE),0)</f>
        <v>2406564599.0319901</v>
      </c>
      <c r="AM1013" s="246">
        <f>IFERROR(VLOOKUP(K1013,PROGRAMAS[],3,FALSE),0)</f>
        <v>948595847.09039903</v>
      </c>
      <c r="AN1013" s="246">
        <f>IFERROR(VLOOKUP(L1013,PROGRAMAS[],3,FALSE),0)</f>
        <v>0</v>
      </c>
      <c r="AO1013" s="246">
        <f>IFERROR(VLOOKUP(M1013,PROGRAMAS[],3,FALSE),0)</f>
        <v>0</v>
      </c>
      <c r="AP1013" s="246">
        <f>IFERROR(VLOOKUP(N1013,PROGRAMAS[],3,FALSE),0)</f>
        <v>0</v>
      </c>
      <c r="AQ1013" s="246">
        <f>IFERROR(VLOOKUP(O1013,PROGRAMAS[],3,FALSE),0)</f>
        <v>0</v>
      </c>
      <c r="AR1013" s="246">
        <f>IFERROR(VLOOKUP(P1013,PROGRAMAS[],3,FALSE),0)</f>
        <v>0</v>
      </c>
      <c r="AS1013" s="246">
        <f>IFERROR(VLOOKUP(Q1013,PROGRAMAS[],3,FALSE),0)</f>
        <v>0</v>
      </c>
      <c r="AT1013" s="246">
        <f>IFERROR(VLOOKUP(D1013,VOL_REC[],2,FALSE),0)</f>
        <v>0</v>
      </c>
      <c r="AU1013" s="246">
        <f>IFERROR(VLOOKUP(E1013,VOL_REC[],2,FALSE),0)</f>
        <v>0</v>
      </c>
      <c r="AV1013" s="246">
        <f>IFERROR(VLOOKUP(F1013,VOL_REC[],2,FALSE),0)</f>
        <v>11089674.200000001</v>
      </c>
      <c r="AW1013" s="246">
        <f>IFERROR(VLOOKUP(G1013,VOL_REC[],2,FALSE),0)</f>
        <v>1812240</v>
      </c>
      <c r="AX1013" s="246">
        <f>IFERROR(VLOOKUP(H1013,VOL_REC[],2,FALSE),0)</f>
        <v>240696.79238099116</v>
      </c>
      <c r="AY1013" s="246">
        <f>IFERROR(VLOOKUP(I1013,VOL_REC[],2,FALSE),0)</f>
        <v>105072</v>
      </c>
      <c r="AZ1013" s="246">
        <f>IFERROR(VLOOKUP(J1013,VOL_REC[],2,FALSE),0)</f>
        <v>1072354.9981737854</v>
      </c>
      <c r="BA1013" s="246">
        <f>IFERROR(VLOOKUP(K1013,VOL_REC[],2,FALSE),0)</f>
        <v>740113.98115702497</v>
      </c>
      <c r="BB1013" s="246">
        <f>IFERROR(VLOOKUP(L1013,VOL_REC[],2,FALSE),0)</f>
        <v>0</v>
      </c>
      <c r="BC1013" s="246">
        <f>IFERROR(VLOOKUP(M1013,VOL_REC[],2,FALSE),0)</f>
        <v>0</v>
      </c>
      <c r="BD1013" s="246">
        <f>IFERROR(VLOOKUP(N1013,VOL_REC[],2,FALSE),0)</f>
        <v>0</v>
      </c>
      <c r="BE1013" s="246">
        <f>IFERROR(VLOOKUP(O1013,VOL_REC[],2,FALSE),0)</f>
        <v>0</v>
      </c>
      <c r="BF1013" s="246">
        <f>IFERROR(VLOOKUP(P1013,VOL_REC[],2,FALSE),0)</f>
        <v>0</v>
      </c>
      <c r="BG1013" s="246">
        <f>IFERROR(VLOOKUP(Q1013,VOL_REC[],2,FALSE),0)</f>
        <v>0</v>
      </c>
      <c r="BH1013" s="1710">
        <f t="shared" si="60"/>
        <v>18283414972.716415</v>
      </c>
      <c r="BI1013" s="1710">
        <f t="shared" si="61"/>
        <v>16334538377.617754</v>
      </c>
      <c r="BJ1013" s="1711">
        <f t="shared" si="62"/>
        <v>15060151.971711801</v>
      </c>
      <c r="BK1013" s="1711">
        <f t="shared" si="63"/>
        <v>1.1193101727177728</v>
      </c>
      <c r="BL1013">
        <f>BJ1013</f>
        <v>15060151.971711801</v>
      </c>
      <c r="BO1013">
        <f>BL1013</f>
        <v>15060151.971711801</v>
      </c>
    </row>
    <row r="1014" spans="3:67" x14ac:dyDescent="0.25">
      <c r="C1014" s="246" t="s">
        <v>2364</v>
      </c>
      <c r="D1014" s="246">
        <v>1</v>
      </c>
      <c r="E1014" s="246">
        <v>2</v>
      </c>
      <c r="F1014" s="246">
        <v>3</v>
      </c>
      <c r="G1014" s="246">
        <v>10</v>
      </c>
      <c r="H1014" s="246">
        <v>13</v>
      </c>
      <c r="I1014" s="246">
        <v>14</v>
      </c>
      <c r="J1014" s="246">
        <v>15</v>
      </c>
      <c r="K1014" s="246">
        <v>16</v>
      </c>
      <c r="L1014" s="246"/>
      <c r="M1014" s="246"/>
      <c r="N1014" s="246"/>
      <c r="O1014" s="246"/>
      <c r="P1014" s="246"/>
      <c r="Q1014" s="246"/>
      <c r="R1014" s="246">
        <f>IFERROR(VLOOKUP(D1014,PROGRAMAS[],2,FALSE),0)</f>
        <v>97037803.679377079</v>
      </c>
      <c r="S1014" s="246">
        <f>IFERROR(VLOOKUP(E1014,PROGRAMAS[],2,FALSE),0)</f>
        <v>640501509.6821388</v>
      </c>
      <c r="T1014" s="246">
        <f>IFERROR(VLOOKUP(F1014,PROGRAMAS[],2,FALSE),0)</f>
        <v>3062327798.1525245</v>
      </c>
      <c r="U1014" s="246">
        <f>IFERROR(VLOOKUP(G1014,PROGRAMAS[],2,FALSE),0)</f>
        <v>4635315027.8751087</v>
      </c>
      <c r="V1014" s="246">
        <f>IFERROR(VLOOKUP(H1014,PROGRAMAS[],2,FALSE),0)</f>
        <v>3776538594.4604583</v>
      </c>
      <c r="W1014" s="246">
        <f>IFERROR(VLOOKUP(I1014,PROGRAMAS[],2,FALSE),0)</f>
        <v>54223862.645839565</v>
      </c>
      <c r="X1014" s="246">
        <f>IFERROR(VLOOKUP(J1014,PROGRAMAS[],2,FALSE),0)</f>
        <v>122159672.96346797</v>
      </c>
      <c r="Y1014" s="246">
        <f>IFERROR(VLOOKUP(K1014,PROGRAMAS[],2,FALSE),0)</f>
        <v>7068496961.0436354</v>
      </c>
      <c r="Z1014" s="246">
        <f>IFERROR(VLOOKUP(L1014,PROGRAMAS[],2,FALSE),0)</f>
        <v>0</v>
      </c>
      <c r="AA1014" s="246">
        <f>IFERROR(VLOOKUP(M1014,PROGRAMAS[],2,FALSE),0)</f>
        <v>0</v>
      </c>
      <c r="AB1014" s="246">
        <f>IFERROR(VLOOKUP(N1014,PROGRAMAS[],2,FALSE),0)</f>
        <v>0</v>
      </c>
      <c r="AC1014" s="246">
        <f>IFERROR(VLOOKUP(O1014,PROGRAMAS[],2,FALSE),0)</f>
        <v>0</v>
      </c>
      <c r="AD1014" s="246">
        <f>IFERROR(VLOOKUP(P1014,PROGRAMAS[],2,FALSE),0)</f>
        <v>0</v>
      </c>
      <c r="AE1014" s="246">
        <f>IFERROR(VLOOKUP(Q1014,PROGRAMAS[],2,FALSE),0)</f>
        <v>0</v>
      </c>
      <c r="AF1014" s="246">
        <f>IFERROR(VLOOKUP(D1014,PROGRAMAS[],3,FALSE),0)</f>
        <v>841888629.31080008</v>
      </c>
      <c r="AG1014" s="246">
        <f>IFERROR(VLOOKUP(E1014,PROGRAMAS[],3,FALSE),0)</f>
        <v>3848980803.1642323</v>
      </c>
      <c r="AH1014" s="246">
        <f>IFERROR(VLOOKUP(F1014,PROGRAMAS[],3,FALSE),0)</f>
        <v>3394901471.387517</v>
      </c>
      <c r="AI1014" s="246">
        <f>IFERROR(VLOOKUP(G1014,PROGRAMAS[],3,FALSE),0)</f>
        <v>4099471734.9978786</v>
      </c>
      <c r="AJ1014" s="246">
        <f>IFERROR(VLOOKUP(H1014,PROGRAMAS[],3,FALSE),0)</f>
        <v>2392571243.5584412</v>
      </c>
      <c r="AK1014" s="246">
        <f>IFERROR(VLOOKUP(I1014,PROGRAMAS[],3,FALSE),0)</f>
        <v>31865326.38096505</v>
      </c>
      <c r="AL1014" s="246">
        <f>IFERROR(VLOOKUP(J1014,PROGRAMAS[],3,FALSE),0)</f>
        <v>118617452.52510804</v>
      </c>
      <c r="AM1014" s="246">
        <f>IFERROR(VLOOKUP(K1014,PROGRAMAS[],3,FALSE),0)</f>
        <v>2406564599.0319901</v>
      </c>
      <c r="AN1014" s="246">
        <f>IFERROR(VLOOKUP(L1014,PROGRAMAS[],3,FALSE),0)</f>
        <v>0</v>
      </c>
      <c r="AO1014" s="246">
        <f>IFERROR(VLOOKUP(M1014,PROGRAMAS[],3,FALSE),0)</f>
        <v>0</v>
      </c>
      <c r="AP1014" s="246">
        <f>IFERROR(VLOOKUP(N1014,PROGRAMAS[],3,FALSE),0)</f>
        <v>0</v>
      </c>
      <c r="AQ1014" s="246">
        <f>IFERROR(VLOOKUP(O1014,PROGRAMAS[],3,FALSE),0)</f>
        <v>0</v>
      </c>
      <c r="AR1014" s="246">
        <f>IFERROR(VLOOKUP(P1014,PROGRAMAS[],3,FALSE),0)</f>
        <v>0</v>
      </c>
      <c r="AS1014" s="246">
        <f>IFERROR(VLOOKUP(Q1014,PROGRAMAS[],3,FALSE),0)</f>
        <v>0</v>
      </c>
      <c r="AT1014" s="246">
        <f>IFERROR(VLOOKUP(D1014,VOL_REC[],2,FALSE),0)</f>
        <v>0</v>
      </c>
      <c r="AU1014" s="246">
        <f>IFERROR(VLOOKUP(E1014,VOL_REC[],2,FALSE),0)</f>
        <v>0</v>
      </c>
      <c r="AV1014" s="246">
        <f>IFERROR(VLOOKUP(F1014,VOL_REC[],2,FALSE),0)</f>
        <v>11089674.200000001</v>
      </c>
      <c r="AW1014" s="246">
        <f>IFERROR(VLOOKUP(G1014,VOL_REC[],2,FALSE),0)</f>
        <v>1812240</v>
      </c>
      <c r="AX1014" s="246">
        <f>IFERROR(VLOOKUP(H1014,VOL_REC[],2,FALSE),0)</f>
        <v>663244.80000000016</v>
      </c>
      <c r="AY1014" s="246">
        <f>IFERROR(VLOOKUP(I1014,VOL_REC[],2,FALSE),0)</f>
        <v>17074.045034105649</v>
      </c>
      <c r="AZ1014" s="246">
        <f>IFERROR(VLOOKUP(J1014,VOL_REC[],2,FALSE),0)</f>
        <v>105072</v>
      </c>
      <c r="BA1014" s="246">
        <f>IFERROR(VLOOKUP(K1014,VOL_REC[],2,FALSE),0)</f>
        <v>1072354.9981737854</v>
      </c>
      <c r="BB1014" s="246">
        <f>IFERROR(VLOOKUP(L1014,VOL_REC[],2,FALSE),0)</f>
        <v>0</v>
      </c>
      <c r="BC1014" s="246">
        <f>IFERROR(VLOOKUP(M1014,VOL_REC[],2,FALSE),0)</f>
        <v>0</v>
      </c>
      <c r="BD1014" s="246">
        <f>IFERROR(VLOOKUP(N1014,VOL_REC[],2,FALSE),0)</f>
        <v>0</v>
      </c>
      <c r="BE1014" s="246">
        <f>IFERROR(VLOOKUP(O1014,VOL_REC[],2,FALSE),0)</f>
        <v>0</v>
      </c>
      <c r="BF1014" s="246">
        <f>IFERROR(VLOOKUP(P1014,VOL_REC[],2,FALSE),0)</f>
        <v>0</v>
      </c>
      <c r="BG1014" s="246">
        <f>IFERROR(VLOOKUP(Q1014,VOL_REC[],2,FALSE),0)</f>
        <v>0</v>
      </c>
      <c r="BH1014" s="1710">
        <f t="shared" si="60"/>
        <v>19456601230.502552</v>
      </c>
      <c r="BI1014" s="1710">
        <f t="shared" si="61"/>
        <v>17134861260.356932</v>
      </c>
      <c r="BJ1014" s="1711">
        <f t="shared" si="62"/>
        <v>14759660.043207891</v>
      </c>
      <c r="BK1014" s="1711">
        <f t="shared" si="63"/>
        <v>1.1354980314615781</v>
      </c>
      <c r="BL1014">
        <f>BJ1014</f>
        <v>14759660.043207891</v>
      </c>
      <c r="BO1014">
        <f>BL1014</f>
        <v>14759660.043207891</v>
      </c>
    </row>
    <row r="1015" spans="3:67" x14ac:dyDescent="0.25">
      <c r="C1015" s="246" t="s">
        <v>2365</v>
      </c>
      <c r="D1015" s="246">
        <v>1</v>
      </c>
      <c r="E1015" s="246">
        <v>2</v>
      </c>
      <c r="F1015" s="246">
        <v>3</v>
      </c>
      <c r="G1015" s="246">
        <v>10</v>
      </c>
      <c r="H1015" s="246">
        <v>13</v>
      </c>
      <c r="I1015" s="246">
        <v>14</v>
      </c>
      <c r="J1015" s="246">
        <v>15</v>
      </c>
      <c r="K1015" s="246">
        <v>17</v>
      </c>
      <c r="L1015" s="246"/>
      <c r="M1015" s="246"/>
      <c r="N1015" s="246"/>
      <c r="O1015" s="246"/>
      <c r="P1015" s="246"/>
      <c r="Q1015" s="246"/>
      <c r="R1015" s="246">
        <f>IFERROR(VLOOKUP(D1015,PROGRAMAS[],2,FALSE),0)</f>
        <v>97037803.679377079</v>
      </c>
      <c r="S1015" s="246">
        <f>IFERROR(VLOOKUP(E1015,PROGRAMAS[],2,FALSE),0)</f>
        <v>640501509.6821388</v>
      </c>
      <c r="T1015" s="246">
        <f>IFERROR(VLOOKUP(F1015,PROGRAMAS[],2,FALSE),0)</f>
        <v>3062327798.1525245</v>
      </c>
      <c r="U1015" s="246">
        <f>IFERROR(VLOOKUP(G1015,PROGRAMAS[],2,FALSE),0)</f>
        <v>4635315027.8751087</v>
      </c>
      <c r="V1015" s="246">
        <f>IFERROR(VLOOKUP(H1015,PROGRAMAS[],2,FALSE),0)</f>
        <v>3776538594.4604583</v>
      </c>
      <c r="W1015" s="246">
        <f>IFERROR(VLOOKUP(I1015,PROGRAMAS[],2,FALSE),0)</f>
        <v>54223862.645839565</v>
      </c>
      <c r="X1015" s="246">
        <f>IFERROR(VLOOKUP(J1015,PROGRAMAS[],2,FALSE),0)</f>
        <v>122159672.96346797</v>
      </c>
      <c r="Y1015" s="246">
        <f>IFERROR(VLOOKUP(K1015,PROGRAMAS[],2,FALSE),0)</f>
        <v>1892779498.5211046</v>
      </c>
      <c r="Z1015" s="246">
        <f>IFERROR(VLOOKUP(L1015,PROGRAMAS[],2,FALSE),0)</f>
        <v>0</v>
      </c>
      <c r="AA1015" s="246">
        <f>IFERROR(VLOOKUP(M1015,PROGRAMAS[],2,FALSE),0)</f>
        <v>0</v>
      </c>
      <c r="AB1015" s="246">
        <f>IFERROR(VLOOKUP(N1015,PROGRAMAS[],2,FALSE),0)</f>
        <v>0</v>
      </c>
      <c r="AC1015" s="246">
        <f>IFERROR(VLOOKUP(O1015,PROGRAMAS[],2,FALSE),0)</f>
        <v>0</v>
      </c>
      <c r="AD1015" s="246">
        <f>IFERROR(VLOOKUP(P1015,PROGRAMAS[],2,FALSE),0)</f>
        <v>0</v>
      </c>
      <c r="AE1015" s="246">
        <f>IFERROR(VLOOKUP(Q1015,PROGRAMAS[],2,FALSE),0)</f>
        <v>0</v>
      </c>
      <c r="AF1015" s="246">
        <f>IFERROR(VLOOKUP(D1015,PROGRAMAS[],3,FALSE),0)</f>
        <v>841888629.31080008</v>
      </c>
      <c r="AG1015" s="246">
        <f>IFERROR(VLOOKUP(E1015,PROGRAMAS[],3,FALSE),0)</f>
        <v>3848980803.1642323</v>
      </c>
      <c r="AH1015" s="246">
        <f>IFERROR(VLOOKUP(F1015,PROGRAMAS[],3,FALSE),0)</f>
        <v>3394901471.387517</v>
      </c>
      <c r="AI1015" s="246">
        <f>IFERROR(VLOOKUP(G1015,PROGRAMAS[],3,FALSE),0)</f>
        <v>4099471734.9978786</v>
      </c>
      <c r="AJ1015" s="246">
        <f>IFERROR(VLOOKUP(H1015,PROGRAMAS[],3,FALSE),0)</f>
        <v>2392571243.5584412</v>
      </c>
      <c r="AK1015" s="246">
        <f>IFERROR(VLOOKUP(I1015,PROGRAMAS[],3,FALSE),0)</f>
        <v>31865326.38096505</v>
      </c>
      <c r="AL1015" s="246">
        <f>IFERROR(VLOOKUP(J1015,PROGRAMAS[],3,FALSE),0)</f>
        <v>118617452.52510804</v>
      </c>
      <c r="AM1015" s="246">
        <f>IFERROR(VLOOKUP(K1015,PROGRAMAS[],3,FALSE),0)</f>
        <v>948595847.09039903</v>
      </c>
      <c r="AN1015" s="246">
        <f>IFERROR(VLOOKUP(L1015,PROGRAMAS[],3,FALSE),0)</f>
        <v>0</v>
      </c>
      <c r="AO1015" s="246">
        <f>IFERROR(VLOOKUP(M1015,PROGRAMAS[],3,FALSE),0)</f>
        <v>0</v>
      </c>
      <c r="AP1015" s="246">
        <f>IFERROR(VLOOKUP(N1015,PROGRAMAS[],3,FALSE),0)</f>
        <v>0</v>
      </c>
      <c r="AQ1015" s="246">
        <f>IFERROR(VLOOKUP(O1015,PROGRAMAS[],3,FALSE),0)</f>
        <v>0</v>
      </c>
      <c r="AR1015" s="246">
        <f>IFERROR(VLOOKUP(P1015,PROGRAMAS[],3,FALSE),0)</f>
        <v>0</v>
      </c>
      <c r="AS1015" s="246">
        <f>IFERROR(VLOOKUP(Q1015,PROGRAMAS[],3,FALSE),0)</f>
        <v>0</v>
      </c>
      <c r="AT1015" s="246">
        <f>IFERROR(VLOOKUP(D1015,VOL_REC[],2,FALSE),0)</f>
        <v>0</v>
      </c>
      <c r="AU1015" s="246">
        <f>IFERROR(VLOOKUP(E1015,VOL_REC[],2,FALSE),0)</f>
        <v>0</v>
      </c>
      <c r="AV1015" s="246">
        <f>IFERROR(VLOOKUP(F1015,VOL_REC[],2,FALSE),0)</f>
        <v>11089674.200000001</v>
      </c>
      <c r="AW1015" s="246">
        <f>IFERROR(VLOOKUP(G1015,VOL_REC[],2,FALSE),0)</f>
        <v>1812240</v>
      </c>
      <c r="AX1015" s="246">
        <f>IFERROR(VLOOKUP(H1015,VOL_REC[],2,FALSE),0)</f>
        <v>663244.80000000016</v>
      </c>
      <c r="AY1015" s="246">
        <f>IFERROR(VLOOKUP(I1015,VOL_REC[],2,FALSE),0)</f>
        <v>17074.045034105649</v>
      </c>
      <c r="AZ1015" s="246">
        <f>IFERROR(VLOOKUP(J1015,VOL_REC[],2,FALSE),0)</f>
        <v>105072</v>
      </c>
      <c r="BA1015" s="246">
        <f>IFERROR(VLOOKUP(K1015,VOL_REC[],2,FALSE),0)</f>
        <v>740113.98115702497</v>
      </c>
      <c r="BB1015" s="246">
        <f>IFERROR(VLOOKUP(L1015,VOL_REC[],2,FALSE),0)</f>
        <v>0</v>
      </c>
      <c r="BC1015" s="246">
        <f>IFERROR(VLOOKUP(M1015,VOL_REC[],2,FALSE),0)</f>
        <v>0</v>
      </c>
      <c r="BD1015" s="246">
        <f>IFERROR(VLOOKUP(N1015,VOL_REC[],2,FALSE),0)</f>
        <v>0</v>
      </c>
      <c r="BE1015" s="246">
        <f>IFERROR(VLOOKUP(O1015,VOL_REC[],2,FALSE),0)</f>
        <v>0</v>
      </c>
      <c r="BF1015" s="246">
        <f>IFERROR(VLOOKUP(P1015,VOL_REC[],2,FALSE),0)</f>
        <v>0</v>
      </c>
      <c r="BG1015" s="246">
        <f>IFERROR(VLOOKUP(Q1015,VOL_REC[],2,FALSE),0)</f>
        <v>0</v>
      </c>
      <c r="BH1015" s="1710">
        <f t="shared" si="60"/>
        <v>14280883767.980021</v>
      </c>
      <c r="BI1015" s="1710">
        <f t="shared" si="61"/>
        <v>15676892508.41534</v>
      </c>
      <c r="BJ1015" s="1711">
        <f t="shared" si="62"/>
        <v>14427419.026191132</v>
      </c>
      <c r="BK1015" s="1711">
        <f t="shared" si="63"/>
        <v>0.91095118246897822</v>
      </c>
    </row>
    <row r="1016" spans="3:67" x14ac:dyDescent="0.25">
      <c r="C1016" s="246" t="s">
        <v>2366</v>
      </c>
      <c r="D1016" s="246">
        <v>1</v>
      </c>
      <c r="E1016" s="246">
        <v>2</v>
      </c>
      <c r="F1016" s="246">
        <v>3</v>
      </c>
      <c r="G1016" s="246">
        <v>10</v>
      </c>
      <c r="H1016" s="246">
        <v>13</v>
      </c>
      <c r="I1016" s="246">
        <v>14</v>
      </c>
      <c r="J1016" s="246">
        <v>16</v>
      </c>
      <c r="K1016" s="246">
        <v>17</v>
      </c>
      <c r="L1016" s="246"/>
      <c r="M1016" s="246"/>
      <c r="N1016" s="246"/>
      <c r="O1016" s="246"/>
      <c r="P1016" s="246"/>
      <c r="Q1016" s="246"/>
      <c r="R1016" s="246">
        <f>IFERROR(VLOOKUP(D1016,PROGRAMAS[],2,FALSE),0)</f>
        <v>97037803.679377079</v>
      </c>
      <c r="S1016" s="246">
        <f>IFERROR(VLOOKUP(E1016,PROGRAMAS[],2,FALSE),0)</f>
        <v>640501509.6821388</v>
      </c>
      <c r="T1016" s="246">
        <f>IFERROR(VLOOKUP(F1016,PROGRAMAS[],2,FALSE),0)</f>
        <v>3062327798.1525245</v>
      </c>
      <c r="U1016" s="246">
        <f>IFERROR(VLOOKUP(G1016,PROGRAMAS[],2,FALSE),0)</f>
        <v>4635315027.8751087</v>
      </c>
      <c r="V1016" s="246">
        <f>IFERROR(VLOOKUP(H1016,PROGRAMAS[],2,FALSE),0)</f>
        <v>3776538594.4604583</v>
      </c>
      <c r="W1016" s="246">
        <f>IFERROR(VLOOKUP(I1016,PROGRAMAS[],2,FALSE),0)</f>
        <v>54223862.645839565</v>
      </c>
      <c r="X1016" s="246">
        <f>IFERROR(VLOOKUP(J1016,PROGRAMAS[],2,FALSE),0)</f>
        <v>7068496961.0436354</v>
      </c>
      <c r="Y1016" s="246">
        <f>IFERROR(VLOOKUP(K1016,PROGRAMAS[],2,FALSE),0)</f>
        <v>1892779498.5211046</v>
      </c>
      <c r="Z1016" s="246">
        <f>IFERROR(VLOOKUP(L1016,PROGRAMAS[],2,FALSE),0)</f>
        <v>0</v>
      </c>
      <c r="AA1016" s="246">
        <f>IFERROR(VLOOKUP(M1016,PROGRAMAS[],2,FALSE),0)</f>
        <v>0</v>
      </c>
      <c r="AB1016" s="246">
        <f>IFERROR(VLOOKUP(N1016,PROGRAMAS[],2,FALSE),0)</f>
        <v>0</v>
      </c>
      <c r="AC1016" s="246">
        <f>IFERROR(VLOOKUP(O1016,PROGRAMAS[],2,FALSE),0)</f>
        <v>0</v>
      </c>
      <c r="AD1016" s="246">
        <f>IFERROR(VLOOKUP(P1016,PROGRAMAS[],2,FALSE),0)</f>
        <v>0</v>
      </c>
      <c r="AE1016" s="246">
        <f>IFERROR(VLOOKUP(Q1016,PROGRAMAS[],2,FALSE),0)</f>
        <v>0</v>
      </c>
      <c r="AF1016" s="246">
        <f>IFERROR(VLOOKUP(D1016,PROGRAMAS[],3,FALSE),0)</f>
        <v>841888629.31080008</v>
      </c>
      <c r="AG1016" s="246">
        <f>IFERROR(VLOOKUP(E1016,PROGRAMAS[],3,FALSE),0)</f>
        <v>3848980803.1642323</v>
      </c>
      <c r="AH1016" s="246">
        <f>IFERROR(VLOOKUP(F1016,PROGRAMAS[],3,FALSE),0)</f>
        <v>3394901471.387517</v>
      </c>
      <c r="AI1016" s="246">
        <f>IFERROR(VLOOKUP(G1016,PROGRAMAS[],3,FALSE),0)</f>
        <v>4099471734.9978786</v>
      </c>
      <c r="AJ1016" s="246">
        <f>IFERROR(VLOOKUP(H1016,PROGRAMAS[],3,FALSE),0)</f>
        <v>2392571243.5584412</v>
      </c>
      <c r="AK1016" s="246">
        <f>IFERROR(VLOOKUP(I1016,PROGRAMAS[],3,FALSE),0)</f>
        <v>31865326.38096505</v>
      </c>
      <c r="AL1016" s="246">
        <f>IFERROR(VLOOKUP(J1016,PROGRAMAS[],3,FALSE),0)</f>
        <v>2406564599.0319901</v>
      </c>
      <c r="AM1016" s="246">
        <f>IFERROR(VLOOKUP(K1016,PROGRAMAS[],3,FALSE),0)</f>
        <v>948595847.09039903</v>
      </c>
      <c r="AN1016" s="246">
        <f>IFERROR(VLOOKUP(L1016,PROGRAMAS[],3,FALSE),0)</f>
        <v>0</v>
      </c>
      <c r="AO1016" s="246">
        <f>IFERROR(VLOOKUP(M1016,PROGRAMAS[],3,FALSE),0)</f>
        <v>0</v>
      </c>
      <c r="AP1016" s="246">
        <f>IFERROR(VLOOKUP(N1016,PROGRAMAS[],3,FALSE),0)</f>
        <v>0</v>
      </c>
      <c r="AQ1016" s="246">
        <f>IFERROR(VLOOKUP(O1016,PROGRAMAS[],3,FALSE),0)</f>
        <v>0</v>
      </c>
      <c r="AR1016" s="246">
        <f>IFERROR(VLOOKUP(P1016,PROGRAMAS[],3,FALSE),0)</f>
        <v>0</v>
      </c>
      <c r="AS1016" s="246">
        <f>IFERROR(VLOOKUP(Q1016,PROGRAMAS[],3,FALSE),0)</f>
        <v>0</v>
      </c>
      <c r="AT1016" s="246">
        <f>IFERROR(VLOOKUP(D1016,VOL_REC[],2,FALSE),0)</f>
        <v>0</v>
      </c>
      <c r="AU1016" s="246">
        <f>IFERROR(VLOOKUP(E1016,VOL_REC[],2,FALSE),0)</f>
        <v>0</v>
      </c>
      <c r="AV1016" s="246">
        <f>IFERROR(VLOOKUP(F1016,VOL_REC[],2,FALSE),0)</f>
        <v>11089674.200000001</v>
      </c>
      <c r="AW1016" s="246">
        <f>IFERROR(VLOOKUP(G1016,VOL_REC[],2,FALSE),0)</f>
        <v>1812240</v>
      </c>
      <c r="AX1016" s="246">
        <f>IFERROR(VLOOKUP(H1016,VOL_REC[],2,FALSE),0)</f>
        <v>663244.80000000016</v>
      </c>
      <c r="AY1016" s="246">
        <f>IFERROR(VLOOKUP(I1016,VOL_REC[],2,FALSE),0)</f>
        <v>17074.045034105649</v>
      </c>
      <c r="AZ1016" s="246">
        <f>IFERROR(VLOOKUP(J1016,VOL_REC[],2,FALSE),0)</f>
        <v>1072354.9981737854</v>
      </c>
      <c r="BA1016" s="246">
        <f>IFERROR(VLOOKUP(K1016,VOL_REC[],2,FALSE),0)</f>
        <v>740113.98115702497</v>
      </c>
      <c r="BB1016" s="246">
        <f>IFERROR(VLOOKUP(L1016,VOL_REC[],2,FALSE),0)</f>
        <v>0</v>
      </c>
      <c r="BC1016" s="246">
        <f>IFERROR(VLOOKUP(M1016,VOL_REC[],2,FALSE),0)</f>
        <v>0</v>
      </c>
      <c r="BD1016" s="246">
        <f>IFERROR(VLOOKUP(N1016,VOL_REC[],2,FALSE),0)</f>
        <v>0</v>
      </c>
      <c r="BE1016" s="246">
        <f>IFERROR(VLOOKUP(O1016,VOL_REC[],2,FALSE),0)</f>
        <v>0</v>
      </c>
      <c r="BF1016" s="246">
        <f>IFERROR(VLOOKUP(P1016,VOL_REC[],2,FALSE),0)</f>
        <v>0</v>
      </c>
      <c r="BG1016" s="246">
        <f>IFERROR(VLOOKUP(Q1016,VOL_REC[],2,FALSE),0)</f>
        <v>0</v>
      </c>
      <c r="BH1016" s="1710">
        <f t="shared" si="60"/>
        <v>21227221056.060184</v>
      </c>
      <c r="BI1016" s="1710">
        <f t="shared" si="61"/>
        <v>17964839654.922222</v>
      </c>
      <c r="BJ1016" s="1711">
        <f t="shared" si="62"/>
        <v>15394702.024364917</v>
      </c>
      <c r="BK1016" s="1711">
        <f t="shared" si="63"/>
        <v>1.181598136348748</v>
      </c>
      <c r="BL1016">
        <f>BJ1016</f>
        <v>15394702.024364917</v>
      </c>
      <c r="BO1016">
        <f>BL1016</f>
        <v>15394702.024364917</v>
      </c>
    </row>
    <row r="1017" spans="3:67" x14ac:dyDescent="0.25">
      <c r="C1017" s="246" t="s">
        <v>2367</v>
      </c>
      <c r="D1017" s="246">
        <v>1</v>
      </c>
      <c r="E1017" s="246">
        <v>2</v>
      </c>
      <c r="F1017" s="246">
        <v>3</v>
      </c>
      <c r="G1017" s="246">
        <v>10</v>
      </c>
      <c r="H1017" s="246">
        <v>13</v>
      </c>
      <c r="I1017" s="246">
        <v>15</v>
      </c>
      <c r="J1017" s="246">
        <v>16</v>
      </c>
      <c r="K1017" s="246">
        <v>17</v>
      </c>
      <c r="L1017" s="246"/>
      <c r="M1017" s="246"/>
      <c r="N1017" s="246"/>
      <c r="O1017" s="246"/>
      <c r="P1017" s="246"/>
      <c r="Q1017" s="246"/>
      <c r="R1017" s="246">
        <f>IFERROR(VLOOKUP(D1017,PROGRAMAS[],2,FALSE),0)</f>
        <v>97037803.679377079</v>
      </c>
      <c r="S1017" s="246">
        <f>IFERROR(VLOOKUP(E1017,PROGRAMAS[],2,FALSE),0)</f>
        <v>640501509.6821388</v>
      </c>
      <c r="T1017" s="246">
        <f>IFERROR(VLOOKUP(F1017,PROGRAMAS[],2,FALSE),0)</f>
        <v>3062327798.1525245</v>
      </c>
      <c r="U1017" s="246">
        <f>IFERROR(VLOOKUP(G1017,PROGRAMAS[],2,FALSE),0)</f>
        <v>4635315027.8751087</v>
      </c>
      <c r="V1017" s="246">
        <f>IFERROR(VLOOKUP(H1017,PROGRAMAS[],2,FALSE),0)</f>
        <v>3776538594.4604583</v>
      </c>
      <c r="W1017" s="246">
        <f>IFERROR(VLOOKUP(I1017,PROGRAMAS[],2,FALSE),0)</f>
        <v>122159672.96346797</v>
      </c>
      <c r="X1017" s="246">
        <f>IFERROR(VLOOKUP(J1017,PROGRAMAS[],2,FALSE),0)</f>
        <v>7068496961.0436354</v>
      </c>
      <c r="Y1017" s="246">
        <f>IFERROR(VLOOKUP(K1017,PROGRAMAS[],2,FALSE),0)</f>
        <v>1892779498.5211046</v>
      </c>
      <c r="Z1017" s="246">
        <f>IFERROR(VLOOKUP(L1017,PROGRAMAS[],2,FALSE),0)</f>
        <v>0</v>
      </c>
      <c r="AA1017" s="246">
        <f>IFERROR(VLOOKUP(M1017,PROGRAMAS[],2,FALSE),0)</f>
        <v>0</v>
      </c>
      <c r="AB1017" s="246">
        <f>IFERROR(VLOOKUP(N1017,PROGRAMAS[],2,FALSE),0)</f>
        <v>0</v>
      </c>
      <c r="AC1017" s="246">
        <f>IFERROR(VLOOKUP(O1017,PROGRAMAS[],2,FALSE),0)</f>
        <v>0</v>
      </c>
      <c r="AD1017" s="246">
        <f>IFERROR(VLOOKUP(P1017,PROGRAMAS[],2,FALSE),0)</f>
        <v>0</v>
      </c>
      <c r="AE1017" s="246">
        <f>IFERROR(VLOOKUP(Q1017,PROGRAMAS[],2,FALSE),0)</f>
        <v>0</v>
      </c>
      <c r="AF1017" s="246">
        <f>IFERROR(VLOOKUP(D1017,PROGRAMAS[],3,FALSE),0)</f>
        <v>841888629.31080008</v>
      </c>
      <c r="AG1017" s="246">
        <f>IFERROR(VLOOKUP(E1017,PROGRAMAS[],3,FALSE),0)</f>
        <v>3848980803.1642323</v>
      </c>
      <c r="AH1017" s="246">
        <f>IFERROR(VLOOKUP(F1017,PROGRAMAS[],3,FALSE),0)</f>
        <v>3394901471.387517</v>
      </c>
      <c r="AI1017" s="246">
        <f>IFERROR(VLOOKUP(G1017,PROGRAMAS[],3,FALSE),0)</f>
        <v>4099471734.9978786</v>
      </c>
      <c r="AJ1017" s="246">
        <f>IFERROR(VLOOKUP(H1017,PROGRAMAS[],3,FALSE),0)</f>
        <v>2392571243.5584412</v>
      </c>
      <c r="AK1017" s="246">
        <f>IFERROR(VLOOKUP(I1017,PROGRAMAS[],3,FALSE),0)</f>
        <v>118617452.52510804</v>
      </c>
      <c r="AL1017" s="246">
        <f>IFERROR(VLOOKUP(J1017,PROGRAMAS[],3,FALSE),0)</f>
        <v>2406564599.0319901</v>
      </c>
      <c r="AM1017" s="246">
        <f>IFERROR(VLOOKUP(K1017,PROGRAMAS[],3,FALSE),0)</f>
        <v>948595847.09039903</v>
      </c>
      <c r="AN1017" s="246">
        <f>IFERROR(VLOOKUP(L1017,PROGRAMAS[],3,FALSE),0)</f>
        <v>0</v>
      </c>
      <c r="AO1017" s="246">
        <f>IFERROR(VLOOKUP(M1017,PROGRAMAS[],3,FALSE),0)</f>
        <v>0</v>
      </c>
      <c r="AP1017" s="246">
        <f>IFERROR(VLOOKUP(N1017,PROGRAMAS[],3,FALSE),0)</f>
        <v>0</v>
      </c>
      <c r="AQ1017" s="246">
        <f>IFERROR(VLOOKUP(O1017,PROGRAMAS[],3,FALSE),0)</f>
        <v>0</v>
      </c>
      <c r="AR1017" s="246">
        <f>IFERROR(VLOOKUP(P1017,PROGRAMAS[],3,FALSE),0)</f>
        <v>0</v>
      </c>
      <c r="AS1017" s="246">
        <f>IFERROR(VLOOKUP(Q1017,PROGRAMAS[],3,FALSE),0)</f>
        <v>0</v>
      </c>
      <c r="AT1017" s="246">
        <f>IFERROR(VLOOKUP(D1017,VOL_REC[],2,FALSE),0)</f>
        <v>0</v>
      </c>
      <c r="AU1017" s="246">
        <f>IFERROR(VLOOKUP(E1017,VOL_REC[],2,FALSE),0)</f>
        <v>0</v>
      </c>
      <c r="AV1017" s="246">
        <f>IFERROR(VLOOKUP(F1017,VOL_REC[],2,FALSE),0)</f>
        <v>11089674.200000001</v>
      </c>
      <c r="AW1017" s="246">
        <f>IFERROR(VLOOKUP(G1017,VOL_REC[],2,FALSE),0)</f>
        <v>1812240</v>
      </c>
      <c r="AX1017" s="246">
        <f>IFERROR(VLOOKUP(H1017,VOL_REC[],2,FALSE),0)</f>
        <v>663244.80000000016</v>
      </c>
      <c r="AY1017" s="246">
        <f>IFERROR(VLOOKUP(I1017,VOL_REC[],2,FALSE),0)</f>
        <v>105072</v>
      </c>
      <c r="AZ1017" s="246">
        <f>IFERROR(VLOOKUP(J1017,VOL_REC[],2,FALSE),0)</f>
        <v>1072354.9981737854</v>
      </c>
      <c r="BA1017" s="246">
        <f>IFERROR(VLOOKUP(K1017,VOL_REC[],2,FALSE),0)</f>
        <v>740113.98115702497</v>
      </c>
      <c r="BB1017" s="246">
        <f>IFERROR(VLOOKUP(L1017,VOL_REC[],2,FALSE),0)</f>
        <v>0</v>
      </c>
      <c r="BC1017" s="246">
        <f>IFERROR(VLOOKUP(M1017,VOL_REC[],2,FALSE),0)</f>
        <v>0</v>
      </c>
      <c r="BD1017" s="246">
        <f>IFERROR(VLOOKUP(N1017,VOL_REC[],2,FALSE),0)</f>
        <v>0</v>
      </c>
      <c r="BE1017" s="246">
        <f>IFERROR(VLOOKUP(O1017,VOL_REC[],2,FALSE),0)</f>
        <v>0</v>
      </c>
      <c r="BF1017" s="246">
        <f>IFERROR(VLOOKUP(P1017,VOL_REC[],2,FALSE),0)</f>
        <v>0</v>
      </c>
      <c r="BG1017" s="246">
        <f>IFERROR(VLOOKUP(Q1017,VOL_REC[],2,FALSE),0)</f>
        <v>0</v>
      </c>
      <c r="BH1017" s="1710">
        <f t="shared" si="60"/>
        <v>21295156866.377815</v>
      </c>
      <c r="BI1017" s="1710">
        <f t="shared" si="61"/>
        <v>18051591781.066368</v>
      </c>
      <c r="BJ1017" s="1711">
        <f t="shared" si="62"/>
        <v>15482699.979330814</v>
      </c>
      <c r="BK1017" s="1711">
        <f t="shared" si="63"/>
        <v>1.179683050927038</v>
      </c>
      <c r="BL1017">
        <f>BJ1017</f>
        <v>15482699.979330814</v>
      </c>
      <c r="BO1017">
        <f>BL1017</f>
        <v>15482699.979330814</v>
      </c>
    </row>
    <row r="1018" spans="3:67" x14ac:dyDescent="0.25">
      <c r="C1018" s="246" t="s">
        <v>2368</v>
      </c>
      <c r="D1018" s="246">
        <v>1</v>
      </c>
      <c r="E1018" s="246">
        <v>2</v>
      </c>
      <c r="F1018" s="246">
        <v>3</v>
      </c>
      <c r="G1018" s="246">
        <v>10</v>
      </c>
      <c r="H1018" s="246">
        <v>14</v>
      </c>
      <c r="I1018" s="246">
        <v>15</v>
      </c>
      <c r="J1018" s="246">
        <v>16</v>
      </c>
      <c r="K1018" s="246">
        <v>17</v>
      </c>
      <c r="L1018" s="246"/>
      <c r="M1018" s="246"/>
      <c r="N1018" s="246"/>
      <c r="O1018" s="246"/>
      <c r="P1018" s="246"/>
      <c r="Q1018" s="246"/>
      <c r="R1018" s="246">
        <f>IFERROR(VLOOKUP(D1018,PROGRAMAS[],2,FALSE),0)</f>
        <v>97037803.679377079</v>
      </c>
      <c r="S1018" s="246">
        <f>IFERROR(VLOOKUP(E1018,PROGRAMAS[],2,FALSE),0)</f>
        <v>640501509.6821388</v>
      </c>
      <c r="T1018" s="246">
        <f>IFERROR(VLOOKUP(F1018,PROGRAMAS[],2,FALSE),0)</f>
        <v>3062327798.1525245</v>
      </c>
      <c r="U1018" s="246">
        <f>IFERROR(VLOOKUP(G1018,PROGRAMAS[],2,FALSE),0)</f>
        <v>4635315027.8751087</v>
      </c>
      <c r="V1018" s="246">
        <f>IFERROR(VLOOKUP(H1018,PROGRAMAS[],2,FALSE),0)</f>
        <v>54223862.645839565</v>
      </c>
      <c r="W1018" s="246">
        <f>IFERROR(VLOOKUP(I1018,PROGRAMAS[],2,FALSE),0)</f>
        <v>122159672.96346797</v>
      </c>
      <c r="X1018" s="246">
        <f>IFERROR(VLOOKUP(J1018,PROGRAMAS[],2,FALSE),0)</f>
        <v>7068496961.0436354</v>
      </c>
      <c r="Y1018" s="246">
        <f>IFERROR(VLOOKUP(K1018,PROGRAMAS[],2,FALSE),0)</f>
        <v>1892779498.5211046</v>
      </c>
      <c r="Z1018" s="246">
        <f>IFERROR(VLOOKUP(L1018,PROGRAMAS[],2,FALSE),0)</f>
        <v>0</v>
      </c>
      <c r="AA1018" s="246">
        <f>IFERROR(VLOOKUP(M1018,PROGRAMAS[],2,FALSE),0)</f>
        <v>0</v>
      </c>
      <c r="AB1018" s="246">
        <f>IFERROR(VLOOKUP(N1018,PROGRAMAS[],2,FALSE),0)</f>
        <v>0</v>
      </c>
      <c r="AC1018" s="246">
        <f>IFERROR(VLOOKUP(O1018,PROGRAMAS[],2,FALSE),0)</f>
        <v>0</v>
      </c>
      <c r="AD1018" s="246">
        <f>IFERROR(VLOOKUP(P1018,PROGRAMAS[],2,FALSE),0)</f>
        <v>0</v>
      </c>
      <c r="AE1018" s="246">
        <f>IFERROR(VLOOKUP(Q1018,PROGRAMAS[],2,FALSE),0)</f>
        <v>0</v>
      </c>
      <c r="AF1018" s="246">
        <f>IFERROR(VLOOKUP(D1018,PROGRAMAS[],3,FALSE),0)</f>
        <v>841888629.31080008</v>
      </c>
      <c r="AG1018" s="246">
        <f>IFERROR(VLOOKUP(E1018,PROGRAMAS[],3,FALSE),0)</f>
        <v>3848980803.1642323</v>
      </c>
      <c r="AH1018" s="246">
        <f>IFERROR(VLOOKUP(F1018,PROGRAMAS[],3,FALSE),0)</f>
        <v>3394901471.387517</v>
      </c>
      <c r="AI1018" s="246">
        <f>IFERROR(VLOOKUP(G1018,PROGRAMAS[],3,FALSE),0)</f>
        <v>4099471734.9978786</v>
      </c>
      <c r="AJ1018" s="246">
        <f>IFERROR(VLOOKUP(H1018,PROGRAMAS[],3,FALSE),0)</f>
        <v>31865326.38096505</v>
      </c>
      <c r="AK1018" s="246">
        <f>IFERROR(VLOOKUP(I1018,PROGRAMAS[],3,FALSE),0)</f>
        <v>118617452.52510804</v>
      </c>
      <c r="AL1018" s="246">
        <f>IFERROR(VLOOKUP(J1018,PROGRAMAS[],3,FALSE),0)</f>
        <v>2406564599.0319901</v>
      </c>
      <c r="AM1018" s="246">
        <f>IFERROR(VLOOKUP(K1018,PROGRAMAS[],3,FALSE),0)</f>
        <v>948595847.09039903</v>
      </c>
      <c r="AN1018" s="246">
        <f>IFERROR(VLOOKUP(L1018,PROGRAMAS[],3,FALSE),0)</f>
        <v>0</v>
      </c>
      <c r="AO1018" s="246">
        <f>IFERROR(VLOOKUP(M1018,PROGRAMAS[],3,FALSE),0)</f>
        <v>0</v>
      </c>
      <c r="AP1018" s="246">
        <f>IFERROR(VLOOKUP(N1018,PROGRAMAS[],3,FALSE),0)</f>
        <v>0</v>
      </c>
      <c r="AQ1018" s="246">
        <f>IFERROR(VLOOKUP(O1018,PROGRAMAS[],3,FALSE),0)</f>
        <v>0</v>
      </c>
      <c r="AR1018" s="246">
        <f>IFERROR(VLOOKUP(P1018,PROGRAMAS[],3,FALSE),0)</f>
        <v>0</v>
      </c>
      <c r="AS1018" s="246">
        <f>IFERROR(VLOOKUP(Q1018,PROGRAMAS[],3,FALSE),0)</f>
        <v>0</v>
      </c>
      <c r="AT1018" s="246">
        <f>IFERROR(VLOOKUP(D1018,VOL_REC[],2,FALSE),0)</f>
        <v>0</v>
      </c>
      <c r="AU1018" s="246">
        <f>IFERROR(VLOOKUP(E1018,VOL_REC[],2,FALSE),0)</f>
        <v>0</v>
      </c>
      <c r="AV1018" s="246">
        <f>IFERROR(VLOOKUP(F1018,VOL_REC[],2,FALSE),0)</f>
        <v>11089674.200000001</v>
      </c>
      <c r="AW1018" s="246">
        <f>IFERROR(VLOOKUP(G1018,VOL_REC[],2,FALSE),0)</f>
        <v>1812240</v>
      </c>
      <c r="AX1018" s="246">
        <f>IFERROR(VLOOKUP(H1018,VOL_REC[],2,FALSE),0)</f>
        <v>17074.045034105649</v>
      </c>
      <c r="AY1018" s="246">
        <f>IFERROR(VLOOKUP(I1018,VOL_REC[],2,FALSE),0)</f>
        <v>105072</v>
      </c>
      <c r="AZ1018" s="246">
        <f>IFERROR(VLOOKUP(J1018,VOL_REC[],2,FALSE),0)</f>
        <v>1072354.9981737854</v>
      </c>
      <c r="BA1018" s="246">
        <f>IFERROR(VLOOKUP(K1018,VOL_REC[],2,FALSE),0)</f>
        <v>740113.98115702497</v>
      </c>
      <c r="BB1018" s="246">
        <f>IFERROR(VLOOKUP(L1018,VOL_REC[],2,FALSE),0)</f>
        <v>0</v>
      </c>
      <c r="BC1018" s="246">
        <f>IFERROR(VLOOKUP(M1018,VOL_REC[],2,FALSE),0)</f>
        <v>0</v>
      </c>
      <c r="BD1018" s="246">
        <f>IFERROR(VLOOKUP(N1018,VOL_REC[],2,FALSE),0)</f>
        <v>0</v>
      </c>
      <c r="BE1018" s="246">
        <f>IFERROR(VLOOKUP(O1018,VOL_REC[],2,FALSE),0)</f>
        <v>0</v>
      </c>
      <c r="BF1018" s="246">
        <f>IFERROR(VLOOKUP(P1018,VOL_REC[],2,FALSE),0)</f>
        <v>0</v>
      </c>
      <c r="BG1018" s="246">
        <f>IFERROR(VLOOKUP(Q1018,VOL_REC[],2,FALSE),0)</f>
        <v>0</v>
      </c>
      <c r="BH1018" s="1710">
        <f t="shared" si="60"/>
        <v>17572842134.563194</v>
      </c>
      <c r="BI1018" s="1710">
        <f t="shared" si="61"/>
        <v>15690885863.888889</v>
      </c>
      <c r="BJ1018" s="1711">
        <f t="shared" si="62"/>
        <v>14836529.224364916</v>
      </c>
      <c r="BK1018" s="1711">
        <f t="shared" si="63"/>
        <v>1.1199394531959124</v>
      </c>
      <c r="BL1018">
        <f>BJ1018</f>
        <v>14836529.224364916</v>
      </c>
      <c r="BO1018">
        <f>BL1018</f>
        <v>14836529.224364916</v>
      </c>
    </row>
    <row r="1019" spans="3:67" x14ac:dyDescent="0.25">
      <c r="C1019" s="246" t="s">
        <v>2369</v>
      </c>
      <c r="D1019" s="246">
        <v>1</v>
      </c>
      <c r="E1019" s="246">
        <v>2</v>
      </c>
      <c r="F1019" s="246">
        <v>3</v>
      </c>
      <c r="G1019" s="246">
        <v>12</v>
      </c>
      <c r="H1019" s="246">
        <v>13</v>
      </c>
      <c r="I1019" s="246">
        <v>14</v>
      </c>
      <c r="J1019" s="246">
        <v>15</v>
      </c>
      <c r="K1019" s="246">
        <v>16</v>
      </c>
      <c r="L1019" s="246"/>
      <c r="M1019" s="246"/>
      <c r="N1019" s="246"/>
      <c r="O1019" s="246"/>
      <c r="P1019" s="246"/>
      <c r="Q1019" s="246"/>
      <c r="R1019" s="246">
        <f>IFERROR(VLOOKUP(D1019,PROGRAMAS[],2,FALSE),0)</f>
        <v>97037803.679377079</v>
      </c>
      <c r="S1019" s="246">
        <f>IFERROR(VLOOKUP(E1019,PROGRAMAS[],2,FALSE),0)</f>
        <v>640501509.6821388</v>
      </c>
      <c r="T1019" s="246">
        <f>IFERROR(VLOOKUP(F1019,PROGRAMAS[],2,FALSE),0)</f>
        <v>3062327798.1525245</v>
      </c>
      <c r="U1019" s="246">
        <f>IFERROR(VLOOKUP(G1019,PROGRAMAS[],2,FALSE),0)</f>
        <v>764796700.79905891</v>
      </c>
      <c r="V1019" s="246">
        <f>IFERROR(VLOOKUP(H1019,PROGRAMAS[],2,FALSE),0)</f>
        <v>3776538594.4604583</v>
      </c>
      <c r="W1019" s="246">
        <f>IFERROR(VLOOKUP(I1019,PROGRAMAS[],2,FALSE),0)</f>
        <v>54223862.645839565</v>
      </c>
      <c r="X1019" s="246">
        <f>IFERROR(VLOOKUP(J1019,PROGRAMAS[],2,FALSE),0)</f>
        <v>122159672.96346797</v>
      </c>
      <c r="Y1019" s="246">
        <f>IFERROR(VLOOKUP(K1019,PROGRAMAS[],2,FALSE),0)</f>
        <v>7068496961.0436354</v>
      </c>
      <c r="Z1019" s="246">
        <f>IFERROR(VLOOKUP(L1019,PROGRAMAS[],2,FALSE),0)</f>
        <v>0</v>
      </c>
      <c r="AA1019" s="246">
        <f>IFERROR(VLOOKUP(M1019,PROGRAMAS[],2,FALSE),0)</f>
        <v>0</v>
      </c>
      <c r="AB1019" s="246">
        <f>IFERROR(VLOOKUP(N1019,PROGRAMAS[],2,FALSE),0)</f>
        <v>0</v>
      </c>
      <c r="AC1019" s="246">
        <f>IFERROR(VLOOKUP(O1019,PROGRAMAS[],2,FALSE),0)</f>
        <v>0</v>
      </c>
      <c r="AD1019" s="246">
        <f>IFERROR(VLOOKUP(P1019,PROGRAMAS[],2,FALSE),0)</f>
        <v>0</v>
      </c>
      <c r="AE1019" s="246">
        <f>IFERROR(VLOOKUP(Q1019,PROGRAMAS[],2,FALSE),0)</f>
        <v>0</v>
      </c>
      <c r="AF1019" s="246">
        <f>IFERROR(VLOOKUP(D1019,PROGRAMAS[],3,FALSE),0)</f>
        <v>841888629.31080008</v>
      </c>
      <c r="AG1019" s="246">
        <f>IFERROR(VLOOKUP(E1019,PROGRAMAS[],3,FALSE),0)</f>
        <v>3848980803.1642323</v>
      </c>
      <c r="AH1019" s="246">
        <f>IFERROR(VLOOKUP(F1019,PROGRAMAS[],3,FALSE),0)</f>
        <v>3394901471.387517</v>
      </c>
      <c r="AI1019" s="246">
        <f>IFERROR(VLOOKUP(G1019,PROGRAMAS[],3,FALSE),0)</f>
        <v>675517840.109828</v>
      </c>
      <c r="AJ1019" s="246">
        <f>IFERROR(VLOOKUP(H1019,PROGRAMAS[],3,FALSE),0)</f>
        <v>2392571243.5584412</v>
      </c>
      <c r="AK1019" s="246">
        <f>IFERROR(VLOOKUP(I1019,PROGRAMAS[],3,FALSE),0)</f>
        <v>31865326.38096505</v>
      </c>
      <c r="AL1019" s="246">
        <f>IFERROR(VLOOKUP(J1019,PROGRAMAS[],3,FALSE),0)</f>
        <v>118617452.52510804</v>
      </c>
      <c r="AM1019" s="246">
        <f>IFERROR(VLOOKUP(K1019,PROGRAMAS[],3,FALSE),0)</f>
        <v>2406564599.0319901</v>
      </c>
      <c r="AN1019" s="246">
        <f>IFERROR(VLOOKUP(L1019,PROGRAMAS[],3,FALSE),0)</f>
        <v>0</v>
      </c>
      <c r="AO1019" s="246">
        <f>IFERROR(VLOOKUP(M1019,PROGRAMAS[],3,FALSE),0)</f>
        <v>0</v>
      </c>
      <c r="AP1019" s="246">
        <f>IFERROR(VLOOKUP(N1019,PROGRAMAS[],3,FALSE),0)</f>
        <v>0</v>
      </c>
      <c r="AQ1019" s="246">
        <f>IFERROR(VLOOKUP(O1019,PROGRAMAS[],3,FALSE),0)</f>
        <v>0</v>
      </c>
      <c r="AR1019" s="246">
        <f>IFERROR(VLOOKUP(P1019,PROGRAMAS[],3,FALSE),0)</f>
        <v>0</v>
      </c>
      <c r="AS1019" s="246">
        <f>IFERROR(VLOOKUP(Q1019,PROGRAMAS[],3,FALSE),0)</f>
        <v>0</v>
      </c>
      <c r="AT1019" s="246">
        <f>IFERROR(VLOOKUP(D1019,VOL_REC[],2,FALSE),0)</f>
        <v>0</v>
      </c>
      <c r="AU1019" s="246">
        <f>IFERROR(VLOOKUP(E1019,VOL_REC[],2,FALSE),0)</f>
        <v>0</v>
      </c>
      <c r="AV1019" s="246">
        <f>IFERROR(VLOOKUP(F1019,VOL_REC[],2,FALSE),0)</f>
        <v>11089674.200000001</v>
      </c>
      <c r="AW1019" s="246">
        <f>IFERROR(VLOOKUP(G1019,VOL_REC[],2,FALSE),0)</f>
        <v>240696.79238099116</v>
      </c>
      <c r="AX1019" s="246">
        <f>IFERROR(VLOOKUP(H1019,VOL_REC[],2,FALSE),0)</f>
        <v>663244.80000000016</v>
      </c>
      <c r="AY1019" s="246">
        <f>IFERROR(VLOOKUP(I1019,VOL_REC[],2,FALSE),0)</f>
        <v>17074.045034105649</v>
      </c>
      <c r="AZ1019" s="246">
        <f>IFERROR(VLOOKUP(J1019,VOL_REC[],2,FALSE),0)</f>
        <v>105072</v>
      </c>
      <c r="BA1019" s="246">
        <f>IFERROR(VLOOKUP(K1019,VOL_REC[],2,FALSE),0)</f>
        <v>1072354.9981737854</v>
      </c>
      <c r="BB1019" s="246">
        <f>IFERROR(VLOOKUP(L1019,VOL_REC[],2,FALSE),0)</f>
        <v>0</v>
      </c>
      <c r="BC1019" s="246">
        <f>IFERROR(VLOOKUP(M1019,VOL_REC[],2,FALSE),0)</f>
        <v>0</v>
      </c>
      <c r="BD1019" s="246">
        <f>IFERROR(VLOOKUP(N1019,VOL_REC[],2,FALSE),0)</f>
        <v>0</v>
      </c>
      <c r="BE1019" s="246">
        <f>IFERROR(VLOOKUP(O1019,VOL_REC[],2,FALSE),0)</f>
        <v>0</v>
      </c>
      <c r="BF1019" s="246">
        <f>IFERROR(VLOOKUP(P1019,VOL_REC[],2,FALSE),0)</f>
        <v>0</v>
      </c>
      <c r="BG1019" s="246">
        <f>IFERROR(VLOOKUP(Q1019,VOL_REC[],2,FALSE),0)</f>
        <v>0</v>
      </c>
      <c r="BH1019" s="1710">
        <f t="shared" si="60"/>
        <v>15586082903.4265</v>
      </c>
      <c r="BI1019" s="1710">
        <f t="shared" si="61"/>
        <v>13710907365.468882</v>
      </c>
      <c r="BJ1019" s="1711">
        <f t="shared" si="62"/>
        <v>13188116.835588884</v>
      </c>
      <c r="BK1019" s="1711">
        <f t="shared" si="63"/>
        <v>1.1367652401095114</v>
      </c>
      <c r="BL1019">
        <f>BJ1019</f>
        <v>13188116.835588884</v>
      </c>
      <c r="BO1019">
        <f>BL1019</f>
        <v>13188116.835588884</v>
      </c>
    </row>
    <row r="1020" spans="3:67" x14ac:dyDescent="0.25">
      <c r="C1020" s="246" t="s">
        <v>2370</v>
      </c>
      <c r="D1020" s="246">
        <v>1</v>
      </c>
      <c r="E1020" s="246">
        <v>2</v>
      </c>
      <c r="F1020" s="246">
        <v>3</v>
      </c>
      <c r="G1020" s="246">
        <v>12</v>
      </c>
      <c r="H1020" s="246">
        <v>13</v>
      </c>
      <c r="I1020" s="246">
        <v>14</v>
      </c>
      <c r="J1020" s="246">
        <v>15</v>
      </c>
      <c r="K1020" s="246">
        <v>17</v>
      </c>
      <c r="L1020" s="246"/>
      <c r="M1020" s="246"/>
      <c r="N1020" s="246"/>
      <c r="O1020" s="246"/>
      <c r="P1020" s="246"/>
      <c r="Q1020" s="246"/>
      <c r="R1020" s="246">
        <f>IFERROR(VLOOKUP(D1020,PROGRAMAS[],2,FALSE),0)</f>
        <v>97037803.679377079</v>
      </c>
      <c r="S1020" s="246">
        <f>IFERROR(VLOOKUP(E1020,PROGRAMAS[],2,FALSE),0)</f>
        <v>640501509.6821388</v>
      </c>
      <c r="T1020" s="246">
        <f>IFERROR(VLOOKUP(F1020,PROGRAMAS[],2,FALSE),0)</f>
        <v>3062327798.1525245</v>
      </c>
      <c r="U1020" s="246">
        <f>IFERROR(VLOOKUP(G1020,PROGRAMAS[],2,FALSE),0)</f>
        <v>764796700.79905891</v>
      </c>
      <c r="V1020" s="246">
        <f>IFERROR(VLOOKUP(H1020,PROGRAMAS[],2,FALSE),0)</f>
        <v>3776538594.4604583</v>
      </c>
      <c r="W1020" s="246">
        <f>IFERROR(VLOOKUP(I1020,PROGRAMAS[],2,FALSE),0)</f>
        <v>54223862.645839565</v>
      </c>
      <c r="X1020" s="246">
        <f>IFERROR(VLOOKUP(J1020,PROGRAMAS[],2,FALSE),0)</f>
        <v>122159672.96346797</v>
      </c>
      <c r="Y1020" s="246">
        <f>IFERROR(VLOOKUP(K1020,PROGRAMAS[],2,FALSE),0)</f>
        <v>1892779498.5211046</v>
      </c>
      <c r="Z1020" s="246">
        <f>IFERROR(VLOOKUP(L1020,PROGRAMAS[],2,FALSE),0)</f>
        <v>0</v>
      </c>
      <c r="AA1020" s="246">
        <f>IFERROR(VLOOKUP(M1020,PROGRAMAS[],2,FALSE),0)</f>
        <v>0</v>
      </c>
      <c r="AB1020" s="246">
        <f>IFERROR(VLOOKUP(N1020,PROGRAMAS[],2,FALSE),0)</f>
        <v>0</v>
      </c>
      <c r="AC1020" s="246">
        <f>IFERROR(VLOOKUP(O1020,PROGRAMAS[],2,FALSE),0)</f>
        <v>0</v>
      </c>
      <c r="AD1020" s="246">
        <f>IFERROR(VLOOKUP(P1020,PROGRAMAS[],2,FALSE),0)</f>
        <v>0</v>
      </c>
      <c r="AE1020" s="246">
        <f>IFERROR(VLOOKUP(Q1020,PROGRAMAS[],2,FALSE),0)</f>
        <v>0</v>
      </c>
      <c r="AF1020" s="246">
        <f>IFERROR(VLOOKUP(D1020,PROGRAMAS[],3,FALSE),0)</f>
        <v>841888629.31080008</v>
      </c>
      <c r="AG1020" s="246">
        <f>IFERROR(VLOOKUP(E1020,PROGRAMAS[],3,FALSE),0)</f>
        <v>3848980803.1642323</v>
      </c>
      <c r="AH1020" s="246">
        <f>IFERROR(VLOOKUP(F1020,PROGRAMAS[],3,FALSE),0)</f>
        <v>3394901471.387517</v>
      </c>
      <c r="AI1020" s="246">
        <f>IFERROR(VLOOKUP(G1020,PROGRAMAS[],3,FALSE),0)</f>
        <v>675517840.109828</v>
      </c>
      <c r="AJ1020" s="246">
        <f>IFERROR(VLOOKUP(H1020,PROGRAMAS[],3,FALSE),0)</f>
        <v>2392571243.5584412</v>
      </c>
      <c r="AK1020" s="246">
        <f>IFERROR(VLOOKUP(I1020,PROGRAMAS[],3,FALSE),0)</f>
        <v>31865326.38096505</v>
      </c>
      <c r="AL1020" s="246">
        <f>IFERROR(VLOOKUP(J1020,PROGRAMAS[],3,FALSE),0)</f>
        <v>118617452.52510804</v>
      </c>
      <c r="AM1020" s="246">
        <f>IFERROR(VLOOKUP(K1020,PROGRAMAS[],3,FALSE),0)</f>
        <v>948595847.09039903</v>
      </c>
      <c r="AN1020" s="246">
        <f>IFERROR(VLOOKUP(L1020,PROGRAMAS[],3,FALSE),0)</f>
        <v>0</v>
      </c>
      <c r="AO1020" s="246">
        <f>IFERROR(VLOOKUP(M1020,PROGRAMAS[],3,FALSE),0)</f>
        <v>0</v>
      </c>
      <c r="AP1020" s="246">
        <f>IFERROR(VLOOKUP(N1020,PROGRAMAS[],3,FALSE),0)</f>
        <v>0</v>
      </c>
      <c r="AQ1020" s="246">
        <f>IFERROR(VLOOKUP(O1020,PROGRAMAS[],3,FALSE),0)</f>
        <v>0</v>
      </c>
      <c r="AR1020" s="246">
        <f>IFERROR(VLOOKUP(P1020,PROGRAMAS[],3,FALSE),0)</f>
        <v>0</v>
      </c>
      <c r="AS1020" s="246">
        <f>IFERROR(VLOOKUP(Q1020,PROGRAMAS[],3,FALSE),0)</f>
        <v>0</v>
      </c>
      <c r="AT1020" s="246">
        <f>IFERROR(VLOOKUP(D1020,VOL_REC[],2,FALSE),0)</f>
        <v>0</v>
      </c>
      <c r="AU1020" s="246">
        <f>IFERROR(VLOOKUP(E1020,VOL_REC[],2,FALSE),0)</f>
        <v>0</v>
      </c>
      <c r="AV1020" s="246">
        <f>IFERROR(VLOOKUP(F1020,VOL_REC[],2,FALSE),0)</f>
        <v>11089674.200000001</v>
      </c>
      <c r="AW1020" s="246">
        <f>IFERROR(VLOOKUP(G1020,VOL_REC[],2,FALSE),0)</f>
        <v>240696.79238099116</v>
      </c>
      <c r="AX1020" s="246">
        <f>IFERROR(VLOOKUP(H1020,VOL_REC[],2,FALSE),0)</f>
        <v>663244.80000000016</v>
      </c>
      <c r="AY1020" s="246">
        <f>IFERROR(VLOOKUP(I1020,VOL_REC[],2,FALSE),0)</f>
        <v>17074.045034105649</v>
      </c>
      <c r="AZ1020" s="246">
        <f>IFERROR(VLOOKUP(J1020,VOL_REC[],2,FALSE),0)</f>
        <v>105072</v>
      </c>
      <c r="BA1020" s="246">
        <f>IFERROR(VLOOKUP(K1020,VOL_REC[],2,FALSE),0)</f>
        <v>740113.98115702497</v>
      </c>
      <c r="BB1020" s="246">
        <f>IFERROR(VLOOKUP(L1020,VOL_REC[],2,FALSE),0)</f>
        <v>0</v>
      </c>
      <c r="BC1020" s="246">
        <f>IFERROR(VLOOKUP(M1020,VOL_REC[],2,FALSE),0)</f>
        <v>0</v>
      </c>
      <c r="BD1020" s="246">
        <f>IFERROR(VLOOKUP(N1020,VOL_REC[],2,FALSE),0)</f>
        <v>0</v>
      </c>
      <c r="BE1020" s="246">
        <f>IFERROR(VLOOKUP(O1020,VOL_REC[],2,FALSE),0)</f>
        <v>0</v>
      </c>
      <c r="BF1020" s="246">
        <f>IFERROR(VLOOKUP(P1020,VOL_REC[],2,FALSE),0)</f>
        <v>0</v>
      </c>
      <c r="BG1020" s="246">
        <f>IFERROR(VLOOKUP(Q1020,VOL_REC[],2,FALSE),0)</f>
        <v>0</v>
      </c>
      <c r="BH1020" s="1710">
        <f t="shared" si="60"/>
        <v>10410365440.903969</v>
      </c>
      <c r="BI1020" s="1710">
        <f t="shared" si="61"/>
        <v>12252938613.52729</v>
      </c>
      <c r="BJ1020" s="1711">
        <f t="shared" si="62"/>
        <v>12855875.818572123</v>
      </c>
      <c r="BK1020" s="1711">
        <f t="shared" si="63"/>
        <v>0.84962193717439227</v>
      </c>
    </row>
    <row r="1021" spans="3:67" x14ac:dyDescent="0.25">
      <c r="C1021" s="246" t="s">
        <v>2371</v>
      </c>
      <c r="D1021" s="246">
        <v>1</v>
      </c>
      <c r="E1021" s="246">
        <v>2</v>
      </c>
      <c r="F1021" s="246">
        <v>3</v>
      </c>
      <c r="G1021" s="246">
        <v>12</v>
      </c>
      <c r="H1021" s="246">
        <v>13</v>
      </c>
      <c r="I1021" s="246">
        <v>14</v>
      </c>
      <c r="J1021" s="246">
        <v>16</v>
      </c>
      <c r="K1021" s="246">
        <v>17</v>
      </c>
      <c r="L1021" s="246"/>
      <c r="M1021" s="246"/>
      <c r="N1021" s="246"/>
      <c r="O1021" s="246"/>
      <c r="P1021" s="246"/>
      <c r="Q1021" s="246"/>
      <c r="R1021" s="246">
        <f>IFERROR(VLOOKUP(D1021,PROGRAMAS[],2,FALSE),0)</f>
        <v>97037803.679377079</v>
      </c>
      <c r="S1021" s="246">
        <f>IFERROR(VLOOKUP(E1021,PROGRAMAS[],2,FALSE),0)</f>
        <v>640501509.6821388</v>
      </c>
      <c r="T1021" s="246">
        <f>IFERROR(VLOOKUP(F1021,PROGRAMAS[],2,FALSE),0)</f>
        <v>3062327798.1525245</v>
      </c>
      <c r="U1021" s="246">
        <f>IFERROR(VLOOKUP(G1021,PROGRAMAS[],2,FALSE),0)</f>
        <v>764796700.79905891</v>
      </c>
      <c r="V1021" s="246">
        <f>IFERROR(VLOOKUP(H1021,PROGRAMAS[],2,FALSE),0)</f>
        <v>3776538594.4604583</v>
      </c>
      <c r="W1021" s="246">
        <f>IFERROR(VLOOKUP(I1021,PROGRAMAS[],2,FALSE),0)</f>
        <v>54223862.645839565</v>
      </c>
      <c r="X1021" s="246">
        <f>IFERROR(VLOOKUP(J1021,PROGRAMAS[],2,FALSE),0)</f>
        <v>7068496961.0436354</v>
      </c>
      <c r="Y1021" s="246">
        <f>IFERROR(VLOOKUP(K1021,PROGRAMAS[],2,FALSE),0)</f>
        <v>1892779498.5211046</v>
      </c>
      <c r="Z1021" s="246">
        <f>IFERROR(VLOOKUP(L1021,PROGRAMAS[],2,FALSE),0)</f>
        <v>0</v>
      </c>
      <c r="AA1021" s="246">
        <f>IFERROR(VLOOKUP(M1021,PROGRAMAS[],2,FALSE),0)</f>
        <v>0</v>
      </c>
      <c r="AB1021" s="246">
        <f>IFERROR(VLOOKUP(N1021,PROGRAMAS[],2,FALSE),0)</f>
        <v>0</v>
      </c>
      <c r="AC1021" s="246">
        <f>IFERROR(VLOOKUP(O1021,PROGRAMAS[],2,FALSE),0)</f>
        <v>0</v>
      </c>
      <c r="AD1021" s="246">
        <f>IFERROR(VLOOKUP(P1021,PROGRAMAS[],2,FALSE),0)</f>
        <v>0</v>
      </c>
      <c r="AE1021" s="246">
        <f>IFERROR(VLOOKUP(Q1021,PROGRAMAS[],2,FALSE),0)</f>
        <v>0</v>
      </c>
      <c r="AF1021" s="246">
        <f>IFERROR(VLOOKUP(D1021,PROGRAMAS[],3,FALSE),0)</f>
        <v>841888629.31080008</v>
      </c>
      <c r="AG1021" s="246">
        <f>IFERROR(VLOOKUP(E1021,PROGRAMAS[],3,FALSE),0)</f>
        <v>3848980803.1642323</v>
      </c>
      <c r="AH1021" s="246">
        <f>IFERROR(VLOOKUP(F1021,PROGRAMAS[],3,FALSE),0)</f>
        <v>3394901471.387517</v>
      </c>
      <c r="AI1021" s="246">
        <f>IFERROR(VLOOKUP(G1021,PROGRAMAS[],3,FALSE),0)</f>
        <v>675517840.109828</v>
      </c>
      <c r="AJ1021" s="246">
        <f>IFERROR(VLOOKUP(H1021,PROGRAMAS[],3,FALSE),0)</f>
        <v>2392571243.5584412</v>
      </c>
      <c r="AK1021" s="246">
        <f>IFERROR(VLOOKUP(I1021,PROGRAMAS[],3,FALSE),0)</f>
        <v>31865326.38096505</v>
      </c>
      <c r="AL1021" s="246">
        <f>IFERROR(VLOOKUP(J1021,PROGRAMAS[],3,FALSE),0)</f>
        <v>2406564599.0319901</v>
      </c>
      <c r="AM1021" s="246">
        <f>IFERROR(VLOOKUP(K1021,PROGRAMAS[],3,FALSE),0)</f>
        <v>948595847.09039903</v>
      </c>
      <c r="AN1021" s="246">
        <f>IFERROR(VLOOKUP(L1021,PROGRAMAS[],3,FALSE),0)</f>
        <v>0</v>
      </c>
      <c r="AO1021" s="246">
        <f>IFERROR(VLOOKUP(M1021,PROGRAMAS[],3,FALSE),0)</f>
        <v>0</v>
      </c>
      <c r="AP1021" s="246">
        <f>IFERROR(VLOOKUP(N1021,PROGRAMAS[],3,FALSE),0)</f>
        <v>0</v>
      </c>
      <c r="AQ1021" s="246">
        <f>IFERROR(VLOOKUP(O1021,PROGRAMAS[],3,FALSE),0)</f>
        <v>0</v>
      </c>
      <c r="AR1021" s="246">
        <f>IFERROR(VLOOKUP(P1021,PROGRAMAS[],3,FALSE),0)</f>
        <v>0</v>
      </c>
      <c r="AS1021" s="246">
        <f>IFERROR(VLOOKUP(Q1021,PROGRAMAS[],3,FALSE),0)</f>
        <v>0</v>
      </c>
      <c r="AT1021" s="246">
        <f>IFERROR(VLOOKUP(D1021,VOL_REC[],2,FALSE),0)</f>
        <v>0</v>
      </c>
      <c r="AU1021" s="246">
        <f>IFERROR(VLOOKUP(E1021,VOL_REC[],2,FALSE),0)</f>
        <v>0</v>
      </c>
      <c r="AV1021" s="246">
        <f>IFERROR(VLOOKUP(F1021,VOL_REC[],2,FALSE),0)</f>
        <v>11089674.200000001</v>
      </c>
      <c r="AW1021" s="246">
        <f>IFERROR(VLOOKUP(G1021,VOL_REC[],2,FALSE),0)</f>
        <v>240696.79238099116</v>
      </c>
      <c r="AX1021" s="246">
        <f>IFERROR(VLOOKUP(H1021,VOL_REC[],2,FALSE),0)</f>
        <v>663244.80000000016</v>
      </c>
      <c r="AY1021" s="246">
        <f>IFERROR(VLOOKUP(I1021,VOL_REC[],2,FALSE),0)</f>
        <v>17074.045034105649</v>
      </c>
      <c r="AZ1021" s="246">
        <f>IFERROR(VLOOKUP(J1021,VOL_REC[],2,FALSE),0)</f>
        <v>1072354.9981737854</v>
      </c>
      <c r="BA1021" s="246">
        <f>IFERROR(VLOOKUP(K1021,VOL_REC[],2,FALSE),0)</f>
        <v>740113.98115702497</v>
      </c>
      <c r="BB1021" s="246">
        <f>IFERROR(VLOOKUP(L1021,VOL_REC[],2,FALSE),0)</f>
        <v>0</v>
      </c>
      <c r="BC1021" s="246">
        <f>IFERROR(VLOOKUP(M1021,VOL_REC[],2,FALSE),0)</f>
        <v>0</v>
      </c>
      <c r="BD1021" s="246">
        <f>IFERROR(VLOOKUP(N1021,VOL_REC[],2,FALSE),0)</f>
        <v>0</v>
      </c>
      <c r="BE1021" s="246">
        <f>IFERROR(VLOOKUP(O1021,VOL_REC[],2,FALSE),0)</f>
        <v>0</v>
      </c>
      <c r="BF1021" s="246">
        <f>IFERROR(VLOOKUP(P1021,VOL_REC[],2,FALSE),0)</f>
        <v>0</v>
      </c>
      <c r="BG1021" s="246">
        <f>IFERROR(VLOOKUP(Q1021,VOL_REC[],2,FALSE),0)</f>
        <v>0</v>
      </c>
      <c r="BH1021" s="1710">
        <f t="shared" si="60"/>
        <v>17356702728.984135</v>
      </c>
      <c r="BI1021" s="1710">
        <f t="shared" si="61"/>
        <v>14540885760.034172</v>
      </c>
      <c r="BJ1021" s="1711">
        <f t="shared" si="62"/>
        <v>13823158.816745909</v>
      </c>
      <c r="BK1021" s="1711">
        <f t="shared" si="63"/>
        <v>1.1936482423023551</v>
      </c>
      <c r="BL1021">
        <f>BJ1021</f>
        <v>13823158.816745909</v>
      </c>
      <c r="BO1021">
        <f>BL1021</f>
        <v>13823158.816745909</v>
      </c>
    </row>
    <row r="1022" spans="3:67" x14ac:dyDescent="0.25">
      <c r="C1022" s="246" t="s">
        <v>2372</v>
      </c>
      <c r="D1022" s="246">
        <v>1</v>
      </c>
      <c r="E1022" s="246">
        <v>2</v>
      </c>
      <c r="F1022" s="246">
        <v>3</v>
      </c>
      <c r="G1022" s="246">
        <v>12</v>
      </c>
      <c r="H1022" s="246">
        <v>13</v>
      </c>
      <c r="I1022" s="246">
        <v>15</v>
      </c>
      <c r="J1022" s="246">
        <v>16</v>
      </c>
      <c r="K1022" s="246">
        <v>17</v>
      </c>
      <c r="L1022" s="246"/>
      <c r="M1022" s="246"/>
      <c r="N1022" s="246"/>
      <c r="O1022" s="246"/>
      <c r="P1022" s="246"/>
      <c r="Q1022" s="246"/>
      <c r="R1022" s="246">
        <f>IFERROR(VLOOKUP(D1022,PROGRAMAS[],2,FALSE),0)</f>
        <v>97037803.679377079</v>
      </c>
      <c r="S1022" s="246">
        <f>IFERROR(VLOOKUP(E1022,PROGRAMAS[],2,FALSE),0)</f>
        <v>640501509.6821388</v>
      </c>
      <c r="T1022" s="246">
        <f>IFERROR(VLOOKUP(F1022,PROGRAMAS[],2,FALSE),0)</f>
        <v>3062327798.1525245</v>
      </c>
      <c r="U1022" s="246">
        <f>IFERROR(VLOOKUP(G1022,PROGRAMAS[],2,FALSE),0)</f>
        <v>764796700.79905891</v>
      </c>
      <c r="V1022" s="246">
        <f>IFERROR(VLOOKUP(H1022,PROGRAMAS[],2,FALSE),0)</f>
        <v>3776538594.4604583</v>
      </c>
      <c r="W1022" s="246">
        <f>IFERROR(VLOOKUP(I1022,PROGRAMAS[],2,FALSE),0)</f>
        <v>122159672.96346797</v>
      </c>
      <c r="X1022" s="246">
        <f>IFERROR(VLOOKUP(J1022,PROGRAMAS[],2,FALSE),0)</f>
        <v>7068496961.0436354</v>
      </c>
      <c r="Y1022" s="246">
        <f>IFERROR(VLOOKUP(K1022,PROGRAMAS[],2,FALSE),0)</f>
        <v>1892779498.5211046</v>
      </c>
      <c r="Z1022" s="246">
        <f>IFERROR(VLOOKUP(L1022,PROGRAMAS[],2,FALSE),0)</f>
        <v>0</v>
      </c>
      <c r="AA1022" s="246">
        <f>IFERROR(VLOOKUP(M1022,PROGRAMAS[],2,FALSE),0)</f>
        <v>0</v>
      </c>
      <c r="AB1022" s="246">
        <f>IFERROR(VLOOKUP(N1022,PROGRAMAS[],2,FALSE),0)</f>
        <v>0</v>
      </c>
      <c r="AC1022" s="246">
        <f>IFERROR(VLOOKUP(O1022,PROGRAMAS[],2,FALSE),0)</f>
        <v>0</v>
      </c>
      <c r="AD1022" s="246">
        <f>IFERROR(VLOOKUP(P1022,PROGRAMAS[],2,FALSE),0)</f>
        <v>0</v>
      </c>
      <c r="AE1022" s="246">
        <f>IFERROR(VLOOKUP(Q1022,PROGRAMAS[],2,FALSE),0)</f>
        <v>0</v>
      </c>
      <c r="AF1022" s="246">
        <f>IFERROR(VLOOKUP(D1022,PROGRAMAS[],3,FALSE),0)</f>
        <v>841888629.31080008</v>
      </c>
      <c r="AG1022" s="246">
        <f>IFERROR(VLOOKUP(E1022,PROGRAMAS[],3,FALSE),0)</f>
        <v>3848980803.1642323</v>
      </c>
      <c r="AH1022" s="246">
        <f>IFERROR(VLOOKUP(F1022,PROGRAMAS[],3,FALSE),0)</f>
        <v>3394901471.387517</v>
      </c>
      <c r="AI1022" s="246">
        <f>IFERROR(VLOOKUP(G1022,PROGRAMAS[],3,FALSE),0)</f>
        <v>675517840.109828</v>
      </c>
      <c r="AJ1022" s="246">
        <f>IFERROR(VLOOKUP(H1022,PROGRAMAS[],3,FALSE),0)</f>
        <v>2392571243.5584412</v>
      </c>
      <c r="AK1022" s="246">
        <f>IFERROR(VLOOKUP(I1022,PROGRAMAS[],3,FALSE),0)</f>
        <v>118617452.52510804</v>
      </c>
      <c r="AL1022" s="246">
        <f>IFERROR(VLOOKUP(J1022,PROGRAMAS[],3,FALSE),0)</f>
        <v>2406564599.0319901</v>
      </c>
      <c r="AM1022" s="246">
        <f>IFERROR(VLOOKUP(K1022,PROGRAMAS[],3,FALSE),0)</f>
        <v>948595847.09039903</v>
      </c>
      <c r="AN1022" s="246">
        <f>IFERROR(VLOOKUP(L1022,PROGRAMAS[],3,FALSE),0)</f>
        <v>0</v>
      </c>
      <c r="AO1022" s="246">
        <f>IFERROR(VLOOKUP(M1022,PROGRAMAS[],3,FALSE),0)</f>
        <v>0</v>
      </c>
      <c r="AP1022" s="246">
        <f>IFERROR(VLOOKUP(N1022,PROGRAMAS[],3,FALSE),0)</f>
        <v>0</v>
      </c>
      <c r="AQ1022" s="246">
        <f>IFERROR(VLOOKUP(O1022,PROGRAMAS[],3,FALSE),0)</f>
        <v>0</v>
      </c>
      <c r="AR1022" s="246">
        <f>IFERROR(VLOOKUP(P1022,PROGRAMAS[],3,FALSE),0)</f>
        <v>0</v>
      </c>
      <c r="AS1022" s="246">
        <f>IFERROR(VLOOKUP(Q1022,PROGRAMAS[],3,FALSE),0)</f>
        <v>0</v>
      </c>
      <c r="AT1022" s="246">
        <f>IFERROR(VLOOKUP(D1022,VOL_REC[],2,FALSE),0)</f>
        <v>0</v>
      </c>
      <c r="AU1022" s="246">
        <f>IFERROR(VLOOKUP(E1022,VOL_REC[],2,FALSE),0)</f>
        <v>0</v>
      </c>
      <c r="AV1022" s="246">
        <f>IFERROR(VLOOKUP(F1022,VOL_REC[],2,FALSE),0)</f>
        <v>11089674.200000001</v>
      </c>
      <c r="AW1022" s="246">
        <f>IFERROR(VLOOKUP(G1022,VOL_REC[],2,FALSE),0)</f>
        <v>240696.79238099116</v>
      </c>
      <c r="AX1022" s="246">
        <f>IFERROR(VLOOKUP(H1022,VOL_REC[],2,FALSE),0)</f>
        <v>663244.80000000016</v>
      </c>
      <c r="AY1022" s="246">
        <f>IFERROR(VLOOKUP(I1022,VOL_REC[],2,FALSE),0)</f>
        <v>105072</v>
      </c>
      <c r="AZ1022" s="246">
        <f>IFERROR(VLOOKUP(J1022,VOL_REC[],2,FALSE),0)</f>
        <v>1072354.9981737854</v>
      </c>
      <c r="BA1022" s="246">
        <f>IFERROR(VLOOKUP(K1022,VOL_REC[],2,FALSE),0)</f>
        <v>740113.98115702497</v>
      </c>
      <c r="BB1022" s="246">
        <f>IFERROR(VLOOKUP(L1022,VOL_REC[],2,FALSE),0)</f>
        <v>0</v>
      </c>
      <c r="BC1022" s="246">
        <f>IFERROR(VLOOKUP(M1022,VOL_REC[],2,FALSE),0)</f>
        <v>0</v>
      </c>
      <c r="BD1022" s="246">
        <f>IFERROR(VLOOKUP(N1022,VOL_REC[],2,FALSE),0)</f>
        <v>0</v>
      </c>
      <c r="BE1022" s="246">
        <f>IFERROR(VLOOKUP(O1022,VOL_REC[],2,FALSE),0)</f>
        <v>0</v>
      </c>
      <c r="BF1022" s="246">
        <f>IFERROR(VLOOKUP(P1022,VOL_REC[],2,FALSE),0)</f>
        <v>0</v>
      </c>
      <c r="BG1022" s="246">
        <f>IFERROR(VLOOKUP(Q1022,VOL_REC[],2,FALSE),0)</f>
        <v>0</v>
      </c>
      <c r="BH1022" s="1710">
        <f t="shared" si="60"/>
        <v>17424638539.301765</v>
      </c>
      <c r="BI1022" s="1710">
        <f t="shared" si="61"/>
        <v>14627637886.178316</v>
      </c>
      <c r="BJ1022" s="1711">
        <f t="shared" si="62"/>
        <v>13911156.771711802</v>
      </c>
      <c r="BK1022" s="1711">
        <f t="shared" si="63"/>
        <v>1.1912134190692771</v>
      </c>
      <c r="BL1022">
        <f>BJ1022</f>
        <v>13911156.771711802</v>
      </c>
      <c r="BO1022">
        <f>BL1022</f>
        <v>13911156.771711802</v>
      </c>
    </row>
    <row r="1023" spans="3:67" x14ac:dyDescent="0.25">
      <c r="C1023" s="246" t="s">
        <v>2373</v>
      </c>
      <c r="D1023" s="246">
        <v>1</v>
      </c>
      <c r="E1023" s="246">
        <v>2</v>
      </c>
      <c r="F1023" s="246">
        <v>3</v>
      </c>
      <c r="G1023" s="246">
        <v>12</v>
      </c>
      <c r="H1023" s="246">
        <v>14</v>
      </c>
      <c r="I1023" s="246">
        <v>15</v>
      </c>
      <c r="J1023" s="246">
        <v>16</v>
      </c>
      <c r="K1023" s="246">
        <v>17</v>
      </c>
      <c r="L1023" s="246"/>
      <c r="M1023" s="246"/>
      <c r="N1023" s="246"/>
      <c r="O1023" s="246"/>
      <c r="P1023" s="246"/>
      <c r="Q1023" s="246"/>
      <c r="R1023" s="246">
        <f>IFERROR(VLOOKUP(D1023,PROGRAMAS[],2,FALSE),0)</f>
        <v>97037803.679377079</v>
      </c>
      <c r="S1023" s="246">
        <f>IFERROR(VLOOKUP(E1023,PROGRAMAS[],2,FALSE),0)</f>
        <v>640501509.6821388</v>
      </c>
      <c r="T1023" s="246">
        <f>IFERROR(VLOOKUP(F1023,PROGRAMAS[],2,FALSE),0)</f>
        <v>3062327798.1525245</v>
      </c>
      <c r="U1023" s="246">
        <f>IFERROR(VLOOKUP(G1023,PROGRAMAS[],2,FALSE),0)</f>
        <v>764796700.79905891</v>
      </c>
      <c r="V1023" s="246">
        <f>IFERROR(VLOOKUP(H1023,PROGRAMAS[],2,FALSE),0)</f>
        <v>54223862.645839565</v>
      </c>
      <c r="W1023" s="246">
        <f>IFERROR(VLOOKUP(I1023,PROGRAMAS[],2,FALSE),0)</f>
        <v>122159672.96346797</v>
      </c>
      <c r="X1023" s="246">
        <f>IFERROR(VLOOKUP(J1023,PROGRAMAS[],2,FALSE),0)</f>
        <v>7068496961.0436354</v>
      </c>
      <c r="Y1023" s="246">
        <f>IFERROR(VLOOKUP(K1023,PROGRAMAS[],2,FALSE),0)</f>
        <v>1892779498.5211046</v>
      </c>
      <c r="Z1023" s="246">
        <f>IFERROR(VLOOKUP(L1023,PROGRAMAS[],2,FALSE),0)</f>
        <v>0</v>
      </c>
      <c r="AA1023" s="246">
        <f>IFERROR(VLOOKUP(M1023,PROGRAMAS[],2,FALSE),0)</f>
        <v>0</v>
      </c>
      <c r="AB1023" s="246">
        <f>IFERROR(VLOOKUP(N1023,PROGRAMAS[],2,FALSE),0)</f>
        <v>0</v>
      </c>
      <c r="AC1023" s="246">
        <f>IFERROR(VLOOKUP(O1023,PROGRAMAS[],2,FALSE),0)</f>
        <v>0</v>
      </c>
      <c r="AD1023" s="246">
        <f>IFERROR(VLOOKUP(P1023,PROGRAMAS[],2,FALSE),0)</f>
        <v>0</v>
      </c>
      <c r="AE1023" s="246">
        <f>IFERROR(VLOOKUP(Q1023,PROGRAMAS[],2,FALSE),0)</f>
        <v>0</v>
      </c>
      <c r="AF1023" s="246">
        <f>IFERROR(VLOOKUP(D1023,PROGRAMAS[],3,FALSE),0)</f>
        <v>841888629.31080008</v>
      </c>
      <c r="AG1023" s="246">
        <f>IFERROR(VLOOKUP(E1023,PROGRAMAS[],3,FALSE),0)</f>
        <v>3848980803.1642323</v>
      </c>
      <c r="AH1023" s="246">
        <f>IFERROR(VLOOKUP(F1023,PROGRAMAS[],3,FALSE),0)</f>
        <v>3394901471.387517</v>
      </c>
      <c r="AI1023" s="246">
        <f>IFERROR(VLOOKUP(G1023,PROGRAMAS[],3,FALSE),0)</f>
        <v>675517840.109828</v>
      </c>
      <c r="AJ1023" s="246">
        <f>IFERROR(VLOOKUP(H1023,PROGRAMAS[],3,FALSE),0)</f>
        <v>31865326.38096505</v>
      </c>
      <c r="AK1023" s="246">
        <f>IFERROR(VLOOKUP(I1023,PROGRAMAS[],3,FALSE),0)</f>
        <v>118617452.52510804</v>
      </c>
      <c r="AL1023" s="246">
        <f>IFERROR(VLOOKUP(J1023,PROGRAMAS[],3,FALSE),0)</f>
        <v>2406564599.0319901</v>
      </c>
      <c r="AM1023" s="246">
        <f>IFERROR(VLOOKUP(K1023,PROGRAMAS[],3,FALSE),0)</f>
        <v>948595847.09039903</v>
      </c>
      <c r="AN1023" s="246">
        <f>IFERROR(VLOOKUP(L1023,PROGRAMAS[],3,FALSE),0)</f>
        <v>0</v>
      </c>
      <c r="AO1023" s="246">
        <f>IFERROR(VLOOKUP(M1023,PROGRAMAS[],3,FALSE),0)</f>
        <v>0</v>
      </c>
      <c r="AP1023" s="246">
        <f>IFERROR(VLOOKUP(N1023,PROGRAMAS[],3,FALSE),0)</f>
        <v>0</v>
      </c>
      <c r="AQ1023" s="246">
        <f>IFERROR(VLOOKUP(O1023,PROGRAMAS[],3,FALSE),0)</f>
        <v>0</v>
      </c>
      <c r="AR1023" s="246">
        <f>IFERROR(VLOOKUP(P1023,PROGRAMAS[],3,FALSE),0)</f>
        <v>0</v>
      </c>
      <c r="AS1023" s="246">
        <f>IFERROR(VLOOKUP(Q1023,PROGRAMAS[],3,FALSE),0)</f>
        <v>0</v>
      </c>
      <c r="AT1023" s="246">
        <f>IFERROR(VLOOKUP(D1023,VOL_REC[],2,FALSE),0)</f>
        <v>0</v>
      </c>
      <c r="AU1023" s="246">
        <f>IFERROR(VLOOKUP(E1023,VOL_REC[],2,FALSE),0)</f>
        <v>0</v>
      </c>
      <c r="AV1023" s="246">
        <f>IFERROR(VLOOKUP(F1023,VOL_REC[],2,FALSE),0)</f>
        <v>11089674.200000001</v>
      </c>
      <c r="AW1023" s="246">
        <f>IFERROR(VLOOKUP(G1023,VOL_REC[],2,FALSE),0)</f>
        <v>240696.79238099116</v>
      </c>
      <c r="AX1023" s="246">
        <f>IFERROR(VLOOKUP(H1023,VOL_REC[],2,FALSE),0)</f>
        <v>17074.045034105649</v>
      </c>
      <c r="AY1023" s="246">
        <f>IFERROR(VLOOKUP(I1023,VOL_REC[],2,FALSE),0)</f>
        <v>105072</v>
      </c>
      <c r="AZ1023" s="246">
        <f>IFERROR(VLOOKUP(J1023,VOL_REC[],2,FALSE),0)</f>
        <v>1072354.9981737854</v>
      </c>
      <c r="BA1023" s="246">
        <f>IFERROR(VLOOKUP(K1023,VOL_REC[],2,FALSE),0)</f>
        <v>740113.98115702497</v>
      </c>
      <c r="BB1023" s="246">
        <f>IFERROR(VLOOKUP(L1023,VOL_REC[],2,FALSE),0)</f>
        <v>0</v>
      </c>
      <c r="BC1023" s="246">
        <f>IFERROR(VLOOKUP(M1023,VOL_REC[],2,FALSE),0)</f>
        <v>0</v>
      </c>
      <c r="BD1023" s="246">
        <f>IFERROR(VLOOKUP(N1023,VOL_REC[],2,FALSE),0)</f>
        <v>0</v>
      </c>
      <c r="BE1023" s="246">
        <f>IFERROR(VLOOKUP(O1023,VOL_REC[],2,FALSE),0)</f>
        <v>0</v>
      </c>
      <c r="BF1023" s="246">
        <f>IFERROR(VLOOKUP(P1023,VOL_REC[],2,FALSE),0)</f>
        <v>0</v>
      </c>
      <c r="BG1023" s="246">
        <f>IFERROR(VLOOKUP(Q1023,VOL_REC[],2,FALSE),0)</f>
        <v>0</v>
      </c>
      <c r="BH1023" s="1710">
        <f t="shared" si="60"/>
        <v>13702323807.487146</v>
      </c>
      <c r="BI1023" s="1710">
        <f t="shared" si="61"/>
        <v>12266931969.000839</v>
      </c>
      <c r="BJ1023" s="1711">
        <f t="shared" si="62"/>
        <v>13264986.016745908</v>
      </c>
      <c r="BK1023" s="1711">
        <f t="shared" si="63"/>
        <v>1.1170131082583334</v>
      </c>
      <c r="BL1023">
        <f>BJ1023</f>
        <v>13264986.016745908</v>
      </c>
      <c r="BO1023">
        <f>BL1023</f>
        <v>13264986.016745908</v>
      </c>
    </row>
    <row r="1024" spans="3:67" x14ac:dyDescent="0.25">
      <c r="C1024" s="246" t="s">
        <v>2374</v>
      </c>
      <c r="D1024" s="246">
        <v>1</v>
      </c>
      <c r="E1024" s="246">
        <v>2</v>
      </c>
      <c r="F1024" s="246">
        <v>3</v>
      </c>
      <c r="G1024" s="246">
        <v>13</v>
      </c>
      <c r="H1024" s="246">
        <v>14</v>
      </c>
      <c r="I1024" s="246">
        <v>15</v>
      </c>
      <c r="J1024" s="246">
        <v>16</v>
      </c>
      <c r="K1024" s="246">
        <v>17</v>
      </c>
      <c r="L1024" s="246"/>
      <c r="M1024" s="246"/>
      <c r="N1024" s="246"/>
      <c r="O1024" s="246"/>
      <c r="P1024" s="246"/>
      <c r="Q1024" s="246"/>
      <c r="R1024" s="246">
        <f>IFERROR(VLOOKUP(D1024,PROGRAMAS[],2,FALSE),0)</f>
        <v>97037803.679377079</v>
      </c>
      <c r="S1024" s="246">
        <f>IFERROR(VLOOKUP(E1024,PROGRAMAS[],2,FALSE),0)</f>
        <v>640501509.6821388</v>
      </c>
      <c r="T1024" s="246">
        <f>IFERROR(VLOOKUP(F1024,PROGRAMAS[],2,FALSE),0)</f>
        <v>3062327798.1525245</v>
      </c>
      <c r="U1024" s="246">
        <f>IFERROR(VLOOKUP(G1024,PROGRAMAS[],2,FALSE),0)</f>
        <v>3776538594.4604583</v>
      </c>
      <c r="V1024" s="246">
        <f>IFERROR(VLOOKUP(H1024,PROGRAMAS[],2,FALSE),0)</f>
        <v>54223862.645839565</v>
      </c>
      <c r="W1024" s="246">
        <f>IFERROR(VLOOKUP(I1024,PROGRAMAS[],2,FALSE),0)</f>
        <v>122159672.96346797</v>
      </c>
      <c r="X1024" s="246">
        <f>IFERROR(VLOOKUP(J1024,PROGRAMAS[],2,FALSE),0)</f>
        <v>7068496961.0436354</v>
      </c>
      <c r="Y1024" s="246">
        <f>IFERROR(VLOOKUP(K1024,PROGRAMAS[],2,FALSE),0)</f>
        <v>1892779498.5211046</v>
      </c>
      <c r="Z1024" s="246">
        <f>IFERROR(VLOOKUP(L1024,PROGRAMAS[],2,FALSE),0)</f>
        <v>0</v>
      </c>
      <c r="AA1024" s="246">
        <f>IFERROR(VLOOKUP(M1024,PROGRAMAS[],2,FALSE),0)</f>
        <v>0</v>
      </c>
      <c r="AB1024" s="246">
        <f>IFERROR(VLOOKUP(N1024,PROGRAMAS[],2,FALSE),0)</f>
        <v>0</v>
      </c>
      <c r="AC1024" s="246">
        <f>IFERROR(VLOOKUP(O1024,PROGRAMAS[],2,FALSE),0)</f>
        <v>0</v>
      </c>
      <c r="AD1024" s="246">
        <f>IFERROR(VLOOKUP(P1024,PROGRAMAS[],2,FALSE),0)</f>
        <v>0</v>
      </c>
      <c r="AE1024" s="246">
        <f>IFERROR(VLOOKUP(Q1024,PROGRAMAS[],2,FALSE),0)</f>
        <v>0</v>
      </c>
      <c r="AF1024" s="246">
        <f>IFERROR(VLOOKUP(D1024,PROGRAMAS[],3,FALSE),0)</f>
        <v>841888629.31080008</v>
      </c>
      <c r="AG1024" s="246">
        <f>IFERROR(VLOOKUP(E1024,PROGRAMAS[],3,FALSE),0)</f>
        <v>3848980803.1642323</v>
      </c>
      <c r="AH1024" s="246">
        <f>IFERROR(VLOOKUP(F1024,PROGRAMAS[],3,FALSE),0)</f>
        <v>3394901471.387517</v>
      </c>
      <c r="AI1024" s="246">
        <f>IFERROR(VLOOKUP(G1024,PROGRAMAS[],3,FALSE),0)</f>
        <v>2392571243.5584412</v>
      </c>
      <c r="AJ1024" s="246">
        <f>IFERROR(VLOOKUP(H1024,PROGRAMAS[],3,FALSE),0)</f>
        <v>31865326.38096505</v>
      </c>
      <c r="AK1024" s="246">
        <f>IFERROR(VLOOKUP(I1024,PROGRAMAS[],3,FALSE),0)</f>
        <v>118617452.52510804</v>
      </c>
      <c r="AL1024" s="246">
        <f>IFERROR(VLOOKUP(J1024,PROGRAMAS[],3,FALSE),0)</f>
        <v>2406564599.0319901</v>
      </c>
      <c r="AM1024" s="246">
        <f>IFERROR(VLOOKUP(K1024,PROGRAMAS[],3,FALSE),0)</f>
        <v>948595847.09039903</v>
      </c>
      <c r="AN1024" s="246">
        <f>IFERROR(VLOOKUP(L1024,PROGRAMAS[],3,FALSE),0)</f>
        <v>0</v>
      </c>
      <c r="AO1024" s="246">
        <f>IFERROR(VLOOKUP(M1024,PROGRAMAS[],3,FALSE),0)</f>
        <v>0</v>
      </c>
      <c r="AP1024" s="246">
        <f>IFERROR(VLOOKUP(N1024,PROGRAMAS[],3,FALSE),0)</f>
        <v>0</v>
      </c>
      <c r="AQ1024" s="246">
        <f>IFERROR(VLOOKUP(O1024,PROGRAMAS[],3,FALSE),0)</f>
        <v>0</v>
      </c>
      <c r="AR1024" s="246">
        <f>IFERROR(VLOOKUP(P1024,PROGRAMAS[],3,FALSE),0)</f>
        <v>0</v>
      </c>
      <c r="AS1024" s="246">
        <f>IFERROR(VLOOKUP(Q1024,PROGRAMAS[],3,FALSE),0)</f>
        <v>0</v>
      </c>
      <c r="AT1024" s="246">
        <f>IFERROR(VLOOKUP(D1024,VOL_REC[],2,FALSE),0)</f>
        <v>0</v>
      </c>
      <c r="AU1024" s="246">
        <f>IFERROR(VLOOKUP(E1024,VOL_REC[],2,FALSE),0)</f>
        <v>0</v>
      </c>
      <c r="AV1024" s="246">
        <f>IFERROR(VLOOKUP(F1024,VOL_REC[],2,FALSE),0)</f>
        <v>11089674.200000001</v>
      </c>
      <c r="AW1024" s="246">
        <f>IFERROR(VLOOKUP(G1024,VOL_REC[],2,FALSE),0)</f>
        <v>663244.80000000016</v>
      </c>
      <c r="AX1024" s="246">
        <f>IFERROR(VLOOKUP(H1024,VOL_REC[],2,FALSE),0)</f>
        <v>17074.045034105649</v>
      </c>
      <c r="AY1024" s="246">
        <f>IFERROR(VLOOKUP(I1024,VOL_REC[],2,FALSE),0)</f>
        <v>105072</v>
      </c>
      <c r="AZ1024" s="246">
        <f>IFERROR(VLOOKUP(J1024,VOL_REC[],2,FALSE),0)</f>
        <v>1072354.9981737854</v>
      </c>
      <c r="BA1024" s="246">
        <f>IFERROR(VLOOKUP(K1024,VOL_REC[],2,FALSE),0)</f>
        <v>740113.98115702497</v>
      </c>
      <c r="BB1024" s="246">
        <f>IFERROR(VLOOKUP(L1024,VOL_REC[],2,FALSE),0)</f>
        <v>0</v>
      </c>
      <c r="BC1024" s="246">
        <f>IFERROR(VLOOKUP(M1024,VOL_REC[],2,FALSE),0)</f>
        <v>0</v>
      </c>
      <c r="BD1024" s="246">
        <f>IFERROR(VLOOKUP(N1024,VOL_REC[],2,FALSE),0)</f>
        <v>0</v>
      </c>
      <c r="BE1024" s="246">
        <f>IFERROR(VLOOKUP(O1024,VOL_REC[],2,FALSE),0)</f>
        <v>0</v>
      </c>
      <c r="BF1024" s="246">
        <f>IFERROR(VLOOKUP(P1024,VOL_REC[],2,FALSE),0)</f>
        <v>0</v>
      </c>
      <c r="BG1024" s="246">
        <f>IFERROR(VLOOKUP(Q1024,VOL_REC[],2,FALSE),0)</f>
        <v>0</v>
      </c>
      <c r="BH1024" s="1710">
        <f t="shared" si="60"/>
        <v>16714065701.148546</v>
      </c>
      <c r="BI1024" s="1710">
        <f t="shared" si="61"/>
        <v>13983985372.449451</v>
      </c>
      <c r="BJ1024" s="1711">
        <f t="shared" si="62"/>
        <v>13687534.024364917</v>
      </c>
      <c r="BK1024" s="1711">
        <f t="shared" si="63"/>
        <v>1.1952290606709131</v>
      </c>
      <c r="BL1024">
        <f>BJ1024</f>
        <v>13687534.024364917</v>
      </c>
      <c r="BO1024">
        <f>BL1024</f>
        <v>13687534.024364917</v>
      </c>
    </row>
    <row r="1025" spans="3:67" x14ac:dyDescent="0.25">
      <c r="C1025" s="246" t="s">
        <v>2375</v>
      </c>
      <c r="D1025" s="246">
        <v>1</v>
      </c>
      <c r="E1025" s="246">
        <v>2</v>
      </c>
      <c r="F1025" s="246">
        <v>3</v>
      </c>
      <c r="G1025" s="246">
        <v>4</v>
      </c>
      <c r="H1025" s="246">
        <v>5</v>
      </c>
      <c r="I1025" s="246">
        <v>6</v>
      </c>
      <c r="J1025" s="246">
        <v>9</v>
      </c>
      <c r="K1025" s="246">
        <v>10</v>
      </c>
      <c r="L1025" s="246">
        <v>12</v>
      </c>
      <c r="M1025" s="246"/>
      <c r="N1025" s="246"/>
      <c r="O1025" s="246"/>
      <c r="P1025" s="246"/>
      <c r="Q1025" s="246"/>
      <c r="R1025" s="246">
        <f>IFERROR(VLOOKUP(D1025,PROGRAMAS[],2,FALSE),0)</f>
        <v>97037803.679377079</v>
      </c>
      <c r="S1025" s="246">
        <f>IFERROR(VLOOKUP(E1025,PROGRAMAS[],2,FALSE),0)</f>
        <v>640501509.6821388</v>
      </c>
      <c r="T1025" s="246">
        <f>IFERROR(VLOOKUP(F1025,PROGRAMAS[],2,FALSE),0)</f>
        <v>3062327798.1525245</v>
      </c>
      <c r="U1025" s="246">
        <f>IFERROR(VLOOKUP(G1025,PROGRAMAS[],2,FALSE),0)</f>
        <v>67697118.033011258</v>
      </c>
      <c r="V1025" s="246">
        <f>IFERROR(VLOOKUP(H1025,PROGRAMAS[],2,FALSE),0)</f>
        <v>1440941976.2528784</v>
      </c>
      <c r="W1025" s="246">
        <f>IFERROR(VLOOKUP(I1025,PROGRAMAS[],2,FALSE),0)</f>
        <v>6907648435.8447599</v>
      </c>
      <c r="X1025" s="246">
        <f>IFERROR(VLOOKUP(J1025,PROGRAMAS[],2,FALSE),0)</f>
        <v>6128579952.1618185</v>
      </c>
      <c r="Y1025" s="246">
        <f>IFERROR(VLOOKUP(K1025,PROGRAMAS[],2,FALSE),0)</f>
        <v>4635315027.8751087</v>
      </c>
      <c r="Z1025" s="246">
        <f>IFERROR(VLOOKUP(L1025,PROGRAMAS[],2,FALSE),0)</f>
        <v>764796700.79905891</v>
      </c>
      <c r="AA1025" s="246">
        <f>IFERROR(VLOOKUP(M1025,PROGRAMAS[],2,FALSE),0)</f>
        <v>0</v>
      </c>
      <c r="AB1025" s="246">
        <f>IFERROR(VLOOKUP(N1025,PROGRAMAS[],2,FALSE),0)</f>
        <v>0</v>
      </c>
      <c r="AC1025" s="246">
        <f>IFERROR(VLOOKUP(O1025,PROGRAMAS[],2,FALSE),0)</f>
        <v>0</v>
      </c>
      <c r="AD1025" s="246">
        <f>IFERROR(VLOOKUP(P1025,PROGRAMAS[],2,FALSE),0)</f>
        <v>0</v>
      </c>
      <c r="AE1025" s="246">
        <f>IFERROR(VLOOKUP(Q1025,PROGRAMAS[],2,FALSE),0)</f>
        <v>0</v>
      </c>
      <c r="AF1025" s="246">
        <f>IFERROR(VLOOKUP(D1025,PROGRAMAS[],3,FALSE),0)</f>
        <v>841888629.31080008</v>
      </c>
      <c r="AG1025" s="246">
        <f>IFERROR(VLOOKUP(E1025,PROGRAMAS[],3,FALSE),0)</f>
        <v>3848980803.1642323</v>
      </c>
      <c r="AH1025" s="246">
        <f>IFERROR(VLOOKUP(F1025,PROGRAMAS[],3,FALSE),0)</f>
        <v>3394901471.387517</v>
      </c>
      <c r="AI1025" s="246">
        <f>IFERROR(VLOOKUP(G1025,PROGRAMAS[],3,FALSE),0)</f>
        <v>125317226.95549992</v>
      </c>
      <c r="AJ1025" s="246">
        <f>IFERROR(VLOOKUP(H1025,PROGRAMAS[],3,FALSE),0)</f>
        <v>1233505101.0616004</v>
      </c>
      <c r="AK1025" s="246">
        <f>IFERROR(VLOOKUP(I1025,PROGRAMAS[],3,FALSE),0)</f>
        <v>6129902208.7912121</v>
      </c>
      <c r="AL1025" s="246">
        <f>IFERROR(VLOOKUP(J1025,PROGRAMAS[],3,FALSE),0)</f>
        <v>7011279577.519702</v>
      </c>
      <c r="AM1025" s="246">
        <f>IFERROR(VLOOKUP(K1025,PROGRAMAS[],3,FALSE),0)</f>
        <v>4099471734.9978786</v>
      </c>
      <c r="AN1025" s="246">
        <f>IFERROR(VLOOKUP(L1025,PROGRAMAS[],3,FALSE),0)</f>
        <v>675517840.109828</v>
      </c>
      <c r="AO1025" s="246">
        <f>IFERROR(VLOOKUP(M1025,PROGRAMAS[],3,FALSE),0)</f>
        <v>0</v>
      </c>
      <c r="AP1025" s="246">
        <f>IFERROR(VLOOKUP(N1025,PROGRAMAS[],3,FALSE),0)</f>
        <v>0</v>
      </c>
      <c r="AQ1025" s="246">
        <f>IFERROR(VLOOKUP(O1025,PROGRAMAS[],3,FALSE),0)</f>
        <v>0</v>
      </c>
      <c r="AR1025" s="246">
        <f>IFERROR(VLOOKUP(P1025,PROGRAMAS[],3,FALSE),0)</f>
        <v>0</v>
      </c>
      <c r="AS1025" s="246">
        <f>IFERROR(VLOOKUP(Q1025,PROGRAMAS[],3,FALSE),0)</f>
        <v>0</v>
      </c>
      <c r="AT1025" s="246">
        <f>IFERROR(VLOOKUP(D1025,VOL_REC[],2,FALSE),0)</f>
        <v>0</v>
      </c>
      <c r="AU1025" s="246">
        <f>IFERROR(VLOOKUP(E1025,VOL_REC[],2,FALSE),0)</f>
        <v>0</v>
      </c>
      <c r="AV1025" s="246">
        <f>IFERROR(VLOOKUP(F1025,VOL_REC[],2,FALSE),0)</f>
        <v>11089674.200000001</v>
      </c>
      <c r="AW1025" s="246">
        <f>IFERROR(VLOOKUP(G1025,VOL_REC[],2,FALSE),0)</f>
        <v>90439.55</v>
      </c>
      <c r="AX1025" s="246">
        <f>IFERROR(VLOOKUP(H1025,VOL_REC[],2,FALSE),0)</f>
        <v>4325103.1812214684</v>
      </c>
      <c r="AY1025" s="246">
        <f>IFERROR(VLOOKUP(I1025,VOL_REC[],2,FALSE),0)</f>
        <v>15540036.397699751</v>
      </c>
      <c r="AZ1025" s="246">
        <f>IFERROR(VLOOKUP(J1025,VOL_REC[],2,FALSE),0)</f>
        <v>3761786</v>
      </c>
      <c r="BA1025" s="246">
        <f>IFERROR(VLOOKUP(K1025,VOL_REC[],2,FALSE),0)</f>
        <v>1812240</v>
      </c>
      <c r="BB1025" s="246">
        <f>IFERROR(VLOOKUP(L1025,VOL_REC[],2,FALSE),0)</f>
        <v>240696.79238099116</v>
      </c>
      <c r="BC1025" s="246">
        <f>IFERROR(VLOOKUP(M1025,VOL_REC[],2,FALSE),0)</f>
        <v>0</v>
      </c>
      <c r="BD1025" s="246">
        <f>IFERROR(VLOOKUP(N1025,VOL_REC[],2,FALSE),0)</f>
        <v>0</v>
      </c>
      <c r="BE1025" s="246">
        <f>IFERROR(VLOOKUP(O1025,VOL_REC[],2,FALSE),0)</f>
        <v>0</v>
      </c>
      <c r="BF1025" s="246">
        <f>IFERROR(VLOOKUP(P1025,VOL_REC[],2,FALSE),0)</f>
        <v>0</v>
      </c>
      <c r="BG1025" s="246">
        <f>IFERROR(VLOOKUP(Q1025,VOL_REC[],2,FALSE),0)</f>
        <v>0</v>
      </c>
      <c r="BH1025" s="1710">
        <f t="shared" si="60"/>
        <v>23744846322.480675</v>
      </c>
      <c r="BI1025" s="1710">
        <f t="shared" si="61"/>
        <v>27360764593.298271</v>
      </c>
      <c r="BJ1025" s="1711">
        <f t="shared" si="62"/>
        <v>36859976.12130221</v>
      </c>
      <c r="BK1025" s="1711">
        <f t="shared" si="63"/>
        <v>0.86784293770418697</v>
      </c>
    </row>
    <row r="1026" spans="3:67" x14ac:dyDescent="0.25">
      <c r="C1026" s="246" t="s">
        <v>2376</v>
      </c>
      <c r="D1026" s="246">
        <v>1</v>
      </c>
      <c r="E1026" s="246">
        <v>2</v>
      </c>
      <c r="F1026" s="246">
        <v>3</v>
      </c>
      <c r="G1026" s="246">
        <v>4</v>
      </c>
      <c r="H1026" s="246">
        <v>5</v>
      </c>
      <c r="I1026" s="246">
        <v>6</v>
      </c>
      <c r="J1026" s="246">
        <v>9</v>
      </c>
      <c r="K1026" s="246">
        <v>10</v>
      </c>
      <c r="L1026" s="246">
        <v>13</v>
      </c>
      <c r="M1026" s="246"/>
      <c r="N1026" s="246"/>
      <c r="O1026" s="246"/>
      <c r="P1026" s="246"/>
      <c r="Q1026" s="246"/>
      <c r="R1026" s="246">
        <f>IFERROR(VLOOKUP(D1026,PROGRAMAS[],2,FALSE),0)</f>
        <v>97037803.679377079</v>
      </c>
      <c r="S1026" s="246">
        <f>IFERROR(VLOOKUP(E1026,PROGRAMAS[],2,FALSE),0)</f>
        <v>640501509.6821388</v>
      </c>
      <c r="T1026" s="246">
        <f>IFERROR(VLOOKUP(F1026,PROGRAMAS[],2,FALSE),0)</f>
        <v>3062327798.1525245</v>
      </c>
      <c r="U1026" s="246">
        <f>IFERROR(VLOOKUP(G1026,PROGRAMAS[],2,FALSE),0)</f>
        <v>67697118.033011258</v>
      </c>
      <c r="V1026" s="246">
        <f>IFERROR(VLOOKUP(H1026,PROGRAMAS[],2,FALSE),0)</f>
        <v>1440941976.2528784</v>
      </c>
      <c r="W1026" s="246">
        <f>IFERROR(VLOOKUP(I1026,PROGRAMAS[],2,FALSE),0)</f>
        <v>6907648435.8447599</v>
      </c>
      <c r="X1026" s="246">
        <f>IFERROR(VLOOKUP(J1026,PROGRAMAS[],2,FALSE),0)</f>
        <v>6128579952.1618185</v>
      </c>
      <c r="Y1026" s="246">
        <f>IFERROR(VLOOKUP(K1026,PROGRAMAS[],2,FALSE),0)</f>
        <v>4635315027.8751087</v>
      </c>
      <c r="Z1026" s="246">
        <f>IFERROR(VLOOKUP(L1026,PROGRAMAS[],2,FALSE),0)</f>
        <v>3776538594.4604583</v>
      </c>
      <c r="AA1026" s="246">
        <f>IFERROR(VLOOKUP(M1026,PROGRAMAS[],2,FALSE),0)</f>
        <v>0</v>
      </c>
      <c r="AB1026" s="246">
        <f>IFERROR(VLOOKUP(N1026,PROGRAMAS[],2,FALSE),0)</f>
        <v>0</v>
      </c>
      <c r="AC1026" s="246">
        <f>IFERROR(VLOOKUP(O1026,PROGRAMAS[],2,FALSE),0)</f>
        <v>0</v>
      </c>
      <c r="AD1026" s="246">
        <f>IFERROR(VLOOKUP(P1026,PROGRAMAS[],2,FALSE),0)</f>
        <v>0</v>
      </c>
      <c r="AE1026" s="246">
        <f>IFERROR(VLOOKUP(Q1026,PROGRAMAS[],2,FALSE),0)</f>
        <v>0</v>
      </c>
      <c r="AF1026" s="246">
        <f>IFERROR(VLOOKUP(D1026,PROGRAMAS[],3,FALSE),0)</f>
        <v>841888629.31080008</v>
      </c>
      <c r="AG1026" s="246">
        <f>IFERROR(VLOOKUP(E1026,PROGRAMAS[],3,FALSE),0)</f>
        <v>3848980803.1642323</v>
      </c>
      <c r="AH1026" s="246">
        <f>IFERROR(VLOOKUP(F1026,PROGRAMAS[],3,FALSE),0)</f>
        <v>3394901471.387517</v>
      </c>
      <c r="AI1026" s="246">
        <f>IFERROR(VLOOKUP(G1026,PROGRAMAS[],3,FALSE),0)</f>
        <v>125317226.95549992</v>
      </c>
      <c r="AJ1026" s="246">
        <f>IFERROR(VLOOKUP(H1026,PROGRAMAS[],3,FALSE),0)</f>
        <v>1233505101.0616004</v>
      </c>
      <c r="AK1026" s="246">
        <f>IFERROR(VLOOKUP(I1026,PROGRAMAS[],3,FALSE),0)</f>
        <v>6129902208.7912121</v>
      </c>
      <c r="AL1026" s="246">
        <f>IFERROR(VLOOKUP(J1026,PROGRAMAS[],3,FALSE),0)</f>
        <v>7011279577.519702</v>
      </c>
      <c r="AM1026" s="246">
        <f>IFERROR(VLOOKUP(K1026,PROGRAMAS[],3,FALSE),0)</f>
        <v>4099471734.9978786</v>
      </c>
      <c r="AN1026" s="246">
        <f>IFERROR(VLOOKUP(L1026,PROGRAMAS[],3,FALSE),0)</f>
        <v>2392571243.5584412</v>
      </c>
      <c r="AO1026" s="246">
        <f>IFERROR(VLOOKUP(M1026,PROGRAMAS[],3,FALSE),0)</f>
        <v>0</v>
      </c>
      <c r="AP1026" s="246">
        <f>IFERROR(VLOOKUP(N1026,PROGRAMAS[],3,FALSE),0)</f>
        <v>0</v>
      </c>
      <c r="AQ1026" s="246">
        <f>IFERROR(VLOOKUP(O1026,PROGRAMAS[],3,FALSE),0)</f>
        <v>0</v>
      </c>
      <c r="AR1026" s="246">
        <f>IFERROR(VLOOKUP(P1026,PROGRAMAS[],3,FALSE),0)</f>
        <v>0</v>
      </c>
      <c r="AS1026" s="246">
        <f>IFERROR(VLOOKUP(Q1026,PROGRAMAS[],3,FALSE),0)</f>
        <v>0</v>
      </c>
      <c r="AT1026" s="246">
        <f>IFERROR(VLOOKUP(D1026,VOL_REC[],2,FALSE),0)</f>
        <v>0</v>
      </c>
      <c r="AU1026" s="246">
        <f>IFERROR(VLOOKUP(E1026,VOL_REC[],2,FALSE),0)</f>
        <v>0</v>
      </c>
      <c r="AV1026" s="246">
        <f>IFERROR(VLOOKUP(F1026,VOL_REC[],2,FALSE),0)</f>
        <v>11089674.200000001</v>
      </c>
      <c r="AW1026" s="246">
        <f>IFERROR(VLOOKUP(G1026,VOL_REC[],2,FALSE),0)</f>
        <v>90439.55</v>
      </c>
      <c r="AX1026" s="246">
        <f>IFERROR(VLOOKUP(H1026,VOL_REC[],2,FALSE),0)</f>
        <v>4325103.1812214684</v>
      </c>
      <c r="AY1026" s="246">
        <f>IFERROR(VLOOKUP(I1026,VOL_REC[],2,FALSE),0)</f>
        <v>15540036.397699751</v>
      </c>
      <c r="AZ1026" s="246">
        <f>IFERROR(VLOOKUP(J1026,VOL_REC[],2,FALSE),0)</f>
        <v>3761786</v>
      </c>
      <c r="BA1026" s="246">
        <f>IFERROR(VLOOKUP(K1026,VOL_REC[],2,FALSE),0)</f>
        <v>1812240</v>
      </c>
      <c r="BB1026" s="246">
        <f>IFERROR(VLOOKUP(L1026,VOL_REC[],2,FALSE),0)</f>
        <v>663244.80000000016</v>
      </c>
      <c r="BC1026" s="246">
        <f>IFERROR(VLOOKUP(M1026,VOL_REC[],2,FALSE),0)</f>
        <v>0</v>
      </c>
      <c r="BD1026" s="246">
        <f>IFERROR(VLOOKUP(N1026,VOL_REC[],2,FALSE),0)</f>
        <v>0</v>
      </c>
      <c r="BE1026" s="246">
        <f>IFERROR(VLOOKUP(O1026,VOL_REC[],2,FALSE),0)</f>
        <v>0</v>
      </c>
      <c r="BF1026" s="246">
        <f>IFERROR(VLOOKUP(P1026,VOL_REC[],2,FALSE),0)</f>
        <v>0</v>
      </c>
      <c r="BG1026" s="246">
        <f>IFERROR(VLOOKUP(Q1026,VOL_REC[],2,FALSE),0)</f>
        <v>0</v>
      </c>
      <c r="BH1026" s="1710">
        <f t="shared" ref="BH1026:BH1089" si="64">SUM(R1026:AE1026)</f>
        <v>26756588216.142075</v>
      </c>
      <c r="BI1026" s="1710">
        <f t="shared" ref="BI1026:BI1089" si="65">SUM(AF1026:AS1026)</f>
        <v>29077817996.746883</v>
      </c>
      <c r="BJ1026" s="1711">
        <f t="shared" ref="BJ1026:BJ1089" si="66">SUM(AT1026:BG1026)</f>
        <v>37282524.128921218</v>
      </c>
      <c r="BK1026" s="1711">
        <f t="shared" ref="BK1026:BK1089" si="67">IFERROR(BH1026/BI1026,0)</f>
        <v>0.92017180309524949</v>
      </c>
    </row>
    <row r="1027" spans="3:67" x14ac:dyDescent="0.25">
      <c r="C1027" s="246" t="s">
        <v>2377</v>
      </c>
      <c r="D1027" s="246">
        <v>1</v>
      </c>
      <c r="E1027" s="246">
        <v>2</v>
      </c>
      <c r="F1027" s="246">
        <v>3</v>
      </c>
      <c r="G1027" s="246">
        <v>4</v>
      </c>
      <c r="H1027" s="246">
        <v>5</v>
      </c>
      <c r="I1027" s="246">
        <v>6</v>
      </c>
      <c r="J1027" s="246">
        <v>9</v>
      </c>
      <c r="K1027" s="246">
        <v>10</v>
      </c>
      <c r="L1027" s="246">
        <v>14</v>
      </c>
      <c r="M1027" s="246"/>
      <c r="N1027" s="246"/>
      <c r="O1027" s="246"/>
      <c r="P1027" s="246"/>
      <c r="Q1027" s="246"/>
      <c r="R1027" s="246">
        <f>IFERROR(VLOOKUP(D1027,PROGRAMAS[],2,FALSE),0)</f>
        <v>97037803.679377079</v>
      </c>
      <c r="S1027" s="246">
        <f>IFERROR(VLOOKUP(E1027,PROGRAMAS[],2,FALSE),0)</f>
        <v>640501509.6821388</v>
      </c>
      <c r="T1027" s="246">
        <f>IFERROR(VLOOKUP(F1027,PROGRAMAS[],2,FALSE),0)</f>
        <v>3062327798.1525245</v>
      </c>
      <c r="U1027" s="246">
        <f>IFERROR(VLOOKUP(G1027,PROGRAMAS[],2,FALSE),0)</f>
        <v>67697118.033011258</v>
      </c>
      <c r="V1027" s="246">
        <f>IFERROR(VLOOKUP(H1027,PROGRAMAS[],2,FALSE),0)</f>
        <v>1440941976.2528784</v>
      </c>
      <c r="W1027" s="246">
        <f>IFERROR(VLOOKUP(I1027,PROGRAMAS[],2,FALSE),0)</f>
        <v>6907648435.8447599</v>
      </c>
      <c r="X1027" s="246">
        <f>IFERROR(VLOOKUP(J1027,PROGRAMAS[],2,FALSE),0)</f>
        <v>6128579952.1618185</v>
      </c>
      <c r="Y1027" s="246">
        <f>IFERROR(VLOOKUP(K1027,PROGRAMAS[],2,FALSE),0)</f>
        <v>4635315027.8751087</v>
      </c>
      <c r="Z1027" s="246">
        <f>IFERROR(VLOOKUP(L1027,PROGRAMAS[],2,FALSE),0)</f>
        <v>54223862.645839565</v>
      </c>
      <c r="AA1027" s="246">
        <f>IFERROR(VLOOKUP(M1027,PROGRAMAS[],2,FALSE),0)</f>
        <v>0</v>
      </c>
      <c r="AB1027" s="246">
        <f>IFERROR(VLOOKUP(N1027,PROGRAMAS[],2,FALSE),0)</f>
        <v>0</v>
      </c>
      <c r="AC1027" s="246">
        <f>IFERROR(VLOOKUP(O1027,PROGRAMAS[],2,FALSE),0)</f>
        <v>0</v>
      </c>
      <c r="AD1027" s="246">
        <f>IFERROR(VLOOKUP(P1027,PROGRAMAS[],2,FALSE),0)</f>
        <v>0</v>
      </c>
      <c r="AE1027" s="246">
        <f>IFERROR(VLOOKUP(Q1027,PROGRAMAS[],2,FALSE),0)</f>
        <v>0</v>
      </c>
      <c r="AF1027" s="246">
        <f>IFERROR(VLOOKUP(D1027,PROGRAMAS[],3,FALSE),0)</f>
        <v>841888629.31080008</v>
      </c>
      <c r="AG1027" s="246">
        <f>IFERROR(VLOOKUP(E1027,PROGRAMAS[],3,FALSE),0)</f>
        <v>3848980803.1642323</v>
      </c>
      <c r="AH1027" s="246">
        <f>IFERROR(VLOOKUP(F1027,PROGRAMAS[],3,FALSE),0)</f>
        <v>3394901471.387517</v>
      </c>
      <c r="AI1027" s="246">
        <f>IFERROR(VLOOKUP(G1027,PROGRAMAS[],3,FALSE),0)</f>
        <v>125317226.95549992</v>
      </c>
      <c r="AJ1027" s="246">
        <f>IFERROR(VLOOKUP(H1027,PROGRAMAS[],3,FALSE),0)</f>
        <v>1233505101.0616004</v>
      </c>
      <c r="AK1027" s="246">
        <f>IFERROR(VLOOKUP(I1027,PROGRAMAS[],3,FALSE),0)</f>
        <v>6129902208.7912121</v>
      </c>
      <c r="AL1027" s="246">
        <f>IFERROR(VLOOKUP(J1027,PROGRAMAS[],3,FALSE),0)</f>
        <v>7011279577.519702</v>
      </c>
      <c r="AM1027" s="246">
        <f>IFERROR(VLOOKUP(K1027,PROGRAMAS[],3,FALSE),0)</f>
        <v>4099471734.9978786</v>
      </c>
      <c r="AN1027" s="246">
        <f>IFERROR(VLOOKUP(L1027,PROGRAMAS[],3,FALSE),0)</f>
        <v>31865326.38096505</v>
      </c>
      <c r="AO1027" s="246">
        <f>IFERROR(VLOOKUP(M1027,PROGRAMAS[],3,FALSE),0)</f>
        <v>0</v>
      </c>
      <c r="AP1027" s="246">
        <f>IFERROR(VLOOKUP(N1027,PROGRAMAS[],3,FALSE),0)</f>
        <v>0</v>
      </c>
      <c r="AQ1027" s="246">
        <f>IFERROR(VLOOKUP(O1027,PROGRAMAS[],3,FALSE),0)</f>
        <v>0</v>
      </c>
      <c r="AR1027" s="246">
        <f>IFERROR(VLOOKUP(P1027,PROGRAMAS[],3,FALSE),0)</f>
        <v>0</v>
      </c>
      <c r="AS1027" s="246">
        <f>IFERROR(VLOOKUP(Q1027,PROGRAMAS[],3,FALSE),0)</f>
        <v>0</v>
      </c>
      <c r="AT1027" s="246">
        <f>IFERROR(VLOOKUP(D1027,VOL_REC[],2,FALSE),0)</f>
        <v>0</v>
      </c>
      <c r="AU1027" s="246">
        <f>IFERROR(VLOOKUP(E1027,VOL_REC[],2,FALSE),0)</f>
        <v>0</v>
      </c>
      <c r="AV1027" s="246">
        <f>IFERROR(VLOOKUP(F1027,VOL_REC[],2,FALSE),0)</f>
        <v>11089674.200000001</v>
      </c>
      <c r="AW1027" s="246">
        <f>IFERROR(VLOOKUP(G1027,VOL_REC[],2,FALSE),0)</f>
        <v>90439.55</v>
      </c>
      <c r="AX1027" s="246">
        <f>IFERROR(VLOOKUP(H1027,VOL_REC[],2,FALSE),0)</f>
        <v>4325103.1812214684</v>
      </c>
      <c r="AY1027" s="246">
        <f>IFERROR(VLOOKUP(I1027,VOL_REC[],2,FALSE),0)</f>
        <v>15540036.397699751</v>
      </c>
      <c r="AZ1027" s="246">
        <f>IFERROR(VLOOKUP(J1027,VOL_REC[],2,FALSE),0)</f>
        <v>3761786</v>
      </c>
      <c r="BA1027" s="246">
        <f>IFERROR(VLOOKUP(K1027,VOL_REC[],2,FALSE),0)</f>
        <v>1812240</v>
      </c>
      <c r="BB1027" s="246">
        <f>IFERROR(VLOOKUP(L1027,VOL_REC[],2,FALSE),0)</f>
        <v>17074.045034105649</v>
      </c>
      <c r="BC1027" s="246">
        <f>IFERROR(VLOOKUP(M1027,VOL_REC[],2,FALSE),0)</f>
        <v>0</v>
      </c>
      <c r="BD1027" s="246">
        <f>IFERROR(VLOOKUP(N1027,VOL_REC[],2,FALSE),0)</f>
        <v>0</v>
      </c>
      <c r="BE1027" s="246">
        <f>IFERROR(VLOOKUP(O1027,VOL_REC[],2,FALSE),0)</f>
        <v>0</v>
      </c>
      <c r="BF1027" s="246">
        <f>IFERROR(VLOOKUP(P1027,VOL_REC[],2,FALSE),0)</f>
        <v>0</v>
      </c>
      <c r="BG1027" s="246">
        <f>IFERROR(VLOOKUP(Q1027,VOL_REC[],2,FALSE),0)</f>
        <v>0</v>
      </c>
      <c r="BH1027" s="1710">
        <f t="shared" si="64"/>
        <v>23034273484.327457</v>
      </c>
      <c r="BI1027" s="1710">
        <f t="shared" si="65"/>
        <v>26717112079.569408</v>
      </c>
      <c r="BJ1027" s="1711">
        <f t="shared" si="66"/>
        <v>36636353.373955324</v>
      </c>
      <c r="BK1027" s="1711">
        <f t="shared" si="67"/>
        <v>0.86215431577059487</v>
      </c>
    </row>
    <row r="1028" spans="3:67" x14ac:dyDescent="0.25">
      <c r="C1028" s="246" t="s">
        <v>2378</v>
      </c>
      <c r="D1028" s="246">
        <v>1</v>
      </c>
      <c r="E1028" s="246">
        <v>2</v>
      </c>
      <c r="F1028" s="246">
        <v>3</v>
      </c>
      <c r="G1028" s="246">
        <v>4</v>
      </c>
      <c r="H1028" s="246">
        <v>5</v>
      </c>
      <c r="I1028" s="246">
        <v>6</v>
      </c>
      <c r="J1028" s="246">
        <v>9</v>
      </c>
      <c r="K1028" s="246">
        <v>10</v>
      </c>
      <c r="L1028" s="246">
        <v>15</v>
      </c>
      <c r="M1028" s="246"/>
      <c r="N1028" s="246"/>
      <c r="O1028" s="246"/>
      <c r="P1028" s="246"/>
      <c r="Q1028" s="246"/>
      <c r="R1028" s="246">
        <f>IFERROR(VLOOKUP(D1028,PROGRAMAS[],2,FALSE),0)</f>
        <v>97037803.679377079</v>
      </c>
      <c r="S1028" s="246">
        <f>IFERROR(VLOOKUP(E1028,PROGRAMAS[],2,FALSE),0)</f>
        <v>640501509.6821388</v>
      </c>
      <c r="T1028" s="246">
        <f>IFERROR(VLOOKUP(F1028,PROGRAMAS[],2,FALSE),0)</f>
        <v>3062327798.1525245</v>
      </c>
      <c r="U1028" s="246">
        <f>IFERROR(VLOOKUP(G1028,PROGRAMAS[],2,FALSE),0)</f>
        <v>67697118.033011258</v>
      </c>
      <c r="V1028" s="246">
        <f>IFERROR(VLOOKUP(H1028,PROGRAMAS[],2,FALSE),0)</f>
        <v>1440941976.2528784</v>
      </c>
      <c r="W1028" s="246">
        <f>IFERROR(VLOOKUP(I1028,PROGRAMAS[],2,FALSE),0)</f>
        <v>6907648435.8447599</v>
      </c>
      <c r="X1028" s="246">
        <f>IFERROR(VLOOKUP(J1028,PROGRAMAS[],2,FALSE),0)</f>
        <v>6128579952.1618185</v>
      </c>
      <c r="Y1028" s="246">
        <f>IFERROR(VLOOKUP(K1028,PROGRAMAS[],2,FALSE),0)</f>
        <v>4635315027.8751087</v>
      </c>
      <c r="Z1028" s="246">
        <f>IFERROR(VLOOKUP(L1028,PROGRAMAS[],2,FALSE),0)</f>
        <v>122159672.96346797</v>
      </c>
      <c r="AA1028" s="246">
        <f>IFERROR(VLOOKUP(M1028,PROGRAMAS[],2,FALSE),0)</f>
        <v>0</v>
      </c>
      <c r="AB1028" s="246">
        <f>IFERROR(VLOOKUP(N1028,PROGRAMAS[],2,FALSE),0)</f>
        <v>0</v>
      </c>
      <c r="AC1028" s="246">
        <f>IFERROR(VLOOKUP(O1028,PROGRAMAS[],2,FALSE),0)</f>
        <v>0</v>
      </c>
      <c r="AD1028" s="246">
        <f>IFERROR(VLOOKUP(P1028,PROGRAMAS[],2,FALSE),0)</f>
        <v>0</v>
      </c>
      <c r="AE1028" s="246">
        <f>IFERROR(VLOOKUP(Q1028,PROGRAMAS[],2,FALSE),0)</f>
        <v>0</v>
      </c>
      <c r="AF1028" s="246">
        <f>IFERROR(VLOOKUP(D1028,PROGRAMAS[],3,FALSE),0)</f>
        <v>841888629.31080008</v>
      </c>
      <c r="AG1028" s="246">
        <f>IFERROR(VLOOKUP(E1028,PROGRAMAS[],3,FALSE),0)</f>
        <v>3848980803.1642323</v>
      </c>
      <c r="AH1028" s="246">
        <f>IFERROR(VLOOKUP(F1028,PROGRAMAS[],3,FALSE),0)</f>
        <v>3394901471.387517</v>
      </c>
      <c r="AI1028" s="246">
        <f>IFERROR(VLOOKUP(G1028,PROGRAMAS[],3,FALSE),0)</f>
        <v>125317226.95549992</v>
      </c>
      <c r="AJ1028" s="246">
        <f>IFERROR(VLOOKUP(H1028,PROGRAMAS[],3,FALSE),0)</f>
        <v>1233505101.0616004</v>
      </c>
      <c r="AK1028" s="246">
        <f>IFERROR(VLOOKUP(I1028,PROGRAMAS[],3,FALSE),0)</f>
        <v>6129902208.7912121</v>
      </c>
      <c r="AL1028" s="246">
        <f>IFERROR(VLOOKUP(J1028,PROGRAMAS[],3,FALSE),0)</f>
        <v>7011279577.519702</v>
      </c>
      <c r="AM1028" s="246">
        <f>IFERROR(VLOOKUP(K1028,PROGRAMAS[],3,FALSE),0)</f>
        <v>4099471734.9978786</v>
      </c>
      <c r="AN1028" s="246">
        <f>IFERROR(VLOOKUP(L1028,PROGRAMAS[],3,FALSE),0)</f>
        <v>118617452.52510804</v>
      </c>
      <c r="AO1028" s="246">
        <f>IFERROR(VLOOKUP(M1028,PROGRAMAS[],3,FALSE),0)</f>
        <v>0</v>
      </c>
      <c r="AP1028" s="246">
        <f>IFERROR(VLOOKUP(N1028,PROGRAMAS[],3,FALSE),0)</f>
        <v>0</v>
      </c>
      <c r="AQ1028" s="246">
        <f>IFERROR(VLOOKUP(O1028,PROGRAMAS[],3,FALSE),0)</f>
        <v>0</v>
      </c>
      <c r="AR1028" s="246">
        <f>IFERROR(VLOOKUP(P1028,PROGRAMAS[],3,FALSE),0)</f>
        <v>0</v>
      </c>
      <c r="AS1028" s="246">
        <f>IFERROR(VLOOKUP(Q1028,PROGRAMAS[],3,FALSE),0)</f>
        <v>0</v>
      </c>
      <c r="AT1028" s="246">
        <f>IFERROR(VLOOKUP(D1028,VOL_REC[],2,FALSE),0)</f>
        <v>0</v>
      </c>
      <c r="AU1028" s="246">
        <f>IFERROR(VLOOKUP(E1028,VOL_REC[],2,FALSE),0)</f>
        <v>0</v>
      </c>
      <c r="AV1028" s="246">
        <f>IFERROR(VLOOKUP(F1028,VOL_REC[],2,FALSE),0)</f>
        <v>11089674.200000001</v>
      </c>
      <c r="AW1028" s="246">
        <f>IFERROR(VLOOKUP(G1028,VOL_REC[],2,FALSE),0)</f>
        <v>90439.55</v>
      </c>
      <c r="AX1028" s="246">
        <f>IFERROR(VLOOKUP(H1028,VOL_REC[],2,FALSE),0)</f>
        <v>4325103.1812214684</v>
      </c>
      <c r="AY1028" s="246">
        <f>IFERROR(VLOOKUP(I1028,VOL_REC[],2,FALSE),0)</f>
        <v>15540036.397699751</v>
      </c>
      <c r="AZ1028" s="246">
        <f>IFERROR(VLOOKUP(J1028,VOL_REC[],2,FALSE),0)</f>
        <v>3761786</v>
      </c>
      <c r="BA1028" s="246">
        <f>IFERROR(VLOOKUP(K1028,VOL_REC[],2,FALSE),0)</f>
        <v>1812240</v>
      </c>
      <c r="BB1028" s="246">
        <f>IFERROR(VLOOKUP(L1028,VOL_REC[],2,FALSE),0)</f>
        <v>105072</v>
      </c>
      <c r="BC1028" s="246">
        <f>IFERROR(VLOOKUP(M1028,VOL_REC[],2,FALSE),0)</f>
        <v>0</v>
      </c>
      <c r="BD1028" s="246">
        <f>IFERROR(VLOOKUP(N1028,VOL_REC[],2,FALSE),0)</f>
        <v>0</v>
      </c>
      <c r="BE1028" s="246">
        <f>IFERROR(VLOOKUP(O1028,VOL_REC[],2,FALSE),0)</f>
        <v>0</v>
      </c>
      <c r="BF1028" s="246">
        <f>IFERROR(VLOOKUP(P1028,VOL_REC[],2,FALSE),0)</f>
        <v>0</v>
      </c>
      <c r="BG1028" s="246">
        <f>IFERROR(VLOOKUP(Q1028,VOL_REC[],2,FALSE),0)</f>
        <v>0</v>
      </c>
      <c r="BH1028" s="1710">
        <f t="shared" si="64"/>
        <v>23102209294.645084</v>
      </c>
      <c r="BI1028" s="1710">
        <f t="shared" si="65"/>
        <v>26803864205.713551</v>
      </c>
      <c r="BJ1028" s="1711">
        <f t="shared" si="66"/>
        <v>36724351.328921221</v>
      </c>
      <c r="BK1028" s="1711">
        <f t="shared" si="67"/>
        <v>0.86189846051080143</v>
      </c>
    </row>
    <row r="1029" spans="3:67" x14ac:dyDescent="0.25">
      <c r="C1029" s="246" t="s">
        <v>2379</v>
      </c>
      <c r="D1029" s="246">
        <v>1</v>
      </c>
      <c r="E1029" s="246">
        <v>2</v>
      </c>
      <c r="F1029" s="246">
        <v>3</v>
      </c>
      <c r="G1029" s="246">
        <v>4</v>
      </c>
      <c r="H1029" s="246">
        <v>5</v>
      </c>
      <c r="I1029" s="246">
        <v>6</v>
      </c>
      <c r="J1029" s="246">
        <v>9</v>
      </c>
      <c r="K1029" s="246">
        <v>10</v>
      </c>
      <c r="L1029" s="246">
        <v>16</v>
      </c>
      <c r="M1029" s="246"/>
      <c r="N1029" s="246"/>
      <c r="O1029" s="246"/>
      <c r="P1029" s="246"/>
      <c r="Q1029" s="246"/>
      <c r="R1029" s="246">
        <f>IFERROR(VLOOKUP(D1029,PROGRAMAS[],2,FALSE),0)</f>
        <v>97037803.679377079</v>
      </c>
      <c r="S1029" s="246">
        <f>IFERROR(VLOOKUP(E1029,PROGRAMAS[],2,FALSE),0)</f>
        <v>640501509.6821388</v>
      </c>
      <c r="T1029" s="246">
        <f>IFERROR(VLOOKUP(F1029,PROGRAMAS[],2,FALSE),0)</f>
        <v>3062327798.1525245</v>
      </c>
      <c r="U1029" s="246">
        <f>IFERROR(VLOOKUP(G1029,PROGRAMAS[],2,FALSE),0)</f>
        <v>67697118.033011258</v>
      </c>
      <c r="V1029" s="246">
        <f>IFERROR(VLOOKUP(H1029,PROGRAMAS[],2,FALSE),0)</f>
        <v>1440941976.2528784</v>
      </c>
      <c r="W1029" s="246">
        <f>IFERROR(VLOOKUP(I1029,PROGRAMAS[],2,FALSE),0)</f>
        <v>6907648435.8447599</v>
      </c>
      <c r="X1029" s="246">
        <f>IFERROR(VLOOKUP(J1029,PROGRAMAS[],2,FALSE),0)</f>
        <v>6128579952.1618185</v>
      </c>
      <c r="Y1029" s="246">
        <f>IFERROR(VLOOKUP(K1029,PROGRAMAS[],2,FALSE),0)</f>
        <v>4635315027.8751087</v>
      </c>
      <c r="Z1029" s="246">
        <f>IFERROR(VLOOKUP(L1029,PROGRAMAS[],2,FALSE),0)</f>
        <v>7068496961.0436354</v>
      </c>
      <c r="AA1029" s="246">
        <f>IFERROR(VLOOKUP(M1029,PROGRAMAS[],2,FALSE),0)</f>
        <v>0</v>
      </c>
      <c r="AB1029" s="246">
        <f>IFERROR(VLOOKUP(N1029,PROGRAMAS[],2,FALSE),0)</f>
        <v>0</v>
      </c>
      <c r="AC1029" s="246">
        <f>IFERROR(VLOOKUP(O1029,PROGRAMAS[],2,FALSE),0)</f>
        <v>0</v>
      </c>
      <c r="AD1029" s="246">
        <f>IFERROR(VLOOKUP(P1029,PROGRAMAS[],2,FALSE),0)</f>
        <v>0</v>
      </c>
      <c r="AE1029" s="246">
        <f>IFERROR(VLOOKUP(Q1029,PROGRAMAS[],2,FALSE),0)</f>
        <v>0</v>
      </c>
      <c r="AF1029" s="246">
        <f>IFERROR(VLOOKUP(D1029,PROGRAMAS[],3,FALSE),0)</f>
        <v>841888629.31080008</v>
      </c>
      <c r="AG1029" s="246">
        <f>IFERROR(VLOOKUP(E1029,PROGRAMAS[],3,FALSE),0)</f>
        <v>3848980803.1642323</v>
      </c>
      <c r="AH1029" s="246">
        <f>IFERROR(VLOOKUP(F1029,PROGRAMAS[],3,FALSE),0)</f>
        <v>3394901471.387517</v>
      </c>
      <c r="AI1029" s="246">
        <f>IFERROR(VLOOKUP(G1029,PROGRAMAS[],3,FALSE),0)</f>
        <v>125317226.95549992</v>
      </c>
      <c r="AJ1029" s="246">
        <f>IFERROR(VLOOKUP(H1029,PROGRAMAS[],3,FALSE),0)</f>
        <v>1233505101.0616004</v>
      </c>
      <c r="AK1029" s="246">
        <f>IFERROR(VLOOKUP(I1029,PROGRAMAS[],3,FALSE),0)</f>
        <v>6129902208.7912121</v>
      </c>
      <c r="AL1029" s="246">
        <f>IFERROR(VLOOKUP(J1029,PROGRAMAS[],3,FALSE),0)</f>
        <v>7011279577.519702</v>
      </c>
      <c r="AM1029" s="246">
        <f>IFERROR(VLOOKUP(K1029,PROGRAMAS[],3,FALSE),0)</f>
        <v>4099471734.9978786</v>
      </c>
      <c r="AN1029" s="246">
        <f>IFERROR(VLOOKUP(L1029,PROGRAMAS[],3,FALSE),0)</f>
        <v>2406564599.0319901</v>
      </c>
      <c r="AO1029" s="246">
        <f>IFERROR(VLOOKUP(M1029,PROGRAMAS[],3,FALSE),0)</f>
        <v>0</v>
      </c>
      <c r="AP1029" s="246">
        <f>IFERROR(VLOOKUP(N1029,PROGRAMAS[],3,FALSE),0)</f>
        <v>0</v>
      </c>
      <c r="AQ1029" s="246">
        <f>IFERROR(VLOOKUP(O1029,PROGRAMAS[],3,FALSE),0)</f>
        <v>0</v>
      </c>
      <c r="AR1029" s="246">
        <f>IFERROR(VLOOKUP(P1029,PROGRAMAS[],3,FALSE),0)</f>
        <v>0</v>
      </c>
      <c r="AS1029" s="246">
        <f>IFERROR(VLOOKUP(Q1029,PROGRAMAS[],3,FALSE),0)</f>
        <v>0</v>
      </c>
      <c r="AT1029" s="246">
        <f>IFERROR(VLOOKUP(D1029,VOL_REC[],2,FALSE),0)</f>
        <v>0</v>
      </c>
      <c r="AU1029" s="246">
        <f>IFERROR(VLOOKUP(E1029,VOL_REC[],2,FALSE),0)</f>
        <v>0</v>
      </c>
      <c r="AV1029" s="246">
        <f>IFERROR(VLOOKUP(F1029,VOL_REC[],2,FALSE),0)</f>
        <v>11089674.200000001</v>
      </c>
      <c r="AW1029" s="246">
        <f>IFERROR(VLOOKUP(G1029,VOL_REC[],2,FALSE),0)</f>
        <v>90439.55</v>
      </c>
      <c r="AX1029" s="246">
        <f>IFERROR(VLOOKUP(H1029,VOL_REC[],2,FALSE),0)</f>
        <v>4325103.1812214684</v>
      </c>
      <c r="AY1029" s="246">
        <f>IFERROR(VLOOKUP(I1029,VOL_REC[],2,FALSE),0)</f>
        <v>15540036.397699751</v>
      </c>
      <c r="AZ1029" s="246">
        <f>IFERROR(VLOOKUP(J1029,VOL_REC[],2,FALSE),0)</f>
        <v>3761786</v>
      </c>
      <c r="BA1029" s="246">
        <f>IFERROR(VLOOKUP(K1029,VOL_REC[],2,FALSE),0)</f>
        <v>1812240</v>
      </c>
      <c r="BB1029" s="246">
        <f>IFERROR(VLOOKUP(L1029,VOL_REC[],2,FALSE),0)</f>
        <v>1072354.9981737854</v>
      </c>
      <c r="BC1029" s="246">
        <f>IFERROR(VLOOKUP(M1029,VOL_REC[],2,FALSE),0)</f>
        <v>0</v>
      </c>
      <c r="BD1029" s="246">
        <f>IFERROR(VLOOKUP(N1029,VOL_REC[],2,FALSE),0)</f>
        <v>0</v>
      </c>
      <c r="BE1029" s="246">
        <f>IFERROR(VLOOKUP(O1029,VOL_REC[],2,FALSE),0)</f>
        <v>0</v>
      </c>
      <c r="BF1029" s="246">
        <f>IFERROR(VLOOKUP(P1029,VOL_REC[],2,FALSE),0)</f>
        <v>0</v>
      </c>
      <c r="BG1029" s="246">
        <f>IFERROR(VLOOKUP(Q1029,VOL_REC[],2,FALSE),0)</f>
        <v>0</v>
      </c>
      <c r="BH1029" s="1710">
        <f t="shared" si="64"/>
        <v>30048546582.725254</v>
      </c>
      <c r="BI1029" s="1710">
        <f t="shared" si="65"/>
        <v>29091811352.220432</v>
      </c>
      <c r="BJ1029" s="1711">
        <f t="shared" si="66"/>
        <v>37691634.327095009</v>
      </c>
      <c r="BK1029" s="1711">
        <f t="shared" si="67"/>
        <v>1.0328867535582928</v>
      </c>
      <c r="BL1029">
        <f>BJ1029</f>
        <v>37691634.327095009</v>
      </c>
      <c r="BO1029">
        <f>BL1029</f>
        <v>37691634.327095009</v>
      </c>
    </row>
    <row r="1030" spans="3:67" x14ac:dyDescent="0.25">
      <c r="C1030" s="246" t="s">
        <v>2380</v>
      </c>
      <c r="D1030" s="246">
        <v>1</v>
      </c>
      <c r="E1030" s="246">
        <v>2</v>
      </c>
      <c r="F1030" s="246">
        <v>3</v>
      </c>
      <c r="G1030" s="246">
        <v>4</v>
      </c>
      <c r="H1030" s="246">
        <v>5</v>
      </c>
      <c r="I1030" s="246">
        <v>6</v>
      </c>
      <c r="J1030" s="246">
        <v>9</v>
      </c>
      <c r="K1030" s="246">
        <v>10</v>
      </c>
      <c r="L1030" s="246">
        <v>17</v>
      </c>
      <c r="M1030" s="246"/>
      <c r="N1030" s="246"/>
      <c r="O1030" s="246"/>
      <c r="P1030" s="246"/>
      <c r="Q1030" s="246"/>
      <c r="R1030" s="246">
        <f>IFERROR(VLOOKUP(D1030,PROGRAMAS[],2,FALSE),0)</f>
        <v>97037803.679377079</v>
      </c>
      <c r="S1030" s="246">
        <f>IFERROR(VLOOKUP(E1030,PROGRAMAS[],2,FALSE),0)</f>
        <v>640501509.6821388</v>
      </c>
      <c r="T1030" s="246">
        <f>IFERROR(VLOOKUP(F1030,PROGRAMAS[],2,FALSE),0)</f>
        <v>3062327798.1525245</v>
      </c>
      <c r="U1030" s="246">
        <f>IFERROR(VLOOKUP(G1030,PROGRAMAS[],2,FALSE),0)</f>
        <v>67697118.033011258</v>
      </c>
      <c r="V1030" s="246">
        <f>IFERROR(VLOOKUP(H1030,PROGRAMAS[],2,FALSE),0)</f>
        <v>1440941976.2528784</v>
      </c>
      <c r="W1030" s="246">
        <f>IFERROR(VLOOKUP(I1030,PROGRAMAS[],2,FALSE),0)</f>
        <v>6907648435.8447599</v>
      </c>
      <c r="X1030" s="246">
        <f>IFERROR(VLOOKUP(J1030,PROGRAMAS[],2,FALSE),0)</f>
        <v>6128579952.1618185</v>
      </c>
      <c r="Y1030" s="246">
        <f>IFERROR(VLOOKUP(K1030,PROGRAMAS[],2,FALSE),0)</f>
        <v>4635315027.8751087</v>
      </c>
      <c r="Z1030" s="246">
        <f>IFERROR(VLOOKUP(L1030,PROGRAMAS[],2,FALSE),0)</f>
        <v>1892779498.5211046</v>
      </c>
      <c r="AA1030" s="246">
        <f>IFERROR(VLOOKUP(M1030,PROGRAMAS[],2,FALSE),0)</f>
        <v>0</v>
      </c>
      <c r="AB1030" s="246">
        <f>IFERROR(VLOOKUP(N1030,PROGRAMAS[],2,FALSE),0)</f>
        <v>0</v>
      </c>
      <c r="AC1030" s="246">
        <f>IFERROR(VLOOKUP(O1030,PROGRAMAS[],2,FALSE),0)</f>
        <v>0</v>
      </c>
      <c r="AD1030" s="246">
        <f>IFERROR(VLOOKUP(P1030,PROGRAMAS[],2,FALSE),0)</f>
        <v>0</v>
      </c>
      <c r="AE1030" s="246">
        <f>IFERROR(VLOOKUP(Q1030,PROGRAMAS[],2,FALSE),0)</f>
        <v>0</v>
      </c>
      <c r="AF1030" s="246">
        <f>IFERROR(VLOOKUP(D1030,PROGRAMAS[],3,FALSE),0)</f>
        <v>841888629.31080008</v>
      </c>
      <c r="AG1030" s="246">
        <f>IFERROR(VLOOKUP(E1030,PROGRAMAS[],3,FALSE),0)</f>
        <v>3848980803.1642323</v>
      </c>
      <c r="AH1030" s="246">
        <f>IFERROR(VLOOKUP(F1030,PROGRAMAS[],3,FALSE),0)</f>
        <v>3394901471.387517</v>
      </c>
      <c r="AI1030" s="246">
        <f>IFERROR(VLOOKUP(G1030,PROGRAMAS[],3,FALSE),0)</f>
        <v>125317226.95549992</v>
      </c>
      <c r="AJ1030" s="246">
        <f>IFERROR(VLOOKUP(H1030,PROGRAMAS[],3,FALSE),0)</f>
        <v>1233505101.0616004</v>
      </c>
      <c r="AK1030" s="246">
        <f>IFERROR(VLOOKUP(I1030,PROGRAMAS[],3,FALSE),0)</f>
        <v>6129902208.7912121</v>
      </c>
      <c r="AL1030" s="246">
        <f>IFERROR(VLOOKUP(J1030,PROGRAMAS[],3,FALSE),0)</f>
        <v>7011279577.519702</v>
      </c>
      <c r="AM1030" s="246">
        <f>IFERROR(VLOOKUP(K1030,PROGRAMAS[],3,FALSE),0)</f>
        <v>4099471734.9978786</v>
      </c>
      <c r="AN1030" s="246">
        <f>IFERROR(VLOOKUP(L1030,PROGRAMAS[],3,FALSE),0)</f>
        <v>948595847.09039903</v>
      </c>
      <c r="AO1030" s="246">
        <f>IFERROR(VLOOKUP(M1030,PROGRAMAS[],3,FALSE),0)</f>
        <v>0</v>
      </c>
      <c r="AP1030" s="246">
        <f>IFERROR(VLOOKUP(N1030,PROGRAMAS[],3,FALSE),0)</f>
        <v>0</v>
      </c>
      <c r="AQ1030" s="246">
        <f>IFERROR(VLOOKUP(O1030,PROGRAMAS[],3,FALSE),0)</f>
        <v>0</v>
      </c>
      <c r="AR1030" s="246">
        <f>IFERROR(VLOOKUP(P1030,PROGRAMAS[],3,FALSE),0)</f>
        <v>0</v>
      </c>
      <c r="AS1030" s="246">
        <f>IFERROR(VLOOKUP(Q1030,PROGRAMAS[],3,FALSE),0)</f>
        <v>0</v>
      </c>
      <c r="AT1030" s="246">
        <f>IFERROR(VLOOKUP(D1030,VOL_REC[],2,FALSE),0)</f>
        <v>0</v>
      </c>
      <c r="AU1030" s="246">
        <f>IFERROR(VLOOKUP(E1030,VOL_REC[],2,FALSE),0)</f>
        <v>0</v>
      </c>
      <c r="AV1030" s="246">
        <f>IFERROR(VLOOKUP(F1030,VOL_REC[],2,FALSE),0)</f>
        <v>11089674.200000001</v>
      </c>
      <c r="AW1030" s="246">
        <f>IFERROR(VLOOKUP(G1030,VOL_REC[],2,FALSE),0)</f>
        <v>90439.55</v>
      </c>
      <c r="AX1030" s="246">
        <f>IFERROR(VLOOKUP(H1030,VOL_REC[],2,FALSE),0)</f>
        <v>4325103.1812214684</v>
      </c>
      <c r="AY1030" s="246">
        <f>IFERROR(VLOOKUP(I1030,VOL_REC[],2,FALSE),0)</f>
        <v>15540036.397699751</v>
      </c>
      <c r="AZ1030" s="246">
        <f>IFERROR(VLOOKUP(J1030,VOL_REC[],2,FALSE),0)</f>
        <v>3761786</v>
      </c>
      <c r="BA1030" s="246">
        <f>IFERROR(VLOOKUP(K1030,VOL_REC[],2,FALSE),0)</f>
        <v>1812240</v>
      </c>
      <c r="BB1030" s="246">
        <f>IFERROR(VLOOKUP(L1030,VOL_REC[],2,FALSE),0)</f>
        <v>740113.98115702497</v>
      </c>
      <c r="BC1030" s="246">
        <f>IFERROR(VLOOKUP(M1030,VOL_REC[],2,FALSE),0)</f>
        <v>0</v>
      </c>
      <c r="BD1030" s="246">
        <f>IFERROR(VLOOKUP(N1030,VOL_REC[],2,FALSE),0)</f>
        <v>0</v>
      </c>
      <c r="BE1030" s="246">
        <f>IFERROR(VLOOKUP(O1030,VOL_REC[],2,FALSE),0)</f>
        <v>0</v>
      </c>
      <c r="BF1030" s="246">
        <f>IFERROR(VLOOKUP(P1030,VOL_REC[],2,FALSE),0)</f>
        <v>0</v>
      </c>
      <c r="BG1030" s="246">
        <f>IFERROR(VLOOKUP(Q1030,VOL_REC[],2,FALSE),0)</f>
        <v>0</v>
      </c>
      <c r="BH1030" s="1710">
        <f t="shared" si="64"/>
        <v>24872829120.202721</v>
      </c>
      <c r="BI1030" s="1710">
        <f t="shared" si="65"/>
        <v>27633842600.278843</v>
      </c>
      <c r="BJ1030" s="1711">
        <f t="shared" si="66"/>
        <v>37359393.310078248</v>
      </c>
      <c r="BK1030" s="1711">
        <f t="shared" si="67"/>
        <v>0.90008579262703547</v>
      </c>
    </row>
    <row r="1031" spans="3:67" x14ac:dyDescent="0.25">
      <c r="C1031" s="246" t="s">
        <v>2381</v>
      </c>
      <c r="D1031" s="246">
        <v>1</v>
      </c>
      <c r="E1031" s="246">
        <v>2</v>
      </c>
      <c r="F1031" s="246">
        <v>3</v>
      </c>
      <c r="G1031" s="246">
        <v>4</v>
      </c>
      <c r="H1031" s="246">
        <v>5</v>
      </c>
      <c r="I1031" s="246">
        <v>6</v>
      </c>
      <c r="J1031" s="246">
        <v>9</v>
      </c>
      <c r="K1031" s="246">
        <v>12</v>
      </c>
      <c r="L1031" s="246">
        <v>13</v>
      </c>
      <c r="M1031" s="246"/>
      <c r="N1031" s="246"/>
      <c r="O1031" s="246"/>
      <c r="P1031" s="246"/>
      <c r="Q1031" s="246"/>
      <c r="R1031" s="246">
        <f>IFERROR(VLOOKUP(D1031,PROGRAMAS[],2,FALSE),0)</f>
        <v>97037803.679377079</v>
      </c>
      <c r="S1031" s="246">
        <f>IFERROR(VLOOKUP(E1031,PROGRAMAS[],2,FALSE),0)</f>
        <v>640501509.6821388</v>
      </c>
      <c r="T1031" s="246">
        <f>IFERROR(VLOOKUP(F1031,PROGRAMAS[],2,FALSE),0)</f>
        <v>3062327798.1525245</v>
      </c>
      <c r="U1031" s="246">
        <f>IFERROR(VLOOKUP(G1031,PROGRAMAS[],2,FALSE),0)</f>
        <v>67697118.033011258</v>
      </c>
      <c r="V1031" s="246">
        <f>IFERROR(VLOOKUP(H1031,PROGRAMAS[],2,FALSE),0)</f>
        <v>1440941976.2528784</v>
      </c>
      <c r="W1031" s="246">
        <f>IFERROR(VLOOKUP(I1031,PROGRAMAS[],2,FALSE),0)</f>
        <v>6907648435.8447599</v>
      </c>
      <c r="X1031" s="246">
        <f>IFERROR(VLOOKUP(J1031,PROGRAMAS[],2,FALSE),0)</f>
        <v>6128579952.1618185</v>
      </c>
      <c r="Y1031" s="246">
        <f>IFERROR(VLOOKUP(K1031,PROGRAMAS[],2,FALSE),0)</f>
        <v>764796700.79905891</v>
      </c>
      <c r="Z1031" s="246">
        <f>IFERROR(VLOOKUP(L1031,PROGRAMAS[],2,FALSE),0)</f>
        <v>3776538594.4604583</v>
      </c>
      <c r="AA1031" s="246">
        <f>IFERROR(VLOOKUP(M1031,PROGRAMAS[],2,FALSE),0)</f>
        <v>0</v>
      </c>
      <c r="AB1031" s="246">
        <f>IFERROR(VLOOKUP(N1031,PROGRAMAS[],2,FALSE),0)</f>
        <v>0</v>
      </c>
      <c r="AC1031" s="246">
        <f>IFERROR(VLOOKUP(O1031,PROGRAMAS[],2,FALSE),0)</f>
        <v>0</v>
      </c>
      <c r="AD1031" s="246">
        <f>IFERROR(VLOOKUP(P1031,PROGRAMAS[],2,FALSE),0)</f>
        <v>0</v>
      </c>
      <c r="AE1031" s="246">
        <f>IFERROR(VLOOKUP(Q1031,PROGRAMAS[],2,FALSE),0)</f>
        <v>0</v>
      </c>
      <c r="AF1031" s="246">
        <f>IFERROR(VLOOKUP(D1031,PROGRAMAS[],3,FALSE),0)</f>
        <v>841888629.31080008</v>
      </c>
      <c r="AG1031" s="246">
        <f>IFERROR(VLOOKUP(E1031,PROGRAMAS[],3,FALSE),0)</f>
        <v>3848980803.1642323</v>
      </c>
      <c r="AH1031" s="246">
        <f>IFERROR(VLOOKUP(F1031,PROGRAMAS[],3,FALSE),0)</f>
        <v>3394901471.387517</v>
      </c>
      <c r="AI1031" s="246">
        <f>IFERROR(VLOOKUP(G1031,PROGRAMAS[],3,FALSE),0)</f>
        <v>125317226.95549992</v>
      </c>
      <c r="AJ1031" s="246">
        <f>IFERROR(VLOOKUP(H1031,PROGRAMAS[],3,FALSE),0)</f>
        <v>1233505101.0616004</v>
      </c>
      <c r="AK1031" s="246">
        <f>IFERROR(VLOOKUP(I1031,PROGRAMAS[],3,FALSE),0)</f>
        <v>6129902208.7912121</v>
      </c>
      <c r="AL1031" s="246">
        <f>IFERROR(VLOOKUP(J1031,PROGRAMAS[],3,FALSE),0)</f>
        <v>7011279577.519702</v>
      </c>
      <c r="AM1031" s="246">
        <f>IFERROR(VLOOKUP(K1031,PROGRAMAS[],3,FALSE),0)</f>
        <v>675517840.109828</v>
      </c>
      <c r="AN1031" s="246">
        <f>IFERROR(VLOOKUP(L1031,PROGRAMAS[],3,FALSE),0)</f>
        <v>2392571243.5584412</v>
      </c>
      <c r="AO1031" s="246">
        <f>IFERROR(VLOOKUP(M1031,PROGRAMAS[],3,FALSE),0)</f>
        <v>0</v>
      </c>
      <c r="AP1031" s="246">
        <f>IFERROR(VLOOKUP(N1031,PROGRAMAS[],3,FALSE),0)</f>
        <v>0</v>
      </c>
      <c r="AQ1031" s="246">
        <f>IFERROR(VLOOKUP(O1031,PROGRAMAS[],3,FALSE),0)</f>
        <v>0</v>
      </c>
      <c r="AR1031" s="246">
        <f>IFERROR(VLOOKUP(P1031,PROGRAMAS[],3,FALSE),0)</f>
        <v>0</v>
      </c>
      <c r="AS1031" s="246">
        <f>IFERROR(VLOOKUP(Q1031,PROGRAMAS[],3,FALSE),0)</f>
        <v>0</v>
      </c>
      <c r="AT1031" s="246">
        <f>IFERROR(VLOOKUP(D1031,VOL_REC[],2,FALSE),0)</f>
        <v>0</v>
      </c>
      <c r="AU1031" s="246">
        <f>IFERROR(VLOOKUP(E1031,VOL_REC[],2,FALSE),0)</f>
        <v>0</v>
      </c>
      <c r="AV1031" s="246">
        <f>IFERROR(VLOOKUP(F1031,VOL_REC[],2,FALSE),0)</f>
        <v>11089674.200000001</v>
      </c>
      <c r="AW1031" s="246">
        <f>IFERROR(VLOOKUP(G1031,VOL_REC[],2,FALSE),0)</f>
        <v>90439.55</v>
      </c>
      <c r="AX1031" s="246">
        <f>IFERROR(VLOOKUP(H1031,VOL_REC[],2,FALSE),0)</f>
        <v>4325103.1812214684</v>
      </c>
      <c r="AY1031" s="246">
        <f>IFERROR(VLOOKUP(I1031,VOL_REC[],2,FALSE),0)</f>
        <v>15540036.397699751</v>
      </c>
      <c r="AZ1031" s="246">
        <f>IFERROR(VLOOKUP(J1031,VOL_REC[],2,FALSE),0)</f>
        <v>3761786</v>
      </c>
      <c r="BA1031" s="246">
        <f>IFERROR(VLOOKUP(K1031,VOL_REC[],2,FALSE),0)</f>
        <v>240696.79238099116</v>
      </c>
      <c r="BB1031" s="246">
        <f>IFERROR(VLOOKUP(L1031,VOL_REC[],2,FALSE),0)</f>
        <v>663244.80000000016</v>
      </c>
      <c r="BC1031" s="246">
        <f>IFERROR(VLOOKUP(M1031,VOL_REC[],2,FALSE),0)</f>
        <v>0</v>
      </c>
      <c r="BD1031" s="246">
        <f>IFERROR(VLOOKUP(N1031,VOL_REC[],2,FALSE),0)</f>
        <v>0</v>
      </c>
      <c r="BE1031" s="246">
        <f>IFERROR(VLOOKUP(O1031,VOL_REC[],2,FALSE),0)</f>
        <v>0</v>
      </c>
      <c r="BF1031" s="246">
        <f>IFERROR(VLOOKUP(P1031,VOL_REC[],2,FALSE),0)</f>
        <v>0</v>
      </c>
      <c r="BG1031" s="246">
        <f>IFERROR(VLOOKUP(Q1031,VOL_REC[],2,FALSE),0)</f>
        <v>0</v>
      </c>
      <c r="BH1031" s="1710">
        <f t="shared" si="64"/>
        <v>22886069889.066025</v>
      </c>
      <c r="BI1031" s="1710">
        <f t="shared" si="65"/>
        <v>25653864101.858833</v>
      </c>
      <c r="BJ1031" s="1711">
        <f t="shared" si="66"/>
        <v>35710980.921302207</v>
      </c>
      <c r="BK1031" s="1711">
        <f t="shared" si="67"/>
        <v>0.89211004619798162</v>
      </c>
    </row>
    <row r="1032" spans="3:67" x14ac:dyDescent="0.25">
      <c r="C1032" s="246" t="s">
        <v>2382</v>
      </c>
      <c r="D1032" s="246">
        <v>1</v>
      </c>
      <c r="E1032" s="246">
        <v>2</v>
      </c>
      <c r="F1032" s="246">
        <v>3</v>
      </c>
      <c r="G1032" s="246">
        <v>4</v>
      </c>
      <c r="H1032" s="246">
        <v>5</v>
      </c>
      <c r="I1032" s="246">
        <v>6</v>
      </c>
      <c r="J1032" s="246">
        <v>9</v>
      </c>
      <c r="K1032" s="246">
        <v>12</v>
      </c>
      <c r="L1032" s="246">
        <v>14</v>
      </c>
      <c r="M1032" s="246"/>
      <c r="N1032" s="246"/>
      <c r="O1032" s="246"/>
      <c r="P1032" s="246"/>
      <c r="Q1032" s="246"/>
      <c r="R1032" s="246">
        <f>IFERROR(VLOOKUP(D1032,PROGRAMAS[],2,FALSE),0)</f>
        <v>97037803.679377079</v>
      </c>
      <c r="S1032" s="246">
        <f>IFERROR(VLOOKUP(E1032,PROGRAMAS[],2,FALSE),0)</f>
        <v>640501509.6821388</v>
      </c>
      <c r="T1032" s="246">
        <f>IFERROR(VLOOKUP(F1032,PROGRAMAS[],2,FALSE),0)</f>
        <v>3062327798.1525245</v>
      </c>
      <c r="U1032" s="246">
        <f>IFERROR(VLOOKUP(G1032,PROGRAMAS[],2,FALSE),0)</f>
        <v>67697118.033011258</v>
      </c>
      <c r="V1032" s="246">
        <f>IFERROR(VLOOKUP(H1032,PROGRAMAS[],2,FALSE),0)</f>
        <v>1440941976.2528784</v>
      </c>
      <c r="W1032" s="246">
        <f>IFERROR(VLOOKUP(I1032,PROGRAMAS[],2,FALSE),0)</f>
        <v>6907648435.8447599</v>
      </c>
      <c r="X1032" s="246">
        <f>IFERROR(VLOOKUP(J1032,PROGRAMAS[],2,FALSE),0)</f>
        <v>6128579952.1618185</v>
      </c>
      <c r="Y1032" s="246">
        <f>IFERROR(VLOOKUP(K1032,PROGRAMAS[],2,FALSE),0)</f>
        <v>764796700.79905891</v>
      </c>
      <c r="Z1032" s="246">
        <f>IFERROR(VLOOKUP(L1032,PROGRAMAS[],2,FALSE),0)</f>
        <v>54223862.645839565</v>
      </c>
      <c r="AA1032" s="246">
        <f>IFERROR(VLOOKUP(M1032,PROGRAMAS[],2,FALSE),0)</f>
        <v>0</v>
      </c>
      <c r="AB1032" s="246">
        <f>IFERROR(VLOOKUP(N1032,PROGRAMAS[],2,FALSE),0)</f>
        <v>0</v>
      </c>
      <c r="AC1032" s="246">
        <f>IFERROR(VLOOKUP(O1032,PROGRAMAS[],2,FALSE),0)</f>
        <v>0</v>
      </c>
      <c r="AD1032" s="246">
        <f>IFERROR(VLOOKUP(P1032,PROGRAMAS[],2,FALSE),0)</f>
        <v>0</v>
      </c>
      <c r="AE1032" s="246">
        <f>IFERROR(VLOOKUP(Q1032,PROGRAMAS[],2,FALSE),0)</f>
        <v>0</v>
      </c>
      <c r="AF1032" s="246">
        <f>IFERROR(VLOOKUP(D1032,PROGRAMAS[],3,FALSE),0)</f>
        <v>841888629.31080008</v>
      </c>
      <c r="AG1032" s="246">
        <f>IFERROR(VLOOKUP(E1032,PROGRAMAS[],3,FALSE),0)</f>
        <v>3848980803.1642323</v>
      </c>
      <c r="AH1032" s="246">
        <f>IFERROR(VLOOKUP(F1032,PROGRAMAS[],3,FALSE),0)</f>
        <v>3394901471.387517</v>
      </c>
      <c r="AI1032" s="246">
        <f>IFERROR(VLOOKUP(G1032,PROGRAMAS[],3,FALSE),0)</f>
        <v>125317226.95549992</v>
      </c>
      <c r="AJ1032" s="246">
        <f>IFERROR(VLOOKUP(H1032,PROGRAMAS[],3,FALSE),0)</f>
        <v>1233505101.0616004</v>
      </c>
      <c r="AK1032" s="246">
        <f>IFERROR(VLOOKUP(I1032,PROGRAMAS[],3,FALSE),0)</f>
        <v>6129902208.7912121</v>
      </c>
      <c r="AL1032" s="246">
        <f>IFERROR(VLOOKUP(J1032,PROGRAMAS[],3,FALSE),0)</f>
        <v>7011279577.519702</v>
      </c>
      <c r="AM1032" s="246">
        <f>IFERROR(VLOOKUP(K1032,PROGRAMAS[],3,FALSE),0)</f>
        <v>675517840.109828</v>
      </c>
      <c r="AN1032" s="246">
        <f>IFERROR(VLOOKUP(L1032,PROGRAMAS[],3,FALSE),0)</f>
        <v>31865326.38096505</v>
      </c>
      <c r="AO1032" s="246">
        <f>IFERROR(VLOOKUP(M1032,PROGRAMAS[],3,FALSE),0)</f>
        <v>0</v>
      </c>
      <c r="AP1032" s="246">
        <f>IFERROR(VLOOKUP(N1032,PROGRAMAS[],3,FALSE),0)</f>
        <v>0</v>
      </c>
      <c r="AQ1032" s="246">
        <f>IFERROR(VLOOKUP(O1032,PROGRAMAS[],3,FALSE),0)</f>
        <v>0</v>
      </c>
      <c r="AR1032" s="246">
        <f>IFERROR(VLOOKUP(P1032,PROGRAMAS[],3,FALSE),0)</f>
        <v>0</v>
      </c>
      <c r="AS1032" s="246">
        <f>IFERROR(VLOOKUP(Q1032,PROGRAMAS[],3,FALSE),0)</f>
        <v>0</v>
      </c>
      <c r="AT1032" s="246">
        <f>IFERROR(VLOOKUP(D1032,VOL_REC[],2,FALSE),0)</f>
        <v>0</v>
      </c>
      <c r="AU1032" s="246">
        <f>IFERROR(VLOOKUP(E1032,VOL_REC[],2,FALSE),0)</f>
        <v>0</v>
      </c>
      <c r="AV1032" s="246">
        <f>IFERROR(VLOOKUP(F1032,VOL_REC[],2,FALSE),0)</f>
        <v>11089674.200000001</v>
      </c>
      <c r="AW1032" s="246">
        <f>IFERROR(VLOOKUP(G1032,VOL_REC[],2,FALSE),0)</f>
        <v>90439.55</v>
      </c>
      <c r="AX1032" s="246">
        <f>IFERROR(VLOOKUP(H1032,VOL_REC[],2,FALSE),0)</f>
        <v>4325103.1812214684</v>
      </c>
      <c r="AY1032" s="246">
        <f>IFERROR(VLOOKUP(I1032,VOL_REC[],2,FALSE),0)</f>
        <v>15540036.397699751</v>
      </c>
      <c r="AZ1032" s="246">
        <f>IFERROR(VLOOKUP(J1032,VOL_REC[],2,FALSE),0)</f>
        <v>3761786</v>
      </c>
      <c r="BA1032" s="246">
        <f>IFERROR(VLOOKUP(K1032,VOL_REC[],2,FALSE),0)</f>
        <v>240696.79238099116</v>
      </c>
      <c r="BB1032" s="246">
        <f>IFERROR(VLOOKUP(L1032,VOL_REC[],2,FALSE),0)</f>
        <v>17074.045034105649</v>
      </c>
      <c r="BC1032" s="246">
        <f>IFERROR(VLOOKUP(M1032,VOL_REC[],2,FALSE),0)</f>
        <v>0</v>
      </c>
      <c r="BD1032" s="246">
        <f>IFERROR(VLOOKUP(N1032,VOL_REC[],2,FALSE),0)</f>
        <v>0</v>
      </c>
      <c r="BE1032" s="246">
        <f>IFERROR(VLOOKUP(O1032,VOL_REC[],2,FALSE),0)</f>
        <v>0</v>
      </c>
      <c r="BF1032" s="246">
        <f>IFERROR(VLOOKUP(P1032,VOL_REC[],2,FALSE),0)</f>
        <v>0</v>
      </c>
      <c r="BG1032" s="246">
        <f>IFERROR(VLOOKUP(Q1032,VOL_REC[],2,FALSE),0)</f>
        <v>0</v>
      </c>
      <c r="BH1032" s="1710">
        <f t="shared" si="64"/>
        <v>19163755157.251408</v>
      </c>
      <c r="BI1032" s="1710">
        <f t="shared" si="65"/>
        <v>23293158184.681358</v>
      </c>
      <c r="BJ1032" s="1711">
        <f t="shared" si="66"/>
        <v>35064810.166336313</v>
      </c>
      <c r="BK1032" s="1711">
        <f t="shared" si="67"/>
        <v>0.82272034583332565</v>
      </c>
    </row>
    <row r="1033" spans="3:67" x14ac:dyDescent="0.25">
      <c r="C1033" s="246" t="s">
        <v>2383</v>
      </c>
      <c r="D1033" s="246">
        <v>1</v>
      </c>
      <c r="E1033" s="246">
        <v>2</v>
      </c>
      <c r="F1033" s="246">
        <v>3</v>
      </c>
      <c r="G1033" s="246">
        <v>4</v>
      </c>
      <c r="H1033" s="246">
        <v>5</v>
      </c>
      <c r="I1033" s="246">
        <v>6</v>
      </c>
      <c r="J1033" s="246">
        <v>9</v>
      </c>
      <c r="K1033" s="246">
        <v>12</v>
      </c>
      <c r="L1033" s="246">
        <v>15</v>
      </c>
      <c r="M1033" s="246"/>
      <c r="N1033" s="246"/>
      <c r="O1033" s="246"/>
      <c r="P1033" s="246"/>
      <c r="Q1033" s="246"/>
      <c r="R1033" s="246">
        <f>IFERROR(VLOOKUP(D1033,PROGRAMAS[],2,FALSE),0)</f>
        <v>97037803.679377079</v>
      </c>
      <c r="S1033" s="246">
        <f>IFERROR(VLOOKUP(E1033,PROGRAMAS[],2,FALSE),0)</f>
        <v>640501509.6821388</v>
      </c>
      <c r="T1033" s="246">
        <f>IFERROR(VLOOKUP(F1033,PROGRAMAS[],2,FALSE),0)</f>
        <v>3062327798.1525245</v>
      </c>
      <c r="U1033" s="246">
        <f>IFERROR(VLOOKUP(G1033,PROGRAMAS[],2,FALSE),0)</f>
        <v>67697118.033011258</v>
      </c>
      <c r="V1033" s="246">
        <f>IFERROR(VLOOKUP(H1033,PROGRAMAS[],2,FALSE),0)</f>
        <v>1440941976.2528784</v>
      </c>
      <c r="W1033" s="246">
        <f>IFERROR(VLOOKUP(I1033,PROGRAMAS[],2,FALSE),0)</f>
        <v>6907648435.8447599</v>
      </c>
      <c r="X1033" s="246">
        <f>IFERROR(VLOOKUP(J1033,PROGRAMAS[],2,FALSE),0)</f>
        <v>6128579952.1618185</v>
      </c>
      <c r="Y1033" s="246">
        <f>IFERROR(VLOOKUP(K1033,PROGRAMAS[],2,FALSE),0)</f>
        <v>764796700.79905891</v>
      </c>
      <c r="Z1033" s="246">
        <f>IFERROR(VLOOKUP(L1033,PROGRAMAS[],2,FALSE),0)</f>
        <v>122159672.96346797</v>
      </c>
      <c r="AA1033" s="246">
        <f>IFERROR(VLOOKUP(M1033,PROGRAMAS[],2,FALSE),0)</f>
        <v>0</v>
      </c>
      <c r="AB1033" s="246">
        <f>IFERROR(VLOOKUP(N1033,PROGRAMAS[],2,FALSE),0)</f>
        <v>0</v>
      </c>
      <c r="AC1033" s="246">
        <f>IFERROR(VLOOKUP(O1033,PROGRAMAS[],2,FALSE),0)</f>
        <v>0</v>
      </c>
      <c r="AD1033" s="246">
        <f>IFERROR(VLOOKUP(P1033,PROGRAMAS[],2,FALSE),0)</f>
        <v>0</v>
      </c>
      <c r="AE1033" s="246">
        <f>IFERROR(VLOOKUP(Q1033,PROGRAMAS[],2,FALSE),0)</f>
        <v>0</v>
      </c>
      <c r="AF1033" s="246">
        <f>IFERROR(VLOOKUP(D1033,PROGRAMAS[],3,FALSE),0)</f>
        <v>841888629.31080008</v>
      </c>
      <c r="AG1033" s="246">
        <f>IFERROR(VLOOKUP(E1033,PROGRAMAS[],3,FALSE),0)</f>
        <v>3848980803.1642323</v>
      </c>
      <c r="AH1033" s="246">
        <f>IFERROR(VLOOKUP(F1033,PROGRAMAS[],3,FALSE),0)</f>
        <v>3394901471.387517</v>
      </c>
      <c r="AI1033" s="246">
        <f>IFERROR(VLOOKUP(G1033,PROGRAMAS[],3,FALSE),0)</f>
        <v>125317226.95549992</v>
      </c>
      <c r="AJ1033" s="246">
        <f>IFERROR(VLOOKUP(H1033,PROGRAMAS[],3,FALSE),0)</f>
        <v>1233505101.0616004</v>
      </c>
      <c r="AK1033" s="246">
        <f>IFERROR(VLOOKUP(I1033,PROGRAMAS[],3,FALSE),0)</f>
        <v>6129902208.7912121</v>
      </c>
      <c r="AL1033" s="246">
        <f>IFERROR(VLOOKUP(J1033,PROGRAMAS[],3,FALSE),0)</f>
        <v>7011279577.519702</v>
      </c>
      <c r="AM1033" s="246">
        <f>IFERROR(VLOOKUP(K1033,PROGRAMAS[],3,FALSE),0)</f>
        <v>675517840.109828</v>
      </c>
      <c r="AN1033" s="246">
        <f>IFERROR(VLOOKUP(L1033,PROGRAMAS[],3,FALSE),0)</f>
        <v>118617452.52510804</v>
      </c>
      <c r="AO1033" s="246">
        <f>IFERROR(VLOOKUP(M1033,PROGRAMAS[],3,FALSE),0)</f>
        <v>0</v>
      </c>
      <c r="AP1033" s="246">
        <f>IFERROR(VLOOKUP(N1033,PROGRAMAS[],3,FALSE),0)</f>
        <v>0</v>
      </c>
      <c r="AQ1033" s="246">
        <f>IFERROR(VLOOKUP(O1033,PROGRAMAS[],3,FALSE),0)</f>
        <v>0</v>
      </c>
      <c r="AR1033" s="246">
        <f>IFERROR(VLOOKUP(P1033,PROGRAMAS[],3,FALSE),0)</f>
        <v>0</v>
      </c>
      <c r="AS1033" s="246">
        <f>IFERROR(VLOOKUP(Q1033,PROGRAMAS[],3,FALSE),0)</f>
        <v>0</v>
      </c>
      <c r="AT1033" s="246">
        <f>IFERROR(VLOOKUP(D1033,VOL_REC[],2,FALSE),0)</f>
        <v>0</v>
      </c>
      <c r="AU1033" s="246">
        <f>IFERROR(VLOOKUP(E1033,VOL_REC[],2,FALSE),0)</f>
        <v>0</v>
      </c>
      <c r="AV1033" s="246">
        <f>IFERROR(VLOOKUP(F1033,VOL_REC[],2,FALSE),0)</f>
        <v>11089674.200000001</v>
      </c>
      <c r="AW1033" s="246">
        <f>IFERROR(VLOOKUP(G1033,VOL_REC[],2,FALSE),0)</f>
        <v>90439.55</v>
      </c>
      <c r="AX1033" s="246">
        <f>IFERROR(VLOOKUP(H1033,VOL_REC[],2,FALSE),0)</f>
        <v>4325103.1812214684</v>
      </c>
      <c r="AY1033" s="246">
        <f>IFERROR(VLOOKUP(I1033,VOL_REC[],2,FALSE),0)</f>
        <v>15540036.397699751</v>
      </c>
      <c r="AZ1033" s="246">
        <f>IFERROR(VLOOKUP(J1033,VOL_REC[],2,FALSE),0)</f>
        <v>3761786</v>
      </c>
      <c r="BA1033" s="246">
        <f>IFERROR(VLOOKUP(K1033,VOL_REC[],2,FALSE),0)</f>
        <v>240696.79238099116</v>
      </c>
      <c r="BB1033" s="246">
        <f>IFERROR(VLOOKUP(L1033,VOL_REC[],2,FALSE),0)</f>
        <v>105072</v>
      </c>
      <c r="BC1033" s="246">
        <f>IFERROR(VLOOKUP(M1033,VOL_REC[],2,FALSE),0)</f>
        <v>0</v>
      </c>
      <c r="BD1033" s="246">
        <f>IFERROR(VLOOKUP(N1033,VOL_REC[],2,FALSE),0)</f>
        <v>0</v>
      </c>
      <c r="BE1033" s="246">
        <f>IFERROR(VLOOKUP(O1033,VOL_REC[],2,FALSE),0)</f>
        <v>0</v>
      </c>
      <c r="BF1033" s="246">
        <f>IFERROR(VLOOKUP(P1033,VOL_REC[],2,FALSE),0)</f>
        <v>0</v>
      </c>
      <c r="BG1033" s="246">
        <f>IFERROR(VLOOKUP(Q1033,VOL_REC[],2,FALSE),0)</f>
        <v>0</v>
      </c>
      <c r="BH1033" s="1710">
        <f t="shared" si="64"/>
        <v>19231690967.569035</v>
      </c>
      <c r="BI1033" s="1710">
        <f t="shared" si="65"/>
        <v>23379910310.8255</v>
      </c>
      <c r="BJ1033" s="1711">
        <f t="shared" si="66"/>
        <v>35152808.12130221</v>
      </c>
      <c r="BK1033" s="1711">
        <f t="shared" si="67"/>
        <v>0.82257334232220158</v>
      </c>
    </row>
    <row r="1034" spans="3:67" x14ac:dyDescent="0.25">
      <c r="C1034" s="246" t="s">
        <v>2384</v>
      </c>
      <c r="D1034" s="246">
        <v>1</v>
      </c>
      <c r="E1034" s="246">
        <v>2</v>
      </c>
      <c r="F1034" s="246">
        <v>3</v>
      </c>
      <c r="G1034" s="246">
        <v>4</v>
      </c>
      <c r="H1034" s="246">
        <v>5</v>
      </c>
      <c r="I1034" s="246">
        <v>6</v>
      </c>
      <c r="J1034" s="246">
        <v>9</v>
      </c>
      <c r="K1034" s="246">
        <v>12</v>
      </c>
      <c r="L1034" s="246">
        <v>16</v>
      </c>
      <c r="M1034" s="246"/>
      <c r="N1034" s="246"/>
      <c r="O1034" s="246"/>
      <c r="P1034" s="246"/>
      <c r="Q1034" s="246"/>
      <c r="R1034" s="246">
        <f>IFERROR(VLOOKUP(D1034,PROGRAMAS[],2,FALSE),0)</f>
        <v>97037803.679377079</v>
      </c>
      <c r="S1034" s="246">
        <f>IFERROR(VLOOKUP(E1034,PROGRAMAS[],2,FALSE),0)</f>
        <v>640501509.6821388</v>
      </c>
      <c r="T1034" s="246">
        <f>IFERROR(VLOOKUP(F1034,PROGRAMAS[],2,FALSE),0)</f>
        <v>3062327798.1525245</v>
      </c>
      <c r="U1034" s="246">
        <f>IFERROR(VLOOKUP(G1034,PROGRAMAS[],2,FALSE),0)</f>
        <v>67697118.033011258</v>
      </c>
      <c r="V1034" s="246">
        <f>IFERROR(VLOOKUP(H1034,PROGRAMAS[],2,FALSE),0)</f>
        <v>1440941976.2528784</v>
      </c>
      <c r="W1034" s="246">
        <f>IFERROR(VLOOKUP(I1034,PROGRAMAS[],2,FALSE),0)</f>
        <v>6907648435.8447599</v>
      </c>
      <c r="X1034" s="246">
        <f>IFERROR(VLOOKUP(J1034,PROGRAMAS[],2,FALSE),0)</f>
        <v>6128579952.1618185</v>
      </c>
      <c r="Y1034" s="246">
        <f>IFERROR(VLOOKUP(K1034,PROGRAMAS[],2,FALSE),0)</f>
        <v>764796700.79905891</v>
      </c>
      <c r="Z1034" s="246">
        <f>IFERROR(VLOOKUP(L1034,PROGRAMAS[],2,FALSE),0)</f>
        <v>7068496961.0436354</v>
      </c>
      <c r="AA1034" s="246">
        <f>IFERROR(VLOOKUP(M1034,PROGRAMAS[],2,FALSE),0)</f>
        <v>0</v>
      </c>
      <c r="AB1034" s="246">
        <f>IFERROR(VLOOKUP(N1034,PROGRAMAS[],2,FALSE),0)</f>
        <v>0</v>
      </c>
      <c r="AC1034" s="246">
        <f>IFERROR(VLOOKUP(O1034,PROGRAMAS[],2,FALSE),0)</f>
        <v>0</v>
      </c>
      <c r="AD1034" s="246">
        <f>IFERROR(VLOOKUP(P1034,PROGRAMAS[],2,FALSE),0)</f>
        <v>0</v>
      </c>
      <c r="AE1034" s="246">
        <f>IFERROR(VLOOKUP(Q1034,PROGRAMAS[],2,FALSE),0)</f>
        <v>0</v>
      </c>
      <c r="AF1034" s="246">
        <f>IFERROR(VLOOKUP(D1034,PROGRAMAS[],3,FALSE),0)</f>
        <v>841888629.31080008</v>
      </c>
      <c r="AG1034" s="246">
        <f>IFERROR(VLOOKUP(E1034,PROGRAMAS[],3,FALSE),0)</f>
        <v>3848980803.1642323</v>
      </c>
      <c r="AH1034" s="246">
        <f>IFERROR(VLOOKUP(F1034,PROGRAMAS[],3,FALSE),0)</f>
        <v>3394901471.387517</v>
      </c>
      <c r="AI1034" s="246">
        <f>IFERROR(VLOOKUP(G1034,PROGRAMAS[],3,FALSE),0)</f>
        <v>125317226.95549992</v>
      </c>
      <c r="AJ1034" s="246">
        <f>IFERROR(VLOOKUP(H1034,PROGRAMAS[],3,FALSE),0)</f>
        <v>1233505101.0616004</v>
      </c>
      <c r="AK1034" s="246">
        <f>IFERROR(VLOOKUP(I1034,PROGRAMAS[],3,FALSE),0)</f>
        <v>6129902208.7912121</v>
      </c>
      <c r="AL1034" s="246">
        <f>IFERROR(VLOOKUP(J1034,PROGRAMAS[],3,FALSE),0)</f>
        <v>7011279577.519702</v>
      </c>
      <c r="AM1034" s="246">
        <f>IFERROR(VLOOKUP(K1034,PROGRAMAS[],3,FALSE),0)</f>
        <v>675517840.109828</v>
      </c>
      <c r="AN1034" s="246">
        <f>IFERROR(VLOOKUP(L1034,PROGRAMAS[],3,FALSE),0)</f>
        <v>2406564599.0319901</v>
      </c>
      <c r="AO1034" s="246">
        <f>IFERROR(VLOOKUP(M1034,PROGRAMAS[],3,FALSE),0)</f>
        <v>0</v>
      </c>
      <c r="AP1034" s="246">
        <f>IFERROR(VLOOKUP(N1034,PROGRAMAS[],3,FALSE),0)</f>
        <v>0</v>
      </c>
      <c r="AQ1034" s="246">
        <f>IFERROR(VLOOKUP(O1034,PROGRAMAS[],3,FALSE),0)</f>
        <v>0</v>
      </c>
      <c r="AR1034" s="246">
        <f>IFERROR(VLOOKUP(P1034,PROGRAMAS[],3,FALSE),0)</f>
        <v>0</v>
      </c>
      <c r="AS1034" s="246">
        <f>IFERROR(VLOOKUP(Q1034,PROGRAMAS[],3,FALSE),0)</f>
        <v>0</v>
      </c>
      <c r="AT1034" s="246">
        <f>IFERROR(VLOOKUP(D1034,VOL_REC[],2,FALSE),0)</f>
        <v>0</v>
      </c>
      <c r="AU1034" s="246">
        <f>IFERROR(VLOOKUP(E1034,VOL_REC[],2,FALSE),0)</f>
        <v>0</v>
      </c>
      <c r="AV1034" s="246">
        <f>IFERROR(VLOOKUP(F1034,VOL_REC[],2,FALSE),0)</f>
        <v>11089674.200000001</v>
      </c>
      <c r="AW1034" s="246">
        <f>IFERROR(VLOOKUP(G1034,VOL_REC[],2,FALSE),0)</f>
        <v>90439.55</v>
      </c>
      <c r="AX1034" s="246">
        <f>IFERROR(VLOOKUP(H1034,VOL_REC[],2,FALSE),0)</f>
        <v>4325103.1812214684</v>
      </c>
      <c r="AY1034" s="246">
        <f>IFERROR(VLOOKUP(I1034,VOL_REC[],2,FALSE),0)</f>
        <v>15540036.397699751</v>
      </c>
      <c r="AZ1034" s="246">
        <f>IFERROR(VLOOKUP(J1034,VOL_REC[],2,FALSE),0)</f>
        <v>3761786</v>
      </c>
      <c r="BA1034" s="246">
        <f>IFERROR(VLOOKUP(K1034,VOL_REC[],2,FALSE),0)</f>
        <v>240696.79238099116</v>
      </c>
      <c r="BB1034" s="246">
        <f>IFERROR(VLOOKUP(L1034,VOL_REC[],2,FALSE),0)</f>
        <v>1072354.9981737854</v>
      </c>
      <c r="BC1034" s="246">
        <f>IFERROR(VLOOKUP(M1034,VOL_REC[],2,FALSE),0)</f>
        <v>0</v>
      </c>
      <c r="BD1034" s="246">
        <f>IFERROR(VLOOKUP(N1034,VOL_REC[],2,FALSE),0)</f>
        <v>0</v>
      </c>
      <c r="BE1034" s="246">
        <f>IFERROR(VLOOKUP(O1034,VOL_REC[],2,FALSE),0)</f>
        <v>0</v>
      </c>
      <c r="BF1034" s="246">
        <f>IFERROR(VLOOKUP(P1034,VOL_REC[],2,FALSE),0)</f>
        <v>0</v>
      </c>
      <c r="BG1034" s="246">
        <f>IFERROR(VLOOKUP(Q1034,VOL_REC[],2,FALSE),0)</f>
        <v>0</v>
      </c>
      <c r="BH1034" s="1710">
        <f t="shared" si="64"/>
        <v>26178028255.649204</v>
      </c>
      <c r="BI1034" s="1710">
        <f t="shared" si="65"/>
        <v>25667857457.332382</v>
      </c>
      <c r="BJ1034" s="1711">
        <f t="shared" si="66"/>
        <v>36120091.119475998</v>
      </c>
      <c r="BK1034" s="1711">
        <f t="shared" si="67"/>
        <v>1.0198758622204787</v>
      </c>
      <c r="BL1034">
        <f>BJ1034</f>
        <v>36120091.119475998</v>
      </c>
      <c r="BO1034">
        <f>BL1034</f>
        <v>36120091.119475998</v>
      </c>
    </row>
    <row r="1035" spans="3:67" x14ac:dyDescent="0.25">
      <c r="C1035" s="246" t="s">
        <v>2385</v>
      </c>
      <c r="D1035" s="246">
        <v>1</v>
      </c>
      <c r="E1035" s="246">
        <v>2</v>
      </c>
      <c r="F1035" s="246">
        <v>3</v>
      </c>
      <c r="G1035" s="246">
        <v>4</v>
      </c>
      <c r="H1035" s="246">
        <v>5</v>
      </c>
      <c r="I1035" s="246">
        <v>6</v>
      </c>
      <c r="J1035" s="246">
        <v>9</v>
      </c>
      <c r="K1035" s="246">
        <v>12</v>
      </c>
      <c r="L1035" s="246">
        <v>17</v>
      </c>
      <c r="M1035" s="246"/>
      <c r="N1035" s="246"/>
      <c r="O1035" s="246"/>
      <c r="P1035" s="246"/>
      <c r="Q1035" s="246"/>
      <c r="R1035" s="246">
        <f>IFERROR(VLOOKUP(D1035,PROGRAMAS[],2,FALSE),0)</f>
        <v>97037803.679377079</v>
      </c>
      <c r="S1035" s="246">
        <f>IFERROR(VLOOKUP(E1035,PROGRAMAS[],2,FALSE),0)</f>
        <v>640501509.6821388</v>
      </c>
      <c r="T1035" s="246">
        <f>IFERROR(VLOOKUP(F1035,PROGRAMAS[],2,FALSE),0)</f>
        <v>3062327798.1525245</v>
      </c>
      <c r="U1035" s="246">
        <f>IFERROR(VLOOKUP(G1035,PROGRAMAS[],2,FALSE),0)</f>
        <v>67697118.033011258</v>
      </c>
      <c r="V1035" s="246">
        <f>IFERROR(VLOOKUP(H1035,PROGRAMAS[],2,FALSE),0)</f>
        <v>1440941976.2528784</v>
      </c>
      <c r="W1035" s="246">
        <f>IFERROR(VLOOKUP(I1035,PROGRAMAS[],2,FALSE),0)</f>
        <v>6907648435.8447599</v>
      </c>
      <c r="X1035" s="246">
        <f>IFERROR(VLOOKUP(J1035,PROGRAMAS[],2,FALSE),0)</f>
        <v>6128579952.1618185</v>
      </c>
      <c r="Y1035" s="246">
        <f>IFERROR(VLOOKUP(K1035,PROGRAMAS[],2,FALSE),0)</f>
        <v>764796700.79905891</v>
      </c>
      <c r="Z1035" s="246">
        <f>IFERROR(VLOOKUP(L1035,PROGRAMAS[],2,FALSE),0)</f>
        <v>1892779498.5211046</v>
      </c>
      <c r="AA1035" s="246">
        <f>IFERROR(VLOOKUP(M1035,PROGRAMAS[],2,FALSE),0)</f>
        <v>0</v>
      </c>
      <c r="AB1035" s="246">
        <f>IFERROR(VLOOKUP(N1035,PROGRAMAS[],2,FALSE),0)</f>
        <v>0</v>
      </c>
      <c r="AC1035" s="246">
        <f>IFERROR(VLOOKUP(O1035,PROGRAMAS[],2,FALSE),0)</f>
        <v>0</v>
      </c>
      <c r="AD1035" s="246">
        <f>IFERROR(VLOOKUP(P1035,PROGRAMAS[],2,FALSE),0)</f>
        <v>0</v>
      </c>
      <c r="AE1035" s="246">
        <f>IFERROR(VLOOKUP(Q1035,PROGRAMAS[],2,FALSE),0)</f>
        <v>0</v>
      </c>
      <c r="AF1035" s="246">
        <f>IFERROR(VLOOKUP(D1035,PROGRAMAS[],3,FALSE),0)</f>
        <v>841888629.31080008</v>
      </c>
      <c r="AG1035" s="246">
        <f>IFERROR(VLOOKUP(E1035,PROGRAMAS[],3,FALSE),0)</f>
        <v>3848980803.1642323</v>
      </c>
      <c r="AH1035" s="246">
        <f>IFERROR(VLOOKUP(F1035,PROGRAMAS[],3,FALSE),0)</f>
        <v>3394901471.387517</v>
      </c>
      <c r="AI1035" s="246">
        <f>IFERROR(VLOOKUP(G1035,PROGRAMAS[],3,FALSE),0)</f>
        <v>125317226.95549992</v>
      </c>
      <c r="AJ1035" s="246">
        <f>IFERROR(VLOOKUP(H1035,PROGRAMAS[],3,FALSE),0)</f>
        <v>1233505101.0616004</v>
      </c>
      <c r="AK1035" s="246">
        <f>IFERROR(VLOOKUP(I1035,PROGRAMAS[],3,FALSE),0)</f>
        <v>6129902208.7912121</v>
      </c>
      <c r="AL1035" s="246">
        <f>IFERROR(VLOOKUP(J1035,PROGRAMAS[],3,FALSE),0)</f>
        <v>7011279577.519702</v>
      </c>
      <c r="AM1035" s="246">
        <f>IFERROR(VLOOKUP(K1035,PROGRAMAS[],3,FALSE),0)</f>
        <v>675517840.109828</v>
      </c>
      <c r="AN1035" s="246">
        <f>IFERROR(VLOOKUP(L1035,PROGRAMAS[],3,FALSE),0)</f>
        <v>948595847.09039903</v>
      </c>
      <c r="AO1035" s="246">
        <f>IFERROR(VLOOKUP(M1035,PROGRAMAS[],3,FALSE),0)</f>
        <v>0</v>
      </c>
      <c r="AP1035" s="246">
        <f>IFERROR(VLOOKUP(N1035,PROGRAMAS[],3,FALSE),0)</f>
        <v>0</v>
      </c>
      <c r="AQ1035" s="246">
        <f>IFERROR(VLOOKUP(O1035,PROGRAMAS[],3,FALSE),0)</f>
        <v>0</v>
      </c>
      <c r="AR1035" s="246">
        <f>IFERROR(VLOOKUP(P1035,PROGRAMAS[],3,FALSE),0)</f>
        <v>0</v>
      </c>
      <c r="AS1035" s="246">
        <f>IFERROR(VLOOKUP(Q1035,PROGRAMAS[],3,FALSE),0)</f>
        <v>0</v>
      </c>
      <c r="AT1035" s="246">
        <f>IFERROR(VLOOKUP(D1035,VOL_REC[],2,FALSE),0)</f>
        <v>0</v>
      </c>
      <c r="AU1035" s="246">
        <f>IFERROR(VLOOKUP(E1035,VOL_REC[],2,FALSE),0)</f>
        <v>0</v>
      </c>
      <c r="AV1035" s="246">
        <f>IFERROR(VLOOKUP(F1035,VOL_REC[],2,FALSE),0)</f>
        <v>11089674.200000001</v>
      </c>
      <c r="AW1035" s="246">
        <f>IFERROR(VLOOKUP(G1035,VOL_REC[],2,FALSE),0)</f>
        <v>90439.55</v>
      </c>
      <c r="AX1035" s="246">
        <f>IFERROR(VLOOKUP(H1035,VOL_REC[],2,FALSE),0)</f>
        <v>4325103.1812214684</v>
      </c>
      <c r="AY1035" s="246">
        <f>IFERROR(VLOOKUP(I1035,VOL_REC[],2,FALSE),0)</f>
        <v>15540036.397699751</v>
      </c>
      <c r="AZ1035" s="246">
        <f>IFERROR(VLOOKUP(J1035,VOL_REC[],2,FALSE),0)</f>
        <v>3761786</v>
      </c>
      <c r="BA1035" s="246">
        <f>IFERROR(VLOOKUP(K1035,VOL_REC[],2,FALSE),0)</f>
        <v>240696.79238099116</v>
      </c>
      <c r="BB1035" s="246">
        <f>IFERROR(VLOOKUP(L1035,VOL_REC[],2,FALSE),0)</f>
        <v>740113.98115702497</v>
      </c>
      <c r="BC1035" s="246">
        <f>IFERROR(VLOOKUP(M1035,VOL_REC[],2,FALSE),0)</f>
        <v>0</v>
      </c>
      <c r="BD1035" s="246">
        <f>IFERROR(VLOOKUP(N1035,VOL_REC[],2,FALSE),0)</f>
        <v>0</v>
      </c>
      <c r="BE1035" s="246">
        <f>IFERROR(VLOOKUP(O1035,VOL_REC[],2,FALSE),0)</f>
        <v>0</v>
      </c>
      <c r="BF1035" s="246">
        <f>IFERROR(VLOOKUP(P1035,VOL_REC[],2,FALSE),0)</f>
        <v>0</v>
      </c>
      <c r="BG1035" s="246">
        <f>IFERROR(VLOOKUP(Q1035,VOL_REC[],2,FALSE),0)</f>
        <v>0</v>
      </c>
      <c r="BH1035" s="1710">
        <f t="shared" si="64"/>
        <v>21002310793.126671</v>
      </c>
      <c r="BI1035" s="1710">
        <f t="shared" si="65"/>
        <v>24209888705.390793</v>
      </c>
      <c r="BJ1035" s="1711">
        <f t="shared" si="66"/>
        <v>35787850.102459237</v>
      </c>
      <c r="BK1035" s="1711">
        <f t="shared" si="67"/>
        <v>0.86750959695449181</v>
      </c>
    </row>
    <row r="1036" spans="3:67" x14ac:dyDescent="0.25">
      <c r="C1036" s="246" t="s">
        <v>2386</v>
      </c>
      <c r="D1036" s="246">
        <v>1</v>
      </c>
      <c r="E1036" s="246">
        <v>2</v>
      </c>
      <c r="F1036" s="246">
        <v>3</v>
      </c>
      <c r="G1036" s="246">
        <v>4</v>
      </c>
      <c r="H1036" s="246">
        <v>5</v>
      </c>
      <c r="I1036" s="246">
        <v>6</v>
      </c>
      <c r="J1036" s="246">
        <v>9</v>
      </c>
      <c r="K1036" s="246">
        <v>13</v>
      </c>
      <c r="L1036" s="246">
        <v>14</v>
      </c>
      <c r="M1036" s="246"/>
      <c r="N1036" s="246"/>
      <c r="O1036" s="246"/>
      <c r="P1036" s="246"/>
      <c r="Q1036" s="246"/>
      <c r="R1036" s="246">
        <f>IFERROR(VLOOKUP(D1036,PROGRAMAS[],2,FALSE),0)</f>
        <v>97037803.679377079</v>
      </c>
      <c r="S1036" s="246">
        <f>IFERROR(VLOOKUP(E1036,PROGRAMAS[],2,FALSE),0)</f>
        <v>640501509.6821388</v>
      </c>
      <c r="T1036" s="246">
        <f>IFERROR(VLOOKUP(F1036,PROGRAMAS[],2,FALSE),0)</f>
        <v>3062327798.1525245</v>
      </c>
      <c r="U1036" s="246">
        <f>IFERROR(VLOOKUP(G1036,PROGRAMAS[],2,FALSE),0)</f>
        <v>67697118.033011258</v>
      </c>
      <c r="V1036" s="246">
        <f>IFERROR(VLOOKUP(H1036,PROGRAMAS[],2,FALSE),0)</f>
        <v>1440941976.2528784</v>
      </c>
      <c r="W1036" s="246">
        <f>IFERROR(VLOOKUP(I1036,PROGRAMAS[],2,FALSE),0)</f>
        <v>6907648435.8447599</v>
      </c>
      <c r="X1036" s="246">
        <f>IFERROR(VLOOKUP(J1036,PROGRAMAS[],2,FALSE),0)</f>
        <v>6128579952.1618185</v>
      </c>
      <c r="Y1036" s="246">
        <f>IFERROR(VLOOKUP(K1036,PROGRAMAS[],2,FALSE),0)</f>
        <v>3776538594.4604583</v>
      </c>
      <c r="Z1036" s="246">
        <f>IFERROR(VLOOKUP(L1036,PROGRAMAS[],2,FALSE),0)</f>
        <v>54223862.645839565</v>
      </c>
      <c r="AA1036" s="246">
        <f>IFERROR(VLOOKUP(M1036,PROGRAMAS[],2,FALSE),0)</f>
        <v>0</v>
      </c>
      <c r="AB1036" s="246">
        <f>IFERROR(VLOOKUP(N1036,PROGRAMAS[],2,FALSE),0)</f>
        <v>0</v>
      </c>
      <c r="AC1036" s="246">
        <f>IFERROR(VLOOKUP(O1036,PROGRAMAS[],2,FALSE),0)</f>
        <v>0</v>
      </c>
      <c r="AD1036" s="246">
        <f>IFERROR(VLOOKUP(P1036,PROGRAMAS[],2,FALSE),0)</f>
        <v>0</v>
      </c>
      <c r="AE1036" s="246">
        <f>IFERROR(VLOOKUP(Q1036,PROGRAMAS[],2,FALSE),0)</f>
        <v>0</v>
      </c>
      <c r="AF1036" s="246">
        <f>IFERROR(VLOOKUP(D1036,PROGRAMAS[],3,FALSE),0)</f>
        <v>841888629.31080008</v>
      </c>
      <c r="AG1036" s="246">
        <f>IFERROR(VLOOKUP(E1036,PROGRAMAS[],3,FALSE),0)</f>
        <v>3848980803.1642323</v>
      </c>
      <c r="AH1036" s="246">
        <f>IFERROR(VLOOKUP(F1036,PROGRAMAS[],3,FALSE),0)</f>
        <v>3394901471.387517</v>
      </c>
      <c r="AI1036" s="246">
        <f>IFERROR(VLOOKUP(G1036,PROGRAMAS[],3,FALSE),0)</f>
        <v>125317226.95549992</v>
      </c>
      <c r="AJ1036" s="246">
        <f>IFERROR(VLOOKUP(H1036,PROGRAMAS[],3,FALSE),0)</f>
        <v>1233505101.0616004</v>
      </c>
      <c r="AK1036" s="246">
        <f>IFERROR(VLOOKUP(I1036,PROGRAMAS[],3,FALSE),0)</f>
        <v>6129902208.7912121</v>
      </c>
      <c r="AL1036" s="246">
        <f>IFERROR(VLOOKUP(J1036,PROGRAMAS[],3,FALSE),0)</f>
        <v>7011279577.519702</v>
      </c>
      <c r="AM1036" s="246">
        <f>IFERROR(VLOOKUP(K1036,PROGRAMAS[],3,FALSE),0)</f>
        <v>2392571243.5584412</v>
      </c>
      <c r="AN1036" s="246">
        <f>IFERROR(VLOOKUP(L1036,PROGRAMAS[],3,FALSE),0)</f>
        <v>31865326.38096505</v>
      </c>
      <c r="AO1036" s="246">
        <f>IFERROR(VLOOKUP(M1036,PROGRAMAS[],3,FALSE),0)</f>
        <v>0</v>
      </c>
      <c r="AP1036" s="246">
        <f>IFERROR(VLOOKUP(N1036,PROGRAMAS[],3,FALSE),0)</f>
        <v>0</v>
      </c>
      <c r="AQ1036" s="246">
        <f>IFERROR(VLOOKUP(O1036,PROGRAMAS[],3,FALSE),0)</f>
        <v>0</v>
      </c>
      <c r="AR1036" s="246">
        <f>IFERROR(VLOOKUP(P1036,PROGRAMAS[],3,FALSE),0)</f>
        <v>0</v>
      </c>
      <c r="AS1036" s="246">
        <f>IFERROR(VLOOKUP(Q1036,PROGRAMAS[],3,FALSE),0)</f>
        <v>0</v>
      </c>
      <c r="AT1036" s="246">
        <f>IFERROR(VLOOKUP(D1036,VOL_REC[],2,FALSE),0)</f>
        <v>0</v>
      </c>
      <c r="AU1036" s="246">
        <f>IFERROR(VLOOKUP(E1036,VOL_REC[],2,FALSE),0)</f>
        <v>0</v>
      </c>
      <c r="AV1036" s="246">
        <f>IFERROR(VLOOKUP(F1036,VOL_REC[],2,FALSE),0)</f>
        <v>11089674.200000001</v>
      </c>
      <c r="AW1036" s="246">
        <f>IFERROR(VLOOKUP(G1036,VOL_REC[],2,FALSE),0)</f>
        <v>90439.55</v>
      </c>
      <c r="AX1036" s="246">
        <f>IFERROR(VLOOKUP(H1036,VOL_REC[],2,FALSE),0)</f>
        <v>4325103.1812214684</v>
      </c>
      <c r="AY1036" s="246">
        <f>IFERROR(VLOOKUP(I1036,VOL_REC[],2,FALSE),0)</f>
        <v>15540036.397699751</v>
      </c>
      <c r="AZ1036" s="246">
        <f>IFERROR(VLOOKUP(J1036,VOL_REC[],2,FALSE),0)</f>
        <v>3761786</v>
      </c>
      <c r="BA1036" s="246">
        <f>IFERROR(VLOOKUP(K1036,VOL_REC[],2,FALSE),0)</f>
        <v>663244.80000000016</v>
      </c>
      <c r="BB1036" s="246">
        <f>IFERROR(VLOOKUP(L1036,VOL_REC[],2,FALSE),0)</f>
        <v>17074.045034105649</v>
      </c>
      <c r="BC1036" s="246">
        <f>IFERROR(VLOOKUP(M1036,VOL_REC[],2,FALSE),0)</f>
        <v>0</v>
      </c>
      <c r="BD1036" s="246">
        <f>IFERROR(VLOOKUP(N1036,VOL_REC[],2,FALSE),0)</f>
        <v>0</v>
      </c>
      <c r="BE1036" s="246">
        <f>IFERROR(VLOOKUP(O1036,VOL_REC[],2,FALSE),0)</f>
        <v>0</v>
      </c>
      <c r="BF1036" s="246">
        <f>IFERROR(VLOOKUP(P1036,VOL_REC[],2,FALSE),0)</f>
        <v>0</v>
      </c>
      <c r="BG1036" s="246">
        <f>IFERROR(VLOOKUP(Q1036,VOL_REC[],2,FALSE),0)</f>
        <v>0</v>
      </c>
      <c r="BH1036" s="1710">
        <f t="shared" si="64"/>
        <v>22175497050.912807</v>
      </c>
      <c r="BI1036" s="1710">
        <f t="shared" si="65"/>
        <v>25010211588.129971</v>
      </c>
      <c r="BJ1036" s="1711">
        <f t="shared" si="66"/>
        <v>35487358.173955321</v>
      </c>
      <c r="BK1036" s="1711">
        <f t="shared" si="67"/>
        <v>0.88665771470072086</v>
      </c>
    </row>
    <row r="1037" spans="3:67" x14ac:dyDescent="0.25">
      <c r="C1037" s="246" t="s">
        <v>2387</v>
      </c>
      <c r="D1037" s="246">
        <v>1</v>
      </c>
      <c r="E1037" s="246">
        <v>2</v>
      </c>
      <c r="F1037" s="246">
        <v>3</v>
      </c>
      <c r="G1037" s="246">
        <v>4</v>
      </c>
      <c r="H1037" s="246">
        <v>5</v>
      </c>
      <c r="I1037" s="246">
        <v>6</v>
      </c>
      <c r="J1037" s="246">
        <v>9</v>
      </c>
      <c r="K1037" s="246">
        <v>13</v>
      </c>
      <c r="L1037" s="246">
        <v>15</v>
      </c>
      <c r="M1037" s="246"/>
      <c r="N1037" s="246"/>
      <c r="O1037" s="246"/>
      <c r="P1037" s="246"/>
      <c r="Q1037" s="246"/>
      <c r="R1037" s="246">
        <f>IFERROR(VLOOKUP(D1037,PROGRAMAS[],2,FALSE),0)</f>
        <v>97037803.679377079</v>
      </c>
      <c r="S1037" s="246">
        <f>IFERROR(VLOOKUP(E1037,PROGRAMAS[],2,FALSE),0)</f>
        <v>640501509.6821388</v>
      </c>
      <c r="T1037" s="246">
        <f>IFERROR(VLOOKUP(F1037,PROGRAMAS[],2,FALSE),0)</f>
        <v>3062327798.1525245</v>
      </c>
      <c r="U1037" s="246">
        <f>IFERROR(VLOOKUP(G1037,PROGRAMAS[],2,FALSE),0)</f>
        <v>67697118.033011258</v>
      </c>
      <c r="V1037" s="246">
        <f>IFERROR(VLOOKUP(H1037,PROGRAMAS[],2,FALSE),0)</f>
        <v>1440941976.2528784</v>
      </c>
      <c r="W1037" s="246">
        <f>IFERROR(VLOOKUP(I1037,PROGRAMAS[],2,FALSE),0)</f>
        <v>6907648435.8447599</v>
      </c>
      <c r="X1037" s="246">
        <f>IFERROR(VLOOKUP(J1037,PROGRAMAS[],2,FALSE),0)</f>
        <v>6128579952.1618185</v>
      </c>
      <c r="Y1037" s="246">
        <f>IFERROR(VLOOKUP(K1037,PROGRAMAS[],2,FALSE),0)</f>
        <v>3776538594.4604583</v>
      </c>
      <c r="Z1037" s="246">
        <f>IFERROR(VLOOKUP(L1037,PROGRAMAS[],2,FALSE),0)</f>
        <v>122159672.96346797</v>
      </c>
      <c r="AA1037" s="246">
        <f>IFERROR(VLOOKUP(M1037,PROGRAMAS[],2,FALSE),0)</f>
        <v>0</v>
      </c>
      <c r="AB1037" s="246">
        <f>IFERROR(VLOOKUP(N1037,PROGRAMAS[],2,FALSE),0)</f>
        <v>0</v>
      </c>
      <c r="AC1037" s="246">
        <f>IFERROR(VLOOKUP(O1037,PROGRAMAS[],2,FALSE),0)</f>
        <v>0</v>
      </c>
      <c r="AD1037" s="246">
        <f>IFERROR(VLOOKUP(P1037,PROGRAMAS[],2,FALSE),0)</f>
        <v>0</v>
      </c>
      <c r="AE1037" s="246">
        <f>IFERROR(VLOOKUP(Q1037,PROGRAMAS[],2,FALSE),0)</f>
        <v>0</v>
      </c>
      <c r="AF1037" s="246">
        <f>IFERROR(VLOOKUP(D1037,PROGRAMAS[],3,FALSE),0)</f>
        <v>841888629.31080008</v>
      </c>
      <c r="AG1037" s="246">
        <f>IFERROR(VLOOKUP(E1037,PROGRAMAS[],3,FALSE),0)</f>
        <v>3848980803.1642323</v>
      </c>
      <c r="AH1037" s="246">
        <f>IFERROR(VLOOKUP(F1037,PROGRAMAS[],3,FALSE),0)</f>
        <v>3394901471.387517</v>
      </c>
      <c r="AI1037" s="246">
        <f>IFERROR(VLOOKUP(G1037,PROGRAMAS[],3,FALSE),0)</f>
        <v>125317226.95549992</v>
      </c>
      <c r="AJ1037" s="246">
        <f>IFERROR(VLOOKUP(H1037,PROGRAMAS[],3,FALSE),0)</f>
        <v>1233505101.0616004</v>
      </c>
      <c r="AK1037" s="246">
        <f>IFERROR(VLOOKUP(I1037,PROGRAMAS[],3,FALSE),0)</f>
        <v>6129902208.7912121</v>
      </c>
      <c r="AL1037" s="246">
        <f>IFERROR(VLOOKUP(J1037,PROGRAMAS[],3,FALSE),0)</f>
        <v>7011279577.519702</v>
      </c>
      <c r="AM1037" s="246">
        <f>IFERROR(VLOOKUP(K1037,PROGRAMAS[],3,FALSE),0)</f>
        <v>2392571243.5584412</v>
      </c>
      <c r="AN1037" s="246">
        <f>IFERROR(VLOOKUP(L1037,PROGRAMAS[],3,FALSE),0)</f>
        <v>118617452.52510804</v>
      </c>
      <c r="AO1037" s="246">
        <f>IFERROR(VLOOKUP(M1037,PROGRAMAS[],3,FALSE),0)</f>
        <v>0</v>
      </c>
      <c r="AP1037" s="246">
        <f>IFERROR(VLOOKUP(N1037,PROGRAMAS[],3,FALSE),0)</f>
        <v>0</v>
      </c>
      <c r="AQ1037" s="246">
        <f>IFERROR(VLOOKUP(O1037,PROGRAMAS[],3,FALSE),0)</f>
        <v>0</v>
      </c>
      <c r="AR1037" s="246">
        <f>IFERROR(VLOOKUP(P1037,PROGRAMAS[],3,FALSE),0)</f>
        <v>0</v>
      </c>
      <c r="AS1037" s="246">
        <f>IFERROR(VLOOKUP(Q1037,PROGRAMAS[],3,FALSE),0)</f>
        <v>0</v>
      </c>
      <c r="AT1037" s="246">
        <f>IFERROR(VLOOKUP(D1037,VOL_REC[],2,FALSE),0)</f>
        <v>0</v>
      </c>
      <c r="AU1037" s="246">
        <f>IFERROR(VLOOKUP(E1037,VOL_REC[],2,FALSE),0)</f>
        <v>0</v>
      </c>
      <c r="AV1037" s="246">
        <f>IFERROR(VLOOKUP(F1037,VOL_REC[],2,FALSE),0)</f>
        <v>11089674.200000001</v>
      </c>
      <c r="AW1037" s="246">
        <f>IFERROR(VLOOKUP(G1037,VOL_REC[],2,FALSE),0)</f>
        <v>90439.55</v>
      </c>
      <c r="AX1037" s="246">
        <f>IFERROR(VLOOKUP(H1037,VOL_REC[],2,FALSE),0)</f>
        <v>4325103.1812214684</v>
      </c>
      <c r="AY1037" s="246">
        <f>IFERROR(VLOOKUP(I1037,VOL_REC[],2,FALSE),0)</f>
        <v>15540036.397699751</v>
      </c>
      <c r="AZ1037" s="246">
        <f>IFERROR(VLOOKUP(J1037,VOL_REC[],2,FALSE),0)</f>
        <v>3761786</v>
      </c>
      <c r="BA1037" s="246">
        <f>IFERROR(VLOOKUP(K1037,VOL_REC[],2,FALSE),0)</f>
        <v>663244.80000000016</v>
      </c>
      <c r="BB1037" s="246">
        <f>IFERROR(VLOOKUP(L1037,VOL_REC[],2,FALSE),0)</f>
        <v>105072</v>
      </c>
      <c r="BC1037" s="246">
        <f>IFERROR(VLOOKUP(M1037,VOL_REC[],2,FALSE),0)</f>
        <v>0</v>
      </c>
      <c r="BD1037" s="246">
        <f>IFERROR(VLOOKUP(N1037,VOL_REC[],2,FALSE),0)</f>
        <v>0</v>
      </c>
      <c r="BE1037" s="246">
        <f>IFERROR(VLOOKUP(O1037,VOL_REC[],2,FALSE),0)</f>
        <v>0</v>
      </c>
      <c r="BF1037" s="246">
        <f>IFERROR(VLOOKUP(P1037,VOL_REC[],2,FALSE),0)</f>
        <v>0</v>
      </c>
      <c r="BG1037" s="246">
        <f>IFERROR(VLOOKUP(Q1037,VOL_REC[],2,FALSE),0)</f>
        <v>0</v>
      </c>
      <c r="BH1037" s="1710">
        <f t="shared" si="64"/>
        <v>22243432861.230434</v>
      </c>
      <c r="BI1037" s="1710">
        <f t="shared" si="65"/>
        <v>25096963714.274113</v>
      </c>
      <c r="BJ1037" s="1711">
        <f t="shared" si="66"/>
        <v>35575356.128921218</v>
      </c>
      <c r="BK1037" s="1711">
        <f t="shared" si="67"/>
        <v>0.88629975779019399</v>
      </c>
    </row>
    <row r="1038" spans="3:67" x14ac:dyDescent="0.25">
      <c r="C1038" s="246" t="s">
        <v>2388</v>
      </c>
      <c r="D1038" s="246">
        <v>1</v>
      </c>
      <c r="E1038" s="246">
        <v>2</v>
      </c>
      <c r="F1038" s="246">
        <v>3</v>
      </c>
      <c r="G1038" s="246">
        <v>4</v>
      </c>
      <c r="H1038" s="246">
        <v>5</v>
      </c>
      <c r="I1038" s="246">
        <v>6</v>
      </c>
      <c r="J1038" s="246">
        <v>9</v>
      </c>
      <c r="K1038" s="246">
        <v>13</v>
      </c>
      <c r="L1038" s="246">
        <v>16</v>
      </c>
      <c r="M1038" s="246"/>
      <c r="N1038" s="246"/>
      <c r="O1038" s="246"/>
      <c r="P1038" s="246"/>
      <c r="Q1038" s="246"/>
      <c r="R1038" s="246">
        <f>IFERROR(VLOOKUP(D1038,PROGRAMAS[],2,FALSE),0)</f>
        <v>97037803.679377079</v>
      </c>
      <c r="S1038" s="246">
        <f>IFERROR(VLOOKUP(E1038,PROGRAMAS[],2,FALSE),0)</f>
        <v>640501509.6821388</v>
      </c>
      <c r="T1038" s="246">
        <f>IFERROR(VLOOKUP(F1038,PROGRAMAS[],2,FALSE),0)</f>
        <v>3062327798.1525245</v>
      </c>
      <c r="U1038" s="246">
        <f>IFERROR(VLOOKUP(G1038,PROGRAMAS[],2,FALSE),0)</f>
        <v>67697118.033011258</v>
      </c>
      <c r="V1038" s="246">
        <f>IFERROR(VLOOKUP(H1038,PROGRAMAS[],2,FALSE),0)</f>
        <v>1440941976.2528784</v>
      </c>
      <c r="W1038" s="246">
        <f>IFERROR(VLOOKUP(I1038,PROGRAMAS[],2,FALSE),0)</f>
        <v>6907648435.8447599</v>
      </c>
      <c r="X1038" s="246">
        <f>IFERROR(VLOOKUP(J1038,PROGRAMAS[],2,FALSE),0)</f>
        <v>6128579952.1618185</v>
      </c>
      <c r="Y1038" s="246">
        <f>IFERROR(VLOOKUP(K1038,PROGRAMAS[],2,FALSE),0)</f>
        <v>3776538594.4604583</v>
      </c>
      <c r="Z1038" s="246">
        <f>IFERROR(VLOOKUP(L1038,PROGRAMAS[],2,FALSE),0)</f>
        <v>7068496961.0436354</v>
      </c>
      <c r="AA1038" s="246">
        <f>IFERROR(VLOOKUP(M1038,PROGRAMAS[],2,FALSE),0)</f>
        <v>0</v>
      </c>
      <c r="AB1038" s="246">
        <f>IFERROR(VLOOKUP(N1038,PROGRAMAS[],2,FALSE),0)</f>
        <v>0</v>
      </c>
      <c r="AC1038" s="246">
        <f>IFERROR(VLOOKUP(O1038,PROGRAMAS[],2,FALSE),0)</f>
        <v>0</v>
      </c>
      <c r="AD1038" s="246">
        <f>IFERROR(VLOOKUP(P1038,PROGRAMAS[],2,FALSE),0)</f>
        <v>0</v>
      </c>
      <c r="AE1038" s="246">
        <f>IFERROR(VLOOKUP(Q1038,PROGRAMAS[],2,FALSE),0)</f>
        <v>0</v>
      </c>
      <c r="AF1038" s="246">
        <f>IFERROR(VLOOKUP(D1038,PROGRAMAS[],3,FALSE),0)</f>
        <v>841888629.31080008</v>
      </c>
      <c r="AG1038" s="246">
        <f>IFERROR(VLOOKUP(E1038,PROGRAMAS[],3,FALSE),0)</f>
        <v>3848980803.1642323</v>
      </c>
      <c r="AH1038" s="246">
        <f>IFERROR(VLOOKUP(F1038,PROGRAMAS[],3,FALSE),0)</f>
        <v>3394901471.387517</v>
      </c>
      <c r="AI1038" s="246">
        <f>IFERROR(VLOOKUP(G1038,PROGRAMAS[],3,FALSE),0)</f>
        <v>125317226.95549992</v>
      </c>
      <c r="AJ1038" s="246">
        <f>IFERROR(VLOOKUP(H1038,PROGRAMAS[],3,FALSE),0)</f>
        <v>1233505101.0616004</v>
      </c>
      <c r="AK1038" s="246">
        <f>IFERROR(VLOOKUP(I1038,PROGRAMAS[],3,FALSE),0)</f>
        <v>6129902208.7912121</v>
      </c>
      <c r="AL1038" s="246">
        <f>IFERROR(VLOOKUP(J1038,PROGRAMAS[],3,FALSE),0)</f>
        <v>7011279577.519702</v>
      </c>
      <c r="AM1038" s="246">
        <f>IFERROR(VLOOKUP(K1038,PROGRAMAS[],3,FALSE),0)</f>
        <v>2392571243.5584412</v>
      </c>
      <c r="AN1038" s="246">
        <f>IFERROR(VLOOKUP(L1038,PROGRAMAS[],3,FALSE),0)</f>
        <v>2406564599.0319901</v>
      </c>
      <c r="AO1038" s="246">
        <f>IFERROR(VLOOKUP(M1038,PROGRAMAS[],3,FALSE),0)</f>
        <v>0</v>
      </c>
      <c r="AP1038" s="246">
        <f>IFERROR(VLOOKUP(N1038,PROGRAMAS[],3,FALSE),0)</f>
        <v>0</v>
      </c>
      <c r="AQ1038" s="246">
        <f>IFERROR(VLOOKUP(O1038,PROGRAMAS[],3,FALSE),0)</f>
        <v>0</v>
      </c>
      <c r="AR1038" s="246">
        <f>IFERROR(VLOOKUP(P1038,PROGRAMAS[],3,FALSE),0)</f>
        <v>0</v>
      </c>
      <c r="AS1038" s="246">
        <f>IFERROR(VLOOKUP(Q1038,PROGRAMAS[],3,FALSE),0)</f>
        <v>0</v>
      </c>
      <c r="AT1038" s="246">
        <f>IFERROR(VLOOKUP(D1038,VOL_REC[],2,FALSE),0)</f>
        <v>0</v>
      </c>
      <c r="AU1038" s="246">
        <f>IFERROR(VLOOKUP(E1038,VOL_REC[],2,FALSE),0)</f>
        <v>0</v>
      </c>
      <c r="AV1038" s="246">
        <f>IFERROR(VLOOKUP(F1038,VOL_REC[],2,FALSE),0)</f>
        <v>11089674.200000001</v>
      </c>
      <c r="AW1038" s="246">
        <f>IFERROR(VLOOKUP(G1038,VOL_REC[],2,FALSE),0)</f>
        <v>90439.55</v>
      </c>
      <c r="AX1038" s="246">
        <f>IFERROR(VLOOKUP(H1038,VOL_REC[],2,FALSE),0)</f>
        <v>4325103.1812214684</v>
      </c>
      <c r="AY1038" s="246">
        <f>IFERROR(VLOOKUP(I1038,VOL_REC[],2,FALSE),0)</f>
        <v>15540036.397699751</v>
      </c>
      <c r="AZ1038" s="246">
        <f>IFERROR(VLOOKUP(J1038,VOL_REC[],2,FALSE),0)</f>
        <v>3761786</v>
      </c>
      <c r="BA1038" s="246">
        <f>IFERROR(VLOOKUP(K1038,VOL_REC[],2,FALSE),0)</f>
        <v>663244.80000000016</v>
      </c>
      <c r="BB1038" s="246">
        <f>IFERROR(VLOOKUP(L1038,VOL_REC[],2,FALSE),0)</f>
        <v>1072354.9981737854</v>
      </c>
      <c r="BC1038" s="246">
        <f>IFERROR(VLOOKUP(M1038,VOL_REC[],2,FALSE),0)</f>
        <v>0</v>
      </c>
      <c r="BD1038" s="246">
        <f>IFERROR(VLOOKUP(N1038,VOL_REC[],2,FALSE),0)</f>
        <v>0</v>
      </c>
      <c r="BE1038" s="246">
        <f>IFERROR(VLOOKUP(O1038,VOL_REC[],2,FALSE),0)</f>
        <v>0</v>
      </c>
      <c r="BF1038" s="246">
        <f>IFERROR(VLOOKUP(P1038,VOL_REC[],2,FALSE),0)</f>
        <v>0</v>
      </c>
      <c r="BG1038" s="246">
        <f>IFERROR(VLOOKUP(Q1038,VOL_REC[],2,FALSE),0)</f>
        <v>0</v>
      </c>
      <c r="BH1038" s="1710">
        <f t="shared" si="64"/>
        <v>29189770149.310604</v>
      </c>
      <c r="BI1038" s="1710">
        <f t="shared" si="65"/>
        <v>27384910860.780994</v>
      </c>
      <c r="BJ1038" s="1711">
        <f t="shared" si="66"/>
        <v>36542639.127095006</v>
      </c>
      <c r="BK1038" s="1711">
        <f t="shared" si="67"/>
        <v>1.0659070718800265</v>
      </c>
      <c r="BL1038">
        <f>BJ1038</f>
        <v>36542639.127095006</v>
      </c>
      <c r="BO1038">
        <f>BL1038</f>
        <v>36542639.127095006</v>
      </c>
    </row>
    <row r="1039" spans="3:67" x14ac:dyDescent="0.25">
      <c r="C1039" s="246" t="s">
        <v>2389</v>
      </c>
      <c r="D1039" s="246">
        <v>1</v>
      </c>
      <c r="E1039" s="246">
        <v>2</v>
      </c>
      <c r="F1039" s="246">
        <v>3</v>
      </c>
      <c r="G1039" s="246">
        <v>4</v>
      </c>
      <c r="H1039" s="246">
        <v>5</v>
      </c>
      <c r="I1039" s="246">
        <v>6</v>
      </c>
      <c r="J1039" s="246">
        <v>9</v>
      </c>
      <c r="K1039" s="246">
        <v>13</v>
      </c>
      <c r="L1039" s="246">
        <v>17</v>
      </c>
      <c r="M1039" s="246"/>
      <c r="N1039" s="246"/>
      <c r="O1039" s="246"/>
      <c r="P1039" s="246"/>
      <c r="Q1039" s="246"/>
      <c r="R1039" s="246">
        <f>IFERROR(VLOOKUP(D1039,PROGRAMAS[],2,FALSE),0)</f>
        <v>97037803.679377079</v>
      </c>
      <c r="S1039" s="246">
        <f>IFERROR(VLOOKUP(E1039,PROGRAMAS[],2,FALSE),0)</f>
        <v>640501509.6821388</v>
      </c>
      <c r="T1039" s="246">
        <f>IFERROR(VLOOKUP(F1039,PROGRAMAS[],2,FALSE),0)</f>
        <v>3062327798.1525245</v>
      </c>
      <c r="U1039" s="246">
        <f>IFERROR(VLOOKUP(G1039,PROGRAMAS[],2,FALSE),0)</f>
        <v>67697118.033011258</v>
      </c>
      <c r="V1039" s="246">
        <f>IFERROR(VLOOKUP(H1039,PROGRAMAS[],2,FALSE),0)</f>
        <v>1440941976.2528784</v>
      </c>
      <c r="W1039" s="246">
        <f>IFERROR(VLOOKUP(I1039,PROGRAMAS[],2,FALSE),0)</f>
        <v>6907648435.8447599</v>
      </c>
      <c r="X1039" s="246">
        <f>IFERROR(VLOOKUP(J1039,PROGRAMAS[],2,FALSE),0)</f>
        <v>6128579952.1618185</v>
      </c>
      <c r="Y1039" s="246">
        <f>IFERROR(VLOOKUP(K1039,PROGRAMAS[],2,FALSE),0)</f>
        <v>3776538594.4604583</v>
      </c>
      <c r="Z1039" s="246">
        <f>IFERROR(VLOOKUP(L1039,PROGRAMAS[],2,FALSE),0)</f>
        <v>1892779498.5211046</v>
      </c>
      <c r="AA1039" s="246">
        <f>IFERROR(VLOOKUP(M1039,PROGRAMAS[],2,FALSE),0)</f>
        <v>0</v>
      </c>
      <c r="AB1039" s="246">
        <f>IFERROR(VLOOKUP(N1039,PROGRAMAS[],2,FALSE),0)</f>
        <v>0</v>
      </c>
      <c r="AC1039" s="246">
        <f>IFERROR(VLOOKUP(O1039,PROGRAMAS[],2,FALSE),0)</f>
        <v>0</v>
      </c>
      <c r="AD1039" s="246">
        <f>IFERROR(VLOOKUP(P1039,PROGRAMAS[],2,FALSE),0)</f>
        <v>0</v>
      </c>
      <c r="AE1039" s="246">
        <f>IFERROR(VLOOKUP(Q1039,PROGRAMAS[],2,FALSE),0)</f>
        <v>0</v>
      </c>
      <c r="AF1039" s="246">
        <f>IFERROR(VLOOKUP(D1039,PROGRAMAS[],3,FALSE),0)</f>
        <v>841888629.31080008</v>
      </c>
      <c r="AG1039" s="246">
        <f>IFERROR(VLOOKUP(E1039,PROGRAMAS[],3,FALSE),0)</f>
        <v>3848980803.1642323</v>
      </c>
      <c r="AH1039" s="246">
        <f>IFERROR(VLOOKUP(F1039,PROGRAMAS[],3,FALSE),0)</f>
        <v>3394901471.387517</v>
      </c>
      <c r="AI1039" s="246">
        <f>IFERROR(VLOOKUP(G1039,PROGRAMAS[],3,FALSE),0)</f>
        <v>125317226.95549992</v>
      </c>
      <c r="AJ1039" s="246">
        <f>IFERROR(VLOOKUP(H1039,PROGRAMAS[],3,FALSE),0)</f>
        <v>1233505101.0616004</v>
      </c>
      <c r="AK1039" s="246">
        <f>IFERROR(VLOOKUP(I1039,PROGRAMAS[],3,FALSE),0)</f>
        <v>6129902208.7912121</v>
      </c>
      <c r="AL1039" s="246">
        <f>IFERROR(VLOOKUP(J1039,PROGRAMAS[],3,FALSE),0)</f>
        <v>7011279577.519702</v>
      </c>
      <c r="AM1039" s="246">
        <f>IFERROR(VLOOKUP(K1039,PROGRAMAS[],3,FALSE),0)</f>
        <v>2392571243.5584412</v>
      </c>
      <c r="AN1039" s="246">
        <f>IFERROR(VLOOKUP(L1039,PROGRAMAS[],3,FALSE),0)</f>
        <v>948595847.09039903</v>
      </c>
      <c r="AO1039" s="246">
        <f>IFERROR(VLOOKUP(M1039,PROGRAMAS[],3,FALSE),0)</f>
        <v>0</v>
      </c>
      <c r="AP1039" s="246">
        <f>IFERROR(VLOOKUP(N1039,PROGRAMAS[],3,FALSE),0)</f>
        <v>0</v>
      </c>
      <c r="AQ1039" s="246">
        <f>IFERROR(VLOOKUP(O1039,PROGRAMAS[],3,FALSE),0)</f>
        <v>0</v>
      </c>
      <c r="AR1039" s="246">
        <f>IFERROR(VLOOKUP(P1039,PROGRAMAS[],3,FALSE),0)</f>
        <v>0</v>
      </c>
      <c r="AS1039" s="246">
        <f>IFERROR(VLOOKUP(Q1039,PROGRAMAS[],3,FALSE),0)</f>
        <v>0</v>
      </c>
      <c r="AT1039" s="246">
        <f>IFERROR(VLOOKUP(D1039,VOL_REC[],2,FALSE),0)</f>
        <v>0</v>
      </c>
      <c r="AU1039" s="246">
        <f>IFERROR(VLOOKUP(E1039,VOL_REC[],2,FALSE),0)</f>
        <v>0</v>
      </c>
      <c r="AV1039" s="246">
        <f>IFERROR(VLOOKUP(F1039,VOL_REC[],2,FALSE),0)</f>
        <v>11089674.200000001</v>
      </c>
      <c r="AW1039" s="246">
        <f>IFERROR(VLOOKUP(G1039,VOL_REC[],2,FALSE),0)</f>
        <v>90439.55</v>
      </c>
      <c r="AX1039" s="246">
        <f>IFERROR(VLOOKUP(H1039,VOL_REC[],2,FALSE),0)</f>
        <v>4325103.1812214684</v>
      </c>
      <c r="AY1039" s="246">
        <f>IFERROR(VLOOKUP(I1039,VOL_REC[],2,FALSE),0)</f>
        <v>15540036.397699751</v>
      </c>
      <c r="AZ1039" s="246">
        <f>IFERROR(VLOOKUP(J1039,VOL_REC[],2,FALSE),0)</f>
        <v>3761786</v>
      </c>
      <c r="BA1039" s="246">
        <f>IFERROR(VLOOKUP(K1039,VOL_REC[],2,FALSE),0)</f>
        <v>663244.80000000016</v>
      </c>
      <c r="BB1039" s="246">
        <f>IFERROR(VLOOKUP(L1039,VOL_REC[],2,FALSE),0)</f>
        <v>740113.98115702497</v>
      </c>
      <c r="BC1039" s="246">
        <f>IFERROR(VLOOKUP(M1039,VOL_REC[],2,FALSE),0)</f>
        <v>0</v>
      </c>
      <c r="BD1039" s="246">
        <f>IFERROR(VLOOKUP(N1039,VOL_REC[],2,FALSE),0)</f>
        <v>0</v>
      </c>
      <c r="BE1039" s="246">
        <f>IFERROR(VLOOKUP(O1039,VOL_REC[],2,FALSE),0)</f>
        <v>0</v>
      </c>
      <c r="BF1039" s="246">
        <f>IFERROR(VLOOKUP(P1039,VOL_REC[],2,FALSE),0)</f>
        <v>0</v>
      </c>
      <c r="BG1039" s="246">
        <f>IFERROR(VLOOKUP(Q1039,VOL_REC[],2,FALSE),0)</f>
        <v>0</v>
      </c>
      <c r="BH1039" s="1710">
        <f t="shared" si="64"/>
        <v>24014052686.788071</v>
      </c>
      <c r="BI1039" s="1710">
        <f t="shared" si="65"/>
        <v>25926942108.839405</v>
      </c>
      <c r="BJ1039" s="1711">
        <f t="shared" si="66"/>
        <v>36210398.110078245</v>
      </c>
      <c r="BK1039" s="1711">
        <f t="shared" si="67"/>
        <v>0.92622001414508648</v>
      </c>
    </row>
    <row r="1040" spans="3:67" x14ac:dyDescent="0.25">
      <c r="C1040" s="246" t="s">
        <v>2390</v>
      </c>
      <c r="D1040" s="246">
        <v>1</v>
      </c>
      <c r="E1040" s="246">
        <v>2</v>
      </c>
      <c r="F1040" s="246">
        <v>3</v>
      </c>
      <c r="G1040" s="246">
        <v>4</v>
      </c>
      <c r="H1040" s="246">
        <v>5</v>
      </c>
      <c r="I1040" s="246">
        <v>6</v>
      </c>
      <c r="J1040" s="246">
        <v>9</v>
      </c>
      <c r="K1040" s="246">
        <v>14</v>
      </c>
      <c r="L1040" s="246">
        <v>15</v>
      </c>
      <c r="M1040" s="246"/>
      <c r="N1040" s="246"/>
      <c r="O1040" s="246"/>
      <c r="P1040" s="246"/>
      <c r="Q1040" s="246"/>
      <c r="R1040" s="246">
        <f>IFERROR(VLOOKUP(D1040,PROGRAMAS[],2,FALSE),0)</f>
        <v>97037803.679377079</v>
      </c>
      <c r="S1040" s="246">
        <f>IFERROR(VLOOKUP(E1040,PROGRAMAS[],2,FALSE),0)</f>
        <v>640501509.6821388</v>
      </c>
      <c r="T1040" s="246">
        <f>IFERROR(VLOOKUP(F1040,PROGRAMAS[],2,FALSE),0)</f>
        <v>3062327798.1525245</v>
      </c>
      <c r="U1040" s="246">
        <f>IFERROR(VLOOKUP(G1040,PROGRAMAS[],2,FALSE),0)</f>
        <v>67697118.033011258</v>
      </c>
      <c r="V1040" s="246">
        <f>IFERROR(VLOOKUP(H1040,PROGRAMAS[],2,FALSE),0)</f>
        <v>1440941976.2528784</v>
      </c>
      <c r="W1040" s="246">
        <f>IFERROR(VLOOKUP(I1040,PROGRAMAS[],2,FALSE),0)</f>
        <v>6907648435.8447599</v>
      </c>
      <c r="X1040" s="246">
        <f>IFERROR(VLOOKUP(J1040,PROGRAMAS[],2,FALSE),0)</f>
        <v>6128579952.1618185</v>
      </c>
      <c r="Y1040" s="246">
        <f>IFERROR(VLOOKUP(K1040,PROGRAMAS[],2,FALSE),0)</f>
        <v>54223862.645839565</v>
      </c>
      <c r="Z1040" s="246">
        <f>IFERROR(VLOOKUP(L1040,PROGRAMAS[],2,FALSE),0)</f>
        <v>122159672.96346797</v>
      </c>
      <c r="AA1040" s="246">
        <f>IFERROR(VLOOKUP(M1040,PROGRAMAS[],2,FALSE),0)</f>
        <v>0</v>
      </c>
      <c r="AB1040" s="246">
        <f>IFERROR(VLOOKUP(N1040,PROGRAMAS[],2,FALSE),0)</f>
        <v>0</v>
      </c>
      <c r="AC1040" s="246">
        <f>IFERROR(VLOOKUP(O1040,PROGRAMAS[],2,FALSE),0)</f>
        <v>0</v>
      </c>
      <c r="AD1040" s="246">
        <f>IFERROR(VLOOKUP(P1040,PROGRAMAS[],2,FALSE),0)</f>
        <v>0</v>
      </c>
      <c r="AE1040" s="246">
        <f>IFERROR(VLOOKUP(Q1040,PROGRAMAS[],2,FALSE),0)</f>
        <v>0</v>
      </c>
      <c r="AF1040" s="246">
        <f>IFERROR(VLOOKUP(D1040,PROGRAMAS[],3,FALSE),0)</f>
        <v>841888629.31080008</v>
      </c>
      <c r="AG1040" s="246">
        <f>IFERROR(VLOOKUP(E1040,PROGRAMAS[],3,FALSE),0)</f>
        <v>3848980803.1642323</v>
      </c>
      <c r="AH1040" s="246">
        <f>IFERROR(VLOOKUP(F1040,PROGRAMAS[],3,FALSE),0)</f>
        <v>3394901471.387517</v>
      </c>
      <c r="AI1040" s="246">
        <f>IFERROR(VLOOKUP(G1040,PROGRAMAS[],3,FALSE),0)</f>
        <v>125317226.95549992</v>
      </c>
      <c r="AJ1040" s="246">
        <f>IFERROR(VLOOKUP(H1040,PROGRAMAS[],3,FALSE),0)</f>
        <v>1233505101.0616004</v>
      </c>
      <c r="AK1040" s="246">
        <f>IFERROR(VLOOKUP(I1040,PROGRAMAS[],3,FALSE),0)</f>
        <v>6129902208.7912121</v>
      </c>
      <c r="AL1040" s="246">
        <f>IFERROR(VLOOKUP(J1040,PROGRAMAS[],3,FALSE),0)</f>
        <v>7011279577.519702</v>
      </c>
      <c r="AM1040" s="246">
        <f>IFERROR(VLOOKUP(K1040,PROGRAMAS[],3,FALSE),0)</f>
        <v>31865326.38096505</v>
      </c>
      <c r="AN1040" s="246">
        <f>IFERROR(VLOOKUP(L1040,PROGRAMAS[],3,FALSE),0)</f>
        <v>118617452.52510804</v>
      </c>
      <c r="AO1040" s="246">
        <f>IFERROR(VLOOKUP(M1040,PROGRAMAS[],3,FALSE),0)</f>
        <v>0</v>
      </c>
      <c r="AP1040" s="246">
        <f>IFERROR(VLOOKUP(N1040,PROGRAMAS[],3,FALSE),0)</f>
        <v>0</v>
      </c>
      <c r="AQ1040" s="246">
        <f>IFERROR(VLOOKUP(O1040,PROGRAMAS[],3,FALSE),0)</f>
        <v>0</v>
      </c>
      <c r="AR1040" s="246">
        <f>IFERROR(VLOOKUP(P1040,PROGRAMAS[],3,FALSE),0)</f>
        <v>0</v>
      </c>
      <c r="AS1040" s="246">
        <f>IFERROR(VLOOKUP(Q1040,PROGRAMAS[],3,FALSE),0)</f>
        <v>0</v>
      </c>
      <c r="AT1040" s="246">
        <f>IFERROR(VLOOKUP(D1040,VOL_REC[],2,FALSE),0)</f>
        <v>0</v>
      </c>
      <c r="AU1040" s="246">
        <f>IFERROR(VLOOKUP(E1040,VOL_REC[],2,FALSE),0)</f>
        <v>0</v>
      </c>
      <c r="AV1040" s="246">
        <f>IFERROR(VLOOKUP(F1040,VOL_REC[],2,FALSE),0)</f>
        <v>11089674.200000001</v>
      </c>
      <c r="AW1040" s="246">
        <f>IFERROR(VLOOKUP(G1040,VOL_REC[],2,FALSE),0)</f>
        <v>90439.55</v>
      </c>
      <c r="AX1040" s="246">
        <f>IFERROR(VLOOKUP(H1040,VOL_REC[],2,FALSE),0)</f>
        <v>4325103.1812214684</v>
      </c>
      <c r="AY1040" s="246">
        <f>IFERROR(VLOOKUP(I1040,VOL_REC[],2,FALSE),0)</f>
        <v>15540036.397699751</v>
      </c>
      <c r="AZ1040" s="246">
        <f>IFERROR(VLOOKUP(J1040,VOL_REC[],2,FALSE),0)</f>
        <v>3761786</v>
      </c>
      <c r="BA1040" s="246">
        <f>IFERROR(VLOOKUP(K1040,VOL_REC[],2,FALSE),0)</f>
        <v>17074.045034105649</v>
      </c>
      <c r="BB1040" s="246">
        <f>IFERROR(VLOOKUP(L1040,VOL_REC[],2,FALSE),0)</f>
        <v>105072</v>
      </c>
      <c r="BC1040" s="246">
        <f>IFERROR(VLOOKUP(M1040,VOL_REC[],2,FALSE),0)</f>
        <v>0</v>
      </c>
      <c r="BD1040" s="246">
        <f>IFERROR(VLOOKUP(N1040,VOL_REC[],2,FALSE),0)</f>
        <v>0</v>
      </c>
      <c r="BE1040" s="246">
        <f>IFERROR(VLOOKUP(O1040,VOL_REC[],2,FALSE),0)</f>
        <v>0</v>
      </c>
      <c r="BF1040" s="246">
        <f>IFERROR(VLOOKUP(P1040,VOL_REC[],2,FALSE),0)</f>
        <v>0</v>
      </c>
      <c r="BG1040" s="246">
        <f>IFERROR(VLOOKUP(Q1040,VOL_REC[],2,FALSE),0)</f>
        <v>0</v>
      </c>
      <c r="BH1040" s="1710">
        <f t="shared" si="64"/>
        <v>18521118129.415817</v>
      </c>
      <c r="BI1040" s="1710">
        <f t="shared" si="65"/>
        <v>22736257797.096638</v>
      </c>
      <c r="BJ1040" s="1711">
        <f t="shared" si="66"/>
        <v>34929185.373955324</v>
      </c>
      <c r="BK1040" s="1711">
        <f t="shared" si="67"/>
        <v>0.81460714840156845</v>
      </c>
    </row>
    <row r="1041" spans="3:67" x14ac:dyDescent="0.25">
      <c r="C1041" s="246" t="s">
        <v>2391</v>
      </c>
      <c r="D1041" s="246">
        <v>1</v>
      </c>
      <c r="E1041" s="246">
        <v>2</v>
      </c>
      <c r="F1041" s="246">
        <v>3</v>
      </c>
      <c r="G1041" s="246">
        <v>4</v>
      </c>
      <c r="H1041" s="246">
        <v>5</v>
      </c>
      <c r="I1041" s="246">
        <v>6</v>
      </c>
      <c r="J1041" s="246">
        <v>9</v>
      </c>
      <c r="K1041" s="246">
        <v>14</v>
      </c>
      <c r="L1041" s="246">
        <v>16</v>
      </c>
      <c r="M1041" s="246"/>
      <c r="N1041" s="246"/>
      <c r="O1041" s="246"/>
      <c r="P1041" s="246"/>
      <c r="Q1041" s="246"/>
      <c r="R1041" s="246">
        <f>IFERROR(VLOOKUP(D1041,PROGRAMAS[],2,FALSE),0)</f>
        <v>97037803.679377079</v>
      </c>
      <c r="S1041" s="246">
        <f>IFERROR(VLOOKUP(E1041,PROGRAMAS[],2,FALSE),0)</f>
        <v>640501509.6821388</v>
      </c>
      <c r="T1041" s="246">
        <f>IFERROR(VLOOKUP(F1041,PROGRAMAS[],2,FALSE),0)</f>
        <v>3062327798.1525245</v>
      </c>
      <c r="U1041" s="246">
        <f>IFERROR(VLOOKUP(G1041,PROGRAMAS[],2,FALSE),0)</f>
        <v>67697118.033011258</v>
      </c>
      <c r="V1041" s="246">
        <f>IFERROR(VLOOKUP(H1041,PROGRAMAS[],2,FALSE),0)</f>
        <v>1440941976.2528784</v>
      </c>
      <c r="W1041" s="246">
        <f>IFERROR(VLOOKUP(I1041,PROGRAMAS[],2,FALSE),0)</f>
        <v>6907648435.8447599</v>
      </c>
      <c r="X1041" s="246">
        <f>IFERROR(VLOOKUP(J1041,PROGRAMAS[],2,FALSE),0)</f>
        <v>6128579952.1618185</v>
      </c>
      <c r="Y1041" s="246">
        <f>IFERROR(VLOOKUP(K1041,PROGRAMAS[],2,FALSE),0)</f>
        <v>54223862.645839565</v>
      </c>
      <c r="Z1041" s="246">
        <f>IFERROR(VLOOKUP(L1041,PROGRAMAS[],2,FALSE),0)</f>
        <v>7068496961.0436354</v>
      </c>
      <c r="AA1041" s="246">
        <f>IFERROR(VLOOKUP(M1041,PROGRAMAS[],2,FALSE),0)</f>
        <v>0</v>
      </c>
      <c r="AB1041" s="246">
        <f>IFERROR(VLOOKUP(N1041,PROGRAMAS[],2,FALSE),0)</f>
        <v>0</v>
      </c>
      <c r="AC1041" s="246">
        <f>IFERROR(VLOOKUP(O1041,PROGRAMAS[],2,FALSE),0)</f>
        <v>0</v>
      </c>
      <c r="AD1041" s="246">
        <f>IFERROR(VLOOKUP(P1041,PROGRAMAS[],2,FALSE),0)</f>
        <v>0</v>
      </c>
      <c r="AE1041" s="246">
        <f>IFERROR(VLOOKUP(Q1041,PROGRAMAS[],2,FALSE),0)</f>
        <v>0</v>
      </c>
      <c r="AF1041" s="246">
        <f>IFERROR(VLOOKUP(D1041,PROGRAMAS[],3,FALSE),0)</f>
        <v>841888629.31080008</v>
      </c>
      <c r="AG1041" s="246">
        <f>IFERROR(VLOOKUP(E1041,PROGRAMAS[],3,FALSE),0)</f>
        <v>3848980803.1642323</v>
      </c>
      <c r="AH1041" s="246">
        <f>IFERROR(VLOOKUP(F1041,PROGRAMAS[],3,FALSE),0)</f>
        <v>3394901471.387517</v>
      </c>
      <c r="AI1041" s="246">
        <f>IFERROR(VLOOKUP(G1041,PROGRAMAS[],3,FALSE),0)</f>
        <v>125317226.95549992</v>
      </c>
      <c r="AJ1041" s="246">
        <f>IFERROR(VLOOKUP(H1041,PROGRAMAS[],3,FALSE),0)</f>
        <v>1233505101.0616004</v>
      </c>
      <c r="AK1041" s="246">
        <f>IFERROR(VLOOKUP(I1041,PROGRAMAS[],3,FALSE),0)</f>
        <v>6129902208.7912121</v>
      </c>
      <c r="AL1041" s="246">
        <f>IFERROR(VLOOKUP(J1041,PROGRAMAS[],3,FALSE),0)</f>
        <v>7011279577.519702</v>
      </c>
      <c r="AM1041" s="246">
        <f>IFERROR(VLOOKUP(K1041,PROGRAMAS[],3,FALSE),0)</f>
        <v>31865326.38096505</v>
      </c>
      <c r="AN1041" s="246">
        <f>IFERROR(VLOOKUP(L1041,PROGRAMAS[],3,FALSE),0)</f>
        <v>2406564599.0319901</v>
      </c>
      <c r="AO1041" s="246">
        <f>IFERROR(VLOOKUP(M1041,PROGRAMAS[],3,FALSE),0)</f>
        <v>0</v>
      </c>
      <c r="AP1041" s="246">
        <f>IFERROR(VLOOKUP(N1041,PROGRAMAS[],3,FALSE),0)</f>
        <v>0</v>
      </c>
      <c r="AQ1041" s="246">
        <f>IFERROR(VLOOKUP(O1041,PROGRAMAS[],3,FALSE),0)</f>
        <v>0</v>
      </c>
      <c r="AR1041" s="246">
        <f>IFERROR(VLOOKUP(P1041,PROGRAMAS[],3,FALSE),0)</f>
        <v>0</v>
      </c>
      <c r="AS1041" s="246">
        <f>IFERROR(VLOOKUP(Q1041,PROGRAMAS[],3,FALSE),0)</f>
        <v>0</v>
      </c>
      <c r="AT1041" s="246">
        <f>IFERROR(VLOOKUP(D1041,VOL_REC[],2,FALSE),0)</f>
        <v>0</v>
      </c>
      <c r="AU1041" s="246">
        <f>IFERROR(VLOOKUP(E1041,VOL_REC[],2,FALSE),0)</f>
        <v>0</v>
      </c>
      <c r="AV1041" s="246">
        <f>IFERROR(VLOOKUP(F1041,VOL_REC[],2,FALSE),0)</f>
        <v>11089674.200000001</v>
      </c>
      <c r="AW1041" s="246">
        <f>IFERROR(VLOOKUP(G1041,VOL_REC[],2,FALSE),0)</f>
        <v>90439.55</v>
      </c>
      <c r="AX1041" s="246">
        <f>IFERROR(VLOOKUP(H1041,VOL_REC[],2,FALSE),0)</f>
        <v>4325103.1812214684</v>
      </c>
      <c r="AY1041" s="246">
        <f>IFERROR(VLOOKUP(I1041,VOL_REC[],2,FALSE),0)</f>
        <v>15540036.397699751</v>
      </c>
      <c r="AZ1041" s="246">
        <f>IFERROR(VLOOKUP(J1041,VOL_REC[],2,FALSE),0)</f>
        <v>3761786</v>
      </c>
      <c r="BA1041" s="246">
        <f>IFERROR(VLOOKUP(K1041,VOL_REC[],2,FALSE),0)</f>
        <v>17074.045034105649</v>
      </c>
      <c r="BB1041" s="246">
        <f>IFERROR(VLOOKUP(L1041,VOL_REC[],2,FALSE),0)</f>
        <v>1072354.9981737854</v>
      </c>
      <c r="BC1041" s="246">
        <f>IFERROR(VLOOKUP(M1041,VOL_REC[],2,FALSE),0)</f>
        <v>0</v>
      </c>
      <c r="BD1041" s="246">
        <f>IFERROR(VLOOKUP(N1041,VOL_REC[],2,FALSE),0)</f>
        <v>0</v>
      </c>
      <c r="BE1041" s="246">
        <f>IFERROR(VLOOKUP(O1041,VOL_REC[],2,FALSE),0)</f>
        <v>0</v>
      </c>
      <c r="BF1041" s="246">
        <f>IFERROR(VLOOKUP(P1041,VOL_REC[],2,FALSE),0)</f>
        <v>0</v>
      </c>
      <c r="BG1041" s="246">
        <f>IFERROR(VLOOKUP(Q1041,VOL_REC[],2,FALSE),0)</f>
        <v>0</v>
      </c>
      <c r="BH1041" s="1710">
        <f t="shared" si="64"/>
        <v>25467455417.495987</v>
      </c>
      <c r="BI1041" s="1710">
        <f t="shared" si="65"/>
        <v>25024204943.603519</v>
      </c>
      <c r="BJ1041" s="1711">
        <f t="shared" si="66"/>
        <v>35896468.372129112</v>
      </c>
      <c r="BK1041" s="1711">
        <f t="shared" si="67"/>
        <v>1.0177128693955078</v>
      </c>
      <c r="BL1041">
        <f>BJ1041</f>
        <v>35896468.372129112</v>
      </c>
      <c r="BO1041">
        <f>BL1041</f>
        <v>35896468.372129112</v>
      </c>
    </row>
    <row r="1042" spans="3:67" x14ac:dyDescent="0.25">
      <c r="C1042" s="246" t="s">
        <v>2392</v>
      </c>
      <c r="D1042" s="246">
        <v>1</v>
      </c>
      <c r="E1042" s="246">
        <v>2</v>
      </c>
      <c r="F1042" s="246">
        <v>3</v>
      </c>
      <c r="G1042" s="246">
        <v>4</v>
      </c>
      <c r="H1042" s="246">
        <v>5</v>
      </c>
      <c r="I1042" s="246">
        <v>6</v>
      </c>
      <c r="J1042" s="246">
        <v>9</v>
      </c>
      <c r="K1042" s="246">
        <v>14</v>
      </c>
      <c r="L1042" s="246">
        <v>17</v>
      </c>
      <c r="M1042" s="246"/>
      <c r="N1042" s="246"/>
      <c r="O1042" s="246"/>
      <c r="P1042" s="246"/>
      <c r="Q1042" s="246"/>
      <c r="R1042" s="246">
        <f>IFERROR(VLOOKUP(D1042,PROGRAMAS[],2,FALSE),0)</f>
        <v>97037803.679377079</v>
      </c>
      <c r="S1042" s="246">
        <f>IFERROR(VLOOKUP(E1042,PROGRAMAS[],2,FALSE),0)</f>
        <v>640501509.6821388</v>
      </c>
      <c r="T1042" s="246">
        <f>IFERROR(VLOOKUP(F1042,PROGRAMAS[],2,FALSE),0)</f>
        <v>3062327798.1525245</v>
      </c>
      <c r="U1042" s="246">
        <f>IFERROR(VLOOKUP(G1042,PROGRAMAS[],2,FALSE),0)</f>
        <v>67697118.033011258</v>
      </c>
      <c r="V1042" s="246">
        <f>IFERROR(VLOOKUP(H1042,PROGRAMAS[],2,FALSE),0)</f>
        <v>1440941976.2528784</v>
      </c>
      <c r="W1042" s="246">
        <f>IFERROR(VLOOKUP(I1042,PROGRAMAS[],2,FALSE),0)</f>
        <v>6907648435.8447599</v>
      </c>
      <c r="X1042" s="246">
        <f>IFERROR(VLOOKUP(J1042,PROGRAMAS[],2,FALSE),0)</f>
        <v>6128579952.1618185</v>
      </c>
      <c r="Y1042" s="246">
        <f>IFERROR(VLOOKUP(K1042,PROGRAMAS[],2,FALSE),0)</f>
        <v>54223862.645839565</v>
      </c>
      <c r="Z1042" s="246">
        <f>IFERROR(VLOOKUP(L1042,PROGRAMAS[],2,FALSE),0)</f>
        <v>1892779498.5211046</v>
      </c>
      <c r="AA1042" s="246">
        <f>IFERROR(VLOOKUP(M1042,PROGRAMAS[],2,FALSE),0)</f>
        <v>0</v>
      </c>
      <c r="AB1042" s="246">
        <f>IFERROR(VLOOKUP(N1042,PROGRAMAS[],2,FALSE),0)</f>
        <v>0</v>
      </c>
      <c r="AC1042" s="246">
        <f>IFERROR(VLOOKUP(O1042,PROGRAMAS[],2,FALSE),0)</f>
        <v>0</v>
      </c>
      <c r="AD1042" s="246">
        <f>IFERROR(VLOOKUP(P1042,PROGRAMAS[],2,FALSE),0)</f>
        <v>0</v>
      </c>
      <c r="AE1042" s="246">
        <f>IFERROR(VLOOKUP(Q1042,PROGRAMAS[],2,FALSE),0)</f>
        <v>0</v>
      </c>
      <c r="AF1042" s="246">
        <f>IFERROR(VLOOKUP(D1042,PROGRAMAS[],3,FALSE),0)</f>
        <v>841888629.31080008</v>
      </c>
      <c r="AG1042" s="246">
        <f>IFERROR(VLOOKUP(E1042,PROGRAMAS[],3,FALSE),0)</f>
        <v>3848980803.1642323</v>
      </c>
      <c r="AH1042" s="246">
        <f>IFERROR(VLOOKUP(F1042,PROGRAMAS[],3,FALSE),0)</f>
        <v>3394901471.387517</v>
      </c>
      <c r="AI1042" s="246">
        <f>IFERROR(VLOOKUP(G1042,PROGRAMAS[],3,FALSE),0)</f>
        <v>125317226.95549992</v>
      </c>
      <c r="AJ1042" s="246">
        <f>IFERROR(VLOOKUP(H1042,PROGRAMAS[],3,FALSE),0)</f>
        <v>1233505101.0616004</v>
      </c>
      <c r="AK1042" s="246">
        <f>IFERROR(VLOOKUP(I1042,PROGRAMAS[],3,FALSE),0)</f>
        <v>6129902208.7912121</v>
      </c>
      <c r="AL1042" s="246">
        <f>IFERROR(VLOOKUP(J1042,PROGRAMAS[],3,FALSE),0)</f>
        <v>7011279577.519702</v>
      </c>
      <c r="AM1042" s="246">
        <f>IFERROR(VLOOKUP(K1042,PROGRAMAS[],3,FALSE),0)</f>
        <v>31865326.38096505</v>
      </c>
      <c r="AN1042" s="246">
        <f>IFERROR(VLOOKUP(L1042,PROGRAMAS[],3,FALSE),0)</f>
        <v>948595847.09039903</v>
      </c>
      <c r="AO1042" s="246">
        <f>IFERROR(VLOOKUP(M1042,PROGRAMAS[],3,FALSE),0)</f>
        <v>0</v>
      </c>
      <c r="AP1042" s="246">
        <f>IFERROR(VLOOKUP(N1042,PROGRAMAS[],3,FALSE),0)</f>
        <v>0</v>
      </c>
      <c r="AQ1042" s="246">
        <f>IFERROR(VLOOKUP(O1042,PROGRAMAS[],3,FALSE),0)</f>
        <v>0</v>
      </c>
      <c r="AR1042" s="246">
        <f>IFERROR(VLOOKUP(P1042,PROGRAMAS[],3,FALSE),0)</f>
        <v>0</v>
      </c>
      <c r="AS1042" s="246">
        <f>IFERROR(VLOOKUP(Q1042,PROGRAMAS[],3,FALSE),0)</f>
        <v>0</v>
      </c>
      <c r="AT1042" s="246">
        <f>IFERROR(VLOOKUP(D1042,VOL_REC[],2,FALSE),0)</f>
        <v>0</v>
      </c>
      <c r="AU1042" s="246">
        <f>IFERROR(VLOOKUP(E1042,VOL_REC[],2,FALSE),0)</f>
        <v>0</v>
      </c>
      <c r="AV1042" s="246">
        <f>IFERROR(VLOOKUP(F1042,VOL_REC[],2,FALSE),0)</f>
        <v>11089674.200000001</v>
      </c>
      <c r="AW1042" s="246">
        <f>IFERROR(VLOOKUP(G1042,VOL_REC[],2,FALSE),0)</f>
        <v>90439.55</v>
      </c>
      <c r="AX1042" s="246">
        <f>IFERROR(VLOOKUP(H1042,VOL_REC[],2,FALSE),0)</f>
        <v>4325103.1812214684</v>
      </c>
      <c r="AY1042" s="246">
        <f>IFERROR(VLOOKUP(I1042,VOL_REC[],2,FALSE),0)</f>
        <v>15540036.397699751</v>
      </c>
      <c r="AZ1042" s="246">
        <f>IFERROR(VLOOKUP(J1042,VOL_REC[],2,FALSE),0)</f>
        <v>3761786</v>
      </c>
      <c r="BA1042" s="246">
        <f>IFERROR(VLOOKUP(K1042,VOL_REC[],2,FALSE),0)</f>
        <v>17074.045034105649</v>
      </c>
      <c r="BB1042" s="246">
        <f>IFERROR(VLOOKUP(L1042,VOL_REC[],2,FALSE),0)</f>
        <v>740113.98115702497</v>
      </c>
      <c r="BC1042" s="246">
        <f>IFERROR(VLOOKUP(M1042,VOL_REC[],2,FALSE),0)</f>
        <v>0</v>
      </c>
      <c r="BD1042" s="246">
        <f>IFERROR(VLOOKUP(N1042,VOL_REC[],2,FALSE),0)</f>
        <v>0</v>
      </c>
      <c r="BE1042" s="246">
        <f>IFERROR(VLOOKUP(O1042,VOL_REC[],2,FALSE),0)</f>
        <v>0</v>
      </c>
      <c r="BF1042" s="246">
        <f>IFERROR(VLOOKUP(P1042,VOL_REC[],2,FALSE),0)</f>
        <v>0</v>
      </c>
      <c r="BG1042" s="246">
        <f>IFERROR(VLOOKUP(Q1042,VOL_REC[],2,FALSE),0)</f>
        <v>0</v>
      </c>
      <c r="BH1042" s="1710">
        <f t="shared" si="64"/>
        <v>20291737954.973454</v>
      </c>
      <c r="BI1042" s="1710">
        <f t="shared" si="65"/>
        <v>23566236191.66193</v>
      </c>
      <c r="BJ1042" s="1711">
        <f t="shared" si="66"/>
        <v>35564227.355112351</v>
      </c>
      <c r="BK1042" s="1711">
        <f t="shared" si="67"/>
        <v>0.86105128498003258</v>
      </c>
    </row>
    <row r="1043" spans="3:67" x14ac:dyDescent="0.25">
      <c r="C1043" s="246" t="s">
        <v>2393</v>
      </c>
      <c r="D1043" s="246">
        <v>1</v>
      </c>
      <c r="E1043" s="246">
        <v>2</v>
      </c>
      <c r="F1043" s="246">
        <v>3</v>
      </c>
      <c r="G1043" s="246">
        <v>4</v>
      </c>
      <c r="H1043" s="246">
        <v>5</v>
      </c>
      <c r="I1043" s="246">
        <v>6</v>
      </c>
      <c r="J1043" s="246">
        <v>9</v>
      </c>
      <c r="K1043" s="246">
        <v>15</v>
      </c>
      <c r="L1043" s="246">
        <v>16</v>
      </c>
      <c r="M1043" s="246"/>
      <c r="N1043" s="246"/>
      <c r="O1043" s="246"/>
      <c r="P1043" s="246"/>
      <c r="Q1043" s="246"/>
      <c r="R1043" s="246">
        <f>IFERROR(VLOOKUP(D1043,PROGRAMAS[],2,FALSE),0)</f>
        <v>97037803.679377079</v>
      </c>
      <c r="S1043" s="246">
        <f>IFERROR(VLOOKUP(E1043,PROGRAMAS[],2,FALSE),0)</f>
        <v>640501509.6821388</v>
      </c>
      <c r="T1043" s="246">
        <f>IFERROR(VLOOKUP(F1043,PROGRAMAS[],2,FALSE),0)</f>
        <v>3062327798.1525245</v>
      </c>
      <c r="U1043" s="246">
        <f>IFERROR(VLOOKUP(G1043,PROGRAMAS[],2,FALSE),0)</f>
        <v>67697118.033011258</v>
      </c>
      <c r="V1043" s="246">
        <f>IFERROR(VLOOKUP(H1043,PROGRAMAS[],2,FALSE),0)</f>
        <v>1440941976.2528784</v>
      </c>
      <c r="W1043" s="246">
        <f>IFERROR(VLOOKUP(I1043,PROGRAMAS[],2,FALSE),0)</f>
        <v>6907648435.8447599</v>
      </c>
      <c r="X1043" s="246">
        <f>IFERROR(VLOOKUP(J1043,PROGRAMAS[],2,FALSE),0)</f>
        <v>6128579952.1618185</v>
      </c>
      <c r="Y1043" s="246">
        <f>IFERROR(VLOOKUP(K1043,PROGRAMAS[],2,FALSE),0)</f>
        <v>122159672.96346797</v>
      </c>
      <c r="Z1043" s="246">
        <f>IFERROR(VLOOKUP(L1043,PROGRAMAS[],2,FALSE),0)</f>
        <v>7068496961.0436354</v>
      </c>
      <c r="AA1043" s="246">
        <f>IFERROR(VLOOKUP(M1043,PROGRAMAS[],2,FALSE),0)</f>
        <v>0</v>
      </c>
      <c r="AB1043" s="246">
        <f>IFERROR(VLOOKUP(N1043,PROGRAMAS[],2,FALSE),0)</f>
        <v>0</v>
      </c>
      <c r="AC1043" s="246">
        <f>IFERROR(VLOOKUP(O1043,PROGRAMAS[],2,FALSE),0)</f>
        <v>0</v>
      </c>
      <c r="AD1043" s="246">
        <f>IFERROR(VLOOKUP(P1043,PROGRAMAS[],2,FALSE),0)</f>
        <v>0</v>
      </c>
      <c r="AE1043" s="246">
        <f>IFERROR(VLOOKUP(Q1043,PROGRAMAS[],2,FALSE),0)</f>
        <v>0</v>
      </c>
      <c r="AF1043" s="246">
        <f>IFERROR(VLOOKUP(D1043,PROGRAMAS[],3,FALSE),0)</f>
        <v>841888629.31080008</v>
      </c>
      <c r="AG1043" s="246">
        <f>IFERROR(VLOOKUP(E1043,PROGRAMAS[],3,FALSE),0)</f>
        <v>3848980803.1642323</v>
      </c>
      <c r="AH1043" s="246">
        <f>IFERROR(VLOOKUP(F1043,PROGRAMAS[],3,FALSE),0)</f>
        <v>3394901471.387517</v>
      </c>
      <c r="AI1043" s="246">
        <f>IFERROR(VLOOKUP(G1043,PROGRAMAS[],3,FALSE),0)</f>
        <v>125317226.95549992</v>
      </c>
      <c r="AJ1043" s="246">
        <f>IFERROR(VLOOKUP(H1043,PROGRAMAS[],3,FALSE),0)</f>
        <v>1233505101.0616004</v>
      </c>
      <c r="AK1043" s="246">
        <f>IFERROR(VLOOKUP(I1043,PROGRAMAS[],3,FALSE),0)</f>
        <v>6129902208.7912121</v>
      </c>
      <c r="AL1043" s="246">
        <f>IFERROR(VLOOKUP(J1043,PROGRAMAS[],3,FALSE),0)</f>
        <v>7011279577.519702</v>
      </c>
      <c r="AM1043" s="246">
        <f>IFERROR(VLOOKUP(K1043,PROGRAMAS[],3,FALSE),0)</f>
        <v>118617452.52510804</v>
      </c>
      <c r="AN1043" s="246">
        <f>IFERROR(VLOOKUP(L1043,PROGRAMAS[],3,FALSE),0)</f>
        <v>2406564599.0319901</v>
      </c>
      <c r="AO1043" s="246">
        <f>IFERROR(VLOOKUP(M1043,PROGRAMAS[],3,FALSE),0)</f>
        <v>0</v>
      </c>
      <c r="AP1043" s="246">
        <f>IFERROR(VLOOKUP(N1043,PROGRAMAS[],3,FALSE),0)</f>
        <v>0</v>
      </c>
      <c r="AQ1043" s="246">
        <f>IFERROR(VLOOKUP(O1043,PROGRAMAS[],3,FALSE),0)</f>
        <v>0</v>
      </c>
      <c r="AR1043" s="246">
        <f>IFERROR(VLOOKUP(P1043,PROGRAMAS[],3,FALSE),0)</f>
        <v>0</v>
      </c>
      <c r="AS1043" s="246">
        <f>IFERROR(VLOOKUP(Q1043,PROGRAMAS[],3,FALSE),0)</f>
        <v>0</v>
      </c>
      <c r="AT1043" s="246">
        <f>IFERROR(VLOOKUP(D1043,VOL_REC[],2,FALSE),0)</f>
        <v>0</v>
      </c>
      <c r="AU1043" s="246">
        <f>IFERROR(VLOOKUP(E1043,VOL_REC[],2,FALSE),0)</f>
        <v>0</v>
      </c>
      <c r="AV1043" s="246">
        <f>IFERROR(VLOOKUP(F1043,VOL_REC[],2,FALSE),0)</f>
        <v>11089674.200000001</v>
      </c>
      <c r="AW1043" s="246">
        <f>IFERROR(VLOOKUP(G1043,VOL_REC[],2,FALSE),0)</f>
        <v>90439.55</v>
      </c>
      <c r="AX1043" s="246">
        <f>IFERROR(VLOOKUP(H1043,VOL_REC[],2,FALSE),0)</f>
        <v>4325103.1812214684</v>
      </c>
      <c r="AY1043" s="246">
        <f>IFERROR(VLOOKUP(I1043,VOL_REC[],2,FALSE),0)</f>
        <v>15540036.397699751</v>
      </c>
      <c r="AZ1043" s="246">
        <f>IFERROR(VLOOKUP(J1043,VOL_REC[],2,FALSE),0)</f>
        <v>3761786</v>
      </c>
      <c r="BA1043" s="246">
        <f>IFERROR(VLOOKUP(K1043,VOL_REC[],2,FALSE),0)</f>
        <v>105072</v>
      </c>
      <c r="BB1043" s="246">
        <f>IFERROR(VLOOKUP(L1043,VOL_REC[],2,FALSE),0)</f>
        <v>1072354.9981737854</v>
      </c>
      <c r="BC1043" s="246">
        <f>IFERROR(VLOOKUP(M1043,VOL_REC[],2,FALSE),0)</f>
        <v>0</v>
      </c>
      <c r="BD1043" s="246">
        <f>IFERROR(VLOOKUP(N1043,VOL_REC[],2,FALSE),0)</f>
        <v>0</v>
      </c>
      <c r="BE1043" s="246">
        <f>IFERROR(VLOOKUP(O1043,VOL_REC[],2,FALSE),0)</f>
        <v>0</v>
      </c>
      <c r="BF1043" s="246">
        <f>IFERROR(VLOOKUP(P1043,VOL_REC[],2,FALSE),0)</f>
        <v>0</v>
      </c>
      <c r="BG1043" s="246">
        <f>IFERROR(VLOOKUP(Q1043,VOL_REC[],2,FALSE),0)</f>
        <v>0</v>
      </c>
      <c r="BH1043" s="1710">
        <f t="shared" si="64"/>
        <v>25535391227.813614</v>
      </c>
      <c r="BI1043" s="1710">
        <f t="shared" si="65"/>
        <v>25110957069.747662</v>
      </c>
      <c r="BJ1043" s="1711">
        <f t="shared" si="66"/>
        <v>35984466.327095009</v>
      </c>
      <c r="BK1043" s="1711">
        <f t="shared" si="67"/>
        <v>1.0169023489183249</v>
      </c>
      <c r="BL1043">
        <f>BJ1043</f>
        <v>35984466.327095009</v>
      </c>
      <c r="BO1043">
        <f>BL1043</f>
        <v>35984466.327095009</v>
      </c>
    </row>
    <row r="1044" spans="3:67" x14ac:dyDescent="0.25">
      <c r="C1044" s="246" t="s">
        <v>2394</v>
      </c>
      <c r="D1044" s="246">
        <v>1</v>
      </c>
      <c r="E1044" s="246">
        <v>2</v>
      </c>
      <c r="F1044" s="246">
        <v>3</v>
      </c>
      <c r="G1044" s="246">
        <v>4</v>
      </c>
      <c r="H1044" s="246">
        <v>5</v>
      </c>
      <c r="I1044" s="246">
        <v>6</v>
      </c>
      <c r="J1044" s="246">
        <v>9</v>
      </c>
      <c r="K1044" s="246">
        <v>15</v>
      </c>
      <c r="L1044" s="246">
        <v>17</v>
      </c>
      <c r="M1044" s="246"/>
      <c r="N1044" s="246"/>
      <c r="O1044" s="246"/>
      <c r="P1044" s="246"/>
      <c r="Q1044" s="246"/>
      <c r="R1044" s="246">
        <f>IFERROR(VLOOKUP(D1044,PROGRAMAS[],2,FALSE),0)</f>
        <v>97037803.679377079</v>
      </c>
      <c r="S1044" s="246">
        <f>IFERROR(VLOOKUP(E1044,PROGRAMAS[],2,FALSE),0)</f>
        <v>640501509.6821388</v>
      </c>
      <c r="T1044" s="246">
        <f>IFERROR(VLOOKUP(F1044,PROGRAMAS[],2,FALSE),0)</f>
        <v>3062327798.1525245</v>
      </c>
      <c r="U1044" s="246">
        <f>IFERROR(VLOOKUP(G1044,PROGRAMAS[],2,FALSE),0)</f>
        <v>67697118.033011258</v>
      </c>
      <c r="V1044" s="246">
        <f>IFERROR(VLOOKUP(H1044,PROGRAMAS[],2,FALSE),0)</f>
        <v>1440941976.2528784</v>
      </c>
      <c r="W1044" s="246">
        <f>IFERROR(VLOOKUP(I1044,PROGRAMAS[],2,FALSE),0)</f>
        <v>6907648435.8447599</v>
      </c>
      <c r="X1044" s="246">
        <f>IFERROR(VLOOKUP(J1044,PROGRAMAS[],2,FALSE),0)</f>
        <v>6128579952.1618185</v>
      </c>
      <c r="Y1044" s="246">
        <f>IFERROR(VLOOKUP(K1044,PROGRAMAS[],2,FALSE),0)</f>
        <v>122159672.96346797</v>
      </c>
      <c r="Z1044" s="246">
        <f>IFERROR(VLOOKUP(L1044,PROGRAMAS[],2,FALSE),0)</f>
        <v>1892779498.5211046</v>
      </c>
      <c r="AA1044" s="246">
        <f>IFERROR(VLOOKUP(M1044,PROGRAMAS[],2,FALSE),0)</f>
        <v>0</v>
      </c>
      <c r="AB1044" s="246">
        <f>IFERROR(VLOOKUP(N1044,PROGRAMAS[],2,FALSE),0)</f>
        <v>0</v>
      </c>
      <c r="AC1044" s="246">
        <f>IFERROR(VLOOKUP(O1044,PROGRAMAS[],2,FALSE),0)</f>
        <v>0</v>
      </c>
      <c r="AD1044" s="246">
        <f>IFERROR(VLOOKUP(P1044,PROGRAMAS[],2,FALSE),0)</f>
        <v>0</v>
      </c>
      <c r="AE1044" s="246">
        <f>IFERROR(VLOOKUP(Q1044,PROGRAMAS[],2,FALSE),0)</f>
        <v>0</v>
      </c>
      <c r="AF1044" s="246">
        <f>IFERROR(VLOOKUP(D1044,PROGRAMAS[],3,FALSE),0)</f>
        <v>841888629.31080008</v>
      </c>
      <c r="AG1044" s="246">
        <f>IFERROR(VLOOKUP(E1044,PROGRAMAS[],3,FALSE),0)</f>
        <v>3848980803.1642323</v>
      </c>
      <c r="AH1044" s="246">
        <f>IFERROR(VLOOKUP(F1044,PROGRAMAS[],3,FALSE),0)</f>
        <v>3394901471.387517</v>
      </c>
      <c r="AI1044" s="246">
        <f>IFERROR(VLOOKUP(G1044,PROGRAMAS[],3,FALSE),0)</f>
        <v>125317226.95549992</v>
      </c>
      <c r="AJ1044" s="246">
        <f>IFERROR(VLOOKUP(H1044,PROGRAMAS[],3,FALSE),0)</f>
        <v>1233505101.0616004</v>
      </c>
      <c r="AK1044" s="246">
        <f>IFERROR(VLOOKUP(I1044,PROGRAMAS[],3,FALSE),0)</f>
        <v>6129902208.7912121</v>
      </c>
      <c r="AL1044" s="246">
        <f>IFERROR(VLOOKUP(J1044,PROGRAMAS[],3,FALSE),0)</f>
        <v>7011279577.519702</v>
      </c>
      <c r="AM1044" s="246">
        <f>IFERROR(VLOOKUP(K1044,PROGRAMAS[],3,FALSE),0)</f>
        <v>118617452.52510804</v>
      </c>
      <c r="AN1044" s="246">
        <f>IFERROR(VLOOKUP(L1044,PROGRAMAS[],3,FALSE),0)</f>
        <v>948595847.09039903</v>
      </c>
      <c r="AO1044" s="246">
        <f>IFERROR(VLOOKUP(M1044,PROGRAMAS[],3,FALSE),0)</f>
        <v>0</v>
      </c>
      <c r="AP1044" s="246">
        <f>IFERROR(VLOOKUP(N1044,PROGRAMAS[],3,FALSE),0)</f>
        <v>0</v>
      </c>
      <c r="AQ1044" s="246">
        <f>IFERROR(VLOOKUP(O1044,PROGRAMAS[],3,FALSE),0)</f>
        <v>0</v>
      </c>
      <c r="AR1044" s="246">
        <f>IFERROR(VLOOKUP(P1044,PROGRAMAS[],3,FALSE),0)</f>
        <v>0</v>
      </c>
      <c r="AS1044" s="246">
        <f>IFERROR(VLOOKUP(Q1044,PROGRAMAS[],3,FALSE),0)</f>
        <v>0</v>
      </c>
      <c r="AT1044" s="246">
        <f>IFERROR(VLOOKUP(D1044,VOL_REC[],2,FALSE),0)</f>
        <v>0</v>
      </c>
      <c r="AU1044" s="246">
        <f>IFERROR(VLOOKUP(E1044,VOL_REC[],2,FALSE),0)</f>
        <v>0</v>
      </c>
      <c r="AV1044" s="246">
        <f>IFERROR(VLOOKUP(F1044,VOL_REC[],2,FALSE),0)</f>
        <v>11089674.200000001</v>
      </c>
      <c r="AW1044" s="246">
        <f>IFERROR(VLOOKUP(G1044,VOL_REC[],2,FALSE),0)</f>
        <v>90439.55</v>
      </c>
      <c r="AX1044" s="246">
        <f>IFERROR(VLOOKUP(H1044,VOL_REC[],2,FALSE),0)</f>
        <v>4325103.1812214684</v>
      </c>
      <c r="AY1044" s="246">
        <f>IFERROR(VLOOKUP(I1044,VOL_REC[],2,FALSE),0)</f>
        <v>15540036.397699751</v>
      </c>
      <c r="AZ1044" s="246">
        <f>IFERROR(VLOOKUP(J1044,VOL_REC[],2,FALSE),0)</f>
        <v>3761786</v>
      </c>
      <c r="BA1044" s="246">
        <f>IFERROR(VLOOKUP(K1044,VOL_REC[],2,FALSE),0)</f>
        <v>105072</v>
      </c>
      <c r="BB1044" s="246">
        <f>IFERROR(VLOOKUP(L1044,VOL_REC[],2,FALSE),0)</f>
        <v>740113.98115702497</v>
      </c>
      <c r="BC1044" s="246">
        <f>IFERROR(VLOOKUP(M1044,VOL_REC[],2,FALSE),0)</f>
        <v>0</v>
      </c>
      <c r="BD1044" s="246">
        <f>IFERROR(VLOOKUP(N1044,VOL_REC[],2,FALSE),0)</f>
        <v>0</v>
      </c>
      <c r="BE1044" s="246">
        <f>IFERROR(VLOOKUP(O1044,VOL_REC[],2,FALSE),0)</f>
        <v>0</v>
      </c>
      <c r="BF1044" s="246">
        <f>IFERROR(VLOOKUP(P1044,VOL_REC[],2,FALSE),0)</f>
        <v>0</v>
      </c>
      <c r="BG1044" s="246">
        <f>IFERROR(VLOOKUP(Q1044,VOL_REC[],2,FALSE),0)</f>
        <v>0</v>
      </c>
      <c r="BH1044" s="1710">
        <f t="shared" si="64"/>
        <v>20359673765.29108</v>
      </c>
      <c r="BI1044" s="1710">
        <f t="shared" si="65"/>
        <v>23652988317.806072</v>
      </c>
      <c r="BJ1044" s="1711">
        <f t="shared" si="66"/>
        <v>35652225.310078248</v>
      </c>
      <c r="BK1044" s="1711">
        <f t="shared" si="67"/>
        <v>0.86076539216671533</v>
      </c>
    </row>
    <row r="1045" spans="3:67" x14ac:dyDescent="0.25">
      <c r="C1045" s="246" t="s">
        <v>2395</v>
      </c>
      <c r="D1045" s="246">
        <v>1</v>
      </c>
      <c r="E1045" s="246">
        <v>2</v>
      </c>
      <c r="F1045" s="246">
        <v>3</v>
      </c>
      <c r="G1045" s="246">
        <v>4</v>
      </c>
      <c r="H1045" s="246">
        <v>5</v>
      </c>
      <c r="I1045" s="246">
        <v>6</v>
      </c>
      <c r="J1045" s="246">
        <v>9</v>
      </c>
      <c r="K1045" s="246">
        <v>16</v>
      </c>
      <c r="L1045" s="246">
        <v>17</v>
      </c>
      <c r="M1045" s="246"/>
      <c r="N1045" s="246"/>
      <c r="O1045" s="246"/>
      <c r="P1045" s="246"/>
      <c r="Q1045" s="246"/>
      <c r="R1045" s="246">
        <f>IFERROR(VLOOKUP(D1045,PROGRAMAS[],2,FALSE),0)</f>
        <v>97037803.679377079</v>
      </c>
      <c r="S1045" s="246">
        <f>IFERROR(VLOOKUP(E1045,PROGRAMAS[],2,FALSE),0)</f>
        <v>640501509.6821388</v>
      </c>
      <c r="T1045" s="246">
        <f>IFERROR(VLOOKUP(F1045,PROGRAMAS[],2,FALSE),0)</f>
        <v>3062327798.1525245</v>
      </c>
      <c r="U1045" s="246">
        <f>IFERROR(VLOOKUP(G1045,PROGRAMAS[],2,FALSE),0)</f>
        <v>67697118.033011258</v>
      </c>
      <c r="V1045" s="246">
        <f>IFERROR(VLOOKUP(H1045,PROGRAMAS[],2,FALSE),0)</f>
        <v>1440941976.2528784</v>
      </c>
      <c r="W1045" s="246">
        <f>IFERROR(VLOOKUP(I1045,PROGRAMAS[],2,FALSE),0)</f>
        <v>6907648435.8447599</v>
      </c>
      <c r="X1045" s="246">
        <f>IFERROR(VLOOKUP(J1045,PROGRAMAS[],2,FALSE),0)</f>
        <v>6128579952.1618185</v>
      </c>
      <c r="Y1045" s="246">
        <f>IFERROR(VLOOKUP(K1045,PROGRAMAS[],2,FALSE),0)</f>
        <v>7068496961.0436354</v>
      </c>
      <c r="Z1045" s="246">
        <f>IFERROR(VLOOKUP(L1045,PROGRAMAS[],2,FALSE),0)</f>
        <v>1892779498.5211046</v>
      </c>
      <c r="AA1045" s="246">
        <f>IFERROR(VLOOKUP(M1045,PROGRAMAS[],2,FALSE),0)</f>
        <v>0</v>
      </c>
      <c r="AB1045" s="246">
        <f>IFERROR(VLOOKUP(N1045,PROGRAMAS[],2,FALSE),0)</f>
        <v>0</v>
      </c>
      <c r="AC1045" s="246">
        <f>IFERROR(VLOOKUP(O1045,PROGRAMAS[],2,FALSE),0)</f>
        <v>0</v>
      </c>
      <c r="AD1045" s="246">
        <f>IFERROR(VLOOKUP(P1045,PROGRAMAS[],2,FALSE),0)</f>
        <v>0</v>
      </c>
      <c r="AE1045" s="246">
        <f>IFERROR(VLOOKUP(Q1045,PROGRAMAS[],2,FALSE),0)</f>
        <v>0</v>
      </c>
      <c r="AF1045" s="246">
        <f>IFERROR(VLOOKUP(D1045,PROGRAMAS[],3,FALSE),0)</f>
        <v>841888629.31080008</v>
      </c>
      <c r="AG1045" s="246">
        <f>IFERROR(VLOOKUP(E1045,PROGRAMAS[],3,FALSE),0)</f>
        <v>3848980803.1642323</v>
      </c>
      <c r="AH1045" s="246">
        <f>IFERROR(VLOOKUP(F1045,PROGRAMAS[],3,FALSE),0)</f>
        <v>3394901471.387517</v>
      </c>
      <c r="AI1045" s="246">
        <f>IFERROR(VLOOKUP(G1045,PROGRAMAS[],3,FALSE),0)</f>
        <v>125317226.95549992</v>
      </c>
      <c r="AJ1045" s="246">
        <f>IFERROR(VLOOKUP(H1045,PROGRAMAS[],3,FALSE),0)</f>
        <v>1233505101.0616004</v>
      </c>
      <c r="AK1045" s="246">
        <f>IFERROR(VLOOKUP(I1045,PROGRAMAS[],3,FALSE),0)</f>
        <v>6129902208.7912121</v>
      </c>
      <c r="AL1045" s="246">
        <f>IFERROR(VLOOKUP(J1045,PROGRAMAS[],3,FALSE),0)</f>
        <v>7011279577.519702</v>
      </c>
      <c r="AM1045" s="246">
        <f>IFERROR(VLOOKUP(K1045,PROGRAMAS[],3,FALSE),0)</f>
        <v>2406564599.0319901</v>
      </c>
      <c r="AN1045" s="246">
        <f>IFERROR(VLOOKUP(L1045,PROGRAMAS[],3,FALSE),0)</f>
        <v>948595847.09039903</v>
      </c>
      <c r="AO1045" s="246">
        <f>IFERROR(VLOOKUP(M1045,PROGRAMAS[],3,FALSE),0)</f>
        <v>0</v>
      </c>
      <c r="AP1045" s="246">
        <f>IFERROR(VLOOKUP(N1045,PROGRAMAS[],3,FALSE),0)</f>
        <v>0</v>
      </c>
      <c r="AQ1045" s="246">
        <f>IFERROR(VLOOKUP(O1045,PROGRAMAS[],3,FALSE),0)</f>
        <v>0</v>
      </c>
      <c r="AR1045" s="246">
        <f>IFERROR(VLOOKUP(P1045,PROGRAMAS[],3,FALSE),0)</f>
        <v>0</v>
      </c>
      <c r="AS1045" s="246">
        <f>IFERROR(VLOOKUP(Q1045,PROGRAMAS[],3,FALSE),0)</f>
        <v>0</v>
      </c>
      <c r="AT1045" s="246">
        <f>IFERROR(VLOOKUP(D1045,VOL_REC[],2,FALSE),0)</f>
        <v>0</v>
      </c>
      <c r="AU1045" s="246">
        <f>IFERROR(VLOOKUP(E1045,VOL_REC[],2,FALSE),0)</f>
        <v>0</v>
      </c>
      <c r="AV1045" s="246">
        <f>IFERROR(VLOOKUP(F1045,VOL_REC[],2,FALSE),0)</f>
        <v>11089674.200000001</v>
      </c>
      <c r="AW1045" s="246">
        <f>IFERROR(VLOOKUP(G1045,VOL_REC[],2,FALSE),0)</f>
        <v>90439.55</v>
      </c>
      <c r="AX1045" s="246">
        <f>IFERROR(VLOOKUP(H1045,VOL_REC[],2,FALSE),0)</f>
        <v>4325103.1812214684</v>
      </c>
      <c r="AY1045" s="246">
        <f>IFERROR(VLOOKUP(I1045,VOL_REC[],2,FALSE),0)</f>
        <v>15540036.397699751</v>
      </c>
      <c r="AZ1045" s="246">
        <f>IFERROR(VLOOKUP(J1045,VOL_REC[],2,FALSE),0)</f>
        <v>3761786</v>
      </c>
      <c r="BA1045" s="246">
        <f>IFERROR(VLOOKUP(K1045,VOL_REC[],2,FALSE),0)</f>
        <v>1072354.9981737854</v>
      </c>
      <c r="BB1045" s="246">
        <f>IFERROR(VLOOKUP(L1045,VOL_REC[],2,FALSE),0)</f>
        <v>740113.98115702497</v>
      </c>
      <c r="BC1045" s="246">
        <f>IFERROR(VLOOKUP(M1045,VOL_REC[],2,FALSE),0)</f>
        <v>0</v>
      </c>
      <c r="BD1045" s="246">
        <f>IFERROR(VLOOKUP(N1045,VOL_REC[],2,FALSE),0)</f>
        <v>0</v>
      </c>
      <c r="BE1045" s="246">
        <f>IFERROR(VLOOKUP(O1045,VOL_REC[],2,FALSE),0)</f>
        <v>0</v>
      </c>
      <c r="BF1045" s="246">
        <f>IFERROR(VLOOKUP(P1045,VOL_REC[],2,FALSE),0)</f>
        <v>0</v>
      </c>
      <c r="BG1045" s="246">
        <f>IFERROR(VLOOKUP(Q1045,VOL_REC[],2,FALSE),0)</f>
        <v>0</v>
      </c>
      <c r="BH1045" s="1710">
        <f t="shared" si="64"/>
        <v>27306011053.37125</v>
      </c>
      <c r="BI1045" s="1710">
        <f t="shared" si="65"/>
        <v>25940935464.312954</v>
      </c>
      <c r="BJ1045" s="1711">
        <f t="shared" si="66"/>
        <v>36619508.308252037</v>
      </c>
      <c r="BK1045" s="1711">
        <f t="shared" si="67"/>
        <v>1.0526224503713921</v>
      </c>
      <c r="BL1045">
        <f>BJ1045</f>
        <v>36619508.308252037</v>
      </c>
      <c r="BO1045">
        <f>BL1045</f>
        <v>36619508.308252037</v>
      </c>
    </row>
    <row r="1046" spans="3:67" x14ac:dyDescent="0.25">
      <c r="C1046" s="246" t="s">
        <v>2396</v>
      </c>
      <c r="D1046" s="246">
        <v>1</v>
      </c>
      <c r="E1046" s="246">
        <v>2</v>
      </c>
      <c r="F1046" s="246">
        <v>3</v>
      </c>
      <c r="G1046" s="246">
        <v>4</v>
      </c>
      <c r="H1046" s="246">
        <v>5</v>
      </c>
      <c r="I1046" s="246">
        <v>6</v>
      </c>
      <c r="J1046" s="246">
        <v>10</v>
      </c>
      <c r="K1046" s="246">
        <v>12</v>
      </c>
      <c r="L1046" s="246">
        <v>13</v>
      </c>
      <c r="M1046" s="246"/>
      <c r="N1046" s="246"/>
      <c r="O1046" s="246"/>
      <c r="P1046" s="246"/>
      <c r="Q1046" s="246"/>
      <c r="R1046" s="246">
        <f>IFERROR(VLOOKUP(D1046,PROGRAMAS[],2,FALSE),0)</f>
        <v>97037803.679377079</v>
      </c>
      <c r="S1046" s="246">
        <f>IFERROR(VLOOKUP(E1046,PROGRAMAS[],2,FALSE),0)</f>
        <v>640501509.6821388</v>
      </c>
      <c r="T1046" s="246">
        <f>IFERROR(VLOOKUP(F1046,PROGRAMAS[],2,FALSE),0)</f>
        <v>3062327798.1525245</v>
      </c>
      <c r="U1046" s="246">
        <f>IFERROR(VLOOKUP(G1046,PROGRAMAS[],2,FALSE),0)</f>
        <v>67697118.033011258</v>
      </c>
      <c r="V1046" s="246">
        <f>IFERROR(VLOOKUP(H1046,PROGRAMAS[],2,FALSE),0)</f>
        <v>1440941976.2528784</v>
      </c>
      <c r="W1046" s="246">
        <f>IFERROR(VLOOKUP(I1046,PROGRAMAS[],2,FALSE),0)</f>
        <v>6907648435.8447599</v>
      </c>
      <c r="X1046" s="246">
        <f>IFERROR(VLOOKUP(J1046,PROGRAMAS[],2,FALSE),0)</f>
        <v>4635315027.8751087</v>
      </c>
      <c r="Y1046" s="246">
        <f>IFERROR(VLOOKUP(K1046,PROGRAMAS[],2,FALSE),0)</f>
        <v>764796700.79905891</v>
      </c>
      <c r="Z1046" s="246">
        <f>IFERROR(VLOOKUP(L1046,PROGRAMAS[],2,FALSE),0)</f>
        <v>3776538594.4604583</v>
      </c>
      <c r="AA1046" s="246">
        <f>IFERROR(VLOOKUP(M1046,PROGRAMAS[],2,FALSE),0)</f>
        <v>0</v>
      </c>
      <c r="AB1046" s="246">
        <f>IFERROR(VLOOKUP(N1046,PROGRAMAS[],2,FALSE),0)</f>
        <v>0</v>
      </c>
      <c r="AC1046" s="246">
        <f>IFERROR(VLOOKUP(O1046,PROGRAMAS[],2,FALSE),0)</f>
        <v>0</v>
      </c>
      <c r="AD1046" s="246">
        <f>IFERROR(VLOOKUP(P1046,PROGRAMAS[],2,FALSE),0)</f>
        <v>0</v>
      </c>
      <c r="AE1046" s="246">
        <f>IFERROR(VLOOKUP(Q1046,PROGRAMAS[],2,FALSE),0)</f>
        <v>0</v>
      </c>
      <c r="AF1046" s="246">
        <f>IFERROR(VLOOKUP(D1046,PROGRAMAS[],3,FALSE),0)</f>
        <v>841888629.31080008</v>
      </c>
      <c r="AG1046" s="246">
        <f>IFERROR(VLOOKUP(E1046,PROGRAMAS[],3,FALSE),0)</f>
        <v>3848980803.1642323</v>
      </c>
      <c r="AH1046" s="246">
        <f>IFERROR(VLOOKUP(F1046,PROGRAMAS[],3,FALSE),0)</f>
        <v>3394901471.387517</v>
      </c>
      <c r="AI1046" s="246">
        <f>IFERROR(VLOOKUP(G1046,PROGRAMAS[],3,FALSE),0)</f>
        <v>125317226.95549992</v>
      </c>
      <c r="AJ1046" s="246">
        <f>IFERROR(VLOOKUP(H1046,PROGRAMAS[],3,FALSE),0)</f>
        <v>1233505101.0616004</v>
      </c>
      <c r="AK1046" s="246">
        <f>IFERROR(VLOOKUP(I1046,PROGRAMAS[],3,FALSE),0)</f>
        <v>6129902208.7912121</v>
      </c>
      <c r="AL1046" s="246">
        <f>IFERROR(VLOOKUP(J1046,PROGRAMAS[],3,FALSE),0)</f>
        <v>4099471734.9978786</v>
      </c>
      <c r="AM1046" s="246">
        <f>IFERROR(VLOOKUP(K1046,PROGRAMAS[],3,FALSE),0)</f>
        <v>675517840.109828</v>
      </c>
      <c r="AN1046" s="246">
        <f>IFERROR(VLOOKUP(L1046,PROGRAMAS[],3,FALSE),0)</f>
        <v>2392571243.5584412</v>
      </c>
      <c r="AO1046" s="246">
        <f>IFERROR(VLOOKUP(M1046,PROGRAMAS[],3,FALSE),0)</f>
        <v>0</v>
      </c>
      <c r="AP1046" s="246">
        <f>IFERROR(VLOOKUP(N1046,PROGRAMAS[],3,FALSE),0)</f>
        <v>0</v>
      </c>
      <c r="AQ1046" s="246">
        <f>IFERROR(VLOOKUP(O1046,PROGRAMAS[],3,FALSE),0)</f>
        <v>0</v>
      </c>
      <c r="AR1046" s="246">
        <f>IFERROR(VLOOKUP(P1046,PROGRAMAS[],3,FALSE),0)</f>
        <v>0</v>
      </c>
      <c r="AS1046" s="246">
        <f>IFERROR(VLOOKUP(Q1046,PROGRAMAS[],3,FALSE),0)</f>
        <v>0</v>
      </c>
      <c r="AT1046" s="246">
        <f>IFERROR(VLOOKUP(D1046,VOL_REC[],2,FALSE),0)</f>
        <v>0</v>
      </c>
      <c r="AU1046" s="246">
        <f>IFERROR(VLOOKUP(E1046,VOL_REC[],2,FALSE),0)</f>
        <v>0</v>
      </c>
      <c r="AV1046" s="246">
        <f>IFERROR(VLOOKUP(F1046,VOL_REC[],2,FALSE),0)</f>
        <v>11089674.200000001</v>
      </c>
      <c r="AW1046" s="246">
        <f>IFERROR(VLOOKUP(G1046,VOL_REC[],2,FALSE),0)</f>
        <v>90439.55</v>
      </c>
      <c r="AX1046" s="246">
        <f>IFERROR(VLOOKUP(H1046,VOL_REC[],2,FALSE),0)</f>
        <v>4325103.1812214684</v>
      </c>
      <c r="AY1046" s="246">
        <f>IFERROR(VLOOKUP(I1046,VOL_REC[],2,FALSE),0)</f>
        <v>15540036.397699751</v>
      </c>
      <c r="AZ1046" s="246">
        <f>IFERROR(VLOOKUP(J1046,VOL_REC[],2,FALSE),0)</f>
        <v>1812240</v>
      </c>
      <c r="BA1046" s="246">
        <f>IFERROR(VLOOKUP(K1046,VOL_REC[],2,FALSE),0)</f>
        <v>240696.79238099116</v>
      </c>
      <c r="BB1046" s="246">
        <f>IFERROR(VLOOKUP(L1046,VOL_REC[],2,FALSE),0)</f>
        <v>663244.80000000016</v>
      </c>
      <c r="BC1046" s="246">
        <f>IFERROR(VLOOKUP(M1046,VOL_REC[],2,FALSE),0)</f>
        <v>0</v>
      </c>
      <c r="BD1046" s="246">
        <f>IFERROR(VLOOKUP(N1046,VOL_REC[],2,FALSE),0)</f>
        <v>0</v>
      </c>
      <c r="BE1046" s="246">
        <f>IFERROR(VLOOKUP(O1046,VOL_REC[],2,FALSE),0)</f>
        <v>0</v>
      </c>
      <c r="BF1046" s="246">
        <f>IFERROR(VLOOKUP(P1046,VOL_REC[],2,FALSE),0)</f>
        <v>0</v>
      </c>
      <c r="BG1046" s="246">
        <f>IFERROR(VLOOKUP(Q1046,VOL_REC[],2,FALSE),0)</f>
        <v>0</v>
      </c>
      <c r="BH1046" s="1710">
        <f t="shared" si="64"/>
        <v>21392804964.779316</v>
      </c>
      <c r="BI1046" s="1710">
        <f t="shared" si="65"/>
        <v>22742056259.337009</v>
      </c>
      <c r="BJ1046" s="1711">
        <f t="shared" si="66"/>
        <v>33761434.921302214</v>
      </c>
      <c r="BK1046" s="1711">
        <f t="shared" si="67"/>
        <v>0.94067153474727061</v>
      </c>
    </row>
    <row r="1047" spans="3:67" x14ac:dyDescent="0.25">
      <c r="C1047" s="246" t="s">
        <v>2397</v>
      </c>
      <c r="D1047" s="246">
        <v>1</v>
      </c>
      <c r="E1047" s="246">
        <v>2</v>
      </c>
      <c r="F1047" s="246">
        <v>3</v>
      </c>
      <c r="G1047" s="246">
        <v>4</v>
      </c>
      <c r="H1047" s="246">
        <v>5</v>
      </c>
      <c r="I1047" s="246">
        <v>6</v>
      </c>
      <c r="J1047" s="246">
        <v>10</v>
      </c>
      <c r="K1047" s="246">
        <v>12</v>
      </c>
      <c r="L1047" s="246">
        <v>14</v>
      </c>
      <c r="M1047" s="246"/>
      <c r="N1047" s="246"/>
      <c r="O1047" s="246"/>
      <c r="P1047" s="246"/>
      <c r="Q1047" s="246"/>
      <c r="R1047" s="246">
        <f>IFERROR(VLOOKUP(D1047,PROGRAMAS[],2,FALSE),0)</f>
        <v>97037803.679377079</v>
      </c>
      <c r="S1047" s="246">
        <f>IFERROR(VLOOKUP(E1047,PROGRAMAS[],2,FALSE),0)</f>
        <v>640501509.6821388</v>
      </c>
      <c r="T1047" s="246">
        <f>IFERROR(VLOOKUP(F1047,PROGRAMAS[],2,FALSE),0)</f>
        <v>3062327798.1525245</v>
      </c>
      <c r="U1047" s="246">
        <f>IFERROR(VLOOKUP(G1047,PROGRAMAS[],2,FALSE),0)</f>
        <v>67697118.033011258</v>
      </c>
      <c r="V1047" s="246">
        <f>IFERROR(VLOOKUP(H1047,PROGRAMAS[],2,FALSE),0)</f>
        <v>1440941976.2528784</v>
      </c>
      <c r="W1047" s="246">
        <f>IFERROR(VLOOKUP(I1047,PROGRAMAS[],2,FALSE),0)</f>
        <v>6907648435.8447599</v>
      </c>
      <c r="X1047" s="246">
        <f>IFERROR(VLOOKUP(J1047,PROGRAMAS[],2,FALSE),0)</f>
        <v>4635315027.8751087</v>
      </c>
      <c r="Y1047" s="246">
        <f>IFERROR(VLOOKUP(K1047,PROGRAMAS[],2,FALSE),0)</f>
        <v>764796700.79905891</v>
      </c>
      <c r="Z1047" s="246">
        <f>IFERROR(VLOOKUP(L1047,PROGRAMAS[],2,FALSE),0)</f>
        <v>54223862.645839565</v>
      </c>
      <c r="AA1047" s="246">
        <f>IFERROR(VLOOKUP(M1047,PROGRAMAS[],2,FALSE),0)</f>
        <v>0</v>
      </c>
      <c r="AB1047" s="246">
        <f>IFERROR(VLOOKUP(N1047,PROGRAMAS[],2,FALSE),0)</f>
        <v>0</v>
      </c>
      <c r="AC1047" s="246">
        <f>IFERROR(VLOOKUP(O1047,PROGRAMAS[],2,FALSE),0)</f>
        <v>0</v>
      </c>
      <c r="AD1047" s="246">
        <f>IFERROR(VLOOKUP(P1047,PROGRAMAS[],2,FALSE),0)</f>
        <v>0</v>
      </c>
      <c r="AE1047" s="246">
        <f>IFERROR(VLOOKUP(Q1047,PROGRAMAS[],2,FALSE),0)</f>
        <v>0</v>
      </c>
      <c r="AF1047" s="246">
        <f>IFERROR(VLOOKUP(D1047,PROGRAMAS[],3,FALSE),0)</f>
        <v>841888629.31080008</v>
      </c>
      <c r="AG1047" s="246">
        <f>IFERROR(VLOOKUP(E1047,PROGRAMAS[],3,FALSE),0)</f>
        <v>3848980803.1642323</v>
      </c>
      <c r="AH1047" s="246">
        <f>IFERROR(VLOOKUP(F1047,PROGRAMAS[],3,FALSE),0)</f>
        <v>3394901471.387517</v>
      </c>
      <c r="AI1047" s="246">
        <f>IFERROR(VLOOKUP(G1047,PROGRAMAS[],3,FALSE),0)</f>
        <v>125317226.95549992</v>
      </c>
      <c r="AJ1047" s="246">
        <f>IFERROR(VLOOKUP(H1047,PROGRAMAS[],3,FALSE),0)</f>
        <v>1233505101.0616004</v>
      </c>
      <c r="AK1047" s="246">
        <f>IFERROR(VLOOKUP(I1047,PROGRAMAS[],3,FALSE),0)</f>
        <v>6129902208.7912121</v>
      </c>
      <c r="AL1047" s="246">
        <f>IFERROR(VLOOKUP(J1047,PROGRAMAS[],3,FALSE),0)</f>
        <v>4099471734.9978786</v>
      </c>
      <c r="AM1047" s="246">
        <f>IFERROR(VLOOKUP(K1047,PROGRAMAS[],3,FALSE),0)</f>
        <v>675517840.109828</v>
      </c>
      <c r="AN1047" s="246">
        <f>IFERROR(VLOOKUP(L1047,PROGRAMAS[],3,FALSE),0)</f>
        <v>31865326.38096505</v>
      </c>
      <c r="AO1047" s="246">
        <f>IFERROR(VLOOKUP(M1047,PROGRAMAS[],3,FALSE),0)</f>
        <v>0</v>
      </c>
      <c r="AP1047" s="246">
        <f>IFERROR(VLOOKUP(N1047,PROGRAMAS[],3,FALSE),0)</f>
        <v>0</v>
      </c>
      <c r="AQ1047" s="246">
        <f>IFERROR(VLOOKUP(O1047,PROGRAMAS[],3,FALSE),0)</f>
        <v>0</v>
      </c>
      <c r="AR1047" s="246">
        <f>IFERROR(VLOOKUP(P1047,PROGRAMAS[],3,FALSE),0)</f>
        <v>0</v>
      </c>
      <c r="AS1047" s="246">
        <f>IFERROR(VLOOKUP(Q1047,PROGRAMAS[],3,FALSE),0)</f>
        <v>0</v>
      </c>
      <c r="AT1047" s="246">
        <f>IFERROR(VLOOKUP(D1047,VOL_REC[],2,FALSE),0)</f>
        <v>0</v>
      </c>
      <c r="AU1047" s="246">
        <f>IFERROR(VLOOKUP(E1047,VOL_REC[],2,FALSE),0)</f>
        <v>0</v>
      </c>
      <c r="AV1047" s="246">
        <f>IFERROR(VLOOKUP(F1047,VOL_REC[],2,FALSE),0)</f>
        <v>11089674.200000001</v>
      </c>
      <c r="AW1047" s="246">
        <f>IFERROR(VLOOKUP(G1047,VOL_REC[],2,FALSE),0)</f>
        <v>90439.55</v>
      </c>
      <c r="AX1047" s="246">
        <f>IFERROR(VLOOKUP(H1047,VOL_REC[],2,FALSE),0)</f>
        <v>4325103.1812214684</v>
      </c>
      <c r="AY1047" s="246">
        <f>IFERROR(VLOOKUP(I1047,VOL_REC[],2,FALSE),0)</f>
        <v>15540036.397699751</v>
      </c>
      <c r="AZ1047" s="246">
        <f>IFERROR(VLOOKUP(J1047,VOL_REC[],2,FALSE),0)</f>
        <v>1812240</v>
      </c>
      <c r="BA1047" s="246">
        <f>IFERROR(VLOOKUP(K1047,VOL_REC[],2,FALSE),0)</f>
        <v>240696.79238099116</v>
      </c>
      <c r="BB1047" s="246">
        <f>IFERROR(VLOOKUP(L1047,VOL_REC[],2,FALSE),0)</f>
        <v>17074.045034105649</v>
      </c>
      <c r="BC1047" s="246">
        <f>IFERROR(VLOOKUP(M1047,VOL_REC[],2,FALSE),0)</f>
        <v>0</v>
      </c>
      <c r="BD1047" s="246">
        <f>IFERROR(VLOOKUP(N1047,VOL_REC[],2,FALSE),0)</f>
        <v>0</v>
      </c>
      <c r="BE1047" s="246">
        <f>IFERROR(VLOOKUP(O1047,VOL_REC[],2,FALSE),0)</f>
        <v>0</v>
      </c>
      <c r="BF1047" s="246">
        <f>IFERROR(VLOOKUP(P1047,VOL_REC[],2,FALSE),0)</f>
        <v>0</v>
      </c>
      <c r="BG1047" s="246">
        <f>IFERROR(VLOOKUP(Q1047,VOL_REC[],2,FALSE),0)</f>
        <v>0</v>
      </c>
      <c r="BH1047" s="1710">
        <f t="shared" si="64"/>
        <v>17670490232.964699</v>
      </c>
      <c r="BI1047" s="1710">
        <f t="shared" si="65"/>
        <v>20381350342.159534</v>
      </c>
      <c r="BJ1047" s="1711">
        <f t="shared" si="66"/>
        <v>33115264.16633632</v>
      </c>
      <c r="BK1047" s="1711">
        <f t="shared" si="67"/>
        <v>0.86699310577144018</v>
      </c>
    </row>
    <row r="1048" spans="3:67" x14ac:dyDescent="0.25">
      <c r="C1048" s="246" t="s">
        <v>2398</v>
      </c>
      <c r="D1048" s="246">
        <v>1</v>
      </c>
      <c r="E1048" s="246">
        <v>2</v>
      </c>
      <c r="F1048" s="246">
        <v>3</v>
      </c>
      <c r="G1048" s="246">
        <v>4</v>
      </c>
      <c r="H1048" s="246">
        <v>5</v>
      </c>
      <c r="I1048" s="246">
        <v>6</v>
      </c>
      <c r="J1048" s="246">
        <v>10</v>
      </c>
      <c r="K1048" s="246">
        <v>12</v>
      </c>
      <c r="L1048" s="246">
        <v>15</v>
      </c>
      <c r="M1048" s="246"/>
      <c r="N1048" s="246"/>
      <c r="O1048" s="246"/>
      <c r="P1048" s="246"/>
      <c r="Q1048" s="246"/>
      <c r="R1048" s="246">
        <f>IFERROR(VLOOKUP(D1048,PROGRAMAS[],2,FALSE),0)</f>
        <v>97037803.679377079</v>
      </c>
      <c r="S1048" s="246">
        <f>IFERROR(VLOOKUP(E1048,PROGRAMAS[],2,FALSE),0)</f>
        <v>640501509.6821388</v>
      </c>
      <c r="T1048" s="246">
        <f>IFERROR(VLOOKUP(F1048,PROGRAMAS[],2,FALSE),0)</f>
        <v>3062327798.1525245</v>
      </c>
      <c r="U1048" s="246">
        <f>IFERROR(VLOOKUP(G1048,PROGRAMAS[],2,FALSE),0)</f>
        <v>67697118.033011258</v>
      </c>
      <c r="V1048" s="246">
        <f>IFERROR(VLOOKUP(H1048,PROGRAMAS[],2,FALSE),0)</f>
        <v>1440941976.2528784</v>
      </c>
      <c r="W1048" s="246">
        <f>IFERROR(VLOOKUP(I1048,PROGRAMAS[],2,FALSE),0)</f>
        <v>6907648435.8447599</v>
      </c>
      <c r="X1048" s="246">
        <f>IFERROR(VLOOKUP(J1048,PROGRAMAS[],2,FALSE),0)</f>
        <v>4635315027.8751087</v>
      </c>
      <c r="Y1048" s="246">
        <f>IFERROR(VLOOKUP(K1048,PROGRAMAS[],2,FALSE),0)</f>
        <v>764796700.79905891</v>
      </c>
      <c r="Z1048" s="246">
        <f>IFERROR(VLOOKUP(L1048,PROGRAMAS[],2,FALSE),0)</f>
        <v>122159672.96346797</v>
      </c>
      <c r="AA1048" s="246">
        <f>IFERROR(VLOOKUP(M1048,PROGRAMAS[],2,FALSE),0)</f>
        <v>0</v>
      </c>
      <c r="AB1048" s="246">
        <f>IFERROR(VLOOKUP(N1048,PROGRAMAS[],2,FALSE),0)</f>
        <v>0</v>
      </c>
      <c r="AC1048" s="246">
        <f>IFERROR(VLOOKUP(O1048,PROGRAMAS[],2,FALSE),0)</f>
        <v>0</v>
      </c>
      <c r="AD1048" s="246">
        <f>IFERROR(VLOOKUP(P1048,PROGRAMAS[],2,FALSE),0)</f>
        <v>0</v>
      </c>
      <c r="AE1048" s="246">
        <f>IFERROR(VLOOKUP(Q1048,PROGRAMAS[],2,FALSE),0)</f>
        <v>0</v>
      </c>
      <c r="AF1048" s="246">
        <f>IFERROR(VLOOKUP(D1048,PROGRAMAS[],3,FALSE),0)</f>
        <v>841888629.31080008</v>
      </c>
      <c r="AG1048" s="246">
        <f>IFERROR(VLOOKUP(E1048,PROGRAMAS[],3,FALSE),0)</f>
        <v>3848980803.1642323</v>
      </c>
      <c r="AH1048" s="246">
        <f>IFERROR(VLOOKUP(F1048,PROGRAMAS[],3,FALSE),0)</f>
        <v>3394901471.387517</v>
      </c>
      <c r="AI1048" s="246">
        <f>IFERROR(VLOOKUP(G1048,PROGRAMAS[],3,FALSE),0)</f>
        <v>125317226.95549992</v>
      </c>
      <c r="AJ1048" s="246">
        <f>IFERROR(VLOOKUP(H1048,PROGRAMAS[],3,FALSE),0)</f>
        <v>1233505101.0616004</v>
      </c>
      <c r="AK1048" s="246">
        <f>IFERROR(VLOOKUP(I1048,PROGRAMAS[],3,FALSE),0)</f>
        <v>6129902208.7912121</v>
      </c>
      <c r="AL1048" s="246">
        <f>IFERROR(VLOOKUP(J1048,PROGRAMAS[],3,FALSE),0)</f>
        <v>4099471734.9978786</v>
      </c>
      <c r="AM1048" s="246">
        <f>IFERROR(VLOOKUP(K1048,PROGRAMAS[],3,FALSE),0)</f>
        <v>675517840.109828</v>
      </c>
      <c r="AN1048" s="246">
        <f>IFERROR(VLOOKUP(L1048,PROGRAMAS[],3,FALSE),0)</f>
        <v>118617452.52510804</v>
      </c>
      <c r="AO1048" s="246">
        <f>IFERROR(VLOOKUP(M1048,PROGRAMAS[],3,FALSE),0)</f>
        <v>0</v>
      </c>
      <c r="AP1048" s="246">
        <f>IFERROR(VLOOKUP(N1048,PROGRAMAS[],3,FALSE),0)</f>
        <v>0</v>
      </c>
      <c r="AQ1048" s="246">
        <f>IFERROR(VLOOKUP(O1048,PROGRAMAS[],3,FALSE),0)</f>
        <v>0</v>
      </c>
      <c r="AR1048" s="246">
        <f>IFERROR(VLOOKUP(P1048,PROGRAMAS[],3,FALSE),0)</f>
        <v>0</v>
      </c>
      <c r="AS1048" s="246">
        <f>IFERROR(VLOOKUP(Q1048,PROGRAMAS[],3,FALSE),0)</f>
        <v>0</v>
      </c>
      <c r="AT1048" s="246">
        <f>IFERROR(VLOOKUP(D1048,VOL_REC[],2,FALSE),0)</f>
        <v>0</v>
      </c>
      <c r="AU1048" s="246">
        <f>IFERROR(VLOOKUP(E1048,VOL_REC[],2,FALSE),0)</f>
        <v>0</v>
      </c>
      <c r="AV1048" s="246">
        <f>IFERROR(VLOOKUP(F1048,VOL_REC[],2,FALSE),0)</f>
        <v>11089674.200000001</v>
      </c>
      <c r="AW1048" s="246">
        <f>IFERROR(VLOOKUP(G1048,VOL_REC[],2,FALSE),0)</f>
        <v>90439.55</v>
      </c>
      <c r="AX1048" s="246">
        <f>IFERROR(VLOOKUP(H1048,VOL_REC[],2,FALSE),0)</f>
        <v>4325103.1812214684</v>
      </c>
      <c r="AY1048" s="246">
        <f>IFERROR(VLOOKUP(I1048,VOL_REC[],2,FALSE),0)</f>
        <v>15540036.397699751</v>
      </c>
      <c r="AZ1048" s="246">
        <f>IFERROR(VLOOKUP(J1048,VOL_REC[],2,FALSE),0)</f>
        <v>1812240</v>
      </c>
      <c r="BA1048" s="246">
        <f>IFERROR(VLOOKUP(K1048,VOL_REC[],2,FALSE),0)</f>
        <v>240696.79238099116</v>
      </c>
      <c r="BB1048" s="246">
        <f>IFERROR(VLOOKUP(L1048,VOL_REC[],2,FALSE),0)</f>
        <v>105072</v>
      </c>
      <c r="BC1048" s="246">
        <f>IFERROR(VLOOKUP(M1048,VOL_REC[],2,FALSE),0)</f>
        <v>0</v>
      </c>
      <c r="BD1048" s="246">
        <f>IFERROR(VLOOKUP(N1048,VOL_REC[],2,FALSE),0)</f>
        <v>0</v>
      </c>
      <c r="BE1048" s="246">
        <f>IFERROR(VLOOKUP(O1048,VOL_REC[],2,FALSE),0)</f>
        <v>0</v>
      </c>
      <c r="BF1048" s="246">
        <f>IFERROR(VLOOKUP(P1048,VOL_REC[],2,FALSE),0)</f>
        <v>0</v>
      </c>
      <c r="BG1048" s="246">
        <f>IFERROR(VLOOKUP(Q1048,VOL_REC[],2,FALSE),0)</f>
        <v>0</v>
      </c>
      <c r="BH1048" s="1710">
        <f t="shared" si="64"/>
        <v>17738426043.282326</v>
      </c>
      <c r="BI1048" s="1710">
        <f t="shared" si="65"/>
        <v>20468102468.303677</v>
      </c>
      <c r="BJ1048" s="1711">
        <f t="shared" si="66"/>
        <v>33203262.121302214</v>
      </c>
      <c r="BK1048" s="1711">
        <f t="shared" si="67"/>
        <v>0.86663754350221522</v>
      </c>
    </row>
    <row r="1049" spans="3:67" x14ac:dyDescent="0.25">
      <c r="C1049" s="246" t="s">
        <v>2399</v>
      </c>
      <c r="D1049" s="246">
        <v>1</v>
      </c>
      <c r="E1049" s="246">
        <v>2</v>
      </c>
      <c r="F1049" s="246">
        <v>3</v>
      </c>
      <c r="G1049" s="246">
        <v>4</v>
      </c>
      <c r="H1049" s="246">
        <v>5</v>
      </c>
      <c r="I1049" s="246">
        <v>6</v>
      </c>
      <c r="J1049" s="246">
        <v>10</v>
      </c>
      <c r="K1049" s="246">
        <v>12</v>
      </c>
      <c r="L1049" s="246">
        <v>16</v>
      </c>
      <c r="M1049" s="246"/>
      <c r="N1049" s="246"/>
      <c r="O1049" s="246"/>
      <c r="P1049" s="246"/>
      <c r="Q1049" s="246"/>
      <c r="R1049" s="246">
        <f>IFERROR(VLOOKUP(D1049,PROGRAMAS[],2,FALSE),0)</f>
        <v>97037803.679377079</v>
      </c>
      <c r="S1049" s="246">
        <f>IFERROR(VLOOKUP(E1049,PROGRAMAS[],2,FALSE),0)</f>
        <v>640501509.6821388</v>
      </c>
      <c r="T1049" s="246">
        <f>IFERROR(VLOOKUP(F1049,PROGRAMAS[],2,FALSE),0)</f>
        <v>3062327798.1525245</v>
      </c>
      <c r="U1049" s="246">
        <f>IFERROR(VLOOKUP(G1049,PROGRAMAS[],2,FALSE),0)</f>
        <v>67697118.033011258</v>
      </c>
      <c r="V1049" s="246">
        <f>IFERROR(VLOOKUP(H1049,PROGRAMAS[],2,FALSE),0)</f>
        <v>1440941976.2528784</v>
      </c>
      <c r="W1049" s="246">
        <f>IFERROR(VLOOKUP(I1049,PROGRAMAS[],2,FALSE),0)</f>
        <v>6907648435.8447599</v>
      </c>
      <c r="X1049" s="246">
        <f>IFERROR(VLOOKUP(J1049,PROGRAMAS[],2,FALSE),0)</f>
        <v>4635315027.8751087</v>
      </c>
      <c r="Y1049" s="246">
        <f>IFERROR(VLOOKUP(K1049,PROGRAMAS[],2,FALSE),0)</f>
        <v>764796700.79905891</v>
      </c>
      <c r="Z1049" s="246">
        <f>IFERROR(VLOOKUP(L1049,PROGRAMAS[],2,FALSE),0)</f>
        <v>7068496961.0436354</v>
      </c>
      <c r="AA1049" s="246">
        <f>IFERROR(VLOOKUP(M1049,PROGRAMAS[],2,FALSE),0)</f>
        <v>0</v>
      </c>
      <c r="AB1049" s="246">
        <f>IFERROR(VLOOKUP(N1049,PROGRAMAS[],2,FALSE),0)</f>
        <v>0</v>
      </c>
      <c r="AC1049" s="246">
        <f>IFERROR(VLOOKUP(O1049,PROGRAMAS[],2,FALSE),0)</f>
        <v>0</v>
      </c>
      <c r="AD1049" s="246">
        <f>IFERROR(VLOOKUP(P1049,PROGRAMAS[],2,FALSE),0)</f>
        <v>0</v>
      </c>
      <c r="AE1049" s="246">
        <f>IFERROR(VLOOKUP(Q1049,PROGRAMAS[],2,FALSE),0)</f>
        <v>0</v>
      </c>
      <c r="AF1049" s="246">
        <f>IFERROR(VLOOKUP(D1049,PROGRAMAS[],3,FALSE),0)</f>
        <v>841888629.31080008</v>
      </c>
      <c r="AG1049" s="246">
        <f>IFERROR(VLOOKUP(E1049,PROGRAMAS[],3,FALSE),0)</f>
        <v>3848980803.1642323</v>
      </c>
      <c r="AH1049" s="246">
        <f>IFERROR(VLOOKUP(F1049,PROGRAMAS[],3,FALSE),0)</f>
        <v>3394901471.387517</v>
      </c>
      <c r="AI1049" s="246">
        <f>IFERROR(VLOOKUP(G1049,PROGRAMAS[],3,FALSE),0)</f>
        <v>125317226.95549992</v>
      </c>
      <c r="AJ1049" s="246">
        <f>IFERROR(VLOOKUP(H1049,PROGRAMAS[],3,FALSE),0)</f>
        <v>1233505101.0616004</v>
      </c>
      <c r="AK1049" s="246">
        <f>IFERROR(VLOOKUP(I1049,PROGRAMAS[],3,FALSE),0)</f>
        <v>6129902208.7912121</v>
      </c>
      <c r="AL1049" s="246">
        <f>IFERROR(VLOOKUP(J1049,PROGRAMAS[],3,FALSE),0)</f>
        <v>4099471734.9978786</v>
      </c>
      <c r="AM1049" s="246">
        <f>IFERROR(VLOOKUP(K1049,PROGRAMAS[],3,FALSE),0)</f>
        <v>675517840.109828</v>
      </c>
      <c r="AN1049" s="246">
        <f>IFERROR(VLOOKUP(L1049,PROGRAMAS[],3,FALSE),0)</f>
        <v>2406564599.0319901</v>
      </c>
      <c r="AO1049" s="246">
        <f>IFERROR(VLOOKUP(M1049,PROGRAMAS[],3,FALSE),0)</f>
        <v>0</v>
      </c>
      <c r="AP1049" s="246">
        <f>IFERROR(VLOOKUP(N1049,PROGRAMAS[],3,FALSE),0)</f>
        <v>0</v>
      </c>
      <c r="AQ1049" s="246">
        <f>IFERROR(VLOOKUP(O1049,PROGRAMAS[],3,FALSE),0)</f>
        <v>0</v>
      </c>
      <c r="AR1049" s="246">
        <f>IFERROR(VLOOKUP(P1049,PROGRAMAS[],3,FALSE),0)</f>
        <v>0</v>
      </c>
      <c r="AS1049" s="246">
        <f>IFERROR(VLOOKUP(Q1049,PROGRAMAS[],3,FALSE),0)</f>
        <v>0</v>
      </c>
      <c r="AT1049" s="246">
        <f>IFERROR(VLOOKUP(D1049,VOL_REC[],2,FALSE),0)</f>
        <v>0</v>
      </c>
      <c r="AU1049" s="246">
        <f>IFERROR(VLOOKUP(E1049,VOL_REC[],2,FALSE),0)</f>
        <v>0</v>
      </c>
      <c r="AV1049" s="246">
        <f>IFERROR(VLOOKUP(F1049,VOL_REC[],2,FALSE),0)</f>
        <v>11089674.200000001</v>
      </c>
      <c r="AW1049" s="246">
        <f>IFERROR(VLOOKUP(G1049,VOL_REC[],2,FALSE),0)</f>
        <v>90439.55</v>
      </c>
      <c r="AX1049" s="246">
        <f>IFERROR(VLOOKUP(H1049,VOL_REC[],2,FALSE),0)</f>
        <v>4325103.1812214684</v>
      </c>
      <c r="AY1049" s="246">
        <f>IFERROR(VLOOKUP(I1049,VOL_REC[],2,FALSE),0)</f>
        <v>15540036.397699751</v>
      </c>
      <c r="AZ1049" s="246">
        <f>IFERROR(VLOOKUP(J1049,VOL_REC[],2,FALSE),0)</f>
        <v>1812240</v>
      </c>
      <c r="BA1049" s="246">
        <f>IFERROR(VLOOKUP(K1049,VOL_REC[],2,FALSE),0)</f>
        <v>240696.79238099116</v>
      </c>
      <c r="BB1049" s="246">
        <f>IFERROR(VLOOKUP(L1049,VOL_REC[],2,FALSE),0)</f>
        <v>1072354.9981737854</v>
      </c>
      <c r="BC1049" s="246">
        <f>IFERROR(VLOOKUP(M1049,VOL_REC[],2,FALSE),0)</f>
        <v>0</v>
      </c>
      <c r="BD1049" s="246">
        <f>IFERROR(VLOOKUP(N1049,VOL_REC[],2,FALSE),0)</f>
        <v>0</v>
      </c>
      <c r="BE1049" s="246">
        <f>IFERROR(VLOOKUP(O1049,VOL_REC[],2,FALSE),0)</f>
        <v>0</v>
      </c>
      <c r="BF1049" s="246">
        <f>IFERROR(VLOOKUP(P1049,VOL_REC[],2,FALSE),0)</f>
        <v>0</v>
      </c>
      <c r="BG1049" s="246">
        <f>IFERROR(VLOOKUP(Q1049,VOL_REC[],2,FALSE),0)</f>
        <v>0</v>
      </c>
      <c r="BH1049" s="1710">
        <f t="shared" si="64"/>
        <v>24684763331.362495</v>
      </c>
      <c r="BI1049" s="1710">
        <f t="shared" si="65"/>
        <v>22756049614.810558</v>
      </c>
      <c r="BJ1049" s="1711">
        <f t="shared" si="66"/>
        <v>34170545.119475998</v>
      </c>
      <c r="BK1049" s="1711">
        <f t="shared" si="67"/>
        <v>1.084756086807644</v>
      </c>
      <c r="BL1049">
        <f>BJ1049</f>
        <v>34170545.119475998</v>
      </c>
      <c r="BO1049">
        <f>BL1049</f>
        <v>34170545.119475998</v>
      </c>
    </row>
    <row r="1050" spans="3:67" x14ac:dyDescent="0.25">
      <c r="C1050" s="246" t="s">
        <v>2400</v>
      </c>
      <c r="D1050" s="246">
        <v>1</v>
      </c>
      <c r="E1050" s="246">
        <v>2</v>
      </c>
      <c r="F1050" s="246">
        <v>3</v>
      </c>
      <c r="G1050" s="246">
        <v>4</v>
      </c>
      <c r="H1050" s="246">
        <v>5</v>
      </c>
      <c r="I1050" s="246">
        <v>6</v>
      </c>
      <c r="J1050" s="246">
        <v>10</v>
      </c>
      <c r="K1050" s="246">
        <v>12</v>
      </c>
      <c r="L1050" s="246">
        <v>17</v>
      </c>
      <c r="M1050" s="246"/>
      <c r="N1050" s="246"/>
      <c r="O1050" s="246"/>
      <c r="P1050" s="246"/>
      <c r="Q1050" s="246"/>
      <c r="R1050" s="246">
        <f>IFERROR(VLOOKUP(D1050,PROGRAMAS[],2,FALSE),0)</f>
        <v>97037803.679377079</v>
      </c>
      <c r="S1050" s="246">
        <f>IFERROR(VLOOKUP(E1050,PROGRAMAS[],2,FALSE),0)</f>
        <v>640501509.6821388</v>
      </c>
      <c r="T1050" s="246">
        <f>IFERROR(VLOOKUP(F1050,PROGRAMAS[],2,FALSE),0)</f>
        <v>3062327798.1525245</v>
      </c>
      <c r="U1050" s="246">
        <f>IFERROR(VLOOKUP(G1050,PROGRAMAS[],2,FALSE),0)</f>
        <v>67697118.033011258</v>
      </c>
      <c r="V1050" s="246">
        <f>IFERROR(VLOOKUP(H1050,PROGRAMAS[],2,FALSE),0)</f>
        <v>1440941976.2528784</v>
      </c>
      <c r="W1050" s="246">
        <f>IFERROR(VLOOKUP(I1050,PROGRAMAS[],2,FALSE),0)</f>
        <v>6907648435.8447599</v>
      </c>
      <c r="X1050" s="246">
        <f>IFERROR(VLOOKUP(J1050,PROGRAMAS[],2,FALSE),0)</f>
        <v>4635315027.8751087</v>
      </c>
      <c r="Y1050" s="246">
        <f>IFERROR(VLOOKUP(K1050,PROGRAMAS[],2,FALSE),0)</f>
        <v>764796700.79905891</v>
      </c>
      <c r="Z1050" s="246">
        <f>IFERROR(VLOOKUP(L1050,PROGRAMAS[],2,FALSE),0)</f>
        <v>1892779498.5211046</v>
      </c>
      <c r="AA1050" s="246">
        <f>IFERROR(VLOOKUP(M1050,PROGRAMAS[],2,FALSE),0)</f>
        <v>0</v>
      </c>
      <c r="AB1050" s="246">
        <f>IFERROR(VLOOKUP(N1050,PROGRAMAS[],2,FALSE),0)</f>
        <v>0</v>
      </c>
      <c r="AC1050" s="246">
        <f>IFERROR(VLOOKUP(O1050,PROGRAMAS[],2,FALSE),0)</f>
        <v>0</v>
      </c>
      <c r="AD1050" s="246">
        <f>IFERROR(VLOOKUP(P1050,PROGRAMAS[],2,FALSE),0)</f>
        <v>0</v>
      </c>
      <c r="AE1050" s="246">
        <f>IFERROR(VLOOKUP(Q1050,PROGRAMAS[],2,FALSE),0)</f>
        <v>0</v>
      </c>
      <c r="AF1050" s="246">
        <f>IFERROR(VLOOKUP(D1050,PROGRAMAS[],3,FALSE),0)</f>
        <v>841888629.31080008</v>
      </c>
      <c r="AG1050" s="246">
        <f>IFERROR(VLOOKUP(E1050,PROGRAMAS[],3,FALSE),0)</f>
        <v>3848980803.1642323</v>
      </c>
      <c r="AH1050" s="246">
        <f>IFERROR(VLOOKUP(F1050,PROGRAMAS[],3,FALSE),0)</f>
        <v>3394901471.387517</v>
      </c>
      <c r="AI1050" s="246">
        <f>IFERROR(VLOOKUP(G1050,PROGRAMAS[],3,FALSE),0)</f>
        <v>125317226.95549992</v>
      </c>
      <c r="AJ1050" s="246">
        <f>IFERROR(VLOOKUP(H1050,PROGRAMAS[],3,FALSE),0)</f>
        <v>1233505101.0616004</v>
      </c>
      <c r="AK1050" s="246">
        <f>IFERROR(VLOOKUP(I1050,PROGRAMAS[],3,FALSE),0)</f>
        <v>6129902208.7912121</v>
      </c>
      <c r="AL1050" s="246">
        <f>IFERROR(VLOOKUP(J1050,PROGRAMAS[],3,FALSE),0)</f>
        <v>4099471734.9978786</v>
      </c>
      <c r="AM1050" s="246">
        <f>IFERROR(VLOOKUP(K1050,PROGRAMAS[],3,FALSE),0)</f>
        <v>675517840.109828</v>
      </c>
      <c r="AN1050" s="246">
        <f>IFERROR(VLOOKUP(L1050,PROGRAMAS[],3,FALSE),0)</f>
        <v>948595847.09039903</v>
      </c>
      <c r="AO1050" s="246">
        <f>IFERROR(VLOOKUP(M1050,PROGRAMAS[],3,FALSE),0)</f>
        <v>0</v>
      </c>
      <c r="AP1050" s="246">
        <f>IFERROR(VLOOKUP(N1050,PROGRAMAS[],3,FALSE),0)</f>
        <v>0</v>
      </c>
      <c r="AQ1050" s="246">
        <f>IFERROR(VLOOKUP(O1050,PROGRAMAS[],3,FALSE),0)</f>
        <v>0</v>
      </c>
      <c r="AR1050" s="246">
        <f>IFERROR(VLOOKUP(P1050,PROGRAMAS[],3,FALSE),0)</f>
        <v>0</v>
      </c>
      <c r="AS1050" s="246">
        <f>IFERROR(VLOOKUP(Q1050,PROGRAMAS[],3,FALSE),0)</f>
        <v>0</v>
      </c>
      <c r="AT1050" s="246">
        <f>IFERROR(VLOOKUP(D1050,VOL_REC[],2,FALSE),0)</f>
        <v>0</v>
      </c>
      <c r="AU1050" s="246">
        <f>IFERROR(VLOOKUP(E1050,VOL_REC[],2,FALSE),0)</f>
        <v>0</v>
      </c>
      <c r="AV1050" s="246">
        <f>IFERROR(VLOOKUP(F1050,VOL_REC[],2,FALSE),0)</f>
        <v>11089674.200000001</v>
      </c>
      <c r="AW1050" s="246">
        <f>IFERROR(VLOOKUP(G1050,VOL_REC[],2,FALSE),0)</f>
        <v>90439.55</v>
      </c>
      <c r="AX1050" s="246">
        <f>IFERROR(VLOOKUP(H1050,VOL_REC[],2,FALSE),0)</f>
        <v>4325103.1812214684</v>
      </c>
      <c r="AY1050" s="246">
        <f>IFERROR(VLOOKUP(I1050,VOL_REC[],2,FALSE),0)</f>
        <v>15540036.397699751</v>
      </c>
      <c r="AZ1050" s="246">
        <f>IFERROR(VLOOKUP(J1050,VOL_REC[],2,FALSE),0)</f>
        <v>1812240</v>
      </c>
      <c r="BA1050" s="246">
        <f>IFERROR(VLOOKUP(K1050,VOL_REC[],2,FALSE),0)</f>
        <v>240696.79238099116</v>
      </c>
      <c r="BB1050" s="246">
        <f>IFERROR(VLOOKUP(L1050,VOL_REC[],2,FALSE),0)</f>
        <v>740113.98115702497</v>
      </c>
      <c r="BC1050" s="246">
        <f>IFERROR(VLOOKUP(M1050,VOL_REC[],2,FALSE),0)</f>
        <v>0</v>
      </c>
      <c r="BD1050" s="246">
        <f>IFERROR(VLOOKUP(N1050,VOL_REC[],2,FALSE),0)</f>
        <v>0</v>
      </c>
      <c r="BE1050" s="246">
        <f>IFERROR(VLOOKUP(O1050,VOL_REC[],2,FALSE),0)</f>
        <v>0</v>
      </c>
      <c r="BF1050" s="246">
        <f>IFERROR(VLOOKUP(P1050,VOL_REC[],2,FALSE),0)</f>
        <v>0</v>
      </c>
      <c r="BG1050" s="246">
        <f>IFERROR(VLOOKUP(Q1050,VOL_REC[],2,FALSE),0)</f>
        <v>0</v>
      </c>
      <c r="BH1050" s="1710">
        <f t="shared" si="64"/>
        <v>19509045868.839962</v>
      </c>
      <c r="BI1050" s="1710">
        <f t="shared" si="65"/>
        <v>21298080862.868969</v>
      </c>
      <c r="BJ1050" s="1711">
        <f t="shared" si="66"/>
        <v>33838304.102459237</v>
      </c>
      <c r="BK1050" s="1711">
        <f t="shared" si="67"/>
        <v>0.91600017834714831</v>
      </c>
    </row>
    <row r="1051" spans="3:67" x14ac:dyDescent="0.25">
      <c r="C1051" s="246" t="s">
        <v>2401</v>
      </c>
      <c r="D1051" s="246">
        <v>1</v>
      </c>
      <c r="E1051" s="246">
        <v>2</v>
      </c>
      <c r="F1051" s="246">
        <v>3</v>
      </c>
      <c r="G1051" s="246">
        <v>4</v>
      </c>
      <c r="H1051" s="246">
        <v>5</v>
      </c>
      <c r="I1051" s="246">
        <v>6</v>
      </c>
      <c r="J1051" s="246">
        <v>10</v>
      </c>
      <c r="K1051" s="246">
        <v>13</v>
      </c>
      <c r="L1051" s="246">
        <v>14</v>
      </c>
      <c r="M1051" s="246"/>
      <c r="N1051" s="246"/>
      <c r="O1051" s="246"/>
      <c r="P1051" s="246"/>
      <c r="Q1051" s="246"/>
      <c r="R1051" s="246">
        <f>IFERROR(VLOOKUP(D1051,PROGRAMAS[],2,FALSE),0)</f>
        <v>97037803.679377079</v>
      </c>
      <c r="S1051" s="246">
        <f>IFERROR(VLOOKUP(E1051,PROGRAMAS[],2,FALSE),0)</f>
        <v>640501509.6821388</v>
      </c>
      <c r="T1051" s="246">
        <f>IFERROR(VLOOKUP(F1051,PROGRAMAS[],2,FALSE),0)</f>
        <v>3062327798.1525245</v>
      </c>
      <c r="U1051" s="246">
        <f>IFERROR(VLOOKUP(G1051,PROGRAMAS[],2,FALSE),0)</f>
        <v>67697118.033011258</v>
      </c>
      <c r="V1051" s="246">
        <f>IFERROR(VLOOKUP(H1051,PROGRAMAS[],2,FALSE),0)</f>
        <v>1440941976.2528784</v>
      </c>
      <c r="W1051" s="246">
        <f>IFERROR(VLOOKUP(I1051,PROGRAMAS[],2,FALSE),0)</f>
        <v>6907648435.8447599</v>
      </c>
      <c r="X1051" s="246">
        <f>IFERROR(VLOOKUP(J1051,PROGRAMAS[],2,FALSE),0)</f>
        <v>4635315027.8751087</v>
      </c>
      <c r="Y1051" s="246">
        <f>IFERROR(VLOOKUP(K1051,PROGRAMAS[],2,FALSE),0)</f>
        <v>3776538594.4604583</v>
      </c>
      <c r="Z1051" s="246">
        <f>IFERROR(VLOOKUP(L1051,PROGRAMAS[],2,FALSE),0)</f>
        <v>54223862.645839565</v>
      </c>
      <c r="AA1051" s="246">
        <f>IFERROR(VLOOKUP(M1051,PROGRAMAS[],2,FALSE),0)</f>
        <v>0</v>
      </c>
      <c r="AB1051" s="246">
        <f>IFERROR(VLOOKUP(N1051,PROGRAMAS[],2,FALSE),0)</f>
        <v>0</v>
      </c>
      <c r="AC1051" s="246">
        <f>IFERROR(VLOOKUP(O1051,PROGRAMAS[],2,FALSE),0)</f>
        <v>0</v>
      </c>
      <c r="AD1051" s="246">
        <f>IFERROR(VLOOKUP(P1051,PROGRAMAS[],2,FALSE),0)</f>
        <v>0</v>
      </c>
      <c r="AE1051" s="246">
        <f>IFERROR(VLOOKUP(Q1051,PROGRAMAS[],2,FALSE),0)</f>
        <v>0</v>
      </c>
      <c r="AF1051" s="246">
        <f>IFERROR(VLOOKUP(D1051,PROGRAMAS[],3,FALSE),0)</f>
        <v>841888629.31080008</v>
      </c>
      <c r="AG1051" s="246">
        <f>IFERROR(VLOOKUP(E1051,PROGRAMAS[],3,FALSE),0)</f>
        <v>3848980803.1642323</v>
      </c>
      <c r="AH1051" s="246">
        <f>IFERROR(VLOOKUP(F1051,PROGRAMAS[],3,FALSE),0)</f>
        <v>3394901471.387517</v>
      </c>
      <c r="AI1051" s="246">
        <f>IFERROR(VLOOKUP(G1051,PROGRAMAS[],3,FALSE),0)</f>
        <v>125317226.95549992</v>
      </c>
      <c r="AJ1051" s="246">
        <f>IFERROR(VLOOKUP(H1051,PROGRAMAS[],3,FALSE),0)</f>
        <v>1233505101.0616004</v>
      </c>
      <c r="AK1051" s="246">
        <f>IFERROR(VLOOKUP(I1051,PROGRAMAS[],3,FALSE),0)</f>
        <v>6129902208.7912121</v>
      </c>
      <c r="AL1051" s="246">
        <f>IFERROR(VLOOKUP(J1051,PROGRAMAS[],3,FALSE),0)</f>
        <v>4099471734.9978786</v>
      </c>
      <c r="AM1051" s="246">
        <f>IFERROR(VLOOKUP(K1051,PROGRAMAS[],3,FALSE),0)</f>
        <v>2392571243.5584412</v>
      </c>
      <c r="AN1051" s="246">
        <f>IFERROR(VLOOKUP(L1051,PROGRAMAS[],3,FALSE),0)</f>
        <v>31865326.38096505</v>
      </c>
      <c r="AO1051" s="246">
        <f>IFERROR(VLOOKUP(M1051,PROGRAMAS[],3,FALSE),0)</f>
        <v>0</v>
      </c>
      <c r="AP1051" s="246">
        <f>IFERROR(VLOOKUP(N1051,PROGRAMAS[],3,FALSE),0)</f>
        <v>0</v>
      </c>
      <c r="AQ1051" s="246">
        <f>IFERROR(VLOOKUP(O1051,PROGRAMAS[],3,FALSE),0)</f>
        <v>0</v>
      </c>
      <c r="AR1051" s="246">
        <f>IFERROR(VLOOKUP(P1051,PROGRAMAS[],3,FALSE),0)</f>
        <v>0</v>
      </c>
      <c r="AS1051" s="246">
        <f>IFERROR(VLOOKUP(Q1051,PROGRAMAS[],3,FALSE),0)</f>
        <v>0</v>
      </c>
      <c r="AT1051" s="246">
        <f>IFERROR(VLOOKUP(D1051,VOL_REC[],2,FALSE),0)</f>
        <v>0</v>
      </c>
      <c r="AU1051" s="246">
        <f>IFERROR(VLOOKUP(E1051,VOL_REC[],2,FALSE),0)</f>
        <v>0</v>
      </c>
      <c r="AV1051" s="246">
        <f>IFERROR(VLOOKUP(F1051,VOL_REC[],2,FALSE),0)</f>
        <v>11089674.200000001</v>
      </c>
      <c r="AW1051" s="246">
        <f>IFERROR(VLOOKUP(G1051,VOL_REC[],2,FALSE),0)</f>
        <v>90439.55</v>
      </c>
      <c r="AX1051" s="246">
        <f>IFERROR(VLOOKUP(H1051,VOL_REC[],2,FALSE),0)</f>
        <v>4325103.1812214684</v>
      </c>
      <c r="AY1051" s="246">
        <f>IFERROR(VLOOKUP(I1051,VOL_REC[],2,FALSE),0)</f>
        <v>15540036.397699751</v>
      </c>
      <c r="AZ1051" s="246">
        <f>IFERROR(VLOOKUP(J1051,VOL_REC[],2,FALSE),0)</f>
        <v>1812240</v>
      </c>
      <c r="BA1051" s="246">
        <f>IFERROR(VLOOKUP(K1051,VOL_REC[],2,FALSE),0)</f>
        <v>663244.80000000016</v>
      </c>
      <c r="BB1051" s="246">
        <f>IFERROR(VLOOKUP(L1051,VOL_REC[],2,FALSE),0)</f>
        <v>17074.045034105649</v>
      </c>
      <c r="BC1051" s="246">
        <f>IFERROR(VLOOKUP(M1051,VOL_REC[],2,FALSE),0)</f>
        <v>0</v>
      </c>
      <c r="BD1051" s="246">
        <f>IFERROR(VLOOKUP(N1051,VOL_REC[],2,FALSE),0)</f>
        <v>0</v>
      </c>
      <c r="BE1051" s="246">
        <f>IFERROR(VLOOKUP(O1051,VOL_REC[],2,FALSE),0)</f>
        <v>0</v>
      </c>
      <c r="BF1051" s="246">
        <f>IFERROR(VLOOKUP(P1051,VOL_REC[],2,FALSE),0)</f>
        <v>0</v>
      </c>
      <c r="BG1051" s="246">
        <f>IFERROR(VLOOKUP(Q1051,VOL_REC[],2,FALSE),0)</f>
        <v>0</v>
      </c>
      <c r="BH1051" s="1710">
        <f t="shared" si="64"/>
        <v>20682232126.626099</v>
      </c>
      <c r="BI1051" s="1710">
        <f t="shared" si="65"/>
        <v>22098403745.608147</v>
      </c>
      <c r="BJ1051" s="1711">
        <f t="shared" si="66"/>
        <v>33537812.173955329</v>
      </c>
      <c r="BK1051" s="1711">
        <f t="shared" si="67"/>
        <v>0.93591520748354962</v>
      </c>
    </row>
    <row r="1052" spans="3:67" x14ac:dyDescent="0.25">
      <c r="C1052" s="246" t="s">
        <v>2402</v>
      </c>
      <c r="D1052" s="246">
        <v>1</v>
      </c>
      <c r="E1052" s="246">
        <v>2</v>
      </c>
      <c r="F1052" s="246">
        <v>3</v>
      </c>
      <c r="G1052" s="246">
        <v>4</v>
      </c>
      <c r="H1052" s="246">
        <v>5</v>
      </c>
      <c r="I1052" s="246">
        <v>6</v>
      </c>
      <c r="J1052" s="246">
        <v>10</v>
      </c>
      <c r="K1052" s="246">
        <v>13</v>
      </c>
      <c r="L1052" s="246">
        <v>15</v>
      </c>
      <c r="M1052" s="246"/>
      <c r="N1052" s="246"/>
      <c r="O1052" s="246"/>
      <c r="P1052" s="246"/>
      <c r="Q1052" s="246"/>
      <c r="R1052" s="246">
        <f>IFERROR(VLOOKUP(D1052,PROGRAMAS[],2,FALSE),0)</f>
        <v>97037803.679377079</v>
      </c>
      <c r="S1052" s="246">
        <f>IFERROR(VLOOKUP(E1052,PROGRAMAS[],2,FALSE),0)</f>
        <v>640501509.6821388</v>
      </c>
      <c r="T1052" s="246">
        <f>IFERROR(VLOOKUP(F1052,PROGRAMAS[],2,FALSE),0)</f>
        <v>3062327798.1525245</v>
      </c>
      <c r="U1052" s="246">
        <f>IFERROR(VLOOKUP(G1052,PROGRAMAS[],2,FALSE),0)</f>
        <v>67697118.033011258</v>
      </c>
      <c r="V1052" s="246">
        <f>IFERROR(VLOOKUP(H1052,PROGRAMAS[],2,FALSE),0)</f>
        <v>1440941976.2528784</v>
      </c>
      <c r="W1052" s="246">
        <f>IFERROR(VLOOKUP(I1052,PROGRAMAS[],2,FALSE),0)</f>
        <v>6907648435.8447599</v>
      </c>
      <c r="X1052" s="246">
        <f>IFERROR(VLOOKUP(J1052,PROGRAMAS[],2,FALSE),0)</f>
        <v>4635315027.8751087</v>
      </c>
      <c r="Y1052" s="246">
        <f>IFERROR(VLOOKUP(K1052,PROGRAMAS[],2,FALSE),0)</f>
        <v>3776538594.4604583</v>
      </c>
      <c r="Z1052" s="246">
        <f>IFERROR(VLOOKUP(L1052,PROGRAMAS[],2,FALSE),0)</f>
        <v>122159672.96346797</v>
      </c>
      <c r="AA1052" s="246">
        <f>IFERROR(VLOOKUP(M1052,PROGRAMAS[],2,FALSE),0)</f>
        <v>0</v>
      </c>
      <c r="AB1052" s="246">
        <f>IFERROR(VLOOKUP(N1052,PROGRAMAS[],2,FALSE),0)</f>
        <v>0</v>
      </c>
      <c r="AC1052" s="246">
        <f>IFERROR(VLOOKUP(O1052,PROGRAMAS[],2,FALSE),0)</f>
        <v>0</v>
      </c>
      <c r="AD1052" s="246">
        <f>IFERROR(VLOOKUP(P1052,PROGRAMAS[],2,FALSE),0)</f>
        <v>0</v>
      </c>
      <c r="AE1052" s="246">
        <f>IFERROR(VLOOKUP(Q1052,PROGRAMAS[],2,FALSE),0)</f>
        <v>0</v>
      </c>
      <c r="AF1052" s="246">
        <f>IFERROR(VLOOKUP(D1052,PROGRAMAS[],3,FALSE),0)</f>
        <v>841888629.31080008</v>
      </c>
      <c r="AG1052" s="246">
        <f>IFERROR(VLOOKUP(E1052,PROGRAMAS[],3,FALSE),0)</f>
        <v>3848980803.1642323</v>
      </c>
      <c r="AH1052" s="246">
        <f>IFERROR(VLOOKUP(F1052,PROGRAMAS[],3,FALSE),0)</f>
        <v>3394901471.387517</v>
      </c>
      <c r="AI1052" s="246">
        <f>IFERROR(VLOOKUP(G1052,PROGRAMAS[],3,FALSE),0)</f>
        <v>125317226.95549992</v>
      </c>
      <c r="AJ1052" s="246">
        <f>IFERROR(VLOOKUP(H1052,PROGRAMAS[],3,FALSE),0)</f>
        <v>1233505101.0616004</v>
      </c>
      <c r="AK1052" s="246">
        <f>IFERROR(VLOOKUP(I1052,PROGRAMAS[],3,FALSE),0)</f>
        <v>6129902208.7912121</v>
      </c>
      <c r="AL1052" s="246">
        <f>IFERROR(VLOOKUP(J1052,PROGRAMAS[],3,FALSE),0)</f>
        <v>4099471734.9978786</v>
      </c>
      <c r="AM1052" s="246">
        <f>IFERROR(VLOOKUP(K1052,PROGRAMAS[],3,FALSE),0)</f>
        <v>2392571243.5584412</v>
      </c>
      <c r="AN1052" s="246">
        <f>IFERROR(VLOOKUP(L1052,PROGRAMAS[],3,FALSE),0)</f>
        <v>118617452.52510804</v>
      </c>
      <c r="AO1052" s="246">
        <f>IFERROR(VLOOKUP(M1052,PROGRAMAS[],3,FALSE),0)</f>
        <v>0</v>
      </c>
      <c r="AP1052" s="246">
        <f>IFERROR(VLOOKUP(N1052,PROGRAMAS[],3,FALSE),0)</f>
        <v>0</v>
      </c>
      <c r="AQ1052" s="246">
        <f>IFERROR(VLOOKUP(O1052,PROGRAMAS[],3,FALSE),0)</f>
        <v>0</v>
      </c>
      <c r="AR1052" s="246">
        <f>IFERROR(VLOOKUP(P1052,PROGRAMAS[],3,FALSE),0)</f>
        <v>0</v>
      </c>
      <c r="AS1052" s="246">
        <f>IFERROR(VLOOKUP(Q1052,PROGRAMAS[],3,FALSE),0)</f>
        <v>0</v>
      </c>
      <c r="AT1052" s="246">
        <f>IFERROR(VLOOKUP(D1052,VOL_REC[],2,FALSE),0)</f>
        <v>0</v>
      </c>
      <c r="AU1052" s="246">
        <f>IFERROR(VLOOKUP(E1052,VOL_REC[],2,FALSE),0)</f>
        <v>0</v>
      </c>
      <c r="AV1052" s="246">
        <f>IFERROR(VLOOKUP(F1052,VOL_REC[],2,FALSE),0)</f>
        <v>11089674.200000001</v>
      </c>
      <c r="AW1052" s="246">
        <f>IFERROR(VLOOKUP(G1052,VOL_REC[],2,FALSE),0)</f>
        <v>90439.55</v>
      </c>
      <c r="AX1052" s="246">
        <f>IFERROR(VLOOKUP(H1052,VOL_REC[],2,FALSE),0)</f>
        <v>4325103.1812214684</v>
      </c>
      <c r="AY1052" s="246">
        <f>IFERROR(VLOOKUP(I1052,VOL_REC[],2,FALSE),0)</f>
        <v>15540036.397699751</v>
      </c>
      <c r="AZ1052" s="246">
        <f>IFERROR(VLOOKUP(J1052,VOL_REC[],2,FALSE),0)</f>
        <v>1812240</v>
      </c>
      <c r="BA1052" s="246">
        <f>IFERROR(VLOOKUP(K1052,VOL_REC[],2,FALSE),0)</f>
        <v>663244.80000000016</v>
      </c>
      <c r="BB1052" s="246">
        <f>IFERROR(VLOOKUP(L1052,VOL_REC[],2,FALSE),0)</f>
        <v>105072</v>
      </c>
      <c r="BC1052" s="246">
        <f>IFERROR(VLOOKUP(M1052,VOL_REC[],2,FALSE),0)</f>
        <v>0</v>
      </c>
      <c r="BD1052" s="246">
        <f>IFERROR(VLOOKUP(N1052,VOL_REC[],2,FALSE),0)</f>
        <v>0</v>
      </c>
      <c r="BE1052" s="246">
        <f>IFERROR(VLOOKUP(O1052,VOL_REC[],2,FALSE),0)</f>
        <v>0</v>
      </c>
      <c r="BF1052" s="246">
        <f>IFERROR(VLOOKUP(P1052,VOL_REC[],2,FALSE),0)</f>
        <v>0</v>
      </c>
      <c r="BG1052" s="246">
        <f>IFERROR(VLOOKUP(Q1052,VOL_REC[],2,FALSE),0)</f>
        <v>0</v>
      </c>
      <c r="BH1052" s="1710">
        <f t="shared" si="64"/>
        <v>20750167936.943726</v>
      </c>
      <c r="BI1052" s="1710">
        <f t="shared" si="65"/>
        <v>22185155871.752289</v>
      </c>
      <c r="BJ1052" s="1711">
        <f t="shared" si="66"/>
        <v>33625810.128921226</v>
      </c>
      <c r="BK1052" s="1711">
        <f t="shared" si="67"/>
        <v>0.93531765370034248</v>
      </c>
    </row>
    <row r="1053" spans="3:67" x14ac:dyDescent="0.25">
      <c r="C1053" s="246" t="s">
        <v>2403</v>
      </c>
      <c r="D1053" s="246">
        <v>1</v>
      </c>
      <c r="E1053" s="246">
        <v>2</v>
      </c>
      <c r="F1053" s="246">
        <v>3</v>
      </c>
      <c r="G1053" s="246">
        <v>4</v>
      </c>
      <c r="H1053" s="246">
        <v>5</v>
      </c>
      <c r="I1053" s="246">
        <v>6</v>
      </c>
      <c r="J1053" s="246">
        <v>10</v>
      </c>
      <c r="K1053" s="246">
        <v>13</v>
      </c>
      <c r="L1053" s="246">
        <v>16</v>
      </c>
      <c r="M1053" s="246"/>
      <c r="N1053" s="246"/>
      <c r="O1053" s="246"/>
      <c r="P1053" s="246"/>
      <c r="Q1053" s="246"/>
      <c r="R1053" s="246">
        <f>IFERROR(VLOOKUP(D1053,PROGRAMAS[],2,FALSE),0)</f>
        <v>97037803.679377079</v>
      </c>
      <c r="S1053" s="246">
        <f>IFERROR(VLOOKUP(E1053,PROGRAMAS[],2,FALSE),0)</f>
        <v>640501509.6821388</v>
      </c>
      <c r="T1053" s="246">
        <f>IFERROR(VLOOKUP(F1053,PROGRAMAS[],2,FALSE),0)</f>
        <v>3062327798.1525245</v>
      </c>
      <c r="U1053" s="246">
        <f>IFERROR(VLOOKUP(G1053,PROGRAMAS[],2,FALSE),0)</f>
        <v>67697118.033011258</v>
      </c>
      <c r="V1053" s="246">
        <f>IFERROR(VLOOKUP(H1053,PROGRAMAS[],2,FALSE),0)</f>
        <v>1440941976.2528784</v>
      </c>
      <c r="W1053" s="246">
        <f>IFERROR(VLOOKUP(I1053,PROGRAMAS[],2,FALSE),0)</f>
        <v>6907648435.8447599</v>
      </c>
      <c r="X1053" s="246">
        <f>IFERROR(VLOOKUP(J1053,PROGRAMAS[],2,FALSE),0)</f>
        <v>4635315027.8751087</v>
      </c>
      <c r="Y1053" s="246">
        <f>IFERROR(VLOOKUP(K1053,PROGRAMAS[],2,FALSE),0)</f>
        <v>3776538594.4604583</v>
      </c>
      <c r="Z1053" s="246">
        <f>IFERROR(VLOOKUP(L1053,PROGRAMAS[],2,FALSE),0)</f>
        <v>7068496961.0436354</v>
      </c>
      <c r="AA1053" s="246">
        <f>IFERROR(VLOOKUP(M1053,PROGRAMAS[],2,FALSE),0)</f>
        <v>0</v>
      </c>
      <c r="AB1053" s="246">
        <f>IFERROR(VLOOKUP(N1053,PROGRAMAS[],2,FALSE),0)</f>
        <v>0</v>
      </c>
      <c r="AC1053" s="246">
        <f>IFERROR(VLOOKUP(O1053,PROGRAMAS[],2,FALSE),0)</f>
        <v>0</v>
      </c>
      <c r="AD1053" s="246">
        <f>IFERROR(VLOOKUP(P1053,PROGRAMAS[],2,FALSE),0)</f>
        <v>0</v>
      </c>
      <c r="AE1053" s="246">
        <f>IFERROR(VLOOKUP(Q1053,PROGRAMAS[],2,FALSE),0)</f>
        <v>0</v>
      </c>
      <c r="AF1053" s="246">
        <f>IFERROR(VLOOKUP(D1053,PROGRAMAS[],3,FALSE),0)</f>
        <v>841888629.31080008</v>
      </c>
      <c r="AG1053" s="246">
        <f>IFERROR(VLOOKUP(E1053,PROGRAMAS[],3,FALSE),0)</f>
        <v>3848980803.1642323</v>
      </c>
      <c r="AH1053" s="246">
        <f>IFERROR(VLOOKUP(F1053,PROGRAMAS[],3,FALSE),0)</f>
        <v>3394901471.387517</v>
      </c>
      <c r="AI1053" s="246">
        <f>IFERROR(VLOOKUP(G1053,PROGRAMAS[],3,FALSE),0)</f>
        <v>125317226.95549992</v>
      </c>
      <c r="AJ1053" s="246">
        <f>IFERROR(VLOOKUP(H1053,PROGRAMAS[],3,FALSE),0)</f>
        <v>1233505101.0616004</v>
      </c>
      <c r="AK1053" s="246">
        <f>IFERROR(VLOOKUP(I1053,PROGRAMAS[],3,FALSE),0)</f>
        <v>6129902208.7912121</v>
      </c>
      <c r="AL1053" s="246">
        <f>IFERROR(VLOOKUP(J1053,PROGRAMAS[],3,FALSE),0)</f>
        <v>4099471734.9978786</v>
      </c>
      <c r="AM1053" s="246">
        <f>IFERROR(VLOOKUP(K1053,PROGRAMAS[],3,FALSE),0)</f>
        <v>2392571243.5584412</v>
      </c>
      <c r="AN1053" s="246">
        <f>IFERROR(VLOOKUP(L1053,PROGRAMAS[],3,FALSE),0)</f>
        <v>2406564599.0319901</v>
      </c>
      <c r="AO1053" s="246">
        <f>IFERROR(VLOOKUP(M1053,PROGRAMAS[],3,FALSE),0)</f>
        <v>0</v>
      </c>
      <c r="AP1053" s="246">
        <f>IFERROR(VLOOKUP(N1053,PROGRAMAS[],3,FALSE),0)</f>
        <v>0</v>
      </c>
      <c r="AQ1053" s="246">
        <f>IFERROR(VLOOKUP(O1053,PROGRAMAS[],3,FALSE),0)</f>
        <v>0</v>
      </c>
      <c r="AR1053" s="246">
        <f>IFERROR(VLOOKUP(P1053,PROGRAMAS[],3,FALSE),0)</f>
        <v>0</v>
      </c>
      <c r="AS1053" s="246">
        <f>IFERROR(VLOOKUP(Q1053,PROGRAMAS[],3,FALSE),0)</f>
        <v>0</v>
      </c>
      <c r="AT1053" s="246">
        <f>IFERROR(VLOOKUP(D1053,VOL_REC[],2,FALSE),0)</f>
        <v>0</v>
      </c>
      <c r="AU1053" s="246">
        <f>IFERROR(VLOOKUP(E1053,VOL_REC[],2,FALSE),0)</f>
        <v>0</v>
      </c>
      <c r="AV1053" s="246">
        <f>IFERROR(VLOOKUP(F1053,VOL_REC[],2,FALSE),0)</f>
        <v>11089674.200000001</v>
      </c>
      <c r="AW1053" s="246">
        <f>IFERROR(VLOOKUP(G1053,VOL_REC[],2,FALSE),0)</f>
        <v>90439.55</v>
      </c>
      <c r="AX1053" s="246">
        <f>IFERROR(VLOOKUP(H1053,VOL_REC[],2,FALSE),0)</f>
        <v>4325103.1812214684</v>
      </c>
      <c r="AY1053" s="246">
        <f>IFERROR(VLOOKUP(I1053,VOL_REC[],2,FALSE),0)</f>
        <v>15540036.397699751</v>
      </c>
      <c r="AZ1053" s="246">
        <f>IFERROR(VLOOKUP(J1053,VOL_REC[],2,FALSE),0)</f>
        <v>1812240</v>
      </c>
      <c r="BA1053" s="246">
        <f>IFERROR(VLOOKUP(K1053,VOL_REC[],2,FALSE),0)</f>
        <v>663244.80000000016</v>
      </c>
      <c r="BB1053" s="246">
        <f>IFERROR(VLOOKUP(L1053,VOL_REC[],2,FALSE),0)</f>
        <v>1072354.9981737854</v>
      </c>
      <c r="BC1053" s="246">
        <f>IFERROR(VLOOKUP(M1053,VOL_REC[],2,FALSE),0)</f>
        <v>0</v>
      </c>
      <c r="BD1053" s="246">
        <f>IFERROR(VLOOKUP(N1053,VOL_REC[],2,FALSE),0)</f>
        <v>0</v>
      </c>
      <c r="BE1053" s="246">
        <f>IFERROR(VLOOKUP(O1053,VOL_REC[],2,FALSE),0)</f>
        <v>0</v>
      </c>
      <c r="BF1053" s="246">
        <f>IFERROR(VLOOKUP(P1053,VOL_REC[],2,FALSE),0)</f>
        <v>0</v>
      </c>
      <c r="BG1053" s="246">
        <f>IFERROR(VLOOKUP(Q1053,VOL_REC[],2,FALSE),0)</f>
        <v>0</v>
      </c>
      <c r="BH1053" s="1710">
        <f t="shared" si="64"/>
        <v>27696505225.023895</v>
      </c>
      <c r="BI1053" s="1710">
        <f t="shared" si="65"/>
        <v>24473103018.259171</v>
      </c>
      <c r="BJ1053" s="1711">
        <f t="shared" si="66"/>
        <v>34593093.127095006</v>
      </c>
      <c r="BK1053" s="1711">
        <f t="shared" si="67"/>
        <v>1.1317120352233132</v>
      </c>
      <c r="BL1053">
        <f>BJ1053</f>
        <v>34593093.127095006</v>
      </c>
      <c r="BO1053">
        <f>BL1053</f>
        <v>34593093.127095006</v>
      </c>
    </row>
    <row r="1054" spans="3:67" x14ac:dyDescent="0.25">
      <c r="C1054" s="246" t="s">
        <v>2404</v>
      </c>
      <c r="D1054" s="246">
        <v>1</v>
      </c>
      <c r="E1054" s="246">
        <v>2</v>
      </c>
      <c r="F1054" s="246">
        <v>3</v>
      </c>
      <c r="G1054" s="246">
        <v>4</v>
      </c>
      <c r="H1054" s="246">
        <v>5</v>
      </c>
      <c r="I1054" s="246">
        <v>6</v>
      </c>
      <c r="J1054" s="246">
        <v>10</v>
      </c>
      <c r="K1054" s="246">
        <v>13</v>
      </c>
      <c r="L1054" s="246">
        <v>17</v>
      </c>
      <c r="M1054" s="246"/>
      <c r="N1054" s="246"/>
      <c r="O1054" s="246"/>
      <c r="P1054" s="246"/>
      <c r="Q1054" s="246"/>
      <c r="R1054" s="246">
        <f>IFERROR(VLOOKUP(D1054,PROGRAMAS[],2,FALSE),0)</f>
        <v>97037803.679377079</v>
      </c>
      <c r="S1054" s="246">
        <f>IFERROR(VLOOKUP(E1054,PROGRAMAS[],2,FALSE),0)</f>
        <v>640501509.6821388</v>
      </c>
      <c r="T1054" s="246">
        <f>IFERROR(VLOOKUP(F1054,PROGRAMAS[],2,FALSE),0)</f>
        <v>3062327798.1525245</v>
      </c>
      <c r="U1054" s="246">
        <f>IFERROR(VLOOKUP(G1054,PROGRAMAS[],2,FALSE),0)</f>
        <v>67697118.033011258</v>
      </c>
      <c r="V1054" s="246">
        <f>IFERROR(VLOOKUP(H1054,PROGRAMAS[],2,FALSE),0)</f>
        <v>1440941976.2528784</v>
      </c>
      <c r="W1054" s="246">
        <f>IFERROR(VLOOKUP(I1054,PROGRAMAS[],2,FALSE),0)</f>
        <v>6907648435.8447599</v>
      </c>
      <c r="X1054" s="246">
        <f>IFERROR(VLOOKUP(J1054,PROGRAMAS[],2,FALSE),0)</f>
        <v>4635315027.8751087</v>
      </c>
      <c r="Y1054" s="246">
        <f>IFERROR(VLOOKUP(K1054,PROGRAMAS[],2,FALSE),0)</f>
        <v>3776538594.4604583</v>
      </c>
      <c r="Z1054" s="246">
        <f>IFERROR(VLOOKUP(L1054,PROGRAMAS[],2,FALSE),0)</f>
        <v>1892779498.5211046</v>
      </c>
      <c r="AA1054" s="246">
        <f>IFERROR(VLOOKUP(M1054,PROGRAMAS[],2,FALSE),0)</f>
        <v>0</v>
      </c>
      <c r="AB1054" s="246">
        <f>IFERROR(VLOOKUP(N1054,PROGRAMAS[],2,FALSE),0)</f>
        <v>0</v>
      </c>
      <c r="AC1054" s="246">
        <f>IFERROR(VLOOKUP(O1054,PROGRAMAS[],2,FALSE),0)</f>
        <v>0</v>
      </c>
      <c r="AD1054" s="246">
        <f>IFERROR(VLOOKUP(P1054,PROGRAMAS[],2,FALSE),0)</f>
        <v>0</v>
      </c>
      <c r="AE1054" s="246">
        <f>IFERROR(VLOOKUP(Q1054,PROGRAMAS[],2,FALSE),0)</f>
        <v>0</v>
      </c>
      <c r="AF1054" s="246">
        <f>IFERROR(VLOOKUP(D1054,PROGRAMAS[],3,FALSE),0)</f>
        <v>841888629.31080008</v>
      </c>
      <c r="AG1054" s="246">
        <f>IFERROR(VLOOKUP(E1054,PROGRAMAS[],3,FALSE),0)</f>
        <v>3848980803.1642323</v>
      </c>
      <c r="AH1054" s="246">
        <f>IFERROR(VLOOKUP(F1054,PROGRAMAS[],3,FALSE),0)</f>
        <v>3394901471.387517</v>
      </c>
      <c r="AI1054" s="246">
        <f>IFERROR(VLOOKUP(G1054,PROGRAMAS[],3,FALSE),0)</f>
        <v>125317226.95549992</v>
      </c>
      <c r="AJ1054" s="246">
        <f>IFERROR(VLOOKUP(H1054,PROGRAMAS[],3,FALSE),0)</f>
        <v>1233505101.0616004</v>
      </c>
      <c r="AK1054" s="246">
        <f>IFERROR(VLOOKUP(I1054,PROGRAMAS[],3,FALSE),0)</f>
        <v>6129902208.7912121</v>
      </c>
      <c r="AL1054" s="246">
        <f>IFERROR(VLOOKUP(J1054,PROGRAMAS[],3,FALSE),0)</f>
        <v>4099471734.9978786</v>
      </c>
      <c r="AM1054" s="246">
        <f>IFERROR(VLOOKUP(K1054,PROGRAMAS[],3,FALSE),0)</f>
        <v>2392571243.5584412</v>
      </c>
      <c r="AN1054" s="246">
        <f>IFERROR(VLOOKUP(L1054,PROGRAMAS[],3,FALSE),0)</f>
        <v>948595847.09039903</v>
      </c>
      <c r="AO1054" s="246">
        <f>IFERROR(VLOOKUP(M1054,PROGRAMAS[],3,FALSE),0)</f>
        <v>0</v>
      </c>
      <c r="AP1054" s="246">
        <f>IFERROR(VLOOKUP(N1054,PROGRAMAS[],3,FALSE),0)</f>
        <v>0</v>
      </c>
      <c r="AQ1054" s="246">
        <f>IFERROR(VLOOKUP(O1054,PROGRAMAS[],3,FALSE),0)</f>
        <v>0</v>
      </c>
      <c r="AR1054" s="246">
        <f>IFERROR(VLOOKUP(P1054,PROGRAMAS[],3,FALSE),0)</f>
        <v>0</v>
      </c>
      <c r="AS1054" s="246">
        <f>IFERROR(VLOOKUP(Q1054,PROGRAMAS[],3,FALSE),0)</f>
        <v>0</v>
      </c>
      <c r="AT1054" s="246">
        <f>IFERROR(VLOOKUP(D1054,VOL_REC[],2,FALSE),0)</f>
        <v>0</v>
      </c>
      <c r="AU1054" s="246">
        <f>IFERROR(VLOOKUP(E1054,VOL_REC[],2,FALSE),0)</f>
        <v>0</v>
      </c>
      <c r="AV1054" s="246">
        <f>IFERROR(VLOOKUP(F1054,VOL_REC[],2,FALSE),0)</f>
        <v>11089674.200000001</v>
      </c>
      <c r="AW1054" s="246">
        <f>IFERROR(VLOOKUP(G1054,VOL_REC[],2,FALSE),0)</f>
        <v>90439.55</v>
      </c>
      <c r="AX1054" s="246">
        <f>IFERROR(VLOOKUP(H1054,VOL_REC[],2,FALSE),0)</f>
        <v>4325103.1812214684</v>
      </c>
      <c r="AY1054" s="246">
        <f>IFERROR(VLOOKUP(I1054,VOL_REC[],2,FALSE),0)</f>
        <v>15540036.397699751</v>
      </c>
      <c r="AZ1054" s="246">
        <f>IFERROR(VLOOKUP(J1054,VOL_REC[],2,FALSE),0)</f>
        <v>1812240</v>
      </c>
      <c r="BA1054" s="246">
        <f>IFERROR(VLOOKUP(K1054,VOL_REC[],2,FALSE),0)</f>
        <v>663244.80000000016</v>
      </c>
      <c r="BB1054" s="246">
        <f>IFERROR(VLOOKUP(L1054,VOL_REC[],2,FALSE),0)</f>
        <v>740113.98115702497</v>
      </c>
      <c r="BC1054" s="246">
        <f>IFERROR(VLOOKUP(M1054,VOL_REC[],2,FALSE),0)</f>
        <v>0</v>
      </c>
      <c r="BD1054" s="246">
        <f>IFERROR(VLOOKUP(N1054,VOL_REC[],2,FALSE),0)</f>
        <v>0</v>
      </c>
      <c r="BE1054" s="246">
        <f>IFERROR(VLOOKUP(O1054,VOL_REC[],2,FALSE),0)</f>
        <v>0</v>
      </c>
      <c r="BF1054" s="246">
        <f>IFERROR(VLOOKUP(P1054,VOL_REC[],2,FALSE),0)</f>
        <v>0</v>
      </c>
      <c r="BG1054" s="246">
        <f>IFERROR(VLOOKUP(Q1054,VOL_REC[],2,FALSE),0)</f>
        <v>0</v>
      </c>
      <c r="BH1054" s="1710">
        <f t="shared" si="64"/>
        <v>22520787762.501362</v>
      </c>
      <c r="BI1054" s="1710">
        <f t="shared" si="65"/>
        <v>23015134266.317581</v>
      </c>
      <c r="BJ1054" s="1711">
        <f t="shared" si="66"/>
        <v>34260852.110078245</v>
      </c>
      <c r="BK1054" s="1711">
        <f t="shared" si="67"/>
        <v>0.97852080730462254</v>
      </c>
    </row>
    <row r="1055" spans="3:67" x14ac:dyDescent="0.25">
      <c r="C1055" s="246" t="s">
        <v>2405</v>
      </c>
      <c r="D1055" s="246">
        <v>1</v>
      </c>
      <c r="E1055" s="246">
        <v>2</v>
      </c>
      <c r="F1055" s="246">
        <v>3</v>
      </c>
      <c r="G1055" s="246">
        <v>4</v>
      </c>
      <c r="H1055" s="246">
        <v>5</v>
      </c>
      <c r="I1055" s="246">
        <v>6</v>
      </c>
      <c r="J1055" s="246">
        <v>10</v>
      </c>
      <c r="K1055" s="246">
        <v>14</v>
      </c>
      <c r="L1055" s="246">
        <v>15</v>
      </c>
      <c r="M1055" s="246"/>
      <c r="N1055" s="246"/>
      <c r="O1055" s="246"/>
      <c r="P1055" s="246"/>
      <c r="Q1055" s="246"/>
      <c r="R1055" s="246">
        <f>IFERROR(VLOOKUP(D1055,PROGRAMAS[],2,FALSE),0)</f>
        <v>97037803.679377079</v>
      </c>
      <c r="S1055" s="246">
        <f>IFERROR(VLOOKUP(E1055,PROGRAMAS[],2,FALSE),0)</f>
        <v>640501509.6821388</v>
      </c>
      <c r="T1055" s="246">
        <f>IFERROR(VLOOKUP(F1055,PROGRAMAS[],2,FALSE),0)</f>
        <v>3062327798.1525245</v>
      </c>
      <c r="U1055" s="246">
        <f>IFERROR(VLOOKUP(G1055,PROGRAMAS[],2,FALSE),0)</f>
        <v>67697118.033011258</v>
      </c>
      <c r="V1055" s="246">
        <f>IFERROR(VLOOKUP(H1055,PROGRAMAS[],2,FALSE),0)</f>
        <v>1440941976.2528784</v>
      </c>
      <c r="W1055" s="246">
        <f>IFERROR(VLOOKUP(I1055,PROGRAMAS[],2,FALSE),0)</f>
        <v>6907648435.8447599</v>
      </c>
      <c r="X1055" s="246">
        <f>IFERROR(VLOOKUP(J1055,PROGRAMAS[],2,FALSE),0)</f>
        <v>4635315027.8751087</v>
      </c>
      <c r="Y1055" s="246">
        <f>IFERROR(VLOOKUP(K1055,PROGRAMAS[],2,FALSE),0)</f>
        <v>54223862.645839565</v>
      </c>
      <c r="Z1055" s="246">
        <f>IFERROR(VLOOKUP(L1055,PROGRAMAS[],2,FALSE),0)</f>
        <v>122159672.96346797</v>
      </c>
      <c r="AA1055" s="246">
        <f>IFERROR(VLOOKUP(M1055,PROGRAMAS[],2,FALSE),0)</f>
        <v>0</v>
      </c>
      <c r="AB1055" s="246">
        <f>IFERROR(VLOOKUP(N1055,PROGRAMAS[],2,FALSE),0)</f>
        <v>0</v>
      </c>
      <c r="AC1055" s="246">
        <f>IFERROR(VLOOKUP(O1055,PROGRAMAS[],2,FALSE),0)</f>
        <v>0</v>
      </c>
      <c r="AD1055" s="246">
        <f>IFERROR(VLOOKUP(P1055,PROGRAMAS[],2,FALSE),0)</f>
        <v>0</v>
      </c>
      <c r="AE1055" s="246">
        <f>IFERROR(VLOOKUP(Q1055,PROGRAMAS[],2,FALSE),0)</f>
        <v>0</v>
      </c>
      <c r="AF1055" s="246">
        <f>IFERROR(VLOOKUP(D1055,PROGRAMAS[],3,FALSE),0)</f>
        <v>841888629.31080008</v>
      </c>
      <c r="AG1055" s="246">
        <f>IFERROR(VLOOKUP(E1055,PROGRAMAS[],3,FALSE),0)</f>
        <v>3848980803.1642323</v>
      </c>
      <c r="AH1055" s="246">
        <f>IFERROR(VLOOKUP(F1055,PROGRAMAS[],3,FALSE),0)</f>
        <v>3394901471.387517</v>
      </c>
      <c r="AI1055" s="246">
        <f>IFERROR(VLOOKUP(G1055,PROGRAMAS[],3,FALSE),0)</f>
        <v>125317226.95549992</v>
      </c>
      <c r="AJ1055" s="246">
        <f>IFERROR(VLOOKUP(H1055,PROGRAMAS[],3,FALSE),0)</f>
        <v>1233505101.0616004</v>
      </c>
      <c r="AK1055" s="246">
        <f>IFERROR(VLOOKUP(I1055,PROGRAMAS[],3,FALSE),0)</f>
        <v>6129902208.7912121</v>
      </c>
      <c r="AL1055" s="246">
        <f>IFERROR(VLOOKUP(J1055,PROGRAMAS[],3,FALSE),0)</f>
        <v>4099471734.9978786</v>
      </c>
      <c r="AM1055" s="246">
        <f>IFERROR(VLOOKUP(K1055,PROGRAMAS[],3,FALSE),0)</f>
        <v>31865326.38096505</v>
      </c>
      <c r="AN1055" s="246">
        <f>IFERROR(VLOOKUP(L1055,PROGRAMAS[],3,FALSE),0)</f>
        <v>118617452.52510804</v>
      </c>
      <c r="AO1055" s="246">
        <f>IFERROR(VLOOKUP(M1055,PROGRAMAS[],3,FALSE),0)</f>
        <v>0</v>
      </c>
      <c r="AP1055" s="246">
        <f>IFERROR(VLOOKUP(N1055,PROGRAMAS[],3,FALSE),0)</f>
        <v>0</v>
      </c>
      <c r="AQ1055" s="246">
        <f>IFERROR(VLOOKUP(O1055,PROGRAMAS[],3,FALSE),0)</f>
        <v>0</v>
      </c>
      <c r="AR1055" s="246">
        <f>IFERROR(VLOOKUP(P1055,PROGRAMAS[],3,FALSE),0)</f>
        <v>0</v>
      </c>
      <c r="AS1055" s="246">
        <f>IFERROR(VLOOKUP(Q1055,PROGRAMAS[],3,FALSE),0)</f>
        <v>0</v>
      </c>
      <c r="AT1055" s="246">
        <f>IFERROR(VLOOKUP(D1055,VOL_REC[],2,FALSE),0)</f>
        <v>0</v>
      </c>
      <c r="AU1055" s="246">
        <f>IFERROR(VLOOKUP(E1055,VOL_REC[],2,FALSE),0)</f>
        <v>0</v>
      </c>
      <c r="AV1055" s="246">
        <f>IFERROR(VLOOKUP(F1055,VOL_REC[],2,FALSE),0)</f>
        <v>11089674.200000001</v>
      </c>
      <c r="AW1055" s="246">
        <f>IFERROR(VLOOKUP(G1055,VOL_REC[],2,FALSE),0)</f>
        <v>90439.55</v>
      </c>
      <c r="AX1055" s="246">
        <f>IFERROR(VLOOKUP(H1055,VOL_REC[],2,FALSE),0)</f>
        <v>4325103.1812214684</v>
      </c>
      <c r="AY1055" s="246">
        <f>IFERROR(VLOOKUP(I1055,VOL_REC[],2,FALSE),0)</f>
        <v>15540036.397699751</v>
      </c>
      <c r="AZ1055" s="246">
        <f>IFERROR(VLOOKUP(J1055,VOL_REC[],2,FALSE),0)</f>
        <v>1812240</v>
      </c>
      <c r="BA1055" s="246">
        <f>IFERROR(VLOOKUP(K1055,VOL_REC[],2,FALSE),0)</f>
        <v>17074.045034105649</v>
      </c>
      <c r="BB1055" s="246">
        <f>IFERROR(VLOOKUP(L1055,VOL_REC[],2,FALSE),0)</f>
        <v>105072</v>
      </c>
      <c r="BC1055" s="246">
        <f>IFERROR(VLOOKUP(M1055,VOL_REC[],2,FALSE),0)</f>
        <v>0</v>
      </c>
      <c r="BD1055" s="246">
        <f>IFERROR(VLOOKUP(N1055,VOL_REC[],2,FALSE),0)</f>
        <v>0</v>
      </c>
      <c r="BE1055" s="246">
        <f>IFERROR(VLOOKUP(O1055,VOL_REC[],2,FALSE),0)</f>
        <v>0</v>
      </c>
      <c r="BF1055" s="246">
        <f>IFERROR(VLOOKUP(P1055,VOL_REC[],2,FALSE),0)</f>
        <v>0</v>
      </c>
      <c r="BG1055" s="246">
        <f>IFERROR(VLOOKUP(Q1055,VOL_REC[],2,FALSE),0)</f>
        <v>0</v>
      </c>
      <c r="BH1055" s="1710">
        <f t="shared" si="64"/>
        <v>17027853205.129108</v>
      </c>
      <c r="BI1055" s="1710">
        <f t="shared" si="65"/>
        <v>19824449954.574814</v>
      </c>
      <c r="BJ1055" s="1711">
        <f t="shared" si="66"/>
        <v>32979639.373955328</v>
      </c>
      <c r="BK1055" s="1711">
        <f t="shared" si="67"/>
        <v>0.85893193728684791</v>
      </c>
    </row>
    <row r="1056" spans="3:67" x14ac:dyDescent="0.25">
      <c r="C1056" s="246" t="s">
        <v>2406</v>
      </c>
      <c r="D1056" s="246">
        <v>1</v>
      </c>
      <c r="E1056" s="246">
        <v>2</v>
      </c>
      <c r="F1056" s="246">
        <v>3</v>
      </c>
      <c r="G1056" s="246">
        <v>4</v>
      </c>
      <c r="H1056" s="246">
        <v>5</v>
      </c>
      <c r="I1056" s="246">
        <v>6</v>
      </c>
      <c r="J1056" s="246">
        <v>10</v>
      </c>
      <c r="K1056" s="246">
        <v>14</v>
      </c>
      <c r="L1056" s="246">
        <v>16</v>
      </c>
      <c r="M1056" s="246"/>
      <c r="N1056" s="246"/>
      <c r="O1056" s="246"/>
      <c r="P1056" s="246"/>
      <c r="Q1056" s="246"/>
      <c r="R1056" s="246">
        <f>IFERROR(VLOOKUP(D1056,PROGRAMAS[],2,FALSE),0)</f>
        <v>97037803.679377079</v>
      </c>
      <c r="S1056" s="246">
        <f>IFERROR(VLOOKUP(E1056,PROGRAMAS[],2,FALSE),0)</f>
        <v>640501509.6821388</v>
      </c>
      <c r="T1056" s="246">
        <f>IFERROR(VLOOKUP(F1056,PROGRAMAS[],2,FALSE),0)</f>
        <v>3062327798.1525245</v>
      </c>
      <c r="U1056" s="246">
        <f>IFERROR(VLOOKUP(G1056,PROGRAMAS[],2,FALSE),0)</f>
        <v>67697118.033011258</v>
      </c>
      <c r="V1056" s="246">
        <f>IFERROR(VLOOKUP(H1056,PROGRAMAS[],2,FALSE),0)</f>
        <v>1440941976.2528784</v>
      </c>
      <c r="W1056" s="246">
        <f>IFERROR(VLOOKUP(I1056,PROGRAMAS[],2,FALSE),0)</f>
        <v>6907648435.8447599</v>
      </c>
      <c r="X1056" s="246">
        <f>IFERROR(VLOOKUP(J1056,PROGRAMAS[],2,FALSE),0)</f>
        <v>4635315027.8751087</v>
      </c>
      <c r="Y1056" s="246">
        <f>IFERROR(VLOOKUP(K1056,PROGRAMAS[],2,FALSE),0)</f>
        <v>54223862.645839565</v>
      </c>
      <c r="Z1056" s="246">
        <f>IFERROR(VLOOKUP(L1056,PROGRAMAS[],2,FALSE),0)</f>
        <v>7068496961.0436354</v>
      </c>
      <c r="AA1056" s="246">
        <f>IFERROR(VLOOKUP(M1056,PROGRAMAS[],2,FALSE),0)</f>
        <v>0</v>
      </c>
      <c r="AB1056" s="246">
        <f>IFERROR(VLOOKUP(N1056,PROGRAMAS[],2,FALSE),0)</f>
        <v>0</v>
      </c>
      <c r="AC1056" s="246">
        <f>IFERROR(VLOOKUP(O1056,PROGRAMAS[],2,FALSE),0)</f>
        <v>0</v>
      </c>
      <c r="AD1056" s="246">
        <f>IFERROR(VLOOKUP(P1056,PROGRAMAS[],2,FALSE),0)</f>
        <v>0</v>
      </c>
      <c r="AE1056" s="246">
        <f>IFERROR(VLOOKUP(Q1056,PROGRAMAS[],2,FALSE),0)</f>
        <v>0</v>
      </c>
      <c r="AF1056" s="246">
        <f>IFERROR(VLOOKUP(D1056,PROGRAMAS[],3,FALSE),0)</f>
        <v>841888629.31080008</v>
      </c>
      <c r="AG1056" s="246">
        <f>IFERROR(VLOOKUP(E1056,PROGRAMAS[],3,FALSE),0)</f>
        <v>3848980803.1642323</v>
      </c>
      <c r="AH1056" s="246">
        <f>IFERROR(VLOOKUP(F1056,PROGRAMAS[],3,FALSE),0)</f>
        <v>3394901471.387517</v>
      </c>
      <c r="AI1056" s="246">
        <f>IFERROR(VLOOKUP(G1056,PROGRAMAS[],3,FALSE),0)</f>
        <v>125317226.95549992</v>
      </c>
      <c r="AJ1056" s="246">
        <f>IFERROR(VLOOKUP(H1056,PROGRAMAS[],3,FALSE),0)</f>
        <v>1233505101.0616004</v>
      </c>
      <c r="AK1056" s="246">
        <f>IFERROR(VLOOKUP(I1056,PROGRAMAS[],3,FALSE),0)</f>
        <v>6129902208.7912121</v>
      </c>
      <c r="AL1056" s="246">
        <f>IFERROR(VLOOKUP(J1056,PROGRAMAS[],3,FALSE),0)</f>
        <v>4099471734.9978786</v>
      </c>
      <c r="AM1056" s="246">
        <f>IFERROR(VLOOKUP(K1056,PROGRAMAS[],3,FALSE),0)</f>
        <v>31865326.38096505</v>
      </c>
      <c r="AN1056" s="246">
        <f>IFERROR(VLOOKUP(L1056,PROGRAMAS[],3,FALSE),0)</f>
        <v>2406564599.0319901</v>
      </c>
      <c r="AO1056" s="246">
        <f>IFERROR(VLOOKUP(M1056,PROGRAMAS[],3,FALSE),0)</f>
        <v>0</v>
      </c>
      <c r="AP1056" s="246">
        <f>IFERROR(VLOOKUP(N1056,PROGRAMAS[],3,FALSE),0)</f>
        <v>0</v>
      </c>
      <c r="AQ1056" s="246">
        <f>IFERROR(VLOOKUP(O1056,PROGRAMAS[],3,FALSE),0)</f>
        <v>0</v>
      </c>
      <c r="AR1056" s="246">
        <f>IFERROR(VLOOKUP(P1056,PROGRAMAS[],3,FALSE),0)</f>
        <v>0</v>
      </c>
      <c r="AS1056" s="246">
        <f>IFERROR(VLOOKUP(Q1056,PROGRAMAS[],3,FALSE),0)</f>
        <v>0</v>
      </c>
      <c r="AT1056" s="246">
        <f>IFERROR(VLOOKUP(D1056,VOL_REC[],2,FALSE),0)</f>
        <v>0</v>
      </c>
      <c r="AU1056" s="246">
        <f>IFERROR(VLOOKUP(E1056,VOL_REC[],2,FALSE),0)</f>
        <v>0</v>
      </c>
      <c r="AV1056" s="246">
        <f>IFERROR(VLOOKUP(F1056,VOL_REC[],2,FALSE),0)</f>
        <v>11089674.200000001</v>
      </c>
      <c r="AW1056" s="246">
        <f>IFERROR(VLOOKUP(G1056,VOL_REC[],2,FALSE),0)</f>
        <v>90439.55</v>
      </c>
      <c r="AX1056" s="246">
        <f>IFERROR(VLOOKUP(H1056,VOL_REC[],2,FALSE),0)</f>
        <v>4325103.1812214684</v>
      </c>
      <c r="AY1056" s="246">
        <f>IFERROR(VLOOKUP(I1056,VOL_REC[],2,FALSE),0)</f>
        <v>15540036.397699751</v>
      </c>
      <c r="AZ1056" s="246">
        <f>IFERROR(VLOOKUP(J1056,VOL_REC[],2,FALSE),0)</f>
        <v>1812240</v>
      </c>
      <c r="BA1056" s="246">
        <f>IFERROR(VLOOKUP(K1056,VOL_REC[],2,FALSE),0)</f>
        <v>17074.045034105649</v>
      </c>
      <c r="BB1056" s="246">
        <f>IFERROR(VLOOKUP(L1056,VOL_REC[],2,FALSE),0)</f>
        <v>1072354.9981737854</v>
      </c>
      <c r="BC1056" s="246">
        <f>IFERROR(VLOOKUP(M1056,VOL_REC[],2,FALSE),0)</f>
        <v>0</v>
      </c>
      <c r="BD1056" s="246">
        <f>IFERROR(VLOOKUP(N1056,VOL_REC[],2,FALSE),0)</f>
        <v>0</v>
      </c>
      <c r="BE1056" s="246">
        <f>IFERROR(VLOOKUP(O1056,VOL_REC[],2,FALSE),0)</f>
        <v>0</v>
      </c>
      <c r="BF1056" s="246">
        <f>IFERROR(VLOOKUP(P1056,VOL_REC[],2,FALSE),0)</f>
        <v>0</v>
      </c>
      <c r="BG1056" s="246">
        <f>IFERROR(VLOOKUP(Q1056,VOL_REC[],2,FALSE),0)</f>
        <v>0</v>
      </c>
      <c r="BH1056" s="1710">
        <f t="shared" si="64"/>
        <v>23974190493.209274</v>
      </c>
      <c r="BI1056" s="1710">
        <f t="shared" si="65"/>
        <v>22112397101.081696</v>
      </c>
      <c r="BJ1056" s="1711">
        <f t="shared" si="66"/>
        <v>33946922.372129112</v>
      </c>
      <c r="BK1056" s="1711">
        <f t="shared" si="67"/>
        <v>1.0841968142855261</v>
      </c>
      <c r="BL1056">
        <f>BJ1056</f>
        <v>33946922.372129112</v>
      </c>
      <c r="BO1056">
        <f>BL1056</f>
        <v>33946922.372129112</v>
      </c>
    </row>
    <row r="1057" spans="3:67" x14ac:dyDescent="0.25">
      <c r="C1057" s="246" t="s">
        <v>2407</v>
      </c>
      <c r="D1057" s="246">
        <v>1</v>
      </c>
      <c r="E1057" s="246">
        <v>2</v>
      </c>
      <c r="F1057" s="246">
        <v>3</v>
      </c>
      <c r="G1057" s="246">
        <v>4</v>
      </c>
      <c r="H1057" s="246">
        <v>5</v>
      </c>
      <c r="I1057" s="246">
        <v>6</v>
      </c>
      <c r="J1057" s="246">
        <v>10</v>
      </c>
      <c r="K1057" s="246">
        <v>14</v>
      </c>
      <c r="L1057" s="246">
        <v>17</v>
      </c>
      <c r="M1057" s="246"/>
      <c r="N1057" s="246"/>
      <c r="O1057" s="246"/>
      <c r="P1057" s="246"/>
      <c r="Q1057" s="246"/>
      <c r="R1057" s="246">
        <f>IFERROR(VLOOKUP(D1057,PROGRAMAS[],2,FALSE),0)</f>
        <v>97037803.679377079</v>
      </c>
      <c r="S1057" s="246">
        <f>IFERROR(VLOOKUP(E1057,PROGRAMAS[],2,FALSE),0)</f>
        <v>640501509.6821388</v>
      </c>
      <c r="T1057" s="246">
        <f>IFERROR(VLOOKUP(F1057,PROGRAMAS[],2,FALSE),0)</f>
        <v>3062327798.1525245</v>
      </c>
      <c r="U1057" s="246">
        <f>IFERROR(VLOOKUP(G1057,PROGRAMAS[],2,FALSE),0)</f>
        <v>67697118.033011258</v>
      </c>
      <c r="V1057" s="246">
        <f>IFERROR(VLOOKUP(H1057,PROGRAMAS[],2,FALSE),0)</f>
        <v>1440941976.2528784</v>
      </c>
      <c r="W1057" s="246">
        <f>IFERROR(VLOOKUP(I1057,PROGRAMAS[],2,FALSE),0)</f>
        <v>6907648435.8447599</v>
      </c>
      <c r="X1057" s="246">
        <f>IFERROR(VLOOKUP(J1057,PROGRAMAS[],2,FALSE),0)</f>
        <v>4635315027.8751087</v>
      </c>
      <c r="Y1057" s="246">
        <f>IFERROR(VLOOKUP(K1057,PROGRAMAS[],2,FALSE),0)</f>
        <v>54223862.645839565</v>
      </c>
      <c r="Z1057" s="246">
        <f>IFERROR(VLOOKUP(L1057,PROGRAMAS[],2,FALSE),0)</f>
        <v>1892779498.5211046</v>
      </c>
      <c r="AA1057" s="246">
        <f>IFERROR(VLOOKUP(M1057,PROGRAMAS[],2,FALSE),0)</f>
        <v>0</v>
      </c>
      <c r="AB1057" s="246">
        <f>IFERROR(VLOOKUP(N1057,PROGRAMAS[],2,FALSE),0)</f>
        <v>0</v>
      </c>
      <c r="AC1057" s="246">
        <f>IFERROR(VLOOKUP(O1057,PROGRAMAS[],2,FALSE),0)</f>
        <v>0</v>
      </c>
      <c r="AD1057" s="246">
        <f>IFERROR(VLOOKUP(P1057,PROGRAMAS[],2,FALSE),0)</f>
        <v>0</v>
      </c>
      <c r="AE1057" s="246">
        <f>IFERROR(VLOOKUP(Q1057,PROGRAMAS[],2,FALSE),0)</f>
        <v>0</v>
      </c>
      <c r="AF1057" s="246">
        <f>IFERROR(VLOOKUP(D1057,PROGRAMAS[],3,FALSE),0)</f>
        <v>841888629.31080008</v>
      </c>
      <c r="AG1057" s="246">
        <f>IFERROR(VLOOKUP(E1057,PROGRAMAS[],3,FALSE),0)</f>
        <v>3848980803.1642323</v>
      </c>
      <c r="AH1057" s="246">
        <f>IFERROR(VLOOKUP(F1057,PROGRAMAS[],3,FALSE),0)</f>
        <v>3394901471.387517</v>
      </c>
      <c r="AI1057" s="246">
        <f>IFERROR(VLOOKUP(G1057,PROGRAMAS[],3,FALSE),0)</f>
        <v>125317226.95549992</v>
      </c>
      <c r="AJ1057" s="246">
        <f>IFERROR(VLOOKUP(H1057,PROGRAMAS[],3,FALSE),0)</f>
        <v>1233505101.0616004</v>
      </c>
      <c r="AK1057" s="246">
        <f>IFERROR(VLOOKUP(I1057,PROGRAMAS[],3,FALSE),0)</f>
        <v>6129902208.7912121</v>
      </c>
      <c r="AL1057" s="246">
        <f>IFERROR(VLOOKUP(J1057,PROGRAMAS[],3,FALSE),0)</f>
        <v>4099471734.9978786</v>
      </c>
      <c r="AM1057" s="246">
        <f>IFERROR(VLOOKUP(K1057,PROGRAMAS[],3,FALSE),0)</f>
        <v>31865326.38096505</v>
      </c>
      <c r="AN1057" s="246">
        <f>IFERROR(VLOOKUP(L1057,PROGRAMAS[],3,FALSE),0)</f>
        <v>948595847.09039903</v>
      </c>
      <c r="AO1057" s="246">
        <f>IFERROR(VLOOKUP(M1057,PROGRAMAS[],3,FALSE),0)</f>
        <v>0</v>
      </c>
      <c r="AP1057" s="246">
        <f>IFERROR(VLOOKUP(N1057,PROGRAMAS[],3,FALSE),0)</f>
        <v>0</v>
      </c>
      <c r="AQ1057" s="246">
        <f>IFERROR(VLOOKUP(O1057,PROGRAMAS[],3,FALSE),0)</f>
        <v>0</v>
      </c>
      <c r="AR1057" s="246">
        <f>IFERROR(VLOOKUP(P1057,PROGRAMAS[],3,FALSE),0)</f>
        <v>0</v>
      </c>
      <c r="AS1057" s="246">
        <f>IFERROR(VLOOKUP(Q1057,PROGRAMAS[],3,FALSE),0)</f>
        <v>0</v>
      </c>
      <c r="AT1057" s="246">
        <f>IFERROR(VLOOKUP(D1057,VOL_REC[],2,FALSE),0)</f>
        <v>0</v>
      </c>
      <c r="AU1057" s="246">
        <f>IFERROR(VLOOKUP(E1057,VOL_REC[],2,FALSE),0)</f>
        <v>0</v>
      </c>
      <c r="AV1057" s="246">
        <f>IFERROR(VLOOKUP(F1057,VOL_REC[],2,FALSE),0)</f>
        <v>11089674.200000001</v>
      </c>
      <c r="AW1057" s="246">
        <f>IFERROR(VLOOKUP(G1057,VOL_REC[],2,FALSE),0)</f>
        <v>90439.55</v>
      </c>
      <c r="AX1057" s="246">
        <f>IFERROR(VLOOKUP(H1057,VOL_REC[],2,FALSE),0)</f>
        <v>4325103.1812214684</v>
      </c>
      <c r="AY1057" s="246">
        <f>IFERROR(VLOOKUP(I1057,VOL_REC[],2,FALSE),0)</f>
        <v>15540036.397699751</v>
      </c>
      <c r="AZ1057" s="246">
        <f>IFERROR(VLOOKUP(J1057,VOL_REC[],2,FALSE),0)</f>
        <v>1812240</v>
      </c>
      <c r="BA1057" s="246">
        <f>IFERROR(VLOOKUP(K1057,VOL_REC[],2,FALSE),0)</f>
        <v>17074.045034105649</v>
      </c>
      <c r="BB1057" s="246">
        <f>IFERROR(VLOOKUP(L1057,VOL_REC[],2,FALSE),0)</f>
        <v>740113.98115702497</v>
      </c>
      <c r="BC1057" s="246">
        <f>IFERROR(VLOOKUP(M1057,VOL_REC[],2,FALSE),0)</f>
        <v>0</v>
      </c>
      <c r="BD1057" s="246">
        <f>IFERROR(VLOOKUP(N1057,VOL_REC[],2,FALSE),0)</f>
        <v>0</v>
      </c>
      <c r="BE1057" s="246">
        <f>IFERROR(VLOOKUP(O1057,VOL_REC[],2,FALSE),0)</f>
        <v>0</v>
      </c>
      <c r="BF1057" s="246">
        <f>IFERROR(VLOOKUP(P1057,VOL_REC[],2,FALSE),0)</f>
        <v>0</v>
      </c>
      <c r="BG1057" s="246">
        <f>IFERROR(VLOOKUP(Q1057,VOL_REC[],2,FALSE),0)</f>
        <v>0</v>
      </c>
      <c r="BH1057" s="1710">
        <f t="shared" si="64"/>
        <v>18798473030.686745</v>
      </c>
      <c r="BI1057" s="1710">
        <f t="shared" si="65"/>
        <v>20654428349.140106</v>
      </c>
      <c r="BJ1057" s="1711">
        <f t="shared" si="66"/>
        <v>33614681.355112351</v>
      </c>
      <c r="BK1057" s="1711">
        <f t="shared" si="67"/>
        <v>0.91014249888302379</v>
      </c>
    </row>
    <row r="1058" spans="3:67" x14ac:dyDescent="0.25">
      <c r="C1058" s="246" t="s">
        <v>2408</v>
      </c>
      <c r="D1058" s="246">
        <v>1</v>
      </c>
      <c r="E1058" s="246">
        <v>2</v>
      </c>
      <c r="F1058" s="246">
        <v>3</v>
      </c>
      <c r="G1058" s="246">
        <v>4</v>
      </c>
      <c r="H1058" s="246">
        <v>5</v>
      </c>
      <c r="I1058" s="246">
        <v>6</v>
      </c>
      <c r="J1058" s="246">
        <v>10</v>
      </c>
      <c r="K1058" s="246">
        <v>15</v>
      </c>
      <c r="L1058" s="246">
        <v>16</v>
      </c>
      <c r="M1058" s="246"/>
      <c r="N1058" s="246"/>
      <c r="O1058" s="246"/>
      <c r="P1058" s="246"/>
      <c r="Q1058" s="246"/>
      <c r="R1058" s="246">
        <f>IFERROR(VLOOKUP(D1058,PROGRAMAS[],2,FALSE),0)</f>
        <v>97037803.679377079</v>
      </c>
      <c r="S1058" s="246">
        <f>IFERROR(VLOOKUP(E1058,PROGRAMAS[],2,FALSE),0)</f>
        <v>640501509.6821388</v>
      </c>
      <c r="T1058" s="246">
        <f>IFERROR(VLOOKUP(F1058,PROGRAMAS[],2,FALSE),0)</f>
        <v>3062327798.1525245</v>
      </c>
      <c r="U1058" s="246">
        <f>IFERROR(VLOOKUP(G1058,PROGRAMAS[],2,FALSE),0)</f>
        <v>67697118.033011258</v>
      </c>
      <c r="V1058" s="246">
        <f>IFERROR(VLOOKUP(H1058,PROGRAMAS[],2,FALSE),0)</f>
        <v>1440941976.2528784</v>
      </c>
      <c r="W1058" s="246">
        <f>IFERROR(VLOOKUP(I1058,PROGRAMAS[],2,FALSE),0)</f>
        <v>6907648435.8447599</v>
      </c>
      <c r="X1058" s="246">
        <f>IFERROR(VLOOKUP(J1058,PROGRAMAS[],2,FALSE),0)</f>
        <v>4635315027.8751087</v>
      </c>
      <c r="Y1058" s="246">
        <f>IFERROR(VLOOKUP(K1058,PROGRAMAS[],2,FALSE),0)</f>
        <v>122159672.96346797</v>
      </c>
      <c r="Z1058" s="246">
        <f>IFERROR(VLOOKUP(L1058,PROGRAMAS[],2,FALSE),0)</f>
        <v>7068496961.0436354</v>
      </c>
      <c r="AA1058" s="246">
        <f>IFERROR(VLOOKUP(M1058,PROGRAMAS[],2,FALSE),0)</f>
        <v>0</v>
      </c>
      <c r="AB1058" s="246">
        <f>IFERROR(VLOOKUP(N1058,PROGRAMAS[],2,FALSE),0)</f>
        <v>0</v>
      </c>
      <c r="AC1058" s="246">
        <f>IFERROR(VLOOKUP(O1058,PROGRAMAS[],2,FALSE),0)</f>
        <v>0</v>
      </c>
      <c r="AD1058" s="246">
        <f>IFERROR(VLOOKUP(P1058,PROGRAMAS[],2,FALSE),0)</f>
        <v>0</v>
      </c>
      <c r="AE1058" s="246">
        <f>IFERROR(VLOOKUP(Q1058,PROGRAMAS[],2,FALSE),0)</f>
        <v>0</v>
      </c>
      <c r="AF1058" s="246">
        <f>IFERROR(VLOOKUP(D1058,PROGRAMAS[],3,FALSE),0)</f>
        <v>841888629.31080008</v>
      </c>
      <c r="AG1058" s="246">
        <f>IFERROR(VLOOKUP(E1058,PROGRAMAS[],3,FALSE),0)</f>
        <v>3848980803.1642323</v>
      </c>
      <c r="AH1058" s="246">
        <f>IFERROR(VLOOKUP(F1058,PROGRAMAS[],3,FALSE),0)</f>
        <v>3394901471.387517</v>
      </c>
      <c r="AI1058" s="246">
        <f>IFERROR(VLOOKUP(G1058,PROGRAMAS[],3,FALSE),0)</f>
        <v>125317226.95549992</v>
      </c>
      <c r="AJ1058" s="246">
        <f>IFERROR(VLOOKUP(H1058,PROGRAMAS[],3,FALSE),0)</f>
        <v>1233505101.0616004</v>
      </c>
      <c r="AK1058" s="246">
        <f>IFERROR(VLOOKUP(I1058,PROGRAMAS[],3,FALSE),0)</f>
        <v>6129902208.7912121</v>
      </c>
      <c r="AL1058" s="246">
        <f>IFERROR(VLOOKUP(J1058,PROGRAMAS[],3,FALSE),0)</f>
        <v>4099471734.9978786</v>
      </c>
      <c r="AM1058" s="246">
        <f>IFERROR(VLOOKUP(K1058,PROGRAMAS[],3,FALSE),0)</f>
        <v>118617452.52510804</v>
      </c>
      <c r="AN1058" s="246">
        <f>IFERROR(VLOOKUP(L1058,PROGRAMAS[],3,FALSE),0)</f>
        <v>2406564599.0319901</v>
      </c>
      <c r="AO1058" s="246">
        <f>IFERROR(VLOOKUP(M1058,PROGRAMAS[],3,FALSE),0)</f>
        <v>0</v>
      </c>
      <c r="AP1058" s="246">
        <f>IFERROR(VLOOKUP(N1058,PROGRAMAS[],3,FALSE),0)</f>
        <v>0</v>
      </c>
      <c r="AQ1058" s="246">
        <f>IFERROR(VLOOKUP(O1058,PROGRAMAS[],3,FALSE),0)</f>
        <v>0</v>
      </c>
      <c r="AR1058" s="246">
        <f>IFERROR(VLOOKUP(P1058,PROGRAMAS[],3,FALSE),0)</f>
        <v>0</v>
      </c>
      <c r="AS1058" s="246">
        <f>IFERROR(VLOOKUP(Q1058,PROGRAMAS[],3,FALSE),0)</f>
        <v>0</v>
      </c>
      <c r="AT1058" s="246">
        <f>IFERROR(VLOOKUP(D1058,VOL_REC[],2,FALSE),0)</f>
        <v>0</v>
      </c>
      <c r="AU1058" s="246">
        <f>IFERROR(VLOOKUP(E1058,VOL_REC[],2,FALSE),0)</f>
        <v>0</v>
      </c>
      <c r="AV1058" s="246">
        <f>IFERROR(VLOOKUP(F1058,VOL_REC[],2,FALSE),0)</f>
        <v>11089674.200000001</v>
      </c>
      <c r="AW1058" s="246">
        <f>IFERROR(VLOOKUP(G1058,VOL_REC[],2,FALSE),0)</f>
        <v>90439.55</v>
      </c>
      <c r="AX1058" s="246">
        <f>IFERROR(VLOOKUP(H1058,VOL_REC[],2,FALSE),0)</f>
        <v>4325103.1812214684</v>
      </c>
      <c r="AY1058" s="246">
        <f>IFERROR(VLOOKUP(I1058,VOL_REC[],2,FALSE),0)</f>
        <v>15540036.397699751</v>
      </c>
      <c r="AZ1058" s="246">
        <f>IFERROR(VLOOKUP(J1058,VOL_REC[],2,FALSE),0)</f>
        <v>1812240</v>
      </c>
      <c r="BA1058" s="246">
        <f>IFERROR(VLOOKUP(K1058,VOL_REC[],2,FALSE),0)</f>
        <v>105072</v>
      </c>
      <c r="BB1058" s="246">
        <f>IFERROR(VLOOKUP(L1058,VOL_REC[],2,FALSE),0)</f>
        <v>1072354.9981737854</v>
      </c>
      <c r="BC1058" s="246">
        <f>IFERROR(VLOOKUP(M1058,VOL_REC[],2,FALSE),0)</f>
        <v>0</v>
      </c>
      <c r="BD1058" s="246">
        <f>IFERROR(VLOOKUP(N1058,VOL_REC[],2,FALSE),0)</f>
        <v>0</v>
      </c>
      <c r="BE1058" s="246">
        <f>IFERROR(VLOOKUP(O1058,VOL_REC[],2,FALSE),0)</f>
        <v>0</v>
      </c>
      <c r="BF1058" s="246">
        <f>IFERROR(VLOOKUP(P1058,VOL_REC[],2,FALSE),0)</f>
        <v>0</v>
      </c>
      <c r="BG1058" s="246">
        <f>IFERROR(VLOOKUP(Q1058,VOL_REC[],2,FALSE),0)</f>
        <v>0</v>
      </c>
      <c r="BH1058" s="1710">
        <f t="shared" si="64"/>
        <v>24042126303.526905</v>
      </c>
      <c r="BI1058" s="1710">
        <f t="shared" si="65"/>
        <v>22199149227.225838</v>
      </c>
      <c r="BJ1058" s="1711">
        <f t="shared" si="66"/>
        <v>34034920.327095009</v>
      </c>
      <c r="BK1058" s="1711">
        <f t="shared" si="67"/>
        <v>1.0830201670089579</v>
      </c>
      <c r="BL1058">
        <f>BJ1058</f>
        <v>34034920.327095009</v>
      </c>
      <c r="BO1058">
        <f>BL1058</f>
        <v>34034920.327095009</v>
      </c>
    </row>
    <row r="1059" spans="3:67" x14ac:dyDescent="0.25">
      <c r="C1059" s="246" t="s">
        <v>2409</v>
      </c>
      <c r="D1059" s="246">
        <v>1</v>
      </c>
      <c r="E1059" s="246">
        <v>2</v>
      </c>
      <c r="F1059" s="246">
        <v>3</v>
      </c>
      <c r="G1059" s="246">
        <v>4</v>
      </c>
      <c r="H1059" s="246">
        <v>5</v>
      </c>
      <c r="I1059" s="246">
        <v>6</v>
      </c>
      <c r="J1059" s="246">
        <v>10</v>
      </c>
      <c r="K1059" s="246">
        <v>15</v>
      </c>
      <c r="L1059" s="246">
        <v>17</v>
      </c>
      <c r="M1059" s="246"/>
      <c r="N1059" s="246"/>
      <c r="O1059" s="246"/>
      <c r="P1059" s="246"/>
      <c r="Q1059" s="246"/>
      <c r="R1059" s="246">
        <f>IFERROR(VLOOKUP(D1059,PROGRAMAS[],2,FALSE),0)</f>
        <v>97037803.679377079</v>
      </c>
      <c r="S1059" s="246">
        <f>IFERROR(VLOOKUP(E1059,PROGRAMAS[],2,FALSE),0)</f>
        <v>640501509.6821388</v>
      </c>
      <c r="T1059" s="246">
        <f>IFERROR(VLOOKUP(F1059,PROGRAMAS[],2,FALSE),0)</f>
        <v>3062327798.1525245</v>
      </c>
      <c r="U1059" s="246">
        <f>IFERROR(VLOOKUP(G1059,PROGRAMAS[],2,FALSE),0)</f>
        <v>67697118.033011258</v>
      </c>
      <c r="V1059" s="246">
        <f>IFERROR(VLOOKUP(H1059,PROGRAMAS[],2,FALSE),0)</f>
        <v>1440941976.2528784</v>
      </c>
      <c r="W1059" s="246">
        <f>IFERROR(VLOOKUP(I1059,PROGRAMAS[],2,FALSE),0)</f>
        <v>6907648435.8447599</v>
      </c>
      <c r="X1059" s="246">
        <f>IFERROR(VLOOKUP(J1059,PROGRAMAS[],2,FALSE),0)</f>
        <v>4635315027.8751087</v>
      </c>
      <c r="Y1059" s="246">
        <f>IFERROR(VLOOKUP(K1059,PROGRAMAS[],2,FALSE),0)</f>
        <v>122159672.96346797</v>
      </c>
      <c r="Z1059" s="246">
        <f>IFERROR(VLOOKUP(L1059,PROGRAMAS[],2,FALSE),0)</f>
        <v>1892779498.5211046</v>
      </c>
      <c r="AA1059" s="246">
        <f>IFERROR(VLOOKUP(M1059,PROGRAMAS[],2,FALSE),0)</f>
        <v>0</v>
      </c>
      <c r="AB1059" s="246">
        <f>IFERROR(VLOOKUP(N1059,PROGRAMAS[],2,FALSE),0)</f>
        <v>0</v>
      </c>
      <c r="AC1059" s="246">
        <f>IFERROR(VLOOKUP(O1059,PROGRAMAS[],2,FALSE),0)</f>
        <v>0</v>
      </c>
      <c r="AD1059" s="246">
        <f>IFERROR(VLOOKUP(P1059,PROGRAMAS[],2,FALSE),0)</f>
        <v>0</v>
      </c>
      <c r="AE1059" s="246">
        <f>IFERROR(VLOOKUP(Q1059,PROGRAMAS[],2,FALSE),0)</f>
        <v>0</v>
      </c>
      <c r="AF1059" s="246">
        <f>IFERROR(VLOOKUP(D1059,PROGRAMAS[],3,FALSE),0)</f>
        <v>841888629.31080008</v>
      </c>
      <c r="AG1059" s="246">
        <f>IFERROR(VLOOKUP(E1059,PROGRAMAS[],3,FALSE),0)</f>
        <v>3848980803.1642323</v>
      </c>
      <c r="AH1059" s="246">
        <f>IFERROR(VLOOKUP(F1059,PROGRAMAS[],3,FALSE),0)</f>
        <v>3394901471.387517</v>
      </c>
      <c r="AI1059" s="246">
        <f>IFERROR(VLOOKUP(G1059,PROGRAMAS[],3,FALSE),0)</f>
        <v>125317226.95549992</v>
      </c>
      <c r="AJ1059" s="246">
        <f>IFERROR(VLOOKUP(H1059,PROGRAMAS[],3,FALSE),0)</f>
        <v>1233505101.0616004</v>
      </c>
      <c r="AK1059" s="246">
        <f>IFERROR(VLOOKUP(I1059,PROGRAMAS[],3,FALSE),0)</f>
        <v>6129902208.7912121</v>
      </c>
      <c r="AL1059" s="246">
        <f>IFERROR(VLOOKUP(J1059,PROGRAMAS[],3,FALSE),0)</f>
        <v>4099471734.9978786</v>
      </c>
      <c r="AM1059" s="246">
        <f>IFERROR(VLOOKUP(K1059,PROGRAMAS[],3,FALSE),0)</f>
        <v>118617452.52510804</v>
      </c>
      <c r="AN1059" s="246">
        <f>IFERROR(VLOOKUP(L1059,PROGRAMAS[],3,FALSE),0)</f>
        <v>948595847.09039903</v>
      </c>
      <c r="AO1059" s="246">
        <f>IFERROR(VLOOKUP(M1059,PROGRAMAS[],3,FALSE),0)</f>
        <v>0</v>
      </c>
      <c r="AP1059" s="246">
        <f>IFERROR(VLOOKUP(N1059,PROGRAMAS[],3,FALSE),0)</f>
        <v>0</v>
      </c>
      <c r="AQ1059" s="246">
        <f>IFERROR(VLOOKUP(O1059,PROGRAMAS[],3,FALSE),0)</f>
        <v>0</v>
      </c>
      <c r="AR1059" s="246">
        <f>IFERROR(VLOOKUP(P1059,PROGRAMAS[],3,FALSE),0)</f>
        <v>0</v>
      </c>
      <c r="AS1059" s="246">
        <f>IFERROR(VLOOKUP(Q1059,PROGRAMAS[],3,FALSE),0)</f>
        <v>0</v>
      </c>
      <c r="AT1059" s="246">
        <f>IFERROR(VLOOKUP(D1059,VOL_REC[],2,FALSE),0)</f>
        <v>0</v>
      </c>
      <c r="AU1059" s="246">
        <f>IFERROR(VLOOKUP(E1059,VOL_REC[],2,FALSE),0)</f>
        <v>0</v>
      </c>
      <c r="AV1059" s="246">
        <f>IFERROR(VLOOKUP(F1059,VOL_REC[],2,FALSE),0)</f>
        <v>11089674.200000001</v>
      </c>
      <c r="AW1059" s="246">
        <f>IFERROR(VLOOKUP(G1059,VOL_REC[],2,FALSE),0)</f>
        <v>90439.55</v>
      </c>
      <c r="AX1059" s="246">
        <f>IFERROR(VLOOKUP(H1059,VOL_REC[],2,FALSE),0)</f>
        <v>4325103.1812214684</v>
      </c>
      <c r="AY1059" s="246">
        <f>IFERROR(VLOOKUP(I1059,VOL_REC[],2,FALSE),0)</f>
        <v>15540036.397699751</v>
      </c>
      <c r="AZ1059" s="246">
        <f>IFERROR(VLOOKUP(J1059,VOL_REC[],2,FALSE),0)</f>
        <v>1812240</v>
      </c>
      <c r="BA1059" s="246">
        <f>IFERROR(VLOOKUP(K1059,VOL_REC[],2,FALSE),0)</f>
        <v>105072</v>
      </c>
      <c r="BB1059" s="246">
        <f>IFERROR(VLOOKUP(L1059,VOL_REC[],2,FALSE),0)</f>
        <v>740113.98115702497</v>
      </c>
      <c r="BC1059" s="246">
        <f>IFERROR(VLOOKUP(M1059,VOL_REC[],2,FALSE),0)</f>
        <v>0</v>
      </c>
      <c r="BD1059" s="246">
        <f>IFERROR(VLOOKUP(N1059,VOL_REC[],2,FALSE),0)</f>
        <v>0</v>
      </c>
      <c r="BE1059" s="246">
        <f>IFERROR(VLOOKUP(O1059,VOL_REC[],2,FALSE),0)</f>
        <v>0</v>
      </c>
      <c r="BF1059" s="246">
        <f>IFERROR(VLOOKUP(P1059,VOL_REC[],2,FALSE),0)</f>
        <v>0</v>
      </c>
      <c r="BG1059" s="246">
        <f>IFERROR(VLOOKUP(Q1059,VOL_REC[],2,FALSE),0)</f>
        <v>0</v>
      </c>
      <c r="BH1059" s="1710">
        <f t="shared" si="64"/>
        <v>18866408841.004372</v>
      </c>
      <c r="BI1059" s="1710">
        <f t="shared" si="65"/>
        <v>20741180475.284248</v>
      </c>
      <c r="BJ1059" s="1711">
        <f t="shared" si="66"/>
        <v>33702679.310078248</v>
      </c>
      <c r="BK1059" s="1711">
        <f t="shared" si="67"/>
        <v>0.9096111411540001</v>
      </c>
    </row>
    <row r="1060" spans="3:67" x14ac:dyDescent="0.25">
      <c r="C1060" s="246" t="s">
        <v>2410</v>
      </c>
      <c r="D1060" s="246">
        <v>1</v>
      </c>
      <c r="E1060" s="246">
        <v>2</v>
      </c>
      <c r="F1060" s="246">
        <v>3</v>
      </c>
      <c r="G1060" s="246">
        <v>4</v>
      </c>
      <c r="H1060" s="246">
        <v>5</v>
      </c>
      <c r="I1060" s="246">
        <v>6</v>
      </c>
      <c r="J1060" s="246">
        <v>10</v>
      </c>
      <c r="K1060" s="246">
        <v>16</v>
      </c>
      <c r="L1060" s="246">
        <v>17</v>
      </c>
      <c r="M1060" s="246"/>
      <c r="N1060" s="246"/>
      <c r="O1060" s="246"/>
      <c r="P1060" s="246"/>
      <c r="Q1060" s="246"/>
      <c r="R1060" s="246">
        <f>IFERROR(VLOOKUP(D1060,PROGRAMAS[],2,FALSE),0)</f>
        <v>97037803.679377079</v>
      </c>
      <c r="S1060" s="246">
        <f>IFERROR(VLOOKUP(E1060,PROGRAMAS[],2,FALSE),0)</f>
        <v>640501509.6821388</v>
      </c>
      <c r="T1060" s="246">
        <f>IFERROR(VLOOKUP(F1060,PROGRAMAS[],2,FALSE),0)</f>
        <v>3062327798.1525245</v>
      </c>
      <c r="U1060" s="246">
        <f>IFERROR(VLOOKUP(G1060,PROGRAMAS[],2,FALSE),0)</f>
        <v>67697118.033011258</v>
      </c>
      <c r="V1060" s="246">
        <f>IFERROR(VLOOKUP(H1060,PROGRAMAS[],2,FALSE),0)</f>
        <v>1440941976.2528784</v>
      </c>
      <c r="W1060" s="246">
        <f>IFERROR(VLOOKUP(I1060,PROGRAMAS[],2,FALSE),0)</f>
        <v>6907648435.8447599</v>
      </c>
      <c r="X1060" s="246">
        <f>IFERROR(VLOOKUP(J1060,PROGRAMAS[],2,FALSE),0)</f>
        <v>4635315027.8751087</v>
      </c>
      <c r="Y1060" s="246">
        <f>IFERROR(VLOOKUP(K1060,PROGRAMAS[],2,FALSE),0)</f>
        <v>7068496961.0436354</v>
      </c>
      <c r="Z1060" s="246">
        <f>IFERROR(VLOOKUP(L1060,PROGRAMAS[],2,FALSE),0)</f>
        <v>1892779498.5211046</v>
      </c>
      <c r="AA1060" s="246">
        <f>IFERROR(VLOOKUP(M1060,PROGRAMAS[],2,FALSE),0)</f>
        <v>0</v>
      </c>
      <c r="AB1060" s="246">
        <f>IFERROR(VLOOKUP(N1060,PROGRAMAS[],2,FALSE),0)</f>
        <v>0</v>
      </c>
      <c r="AC1060" s="246">
        <f>IFERROR(VLOOKUP(O1060,PROGRAMAS[],2,FALSE),0)</f>
        <v>0</v>
      </c>
      <c r="AD1060" s="246">
        <f>IFERROR(VLOOKUP(P1060,PROGRAMAS[],2,FALSE),0)</f>
        <v>0</v>
      </c>
      <c r="AE1060" s="246">
        <f>IFERROR(VLOOKUP(Q1060,PROGRAMAS[],2,FALSE),0)</f>
        <v>0</v>
      </c>
      <c r="AF1060" s="246">
        <f>IFERROR(VLOOKUP(D1060,PROGRAMAS[],3,FALSE),0)</f>
        <v>841888629.31080008</v>
      </c>
      <c r="AG1060" s="246">
        <f>IFERROR(VLOOKUP(E1060,PROGRAMAS[],3,FALSE),0)</f>
        <v>3848980803.1642323</v>
      </c>
      <c r="AH1060" s="246">
        <f>IFERROR(VLOOKUP(F1060,PROGRAMAS[],3,FALSE),0)</f>
        <v>3394901471.387517</v>
      </c>
      <c r="AI1060" s="246">
        <f>IFERROR(VLOOKUP(G1060,PROGRAMAS[],3,FALSE),0)</f>
        <v>125317226.95549992</v>
      </c>
      <c r="AJ1060" s="246">
        <f>IFERROR(VLOOKUP(H1060,PROGRAMAS[],3,FALSE),0)</f>
        <v>1233505101.0616004</v>
      </c>
      <c r="AK1060" s="246">
        <f>IFERROR(VLOOKUP(I1060,PROGRAMAS[],3,FALSE),0)</f>
        <v>6129902208.7912121</v>
      </c>
      <c r="AL1060" s="246">
        <f>IFERROR(VLOOKUP(J1060,PROGRAMAS[],3,FALSE),0)</f>
        <v>4099471734.9978786</v>
      </c>
      <c r="AM1060" s="246">
        <f>IFERROR(VLOOKUP(K1060,PROGRAMAS[],3,FALSE),0)</f>
        <v>2406564599.0319901</v>
      </c>
      <c r="AN1060" s="246">
        <f>IFERROR(VLOOKUP(L1060,PROGRAMAS[],3,FALSE),0)</f>
        <v>948595847.09039903</v>
      </c>
      <c r="AO1060" s="246">
        <f>IFERROR(VLOOKUP(M1060,PROGRAMAS[],3,FALSE),0)</f>
        <v>0</v>
      </c>
      <c r="AP1060" s="246">
        <f>IFERROR(VLOOKUP(N1060,PROGRAMAS[],3,FALSE),0)</f>
        <v>0</v>
      </c>
      <c r="AQ1060" s="246">
        <f>IFERROR(VLOOKUP(O1060,PROGRAMAS[],3,FALSE),0)</f>
        <v>0</v>
      </c>
      <c r="AR1060" s="246">
        <f>IFERROR(VLOOKUP(P1060,PROGRAMAS[],3,FALSE),0)</f>
        <v>0</v>
      </c>
      <c r="AS1060" s="246">
        <f>IFERROR(VLOOKUP(Q1060,PROGRAMAS[],3,FALSE),0)</f>
        <v>0</v>
      </c>
      <c r="AT1060" s="246">
        <f>IFERROR(VLOOKUP(D1060,VOL_REC[],2,FALSE),0)</f>
        <v>0</v>
      </c>
      <c r="AU1060" s="246">
        <f>IFERROR(VLOOKUP(E1060,VOL_REC[],2,FALSE),0)</f>
        <v>0</v>
      </c>
      <c r="AV1060" s="246">
        <f>IFERROR(VLOOKUP(F1060,VOL_REC[],2,FALSE),0)</f>
        <v>11089674.200000001</v>
      </c>
      <c r="AW1060" s="246">
        <f>IFERROR(VLOOKUP(G1060,VOL_REC[],2,FALSE),0)</f>
        <v>90439.55</v>
      </c>
      <c r="AX1060" s="246">
        <f>IFERROR(VLOOKUP(H1060,VOL_REC[],2,FALSE),0)</f>
        <v>4325103.1812214684</v>
      </c>
      <c r="AY1060" s="246">
        <f>IFERROR(VLOOKUP(I1060,VOL_REC[],2,FALSE),0)</f>
        <v>15540036.397699751</v>
      </c>
      <c r="AZ1060" s="246">
        <f>IFERROR(VLOOKUP(J1060,VOL_REC[],2,FALSE),0)</f>
        <v>1812240</v>
      </c>
      <c r="BA1060" s="246">
        <f>IFERROR(VLOOKUP(K1060,VOL_REC[],2,FALSE),0)</f>
        <v>1072354.9981737854</v>
      </c>
      <c r="BB1060" s="246">
        <f>IFERROR(VLOOKUP(L1060,VOL_REC[],2,FALSE),0)</f>
        <v>740113.98115702497</v>
      </c>
      <c r="BC1060" s="246">
        <f>IFERROR(VLOOKUP(M1060,VOL_REC[],2,FALSE),0)</f>
        <v>0</v>
      </c>
      <c r="BD1060" s="246">
        <f>IFERROR(VLOOKUP(N1060,VOL_REC[],2,FALSE),0)</f>
        <v>0</v>
      </c>
      <c r="BE1060" s="246">
        <f>IFERROR(VLOOKUP(O1060,VOL_REC[],2,FALSE),0)</f>
        <v>0</v>
      </c>
      <c r="BF1060" s="246">
        <f>IFERROR(VLOOKUP(P1060,VOL_REC[],2,FALSE),0)</f>
        <v>0</v>
      </c>
      <c r="BG1060" s="246">
        <f>IFERROR(VLOOKUP(Q1060,VOL_REC[],2,FALSE),0)</f>
        <v>0</v>
      </c>
      <c r="BH1060" s="1710">
        <f t="shared" si="64"/>
        <v>25812746129.084538</v>
      </c>
      <c r="BI1060" s="1710">
        <f t="shared" si="65"/>
        <v>23029127621.79113</v>
      </c>
      <c r="BJ1060" s="1711">
        <f t="shared" si="66"/>
        <v>34669962.308252037</v>
      </c>
      <c r="BK1060" s="1711">
        <f t="shared" si="67"/>
        <v>1.1208738148057085</v>
      </c>
      <c r="BL1060">
        <f>BJ1060</f>
        <v>34669962.308252037</v>
      </c>
      <c r="BO1060">
        <f>BL1060</f>
        <v>34669962.308252037</v>
      </c>
    </row>
    <row r="1061" spans="3:67" x14ac:dyDescent="0.25">
      <c r="C1061" s="246" t="s">
        <v>2411</v>
      </c>
      <c r="D1061" s="246">
        <v>1</v>
      </c>
      <c r="E1061" s="246">
        <v>2</v>
      </c>
      <c r="F1061" s="246">
        <v>3</v>
      </c>
      <c r="G1061" s="246">
        <v>4</v>
      </c>
      <c r="H1061" s="246">
        <v>5</v>
      </c>
      <c r="I1061" s="246">
        <v>6</v>
      </c>
      <c r="J1061" s="246">
        <v>12</v>
      </c>
      <c r="K1061" s="246">
        <v>13</v>
      </c>
      <c r="L1061" s="246">
        <v>14</v>
      </c>
      <c r="M1061" s="246"/>
      <c r="N1061" s="246"/>
      <c r="O1061" s="246"/>
      <c r="P1061" s="246"/>
      <c r="Q1061" s="246"/>
      <c r="R1061" s="246">
        <f>IFERROR(VLOOKUP(D1061,PROGRAMAS[],2,FALSE),0)</f>
        <v>97037803.679377079</v>
      </c>
      <c r="S1061" s="246">
        <f>IFERROR(VLOOKUP(E1061,PROGRAMAS[],2,FALSE),0)</f>
        <v>640501509.6821388</v>
      </c>
      <c r="T1061" s="246">
        <f>IFERROR(VLOOKUP(F1061,PROGRAMAS[],2,FALSE),0)</f>
        <v>3062327798.1525245</v>
      </c>
      <c r="U1061" s="246">
        <f>IFERROR(VLOOKUP(G1061,PROGRAMAS[],2,FALSE),0)</f>
        <v>67697118.033011258</v>
      </c>
      <c r="V1061" s="246">
        <f>IFERROR(VLOOKUP(H1061,PROGRAMAS[],2,FALSE),0)</f>
        <v>1440941976.2528784</v>
      </c>
      <c r="W1061" s="246">
        <f>IFERROR(VLOOKUP(I1061,PROGRAMAS[],2,FALSE),0)</f>
        <v>6907648435.8447599</v>
      </c>
      <c r="X1061" s="246">
        <f>IFERROR(VLOOKUP(J1061,PROGRAMAS[],2,FALSE),0)</f>
        <v>764796700.79905891</v>
      </c>
      <c r="Y1061" s="246">
        <f>IFERROR(VLOOKUP(K1061,PROGRAMAS[],2,FALSE),0)</f>
        <v>3776538594.4604583</v>
      </c>
      <c r="Z1061" s="246">
        <f>IFERROR(VLOOKUP(L1061,PROGRAMAS[],2,FALSE),0)</f>
        <v>54223862.645839565</v>
      </c>
      <c r="AA1061" s="246">
        <f>IFERROR(VLOOKUP(M1061,PROGRAMAS[],2,FALSE),0)</f>
        <v>0</v>
      </c>
      <c r="AB1061" s="246">
        <f>IFERROR(VLOOKUP(N1061,PROGRAMAS[],2,FALSE),0)</f>
        <v>0</v>
      </c>
      <c r="AC1061" s="246">
        <f>IFERROR(VLOOKUP(O1061,PROGRAMAS[],2,FALSE),0)</f>
        <v>0</v>
      </c>
      <c r="AD1061" s="246">
        <f>IFERROR(VLOOKUP(P1061,PROGRAMAS[],2,FALSE),0)</f>
        <v>0</v>
      </c>
      <c r="AE1061" s="246">
        <f>IFERROR(VLOOKUP(Q1061,PROGRAMAS[],2,FALSE),0)</f>
        <v>0</v>
      </c>
      <c r="AF1061" s="246">
        <f>IFERROR(VLOOKUP(D1061,PROGRAMAS[],3,FALSE),0)</f>
        <v>841888629.31080008</v>
      </c>
      <c r="AG1061" s="246">
        <f>IFERROR(VLOOKUP(E1061,PROGRAMAS[],3,FALSE),0)</f>
        <v>3848980803.1642323</v>
      </c>
      <c r="AH1061" s="246">
        <f>IFERROR(VLOOKUP(F1061,PROGRAMAS[],3,FALSE),0)</f>
        <v>3394901471.387517</v>
      </c>
      <c r="AI1061" s="246">
        <f>IFERROR(VLOOKUP(G1061,PROGRAMAS[],3,FALSE),0)</f>
        <v>125317226.95549992</v>
      </c>
      <c r="AJ1061" s="246">
        <f>IFERROR(VLOOKUP(H1061,PROGRAMAS[],3,FALSE),0)</f>
        <v>1233505101.0616004</v>
      </c>
      <c r="AK1061" s="246">
        <f>IFERROR(VLOOKUP(I1061,PROGRAMAS[],3,FALSE),0)</f>
        <v>6129902208.7912121</v>
      </c>
      <c r="AL1061" s="246">
        <f>IFERROR(VLOOKUP(J1061,PROGRAMAS[],3,FALSE),0)</f>
        <v>675517840.109828</v>
      </c>
      <c r="AM1061" s="246">
        <f>IFERROR(VLOOKUP(K1061,PROGRAMAS[],3,FALSE),0)</f>
        <v>2392571243.5584412</v>
      </c>
      <c r="AN1061" s="246">
        <f>IFERROR(VLOOKUP(L1061,PROGRAMAS[],3,FALSE),0)</f>
        <v>31865326.38096505</v>
      </c>
      <c r="AO1061" s="246">
        <f>IFERROR(VLOOKUP(M1061,PROGRAMAS[],3,FALSE),0)</f>
        <v>0</v>
      </c>
      <c r="AP1061" s="246">
        <f>IFERROR(VLOOKUP(N1061,PROGRAMAS[],3,FALSE),0)</f>
        <v>0</v>
      </c>
      <c r="AQ1061" s="246">
        <f>IFERROR(VLOOKUP(O1061,PROGRAMAS[],3,FALSE),0)</f>
        <v>0</v>
      </c>
      <c r="AR1061" s="246">
        <f>IFERROR(VLOOKUP(P1061,PROGRAMAS[],3,FALSE),0)</f>
        <v>0</v>
      </c>
      <c r="AS1061" s="246">
        <f>IFERROR(VLOOKUP(Q1061,PROGRAMAS[],3,FALSE),0)</f>
        <v>0</v>
      </c>
      <c r="AT1061" s="246">
        <f>IFERROR(VLOOKUP(D1061,VOL_REC[],2,FALSE),0)</f>
        <v>0</v>
      </c>
      <c r="AU1061" s="246">
        <f>IFERROR(VLOOKUP(E1061,VOL_REC[],2,FALSE),0)</f>
        <v>0</v>
      </c>
      <c r="AV1061" s="246">
        <f>IFERROR(VLOOKUP(F1061,VOL_REC[],2,FALSE),0)</f>
        <v>11089674.200000001</v>
      </c>
      <c r="AW1061" s="246">
        <f>IFERROR(VLOOKUP(G1061,VOL_REC[],2,FALSE),0)</f>
        <v>90439.55</v>
      </c>
      <c r="AX1061" s="246">
        <f>IFERROR(VLOOKUP(H1061,VOL_REC[],2,FALSE),0)</f>
        <v>4325103.1812214684</v>
      </c>
      <c r="AY1061" s="246">
        <f>IFERROR(VLOOKUP(I1061,VOL_REC[],2,FALSE),0)</f>
        <v>15540036.397699751</v>
      </c>
      <c r="AZ1061" s="246">
        <f>IFERROR(VLOOKUP(J1061,VOL_REC[],2,FALSE),0)</f>
        <v>240696.79238099116</v>
      </c>
      <c r="BA1061" s="246">
        <f>IFERROR(VLOOKUP(K1061,VOL_REC[],2,FALSE),0)</f>
        <v>663244.80000000016</v>
      </c>
      <c r="BB1061" s="246">
        <f>IFERROR(VLOOKUP(L1061,VOL_REC[],2,FALSE),0)</f>
        <v>17074.045034105649</v>
      </c>
      <c r="BC1061" s="246">
        <f>IFERROR(VLOOKUP(M1061,VOL_REC[],2,FALSE),0)</f>
        <v>0</v>
      </c>
      <c r="BD1061" s="246">
        <f>IFERROR(VLOOKUP(N1061,VOL_REC[],2,FALSE),0)</f>
        <v>0</v>
      </c>
      <c r="BE1061" s="246">
        <f>IFERROR(VLOOKUP(O1061,VOL_REC[],2,FALSE),0)</f>
        <v>0</v>
      </c>
      <c r="BF1061" s="246">
        <f>IFERROR(VLOOKUP(P1061,VOL_REC[],2,FALSE),0)</f>
        <v>0</v>
      </c>
      <c r="BG1061" s="246">
        <f>IFERROR(VLOOKUP(Q1061,VOL_REC[],2,FALSE),0)</f>
        <v>0</v>
      </c>
      <c r="BH1061" s="1710">
        <f t="shared" si="64"/>
        <v>16811713799.550049</v>
      </c>
      <c r="BI1061" s="1710">
        <f t="shared" si="65"/>
        <v>18674449850.720097</v>
      </c>
      <c r="BJ1061" s="1711">
        <f t="shared" si="66"/>
        <v>31966268.966336321</v>
      </c>
      <c r="BK1061" s="1711">
        <f t="shared" si="67"/>
        <v>0.900252159176822</v>
      </c>
    </row>
    <row r="1062" spans="3:67" x14ac:dyDescent="0.25">
      <c r="C1062" s="246" t="s">
        <v>2412</v>
      </c>
      <c r="D1062" s="246">
        <v>1</v>
      </c>
      <c r="E1062" s="246">
        <v>2</v>
      </c>
      <c r="F1062" s="246">
        <v>3</v>
      </c>
      <c r="G1062" s="246">
        <v>4</v>
      </c>
      <c r="H1062" s="246">
        <v>5</v>
      </c>
      <c r="I1062" s="246">
        <v>6</v>
      </c>
      <c r="J1062" s="246">
        <v>12</v>
      </c>
      <c r="K1062" s="246">
        <v>13</v>
      </c>
      <c r="L1062" s="246">
        <v>15</v>
      </c>
      <c r="M1062" s="246"/>
      <c r="N1062" s="246"/>
      <c r="O1062" s="246"/>
      <c r="P1062" s="246"/>
      <c r="Q1062" s="246"/>
      <c r="R1062" s="246">
        <f>IFERROR(VLOOKUP(D1062,PROGRAMAS[],2,FALSE),0)</f>
        <v>97037803.679377079</v>
      </c>
      <c r="S1062" s="246">
        <f>IFERROR(VLOOKUP(E1062,PROGRAMAS[],2,FALSE),0)</f>
        <v>640501509.6821388</v>
      </c>
      <c r="T1062" s="246">
        <f>IFERROR(VLOOKUP(F1062,PROGRAMAS[],2,FALSE),0)</f>
        <v>3062327798.1525245</v>
      </c>
      <c r="U1062" s="246">
        <f>IFERROR(VLOOKUP(G1062,PROGRAMAS[],2,FALSE),0)</f>
        <v>67697118.033011258</v>
      </c>
      <c r="V1062" s="246">
        <f>IFERROR(VLOOKUP(H1062,PROGRAMAS[],2,FALSE),0)</f>
        <v>1440941976.2528784</v>
      </c>
      <c r="W1062" s="246">
        <f>IFERROR(VLOOKUP(I1062,PROGRAMAS[],2,FALSE),0)</f>
        <v>6907648435.8447599</v>
      </c>
      <c r="X1062" s="246">
        <f>IFERROR(VLOOKUP(J1062,PROGRAMAS[],2,FALSE),0)</f>
        <v>764796700.79905891</v>
      </c>
      <c r="Y1062" s="246">
        <f>IFERROR(VLOOKUP(K1062,PROGRAMAS[],2,FALSE),0)</f>
        <v>3776538594.4604583</v>
      </c>
      <c r="Z1062" s="246">
        <f>IFERROR(VLOOKUP(L1062,PROGRAMAS[],2,FALSE),0)</f>
        <v>122159672.96346797</v>
      </c>
      <c r="AA1062" s="246">
        <f>IFERROR(VLOOKUP(M1062,PROGRAMAS[],2,FALSE),0)</f>
        <v>0</v>
      </c>
      <c r="AB1062" s="246">
        <f>IFERROR(VLOOKUP(N1062,PROGRAMAS[],2,FALSE),0)</f>
        <v>0</v>
      </c>
      <c r="AC1062" s="246">
        <f>IFERROR(VLOOKUP(O1062,PROGRAMAS[],2,FALSE),0)</f>
        <v>0</v>
      </c>
      <c r="AD1062" s="246">
        <f>IFERROR(VLOOKUP(P1062,PROGRAMAS[],2,FALSE),0)</f>
        <v>0</v>
      </c>
      <c r="AE1062" s="246">
        <f>IFERROR(VLOOKUP(Q1062,PROGRAMAS[],2,FALSE),0)</f>
        <v>0</v>
      </c>
      <c r="AF1062" s="246">
        <f>IFERROR(VLOOKUP(D1062,PROGRAMAS[],3,FALSE),0)</f>
        <v>841888629.31080008</v>
      </c>
      <c r="AG1062" s="246">
        <f>IFERROR(VLOOKUP(E1062,PROGRAMAS[],3,FALSE),0)</f>
        <v>3848980803.1642323</v>
      </c>
      <c r="AH1062" s="246">
        <f>IFERROR(VLOOKUP(F1062,PROGRAMAS[],3,FALSE),0)</f>
        <v>3394901471.387517</v>
      </c>
      <c r="AI1062" s="246">
        <f>IFERROR(VLOOKUP(G1062,PROGRAMAS[],3,FALSE),0)</f>
        <v>125317226.95549992</v>
      </c>
      <c r="AJ1062" s="246">
        <f>IFERROR(VLOOKUP(H1062,PROGRAMAS[],3,FALSE),0)</f>
        <v>1233505101.0616004</v>
      </c>
      <c r="AK1062" s="246">
        <f>IFERROR(VLOOKUP(I1062,PROGRAMAS[],3,FALSE),0)</f>
        <v>6129902208.7912121</v>
      </c>
      <c r="AL1062" s="246">
        <f>IFERROR(VLOOKUP(J1062,PROGRAMAS[],3,FALSE),0)</f>
        <v>675517840.109828</v>
      </c>
      <c r="AM1062" s="246">
        <f>IFERROR(VLOOKUP(K1062,PROGRAMAS[],3,FALSE),0)</f>
        <v>2392571243.5584412</v>
      </c>
      <c r="AN1062" s="246">
        <f>IFERROR(VLOOKUP(L1062,PROGRAMAS[],3,FALSE),0)</f>
        <v>118617452.52510804</v>
      </c>
      <c r="AO1062" s="246">
        <f>IFERROR(VLOOKUP(M1062,PROGRAMAS[],3,FALSE),0)</f>
        <v>0</v>
      </c>
      <c r="AP1062" s="246">
        <f>IFERROR(VLOOKUP(N1062,PROGRAMAS[],3,FALSE),0)</f>
        <v>0</v>
      </c>
      <c r="AQ1062" s="246">
        <f>IFERROR(VLOOKUP(O1062,PROGRAMAS[],3,FALSE),0)</f>
        <v>0</v>
      </c>
      <c r="AR1062" s="246">
        <f>IFERROR(VLOOKUP(P1062,PROGRAMAS[],3,FALSE),0)</f>
        <v>0</v>
      </c>
      <c r="AS1062" s="246">
        <f>IFERROR(VLOOKUP(Q1062,PROGRAMAS[],3,FALSE),0)</f>
        <v>0</v>
      </c>
      <c r="AT1062" s="246">
        <f>IFERROR(VLOOKUP(D1062,VOL_REC[],2,FALSE),0)</f>
        <v>0</v>
      </c>
      <c r="AU1062" s="246">
        <f>IFERROR(VLOOKUP(E1062,VOL_REC[],2,FALSE),0)</f>
        <v>0</v>
      </c>
      <c r="AV1062" s="246">
        <f>IFERROR(VLOOKUP(F1062,VOL_REC[],2,FALSE),0)</f>
        <v>11089674.200000001</v>
      </c>
      <c r="AW1062" s="246">
        <f>IFERROR(VLOOKUP(G1062,VOL_REC[],2,FALSE),0)</f>
        <v>90439.55</v>
      </c>
      <c r="AX1062" s="246">
        <f>IFERROR(VLOOKUP(H1062,VOL_REC[],2,FALSE),0)</f>
        <v>4325103.1812214684</v>
      </c>
      <c r="AY1062" s="246">
        <f>IFERROR(VLOOKUP(I1062,VOL_REC[],2,FALSE),0)</f>
        <v>15540036.397699751</v>
      </c>
      <c r="AZ1062" s="246">
        <f>IFERROR(VLOOKUP(J1062,VOL_REC[],2,FALSE),0)</f>
        <v>240696.79238099116</v>
      </c>
      <c r="BA1062" s="246">
        <f>IFERROR(VLOOKUP(K1062,VOL_REC[],2,FALSE),0)</f>
        <v>663244.80000000016</v>
      </c>
      <c r="BB1062" s="246">
        <f>IFERROR(VLOOKUP(L1062,VOL_REC[],2,FALSE),0)</f>
        <v>105072</v>
      </c>
      <c r="BC1062" s="246">
        <f>IFERROR(VLOOKUP(M1062,VOL_REC[],2,FALSE),0)</f>
        <v>0</v>
      </c>
      <c r="BD1062" s="246">
        <f>IFERROR(VLOOKUP(N1062,VOL_REC[],2,FALSE),0)</f>
        <v>0</v>
      </c>
      <c r="BE1062" s="246">
        <f>IFERROR(VLOOKUP(O1062,VOL_REC[],2,FALSE),0)</f>
        <v>0</v>
      </c>
      <c r="BF1062" s="246">
        <f>IFERROR(VLOOKUP(P1062,VOL_REC[],2,FALSE),0)</f>
        <v>0</v>
      </c>
      <c r="BG1062" s="246">
        <f>IFERROR(VLOOKUP(Q1062,VOL_REC[],2,FALSE),0)</f>
        <v>0</v>
      </c>
      <c r="BH1062" s="1710">
        <f t="shared" si="64"/>
        <v>16879649609.867678</v>
      </c>
      <c r="BI1062" s="1710">
        <f t="shared" si="65"/>
        <v>18761201976.864239</v>
      </c>
      <c r="BJ1062" s="1711">
        <f t="shared" si="66"/>
        <v>32054266.921302214</v>
      </c>
      <c r="BK1062" s="1711">
        <f t="shared" si="67"/>
        <v>0.89971045728750021</v>
      </c>
    </row>
    <row r="1063" spans="3:67" x14ac:dyDescent="0.25">
      <c r="C1063" s="246" t="s">
        <v>2413</v>
      </c>
      <c r="D1063" s="246">
        <v>1</v>
      </c>
      <c r="E1063" s="246">
        <v>2</v>
      </c>
      <c r="F1063" s="246">
        <v>3</v>
      </c>
      <c r="G1063" s="246">
        <v>4</v>
      </c>
      <c r="H1063" s="246">
        <v>5</v>
      </c>
      <c r="I1063" s="246">
        <v>6</v>
      </c>
      <c r="J1063" s="246">
        <v>12</v>
      </c>
      <c r="K1063" s="246">
        <v>13</v>
      </c>
      <c r="L1063" s="246">
        <v>16</v>
      </c>
      <c r="M1063" s="246"/>
      <c r="N1063" s="246"/>
      <c r="O1063" s="246"/>
      <c r="P1063" s="246"/>
      <c r="Q1063" s="246"/>
      <c r="R1063" s="246">
        <f>IFERROR(VLOOKUP(D1063,PROGRAMAS[],2,FALSE),0)</f>
        <v>97037803.679377079</v>
      </c>
      <c r="S1063" s="246">
        <f>IFERROR(VLOOKUP(E1063,PROGRAMAS[],2,FALSE),0)</f>
        <v>640501509.6821388</v>
      </c>
      <c r="T1063" s="246">
        <f>IFERROR(VLOOKUP(F1063,PROGRAMAS[],2,FALSE),0)</f>
        <v>3062327798.1525245</v>
      </c>
      <c r="U1063" s="246">
        <f>IFERROR(VLOOKUP(G1063,PROGRAMAS[],2,FALSE),0)</f>
        <v>67697118.033011258</v>
      </c>
      <c r="V1063" s="246">
        <f>IFERROR(VLOOKUP(H1063,PROGRAMAS[],2,FALSE),0)</f>
        <v>1440941976.2528784</v>
      </c>
      <c r="W1063" s="246">
        <f>IFERROR(VLOOKUP(I1063,PROGRAMAS[],2,FALSE),0)</f>
        <v>6907648435.8447599</v>
      </c>
      <c r="X1063" s="246">
        <f>IFERROR(VLOOKUP(J1063,PROGRAMAS[],2,FALSE),0)</f>
        <v>764796700.79905891</v>
      </c>
      <c r="Y1063" s="246">
        <f>IFERROR(VLOOKUP(K1063,PROGRAMAS[],2,FALSE),0)</f>
        <v>3776538594.4604583</v>
      </c>
      <c r="Z1063" s="246">
        <f>IFERROR(VLOOKUP(L1063,PROGRAMAS[],2,FALSE),0)</f>
        <v>7068496961.0436354</v>
      </c>
      <c r="AA1063" s="246">
        <f>IFERROR(VLOOKUP(M1063,PROGRAMAS[],2,FALSE),0)</f>
        <v>0</v>
      </c>
      <c r="AB1063" s="246">
        <f>IFERROR(VLOOKUP(N1063,PROGRAMAS[],2,FALSE),0)</f>
        <v>0</v>
      </c>
      <c r="AC1063" s="246">
        <f>IFERROR(VLOOKUP(O1063,PROGRAMAS[],2,FALSE),0)</f>
        <v>0</v>
      </c>
      <c r="AD1063" s="246">
        <f>IFERROR(VLOOKUP(P1063,PROGRAMAS[],2,FALSE),0)</f>
        <v>0</v>
      </c>
      <c r="AE1063" s="246">
        <f>IFERROR(VLOOKUP(Q1063,PROGRAMAS[],2,FALSE),0)</f>
        <v>0</v>
      </c>
      <c r="AF1063" s="246">
        <f>IFERROR(VLOOKUP(D1063,PROGRAMAS[],3,FALSE),0)</f>
        <v>841888629.31080008</v>
      </c>
      <c r="AG1063" s="246">
        <f>IFERROR(VLOOKUP(E1063,PROGRAMAS[],3,FALSE),0)</f>
        <v>3848980803.1642323</v>
      </c>
      <c r="AH1063" s="246">
        <f>IFERROR(VLOOKUP(F1063,PROGRAMAS[],3,FALSE),0)</f>
        <v>3394901471.387517</v>
      </c>
      <c r="AI1063" s="246">
        <f>IFERROR(VLOOKUP(G1063,PROGRAMAS[],3,FALSE),0)</f>
        <v>125317226.95549992</v>
      </c>
      <c r="AJ1063" s="246">
        <f>IFERROR(VLOOKUP(H1063,PROGRAMAS[],3,FALSE),0)</f>
        <v>1233505101.0616004</v>
      </c>
      <c r="AK1063" s="246">
        <f>IFERROR(VLOOKUP(I1063,PROGRAMAS[],3,FALSE),0)</f>
        <v>6129902208.7912121</v>
      </c>
      <c r="AL1063" s="246">
        <f>IFERROR(VLOOKUP(J1063,PROGRAMAS[],3,FALSE),0)</f>
        <v>675517840.109828</v>
      </c>
      <c r="AM1063" s="246">
        <f>IFERROR(VLOOKUP(K1063,PROGRAMAS[],3,FALSE),0)</f>
        <v>2392571243.5584412</v>
      </c>
      <c r="AN1063" s="246">
        <f>IFERROR(VLOOKUP(L1063,PROGRAMAS[],3,FALSE),0)</f>
        <v>2406564599.0319901</v>
      </c>
      <c r="AO1063" s="246">
        <f>IFERROR(VLOOKUP(M1063,PROGRAMAS[],3,FALSE),0)</f>
        <v>0</v>
      </c>
      <c r="AP1063" s="246">
        <f>IFERROR(VLOOKUP(N1063,PROGRAMAS[],3,FALSE),0)</f>
        <v>0</v>
      </c>
      <c r="AQ1063" s="246">
        <f>IFERROR(VLOOKUP(O1063,PROGRAMAS[],3,FALSE),0)</f>
        <v>0</v>
      </c>
      <c r="AR1063" s="246">
        <f>IFERROR(VLOOKUP(P1063,PROGRAMAS[],3,FALSE),0)</f>
        <v>0</v>
      </c>
      <c r="AS1063" s="246">
        <f>IFERROR(VLOOKUP(Q1063,PROGRAMAS[],3,FALSE),0)</f>
        <v>0</v>
      </c>
      <c r="AT1063" s="246">
        <f>IFERROR(VLOOKUP(D1063,VOL_REC[],2,FALSE),0)</f>
        <v>0</v>
      </c>
      <c r="AU1063" s="246">
        <f>IFERROR(VLOOKUP(E1063,VOL_REC[],2,FALSE),0)</f>
        <v>0</v>
      </c>
      <c r="AV1063" s="246">
        <f>IFERROR(VLOOKUP(F1063,VOL_REC[],2,FALSE),0)</f>
        <v>11089674.200000001</v>
      </c>
      <c r="AW1063" s="246">
        <f>IFERROR(VLOOKUP(G1063,VOL_REC[],2,FALSE),0)</f>
        <v>90439.55</v>
      </c>
      <c r="AX1063" s="246">
        <f>IFERROR(VLOOKUP(H1063,VOL_REC[],2,FALSE),0)</f>
        <v>4325103.1812214684</v>
      </c>
      <c r="AY1063" s="246">
        <f>IFERROR(VLOOKUP(I1063,VOL_REC[],2,FALSE),0)</f>
        <v>15540036.397699751</v>
      </c>
      <c r="AZ1063" s="246">
        <f>IFERROR(VLOOKUP(J1063,VOL_REC[],2,FALSE),0)</f>
        <v>240696.79238099116</v>
      </c>
      <c r="BA1063" s="246">
        <f>IFERROR(VLOOKUP(K1063,VOL_REC[],2,FALSE),0)</f>
        <v>663244.80000000016</v>
      </c>
      <c r="BB1063" s="246">
        <f>IFERROR(VLOOKUP(L1063,VOL_REC[],2,FALSE),0)</f>
        <v>1072354.9981737854</v>
      </c>
      <c r="BC1063" s="246">
        <f>IFERROR(VLOOKUP(M1063,VOL_REC[],2,FALSE),0)</f>
        <v>0</v>
      </c>
      <c r="BD1063" s="246">
        <f>IFERROR(VLOOKUP(N1063,VOL_REC[],2,FALSE),0)</f>
        <v>0</v>
      </c>
      <c r="BE1063" s="246">
        <f>IFERROR(VLOOKUP(O1063,VOL_REC[],2,FALSE),0)</f>
        <v>0</v>
      </c>
      <c r="BF1063" s="246">
        <f>IFERROR(VLOOKUP(P1063,VOL_REC[],2,FALSE),0)</f>
        <v>0</v>
      </c>
      <c r="BG1063" s="246">
        <f>IFERROR(VLOOKUP(Q1063,VOL_REC[],2,FALSE),0)</f>
        <v>0</v>
      </c>
      <c r="BH1063" s="1710">
        <f t="shared" si="64"/>
        <v>23825986897.947845</v>
      </c>
      <c r="BI1063" s="1710">
        <f t="shared" si="65"/>
        <v>21049149123.37112</v>
      </c>
      <c r="BJ1063" s="1711">
        <f t="shared" si="66"/>
        <v>33021549.919475999</v>
      </c>
      <c r="BK1063" s="1711">
        <f t="shared" si="67"/>
        <v>1.1319216163228931</v>
      </c>
      <c r="BL1063">
        <f>BJ1063</f>
        <v>33021549.919475999</v>
      </c>
      <c r="BO1063">
        <f>BL1063</f>
        <v>33021549.919475999</v>
      </c>
    </row>
    <row r="1064" spans="3:67" x14ac:dyDescent="0.25">
      <c r="C1064" s="246" t="s">
        <v>2414</v>
      </c>
      <c r="D1064" s="246">
        <v>1</v>
      </c>
      <c r="E1064" s="246">
        <v>2</v>
      </c>
      <c r="F1064" s="246">
        <v>3</v>
      </c>
      <c r="G1064" s="246">
        <v>4</v>
      </c>
      <c r="H1064" s="246">
        <v>5</v>
      </c>
      <c r="I1064" s="246">
        <v>6</v>
      </c>
      <c r="J1064" s="246">
        <v>12</v>
      </c>
      <c r="K1064" s="246">
        <v>13</v>
      </c>
      <c r="L1064" s="246">
        <v>17</v>
      </c>
      <c r="M1064" s="246"/>
      <c r="N1064" s="246"/>
      <c r="O1064" s="246"/>
      <c r="P1064" s="246"/>
      <c r="Q1064" s="246"/>
      <c r="R1064" s="246">
        <f>IFERROR(VLOOKUP(D1064,PROGRAMAS[],2,FALSE),0)</f>
        <v>97037803.679377079</v>
      </c>
      <c r="S1064" s="246">
        <f>IFERROR(VLOOKUP(E1064,PROGRAMAS[],2,FALSE),0)</f>
        <v>640501509.6821388</v>
      </c>
      <c r="T1064" s="246">
        <f>IFERROR(VLOOKUP(F1064,PROGRAMAS[],2,FALSE),0)</f>
        <v>3062327798.1525245</v>
      </c>
      <c r="U1064" s="246">
        <f>IFERROR(VLOOKUP(G1064,PROGRAMAS[],2,FALSE),0)</f>
        <v>67697118.033011258</v>
      </c>
      <c r="V1064" s="246">
        <f>IFERROR(VLOOKUP(H1064,PROGRAMAS[],2,FALSE),0)</f>
        <v>1440941976.2528784</v>
      </c>
      <c r="W1064" s="246">
        <f>IFERROR(VLOOKUP(I1064,PROGRAMAS[],2,FALSE),0)</f>
        <v>6907648435.8447599</v>
      </c>
      <c r="X1064" s="246">
        <f>IFERROR(VLOOKUP(J1064,PROGRAMAS[],2,FALSE),0)</f>
        <v>764796700.79905891</v>
      </c>
      <c r="Y1064" s="246">
        <f>IFERROR(VLOOKUP(K1064,PROGRAMAS[],2,FALSE),0)</f>
        <v>3776538594.4604583</v>
      </c>
      <c r="Z1064" s="246">
        <f>IFERROR(VLOOKUP(L1064,PROGRAMAS[],2,FALSE),0)</f>
        <v>1892779498.5211046</v>
      </c>
      <c r="AA1064" s="246">
        <f>IFERROR(VLOOKUP(M1064,PROGRAMAS[],2,FALSE),0)</f>
        <v>0</v>
      </c>
      <c r="AB1064" s="246">
        <f>IFERROR(VLOOKUP(N1064,PROGRAMAS[],2,FALSE),0)</f>
        <v>0</v>
      </c>
      <c r="AC1064" s="246">
        <f>IFERROR(VLOOKUP(O1064,PROGRAMAS[],2,FALSE),0)</f>
        <v>0</v>
      </c>
      <c r="AD1064" s="246">
        <f>IFERROR(VLOOKUP(P1064,PROGRAMAS[],2,FALSE),0)</f>
        <v>0</v>
      </c>
      <c r="AE1064" s="246">
        <f>IFERROR(VLOOKUP(Q1064,PROGRAMAS[],2,FALSE),0)</f>
        <v>0</v>
      </c>
      <c r="AF1064" s="246">
        <f>IFERROR(VLOOKUP(D1064,PROGRAMAS[],3,FALSE),0)</f>
        <v>841888629.31080008</v>
      </c>
      <c r="AG1064" s="246">
        <f>IFERROR(VLOOKUP(E1064,PROGRAMAS[],3,FALSE),0)</f>
        <v>3848980803.1642323</v>
      </c>
      <c r="AH1064" s="246">
        <f>IFERROR(VLOOKUP(F1064,PROGRAMAS[],3,FALSE),0)</f>
        <v>3394901471.387517</v>
      </c>
      <c r="AI1064" s="246">
        <f>IFERROR(VLOOKUP(G1064,PROGRAMAS[],3,FALSE),0)</f>
        <v>125317226.95549992</v>
      </c>
      <c r="AJ1064" s="246">
        <f>IFERROR(VLOOKUP(H1064,PROGRAMAS[],3,FALSE),0)</f>
        <v>1233505101.0616004</v>
      </c>
      <c r="AK1064" s="246">
        <f>IFERROR(VLOOKUP(I1064,PROGRAMAS[],3,FALSE),0)</f>
        <v>6129902208.7912121</v>
      </c>
      <c r="AL1064" s="246">
        <f>IFERROR(VLOOKUP(J1064,PROGRAMAS[],3,FALSE),0)</f>
        <v>675517840.109828</v>
      </c>
      <c r="AM1064" s="246">
        <f>IFERROR(VLOOKUP(K1064,PROGRAMAS[],3,FALSE),0)</f>
        <v>2392571243.5584412</v>
      </c>
      <c r="AN1064" s="246">
        <f>IFERROR(VLOOKUP(L1064,PROGRAMAS[],3,FALSE),0)</f>
        <v>948595847.09039903</v>
      </c>
      <c r="AO1064" s="246">
        <f>IFERROR(VLOOKUP(M1064,PROGRAMAS[],3,FALSE),0)</f>
        <v>0</v>
      </c>
      <c r="AP1064" s="246">
        <f>IFERROR(VLOOKUP(N1064,PROGRAMAS[],3,FALSE),0)</f>
        <v>0</v>
      </c>
      <c r="AQ1064" s="246">
        <f>IFERROR(VLOOKUP(O1064,PROGRAMAS[],3,FALSE),0)</f>
        <v>0</v>
      </c>
      <c r="AR1064" s="246">
        <f>IFERROR(VLOOKUP(P1064,PROGRAMAS[],3,FALSE),0)</f>
        <v>0</v>
      </c>
      <c r="AS1064" s="246">
        <f>IFERROR(VLOOKUP(Q1064,PROGRAMAS[],3,FALSE),0)</f>
        <v>0</v>
      </c>
      <c r="AT1064" s="246">
        <f>IFERROR(VLOOKUP(D1064,VOL_REC[],2,FALSE),0)</f>
        <v>0</v>
      </c>
      <c r="AU1064" s="246">
        <f>IFERROR(VLOOKUP(E1064,VOL_REC[],2,FALSE),0)</f>
        <v>0</v>
      </c>
      <c r="AV1064" s="246">
        <f>IFERROR(VLOOKUP(F1064,VOL_REC[],2,FALSE),0)</f>
        <v>11089674.200000001</v>
      </c>
      <c r="AW1064" s="246">
        <f>IFERROR(VLOOKUP(G1064,VOL_REC[],2,FALSE),0)</f>
        <v>90439.55</v>
      </c>
      <c r="AX1064" s="246">
        <f>IFERROR(VLOOKUP(H1064,VOL_REC[],2,FALSE),0)</f>
        <v>4325103.1812214684</v>
      </c>
      <c r="AY1064" s="246">
        <f>IFERROR(VLOOKUP(I1064,VOL_REC[],2,FALSE),0)</f>
        <v>15540036.397699751</v>
      </c>
      <c r="AZ1064" s="246">
        <f>IFERROR(VLOOKUP(J1064,VOL_REC[],2,FALSE),0)</f>
        <v>240696.79238099116</v>
      </c>
      <c r="BA1064" s="246">
        <f>IFERROR(VLOOKUP(K1064,VOL_REC[],2,FALSE),0)</f>
        <v>663244.80000000016</v>
      </c>
      <c r="BB1064" s="246">
        <f>IFERROR(VLOOKUP(L1064,VOL_REC[],2,FALSE),0)</f>
        <v>740113.98115702497</v>
      </c>
      <c r="BC1064" s="246">
        <f>IFERROR(VLOOKUP(M1064,VOL_REC[],2,FALSE),0)</f>
        <v>0</v>
      </c>
      <c r="BD1064" s="246">
        <f>IFERROR(VLOOKUP(N1064,VOL_REC[],2,FALSE),0)</f>
        <v>0</v>
      </c>
      <c r="BE1064" s="246">
        <f>IFERROR(VLOOKUP(O1064,VOL_REC[],2,FALSE),0)</f>
        <v>0</v>
      </c>
      <c r="BF1064" s="246">
        <f>IFERROR(VLOOKUP(P1064,VOL_REC[],2,FALSE),0)</f>
        <v>0</v>
      </c>
      <c r="BG1064" s="246">
        <f>IFERROR(VLOOKUP(Q1064,VOL_REC[],2,FALSE),0)</f>
        <v>0</v>
      </c>
      <c r="BH1064" s="1710">
        <f t="shared" si="64"/>
        <v>18650269435.425312</v>
      </c>
      <c r="BI1064" s="1710">
        <f t="shared" si="65"/>
        <v>19591180371.429531</v>
      </c>
      <c r="BJ1064" s="1711">
        <f t="shared" si="66"/>
        <v>32689308.902459238</v>
      </c>
      <c r="BK1064" s="1711">
        <f t="shared" si="67"/>
        <v>0.9519727286378119</v>
      </c>
    </row>
    <row r="1065" spans="3:67" x14ac:dyDescent="0.25">
      <c r="C1065" s="246" t="s">
        <v>2415</v>
      </c>
      <c r="D1065" s="246">
        <v>1</v>
      </c>
      <c r="E1065" s="246">
        <v>2</v>
      </c>
      <c r="F1065" s="246">
        <v>3</v>
      </c>
      <c r="G1065" s="246">
        <v>4</v>
      </c>
      <c r="H1065" s="246">
        <v>5</v>
      </c>
      <c r="I1065" s="246">
        <v>6</v>
      </c>
      <c r="J1065" s="246">
        <v>12</v>
      </c>
      <c r="K1065" s="246">
        <v>14</v>
      </c>
      <c r="L1065" s="246">
        <v>15</v>
      </c>
      <c r="M1065" s="246"/>
      <c r="N1065" s="246"/>
      <c r="O1065" s="246"/>
      <c r="P1065" s="246"/>
      <c r="Q1065" s="246"/>
      <c r="R1065" s="246">
        <f>IFERROR(VLOOKUP(D1065,PROGRAMAS[],2,FALSE),0)</f>
        <v>97037803.679377079</v>
      </c>
      <c r="S1065" s="246">
        <f>IFERROR(VLOOKUP(E1065,PROGRAMAS[],2,FALSE),0)</f>
        <v>640501509.6821388</v>
      </c>
      <c r="T1065" s="246">
        <f>IFERROR(VLOOKUP(F1065,PROGRAMAS[],2,FALSE),0)</f>
        <v>3062327798.1525245</v>
      </c>
      <c r="U1065" s="246">
        <f>IFERROR(VLOOKUP(G1065,PROGRAMAS[],2,FALSE),0)</f>
        <v>67697118.033011258</v>
      </c>
      <c r="V1065" s="246">
        <f>IFERROR(VLOOKUP(H1065,PROGRAMAS[],2,FALSE),0)</f>
        <v>1440941976.2528784</v>
      </c>
      <c r="W1065" s="246">
        <f>IFERROR(VLOOKUP(I1065,PROGRAMAS[],2,FALSE),0)</f>
        <v>6907648435.8447599</v>
      </c>
      <c r="X1065" s="246">
        <f>IFERROR(VLOOKUP(J1065,PROGRAMAS[],2,FALSE),0)</f>
        <v>764796700.79905891</v>
      </c>
      <c r="Y1065" s="246">
        <f>IFERROR(VLOOKUP(K1065,PROGRAMAS[],2,FALSE),0)</f>
        <v>54223862.645839565</v>
      </c>
      <c r="Z1065" s="246">
        <f>IFERROR(VLOOKUP(L1065,PROGRAMAS[],2,FALSE),0)</f>
        <v>122159672.96346797</v>
      </c>
      <c r="AA1065" s="246">
        <f>IFERROR(VLOOKUP(M1065,PROGRAMAS[],2,FALSE),0)</f>
        <v>0</v>
      </c>
      <c r="AB1065" s="246">
        <f>IFERROR(VLOOKUP(N1065,PROGRAMAS[],2,FALSE),0)</f>
        <v>0</v>
      </c>
      <c r="AC1065" s="246">
        <f>IFERROR(VLOOKUP(O1065,PROGRAMAS[],2,FALSE),0)</f>
        <v>0</v>
      </c>
      <c r="AD1065" s="246">
        <f>IFERROR(VLOOKUP(P1065,PROGRAMAS[],2,FALSE),0)</f>
        <v>0</v>
      </c>
      <c r="AE1065" s="246">
        <f>IFERROR(VLOOKUP(Q1065,PROGRAMAS[],2,FALSE),0)</f>
        <v>0</v>
      </c>
      <c r="AF1065" s="246">
        <f>IFERROR(VLOOKUP(D1065,PROGRAMAS[],3,FALSE),0)</f>
        <v>841888629.31080008</v>
      </c>
      <c r="AG1065" s="246">
        <f>IFERROR(VLOOKUP(E1065,PROGRAMAS[],3,FALSE),0)</f>
        <v>3848980803.1642323</v>
      </c>
      <c r="AH1065" s="246">
        <f>IFERROR(VLOOKUP(F1065,PROGRAMAS[],3,FALSE),0)</f>
        <v>3394901471.387517</v>
      </c>
      <c r="AI1065" s="246">
        <f>IFERROR(VLOOKUP(G1065,PROGRAMAS[],3,FALSE),0)</f>
        <v>125317226.95549992</v>
      </c>
      <c r="AJ1065" s="246">
        <f>IFERROR(VLOOKUP(H1065,PROGRAMAS[],3,FALSE),0)</f>
        <v>1233505101.0616004</v>
      </c>
      <c r="AK1065" s="246">
        <f>IFERROR(VLOOKUP(I1065,PROGRAMAS[],3,FALSE),0)</f>
        <v>6129902208.7912121</v>
      </c>
      <c r="AL1065" s="246">
        <f>IFERROR(VLOOKUP(J1065,PROGRAMAS[],3,FALSE),0)</f>
        <v>675517840.109828</v>
      </c>
      <c r="AM1065" s="246">
        <f>IFERROR(VLOOKUP(K1065,PROGRAMAS[],3,FALSE),0)</f>
        <v>31865326.38096505</v>
      </c>
      <c r="AN1065" s="246">
        <f>IFERROR(VLOOKUP(L1065,PROGRAMAS[],3,FALSE),0)</f>
        <v>118617452.52510804</v>
      </c>
      <c r="AO1065" s="246">
        <f>IFERROR(VLOOKUP(M1065,PROGRAMAS[],3,FALSE),0)</f>
        <v>0</v>
      </c>
      <c r="AP1065" s="246">
        <f>IFERROR(VLOOKUP(N1065,PROGRAMAS[],3,FALSE),0)</f>
        <v>0</v>
      </c>
      <c r="AQ1065" s="246">
        <f>IFERROR(VLOOKUP(O1065,PROGRAMAS[],3,FALSE),0)</f>
        <v>0</v>
      </c>
      <c r="AR1065" s="246">
        <f>IFERROR(VLOOKUP(P1065,PROGRAMAS[],3,FALSE),0)</f>
        <v>0</v>
      </c>
      <c r="AS1065" s="246">
        <f>IFERROR(VLOOKUP(Q1065,PROGRAMAS[],3,FALSE),0)</f>
        <v>0</v>
      </c>
      <c r="AT1065" s="246">
        <f>IFERROR(VLOOKUP(D1065,VOL_REC[],2,FALSE),0)</f>
        <v>0</v>
      </c>
      <c r="AU1065" s="246">
        <f>IFERROR(VLOOKUP(E1065,VOL_REC[],2,FALSE),0)</f>
        <v>0</v>
      </c>
      <c r="AV1065" s="246">
        <f>IFERROR(VLOOKUP(F1065,VOL_REC[],2,FALSE),0)</f>
        <v>11089674.200000001</v>
      </c>
      <c r="AW1065" s="246">
        <f>IFERROR(VLOOKUP(G1065,VOL_REC[],2,FALSE),0)</f>
        <v>90439.55</v>
      </c>
      <c r="AX1065" s="246">
        <f>IFERROR(VLOOKUP(H1065,VOL_REC[],2,FALSE),0)</f>
        <v>4325103.1812214684</v>
      </c>
      <c r="AY1065" s="246">
        <f>IFERROR(VLOOKUP(I1065,VOL_REC[],2,FALSE),0)</f>
        <v>15540036.397699751</v>
      </c>
      <c r="AZ1065" s="246">
        <f>IFERROR(VLOOKUP(J1065,VOL_REC[],2,FALSE),0)</f>
        <v>240696.79238099116</v>
      </c>
      <c r="BA1065" s="246">
        <f>IFERROR(VLOOKUP(K1065,VOL_REC[],2,FALSE),0)</f>
        <v>17074.045034105649</v>
      </c>
      <c r="BB1065" s="246">
        <f>IFERROR(VLOOKUP(L1065,VOL_REC[],2,FALSE),0)</f>
        <v>105072</v>
      </c>
      <c r="BC1065" s="246">
        <f>IFERROR(VLOOKUP(M1065,VOL_REC[],2,FALSE),0)</f>
        <v>0</v>
      </c>
      <c r="BD1065" s="246">
        <f>IFERROR(VLOOKUP(N1065,VOL_REC[],2,FALSE),0)</f>
        <v>0</v>
      </c>
      <c r="BE1065" s="246">
        <f>IFERROR(VLOOKUP(O1065,VOL_REC[],2,FALSE),0)</f>
        <v>0</v>
      </c>
      <c r="BF1065" s="246">
        <f>IFERROR(VLOOKUP(P1065,VOL_REC[],2,FALSE),0)</f>
        <v>0</v>
      </c>
      <c r="BG1065" s="246">
        <f>IFERROR(VLOOKUP(Q1065,VOL_REC[],2,FALSE),0)</f>
        <v>0</v>
      </c>
      <c r="BH1065" s="1710">
        <f t="shared" si="64"/>
        <v>13157334878.053059</v>
      </c>
      <c r="BI1065" s="1710">
        <f t="shared" si="65"/>
        <v>16400496059.686762</v>
      </c>
      <c r="BJ1065" s="1711">
        <f t="shared" si="66"/>
        <v>31408096.16633632</v>
      </c>
      <c r="BK1065" s="1711">
        <f t="shared" si="67"/>
        <v>0.8022522507959039</v>
      </c>
    </row>
    <row r="1066" spans="3:67" x14ac:dyDescent="0.25">
      <c r="C1066" s="246" t="s">
        <v>2416</v>
      </c>
      <c r="D1066" s="246">
        <v>1</v>
      </c>
      <c r="E1066" s="246">
        <v>2</v>
      </c>
      <c r="F1066" s="246">
        <v>3</v>
      </c>
      <c r="G1066" s="246">
        <v>4</v>
      </c>
      <c r="H1066" s="246">
        <v>5</v>
      </c>
      <c r="I1066" s="246">
        <v>6</v>
      </c>
      <c r="J1066" s="246">
        <v>12</v>
      </c>
      <c r="K1066" s="246">
        <v>14</v>
      </c>
      <c r="L1066" s="246">
        <v>16</v>
      </c>
      <c r="M1066" s="246"/>
      <c r="N1066" s="246"/>
      <c r="O1066" s="246"/>
      <c r="P1066" s="246"/>
      <c r="Q1066" s="246"/>
      <c r="R1066" s="246">
        <f>IFERROR(VLOOKUP(D1066,PROGRAMAS[],2,FALSE),0)</f>
        <v>97037803.679377079</v>
      </c>
      <c r="S1066" s="246">
        <f>IFERROR(VLOOKUP(E1066,PROGRAMAS[],2,FALSE),0)</f>
        <v>640501509.6821388</v>
      </c>
      <c r="T1066" s="246">
        <f>IFERROR(VLOOKUP(F1066,PROGRAMAS[],2,FALSE),0)</f>
        <v>3062327798.1525245</v>
      </c>
      <c r="U1066" s="246">
        <f>IFERROR(VLOOKUP(G1066,PROGRAMAS[],2,FALSE),0)</f>
        <v>67697118.033011258</v>
      </c>
      <c r="V1066" s="246">
        <f>IFERROR(VLOOKUP(H1066,PROGRAMAS[],2,FALSE),0)</f>
        <v>1440941976.2528784</v>
      </c>
      <c r="W1066" s="246">
        <f>IFERROR(VLOOKUP(I1066,PROGRAMAS[],2,FALSE),0)</f>
        <v>6907648435.8447599</v>
      </c>
      <c r="X1066" s="246">
        <f>IFERROR(VLOOKUP(J1066,PROGRAMAS[],2,FALSE),0)</f>
        <v>764796700.79905891</v>
      </c>
      <c r="Y1066" s="246">
        <f>IFERROR(VLOOKUP(K1066,PROGRAMAS[],2,FALSE),0)</f>
        <v>54223862.645839565</v>
      </c>
      <c r="Z1066" s="246">
        <f>IFERROR(VLOOKUP(L1066,PROGRAMAS[],2,FALSE),0)</f>
        <v>7068496961.0436354</v>
      </c>
      <c r="AA1066" s="246">
        <f>IFERROR(VLOOKUP(M1066,PROGRAMAS[],2,FALSE),0)</f>
        <v>0</v>
      </c>
      <c r="AB1066" s="246">
        <f>IFERROR(VLOOKUP(N1066,PROGRAMAS[],2,FALSE),0)</f>
        <v>0</v>
      </c>
      <c r="AC1066" s="246">
        <f>IFERROR(VLOOKUP(O1066,PROGRAMAS[],2,FALSE),0)</f>
        <v>0</v>
      </c>
      <c r="AD1066" s="246">
        <f>IFERROR(VLOOKUP(P1066,PROGRAMAS[],2,FALSE),0)</f>
        <v>0</v>
      </c>
      <c r="AE1066" s="246">
        <f>IFERROR(VLOOKUP(Q1066,PROGRAMAS[],2,FALSE),0)</f>
        <v>0</v>
      </c>
      <c r="AF1066" s="246">
        <f>IFERROR(VLOOKUP(D1066,PROGRAMAS[],3,FALSE),0)</f>
        <v>841888629.31080008</v>
      </c>
      <c r="AG1066" s="246">
        <f>IFERROR(VLOOKUP(E1066,PROGRAMAS[],3,FALSE),0)</f>
        <v>3848980803.1642323</v>
      </c>
      <c r="AH1066" s="246">
        <f>IFERROR(VLOOKUP(F1066,PROGRAMAS[],3,FALSE),0)</f>
        <v>3394901471.387517</v>
      </c>
      <c r="AI1066" s="246">
        <f>IFERROR(VLOOKUP(G1066,PROGRAMAS[],3,FALSE),0)</f>
        <v>125317226.95549992</v>
      </c>
      <c r="AJ1066" s="246">
        <f>IFERROR(VLOOKUP(H1066,PROGRAMAS[],3,FALSE),0)</f>
        <v>1233505101.0616004</v>
      </c>
      <c r="AK1066" s="246">
        <f>IFERROR(VLOOKUP(I1066,PROGRAMAS[],3,FALSE),0)</f>
        <v>6129902208.7912121</v>
      </c>
      <c r="AL1066" s="246">
        <f>IFERROR(VLOOKUP(J1066,PROGRAMAS[],3,FALSE),0)</f>
        <v>675517840.109828</v>
      </c>
      <c r="AM1066" s="246">
        <f>IFERROR(VLOOKUP(K1066,PROGRAMAS[],3,FALSE),0)</f>
        <v>31865326.38096505</v>
      </c>
      <c r="AN1066" s="246">
        <f>IFERROR(VLOOKUP(L1066,PROGRAMAS[],3,FALSE),0)</f>
        <v>2406564599.0319901</v>
      </c>
      <c r="AO1066" s="246">
        <f>IFERROR(VLOOKUP(M1066,PROGRAMAS[],3,FALSE),0)</f>
        <v>0</v>
      </c>
      <c r="AP1066" s="246">
        <f>IFERROR(VLOOKUP(N1066,PROGRAMAS[],3,FALSE),0)</f>
        <v>0</v>
      </c>
      <c r="AQ1066" s="246">
        <f>IFERROR(VLOOKUP(O1066,PROGRAMAS[],3,FALSE),0)</f>
        <v>0</v>
      </c>
      <c r="AR1066" s="246">
        <f>IFERROR(VLOOKUP(P1066,PROGRAMAS[],3,FALSE),0)</f>
        <v>0</v>
      </c>
      <c r="AS1066" s="246">
        <f>IFERROR(VLOOKUP(Q1066,PROGRAMAS[],3,FALSE),0)</f>
        <v>0</v>
      </c>
      <c r="AT1066" s="246">
        <f>IFERROR(VLOOKUP(D1066,VOL_REC[],2,FALSE),0)</f>
        <v>0</v>
      </c>
      <c r="AU1066" s="246">
        <f>IFERROR(VLOOKUP(E1066,VOL_REC[],2,FALSE),0)</f>
        <v>0</v>
      </c>
      <c r="AV1066" s="246">
        <f>IFERROR(VLOOKUP(F1066,VOL_REC[],2,FALSE),0)</f>
        <v>11089674.200000001</v>
      </c>
      <c r="AW1066" s="246">
        <f>IFERROR(VLOOKUP(G1066,VOL_REC[],2,FALSE),0)</f>
        <v>90439.55</v>
      </c>
      <c r="AX1066" s="246">
        <f>IFERROR(VLOOKUP(H1066,VOL_REC[],2,FALSE),0)</f>
        <v>4325103.1812214684</v>
      </c>
      <c r="AY1066" s="246">
        <f>IFERROR(VLOOKUP(I1066,VOL_REC[],2,FALSE),0)</f>
        <v>15540036.397699751</v>
      </c>
      <c r="AZ1066" s="246">
        <f>IFERROR(VLOOKUP(J1066,VOL_REC[],2,FALSE),0)</f>
        <v>240696.79238099116</v>
      </c>
      <c r="BA1066" s="246">
        <f>IFERROR(VLOOKUP(K1066,VOL_REC[],2,FALSE),0)</f>
        <v>17074.045034105649</v>
      </c>
      <c r="BB1066" s="246">
        <f>IFERROR(VLOOKUP(L1066,VOL_REC[],2,FALSE),0)</f>
        <v>1072354.9981737854</v>
      </c>
      <c r="BC1066" s="246">
        <f>IFERROR(VLOOKUP(M1066,VOL_REC[],2,FALSE),0)</f>
        <v>0</v>
      </c>
      <c r="BD1066" s="246">
        <f>IFERROR(VLOOKUP(N1066,VOL_REC[],2,FALSE),0)</f>
        <v>0</v>
      </c>
      <c r="BE1066" s="246">
        <f>IFERROR(VLOOKUP(O1066,VOL_REC[],2,FALSE),0)</f>
        <v>0</v>
      </c>
      <c r="BF1066" s="246">
        <f>IFERROR(VLOOKUP(P1066,VOL_REC[],2,FALSE),0)</f>
        <v>0</v>
      </c>
      <c r="BG1066" s="246">
        <f>IFERROR(VLOOKUP(Q1066,VOL_REC[],2,FALSE),0)</f>
        <v>0</v>
      </c>
      <c r="BH1066" s="1710">
        <f t="shared" si="64"/>
        <v>20103672166.133224</v>
      </c>
      <c r="BI1066" s="1710">
        <f t="shared" si="65"/>
        <v>18688443206.193642</v>
      </c>
      <c r="BJ1066" s="1711">
        <f t="shared" si="66"/>
        <v>32375379.164510105</v>
      </c>
      <c r="BK1066" s="1711">
        <f t="shared" si="67"/>
        <v>1.0757274934206693</v>
      </c>
      <c r="BL1066">
        <f>BJ1066</f>
        <v>32375379.164510105</v>
      </c>
      <c r="BO1066">
        <f>BL1066</f>
        <v>32375379.164510105</v>
      </c>
    </row>
    <row r="1067" spans="3:67" x14ac:dyDescent="0.25">
      <c r="C1067" s="246" t="s">
        <v>2417</v>
      </c>
      <c r="D1067" s="246">
        <v>1</v>
      </c>
      <c r="E1067" s="246">
        <v>2</v>
      </c>
      <c r="F1067" s="246">
        <v>3</v>
      </c>
      <c r="G1067" s="246">
        <v>4</v>
      </c>
      <c r="H1067" s="246">
        <v>5</v>
      </c>
      <c r="I1067" s="246">
        <v>6</v>
      </c>
      <c r="J1067" s="246">
        <v>12</v>
      </c>
      <c r="K1067" s="246">
        <v>14</v>
      </c>
      <c r="L1067" s="246">
        <v>17</v>
      </c>
      <c r="M1067" s="246"/>
      <c r="N1067" s="246"/>
      <c r="O1067" s="246"/>
      <c r="P1067" s="246"/>
      <c r="Q1067" s="246"/>
      <c r="R1067" s="246">
        <f>IFERROR(VLOOKUP(D1067,PROGRAMAS[],2,FALSE),0)</f>
        <v>97037803.679377079</v>
      </c>
      <c r="S1067" s="246">
        <f>IFERROR(VLOOKUP(E1067,PROGRAMAS[],2,FALSE),0)</f>
        <v>640501509.6821388</v>
      </c>
      <c r="T1067" s="246">
        <f>IFERROR(VLOOKUP(F1067,PROGRAMAS[],2,FALSE),0)</f>
        <v>3062327798.1525245</v>
      </c>
      <c r="U1067" s="246">
        <f>IFERROR(VLOOKUP(G1067,PROGRAMAS[],2,FALSE),0)</f>
        <v>67697118.033011258</v>
      </c>
      <c r="V1067" s="246">
        <f>IFERROR(VLOOKUP(H1067,PROGRAMAS[],2,FALSE),0)</f>
        <v>1440941976.2528784</v>
      </c>
      <c r="W1067" s="246">
        <f>IFERROR(VLOOKUP(I1067,PROGRAMAS[],2,FALSE),0)</f>
        <v>6907648435.8447599</v>
      </c>
      <c r="X1067" s="246">
        <f>IFERROR(VLOOKUP(J1067,PROGRAMAS[],2,FALSE),0)</f>
        <v>764796700.79905891</v>
      </c>
      <c r="Y1067" s="246">
        <f>IFERROR(VLOOKUP(K1067,PROGRAMAS[],2,FALSE),0)</f>
        <v>54223862.645839565</v>
      </c>
      <c r="Z1067" s="246">
        <f>IFERROR(VLOOKUP(L1067,PROGRAMAS[],2,FALSE),0)</f>
        <v>1892779498.5211046</v>
      </c>
      <c r="AA1067" s="246">
        <f>IFERROR(VLOOKUP(M1067,PROGRAMAS[],2,FALSE),0)</f>
        <v>0</v>
      </c>
      <c r="AB1067" s="246">
        <f>IFERROR(VLOOKUP(N1067,PROGRAMAS[],2,FALSE),0)</f>
        <v>0</v>
      </c>
      <c r="AC1067" s="246">
        <f>IFERROR(VLOOKUP(O1067,PROGRAMAS[],2,FALSE),0)</f>
        <v>0</v>
      </c>
      <c r="AD1067" s="246">
        <f>IFERROR(VLOOKUP(P1067,PROGRAMAS[],2,FALSE),0)</f>
        <v>0</v>
      </c>
      <c r="AE1067" s="246">
        <f>IFERROR(VLOOKUP(Q1067,PROGRAMAS[],2,FALSE),0)</f>
        <v>0</v>
      </c>
      <c r="AF1067" s="246">
        <f>IFERROR(VLOOKUP(D1067,PROGRAMAS[],3,FALSE),0)</f>
        <v>841888629.31080008</v>
      </c>
      <c r="AG1067" s="246">
        <f>IFERROR(VLOOKUP(E1067,PROGRAMAS[],3,FALSE),0)</f>
        <v>3848980803.1642323</v>
      </c>
      <c r="AH1067" s="246">
        <f>IFERROR(VLOOKUP(F1067,PROGRAMAS[],3,FALSE),0)</f>
        <v>3394901471.387517</v>
      </c>
      <c r="AI1067" s="246">
        <f>IFERROR(VLOOKUP(G1067,PROGRAMAS[],3,FALSE),0)</f>
        <v>125317226.95549992</v>
      </c>
      <c r="AJ1067" s="246">
        <f>IFERROR(VLOOKUP(H1067,PROGRAMAS[],3,FALSE),0)</f>
        <v>1233505101.0616004</v>
      </c>
      <c r="AK1067" s="246">
        <f>IFERROR(VLOOKUP(I1067,PROGRAMAS[],3,FALSE),0)</f>
        <v>6129902208.7912121</v>
      </c>
      <c r="AL1067" s="246">
        <f>IFERROR(VLOOKUP(J1067,PROGRAMAS[],3,FALSE),0)</f>
        <v>675517840.109828</v>
      </c>
      <c r="AM1067" s="246">
        <f>IFERROR(VLOOKUP(K1067,PROGRAMAS[],3,FALSE),0)</f>
        <v>31865326.38096505</v>
      </c>
      <c r="AN1067" s="246">
        <f>IFERROR(VLOOKUP(L1067,PROGRAMAS[],3,FALSE),0)</f>
        <v>948595847.09039903</v>
      </c>
      <c r="AO1067" s="246">
        <f>IFERROR(VLOOKUP(M1067,PROGRAMAS[],3,FALSE),0)</f>
        <v>0</v>
      </c>
      <c r="AP1067" s="246">
        <f>IFERROR(VLOOKUP(N1067,PROGRAMAS[],3,FALSE),0)</f>
        <v>0</v>
      </c>
      <c r="AQ1067" s="246">
        <f>IFERROR(VLOOKUP(O1067,PROGRAMAS[],3,FALSE),0)</f>
        <v>0</v>
      </c>
      <c r="AR1067" s="246">
        <f>IFERROR(VLOOKUP(P1067,PROGRAMAS[],3,FALSE),0)</f>
        <v>0</v>
      </c>
      <c r="AS1067" s="246">
        <f>IFERROR(VLOOKUP(Q1067,PROGRAMAS[],3,FALSE),0)</f>
        <v>0</v>
      </c>
      <c r="AT1067" s="246">
        <f>IFERROR(VLOOKUP(D1067,VOL_REC[],2,FALSE),0)</f>
        <v>0</v>
      </c>
      <c r="AU1067" s="246">
        <f>IFERROR(VLOOKUP(E1067,VOL_REC[],2,FALSE),0)</f>
        <v>0</v>
      </c>
      <c r="AV1067" s="246">
        <f>IFERROR(VLOOKUP(F1067,VOL_REC[],2,FALSE),0)</f>
        <v>11089674.200000001</v>
      </c>
      <c r="AW1067" s="246">
        <f>IFERROR(VLOOKUP(G1067,VOL_REC[],2,FALSE),0)</f>
        <v>90439.55</v>
      </c>
      <c r="AX1067" s="246">
        <f>IFERROR(VLOOKUP(H1067,VOL_REC[],2,FALSE),0)</f>
        <v>4325103.1812214684</v>
      </c>
      <c r="AY1067" s="246">
        <f>IFERROR(VLOOKUP(I1067,VOL_REC[],2,FALSE),0)</f>
        <v>15540036.397699751</v>
      </c>
      <c r="AZ1067" s="246">
        <f>IFERROR(VLOOKUP(J1067,VOL_REC[],2,FALSE),0)</f>
        <v>240696.79238099116</v>
      </c>
      <c r="BA1067" s="246">
        <f>IFERROR(VLOOKUP(K1067,VOL_REC[],2,FALSE),0)</f>
        <v>17074.045034105649</v>
      </c>
      <c r="BB1067" s="246">
        <f>IFERROR(VLOOKUP(L1067,VOL_REC[],2,FALSE),0)</f>
        <v>740113.98115702497</v>
      </c>
      <c r="BC1067" s="246">
        <f>IFERROR(VLOOKUP(M1067,VOL_REC[],2,FALSE),0)</f>
        <v>0</v>
      </c>
      <c r="BD1067" s="246">
        <f>IFERROR(VLOOKUP(N1067,VOL_REC[],2,FALSE),0)</f>
        <v>0</v>
      </c>
      <c r="BE1067" s="246">
        <f>IFERROR(VLOOKUP(O1067,VOL_REC[],2,FALSE),0)</f>
        <v>0</v>
      </c>
      <c r="BF1067" s="246">
        <f>IFERROR(VLOOKUP(P1067,VOL_REC[],2,FALSE),0)</f>
        <v>0</v>
      </c>
      <c r="BG1067" s="246">
        <f>IFERROR(VLOOKUP(Q1067,VOL_REC[],2,FALSE),0)</f>
        <v>0</v>
      </c>
      <c r="BH1067" s="1710">
        <f t="shared" si="64"/>
        <v>14927954703.610695</v>
      </c>
      <c r="BI1067" s="1710">
        <f t="shared" si="65"/>
        <v>17230474454.252052</v>
      </c>
      <c r="BJ1067" s="1711">
        <f t="shared" si="66"/>
        <v>32043138.147493344</v>
      </c>
      <c r="BK1067" s="1711">
        <f t="shared" si="67"/>
        <v>0.86636933551918804</v>
      </c>
    </row>
    <row r="1068" spans="3:67" x14ac:dyDescent="0.25">
      <c r="C1068" s="246" t="s">
        <v>2418</v>
      </c>
      <c r="D1068" s="246">
        <v>1</v>
      </c>
      <c r="E1068" s="246">
        <v>2</v>
      </c>
      <c r="F1068" s="246">
        <v>3</v>
      </c>
      <c r="G1068" s="246">
        <v>4</v>
      </c>
      <c r="H1068" s="246">
        <v>5</v>
      </c>
      <c r="I1068" s="246">
        <v>6</v>
      </c>
      <c r="J1068" s="246">
        <v>12</v>
      </c>
      <c r="K1068" s="246">
        <v>15</v>
      </c>
      <c r="L1068" s="246">
        <v>16</v>
      </c>
      <c r="M1068" s="246"/>
      <c r="N1068" s="246"/>
      <c r="O1068" s="246"/>
      <c r="P1068" s="246"/>
      <c r="Q1068" s="246"/>
      <c r="R1068" s="246">
        <f>IFERROR(VLOOKUP(D1068,PROGRAMAS[],2,FALSE),0)</f>
        <v>97037803.679377079</v>
      </c>
      <c r="S1068" s="246">
        <f>IFERROR(VLOOKUP(E1068,PROGRAMAS[],2,FALSE),0)</f>
        <v>640501509.6821388</v>
      </c>
      <c r="T1068" s="246">
        <f>IFERROR(VLOOKUP(F1068,PROGRAMAS[],2,FALSE),0)</f>
        <v>3062327798.1525245</v>
      </c>
      <c r="U1068" s="246">
        <f>IFERROR(VLOOKUP(G1068,PROGRAMAS[],2,FALSE),0)</f>
        <v>67697118.033011258</v>
      </c>
      <c r="V1068" s="246">
        <f>IFERROR(VLOOKUP(H1068,PROGRAMAS[],2,FALSE),0)</f>
        <v>1440941976.2528784</v>
      </c>
      <c r="W1068" s="246">
        <f>IFERROR(VLOOKUP(I1068,PROGRAMAS[],2,FALSE),0)</f>
        <v>6907648435.8447599</v>
      </c>
      <c r="X1068" s="246">
        <f>IFERROR(VLOOKUP(J1068,PROGRAMAS[],2,FALSE),0)</f>
        <v>764796700.79905891</v>
      </c>
      <c r="Y1068" s="246">
        <f>IFERROR(VLOOKUP(K1068,PROGRAMAS[],2,FALSE),0)</f>
        <v>122159672.96346797</v>
      </c>
      <c r="Z1068" s="246">
        <f>IFERROR(VLOOKUP(L1068,PROGRAMAS[],2,FALSE),0)</f>
        <v>7068496961.0436354</v>
      </c>
      <c r="AA1068" s="246">
        <f>IFERROR(VLOOKUP(M1068,PROGRAMAS[],2,FALSE),0)</f>
        <v>0</v>
      </c>
      <c r="AB1068" s="246">
        <f>IFERROR(VLOOKUP(N1068,PROGRAMAS[],2,FALSE),0)</f>
        <v>0</v>
      </c>
      <c r="AC1068" s="246">
        <f>IFERROR(VLOOKUP(O1068,PROGRAMAS[],2,FALSE),0)</f>
        <v>0</v>
      </c>
      <c r="AD1068" s="246">
        <f>IFERROR(VLOOKUP(P1068,PROGRAMAS[],2,FALSE),0)</f>
        <v>0</v>
      </c>
      <c r="AE1068" s="246">
        <f>IFERROR(VLOOKUP(Q1068,PROGRAMAS[],2,FALSE),0)</f>
        <v>0</v>
      </c>
      <c r="AF1068" s="246">
        <f>IFERROR(VLOOKUP(D1068,PROGRAMAS[],3,FALSE),0)</f>
        <v>841888629.31080008</v>
      </c>
      <c r="AG1068" s="246">
        <f>IFERROR(VLOOKUP(E1068,PROGRAMAS[],3,FALSE),0)</f>
        <v>3848980803.1642323</v>
      </c>
      <c r="AH1068" s="246">
        <f>IFERROR(VLOOKUP(F1068,PROGRAMAS[],3,FALSE),0)</f>
        <v>3394901471.387517</v>
      </c>
      <c r="AI1068" s="246">
        <f>IFERROR(VLOOKUP(G1068,PROGRAMAS[],3,FALSE),0)</f>
        <v>125317226.95549992</v>
      </c>
      <c r="AJ1068" s="246">
        <f>IFERROR(VLOOKUP(H1068,PROGRAMAS[],3,FALSE),0)</f>
        <v>1233505101.0616004</v>
      </c>
      <c r="AK1068" s="246">
        <f>IFERROR(VLOOKUP(I1068,PROGRAMAS[],3,FALSE),0)</f>
        <v>6129902208.7912121</v>
      </c>
      <c r="AL1068" s="246">
        <f>IFERROR(VLOOKUP(J1068,PROGRAMAS[],3,FALSE),0)</f>
        <v>675517840.109828</v>
      </c>
      <c r="AM1068" s="246">
        <f>IFERROR(VLOOKUP(K1068,PROGRAMAS[],3,FALSE),0)</f>
        <v>118617452.52510804</v>
      </c>
      <c r="AN1068" s="246">
        <f>IFERROR(VLOOKUP(L1068,PROGRAMAS[],3,FALSE),0)</f>
        <v>2406564599.0319901</v>
      </c>
      <c r="AO1068" s="246">
        <f>IFERROR(VLOOKUP(M1068,PROGRAMAS[],3,FALSE),0)</f>
        <v>0</v>
      </c>
      <c r="AP1068" s="246">
        <f>IFERROR(VLOOKUP(N1068,PROGRAMAS[],3,FALSE),0)</f>
        <v>0</v>
      </c>
      <c r="AQ1068" s="246">
        <f>IFERROR(VLOOKUP(O1068,PROGRAMAS[],3,FALSE),0)</f>
        <v>0</v>
      </c>
      <c r="AR1068" s="246">
        <f>IFERROR(VLOOKUP(P1068,PROGRAMAS[],3,FALSE),0)</f>
        <v>0</v>
      </c>
      <c r="AS1068" s="246">
        <f>IFERROR(VLOOKUP(Q1068,PROGRAMAS[],3,FALSE),0)</f>
        <v>0</v>
      </c>
      <c r="AT1068" s="246">
        <f>IFERROR(VLOOKUP(D1068,VOL_REC[],2,FALSE),0)</f>
        <v>0</v>
      </c>
      <c r="AU1068" s="246">
        <f>IFERROR(VLOOKUP(E1068,VOL_REC[],2,FALSE),0)</f>
        <v>0</v>
      </c>
      <c r="AV1068" s="246">
        <f>IFERROR(VLOOKUP(F1068,VOL_REC[],2,FALSE),0)</f>
        <v>11089674.200000001</v>
      </c>
      <c r="AW1068" s="246">
        <f>IFERROR(VLOOKUP(G1068,VOL_REC[],2,FALSE),0)</f>
        <v>90439.55</v>
      </c>
      <c r="AX1068" s="246">
        <f>IFERROR(VLOOKUP(H1068,VOL_REC[],2,FALSE),0)</f>
        <v>4325103.1812214684</v>
      </c>
      <c r="AY1068" s="246">
        <f>IFERROR(VLOOKUP(I1068,VOL_REC[],2,FALSE),0)</f>
        <v>15540036.397699751</v>
      </c>
      <c r="AZ1068" s="246">
        <f>IFERROR(VLOOKUP(J1068,VOL_REC[],2,FALSE),0)</f>
        <v>240696.79238099116</v>
      </c>
      <c r="BA1068" s="246">
        <f>IFERROR(VLOOKUP(K1068,VOL_REC[],2,FALSE),0)</f>
        <v>105072</v>
      </c>
      <c r="BB1068" s="246">
        <f>IFERROR(VLOOKUP(L1068,VOL_REC[],2,FALSE),0)</f>
        <v>1072354.9981737854</v>
      </c>
      <c r="BC1068" s="246">
        <f>IFERROR(VLOOKUP(M1068,VOL_REC[],2,FALSE),0)</f>
        <v>0</v>
      </c>
      <c r="BD1068" s="246">
        <f>IFERROR(VLOOKUP(N1068,VOL_REC[],2,FALSE),0)</f>
        <v>0</v>
      </c>
      <c r="BE1068" s="246">
        <f>IFERROR(VLOOKUP(O1068,VOL_REC[],2,FALSE),0)</f>
        <v>0</v>
      </c>
      <c r="BF1068" s="246">
        <f>IFERROR(VLOOKUP(P1068,VOL_REC[],2,FALSE),0)</f>
        <v>0</v>
      </c>
      <c r="BG1068" s="246">
        <f>IFERROR(VLOOKUP(Q1068,VOL_REC[],2,FALSE),0)</f>
        <v>0</v>
      </c>
      <c r="BH1068" s="1710">
        <f t="shared" si="64"/>
        <v>20171607976.450855</v>
      </c>
      <c r="BI1068" s="1710">
        <f t="shared" si="65"/>
        <v>18775195332.337788</v>
      </c>
      <c r="BJ1068" s="1711">
        <f t="shared" si="66"/>
        <v>32463377.119475998</v>
      </c>
      <c r="BK1068" s="1711">
        <f t="shared" si="67"/>
        <v>1.0743753989982694</v>
      </c>
      <c r="BL1068">
        <f>BJ1068</f>
        <v>32463377.119475998</v>
      </c>
      <c r="BO1068">
        <f>BL1068</f>
        <v>32463377.119475998</v>
      </c>
    </row>
    <row r="1069" spans="3:67" x14ac:dyDescent="0.25">
      <c r="C1069" s="246" t="s">
        <v>2419</v>
      </c>
      <c r="D1069" s="246">
        <v>1</v>
      </c>
      <c r="E1069" s="246">
        <v>2</v>
      </c>
      <c r="F1069" s="246">
        <v>3</v>
      </c>
      <c r="G1069" s="246">
        <v>4</v>
      </c>
      <c r="H1069" s="246">
        <v>5</v>
      </c>
      <c r="I1069" s="246">
        <v>6</v>
      </c>
      <c r="J1069" s="246">
        <v>12</v>
      </c>
      <c r="K1069" s="246">
        <v>15</v>
      </c>
      <c r="L1069" s="246">
        <v>17</v>
      </c>
      <c r="M1069" s="246"/>
      <c r="N1069" s="246"/>
      <c r="O1069" s="246"/>
      <c r="P1069" s="246"/>
      <c r="Q1069" s="246"/>
      <c r="R1069" s="246">
        <f>IFERROR(VLOOKUP(D1069,PROGRAMAS[],2,FALSE),0)</f>
        <v>97037803.679377079</v>
      </c>
      <c r="S1069" s="246">
        <f>IFERROR(VLOOKUP(E1069,PROGRAMAS[],2,FALSE),0)</f>
        <v>640501509.6821388</v>
      </c>
      <c r="T1069" s="246">
        <f>IFERROR(VLOOKUP(F1069,PROGRAMAS[],2,FALSE),0)</f>
        <v>3062327798.1525245</v>
      </c>
      <c r="U1069" s="246">
        <f>IFERROR(VLOOKUP(G1069,PROGRAMAS[],2,FALSE),0)</f>
        <v>67697118.033011258</v>
      </c>
      <c r="V1069" s="246">
        <f>IFERROR(VLOOKUP(H1069,PROGRAMAS[],2,FALSE),0)</f>
        <v>1440941976.2528784</v>
      </c>
      <c r="W1069" s="246">
        <f>IFERROR(VLOOKUP(I1069,PROGRAMAS[],2,FALSE),0)</f>
        <v>6907648435.8447599</v>
      </c>
      <c r="X1069" s="246">
        <f>IFERROR(VLOOKUP(J1069,PROGRAMAS[],2,FALSE),0)</f>
        <v>764796700.79905891</v>
      </c>
      <c r="Y1069" s="246">
        <f>IFERROR(VLOOKUP(K1069,PROGRAMAS[],2,FALSE),0)</f>
        <v>122159672.96346797</v>
      </c>
      <c r="Z1069" s="246">
        <f>IFERROR(VLOOKUP(L1069,PROGRAMAS[],2,FALSE),0)</f>
        <v>1892779498.5211046</v>
      </c>
      <c r="AA1069" s="246">
        <f>IFERROR(VLOOKUP(M1069,PROGRAMAS[],2,FALSE),0)</f>
        <v>0</v>
      </c>
      <c r="AB1069" s="246">
        <f>IFERROR(VLOOKUP(N1069,PROGRAMAS[],2,FALSE),0)</f>
        <v>0</v>
      </c>
      <c r="AC1069" s="246">
        <f>IFERROR(VLOOKUP(O1069,PROGRAMAS[],2,FALSE),0)</f>
        <v>0</v>
      </c>
      <c r="AD1069" s="246">
        <f>IFERROR(VLOOKUP(P1069,PROGRAMAS[],2,FALSE),0)</f>
        <v>0</v>
      </c>
      <c r="AE1069" s="246">
        <f>IFERROR(VLOOKUP(Q1069,PROGRAMAS[],2,FALSE),0)</f>
        <v>0</v>
      </c>
      <c r="AF1069" s="246">
        <f>IFERROR(VLOOKUP(D1069,PROGRAMAS[],3,FALSE),0)</f>
        <v>841888629.31080008</v>
      </c>
      <c r="AG1069" s="246">
        <f>IFERROR(VLOOKUP(E1069,PROGRAMAS[],3,FALSE),0)</f>
        <v>3848980803.1642323</v>
      </c>
      <c r="AH1069" s="246">
        <f>IFERROR(VLOOKUP(F1069,PROGRAMAS[],3,FALSE),0)</f>
        <v>3394901471.387517</v>
      </c>
      <c r="AI1069" s="246">
        <f>IFERROR(VLOOKUP(G1069,PROGRAMAS[],3,FALSE),0)</f>
        <v>125317226.95549992</v>
      </c>
      <c r="AJ1069" s="246">
        <f>IFERROR(VLOOKUP(H1069,PROGRAMAS[],3,FALSE),0)</f>
        <v>1233505101.0616004</v>
      </c>
      <c r="AK1069" s="246">
        <f>IFERROR(VLOOKUP(I1069,PROGRAMAS[],3,FALSE),0)</f>
        <v>6129902208.7912121</v>
      </c>
      <c r="AL1069" s="246">
        <f>IFERROR(VLOOKUP(J1069,PROGRAMAS[],3,FALSE),0)</f>
        <v>675517840.109828</v>
      </c>
      <c r="AM1069" s="246">
        <f>IFERROR(VLOOKUP(K1069,PROGRAMAS[],3,FALSE),0)</f>
        <v>118617452.52510804</v>
      </c>
      <c r="AN1069" s="246">
        <f>IFERROR(VLOOKUP(L1069,PROGRAMAS[],3,FALSE),0)</f>
        <v>948595847.09039903</v>
      </c>
      <c r="AO1069" s="246">
        <f>IFERROR(VLOOKUP(M1069,PROGRAMAS[],3,FALSE),0)</f>
        <v>0</v>
      </c>
      <c r="AP1069" s="246">
        <f>IFERROR(VLOOKUP(N1069,PROGRAMAS[],3,FALSE),0)</f>
        <v>0</v>
      </c>
      <c r="AQ1069" s="246">
        <f>IFERROR(VLOOKUP(O1069,PROGRAMAS[],3,FALSE),0)</f>
        <v>0</v>
      </c>
      <c r="AR1069" s="246">
        <f>IFERROR(VLOOKUP(P1069,PROGRAMAS[],3,FALSE),0)</f>
        <v>0</v>
      </c>
      <c r="AS1069" s="246">
        <f>IFERROR(VLOOKUP(Q1069,PROGRAMAS[],3,FALSE),0)</f>
        <v>0</v>
      </c>
      <c r="AT1069" s="246">
        <f>IFERROR(VLOOKUP(D1069,VOL_REC[],2,FALSE),0)</f>
        <v>0</v>
      </c>
      <c r="AU1069" s="246">
        <f>IFERROR(VLOOKUP(E1069,VOL_REC[],2,FALSE),0)</f>
        <v>0</v>
      </c>
      <c r="AV1069" s="246">
        <f>IFERROR(VLOOKUP(F1069,VOL_REC[],2,FALSE),0)</f>
        <v>11089674.200000001</v>
      </c>
      <c r="AW1069" s="246">
        <f>IFERROR(VLOOKUP(G1069,VOL_REC[],2,FALSE),0)</f>
        <v>90439.55</v>
      </c>
      <c r="AX1069" s="246">
        <f>IFERROR(VLOOKUP(H1069,VOL_REC[],2,FALSE),0)</f>
        <v>4325103.1812214684</v>
      </c>
      <c r="AY1069" s="246">
        <f>IFERROR(VLOOKUP(I1069,VOL_REC[],2,FALSE),0)</f>
        <v>15540036.397699751</v>
      </c>
      <c r="AZ1069" s="246">
        <f>IFERROR(VLOOKUP(J1069,VOL_REC[],2,FALSE),0)</f>
        <v>240696.79238099116</v>
      </c>
      <c r="BA1069" s="246">
        <f>IFERROR(VLOOKUP(K1069,VOL_REC[],2,FALSE),0)</f>
        <v>105072</v>
      </c>
      <c r="BB1069" s="246">
        <f>IFERROR(VLOOKUP(L1069,VOL_REC[],2,FALSE),0)</f>
        <v>740113.98115702497</v>
      </c>
      <c r="BC1069" s="246">
        <f>IFERROR(VLOOKUP(M1069,VOL_REC[],2,FALSE),0)</f>
        <v>0</v>
      </c>
      <c r="BD1069" s="246">
        <f>IFERROR(VLOOKUP(N1069,VOL_REC[],2,FALSE),0)</f>
        <v>0</v>
      </c>
      <c r="BE1069" s="246">
        <f>IFERROR(VLOOKUP(O1069,VOL_REC[],2,FALSE),0)</f>
        <v>0</v>
      </c>
      <c r="BF1069" s="246">
        <f>IFERROR(VLOOKUP(P1069,VOL_REC[],2,FALSE),0)</f>
        <v>0</v>
      </c>
      <c r="BG1069" s="246">
        <f>IFERROR(VLOOKUP(Q1069,VOL_REC[],2,FALSE),0)</f>
        <v>0</v>
      </c>
      <c r="BH1069" s="1710">
        <f t="shared" si="64"/>
        <v>14995890513.928324</v>
      </c>
      <c r="BI1069" s="1710">
        <f t="shared" si="65"/>
        <v>17317226580.396198</v>
      </c>
      <c r="BJ1069" s="1711">
        <f t="shared" si="66"/>
        <v>32131136.102459237</v>
      </c>
      <c r="BK1069" s="1711">
        <f t="shared" si="67"/>
        <v>0.86595220339175327</v>
      </c>
    </row>
    <row r="1070" spans="3:67" x14ac:dyDescent="0.25">
      <c r="C1070" s="246" t="s">
        <v>2420</v>
      </c>
      <c r="D1070" s="246">
        <v>1</v>
      </c>
      <c r="E1070" s="246">
        <v>2</v>
      </c>
      <c r="F1070" s="246">
        <v>3</v>
      </c>
      <c r="G1070" s="246">
        <v>4</v>
      </c>
      <c r="H1070" s="246">
        <v>5</v>
      </c>
      <c r="I1070" s="246">
        <v>6</v>
      </c>
      <c r="J1070" s="246">
        <v>12</v>
      </c>
      <c r="K1070" s="246">
        <v>16</v>
      </c>
      <c r="L1070" s="246">
        <v>17</v>
      </c>
      <c r="M1070" s="246"/>
      <c r="N1070" s="246"/>
      <c r="O1070" s="246"/>
      <c r="P1070" s="246"/>
      <c r="Q1070" s="246"/>
      <c r="R1070" s="246">
        <f>IFERROR(VLOOKUP(D1070,PROGRAMAS[],2,FALSE),0)</f>
        <v>97037803.679377079</v>
      </c>
      <c r="S1070" s="246">
        <f>IFERROR(VLOOKUP(E1070,PROGRAMAS[],2,FALSE),0)</f>
        <v>640501509.6821388</v>
      </c>
      <c r="T1070" s="246">
        <f>IFERROR(VLOOKUP(F1070,PROGRAMAS[],2,FALSE),0)</f>
        <v>3062327798.1525245</v>
      </c>
      <c r="U1070" s="246">
        <f>IFERROR(VLOOKUP(G1070,PROGRAMAS[],2,FALSE),0)</f>
        <v>67697118.033011258</v>
      </c>
      <c r="V1070" s="246">
        <f>IFERROR(VLOOKUP(H1070,PROGRAMAS[],2,FALSE),0)</f>
        <v>1440941976.2528784</v>
      </c>
      <c r="W1070" s="246">
        <f>IFERROR(VLOOKUP(I1070,PROGRAMAS[],2,FALSE),0)</f>
        <v>6907648435.8447599</v>
      </c>
      <c r="X1070" s="246">
        <f>IFERROR(VLOOKUP(J1070,PROGRAMAS[],2,FALSE),0)</f>
        <v>764796700.79905891</v>
      </c>
      <c r="Y1070" s="246">
        <f>IFERROR(VLOOKUP(K1070,PROGRAMAS[],2,FALSE),0)</f>
        <v>7068496961.0436354</v>
      </c>
      <c r="Z1070" s="246">
        <f>IFERROR(VLOOKUP(L1070,PROGRAMAS[],2,FALSE),0)</f>
        <v>1892779498.5211046</v>
      </c>
      <c r="AA1070" s="246">
        <f>IFERROR(VLOOKUP(M1070,PROGRAMAS[],2,FALSE),0)</f>
        <v>0</v>
      </c>
      <c r="AB1070" s="246">
        <f>IFERROR(VLOOKUP(N1070,PROGRAMAS[],2,FALSE),0)</f>
        <v>0</v>
      </c>
      <c r="AC1070" s="246">
        <f>IFERROR(VLOOKUP(O1070,PROGRAMAS[],2,FALSE),0)</f>
        <v>0</v>
      </c>
      <c r="AD1070" s="246">
        <f>IFERROR(VLOOKUP(P1070,PROGRAMAS[],2,FALSE),0)</f>
        <v>0</v>
      </c>
      <c r="AE1070" s="246">
        <f>IFERROR(VLOOKUP(Q1070,PROGRAMAS[],2,FALSE),0)</f>
        <v>0</v>
      </c>
      <c r="AF1070" s="246">
        <f>IFERROR(VLOOKUP(D1070,PROGRAMAS[],3,FALSE),0)</f>
        <v>841888629.31080008</v>
      </c>
      <c r="AG1070" s="246">
        <f>IFERROR(VLOOKUP(E1070,PROGRAMAS[],3,FALSE),0)</f>
        <v>3848980803.1642323</v>
      </c>
      <c r="AH1070" s="246">
        <f>IFERROR(VLOOKUP(F1070,PROGRAMAS[],3,FALSE),0)</f>
        <v>3394901471.387517</v>
      </c>
      <c r="AI1070" s="246">
        <f>IFERROR(VLOOKUP(G1070,PROGRAMAS[],3,FALSE),0)</f>
        <v>125317226.95549992</v>
      </c>
      <c r="AJ1070" s="246">
        <f>IFERROR(VLOOKUP(H1070,PROGRAMAS[],3,FALSE),0)</f>
        <v>1233505101.0616004</v>
      </c>
      <c r="AK1070" s="246">
        <f>IFERROR(VLOOKUP(I1070,PROGRAMAS[],3,FALSE),0)</f>
        <v>6129902208.7912121</v>
      </c>
      <c r="AL1070" s="246">
        <f>IFERROR(VLOOKUP(J1070,PROGRAMAS[],3,FALSE),0)</f>
        <v>675517840.109828</v>
      </c>
      <c r="AM1070" s="246">
        <f>IFERROR(VLOOKUP(K1070,PROGRAMAS[],3,FALSE),0)</f>
        <v>2406564599.0319901</v>
      </c>
      <c r="AN1070" s="246">
        <f>IFERROR(VLOOKUP(L1070,PROGRAMAS[],3,FALSE),0)</f>
        <v>948595847.09039903</v>
      </c>
      <c r="AO1070" s="246">
        <f>IFERROR(VLOOKUP(M1070,PROGRAMAS[],3,FALSE),0)</f>
        <v>0</v>
      </c>
      <c r="AP1070" s="246">
        <f>IFERROR(VLOOKUP(N1070,PROGRAMAS[],3,FALSE),0)</f>
        <v>0</v>
      </c>
      <c r="AQ1070" s="246">
        <f>IFERROR(VLOOKUP(O1070,PROGRAMAS[],3,FALSE),0)</f>
        <v>0</v>
      </c>
      <c r="AR1070" s="246">
        <f>IFERROR(VLOOKUP(P1070,PROGRAMAS[],3,FALSE),0)</f>
        <v>0</v>
      </c>
      <c r="AS1070" s="246">
        <f>IFERROR(VLOOKUP(Q1070,PROGRAMAS[],3,FALSE),0)</f>
        <v>0</v>
      </c>
      <c r="AT1070" s="246">
        <f>IFERROR(VLOOKUP(D1070,VOL_REC[],2,FALSE),0)</f>
        <v>0</v>
      </c>
      <c r="AU1070" s="246">
        <f>IFERROR(VLOOKUP(E1070,VOL_REC[],2,FALSE),0)</f>
        <v>0</v>
      </c>
      <c r="AV1070" s="246">
        <f>IFERROR(VLOOKUP(F1070,VOL_REC[],2,FALSE),0)</f>
        <v>11089674.200000001</v>
      </c>
      <c r="AW1070" s="246">
        <f>IFERROR(VLOOKUP(G1070,VOL_REC[],2,FALSE),0)</f>
        <v>90439.55</v>
      </c>
      <c r="AX1070" s="246">
        <f>IFERROR(VLOOKUP(H1070,VOL_REC[],2,FALSE),0)</f>
        <v>4325103.1812214684</v>
      </c>
      <c r="AY1070" s="246">
        <f>IFERROR(VLOOKUP(I1070,VOL_REC[],2,FALSE),0)</f>
        <v>15540036.397699751</v>
      </c>
      <c r="AZ1070" s="246">
        <f>IFERROR(VLOOKUP(J1070,VOL_REC[],2,FALSE),0)</f>
        <v>240696.79238099116</v>
      </c>
      <c r="BA1070" s="246">
        <f>IFERROR(VLOOKUP(K1070,VOL_REC[],2,FALSE),0)</f>
        <v>1072354.9981737854</v>
      </c>
      <c r="BB1070" s="246">
        <f>IFERROR(VLOOKUP(L1070,VOL_REC[],2,FALSE),0)</f>
        <v>740113.98115702497</v>
      </c>
      <c r="BC1070" s="246">
        <f>IFERROR(VLOOKUP(M1070,VOL_REC[],2,FALSE),0)</f>
        <v>0</v>
      </c>
      <c r="BD1070" s="246">
        <f>IFERROR(VLOOKUP(N1070,VOL_REC[],2,FALSE),0)</f>
        <v>0</v>
      </c>
      <c r="BE1070" s="246">
        <f>IFERROR(VLOOKUP(O1070,VOL_REC[],2,FALSE),0)</f>
        <v>0</v>
      </c>
      <c r="BF1070" s="246">
        <f>IFERROR(VLOOKUP(P1070,VOL_REC[],2,FALSE),0)</f>
        <v>0</v>
      </c>
      <c r="BG1070" s="246">
        <f>IFERROR(VLOOKUP(Q1070,VOL_REC[],2,FALSE),0)</f>
        <v>0</v>
      </c>
      <c r="BH1070" s="1710">
        <f t="shared" si="64"/>
        <v>21942227802.008488</v>
      </c>
      <c r="BI1070" s="1710">
        <f t="shared" si="65"/>
        <v>19605173726.90308</v>
      </c>
      <c r="BJ1070" s="1711">
        <f t="shared" si="66"/>
        <v>33098419.100633021</v>
      </c>
      <c r="BK1070" s="1711">
        <f t="shared" si="67"/>
        <v>1.1192059865247916</v>
      </c>
      <c r="BL1070">
        <f>BJ1070</f>
        <v>33098419.100633021</v>
      </c>
      <c r="BO1070">
        <f>BL1070</f>
        <v>33098419.100633021</v>
      </c>
    </row>
    <row r="1071" spans="3:67" x14ac:dyDescent="0.25">
      <c r="C1071" s="246" t="s">
        <v>2421</v>
      </c>
      <c r="D1071" s="246">
        <v>1</v>
      </c>
      <c r="E1071" s="246">
        <v>2</v>
      </c>
      <c r="F1071" s="246">
        <v>3</v>
      </c>
      <c r="G1071" s="246">
        <v>4</v>
      </c>
      <c r="H1071" s="246">
        <v>5</v>
      </c>
      <c r="I1071" s="246">
        <v>6</v>
      </c>
      <c r="J1071" s="246">
        <v>13</v>
      </c>
      <c r="K1071" s="246">
        <v>14</v>
      </c>
      <c r="L1071" s="246">
        <v>15</v>
      </c>
      <c r="M1071" s="246"/>
      <c r="N1071" s="246"/>
      <c r="O1071" s="246"/>
      <c r="P1071" s="246"/>
      <c r="Q1071" s="246"/>
      <c r="R1071" s="246">
        <f>IFERROR(VLOOKUP(D1071,PROGRAMAS[],2,FALSE),0)</f>
        <v>97037803.679377079</v>
      </c>
      <c r="S1071" s="246">
        <f>IFERROR(VLOOKUP(E1071,PROGRAMAS[],2,FALSE),0)</f>
        <v>640501509.6821388</v>
      </c>
      <c r="T1071" s="246">
        <f>IFERROR(VLOOKUP(F1071,PROGRAMAS[],2,FALSE),0)</f>
        <v>3062327798.1525245</v>
      </c>
      <c r="U1071" s="246">
        <f>IFERROR(VLOOKUP(G1071,PROGRAMAS[],2,FALSE),0)</f>
        <v>67697118.033011258</v>
      </c>
      <c r="V1071" s="246">
        <f>IFERROR(VLOOKUP(H1071,PROGRAMAS[],2,FALSE),0)</f>
        <v>1440941976.2528784</v>
      </c>
      <c r="W1071" s="246">
        <f>IFERROR(VLOOKUP(I1071,PROGRAMAS[],2,FALSE),0)</f>
        <v>6907648435.8447599</v>
      </c>
      <c r="X1071" s="246">
        <f>IFERROR(VLOOKUP(J1071,PROGRAMAS[],2,FALSE),0)</f>
        <v>3776538594.4604583</v>
      </c>
      <c r="Y1071" s="246">
        <f>IFERROR(VLOOKUP(K1071,PROGRAMAS[],2,FALSE),0)</f>
        <v>54223862.645839565</v>
      </c>
      <c r="Z1071" s="246">
        <f>IFERROR(VLOOKUP(L1071,PROGRAMAS[],2,FALSE),0)</f>
        <v>122159672.96346797</v>
      </c>
      <c r="AA1071" s="246">
        <f>IFERROR(VLOOKUP(M1071,PROGRAMAS[],2,FALSE),0)</f>
        <v>0</v>
      </c>
      <c r="AB1071" s="246">
        <f>IFERROR(VLOOKUP(N1071,PROGRAMAS[],2,FALSE),0)</f>
        <v>0</v>
      </c>
      <c r="AC1071" s="246">
        <f>IFERROR(VLOOKUP(O1071,PROGRAMAS[],2,FALSE),0)</f>
        <v>0</v>
      </c>
      <c r="AD1071" s="246">
        <f>IFERROR(VLOOKUP(P1071,PROGRAMAS[],2,FALSE),0)</f>
        <v>0</v>
      </c>
      <c r="AE1071" s="246">
        <f>IFERROR(VLOOKUP(Q1071,PROGRAMAS[],2,FALSE),0)</f>
        <v>0</v>
      </c>
      <c r="AF1071" s="246">
        <f>IFERROR(VLOOKUP(D1071,PROGRAMAS[],3,FALSE),0)</f>
        <v>841888629.31080008</v>
      </c>
      <c r="AG1071" s="246">
        <f>IFERROR(VLOOKUP(E1071,PROGRAMAS[],3,FALSE),0)</f>
        <v>3848980803.1642323</v>
      </c>
      <c r="AH1071" s="246">
        <f>IFERROR(VLOOKUP(F1071,PROGRAMAS[],3,FALSE),0)</f>
        <v>3394901471.387517</v>
      </c>
      <c r="AI1071" s="246">
        <f>IFERROR(VLOOKUP(G1071,PROGRAMAS[],3,FALSE),0)</f>
        <v>125317226.95549992</v>
      </c>
      <c r="AJ1071" s="246">
        <f>IFERROR(VLOOKUP(H1071,PROGRAMAS[],3,FALSE),0)</f>
        <v>1233505101.0616004</v>
      </c>
      <c r="AK1071" s="246">
        <f>IFERROR(VLOOKUP(I1071,PROGRAMAS[],3,FALSE),0)</f>
        <v>6129902208.7912121</v>
      </c>
      <c r="AL1071" s="246">
        <f>IFERROR(VLOOKUP(J1071,PROGRAMAS[],3,FALSE),0)</f>
        <v>2392571243.5584412</v>
      </c>
      <c r="AM1071" s="246">
        <f>IFERROR(VLOOKUP(K1071,PROGRAMAS[],3,FALSE),0)</f>
        <v>31865326.38096505</v>
      </c>
      <c r="AN1071" s="246">
        <f>IFERROR(VLOOKUP(L1071,PROGRAMAS[],3,FALSE),0)</f>
        <v>118617452.52510804</v>
      </c>
      <c r="AO1071" s="246">
        <f>IFERROR(VLOOKUP(M1071,PROGRAMAS[],3,FALSE),0)</f>
        <v>0</v>
      </c>
      <c r="AP1071" s="246">
        <f>IFERROR(VLOOKUP(N1071,PROGRAMAS[],3,FALSE),0)</f>
        <v>0</v>
      </c>
      <c r="AQ1071" s="246">
        <f>IFERROR(VLOOKUP(O1071,PROGRAMAS[],3,FALSE),0)</f>
        <v>0</v>
      </c>
      <c r="AR1071" s="246">
        <f>IFERROR(VLOOKUP(P1071,PROGRAMAS[],3,FALSE),0)</f>
        <v>0</v>
      </c>
      <c r="AS1071" s="246">
        <f>IFERROR(VLOOKUP(Q1071,PROGRAMAS[],3,FALSE),0)</f>
        <v>0</v>
      </c>
      <c r="AT1071" s="246">
        <f>IFERROR(VLOOKUP(D1071,VOL_REC[],2,FALSE),0)</f>
        <v>0</v>
      </c>
      <c r="AU1071" s="246">
        <f>IFERROR(VLOOKUP(E1071,VOL_REC[],2,FALSE),0)</f>
        <v>0</v>
      </c>
      <c r="AV1071" s="246">
        <f>IFERROR(VLOOKUP(F1071,VOL_REC[],2,FALSE),0)</f>
        <v>11089674.200000001</v>
      </c>
      <c r="AW1071" s="246">
        <f>IFERROR(VLOOKUP(G1071,VOL_REC[],2,FALSE),0)</f>
        <v>90439.55</v>
      </c>
      <c r="AX1071" s="246">
        <f>IFERROR(VLOOKUP(H1071,VOL_REC[],2,FALSE),0)</f>
        <v>4325103.1812214684</v>
      </c>
      <c r="AY1071" s="246">
        <f>IFERROR(VLOOKUP(I1071,VOL_REC[],2,FALSE),0)</f>
        <v>15540036.397699751</v>
      </c>
      <c r="AZ1071" s="246">
        <f>IFERROR(VLOOKUP(J1071,VOL_REC[],2,FALSE),0)</f>
        <v>663244.80000000016</v>
      </c>
      <c r="BA1071" s="246">
        <f>IFERROR(VLOOKUP(K1071,VOL_REC[],2,FALSE),0)</f>
        <v>17074.045034105649</v>
      </c>
      <c r="BB1071" s="246">
        <f>IFERROR(VLOOKUP(L1071,VOL_REC[],2,FALSE),0)</f>
        <v>105072</v>
      </c>
      <c r="BC1071" s="246">
        <f>IFERROR(VLOOKUP(M1071,VOL_REC[],2,FALSE),0)</f>
        <v>0</v>
      </c>
      <c r="BD1071" s="246">
        <f>IFERROR(VLOOKUP(N1071,VOL_REC[],2,FALSE),0)</f>
        <v>0</v>
      </c>
      <c r="BE1071" s="246">
        <f>IFERROR(VLOOKUP(O1071,VOL_REC[],2,FALSE),0)</f>
        <v>0</v>
      </c>
      <c r="BF1071" s="246">
        <f>IFERROR(VLOOKUP(P1071,VOL_REC[],2,FALSE),0)</f>
        <v>0</v>
      </c>
      <c r="BG1071" s="246">
        <f>IFERROR(VLOOKUP(Q1071,VOL_REC[],2,FALSE),0)</f>
        <v>0</v>
      </c>
      <c r="BH1071" s="1710">
        <f t="shared" si="64"/>
        <v>16169076771.714458</v>
      </c>
      <c r="BI1071" s="1710">
        <f t="shared" si="65"/>
        <v>18117549463.135376</v>
      </c>
      <c r="BJ1071" s="1711">
        <f t="shared" si="66"/>
        <v>31830644.173955329</v>
      </c>
      <c r="BK1071" s="1711">
        <f t="shared" si="67"/>
        <v>0.89245385004271327</v>
      </c>
    </row>
    <row r="1072" spans="3:67" x14ac:dyDescent="0.25">
      <c r="C1072" s="246" t="s">
        <v>2422</v>
      </c>
      <c r="D1072" s="246">
        <v>1</v>
      </c>
      <c r="E1072" s="246">
        <v>2</v>
      </c>
      <c r="F1072" s="246">
        <v>3</v>
      </c>
      <c r="G1072" s="246">
        <v>4</v>
      </c>
      <c r="H1072" s="246">
        <v>5</v>
      </c>
      <c r="I1072" s="246">
        <v>6</v>
      </c>
      <c r="J1072" s="246">
        <v>13</v>
      </c>
      <c r="K1072" s="246">
        <v>14</v>
      </c>
      <c r="L1072" s="246">
        <v>16</v>
      </c>
      <c r="M1072" s="246"/>
      <c r="N1072" s="246"/>
      <c r="O1072" s="246"/>
      <c r="P1072" s="246"/>
      <c r="Q1072" s="246"/>
      <c r="R1072" s="246">
        <f>IFERROR(VLOOKUP(D1072,PROGRAMAS[],2,FALSE),0)</f>
        <v>97037803.679377079</v>
      </c>
      <c r="S1072" s="246">
        <f>IFERROR(VLOOKUP(E1072,PROGRAMAS[],2,FALSE),0)</f>
        <v>640501509.6821388</v>
      </c>
      <c r="T1072" s="246">
        <f>IFERROR(VLOOKUP(F1072,PROGRAMAS[],2,FALSE),0)</f>
        <v>3062327798.1525245</v>
      </c>
      <c r="U1072" s="246">
        <f>IFERROR(VLOOKUP(G1072,PROGRAMAS[],2,FALSE),0)</f>
        <v>67697118.033011258</v>
      </c>
      <c r="V1072" s="246">
        <f>IFERROR(VLOOKUP(H1072,PROGRAMAS[],2,FALSE),0)</f>
        <v>1440941976.2528784</v>
      </c>
      <c r="W1072" s="246">
        <f>IFERROR(VLOOKUP(I1072,PROGRAMAS[],2,FALSE),0)</f>
        <v>6907648435.8447599</v>
      </c>
      <c r="X1072" s="246">
        <f>IFERROR(VLOOKUP(J1072,PROGRAMAS[],2,FALSE),0)</f>
        <v>3776538594.4604583</v>
      </c>
      <c r="Y1072" s="246">
        <f>IFERROR(VLOOKUP(K1072,PROGRAMAS[],2,FALSE),0)</f>
        <v>54223862.645839565</v>
      </c>
      <c r="Z1072" s="246">
        <f>IFERROR(VLOOKUP(L1072,PROGRAMAS[],2,FALSE),0)</f>
        <v>7068496961.0436354</v>
      </c>
      <c r="AA1072" s="246">
        <f>IFERROR(VLOOKUP(M1072,PROGRAMAS[],2,FALSE),0)</f>
        <v>0</v>
      </c>
      <c r="AB1072" s="246">
        <f>IFERROR(VLOOKUP(N1072,PROGRAMAS[],2,FALSE),0)</f>
        <v>0</v>
      </c>
      <c r="AC1072" s="246">
        <f>IFERROR(VLOOKUP(O1072,PROGRAMAS[],2,FALSE),0)</f>
        <v>0</v>
      </c>
      <c r="AD1072" s="246">
        <f>IFERROR(VLOOKUP(P1072,PROGRAMAS[],2,FALSE),0)</f>
        <v>0</v>
      </c>
      <c r="AE1072" s="246">
        <f>IFERROR(VLOOKUP(Q1072,PROGRAMAS[],2,FALSE),0)</f>
        <v>0</v>
      </c>
      <c r="AF1072" s="246">
        <f>IFERROR(VLOOKUP(D1072,PROGRAMAS[],3,FALSE),0)</f>
        <v>841888629.31080008</v>
      </c>
      <c r="AG1072" s="246">
        <f>IFERROR(VLOOKUP(E1072,PROGRAMAS[],3,FALSE),0)</f>
        <v>3848980803.1642323</v>
      </c>
      <c r="AH1072" s="246">
        <f>IFERROR(VLOOKUP(F1072,PROGRAMAS[],3,FALSE),0)</f>
        <v>3394901471.387517</v>
      </c>
      <c r="AI1072" s="246">
        <f>IFERROR(VLOOKUP(G1072,PROGRAMAS[],3,FALSE),0)</f>
        <v>125317226.95549992</v>
      </c>
      <c r="AJ1072" s="246">
        <f>IFERROR(VLOOKUP(H1072,PROGRAMAS[],3,FALSE),0)</f>
        <v>1233505101.0616004</v>
      </c>
      <c r="AK1072" s="246">
        <f>IFERROR(VLOOKUP(I1072,PROGRAMAS[],3,FALSE),0)</f>
        <v>6129902208.7912121</v>
      </c>
      <c r="AL1072" s="246">
        <f>IFERROR(VLOOKUP(J1072,PROGRAMAS[],3,FALSE),0)</f>
        <v>2392571243.5584412</v>
      </c>
      <c r="AM1072" s="246">
        <f>IFERROR(VLOOKUP(K1072,PROGRAMAS[],3,FALSE),0)</f>
        <v>31865326.38096505</v>
      </c>
      <c r="AN1072" s="246">
        <f>IFERROR(VLOOKUP(L1072,PROGRAMAS[],3,FALSE),0)</f>
        <v>2406564599.0319901</v>
      </c>
      <c r="AO1072" s="246">
        <f>IFERROR(VLOOKUP(M1072,PROGRAMAS[],3,FALSE),0)</f>
        <v>0</v>
      </c>
      <c r="AP1072" s="246">
        <f>IFERROR(VLOOKUP(N1072,PROGRAMAS[],3,FALSE),0)</f>
        <v>0</v>
      </c>
      <c r="AQ1072" s="246">
        <f>IFERROR(VLOOKUP(O1072,PROGRAMAS[],3,FALSE),0)</f>
        <v>0</v>
      </c>
      <c r="AR1072" s="246">
        <f>IFERROR(VLOOKUP(P1072,PROGRAMAS[],3,FALSE),0)</f>
        <v>0</v>
      </c>
      <c r="AS1072" s="246">
        <f>IFERROR(VLOOKUP(Q1072,PROGRAMAS[],3,FALSE),0)</f>
        <v>0</v>
      </c>
      <c r="AT1072" s="246">
        <f>IFERROR(VLOOKUP(D1072,VOL_REC[],2,FALSE),0)</f>
        <v>0</v>
      </c>
      <c r="AU1072" s="246">
        <f>IFERROR(VLOOKUP(E1072,VOL_REC[],2,FALSE),0)</f>
        <v>0</v>
      </c>
      <c r="AV1072" s="246">
        <f>IFERROR(VLOOKUP(F1072,VOL_REC[],2,FALSE),0)</f>
        <v>11089674.200000001</v>
      </c>
      <c r="AW1072" s="246">
        <f>IFERROR(VLOOKUP(G1072,VOL_REC[],2,FALSE),0)</f>
        <v>90439.55</v>
      </c>
      <c r="AX1072" s="246">
        <f>IFERROR(VLOOKUP(H1072,VOL_REC[],2,FALSE),0)</f>
        <v>4325103.1812214684</v>
      </c>
      <c r="AY1072" s="246">
        <f>IFERROR(VLOOKUP(I1072,VOL_REC[],2,FALSE),0)</f>
        <v>15540036.397699751</v>
      </c>
      <c r="AZ1072" s="246">
        <f>IFERROR(VLOOKUP(J1072,VOL_REC[],2,FALSE),0)</f>
        <v>663244.80000000016</v>
      </c>
      <c r="BA1072" s="246">
        <f>IFERROR(VLOOKUP(K1072,VOL_REC[],2,FALSE),0)</f>
        <v>17074.045034105649</v>
      </c>
      <c r="BB1072" s="246">
        <f>IFERROR(VLOOKUP(L1072,VOL_REC[],2,FALSE),0)</f>
        <v>1072354.9981737854</v>
      </c>
      <c r="BC1072" s="246">
        <f>IFERROR(VLOOKUP(M1072,VOL_REC[],2,FALSE),0)</f>
        <v>0</v>
      </c>
      <c r="BD1072" s="246">
        <f>IFERROR(VLOOKUP(N1072,VOL_REC[],2,FALSE),0)</f>
        <v>0</v>
      </c>
      <c r="BE1072" s="246">
        <f>IFERROR(VLOOKUP(O1072,VOL_REC[],2,FALSE),0)</f>
        <v>0</v>
      </c>
      <c r="BF1072" s="246">
        <f>IFERROR(VLOOKUP(P1072,VOL_REC[],2,FALSE),0)</f>
        <v>0</v>
      </c>
      <c r="BG1072" s="246">
        <f>IFERROR(VLOOKUP(Q1072,VOL_REC[],2,FALSE),0)</f>
        <v>0</v>
      </c>
      <c r="BH1072" s="1710">
        <f t="shared" si="64"/>
        <v>23115414059.794624</v>
      </c>
      <c r="BI1072" s="1710">
        <f t="shared" si="65"/>
        <v>20405496609.642258</v>
      </c>
      <c r="BJ1072" s="1711">
        <f t="shared" si="66"/>
        <v>32797927.172129113</v>
      </c>
      <c r="BK1072" s="1711">
        <f t="shared" si="67"/>
        <v>1.132803307951439</v>
      </c>
      <c r="BL1072">
        <f>BJ1072</f>
        <v>32797927.172129113</v>
      </c>
      <c r="BO1072">
        <f>BL1072</f>
        <v>32797927.172129113</v>
      </c>
    </row>
    <row r="1073" spans="3:67" x14ac:dyDescent="0.25">
      <c r="C1073" s="246" t="s">
        <v>2423</v>
      </c>
      <c r="D1073" s="246">
        <v>1</v>
      </c>
      <c r="E1073" s="246">
        <v>2</v>
      </c>
      <c r="F1073" s="246">
        <v>3</v>
      </c>
      <c r="G1073" s="246">
        <v>4</v>
      </c>
      <c r="H1073" s="246">
        <v>5</v>
      </c>
      <c r="I1073" s="246">
        <v>6</v>
      </c>
      <c r="J1073" s="246">
        <v>13</v>
      </c>
      <c r="K1073" s="246">
        <v>14</v>
      </c>
      <c r="L1073" s="246">
        <v>17</v>
      </c>
      <c r="M1073" s="246"/>
      <c r="N1073" s="246"/>
      <c r="O1073" s="246"/>
      <c r="P1073" s="246"/>
      <c r="Q1073" s="246"/>
      <c r="R1073" s="246">
        <f>IFERROR(VLOOKUP(D1073,PROGRAMAS[],2,FALSE),0)</f>
        <v>97037803.679377079</v>
      </c>
      <c r="S1073" s="246">
        <f>IFERROR(VLOOKUP(E1073,PROGRAMAS[],2,FALSE),0)</f>
        <v>640501509.6821388</v>
      </c>
      <c r="T1073" s="246">
        <f>IFERROR(VLOOKUP(F1073,PROGRAMAS[],2,FALSE),0)</f>
        <v>3062327798.1525245</v>
      </c>
      <c r="U1073" s="246">
        <f>IFERROR(VLOOKUP(G1073,PROGRAMAS[],2,FALSE),0)</f>
        <v>67697118.033011258</v>
      </c>
      <c r="V1073" s="246">
        <f>IFERROR(VLOOKUP(H1073,PROGRAMAS[],2,FALSE),0)</f>
        <v>1440941976.2528784</v>
      </c>
      <c r="W1073" s="246">
        <f>IFERROR(VLOOKUP(I1073,PROGRAMAS[],2,FALSE),0)</f>
        <v>6907648435.8447599</v>
      </c>
      <c r="X1073" s="246">
        <f>IFERROR(VLOOKUP(J1073,PROGRAMAS[],2,FALSE),0)</f>
        <v>3776538594.4604583</v>
      </c>
      <c r="Y1073" s="246">
        <f>IFERROR(VLOOKUP(K1073,PROGRAMAS[],2,FALSE),0)</f>
        <v>54223862.645839565</v>
      </c>
      <c r="Z1073" s="246">
        <f>IFERROR(VLOOKUP(L1073,PROGRAMAS[],2,FALSE),0)</f>
        <v>1892779498.5211046</v>
      </c>
      <c r="AA1073" s="246">
        <f>IFERROR(VLOOKUP(M1073,PROGRAMAS[],2,FALSE),0)</f>
        <v>0</v>
      </c>
      <c r="AB1073" s="246">
        <f>IFERROR(VLOOKUP(N1073,PROGRAMAS[],2,FALSE),0)</f>
        <v>0</v>
      </c>
      <c r="AC1073" s="246">
        <f>IFERROR(VLOOKUP(O1073,PROGRAMAS[],2,FALSE),0)</f>
        <v>0</v>
      </c>
      <c r="AD1073" s="246">
        <f>IFERROR(VLOOKUP(P1073,PROGRAMAS[],2,FALSE),0)</f>
        <v>0</v>
      </c>
      <c r="AE1073" s="246">
        <f>IFERROR(VLOOKUP(Q1073,PROGRAMAS[],2,FALSE),0)</f>
        <v>0</v>
      </c>
      <c r="AF1073" s="246">
        <f>IFERROR(VLOOKUP(D1073,PROGRAMAS[],3,FALSE),0)</f>
        <v>841888629.31080008</v>
      </c>
      <c r="AG1073" s="246">
        <f>IFERROR(VLOOKUP(E1073,PROGRAMAS[],3,FALSE),0)</f>
        <v>3848980803.1642323</v>
      </c>
      <c r="AH1073" s="246">
        <f>IFERROR(VLOOKUP(F1073,PROGRAMAS[],3,FALSE),0)</f>
        <v>3394901471.387517</v>
      </c>
      <c r="AI1073" s="246">
        <f>IFERROR(VLOOKUP(G1073,PROGRAMAS[],3,FALSE),0)</f>
        <v>125317226.95549992</v>
      </c>
      <c r="AJ1073" s="246">
        <f>IFERROR(VLOOKUP(H1073,PROGRAMAS[],3,FALSE),0)</f>
        <v>1233505101.0616004</v>
      </c>
      <c r="AK1073" s="246">
        <f>IFERROR(VLOOKUP(I1073,PROGRAMAS[],3,FALSE),0)</f>
        <v>6129902208.7912121</v>
      </c>
      <c r="AL1073" s="246">
        <f>IFERROR(VLOOKUP(J1073,PROGRAMAS[],3,FALSE),0)</f>
        <v>2392571243.5584412</v>
      </c>
      <c r="AM1073" s="246">
        <f>IFERROR(VLOOKUP(K1073,PROGRAMAS[],3,FALSE),0)</f>
        <v>31865326.38096505</v>
      </c>
      <c r="AN1073" s="246">
        <f>IFERROR(VLOOKUP(L1073,PROGRAMAS[],3,FALSE),0)</f>
        <v>948595847.09039903</v>
      </c>
      <c r="AO1073" s="246">
        <f>IFERROR(VLOOKUP(M1073,PROGRAMAS[],3,FALSE),0)</f>
        <v>0</v>
      </c>
      <c r="AP1073" s="246">
        <f>IFERROR(VLOOKUP(N1073,PROGRAMAS[],3,FALSE),0)</f>
        <v>0</v>
      </c>
      <c r="AQ1073" s="246">
        <f>IFERROR(VLOOKUP(O1073,PROGRAMAS[],3,FALSE),0)</f>
        <v>0</v>
      </c>
      <c r="AR1073" s="246">
        <f>IFERROR(VLOOKUP(P1073,PROGRAMAS[],3,FALSE),0)</f>
        <v>0</v>
      </c>
      <c r="AS1073" s="246">
        <f>IFERROR(VLOOKUP(Q1073,PROGRAMAS[],3,FALSE),0)</f>
        <v>0</v>
      </c>
      <c r="AT1073" s="246">
        <f>IFERROR(VLOOKUP(D1073,VOL_REC[],2,FALSE),0)</f>
        <v>0</v>
      </c>
      <c r="AU1073" s="246">
        <f>IFERROR(VLOOKUP(E1073,VOL_REC[],2,FALSE),0)</f>
        <v>0</v>
      </c>
      <c r="AV1073" s="246">
        <f>IFERROR(VLOOKUP(F1073,VOL_REC[],2,FALSE),0)</f>
        <v>11089674.200000001</v>
      </c>
      <c r="AW1073" s="246">
        <f>IFERROR(VLOOKUP(G1073,VOL_REC[],2,FALSE),0)</f>
        <v>90439.55</v>
      </c>
      <c r="AX1073" s="246">
        <f>IFERROR(VLOOKUP(H1073,VOL_REC[],2,FALSE),0)</f>
        <v>4325103.1812214684</v>
      </c>
      <c r="AY1073" s="246">
        <f>IFERROR(VLOOKUP(I1073,VOL_REC[],2,FALSE),0)</f>
        <v>15540036.397699751</v>
      </c>
      <c r="AZ1073" s="246">
        <f>IFERROR(VLOOKUP(J1073,VOL_REC[],2,FALSE),0)</f>
        <v>663244.80000000016</v>
      </c>
      <c r="BA1073" s="246">
        <f>IFERROR(VLOOKUP(K1073,VOL_REC[],2,FALSE),0)</f>
        <v>17074.045034105649</v>
      </c>
      <c r="BB1073" s="246">
        <f>IFERROR(VLOOKUP(L1073,VOL_REC[],2,FALSE),0)</f>
        <v>740113.98115702497</v>
      </c>
      <c r="BC1073" s="246">
        <f>IFERROR(VLOOKUP(M1073,VOL_REC[],2,FALSE),0)</f>
        <v>0</v>
      </c>
      <c r="BD1073" s="246">
        <f>IFERROR(VLOOKUP(N1073,VOL_REC[],2,FALSE),0)</f>
        <v>0</v>
      </c>
      <c r="BE1073" s="246">
        <f>IFERROR(VLOOKUP(O1073,VOL_REC[],2,FALSE),0)</f>
        <v>0</v>
      </c>
      <c r="BF1073" s="246">
        <f>IFERROR(VLOOKUP(P1073,VOL_REC[],2,FALSE),0)</f>
        <v>0</v>
      </c>
      <c r="BG1073" s="246">
        <f>IFERROR(VLOOKUP(Q1073,VOL_REC[],2,FALSE),0)</f>
        <v>0</v>
      </c>
      <c r="BH1073" s="1710">
        <f t="shared" si="64"/>
        <v>17939696597.272095</v>
      </c>
      <c r="BI1073" s="1710">
        <f t="shared" si="65"/>
        <v>18947527857.700668</v>
      </c>
      <c r="BJ1073" s="1711">
        <f t="shared" si="66"/>
        <v>32465686.155112352</v>
      </c>
      <c r="BK1073" s="1711">
        <f t="shared" si="67"/>
        <v>0.94680935328357518</v>
      </c>
    </row>
    <row r="1074" spans="3:67" x14ac:dyDescent="0.25">
      <c r="C1074" s="246" t="s">
        <v>2424</v>
      </c>
      <c r="D1074" s="246">
        <v>1</v>
      </c>
      <c r="E1074" s="246">
        <v>2</v>
      </c>
      <c r="F1074" s="246">
        <v>3</v>
      </c>
      <c r="G1074" s="246">
        <v>4</v>
      </c>
      <c r="H1074" s="246">
        <v>5</v>
      </c>
      <c r="I1074" s="246">
        <v>6</v>
      </c>
      <c r="J1074" s="246">
        <v>13</v>
      </c>
      <c r="K1074" s="246">
        <v>15</v>
      </c>
      <c r="L1074" s="246">
        <v>16</v>
      </c>
      <c r="M1074" s="246"/>
      <c r="N1074" s="246"/>
      <c r="O1074" s="246"/>
      <c r="P1074" s="246"/>
      <c r="Q1074" s="246"/>
      <c r="R1074" s="246">
        <f>IFERROR(VLOOKUP(D1074,PROGRAMAS[],2,FALSE),0)</f>
        <v>97037803.679377079</v>
      </c>
      <c r="S1074" s="246">
        <f>IFERROR(VLOOKUP(E1074,PROGRAMAS[],2,FALSE),0)</f>
        <v>640501509.6821388</v>
      </c>
      <c r="T1074" s="246">
        <f>IFERROR(VLOOKUP(F1074,PROGRAMAS[],2,FALSE),0)</f>
        <v>3062327798.1525245</v>
      </c>
      <c r="U1074" s="246">
        <f>IFERROR(VLOOKUP(G1074,PROGRAMAS[],2,FALSE),0)</f>
        <v>67697118.033011258</v>
      </c>
      <c r="V1074" s="246">
        <f>IFERROR(VLOOKUP(H1074,PROGRAMAS[],2,FALSE),0)</f>
        <v>1440941976.2528784</v>
      </c>
      <c r="W1074" s="246">
        <f>IFERROR(VLOOKUP(I1074,PROGRAMAS[],2,FALSE),0)</f>
        <v>6907648435.8447599</v>
      </c>
      <c r="X1074" s="246">
        <f>IFERROR(VLOOKUP(J1074,PROGRAMAS[],2,FALSE),0)</f>
        <v>3776538594.4604583</v>
      </c>
      <c r="Y1074" s="246">
        <f>IFERROR(VLOOKUP(K1074,PROGRAMAS[],2,FALSE),0)</f>
        <v>122159672.96346797</v>
      </c>
      <c r="Z1074" s="246">
        <f>IFERROR(VLOOKUP(L1074,PROGRAMAS[],2,FALSE),0)</f>
        <v>7068496961.0436354</v>
      </c>
      <c r="AA1074" s="246">
        <f>IFERROR(VLOOKUP(M1074,PROGRAMAS[],2,FALSE),0)</f>
        <v>0</v>
      </c>
      <c r="AB1074" s="246">
        <f>IFERROR(VLOOKUP(N1074,PROGRAMAS[],2,FALSE),0)</f>
        <v>0</v>
      </c>
      <c r="AC1074" s="246">
        <f>IFERROR(VLOOKUP(O1074,PROGRAMAS[],2,FALSE),0)</f>
        <v>0</v>
      </c>
      <c r="AD1074" s="246">
        <f>IFERROR(VLOOKUP(P1074,PROGRAMAS[],2,FALSE),0)</f>
        <v>0</v>
      </c>
      <c r="AE1074" s="246">
        <f>IFERROR(VLOOKUP(Q1074,PROGRAMAS[],2,FALSE),0)</f>
        <v>0</v>
      </c>
      <c r="AF1074" s="246">
        <f>IFERROR(VLOOKUP(D1074,PROGRAMAS[],3,FALSE),0)</f>
        <v>841888629.31080008</v>
      </c>
      <c r="AG1074" s="246">
        <f>IFERROR(VLOOKUP(E1074,PROGRAMAS[],3,FALSE),0)</f>
        <v>3848980803.1642323</v>
      </c>
      <c r="AH1074" s="246">
        <f>IFERROR(VLOOKUP(F1074,PROGRAMAS[],3,FALSE),0)</f>
        <v>3394901471.387517</v>
      </c>
      <c r="AI1074" s="246">
        <f>IFERROR(VLOOKUP(G1074,PROGRAMAS[],3,FALSE),0)</f>
        <v>125317226.95549992</v>
      </c>
      <c r="AJ1074" s="246">
        <f>IFERROR(VLOOKUP(H1074,PROGRAMAS[],3,FALSE),0)</f>
        <v>1233505101.0616004</v>
      </c>
      <c r="AK1074" s="246">
        <f>IFERROR(VLOOKUP(I1074,PROGRAMAS[],3,FALSE),0)</f>
        <v>6129902208.7912121</v>
      </c>
      <c r="AL1074" s="246">
        <f>IFERROR(VLOOKUP(J1074,PROGRAMAS[],3,FALSE),0)</f>
        <v>2392571243.5584412</v>
      </c>
      <c r="AM1074" s="246">
        <f>IFERROR(VLOOKUP(K1074,PROGRAMAS[],3,FALSE),0)</f>
        <v>118617452.52510804</v>
      </c>
      <c r="AN1074" s="246">
        <f>IFERROR(VLOOKUP(L1074,PROGRAMAS[],3,FALSE),0)</f>
        <v>2406564599.0319901</v>
      </c>
      <c r="AO1074" s="246">
        <f>IFERROR(VLOOKUP(M1074,PROGRAMAS[],3,FALSE),0)</f>
        <v>0</v>
      </c>
      <c r="AP1074" s="246">
        <f>IFERROR(VLOOKUP(N1074,PROGRAMAS[],3,FALSE),0)</f>
        <v>0</v>
      </c>
      <c r="AQ1074" s="246">
        <f>IFERROR(VLOOKUP(O1074,PROGRAMAS[],3,FALSE),0)</f>
        <v>0</v>
      </c>
      <c r="AR1074" s="246">
        <f>IFERROR(VLOOKUP(P1074,PROGRAMAS[],3,FALSE),0)</f>
        <v>0</v>
      </c>
      <c r="AS1074" s="246">
        <f>IFERROR(VLOOKUP(Q1074,PROGRAMAS[],3,FALSE),0)</f>
        <v>0</v>
      </c>
      <c r="AT1074" s="246">
        <f>IFERROR(VLOOKUP(D1074,VOL_REC[],2,FALSE),0)</f>
        <v>0</v>
      </c>
      <c r="AU1074" s="246">
        <f>IFERROR(VLOOKUP(E1074,VOL_REC[],2,FALSE),0)</f>
        <v>0</v>
      </c>
      <c r="AV1074" s="246">
        <f>IFERROR(VLOOKUP(F1074,VOL_REC[],2,FALSE),0)</f>
        <v>11089674.200000001</v>
      </c>
      <c r="AW1074" s="246">
        <f>IFERROR(VLOOKUP(G1074,VOL_REC[],2,FALSE),0)</f>
        <v>90439.55</v>
      </c>
      <c r="AX1074" s="246">
        <f>IFERROR(VLOOKUP(H1074,VOL_REC[],2,FALSE),0)</f>
        <v>4325103.1812214684</v>
      </c>
      <c r="AY1074" s="246">
        <f>IFERROR(VLOOKUP(I1074,VOL_REC[],2,FALSE),0)</f>
        <v>15540036.397699751</v>
      </c>
      <c r="AZ1074" s="246">
        <f>IFERROR(VLOOKUP(J1074,VOL_REC[],2,FALSE),0)</f>
        <v>663244.80000000016</v>
      </c>
      <c r="BA1074" s="246">
        <f>IFERROR(VLOOKUP(K1074,VOL_REC[],2,FALSE),0)</f>
        <v>105072</v>
      </c>
      <c r="BB1074" s="246">
        <f>IFERROR(VLOOKUP(L1074,VOL_REC[],2,FALSE),0)</f>
        <v>1072354.9981737854</v>
      </c>
      <c r="BC1074" s="246">
        <f>IFERROR(VLOOKUP(M1074,VOL_REC[],2,FALSE),0)</f>
        <v>0</v>
      </c>
      <c r="BD1074" s="246">
        <f>IFERROR(VLOOKUP(N1074,VOL_REC[],2,FALSE),0)</f>
        <v>0</v>
      </c>
      <c r="BE1074" s="246">
        <f>IFERROR(VLOOKUP(O1074,VOL_REC[],2,FALSE),0)</f>
        <v>0</v>
      </c>
      <c r="BF1074" s="246">
        <f>IFERROR(VLOOKUP(P1074,VOL_REC[],2,FALSE),0)</f>
        <v>0</v>
      </c>
      <c r="BG1074" s="246">
        <f>IFERROR(VLOOKUP(Q1074,VOL_REC[],2,FALSE),0)</f>
        <v>0</v>
      </c>
      <c r="BH1074" s="1710">
        <f t="shared" si="64"/>
        <v>23183349870.112255</v>
      </c>
      <c r="BI1074" s="1710">
        <f t="shared" si="65"/>
        <v>20492248735.7864</v>
      </c>
      <c r="BJ1074" s="1711">
        <f t="shared" si="66"/>
        <v>32885925.127095006</v>
      </c>
      <c r="BK1074" s="1711">
        <f t="shared" si="67"/>
        <v>1.1313228806180886</v>
      </c>
      <c r="BL1074">
        <f>BJ1074</f>
        <v>32885925.127095006</v>
      </c>
      <c r="BO1074">
        <f>BL1074</f>
        <v>32885925.127095006</v>
      </c>
    </row>
    <row r="1075" spans="3:67" x14ac:dyDescent="0.25">
      <c r="C1075" s="246" t="s">
        <v>2425</v>
      </c>
      <c r="D1075" s="246">
        <v>1</v>
      </c>
      <c r="E1075" s="246">
        <v>2</v>
      </c>
      <c r="F1075" s="246">
        <v>3</v>
      </c>
      <c r="G1075" s="246">
        <v>4</v>
      </c>
      <c r="H1075" s="246">
        <v>5</v>
      </c>
      <c r="I1075" s="246">
        <v>6</v>
      </c>
      <c r="J1075" s="246">
        <v>13</v>
      </c>
      <c r="K1075" s="246">
        <v>15</v>
      </c>
      <c r="L1075" s="246">
        <v>17</v>
      </c>
      <c r="M1075" s="246"/>
      <c r="N1075" s="246"/>
      <c r="O1075" s="246"/>
      <c r="P1075" s="246"/>
      <c r="Q1075" s="246"/>
      <c r="R1075" s="246">
        <f>IFERROR(VLOOKUP(D1075,PROGRAMAS[],2,FALSE),0)</f>
        <v>97037803.679377079</v>
      </c>
      <c r="S1075" s="246">
        <f>IFERROR(VLOOKUP(E1075,PROGRAMAS[],2,FALSE),0)</f>
        <v>640501509.6821388</v>
      </c>
      <c r="T1075" s="246">
        <f>IFERROR(VLOOKUP(F1075,PROGRAMAS[],2,FALSE),0)</f>
        <v>3062327798.1525245</v>
      </c>
      <c r="U1075" s="246">
        <f>IFERROR(VLOOKUP(G1075,PROGRAMAS[],2,FALSE),0)</f>
        <v>67697118.033011258</v>
      </c>
      <c r="V1075" s="246">
        <f>IFERROR(VLOOKUP(H1075,PROGRAMAS[],2,FALSE),0)</f>
        <v>1440941976.2528784</v>
      </c>
      <c r="W1075" s="246">
        <f>IFERROR(VLOOKUP(I1075,PROGRAMAS[],2,FALSE),0)</f>
        <v>6907648435.8447599</v>
      </c>
      <c r="X1075" s="246">
        <f>IFERROR(VLOOKUP(J1075,PROGRAMAS[],2,FALSE),0)</f>
        <v>3776538594.4604583</v>
      </c>
      <c r="Y1075" s="246">
        <f>IFERROR(VLOOKUP(K1075,PROGRAMAS[],2,FALSE),0)</f>
        <v>122159672.96346797</v>
      </c>
      <c r="Z1075" s="246">
        <f>IFERROR(VLOOKUP(L1075,PROGRAMAS[],2,FALSE),0)</f>
        <v>1892779498.5211046</v>
      </c>
      <c r="AA1075" s="246">
        <f>IFERROR(VLOOKUP(M1075,PROGRAMAS[],2,FALSE),0)</f>
        <v>0</v>
      </c>
      <c r="AB1075" s="246">
        <f>IFERROR(VLOOKUP(N1075,PROGRAMAS[],2,FALSE),0)</f>
        <v>0</v>
      </c>
      <c r="AC1075" s="246">
        <f>IFERROR(VLOOKUP(O1075,PROGRAMAS[],2,FALSE),0)</f>
        <v>0</v>
      </c>
      <c r="AD1075" s="246">
        <f>IFERROR(VLOOKUP(P1075,PROGRAMAS[],2,FALSE),0)</f>
        <v>0</v>
      </c>
      <c r="AE1075" s="246">
        <f>IFERROR(VLOOKUP(Q1075,PROGRAMAS[],2,FALSE),0)</f>
        <v>0</v>
      </c>
      <c r="AF1075" s="246">
        <f>IFERROR(VLOOKUP(D1075,PROGRAMAS[],3,FALSE),0)</f>
        <v>841888629.31080008</v>
      </c>
      <c r="AG1075" s="246">
        <f>IFERROR(VLOOKUP(E1075,PROGRAMAS[],3,FALSE),0)</f>
        <v>3848980803.1642323</v>
      </c>
      <c r="AH1075" s="246">
        <f>IFERROR(VLOOKUP(F1075,PROGRAMAS[],3,FALSE),0)</f>
        <v>3394901471.387517</v>
      </c>
      <c r="AI1075" s="246">
        <f>IFERROR(VLOOKUP(G1075,PROGRAMAS[],3,FALSE),0)</f>
        <v>125317226.95549992</v>
      </c>
      <c r="AJ1075" s="246">
        <f>IFERROR(VLOOKUP(H1075,PROGRAMAS[],3,FALSE),0)</f>
        <v>1233505101.0616004</v>
      </c>
      <c r="AK1075" s="246">
        <f>IFERROR(VLOOKUP(I1075,PROGRAMAS[],3,FALSE),0)</f>
        <v>6129902208.7912121</v>
      </c>
      <c r="AL1075" s="246">
        <f>IFERROR(VLOOKUP(J1075,PROGRAMAS[],3,FALSE),0)</f>
        <v>2392571243.5584412</v>
      </c>
      <c r="AM1075" s="246">
        <f>IFERROR(VLOOKUP(K1075,PROGRAMAS[],3,FALSE),0)</f>
        <v>118617452.52510804</v>
      </c>
      <c r="AN1075" s="246">
        <f>IFERROR(VLOOKUP(L1075,PROGRAMAS[],3,FALSE),0)</f>
        <v>948595847.09039903</v>
      </c>
      <c r="AO1075" s="246">
        <f>IFERROR(VLOOKUP(M1075,PROGRAMAS[],3,FALSE),0)</f>
        <v>0</v>
      </c>
      <c r="AP1075" s="246">
        <f>IFERROR(VLOOKUP(N1075,PROGRAMAS[],3,FALSE),0)</f>
        <v>0</v>
      </c>
      <c r="AQ1075" s="246">
        <f>IFERROR(VLOOKUP(O1075,PROGRAMAS[],3,FALSE),0)</f>
        <v>0</v>
      </c>
      <c r="AR1075" s="246">
        <f>IFERROR(VLOOKUP(P1075,PROGRAMAS[],3,FALSE),0)</f>
        <v>0</v>
      </c>
      <c r="AS1075" s="246">
        <f>IFERROR(VLOOKUP(Q1075,PROGRAMAS[],3,FALSE),0)</f>
        <v>0</v>
      </c>
      <c r="AT1075" s="246">
        <f>IFERROR(VLOOKUP(D1075,VOL_REC[],2,FALSE),0)</f>
        <v>0</v>
      </c>
      <c r="AU1075" s="246">
        <f>IFERROR(VLOOKUP(E1075,VOL_REC[],2,FALSE),0)</f>
        <v>0</v>
      </c>
      <c r="AV1075" s="246">
        <f>IFERROR(VLOOKUP(F1075,VOL_REC[],2,FALSE),0)</f>
        <v>11089674.200000001</v>
      </c>
      <c r="AW1075" s="246">
        <f>IFERROR(VLOOKUP(G1075,VOL_REC[],2,FALSE),0)</f>
        <v>90439.55</v>
      </c>
      <c r="AX1075" s="246">
        <f>IFERROR(VLOOKUP(H1075,VOL_REC[],2,FALSE),0)</f>
        <v>4325103.1812214684</v>
      </c>
      <c r="AY1075" s="246">
        <f>IFERROR(VLOOKUP(I1075,VOL_REC[],2,FALSE),0)</f>
        <v>15540036.397699751</v>
      </c>
      <c r="AZ1075" s="246">
        <f>IFERROR(VLOOKUP(J1075,VOL_REC[],2,FALSE),0)</f>
        <v>663244.80000000016</v>
      </c>
      <c r="BA1075" s="246">
        <f>IFERROR(VLOOKUP(K1075,VOL_REC[],2,FALSE),0)</f>
        <v>105072</v>
      </c>
      <c r="BB1075" s="246">
        <f>IFERROR(VLOOKUP(L1075,VOL_REC[],2,FALSE),0)</f>
        <v>740113.98115702497</v>
      </c>
      <c r="BC1075" s="246">
        <f>IFERROR(VLOOKUP(M1075,VOL_REC[],2,FALSE),0)</f>
        <v>0</v>
      </c>
      <c r="BD1075" s="246">
        <f>IFERROR(VLOOKUP(N1075,VOL_REC[],2,FALSE),0)</f>
        <v>0</v>
      </c>
      <c r="BE1075" s="246">
        <f>IFERROR(VLOOKUP(O1075,VOL_REC[],2,FALSE),0)</f>
        <v>0</v>
      </c>
      <c r="BF1075" s="246">
        <f>IFERROR(VLOOKUP(P1075,VOL_REC[],2,FALSE),0)</f>
        <v>0</v>
      </c>
      <c r="BG1075" s="246">
        <f>IFERROR(VLOOKUP(Q1075,VOL_REC[],2,FALSE),0)</f>
        <v>0</v>
      </c>
      <c r="BH1075" s="1710">
        <f t="shared" si="64"/>
        <v>18007632407.589722</v>
      </c>
      <c r="BI1075" s="1710">
        <f t="shared" si="65"/>
        <v>19034279983.84481</v>
      </c>
      <c r="BJ1075" s="1711">
        <f t="shared" si="66"/>
        <v>32553684.110078245</v>
      </c>
      <c r="BK1075" s="1711">
        <f t="shared" si="67"/>
        <v>0.94606323028102735</v>
      </c>
    </row>
    <row r="1076" spans="3:67" x14ac:dyDescent="0.25">
      <c r="C1076" s="246" t="s">
        <v>2426</v>
      </c>
      <c r="D1076" s="246">
        <v>1</v>
      </c>
      <c r="E1076" s="246">
        <v>2</v>
      </c>
      <c r="F1076" s="246">
        <v>3</v>
      </c>
      <c r="G1076" s="246">
        <v>4</v>
      </c>
      <c r="H1076" s="246">
        <v>5</v>
      </c>
      <c r="I1076" s="246">
        <v>6</v>
      </c>
      <c r="J1076" s="246">
        <v>13</v>
      </c>
      <c r="K1076" s="246">
        <v>16</v>
      </c>
      <c r="L1076" s="246">
        <v>17</v>
      </c>
      <c r="M1076" s="246"/>
      <c r="N1076" s="246"/>
      <c r="O1076" s="246"/>
      <c r="P1076" s="246"/>
      <c r="Q1076" s="246"/>
      <c r="R1076" s="246">
        <f>IFERROR(VLOOKUP(D1076,PROGRAMAS[],2,FALSE),0)</f>
        <v>97037803.679377079</v>
      </c>
      <c r="S1076" s="246">
        <f>IFERROR(VLOOKUP(E1076,PROGRAMAS[],2,FALSE),0)</f>
        <v>640501509.6821388</v>
      </c>
      <c r="T1076" s="246">
        <f>IFERROR(VLOOKUP(F1076,PROGRAMAS[],2,FALSE),0)</f>
        <v>3062327798.1525245</v>
      </c>
      <c r="U1076" s="246">
        <f>IFERROR(VLOOKUP(G1076,PROGRAMAS[],2,FALSE),0)</f>
        <v>67697118.033011258</v>
      </c>
      <c r="V1076" s="246">
        <f>IFERROR(VLOOKUP(H1076,PROGRAMAS[],2,FALSE),0)</f>
        <v>1440941976.2528784</v>
      </c>
      <c r="W1076" s="246">
        <f>IFERROR(VLOOKUP(I1076,PROGRAMAS[],2,FALSE),0)</f>
        <v>6907648435.8447599</v>
      </c>
      <c r="X1076" s="246">
        <f>IFERROR(VLOOKUP(J1076,PROGRAMAS[],2,FALSE),0)</f>
        <v>3776538594.4604583</v>
      </c>
      <c r="Y1076" s="246">
        <f>IFERROR(VLOOKUP(K1076,PROGRAMAS[],2,FALSE),0)</f>
        <v>7068496961.0436354</v>
      </c>
      <c r="Z1076" s="246">
        <f>IFERROR(VLOOKUP(L1076,PROGRAMAS[],2,FALSE),0)</f>
        <v>1892779498.5211046</v>
      </c>
      <c r="AA1076" s="246">
        <f>IFERROR(VLOOKUP(M1076,PROGRAMAS[],2,FALSE),0)</f>
        <v>0</v>
      </c>
      <c r="AB1076" s="246">
        <f>IFERROR(VLOOKUP(N1076,PROGRAMAS[],2,FALSE),0)</f>
        <v>0</v>
      </c>
      <c r="AC1076" s="246">
        <f>IFERROR(VLOOKUP(O1076,PROGRAMAS[],2,FALSE),0)</f>
        <v>0</v>
      </c>
      <c r="AD1076" s="246">
        <f>IFERROR(VLOOKUP(P1076,PROGRAMAS[],2,FALSE),0)</f>
        <v>0</v>
      </c>
      <c r="AE1076" s="246">
        <f>IFERROR(VLOOKUP(Q1076,PROGRAMAS[],2,FALSE),0)</f>
        <v>0</v>
      </c>
      <c r="AF1076" s="246">
        <f>IFERROR(VLOOKUP(D1076,PROGRAMAS[],3,FALSE),0)</f>
        <v>841888629.31080008</v>
      </c>
      <c r="AG1076" s="246">
        <f>IFERROR(VLOOKUP(E1076,PROGRAMAS[],3,FALSE),0)</f>
        <v>3848980803.1642323</v>
      </c>
      <c r="AH1076" s="246">
        <f>IFERROR(VLOOKUP(F1076,PROGRAMAS[],3,FALSE),0)</f>
        <v>3394901471.387517</v>
      </c>
      <c r="AI1076" s="246">
        <f>IFERROR(VLOOKUP(G1076,PROGRAMAS[],3,FALSE),0)</f>
        <v>125317226.95549992</v>
      </c>
      <c r="AJ1076" s="246">
        <f>IFERROR(VLOOKUP(H1076,PROGRAMAS[],3,FALSE),0)</f>
        <v>1233505101.0616004</v>
      </c>
      <c r="AK1076" s="246">
        <f>IFERROR(VLOOKUP(I1076,PROGRAMAS[],3,FALSE),0)</f>
        <v>6129902208.7912121</v>
      </c>
      <c r="AL1076" s="246">
        <f>IFERROR(VLOOKUP(J1076,PROGRAMAS[],3,FALSE),0)</f>
        <v>2392571243.5584412</v>
      </c>
      <c r="AM1076" s="246">
        <f>IFERROR(VLOOKUP(K1076,PROGRAMAS[],3,FALSE),0)</f>
        <v>2406564599.0319901</v>
      </c>
      <c r="AN1076" s="246">
        <f>IFERROR(VLOOKUP(L1076,PROGRAMAS[],3,FALSE),0)</f>
        <v>948595847.09039903</v>
      </c>
      <c r="AO1076" s="246">
        <f>IFERROR(VLOOKUP(M1076,PROGRAMAS[],3,FALSE),0)</f>
        <v>0</v>
      </c>
      <c r="AP1076" s="246">
        <f>IFERROR(VLOOKUP(N1076,PROGRAMAS[],3,FALSE),0)</f>
        <v>0</v>
      </c>
      <c r="AQ1076" s="246">
        <f>IFERROR(VLOOKUP(O1076,PROGRAMAS[],3,FALSE),0)</f>
        <v>0</v>
      </c>
      <c r="AR1076" s="246">
        <f>IFERROR(VLOOKUP(P1076,PROGRAMAS[],3,FALSE),0)</f>
        <v>0</v>
      </c>
      <c r="AS1076" s="246">
        <f>IFERROR(VLOOKUP(Q1076,PROGRAMAS[],3,FALSE),0)</f>
        <v>0</v>
      </c>
      <c r="AT1076" s="246">
        <f>IFERROR(VLOOKUP(D1076,VOL_REC[],2,FALSE),0)</f>
        <v>0</v>
      </c>
      <c r="AU1076" s="246">
        <f>IFERROR(VLOOKUP(E1076,VOL_REC[],2,FALSE),0)</f>
        <v>0</v>
      </c>
      <c r="AV1076" s="246">
        <f>IFERROR(VLOOKUP(F1076,VOL_REC[],2,FALSE),0)</f>
        <v>11089674.200000001</v>
      </c>
      <c r="AW1076" s="246">
        <f>IFERROR(VLOOKUP(G1076,VOL_REC[],2,FALSE),0)</f>
        <v>90439.55</v>
      </c>
      <c r="AX1076" s="246">
        <f>IFERROR(VLOOKUP(H1076,VOL_REC[],2,FALSE),0)</f>
        <v>4325103.1812214684</v>
      </c>
      <c r="AY1076" s="246">
        <f>IFERROR(VLOOKUP(I1076,VOL_REC[],2,FALSE),0)</f>
        <v>15540036.397699751</v>
      </c>
      <c r="AZ1076" s="246">
        <f>IFERROR(VLOOKUP(J1076,VOL_REC[],2,FALSE),0)</f>
        <v>663244.80000000016</v>
      </c>
      <c r="BA1076" s="246">
        <f>IFERROR(VLOOKUP(K1076,VOL_REC[],2,FALSE),0)</f>
        <v>1072354.9981737854</v>
      </c>
      <c r="BB1076" s="246">
        <f>IFERROR(VLOOKUP(L1076,VOL_REC[],2,FALSE),0)</f>
        <v>740113.98115702497</v>
      </c>
      <c r="BC1076" s="246">
        <f>IFERROR(VLOOKUP(M1076,VOL_REC[],2,FALSE),0)</f>
        <v>0</v>
      </c>
      <c r="BD1076" s="246">
        <f>IFERROR(VLOOKUP(N1076,VOL_REC[],2,FALSE),0)</f>
        <v>0</v>
      </c>
      <c r="BE1076" s="246">
        <f>IFERROR(VLOOKUP(O1076,VOL_REC[],2,FALSE),0)</f>
        <v>0</v>
      </c>
      <c r="BF1076" s="246">
        <f>IFERROR(VLOOKUP(P1076,VOL_REC[],2,FALSE),0)</f>
        <v>0</v>
      </c>
      <c r="BG1076" s="246">
        <f>IFERROR(VLOOKUP(Q1076,VOL_REC[],2,FALSE),0)</f>
        <v>0</v>
      </c>
      <c r="BH1076" s="1710">
        <f t="shared" si="64"/>
        <v>24953969695.669888</v>
      </c>
      <c r="BI1076" s="1710">
        <f t="shared" si="65"/>
        <v>21322227130.351692</v>
      </c>
      <c r="BJ1076" s="1711">
        <f t="shared" si="66"/>
        <v>33520967.10825203</v>
      </c>
      <c r="BK1076" s="1711">
        <f t="shared" si="67"/>
        <v>1.1703266053361046</v>
      </c>
      <c r="BL1076">
        <f>BJ1076</f>
        <v>33520967.10825203</v>
      </c>
      <c r="BO1076">
        <f>BL1076</f>
        <v>33520967.10825203</v>
      </c>
    </row>
    <row r="1077" spans="3:67" x14ac:dyDescent="0.25">
      <c r="C1077" s="246" t="s">
        <v>2427</v>
      </c>
      <c r="D1077" s="246">
        <v>1</v>
      </c>
      <c r="E1077" s="246">
        <v>2</v>
      </c>
      <c r="F1077" s="246">
        <v>3</v>
      </c>
      <c r="G1077" s="246">
        <v>4</v>
      </c>
      <c r="H1077" s="246">
        <v>5</v>
      </c>
      <c r="I1077" s="246">
        <v>6</v>
      </c>
      <c r="J1077" s="246">
        <v>14</v>
      </c>
      <c r="K1077" s="246">
        <v>15</v>
      </c>
      <c r="L1077" s="246">
        <v>16</v>
      </c>
      <c r="M1077" s="246"/>
      <c r="N1077" s="246"/>
      <c r="O1077" s="246"/>
      <c r="P1077" s="246"/>
      <c r="Q1077" s="246"/>
      <c r="R1077" s="246">
        <f>IFERROR(VLOOKUP(D1077,PROGRAMAS[],2,FALSE),0)</f>
        <v>97037803.679377079</v>
      </c>
      <c r="S1077" s="246">
        <f>IFERROR(VLOOKUP(E1077,PROGRAMAS[],2,FALSE),0)</f>
        <v>640501509.6821388</v>
      </c>
      <c r="T1077" s="246">
        <f>IFERROR(VLOOKUP(F1077,PROGRAMAS[],2,FALSE),0)</f>
        <v>3062327798.1525245</v>
      </c>
      <c r="U1077" s="246">
        <f>IFERROR(VLOOKUP(G1077,PROGRAMAS[],2,FALSE),0)</f>
        <v>67697118.033011258</v>
      </c>
      <c r="V1077" s="246">
        <f>IFERROR(VLOOKUP(H1077,PROGRAMAS[],2,FALSE),0)</f>
        <v>1440941976.2528784</v>
      </c>
      <c r="W1077" s="246">
        <f>IFERROR(VLOOKUP(I1077,PROGRAMAS[],2,FALSE),0)</f>
        <v>6907648435.8447599</v>
      </c>
      <c r="X1077" s="246">
        <f>IFERROR(VLOOKUP(J1077,PROGRAMAS[],2,FALSE),0)</f>
        <v>54223862.645839565</v>
      </c>
      <c r="Y1077" s="246">
        <f>IFERROR(VLOOKUP(K1077,PROGRAMAS[],2,FALSE),0)</f>
        <v>122159672.96346797</v>
      </c>
      <c r="Z1077" s="246">
        <f>IFERROR(VLOOKUP(L1077,PROGRAMAS[],2,FALSE),0)</f>
        <v>7068496961.0436354</v>
      </c>
      <c r="AA1077" s="246">
        <f>IFERROR(VLOOKUP(M1077,PROGRAMAS[],2,FALSE),0)</f>
        <v>0</v>
      </c>
      <c r="AB1077" s="246">
        <f>IFERROR(VLOOKUP(N1077,PROGRAMAS[],2,FALSE),0)</f>
        <v>0</v>
      </c>
      <c r="AC1077" s="246">
        <f>IFERROR(VLOOKUP(O1077,PROGRAMAS[],2,FALSE),0)</f>
        <v>0</v>
      </c>
      <c r="AD1077" s="246">
        <f>IFERROR(VLOOKUP(P1077,PROGRAMAS[],2,FALSE),0)</f>
        <v>0</v>
      </c>
      <c r="AE1077" s="246">
        <f>IFERROR(VLOOKUP(Q1077,PROGRAMAS[],2,FALSE),0)</f>
        <v>0</v>
      </c>
      <c r="AF1077" s="246">
        <f>IFERROR(VLOOKUP(D1077,PROGRAMAS[],3,FALSE),0)</f>
        <v>841888629.31080008</v>
      </c>
      <c r="AG1077" s="246">
        <f>IFERROR(VLOOKUP(E1077,PROGRAMAS[],3,FALSE),0)</f>
        <v>3848980803.1642323</v>
      </c>
      <c r="AH1077" s="246">
        <f>IFERROR(VLOOKUP(F1077,PROGRAMAS[],3,FALSE),0)</f>
        <v>3394901471.387517</v>
      </c>
      <c r="AI1077" s="246">
        <f>IFERROR(VLOOKUP(G1077,PROGRAMAS[],3,FALSE),0)</f>
        <v>125317226.95549992</v>
      </c>
      <c r="AJ1077" s="246">
        <f>IFERROR(VLOOKUP(H1077,PROGRAMAS[],3,FALSE),0)</f>
        <v>1233505101.0616004</v>
      </c>
      <c r="AK1077" s="246">
        <f>IFERROR(VLOOKUP(I1077,PROGRAMAS[],3,FALSE),0)</f>
        <v>6129902208.7912121</v>
      </c>
      <c r="AL1077" s="246">
        <f>IFERROR(VLOOKUP(J1077,PROGRAMAS[],3,FALSE),0)</f>
        <v>31865326.38096505</v>
      </c>
      <c r="AM1077" s="246">
        <f>IFERROR(VLOOKUP(K1077,PROGRAMAS[],3,FALSE),0)</f>
        <v>118617452.52510804</v>
      </c>
      <c r="AN1077" s="246">
        <f>IFERROR(VLOOKUP(L1077,PROGRAMAS[],3,FALSE),0)</f>
        <v>2406564599.0319901</v>
      </c>
      <c r="AO1077" s="246">
        <f>IFERROR(VLOOKUP(M1077,PROGRAMAS[],3,FALSE),0)</f>
        <v>0</v>
      </c>
      <c r="AP1077" s="246">
        <f>IFERROR(VLOOKUP(N1077,PROGRAMAS[],3,FALSE),0)</f>
        <v>0</v>
      </c>
      <c r="AQ1077" s="246">
        <f>IFERROR(VLOOKUP(O1077,PROGRAMAS[],3,FALSE),0)</f>
        <v>0</v>
      </c>
      <c r="AR1077" s="246">
        <f>IFERROR(VLOOKUP(P1077,PROGRAMAS[],3,FALSE),0)</f>
        <v>0</v>
      </c>
      <c r="AS1077" s="246">
        <f>IFERROR(VLOOKUP(Q1077,PROGRAMAS[],3,FALSE),0)</f>
        <v>0</v>
      </c>
      <c r="AT1077" s="246">
        <f>IFERROR(VLOOKUP(D1077,VOL_REC[],2,FALSE),0)</f>
        <v>0</v>
      </c>
      <c r="AU1077" s="246">
        <f>IFERROR(VLOOKUP(E1077,VOL_REC[],2,FALSE),0)</f>
        <v>0</v>
      </c>
      <c r="AV1077" s="246">
        <f>IFERROR(VLOOKUP(F1077,VOL_REC[],2,FALSE),0)</f>
        <v>11089674.200000001</v>
      </c>
      <c r="AW1077" s="246">
        <f>IFERROR(VLOOKUP(G1077,VOL_REC[],2,FALSE),0)</f>
        <v>90439.55</v>
      </c>
      <c r="AX1077" s="246">
        <f>IFERROR(VLOOKUP(H1077,VOL_REC[],2,FALSE),0)</f>
        <v>4325103.1812214684</v>
      </c>
      <c r="AY1077" s="246">
        <f>IFERROR(VLOOKUP(I1077,VOL_REC[],2,FALSE),0)</f>
        <v>15540036.397699751</v>
      </c>
      <c r="AZ1077" s="246">
        <f>IFERROR(VLOOKUP(J1077,VOL_REC[],2,FALSE),0)</f>
        <v>17074.045034105649</v>
      </c>
      <c r="BA1077" s="246">
        <f>IFERROR(VLOOKUP(K1077,VOL_REC[],2,FALSE),0)</f>
        <v>105072</v>
      </c>
      <c r="BB1077" s="246">
        <f>IFERROR(VLOOKUP(L1077,VOL_REC[],2,FALSE),0)</f>
        <v>1072354.9981737854</v>
      </c>
      <c r="BC1077" s="246">
        <f>IFERROR(VLOOKUP(M1077,VOL_REC[],2,FALSE),0)</f>
        <v>0</v>
      </c>
      <c r="BD1077" s="246">
        <f>IFERROR(VLOOKUP(N1077,VOL_REC[],2,FALSE),0)</f>
        <v>0</v>
      </c>
      <c r="BE1077" s="246">
        <f>IFERROR(VLOOKUP(O1077,VOL_REC[],2,FALSE),0)</f>
        <v>0</v>
      </c>
      <c r="BF1077" s="246">
        <f>IFERROR(VLOOKUP(P1077,VOL_REC[],2,FALSE),0)</f>
        <v>0</v>
      </c>
      <c r="BG1077" s="246">
        <f>IFERROR(VLOOKUP(Q1077,VOL_REC[],2,FALSE),0)</f>
        <v>0</v>
      </c>
      <c r="BH1077" s="1710">
        <f t="shared" si="64"/>
        <v>19461035138.297634</v>
      </c>
      <c r="BI1077" s="1710">
        <f t="shared" si="65"/>
        <v>18131542818.608925</v>
      </c>
      <c r="BJ1077" s="1711">
        <f t="shared" si="66"/>
        <v>32239754.372129112</v>
      </c>
      <c r="BK1077" s="1711">
        <f t="shared" si="67"/>
        <v>1.0733248313720007</v>
      </c>
      <c r="BL1077">
        <f>BJ1077</f>
        <v>32239754.372129112</v>
      </c>
      <c r="BO1077">
        <f>BL1077</f>
        <v>32239754.372129112</v>
      </c>
    </row>
    <row r="1078" spans="3:67" x14ac:dyDescent="0.25">
      <c r="C1078" s="246" t="s">
        <v>2428</v>
      </c>
      <c r="D1078" s="246">
        <v>1</v>
      </c>
      <c r="E1078" s="246">
        <v>2</v>
      </c>
      <c r="F1078" s="246">
        <v>3</v>
      </c>
      <c r="G1078" s="246">
        <v>4</v>
      </c>
      <c r="H1078" s="246">
        <v>5</v>
      </c>
      <c r="I1078" s="246">
        <v>6</v>
      </c>
      <c r="J1078" s="246">
        <v>14</v>
      </c>
      <c r="K1078" s="246">
        <v>15</v>
      </c>
      <c r="L1078" s="246">
        <v>17</v>
      </c>
      <c r="M1078" s="246"/>
      <c r="N1078" s="246"/>
      <c r="O1078" s="246"/>
      <c r="P1078" s="246"/>
      <c r="Q1078" s="246"/>
      <c r="R1078" s="246">
        <f>IFERROR(VLOOKUP(D1078,PROGRAMAS[],2,FALSE),0)</f>
        <v>97037803.679377079</v>
      </c>
      <c r="S1078" s="246">
        <f>IFERROR(VLOOKUP(E1078,PROGRAMAS[],2,FALSE),0)</f>
        <v>640501509.6821388</v>
      </c>
      <c r="T1078" s="246">
        <f>IFERROR(VLOOKUP(F1078,PROGRAMAS[],2,FALSE),0)</f>
        <v>3062327798.1525245</v>
      </c>
      <c r="U1078" s="246">
        <f>IFERROR(VLOOKUP(G1078,PROGRAMAS[],2,FALSE),0)</f>
        <v>67697118.033011258</v>
      </c>
      <c r="V1078" s="246">
        <f>IFERROR(VLOOKUP(H1078,PROGRAMAS[],2,FALSE),0)</f>
        <v>1440941976.2528784</v>
      </c>
      <c r="W1078" s="246">
        <f>IFERROR(VLOOKUP(I1078,PROGRAMAS[],2,FALSE),0)</f>
        <v>6907648435.8447599</v>
      </c>
      <c r="X1078" s="246">
        <f>IFERROR(VLOOKUP(J1078,PROGRAMAS[],2,FALSE),0)</f>
        <v>54223862.645839565</v>
      </c>
      <c r="Y1078" s="246">
        <f>IFERROR(VLOOKUP(K1078,PROGRAMAS[],2,FALSE),0)</f>
        <v>122159672.96346797</v>
      </c>
      <c r="Z1078" s="246">
        <f>IFERROR(VLOOKUP(L1078,PROGRAMAS[],2,FALSE),0)</f>
        <v>1892779498.5211046</v>
      </c>
      <c r="AA1078" s="246">
        <f>IFERROR(VLOOKUP(M1078,PROGRAMAS[],2,FALSE),0)</f>
        <v>0</v>
      </c>
      <c r="AB1078" s="246">
        <f>IFERROR(VLOOKUP(N1078,PROGRAMAS[],2,FALSE),0)</f>
        <v>0</v>
      </c>
      <c r="AC1078" s="246">
        <f>IFERROR(VLOOKUP(O1078,PROGRAMAS[],2,FALSE),0)</f>
        <v>0</v>
      </c>
      <c r="AD1078" s="246">
        <f>IFERROR(VLOOKUP(P1078,PROGRAMAS[],2,FALSE),0)</f>
        <v>0</v>
      </c>
      <c r="AE1078" s="246">
        <f>IFERROR(VLOOKUP(Q1078,PROGRAMAS[],2,FALSE),0)</f>
        <v>0</v>
      </c>
      <c r="AF1078" s="246">
        <f>IFERROR(VLOOKUP(D1078,PROGRAMAS[],3,FALSE),0)</f>
        <v>841888629.31080008</v>
      </c>
      <c r="AG1078" s="246">
        <f>IFERROR(VLOOKUP(E1078,PROGRAMAS[],3,FALSE),0)</f>
        <v>3848980803.1642323</v>
      </c>
      <c r="AH1078" s="246">
        <f>IFERROR(VLOOKUP(F1078,PROGRAMAS[],3,FALSE),0)</f>
        <v>3394901471.387517</v>
      </c>
      <c r="AI1078" s="246">
        <f>IFERROR(VLOOKUP(G1078,PROGRAMAS[],3,FALSE),0)</f>
        <v>125317226.95549992</v>
      </c>
      <c r="AJ1078" s="246">
        <f>IFERROR(VLOOKUP(H1078,PROGRAMAS[],3,FALSE),0)</f>
        <v>1233505101.0616004</v>
      </c>
      <c r="AK1078" s="246">
        <f>IFERROR(VLOOKUP(I1078,PROGRAMAS[],3,FALSE),0)</f>
        <v>6129902208.7912121</v>
      </c>
      <c r="AL1078" s="246">
        <f>IFERROR(VLOOKUP(J1078,PROGRAMAS[],3,FALSE),0)</f>
        <v>31865326.38096505</v>
      </c>
      <c r="AM1078" s="246">
        <f>IFERROR(VLOOKUP(K1078,PROGRAMAS[],3,FALSE),0)</f>
        <v>118617452.52510804</v>
      </c>
      <c r="AN1078" s="246">
        <f>IFERROR(VLOOKUP(L1078,PROGRAMAS[],3,FALSE),0)</f>
        <v>948595847.09039903</v>
      </c>
      <c r="AO1078" s="246">
        <f>IFERROR(VLOOKUP(M1078,PROGRAMAS[],3,FALSE),0)</f>
        <v>0</v>
      </c>
      <c r="AP1078" s="246">
        <f>IFERROR(VLOOKUP(N1078,PROGRAMAS[],3,FALSE),0)</f>
        <v>0</v>
      </c>
      <c r="AQ1078" s="246">
        <f>IFERROR(VLOOKUP(O1078,PROGRAMAS[],3,FALSE),0)</f>
        <v>0</v>
      </c>
      <c r="AR1078" s="246">
        <f>IFERROR(VLOOKUP(P1078,PROGRAMAS[],3,FALSE),0)</f>
        <v>0</v>
      </c>
      <c r="AS1078" s="246">
        <f>IFERROR(VLOOKUP(Q1078,PROGRAMAS[],3,FALSE),0)</f>
        <v>0</v>
      </c>
      <c r="AT1078" s="246">
        <f>IFERROR(VLOOKUP(D1078,VOL_REC[],2,FALSE),0)</f>
        <v>0</v>
      </c>
      <c r="AU1078" s="246">
        <f>IFERROR(VLOOKUP(E1078,VOL_REC[],2,FALSE),0)</f>
        <v>0</v>
      </c>
      <c r="AV1078" s="246">
        <f>IFERROR(VLOOKUP(F1078,VOL_REC[],2,FALSE),0)</f>
        <v>11089674.200000001</v>
      </c>
      <c r="AW1078" s="246">
        <f>IFERROR(VLOOKUP(G1078,VOL_REC[],2,FALSE),0)</f>
        <v>90439.55</v>
      </c>
      <c r="AX1078" s="246">
        <f>IFERROR(VLOOKUP(H1078,VOL_REC[],2,FALSE),0)</f>
        <v>4325103.1812214684</v>
      </c>
      <c r="AY1078" s="246">
        <f>IFERROR(VLOOKUP(I1078,VOL_REC[],2,FALSE),0)</f>
        <v>15540036.397699751</v>
      </c>
      <c r="AZ1078" s="246">
        <f>IFERROR(VLOOKUP(J1078,VOL_REC[],2,FALSE),0)</f>
        <v>17074.045034105649</v>
      </c>
      <c r="BA1078" s="246">
        <f>IFERROR(VLOOKUP(K1078,VOL_REC[],2,FALSE),0)</f>
        <v>105072</v>
      </c>
      <c r="BB1078" s="246">
        <f>IFERROR(VLOOKUP(L1078,VOL_REC[],2,FALSE),0)</f>
        <v>740113.98115702497</v>
      </c>
      <c r="BC1078" s="246">
        <f>IFERROR(VLOOKUP(M1078,VOL_REC[],2,FALSE),0)</f>
        <v>0</v>
      </c>
      <c r="BD1078" s="246">
        <f>IFERROR(VLOOKUP(N1078,VOL_REC[],2,FALSE),0)</f>
        <v>0</v>
      </c>
      <c r="BE1078" s="246">
        <f>IFERROR(VLOOKUP(O1078,VOL_REC[],2,FALSE),0)</f>
        <v>0</v>
      </c>
      <c r="BF1078" s="246">
        <f>IFERROR(VLOOKUP(P1078,VOL_REC[],2,FALSE),0)</f>
        <v>0</v>
      </c>
      <c r="BG1078" s="246">
        <f>IFERROR(VLOOKUP(Q1078,VOL_REC[],2,FALSE),0)</f>
        <v>0</v>
      </c>
      <c r="BH1078" s="1710">
        <f t="shared" si="64"/>
        <v>14285317675.775105</v>
      </c>
      <c r="BI1078" s="1710">
        <f t="shared" si="65"/>
        <v>16673574066.667334</v>
      </c>
      <c r="BJ1078" s="1711">
        <f t="shared" si="66"/>
        <v>31907513.355112351</v>
      </c>
      <c r="BK1078" s="1711">
        <f t="shared" si="67"/>
        <v>0.85676397985560471</v>
      </c>
    </row>
    <row r="1079" spans="3:67" x14ac:dyDescent="0.25">
      <c r="C1079" s="246" t="s">
        <v>2429</v>
      </c>
      <c r="D1079" s="246">
        <v>1</v>
      </c>
      <c r="E1079" s="246">
        <v>2</v>
      </c>
      <c r="F1079" s="246">
        <v>3</v>
      </c>
      <c r="G1079" s="246">
        <v>4</v>
      </c>
      <c r="H1079" s="246">
        <v>5</v>
      </c>
      <c r="I1079" s="246">
        <v>6</v>
      </c>
      <c r="J1079" s="246">
        <v>14</v>
      </c>
      <c r="K1079" s="246">
        <v>16</v>
      </c>
      <c r="L1079" s="246">
        <v>17</v>
      </c>
      <c r="M1079" s="246"/>
      <c r="N1079" s="246"/>
      <c r="O1079" s="246"/>
      <c r="P1079" s="246"/>
      <c r="Q1079" s="246"/>
      <c r="R1079" s="246">
        <f>IFERROR(VLOOKUP(D1079,PROGRAMAS[],2,FALSE),0)</f>
        <v>97037803.679377079</v>
      </c>
      <c r="S1079" s="246">
        <f>IFERROR(VLOOKUP(E1079,PROGRAMAS[],2,FALSE),0)</f>
        <v>640501509.6821388</v>
      </c>
      <c r="T1079" s="246">
        <f>IFERROR(VLOOKUP(F1079,PROGRAMAS[],2,FALSE),0)</f>
        <v>3062327798.1525245</v>
      </c>
      <c r="U1079" s="246">
        <f>IFERROR(VLOOKUP(G1079,PROGRAMAS[],2,FALSE),0)</f>
        <v>67697118.033011258</v>
      </c>
      <c r="V1079" s="246">
        <f>IFERROR(VLOOKUP(H1079,PROGRAMAS[],2,FALSE),0)</f>
        <v>1440941976.2528784</v>
      </c>
      <c r="W1079" s="246">
        <f>IFERROR(VLOOKUP(I1079,PROGRAMAS[],2,FALSE),0)</f>
        <v>6907648435.8447599</v>
      </c>
      <c r="X1079" s="246">
        <f>IFERROR(VLOOKUP(J1079,PROGRAMAS[],2,FALSE),0)</f>
        <v>54223862.645839565</v>
      </c>
      <c r="Y1079" s="246">
        <f>IFERROR(VLOOKUP(K1079,PROGRAMAS[],2,FALSE),0)</f>
        <v>7068496961.0436354</v>
      </c>
      <c r="Z1079" s="246">
        <f>IFERROR(VLOOKUP(L1079,PROGRAMAS[],2,FALSE),0)</f>
        <v>1892779498.5211046</v>
      </c>
      <c r="AA1079" s="246">
        <f>IFERROR(VLOOKUP(M1079,PROGRAMAS[],2,FALSE),0)</f>
        <v>0</v>
      </c>
      <c r="AB1079" s="246">
        <f>IFERROR(VLOOKUP(N1079,PROGRAMAS[],2,FALSE),0)</f>
        <v>0</v>
      </c>
      <c r="AC1079" s="246">
        <f>IFERROR(VLOOKUP(O1079,PROGRAMAS[],2,FALSE),0)</f>
        <v>0</v>
      </c>
      <c r="AD1079" s="246">
        <f>IFERROR(VLOOKUP(P1079,PROGRAMAS[],2,FALSE),0)</f>
        <v>0</v>
      </c>
      <c r="AE1079" s="246">
        <f>IFERROR(VLOOKUP(Q1079,PROGRAMAS[],2,FALSE),0)</f>
        <v>0</v>
      </c>
      <c r="AF1079" s="246">
        <f>IFERROR(VLOOKUP(D1079,PROGRAMAS[],3,FALSE),0)</f>
        <v>841888629.31080008</v>
      </c>
      <c r="AG1079" s="246">
        <f>IFERROR(VLOOKUP(E1079,PROGRAMAS[],3,FALSE),0)</f>
        <v>3848980803.1642323</v>
      </c>
      <c r="AH1079" s="246">
        <f>IFERROR(VLOOKUP(F1079,PROGRAMAS[],3,FALSE),0)</f>
        <v>3394901471.387517</v>
      </c>
      <c r="AI1079" s="246">
        <f>IFERROR(VLOOKUP(G1079,PROGRAMAS[],3,FALSE),0)</f>
        <v>125317226.95549992</v>
      </c>
      <c r="AJ1079" s="246">
        <f>IFERROR(VLOOKUP(H1079,PROGRAMAS[],3,FALSE),0)</f>
        <v>1233505101.0616004</v>
      </c>
      <c r="AK1079" s="246">
        <f>IFERROR(VLOOKUP(I1079,PROGRAMAS[],3,FALSE),0)</f>
        <v>6129902208.7912121</v>
      </c>
      <c r="AL1079" s="246">
        <f>IFERROR(VLOOKUP(J1079,PROGRAMAS[],3,FALSE),0)</f>
        <v>31865326.38096505</v>
      </c>
      <c r="AM1079" s="246">
        <f>IFERROR(VLOOKUP(K1079,PROGRAMAS[],3,FALSE),0)</f>
        <v>2406564599.0319901</v>
      </c>
      <c r="AN1079" s="246">
        <f>IFERROR(VLOOKUP(L1079,PROGRAMAS[],3,FALSE),0)</f>
        <v>948595847.09039903</v>
      </c>
      <c r="AO1079" s="246">
        <f>IFERROR(VLOOKUP(M1079,PROGRAMAS[],3,FALSE),0)</f>
        <v>0</v>
      </c>
      <c r="AP1079" s="246">
        <f>IFERROR(VLOOKUP(N1079,PROGRAMAS[],3,FALSE),0)</f>
        <v>0</v>
      </c>
      <c r="AQ1079" s="246">
        <f>IFERROR(VLOOKUP(O1079,PROGRAMAS[],3,FALSE),0)</f>
        <v>0</v>
      </c>
      <c r="AR1079" s="246">
        <f>IFERROR(VLOOKUP(P1079,PROGRAMAS[],3,FALSE),0)</f>
        <v>0</v>
      </c>
      <c r="AS1079" s="246">
        <f>IFERROR(VLOOKUP(Q1079,PROGRAMAS[],3,FALSE),0)</f>
        <v>0</v>
      </c>
      <c r="AT1079" s="246">
        <f>IFERROR(VLOOKUP(D1079,VOL_REC[],2,FALSE),0)</f>
        <v>0</v>
      </c>
      <c r="AU1079" s="246">
        <f>IFERROR(VLOOKUP(E1079,VOL_REC[],2,FALSE),0)</f>
        <v>0</v>
      </c>
      <c r="AV1079" s="246">
        <f>IFERROR(VLOOKUP(F1079,VOL_REC[],2,FALSE),0)</f>
        <v>11089674.200000001</v>
      </c>
      <c r="AW1079" s="246">
        <f>IFERROR(VLOOKUP(G1079,VOL_REC[],2,FALSE),0)</f>
        <v>90439.55</v>
      </c>
      <c r="AX1079" s="246">
        <f>IFERROR(VLOOKUP(H1079,VOL_REC[],2,FALSE),0)</f>
        <v>4325103.1812214684</v>
      </c>
      <c r="AY1079" s="246">
        <f>IFERROR(VLOOKUP(I1079,VOL_REC[],2,FALSE),0)</f>
        <v>15540036.397699751</v>
      </c>
      <c r="AZ1079" s="246">
        <f>IFERROR(VLOOKUP(J1079,VOL_REC[],2,FALSE),0)</f>
        <v>17074.045034105649</v>
      </c>
      <c r="BA1079" s="246">
        <f>IFERROR(VLOOKUP(K1079,VOL_REC[],2,FALSE),0)</f>
        <v>1072354.9981737854</v>
      </c>
      <c r="BB1079" s="246">
        <f>IFERROR(VLOOKUP(L1079,VOL_REC[],2,FALSE),0)</f>
        <v>740113.98115702497</v>
      </c>
      <c r="BC1079" s="246">
        <f>IFERROR(VLOOKUP(M1079,VOL_REC[],2,FALSE),0)</f>
        <v>0</v>
      </c>
      <c r="BD1079" s="246">
        <f>IFERROR(VLOOKUP(N1079,VOL_REC[],2,FALSE),0)</f>
        <v>0</v>
      </c>
      <c r="BE1079" s="246">
        <f>IFERROR(VLOOKUP(O1079,VOL_REC[],2,FALSE),0)</f>
        <v>0</v>
      </c>
      <c r="BF1079" s="246">
        <f>IFERROR(VLOOKUP(P1079,VOL_REC[],2,FALSE),0)</f>
        <v>0</v>
      </c>
      <c r="BG1079" s="246">
        <f>IFERROR(VLOOKUP(Q1079,VOL_REC[],2,FALSE),0)</f>
        <v>0</v>
      </c>
      <c r="BH1079" s="1710">
        <f t="shared" si="64"/>
        <v>21231654963.85527</v>
      </c>
      <c r="BI1079" s="1710">
        <f t="shared" si="65"/>
        <v>18961521213.174217</v>
      </c>
      <c r="BJ1079" s="1711">
        <f t="shared" si="66"/>
        <v>32874796.353286136</v>
      </c>
      <c r="BK1079" s="1711">
        <f t="shared" si="67"/>
        <v>1.1197231870354258</v>
      </c>
      <c r="BL1079">
        <f>BJ1079</f>
        <v>32874796.353286136</v>
      </c>
      <c r="BO1079">
        <f>BL1079</f>
        <v>32874796.353286136</v>
      </c>
    </row>
    <row r="1080" spans="3:67" x14ac:dyDescent="0.25">
      <c r="C1080" s="246" t="s">
        <v>2430</v>
      </c>
      <c r="D1080" s="246">
        <v>1</v>
      </c>
      <c r="E1080" s="246">
        <v>2</v>
      </c>
      <c r="F1080" s="246">
        <v>3</v>
      </c>
      <c r="G1080" s="246">
        <v>4</v>
      </c>
      <c r="H1080" s="246">
        <v>5</v>
      </c>
      <c r="I1080" s="246">
        <v>6</v>
      </c>
      <c r="J1080" s="246">
        <v>15</v>
      </c>
      <c r="K1080" s="246">
        <v>16</v>
      </c>
      <c r="L1080" s="246">
        <v>17</v>
      </c>
      <c r="M1080" s="246"/>
      <c r="N1080" s="246"/>
      <c r="O1080" s="246"/>
      <c r="P1080" s="246"/>
      <c r="Q1080" s="246"/>
      <c r="R1080" s="246">
        <f>IFERROR(VLOOKUP(D1080,PROGRAMAS[],2,FALSE),0)</f>
        <v>97037803.679377079</v>
      </c>
      <c r="S1080" s="246">
        <f>IFERROR(VLOOKUP(E1080,PROGRAMAS[],2,FALSE),0)</f>
        <v>640501509.6821388</v>
      </c>
      <c r="T1080" s="246">
        <f>IFERROR(VLOOKUP(F1080,PROGRAMAS[],2,FALSE),0)</f>
        <v>3062327798.1525245</v>
      </c>
      <c r="U1080" s="246">
        <f>IFERROR(VLOOKUP(G1080,PROGRAMAS[],2,FALSE),0)</f>
        <v>67697118.033011258</v>
      </c>
      <c r="V1080" s="246">
        <f>IFERROR(VLOOKUP(H1080,PROGRAMAS[],2,FALSE),0)</f>
        <v>1440941976.2528784</v>
      </c>
      <c r="W1080" s="246">
        <f>IFERROR(VLOOKUP(I1080,PROGRAMAS[],2,FALSE),0)</f>
        <v>6907648435.8447599</v>
      </c>
      <c r="X1080" s="246">
        <f>IFERROR(VLOOKUP(J1080,PROGRAMAS[],2,FALSE),0)</f>
        <v>122159672.96346797</v>
      </c>
      <c r="Y1080" s="246">
        <f>IFERROR(VLOOKUP(K1080,PROGRAMAS[],2,FALSE),0)</f>
        <v>7068496961.0436354</v>
      </c>
      <c r="Z1080" s="246">
        <f>IFERROR(VLOOKUP(L1080,PROGRAMAS[],2,FALSE),0)</f>
        <v>1892779498.5211046</v>
      </c>
      <c r="AA1080" s="246">
        <f>IFERROR(VLOOKUP(M1080,PROGRAMAS[],2,FALSE),0)</f>
        <v>0</v>
      </c>
      <c r="AB1080" s="246">
        <f>IFERROR(VLOOKUP(N1080,PROGRAMAS[],2,FALSE),0)</f>
        <v>0</v>
      </c>
      <c r="AC1080" s="246">
        <f>IFERROR(VLOOKUP(O1080,PROGRAMAS[],2,FALSE),0)</f>
        <v>0</v>
      </c>
      <c r="AD1080" s="246">
        <f>IFERROR(VLOOKUP(P1080,PROGRAMAS[],2,FALSE),0)</f>
        <v>0</v>
      </c>
      <c r="AE1080" s="246">
        <f>IFERROR(VLOOKUP(Q1080,PROGRAMAS[],2,FALSE),0)</f>
        <v>0</v>
      </c>
      <c r="AF1080" s="246">
        <f>IFERROR(VLOOKUP(D1080,PROGRAMAS[],3,FALSE),0)</f>
        <v>841888629.31080008</v>
      </c>
      <c r="AG1080" s="246">
        <f>IFERROR(VLOOKUP(E1080,PROGRAMAS[],3,FALSE),0)</f>
        <v>3848980803.1642323</v>
      </c>
      <c r="AH1080" s="246">
        <f>IFERROR(VLOOKUP(F1080,PROGRAMAS[],3,FALSE),0)</f>
        <v>3394901471.387517</v>
      </c>
      <c r="AI1080" s="246">
        <f>IFERROR(VLOOKUP(G1080,PROGRAMAS[],3,FALSE),0)</f>
        <v>125317226.95549992</v>
      </c>
      <c r="AJ1080" s="246">
        <f>IFERROR(VLOOKUP(H1080,PROGRAMAS[],3,FALSE),0)</f>
        <v>1233505101.0616004</v>
      </c>
      <c r="AK1080" s="246">
        <f>IFERROR(VLOOKUP(I1080,PROGRAMAS[],3,FALSE),0)</f>
        <v>6129902208.7912121</v>
      </c>
      <c r="AL1080" s="246">
        <f>IFERROR(VLOOKUP(J1080,PROGRAMAS[],3,FALSE),0)</f>
        <v>118617452.52510804</v>
      </c>
      <c r="AM1080" s="246">
        <f>IFERROR(VLOOKUP(K1080,PROGRAMAS[],3,FALSE),0)</f>
        <v>2406564599.0319901</v>
      </c>
      <c r="AN1080" s="246">
        <f>IFERROR(VLOOKUP(L1080,PROGRAMAS[],3,FALSE),0)</f>
        <v>948595847.09039903</v>
      </c>
      <c r="AO1080" s="246">
        <f>IFERROR(VLOOKUP(M1080,PROGRAMAS[],3,FALSE),0)</f>
        <v>0</v>
      </c>
      <c r="AP1080" s="246">
        <f>IFERROR(VLOOKUP(N1080,PROGRAMAS[],3,FALSE),0)</f>
        <v>0</v>
      </c>
      <c r="AQ1080" s="246">
        <f>IFERROR(VLOOKUP(O1080,PROGRAMAS[],3,FALSE),0)</f>
        <v>0</v>
      </c>
      <c r="AR1080" s="246">
        <f>IFERROR(VLOOKUP(P1080,PROGRAMAS[],3,FALSE),0)</f>
        <v>0</v>
      </c>
      <c r="AS1080" s="246">
        <f>IFERROR(VLOOKUP(Q1080,PROGRAMAS[],3,FALSE),0)</f>
        <v>0</v>
      </c>
      <c r="AT1080" s="246">
        <f>IFERROR(VLOOKUP(D1080,VOL_REC[],2,FALSE),0)</f>
        <v>0</v>
      </c>
      <c r="AU1080" s="246">
        <f>IFERROR(VLOOKUP(E1080,VOL_REC[],2,FALSE),0)</f>
        <v>0</v>
      </c>
      <c r="AV1080" s="246">
        <f>IFERROR(VLOOKUP(F1080,VOL_REC[],2,FALSE),0)</f>
        <v>11089674.200000001</v>
      </c>
      <c r="AW1080" s="246">
        <f>IFERROR(VLOOKUP(G1080,VOL_REC[],2,FALSE),0)</f>
        <v>90439.55</v>
      </c>
      <c r="AX1080" s="246">
        <f>IFERROR(VLOOKUP(H1080,VOL_REC[],2,FALSE),0)</f>
        <v>4325103.1812214684</v>
      </c>
      <c r="AY1080" s="246">
        <f>IFERROR(VLOOKUP(I1080,VOL_REC[],2,FALSE),0)</f>
        <v>15540036.397699751</v>
      </c>
      <c r="AZ1080" s="246">
        <f>IFERROR(VLOOKUP(J1080,VOL_REC[],2,FALSE),0)</f>
        <v>105072</v>
      </c>
      <c r="BA1080" s="246">
        <f>IFERROR(VLOOKUP(K1080,VOL_REC[],2,FALSE),0)</f>
        <v>1072354.9981737854</v>
      </c>
      <c r="BB1080" s="246">
        <f>IFERROR(VLOOKUP(L1080,VOL_REC[],2,FALSE),0)</f>
        <v>740113.98115702497</v>
      </c>
      <c r="BC1080" s="246">
        <f>IFERROR(VLOOKUP(M1080,VOL_REC[],2,FALSE),0)</f>
        <v>0</v>
      </c>
      <c r="BD1080" s="246">
        <f>IFERROR(VLOOKUP(N1080,VOL_REC[],2,FALSE),0)</f>
        <v>0</v>
      </c>
      <c r="BE1080" s="246">
        <f>IFERROR(VLOOKUP(O1080,VOL_REC[],2,FALSE),0)</f>
        <v>0</v>
      </c>
      <c r="BF1080" s="246">
        <f>IFERROR(VLOOKUP(P1080,VOL_REC[],2,FALSE),0)</f>
        <v>0</v>
      </c>
      <c r="BG1080" s="246">
        <f>IFERROR(VLOOKUP(Q1080,VOL_REC[],2,FALSE),0)</f>
        <v>0</v>
      </c>
      <c r="BH1080" s="1710">
        <f t="shared" si="64"/>
        <v>21299590774.172897</v>
      </c>
      <c r="BI1080" s="1710">
        <f t="shared" si="65"/>
        <v>19048273339.318359</v>
      </c>
      <c r="BJ1080" s="1711">
        <f t="shared" si="66"/>
        <v>32962794.308252029</v>
      </c>
      <c r="BK1080" s="1711">
        <f t="shared" si="67"/>
        <v>1.1181901054626036</v>
      </c>
      <c r="BL1080">
        <f>BJ1080</f>
        <v>32962794.308252029</v>
      </c>
      <c r="BO1080">
        <f>BL1080</f>
        <v>32962794.308252029</v>
      </c>
    </row>
    <row r="1081" spans="3:67" x14ac:dyDescent="0.25">
      <c r="C1081" s="246" t="s">
        <v>2431</v>
      </c>
      <c r="D1081" s="246">
        <v>1</v>
      </c>
      <c r="E1081" s="246">
        <v>2</v>
      </c>
      <c r="F1081" s="246">
        <v>3</v>
      </c>
      <c r="G1081" s="246">
        <v>4</v>
      </c>
      <c r="H1081" s="246">
        <v>5</v>
      </c>
      <c r="I1081" s="246">
        <v>9</v>
      </c>
      <c r="J1081" s="246">
        <v>10</v>
      </c>
      <c r="K1081" s="246">
        <v>12</v>
      </c>
      <c r="L1081" s="246">
        <v>13</v>
      </c>
      <c r="M1081" s="246"/>
      <c r="N1081" s="246"/>
      <c r="O1081" s="246"/>
      <c r="P1081" s="246"/>
      <c r="Q1081" s="246"/>
      <c r="R1081" s="246">
        <f>IFERROR(VLOOKUP(D1081,PROGRAMAS[],2,FALSE),0)</f>
        <v>97037803.679377079</v>
      </c>
      <c r="S1081" s="246">
        <f>IFERROR(VLOOKUP(E1081,PROGRAMAS[],2,FALSE),0)</f>
        <v>640501509.6821388</v>
      </c>
      <c r="T1081" s="246">
        <f>IFERROR(VLOOKUP(F1081,PROGRAMAS[],2,FALSE),0)</f>
        <v>3062327798.1525245</v>
      </c>
      <c r="U1081" s="246">
        <f>IFERROR(VLOOKUP(G1081,PROGRAMAS[],2,FALSE),0)</f>
        <v>67697118.033011258</v>
      </c>
      <c r="V1081" s="246">
        <f>IFERROR(VLOOKUP(H1081,PROGRAMAS[],2,FALSE),0)</f>
        <v>1440941976.2528784</v>
      </c>
      <c r="W1081" s="246">
        <f>IFERROR(VLOOKUP(I1081,PROGRAMAS[],2,FALSE),0)</f>
        <v>6128579952.1618185</v>
      </c>
      <c r="X1081" s="246">
        <f>IFERROR(VLOOKUP(J1081,PROGRAMAS[],2,FALSE),0)</f>
        <v>4635315027.8751087</v>
      </c>
      <c r="Y1081" s="246">
        <f>IFERROR(VLOOKUP(K1081,PROGRAMAS[],2,FALSE),0)</f>
        <v>764796700.79905891</v>
      </c>
      <c r="Z1081" s="246">
        <f>IFERROR(VLOOKUP(L1081,PROGRAMAS[],2,FALSE),0)</f>
        <v>3776538594.4604583</v>
      </c>
      <c r="AA1081" s="246">
        <f>IFERROR(VLOOKUP(M1081,PROGRAMAS[],2,FALSE),0)</f>
        <v>0</v>
      </c>
      <c r="AB1081" s="246">
        <f>IFERROR(VLOOKUP(N1081,PROGRAMAS[],2,FALSE),0)</f>
        <v>0</v>
      </c>
      <c r="AC1081" s="246">
        <f>IFERROR(VLOOKUP(O1081,PROGRAMAS[],2,FALSE),0)</f>
        <v>0</v>
      </c>
      <c r="AD1081" s="246">
        <f>IFERROR(VLOOKUP(P1081,PROGRAMAS[],2,FALSE),0)</f>
        <v>0</v>
      </c>
      <c r="AE1081" s="246">
        <f>IFERROR(VLOOKUP(Q1081,PROGRAMAS[],2,FALSE),0)</f>
        <v>0</v>
      </c>
      <c r="AF1081" s="246">
        <f>IFERROR(VLOOKUP(D1081,PROGRAMAS[],3,FALSE),0)</f>
        <v>841888629.31080008</v>
      </c>
      <c r="AG1081" s="246">
        <f>IFERROR(VLOOKUP(E1081,PROGRAMAS[],3,FALSE),0)</f>
        <v>3848980803.1642323</v>
      </c>
      <c r="AH1081" s="246">
        <f>IFERROR(VLOOKUP(F1081,PROGRAMAS[],3,FALSE),0)</f>
        <v>3394901471.387517</v>
      </c>
      <c r="AI1081" s="246">
        <f>IFERROR(VLOOKUP(G1081,PROGRAMAS[],3,FALSE),0)</f>
        <v>125317226.95549992</v>
      </c>
      <c r="AJ1081" s="246">
        <f>IFERROR(VLOOKUP(H1081,PROGRAMAS[],3,FALSE),0)</f>
        <v>1233505101.0616004</v>
      </c>
      <c r="AK1081" s="246">
        <f>IFERROR(VLOOKUP(I1081,PROGRAMAS[],3,FALSE),0)</f>
        <v>7011279577.519702</v>
      </c>
      <c r="AL1081" s="246">
        <f>IFERROR(VLOOKUP(J1081,PROGRAMAS[],3,FALSE),0)</f>
        <v>4099471734.9978786</v>
      </c>
      <c r="AM1081" s="246">
        <f>IFERROR(VLOOKUP(K1081,PROGRAMAS[],3,FALSE),0)</f>
        <v>675517840.109828</v>
      </c>
      <c r="AN1081" s="246">
        <f>IFERROR(VLOOKUP(L1081,PROGRAMAS[],3,FALSE),0)</f>
        <v>2392571243.5584412</v>
      </c>
      <c r="AO1081" s="246">
        <f>IFERROR(VLOOKUP(M1081,PROGRAMAS[],3,FALSE),0)</f>
        <v>0</v>
      </c>
      <c r="AP1081" s="246">
        <f>IFERROR(VLOOKUP(N1081,PROGRAMAS[],3,FALSE),0)</f>
        <v>0</v>
      </c>
      <c r="AQ1081" s="246">
        <f>IFERROR(VLOOKUP(O1081,PROGRAMAS[],3,FALSE),0)</f>
        <v>0</v>
      </c>
      <c r="AR1081" s="246">
        <f>IFERROR(VLOOKUP(P1081,PROGRAMAS[],3,FALSE),0)</f>
        <v>0</v>
      </c>
      <c r="AS1081" s="246">
        <f>IFERROR(VLOOKUP(Q1081,PROGRAMAS[],3,FALSE),0)</f>
        <v>0</v>
      </c>
      <c r="AT1081" s="246">
        <f>IFERROR(VLOOKUP(D1081,VOL_REC[],2,FALSE),0)</f>
        <v>0</v>
      </c>
      <c r="AU1081" s="246">
        <f>IFERROR(VLOOKUP(E1081,VOL_REC[],2,FALSE),0)</f>
        <v>0</v>
      </c>
      <c r="AV1081" s="246">
        <f>IFERROR(VLOOKUP(F1081,VOL_REC[],2,FALSE),0)</f>
        <v>11089674.200000001</v>
      </c>
      <c r="AW1081" s="246">
        <f>IFERROR(VLOOKUP(G1081,VOL_REC[],2,FALSE),0)</f>
        <v>90439.55</v>
      </c>
      <c r="AX1081" s="246">
        <f>IFERROR(VLOOKUP(H1081,VOL_REC[],2,FALSE),0)</f>
        <v>4325103.1812214684</v>
      </c>
      <c r="AY1081" s="246">
        <f>IFERROR(VLOOKUP(I1081,VOL_REC[],2,FALSE),0)</f>
        <v>3761786</v>
      </c>
      <c r="AZ1081" s="246">
        <f>IFERROR(VLOOKUP(J1081,VOL_REC[],2,FALSE),0)</f>
        <v>1812240</v>
      </c>
      <c r="BA1081" s="246">
        <f>IFERROR(VLOOKUP(K1081,VOL_REC[],2,FALSE),0)</f>
        <v>240696.79238099116</v>
      </c>
      <c r="BB1081" s="246">
        <f>IFERROR(VLOOKUP(L1081,VOL_REC[],2,FALSE),0)</f>
        <v>663244.80000000016</v>
      </c>
      <c r="BC1081" s="246">
        <f>IFERROR(VLOOKUP(M1081,VOL_REC[],2,FALSE),0)</f>
        <v>0</v>
      </c>
      <c r="BD1081" s="246">
        <f>IFERROR(VLOOKUP(N1081,VOL_REC[],2,FALSE),0)</f>
        <v>0</v>
      </c>
      <c r="BE1081" s="246">
        <f>IFERROR(VLOOKUP(O1081,VOL_REC[],2,FALSE),0)</f>
        <v>0</v>
      </c>
      <c r="BF1081" s="246">
        <f>IFERROR(VLOOKUP(P1081,VOL_REC[],2,FALSE),0)</f>
        <v>0</v>
      </c>
      <c r="BG1081" s="246">
        <f>IFERROR(VLOOKUP(Q1081,VOL_REC[],2,FALSE),0)</f>
        <v>0</v>
      </c>
      <c r="BH1081" s="1710">
        <f t="shared" si="64"/>
        <v>20613736481.096375</v>
      </c>
      <c r="BI1081" s="1710">
        <f t="shared" si="65"/>
        <v>23623433628.065502</v>
      </c>
      <c r="BJ1081" s="1711">
        <f t="shared" si="66"/>
        <v>21983184.523602463</v>
      </c>
      <c r="BK1081" s="1711">
        <f t="shared" si="67"/>
        <v>0.87259696476157056</v>
      </c>
    </row>
    <row r="1082" spans="3:67" x14ac:dyDescent="0.25">
      <c r="C1082" s="246" t="s">
        <v>2432</v>
      </c>
      <c r="D1082" s="246">
        <v>1</v>
      </c>
      <c r="E1082" s="246">
        <v>2</v>
      </c>
      <c r="F1082" s="246">
        <v>3</v>
      </c>
      <c r="G1082" s="246">
        <v>4</v>
      </c>
      <c r="H1082" s="246">
        <v>5</v>
      </c>
      <c r="I1082" s="246">
        <v>9</v>
      </c>
      <c r="J1082" s="246">
        <v>10</v>
      </c>
      <c r="K1082" s="246">
        <v>12</v>
      </c>
      <c r="L1082" s="246">
        <v>14</v>
      </c>
      <c r="M1082" s="246"/>
      <c r="N1082" s="246"/>
      <c r="O1082" s="246"/>
      <c r="P1082" s="246"/>
      <c r="Q1082" s="246"/>
      <c r="R1082" s="246">
        <f>IFERROR(VLOOKUP(D1082,PROGRAMAS[],2,FALSE),0)</f>
        <v>97037803.679377079</v>
      </c>
      <c r="S1082" s="246">
        <f>IFERROR(VLOOKUP(E1082,PROGRAMAS[],2,FALSE),0)</f>
        <v>640501509.6821388</v>
      </c>
      <c r="T1082" s="246">
        <f>IFERROR(VLOOKUP(F1082,PROGRAMAS[],2,FALSE),0)</f>
        <v>3062327798.1525245</v>
      </c>
      <c r="U1082" s="246">
        <f>IFERROR(VLOOKUP(G1082,PROGRAMAS[],2,FALSE),0)</f>
        <v>67697118.033011258</v>
      </c>
      <c r="V1082" s="246">
        <f>IFERROR(VLOOKUP(H1082,PROGRAMAS[],2,FALSE),0)</f>
        <v>1440941976.2528784</v>
      </c>
      <c r="W1082" s="246">
        <f>IFERROR(VLOOKUP(I1082,PROGRAMAS[],2,FALSE),0)</f>
        <v>6128579952.1618185</v>
      </c>
      <c r="X1082" s="246">
        <f>IFERROR(VLOOKUP(J1082,PROGRAMAS[],2,FALSE),0)</f>
        <v>4635315027.8751087</v>
      </c>
      <c r="Y1082" s="246">
        <f>IFERROR(VLOOKUP(K1082,PROGRAMAS[],2,FALSE),0)</f>
        <v>764796700.79905891</v>
      </c>
      <c r="Z1082" s="246">
        <f>IFERROR(VLOOKUP(L1082,PROGRAMAS[],2,FALSE),0)</f>
        <v>54223862.645839565</v>
      </c>
      <c r="AA1082" s="246">
        <f>IFERROR(VLOOKUP(M1082,PROGRAMAS[],2,FALSE),0)</f>
        <v>0</v>
      </c>
      <c r="AB1082" s="246">
        <f>IFERROR(VLOOKUP(N1082,PROGRAMAS[],2,FALSE),0)</f>
        <v>0</v>
      </c>
      <c r="AC1082" s="246">
        <f>IFERROR(VLOOKUP(O1082,PROGRAMAS[],2,FALSE),0)</f>
        <v>0</v>
      </c>
      <c r="AD1082" s="246">
        <f>IFERROR(VLOOKUP(P1082,PROGRAMAS[],2,FALSE),0)</f>
        <v>0</v>
      </c>
      <c r="AE1082" s="246">
        <f>IFERROR(VLOOKUP(Q1082,PROGRAMAS[],2,FALSE),0)</f>
        <v>0</v>
      </c>
      <c r="AF1082" s="246">
        <f>IFERROR(VLOOKUP(D1082,PROGRAMAS[],3,FALSE),0)</f>
        <v>841888629.31080008</v>
      </c>
      <c r="AG1082" s="246">
        <f>IFERROR(VLOOKUP(E1082,PROGRAMAS[],3,FALSE),0)</f>
        <v>3848980803.1642323</v>
      </c>
      <c r="AH1082" s="246">
        <f>IFERROR(VLOOKUP(F1082,PROGRAMAS[],3,FALSE),0)</f>
        <v>3394901471.387517</v>
      </c>
      <c r="AI1082" s="246">
        <f>IFERROR(VLOOKUP(G1082,PROGRAMAS[],3,FALSE),0)</f>
        <v>125317226.95549992</v>
      </c>
      <c r="AJ1082" s="246">
        <f>IFERROR(VLOOKUP(H1082,PROGRAMAS[],3,FALSE),0)</f>
        <v>1233505101.0616004</v>
      </c>
      <c r="AK1082" s="246">
        <f>IFERROR(VLOOKUP(I1082,PROGRAMAS[],3,FALSE),0)</f>
        <v>7011279577.519702</v>
      </c>
      <c r="AL1082" s="246">
        <f>IFERROR(VLOOKUP(J1082,PROGRAMAS[],3,FALSE),0)</f>
        <v>4099471734.9978786</v>
      </c>
      <c r="AM1082" s="246">
        <f>IFERROR(VLOOKUP(K1082,PROGRAMAS[],3,FALSE),0)</f>
        <v>675517840.109828</v>
      </c>
      <c r="AN1082" s="246">
        <f>IFERROR(VLOOKUP(L1082,PROGRAMAS[],3,FALSE),0)</f>
        <v>31865326.38096505</v>
      </c>
      <c r="AO1082" s="246">
        <f>IFERROR(VLOOKUP(M1082,PROGRAMAS[],3,FALSE),0)</f>
        <v>0</v>
      </c>
      <c r="AP1082" s="246">
        <f>IFERROR(VLOOKUP(N1082,PROGRAMAS[],3,FALSE),0)</f>
        <v>0</v>
      </c>
      <c r="AQ1082" s="246">
        <f>IFERROR(VLOOKUP(O1082,PROGRAMAS[],3,FALSE),0)</f>
        <v>0</v>
      </c>
      <c r="AR1082" s="246">
        <f>IFERROR(VLOOKUP(P1082,PROGRAMAS[],3,FALSE),0)</f>
        <v>0</v>
      </c>
      <c r="AS1082" s="246">
        <f>IFERROR(VLOOKUP(Q1082,PROGRAMAS[],3,FALSE),0)</f>
        <v>0</v>
      </c>
      <c r="AT1082" s="246">
        <f>IFERROR(VLOOKUP(D1082,VOL_REC[],2,FALSE),0)</f>
        <v>0</v>
      </c>
      <c r="AU1082" s="246">
        <f>IFERROR(VLOOKUP(E1082,VOL_REC[],2,FALSE),0)</f>
        <v>0</v>
      </c>
      <c r="AV1082" s="246">
        <f>IFERROR(VLOOKUP(F1082,VOL_REC[],2,FALSE),0)</f>
        <v>11089674.200000001</v>
      </c>
      <c r="AW1082" s="246">
        <f>IFERROR(VLOOKUP(G1082,VOL_REC[],2,FALSE),0)</f>
        <v>90439.55</v>
      </c>
      <c r="AX1082" s="246">
        <f>IFERROR(VLOOKUP(H1082,VOL_REC[],2,FALSE),0)</f>
        <v>4325103.1812214684</v>
      </c>
      <c r="AY1082" s="246">
        <f>IFERROR(VLOOKUP(I1082,VOL_REC[],2,FALSE),0)</f>
        <v>3761786</v>
      </c>
      <c r="AZ1082" s="246">
        <f>IFERROR(VLOOKUP(J1082,VOL_REC[],2,FALSE),0)</f>
        <v>1812240</v>
      </c>
      <c r="BA1082" s="246">
        <f>IFERROR(VLOOKUP(K1082,VOL_REC[],2,FALSE),0)</f>
        <v>240696.79238099116</v>
      </c>
      <c r="BB1082" s="246">
        <f>IFERROR(VLOOKUP(L1082,VOL_REC[],2,FALSE),0)</f>
        <v>17074.045034105649</v>
      </c>
      <c r="BC1082" s="246">
        <f>IFERROR(VLOOKUP(M1082,VOL_REC[],2,FALSE),0)</f>
        <v>0</v>
      </c>
      <c r="BD1082" s="246">
        <f>IFERROR(VLOOKUP(N1082,VOL_REC[],2,FALSE),0)</f>
        <v>0</v>
      </c>
      <c r="BE1082" s="246">
        <f>IFERROR(VLOOKUP(O1082,VOL_REC[],2,FALSE),0)</f>
        <v>0</v>
      </c>
      <c r="BF1082" s="246">
        <f>IFERROR(VLOOKUP(P1082,VOL_REC[],2,FALSE),0)</f>
        <v>0</v>
      </c>
      <c r="BG1082" s="246">
        <f>IFERROR(VLOOKUP(Q1082,VOL_REC[],2,FALSE),0)</f>
        <v>0</v>
      </c>
      <c r="BH1082" s="1710">
        <f t="shared" si="64"/>
        <v>16891421749.281757</v>
      </c>
      <c r="BI1082" s="1710">
        <f t="shared" si="65"/>
        <v>21262727710.888027</v>
      </c>
      <c r="BJ1082" s="1711">
        <f t="shared" si="66"/>
        <v>21337013.768636569</v>
      </c>
      <c r="BK1082" s="1711">
        <f t="shared" si="67"/>
        <v>0.79441461974947591</v>
      </c>
    </row>
    <row r="1083" spans="3:67" x14ac:dyDescent="0.25">
      <c r="C1083" s="246" t="s">
        <v>2433</v>
      </c>
      <c r="D1083" s="246">
        <v>1</v>
      </c>
      <c r="E1083" s="246">
        <v>2</v>
      </c>
      <c r="F1083" s="246">
        <v>3</v>
      </c>
      <c r="G1083" s="246">
        <v>4</v>
      </c>
      <c r="H1083" s="246">
        <v>5</v>
      </c>
      <c r="I1083" s="246">
        <v>9</v>
      </c>
      <c r="J1083" s="246">
        <v>10</v>
      </c>
      <c r="K1083" s="246">
        <v>12</v>
      </c>
      <c r="L1083" s="246">
        <v>15</v>
      </c>
      <c r="M1083" s="246"/>
      <c r="N1083" s="246"/>
      <c r="O1083" s="246"/>
      <c r="P1083" s="246"/>
      <c r="Q1083" s="246"/>
      <c r="R1083" s="246">
        <f>IFERROR(VLOOKUP(D1083,PROGRAMAS[],2,FALSE),0)</f>
        <v>97037803.679377079</v>
      </c>
      <c r="S1083" s="246">
        <f>IFERROR(VLOOKUP(E1083,PROGRAMAS[],2,FALSE),0)</f>
        <v>640501509.6821388</v>
      </c>
      <c r="T1083" s="246">
        <f>IFERROR(VLOOKUP(F1083,PROGRAMAS[],2,FALSE),0)</f>
        <v>3062327798.1525245</v>
      </c>
      <c r="U1083" s="246">
        <f>IFERROR(VLOOKUP(G1083,PROGRAMAS[],2,FALSE),0)</f>
        <v>67697118.033011258</v>
      </c>
      <c r="V1083" s="246">
        <f>IFERROR(VLOOKUP(H1083,PROGRAMAS[],2,FALSE),0)</f>
        <v>1440941976.2528784</v>
      </c>
      <c r="W1083" s="246">
        <f>IFERROR(VLOOKUP(I1083,PROGRAMAS[],2,FALSE),0)</f>
        <v>6128579952.1618185</v>
      </c>
      <c r="X1083" s="246">
        <f>IFERROR(VLOOKUP(J1083,PROGRAMAS[],2,FALSE),0)</f>
        <v>4635315027.8751087</v>
      </c>
      <c r="Y1083" s="246">
        <f>IFERROR(VLOOKUP(K1083,PROGRAMAS[],2,FALSE),0)</f>
        <v>764796700.79905891</v>
      </c>
      <c r="Z1083" s="246">
        <f>IFERROR(VLOOKUP(L1083,PROGRAMAS[],2,FALSE),0)</f>
        <v>122159672.96346797</v>
      </c>
      <c r="AA1083" s="246">
        <f>IFERROR(VLOOKUP(M1083,PROGRAMAS[],2,FALSE),0)</f>
        <v>0</v>
      </c>
      <c r="AB1083" s="246">
        <f>IFERROR(VLOOKUP(N1083,PROGRAMAS[],2,FALSE),0)</f>
        <v>0</v>
      </c>
      <c r="AC1083" s="246">
        <f>IFERROR(VLOOKUP(O1083,PROGRAMAS[],2,FALSE),0)</f>
        <v>0</v>
      </c>
      <c r="AD1083" s="246">
        <f>IFERROR(VLOOKUP(P1083,PROGRAMAS[],2,FALSE),0)</f>
        <v>0</v>
      </c>
      <c r="AE1083" s="246">
        <f>IFERROR(VLOOKUP(Q1083,PROGRAMAS[],2,FALSE),0)</f>
        <v>0</v>
      </c>
      <c r="AF1083" s="246">
        <f>IFERROR(VLOOKUP(D1083,PROGRAMAS[],3,FALSE),0)</f>
        <v>841888629.31080008</v>
      </c>
      <c r="AG1083" s="246">
        <f>IFERROR(VLOOKUP(E1083,PROGRAMAS[],3,FALSE),0)</f>
        <v>3848980803.1642323</v>
      </c>
      <c r="AH1083" s="246">
        <f>IFERROR(VLOOKUP(F1083,PROGRAMAS[],3,FALSE),0)</f>
        <v>3394901471.387517</v>
      </c>
      <c r="AI1083" s="246">
        <f>IFERROR(VLOOKUP(G1083,PROGRAMAS[],3,FALSE),0)</f>
        <v>125317226.95549992</v>
      </c>
      <c r="AJ1083" s="246">
        <f>IFERROR(VLOOKUP(H1083,PROGRAMAS[],3,FALSE),0)</f>
        <v>1233505101.0616004</v>
      </c>
      <c r="AK1083" s="246">
        <f>IFERROR(VLOOKUP(I1083,PROGRAMAS[],3,FALSE),0)</f>
        <v>7011279577.519702</v>
      </c>
      <c r="AL1083" s="246">
        <f>IFERROR(VLOOKUP(J1083,PROGRAMAS[],3,FALSE),0)</f>
        <v>4099471734.9978786</v>
      </c>
      <c r="AM1083" s="246">
        <f>IFERROR(VLOOKUP(K1083,PROGRAMAS[],3,FALSE),0)</f>
        <v>675517840.109828</v>
      </c>
      <c r="AN1083" s="246">
        <f>IFERROR(VLOOKUP(L1083,PROGRAMAS[],3,FALSE),0)</f>
        <v>118617452.52510804</v>
      </c>
      <c r="AO1083" s="246">
        <f>IFERROR(VLOOKUP(M1083,PROGRAMAS[],3,FALSE),0)</f>
        <v>0</v>
      </c>
      <c r="AP1083" s="246">
        <f>IFERROR(VLOOKUP(N1083,PROGRAMAS[],3,FALSE),0)</f>
        <v>0</v>
      </c>
      <c r="AQ1083" s="246">
        <f>IFERROR(VLOOKUP(O1083,PROGRAMAS[],3,FALSE),0)</f>
        <v>0</v>
      </c>
      <c r="AR1083" s="246">
        <f>IFERROR(VLOOKUP(P1083,PROGRAMAS[],3,FALSE),0)</f>
        <v>0</v>
      </c>
      <c r="AS1083" s="246">
        <f>IFERROR(VLOOKUP(Q1083,PROGRAMAS[],3,FALSE),0)</f>
        <v>0</v>
      </c>
      <c r="AT1083" s="246">
        <f>IFERROR(VLOOKUP(D1083,VOL_REC[],2,FALSE),0)</f>
        <v>0</v>
      </c>
      <c r="AU1083" s="246">
        <f>IFERROR(VLOOKUP(E1083,VOL_REC[],2,FALSE),0)</f>
        <v>0</v>
      </c>
      <c r="AV1083" s="246">
        <f>IFERROR(VLOOKUP(F1083,VOL_REC[],2,FALSE),0)</f>
        <v>11089674.200000001</v>
      </c>
      <c r="AW1083" s="246">
        <f>IFERROR(VLOOKUP(G1083,VOL_REC[],2,FALSE),0)</f>
        <v>90439.55</v>
      </c>
      <c r="AX1083" s="246">
        <f>IFERROR(VLOOKUP(H1083,VOL_REC[],2,FALSE),0)</f>
        <v>4325103.1812214684</v>
      </c>
      <c r="AY1083" s="246">
        <f>IFERROR(VLOOKUP(I1083,VOL_REC[],2,FALSE),0)</f>
        <v>3761786</v>
      </c>
      <c r="AZ1083" s="246">
        <f>IFERROR(VLOOKUP(J1083,VOL_REC[],2,FALSE),0)</f>
        <v>1812240</v>
      </c>
      <c r="BA1083" s="246">
        <f>IFERROR(VLOOKUP(K1083,VOL_REC[],2,FALSE),0)</f>
        <v>240696.79238099116</v>
      </c>
      <c r="BB1083" s="246">
        <f>IFERROR(VLOOKUP(L1083,VOL_REC[],2,FALSE),0)</f>
        <v>105072</v>
      </c>
      <c r="BC1083" s="246">
        <f>IFERROR(VLOOKUP(M1083,VOL_REC[],2,FALSE),0)</f>
        <v>0</v>
      </c>
      <c r="BD1083" s="246">
        <f>IFERROR(VLOOKUP(N1083,VOL_REC[],2,FALSE),0)</f>
        <v>0</v>
      </c>
      <c r="BE1083" s="246">
        <f>IFERROR(VLOOKUP(O1083,VOL_REC[],2,FALSE),0)</f>
        <v>0</v>
      </c>
      <c r="BF1083" s="246">
        <f>IFERROR(VLOOKUP(P1083,VOL_REC[],2,FALSE),0)</f>
        <v>0</v>
      </c>
      <c r="BG1083" s="246">
        <f>IFERROR(VLOOKUP(Q1083,VOL_REC[],2,FALSE),0)</f>
        <v>0</v>
      </c>
      <c r="BH1083" s="1710">
        <f t="shared" si="64"/>
        <v>16959357559.599386</v>
      </c>
      <c r="BI1083" s="1710">
        <f t="shared" si="65"/>
        <v>21349479837.032169</v>
      </c>
      <c r="BJ1083" s="1711">
        <f t="shared" si="66"/>
        <v>21425011.723602463</v>
      </c>
      <c r="BK1083" s="1711">
        <f t="shared" si="67"/>
        <v>0.79436865389957612</v>
      </c>
    </row>
    <row r="1084" spans="3:67" x14ac:dyDescent="0.25">
      <c r="C1084" s="246" t="s">
        <v>2434</v>
      </c>
      <c r="D1084" s="246">
        <v>1</v>
      </c>
      <c r="E1084" s="246">
        <v>2</v>
      </c>
      <c r="F1084" s="246">
        <v>3</v>
      </c>
      <c r="G1084" s="246">
        <v>4</v>
      </c>
      <c r="H1084" s="246">
        <v>5</v>
      </c>
      <c r="I1084" s="246">
        <v>9</v>
      </c>
      <c r="J1084" s="246">
        <v>10</v>
      </c>
      <c r="K1084" s="246">
        <v>12</v>
      </c>
      <c r="L1084" s="246">
        <v>16</v>
      </c>
      <c r="M1084" s="246"/>
      <c r="N1084" s="246"/>
      <c r="O1084" s="246"/>
      <c r="P1084" s="246"/>
      <c r="Q1084" s="246"/>
      <c r="R1084" s="246">
        <f>IFERROR(VLOOKUP(D1084,PROGRAMAS[],2,FALSE),0)</f>
        <v>97037803.679377079</v>
      </c>
      <c r="S1084" s="246">
        <f>IFERROR(VLOOKUP(E1084,PROGRAMAS[],2,FALSE),0)</f>
        <v>640501509.6821388</v>
      </c>
      <c r="T1084" s="246">
        <f>IFERROR(VLOOKUP(F1084,PROGRAMAS[],2,FALSE),0)</f>
        <v>3062327798.1525245</v>
      </c>
      <c r="U1084" s="246">
        <f>IFERROR(VLOOKUP(G1084,PROGRAMAS[],2,FALSE),0)</f>
        <v>67697118.033011258</v>
      </c>
      <c r="V1084" s="246">
        <f>IFERROR(VLOOKUP(H1084,PROGRAMAS[],2,FALSE),0)</f>
        <v>1440941976.2528784</v>
      </c>
      <c r="W1084" s="246">
        <f>IFERROR(VLOOKUP(I1084,PROGRAMAS[],2,FALSE),0)</f>
        <v>6128579952.1618185</v>
      </c>
      <c r="X1084" s="246">
        <f>IFERROR(VLOOKUP(J1084,PROGRAMAS[],2,FALSE),0)</f>
        <v>4635315027.8751087</v>
      </c>
      <c r="Y1084" s="246">
        <f>IFERROR(VLOOKUP(K1084,PROGRAMAS[],2,FALSE),0)</f>
        <v>764796700.79905891</v>
      </c>
      <c r="Z1084" s="246">
        <f>IFERROR(VLOOKUP(L1084,PROGRAMAS[],2,FALSE),0)</f>
        <v>7068496961.0436354</v>
      </c>
      <c r="AA1084" s="246">
        <f>IFERROR(VLOOKUP(M1084,PROGRAMAS[],2,FALSE),0)</f>
        <v>0</v>
      </c>
      <c r="AB1084" s="246">
        <f>IFERROR(VLOOKUP(N1084,PROGRAMAS[],2,FALSE),0)</f>
        <v>0</v>
      </c>
      <c r="AC1084" s="246">
        <f>IFERROR(VLOOKUP(O1084,PROGRAMAS[],2,FALSE),0)</f>
        <v>0</v>
      </c>
      <c r="AD1084" s="246">
        <f>IFERROR(VLOOKUP(P1084,PROGRAMAS[],2,FALSE),0)</f>
        <v>0</v>
      </c>
      <c r="AE1084" s="246">
        <f>IFERROR(VLOOKUP(Q1084,PROGRAMAS[],2,FALSE),0)</f>
        <v>0</v>
      </c>
      <c r="AF1084" s="246">
        <f>IFERROR(VLOOKUP(D1084,PROGRAMAS[],3,FALSE),0)</f>
        <v>841888629.31080008</v>
      </c>
      <c r="AG1084" s="246">
        <f>IFERROR(VLOOKUP(E1084,PROGRAMAS[],3,FALSE),0)</f>
        <v>3848980803.1642323</v>
      </c>
      <c r="AH1084" s="246">
        <f>IFERROR(VLOOKUP(F1084,PROGRAMAS[],3,FALSE),0)</f>
        <v>3394901471.387517</v>
      </c>
      <c r="AI1084" s="246">
        <f>IFERROR(VLOOKUP(G1084,PROGRAMAS[],3,FALSE),0)</f>
        <v>125317226.95549992</v>
      </c>
      <c r="AJ1084" s="246">
        <f>IFERROR(VLOOKUP(H1084,PROGRAMAS[],3,FALSE),0)</f>
        <v>1233505101.0616004</v>
      </c>
      <c r="AK1084" s="246">
        <f>IFERROR(VLOOKUP(I1084,PROGRAMAS[],3,FALSE),0)</f>
        <v>7011279577.519702</v>
      </c>
      <c r="AL1084" s="246">
        <f>IFERROR(VLOOKUP(J1084,PROGRAMAS[],3,FALSE),0)</f>
        <v>4099471734.9978786</v>
      </c>
      <c r="AM1084" s="246">
        <f>IFERROR(VLOOKUP(K1084,PROGRAMAS[],3,FALSE),0)</f>
        <v>675517840.109828</v>
      </c>
      <c r="AN1084" s="246">
        <f>IFERROR(VLOOKUP(L1084,PROGRAMAS[],3,FALSE),0)</f>
        <v>2406564599.0319901</v>
      </c>
      <c r="AO1084" s="246">
        <f>IFERROR(VLOOKUP(M1084,PROGRAMAS[],3,FALSE),0)</f>
        <v>0</v>
      </c>
      <c r="AP1084" s="246">
        <f>IFERROR(VLOOKUP(N1084,PROGRAMAS[],3,FALSE),0)</f>
        <v>0</v>
      </c>
      <c r="AQ1084" s="246">
        <f>IFERROR(VLOOKUP(O1084,PROGRAMAS[],3,FALSE),0)</f>
        <v>0</v>
      </c>
      <c r="AR1084" s="246">
        <f>IFERROR(VLOOKUP(P1084,PROGRAMAS[],3,FALSE),0)</f>
        <v>0</v>
      </c>
      <c r="AS1084" s="246">
        <f>IFERROR(VLOOKUP(Q1084,PROGRAMAS[],3,FALSE),0)</f>
        <v>0</v>
      </c>
      <c r="AT1084" s="246">
        <f>IFERROR(VLOOKUP(D1084,VOL_REC[],2,FALSE),0)</f>
        <v>0</v>
      </c>
      <c r="AU1084" s="246">
        <f>IFERROR(VLOOKUP(E1084,VOL_REC[],2,FALSE),0)</f>
        <v>0</v>
      </c>
      <c r="AV1084" s="246">
        <f>IFERROR(VLOOKUP(F1084,VOL_REC[],2,FALSE),0)</f>
        <v>11089674.200000001</v>
      </c>
      <c r="AW1084" s="246">
        <f>IFERROR(VLOOKUP(G1084,VOL_REC[],2,FALSE),0)</f>
        <v>90439.55</v>
      </c>
      <c r="AX1084" s="246">
        <f>IFERROR(VLOOKUP(H1084,VOL_REC[],2,FALSE),0)</f>
        <v>4325103.1812214684</v>
      </c>
      <c r="AY1084" s="246">
        <f>IFERROR(VLOOKUP(I1084,VOL_REC[],2,FALSE),0)</f>
        <v>3761786</v>
      </c>
      <c r="AZ1084" s="246">
        <f>IFERROR(VLOOKUP(J1084,VOL_REC[],2,FALSE),0)</f>
        <v>1812240</v>
      </c>
      <c r="BA1084" s="246">
        <f>IFERROR(VLOOKUP(K1084,VOL_REC[],2,FALSE),0)</f>
        <v>240696.79238099116</v>
      </c>
      <c r="BB1084" s="246">
        <f>IFERROR(VLOOKUP(L1084,VOL_REC[],2,FALSE),0)</f>
        <v>1072354.9981737854</v>
      </c>
      <c r="BC1084" s="246">
        <f>IFERROR(VLOOKUP(M1084,VOL_REC[],2,FALSE),0)</f>
        <v>0</v>
      </c>
      <c r="BD1084" s="246">
        <f>IFERROR(VLOOKUP(N1084,VOL_REC[],2,FALSE),0)</f>
        <v>0</v>
      </c>
      <c r="BE1084" s="246">
        <f>IFERROR(VLOOKUP(O1084,VOL_REC[],2,FALSE),0)</f>
        <v>0</v>
      </c>
      <c r="BF1084" s="246">
        <f>IFERROR(VLOOKUP(P1084,VOL_REC[],2,FALSE),0)</f>
        <v>0</v>
      </c>
      <c r="BG1084" s="246">
        <f>IFERROR(VLOOKUP(Q1084,VOL_REC[],2,FALSE),0)</f>
        <v>0</v>
      </c>
      <c r="BH1084" s="1710">
        <f t="shared" si="64"/>
        <v>23905694847.679554</v>
      </c>
      <c r="BI1084" s="1710">
        <f t="shared" si="65"/>
        <v>23637426983.539051</v>
      </c>
      <c r="BJ1084" s="1711">
        <f t="shared" si="66"/>
        <v>22392294.721776247</v>
      </c>
      <c r="BK1084" s="1711">
        <f t="shared" si="67"/>
        <v>1.0113492836731901</v>
      </c>
      <c r="BL1084">
        <f>BJ1084</f>
        <v>22392294.721776247</v>
      </c>
      <c r="BO1084">
        <f>BL1084</f>
        <v>22392294.721776247</v>
      </c>
    </row>
    <row r="1085" spans="3:67" x14ac:dyDescent="0.25">
      <c r="C1085" s="246" t="s">
        <v>2435</v>
      </c>
      <c r="D1085" s="246">
        <v>1</v>
      </c>
      <c r="E1085" s="246">
        <v>2</v>
      </c>
      <c r="F1085" s="246">
        <v>3</v>
      </c>
      <c r="G1085" s="246">
        <v>4</v>
      </c>
      <c r="H1085" s="246">
        <v>5</v>
      </c>
      <c r="I1085" s="246">
        <v>9</v>
      </c>
      <c r="J1085" s="246">
        <v>10</v>
      </c>
      <c r="K1085" s="246">
        <v>12</v>
      </c>
      <c r="L1085" s="246">
        <v>17</v>
      </c>
      <c r="M1085" s="246"/>
      <c r="N1085" s="246"/>
      <c r="O1085" s="246"/>
      <c r="P1085" s="246"/>
      <c r="Q1085" s="246"/>
      <c r="R1085" s="246">
        <f>IFERROR(VLOOKUP(D1085,PROGRAMAS[],2,FALSE),0)</f>
        <v>97037803.679377079</v>
      </c>
      <c r="S1085" s="246">
        <f>IFERROR(VLOOKUP(E1085,PROGRAMAS[],2,FALSE),0)</f>
        <v>640501509.6821388</v>
      </c>
      <c r="T1085" s="246">
        <f>IFERROR(VLOOKUP(F1085,PROGRAMAS[],2,FALSE),0)</f>
        <v>3062327798.1525245</v>
      </c>
      <c r="U1085" s="246">
        <f>IFERROR(VLOOKUP(G1085,PROGRAMAS[],2,FALSE),0)</f>
        <v>67697118.033011258</v>
      </c>
      <c r="V1085" s="246">
        <f>IFERROR(VLOOKUP(H1085,PROGRAMAS[],2,FALSE),0)</f>
        <v>1440941976.2528784</v>
      </c>
      <c r="W1085" s="246">
        <f>IFERROR(VLOOKUP(I1085,PROGRAMAS[],2,FALSE),0)</f>
        <v>6128579952.1618185</v>
      </c>
      <c r="X1085" s="246">
        <f>IFERROR(VLOOKUP(J1085,PROGRAMAS[],2,FALSE),0)</f>
        <v>4635315027.8751087</v>
      </c>
      <c r="Y1085" s="246">
        <f>IFERROR(VLOOKUP(K1085,PROGRAMAS[],2,FALSE),0)</f>
        <v>764796700.79905891</v>
      </c>
      <c r="Z1085" s="246">
        <f>IFERROR(VLOOKUP(L1085,PROGRAMAS[],2,FALSE),0)</f>
        <v>1892779498.5211046</v>
      </c>
      <c r="AA1085" s="246">
        <f>IFERROR(VLOOKUP(M1085,PROGRAMAS[],2,FALSE),0)</f>
        <v>0</v>
      </c>
      <c r="AB1085" s="246">
        <f>IFERROR(VLOOKUP(N1085,PROGRAMAS[],2,FALSE),0)</f>
        <v>0</v>
      </c>
      <c r="AC1085" s="246">
        <f>IFERROR(VLOOKUP(O1085,PROGRAMAS[],2,FALSE),0)</f>
        <v>0</v>
      </c>
      <c r="AD1085" s="246">
        <f>IFERROR(VLOOKUP(P1085,PROGRAMAS[],2,FALSE),0)</f>
        <v>0</v>
      </c>
      <c r="AE1085" s="246">
        <f>IFERROR(VLOOKUP(Q1085,PROGRAMAS[],2,FALSE),0)</f>
        <v>0</v>
      </c>
      <c r="AF1085" s="246">
        <f>IFERROR(VLOOKUP(D1085,PROGRAMAS[],3,FALSE),0)</f>
        <v>841888629.31080008</v>
      </c>
      <c r="AG1085" s="246">
        <f>IFERROR(VLOOKUP(E1085,PROGRAMAS[],3,FALSE),0)</f>
        <v>3848980803.1642323</v>
      </c>
      <c r="AH1085" s="246">
        <f>IFERROR(VLOOKUP(F1085,PROGRAMAS[],3,FALSE),0)</f>
        <v>3394901471.387517</v>
      </c>
      <c r="AI1085" s="246">
        <f>IFERROR(VLOOKUP(G1085,PROGRAMAS[],3,FALSE),0)</f>
        <v>125317226.95549992</v>
      </c>
      <c r="AJ1085" s="246">
        <f>IFERROR(VLOOKUP(H1085,PROGRAMAS[],3,FALSE),0)</f>
        <v>1233505101.0616004</v>
      </c>
      <c r="AK1085" s="246">
        <f>IFERROR(VLOOKUP(I1085,PROGRAMAS[],3,FALSE),0)</f>
        <v>7011279577.519702</v>
      </c>
      <c r="AL1085" s="246">
        <f>IFERROR(VLOOKUP(J1085,PROGRAMAS[],3,FALSE),0)</f>
        <v>4099471734.9978786</v>
      </c>
      <c r="AM1085" s="246">
        <f>IFERROR(VLOOKUP(K1085,PROGRAMAS[],3,FALSE),0)</f>
        <v>675517840.109828</v>
      </c>
      <c r="AN1085" s="246">
        <f>IFERROR(VLOOKUP(L1085,PROGRAMAS[],3,FALSE),0)</f>
        <v>948595847.09039903</v>
      </c>
      <c r="AO1085" s="246">
        <f>IFERROR(VLOOKUP(M1085,PROGRAMAS[],3,FALSE),0)</f>
        <v>0</v>
      </c>
      <c r="AP1085" s="246">
        <f>IFERROR(VLOOKUP(N1085,PROGRAMAS[],3,FALSE),0)</f>
        <v>0</v>
      </c>
      <c r="AQ1085" s="246">
        <f>IFERROR(VLOOKUP(O1085,PROGRAMAS[],3,FALSE),0)</f>
        <v>0</v>
      </c>
      <c r="AR1085" s="246">
        <f>IFERROR(VLOOKUP(P1085,PROGRAMAS[],3,FALSE),0)</f>
        <v>0</v>
      </c>
      <c r="AS1085" s="246">
        <f>IFERROR(VLOOKUP(Q1085,PROGRAMAS[],3,FALSE),0)</f>
        <v>0</v>
      </c>
      <c r="AT1085" s="246">
        <f>IFERROR(VLOOKUP(D1085,VOL_REC[],2,FALSE),0)</f>
        <v>0</v>
      </c>
      <c r="AU1085" s="246">
        <f>IFERROR(VLOOKUP(E1085,VOL_REC[],2,FALSE),0)</f>
        <v>0</v>
      </c>
      <c r="AV1085" s="246">
        <f>IFERROR(VLOOKUP(F1085,VOL_REC[],2,FALSE),0)</f>
        <v>11089674.200000001</v>
      </c>
      <c r="AW1085" s="246">
        <f>IFERROR(VLOOKUP(G1085,VOL_REC[],2,FALSE),0)</f>
        <v>90439.55</v>
      </c>
      <c r="AX1085" s="246">
        <f>IFERROR(VLOOKUP(H1085,VOL_REC[],2,FALSE),0)</f>
        <v>4325103.1812214684</v>
      </c>
      <c r="AY1085" s="246">
        <f>IFERROR(VLOOKUP(I1085,VOL_REC[],2,FALSE),0)</f>
        <v>3761786</v>
      </c>
      <c r="AZ1085" s="246">
        <f>IFERROR(VLOOKUP(J1085,VOL_REC[],2,FALSE),0)</f>
        <v>1812240</v>
      </c>
      <c r="BA1085" s="246">
        <f>IFERROR(VLOOKUP(K1085,VOL_REC[],2,FALSE),0)</f>
        <v>240696.79238099116</v>
      </c>
      <c r="BB1085" s="246">
        <f>IFERROR(VLOOKUP(L1085,VOL_REC[],2,FALSE),0)</f>
        <v>740113.98115702497</v>
      </c>
      <c r="BC1085" s="246">
        <f>IFERROR(VLOOKUP(M1085,VOL_REC[],2,FALSE),0)</f>
        <v>0</v>
      </c>
      <c r="BD1085" s="246">
        <f>IFERROR(VLOOKUP(N1085,VOL_REC[],2,FALSE),0)</f>
        <v>0</v>
      </c>
      <c r="BE1085" s="246">
        <f>IFERROR(VLOOKUP(O1085,VOL_REC[],2,FALSE),0)</f>
        <v>0</v>
      </c>
      <c r="BF1085" s="246">
        <f>IFERROR(VLOOKUP(P1085,VOL_REC[],2,FALSE),0)</f>
        <v>0</v>
      </c>
      <c r="BG1085" s="246">
        <f>IFERROR(VLOOKUP(Q1085,VOL_REC[],2,FALSE),0)</f>
        <v>0</v>
      </c>
      <c r="BH1085" s="1710">
        <f t="shared" si="64"/>
        <v>18729977385.157021</v>
      </c>
      <c r="BI1085" s="1710">
        <f t="shared" si="65"/>
        <v>22179458231.597462</v>
      </c>
      <c r="BJ1085" s="1711">
        <f t="shared" si="66"/>
        <v>22060053.704759486</v>
      </c>
      <c r="BK1085" s="1711">
        <f t="shared" si="67"/>
        <v>0.84447407098852323</v>
      </c>
    </row>
    <row r="1086" spans="3:67" x14ac:dyDescent="0.25">
      <c r="C1086" s="246" t="s">
        <v>2436</v>
      </c>
      <c r="D1086" s="246">
        <v>1</v>
      </c>
      <c r="E1086" s="246">
        <v>2</v>
      </c>
      <c r="F1086" s="246">
        <v>3</v>
      </c>
      <c r="G1086" s="246">
        <v>4</v>
      </c>
      <c r="H1086" s="246">
        <v>5</v>
      </c>
      <c r="I1086" s="246">
        <v>9</v>
      </c>
      <c r="J1086" s="246">
        <v>10</v>
      </c>
      <c r="K1086" s="246">
        <v>13</v>
      </c>
      <c r="L1086" s="246">
        <v>14</v>
      </c>
      <c r="M1086" s="246"/>
      <c r="N1086" s="246"/>
      <c r="O1086" s="246"/>
      <c r="P1086" s="246"/>
      <c r="Q1086" s="246"/>
      <c r="R1086" s="246">
        <f>IFERROR(VLOOKUP(D1086,PROGRAMAS[],2,FALSE),0)</f>
        <v>97037803.679377079</v>
      </c>
      <c r="S1086" s="246">
        <f>IFERROR(VLOOKUP(E1086,PROGRAMAS[],2,FALSE),0)</f>
        <v>640501509.6821388</v>
      </c>
      <c r="T1086" s="246">
        <f>IFERROR(VLOOKUP(F1086,PROGRAMAS[],2,FALSE),0)</f>
        <v>3062327798.1525245</v>
      </c>
      <c r="U1086" s="246">
        <f>IFERROR(VLOOKUP(G1086,PROGRAMAS[],2,FALSE),0)</f>
        <v>67697118.033011258</v>
      </c>
      <c r="V1086" s="246">
        <f>IFERROR(VLOOKUP(H1086,PROGRAMAS[],2,FALSE),0)</f>
        <v>1440941976.2528784</v>
      </c>
      <c r="W1086" s="246">
        <f>IFERROR(VLOOKUP(I1086,PROGRAMAS[],2,FALSE),0)</f>
        <v>6128579952.1618185</v>
      </c>
      <c r="X1086" s="246">
        <f>IFERROR(VLOOKUP(J1086,PROGRAMAS[],2,FALSE),0)</f>
        <v>4635315027.8751087</v>
      </c>
      <c r="Y1086" s="246">
        <f>IFERROR(VLOOKUP(K1086,PROGRAMAS[],2,FALSE),0)</f>
        <v>3776538594.4604583</v>
      </c>
      <c r="Z1086" s="246">
        <f>IFERROR(VLOOKUP(L1086,PROGRAMAS[],2,FALSE),0)</f>
        <v>54223862.645839565</v>
      </c>
      <c r="AA1086" s="246">
        <f>IFERROR(VLOOKUP(M1086,PROGRAMAS[],2,FALSE),0)</f>
        <v>0</v>
      </c>
      <c r="AB1086" s="246">
        <f>IFERROR(VLOOKUP(N1086,PROGRAMAS[],2,FALSE),0)</f>
        <v>0</v>
      </c>
      <c r="AC1086" s="246">
        <f>IFERROR(VLOOKUP(O1086,PROGRAMAS[],2,FALSE),0)</f>
        <v>0</v>
      </c>
      <c r="AD1086" s="246">
        <f>IFERROR(VLOOKUP(P1086,PROGRAMAS[],2,FALSE),0)</f>
        <v>0</v>
      </c>
      <c r="AE1086" s="246">
        <f>IFERROR(VLOOKUP(Q1086,PROGRAMAS[],2,FALSE),0)</f>
        <v>0</v>
      </c>
      <c r="AF1086" s="246">
        <f>IFERROR(VLOOKUP(D1086,PROGRAMAS[],3,FALSE),0)</f>
        <v>841888629.31080008</v>
      </c>
      <c r="AG1086" s="246">
        <f>IFERROR(VLOOKUP(E1086,PROGRAMAS[],3,FALSE),0)</f>
        <v>3848980803.1642323</v>
      </c>
      <c r="AH1086" s="246">
        <f>IFERROR(VLOOKUP(F1086,PROGRAMAS[],3,FALSE),0)</f>
        <v>3394901471.387517</v>
      </c>
      <c r="AI1086" s="246">
        <f>IFERROR(VLOOKUP(G1086,PROGRAMAS[],3,FALSE),0)</f>
        <v>125317226.95549992</v>
      </c>
      <c r="AJ1086" s="246">
        <f>IFERROR(VLOOKUP(H1086,PROGRAMAS[],3,FALSE),0)</f>
        <v>1233505101.0616004</v>
      </c>
      <c r="AK1086" s="246">
        <f>IFERROR(VLOOKUP(I1086,PROGRAMAS[],3,FALSE),0)</f>
        <v>7011279577.519702</v>
      </c>
      <c r="AL1086" s="246">
        <f>IFERROR(VLOOKUP(J1086,PROGRAMAS[],3,FALSE),0)</f>
        <v>4099471734.9978786</v>
      </c>
      <c r="AM1086" s="246">
        <f>IFERROR(VLOOKUP(K1086,PROGRAMAS[],3,FALSE),0)</f>
        <v>2392571243.5584412</v>
      </c>
      <c r="AN1086" s="246">
        <f>IFERROR(VLOOKUP(L1086,PROGRAMAS[],3,FALSE),0)</f>
        <v>31865326.38096505</v>
      </c>
      <c r="AO1086" s="246">
        <f>IFERROR(VLOOKUP(M1086,PROGRAMAS[],3,FALSE),0)</f>
        <v>0</v>
      </c>
      <c r="AP1086" s="246">
        <f>IFERROR(VLOOKUP(N1086,PROGRAMAS[],3,FALSE),0)</f>
        <v>0</v>
      </c>
      <c r="AQ1086" s="246">
        <f>IFERROR(VLOOKUP(O1086,PROGRAMAS[],3,FALSE),0)</f>
        <v>0</v>
      </c>
      <c r="AR1086" s="246">
        <f>IFERROR(VLOOKUP(P1086,PROGRAMAS[],3,FALSE),0)</f>
        <v>0</v>
      </c>
      <c r="AS1086" s="246">
        <f>IFERROR(VLOOKUP(Q1086,PROGRAMAS[],3,FALSE),0)</f>
        <v>0</v>
      </c>
      <c r="AT1086" s="246">
        <f>IFERROR(VLOOKUP(D1086,VOL_REC[],2,FALSE),0)</f>
        <v>0</v>
      </c>
      <c r="AU1086" s="246">
        <f>IFERROR(VLOOKUP(E1086,VOL_REC[],2,FALSE),0)</f>
        <v>0</v>
      </c>
      <c r="AV1086" s="246">
        <f>IFERROR(VLOOKUP(F1086,VOL_REC[],2,FALSE),0)</f>
        <v>11089674.200000001</v>
      </c>
      <c r="AW1086" s="246">
        <f>IFERROR(VLOOKUP(G1086,VOL_REC[],2,FALSE),0)</f>
        <v>90439.55</v>
      </c>
      <c r="AX1086" s="246">
        <f>IFERROR(VLOOKUP(H1086,VOL_REC[],2,FALSE),0)</f>
        <v>4325103.1812214684</v>
      </c>
      <c r="AY1086" s="246">
        <f>IFERROR(VLOOKUP(I1086,VOL_REC[],2,FALSE),0)</f>
        <v>3761786</v>
      </c>
      <c r="AZ1086" s="246">
        <f>IFERROR(VLOOKUP(J1086,VOL_REC[],2,FALSE),0)</f>
        <v>1812240</v>
      </c>
      <c r="BA1086" s="246">
        <f>IFERROR(VLOOKUP(K1086,VOL_REC[],2,FALSE),0)</f>
        <v>663244.80000000016</v>
      </c>
      <c r="BB1086" s="246">
        <f>IFERROR(VLOOKUP(L1086,VOL_REC[],2,FALSE),0)</f>
        <v>17074.045034105649</v>
      </c>
      <c r="BC1086" s="246">
        <f>IFERROR(VLOOKUP(M1086,VOL_REC[],2,FALSE),0)</f>
        <v>0</v>
      </c>
      <c r="BD1086" s="246">
        <f>IFERROR(VLOOKUP(N1086,VOL_REC[],2,FALSE),0)</f>
        <v>0</v>
      </c>
      <c r="BE1086" s="246">
        <f>IFERROR(VLOOKUP(O1086,VOL_REC[],2,FALSE),0)</f>
        <v>0</v>
      </c>
      <c r="BF1086" s="246">
        <f>IFERROR(VLOOKUP(P1086,VOL_REC[],2,FALSE),0)</f>
        <v>0</v>
      </c>
      <c r="BG1086" s="246">
        <f>IFERROR(VLOOKUP(Q1086,VOL_REC[],2,FALSE),0)</f>
        <v>0</v>
      </c>
      <c r="BH1086" s="1710">
        <f t="shared" si="64"/>
        <v>19903163642.943157</v>
      </c>
      <c r="BI1086" s="1710">
        <f t="shared" si="65"/>
        <v>22979781114.336639</v>
      </c>
      <c r="BJ1086" s="1711">
        <f t="shared" si="66"/>
        <v>21759561.776255578</v>
      </c>
      <c r="BK1086" s="1711">
        <f t="shared" si="67"/>
        <v>0.86611632825893015</v>
      </c>
    </row>
    <row r="1087" spans="3:67" x14ac:dyDescent="0.25">
      <c r="C1087" s="246" t="s">
        <v>2437</v>
      </c>
      <c r="D1087" s="246">
        <v>1</v>
      </c>
      <c r="E1087" s="246">
        <v>2</v>
      </c>
      <c r="F1087" s="246">
        <v>3</v>
      </c>
      <c r="G1087" s="246">
        <v>4</v>
      </c>
      <c r="H1087" s="246">
        <v>5</v>
      </c>
      <c r="I1087" s="246">
        <v>9</v>
      </c>
      <c r="J1087" s="246">
        <v>10</v>
      </c>
      <c r="K1087" s="246">
        <v>13</v>
      </c>
      <c r="L1087" s="246">
        <v>15</v>
      </c>
      <c r="M1087" s="246"/>
      <c r="N1087" s="246"/>
      <c r="O1087" s="246"/>
      <c r="P1087" s="246"/>
      <c r="Q1087" s="246"/>
      <c r="R1087" s="246">
        <f>IFERROR(VLOOKUP(D1087,PROGRAMAS[],2,FALSE),0)</f>
        <v>97037803.679377079</v>
      </c>
      <c r="S1087" s="246">
        <f>IFERROR(VLOOKUP(E1087,PROGRAMAS[],2,FALSE),0)</f>
        <v>640501509.6821388</v>
      </c>
      <c r="T1087" s="246">
        <f>IFERROR(VLOOKUP(F1087,PROGRAMAS[],2,FALSE),0)</f>
        <v>3062327798.1525245</v>
      </c>
      <c r="U1087" s="246">
        <f>IFERROR(VLOOKUP(G1087,PROGRAMAS[],2,FALSE),0)</f>
        <v>67697118.033011258</v>
      </c>
      <c r="V1087" s="246">
        <f>IFERROR(VLOOKUP(H1087,PROGRAMAS[],2,FALSE),0)</f>
        <v>1440941976.2528784</v>
      </c>
      <c r="W1087" s="246">
        <f>IFERROR(VLOOKUP(I1087,PROGRAMAS[],2,FALSE),0)</f>
        <v>6128579952.1618185</v>
      </c>
      <c r="X1087" s="246">
        <f>IFERROR(VLOOKUP(J1087,PROGRAMAS[],2,FALSE),0)</f>
        <v>4635315027.8751087</v>
      </c>
      <c r="Y1087" s="246">
        <f>IFERROR(VLOOKUP(K1087,PROGRAMAS[],2,FALSE),0)</f>
        <v>3776538594.4604583</v>
      </c>
      <c r="Z1087" s="246">
        <f>IFERROR(VLOOKUP(L1087,PROGRAMAS[],2,FALSE),0)</f>
        <v>122159672.96346797</v>
      </c>
      <c r="AA1087" s="246">
        <f>IFERROR(VLOOKUP(M1087,PROGRAMAS[],2,FALSE),0)</f>
        <v>0</v>
      </c>
      <c r="AB1087" s="246">
        <f>IFERROR(VLOOKUP(N1087,PROGRAMAS[],2,FALSE),0)</f>
        <v>0</v>
      </c>
      <c r="AC1087" s="246">
        <f>IFERROR(VLOOKUP(O1087,PROGRAMAS[],2,FALSE),0)</f>
        <v>0</v>
      </c>
      <c r="AD1087" s="246">
        <f>IFERROR(VLOOKUP(P1087,PROGRAMAS[],2,FALSE),0)</f>
        <v>0</v>
      </c>
      <c r="AE1087" s="246">
        <f>IFERROR(VLOOKUP(Q1087,PROGRAMAS[],2,FALSE),0)</f>
        <v>0</v>
      </c>
      <c r="AF1087" s="246">
        <f>IFERROR(VLOOKUP(D1087,PROGRAMAS[],3,FALSE),0)</f>
        <v>841888629.31080008</v>
      </c>
      <c r="AG1087" s="246">
        <f>IFERROR(VLOOKUP(E1087,PROGRAMAS[],3,FALSE),0)</f>
        <v>3848980803.1642323</v>
      </c>
      <c r="AH1087" s="246">
        <f>IFERROR(VLOOKUP(F1087,PROGRAMAS[],3,FALSE),0)</f>
        <v>3394901471.387517</v>
      </c>
      <c r="AI1087" s="246">
        <f>IFERROR(VLOOKUP(G1087,PROGRAMAS[],3,FALSE),0)</f>
        <v>125317226.95549992</v>
      </c>
      <c r="AJ1087" s="246">
        <f>IFERROR(VLOOKUP(H1087,PROGRAMAS[],3,FALSE),0)</f>
        <v>1233505101.0616004</v>
      </c>
      <c r="AK1087" s="246">
        <f>IFERROR(VLOOKUP(I1087,PROGRAMAS[],3,FALSE),0)</f>
        <v>7011279577.519702</v>
      </c>
      <c r="AL1087" s="246">
        <f>IFERROR(VLOOKUP(J1087,PROGRAMAS[],3,FALSE),0)</f>
        <v>4099471734.9978786</v>
      </c>
      <c r="AM1087" s="246">
        <f>IFERROR(VLOOKUP(K1087,PROGRAMAS[],3,FALSE),0)</f>
        <v>2392571243.5584412</v>
      </c>
      <c r="AN1087" s="246">
        <f>IFERROR(VLOOKUP(L1087,PROGRAMAS[],3,FALSE),0)</f>
        <v>118617452.52510804</v>
      </c>
      <c r="AO1087" s="246">
        <f>IFERROR(VLOOKUP(M1087,PROGRAMAS[],3,FALSE),0)</f>
        <v>0</v>
      </c>
      <c r="AP1087" s="246">
        <f>IFERROR(VLOOKUP(N1087,PROGRAMAS[],3,FALSE),0)</f>
        <v>0</v>
      </c>
      <c r="AQ1087" s="246">
        <f>IFERROR(VLOOKUP(O1087,PROGRAMAS[],3,FALSE),0)</f>
        <v>0</v>
      </c>
      <c r="AR1087" s="246">
        <f>IFERROR(VLOOKUP(P1087,PROGRAMAS[],3,FALSE),0)</f>
        <v>0</v>
      </c>
      <c r="AS1087" s="246">
        <f>IFERROR(VLOOKUP(Q1087,PROGRAMAS[],3,FALSE),0)</f>
        <v>0</v>
      </c>
      <c r="AT1087" s="246">
        <f>IFERROR(VLOOKUP(D1087,VOL_REC[],2,FALSE),0)</f>
        <v>0</v>
      </c>
      <c r="AU1087" s="246">
        <f>IFERROR(VLOOKUP(E1087,VOL_REC[],2,FALSE),0)</f>
        <v>0</v>
      </c>
      <c r="AV1087" s="246">
        <f>IFERROR(VLOOKUP(F1087,VOL_REC[],2,FALSE),0)</f>
        <v>11089674.200000001</v>
      </c>
      <c r="AW1087" s="246">
        <f>IFERROR(VLOOKUP(G1087,VOL_REC[],2,FALSE),0)</f>
        <v>90439.55</v>
      </c>
      <c r="AX1087" s="246">
        <f>IFERROR(VLOOKUP(H1087,VOL_REC[],2,FALSE),0)</f>
        <v>4325103.1812214684</v>
      </c>
      <c r="AY1087" s="246">
        <f>IFERROR(VLOOKUP(I1087,VOL_REC[],2,FALSE),0)</f>
        <v>3761786</v>
      </c>
      <c r="AZ1087" s="246">
        <f>IFERROR(VLOOKUP(J1087,VOL_REC[],2,FALSE),0)</f>
        <v>1812240</v>
      </c>
      <c r="BA1087" s="246">
        <f>IFERROR(VLOOKUP(K1087,VOL_REC[],2,FALSE),0)</f>
        <v>663244.80000000016</v>
      </c>
      <c r="BB1087" s="246">
        <f>IFERROR(VLOOKUP(L1087,VOL_REC[],2,FALSE),0)</f>
        <v>105072</v>
      </c>
      <c r="BC1087" s="246">
        <f>IFERROR(VLOOKUP(M1087,VOL_REC[],2,FALSE),0)</f>
        <v>0</v>
      </c>
      <c r="BD1087" s="246">
        <f>IFERROR(VLOOKUP(N1087,VOL_REC[],2,FALSE),0)</f>
        <v>0</v>
      </c>
      <c r="BE1087" s="246">
        <f>IFERROR(VLOOKUP(O1087,VOL_REC[],2,FALSE),0)</f>
        <v>0</v>
      </c>
      <c r="BF1087" s="246">
        <f>IFERROR(VLOOKUP(P1087,VOL_REC[],2,FALSE),0)</f>
        <v>0</v>
      </c>
      <c r="BG1087" s="246">
        <f>IFERROR(VLOOKUP(Q1087,VOL_REC[],2,FALSE),0)</f>
        <v>0</v>
      </c>
      <c r="BH1087" s="1710">
        <f t="shared" si="64"/>
        <v>19971099453.260784</v>
      </c>
      <c r="BI1087" s="1710">
        <f t="shared" si="65"/>
        <v>23066533240.480782</v>
      </c>
      <c r="BJ1087" s="1711">
        <f t="shared" si="66"/>
        <v>21847559.731221471</v>
      </c>
      <c r="BK1087" s="1711">
        <f t="shared" si="67"/>
        <v>0.86580411737869467</v>
      </c>
    </row>
    <row r="1088" spans="3:67" x14ac:dyDescent="0.25">
      <c r="C1088" s="246" t="s">
        <v>2438</v>
      </c>
      <c r="D1088" s="246">
        <v>1</v>
      </c>
      <c r="E1088" s="246">
        <v>2</v>
      </c>
      <c r="F1088" s="246">
        <v>3</v>
      </c>
      <c r="G1088" s="246">
        <v>4</v>
      </c>
      <c r="H1088" s="246">
        <v>5</v>
      </c>
      <c r="I1088" s="246">
        <v>9</v>
      </c>
      <c r="J1088" s="246">
        <v>10</v>
      </c>
      <c r="K1088" s="246">
        <v>13</v>
      </c>
      <c r="L1088" s="246">
        <v>16</v>
      </c>
      <c r="M1088" s="246"/>
      <c r="N1088" s="246"/>
      <c r="O1088" s="246"/>
      <c r="P1088" s="246"/>
      <c r="Q1088" s="246"/>
      <c r="R1088" s="246">
        <f>IFERROR(VLOOKUP(D1088,PROGRAMAS[],2,FALSE),0)</f>
        <v>97037803.679377079</v>
      </c>
      <c r="S1088" s="246">
        <f>IFERROR(VLOOKUP(E1088,PROGRAMAS[],2,FALSE),0)</f>
        <v>640501509.6821388</v>
      </c>
      <c r="T1088" s="246">
        <f>IFERROR(VLOOKUP(F1088,PROGRAMAS[],2,FALSE),0)</f>
        <v>3062327798.1525245</v>
      </c>
      <c r="U1088" s="246">
        <f>IFERROR(VLOOKUP(G1088,PROGRAMAS[],2,FALSE),0)</f>
        <v>67697118.033011258</v>
      </c>
      <c r="V1088" s="246">
        <f>IFERROR(VLOOKUP(H1088,PROGRAMAS[],2,FALSE),0)</f>
        <v>1440941976.2528784</v>
      </c>
      <c r="W1088" s="246">
        <f>IFERROR(VLOOKUP(I1088,PROGRAMAS[],2,FALSE),0)</f>
        <v>6128579952.1618185</v>
      </c>
      <c r="X1088" s="246">
        <f>IFERROR(VLOOKUP(J1088,PROGRAMAS[],2,FALSE),0)</f>
        <v>4635315027.8751087</v>
      </c>
      <c r="Y1088" s="246">
        <f>IFERROR(VLOOKUP(K1088,PROGRAMAS[],2,FALSE),0)</f>
        <v>3776538594.4604583</v>
      </c>
      <c r="Z1088" s="246">
        <f>IFERROR(VLOOKUP(L1088,PROGRAMAS[],2,FALSE),0)</f>
        <v>7068496961.0436354</v>
      </c>
      <c r="AA1088" s="246">
        <f>IFERROR(VLOOKUP(M1088,PROGRAMAS[],2,FALSE),0)</f>
        <v>0</v>
      </c>
      <c r="AB1088" s="246">
        <f>IFERROR(VLOOKUP(N1088,PROGRAMAS[],2,FALSE),0)</f>
        <v>0</v>
      </c>
      <c r="AC1088" s="246">
        <f>IFERROR(VLOOKUP(O1088,PROGRAMAS[],2,FALSE),0)</f>
        <v>0</v>
      </c>
      <c r="AD1088" s="246">
        <f>IFERROR(VLOOKUP(P1088,PROGRAMAS[],2,FALSE),0)</f>
        <v>0</v>
      </c>
      <c r="AE1088" s="246">
        <f>IFERROR(VLOOKUP(Q1088,PROGRAMAS[],2,FALSE),0)</f>
        <v>0</v>
      </c>
      <c r="AF1088" s="246">
        <f>IFERROR(VLOOKUP(D1088,PROGRAMAS[],3,FALSE),0)</f>
        <v>841888629.31080008</v>
      </c>
      <c r="AG1088" s="246">
        <f>IFERROR(VLOOKUP(E1088,PROGRAMAS[],3,FALSE),0)</f>
        <v>3848980803.1642323</v>
      </c>
      <c r="AH1088" s="246">
        <f>IFERROR(VLOOKUP(F1088,PROGRAMAS[],3,FALSE),0)</f>
        <v>3394901471.387517</v>
      </c>
      <c r="AI1088" s="246">
        <f>IFERROR(VLOOKUP(G1088,PROGRAMAS[],3,FALSE),0)</f>
        <v>125317226.95549992</v>
      </c>
      <c r="AJ1088" s="246">
        <f>IFERROR(VLOOKUP(H1088,PROGRAMAS[],3,FALSE),0)</f>
        <v>1233505101.0616004</v>
      </c>
      <c r="AK1088" s="246">
        <f>IFERROR(VLOOKUP(I1088,PROGRAMAS[],3,FALSE),0)</f>
        <v>7011279577.519702</v>
      </c>
      <c r="AL1088" s="246">
        <f>IFERROR(VLOOKUP(J1088,PROGRAMAS[],3,FALSE),0)</f>
        <v>4099471734.9978786</v>
      </c>
      <c r="AM1088" s="246">
        <f>IFERROR(VLOOKUP(K1088,PROGRAMAS[],3,FALSE),0)</f>
        <v>2392571243.5584412</v>
      </c>
      <c r="AN1088" s="246">
        <f>IFERROR(VLOOKUP(L1088,PROGRAMAS[],3,FALSE),0)</f>
        <v>2406564599.0319901</v>
      </c>
      <c r="AO1088" s="246">
        <f>IFERROR(VLOOKUP(M1088,PROGRAMAS[],3,FALSE),0)</f>
        <v>0</v>
      </c>
      <c r="AP1088" s="246">
        <f>IFERROR(VLOOKUP(N1088,PROGRAMAS[],3,FALSE),0)</f>
        <v>0</v>
      </c>
      <c r="AQ1088" s="246">
        <f>IFERROR(VLOOKUP(O1088,PROGRAMAS[],3,FALSE),0)</f>
        <v>0</v>
      </c>
      <c r="AR1088" s="246">
        <f>IFERROR(VLOOKUP(P1088,PROGRAMAS[],3,FALSE),0)</f>
        <v>0</v>
      </c>
      <c r="AS1088" s="246">
        <f>IFERROR(VLOOKUP(Q1088,PROGRAMAS[],3,FALSE),0)</f>
        <v>0</v>
      </c>
      <c r="AT1088" s="246">
        <f>IFERROR(VLOOKUP(D1088,VOL_REC[],2,FALSE),0)</f>
        <v>0</v>
      </c>
      <c r="AU1088" s="246">
        <f>IFERROR(VLOOKUP(E1088,VOL_REC[],2,FALSE),0)</f>
        <v>0</v>
      </c>
      <c r="AV1088" s="246">
        <f>IFERROR(VLOOKUP(F1088,VOL_REC[],2,FALSE),0)</f>
        <v>11089674.200000001</v>
      </c>
      <c r="AW1088" s="246">
        <f>IFERROR(VLOOKUP(G1088,VOL_REC[],2,FALSE),0)</f>
        <v>90439.55</v>
      </c>
      <c r="AX1088" s="246">
        <f>IFERROR(VLOOKUP(H1088,VOL_REC[],2,FALSE),0)</f>
        <v>4325103.1812214684</v>
      </c>
      <c r="AY1088" s="246">
        <f>IFERROR(VLOOKUP(I1088,VOL_REC[],2,FALSE),0)</f>
        <v>3761786</v>
      </c>
      <c r="AZ1088" s="246">
        <f>IFERROR(VLOOKUP(J1088,VOL_REC[],2,FALSE),0)</f>
        <v>1812240</v>
      </c>
      <c r="BA1088" s="246">
        <f>IFERROR(VLOOKUP(K1088,VOL_REC[],2,FALSE),0)</f>
        <v>663244.80000000016</v>
      </c>
      <c r="BB1088" s="246">
        <f>IFERROR(VLOOKUP(L1088,VOL_REC[],2,FALSE),0)</f>
        <v>1072354.9981737854</v>
      </c>
      <c r="BC1088" s="246">
        <f>IFERROR(VLOOKUP(M1088,VOL_REC[],2,FALSE),0)</f>
        <v>0</v>
      </c>
      <c r="BD1088" s="246">
        <f>IFERROR(VLOOKUP(N1088,VOL_REC[],2,FALSE),0)</f>
        <v>0</v>
      </c>
      <c r="BE1088" s="246">
        <f>IFERROR(VLOOKUP(O1088,VOL_REC[],2,FALSE),0)</f>
        <v>0</v>
      </c>
      <c r="BF1088" s="246">
        <f>IFERROR(VLOOKUP(P1088,VOL_REC[],2,FALSE),0)</f>
        <v>0</v>
      </c>
      <c r="BG1088" s="246">
        <f>IFERROR(VLOOKUP(Q1088,VOL_REC[],2,FALSE),0)</f>
        <v>0</v>
      </c>
      <c r="BH1088" s="1710">
        <f t="shared" si="64"/>
        <v>26917436741.340954</v>
      </c>
      <c r="BI1088" s="1710">
        <f t="shared" si="65"/>
        <v>25354480386.987663</v>
      </c>
      <c r="BJ1088" s="1711">
        <f t="shared" si="66"/>
        <v>22814842.729395255</v>
      </c>
      <c r="BK1088" s="1711">
        <f t="shared" si="67"/>
        <v>1.0616441879501275</v>
      </c>
      <c r="BL1088">
        <f>BJ1088</f>
        <v>22814842.729395255</v>
      </c>
      <c r="BO1088">
        <f>BL1088</f>
        <v>22814842.729395255</v>
      </c>
    </row>
    <row r="1089" spans="3:67" x14ac:dyDescent="0.25">
      <c r="C1089" s="246" t="s">
        <v>2439</v>
      </c>
      <c r="D1089" s="246">
        <v>1</v>
      </c>
      <c r="E1089" s="246">
        <v>2</v>
      </c>
      <c r="F1089" s="246">
        <v>3</v>
      </c>
      <c r="G1089" s="246">
        <v>4</v>
      </c>
      <c r="H1089" s="246">
        <v>5</v>
      </c>
      <c r="I1089" s="246">
        <v>9</v>
      </c>
      <c r="J1089" s="246">
        <v>10</v>
      </c>
      <c r="K1089" s="246">
        <v>13</v>
      </c>
      <c r="L1089" s="246">
        <v>17</v>
      </c>
      <c r="M1089" s="246"/>
      <c r="N1089" s="246"/>
      <c r="O1089" s="246"/>
      <c r="P1089" s="246"/>
      <c r="Q1089" s="246"/>
      <c r="R1089" s="246">
        <f>IFERROR(VLOOKUP(D1089,PROGRAMAS[],2,FALSE),0)</f>
        <v>97037803.679377079</v>
      </c>
      <c r="S1089" s="246">
        <f>IFERROR(VLOOKUP(E1089,PROGRAMAS[],2,FALSE),0)</f>
        <v>640501509.6821388</v>
      </c>
      <c r="T1089" s="246">
        <f>IFERROR(VLOOKUP(F1089,PROGRAMAS[],2,FALSE),0)</f>
        <v>3062327798.1525245</v>
      </c>
      <c r="U1089" s="246">
        <f>IFERROR(VLOOKUP(G1089,PROGRAMAS[],2,FALSE),0)</f>
        <v>67697118.033011258</v>
      </c>
      <c r="V1089" s="246">
        <f>IFERROR(VLOOKUP(H1089,PROGRAMAS[],2,FALSE),0)</f>
        <v>1440941976.2528784</v>
      </c>
      <c r="W1089" s="246">
        <f>IFERROR(VLOOKUP(I1089,PROGRAMAS[],2,FALSE),0)</f>
        <v>6128579952.1618185</v>
      </c>
      <c r="X1089" s="246">
        <f>IFERROR(VLOOKUP(J1089,PROGRAMAS[],2,FALSE),0)</f>
        <v>4635315027.8751087</v>
      </c>
      <c r="Y1089" s="246">
        <f>IFERROR(VLOOKUP(K1089,PROGRAMAS[],2,FALSE),0)</f>
        <v>3776538594.4604583</v>
      </c>
      <c r="Z1089" s="246">
        <f>IFERROR(VLOOKUP(L1089,PROGRAMAS[],2,FALSE),0)</f>
        <v>1892779498.5211046</v>
      </c>
      <c r="AA1089" s="246">
        <f>IFERROR(VLOOKUP(M1089,PROGRAMAS[],2,FALSE),0)</f>
        <v>0</v>
      </c>
      <c r="AB1089" s="246">
        <f>IFERROR(VLOOKUP(N1089,PROGRAMAS[],2,FALSE),0)</f>
        <v>0</v>
      </c>
      <c r="AC1089" s="246">
        <f>IFERROR(VLOOKUP(O1089,PROGRAMAS[],2,FALSE),0)</f>
        <v>0</v>
      </c>
      <c r="AD1089" s="246">
        <f>IFERROR(VLOOKUP(P1089,PROGRAMAS[],2,FALSE),0)</f>
        <v>0</v>
      </c>
      <c r="AE1089" s="246">
        <f>IFERROR(VLOOKUP(Q1089,PROGRAMAS[],2,FALSE),0)</f>
        <v>0</v>
      </c>
      <c r="AF1089" s="246">
        <f>IFERROR(VLOOKUP(D1089,PROGRAMAS[],3,FALSE),0)</f>
        <v>841888629.31080008</v>
      </c>
      <c r="AG1089" s="246">
        <f>IFERROR(VLOOKUP(E1089,PROGRAMAS[],3,FALSE),0)</f>
        <v>3848980803.1642323</v>
      </c>
      <c r="AH1089" s="246">
        <f>IFERROR(VLOOKUP(F1089,PROGRAMAS[],3,FALSE),0)</f>
        <v>3394901471.387517</v>
      </c>
      <c r="AI1089" s="246">
        <f>IFERROR(VLOOKUP(G1089,PROGRAMAS[],3,FALSE),0)</f>
        <v>125317226.95549992</v>
      </c>
      <c r="AJ1089" s="246">
        <f>IFERROR(VLOOKUP(H1089,PROGRAMAS[],3,FALSE),0)</f>
        <v>1233505101.0616004</v>
      </c>
      <c r="AK1089" s="246">
        <f>IFERROR(VLOOKUP(I1089,PROGRAMAS[],3,FALSE),0)</f>
        <v>7011279577.519702</v>
      </c>
      <c r="AL1089" s="246">
        <f>IFERROR(VLOOKUP(J1089,PROGRAMAS[],3,FALSE),0)</f>
        <v>4099471734.9978786</v>
      </c>
      <c r="AM1089" s="246">
        <f>IFERROR(VLOOKUP(K1089,PROGRAMAS[],3,FALSE),0)</f>
        <v>2392571243.5584412</v>
      </c>
      <c r="AN1089" s="246">
        <f>IFERROR(VLOOKUP(L1089,PROGRAMAS[],3,FALSE),0)</f>
        <v>948595847.09039903</v>
      </c>
      <c r="AO1089" s="246">
        <f>IFERROR(VLOOKUP(M1089,PROGRAMAS[],3,FALSE),0)</f>
        <v>0</v>
      </c>
      <c r="AP1089" s="246">
        <f>IFERROR(VLOOKUP(N1089,PROGRAMAS[],3,FALSE),0)</f>
        <v>0</v>
      </c>
      <c r="AQ1089" s="246">
        <f>IFERROR(VLOOKUP(O1089,PROGRAMAS[],3,FALSE),0)</f>
        <v>0</v>
      </c>
      <c r="AR1089" s="246">
        <f>IFERROR(VLOOKUP(P1089,PROGRAMAS[],3,FALSE),0)</f>
        <v>0</v>
      </c>
      <c r="AS1089" s="246">
        <f>IFERROR(VLOOKUP(Q1089,PROGRAMAS[],3,FALSE),0)</f>
        <v>0</v>
      </c>
      <c r="AT1089" s="246">
        <f>IFERROR(VLOOKUP(D1089,VOL_REC[],2,FALSE),0)</f>
        <v>0</v>
      </c>
      <c r="AU1089" s="246">
        <f>IFERROR(VLOOKUP(E1089,VOL_REC[],2,FALSE),0)</f>
        <v>0</v>
      </c>
      <c r="AV1089" s="246">
        <f>IFERROR(VLOOKUP(F1089,VOL_REC[],2,FALSE),0)</f>
        <v>11089674.200000001</v>
      </c>
      <c r="AW1089" s="246">
        <f>IFERROR(VLOOKUP(G1089,VOL_REC[],2,FALSE),0)</f>
        <v>90439.55</v>
      </c>
      <c r="AX1089" s="246">
        <f>IFERROR(VLOOKUP(H1089,VOL_REC[],2,FALSE),0)</f>
        <v>4325103.1812214684</v>
      </c>
      <c r="AY1089" s="246">
        <f>IFERROR(VLOOKUP(I1089,VOL_REC[],2,FALSE),0)</f>
        <v>3761786</v>
      </c>
      <c r="AZ1089" s="246">
        <f>IFERROR(VLOOKUP(J1089,VOL_REC[],2,FALSE),0)</f>
        <v>1812240</v>
      </c>
      <c r="BA1089" s="246">
        <f>IFERROR(VLOOKUP(K1089,VOL_REC[],2,FALSE),0)</f>
        <v>663244.80000000016</v>
      </c>
      <c r="BB1089" s="246">
        <f>IFERROR(VLOOKUP(L1089,VOL_REC[],2,FALSE),0)</f>
        <v>740113.98115702497</v>
      </c>
      <c r="BC1089" s="246">
        <f>IFERROR(VLOOKUP(M1089,VOL_REC[],2,FALSE),0)</f>
        <v>0</v>
      </c>
      <c r="BD1089" s="246">
        <f>IFERROR(VLOOKUP(N1089,VOL_REC[],2,FALSE),0)</f>
        <v>0</v>
      </c>
      <c r="BE1089" s="246">
        <f>IFERROR(VLOOKUP(O1089,VOL_REC[],2,FALSE),0)</f>
        <v>0</v>
      </c>
      <c r="BF1089" s="246">
        <f>IFERROR(VLOOKUP(P1089,VOL_REC[],2,FALSE),0)</f>
        <v>0</v>
      </c>
      <c r="BG1089" s="246">
        <f>IFERROR(VLOOKUP(Q1089,VOL_REC[],2,FALSE),0)</f>
        <v>0</v>
      </c>
      <c r="BH1089" s="1710">
        <f t="shared" si="64"/>
        <v>21741719278.81842</v>
      </c>
      <c r="BI1089" s="1710">
        <f t="shared" si="65"/>
        <v>23896511635.046074</v>
      </c>
      <c r="BJ1089" s="1711">
        <f t="shared" si="66"/>
        <v>22482601.712378494</v>
      </c>
      <c r="BK1089" s="1711">
        <f t="shared" si="67"/>
        <v>0.90982816282408829</v>
      </c>
    </row>
    <row r="1090" spans="3:67" x14ac:dyDescent="0.25">
      <c r="C1090" s="246" t="s">
        <v>2440</v>
      </c>
      <c r="D1090" s="246">
        <v>1</v>
      </c>
      <c r="E1090" s="246">
        <v>2</v>
      </c>
      <c r="F1090" s="246">
        <v>3</v>
      </c>
      <c r="G1090" s="246">
        <v>4</v>
      </c>
      <c r="H1090" s="246">
        <v>5</v>
      </c>
      <c r="I1090" s="246">
        <v>9</v>
      </c>
      <c r="J1090" s="246">
        <v>10</v>
      </c>
      <c r="K1090" s="246">
        <v>14</v>
      </c>
      <c r="L1090" s="246">
        <v>15</v>
      </c>
      <c r="M1090" s="246"/>
      <c r="N1090" s="246"/>
      <c r="O1090" s="246"/>
      <c r="P1090" s="246"/>
      <c r="Q1090" s="246"/>
      <c r="R1090" s="246">
        <f>IFERROR(VLOOKUP(D1090,PROGRAMAS[],2,FALSE),0)</f>
        <v>97037803.679377079</v>
      </c>
      <c r="S1090" s="246">
        <f>IFERROR(VLOOKUP(E1090,PROGRAMAS[],2,FALSE),0)</f>
        <v>640501509.6821388</v>
      </c>
      <c r="T1090" s="246">
        <f>IFERROR(VLOOKUP(F1090,PROGRAMAS[],2,FALSE),0)</f>
        <v>3062327798.1525245</v>
      </c>
      <c r="U1090" s="246">
        <f>IFERROR(VLOOKUP(G1090,PROGRAMAS[],2,FALSE),0)</f>
        <v>67697118.033011258</v>
      </c>
      <c r="V1090" s="246">
        <f>IFERROR(VLOOKUP(H1090,PROGRAMAS[],2,FALSE),0)</f>
        <v>1440941976.2528784</v>
      </c>
      <c r="W1090" s="246">
        <f>IFERROR(VLOOKUP(I1090,PROGRAMAS[],2,FALSE),0)</f>
        <v>6128579952.1618185</v>
      </c>
      <c r="X1090" s="246">
        <f>IFERROR(VLOOKUP(J1090,PROGRAMAS[],2,FALSE),0)</f>
        <v>4635315027.8751087</v>
      </c>
      <c r="Y1090" s="246">
        <f>IFERROR(VLOOKUP(K1090,PROGRAMAS[],2,FALSE),0)</f>
        <v>54223862.645839565</v>
      </c>
      <c r="Z1090" s="246">
        <f>IFERROR(VLOOKUP(L1090,PROGRAMAS[],2,FALSE),0)</f>
        <v>122159672.96346797</v>
      </c>
      <c r="AA1090" s="246">
        <f>IFERROR(VLOOKUP(M1090,PROGRAMAS[],2,FALSE),0)</f>
        <v>0</v>
      </c>
      <c r="AB1090" s="246">
        <f>IFERROR(VLOOKUP(N1090,PROGRAMAS[],2,FALSE),0)</f>
        <v>0</v>
      </c>
      <c r="AC1090" s="246">
        <f>IFERROR(VLOOKUP(O1090,PROGRAMAS[],2,FALSE),0)</f>
        <v>0</v>
      </c>
      <c r="AD1090" s="246">
        <f>IFERROR(VLOOKUP(P1090,PROGRAMAS[],2,FALSE),0)</f>
        <v>0</v>
      </c>
      <c r="AE1090" s="246">
        <f>IFERROR(VLOOKUP(Q1090,PROGRAMAS[],2,FALSE),0)</f>
        <v>0</v>
      </c>
      <c r="AF1090" s="246">
        <f>IFERROR(VLOOKUP(D1090,PROGRAMAS[],3,FALSE),0)</f>
        <v>841888629.31080008</v>
      </c>
      <c r="AG1090" s="246">
        <f>IFERROR(VLOOKUP(E1090,PROGRAMAS[],3,FALSE),0)</f>
        <v>3848980803.1642323</v>
      </c>
      <c r="AH1090" s="246">
        <f>IFERROR(VLOOKUP(F1090,PROGRAMAS[],3,FALSE),0)</f>
        <v>3394901471.387517</v>
      </c>
      <c r="AI1090" s="246">
        <f>IFERROR(VLOOKUP(G1090,PROGRAMAS[],3,FALSE),0)</f>
        <v>125317226.95549992</v>
      </c>
      <c r="AJ1090" s="246">
        <f>IFERROR(VLOOKUP(H1090,PROGRAMAS[],3,FALSE),0)</f>
        <v>1233505101.0616004</v>
      </c>
      <c r="AK1090" s="246">
        <f>IFERROR(VLOOKUP(I1090,PROGRAMAS[],3,FALSE),0)</f>
        <v>7011279577.519702</v>
      </c>
      <c r="AL1090" s="246">
        <f>IFERROR(VLOOKUP(J1090,PROGRAMAS[],3,FALSE),0)</f>
        <v>4099471734.9978786</v>
      </c>
      <c r="AM1090" s="246">
        <f>IFERROR(VLOOKUP(K1090,PROGRAMAS[],3,FALSE),0)</f>
        <v>31865326.38096505</v>
      </c>
      <c r="AN1090" s="246">
        <f>IFERROR(VLOOKUP(L1090,PROGRAMAS[],3,FALSE),0)</f>
        <v>118617452.52510804</v>
      </c>
      <c r="AO1090" s="246">
        <f>IFERROR(VLOOKUP(M1090,PROGRAMAS[],3,FALSE),0)</f>
        <v>0</v>
      </c>
      <c r="AP1090" s="246">
        <f>IFERROR(VLOOKUP(N1090,PROGRAMAS[],3,FALSE),0)</f>
        <v>0</v>
      </c>
      <c r="AQ1090" s="246">
        <f>IFERROR(VLOOKUP(O1090,PROGRAMAS[],3,FALSE),0)</f>
        <v>0</v>
      </c>
      <c r="AR1090" s="246">
        <f>IFERROR(VLOOKUP(P1090,PROGRAMAS[],3,FALSE),0)</f>
        <v>0</v>
      </c>
      <c r="AS1090" s="246">
        <f>IFERROR(VLOOKUP(Q1090,PROGRAMAS[],3,FALSE),0)</f>
        <v>0</v>
      </c>
      <c r="AT1090" s="246">
        <f>IFERROR(VLOOKUP(D1090,VOL_REC[],2,FALSE),0)</f>
        <v>0</v>
      </c>
      <c r="AU1090" s="246">
        <f>IFERROR(VLOOKUP(E1090,VOL_REC[],2,FALSE),0)</f>
        <v>0</v>
      </c>
      <c r="AV1090" s="246">
        <f>IFERROR(VLOOKUP(F1090,VOL_REC[],2,FALSE),0)</f>
        <v>11089674.200000001</v>
      </c>
      <c r="AW1090" s="246">
        <f>IFERROR(VLOOKUP(G1090,VOL_REC[],2,FALSE),0)</f>
        <v>90439.55</v>
      </c>
      <c r="AX1090" s="246">
        <f>IFERROR(VLOOKUP(H1090,VOL_REC[],2,FALSE),0)</f>
        <v>4325103.1812214684</v>
      </c>
      <c r="AY1090" s="246">
        <f>IFERROR(VLOOKUP(I1090,VOL_REC[],2,FALSE),0)</f>
        <v>3761786</v>
      </c>
      <c r="AZ1090" s="246">
        <f>IFERROR(VLOOKUP(J1090,VOL_REC[],2,FALSE),0)</f>
        <v>1812240</v>
      </c>
      <c r="BA1090" s="246">
        <f>IFERROR(VLOOKUP(K1090,VOL_REC[],2,FALSE),0)</f>
        <v>17074.045034105649</v>
      </c>
      <c r="BB1090" s="246">
        <f>IFERROR(VLOOKUP(L1090,VOL_REC[],2,FALSE),0)</f>
        <v>105072</v>
      </c>
      <c r="BC1090" s="246">
        <f>IFERROR(VLOOKUP(M1090,VOL_REC[],2,FALSE),0)</f>
        <v>0</v>
      </c>
      <c r="BD1090" s="246">
        <f>IFERROR(VLOOKUP(N1090,VOL_REC[],2,FALSE),0)</f>
        <v>0</v>
      </c>
      <c r="BE1090" s="246">
        <f>IFERROR(VLOOKUP(O1090,VOL_REC[],2,FALSE),0)</f>
        <v>0</v>
      </c>
      <c r="BF1090" s="246">
        <f>IFERROR(VLOOKUP(P1090,VOL_REC[],2,FALSE),0)</f>
        <v>0</v>
      </c>
      <c r="BG1090" s="246">
        <f>IFERROR(VLOOKUP(Q1090,VOL_REC[],2,FALSE),0)</f>
        <v>0</v>
      </c>
      <c r="BH1090" s="1710">
        <f t="shared" ref="BH1090:BH1153" si="68">SUM(R1090:AE1090)</f>
        <v>16248784721.446167</v>
      </c>
      <c r="BI1090" s="1710">
        <f t="shared" ref="BI1090:BI1153" si="69">SUM(AF1090:AS1090)</f>
        <v>20705827323.303307</v>
      </c>
      <c r="BJ1090" s="1711">
        <f t="shared" ref="BJ1090:BJ1153" si="70">SUM(AT1090:BG1090)</f>
        <v>21201388.976255577</v>
      </c>
      <c r="BK1090" s="1711">
        <f t="shared" ref="BK1090:BK1153" si="71">IFERROR(BH1090/BI1090,0)</f>
        <v>0.78474452953439944</v>
      </c>
    </row>
    <row r="1091" spans="3:67" x14ac:dyDescent="0.25">
      <c r="C1091" s="246" t="s">
        <v>2441</v>
      </c>
      <c r="D1091" s="246">
        <v>1</v>
      </c>
      <c r="E1091" s="246">
        <v>2</v>
      </c>
      <c r="F1091" s="246">
        <v>3</v>
      </c>
      <c r="G1091" s="246">
        <v>4</v>
      </c>
      <c r="H1091" s="246">
        <v>5</v>
      </c>
      <c r="I1091" s="246">
        <v>9</v>
      </c>
      <c r="J1091" s="246">
        <v>10</v>
      </c>
      <c r="K1091" s="246">
        <v>14</v>
      </c>
      <c r="L1091" s="246">
        <v>16</v>
      </c>
      <c r="M1091" s="246"/>
      <c r="N1091" s="246"/>
      <c r="O1091" s="246"/>
      <c r="P1091" s="246"/>
      <c r="Q1091" s="246"/>
      <c r="R1091" s="246">
        <f>IFERROR(VLOOKUP(D1091,PROGRAMAS[],2,FALSE),0)</f>
        <v>97037803.679377079</v>
      </c>
      <c r="S1091" s="246">
        <f>IFERROR(VLOOKUP(E1091,PROGRAMAS[],2,FALSE),0)</f>
        <v>640501509.6821388</v>
      </c>
      <c r="T1091" s="246">
        <f>IFERROR(VLOOKUP(F1091,PROGRAMAS[],2,FALSE),0)</f>
        <v>3062327798.1525245</v>
      </c>
      <c r="U1091" s="246">
        <f>IFERROR(VLOOKUP(G1091,PROGRAMAS[],2,FALSE),0)</f>
        <v>67697118.033011258</v>
      </c>
      <c r="V1091" s="246">
        <f>IFERROR(VLOOKUP(H1091,PROGRAMAS[],2,FALSE),0)</f>
        <v>1440941976.2528784</v>
      </c>
      <c r="W1091" s="246">
        <f>IFERROR(VLOOKUP(I1091,PROGRAMAS[],2,FALSE),0)</f>
        <v>6128579952.1618185</v>
      </c>
      <c r="X1091" s="246">
        <f>IFERROR(VLOOKUP(J1091,PROGRAMAS[],2,FALSE),0)</f>
        <v>4635315027.8751087</v>
      </c>
      <c r="Y1091" s="246">
        <f>IFERROR(VLOOKUP(K1091,PROGRAMAS[],2,FALSE),0)</f>
        <v>54223862.645839565</v>
      </c>
      <c r="Z1091" s="246">
        <f>IFERROR(VLOOKUP(L1091,PROGRAMAS[],2,FALSE),0)</f>
        <v>7068496961.0436354</v>
      </c>
      <c r="AA1091" s="246">
        <f>IFERROR(VLOOKUP(M1091,PROGRAMAS[],2,FALSE),0)</f>
        <v>0</v>
      </c>
      <c r="AB1091" s="246">
        <f>IFERROR(VLOOKUP(N1091,PROGRAMAS[],2,FALSE),0)</f>
        <v>0</v>
      </c>
      <c r="AC1091" s="246">
        <f>IFERROR(VLOOKUP(O1091,PROGRAMAS[],2,FALSE),0)</f>
        <v>0</v>
      </c>
      <c r="AD1091" s="246">
        <f>IFERROR(VLOOKUP(P1091,PROGRAMAS[],2,FALSE),0)</f>
        <v>0</v>
      </c>
      <c r="AE1091" s="246">
        <f>IFERROR(VLOOKUP(Q1091,PROGRAMAS[],2,FALSE),0)</f>
        <v>0</v>
      </c>
      <c r="AF1091" s="246">
        <f>IFERROR(VLOOKUP(D1091,PROGRAMAS[],3,FALSE),0)</f>
        <v>841888629.31080008</v>
      </c>
      <c r="AG1091" s="246">
        <f>IFERROR(VLOOKUP(E1091,PROGRAMAS[],3,FALSE),0)</f>
        <v>3848980803.1642323</v>
      </c>
      <c r="AH1091" s="246">
        <f>IFERROR(VLOOKUP(F1091,PROGRAMAS[],3,FALSE),0)</f>
        <v>3394901471.387517</v>
      </c>
      <c r="AI1091" s="246">
        <f>IFERROR(VLOOKUP(G1091,PROGRAMAS[],3,FALSE),0)</f>
        <v>125317226.95549992</v>
      </c>
      <c r="AJ1091" s="246">
        <f>IFERROR(VLOOKUP(H1091,PROGRAMAS[],3,FALSE),0)</f>
        <v>1233505101.0616004</v>
      </c>
      <c r="AK1091" s="246">
        <f>IFERROR(VLOOKUP(I1091,PROGRAMAS[],3,FALSE),0)</f>
        <v>7011279577.519702</v>
      </c>
      <c r="AL1091" s="246">
        <f>IFERROR(VLOOKUP(J1091,PROGRAMAS[],3,FALSE),0)</f>
        <v>4099471734.9978786</v>
      </c>
      <c r="AM1091" s="246">
        <f>IFERROR(VLOOKUP(K1091,PROGRAMAS[],3,FALSE),0)</f>
        <v>31865326.38096505</v>
      </c>
      <c r="AN1091" s="246">
        <f>IFERROR(VLOOKUP(L1091,PROGRAMAS[],3,FALSE),0)</f>
        <v>2406564599.0319901</v>
      </c>
      <c r="AO1091" s="246">
        <f>IFERROR(VLOOKUP(M1091,PROGRAMAS[],3,FALSE),0)</f>
        <v>0</v>
      </c>
      <c r="AP1091" s="246">
        <f>IFERROR(VLOOKUP(N1091,PROGRAMAS[],3,FALSE),0)</f>
        <v>0</v>
      </c>
      <c r="AQ1091" s="246">
        <f>IFERROR(VLOOKUP(O1091,PROGRAMAS[],3,FALSE),0)</f>
        <v>0</v>
      </c>
      <c r="AR1091" s="246">
        <f>IFERROR(VLOOKUP(P1091,PROGRAMAS[],3,FALSE),0)</f>
        <v>0</v>
      </c>
      <c r="AS1091" s="246">
        <f>IFERROR(VLOOKUP(Q1091,PROGRAMAS[],3,FALSE),0)</f>
        <v>0</v>
      </c>
      <c r="AT1091" s="246">
        <f>IFERROR(VLOOKUP(D1091,VOL_REC[],2,FALSE),0)</f>
        <v>0</v>
      </c>
      <c r="AU1091" s="246">
        <f>IFERROR(VLOOKUP(E1091,VOL_REC[],2,FALSE),0)</f>
        <v>0</v>
      </c>
      <c r="AV1091" s="246">
        <f>IFERROR(VLOOKUP(F1091,VOL_REC[],2,FALSE),0)</f>
        <v>11089674.200000001</v>
      </c>
      <c r="AW1091" s="246">
        <f>IFERROR(VLOOKUP(G1091,VOL_REC[],2,FALSE),0)</f>
        <v>90439.55</v>
      </c>
      <c r="AX1091" s="246">
        <f>IFERROR(VLOOKUP(H1091,VOL_REC[],2,FALSE),0)</f>
        <v>4325103.1812214684</v>
      </c>
      <c r="AY1091" s="246">
        <f>IFERROR(VLOOKUP(I1091,VOL_REC[],2,FALSE),0)</f>
        <v>3761786</v>
      </c>
      <c r="AZ1091" s="246">
        <f>IFERROR(VLOOKUP(J1091,VOL_REC[],2,FALSE),0)</f>
        <v>1812240</v>
      </c>
      <c r="BA1091" s="246">
        <f>IFERROR(VLOOKUP(K1091,VOL_REC[],2,FALSE),0)</f>
        <v>17074.045034105649</v>
      </c>
      <c r="BB1091" s="246">
        <f>IFERROR(VLOOKUP(L1091,VOL_REC[],2,FALSE),0)</f>
        <v>1072354.9981737854</v>
      </c>
      <c r="BC1091" s="246">
        <f>IFERROR(VLOOKUP(M1091,VOL_REC[],2,FALSE),0)</f>
        <v>0</v>
      </c>
      <c r="BD1091" s="246">
        <f>IFERROR(VLOOKUP(N1091,VOL_REC[],2,FALSE),0)</f>
        <v>0</v>
      </c>
      <c r="BE1091" s="246">
        <f>IFERROR(VLOOKUP(O1091,VOL_REC[],2,FALSE),0)</f>
        <v>0</v>
      </c>
      <c r="BF1091" s="246">
        <f>IFERROR(VLOOKUP(P1091,VOL_REC[],2,FALSE),0)</f>
        <v>0</v>
      </c>
      <c r="BG1091" s="246">
        <f>IFERROR(VLOOKUP(Q1091,VOL_REC[],2,FALSE),0)</f>
        <v>0</v>
      </c>
      <c r="BH1091" s="1710">
        <f t="shared" si="68"/>
        <v>23195122009.526333</v>
      </c>
      <c r="BI1091" s="1710">
        <f t="shared" si="69"/>
        <v>22993774469.810188</v>
      </c>
      <c r="BJ1091" s="1711">
        <f t="shared" si="70"/>
        <v>22168671.974429362</v>
      </c>
      <c r="BK1091" s="1711">
        <f t="shared" si="71"/>
        <v>1.0087566110548969</v>
      </c>
      <c r="BL1091">
        <f>BJ1091</f>
        <v>22168671.974429362</v>
      </c>
      <c r="BO1091">
        <f>BL1091</f>
        <v>22168671.974429362</v>
      </c>
    </row>
    <row r="1092" spans="3:67" x14ac:dyDescent="0.25">
      <c r="C1092" s="246" t="s">
        <v>2442</v>
      </c>
      <c r="D1092" s="246">
        <v>1</v>
      </c>
      <c r="E1092" s="246">
        <v>2</v>
      </c>
      <c r="F1092" s="246">
        <v>3</v>
      </c>
      <c r="G1092" s="246">
        <v>4</v>
      </c>
      <c r="H1092" s="246">
        <v>5</v>
      </c>
      <c r="I1092" s="246">
        <v>9</v>
      </c>
      <c r="J1092" s="246">
        <v>10</v>
      </c>
      <c r="K1092" s="246">
        <v>14</v>
      </c>
      <c r="L1092" s="246">
        <v>17</v>
      </c>
      <c r="M1092" s="246"/>
      <c r="N1092" s="246"/>
      <c r="O1092" s="246"/>
      <c r="P1092" s="246"/>
      <c r="Q1092" s="246"/>
      <c r="R1092" s="246">
        <f>IFERROR(VLOOKUP(D1092,PROGRAMAS[],2,FALSE),0)</f>
        <v>97037803.679377079</v>
      </c>
      <c r="S1092" s="246">
        <f>IFERROR(VLOOKUP(E1092,PROGRAMAS[],2,FALSE),0)</f>
        <v>640501509.6821388</v>
      </c>
      <c r="T1092" s="246">
        <f>IFERROR(VLOOKUP(F1092,PROGRAMAS[],2,FALSE),0)</f>
        <v>3062327798.1525245</v>
      </c>
      <c r="U1092" s="246">
        <f>IFERROR(VLOOKUP(G1092,PROGRAMAS[],2,FALSE),0)</f>
        <v>67697118.033011258</v>
      </c>
      <c r="V1092" s="246">
        <f>IFERROR(VLOOKUP(H1092,PROGRAMAS[],2,FALSE),0)</f>
        <v>1440941976.2528784</v>
      </c>
      <c r="W1092" s="246">
        <f>IFERROR(VLOOKUP(I1092,PROGRAMAS[],2,FALSE),0)</f>
        <v>6128579952.1618185</v>
      </c>
      <c r="X1092" s="246">
        <f>IFERROR(VLOOKUP(J1092,PROGRAMAS[],2,FALSE),0)</f>
        <v>4635315027.8751087</v>
      </c>
      <c r="Y1092" s="246">
        <f>IFERROR(VLOOKUP(K1092,PROGRAMAS[],2,FALSE),0)</f>
        <v>54223862.645839565</v>
      </c>
      <c r="Z1092" s="246">
        <f>IFERROR(VLOOKUP(L1092,PROGRAMAS[],2,FALSE),0)</f>
        <v>1892779498.5211046</v>
      </c>
      <c r="AA1092" s="246">
        <f>IFERROR(VLOOKUP(M1092,PROGRAMAS[],2,FALSE),0)</f>
        <v>0</v>
      </c>
      <c r="AB1092" s="246">
        <f>IFERROR(VLOOKUP(N1092,PROGRAMAS[],2,FALSE),0)</f>
        <v>0</v>
      </c>
      <c r="AC1092" s="246">
        <f>IFERROR(VLOOKUP(O1092,PROGRAMAS[],2,FALSE),0)</f>
        <v>0</v>
      </c>
      <c r="AD1092" s="246">
        <f>IFERROR(VLOOKUP(P1092,PROGRAMAS[],2,FALSE),0)</f>
        <v>0</v>
      </c>
      <c r="AE1092" s="246">
        <f>IFERROR(VLOOKUP(Q1092,PROGRAMAS[],2,FALSE),0)</f>
        <v>0</v>
      </c>
      <c r="AF1092" s="246">
        <f>IFERROR(VLOOKUP(D1092,PROGRAMAS[],3,FALSE),0)</f>
        <v>841888629.31080008</v>
      </c>
      <c r="AG1092" s="246">
        <f>IFERROR(VLOOKUP(E1092,PROGRAMAS[],3,FALSE),0)</f>
        <v>3848980803.1642323</v>
      </c>
      <c r="AH1092" s="246">
        <f>IFERROR(VLOOKUP(F1092,PROGRAMAS[],3,FALSE),0)</f>
        <v>3394901471.387517</v>
      </c>
      <c r="AI1092" s="246">
        <f>IFERROR(VLOOKUP(G1092,PROGRAMAS[],3,FALSE),0)</f>
        <v>125317226.95549992</v>
      </c>
      <c r="AJ1092" s="246">
        <f>IFERROR(VLOOKUP(H1092,PROGRAMAS[],3,FALSE),0)</f>
        <v>1233505101.0616004</v>
      </c>
      <c r="AK1092" s="246">
        <f>IFERROR(VLOOKUP(I1092,PROGRAMAS[],3,FALSE),0)</f>
        <v>7011279577.519702</v>
      </c>
      <c r="AL1092" s="246">
        <f>IFERROR(VLOOKUP(J1092,PROGRAMAS[],3,FALSE),0)</f>
        <v>4099471734.9978786</v>
      </c>
      <c r="AM1092" s="246">
        <f>IFERROR(VLOOKUP(K1092,PROGRAMAS[],3,FALSE),0)</f>
        <v>31865326.38096505</v>
      </c>
      <c r="AN1092" s="246">
        <f>IFERROR(VLOOKUP(L1092,PROGRAMAS[],3,FALSE),0)</f>
        <v>948595847.09039903</v>
      </c>
      <c r="AO1092" s="246">
        <f>IFERROR(VLOOKUP(M1092,PROGRAMAS[],3,FALSE),0)</f>
        <v>0</v>
      </c>
      <c r="AP1092" s="246">
        <f>IFERROR(VLOOKUP(N1092,PROGRAMAS[],3,FALSE),0)</f>
        <v>0</v>
      </c>
      <c r="AQ1092" s="246">
        <f>IFERROR(VLOOKUP(O1092,PROGRAMAS[],3,FALSE),0)</f>
        <v>0</v>
      </c>
      <c r="AR1092" s="246">
        <f>IFERROR(VLOOKUP(P1092,PROGRAMAS[],3,FALSE),0)</f>
        <v>0</v>
      </c>
      <c r="AS1092" s="246">
        <f>IFERROR(VLOOKUP(Q1092,PROGRAMAS[],3,FALSE),0)</f>
        <v>0</v>
      </c>
      <c r="AT1092" s="246">
        <f>IFERROR(VLOOKUP(D1092,VOL_REC[],2,FALSE),0)</f>
        <v>0</v>
      </c>
      <c r="AU1092" s="246">
        <f>IFERROR(VLOOKUP(E1092,VOL_REC[],2,FALSE),0)</f>
        <v>0</v>
      </c>
      <c r="AV1092" s="246">
        <f>IFERROR(VLOOKUP(F1092,VOL_REC[],2,FALSE),0)</f>
        <v>11089674.200000001</v>
      </c>
      <c r="AW1092" s="246">
        <f>IFERROR(VLOOKUP(G1092,VOL_REC[],2,FALSE),0)</f>
        <v>90439.55</v>
      </c>
      <c r="AX1092" s="246">
        <f>IFERROR(VLOOKUP(H1092,VOL_REC[],2,FALSE),0)</f>
        <v>4325103.1812214684</v>
      </c>
      <c r="AY1092" s="246">
        <f>IFERROR(VLOOKUP(I1092,VOL_REC[],2,FALSE),0)</f>
        <v>3761786</v>
      </c>
      <c r="AZ1092" s="246">
        <f>IFERROR(VLOOKUP(J1092,VOL_REC[],2,FALSE),0)</f>
        <v>1812240</v>
      </c>
      <c r="BA1092" s="246">
        <f>IFERROR(VLOOKUP(K1092,VOL_REC[],2,FALSE),0)</f>
        <v>17074.045034105649</v>
      </c>
      <c r="BB1092" s="246">
        <f>IFERROR(VLOOKUP(L1092,VOL_REC[],2,FALSE),0)</f>
        <v>740113.98115702497</v>
      </c>
      <c r="BC1092" s="246">
        <f>IFERROR(VLOOKUP(M1092,VOL_REC[],2,FALSE),0)</f>
        <v>0</v>
      </c>
      <c r="BD1092" s="246">
        <f>IFERROR(VLOOKUP(N1092,VOL_REC[],2,FALSE),0)</f>
        <v>0</v>
      </c>
      <c r="BE1092" s="246">
        <f>IFERROR(VLOOKUP(O1092,VOL_REC[],2,FALSE),0)</f>
        <v>0</v>
      </c>
      <c r="BF1092" s="246">
        <f>IFERROR(VLOOKUP(P1092,VOL_REC[],2,FALSE),0)</f>
        <v>0</v>
      </c>
      <c r="BG1092" s="246">
        <f>IFERROR(VLOOKUP(Q1092,VOL_REC[],2,FALSE),0)</f>
        <v>0</v>
      </c>
      <c r="BH1092" s="1710">
        <f t="shared" si="68"/>
        <v>18019404547.003803</v>
      </c>
      <c r="BI1092" s="1710">
        <f t="shared" si="69"/>
        <v>21535805717.868599</v>
      </c>
      <c r="BJ1092" s="1711">
        <f t="shared" si="70"/>
        <v>21836430.957412601</v>
      </c>
      <c r="BK1092" s="1711">
        <f t="shared" si="71"/>
        <v>0.83671838347115191</v>
      </c>
    </row>
    <row r="1093" spans="3:67" x14ac:dyDescent="0.25">
      <c r="C1093" s="246" t="s">
        <v>2443</v>
      </c>
      <c r="D1093" s="246">
        <v>1</v>
      </c>
      <c r="E1093" s="246">
        <v>2</v>
      </c>
      <c r="F1093" s="246">
        <v>3</v>
      </c>
      <c r="G1093" s="246">
        <v>4</v>
      </c>
      <c r="H1093" s="246">
        <v>5</v>
      </c>
      <c r="I1093" s="246">
        <v>9</v>
      </c>
      <c r="J1093" s="246">
        <v>10</v>
      </c>
      <c r="K1093" s="246">
        <v>15</v>
      </c>
      <c r="L1093" s="246">
        <v>16</v>
      </c>
      <c r="M1093" s="246"/>
      <c r="N1093" s="246"/>
      <c r="O1093" s="246"/>
      <c r="P1093" s="246"/>
      <c r="Q1093" s="246"/>
      <c r="R1093" s="246">
        <f>IFERROR(VLOOKUP(D1093,PROGRAMAS[],2,FALSE),0)</f>
        <v>97037803.679377079</v>
      </c>
      <c r="S1093" s="246">
        <f>IFERROR(VLOOKUP(E1093,PROGRAMAS[],2,FALSE),0)</f>
        <v>640501509.6821388</v>
      </c>
      <c r="T1093" s="246">
        <f>IFERROR(VLOOKUP(F1093,PROGRAMAS[],2,FALSE),0)</f>
        <v>3062327798.1525245</v>
      </c>
      <c r="U1093" s="246">
        <f>IFERROR(VLOOKUP(G1093,PROGRAMAS[],2,FALSE),0)</f>
        <v>67697118.033011258</v>
      </c>
      <c r="V1093" s="246">
        <f>IFERROR(VLOOKUP(H1093,PROGRAMAS[],2,FALSE),0)</f>
        <v>1440941976.2528784</v>
      </c>
      <c r="W1093" s="246">
        <f>IFERROR(VLOOKUP(I1093,PROGRAMAS[],2,FALSE),0)</f>
        <v>6128579952.1618185</v>
      </c>
      <c r="X1093" s="246">
        <f>IFERROR(VLOOKUP(J1093,PROGRAMAS[],2,FALSE),0)</f>
        <v>4635315027.8751087</v>
      </c>
      <c r="Y1093" s="246">
        <f>IFERROR(VLOOKUP(K1093,PROGRAMAS[],2,FALSE),0)</f>
        <v>122159672.96346797</v>
      </c>
      <c r="Z1093" s="246">
        <f>IFERROR(VLOOKUP(L1093,PROGRAMAS[],2,FALSE),0)</f>
        <v>7068496961.0436354</v>
      </c>
      <c r="AA1093" s="246">
        <f>IFERROR(VLOOKUP(M1093,PROGRAMAS[],2,FALSE),0)</f>
        <v>0</v>
      </c>
      <c r="AB1093" s="246">
        <f>IFERROR(VLOOKUP(N1093,PROGRAMAS[],2,FALSE),0)</f>
        <v>0</v>
      </c>
      <c r="AC1093" s="246">
        <f>IFERROR(VLOOKUP(O1093,PROGRAMAS[],2,FALSE),0)</f>
        <v>0</v>
      </c>
      <c r="AD1093" s="246">
        <f>IFERROR(VLOOKUP(P1093,PROGRAMAS[],2,FALSE),0)</f>
        <v>0</v>
      </c>
      <c r="AE1093" s="246">
        <f>IFERROR(VLOOKUP(Q1093,PROGRAMAS[],2,FALSE),0)</f>
        <v>0</v>
      </c>
      <c r="AF1093" s="246">
        <f>IFERROR(VLOOKUP(D1093,PROGRAMAS[],3,FALSE),0)</f>
        <v>841888629.31080008</v>
      </c>
      <c r="AG1093" s="246">
        <f>IFERROR(VLOOKUP(E1093,PROGRAMAS[],3,FALSE),0)</f>
        <v>3848980803.1642323</v>
      </c>
      <c r="AH1093" s="246">
        <f>IFERROR(VLOOKUP(F1093,PROGRAMAS[],3,FALSE),0)</f>
        <v>3394901471.387517</v>
      </c>
      <c r="AI1093" s="246">
        <f>IFERROR(VLOOKUP(G1093,PROGRAMAS[],3,FALSE),0)</f>
        <v>125317226.95549992</v>
      </c>
      <c r="AJ1093" s="246">
        <f>IFERROR(VLOOKUP(H1093,PROGRAMAS[],3,FALSE),0)</f>
        <v>1233505101.0616004</v>
      </c>
      <c r="AK1093" s="246">
        <f>IFERROR(VLOOKUP(I1093,PROGRAMAS[],3,FALSE),0)</f>
        <v>7011279577.519702</v>
      </c>
      <c r="AL1093" s="246">
        <f>IFERROR(VLOOKUP(J1093,PROGRAMAS[],3,FALSE),0)</f>
        <v>4099471734.9978786</v>
      </c>
      <c r="AM1093" s="246">
        <f>IFERROR(VLOOKUP(K1093,PROGRAMAS[],3,FALSE),0)</f>
        <v>118617452.52510804</v>
      </c>
      <c r="AN1093" s="246">
        <f>IFERROR(VLOOKUP(L1093,PROGRAMAS[],3,FALSE),0)</f>
        <v>2406564599.0319901</v>
      </c>
      <c r="AO1093" s="246">
        <f>IFERROR(VLOOKUP(M1093,PROGRAMAS[],3,FALSE),0)</f>
        <v>0</v>
      </c>
      <c r="AP1093" s="246">
        <f>IFERROR(VLOOKUP(N1093,PROGRAMAS[],3,FALSE),0)</f>
        <v>0</v>
      </c>
      <c r="AQ1093" s="246">
        <f>IFERROR(VLOOKUP(O1093,PROGRAMAS[],3,FALSE),0)</f>
        <v>0</v>
      </c>
      <c r="AR1093" s="246">
        <f>IFERROR(VLOOKUP(P1093,PROGRAMAS[],3,FALSE),0)</f>
        <v>0</v>
      </c>
      <c r="AS1093" s="246">
        <f>IFERROR(VLOOKUP(Q1093,PROGRAMAS[],3,FALSE),0)</f>
        <v>0</v>
      </c>
      <c r="AT1093" s="246">
        <f>IFERROR(VLOOKUP(D1093,VOL_REC[],2,FALSE),0)</f>
        <v>0</v>
      </c>
      <c r="AU1093" s="246">
        <f>IFERROR(VLOOKUP(E1093,VOL_REC[],2,FALSE),0)</f>
        <v>0</v>
      </c>
      <c r="AV1093" s="246">
        <f>IFERROR(VLOOKUP(F1093,VOL_REC[],2,FALSE),0)</f>
        <v>11089674.200000001</v>
      </c>
      <c r="AW1093" s="246">
        <f>IFERROR(VLOOKUP(G1093,VOL_REC[],2,FALSE),0)</f>
        <v>90439.55</v>
      </c>
      <c r="AX1093" s="246">
        <f>IFERROR(VLOOKUP(H1093,VOL_REC[],2,FALSE),0)</f>
        <v>4325103.1812214684</v>
      </c>
      <c r="AY1093" s="246">
        <f>IFERROR(VLOOKUP(I1093,VOL_REC[],2,FALSE),0)</f>
        <v>3761786</v>
      </c>
      <c r="AZ1093" s="246">
        <f>IFERROR(VLOOKUP(J1093,VOL_REC[],2,FALSE),0)</f>
        <v>1812240</v>
      </c>
      <c r="BA1093" s="246">
        <f>IFERROR(VLOOKUP(K1093,VOL_REC[],2,FALSE),0)</f>
        <v>105072</v>
      </c>
      <c r="BB1093" s="246">
        <f>IFERROR(VLOOKUP(L1093,VOL_REC[],2,FALSE),0)</f>
        <v>1072354.9981737854</v>
      </c>
      <c r="BC1093" s="246">
        <f>IFERROR(VLOOKUP(M1093,VOL_REC[],2,FALSE),0)</f>
        <v>0</v>
      </c>
      <c r="BD1093" s="246">
        <f>IFERROR(VLOOKUP(N1093,VOL_REC[],2,FALSE),0)</f>
        <v>0</v>
      </c>
      <c r="BE1093" s="246">
        <f>IFERROR(VLOOKUP(O1093,VOL_REC[],2,FALSE),0)</f>
        <v>0</v>
      </c>
      <c r="BF1093" s="246">
        <f>IFERROR(VLOOKUP(P1093,VOL_REC[],2,FALSE),0)</f>
        <v>0</v>
      </c>
      <c r="BG1093" s="246">
        <f>IFERROR(VLOOKUP(Q1093,VOL_REC[],2,FALSE),0)</f>
        <v>0</v>
      </c>
      <c r="BH1093" s="1710">
        <f t="shared" si="68"/>
        <v>23263057819.843964</v>
      </c>
      <c r="BI1093" s="1710">
        <f t="shared" si="69"/>
        <v>23080526595.95433</v>
      </c>
      <c r="BJ1093" s="1711">
        <f t="shared" si="70"/>
        <v>22256669.929395255</v>
      </c>
      <c r="BK1093" s="1711">
        <f t="shared" si="71"/>
        <v>1.007908451444155</v>
      </c>
      <c r="BL1093">
        <f>BJ1093</f>
        <v>22256669.929395255</v>
      </c>
      <c r="BO1093">
        <f>BL1093</f>
        <v>22256669.929395255</v>
      </c>
    </row>
    <row r="1094" spans="3:67" x14ac:dyDescent="0.25">
      <c r="C1094" s="246" t="s">
        <v>2444</v>
      </c>
      <c r="D1094" s="246">
        <v>1</v>
      </c>
      <c r="E1094" s="246">
        <v>2</v>
      </c>
      <c r="F1094" s="246">
        <v>3</v>
      </c>
      <c r="G1094" s="246">
        <v>4</v>
      </c>
      <c r="H1094" s="246">
        <v>5</v>
      </c>
      <c r="I1094" s="246">
        <v>9</v>
      </c>
      <c r="J1094" s="246">
        <v>10</v>
      </c>
      <c r="K1094" s="246">
        <v>15</v>
      </c>
      <c r="L1094" s="246">
        <v>17</v>
      </c>
      <c r="M1094" s="246"/>
      <c r="N1094" s="246"/>
      <c r="O1094" s="246"/>
      <c r="P1094" s="246"/>
      <c r="Q1094" s="246"/>
      <c r="R1094" s="246">
        <f>IFERROR(VLOOKUP(D1094,PROGRAMAS[],2,FALSE),0)</f>
        <v>97037803.679377079</v>
      </c>
      <c r="S1094" s="246">
        <f>IFERROR(VLOOKUP(E1094,PROGRAMAS[],2,FALSE),0)</f>
        <v>640501509.6821388</v>
      </c>
      <c r="T1094" s="246">
        <f>IFERROR(VLOOKUP(F1094,PROGRAMAS[],2,FALSE),0)</f>
        <v>3062327798.1525245</v>
      </c>
      <c r="U1094" s="246">
        <f>IFERROR(VLOOKUP(G1094,PROGRAMAS[],2,FALSE),0)</f>
        <v>67697118.033011258</v>
      </c>
      <c r="V1094" s="246">
        <f>IFERROR(VLOOKUP(H1094,PROGRAMAS[],2,FALSE),0)</f>
        <v>1440941976.2528784</v>
      </c>
      <c r="W1094" s="246">
        <f>IFERROR(VLOOKUP(I1094,PROGRAMAS[],2,FALSE),0)</f>
        <v>6128579952.1618185</v>
      </c>
      <c r="X1094" s="246">
        <f>IFERROR(VLOOKUP(J1094,PROGRAMAS[],2,FALSE),0)</f>
        <v>4635315027.8751087</v>
      </c>
      <c r="Y1094" s="246">
        <f>IFERROR(VLOOKUP(K1094,PROGRAMAS[],2,FALSE),0)</f>
        <v>122159672.96346797</v>
      </c>
      <c r="Z1094" s="246">
        <f>IFERROR(VLOOKUP(L1094,PROGRAMAS[],2,FALSE),0)</f>
        <v>1892779498.5211046</v>
      </c>
      <c r="AA1094" s="246">
        <f>IFERROR(VLOOKUP(M1094,PROGRAMAS[],2,FALSE),0)</f>
        <v>0</v>
      </c>
      <c r="AB1094" s="246">
        <f>IFERROR(VLOOKUP(N1094,PROGRAMAS[],2,FALSE),0)</f>
        <v>0</v>
      </c>
      <c r="AC1094" s="246">
        <f>IFERROR(VLOOKUP(O1094,PROGRAMAS[],2,FALSE),0)</f>
        <v>0</v>
      </c>
      <c r="AD1094" s="246">
        <f>IFERROR(VLOOKUP(P1094,PROGRAMAS[],2,FALSE),0)</f>
        <v>0</v>
      </c>
      <c r="AE1094" s="246">
        <f>IFERROR(VLOOKUP(Q1094,PROGRAMAS[],2,FALSE),0)</f>
        <v>0</v>
      </c>
      <c r="AF1094" s="246">
        <f>IFERROR(VLOOKUP(D1094,PROGRAMAS[],3,FALSE),0)</f>
        <v>841888629.31080008</v>
      </c>
      <c r="AG1094" s="246">
        <f>IFERROR(VLOOKUP(E1094,PROGRAMAS[],3,FALSE),0)</f>
        <v>3848980803.1642323</v>
      </c>
      <c r="AH1094" s="246">
        <f>IFERROR(VLOOKUP(F1094,PROGRAMAS[],3,FALSE),0)</f>
        <v>3394901471.387517</v>
      </c>
      <c r="AI1094" s="246">
        <f>IFERROR(VLOOKUP(G1094,PROGRAMAS[],3,FALSE),0)</f>
        <v>125317226.95549992</v>
      </c>
      <c r="AJ1094" s="246">
        <f>IFERROR(VLOOKUP(H1094,PROGRAMAS[],3,FALSE),0)</f>
        <v>1233505101.0616004</v>
      </c>
      <c r="AK1094" s="246">
        <f>IFERROR(VLOOKUP(I1094,PROGRAMAS[],3,FALSE),0)</f>
        <v>7011279577.519702</v>
      </c>
      <c r="AL1094" s="246">
        <f>IFERROR(VLOOKUP(J1094,PROGRAMAS[],3,FALSE),0)</f>
        <v>4099471734.9978786</v>
      </c>
      <c r="AM1094" s="246">
        <f>IFERROR(VLOOKUP(K1094,PROGRAMAS[],3,FALSE),0)</f>
        <v>118617452.52510804</v>
      </c>
      <c r="AN1094" s="246">
        <f>IFERROR(VLOOKUP(L1094,PROGRAMAS[],3,FALSE),0)</f>
        <v>948595847.09039903</v>
      </c>
      <c r="AO1094" s="246">
        <f>IFERROR(VLOOKUP(M1094,PROGRAMAS[],3,FALSE),0)</f>
        <v>0</v>
      </c>
      <c r="AP1094" s="246">
        <f>IFERROR(VLOOKUP(N1094,PROGRAMAS[],3,FALSE),0)</f>
        <v>0</v>
      </c>
      <c r="AQ1094" s="246">
        <f>IFERROR(VLOOKUP(O1094,PROGRAMAS[],3,FALSE),0)</f>
        <v>0</v>
      </c>
      <c r="AR1094" s="246">
        <f>IFERROR(VLOOKUP(P1094,PROGRAMAS[],3,FALSE),0)</f>
        <v>0</v>
      </c>
      <c r="AS1094" s="246">
        <f>IFERROR(VLOOKUP(Q1094,PROGRAMAS[],3,FALSE),0)</f>
        <v>0</v>
      </c>
      <c r="AT1094" s="246">
        <f>IFERROR(VLOOKUP(D1094,VOL_REC[],2,FALSE),0)</f>
        <v>0</v>
      </c>
      <c r="AU1094" s="246">
        <f>IFERROR(VLOOKUP(E1094,VOL_REC[],2,FALSE),0)</f>
        <v>0</v>
      </c>
      <c r="AV1094" s="246">
        <f>IFERROR(VLOOKUP(F1094,VOL_REC[],2,FALSE),0)</f>
        <v>11089674.200000001</v>
      </c>
      <c r="AW1094" s="246">
        <f>IFERROR(VLOOKUP(G1094,VOL_REC[],2,FALSE),0)</f>
        <v>90439.55</v>
      </c>
      <c r="AX1094" s="246">
        <f>IFERROR(VLOOKUP(H1094,VOL_REC[],2,FALSE),0)</f>
        <v>4325103.1812214684</v>
      </c>
      <c r="AY1094" s="246">
        <f>IFERROR(VLOOKUP(I1094,VOL_REC[],2,FALSE),0)</f>
        <v>3761786</v>
      </c>
      <c r="AZ1094" s="246">
        <f>IFERROR(VLOOKUP(J1094,VOL_REC[],2,FALSE),0)</f>
        <v>1812240</v>
      </c>
      <c r="BA1094" s="246">
        <f>IFERROR(VLOOKUP(K1094,VOL_REC[],2,FALSE),0)</f>
        <v>105072</v>
      </c>
      <c r="BB1094" s="246">
        <f>IFERROR(VLOOKUP(L1094,VOL_REC[],2,FALSE),0)</f>
        <v>740113.98115702497</v>
      </c>
      <c r="BC1094" s="246">
        <f>IFERROR(VLOOKUP(M1094,VOL_REC[],2,FALSE),0)</f>
        <v>0</v>
      </c>
      <c r="BD1094" s="246">
        <f>IFERROR(VLOOKUP(N1094,VOL_REC[],2,FALSE),0)</f>
        <v>0</v>
      </c>
      <c r="BE1094" s="246">
        <f>IFERROR(VLOOKUP(O1094,VOL_REC[],2,FALSE),0)</f>
        <v>0</v>
      </c>
      <c r="BF1094" s="246">
        <f>IFERROR(VLOOKUP(P1094,VOL_REC[],2,FALSE),0)</f>
        <v>0</v>
      </c>
      <c r="BG1094" s="246">
        <f>IFERROR(VLOOKUP(Q1094,VOL_REC[],2,FALSE),0)</f>
        <v>0</v>
      </c>
      <c r="BH1094" s="1710">
        <f t="shared" si="68"/>
        <v>18087340357.32143</v>
      </c>
      <c r="BI1094" s="1710">
        <f t="shared" si="69"/>
        <v>21622557844.012741</v>
      </c>
      <c r="BJ1094" s="1711">
        <f t="shared" si="70"/>
        <v>21924428.912378494</v>
      </c>
      <c r="BK1094" s="1711">
        <f t="shared" si="71"/>
        <v>0.83650327069559871</v>
      </c>
    </row>
    <row r="1095" spans="3:67" x14ac:dyDescent="0.25">
      <c r="C1095" s="246" t="s">
        <v>2445</v>
      </c>
      <c r="D1095" s="246">
        <v>1</v>
      </c>
      <c r="E1095" s="246">
        <v>2</v>
      </c>
      <c r="F1095" s="246">
        <v>3</v>
      </c>
      <c r="G1095" s="246">
        <v>4</v>
      </c>
      <c r="H1095" s="246">
        <v>5</v>
      </c>
      <c r="I1095" s="246">
        <v>9</v>
      </c>
      <c r="J1095" s="246">
        <v>10</v>
      </c>
      <c r="K1095" s="246">
        <v>16</v>
      </c>
      <c r="L1095" s="246">
        <v>17</v>
      </c>
      <c r="M1095" s="246"/>
      <c r="N1095" s="246"/>
      <c r="O1095" s="246"/>
      <c r="P1095" s="246"/>
      <c r="Q1095" s="246"/>
      <c r="R1095" s="246">
        <f>IFERROR(VLOOKUP(D1095,PROGRAMAS[],2,FALSE),0)</f>
        <v>97037803.679377079</v>
      </c>
      <c r="S1095" s="246">
        <f>IFERROR(VLOOKUP(E1095,PROGRAMAS[],2,FALSE),0)</f>
        <v>640501509.6821388</v>
      </c>
      <c r="T1095" s="246">
        <f>IFERROR(VLOOKUP(F1095,PROGRAMAS[],2,FALSE),0)</f>
        <v>3062327798.1525245</v>
      </c>
      <c r="U1095" s="246">
        <f>IFERROR(VLOOKUP(G1095,PROGRAMAS[],2,FALSE),0)</f>
        <v>67697118.033011258</v>
      </c>
      <c r="V1095" s="246">
        <f>IFERROR(VLOOKUP(H1095,PROGRAMAS[],2,FALSE),0)</f>
        <v>1440941976.2528784</v>
      </c>
      <c r="W1095" s="246">
        <f>IFERROR(VLOOKUP(I1095,PROGRAMAS[],2,FALSE),0)</f>
        <v>6128579952.1618185</v>
      </c>
      <c r="X1095" s="246">
        <f>IFERROR(VLOOKUP(J1095,PROGRAMAS[],2,FALSE),0)</f>
        <v>4635315027.8751087</v>
      </c>
      <c r="Y1095" s="246">
        <f>IFERROR(VLOOKUP(K1095,PROGRAMAS[],2,FALSE),0)</f>
        <v>7068496961.0436354</v>
      </c>
      <c r="Z1095" s="246">
        <f>IFERROR(VLOOKUP(L1095,PROGRAMAS[],2,FALSE),0)</f>
        <v>1892779498.5211046</v>
      </c>
      <c r="AA1095" s="246">
        <f>IFERROR(VLOOKUP(M1095,PROGRAMAS[],2,FALSE),0)</f>
        <v>0</v>
      </c>
      <c r="AB1095" s="246">
        <f>IFERROR(VLOOKUP(N1095,PROGRAMAS[],2,FALSE),0)</f>
        <v>0</v>
      </c>
      <c r="AC1095" s="246">
        <f>IFERROR(VLOOKUP(O1095,PROGRAMAS[],2,FALSE),0)</f>
        <v>0</v>
      </c>
      <c r="AD1095" s="246">
        <f>IFERROR(VLOOKUP(P1095,PROGRAMAS[],2,FALSE),0)</f>
        <v>0</v>
      </c>
      <c r="AE1095" s="246">
        <f>IFERROR(VLOOKUP(Q1095,PROGRAMAS[],2,FALSE),0)</f>
        <v>0</v>
      </c>
      <c r="AF1095" s="246">
        <f>IFERROR(VLOOKUP(D1095,PROGRAMAS[],3,FALSE),0)</f>
        <v>841888629.31080008</v>
      </c>
      <c r="AG1095" s="246">
        <f>IFERROR(VLOOKUP(E1095,PROGRAMAS[],3,FALSE),0)</f>
        <v>3848980803.1642323</v>
      </c>
      <c r="AH1095" s="246">
        <f>IFERROR(VLOOKUP(F1095,PROGRAMAS[],3,FALSE),0)</f>
        <v>3394901471.387517</v>
      </c>
      <c r="AI1095" s="246">
        <f>IFERROR(VLOOKUP(G1095,PROGRAMAS[],3,FALSE),0)</f>
        <v>125317226.95549992</v>
      </c>
      <c r="AJ1095" s="246">
        <f>IFERROR(VLOOKUP(H1095,PROGRAMAS[],3,FALSE),0)</f>
        <v>1233505101.0616004</v>
      </c>
      <c r="AK1095" s="246">
        <f>IFERROR(VLOOKUP(I1095,PROGRAMAS[],3,FALSE),0)</f>
        <v>7011279577.519702</v>
      </c>
      <c r="AL1095" s="246">
        <f>IFERROR(VLOOKUP(J1095,PROGRAMAS[],3,FALSE),0)</f>
        <v>4099471734.9978786</v>
      </c>
      <c r="AM1095" s="246">
        <f>IFERROR(VLOOKUP(K1095,PROGRAMAS[],3,FALSE),0)</f>
        <v>2406564599.0319901</v>
      </c>
      <c r="AN1095" s="246">
        <f>IFERROR(VLOOKUP(L1095,PROGRAMAS[],3,FALSE),0)</f>
        <v>948595847.09039903</v>
      </c>
      <c r="AO1095" s="246">
        <f>IFERROR(VLOOKUP(M1095,PROGRAMAS[],3,FALSE),0)</f>
        <v>0</v>
      </c>
      <c r="AP1095" s="246">
        <f>IFERROR(VLOOKUP(N1095,PROGRAMAS[],3,FALSE),0)</f>
        <v>0</v>
      </c>
      <c r="AQ1095" s="246">
        <f>IFERROR(VLOOKUP(O1095,PROGRAMAS[],3,FALSE),0)</f>
        <v>0</v>
      </c>
      <c r="AR1095" s="246">
        <f>IFERROR(VLOOKUP(P1095,PROGRAMAS[],3,FALSE),0)</f>
        <v>0</v>
      </c>
      <c r="AS1095" s="246">
        <f>IFERROR(VLOOKUP(Q1095,PROGRAMAS[],3,FALSE),0)</f>
        <v>0</v>
      </c>
      <c r="AT1095" s="246">
        <f>IFERROR(VLOOKUP(D1095,VOL_REC[],2,FALSE),0)</f>
        <v>0</v>
      </c>
      <c r="AU1095" s="246">
        <f>IFERROR(VLOOKUP(E1095,VOL_REC[],2,FALSE),0)</f>
        <v>0</v>
      </c>
      <c r="AV1095" s="246">
        <f>IFERROR(VLOOKUP(F1095,VOL_REC[],2,FALSE),0)</f>
        <v>11089674.200000001</v>
      </c>
      <c r="AW1095" s="246">
        <f>IFERROR(VLOOKUP(G1095,VOL_REC[],2,FALSE),0)</f>
        <v>90439.55</v>
      </c>
      <c r="AX1095" s="246">
        <f>IFERROR(VLOOKUP(H1095,VOL_REC[],2,FALSE),0)</f>
        <v>4325103.1812214684</v>
      </c>
      <c r="AY1095" s="246">
        <f>IFERROR(VLOOKUP(I1095,VOL_REC[],2,FALSE),0)</f>
        <v>3761786</v>
      </c>
      <c r="AZ1095" s="246">
        <f>IFERROR(VLOOKUP(J1095,VOL_REC[],2,FALSE),0)</f>
        <v>1812240</v>
      </c>
      <c r="BA1095" s="246">
        <f>IFERROR(VLOOKUP(K1095,VOL_REC[],2,FALSE),0)</f>
        <v>1072354.9981737854</v>
      </c>
      <c r="BB1095" s="246">
        <f>IFERROR(VLOOKUP(L1095,VOL_REC[],2,FALSE),0)</f>
        <v>740113.98115702497</v>
      </c>
      <c r="BC1095" s="246">
        <f>IFERROR(VLOOKUP(M1095,VOL_REC[],2,FALSE),0)</f>
        <v>0</v>
      </c>
      <c r="BD1095" s="246">
        <f>IFERROR(VLOOKUP(N1095,VOL_REC[],2,FALSE),0)</f>
        <v>0</v>
      </c>
      <c r="BE1095" s="246">
        <f>IFERROR(VLOOKUP(O1095,VOL_REC[],2,FALSE),0)</f>
        <v>0</v>
      </c>
      <c r="BF1095" s="246">
        <f>IFERROR(VLOOKUP(P1095,VOL_REC[],2,FALSE),0)</f>
        <v>0</v>
      </c>
      <c r="BG1095" s="246">
        <f>IFERROR(VLOOKUP(Q1095,VOL_REC[],2,FALSE),0)</f>
        <v>0</v>
      </c>
      <c r="BH1095" s="1710">
        <f t="shared" si="68"/>
        <v>25033677645.401596</v>
      </c>
      <c r="BI1095" s="1710">
        <f t="shared" si="69"/>
        <v>23910504990.519623</v>
      </c>
      <c r="BJ1095" s="1711">
        <f t="shared" si="70"/>
        <v>22891711.910552278</v>
      </c>
      <c r="BK1095" s="1711">
        <f t="shared" si="71"/>
        <v>1.0469740248199402</v>
      </c>
      <c r="BL1095">
        <f>BJ1095</f>
        <v>22891711.910552278</v>
      </c>
      <c r="BO1095">
        <f>BL1095</f>
        <v>22891711.910552278</v>
      </c>
    </row>
    <row r="1096" spans="3:67" x14ac:dyDescent="0.25">
      <c r="C1096" s="246" t="s">
        <v>2446</v>
      </c>
      <c r="D1096" s="246">
        <v>1</v>
      </c>
      <c r="E1096" s="246">
        <v>2</v>
      </c>
      <c r="F1096" s="246">
        <v>3</v>
      </c>
      <c r="G1096" s="246">
        <v>4</v>
      </c>
      <c r="H1096" s="246">
        <v>5</v>
      </c>
      <c r="I1096" s="246">
        <v>9</v>
      </c>
      <c r="J1096" s="246">
        <v>12</v>
      </c>
      <c r="K1096" s="246">
        <v>13</v>
      </c>
      <c r="L1096" s="246">
        <v>14</v>
      </c>
      <c r="M1096" s="246"/>
      <c r="N1096" s="246"/>
      <c r="O1096" s="246"/>
      <c r="P1096" s="246"/>
      <c r="Q1096" s="246"/>
      <c r="R1096" s="246">
        <f>IFERROR(VLOOKUP(D1096,PROGRAMAS[],2,FALSE),0)</f>
        <v>97037803.679377079</v>
      </c>
      <c r="S1096" s="246">
        <f>IFERROR(VLOOKUP(E1096,PROGRAMAS[],2,FALSE),0)</f>
        <v>640501509.6821388</v>
      </c>
      <c r="T1096" s="246">
        <f>IFERROR(VLOOKUP(F1096,PROGRAMAS[],2,FALSE),0)</f>
        <v>3062327798.1525245</v>
      </c>
      <c r="U1096" s="246">
        <f>IFERROR(VLOOKUP(G1096,PROGRAMAS[],2,FALSE),0)</f>
        <v>67697118.033011258</v>
      </c>
      <c r="V1096" s="246">
        <f>IFERROR(VLOOKUP(H1096,PROGRAMAS[],2,FALSE),0)</f>
        <v>1440941976.2528784</v>
      </c>
      <c r="W1096" s="246">
        <f>IFERROR(VLOOKUP(I1096,PROGRAMAS[],2,FALSE),0)</f>
        <v>6128579952.1618185</v>
      </c>
      <c r="X1096" s="246">
        <f>IFERROR(VLOOKUP(J1096,PROGRAMAS[],2,FALSE),0)</f>
        <v>764796700.79905891</v>
      </c>
      <c r="Y1096" s="246">
        <f>IFERROR(VLOOKUP(K1096,PROGRAMAS[],2,FALSE),0)</f>
        <v>3776538594.4604583</v>
      </c>
      <c r="Z1096" s="246">
        <f>IFERROR(VLOOKUP(L1096,PROGRAMAS[],2,FALSE),0)</f>
        <v>54223862.645839565</v>
      </c>
      <c r="AA1096" s="246">
        <f>IFERROR(VLOOKUP(M1096,PROGRAMAS[],2,FALSE),0)</f>
        <v>0</v>
      </c>
      <c r="AB1096" s="246">
        <f>IFERROR(VLOOKUP(N1096,PROGRAMAS[],2,FALSE),0)</f>
        <v>0</v>
      </c>
      <c r="AC1096" s="246">
        <f>IFERROR(VLOOKUP(O1096,PROGRAMAS[],2,FALSE),0)</f>
        <v>0</v>
      </c>
      <c r="AD1096" s="246">
        <f>IFERROR(VLOOKUP(P1096,PROGRAMAS[],2,FALSE),0)</f>
        <v>0</v>
      </c>
      <c r="AE1096" s="246">
        <f>IFERROR(VLOOKUP(Q1096,PROGRAMAS[],2,FALSE),0)</f>
        <v>0</v>
      </c>
      <c r="AF1096" s="246">
        <f>IFERROR(VLOOKUP(D1096,PROGRAMAS[],3,FALSE),0)</f>
        <v>841888629.31080008</v>
      </c>
      <c r="AG1096" s="246">
        <f>IFERROR(VLOOKUP(E1096,PROGRAMAS[],3,FALSE),0)</f>
        <v>3848980803.1642323</v>
      </c>
      <c r="AH1096" s="246">
        <f>IFERROR(VLOOKUP(F1096,PROGRAMAS[],3,FALSE),0)</f>
        <v>3394901471.387517</v>
      </c>
      <c r="AI1096" s="246">
        <f>IFERROR(VLOOKUP(G1096,PROGRAMAS[],3,FALSE),0)</f>
        <v>125317226.95549992</v>
      </c>
      <c r="AJ1096" s="246">
        <f>IFERROR(VLOOKUP(H1096,PROGRAMAS[],3,FALSE),0)</f>
        <v>1233505101.0616004</v>
      </c>
      <c r="AK1096" s="246">
        <f>IFERROR(VLOOKUP(I1096,PROGRAMAS[],3,FALSE),0)</f>
        <v>7011279577.519702</v>
      </c>
      <c r="AL1096" s="246">
        <f>IFERROR(VLOOKUP(J1096,PROGRAMAS[],3,FALSE),0)</f>
        <v>675517840.109828</v>
      </c>
      <c r="AM1096" s="246">
        <f>IFERROR(VLOOKUP(K1096,PROGRAMAS[],3,FALSE),0)</f>
        <v>2392571243.5584412</v>
      </c>
      <c r="AN1096" s="246">
        <f>IFERROR(VLOOKUP(L1096,PROGRAMAS[],3,FALSE),0)</f>
        <v>31865326.38096505</v>
      </c>
      <c r="AO1096" s="246">
        <f>IFERROR(VLOOKUP(M1096,PROGRAMAS[],3,FALSE),0)</f>
        <v>0</v>
      </c>
      <c r="AP1096" s="246">
        <f>IFERROR(VLOOKUP(N1096,PROGRAMAS[],3,FALSE),0)</f>
        <v>0</v>
      </c>
      <c r="AQ1096" s="246">
        <f>IFERROR(VLOOKUP(O1096,PROGRAMAS[],3,FALSE),0)</f>
        <v>0</v>
      </c>
      <c r="AR1096" s="246">
        <f>IFERROR(VLOOKUP(P1096,PROGRAMAS[],3,FALSE),0)</f>
        <v>0</v>
      </c>
      <c r="AS1096" s="246">
        <f>IFERROR(VLOOKUP(Q1096,PROGRAMAS[],3,FALSE),0)</f>
        <v>0</v>
      </c>
      <c r="AT1096" s="246">
        <f>IFERROR(VLOOKUP(D1096,VOL_REC[],2,FALSE),0)</f>
        <v>0</v>
      </c>
      <c r="AU1096" s="246">
        <f>IFERROR(VLOOKUP(E1096,VOL_REC[],2,FALSE),0)</f>
        <v>0</v>
      </c>
      <c r="AV1096" s="246">
        <f>IFERROR(VLOOKUP(F1096,VOL_REC[],2,FALSE),0)</f>
        <v>11089674.200000001</v>
      </c>
      <c r="AW1096" s="246">
        <f>IFERROR(VLOOKUP(G1096,VOL_REC[],2,FALSE),0)</f>
        <v>90439.55</v>
      </c>
      <c r="AX1096" s="246">
        <f>IFERROR(VLOOKUP(H1096,VOL_REC[],2,FALSE),0)</f>
        <v>4325103.1812214684</v>
      </c>
      <c r="AY1096" s="246">
        <f>IFERROR(VLOOKUP(I1096,VOL_REC[],2,FALSE),0)</f>
        <v>3761786</v>
      </c>
      <c r="AZ1096" s="246">
        <f>IFERROR(VLOOKUP(J1096,VOL_REC[],2,FALSE),0)</f>
        <v>240696.79238099116</v>
      </c>
      <c r="BA1096" s="246">
        <f>IFERROR(VLOOKUP(K1096,VOL_REC[],2,FALSE),0)</f>
        <v>663244.80000000016</v>
      </c>
      <c r="BB1096" s="246">
        <f>IFERROR(VLOOKUP(L1096,VOL_REC[],2,FALSE),0)</f>
        <v>17074.045034105649</v>
      </c>
      <c r="BC1096" s="246">
        <f>IFERROR(VLOOKUP(M1096,VOL_REC[],2,FALSE),0)</f>
        <v>0</v>
      </c>
      <c r="BD1096" s="246">
        <f>IFERROR(VLOOKUP(N1096,VOL_REC[],2,FALSE),0)</f>
        <v>0</v>
      </c>
      <c r="BE1096" s="246">
        <f>IFERROR(VLOOKUP(O1096,VOL_REC[],2,FALSE),0)</f>
        <v>0</v>
      </c>
      <c r="BF1096" s="246">
        <f>IFERROR(VLOOKUP(P1096,VOL_REC[],2,FALSE),0)</f>
        <v>0</v>
      </c>
      <c r="BG1096" s="246">
        <f>IFERROR(VLOOKUP(Q1096,VOL_REC[],2,FALSE),0)</f>
        <v>0</v>
      </c>
      <c r="BH1096" s="1710">
        <f t="shared" si="68"/>
        <v>16032645315.867107</v>
      </c>
      <c r="BI1096" s="1710">
        <f t="shared" si="69"/>
        <v>19555827219.448589</v>
      </c>
      <c r="BJ1096" s="1711">
        <f t="shared" si="70"/>
        <v>20188018.56863657</v>
      </c>
      <c r="BK1096" s="1711">
        <f t="shared" si="71"/>
        <v>0.81983979178965027</v>
      </c>
    </row>
    <row r="1097" spans="3:67" x14ac:dyDescent="0.25">
      <c r="C1097" s="246" t="s">
        <v>2447</v>
      </c>
      <c r="D1097" s="246">
        <v>1</v>
      </c>
      <c r="E1097" s="246">
        <v>2</v>
      </c>
      <c r="F1097" s="246">
        <v>3</v>
      </c>
      <c r="G1097" s="246">
        <v>4</v>
      </c>
      <c r="H1097" s="246">
        <v>5</v>
      </c>
      <c r="I1097" s="246">
        <v>9</v>
      </c>
      <c r="J1097" s="246">
        <v>12</v>
      </c>
      <c r="K1097" s="246">
        <v>13</v>
      </c>
      <c r="L1097" s="246">
        <v>15</v>
      </c>
      <c r="M1097" s="246"/>
      <c r="N1097" s="246"/>
      <c r="O1097" s="246"/>
      <c r="P1097" s="246"/>
      <c r="Q1097" s="246"/>
      <c r="R1097" s="246">
        <f>IFERROR(VLOOKUP(D1097,PROGRAMAS[],2,FALSE),0)</f>
        <v>97037803.679377079</v>
      </c>
      <c r="S1097" s="246">
        <f>IFERROR(VLOOKUP(E1097,PROGRAMAS[],2,FALSE),0)</f>
        <v>640501509.6821388</v>
      </c>
      <c r="T1097" s="246">
        <f>IFERROR(VLOOKUP(F1097,PROGRAMAS[],2,FALSE),0)</f>
        <v>3062327798.1525245</v>
      </c>
      <c r="U1097" s="246">
        <f>IFERROR(VLOOKUP(G1097,PROGRAMAS[],2,FALSE),0)</f>
        <v>67697118.033011258</v>
      </c>
      <c r="V1097" s="246">
        <f>IFERROR(VLOOKUP(H1097,PROGRAMAS[],2,FALSE),0)</f>
        <v>1440941976.2528784</v>
      </c>
      <c r="W1097" s="246">
        <f>IFERROR(VLOOKUP(I1097,PROGRAMAS[],2,FALSE),0)</f>
        <v>6128579952.1618185</v>
      </c>
      <c r="X1097" s="246">
        <f>IFERROR(VLOOKUP(J1097,PROGRAMAS[],2,FALSE),0)</f>
        <v>764796700.79905891</v>
      </c>
      <c r="Y1097" s="246">
        <f>IFERROR(VLOOKUP(K1097,PROGRAMAS[],2,FALSE),0)</f>
        <v>3776538594.4604583</v>
      </c>
      <c r="Z1097" s="246">
        <f>IFERROR(VLOOKUP(L1097,PROGRAMAS[],2,FALSE),0)</f>
        <v>122159672.96346797</v>
      </c>
      <c r="AA1097" s="246">
        <f>IFERROR(VLOOKUP(M1097,PROGRAMAS[],2,FALSE),0)</f>
        <v>0</v>
      </c>
      <c r="AB1097" s="246">
        <f>IFERROR(VLOOKUP(N1097,PROGRAMAS[],2,FALSE),0)</f>
        <v>0</v>
      </c>
      <c r="AC1097" s="246">
        <f>IFERROR(VLOOKUP(O1097,PROGRAMAS[],2,FALSE),0)</f>
        <v>0</v>
      </c>
      <c r="AD1097" s="246">
        <f>IFERROR(VLOOKUP(P1097,PROGRAMAS[],2,FALSE),0)</f>
        <v>0</v>
      </c>
      <c r="AE1097" s="246">
        <f>IFERROR(VLOOKUP(Q1097,PROGRAMAS[],2,FALSE),0)</f>
        <v>0</v>
      </c>
      <c r="AF1097" s="246">
        <f>IFERROR(VLOOKUP(D1097,PROGRAMAS[],3,FALSE),0)</f>
        <v>841888629.31080008</v>
      </c>
      <c r="AG1097" s="246">
        <f>IFERROR(VLOOKUP(E1097,PROGRAMAS[],3,FALSE),0)</f>
        <v>3848980803.1642323</v>
      </c>
      <c r="AH1097" s="246">
        <f>IFERROR(VLOOKUP(F1097,PROGRAMAS[],3,FALSE),0)</f>
        <v>3394901471.387517</v>
      </c>
      <c r="AI1097" s="246">
        <f>IFERROR(VLOOKUP(G1097,PROGRAMAS[],3,FALSE),0)</f>
        <v>125317226.95549992</v>
      </c>
      <c r="AJ1097" s="246">
        <f>IFERROR(VLOOKUP(H1097,PROGRAMAS[],3,FALSE),0)</f>
        <v>1233505101.0616004</v>
      </c>
      <c r="AK1097" s="246">
        <f>IFERROR(VLOOKUP(I1097,PROGRAMAS[],3,FALSE),0)</f>
        <v>7011279577.519702</v>
      </c>
      <c r="AL1097" s="246">
        <f>IFERROR(VLOOKUP(J1097,PROGRAMAS[],3,FALSE),0)</f>
        <v>675517840.109828</v>
      </c>
      <c r="AM1097" s="246">
        <f>IFERROR(VLOOKUP(K1097,PROGRAMAS[],3,FALSE),0)</f>
        <v>2392571243.5584412</v>
      </c>
      <c r="AN1097" s="246">
        <f>IFERROR(VLOOKUP(L1097,PROGRAMAS[],3,FALSE),0)</f>
        <v>118617452.52510804</v>
      </c>
      <c r="AO1097" s="246">
        <f>IFERROR(VLOOKUP(M1097,PROGRAMAS[],3,FALSE),0)</f>
        <v>0</v>
      </c>
      <c r="AP1097" s="246">
        <f>IFERROR(VLOOKUP(N1097,PROGRAMAS[],3,FALSE),0)</f>
        <v>0</v>
      </c>
      <c r="AQ1097" s="246">
        <f>IFERROR(VLOOKUP(O1097,PROGRAMAS[],3,FALSE),0)</f>
        <v>0</v>
      </c>
      <c r="AR1097" s="246">
        <f>IFERROR(VLOOKUP(P1097,PROGRAMAS[],3,FALSE),0)</f>
        <v>0</v>
      </c>
      <c r="AS1097" s="246">
        <f>IFERROR(VLOOKUP(Q1097,PROGRAMAS[],3,FALSE),0)</f>
        <v>0</v>
      </c>
      <c r="AT1097" s="246">
        <f>IFERROR(VLOOKUP(D1097,VOL_REC[],2,FALSE),0)</f>
        <v>0</v>
      </c>
      <c r="AU1097" s="246">
        <f>IFERROR(VLOOKUP(E1097,VOL_REC[],2,FALSE),0)</f>
        <v>0</v>
      </c>
      <c r="AV1097" s="246">
        <f>IFERROR(VLOOKUP(F1097,VOL_REC[],2,FALSE),0)</f>
        <v>11089674.200000001</v>
      </c>
      <c r="AW1097" s="246">
        <f>IFERROR(VLOOKUP(G1097,VOL_REC[],2,FALSE),0)</f>
        <v>90439.55</v>
      </c>
      <c r="AX1097" s="246">
        <f>IFERROR(VLOOKUP(H1097,VOL_REC[],2,FALSE),0)</f>
        <v>4325103.1812214684</v>
      </c>
      <c r="AY1097" s="246">
        <f>IFERROR(VLOOKUP(I1097,VOL_REC[],2,FALSE),0)</f>
        <v>3761786</v>
      </c>
      <c r="AZ1097" s="246">
        <f>IFERROR(VLOOKUP(J1097,VOL_REC[],2,FALSE),0)</f>
        <v>240696.79238099116</v>
      </c>
      <c r="BA1097" s="246">
        <f>IFERROR(VLOOKUP(K1097,VOL_REC[],2,FALSE),0)</f>
        <v>663244.80000000016</v>
      </c>
      <c r="BB1097" s="246">
        <f>IFERROR(VLOOKUP(L1097,VOL_REC[],2,FALSE),0)</f>
        <v>105072</v>
      </c>
      <c r="BC1097" s="246">
        <f>IFERROR(VLOOKUP(M1097,VOL_REC[],2,FALSE),0)</f>
        <v>0</v>
      </c>
      <c r="BD1097" s="246">
        <f>IFERROR(VLOOKUP(N1097,VOL_REC[],2,FALSE),0)</f>
        <v>0</v>
      </c>
      <c r="BE1097" s="246">
        <f>IFERROR(VLOOKUP(O1097,VOL_REC[],2,FALSE),0)</f>
        <v>0</v>
      </c>
      <c r="BF1097" s="246">
        <f>IFERROR(VLOOKUP(P1097,VOL_REC[],2,FALSE),0)</f>
        <v>0</v>
      </c>
      <c r="BG1097" s="246">
        <f>IFERROR(VLOOKUP(Q1097,VOL_REC[],2,FALSE),0)</f>
        <v>0</v>
      </c>
      <c r="BH1097" s="1710">
        <f t="shared" si="68"/>
        <v>16100581126.184736</v>
      </c>
      <c r="BI1097" s="1710">
        <f t="shared" si="69"/>
        <v>19642579345.592731</v>
      </c>
      <c r="BJ1097" s="1711">
        <f t="shared" si="70"/>
        <v>20276016.523602463</v>
      </c>
      <c r="BK1097" s="1711">
        <f t="shared" si="71"/>
        <v>0.81967754045485253</v>
      </c>
    </row>
    <row r="1098" spans="3:67" x14ac:dyDescent="0.25">
      <c r="C1098" s="246" t="s">
        <v>2448</v>
      </c>
      <c r="D1098" s="246">
        <v>1</v>
      </c>
      <c r="E1098" s="246">
        <v>2</v>
      </c>
      <c r="F1098" s="246">
        <v>3</v>
      </c>
      <c r="G1098" s="246">
        <v>4</v>
      </c>
      <c r="H1098" s="246">
        <v>5</v>
      </c>
      <c r="I1098" s="246">
        <v>9</v>
      </c>
      <c r="J1098" s="246">
        <v>12</v>
      </c>
      <c r="K1098" s="246">
        <v>13</v>
      </c>
      <c r="L1098" s="246">
        <v>16</v>
      </c>
      <c r="M1098" s="246"/>
      <c r="N1098" s="246"/>
      <c r="O1098" s="246"/>
      <c r="P1098" s="246"/>
      <c r="Q1098" s="246"/>
      <c r="R1098" s="246">
        <f>IFERROR(VLOOKUP(D1098,PROGRAMAS[],2,FALSE),0)</f>
        <v>97037803.679377079</v>
      </c>
      <c r="S1098" s="246">
        <f>IFERROR(VLOOKUP(E1098,PROGRAMAS[],2,FALSE),0)</f>
        <v>640501509.6821388</v>
      </c>
      <c r="T1098" s="246">
        <f>IFERROR(VLOOKUP(F1098,PROGRAMAS[],2,FALSE),0)</f>
        <v>3062327798.1525245</v>
      </c>
      <c r="U1098" s="246">
        <f>IFERROR(VLOOKUP(G1098,PROGRAMAS[],2,FALSE),0)</f>
        <v>67697118.033011258</v>
      </c>
      <c r="V1098" s="246">
        <f>IFERROR(VLOOKUP(H1098,PROGRAMAS[],2,FALSE),0)</f>
        <v>1440941976.2528784</v>
      </c>
      <c r="W1098" s="246">
        <f>IFERROR(VLOOKUP(I1098,PROGRAMAS[],2,FALSE),0)</f>
        <v>6128579952.1618185</v>
      </c>
      <c r="X1098" s="246">
        <f>IFERROR(VLOOKUP(J1098,PROGRAMAS[],2,FALSE),0)</f>
        <v>764796700.79905891</v>
      </c>
      <c r="Y1098" s="246">
        <f>IFERROR(VLOOKUP(K1098,PROGRAMAS[],2,FALSE),0)</f>
        <v>3776538594.4604583</v>
      </c>
      <c r="Z1098" s="246">
        <f>IFERROR(VLOOKUP(L1098,PROGRAMAS[],2,FALSE),0)</f>
        <v>7068496961.0436354</v>
      </c>
      <c r="AA1098" s="246">
        <f>IFERROR(VLOOKUP(M1098,PROGRAMAS[],2,FALSE),0)</f>
        <v>0</v>
      </c>
      <c r="AB1098" s="246">
        <f>IFERROR(VLOOKUP(N1098,PROGRAMAS[],2,FALSE),0)</f>
        <v>0</v>
      </c>
      <c r="AC1098" s="246">
        <f>IFERROR(VLOOKUP(O1098,PROGRAMAS[],2,FALSE),0)</f>
        <v>0</v>
      </c>
      <c r="AD1098" s="246">
        <f>IFERROR(VLOOKUP(P1098,PROGRAMAS[],2,FALSE),0)</f>
        <v>0</v>
      </c>
      <c r="AE1098" s="246">
        <f>IFERROR(VLOOKUP(Q1098,PROGRAMAS[],2,FALSE),0)</f>
        <v>0</v>
      </c>
      <c r="AF1098" s="246">
        <f>IFERROR(VLOOKUP(D1098,PROGRAMAS[],3,FALSE),0)</f>
        <v>841888629.31080008</v>
      </c>
      <c r="AG1098" s="246">
        <f>IFERROR(VLOOKUP(E1098,PROGRAMAS[],3,FALSE),0)</f>
        <v>3848980803.1642323</v>
      </c>
      <c r="AH1098" s="246">
        <f>IFERROR(VLOOKUP(F1098,PROGRAMAS[],3,FALSE),0)</f>
        <v>3394901471.387517</v>
      </c>
      <c r="AI1098" s="246">
        <f>IFERROR(VLOOKUP(G1098,PROGRAMAS[],3,FALSE),0)</f>
        <v>125317226.95549992</v>
      </c>
      <c r="AJ1098" s="246">
        <f>IFERROR(VLOOKUP(H1098,PROGRAMAS[],3,FALSE),0)</f>
        <v>1233505101.0616004</v>
      </c>
      <c r="AK1098" s="246">
        <f>IFERROR(VLOOKUP(I1098,PROGRAMAS[],3,FALSE),0)</f>
        <v>7011279577.519702</v>
      </c>
      <c r="AL1098" s="246">
        <f>IFERROR(VLOOKUP(J1098,PROGRAMAS[],3,FALSE),0)</f>
        <v>675517840.109828</v>
      </c>
      <c r="AM1098" s="246">
        <f>IFERROR(VLOOKUP(K1098,PROGRAMAS[],3,FALSE),0)</f>
        <v>2392571243.5584412</v>
      </c>
      <c r="AN1098" s="246">
        <f>IFERROR(VLOOKUP(L1098,PROGRAMAS[],3,FALSE),0)</f>
        <v>2406564599.0319901</v>
      </c>
      <c r="AO1098" s="246">
        <f>IFERROR(VLOOKUP(M1098,PROGRAMAS[],3,FALSE),0)</f>
        <v>0</v>
      </c>
      <c r="AP1098" s="246">
        <f>IFERROR(VLOOKUP(N1098,PROGRAMAS[],3,FALSE),0)</f>
        <v>0</v>
      </c>
      <c r="AQ1098" s="246">
        <f>IFERROR(VLOOKUP(O1098,PROGRAMAS[],3,FALSE),0)</f>
        <v>0</v>
      </c>
      <c r="AR1098" s="246">
        <f>IFERROR(VLOOKUP(P1098,PROGRAMAS[],3,FALSE),0)</f>
        <v>0</v>
      </c>
      <c r="AS1098" s="246">
        <f>IFERROR(VLOOKUP(Q1098,PROGRAMAS[],3,FALSE),0)</f>
        <v>0</v>
      </c>
      <c r="AT1098" s="246">
        <f>IFERROR(VLOOKUP(D1098,VOL_REC[],2,FALSE),0)</f>
        <v>0</v>
      </c>
      <c r="AU1098" s="246">
        <f>IFERROR(VLOOKUP(E1098,VOL_REC[],2,FALSE),0)</f>
        <v>0</v>
      </c>
      <c r="AV1098" s="246">
        <f>IFERROR(VLOOKUP(F1098,VOL_REC[],2,FALSE),0)</f>
        <v>11089674.200000001</v>
      </c>
      <c r="AW1098" s="246">
        <f>IFERROR(VLOOKUP(G1098,VOL_REC[],2,FALSE),0)</f>
        <v>90439.55</v>
      </c>
      <c r="AX1098" s="246">
        <f>IFERROR(VLOOKUP(H1098,VOL_REC[],2,FALSE),0)</f>
        <v>4325103.1812214684</v>
      </c>
      <c r="AY1098" s="246">
        <f>IFERROR(VLOOKUP(I1098,VOL_REC[],2,FALSE),0)</f>
        <v>3761786</v>
      </c>
      <c r="AZ1098" s="246">
        <f>IFERROR(VLOOKUP(J1098,VOL_REC[],2,FALSE),0)</f>
        <v>240696.79238099116</v>
      </c>
      <c r="BA1098" s="246">
        <f>IFERROR(VLOOKUP(K1098,VOL_REC[],2,FALSE),0)</f>
        <v>663244.80000000016</v>
      </c>
      <c r="BB1098" s="246">
        <f>IFERROR(VLOOKUP(L1098,VOL_REC[],2,FALSE),0)</f>
        <v>1072354.9981737854</v>
      </c>
      <c r="BC1098" s="246">
        <f>IFERROR(VLOOKUP(M1098,VOL_REC[],2,FALSE),0)</f>
        <v>0</v>
      </c>
      <c r="BD1098" s="246">
        <f>IFERROR(VLOOKUP(N1098,VOL_REC[],2,FALSE),0)</f>
        <v>0</v>
      </c>
      <c r="BE1098" s="246">
        <f>IFERROR(VLOOKUP(O1098,VOL_REC[],2,FALSE),0)</f>
        <v>0</v>
      </c>
      <c r="BF1098" s="246">
        <f>IFERROR(VLOOKUP(P1098,VOL_REC[],2,FALSE),0)</f>
        <v>0</v>
      </c>
      <c r="BG1098" s="246">
        <f>IFERROR(VLOOKUP(Q1098,VOL_REC[],2,FALSE),0)</f>
        <v>0</v>
      </c>
      <c r="BH1098" s="1710">
        <f t="shared" si="68"/>
        <v>23046918414.264904</v>
      </c>
      <c r="BI1098" s="1710">
        <f t="shared" si="69"/>
        <v>21930526492.099613</v>
      </c>
      <c r="BJ1098" s="1711">
        <f t="shared" si="70"/>
        <v>21243299.521776248</v>
      </c>
      <c r="BK1098" s="1711">
        <f t="shared" si="71"/>
        <v>1.0509058422545152</v>
      </c>
      <c r="BL1098">
        <f>BJ1098</f>
        <v>21243299.521776248</v>
      </c>
      <c r="BO1098">
        <f>BL1098</f>
        <v>21243299.521776248</v>
      </c>
    </row>
    <row r="1099" spans="3:67" x14ac:dyDescent="0.25">
      <c r="C1099" s="246" t="s">
        <v>2449</v>
      </c>
      <c r="D1099" s="246">
        <v>1</v>
      </c>
      <c r="E1099" s="246">
        <v>2</v>
      </c>
      <c r="F1099" s="246">
        <v>3</v>
      </c>
      <c r="G1099" s="246">
        <v>4</v>
      </c>
      <c r="H1099" s="246">
        <v>5</v>
      </c>
      <c r="I1099" s="246">
        <v>9</v>
      </c>
      <c r="J1099" s="246">
        <v>12</v>
      </c>
      <c r="K1099" s="246">
        <v>13</v>
      </c>
      <c r="L1099" s="246">
        <v>17</v>
      </c>
      <c r="M1099" s="246"/>
      <c r="N1099" s="246"/>
      <c r="O1099" s="246"/>
      <c r="P1099" s="246"/>
      <c r="Q1099" s="246"/>
      <c r="R1099" s="246">
        <f>IFERROR(VLOOKUP(D1099,PROGRAMAS[],2,FALSE),0)</f>
        <v>97037803.679377079</v>
      </c>
      <c r="S1099" s="246">
        <f>IFERROR(VLOOKUP(E1099,PROGRAMAS[],2,FALSE),0)</f>
        <v>640501509.6821388</v>
      </c>
      <c r="T1099" s="246">
        <f>IFERROR(VLOOKUP(F1099,PROGRAMAS[],2,FALSE),0)</f>
        <v>3062327798.1525245</v>
      </c>
      <c r="U1099" s="246">
        <f>IFERROR(VLOOKUP(G1099,PROGRAMAS[],2,FALSE),0)</f>
        <v>67697118.033011258</v>
      </c>
      <c r="V1099" s="246">
        <f>IFERROR(VLOOKUP(H1099,PROGRAMAS[],2,FALSE),0)</f>
        <v>1440941976.2528784</v>
      </c>
      <c r="W1099" s="246">
        <f>IFERROR(VLOOKUP(I1099,PROGRAMAS[],2,FALSE),0)</f>
        <v>6128579952.1618185</v>
      </c>
      <c r="X1099" s="246">
        <f>IFERROR(VLOOKUP(J1099,PROGRAMAS[],2,FALSE),0)</f>
        <v>764796700.79905891</v>
      </c>
      <c r="Y1099" s="246">
        <f>IFERROR(VLOOKUP(K1099,PROGRAMAS[],2,FALSE),0)</f>
        <v>3776538594.4604583</v>
      </c>
      <c r="Z1099" s="246">
        <f>IFERROR(VLOOKUP(L1099,PROGRAMAS[],2,FALSE),0)</f>
        <v>1892779498.5211046</v>
      </c>
      <c r="AA1099" s="246">
        <f>IFERROR(VLOOKUP(M1099,PROGRAMAS[],2,FALSE),0)</f>
        <v>0</v>
      </c>
      <c r="AB1099" s="246">
        <f>IFERROR(VLOOKUP(N1099,PROGRAMAS[],2,FALSE),0)</f>
        <v>0</v>
      </c>
      <c r="AC1099" s="246">
        <f>IFERROR(VLOOKUP(O1099,PROGRAMAS[],2,FALSE),0)</f>
        <v>0</v>
      </c>
      <c r="AD1099" s="246">
        <f>IFERROR(VLOOKUP(P1099,PROGRAMAS[],2,FALSE),0)</f>
        <v>0</v>
      </c>
      <c r="AE1099" s="246">
        <f>IFERROR(VLOOKUP(Q1099,PROGRAMAS[],2,FALSE),0)</f>
        <v>0</v>
      </c>
      <c r="AF1099" s="246">
        <f>IFERROR(VLOOKUP(D1099,PROGRAMAS[],3,FALSE),0)</f>
        <v>841888629.31080008</v>
      </c>
      <c r="AG1099" s="246">
        <f>IFERROR(VLOOKUP(E1099,PROGRAMAS[],3,FALSE),0)</f>
        <v>3848980803.1642323</v>
      </c>
      <c r="AH1099" s="246">
        <f>IFERROR(VLOOKUP(F1099,PROGRAMAS[],3,FALSE),0)</f>
        <v>3394901471.387517</v>
      </c>
      <c r="AI1099" s="246">
        <f>IFERROR(VLOOKUP(G1099,PROGRAMAS[],3,FALSE),0)</f>
        <v>125317226.95549992</v>
      </c>
      <c r="AJ1099" s="246">
        <f>IFERROR(VLOOKUP(H1099,PROGRAMAS[],3,FALSE),0)</f>
        <v>1233505101.0616004</v>
      </c>
      <c r="AK1099" s="246">
        <f>IFERROR(VLOOKUP(I1099,PROGRAMAS[],3,FALSE),0)</f>
        <v>7011279577.519702</v>
      </c>
      <c r="AL1099" s="246">
        <f>IFERROR(VLOOKUP(J1099,PROGRAMAS[],3,FALSE),0)</f>
        <v>675517840.109828</v>
      </c>
      <c r="AM1099" s="246">
        <f>IFERROR(VLOOKUP(K1099,PROGRAMAS[],3,FALSE),0)</f>
        <v>2392571243.5584412</v>
      </c>
      <c r="AN1099" s="246">
        <f>IFERROR(VLOOKUP(L1099,PROGRAMAS[],3,FALSE),0)</f>
        <v>948595847.09039903</v>
      </c>
      <c r="AO1099" s="246">
        <f>IFERROR(VLOOKUP(M1099,PROGRAMAS[],3,FALSE),0)</f>
        <v>0</v>
      </c>
      <c r="AP1099" s="246">
        <f>IFERROR(VLOOKUP(N1099,PROGRAMAS[],3,FALSE),0)</f>
        <v>0</v>
      </c>
      <c r="AQ1099" s="246">
        <f>IFERROR(VLOOKUP(O1099,PROGRAMAS[],3,FALSE),0)</f>
        <v>0</v>
      </c>
      <c r="AR1099" s="246">
        <f>IFERROR(VLOOKUP(P1099,PROGRAMAS[],3,FALSE),0)</f>
        <v>0</v>
      </c>
      <c r="AS1099" s="246">
        <f>IFERROR(VLOOKUP(Q1099,PROGRAMAS[],3,FALSE),0)</f>
        <v>0</v>
      </c>
      <c r="AT1099" s="246">
        <f>IFERROR(VLOOKUP(D1099,VOL_REC[],2,FALSE),0)</f>
        <v>0</v>
      </c>
      <c r="AU1099" s="246">
        <f>IFERROR(VLOOKUP(E1099,VOL_REC[],2,FALSE),0)</f>
        <v>0</v>
      </c>
      <c r="AV1099" s="246">
        <f>IFERROR(VLOOKUP(F1099,VOL_REC[],2,FALSE),0)</f>
        <v>11089674.200000001</v>
      </c>
      <c r="AW1099" s="246">
        <f>IFERROR(VLOOKUP(G1099,VOL_REC[],2,FALSE),0)</f>
        <v>90439.55</v>
      </c>
      <c r="AX1099" s="246">
        <f>IFERROR(VLOOKUP(H1099,VOL_REC[],2,FALSE),0)</f>
        <v>4325103.1812214684</v>
      </c>
      <c r="AY1099" s="246">
        <f>IFERROR(VLOOKUP(I1099,VOL_REC[],2,FALSE),0)</f>
        <v>3761786</v>
      </c>
      <c r="AZ1099" s="246">
        <f>IFERROR(VLOOKUP(J1099,VOL_REC[],2,FALSE),0)</f>
        <v>240696.79238099116</v>
      </c>
      <c r="BA1099" s="246">
        <f>IFERROR(VLOOKUP(K1099,VOL_REC[],2,FALSE),0)</f>
        <v>663244.80000000016</v>
      </c>
      <c r="BB1099" s="246">
        <f>IFERROR(VLOOKUP(L1099,VOL_REC[],2,FALSE),0)</f>
        <v>740113.98115702497</v>
      </c>
      <c r="BC1099" s="246">
        <f>IFERROR(VLOOKUP(M1099,VOL_REC[],2,FALSE),0)</f>
        <v>0</v>
      </c>
      <c r="BD1099" s="246">
        <f>IFERROR(VLOOKUP(N1099,VOL_REC[],2,FALSE),0)</f>
        <v>0</v>
      </c>
      <c r="BE1099" s="246">
        <f>IFERROR(VLOOKUP(O1099,VOL_REC[],2,FALSE),0)</f>
        <v>0</v>
      </c>
      <c r="BF1099" s="246">
        <f>IFERROR(VLOOKUP(P1099,VOL_REC[],2,FALSE),0)</f>
        <v>0</v>
      </c>
      <c r="BG1099" s="246">
        <f>IFERROR(VLOOKUP(Q1099,VOL_REC[],2,FALSE),0)</f>
        <v>0</v>
      </c>
      <c r="BH1099" s="1710">
        <f t="shared" si="68"/>
        <v>17871200951.742371</v>
      </c>
      <c r="BI1099" s="1710">
        <f t="shared" si="69"/>
        <v>20472557740.158024</v>
      </c>
      <c r="BJ1099" s="1711">
        <f t="shared" si="70"/>
        <v>20911058.504759487</v>
      </c>
      <c r="BK1099" s="1711">
        <f t="shared" si="71"/>
        <v>0.87293445101327272</v>
      </c>
    </row>
    <row r="1100" spans="3:67" x14ac:dyDescent="0.25">
      <c r="C1100" s="246" t="s">
        <v>2450</v>
      </c>
      <c r="D1100" s="246">
        <v>1</v>
      </c>
      <c r="E1100" s="246">
        <v>2</v>
      </c>
      <c r="F1100" s="246">
        <v>3</v>
      </c>
      <c r="G1100" s="246">
        <v>4</v>
      </c>
      <c r="H1100" s="246">
        <v>5</v>
      </c>
      <c r="I1100" s="246">
        <v>9</v>
      </c>
      <c r="J1100" s="246">
        <v>12</v>
      </c>
      <c r="K1100" s="246">
        <v>14</v>
      </c>
      <c r="L1100" s="246">
        <v>15</v>
      </c>
      <c r="M1100" s="246"/>
      <c r="N1100" s="246"/>
      <c r="O1100" s="246"/>
      <c r="P1100" s="246"/>
      <c r="Q1100" s="246"/>
      <c r="R1100" s="246">
        <f>IFERROR(VLOOKUP(D1100,PROGRAMAS[],2,FALSE),0)</f>
        <v>97037803.679377079</v>
      </c>
      <c r="S1100" s="246">
        <f>IFERROR(VLOOKUP(E1100,PROGRAMAS[],2,FALSE),0)</f>
        <v>640501509.6821388</v>
      </c>
      <c r="T1100" s="246">
        <f>IFERROR(VLOOKUP(F1100,PROGRAMAS[],2,FALSE),0)</f>
        <v>3062327798.1525245</v>
      </c>
      <c r="U1100" s="246">
        <f>IFERROR(VLOOKUP(G1100,PROGRAMAS[],2,FALSE),0)</f>
        <v>67697118.033011258</v>
      </c>
      <c r="V1100" s="246">
        <f>IFERROR(VLOOKUP(H1100,PROGRAMAS[],2,FALSE),0)</f>
        <v>1440941976.2528784</v>
      </c>
      <c r="W1100" s="246">
        <f>IFERROR(VLOOKUP(I1100,PROGRAMAS[],2,FALSE),0)</f>
        <v>6128579952.1618185</v>
      </c>
      <c r="X1100" s="246">
        <f>IFERROR(VLOOKUP(J1100,PROGRAMAS[],2,FALSE),0)</f>
        <v>764796700.79905891</v>
      </c>
      <c r="Y1100" s="246">
        <f>IFERROR(VLOOKUP(K1100,PROGRAMAS[],2,FALSE),0)</f>
        <v>54223862.645839565</v>
      </c>
      <c r="Z1100" s="246">
        <f>IFERROR(VLOOKUP(L1100,PROGRAMAS[],2,FALSE),0)</f>
        <v>122159672.96346797</v>
      </c>
      <c r="AA1100" s="246">
        <f>IFERROR(VLOOKUP(M1100,PROGRAMAS[],2,FALSE),0)</f>
        <v>0</v>
      </c>
      <c r="AB1100" s="246">
        <f>IFERROR(VLOOKUP(N1100,PROGRAMAS[],2,FALSE),0)</f>
        <v>0</v>
      </c>
      <c r="AC1100" s="246">
        <f>IFERROR(VLOOKUP(O1100,PROGRAMAS[],2,FALSE),0)</f>
        <v>0</v>
      </c>
      <c r="AD1100" s="246">
        <f>IFERROR(VLOOKUP(P1100,PROGRAMAS[],2,FALSE),0)</f>
        <v>0</v>
      </c>
      <c r="AE1100" s="246">
        <f>IFERROR(VLOOKUP(Q1100,PROGRAMAS[],2,FALSE),0)</f>
        <v>0</v>
      </c>
      <c r="AF1100" s="246">
        <f>IFERROR(VLOOKUP(D1100,PROGRAMAS[],3,FALSE),0)</f>
        <v>841888629.31080008</v>
      </c>
      <c r="AG1100" s="246">
        <f>IFERROR(VLOOKUP(E1100,PROGRAMAS[],3,FALSE),0)</f>
        <v>3848980803.1642323</v>
      </c>
      <c r="AH1100" s="246">
        <f>IFERROR(VLOOKUP(F1100,PROGRAMAS[],3,FALSE),0)</f>
        <v>3394901471.387517</v>
      </c>
      <c r="AI1100" s="246">
        <f>IFERROR(VLOOKUP(G1100,PROGRAMAS[],3,FALSE),0)</f>
        <v>125317226.95549992</v>
      </c>
      <c r="AJ1100" s="246">
        <f>IFERROR(VLOOKUP(H1100,PROGRAMAS[],3,FALSE),0)</f>
        <v>1233505101.0616004</v>
      </c>
      <c r="AK1100" s="246">
        <f>IFERROR(VLOOKUP(I1100,PROGRAMAS[],3,FALSE),0)</f>
        <v>7011279577.519702</v>
      </c>
      <c r="AL1100" s="246">
        <f>IFERROR(VLOOKUP(J1100,PROGRAMAS[],3,FALSE),0)</f>
        <v>675517840.109828</v>
      </c>
      <c r="AM1100" s="246">
        <f>IFERROR(VLOOKUP(K1100,PROGRAMAS[],3,FALSE),0)</f>
        <v>31865326.38096505</v>
      </c>
      <c r="AN1100" s="246">
        <f>IFERROR(VLOOKUP(L1100,PROGRAMAS[],3,FALSE),0)</f>
        <v>118617452.52510804</v>
      </c>
      <c r="AO1100" s="246">
        <f>IFERROR(VLOOKUP(M1100,PROGRAMAS[],3,FALSE),0)</f>
        <v>0</v>
      </c>
      <c r="AP1100" s="246">
        <f>IFERROR(VLOOKUP(N1100,PROGRAMAS[],3,FALSE),0)</f>
        <v>0</v>
      </c>
      <c r="AQ1100" s="246">
        <f>IFERROR(VLOOKUP(O1100,PROGRAMAS[],3,FALSE),0)</f>
        <v>0</v>
      </c>
      <c r="AR1100" s="246">
        <f>IFERROR(VLOOKUP(P1100,PROGRAMAS[],3,FALSE),0)</f>
        <v>0</v>
      </c>
      <c r="AS1100" s="246">
        <f>IFERROR(VLOOKUP(Q1100,PROGRAMAS[],3,FALSE),0)</f>
        <v>0</v>
      </c>
      <c r="AT1100" s="246">
        <f>IFERROR(VLOOKUP(D1100,VOL_REC[],2,FALSE),0)</f>
        <v>0</v>
      </c>
      <c r="AU1100" s="246">
        <f>IFERROR(VLOOKUP(E1100,VOL_REC[],2,FALSE),0)</f>
        <v>0</v>
      </c>
      <c r="AV1100" s="246">
        <f>IFERROR(VLOOKUP(F1100,VOL_REC[],2,FALSE),0)</f>
        <v>11089674.200000001</v>
      </c>
      <c r="AW1100" s="246">
        <f>IFERROR(VLOOKUP(G1100,VOL_REC[],2,FALSE),0)</f>
        <v>90439.55</v>
      </c>
      <c r="AX1100" s="246">
        <f>IFERROR(VLOOKUP(H1100,VOL_REC[],2,FALSE),0)</f>
        <v>4325103.1812214684</v>
      </c>
      <c r="AY1100" s="246">
        <f>IFERROR(VLOOKUP(I1100,VOL_REC[],2,FALSE),0)</f>
        <v>3761786</v>
      </c>
      <c r="AZ1100" s="246">
        <f>IFERROR(VLOOKUP(J1100,VOL_REC[],2,FALSE),0)</f>
        <v>240696.79238099116</v>
      </c>
      <c r="BA1100" s="246">
        <f>IFERROR(VLOOKUP(K1100,VOL_REC[],2,FALSE),0)</f>
        <v>17074.045034105649</v>
      </c>
      <c r="BB1100" s="246">
        <f>IFERROR(VLOOKUP(L1100,VOL_REC[],2,FALSE),0)</f>
        <v>105072</v>
      </c>
      <c r="BC1100" s="246">
        <f>IFERROR(VLOOKUP(M1100,VOL_REC[],2,FALSE),0)</f>
        <v>0</v>
      </c>
      <c r="BD1100" s="246">
        <f>IFERROR(VLOOKUP(N1100,VOL_REC[],2,FALSE),0)</f>
        <v>0</v>
      </c>
      <c r="BE1100" s="246">
        <f>IFERROR(VLOOKUP(O1100,VOL_REC[],2,FALSE),0)</f>
        <v>0</v>
      </c>
      <c r="BF1100" s="246">
        <f>IFERROR(VLOOKUP(P1100,VOL_REC[],2,FALSE),0)</f>
        <v>0</v>
      </c>
      <c r="BG1100" s="246">
        <f>IFERROR(VLOOKUP(Q1100,VOL_REC[],2,FALSE),0)</f>
        <v>0</v>
      </c>
      <c r="BH1100" s="1710">
        <f t="shared" si="68"/>
        <v>12378266394.370117</v>
      </c>
      <c r="BI1100" s="1710">
        <f t="shared" si="69"/>
        <v>17281873428.415253</v>
      </c>
      <c r="BJ1100" s="1711">
        <f t="shared" si="70"/>
        <v>19629845.768636569</v>
      </c>
      <c r="BK1100" s="1711">
        <f t="shared" si="71"/>
        <v>0.71625720704663232</v>
      </c>
    </row>
    <row r="1101" spans="3:67" x14ac:dyDescent="0.25">
      <c r="C1101" s="246" t="s">
        <v>2451</v>
      </c>
      <c r="D1101" s="246">
        <v>1</v>
      </c>
      <c r="E1101" s="246">
        <v>2</v>
      </c>
      <c r="F1101" s="246">
        <v>3</v>
      </c>
      <c r="G1101" s="246">
        <v>4</v>
      </c>
      <c r="H1101" s="246">
        <v>5</v>
      </c>
      <c r="I1101" s="246">
        <v>9</v>
      </c>
      <c r="J1101" s="246">
        <v>12</v>
      </c>
      <c r="K1101" s="246">
        <v>14</v>
      </c>
      <c r="L1101" s="246">
        <v>16</v>
      </c>
      <c r="M1101" s="246"/>
      <c r="N1101" s="246"/>
      <c r="O1101" s="246"/>
      <c r="P1101" s="246"/>
      <c r="Q1101" s="246"/>
      <c r="R1101" s="246">
        <f>IFERROR(VLOOKUP(D1101,PROGRAMAS[],2,FALSE),0)</f>
        <v>97037803.679377079</v>
      </c>
      <c r="S1101" s="246">
        <f>IFERROR(VLOOKUP(E1101,PROGRAMAS[],2,FALSE),0)</f>
        <v>640501509.6821388</v>
      </c>
      <c r="T1101" s="246">
        <f>IFERROR(VLOOKUP(F1101,PROGRAMAS[],2,FALSE),0)</f>
        <v>3062327798.1525245</v>
      </c>
      <c r="U1101" s="246">
        <f>IFERROR(VLOOKUP(G1101,PROGRAMAS[],2,FALSE),0)</f>
        <v>67697118.033011258</v>
      </c>
      <c r="V1101" s="246">
        <f>IFERROR(VLOOKUP(H1101,PROGRAMAS[],2,FALSE),0)</f>
        <v>1440941976.2528784</v>
      </c>
      <c r="W1101" s="246">
        <f>IFERROR(VLOOKUP(I1101,PROGRAMAS[],2,FALSE),0)</f>
        <v>6128579952.1618185</v>
      </c>
      <c r="X1101" s="246">
        <f>IFERROR(VLOOKUP(J1101,PROGRAMAS[],2,FALSE),0)</f>
        <v>764796700.79905891</v>
      </c>
      <c r="Y1101" s="246">
        <f>IFERROR(VLOOKUP(K1101,PROGRAMAS[],2,FALSE),0)</f>
        <v>54223862.645839565</v>
      </c>
      <c r="Z1101" s="246">
        <f>IFERROR(VLOOKUP(L1101,PROGRAMAS[],2,FALSE),0)</f>
        <v>7068496961.0436354</v>
      </c>
      <c r="AA1101" s="246">
        <f>IFERROR(VLOOKUP(M1101,PROGRAMAS[],2,FALSE),0)</f>
        <v>0</v>
      </c>
      <c r="AB1101" s="246">
        <f>IFERROR(VLOOKUP(N1101,PROGRAMAS[],2,FALSE),0)</f>
        <v>0</v>
      </c>
      <c r="AC1101" s="246">
        <f>IFERROR(VLOOKUP(O1101,PROGRAMAS[],2,FALSE),0)</f>
        <v>0</v>
      </c>
      <c r="AD1101" s="246">
        <f>IFERROR(VLOOKUP(P1101,PROGRAMAS[],2,FALSE),0)</f>
        <v>0</v>
      </c>
      <c r="AE1101" s="246">
        <f>IFERROR(VLOOKUP(Q1101,PROGRAMAS[],2,FALSE),0)</f>
        <v>0</v>
      </c>
      <c r="AF1101" s="246">
        <f>IFERROR(VLOOKUP(D1101,PROGRAMAS[],3,FALSE),0)</f>
        <v>841888629.31080008</v>
      </c>
      <c r="AG1101" s="246">
        <f>IFERROR(VLOOKUP(E1101,PROGRAMAS[],3,FALSE),0)</f>
        <v>3848980803.1642323</v>
      </c>
      <c r="AH1101" s="246">
        <f>IFERROR(VLOOKUP(F1101,PROGRAMAS[],3,FALSE),0)</f>
        <v>3394901471.387517</v>
      </c>
      <c r="AI1101" s="246">
        <f>IFERROR(VLOOKUP(G1101,PROGRAMAS[],3,FALSE),0)</f>
        <v>125317226.95549992</v>
      </c>
      <c r="AJ1101" s="246">
        <f>IFERROR(VLOOKUP(H1101,PROGRAMAS[],3,FALSE),0)</f>
        <v>1233505101.0616004</v>
      </c>
      <c r="AK1101" s="246">
        <f>IFERROR(VLOOKUP(I1101,PROGRAMAS[],3,FALSE),0)</f>
        <v>7011279577.519702</v>
      </c>
      <c r="AL1101" s="246">
        <f>IFERROR(VLOOKUP(J1101,PROGRAMAS[],3,FALSE),0)</f>
        <v>675517840.109828</v>
      </c>
      <c r="AM1101" s="246">
        <f>IFERROR(VLOOKUP(K1101,PROGRAMAS[],3,FALSE),0)</f>
        <v>31865326.38096505</v>
      </c>
      <c r="AN1101" s="246">
        <f>IFERROR(VLOOKUP(L1101,PROGRAMAS[],3,FALSE),0)</f>
        <v>2406564599.0319901</v>
      </c>
      <c r="AO1101" s="246">
        <f>IFERROR(VLOOKUP(M1101,PROGRAMAS[],3,FALSE),0)</f>
        <v>0</v>
      </c>
      <c r="AP1101" s="246">
        <f>IFERROR(VLOOKUP(N1101,PROGRAMAS[],3,FALSE),0)</f>
        <v>0</v>
      </c>
      <c r="AQ1101" s="246">
        <f>IFERROR(VLOOKUP(O1101,PROGRAMAS[],3,FALSE),0)</f>
        <v>0</v>
      </c>
      <c r="AR1101" s="246">
        <f>IFERROR(VLOOKUP(P1101,PROGRAMAS[],3,FALSE),0)</f>
        <v>0</v>
      </c>
      <c r="AS1101" s="246">
        <f>IFERROR(VLOOKUP(Q1101,PROGRAMAS[],3,FALSE),0)</f>
        <v>0</v>
      </c>
      <c r="AT1101" s="246">
        <f>IFERROR(VLOOKUP(D1101,VOL_REC[],2,FALSE),0)</f>
        <v>0</v>
      </c>
      <c r="AU1101" s="246">
        <f>IFERROR(VLOOKUP(E1101,VOL_REC[],2,FALSE),0)</f>
        <v>0</v>
      </c>
      <c r="AV1101" s="246">
        <f>IFERROR(VLOOKUP(F1101,VOL_REC[],2,FALSE),0)</f>
        <v>11089674.200000001</v>
      </c>
      <c r="AW1101" s="246">
        <f>IFERROR(VLOOKUP(G1101,VOL_REC[],2,FALSE),0)</f>
        <v>90439.55</v>
      </c>
      <c r="AX1101" s="246">
        <f>IFERROR(VLOOKUP(H1101,VOL_REC[],2,FALSE),0)</f>
        <v>4325103.1812214684</v>
      </c>
      <c r="AY1101" s="246">
        <f>IFERROR(VLOOKUP(I1101,VOL_REC[],2,FALSE),0)</f>
        <v>3761786</v>
      </c>
      <c r="AZ1101" s="246">
        <f>IFERROR(VLOOKUP(J1101,VOL_REC[],2,FALSE),0)</f>
        <v>240696.79238099116</v>
      </c>
      <c r="BA1101" s="246">
        <f>IFERROR(VLOOKUP(K1101,VOL_REC[],2,FALSE),0)</f>
        <v>17074.045034105649</v>
      </c>
      <c r="BB1101" s="246">
        <f>IFERROR(VLOOKUP(L1101,VOL_REC[],2,FALSE),0)</f>
        <v>1072354.9981737854</v>
      </c>
      <c r="BC1101" s="246">
        <f>IFERROR(VLOOKUP(M1101,VOL_REC[],2,FALSE),0)</f>
        <v>0</v>
      </c>
      <c r="BD1101" s="246">
        <f>IFERROR(VLOOKUP(N1101,VOL_REC[],2,FALSE),0)</f>
        <v>0</v>
      </c>
      <c r="BE1101" s="246">
        <f>IFERROR(VLOOKUP(O1101,VOL_REC[],2,FALSE),0)</f>
        <v>0</v>
      </c>
      <c r="BF1101" s="246">
        <f>IFERROR(VLOOKUP(P1101,VOL_REC[],2,FALSE),0)</f>
        <v>0</v>
      </c>
      <c r="BG1101" s="246">
        <f>IFERROR(VLOOKUP(Q1101,VOL_REC[],2,FALSE),0)</f>
        <v>0</v>
      </c>
      <c r="BH1101" s="1710">
        <f t="shared" si="68"/>
        <v>19324603682.450283</v>
      </c>
      <c r="BI1101" s="1710">
        <f t="shared" si="69"/>
        <v>19569820574.922134</v>
      </c>
      <c r="BJ1101" s="1711">
        <f t="shared" si="70"/>
        <v>20597128.766810354</v>
      </c>
      <c r="BK1101" s="1711">
        <f t="shared" si="71"/>
        <v>0.98746964022827655</v>
      </c>
    </row>
    <row r="1102" spans="3:67" x14ac:dyDescent="0.25">
      <c r="C1102" s="246" t="s">
        <v>2452</v>
      </c>
      <c r="D1102" s="246">
        <v>1</v>
      </c>
      <c r="E1102" s="246">
        <v>2</v>
      </c>
      <c r="F1102" s="246">
        <v>3</v>
      </c>
      <c r="G1102" s="246">
        <v>4</v>
      </c>
      <c r="H1102" s="246">
        <v>5</v>
      </c>
      <c r="I1102" s="246">
        <v>9</v>
      </c>
      <c r="J1102" s="246">
        <v>12</v>
      </c>
      <c r="K1102" s="246">
        <v>14</v>
      </c>
      <c r="L1102" s="246">
        <v>17</v>
      </c>
      <c r="M1102" s="246"/>
      <c r="N1102" s="246"/>
      <c r="O1102" s="246"/>
      <c r="P1102" s="246"/>
      <c r="Q1102" s="246"/>
      <c r="R1102" s="246">
        <f>IFERROR(VLOOKUP(D1102,PROGRAMAS[],2,FALSE),0)</f>
        <v>97037803.679377079</v>
      </c>
      <c r="S1102" s="246">
        <f>IFERROR(VLOOKUP(E1102,PROGRAMAS[],2,FALSE),0)</f>
        <v>640501509.6821388</v>
      </c>
      <c r="T1102" s="246">
        <f>IFERROR(VLOOKUP(F1102,PROGRAMAS[],2,FALSE),0)</f>
        <v>3062327798.1525245</v>
      </c>
      <c r="U1102" s="246">
        <f>IFERROR(VLOOKUP(G1102,PROGRAMAS[],2,FALSE),0)</f>
        <v>67697118.033011258</v>
      </c>
      <c r="V1102" s="246">
        <f>IFERROR(VLOOKUP(H1102,PROGRAMAS[],2,FALSE),0)</f>
        <v>1440941976.2528784</v>
      </c>
      <c r="W1102" s="246">
        <f>IFERROR(VLOOKUP(I1102,PROGRAMAS[],2,FALSE),0)</f>
        <v>6128579952.1618185</v>
      </c>
      <c r="X1102" s="246">
        <f>IFERROR(VLOOKUP(J1102,PROGRAMAS[],2,FALSE),0)</f>
        <v>764796700.79905891</v>
      </c>
      <c r="Y1102" s="246">
        <f>IFERROR(VLOOKUP(K1102,PROGRAMAS[],2,FALSE),0)</f>
        <v>54223862.645839565</v>
      </c>
      <c r="Z1102" s="246">
        <f>IFERROR(VLOOKUP(L1102,PROGRAMAS[],2,FALSE),0)</f>
        <v>1892779498.5211046</v>
      </c>
      <c r="AA1102" s="246">
        <f>IFERROR(VLOOKUP(M1102,PROGRAMAS[],2,FALSE),0)</f>
        <v>0</v>
      </c>
      <c r="AB1102" s="246">
        <f>IFERROR(VLOOKUP(N1102,PROGRAMAS[],2,FALSE),0)</f>
        <v>0</v>
      </c>
      <c r="AC1102" s="246">
        <f>IFERROR(VLOOKUP(O1102,PROGRAMAS[],2,FALSE),0)</f>
        <v>0</v>
      </c>
      <c r="AD1102" s="246">
        <f>IFERROR(VLOOKUP(P1102,PROGRAMAS[],2,FALSE),0)</f>
        <v>0</v>
      </c>
      <c r="AE1102" s="246">
        <f>IFERROR(VLOOKUP(Q1102,PROGRAMAS[],2,FALSE),0)</f>
        <v>0</v>
      </c>
      <c r="AF1102" s="246">
        <f>IFERROR(VLOOKUP(D1102,PROGRAMAS[],3,FALSE),0)</f>
        <v>841888629.31080008</v>
      </c>
      <c r="AG1102" s="246">
        <f>IFERROR(VLOOKUP(E1102,PROGRAMAS[],3,FALSE),0)</f>
        <v>3848980803.1642323</v>
      </c>
      <c r="AH1102" s="246">
        <f>IFERROR(VLOOKUP(F1102,PROGRAMAS[],3,FALSE),0)</f>
        <v>3394901471.387517</v>
      </c>
      <c r="AI1102" s="246">
        <f>IFERROR(VLOOKUP(G1102,PROGRAMAS[],3,FALSE),0)</f>
        <v>125317226.95549992</v>
      </c>
      <c r="AJ1102" s="246">
        <f>IFERROR(VLOOKUP(H1102,PROGRAMAS[],3,FALSE),0)</f>
        <v>1233505101.0616004</v>
      </c>
      <c r="AK1102" s="246">
        <f>IFERROR(VLOOKUP(I1102,PROGRAMAS[],3,FALSE),0)</f>
        <v>7011279577.519702</v>
      </c>
      <c r="AL1102" s="246">
        <f>IFERROR(VLOOKUP(J1102,PROGRAMAS[],3,FALSE),0)</f>
        <v>675517840.109828</v>
      </c>
      <c r="AM1102" s="246">
        <f>IFERROR(VLOOKUP(K1102,PROGRAMAS[],3,FALSE),0)</f>
        <v>31865326.38096505</v>
      </c>
      <c r="AN1102" s="246">
        <f>IFERROR(VLOOKUP(L1102,PROGRAMAS[],3,FALSE),0)</f>
        <v>948595847.09039903</v>
      </c>
      <c r="AO1102" s="246">
        <f>IFERROR(VLOOKUP(M1102,PROGRAMAS[],3,FALSE),0)</f>
        <v>0</v>
      </c>
      <c r="AP1102" s="246">
        <f>IFERROR(VLOOKUP(N1102,PROGRAMAS[],3,FALSE),0)</f>
        <v>0</v>
      </c>
      <c r="AQ1102" s="246">
        <f>IFERROR(VLOOKUP(O1102,PROGRAMAS[],3,FALSE),0)</f>
        <v>0</v>
      </c>
      <c r="AR1102" s="246">
        <f>IFERROR(VLOOKUP(P1102,PROGRAMAS[],3,FALSE),0)</f>
        <v>0</v>
      </c>
      <c r="AS1102" s="246">
        <f>IFERROR(VLOOKUP(Q1102,PROGRAMAS[],3,FALSE),0)</f>
        <v>0</v>
      </c>
      <c r="AT1102" s="246">
        <f>IFERROR(VLOOKUP(D1102,VOL_REC[],2,FALSE),0)</f>
        <v>0</v>
      </c>
      <c r="AU1102" s="246">
        <f>IFERROR(VLOOKUP(E1102,VOL_REC[],2,FALSE),0)</f>
        <v>0</v>
      </c>
      <c r="AV1102" s="246">
        <f>IFERROR(VLOOKUP(F1102,VOL_REC[],2,FALSE),0)</f>
        <v>11089674.200000001</v>
      </c>
      <c r="AW1102" s="246">
        <f>IFERROR(VLOOKUP(G1102,VOL_REC[],2,FALSE),0)</f>
        <v>90439.55</v>
      </c>
      <c r="AX1102" s="246">
        <f>IFERROR(VLOOKUP(H1102,VOL_REC[],2,FALSE),0)</f>
        <v>4325103.1812214684</v>
      </c>
      <c r="AY1102" s="246">
        <f>IFERROR(VLOOKUP(I1102,VOL_REC[],2,FALSE),0)</f>
        <v>3761786</v>
      </c>
      <c r="AZ1102" s="246">
        <f>IFERROR(VLOOKUP(J1102,VOL_REC[],2,FALSE),0)</f>
        <v>240696.79238099116</v>
      </c>
      <c r="BA1102" s="246">
        <f>IFERROR(VLOOKUP(K1102,VOL_REC[],2,FALSE),0)</f>
        <v>17074.045034105649</v>
      </c>
      <c r="BB1102" s="246">
        <f>IFERROR(VLOOKUP(L1102,VOL_REC[],2,FALSE),0)</f>
        <v>740113.98115702497</v>
      </c>
      <c r="BC1102" s="246">
        <f>IFERROR(VLOOKUP(M1102,VOL_REC[],2,FALSE),0)</f>
        <v>0</v>
      </c>
      <c r="BD1102" s="246">
        <f>IFERROR(VLOOKUP(N1102,VOL_REC[],2,FALSE),0)</f>
        <v>0</v>
      </c>
      <c r="BE1102" s="246">
        <f>IFERROR(VLOOKUP(O1102,VOL_REC[],2,FALSE),0)</f>
        <v>0</v>
      </c>
      <c r="BF1102" s="246">
        <f>IFERROR(VLOOKUP(P1102,VOL_REC[],2,FALSE),0)</f>
        <v>0</v>
      </c>
      <c r="BG1102" s="246">
        <f>IFERROR(VLOOKUP(Q1102,VOL_REC[],2,FALSE),0)</f>
        <v>0</v>
      </c>
      <c r="BH1102" s="1710">
        <f t="shared" si="68"/>
        <v>14148886219.927753</v>
      </c>
      <c r="BI1102" s="1710">
        <f t="shared" si="69"/>
        <v>18111851822.980545</v>
      </c>
      <c r="BJ1102" s="1711">
        <f t="shared" si="70"/>
        <v>20264887.749793593</v>
      </c>
      <c r="BK1102" s="1711">
        <f t="shared" si="71"/>
        <v>0.78119489703286271</v>
      </c>
    </row>
    <row r="1103" spans="3:67" x14ac:dyDescent="0.25">
      <c r="C1103" s="246" t="s">
        <v>2453</v>
      </c>
      <c r="D1103" s="246">
        <v>1</v>
      </c>
      <c r="E1103" s="246">
        <v>2</v>
      </c>
      <c r="F1103" s="246">
        <v>3</v>
      </c>
      <c r="G1103" s="246">
        <v>4</v>
      </c>
      <c r="H1103" s="246">
        <v>5</v>
      </c>
      <c r="I1103" s="246">
        <v>9</v>
      </c>
      <c r="J1103" s="246">
        <v>12</v>
      </c>
      <c r="K1103" s="246">
        <v>15</v>
      </c>
      <c r="L1103" s="246">
        <v>16</v>
      </c>
      <c r="M1103" s="246"/>
      <c r="N1103" s="246"/>
      <c r="O1103" s="246"/>
      <c r="P1103" s="246"/>
      <c r="Q1103" s="246"/>
      <c r="R1103" s="246">
        <f>IFERROR(VLOOKUP(D1103,PROGRAMAS[],2,FALSE),0)</f>
        <v>97037803.679377079</v>
      </c>
      <c r="S1103" s="246">
        <f>IFERROR(VLOOKUP(E1103,PROGRAMAS[],2,FALSE),0)</f>
        <v>640501509.6821388</v>
      </c>
      <c r="T1103" s="246">
        <f>IFERROR(VLOOKUP(F1103,PROGRAMAS[],2,FALSE),0)</f>
        <v>3062327798.1525245</v>
      </c>
      <c r="U1103" s="246">
        <f>IFERROR(VLOOKUP(G1103,PROGRAMAS[],2,FALSE),0)</f>
        <v>67697118.033011258</v>
      </c>
      <c r="V1103" s="246">
        <f>IFERROR(VLOOKUP(H1103,PROGRAMAS[],2,FALSE),0)</f>
        <v>1440941976.2528784</v>
      </c>
      <c r="W1103" s="246">
        <f>IFERROR(VLOOKUP(I1103,PROGRAMAS[],2,FALSE),0)</f>
        <v>6128579952.1618185</v>
      </c>
      <c r="X1103" s="246">
        <f>IFERROR(VLOOKUP(J1103,PROGRAMAS[],2,FALSE),0)</f>
        <v>764796700.79905891</v>
      </c>
      <c r="Y1103" s="246">
        <f>IFERROR(VLOOKUP(K1103,PROGRAMAS[],2,FALSE),0)</f>
        <v>122159672.96346797</v>
      </c>
      <c r="Z1103" s="246">
        <f>IFERROR(VLOOKUP(L1103,PROGRAMAS[],2,FALSE),0)</f>
        <v>7068496961.0436354</v>
      </c>
      <c r="AA1103" s="246">
        <f>IFERROR(VLOOKUP(M1103,PROGRAMAS[],2,FALSE),0)</f>
        <v>0</v>
      </c>
      <c r="AB1103" s="246">
        <f>IFERROR(VLOOKUP(N1103,PROGRAMAS[],2,FALSE),0)</f>
        <v>0</v>
      </c>
      <c r="AC1103" s="246">
        <f>IFERROR(VLOOKUP(O1103,PROGRAMAS[],2,FALSE),0)</f>
        <v>0</v>
      </c>
      <c r="AD1103" s="246">
        <f>IFERROR(VLOOKUP(P1103,PROGRAMAS[],2,FALSE),0)</f>
        <v>0</v>
      </c>
      <c r="AE1103" s="246">
        <f>IFERROR(VLOOKUP(Q1103,PROGRAMAS[],2,FALSE),0)</f>
        <v>0</v>
      </c>
      <c r="AF1103" s="246">
        <f>IFERROR(VLOOKUP(D1103,PROGRAMAS[],3,FALSE),0)</f>
        <v>841888629.31080008</v>
      </c>
      <c r="AG1103" s="246">
        <f>IFERROR(VLOOKUP(E1103,PROGRAMAS[],3,FALSE),0)</f>
        <v>3848980803.1642323</v>
      </c>
      <c r="AH1103" s="246">
        <f>IFERROR(VLOOKUP(F1103,PROGRAMAS[],3,FALSE),0)</f>
        <v>3394901471.387517</v>
      </c>
      <c r="AI1103" s="246">
        <f>IFERROR(VLOOKUP(G1103,PROGRAMAS[],3,FALSE),0)</f>
        <v>125317226.95549992</v>
      </c>
      <c r="AJ1103" s="246">
        <f>IFERROR(VLOOKUP(H1103,PROGRAMAS[],3,FALSE),0)</f>
        <v>1233505101.0616004</v>
      </c>
      <c r="AK1103" s="246">
        <f>IFERROR(VLOOKUP(I1103,PROGRAMAS[],3,FALSE),0)</f>
        <v>7011279577.519702</v>
      </c>
      <c r="AL1103" s="246">
        <f>IFERROR(VLOOKUP(J1103,PROGRAMAS[],3,FALSE),0)</f>
        <v>675517840.109828</v>
      </c>
      <c r="AM1103" s="246">
        <f>IFERROR(VLOOKUP(K1103,PROGRAMAS[],3,FALSE),0)</f>
        <v>118617452.52510804</v>
      </c>
      <c r="AN1103" s="246">
        <f>IFERROR(VLOOKUP(L1103,PROGRAMAS[],3,FALSE),0)</f>
        <v>2406564599.0319901</v>
      </c>
      <c r="AO1103" s="246">
        <f>IFERROR(VLOOKUP(M1103,PROGRAMAS[],3,FALSE),0)</f>
        <v>0</v>
      </c>
      <c r="AP1103" s="246">
        <f>IFERROR(VLOOKUP(N1103,PROGRAMAS[],3,FALSE),0)</f>
        <v>0</v>
      </c>
      <c r="AQ1103" s="246">
        <f>IFERROR(VLOOKUP(O1103,PROGRAMAS[],3,FALSE),0)</f>
        <v>0</v>
      </c>
      <c r="AR1103" s="246">
        <f>IFERROR(VLOOKUP(P1103,PROGRAMAS[],3,FALSE),0)</f>
        <v>0</v>
      </c>
      <c r="AS1103" s="246">
        <f>IFERROR(VLOOKUP(Q1103,PROGRAMAS[],3,FALSE),0)</f>
        <v>0</v>
      </c>
      <c r="AT1103" s="246">
        <f>IFERROR(VLOOKUP(D1103,VOL_REC[],2,FALSE),0)</f>
        <v>0</v>
      </c>
      <c r="AU1103" s="246">
        <f>IFERROR(VLOOKUP(E1103,VOL_REC[],2,FALSE),0)</f>
        <v>0</v>
      </c>
      <c r="AV1103" s="246">
        <f>IFERROR(VLOOKUP(F1103,VOL_REC[],2,FALSE),0)</f>
        <v>11089674.200000001</v>
      </c>
      <c r="AW1103" s="246">
        <f>IFERROR(VLOOKUP(G1103,VOL_REC[],2,FALSE),0)</f>
        <v>90439.55</v>
      </c>
      <c r="AX1103" s="246">
        <f>IFERROR(VLOOKUP(H1103,VOL_REC[],2,FALSE),0)</f>
        <v>4325103.1812214684</v>
      </c>
      <c r="AY1103" s="246">
        <f>IFERROR(VLOOKUP(I1103,VOL_REC[],2,FALSE),0)</f>
        <v>3761786</v>
      </c>
      <c r="AZ1103" s="246">
        <f>IFERROR(VLOOKUP(J1103,VOL_REC[],2,FALSE),0)</f>
        <v>240696.79238099116</v>
      </c>
      <c r="BA1103" s="246">
        <f>IFERROR(VLOOKUP(K1103,VOL_REC[],2,FALSE),0)</f>
        <v>105072</v>
      </c>
      <c r="BB1103" s="246">
        <f>IFERROR(VLOOKUP(L1103,VOL_REC[],2,FALSE),0)</f>
        <v>1072354.9981737854</v>
      </c>
      <c r="BC1103" s="246">
        <f>IFERROR(VLOOKUP(M1103,VOL_REC[],2,FALSE),0)</f>
        <v>0</v>
      </c>
      <c r="BD1103" s="246">
        <f>IFERROR(VLOOKUP(N1103,VOL_REC[],2,FALSE),0)</f>
        <v>0</v>
      </c>
      <c r="BE1103" s="246">
        <f>IFERROR(VLOOKUP(O1103,VOL_REC[],2,FALSE),0)</f>
        <v>0</v>
      </c>
      <c r="BF1103" s="246">
        <f>IFERROR(VLOOKUP(P1103,VOL_REC[],2,FALSE),0)</f>
        <v>0</v>
      </c>
      <c r="BG1103" s="246">
        <f>IFERROR(VLOOKUP(Q1103,VOL_REC[],2,FALSE),0)</f>
        <v>0</v>
      </c>
      <c r="BH1103" s="1710">
        <f t="shared" si="68"/>
        <v>19392539492.767914</v>
      </c>
      <c r="BI1103" s="1710">
        <f t="shared" si="69"/>
        <v>19656572701.06628</v>
      </c>
      <c r="BJ1103" s="1711">
        <f t="shared" si="70"/>
        <v>20685126.721776247</v>
      </c>
      <c r="BK1103" s="1711">
        <f t="shared" si="71"/>
        <v>0.98656768846157783</v>
      </c>
    </row>
    <row r="1104" spans="3:67" x14ac:dyDescent="0.25">
      <c r="C1104" s="246" t="s">
        <v>2454</v>
      </c>
      <c r="D1104" s="246">
        <v>1</v>
      </c>
      <c r="E1104" s="246">
        <v>2</v>
      </c>
      <c r="F1104" s="246">
        <v>3</v>
      </c>
      <c r="G1104" s="246">
        <v>4</v>
      </c>
      <c r="H1104" s="246">
        <v>5</v>
      </c>
      <c r="I1104" s="246">
        <v>9</v>
      </c>
      <c r="J1104" s="246">
        <v>12</v>
      </c>
      <c r="K1104" s="246">
        <v>15</v>
      </c>
      <c r="L1104" s="246">
        <v>17</v>
      </c>
      <c r="M1104" s="246"/>
      <c r="N1104" s="246"/>
      <c r="O1104" s="246"/>
      <c r="P1104" s="246"/>
      <c r="Q1104" s="246"/>
      <c r="R1104" s="246">
        <f>IFERROR(VLOOKUP(D1104,PROGRAMAS[],2,FALSE),0)</f>
        <v>97037803.679377079</v>
      </c>
      <c r="S1104" s="246">
        <f>IFERROR(VLOOKUP(E1104,PROGRAMAS[],2,FALSE),0)</f>
        <v>640501509.6821388</v>
      </c>
      <c r="T1104" s="246">
        <f>IFERROR(VLOOKUP(F1104,PROGRAMAS[],2,FALSE),0)</f>
        <v>3062327798.1525245</v>
      </c>
      <c r="U1104" s="246">
        <f>IFERROR(VLOOKUP(G1104,PROGRAMAS[],2,FALSE),0)</f>
        <v>67697118.033011258</v>
      </c>
      <c r="V1104" s="246">
        <f>IFERROR(VLOOKUP(H1104,PROGRAMAS[],2,FALSE),0)</f>
        <v>1440941976.2528784</v>
      </c>
      <c r="W1104" s="246">
        <f>IFERROR(VLOOKUP(I1104,PROGRAMAS[],2,FALSE),0)</f>
        <v>6128579952.1618185</v>
      </c>
      <c r="X1104" s="246">
        <f>IFERROR(VLOOKUP(J1104,PROGRAMAS[],2,FALSE),0)</f>
        <v>764796700.79905891</v>
      </c>
      <c r="Y1104" s="246">
        <f>IFERROR(VLOOKUP(K1104,PROGRAMAS[],2,FALSE),0)</f>
        <v>122159672.96346797</v>
      </c>
      <c r="Z1104" s="246">
        <f>IFERROR(VLOOKUP(L1104,PROGRAMAS[],2,FALSE),0)</f>
        <v>1892779498.5211046</v>
      </c>
      <c r="AA1104" s="246">
        <f>IFERROR(VLOOKUP(M1104,PROGRAMAS[],2,FALSE),0)</f>
        <v>0</v>
      </c>
      <c r="AB1104" s="246">
        <f>IFERROR(VLOOKUP(N1104,PROGRAMAS[],2,FALSE),0)</f>
        <v>0</v>
      </c>
      <c r="AC1104" s="246">
        <f>IFERROR(VLOOKUP(O1104,PROGRAMAS[],2,FALSE),0)</f>
        <v>0</v>
      </c>
      <c r="AD1104" s="246">
        <f>IFERROR(VLOOKUP(P1104,PROGRAMAS[],2,FALSE),0)</f>
        <v>0</v>
      </c>
      <c r="AE1104" s="246">
        <f>IFERROR(VLOOKUP(Q1104,PROGRAMAS[],2,FALSE),0)</f>
        <v>0</v>
      </c>
      <c r="AF1104" s="246">
        <f>IFERROR(VLOOKUP(D1104,PROGRAMAS[],3,FALSE),0)</f>
        <v>841888629.31080008</v>
      </c>
      <c r="AG1104" s="246">
        <f>IFERROR(VLOOKUP(E1104,PROGRAMAS[],3,FALSE),0)</f>
        <v>3848980803.1642323</v>
      </c>
      <c r="AH1104" s="246">
        <f>IFERROR(VLOOKUP(F1104,PROGRAMAS[],3,FALSE),0)</f>
        <v>3394901471.387517</v>
      </c>
      <c r="AI1104" s="246">
        <f>IFERROR(VLOOKUP(G1104,PROGRAMAS[],3,FALSE),0)</f>
        <v>125317226.95549992</v>
      </c>
      <c r="AJ1104" s="246">
        <f>IFERROR(VLOOKUP(H1104,PROGRAMAS[],3,FALSE),0)</f>
        <v>1233505101.0616004</v>
      </c>
      <c r="AK1104" s="246">
        <f>IFERROR(VLOOKUP(I1104,PROGRAMAS[],3,FALSE),0)</f>
        <v>7011279577.519702</v>
      </c>
      <c r="AL1104" s="246">
        <f>IFERROR(VLOOKUP(J1104,PROGRAMAS[],3,FALSE),0)</f>
        <v>675517840.109828</v>
      </c>
      <c r="AM1104" s="246">
        <f>IFERROR(VLOOKUP(K1104,PROGRAMAS[],3,FALSE),0)</f>
        <v>118617452.52510804</v>
      </c>
      <c r="AN1104" s="246">
        <f>IFERROR(VLOOKUP(L1104,PROGRAMAS[],3,FALSE),0)</f>
        <v>948595847.09039903</v>
      </c>
      <c r="AO1104" s="246">
        <f>IFERROR(VLOOKUP(M1104,PROGRAMAS[],3,FALSE),0)</f>
        <v>0</v>
      </c>
      <c r="AP1104" s="246">
        <f>IFERROR(VLOOKUP(N1104,PROGRAMAS[],3,FALSE),0)</f>
        <v>0</v>
      </c>
      <c r="AQ1104" s="246">
        <f>IFERROR(VLOOKUP(O1104,PROGRAMAS[],3,FALSE),0)</f>
        <v>0</v>
      </c>
      <c r="AR1104" s="246">
        <f>IFERROR(VLOOKUP(P1104,PROGRAMAS[],3,FALSE),0)</f>
        <v>0</v>
      </c>
      <c r="AS1104" s="246">
        <f>IFERROR(VLOOKUP(Q1104,PROGRAMAS[],3,FALSE),0)</f>
        <v>0</v>
      </c>
      <c r="AT1104" s="246">
        <f>IFERROR(VLOOKUP(D1104,VOL_REC[],2,FALSE),0)</f>
        <v>0</v>
      </c>
      <c r="AU1104" s="246">
        <f>IFERROR(VLOOKUP(E1104,VOL_REC[],2,FALSE),0)</f>
        <v>0</v>
      </c>
      <c r="AV1104" s="246">
        <f>IFERROR(VLOOKUP(F1104,VOL_REC[],2,FALSE),0)</f>
        <v>11089674.200000001</v>
      </c>
      <c r="AW1104" s="246">
        <f>IFERROR(VLOOKUP(G1104,VOL_REC[],2,FALSE),0)</f>
        <v>90439.55</v>
      </c>
      <c r="AX1104" s="246">
        <f>IFERROR(VLOOKUP(H1104,VOL_REC[],2,FALSE),0)</f>
        <v>4325103.1812214684</v>
      </c>
      <c r="AY1104" s="246">
        <f>IFERROR(VLOOKUP(I1104,VOL_REC[],2,FALSE),0)</f>
        <v>3761786</v>
      </c>
      <c r="AZ1104" s="246">
        <f>IFERROR(VLOOKUP(J1104,VOL_REC[],2,FALSE),0)</f>
        <v>240696.79238099116</v>
      </c>
      <c r="BA1104" s="246">
        <f>IFERROR(VLOOKUP(K1104,VOL_REC[],2,FALSE),0)</f>
        <v>105072</v>
      </c>
      <c r="BB1104" s="246">
        <f>IFERROR(VLOOKUP(L1104,VOL_REC[],2,FALSE),0)</f>
        <v>740113.98115702497</v>
      </c>
      <c r="BC1104" s="246">
        <f>IFERROR(VLOOKUP(M1104,VOL_REC[],2,FALSE),0)</f>
        <v>0</v>
      </c>
      <c r="BD1104" s="246">
        <f>IFERROR(VLOOKUP(N1104,VOL_REC[],2,FALSE),0)</f>
        <v>0</v>
      </c>
      <c r="BE1104" s="246">
        <f>IFERROR(VLOOKUP(O1104,VOL_REC[],2,FALSE),0)</f>
        <v>0</v>
      </c>
      <c r="BF1104" s="246">
        <f>IFERROR(VLOOKUP(P1104,VOL_REC[],2,FALSE),0)</f>
        <v>0</v>
      </c>
      <c r="BG1104" s="246">
        <f>IFERROR(VLOOKUP(Q1104,VOL_REC[],2,FALSE),0)</f>
        <v>0</v>
      </c>
      <c r="BH1104" s="1710">
        <f t="shared" si="68"/>
        <v>14216822030.245382</v>
      </c>
      <c r="BI1104" s="1710">
        <f t="shared" si="69"/>
        <v>18198603949.124691</v>
      </c>
      <c r="BJ1104" s="1711">
        <f t="shared" si="70"/>
        <v>20352885.704759486</v>
      </c>
      <c r="BK1104" s="1711">
        <f t="shared" si="71"/>
        <v>0.78120399070112068</v>
      </c>
    </row>
    <row r="1105" spans="3:67" x14ac:dyDescent="0.25">
      <c r="C1105" s="246" t="s">
        <v>2455</v>
      </c>
      <c r="D1105" s="246">
        <v>1</v>
      </c>
      <c r="E1105" s="246">
        <v>2</v>
      </c>
      <c r="F1105" s="246">
        <v>3</v>
      </c>
      <c r="G1105" s="246">
        <v>4</v>
      </c>
      <c r="H1105" s="246">
        <v>5</v>
      </c>
      <c r="I1105" s="246">
        <v>9</v>
      </c>
      <c r="J1105" s="246">
        <v>12</v>
      </c>
      <c r="K1105" s="246">
        <v>16</v>
      </c>
      <c r="L1105" s="246">
        <v>17</v>
      </c>
      <c r="M1105" s="246"/>
      <c r="N1105" s="246"/>
      <c r="O1105" s="246"/>
      <c r="P1105" s="246"/>
      <c r="Q1105" s="246"/>
      <c r="R1105" s="246">
        <f>IFERROR(VLOOKUP(D1105,PROGRAMAS[],2,FALSE),0)</f>
        <v>97037803.679377079</v>
      </c>
      <c r="S1105" s="246">
        <f>IFERROR(VLOOKUP(E1105,PROGRAMAS[],2,FALSE),0)</f>
        <v>640501509.6821388</v>
      </c>
      <c r="T1105" s="246">
        <f>IFERROR(VLOOKUP(F1105,PROGRAMAS[],2,FALSE),0)</f>
        <v>3062327798.1525245</v>
      </c>
      <c r="U1105" s="246">
        <f>IFERROR(VLOOKUP(G1105,PROGRAMAS[],2,FALSE),0)</f>
        <v>67697118.033011258</v>
      </c>
      <c r="V1105" s="246">
        <f>IFERROR(VLOOKUP(H1105,PROGRAMAS[],2,FALSE),0)</f>
        <v>1440941976.2528784</v>
      </c>
      <c r="W1105" s="246">
        <f>IFERROR(VLOOKUP(I1105,PROGRAMAS[],2,FALSE),0)</f>
        <v>6128579952.1618185</v>
      </c>
      <c r="X1105" s="246">
        <f>IFERROR(VLOOKUP(J1105,PROGRAMAS[],2,FALSE),0)</f>
        <v>764796700.79905891</v>
      </c>
      <c r="Y1105" s="246">
        <f>IFERROR(VLOOKUP(K1105,PROGRAMAS[],2,FALSE),0)</f>
        <v>7068496961.0436354</v>
      </c>
      <c r="Z1105" s="246">
        <f>IFERROR(VLOOKUP(L1105,PROGRAMAS[],2,FALSE),0)</f>
        <v>1892779498.5211046</v>
      </c>
      <c r="AA1105" s="246">
        <f>IFERROR(VLOOKUP(M1105,PROGRAMAS[],2,FALSE),0)</f>
        <v>0</v>
      </c>
      <c r="AB1105" s="246">
        <f>IFERROR(VLOOKUP(N1105,PROGRAMAS[],2,FALSE),0)</f>
        <v>0</v>
      </c>
      <c r="AC1105" s="246">
        <f>IFERROR(VLOOKUP(O1105,PROGRAMAS[],2,FALSE),0)</f>
        <v>0</v>
      </c>
      <c r="AD1105" s="246">
        <f>IFERROR(VLOOKUP(P1105,PROGRAMAS[],2,FALSE),0)</f>
        <v>0</v>
      </c>
      <c r="AE1105" s="246">
        <f>IFERROR(VLOOKUP(Q1105,PROGRAMAS[],2,FALSE),0)</f>
        <v>0</v>
      </c>
      <c r="AF1105" s="246">
        <f>IFERROR(VLOOKUP(D1105,PROGRAMAS[],3,FALSE),0)</f>
        <v>841888629.31080008</v>
      </c>
      <c r="AG1105" s="246">
        <f>IFERROR(VLOOKUP(E1105,PROGRAMAS[],3,FALSE),0)</f>
        <v>3848980803.1642323</v>
      </c>
      <c r="AH1105" s="246">
        <f>IFERROR(VLOOKUP(F1105,PROGRAMAS[],3,FALSE),0)</f>
        <v>3394901471.387517</v>
      </c>
      <c r="AI1105" s="246">
        <f>IFERROR(VLOOKUP(G1105,PROGRAMAS[],3,FALSE),0)</f>
        <v>125317226.95549992</v>
      </c>
      <c r="AJ1105" s="246">
        <f>IFERROR(VLOOKUP(H1105,PROGRAMAS[],3,FALSE),0)</f>
        <v>1233505101.0616004</v>
      </c>
      <c r="AK1105" s="246">
        <f>IFERROR(VLOOKUP(I1105,PROGRAMAS[],3,FALSE),0)</f>
        <v>7011279577.519702</v>
      </c>
      <c r="AL1105" s="246">
        <f>IFERROR(VLOOKUP(J1105,PROGRAMAS[],3,FALSE),0)</f>
        <v>675517840.109828</v>
      </c>
      <c r="AM1105" s="246">
        <f>IFERROR(VLOOKUP(K1105,PROGRAMAS[],3,FALSE),0)</f>
        <v>2406564599.0319901</v>
      </c>
      <c r="AN1105" s="246">
        <f>IFERROR(VLOOKUP(L1105,PROGRAMAS[],3,FALSE),0)</f>
        <v>948595847.09039903</v>
      </c>
      <c r="AO1105" s="246">
        <f>IFERROR(VLOOKUP(M1105,PROGRAMAS[],3,FALSE),0)</f>
        <v>0</v>
      </c>
      <c r="AP1105" s="246">
        <f>IFERROR(VLOOKUP(N1105,PROGRAMAS[],3,FALSE),0)</f>
        <v>0</v>
      </c>
      <c r="AQ1105" s="246">
        <f>IFERROR(VLOOKUP(O1105,PROGRAMAS[],3,FALSE),0)</f>
        <v>0</v>
      </c>
      <c r="AR1105" s="246">
        <f>IFERROR(VLOOKUP(P1105,PROGRAMAS[],3,FALSE),0)</f>
        <v>0</v>
      </c>
      <c r="AS1105" s="246">
        <f>IFERROR(VLOOKUP(Q1105,PROGRAMAS[],3,FALSE),0)</f>
        <v>0</v>
      </c>
      <c r="AT1105" s="246">
        <f>IFERROR(VLOOKUP(D1105,VOL_REC[],2,FALSE),0)</f>
        <v>0</v>
      </c>
      <c r="AU1105" s="246">
        <f>IFERROR(VLOOKUP(E1105,VOL_REC[],2,FALSE),0)</f>
        <v>0</v>
      </c>
      <c r="AV1105" s="246">
        <f>IFERROR(VLOOKUP(F1105,VOL_REC[],2,FALSE),0)</f>
        <v>11089674.200000001</v>
      </c>
      <c r="AW1105" s="246">
        <f>IFERROR(VLOOKUP(G1105,VOL_REC[],2,FALSE),0)</f>
        <v>90439.55</v>
      </c>
      <c r="AX1105" s="246">
        <f>IFERROR(VLOOKUP(H1105,VOL_REC[],2,FALSE),0)</f>
        <v>4325103.1812214684</v>
      </c>
      <c r="AY1105" s="246">
        <f>IFERROR(VLOOKUP(I1105,VOL_REC[],2,FALSE),0)</f>
        <v>3761786</v>
      </c>
      <c r="AZ1105" s="246">
        <f>IFERROR(VLOOKUP(J1105,VOL_REC[],2,FALSE),0)</f>
        <v>240696.79238099116</v>
      </c>
      <c r="BA1105" s="246">
        <f>IFERROR(VLOOKUP(K1105,VOL_REC[],2,FALSE),0)</f>
        <v>1072354.9981737854</v>
      </c>
      <c r="BB1105" s="246">
        <f>IFERROR(VLOOKUP(L1105,VOL_REC[],2,FALSE),0)</f>
        <v>740113.98115702497</v>
      </c>
      <c r="BC1105" s="246">
        <f>IFERROR(VLOOKUP(M1105,VOL_REC[],2,FALSE),0)</f>
        <v>0</v>
      </c>
      <c r="BD1105" s="246">
        <f>IFERROR(VLOOKUP(N1105,VOL_REC[],2,FALSE),0)</f>
        <v>0</v>
      </c>
      <c r="BE1105" s="246">
        <f>IFERROR(VLOOKUP(O1105,VOL_REC[],2,FALSE),0)</f>
        <v>0</v>
      </c>
      <c r="BF1105" s="246">
        <f>IFERROR(VLOOKUP(P1105,VOL_REC[],2,FALSE),0)</f>
        <v>0</v>
      </c>
      <c r="BG1105" s="246">
        <f>IFERROR(VLOOKUP(Q1105,VOL_REC[],2,FALSE),0)</f>
        <v>0</v>
      </c>
      <c r="BH1105" s="1710">
        <f t="shared" si="68"/>
        <v>21163159318.325546</v>
      </c>
      <c r="BI1105" s="1710">
        <f t="shared" si="69"/>
        <v>20486551095.631573</v>
      </c>
      <c r="BJ1105" s="1711">
        <f t="shared" si="70"/>
        <v>21320168.70293327</v>
      </c>
      <c r="BK1105" s="1711">
        <f t="shared" si="71"/>
        <v>1.0330269462895709</v>
      </c>
      <c r="BL1105">
        <f>BJ1105</f>
        <v>21320168.70293327</v>
      </c>
      <c r="BO1105">
        <f>BL1105</f>
        <v>21320168.70293327</v>
      </c>
    </row>
    <row r="1106" spans="3:67" x14ac:dyDescent="0.25">
      <c r="C1106" s="246" t="s">
        <v>2456</v>
      </c>
      <c r="D1106" s="246">
        <v>1</v>
      </c>
      <c r="E1106" s="246">
        <v>2</v>
      </c>
      <c r="F1106" s="246">
        <v>3</v>
      </c>
      <c r="G1106" s="246">
        <v>4</v>
      </c>
      <c r="H1106" s="246">
        <v>5</v>
      </c>
      <c r="I1106" s="246">
        <v>9</v>
      </c>
      <c r="J1106" s="246">
        <v>13</v>
      </c>
      <c r="K1106" s="246">
        <v>14</v>
      </c>
      <c r="L1106" s="246">
        <v>15</v>
      </c>
      <c r="M1106" s="246"/>
      <c r="N1106" s="246"/>
      <c r="O1106" s="246"/>
      <c r="P1106" s="246"/>
      <c r="Q1106" s="246"/>
      <c r="R1106" s="246">
        <f>IFERROR(VLOOKUP(D1106,PROGRAMAS[],2,FALSE),0)</f>
        <v>97037803.679377079</v>
      </c>
      <c r="S1106" s="246">
        <f>IFERROR(VLOOKUP(E1106,PROGRAMAS[],2,FALSE),0)</f>
        <v>640501509.6821388</v>
      </c>
      <c r="T1106" s="246">
        <f>IFERROR(VLOOKUP(F1106,PROGRAMAS[],2,FALSE),0)</f>
        <v>3062327798.1525245</v>
      </c>
      <c r="U1106" s="246">
        <f>IFERROR(VLOOKUP(G1106,PROGRAMAS[],2,FALSE),0)</f>
        <v>67697118.033011258</v>
      </c>
      <c r="V1106" s="246">
        <f>IFERROR(VLOOKUP(H1106,PROGRAMAS[],2,FALSE),0)</f>
        <v>1440941976.2528784</v>
      </c>
      <c r="W1106" s="246">
        <f>IFERROR(VLOOKUP(I1106,PROGRAMAS[],2,FALSE),0)</f>
        <v>6128579952.1618185</v>
      </c>
      <c r="X1106" s="246">
        <f>IFERROR(VLOOKUP(J1106,PROGRAMAS[],2,FALSE),0)</f>
        <v>3776538594.4604583</v>
      </c>
      <c r="Y1106" s="246">
        <f>IFERROR(VLOOKUP(K1106,PROGRAMAS[],2,FALSE),0)</f>
        <v>54223862.645839565</v>
      </c>
      <c r="Z1106" s="246">
        <f>IFERROR(VLOOKUP(L1106,PROGRAMAS[],2,FALSE),0)</f>
        <v>122159672.96346797</v>
      </c>
      <c r="AA1106" s="246">
        <f>IFERROR(VLOOKUP(M1106,PROGRAMAS[],2,FALSE),0)</f>
        <v>0</v>
      </c>
      <c r="AB1106" s="246">
        <f>IFERROR(VLOOKUP(N1106,PROGRAMAS[],2,FALSE),0)</f>
        <v>0</v>
      </c>
      <c r="AC1106" s="246">
        <f>IFERROR(VLOOKUP(O1106,PROGRAMAS[],2,FALSE),0)</f>
        <v>0</v>
      </c>
      <c r="AD1106" s="246">
        <f>IFERROR(VLOOKUP(P1106,PROGRAMAS[],2,FALSE),0)</f>
        <v>0</v>
      </c>
      <c r="AE1106" s="246">
        <f>IFERROR(VLOOKUP(Q1106,PROGRAMAS[],2,FALSE),0)</f>
        <v>0</v>
      </c>
      <c r="AF1106" s="246">
        <f>IFERROR(VLOOKUP(D1106,PROGRAMAS[],3,FALSE),0)</f>
        <v>841888629.31080008</v>
      </c>
      <c r="AG1106" s="246">
        <f>IFERROR(VLOOKUP(E1106,PROGRAMAS[],3,FALSE),0)</f>
        <v>3848980803.1642323</v>
      </c>
      <c r="AH1106" s="246">
        <f>IFERROR(VLOOKUP(F1106,PROGRAMAS[],3,FALSE),0)</f>
        <v>3394901471.387517</v>
      </c>
      <c r="AI1106" s="246">
        <f>IFERROR(VLOOKUP(G1106,PROGRAMAS[],3,FALSE),0)</f>
        <v>125317226.95549992</v>
      </c>
      <c r="AJ1106" s="246">
        <f>IFERROR(VLOOKUP(H1106,PROGRAMAS[],3,FALSE),0)</f>
        <v>1233505101.0616004</v>
      </c>
      <c r="AK1106" s="246">
        <f>IFERROR(VLOOKUP(I1106,PROGRAMAS[],3,FALSE),0)</f>
        <v>7011279577.519702</v>
      </c>
      <c r="AL1106" s="246">
        <f>IFERROR(VLOOKUP(J1106,PROGRAMAS[],3,FALSE),0)</f>
        <v>2392571243.5584412</v>
      </c>
      <c r="AM1106" s="246">
        <f>IFERROR(VLOOKUP(K1106,PROGRAMAS[],3,FALSE),0)</f>
        <v>31865326.38096505</v>
      </c>
      <c r="AN1106" s="246">
        <f>IFERROR(VLOOKUP(L1106,PROGRAMAS[],3,FALSE),0)</f>
        <v>118617452.52510804</v>
      </c>
      <c r="AO1106" s="246">
        <f>IFERROR(VLOOKUP(M1106,PROGRAMAS[],3,FALSE),0)</f>
        <v>0</v>
      </c>
      <c r="AP1106" s="246">
        <f>IFERROR(VLOOKUP(N1106,PROGRAMAS[],3,FALSE),0)</f>
        <v>0</v>
      </c>
      <c r="AQ1106" s="246">
        <f>IFERROR(VLOOKUP(O1106,PROGRAMAS[],3,FALSE),0)</f>
        <v>0</v>
      </c>
      <c r="AR1106" s="246">
        <f>IFERROR(VLOOKUP(P1106,PROGRAMAS[],3,FALSE),0)</f>
        <v>0</v>
      </c>
      <c r="AS1106" s="246">
        <f>IFERROR(VLOOKUP(Q1106,PROGRAMAS[],3,FALSE),0)</f>
        <v>0</v>
      </c>
      <c r="AT1106" s="246">
        <f>IFERROR(VLOOKUP(D1106,VOL_REC[],2,FALSE),0)</f>
        <v>0</v>
      </c>
      <c r="AU1106" s="246">
        <f>IFERROR(VLOOKUP(E1106,VOL_REC[],2,FALSE),0)</f>
        <v>0</v>
      </c>
      <c r="AV1106" s="246">
        <f>IFERROR(VLOOKUP(F1106,VOL_REC[],2,FALSE),0)</f>
        <v>11089674.200000001</v>
      </c>
      <c r="AW1106" s="246">
        <f>IFERROR(VLOOKUP(G1106,VOL_REC[],2,FALSE),0)</f>
        <v>90439.55</v>
      </c>
      <c r="AX1106" s="246">
        <f>IFERROR(VLOOKUP(H1106,VOL_REC[],2,FALSE),0)</f>
        <v>4325103.1812214684</v>
      </c>
      <c r="AY1106" s="246">
        <f>IFERROR(VLOOKUP(I1106,VOL_REC[],2,FALSE),0)</f>
        <v>3761786</v>
      </c>
      <c r="AZ1106" s="246">
        <f>IFERROR(VLOOKUP(J1106,VOL_REC[],2,FALSE),0)</f>
        <v>663244.80000000016</v>
      </c>
      <c r="BA1106" s="246">
        <f>IFERROR(VLOOKUP(K1106,VOL_REC[],2,FALSE),0)</f>
        <v>17074.045034105649</v>
      </c>
      <c r="BB1106" s="246">
        <f>IFERROR(VLOOKUP(L1106,VOL_REC[],2,FALSE),0)</f>
        <v>105072</v>
      </c>
      <c r="BC1106" s="246">
        <f>IFERROR(VLOOKUP(M1106,VOL_REC[],2,FALSE),0)</f>
        <v>0</v>
      </c>
      <c r="BD1106" s="246">
        <f>IFERROR(VLOOKUP(N1106,VOL_REC[],2,FALSE),0)</f>
        <v>0</v>
      </c>
      <c r="BE1106" s="246">
        <f>IFERROR(VLOOKUP(O1106,VOL_REC[],2,FALSE),0)</f>
        <v>0</v>
      </c>
      <c r="BF1106" s="246">
        <f>IFERROR(VLOOKUP(P1106,VOL_REC[],2,FALSE),0)</f>
        <v>0</v>
      </c>
      <c r="BG1106" s="246">
        <f>IFERROR(VLOOKUP(Q1106,VOL_REC[],2,FALSE),0)</f>
        <v>0</v>
      </c>
      <c r="BH1106" s="1710">
        <f t="shared" si="68"/>
        <v>15390008288.031517</v>
      </c>
      <c r="BI1106" s="1710">
        <f t="shared" si="69"/>
        <v>18998926831.863869</v>
      </c>
      <c r="BJ1106" s="1711">
        <f t="shared" si="70"/>
        <v>20052393.776255578</v>
      </c>
      <c r="BK1106" s="1711">
        <f t="shared" si="71"/>
        <v>0.81004618967321418</v>
      </c>
    </row>
    <row r="1107" spans="3:67" x14ac:dyDescent="0.25">
      <c r="C1107" s="246" t="s">
        <v>2457</v>
      </c>
      <c r="D1107" s="246">
        <v>1</v>
      </c>
      <c r="E1107" s="246">
        <v>2</v>
      </c>
      <c r="F1107" s="246">
        <v>3</v>
      </c>
      <c r="G1107" s="246">
        <v>4</v>
      </c>
      <c r="H1107" s="246">
        <v>5</v>
      </c>
      <c r="I1107" s="246">
        <v>9</v>
      </c>
      <c r="J1107" s="246">
        <v>13</v>
      </c>
      <c r="K1107" s="246">
        <v>14</v>
      </c>
      <c r="L1107" s="246">
        <v>16</v>
      </c>
      <c r="M1107" s="246"/>
      <c r="N1107" s="246"/>
      <c r="O1107" s="246"/>
      <c r="P1107" s="246"/>
      <c r="Q1107" s="246"/>
      <c r="R1107" s="246">
        <f>IFERROR(VLOOKUP(D1107,PROGRAMAS[],2,FALSE),0)</f>
        <v>97037803.679377079</v>
      </c>
      <c r="S1107" s="246">
        <f>IFERROR(VLOOKUP(E1107,PROGRAMAS[],2,FALSE),0)</f>
        <v>640501509.6821388</v>
      </c>
      <c r="T1107" s="246">
        <f>IFERROR(VLOOKUP(F1107,PROGRAMAS[],2,FALSE),0)</f>
        <v>3062327798.1525245</v>
      </c>
      <c r="U1107" s="246">
        <f>IFERROR(VLOOKUP(G1107,PROGRAMAS[],2,FALSE),0)</f>
        <v>67697118.033011258</v>
      </c>
      <c r="V1107" s="246">
        <f>IFERROR(VLOOKUP(H1107,PROGRAMAS[],2,FALSE),0)</f>
        <v>1440941976.2528784</v>
      </c>
      <c r="W1107" s="246">
        <f>IFERROR(VLOOKUP(I1107,PROGRAMAS[],2,FALSE),0)</f>
        <v>6128579952.1618185</v>
      </c>
      <c r="X1107" s="246">
        <f>IFERROR(VLOOKUP(J1107,PROGRAMAS[],2,FALSE),0)</f>
        <v>3776538594.4604583</v>
      </c>
      <c r="Y1107" s="246">
        <f>IFERROR(VLOOKUP(K1107,PROGRAMAS[],2,FALSE),0)</f>
        <v>54223862.645839565</v>
      </c>
      <c r="Z1107" s="246">
        <f>IFERROR(VLOOKUP(L1107,PROGRAMAS[],2,FALSE),0)</f>
        <v>7068496961.0436354</v>
      </c>
      <c r="AA1107" s="246">
        <f>IFERROR(VLOOKUP(M1107,PROGRAMAS[],2,FALSE),0)</f>
        <v>0</v>
      </c>
      <c r="AB1107" s="246">
        <f>IFERROR(VLOOKUP(N1107,PROGRAMAS[],2,FALSE),0)</f>
        <v>0</v>
      </c>
      <c r="AC1107" s="246">
        <f>IFERROR(VLOOKUP(O1107,PROGRAMAS[],2,FALSE),0)</f>
        <v>0</v>
      </c>
      <c r="AD1107" s="246">
        <f>IFERROR(VLOOKUP(P1107,PROGRAMAS[],2,FALSE),0)</f>
        <v>0</v>
      </c>
      <c r="AE1107" s="246">
        <f>IFERROR(VLOOKUP(Q1107,PROGRAMAS[],2,FALSE),0)</f>
        <v>0</v>
      </c>
      <c r="AF1107" s="246">
        <f>IFERROR(VLOOKUP(D1107,PROGRAMAS[],3,FALSE),0)</f>
        <v>841888629.31080008</v>
      </c>
      <c r="AG1107" s="246">
        <f>IFERROR(VLOOKUP(E1107,PROGRAMAS[],3,FALSE),0)</f>
        <v>3848980803.1642323</v>
      </c>
      <c r="AH1107" s="246">
        <f>IFERROR(VLOOKUP(F1107,PROGRAMAS[],3,FALSE),0)</f>
        <v>3394901471.387517</v>
      </c>
      <c r="AI1107" s="246">
        <f>IFERROR(VLOOKUP(G1107,PROGRAMAS[],3,FALSE),0)</f>
        <v>125317226.95549992</v>
      </c>
      <c r="AJ1107" s="246">
        <f>IFERROR(VLOOKUP(H1107,PROGRAMAS[],3,FALSE),0)</f>
        <v>1233505101.0616004</v>
      </c>
      <c r="AK1107" s="246">
        <f>IFERROR(VLOOKUP(I1107,PROGRAMAS[],3,FALSE),0)</f>
        <v>7011279577.519702</v>
      </c>
      <c r="AL1107" s="246">
        <f>IFERROR(VLOOKUP(J1107,PROGRAMAS[],3,FALSE),0)</f>
        <v>2392571243.5584412</v>
      </c>
      <c r="AM1107" s="246">
        <f>IFERROR(VLOOKUP(K1107,PROGRAMAS[],3,FALSE),0)</f>
        <v>31865326.38096505</v>
      </c>
      <c r="AN1107" s="246">
        <f>IFERROR(VLOOKUP(L1107,PROGRAMAS[],3,FALSE),0)</f>
        <v>2406564599.0319901</v>
      </c>
      <c r="AO1107" s="246">
        <f>IFERROR(VLOOKUP(M1107,PROGRAMAS[],3,FALSE),0)</f>
        <v>0</v>
      </c>
      <c r="AP1107" s="246">
        <f>IFERROR(VLOOKUP(N1107,PROGRAMAS[],3,FALSE),0)</f>
        <v>0</v>
      </c>
      <c r="AQ1107" s="246">
        <f>IFERROR(VLOOKUP(O1107,PROGRAMAS[],3,FALSE),0)</f>
        <v>0</v>
      </c>
      <c r="AR1107" s="246">
        <f>IFERROR(VLOOKUP(P1107,PROGRAMAS[],3,FALSE),0)</f>
        <v>0</v>
      </c>
      <c r="AS1107" s="246">
        <f>IFERROR(VLOOKUP(Q1107,PROGRAMAS[],3,FALSE),0)</f>
        <v>0</v>
      </c>
      <c r="AT1107" s="246">
        <f>IFERROR(VLOOKUP(D1107,VOL_REC[],2,FALSE),0)</f>
        <v>0</v>
      </c>
      <c r="AU1107" s="246">
        <f>IFERROR(VLOOKUP(E1107,VOL_REC[],2,FALSE),0)</f>
        <v>0</v>
      </c>
      <c r="AV1107" s="246">
        <f>IFERROR(VLOOKUP(F1107,VOL_REC[],2,FALSE),0)</f>
        <v>11089674.200000001</v>
      </c>
      <c r="AW1107" s="246">
        <f>IFERROR(VLOOKUP(G1107,VOL_REC[],2,FALSE),0)</f>
        <v>90439.55</v>
      </c>
      <c r="AX1107" s="246">
        <f>IFERROR(VLOOKUP(H1107,VOL_REC[],2,FALSE),0)</f>
        <v>4325103.1812214684</v>
      </c>
      <c r="AY1107" s="246">
        <f>IFERROR(VLOOKUP(I1107,VOL_REC[],2,FALSE),0)</f>
        <v>3761786</v>
      </c>
      <c r="AZ1107" s="246">
        <f>IFERROR(VLOOKUP(J1107,VOL_REC[],2,FALSE),0)</f>
        <v>663244.80000000016</v>
      </c>
      <c r="BA1107" s="246">
        <f>IFERROR(VLOOKUP(K1107,VOL_REC[],2,FALSE),0)</f>
        <v>17074.045034105649</v>
      </c>
      <c r="BB1107" s="246">
        <f>IFERROR(VLOOKUP(L1107,VOL_REC[],2,FALSE),0)</f>
        <v>1072354.9981737854</v>
      </c>
      <c r="BC1107" s="246">
        <f>IFERROR(VLOOKUP(M1107,VOL_REC[],2,FALSE),0)</f>
        <v>0</v>
      </c>
      <c r="BD1107" s="246">
        <f>IFERROR(VLOOKUP(N1107,VOL_REC[],2,FALSE),0)</f>
        <v>0</v>
      </c>
      <c r="BE1107" s="246">
        <f>IFERROR(VLOOKUP(O1107,VOL_REC[],2,FALSE),0)</f>
        <v>0</v>
      </c>
      <c r="BF1107" s="246">
        <f>IFERROR(VLOOKUP(P1107,VOL_REC[],2,FALSE),0)</f>
        <v>0</v>
      </c>
      <c r="BG1107" s="246">
        <f>IFERROR(VLOOKUP(Q1107,VOL_REC[],2,FALSE),0)</f>
        <v>0</v>
      </c>
      <c r="BH1107" s="1710">
        <f t="shared" si="68"/>
        <v>22336345576.111683</v>
      </c>
      <c r="BI1107" s="1710">
        <f t="shared" si="69"/>
        <v>21286873978.37075</v>
      </c>
      <c r="BJ1107" s="1711">
        <f t="shared" si="70"/>
        <v>21019676.774429362</v>
      </c>
      <c r="BK1107" s="1711">
        <f t="shared" si="71"/>
        <v>1.0493013487469924</v>
      </c>
      <c r="BL1107">
        <f>BJ1107</f>
        <v>21019676.774429362</v>
      </c>
      <c r="BO1107">
        <f>BL1107</f>
        <v>21019676.774429362</v>
      </c>
    </row>
    <row r="1108" spans="3:67" x14ac:dyDescent="0.25">
      <c r="C1108" s="246" t="s">
        <v>2458</v>
      </c>
      <c r="D1108" s="246">
        <v>1</v>
      </c>
      <c r="E1108" s="246">
        <v>2</v>
      </c>
      <c r="F1108" s="246">
        <v>3</v>
      </c>
      <c r="G1108" s="246">
        <v>4</v>
      </c>
      <c r="H1108" s="246">
        <v>5</v>
      </c>
      <c r="I1108" s="246">
        <v>9</v>
      </c>
      <c r="J1108" s="246">
        <v>13</v>
      </c>
      <c r="K1108" s="246">
        <v>14</v>
      </c>
      <c r="L1108" s="246">
        <v>17</v>
      </c>
      <c r="M1108" s="246"/>
      <c r="N1108" s="246"/>
      <c r="O1108" s="246"/>
      <c r="P1108" s="246"/>
      <c r="Q1108" s="246"/>
      <c r="R1108" s="246">
        <f>IFERROR(VLOOKUP(D1108,PROGRAMAS[],2,FALSE),0)</f>
        <v>97037803.679377079</v>
      </c>
      <c r="S1108" s="246">
        <f>IFERROR(VLOOKUP(E1108,PROGRAMAS[],2,FALSE),0)</f>
        <v>640501509.6821388</v>
      </c>
      <c r="T1108" s="246">
        <f>IFERROR(VLOOKUP(F1108,PROGRAMAS[],2,FALSE),0)</f>
        <v>3062327798.1525245</v>
      </c>
      <c r="U1108" s="246">
        <f>IFERROR(VLOOKUP(G1108,PROGRAMAS[],2,FALSE),0)</f>
        <v>67697118.033011258</v>
      </c>
      <c r="V1108" s="246">
        <f>IFERROR(VLOOKUP(H1108,PROGRAMAS[],2,FALSE),0)</f>
        <v>1440941976.2528784</v>
      </c>
      <c r="W1108" s="246">
        <f>IFERROR(VLOOKUP(I1108,PROGRAMAS[],2,FALSE),0)</f>
        <v>6128579952.1618185</v>
      </c>
      <c r="X1108" s="246">
        <f>IFERROR(VLOOKUP(J1108,PROGRAMAS[],2,FALSE),0)</f>
        <v>3776538594.4604583</v>
      </c>
      <c r="Y1108" s="246">
        <f>IFERROR(VLOOKUP(K1108,PROGRAMAS[],2,FALSE),0)</f>
        <v>54223862.645839565</v>
      </c>
      <c r="Z1108" s="246">
        <f>IFERROR(VLOOKUP(L1108,PROGRAMAS[],2,FALSE),0)</f>
        <v>1892779498.5211046</v>
      </c>
      <c r="AA1108" s="246">
        <f>IFERROR(VLOOKUP(M1108,PROGRAMAS[],2,FALSE),0)</f>
        <v>0</v>
      </c>
      <c r="AB1108" s="246">
        <f>IFERROR(VLOOKUP(N1108,PROGRAMAS[],2,FALSE),0)</f>
        <v>0</v>
      </c>
      <c r="AC1108" s="246">
        <f>IFERROR(VLOOKUP(O1108,PROGRAMAS[],2,FALSE),0)</f>
        <v>0</v>
      </c>
      <c r="AD1108" s="246">
        <f>IFERROR(VLOOKUP(P1108,PROGRAMAS[],2,FALSE),0)</f>
        <v>0</v>
      </c>
      <c r="AE1108" s="246">
        <f>IFERROR(VLOOKUP(Q1108,PROGRAMAS[],2,FALSE),0)</f>
        <v>0</v>
      </c>
      <c r="AF1108" s="246">
        <f>IFERROR(VLOOKUP(D1108,PROGRAMAS[],3,FALSE),0)</f>
        <v>841888629.31080008</v>
      </c>
      <c r="AG1108" s="246">
        <f>IFERROR(VLOOKUP(E1108,PROGRAMAS[],3,FALSE),0)</f>
        <v>3848980803.1642323</v>
      </c>
      <c r="AH1108" s="246">
        <f>IFERROR(VLOOKUP(F1108,PROGRAMAS[],3,FALSE),0)</f>
        <v>3394901471.387517</v>
      </c>
      <c r="AI1108" s="246">
        <f>IFERROR(VLOOKUP(G1108,PROGRAMAS[],3,FALSE),0)</f>
        <v>125317226.95549992</v>
      </c>
      <c r="AJ1108" s="246">
        <f>IFERROR(VLOOKUP(H1108,PROGRAMAS[],3,FALSE),0)</f>
        <v>1233505101.0616004</v>
      </c>
      <c r="AK1108" s="246">
        <f>IFERROR(VLOOKUP(I1108,PROGRAMAS[],3,FALSE),0)</f>
        <v>7011279577.519702</v>
      </c>
      <c r="AL1108" s="246">
        <f>IFERROR(VLOOKUP(J1108,PROGRAMAS[],3,FALSE),0)</f>
        <v>2392571243.5584412</v>
      </c>
      <c r="AM1108" s="246">
        <f>IFERROR(VLOOKUP(K1108,PROGRAMAS[],3,FALSE),0)</f>
        <v>31865326.38096505</v>
      </c>
      <c r="AN1108" s="246">
        <f>IFERROR(VLOOKUP(L1108,PROGRAMAS[],3,FALSE),0)</f>
        <v>948595847.09039903</v>
      </c>
      <c r="AO1108" s="246">
        <f>IFERROR(VLOOKUP(M1108,PROGRAMAS[],3,FALSE),0)</f>
        <v>0</v>
      </c>
      <c r="AP1108" s="246">
        <f>IFERROR(VLOOKUP(N1108,PROGRAMAS[],3,FALSE),0)</f>
        <v>0</v>
      </c>
      <c r="AQ1108" s="246">
        <f>IFERROR(VLOOKUP(O1108,PROGRAMAS[],3,FALSE),0)</f>
        <v>0</v>
      </c>
      <c r="AR1108" s="246">
        <f>IFERROR(VLOOKUP(P1108,PROGRAMAS[],3,FALSE),0)</f>
        <v>0</v>
      </c>
      <c r="AS1108" s="246">
        <f>IFERROR(VLOOKUP(Q1108,PROGRAMAS[],3,FALSE),0)</f>
        <v>0</v>
      </c>
      <c r="AT1108" s="246">
        <f>IFERROR(VLOOKUP(D1108,VOL_REC[],2,FALSE),0)</f>
        <v>0</v>
      </c>
      <c r="AU1108" s="246">
        <f>IFERROR(VLOOKUP(E1108,VOL_REC[],2,FALSE),0)</f>
        <v>0</v>
      </c>
      <c r="AV1108" s="246">
        <f>IFERROR(VLOOKUP(F1108,VOL_REC[],2,FALSE),0)</f>
        <v>11089674.200000001</v>
      </c>
      <c r="AW1108" s="246">
        <f>IFERROR(VLOOKUP(G1108,VOL_REC[],2,FALSE),0)</f>
        <v>90439.55</v>
      </c>
      <c r="AX1108" s="246">
        <f>IFERROR(VLOOKUP(H1108,VOL_REC[],2,FALSE),0)</f>
        <v>4325103.1812214684</v>
      </c>
      <c r="AY1108" s="246">
        <f>IFERROR(VLOOKUP(I1108,VOL_REC[],2,FALSE),0)</f>
        <v>3761786</v>
      </c>
      <c r="AZ1108" s="246">
        <f>IFERROR(VLOOKUP(J1108,VOL_REC[],2,FALSE),0)</f>
        <v>663244.80000000016</v>
      </c>
      <c r="BA1108" s="246">
        <f>IFERROR(VLOOKUP(K1108,VOL_REC[],2,FALSE),0)</f>
        <v>17074.045034105649</v>
      </c>
      <c r="BB1108" s="246">
        <f>IFERROR(VLOOKUP(L1108,VOL_REC[],2,FALSE),0)</f>
        <v>740113.98115702497</v>
      </c>
      <c r="BC1108" s="246">
        <f>IFERROR(VLOOKUP(M1108,VOL_REC[],2,FALSE),0)</f>
        <v>0</v>
      </c>
      <c r="BD1108" s="246">
        <f>IFERROR(VLOOKUP(N1108,VOL_REC[],2,FALSE),0)</f>
        <v>0</v>
      </c>
      <c r="BE1108" s="246">
        <f>IFERROR(VLOOKUP(O1108,VOL_REC[],2,FALSE),0)</f>
        <v>0</v>
      </c>
      <c r="BF1108" s="246">
        <f>IFERROR(VLOOKUP(P1108,VOL_REC[],2,FALSE),0)</f>
        <v>0</v>
      </c>
      <c r="BG1108" s="246">
        <f>IFERROR(VLOOKUP(Q1108,VOL_REC[],2,FALSE),0)</f>
        <v>0</v>
      </c>
      <c r="BH1108" s="1710">
        <f t="shared" si="68"/>
        <v>17160628113.589153</v>
      </c>
      <c r="BI1108" s="1710">
        <f t="shared" si="69"/>
        <v>19828905226.429161</v>
      </c>
      <c r="BJ1108" s="1711">
        <f t="shared" si="70"/>
        <v>20687435.757412601</v>
      </c>
      <c r="BK1108" s="1711">
        <f t="shared" si="71"/>
        <v>0.86543497574018524</v>
      </c>
    </row>
    <row r="1109" spans="3:67" x14ac:dyDescent="0.25">
      <c r="C1109" s="246" t="s">
        <v>2459</v>
      </c>
      <c r="D1109" s="246">
        <v>1</v>
      </c>
      <c r="E1109" s="246">
        <v>2</v>
      </c>
      <c r="F1109" s="246">
        <v>3</v>
      </c>
      <c r="G1109" s="246">
        <v>4</v>
      </c>
      <c r="H1109" s="246">
        <v>5</v>
      </c>
      <c r="I1109" s="246">
        <v>9</v>
      </c>
      <c r="J1109" s="246">
        <v>13</v>
      </c>
      <c r="K1109" s="246">
        <v>15</v>
      </c>
      <c r="L1109" s="246">
        <v>16</v>
      </c>
      <c r="M1109" s="246"/>
      <c r="N1109" s="246"/>
      <c r="O1109" s="246"/>
      <c r="P1109" s="246"/>
      <c r="Q1109" s="246"/>
      <c r="R1109" s="246">
        <f>IFERROR(VLOOKUP(D1109,PROGRAMAS[],2,FALSE),0)</f>
        <v>97037803.679377079</v>
      </c>
      <c r="S1109" s="246">
        <f>IFERROR(VLOOKUP(E1109,PROGRAMAS[],2,FALSE),0)</f>
        <v>640501509.6821388</v>
      </c>
      <c r="T1109" s="246">
        <f>IFERROR(VLOOKUP(F1109,PROGRAMAS[],2,FALSE),0)</f>
        <v>3062327798.1525245</v>
      </c>
      <c r="U1109" s="246">
        <f>IFERROR(VLOOKUP(G1109,PROGRAMAS[],2,FALSE),0)</f>
        <v>67697118.033011258</v>
      </c>
      <c r="V1109" s="246">
        <f>IFERROR(VLOOKUP(H1109,PROGRAMAS[],2,FALSE),0)</f>
        <v>1440941976.2528784</v>
      </c>
      <c r="W1109" s="246">
        <f>IFERROR(VLOOKUP(I1109,PROGRAMAS[],2,FALSE),0)</f>
        <v>6128579952.1618185</v>
      </c>
      <c r="X1109" s="246">
        <f>IFERROR(VLOOKUP(J1109,PROGRAMAS[],2,FALSE),0)</f>
        <v>3776538594.4604583</v>
      </c>
      <c r="Y1109" s="246">
        <f>IFERROR(VLOOKUP(K1109,PROGRAMAS[],2,FALSE),0)</f>
        <v>122159672.96346797</v>
      </c>
      <c r="Z1109" s="246">
        <f>IFERROR(VLOOKUP(L1109,PROGRAMAS[],2,FALSE),0)</f>
        <v>7068496961.0436354</v>
      </c>
      <c r="AA1109" s="246">
        <f>IFERROR(VLOOKUP(M1109,PROGRAMAS[],2,FALSE),0)</f>
        <v>0</v>
      </c>
      <c r="AB1109" s="246">
        <f>IFERROR(VLOOKUP(N1109,PROGRAMAS[],2,FALSE),0)</f>
        <v>0</v>
      </c>
      <c r="AC1109" s="246">
        <f>IFERROR(VLOOKUP(O1109,PROGRAMAS[],2,FALSE),0)</f>
        <v>0</v>
      </c>
      <c r="AD1109" s="246">
        <f>IFERROR(VLOOKUP(P1109,PROGRAMAS[],2,FALSE),0)</f>
        <v>0</v>
      </c>
      <c r="AE1109" s="246">
        <f>IFERROR(VLOOKUP(Q1109,PROGRAMAS[],2,FALSE),0)</f>
        <v>0</v>
      </c>
      <c r="AF1109" s="246">
        <f>IFERROR(VLOOKUP(D1109,PROGRAMAS[],3,FALSE),0)</f>
        <v>841888629.31080008</v>
      </c>
      <c r="AG1109" s="246">
        <f>IFERROR(VLOOKUP(E1109,PROGRAMAS[],3,FALSE),0)</f>
        <v>3848980803.1642323</v>
      </c>
      <c r="AH1109" s="246">
        <f>IFERROR(VLOOKUP(F1109,PROGRAMAS[],3,FALSE),0)</f>
        <v>3394901471.387517</v>
      </c>
      <c r="AI1109" s="246">
        <f>IFERROR(VLOOKUP(G1109,PROGRAMAS[],3,FALSE),0)</f>
        <v>125317226.95549992</v>
      </c>
      <c r="AJ1109" s="246">
        <f>IFERROR(VLOOKUP(H1109,PROGRAMAS[],3,FALSE),0)</f>
        <v>1233505101.0616004</v>
      </c>
      <c r="AK1109" s="246">
        <f>IFERROR(VLOOKUP(I1109,PROGRAMAS[],3,FALSE),0)</f>
        <v>7011279577.519702</v>
      </c>
      <c r="AL1109" s="246">
        <f>IFERROR(VLOOKUP(J1109,PROGRAMAS[],3,FALSE),0)</f>
        <v>2392571243.5584412</v>
      </c>
      <c r="AM1109" s="246">
        <f>IFERROR(VLOOKUP(K1109,PROGRAMAS[],3,FALSE),0)</f>
        <v>118617452.52510804</v>
      </c>
      <c r="AN1109" s="246">
        <f>IFERROR(VLOOKUP(L1109,PROGRAMAS[],3,FALSE),0)</f>
        <v>2406564599.0319901</v>
      </c>
      <c r="AO1109" s="246">
        <f>IFERROR(VLOOKUP(M1109,PROGRAMAS[],3,FALSE),0)</f>
        <v>0</v>
      </c>
      <c r="AP1109" s="246">
        <f>IFERROR(VLOOKUP(N1109,PROGRAMAS[],3,FALSE),0)</f>
        <v>0</v>
      </c>
      <c r="AQ1109" s="246">
        <f>IFERROR(VLOOKUP(O1109,PROGRAMAS[],3,FALSE),0)</f>
        <v>0</v>
      </c>
      <c r="AR1109" s="246">
        <f>IFERROR(VLOOKUP(P1109,PROGRAMAS[],3,FALSE),0)</f>
        <v>0</v>
      </c>
      <c r="AS1109" s="246">
        <f>IFERROR(VLOOKUP(Q1109,PROGRAMAS[],3,FALSE),0)</f>
        <v>0</v>
      </c>
      <c r="AT1109" s="246">
        <f>IFERROR(VLOOKUP(D1109,VOL_REC[],2,FALSE),0)</f>
        <v>0</v>
      </c>
      <c r="AU1109" s="246">
        <f>IFERROR(VLOOKUP(E1109,VOL_REC[],2,FALSE),0)</f>
        <v>0</v>
      </c>
      <c r="AV1109" s="246">
        <f>IFERROR(VLOOKUP(F1109,VOL_REC[],2,FALSE),0)</f>
        <v>11089674.200000001</v>
      </c>
      <c r="AW1109" s="246">
        <f>IFERROR(VLOOKUP(G1109,VOL_REC[],2,FALSE),0)</f>
        <v>90439.55</v>
      </c>
      <c r="AX1109" s="246">
        <f>IFERROR(VLOOKUP(H1109,VOL_REC[],2,FALSE),0)</f>
        <v>4325103.1812214684</v>
      </c>
      <c r="AY1109" s="246">
        <f>IFERROR(VLOOKUP(I1109,VOL_REC[],2,FALSE),0)</f>
        <v>3761786</v>
      </c>
      <c r="AZ1109" s="246">
        <f>IFERROR(VLOOKUP(J1109,VOL_REC[],2,FALSE),0)</f>
        <v>663244.80000000016</v>
      </c>
      <c r="BA1109" s="246">
        <f>IFERROR(VLOOKUP(K1109,VOL_REC[],2,FALSE),0)</f>
        <v>105072</v>
      </c>
      <c r="BB1109" s="246">
        <f>IFERROR(VLOOKUP(L1109,VOL_REC[],2,FALSE),0)</f>
        <v>1072354.9981737854</v>
      </c>
      <c r="BC1109" s="246">
        <f>IFERROR(VLOOKUP(M1109,VOL_REC[],2,FALSE),0)</f>
        <v>0</v>
      </c>
      <c r="BD1109" s="246">
        <f>IFERROR(VLOOKUP(N1109,VOL_REC[],2,FALSE),0)</f>
        <v>0</v>
      </c>
      <c r="BE1109" s="246">
        <f>IFERROR(VLOOKUP(O1109,VOL_REC[],2,FALSE),0)</f>
        <v>0</v>
      </c>
      <c r="BF1109" s="246">
        <f>IFERROR(VLOOKUP(P1109,VOL_REC[],2,FALSE),0)</f>
        <v>0</v>
      </c>
      <c r="BG1109" s="246">
        <f>IFERROR(VLOOKUP(Q1109,VOL_REC[],2,FALSE),0)</f>
        <v>0</v>
      </c>
      <c r="BH1109" s="1710">
        <f t="shared" si="68"/>
        <v>22404281386.429314</v>
      </c>
      <c r="BI1109" s="1710">
        <f t="shared" si="69"/>
        <v>21373626104.514893</v>
      </c>
      <c r="BJ1109" s="1711">
        <f t="shared" si="70"/>
        <v>21107674.729395255</v>
      </c>
      <c r="BK1109" s="1711">
        <f t="shared" si="71"/>
        <v>1.0482208904036507</v>
      </c>
      <c r="BL1109">
        <f>BJ1109</f>
        <v>21107674.729395255</v>
      </c>
      <c r="BO1109">
        <f>BL1109</f>
        <v>21107674.729395255</v>
      </c>
    </row>
    <row r="1110" spans="3:67" x14ac:dyDescent="0.25">
      <c r="C1110" s="246" t="s">
        <v>2460</v>
      </c>
      <c r="D1110" s="246">
        <v>1</v>
      </c>
      <c r="E1110" s="246">
        <v>2</v>
      </c>
      <c r="F1110" s="246">
        <v>3</v>
      </c>
      <c r="G1110" s="246">
        <v>4</v>
      </c>
      <c r="H1110" s="246">
        <v>5</v>
      </c>
      <c r="I1110" s="246">
        <v>9</v>
      </c>
      <c r="J1110" s="246">
        <v>13</v>
      </c>
      <c r="K1110" s="246">
        <v>15</v>
      </c>
      <c r="L1110" s="246">
        <v>17</v>
      </c>
      <c r="M1110" s="246"/>
      <c r="N1110" s="246"/>
      <c r="O1110" s="246"/>
      <c r="P1110" s="246"/>
      <c r="Q1110" s="246"/>
      <c r="R1110" s="246">
        <f>IFERROR(VLOOKUP(D1110,PROGRAMAS[],2,FALSE),0)</f>
        <v>97037803.679377079</v>
      </c>
      <c r="S1110" s="246">
        <f>IFERROR(VLOOKUP(E1110,PROGRAMAS[],2,FALSE),0)</f>
        <v>640501509.6821388</v>
      </c>
      <c r="T1110" s="246">
        <f>IFERROR(VLOOKUP(F1110,PROGRAMAS[],2,FALSE),0)</f>
        <v>3062327798.1525245</v>
      </c>
      <c r="U1110" s="246">
        <f>IFERROR(VLOOKUP(G1110,PROGRAMAS[],2,FALSE),0)</f>
        <v>67697118.033011258</v>
      </c>
      <c r="V1110" s="246">
        <f>IFERROR(VLOOKUP(H1110,PROGRAMAS[],2,FALSE),0)</f>
        <v>1440941976.2528784</v>
      </c>
      <c r="W1110" s="246">
        <f>IFERROR(VLOOKUP(I1110,PROGRAMAS[],2,FALSE),0)</f>
        <v>6128579952.1618185</v>
      </c>
      <c r="X1110" s="246">
        <f>IFERROR(VLOOKUP(J1110,PROGRAMAS[],2,FALSE),0)</f>
        <v>3776538594.4604583</v>
      </c>
      <c r="Y1110" s="246">
        <f>IFERROR(VLOOKUP(K1110,PROGRAMAS[],2,FALSE),0)</f>
        <v>122159672.96346797</v>
      </c>
      <c r="Z1110" s="246">
        <f>IFERROR(VLOOKUP(L1110,PROGRAMAS[],2,FALSE),0)</f>
        <v>1892779498.5211046</v>
      </c>
      <c r="AA1110" s="246">
        <f>IFERROR(VLOOKUP(M1110,PROGRAMAS[],2,FALSE),0)</f>
        <v>0</v>
      </c>
      <c r="AB1110" s="246">
        <f>IFERROR(VLOOKUP(N1110,PROGRAMAS[],2,FALSE),0)</f>
        <v>0</v>
      </c>
      <c r="AC1110" s="246">
        <f>IFERROR(VLOOKUP(O1110,PROGRAMAS[],2,FALSE),0)</f>
        <v>0</v>
      </c>
      <c r="AD1110" s="246">
        <f>IFERROR(VLOOKUP(P1110,PROGRAMAS[],2,FALSE),0)</f>
        <v>0</v>
      </c>
      <c r="AE1110" s="246">
        <f>IFERROR(VLOOKUP(Q1110,PROGRAMAS[],2,FALSE),0)</f>
        <v>0</v>
      </c>
      <c r="AF1110" s="246">
        <f>IFERROR(VLOOKUP(D1110,PROGRAMAS[],3,FALSE),0)</f>
        <v>841888629.31080008</v>
      </c>
      <c r="AG1110" s="246">
        <f>IFERROR(VLOOKUP(E1110,PROGRAMAS[],3,FALSE),0)</f>
        <v>3848980803.1642323</v>
      </c>
      <c r="AH1110" s="246">
        <f>IFERROR(VLOOKUP(F1110,PROGRAMAS[],3,FALSE),0)</f>
        <v>3394901471.387517</v>
      </c>
      <c r="AI1110" s="246">
        <f>IFERROR(VLOOKUP(G1110,PROGRAMAS[],3,FALSE),0)</f>
        <v>125317226.95549992</v>
      </c>
      <c r="AJ1110" s="246">
        <f>IFERROR(VLOOKUP(H1110,PROGRAMAS[],3,FALSE),0)</f>
        <v>1233505101.0616004</v>
      </c>
      <c r="AK1110" s="246">
        <f>IFERROR(VLOOKUP(I1110,PROGRAMAS[],3,FALSE),0)</f>
        <v>7011279577.519702</v>
      </c>
      <c r="AL1110" s="246">
        <f>IFERROR(VLOOKUP(J1110,PROGRAMAS[],3,FALSE),0)</f>
        <v>2392571243.5584412</v>
      </c>
      <c r="AM1110" s="246">
        <f>IFERROR(VLOOKUP(K1110,PROGRAMAS[],3,FALSE),0)</f>
        <v>118617452.52510804</v>
      </c>
      <c r="AN1110" s="246">
        <f>IFERROR(VLOOKUP(L1110,PROGRAMAS[],3,FALSE),0)</f>
        <v>948595847.09039903</v>
      </c>
      <c r="AO1110" s="246">
        <f>IFERROR(VLOOKUP(M1110,PROGRAMAS[],3,FALSE),0)</f>
        <v>0</v>
      </c>
      <c r="AP1110" s="246">
        <f>IFERROR(VLOOKUP(N1110,PROGRAMAS[],3,FALSE),0)</f>
        <v>0</v>
      </c>
      <c r="AQ1110" s="246">
        <f>IFERROR(VLOOKUP(O1110,PROGRAMAS[],3,FALSE),0)</f>
        <v>0</v>
      </c>
      <c r="AR1110" s="246">
        <f>IFERROR(VLOOKUP(P1110,PROGRAMAS[],3,FALSE),0)</f>
        <v>0</v>
      </c>
      <c r="AS1110" s="246">
        <f>IFERROR(VLOOKUP(Q1110,PROGRAMAS[],3,FALSE),0)</f>
        <v>0</v>
      </c>
      <c r="AT1110" s="246">
        <f>IFERROR(VLOOKUP(D1110,VOL_REC[],2,FALSE),0)</f>
        <v>0</v>
      </c>
      <c r="AU1110" s="246">
        <f>IFERROR(VLOOKUP(E1110,VOL_REC[],2,FALSE),0)</f>
        <v>0</v>
      </c>
      <c r="AV1110" s="246">
        <f>IFERROR(VLOOKUP(F1110,VOL_REC[],2,FALSE),0)</f>
        <v>11089674.200000001</v>
      </c>
      <c r="AW1110" s="246">
        <f>IFERROR(VLOOKUP(G1110,VOL_REC[],2,FALSE),0)</f>
        <v>90439.55</v>
      </c>
      <c r="AX1110" s="246">
        <f>IFERROR(VLOOKUP(H1110,VOL_REC[],2,FALSE),0)</f>
        <v>4325103.1812214684</v>
      </c>
      <c r="AY1110" s="246">
        <f>IFERROR(VLOOKUP(I1110,VOL_REC[],2,FALSE),0)</f>
        <v>3761786</v>
      </c>
      <c r="AZ1110" s="246">
        <f>IFERROR(VLOOKUP(J1110,VOL_REC[],2,FALSE),0)</f>
        <v>663244.80000000016</v>
      </c>
      <c r="BA1110" s="246">
        <f>IFERROR(VLOOKUP(K1110,VOL_REC[],2,FALSE),0)</f>
        <v>105072</v>
      </c>
      <c r="BB1110" s="246">
        <f>IFERROR(VLOOKUP(L1110,VOL_REC[],2,FALSE),0)</f>
        <v>740113.98115702497</v>
      </c>
      <c r="BC1110" s="246">
        <f>IFERROR(VLOOKUP(M1110,VOL_REC[],2,FALSE),0)</f>
        <v>0</v>
      </c>
      <c r="BD1110" s="246">
        <f>IFERROR(VLOOKUP(N1110,VOL_REC[],2,FALSE),0)</f>
        <v>0</v>
      </c>
      <c r="BE1110" s="246">
        <f>IFERROR(VLOOKUP(O1110,VOL_REC[],2,FALSE),0)</f>
        <v>0</v>
      </c>
      <c r="BF1110" s="246">
        <f>IFERROR(VLOOKUP(P1110,VOL_REC[],2,FALSE),0)</f>
        <v>0</v>
      </c>
      <c r="BG1110" s="246">
        <f>IFERROR(VLOOKUP(Q1110,VOL_REC[],2,FALSE),0)</f>
        <v>0</v>
      </c>
      <c r="BH1110" s="1710">
        <f t="shared" si="68"/>
        <v>17228563923.90678</v>
      </c>
      <c r="BI1110" s="1710">
        <f t="shared" si="69"/>
        <v>19915657352.573303</v>
      </c>
      <c r="BJ1110" s="1711">
        <f t="shared" si="70"/>
        <v>20775433.712378494</v>
      </c>
      <c r="BK1110" s="1711">
        <f t="shared" si="71"/>
        <v>0.86507633762240221</v>
      </c>
    </row>
    <row r="1111" spans="3:67" x14ac:dyDescent="0.25">
      <c r="C1111" s="246" t="s">
        <v>2461</v>
      </c>
      <c r="D1111" s="246">
        <v>1</v>
      </c>
      <c r="E1111" s="246">
        <v>2</v>
      </c>
      <c r="F1111" s="246">
        <v>3</v>
      </c>
      <c r="G1111" s="246">
        <v>4</v>
      </c>
      <c r="H1111" s="246">
        <v>5</v>
      </c>
      <c r="I1111" s="246">
        <v>9</v>
      </c>
      <c r="J1111" s="246">
        <v>13</v>
      </c>
      <c r="K1111" s="246">
        <v>16</v>
      </c>
      <c r="L1111" s="246">
        <v>17</v>
      </c>
      <c r="M1111" s="246"/>
      <c r="N1111" s="246"/>
      <c r="O1111" s="246"/>
      <c r="P1111" s="246"/>
      <c r="Q1111" s="246"/>
      <c r="R1111" s="246">
        <f>IFERROR(VLOOKUP(D1111,PROGRAMAS[],2,FALSE),0)</f>
        <v>97037803.679377079</v>
      </c>
      <c r="S1111" s="246">
        <f>IFERROR(VLOOKUP(E1111,PROGRAMAS[],2,FALSE),0)</f>
        <v>640501509.6821388</v>
      </c>
      <c r="T1111" s="246">
        <f>IFERROR(VLOOKUP(F1111,PROGRAMAS[],2,FALSE),0)</f>
        <v>3062327798.1525245</v>
      </c>
      <c r="U1111" s="246">
        <f>IFERROR(VLOOKUP(G1111,PROGRAMAS[],2,FALSE),0)</f>
        <v>67697118.033011258</v>
      </c>
      <c r="V1111" s="246">
        <f>IFERROR(VLOOKUP(H1111,PROGRAMAS[],2,FALSE),0)</f>
        <v>1440941976.2528784</v>
      </c>
      <c r="W1111" s="246">
        <f>IFERROR(VLOOKUP(I1111,PROGRAMAS[],2,FALSE),0)</f>
        <v>6128579952.1618185</v>
      </c>
      <c r="X1111" s="246">
        <f>IFERROR(VLOOKUP(J1111,PROGRAMAS[],2,FALSE),0)</f>
        <v>3776538594.4604583</v>
      </c>
      <c r="Y1111" s="246">
        <f>IFERROR(VLOOKUP(K1111,PROGRAMAS[],2,FALSE),0)</f>
        <v>7068496961.0436354</v>
      </c>
      <c r="Z1111" s="246">
        <f>IFERROR(VLOOKUP(L1111,PROGRAMAS[],2,FALSE),0)</f>
        <v>1892779498.5211046</v>
      </c>
      <c r="AA1111" s="246">
        <f>IFERROR(VLOOKUP(M1111,PROGRAMAS[],2,FALSE),0)</f>
        <v>0</v>
      </c>
      <c r="AB1111" s="246">
        <f>IFERROR(VLOOKUP(N1111,PROGRAMAS[],2,FALSE),0)</f>
        <v>0</v>
      </c>
      <c r="AC1111" s="246">
        <f>IFERROR(VLOOKUP(O1111,PROGRAMAS[],2,FALSE),0)</f>
        <v>0</v>
      </c>
      <c r="AD1111" s="246">
        <f>IFERROR(VLOOKUP(P1111,PROGRAMAS[],2,FALSE),0)</f>
        <v>0</v>
      </c>
      <c r="AE1111" s="246">
        <f>IFERROR(VLOOKUP(Q1111,PROGRAMAS[],2,FALSE),0)</f>
        <v>0</v>
      </c>
      <c r="AF1111" s="246">
        <f>IFERROR(VLOOKUP(D1111,PROGRAMAS[],3,FALSE),0)</f>
        <v>841888629.31080008</v>
      </c>
      <c r="AG1111" s="246">
        <f>IFERROR(VLOOKUP(E1111,PROGRAMAS[],3,FALSE),0)</f>
        <v>3848980803.1642323</v>
      </c>
      <c r="AH1111" s="246">
        <f>IFERROR(VLOOKUP(F1111,PROGRAMAS[],3,FALSE),0)</f>
        <v>3394901471.387517</v>
      </c>
      <c r="AI1111" s="246">
        <f>IFERROR(VLOOKUP(G1111,PROGRAMAS[],3,FALSE),0)</f>
        <v>125317226.95549992</v>
      </c>
      <c r="AJ1111" s="246">
        <f>IFERROR(VLOOKUP(H1111,PROGRAMAS[],3,FALSE),0)</f>
        <v>1233505101.0616004</v>
      </c>
      <c r="AK1111" s="246">
        <f>IFERROR(VLOOKUP(I1111,PROGRAMAS[],3,FALSE),0)</f>
        <v>7011279577.519702</v>
      </c>
      <c r="AL1111" s="246">
        <f>IFERROR(VLOOKUP(J1111,PROGRAMAS[],3,FALSE),0)</f>
        <v>2392571243.5584412</v>
      </c>
      <c r="AM1111" s="246">
        <f>IFERROR(VLOOKUP(K1111,PROGRAMAS[],3,FALSE),0)</f>
        <v>2406564599.0319901</v>
      </c>
      <c r="AN1111" s="246">
        <f>IFERROR(VLOOKUP(L1111,PROGRAMAS[],3,FALSE),0)</f>
        <v>948595847.09039903</v>
      </c>
      <c r="AO1111" s="246">
        <f>IFERROR(VLOOKUP(M1111,PROGRAMAS[],3,FALSE),0)</f>
        <v>0</v>
      </c>
      <c r="AP1111" s="246">
        <f>IFERROR(VLOOKUP(N1111,PROGRAMAS[],3,FALSE),0)</f>
        <v>0</v>
      </c>
      <c r="AQ1111" s="246">
        <f>IFERROR(VLOOKUP(O1111,PROGRAMAS[],3,FALSE),0)</f>
        <v>0</v>
      </c>
      <c r="AR1111" s="246">
        <f>IFERROR(VLOOKUP(P1111,PROGRAMAS[],3,FALSE),0)</f>
        <v>0</v>
      </c>
      <c r="AS1111" s="246">
        <f>IFERROR(VLOOKUP(Q1111,PROGRAMAS[],3,FALSE),0)</f>
        <v>0</v>
      </c>
      <c r="AT1111" s="246">
        <f>IFERROR(VLOOKUP(D1111,VOL_REC[],2,FALSE),0)</f>
        <v>0</v>
      </c>
      <c r="AU1111" s="246">
        <f>IFERROR(VLOOKUP(E1111,VOL_REC[],2,FALSE),0)</f>
        <v>0</v>
      </c>
      <c r="AV1111" s="246">
        <f>IFERROR(VLOOKUP(F1111,VOL_REC[],2,FALSE),0)</f>
        <v>11089674.200000001</v>
      </c>
      <c r="AW1111" s="246">
        <f>IFERROR(VLOOKUP(G1111,VOL_REC[],2,FALSE),0)</f>
        <v>90439.55</v>
      </c>
      <c r="AX1111" s="246">
        <f>IFERROR(VLOOKUP(H1111,VOL_REC[],2,FALSE),0)</f>
        <v>4325103.1812214684</v>
      </c>
      <c r="AY1111" s="246">
        <f>IFERROR(VLOOKUP(I1111,VOL_REC[],2,FALSE),0)</f>
        <v>3761786</v>
      </c>
      <c r="AZ1111" s="246">
        <f>IFERROR(VLOOKUP(J1111,VOL_REC[],2,FALSE),0)</f>
        <v>663244.80000000016</v>
      </c>
      <c r="BA1111" s="246">
        <f>IFERROR(VLOOKUP(K1111,VOL_REC[],2,FALSE),0)</f>
        <v>1072354.9981737854</v>
      </c>
      <c r="BB1111" s="246">
        <f>IFERROR(VLOOKUP(L1111,VOL_REC[],2,FALSE),0)</f>
        <v>740113.98115702497</v>
      </c>
      <c r="BC1111" s="246">
        <f>IFERROR(VLOOKUP(M1111,VOL_REC[],2,FALSE),0)</f>
        <v>0</v>
      </c>
      <c r="BD1111" s="246">
        <f>IFERROR(VLOOKUP(N1111,VOL_REC[],2,FALSE),0)</f>
        <v>0</v>
      </c>
      <c r="BE1111" s="246">
        <f>IFERROR(VLOOKUP(O1111,VOL_REC[],2,FALSE),0)</f>
        <v>0</v>
      </c>
      <c r="BF1111" s="246">
        <f>IFERROR(VLOOKUP(P1111,VOL_REC[],2,FALSE),0)</f>
        <v>0</v>
      </c>
      <c r="BG1111" s="246">
        <f>IFERROR(VLOOKUP(Q1111,VOL_REC[],2,FALSE),0)</f>
        <v>0</v>
      </c>
      <c r="BH1111" s="1710">
        <f t="shared" si="68"/>
        <v>24174901211.986946</v>
      </c>
      <c r="BI1111" s="1710">
        <f t="shared" si="69"/>
        <v>22203604499.080185</v>
      </c>
      <c r="BJ1111" s="1711">
        <f t="shared" si="70"/>
        <v>21742716.710552279</v>
      </c>
      <c r="BK1111" s="1711">
        <f t="shared" si="71"/>
        <v>1.0887827340370986</v>
      </c>
      <c r="BL1111">
        <f>BJ1111</f>
        <v>21742716.710552279</v>
      </c>
      <c r="BO1111">
        <f>BL1111</f>
        <v>21742716.710552279</v>
      </c>
    </row>
    <row r="1112" spans="3:67" x14ac:dyDescent="0.25">
      <c r="C1112" s="246" t="s">
        <v>2462</v>
      </c>
      <c r="D1112" s="246">
        <v>1</v>
      </c>
      <c r="E1112" s="246">
        <v>2</v>
      </c>
      <c r="F1112" s="246">
        <v>3</v>
      </c>
      <c r="G1112" s="246">
        <v>4</v>
      </c>
      <c r="H1112" s="246">
        <v>5</v>
      </c>
      <c r="I1112" s="246">
        <v>9</v>
      </c>
      <c r="J1112" s="246">
        <v>14</v>
      </c>
      <c r="K1112" s="246">
        <v>15</v>
      </c>
      <c r="L1112" s="246">
        <v>16</v>
      </c>
      <c r="M1112" s="246"/>
      <c r="N1112" s="246"/>
      <c r="O1112" s="246"/>
      <c r="P1112" s="246"/>
      <c r="Q1112" s="246"/>
      <c r="R1112" s="246">
        <f>IFERROR(VLOOKUP(D1112,PROGRAMAS[],2,FALSE),0)</f>
        <v>97037803.679377079</v>
      </c>
      <c r="S1112" s="246">
        <f>IFERROR(VLOOKUP(E1112,PROGRAMAS[],2,FALSE),0)</f>
        <v>640501509.6821388</v>
      </c>
      <c r="T1112" s="246">
        <f>IFERROR(VLOOKUP(F1112,PROGRAMAS[],2,FALSE),0)</f>
        <v>3062327798.1525245</v>
      </c>
      <c r="U1112" s="246">
        <f>IFERROR(VLOOKUP(G1112,PROGRAMAS[],2,FALSE),0)</f>
        <v>67697118.033011258</v>
      </c>
      <c r="V1112" s="246">
        <f>IFERROR(VLOOKUP(H1112,PROGRAMAS[],2,FALSE),0)</f>
        <v>1440941976.2528784</v>
      </c>
      <c r="W1112" s="246">
        <f>IFERROR(VLOOKUP(I1112,PROGRAMAS[],2,FALSE),0)</f>
        <v>6128579952.1618185</v>
      </c>
      <c r="X1112" s="246">
        <f>IFERROR(VLOOKUP(J1112,PROGRAMAS[],2,FALSE),0)</f>
        <v>54223862.645839565</v>
      </c>
      <c r="Y1112" s="246">
        <f>IFERROR(VLOOKUP(K1112,PROGRAMAS[],2,FALSE),0)</f>
        <v>122159672.96346797</v>
      </c>
      <c r="Z1112" s="246">
        <f>IFERROR(VLOOKUP(L1112,PROGRAMAS[],2,FALSE),0)</f>
        <v>7068496961.0436354</v>
      </c>
      <c r="AA1112" s="246">
        <f>IFERROR(VLOOKUP(M1112,PROGRAMAS[],2,FALSE),0)</f>
        <v>0</v>
      </c>
      <c r="AB1112" s="246">
        <f>IFERROR(VLOOKUP(N1112,PROGRAMAS[],2,FALSE),0)</f>
        <v>0</v>
      </c>
      <c r="AC1112" s="246">
        <f>IFERROR(VLOOKUP(O1112,PROGRAMAS[],2,FALSE),0)</f>
        <v>0</v>
      </c>
      <c r="AD1112" s="246">
        <f>IFERROR(VLOOKUP(P1112,PROGRAMAS[],2,FALSE),0)</f>
        <v>0</v>
      </c>
      <c r="AE1112" s="246">
        <f>IFERROR(VLOOKUP(Q1112,PROGRAMAS[],2,FALSE),0)</f>
        <v>0</v>
      </c>
      <c r="AF1112" s="246">
        <f>IFERROR(VLOOKUP(D1112,PROGRAMAS[],3,FALSE),0)</f>
        <v>841888629.31080008</v>
      </c>
      <c r="AG1112" s="246">
        <f>IFERROR(VLOOKUP(E1112,PROGRAMAS[],3,FALSE),0)</f>
        <v>3848980803.1642323</v>
      </c>
      <c r="AH1112" s="246">
        <f>IFERROR(VLOOKUP(F1112,PROGRAMAS[],3,FALSE),0)</f>
        <v>3394901471.387517</v>
      </c>
      <c r="AI1112" s="246">
        <f>IFERROR(VLOOKUP(G1112,PROGRAMAS[],3,FALSE),0)</f>
        <v>125317226.95549992</v>
      </c>
      <c r="AJ1112" s="246">
        <f>IFERROR(VLOOKUP(H1112,PROGRAMAS[],3,FALSE),0)</f>
        <v>1233505101.0616004</v>
      </c>
      <c r="AK1112" s="246">
        <f>IFERROR(VLOOKUP(I1112,PROGRAMAS[],3,FALSE),0)</f>
        <v>7011279577.519702</v>
      </c>
      <c r="AL1112" s="246">
        <f>IFERROR(VLOOKUP(J1112,PROGRAMAS[],3,FALSE),0)</f>
        <v>31865326.38096505</v>
      </c>
      <c r="AM1112" s="246">
        <f>IFERROR(VLOOKUP(K1112,PROGRAMAS[],3,FALSE),0)</f>
        <v>118617452.52510804</v>
      </c>
      <c r="AN1112" s="246">
        <f>IFERROR(VLOOKUP(L1112,PROGRAMAS[],3,FALSE),0)</f>
        <v>2406564599.0319901</v>
      </c>
      <c r="AO1112" s="246">
        <f>IFERROR(VLOOKUP(M1112,PROGRAMAS[],3,FALSE),0)</f>
        <v>0</v>
      </c>
      <c r="AP1112" s="246">
        <f>IFERROR(VLOOKUP(N1112,PROGRAMAS[],3,FALSE),0)</f>
        <v>0</v>
      </c>
      <c r="AQ1112" s="246">
        <f>IFERROR(VLOOKUP(O1112,PROGRAMAS[],3,FALSE),0)</f>
        <v>0</v>
      </c>
      <c r="AR1112" s="246">
        <f>IFERROR(VLOOKUP(P1112,PROGRAMAS[],3,FALSE),0)</f>
        <v>0</v>
      </c>
      <c r="AS1112" s="246">
        <f>IFERROR(VLOOKUP(Q1112,PROGRAMAS[],3,FALSE),0)</f>
        <v>0</v>
      </c>
      <c r="AT1112" s="246">
        <f>IFERROR(VLOOKUP(D1112,VOL_REC[],2,FALSE),0)</f>
        <v>0</v>
      </c>
      <c r="AU1112" s="246">
        <f>IFERROR(VLOOKUP(E1112,VOL_REC[],2,FALSE),0)</f>
        <v>0</v>
      </c>
      <c r="AV1112" s="246">
        <f>IFERROR(VLOOKUP(F1112,VOL_REC[],2,FALSE),0)</f>
        <v>11089674.200000001</v>
      </c>
      <c r="AW1112" s="246">
        <f>IFERROR(VLOOKUP(G1112,VOL_REC[],2,FALSE),0)</f>
        <v>90439.55</v>
      </c>
      <c r="AX1112" s="246">
        <f>IFERROR(VLOOKUP(H1112,VOL_REC[],2,FALSE),0)</f>
        <v>4325103.1812214684</v>
      </c>
      <c r="AY1112" s="246">
        <f>IFERROR(VLOOKUP(I1112,VOL_REC[],2,FALSE),0)</f>
        <v>3761786</v>
      </c>
      <c r="AZ1112" s="246">
        <f>IFERROR(VLOOKUP(J1112,VOL_REC[],2,FALSE),0)</f>
        <v>17074.045034105649</v>
      </c>
      <c r="BA1112" s="246">
        <f>IFERROR(VLOOKUP(K1112,VOL_REC[],2,FALSE),0)</f>
        <v>105072</v>
      </c>
      <c r="BB1112" s="246">
        <f>IFERROR(VLOOKUP(L1112,VOL_REC[],2,FALSE),0)</f>
        <v>1072354.9981737854</v>
      </c>
      <c r="BC1112" s="246">
        <f>IFERROR(VLOOKUP(M1112,VOL_REC[],2,FALSE),0)</f>
        <v>0</v>
      </c>
      <c r="BD1112" s="246">
        <f>IFERROR(VLOOKUP(N1112,VOL_REC[],2,FALSE),0)</f>
        <v>0</v>
      </c>
      <c r="BE1112" s="246">
        <f>IFERROR(VLOOKUP(O1112,VOL_REC[],2,FALSE),0)</f>
        <v>0</v>
      </c>
      <c r="BF1112" s="246">
        <f>IFERROR(VLOOKUP(P1112,VOL_REC[],2,FALSE),0)</f>
        <v>0</v>
      </c>
      <c r="BG1112" s="246">
        <f>IFERROR(VLOOKUP(Q1112,VOL_REC[],2,FALSE),0)</f>
        <v>0</v>
      </c>
      <c r="BH1112" s="1710">
        <f t="shared" si="68"/>
        <v>18681966654.614693</v>
      </c>
      <c r="BI1112" s="1710">
        <f t="shared" si="69"/>
        <v>19012920187.337418</v>
      </c>
      <c r="BJ1112" s="1711">
        <f t="shared" si="70"/>
        <v>20461503.974429362</v>
      </c>
      <c r="BK1112" s="1711">
        <f t="shared" si="71"/>
        <v>0.98259322978996466</v>
      </c>
    </row>
    <row r="1113" spans="3:67" x14ac:dyDescent="0.25">
      <c r="C1113" s="246" t="s">
        <v>2463</v>
      </c>
      <c r="D1113" s="246">
        <v>1</v>
      </c>
      <c r="E1113" s="246">
        <v>2</v>
      </c>
      <c r="F1113" s="246">
        <v>3</v>
      </c>
      <c r="G1113" s="246">
        <v>4</v>
      </c>
      <c r="H1113" s="246">
        <v>5</v>
      </c>
      <c r="I1113" s="246">
        <v>9</v>
      </c>
      <c r="J1113" s="246">
        <v>14</v>
      </c>
      <c r="K1113" s="246">
        <v>15</v>
      </c>
      <c r="L1113" s="246">
        <v>17</v>
      </c>
      <c r="M1113" s="246"/>
      <c r="N1113" s="246"/>
      <c r="O1113" s="246"/>
      <c r="P1113" s="246"/>
      <c r="Q1113" s="246"/>
      <c r="R1113" s="246">
        <f>IFERROR(VLOOKUP(D1113,PROGRAMAS[],2,FALSE),0)</f>
        <v>97037803.679377079</v>
      </c>
      <c r="S1113" s="246">
        <f>IFERROR(VLOOKUP(E1113,PROGRAMAS[],2,FALSE),0)</f>
        <v>640501509.6821388</v>
      </c>
      <c r="T1113" s="246">
        <f>IFERROR(VLOOKUP(F1113,PROGRAMAS[],2,FALSE),0)</f>
        <v>3062327798.1525245</v>
      </c>
      <c r="U1113" s="246">
        <f>IFERROR(VLOOKUP(G1113,PROGRAMAS[],2,FALSE),0)</f>
        <v>67697118.033011258</v>
      </c>
      <c r="V1113" s="246">
        <f>IFERROR(VLOOKUP(H1113,PROGRAMAS[],2,FALSE),0)</f>
        <v>1440941976.2528784</v>
      </c>
      <c r="W1113" s="246">
        <f>IFERROR(VLOOKUP(I1113,PROGRAMAS[],2,FALSE),0)</f>
        <v>6128579952.1618185</v>
      </c>
      <c r="X1113" s="246">
        <f>IFERROR(VLOOKUP(J1113,PROGRAMAS[],2,FALSE),0)</f>
        <v>54223862.645839565</v>
      </c>
      <c r="Y1113" s="246">
        <f>IFERROR(VLOOKUP(K1113,PROGRAMAS[],2,FALSE),0)</f>
        <v>122159672.96346797</v>
      </c>
      <c r="Z1113" s="246">
        <f>IFERROR(VLOOKUP(L1113,PROGRAMAS[],2,FALSE),0)</f>
        <v>1892779498.5211046</v>
      </c>
      <c r="AA1113" s="246">
        <f>IFERROR(VLOOKUP(M1113,PROGRAMAS[],2,FALSE),0)</f>
        <v>0</v>
      </c>
      <c r="AB1113" s="246">
        <f>IFERROR(VLOOKUP(N1113,PROGRAMAS[],2,FALSE),0)</f>
        <v>0</v>
      </c>
      <c r="AC1113" s="246">
        <f>IFERROR(VLOOKUP(O1113,PROGRAMAS[],2,FALSE),0)</f>
        <v>0</v>
      </c>
      <c r="AD1113" s="246">
        <f>IFERROR(VLOOKUP(P1113,PROGRAMAS[],2,FALSE),0)</f>
        <v>0</v>
      </c>
      <c r="AE1113" s="246">
        <f>IFERROR(VLOOKUP(Q1113,PROGRAMAS[],2,FALSE),0)</f>
        <v>0</v>
      </c>
      <c r="AF1113" s="246">
        <f>IFERROR(VLOOKUP(D1113,PROGRAMAS[],3,FALSE),0)</f>
        <v>841888629.31080008</v>
      </c>
      <c r="AG1113" s="246">
        <f>IFERROR(VLOOKUP(E1113,PROGRAMAS[],3,FALSE),0)</f>
        <v>3848980803.1642323</v>
      </c>
      <c r="AH1113" s="246">
        <f>IFERROR(VLOOKUP(F1113,PROGRAMAS[],3,FALSE),0)</f>
        <v>3394901471.387517</v>
      </c>
      <c r="AI1113" s="246">
        <f>IFERROR(VLOOKUP(G1113,PROGRAMAS[],3,FALSE),0)</f>
        <v>125317226.95549992</v>
      </c>
      <c r="AJ1113" s="246">
        <f>IFERROR(VLOOKUP(H1113,PROGRAMAS[],3,FALSE),0)</f>
        <v>1233505101.0616004</v>
      </c>
      <c r="AK1113" s="246">
        <f>IFERROR(VLOOKUP(I1113,PROGRAMAS[],3,FALSE),0)</f>
        <v>7011279577.519702</v>
      </c>
      <c r="AL1113" s="246">
        <f>IFERROR(VLOOKUP(J1113,PROGRAMAS[],3,FALSE),0)</f>
        <v>31865326.38096505</v>
      </c>
      <c r="AM1113" s="246">
        <f>IFERROR(VLOOKUP(K1113,PROGRAMAS[],3,FALSE),0)</f>
        <v>118617452.52510804</v>
      </c>
      <c r="AN1113" s="246">
        <f>IFERROR(VLOOKUP(L1113,PROGRAMAS[],3,FALSE),0)</f>
        <v>948595847.09039903</v>
      </c>
      <c r="AO1113" s="246">
        <f>IFERROR(VLOOKUP(M1113,PROGRAMAS[],3,FALSE),0)</f>
        <v>0</v>
      </c>
      <c r="AP1113" s="246">
        <f>IFERROR(VLOOKUP(N1113,PROGRAMAS[],3,FALSE),0)</f>
        <v>0</v>
      </c>
      <c r="AQ1113" s="246">
        <f>IFERROR(VLOOKUP(O1113,PROGRAMAS[],3,FALSE),0)</f>
        <v>0</v>
      </c>
      <c r="AR1113" s="246">
        <f>IFERROR(VLOOKUP(P1113,PROGRAMAS[],3,FALSE),0)</f>
        <v>0</v>
      </c>
      <c r="AS1113" s="246">
        <f>IFERROR(VLOOKUP(Q1113,PROGRAMAS[],3,FALSE),0)</f>
        <v>0</v>
      </c>
      <c r="AT1113" s="246">
        <f>IFERROR(VLOOKUP(D1113,VOL_REC[],2,FALSE),0)</f>
        <v>0</v>
      </c>
      <c r="AU1113" s="246">
        <f>IFERROR(VLOOKUP(E1113,VOL_REC[],2,FALSE),0)</f>
        <v>0</v>
      </c>
      <c r="AV1113" s="246">
        <f>IFERROR(VLOOKUP(F1113,VOL_REC[],2,FALSE),0)</f>
        <v>11089674.200000001</v>
      </c>
      <c r="AW1113" s="246">
        <f>IFERROR(VLOOKUP(G1113,VOL_REC[],2,FALSE),0)</f>
        <v>90439.55</v>
      </c>
      <c r="AX1113" s="246">
        <f>IFERROR(VLOOKUP(H1113,VOL_REC[],2,FALSE),0)</f>
        <v>4325103.1812214684</v>
      </c>
      <c r="AY1113" s="246">
        <f>IFERROR(VLOOKUP(I1113,VOL_REC[],2,FALSE),0)</f>
        <v>3761786</v>
      </c>
      <c r="AZ1113" s="246">
        <f>IFERROR(VLOOKUP(J1113,VOL_REC[],2,FALSE),0)</f>
        <v>17074.045034105649</v>
      </c>
      <c r="BA1113" s="246">
        <f>IFERROR(VLOOKUP(K1113,VOL_REC[],2,FALSE),0)</f>
        <v>105072</v>
      </c>
      <c r="BB1113" s="246">
        <f>IFERROR(VLOOKUP(L1113,VOL_REC[],2,FALSE),0)</f>
        <v>740113.98115702497</v>
      </c>
      <c r="BC1113" s="246">
        <f>IFERROR(VLOOKUP(M1113,VOL_REC[],2,FALSE),0)</f>
        <v>0</v>
      </c>
      <c r="BD1113" s="246">
        <f>IFERROR(VLOOKUP(N1113,VOL_REC[],2,FALSE),0)</f>
        <v>0</v>
      </c>
      <c r="BE1113" s="246">
        <f>IFERROR(VLOOKUP(O1113,VOL_REC[],2,FALSE),0)</f>
        <v>0</v>
      </c>
      <c r="BF1113" s="246">
        <f>IFERROR(VLOOKUP(P1113,VOL_REC[],2,FALSE),0)</f>
        <v>0</v>
      </c>
      <c r="BG1113" s="246">
        <f>IFERROR(VLOOKUP(Q1113,VOL_REC[],2,FALSE),0)</f>
        <v>0</v>
      </c>
      <c r="BH1113" s="1710">
        <f t="shared" si="68"/>
        <v>13506249192.092163</v>
      </c>
      <c r="BI1113" s="1710">
        <f t="shared" si="69"/>
        <v>17554951435.395824</v>
      </c>
      <c r="BJ1113" s="1711">
        <f t="shared" si="70"/>
        <v>20129262.957412601</v>
      </c>
      <c r="BK1113" s="1711">
        <f t="shared" si="71"/>
        <v>0.76936978389240573</v>
      </c>
    </row>
    <row r="1114" spans="3:67" x14ac:dyDescent="0.25">
      <c r="C1114" s="246" t="s">
        <v>2464</v>
      </c>
      <c r="D1114" s="246">
        <v>1</v>
      </c>
      <c r="E1114" s="246">
        <v>2</v>
      </c>
      <c r="F1114" s="246">
        <v>3</v>
      </c>
      <c r="G1114" s="246">
        <v>4</v>
      </c>
      <c r="H1114" s="246">
        <v>5</v>
      </c>
      <c r="I1114" s="246">
        <v>9</v>
      </c>
      <c r="J1114" s="246">
        <v>14</v>
      </c>
      <c r="K1114" s="246">
        <v>16</v>
      </c>
      <c r="L1114" s="246">
        <v>17</v>
      </c>
      <c r="M1114" s="246"/>
      <c r="N1114" s="246"/>
      <c r="O1114" s="246"/>
      <c r="P1114" s="246"/>
      <c r="Q1114" s="246"/>
      <c r="R1114" s="246">
        <f>IFERROR(VLOOKUP(D1114,PROGRAMAS[],2,FALSE),0)</f>
        <v>97037803.679377079</v>
      </c>
      <c r="S1114" s="246">
        <f>IFERROR(VLOOKUP(E1114,PROGRAMAS[],2,FALSE),0)</f>
        <v>640501509.6821388</v>
      </c>
      <c r="T1114" s="246">
        <f>IFERROR(VLOOKUP(F1114,PROGRAMAS[],2,FALSE),0)</f>
        <v>3062327798.1525245</v>
      </c>
      <c r="U1114" s="246">
        <f>IFERROR(VLOOKUP(G1114,PROGRAMAS[],2,FALSE),0)</f>
        <v>67697118.033011258</v>
      </c>
      <c r="V1114" s="246">
        <f>IFERROR(VLOOKUP(H1114,PROGRAMAS[],2,FALSE),0)</f>
        <v>1440941976.2528784</v>
      </c>
      <c r="W1114" s="246">
        <f>IFERROR(VLOOKUP(I1114,PROGRAMAS[],2,FALSE),0)</f>
        <v>6128579952.1618185</v>
      </c>
      <c r="X1114" s="246">
        <f>IFERROR(VLOOKUP(J1114,PROGRAMAS[],2,FALSE),0)</f>
        <v>54223862.645839565</v>
      </c>
      <c r="Y1114" s="246">
        <f>IFERROR(VLOOKUP(K1114,PROGRAMAS[],2,FALSE),0)</f>
        <v>7068496961.0436354</v>
      </c>
      <c r="Z1114" s="246">
        <f>IFERROR(VLOOKUP(L1114,PROGRAMAS[],2,FALSE),0)</f>
        <v>1892779498.5211046</v>
      </c>
      <c r="AA1114" s="246">
        <f>IFERROR(VLOOKUP(M1114,PROGRAMAS[],2,FALSE),0)</f>
        <v>0</v>
      </c>
      <c r="AB1114" s="246">
        <f>IFERROR(VLOOKUP(N1114,PROGRAMAS[],2,FALSE),0)</f>
        <v>0</v>
      </c>
      <c r="AC1114" s="246">
        <f>IFERROR(VLOOKUP(O1114,PROGRAMAS[],2,FALSE),0)</f>
        <v>0</v>
      </c>
      <c r="AD1114" s="246">
        <f>IFERROR(VLOOKUP(P1114,PROGRAMAS[],2,FALSE),0)</f>
        <v>0</v>
      </c>
      <c r="AE1114" s="246">
        <f>IFERROR(VLOOKUP(Q1114,PROGRAMAS[],2,FALSE),0)</f>
        <v>0</v>
      </c>
      <c r="AF1114" s="246">
        <f>IFERROR(VLOOKUP(D1114,PROGRAMAS[],3,FALSE),0)</f>
        <v>841888629.31080008</v>
      </c>
      <c r="AG1114" s="246">
        <f>IFERROR(VLOOKUP(E1114,PROGRAMAS[],3,FALSE),0)</f>
        <v>3848980803.1642323</v>
      </c>
      <c r="AH1114" s="246">
        <f>IFERROR(VLOOKUP(F1114,PROGRAMAS[],3,FALSE),0)</f>
        <v>3394901471.387517</v>
      </c>
      <c r="AI1114" s="246">
        <f>IFERROR(VLOOKUP(G1114,PROGRAMAS[],3,FALSE),0)</f>
        <v>125317226.95549992</v>
      </c>
      <c r="AJ1114" s="246">
        <f>IFERROR(VLOOKUP(H1114,PROGRAMAS[],3,FALSE),0)</f>
        <v>1233505101.0616004</v>
      </c>
      <c r="AK1114" s="246">
        <f>IFERROR(VLOOKUP(I1114,PROGRAMAS[],3,FALSE),0)</f>
        <v>7011279577.519702</v>
      </c>
      <c r="AL1114" s="246">
        <f>IFERROR(VLOOKUP(J1114,PROGRAMAS[],3,FALSE),0)</f>
        <v>31865326.38096505</v>
      </c>
      <c r="AM1114" s="246">
        <f>IFERROR(VLOOKUP(K1114,PROGRAMAS[],3,FALSE),0)</f>
        <v>2406564599.0319901</v>
      </c>
      <c r="AN1114" s="246">
        <f>IFERROR(VLOOKUP(L1114,PROGRAMAS[],3,FALSE),0)</f>
        <v>948595847.09039903</v>
      </c>
      <c r="AO1114" s="246">
        <f>IFERROR(VLOOKUP(M1114,PROGRAMAS[],3,FALSE),0)</f>
        <v>0</v>
      </c>
      <c r="AP1114" s="246">
        <f>IFERROR(VLOOKUP(N1114,PROGRAMAS[],3,FALSE),0)</f>
        <v>0</v>
      </c>
      <c r="AQ1114" s="246">
        <f>IFERROR(VLOOKUP(O1114,PROGRAMAS[],3,FALSE),0)</f>
        <v>0</v>
      </c>
      <c r="AR1114" s="246">
        <f>IFERROR(VLOOKUP(P1114,PROGRAMAS[],3,FALSE),0)</f>
        <v>0</v>
      </c>
      <c r="AS1114" s="246">
        <f>IFERROR(VLOOKUP(Q1114,PROGRAMAS[],3,FALSE),0)</f>
        <v>0</v>
      </c>
      <c r="AT1114" s="246">
        <f>IFERROR(VLOOKUP(D1114,VOL_REC[],2,FALSE),0)</f>
        <v>0</v>
      </c>
      <c r="AU1114" s="246">
        <f>IFERROR(VLOOKUP(E1114,VOL_REC[],2,FALSE),0)</f>
        <v>0</v>
      </c>
      <c r="AV1114" s="246">
        <f>IFERROR(VLOOKUP(F1114,VOL_REC[],2,FALSE),0)</f>
        <v>11089674.200000001</v>
      </c>
      <c r="AW1114" s="246">
        <f>IFERROR(VLOOKUP(G1114,VOL_REC[],2,FALSE),0)</f>
        <v>90439.55</v>
      </c>
      <c r="AX1114" s="246">
        <f>IFERROR(VLOOKUP(H1114,VOL_REC[],2,FALSE),0)</f>
        <v>4325103.1812214684</v>
      </c>
      <c r="AY1114" s="246">
        <f>IFERROR(VLOOKUP(I1114,VOL_REC[],2,FALSE),0)</f>
        <v>3761786</v>
      </c>
      <c r="AZ1114" s="246">
        <f>IFERROR(VLOOKUP(J1114,VOL_REC[],2,FALSE),0)</f>
        <v>17074.045034105649</v>
      </c>
      <c r="BA1114" s="246">
        <f>IFERROR(VLOOKUP(K1114,VOL_REC[],2,FALSE),0)</f>
        <v>1072354.9981737854</v>
      </c>
      <c r="BB1114" s="246">
        <f>IFERROR(VLOOKUP(L1114,VOL_REC[],2,FALSE),0)</f>
        <v>740113.98115702497</v>
      </c>
      <c r="BC1114" s="246">
        <f>IFERROR(VLOOKUP(M1114,VOL_REC[],2,FALSE),0)</f>
        <v>0</v>
      </c>
      <c r="BD1114" s="246">
        <f>IFERROR(VLOOKUP(N1114,VOL_REC[],2,FALSE),0)</f>
        <v>0</v>
      </c>
      <c r="BE1114" s="246">
        <f>IFERROR(VLOOKUP(O1114,VOL_REC[],2,FALSE),0)</f>
        <v>0</v>
      </c>
      <c r="BF1114" s="246">
        <f>IFERROR(VLOOKUP(P1114,VOL_REC[],2,FALSE),0)</f>
        <v>0</v>
      </c>
      <c r="BG1114" s="246">
        <f>IFERROR(VLOOKUP(Q1114,VOL_REC[],2,FALSE),0)</f>
        <v>0</v>
      </c>
      <c r="BH1114" s="1710">
        <f t="shared" si="68"/>
        <v>20452586480.172329</v>
      </c>
      <c r="BI1114" s="1710">
        <f t="shared" si="69"/>
        <v>19842898581.90271</v>
      </c>
      <c r="BJ1114" s="1711">
        <f t="shared" si="70"/>
        <v>21096545.955586385</v>
      </c>
      <c r="BK1114" s="1711">
        <f t="shared" si="71"/>
        <v>1.03072574784138</v>
      </c>
      <c r="BL1114">
        <f>BJ1114</f>
        <v>21096545.955586385</v>
      </c>
      <c r="BO1114">
        <f>BL1114</f>
        <v>21096545.955586385</v>
      </c>
    </row>
    <row r="1115" spans="3:67" x14ac:dyDescent="0.25">
      <c r="C1115" s="246" t="s">
        <v>2465</v>
      </c>
      <c r="D1115" s="246">
        <v>1</v>
      </c>
      <c r="E1115" s="246">
        <v>2</v>
      </c>
      <c r="F1115" s="246">
        <v>3</v>
      </c>
      <c r="G1115" s="246">
        <v>4</v>
      </c>
      <c r="H1115" s="246">
        <v>5</v>
      </c>
      <c r="I1115" s="246">
        <v>9</v>
      </c>
      <c r="J1115" s="246">
        <v>15</v>
      </c>
      <c r="K1115" s="246">
        <v>16</v>
      </c>
      <c r="L1115" s="246">
        <v>17</v>
      </c>
      <c r="M1115" s="246"/>
      <c r="N1115" s="246"/>
      <c r="O1115" s="246"/>
      <c r="P1115" s="246"/>
      <c r="Q1115" s="246"/>
      <c r="R1115" s="246">
        <f>IFERROR(VLOOKUP(D1115,PROGRAMAS[],2,FALSE),0)</f>
        <v>97037803.679377079</v>
      </c>
      <c r="S1115" s="246">
        <f>IFERROR(VLOOKUP(E1115,PROGRAMAS[],2,FALSE),0)</f>
        <v>640501509.6821388</v>
      </c>
      <c r="T1115" s="246">
        <f>IFERROR(VLOOKUP(F1115,PROGRAMAS[],2,FALSE),0)</f>
        <v>3062327798.1525245</v>
      </c>
      <c r="U1115" s="246">
        <f>IFERROR(VLOOKUP(G1115,PROGRAMAS[],2,FALSE),0)</f>
        <v>67697118.033011258</v>
      </c>
      <c r="V1115" s="246">
        <f>IFERROR(VLOOKUP(H1115,PROGRAMAS[],2,FALSE),0)</f>
        <v>1440941976.2528784</v>
      </c>
      <c r="W1115" s="246">
        <f>IFERROR(VLOOKUP(I1115,PROGRAMAS[],2,FALSE),0)</f>
        <v>6128579952.1618185</v>
      </c>
      <c r="X1115" s="246">
        <f>IFERROR(VLOOKUP(J1115,PROGRAMAS[],2,FALSE),0)</f>
        <v>122159672.96346797</v>
      </c>
      <c r="Y1115" s="246">
        <f>IFERROR(VLOOKUP(K1115,PROGRAMAS[],2,FALSE),0)</f>
        <v>7068496961.0436354</v>
      </c>
      <c r="Z1115" s="246">
        <f>IFERROR(VLOOKUP(L1115,PROGRAMAS[],2,FALSE),0)</f>
        <v>1892779498.5211046</v>
      </c>
      <c r="AA1115" s="246">
        <f>IFERROR(VLOOKUP(M1115,PROGRAMAS[],2,FALSE),0)</f>
        <v>0</v>
      </c>
      <c r="AB1115" s="246">
        <f>IFERROR(VLOOKUP(N1115,PROGRAMAS[],2,FALSE),0)</f>
        <v>0</v>
      </c>
      <c r="AC1115" s="246">
        <f>IFERROR(VLOOKUP(O1115,PROGRAMAS[],2,FALSE),0)</f>
        <v>0</v>
      </c>
      <c r="AD1115" s="246">
        <f>IFERROR(VLOOKUP(P1115,PROGRAMAS[],2,FALSE),0)</f>
        <v>0</v>
      </c>
      <c r="AE1115" s="246">
        <f>IFERROR(VLOOKUP(Q1115,PROGRAMAS[],2,FALSE),0)</f>
        <v>0</v>
      </c>
      <c r="AF1115" s="246">
        <f>IFERROR(VLOOKUP(D1115,PROGRAMAS[],3,FALSE),0)</f>
        <v>841888629.31080008</v>
      </c>
      <c r="AG1115" s="246">
        <f>IFERROR(VLOOKUP(E1115,PROGRAMAS[],3,FALSE),0)</f>
        <v>3848980803.1642323</v>
      </c>
      <c r="AH1115" s="246">
        <f>IFERROR(VLOOKUP(F1115,PROGRAMAS[],3,FALSE),0)</f>
        <v>3394901471.387517</v>
      </c>
      <c r="AI1115" s="246">
        <f>IFERROR(VLOOKUP(G1115,PROGRAMAS[],3,FALSE),0)</f>
        <v>125317226.95549992</v>
      </c>
      <c r="AJ1115" s="246">
        <f>IFERROR(VLOOKUP(H1115,PROGRAMAS[],3,FALSE),0)</f>
        <v>1233505101.0616004</v>
      </c>
      <c r="AK1115" s="246">
        <f>IFERROR(VLOOKUP(I1115,PROGRAMAS[],3,FALSE),0)</f>
        <v>7011279577.519702</v>
      </c>
      <c r="AL1115" s="246">
        <f>IFERROR(VLOOKUP(J1115,PROGRAMAS[],3,FALSE),0)</f>
        <v>118617452.52510804</v>
      </c>
      <c r="AM1115" s="246">
        <f>IFERROR(VLOOKUP(K1115,PROGRAMAS[],3,FALSE),0)</f>
        <v>2406564599.0319901</v>
      </c>
      <c r="AN1115" s="246">
        <f>IFERROR(VLOOKUP(L1115,PROGRAMAS[],3,FALSE),0)</f>
        <v>948595847.09039903</v>
      </c>
      <c r="AO1115" s="246">
        <f>IFERROR(VLOOKUP(M1115,PROGRAMAS[],3,FALSE),0)</f>
        <v>0</v>
      </c>
      <c r="AP1115" s="246">
        <f>IFERROR(VLOOKUP(N1115,PROGRAMAS[],3,FALSE),0)</f>
        <v>0</v>
      </c>
      <c r="AQ1115" s="246">
        <f>IFERROR(VLOOKUP(O1115,PROGRAMAS[],3,FALSE),0)</f>
        <v>0</v>
      </c>
      <c r="AR1115" s="246">
        <f>IFERROR(VLOOKUP(P1115,PROGRAMAS[],3,FALSE),0)</f>
        <v>0</v>
      </c>
      <c r="AS1115" s="246">
        <f>IFERROR(VLOOKUP(Q1115,PROGRAMAS[],3,FALSE),0)</f>
        <v>0</v>
      </c>
      <c r="AT1115" s="246">
        <f>IFERROR(VLOOKUP(D1115,VOL_REC[],2,FALSE),0)</f>
        <v>0</v>
      </c>
      <c r="AU1115" s="246">
        <f>IFERROR(VLOOKUP(E1115,VOL_REC[],2,FALSE),0)</f>
        <v>0</v>
      </c>
      <c r="AV1115" s="246">
        <f>IFERROR(VLOOKUP(F1115,VOL_REC[],2,FALSE),0)</f>
        <v>11089674.200000001</v>
      </c>
      <c r="AW1115" s="246">
        <f>IFERROR(VLOOKUP(G1115,VOL_REC[],2,FALSE),0)</f>
        <v>90439.55</v>
      </c>
      <c r="AX1115" s="246">
        <f>IFERROR(VLOOKUP(H1115,VOL_REC[],2,FALSE),0)</f>
        <v>4325103.1812214684</v>
      </c>
      <c r="AY1115" s="246">
        <f>IFERROR(VLOOKUP(I1115,VOL_REC[],2,FALSE),0)</f>
        <v>3761786</v>
      </c>
      <c r="AZ1115" s="246">
        <f>IFERROR(VLOOKUP(J1115,VOL_REC[],2,FALSE),0)</f>
        <v>105072</v>
      </c>
      <c r="BA1115" s="246">
        <f>IFERROR(VLOOKUP(K1115,VOL_REC[],2,FALSE),0)</f>
        <v>1072354.9981737854</v>
      </c>
      <c r="BB1115" s="246">
        <f>IFERROR(VLOOKUP(L1115,VOL_REC[],2,FALSE),0)</f>
        <v>740113.98115702497</v>
      </c>
      <c r="BC1115" s="246">
        <f>IFERROR(VLOOKUP(M1115,VOL_REC[],2,FALSE),0)</f>
        <v>0</v>
      </c>
      <c r="BD1115" s="246">
        <f>IFERROR(VLOOKUP(N1115,VOL_REC[],2,FALSE),0)</f>
        <v>0</v>
      </c>
      <c r="BE1115" s="246">
        <f>IFERROR(VLOOKUP(O1115,VOL_REC[],2,FALSE),0)</f>
        <v>0</v>
      </c>
      <c r="BF1115" s="246">
        <f>IFERROR(VLOOKUP(P1115,VOL_REC[],2,FALSE),0)</f>
        <v>0</v>
      </c>
      <c r="BG1115" s="246">
        <f>IFERROR(VLOOKUP(Q1115,VOL_REC[],2,FALSE),0)</f>
        <v>0</v>
      </c>
      <c r="BH1115" s="1710">
        <f t="shared" si="68"/>
        <v>20520522290.489956</v>
      </c>
      <c r="BI1115" s="1710">
        <f t="shared" si="69"/>
        <v>19929650708.046852</v>
      </c>
      <c r="BJ1115" s="1711">
        <f t="shared" si="70"/>
        <v>21184543.910552278</v>
      </c>
      <c r="BK1115" s="1711">
        <f t="shared" si="71"/>
        <v>1.0296478644357039</v>
      </c>
      <c r="BL1115">
        <f>BJ1115</f>
        <v>21184543.910552278</v>
      </c>
      <c r="BO1115">
        <f>BL1115</f>
        <v>21184543.910552278</v>
      </c>
    </row>
    <row r="1116" spans="3:67" x14ac:dyDescent="0.25">
      <c r="C1116" s="246" t="s">
        <v>2466</v>
      </c>
      <c r="D1116" s="246">
        <v>1</v>
      </c>
      <c r="E1116" s="246">
        <v>2</v>
      </c>
      <c r="F1116" s="246">
        <v>3</v>
      </c>
      <c r="G1116" s="246">
        <v>4</v>
      </c>
      <c r="H1116" s="246">
        <v>5</v>
      </c>
      <c r="I1116" s="246">
        <v>10</v>
      </c>
      <c r="J1116" s="246">
        <v>12</v>
      </c>
      <c r="K1116" s="246">
        <v>13</v>
      </c>
      <c r="L1116" s="246">
        <v>14</v>
      </c>
      <c r="M1116" s="246"/>
      <c r="N1116" s="246"/>
      <c r="O1116" s="246"/>
      <c r="P1116" s="246"/>
      <c r="Q1116" s="246"/>
      <c r="R1116" s="246">
        <f>IFERROR(VLOOKUP(D1116,PROGRAMAS[],2,FALSE),0)</f>
        <v>97037803.679377079</v>
      </c>
      <c r="S1116" s="246">
        <f>IFERROR(VLOOKUP(E1116,PROGRAMAS[],2,FALSE),0)</f>
        <v>640501509.6821388</v>
      </c>
      <c r="T1116" s="246">
        <f>IFERROR(VLOOKUP(F1116,PROGRAMAS[],2,FALSE),0)</f>
        <v>3062327798.1525245</v>
      </c>
      <c r="U1116" s="246">
        <f>IFERROR(VLOOKUP(G1116,PROGRAMAS[],2,FALSE),0)</f>
        <v>67697118.033011258</v>
      </c>
      <c r="V1116" s="246">
        <f>IFERROR(VLOOKUP(H1116,PROGRAMAS[],2,FALSE),0)</f>
        <v>1440941976.2528784</v>
      </c>
      <c r="W1116" s="246">
        <f>IFERROR(VLOOKUP(I1116,PROGRAMAS[],2,FALSE),0)</f>
        <v>4635315027.8751087</v>
      </c>
      <c r="X1116" s="246">
        <f>IFERROR(VLOOKUP(J1116,PROGRAMAS[],2,FALSE),0)</f>
        <v>764796700.79905891</v>
      </c>
      <c r="Y1116" s="246">
        <f>IFERROR(VLOOKUP(K1116,PROGRAMAS[],2,FALSE),0)</f>
        <v>3776538594.4604583</v>
      </c>
      <c r="Z1116" s="246">
        <f>IFERROR(VLOOKUP(L1116,PROGRAMAS[],2,FALSE),0)</f>
        <v>54223862.645839565</v>
      </c>
      <c r="AA1116" s="246">
        <f>IFERROR(VLOOKUP(M1116,PROGRAMAS[],2,FALSE),0)</f>
        <v>0</v>
      </c>
      <c r="AB1116" s="246">
        <f>IFERROR(VLOOKUP(N1116,PROGRAMAS[],2,FALSE),0)</f>
        <v>0</v>
      </c>
      <c r="AC1116" s="246">
        <f>IFERROR(VLOOKUP(O1116,PROGRAMAS[],2,FALSE),0)</f>
        <v>0</v>
      </c>
      <c r="AD1116" s="246">
        <f>IFERROR(VLOOKUP(P1116,PROGRAMAS[],2,FALSE),0)</f>
        <v>0</v>
      </c>
      <c r="AE1116" s="246">
        <f>IFERROR(VLOOKUP(Q1116,PROGRAMAS[],2,FALSE),0)</f>
        <v>0</v>
      </c>
      <c r="AF1116" s="246">
        <f>IFERROR(VLOOKUP(D1116,PROGRAMAS[],3,FALSE),0)</f>
        <v>841888629.31080008</v>
      </c>
      <c r="AG1116" s="246">
        <f>IFERROR(VLOOKUP(E1116,PROGRAMAS[],3,FALSE),0)</f>
        <v>3848980803.1642323</v>
      </c>
      <c r="AH1116" s="246">
        <f>IFERROR(VLOOKUP(F1116,PROGRAMAS[],3,FALSE),0)</f>
        <v>3394901471.387517</v>
      </c>
      <c r="AI1116" s="246">
        <f>IFERROR(VLOOKUP(G1116,PROGRAMAS[],3,FALSE),0)</f>
        <v>125317226.95549992</v>
      </c>
      <c r="AJ1116" s="246">
        <f>IFERROR(VLOOKUP(H1116,PROGRAMAS[],3,FALSE),0)</f>
        <v>1233505101.0616004</v>
      </c>
      <c r="AK1116" s="246">
        <f>IFERROR(VLOOKUP(I1116,PROGRAMAS[],3,FALSE),0)</f>
        <v>4099471734.9978786</v>
      </c>
      <c r="AL1116" s="246">
        <f>IFERROR(VLOOKUP(J1116,PROGRAMAS[],3,FALSE),0)</f>
        <v>675517840.109828</v>
      </c>
      <c r="AM1116" s="246">
        <f>IFERROR(VLOOKUP(K1116,PROGRAMAS[],3,FALSE),0)</f>
        <v>2392571243.5584412</v>
      </c>
      <c r="AN1116" s="246">
        <f>IFERROR(VLOOKUP(L1116,PROGRAMAS[],3,FALSE),0)</f>
        <v>31865326.38096505</v>
      </c>
      <c r="AO1116" s="246">
        <f>IFERROR(VLOOKUP(M1116,PROGRAMAS[],3,FALSE),0)</f>
        <v>0</v>
      </c>
      <c r="AP1116" s="246">
        <f>IFERROR(VLOOKUP(N1116,PROGRAMAS[],3,FALSE),0)</f>
        <v>0</v>
      </c>
      <c r="AQ1116" s="246">
        <f>IFERROR(VLOOKUP(O1116,PROGRAMAS[],3,FALSE),0)</f>
        <v>0</v>
      </c>
      <c r="AR1116" s="246">
        <f>IFERROR(VLOOKUP(P1116,PROGRAMAS[],3,FALSE),0)</f>
        <v>0</v>
      </c>
      <c r="AS1116" s="246">
        <f>IFERROR(VLOOKUP(Q1116,PROGRAMAS[],3,FALSE),0)</f>
        <v>0</v>
      </c>
      <c r="AT1116" s="246">
        <f>IFERROR(VLOOKUP(D1116,VOL_REC[],2,FALSE),0)</f>
        <v>0</v>
      </c>
      <c r="AU1116" s="246">
        <f>IFERROR(VLOOKUP(E1116,VOL_REC[],2,FALSE),0)</f>
        <v>0</v>
      </c>
      <c r="AV1116" s="246">
        <f>IFERROR(VLOOKUP(F1116,VOL_REC[],2,FALSE),0)</f>
        <v>11089674.200000001</v>
      </c>
      <c r="AW1116" s="246">
        <f>IFERROR(VLOOKUP(G1116,VOL_REC[],2,FALSE),0)</f>
        <v>90439.55</v>
      </c>
      <c r="AX1116" s="246">
        <f>IFERROR(VLOOKUP(H1116,VOL_REC[],2,FALSE),0)</f>
        <v>4325103.1812214684</v>
      </c>
      <c r="AY1116" s="246">
        <f>IFERROR(VLOOKUP(I1116,VOL_REC[],2,FALSE),0)</f>
        <v>1812240</v>
      </c>
      <c r="AZ1116" s="246">
        <f>IFERROR(VLOOKUP(J1116,VOL_REC[],2,FALSE),0)</f>
        <v>240696.79238099116</v>
      </c>
      <c r="BA1116" s="246">
        <f>IFERROR(VLOOKUP(K1116,VOL_REC[],2,FALSE),0)</f>
        <v>663244.80000000016</v>
      </c>
      <c r="BB1116" s="246">
        <f>IFERROR(VLOOKUP(L1116,VOL_REC[],2,FALSE),0)</f>
        <v>17074.045034105649</v>
      </c>
      <c r="BC1116" s="246">
        <f>IFERROR(VLOOKUP(M1116,VOL_REC[],2,FALSE),0)</f>
        <v>0</v>
      </c>
      <c r="BD1116" s="246">
        <f>IFERROR(VLOOKUP(N1116,VOL_REC[],2,FALSE),0)</f>
        <v>0</v>
      </c>
      <c r="BE1116" s="246">
        <f>IFERROR(VLOOKUP(O1116,VOL_REC[],2,FALSE),0)</f>
        <v>0</v>
      </c>
      <c r="BF1116" s="246">
        <f>IFERROR(VLOOKUP(P1116,VOL_REC[],2,FALSE),0)</f>
        <v>0</v>
      </c>
      <c r="BG1116" s="246">
        <f>IFERROR(VLOOKUP(Q1116,VOL_REC[],2,FALSE),0)</f>
        <v>0</v>
      </c>
      <c r="BH1116" s="1710">
        <f t="shared" si="68"/>
        <v>14539380391.580397</v>
      </c>
      <c r="BI1116" s="1710">
        <f t="shared" si="69"/>
        <v>16644019376.926764</v>
      </c>
      <c r="BJ1116" s="1711">
        <f t="shared" si="70"/>
        <v>18238472.56863657</v>
      </c>
      <c r="BK1116" s="1711">
        <f t="shared" si="71"/>
        <v>0.87354983566866173</v>
      </c>
    </row>
    <row r="1117" spans="3:67" x14ac:dyDescent="0.25">
      <c r="C1117" s="246" t="s">
        <v>2467</v>
      </c>
      <c r="D1117" s="246">
        <v>1</v>
      </c>
      <c r="E1117" s="246">
        <v>2</v>
      </c>
      <c r="F1117" s="246">
        <v>3</v>
      </c>
      <c r="G1117" s="246">
        <v>4</v>
      </c>
      <c r="H1117" s="246">
        <v>5</v>
      </c>
      <c r="I1117" s="246">
        <v>10</v>
      </c>
      <c r="J1117" s="246">
        <v>12</v>
      </c>
      <c r="K1117" s="246">
        <v>13</v>
      </c>
      <c r="L1117" s="246">
        <v>15</v>
      </c>
      <c r="M1117" s="246"/>
      <c r="N1117" s="246"/>
      <c r="O1117" s="246"/>
      <c r="P1117" s="246"/>
      <c r="Q1117" s="246"/>
      <c r="R1117" s="246">
        <f>IFERROR(VLOOKUP(D1117,PROGRAMAS[],2,FALSE),0)</f>
        <v>97037803.679377079</v>
      </c>
      <c r="S1117" s="246">
        <f>IFERROR(VLOOKUP(E1117,PROGRAMAS[],2,FALSE),0)</f>
        <v>640501509.6821388</v>
      </c>
      <c r="T1117" s="246">
        <f>IFERROR(VLOOKUP(F1117,PROGRAMAS[],2,FALSE),0)</f>
        <v>3062327798.1525245</v>
      </c>
      <c r="U1117" s="246">
        <f>IFERROR(VLOOKUP(G1117,PROGRAMAS[],2,FALSE),0)</f>
        <v>67697118.033011258</v>
      </c>
      <c r="V1117" s="246">
        <f>IFERROR(VLOOKUP(H1117,PROGRAMAS[],2,FALSE),0)</f>
        <v>1440941976.2528784</v>
      </c>
      <c r="W1117" s="246">
        <f>IFERROR(VLOOKUP(I1117,PROGRAMAS[],2,FALSE),0)</f>
        <v>4635315027.8751087</v>
      </c>
      <c r="X1117" s="246">
        <f>IFERROR(VLOOKUP(J1117,PROGRAMAS[],2,FALSE),0)</f>
        <v>764796700.79905891</v>
      </c>
      <c r="Y1117" s="246">
        <f>IFERROR(VLOOKUP(K1117,PROGRAMAS[],2,FALSE),0)</f>
        <v>3776538594.4604583</v>
      </c>
      <c r="Z1117" s="246">
        <f>IFERROR(VLOOKUP(L1117,PROGRAMAS[],2,FALSE),0)</f>
        <v>122159672.96346797</v>
      </c>
      <c r="AA1117" s="246">
        <f>IFERROR(VLOOKUP(M1117,PROGRAMAS[],2,FALSE),0)</f>
        <v>0</v>
      </c>
      <c r="AB1117" s="246">
        <f>IFERROR(VLOOKUP(N1117,PROGRAMAS[],2,FALSE),0)</f>
        <v>0</v>
      </c>
      <c r="AC1117" s="246">
        <f>IFERROR(VLOOKUP(O1117,PROGRAMAS[],2,FALSE),0)</f>
        <v>0</v>
      </c>
      <c r="AD1117" s="246">
        <f>IFERROR(VLOOKUP(P1117,PROGRAMAS[],2,FALSE),0)</f>
        <v>0</v>
      </c>
      <c r="AE1117" s="246">
        <f>IFERROR(VLOOKUP(Q1117,PROGRAMAS[],2,FALSE),0)</f>
        <v>0</v>
      </c>
      <c r="AF1117" s="246">
        <f>IFERROR(VLOOKUP(D1117,PROGRAMAS[],3,FALSE),0)</f>
        <v>841888629.31080008</v>
      </c>
      <c r="AG1117" s="246">
        <f>IFERROR(VLOOKUP(E1117,PROGRAMAS[],3,FALSE),0)</f>
        <v>3848980803.1642323</v>
      </c>
      <c r="AH1117" s="246">
        <f>IFERROR(VLOOKUP(F1117,PROGRAMAS[],3,FALSE),0)</f>
        <v>3394901471.387517</v>
      </c>
      <c r="AI1117" s="246">
        <f>IFERROR(VLOOKUP(G1117,PROGRAMAS[],3,FALSE),0)</f>
        <v>125317226.95549992</v>
      </c>
      <c r="AJ1117" s="246">
        <f>IFERROR(VLOOKUP(H1117,PROGRAMAS[],3,FALSE),0)</f>
        <v>1233505101.0616004</v>
      </c>
      <c r="AK1117" s="246">
        <f>IFERROR(VLOOKUP(I1117,PROGRAMAS[],3,FALSE),0)</f>
        <v>4099471734.9978786</v>
      </c>
      <c r="AL1117" s="246">
        <f>IFERROR(VLOOKUP(J1117,PROGRAMAS[],3,FALSE),0)</f>
        <v>675517840.109828</v>
      </c>
      <c r="AM1117" s="246">
        <f>IFERROR(VLOOKUP(K1117,PROGRAMAS[],3,FALSE),0)</f>
        <v>2392571243.5584412</v>
      </c>
      <c r="AN1117" s="246">
        <f>IFERROR(VLOOKUP(L1117,PROGRAMAS[],3,FALSE),0)</f>
        <v>118617452.52510804</v>
      </c>
      <c r="AO1117" s="246">
        <f>IFERROR(VLOOKUP(M1117,PROGRAMAS[],3,FALSE),0)</f>
        <v>0</v>
      </c>
      <c r="AP1117" s="246">
        <f>IFERROR(VLOOKUP(N1117,PROGRAMAS[],3,FALSE),0)</f>
        <v>0</v>
      </c>
      <c r="AQ1117" s="246">
        <f>IFERROR(VLOOKUP(O1117,PROGRAMAS[],3,FALSE),0)</f>
        <v>0</v>
      </c>
      <c r="AR1117" s="246">
        <f>IFERROR(VLOOKUP(P1117,PROGRAMAS[],3,FALSE),0)</f>
        <v>0</v>
      </c>
      <c r="AS1117" s="246">
        <f>IFERROR(VLOOKUP(Q1117,PROGRAMAS[],3,FALSE),0)</f>
        <v>0</v>
      </c>
      <c r="AT1117" s="246">
        <f>IFERROR(VLOOKUP(D1117,VOL_REC[],2,FALSE),0)</f>
        <v>0</v>
      </c>
      <c r="AU1117" s="246">
        <f>IFERROR(VLOOKUP(E1117,VOL_REC[],2,FALSE),0)</f>
        <v>0</v>
      </c>
      <c r="AV1117" s="246">
        <f>IFERROR(VLOOKUP(F1117,VOL_REC[],2,FALSE),0)</f>
        <v>11089674.200000001</v>
      </c>
      <c r="AW1117" s="246">
        <f>IFERROR(VLOOKUP(G1117,VOL_REC[],2,FALSE),0)</f>
        <v>90439.55</v>
      </c>
      <c r="AX1117" s="246">
        <f>IFERROR(VLOOKUP(H1117,VOL_REC[],2,FALSE),0)</f>
        <v>4325103.1812214684</v>
      </c>
      <c r="AY1117" s="246">
        <f>IFERROR(VLOOKUP(I1117,VOL_REC[],2,FALSE),0)</f>
        <v>1812240</v>
      </c>
      <c r="AZ1117" s="246">
        <f>IFERROR(VLOOKUP(J1117,VOL_REC[],2,FALSE),0)</f>
        <v>240696.79238099116</v>
      </c>
      <c r="BA1117" s="246">
        <f>IFERROR(VLOOKUP(K1117,VOL_REC[],2,FALSE),0)</f>
        <v>663244.80000000016</v>
      </c>
      <c r="BB1117" s="246">
        <f>IFERROR(VLOOKUP(L1117,VOL_REC[],2,FALSE),0)</f>
        <v>105072</v>
      </c>
      <c r="BC1117" s="246">
        <f>IFERROR(VLOOKUP(M1117,VOL_REC[],2,FALSE),0)</f>
        <v>0</v>
      </c>
      <c r="BD1117" s="246">
        <f>IFERROR(VLOOKUP(N1117,VOL_REC[],2,FALSE),0)</f>
        <v>0</v>
      </c>
      <c r="BE1117" s="246">
        <f>IFERROR(VLOOKUP(O1117,VOL_REC[],2,FALSE),0)</f>
        <v>0</v>
      </c>
      <c r="BF1117" s="246">
        <f>IFERROR(VLOOKUP(P1117,VOL_REC[],2,FALSE),0)</f>
        <v>0</v>
      </c>
      <c r="BG1117" s="246">
        <f>IFERROR(VLOOKUP(Q1117,VOL_REC[],2,FALSE),0)</f>
        <v>0</v>
      </c>
      <c r="BH1117" s="1710">
        <f t="shared" si="68"/>
        <v>14607316201.898026</v>
      </c>
      <c r="BI1117" s="1710">
        <f t="shared" si="69"/>
        <v>16730771503.070908</v>
      </c>
      <c r="BJ1117" s="1711">
        <f t="shared" si="70"/>
        <v>18326470.523602463</v>
      </c>
      <c r="BK1117" s="1711">
        <f t="shared" si="71"/>
        <v>0.87308084981119216</v>
      </c>
    </row>
    <row r="1118" spans="3:67" x14ac:dyDescent="0.25">
      <c r="C1118" s="246" t="s">
        <v>2468</v>
      </c>
      <c r="D1118" s="246">
        <v>1</v>
      </c>
      <c r="E1118" s="246">
        <v>2</v>
      </c>
      <c r="F1118" s="246">
        <v>3</v>
      </c>
      <c r="G1118" s="246">
        <v>4</v>
      </c>
      <c r="H1118" s="246">
        <v>5</v>
      </c>
      <c r="I1118" s="246">
        <v>10</v>
      </c>
      <c r="J1118" s="246">
        <v>12</v>
      </c>
      <c r="K1118" s="246">
        <v>13</v>
      </c>
      <c r="L1118" s="246">
        <v>16</v>
      </c>
      <c r="M1118" s="246"/>
      <c r="N1118" s="246"/>
      <c r="O1118" s="246"/>
      <c r="P1118" s="246"/>
      <c r="Q1118" s="246"/>
      <c r="R1118" s="246">
        <f>IFERROR(VLOOKUP(D1118,PROGRAMAS[],2,FALSE),0)</f>
        <v>97037803.679377079</v>
      </c>
      <c r="S1118" s="246">
        <f>IFERROR(VLOOKUP(E1118,PROGRAMAS[],2,FALSE),0)</f>
        <v>640501509.6821388</v>
      </c>
      <c r="T1118" s="246">
        <f>IFERROR(VLOOKUP(F1118,PROGRAMAS[],2,FALSE),0)</f>
        <v>3062327798.1525245</v>
      </c>
      <c r="U1118" s="246">
        <f>IFERROR(VLOOKUP(G1118,PROGRAMAS[],2,FALSE),0)</f>
        <v>67697118.033011258</v>
      </c>
      <c r="V1118" s="246">
        <f>IFERROR(VLOOKUP(H1118,PROGRAMAS[],2,FALSE),0)</f>
        <v>1440941976.2528784</v>
      </c>
      <c r="W1118" s="246">
        <f>IFERROR(VLOOKUP(I1118,PROGRAMAS[],2,FALSE),0)</f>
        <v>4635315027.8751087</v>
      </c>
      <c r="X1118" s="246">
        <f>IFERROR(VLOOKUP(J1118,PROGRAMAS[],2,FALSE),0)</f>
        <v>764796700.79905891</v>
      </c>
      <c r="Y1118" s="246">
        <f>IFERROR(VLOOKUP(K1118,PROGRAMAS[],2,FALSE),0)</f>
        <v>3776538594.4604583</v>
      </c>
      <c r="Z1118" s="246">
        <f>IFERROR(VLOOKUP(L1118,PROGRAMAS[],2,FALSE),0)</f>
        <v>7068496961.0436354</v>
      </c>
      <c r="AA1118" s="246">
        <f>IFERROR(VLOOKUP(M1118,PROGRAMAS[],2,FALSE),0)</f>
        <v>0</v>
      </c>
      <c r="AB1118" s="246">
        <f>IFERROR(VLOOKUP(N1118,PROGRAMAS[],2,FALSE),0)</f>
        <v>0</v>
      </c>
      <c r="AC1118" s="246">
        <f>IFERROR(VLOOKUP(O1118,PROGRAMAS[],2,FALSE),0)</f>
        <v>0</v>
      </c>
      <c r="AD1118" s="246">
        <f>IFERROR(VLOOKUP(P1118,PROGRAMAS[],2,FALSE),0)</f>
        <v>0</v>
      </c>
      <c r="AE1118" s="246">
        <f>IFERROR(VLOOKUP(Q1118,PROGRAMAS[],2,FALSE),0)</f>
        <v>0</v>
      </c>
      <c r="AF1118" s="246">
        <f>IFERROR(VLOOKUP(D1118,PROGRAMAS[],3,FALSE),0)</f>
        <v>841888629.31080008</v>
      </c>
      <c r="AG1118" s="246">
        <f>IFERROR(VLOOKUP(E1118,PROGRAMAS[],3,FALSE),0)</f>
        <v>3848980803.1642323</v>
      </c>
      <c r="AH1118" s="246">
        <f>IFERROR(VLOOKUP(F1118,PROGRAMAS[],3,FALSE),0)</f>
        <v>3394901471.387517</v>
      </c>
      <c r="AI1118" s="246">
        <f>IFERROR(VLOOKUP(G1118,PROGRAMAS[],3,FALSE),0)</f>
        <v>125317226.95549992</v>
      </c>
      <c r="AJ1118" s="246">
        <f>IFERROR(VLOOKUP(H1118,PROGRAMAS[],3,FALSE),0)</f>
        <v>1233505101.0616004</v>
      </c>
      <c r="AK1118" s="246">
        <f>IFERROR(VLOOKUP(I1118,PROGRAMAS[],3,FALSE),0)</f>
        <v>4099471734.9978786</v>
      </c>
      <c r="AL1118" s="246">
        <f>IFERROR(VLOOKUP(J1118,PROGRAMAS[],3,FALSE),0)</f>
        <v>675517840.109828</v>
      </c>
      <c r="AM1118" s="246">
        <f>IFERROR(VLOOKUP(K1118,PROGRAMAS[],3,FALSE),0)</f>
        <v>2392571243.5584412</v>
      </c>
      <c r="AN1118" s="246">
        <f>IFERROR(VLOOKUP(L1118,PROGRAMAS[],3,FALSE),0)</f>
        <v>2406564599.0319901</v>
      </c>
      <c r="AO1118" s="246">
        <f>IFERROR(VLOOKUP(M1118,PROGRAMAS[],3,FALSE),0)</f>
        <v>0</v>
      </c>
      <c r="AP1118" s="246">
        <f>IFERROR(VLOOKUP(N1118,PROGRAMAS[],3,FALSE),0)</f>
        <v>0</v>
      </c>
      <c r="AQ1118" s="246">
        <f>IFERROR(VLOOKUP(O1118,PROGRAMAS[],3,FALSE),0)</f>
        <v>0</v>
      </c>
      <c r="AR1118" s="246">
        <f>IFERROR(VLOOKUP(P1118,PROGRAMAS[],3,FALSE),0)</f>
        <v>0</v>
      </c>
      <c r="AS1118" s="246">
        <f>IFERROR(VLOOKUP(Q1118,PROGRAMAS[],3,FALSE),0)</f>
        <v>0</v>
      </c>
      <c r="AT1118" s="246">
        <f>IFERROR(VLOOKUP(D1118,VOL_REC[],2,FALSE),0)</f>
        <v>0</v>
      </c>
      <c r="AU1118" s="246">
        <f>IFERROR(VLOOKUP(E1118,VOL_REC[],2,FALSE),0)</f>
        <v>0</v>
      </c>
      <c r="AV1118" s="246">
        <f>IFERROR(VLOOKUP(F1118,VOL_REC[],2,FALSE),0)</f>
        <v>11089674.200000001</v>
      </c>
      <c r="AW1118" s="246">
        <f>IFERROR(VLOOKUP(G1118,VOL_REC[],2,FALSE),0)</f>
        <v>90439.55</v>
      </c>
      <c r="AX1118" s="246">
        <f>IFERROR(VLOOKUP(H1118,VOL_REC[],2,FALSE),0)</f>
        <v>4325103.1812214684</v>
      </c>
      <c r="AY1118" s="246">
        <f>IFERROR(VLOOKUP(I1118,VOL_REC[],2,FALSE),0)</f>
        <v>1812240</v>
      </c>
      <c r="AZ1118" s="246">
        <f>IFERROR(VLOOKUP(J1118,VOL_REC[],2,FALSE),0)</f>
        <v>240696.79238099116</v>
      </c>
      <c r="BA1118" s="246">
        <f>IFERROR(VLOOKUP(K1118,VOL_REC[],2,FALSE),0)</f>
        <v>663244.80000000016</v>
      </c>
      <c r="BB1118" s="246">
        <f>IFERROR(VLOOKUP(L1118,VOL_REC[],2,FALSE),0)</f>
        <v>1072354.9981737854</v>
      </c>
      <c r="BC1118" s="246">
        <f>IFERROR(VLOOKUP(M1118,VOL_REC[],2,FALSE),0)</f>
        <v>0</v>
      </c>
      <c r="BD1118" s="246">
        <f>IFERROR(VLOOKUP(N1118,VOL_REC[],2,FALSE),0)</f>
        <v>0</v>
      </c>
      <c r="BE1118" s="246">
        <f>IFERROR(VLOOKUP(O1118,VOL_REC[],2,FALSE),0)</f>
        <v>0</v>
      </c>
      <c r="BF1118" s="246">
        <f>IFERROR(VLOOKUP(P1118,VOL_REC[],2,FALSE),0)</f>
        <v>0</v>
      </c>
      <c r="BG1118" s="246">
        <f>IFERROR(VLOOKUP(Q1118,VOL_REC[],2,FALSE),0)</f>
        <v>0</v>
      </c>
      <c r="BH1118" s="1710">
        <f t="shared" si="68"/>
        <v>21553653489.978191</v>
      </c>
      <c r="BI1118" s="1710">
        <f t="shared" si="69"/>
        <v>19018718649.577789</v>
      </c>
      <c r="BJ1118" s="1711">
        <f t="shared" si="70"/>
        <v>19293753.521776248</v>
      </c>
      <c r="BK1118" s="1711">
        <f t="shared" si="71"/>
        <v>1.133286310561026</v>
      </c>
      <c r="BL1118">
        <f>BJ1118</f>
        <v>19293753.521776248</v>
      </c>
      <c r="BO1118">
        <f>BL1118</f>
        <v>19293753.521776248</v>
      </c>
    </row>
    <row r="1119" spans="3:67" x14ac:dyDescent="0.25">
      <c r="C1119" s="246" t="s">
        <v>2469</v>
      </c>
      <c r="D1119" s="246">
        <v>1</v>
      </c>
      <c r="E1119" s="246">
        <v>2</v>
      </c>
      <c r="F1119" s="246">
        <v>3</v>
      </c>
      <c r="G1119" s="246">
        <v>4</v>
      </c>
      <c r="H1119" s="246">
        <v>5</v>
      </c>
      <c r="I1119" s="246">
        <v>10</v>
      </c>
      <c r="J1119" s="246">
        <v>12</v>
      </c>
      <c r="K1119" s="246">
        <v>13</v>
      </c>
      <c r="L1119" s="246">
        <v>17</v>
      </c>
      <c r="M1119" s="246"/>
      <c r="N1119" s="246"/>
      <c r="O1119" s="246"/>
      <c r="P1119" s="246"/>
      <c r="Q1119" s="246"/>
      <c r="R1119" s="246">
        <f>IFERROR(VLOOKUP(D1119,PROGRAMAS[],2,FALSE),0)</f>
        <v>97037803.679377079</v>
      </c>
      <c r="S1119" s="246">
        <f>IFERROR(VLOOKUP(E1119,PROGRAMAS[],2,FALSE),0)</f>
        <v>640501509.6821388</v>
      </c>
      <c r="T1119" s="246">
        <f>IFERROR(VLOOKUP(F1119,PROGRAMAS[],2,FALSE),0)</f>
        <v>3062327798.1525245</v>
      </c>
      <c r="U1119" s="246">
        <f>IFERROR(VLOOKUP(G1119,PROGRAMAS[],2,FALSE),0)</f>
        <v>67697118.033011258</v>
      </c>
      <c r="V1119" s="246">
        <f>IFERROR(VLOOKUP(H1119,PROGRAMAS[],2,FALSE),0)</f>
        <v>1440941976.2528784</v>
      </c>
      <c r="W1119" s="246">
        <f>IFERROR(VLOOKUP(I1119,PROGRAMAS[],2,FALSE),0)</f>
        <v>4635315027.8751087</v>
      </c>
      <c r="X1119" s="246">
        <f>IFERROR(VLOOKUP(J1119,PROGRAMAS[],2,FALSE),0)</f>
        <v>764796700.79905891</v>
      </c>
      <c r="Y1119" s="246">
        <f>IFERROR(VLOOKUP(K1119,PROGRAMAS[],2,FALSE),0)</f>
        <v>3776538594.4604583</v>
      </c>
      <c r="Z1119" s="246">
        <f>IFERROR(VLOOKUP(L1119,PROGRAMAS[],2,FALSE),0)</f>
        <v>1892779498.5211046</v>
      </c>
      <c r="AA1119" s="246">
        <f>IFERROR(VLOOKUP(M1119,PROGRAMAS[],2,FALSE),0)</f>
        <v>0</v>
      </c>
      <c r="AB1119" s="246">
        <f>IFERROR(VLOOKUP(N1119,PROGRAMAS[],2,FALSE),0)</f>
        <v>0</v>
      </c>
      <c r="AC1119" s="246">
        <f>IFERROR(VLOOKUP(O1119,PROGRAMAS[],2,FALSE),0)</f>
        <v>0</v>
      </c>
      <c r="AD1119" s="246">
        <f>IFERROR(VLOOKUP(P1119,PROGRAMAS[],2,FALSE),0)</f>
        <v>0</v>
      </c>
      <c r="AE1119" s="246">
        <f>IFERROR(VLOOKUP(Q1119,PROGRAMAS[],2,FALSE),0)</f>
        <v>0</v>
      </c>
      <c r="AF1119" s="246">
        <f>IFERROR(VLOOKUP(D1119,PROGRAMAS[],3,FALSE),0)</f>
        <v>841888629.31080008</v>
      </c>
      <c r="AG1119" s="246">
        <f>IFERROR(VLOOKUP(E1119,PROGRAMAS[],3,FALSE),0)</f>
        <v>3848980803.1642323</v>
      </c>
      <c r="AH1119" s="246">
        <f>IFERROR(VLOOKUP(F1119,PROGRAMAS[],3,FALSE),0)</f>
        <v>3394901471.387517</v>
      </c>
      <c r="AI1119" s="246">
        <f>IFERROR(VLOOKUP(G1119,PROGRAMAS[],3,FALSE),0)</f>
        <v>125317226.95549992</v>
      </c>
      <c r="AJ1119" s="246">
        <f>IFERROR(VLOOKUP(H1119,PROGRAMAS[],3,FALSE),0)</f>
        <v>1233505101.0616004</v>
      </c>
      <c r="AK1119" s="246">
        <f>IFERROR(VLOOKUP(I1119,PROGRAMAS[],3,FALSE),0)</f>
        <v>4099471734.9978786</v>
      </c>
      <c r="AL1119" s="246">
        <f>IFERROR(VLOOKUP(J1119,PROGRAMAS[],3,FALSE),0)</f>
        <v>675517840.109828</v>
      </c>
      <c r="AM1119" s="246">
        <f>IFERROR(VLOOKUP(K1119,PROGRAMAS[],3,FALSE),0)</f>
        <v>2392571243.5584412</v>
      </c>
      <c r="AN1119" s="246">
        <f>IFERROR(VLOOKUP(L1119,PROGRAMAS[],3,FALSE),0)</f>
        <v>948595847.09039903</v>
      </c>
      <c r="AO1119" s="246">
        <f>IFERROR(VLOOKUP(M1119,PROGRAMAS[],3,FALSE),0)</f>
        <v>0</v>
      </c>
      <c r="AP1119" s="246">
        <f>IFERROR(VLOOKUP(N1119,PROGRAMAS[],3,FALSE),0)</f>
        <v>0</v>
      </c>
      <c r="AQ1119" s="246">
        <f>IFERROR(VLOOKUP(O1119,PROGRAMAS[],3,FALSE),0)</f>
        <v>0</v>
      </c>
      <c r="AR1119" s="246">
        <f>IFERROR(VLOOKUP(P1119,PROGRAMAS[],3,FALSE),0)</f>
        <v>0</v>
      </c>
      <c r="AS1119" s="246">
        <f>IFERROR(VLOOKUP(Q1119,PROGRAMAS[],3,FALSE),0)</f>
        <v>0</v>
      </c>
      <c r="AT1119" s="246">
        <f>IFERROR(VLOOKUP(D1119,VOL_REC[],2,FALSE),0)</f>
        <v>0</v>
      </c>
      <c r="AU1119" s="246">
        <f>IFERROR(VLOOKUP(E1119,VOL_REC[],2,FALSE),0)</f>
        <v>0</v>
      </c>
      <c r="AV1119" s="246">
        <f>IFERROR(VLOOKUP(F1119,VOL_REC[],2,FALSE),0)</f>
        <v>11089674.200000001</v>
      </c>
      <c r="AW1119" s="246">
        <f>IFERROR(VLOOKUP(G1119,VOL_REC[],2,FALSE),0)</f>
        <v>90439.55</v>
      </c>
      <c r="AX1119" s="246">
        <f>IFERROR(VLOOKUP(H1119,VOL_REC[],2,FALSE),0)</f>
        <v>4325103.1812214684</v>
      </c>
      <c r="AY1119" s="246">
        <f>IFERROR(VLOOKUP(I1119,VOL_REC[],2,FALSE),0)</f>
        <v>1812240</v>
      </c>
      <c r="AZ1119" s="246">
        <f>IFERROR(VLOOKUP(J1119,VOL_REC[],2,FALSE),0)</f>
        <v>240696.79238099116</v>
      </c>
      <c r="BA1119" s="246">
        <f>IFERROR(VLOOKUP(K1119,VOL_REC[],2,FALSE),0)</f>
        <v>663244.80000000016</v>
      </c>
      <c r="BB1119" s="246">
        <f>IFERROR(VLOOKUP(L1119,VOL_REC[],2,FALSE),0)</f>
        <v>740113.98115702497</v>
      </c>
      <c r="BC1119" s="246">
        <f>IFERROR(VLOOKUP(M1119,VOL_REC[],2,FALSE),0)</f>
        <v>0</v>
      </c>
      <c r="BD1119" s="246">
        <f>IFERROR(VLOOKUP(N1119,VOL_REC[],2,FALSE),0)</f>
        <v>0</v>
      </c>
      <c r="BE1119" s="246">
        <f>IFERROR(VLOOKUP(O1119,VOL_REC[],2,FALSE),0)</f>
        <v>0</v>
      </c>
      <c r="BF1119" s="246">
        <f>IFERROR(VLOOKUP(P1119,VOL_REC[],2,FALSE),0)</f>
        <v>0</v>
      </c>
      <c r="BG1119" s="246">
        <f>IFERROR(VLOOKUP(Q1119,VOL_REC[],2,FALSE),0)</f>
        <v>0</v>
      </c>
      <c r="BH1119" s="1710">
        <f t="shared" si="68"/>
        <v>16377936027.455662</v>
      </c>
      <c r="BI1119" s="1710">
        <f t="shared" si="69"/>
        <v>17560749897.6362</v>
      </c>
      <c r="BJ1119" s="1711">
        <f t="shared" si="70"/>
        <v>18961512.504759487</v>
      </c>
      <c r="BK1119" s="1711">
        <f t="shared" si="71"/>
        <v>0.93264445555711983</v>
      </c>
    </row>
    <row r="1120" spans="3:67" x14ac:dyDescent="0.25">
      <c r="C1120" s="246" t="s">
        <v>2470</v>
      </c>
      <c r="D1120" s="246">
        <v>1</v>
      </c>
      <c r="E1120" s="246">
        <v>2</v>
      </c>
      <c r="F1120" s="246">
        <v>3</v>
      </c>
      <c r="G1120" s="246">
        <v>4</v>
      </c>
      <c r="H1120" s="246">
        <v>5</v>
      </c>
      <c r="I1120" s="246">
        <v>10</v>
      </c>
      <c r="J1120" s="246">
        <v>12</v>
      </c>
      <c r="K1120" s="246">
        <v>14</v>
      </c>
      <c r="L1120" s="246">
        <v>15</v>
      </c>
      <c r="M1120" s="246"/>
      <c r="N1120" s="246"/>
      <c r="O1120" s="246"/>
      <c r="P1120" s="246"/>
      <c r="Q1120" s="246"/>
      <c r="R1120" s="246">
        <f>IFERROR(VLOOKUP(D1120,PROGRAMAS[],2,FALSE),0)</f>
        <v>97037803.679377079</v>
      </c>
      <c r="S1120" s="246">
        <f>IFERROR(VLOOKUP(E1120,PROGRAMAS[],2,FALSE),0)</f>
        <v>640501509.6821388</v>
      </c>
      <c r="T1120" s="246">
        <f>IFERROR(VLOOKUP(F1120,PROGRAMAS[],2,FALSE),0)</f>
        <v>3062327798.1525245</v>
      </c>
      <c r="U1120" s="246">
        <f>IFERROR(VLOOKUP(G1120,PROGRAMAS[],2,FALSE),0)</f>
        <v>67697118.033011258</v>
      </c>
      <c r="V1120" s="246">
        <f>IFERROR(VLOOKUP(H1120,PROGRAMAS[],2,FALSE),0)</f>
        <v>1440941976.2528784</v>
      </c>
      <c r="W1120" s="246">
        <f>IFERROR(VLOOKUP(I1120,PROGRAMAS[],2,FALSE),0)</f>
        <v>4635315027.8751087</v>
      </c>
      <c r="X1120" s="246">
        <f>IFERROR(VLOOKUP(J1120,PROGRAMAS[],2,FALSE),0)</f>
        <v>764796700.79905891</v>
      </c>
      <c r="Y1120" s="246">
        <f>IFERROR(VLOOKUP(K1120,PROGRAMAS[],2,FALSE),0)</f>
        <v>54223862.645839565</v>
      </c>
      <c r="Z1120" s="246">
        <f>IFERROR(VLOOKUP(L1120,PROGRAMAS[],2,FALSE),0)</f>
        <v>122159672.96346797</v>
      </c>
      <c r="AA1120" s="246">
        <f>IFERROR(VLOOKUP(M1120,PROGRAMAS[],2,FALSE),0)</f>
        <v>0</v>
      </c>
      <c r="AB1120" s="246">
        <f>IFERROR(VLOOKUP(N1120,PROGRAMAS[],2,FALSE),0)</f>
        <v>0</v>
      </c>
      <c r="AC1120" s="246">
        <f>IFERROR(VLOOKUP(O1120,PROGRAMAS[],2,FALSE),0)</f>
        <v>0</v>
      </c>
      <c r="AD1120" s="246">
        <f>IFERROR(VLOOKUP(P1120,PROGRAMAS[],2,FALSE),0)</f>
        <v>0</v>
      </c>
      <c r="AE1120" s="246">
        <f>IFERROR(VLOOKUP(Q1120,PROGRAMAS[],2,FALSE),0)</f>
        <v>0</v>
      </c>
      <c r="AF1120" s="246">
        <f>IFERROR(VLOOKUP(D1120,PROGRAMAS[],3,FALSE),0)</f>
        <v>841888629.31080008</v>
      </c>
      <c r="AG1120" s="246">
        <f>IFERROR(VLOOKUP(E1120,PROGRAMAS[],3,FALSE),0)</f>
        <v>3848980803.1642323</v>
      </c>
      <c r="AH1120" s="246">
        <f>IFERROR(VLOOKUP(F1120,PROGRAMAS[],3,FALSE),0)</f>
        <v>3394901471.387517</v>
      </c>
      <c r="AI1120" s="246">
        <f>IFERROR(VLOOKUP(G1120,PROGRAMAS[],3,FALSE),0)</f>
        <v>125317226.95549992</v>
      </c>
      <c r="AJ1120" s="246">
        <f>IFERROR(VLOOKUP(H1120,PROGRAMAS[],3,FALSE),0)</f>
        <v>1233505101.0616004</v>
      </c>
      <c r="AK1120" s="246">
        <f>IFERROR(VLOOKUP(I1120,PROGRAMAS[],3,FALSE),0)</f>
        <v>4099471734.9978786</v>
      </c>
      <c r="AL1120" s="246">
        <f>IFERROR(VLOOKUP(J1120,PROGRAMAS[],3,FALSE),0)</f>
        <v>675517840.109828</v>
      </c>
      <c r="AM1120" s="246">
        <f>IFERROR(VLOOKUP(K1120,PROGRAMAS[],3,FALSE),0)</f>
        <v>31865326.38096505</v>
      </c>
      <c r="AN1120" s="246">
        <f>IFERROR(VLOOKUP(L1120,PROGRAMAS[],3,FALSE),0)</f>
        <v>118617452.52510804</v>
      </c>
      <c r="AO1120" s="246">
        <f>IFERROR(VLOOKUP(M1120,PROGRAMAS[],3,FALSE),0)</f>
        <v>0</v>
      </c>
      <c r="AP1120" s="246">
        <f>IFERROR(VLOOKUP(N1120,PROGRAMAS[],3,FALSE),0)</f>
        <v>0</v>
      </c>
      <c r="AQ1120" s="246">
        <f>IFERROR(VLOOKUP(O1120,PROGRAMAS[],3,FALSE),0)</f>
        <v>0</v>
      </c>
      <c r="AR1120" s="246">
        <f>IFERROR(VLOOKUP(P1120,PROGRAMAS[],3,FALSE),0)</f>
        <v>0</v>
      </c>
      <c r="AS1120" s="246">
        <f>IFERROR(VLOOKUP(Q1120,PROGRAMAS[],3,FALSE),0)</f>
        <v>0</v>
      </c>
      <c r="AT1120" s="246">
        <f>IFERROR(VLOOKUP(D1120,VOL_REC[],2,FALSE),0)</f>
        <v>0</v>
      </c>
      <c r="AU1120" s="246">
        <f>IFERROR(VLOOKUP(E1120,VOL_REC[],2,FALSE),0)</f>
        <v>0</v>
      </c>
      <c r="AV1120" s="246">
        <f>IFERROR(VLOOKUP(F1120,VOL_REC[],2,FALSE),0)</f>
        <v>11089674.200000001</v>
      </c>
      <c r="AW1120" s="246">
        <f>IFERROR(VLOOKUP(G1120,VOL_REC[],2,FALSE),0)</f>
        <v>90439.55</v>
      </c>
      <c r="AX1120" s="246">
        <f>IFERROR(VLOOKUP(H1120,VOL_REC[],2,FALSE),0)</f>
        <v>4325103.1812214684</v>
      </c>
      <c r="AY1120" s="246">
        <f>IFERROR(VLOOKUP(I1120,VOL_REC[],2,FALSE),0)</f>
        <v>1812240</v>
      </c>
      <c r="AZ1120" s="246">
        <f>IFERROR(VLOOKUP(J1120,VOL_REC[],2,FALSE),0)</f>
        <v>240696.79238099116</v>
      </c>
      <c r="BA1120" s="246">
        <f>IFERROR(VLOOKUP(K1120,VOL_REC[],2,FALSE),0)</f>
        <v>17074.045034105649</v>
      </c>
      <c r="BB1120" s="246">
        <f>IFERROR(VLOOKUP(L1120,VOL_REC[],2,FALSE),0)</f>
        <v>105072</v>
      </c>
      <c r="BC1120" s="246">
        <f>IFERROR(VLOOKUP(M1120,VOL_REC[],2,FALSE),0)</f>
        <v>0</v>
      </c>
      <c r="BD1120" s="246">
        <f>IFERROR(VLOOKUP(N1120,VOL_REC[],2,FALSE),0)</f>
        <v>0</v>
      </c>
      <c r="BE1120" s="246">
        <f>IFERROR(VLOOKUP(O1120,VOL_REC[],2,FALSE),0)</f>
        <v>0</v>
      </c>
      <c r="BF1120" s="246">
        <f>IFERROR(VLOOKUP(P1120,VOL_REC[],2,FALSE),0)</f>
        <v>0</v>
      </c>
      <c r="BG1120" s="246">
        <f>IFERROR(VLOOKUP(Q1120,VOL_REC[],2,FALSE),0)</f>
        <v>0</v>
      </c>
      <c r="BH1120" s="1710">
        <f t="shared" si="68"/>
        <v>10885001470.083406</v>
      </c>
      <c r="BI1120" s="1710">
        <f t="shared" si="69"/>
        <v>14370065585.893431</v>
      </c>
      <c r="BJ1120" s="1711">
        <f t="shared" si="70"/>
        <v>17680299.768636569</v>
      </c>
      <c r="BK1120" s="1711">
        <f t="shared" si="71"/>
        <v>0.75747750801978353</v>
      </c>
    </row>
    <row r="1121" spans="3:67" x14ac:dyDescent="0.25">
      <c r="C1121" s="246" t="s">
        <v>2471</v>
      </c>
      <c r="D1121" s="246">
        <v>1</v>
      </c>
      <c r="E1121" s="246">
        <v>2</v>
      </c>
      <c r="F1121" s="246">
        <v>3</v>
      </c>
      <c r="G1121" s="246">
        <v>4</v>
      </c>
      <c r="H1121" s="246">
        <v>5</v>
      </c>
      <c r="I1121" s="246">
        <v>10</v>
      </c>
      <c r="J1121" s="246">
        <v>12</v>
      </c>
      <c r="K1121" s="246">
        <v>14</v>
      </c>
      <c r="L1121" s="246">
        <v>16</v>
      </c>
      <c r="M1121" s="246"/>
      <c r="N1121" s="246"/>
      <c r="O1121" s="246"/>
      <c r="P1121" s="246"/>
      <c r="Q1121" s="246"/>
      <c r="R1121" s="246">
        <f>IFERROR(VLOOKUP(D1121,PROGRAMAS[],2,FALSE),0)</f>
        <v>97037803.679377079</v>
      </c>
      <c r="S1121" s="246">
        <f>IFERROR(VLOOKUP(E1121,PROGRAMAS[],2,FALSE),0)</f>
        <v>640501509.6821388</v>
      </c>
      <c r="T1121" s="246">
        <f>IFERROR(VLOOKUP(F1121,PROGRAMAS[],2,FALSE),0)</f>
        <v>3062327798.1525245</v>
      </c>
      <c r="U1121" s="246">
        <f>IFERROR(VLOOKUP(G1121,PROGRAMAS[],2,FALSE),0)</f>
        <v>67697118.033011258</v>
      </c>
      <c r="V1121" s="246">
        <f>IFERROR(VLOOKUP(H1121,PROGRAMAS[],2,FALSE),0)</f>
        <v>1440941976.2528784</v>
      </c>
      <c r="W1121" s="246">
        <f>IFERROR(VLOOKUP(I1121,PROGRAMAS[],2,FALSE),0)</f>
        <v>4635315027.8751087</v>
      </c>
      <c r="X1121" s="246">
        <f>IFERROR(VLOOKUP(J1121,PROGRAMAS[],2,FALSE),0)</f>
        <v>764796700.79905891</v>
      </c>
      <c r="Y1121" s="246">
        <f>IFERROR(VLOOKUP(K1121,PROGRAMAS[],2,FALSE),0)</f>
        <v>54223862.645839565</v>
      </c>
      <c r="Z1121" s="246">
        <f>IFERROR(VLOOKUP(L1121,PROGRAMAS[],2,FALSE),0)</f>
        <v>7068496961.0436354</v>
      </c>
      <c r="AA1121" s="246">
        <f>IFERROR(VLOOKUP(M1121,PROGRAMAS[],2,FALSE),0)</f>
        <v>0</v>
      </c>
      <c r="AB1121" s="246">
        <f>IFERROR(VLOOKUP(N1121,PROGRAMAS[],2,FALSE),0)</f>
        <v>0</v>
      </c>
      <c r="AC1121" s="246">
        <f>IFERROR(VLOOKUP(O1121,PROGRAMAS[],2,FALSE),0)</f>
        <v>0</v>
      </c>
      <c r="AD1121" s="246">
        <f>IFERROR(VLOOKUP(P1121,PROGRAMAS[],2,FALSE),0)</f>
        <v>0</v>
      </c>
      <c r="AE1121" s="246">
        <f>IFERROR(VLOOKUP(Q1121,PROGRAMAS[],2,FALSE),0)</f>
        <v>0</v>
      </c>
      <c r="AF1121" s="246">
        <f>IFERROR(VLOOKUP(D1121,PROGRAMAS[],3,FALSE),0)</f>
        <v>841888629.31080008</v>
      </c>
      <c r="AG1121" s="246">
        <f>IFERROR(VLOOKUP(E1121,PROGRAMAS[],3,FALSE),0)</f>
        <v>3848980803.1642323</v>
      </c>
      <c r="AH1121" s="246">
        <f>IFERROR(VLOOKUP(F1121,PROGRAMAS[],3,FALSE),0)</f>
        <v>3394901471.387517</v>
      </c>
      <c r="AI1121" s="246">
        <f>IFERROR(VLOOKUP(G1121,PROGRAMAS[],3,FALSE),0)</f>
        <v>125317226.95549992</v>
      </c>
      <c r="AJ1121" s="246">
        <f>IFERROR(VLOOKUP(H1121,PROGRAMAS[],3,FALSE),0)</f>
        <v>1233505101.0616004</v>
      </c>
      <c r="AK1121" s="246">
        <f>IFERROR(VLOOKUP(I1121,PROGRAMAS[],3,FALSE),0)</f>
        <v>4099471734.9978786</v>
      </c>
      <c r="AL1121" s="246">
        <f>IFERROR(VLOOKUP(J1121,PROGRAMAS[],3,FALSE),0)</f>
        <v>675517840.109828</v>
      </c>
      <c r="AM1121" s="246">
        <f>IFERROR(VLOOKUP(K1121,PROGRAMAS[],3,FALSE),0)</f>
        <v>31865326.38096505</v>
      </c>
      <c r="AN1121" s="246">
        <f>IFERROR(VLOOKUP(L1121,PROGRAMAS[],3,FALSE),0)</f>
        <v>2406564599.0319901</v>
      </c>
      <c r="AO1121" s="246">
        <f>IFERROR(VLOOKUP(M1121,PROGRAMAS[],3,FALSE),0)</f>
        <v>0</v>
      </c>
      <c r="AP1121" s="246">
        <f>IFERROR(VLOOKUP(N1121,PROGRAMAS[],3,FALSE),0)</f>
        <v>0</v>
      </c>
      <c r="AQ1121" s="246">
        <f>IFERROR(VLOOKUP(O1121,PROGRAMAS[],3,FALSE),0)</f>
        <v>0</v>
      </c>
      <c r="AR1121" s="246">
        <f>IFERROR(VLOOKUP(P1121,PROGRAMAS[],3,FALSE),0)</f>
        <v>0</v>
      </c>
      <c r="AS1121" s="246">
        <f>IFERROR(VLOOKUP(Q1121,PROGRAMAS[],3,FALSE),0)</f>
        <v>0</v>
      </c>
      <c r="AT1121" s="246">
        <f>IFERROR(VLOOKUP(D1121,VOL_REC[],2,FALSE),0)</f>
        <v>0</v>
      </c>
      <c r="AU1121" s="246">
        <f>IFERROR(VLOOKUP(E1121,VOL_REC[],2,FALSE),0)</f>
        <v>0</v>
      </c>
      <c r="AV1121" s="246">
        <f>IFERROR(VLOOKUP(F1121,VOL_REC[],2,FALSE),0)</f>
        <v>11089674.200000001</v>
      </c>
      <c r="AW1121" s="246">
        <f>IFERROR(VLOOKUP(G1121,VOL_REC[],2,FALSE),0)</f>
        <v>90439.55</v>
      </c>
      <c r="AX1121" s="246">
        <f>IFERROR(VLOOKUP(H1121,VOL_REC[],2,FALSE),0)</f>
        <v>4325103.1812214684</v>
      </c>
      <c r="AY1121" s="246">
        <f>IFERROR(VLOOKUP(I1121,VOL_REC[],2,FALSE),0)</f>
        <v>1812240</v>
      </c>
      <c r="AZ1121" s="246">
        <f>IFERROR(VLOOKUP(J1121,VOL_REC[],2,FALSE),0)</f>
        <v>240696.79238099116</v>
      </c>
      <c r="BA1121" s="246">
        <f>IFERROR(VLOOKUP(K1121,VOL_REC[],2,FALSE),0)</f>
        <v>17074.045034105649</v>
      </c>
      <c r="BB1121" s="246">
        <f>IFERROR(VLOOKUP(L1121,VOL_REC[],2,FALSE),0)</f>
        <v>1072354.9981737854</v>
      </c>
      <c r="BC1121" s="246">
        <f>IFERROR(VLOOKUP(M1121,VOL_REC[],2,FALSE),0)</f>
        <v>0</v>
      </c>
      <c r="BD1121" s="246">
        <f>IFERROR(VLOOKUP(N1121,VOL_REC[],2,FALSE),0)</f>
        <v>0</v>
      </c>
      <c r="BE1121" s="246">
        <f>IFERROR(VLOOKUP(O1121,VOL_REC[],2,FALSE),0)</f>
        <v>0</v>
      </c>
      <c r="BF1121" s="246">
        <f>IFERROR(VLOOKUP(P1121,VOL_REC[],2,FALSE),0)</f>
        <v>0</v>
      </c>
      <c r="BG1121" s="246">
        <f>IFERROR(VLOOKUP(Q1121,VOL_REC[],2,FALSE),0)</f>
        <v>0</v>
      </c>
      <c r="BH1121" s="1710">
        <f t="shared" si="68"/>
        <v>17831338758.163574</v>
      </c>
      <c r="BI1121" s="1710">
        <f t="shared" si="69"/>
        <v>16658012732.400312</v>
      </c>
      <c r="BJ1121" s="1711">
        <f t="shared" si="70"/>
        <v>18647582.766810354</v>
      </c>
      <c r="BK1121" s="1711">
        <f t="shared" si="71"/>
        <v>1.0704361345264859</v>
      </c>
      <c r="BL1121">
        <f>BJ1121</f>
        <v>18647582.766810354</v>
      </c>
      <c r="BO1121">
        <f>BL1121</f>
        <v>18647582.766810354</v>
      </c>
    </row>
    <row r="1122" spans="3:67" x14ac:dyDescent="0.25">
      <c r="C1122" s="246" t="s">
        <v>2472</v>
      </c>
      <c r="D1122" s="246">
        <v>1</v>
      </c>
      <c r="E1122" s="246">
        <v>2</v>
      </c>
      <c r="F1122" s="246">
        <v>3</v>
      </c>
      <c r="G1122" s="246">
        <v>4</v>
      </c>
      <c r="H1122" s="246">
        <v>5</v>
      </c>
      <c r="I1122" s="246">
        <v>10</v>
      </c>
      <c r="J1122" s="246">
        <v>12</v>
      </c>
      <c r="K1122" s="246">
        <v>14</v>
      </c>
      <c r="L1122" s="246">
        <v>17</v>
      </c>
      <c r="M1122" s="246"/>
      <c r="N1122" s="246"/>
      <c r="O1122" s="246"/>
      <c r="P1122" s="246"/>
      <c r="Q1122" s="246"/>
      <c r="R1122" s="246">
        <f>IFERROR(VLOOKUP(D1122,PROGRAMAS[],2,FALSE),0)</f>
        <v>97037803.679377079</v>
      </c>
      <c r="S1122" s="246">
        <f>IFERROR(VLOOKUP(E1122,PROGRAMAS[],2,FALSE),0)</f>
        <v>640501509.6821388</v>
      </c>
      <c r="T1122" s="246">
        <f>IFERROR(VLOOKUP(F1122,PROGRAMAS[],2,FALSE),0)</f>
        <v>3062327798.1525245</v>
      </c>
      <c r="U1122" s="246">
        <f>IFERROR(VLOOKUP(G1122,PROGRAMAS[],2,FALSE),0)</f>
        <v>67697118.033011258</v>
      </c>
      <c r="V1122" s="246">
        <f>IFERROR(VLOOKUP(H1122,PROGRAMAS[],2,FALSE),0)</f>
        <v>1440941976.2528784</v>
      </c>
      <c r="W1122" s="246">
        <f>IFERROR(VLOOKUP(I1122,PROGRAMAS[],2,FALSE),0)</f>
        <v>4635315027.8751087</v>
      </c>
      <c r="X1122" s="246">
        <f>IFERROR(VLOOKUP(J1122,PROGRAMAS[],2,FALSE),0)</f>
        <v>764796700.79905891</v>
      </c>
      <c r="Y1122" s="246">
        <f>IFERROR(VLOOKUP(K1122,PROGRAMAS[],2,FALSE),0)</f>
        <v>54223862.645839565</v>
      </c>
      <c r="Z1122" s="246">
        <f>IFERROR(VLOOKUP(L1122,PROGRAMAS[],2,FALSE),0)</f>
        <v>1892779498.5211046</v>
      </c>
      <c r="AA1122" s="246">
        <f>IFERROR(VLOOKUP(M1122,PROGRAMAS[],2,FALSE),0)</f>
        <v>0</v>
      </c>
      <c r="AB1122" s="246">
        <f>IFERROR(VLOOKUP(N1122,PROGRAMAS[],2,FALSE),0)</f>
        <v>0</v>
      </c>
      <c r="AC1122" s="246">
        <f>IFERROR(VLOOKUP(O1122,PROGRAMAS[],2,FALSE),0)</f>
        <v>0</v>
      </c>
      <c r="AD1122" s="246">
        <f>IFERROR(VLOOKUP(P1122,PROGRAMAS[],2,FALSE),0)</f>
        <v>0</v>
      </c>
      <c r="AE1122" s="246">
        <f>IFERROR(VLOOKUP(Q1122,PROGRAMAS[],2,FALSE),0)</f>
        <v>0</v>
      </c>
      <c r="AF1122" s="246">
        <f>IFERROR(VLOOKUP(D1122,PROGRAMAS[],3,FALSE),0)</f>
        <v>841888629.31080008</v>
      </c>
      <c r="AG1122" s="246">
        <f>IFERROR(VLOOKUP(E1122,PROGRAMAS[],3,FALSE),0)</f>
        <v>3848980803.1642323</v>
      </c>
      <c r="AH1122" s="246">
        <f>IFERROR(VLOOKUP(F1122,PROGRAMAS[],3,FALSE),0)</f>
        <v>3394901471.387517</v>
      </c>
      <c r="AI1122" s="246">
        <f>IFERROR(VLOOKUP(G1122,PROGRAMAS[],3,FALSE),0)</f>
        <v>125317226.95549992</v>
      </c>
      <c r="AJ1122" s="246">
        <f>IFERROR(VLOOKUP(H1122,PROGRAMAS[],3,FALSE),0)</f>
        <v>1233505101.0616004</v>
      </c>
      <c r="AK1122" s="246">
        <f>IFERROR(VLOOKUP(I1122,PROGRAMAS[],3,FALSE),0)</f>
        <v>4099471734.9978786</v>
      </c>
      <c r="AL1122" s="246">
        <f>IFERROR(VLOOKUP(J1122,PROGRAMAS[],3,FALSE),0)</f>
        <v>675517840.109828</v>
      </c>
      <c r="AM1122" s="246">
        <f>IFERROR(VLOOKUP(K1122,PROGRAMAS[],3,FALSE),0)</f>
        <v>31865326.38096505</v>
      </c>
      <c r="AN1122" s="246">
        <f>IFERROR(VLOOKUP(L1122,PROGRAMAS[],3,FALSE),0)</f>
        <v>948595847.09039903</v>
      </c>
      <c r="AO1122" s="246">
        <f>IFERROR(VLOOKUP(M1122,PROGRAMAS[],3,FALSE),0)</f>
        <v>0</v>
      </c>
      <c r="AP1122" s="246">
        <f>IFERROR(VLOOKUP(N1122,PROGRAMAS[],3,FALSE),0)</f>
        <v>0</v>
      </c>
      <c r="AQ1122" s="246">
        <f>IFERROR(VLOOKUP(O1122,PROGRAMAS[],3,FALSE),0)</f>
        <v>0</v>
      </c>
      <c r="AR1122" s="246">
        <f>IFERROR(VLOOKUP(P1122,PROGRAMAS[],3,FALSE),0)</f>
        <v>0</v>
      </c>
      <c r="AS1122" s="246">
        <f>IFERROR(VLOOKUP(Q1122,PROGRAMAS[],3,FALSE),0)</f>
        <v>0</v>
      </c>
      <c r="AT1122" s="246">
        <f>IFERROR(VLOOKUP(D1122,VOL_REC[],2,FALSE),0)</f>
        <v>0</v>
      </c>
      <c r="AU1122" s="246">
        <f>IFERROR(VLOOKUP(E1122,VOL_REC[],2,FALSE),0)</f>
        <v>0</v>
      </c>
      <c r="AV1122" s="246">
        <f>IFERROR(VLOOKUP(F1122,VOL_REC[],2,FALSE),0)</f>
        <v>11089674.200000001</v>
      </c>
      <c r="AW1122" s="246">
        <f>IFERROR(VLOOKUP(G1122,VOL_REC[],2,FALSE),0)</f>
        <v>90439.55</v>
      </c>
      <c r="AX1122" s="246">
        <f>IFERROR(VLOOKUP(H1122,VOL_REC[],2,FALSE),0)</f>
        <v>4325103.1812214684</v>
      </c>
      <c r="AY1122" s="246">
        <f>IFERROR(VLOOKUP(I1122,VOL_REC[],2,FALSE),0)</f>
        <v>1812240</v>
      </c>
      <c r="AZ1122" s="246">
        <f>IFERROR(VLOOKUP(J1122,VOL_REC[],2,FALSE),0)</f>
        <v>240696.79238099116</v>
      </c>
      <c r="BA1122" s="246">
        <f>IFERROR(VLOOKUP(K1122,VOL_REC[],2,FALSE),0)</f>
        <v>17074.045034105649</v>
      </c>
      <c r="BB1122" s="246">
        <f>IFERROR(VLOOKUP(L1122,VOL_REC[],2,FALSE),0)</f>
        <v>740113.98115702497</v>
      </c>
      <c r="BC1122" s="246">
        <f>IFERROR(VLOOKUP(M1122,VOL_REC[],2,FALSE),0)</f>
        <v>0</v>
      </c>
      <c r="BD1122" s="246">
        <f>IFERROR(VLOOKUP(N1122,VOL_REC[],2,FALSE),0)</f>
        <v>0</v>
      </c>
      <c r="BE1122" s="246">
        <f>IFERROR(VLOOKUP(O1122,VOL_REC[],2,FALSE),0)</f>
        <v>0</v>
      </c>
      <c r="BF1122" s="246">
        <f>IFERROR(VLOOKUP(P1122,VOL_REC[],2,FALSE),0)</f>
        <v>0</v>
      </c>
      <c r="BG1122" s="246">
        <f>IFERROR(VLOOKUP(Q1122,VOL_REC[],2,FALSE),0)</f>
        <v>0</v>
      </c>
      <c r="BH1122" s="1710">
        <f t="shared" si="68"/>
        <v>12655621295.641043</v>
      </c>
      <c r="BI1122" s="1710">
        <f t="shared" si="69"/>
        <v>15200043980.458721</v>
      </c>
      <c r="BJ1122" s="1711">
        <f t="shared" si="70"/>
        <v>18315341.749793593</v>
      </c>
      <c r="BK1122" s="1711">
        <f t="shared" si="71"/>
        <v>0.83260425508710334</v>
      </c>
    </row>
    <row r="1123" spans="3:67" x14ac:dyDescent="0.25">
      <c r="C1123" s="246" t="s">
        <v>2473</v>
      </c>
      <c r="D1123" s="246">
        <v>1</v>
      </c>
      <c r="E1123" s="246">
        <v>2</v>
      </c>
      <c r="F1123" s="246">
        <v>3</v>
      </c>
      <c r="G1123" s="246">
        <v>4</v>
      </c>
      <c r="H1123" s="246">
        <v>5</v>
      </c>
      <c r="I1123" s="246">
        <v>10</v>
      </c>
      <c r="J1123" s="246">
        <v>12</v>
      </c>
      <c r="K1123" s="246">
        <v>15</v>
      </c>
      <c r="L1123" s="246">
        <v>16</v>
      </c>
      <c r="M1123" s="246"/>
      <c r="N1123" s="246"/>
      <c r="O1123" s="246"/>
      <c r="P1123" s="246"/>
      <c r="Q1123" s="246"/>
      <c r="R1123" s="246">
        <f>IFERROR(VLOOKUP(D1123,PROGRAMAS[],2,FALSE),0)</f>
        <v>97037803.679377079</v>
      </c>
      <c r="S1123" s="246">
        <f>IFERROR(VLOOKUP(E1123,PROGRAMAS[],2,FALSE),0)</f>
        <v>640501509.6821388</v>
      </c>
      <c r="T1123" s="246">
        <f>IFERROR(VLOOKUP(F1123,PROGRAMAS[],2,FALSE),0)</f>
        <v>3062327798.1525245</v>
      </c>
      <c r="U1123" s="246">
        <f>IFERROR(VLOOKUP(G1123,PROGRAMAS[],2,FALSE),0)</f>
        <v>67697118.033011258</v>
      </c>
      <c r="V1123" s="246">
        <f>IFERROR(VLOOKUP(H1123,PROGRAMAS[],2,FALSE),0)</f>
        <v>1440941976.2528784</v>
      </c>
      <c r="W1123" s="246">
        <f>IFERROR(VLOOKUP(I1123,PROGRAMAS[],2,FALSE),0)</f>
        <v>4635315027.8751087</v>
      </c>
      <c r="X1123" s="246">
        <f>IFERROR(VLOOKUP(J1123,PROGRAMAS[],2,FALSE),0)</f>
        <v>764796700.79905891</v>
      </c>
      <c r="Y1123" s="246">
        <f>IFERROR(VLOOKUP(K1123,PROGRAMAS[],2,FALSE),0)</f>
        <v>122159672.96346797</v>
      </c>
      <c r="Z1123" s="246">
        <f>IFERROR(VLOOKUP(L1123,PROGRAMAS[],2,FALSE),0)</f>
        <v>7068496961.0436354</v>
      </c>
      <c r="AA1123" s="246">
        <f>IFERROR(VLOOKUP(M1123,PROGRAMAS[],2,FALSE),0)</f>
        <v>0</v>
      </c>
      <c r="AB1123" s="246">
        <f>IFERROR(VLOOKUP(N1123,PROGRAMAS[],2,FALSE),0)</f>
        <v>0</v>
      </c>
      <c r="AC1123" s="246">
        <f>IFERROR(VLOOKUP(O1123,PROGRAMAS[],2,FALSE),0)</f>
        <v>0</v>
      </c>
      <c r="AD1123" s="246">
        <f>IFERROR(VLOOKUP(P1123,PROGRAMAS[],2,FALSE),0)</f>
        <v>0</v>
      </c>
      <c r="AE1123" s="246">
        <f>IFERROR(VLOOKUP(Q1123,PROGRAMAS[],2,FALSE),0)</f>
        <v>0</v>
      </c>
      <c r="AF1123" s="246">
        <f>IFERROR(VLOOKUP(D1123,PROGRAMAS[],3,FALSE),0)</f>
        <v>841888629.31080008</v>
      </c>
      <c r="AG1123" s="246">
        <f>IFERROR(VLOOKUP(E1123,PROGRAMAS[],3,FALSE),0)</f>
        <v>3848980803.1642323</v>
      </c>
      <c r="AH1123" s="246">
        <f>IFERROR(VLOOKUP(F1123,PROGRAMAS[],3,FALSE),0)</f>
        <v>3394901471.387517</v>
      </c>
      <c r="AI1123" s="246">
        <f>IFERROR(VLOOKUP(G1123,PROGRAMAS[],3,FALSE),0)</f>
        <v>125317226.95549992</v>
      </c>
      <c r="AJ1123" s="246">
        <f>IFERROR(VLOOKUP(H1123,PROGRAMAS[],3,FALSE),0)</f>
        <v>1233505101.0616004</v>
      </c>
      <c r="AK1123" s="246">
        <f>IFERROR(VLOOKUP(I1123,PROGRAMAS[],3,FALSE),0)</f>
        <v>4099471734.9978786</v>
      </c>
      <c r="AL1123" s="246">
        <f>IFERROR(VLOOKUP(J1123,PROGRAMAS[],3,FALSE),0)</f>
        <v>675517840.109828</v>
      </c>
      <c r="AM1123" s="246">
        <f>IFERROR(VLOOKUP(K1123,PROGRAMAS[],3,FALSE),0)</f>
        <v>118617452.52510804</v>
      </c>
      <c r="AN1123" s="246">
        <f>IFERROR(VLOOKUP(L1123,PROGRAMAS[],3,FALSE),0)</f>
        <v>2406564599.0319901</v>
      </c>
      <c r="AO1123" s="246">
        <f>IFERROR(VLOOKUP(M1123,PROGRAMAS[],3,FALSE),0)</f>
        <v>0</v>
      </c>
      <c r="AP1123" s="246">
        <f>IFERROR(VLOOKUP(N1123,PROGRAMAS[],3,FALSE),0)</f>
        <v>0</v>
      </c>
      <c r="AQ1123" s="246">
        <f>IFERROR(VLOOKUP(O1123,PROGRAMAS[],3,FALSE),0)</f>
        <v>0</v>
      </c>
      <c r="AR1123" s="246">
        <f>IFERROR(VLOOKUP(P1123,PROGRAMAS[],3,FALSE),0)</f>
        <v>0</v>
      </c>
      <c r="AS1123" s="246">
        <f>IFERROR(VLOOKUP(Q1123,PROGRAMAS[],3,FALSE),0)</f>
        <v>0</v>
      </c>
      <c r="AT1123" s="246">
        <f>IFERROR(VLOOKUP(D1123,VOL_REC[],2,FALSE),0)</f>
        <v>0</v>
      </c>
      <c r="AU1123" s="246">
        <f>IFERROR(VLOOKUP(E1123,VOL_REC[],2,FALSE),0)</f>
        <v>0</v>
      </c>
      <c r="AV1123" s="246">
        <f>IFERROR(VLOOKUP(F1123,VOL_REC[],2,FALSE),0)</f>
        <v>11089674.200000001</v>
      </c>
      <c r="AW1123" s="246">
        <f>IFERROR(VLOOKUP(G1123,VOL_REC[],2,FALSE),0)</f>
        <v>90439.55</v>
      </c>
      <c r="AX1123" s="246">
        <f>IFERROR(VLOOKUP(H1123,VOL_REC[],2,FALSE),0)</f>
        <v>4325103.1812214684</v>
      </c>
      <c r="AY1123" s="246">
        <f>IFERROR(VLOOKUP(I1123,VOL_REC[],2,FALSE),0)</f>
        <v>1812240</v>
      </c>
      <c r="AZ1123" s="246">
        <f>IFERROR(VLOOKUP(J1123,VOL_REC[],2,FALSE),0)</f>
        <v>240696.79238099116</v>
      </c>
      <c r="BA1123" s="246">
        <f>IFERROR(VLOOKUP(K1123,VOL_REC[],2,FALSE),0)</f>
        <v>105072</v>
      </c>
      <c r="BB1123" s="246">
        <f>IFERROR(VLOOKUP(L1123,VOL_REC[],2,FALSE),0)</f>
        <v>1072354.9981737854</v>
      </c>
      <c r="BC1123" s="246">
        <f>IFERROR(VLOOKUP(M1123,VOL_REC[],2,FALSE),0)</f>
        <v>0</v>
      </c>
      <c r="BD1123" s="246">
        <f>IFERROR(VLOOKUP(N1123,VOL_REC[],2,FALSE),0)</f>
        <v>0</v>
      </c>
      <c r="BE1123" s="246">
        <f>IFERROR(VLOOKUP(O1123,VOL_REC[],2,FALSE),0)</f>
        <v>0</v>
      </c>
      <c r="BF1123" s="246">
        <f>IFERROR(VLOOKUP(P1123,VOL_REC[],2,FALSE),0)</f>
        <v>0</v>
      </c>
      <c r="BG1123" s="246">
        <f>IFERROR(VLOOKUP(Q1123,VOL_REC[],2,FALSE),0)</f>
        <v>0</v>
      </c>
      <c r="BH1123" s="1710">
        <f t="shared" si="68"/>
        <v>17899274568.481201</v>
      </c>
      <c r="BI1123" s="1710">
        <f t="shared" si="69"/>
        <v>16744764858.544456</v>
      </c>
      <c r="BJ1123" s="1711">
        <f t="shared" si="70"/>
        <v>18735580.721776247</v>
      </c>
      <c r="BK1123" s="1711">
        <f t="shared" si="71"/>
        <v>1.0689475020813819</v>
      </c>
      <c r="BL1123">
        <f>BJ1123</f>
        <v>18735580.721776247</v>
      </c>
      <c r="BO1123">
        <f>BL1123</f>
        <v>18735580.721776247</v>
      </c>
    </row>
    <row r="1124" spans="3:67" x14ac:dyDescent="0.25">
      <c r="C1124" s="246" t="s">
        <v>2474</v>
      </c>
      <c r="D1124" s="246">
        <v>1</v>
      </c>
      <c r="E1124" s="246">
        <v>2</v>
      </c>
      <c r="F1124" s="246">
        <v>3</v>
      </c>
      <c r="G1124" s="246">
        <v>4</v>
      </c>
      <c r="H1124" s="246">
        <v>5</v>
      </c>
      <c r="I1124" s="246">
        <v>10</v>
      </c>
      <c r="J1124" s="246">
        <v>12</v>
      </c>
      <c r="K1124" s="246">
        <v>15</v>
      </c>
      <c r="L1124" s="246">
        <v>17</v>
      </c>
      <c r="M1124" s="246"/>
      <c r="N1124" s="246"/>
      <c r="O1124" s="246"/>
      <c r="P1124" s="246"/>
      <c r="Q1124" s="246"/>
      <c r="R1124" s="246">
        <f>IFERROR(VLOOKUP(D1124,PROGRAMAS[],2,FALSE),0)</f>
        <v>97037803.679377079</v>
      </c>
      <c r="S1124" s="246">
        <f>IFERROR(VLOOKUP(E1124,PROGRAMAS[],2,FALSE),0)</f>
        <v>640501509.6821388</v>
      </c>
      <c r="T1124" s="246">
        <f>IFERROR(VLOOKUP(F1124,PROGRAMAS[],2,FALSE),0)</f>
        <v>3062327798.1525245</v>
      </c>
      <c r="U1124" s="246">
        <f>IFERROR(VLOOKUP(G1124,PROGRAMAS[],2,FALSE),0)</f>
        <v>67697118.033011258</v>
      </c>
      <c r="V1124" s="246">
        <f>IFERROR(VLOOKUP(H1124,PROGRAMAS[],2,FALSE),0)</f>
        <v>1440941976.2528784</v>
      </c>
      <c r="W1124" s="246">
        <f>IFERROR(VLOOKUP(I1124,PROGRAMAS[],2,FALSE),0)</f>
        <v>4635315027.8751087</v>
      </c>
      <c r="X1124" s="246">
        <f>IFERROR(VLOOKUP(J1124,PROGRAMAS[],2,FALSE),0)</f>
        <v>764796700.79905891</v>
      </c>
      <c r="Y1124" s="246">
        <f>IFERROR(VLOOKUP(K1124,PROGRAMAS[],2,FALSE),0)</f>
        <v>122159672.96346797</v>
      </c>
      <c r="Z1124" s="246">
        <f>IFERROR(VLOOKUP(L1124,PROGRAMAS[],2,FALSE),0)</f>
        <v>1892779498.5211046</v>
      </c>
      <c r="AA1124" s="246">
        <f>IFERROR(VLOOKUP(M1124,PROGRAMAS[],2,FALSE),0)</f>
        <v>0</v>
      </c>
      <c r="AB1124" s="246">
        <f>IFERROR(VLOOKUP(N1124,PROGRAMAS[],2,FALSE),0)</f>
        <v>0</v>
      </c>
      <c r="AC1124" s="246">
        <f>IFERROR(VLOOKUP(O1124,PROGRAMAS[],2,FALSE),0)</f>
        <v>0</v>
      </c>
      <c r="AD1124" s="246">
        <f>IFERROR(VLOOKUP(P1124,PROGRAMAS[],2,FALSE),0)</f>
        <v>0</v>
      </c>
      <c r="AE1124" s="246">
        <f>IFERROR(VLOOKUP(Q1124,PROGRAMAS[],2,FALSE),0)</f>
        <v>0</v>
      </c>
      <c r="AF1124" s="246">
        <f>IFERROR(VLOOKUP(D1124,PROGRAMAS[],3,FALSE),0)</f>
        <v>841888629.31080008</v>
      </c>
      <c r="AG1124" s="246">
        <f>IFERROR(VLOOKUP(E1124,PROGRAMAS[],3,FALSE),0)</f>
        <v>3848980803.1642323</v>
      </c>
      <c r="AH1124" s="246">
        <f>IFERROR(VLOOKUP(F1124,PROGRAMAS[],3,FALSE),0)</f>
        <v>3394901471.387517</v>
      </c>
      <c r="AI1124" s="246">
        <f>IFERROR(VLOOKUP(G1124,PROGRAMAS[],3,FALSE),0)</f>
        <v>125317226.95549992</v>
      </c>
      <c r="AJ1124" s="246">
        <f>IFERROR(VLOOKUP(H1124,PROGRAMAS[],3,FALSE),0)</f>
        <v>1233505101.0616004</v>
      </c>
      <c r="AK1124" s="246">
        <f>IFERROR(VLOOKUP(I1124,PROGRAMAS[],3,FALSE),0)</f>
        <v>4099471734.9978786</v>
      </c>
      <c r="AL1124" s="246">
        <f>IFERROR(VLOOKUP(J1124,PROGRAMAS[],3,FALSE),0)</f>
        <v>675517840.109828</v>
      </c>
      <c r="AM1124" s="246">
        <f>IFERROR(VLOOKUP(K1124,PROGRAMAS[],3,FALSE),0)</f>
        <v>118617452.52510804</v>
      </c>
      <c r="AN1124" s="246">
        <f>IFERROR(VLOOKUP(L1124,PROGRAMAS[],3,FALSE),0)</f>
        <v>948595847.09039903</v>
      </c>
      <c r="AO1124" s="246">
        <f>IFERROR(VLOOKUP(M1124,PROGRAMAS[],3,FALSE),0)</f>
        <v>0</v>
      </c>
      <c r="AP1124" s="246">
        <f>IFERROR(VLOOKUP(N1124,PROGRAMAS[],3,FALSE),0)</f>
        <v>0</v>
      </c>
      <c r="AQ1124" s="246">
        <f>IFERROR(VLOOKUP(O1124,PROGRAMAS[],3,FALSE),0)</f>
        <v>0</v>
      </c>
      <c r="AR1124" s="246">
        <f>IFERROR(VLOOKUP(P1124,PROGRAMAS[],3,FALSE),0)</f>
        <v>0</v>
      </c>
      <c r="AS1124" s="246">
        <f>IFERROR(VLOOKUP(Q1124,PROGRAMAS[],3,FALSE),0)</f>
        <v>0</v>
      </c>
      <c r="AT1124" s="246">
        <f>IFERROR(VLOOKUP(D1124,VOL_REC[],2,FALSE),0)</f>
        <v>0</v>
      </c>
      <c r="AU1124" s="246">
        <f>IFERROR(VLOOKUP(E1124,VOL_REC[],2,FALSE),0)</f>
        <v>0</v>
      </c>
      <c r="AV1124" s="246">
        <f>IFERROR(VLOOKUP(F1124,VOL_REC[],2,FALSE),0)</f>
        <v>11089674.200000001</v>
      </c>
      <c r="AW1124" s="246">
        <f>IFERROR(VLOOKUP(G1124,VOL_REC[],2,FALSE),0)</f>
        <v>90439.55</v>
      </c>
      <c r="AX1124" s="246">
        <f>IFERROR(VLOOKUP(H1124,VOL_REC[],2,FALSE),0)</f>
        <v>4325103.1812214684</v>
      </c>
      <c r="AY1124" s="246">
        <f>IFERROR(VLOOKUP(I1124,VOL_REC[],2,FALSE),0)</f>
        <v>1812240</v>
      </c>
      <c r="AZ1124" s="246">
        <f>IFERROR(VLOOKUP(J1124,VOL_REC[],2,FALSE),0)</f>
        <v>240696.79238099116</v>
      </c>
      <c r="BA1124" s="246">
        <f>IFERROR(VLOOKUP(K1124,VOL_REC[],2,FALSE),0)</f>
        <v>105072</v>
      </c>
      <c r="BB1124" s="246">
        <f>IFERROR(VLOOKUP(L1124,VOL_REC[],2,FALSE),0)</f>
        <v>740113.98115702497</v>
      </c>
      <c r="BC1124" s="246">
        <f>IFERROR(VLOOKUP(M1124,VOL_REC[],2,FALSE),0)</f>
        <v>0</v>
      </c>
      <c r="BD1124" s="246">
        <f>IFERROR(VLOOKUP(N1124,VOL_REC[],2,FALSE),0)</f>
        <v>0</v>
      </c>
      <c r="BE1124" s="246">
        <f>IFERROR(VLOOKUP(O1124,VOL_REC[],2,FALSE),0)</f>
        <v>0</v>
      </c>
      <c r="BF1124" s="246">
        <f>IFERROR(VLOOKUP(P1124,VOL_REC[],2,FALSE),0)</f>
        <v>0</v>
      </c>
      <c r="BG1124" s="246">
        <f>IFERROR(VLOOKUP(Q1124,VOL_REC[],2,FALSE),0)</f>
        <v>0</v>
      </c>
      <c r="BH1124" s="1710">
        <f t="shared" si="68"/>
        <v>12723557105.958672</v>
      </c>
      <c r="BI1124" s="1710">
        <f t="shared" si="69"/>
        <v>15286796106.602865</v>
      </c>
      <c r="BJ1124" s="1711">
        <f t="shared" si="70"/>
        <v>18403339.704759486</v>
      </c>
      <c r="BK1124" s="1711">
        <f t="shared" si="71"/>
        <v>0.83232333428343119</v>
      </c>
    </row>
    <row r="1125" spans="3:67" x14ac:dyDescent="0.25">
      <c r="C1125" s="246" t="s">
        <v>2475</v>
      </c>
      <c r="D1125" s="246">
        <v>1</v>
      </c>
      <c r="E1125" s="246">
        <v>2</v>
      </c>
      <c r="F1125" s="246">
        <v>3</v>
      </c>
      <c r="G1125" s="246">
        <v>4</v>
      </c>
      <c r="H1125" s="246">
        <v>5</v>
      </c>
      <c r="I1125" s="246">
        <v>10</v>
      </c>
      <c r="J1125" s="246">
        <v>12</v>
      </c>
      <c r="K1125" s="246">
        <v>16</v>
      </c>
      <c r="L1125" s="246">
        <v>17</v>
      </c>
      <c r="M1125" s="246"/>
      <c r="N1125" s="246"/>
      <c r="O1125" s="246"/>
      <c r="P1125" s="246"/>
      <c r="Q1125" s="246"/>
      <c r="R1125" s="246">
        <f>IFERROR(VLOOKUP(D1125,PROGRAMAS[],2,FALSE),0)</f>
        <v>97037803.679377079</v>
      </c>
      <c r="S1125" s="246">
        <f>IFERROR(VLOOKUP(E1125,PROGRAMAS[],2,FALSE),0)</f>
        <v>640501509.6821388</v>
      </c>
      <c r="T1125" s="246">
        <f>IFERROR(VLOOKUP(F1125,PROGRAMAS[],2,FALSE),0)</f>
        <v>3062327798.1525245</v>
      </c>
      <c r="U1125" s="246">
        <f>IFERROR(VLOOKUP(G1125,PROGRAMAS[],2,FALSE),0)</f>
        <v>67697118.033011258</v>
      </c>
      <c r="V1125" s="246">
        <f>IFERROR(VLOOKUP(H1125,PROGRAMAS[],2,FALSE),0)</f>
        <v>1440941976.2528784</v>
      </c>
      <c r="W1125" s="246">
        <f>IFERROR(VLOOKUP(I1125,PROGRAMAS[],2,FALSE),0)</f>
        <v>4635315027.8751087</v>
      </c>
      <c r="X1125" s="246">
        <f>IFERROR(VLOOKUP(J1125,PROGRAMAS[],2,FALSE),0)</f>
        <v>764796700.79905891</v>
      </c>
      <c r="Y1125" s="246">
        <f>IFERROR(VLOOKUP(K1125,PROGRAMAS[],2,FALSE),0)</f>
        <v>7068496961.0436354</v>
      </c>
      <c r="Z1125" s="246">
        <f>IFERROR(VLOOKUP(L1125,PROGRAMAS[],2,FALSE),0)</f>
        <v>1892779498.5211046</v>
      </c>
      <c r="AA1125" s="246">
        <f>IFERROR(VLOOKUP(M1125,PROGRAMAS[],2,FALSE),0)</f>
        <v>0</v>
      </c>
      <c r="AB1125" s="246">
        <f>IFERROR(VLOOKUP(N1125,PROGRAMAS[],2,FALSE),0)</f>
        <v>0</v>
      </c>
      <c r="AC1125" s="246">
        <f>IFERROR(VLOOKUP(O1125,PROGRAMAS[],2,FALSE),0)</f>
        <v>0</v>
      </c>
      <c r="AD1125" s="246">
        <f>IFERROR(VLOOKUP(P1125,PROGRAMAS[],2,FALSE),0)</f>
        <v>0</v>
      </c>
      <c r="AE1125" s="246">
        <f>IFERROR(VLOOKUP(Q1125,PROGRAMAS[],2,FALSE),0)</f>
        <v>0</v>
      </c>
      <c r="AF1125" s="246">
        <f>IFERROR(VLOOKUP(D1125,PROGRAMAS[],3,FALSE),0)</f>
        <v>841888629.31080008</v>
      </c>
      <c r="AG1125" s="246">
        <f>IFERROR(VLOOKUP(E1125,PROGRAMAS[],3,FALSE),0)</f>
        <v>3848980803.1642323</v>
      </c>
      <c r="AH1125" s="246">
        <f>IFERROR(VLOOKUP(F1125,PROGRAMAS[],3,FALSE),0)</f>
        <v>3394901471.387517</v>
      </c>
      <c r="AI1125" s="246">
        <f>IFERROR(VLOOKUP(G1125,PROGRAMAS[],3,FALSE),0)</f>
        <v>125317226.95549992</v>
      </c>
      <c r="AJ1125" s="246">
        <f>IFERROR(VLOOKUP(H1125,PROGRAMAS[],3,FALSE),0)</f>
        <v>1233505101.0616004</v>
      </c>
      <c r="AK1125" s="246">
        <f>IFERROR(VLOOKUP(I1125,PROGRAMAS[],3,FALSE),0)</f>
        <v>4099471734.9978786</v>
      </c>
      <c r="AL1125" s="246">
        <f>IFERROR(VLOOKUP(J1125,PROGRAMAS[],3,FALSE),0)</f>
        <v>675517840.109828</v>
      </c>
      <c r="AM1125" s="246">
        <f>IFERROR(VLOOKUP(K1125,PROGRAMAS[],3,FALSE),0)</f>
        <v>2406564599.0319901</v>
      </c>
      <c r="AN1125" s="246">
        <f>IFERROR(VLOOKUP(L1125,PROGRAMAS[],3,FALSE),0)</f>
        <v>948595847.09039903</v>
      </c>
      <c r="AO1125" s="246">
        <f>IFERROR(VLOOKUP(M1125,PROGRAMAS[],3,FALSE),0)</f>
        <v>0</v>
      </c>
      <c r="AP1125" s="246">
        <f>IFERROR(VLOOKUP(N1125,PROGRAMAS[],3,FALSE),0)</f>
        <v>0</v>
      </c>
      <c r="AQ1125" s="246">
        <f>IFERROR(VLOOKUP(O1125,PROGRAMAS[],3,FALSE),0)</f>
        <v>0</v>
      </c>
      <c r="AR1125" s="246">
        <f>IFERROR(VLOOKUP(P1125,PROGRAMAS[],3,FALSE),0)</f>
        <v>0</v>
      </c>
      <c r="AS1125" s="246">
        <f>IFERROR(VLOOKUP(Q1125,PROGRAMAS[],3,FALSE),0)</f>
        <v>0</v>
      </c>
      <c r="AT1125" s="246">
        <f>IFERROR(VLOOKUP(D1125,VOL_REC[],2,FALSE),0)</f>
        <v>0</v>
      </c>
      <c r="AU1125" s="246">
        <f>IFERROR(VLOOKUP(E1125,VOL_REC[],2,FALSE),0)</f>
        <v>0</v>
      </c>
      <c r="AV1125" s="246">
        <f>IFERROR(VLOOKUP(F1125,VOL_REC[],2,FALSE),0)</f>
        <v>11089674.200000001</v>
      </c>
      <c r="AW1125" s="246">
        <f>IFERROR(VLOOKUP(G1125,VOL_REC[],2,FALSE),0)</f>
        <v>90439.55</v>
      </c>
      <c r="AX1125" s="246">
        <f>IFERROR(VLOOKUP(H1125,VOL_REC[],2,FALSE),0)</f>
        <v>4325103.1812214684</v>
      </c>
      <c r="AY1125" s="246">
        <f>IFERROR(VLOOKUP(I1125,VOL_REC[],2,FALSE),0)</f>
        <v>1812240</v>
      </c>
      <c r="AZ1125" s="246">
        <f>IFERROR(VLOOKUP(J1125,VOL_REC[],2,FALSE),0)</f>
        <v>240696.79238099116</v>
      </c>
      <c r="BA1125" s="246">
        <f>IFERROR(VLOOKUP(K1125,VOL_REC[],2,FALSE),0)</f>
        <v>1072354.9981737854</v>
      </c>
      <c r="BB1125" s="246">
        <f>IFERROR(VLOOKUP(L1125,VOL_REC[],2,FALSE),0)</f>
        <v>740113.98115702497</v>
      </c>
      <c r="BC1125" s="246">
        <f>IFERROR(VLOOKUP(M1125,VOL_REC[],2,FALSE),0)</f>
        <v>0</v>
      </c>
      <c r="BD1125" s="246">
        <f>IFERROR(VLOOKUP(N1125,VOL_REC[],2,FALSE),0)</f>
        <v>0</v>
      </c>
      <c r="BE1125" s="246">
        <f>IFERROR(VLOOKUP(O1125,VOL_REC[],2,FALSE),0)</f>
        <v>0</v>
      </c>
      <c r="BF1125" s="246">
        <f>IFERROR(VLOOKUP(P1125,VOL_REC[],2,FALSE),0)</f>
        <v>0</v>
      </c>
      <c r="BG1125" s="246">
        <f>IFERROR(VLOOKUP(Q1125,VOL_REC[],2,FALSE),0)</f>
        <v>0</v>
      </c>
      <c r="BH1125" s="1710">
        <f t="shared" si="68"/>
        <v>19669894394.038837</v>
      </c>
      <c r="BI1125" s="1710">
        <f t="shared" si="69"/>
        <v>17574743253.109749</v>
      </c>
      <c r="BJ1125" s="1711">
        <f t="shared" si="70"/>
        <v>19370622.70293327</v>
      </c>
      <c r="BK1125" s="1711">
        <f t="shared" si="71"/>
        <v>1.1192137552597454</v>
      </c>
      <c r="BL1125">
        <f>BJ1125</f>
        <v>19370622.70293327</v>
      </c>
      <c r="BO1125">
        <f>BL1125</f>
        <v>19370622.70293327</v>
      </c>
    </row>
    <row r="1126" spans="3:67" x14ac:dyDescent="0.25">
      <c r="C1126" s="246" t="s">
        <v>2476</v>
      </c>
      <c r="D1126" s="246">
        <v>1</v>
      </c>
      <c r="E1126" s="246">
        <v>2</v>
      </c>
      <c r="F1126" s="246">
        <v>3</v>
      </c>
      <c r="G1126" s="246">
        <v>4</v>
      </c>
      <c r="H1126" s="246">
        <v>5</v>
      </c>
      <c r="I1126" s="246">
        <v>10</v>
      </c>
      <c r="J1126" s="246">
        <v>13</v>
      </c>
      <c r="K1126" s="246">
        <v>14</v>
      </c>
      <c r="L1126" s="246">
        <v>15</v>
      </c>
      <c r="M1126" s="246"/>
      <c r="N1126" s="246"/>
      <c r="O1126" s="246"/>
      <c r="P1126" s="246"/>
      <c r="Q1126" s="246"/>
      <c r="R1126" s="246">
        <f>IFERROR(VLOOKUP(D1126,PROGRAMAS[],2,FALSE),0)</f>
        <v>97037803.679377079</v>
      </c>
      <c r="S1126" s="246">
        <f>IFERROR(VLOOKUP(E1126,PROGRAMAS[],2,FALSE),0)</f>
        <v>640501509.6821388</v>
      </c>
      <c r="T1126" s="246">
        <f>IFERROR(VLOOKUP(F1126,PROGRAMAS[],2,FALSE),0)</f>
        <v>3062327798.1525245</v>
      </c>
      <c r="U1126" s="246">
        <f>IFERROR(VLOOKUP(G1126,PROGRAMAS[],2,FALSE),0)</f>
        <v>67697118.033011258</v>
      </c>
      <c r="V1126" s="246">
        <f>IFERROR(VLOOKUP(H1126,PROGRAMAS[],2,FALSE),0)</f>
        <v>1440941976.2528784</v>
      </c>
      <c r="W1126" s="246">
        <f>IFERROR(VLOOKUP(I1126,PROGRAMAS[],2,FALSE),0)</f>
        <v>4635315027.8751087</v>
      </c>
      <c r="X1126" s="246">
        <f>IFERROR(VLOOKUP(J1126,PROGRAMAS[],2,FALSE),0)</f>
        <v>3776538594.4604583</v>
      </c>
      <c r="Y1126" s="246">
        <f>IFERROR(VLOOKUP(K1126,PROGRAMAS[],2,FALSE),0)</f>
        <v>54223862.645839565</v>
      </c>
      <c r="Z1126" s="246">
        <f>IFERROR(VLOOKUP(L1126,PROGRAMAS[],2,FALSE),0)</f>
        <v>122159672.96346797</v>
      </c>
      <c r="AA1126" s="246">
        <f>IFERROR(VLOOKUP(M1126,PROGRAMAS[],2,FALSE),0)</f>
        <v>0</v>
      </c>
      <c r="AB1126" s="246">
        <f>IFERROR(VLOOKUP(N1126,PROGRAMAS[],2,FALSE),0)</f>
        <v>0</v>
      </c>
      <c r="AC1126" s="246">
        <f>IFERROR(VLOOKUP(O1126,PROGRAMAS[],2,FALSE),0)</f>
        <v>0</v>
      </c>
      <c r="AD1126" s="246">
        <f>IFERROR(VLOOKUP(P1126,PROGRAMAS[],2,FALSE),0)</f>
        <v>0</v>
      </c>
      <c r="AE1126" s="246">
        <f>IFERROR(VLOOKUP(Q1126,PROGRAMAS[],2,FALSE),0)</f>
        <v>0</v>
      </c>
      <c r="AF1126" s="246">
        <f>IFERROR(VLOOKUP(D1126,PROGRAMAS[],3,FALSE),0)</f>
        <v>841888629.31080008</v>
      </c>
      <c r="AG1126" s="246">
        <f>IFERROR(VLOOKUP(E1126,PROGRAMAS[],3,FALSE),0)</f>
        <v>3848980803.1642323</v>
      </c>
      <c r="AH1126" s="246">
        <f>IFERROR(VLOOKUP(F1126,PROGRAMAS[],3,FALSE),0)</f>
        <v>3394901471.387517</v>
      </c>
      <c r="AI1126" s="246">
        <f>IFERROR(VLOOKUP(G1126,PROGRAMAS[],3,FALSE),0)</f>
        <v>125317226.95549992</v>
      </c>
      <c r="AJ1126" s="246">
        <f>IFERROR(VLOOKUP(H1126,PROGRAMAS[],3,FALSE),0)</f>
        <v>1233505101.0616004</v>
      </c>
      <c r="AK1126" s="246">
        <f>IFERROR(VLOOKUP(I1126,PROGRAMAS[],3,FALSE),0)</f>
        <v>4099471734.9978786</v>
      </c>
      <c r="AL1126" s="246">
        <f>IFERROR(VLOOKUP(J1126,PROGRAMAS[],3,FALSE),0)</f>
        <v>2392571243.5584412</v>
      </c>
      <c r="AM1126" s="246">
        <f>IFERROR(VLOOKUP(K1126,PROGRAMAS[],3,FALSE),0)</f>
        <v>31865326.38096505</v>
      </c>
      <c r="AN1126" s="246">
        <f>IFERROR(VLOOKUP(L1126,PROGRAMAS[],3,FALSE),0)</f>
        <v>118617452.52510804</v>
      </c>
      <c r="AO1126" s="246">
        <f>IFERROR(VLOOKUP(M1126,PROGRAMAS[],3,FALSE),0)</f>
        <v>0</v>
      </c>
      <c r="AP1126" s="246">
        <f>IFERROR(VLOOKUP(N1126,PROGRAMAS[],3,FALSE),0)</f>
        <v>0</v>
      </c>
      <c r="AQ1126" s="246">
        <f>IFERROR(VLOOKUP(O1126,PROGRAMAS[],3,FALSE),0)</f>
        <v>0</v>
      </c>
      <c r="AR1126" s="246">
        <f>IFERROR(VLOOKUP(P1126,PROGRAMAS[],3,FALSE),0)</f>
        <v>0</v>
      </c>
      <c r="AS1126" s="246">
        <f>IFERROR(VLOOKUP(Q1126,PROGRAMAS[],3,FALSE),0)</f>
        <v>0</v>
      </c>
      <c r="AT1126" s="246">
        <f>IFERROR(VLOOKUP(D1126,VOL_REC[],2,FALSE),0)</f>
        <v>0</v>
      </c>
      <c r="AU1126" s="246">
        <f>IFERROR(VLOOKUP(E1126,VOL_REC[],2,FALSE),0)</f>
        <v>0</v>
      </c>
      <c r="AV1126" s="246">
        <f>IFERROR(VLOOKUP(F1126,VOL_REC[],2,FALSE),0)</f>
        <v>11089674.200000001</v>
      </c>
      <c r="AW1126" s="246">
        <f>IFERROR(VLOOKUP(G1126,VOL_REC[],2,FALSE),0)</f>
        <v>90439.55</v>
      </c>
      <c r="AX1126" s="246">
        <f>IFERROR(VLOOKUP(H1126,VOL_REC[],2,FALSE),0)</f>
        <v>4325103.1812214684</v>
      </c>
      <c r="AY1126" s="246">
        <f>IFERROR(VLOOKUP(I1126,VOL_REC[],2,FALSE),0)</f>
        <v>1812240</v>
      </c>
      <c r="AZ1126" s="246">
        <f>IFERROR(VLOOKUP(J1126,VOL_REC[],2,FALSE),0)</f>
        <v>663244.80000000016</v>
      </c>
      <c r="BA1126" s="246">
        <f>IFERROR(VLOOKUP(K1126,VOL_REC[],2,FALSE),0)</f>
        <v>17074.045034105649</v>
      </c>
      <c r="BB1126" s="246">
        <f>IFERROR(VLOOKUP(L1126,VOL_REC[],2,FALSE),0)</f>
        <v>105072</v>
      </c>
      <c r="BC1126" s="246">
        <f>IFERROR(VLOOKUP(M1126,VOL_REC[],2,FALSE),0)</f>
        <v>0</v>
      </c>
      <c r="BD1126" s="246">
        <f>IFERROR(VLOOKUP(N1126,VOL_REC[],2,FALSE),0)</f>
        <v>0</v>
      </c>
      <c r="BE1126" s="246">
        <f>IFERROR(VLOOKUP(O1126,VOL_REC[],2,FALSE),0)</f>
        <v>0</v>
      </c>
      <c r="BF1126" s="246">
        <f>IFERROR(VLOOKUP(P1126,VOL_REC[],2,FALSE),0)</f>
        <v>0</v>
      </c>
      <c r="BG1126" s="246">
        <f>IFERROR(VLOOKUP(Q1126,VOL_REC[],2,FALSE),0)</f>
        <v>0</v>
      </c>
      <c r="BH1126" s="1710">
        <f t="shared" si="68"/>
        <v>13896743363.744806</v>
      </c>
      <c r="BI1126" s="1710">
        <f t="shared" si="69"/>
        <v>16087118989.342043</v>
      </c>
      <c r="BJ1126" s="1711">
        <f t="shared" si="70"/>
        <v>18102847.776255578</v>
      </c>
      <c r="BK1126" s="1711">
        <f t="shared" si="71"/>
        <v>0.86384289026217853</v>
      </c>
    </row>
    <row r="1127" spans="3:67" x14ac:dyDescent="0.25">
      <c r="C1127" s="246" t="s">
        <v>2477</v>
      </c>
      <c r="D1127" s="246">
        <v>1</v>
      </c>
      <c r="E1127" s="246">
        <v>2</v>
      </c>
      <c r="F1127" s="246">
        <v>3</v>
      </c>
      <c r="G1127" s="246">
        <v>4</v>
      </c>
      <c r="H1127" s="246">
        <v>5</v>
      </c>
      <c r="I1127" s="246">
        <v>10</v>
      </c>
      <c r="J1127" s="246">
        <v>13</v>
      </c>
      <c r="K1127" s="246">
        <v>14</v>
      </c>
      <c r="L1127" s="246">
        <v>16</v>
      </c>
      <c r="M1127" s="246"/>
      <c r="N1127" s="246"/>
      <c r="O1127" s="246"/>
      <c r="P1127" s="246"/>
      <c r="Q1127" s="246"/>
      <c r="R1127" s="246">
        <f>IFERROR(VLOOKUP(D1127,PROGRAMAS[],2,FALSE),0)</f>
        <v>97037803.679377079</v>
      </c>
      <c r="S1127" s="246">
        <f>IFERROR(VLOOKUP(E1127,PROGRAMAS[],2,FALSE),0)</f>
        <v>640501509.6821388</v>
      </c>
      <c r="T1127" s="246">
        <f>IFERROR(VLOOKUP(F1127,PROGRAMAS[],2,FALSE),0)</f>
        <v>3062327798.1525245</v>
      </c>
      <c r="U1127" s="246">
        <f>IFERROR(VLOOKUP(G1127,PROGRAMAS[],2,FALSE),0)</f>
        <v>67697118.033011258</v>
      </c>
      <c r="V1127" s="246">
        <f>IFERROR(VLOOKUP(H1127,PROGRAMAS[],2,FALSE),0)</f>
        <v>1440941976.2528784</v>
      </c>
      <c r="W1127" s="246">
        <f>IFERROR(VLOOKUP(I1127,PROGRAMAS[],2,FALSE),0)</f>
        <v>4635315027.8751087</v>
      </c>
      <c r="X1127" s="246">
        <f>IFERROR(VLOOKUP(J1127,PROGRAMAS[],2,FALSE),0)</f>
        <v>3776538594.4604583</v>
      </c>
      <c r="Y1127" s="246">
        <f>IFERROR(VLOOKUP(K1127,PROGRAMAS[],2,FALSE),0)</f>
        <v>54223862.645839565</v>
      </c>
      <c r="Z1127" s="246">
        <f>IFERROR(VLOOKUP(L1127,PROGRAMAS[],2,FALSE),0)</f>
        <v>7068496961.0436354</v>
      </c>
      <c r="AA1127" s="246">
        <f>IFERROR(VLOOKUP(M1127,PROGRAMAS[],2,FALSE),0)</f>
        <v>0</v>
      </c>
      <c r="AB1127" s="246">
        <f>IFERROR(VLOOKUP(N1127,PROGRAMAS[],2,FALSE),0)</f>
        <v>0</v>
      </c>
      <c r="AC1127" s="246">
        <f>IFERROR(VLOOKUP(O1127,PROGRAMAS[],2,FALSE),0)</f>
        <v>0</v>
      </c>
      <c r="AD1127" s="246">
        <f>IFERROR(VLOOKUP(P1127,PROGRAMAS[],2,FALSE),0)</f>
        <v>0</v>
      </c>
      <c r="AE1127" s="246">
        <f>IFERROR(VLOOKUP(Q1127,PROGRAMAS[],2,FALSE),0)</f>
        <v>0</v>
      </c>
      <c r="AF1127" s="246">
        <f>IFERROR(VLOOKUP(D1127,PROGRAMAS[],3,FALSE),0)</f>
        <v>841888629.31080008</v>
      </c>
      <c r="AG1127" s="246">
        <f>IFERROR(VLOOKUP(E1127,PROGRAMAS[],3,FALSE),0)</f>
        <v>3848980803.1642323</v>
      </c>
      <c r="AH1127" s="246">
        <f>IFERROR(VLOOKUP(F1127,PROGRAMAS[],3,FALSE),0)</f>
        <v>3394901471.387517</v>
      </c>
      <c r="AI1127" s="246">
        <f>IFERROR(VLOOKUP(G1127,PROGRAMAS[],3,FALSE),0)</f>
        <v>125317226.95549992</v>
      </c>
      <c r="AJ1127" s="246">
        <f>IFERROR(VLOOKUP(H1127,PROGRAMAS[],3,FALSE),0)</f>
        <v>1233505101.0616004</v>
      </c>
      <c r="AK1127" s="246">
        <f>IFERROR(VLOOKUP(I1127,PROGRAMAS[],3,FALSE),0)</f>
        <v>4099471734.9978786</v>
      </c>
      <c r="AL1127" s="246">
        <f>IFERROR(VLOOKUP(J1127,PROGRAMAS[],3,FALSE),0)</f>
        <v>2392571243.5584412</v>
      </c>
      <c r="AM1127" s="246">
        <f>IFERROR(VLOOKUP(K1127,PROGRAMAS[],3,FALSE),0)</f>
        <v>31865326.38096505</v>
      </c>
      <c r="AN1127" s="246">
        <f>IFERROR(VLOOKUP(L1127,PROGRAMAS[],3,FALSE),0)</f>
        <v>2406564599.0319901</v>
      </c>
      <c r="AO1127" s="246">
        <f>IFERROR(VLOOKUP(M1127,PROGRAMAS[],3,FALSE),0)</f>
        <v>0</v>
      </c>
      <c r="AP1127" s="246">
        <f>IFERROR(VLOOKUP(N1127,PROGRAMAS[],3,FALSE),0)</f>
        <v>0</v>
      </c>
      <c r="AQ1127" s="246">
        <f>IFERROR(VLOOKUP(O1127,PROGRAMAS[],3,FALSE),0)</f>
        <v>0</v>
      </c>
      <c r="AR1127" s="246">
        <f>IFERROR(VLOOKUP(P1127,PROGRAMAS[],3,FALSE),0)</f>
        <v>0</v>
      </c>
      <c r="AS1127" s="246">
        <f>IFERROR(VLOOKUP(Q1127,PROGRAMAS[],3,FALSE),0)</f>
        <v>0</v>
      </c>
      <c r="AT1127" s="246">
        <f>IFERROR(VLOOKUP(D1127,VOL_REC[],2,FALSE),0)</f>
        <v>0</v>
      </c>
      <c r="AU1127" s="246">
        <f>IFERROR(VLOOKUP(E1127,VOL_REC[],2,FALSE),0)</f>
        <v>0</v>
      </c>
      <c r="AV1127" s="246">
        <f>IFERROR(VLOOKUP(F1127,VOL_REC[],2,FALSE),0)</f>
        <v>11089674.200000001</v>
      </c>
      <c r="AW1127" s="246">
        <f>IFERROR(VLOOKUP(G1127,VOL_REC[],2,FALSE),0)</f>
        <v>90439.55</v>
      </c>
      <c r="AX1127" s="246">
        <f>IFERROR(VLOOKUP(H1127,VOL_REC[],2,FALSE),0)</f>
        <v>4325103.1812214684</v>
      </c>
      <c r="AY1127" s="246">
        <f>IFERROR(VLOOKUP(I1127,VOL_REC[],2,FALSE),0)</f>
        <v>1812240</v>
      </c>
      <c r="AZ1127" s="246">
        <f>IFERROR(VLOOKUP(J1127,VOL_REC[],2,FALSE),0)</f>
        <v>663244.80000000016</v>
      </c>
      <c r="BA1127" s="246">
        <f>IFERROR(VLOOKUP(K1127,VOL_REC[],2,FALSE),0)</f>
        <v>17074.045034105649</v>
      </c>
      <c r="BB1127" s="246">
        <f>IFERROR(VLOOKUP(L1127,VOL_REC[],2,FALSE),0)</f>
        <v>1072354.9981737854</v>
      </c>
      <c r="BC1127" s="246">
        <f>IFERROR(VLOOKUP(M1127,VOL_REC[],2,FALSE),0)</f>
        <v>0</v>
      </c>
      <c r="BD1127" s="246">
        <f>IFERROR(VLOOKUP(N1127,VOL_REC[],2,FALSE),0)</f>
        <v>0</v>
      </c>
      <c r="BE1127" s="246">
        <f>IFERROR(VLOOKUP(O1127,VOL_REC[],2,FALSE),0)</f>
        <v>0</v>
      </c>
      <c r="BF1127" s="246">
        <f>IFERROR(VLOOKUP(P1127,VOL_REC[],2,FALSE),0)</f>
        <v>0</v>
      </c>
      <c r="BG1127" s="246">
        <f>IFERROR(VLOOKUP(Q1127,VOL_REC[],2,FALSE),0)</f>
        <v>0</v>
      </c>
      <c r="BH1127" s="1710">
        <f t="shared" si="68"/>
        <v>20843080651.824974</v>
      </c>
      <c r="BI1127" s="1710">
        <f t="shared" si="69"/>
        <v>18375066135.848923</v>
      </c>
      <c r="BJ1127" s="1711">
        <f t="shared" si="70"/>
        <v>19070130.774429362</v>
      </c>
      <c r="BK1127" s="1711">
        <f t="shared" si="71"/>
        <v>1.1343132317309632</v>
      </c>
      <c r="BL1127">
        <f>BJ1127</f>
        <v>19070130.774429362</v>
      </c>
      <c r="BO1127">
        <f>BL1127</f>
        <v>19070130.774429362</v>
      </c>
    </row>
    <row r="1128" spans="3:67" x14ac:dyDescent="0.25">
      <c r="C1128" s="246" t="s">
        <v>2478</v>
      </c>
      <c r="D1128" s="246">
        <v>1</v>
      </c>
      <c r="E1128" s="246">
        <v>2</v>
      </c>
      <c r="F1128" s="246">
        <v>3</v>
      </c>
      <c r="G1128" s="246">
        <v>4</v>
      </c>
      <c r="H1128" s="246">
        <v>5</v>
      </c>
      <c r="I1128" s="246">
        <v>10</v>
      </c>
      <c r="J1128" s="246">
        <v>13</v>
      </c>
      <c r="K1128" s="246">
        <v>14</v>
      </c>
      <c r="L1128" s="246">
        <v>17</v>
      </c>
      <c r="M1128" s="246"/>
      <c r="N1128" s="246"/>
      <c r="O1128" s="246"/>
      <c r="P1128" s="246"/>
      <c r="Q1128" s="246"/>
      <c r="R1128" s="246">
        <f>IFERROR(VLOOKUP(D1128,PROGRAMAS[],2,FALSE),0)</f>
        <v>97037803.679377079</v>
      </c>
      <c r="S1128" s="246">
        <f>IFERROR(VLOOKUP(E1128,PROGRAMAS[],2,FALSE),0)</f>
        <v>640501509.6821388</v>
      </c>
      <c r="T1128" s="246">
        <f>IFERROR(VLOOKUP(F1128,PROGRAMAS[],2,FALSE),0)</f>
        <v>3062327798.1525245</v>
      </c>
      <c r="U1128" s="246">
        <f>IFERROR(VLOOKUP(G1128,PROGRAMAS[],2,FALSE),0)</f>
        <v>67697118.033011258</v>
      </c>
      <c r="V1128" s="246">
        <f>IFERROR(VLOOKUP(H1128,PROGRAMAS[],2,FALSE),0)</f>
        <v>1440941976.2528784</v>
      </c>
      <c r="W1128" s="246">
        <f>IFERROR(VLOOKUP(I1128,PROGRAMAS[],2,FALSE),0)</f>
        <v>4635315027.8751087</v>
      </c>
      <c r="X1128" s="246">
        <f>IFERROR(VLOOKUP(J1128,PROGRAMAS[],2,FALSE),0)</f>
        <v>3776538594.4604583</v>
      </c>
      <c r="Y1128" s="246">
        <f>IFERROR(VLOOKUP(K1128,PROGRAMAS[],2,FALSE),0)</f>
        <v>54223862.645839565</v>
      </c>
      <c r="Z1128" s="246">
        <f>IFERROR(VLOOKUP(L1128,PROGRAMAS[],2,FALSE),0)</f>
        <v>1892779498.5211046</v>
      </c>
      <c r="AA1128" s="246">
        <f>IFERROR(VLOOKUP(M1128,PROGRAMAS[],2,FALSE),0)</f>
        <v>0</v>
      </c>
      <c r="AB1128" s="246">
        <f>IFERROR(VLOOKUP(N1128,PROGRAMAS[],2,FALSE),0)</f>
        <v>0</v>
      </c>
      <c r="AC1128" s="246">
        <f>IFERROR(VLOOKUP(O1128,PROGRAMAS[],2,FALSE),0)</f>
        <v>0</v>
      </c>
      <c r="AD1128" s="246">
        <f>IFERROR(VLOOKUP(P1128,PROGRAMAS[],2,FALSE),0)</f>
        <v>0</v>
      </c>
      <c r="AE1128" s="246">
        <f>IFERROR(VLOOKUP(Q1128,PROGRAMAS[],2,FALSE),0)</f>
        <v>0</v>
      </c>
      <c r="AF1128" s="246">
        <f>IFERROR(VLOOKUP(D1128,PROGRAMAS[],3,FALSE),0)</f>
        <v>841888629.31080008</v>
      </c>
      <c r="AG1128" s="246">
        <f>IFERROR(VLOOKUP(E1128,PROGRAMAS[],3,FALSE),0)</f>
        <v>3848980803.1642323</v>
      </c>
      <c r="AH1128" s="246">
        <f>IFERROR(VLOOKUP(F1128,PROGRAMAS[],3,FALSE),0)</f>
        <v>3394901471.387517</v>
      </c>
      <c r="AI1128" s="246">
        <f>IFERROR(VLOOKUP(G1128,PROGRAMAS[],3,FALSE),0)</f>
        <v>125317226.95549992</v>
      </c>
      <c r="AJ1128" s="246">
        <f>IFERROR(VLOOKUP(H1128,PROGRAMAS[],3,FALSE),0)</f>
        <v>1233505101.0616004</v>
      </c>
      <c r="AK1128" s="246">
        <f>IFERROR(VLOOKUP(I1128,PROGRAMAS[],3,FALSE),0)</f>
        <v>4099471734.9978786</v>
      </c>
      <c r="AL1128" s="246">
        <f>IFERROR(VLOOKUP(J1128,PROGRAMAS[],3,FALSE),0)</f>
        <v>2392571243.5584412</v>
      </c>
      <c r="AM1128" s="246">
        <f>IFERROR(VLOOKUP(K1128,PROGRAMAS[],3,FALSE),0)</f>
        <v>31865326.38096505</v>
      </c>
      <c r="AN1128" s="246">
        <f>IFERROR(VLOOKUP(L1128,PROGRAMAS[],3,FALSE),0)</f>
        <v>948595847.09039903</v>
      </c>
      <c r="AO1128" s="246">
        <f>IFERROR(VLOOKUP(M1128,PROGRAMAS[],3,FALSE),0)</f>
        <v>0</v>
      </c>
      <c r="AP1128" s="246">
        <f>IFERROR(VLOOKUP(N1128,PROGRAMAS[],3,FALSE),0)</f>
        <v>0</v>
      </c>
      <c r="AQ1128" s="246">
        <f>IFERROR(VLOOKUP(O1128,PROGRAMAS[],3,FALSE),0)</f>
        <v>0</v>
      </c>
      <c r="AR1128" s="246">
        <f>IFERROR(VLOOKUP(P1128,PROGRAMAS[],3,FALSE),0)</f>
        <v>0</v>
      </c>
      <c r="AS1128" s="246">
        <f>IFERROR(VLOOKUP(Q1128,PROGRAMAS[],3,FALSE),0)</f>
        <v>0</v>
      </c>
      <c r="AT1128" s="246">
        <f>IFERROR(VLOOKUP(D1128,VOL_REC[],2,FALSE),0)</f>
        <v>0</v>
      </c>
      <c r="AU1128" s="246">
        <f>IFERROR(VLOOKUP(E1128,VOL_REC[],2,FALSE),0)</f>
        <v>0</v>
      </c>
      <c r="AV1128" s="246">
        <f>IFERROR(VLOOKUP(F1128,VOL_REC[],2,FALSE),0)</f>
        <v>11089674.200000001</v>
      </c>
      <c r="AW1128" s="246">
        <f>IFERROR(VLOOKUP(G1128,VOL_REC[],2,FALSE),0)</f>
        <v>90439.55</v>
      </c>
      <c r="AX1128" s="246">
        <f>IFERROR(VLOOKUP(H1128,VOL_REC[],2,FALSE),0)</f>
        <v>4325103.1812214684</v>
      </c>
      <c r="AY1128" s="246">
        <f>IFERROR(VLOOKUP(I1128,VOL_REC[],2,FALSE),0)</f>
        <v>1812240</v>
      </c>
      <c r="AZ1128" s="246">
        <f>IFERROR(VLOOKUP(J1128,VOL_REC[],2,FALSE),0)</f>
        <v>663244.80000000016</v>
      </c>
      <c r="BA1128" s="246">
        <f>IFERROR(VLOOKUP(K1128,VOL_REC[],2,FALSE),0)</f>
        <v>17074.045034105649</v>
      </c>
      <c r="BB1128" s="246">
        <f>IFERROR(VLOOKUP(L1128,VOL_REC[],2,FALSE),0)</f>
        <v>740113.98115702497</v>
      </c>
      <c r="BC1128" s="246">
        <f>IFERROR(VLOOKUP(M1128,VOL_REC[],2,FALSE),0)</f>
        <v>0</v>
      </c>
      <c r="BD1128" s="246">
        <f>IFERROR(VLOOKUP(N1128,VOL_REC[],2,FALSE),0)</f>
        <v>0</v>
      </c>
      <c r="BE1128" s="246">
        <f>IFERROR(VLOOKUP(O1128,VOL_REC[],2,FALSE),0)</f>
        <v>0</v>
      </c>
      <c r="BF1128" s="246">
        <f>IFERROR(VLOOKUP(P1128,VOL_REC[],2,FALSE),0)</f>
        <v>0</v>
      </c>
      <c r="BG1128" s="246">
        <f>IFERROR(VLOOKUP(Q1128,VOL_REC[],2,FALSE),0)</f>
        <v>0</v>
      </c>
      <c r="BH1128" s="1710">
        <f t="shared" si="68"/>
        <v>15667363189.302443</v>
      </c>
      <c r="BI1128" s="1710">
        <f t="shared" si="69"/>
        <v>16917097383.907333</v>
      </c>
      <c r="BJ1128" s="1711">
        <f t="shared" si="70"/>
        <v>18737889.757412601</v>
      </c>
      <c r="BK1128" s="1711">
        <f t="shared" si="71"/>
        <v>0.9261259679338536</v>
      </c>
    </row>
    <row r="1129" spans="3:67" x14ac:dyDescent="0.25">
      <c r="C1129" s="246" t="s">
        <v>2479</v>
      </c>
      <c r="D1129" s="246">
        <v>1</v>
      </c>
      <c r="E1129" s="246">
        <v>2</v>
      </c>
      <c r="F1129" s="246">
        <v>3</v>
      </c>
      <c r="G1129" s="246">
        <v>4</v>
      </c>
      <c r="H1129" s="246">
        <v>5</v>
      </c>
      <c r="I1129" s="246">
        <v>10</v>
      </c>
      <c r="J1129" s="246">
        <v>13</v>
      </c>
      <c r="K1129" s="246">
        <v>15</v>
      </c>
      <c r="L1129" s="246">
        <v>16</v>
      </c>
      <c r="M1129" s="246"/>
      <c r="N1129" s="246"/>
      <c r="O1129" s="246"/>
      <c r="P1129" s="246"/>
      <c r="Q1129" s="246"/>
      <c r="R1129" s="246">
        <f>IFERROR(VLOOKUP(D1129,PROGRAMAS[],2,FALSE),0)</f>
        <v>97037803.679377079</v>
      </c>
      <c r="S1129" s="246">
        <f>IFERROR(VLOOKUP(E1129,PROGRAMAS[],2,FALSE),0)</f>
        <v>640501509.6821388</v>
      </c>
      <c r="T1129" s="246">
        <f>IFERROR(VLOOKUP(F1129,PROGRAMAS[],2,FALSE),0)</f>
        <v>3062327798.1525245</v>
      </c>
      <c r="U1129" s="246">
        <f>IFERROR(VLOOKUP(G1129,PROGRAMAS[],2,FALSE),0)</f>
        <v>67697118.033011258</v>
      </c>
      <c r="V1129" s="246">
        <f>IFERROR(VLOOKUP(H1129,PROGRAMAS[],2,FALSE),0)</f>
        <v>1440941976.2528784</v>
      </c>
      <c r="W1129" s="246">
        <f>IFERROR(VLOOKUP(I1129,PROGRAMAS[],2,FALSE),0)</f>
        <v>4635315027.8751087</v>
      </c>
      <c r="X1129" s="246">
        <f>IFERROR(VLOOKUP(J1129,PROGRAMAS[],2,FALSE),0)</f>
        <v>3776538594.4604583</v>
      </c>
      <c r="Y1129" s="246">
        <f>IFERROR(VLOOKUP(K1129,PROGRAMAS[],2,FALSE),0)</f>
        <v>122159672.96346797</v>
      </c>
      <c r="Z1129" s="246">
        <f>IFERROR(VLOOKUP(L1129,PROGRAMAS[],2,FALSE),0)</f>
        <v>7068496961.0436354</v>
      </c>
      <c r="AA1129" s="246">
        <f>IFERROR(VLOOKUP(M1129,PROGRAMAS[],2,FALSE),0)</f>
        <v>0</v>
      </c>
      <c r="AB1129" s="246">
        <f>IFERROR(VLOOKUP(N1129,PROGRAMAS[],2,FALSE),0)</f>
        <v>0</v>
      </c>
      <c r="AC1129" s="246">
        <f>IFERROR(VLOOKUP(O1129,PROGRAMAS[],2,FALSE),0)</f>
        <v>0</v>
      </c>
      <c r="AD1129" s="246">
        <f>IFERROR(VLOOKUP(P1129,PROGRAMAS[],2,FALSE),0)</f>
        <v>0</v>
      </c>
      <c r="AE1129" s="246">
        <f>IFERROR(VLOOKUP(Q1129,PROGRAMAS[],2,FALSE),0)</f>
        <v>0</v>
      </c>
      <c r="AF1129" s="246">
        <f>IFERROR(VLOOKUP(D1129,PROGRAMAS[],3,FALSE),0)</f>
        <v>841888629.31080008</v>
      </c>
      <c r="AG1129" s="246">
        <f>IFERROR(VLOOKUP(E1129,PROGRAMAS[],3,FALSE),0)</f>
        <v>3848980803.1642323</v>
      </c>
      <c r="AH1129" s="246">
        <f>IFERROR(VLOOKUP(F1129,PROGRAMAS[],3,FALSE),0)</f>
        <v>3394901471.387517</v>
      </c>
      <c r="AI1129" s="246">
        <f>IFERROR(VLOOKUP(G1129,PROGRAMAS[],3,FALSE),0)</f>
        <v>125317226.95549992</v>
      </c>
      <c r="AJ1129" s="246">
        <f>IFERROR(VLOOKUP(H1129,PROGRAMAS[],3,FALSE),0)</f>
        <v>1233505101.0616004</v>
      </c>
      <c r="AK1129" s="246">
        <f>IFERROR(VLOOKUP(I1129,PROGRAMAS[],3,FALSE),0)</f>
        <v>4099471734.9978786</v>
      </c>
      <c r="AL1129" s="246">
        <f>IFERROR(VLOOKUP(J1129,PROGRAMAS[],3,FALSE),0)</f>
        <v>2392571243.5584412</v>
      </c>
      <c r="AM1129" s="246">
        <f>IFERROR(VLOOKUP(K1129,PROGRAMAS[],3,FALSE),0)</f>
        <v>118617452.52510804</v>
      </c>
      <c r="AN1129" s="246">
        <f>IFERROR(VLOOKUP(L1129,PROGRAMAS[],3,FALSE),0)</f>
        <v>2406564599.0319901</v>
      </c>
      <c r="AO1129" s="246">
        <f>IFERROR(VLOOKUP(M1129,PROGRAMAS[],3,FALSE),0)</f>
        <v>0</v>
      </c>
      <c r="AP1129" s="246">
        <f>IFERROR(VLOOKUP(N1129,PROGRAMAS[],3,FALSE),0)</f>
        <v>0</v>
      </c>
      <c r="AQ1129" s="246">
        <f>IFERROR(VLOOKUP(O1129,PROGRAMAS[],3,FALSE),0)</f>
        <v>0</v>
      </c>
      <c r="AR1129" s="246">
        <f>IFERROR(VLOOKUP(P1129,PROGRAMAS[],3,FALSE),0)</f>
        <v>0</v>
      </c>
      <c r="AS1129" s="246">
        <f>IFERROR(VLOOKUP(Q1129,PROGRAMAS[],3,FALSE),0)</f>
        <v>0</v>
      </c>
      <c r="AT1129" s="246">
        <f>IFERROR(VLOOKUP(D1129,VOL_REC[],2,FALSE),0)</f>
        <v>0</v>
      </c>
      <c r="AU1129" s="246">
        <f>IFERROR(VLOOKUP(E1129,VOL_REC[],2,FALSE),0)</f>
        <v>0</v>
      </c>
      <c r="AV1129" s="246">
        <f>IFERROR(VLOOKUP(F1129,VOL_REC[],2,FALSE),0)</f>
        <v>11089674.200000001</v>
      </c>
      <c r="AW1129" s="246">
        <f>IFERROR(VLOOKUP(G1129,VOL_REC[],2,FALSE),0)</f>
        <v>90439.55</v>
      </c>
      <c r="AX1129" s="246">
        <f>IFERROR(VLOOKUP(H1129,VOL_REC[],2,FALSE),0)</f>
        <v>4325103.1812214684</v>
      </c>
      <c r="AY1129" s="246">
        <f>IFERROR(VLOOKUP(I1129,VOL_REC[],2,FALSE),0)</f>
        <v>1812240</v>
      </c>
      <c r="AZ1129" s="246">
        <f>IFERROR(VLOOKUP(J1129,VOL_REC[],2,FALSE),0)</f>
        <v>663244.80000000016</v>
      </c>
      <c r="BA1129" s="246">
        <f>IFERROR(VLOOKUP(K1129,VOL_REC[],2,FALSE),0)</f>
        <v>105072</v>
      </c>
      <c r="BB1129" s="246">
        <f>IFERROR(VLOOKUP(L1129,VOL_REC[],2,FALSE),0)</f>
        <v>1072354.9981737854</v>
      </c>
      <c r="BC1129" s="246">
        <f>IFERROR(VLOOKUP(M1129,VOL_REC[],2,FALSE),0)</f>
        <v>0</v>
      </c>
      <c r="BD1129" s="246">
        <f>IFERROR(VLOOKUP(N1129,VOL_REC[],2,FALSE),0)</f>
        <v>0</v>
      </c>
      <c r="BE1129" s="246">
        <f>IFERROR(VLOOKUP(O1129,VOL_REC[],2,FALSE),0)</f>
        <v>0</v>
      </c>
      <c r="BF1129" s="246">
        <f>IFERROR(VLOOKUP(P1129,VOL_REC[],2,FALSE),0)</f>
        <v>0</v>
      </c>
      <c r="BG1129" s="246">
        <f>IFERROR(VLOOKUP(Q1129,VOL_REC[],2,FALSE),0)</f>
        <v>0</v>
      </c>
      <c r="BH1129" s="1710">
        <f t="shared" si="68"/>
        <v>20911016462.142601</v>
      </c>
      <c r="BI1129" s="1710">
        <f t="shared" si="69"/>
        <v>18461818261.993069</v>
      </c>
      <c r="BJ1129" s="1711">
        <f t="shared" si="70"/>
        <v>19158128.729395255</v>
      </c>
      <c r="BK1129" s="1711">
        <f t="shared" si="71"/>
        <v>1.1326628918881538</v>
      </c>
      <c r="BL1129">
        <f>BJ1129</f>
        <v>19158128.729395255</v>
      </c>
      <c r="BO1129">
        <f>BL1129</f>
        <v>19158128.729395255</v>
      </c>
    </row>
    <row r="1130" spans="3:67" x14ac:dyDescent="0.25">
      <c r="C1130" s="246" t="s">
        <v>2480</v>
      </c>
      <c r="D1130" s="246">
        <v>1</v>
      </c>
      <c r="E1130" s="246">
        <v>2</v>
      </c>
      <c r="F1130" s="246">
        <v>3</v>
      </c>
      <c r="G1130" s="246">
        <v>4</v>
      </c>
      <c r="H1130" s="246">
        <v>5</v>
      </c>
      <c r="I1130" s="246">
        <v>10</v>
      </c>
      <c r="J1130" s="246">
        <v>13</v>
      </c>
      <c r="K1130" s="246">
        <v>15</v>
      </c>
      <c r="L1130" s="246">
        <v>17</v>
      </c>
      <c r="M1130" s="246"/>
      <c r="N1130" s="246"/>
      <c r="O1130" s="246"/>
      <c r="P1130" s="246"/>
      <c r="Q1130" s="246"/>
      <c r="R1130" s="246">
        <f>IFERROR(VLOOKUP(D1130,PROGRAMAS[],2,FALSE),0)</f>
        <v>97037803.679377079</v>
      </c>
      <c r="S1130" s="246">
        <f>IFERROR(VLOOKUP(E1130,PROGRAMAS[],2,FALSE),0)</f>
        <v>640501509.6821388</v>
      </c>
      <c r="T1130" s="246">
        <f>IFERROR(VLOOKUP(F1130,PROGRAMAS[],2,FALSE),0)</f>
        <v>3062327798.1525245</v>
      </c>
      <c r="U1130" s="246">
        <f>IFERROR(VLOOKUP(G1130,PROGRAMAS[],2,FALSE),0)</f>
        <v>67697118.033011258</v>
      </c>
      <c r="V1130" s="246">
        <f>IFERROR(VLOOKUP(H1130,PROGRAMAS[],2,FALSE),0)</f>
        <v>1440941976.2528784</v>
      </c>
      <c r="W1130" s="246">
        <f>IFERROR(VLOOKUP(I1130,PROGRAMAS[],2,FALSE),0)</f>
        <v>4635315027.8751087</v>
      </c>
      <c r="X1130" s="246">
        <f>IFERROR(VLOOKUP(J1130,PROGRAMAS[],2,FALSE),0)</f>
        <v>3776538594.4604583</v>
      </c>
      <c r="Y1130" s="246">
        <f>IFERROR(VLOOKUP(K1130,PROGRAMAS[],2,FALSE),0)</f>
        <v>122159672.96346797</v>
      </c>
      <c r="Z1130" s="246">
        <f>IFERROR(VLOOKUP(L1130,PROGRAMAS[],2,FALSE),0)</f>
        <v>1892779498.5211046</v>
      </c>
      <c r="AA1130" s="246">
        <f>IFERROR(VLOOKUP(M1130,PROGRAMAS[],2,FALSE),0)</f>
        <v>0</v>
      </c>
      <c r="AB1130" s="246">
        <f>IFERROR(VLOOKUP(N1130,PROGRAMAS[],2,FALSE),0)</f>
        <v>0</v>
      </c>
      <c r="AC1130" s="246">
        <f>IFERROR(VLOOKUP(O1130,PROGRAMAS[],2,FALSE),0)</f>
        <v>0</v>
      </c>
      <c r="AD1130" s="246">
        <f>IFERROR(VLOOKUP(P1130,PROGRAMAS[],2,FALSE),0)</f>
        <v>0</v>
      </c>
      <c r="AE1130" s="246">
        <f>IFERROR(VLOOKUP(Q1130,PROGRAMAS[],2,FALSE),0)</f>
        <v>0</v>
      </c>
      <c r="AF1130" s="246">
        <f>IFERROR(VLOOKUP(D1130,PROGRAMAS[],3,FALSE),0)</f>
        <v>841888629.31080008</v>
      </c>
      <c r="AG1130" s="246">
        <f>IFERROR(VLOOKUP(E1130,PROGRAMAS[],3,FALSE),0)</f>
        <v>3848980803.1642323</v>
      </c>
      <c r="AH1130" s="246">
        <f>IFERROR(VLOOKUP(F1130,PROGRAMAS[],3,FALSE),0)</f>
        <v>3394901471.387517</v>
      </c>
      <c r="AI1130" s="246">
        <f>IFERROR(VLOOKUP(G1130,PROGRAMAS[],3,FALSE),0)</f>
        <v>125317226.95549992</v>
      </c>
      <c r="AJ1130" s="246">
        <f>IFERROR(VLOOKUP(H1130,PROGRAMAS[],3,FALSE),0)</f>
        <v>1233505101.0616004</v>
      </c>
      <c r="AK1130" s="246">
        <f>IFERROR(VLOOKUP(I1130,PROGRAMAS[],3,FALSE),0)</f>
        <v>4099471734.9978786</v>
      </c>
      <c r="AL1130" s="246">
        <f>IFERROR(VLOOKUP(J1130,PROGRAMAS[],3,FALSE),0)</f>
        <v>2392571243.5584412</v>
      </c>
      <c r="AM1130" s="246">
        <f>IFERROR(VLOOKUP(K1130,PROGRAMAS[],3,FALSE),0)</f>
        <v>118617452.52510804</v>
      </c>
      <c r="AN1130" s="246">
        <f>IFERROR(VLOOKUP(L1130,PROGRAMAS[],3,FALSE),0)</f>
        <v>948595847.09039903</v>
      </c>
      <c r="AO1130" s="246">
        <f>IFERROR(VLOOKUP(M1130,PROGRAMAS[],3,FALSE),0)</f>
        <v>0</v>
      </c>
      <c r="AP1130" s="246">
        <f>IFERROR(VLOOKUP(N1130,PROGRAMAS[],3,FALSE),0)</f>
        <v>0</v>
      </c>
      <c r="AQ1130" s="246">
        <f>IFERROR(VLOOKUP(O1130,PROGRAMAS[],3,FALSE),0)</f>
        <v>0</v>
      </c>
      <c r="AR1130" s="246">
        <f>IFERROR(VLOOKUP(P1130,PROGRAMAS[],3,FALSE),0)</f>
        <v>0</v>
      </c>
      <c r="AS1130" s="246">
        <f>IFERROR(VLOOKUP(Q1130,PROGRAMAS[],3,FALSE),0)</f>
        <v>0</v>
      </c>
      <c r="AT1130" s="246">
        <f>IFERROR(VLOOKUP(D1130,VOL_REC[],2,FALSE),0)</f>
        <v>0</v>
      </c>
      <c r="AU1130" s="246">
        <f>IFERROR(VLOOKUP(E1130,VOL_REC[],2,FALSE),0)</f>
        <v>0</v>
      </c>
      <c r="AV1130" s="246">
        <f>IFERROR(VLOOKUP(F1130,VOL_REC[],2,FALSE),0)</f>
        <v>11089674.200000001</v>
      </c>
      <c r="AW1130" s="246">
        <f>IFERROR(VLOOKUP(G1130,VOL_REC[],2,FALSE),0)</f>
        <v>90439.55</v>
      </c>
      <c r="AX1130" s="246">
        <f>IFERROR(VLOOKUP(H1130,VOL_REC[],2,FALSE),0)</f>
        <v>4325103.1812214684</v>
      </c>
      <c r="AY1130" s="246">
        <f>IFERROR(VLOOKUP(I1130,VOL_REC[],2,FALSE),0)</f>
        <v>1812240</v>
      </c>
      <c r="AZ1130" s="246">
        <f>IFERROR(VLOOKUP(J1130,VOL_REC[],2,FALSE),0)</f>
        <v>663244.80000000016</v>
      </c>
      <c r="BA1130" s="246">
        <f>IFERROR(VLOOKUP(K1130,VOL_REC[],2,FALSE),0)</f>
        <v>105072</v>
      </c>
      <c r="BB1130" s="246">
        <f>IFERROR(VLOOKUP(L1130,VOL_REC[],2,FALSE),0)</f>
        <v>740113.98115702497</v>
      </c>
      <c r="BC1130" s="246">
        <f>IFERROR(VLOOKUP(M1130,VOL_REC[],2,FALSE),0)</f>
        <v>0</v>
      </c>
      <c r="BD1130" s="246">
        <f>IFERROR(VLOOKUP(N1130,VOL_REC[],2,FALSE),0)</f>
        <v>0</v>
      </c>
      <c r="BE1130" s="246">
        <f>IFERROR(VLOOKUP(O1130,VOL_REC[],2,FALSE),0)</f>
        <v>0</v>
      </c>
      <c r="BF1130" s="246">
        <f>IFERROR(VLOOKUP(P1130,VOL_REC[],2,FALSE),0)</f>
        <v>0</v>
      </c>
      <c r="BG1130" s="246">
        <f>IFERROR(VLOOKUP(Q1130,VOL_REC[],2,FALSE),0)</f>
        <v>0</v>
      </c>
      <c r="BH1130" s="1710">
        <f t="shared" si="68"/>
        <v>15735298999.620071</v>
      </c>
      <c r="BI1130" s="1710">
        <f t="shared" si="69"/>
        <v>17003849510.051477</v>
      </c>
      <c r="BJ1130" s="1711">
        <f t="shared" si="70"/>
        <v>18825887.712378494</v>
      </c>
      <c r="BK1130" s="1711">
        <f t="shared" si="71"/>
        <v>0.92539627513866618</v>
      </c>
    </row>
    <row r="1131" spans="3:67" x14ac:dyDescent="0.25">
      <c r="C1131" s="246" t="s">
        <v>2481</v>
      </c>
      <c r="D1131" s="246">
        <v>1</v>
      </c>
      <c r="E1131" s="246">
        <v>2</v>
      </c>
      <c r="F1131" s="246">
        <v>3</v>
      </c>
      <c r="G1131" s="246">
        <v>4</v>
      </c>
      <c r="H1131" s="246">
        <v>5</v>
      </c>
      <c r="I1131" s="246">
        <v>10</v>
      </c>
      <c r="J1131" s="246">
        <v>13</v>
      </c>
      <c r="K1131" s="246">
        <v>16</v>
      </c>
      <c r="L1131" s="246">
        <v>17</v>
      </c>
      <c r="M1131" s="246"/>
      <c r="N1131" s="246"/>
      <c r="O1131" s="246"/>
      <c r="P1131" s="246"/>
      <c r="Q1131" s="246"/>
      <c r="R1131" s="246">
        <f>IFERROR(VLOOKUP(D1131,PROGRAMAS[],2,FALSE),0)</f>
        <v>97037803.679377079</v>
      </c>
      <c r="S1131" s="246">
        <f>IFERROR(VLOOKUP(E1131,PROGRAMAS[],2,FALSE),0)</f>
        <v>640501509.6821388</v>
      </c>
      <c r="T1131" s="246">
        <f>IFERROR(VLOOKUP(F1131,PROGRAMAS[],2,FALSE),0)</f>
        <v>3062327798.1525245</v>
      </c>
      <c r="U1131" s="246">
        <f>IFERROR(VLOOKUP(G1131,PROGRAMAS[],2,FALSE),0)</f>
        <v>67697118.033011258</v>
      </c>
      <c r="V1131" s="246">
        <f>IFERROR(VLOOKUP(H1131,PROGRAMAS[],2,FALSE),0)</f>
        <v>1440941976.2528784</v>
      </c>
      <c r="W1131" s="246">
        <f>IFERROR(VLOOKUP(I1131,PROGRAMAS[],2,FALSE),0)</f>
        <v>4635315027.8751087</v>
      </c>
      <c r="X1131" s="246">
        <f>IFERROR(VLOOKUP(J1131,PROGRAMAS[],2,FALSE),0)</f>
        <v>3776538594.4604583</v>
      </c>
      <c r="Y1131" s="246">
        <f>IFERROR(VLOOKUP(K1131,PROGRAMAS[],2,FALSE),0)</f>
        <v>7068496961.0436354</v>
      </c>
      <c r="Z1131" s="246">
        <f>IFERROR(VLOOKUP(L1131,PROGRAMAS[],2,FALSE),0)</f>
        <v>1892779498.5211046</v>
      </c>
      <c r="AA1131" s="246">
        <f>IFERROR(VLOOKUP(M1131,PROGRAMAS[],2,FALSE),0)</f>
        <v>0</v>
      </c>
      <c r="AB1131" s="246">
        <f>IFERROR(VLOOKUP(N1131,PROGRAMAS[],2,FALSE),0)</f>
        <v>0</v>
      </c>
      <c r="AC1131" s="246">
        <f>IFERROR(VLOOKUP(O1131,PROGRAMAS[],2,FALSE),0)</f>
        <v>0</v>
      </c>
      <c r="AD1131" s="246">
        <f>IFERROR(VLOOKUP(P1131,PROGRAMAS[],2,FALSE),0)</f>
        <v>0</v>
      </c>
      <c r="AE1131" s="246">
        <f>IFERROR(VLOOKUP(Q1131,PROGRAMAS[],2,FALSE),0)</f>
        <v>0</v>
      </c>
      <c r="AF1131" s="246">
        <f>IFERROR(VLOOKUP(D1131,PROGRAMAS[],3,FALSE),0)</f>
        <v>841888629.31080008</v>
      </c>
      <c r="AG1131" s="246">
        <f>IFERROR(VLOOKUP(E1131,PROGRAMAS[],3,FALSE),0)</f>
        <v>3848980803.1642323</v>
      </c>
      <c r="AH1131" s="246">
        <f>IFERROR(VLOOKUP(F1131,PROGRAMAS[],3,FALSE),0)</f>
        <v>3394901471.387517</v>
      </c>
      <c r="AI1131" s="246">
        <f>IFERROR(VLOOKUP(G1131,PROGRAMAS[],3,FALSE),0)</f>
        <v>125317226.95549992</v>
      </c>
      <c r="AJ1131" s="246">
        <f>IFERROR(VLOOKUP(H1131,PROGRAMAS[],3,FALSE),0)</f>
        <v>1233505101.0616004</v>
      </c>
      <c r="AK1131" s="246">
        <f>IFERROR(VLOOKUP(I1131,PROGRAMAS[],3,FALSE),0)</f>
        <v>4099471734.9978786</v>
      </c>
      <c r="AL1131" s="246">
        <f>IFERROR(VLOOKUP(J1131,PROGRAMAS[],3,FALSE),0)</f>
        <v>2392571243.5584412</v>
      </c>
      <c r="AM1131" s="246">
        <f>IFERROR(VLOOKUP(K1131,PROGRAMAS[],3,FALSE),0)</f>
        <v>2406564599.0319901</v>
      </c>
      <c r="AN1131" s="246">
        <f>IFERROR(VLOOKUP(L1131,PROGRAMAS[],3,FALSE),0)</f>
        <v>948595847.09039903</v>
      </c>
      <c r="AO1131" s="246">
        <f>IFERROR(VLOOKUP(M1131,PROGRAMAS[],3,FALSE),0)</f>
        <v>0</v>
      </c>
      <c r="AP1131" s="246">
        <f>IFERROR(VLOOKUP(N1131,PROGRAMAS[],3,FALSE),0)</f>
        <v>0</v>
      </c>
      <c r="AQ1131" s="246">
        <f>IFERROR(VLOOKUP(O1131,PROGRAMAS[],3,FALSE),0)</f>
        <v>0</v>
      </c>
      <c r="AR1131" s="246">
        <f>IFERROR(VLOOKUP(P1131,PROGRAMAS[],3,FALSE),0)</f>
        <v>0</v>
      </c>
      <c r="AS1131" s="246">
        <f>IFERROR(VLOOKUP(Q1131,PROGRAMAS[],3,FALSE),0)</f>
        <v>0</v>
      </c>
      <c r="AT1131" s="246">
        <f>IFERROR(VLOOKUP(D1131,VOL_REC[],2,FALSE),0)</f>
        <v>0</v>
      </c>
      <c r="AU1131" s="246">
        <f>IFERROR(VLOOKUP(E1131,VOL_REC[],2,FALSE),0)</f>
        <v>0</v>
      </c>
      <c r="AV1131" s="246">
        <f>IFERROR(VLOOKUP(F1131,VOL_REC[],2,FALSE),0)</f>
        <v>11089674.200000001</v>
      </c>
      <c r="AW1131" s="246">
        <f>IFERROR(VLOOKUP(G1131,VOL_REC[],2,FALSE),0)</f>
        <v>90439.55</v>
      </c>
      <c r="AX1131" s="246">
        <f>IFERROR(VLOOKUP(H1131,VOL_REC[],2,FALSE),0)</f>
        <v>4325103.1812214684</v>
      </c>
      <c r="AY1131" s="246">
        <f>IFERROR(VLOOKUP(I1131,VOL_REC[],2,FALSE),0)</f>
        <v>1812240</v>
      </c>
      <c r="AZ1131" s="246">
        <f>IFERROR(VLOOKUP(J1131,VOL_REC[],2,FALSE),0)</f>
        <v>663244.80000000016</v>
      </c>
      <c r="BA1131" s="246">
        <f>IFERROR(VLOOKUP(K1131,VOL_REC[],2,FALSE),0)</f>
        <v>1072354.9981737854</v>
      </c>
      <c r="BB1131" s="246">
        <f>IFERROR(VLOOKUP(L1131,VOL_REC[],2,FALSE),0)</f>
        <v>740113.98115702497</v>
      </c>
      <c r="BC1131" s="246">
        <f>IFERROR(VLOOKUP(M1131,VOL_REC[],2,FALSE),0)</f>
        <v>0</v>
      </c>
      <c r="BD1131" s="246">
        <f>IFERROR(VLOOKUP(N1131,VOL_REC[],2,FALSE),0)</f>
        <v>0</v>
      </c>
      <c r="BE1131" s="246">
        <f>IFERROR(VLOOKUP(O1131,VOL_REC[],2,FALSE),0)</f>
        <v>0</v>
      </c>
      <c r="BF1131" s="246">
        <f>IFERROR(VLOOKUP(P1131,VOL_REC[],2,FALSE),0)</f>
        <v>0</v>
      </c>
      <c r="BG1131" s="246">
        <f>IFERROR(VLOOKUP(Q1131,VOL_REC[],2,FALSE),0)</f>
        <v>0</v>
      </c>
      <c r="BH1131" s="1710">
        <f t="shared" si="68"/>
        <v>22681636287.700237</v>
      </c>
      <c r="BI1131" s="1710">
        <f t="shared" si="69"/>
        <v>19291796656.558361</v>
      </c>
      <c r="BJ1131" s="1711">
        <f t="shared" si="70"/>
        <v>19793170.710552279</v>
      </c>
      <c r="BK1131" s="1711">
        <f t="shared" si="71"/>
        <v>1.1757140452747556</v>
      </c>
      <c r="BL1131">
        <f>BJ1131</f>
        <v>19793170.710552279</v>
      </c>
      <c r="BO1131">
        <f>BL1131</f>
        <v>19793170.710552279</v>
      </c>
    </row>
    <row r="1132" spans="3:67" x14ac:dyDescent="0.25">
      <c r="C1132" s="246" t="s">
        <v>2482</v>
      </c>
      <c r="D1132" s="246">
        <v>1</v>
      </c>
      <c r="E1132" s="246">
        <v>2</v>
      </c>
      <c r="F1132" s="246">
        <v>3</v>
      </c>
      <c r="G1132" s="246">
        <v>4</v>
      </c>
      <c r="H1132" s="246">
        <v>5</v>
      </c>
      <c r="I1132" s="246">
        <v>10</v>
      </c>
      <c r="J1132" s="246">
        <v>14</v>
      </c>
      <c r="K1132" s="246">
        <v>15</v>
      </c>
      <c r="L1132" s="246">
        <v>16</v>
      </c>
      <c r="M1132" s="246"/>
      <c r="N1132" s="246"/>
      <c r="O1132" s="246"/>
      <c r="P1132" s="246"/>
      <c r="Q1132" s="246"/>
      <c r="R1132" s="246">
        <f>IFERROR(VLOOKUP(D1132,PROGRAMAS[],2,FALSE),0)</f>
        <v>97037803.679377079</v>
      </c>
      <c r="S1132" s="246">
        <f>IFERROR(VLOOKUP(E1132,PROGRAMAS[],2,FALSE),0)</f>
        <v>640501509.6821388</v>
      </c>
      <c r="T1132" s="246">
        <f>IFERROR(VLOOKUP(F1132,PROGRAMAS[],2,FALSE),0)</f>
        <v>3062327798.1525245</v>
      </c>
      <c r="U1132" s="246">
        <f>IFERROR(VLOOKUP(G1132,PROGRAMAS[],2,FALSE),0)</f>
        <v>67697118.033011258</v>
      </c>
      <c r="V1132" s="246">
        <f>IFERROR(VLOOKUP(H1132,PROGRAMAS[],2,FALSE),0)</f>
        <v>1440941976.2528784</v>
      </c>
      <c r="W1132" s="246">
        <f>IFERROR(VLOOKUP(I1132,PROGRAMAS[],2,FALSE),0)</f>
        <v>4635315027.8751087</v>
      </c>
      <c r="X1132" s="246">
        <f>IFERROR(VLOOKUP(J1132,PROGRAMAS[],2,FALSE),0)</f>
        <v>54223862.645839565</v>
      </c>
      <c r="Y1132" s="246">
        <f>IFERROR(VLOOKUP(K1132,PROGRAMAS[],2,FALSE),0)</f>
        <v>122159672.96346797</v>
      </c>
      <c r="Z1132" s="246">
        <f>IFERROR(VLOOKUP(L1132,PROGRAMAS[],2,FALSE),0)</f>
        <v>7068496961.0436354</v>
      </c>
      <c r="AA1132" s="246">
        <f>IFERROR(VLOOKUP(M1132,PROGRAMAS[],2,FALSE),0)</f>
        <v>0</v>
      </c>
      <c r="AB1132" s="246">
        <f>IFERROR(VLOOKUP(N1132,PROGRAMAS[],2,FALSE),0)</f>
        <v>0</v>
      </c>
      <c r="AC1132" s="246">
        <f>IFERROR(VLOOKUP(O1132,PROGRAMAS[],2,FALSE),0)</f>
        <v>0</v>
      </c>
      <c r="AD1132" s="246">
        <f>IFERROR(VLOOKUP(P1132,PROGRAMAS[],2,FALSE),0)</f>
        <v>0</v>
      </c>
      <c r="AE1132" s="246">
        <f>IFERROR(VLOOKUP(Q1132,PROGRAMAS[],2,FALSE),0)</f>
        <v>0</v>
      </c>
      <c r="AF1132" s="246">
        <f>IFERROR(VLOOKUP(D1132,PROGRAMAS[],3,FALSE),0)</f>
        <v>841888629.31080008</v>
      </c>
      <c r="AG1132" s="246">
        <f>IFERROR(VLOOKUP(E1132,PROGRAMAS[],3,FALSE),0)</f>
        <v>3848980803.1642323</v>
      </c>
      <c r="AH1132" s="246">
        <f>IFERROR(VLOOKUP(F1132,PROGRAMAS[],3,FALSE),0)</f>
        <v>3394901471.387517</v>
      </c>
      <c r="AI1132" s="246">
        <f>IFERROR(VLOOKUP(G1132,PROGRAMAS[],3,FALSE),0)</f>
        <v>125317226.95549992</v>
      </c>
      <c r="AJ1132" s="246">
        <f>IFERROR(VLOOKUP(H1132,PROGRAMAS[],3,FALSE),0)</f>
        <v>1233505101.0616004</v>
      </c>
      <c r="AK1132" s="246">
        <f>IFERROR(VLOOKUP(I1132,PROGRAMAS[],3,FALSE),0)</f>
        <v>4099471734.9978786</v>
      </c>
      <c r="AL1132" s="246">
        <f>IFERROR(VLOOKUP(J1132,PROGRAMAS[],3,FALSE),0)</f>
        <v>31865326.38096505</v>
      </c>
      <c r="AM1132" s="246">
        <f>IFERROR(VLOOKUP(K1132,PROGRAMAS[],3,FALSE),0)</f>
        <v>118617452.52510804</v>
      </c>
      <c r="AN1132" s="246">
        <f>IFERROR(VLOOKUP(L1132,PROGRAMAS[],3,FALSE),0)</f>
        <v>2406564599.0319901</v>
      </c>
      <c r="AO1132" s="246">
        <f>IFERROR(VLOOKUP(M1132,PROGRAMAS[],3,FALSE),0)</f>
        <v>0</v>
      </c>
      <c r="AP1132" s="246">
        <f>IFERROR(VLOOKUP(N1132,PROGRAMAS[],3,FALSE),0)</f>
        <v>0</v>
      </c>
      <c r="AQ1132" s="246">
        <f>IFERROR(VLOOKUP(O1132,PROGRAMAS[],3,FALSE),0)</f>
        <v>0</v>
      </c>
      <c r="AR1132" s="246">
        <f>IFERROR(VLOOKUP(P1132,PROGRAMAS[],3,FALSE),0)</f>
        <v>0</v>
      </c>
      <c r="AS1132" s="246">
        <f>IFERROR(VLOOKUP(Q1132,PROGRAMAS[],3,FALSE),0)</f>
        <v>0</v>
      </c>
      <c r="AT1132" s="246">
        <f>IFERROR(VLOOKUP(D1132,VOL_REC[],2,FALSE),0)</f>
        <v>0</v>
      </c>
      <c r="AU1132" s="246">
        <f>IFERROR(VLOOKUP(E1132,VOL_REC[],2,FALSE),0)</f>
        <v>0</v>
      </c>
      <c r="AV1132" s="246">
        <f>IFERROR(VLOOKUP(F1132,VOL_REC[],2,FALSE),0)</f>
        <v>11089674.200000001</v>
      </c>
      <c r="AW1132" s="246">
        <f>IFERROR(VLOOKUP(G1132,VOL_REC[],2,FALSE),0)</f>
        <v>90439.55</v>
      </c>
      <c r="AX1132" s="246">
        <f>IFERROR(VLOOKUP(H1132,VOL_REC[],2,FALSE),0)</f>
        <v>4325103.1812214684</v>
      </c>
      <c r="AY1132" s="246">
        <f>IFERROR(VLOOKUP(I1132,VOL_REC[],2,FALSE),0)</f>
        <v>1812240</v>
      </c>
      <c r="AZ1132" s="246">
        <f>IFERROR(VLOOKUP(J1132,VOL_REC[],2,FALSE),0)</f>
        <v>17074.045034105649</v>
      </c>
      <c r="BA1132" s="246">
        <f>IFERROR(VLOOKUP(K1132,VOL_REC[],2,FALSE),0)</f>
        <v>105072</v>
      </c>
      <c r="BB1132" s="246">
        <f>IFERROR(VLOOKUP(L1132,VOL_REC[],2,FALSE),0)</f>
        <v>1072354.9981737854</v>
      </c>
      <c r="BC1132" s="246">
        <f>IFERROR(VLOOKUP(M1132,VOL_REC[],2,FALSE),0)</f>
        <v>0</v>
      </c>
      <c r="BD1132" s="246">
        <f>IFERROR(VLOOKUP(N1132,VOL_REC[],2,FALSE),0)</f>
        <v>0</v>
      </c>
      <c r="BE1132" s="246">
        <f>IFERROR(VLOOKUP(O1132,VOL_REC[],2,FALSE),0)</f>
        <v>0</v>
      </c>
      <c r="BF1132" s="246">
        <f>IFERROR(VLOOKUP(P1132,VOL_REC[],2,FALSE),0)</f>
        <v>0</v>
      </c>
      <c r="BG1132" s="246">
        <f>IFERROR(VLOOKUP(Q1132,VOL_REC[],2,FALSE),0)</f>
        <v>0</v>
      </c>
      <c r="BH1132" s="1710">
        <f t="shared" si="68"/>
        <v>17188701730.327984</v>
      </c>
      <c r="BI1132" s="1710">
        <f t="shared" si="69"/>
        <v>16101112344.815592</v>
      </c>
      <c r="BJ1132" s="1711">
        <f t="shared" si="70"/>
        <v>18511957.974429362</v>
      </c>
      <c r="BK1132" s="1711">
        <f t="shared" si="71"/>
        <v>1.0675474689090401</v>
      </c>
      <c r="BL1132">
        <f>BJ1132</f>
        <v>18511957.974429362</v>
      </c>
      <c r="BO1132">
        <f>BL1132</f>
        <v>18511957.974429362</v>
      </c>
    </row>
    <row r="1133" spans="3:67" x14ac:dyDescent="0.25">
      <c r="C1133" s="246" t="s">
        <v>2483</v>
      </c>
      <c r="D1133" s="246">
        <v>1</v>
      </c>
      <c r="E1133" s="246">
        <v>2</v>
      </c>
      <c r="F1133" s="246">
        <v>3</v>
      </c>
      <c r="G1133" s="246">
        <v>4</v>
      </c>
      <c r="H1133" s="246">
        <v>5</v>
      </c>
      <c r="I1133" s="246">
        <v>10</v>
      </c>
      <c r="J1133" s="246">
        <v>14</v>
      </c>
      <c r="K1133" s="246">
        <v>15</v>
      </c>
      <c r="L1133" s="246">
        <v>17</v>
      </c>
      <c r="M1133" s="246"/>
      <c r="N1133" s="246"/>
      <c r="O1133" s="246"/>
      <c r="P1133" s="246"/>
      <c r="Q1133" s="246"/>
      <c r="R1133" s="246">
        <f>IFERROR(VLOOKUP(D1133,PROGRAMAS[],2,FALSE),0)</f>
        <v>97037803.679377079</v>
      </c>
      <c r="S1133" s="246">
        <f>IFERROR(VLOOKUP(E1133,PROGRAMAS[],2,FALSE),0)</f>
        <v>640501509.6821388</v>
      </c>
      <c r="T1133" s="246">
        <f>IFERROR(VLOOKUP(F1133,PROGRAMAS[],2,FALSE),0)</f>
        <v>3062327798.1525245</v>
      </c>
      <c r="U1133" s="246">
        <f>IFERROR(VLOOKUP(G1133,PROGRAMAS[],2,FALSE),0)</f>
        <v>67697118.033011258</v>
      </c>
      <c r="V1133" s="246">
        <f>IFERROR(VLOOKUP(H1133,PROGRAMAS[],2,FALSE),0)</f>
        <v>1440941976.2528784</v>
      </c>
      <c r="W1133" s="246">
        <f>IFERROR(VLOOKUP(I1133,PROGRAMAS[],2,FALSE),0)</f>
        <v>4635315027.8751087</v>
      </c>
      <c r="X1133" s="246">
        <f>IFERROR(VLOOKUP(J1133,PROGRAMAS[],2,FALSE),0)</f>
        <v>54223862.645839565</v>
      </c>
      <c r="Y1133" s="246">
        <f>IFERROR(VLOOKUP(K1133,PROGRAMAS[],2,FALSE),0)</f>
        <v>122159672.96346797</v>
      </c>
      <c r="Z1133" s="246">
        <f>IFERROR(VLOOKUP(L1133,PROGRAMAS[],2,FALSE),0)</f>
        <v>1892779498.5211046</v>
      </c>
      <c r="AA1133" s="246">
        <f>IFERROR(VLOOKUP(M1133,PROGRAMAS[],2,FALSE),0)</f>
        <v>0</v>
      </c>
      <c r="AB1133" s="246">
        <f>IFERROR(VLOOKUP(N1133,PROGRAMAS[],2,FALSE),0)</f>
        <v>0</v>
      </c>
      <c r="AC1133" s="246">
        <f>IFERROR(VLOOKUP(O1133,PROGRAMAS[],2,FALSE),0)</f>
        <v>0</v>
      </c>
      <c r="AD1133" s="246">
        <f>IFERROR(VLOOKUP(P1133,PROGRAMAS[],2,FALSE),0)</f>
        <v>0</v>
      </c>
      <c r="AE1133" s="246">
        <f>IFERROR(VLOOKUP(Q1133,PROGRAMAS[],2,FALSE),0)</f>
        <v>0</v>
      </c>
      <c r="AF1133" s="246">
        <f>IFERROR(VLOOKUP(D1133,PROGRAMAS[],3,FALSE),0)</f>
        <v>841888629.31080008</v>
      </c>
      <c r="AG1133" s="246">
        <f>IFERROR(VLOOKUP(E1133,PROGRAMAS[],3,FALSE),0)</f>
        <v>3848980803.1642323</v>
      </c>
      <c r="AH1133" s="246">
        <f>IFERROR(VLOOKUP(F1133,PROGRAMAS[],3,FALSE),0)</f>
        <v>3394901471.387517</v>
      </c>
      <c r="AI1133" s="246">
        <f>IFERROR(VLOOKUP(G1133,PROGRAMAS[],3,FALSE),0)</f>
        <v>125317226.95549992</v>
      </c>
      <c r="AJ1133" s="246">
        <f>IFERROR(VLOOKUP(H1133,PROGRAMAS[],3,FALSE),0)</f>
        <v>1233505101.0616004</v>
      </c>
      <c r="AK1133" s="246">
        <f>IFERROR(VLOOKUP(I1133,PROGRAMAS[],3,FALSE),0)</f>
        <v>4099471734.9978786</v>
      </c>
      <c r="AL1133" s="246">
        <f>IFERROR(VLOOKUP(J1133,PROGRAMAS[],3,FALSE),0)</f>
        <v>31865326.38096505</v>
      </c>
      <c r="AM1133" s="246">
        <f>IFERROR(VLOOKUP(K1133,PROGRAMAS[],3,FALSE),0)</f>
        <v>118617452.52510804</v>
      </c>
      <c r="AN1133" s="246">
        <f>IFERROR(VLOOKUP(L1133,PROGRAMAS[],3,FALSE),0)</f>
        <v>948595847.09039903</v>
      </c>
      <c r="AO1133" s="246">
        <f>IFERROR(VLOOKUP(M1133,PROGRAMAS[],3,FALSE),0)</f>
        <v>0</v>
      </c>
      <c r="AP1133" s="246">
        <f>IFERROR(VLOOKUP(N1133,PROGRAMAS[],3,FALSE),0)</f>
        <v>0</v>
      </c>
      <c r="AQ1133" s="246">
        <f>IFERROR(VLOOKUP(O1133,PROGRAMAS[],3,FALSE),0)</f>
        <v>0</v>
      </c>
      <c r="AR1133" s="246">
        <f>IFERROR(VLOOKUP(P1133,PROGRAMAS[],3,FALSE),0)</f>
        <v>0</v>
      </c>
      <c r="AS1133" s="246">
        <f>IFERROR(VLOOKUP(Q1133,PROGRAMAS[],3,FALSE),0)</f>
        <v>0</v>
      </c>
      <c r="AT1133" s="246">
        <f>IFERROR(VLOOKUP(D1133,VOL_REC[],2,FALSE),0)</f>
        <v>0</v>
      </c>
      <c r="AU1133" s="246">
        <f>IFERROR(VLOOKUP(E1133,VOL_REC[],2,FALSE),0)</f>
        <v>0</v>
      </c>
      <c r="AV1133" s="246">
        <f>IFERROR(VLOOKUP(F1133,VOL_REC[],2,FALSE),0)</f>
        <v>11089674.200000001</v>
      </c>
      <c r="AW1133" s="246">
        <f>IFERROR(VLOOKUP(G1133,VOL_REC[],2,FALSE),0)</f>
        <v>90439.55</v>
      </c>
      <c r="AX1133" s="246">
        <f>IFERROR(VLOOKUP(H1133,VOL_REC[],2,FALSE),0)</f>
        <v>4325103.1812214684</v>
      </c>
      <c r="AY1133" s="246">
        <f>IFERROR(VLOOKUP(I1133,VOL_REC[],2,FALSE),0)</f>
        <v>1812240</v>
      </c>
      <c r="AZ1133" s="246">
        <f>IFERROR(VLOOKUP(J1133,VOL_REC[],2,FALSE),0)</f>
        <v>17074.045034105649</v>
      </c>
      <c r="BA1133" s="246">
        <f>IFERROR(VLOOKUP(K1133,VOL_REC[],2,FALSE),0)</f>
        <v>105072</v>
      </c>
      <c r="BB1133" s="246">
        <f>IFERROR(VLOOKUP(L1133,VOL_REC[],2,FALSE),0)</f>
        <v>740113.98115702497</v>
      </c>
      <c r="BC1133" s="246">
        <f>IFERROR(VLOOKUP(M1133,VOL_REC[],2,FALSE),0)</f>
        <v>0</v>
      </c>
      <c r="BD1133" s="246">
        <f>IFERROR(VLOOKUP(N1133,VOL_REC[],2,FALSE),0)</f>
        <v>0</v>
      </c>
      <c r="BE1133" s="246">
        <f>IFERROR(VLOOKUP(O1133,VOL_REC[],2,FALSE),0)</f>
        <v>0</v>
      </c>
      <c r="BF1133" s="246">
        <f>IFERROR(VLOOKUP(P1133,VOL_REC[],2,FALSE),0)</f>
        <v>0</v>
      </c>
      <c r="BG1133" s="246">
        <f>IFERROR(VLOOKUP(Q1133,VOL_REC[],2,FALSE),0)</f>
        <v>0</v>
      </c>
      <c r="BH1133" s="1710">
        <f t="shared" si="68"/>
        <v>12012984267.805452</v>
      </c>
      <c r="BI1133" s="1710">
        <f t="shared" si="69"/>
        <v>14643143592.874001</v>
      </c>
      <c r="BJ1133" s="1711">
        <f t="shared" si="70"/>
        <v>18179716.957412601</v>
      </c>
      <c r="BK1133" s="1711">
        <f t="shared" si="71"/>
        <v>0.82038287691527523</v>
      </c>
    </row>
    <row r="1134" spans="3:67" x14ac:dyDescent="0.25">
      <c r="C1134" s="246" t="s">
        <v>2484</v>
      </c>
      <c r="D1134" s="246">
        <v>1</v>
      </c>
      <c r="E1134" s="246">
        <v>2</v>
      </c>
      <c r="F1134" s="246">
        <v>3</v>
      </c>
      <c r="G1134" s="246">
        <v>4</v>
      </c>
      <c r="H1134" s="246">
        <v>5</v>
      </c>
      <c r="I1134" s="246">
        <v>10</v>
      </c>
      <c r="J1134" s="246">
        <v>14</v>
      </c>
      <c r="K1134" s="246">
        <v>16</v>
      </c>
      <c r="L1134" s="246">
        <v>17</v>
      </c>
      <c r="M1134" s="246"/>
      <c r="N1134" s="246"/>
      <c r="O1134" s="246"/>
      <c r="P1134" s="246"/>
      <c r="Q1134" s="246"/>
      <c r="R1134" s="246">
        <f>IFERROR(VLOOKUP(D1134,PROGRAMAS[],2,FALSE),0)</f>
        <v>97037803.679377079</v>
      </c>
      <c r="S1134" s="246">
        <f>IFERROR(VLOOKUP(E1134,PROGRAMAS[],2,FALSE),0)</f>
        <v>640501509.6821388</v>
      </c>
      <c r="T1134" s="246">
        <f>IFERROR(VLOOKUP(F1134,PROGRAMAS[],2,FALSE),0)</f>
        <v>3062327798.1525245</v>
      </c>
      <c r="U1134" s="246">
        <f>IFERROR(VLOOKUP(G1134,PROGRAMAS[],2,FALSE),0)</f>
        <v>67697118.033011258</v>
      </c>
      <c r="V1134" s="246">
        <f>IFERROR(VLOOKUP(H1134,PROGRAMAS[],2,FALSE),0)</f>
        <v>1440941976.2528784</v>
      </c>
      <c r="W1134" s="246">
        <f>IFERROR(VLOOKUP(I1134,PROGRAMAS[],2,FALSE),0)</f>
        <v>4635315027.8751087</v>
      </c>
      <c r="X1134" s="246">
        <f>IFERROR(VLOOKUP(J1134,PROGRAMAS[],2,FALSE),0)</f>
        <v>54223862.645839565</v>
      </c>
      <c r="Y1134" s="246">
        <f>IFERROR(VLOOKUP(K1134,PROGRAMAS[],2,FALSE),0)</f>
        <v>7068496961.0436354</v>
      </c>
      <c r="Z1134" s="246">
        <f>IFERROR(VLOOKUP(L1134,PROGRAMAS[],2,FALSE),0)</f>
        <v>1892779498.5211046</v>
      </c>
      <c r="AA1134" s="246">
        <f>IFERROR(VLOOKUP(M1134,PROGRAMAS[],2,FALSE),0)</f>
        <v>0</v>
      </c>
      <c r="AB1134" s="246">
        <f>IFERROR(VLOOKUP(N1134,PROGRAMAS[],2,FALSE),0)</f>
        <v>0</v>
      </c>
      <c r="AC1134" s="246">
        <f>IFERROR(VLOOKUP(O1134,PROGRAMAS[],2,FALSE),0)</f>
        <v>0</v>
      </c>
      <c r="AD1134" s="246">
        <f>IFERROR(VLOOKUP(P1134,PROGRAMAS[],2,FALSE),0)</f>
        <v>0</v>
      </c>
      <c r="AE1134" s="246">
        <f>IFERROR(VLOOKUP(Q1134,PROGRAMAS[],2,FALSE),0)</f>
        <v>0</v>
      </c>
      <c r="AF1134" s="246">
        <f>IFERROR(VLOOKUP(D1134,PROGRAMAS[],3,FALSE),0)</f>
        <v>841888629.31080008</v>
      </c>
      <c r="AG1134" s="246">
        <f>IFERROR(VLOOKUP(E1134,PROGRAMAS[],3,FALSE),0)</f>
        <v>3848980803.1642323</v>
      </c>
      <c r="AH1134" s="246">
        <f>IFERROR(VLOOKUP(F1134,PROGRAMAS[],3,FALSE),0)</f>
        <v>3394901471.387517</v>
      </c>
      <c r="AI1134" s="246">
        <f>IFERROR(VLOOKUP(G1134,PROGRAMAS[],3,FALSE),0)</f>
        <v>125317226.95549992</v>
      </c>
      <c r="AJ1134" s="246">
        <f>IFERROR(VLOOKUP(H1134,PROGRAMAS[],3,FALSE),0)</f>
        <v>1233505101.0616004</v>
      </c>
      <c r="AK1134" s="246">
        <f>IFERROR(VLOOKUP(I1134,PROGRAMAS[],3,FALSE),0)</f>
        <v>4099471734.9978786</v>
      </c>
      <c r="AL1134" s="246">
        <f>IFERROR(VLOOKUP(J1134,PROGRAMAS[],3,FALSE),0)</f>
        <v>31865326.38096505</v>
      </c>
      <c r="AM1134" s="246">
        <f>IFERROR(VLOOKUP(K1134,PROGRAMAS[],3,FALSE),0)</f>
        <v>2406564599.0319901</v>
      </c>
      <c r="AN1134" s="246">
        <f>IFERROR(VLOOKUP(L1134,PROGRAMAS[],3,FALSE),0)</f>
        <v>948595847.09039903</v>
      </c>
      <c r="AO1134" s="246">
        <f>IFERROR(VLOOKUP(M1134,PROGRAMAS[],3,FALSE),0)</f>
        <v>0</v>
      </c>
      <c r="AP1134" s="246">
        <f>IFERROR(VLOOKUP(N1134,PROGRAMAS[],3,FALSE),0)</f>
        <v>0</v>
      </c>
      <c r="AQ1134" s="246">
        <f>IFERROR(VLOOKUP(O1134,PROGRAMAS[],3,FALSE),0)</f>
        <v>0</v>
      </c>
      <c r="AR1134" s="246">
        <f>IFERROR(VLOOKUP(P1134,PROGRAMAS[],3,FALSE),0)</f>
        <v>0</v>
      </c>
      <c r="AS1134" s="246">
        <f>IFERROR(VLOOKUP(Q1134,PROGRAMAS[],3,FALSE),0)</f>
        <v>0</v>
      </c>
      <c r="AT1134" s="246">
        <f>IFERROR(VLOOKUP(D1134,VOL_REC[],2,FALSE),0)</f>
        <v>0</v>
      </c>
      <c r="AU1134" s="246">
        <f>IFERROR(VLOOKUP(E1134,VOL_REC[],2,FALSE),0)</f>
        <v>0</v>
      </c>
      <c r="AV1134" s="246">
        <f>IFERROR(VLOOKUP(F1134,VOL_REC[],2,FALSE),0)</f>
        <v>11089674.200000001</v>
      </c>
      <c r="AW1134" s="246">
        <f>IFERROR(VLOOKUP(G1134,VOL_REC[],2,FALSE),0)</f>
        <v>90439.55</v>
      </c>
      <c r="AX1134" s="246">
        <f>IFERROR(VLOOKUP(H1134,VOL_REC[],2,FALSE),0)</f>
        <v>4325103.1812214684</v>
      </c>
      <c r="AY1134" s="246">
        <f>IFERROR(VLOOKUP(I1134,VOL_REC[],2,FALSE),0)</f>
        <v>1812240</v>
      </c>
      <c r="AZ1134" s="246">
        <f>IFERROR(VLOOKUP(J1134,VOL_REC[],2,FALSE),0)</f>
        <v>17074.045034105649</v>
      </c>
      <c r="BA1134" s="246">
        <f>IFERROR(VLOOKUP(K1134,VOL_REC[],2,FALSE),0)</f>
        <v>1072354.9981737854</v>
      </c>
      <c r="BB1134" s="246">
        <f>IFERROR(VLOOKUP(L1134,VOL_REC[],2,FALSE),0)</f>
        <v>740113.98115702497</v>
      </c>
      <c r="BC1134" s="246">
        <f>IFERROR(VLOOKUP(M1134,VOL_REC[],2,FALSE),0)</f>
        <v>0</v>
      </c>
      <c r="BD1134" s="246">
        <f>IFERROR(VLOOKUP(N1134,VOL_REC[],2,FALSE),0)</f>
        <v>0</v>
      </c>
      <c r="BE1134" s="246">
        <f>IFERROR(VLOOKUP(O1134,VOL_REC[],2,FALSE),0)</f>
        <v>0</v>
      </c>
      <c r="BF1134" s="246">
        <f>IFERROR(VLOOKUP(P1134,VOL_REC[],2,FALSE),0)</f>
        <v>0</v>
      </c>
      <c r="BG1134" s="246">
        <f>IFERROR(VLOOKUP(Q1134,VOL_REC[],2,FALSE),0)</f>
        <v>0</v>
      </c>
      <c r="BH1134" s="1710">
        <f t="shared" si="68"/>
        <v>18959321555.885616</v>
      </c>
      <c r="BI1134" s="1710">
        <f t="shared" si="69"/>
        <v>16931090739.380882</v>
      </c>
      <c r="BJ1134" s="1711">
        <f t="shared" si="70"/>
        <v>19146999.955586385</v>
      </c>
      <c r="BK1134" s="1711">
        <f t="shared" si="71"/>
        <v>1.1197932754436883</v>
      </c>
      <c r="BL1134">
        <f>BJ1134</f>
        <v>19146999.955586385</v>
      </c>
      <c r="BO1134">
        <f>BL1134</f>
        <v>19146999.955586385</v>
      </c>
    </row>
    <row r="1135" spans="3:67" x14ac:dyDescent="0.25">
      <c r="C1135" s="246" t="s">
        <v>2485</v>
      </c>
      <c r="D1135" s="246">
        <v>1</v>
      </c>
      <c r="E1135" s="246">
        <v>2</v>
      </c>
      <c r="F1135" s="246">
        <v>3</v>
      </c>
      <c r="G1135" s="246">
        <v>4</v>
      </c>
      <c r="H1135" s="246">
        <v>5</v>
      </c>
      <c r="I1135" s="246">
        <v>10</v>
      </c>
      <c r="J1135" s="246">
        <v>15</v>
      </c>
      <c r="K1135" s="246">
        <v>16</v>
      </c>
      <c r="L1135" s="246">
        <v>17</v>
      </c>
      <c r="M1135" s="246"/>
      <c r="N1135" s="246"/>
      <c r="O1135" s="246"/>
      <c r="P1135" s="246"/>
      <c r="Q1135" s="246"/>
      <c r="R1135" s="246">
        <f>IFERROR(VLOOKUP(D1135,PROGRAMAS[],2,FALSE),0)</f>
        <v>97037803.679377079</v>
      </c>
      <c r="S1135" s="246">
        <f>IFERROR(VLOOKUP(E1135,PROGRAMAS[],2,FALSE),0)</f>
        <v>640501509.6821388</v>
      </c>
      <c r="T1135" s="246">
        <f>IFERROR(VLOOKUP(F1135,PROGRAMAS[],2,FALSE),0)</f>
        <v>3062327798.1525245</v>
      </c>
      <c r="U1135" s="246">
        <f>IFERROR(VLOOKUP(G1135,PROGRAMAS[],2,FALSE),0)</f>
        <v>67697118.033011258</v>
      </c>
      <c r="V1135" s="246">
        <f>IFERROR(VLOOKUP(H1135,PROGRAMAS[],2,FALSE),0)</f>
        <v>1440941976.2528784</v>
      </c>
      <c r="W1135" s="246">
        <f>IFERROR(VLOOKUP(I1135,PROGRAMAS[],2,FALSE),0)</f>
        <v>4635315027.8751087</v>
      </c>
      <c r="X1135" s="246">
        <f>IFERROR(VLOOKUP(J1135,PROGRAMAS[],2,FALSE),0)</f>
        <v>122159672.96346797</v>
      </c>
      <c r="Y1135" s="246">
        <f>IFERROR(VLOOKUP(K1135,PROGRAMAS[],2,FALSE),0)</f>
        <v>7068496961.0436354</v>
      </c>
      <c r="Z1135" s="246">
        <f>IFERROR(VLOOKUP(L1135,PROGRAMAS[],2,FALSE),0)</f>
        <v>1892779498.5211046</v>
      </c>
      <c r="AA1135" s="246">
        <f>IFERROR(VLOOKUP(M1135,PROGRAMAS[],2,FALSE),0)</f>
        <v>0</v>
      </c>
      <c r="AB1135" s="246">
        <f>IFERROR(VLOOKUP(N1135,PROGRAMAS[],2,FALSE),0)</f>
        <v>0</v>
      </c>
      <c r="AC1135" s="246">
        <f>IFERROR(VLOOKUP(O1135,PROGRAMAS[],2,FALSE),0)</f>
        <v>0</v>
      </c>
      <c r="AD1135" s="246">
        <f>IFERROR(VLOOKUP(P1135,PROGRAMAS[],2,FALSE),0)</f>
        <v>0</v>
      </c>
      <c r="AE1135" s="246">
        <f>IFERROR(VLOOKUP(Q1135,PROGRAMAS[],2,FALSE),0)</f>
        <v>0</v>
      </c>
      <c r="AF1135" s="246">
        <f>IFERROR(VLOOKUP(D1135,PROGRAMAS[],3,FALSE),0)</f>
        <v>841888629.31080008</v>
      </c>
      <c r="AG1135" s="246">
        <f>IFERROR(VLOOKUP(E1135,PROGRAMAS[],3,FALSE),0)</f>
        <v>3848980803.1642323</v>
      </c>
      <c r="AH1135" s="246">
        <f>IFERROR(VLOOKUP(F1135,PROGRAMAS[],3,FALSE),0)</f>
        <v>3394901471.387517</v>
      </c>
      <c r="AI1135" s="246">
        <f>IFERROR(VLOOKUP(G1135,PROGRAMAS[],3,FALSE),0)</f>
        <v>125317226.95549992</v>
      </c>
      <c r="AJ1135" s="246">
        <f>IFERROR(VLOOKUP(H1135,PROGRAMAS[],3,FALSE),0)</f>
        <v>1233505101.0616004</v>
      </c>
      <c r="AK1135" s="246">
        <f>IFERROR(VLOOKUP(I1135,PROGRAMAS[],3,FALSE),0)</f>
        <v>4099471734.9978786</v>
      </c>
      <c r="AL1135" s="246">
        <f>IFERROR(VLOOKUP(J1135,PROGRAMAS[],3,FALSE),0)</f>
        <v>118617452.52510804</v>
      </c>
      <c r="AM1135" s="246">
        <f>IFERROR(VLOOKUP(K1135,PROGRAMAS[],3,FALSE),0)</f>
        <v>2406564599.0319901</v>
      </c>
      <c r="AN1135" s="246">
        <f>IFERROR(VLOOKUP(L1135,PROGRAMAS[],3,FALSE),0)</f>
        <v>948595847.09039903</v>
      </c>
      <c r="AO1135" s="246">
        <f>IFERROR(VLOOKUP(M1135,PROGRAMAS[],3,FALSE),0)</f>
        <v>0</v>
      </c>
      <c r="AP1135" s="246">
        <f>IFERROR(VLOOKUP(N1135,PROGRAMAS[],3,FALSE),0)</f>
        <v>0</v>
      </c>
      <c r="AQ1135" s="246">
        <f>IFERROR(VLOOKUP(O1135,PROGRAMAS[],3,FALSE),0)</f>
        <v>0</v>
      </c>
      <c r="AR1135" s="246">
        <f>IFERROR(VLOOKUP(P1135,PROGRAMAS[],3,FALSE),0)</f>
        <v>0</v>
      </c>
      <c r="AS1135" s="246">
        <f>IFERROR(VLOOKUP(Q1135,PROGRAMAS[],3,FALSE),0)</f>
        <v>0</v>
      </c>
      <c r="AT1135" s="246">
        <f>IFERROR(VLOOKUP(D1135,VOL_REC[],2,FALSE),0)</f>
        <v>0</v>
      </c>
      <c r="AU1135" s="246">
        <f>IFERROR(VLOOKUP(E1135,VOL_REC[],2,FALSE),0)</f>
        <v>0</v>
      </c>
      <c r="AV1135" s="246">
        <f>IFERROR(VLOOKUP(F1135,VOL_REC[],2,FALSE),0)</f>
        <v>11089674.200000001</v>
      </c>
      <c r="AW1135" s="246">
        <f>IFERROR(VLOOKUP(G1135,VOL_REC[],2,FALSE),0)</f>
        <v>90439.55</v>
      </c>
      <c r="AX1135" s="246">
        <f>IFERROR(VLOOKUP(H1135,VOL_REC[],2,FALSE),0)</f>
        <v>4325103.1812214684</v>
      </c>
      <c r="AY1135" s="246">
        <f>IFERROR(VLOOKUP(I1135,VOL_REC[],2,FALSE),0)</f>
        <v>1812240</v>
      </c>
      <c r="AZ1135" s="246">
        <f>IFERROR(VLOOKUP(J1135,VOL_REC[],2,FALSE),0)</f>
        <v>105072</v>
      </c>
      <c r="BA1135" s="246">
        <f>IFERROR(VLOOKUP(K1135,VOL_REC[],2,FALSE),0)</f>
        <v>1072354.9981737854</v>
      </c>
      <c r="BB1135" s="246">
        <f>IFERROR(VLOOKUP(L1135,VOL_REC[],2,FALSE),0)</f>
        <v>740113.98115702497</v>
      </c>
      <c r="BC1135" s="246">
        <f>IFERROR(VLOOKUP(M1135,VOL_REC[],2,FALSE),0)</f>
        <v>0</v>
      </c>
      <c r="BD1135" s="246">
        <f>IFERROR(VLOOKUP(N1135,VOL_REC[],2,FALSE),0)</f>
        <v>0</v>
      </c>
      <c r="BE1135" s="246">
        <f>IFERROR(VLOOKUP(O1135,VOL_REC[],2,FALSE),0)</f>
        <v>0</v>
      </c>
      <c r="BF1135" s="246">
        <f>IFERROR(VLOOKUP(P1135,VOL_REC[],2,FALSE),0)</f>
        <v>0</v>
      </c>
      <c r="BG1135" s="246">
        <f>IFERROR(VLOOKUP(Q1135,VOL_REC[],2,FALSE),0)</f>
        <v>0</v>
      </c>
      <c r="BH1135" s="1710">
        <f t="shared" si="68"/>
        <v>19027257366.203247</v>
      </c>
      <c r="BI1135" s="1710">
        <f t="shared" si="69"/>
        <v>17017842865.525026</v>
      </c>
      <c r="BJ1135" s="1711">
        <f t="shared" si="70"/>
        <v>19234997.910552278</v>
      </c>
      <c r="BK1135" s="1711">
        <f t="shared" si="71"/>
        <v>1.1180769217671482</v>
      </c>
      <c r="BL1135">
        <f>BJ1135</f>
        <v>19234997.910552278</v>
      </c>
      <c r="BO1135">
        <f>BL1135</f>
        <v>19234997.910552278</v>
      </c>
    </row>
    <row r="1136" spans="3:67" x14ac:dyDescent="0.25">
      <c r="C1136" s="246" t="s">
        <v>2486</v>
      </c>
      <c r="D1136" s="246">
        <v>1</v>
      </c>
      <c r="E1136" s="246">
        <v>2</v>
      </c>
      <c r="F1136" s="246">
        <v>3</v>
      </c>
      <c r="G1136" s="246">
        <v>4</v>
      </c>
      <c r="H1136" s="246">
        <v>5</v>
      </c>
      <c r="I1136" s="246">
        <v>12</v>
      </c>
      <c r="J1136" s="246">
        <v>13</v>
      </c>
      <c r="K1136" s="246">
        <v>14</v>
      </c>
      <c r="L1136" s="246">
        <v>15</v>
      </c>
      <c r="M1136" s="246"/>
      <c r="N1136" s="246"/>
      <c r="O1136" s="246"/>
      <c r="P1136" s="246"/>
      <c r="Q1136" s="246"/>
      <c r="R1136" s="246">
        <f>IFERROR(VLOOKUP(D1136,PROGRAMAS[],2,FALSE),0)</f>
        <v>97037803.679377079</v>
      </c>
      <c r="S1136" s="246">
        <f>IFERROR(VLOOKUP(E1136,PROGRAMAS[],2,FALSE),0)</f>
        <v>640501509.6821388</v>
      </c>
      <c r="T1136" s="246">
        <f>IFERROR(VLOOKUP(F1136,PROGRAMAS[],2,FALSE),0)</f>
        <v>3062327798.1525245</v>
      </c>
      <c r="U1136" s="246">
        <f>IFERROR(VLOOKUP(G1136,PROGRAMAS[],2,FALSE),0)</f>
        <v>67697118.033011258</v>
      </c>
      <c r="V1136" s="246">
        <f>IFERROR(VLOOKUP(H1136,PROGRAMAS[],2,FALSE),0)</f>
        <v>1440941976.2528784</v>
      </c>
      <c r="W1136" s="246">
        <f>IFERROR(VLOOKUP(I1136,PROGRAMAS[],2,FALSE),0)</f>
        <v>764796700.79905891</v>
      </c>
      <c r="X1136" s="246">
        <f>IFERROR(VLOOKUP(J1136,PROGRAMAS[],2,FALSE),0)</f>
        <v>3776538594.4604583</v>
      </c>
      <c r="Y1136" s="246">
        <f>IFERROR(VLOOKUP(K1136,PROGRAMAS[],2,FALSE),0)</f>
        <v>54223862.645839565</v>
      </c>
      <c r="Z1136" s="246">
        <f>IFERROR(VLOOKUP(L1136,PROGRAMAS[],2,FALSE),0)</f>
        <v>122159672.96346797</v>
      </c>
      <c r="AA1136" s="246">
        <f>IFERROR(VLOOKUP(M1136,PROGRAMAS[],2,FALSE),0)</f>
        <v>0</v>
      </c>
      <c r="AB1136" s="246">
        <f>IFERROR(VLOOKUP(N1136,PROGRAMAS[],2,FALSE),0)</f>
        <v>0</v>
      </c>
      <c r="AC1136" s="246">
        <f>IFERROR(VLOOKUP(O1136,PROGRAMAS[],2,FALSE),0)</f>
        <v>0</v>
      </c>
      <c r="AD1136" s="246">
        <f>IFERROR(VLOOKUP(P1136,PROGRAMAS[],2,FALSE),0)</f>
        <v>0</v>
      </c>
      <c r="AE1136" s="246">
        <f>IFERROR(VLOOKUP(Q1136,PROGRAMAS[],2,FALSE),0)</f>
        <v>0</v>
      </c>
      <c r="AF1136" s="246">
        <f>IFERROR(VLOOKUP(D1136,PROGRAMAS[],3,FALSE),0)</f>
        <v>841888629.31080008</v>
      </c>
      <c r="AG1136" s="246">
        <f>IFERROR(VLOOKUP(E1136,PROGRAMAS[],3,FALSE),0)</f>
        <v>3848980803.1642323</v>
      </c>
      <c r="AH1136" s="246">
        <f>IFERROR(VLOOKUP(F1136,PROGRAMAS[],3,FALSE),0)</f>
        <v>3394901471.387517</v>
      </c>
      <c r="AI1136" s="246">
        <f>IFERROR(VLOOKUP(G1136,PROGRAMAS[],3,FALSE),0)</f>
        <v>125317226.95549992</v>
      </c>
      <c r="AJ1136" s="246">
        <f>IFERROR(VLOOKUP(H1136,PROGRAMAS[],3,FALSE),0)</f>
        <v>1233505101.0616004</v>
      </c>
      <c r="AK1136" s="246">
        <f>IFERROR(VLOOKUP(I1136,PROGRAMAS[],3,FALSE),0)</f>
        <v>675517840.109828</v>
      </c>
      <c r="AL1136" s="246">
        <f>IFERROR(VLOOKUP(J1136,PROGRAMAS[],3,FALSE),0)</f>
        <v>2392571243.5584412</v>
      </c>
      <c r="AM1136" s="246">
        <f>IFERROR(VLOOKUP(K1136,PROGRAMAS[],3,FALSE),0)</f>
        <v>31865326.38096505</v>
      </c>
      <c r="AN1136" s="246">
        <f>IFERROR(VLOOKUP(L1136,PROGRAMAS[],3,FALSE),0)</f>
        <v>118617452.52510804</v>
      </c>
      <c r="AO1136" s="246">
        <f>IFERROR(VLOOKUP(M1136,PROGRAMAS[],3,FALSE),0)</f>
        <v>0</v>
      </c>
      <c r="AP1136" s="246">
        <f>IFERROR(VLOOKUP(N1136,PROGRAMAS[],3,FALSE),0)</f>
        <v>0</v>
      </c>
      <c r="AQ1136" s="246">
        <f>IFERROR(VLOOKUP(O1136,PROGRAMAS[],3,FALSE),0)</f>
        <v>0</v>
      </c>
      <c r="AR1136" s="246">
        <f>IFERROR(VLOOKUP(P1136,PROGRAMAS[],3,FALSE),0)</f>
        <v>0</v>
      </c>
      <c r="AS1136" s="246">
        <f>IFERROR(VLOOKUP(Q1136,PROGRAMAS[],3,FALSE),0)</f>
        <v>0</v>
      </c>
      <c r="AT1136" s="246">
        <f>IFERROR(VLOOKUP(D1136,VOL_REC[],2,FALSE),0)</f>
        <v>0</v>
      </c>
      <c r="AU1136" s="246">
        <f>IFERROR(VLOOKUP(E1136,VOL_REC[],2,FALSE),0)</f>
        <v>0</v>
      </c>
      <c r="AV1136" s="246">
        <f>IFERROR(VLOOKUP(F1136,VOL_REC[],2,FALSE),0)</f>
        <v>11089674.200000001</v>
      </c>
      <c r="AW1136" s="246">
        <f>IFERROR(VLOOKUP(G1136,VOL_REC[],2,FALSE),0)</f>
        <v>90439.55</v>
      </c>
      <c r="AX1136" s="246">
        <f>IFERROR(VLOOKUP(H1136,VOL_REC[],2,FALSE),0)</f>
        <v>4325103.1812214684</v>
      </c>
      <c r="AY1136" s="246">
        <f>IFERROR(VLOOKUP(I1136,VOL_REC[],2,FALSE),0)</f>
        <v>240696.79238099116</v>
      </c>
      <c r="AZ1136" s="246">
        <f>IFERROR(VLOOKUP(J1136,VOL_REC[],2,FALSE),0)</f>
        <v>663244.80000000016</v>
      </c>
      <c r="BA1136" s="246">
        <f>IFERROR(VLOOKUP(K1136,VOL_REC[],2,FALSE),0)</f>
        <v>17074.045034105649</v>
      </c>
      <c r="BB1136" s="246">
        <f>IFERROR(VLOOKUP(L1136,VOL_REC[],2,FALSE),0)</f>
        <v>105072</v>
      </c>
      <c r="BC1136" s="246">
        <f>IFERROR(VLOOKUP(M1136,VOL_REC[],2,FALSE),0)</f>
        <v>0</v>
      </c>
      <c r="BD1136" s="246">
        <f>IFERROR(VLOOKUP(N1136,VOL_REC[],2,FALSE),0)</f>
        <v>0</v>
      </c>
      <c r="BE1136" s="246">
        <f>IFERROR(VLOOKUP(O1136,VOL_REC[],2,FALSE),0)</f>
        <v>0</v>
      </c>
      <c r="BF1136" s="246">
        <f>IFERROR(VLOOKUP(P1136,VOL_REC[],2,FALSE),0)</f>
        <v>0</v>
      </c>
      <c r="BG1136" s="246">
        <f>IFERROR(VLOOKUP(Q1136,VOL_REC[],2,FALSE),0)</f>
        <v>0</v>
      </c>
      <c r="BH1136" s="1710">
        <f t="shared" si="68"/>
        <v>10026225036.668756</v>
      </c>
      <c r="BI1136" s="1710">
        <f t="shared" si="69"/>
        <v>12663165094.453993</v>
      </c>
      <c r="BJ1136" s="1711">
        <f t="shared" si="70"/>
        <v>16531304.568636566</v>
      </c>
      <c r="BK1136" s="1711">
        <f t="shared" si="71"/>
        <v>0.79176295672397734</v>
      </c>
    </row>
    <row r="1137" spans="3:67" x14ac:dyDescent="0.25">
      <c r="C1137" s="246" t="s">
        <v>2487</v>
      </c>
      <c r="D1137" s="246">
        <v>1</v>
      </c>
      <c r="E1137" s="246">
        <v>2</v>
      </c>
      <c r="F1137" s="246">
        <v>3</v>
      </c>
      <c r="G1137" s="246">
        <v>4</v>
      </c>
      <c r="H1137" s="246">
        <v>5</v>
      </c>
      <c r="I1137" s="246">
        <v>12</v>
      </c>
      <c r="J1137" s="246">
        <v>13</v>
      </c>
      <c r="K1137" s="246">
        <v>14</v>
      </c>
      <c r="L1137" s="246">
        <v>16</v>
      </c>
      <c r="M1137" s="246"/>
      <c r="N1137" s="246"/>
      <c r="O1137" s="246"/>
      <c r="P1137" s="246"/>
      <c r="Q1137" s="246"/>
      <c r="R1137" s="246">
        <f>IFERROR(VLOOKUP(D1137,PROGRAMAS[],2,FALSE),0)</f>
        <v>97037803.679377079</v>
      </c>
      <c r="S1137" s="246">
        <f>IFERROR(VLOOKUP(E1137,PROGRAMAS[],2,FALSE),0)</f>
        <v>640501509.6821388</v>
      </c>
      <c r="T1137" s="246">
        <f>IFERROR(VLOOKUP(F1137,PROGRAMAS[],2,FALSE),0)</f>
        <v>3062327798.1525245</v>
      </c>
      <c r="U1137" s="246">
        <f>IFERROR(VLOOKUP(G1137,PROGRAMAS[],2,FALSE),0)</f>
        <v>67697118.033011258</v>
      </c>
      <c r="V1137" s="246">
        <f>IFERROR(VLOOKUP(H1137,PROGRAMAS[],2,FALSE),0)</f>
        <v>1440941976.2528784</v>
      </c>
      <c r="W1137" s="246">
        <f>IFERROR(VLOOKUP(I1137,PROGRAMAS[],2,FALSE),0)</f>
        <v>764796700.79905891</v>
      </c>
      <c r="X1137" s="246">
        <f>IFERROR(VLOOKUP(J1137,PROGRAMAS[],2,FALSE),0)</f>
        <v>3776538594.4604583</v>
      </c>
      <c r="Y1137" s="246">
        <f>IFERROR(VLOOKUP(K1137,PROGRAMAS[],2,FALSE),0)</f>
        <v>54223862.645839565</v>
      </c>
      <c r="Z1137" s="246">
        <f>IFERROR(VLOOKUP(L1137,PROGRAMAS[],2,FALSE),0)</f>
        <v>7068496961.0436354</v>
      </c>
      <c r="AA1137" s="246">
        <f>IFERROR(VLOOKUP(M1137,PROGRAMAS[],2,FALSE),0)</f>
        <v>0</v>
      </c>
      <c r="AB1137" s="246">
        <f>IFERROR(VLOOKUP(N1137,PROGRAMAS[],2,FALSE),0)</f>
        <v>0</v>
      </c>
      <c r="AC1137" s="246">
        <f>IFERROR(VLOOKUP(O1137,PROGRAMAS[],2,FALSE),0)</f>
        <v>0</v>
      </c>
      <c r="AD1137" s="246">
        <f>IFERROR(VLOOKUP(P1137,PROGRAMAS[],2,FALSE),0)</f>
        <v>0</v>
      </c>
      <c r="AE1137" s="246">
        <f>IFERROR(VLOOKUP(Q1137,PROGRAMAS[],2,FALSE),0)</f>
        <v>0</v>
      </c>
      <c r="AF1137" s="246">
        <f>IFERROR(VLOOKUP(D1137,PROGRAMAS[],3,FALSE),0)</f>
        <v>841888629.31080008</v>
      </c>
      <c r="AG1137" s="246">
        <f>IFERROR(VLOOKUP(E1137,PROGRAMAS[],3,FALSE),0)</f>
        <v>3848980803.1642323</v>
      </c>
      <c r="AH1137" s="246">
        <f>IFERROR(VLOOKUP(F1137,PROGRAMAS[],3,FALSE),0)</f>
        <v>3394901471.387517</v>
      </c>
      <c r="AI1137" s="246">
        <f>IFERROR(VLOOKUP(G1137,PROGRAMAS[],3,FALSE),0)</f>
        <v>125317226.95549992</v>
      </c>
      <c r="AJ1137" s="246">
        <f>IFERROR(VLOOKUP(H1137,PROGRAMAS[],3,FALSE),0)</f>
        <v>1233505101.0616004</v>
      </c>
      <c r="AK1137" s="246">
        <f>IFERROR(VLOOKUP(I1137,PROGRAMAS[],3,FALSE),0)</f>
        <v>675517840.109828</v>
      </c>
      <c r="AL1137" s="246">
        <f>IFERROR(VLOOKUP(J1137,PROGRAMAS[],3,FALSE),0)</f>
        <v>2392571243.5584412</v>
      </c>
      <c r="AM1137" s="246">
        <f>IFERROR(VLOOKUP(K1137,PROGRAMAS[],3,FALSE),0)</f>
        <v>31865326.38096505</v>
      </c>
      <c r="AN1137" s="246">
        <f>IFERROR(VLOOKUP(L1137,PROGRAMAS[],3,FALSE),0)</f>
        <v>2406564599.0319901</v>
      </c>
      <c r="AO1137" s="246">
        <f>IFERROR(VLOOKUP(M1137,PROGRAMAS[],3,FALSE),0)</f>
        <v>0</v>
      </c>
      <c r="AP1137" s="246">
        <f>IFERROR(VLOOKUP(N1137,PROGRAMAS[],3,FALSE),0)</f>
        <v>0</v>
      </c>
      <c r="AQ1137" s="246">
        <f>IFERROR(VLOOKUP(O1137,PROGRAMAS[],3,FALSE),0)</f>
        <v>0</v>
      </c>
      <c r="AR1137" s="246">
        <f>IFERROR(VLOOKUP(P1137,PROGRAMAS[],3,FALSE),0)</f>
        <v>0</v>
      </c>
      <c r="AS1137" s="246">
        <f>IFERROR(VLOOKUP(Q1137,PROGRAMAS[],3,FALSE),0)</f>
        <v>0</v>
      </c>
      <c r="AT1137" s="246">
        <f>IFERROR(VLOOKUP(D1137,VOL_REC[],2,FALSE),0)</f>
        <v>0</v>
      </c>
      <c r="AU1137" s="246">
        <f>IFERROR(VLOOKUP(E1137,VOL_REC[],2,FALSE),0)</f>
        <v>0</v>
      </c>
      <c r="AV1137" s="246">
        <f>IFERROR(VLOOKUP(F1137,VOL_REC[],2,FALSE),0)</f>
        <v>11089674.200000001</v>
      </c>
      <c r="AW1137" s="246">
        <f>IFERROR(VLOOKUP(G1137,VOL_REC[],2,FALSE),0)</f>
        <v>90439.55</v>
      </c>
      <c r="AX1137" s="246">
        <f>IFERROR(VLOOKUP(H1137,VOL_REC[],2,FALSE),0)</f>
        <v>4325103.1812214684</v>
      </c>
      <c r="AY1137" s="246">
        <f>IFERROR(VLOOKUP(I1137,VOL_REC[],2,FALSE),0)</f>
        <v>240696.79238099116</v>
      </c>
      <c r="AZ1137" s="246">
        <f>IFERROR(VLOOKUP(J1137,VOL_REC[],2,FALSE),0)</f>
        <v>663244.80000000016</v>
      </c>
      <c r="BA1137" s="246">
        <f>IFERROR(VLOOKUP(K1137,VOL_REC[],2,FALSE),0)</f>
        <v>17074.045034105649</v>
      </c>
      <c r="BB1137" s="246">
        <f>IFERROR(VLOOKUP(L1137,VOL_REC[],2,FALSE),0)</f>
        <v>1072354.9981737854</v>
      </c>
      <c r="BC1137" s="246">
        <f>IFERROR(VLOOKUP(M1137,VOL_REC[],2,FALSE),0)</f>
        <v>0</v>
      </c>
      <c r="BD1137" s="246">
        <f>IFERROR(VLOOKUP(N1137,VOL_REC[],2,FALSE),0)</f>
        <v>0</v>
      </c>
      <c r="BE1137" s="246">
        <f>IFERROR(VLOOKUP(O1137,VOL_REC[],2,FALSE),0)</f>
        <v>0</v>
      </c>
      <c r="BF1137" s="246">
        <f>IFERROR(VLOOKUP(P1137,VOL_REC[],2,FALSE),0)</f>
        <v>0</v>
      </c>
      <c r="BG1137" s="246">
        <f>IFERROR(VLOOKUP(Q1137,VOL_REC[],2,FALSE),0)</f>
        <v>0</v>
      </c>
      <c r="BH1137" s="1710">
        <f t="shared" si="68"/>
        <v>16972562324.748924</v>
      </c>
      <c r="BI1137" s="1710">
        <f t="shared" si="69"/>
        <v>14951112240.960875</v>
      </c>
      <c r="BJ1137" s="1711">
        <f t="shared" si="70"/>
        <v>17498587.566810351</v>
      </c>
      <c r="BK1137" s="1711">
        <f t="shared" si="71"/>
        <v>1.1352039936032301</v>
      </c>
      <c r="BL1137">
        <f>BJ1137</f>
        <v>17498587.566810351</v>
      </c>
      <c r="BO1137">
        <f>BL1137</f>
        <v>17498587.566810351</v>
      </c>
    </row>
    <row r="1138" spans="3:67" x14ac:dyDescent="0.25">
      <c r="C1138" s="246" t="s">
        <v>2488</v>
      </c>
      <c r="D1138" s="246">
        <v>1</v>
      </c>
      <c r="E1138" s="246">
        <v>2</v>
      </c>
      <c r="F1138" s="246">
        <v>3</v>
      </c>
      <c r="G1138" s="246">
        <v>4</v>
      </c>
      <c r="H1138" s="246">
        <v>5</v>
      </c>
      <c r="I1138" s="246">
        <v>12</v>
      </c>
      <c r="J1138" s="246">
        <v>13</v>
      </c>
      <c r="K1138" s="246">
        <v>14</v>
      </c>
      <c r="L1138" s="246">
        <v>17</v>
      </c>
      <c r="M1138" s="246"/>
      <c r="N1138" s="246"/>
      <c r="O1138" s="246"/>
      <c r="P1138" s="246"/>
      <c r="Q1138" s="246"/>
      <c r="R1138" s="246">
        <f>IFERROR(VLOOKUP(D1138,PROGRAMAS[],2,FALSE),0)</f>
        <v>97037803.679377079</v>
      </c>
      <c r="S1138" s="246">
        <f>IFERROR(VLOOKUP(E1138,PROGRAMAS[],2,FALSE),0)</f>
        <v>640501509.6821388</v>
      </c>
      <c r="T1138" s="246">
        <f>IFERROR(VLOOKUP(F1138,PROGRAMAS[],2,FALSE),0)</f>
        <v>3062327798.1525245</v>
      </c>
      <c r="U1138" s="246">
        <f>IFERROR(VLOOKUP(G1138,PROGRAMAS[],2,FALSE),0)</f>
        <v>67697118.033011258</v>
      </c>
      <c r="V1138" s="246">
        <f>IFERROR(VLOOKUP(H1138,PROGRAMAS[],2,FALSE),0)</f>
        <v>1440941976.2528784</v>
      </c>
      <c r="W1138" s="246">
        <f>IFERROR(VLOOKUP(I1138,PROGRAMAS[],2,FALSE),0)</f>
        <v>764796700.79905891</v>
      </c>
      <c r="X1138" s="246">
        <f>IFERROR(VLOOKUP(J1138,PROGRAMAS[],2,FALSE),0)</f>
        <v>3776538594.4604583</v>
      </c>
      <c r="Y1138" s="246">
        <f>IFERROR(VLOOKUP(K1138,PROGRAMAS[],2,FALSE),0)</f>
        <v>54223862.645839565</v>
      </c>
      <c r="Z1138" s="246">
        <f>IFERROR(VLOOKUP(L1138,PROGRAMAS[],2,FALSE),0)</f>
        <v>1892779498.5211046</v>
      </c>
      <c r="AA1138" s="246">
        <f>IFERROR(VLOOKUP(M1138,PROGRAMAS[],2,FALSE),0)</f>
        <v>0</v>
      </c>
      <c r="AB1138" s="246">
        <f>IFERROR(VLOOKUP(N1138,PROGRAMAS[],2,FALSE),0)</f>
        <v>0</v>
      </c>
      <c r="AC1138" s="246">
        <f>IFERROR(VLOOKUP(O1138,PROGRAMAS[],2,FALSE),0)</f>
        <v>0</v>
      </c>
      <c r="AD1138" s="246">
        <f>IFERROR(VLOOKUP(P1138,PROGRAMAS[],2,FALSE),0)</f>
        <v>0</v>
      </c>
      <c r="AE1138" s="246">
        <f>IFERROR(VLOOKUP(Q1138,PROGRAMAS[],2,FALSE),0)</f>
        <v>0</v>
      </c>
      <c r="AF1138" s="246">
        <f>IFERROR(VLOOKUP(D1138,PROGRAMAS[],3,FALSE),0)</f>
        <v>841888629.31080008</v>
      </c>
      <c r="AG1138" s="246">
        <f>IFERROR(VLOOKUP(E1138,PROGRAMAS[],3,FALSE),0)</f>
        <v>3848980803.1642323</v>
      </c>
      <c r="AH1138" s="246">
        <f>IFERROR(VLOOKUP(F1138,PROGRAMAS[],3,FALSE),0)</f>
        <v>3394901471.387517</v>
      </c>
      <c r="AI1138" s="246">
        <f>IFERROR(VLOOKUP(G1138,PROGRAMAS[],3,FALSE),0)</f>
        <v>125317226.95549992</v>
      </c>
      <c r="AJ1138" s="246">
        <f>IFERROR(VLOOKUP(H1138,PROGRAMAS[],3,FALSE),0)</f>
        <v>1233505101.0616004</v>
      </c>
      <c r="AK1138" s="246">
        <f>IFERROR(VLOOKUP(I1138,PROGRAMAS[],3,FALSE),0)</f>
        <v>675517840.109828</v>
      </c>
      <c r="AL1138" s="246">
        <f>IFERROR(VLOOKUP(J1138,PROGRAMAS[],3,FALSE),0)</f>
        <v>2392571243.5584412</v>
      </c>
      <c r="AM1138" s="246">
        <f>IFERROR(VLOOKUP(K1138,PROGRAMAS[],3,FALSE),0)</f>
        <v>31865326.38096505</v>
      </c>
      <c r="AN1138" s="246">
        <f>IFERROR(VLOOKUP(L1138,PROGRAMAS[],3,FALSE),0)</f>
        <v>948595847.09039903</v>
      </c>
      <c r="AO1138" s="246">
        <f>IFERROR(VLOOKUP(M1138,PROGRAMAS[],3,FALSE),0)</f>
        <v>0</v>
      </c>
      <c r="AP1138" s="246">
        <f>IFERROR(VLOOKUP(N1138,PROGRAMAS[],3,FALSE),0)</f>
        <v>0</v>
      </c>
      <c r="AQ1138" s="246">
        <f>IFERROR(VLOOKUP(O1138,PROGRAMAS[],3,FALSE),0)</f>
        <v>0</v>
      </c>
      <c r="AR1138" s="246">
        <f>IFERROR(VLOOKUP(P1138,PROGRAMAS[],3,FALSE),0)</f>
        <v>0</v>
      </c>
      <c r="AS1138" s="246">
        <f>IFERROR(VLOOKUP(Q1138,PROGRAMAS[],3,FALSE),0)</f>
        <v>0</v>
      </c>
      <c r="AT1138" s="246">
        <f>IFERROR(VLOOKUP(D1138,VOL_REC[],2,FALSE),0)</f>
        <v>0</v>
      </c>
      <c r="AU1138" s="246">
        <f>IFERROR(VLOOKUP(E1138,VOL_REC[],2,FALSE),0)</f>
        <v>0</v>
      </c>
      <c r="AV1138" s="246">
        <f>IFERROR(VLOOKUP(F1138,VOL_REC[],2,FALSE),0)</f>
        <v>11089674.200000001</v>
      </c>
      <c r="AW1138" s="246">
        <f>IFERROR(VLOOKUP(G1138,VOL_REC[],2,FALSE),0)</f>
        <v>90439.55</v>
      </c>
      <c r="AX1138" s="246">
        <f>IFERROR(VLOOKUP(H1138,VOL_REC[],2,FALSE),0)</f>
        <v>4325103.1812214684</v>
      </c>
      <c r="AY1138" s="246">
        <f>IFERROR(VLOOKUP(I1138,VOL_REC[],2,FALSE),0)</f>
        <v>240696.79238099116</v>
      </c>
      <c r="AZ1138" s="246">
        <f>IFERROR(VLOOKUP(J1138,VOL_REC[],2,FALSE),0)</f>
        <v>663244.80000000016</v>
      </c>
      <c r="BA1138" s="246">
        <f>IFERROR(VLOOKUP(K1138,VOL_REC[],2,FALSE),0)</f>
        <v>17074.045034105649</v>
      </c>
      <c r="BB1138" s="246">
        <f>IFERROR(VLOOKUP(L1138,VOL_REC[],2,FALSE),0)</f>
        <v>740113.98115702497</v>
      </c>
      <c r="BC1138" s="246">
        <f>IFERROR(VLOOKUP(M1138,VOL_REC[],2,FALSE),0)</f>
        <v>0</v>
      </c>
      <c r="BD1138" s="246">
        <f>IFERROR(VLOOKUP(N1138,VOL_REC[],2,FALSE),0)</f>
        <v>0</v>
      </c>
      <c r="BE1138" s="246">
        <f>IFERROR(VLOOKUP(O1138,VOL_REC[],2,FALSE),0)</f>
        <v>0</v>
      </c>
      <c r="BF1138" s="246">
        <f>IFERROR(VLOOKUP(P1138,VOL_REC[],2,FALSE),0)</f>
        <v>0</v>
      </c>
      <c r="BG1138" s="246">
        <f>IFERROR(VLOOKUP(Q1138,VOL_REC[],2,FALSE),0)</f>
        <v>0</v>
      </c>
      <c r="BH1138" s="1710">
        <f t="shared" si="68"/>
        <v>11796844862.226393</v>
      </c>
      <c r="BI1138" s="1710">
        <f t="shared" si="69"/>
        <v>13493143489.019283</v>
      </c>
      <c r="BJ1138" s="1711">
        <f t="shared" si="70"/>
        <v>17166346.54979359</v>
      </c>
      <c r="BK1138" s="1711">
        <f t="shared" si="71"/>
        <v>0.87428440020864395</v>
      </c>
    </row>
    <row r="1139" spans="3:67" x14ac:dyDescent="0.25">
      <c r="C1139" s="246" t="s">
        <v>2489</v>
      </c>
      <c r="D1139" s="246">
        <v>1</v>
      </c>
      <c r="E1139" s="246">
        <v>2</v>
      </c>
      <c r="F1139" s="246">
        <v>3</v>
      </c>
      <c r="G1139" s="246">
        <v>4</v>
      </c>
      <c r="H1139" s="246">
        <v>5</v>
      </c>
      <c r="I1139" s="246">
        <v>12</v>
      </c>
      <c r="J1139" s="246">
        <v>13</v>
      </c>
      <c r="K1139" s="246">
        <v>15</v>
      </c>
      <c r="L1139" s="246">
        <v>16</v>
      </c>
      <c r="M1139" s="246"/>
      <c r="N1139" s="246"/>
      <c r="O1139" s="246"/>
      <c r="P1139" s="246"/>
      <c r="Q1139" s="246"/>
      <c r="R1139" s="246">
        <f>IFERROR(VLOOKUP(D1139,PROGRAMAS[],2,FALSE),0)</f>
        <v>97037803.679377079</v>
      </c>
      <c r="S1139" s="246">
        <f>IFERROR(VLOOKUP(E1139,PROGRAMAS[],2,FALSE),0)</f>
        <v>640501509.6821388</v>
      </c>
      <c r="T1139" s="246">
        <f>IFERROR(VLOOKUP(F1139,PROGRAMAS[],2,FALSE),0)</f>
        <v>3062327798.1525245</v>
      </c>
      <c r="U1139" s="246">
        <f>IFERROR(VLOOKUP(G1139,PROGRAMAS[],2,FALSE),0)</f>
        <v>67697118.033011258</v>
      </c>
      <c r="V1139" s="246">
        <f>IFERROR(VLOOKUP(H1139,PROGRAMAS[],2,FALSE),0)</f>
        <v>1440941976.2528784</v>
      </c>
      <c r="W1139" s="246">
        <f>IFERROR(VLOOKUP(I1139,PROGRAMAS[],2,FALSE),0)</f>
        <v>764796700.79905891</v>
      </c>
      <c r="X1139" s="246">
        <f>IFERROR(VLOOKUP(J1139,PROGRAMAS[],2,FALSE),0)</f>
        <v>3776538594.4604583</v>
      </c>
      <c r="Y1139" s="246">
        <f>IFERROR(VLOOKUP(K1139,PROGRAMAS[],2,FALSE),0)</f>
        <v>122159672.96346797</v>
      </c>
      <c r="Z1139" s="246">
        <f>IFERROR(VLOOKUP(L1139,PROGRAMAS[],2,FALSE),0)</f>
        <v>7068496961.0436354</v>
      </c>
      <c r="AA1139" s="246">
        <f>IFERROR(VLOOKUP(M1139,PROGRAMAS[],2,FALSE),0)</f>
        <v>0</v>
      </c>
      <c r="AB1139" s="246">
        <f>IFERROR(VLOOKUP(N1139,PROGRAMAS[],2,FALSE),0)</f>
        <v>0</v>
      </c>
      <c r="AC1139" s="246">
        <f>IFERROR(VLOOKUP(O1139,PROGRAMAS[],2,FALSE),0)</f>
        <v>0</v>
      </c>
      <c r="AD1139" s="246">
        <f>IFERROR(VLOOKUP(P1139,PROGRAMAS[],2,FALSE),0)</f>
        <v>0</v>
      </c>
      <c r="AE1139" s="246">
        <f>IFERROR(VLOOKUP(Q1139,PROGRAMAS[],2,FALSE),0)</f>
        <v>0</v>
      </c>
      <c r="AF1139" s="246">
        <f>IFERROR(VLOOKUP(D1139,PROGRAMAS[],3,FALSE),0)</f>
        <v>841888629.31080008</v>
      </c>
      <c r="AG1139" s="246">
        <f>IFERROR(VLOOKUP(E1139,PROGRAMAS[],3,FALSE),0)</f>
        <v>3848980803.1642323</v>
      </c>
      <c r="AH1139" s="246">
        <f>IFERROR(VLOOKUP(F1139,PROGRAMAS[],3,FALSE),0)</f>
        <v>3394901471.387517</v>
      </c>
      <c r="AI1139" s="246">
        <f>IFERROR(VLOOKUP(G1139,PROGRAMAS[],3,FALSE),0)</f>
        <v>125317226.95549992</v>
      </c>
      <c r="AJ1139" s="246">
        <f>IFERROR(VLOOKUP(H1139,PROGRAMAS[],3,FALSE),0)</f>
        <v>1233505101.0616004</v>
      </c>
      <c r="AK1139" s="246">
        <f>IFERROR(VLOOKUP(I1139,PROGRAMAS[],3,FALSE),0)</f>
        <v>675517840.109828</v>
      </c>
      <c r="AL1139" s="246">
        <f>IFERROR(VLOOKUP(J1139,PROGRAMAS[],3,FALSE),0)</f>
        <v>2392571243.5584412</v>
      </c>
      <c r="AM1139" s="246">
        <f>IFERROR(VLOOKUP(K1139,PROGRAMAS[],3,FALSE),0)</f>
        <v>118617452.52510804</v>
      </c>
      <c r="AN1139" s="246">
        <f>IFERROR(VLOOKUP(L1139,PROGRAMAS[],3,FALSE),0)</f>
        <v>2406564599.0319901</v>
      </c>
      <c r="AO1139" s="246">
        <f>IFERROR(VLOOKUP(M1139,PROGRAMAS[],3,FALSE),0)</f>
        <v>0</v>
      </c>
      <c r="AP1139" s="246">
        <f>IFERROR(VLOOKUP(N1139,PROGRAMAS[],3,FALSE),0)</f>
        <v>0</v>
      </c>
      <c r="AQ1139" s="246">
        <f>IFERROR(VLOOKUP(O1139,PROGRAMAS[],3,FALSE),0)</f>
        <v>0</v>
      </c>
      <c r="AR1139" s="246">
        <f>IFERROR(VLOOKUP(P1139,PROGRAMAS[],3,FALSE),0)</f>
        <v>0</v>
      </c>
      <c r="AS1139" s="246">
        <f>IFERROR(VLOOKUP(Q1139,PROGRAMAS[],3,FALSE),0)</f>
        <v>0</v>
      </c>
      <c r="AT1139" s="246">
        <f>IFERROR(VLOOKUP(D1139,VOL_REC[],2,FALSE),0)</f>
        <v>0</v>
      </c>
      <c r="AU1139" s="246">
        <f>IFERROR(VLOOKUP(E1139,VOL_REC[],2,FALSE),0)</f>
        <v>0</v>
      </c>
      <c r="AV1139" s="246">
        <f>IFERROR(VLOOKUP(F1139,VOL_REC[],2,FALSE),0)</f>
        <v>11089674.200000001</v>
      </c>
      <c r="AW1139" s="246">
        <f>IFERROR(VLOOKUP(G1139,VOL_REC[],2,FALSE),0)</f>
        <v>90439.55</v>
      </c>
      <c r="AX1139" s="246">
        <f>IFERROR(VLOOKUP(H1139,VOL_REC[],2,FALSE),0)</f>
        <v>4325103.1812214684</v>
      </c>
      <c r="AY1139" s="246">
        <f>IFERROR(VLOOKUP(I1139,VOL_REC[],2,FALSE),0)</f>
        <v>240696.79238099116</v>
      </c>
      <c r="AZ1139" s="246">
        <f>IFERROR(VLOOKUP(J1139,VOL_REC[],2,FALSE),0)</f>
        <v>663244.80000000016</v>
      </c>
      <c r="BA1139" s="246">
        <f>IFERROR(VLOOKUP(K1139,VOL_REC[],2,FALSE),0)</f>
        <v>105072</v>
      </c>
      <c r="BB1139" s="246">
        <f>IFERROR(VLOOKUP(L1139,VOL_REC[],2,FALSE),0)</f>
        <v>1072354.9981737854</v>
      </c>
      <c r="BC1139" s="246">
        <f>IFERROR(VLOOKUP(M1139,VOL_REC[],2,FALSE),0)</f>
        <v>0</v>
      </c>
      <c r="BD1139" s="246">
        <f>IFERROR(VLOOKUP(N1139,VOL_REC[],2,FALSE),0)</f>
        <v>0</v>
      </c>
      <c r="BE1139" s="246">
        <f>IFERROR(VLOOKUP(O1139,VOL_REC[],2,FALSE),0)</f>
        <v>0</v>
      </c>
      <c r="BF1139" s="246">
        <f>IFERROR(VLOOKUP(P1139,VOL_REC[],2,FALSE),0)</f>
        <v>0</v>
      </c>
      <c r="BG1139" s="246">
        <f>IFERROR(VLOOKUP(Q1139,VOL_REC[],2,FALSE),0)</f>
        <v>0</v>
      </c>
      <c r="BH1139" s="1710">
        <f t="shared" si="68"/>
        <v>17040498135.066551</v>
      </c>
      <c r="BI1139" s="1710">
        <f t="shared" si="69"/>
        <v>15037864367.105019</v>
      </c>
      <c r="BJ1139" s="1711">
        <f t="shared" si="70"/>
        <v>17586585.521776248</v>
      </c>
      <c r="BK1139" s="1711">
        <f t="shared" si="71"/>
        <v>1.1331727510684462</v>
      </c>
      <c r="BL1139">
        <f>BJ1139</f>
        <v>17586585.521776248</v>
      </c>
      <c r="BO1139">
        <f>BL1139</f>
        <v>17586585.521776248</v>
      </c>
    </row>
    <row r="1140" spans="3:67" x14ac:dyDescent="0.25">
      <c r="C1140" s="246" t="s">
        <v>2490</v>
      </c>
      <c r="D1140" s="246">
        <v>1</v>
      </c>
      <c r="E1140" s="246">
        <v>2</v>
      </c>
      <c r="F1140" s="246">
        <v>3</v>
      </c>
      <c r="G1140" s="246">
        <v>4</v>
      </c>
      <c r="H1140" s="246">
        <v>5</v>
      </c>
      <c r="I1140" s="246">
        <v>12</v>
      </c>
      <c r="J1140" s="246">
        <v>13</v>
      </c>
      <c r="K1140" s="246">
        <v>15</v>
      </c>
      <c r="L1140" s="246">
        <v>17</v>
      </c>
      <c r="M1140" s="246"/>
      <c r="N1140" s="246"/>
      <c r="O1140" s="246"/>
      <c r="P1140" s="246"/>
      <c r="Q1140" s="246"/>
      <c r="R1140" s="246">
        <f>IFERROR(VLOOKUP(D1140,PROGRAMAS[],2,FALSE),0)</f>
        <v>97037803.679377079</v>
      </c>
      <c r="S1140" s="246">
        <f>IFERROR(VLOOKUP(E1140,PROGRAMAS[],2,FALSE),0)</f>
        <v>640501509.6821388</v>
      </c>
      <c r="T1140" s="246">
        <f>IFERROR(VLOOKUP(F1140,PROGRAMAS[],2,FALSE),0)</f>
        <v>3062327798.1525245</v>
      </c>
      <c r="U1140" s="246">
        <f>IFERROR(VLOOKUP(G1140,PROGRAMAS[],2,FALSE),0)</f>
        <v>67697118.033011258</v>
      </c>
      <c r="V1140" s="246">
        <f>IFERROR(VLOOKUP(H1140,PROGRAMAS[],2,FALSE),0)</f>
        <v>1440941976.2528784</v>
      </c>
      <c r="W1140" s="246">
        <f>IFERROR(VLOOKUP(I1140,PROGRAMAS[],2,FALSE),0)</f>
        <v>764796700.79905891</v>
      </c>
      <c r="X1140" s="246">
        <f>IFERROR(VLOOKUP(J1140,PROGRAMAS[],2,FALSE),0)</f>
        <v>3776538594.4604583</v>
      </c>
      <c r="Y1140" s="246">
        <f>IFERROR(VLOOKUP(K1140,PROGRAMAS[],2,FALSE),0)</f>
        <v>122159672.96346797</v>
      </c>
      <c r="Z1140" s="246">
        <f>IFERROR(VLOOKUP(L1140,PROGRAMAS[],2,FALSE),0)</f>
        <v>1892779498.5211046</v>
      </c>
      <c r="AA1140" s="246">
        <f>IFERROR(VLOOKUP(M1140,PROGRAMAS[],2,FALSE),0)</f>
        <v>0</v>
      </c>
      <c r="AB1140" s="246">
        <f>IFERROR(VLOOKUP(N1140,PROGRAMAS[],2,FALSE),0)</f>
        <v>0</v>
      </c>
      <c r="AC1140" s="246">
        <f>IFERROR(VLOOKUP(O1140,PROGRAMAS[],2,FALSE),0)</f>
        <v>0</v>
      </c>
      <c r="AD1140" s="246">
        <f>IFERROR(VLOOKUP(P1140,PROGRAMAS[],2,FALSE),0)</f>
        <v>0</v>
      </c>
      <c r="AE1140" s="246">
        <f>IFERROR(VLOOKUP(Q1140,PROGRAMAS[],2,FALSE),0)</f>
        <v>0</v>
      </c>
      <c r="AF1140" s="246">
        <f>IFERROR(VLOOKUP(D1140,PROGRAMAS[],3,FALSE),0)</f>
        <v>841888629.31080008</v>
      </c>
      <c r="AG1140" s="246">
        <f>IFERROR(VLOOKUP(E1140,PROGRAMAS[],3,FALSE),0)</f>
        <v>3848980803.1642323</v>
      </c>
      <c r="AH1140" s="246">
        <f>IFERROR(VLOOKUP(F1140,PROGRAMAS[],3,FALSE),0)</f>
        <v>3394901471.387517</v>
      </c>
      <c r="AI1140" s="246">
        <f>IFERROR(VLOOKUP(G1140,PROGRAMAS[],3,FALSE),0)</f>
        <v>125317226.95549992</v>
      </c>
      <c r="AJ1140" s="246">
        <f>IFERROR(VLOOKUP(H1140,PROGRAMAS[],3,FALSE),0)</f>
        <v>1233505101.0616004</v>
      </c>
      <c r="AK1140" s="246">
        <f>IFERROR(VLOOKUP(I1140,PROGRAMAS[],3,FALSE),0)</f>
        <v>675517840.109828</v>
      </c>
      <c r="AL1140" s="246">
        <f>IFERROR(VLOOKUP(J1140,PROGRAMAS[],3,FALSE),0)</f>
        <v>2392571243.5584412</v>
      </c>
      <c r="AM1140" s="246">
        <f>IFERROR(VLOOKUP(K1140,PROGRAMAS[],3,FALSE),0)</f>
        <v>118617452.52510804</v>
      </c>
      <c r="AN1140" s="246">
        <f>IFERROR(VLOOKUP(L1140,PROGRAMAS[],3,FALSE),0)</f>
        <v>948595847.09039903</v>
      </c>
      <c r="AO1140" s="246">
        <f>IFERROR(VLOOKUP(M1140,PROGRAMAS[],3,FALSE),0)</f>
        <v>0</v>
      </c>
      <c r="AP1140" s="246">
        <f>IFERROR(VLOOKUP(N1140,PROGRAMAS[],3,FALSE),0)</f>
        <v>0</v>
      </c>
      <c r="AQ1140" s="246">
        <f>IFERROR(VLOOKUP(O1140,PROGRAMAS[],3,FALSE),0)</f>
        <v>0</v>
      </c>
      <c r="AR1140" s="246">
        <f>IFERROR(VLOOKUP(P1140,PROGRAMAS[],3,FALSE),0)</f>
        <v>0</v>
      </c>
      <c r="AS1140" s="246">
        <f>IFERROR(VLOOKUP(Q1140,PROGRAMAS[],3,FALSE),0)</f>
        <v>0</v>
      </c>
      <c r="AT1140" s="246">
        <f>IFERROR(VLOOKUP(D1140,VOL_REC[],2,FALSE),0)</f>
        <v>0</v>
      </c>
      <c r="AU1140" s="246">
        <f>IFERROR(VLOOKUP(E1140,VOL_REC[],2,FALSE),0)</f>
        <v>0</v>
      </c>
      <c r="AV1140" s="246">
        <f>IFERROR(VLOOKUP(F1140,VOL_REC[],2,FALSE),0)</f>
        <v>11089674.200000001</v>
      </c>
      <c r="AW1140" s="246">
        <f>IFERROR(VLOOKUP(G1140,VOL_REC[],2,FALSE),0)</f>
        <v>90439.55</v>
      </c>
      <c r="AX1140" s="246">
        <f>IFERROR(VLOOKUP(H1140,VOL_REC[],2,FALSE),0)</f>
        <v>4325103.1812214684</v>
      </c>
      <c r="AY1140" s="246">
        <f>IFERROR(VLOOKUP(I1140,VOL_REC[],2,FALSE),0)</f>
        <v>240696.79238099116</v>
      </c>
      <c r="AZ1140" s="246">
        <f>IFERROR(VLOOKUP(J1140,VOL_REC[],2,FALSE),0)</f>
        <v>663244.80000000016</v>
      </c>
      <c r="BA1140" s="246">
        <f>IFERROR(VLOOKUP(K1140,VOL_REC[],2,FALSE),0)</f>
        <v>105072</v>
      </c>
      <c r="BB1140" s="246">
        <f>IFERROR(VLOOKUP(L1140,VOL_REC[],2,FALSE),0)</f>
        <v>740113.98115702497</v>
      </c>
      <c r="BC1140" s="246">
        <f>IFERROR(VLOOKUP(M1140,VOL_REC[],2,FALSE),0)</f>
        <v>0</v>
      </c>
      <c r="BD1140" s="246">
        <f>IFERROR(VLOOKUP(N1140,VOL_REC[],2,FALSE),0)</f>
        <v>0</v>
      </c>
      <c r="BE1140" s="246">
        <f>IFERROR(VLOOKUP(O1140,VOL_REC[],2,FALSE),0)</f>
        <v>0</v>
      </c>
      <c r="BF1140" s="246">
        <f>IFERROR(VLOOKUP(P1140,VOL_REC[],2,FALSE),0)</f>
        <v>0</v>
      </c>
      <c r="BG1140" s="246">
        <f>IFERROR(VLOOKUP(Q1140,VOL_REC[],2,FALSE),0)</f>
        <v>0</v>
      </c>
      <c r="BH1140" s="1710">
        <f t="shared" si="68"/>
        <v>11864780672.544022</v>
      </c>
      <c r="BI1140" s="1710">
        <f t="shared" si="69"/>
        <v>13579895615.163427</v>
      </c>
      <c r="BJ1140" s="1711">
        <f t="shared" si="70"/>
        <v>17254344.504759487</v>
      </c>
      <c r="BK1140" s="1711">
        <f t="shared" si="71"/>
        <v>0.87370190528531799</v>
      </c>
    </row>
    <row r="1141" spans="3:67" x14ac:dyDescent="0.25">
      <c r="C1141" s="246" t="s">
        <v>2491</v>
      </c>
      <c r="D1141" s="246">
        <v>1</v>
      </c>
      <c r="E1141" s="246">
        <v>2</v>
      </c>
      <c r="F1141" s="246">
        <v>3</v>
      </c>
      <c r="G1141" s="246">
        <v>4</v>
      </c>
      <c r="H1141" s="246">
        <v>5</v>
      </c>
      <c r="I1141" s="246">
        <v>12</v>
      </c>
      <c r="J1141" s="246">
        <v>13</v>
      </c>
      <c r="K1141" s="246">
        <v>16</v>
      </c>
      <c r="L1141" s="246">
        <v>17</v>
      </c>
      <c r="M1141" s="246"/>
      <c r="N1141" s="246"/>
      <c r="O1141" s="246"/>
      <c r="P1141" s="246"/>
      <c r="Q1141" s="246"/>
      <c r="R1141" s="246">
        <f>IFERROR(VLOOKUP(D1141,PROGRAMAS[],2,FALSE),0)</f>
        <v>97037803.679377079</v>
      </c>
      <c r="S1141" s="246">
        <f>IFERROR(VLOOKUP(E1141,PROGRAMAS[],2,FALSE),0)</f>
        <v>640501509.6821388</v>
      </c>
      <c r="T1141" s="246">
        <f>IFERROR(VLOOKUP(F1141,PROGRAMAS[],2,FALSE),0)</f>
        <v>3062327798.1525245</v>
      </c>
      <c r="U1141" s="246">
        <f>IFERROR(VLOOKUP(G1141,PROGRAMAS[],2,FALSE),0)</f>
        <v>67697118.033011258</v>
      </c>
      <c r="V1141" s="246">
        <f>IFERROR(VLOOKUP(H1141,PROGRAMAS[],2,FALSE),0)</f>
        <v>1440941976.2528784</v>
      </c>
      <c r="W1141" s="246">
        <f>IFERROR(VLOOKUP(I1141,PROGRAMAS[],2,FALSE),0)</f>
        <v>764796700.79905891</v>
      </c>
      <c r="X1141" s="246">
        <f>IFERROR(VLOOKUP(J1141,PROGRAMAS[],2,FALSE),0)</f>
        <v>3776538594.4604583</v>
      </c>
      <c r="Y1141" s="246">
        <f>IFERROR(VLOOKUP(K1141,PROGRAMAS[],2,FALSE),0)</f>
        <v>7068496961.0436354</v>
      </c>
      <c r="Z1141" s="246">
        <f>IFERROR(VLOOKUP(L1141,PROGRAMAS[],2,FALSE),0)</f>
        <v>1892779498.5211046</v>
      </c>
      <c r="AA1141" s="246">
        <f>IFERROR(VLOOKUP(M1141,PROGRAMAS[],2,FALSE),0)</f>
        <v>0</v>
      </c>
      <c r="AB1141" s="246">
        <f>IFERROR(VLOOKUP(N1141,PROGRAMAS[],2,FALSE),0)</f>
        <v>0</v>
      </c>
      <c r="AC1141" s="246">
        <f>IFERROR(VLOOKUP(O1141,PROGRAMAS[],2,FALSE),0)</f>
        <v>0</v>
      </c>
      <c r="AD1141" s="246">
        <f>IFERROR(VLOOKUP(P1141,PROGRAMAS[],2,FALSE),0)</f>
        <v>0</v>
      </c>
      <c r="AE1141" s="246">
        <f>IFERROR(VLOOKUP(Q1141,PROGRAMAS[],2,FALSE),0)</f>
        <v>0</v>
      </c>
      <c r="AF1141" s="246">
        <f>IFERROR(VLOOKUP(D1141,PROGRAMAS[],3,FALSE),0)</f>
        <v>841888629.31080008</v>
      </c>
      <c r="AG1141" s="246">
        <f>IFERROR(VLOOKUP(E1141,PROGRAMAS[],3,FALSE),0)</f>
        <v>3848980803.1642323</v>
      </c>
      <c r="AH1141" s="246">
        <f>IFERROR(VLOOKUP(F1141,PROGRAMAS[],3,FALSE),0)</f>
        <v>3394901471.387517</v>
      </c>
      <c r="AI1141" s="246">
        <f>IFERROR(VLOOKUP(G1141,PROGRAMAS[],3,FALSE),0)</f>
        <v>125317226.95549992</v>
      </c>
      <c r="AJ1141" s="246">
        <f>IFERROR(VLOOKUP(H1141,PROGRAMAS[],3,FALSE),0)</f>
        <v>1233505101.0616004</v>
      </c>
      <c r="AK1141" s="246">
        <f>IFERROR(VLOOKUP(I1141,PROGRAMAS[],3,FALSE),0)</f>
        <v>675517840.109828</v>
      </c>
      <c r="AL1141" s="246">
        <f>IFERROR(VLOOKUP(J1141,PROGRAMAS[],3,FALSE),0)</f>
        <v>2392571243.5584412</v>
      </c>
      <c r="AM1141" s="246">
        <f>IFERROR(VLOOKUP(K1141,PROGRAMAS[],3,FALSE),0)</f>
        <v>2406564599.0319901</v>
      </c>
      <c r="AN1141" s="246">
        <f>IFERROR(VLOOKUP(L1141,PROGRAMAS[],3,FALSE),0)</f>
        <v>948595847.09039903</v>
      </c>
      <c r="AO1141" s="246">
        <f>IFERROR(VLOOKUP(M1141,PROGRAMAS[],3,FALSE),0)</f>
        <v>0</v>
      </c>
      <c r="AP1141" s="246">
        <f>IFERROR(VLOOKUP(N1141,PROGRAMAS[],3,FALSE),0)</f>
        <v>0</v>
      </c>
      <c r="AQ1141" s="246">
        <f>IFERROR(VLOOKUP(O1141,PROGRAMAS[],3,FALSE),0)</f>
        <v>0</v>
      </c>
      <c r="AR1141" s="246">
        <f>IFERROR(VLOOKUP(P1141,PROGRAMAS[],3,FALSE),0)</f>
        <v>0</v>
      </c>
      <c r="AS1141" s="246">
        <f>IFERROR(VLOOKUP(Q1141,PROGRAMAS[],3,FALSE),0)</f>
        <v>0</v>
      </c>
      <c r="AT1141" s="246">
        <f>IFERROR(VLOOKUP(D1141,VOL_REC[],2,FALSE),0)</f>
        <v>0</v>
      </c>
      <c r="AU1141" s="246">
        <f>IFERROR(VLOOKUP(E1141,VOL_REC[],2,FALSE),0)</f>
        <v>0</v>
      </c>
      <c r="AV1141" s="246">
        <f>IFERROR(VLOOKUP(F1141,VOL_REC[],2,FALSE),0)</f>
        <v>11089674.200000001</v>
      </c>
      <c r="AW1141" s="246">
        <f>IFERROR(VLOOKUP(G1141,VOL_REC[],2,FALSE),0)</f>
        <v>90439.55</v>
      </c>
      <c r="AX1141" s="246">
        <f>IFERROR(VLOOKUP(H1141,VOL_REC[],2,FALSE),0)</f>
        <v>4325103.1812214684</v>
      </c>
      <c r="AY1141" s="246">
        <f>IFERROR(VLOOKUP(I1141,VOL_REC[],2,FALSE),0)</f>
        <v>240696.79238099116</v>
      </c>
      <c r="AZ1141" s="246">
        <f>IFERROR(VLOOKUP(J1141,VOL_REC[],2,FALSE),0)</f>
        <v>663244.80000000016</v>
      </c>
      <c r="BA1141" s="246">
        <f>IFERROR(VLOOKUP(K1141,VOL_REC[],2,FALSE),0)</f>
        <v>1072354.9981737854</v>
      </c>
      <c r="BB1141" s="246">
        <f>IFERROR(VLOOKUP(L1141,VOL_REC[],2,FALSE),0)</f>
        <v>740113.98115702497</v>
      </c>
      <c r="BC1141" s="246">
        <f>IFERROR(VLOOKUP(M1141,VOL_REC[],2,FALSE),0)</f>
        <v>0</v>
      </c>
      <c r="BD1141" s="246">
        <f>IFERROR(VLOOKUP(N1141,VOL_REC[],2,FALSE),0)</f>
        <v>0</v>
      </c>
      <c r="BE1141" s="246">
        <f>IFERROR(VLOOKUP(O1141,VOL_REC[],2,FALSE),0)</f>
        <v>0</v>
      </c>
      <c r="BF1141" s="246">
        <f>IFERROR(VLOOKUP(P1141,VOL_REC[],2,FALSE),0)</f>
        <v>0</v>
      </c>
      <c r="BG1141" s="246">
        <f>IFERROR(VLOOKUP(Q1141,VOL_REC[],2,FALSE),0)</f>
        <v>0</v>
      </c>
      <c r="BH1141" s="1710">
        <f t="shared" si="68"/>
        <v>18811117960.624187</v>
      </c>
      <c r="BI1141" s="1710">
        <f t="shared" si="69"/>
        <v>15867842761.670309</v>
      </c>
      <c r="BJ1141" s="1711">
        <f t="shared" si="70"/>
        <v>18221627.502933271</v>
      </c>
      <c r="BK1141" s="1711">
        <f t="shared" si="71"/>
        <v>1.1854867887942229</v>
      </c>
      <c r="BL1141">
        <f>BJ1141</f>
        <v>18221627.502933271</v>
      </c>
      <c r="BO1141">
        <f>BL1141</f>
        <v>18221627.502933271</v>
      </c>
    </row>
    <row r="1142" spans="3:67" x14ac:dyDescent="0.25">
      <c r="C1142" s="246" t="s">
        <v>2492</v>
      </c>
      <c r="D1142" s="246">
        <v>1</v>
      </c>
      <c r="E1142" s="246">
        <v>2</v>
      </c>
      <c r="F1142" s="246">
        <v>3</v>
      </c>
      <c r="G1142" s="246">
        <v>4</v>
      </c>
      <c r="H1142" s="246">
        <v>5</v>
      </c>
      <c r="I1142" s="246">
        <v>12</v>
      </c>
      <c r="J1142" s="246">
        <v>14</v>
      </c>
      <c r="K1142" s="246">
        <v>15</v>
      </c>
      <c r="L1142" s="246">
        <v>16</v>
      </c>
      <c r="M1142" s="246"/>
      <c r="N1142" s="246"/>
      <c r="O1142" s="246"/>
      <c r="P1142" s="246"/>
      <c r="Q1142" s="246"/>
      <c r="R1142" s="246">
        <f>IFERROR(VLOOKUP(D1142,PROGRAMAS[],2,FALSE),0)</f>
        <v>97037803.679377079</v>
      </c>
      <c r="S1142" s="246">
        <f>IFERROR(VLOOKUP(E1142,PROGRAMAS[],2,FALSE),0)</f>
        <v>640501509.6821388</v>
      </c>
      <c r="T1142" s="246">
        <f>IFERROR(VLOOKUP(F1142,PROGRAMAS[],2,FALSE),0)</f>
        <v>3062327798.1525245</v>
      </c>
      <c r="U1142" s="246">
        <f>IFERROR(VLOOKUP(G1142,PROGRAMAS[],2,FALSE),0)</f>
        <v>67697118.033011258</v>
      </c>
      <c r="V1142" s="246">
        <f>IFERROR(VLOOKUP(H1142,PROGRAMAS[],2,FALSE),0)</f>
        <v>1440941976.2528784</v>
      </c>
      <c r="W1142" s="246">
        <f>IFERROR(VLOOKUP(I1142,PROGRAMAS[],2,FALSE),0)</f>
        <v>764796700.79905891</v>
      </c>
      <c r="X1142" s="246">
        <f>IFERROR(VLOOKUP(J1142,PROGRAMAS[],2,FALSE),0)</f>
        <v>54223862.645839565</v>
      </c>
      <c r="Y1142" s="246">
        <f>IFERROR(VLOOKUP(K1142,PROGRAMAS[],2,FALSE),0)</f>
        <v>122159672.96346797</v>
      </c>
      <c r="Z1142" s="246">
        <f>IFERROR(VLOOKUP(L1142,PROGRAMAS[],2,FALSE),0)</f>
        <v>7068496961.0436354</v>
      </c>
      <c r="AA1142" s="246">
        <f>IFERROR(VLOOKUP(M1142,PROGRAMAS[],2,FALSE),0)</f>
        <v>0</v>
      </c>
      <c r="AB1142" s="246">
        <f>IFERROR(VLOOKUP(N1142,PROGRAMAS[],2,FALSE),0)</f>
        <v>0</v>
      </c>
      <c r="AC1142" s="246">
        <f>IFERROR(VLOOKUP(O1142,PROGRAMAS[],2,FALSE),0)</f>
        <v>0</v>
      </c>
      <c r="AD1142" s="246">
        <f>IFERROR(VLOOKUP(P1142,PROGRAMAS[],2,FALSE),0)</f>
        <v>0</v>
      </c>
      <c r="AE1142" s="246">
        <f>IFERROR(VLOOKUP(Q1142,PROGRAMAS[],2,FALSE),0)</f>
        <v>0</v>
      </c>
      <c r="AF1142" s="246">
        <f>IFERROR(VLOOKUP(D1142,PROGRAMAS[],3,FALSE),0)</f>
        <v>841888629.31080008</v>
      </c>
      <c r="AG1142" s="246">
        <f>IFERROR(VLOOKUP(E1142,PROGRAMAS[],3,FALSE),0)</f>
        <v>3848980803.1642323</v>
      </c>
      <c r="AH1142" s="246">
        <f>IFERROR(VLOOKUP(F1142,PROGRAMAS[],3,FALSE),0)</f>
        <v>3394901471.387517</v>
      </c>
      <c r="AI1142" s="246">
        <f>IFERROR(VLOOKUP(G1142,PROGRAMAS[],3,FALSE),0)</f>
        <v>125317226.95549992</v>
      </c>
      <c r="AJ1142" s="246">
        <f>IFERROR(VLOOKUP(H1142,PROGRAMAS[],3,FALSE),0)</f>
        <v>1233505101.0616004</v>
      </c>
      <c r="AK1142" s="246">
        <f>IFERROR(VLOOKUP(I1142,PROGRAMAS[],3,FALSE),0)</f>
        <v>675517840.109828</v>
      </c>
      <c r="AL1142" s="246">
        <f>IFERROR(VLOOKUP(J1142,PROGRAMAS[],3,FALSE),0)</f>
        <v>31865326.38096505</v>
      </c>
      <c r="AM1142" s="246">
        <f>IFERROR(VLOOKUP(K1142,PROGRAMAS[],3,FALSE),0)</f>
        <v>118617452.52510804</v>
      </c>
      <c r="AN1142" s="246">
        <f>IFERROR(VLOOKUP(L1142,PROGRAMAS[],3,FALSE),0)</f>
        <v>2406564599.0319901</v>
      </c>
      <c r="AO1142" s="246">
        <f>IFERROR(VLOOKUP(M1142,PROGRAMAS[],3,FALSE),0)</f>
        <v>0</v>
      </c>
      <c r="AP1142" s="246">
        <f>IFERROR(VLOOKUP(N1142,PROGRAMAS[],3,FALSE),0)</f>
        <v>0</v>
      </c>
      <c r="AQ1142" s="246">
        <f>IFERROR(VLOOKUP(O1142,PROGRAMAS[],3,FALSE),0)</f>
        <v>0</v>
      </c>
      <c r="AR1142" s="246">
        <f>IFERROR(VLOOKUP(P1142,PROGRAMAS[],3,FALSE),0)</f>
        <v>0</v>
      </c>
      <c r="AS1142" s="246">
        <f>IFERROR(VLOOKUP(Q1142,PROGRAMAS[],3,FALSE),0)</f>
        <v>0</v>
      </c>
      <c r="AT1142" s="246">
        <f>IFERROR(VLOOKUP(D1142,VOL_REC[],2,FALSE),0)</f>
        <v>0</v>
      </c>
      <c r="AU1142" s="246">
        <f>IFERROR(VLOOKUP(E1142,VOL_REC[],2,FALSE),0)</f>
        <v>0</v>
      </c>
      <c r="AV1142" s="246">
        <f>IFERROR(VLOOKUP(F1142,VOL_REC[],2,FALSE),0)</f>
        <v>11089674.200000001</v>
      </c>
      <c r="AW1142" s="246">
        <f>IFERROR(VLOOKUP(G1142,VOL_REC[],2,FALSE),0)</f>
        <v>90439.55</v>
      </c>
      <c r="AX1142" s="246">
        <f>IFERROR(VLOOKUP(H1142,VOL_REC[],2,FALSE),0)</f>
        <v>4325103.1812214684</v>
      </c>
      <c r="AY1142" s="246">
        <f>IFERROR(VLOOKUP(I1142,VOL_REC[],2,FALSE),0)</f>
        <v>240696.79238099116</v>
      </c>
      <c r="AZ1142" s="246">
        <f>IFERROR(VLOOKUP(J1142,VOL_REC[],2,FALSE),0)</f>
        <v>17074.045034105649</v>
      </c>
      <c r="BA1142" s="246">
        <f>IFERROR(VLOOKUP(K1142,VOL_REC[],2,FALSE),0)</f>
        <v>105072</v>
      </c>
      <c r="BB1142" s="246">
        <f>IFERROR(VLOOKUP(L1142,VOL_REC[],2,FALSE),0)</f>
        <v>1072354.9981737854</v>
      </c>
      <c r="BC1142" s="246">
        <f>IFERROR(VLOOKUP(M1142,VOL_REC[],2,FALSE),0)</f>
        <v>0</v>
      </c>
      <c r="BD1142" s="246">
        <f>IFERROR(VLOOKUP(N1142,VOL_REC[],2,FALSE),0)</f>
        <v>0</v>
      </c>
      <c r="BE1142" s="246">
        <f>IFERROR(VLOOKUP(O1142,VOL_REC[],2,FALSE),0)</f>
        <v>0</v>
      </c>
      <c r="BF1142" s="246">
        <f>IFERROR(VLOOKUP(P1142,VOL_REC[],2,FALSE),0)</f>
        <v>0</v>
      </c>
      <c r="BG1142" s="246">
        <f>IFERROR(VLOOKUP(Q1142,VOL_REC[],2,FALSE),0)</f>
        <v>0</v>
      </c>
      <c r="BH1142" s="1710">
        <f t="shared" si="68"/>
        <v>13318183403.251932</v>
      </c>
      <c r="BI1142" s="1710">
        <f t="shared" si="69"/>
        <v>12677158449.927542</v>
      </c>
      <c r="BJ1142" s="1711">
        <f t="shared" si="70"/>
        <v>16940414.76681035</v>
      </c>
      <c r="BK1142" s="1711">
        <f t="shared" si="71"/>
        <v>1.0505653499446521</v>
      </c>
      <c r="BL1142">
        <f>BJ1142</f>
        <v>16940414.76681035</v>
      </c>
      <c r="BO1142">
        <f>BL1142</f>
        <v>16940414.76681035</v>
      </c>
    </row>
    <row r="1143" spans="3:67" x14ac:dyDescent="0.25">
      <c r="C1143" s="246" t="s">
        <v>2493</v>
      </c>
      <c r="D1143" s="246">
        <v>1</v>
      </c>
      <c r="E1143" s="246">
        <v>2</v>
      </c>
      <c r="F1143" s="246">
        <v>3</v>
      </c>
      <c r="G1143" s="246">
        <v>4</v>
      </c>
      <c r="H1143" s="246">
        <v>5</v>
      </c>
      <c r="I1143" s="246">
        <v>12</v>
      </c>
      <c r="J1143" s="246">
        <v>14</v>
      </c>
      <c r="K1143" s="246">
        <v>15</v>
      </c>
      <c r="L1143" s="246">
        <v>17</v>
      </c>
      <c r="M1143" s="246"/>
      <c r="N1143" s="246"/>
      <c r="O1143" s="246"/>
      <c r="P1143" s="246"/>
      <c r="Q1143" s="246"/>
      <c r="R1143" s="246">
        <f>IFERROR(VLOOKUP(D1143,PROGRAMAS[],2,FALSE),0)</f>
        <v>97037803.679377079</v>
      </c>
      <c r="S1143" s="246">
        <f>IFERROR(VLOOKUP(E1143,PROGRAMAS[],2,FALSE),0)</f>
        <v>640501509.6821388</v>
      </c>
      <c r="T1143" s="246">
        <f>IFERROR(VLOOKUP(F1143,PROGRAMAS[],2,FALSE),0)</f>
        <v>3062327798.1525245</v>
      </c>
      <c r="U1143" s="246">
        <f>IFERROR(VLOOKUP(G1143,PROGRAMAS[],2,FALSE),0)</f>
        <v>67697118.033011258</v>
      </c>
      <c r="V1143" s="246">
        <f>IFERROR(VLOOKUP(H1143,PROGRAMAS[],2,FALSE),0)</f>
        <v>1440941976.2528784</v>
      </c>
      <c r="W1143" s="246">
        <f>IFERROR(VLOOKUP(I1143,PROGRAMAS[],2,FALSE),0)</f>
        <v>764796700.79905891</v>
      </c>
      <c r="X1143" s="246">
        <f>IFERROR(VLOOKUP(J1143,PROGRAMAS[],2,FALSE),0)</f>
        <v>54223862.645839565</v>
      </c>
      <c r="Y1143" s="246">
        <f>IFERROR(VLOOKUP(K1143,PROGRAMAS[],2,FALSE),0)</f>
        <v>122159672.96346797</v>
      </c>
      <c r="Z1143" s="246">
        <f>IFERROR(VLOOKUP(L1143,PROGRAMAS[],2,FALSE),0)</f>
        <v>1892779498.5211046</v>
      </c>
      <c r="AA1143" s="246">
        <f>IFERROR(VLOOKUP(M1143,PROGRAMAS[],2,FALSE),0)</f>
        <v>0</v>
      </c>
      <c r="AB1143" s="246">
        <f>IFERROR(VLOOKUP(N1143,PROGRAMAS[],2,FALSE),0)</f>
        <v>0</v>
      </c>
      <c r="AC1143" s="246">
        <f>IFERROR(VLOOKUP(O1143,PROGRAMAS[],2,FALSE),0)</f>
        <v>0</v>
      </c>
      <c r="AD1143" s="246">
        <f>IFERROR(VLOOKUP(P1143,PROGRAMAS[],2,FALSE),0)</f>
        <v>0</v>
      </c>
      <c r="AE1143" s="246">
        <f>IFERROR(VLOOKUP(Q1143,PROGRAMAS[],2,FALSE),0)</f>
        <v>0</v>
      </c>
      <c r="AF1143" s="246">
        <f>IFERROR(VLOOKUP(D1143,PROGRAMAS[],3,FALSE),0)</f>
        <v>841888629.31080008</v>
      </c>
      <c r="AG1143" s="246">
        <f>IFERROR(VLOOKUP(E1143,PROGRAMAS[],3,FALSE),0)</f>
        <v>3848980803.1642323</v>
      </c>
      <c r="AH1143" s="246">
        <f>IFERROR(VLOOKUP(F1143,PROGRAMAS[],3,FALSE),0)</f>
        <v>3394901471.387517</v>
      </c>
      <c r="AI1143" s="246">
        <f>IFERROR(VLOOKUP(G1143,PROGRAMAS[],3,FALSE),0)</f>
        <v>125317226.95549992</v>
      </c>
      <c r="AJ1143" s="246">
        <f>IFERROR(VLOOKUP(H1143,PROGRAMAS[],3,FALSE),0)</f>
        <v>1233505101.0616004</v>
      </c>
      <c r="AK1143" s="246">
        <f>IFERROR(VLOOKUP(I1143,PROGRAMAS[],3,FALSE),0)</f>
        <v>675517840.109828</v>
      </c>
      <c r="AL1143" s="246">
        <f>IFERROR(VLOOKUP(J1143,PROGRAMAS[],3,FALSE),0)</f>
        <v>31865326.38096505</v>
      </c>
      <c r="AM1143" s="246">
        <f>IFERROR(VLOOKUP(K1143,PROGRAMAS[],3,FALSE),0)</f>
        <v>118617452.52510804</v>
      </c>
      <c r="AN1143" s="246">
        <f>IFERROR(VLOOKUP(L1143,PROGRAMAS[],3,FALSE),0)</f>
        <v>948595847.09039903</v>
      </c>
      <c r="AO1143" s="246">
        <f>IFERROR(VLOOKUP(M1143,PROGRAMAS[],3,FALSE),0)</f>
        <v>0</v>
      </c>
      <c r="AP1143" s="246">
        <f>IFERROR(VLOOKUP(N1143,PROGRAMAS[],3,FALSE),0)</f>
        <v>0</v>
      </c>
      <c r="AQ1143" s="246">
        <f>IFERROR(VLOOKUP(O1143,PROGRAMAS[],3,FALSE),0)</f>
        <v>0</v>
      </c>
      <c r="AR1143" s="246">
        <f>IFERROR(VLOOKUP(P1143,PROGRAMAS[],3,FALSE),0)</f>
        <v>0</v>
      </c>
      <c r="AS1143" s="246">
        <f>IFERROR(VLOOKUP(Q1143,PROGRAMAS[],3,FALSE),0)</f>
        <v>0</v>
      </c>
      <c r="AT1143" s="246">
        <f>IFERROR(VLOOKUP(D1143,VOL_REC[],2,FALSE),0)</f>
        <v>0</v>
      </c>
      <c r="AU1143" s="246">
        <f>IFERROR(VLOOKUP(E1143,VOL_REC[],2,FALSE),0)</f>
        <v>0</v>
      </c>
      <c r="AV1143" s="246">
        <f>IFERROR(VLOOKUP(F1143,VOL_REC[],2,FALSE),0)</f>
        <v>11089674.200000001</v>
      </c>
      <c r="AW1143" s="246">
        <f>IFERROR(VLOOKUP(G1143,VOL_REC[],2,FALSE),0)</f>
        <v>90439.55</v>
      </c>
      <c r="AX1143" s="246">
        <f>IFERROR(VLOOKUP(H1143,VOL_REC[],2,FALSE),0)</f>
        <v>4325103.1812214684</v>
      </c>
      <c r="AY1143" s="246">
        <f>IFERROR(VLOOKUP(I1143,VOL_REC[],2,FALSE),0)</f>
        <v>240696.79238099116</v>
      </c>
      <c r="AZ1143" s="246">
        <f>IFERROR(VLOOKUP(J1143,VOL_REC[],2,FALSE),0)</f>
        <v>17074.045034105649</v>
      </c>
      <c r="BA1143" s="246">
        <f>IFERROR(VLOOKUP(K1143,VOL_REC[],2,FALSE),0)</f>
        <v>105072</v>
      </c>
      <c r="BB1143" s="246">
        <f>IFERROR(VLOOKUP(L1143,VOL_REC[],2,FALSE),0)</f>
        <v>740113.98115702497</v>
      </c>
      <c r="BC1143" s="246">
        <f>IFERROR(VLOOKUP(M1143,VOL_REC[],2,FALSE),0)</f>
        <v>0</v>
      </c>
      <c r="BD1143" s="246">
        <f>IFERROR(VLOOKUP(N1143,VOL_REC[],2,FALSE),0)</f>
        <v>0</v>
      </c>
      <c r="BE1143" s="246">
        <f>IFERROR(VLOOKUP(O1143,VOL_REC[],2,FALSE),0)</f>
        <v>0</v>
      </c>
      <c r="BF1143" s="246">
        <f>IFERROR(VLOOKUP(P1143,VOL_REC[],2,FALSE),0)</f>
        <v>0</v>
      </c>
      <c r="BG1143" s="246">
        <f>IFERROR(VLOOKUP(Q1143,VOL_REC[],2,FALSE),0)</f>
        <v>0</v>
      </c>
      <c r="BH1143" s="1710">
        <f t="shared" si="68"/>
        <v>8142465940.7294016</v>
      </c>
      <c r="BI1143" s="1710">
        <f t="shared" si="69"/>
        <v>11219189697.98595</v>
      </c>
      <c r="BJ1143" s="1711">
        <f t="shared" si="70"/>
        <v>16608173.749793591</v>
      </c>
      <c r="BK1143" s="1711">
        <f t="shared" si="71"/>
        <v>0.72576239103891105</v>
      </c>
    </row>
    <row r="1144" spans="3:67" x14ac:dyDescent="0.25">
      <c r="C1144" s="246" t="s">
        <v>2494</v>
      </c>
      <c r="D1144" s="246">
        <v>1</v>
      </c>
      <c r="E1144" s="246">
        <v>2</v>
      </c>
      <c r="F1144" s="246">
        <v>3</v>
      </c>
      <c r="G1144" s="246">
        <v>4</v>
      </c>
      <c r="H1144" s="246">
        <v>5</v>
      </c>
      <c r="I1144" s="246">
        <v>12</v>
      </c>
      <c r="J1144" s="246">
        <v>14</v>
      </c>
      <c r="K1144" s="246">
        <v>16</v>
      </c>
      <c r="L1144" s="246">
        <v>17</v>
      </c>
      <c r="M1144" s="246"/>
      <c r="N1144" s="246"/>
      <c r="O1144" s="246"/>
      <c r="P1144" s="246"/>
      <c r="Q1144" s="246"/>
      <c r="R1144" s="246">
        <f>IFERROR(VLOOKUP(D1144,PROGRAMAS[],2,FALSE),0)</f>
        <v>97037803.679377079</v>
      </c>
      <c r="S1144" s="246">
        <f>IFERROR(VLOOKUP(E1144,PROGRAMAS[],2,FALSE),0)</f>
        <v>640501509.6821388</v>
      </c>
      <c r="T1144" s="246">
        <f>IFERROR(VLOOKUP(F1144,PROGRAMAS[],2,FALSE),0)</f>
        <v>3062327798.1525245</v>
      </c>
      <c r="U1144" s="246">
        <f>IFERROR(VLOOKUP(G1144,PROGRAMAS[],2,FALSE),0)</f>
        <v>67697118.033011258</v>
      </c>
      <c r="V1144" s="246">
        <f>IFERROR(VLOOKUP(H1144,PROGRAMAS[],2,FALSE),0)</f>
        <v>1440941976.2528784</v>
      </c>
      <c r="W1144" s="246">
        <f>IFERROR(VLOOKUP(I1144,PROGRAMAS[],2,FALSE),0)</f>
        <v>764796700.79905891</v>
      </c>
      <c r="X1144" s="246">
        <f>IFERROR(VLOOKUP(J1144,PROGRAMAS[],2,FALSE),0)</f>
        <v>54223862.645839565</v>
      </c>
      <c r="Y1144" s="246">
        <f>IFERROR(VLOOKUP(K1144,PROGRAMAS[],2,FALSE),0)</f>
        <v>7068496961.0436354</v>
      </c>
      <c r="Z1144" s="246">
        <f>IFERROR(VLOOKUP(L1144,PROGRAMAS[],2,FALSE),0)</f>
        <v>1892779498.5211046</v>
      </c>
      <c r="AA1144" s="246">
        <f>IFERROR(VLOOKUP(M1144,PROGRAMAS[],2,FALSE),0)</f>
        <v>0</v>
      </c>
      <c r="AB1144" s="246">
        <f>IFERROR(VLOOKUP(N1144,PROGRAMAS[],2,FALSE),0)</f>
        <v>0</v>
      </c>
      <c r="AC1144" s="246">
        <f>IFERROR(VLOOKUP(O1144,PROGRAMAS[],2,FALSE),0)</f>
        <v>0</v>
      </c>
      <c r="AD1144" s="246">
        <f>IFERROR(VLOOKUP(P1144,PROGRAMAS[],2,FALSE),0)</f>
        <v>0</v>
      </c>
      <c r="AE1144" s="246">
        <f>IFERROR(VLOOKUP(Q1144,PROGRAMAS[],2,FALSE),0)</f>
        <v>0</v>
      </c>
      <c r="AF1144" s="246">
        <f>IFERROR(VLOOKUP(D1144,PROGRAMAS[],3,FALSE),0)</f>
        <v>841888629.31080008</v>
      </c>
      <c r="AG1144" s="246">
        <f>IFERROR(VLOOKUP(E1144,PROGRAMAS[],3,FALSE),0)</f>
        <v>3848980803.1642323</v>
      </c>
      <c r="AH1144" s="246">
        <f>IFERROR(VLOOKUP(F1144,PROGRAMAS[],3,FALSE),0)</f>
        <v>3394901471.387517</v>
      </c>
      <c r="AI1144" s="246">
        <f>IFERROR(VLOOKUP(G1144,PROGRAMAS[],3,FALSE),0)</f>
        <v>125317226.95549992</v>
      </c>
      <c r="AJ1144" s="246">
        <f>IFERROR(VLOOKUP(H1144,PROGRAMAS[],3,FALSE),0)</f>
        <v>1233505101.0616004</v>
      </c>
      <c r="AK1144" s="246">
        <f>IFERROR(VLOOKUP(I1144,PROGRAMAS[],3,FALSE),0)</f>
        <v>675517840.109828</v>
      </c>
      <c r="AL1144" s="246">
        <f>IFERROR(VLOOKUP(J1144,PROGRAMAS[],3,FALSE),0)</f>
        <v>31865326.38096505</v>
      </c>
      <c r="AM1144" s="246">
        <f>IFERROR(VLOOKUP(K1144,PROGRAMAS[],3,FALSE),0)</f>
        <v>2406564599.0319901</v>
      </c>
      <c r="AN1144" s="246">
        <f>IFERROR(VLOOKUP(L1144,PROGRAMAS[],3,FALSE),0)</f>
        <v>948595847.09039903</v>
      </c>
      <c r="AO1144" s="246">
        <f>IFERROR(VLOOKUP(M1144,PROGRAMAS[],3,FALSE),0)</f>
        <v>0</v>
      </c>
      <c r="AP1144" s="246">
        <f>IFERROR(VLOOKUP(N1144,PROGRAMAS[],3,FALSE),0)</f>
        <v>0</v>
      </c>
      <c r="AQ1144" s="246">
        <f>IFERROR(VLOOKUP(O1144,PROGRAMAS[],3,FALSE),0)</f>
        <v>0</v>
      </c>
      <c r="AR1144" s="246">
        <f>IFERROR(VLOOKUP(P1144,PROGRAMAS[],3,FALSE),0)</f>
        <v>0</v>
      </c>
      <c r="AS1144" s="246">
        <f>IFERROR(VLOOKUP(Q1144,PROGRAMAS[],3,FALSE),0)</f>
        <v>0</v>
      </c>
      <c r="AT1144" s="246">
        <f>IFERROR(VLOOKUP(D1144,VOL_REC[],2,FALSE),0)</f>
        <v>0</v>
      </c>
      <c r="AU1144" s="246">
        <f>IFERROR(VLOOKUP(E1144,VOL_REC[],2,FALSE),0)</f>
        <v>0</v>
      </c>
      <c r="AV1144" s="246">
        <f>IFERROR(VLOOKUP(F1144,VOL_REC[],2,FALSE),0)</f>
        <v>11089674.200000001</v>
      </c>
      <c r="AW1144" s="246">
        <f>IFERROR(VLOOKUP(G1144,VOL_REC[],2,FALSE),0)</f>
        <v>90439.55</v>
      </c>
      <c r="AX1144" s="246">
        <f>IFERROR(VLOOKUP(H1144,VOL_REC[],2,FALSE),0)</f>
        <v>4325103.1812214684</v>
      </c>
      <c r="AY1144" s="246">
        <f>IFERROR(VLOOKUP(I1144,VOL_REC[],2,FALSE),0)</f>
        <v>240696.79238099116</v>
      </c>
      <c r="AZ1144" s="246">
        <f>IFERROR(VLOOKUP(J1144,VOL_REC[],2,FALSE),0)</f>
        <v>17074.045034105649</v>
      </c>
      <c r="BA1144" s="246">
        <f>IFERROR(VLOOKUP(K1144,VOL_REC[],2,FALSE),0)</f>
        <v>1072354.9981737854</v>
      </c>
      <c r="BB1144" s="246">
        <f>IFERROR(VLOOKUP(L1144,VOL_REC[],2,FALSE),0)</f>
        <v>740113.98115702497</v>
      </c>
      <c r="BC1144" s="246">
        <f>IFERROR(VLOOKUP(M1144,VOL_REC[],2,FALSE),0)</f>
        <v>0</v>
      </c>
      <c r="BD1144" s="246">
        <f>IFERROR(VLOOKUP(N1144,VOL_REC[],2,FALSE),0)</f>
        <v>0</v>
      </c>
      <c r="BE1144" s="246">
        <f>IFERROR(VLOOKUP(O1144,VOL_REC[],2,FALSE),0)</f>
        <v>0</v>
      </c>
      <c r="BF1144" s="246">
        <f>IFERROR(VLOOKUP(P1144,VOL_REC[],2,FALSE),0)</f>
        <v>0</v>
      </c>
      <c r="BG1144" s="246">
        <f>IFERROR(VLOOKUP(Q1144,VOL_REC[],2,FALSE),0)</f>
        <v>0</v>
      </c>
      <c r="BH1144" s="1710">
        <f t="shared" si="68"/>
        <v>15088803228.809568</v>
      </c>
      <c r="BI1144" s="1710">
        <f t="shared" si="69"/>
        <v>13507136844.492832</v>
      </c>
      <c r="BJ1144" s="1711">
        <f t="shared" si="70"/>
        <v>17575456.747967374</v>
      </c>
      <c r="BK1144" s="1711">
        <f t="shared" si="71"/>
        <v>1.1170985681515189</v>
      </c>
      <c r="BL1144">
        <f>BJ1144</f>
        <v>17575456.747967374</v>
      </c>
      <c r="BO1144">
        <f>BL1144</f>
        <v>17575456.747967374</v>
      </c>
    </row>
    <row r="1145" spans="3:67" x14ac:dyDescent="0.25">
      <c r="C1145" s="246" t="s">
        <v>2495</v>
      </c>
      <c r="D1145" s="246">
        <v>1</v>
      </c>
      <c r="E1145" s="246">
        <v>2</v>
      </c>
      <c r="F1145" s="246">
        <v>3</v>
      </c>
      <c r="G1145" s="246">
        <v>4</v>
      </c>
      <c r="H1145" s="246">
        <v>5</v>
      </c>
      <c r="I1145" s="246">
        <v>12</v>
      </c>
      <c r="J1145" s="246">
        <v>15</v>
      </c>
      <c r="K1145" s="246">
        <v>16</v>
      </c>
      <c r="L1145" s="246">
        <v>17</v>
      </c>
      <c r="M1145" s="246"/>
      <c r="N1145" s="246"/>
      <c r="O1145" s="246"/>
      <c r="P1145" s="246"/>
      <c r="Q1145" s="246"/>
      <c r="R1145" s="246">
        <f>IFERROR(VLOOKUP(D1145,PROGRAMAS[],2,FALSE),0)</f>
        <v>97037803.679377079</v>
      </c>
      <c r="S1145" s="246">
        <f>IFERROR(VLOOKUP(E1145,PROGRAMAS[],2,FALSE),0)</f>
        <v>640501509.6821388</v>
      </c>
      <c r="T1145" s="246">
        <f>IFERROR(VLOOKUP(F1145,PROGRAMAS[],2,FALSE),0)</f>
        <v>3062327798.1525245</v>
      </c>
      <c r="U1145" s="246">
        <f>IFERROR(VLOOKUP(G1145,PROGRAMAS[],2,FALSE),0)</f>
        <v>67697118.033011258</v>
      </c>
      <c r="V1145" s="246">
        <f>IFERROR(VLOOKUP(H1145,PROGRAMAS[],2,FALSE),0)</f>
        <v>1440941976.2528784</v>
      </c>
      <c r="W1145" s="246">
        <f>IFERROR(VLOOKUP(I1145,PROGRAMAS[],2,FALSE),0)</f>
        <v>764796700.79905891</v>
      </c>
      <c r="X1145" s="246">
        <f>IFERROR(VLOOKUP(J1145,PROGRAMAS[],2,FALSE),0)</f>
        <v>122159672.96346797</v>
      </c>
      <c r="Y1145" s="246">
        <f>IFERROR(VLOOKUP(K1145,PROGRAMAS[],2,FALSE),0)</f>
        <v>7068496961.0436354</v>
      </c>
      <c r="Z1145" s="246">
        <f>IFERROR(VLOOKUP(L1145,PROGRAMAS[],2,FALSE),0)</f>
        <v>1892779498.5211046</v>
      </c>
      <c r="AA1145" s="246">
        <f>IFERROR(VLOOKUP(M1145,PROGRAMAS[],2,FALSE),0)</f>
        <v>0</v>
      </c>
      <c r="AB1145" s="246">
        <f>IFERROR(VLOOKUP(N1145,PROGRAMAS[],2,FALSE),0)</f>
        <v>0</v>
      </c>
      <c r="AC1145" s="246">
        <f>IFERROR(VLOOKUP(O1145,PROGRAMAS[],2,FALSE),0)</f>
        <v>0</v>
      </c>
      <c r="AD1145" s="246">
        <f>IFERROR(VLOOKUP(P1145,PROGRAMAS[],2,FALSE),0)</f>
        <v>0</v>
      </c>
      <c r="AE1145" s="246">
        <f>IFERROR(VLOOKUP(Q1145,PROGRAMAS[],2,FALSE),0)</f>
        <v>0</v>
      </c>
      <c r="AF1145" s="246">
        <f>IFERROR(VLOOKUP(D1145,PROGRAMAS[],3,FALSE),0)</f>
        <v>841888629.31080008</v>
      </c>
      <c r="AG1145" s="246">
        <f>IFERROR(VLOOKUP(E1145,PROGRAMAS[],3,FALSE),0)</f>
        <v>3848980803.1642323</v>
      </c>
      <c r="AH1145" s="246">
        <f>IFERROR(VLOOKUP(F1145,PROGRAMAS[],3,FALSE),0)</f>
        <v>3394901471.387517</v>
      </c>
      <c r="AI1145" s="246">
        <f>IFERROR(VLOOKUP(G1145,PROGRAMAS[],3,FALSE),0)</f>
        <v>125317226.95549992</v>
      </c>
      <c r="AJ1145" s="246">
        <f>IFERROR(VLOOKUP(H1145,PROGRAMAS[],3,FALSE),0)</f>
        <v>1233505101.0616004</v>
      </c>
      <c r="AK1145" s="246">
        <f>IFERROR(VLOOKUP(I1145,PROGRAMAS[],3,FALSE),0)</f>
        <v>675517840.109828</v>
      </c>
      <c r="AL1145" s="246">
        <f>IFERROR(VLOOKUP(J1145,PROGRAMAS[],3,FALSE),0)</f>
        <v>118617452.52510804</v>
      </c>
      <c r="AM1145" s="246">
        <f>IFERROR(VLOOKUP(K1145,PROGRAMAS[],3,FALSE),0)</f>
        <v>2406564599.0319901</v>
      </c>
      <c r="AN1145" s="246">
        <f>IFERROR(VLOOKUP(L1145,PROGRAMAS[],3,FALSE),0)</f>
        <v>948595847.09039903</v>
      </c>
      <c r="AO1145" s="246">
        <f>IFERROR(VLOOKUP(M1145,PROGRAMAS[],3,FALSE),0)</f>
        <v>0</v>
      </c>
      <c r="AP1145" s="246">
        <f>IFERROR(VLOOKUP(N1145,PROGRAMAS[],3,FALSE),0)</f>
        <v>0</v>
      </c>
      <c r="AQ1145" s="246">
        <f>IFERROR(VLOOKUP(O1145,PROGRAMAS[],3,FALSE),0)</f>
        <v>0</v>
      </c>
      <c r="AR1145" s="246">
        <f>IFERROR(VLOOKUP(P1145,PROGRAMAS[],3,FALSE),0)</f>
        <v>0</v>
      </c>
      <c r="AS1145" s="246">
        <f>IFERROR(VLOOKUP(Q1145,PROGRAMAS[],3,FALSE),0)</f>
        <v>0</v>
      </c>
      <c r="AT1145" s="246">
        <f>IFERROR(VLOOKUP(D1145,VOL_REC[],2,FALSE),0)</f>
        <v>0</v>
      </c>
      <c r="AU1145" s="246">
        <f>IFERROR(VLOOKUP(E1145,VOL_REC[],2,FALSE),0)</f>
        <v>0</v>
      </c>
      <c r="AV1145" s="246">
        <f>IFERROR(VLOOKUP(F1145,VOL_REC[],2,FALSE),0)</f>
        <v>11089674.200000001</v>
      </c>
      <c r="AW1145" s="246">
        <f>IFERROR(VLOOKUP(G1145,VOL_REC[],2,FALSE),0)</f>
        <v>90439.55</v>
      </c>
      <c r="AX1145" s="246">
        <f>IFERROR(VLOOKUP(H1145,VOL_REC[],2,FALSE),0)</f>
        <v>4325103.1812214684</v>
      </c>
      <c r="AY1145" s="246">
        <f>IFERROR(VLOOKUP(I1145,VOL_REC[],2,FALSE),0)</f>
        <v>240696.79238099116</v>
      </c>
      <c r="AZ1145" s="246">
        <f>IFERROR(VLOOKUP(J1145,VOL_REC[],2,FALSE),0)</f>
        <v>105072</v>
      </c>
      <c r="BA1145" s="246">
        <f>IFERROR(VLOOKUP(K1145,VOL_REC[],2,FALSE),0)</f>
        <v>1072354.9981737854</v>
      </c>
      <c r="BB1145" s="246">
        <f>IFERROR(VLOOKUP(L1145,VOL_REC[],2,FALSE),0)</f>
        <v>740113.98115702497</v>
      </c>
      <c r="BC1145" s="246">
        <f>IFERROR(VLOOKUP(M1145,VOL_REC[],2,FALSE),0)</f>
        <v>0</v>
      </c>
      <c r="BD1145" s="246">
        <f>IFERROR(VLOOKUP(N1145,VOL_REC[],2,FALSE),0)</f>
        <v>0</v>
      </c>
      <c r="BE1145" s="246">
        <f>IFERROR(VLOOKUP(O1145,VOL_REC[],2,FALSE),0)</f>
        <v>0</v>
      </c>
      <c r="BF1145" s="246">
        <f>IFERROR(VLOOKUP(P1145,VOL_REC[],2,FALSE),0)</f>
        <v>0</v>
      </c>
      <c r="BG1145" s="246">
        <f>IFERROR(VLOOKUP(Q1145,VOL_REC[],2,FALSE),0)</f>
        <v>0</v>
      </c>
      <c r="BH1145" s="1710">
        <f t="shared" si="68"/>
        <v>15156739039.127197</v>
      </c>
      <c r="BI1145" s="1710">
        <f t="shared" si="69"/>
        <v>13593888970.636976</v>
      </c>
      <c r="BJ1145" s="1711">
        <f t="shared" si="70"/>
        <v>17663454.70293327</v>
      </c>
      <c r="BK1145" s="1711">
        <f t="shared" si="71"/>
        <v>1.1149671055770725</v>
      </c>
      <c r="BL1145">
        <f>BJ1145</f>
        <v>17663454.70293327</v>
      </c>
      <c r="BO1145">
        <f>BL1145</f>
        <v>17663454.70293327</v>
      </c>
    </row>
    <row r="1146" spans="3:67" x14ac:dyDescent="0.25">
      <c r="C1146" s="246" t="s">
        <v>2496</v>
      </c>
      <c r="D1146" s="246">
        <v>1</v>
      </c>
      <c r="E1146" s="246">
        <v>2</v>
      </c>
      <c r="F1146" s="246">
        <v>3</v>
      </c>
      <c r="G1146" s="246">
        <v>4</v>
      </c>
      <c r="H1146" s="246">
        <v>5</v>
      </c>
      <c r="I1146" s="246">
        <v>13</v>
      </c>
      <c r="J1146" s="246">
        <v>14</v>
      </c>
      <c r="K1146" s="246">
        <v>15</v>
      </c>
      <c r="L1146" s="246">
        <v>16</v>
      </c>
      <c r="M1146" s="246"/>
      <c r="N1146" s="246"/>
      <c r="O1146" s="246"/>
      <c r="P1146" s="246"/>
      <c r="Q1146" s="246"/>
      <c r="R1146" s="246">
        <f>IFERROR(VLOOKUP(D1146,PROGRAMAS[],2,FALSE),0)</f>
        <v>97037803.679377079</v>
      </c>
      <c r="S1146" s="246">
        <f>IFERROR(VLOOKUP(E1146,PROGRAMAS[],2,FALSE),0)</f>
        <v>640501509.6821388</v>
      </c>
      <c r="T1146" s="246">
        <f>IFERROR(VLOOKUP(F1146,PROGRAMAS[],2,FALSE),0)</f>
        <v>3062327798.1525245</v>
      </c>
      <c r="U1146" s="246">
        <f>IFERROR(VLOOKUP(G1146,PROGRAMAS[],2,FALSE),0)</f>
        <v>67697118.033011258</v>
      </c>
      <c r="V1146" s="246">
        <f>IFERROR(VLOOKUP(H1146,PROGRAMAS[],2,FALSE),0)</f>
        <v>1440941976.2528784</v>
      </c>
      <c r="W1146" s="246">
        <f>IFERROR(VLOOKUP(I1146,PROGRAMAS[],2,FALSE),0)</f>
        <v>3776538594.4604583</v>
      </c>
      <c r="X1146" s="246">
        <f>IFERROR(VLOOKUP(J1146,PROGRAMAS[],2,FALSE),0)</f>
        <v>54223862.645839565</v>
      </c>
      <c r="Y1146" s="246">
        <f>IFERROR(VLOOKUP(K1146,PROGRAMAS[],2,FALSE),0)</f>
        <v>122159672.96346797</v>
      </c>
      <c r="Z1146" s="246">
        <f>IFERROR(VLOOKUP(L1146,PROGRAMAS[],2,FALSE),0)</f>
        <v>7068496961.0436354</v>
      </c>
      <c r="AA1146" s="246">
        <f>IFERROR(VLOOKUP(M1146,PROGRAMAS[],2,FALSE),0)</f>
        <v>0</v>
      </c>
      <c r="AB1146" s="246">
        <f>IFERROR(VLOOKUP(N1146,PROGRAMAS[],2,FALSE),0)</f>
        <v>0</v>
      </c>
      <c r="AC1146" s="246">
        <f>IFERROR(VLOOKUP(O1146,PROGRAMAS[],2,FALSE),0)</f>
        <v>0</v>
      </c>
      <c r="AD1146" s="246">
        <f>IFERROR(VLOOKUP(P1146,PROGRAMAS[],2,FALSE),0)</f>
        <v>0</v>
      </c>
      <c r="AE1146" s="246">
        <f>IFERROR(VLOOKUP(Q1146,PROGRAMAS[],2,FALSE),0)</f>
        <v>0</v>
      </c>
      <c r="AF1146" s="246">
        <f>IFERROR(VLOOKUP(D1146,PROGRAMAS[],3,FALSE),0)</f>
        <v>841888629.31080008</v>
      </c>
      <c r="AG1146" s="246">
        <f>IFERROR(VLOOKUP(E1146,PROGRAMAS[],3,FALSE),0)</f>
        <v>3848980803.1642323</v>
      </c>
      <c r="AH1146" s="246">
        <f>IFERROR(VLOOKUP(F1146,PROGRAMAS[],3,FALSE),0)</f>
        <v>3394901471.387517</v>
      </c>
      <c r="AI1146" s="246">
        <f>IFERROR(VLOOKUP(G1146,PROGRAMAS[],3,FALSE),0)</f>
        <v>125317226.95549992</v>
      </c>
      <c r="AJ1146" s="246">
        <f>IFERROR(VLOOKUP(H1146,PROGRAMAS[],3,FALSE),0)</f>
        <v>1233505101.0616004</v>
      </c>
      <c r="AK1146" s="246">
        <f>IFERROR(VLOOKUP(I1146,PROGRAMAS[],3,FALSE),0)</f>
        <v>2392571243.5584412</v>
      </c>
      <c r="AL1146" s="246">
        <f>IFERROR(VLOOKUP(J1146,PROGRAMAS[],3,FALSE),0)</f>
        <v>31865326.38096505</v>
      </c>
      <c r="AM1146" s="246">
        <f>IFERROR(VLOOKUP(K1146,PROGRAMAS[],3,FALSE),0)</f>
        <v>118617452.52510804</v>
      </c>
      <c r="AN1146" s="246">
        <f>IFERROR(VLOOKUP(L1146,PROGRAMAS[],3,FALSE),0)</f>
        <v>2406564599.0319901</v>
      </c>
      <c r="AO1146" s="246">
        <f>IFERROR(VLOOKUP(M1146,PROGRAMAS[],3,FALSE),0)</f>
        <v>0</v>
      </c>
      <c r="AP1146" s="246">
        <f>IFERROR(VLOOKUP(N1146,PROGRAMAS[],3,FALSE),0)</f>
        <v>0</v>
      </c>
      <c r="AQ1146" s="246">
        <f>IFERROR(VLOOKUP(O1146,PROGRAMAS[],3,FALSE),0)</f>
        <v>0</v>
      </c>
      <c r="AR1146" s="246">
        <f>IFERROR(VLOOKUP(P1146,PROGRAMAS[],3,FALSE),0)</f>
        <v>0</v>
      </c>
      <c r="AS1146" s="246">
        <f>IFERROR(VLOOKUP(Q1146,PROGRAMAS[],3,FALSE),0)</f>
        <v>0</v>
      </c>
      <c r="AT1146" s="246">
        <f>IFERROR(VLOOKUP(D1146,VOL_REC[],2,FALSE),0)</f>
        <v>0</v>
      </c>
      <c r="AU1146" s="246">
        <f>IFERROR(VLOOKUP(E1146,VOL_REC[],2,FALSE),0)</f>
        <v>0</v>
      </c>
      <c r="AV1146" s="246">
        <f>IFERROR(VLOOKUP(F1146,VOL_REC[],2,FALSE),0)</f>
        <v>11089674.200000001</v>
      </c>
      <c r="AW1146" s="246">
        <f>IFERROR(VLOOKUP(G1146,VOL_REC[],2,FALSE),0)</f>
        <v>90439.55</v>
      </c>
      <c r="AX1146" s="246">
        <f>IFERROR(VLOOKUP(H1146,VOL_REC[],2,FALSE),0)</f>
        <v>4325103.1812214684</v>
      </c>
      <c r="AY1146" s="246">
        <f>IFERROR(VLOOKUP(I1146,VOL_REC[],2,FALSE),0)</f>
        <v>663244.80000000016</v>
      </c>
      <c r="AZ1146" s="246">
        <f>IFERROR(VLOOKUP(J1146,VOL_REC[],2,FALSE),0)</f>
        <v>17074.045034105649</v>
      </c>
      <c r="BA1146" s="246">
        <f>IFERROR(VLOOKUP(K1146,VOL_REC[],2,FALSE),0)</f>
        <v>105072</v>
      </c>
      <c r="BB1146" s="246">
        <f>IFERROR(VLOOKUP(L1146,VOL_REC[],2,FALSE),0)</f>
        <v>1072354.9981737854</v>
      </c>
      <c r="BC1146" s="246">
        <f>IFERROR(VLOOKUP(M1146,VOL_REC[],2,FALSE),0)</f>
        <v>0</v>
      </c>
      <c r="BD1146" s="246">
        <f>IFERROR(VLOOKUP(N1146,VOL_REC[],2,FALSE),0)</f>
        <v>0</v>
      </c>
      <c r="BE1146" s="246">
        <f>IFERROR(VLOOKUP(O1146,VOL_REC[],2,FALSE),0)</f>
        <v>0</v>
      </c>
      <c r="BF1146" s="246">
        <f>IFERROR(VLOOKUP(P1146,VOL_REC[],2,FALSE),0)</f>
        <v>0</v>
      </c>
      <c r="BG1146" s="246">
        <f>IFERROR(VLOOKUP(Q1146,VOL_REC[],2,FALSE),0)</f>
        <v>0</v>
      </c>
      <c r="BH1146" s="1710">
        <f t="shared" si="68"/>
        <v>16329925296.913334</v>
      </c>
      <c r="BI1146" s="1710">
        <f t="shared" si="69"/>
        <v>14394211853.376154</v>
      </c>
      <c r="BJ1146" s="1711">
        <f t="shared" si="70"/>
        <v>17362962.774429362</v>
      </c>
      <c r="BK1146" s="1711">
        <f t="shared" si="71"/>
        <v>1.1344785989851303</v>
      </c>
      <c r="BL1146">
        <f>BJ1146</f>
        <v>17362962.774429362</v>
      </c>
      <c r="BO1146">
        <f>BL1146</f>
        <v>17362962.774429362</v>
      </c>
    </row>
    <row r="1147" spans="3:67" x14ac:dyDescent="0.25">
      <c r="C1147" s="246" t="s">
        <v>2497</v>
      </c>
      <c r="D1147" s="246">
        <v>1</v>
      </c>
      <c r="E1147" s="246">
        <v>2</v>
      </c>
      <c r="F1147" s="246">
        <v>3</v>
      </c>
      <c r="G1147" s="246">
        <v>4</v>
      </c>
      <c r="H1147" s="246">
        <v>5</v>
      </c>
      <c r="I1147" s="246">
        <v>13</v>
      </c>
      <c r="J1147" s="246">
        <v>14</v>
      </c>
      <c r="K1147" s="246">
        <v>15</v>
      </c>
      <c r="L1147" s="246">
        <v>17</v>
      </c>
      <c r="M1147" s="246"/>
      <c r="N1147" s="246"/>
      <c r="O1147" s="246"/>
      <c r="P1147" s="246"/>
      <c r="Q1147" s="246"/>
      <c r="R1147" s="246">
        <f>IFERROR(VLOOKUP(D1147,PROGRAMAS[],2,FALSE),0)</f>
        <v>97037803.679377079</v>
      </c>
      <c r="S1147" s="246">
        <f>IFERROR(VLOOKUP(E1147,PROGRAMAS[],2,FALSE),0)</f>
        <v>640501509.6821388</v>
      </c>
      <c r="T1147" s="246">
        <f>IFERROR(VLOOKUP(F1147,PROGRAMAS[],2,FALSE),0)</f>
        <v>3062327798.1525245</v>
      </c>
      <c r="U1147" s="246">
        <f>IFERROR(VLOOKUP(G1147,PROGRAMAS[],2,FALSE),0)</f>
        <v>67697118.033011258</v>
      </c>
      <c r="V1147" s="246">
        <f>IFERROR(VLOOKUP(H1147,PROGRAMAS[],2,FALSE),0)</f>
        <v>1440941976.2528784</v>
      </c>
      <c r="W1147" s="246">
        <f>IFERROR(VLOOKUP(I1147,PROGRAMAS[],2,FALSE),0)</f>
        <v>3776538594.4604583</v>
      </c>
      <c r="X1147" s="246">
        <f>IFERROR(VLOOKUP(J1147,PROGRAMAS[],2,FALSE),0)</f>
        <v>54223862.645839565</v>
      </c>
      <c r="Y1147" s="246">
        <f>IFERROR(VLOOKUP(K1147,PROGRAMAS[],2,FALSE),0)</f>
        <v>122159672.96346797</v>
      </c>
      <c r="Z1147" s="246">
        <f>IFERROR(VLOOKUP(L1147,PROGRAMAS[],2,FALSE),0)</f>
        <v>1892779498.5211046</v>
      </c>
      <c r="AA1147" s="246">
        <f>IFERROR(VLOOKUP(M1147,PROGRAMAS[],2,FALSE),0)</f>
        <v>0</v>
      </c>
      <c r="AB1147" s="246">
        <f>IFERROR(VLOOKUP(N1147,PROGRAMAS[],2,FALSE),0)</f>
        <v>0</v>
      </c>
      <c r="AC1147" s="246">
        <f>IFERROR(VLOOKUP(O1147,PROGRAMAS[],2,FALSE),0)</f>
        <v>0</v>
      </c>
      <c r="AD1147" s="246">
        <f>IFERROR(VLOOKUP(P1147,PROGRAMAS[],2,FALSE),0)</f>
        <v>0</v>
      </c>
      <c r="AE1147" s="246">
        <f>IFERROR(VLOOKUP(Q1147,PROGRAMAS[],2,FALSE),0)</f>
        <v>0</v>
      </c>
      <c r="AF1147" s="246">
        <f>IFERROR(VLOOKUP(D1147,PROGRAMAS[],3,FALSE),0)</f>
        <v>841888629.31080008</v>
      </c>
      <c r="AG1147" s="246">
        <f>IFERROR(VLOOKUP(E1147,PROGRAMAS[],3,FALSE),0)</f>
        <v>3848980803.1642323</v>
      </c>
      <c r="AH1147" s="246">
        <f>IFERROR(VLOOKUP(F1147,PROGRAMAS[],3,FALSE),0)</f>
        <v>3394901471.387517</v>
      </c>
      <c r="AI1147" s="246">
        <f>IFERROR(VLOOKUP(G1147,PROGRAMAS[],3,FALSE),0)</f>
        <v>125317226.95549992</v>
      </c>
      <c r="AJ1147" s="246">
        <f>IFERROR(VLOOKUP(H1147,PROGRAMAS[],3,FALSE),0)</f>
        <v>1233505101.0616004</v>
      </c>
      <c r="AK1147" s="246">
        <f>IFERROR(VLOOKUP(I1147,PROGRAMAS[],3,FALSE),0)</f>
        <v>2392571243.5584412</v>
      </c>
      <c r="AL1147" s="246">
        <f>IFERROR(VLOOKUP(J1147,PROGRAMAS[],3,FALSE),0)</f>
        <v>31865326.38096505</v>
      </c>
      <c r="AM1147" s="246">
        <f>IFERROR(VLOOKUP(K1147,PROGRAMAS[],3,FALSE),0)</f>
        <v>118617452.52510804</v>
      </c>
      <c r="AN1147" s="246">
        <f>IFERROR(VLOOKUP(L1147,PROGRAMAS[],3,FALSE),0)</f>
        <v>948595847.09039903</v>
      </c>
      <c r="AO1147" s="246">
        <f>IFERROR(VLOOKUP(M1147,PROGRAMAS[],3,FALSE),0)</f>
        <v>0</v>
      </c>
      <c r="AP1147" s="246">
        <f>IFERROR(VLOOKUP(N1147,PROGRAMAS[],3,FALSE),0)</f>
        <v>0</v>
      </c>
      <c r="AQ1147" s="246">
        <f>IFERROR(VLOOKUP(O1147,PROGRAMAS[],3,FALSE),0)</f>
        <v>0</v>
      </c>
      <c r="AR1147" s="246">
        <f>IFERROR(VLOOKUP(P1147,PROGRAMAS[],3,FALSE),0)</f>
        <v>0</v>
      </c>
      <c r="AS1147" s="246">
        <f>IFERROR(VLOOKUP(Q1147,PROGRAMAS[],3,FALSE),0)</f>
        <v>0</v>
      </c>
      <c r="AT1147" s="246">
        <f>IFERROR(VLOOKUP(D1147,VOL_REC[],2,FALSE),0)</f>
        <v>0</v>
      </c>
      <c r="AU1147" s="246">
        <f>IFERROR(VLOOKUP(E1147,VOL_REC[],2,FALSE),0)</f>
        <v>0</v>
      </c>
      <c r="AV1147" s="246">
        <f>IFERROR(VLOOKUP(F1147,VOL_REC[],2,FALSE),0)</f>
        <v>11089674.200000001</v>
      </c>
      <c r="AW1147" s="246">
        <f>IFERROR(VLOOKUP(G1147,VOL_REC[],2,FALSE),0)</f>
        <v>90439.55</v>
      </c>
      <c r="AX1147" s="246">
        <f>IFERROR(VLOOKUP(H1147,VOL_REC[],2,FALSE),0)</f>
        <v>4325103.1812214684</v>
      </c>
      <c r="AY1147" s="246">
        <f>IFERROR(VLOOKUP(I1147,VOL_REC[],2,FALSE),0)</f>
        <v>663244.80000000016</v>
      </c>
      <c r="AZ1147" s="246">
        <f>IFERROR(VLOOKUP(J1147,VOL_REC[],2,FALSE),0)</f>
        <v>17074.045034105649</v>
      </c>
      <c r="BA1147" s="246">
        <f>IFERROR(VLOOKUP(K1147,VOL_REC[],2,FALSE),0)</f>
        <v>105072</v>
      </c>
      <c r="BB1147" s="246">
        <f>IFERROR(VLOOKUP(L1147,VOL_REC[],2,FALSE),0)</f>
        <v>740113.98115702497</v>
      </c>
      <c r="BC1147" s="246">
        <f>IFERROR(VLOOKUP(M1147,VOL_REC[],2,FALSE),0)</f>
        <v>0</v>
      </c>
      <c r="BD1147" s="246">
        <f>IFERROR(VLOOKUP(N1147,VOL_REC[],2,FALSE),0)</f>
        <v>0</v>
      </c>
      <c r="BE1147" s="246">
        <f>IFERROR(VLOOKUP(O1147,VOL_REC[],2,FALSE),0)</f>
        <v>0</v>
      </c>
      <c r="BF1147" s="246">
        <f>IFERROR(VLOOKUP(P1147,VOL_REC[],2,FALSE),0)</f>
        <v>0</v>
      </c>
      <c r="BG1147" s="246">
        <f>IFERROR(VLOOKUP(Q1147,VOL_REC[],2,FALSE),0)</f>
        <v>0</v>
      </c>
      <c r="BH1147" s="1710">
        <f t="shared" si="68"/>
        <v>11154207834.390802</v>
      </c>
      <c r="BI1147" s="1710">
        <f t="shared" si="69"/>
        <v>12936243101.434563</v>
      </c>
      <c r="BJ1147" s="1711">
        <f t="shared" si="70"/>
        <v>17030721.757412601</v>
      </c>
      <c r="BK1147" s="1711">
        <f t="shared" si="71"/>
        <v>0.86224476047097931</v>
      </c>
    </row>
    <row r="1148" spans="3:67" x14ac:dyDescent="0.25">
      <c r="C1148" s="246" t="s">
        <v>2498</v>
      </c>
      <c r="D1148" s="246">
        <v>1</v>
      </c>
      <c r="E1148" s="246">
        <v>2</v>
      </c>
      <c r="F1148" s="246">
        <v>3</v>
      </c>
      <c r="G1148" s="246">
        <v>4</v>
      </c>
      <c r="H1148" s="246">
        <v>5</v>
      </c>
      <c r="I1148" s="246">
        <v>13</v>
      </c>
      <c r="J1148" s="246">
        <v>14</v>
      </c>
      <c r="K1148" s="246">
        <v>16</v>
      </c>
      <c r="L1148" s="246">
        <v>17</v>
      </c>
      <c r="M1148" s="246"/>
      <c r="N1148" s="246"/>
      <c r="O1148" s="246"/>
      <c r="P1148" s="246"/>
      <c r="Q1148" s="246"/>
      <c r="R1148" s="246">
        <f>IFERROR(VLOOKUP(D1148,PROGRAMAS[],2,FALSE),0)</f>
        <v>97037803.679377079</v>
      </c>
      <c r="S1148" s="246">
        <f>IFERROR(VLOOKUP(E1148,PROGRAMAS[],2,FALSE),0)</f>
        <v>640501509.6821388</v>
      </c>
      <c r="T1148" s="246">
        <f>IFERROR(VLOOKUP(F1148,PROGRAMAS[],2,FALSE),0)</f>
        <v>3062327798.1525245</v>
      </c>
      <c r="U1148" s="246">
        <f>IFERROR(VLOOKUP(G1148,PROGRAMAS[],2,FALSE),0)</f>
        <v>67697118.033011258</v>
      </c>
      <c r="V1148" s="246">
        <f>IFERROR(VLOOKUP(H1148,PROGRAMAS[],2,FALSE),0)</f>
        <v>1440941976.2528784</v>
      </c>
      <c r="W1148" s="246">
        <f>IFERROR(VLOOKUP(I1148,PROGRAMAS[],2,FALSE),0)</f>
        <v>3776538594.4604583</v>
      </c>
      <c r="X1148" s="246">
        <f>IFERROR(VLOOKUP(J1148,PROGRAMAS[],2,FALSE),0)</f>
        <v>54223862.645839565</v>
      </c>
      <c r="Y1148" s="246">
        <f>IFERROR(VLOOKUP(K1148,PROGRAMAS[],2,FALSE),0)</f>
        <v>7068496961.0436354</v>
      </c>
      <c r="Z1148" s="246">
        <f>IFERROR(VLOOKUP(L1148,PROGRAMAS[],2,FALSE),0)</f>
        <v>1892779498.5211046</v>
      </c>
      <c r="AA1148" s="246">
        <f>IFERROR(VLOOKUP(M1148,PROGRAMAS[],2,FALSE),0)</f>
        <v>0</v>
      </c>
      <c r="AB1148" s="246">
        <f>IFERROR(VLOOKUP(N1148,PROGRAMAS[],2,FALSE),0)</f>
        <v>0</v>
      </c>
      <c r="AC1148" s="246">
        <f>IFERROR(VLOOKUP(O1148,PROGRAMAS[],2,FALSE),0)</f>
        <v>0</v>
      </c>
      <c r="AD1148" s="246">
        <f>IFERROR(VLOOKUP(P1148,PROGRAMAS[],2,FALSE),0)</f>
        <v>0</v>
      </c>
      <c r="AE1148" s="246">
        <f>IFERROR(VLOOKUP(Q1148,PROGRAMAS[],2,FALSE),0)</f>
        <v>0</v>
      </c>
      <c r="AF1148" s="246">
        <f>IFERROR(VLOOKUP(D1148,PROGRAMAS[],3,FALSE),0)</f>
        <v>841888629.31080008</v>
      </c>
      <c r="AG1148" s="246">
        <f>IFERROR(VLOOKUP(E1148,PROGRAMAS[],3,FALSE),0)</f>
        <v>3848980803.1642323</v>
      </c>
      <c r="AH1148" s="246">
        <f>IFERROR(VLOOKUP(F1148,PROGRAMAS[],3,FALSE),0)</f>
        <v>3394901471.387517</v>
      </c>
      <c r="AI1148" s="246">
        <f>IFERROR(VLOOKUP(G1148,PROGRAMAS[],3,FALSE),0)</f>
        <v>125317226.95549992</v>
      </c>
      <c r="AJ1148" s="246">
        <f>IFERROR(VLOOKUP(H1148,PROGRAMAS[],3,FALSE),0)</f>
        <v>1233505101.0616004</v>
      </c>
      <c r="AK1148" s="246">
        <f>IFERROR(VLOOKUP(I1148,PROGRAMAS[],3,FALSE),0)</f>
        <v>2392571243.5584412</v>
      </c>
      <c r="AL1148" s="246">
        <f>IFERROR(VLOOKUP(J1148,PROGRAMAS[],3,FALSE),0)</f>
        <v>31865326.38096505</v>
      </c>
      <c r="AM1148" s="246">
        <f>IFERROR(VLOOKUP(K1148,PROGRAMAS[],3,FALSE),0)</f>
        <v>2406564599.0319901</v>
      </c>
      <c r="AN1148" s="246">
        <f>IFERROR(VLOOKUP(L1148,PROGRAMAS[],3,FALSE),0)</f>
        <v>948595847.09039903</v>
      </c>
      <c r="AO1148" s="246">
        <f>IFERROR(VLOOKUP(M1148,PROGRAMAS[],3,FALSE),0)</f>
        <v>0</v>
      </c>
      <c r="AP1148" s="246">
        <f>IFERROR(VLOOKUP(N1148,PROGRAMAS[],3,FALSE),0)</f>
        <v>0</v>
      </c>
      <c r="AQ1148" s="246">
        <f>IFERROR(VLOOKUP(O1148,PROGRAMAS[],3,FALSE),0)</f>
        <v>0</v>
      </c>
      <c r="AR1148" s="246">
        <f>IFERROR(VLOOKUP(P1148,PROGRAMAS[],3,FALSE),0)</f>
        <v>0</v>
      </c>
      <c r="AS1148" s="246">
        <f>IFERROR(VLOOKUP(Q1148,PROGRAMAS[],3,FALSE),0)</f>
        <v>0</v>
      </c>
      <c r="AT1148" s="246">
        <f>IFERROR(VLOOKUP(D1148,VOL_REC[],2,FALSE),0)</f>
        <v>0</v>
      </c>
      <c r="AU1148" s="246">
        <f>IFERROR(VLOOKUP(E1148,VOL_REC[],2,FALSE),0)</f>
        <v>0</v>
      </c>
      <c r="AV1148" s="246">
        <f>IFERROR(VLOOKUP(F1148,VOL_REC[],2,FALSE),0)</f>
        <v>11089674.200000001</v>
      </c>
      <c r="AW1148" s="246">
        <f>IFERROR(VLOOKUP(G1148,VOL_REC[],2,FALSE),0)</f>
        <v>90439.55</v>
      </c>
      <c r="AX1148" s="246">
        <f>IFERROR(VLOOKUP(H1148,VOL_REC[],2,FALSE),0)</f>
        <v>4325103.1812214684</v>
      </c>
      <c r="AY1148" s="246">
        <f>IFERROR(VLOOKUP(I1148,VOL_REC[],2,FALSE),0)</f>
        <v>663244.80000000016</v>
      </c>
      <c r="AZ1148" s="246">
        <f>IFERROR(VLOOKUP(J1148,VOL_REC[],2,FALSE),0)</f>
        <v>17074.045034105649</v>
      </c>
      <c r="BA1148" s="246">
        <f>IFERROR(VLOOKUP(K1148,VOL_REC[],2,FALSE),0)</f>
        <v>1072354.9981737854</v>
      </c>
      <c r="BB1148" s="246">
        <f>IFERROR(VLOOKUP(L1148,VOL_REC[],2,FALSE),0)</f>
        <v>740113.98115702497</v>
      </c>
      <c r="BC1148" s="246">
        <f>IFERROR(VLOOKUP(M1148,VOL_REC[],2,FALSE),0)</f>
        <v>0</v>
      </c>
      <c r="BD1148" s="246">
        <f>IFERROR(VLOOKUP(N1148,VOL_REC[],2,FALSE),0)</f>
        <v>0</v>
      </c>
      <c r="BE1148" s="246">
        <f>IFERROR(VLOOKUP(O1148,VOL_REC[],2,FALSE),0)</f>
        <v>0</v>
      </c>
      <c r="BF1148" s="246">
        <f>IFERROR(VLOOKUP(P1148,VOL_REC[],2,FALSE),0)</f>
        <v>0</v>
      </c>
      <c r="BG1148" s="246">
        <f>IFERROR(VLOOKUP(Q1148,VOL_REC[],2,FALSE),0)</f>
        <v>0</v>
      </c>
      <c r="BH1148" s="1710">
        <f t="shared" si="68"/>
        <v>18100545122.470966</v>
      </c>
      <c r="BI1148" s="1710">
        <f t="shared" si="69"/>
        <v>15224190247.941444</v>
      </c>
      <c r="BJ1148" s="1711">
        <f t="shared" si="70"/>
        <v>17998004.755586386</v>
      </c>
      <c r="BK1148" s="1711">
        <f t="shared" si="71"/>
        <v>1.1889331930096216</v>
      </c>
      <c r="BL1148">
        <f>BJ1148</f>
        <v>17998004.755586386</v>
      </c>
      <c r="BO1148">
        <f>BL1148</f>
        <v>17998004.755586386</v>
      </c>
    </row>
    <row r="1149" spans="3:67" x14ac:dyDescent="0.25">
      <c r="C1149" s="246" t="s">
        <v>2499</v>
      </c>
      <c r="D1149" s="246">
        <v>1</v>
      </c>
      <c r="E1149" s="246">
        <v>2</v>
      </c>
      <c r="F1149" s="246">
        <v>3</v>
      </c>
      <c r="G1149" s="246">
        <v>4</v>
      </c>
      <c r="H1149" s="246">
        <v>5</v>
      </c>
      <c r="I1149" s="246">
        <v>13</v>
      </c>
      <c r="J1149" s="246">
        <v>15</v>
      </c>
      <c r="K1149" s="246">
        <v>16</v>
      </c>
      <c r="L1149" s="246">
        <v>17</v>
      </c>
      <c r="M1149" s="246"/>
      <c r="N1149" s="246"/>
      <c r="O1149" s="246"/>
      <c r="P1149" s="246"/>
      <c r="Q1149" s="246"/>
      <c r="R1149" s="246">
        <f>IFERROR(VLOOKUP(D1149,PROGRAMAS[],2,FALSE),0)</f>
        <v>97037803.679377079</v>
      </c>
      <c r="S1149" s="246">
        <f>IFERROR(VLOOKUP(E1149,PROGRAMAS[],2,FALSE),0)</f>
        <v>640501509.6821388</v>
      </c>
      <c r="T1149" s="246">
        <f>IFERROR(VLOOKUP(F1149,PROGRAMAS[],2,FALSE),0)</f>
        <v>3062327798.1525245</v>
      </c>
      <c r="U1149" s="246">
        <f>IFERROR(VLOOKUP(G1149,PROGRAMAS[],2,FALSE),0)</f>
        <v>67697118.033011258</v>
      </c>
      <c r="V1149" s="246">
        <f>IFERROR(VLOOKUP(H1149,PROGRAMAS[],2,FALSE),0)</f>
        <v>1440941976.2528784</v>
      </c>
      <c r="W1149" s="246">
        <f>IFERROR(VLOOKUP(I1149,PROGRAMAS[],2,FALSE),0)</f>
        <v>3776538594.4604583</v>
      </c>
      <c r="X1149" s="246">
        <f>IFERROR(VLOOKUP(J1149,PROGRAMAS[],2,FALSE),0)</f>
        <v>122159672.96346797</v>
      </c>
      <c r="Y1149" s="246">
        <f>IFERROR(VLOOKUP(K1149,PROGRAMAS[],2,FALSE),0)</f>
        <v>7068496961.0436354</v>
      </c>
      <c r="Z1149" s="246">
        <f>IFERROR(VLOOKUP(L1149,PROGRAMAS[],2,FALSE),0)</f>
        <v>1892779498.5211046</v>
      </c>
      <c r="AA1149" s="246">
        <f>IFERROR(VLOOKUP(M1149,PROGRAMAS[],2,FALSE),0)</f>
        <v>0</v>
      </c>
      <c r="AB1149" s="246">
        <f>IFERROR(VLOOKUP(N1149,PROGRAMAS[],2,FALSE),0)</f>
        <v>0</v>
      </c>
      <c r="AC1149" s="246">
        <f>IFERROR(VLOOKUP(O1149,PROGRAMAS[],2,FALSE),0)</f>
        <v>0</v>
      </c>
      <c r="AD1149" s="246">
        <f>IFERROR(VLOOKUP(P1149,PROGRAMAS[],2,FALSE),0)</f>
        <v>0</v>
      </c>
      <c r="AE1149" s="246">
        <f>IFERROR(VLOOKUP(Q1149,PROGRAMAS[],2,FALSE),0)</f>
        <v>0</v>
      </c>
      <c r="AF1149" s="246">
        <f>IFERROR(VLOOKUP(D1149,PROGRAMAS[],3,FALSE),0)</f>
        <v>841888629.31080008</v>
      </c>
      <c r="AG1149" s="246">
        <f>IFERROR(VLOOKUP(E1149,PROGRAMAS[],3,FALSE),0)</f>
        <v>3848980803.1642323</v>
      </c>
      <c r="AH1149" s="246">
        <f>IFERROR(VLOOKUP(F1149,PROGRAMAS[],3,FALSE),0)</f>
        <v>3394901471.387517</v>
      </c>
      <c r="AI1149" s="246">
        <f>IFERROR(VLOOKUP(G1149,PROGRAMAS[],3,FALSE),0)</f>
        <v>125317226.95549992</v>
      </c>
      <c r="AJ1149" s="246">
        <f>IFERROR(VLOOKUP(H1149,PROGRAMAS[],3,FALSE),0)</f>
        <v>1233505101.0616004</v>
      </c>
      <c r="AK1149" s="246">
        <f>IFERROR(VLOOKUP(I1149,PROGRAMAS[],3,FALSE),0)</f>
        <v>2392571243.5584412</v>
      </c>
      <c r="AL1149" s="246">
        <f>IFERROR(VLOOKUP(J1149,PROGRAMAS[],3,FALSE),0)</f>
        <v>118617452.52510804</v>
      </c>
      <c r="AM1149" s="246">
        <f>IFERROR(VLOOKUP(K1149,PROGRAMAS[],3,FALSE),0)</f>
        <v>2406564599.0319901</v>
      </c>
      <c r="AN1149" s="246">
        <f>IFERROR(VLOOKUP(L1149,PROGRAMAS[],3,FALSE),0)</f>
        <v>948595847.09039903</v>
      </c>
      <c r="AO1149" s="246">
        <f>IFERROR(VLOOKUP(M1149,PROGRAMAS[],3,FALSE),0)</f>
        <v>0</v>
      </c>
      <c r="AP1149" s="246">
        <f>IFERROR(VLOOKUP(N1149,PROGRAMAS[],3,FALSE),0)</f>
        <v>0</v>
      </c>
      <c r="AQ1149" s="246">
        <f>IFERROR(VLOOKUP(O1149,PROGRAMAS[],3,FALSE),0)</f>
        <v>0</v>
      </c>
      <c r="AR1149" s="246">
        <f>IFERROR(VLOOKUP(P1149,PROGRAMAS[],3,FALSE),0)</f>
        <v>0</v>
      </c>
      <c r="AS1149" s="246">
        <f>IFERROR(VLOOKUP(Q1149,PROGRAMAS[],3,FALSE),0)</f>
        <v>0</v>
      </c>
      <c r="AT1149" s="246">
        <f>IFERROR(VLOOKUP(D1149,VOL_REC[],2,FALSE),0)</f>
        <v>0</v>
      </c>
      <c r="AU1149" s="246">
        <f>IFERROR(VLOOKUP(E1149,VOL_REC[],2,FALSE),0)</f>
        <v>0</v>
      </c>
      <c r="AV1149" s="246">
        <f>IFERROR(VLOOKUP(F1149,VOL_REC[],2,FALSE),0)</f>
        <v>11089674.200000001</v>
      </c>
      <c r="AW1149" s="246">
        <f>IFERROR(VLOOKUP(G1149,VOL_REC[],2,FALSE),0)</f>
        <v>90439.55</v>
      </c>
      <c r="AX1149" s="246">
        <f>IFERROR(VLOOKUP(H1149,VOL_REC[],2,FALSE),0)</f>
        <v>4325103.1812214684</v>
      </c>
      <c r="AY1149" s="246">
        <f>IFERROR(VLOOKUP(I1149,VOL_REC[],2,FALSE),0)</f>
        <v>663244.80000000016</v>
      </c>
      <c r="AZ1149" s="246">
        <f>IFERROR(VLOOKUP(J1149,VOL_REC[],2,FALSE),0)</f>
        <v>105072</v>
      </c>
      <c r="BA1149" s="246">
        <f>IFERROR(VLOOKUP(K1149,VOL_REC[],2,FALSE),0)</f>
        <v>1072354.9981737854</v>
      </c>
      <c r="BB1149" s="246">
        <f>IFERROR(VLOOKUP(L1149,VOL_REC[],2,FALSE),0)</f>
        <v>740113.98115702497</v>
      </c>
      <c r="BC1149" s="246">
        <f>IFERROR(VLOOKUP(M1149,VOL_REC[],2,FALSE),0)</f>
        <v>0</v>
      </c>
      <c r="BD1149" s="246">
        <f>IFERROR(VLOOKUP(N1149,VOL_REC[],2,FALSE),0)</f>
        <v>0</v>
      </c>
      <c r="BE1149" s="246">
        <f>IFERROR(VLOOKUP(O1149,VOL_REC[],2,FALSE),0)</f>
        <v>0</v>
      </c>
      <c r="BF1149" s="246">
        <f>IFERROR(VLOOKUP(P1149,VOL_REC[],2,FALSE),0)</f>
        <v>0</v>
      </c>
      <c r="BG1149" s="246">
        <f>IFERROR(VLOOKUP(Q1149,VOL_REC[],2,FALSE),0)</f>
        <v>0</v>
      </c>
      <c r="BH1149" s="1710">
        <f t="shared" si="68"/>
        <v>18168480932.788597</v>
      </c>
      <c r="BI1149" s="1710">
        <f t="shared" si="69"/>
        <v>15310942374.085588</v>
      </c>
      <c r="BJ1149" s="1711">
        <f t="shared" si="70"/>
        <v>18086002.710552279</v>
      </c>
      <c r="BK1149" s="1711">
        <f t="shared" si="71"/>
        <v>1.1866337478703801</v>
      </c>
      <c r="BL1149">
        <f>BJ1149</f>
        <v>18086002.710552279</v>
      </c>
      <c r="BO1149">
        <f>BL1149</f>
        <v>18086002.710552279</v>
      </c>
    </row>
    <row r="1150" spans="3:67" x14ac:dyDescent="0.25">
      <c r="C1150" s="246" t="s">
        <v>2500</v>
      </c>
      <c r="D1150" s="246">
        <v>1</v>
      </c>
      <c r="E1150" s="246">
        <v>2</v>
      </c>
      <c r="F1150" s="246">
        <v>3</v>
      </c>
      <c r="G1150" s="246">
        <v>4</v>
      </c>
      <c r="H1150" s="246">
        <v>5</v>
      </c>
      <c r="I1150" s="246">
        <v>14</v>
      </c>
      <c r="J1150" s="246">
        <v>15</v>
      </c>
      <c r="K1150" s="246">
        <v>16</v>
      </c>
      <c r="L1150" s="246">
        <v>17</v>
      </c>
      <c r="M1150" s="246"/>
      <c r="N1150" s="246"/>
      <c r="O1150" s="246"/>
      <c r="P1150" s="246"/>
      <c r="Q1150" s="246"/>
      <c r="R1150" s="246">
        <f>IFERROR(VLOOKUP(D1150,PROGRAMAS[],2,FALSE),0)</f>
        <v>97037803.679377079</v>
      </c>
      <c r="S1150" s="246">
        <f>IFERROR(VLOOKUP(E1150,PROGRAMAS[],2,FALSE),0)</f>
        <v>640501509.6821388</v>
      </c>
      <c r="T1150" s="246">
        <f>IFERROR(VLOOKUP(F1150,PROGRAMAS[],2,FALSE),0)</f>
        <v>3062327798.1525245</v>
      </c>
      <c r="U1150" s="246">
        <f>IFERROR(VLOOKUP(G1150,PROGRAMAS[],2,FALSE),0)</f>
        <v>67697118.033011258</v>
      </c>
      <c r="V1150" s="246">
        <f>IFERROR(VLOOKUP(H1150,PROGRAMAS[],2,FALSE),0)</f>
        <v>1440941976.2528784</v>
      </c>
      <c r="W1150" s="246">
        <f>IFERROR(VLOOKUP(I1150,PROGRAMAS[],2,FALSE),0)</f>
        <v>54223862.645839565</v>
      </c>
      <c r="X1150" s="246">
        <f>IFERROR(VLOOKUP(J1150,PROGRAMAS[],2,FALSE),0)</f>
        <v>122159672.96346797</v>
      </c>
      <c r="Y1150" s="246">
        <f>IFERROR(VLOOKUP(K1150,PROGRAMAS[],2,FALSE),0)</f>
        <v>7068496961.0436354</v>
      </c>
      <c r="Z1150" s="246">
        <f>IFERROR(VLOOKUP(L1150,PROGRAMAS[],2,FALSE),0)</f>
        <v>1892779498.5211046</v>
      </c>
      <c r="AA1150" s="246">
        <f>IFERROR(VLOOKUP(M1150,PROGRAMAS[],2,FALSE),0)</f>
        <v>0</v>
      </c>
      <c r="AB1150" s="246">
        <f>IFERROR(VLOOKUP(N1150,PROGRAMAS[],2,FALSE),0)</f>
        <v>0</v>
      </c>
      <c r="AC1150" s="246">
        <f>IFERROR(VLOOKUP(O1150,PROGRAMAS[],2,FALSE),0)</f>
        <v>0</v>
      </c>
      <c r="AD1150" s="246">
        <f>IFERROR(VLOOKUP(P1150,PROGRAMAS[],2,FALSE),0)</f>
        <v>0</v>
      </c>
      <c r="AE1150" s="246">
        <f>IFERROR(VLOOKUP(Q1150,PROGRAMAS[],2,FALSE),0)</f>
        <v>0</v>
      </c>
      <c r="AF1150" s="246">
        <f>IFERROR(VLOOKUP(D1150,PROGRAMAS[],3,FALSE),0)</f>
        <v>841888629.31080008</v>
      </c>
      <c r="AG1150" s="246">
        <f>IFERROR(VLOOKUP(E1150,PROGRAMAS[],3,FALSE),0)</f>
        <v>3848980803.1642323</v>
      </c>
      <c r="AH1150" s="246">
        <f>IFERROR(VLOOKUP(F1150,PROGRAMAS[],3,FALSE),0)</f>
        <v>3394901471.387517</v>
      </c>
      <c r="AI1150" s="246">
        <f>IFERROR(VLOOKUP(G1150,PROGRAMAS[],3,FALSE),0)</f>
        <v>125317226.95549992</v>
      </c>
      <c r="AJ1150" s="246">
        <f>IFERROR(VLOOKUP(H1150,PROGRAMAS[],3,FALSE),0)</f>
        <v>1233505101.0616004</v>
      </c>
      <c r="AK1150" s="246">
        <f>IFERROR(VLOOKUP(I1150,PROGRAMAS[],3,FALSE),0)</f>
        <v>31865326.38096505</v>
      </c>
      <c r="AL1150" s="246">
        <f>IFERROR(VLOOKUP(J1150,PROGRAMAS[],3,FALSE),0)</f>
        <v>118617452.52510804</v>
      </c>
      <c r="AM1150" s="246">
        <f>IFERROR(VLOOKUP(K1150,PROGRAMAS[],3,FALSE),0)</f>
        <v>2406564599.0319901</v>
      </c>
      <c r="AN1150" s="246">
        <f>IFERROR(VLOOKUP(L1150,PROGRAMAS[],3,FALSE),0)</f>
        <v>948595847.09039903</v>
      </c>
      <c r="AO1150" s="246">
        <f>IFERROR(VLOOKUP(M1150,PROGRAMAS[],3,FALSE),0)</f>
        <v>0</v>
      </c>
      <c r="AP1150" s="246">
        <f>IFERROR(VLOOKUP(N1150,PROGRAMAS[],3,FALSE),0)</f>
        <v>0</v>
      </c>
      <c r="AQ1150" s="246">
        <f>IFERROR(VLOOKUP(O1150,PROGRAMAS[],3,FALSE),0)</f>
        <v>0</v>
      </c>
      <c r="AR1150" s="246">
        <f>IFERROR(VLOOKUP(P1150,PROGRAMAS[],3,FALSE),0)</f>
        <v>0</v>
      </c>
      <c r="AS1150" s="246">
        <f>IFERROR(VLOOKUP(Q1150,PROGRAMAS[],3,FALSE),0)</f>
        <v>0</v>
      </c>
      <c r="AT1150" s="246">
        <f>IFERROR(VLOOKUP(D1150,VOL_REC[],2,FALSE),0)</f>
        <v>0</v>
      </c>
      <c r="AU1150" s="246">
        <f>IFERROR(VLOOKUP(E1150,VOL_REC[],2,FALSE),0)</f>
        <v>0</v>
      </c>
      <c r="AV1150" s="246">
        <f>IFERROR(VLOOKUP(F1150,VOL_REC[],2,FALSE),0)</f>
        <v>11089674.200000001</v>
      </c>
      <c r="AW1150" s="246">
        <f>IFERROR(VLOOKUP(G1150,VOL_REC[],2,FALSE),0)</f>
        <v>90439.55</v>
      </c>
      <c r="AX1150" s="246">
        <f>IFERROR(VLOOKUP(H1150,VOL_REC[],2,FALSE),0)</f>
        <v>4325103.1812214684</v>
      </c>
      <c r="AY1150" s="246">
        <f>IFERROR(VLOOKUP(I1150,VOL_REC[],2,FALSE),0)</f>
        <v>17074.045034105649</v>
      </c>
      <c r="AZ1150" s="246">
        <f>IFERROR(VLOOKUP(J1150,VOL_REC[],2,FALSE),0)</f>
        <v>105072</v>
      </c>
      <c r="BA1150" s="246">
        <f>IFERROR(VLOOKUP(K1150,VOL_REC[],2,FALSE),0)</f>
        <v>1072354.9981737854</v>
      </c>
      <c r="BB1150" s="246">
        <f>IFERROR(VLOOKUP(L1150,VOL_REC[],2,FALSE),0)</f>
        <v>740113.98115702497</v>
      </c>
      <c r="BC1150" s="246">
        <f>IFERROR(VLOOKUP(M1150,VOL_REC[],2,FALSE),0)</f>
        <v>0</v>
      </c>
      <c r="BD1150" s="246">
        <f>IFERROR(VLOOKUP(N1150,VOL_REC[],2,FALSE),0)</f>
        <v>0</v>
      </c>
      <c r="BE1150" s="246">
        <f>IFERROR(VLOOKUP(O1150,VOL_REC[],2,FALSE),0)</f>
        <v>0</v>
      </c>
      <c r="BF1150" s="246">
        <f>IFERROR(VLOOKUP(P1150,VOL_REC[],2,FALSE),0)</f>
        <v>0</v>
      </c>
      <c r="BG1150" s="246">
        <f>IFERROR(VLOOKUP(Q1150,VOL_REC[],2,FALSE),0)</f>
        <v>0</v>
      </c>
      <c r="BH1150" s="1710">
        <f t="shared" si="68"/>
        <v>14446166200.973978</v>
      </c>
      <c r="BI1150" s="1710">
        <f t="shared" si="69"/>
        <v>12950236456.908112</v>
      </c>
      <c r="BJ1150" s="1711">
        <f t="shared" si="70"/>
        <v>17439831.955586385</v>
      </c>
      <c r="BK1150" s="1711">
        <f t="shared" si="71"/>
        <v>1.1155137011624128</v>
      </c>
      <c r="BL1150">
        <f>BJ1150</f>
        <v>17439831.955586385</v>
      </c>
      <c r="BO1150">
        <f>BL1150</f>
        <v>17439831.955586385</v>
      </c>
    </row>
    <row r="1151" spans="3:67" x14ac:dyDescent="0.25">
      <c r="C1151" s="246" t="s">
        <v>2501</v>
      </c>
      <c r="D1151" s="246">
        <v>1</v>
      </c>
      <c r="E1151" s="246">
        <v>2</v>
      </c>
      <c r="F1151" s="246">
        <v>3</v>
      </c>
      <c r="G1151" s="246">
        <v>4</v>
      </c>
      <c r="H1151" s="246">
        <v>6</v>
      </c>
      <c r="I1151" s="246">
        <v>9</v>
      </c>
      <c r="J1151" s="246">
        <v>10</v>
      </c>
      <c r="K1151" s="246">
        <v>12</v>
      </c>
      <c r="L1151" s="246">
        <v>13</v>
      </c>
      <c r="M1151" s="246"/>
      <c r="N1151" s="246"/>
      <c r="O1151" s="246"/>
      <c r="P1151" s="246"/>
      <c r="Q1151" s="246"/>
      <c r="R1151" s="246">
        <f>IFERROR(VLOOKUP(D1151,PROGRAMAS[],2,FALSE),0)</f>
        <v>97037803.679377079</v>
      </c>
      <c r="S1151" s="246">
        <f>IFERROR(VLOOKUP(E1151,PROGRAMAS[],2,FALSE),0)</f>
        <v>640501509.6821388</v>
      </c>
      <c r="T1151" s="246">
        <f>IFERROR(VLOOKUP(F1151,PROGRAMAS[],2,FALSE),0)</f>
        <v>3062327798.1525245</v>
      </c>
      <c r="U1151" s="246">
        <f>IFERROR(VLOOKUP(G1151,PROGRAMAS[],2,FALSE),0)</f>
        <v>67697118.033011258</v>
      </c>
      <c r="V1151" s="246">
        <f>IFERROR(VLOOKUP(H1151,PROGRAMAS[],2,FALSE),0)</f>
        <v>6907648435.8447599</v>
      </c>
      <c r="W1151" s="246">
        <f>IFERROR(VLOOKUP(I1151,PROGRAMAS[],2,FALSE),0)</f>
        <v>6128579952.1618185</v>
      </c>
      <c r="X1151" s="246">
        <f>IFERROR(VLOOKUP(J1151,PROGRAMAS[],2,FALSE),0)</f>
        <v>4635315027.8751087</v>
      </c>
      <c r="Y1151" s="246">
        <f>IFERROR(VLOOKUP(K1151,PROGRAMAS[],2,FALSE),0)</f>
        <v>764796700.79905891</v>
      </c>
      <c r="Z1151" s="246">
        <f>IFERROR(VLOOKUP(L1151,PROGRAMAS[],2,FALSE),0)</f>
        <v>3776538594.4604583</v>
      </c>
      <c r="AA1151" s="246">
        <f>IFERROR(VLOOKUP(M1151,PROGRAMAS[],2,FALSE),0)</f>
        <v>0</v>
      </c>
      <c r="AB1151" s="246">
        <f>IFERROR(VLOOKUP(N1151,PROGRAMAS[],2,FALSE),0)</f>
        <v>0</v>
      </c>
      <c r="AC1151" s="246">
        <f>IFERROR(VLOOKUP(O1151,PROGRAMAS[],2,FALSE),0)</f>
        <v>0</v>
      </c>
      <c r="AD1151" s="246">
        <f>IFERROR(VLOOKUP(P1151,PROGRAMAS[],2,FALSE),0)</f>
        <v>0</v>
      </c>
      <c r="AE1151" s="246">
        <f>IFERROR(VLOOKUP(Q1151,PROGRAMAS[],2,FALSE),0)</f>
        <v>0</v>
      </c>
      <c r="AF1151" s="246">
        <f>IFERROR(VLOOKUP(D1151,PROGRAMAS[],3,FALSE),0)</f>
        <v>841888629.31080008</v>
      </c>
      <c r="AG1151" s="246">
        <f>IFERROR(VLOOKUP(E1151,PROGRAMAS[],3,FALSE),0)</f>
        <v>3848980803.1642323</v>
      </c>
      <c r="AH1151" s="246">
        <f>IFERROR(VLOOKUP(F1151,PROGRAMAS[],3,FALSE),0)</f>
        <v>3394901471.387517</v>
      </c>
      <c r="AI1151" s="246">
        <f>IFERROR(VLOOKUP(G1151,PROGRAMAS[],3,FALSE),0)</f>
        <v>125317226.95549992</v>
      </c>
      <c r="AJ1151" s="246">
        <f>IFERROR(VLOOKUP(H1151,PROGRAMAS[],3,FALSE),0)</f>
        <v>6129902208.7912121</v>
      </c>
      <c r="AK1151" s="246">
        <f>IFERROR(VLOOKUP(I1151,PROGRAMAS[],3,FALSE),0)</f>
        <v>7011279577.519702</v>
      </c>
      <c r="AL1151" s="246">
        <f>IFERROR(VLOOKUP(J1151,PROGRAMAS[],3,FALSE),0)</f>
        <v>4099471734.9978786</v>
      </c>
      <c r="AM1151" s="246">
        <f>IFERROR(VLOOKUP(K1151,PROGRAMAS[],3,FALSE),0)</f>
        <v>675517840.109828</v>
      </c>
      <c r="AN1151" s="246">
        <f>IFERROR(VLOOKUP(L1151,PROGRAMAS[],3,FALSE),0)</f>
        <v>2392571243.5584412</v>
      </c>
      <c r="AO1151" s="246">
        <f>IFERROR(VLOOKUP(M1151,PROGRAMAS[],3,FALSE),0)</f>
        <v>0</v>
      </c>
      <c r="AP1151" s="246">
        <f>IFERROR(VLOOKUP(N1151,PROGRAMAS[],3,FALSE),0)</f>
        <v>0</v>
      </c>
      <c r="AQ1151" s="246">
        <f>IFERROR(VLOOKUP(O1151,PROGRAMAS[],3,FALSE),0)</f>
        <v>0</v>
      </c>
      <c r="AR1151" s="246">
        <f>IFERROR(VLOOKUP(P1151,PROGRAMAS[],3,FALSE),0)</f>
        <v>0</v>
      </c>
      <c r="AS1151" s="246">
        <f>IFERROR(VLOOKUP(Q1151,PROGRAMAS[],3,FALSE),0)</f>
        <v>0</v>
      </c>
      <c r="AT1151" s="246">
        <f>IFERROR(VLOOKUP(D1151,VOL_REC[],2,FALSE),0)</f>
        <v>0</v>
      </c>
      <c r="AU1151" s="246">
        <f>IFERROR(VLOOKUP(E1151,VOL_REC[],2,FALSE),0)</f>
        <v>0</v>
      </c>
      <c r="AV1151" s="246">
        <f>IFERROR(VLOOKUP(F1151,VOL_REC[],2,FALSE),0)</f>
        <v>11089674.200000001</v>
      </c>
      <c r="AW1151" s="246">
        <f>IFERROR(VLOOKUP(G1151,VOL_REC[],2,FALSE),0)</f>
        <v>90439.55</v>
      </c>
      <c r="AX1151" s="246">
        <f>IFERROR(VLOOKUP(H1151,VOL_REC[],2,FALSE),0)</f>
        <v>15540036.397699751</v>
      </c>
      <c r="AY1151" s="246">
        <f>IFERROR(VLOOKUP(I1151,VOL_REC[],2,FALSE),0)</f>
        <v>3761786</v>
      </c>
      <c r="AZ1151" s="246">
        <f>IFERROR(VLOOKUP(J1151,VOL_REC[],2,FALSE),0)</f>
        <v>1812240</v>
      </c>
      <c r="BA1151" s="246">
        <f>IFERROR(VLOOKUP(K1151,VOL_REC[],2,FALSE),0)</f>
        <v>240696.79238099116</v>
      </c>
      <c r="BB1151" s="246">
        <f>IFERROR(VLOOKUP(L1151,VOL_REC[],2,FALSE),0)</f>
        <v>663244.80000000016</v>
      </c>
      <c r="BC1151" s="246">
        <f>IFERROR(VLOOKUP(M1151,VOL_REC[],2,FALSE),0)</f>
        <v>0</v>
      </c>
      <c r="BD1151" s="246">
        <f>IFERROR(VLOOKUP(N1151,VOL_REC[],2,FALSE),0)</f>
        <v>0</v>
      </c>
      <c r="BE1151" s="246">
        <f>IFERROR(VLOOKUP(O1151,VOL_REC[],2,FALSE),0)</f>
        <v>0</v>
      </c>
      <c r="BF1151" s="246">
        <f>IFERROR(VLOOKUP(P1151,VOL_REC[],2,FALSE),0)</f>
        <v>0</v>
      </c>
      <c r="BG1151" s="246">
        <f>IFERROR(VLOOKUP(Q1151,VOL_REC[],2,FALSE),0)</f>
        <v>0</v>
      </c>
      <c r="BH1151" s="1710">
        <f t="shared" si="68"/>
        <v>26080442940.688255</v>
      </c>
      <c r="BI1151" s="1710">
        <f t="shared" si="69"/>
        <v>28519830735.795113</v>
      </c>
      <c r="BJ1151" s="1711">
        <f t="shared" si="70"/>
        <v>33198117.740080744</v>
      </c>
      <c r="BK1151" s="1711">
        <f t="shared" si="71"/>
        <v>0.9144669609821634</v>
      </c>
    </row>
    <row r="1152" spans="3:67" x14ac:dyDescent="0.25">
      <c r="C1152" s="246" t="s">
        <v>2502</v>
      </c>
      <c r="D1152" s="246">
        <v>1</v>
      </c>
      <c r="E1152" s="246">
        <v>2</v>
      </c>
      <c r="F1152" s="246">
        <v>3</v>
      </c>
      <c r="G1152" s="246">
        <v>4</v>
      </c>
      <c r="H1152" s="246">
        <v>6</v>
      </c>
      <c r="I1152" s="246">
        <v>9</v>
      </c>
      <c r="J1152" s="246">
        <v>10</v>
      </c>
      <c r="K1152" s="246">
        <v>12</v>
      </c>
      <c r="L1152" s="246">
        <v>14</v>
      </c>
      <c r="M1152" s="246"/>
      <c r="N1152" s="246"/>
      <c r="O1152" s="246"/>
      <c r="P1152" s="246"/>
      <c r="Q1152" s="246"/>
      <c r="R1152" s="246">
        <f>IFERROR(VLOOKUP(D1152,PROGRAMAS[],2,FALSE),0)</f>
        <v>97037803.679377079</v>
      </c>
      <c r="S1152" s="246">
        <f>IFERROR(VLOOKUP(E1152,PROGRAMAS[],2,FALSE),0)</f>
        <v>640501509.6821388</v>
      </c>
      <c r="T1152" s="246">
        <f>IFERROR(VLOOKUP(F1152,PROGRAMAS[],2,FALSE),0)</f>
        <v>3062327798.1525245</v>
      </c>
      <c r="U1152" s="246">
        <f>IFERROR(VLOOKUP(G1152,PROGRAMAS[],2,FALSE),0)</f>
        <v>67697118.033011258</v>
      </c>
      <c r="V1152" s="246">
        <f>IFERROR(VLOOKUP(H1152,PROGRAMAS[],2,FALSE),0)</f>
        <v>6907648435.8447599</v>
      </c>
      <c r="W1152" s="246">
        <f>IFERROR(VLOOKUP(I1152,PROGRAMAS[],2,FALSE),0)</f>
        <v>6128579952.1618185</v>
      </c>
      <c r="X1152" s="246">
        <f>IFERROR(VLOOKUP(J1152,PROGRAMAS[],2,FALSE),0)</f>
        <v>4635315027.8751087</v>
      </c>
      <c r="Y1152" s="246">
        <f>IFERROR(VLOOKUP(K1152,PROGRAMAS[],2,FALSE),0)</f>
        <v>764796700.79905891</v>
      </c>
      <c r="Z1152" s="246">
        <f>IFERROR(VLOOKUP(L1152,PROGRAMAS[],2,FALSE),0)</f>
        <v>54223862.645839565</v>
      </c>
      <c r="AA1152" s="246">
        <f>IFERROR(VLOOKUP(M1152,PROGRAMAS[],2,FALSE),0)</f>
        <v>0</v>
      </c>
      <c r="AB1152" s="246">
        <f>IFERROR(VLOOKUP(N1152,PROGRAMAS[],2,FALSE),0)</f>
        <v>0</v>
      </c>
      <c r="AC1152" s="246">
        <f>IFERROR(VLOOKUP(O1152,PROGRAMAS[],2,FALSE),0)</f>
        <v>0</v>
      </c>
      <c r="AD1152" s="246">
        <f>IFERROR(VLOOKUP(P1152,PROGRAMAS[],2,FALSE),0)</f>
        <v>0</v>
      </c>
      <c r="AE1152" s="246">
        <f>IFERROR(VLOOKUP(Q1152,PROGRAMAS[],2,FALSE),0)</f>
        <v>0</v>
      </c>
      <c r="AF1152" s="246">
        <f>IFERROR(VLOOKUP(D1152,PROGRAMAS[],3,FALSE),0)</f>
        <v>841888629.31080008</v>
      </c>
      <c r="AG1152" s="246">
        <f>IFERROR(VLOOKUP(E1152,PROGRAMAS[],3,FALSE),0)</f>
        <v>3848980803.1642323</v>
      </c>
      <c r="AH1152" s="246">
        <f>IFERROR(VLOOKUP(F1152,PROGRAMAS[],3,FALSE),0)</f>
        <v>3394901471.387517</v>
      </c>
      <c r="AI1152" s="246">
        <f>IFERROR(VLOOKUP(G1152,PROGRAMAS[],3,FALSE),0)</f>
        <v>125317226.95549992</v>
      </c>
      <c r="AJ1152" s="246">
        <f>IFERROR(VLOOKUP(H1152,PROGRAMAS[],3,FALSE),0)</f>
        <v>6129902208.7912121</v>
      </c>
      <c r="AK1152" s="246">
        <f>IFERROR(VLOOKUP(I1152,PROGRAMAS[],3,FALSE),0)</f>
        <v>7011279577.519702</v>
      </c>
      <c r="AL1152" s="246">
        <f>IFERROR(VLOOKUP(J1152,PROGRAMAS[],3,FALSE),0)</f>
        <v>4099471734.9978786</v>
      </c>
      <c r="AM1152" s="246">
        <f>IFERROR(VLOOKUP(K1152,PROGRAMAS[],3,FALSE),0)</f>
        <v>675517840.109828</v>
      </c>
      <c r="AN1152" s="246">
        <f>IFERROR(VLOOKUP(L1152,PROGRAMAS[],3,FALSE),0)</f>
        <v>31865326.38096505</v>
      </c>
      <c r="AO1152" s="246">
        <f>IFERROR(VLOOKUP(M1152,PROGRAMAS[],3,FALSE),0)</f>
        <v>0</v>
      </c>
      <c r="AP1152" s="246">
        <f>IFERROR(VLOOKUP(N1152,PROGRAMAS[],3,FALSE),0)</f>
        <v>0</v>
      </c>
      <c r="AQ1152" s="246">
        <f>IFERROR(VLOOKUP(O1152,PROGRAMAS[],3,FALSE),0)</f>
        <v>0</v>
      </c>
      <c r="AR1152" s="246">
        <f>IFERROR(VLOOKUP(P1152,PROGRAMAS[],3,FALSE),0)</f>
        <v>0</v>
      </c>
      <c r="AS1152" s="246">
        <f>IFERROR(VLOOKUP(Q1152,PROGRAMAS[],3,FALSE),0)</f>
        <v>0</v>
      </c>
      <c r="AT1152" s="246">
        <f>IFERROR(VLOOKUP(D1152,VOL_REC[],2,FALSE),0)</f>
        <v>0</v>
      </c>
      <c r="AU1152" s="246">
        <f>IFERROR(VLOOKUP(E1152,VOL_REC[],2,FALSE),0)</f>
        <v>0</v>
      </c>
      <c r="AV1152" s="246">
        <f>IFERROR(VLOOKUP(F1152,VOL_REC[],2,FALSE),0)</f>
        <v>11089674.200000001</v>
      </c>
      <c r="AW1152" s="246">
        <f>IFERROR(VLOOKUP(G1152,VOL_REC[],2,FALSE),0)</f>
        <v>90439.55</v>
      </c>
      <c r="AX1152" s="246">
        <f>IFERROR(VLOOKUP(H1152,VOL_REC[],2,FALSE),0)</f>
        <v>15540036.397699751</v>
      </c>
      <c r="AY1152" s="246">
        <f>IFERROR(VLOOKUP(I1152,VOL_REC[],2,FALSE),0)</f>
        <v>3761786</v>
      </c>
      <c r="AZ1152" s="246">
        <f>IFERROR(VLOOKUP(J1152,VOL_REC[],2,FALSE),0)</f>
        <v>1812240</v>
      </c>
      <c r="BA1152" s="246">
        <f>IFERROR(VLOOKUP(K1152,VOL_REC[],2,FALSE),0)</f>
        <v>240696.79238099116</v>
      </c>
      <c r="BB1152" s="246">
        <f>IFERROR(VLOOKUP(L1152,VOL_REC[],2,FALSE),0)</f>
        <v>17074.045034105649</v>
      </c>
      <c r="BC1152" s="246">
        <f>IFERROR(VLOOKUP(M1152,VOL_REC[],2,FALSE),0)</f>
        <v>0</v>
      </c>
      <c r="BD1152" s="246">
        <f>IFERROR(VLOOKUP(N1152,VOL_REC[],2,FALSE),0)</f>
        <v>0</v>
      </c>
      <c r="BE1152" s="246">
        <f>IFERROR(VLOOKUP(O1152,VOL_REC[],2,FALSE),0)</f>
        <v>0</v>
      </c>
      <c r="BF1152" s="246">
        <f>IFERROR(VLOOKUP(P1152,VOL_REC[],2,FALSE),0)</f>
        <v>0</v>
      </c>
      <c r="BG1152" s="246">
        <f>IFERROR(VLOOKUP(Q1152,VOL_REC[],2,FALSE),0)</f>
        <v>0</v>
      </c>
      <c r="BH1152" s="1710">
        <f t="shared" si="68"/>
        <v>22358128208.873638</v>
      </c>
      <c r="BI1152" s="1710">
        <f t="shared" si="69"/>
        <v>26159124818.617638</v>
      </c>
      <c r="BJ1152" s="1711">
        <f t="shared" si="70"/>
        <v>32551946.98511485</v>
      </c>
      <c r="BK1152" s="1711">
        <f t="shared" si="71"/>
        <v>0.85469710335879423</v>
      </c>
    </row>
    <row r="1153" spans="3:67" x14ac:dyDescent="0.25">
      <c r="C1153" s="246" t="s">
        <v>2503</v>
      </c>
      <c r="D1153" s="246">
        <v>1</v>
      </c>
      <c r="E1153" s="246">
        <v>2</v>
      </c>
      <c r="F1153" s="246">
        <v>3</v>
      </c>
      <c r="G1153" s="246">
        <v>4</v>
      </c>
      <c r="H1153" s="246">
        <v>6</v>
      </c>
      <c r="I1153" s="246">
        <v>9</v>
      </c>
      <c r="J1153" s="246">
        <v>10</v>
      </c>
      <c r="K1153" s="246">
        <v>12</v>
      </c>
      <c r="L1153" s="246">
        <v>15</v>
      </c>
      <c r="M1153" s="246"/>
      <c r="N1153" s="246"/>
      <c r="O1153" s="246"/>
      <c r="P1153" s="246"/>
      <c r="Q1153" s="246"/>
      <c r="R1153" s="246">
        <f>IFERROR(VLOOKUP(D1153,PROGRAMAS[],2,FALSE),0)</f>
        <v>97037803.679377079</v>
      </c>
      <c r="S1153" s="246">
        <f>IFERROR(VLOOKUP(E1153,PROGRAMAS[],2,FALSE),0)</f>
        <v>640501509.6821388</v>
      </c>
      <c r="T1153" s="246">
        <f>IFERROR(VLOOKUP(F1153,PROGRAMAS[],2,FALSE),0)</f>
        <v>3062327798.1525245</v>
      </c>
      <c r="U1153" s="246">
        <f>IFERROR(VLOOKUP(G1153,PROGRAMAS[],2,FALSE),0)</f>
        <v>67697118.033011258</v>
      </c>
      <c r="V1153" s="246">
        <f>IFERROR(VLOOKUP(H1153,PROGRAMAS[],2,FALSE),0)</f>
        <v>6907648435.8447599</v>
      </c>
      <c r="W1153" s="246">
        <f>IFERROR(VLOOKUP(I1153,PROGRAMAS[],2,FALSE),0)</f>
        <v>6128579952.1618185</v>
      </c>
      <c r="X1153" s="246">
        <f>IFERROR(VLOOKUP(J1153,PROGRAMAS[],2,FALSE),0)</f>
        <v>4635315027.8751087</v>
      </c>
      <c r="Y1153" s="246">
        <f>IFERROR(VLOOKUP(K1153,PROGRAMAS[],2,FALSE),0)</f>
        <v>764796700.79905891</v>
      </c>
      <c r="Z1153" s="246">
        <f>IFERROR(VLOOKUP(L1153,PROGRAMAS[],2,FALSE),0)</f>
        <v>122159672.96346797</v>
      </c>
      <c r="AA1153" s="246">
        <f>IFERROR(VLOOKUP(M1153,PROGRAMAS[],2,FALSE),0)</f>
        <v>0</v>
      </c>
      <c r="AB1153" s="246">
        <f>IFERROR(VLOOKUP(N1153,PROGRAMAS[],2,FALSE),0)</f>
        <v>0</v>
      </c>
      <c r="AC1153" s="246">
        <f>IFERROR(VLOOKUP(O1153,PROGRAMAS[],2,FALSE),0)</f>
        <v>0</v>
      </c>
      <c r="AD1153" s="246">
        <f>IFERROR(VLOOKUP(P1153,PROGRAMAS[],2,FALSE),0)</f>
        <v>0</v>
      </c>
      <c r="AE1153" s="246">
        <f>IFERROR(VLOOKUP(Q1153,PROGRAMAS[],2,FALSE),0)</f>
        <v>0</v>
      </c>
      <c r="AF1153" s="246">
        <f>IFERROR(VLOOKUP(D1153,PROGRAMAS[],3,FALSE),0)</f>
        <v>841888629.31080008</v>
      </c>
      <c r="AG1153" s="246">
        <f>IFERROR(VLOOKUP(E1153,PROGRAMAS[],3,FALSE),0)</f>
        <v>3848980803.1642323</v>
      </c>
      <c r="AH1153" s="246">
        <f>IFERROR(VLOOKUP(F1153,PROGRAMAS[],3,FALSE),0)</f>
        <v>3394901471.387517</v>
      </c>
      <c r="AI1153" s="246">
        <f>IFERROR(VLOOKUP(G1153,PROGRAMAS[],3,FALSE),0)</f>
        <v>125317226.95549992</v>
      </c>
      <c r="AJ1153" s="246">
        <f>IFERROR(VLOOKUP(H1153,PROGRAMAS[],3,FALSE),0)</f>
        <v>6129902208.7912121</v>
      </c>
      <c r="AK1153" s="246">
        <f>IFERROR(VLOOKUP(I1153,PROGRAMAS[],3,FALSE),0)</f>
        <v>7011279577.519702</v>
      </c>
      <c r="AL1153" s="246">
        <f>IFERROR(VLOOKUP(J1153,PROGRAMAS[],3,FALSE),0)</f>
        <v>4099471734.9978786</v>
      </c>
      <c r="AM1153" s="246">
        <f>IFERROR(VLOOKUP(K1153,PROGRAMAS[],3,FALSE),0)</f>
        <v>675517840.109828</v>
      </c>
      <c r="AN1153" s="246">
        <f>IFERROR(VLOOKUP(L1153,PROGRAMAS[],3,FALSE),0)</f>
        <v>118617452.52510804</v>
      </c>
      <c r="AO1153" s="246">
        <f>IFERROR(VLOOKUP(M1153,PROGRAMAS[],3,FALSE),0)</f>
        <v>0</v>
      </c>
      <c r="AP1153" s="246">
        <f>IFERROR(VLOOKUP(N1153,PROGRAMAS[],3,FALSE),0)</f>
        <v>0</v>
      </c>
      <c r="AQ1153" s="246">
        <f>IFERROR(VLOOKUP(O1153,PROGRAMAS[],3,FALSE),0)</f>
        <v>0</v>
      </c>
      <c r="AR1153" s="246">
        <f>IFERROR(VLOOKUP(P1153,PROGRAMAS[],3,FALSE),0)</f>
        <v>0</v>
      </c>
      <c r="AS1153" s="246">
        <f>IFERROR(VLOOKUP(Q1153,PROGRAMAS[],3,FALSE),0)</f>
        <v>0</v>
      </c>
      <c r="AT1153" s="246">
        <f>IFERROR(VLOOKUP(D1153,VOL_REC[],2,FALSE),0)</f>
        <v>0</v>
      </c>
      <c r="AU1153" s="246">
        <f>IFERROR(VLOOKUP(E1153,VOL_REC[],2,FALSE),0)</f>
        <v>0</v>
      </c>
      <c r="AV1153" s="246">
        <f>IFERROR(VLOOKUP(F1153,VOL_REC[],2,FALSE),0)</f>
        <v>11089674.200000001</v>
      </c>
      <c r="AW1153" s="246">
        <f>IFERROR(VLOOKUP(G1153,VOL_REC[],2,FALSE),0)</f>
        <v>90439.55</v>
      </c>
      <c r="AX1153" s="246">
        <f>IFERROR(VLOOKUP(H1153,VOL_REC[],2,FALSE),0)</f>
        <v>15540036.397699751</v>
      </c>
      <c r="AY1153" s="246">
        <f>IFERROR(VLOOKUP(I1153,VOL_REC[],2,FALSE),0)</f>
        <v>3761786</v>
      </c>
      <c r="AZ1153" s="246">
        <f>IFERROR(VLOOKUP(J1153,VOL_REC[],2,FALSE),0)</f>
        <v>1812240</v>
      </c>
      <c r="BA1153" s="246">
        <f>IFERROR(VLOOKUP(K1153,VOL_REC[],2,FALSE),0)</f>
        <v>240696.79238099116</v>
      </c>
      <c r="BB1153" s="246">
        <f>IFERROR(VLOOKUP(L1153,VOL_REC[],2,FALSE),0)</f>
        <v>105072</v>
      </c>
      <c r="BC1153" s="246">
        <f>IFERROR(VLOOKUP(M1153,VOL_REC[],2,FALSE),0)</f>
        <v>0</v>
      </c>
      <c r="BD1153" s="246">
        <f>IFERROR(VLOOKUP(N1153,VOL_REC[],2,FALSE),0)</f>
        <v>0</v>
      </c>
      <c r="BE1153" s="246">
        <f>IFERROR(VLOOKUP(O1153,VOL_REC[],2,FALSE),0)</f>
        <v>0</v>
      </c>
      <c r="BF1153" s="246">
        <f>IFERROR(VLOOKUP(P1153,VOL_REC[],2,FALSE),0)</f>
        <v>0</v>
      </c>
      <c r="BG1153" s="246">
        <f>IFERROR(VLOOKUP(Q1153,VOL_REC[],2,FALSE),0)</f>
        <v>0</v>
      </c>
      <c r="BH1153" s="1710">
        <f t="shared" si="68"/>
        <v>22426064019.191265</v>
      </c>
      <c r="BI1153" s="1710">
        <f t="shared" si="69"/>
        <v>26245876944.76178</v>
      </c>
      <c r="BJ1153" s="1711">
        <f t="shared" si="70"/>
        <v>32639944.940080743</v>
      </c>
      <c r="BK1153" s="1711">
        <f t="shared" si="71"/>
        <v>0.85446045740403875</v>
      </c>
    </row>
    <row r="1154" spans="3:67" x14ac:dyDescent="0.25">
      <c r="C1154" s="246" t="s">
        <v>2504</v>
      </c>
      <c r="D1154" s="246">
        <v>1</v>
      </c>
      <c r="E1154" s="246">
        <v>2</v>
      </c>
      <c r="F1154" s="246">
        <v>3</v>
      </c>
      <c r="G1154" s="246">
        <v>4</v>
      </c>
      <c r="H1154" s="246">
        <v>6</v>
      </c>
      <c r="I1154" s="246">
        <v>9</v>
      </c>
      <c r="J1154" s="246">
        <v>10</v>
      </c>
      <c r="K1154" s="246">
        <v>12</v>
      </c>
      <c r="L1154" s="246">
        <v>16</v>
      </c>
      <c r="M1154" s="246"/>
      <c r="N1154" s="246"/>
      <c r="O1154" s="246"/>
      <c r="P1154" s="246"/>
      <c r="Q1154" s="246"/>
      <c r="R1154" s="246">
        <f>IFERROR(VLOOKUP(D1154,PROGRAMAS[],2,FALSE),0)</f>
        <v>97037803.679377079</v>
      </c>
      <c r="S1154" s="246">
        <f>IFERROR(VLOOKUP(E1154,PROGRAMAS[],2,FALSE),0)</f>
        <v>640501509.6821388</v>
      </c>
      <c r="T1154" s="246">
        <f>IFERROR(VLOOKUP(F1154,PROGRAMAS[],2,FALSE),0)</f>
        <v>3062327798.1525245</v>
      </c>
      <c r="U1154" s="246">
        <f>IFERROR(VLOOKUP(G1154,PROGRAMAS[],2,FALSE),0)</f>
        <v>67697118.033011258</v>
      </c>
      <c r="V1154" s="246">
        <f>IFERROR(VLOOKUP(H1154,PROGRAMAS[],2,FALSE),0)</f>
        <v>6907648435.8447599</v>
      </c>
      <c r="W1154" s="246">
        <f>IFERROR(VLOOKUP(I1154,PROGRAMAS[],2,FALSE),0)</f>
        <v>6128579952.1618185</v>
      </c>
      <c r="X1154" s="246">
        <f>IFERROR(VLOOKUP(J1154,PROGRAMAS[],2,FALSE),0)</f>
        <v>4635315027.8751087</v>
      </c>
      <c r="Y1154" s="246">
        <f>IFERROR(VLOOKUP(K1154,PROGRAMAS[],2,FALSE),0)</f>
        <v>764796700.79905891</v>
      </c>
      <c r="Z1154" s="246">
        <f>IFERROR(VLOOKUP(L1154,PROGRAMAS[],2,FALSE),0)</f>
        <v>7068496961.0436354</v>
      </c>
      <c r="AA1154" s="246">
        <f>IFERROR(VLOOKUP(M1154,PROGRAMAS[],2,FALSE),0)</f>
        <v>0</v>
      </c>
      <c r="AB1154" s="246">
        <f>IFERROR(VLOOKUP(N1154,PROGRAMAS[],2,FALSE),0)</f>
        <v>0</v>
      </c>
      <c r="AC1154" s="246">
        <f>IFERROR(VLOOKUP(O1154,PROGRAMAS[],2,FALSE),0)</f>
        <v>0</v>
      </c>
      <c r="AD1154" s="246">
        <f>IFERROR(VLOOKUP(P1154,PROGRAMAS[],2,FALSE),0)</f>
        <v>0</v>
      </c>
      <c r="AE1154" s="246">
        <f>IFERROR(VLOOKUP(Q1154,PROGRAMAS[],2,FALSE),0)</f>
        <v>0</v>
      </c>
      <c r="AF1154" s="246">
        <f>IFERROR(VLOOKUP(D1154,PROGRAMAS[],3,FALSE),0)</f>
        <v>841888629.31080008</v>
      </c>
      <c r="AG1154" s="246">
        <f>IFERROR(VLOOKUP(E1154,PROGRAMAS[],3,FALSE),0)</f>
        <v>3848980803.1642323</v>
      </c>
      <c r="AH1154" s="246">
        <f>IFERROR(VLOOKUP(F1154,PROGRAMAS[],3,FALSE),0)</f>
        <v>3394901471.387517</v>
      </c>
      <c r="AI1154" s="246">
        <f>IFERROR(VLOOKUP(G1154,PROGRAMAS[],3,FALSE),0)</f>
        <v>125317226.95549992</v>
      </c>
      <c r="AJ1154" s="246">
        <f>IFERROR(VLOOKUP(H1154,PROGRAMAS[],3,FALSE),0)</f>
        <v>6129902208.7912121</v>
      </c>
      <c r="AK1154" s="246">
        <f>IFERROR(VLOOKUP(I1154,PROGRAMAS[],3,FALSE),0)</f>
        <v>7011279577.519702</v>
      </c>
      <c r="AL1154" s="246">
        <f>IFERROR(VLOOKUP(J1154,PROGRAMAS[],3,FALSE),0)</f>
        <v>4099471734.9978786</v>
      </c>
      <c r="AM1154" s="246">
        <f>IFERROR(VLOOKUP(K1154,PROGRAMAS[],3,FALSE),0)</f>
        <v>675517840.109828</v>
      </c>
      <c r="AN1154" s="246">
        <f>IFERROR(VLOOKUP(L1154,PROGRAMAS[],3,FALSE),0)</f>
        <v>2406564599.0319901</v>
      </c>
      <c r="AO1154" s="246">
        <f>IFERROR(VLOOKUP(M1154,PROGRAMAS[],3,FALSE),0)</f>
        <v>0</v>
      </c>
      <c r="AP1154" s="246">
        <f>IFERROR(VLOOKUP(N1154,PROGRAMAS[],3,FALSE),0)</f>
        <v>0</v>
      </c>
      <c r="AQ1154" s="246">
        <f>IFERROR(VLOOKUP(O1154,PROGRAMAS[],3,FALSE),0)</f>
        <v>0</v>
      </c>
      <c r="AR1154" s="246">
        <f>IFERROR(VLOOKUP(P1154,PROGRAMAS[],3,FALSE),0)</f>
        <v>0</v>
      </c>
      <c r="AS1154" s="246">
        <f>IFERROR(VLOOKUP(Q1154,PROGRAMAS[],3,FALSE),0)</f>
        <v>0</v>
      </c>
      <c r="AT1154" s="246">
        <f>IFERROR(VLOOKUP(D1154,VOL_REC[],2,FALSE),0)</f>
        <v>0</v>
      </c>
      <c r="AU1154" s="246">
        <f>IFERROR(VLOOKUP(E1154,VOL_REC[],2,FALSE),0)</f>
        <v>0</v>
      </c>
      <c r="AV1154" s="246">
        <f>IFERROR(VLOOKUP(F1154,VOL_REC[],2,FALSE),0)</f>
        <v>11089674.200000001</v>
      </c>
      <c r="AW1154" s="246">
        <f>IFERROR(VLOOKUP(G1154,VOL_REC[],2,FALSE),0)</f>
        <v>90439.55</v>
      </c>
      <c r="AX1154" s="246">
        <f>IFERROR(VLOOKUP(H1154,VOL_REC[],2,FALSE),0)</f>
        <v>15540036.397699751</v>
      </c>
      <c r="AY1154" s="246">
        <f>IFERROR(VLOOKUP(I1154,VOL_REC[],2,FALSE),0)</f>
        <v>3761786</v>
      </c>
      <c r="AZ1154" s="246">
        <f>IFERROR(VLOOKUP(J1154,VOL_REC[],2,FALSE),0)</f>
        <v>1812240</v>
      </c>
      <c r="BA1154" s="246">
        <f>IFERROR(VLOOKUP(K1154,VOL_REC[],2,FALSE),0)</f>
        <v>240696.79238099116</v>
      </c>
      <c r="BB1154" s="246">
        <f>IFERROR(VLOOKUP(L1154,VOL_REC[],2,FALSE),0)</f>
        <v>1072354.9981737854</v>
      </c>
      <c r="BC1154" s="246">
        <f>IFERROR(VLOOKUP(M1154,VOL_REC[],2,FALSE),0)</f>
        <v>0</v>
      </c>
      <c r="BD1154" s="246">
        <f>IFERROR(VLOOKUP(N1154,VOL_REC[],2,FALSE),0)</f>
        <v>0</v>
      </c>
      <c r="BE1154" s="246">
        <f>IFERROR(VLOOKUP(O1154,VOL_REC[],2,FALSE),0)</f>
        <v>0</v>
      </c>
      <c r="BF1154" s="246">
        <f>IFERROR(VLOOKUP(P1154,VOL_REC[],2,FALSE),0)</f>
        <v>0</v>
      </c>
      <c r="BG1154" s="246">
        <f>IFERROR(VLOOKUP(Q1154,VOL_REC[],2,FALSE),0)</f>
        <v>0</v>
      </c>
      <c r="BH1154" s="1710">
        <f t="shared" ref="BH1154:BH1217" si="72">SUM(R1154:AE1154)</f>
        <v>29372401307.271435</v>
      </c>
      <c r="BI1154" s="1710">
        <f t="shared" ref="BI1154:BI1217" si="73">SUM(AF1154:AS1154)</f>
        <v>28533824091.268661</v>
      </c>
      <c r="BJ1154" s="1711">
        <f t="shared" ref="BJ1154:BJ1217" si="74">SUM(AT1154:BG1154)</f>
        <v>33607227.938254528</v>
      </c>
      <c r="BK1154" s="1711">
        <f t="shared" ref="BK1154:BK1217" si="75">IFERROR(BH1154/BI1154,0)</f>
        <v>1.0293888829383853</v>
      </c>
      <c r="BL1154">
        <f>BJ1154</f>
        <v>33607227.938254528</v>
      </c>
      <c r="BO1154">
        <f>BL1154</f>
        <v>33607227.938254528</v>
      </c>
    </row>
    <row r="1155" spans="3:67" x14ac:dyDescent="0.25">
      <c r="C1155" s="246" t="s">
        <v>2505</v>
      </c>
      <c r="D1155" s="246">
        <v>1</v>
      </c>
      <c r="E1155" s="246">
        <v>2</v>
      </c>
      <c r="F1155" s="246">
        <v>3</v>
      </c>
      <c r="G1155" s="246">
        <v>4</v>
      </c>
      <c r="H1155" s="246">
        <v>6</v>
      </c>
      <c r="I1155" s="246">
        <v>9</v>
      </c>
      <c r="J1155" s="246">
        <v>10</v>
      </c>
      <c r="K1155" s="246">
        <v>12</v>
      </c>
      <c r="L1155" s="246">
        <v>17</v>
      </c>
      <c r="M1155" s="246"/>
      <c r="N1155" s="246"/>
      <c r="O1155" s="246"/>
      <c r="P1155" s="246"/>
      <c r="Q1155" s="246"/>
      <c r="R1155" s="246">
        <f>IFERROR(VLOOKUP(D1155,PROGRAMAS[],2,FALSE),0)</f>
        <v>97037803.679377079</v>
      </c>
      <c r="S1155" s="246">
        <f>IFERROR(VLOOKUP(E1155,PROGRAMAS[],2,FALSE),0)</f>
        <v>640501509.6821388</v>
      </c>
      <c r="T1155" s="246">
        <f>IFERROR(VLOOKUP(F1155,PROGRAMAS[],2,FALSE),0)</f>
        <v>3062327798.1525245</v>
      </c>
      <c r="U1155" s="246">
        <f>IFERROR(VLOOKUP(G1155,PROGRAMAS[],2,FALSE),0)</f>
        <v>67697118.033011258</v>
      </c>
      <c r="V1155" s="246">
        <f>IFERROR(VLOOKUP(H1155,PROGRAMAS[],2,FALSE),0)</f>
        <v>6907648435.8447599</v>
      </c>
      <c r="W1155" s="246">
        <f>IFERROR(VLOOKUP(I1155,PROGRAMAS[],2,FALSE),0)</f>
        <v>6128579952.1618185</v>
      </c>
      <c r="X1155" s="246">
        <f>IFERROR(VLOOKUP(J1155,PROGRAMAS[],2,FALSE),0)</f>
        <v>4635315027.8751087</v>
      </c>
      <c r="Y1155" s="246">
        <f>IFERROR(VLOOKUP(K1155,PROGRAMAS[],2,FALSE),0)</f>
        <v>764796700.79905891</v>
      </c>
      <c r="Z1155" s="246">
        <f>IFERROR(VLOOKUP(L1155,PROGRAMAS[],2,FALSE),0)</f>
        <v>1892779498.5211046</v>
      </c>
      <c r="AA1155" s="246">
        <f>IFERROR(VLOOKUP(M1155,PROGRAMAS[],2,FALSE),0)</f>
        <v>0</v>
      </c>
      <c r="AB1155" s="246">
        <f>IFERROR(VLOOKUP(N1155,PROGRAMAS[],2,FALSE),0)</f>
        <v>0</v>
      </c>
      <c r="AC1155" s="246">
        <f>IFERROR(VLOOKUP(O1155,PROGRAMAS[],2,FALSE),0)</f>
        <v>0</v>
      </c>
      <c r="AD1155" s="246">
        <f>IFERROR(VLOOKUP(P1155,PROGRAMAS[],2,FALSE),0)</f>
        <v>0</v>
      </c>
      <c r="AE1155" s="246">
        <f>IFERROR(VLOOKUP(Q1155,PROGRAMAS[],2,FALSE),0)</f>
        <v>0</v>
      </c>
      <c r="AF1155" s="246">
        <f>IFERROR(VLOOKUP(D1155,PROGRAMAS[],3,FALSE),0)</f>
        <v>841888629.31080008</v>
      </c>
      <c r="AG1155" s="246">
        <f>IFERROR(VLOOKUP(E1155,PROGRAMAS[],3,FALSE),0)</f>
        <v>3848980803.1642323</v>
      </c>
      <c r="AH1155" s="246">
        <f>IFERROR(VLOOKUP(F1155,PROGRAMAS[],3,FALSE),0)</f>
        <v>3394901471.387517</v>
      </c>
      <c r="AI1155" s="246">
        <f>IFERROR(VLOOKUP(G1155,PROGRAMAS[],3,FALSE),0)</f>
        <v>125317226.95549992</v>
      </c>
      <c r="AJ1155" s="246">
        <f>IFERROR(VLOOKUP(H1155,PROGRAMAS[],3,FALSE),0)</f>
        <v>6129902208.7912121</v>
      </c>
      <c r="AK1155" s="246">
        <f>IFERROR(VLOOKUP(I1155,PROGRAMAS[],3,FALSE),0)</f>
        <v>7011279577.519702</v>
      </c>
      <c r="AL1155" s="246">
        <f>IFERROR(VLOOKUP(J1155,PROGRAMAS[],3,FALSE),0)</f>
        <v>4099471734.9978786</v>
      </c>
      <c r="AM1155" s="246">
        <f>IFERROR(VLOOKUP(K1155,PROGRAMAS[],3,FALSE),0)</f>
        <v>675517840.109828</v>
      </c>
      <c r="AN1155" s="246">
        <f>IFERROR(VLOOKUP(L1155,PROGRAMAS[],3,FALSE),0)</f>
        <v>948595847.09039903</v>
      </c>
      <c r="AO1155" s="246">
        <f>IFERROR(VLOOKUP(M1155,PROGRAMAS[],3,FALSE),0)</f>
        <v>0</v>
      </c>
      <c r="AP1155" s="246">
        <f>IFERROR(VLOOKUP(N1155,PROGRAMAS[],3,FALSE),0)</f>
        <v>0</v>
      </c>
      <c r="AQ1155" s="246">
        <f>IFERROR(VLOOKUP(O1155,PROGRAMAS[],3,FALSE),0)</f>
        <v>0</v>
      </c>
      <c r="AR1155" s="246">
        <f>IFERROR(VLOOKUP(P1155,PROGRAMAS[],3,FALSE),0)</f>
        <v>0</v>
      </c>
      <c r="AS1155" s="246">
        <f>IFERROR(VLOOKUP(Q1155,PROGRAMAS[],3,FALSE),0)</f>
        <v>0</v>
      </c>
      <c r="AT1155" s="246">
        <f>IFERROR(VLOOKUP(D1155,VOL_REC[],2,FALSE),0)</f>
        <v>0</v>
      </c>
      <c r="AU1155" s="246">
        <f>IFERROR(VLOOKUP(E1155,VOL_REC[],2,FALSE),0)</f>
        <v>0</v>
      </c>
      <c r="AV1155" s="246">
        <f>IFERROR(VLOOKUP(F1155,VOL_REC[],2,FALSE),0)</f>
        <v>11089674.200000001</v>
      </c>
      <c r="AW1155" s="246">
        <f>IFERROR(VLOOKUP(G1155,VOL_REC[],2,FALSE),0)</f>
        <v>90439.55</v>
      </c>
      <c r="AX1155" s="246">
        <f>IFERROR(VLOOKUP(H1155,VOL_REC[],2,FALSE),0)</f>
        <v>15540036.397699751</v>
      </c>
      <c r="AY1155" s="246">
        <f>IFERROR(VLOOKUP(I1155,VOL_REC[],2,FALSE),0)</f>
        <v>3761786</v>
      </c>
      <c r="AZ1155" s="246">
        <f>IFERROR(VLOOKUP(J1155,VOL_REC[],2,FALSE),0)</f>
        <v>1812240</v>
      </c>
      <c r="BA1155" s="246">
        <f>IFERROR(VLOOKUP(K1155,VOL_REC[],2,FALSE),0)</f>
        <v>240696.79238099116</v>
      </c>
      <c r="BB1155" s="246">
        <f>IFERROR(VLOOKUP(L1155,VOL_REC[],2,FALSE),0)</f>
        <v>740113.98115702497</v>
      </c>
      <c r="BC1155" s="246">
        <f>IFERROR(VLOOKUP(M1155,VOL_REC[],2,FALSE),0)</f>
        <v>0</v>
      </c>
      <c r="BD1155" s="246">
        <f>IFERROR(VLOOKUP(N1155,VOL_REC[],2,FALSE),0)</f>
        <v>0</v>
      </c>
      <c r="BE1155" s="246">
        <f>IFERROR(VLOOKUP(O1155,VOL_REC[],2,FALSE),0)</f>
        <v>0</v>
      </c>
      <c r="BF1155" s="246">
        <f>IFERROR(VLOOKUP(P1155,VOL_REC[],2,FALSE),0)</f>
        <v>0</v>
      </c>
      <c r="BG1155" s="246">
        <f>IFERROR(VLOOKUP(Q1155,VOL_REC[],2,FALSE),0)</f>
        <v>0</v>
      </c>
      <c r="BH1155" s="1710">
        <f t="shared" si="72"/>
        <v>24196683844.748901</v>
      </c>
      <c r="BI1155" s="1710">
        <f t="shared" si="73"/>
        <v>27075855339.327072</v>
      </c>
      <c r="BJ1155" s="1711">
        <f t="shared" si="74"/>
        <v>33274986.921237767</v>
      </c>
      <c r="BK1155" s="1711">
        <f t="shared" si="75"/>
        <v>0.89366276859973326</v>
      </c>
    </row>
    <row r="1156" spans="3:67" x14ac:dyDescent="0.25">
      <c r="C1156" s="246" t="s">
        <v>2506</v>
      </c>
      <c r="D1156" s="246">
        <v>1</v>
      </c>
      <c r="E1156" s="246">
        <v>2</v>
      </c>
      <c r="F1156" s="246">
        <v>3</v>
      </c>
      <c r="G1156" s="246">
        <v>4</v>
      </c>
      <c r="H1156" s="246">
        <v>6</v>
      </c>
      <c r="I1156" s="246">
        <v>9</v>
      </c>
      <c r="J1156" s="246">
        <v>10</v>
      </c>
      <c r="K1156" s="246">
        <v>13</v>
      </c>
      <c r="L1156" s="246">
        <v>14</v>
      </c>
      <c r="M1156" s="246"/>
      <c r="N1156" s="246"/>
      <c r="O1156" s="246"/>
      <c r="P1156" s="246"/>
      <c r="Q1156" s="246"/>
      <c r="R1156" s="246">
        <f>IFERROR(VLOOKUP(D1156,PROGRAMAS[],2,FALSE),0)</f>
        <v>97037803.679377079</v>
      </c>
      <c r="S1156" s="246">
        <f>IFERROR(VLOOKUP(E1156,PROGRAMAS[],2,FALSE),0)</f>
        <v>640501509.6821388</v>
      </c>
      <c r="T1156" s="246">
        <f>IFERROR(VLOOKUP(F1156,PROGRAMAS[],2,FALSE),0)</f>
        <v>3062327798.1525245</v>
      </c>
      <c r="U1156" s="246">
        <f>IFERROR(VLOOKUP(G1156,PROGRAMAS[],2,FALSE),0)</f>
        <v>67697118.033011258</v>
      </c>
      <c r="V1156" s="246">
        <f>IFERROR(VLOOKUP(H1156,PROGRAMAS[],2,FALSE),0)</f>
        <v>6907648435.8447599</v>
      </c>
      <c r="W1156" s="246">
        <f>IFERROR(VLOOKUP(I1156,PROGRAMAS[],2,FALSE),0)</f>
        <v>6128579952.1618185</v>
      </c>
      <c r="X1156" s="246">
        <f>IFERROR(VLOOKUP(J1156,PROGRAMAS[],2,FALSE),0)</f>
        <v>4635315027.8751087</v>
      </c>
      <c r="Y1156" s="246">
        <f>IFERROR(VLOOKUP(K1156,PROGRAMAS[],2,FALSE),0)</f>
        <v>3776538594.4604583</v>
      </c>
      <c r="Z1156" s="246">
        <f>IFERROR(VLOOKUP(L1156,PROGRAMAS[],2,FALSE),0)</f>
        <v>54223862.645839565</v>
      </c>
      <c r="AA1156" s="246">
        <f>IFERROR(VLOOKUP(M1156,PROGRAMAS[],2,FALSE),0)</f>
        <v>0</v>
      </c>
      <c r="AB1156" s="246">
        <f>IFERROR(VLOOKUP(N1156,PROGRAMAS[],2,FALSE),0)</f>
        <v>0</v>
      </c>
      <c r="AC1156" s="246">
        <f>IFERROR(VLOOKUP(O1156,PROGRAMAS[],2,FALSE),0)</f>
        <v>0</v>
      </c>
      <c r="AD1156" s="246">
        <f>IFERROR(VLOOKUP(P1156,PROGRAMAS[],2,FALSE),0)</f>
        <v>0</v>
      </c>
      <c r="AE1156" s="246">
        <f>IFERROR(VLOOKUP(Q1156,PROGRAMAS[],2,FALSE),0)</f>
        <v>0</v>
      </c>
      <c r="AF1156" s="246">
        <f>IFERROR(VLOOKUP(D1156,PROGRAMAS[],3,FALSE),0)</f>
        <v>841888629.31080008</v>
      </c>
      <c r="AG1156" s="246">
        <f>IFERROR(VLOOKUP(E1156,PROGRAMAS[],3,FALSE),0)</f>
        <v>3848980803.1642323</v>
      </c>
      <c r="AH1156" s="246">
        <f>IFERROR(VLOOKUP(F1156,PROGRAMAS[],3,FALSE),0)</f>
        <v>3394901471.387517</v>
      </c>
      <c r="AI1156" s="246">
        <f>IFERROR(VLOOKUP(G1156,PROGRAMAS[],3,FALSE),0)</f>
        <v>125317226.95549992</v>
      </c>
      <c r="AJ1156" s="246">
        <f>IFERROR(VLOOKUP(H1156,PROGRAMAS[],3,FALSE),0)</f>
        <v>6129902208.7912121</v>
      </c>
      <c r="AK1156" s="246">
        <f>IFERROR(VLOOKUP(I1156,PROGRAMAS[],3,FALSE),0)</f>
        <v>7011279577.519702</v>
      </c>
      <c r="AL1156" s="246">
        <f>IFERROR(VLOOKUP(J1156,PROGRAMAS[],3,FALSE),0)</f>
        <v>4099471734.9978786</v>
      </c>
      <c r="AM1156" s="246">
        <f>IFERROR(VLOOKUP(K1156,PROGRAMAS[],3,FALSE),0)</f>
        <v>2392571243.5584412</v>
      </c>
      <c r="AN1156" s="246">
        <f>IFERROR(VLOOKUP(L1156,PROGRAMAS[],3,FALSE),0)</f>
        <v>31865326.38096505</v>
      </c>
      <c r="AO1156" s="246">
        <f>IFERROR(VLOOKUP(M1156,PROGRAMAS[],3,FALSE),0)</f>
        <v>0</v>
      </c>
      <c r="AP1156" s="246">
        <f>IFERROR(VLOOKUP(N1156,PROGRAMAS[],3,FALSE),0)</f>
        <v>0</v>
      </c>
      <c r="AQ1156" s="246">
        <f>IFERROR(VLOOKUP(O1156,PROGRAMAS[],3,FALSE),0)</f>
        <v>0</v>
      </c>
      <c r="AR1156" s="246">
        <f>IFERROR(VLOOKUP(P1156,PROGRAMAS[],3,FALSE),0)</f>
        <v>0</v>
      </c>
      <c r="AS1156" s="246">
        <f>IFERROR(VLOOKUP(Q1156,PROGRAMAS[],3,FALSE),0)</f>
        <v>0</v>
      </c>
      <c r="AT1156" s="246">
        <f>IFERROR(VLOOKUP(D1156,VOL_REC[],2,FALSE),0)</f>
        <v>0</v>
      </c>
      <c r="AU1156" s="246">
        <f>IFERROR(VLOOKUP(E1156,VOL_REC[],2,FALSE),0)</f>
        <v>0</v>
      </c>
      <c r="AV1156" s="246">
        <f>IFERROR(VLOOKUP(F1156,VOL_REC[],2,FALSE),0)</f>
        <v>11089674.200000001</v>
      </c>
      <c r="AW1156" s="246">
        <f>IFERROR(VLOOKUP(G1156,VOL_REC[],2,FALSE),0)</f>
        <v>90439.55</v>
      </c>
      <c r="AX1156" s="246">
        <f>IFERROR(VLOOKUP(H1156,VOL_REC[],2,FALSE),0)</f>
        <v>15540036.397699751</v>
      </c>
      <c r="AY1156" s="246">
        <f>IFERROR(VLOOKUP(I1156,VOL_REC[],2,FALSE),0)</f>
        <v>3761786</v>
      </c>
      <c r="AZ1156" s="246">
        <f>IFERROR(VLOOKUP(J1156,VOL_REC[],2,FALSE),0)</f>
        <v>1812240</v>
      </c>
      <c r="BA1156" s="246">
        <f>IFERROR(VLOOKUP(K1156,VOL_REC[],2,FALSE),0)</f>
        <v>663244.80000000016</v>
      </c>
      <c r="BB1156" s="246">
        <f>IFERROR(VLOOKUP(L1156,VOL_REC[],2,FALSE),0)</f>
        <v>17074.045034105649</v>
      </c>
      <c r="BC1156" s="246">
        <f>IFERROR(VLOOKUP(M1156,VOL_REC[],2,FALSE),0)</f>
        <v>0</v>
      </c>
      <c r="BD1156" s="246">
        <f>IFERROR(VLOOKUP(N1156,VOL_REC[],2,FALSE),0)</f>
        <v>0</v>
      </c>
      <c r="BE1156" s="246">
        <f>IFERROR(VLOOKUP(O1156,VOL_REC[],2,FALSE),0)</f>
        <v>0</v>
      </c>
      <c r="BF1156" s="246">
        <f>IFERROR(VLOOKUP(P1156,VOL_REC[],2,FALSE),0)</f>
        <v>0</v>
      </c>
      <c r="BG1156" s="246">
        <f>IFERROR(VLOOKUP(Q1156,VOL_REC[],2,FALSE),0)</f>
        <v>0</v>
      </c>
      <c r="BH1156" s="1710">
        <f t="shared" si="72"/>
        <v>25369870102.535038</v>
      </c>
      <c r="BI1156" s="1710">
        <f t="shared" si="73"/>
        <v>27876178222.06625</v>
      </c>
      <c r="BJ1156" s="1711">
        <f t="shared" si="74"/>
        <v>32974494.992733859</v>
      </c>
      <c r="BK1156" s="1711">
        <f t="shared" si="75"/>
        <v>0.91009140135475008</v>
      </c>
    </row>
    <row r="1157" spans="3:67" x14ac:dyDescent="0.25">
      <c r="C1157" s="246" t="s">
        <v>2507</v>
      </c>
      <c r="D1157" s="246">
        <v>1</v>
      </c>
      <c r="E1157" s="246">
        <v>2</v>
      </c>
      <c r="F1157" s="246">
        <v>3</v>
      </c>
      <c r="G1157" s="246">
        <v>4</v>
      </c>
      <c r="H1157" s="246">
        <v>6</v>
      </c>
      <c r="I1157" s="246">
        <v>9</v>
      </c>
      <c r="J1157" s="246">
        <v>10</v>
      </c>
      <c r="K1157" s="246">
        <v>13</v>
      </c>
      <c r="L1157" s="246">
        <v>15</v>
      </c>
      <c r="M1157" s="246"/>
      <c r="N1157" s="246"/>
      <c r="O1157" s="246"/>
      <c r="P1157" s="246"/>
      <c r="Q1157" s="246"/>
      <c r="R1157" s="246">
        <f>IFERROR(VLOOKUP(D1157,PROGRAMAS[],2,FALSE),0)</f>
        <v>97037803.679377079</v>
      </c>
      <c r="S1157" s="246">
        <f>IFERROR(VLOOKUP(E1157,PROGRAMAS[],2,FALSE),0)</f>
        <v>640501509.6821388</v>
      </c>
      <c r="T1157" s="246">
        <f>IFERROR(VLOOKUP(F1157,PROGRAMAS[],2,FALSE),0)</f>
        <v>3062327798.1525245</v>
      </c>
      <c r="U1157" s="246">
        <f>IFERROR(VLOOKUP(G1157,PROGRAMAS[],2,FALSE),0)</f>
        <v>67697118.033011258</v>
      </c>
      <c r="V1157" s="246">
        <f>IFERROR(VLOOKUP(H1157,PROGRAMAS[],2,FALSE),0)</f>
        <v>6907648435.8447599</v>
      </c>
      <c r="W1157" s="246">
        <f>IFERROR(VLOOKUP(I1157,PROGRAMAS[],2,FALSE),0)</f>
        <v>6128579952.1618185</v>
      </c>
      <c r="X1157" s="246">
        <f>IFERROR(VLOOKUP(J1157,PROGRAMAS[],2,FALSE),0)</f>
        <v>4635315027.8751087</v>
      </c>
      <c r="Y1157" s="246">
        <f>IFERROR(VLOOKUP(K1157,PROGRAMAS[],2,FALSE),0)</f>
        <v>3776538594.4604583</v>
      </c>
      <c r="Z1157" s="246">
        <f>IFERROR(VLOOKUP(L1157,PROGRAMAS[],2,FALSE),0)</f>
        <v>122159672.96346797</v>
      </c>
      <c r="AA1157" s="246">
        <f>IFERROR(VLOOKUP(M1157,PROGRAMAS[],2,FALSE),0)</f>
        <v>0</v>
      </c>
      <c r="AB1157" s="246">
        <f>IFERROR(VLOOKUP(N1157,PROGRAMAS[],2,FALSE),0)</f>
        <v>0</v>
      </c>
      <c r="AC1157" s="246">
        <f>IFERROR(VLOOKUP(O1157,PROGRAMAS[],2,FALSE),0)</f>
        <v>0</v>
      </c>
      <c r="AD1157" s="246">
        <f>IFERROR(VLOOKUP(P1157,PROGRAMAS[],2,FALSE),0)</f>
        <v>0</v>
      </c>
      <c r="AE1157" s="246">
        <f>IFERROR(VLOOKUP(Q1157,PROGRAMAS[],2,FALSE),0)</f>
        <v>0</v>
      </c>
      <c r="AF1157" s="246">
        <f>IFERROR(VLOOKUP(D1157,PROGRAMAS[],3,FALSE),0)</f>
        <v>841888629.31080008</v>
      </c>
      <c r="AG1157" s="246">
        <f>IFERROR(VLOOKUP(E1157,PROGRAMAS[],3,FALSE),0)</f>
        <v>3848980803.1642323</v>
      </c>
      <c r="AH1157" s="246">
        <f>IFERROR(VLOOKUP(F1157,PROGRAMAS[],3,FALSE),0)</f>
        <v>3394901471.387517</v>
      </c>
      <c r="AI1157" s="246">
        <f>IFERROR(VLOOKUP(G1157,PROGRAMAS[],3,FALSE),0)</f>
        <v>125317226.95549992</v>
      </c>
      <c r="AJ1157" s="246">
        <f>IFERROR(VLOOKUP(H1157,PROGRAMAS[],3,FALSE),0)</f>
        <v>6129902208.7912121</v>
      </c>
      <c r="AK1157" s="246">
        <f>IFERROR(VLOOKUP(I1157,PROGRAMAS[],3,FALSE),0)</f>
        <v>7011279577.519702</v>
      </c>
      <c r="AL1157" s="246">
        <f>IFERROR(VLOOKUP(J1157,PROGRAMAS[],3,FALSE),0)</f>
        <v>4099471734.9978786</v>
      </c>
      <c r="AM1157" s="246">
        <f>IFERROR(VLOOKUP(K1157,PROGRAMAS[],3,FALSE),0)</f>
        <v>2392571243.5584412</v>
      </c>
      <c r="AN1157" s="246">
        <f>IFERROR(VLOOKUP(L1157,PROGRAMAS[],3,FALSE),0)</f>
        <v>118617452.52510804</v>
      </c>
      <c r="AO1157" s="246">
        <f>IFERROR(VLOOKUP(M1157,PROGRAMAS[],3,FALSE),0)</f>
        <v>0</v>
      </c>
      <c r="AP1157" s="246">
        <f>IFERROR(VLOOKUP(N1157,PROGRAMAS[],3,FALSE),0)</f>
        <v>0</v>
      </c>
      <c r="AQ1157" s="246">
        <f>IFERROR(VLOOKUP(O1157,PROGRAMAS[],3,FALSE),0)</f>
        <v>0</v>
      </c>
      <c r="AR1157" s="246">
        <f>IFERROR(VLOOKUP(P1157,PROGRAMAS[],3,FALSE),0)</f>
        <v>0</v>
      </c>
      <c r="AS1157" s="246">
        <f>IFERROR(VLOOKUP(Q1157,PROGRAMAS[],3,FALSE),0)</f>
        <v>0</v>
      </c>
      <c r="AT1157" s="246">
        <f>IFERROR(VLOOKUP(D1157,VOL_REC[],2,FALSE),0)</f>
        <v>0</v>
      </c>
      <c r="AU1157" s="246">
        <f>IFERROR(VLOOKUP(E1157,VOL_REC[],2,FALSE),0)</f>
        <v>0</v>
      </c>
      <c r="AV1157" s="246">
        <f>IFERROR(VLOOKUP(F1157,VOL_REC[],2,FALSE),0)</f>
        <v>11089674.200000001</v>
      </c>
      <c r="AW1157" s="246">
        <f>IFERROR(VLOOKUP(G1157,VOL_REC[],2,FALSE),0)</f>
        <v>90439.55</v>
      </c>
      <c r="AX1157" s="246">
        <f>IFERROR(VLOOKUP(H1157,VOL_REC[],2,FALSE),0)</f>
        <v>15540036.397699751</v>
      </c>
      <c r="AY1157" s="246">
        <f>IFERROR(VLOOKUP(I1157,VOL_REC[],2,FALSE),0)</f>
        <v>3761786</v>
      </c>
      <c r="AZ1157" s="246">
        <f>IFERROR(VLOOKUP(J1157,VOL_REC[],2,FALSE),0)</f>
        <v>1812240</v>
      </c>
      <c r="BA1157" s="246">
        <f>IFERROR(VLOOKUP(K1157,VOL_REC[],2,FALSE),0)</f>
        <v>663244.80000000016</v>
      </c>
      <c r="BB1157" s="246">
        <f>IFERROR(VLOOKUP(L1157,VOL_REC[],2,FALSE),0)</f>
        <v>105072</v>
      </c>
      <c r="BC1157" s="246">
        <f>IFERROR(VLOOKUP(M1157,VOL_REC[],2,FALSE),0)</f>
        <v>0</v>
      </c>
      <c r="BD1157" s="246">
        <f>IFERROR(VLOOKUP(N1157,VOL_REC[],2,FALSE),0)</f>
        <v>0</v>
      </c>
      <c r="BE1157" s="246">
        <f>IFERROR(VLOOKUP(O1157,VOL_REC[],2,FALSE),0)</f>
        <v>0</v>
      </c>
      <c r="BF1157" s="246">
        <f>IFERROR(VLOOKUP(P1157,VOL_REC[],2,FALSE),0)</f>
        <v>0</v>
      </c>
      <c r="BG1157" s="246">
        <f>IFERROR(VLOOKUP(Q1157,VOL_REC[],2,FALSE),0)</f>
        <v>0</v>
      </c>
      <c r="BH1157" s="1710">
        <f t="shared" si="72"/>
        <v>25437805912.852665</v>
      </c>
      <c r="BI1157" s="1710">
        <f t="shared" si="73"/>
        <v>27962930348.210392</v>
      </c>
      <c r="BJ1157" s="1711">
        <f t="shared" si="74"/>
        <v>33062492.947699752</v>
      </c>
      <c r="BK1157" s="1711">
        <f t="shared" si="75"/>
        <v>0.90969743142390891</v>
      </c>
    </row>
    <row r="1158" spans="3:67" x14ac:dyDescent="0.25">
      <c r="C1158" s="246" t="s">
        <v>2508</v>
      </c>
      <c r="D1158" s="246">
        <v>1</v>
      </c>
      <c r="E1158" s="246">
        <v>2</v>
      </c>
      <c r="F1158" s="246">
        <v>3</v>
      </c>
      <c r="G1158" s="246">
        <v>4</v>
      </c>
      <c r="H1158" s="246">
        <v>6</v>
      </c>
      <c r="I1158" s="246">
        <v>9</v>
      </c>
      <c r="J1158" s="246">
        <v>10</v>
      </c>
      <c r="K1158" s="246">
        <v>13</v>
      </c>
      <c r="L1158" s="246">
        <v>16</v>
      </c>
      <c r="M1158" s="246"/>
      <c r="N1158" s="246"/>
      <c r="O1158" s="246"/>
      <c r="P1158" s="246"/>
      <c r="Q1158" s="246"/>
      <c r="R1158" s="246">
        <f>IFERROR(VLOOKUP(D1158,PROGRAMAS[],2,FALSE),0)</f>
        <v>97037803.679377079</v>
      </c>
      <c r="S1158" s="246">
        <f>IFERROR(VLOOKUP(E1158,PROGRAMAS[],2,FALSE),0)</f>
        <v>640501509.6821388</v>
      </c>
      <c r="T1158" s="246">
        <f>IFERROR(VLOOKUP(F1158,PROGRAMAS[],2,FALSE),0)</f>
        <v>3062327798.1525245</v>
      </c>
      <c r="U1158" s="246">
        <f>IFERROR(VLOOKUP(G1158,PROGRAMAS[],2,FALSE),0)</f>
        <v>67697118.033011258</v>
      </c>
      <c r="V1158" s="246">
        <f>IFERROR(VLOOKUP(H1158,PROGRAMAS[],2,FALSE),0)</f>
        <v>6907648435.8447599</v>
      </c>
      <c r="W1158" s="246">
        <f>IFERROR(VLOOKUP(I1158,PROGRAMAS[],2,FALSE),0)</f>
        <v>6128579952.1618185</v>
      </c>
      <c r="X1158" s="246">
        <f>IFERROR(VLOOKUP(J1158,PROGRAMAS[],2,FALSE),0)</f>
        <v>4635315027.8751087</v>
      </c>
      <c r="Y1158" s="246">
        <f>IFERROR(VLOOKUP(K1158,PROGRAMAS[],2,FALSE),0)</f>
        <v>3776538594.4604583</v>
      </c>
      <c r="Z1158" s="246">
        <f>IFERROR(VLOOKUP(L1158,PROGRAMAS[],2,FALSE),0)</f>
        <v>7068496961.0436354</v>
      </c>
      <c r="AA1158" s="246">
        <f>IFERROR(VLOOKUP(M1158,PROGRAMAS[],2,FALSE),0)</f>
        <v>0</v>
      </c>
      <c r="AB1158" s="246">
        <f>IFERROR(VLOOKUP(N1158,PROGRAMAS[],2,FALSE),0)</f>
        <v>0</v>
      </c>
      <c r="AC1158" s="246">
        <f>IFERROR(VLOOKUP(O1158,PROGRAMAS[],2,FALSE),0)</f>
        <v>0</v>
      </c>
      <c r="AD1158" s="246">
        <f>IFERROR(VLOOKUP(P1158,PROGRAMAS[],2,FALSE),0)</f>
        <v>0</v>
      </c>
      <c r="AE1158" s="246">
        <f>IFERROR(VLOOKUP(Q1158,PROGRAMAS[],2,FALSE),0)</f>
        <v>0</v>
      </c>
      <c r="AF1158" s="246">
        <f>IFERROR(VLOOKUP(D1158,PROGRAMAS[],3,FALSE),0)</f>
        <v>841888629.31080008</v>
      </c>
      <c r="AG1158" s="246">
        <f>IFERROR(VLOOKUP(E1158,PROGRAMAS[],3,FALSE),0)</f>
        <v>3848980803.1642323</v>
      </c>
      <c r="AH1158" s="246">
        <f>IFERROR(VLOOKUP(F1158,PROGRAMAS[],3,FALSE),0)</f>
        <v>3394901471.387517</v>
      </c>
      <c r="AI1158" s="246">
        <f>IFERROR(VLOOKUP(G1158,PROGRAMAS[],3,FALSE),0)</f>
        <v>125317226.95549992</v>
      </c>
      <c r="AJ1158" s="246">
        <f>IFERROR(VLOOKUP(H1158,PROGRAMAS[],3,FALSE),0)</f>
        <v>6129902208.7912121</v>
      </c>
      <c r="AK1158" s="246">
        <f>IFERROR(VLOOKUP(I1158,PROGRAMAS[],3,FALSE),0)</f>
        <v>7011279577.519702</v>
      </c>
      <c r="AL1158" s="246">
        <f>IFERROR(VLOOKUP(J1158,PROGRAMAS[],3,FALSE),0)</f>
        <v>4099471734.9978786</v>
      </c>
      <c r="AM1158" s="246">
        <f>IFERROR(VLOOKUP(K1158,PROGRAMAS[],3,FALSE),0)</f>
        <v>2392571243.5584412</v>
      </c>
      <c r="AN1158" s="246">
        <f>IFERROR(VLOOKUP(L1158,PROGRAMAS[],3,FALSE),0)</f>
        <v>2406564599.0319901</v>
      </c>
      <c r="AO1158" s="246">
        <f>IFERROR(VLOOKUP(M1158,PROGRAMAS[],3,FALSE),0)</f>
        <v>0</v>
      </c>
      <c r="AP1158" s="246">
        <f>IFERROR(VLOOKUP(N1158,PROGRAMAS[],3,FALSE),0)</f>
        <v>0</v>
      </c>
      <c r="AQ1158" s="246">
        <f>IFERROR(VLOOKUP(O1158,PROGRAMAS[],3,FALSE),0)</f>
        <v>0</v>
      </c>
      <c r="AR1158" s="246">
        <f>IFERROR(VLOOKUP(P1158,PROGRAMAS[],3,FALSE),0)</f>
        <v>0</v>
      </c>
      <c r="AS1158" s="246">
        <f>IFERROR(VLOOKUP(Q1158,PROGRAMAS[],3,FALSE),0)</f>
        <v>0</v>
      </c>
      <c r="AT1158" s="246">
        <f>IFERROR(VLOOKUP(D1158,VOL_REC[],2,FALSE),0)</f>
        <v>0</v>
      </c>
      <c r="AU1158" s="246">
        <f>IFERROR(VLOOKUP(E1158,VOL_REC[],2,FALSE),0)</f>
        <v>0</v>
      </c>
      <c r="AV1158" s="246">
        <f>IFERROR(VLOOKUP(F1158,VOL_REC[],2,FALSE),0)</f>
        <v>11089674.200000001</v>
      </c>
      <c r="AW1158" s="246">
        <f>IFERROR(VLOOKUP(G1158,VOL_REC[],2,FALSE),0)</f>
        <v>90439.55</v>
      </c>
      <c r="AX1158" s="246">
        <f>IFERROR(VLOOKUP(H1158,VOL_REC[],2,FALSE),0)</f>
        <v>15540036.397699751</v>
      </c>
      <c r="AY1158" s="246">
        <f>IFERROR(VLOOKUP(I1158,VOL_REC[],2,FALSE),0)</f>
        <v>3761786</v>
      </c>
      <c r="AZ1158" s="246">
        <f>IFERROR(VLOOKUP(J1158,VOL_REC[],2,FALSE),0)</f>
        <v>1812240</v>
      </c>
      <c r="BA1158" s="246">
        <f>IFERROR(VLOOKUP(K1158,VOL_REC[],2,FALSE),0)</f>
        <v>663244.80000000016</v>
      </c>
      <c r="BB1158" s="246">
        <f>IFERROR(VLOOKUP(L1158,VOL_REC[],2,FALSE),0)</f>
        <v>1072354.9981737854</v>
      </c>
      <c r="BC1158" s="246">
        <f>IFERROR(VLOOKUP(M1158,VOL_REC[],2,FALSE),0)</f>
        <v>0</v>
      </c>
      <c r="BD1158" s="246">
        <f>IFERROR(VLOOKUP(N1158,VOL_REC[],2,FALSE),0)</f>
        <v>0</v>
      </c>
      <c r="BE1158" s="246">
        <f>IFERROR(VLOOKUP(O1158,VOL_REC[],2,FALSE),0)</f>
        <v>0</v>
      </c>
      <c r="BF1158" s="246">
        <f>IFERROR(VLOOKUP(P1158,VOL_REC[],2,FALSE),0)</f>
        <v>0</v>
      </c>
      <c r="BG1158" s="246">
        <f>IFERROR(VLOOKUP(Q1158,VOL_REC[],2,FALSE),0)</f>
        <v>0</v>
      </c>
      <c r="BH1158" s="1710">
        <f t="shared" si="72"/>
        <v>32384143200.932835</v>
      </c>
      <c r="BI1158" s="1710">
        <f t="shared" si="73"/>
        <v>30250877494.717274</v>
      </c>
      <c r="BJ1158" s="1711">
        <f t="shared" si="74"/>
        <v>34029775.945873536</v>
      </c>
      <c r="BK1158" s="1711">
        <f t="shared" si="75"/>
        <v>1.0705191347453671</v>
      </c>
      <c r="BL1158">
        <f>BJ1158</f>
        <v>34029775.945873536</v>
      </c>
      <c r="BO1158">
        <f>BL1158</f>
        <v>34029775.945873536</v>
      </c>
    </row>
    <row r="1159" spans="3:67" x14ac:dyDescent="0.25">
      <c r="C1159" s="246" t="s">
        <v>2509</v>
      </c>
      <c r="D1159" s="246">
        <v>1</v>
      </c>
      <c r="E1159" s="246">
        <v>2</v>
      </c>
      <c r="F1159" s="246">
        <v>3</v>
      </c>
      <c r="G1159" s="246">
        <v>4</v>
      </c>
      <c r="H1159" s="246">
        <v>6</v>
      </c>
      <c r="I1159" s="246">
        <v>9</v>
      </c>
      <c r="J1159" s="246">
        <v>10</v>
      </c>
      <c r="K1159" s="246">
        <v>13</v>
      </c>
      <c r="L1159" s="246">
        <v>17</v>
      </c>
      <c r="M1159" s="246"/>
      <c r="N1159" s="246"/>
      <c r="O1159" s="246"/>
      <c r="P1159" s="246"/>
      <c r="Q1159" s="246"/>
      <c r="R1159" s="246">
        <f>IFERROR(VLOOKUP(D1159,PROGRAMAS[],2,FALSE),0)</f>
        <v>97037803.679377079</v>
      </c>
      <c r="S1159" s="246">
        <f>IFERROR(VLOOKUP(E1159,PROGRAMAS[],2,FALSE),0)</f>
        <v>640501509.6821388</v>
      </c>
      <c r="T1159" s="246">
        <f>IFERROR(VLOOKUP(F1159,PROGRAMAS[],2,FALSE),0)</f>
        <v>3062327798.1525245</v>
      </c>
      <c r="U1159" s="246">
        <f>IFERROR(VLOOKUP(G1159,PROGRAMAS[],2,FALSE),0)</f>
        <v>67697118.033011258</v>
      </c>
      <c r="V1159" s="246">
        <f>IFERROR(VLOOKUP(H1159,PROGRAMAS[],2,FALSE),0)</f>
        <v>6907648435.8447599</v>
      </c>
      <c r="W1159" s="246">
        <f>IFERROR(VLOOKUP(I1159,PROGRAMAS[],2,FALSE),0)</f>
        <v>6128579952.1618185</v>
      </c>
      <c r="X1159" s="246">
        <f>IFERROR(VLOOKUP(J1159,PROGRAMAS[],2,FALSE),0)</f>
        <v>4635315027.8751087</v>
      </c>
      <c r="Y1159" s="246">
        <f>IFERROR(VLOOKUP(K1159,PROGRAMAS[],2,FALSE),0)</f>
        <v>3776538594.4604583</v>
      </c>
      <c r="Z1159" s="246">
        <f>IFERROR(VLOOKUP(L1159,PROGRAMAS[],2,FALSE),0)</f>
        <v>1892779498.5211046</v>
      </c>
      <c r="AA1159" s="246">
        <f>IFERROR(VLOOKUP(M1159,PROGRAMAS[],2,FALSE),0)</f>
        <v>0</v>
      </c>
      <c r="AB1159" s="246">
        <f>IFERROR(VLOOKUP(N1159,PROGRAMAS[],2,FALSE),0)</f>
        <v>0</v>
      </c>
      <c r="AC1159" s="246">
        <f>IFERROR(VLOOKUP(O1159,PROGRAMAS[],2,FALSE),0)</f>
        <v>0</v>
      </c>
      <c r="AD1159" s="246">
        <f>IFERROR(VLOOKUP(P1159,PROGRAMAS[],2,FALSE),0)</f>
        <v>0</v>
      </c>
      <c r="AE1159" s="246">
        <f>IFERROR(VLOOKUP(Q1159,PROGRAMAS[],2,FALSE),0)</f>
        <v>0</v>
      </c>
      <c r="AF1159" s="246">
        <f>IFERROR(VLOOKUP(D1159,PROGRAMAS[],3,FALSE),0)</f>
        <v>841888629.31080008</v>
      </c>
      <c r="AG1159" s="246">
        <f>IFERROR(VLOOKUP(E1159,PROGRAMAS[],3,FALSE),0)</f>
        <v>3848980803.1642323</v>
      </c>
      <c r="AH1159" s="246">
        <f>IFERROR(VLOOKUP(F1159,PROGRAMAS[],3,FALSE),0)</f>
        <v>3394901471.387517</v>
      </c>
      <c r="AI1159" s="246">
        <f>IFERROR(VLOOKUP(G1159,PROGRAMAS[],3,FALSE),0)</f>
        <v>125317226.95549992</v>
      </c>
      <c r="AJ1159" s="246">
        <f>IFERROR(VLOOKUP(H1159,PROGRAMAS[],3,FALSE),0)</f>
        <v>6129902208.7912121</v>
      </c>
      <c r="AK1159" s="246">
        <f>IFERROR(VLOOKUP(I1159,PROGRAMAS[],3,FALSE),0)</f>
        <v>7011279577.519702</v>
      </c>
      <c r="AL1159" s="246">
        <f>IFERROR(VLOOKUP(J1159,PROGRAMAS[],3,FALSE),0)</f>
        <v>4099471734.9978786</v>
      </c>
      <c r="AM1159" s="246">
        <f>IFERROR(VLOOKUP(K1159,PROGRAMAS[],3,FALSE),0)</f>
        <v>2392571243.5584412</v>
      </c>
      <c r="AN1159" s="246">
        <f>IFERROR(VLOOKUP(L1159,PROGRAMAS[],3,FALSE),0)</f>
        <v>948595847.09039903</v>
      </c>
      <c r="AO1159" s="246">
        <f>IFERROR(VLOOKUP(M1159,PROGRAMAS[],3,FALSE),0)</f>
        <v>0</v>
      </c>
      <c r="AP1159" s="246">
        <f>IFERROR(VLOOKUP(N1159,PROGRAMAS[],3,FALSE),0)</f>
        <v>0</v>
      </c>
      <c r="AQ1159" s="246">
        <f>IFERROR(VLOOKUP(O1159,PROGRAMAS[],3,FALSE),0)</f>
        <v>0</v>
      </c>
      <c r="AR1159" s="246">
        <f>IFERROR(VLOOKUP(P1159,PROGRAMAS[],3,FALSE),0)</f>
        <v>0</v>
      </c>
      <c r="AS1159" s="246">
        <f>IFERROR(VLOOKUP(Q1159,PROGRAMAS[],3,FALSE),0)</f>
        <v>0</v>
      </c>
      <c r="AT1159" s="246">
        <f>IFERROR(VLOOKUP(D1159,VOL_REC[],2,FALSE),0)</f>
        <v>0</v>
      </c>
      <c r="AU1159" s="246">
        <f>IFERROR(VLOOKUP(E1159,VOL_REC[],2,FALSE),0)</f>
        <v>0</v>
      </c>
      <c r="AV1159" s="246">
        <f>IFERROR(VLOOKUP(F1159,VOL_REC[],2,FALSE),0)</f>
        <v>11089674.200000001</v>
      </c>
      <c r="AW1159" s="246">
        <f>IFERROR(VLOOKUP(G1159,VOL_REC[],2,FALSE),0)</f>
        <v>90439.55</v>
      </c>
      <c r="AX1159" s="246">
        <f>IFERROR(VLOOKUP(H1159,VOL_REC[],2,FALSE),0)</f>
        <v>15540036.397699751</v>
      </c>
      <c r="AY1159" s="246">
        <f>IFERROR(VLOOKUP(I1159,VOL_REC[],2,FALSE),0)</f>
        <v>3761786</v>
      </c>
      <c r="AZ1159" s="246">
        <f>IFERROR(VLOOKUP(J1159,VOL_REC[],2,FALSE),0)</f>
        <v>1812240</v>
      </c>
      <c r="BA1159" s="246">
        <f>IFERROR(VLOOKUP(K1159,VOL_REC[],2,FALSE),0)</f>
        <v>663244.80000000016</v>
      </c>
      <c r="BB1159" s="246">
        <f>IFERROR(VLOOKUP(L1159,VOL_REC[],2,FALSE),0)</f>
        <v>740113.98115702497</v>
      </c>
      <c r="BC1159" s="246">
        <f>IFERROR(VLOOKUP(M1159,VOL_REC[],2,FALSE),0)</f>
        <v>0</v>
      </c>
      <c r="BD1159" s="246">
        <f>IFERROR(VLOOKUP(N1159,VOL_REC[],2,FALSE),0)</f>
        <v>0</v>
      </c>
      <c r="BE1159" s="246">
        <f>IFERROR(VLOOKUP(O1159,VOL_REC[],2,FALSE),0)</f>
        <v>0</v>
      </c>
      <c r="BF1159" s="246">
        <f>IFERROR(VLOOKUP(P1159,VOL_REC[],2,FALSE),0)</f>
        <v>0</v>
      </c>
      <c r="BG1159" s="246">
        <f>IFERROR(VLOOKUP(Q1159,VOL_REC[],2,FALSE),0)</f>
        <v>0</v>
      </c>
      <c r="BH1159" s="1710">
        <f t="shared" si="72"/>
        <v>27208425738.410301</v>
      </c>
      <c r="BI1159" s="1710">
        <f t="shared" si="73"/>
        <v>28792908742.775684</v>
      </c>
      <c r="BJ1159" s="1711">
        <f t="shared" si="74"/>
        <v>33697534.928856775</v>
      </c>
      <c r="BK1159" s="1711">
        <f t="shared" si="75"/>
        <v>0.94496967921787545</v>
      </c>
    </row>
    <row r="1160" spans="3:67" x14ac:dyDescent="0.25">
      <c r="C1160" s="246" t="s">
        <v>2510</v>
      </c>
      <c r="D1160" s="246">
        <v>1</v>
      </c>
      <c r="E1160" s="246">
        <v>2</v>
      </c>
      <c r="F1160" s="246">
        <v>3</v>
      </c>
      <c r="G1160" s="246">
        <v>4</v>
      </c>
      <c r="H1160" s="246">
        <v>6</v>
      </c>
      <c r="I1160" s="246">
        <v>9</v>
      </c>
      <c r="J1160" s="246">
        <v>10</v>
      </c>
      <c r="K1160" s="246">
        <v>14</v>
      </c>
      <c r="L1160" s="246">
        <v>15</v>
      </c>
      <c r="M1160" s="246"/>
      <c r="N1160" s="246"/>
      <c r="O1160" s="246"/>
      <c r="P1160" s="246"/>
      <c r="Q1160" s="246"/>
      <c r="R1160" s="246">
        <f>IFERROR(VLOOKUP(D1160,PROGRAMAS[],2,FALSE),0)</f>
        <v>97037803.679377079</v>
      </c>
      <c r="S1160" s="246">
        <f>IFERROR(VLOOKUP(E1160,PROGRAMAS[],2,FALSE),0)</f>
        <v>640501509.6821388</v>
      </c>
      <c r="T1160" s="246">
        <f>IFERROR(VLOOKUP(F1160,PROGRAMAS[],2,FALSE),0)</f>
        <v>3062327798.1525245</v>
      </c>
      <c r="U1160" s="246">
        <f>IFERROR(VLOOKUP(G1160,PROGRAMAS[],2,FALSE),0)</f>
        <v>67697118.033011258</v>
      </c>
      <c r="V1160" s="246">
        <f>IFERROR(VLOOKUP(H1160,PROGRAMAS[],2,FALSE),0)</f>
        <v>6907648435.8447599</v>
      </c>
      <c r="W1160" s="246">
        <f>IFERROR(VLOOKUP(I1160,PROGRAMAS[],2,FALSE),0)</f>
        <v>6128579952.1618185</v>
      </c>
      <c r="X1160" s="246">
        <f>IFERROR(VLOOKUP(J1160,PROGRAMAS[],2,FALSE),0)</f>
        <v>4635315027.8751087</v>
      </c>
      <c r="Y1160" s="246">
        <f>IFERROR(VLOOKUP(K1160,PROGRAMAS[],2,FALSE),0)</f>
        <v>54223862.645839565</v>
      </c>
      <c r="Z1160" s="246">
        <f>IFERROR(VLOOKUP(L1160,PROGRAMAS[],2,FALSE),0)</f>
        <v>122159672.96346797</v>
      </c>
      <c r="AA1160" s="246">
        <f>IFERROR(VLOOKUP(M1160,PROGRAMAS[],2,FALSE),0)</f>
        <v>0</v>
      </c>
      <c r="AB1160" s="246">
        <f>IFERROR(VLOOKUP(N1160,PROGRAMAS[],2,FALSE),0)</f>
        <v>0</v>
      </c>
      <c r="AC1160" s="246">
        <f>IFERROR(VLOOKUP(O1160,PROGRAMAS[],2,FALSE),0)</f>
        <v>0</v>
      </c>
      <c r="AD1160" s="246">
        <f>IFERROR(VLOOKUP(P1160,PROGRAMAS[],2,FALSE),0)</f>
        <v>0</v>
      </c>
      <c r="AE1160" s="246">
        <f>IFERROR(VLOOKUP(Q1160,PROGRAMAS[],2,FALSE),0)</f>
        <v>0</v>
      </c>
      <c r="AF1160" s="246">
        <f>IFERROR(VLOOKUP(D1160,PROGRAMAS[],3,FALSE),0)</f>
        <v>841888629.31080008</v>
      </c>
      <c r="AG1160" s="246">
        <f>IFERROR(VLOOKUP(E1160,PROGRAMAS[],3,FALSE),0)</f>
        <v>3848980803.1642323</v>
      </c>
      <c r="AH1160" s="246">
        <f>IFERROR(VLOOKUP(F1160,PROGRAMAS[],3,FALSE),0)</f>
        <v>3394901471.387517</v>
      </c>
      <c r="AI1160" s="246">
        <f>IFERROR(VLOOKUP(G1160,PROGRAMAS[],3,FALSE),0)</f>
        <v>125317226.95549992</v>
      </c>
      <c r="AJ1160" s="246">
        <f>IFERROR(VLOOKUP(H1160,PROGRAMAS[],3,FALSE),0)</f>
        <v>6129902208.7912121</v>
      </c>
      <c r="AK1160" s="246">
        <f>IFERROR(VLOOKUP(I1160,PROGRAMAS[],3,FALSE),0)</f>
        <v>7011279577.519702</v>
      </c>
      <c r="AL1160" s="246">
        <f>IFERROR(VLOOKUP(J1160,PROGRAMAS[],3,FALSE),0)</f>
        <v>4099471734.9978786</v>
      </c>
      <c r="AM1160" s="246">
        <f>IFERROR(VLOOKUP(K1160,PROGRAMAS[],3,FALSE),0)</f>
        <v>31865326.38096505</v>
      </c>
      <c r="AN1160" s="246">
        <f>IFERROR(VLOOKUP(L1160,PROGRAMAS[],3,FALSE),0)</f>
        <v>118617452.52510804</v>
      </c>
      <c r="AO1160" s="246">
        <f>IFERROR(VLOOKUP(M1160,PROGRAMAS[],3,FALSE),0)</f>
        <v>0</v>
      </c>
      <c r="AP1160" s="246">
        <f>IFERROR(VLOOKUP(N1160,PROGRAMAS[],3,FALSE),0)</f>
        <v>0</v>
      </c>
      <c r="AQ1160" s="246">
        <f>IFERROR(VLOOKUP(O1160,PROGRAMAS[],3,FALSE),0)</f>
        <v>0</v>
      </c>
      <c r="AR1160" s="246">
        <f>IFERROR(VLOOKUP(P1160,PROGRAMAS[],3,FALSE),0)</f>
        <v>0</v>
      </c>
      <c r="AS1160" s="246">
        <f>IFERROR(VLOOKUP(Q1160,PROGRAMAS[],3,FALSE),0)</f>
        <v>0</v>
      </c>
      <c r="AT1160" s="246">
        <f>IFERROR(VLOOKUP(D1160,VOL_REC[],2,FALSE),0)</f>
        <v>0</v>
      </c>
      <c r="AU1160" s="246">
        <f>IFERROR(VLOOKUP(E1160,VOL_REC[],2,FALSE),0)</f>
        <v>0</v>
      </c>
      <c r="AV1160" s="246">
        <f>IFERROR(VLOOKUP(F1160,VOL_REC[],2,FALSE),0)</f>
        <v>11089674.200000001</v>
      </c>
      <c r="AW1160" s="246">
        <f>IFERROR(VLOOKUP(G1160,VOL_REC[],2,FALSE),0)</f>
        <v>90439.55</v>
      </c>
      <c r="AX1160" s="246">
        <f>IFERROR(VLOOKUP(H1160,VOL_REC[],2,FALSE),0)</f>
        <v>15540036.397699751</v>
      </c>
      <c r="AY1160" s="246">
        <f>IFERROR(VLOOKUP(I1160,VOL_REC[],2,FALSE),0)</f>
        <v>3761786</v>
      </c>
      <c r="AZ1160" s="246">
        <f>IFERROR(VLOOKUP(J1160,VOL_REC[],2,FALSE),0)</f>
        <v>1812240</v>
      </c>
      <c r="BA1160" s="246">
        <f>IFERROR(VLOOKUP(K1160,VOL_REC[],2,FALSE),0)</f>
        <v>17074.045034105649</v>
      </c>
      <c r="BB1160" s="246">
        <f>IFERROR(VLOOKUP(L1160,VOL_REC[],2,FALSE),0)</f>
        <v>105072</v>
      </c>
      <c r="BC1160" s="246">
        <f>IFERROR(VLOOKUP(M1160,VOL_REC[],2,FALSE),0)</f>
        <v>0</v>
      </c>
      <c r="BD1160" s="246">
        <f>IFERROR(VLOOKUP(N1160,VOL_REC[],2,FALSE),0)</f>
        <v>0</v>
      </c>
      <c r="BE1160" s="246">
        <f>IFERROR(VLOOKUP(O1160,VOL_REC[],2,FALSE),0)</f>
        <v>0</v>
      </c>
      <c r="BF1160" s="246">
        <f>IFERROR(VLOOKUP(P1160,VOL_REC[],2,FALSE),0)</f>
        <v>0</v>
      </c>
      <c r="BG1160" s="246">
        <f>IFERROR(VLOOKUP(Q1160,VOL_REC[],2,FALSE),0)</f>
        <v>0</v>
      </c>
      <c r="BH1160" s="1710">
        <f t="shared" si="72"/>
        <v>21715491181.038048</v>
      </c>
      <c r="BI1160" s="1710">
        <f t="shared" si="73"/>
        <v>25602224431.032917</v>
      </c>
      <c r="BJ1160" s="1711">
        <f t="shared" si="74"/>
        <v>32416322.192733858</v>
      </c>
      <c r="BK1160" s="1711">
        <f t="shared" si="75"/>
        <v>0.84818767367402303</v>
      </c>
    </row>
    <row r="1161" spans="3:67" x14ac:dyDescent="0.25">
      <c r="C1161" s="246" t="s">
        <v>2511</v>
      </c>
      <c r="D1161" s="246">
        <v>1</v>
      </c>
      <c r="E1161" s="246">
        <v>2</v>
      </c>
      <c r="F1161" s="246">
        <v>3</v>
      </c>
      <c r="G1161" s="246">
        <v>4</v>
      </c>
      <c r="H1161" s="246">
        <v>6</v>
      </c>
      <c r="I1161" s="246">
        <v>9</v>
      </c>
      <c r="J1161" s="246">
        <v>10</v>
      </c>
      <c r="K1161" s="246">
        <v>14</v>
      </c>
      <c r="L1161" s="246">
        <v>16</v>
      </c>
      <c r="M1161" s="246"/>
      <c r="N1161" s="246"/>
      <c r="O1161" s="246"/>
      <c r="P1161" s="246"/>
      <c r="Q1161" s="246"/>
      <c r="R1161" s="246">
        <f>IFERROR(VLOOKUP(D1161,PROGRAMAS[],2,FALSE),0)</f>
        <v>97037803.679377079</v>
      </c>
      <c r="S1161" s="246">
        <f>IFERROR(VLOOKUP(E1161,PROGRAMAS[],2,FALSE),0)</f>
        <v>640501509.6821388</v>
      </c>
      <c r="T1161" s="246">
        <f>IFERROR(VLOOKUP(F1161,PROGRAMAS[],2,FALSE),0)</f>
        <v>3062327798.1525245</v>
      </c>
      <c r="U1161" s="246">
        <f>IFERROR(VLOOKUP(G1161,PROGRAMAS[],2,FALSE),0)</f>
        <v>67697118.033011258</v>
      </c>
      <c r="V1161" s="246">
        <f>IFERROR(VLOOKUP(H1161,PROGRAMAS[],2,FALSE),0)</f>
        <v>6907648435.8447599</v>
      </c>
      <c r="W1161" s="246">
        <f>IFERROR(VLOOKUP(I1161,PROGRAMAS[],2,FALSE),0)</f>
        <v>6128579952.1618185</v>
      </c>
      <c r="X1161" s="246">
        <f>IFERROR(VLOOKUP(J1161,PROGRAMAS[],2,FALSE),0)</f>
        <v>4635315027.8751087</v>
      </c>
      <c r="Y1161" s="246">
        <f>IFERROR(VLOOKUP(K1161,PROGRAMAS[],2,FALSE),0)</f>
        <v>54223862.645839565</v>
      </c>
      <c r="Z1161" s="246">
        <f>IFERROR(VLOOKUP(L1161,PROGRAMAS[],2,FALSE),0)</f>
        <v>7068496961.0436354</v>
      </c>
      <c r="AA1161" s="246">
        <f>IFERROR(VLOOKUP(M1161,PROGRAMAS[],2,FALSE),0)</f>
        <v>0</v>
      </c>
      <c r="AB1161" s="246">
        <f>IFERROR(VLOOKUP(N1161,PROGRAMAS[],2,FALSE),0)</f>
        <v>0</v>
      </c>
      <c r="AC1161" s="246">
        <f>IFERROR(VLOOKUP(O1161,PROGRAMAS[],2,FALSE),0)</f>
        <v>0</v>
      </c>
      <c r="AD1161" s="246">
        <f>IFERROR(VLOOKUP(P1161,PROGRAMAS[],2,FALSE),0)</f>
        <v>0</v>
      </c>
      <c r="AE1161" s="246">
        <f>IFERROR(VLOOKUP(Q1161,PROGRAMAS[],2,FALSE),0)</f>
        <v>0</v>
      </c>
      <c r="AF1161" s="246">
        <f>IFERROR(VLOOKUP(D1161,PROGRAMAS[],3,FALSE),0)</f>
        <v>841888629.31080008</v>
      </c>
      <c r="AG1161" s="246">
        <f>IFERROR(VLOOKUP(E1161,PROGRAMAS[],3,FALSE),0)</f>
        <v>3848980803.1642323</v>
      </c>
      <c r="AH1161" s="246">
        <f>IFERROR(VLOOKUP(F1161,PROGRAMAS[],3,FALSE),0)</f>
        <v>3394901471.387517</v>
      </c>
      <c r="AI1161" s="246">
        <f>IFERROR(VLOOKUP(G1161,PROGRAMAS[],3,FALSE),0)</f>
        <v>125317226.95549992</v>
      </c>
      <c r="AJ1161" s="246">
        <f>IFERROR(VLOOKUP(H1161,PROGRAMAS[],3,FALSE),0)</f>
        <v>6129902208.7912121</v>
      </c>
      <c r="AK1161" s="246">
        <f>IFERROR(VLOOKUP(I1161,PROGRAMAS[],3,FALSE),0)</f>
        <v>7011279577.519702</v>
      </c>
      <c r="AL1161" s="246">
        <f>IFERROR(VLOOKUP(J1161,PROGRAMAS[],3,FALSE),0)</f>
        <v>4099471734.9978786</v>
      </c>
      <c r="AM1161" s="246">
        <f>IFERROR(VLOOKUP(K1161,PROGRAMAS[],3,FALSE),0)</f>
        <v>31865326.38096505</v>
      </c>
      <c r="AN1161" s="246">
        <f>IFERROR(VLOOKUP(L1161,PROGRAMAS[],3,FALSE),0)</f>
        <v>2406564599.0319901</v>
      </c>
      <c r="AO1161" s="246">
        <f>IFERROR(VLOOKUP(M1161,PROGRAMAS[],3,FALSE),0)</f>
        <v>0</v>
      </c>
      <c r="AP1161" s="246">
        <f>IFERROR(VLOOKUP(N1161,PROGRAMAS[],3,FALSE),0)</f>
        <v>0</v>
      </c>
      <c r="AQ1161" s="246">
        <f>IFERROR(VLOOKUP(O1161,PROGRAMAS[],3,FALSE),0)</f>
        <v>0</v>
      </c>
      <c r="AR1161" s="246">
        <f>IFERROR(VLOOKUP(P1161,PROGRAMAS[],3,FALSE),0)</f>
        <v>0</v>
      </c>
      <c r="AS1161" s="246">
        <f>IFERROR(VLOOKUP(Q1161,PROGRAMAS[],3,FALSE),0)</f>
        <v>0</v>
      </c>
      <c r="AT1161" s="246">
        <f>IFERROR(VLOOKUP(D1161,VOL_REC[],2,FALSE),0)</f>
        <v>0</v>
      </c>
      <c r="AU1161" s="246">
        <f>IFERROR(VLOOKUP(E1161,VOL_REC[],2,FALSE),0)</f>
        <v>0</v>
      </c>
      <c r="AV1161" s="246">
        <f>IFERROR(VLOOKUP(F1161,VOL_REC[],2,FALSE),0)</f>
        <v>11089674.200000001</v>
      </c>
      <c r="AW1161" s="246">
        <f>IFERROR(VLOOKUP(G1161,VOL_REC[],2,FALSE),0)</f>
        <v>90439.55</v>
      </c>
      <c r="AX1161" s="246">
        <f>IFERROR(VLOOKUP(H1161,VOL_REC[],2,FALSE),0)</f>
        <v>15540036.397699751</v>
      </c>
      <c r="AY1161" s="246">
        <f>IFERROR(VLOOKUP(I1161,VOL_REC[],2,FALSE),0)</f>
        <v>3761786</v>
      </c>
      <c r="AZ1161" s="246">
        <f>IFERROR(VLOOKUP(J1161,VOL_REC[],2,FALSE),0)</f>
        <v>1812240</v>
      </c>
      <c r="BA1161" s="246">
        <f>IFERROR(VLOOKUP(K1161,VOL_REC[],2,FALSE),0)</f>
        <v>17074.045034105649</v>
      </c>
      <c r="BB1161" s="246">
        <f>IFERROR(VLOOKUP(L1161,VOL_REC[],2,FALSE),0)</f>
        <v>1072354.9981737854</v>
      </c>
      <c r="BC1161" s="246">
        <f>IFERROR(VLOOKUP(M1161,VOL_REC[],2,FALSE),0)</f>
        <v>0</v>
      </c>
      <c r="BD1161" s="246">
        <f>IFERROR(VLOOKUP(N1161,VOL_REC[],2,FALSE),0)</f>
        <v>0</v>
      </c>
      <c r="BE1161" s="246">
        <f>IFERROR(VLOOKUP(O1161,VOL_REC[],2,FALSE),0)</f>
        <v>0</v>
      </c>
      <c r="BF1161" s="246">
        <f>IFERROR(VLOOKUP(P1161,VOL_REC[],2,FALSE),0)</f>
        <v>0</v>
      </c>
      <c r="BG1161" s="246">
        <f>IFERROR(VLOOKUP(Q1161,VOL_REC[],2,FALSE),0)</f>
        <v>0</v>
      </c>
      <c r="BH1161" s="1710">
        <f t="shared" si="72"/>
        <v>28661828469.118217</v>
      </c>
      <c r="BI1161" s="1710">
        <f t="shared" si="73"/>
        <v>27890171577.539799</v>
      </c>
      <c r="BJ1161" s="1711">
        <f t="shared" si="74"/>
        <v>33383605.190907642</v>
      </c>
      <c r="BK1161" s="1711">
        <f t="shared" si="75"/>
        <v>1.0276676996924552</v>
      </c>
      <c r="BL1161">
        <f>BJ1161</f>
        <v>33383605.190907642</v>
      </c>
      <c r="BO1161">
        <f>BL1161</f>
        <v>33383605.190907642</v>
      </c>
    </row>
    <row r="1162" spans="3:67" x14ac:dyDescent="0.25">
      <c r="C1162" s="246" t="s">
        <v>2512</v>
      </c>
      <c r="D1162" s="246">
        <v>1</v>
      </c>
      <c r="E1162" s="246">
        <v>2</v>
      </c>
      <c r="F1162" s="246">
        <v>3</v>
      </c>
      <c r="G1162" s="246">
        <v>4</v>
      </c>
      <c r="H1162" s="246">
        <v>6</v>
      </c>
      <c r="I1162" s="246">
        <v>9</v>
      </c>
      <c r="J1162" s="246">
        <v>10</v>
      </c>
      <c r="K1162" s="246">
        <v>14</v>
      </c>
      <c r="L1162" s="246">
        <v>17</v>
      </c>
      <c r="M1162" s="246"/>
      <c r="N1162" s="246"/>
      <c r="O1162" s="246"/>
      <c r="P1162" s="246"/>
      <c r="Q1162" s="246"/>
      <c r="R1162" s="246">
        <f>IFERROR(VLOOKUP(D1162,PROGRAMAS[],2,FALSE),0)</f>
        <v>97037803.679377079</v>
      </c>
      <c r="S1162" s="246">
        <f>IFERROR(VLOOKUP(E1162,PROGRAMAS[],2,FALSE),0)</f>
        <v>640501509.6821388</v>
      </c>
      <c r="T1162" s="246">
        <f>IFERROR(VLOOKUP(F1162,PROGRAMAS[],2,FALSE),0)</f>
        <v>3062327798.1525245</v>
      </c>
      <c r="U1162" s="246">
        <f>IFERROR(VLOOKUP(G1162,PROGRAMAS[],2,FALSE),0)</f>
        <v>67697118.033011258</v>
      </c>
      <c r="V1162" s="246">
        <f>IFERROR(VLOOKUP(H1162,PROGRAMAS[],2,FALSE),0)</f>
        <v>6907648435.8447599</v>
      </c>
      <c r="W1162" s="246">
        <f>IFERROR(VLOOKUP(I1162,PROGRAMAS[],2,FALSE),0)</f>
        <v>6128579952.1618185</v>
      </c>
      <c r="X1162" s="246">
        <f>IFERROR(VLOOKUP(J1162,PROGRAMAS[],2,FALSE),0)</f>
        <v>4635315027.8751087</v>
      </c>
      <c r="Y1162" s="246">
        <f>IFERROR(VLOOKUP(K1162,PROGRAMAS[],2,FALSE),0)</f>
        <v>54223862.645839565</v>
      </c>
      <c r="Z1162" s="246">
        <f>IFERROR(VLOOKUP(L1162,PROGRAMAS[],2,FALSE),0)</f>
        <v>1892779498.5211046</v>
      </c>
      <c r="AA1162" s="246">
        <f>IFERROR(VLOOKUP(M1162,PROGRAMAS[],2,FALSE),0)</f>
        <v>0</v>
      </c>
      <c r="AB1162" s="246">
        <f>IFERROR(VLOOKUP(N1162,PROGRAMAS[],2,FALSE),0)</f>
        <v>0</v>
      </c>
      <c r="AC1162" s="246">
        <f>IFERROR(VLOOKUP(O1162,PROGRAMAS[],2,FALSE),0)</f>
        <v>0</v>
      </c>
      <c r="AD1162" s="246">
        <f>IFERROR(VLOOKUP(P1162,PROGRAMAS[],2,FALSE),0)</f>
        <v>0</v>
      </c>
      <c r="AE1162" s="246">
        <f>IFERROR(VLOOKUP(Q1162,PROGRAMAS[],2,FALSE),0)</f>
        <v>0</v>
      </c>
      <c r="AF1162" s="246">
        <f>IFERROR(VLOOKUP(D1162,PROGRAMAS[],3,FALSE),0)</f>
        <v>841888629.31080008</v>
      </c>
      <c r="AG1162" s="246">
        <f>IFERROR(VLOOKUP(E1162,PROGRAMAS[],3,FALSE),0)</f>
        <v>3848980803.1642323</v>
      </c>
      <c r="AH1162" s="246">
        <f>IFERROR(VLOOKUP(F1162,PROGRAMAS[],3,FALSE),0)</f>
        <v>3394901471.387517</v>
      </c>
      <c r="AI1162" s="246">
        <f>IFERROR(VLOOKUP(G1162,PROGRAMAS[],3,FALSE),0)</f>
        <v>125317226.95549992</v>
      </c>
      <c r="AJ1162" s="246">
        <f>IFERROR(VLOOKUP(H1162,PROGRAMAS[],3,FALSE),0)</f>
        <v>6129902208.7912121</v>
      </c>
      <c r="AK1162" s="246">
        <f>IFERROR(VLOOKUP(I1162,PROGRAMAS[],3,FALSE),0)</f>
        <v>7011279577.519702</v>
      </c>
      <c r="AL1162" s="246">
        <f>IFERROR(VLOOKUP(J1162,PROGRAMAS[],3,FALSE),0)</f>
        <v>4099471734.9978786</v>
      </c>
      <c r="AM1162" s="246">
        <f>IFERROR(VLOOKUP(K1162,PROGRAMAS[],3,FALSE),0)</f>
        <v>31865326.38096505</v>
      </c>
      <c r="AN1162" s="246">
        <f>IFERROR(VLOOKUP(L1162,PROGRAMAS[],3,FALSE),0)</f>
        <v>948595847.09039903</v>
      </c>
      <c r="AO1162" s="246">
        <f>IFERROR(VLOOKUP(M1162,PROGRAMAS[],3,FALSE),0)</f>
        <v>0</v>
      </c>
      <c r="AP1162" s="246">
        <f>IFERROR(VLOOKUP(N1162,PROGRAMAS[],3,FALSE),0)</f>
        <v>0</v>
      </c>
      <c r="AQ1162" s="246">
        <f>IFERROR(VLOOKUP(O1162,PROGRAMAS[],3,FALSE),0)</f>
        <v>0</v>
      </c>
      <c r="AR1162" s="246">
        <f>IFERROR(VLOOKUP(P1162,PROGRAMAS[],3,FALSE),0)</f>
        <v>0</v>
      </c>
      <c r="AS1162" s="246">
        <f>IFERROR(VLOOKUP(Q1162,PROGRAMAS[],3,FALSE),0)</f>
        <v>0</v>
      </c>
      <c r="AT1162" s="246">
        <f>IFERROR(VLOOKUP(D1162,VOL_REC[],2,FALSE),0)</f>
        <v>0</v>
      </c>
      <c r="AU1162" s="246">
        <f>IFERROR(VLOOKUP(E1162,VOL_REC[],2,FALSE),0)</f>
        <v>0</v>
      </c>
      <c r="AV1162" s="246">
        <f>IFERROR(VLOOKUP(F1162,VOL_REC[],2,FALSE),0)</f>
        <v>11089674.200000001</v>
      </c>
      <c r="AW1162" s="246">
        <f>IFERROR(VLOOKUP(G1162,VOL_REC[],2,FALSE),0)</f>
        <v>90439.55</v>
      </c>
      <c r="AX1162" s="246">
        <f>IFERROR(VLOOKUP(H1162,VOL_REC[],2,FALSE),0)</f>
        <v>15540036.397699751</v>
      </c>
      <c r="AY1162" s="246">
        <f>IFERROR(VLOOKUP(I1162,VOL_REC[],2,FALSE),0)</f>
        <v>3761786</v>
      </c>
      <c r="AZ1162" s="246">
        <f>IFERROR(VLOOKUP(J1162,VOL_REC[],2,FALSE),0)</f>
        <v>1812240</v>
      </c>
      <c r="BA1162" s="246">
        <f>IFERROR(VLOOKUP(K1162,VOL_REC[],2,FALSE),0)</f>
        <v>17074.045034105649</v>
      </c>
      <c r="BB1162" s="246">
        <f>IFERROR(VLOOKUP(L1162,VOL_REC[],2,FALSE),0)</f>
        <v>740113.98115702497</v>
      </c>
      <c r="BC1162" s="246">
        <f>IFERROR(VLOOKUP(M1162,VOL_REC[],2,FALSE),0)</f>
        <v>0</v>
      </c>
      <c r="BD1162" s="246">
        <f>IFERROR(VLOOKUP(N1162,VOL_REC[],2,FALSE),0)</f>
        <v>0</v>
      </c>
      <c r="BE1162" s="246">
        <f>IFERROR(VLOOKUP(O1162,VOL_REC[],2,FALSE),0)</f>
        <v>0</v>
      </c>
      <c r="BF1162" s="246">
        <f>IFERROR(VLOOKUP(P1162,VOL_REC[],2,FALSE),0)</f>
        <v>0</v>
      </c>
      <c r="BG1162" s="246">
        <f>IFERROR(VLOOKUP(Q1162,VOL_REC[],2,FALSE),0)</f>
        <v>0</v>
      </c>
      <c r="BH1162" s="1710">
        <f t="shared" si="72"/>
        <v>23486111006.595684</v>
      </c>
      <c r="BI1162" s="1710">
        <f t="shared" si="73"/>
        <v>26432202825.598209</v>
      </c>
      <c r="BJ1162" s="1711">
        <f t="shared" si="74"/>
        <v>33051364.173890881</v>
      </c>
      <c r="BK1162" s="1711">
        <f t="shared" si="75"/>
        <v>0.88854157035487824</v>
      </c>
    </row>
    <row r="1163" spans="3:67" x14ac:dyDescent="0.25">
      <c r="C1163" s="246" t="s">
        <v>2513</v>
      </c>
      <c r="D1163" s="246">
        <v>1</v>
      </c>
      <c r="E1163" s="246">
        <v>2</v>
      </c>
      <c r="F1163" s="246">
        <v>3</v>
      </c>
      <c r="G1163" s="246">
        <v>4</v>
      </c>
      <c r="H1163" s="246">
        <v>6</v>
      </c>
      <c r="I1163" s="246">
        <v>9</v>
      </c>
      <c r="J1163" s="246">
        <v>10</v>
      </c>
      <c r="K1163" s="246">
        <v>15</v>
      </c>
      <c r="L1163" s="246">
        <v>16</v>
      </c>
      <c r="M1163" s="246"/>
      <c r="N1163" s="246"/>
      <c r="O1163" s="246"/>
      <c r="P1163" s="246"/>
      <c r="Q1163" s="246"/>
      <c r="R1163" s="246">
        <f>IFERROR(VLOOKUP(D1163,PROGRAMAS[],2,FALSE),0)</f>
        <v>97037803.679377079</v>
      </c>
      <c r="S1163" s="246">
        <f>IFERROR(VLOOKUP(E1163,PROGRAMAS[],2,FALSE),0)</f>
        <v>640501509.6821388</v>
      </c>
      <c r="T1163" s="246">
        <f>IFERROR(VLOOKUP(F1163,PROGRAMAS[],2,FALSE),0)</f>
        <v>3062327798.1525245</v>
      </c>
      <c r="U1163" s="246">
        <f>IFERROR(VLOOKUP(G1163,PROGRAMAS[],2,FALSE),0)</f>
        <v>67697118.033011258</v>
      </c>
      <c r="V1163" s="246">
        <f>IFERROR(VLOOKUP(H1163,PROGRAMAS[],2,FALSE),0)</f>
        <v>6907648435.8447599</v>
      </c>
      <c r="W1163" s="246">
        <f>IFERROR(VLOOKUP(I1163,PROGRAMAS[],2,FALSE),0)</f>
        <v>6128579952.1618185</v>
      </c>
      <c r="X1163" s="246">
        <f>IFERROR(VLOOKUP(J1163,PROGRAMAS[],2,FALSE),0)</f>
        <v>4635315027.8751087</v>
      </c>
      <c r="Y1163" s="246">
        <f>IFERROR(VLOOKUP(K1163,PROGRAMAS[],2,FALSE),0)</f>
        <v>122159672.96346797</v>
      </c>
      <c r="Z1163" s="246">
        <f>IFERROR(VLOOKUP(L1163,PROGRAMAS[],2,FALSE),0)</f>
        <v>7068496961.0436354</v>
      </c>
      <c r="AA1163" s="246">
        <f>IFERROR(VLOOKUP(M1163,PROGRAMAS[],2,FALSE),0)</f>
        <v>0</v>
      </c>
      <c r="AB1163" s="246">
        <f>IFERROR(VLOOKUP(N1163,PROGRAMAS[],2,FALSE),0)</f>
        <v>0</v>
      </c>
      <c r="AC1163" s="246">
        <f>IFERROR(VLOOKUP(O1163,PROGRAMAS[],2,FALSE),0)</f>
        <v>0</v>
      </c>
      <c r="AD1163" s="246">
        <f>IFERROR(VLOOKUP(P1163,PROGRAMAS[],2,FALSE),0)</f>
        <v>0</v>
      </c>
      <c r="AE1163" s="246">
        <f>IFERROR(VLOOKUP(Q1163,PROGRAMAS[],2,FALSE),0)</f>
        <v>0</v>
      </c>
      <c r="AF1163" s="246">
        <f>IFERROR(VLOOKUP(D1163,PROGRAMAS[],3,FALSE),0)</f>
        <v>841888629.31080008</v>
      </c>
      <c r="AG1163" s="246">
        <f>IFERROR(VLOOKUP(E1163,PROGRAMAS[],3,FALSE),0)</f>
        <v>3848980803.1642323</v>
      </c>
      <c r="AH1163" s="246">
        <f>IFERROR(VLOOKUP(F1163,PROGRAMAS[],3,FALSE),0)</f>
        <v>3394901471.387517</v>
      </c>
      <c r="AI1163" s="246">
        <f>IFERROR(VLOOKUP(G1163,PROGRAMAS[],3,FALSE),0)</f>
        <v>125317226.95549992</v>
      </c>
      <c r="AJ1163" s="246">
        <f>IFERROR(VLOOKUP(H1163,PROGRAMAS[],3,FALSE),0)</f>
        <v>6129902208.7912121</v>
      </c>
      <c r="AK1163" s="246">
        <f>IFERROR(VLOOKUP(I1163,PROGRAMAS[],3,FALSE),0)</f>
        <v>7011279577.519702</v>
      </c>
      <c r="AL1163" s="246">
        <f>IFERROR(VLOOKUP(J1163,PROGRAMAS[],3,FALSE),0)</f>
        <v>4099471734.9978786</v>
      </c>
      <c r="AM1163" s="246">
        <f>IFERROR(VLOOKUP(K1163,PROGRAMAS[],3,FALSE),0)</f>
        <v>118617452.52510804</v>
      </c>
      <c r="AN1163" s="246">
        <f>IFERROR(VLOOKUP(L1163,PROGRAMAS[],3,FALSE),0)</f>
        <v>2406564599.0319901</v>
      </c>
      <c r="AO1163" s="246">
        <f>IFERROR(VLOOKUP(M1163,PROGRAMAS[],3,FALSE),0)</f>
        <v>0</v>
      </c>
      <c r="AP1163" s="246">
        <f>IFERROR(VLOOKUP(N1163,PROGRAMAS[],3,FALSE),0)</f>
        <v>0</v>
      </c>
      <c r="AQ1163" s="246">
        <f>IFERROR(VLOOKUP(O1163,PROGRAMAS[],3,FALSE),0)</f>
        <v>0</v>
      </c>
      <c r="AR1163" s="246">
        <f>IFERROR(VLOOKUP(P1163,PROGRAMAS[],3,FALSE),0)</f>
        <v>0</v>
      </c>
      <c r="AS1163" s="246">
        <f>IFERROR(VLOOKUP(Q1163,PROGRAMAS[],3,FALSE),0)</f>
        <v>0</v>
      </c>
      <c r="AT1163" s="246">
        <f>IFERROR(VLOOKUP(D1163,VOL_REC[],2,FALSE),0)</f>
        <v>0</v>
      </c>
      <c r="AU1163" s="246">
        <f>IFERROR(VLOOKUP(E1163,VOL_REC[],2,FALSE),0)</f>
        <v>0</v>
      </c>
      <c r="AV1163" s="246">
        <f>IFERROR(VLOOKUP(F1163,VOL_REC[],2,FALSE),0)</f>
        <v>11089674.200000001</v>
      </c>
      <c r="AW1163" s="246">
        <f>IFERROR(VLOOKUP(G1163,VOL_REC[],2,FALSE),0)</f>
        <v>90439.55</v>
      </c>
      <c r="AX1163" s="246">
        <f>IFERROR(VLOOKUP(H1163,VOL_REC[],2,FALSE),0)</f>
        <v>15540036.397699751</v>
      </c>
      <c r="AY1163" s="246">
        <f>IFERROR(VLOOKUP(I1163,VOL_REC[],2,FALSE),0)</f>
        <v>3761786</v>
      </c>
      <c r="AZ1163" s="246">
        <f>IFERROR(VLOOKUP(J1163,VOL_REC[],2,FALSE),0)</f>
        <v>1812240</v>
      </c>
      <c r="BA1163" s="246">
        <f>IFERROR(VLOOKUP(K1163,VOL_REC[],2,FALSE),0)</f>
        <v>105072</v>
      </c>
      <c r="BB1163" s="246">
        <f>IFERROR(VLOOKUP(L1163,VOL_REC[],2,FALSE),0)</f>
        <v>1072354.9981737854</v>
      </c>
      <c r="BC1163" s="246">
        <f>IFERROR(VLOOKUP(M1163,VOL_REC[],2,FALSE),0)</f>
        <v>0</v>
      </c>
      <c r="BD1163" s="246">
        <f>IFERROR(VLOOKUP(N1163,VOL_REC[],2,FALSE),0)</f>
        <v>0</v>
      </c>
      <c r="BE1163" s="246">
        <f>IFERROR(VLOOKUP(O1163,VOL_REC[],2,FALSE),0)</f>
        <v>0</v>
      </c>
      <c r="BF1163" s="246">
        <f>IFERROR(VLOOKUP(P1163,VOL_REC[],2,FALSE),0)</f>
        <v>0</v>
      </c>
      <c r="BG1163" s="246">
        <f>IFERROR(VLOOKUP(Q1163,VOL_REC[],2,FALSE),0)</f>
        <v>0</v>
      </c>
      <c r="BH1163" s="1710">
        <f t="shared" si="72"/>
        <v>28729764279.435844</v>
      </c>
      <c r="BI1163" s="1710">
        <f t="shared" si="73"/>
        <v>27976923703.683941</v>
      </c>
      <c r="BJ1163" s="1711">
        <f t="shared" si="74"/>
        <v>33471603.145873535</v>
      </c>
      <c r="BK1163" s="1711">
        <f t="shared" si="75"/>
        <v>1.026909340845533</v>
      </c>
      <c r="BL1163">
        <f>BJ1163</f>
        <v>33471603.145873535</v>
      </c>
      <c r="BO1163">
        <f>BL1163</f>
        <v>33471603.145873535</v>
      </c>
    </row>
    <row r="1164" spans="3:67" x14ac:dyDescent="0.25">
      <c r="C1164" s="246" t="s">
        <v>2514</v>
      </c>
      <c r="D1164" s="246">
        <v>1</v>
      </c>
      <c r="E1164" s="246">
        <v>2</v>
      </c>
      <c r="F1164" s="246">
        <v>3</v>
      </c>
      <c r="G1164" s="246">
        <v>4</v>
      </c>
      <c r="H1164" s="246">
        <v>6</v>
      </c>
      <c r="I1164" s="246">
        <v>9</v>
      </c>
      <c r="J1164" s="246">
        <v>10</v>
      </c>
      <c r="K1164" s="246">
        <v>15</v>
      </c>
      <c r="L1164" s="246">
        <v>17</v>
      </c>
      <c r="M1164" s="246"/>
      <c r="N1164" s="246"/>
      <c r="O1164" s="246"/>
      <c r="P1164" s="246"/>
      <c r="Q1164" s="246"/>
      <c r="R1164" s="246">
        <f>IFERROR(VLOOKUP(D1164,PROGRAMAS[],2,FALSE),0)</f>
        <v>97037803.679377079</v>
      </c>
      <c r="S1164" s="246">
        <f>IFERROR(VLOOKUP(E1164,PROGRAMAS[],2,FALSE),0)</f>
        <v>640501509.6821388</v>
      </c>
      <c r="T1164" s="246">
        <f>IFERROR(VLOOKUP(F1164,PROGRAMAS[],2,FALSE),0)</f>
        <v>3062327798.1525245</v>
      </c>
      <c r="U1164" s="246">
        <f>IFERROR(VLOOKUP(G1164,PROGRAMAS[],2,FALSE),0)</f>
        <v>67697118.033011258</v>
      </c>
      <c r="V1164" s="246">
        <f>IFERROR(VLOOKUP(H1164,PROGRAMAS[],2,FALSE),0)</f>
        <v>6907648435.8447599</v>
      </c>
      <c r="W1164" s="246">
        <f>IFERROR(VLOOKUP(I1164,PROGRAMAS[],2,FALSE),0)</f>
        <v>6128579952.1618185</v>
      </c>
      <c r="X1164" s="246">
        <f>IFERROR(VLOOKUP(J1164,PROGRAMAS[],2,FALSE),0)</f>
        <v>4635315027.8751087</v>
      </c>
      <c r="Y1164" s="246">
        <f>IFERROR(VLOOKUP(K1164,PROGRAMAS[],2,FALSE),0)</f>
        <v>122159672.96346797</v>
      </c>
      <c r="Z1164" s="246">
        <f>IFERROR(VLOOKUP(L1164,PROGRAMAS[],2,FALSE),0)</f>
        <v>1892779498.5211046</v>
      </c>
      <c r="AA1164" s="246">
        <f>IFERROR(VLOOKUP(M1164,PROGRAMAS[],2,FALSE),0)</f>
        <v>0</v>
      </c>
      <c r="AB1164" s="246">
        <f>IFERROR(VLOOKUP(N1164,PROGRAMAS[],2,FALSE),0)</f>
        <v>0</v>
      </c>
      <c r="AC1164" s="246">
        <f>IFERROR(VLOOKUP(O1164,PROGRAMAS[],2,FALSE),0)</f>
        <v>0</v>
      </c>
      <c r="AD1164" s="246">
        <f>IFERROR(VLOOKUP(P1164,PROGRAMAS[],2,FALSE),0)</f>
        <v>0</v>
      </c>
      <c r="AE1164" s="246">
        <f>IFERROR(VLOOKUP(Q1164,PROGRAMAS[],2,FALSE),0)</f>
        <v>0</v>
      </c>
      <c r="AF1164" s="246">
        <f>IFERROR(VLOOKUP(D1164,PROGRAMAS[],3,FALSE),0)</f>
        <v>841888629.31080008</v>
      </c>
      <c r="AG1164" s="246">
        <f>IFERROR(VLOOKUP(E1164,PROGRAMAS[],3,FALSE),0)</f>
        <v>3848980803.1642323</v>
      </c>
      <c r="AH1164" s="246">
        <f>IFERROR(VLOOKUP(F1164,PROGRAMAS[],3,FALSE),0)</f>
        <v>3394901471.387517</v>
      </c>
      <c r="AI1164" s="246">
        <f>IFERROR(VLOOKUP(G1164,PROGRAMAS[],3,FALSE),0)</f>
        <v>125317226.95549992</v>
      </c>
      <c r="AJ1164" s="246">
        <f>IFERROR(VLOOKUP(H1164,PROGRAMAS[],3,FALSE),0)</f>
        <v>6129902208.7912121</v>
      </c>
      <c r="AK1164" s="246">
        <f>IFERROR(VLOOKUP(I1164,PROGRAMAS[],3,FALSE),0)</f>
        <v>7011279577.519702</v>
      </c>
      <c r="AL1164" s="246">
        <f>IFERROR(VLOOKUP(J1164,PROGRAMAS[],3,FALSE),0)</f>
        <v>4099471734.9978786</v>
      </c>
      <c r="AM1164" s="246">
        <f>IFERROR(VLOOKUP(K1164,PROGRAMAS[],3,FALSE),0)</f>
        <v>118617452.52510804</v>
      </c>
      <c r="AN1164" s="246">
        <f>IFERROR(VLOOKUP(L1164,PROGRAMAS[],3,FALSE),0)</f>
        <v>948595847.09039903</v>
      </c>
      <c r="AO1164" s="246">
        <f>IFERROR(VLOOKUP(M1164,PROGRAMAS[],3,FALSE),0)</f>
        <v>0</v>
      </c>
      <c r="AP1164" s="246">
        <f>IFERROR(VLOOKUP(N1164,PROGRAMAS[],3,FALSE),0)</f>
        <v>0</v>
      </c>
      <c r="AQ1164" s="246">
        <f>IFERROR(VLOOKUP(O1164,PROGRAMAS[],3,FALSE),0)</f>
        <v>0</v>
      </c>
      <c r="AR1164" s="246">
        <f>IFERROR(VLOOKUP(P1164,PROGRAMAS[],3,FALSE),0)</f>
        <v>0</v>
      </c>
      <c r="AS1164" s="246">
        <f>IFERROR(VLOOKUP(Q1164,PROGRAMAS[],3,FALSE),0)</f>
        <v>0</v>
      </c>
      <c r="AT1164" s="246">
        <f>IFERROR(VLOOKUP(D1164,VOL_REC[],2,FALSE),0)</f>
        <v>0</v>
      </c>
      <c r="AU1164" s="246">
        <f>IFERROR(VLOOKUP(E1164,VOL_REC[],2,FALSE),0)</f>
        <v>0</v>
      </c>
      <c r="AV1164" s="246">
        <f>IFERROR(VLOOKUP(F1164,VOL_REC[],2,FALSE),0)</f>
        <v>11089674.200000001</v>
      </c>
      <c r="AW1164" s="246">
        <f>IFERROR(VLOOKUP(G1164,VOL_REC[],2,FALSE),0)</f>
        <v>90439.55</v>
      </c>
      <c r="AX1164" s="246">
        <f>IFERROR(VLOOKUP(H1164,VOL_REC[],2,FALSE),0)</f>
        <v>15540036.397699751</v>
      </c>
      <c r="AY1164" s="246">
        <f>IFERROR(VLOOKUP(I1164,VOL_REC[],2,FALSE),0)</f>
        <v>3761786</v>
      </c>
      <c r="AZ1164" s="246">
        <f>IFERROR(VLOOKUP(J1164,VOL_REC[],2,FALSE),0)</f>
        <v>1812240</v>
      </c>
      <c r="BA1164" s="246">
        <f>IFERROR(VLOOKUP(K1164,VOL_REC[],2,FALSE),0)</f>
        <v>105072</v>
      </c>
      <c r="BB1164" s="246">
        <f>IFERROR(VLOOKUP(L1164,VOL_REC[],2,FALSE),0)</f>
        <v>740113.98115702497</v>
      </c>
      <c r="BC1164" s="246">
        <f>IFERROR(VLOOKUP(M1164,VOL_REC[],2,FALSE),0)</f>
        <v>0</v>
      </c>
      <c r="BD1164" s="246">
        <f>IFERROR(VLOOKUP(N1164,VOL_REC[],2,FALSE),0)</f>
        <v>0</v>
      </c>
      <c r="BE1164" s="246">
        <f>IFERROR(VLOOKUP(O1164,VOL_REC[],2,FALSE),0)</f>
        <v>0</v>
      </c>
      <c r="BF1164" s="246">
        <f>IFERROR(VLOOKUP(P1164,VOL_REC[],2,FALSE),0)</f>
        <v>0</v>
      </c>
      <c r="BG1164" s="246">
        <f>IFERROR(VLOOKUP(Q1164,VOL_REC[],2,FALSE),0)</f>
        <v>0</v>
      </c>
      <c r="BH1164" s="1710">
        <f t="shared" si="72"/>
        <v>23554046816.913311</v>
      </c>
      <c r="BI1164" s="1710">
        <f t="shared" si="73"/>
        <v>26518954951.742352</v>
      </c>
      <c r="BJ1164" s="1711">
        <f t="shared" si="74"/>
        <v>33139362.128856774</v>
      </c>
      <c r="BK1164" s="1711">
        <f t="shared" si="75"/>
        <v>0.88819664499508344</v>
      </c>
    </row>
    <row r="1165" spans="3:67" x14ac:dyDescent="0.25">
      <c r="C1165" s="246" t="s">
        <v>2515</v>
      </c>
      <c r="D1165" s="246">
        <v>1</v>
      </c>
      <c r="E1165" s="246">
        <v>2</v>
      </c>
      <c r="F1165" s="246">
        <v>3</v>
      </c>
      <c r="G1165" s="246">
        <v>4</v>
      </c>
      <c r="H1165" s="246">
        <v>6</v>
      </c>
      <c r="I1165" s="246">
        <v>9</v>
      </c>
      <c r="J1165" s="246">
        <v>10</v>
      </c>
      <c r="K1165" s="246">
        <v>16</v>
      </c>
      <c r="L1165" s="246">
        <v>17</v>
      </c>
      <c r="M1165" s="246"/>
      <c r="N1165" s="246"/>
      <c r="O1165" s="246"/>
      <c r="P1165" s="246"/>
      <c r="Q1165" s="246"/>
      <c r="R1165" s="246">
        <f>IFERROR(VLOOKUP(D1165,PROGRAMAS[],2,FALSE),0)</f>
        <v>97037803.679377079</v>
      </c>
      <c r="S1165" s="246">
        <f>IFERROR(VLOOKUP(E1165,PROGRAMAS[],2,FALSE),0)</f>
        <v>640501509.6821388</v>
      </c>
      <c r="T1165" s="246">
        <f>IFERROR(VLOOKUP(F1165,PROGRAMAS[],2,FALSE),0)</f>
        <v>3062327798.1525245</v>
      </c>
      <c r="U1165" s="246">
        <f>IFERROR(VLOOKUP(G1165,PROGRAMAS[],2,FALSE),0)</f>
        <v>67697118.033011258</v>
      </c>
      <c r="V1165" s="246">
        <f>IFERROR(VLOOKUP(H1165,PROGRAMAS[],2,FALSE),0)</f>
        <v>6907648435.8447599</v>
      </c>
      <c r="W1165" s="246">
        <f>IFERROR(VLOOKUP(I1165,PROGRAMAS[],2,FALSE),0)</f>
        <v>6128579952.1618185</v>
      </c>
      <c r="X1165" s="246">
        <f>IFERROR(VLOOKUP(J1165,PROGRAMAS[],2,FALSE),0)</f>
        <v>4635315027.8751087</v>
      </c>
      <c r="Y1165" s="246">
        <f>IFERROR(VLOOKUP(K1165,PROGRAMAS[],2,FALSE),0)</f>
        <v>7068496961.0436354</v>
      </c>
      <c r="Z1165" s="246">
        <f>IFERROR(VLOOKUP(L1165,PROGRAMAS[],2,FALSE),0)</f>
        <v>1892779498.5211046</v>
      </c>
      <c r="AA1165" s="246">
        <f>IFERROR(VLOOKUP(M1165,PROGRAMAS[],2,FALSE),0)</f>
        <v>0</v>
      </c>
      <c r="AB1165" s="246">
        <f>IFERROR(VLOOKUP(N1165,PROGRAMAS[],2,FALSE),0)</f>
        <v>0</v>
      </c>
      <c r="AC1165" s="246">
        <f>IFERROR(VLOOKUP(O1165,PROGRAMAS[],2,FALSE),0)</f>
        <v>0</v>
      </c>
      <c r="AD1165" s="246">
        <f>IFERROR(VLOOKUP(P1165,PROGRAMAS[],2,FALSE),0)</f>
        <v>0</v>
      </c>
      <c r="AE1165" s="246">
        <f>IFERROR(VLOOKUP(Q1165,PROGRAMAS[],2,FALSE),0)</f>
        <v>0</v>
      </c>
      <c r="AF1165" s="246">
        <f>IFERROR(VLOOKUP(D1165,PROGRAMAS[],3,FALSE),0)</f>
        <v>841888629.31080008</v>
      </c>
      <c r="AG1165" s="246">
        <f>IFERROR(VLOOKUP(E1165,PROGRAMAS[],3,FALSE),0)</f>
        <v>3848980803.1642323</v>
      </c>
      <c r="AH1165" s="246">
        <f>IFERROR(VLOOKUP(F1165,PROGRAMAS[],3,FALSE),0)</f>
        <v>3394901471.387517</v>
      </c>
      <c r="AI1165" s="246">
        <f>IFERROR(VLOOKUP(G1165,PROGRAMAS[],3,FALSE),0)</f>
        <v>125317226.95549992</v>
      </c>
      <c r="AJ1165" s="246">
        <f>IFERROR(VLOOKUP(H1165,PROGRAMAS[],3,FALSE),0)</f>
        <v>6129902208.7912121</v>
      </c>
      <c r="AK1165" s="246">
        <f>IFERROR(VLOOKUP(I1165,PROGRAMAS[],3,FALSE),0)</f>
        <v>7011279577.519702</v>
      </c>
      <c r="AL1165" s="246">
        <f>IFERROR(VLOOKUP(J1165,PROGRAMAS[],3,FALSE),0)</f>
        <v>4099471734.9978786</v>
      </c>
      <c r="AM1165" s="246">
        <f>IFERROR(VLOOKUP(K1165,PROGRAMAS[],3,FALSE),0)</f>
        <v>2406564599.0319901</v>
      </c>
      <c r="AN1165" s="246">
        <f>IFERROR(VLOOKUP(L1165,PROGRAMAS[],3,FALSE),0)</f>
        <v>948595847.09039903</v>
      </c>
      <c r="AO1165" s="246">
        <f>IFERROR(VLOOKUP(M1165,PROGRAMAS[],3,FALSE),0)</f>
        <v>0</v>
      </c>
      <c r="AP1165" s="246">
        <f>IFERROR(VLOOKUP(N1165,PROGRAMAS[],3,FALSE),0)</f>
        <v>0</v>
      </c>
      <c r="AQ1165" s="246">
        <f>IFERROR(VLOOKUP(O1165,PROGRAMAS[],3,FALSE),0)</f>
        <v>0</v>
      </c>
      <c r="AR1165" s="246">
        <f>IFERROR(VLOOKUP(P1165,PROGRAMAS[],3,FALSE),0)</f>
        <v>0</v>
      </c>
      <c r="AS1165" s="246">
        <f>IFERROR(VLOOKUP(Q1165,PROGRAMAS[],3,FALSE),0)</f>
        <v>0</v>
      </c>
      <c r="AT1165" s="246">
        <f>IFERROR(VLOOKUP(D1165,VOL_REC[],2,FALSE),0)</f>
        <v>0</v>
      </c>
      <c r="AU1165" s="246">
        <f>IFERROR(VLOOKUP(E1165,VOL_REC[],2,FALSE),0)</f>
        <v>0</v>
      </c>
      <c r="AV1165" s="246">
        <f>IFERROR(VLOOKUP(F1165,VOL_REC[],2,FALSE),0)</f>
        <v>11089674.200000001</v>
      </c>
      <c r="AW1165" s="246">
        <f>IFERROR(VLOOKUP(G1165,VOL_REC[],2,FALSE),0)</f>
        <v>90439.55</v>
      </c>
      <c r="AX1165" s="246">
        <f>IFERROR(VLOOKUP(H1165,VOL_REC[],2,FALSE),0)</f>
        <v>15540036.397699751</v>
      </c>
      <c r="AY1165" s="246">
        <f>IFERROR(VLOOKUP(I1165,VOL_REC[],2,FALSE),0)</f>
        <v>3761786</v>
      </c>
      <c r="AZ1165" s="246">
        <f>IFERROR(VLOOKUP(J1165,VOL_REC[],2,FALSE),0)</f>
        <v>1812240</v>
      </c>
      <c r="BA1165" s="246">
        <f>IFERROR(VLOOKUP(K1165,VOL_REC[],2,FALSE),0)</f>
        <v>1072354.9981737854</v>
      </c>
      <c r="BB1165" s="246">
        <f>IFERROR(VLOOKUP(L1165,VOL_REC[],2,FALSE),0)</f>
        <v>740113.98115702497</v>
      </c>
      <c r="BC1165" s="246">
        <f>IFERROR(VLOOKUP(M1165,VOL_REC[],2,FALSE),0)</f>
        <v>0</v>
      </c>
      <c r="BD1165" s="246">
        <f>IFERROR(VLOOKUP(N1165,VOL_REC[],2,FALSE),0)</f>
        <v>0</v>
      </c>
      <c r="BE1165" s="246">
        <f>IFERROR(VLOOKUP(O1165,VOL_REC[],2,FALSE),0)</f>
        <v>0</v>
      </c>
      <c r="BF1165" s="246">
        <f>IFERROR(VLOOKUP(P1165,VOL_REC[],2,FALSE),0)</f>
        <v>0</v>
      </c>
      <c r="BG1165" s="246">
        <f>IFERROR(VLOOKUP(Q1165,VOL_REC[],2,FALSE),0)</f>
        <v>0</v>
      </c>
      <c r="BH1165" s="1710">
        <f t="shared" si="72"/>
        <v>30500384104.993481</v>
      </c>
      <c r="BI1165" s="1710">
        <f t="shared" si="73"/>
        <v>28806902098.249233</v>
      </c>
      <c r="BJ1165" s="1711">
        <f t="shared" si="74"/>
        <v>34106645.127030559</v>
      </c>
      <c r="BK1165" s="1711">
        <f t="shared" si="75"/>
        <v>1.0587873698104862</v>
      </c>
      <c r="BL1165">
        <f>BJ1165</f>
        <v>34106645.127030559</v>
      </c>
      <c r="BO1165">
        <f>BL1165</f>
        <v>34106645.127030559</v>
      </c>
    </row>
    <row r="1166" spans="3:67" x14ac:dyDescent="0.25">
      <c r="C1166" s="246" t="s">
        <v>2516</v>
      </c>
      <c r="D1166" s="246">
        <v>1</v>
      </c>
      <c r="E1166" s="246">
        <v>2</v>
      </c>
      <c r="F1166" s="246">
        <v>3</v>
      </c>
      <c r="G1166" s="246">
        <v>4</v>
      </c>
      <c r="H1166" s="246">
        <v>6</v>
      </c>
      <c r="I1166" s="246">
        <v>9</v>
      </c>
      <c r="J1166" s="246">
        <v>12</v>
      </c>
      <c r="K1166" s="246">
        <v>13</v>
      </c>
      <c r="L1166" s="246">
        <v>14</v>
      </c>
      <c r="M1166" s="246"/>
      <c r="N1166" s="246"/>
      <c r="O1166" s="246"/>
      <c r="P1166" s="246"/>
      <c r="Q1166" s="246"/>
      <c r="R1166" s="246">
        <f>IFERROR(VLOOKUP(D1166,PROGRAMAS[],2,FALSE),0)</f>
        <v>97037803.679377079</v>
      </c>
      <c r="S1166" s="246">
        <f>IFERROR(VLOOKUP(E1166,PROGRAMAS[],2,FALSE),0)</f>
        <v>640501509.6821388</v>
      </c>
      <c r="T1166" s="246">
        <f>IFERROR(VLOOKUP(F1166,PROGRAMAS[],2,FALSE),0)</f>
        <v>3062327798.1525245</v>
      </c>
      <c r="U1166" s="246">
        <f>IFERROR(VLOOKUP(G1166,PROGRAMAS[],2,FALSE),0)</f>
        <v>67697118.033011258</v>
      </c>
      <c r="V1166" s="246">
        <f>IFERROR(VLOOKUP(H1166,PROGRAMAS[],2,FALSE),0)</f>
        <v>6907648435.8447599</v>
      </c>
      <c r="W1166" s="246">
        <f>IFERROR(VLOOKUP(I1166,PROGRAMAS[],2,FALSE),0)</f>
        <v>6128579952.1618185</v>
      </c>
      <c r="X1166" s="246">
        <f>IFERROR(VLOOKUP(J1166,PROGRAMAS[],2,FALSE),0)</f>
        <v>764796700.79905891</v>
      </c>
      <c r="Y1166" s="246">
        <f>IFERROR(VLOOKUP(K1166,PROGRAMAS[],2,FALSE),0)</f>
        <v>3776538594.4604583</v>
      </c>
      <c r="Z1166" s="246">
        <f>IFERROR(VLOOKUP(L1166,PROGRAMAS[],2,FALSE),0)</f>
        <v>54223862.645839565</v>
      </c>
      <c r="AA1166" s="246">
        <f>IFERROR(VLOOKUP(M1166,PROGRAMAS[],2,FALSE),0)</f>
        <v>0</v>
      </c>
      <c r="AB1166" s="246">
        <f>IFERROR(VLOOKUP(N1166,PROGRAMAS[],2,FALSE),0)</f>
        <v>0</v>
      </c>
      <c r="AC1166" s="246">
        <f>IFERROR(VLOOKUP(O1166,PROGRAMAS[],2,FALSE),0)</f>
        <v>0</v>
      </c>
      <c r="AD1166" s="246">
        <f>IFERROR(VLOOKUP(P1166,PROGRAMAS[],2,FALSE),0)</f>
        <v>0</v>
      </c>
      <c r="AE1166" s="246">
        <f>IFERROR(VLOOKUP(Q1166,PROGRAMAS[],2,FALSE),0)</f>
        <v>0</v>
      </c>
      <c r="AF1166" s="246">
        <f>IFERROR(VLOOKUP(D1166,PROGRAMAS[],3,FALSE),0)</f>
        <v>841888629.31080008</v>
      </c>
      <c r="AG1166" s="246">
        <f>IFERROR(VLOOKUP(E1166,PROGRAMAS[],3,FALSE),0)</f>
        <v>3848980803.1642323</v>
      </c>
      <c r="AH1166" s="246">
        <f>IFERROR(VLOOKUP(F1166,PROGRAMAS[],3,FALSE),0)</f>
        <v>3394901471.387517</v>
      </c>
      <c r="AI1166" s="246">
        <f>IFERROR(VLOOKUP(G1166,PROGRAMAS[],3,FALSE),0)</f>
        <v>125317226.95549992</v>
      </c>
      <c r="AJ1166" s="246">
        <f>IFERROR(VLOOKUP(H1166,PROGRAMAS[],3,FALSE),0)</f>
        <v>6129902208.7912121</v>
      </c>
      <c r="AK1166" s="246">
        <f>IFERROR(VLOOKUP(I1166,PROGRAMAS[],3,FALSE),0)</f>
        <v>7011279577.519702</v>
      </c>
      <c r="AL1166" s="246">
        <f>IFERROR(VLOOKUP(J1166,PROGRAMAS[],3,FALSE),0)</f>
        <v>675517840.109828</v>
      </c>
      <c r="AM1166" s="246">
        <f>IFERROR(VLOOKUP(K1166,PROGRAMAS[],3,FALSE),0)</f>
        <v>2392571243.5584412</v>
      </c>
      <c r="AN1166" s="246">
        <f>IFERROR(VLOOKUP(L1166,PROGRAMAS[],3,FALSE),0)</f>
        <v>31865326.38096505</v>
      </c>
      <c r="AO1166" s="246">
        <f>IFERROR(VLOOKUP(M1166,PROGRAMAS[],3,FALSE),0)</f>
        <v>0</v>
      </c>
      <c r="AP1166" s="246">
        <f>IFERROR(VLOOKUP(N1166,PROGRAMAS[],3,FALSE),0)</f>
        <v>0</v>
      </c>
      <c r="AQ1166" s="246">
        <f>IFERROR(VLOOKUP(O1166,PROGRAMAS[],3,FALSE),0)</f>
        <v>0</v>
      </c>
      <c r="AR1166" s="246">
        <f>IFERROR(VLOOKUP(P1166,PROGRAMAS[],3,FALSE),0)</f>
        <v>0</v>
      </c>
      <c r="AS1166" s="246">
        <f>IFERROR(VLOOKUP(Q1166,PROGRAMAS[],3,FALSE),0)</f>
        <v>0</v>
      </c>
      <c r="AT1166" s="246">
        <f>IFERROR(VLOOKUP(D1166,VOL_REC[],2,FALSE),0)</f>
        <v>0</v>
      </c>
      <c r="AU1166" s="246">
        <f>IFERROR(VLOOKUP(E1166,VOL_REC[],2,FALSE),0)</f>
        <v>0</v>
      </c>
      <c r="AV1166" s="246">
        <f>IFERROR(VLOOKUP(F1166,VOL_REC[],2,FALSE),0)</f>
        <v>11089674.200000001</v>
      </c>
      <c r="AW1166" s="246">
        <f>IFERROR(VLOOKUP(G1166,VOL_REC[],2,FALSE),0)</f>
        <v>90439.55</v>
      </c>
      <c r="AX1166" s="246">
        <f>IFERROR(VLOOKUP(H1166,VOL_REC[],2,FALSE),0)</f>
        <v>15540036.397699751</v>
      </c>
      <c r="AY1166" s="246">
        <f>IFERROR(VLOOKUP(I1166,VOL_REC[],2,FALSE),0)</f>
        <v>3761786</v>
      </c>
      <c r="AZ1166" s="246">
        <f>IFERROR(VLOOKUP(J1166,VOL_REC[],2,FALSE),0)</f>
        <v>240696.79238099116</v>
      </c>
      <c r="BA1166" s="246">
        <f>IFERROR(VLOOKUP(K1166,VOL_REC[],2,FALSE),0)</f>
        <v>663244.80000000016</v>
      </c>
      <c r="BB1166" s="246">
        <f>IFERROR(VLOOKUP(L1166,VOL_REC[],2,FALSE),0)</f>
        <v>17074.045034105649</v>
      </c>
      <c r="BC1166" s="246">
        <f>IFERROR(VLOOKUP(M1166,VOL_REC[],2,FALSE),0)</f>
        <v>0</v>
      </c>
      <c r="BD1166" s="246">
        <f>IFERROR(VLOOKUP(N1166,VOL_REC[],2,FALSE),0)</f>
        <v>0</v>
      </c>
      <c r="BE1166" s="246">
        <f>IFERROR(VLOOKUP(O1166,VOL_REC[],2,FALSE),0)</f>
        <v>0</v>
      </c>
      <c r="BF1166" s="246">
        <f>IFERROR(VLOOKUP(P1166,VOL_REC[],2,FALSE),0)</f>
        <v>0</v>
      </c>
      <c r="BG1166" s="246">
        <f>IFERROR(VLOOKUP(Q1166,VOL_REC[],2,FALSE),0)</f>
        <v>0</v>
      </c>
      <c r="BH1166" s="1710">
        <f t="shared" si="72"/>
        <v>21499351775.458988</v>
      </c>
      <c r="BI1166" s="1710">
        <f t="shared" si="73"/>
        <v>24452224327.1782</v>
      </c>
      <c r="BJ1166" s="1711">
        <f t="shared" si="74"/>
        <v>31402951.785114851</v>
      </c>
      <c r="BK1166" s="1711">
        <f t="shared" si="75"/>
        <v>0.87923910265958305</v>
      </c>
    </row>
    <row r="1167" spans="3:67" x14ac:dyDescent="0.25">
      <c r="C1167" s="246" t="s">
        <v>2517</v>
      </c>
      <c r="D1167" s="246">
        <v>1</v>
      </c>
      <c r="E1167" s="246">
        <v>2</v>
      </c>
      <c r="F1167" s="246">
        <v>3</v>
      </c>
      <c r="G1167" s="246">
        <v>4</v>
      </c>
      <c r="H1167" s="246">
        <v>6</v>
      </c>
      <c r="I1167" s="246">
        <v>9</v>
      </c>
      <c r="J1167" s="246">
        <v>12</v>
      </c>
      <c r="K1167" s="246">
        <v>13</v>
      </c>
      <c r="L1167" s="246">
        <v>15</v>
      </c>
      <c r="M1167" s="246"/>
      <c r="N1167" s="246"/>
      <c r="O1167" s="246"/>
      <c r="P1167" s="246"/>
      <c r="Q1167" s="246"/>
      <c r="R1167" s="246">
        <f>IFERROR(VLOOKUP(D1167,PROGRAMAS[],2,FALSE),0)</f>
        <v>97037803.679377079</v>
      </c>
      <c r="S1167" s="246">
        <f>IFERROR(VLOOKUP(E1167,PROGRAMAS[],2,FALSE),0)</f>
        <v>640501509.6821388</v>
      </c>
      <c r="T1167" s="246">
        <f>IFERROR(VLOOKUP(F1167,PROGRAMAS[],2,FALSE),0)</f>
        <v>3062327798.1525245</v>
      </c>
      <c r="U1167" s="246">
        <f>IFERROR(VLOOKUP(G1167,PROGRAMAS[],2,FALSE),0)</f>
        <v>67697118.033011258</v>
      </c>
      <c r="V1167" s="246">
        <f>IFERROR(VLOOKUP(H1167,PROGRAMAS[],2,FALSE),0)</f>
        <v>6907648435.8447599</v>
      </c>
      <c r="W1167" s="246">
        <f>IFERROR(VLOOKUP(I1167,PROGRAMAS[],2,FALSE),0)</f>
        <v>6128579952.1618185</v>
      </c>
      <c r="X1167" s="246">
        <f>IFERROR(VLOOKUP(J1167,PROGRAMAS[],2,FALSE),0)</f>
        <v>764796700.79905891</v>
      </c>
      <c r="Y1167" s="246">
        <f>IFERROR(VLOOKUP(K1167,PROGRAMAS[],2,FALSE),0)</f>
        <v>3776538594.4604583</v>
      </c>
      <c r="Z1167" s="246">
        <f>IFERROR(VLOOKUP(L1167,PROGRAMAS[],2,FALSE),0)</f>
        <v>122159672.96346797</v>
      </c>
      <c r="AA1167" s="246">
        <f>IFERROR(VLOOKUP(M1167,PROGRAMAS[],2,FALSE),0)</f>
        <v>0</v>
      </c>
      <c r="AB1167" s="246">
        <f>IFERROR(VLOOKUP(N1167,PROGRAMAS[],2,FALSE),0)</f>
        <v>0</v>
      </c>
      <c r="AC1167" s="246">
        <f>IFERROR(VLOOKUP(O1167,PROGRAMAS[],2,FALSE),0)</f>
        <v>0</v>
      </c>
      <c r="AD1167" s="246">
        <f>IFERROR(VLOOKUP(P1167,PROGRAMAS[],2,FALSE),0)</f>
        <v>0</v>
      </c>
      <c r="AE1167" s="246">
        <f>IFERROR(VLOOKUP(Q1167,PROGRAMAS[],2,FALSE),0)</f>
        <v>0</v>
      </c>
      <c r="AF1167" s="246">
        <f>IFERROR(VLOOKUP(D1167,PROGRAMAS[],3,FALSE),0)</f>
        <v>841888629.31080008</v>
      </c>
      <c r="AG1167" s="246">
        <f>IFERROR(VLOOKUP(E1167,PROGRAMAS[],3,FALSE),0)</f>
        <v>3848980803.1642323</v>
      </c>
      <c r="AH1167" s="246">
        <f>IFERROR(VLOOKUP(F1167,PROGRAMAS[],3,FALSE),0)</f>
        <v>3394901471.387517</v>
      </c>
      <c r="AI1167" s="246">
        <f>IFERROR(VLOOKUP(G1167,PROGRAMAS[],3,FALSE),0)</f>
        <v>125317226.95549992</v>
      </c>
      <c r="AJ1167" s="246">
        <f>IFERROR(VLOOKUP(H1167,PROGRAMAS[],3,FALSE),0)</f>
        <v>6129902208.7912121</v>
      </c>
      <c r="AK1167" s="246">
        <f>IFERROR(VLOOKUP(I1167,PROGRAMAS[],3,FALSE),0)</f>
        <v>7011279577.519702</v>
      </c>
      <c r="AL1167" s="246">
        <f>IFERROR(VLOOKUP(J1167,PROGRAMAS[],3,FALSE),0)</f>
        <v>675517840.109828</v>
      </c>
      <c r="AM1167" s="246">
        <f>IFERROR(VLOOKUP(K1167,PROGRAMAS[],3,FALSE),0)</f>
        <v>2392571243.5584412</v>
      </c>
      <c r="AN1167" s="246">
        <f>IFERROR(VLOOKUP(L1167,PROGRAMAS[],3,FALSE),0)</f>
        <v>118617452.52510804</v>
      </c>
      <c r="AO1167" s="246">
        <f>IFERROR(VLOOKUP(M1167,PROGRAMAS[],3,FALSE),0)</f>
        <v>0</v>
      </c>
      <c r="AP1167" s="246">
        <f>IFERROR(VLOOKUP(N1167,PROGRAMAS[],3,FALSE),0)</f>
        <v>0</v>
      </c>
      <c r="AQ1167" s="246">
        <f>IFERROR(VLOOKUP(O1167,PROGRAMAS[],3,FALSE),0)</f>
        <v>0</v>
      </c>
      <c r="AR1167" s="246">
        <f>IFERROR(VLOOKUP(P1167,PROGRAMAS[],3,FALSE),0)</f>
        <v>0</v>
      </c>
      <c r="AS1167" s="246">
        <f>IFERROR(VLOOKUP(Q1167,PROGRAMAS[],3,FALSE),0)</f>
        <v>0</v>
      </c>
      <c r="AT1167" s="246">
        <f>IFERROR(VLOOKUP(D1167,VOL_REC[],2,FALSE),0)</f>
        <v>0</v>
      </c>
      <c r="AU1167" s="246">
        <f>IFERROR(VLOOKUP(E1167,VOL_REC[],2,FALSE),0)</f>
        <v>0</v>
      </c>
      <c r="AV1167" s="246">
        <f>IFERROR(VLOOKUP(F1167,VOL_REC[],2,FALSE),0)</f>
        <v>11089674.200000001</v>
      </c>
      <c r="AW1167" s="246">
        <f>IFERROR(VLOOKUP(G1167,VOL_REC[],2,FALSE),0)</f>
        <v>90439.55</v>
      </c>
      <c r="AX1167" s="246">
        <f>IFERROR(VLOOKUP(H1167,VOL_REC[],2,FALSE),0)</f>
        <v>15540036.397699751</v>
      </c>
      <c r="AY1167" s="246">
        <f>IFERROR(VLOOKUP(I1167,VOL_REC[],2,FALSE),0)</f>
        <v>3761786</v>
      </c>
      <c r="AZ1167" s="246">
        <f>IFERROR(VLOOKUP(J1167,VOL_REC[],2,FALSE),0)</f>
        <v>240696.79238099116</v>
      </c>
      <c r="BA1167" s="246">
        <f>IFERROR(VLOOKUP(K1167,VOL_REC[],2,FALSE),0)</f>
        <v>663244.80000000016</v>
      </c>
      <c r="BB1167" s="246">
        <f>IFERROR(VLOOKUP(L1167,VOL_REC[],2,FALSE),0)</f>
        <v>105072</v>
      </c>
      <c r="BC1167" s="246">
        <f>IFERROR(VLOOKUP(M1167,VOL_REC[],2,FALSE),0)</f>
        <v>0</v>
      </c>
      <c r="BD1167" s="246">
        <f>IFERROR(VLOOKUP(N1167,VOL_REC[],2,FALSE),0)</f>
        <v>0</v>
      </c>
      <c r="BE1167" s="246">
        <f>IFERROR(VLOOKUP(O1167,VOL_REC[],2,FALSE),0)</f>
        <v>0</v>
      </c>
      <c r="BF1167" s="246">
        <f>IFERROR(VLOOKUP(P1167,VOL_REC[],2,FALSE),0)</f>
        <v>0</v>
      </c>
      <c r="BG1167" s="246">
        <f>IFERROR(VLOOKUP(Q1167,VOL_REC[],2,FALSE),0)</f>
        <v>0</v>
      </c>
      <c r="BH1167" s="1710">
        <f t="shared" si="72"/>
        <v>21567287585.776615</v>
      </c>
      <c r="BI1167" s="1710">
        <f t="shared" si="73"/>
        <v>24538976453.322342</v>
      </c>
      <c r="BJ1167" s="1711">
        <f t="shared" si="74"/>
        <v>31490949.740080744</v>
      </c>
      <c r="BK1167" s="1711">
        <f t="shared" si="75"/>
        <v>0.87889923309562534</v>
      </c>
    </row>
    <row r="1168" spans="3:67" x14ac:dyDescent="0.25">
      <c r="C1168" s="246" t="s">
        <v>2518</v>
      </c>
      <c r="D1168" s="246">
        <v>1</v>
      </c>
      <c r="E1168" s="246">
        <v>2</v>
      </c>
      <c r="F1168" s="246">
        <v>3</v>
      </c>
      <c r="G1168" s="246">
        <v>4</v>
      </c>
      <c r="H1168" s="246">
        <v>6</v>
      </c>
      <c r="I1168" s="246">
        <v>9</v>
      </c>
      <c r="J1168" s="246">
        <v>12</v>
      </c>
      <c r="K1168" s="246">
        <v>13</v>
      </c>
      <c r="L1168" s="246">
        <v>16</v>
      </c>
      <c r="M1168" s="246"/>
      <c r="N1168" s="246"/>
      <c r="O1168" s="246"/>
      <c r="P1168" s="246"/>
      <c r="Q1168" s="246"/>
      <c r="R1168" s="246">
        <f>IFERROR(VLOOKUP(D1168,PROGRAMAS[],2,FALSE),0)</f>
        <v>97037803.679377079</v>
      </c>
      <c r="S1168" s="246">
        <f>IFERROR(VLOOKUP(E1168,PROGRAMAS[],2,FALSE),0)</f>
        <v>640501509.6821388</v>
      </c>
      <c r="T1168" s="246">
        <f>IFERROR(VLOOKUP(F1168,PROGRAMAS[],2,FALSE),0)</f>
        <v>3062327798.1525245</v>
      </c>
      <c r="U1168" s="246">
        <f>IFERROR(VLOOKUP(G1168,PROGRAMAS[],2,FALSE),0)</f>
        <v>67697118.033011258</v>
      </c>
      <c r="V1168" s="246">
        <f>IFERROR(VLOOKUP(H1168,PROGRAMAS[],2,FALSE),0)</f>
        <v>6907648435.8447599</v>
      </c>
      <c r="W1168" s="246">
        <f>IFERROR(VLOOKUP(I1168,PROGRAMAS[],2,FALSE),0)</f>
        <v>6128579952.1618185</v>
      </c>
      <c r="X1168" s="246">
        <f>IFERROR(VLOOKUP(J1168,PROGRAMAS[],2,FALSE),0)</f>
        <v>764796700.79905891</v>
      </c>
      <c r="Y1168" s="246">
        <f>IFERROR(VLOOKUP(K1168,PROGRAMAS[],2,FALSE),0)</f>
        <v>3776538594.4604583</v>
      </c>
      <c r="Z1168" s="246">
        <f>IFERROR(VLOOKUP(L1168,PROGRAMAS[],2,FALSE),0)</f>
        <v>7068496961.0436354</v>
      </c>
      <c r="AA1168" s="246">
        <f>IFERROR(VLOOKUP(M1168,PROGRAMAS[],2,FALSE),0)</f>
        <v>0</v>
      </c>
      <c r="AB1168" s="246">
        <f>IFERROR(VLOOKUP(N1168,PROGRAMAS[],2,FALSE),0)</f>
        <v>0</v>
      </c>
      <c r="AC1168" s="246">
        <f>IFERROR(VLOOKUP(O1168,PROGRAMAS[],2,FALSE),0)</f>
        <v>0</v>
      </c>
      <c r="AD1168" s="246">
        <f>IFERROR(VLOOKUP(P1168,PROGRAMAS[],2,FALSE),0)</f>
        <v>0</v>
      </c>
      <c r="AE1168" s="246">
        <f>IFERROR(VLOOKUP(Q1168,PROGRAMAS[],2,FALSE),0)</f>
        <v>0</v>
      </c>
      <c r="AF1168" s="246">
        <f>IFERROR(VLOOKUP(D1168,PROGRAMAS[],3,FALSE),0)</f>
        <v>841888629.31080008</v>
      </c>
      <c r="AG1168" s="246">
        <f>IFERROR(VLOOKUP(E1168,PROGRAMAS[],3,FALSE),0)</f>
        <v>3848980803.1642323</v>
      </c>
      <c r="AH1168" s="246">
        <f>IFERROR(VLOOKUP(F1168,PROGRAMAS[],3,FALSE),0)</f>
        <v>3394901471.387517</v>
      </c>
      <c r="AI1168" s="246">
        <f>IFERROR(VLOOKUP(G1168,PROGRAMAS[],3,FALSE),0)</f>
        <v>125317226.95549992</v>
      </c>
      <c r="AJ1168" s="246">
        <f>IFERROR(VLOOKUP(H1168,PROGRAMAS[],3,FALSE),0)</f>
        <v>6129902208.7912121</v>
      </c>
      <c r="AK1168" s="246">
        <f>IFERROR(VLOOKUP(I1168,PROGRAMAS[],3,FALSE),0)</f>
        <v>7011279577.519702</v>
      </c>
      <c r="AL1168" s="246">
        <f>IFERROR(VLOOKUP(J1168,PROGRAMAS[],3,FALSE),0)</f>
        <v>675517840.109828</v>
      </c>
      <c r="AM1168" s="246">
        <f>IFERROR(VLOOKUP(K1168,PROGRAMAS[],3,FALSE),0)</f>
        <v>2392571243.5584412</v>
      </c>
      <c r="AN1168" s="246">
        <f>IFERROR(VLOOKUP(L1168,PROGRAMAS[],3,FALSE),0)</f>
        <v>2406564599.0319901</v>
      </c>
      <c r="AO1168" s="246">
        <f>IFERROR(VLOOKUP(M1168,PROGRAMAS[],3,FALSE),0)</f>
        <v>0</v>
      </c>
      <c r="AP1168" s="246">
        <f>IFERROR(VLOOKUP(N1168,PROGRAMAS[],3,FALSE),0)</f>
        <v>0</v>
      </c>
      <c r="AQ1168" s="246">
        <f>IFERROR(VLOOKUP(O1168,PROGRAMAS[],3,FALSE),0)</f>
        <v>0</v>
      </c>
      <c r="AR1168" s="246">
        <f>IFERROR(VLOOKUP(P1168,PROGRAMAS[],3,FALSE),0)</f>
        <v>0</v>
      </c>
      <c r="AS1168" s="246">
        <f>IFERROR(VLOOKUP(Q1168,PROGRAMAS[],3,FALSE),0)</f>
        <v>0</v>
      </c>
      <c r="AT1168" s="246">
        <f>IFERROR(VLOOKUP(D1168,VOL_REC[],2,FALSE),0)</f>
        <v>0</v>
      </c>
      <c r="AU1168" s="246">
        <f>IFERROR(VLOOKUP(E1168,VOL_REC[],2,FALSE),0)</f>
        <v>0</v>
      </c>
      <c r="AV1168" s="246">
        <f>IFERROR(VLOOKUP(F1168,VOL_REC[],2,FALSE),0)</f>
        <v>11089674.200000001</v>
      </c>
      <c r="AW1168" s="246">
        <f>IFERROR(VLOOKUP(G1168,VOL_REC[],2,FALSE),0)</f>
        <v>90439.55</v>
      </c>
      <c r="AX1168" s="246">
        <f>IFERROR(VLOOKUP(H1168,VOL_REC[],2,FALSE),0)</f>
        <v>15540036.397699751</v>
      </c>
      <c r="AY1168" s="246">
        <f>IFERROR(VLOOKUP(I1168,VOL_REC[],2,FALSE),0)</f>
        <v>3761786</v>
      </c>
      <c r="AZ1168" s="246">
        <f>IFERROR(VLOOKUP(J1168,VOL_REC[],2,FALSE),0)</f>
        <v>240696.79238099116</v>
      </c>
      <c r="BA1168" s="246">
        <f>IFERROR(VLOOKUP(K1168,VOL_REC[],2,FALSE),0)</f>
        <v>663244.80000000016</v>
      </c>
      <c r="BB1168" s="246">
        <f>IFERROR(VLOOKUP(L1168,VOL_REC[],2,FALSE),0)</f>
        <v>1072354.9981737854</v>
      </c>
      <c r="BC1168" s="246">
        <f>IFERROR(VLOOKUP(M1168,VOL_REC[],2,FALSE),0)</f>
        <v>0</v>
      </c>
      <c r="BD1168" s="246">
        <f>IFERROR(VLOOKUP(N1168,VOL_REC[],2,FALSE),0)</f>
        <v>0</v>
      </c>
      <c r="BE1168" s="246">
        <f>IFERROR(VLOOKUP(O1168,VOL_REC[],2,FALSE),0)</f>
        <v>0</v>
      </c>
      <c r="BF1168" s="246">
        <f>IFERROR(VLOOKUP(P1168,VOL_REC[],2,FALSE),0)</f>
        <v>0</v>
      </c>
      <c r="BG1168" s="246">
        <f>IFERROR(VLOOKUP(Q1168,VOL_REC[],2,FALSE),0)</f>
        <v>0</v>
      </c>
      <c r="BH1168" s="1710">
        <f t="shared" si="72"/>
        <v>28513624873.856785</v>
      </c>
      <c r="BI1168" s="1710">
        <f t="shared" si="73"/>
        <v>26826923599.829224</v>
      </c>
      <c r="BJ1168" s="1711">
        <f t="shared" si="74"/>
        <v>32458232.738254528</v>
      </c>
      <c r="BK1168" s="1711">
        <f t="shared" si="75"/>
        <v>1.0628734512830349</v>
      </c>
      <c r="BL1168">
        <f>BJ1168</f>
        <v>32458232.738254528</v>
      </c>
      <c r="BO1168">
        <f>BL1168</f>
        <v>32458232.738254528</v>
      </c>
    </row>
    <row r="1169" spans="3:67" x14ac:dyDescent="0.25">
      <c r="C1169" s="246" t="s">
        <v>2519</v>
      </c>
      <c r="D1169" s="246">
        <v>1</v>
      </c>
      <c r="E1169" s="246">
        <v>2</v>
      </c>
      <c r="F1169" s="246">
        <v>3</v>
      </c>
      <c r="G1169" s="246">
        <v>4</v>
      </c>
      <c r="H1169" s="246">
        <v>6</v>
      </c>
      <c r="I1169" s="246">
        <v>9</v>
      </c>
      <c r="J1169" s="246">
        <v>12</v>
      </c>
      <c r="K1169" s="246">
        <v>13</v>
      </c>
      <c r="L1169" s="246">
        <v>17</v>
      </c>
      <c r="M1169" s="246"/>
      <c r="N1169" s="246"/>
      <c r="O1169" s="246"/>
      <c r="P1169" s="246"/>
      <c r="Q1169" s="246"/>
      <c r="R1169" s="246">
        <f>IFERROR(VLOOKUP(D1169,PROGRAMAS[],2,FALSE),0)</f>
        <v>97037803.679377079</v>
      </c>
      <c r="S1169" s="246">
        <f>IFERROR(VLOOKUP(E1169,PROGRAMAS[],2,FALSE),0)</f>
        <v>640501509.6821388</v>
      </c>
      <c r="T1169" s="246">
        <f>IFERROR(VLOOKUP(F1169,PROGRAMAS[],2,FALSE),0)</f>
        <v>3062327798.1525245</v>
      </c>
      <c r="U1169" s="246">
        <f>IFERROR(VLOOKUP(G1169,PROGRAMAS[],2,FALSE),0)</f>
        <v>67697118.033011258</v>
      </c>
      <c r="V1169" s="246">
        <f>IFERROR(VLOOKUP(H1169,PROGRAMAS[],2,FALSE),0)</f>
        <v>6907648435.8447599</v>
      </c>
      <c r="W1169" s="246">
        <f>IFERROR(VLOOKUP(I1169,PROGRAMAS[],2,FALSE),0)</f>
        <v>6128579952.1618185</v>
      </c>
      <c r="X1169" s="246">
        <f>IFERROR(VLOOKUP(J1169,PROGRAMAS[],2,FALSE),0)</f>
        <v>764796700.79905891</v>
      </c>
      <c r="Y1169" s="246">
        <f>IFERROR(VLOOKUP(K1169,PROGRAMAS[],2,FALSE),0)</f>
        <v>3776538594.4604583</v>
      </c>
      <c r="Z1169" s="246">
        <f>IFERROR(VLOOKUP(L1169,PROGRAMAS[],2,FALSE),0)</f>
        <v>1892779498.5211046</v>
      </c>
      <c r="AA1169" s="246">
        <f>IFERROR(VLOOKUP(M1169,PROGRAMAS[],2,FALSE),0)</f>
        <v>0</v>
      </c>
      <c r="AB1169" s="246">
        <f>IFERROR(VLOOKUP(N1169,PROGRAMAS[],2,FALSE),0)</f>
        <v>0</v>
      </c>
      <c r="AC1169" s="246">
        <f>IFERROR(VLOOKUP(O1169,PROGRAMAS[],2,FALSE),0)</f>
        <v>0</v>
      </c>
      <c r="AD1169" s="246">
        <f>IFERROR(VLOOKUP(P1169,PROGRAMAS[],2,FALSE),0)</f>
        <v>0</v>
      </c>
      <c r="AE1169" s="246">
        <f>IFERROR(VLOOKUP(Q1169,PROGRAMAS[],2,FALSE),0)</f>
        <v>0</v>
      </c>
      <c r="AF1169" s="246">
        <f>IFERROR(VLOOKUP(D1169,PROGRAMAS[],3,FALSE),0)</f>
        <v>841888629.31080008</v>
      </c>
      <c r="AG1169" s="246">
        <f>IFERROR(VLOOKUP(E1169,PROGRAMAS[],3,FALSE),0)</f>
        <v>3848980803.1642323</v>
      </c>
      <c r="AH1169" s="246">
        <f>IFERROR(VLOOKUP(F1169,PROGRAMAS[],3,FALSE),0)</f>
        <v>3394901471.387517</v>
      </c>
      <c r="AI1169" s="246">
        <f>IFERROR(VLOOKUP(G1169,PROGRAMAS[],3,FALSE),0)</f>
        <v>125317226.95549992</v>
      </c>
      <c r="AJ1169" s="246">
        <f>IFERROR(VLOOKUP(H1169,PROGRAMAS[],3,FALSE),0)</f>
        <v>6129902208.7912121</v>
      </c>
      <c r="AK1169" s="246">
        <f>IFERROR(VLOOKUP(I1169,PROGRAMAS[],3,FALSE),0)</f>
        <v>7011279577.519702</v>
      </c>
      <c r="AL1169" s="246">
        <f>IFERROR(VLOOKUP(J1169,PROGRAMAS[],3,FALSE),0)</f>
        <v>675517840.109828</v>
      </c>
      <c r="AM1169" s="246">
        <f>IFERROR(VLOOKUP(K1169,PROGRAMAS[],3,FALSE),0)</f>
        <v>2392571243.5584412</v>
      </c>
      <c r="AN1169" s="246">
        <f>IFERROR(VLOOKUP(L1169,PROGRAMAS[],3,FALSE),0)</f>
        <v>948595847.09039903</v>
      </c>
      <c r="AO1169" s="246">
        <f>IFERROR(VLOOKUP(M1169,PROGRAMAS[],3,FALSE),0)</f>
        <v>0</v>
      </c>
      <c r="AP1169" s="246">
        <f>IFERROR(VLOOKUP(N1169,PROGRAMAS[],3,FALSE),0)</f>
        <v>0</v>
      </c>
      <c r="AQ1169" s="246">
        <f>IFERROR(VLOOKUP(O1169,PROGRAMAS[],3,FALSE),0)</f>
        <v>0</v>
      </c>
      <c r="AR1169" s="246">
        <f>IFERROR(VLOOKUP(P1169,PROGRAMAS[],3,FALSE),0)</f>
        <v>0</v>
      </c>
      <c r="AS1169" s="246">
        <f>IFERROR(VLOOKUP(Q1169,PROGRAMAS[],3,FALSE),0)</f>
        <v>0</v>
      </c>
      <c r="AT1169" s="246">
        <f>IFERROR(VLOOKUP(D1169,VOL_REC[],2,FALSE),0)</f>
        <v>0</v>
      </c>
      <c r="AU1169" s="246">
        <f>IFERROR(VLOOKUP(E1169,VOL_REC[],2,FALSE),0)</f>
        <v>0</v>
      </c>
      <c r="AV1169" s="246">
        <f>IFERROR(VLOOKUP(F1169,VOL_REC[],2,FALSE),0)</f>
        <v>11089674.200000001</v>
      </c>
      <c r="AW1169" s="246">
        <f>IFERROR(VLOOKUP(G1169,VOL_REC[],2,FALSE),0)</f>
        <v>90439.55</v>
      </c>
      <c r="AX1169" s="246">
        <f>IFERROR(VLOOKUP(H1169,VOL_REC[],2,FALSE),0)</f>
        <v>15540036.397699751</v>
      </c>
      <c r="AY1169" s="246">
        <f>IFERROR(VLOOKUP(I1169,VOL_REC[],2,FALSE),0)</f>
        <v>3761786</v>
      </c>
      <c r="AZ1169" s="246">
        <f>IFERROR(VLOOKUP(J1169,VOL_REC[],2,FALSE),0)</f>
        <v>240696.79238099116</v>
      </c>
      <c r="BA1169" s="246">
        <f>IFERROR(VLOOKUP(K1169,VOL_REC[],2,FALSE),0)</f>
        <v>663244.80000000016</v>
      </c>
      <c r="BB1169" s="246">
        <f>IFERROR(VLOOKUP(L1169,VOL_REC[],2,FALSE),0)</f>
        <v>740113.98115702497</v>
      </c>
      <c r="BC1169" s="246">
        <f>IFERROR(VLOOKUP(M1169,VOL_REC[],2,FALSE),0)</f>
        <v>0</v>
      </c>
      <c r="BD1169" s="246">
        <f>IFERROR(VLOOKUP(N1169,VOL_REC[],2,FALSE),0)</f>
        <v>0</v>
      </c>
      <c r="BE1169" s="246">
        <f>IFERROR(VLOOKUP(O1169,VOL_REC[],2,FALSE),0)</f>
        <v>0</v>
      </c>
      <c r="BF1169" s="246">
        <f>IFERROR(VLOOKUP(P1169,VOL_REC[],2,FALSE),0)</f>
        <v>0</v>
      </c>
      <c r="BG1169" s="246">
        <f>IFERROR(VLOOKUP(Q1169,VOL_REC[],2,FALSE),0)</f>
        <v>0</v>
      </c>
      <c r="BH1169" s="1710">
        <f t="shared" si="72"/>
        <v>23337907411.334251</v>
      </c>
      <c r="BI1169" s="1710">
        <f t="shared" si="73"/>
        <v>25368954847.887634</v>
      </c>
      <c r="BJ1169" s="1711">
        <f t="shared" si="74"/>
        <v>32125991.721237767</v>
      </c>
      <c r="BK1169" s="1711">
        <f t="shared" si="75"/>
        <v>0.9199396487268966</v>
      </c>
    </row>
    <row r="1170" spans="3:67" x14ac:dyDescent="0.25">
      <c r="C1170" s="246" t="s">
        <v>2520</v>
      </c>
      <c r="D1170" s="246">
        <v>1</v>
      </c>
      <c r="E1170" s="246">
        <v>2</v>
      </c>
      <c r="F1170" s="246">
        <v>3</v>
      </c>
      <c r="G1170" s="246">
        <v>4</v>
      </c>
      <c r="H1170" s="246">
        <v>6</v>
      </c>
      <c r="I1170" s="246">
        <v>9</v>
      </c>
      <c r="J1170" s="246">
        <v>12</v>
      </c>
      <c r="K1170" s="246">
        <v>14</v>
      </c>
      <c r="L1170" s="246">
        <v>15</v>
      </c>
      <c r="M1170" s="246"/>
      <c r="N1170" s="246"/>
      <c r="O1170" s="246"/>
      <c r="P1170" s="246"/>
      <c r="Q1170" s="246"/>
      <c r="R1170" s="246">
        <f>IFERROR(VLOOKUP(D1170,PROGRAMAS[],2,FALSE),0)</f>
        <v>97037803.679377079</v>
      </c>
      <c r="S1170" s="246">
        <f>IFERROR(VLOOKUP(E1170,PROGRAMAS[],2,FALSE),0)</f>
        <v>640501509.6821388</v>
      </c>
      <c r="T1170" s="246">
        <f>IFERROR(VLOOKUP(F1170,PROGRAMAS[],2,FALSE),0)</f>
        <v>3062327798.1525245</v>
      </c>
      <c r="U1170" s="246">
        <f>IFERROR(VLOOKUP(G1170,PROGRAMAS[],2,FALSE),0)</f>
        <v>67697118.033011258</v>
      </c>
      <c r="V1170" s="246">
        <f>IFERROR(VLOOKUP(H1170,PROGRAMAS[],2,FALSE),0)</f>
        <v>6907648435.8447599</v>
      </c>
      <c r="W1170" s="246">
        <f>IFERROR(VLOOKUP(I1170,PROGRAMAS[],2,FALSE),0)</f>
        <v>6128579952.1618185</v>
      </c>
      <c r="X1170" s="246">
        <f>IFERROR(VLOOKUP(J1170,PROGRAMAS[],2,FALSE),0)</f>
        <v>764796700.79905891</v>
      </c>
      <c r="Y1170" s="246">
        <f>IFERROR(VLOOKUP(K1170,PROGRAMAS[],2,FALSE),0)</f>
        <v>54223862.645839565</v>
      </c>
      <c r="Z1170" s="246">
        <f>IFERROR(VLOOKUP(L1170,PROGRAMAS[],2,FALSE),0)</f>
        <v>122159672.96346797</v>
      </c>
      <c r="AA1170" s="246">
        <f>IFERROR(VLOOKUP(M1170,PROGRAMAS[],2,FALSE),0)</f>
        <v>0</v>
      </c>
      <c r="AB1170" s="246">
        <f>IFERROR(VLOOKUP(N1170,PROGRAMAS[],2,FALSE),0)</f>
        <v>0</v>
      </c>
      <c r="AC1170" s="246">
        <f>IFERROR(VLOOKUP(O1170,PROGRAMAS[],2,FALSE),0)</f>
        <v>0</v>
      </c>
      <c r="AD1170" s="246">
        <f>IFERROR(VLOOKUP(P1170,PROGRAMAS[],2,FALSE),0)</f>
        <v>0</v>
      </c>
      <c r="AE1170" s="246">
        <f>IFERROR(VLOOKUP(Q1170,PROGRAMAS[],2,FALSE),0)</f>
        <v>0</v>
      </c>
      <c r="AF1170" s="246">
        <f>IFERROR(VLOOKUP(D1170,PROGRAMAS[],3,FALSE),0)</f>
        <v>841888629.31080008</v>
      </c>
      <c r="AG1170" s="246">
        <f>IFERROR(VLOOKUP(E1170,PROGRAMAS[],3,FALSE),0)</f>
        <v>3848980803.1642323</v>
      </c>
      <c r="AH1170" s="246">
        <f>IFERROR(VLOOKUP(F1170,PROGRAMAS[],3,FALSE),0)</f>
        <v>3394901471.387517</v>
      </c>
      <c r="AI1170" s="246">
        <f>IFERROR(VLOOKUP(G1170,PROGRAMAS[],3,FALSE),0)</f>
        <v>125317226.95549992</v>
      </c>
      <c r="AJ1170" s="246">
        <f>IFERROR(VLOOKUP(H1170,PROGRAMAS[],3,FALSE),0)</f>
        <v>6129902208.7912121</v>
      </c>
      <c r="AK1170" s="246">
        <f>IFERROR(VLOOKUP(I1170,PROGRAMAS[],3,FALSE),0)</f>
        <v>7011279577.519702</v>
      </c>
      <c r="AL1170" s="246">
        <f>IFERROR(VLOOKUP(J1170,PROGRAMAS[],3,FALSE),0)</f>
        <v>675517840.109828</v>
      </c>
      <c r="AM1170" s="246">
        <f>IFERROR(VLOOKUP(K1170,PROGRAMAS[],3,FALSE),0)</f>
        <v>31865326.38096505</v>
      </c>
      <c r="AN1170" s="246">
        <f>IFERROR(VLOOKUP(L1170,PROGRAMAS[],3,FALSE),0)</f>
        <v>118617452.52510804</v>
      </c>
      <c r="AO1170" s="246">
        <f>IFERROR(VLOOKUP(M1170,PROGRAMAS[],3,FALSE),0)</f>
        <v>0</v>
      </c>
      <c r="AP1170" s="246">
        <f>IFERROR(VLOOKUP(N1170,PROGRAMAS[],3,FALSE),0)</f>
        <v>0</v>
      </c>
      <c r="AQ1170" s="246">
        <f>IFERROR(VLOOKUP(O1170,PROGRAMAS[],3,FALSE),0)</f>
        <v>0</v>
      </c>
      <c r="AR1170" s="246">
        <f>IFERROR(VLOOKUP(P1170,PROGRAMAS[],3,FALSE),0)</f>
        <v>0</v>
      </c>
      <c r="AS1170" s="246">
        <f>IFERROR(VLOOKUP(Q1170,PROGRAMAS[],3,FALSE),0)</f>
        <v>0</v>
      </c>
      <c r="AT1170" s="246">
        <f>IFERROR(VLOOKUP(D1170,VOL_REC[],2,FALSE),0)</f>
        <v>0</v>
      </c>
      <c r="AU1170" s="246">
        <f>IFERROR(VLOOKUP(E1170,VOL_REC[],2,FALSE),0)</f>
        <v>0</v>
      </c>
      <c r="AV1170" s="246">
        <f>IFERROR(VLOOKUP(F1170,VOL_REC[],2,FALSE),0)</f>
        <v>11089674.200000001</v>
      </c>
      <c r="AW1170" s="246">
        <f>IFERROR(VLOOKUP(G1170,VOL_REC[],2,FALSE),0)</f>
        <v>90439.55</v>
      </c>
      <c r="AX1170" s="246">
        <f>IFERROR(VLOOKUP(H1170,VOL_REC[],2,FALSE),0)</f>
        <v>15540036.397699751</v>
      </c>
      <c r="AY1170" s="246">
        <f>IFERROR(VLOOKUP(I1170,VOL_REC[],2,FALSE),0)</f>
        <v>3761786</v>
      </c>
      <c r="AZ1170" s="246">
        <f>IFERROR(VLOOKUP(J1170,VOL_REC[],2,FALSE),0)</f>
        <v>240696.79238099116</v>
      </c>
      <c r="BA1170" s="246">
        <f>IFERROR(VLOOKUP(K1170,VOL_REC[],2,FALSE),0)</f>
        <v>17074.045034105649</v>
      </c>
      <c r="BB1170" s="246">
        <f>IFERROR(VLOOKUP(L1170,VOL_REC[],2,FALSE),0)</f>
        <v>105072</v>
      </c>
      <c r="BC1170" s="246">
        <f>IFERROR(VLOOKUP(M1170,VOL_REC[],2,FALSE),0)</f>
        <v>0</v>
      </c>
      <c r="BD1170" s="246">
        <f>IFERROR(VLOOKUP(N1170,VOL_REC[],2,FALSE),0)</f>
        <v>0</v>
      </c>
      <c r="BE1170" s="246">
        <f>IFERROR(VLOOKUP(O1170,VOL_REC[],2,FALSE),0)</f>
        <v>0</v>
      </c>
      <c r="BF1170" s="246">
        <f>IFERROR(VLOOKUP(P1170,VOL_REC[],2,FALSE),0)</f>
        <v>0</v>
      </c>
      <c r="BG1170" s="246">
        <f>IFERROR(VLOOKUP(Q1170,VOL_REC[],2,FALSE),0)</f>
        <v>0</v>
      </c>
      <c r="BH1170" s="1710">
        <f t="shared" si="72"/>
        <v>17844972853.961998</v>
      </c>
      <c r="BI1170" s="1710">
        <f t="shared" si="73"/>
        <v>22178270536.144867</v>
      </c>
      <c r="BJ1170" s="1711">
        <f t="shared" si="74"/>
        <v>30844778.98511485</v>
      </c>
      <c r="BK1170" s="1711">
        <f t="shared" si="75"/>
        <v>0.80461516712402303</v>
      </c>
    </row>
    <row r="1171" spans="3:67" x14ac:dyDescent="0.25">
      <c r="C1171" s="246" t="s">
        <v>2521</v>
      </c>
      <c r="D1171" s="246">
        <v>1</v>
      </c>
      <c r="E1171" s="246">
        <v>2</v>
      </c>
      <c r="F1171" s="246">
        <v>3</v>
      </c>
      <c r="G1171" s="246">
        <v>4</v>
      </c>
      <c r="H1171" s="246">
        <v>6</v>
      </c>
      <c r="I1171" s="246">
        <v>9</v>
      </c>
      <c r="J1171" s="246">
        <v>12</v>
      </c>
      <c r="K1171" s="246">
        <v>14</v>
      </c>
      <c r="L1171" s="246">
        <v>16</v>
      </c>
      <c r="M1171" s="246"/>
      <c r="N1171" s="246"/>
      <c r="O1171" s="246"/>
      <c r="P1171" s="246"/>
      <c r="Q1171" s="246"/>
      <c r="R1171" s="246">
        <f>IFERROR(VLOOKUP(D1171,PROGRAMAS[],2,FALSE),0)</f>
        <v>97037803.679377079</v>
      </c>
      <c r="S1171" s="246">
        <f>IFERROR(VLOOKUP(E1171,PROGRAMAS[],2,FALSE),0)</f>
        <v>640501509.6821388</v>
      </c>
      <c r="T1171" s="246">
        <f>IFERROR(VLOOKUP(F1171,PROGRAMAS[],2,FALSE),0)</f>
        <v>3062327798.1525245</v>
      </c>
      <c r="U1171" s="246">
        <f>IFERROR(VLOOKUP(G1171,PROGRAMAS[],2,FALSE),0)</f>
        <v>67697118.033011258</v>
      </c>
      <c r="V1171" s="246">
        <f>IFERROR(VLOOKUP(H1171,PROGRAMAS[],2,FALSE),0)</f>
        <v>6907648435.8447599</v>
      </c>
      <c r="W1171" s="246">
        <f>IFERROR(VLOOKUP(I1171,PROGRAMAS[],2,FALSE),0)</f>
        <v>6128579952.1618185</v>
      </c>
      <c r="X1171" s="246">
        <f>IFERROR(VLOOKUP(J1171,PROGRAMAS[],2,FALSE),0)</f>
        <v>764796700.79905891</v>
      </c>
      <c r="Y1171" s="246">
        <f>IFERROR(VLOOKUP(K1171,PROGRAMAS[],2,FALSE),0)</f>
        <v>54223862.645839565</v>
      </c>
      <c r="Z1171" s="246">
        <f>IFERROR(VLOOKUP(L1171,PROGRAMAS[],2,FALSE),0)</f>
        <v>7068496961.0436354</v>
      </c>
      <c r="AA1171" s="246">
        <f>IFERROR(VLOOKUP(M1171,PROGRAMAS[],2,FALSE),0)</f>
        <v>0</v>
      </c>
      <c r="AB1171" s="246">
        <f>IFERROR(VLOOKUP(N1171,PROGRAMAS[],2,FALSE),0)</f>
        <v>0</v>
      </c>
      <c r="AC1171" s="246">
        <f>IFERROR(VLOOKUP(O1171,PROGRAMAS[],2,FALSE),0)</f>
        <v>0</v>
      </c>
      <c r="AD1171" s="246">
        <f>IFERROR(VLOOKUP(P1171,PROGRAMAS[],2,FALSE),0)</f>
        <v>0</v>
      </c>
      <c r="AE1171" s="246">
        <f>IFERROR(VLOOKUP(Q1171,PROGRAMAS[],2,FALSE),0)</f>
        <v>0</v>
      </c>
      <c r="AF1171" s="246">
        <f>IFERROR(VLOOKUP(D1171,PROGRAMAS[],3,FALSE),0)</f>
        <v>841888629.31080008</v>
      </c>
      <c r="AG1171" s="246">
        <f>IFERROR(VLOOKUP(E1171,PROGRAMAS[],3,FALSE),0)</f>
        <v>3848980803.1642323</v>
      </c>
      <c r="AH1171" s="246">
        <f>IFERROR(VLOOKUP(F1171,PROGRAMAS[],3,FALSE),0)</f>
        <v>3394901471.387517</v>
      </c>
      <c r="AI1171" s="246">
        <f>IFERROR(VLOOKUP(G1171,PROGRAMAS[],3,FALSE),0)</f>
        <v>125317226.95549992</v>
      </c>
      <c r="AJ1171" s="246">
        <f>IFERROR(VLOOKUP(H1171,PROGRAMAS[],3,FALSE),0)</f>
        <v>6129902208.7912121</v>
      </c>
      <c r="AK1171" s="246">
        <f>IFERROR(VLOOKUP(I1171,PROGRAMAS[],3,FALSE),0)</f>
        <v>7011279577.519702</v>
      </c>
      <c r="AL1171" s="246">
        <f>IFERROR(VLOOKUP(J1171,PROGRAMAS[],3,FALSE),0)</f>
        <v>675517840.109828</v>
      </c>
      <c r="AM1171" s="246">
        <f>IFERROR(VLOOKUP(K1171,PROGRAMAS[],3,FALSE),0)</f>
        <v>31865326.38096505</v>
      </c>
      <c r="AN1171" s="246">
        <f>IFERROR(VLOOKUP(L1171,PROGRAMAS[],3,FALSE),0)</f>
        <v>2406564599.0319901</v>
      </c>
      <c r="AO1171" s="246">
        <f>IFERROR(VLOOKUP(M1171,PROGRAMAS[],3,FALSE),0)</f>
        <v>0</v>
      </c>
      <c r="AP1171" s="246">
        <f>IFERROR(VLOOKUP(N1171,PROGRAMAS[],3,FALSE),0)</f>
        <v>0</v>
      </c>
      <c r="AQ1171" s="246">
        <f>IFERROR(VLOOKUP(O1171,PROGRAMAS[],3,FALSE),0)</f>
        <v>0</v>
      </c>
      <c r="AR1171" s="246">
        <f>IFERROR(VLOOKUP(P1171,PROGRAMAS[],3,FALSE),0)</f>
        <v>0</v>
      </c>
      <c r="AS1171" s="246">
        <f>IFERROR(VLOOKUP(Q1171,PROGRAMAS[],3,FALSE),0)</f>
        <v>0</v>
      </c>
      <c r="AT1171" s="246">
        <f>IFERROR(VLOOKUP(D1171,VOL_REC[],2,FALSE),0)</f>
        <v>0</v>
      </c>
      <c r="AU1171" s="246">
        <f>IFERROR(VLOOKUP(E1171,VOL_REC[],2,FALSE),0)</f>
        <v>0</v>
      </c>
      <c r="AV1171" s="246">
        <f>IFERROR(VLOOKUP(F1171,VOL_REC[],2,FALSE),0)</f>
        <v>11089674.200000001</v>
      </c>
      <c r="AW1171" s="246">
        <f>IFERROR(VLOOKUP(G1171,VOL_REC[],2,FALSE),0)</f>
        <v>90439.55</v>
      </c>
      <c r="AX1171" s="246">
        <f>IFERROR(VLOOKUP(H1171,VOL_REC[],2,FALSE),0)</f>
        <v>15540036.397699751</v>
      </c>
      <c r="AY1171" s="246">
        <f>IFERROR(VLOOKUP(I1171,VOL_REC[],2,FALSE),0)</f>
        <v>3761786</v>
      </c>
      <c r="AZ1171" s="246">
        <f>IFERROR(VLOOKUP(J1171,VOL_REC[],2,FALSE),0)</f>
        <v>240696.79238099116</v>
      </c>
      <c r="BA1171" s="246">
        <f>IFERROR(VLOOKUP(K1171,VOL_REC[],2,FALSE),0)</f>
        <v>17074.045034105649</v>
      </c>
      <c r="BB1171" s="246">
        <f>IFERROR(VLOOKUP(L1171,VOL_REC[],2,FALSE),0)</f>
        <v>1072354.9981737854</v>
      </c>
      <c r="BC1171" s="246">
        <f>IFERROR(VLOOKUP(M1171,VOL_REC[],2,FALSE),0)</f>
        <v>0</v>
      </c>
      <c r="BD1171" s="246">
        <f>IFERROR(VLOOKUP(N1171,VOL_REC[],2,FALSE),0)</f>
        <v>0</v>
      </c>
      <c r="BE1171" s="246">
        <f>IFERROR(VLOOKUP(O1171,VOL_REC[],2,FALSE),0)</f>
        <v>0</v>
      </c>
      <c r="BF1171" s="246">
        <f>IFERROR(VLOOKUP(P1171,VOL_REC[],2,FALSE),0)</f>
        <v>0</v>
      </c>
      <c r="BG1171" s="246">
        <f>IFERROR(VLOOKUP(Q1171,VOL_REC[],2,FALSE),0)</f>
        <v>0</v>
      </c>
      <c r="BH1171" s="1710">
        <f t="shared" si="72"/>
        <v>24791310142.042168</v>
      </c>
      <c r="BI1171" s="1710">
        <f t="shared" si="73"/>
        <v>24466217682.651749</v>
      </c>
      <c r="BJ1171" s="1711">
        <f t="shared" si="74"/>
        <v>31812061.983288635</v>
      </c>
      <c r="BK1171" s="1711">
        <f t="shared" si="75"/>
        <v>1.0132874015758035</v>
      </c>
      <c r="BL1171">
        <f>BJ1171</f>
        <v>31812061.983288635</v>
      </c>
      <c r="BO1171">
        <f>BL1171</f>
        <v>31812061.983288635</v>
      </c>
    </row>
    <row r="1172" spans="3:67" x14ac:dyDescent="0.25">
      <c r="C1172" s="246" t="s">
        <v>2522</v>
      </c>
      <c r="D1172" s="246">
        <v>1</v>
      </c>
      <c r="E1172" s="246">
        <v>2</v>
      </c>
      <c r="F1172" s="246">
        <v>3</v>
      </c>
      <c r="G1172" s="246">
        <v>4</v>
      </c>
      <c r="H1172" s="246">
        <v>6</v>
      </c>
      <c r="I1172" s="246">
        <v>9</v>
      </c>
      <c r="J1172" s="246">
        <v>12</v>
      </c>
      <c r="K1172" s="246">
        <v>14</v>
      </c>
      <c r="L1172" s="246">
        <v>17</v>
      </c>
      <c r="M1172" s="246"/>
      <c r="N1172" s="246"/>
      <c r="O1172" s="246"/>
      <c r="P1172" s="246"/>
      <c r="Q1172" s="246"/>
      <c r="R1172" s="246">
        <f>IFERROR(VLOOKUP(D1172,PROGRAMAS[],2,FALSE),0)</f>
        <v>97037803.679377079</v>
      </c>
      <c r="S1172" s="246">
        <f>IFERROR(VLOOKUP(E1172,PROGRAMAS[],2,FALSE),0)</f>
        <v>640501509.6821388</v>
      </c>
      <c r="T1172" s="246">
        <f>IFERROR(VLOOKUP(F1172,PROGRAMAS[],2,FALSE),0)</f>
        <v>3062327798.1525245</v>
      </c>
      <c r="U1172" s="246">
        <f>IFERROR(VLOOKUP(G1172,PROGRAMAS[],2,FALSE),0)</f>
        <v>67697118.033011258</v>
      </c>
      <c r="V1172" s="246">
        <f>IFERROR(VLOOKUP(H1172,PROGRAMAS[],2,FALSE),0)</f>
        <v>6907648435.8447599</v>
      </c>
      <c r="W1172" s="246">
        <f>IFERROR(VLOOKUP(I1172,PROGRAMAS[],2,FALSE),0)</f>
        <v>6128579952.1618185</v>
      </c>
      <c r="X1172" s="246">
        <f>IFERROR(VLOOKUP(J1172,PROGRAMAS[],2,FALSE),0)</f>
        <v>764796700.79905891</v>
      </c>
      <c r="Y1172" s="246">
        <f>IFERROR(VLOOKUP(K1172,PROGRAMAS[],2,FALSE),0)</f>
        <v>54223862.645839565</v>
      </c>
      <c r="Z1172" s="246">
        <f>IFERROR(VLOOKUP(L1172,PROGRAMAS[],2,FALSE),0)</f>
        <v>1892779498.5211046</v>
      </c>
      <c r="AA1172" s="246">
        <f>IFERROR(VLOOKUP(M1172,PROGRAMAS[],2,FALSE),0)</f>
        <v>0</v>
      </c>
      <c r="AB1172" s="246">
        <f>IFERROR(VLOOKUP(N1172,PROGRAMAS[],2,FALSE),0)</f>
        <v>0</v>
      </c>
      <c r="AC1172" s="246">
        <f>IFERROR(VLOOKUP(O1172,PROGRAMAS[],2,FALSE),0)</f>
        <v>0</v>
      </c>
      <c r="AD1172" s="246">
        <f>IFERROR(VLOOKUP(P1172,PROGRAMAS[],2,FALSE),0)</f>
        <v>0</v>
      </c>
      <c r="AE1172" s="246">
        <f>IFERROR(VLOOKUP(Q1172,PROGRAMAS[],2,FALSE),0)</f>
        <v>0</v>
      </c>
      <c r="AF1172" s="246">
        <f>IFERROR(VLOOKUP(D1172,PROGRAMAS[],3,FALSE),0)</f>
        <v>841888629.31080008</v>
      </c>
      <c r="AG1172" s="246">
        <f>IFERROR(VLOOKUP(E1172,PROGRAMAS[],3,FALSE),0)</f>
        <v>3848980803.1642323</v>
      </c>
      <c r="AH1172" s="246">
        <f>IFERROR(VLOOKUP(F1172,PROGRAMAS[],3,FALSE),0)</f>
        <v>3394901471.387517</v>
      </c>
      <c r="AI1172" s="246">
        <f>IFERROR(VLOOKUP(G1172,PROGRAMAS[],3,FALSE),0)</f>
        <v>125317226.95549992</v>
      </c>
      <c r="AJ1172" s="246">
        <f>IFERROR(VLOOKUP(H1172,PROGRAMAS[],3,FALSE),0)</f>
        <v>6129902208.7912121</v>
      </c>
      <c r="AK1172" s="246">
        <f>IFERROR(VLOOKUP(I1172,PROGRAMAS[],3,FALSE),0)</f>
        <v>7011279577.519702</v>
      </c>
      <c r="AL1172" s="246">
        <f>IFERROR(VLOOKUP(J1172,PROGRAMAS[],3,FALSE),0)</f>
        <v>675517840.109828</v>
      </c>
      <c r="AM1172" s="246">
        <f>IFERROR(VLOOKUP(K1172,PROGRAMAS[],3,FALSE),0)</f>
        <v>31865326.38096505</v>
      </c>
      <c r="AN1172" s="246">
        <f>IFERROR(VLOOKUP(L1172,PROGRAMAS[],3,FALSE),0)</f>
        <v>948595847.09039903</v>
      </c>
      <c r="AO1172" s="246">
        <f>IFERROR(VLOOKUP(M1172,PROGRAMAS[],3,FALSE),0)</f>
        <v>0</v>
      </c>
      <c r="AP1172" s="246">
        <f>IFERROR(VLOOKUP(N1172,PROGRAMAS[],3,FALSE),0)</f>
        <v>0</v>
      </c>
      <c r="AQ1172" s="246">
        <f>IFERROR(VLOOKUP(O1172,PROGRAMAS[],3,FALSE),0)</f>
        <v>0</v>
      </c>
      <c r="AR1172" s="246">
        <f>IFERROR(VLOOKUP(P1172,PROGRAMAS[],3,FALSE),0)</f>
        <v>0</v>
      </c>
      <c r="AS1172" s="246">
        <f>IFERROR(VLOOKUP(Q1172,PROGRAMAS[],3,FALSE),0)</f>
        <v>0</v>
      </c>
      <c r="AT1172" s="246">
        <f>IFERROR(VLOOKUP(D1172,VOL_REC[],2,FALSE),0)</f>
        <v>0</v>
      </c>
      <c r="AU1172" s="246">
        <f>IFERROR(VLOOKUP(E1172,VOL_REC[],2,FALSE),0)</f>
        <v>0</v>
      </c>
      <c r="AV1172" s="246">
        <f>IFERROR(VLOOKUP(F1172,VOL_REC[],2,FALSE),0)</f>
        <v>11089674.200000001</v>
      </c>
      <c r="AW1172" s="246">
        <f>IFERROR(VLOOKUP(G1172,VOL_REC[],2,FALSE),0)</f>
        <v>90439.55</v>
      </c>
      <c r="AX1172" s="246">
        <f>IFERROR(VLOOKUP(H1172,VOL_REC[],2,FALSE),0)</f>
        <v>15540036.397699751</v>
      </c>
      <c r="AY1172" s="246">
        <f>IFERROR(VLOOKUP(I1172,VOL_REC[],2,FALSE),0)</f>
        <v>3761786</v>
      </c>
      <c r="AZ1172" s="246">
        <f>IFERROR(VLOOKUP(J1172,VOL_REC[],2,FALSE),0)</f>
        <v>240696.79238099116</v>
      </c>
      <c r="BA1172" s="246">
        <f>IFERROR(VLOOKUP(K1172,VOL_REC[],2,FALSE),0)</f>
        <v>17074.045034105649</v>
      </c>
      <c r="BB1172" s="246">
        <f>IFERROR(VLOOKUP(L1172,VOL_REC[],2,FALSE),0)</f>
        <v>740113.98115702497</v>
      </c>
      <c r="BC1172" s="246">
        <f>IFERROR(VLOOKUP(M1172,VOL_REC[],2,FALSE),0)</f>
        <v>0</v>
      </c>
      <c r="BD1172" s="246">
        <f>IFERROR(VLOOKUP(N1172,VOL_REC[],2,FALSE),0)</f>
        <v>0</v>
      </c>
      <c r="BE1172" s="246">
        <f>IFERROR(VLOOKUP(O1172,VOL_REC[],2,FALSE),0)</f>
        <v>0</v>
      </c>
      <c r="BF1172" s="246">
        <f>IFERROR(VLOOKUP(P1172,VOL_REC[],2,FALSE),0)</f>
        <v>0</v>
      </c>
      <c r="BG1172" s="246">
        <f>IFERROR(VLOOKUP(Q1172,VOL_REC[],2,FALSE),0)</f>
        <v>0</v>
      </c>
      <c r="BH1172" s="1710">
        <f t="shared" si="72"/>
        <v>19615592679.519634</v>
      </c>
      <c r="BI1172" s="1710">
        <f t="shared" si="73"/>
        <v>23008248930.710159</v>
      </c>
      <c r="BJ1172" s="1711">
        <f t="shared" si="74"/>
        <v>31479820.966271874</v>
      </c>
      <c r="BK1172" s="1711">
        <f t="shared" si="75"/>
        <v>0.85254609069088294</v>
      </c>
    </row>
    <row r="1173" spans="3:67" x14ac:dyDescent="0.25">
      <c r="C1173" s="246" t="s">
        <v>2523</v>
      </c>
      <c r="D1173" s="246">
        <v>1</v>
      </c>
      <c r="E1173" s="246">
        <v>2</v>
      </c>
      <c r="F1173" s="246">
        <v>3</v>
      </c>
      <c r="G1173" s="246">
        <v>4</v>
      </c>
      <c r="H1173" s="246">
        <v>6</v>
      </c>
      <c r="I1173" s="246">
        <v>9</v>
      </c>
      <c r="J1173" s="246">
        <v>12</v>
      </c>
      <c r="K1173" s="246">
        <v>15</v>
      </c>
      <c r="L1173" s="246">
        <v>16</v>
      </c>
      <c r="M1173" s="246"/>
      <c r="N1173" s="246"/>
      <c r="O1173" s="246"/>
      <c r="P1173" s="246"/>
      <c r="Q1173" s="246"/>
      <c r="R1173" s="246">
        <f>IFERROR(VLOOKUP(D1173,PROGRAMAS[],2,FALSE),0)</f>
        <v>97037803.679377079</v>
      </c>
      <c r="S1173" s="246">
        <f>IFERROR(VLOOKUP(E1173,PROGRAMAS[],2,FALSE),0)</f>
        <v>640501509.6821388</v>
      </c>
      <c r="T1173" s="246">
        <f>IFERROR(VLOOKUP(F1173,PROGRAMAS[],2,FALSE),0)</f>
        <v>3062327798.1525245</v>
      </c>
      <c r="U1173" s="246">
        <f>IFERROR(VLOOKUP(G1173,PROGRAMAS[],2,FALSE),0)</f>
        <v>67697118.033011258</v>
      </c>
      <c r="V1173" s="246">
        <f>IFERROR(VLOOKUP(H1173,PROGRAMAS[],2,FALSE),0)</f>
        <v>6907648435.8447599</v>
      </c>
      <c r="W1173" s="246">
        <f>IFERROR(VLOOKUP(I1173,PROGRAMAS[],2,FALSE),0)</f>
        <v>6128579952.1618185</v>
      </c>
      <c r="X1173" s="246">
        <f>IFERROR(VLOOKUP(J1173,PROGRAMAS[],2,FALSE),0)</f>
        <v>764796700.79905891</v>
      </c>
      <c r="Y1173" s="246">
        <f>IFERROR(VLOOKUP(K1173,PROGRAMAS[],2,FALSE),0)</f>
        <v>122159672.96346797</v>
      </c>
      <c r="Z1173" s="246">
        <f>IFERROR(VLOOKUP(L1173,PROGRAMAS[],2,FALSE),0)</f>
        <v>7068496961.0436354</v>
      </c>
      <c r="AA1173" s="246">
        <f>IFERROR(VLOOKUP(M1173,PROGRAMAS[],2,FALSE),0)</f>
        <v>0</v>
      </c>
      <c r="AB1173" s="246">
        <f>IFERROR(VLOOKUP(N1173,PROGRAMAS[],2,FALSE),0)</f>
        <v>0</v>
      </c>
      <c r="AC1173" s="246">
        <f>IFERROR(VLOOKUP(O1173,PROGRAMAS[],2,FALSE),0)</f>
        <v>0</v>
      </c>
      <c r="AD1173" s="246">
        <f>IFERROR(VLOOKUP(P1173,PROGRAMAS[],2,FALSE),0)</f>
        <v>0</v>
      </c>
      <c r="AE1173" s="246">
        <f>IFERROR(VLOOKUP(Q1173,PROGRAMAS[],2,FALSE),0)</f>
        <v>0</v>
      </c>
      <c r="AF1173" s="246">
        <f>IFERROR(VLOOKUP(D1173,PROGRAMAS[],3,FALSE),0)</f>
        <v>841888629.31080008</v>
      </c>
      <c r="AG1173" s="246">
        <f>IFERROR(VLOOKUP(E1173,PROGRAMAS[],3,FALSE),0)</f>
        <v>3848980803.1642323</v>
      </c>
      <c r="AH1173" s="246">
        <f>IFERROR(VLOOKUP(F1173,PROGRAMAS[],3,FALSE),0)</f>
        <v>3394901471.387517</v>
      </c>
      <c r="AI1173" s="246">
        <f>IFERROR(VLOOKUP(G1173,PROGRAMAS[],3,FALSE),0)</f>
        <v>125317226.95549992</v>
      </c>
      <c r="AJ1173" s="246">
        <f>IFERROR(VLOOKUP(H1173,PROGRAMAS[],3,FALSE),0)</f>
        <v>6129902208.7912121</v>
      </c>
      <c r="AK1173" s="246">
        <f>IFERROR(VLOOKUP(I1173,PROGRAMAS[],3,FALSE),0)</f>
        <v>7011279577.519702</v>
      </c>
      <c r="AL1173" s="246">
        <f>IFERROR(VLOOKUP(J1173,PROGRAMAS[],3,FALSE),0)</f>
        <v>675517840.109828</v>
      </c>
      <c r="AM1173" s="246">
        <f>IFERROR(VLOOKUP(K1173,PROGRAMAS[],3,FALSE),0)</f>
        <v>118617452.52510804</v>
      </c>
      <c r="AN1173" s="246">
        <f>IFERROR(VLOOKUP(L1173,PROGRAMAS[],3,FALSE),0)</f>
        <v>2406564599.0319901</v>
      </c>
      <c r="AO1173" s="246">
        <f>IFERROR(VLOOKUP(M1173,PROGRAMAS[],3,FALSE),0)</f>
        <v>0</v>
      </c>
      <c r="AP1173" s="246">
        <f>IFERROR(VLOOKUP(N1173,PROGRAMAS[],3,FALSE),0)</f>
        <v>0</v>
      </c>
      <c r="AQ1173" s="246">
        <f>IFERROR(VLOOKUP(O1173,PROGRAMAS[],3,FALSE),0)</f>
        <v>0</v>
      </c>
      <c r="AR1173" s="246">
        <f>IFERROR(VLOOKUP(P1173,PROGRAMAS[],3,FALSE),0)</f>
        <v>0</v>
      </c>
      <c r="AS1173" s="246">
        <f>IFERROR(VLOOKUP(Q1173,PROGRAMAS[],3,FALSE),0)</f>
        <v>0</v>
      </c>
      <c r="AT1173" s="246">
        <f>IFERROR(VLOOKUP(D1173,VOL_REC[],2,FALSE),0)</f>
        <v>0</v>
      </c>
      <c r="AU1173" s="246">
        <f>IFERROR(VLOOKUP(E1173,VOL_REC[],2,FALSE),0)</f>
        <v>0</v>
      </c>
      <c r="AV1173" s="246">
        <f>IFERROR(VLOOKUP(F1173,VOL_REC[],2,FALSE),0)</f>
        <v>11089674.200000001</v>
      </c>
      <c r="AW1173" s="246">
        <f>IFERROR(VLOOKUP(G1173,VOL_REC[],2,FALSE),0)</f>
        <v>90439.55</v>
      </c>
      <c r="AX1173" s="246">
        <f>IFERROR(VLOOKUP(H1173,VOL_REC[],2,FALSE),0)</f>
        <v>15540036.397699751</v>
      </c>
      <c r="AY1173" s="246">
        <f>IFERROR(VLOOKUP(I1173,VOL_REC[],2,FALSE),0)</f>
        <v>3761786</v>
      </c>
      <c r="AZ1173" s="246">
        <f>IFERROR(VLOOKUP(J1173,VOL_REC[],2,FALSE),0)</f>
        <v>240696.79238099116</v>
      </c>
      <c r="BA1173" s="246">
        <f>IFERROR(VLOOKUP(K1173,VOL_REC[],2,FALSE),0)</f>
        <v>105072</v>
      </c>
      <c r="BB1173" s="246">
        <f>IFERROR(VLOOKUP(L1173,VOL_REC[],2,FALSE),0)</f>
        <v>1072354.9981737854</v>
      </c>
      <c r="BC1173" s="246">
        <f>IFERROR(VLOOKUP(M1173,VOL_REC[],2,FALSE),0)</f>
        <v>0</v>
      </c>
      <c r="BD1173" s="246">
        <f>IFERROR(VLOOKUP(N1173,VOL_REC[],2,FALSE),0)</f>
        <v>0</v>
      </c>
      <c r="BE1173" s="246">
        <f>IFERROR(VLOOKUP(O1173,VOL_REC[],2,FALSE),0)</f>
        <v>0</v>
      </c>
      <c r="BF1173" s="246">
        <f>IFERROR(VLOOKUP(P1173,VOL_REC[],2,FALSE),0)</f>
        <v>0</v>
      </c>
      <c r="BG1173" s="246">
        <f>IFERROR(VLOOKUP(Q1173,VOL_REC[],2,FALSE),0)</f>
        <v>0</v>
      </c>
      <c r="BH1173" s="1710">
        <f t="shared" si="72"/>
        <v>24859245952.359795</v>
      </c>
      <c r="BI1173" s="1710">
        <f t="shared" si="73"/>
        <v>24552969808.795891</v>
      </c>
      <c r="BJ1173" s="1711">
        <f t="shared" si="74"/>
        <v>31900059.938254528</v>
      </c>
      <c r="BK1173" s="1711">
        <f t="shared" si="75"/>
        <v>1.0124740976732756</v>
      </c>
      <c r="BL1173">
        <f>BJ1173</f>
        <v>31900059.938254528</v>
      </c>
      <c r="BO1173">
        <f>BL1173</f>
        <v>31900059.938254528</v>
      </c>
    </row>
    <row r="1174" spans="3:67" x14ac:dyDescent="0.25">
      <c r="C1174" s="246" t="s">
        <v>2524</v>
      </c>
      <c r="D1174" s="246">
        <v>1</v>
      </c>
      <c r="E1174" s="246">
        <v>2</v>
      </c>
      <c r="F1174" s="246">
        <v>3</v>
      </c>
      <c r="G1174" s="246">
        <v>4</v>
      </c>
      <c r="H1174" s="246">
        <v>6</v>
      </c>
      <c r="I1174" s="246">
        <v>9</v>
      </c>
      <c r="J1174" s="246">
        <v>12</v>
      </c>
      <c r="K1174" s="246">
        <v>15</v>
      </c>
      <c r="L1174" s="246">
        <v>17</v>
      </c>
      <c r="M1174" s="246"/>
      <c r="N1174" s="246"/>
      <c r="O1174" s="246"/>
      <c r="P1174" s="246"/>
      <c r="Q1174" s="246"/>
      <c r="R1174" s="246">
        <f>IFERROR(VLOOKUP(D1174,PROGRAMAS[],2,FALSE),0)</f>
        <v>97037803.679377079</v>
      </c>
      <c r="S1174" s="246">
        <f>IFERROR(VLOOKUP(E1174,PROGRAMAS[],2,FALSE),0)</f>
        <v>640501509.6821388</v>
      </c>
      <c r="T1174" s="246">
        <f>IFERROR(VLOOKUP(F1174,PROGRAMAS[],2,FALSE),0)</f>
        <v>3062327798.1525245</v>
      </c>
      <c r="U1174" s="246">
        <f>IFERROR(VLOOKUP(G1174,PROGRAMAS[],2,FALSE),0)</f>
        <v>67697118.033011258</v>
      </c>
      <c r="V1174" s="246">
        <f>IFERROR(VLOOKUP(H1174,PROGRAMAS[],2,FALSE),0)</f>
        <v>6907648435.8447599</v>
      </c>
      <c r="W1174" s="246">
        <f>IFERROR(VLOOKUP(I1174,PROGRAMAS[],2,FALSE),0)</f>
        <v>6128579952.1618185</v>
      </c>
      <c r="X1174" s="246">
        <f>IFERROR(VLOOKUP(J1174,PROGRAMAS[],2,FALSE),0)</f>
        <v>764796700.79905891</v>
      </c>
      <c r="Y1174" s="246">
        <f>IFERROR(VLOOKUP(K1174,PROGRAMAS[],2,FALSE),0)</f>
        <v>122159672.96346797</v>
      </c>
      <c r="Z1174" s="246">
        <f>IFERROR(VLOOKUP(L1174,PROGRAMAS[],2,FALSE),0)</f>
        <v>1892779498.5211046</v>
      </c>
      <c r="AA1174" s="246">
        <f>IFERROR(VLOOKUP(M1174,PROGRAMAS[],2,FALSE),0)</f>
        <v>0</v>
      </c>
      <c r="AB1174" s="246">
        <f>IFERROR(VLOOKUP(N1174,PROGRAMAS[],2,FALSE),0)</f>
        <v>0</v>
      </c>
      <c r="AC1174" s="246">
        <f>IFERROR(VLOOKUP(O1174,PROGRAMAS[],2,FALSE),0)</f>
        <v>0</v>
      </c>
      <c r="AD1174" s="246">
        <f>IFERROR(VLOOKUP(P1174,PROGRAMAS[],2,FALSE),0)</f>
        <v>0</v>
      </c>
      <c r="AE1174" s="246">
        <f>IFERROR(VLOOKUP(Q1174,PROGRAMAS[],2,FALSE),0)</f>
        <v>0</v>
      </c>
      <c r="AF1174" s="246">
        <f>IFERROR(VLOOKUP(D1174,PROGRAMAS[],3,FALSE),0)</f>
        <v>841888629.31080008</v>
      </c>
      <c r="AG1174" s="246">
        <f>IFERROR(VLOOKUP(E1174,PROGRAMAS[],3,FALSE),0)</f>
        <v>3848980803.1642323</v>
      </c>
      <c r="AH1174" s="246">
        <f>IFERROR(VLOOKUP(F1174,PROGRAMAS[],3,FALSE),0)</f>
        <v>3394901471.387517</v>
      </c>
      <c r="AI1174" s="246">
        <f>IFERROR(VLOOKUP(G1174,PROGRAMAS[],3,FALSE),0)</f>
        <v>125317226.95549992</v>
      </c>
      <c r="AJ1174" s="246">
        <f>IFERROR(VLOOKUP(H1174,PROGRAMAS[],3,FALSE),0)</f>
        <v>6129902208.7912121</v>
      </c>
      <c r="AK1174" s="246">
        <f>IFERROR(VLOOKUP(I1174,PROGRAMAS[],3,FALSE),0)</f>
        <v>7011279577.519702</v>
      </c>
      <c r="AL1174" s="246">
        <f>IFERROR(VLOOKUP(J1174,PROGRAMAS[],3,FALSE),0)</f>
        <v>675517840.109828</v>
      </c>
      <c r="AM1174" s="246">
        <f>IFERROR(VLOOKUP(K1174,PROGRAMAS[],3,FALSE),0)</f>
        <v>118617452.52510804</v>
      </c>
      <c r="AN1174" s="246">
        <f>IFERROR(VLOOKUP(L1174,PROGRAMAS[],3,FALSE),0)</f>
        <v>948595847.09039903</v>
      </c>
      <c r="AO1174" s="246">
        <f>IFERROR(VLOOKUP(M1174,PROGRAMAS[],3,FALSE),0)</f>
        <v>0</v>
      </c>
      <c r="AP1174" s="246">
        <f>IFERROR(VLOOKUP(N1174,PROGRAMAS[],3,FALSE),0)</f>
        <v>0</v>
      </c>
      <c r="AQ1174" s="246">
        <f>IFERROR(VLOOKUP(O1174,PROGRAMAS[],3,FALSE),0)</f>
        <v>0</v>
      </c>
      <c r="AR1174" s="246">
        <f>IFERROR(VLOOKUP(P1174,PROGRAMAS[],3,FALSE),0)</f>
        <v>0</v>
      </c>
      <c r="AS1174" s="246">
        <f>IFERROR(VLOOKUP(Q1174,PROGRAMAS[],3,FALSE),0)</f>
        <v>0</v>
      </c>
      <c r="AT1174" s="246">
        <f>IFERROR(VLOOKUP(D1174,VOL_REC[],2,FALSE),0)</f>
        <v>0</v>
      </c>
      <c r="AU1174" s="246">
        <f>IFERROR(VLOOKUP(E1174,VOL_REC[],2,FALSE),0)</f>
        <v>0</v>
      </c>
      <c r="AV1174" s="246">
        <f>IFERROR(VLOOKUP(F1174,VOL_REC[],2,FALSE),0)</f>
        <v>11089674.200000001</v>
      </c>
      <c r="AW1174" s="246">
        <f>IFERROR(VLOOKUP(G1174,VOL_REC[],2,FALSE),0)</f>
        <v>90439.55</v>
      </c>
      <c r="AX1174" s="246">
        <f>IFERROR(VLOOKUP(H1174,VOL_REC[],2,FALSE),0)</f>
        <v>15540036.397699751</v>
      </c>
      <c r="AY1174" s="246">
        <f>IFERROR(VLOOKUP(I1174,VOL_REC[],2,FALSE),0)</f>
        <v>3761786</v>
      </c>
      <c r="AZ1174" s="246">
        <f>IFERROR(VLOOKUP(J1174,VOL_REC[],2,FALSE),0)</f>
        <v>240696.79238099116</v>
      </c>
      <c r="BA1174" s="246">
        <f>IFERROR(VLOOKUP(K1174,VOL_REC[],2,FALSE),0)</f>
        <v>105072</v>
      </c>
      <c r="BB1174" s="246">
        <f>IFERROR(VLOOKUP(L1174,VOL_REC[],2,FALSE),0)</f>
        <v>740113.98115702497</v>
      </c>
      <c r="BC1174" s="246">
        <f>IFERROR(VLOOKUP(M1174,VOL_REC[],2,FALSE),0)</f>
        <v>0</v>
      </c>
      <c r="BD1174" s="246">
        <f>IFERROR(VLOOKUP(N1174,VOL_REC[],2,FALSE),0)</f>
        <v>0</v>
      </c>
      <c r="BE1174" s="246">
        <f>IFERROR(VLOOKUP(O1174,VOL_REC[],2,FALSE),0)</f>
        <v>0</v>
      </c>
      <c r="BF1174" s="246">
        <f>IFERROR(VLOOKUP(P1174,VOL_REC[],2,FALSE),0)</f>
        <v>0</v>
      </c>
      <c r="BG1174" s="246">
        <f>IFERROR(VLOOKUP(Q1174,VOL_REC[],2,FALSE),0)</f>
        <v>0</v>
      </c>
      <c r="BH1174" s="1710">
        <f t="shared" si="72"/>
        <v>19683528489.837261</v>
      </c>
      <c r="BI1174" s="1710">
        <f t="shared" si="73"/>
        <v>23095001056.854301</v>
      </c>
      <c r="BJ1174" s="1711">
        <f t="shared" si="74"/>
        <v>31567818.921237767</v>
      </c>
      <c r="BK1174" s="1711">
        <f t="shared" si="75"/>
        <v>0.85228523875713103</v>
      </c>
    </row>
    <row r="1175" spans="3:67" x14ac:dyDescent="0.25">
      <c r="C1175" s="246" t="s">
        <v>2525</v>
      </c>
      <c r="D1175" s="246">
        <v>1</v>
      </c>
      <c r="E1175" s="246">
        <v>2</v>
      </c>
      <c r="F1175" s="246">
        <v>3</v>
      </c>
      <c r="G1175" s="246">
        <v>4</v>
      </c>
      <c r="H1175" s="246">
        <v>6</v>
      </c>
      <c r="I1175" s="246">
        <v>9</v>
      </c>
      <c r="J1175" s="246">
        <v>12</v>
      </c>
      <c r="K1175" s="246">
        <v>16</v>
      </c>
      <c r="L1175" s="246">
        <v>17</v>
      </c>
      <c r="M1175" s="246"/>
      <c r="N1175" s="246"/>
      <c r="O1175" s="246"/>
      <c r="P1175" s="246"/>
      <c r="Q1175" s="246"/>
      <c r="R1175" s="246">
        <f>IFERROR(VLOOKUP(D1175,PROGRAMAS[],2,FALSE),0)</f>
        <v>97037803.679377079</v>
      </c>
      <c r="S1175" s="246">
        <f>IFERROR(VLOOKUP(E1175,PROGRAMAS[],2,FALSE),0)</f>
        <v>640501509.6821388</v>
      </c>
      <c r="T1175" s="246">
        <f>IFERROR(VLOOKUP(F1175,PROGRAMAS[],2,FALSE),0)</f>
        <v>3062327798.1525245</v>
      </c>
      <c r="U1175" s="246">
        <f>IFERROR(VLOOKUP(G1175,PROGRAMAS[],2,FALSE),0)</f>
        <v>67697118.033011258</v>
      </c>
      <c r="V1175" s="246">
        <f>IFERROR(VLOOKUP(H1175,PROGRAMAS[],2,FALSE),0)</f>
        <v>6907648435.8447599</v>
      </c>
      <c r="W1175" s="246">
        <f>IFERROR(VLOOKUP(I1175,PROGRAMAS[],2,FALSE),0)</f>
        <v>6128579952.1618185</v>
      </c>
      <c r="X1175" s="246">
        <f>IFERROR(VLOOKUP(J1175,PROGRAMAS[],2,FALSE),0)</f>
        <v>764796700.79905891</v>
      </c>
      <c r="Y1175" s="246">
        <f>IFERROR(VLOOKUP(K1175,PROGRAMAS[],2,FALSE),0)</f>
        <v>7068496961.0436354</v>
      </c>
      <c r="Z1175" s="246">
        <f>IFERROR(VLOOKUP(L1175,PROGRAMAS[],2,FALSE),0)</f>
        <v>1892779498.5211046</v>
      </c>
      <c r="AA1175" s="246">
        <f>IFERROR(VLOOKUP(M1175,PROGRAMAS[],2,FALSE),0)</f>
        <v>0</v>
      </c>
      <c r="AB1175" s="246">
        <f>IFERROR(VLOOKUP(N1175,PROGRAMAS[],2,FALSE),0)</f>
        <v>0</v>
      </c>
      <c r="AC1175" s="246">
        <f>IFERROR(VLOOKUP(O1175,PROGRAMAS[],2,FALSE),0)</f>
        <v>0</v>
      </c>
      <c r="AD1175" s="246">
        <f>IFERROR(VLOOKUP(P1175,PROGRAMAS[],2,FALSE),0)</f>
        <v>0</v>
      </c>
      <c r="AE1175" s="246">
        <f>IFERROR(VLOOKUP(Q1175,PROGRAMAS[],2,FALSE),0)</f>
        <v>0</v>
      </c>
      <c r="AF1175" s="246">
        <f>IFERROR(VLOOKUP(D1175,PROGRAMAS[],3,FALSE),0)</f>
        <v>841888629.31080008</v>
      </c>
      <c r="AG1175" s="246">
        <f>IFERROR(VLOOKUP(E1175,PROGRAMAS[],3,FALSE),0)</f>
        <v>3848980803.1642323</v>
      </c>
      <c r="AH1175" s="246">
        <f>IFERROR(VLOOKUP(F1175,PROGRAMAS[],3,FALSE),0)</f>
        <v>3394901471.387517</v>
      </c>
      <c r="AI1175" s="246">
        <f>IFERROR(VLOOKUP(G1175,PROGRAMAS[],3,FALSE),0)</f>
        <v>125317226.95549992</v>
      </c>
      <c r="AJ1175" s="246">
        <f>IFERROR(VLOOKUP(H1175,PROGRAMAS[],3,FALSE),0)</f>
        <v>6129902208.7912121</v>
      </c>
      <c r="AK1175" s="246">
        <f>IFERROR(VLOOKUP(I1175,PROGRAMAS[],3,FALSE),0)</f>
        <v>7011279577.519702</v>
      </c>
      <c r="AL1175" s="246">
        <f>IFERROR(VLOOKUP(J1175,PROGRAMAS[],3,FALSE),0)</f>
        <v>675517840.109828</v>
      </c>
      <c r="AM1175" s="246">
        <f>IFERROR(VLOOKUP(K1175,PROGRAMAS[],3,FALSE),0)</f>
        <v>2406564599.0319901</v>
      </c>
      <c r="AN1175" s="246">
        <f>IFERROR(VLOOKUP(L1175,PROGRAMAS[],3,FALSE),0)</f>
        <v>948595847.09039903</v>
      </c>
      <c r="AO1175" s="246">
        <f>IFERROR(VLOOKUP(M1175,PROGRAMAS[],3,FALSE),0)</f>
        <v>0</v>
      </c>
      <c r="AP1175" s="246">
        <f>IFERROR(VLOOKUP(N1175,PROGRAMAS[],3,FALSE),0)</f>
        <v>0</v>
      </c>
      <c r="AQ1175" s="246">
        <f>IFERROR(VLOOKUP(O1175,PROGRAMAS[],3,FALSE),0)</f>
        <v>0</v>
      </c>
      <c r="AR1175" s="246">
        <f>IFERROR(VLOOKUP(P1175,PROGRAMAS[],3,FALSE),0)</f>
        <v>0</v>
      </c>
      <c r="AS1175" s="246">
        <f>IFERROR(VLOOKUP(Q1175,PROGRAMAS[],3,FALSE),0)</f>
        <v>0</v>
      </c>
      <c r="AT1175" s="246">
        <f>IFERROR(VLOOKUP(D1175,VOL_REC[],2,FALSE),0)</f>
        <v>0</v>
      </c>
      <c r="AU1175" s="246">
        <f>IFERROR(VLOOKUP(E1175,VOL_REC[],2,FALSE),0)</f>
        <v>0</v>
      </c>
      <c r="AV1175" s="246">
        <f>IFERROR(VLOOKUP(F1175,VOL_REC[],2,FALSE),0)</f>
        <v>11089674.200000001</v>
      </c>
      <c r="AW1175" s="246">
        <f>IFERROR(VLOOKUP(G1175,VOL_REC[],2,FALSE),0)</f>
        <v>90439.55</v>
      </c>
      <c r="AX1175" s="246">
        <f>IFERROR(VLOOKUP(H1175,VOL_REC[],2,FALSE),0)</f>
        <v>15540036.397699751</v>
      </c>
      <c r="AY1175" s="246">
        <f>IFERROR(VLOOKUP(I1175,VOL_REC[],2,FALSE),0)</f>
        <v>3761786</v>
      </c>
      <c r="AZ1175" s="246">
        <f>IFERROR(VLOOKUP(J1175,VOL_REC[],2,FALSE),0)</f>
        <v>240696.79238099116</v>
      </c>
      <c r="BA1175" s="246">
        <f>IFERROR(VLOOKUP(K1175,VOL_REC[],2,FALSE),0)</f>
        <v>1072354.9981737854</v>
      </c>
      <c r="BB1175" s="246">
        <f>IFERROR(VLOOKUP(L1175,VOL_REC[],2,FALSE),0)</f>
        <v>740113.98115702497</v>
      </c>
      <c r="BC1175" s="246">
        <f>IFERROR(VLOOKUP(M1175,VOL_REC[],2,FALSE),0)</f>
        <v>0</v>
      </c>
      <c r="BD1175" s="246">
        <f>IFERROR(VLOOKUP(N1175,VOL_REC[],2,FALSE),0)</f>
        <v>0</v>
      </c>
      <c r="BE1175" s="246">
        <f>IFERROR(VLOOKUP(O1175,VOL_REC[],2,FALSE),0)</f>
        <v>0</v>
      </c>
      <c r="BF1175" s="246">
        <f>IFERROR(VLOOKUP(P1175,VOL_REC[],2,FALSE),0)</f>
        <v>0</v>
      </c>
      <c r="BG1175" s="246">
        <f>IFERROR(VLOOKUP(Q1175,VOL_REC[],2,FALSE),0)</f>
        <v>0</v>
      </c>
      <c r="BH1175" s="1710">
        <f t="shared" si="72"/>
        <v>26629865777.917431</v>
      </c>
      <c r="BI1175" s="1710">
        <f t="shared" si="73"/>
        <v>25382948203.361183</v>
      </c>
      <c r="BJ1175" s="1711">
        <f t="shared" si="74"/>
        <v>32535101.919411551</v>
      </c>
      <c r="BK1175" s="1711">
        <f t="shared" si="75"/>
        <v>1.0491242216848211</v>
      </c>
      <c r="BL1175">
        <f>BJ1175</f>
        <v>32535101.919411551</v>
      </c>
      <c r="BO1175">
        <f>BL1175</f>
        <v>32535101.919411551</v>
      </c>
    </row>
    <row r="1176" spans="3:67" x14ac:dyDescent="0.25">
      <c r="C1176" s="246" t="s">
        <v>2526</v>
      </c>
      <c r="D1176" s="246">
        <v>1</v>
      </c>
      <c r="E1176" s="246">
        <v>2</v>
      </c>
      <c r="F1176" s="246">
        <v>3</v>
      </c>
      <c r="G1176" s="246">
        <v>4</v>
      </c>
      <c r="H1176" s="246">
        <v>6</v>
      </c>
      <c r="I1176" s="246">
        <v>9</v>
      </c>
      <c r="J1176" s="246">
        <v>13</v>
      </c>
      <c r="K1176" s="246">
        <v>14</v>
      </c>
      <c r="L1176" s="246">
        <v>15</v>
      </c>
      <c r="M1176" s="246"/>
      <c r="N1176" s="246"/>
      <c r="O1176" s="246"/>
      <c r="P1176" s="246"/>
      <c r="Q1176" s="246"/>
      <c r="R1176" s="246">
        <f>IFERROR(VLOOKUP(D1176,PROGRAMAS[],2,FALSE),0)</f>
        <v>97037803.679377079</v>
      </c>
      <c r="S1176" s="246">
        <f>IFERROR(VLOOKUP(E1176,PROGRAMAS[],2,FALSE),0)</f>
        <v>640501509.6821388</v>
      </c>
      <c r="T1176" s="246">
        <f>IFERROR(VLOOKUP(F1176,PROGRAMAS[],2,FALSE),0)</f>
        <v>3062327798.1525245</v>
      </c>
      <c r="U1176" s="246">
        <f>IFERROR(VLOOKUP(G1176,PROGRAMAS[],2,FALSE),0)</f>
        <v>67697118.033011258</v>
      </c>
      <c r="V1176" s="246">
        <f>IFERROR(VLOOKUP(H1176,PROGRAMAS[],2,FALSE),0)</f>
        <v>6907648435.8447599</v>
      </c>
      <c r="W1176" s="246">
        <f>IFERROR(VLOOKUP(I1176,PROGRAMAS[],2,FALSE),0)</f>
        <v>6128579952.1618185</v>
      </c>
      <c r="X1176" s="246">
        <f>IFERROR(VLOOKUP(J1176,PROGRAMAS[],2,FALSE),0)</f>
        <v>3776538594.4604583</v>
      </c>
      <c r="Y1176" s="246">
        <f>IFERROR(VLOOKUP(K1176,PROGRAMAS[],2,FALSE),0)</f>
        <v>54223862.645839565</v>
      </c>
      <c r="Z1176" s="246">
        <f>IFERROR(VLOOKUP(L1176,PROGRAMAS[],2,FALSE),0)</f>
        <v>122159672.96346797</v>
      </c>
      <c r="AA1176" s="246">
        <f>IFERROR(VLOOKUP(M1176,PROGRAMAS[],2,FALSE),0)</f>
        <v>0</v>
      </c>
      <c r="AB1176" s="246">
        <f>IFERROR(VLOOKUP(N1176,PROGRAMAS[],2,FALSE),0)</f>
        <v>0</v>
      </c>
      <c r="AC1176" s="246">
        <f>IFERROR(VLOOKUP(O1176,PROGRAMAS[],2,FALSE),0)</f>
        <v>0</v>
      </c>
      <c r="AD1176" s="246">
        <f>IFERROR(VLOOKUP(P1176,PROGRAMAS[],2,FALSE),0)</f>
        <v>0</v>
      </c>
      <c r="AE1176" s="246">
        <f>IFERROR(VLOOKUP(Q1176,PROGRAMAS[],2,FALSE),0)</f>
        <v>0</v>
      </c>
      <c r="AF1176" s="246">
        <f>IFERROR(VLOOKUP(D1176,PROGRAMAS[],3,FALSE),0)</f>
        <v>841888629.31080008</v>
      </c>
      <c r="AG1176" s="246">
        <f>IFERROR(VLOOKUP(E1176,PROGRAMAS[],3,FALSE),0)</f>
        <v>3848980803.1642323</v>
      </c>
      <c r="AH1176" s="246">
        <f>IFERROR(VLOOKUP(F1176,PROGRAMAS[],3,FALSE),0)</f>
        <v>3394901471.387517</v>
      </c>
      <c r="AI1176" s="246">
        <f>IFERROR(VLOOKUP(G1176,PROGRAMAS[],3,FALSE),0)</f>
        <v>125317226.95549992</v>
      </c>
      <c r="AJ1176" s="246">
        <f>IFERROR(VLOOKUP(H1176,PROGRAMAS[],3,FALSE),0)</f>
        <v>6129902208.7912121</v>
      </c>
      <c r="AK1176" s="246">
        <f>IFERROR(VLOOKUP(I1176,PROGRAMAS[],3,FALSE),0)</f>
        <v>7011279577.519702</v>
      </c>
      <c r="AL1176" s="246">
        <f>IFERROR(VLOOKUP(J1176,PROGRAMAS[],3,FALSE),0)</f>
        <v>2392571243.5584412</v>
      </c>
      <c r="AM1176" s="246">
        <f>IFERROR(VLOOKUP(K1176,PROGRAMAS[],3,FALSE),0)</f>
        <v>31865326.38096505</v>
      </c>
      <c r="AN1176" s="246">
        <f>IFERROR(VLOOKUP(L1176,PROGRAMAS[],3,FALSE),0)</f>
        <v>118617452.52510804</v>
      </c>
      <c r="AO1176" s="246">
        <f>IFERROR(VLOOKUP(M1176,PROGRAMAS[],3,FALSE),0)</f>
        <v>0</v>
      </c>
      <c r="AP1176" s="246">
        <f>IFERROR(VLOOKUP(N1176,PROGRAMAS[],3,FALSE),0)</f>
        <v>0</v>
      </c>
      <c r="AQ1176" s="246">
        <f>IFERROR(VLOOKUP(O1176,PROGRAMAS[],3,FALSE),0)</f>
        <v>0</v>
      </c>
      <c r="AR1176" s="246">
        <f>IFERROR(VLOOKUP(P1176,PROGRAMAS[],3,FALSE),0)</f>
        <v>0</v>
      </c>
      <c r="AS1176" s="246">
        <f>IFERROR(VLOOKUP(Q1176,PROGRAMAS[],3,FALSE),0)</f>
        <v>0</v>
      </c>
      <c r="AT1176" s="246">
        <f>IFERROR(VLOOKUP(D1176,VOL_REC[],2,FALSE),0)</f>
        <v>0</v>
      </c>
      <c r="AU1176" s="246">
        <f>IFERROR(VLOOKUP(E1176,VOL_REC[],2,FALSE),0)</f>
        <v>0</v>
      </c>
      <c r="AV1176" s="246">
        <f>IFERROR(VLOOKUP(F1176,VOL_REC[],2,FALSE),0)</f>
        <v>11089674.200000001</v>
      </c>
      <c r="AW1176" s="246">
        <f>IFERROR(VLOOKUP(G1176,VOL_REC[],2,FALSE),0)</f>
        <v>90439.55</v>
      </c>
      <c r="AX1176" s="246">
        <f>IFERROR(VLOOKUP(H1176,VOL_REC[],2,FALSE),0)</f>
        <v>15540036.397699751</v>
      </c>
      <c r="AY1176" s="246">
        <f>IFERROR(VLOOKUP(I1176,VOL_REC[],2,FALSE),0)</f>
        <v>3761786</v>
      </c>
      <c r="AZ1176" s="246">
        <f>IFERROR(VLOOKUP(J1176,VOL_REC[],2,FALSE),0)</f>
        <v>663244.80000000016</v>
      </c>
      <c r="BA1176" s="246">
        <f>IFERROR(VLOOKUP(K1176,VOL_REC[],2,FALSE),0)</f>
        <v>17074.045034105649</v>
      </c>
      <c r="BB1176" s="246">
        <f>IFERROR(VLOOKUP(L1176,VOL_REC[],2,FALSE),0)</f>
        <v>105072</v>
      </c>
      <c r="BC1176" s="246">
        <f>IFERROR(VLOOKUP(M1176,VOL_REC[],2,FALSE),0)</f>
        <v>0</v>
      </c>
      <c r="BD1176" s="246">
        <f>IFERROR(VLOOKUP(N1176,VOL_REC[],2,FALSE),0)</f>
        <v>0</v>
      </c>
      <c r="BE1176" s="246">
        <f>IFERROR(VLOOKUP(O1176,VOL_REC[],2,FALSE),0)</f>
        <v>0</v>
      </c>
      <c r="BF1176" s="246">
        <f>IFERROR(VLOOKUP(P1176,VOL_REC[],2,FALSE),0)</f>
        <v>0</v>
      </c>
      <c r="BG1176" s="246">
        <f>IFERROR(VLOOKUP(Q1176,VOL_REC[],2,FALSE),0)</f>
        <v>0</v>
      </c>
      <c r="BH1176" s="1710">
        <f t="shared" si="72"/>
        <v>20856714747.623394</v>
      </c>
      <c r="BI1176" s="1710">
        <f t="shared" si="73"/>
        <v>23895323939.593479</v>
      </c>
      <c r="BJ1176" s="1711">
        <f t="shared" si="74"/>
        <v>31267326.992733859</v>
      </c>
      <c r="BK1176" s="1711">
        <f t="shared" si="75"/>
        <v>0.87283666044237018</v>
      </c>
    </row>
    <row r="1177" spans="3:67" x14ac:dyDescent="0.25">
      <c r="C1177" s="246" t="s">
        <v>2527</v>
      </c>
      <c r="D1177" s="246">
        <v>1</v>
      </c>
      <c r="E1177" s="246">
        <v>2</v>
      </c>
      <c r="F1177" s="246">
        <v>3</v>
      </c>
      <c r="G1177" s="246">
        <v>4</v>
      </c>
      <c r="H1177" s="246">
        <v>6</v>
      </c>
      <c r="I1177" s="246">
        <v>9</v>
      </c>
      <c r="J1177" s="246">
        <v>13</v>
      </c>
      <c r="K1177" s="246">
        <v>14</v>
      </c>
      <c r="L1177" s="246">
        <v>16</v>
      </c>
      <c r="M1177" s="246"/>
      <c r="N1177" s="246"/>
      <c r="O1177" s="246"/>
      <c r="P1177" s="246"/>
      <c r="Q1177" s="246"/>
      <c r="R1177" s="246">
        <f>IFERROR(VLOOKUP(D1177,PROGRAMAS[],2,FALSE),0)</f>
        <v>97037803.679377079</v>
      </c>
      <c r="S1177" s="246">
        <f>IFERROR(VLOOKUP(E1177,PROGRAMAS[],2,FALSE),0)</f>
        <v>640501509.6821388</v>
      </c>
      <c r="T1177" s="246">
        <f>IFERROR(VLOOKUP(F1177,PROGRAMAS[],2,FALSE),0)</f>
        <v>3062327798.1525245</v>
      </c>
      <c r="U1177" s="246">
        <f>IFERROR(VLOOKUP(G1177,PROGRAMAS[],2,FALSE),0)</f>
        <v>67697118.033011258</v>
      </c>
      <c r="V1177" s="246">
        <f>IFERROR(VLOOKUP(H1177,PROGRAMAS[],2,FALSE),0)</f>
        <v>6907648435.8447599</v>
      </c>
      <c r="W1177" s="246">
        <f>IFERROR(VLOOKUP(I1177,PROGRAMAS[],2,FALSE),0)</f>
        <v>6128579952.1618185</v>
      </c>
      <c r="X1177" s="246">
        <f>IFERROR(VLOOKUP(J1177,PROGRAMAS[],2,FALSE),0)</f>
        <v>3776538594.4604583</v>
      </c>
      <c r="Y1177" s="246">
        <f>IFERROR(VLOOKUP(K1177,PROGRAMAS[],2,FALSE),0)</f>
        <v>54223862.645839565</v>
      </c>
      <c r="Z1177" s="246">
        <f>IFERROR(VLOOKUP(L1177,PROGRAMAS[],2,FALSE),0)</f>
        <v>7068496961.0436354</v>
      </c>
      <c r="AA1177" s="246">
        <f>IFERROR(VLOOKUP(M1177,PROGRAMAS[],2,FALSE),0)</f>
        <v>0</v>
      </c>
      <c r="AB1177" s="246">
        <f>IFERROR(VLOOKUP(N1177,PROGRAMAS[],2,FALSE),0)</f>
        <v>0</v>
      </c>
      <c r="AC1177" s="246">
        <f>IFERROR(VLOOKUP(O1177,PROGRAMAS[],2,FALSE),0)</f>
        <v>0</v>
      </c>
      <c r="AD1177" s="246">
        <f>IFERROR(VLOOKUP(P1177,PROGRAMAS[],2,FALSE),0)</f>
        <v>0</v>
      </c>
      <c r="AE1177" s="246">
        <f>IFERROR(VLOOKUP(Q1177,PROGRAMAS[],2,FALSE),0)</f>
        <v>0</v>
      </c>
      <c r="AF1177" s="246">
        <f>IFERROR(VLOOKUP(D1177,PROGRAMAS[],3,FALSE),0)</f>
        <v>841888629.31080008</v>
      </c>
      <c r="AG1177" s="246">
        <f>IFERROR(VLOOKUP(E1177,PROGRAMAS[],3,FALSE),0)</f>
        <v>3848980803.1642323</v>
      </c>
      <c r="AH1177" s="246">
        <f>IFERROR(VLOOKUP(F1177,PROGRAMAS[],3,FALSE),0)</f>
        <v>3394901471.387517</v>
      </c>
      <c r="AI1177" s="246">
        <f>IFERROR(VLOOKUP(G1177,PROGRAMAS[],3,FALSE),0)</f>
        <v>125317226.95549992</v>
      </c>
      <c r="AJ1177" s="246">
        <f>IFERROR(VLOOKUP(H1177,PROGRAMAS[],3,FALSE),0)</f>
        <v>6129902208.7912121</v>
      </c>
      <c r="AK1177" s="246">
        <f>IFERROR(VLOOKUP(I1177,PROGRAMAS[],3,FALSE),0)</f>
        <v>7011279577.519702</v>
      </c>
      <c r="AL1177" s="246">
        <f>IFERROR(VLOOKUP(J1177,PROGRAMAS[],3,FALSE),0)</f>
        <v>2392571243.5584412</v>
      </c>
      <c r="AM1177" s="246">
        <f>IFERROR(VLOOKUP(K1177,PROGRAMAS[],3,FALSE),0)</f>
        <v>31865326.38096505</v>
      </c>
      <c r="AN1177" s="246">
        <f>IFERROR(VLOOKUP(L1177,PROGRAMAS[],3,FALSE),0)</f>
        <v>2406564599.0319901</v>
      </c>
      <c r="AO1177" s="246">
        <f>IFERROR(VLOOKUP(M1177,PROGRAMAS[],3,FALSE),0)</f>
        <v>0</v>
      </c>
      <c r="AP1177" s="246">
        <f>IFERROR(VLOOKUP(N1177,PROGRAMAS[],3,FALSE),0)</f>
        <v>0</v>
      </c>
      <c r="AQ1177" s="246">
        <f>IFERROR(VLOOKUP(O1177,PROGRAMAS[],3,FALSE),0)</f>
        <v>0</v>
      </c>
      <c r="AR1177" s="246">
        <f>IFERROR(VLOOKUP(P1177,PROGRAMAS[],3,FALSE),0)</f>
        <v>0</v>
      </c>
      <c r="AS1177" s="246">
        <f>IFERROR(VLOOKUP(Q1177,PROGRAMAS[],3,FALSE),0)</f>
        <v>0</v>
      </c>
      <c r="AT1177" s="246">
        <f>IFERROR(VLOOKUP(D1177,VOL_REC[],2,FALSE),0)</f>
        <v>0</v>
      </c>
      <c r="AU1177" s="246">
        <f>IFERROR(VLOOKUP(E1177,VOL_REC[],2,FALSE),0)</f>
        <v>0</v>
      </c>
      <c r="AV1177" s="246">
        <f>IFERROR(VLOOKUP(F1177,VOL_REC[],2,FALSE),0)</f>
        <v>11089674.200000001</v>
      </c>
      <c r="AW1177" s="246">
        <f>IFERROR(VLOOKUP(G1177,VOL_REC[],2,FALSE),0)</f>
        <v>90439.55</v>
      </c>
      <c r="AX1177" s="246">
        <f>IFERROR(VLOOKUP(H1177,VOL_REC[],2,FALSE),0)</f>
        <v>15540036.397699751</v>
      </c>
      <c r="AY1177" s="246">
        <f>IFERROR(VLOOKUP(I1177,VOL_REC[],2,FALSE),0)</f>
        <v>3761786</v>
      </c>
      <c r="AZ1177" s="246">
        <f>IFERROR(VLOOKUP(J1177,VOL_REC[],2,FALSE),0)</f>
        <v>663244.80000000016</v>
      </c>
      <c r="BA1177" s="246">
        <f>IFERROR(VLOOKUP(K1177,VOL_REC[],2,FALSE),0)</f>
        <v>17074.045034105649</v>
      </c>
      <c r="BB1177" s="246">
        <f>IFERROR(VLOOKUP(L1177,VOL_REC[],2,FALSE),0)</f>
        <v>1072354.9981737854</v>
      </c>
      <c r="BC1177" s="246">
        <f>IFERROR(VLOOKUP(M1177,VOL_REC[],2,FALSE),0)</f>
        <v>0</v>
      </c>
      <c r="BD1177" s="246">
        <f>IFERROR(VLOOKUP(N1177,VOL_REC[],2,FALSE),0)</f>
        <v>0</v>
      </c>
      <c r="BE1177" s="246">
        <f>IFERROR(VLOOKUP(O1177,VOL_REC[],2,FALSE),0)</f>
        <v>0</v>
      </c>
      <c r="BF1177" s="246">
        <f>IFERROR(VLOOKUP(P1177,VOL_REC[],2,FALSE),0)</f>
        <v>0</v>
      </c>
      <c r="BG1177" s="246">
        <f>IFERROR(VLOOKUP(Q1177,VOL_REC[],2,FALSE),0)</f>
        <v>0</v>
      </c>
      <c r="BH1177" s="1710">
        <f t="shared" si="72"/>
        <v>27803052035.703564</v>
      </c>
      <c r="BI1177" s="1710">
        <f t="shared" si="73"/>
        <v>26183271086.100361</v>
      </c>
      <c r="BJ1177" s="1711">
        <f t="shared" si="74"/>
        <v>32234609.990907643</v>
      </c>
      <c r="BK1177" s="1711">
        <f t="shared" si="75"/>
        <v>1.0618632005251276</v>
      </c>
      <c r="BL1177">
        <f>BJ1177</f>
        <v>32234609.990907643</v>
      </c>
      <c r="BO1177">
        <f>BL1177</f>
        <v>32234609.990907643</v>
      </c>
    </row>
    <row r="1178" spans="3:67" x14ac:dyDescent="0.25">
      <c r="C1178" s="246" t="s">
        <v>2528</v>
      </c>
      <c r="D1178" s="246">
        <v>1</v>
      </c>
      <c r="E1178" s="246">
        <v>2</v>
      </c>
      <c r="F1178" s="246">
        <v>3</v>
      </c>
      <c r="G1178" s="246">
        <v>4</v>
      </c>
      <c r="H1178" s="246">
        <v>6</v>
      </c>
      <c r="I1178" s="246">
        <v>9</v>
      </c>
      <c r="J1178" s="246">
        <v>13</v>
      </c>
      <c r="K1178" s="246">
        <v>14</v>
      </c>
      <c r="L1178" s="246">
        <v>17</v>
      </c>
      <c r="M1178" s="246"/>
      <c r="N1178" s="246"/>
      <c r="O1178" s="246"/>
      <c r="P1178" s="246"/>
      <c r="Q1178" s="246"/>
      <c r="R1178" s="246">
        <f>IFERROR(VLOOKUP(D1178,PROGRAMAS[],2,FALSE),0)</f>
        <v>97037803.679377079</v>
      </c>
      <c r="S1178" s="246">
        <f>IFERROR(VLOOKUP(E1178,PROGRAMAS[],2,FALSE),0)</f>
        <v>640501509.6821388</v>
      </c>
      <c r="T1178" s="246">
        <f>IFERROR(VLOOKUP(F1178,PROGRAMAS[],2,FALSE),0)</f>
        <v>3062327798.1525245</v>
      </c>
      <c r="U1178" s="246">
        <f>IFERROR(VLOOKUP(G1178,PROGRAMAS[],2,FALSE),0)</f>
        <v>67697118.033011258</v>
      </c>
      <c r="V1178" s="246">
        <f>IFERROR(VLOOKUP(H1178,PROGRAMAS[],2,FALSE),0)</f>
        <v>6907648435.8447599</v>
      </c>
      <c r="W1178" s="246">
        <f>IFERROR(VLOOKUP(I1178,PROGRAMAS[],2,FALSE),0)</f>
        <v>6128579952.1618185</v>
      </c>
      <c r="X1178" s="246">
        <f>IFERROR(VLOOKUP(J1178,PROGRAMAS[],2,FALSE),0)</f>
        <v>3776538594.4604583</v>
      </c>
      <c r="Y1178" s="246">
        <f>IFERROR(VLOOKUP(K1178,PROGRAMAS[],2,FALSE),0)</f>
        <v>54223862.645839565</v>
      </c>
      <c r="Z1178" s="246">
        <f>IFERROR(VLOOKUP(L1178,PROGRAMAS[],2,FALSE),0)</f>
        <v>1892779498.5211046</v>
      </c>
      <c r="AA1178" s="246">
        <f>IFERROR(VLOOKUP(M1178,PROGRAMAS[],2,FALSE),0)</f>
        <v>0</v>
      </c>
      <c r="AB1178" s="246">
        <f>IFERROR(VLOOKUP(N1178,PROGRAMAS[],2,FALSE),0)</f>
        <v>0</v>
      </c>
      <c r="AC1178" s="246">
        <f>IFERROR(VLOOKUP(O1178,PROGRAMAS[],2,FALSE),0)</f>
        <v>0</v>
      </c>
      <c r="AD1178" s="246">
        <f>IFERROR(VLOOKUP(P1178,PROGRAMAS[],2,FALSE),0)</f>
        <v>0</v>
      </c>
      <c r="AE1178" s="246">
        <f>IFERROR(VLOOKUP(Q1178,PROGRAMAS[],2,FALSE),0)</f>
        <v>0</v>
      </c>
      <c r="AF1178" s="246">
        <f>IFERROR(VLOOKUP(D1178,PROGRAMAS[],3,FALSE),0)</f>
        <v>841888629.31080008</v>
      </c>
      <c r="AG1178" s="246">
        <f>IFERROR(VLOOKUP(E1178,PROGRAMAS[],3,FALSE),0)</f>
        <v>3848980803.1642323</v>
      </c>
      <c r="AH1178" s="246">
        <f>IFERROR(VLOOKUP(F1178,PROGRAMAS[],3,FALSE),0)</f>
        <v>3394901471.387517</v>
      </c>
      <c r="AI1178" s="246">
        <f>IFERROR(VLOOKUP(G1178,PROGRAMAS[],3,FALSE),0)</f>
        <v>125317226.95549992</v>
      </c>
      <c r="AJ1178" s="246">
        <f>IFERROR(VLOOKUP(H1178,PROGRAMAS[],3,FALSE),0)</f>
        <v>6129902208.7912121</v>
      </c>
      <c r="AK1178" s="246">
        <f>IFERROR(VLOOKUP(I1178,PROGRAMAS[],3,FALSE),0)</f>
        <v>7011279577.519702</v>
      </c>
      <c r="AL1178" s="246">
        <f>IFERROR(VLOOKUP(J1178,PROGRAMAS[],3,FALSE),0)</f>
        <v>2392571243.5584412</v>
      </c>
      <c r="AM1178" s="246">
        <f>IFERROR(VLOOKUP(K1178,PROGRAMAS[],3,FALSE),0)</f>
        <v>31865326.38096505</v>
      </c>
      <c r="AN1178" s="246">
        <f>IFERROR(VLOOKUP(L1178,PROGRAMAS[],3,FALSE),0)</f>
        <v>948595847.09039903</v>
      </c>
      <c r="AO1178" s="246">
        <f>IFERROR(VLOOKUP(M1178,PROGRAMAS[],3,FALSE),0)</f>
        <v>0</v>
      </c>
      <c r="AP1178" s="246">
        <f>IFERROR(VLOOKUP(N1178,PROGRAMAS[],3,FALSE),0)</f>
        <v>0</v>
      </c>
      <c r="AQ1178" s="246">
        <f>IFERROR(VLOOKUP(O1178,PROGRAMAS[],3,FALSE),0)</f>
        <v>0</v>
      </c>
      <c r="AR1178" s="246">
        <f>IFERROR(VLOOKUP(P1178,PROGRAMAS[],3,FALSE),0)</f>
        <v>0</v>
      </c>
      <c r="AS1178" s="246">
        <f>IFERROR(VLOOKUP(Q1178,PROGRAMAS[],3,FALSE),0)</f>
        <v>0</v>
      </c>
      <c r="AT1178" s="246">
        <f>IFERROR(VLOOKUP(D1178,VOL_REC[],2,FALSE),0)</f>
        <v>0</v>
      </c>
      <c r="AU1178" s="246">
        <f>IFERROR(VLOOKUP(E1178,VOL_REC[],2,FALSE),0)</f>
        <v>0</v>
      </c>
      <c r="AV1178" s="246">
        <f>IFERROR(VLOOKUP(F1178,VOL_REC[],2,FALSE),0)</f>
        <v>11089674.200000001</v>
      </c>
      <c r="AW1178" s="246">
        <f>IFERROR(VLOOKUP(G1178,VOL_REC[],2,FALSE),0)</f>
        <v>90439.55</v>
      </c>
      <c r="AX1178" s="246">
        <f>IFERROR(VLOOKUP(H1178,VOL_REC[],2,FALSE),0)</f>
        <v>15540036.397699751</v>
      </c>
      <c r="AY1178" s="246">
        <f>IFERROR(VLOOKUP(I1178,VOL_REC[],2,FALSE),0)</f>
        <v>3761786</v>
      </c>
      <c r="AZ1178" s="246">
        <f>IFERROR(VLOOKUP(J1178,VOL_REC[],2,FALSE),0)</f>
        <v>663244.80000000016</v>
      </c>
      <c r="BA1178" s="246">
        <f>IFERROR(VLOOKUP(K1178,VOL_REC[],2,FALSE),0)</f>
        <v>17074.045034105649</v>
      </c>
      <c r="BB1178" s="246">
        <f>IFERROR(VLOOKUP(L1178,VOL_REC[],2,FALSE),0)</f>
        <v>740113.98115702497</v>
      </c>
      <c r="BC1178" s="246">
        <f>IFERROR(VLOOKUP(M1178,VOL_REC[],2,FALSE),0)</f>
        <v>0</v>
      </c>
      <c r="BD1178" s="246">
        <f>IFERROR(VLOOKUP(N1178,VOL_REC[],2,FALSE),0)</f>
        <v>0</v>
      </c>
      <c r="BE1178" s="246">
        <f>IFERROR(VLOOKUP(O1178,VOL_REC[],2,FALSE),0)</f>
        <v>0</v>
      </c>
      <c r="BF1178" s="246">
        <f>IFERROR(VLOOKUP(P1178,VOL_REC[],2,FALSE),0)</f>
        <v>0</v>
      </c>
      <c r="BG1178" s="246">
        <f>IFERROR(VLOOKUP(Q1178,VOL_REC[],2,FALSE),0)</f>
        <v>0</v>
      </c>
      <c r="BH1178" s="1710">
        <f t="shared" si="72"/>
        <v>22627334573.18103</v>
      </c>
      <c r="BI1178" s="1710">
        <f t="shared" si="73"/>
        <v>24725302334.158772</v>
      </c>
      <c r="BJ1178" s="1711">
        <f t="shared" si="74"/>
        <v>31902368.973890882</v>
      </c>
      <c r="BK1178" s="1711">
        <f t="shared" si="75"/>
        <v>0.91514895419178222</v>
      </c>
    </row>
    <row r="1179" spans="3:67" x14ac:dyDescent="0.25">
      <c r="C1179" s="246" t="s">
        <v>2529</v>
      </c>
      <c r="D1179" s="246">
        <v>1</v>
      </c>
      <c r="E1179" s="246">
        <v>2</v>
      </c>
      <c r="F1179" s="246">
        <v>3</v>
      </c>
      <c r="G1179" s="246">
        <v>4</v>
      </c>
      <c r="H1179" s="246">
        <v>6</v>
      </c>
      <c r="I1179" s="246">
        <v>9</v>
      </c>
      <c r="J1179" s="246">
        <v>13</v>
      </c>
      <c r="K1179" s="246">
        <v>15</v>
      </c>
      <c r="L1179" s="246">
        <v>16</v>
      </c>
      <c r="M1179" s="246"/>
      <c r="N1179" s="246"/>
      <c r="O1179" s="246"/>
      <c r="P1179" s="246"/>
      <c r="Q1179" s="246"/>
      <c r="R1179" s="246">
        <f>IFERROR(VLOOKUP(D1179,PROGRAMAS[],2,FALSE),0)</f>
        <v>97037803.679377079</v>
      </c>
      <c r="S1179" s="246">
        <f>IFERROR(VLOOKUP(E1179,PROGRAMAS[],2,FALSE),0)</f>
        <v>640501509.6821388</v>
      </c>
      <c r="T1179" s="246">
        <f>IFERROR(VLOOKUP(F1179,PROGRAMAS[],2,FALSE),0)</f>
        <v>3062327798.1525245</v>
      </c>
      <c r="U1179" s="246">
        <f>IFERROR(VLOOKUP(G1179,PROGRAMAS[],2,FALSE),0)</f>
        <v>67697118.033011258</v>
      </c>
      <c r="V1179" s="246">
        <f>IFERROR(VLOOKUP(H1179,PROGRAMAS[],2,FALSE),0)</f>
        <v>6907648435.8447599</v>
      </c>
      <c r="W1179" s="246">
        <f>IFERROR(VLOOKUP(I1179,PROGRAMAS[],2,FALSE),0)</f>
        <v>6128579952.1618185</v>
      </c>
      <c r="X1179" s="246">
        <f>IFERROR(VLOOKUP(J1179,PROGRAMAS[],2,FALSE),0)</f>
        <v>3776538594.4604583</v>
      </c>
      <c r="Y1179" s="246">
        <f>IFERROR(VLOOKUP(K1179,PROGRAMAS[],2,FALSE),0)</f>
        <v>122159672.96346797</v>
      </c>
      <c r="Z1179" s="246">
        <f>IFERROR(VLOOKUP(L1179,PROGRAMAS[],2,FALSE),0)</f>
        <v>7068496961.0436354</v>
      </c>
      <c r="AA1179" s="246">
        <f>IFERROR(VLOOKUP(M1179,PROGRAMAS[],2,FALSE),0)</f>
        <v>0</v>
      </c>
      <c r="AB1179" s="246">
        <f>IFERROR(VLOOKUP(N1179,PROGRAMAS[],2,FALSE),0)</f>
        <v>0</v>
      </c>
      <c r="AC1179" s="246">
        <f>IFERROR(VLOOKUP(O1179,PROGRAMAS[],2,FALSE),0)</f>
        <v>0</v>
      </c>
      <c r="AD1179" s="246">
        <f>IFERROR(VLOOKUP(P1179,PROGRAMAS[],2,FALSE),0)</f>
        <v>0</v>
      </c>
      <c r="AE1179" s="246">
        <f>IFERROR(VLOOKUP(Q1179,PROGRAMAS[],2,FALSE),0)</f>
        <v>0</v>
      </c>
      <c r="AF1179" s="246">
        <f>IFERROR(VLOOKUP(D1179,PROGRAMAS[],3,FALSE),0)</f>
        <v>841888629.31080008</v>
      </c>
      <c r="AG1179" s="246">
        <f>IFERROR(VLOOKUP(E1179,PROGRAMAS[],3,FALSE),0)</f>
        <v>3848980803.1642323</v>
      </c>
      <c r="AH1179" s="246">
        <f>IFERROR(VLOOKUP(F1179,PROGRAMAS[],3,FALSE),0)</f>
        <v>3394901471.387517</v>
      </c>
      <c r="AI1179" s="246">
        <f>IFERROR(VLOOKUP(G1179,PROGRAMAS[],3,FALSE),0)</f>
        <v>125317226.95549992</v>
      </c>
      <c r="AJ1179" s="246">
        <f>IFERROR(VLOOKUP(H1179,PROGRAMAS[],3,FALSE),0)</f>
        <v>6129902208.7912121</v>
      </c>
      <c r="AK1179" s="246">
        <f>IFERROR(VLOOKUP(I1179,PROGRAMAS[],3,FALSE),0)</f>
        <v>7011279577.519702</v>
      </c>
      <c r="AL1179" s="246">
        <f>IFERROR(VLOOKUP(J1179,PROGRAMAS[],3,FALSE),0)</f>
        <v>2392571243.5584412</v>
      </c>
      <c r="AM1179" s="246">
        <f>IFERROR(VLOOKUP(K1179,PROGRAMAS[],3,FALSE),0)</f>
        <v>118617452.52510804</v>
      </c>
      <c r="AN1179" s="246">
        <f>IFERROR(VLOOKUP(L1179,PROGRAMAS[],3,FALSE),0)</f>
        <v>2406564599.0319901</v>
      </c>
      <c r="AO1179" s="246">
        <f>IFERROR(VLOOKUP(M1179,PROGRAMAS[],3,FALSE),0)</f>
        <v>0</v>
      </c>
      <c r="AP1179" s="246">
        <f>IFERROR(VLOOKUP(N1179,PROGRAMAS[],3,FALSE),0)</f>
        <v>0</v>
      </c>
      <c r="AQ1179" s="246">
        <f>IFERROR(VLOOKUP(O1179,PROGRAMAS[],3,FALSE),0)</f>
        <v>0</v>
      </c>
      <c r="AR1179" s="246">
        <f>IFERROR(VLOOKUP(P1179,PROGRAMAS[],3,FALSE),0)</f>
        <v>0</v>
      </c>
      <c r="AS1179" s="246">
        <f>IFERROR(VLOOKUP(Q1179,PROGRAMAS[],3,FALSE),0)</f>
        <v>0</v>
      </c>
      <c r="AT1179" s="246">
        <f>IFERROR(VLOOKUP(D1179,VOL_REC[],2,FALSE),0)</f>
        <v>0</v>
      </c>
      <c r="AU1179" s="246">
        <f>IFERROR(VLOOKUP(E1179,VOL_REC[],2,FALSE),0)</f>
        <v>0</v>
      </c>
      <c r="AV1179" s="246">
        <f>IFERROR(VLOOKUP(F1179,VOL_REC[],2,FALSE),0)</f>
        <v>11089674.200000001</v>
      </c>
      <c r="AW1179" s="246">
        <f>IFERROR(VLOOKUP(G1179,VOL_REC[],2,FALSE),0)</f>
        <v>90439.55</v>
      </c>
      <c r="AX1179" s="246">
        <f>IFERROR(VLOOKUP(H1179,VOL_REC[],2,FALSE),0)</f>
        <v>15540036.397699751</v>
      </c>
      <c r="AY1179" s="246">
        <f>IFERROR(VLOOKUP(I1179,VOL_REC[],2,FALSE),0)</f>
        <v>3761786</v>
      </c>
      <c r="AZ1179" s="246">
        <f>IFERROR(VLOOKUP(J1179,VOL_REC[],2,FALSE),0)</f>
        <v>663244.80000000016</v>
      </c>
      <c r="BA1179" s="246">
        <f>IFERROR(VLOOKUP(K1179,VOL_REC[],2,FALSE),0)</f>
        <v>105072</v>
      </c>
      <c r="BB1179" s="246">
        <f>IFERROR(VLOOKUP(L1179,VOL_REC[],2,FALSE),0)</f>
        <v>1072354.9981737854</v>
      </c>
      <c r="BC1179" s="246">
        <f>IFERROR(VLOOKUP(M1179,VOL_REC[],2,FALSE),0)</f>
        <v>0</v>
      </c>
      <c r="BD1179" s="246">
        <f>IFERROR(VLOOKUP(N1179,VOL_REC[],2,FALSE),0)</f>
        <v>0</v>
      </c>
      <c r="BE1179" s="246">
        <f>IFERROR(VLOOKUP(O1179,VOL_REC[],2,FALSE),0)</f>
        <v>0</v>
      </c>
      <c r="BF1179" s="246">
        <f>IFERROR(VLOOKUP(P1179,VOL_REC[],2,FALSE),0)</f>
        <v>0</v>
      </c>
      <c r="BG1179" s="246">
        <f>IFERROR(VLOOKUP(Q1179,VOL_REC[],2,FALSE),0)</f>
        <v>0</v>
      </c>
      <c r="BH1179" s="1710">
        <f t="shared" si="72"/>
        <v>27870987846.021191</v>
      </c>
      <c r="BI1179" s="1710">
        <f t="shared" si="73"/>
        <v>26270023212.244503</v>
      </c>
      <c r="BJ1179" s="1711">
        <f t="shared" si="74"/>
        <v>32322607.945873536</v>
      </c>
      <c r="BK1179" s="1711">
        <f t="shared" si="75"/>
        <v>1.0609426425261199</v>
      </c>
      <c r="BL1179">
        <f>BJ1179</f>
        <v>32322607.945873536</v>
      </c>
      <c r="BO1179">
        <f>BL1179</f>
        <v>32322607.945873536</v>
      </c>
    </row>
    <row r="1180" spans="3:67" x14ac:dyDescent="0.25">
      <c r="C1180" s="246" t="s">
        <v>2530</v>
      </c>
      <c r="D1180" s="246">
        <v>1</v>
      </c>
      <c r="E1180" s="246">
        <v>2</v>
      </c>
      <c r="F1180" s="246">
        <v>3</v>
      </c>
      <c r="G1180" s="246">
        <v>4</v>
      </c>
      <c r="H1180" s="246">
        <v>6</v>
      </c>
      <c r="I1180" s="246">
        <v>9</v>
      </c>
      <c r="J1180" s="246">
        <v>13</v>
      </c>
      <c r="K1180" s="246">
        <v>15</v>
      </c>
      <c r="L1180" s="246">
        <v>17</v>
      </c>
      <c r="M1180" s="246"/>
      <c r="N1180" s="246"/>
      <c r="O1180" s="246"/>
      <c r="P1180" s="246"/>
      <c r="Q1180" s="246"/>
      <c r="R1180" s="246">
        <f>IFERROR(VLOOKUP(D1180,PROGRAMAS[],2,FALSE),0)</f>
        <v>97037803.679377079</v>
      </c>
      <c r="S1180" s="246">
        <f>IFERROR(VLOOKUP(E1180,PROGRAMAS[],2,FALSE),0)</f>
        <v>640501509.6821388</v>
      </c>
      <c r="T1180" s="246">
        <f>IFERROR(VLOOKUP(F1180,PROGRAMAS[],2,FALSE),0)</f>
        <v>3062327798.1525245</v>
      </c>
      <c r="U1180" s="246">
        <f>IFERROR(VLOOKUP(G1180,PROGRAMAS[],2,FALSE),0)</f>
        <v>67697118.033011258</v>
      </c>
      <c r="V1180" s="246">
        <f>IFERROR(VLOOKUP(H1180,PROGRAMAS[],2,FALSE),0)</f>
        <v>6907648435.8447599</v>
      </c>
      <c r="W1180" s="246">
        <f>IFERROR(VLOOKUP(I1180,PROGRAMAS[],2,FALSE),0)</f>
        <v>6128579952.1618185</v>
      </c>
      <c r="X1180" s="246">
        <f>IFERROR(VLOOKUP(J1180,PROGRAMAS[],2,FALSE),0)</f>
        <v>3776538594.4604583</v>
      </c>
      <c r="Y1180" s="246">
        <f>IFERROR(VLOOKUP(K1180,PROGRAMAS[],2,FALSE),0)</f>
        <v>122159672.96346797</v>
      </c>
      <c r="Z1180" s="246">
        <f>IFERROR(VLOOKUP(L1180,PROGRAMAS[],2,FALSE),0)</f>
        <v>1892779498.5211046</v>
      </c>
      <c r="AA1180" s="246">
        <f>IFERROR(VLOOKUP(M1180,PROGRAMAS[],2,FALSE),0)</f>
        <v>0</v>
      </c>
      <c r="AB1180" s="246">
        <f>IFERROR(VLOOKUP(N1180,PROGRAMAS[],2,FALSE),0)</f>
        <v>0</v>
      </c>
      <c r="AC1180" s="246">
        <f>IFERROR(VLOOKUP(O1180,PROGRAMAS[],2,FALSE),0)</f>
        <v>0</v>
      </c>
      <c r="AD1180" s="246">
        <f>IFERROR(VLOOKUP(P1180,PROGRAMAS[],2,FALSE),0)</f>
        <v>0</v>
      </c>
      <c r="AE1180" s="246">
        <f>IFERROR(VLOOKUP(Q1180,PROGRAMAS[],2,FALSE),0)</f>
        <v>0</v>
      </c>
      <c r="AF1180" s="246">
        <f>IFERROR(VLOOKUP(D1180,PROGRAMAS[],3,FALSE),0)</f>
        <v>841888629.31080008</v>
      </c>
      <c r="AG1180" s="246">
        <f>IFERROR(VLOOKUP(E1180,PROGRAMAS[],3,FALSE),0)</f>
        <v>3848980803.1642323</v>
      </c>
      <c r="AH1180" s="246">
        <f>IFERROR(VLOOKUP(F1180,PROGRAMAS[],3,FALSE),0)</f>
        <v>3394901471.387517</v>
      </c>
      <c r="AI1180" s="246">
        <f>IFERROR(VLOOKUP(G1180,PROGRAMAS[],3,FALSE),0)</f>
        <v>125317226.95549992</v>
      </c>
      <c r="AJ1180" s="246">
        <f>IFERROR(VLOOKUP(H1180,PROGRAMAS[],3,FALSE),0)</f>
        <v>6129902208.7912121</v>
      </c>
      <c r="AK1180" s="246">
        <f>IFERROR(VLOOKUP(I1180,PROGRAMAS[],3,FALSE),0)</f>
        <v>7011279577.519702</v>
      </c>
      <c r="AL1180" s="246">
        <f>IFERROR(VLOOKUP(J1180,PROGRAMAS[],3,FALSE),0)</f>
        <v>2392571243.5584412</v>
      </c>
      <c r="AM1180" s="246">
        <f>IFERROR(VLOOKUP(K1180,PROGRAMAS[],3,FALSE),0)</f>
        <v>118617452.52510804</v>
      </c>
      <c r="AN1180" s="246">
        <f>IFERROR(VLOOKUP(L1180,PROGRAMAS[],3,FALSE),0)</f>
        <v>948595847.09039903</v>
      </c>
      <c r="AO1180" s="246">
        <f>IFERROR(VLOOKUP(M1180,PROGRAMAS[],3,FALSE),0)</f>
        <v>0</v>
      </c>
      <c r="AP1180" s="246">
        <f>IFERROR(VLOOKUP(N1180,PROGRAMAS[],3,FALSE),0)</f>
        <v>0</v>
      </c>
      <c r="AQ1180" s="246">
        <f>IFERROR(VLOOKUP(O1180,PROGRAMAS[],3,FALSE),0)</f>
        <v>0</v>
      </c>
      <c r="AR1180" s="246">
        <f>IFERROR(VLOOKUP(P1180,PROGRAMAS[],3,FALSE),0)</f>
        <v>0</v>
      </c>
      <c r="AS1180" s="246">
        <f>IFERROR(VLOOKUP(Q1180,PROGRAMAS[],3,FALSE),0)</f>
        <v>0</v>
      </c>
      <c r="AT1180" s="246">
        <f>IFERROR(VLOOKUP(D1180,VOL_REC[],2,FALSE),0)</f>
        <v>0</v>
      </c>
      <c r="AU1180" s="246">
        <f>IFERROR(VLOOKUP(E1180,VOL_REC[],2,FALSE),0)</f>
        <v>0</v>
      </c>
      <c r="AV1180" s="246">
        <f>IFERROR(VLOOKUP(F1180,VOL_REC[],2,FALSE),0)</f>
        <v>11089674.200000001</v>
      </c>
      <c r="AW1180" s="246">
        <f>IFERROR(VLOOKUP(G1180,VOL_REC[],2,FALSE),0)</f>
        <v>90439.55</v>
      </c>
      <c r="AX1180" s="246">
        <f>IFERROR(VLOOKUP(H1180,VOL_REC[],2,FALSE),0)</f>
        <v>15540036.397699751</v>
      </c>
      <c r="AY1180" s="246">
        <f>IFERROR(VLOOKUP(I1180,VOL_REC[],2,FALSE),0)</f>
        <v>3761786</v>
      </c>
      <c r="AZ1180" s="246">
        <f>IFERROR(VLOOKUP(J1180,VOL_REC[],2,FALSE),0)</f>
        <v>663244.80000000016</v>
      </c>
      <c r="BA1180" s="246">
        <f>IFERROR(VLOOKUP(K1180,VOL_REC[],2,FALSE),0)</f>
        <v>105072</v>
      </c>
      <c r="BB1180" s="246">
        <f>IFERROR(VLOOKUP(L1180,VOL_REC[],2,FALSE),0)</f>
        <v>740113.98115702497</v>
      </c>
      <c r="BC1180" s="246">
        <f>IFERROR(VLOOKUP(M1180,VOL_REC[],2,FALSE),0)</f>
        <v>0</v>
      </c>
      <c r="BD1180" s="246">
        <f>IFERROR(VLOOKUP(N1180,VOL_REC[],2,FALSE),0)</f>
        <v>0</v>
      </c>
      <c r="BE1180" s="246">
        <f>IFERROR(VLOOKUP(O1180,VOL_REC[],2,FALSE),0)</f>
        <v>0</v>
      </c>
      <c r="BF1180" s="246">
        <f>IFERROR(VLOOKUP(P1180,VOL_REC[],2,FALSE),0)</f>
        <v>0</v>
      </c>
      <c r="BG1180" s="246">
        <f>IFERROR(VLOOKUP(Q1180,VOL_REC[],2,FALSE),0)</f>
        <v>0</v>
      </c>
      <c r="BH1180" s="1710">
        <f t="shared" si="72"/>
        <v>22695270383.498657</v>
      </c>
      <c r="BI1180" s="1710">
        <f t="shared" si="73"/>
        <v>24812054460.302914</v>
      </c>
      <c r="BJ1180" s="1711">
        <f t="shared" si="74"/>
        <v>31990366.928856775</v>
      </c>
      <c r="BK1180" s="1711">
        <f t="shared" si="75"/>
        <v>0.91468727105242642</v>
      </c>
    </row>
    <row r="1181" spans="3:67" x14ac:dyDescent="0.25">
      <c r="C1181" s="246" t="s">
        <v>2531</v>
      </c>
      <c r="D1181" s="246">
        <v>1</v>
      </c>
      <c r="E1181" s="246">
        <v>2</v>
      </c>
      <c r="F1181" s="246">
        <v>3</v>
      </c>
      <c r="G1181" s="246">
        <v>4</v>
      </c>
      <c r="H1181" s="246">
        <v>6</v>
      </c>
      <c r="I1181" s="246">
        <v>9</v>
      </c>
      <c r="J1181" s="246">
        <v>13</v>
      </c>
      <c r="K1181" s="246">
        <v>16</v>
      </c>
      <c r="L1181" s="246">
        <v>17</v>
      </c>
      <c r="M1181" s="246"/>
      <c r="N1181" s="246"/>
      <c r="O1181" s="246"/>
      <c r="P1181" s="246"/>
      <c r="Q1181" s="246"/>
      <c r="R1181" s="246">
        <f>IFERROR(VLOOKUP(D1181,PROGRAMAS[],2,FALSE),0)</f>
        <v>97037803.679377079</v>
      </c>
      <c r="S1181" s="246">
        <f>IFERROR(VLOOKUP(E1181,PROGRAMAS[],2,FALSE),0)</f>
        <v>640501509.6821388</v>
      </c>
      <c r="T1181" s="246">
        <f>IFERROR(VLOOKUP(F1181,PROGRAMAS[],2,FALSE),0)</f>
        <v>3062327798.1525245</v>
      </c>
      <c r="U1181" s="246">
        <f>IFERROR(VLOOKUP(G1181,PROGRAMAS[],2,FALSE),0)</f>
        <v>67697118.033011258</v>
      </c>
      <c r="V1181" s="246">
        <f>IFERROR(VLOOKUP(H1181,PROGRAMAS[],2,FALSE),0)</f>
        <v>6907648435.8447599</v>
      </c>
      <c r="W1181" s="246">
        <f>IFERROR(VLOOKUP(I1181,PROGRAMAS[],2,FALSE),0)</f>
        <v>6128579952.1618185</v>
      </c>
      <c r="X1181" s="246">
        <f>IFERROR(VLOOKUP(J1181,PROGRAMAS[],2,FALSE),0)</f>
        <v>3776538594.4604583</v>
      </c>
      <c r="Y1181" s="246">
        <f>IFERROR(VLOOKUP(K1181,PROGRAMAS[],2,FALSE),0)</f>
        <v>7068496961.0436354</v>
      </c>
      <c r="Z1181" s="246">
        <f>IFERROR(VLOOKUP(L1181,PROGRAMAS[],2,FALSE),0)</f>
        <v>1892779498.5211046</v>
      </c>
      <c r="AA1181" s="246">
        <f>IFERROR(VLOOKUP(M1181,PROGRAMAS[],2,FALSE),0)</f>
        <v>0</v>
      </c>
      <c r="AB1181" s="246">
        <f>IFERROR(VLOOKUP(N1181,PROGRAMAS[],2,FALSE),0)</f>
        <v>0</v>
      </c>
      <c r="AC1181" s="246">
        <f>IFERROR(VLOOKUP(O1181,PROGRAMAS[],2,FALSE),0)</f>
        <v>0</v>
      </c>
      <c r="AD1181" s="246">
        <f>IFERROR(VLOOKUP(P1181,PROGRAMAS[],2,FALSE),0)</f>
        <v>0</v>
      </c>
      <c r="AE1181" s="246">
        <f>IFERROR(VLOOKUP(Q1181,PROGRAMAS[],2,FALSE),0)</f>
        <v>0</v>
      </c>
      <c r="AF1181" s="246">
        <f>IFERROR(VLOOKUP(D1181,PROGRAMAS[],3,FALSE),0)</f>
        <v>841888629.31080008</v>
      </c>
      <c r="AG1181" s="246">
        <f>IFERROR(VLOOKUP(E1181,PROGRAMAS[],3,FALSE),0)</f>
        <v>3848980803.1642323</v>
      </c>
      <c r="AH1181" s="246">
        <f>IFERROR(VLOOKUP(F1181,PROGRAMAS[],3,FALSE),0)</f>
        <v>3394901471.387517</v>
      </c>
      <c r="AI1181" s="246">
        <f>IFERROR(VLOOKUP(G1181,PROGRAMAS[],3,FALSE),0)</f>
        <v>125317226.95549992</v>
      </c>
      <c r="AJ1181" s="246">
        <f>IFERROR(VLOOKUP(H1181,PROGRAMAS[],3,FALSE),0)</f>
        <v>6129902208.7912121</v>
      </c>
      <c r="AK1181" s="246">
        <f>IFERROR(VLOOKUP(I1181,PROGRAMAS[],3,FALSE),0)</f>
        <v>7011279577.519702</v>
      </c>
      <c r="AL1181" s="246">
        <f>IFERROR(VLOOKUP(J1181,PROGRAMAS[],3,FALSE),0)</f>
        <v>2392571243.5584412</v>
      </c>
      <c r="AM1181" s="246">
        <f>IFERROR(VLOOKUP(K1181,PROGRAMAS[],3,FALSE),0)</f>
        <v>2406564599.0319901</v>
      </c>
      <c r="AN1181" s="246">
        <f>IFERROR(VLOOKUP(L1181,PROGRAMAS[],3,FALSE),0)</f>
        <v>948595847.09039903</v>
      </c>
      <c r="AO1181" s="246">
        <f>IFERROR(VLOOKUP(M1181,PROGRAMAS[],3,FALSE),0)</f>
        <v>0</v>
      </c>
      <c r="AP1181" s="246">
        <f>IFERROR(VLOOKUP(N1181,PROGRAMAS[],3,FALSE),0)</f>
        <v>0</v>
      </c>
      <c r="AQ1181" s="246">
        <f>IFERROR(VLOOKUP(O1181,PROGRAMAS[],3,FALSE),0)</f>
        <v>0</v>
      </c>
      <c r="AR1181" s="246">
        <f>IFERROR(VLOOKUP(P1181,PROGRAMAS[],3,FALSE),0)</f>
        <v>0</v>
      </c>
      <c r="AS1181" s="246">
        <f>IFERROR(VLOOKUP(Q1181,PROGRAMAS[],3,FALSE),0)</f>
        <v>0</v>
      </c>
      <c r="AT1181" s="246">
        <f>IFERROR(VLOOKUP(D1181,VOL_REC[],2,FALSE),0)</f>
        <v>0</v>
      </c>
      <c r="AU1181" s="246">
        <f>IFERROR(VLOOKUP(E1181,VOL_REC[],2,FALSE),0)</f>
        <v>0</v>
      </c>
      <c r="AV1181" s="246">
        <f>IFERROR(VLOOKUP(F1181,VOL_REC[],2,FALSE),0)</f>
        <v>11089674.200000001</v>
      </c>
      <c r="AW1181" s="246">
        <f>IFERROR(VLOOKUP(G1181,VOL_REC[],2,FALSE),0)</f>
        <v>90439.55</v>
      </c>
      <c r="AX1181" s="246">
        <f>IFERROR(VLOOKUP(H1181,VOL_REC[],2,FALSE),0)</f>
        <v>15540036.397699751</v>
      </c>
      <c r="AY1181" s="246">
        <f>IFERROR(VLOOKUP(I1181,VOL_REC[],2,FALSE),0)</f>
        <v>3761786</v>
      </c>
      <c r="AZ1181" s="246">
        <f>IFERROR(VLOOKUP(J1181,VOL_REC[],2,FALSE),0)</f>
        <v>663244.80000000016</v>
      </c>
      <c r="BA1181" s="246">
        <f>IFERROR(VLOOKUP(K1181,VOL_REC[],2,FALSE),0)</f>
        <v>1072354.9981737854</v>
      </c>
      <c r="BB1181" s="246">
        <f>IFERROR(VLOOKUP(L1181,VOL_REC[],2,FALSE),0)</f>
        <v>740113.98115702497</v>
      </c>
      <c r="BC1181" s="246">
        <f>IFERROR(VLOOKUP(M1181,VOL_REC[],2,FALSE),0)</f>
        <v>0</v>
      </c>
      <c r="BD1181" s="246">
        <f>IFERROR(VLOOKUP(N1181,VOL_REC[],2,FALSE),0)</f>
        <v>0</v>
      </c>
      <c r="BE1181" s="246">
        <f>IFERROR(VLOOKUP(O1181,VOL_REC[],2,FALSE),0)</f>
        <v>0</v>
      </c>
      <c r="BF1181" s="246">
        <f>IFERROR(VLOOKUP(P1181,VOL_REC[],2,FALSE),0)</f>
        <v>0</v>
      </c>
      <c r="BG1181" s="246">
        <f>IFERROR(VLOOKUP(Q1181,VOL_REC[],2,FALSE),0)</f>
        <v>0</v>
      </c>
      <c r="BH1181" s="1710">
        <f t="shared" si="72"/>
        <v>29641607671.578827</v>
      </c>
      <c r="BI1181" s="1710">
        <f t="shared" si="73"/>
        <v>27100001606.809795</v>
      </c>
      <c r="BJ1181" s="1711">
        <f t="shared" si="74"/>
        <v>32957649.92703056</v>
      </c>
      <c r="BK1181" s="1711">
        <f t="shared" si="75"/>
        <v>1.0937861960912345</v>
      </c>
      <c r="BL1181">
        <f>BJ1181</f>
        <v>32957649.92703056</v>
      </c>
      <c r="BO1181">
        <f>BL1181</f>
        <v>32957649.92703056</v>
      </c>
    </row>
    <row r="1182" spans="3:67" x14ac:dyDescent="0.25">
      <c r="C1182" s="246" t="s">
        <v>2532</v>
      </c>
      <c r="D1182" s="246">
        <v>1</v>
      </c>
      <c r="E1182" s="246">
        <v>2</v>
      </c>
      <c r="F1182" s="246">
        <v>3</v>
      </c>
      <c r="G1182" s="246">
        <v>4</v>
      </c>
      <c r="H1182" s="246">
        <v>6</v>
      </c>
      <c r="I1182" s="246">
        <v>9</v>
      </c>
      <c r="J1182" s="246">
        <v>14</v>
      </c>
      <c r="K1182" s="246">
        <v>15</v>
      </c>
      <c r="L1182" s="246">
        <v>16</v>
      </c>
      <c r="M1182" s="246"/>
      <c r="N1182" s="246"/>
      <c r="O1182" s="246"/>
      <c r="P1182" s="246"/>
      <c r="Q1182" s="246"/>
      <c r="R1182" s="246">
        <f>IFERROR(VLOOKUP(D1182,PROGRAMAS[],2,FALSE),0)</f>
        <v>97037803.679377079</v>
      </c>
      <c r="S1182" s="246">
        <f>IFERROR(VLOOKUP(E1182,PROGRAMAS[],2,FALSE),0)</f>
        <v>640501509.6821388</v>
      </c>
      <c r="T1182" s="246">
        <f>IFERROR(VLOOKUP(F1182,PROGRAMAS[],2,FALSE),0)</f>
        <v>3062327798.1525245</v>
      </c>
      <c r="U1182" s="246">
        <f>IFERROR(VLOOKUP(G1182,PROGRAMAS[],2,FALSE),0)</f>
        <v>67697118.033011258</v>
      </c>
      <c r="V1182" s="246">
        <f>IFERROR(VLOOKUP(H1182,PROGRAMAS[],2,FALSE),0)</f>
        <v>6907648435.8447599</v>
      </c>
      <c r="W1182" s="246">
        <f>IFERROR(VLOOKUP(I1182,PROGRAMAS[],2,FALSE),0)</f>
        <v>6128579952.1618185</v>
      </c>
      <c r="X1182" s="246">
        <f>IFERROR(VLOOKUP(J1182,PROGRAMAS[],2,FALSE),0)</f>
        <v>54223862.645839565</v>
      </c>
      <c r="Y1182" s="246">
        <f>IFERROR(VLOOKUP(K1182,PROGRAMAS[],2,FALSE),0)</f>
        <v>122159672.96346797</v>
      </c>
      <c r="Z1182" s="246">
        <f>IFERROR(VLOOKUP(L1182,PROGRAMAS[],2,FALSE),0)</f>
        <v>7068496961.0436354</v>
      </c>
      <c r="AA1182" s="246">
        <f>IFERROR(VLOOKUP(M1182,PROGRAMAS[],2,FALSE),0)</f>
        <v>0</v>
      </c>
      <c r="AB1182" s="246">
        <f>IFERROR(VLOOKUP(N1182,PROGRAMAS[],2,FALSE),0)</f>
        <v>0</v>
      </c>
      <c r="AC1182" s="246">
        <f>IFERROR(VLOOKUP(O1182,PROGRAMAS[],2,FALSE),0)</f>
        <v>0</v>
      </c>
      <c r="AD1182" s="246">
        <f>IFERROR(VLOOKUP(P1182,PROGRAMAS[],2,FALSE),0)</f>
        <v>0</v>
      </c>
      <c r="AE1182" s="246">
        <f>IFERROR(VLOOKUP(Q1182,PROGRAMAS[],2,FALSE),0)</f>
        <v>0</v>
      </c>
      <c r="AF1182" s="246">
        <f>IFERROR(VLOOKUP(D1182,PROGRAMAS[],3,FALSE),0)</f>
        <v>841888629.31080008</v>
      </c>
      <c r="AG1182" s="246">
        <f>IFERROR(VLOOKUP(E1182,PROGRAMAS[],3,FALSE),0)</f>
        <v>3848980803.1642323</v>
      </c>
      <c r="AH1182" s="246">
        <f>IFERROR(VLOOKUP(F1182,PROGRAMAS[],3,FALSE),0)</f>
        <v>3394901471.387517</v>
      </c>
      <c r="AI1182" s="246">
        <f>IFERROR(VLOOKUP(G1182,PROGRAMAS[],3,FALSE),0)</f>
        <v>125317226.95549992</v>
      </c>
      <c r="AJ1182" s="246">
        <f>IFERROR(VLOOKUP(H1182,PROGRAMAS[],3,FALSE),0)</f>
        <v>6129902208.7912121</v>
      </c>
      <c r="AK1182" s="246">
        <f>IFERROR(VLOOKUP(I1182,PROGRAMAS[],3,FALSE),0)</f>
        <v>7011279577.519702</v>
      </c>
      <c r="AL1182" s="246">
        <f>IFERROR(VLOOKUP(J1182,PROGRAMAS[],3,FALSE),0)</f>
        <v>31865326.38096505</v>
      </c>
      <c r="AM1182" s="246">
        <f>IFERROR(VLOOKUP(K1182,PROGRAMAS[],3,FALSE),0)</f>
        <v>118617452.52510804</v>
      </c>
      <c r="AN1182" s="246">
        <f>IFERROR(VLOOKUP(L1182,PROGRAMAS[],3,FALSE),0)</f>
        <v>2406564599.0319901</v>
      </c>
      <c r="AO1182" s="246">
        <f>IFERROR(VLOOKUP(M1182,PROGRAMAS[],3,FALSE),0)</f>
        <v>0</v>
      </c>
      <c r="AP1182" s="246">
        <f>IFERROR(VLOOKUP(N1182,PROGRAMAS[],3,FALSE),0)</f>
        <v>0</v>
      </c>
      <c r="AQ1182" s="246">
        <f>IFERROR(VLOOKUP(O1182,PROGRAMAS[],3,FALSE),0)</f>
        <v>0</v>
      </c>
      <c r="AR1182" s="246">
        <f>IFERROR(VLOOKUP(P1182,PROGRAMAS[],3,FALSE),0)</f>
        <v>0</v>
      </c>
      <c r="AS1182" s="246">
        <f>IFERROR(VLOOKUP(Q1182,PROGRAMAS[],3,FALSE),0)</f>
        <v>0</v>
      </c>
      <c r="AT1182" s="246">
        <f>IFERROR(VLOOKUP(D1182,VOL_REC[],2,FALSE),0)</f>
        <v>0</v>
      </c>
      <c r="AU1182" s="246">
        <f>IFERROR(VLOOKUP(E1182,VOL_REC[],2,FALSE),0)</f>
        <v>0</v>
      </c>
      <c r="AV1182" s="246">
        <f>IFERROR(VLOOKUP(F1182,VOL_REC[],2,FALSE),0)</f>
        <v>11089674.200000001</v>
      </c>
      <c r="AW1182" s="246">
        <f>IFERROR(VLOOKUP(G1182,VOL_REC[],2,FALSE),0)</f>
        <v>90439.55</v>
      </c>
      <c r="AX1182" s="246">
        <f>IFERROR(VLOOKUP(H1182,VOL_REC[],2,FALSE),0)</f>
        <v>15540036.397699751</v>
      </c>
      <c r="AY1182" s="246">
        <f>IFERROR(VLOOKUP(I1182,VOL_REC[],2,FALSE),0)</f>
        <v>3761786</v>
      </c>
      <c r="AZ1182" s="246">
        <f>IFERROR(VLOOKUP(J1182,VOL_REC[],2,FALSE),0)</f>
        <v>17074.045034105649</v>
      </c>
      <c r="BA1182" s="246">
        <f>IFERROR(VLOOKUP(K1182,VOL_REC[],2,FALSE),0)</f>
        <v>105072</v>
      </c>
      <c r="BB1182" s="246">
        <f>IFERROR(VLOOKUP(L1182,VOL_REC[],2,FALSE),0)</f>
        <v>1072354.9981737854</v>
      </c>
      <c r="BC1182" s="246">
        <f>IFERROR(VLOOKUP(M1182,VOL_REC[],2,FALSE),0)</f>
        <v>0</v>
      </c>
      <c r="BD1182" s="246">
        <f>IFERROR(VLOOKUP(N1182,VOL_REC[],2,FALSE),0)</f>
        <v>0</v>
      </c>
      <c r="BE1182" s="246">
        <f>IFERROR(VLOOKUP(O1182,VOL_REC[],2,FALSE),0)</f>
        <v>0</v>
      </c>
      <c r="BF1182" s="246">
        <f>IFERROR(VLOOKUP(P1182,VOL_REC[],2,FALSE),0)</f>
        <v>0</v>
      </c>
      <c r="BG1182" s="246">
        <f>IFERROR(VLOOKUP(Q1182,VOL_REC[],2,FALSE),0)</f>
        <v>0</v>
      </c>
      <c r="BH1182" s="1710">
        <f t="shared" si="72"/>
        <v>24148673114.206573</v>
      </c>
      <c r="BI1182" s="1710">
        <f t="shared" si="73"/>
        <v>23909317295.067028</v>
      </c>
      <c r="BJ1182" s="1711">
        <f t="shared" si="74"/>
        <v>31676437.190907642</v>
      </c>
      <c r="BK1182" s="1711">
        <f t="shared" si="75"/>
        <v>1.0100109850978025</v>
      </c>
      <c r="BL1182">
        <f>BJ1182</f>
        <v>31676437.190907642</v>
      </c>
      <c r="BO1182">
        <f>BL1182</f>
        <v>31676437.190907642</v>
      </c>
    </row>
    <row r="1183" spans="3:67" x14ac:dyDescent="0.25">
      <c r="C1183" s="246" t="s">
        <v>2533</v>
      </c>
      <c r="D1183" s="246">
        <v>1</v>
      </c>
      <c r="E1183" s="246">
        <v>2</v>
      </c>
      <c r="F1183" s="246">
        <v>3</v>
      </c>
      <c r="G1183" s="246">
        <v>4</v>
      </c>
      <c r="H1183" s="246">
        <v>6</v>
      </c>
      <c r="I1183" s="246">
        <v>9</v>
      </c>
      <c r="J1183" s="246">
        <v>14</v>
      </c>
      <c r="K1183" s="246">
        <v>15</v>
      </c>
      <c r="L1183" s="246">
        <v>17</v>
      </c>
      <c r="M1183" s="246"/>
      <c r="N1183" s="246"/>
      <c r="O1183" s="246"/>
      <c r="P1183" s="246"/>
      <c r="Q1183" s="246"/>
      <c r="R1183" s="246">
        <f>IFERROR(VLOOKUP(D1183,PROGRAMAS[],2,FALSE),0)</f>
        <v>97037803.679377079</v>
      </c>
      <c r="S1183" s="246">
        <f>IFERROR(VLOOKUP(E1183,PROGRAMAS[],2,FALSE),0)</f>
        <v>640501509.6821388</v>
      </c>
      <c r="T1183" s="246">
        <f>IFERROR(VLOOKUP(F1183,PROGRAMAS[],2,FALSE),0)</f>
        <v>3062327798.1525245</v>
      </c>
      <c r="U1183" s="246">
        <f>IFERROR(VLOOKUP(G1183,PROGRAMAS[],2,FALSE),0)</f>
        <v>67697118.033011258</v>
      </c>
      <c r="V1183" s="246">
        <f>IFERROR(VLOOKUP(H1183,PROGRAMAS[],2,FALSE),0)</f>
        <v>6907648435.8447599</v>
      </c>
      <c r="W1183" s="246">
        <f>IFERROR(VLOOKUP(I1183,PROGRAMAS[],2,FALSE),0)</f>
        <v>6128579952.1618185</v>
      </c>
      <c r="X1183" s="246">
        <f>IFERROR(VLOOKUP(J1183,PROGRAMAS[],2,FALSE),0)</f>
        <v>54223862.645839565</v>
      </c>
      <c r="Y1183" s="246">
        <f>IFERROR(VLOOKUP(K1183,PROGRAMAS[],2,FALSE),0)</f>
        <v>122159672.96346797</v>
      </c>
      <c r="Z1183" s="246">
        <f>IFERROR(VLOOKUP(L1183,PROGRAMAS[],2,FALSE),0)</f>
        <v>1892779498.5211046</v>
      </c>
      <c r="AA1183" s="246">
        <f>IFERROR(VLOOKUP(M1183,PROGRAMAS[],2,FALSE),0)</f>
        <v>0</v>
      </c>
      <c r="AB1183" s="246">
        <f>IFERROR(VLOOKUP(N1183,PROGRAMAS[],2,FALSE),0)</f>
        <v>0</v>
      </c>
      <c r="AC1183" s="246">
        <f>IFERROR(VLOOKUP(O1183,PROGRAMAS[],2,FALSE),0)</f>
        <v>0</v>
      </c>
      <c r="AD1183" s="246">
        <f>IFERROR(VLOOKUP(P1183,PROGRAMAS[],2,FALSE),0)</f>
        <v>0</v>
      </c>
      <c r="AE1183" s="246">
        <f>IFERROR(VLOOKUP(Q1183,PROGRAMAS[],2,FALSE),0)</f>
        <v>0</v>
      </c>
      <c r="AF1183" s="246">
        <f>IFERROR(VLOOKUP(D1183,PROGRAMAS[],3,FALSE),0)</f>
        <v>841888629.31080008</v>
      </c>
      <c r="AG1183" s="246">
        <f>IFERROR(VLOOKUP(E1183,PROGRAMAS[],3,FALSE),0)</f>
        <v>3848980803.1642323</v>
      </c>
      <c r="AH1183" s="246">
        <f>IFERROR(VLOOKUP(F1183,PROGRAMAS[],3,FALSE),0)</f>
        <v>3394901471.387517</v>
      </c>
      <c r="AI1183" s="246">
        <f>IFERROR(VLOOKUP(G1183,PROGRAMAS[],3,FALSE),0)</f>
        <v>125317226.95549992</v>
      </c>
      <c r="AJ1183" s="246">
        <f>IFERROR(VLOOKUP(H1183,PROGRAMAS[],3,FALSE),0)</f>
        <v>6129902208.7912121</v>
      </c>
      <c r="AK1183" s="246">
        <f>IFERROR(VLOOKUP(I1183,PROGRAMAS[],3,FALSE),0)</f>
        <v>7011279577.519702</v>
      </c>
      <c r="AL1183" s="246">
        <f>IFERROR(VLOOKUP(J1183,PROGRAMAS[],3,FALSE),0)</f>
        <v>31865326.38096505</v>
      </c>
      <c r="AM1183" s="246">
        <f>IFERROR(VLOOKUP(K1183,PROGRAMAS[],3,FALSE),0)</f>
        <v>118617452.52510804</v>
      </c>
      <c r="AN1183" s="246">
        <f>IFERROR(VLOOKUP(L1183,PROGRAMAS[],3,FALSE),0)</f>
        <v>948595847.09039903</v>
      </c>
      <c r="AO1183" s="246">
        <f>IFERROR(VLOOKUP(M1183,PROGRAMAS[],3,FALSE),0)</f>
        <v>0</v>
      </c>
      <c r="AP1183" s="246">
        <f>IFERROR(VLOOKUP(N1183,PROGRAMAS[],3,FALSE),0)</f>
        <v>0</v>
      </c>
      <c r="AQ1183" s="246">
        <f>IFERROR(VLOOKUP(O1183,PROGRAMAS[],3,FALSE),0)</f>
        <v>0</v>
      </c>
      <c r="AR1183" s="246">
        <f>IFERROR(VLOOKUP(P1183,PROGRAMAS[],3,FALSE),0)</f>
        <v>0</v>
      </c>
      <c r="AS1183" s="246">
        <f>IFERROR(VLOOKUP(Q1183,PROGRAMAS[],3,FALSE),0)</f>
        <v>0</v>
      </c>
      <c r="AT1183" s="246">
        <f>IFERROR(VLOOKUP(D1183,VOL_REC[],2,FALSE),0)</f>
        <v>0</v>
      </c>
      <c r="AU1183" s="246">
        <f>IFERROR(VLOOKUP(E1183,VOL_REC[],2,FALSE),0)</f>
        <v>0</v>
      </c>
      <c r="AV1183" s="246">
        <f>IFERROR(VLOOKUP(F1183,VOL_REC[],2,FALSE),0)</f>
        <v>11089674.200000001</v>
      </c>
      <c r="AW1183" s="246">
        <f>IFERROR(VLOOKUP(G1183,VOL_REC[],2,FALSE),0)</f>
        <v>90439.55</v>
      </c>
      <c r="AX1183" s="246">
        <f>IFERROR(VLOOKUP(H1183,VOL_REC[],2,FALSE),0)</f>
        <v>15540036.397699751</v>
      </c>
      <c r="AY1183" s="246">
        <f>IFERROR(VLOOKUP(I1183,VOL_REC[],2,FALSE),0)</f>
        <v>3761786</v>
      </c>
      <c r="AZ1183" s="246">
        <f>IFERROR(VLOOKUP(J1183,VOL_REC[],2,FALSE),0)</f>
        <v>17074.045034105649</v>
      </c>
      <c r="BA1183" s="246">
        <f>IFERROR(VLOOKUP(K1183,VOL_REC[],2,FALSE),0)</f>
        <v>105072</v>
      </c>
      <c r="BB1183" s="246">
        <f>IFERROR(VLOOKUP(L1183,VOL_REC[],2,FALSE),0)</f>
        <v>740113.98115702497</v>
      </c>
      <c r="BC1183" s="246">
        <f>IFERROR(VLOOKUP(M1183,VOL_REC[],2,FALSE),0)</f>
        <v>0</v>
      </c>
      <c r="BD1183" s="246">
        <f>IFERROR(VLOOKUP(N1183,VOL_REC[],2,FALSE),0)</f>
        <v>0</v>
      </c>
      <c r="BE1183" s="246">
        <f>IFERROR(VLOOKUP(O1183,VOL_REC[],2,FALSE),0)</f>
        <v>0</v>
      </c>
      <c r="BF1183" s="246">
        <f>IFERROR(VLOOKUP(P1183,VOL_REC[],2,FALSE),0)</f>
        <v>0</v>
      </c>
      <c r="BG1183" s="246">
        <f>IFERROR(VLOOKUP(Q1183,VOL_REC[],2,FALSE),0)</f>
        <v>0</v>
      </c>
      <c r="BH1183" s="1710">
        <f t="shared" si="72"/>
        <v>18972955651.684044</v>
      </c>
      <c r="BI1183" s="1710">
        <f t="shared" si="73"/>
        <v>22451348543.125439</v>
      </c>
      <c r="BJ1183" s="1711">
        <f t="shared" si="74"/>
        <v>31344196.173890881</v>
      </c>
      <c r="BK1183" s="1711">
        <f t="shared" si="75"/>
        <v>0.84506975673376772</v>
      </c>
    </row>
    <row r="1184" spans="3:67" x14ac:dyDescent="0.25">
      <c r="C1184" s="246" t="s">
        <v>2534</v>
      </c>
      <c r="D1184" s="246">
        <v>1</v>
      </c>
      <c r="E1184" s="246">
        <v>2</v>
      </c>
      <c r="F1184" s="246">
        <v>3</v>
      </c>
      <c r="G1184" s="246">
        <v>4</v>
      </c>
      <c r="H1184" s="246">
        <v>6</v>
      </c>
      <c r="I1184" s="246">
        <v>9</v>
      </c>
      <c r="J1184" s="246">
        <v>14</v>
      </c>
      <c r="K1184" s="246">
        <v>16</v>
      </c>
      <c r="L1184" s="246">
        <v>17</v>
      </c>
      <c r="M1184" s="246"/>
      <c r="N1184" s="246"/>
      <c r="O1184" s="246"/>
      <c r="P1184" s="246"/>
      <c r="Q1184" s="246"/>
      <c r="R1184" s="246">
        <f>IFERROR(VLOOKUP(D1184,PROGRAMAS[],2,FALSE),0)</f>
        <v>97037803.679377079</v>
      </c>
      <c r="S1184" s="246">
        <f>IFERROR(VLOOKUP(E1184,PROGRAMAS[],2,FALSE),0)</f>
        <v>640501509.6821388</v>
      </c>
      <c r="T1184" s="246">
        <f>IFERROR(VLOOKUP(F1184,PROGRAMAS[],2,FALSE),0)</f>
        <v>3062327798.1525245</v>
      </c>
      <c r="U1184" s="246">
        <f>IFERROR(VLOOKUP(G1184,PROGRAMAS[],2,FALSE),0)</f>
        <v>67697118.033011258</v>
      </c>
      <c r="V1184" s="246">
        <f>IFERROR(VLOOKUP(H1184,PROGRAMAS[],2,FALSE),0)</f>
        <v>6907648435.8447599</v>
      </c>
      <c r="W1184" s="246">
        <f>IFERROR(VLOOKUP(I1184,PROGRAMAS[],2,FALSE),0)</f>
        <v>6128579952.1618185</v>
      </c>
      <c r="X1184" s="246">
        <f>IFERROR(VLOOKUP(J1184,PROGRAMAS[],2,FALSE),0)</f>
        <v>54223862.645839565</v>
      </c>
      <c r="Y1184" s="246">
        <f>IFERROR(VLOOKUP(K1184,PROGRAMAS[],2,FALSE),0)</f>
        <v>7068496961.0436354</v>
      </c>
      <c r="Z1184" s="246">
        <f>IFERROR(VLOOKUP(L1184,PROGRAMAS[],2,FALSE),0)</f>
        <v>1892779498.5211046</v>
      </c>
      <c r="AA1184" s="246">
        <f>IFERROR(VLOOKUP(M1184,PROGRAMAS[],2,FALSE),0)</f>
        <v>0</v>
      </c>
      <c r="AB1184" s="246">
        <f>IFERROR(VLOOKUP(N1184,PROGRAMAS[],2,FALSE),0)</f>
        <v>0</v>
      </c>
      <c r="AC1184" s="246">
        <f>IFERROR(VLOOKUP(O1184,PROGRAMAS[],2,FALSE),0)</f>
        <v>0</v>
      </c>
      <c r="AD1184" s="246">
        <f>IFERROR(VLOOKUP(P1184,PROGRAMAS[],2,FALSE),0)</f>
        <v>0</v>
      </c>
      <c r="AE1184" s="246">
        <f>IFERROR(VLOOKUP(Q1184,PROGRAMAS[],2,FALSE),0)</f>
        <v>0</v>
      </c>
      <c r="AF1184" s="246">
        <f>IFERROR(VLOOKUP(D1184,PROGRAMAS[],3,FALSE),0)</f>
        <v>841888629.31080008</v>
      </c>
      <c r="AG1184" s="246">
        <f>IFERROR(VLOOKUP(E1184,PROGRAMAS[],3,FALSE),0)</f>
        <v>3848980803.1642323</v>
      </c>
      <c r="AH1184" s="246">
        <f>IFERROR(VLOOKUP(F1184,PROGRAMAS[],3,FALSE),0)</f>
        <v>3394901471.387517</v>
      </c>
      <c r="AI1184" s="246">
        <f>IFERROR(VLOOKUP(G1184,PROGRAMAS[],3,FALSE),0)</f>
        <v>125317226.95549992</v>
      </c>
      <c r="AJ1184" s="246">
        <f>IFERROR(VLOOKUP(H1184,PROGRAMAS[],3,FALSE),0)</f>
        <v>6129902208.7912121</v>
      </c>
      <c r="AK1184" s="246">
        <f>IFERROR(VLOOKUP(I1184,PROGRAMAS[],3,FALSE),0)</f>
        <v>7011279577.519702</v>
      </c>
      <c r="AL1184" s="246">
        <f>IFERROR(VLOOKUP(J1184,PROGRAMAS[],3,FALSE),0)</f>
        <v>31865326.38096505</v>
      </c>
      <c r="AM1184" s="246">
        <f>IFERROR(VLOOKUP(K1184,PROGRAMAS[],3,FALSE),0)</f>
        <v>2406564599.0319901</v>
      </c>
      <c r="AN1184" s="246">
        <f>IFERROR(VLOOKUP(L1184,PROGRAMAS[],3,FALSE),0)</f>
        <v>948595847.09039903</v>
      </c>
      <c r="AO1184" s="246">
        <f>IFERROR(VLOOKUP(M1184,PROGRAMAS[],3,FALSE),0)</f>
        <v>0</v>
      </c>
      <c r="AP1184" s="246">
        <f>IFERROR(VLOOKUP(N1184,PROGRAMAS[],3,FALSE),0)</f>
        <v>0</v>
      </c>
      <c r="AQ1184" s="246">
        <f>IFERROR(VLOOKUP(O1184,PROGRAMAS[],3,FALSE),0)</f>
        <v>0</v>
      </c>
      <c r="AR1184" s="246">
        <f>IFERROR(VLOOKUP(P1184,PROGRAMAS[],3,FALSE),0)</f>
        <v>0</v>
      </c>
      <c r="AS1184" s="246">
        <f>IFERROR(VLOOKUP(Q1184,PROGRAMAS[],3,FALSE),0)</f>
        <v>0</v>
      </c>
      <c r="AT1184" s="246">
        <f>IFERROR(VLOOKUP(D1184,VOL_REC[],2,FALSE),0)</f>
        <v>0</v>
      </c>
      <c r="AU1184" s="246">
        <f>IFERROR(VLOOKUP(E1184,VOL_REC[],2,FALSE),0)</f>
        <v>0</v>
      </c>
      <c r="AV1184" s="246">
        <f>IFERROR(VLOOKUP(F1184,VOL_REC[],2,FALSE),0)</f>
        <v>11089674.200000001</v>
      </c>
      <c r="AW1184" s="246">
        <f>IFERROR(VLOOKUP(G1184,VOL_REC[],2,FALSE),0)</f>
        <v>90439.55</v>
      </c>
      <c r="AX1184" s="246">
        <f>IFERROR(VLOOKUP(H1184,VOL_REC[],2,FALSE),0)</f>
        <v>15540036.397699751</v>
      </c>
      <c r="AY1184" s="246">
        <f>IFERROR(VLOOKUP(I1184,VOL_REC[],2,FALSE),0)</f>
        <v>3761786</v>
      </c>
      <c r="AZ1184" s="246">
        <f>IFERROR(VLOOKUP(J1184,VOL_REC[],2,FALSE),0)</f>
        <v>17074.045034105649</v>
      </c>
      <c r="BA1184" s="246">
        <f>IFERROR(VLOOKUP(K1184,VOL_REC[],2,FALSE),0)</f>
        <v>1072354.9981737854</v>
      </c>
      <c r="BB1184" s="246">
        <f>IFERROR(VLOOKUP(L1184,VOL_REC[],2,FALSE),0)</f>
        <v>740113.98115702497</v>
      </c>
      <c r="BC1184" s="246">
        <f>IFERROR(VLOOKUP(M1184,VOL_REC[],2,FALSE),0)</f>
        <v>0</v>
      </c>
      <c r="BD1184" s="246">
        <f>IFERROR(VLOOKUP(N1184,VOL_REC[],2,FALSE),0)</f>
        <v>0</v>
      </c>
      <c r="BE1184" s="246">
        <f>IFERROR(VLOOKUP(O1184,VOL_REC[],2,FALSE),0)</f>
        <v>0</v>
      </c>
      <c r="BF1184" s="246">
        <f>IFERROR(VLOOKUP(P1184,VOL_REC[],2,FALSE),0)</f>
        <v>0</v>
      </c>
      <c r="BG1184" s="246">
        <f>IFERROR(VLOOKUP(Q1184,VOL_REC[],2,FALSE),0)</f>
        <v>0</v>
      </c>
      <c r="BH1184" s="1710">
        <f t="shared" si="72"/>
        <v>25919292939.76421</v>
      </c>
      <c r="BI1184" s="1710">
        <f t="shared" si="73"/>
        <v>24739295689.63232</v>
      </c>
      <c r="BJ1184" s="1711">
        <f t="shared" si="74"/>
        <v>32311479.172064666</v>
      </c>
      <c r="BK1184" s="1711">
        <f t="shared" si="75"/>
        <v>1.0476972855224169</v>
      </c>
      <c r="BL1184">
        <f>BJ1184</f>
        <v>32311479.172064666</v>
      </c>
      <c r="BO1184">
        <f>BL1184</f>
        <v>32311479.172064666</v>
      </c>
    </row>
    <row r="1185" spans="3:67" x14ac:dyDescent="0.25">
      <c r="C1185" s="246" t="s">
        <v>2535</v>
      </c>
      <c r="D1185" s="246">
        <v>1</v>
      </c>
      <c r="E1185" s="246">
        <v>2</v>
      </c>
      <c r="F1185" s="246">
        <v>3</v>
      </c>
      <c r="G1185" s="246">
        <v>4</v>
      </c>
      <c r="H1185" s="246">
        <v>6</v>
      </c>
      <c r="I1185" s="246">
        <v>9</v>
      </c>
      <c r="J1185" s="246">
        <v>15</v>
      </c>
      <c r="K1185" s="246">
        <v>16</v>
      </c>
      <c r="L1185" s="246">
        <v>17</v>
      </c>
      <c r="M1185" s="246"/>
      <c r="N1185" s="246"/>
      <c r="O1185" s="246"/>
      <c r="P1185" s="246"/>
      <c r="Q1185" s="246"/>
      <c r="R1185" s="246">
        <f>IFERROR(VLOOKUP(D1185,PROGRAMAS[],2,FALSE),0)</f>
        <v>97037803.679377079</v>
      </c>
      <c r="S1185" s="246">
        <f>IFERROR(VLOOKUP(E1185,PROGRAMAS[],2,FALSE),0)</f>
        <v>640501509.6821388</v>
      </c>
      <c r="T1185" s="246">
        <f>IFERROR(VLOOKUP(F1185,PROGRAMAS[],2,FALSE),0)</f>
        <v>3062327798.1525245</v>
      </c>
      <c r="U1185" s="246">
        <f>IFERROR(VLOOKUP(G1185,PROGRAMAS[],2,FALSE),0)</f>
        <v>67697118.033011258</v>
      </c>
      <c r="V1185" s="246">
        <f>IFERROR(VLOOKUP(H1185,PROGRAMAS[],2,FALSE),0)</f>
        <v>6907648435.8447599</v>
      </c>
      <c r="W1185" s="246">
        <f>IFERROR(VLOOKUP(I1185,PROGRAMAS[],2,FALSE),0)</f>
        <v>6128579952.1618185</v>
      </c>
      <c r="X1185" s="246">
        <f>IFERROR(VLOOKUP(J1185,PROGRAMAS[],2,FALSE),0)</f>
        <v>122159672.96346797</v>
      </c>
      <c r="Y1185" s="246">
        <f>IFERROR(VLOOKUP(K1185,PROGRAMAS[],2,FALSE),0)</f>
        <v>7068496961.0436354</v>
      </c>
      <c r="Z1185" s="246">
        <f>IFERROR(VLOOKUP(L1185,PROGRAMAS[],2,FALSE),0)</f>
        <v>1892779498.5211046</v>
      </c>
      <c r="AA1185" s="246">
        <f>IFERROR(VLOOKUP(M1185,PROGRAMAS[],2,FALSE),0)</f>
        <v>0</v>
      </c>
      <c r="AB1185" s="246">
        <f>IFERROR(VLOOKUP(N1185,PROGRAMAS[],2,FALSE),0)</f>
        <v>0</v>
      </c>
      <c r="AC1185" s="246">
        <f>IFERROR(VLOOKUP(O1185,PROGRAMAS[],2,FALSE),0)</f>
        <v>0</v>
      </c>
      <c r="AD1185" s="246">
        <f>IFERROR(VLOOKUP(P1185,PROGRAMAS[],2,FALSE),0)</f>
        <v>0</v>
      </c>
      <c r="AE1185" s="246">
        <f>IFERROR(VLOOKUP(Q1185,PROGRAMAS[],2,FALSE),0)</f>
        <v>0</v>
      </c>
      <c r="AF1185" s="246">
        <f>IFERROR(VLOOKUP(D1185,PROGRAMAS[],3,FALSE),0)</f>
        <v>841888629.31080008</v>
      </c>
      <c r="AG1185" s="246">
        <f>IFERROR(VLOOKUP(E1185,PROGRAMAS[],3,FALSE),0)</f>
        <v>3848980803.1642323</v>
      </c>
      <c r="AH1185" s="246">
        <f>IFERROR(VLOOKUP(F1185,PROGRAMAS[],3,FALSE),0)</f>
        <v>3394901471.387517</v>
      </c>
      <c r="AI1185" s="246">
        <f>IFERROR(VLOOKUP(G1185,PROGRAMAS[],3,FALSE),0)</f>
        <v>125317226.95549992</v>
      </c>
      <c r="AJ1185" s="246">
        <f>IFERROR(VLOOKUP(H1185,PROGRAMAS[],3,FALSE),0)</f>
        <v>6129902208.7912121</v>
      </c>
      <c r="AK1185" s="246">
        <f>IFERROR(VLOOKUP(I1185,PROGRAMAS[],3,FALSE),0)</f>
        <v>7011279577.519702</v>
      </c>
      <c r="AL1185" s="246">
        <f>IFERROR(VLOOKUP(J1185,PROGRAMAS[],3,FALSE),0)</f>
        <v>118617452.52510804</v>
      </c>
      <c r="AM1185" s="246">
        <f>IFERROR(VLOOKUP(K1185,PROGRAMAS[],3,FALSE),0)</f>
        <v>2406564599.0319901</v>
      </c>
      <c r="AN1185" s="246">
        <f>IFERROR(VLOOKUP(L1185,PROGRAMAS[],3,FALSE),0)</f>
        <v>948595847.09039903</v>
      </c>
      <c r="AO1185" s="246">
        <f>IFERROR(VLOOKUP(M1185,PROGRAMAS[],3,FALSE),0)</f>
        <v>0</v>
      </c>
      <c r="AP1185" s="246">
        <f>IFERROR(VLOOKUP(N1185,PROGRAMAS[],3,FALSE),0)</f>
        <v>0</v>
      </c>
      <c r="AQ1185" s="246">
        <f>IFERROR(VLOOKUP(O1185,PROGRAMAS[],3,FALSE),0)</f>
        <v>0</v>
      </c>
      <c r="AR1185" s="246">
        <f>IFERROR(VLOOKUP(P1185,PROGRAMAS[],3,FALSE),0)</f>
        <v>0</v>
      </c>
      <c r="AS1185" s="246">
        <f>IFERROR(VLOOKUP(Q1185,PROGRAMAS[],3,FALSE),0)</f>
        <v>0</v>
      </c>
      <c r="AT1185" s="246">
        <f>IFERROR(VLOOKUP(D1185,VOL_REC[],2,FALSE),0)</f>
        <v>0</v>
      </c>
      <c r="AU1185" s="246">
        <f>IFERROR(VLOOKUP(E1185,VOL_REC[],2,FALSE),0)</f>
        <v>0</v>
      </c>
      <c r="AV1185" s="246">
        <f>IFERROR(VLOOKUP(F1185,VOL_REC[],2,FALSE),0)</f>
        <v>11089674.200000001</v>
      </c>
      <c r="AW1185" s="246">
        <f>IFERROR(VLOOKUP(G1185,VOL_REC[],2,FALSE),0)</f>
        <v>90439.55</v>
      </c>
      <c r="AX1185" s="246">
        <f>IFERROR(VLOOKUP(H1185,VOL_REC[],2,FALSE),0)</f>
        <v>15540036.397699751</v>
      </c>
      <c r="AY1185" s="246">
        <f>IFERROR(VLOOKUP(I1185,VOL_REC[],2,FALSE),0)</f>
        <v>3761786</v>
      </c>
      <c r="AZ1185" s="246">
        <f>IFERROR(VLOOKUP(J1185,VOL_REC[],2,FALSE),0)</f>
        <v>105072</v>
      </c>
      <c r="BA1185" s="246">
        <f>IFERROR(VLOOKUP(K1185,VOL_REC[],2,FALSE),0)</f>
        <v>1072354.9981737854</v>
      </c>
      <c r="BB1185" s="246">
        <f>IFERROR(VLOOKUP(L1185,VOL_REC[],2,FALSE),0)</f>
        <v>740113.98115702497</v>
      </c>
      <c r="BC1185" s="246">
        <f>IFERROR(VLOOKUP(M1185,VOL_REC[],2,FALSE),0)</f>
        <v>0</v>
      </c>
      <c r="BD1185" s="246">
        <f>IFERROR(VLOOKUP(N1185,VOL_REC[],2,FALSE),0)</f>
        <v>0</v>
      </c>
      <c r="BE1185" s="246">
        <f>IFERROR(VLOOKUP(O1185,VOL_REC[],2,FALSE),0)</f>
        <v>0</v>
      </c>
      <c r="BF1185" s="246">
        <f>IFERROR(VLOOKUP(P1185,VOL_REC[],2,FALSE),0)</f>
        <v>0</v>
      </c>
      <c r="BG1185" s="246">
        <f>IFERROR(VLOOKUP(Q1185,VOL_REC[],2,FALSE),0)</f>
        <v>0</v>
      </c>
      <c r="BH1185" s="1710">
        <f t="shared" si="72"/>
        <v>25987228750.081837</v>
      </c>
      <c r="BI1185" s="1710">
        <f t="shared" si="73"/>
        <v>24826047815.776463</v>
      </c>
      <c r="BJ1185" s="1711">
        <f t="shared" si="74"/>
        <v>32399477.127030559</v>
      </c>
      <c r="BK1185" s="1711">
        <f t="shared" si="75"/>
        <v>1.0467726858065369</v>
      </c>
      <c r="BL1185">
        <f>BJ1185</f>
        <v>32399477.127030559</v>
      </c>
      <c r="BO1185">
        <f>BL1185</f>
        <v>32399477.127030559</v>
      </c>
    </row>
    <row r="1186" spans="3:67" x14ac:dyDescent="0.25">
      <c r="C1186" s="246" t="s">
        <v>2536</v>
      </c>
      <c r="D1186" s="246">
        <v>1</v>
      </c>
      <c r="E1186" s="246">
        <v>2</v>
      </c>
      <c r="F1186" s="246">
        <v>3</v>
      </c>
      <c r="G1186" s="246">
        <v>4</v>
      </c>
      <c r="H1186" s="246">
        <v>6</v>
      </c>
      <c r="I1186" s="246">
        <v>10</v>
      </c>
      <c r="J1186" s="246">
        <v>12</v>
      </c>
      <c r="K1186" s="246">
        <v>13</v>
      </c>
      <c r="L1186" s="246">
        <v>14</v>
      </c>
      <c r="M1186" s="246"/>
      <c r="N1186" s="246"/>
      <c r="O1186" s="246"/>
      <c r="P1186" s="246"/>
      <c r="Q1186" s="246"/>
      <c r="R1186" s="246">
        <f>IFERROR(VLOOKUP(D1186,PROGRAMAS[],2,FALSE),0)</f>
        <v>97037803.679377079</v>
      </c>
      <c r="S1186" s="246">
        <f>IFERROR(VLOOKUP(E1186,PROGRAMAS[],2,FALSE),0)</f>
        <v>640501509.6821388</v>
      </c>
      <c r="T1186" s="246">
        <f>IFERROR(VLOOKUP(F1186,PROGRAMAS[],2,FALSE),0)</f>
        <v>3062327798.1525245</v>
      </c>
      <c r="U1186" s="246">
        <f>IFERROR(VLOOKUP(G1186,PROGRAMAS[],2,FALSE),0)</f>
        <v>67697118.033011258</v>
      </c>
      <c r="V1186" s="246">
        <f>IFERROR(VLOOKUP(H1186,PROGRAMAS[],2,FALSE),0)</f>
        <v>6907648435.8447599</v>
      </c>
      <c r="W1186" s="246">
        <f>IFERROR(VLOOKUP(I1186,PROGRAMAS[],2,FALSE),0)</f>
        <v>4635315027.8751087</v>
      </c>
      <c r="X1186" s="246">
        <f>IFERROR(VLOOKUP(J1186,PROGRAMAS[],2,FALSE),0)</f>
        <v>764796700.79905891</v>
      </c>
      <c r="Y1186" s="246">
        <f>IFERROR(VLOOKUP(K1186,PROGRAMAS[],2,FALSE),0)</f>
        <v>3776538594.4604583</v>
      </c>
      <c r="Z1186" s="246">
        <f>IFERROR(VLOOKUP(L1186,PROGRAMAS[],2,FALSE),0)</f>
        <v>54223862.645839565</v>
      </c>
      <c r="AA1186" s="246">
        <f>IFERROR(VLOOKUP(M1186,PROGRAMAS[],2,FALSE),0)</f>
        <v>0</v>
      </c>
      <c r="AB1186" s="246">
        <f>IFERROR(VLOOKUP(N1186,PROGRAMAS[],2,FALSE),0)</f>
        <v>0</v>
      </c>
      <c r="AC1186" s="246">
        <f>IFERROR(VLOOKUP(O1186,PROGRAMAS[],2,FALSE),0)</f>
        <v>0</v>
      </c>
      <c r="AD1186" s="246">
        <f>IFERROR(VLOOKUP(P1186,PROGRAMAS[],2,FALSE),0)</f>
        <v>0</v>
      </c>
      <c r="AE1186" s="246">
        <f>IFERROR(VLOOKUP(Q1186,PROGRAMAS[],2,FALSE),0)</f>
        <v>0</v>
      </c>
      <c r="AF1186" s="246">
        <f>IFERROR(VLOOKUP(D1186,PROGRAMAS[],3,FALSE),0)</f>
        <v>841888629.31080008</v>
      </c>
      <c r="AG1186" s="246">
        <f>IFERROR(VLOOKUP(E1186,PROGRAMAS[],3,FALSE),0)</f>
        <v>3848980803.1642323</v>
      </c>
      <c r="AH1186" s="246">
        <f>IFERROR(VLOOKUP(F1186,PROGRAMAS[],3,FALSE),0)</f>
        <v>3394901471.387517</v>
      </c>
      <c r="AI1186" s="246">
        <f>IFERROR(VLOOKUP(G1186,PROGRAMAS[],3,FALSE),0)</f>
        <v>125317226.95549992</v>
      </c>
      <c r="AJ1186" s="246">
        <f>IFERROR(VLOOKUP(H1186,PROGRAMAS[],3,FALSE),0)</f>
        <v>6129902208.7912121</v>
      </c>
      <c r="AK1186" s="246">
        <f>IFERROR(VLOOKUP(I1186,PROGRAMAS[],3,FALSE),0)</f>
        <v>4099471734.9978786</v>
      </c>
      <c r="AL1186" s="246">
        <f>IFERROR(VLOOKUP(J1186,PROGRAMAS[],3,FALSE),0)</f>
        <v>675517840.109828</v>
      </c>
      <c r="AM1186" s="246">
        <f>IFERROR(VLOOKUP(K1186,PROGRAMAS[],3,FALSE),0)</f>
        <v>2392571243.5584412</v>
      </c>
      <c r="AN1186" s="246">
        <f>IFERROR(VLOOKUP(L1186,PROGRAMAS[],3,FALSE),0)</f>
        <v>31865326.38096505</v>
      </c>
      <c r="AO1186" s="246">
        <f>IFERROR(VLOOKUP(M1186,PROGRAMAS[],3,FALSE),0)</f>
        <v>0</v>
      </c>
      <c r="AP1186" s="246">
        <f>IFERROR(VLOOKUP(N1186,PROGRAMAS[],3,FALSE),0)</f>
        <v>0</v>
      </c>
      <c r="AQ1186" s="246">
        <f>IFERROR(VLOOKUP(O1186,PROGRAMAS[],3,FALSE),0)</f>
        <v>0</v>
      </c>
      <c r="AR1186" s="246">
        <f>IFERROR(VLOOKUP(P1186,PROGRAMAS[],3,FALSE),0)</f>
        <v>0</v>
      </c>
      <c r="AS1186" s="246">
        <f>IFERROR(VLOOKUP(Q1186,PROGRAMAS[],3,FALSE),0)</f>
        <v>0</v>
      </c>
      <c r="AT1186" s="246">
        <f>IFERROR(VLOOKUP(D1186,VOL_REC[],2,FALSE),0)</f>
        <v>0</v>
      </c>
      <c r="AU1186" s="246">
        <f>IFERROR(VLOOKUP(E1186,VOL_REC[],2,FALSE),0)</f>
        <v>0</v>
      </c>
      <c r="AV1186" s="246">
        <f>IFERROR(VLOOKUP(F1186,VOL_REC[],2,FALSE),0)</f>
        <v>11089674.200000001</v>
      </c>
      <c r="AW1186" s="246">
        <f>IFERROR(VLOOKUP(G1186,VOL_REC[],2,FALSE),0)</f>
        <v>90439.55</v>
      </c>
      <c r="AX1186" s="246">
        <f>IFERROR(VLOOKUP(H1186,VOL_REC[],2,FALSE),0)</f>
        <v>15540036.397699751</v>
      </c>
      <c r="AY1186" s="246">
        <f>IFERROR(VLOOKUP(I1186,VOL_REC[],2,FALSE),0)</f>
        <v>1812240</v>
      </c>
      <c r="AZ1186" s="246">
        <f>IFERROR(VLOOKUP(J1186,VOL_REC[],2,FALSE),0)</f>
        <v>240696.79238099116</v>
      </c>
      <c r="BA1186" s="246">
        <f>IFERROR(VLOOKUP(K1186,VOL_REC[],2,FALSE),0)</f>
        <v>663244.80000000016</v>
      </c>
      <c r="BB1186" s="246">
        <f>IFERROR(VLOOKUP(L1186,VOL_REC[],2,FALSE),0)</f>
        <v>17074.045034105649</v>
      </c>
      <c r="BC1186" s="246">
        <f>IFERROR(VLOOKUP(M1186,VOL_REC[],2,FALSE),0)</f>
        <v>0</v>
      </c>
      <c r="BD1186" s="246">
        <f>IFERROR(VLOOKUP(N1186,VOL_REC[],2,FALSE),0)</f>
        <v>0</v>
      </c>
      <c r="BE1186" s="246">
        <f>IFERROR(VLOOKUP(O1186,VOL_REC[],2,FALSE),0)</f>
        <v>0</v>
      </c>
      <c r="BF1186" s="246">
        <f>IFERROR(VLOOKUP(P1186,VOL_REC[],2,FALSE),0)</f>
        <v>0</v>
      </c>
      <c r="BG1186" s="246">
        <f>IFERROR(VLOOKUP(Q1186,VOL_REC[],2,FALSE),0)</f>
        <v>0</v>
      </c>
      <c r="BH1186" s="1710">
        <f t="shared" si="72"/>
        <v>20006086851.172276</v>
      </c>
      <c r="BI1186" s="1710">
        <f t="shared" si="73"/>
        <v>21540416484.656376</v>
      </c>
      <c r="BJ1186" s="1711">
        <f t="shared" si="74"/>
        <v>29453405.785114851</v>
      </c>
      <c r="BK1186" s="1711">
        <f t="shared" si="75"/>
        <v>0.92876973225763626</v>
      </c>
    </row>
    <row r="1187" spans="3:67" x14ac:dyDescent="0.25">
      <c r="C1187" s="246" t="s">
        <v>2537</v>
      </c>
      <c r="D1187" s="246">
        <v>1</v>
      </c>
      <c r="E1187" s="246">
        <v>2</v>
      </c>
      <c r="F1187" s="246">
        <v>3</v>
      </c>
      <c r="G1187" s="246">
        <v>4</v>
      </c>
      <c r="H1187" s="246">
        <v>6</v>
      </c>
      <c r="I1187" s="246">
        <v>10</v>
      </c>
      <c r="J1187" s="246">
        <v>12</v>
      </c>
      <c r="K1187" s="246">
        <v>13</v>
      </c>
      <c r="L1187" s="246">
        <v>15</v>
      </c>
      <c r="M1187" s="246"/>
      <c r="N1187" s="246"/>
      <c r="O1187" s="246"/>
      <c r="P1187" s="246"/>
      <c r="Q1187" s="246"/>
      <c r="R1187" s="246">
        <f>IFERROR(VLOOKUP(D1187,PROGRAMAS[],2,FALSE),0)</f>
        <v>97037803.679377079</v>
      </c>
      <c r="S1187" s="246">
        <f>IFERROR(VLOOKUP(E1187,PROGRAMAS[],2,FALSE),0)</f>
        <v>640501509.6821388</v>
      </c>
      <c r="T1187" s="246">
        <f>IFERROR(VLOOKUP(F1187,PROGRAMAS[],2,FALSE),0)</f>
        <v>3062327798.1525245</v>
      </c>
      <c r="U1187" s="246">
        <f>IFERROR(VLOOKUP(G1187,PROGRAMAS[],2,FALSE),0)</f>
        <v>67697118.033011258</v>
      </c>
      <c r="V1187" s="246">
        <f>IFERROR(VLOOKUP(H1187,PROGRAMAS[],2,FALSE),0)</f>
        <v>6907648435.8447599</v>
      </c>
      <c r="W1187" s="246">
        <f>IFERROR(VLOOKUP(I1187,PROGRAMAS[],2,FALSE),0)</f>
        <v>4635315027.8751087</v>
      </c>
      <c r="X1187" s="246">
        <f>IFERROR(VLOOKUP(J1187,PROGRAMAS[],2,FALSE),0)</f>
        <v>764796700.79905891</v>
      </c>
      <c r="Y1187" s="246">
        <f>IFERROR(VLOOKUP(K1187,PROGRAMAS[],2,FALSE),0)</f>
        <v>3776538594.4604583</v>
      </c>
      <c r="Z1187" s="246">
        <f>IFERROR(VLOOKUP(L1187,PROGRAMAS[],2,FALSE),0)</f>
        <v>122159672.96346797</v>
      </c>
      <c r="AA1187" s="246">
        <f>IFERROR(VLOOKUP(M1187,PROGRAMAS[],2,FALSE),0)</f>
        <v>0</v>
      </c>
      <c r="AB1187" s="246">
        <f>IFERROR(VLOOKUP(N1187,PROGRAMAS[],2,FALSE),0)</f>
        <v>0</v>
      </c>
      <c r="AC1187" s="246">
        <f>IFERROR(VLOOKUP(O1187,PROGRAMAS[],2,FALSE),0)</f>
        <v>0</v>
      </c>
      <c r="AD1187" s="246">
        <f>IFERROR(VLOOKUP(P1187,PROGRAMAS[],2,FALSE),0)</f>
        <v>0</v>
      </c>
      <c r="AE1187" s="246">
        <f>IFERROR(VLOOKUP(Q1187,PROGRAMAS[],2,FALSE),0)</f>
        <v>0</v>
      </c>
      <c r="AF1187" s="246">
        <f>IFERROR(VLOOKUP(D1187,PROGRAMAS[],3,FALSE),0)</f>
        <v>841888629.31080008</v>
      </c>
      <c r="AG1187" s="246">
        <f>IFERROR(VLOOKUP(E1187,PROGRAMAS[],3,FALSE),0)</f>
        <v>3848980803.1642323</v>
      </c>
      <c r="AH1187" s="246">
        <f>IFERROR(VLOOKUP(F1187,PROGRAMAS[],3,FALSE),0)</f>
        <v>3394901471.387517</v>
      </c>
      <c r="AI1187" s="246">
        <f>IFERROR(VLOOKUP(G1187,PROGRAMAS[],3,FALSE),0)</f>
        <v>125317226.95549992</v>
      </c>
      <c r="AJ1187" s="246">
        <f>IFERROR(VLOOKUP(H1187,PROGRAMAS[],3,FALSE),0)</f>
        <v>6129902208.7912121</v>
      </c>
      <c r="AK1187" s="246">
        <f>IFERROR(VLOOKUP(I1187,PROGRAMAS[],3,FALSE),0)</f>
        <v>4099471734.9978786</v>
      </c>
      <c r="AL1187" s="246">
        <f>IFERROR(VLOOKUP(J1187,PROGRAMAS[],3,FALSE),0)</f>
        <v>675517840.109828</v>
      </c>
      <c r="AM1187" s="246">
        <f>IFERROR(VLOOKUP(K1187,PROGRAMAS[],3,FALSE),0)</f>
        <v>2392571243.5584412</v>
      </c>
      <c r="AN1187" s="246">
        <f>IFERROR(VLOOKUP(L1187,PROGRAMAS[],3,FALSE),0)</f>
        <v>118617452.52510804</v>
      </c>
      <c r="AO1187" s="246">
        <f>IFERROR(VLOOKUP(M1187,PROGRAMAS[],3,FALSE),0)</f>
        <v>0</v>
      </c>
      <c r="AP1187" s="246">
        <f>IFERROR(VLOOKUP(N1187,PROGRAMAS[],3,FALSE),0)</f>
        <v>0</v>
      </c>
      <c r="AQ1187" s="246">
        <f>IFERROR(VLOOKUP(O1187,PROGRAMAS[],3,FALSE),0)</f>
        <v>0</v>
      </c>
      <c r="AR1187" s="246">
        <f>IFERROR(VLOOKUP(P1187,PROGRAMAS[],3,FALSE),0)</f>
        <v>0</v>
      </c>
      <c r="AS1187" s="246">
        <f>IFERROR(VLOOKUP(Q1187,PROGRAMAS[],3,FALSE),0)</f>
        <v>0</v>
      </c>
      <c r="AT1187" s="246">
        <f>IFERROR(VLOOKUP(D1187,VOL_REC[],2,FALSE),0)</f>
        <v>0</v>
      </c>
      <c r="AU1187" s="246">
        <f>IFERROR(VLOOKUP(E1187,VOL_REC[],2,FALSE),0)</f>
        <v>0</v>
      </c>
      <c r="AV1187" s="246">
        <f>IFERROR(VLOOKUP(F1187,VOL_REC[],2,FALSE),0)</f>
        <v>11089674.200000001</v>
      </c>
      <c r="AW1187" s="246">
        <f>IFERROR(VLOOKUP(G1187,VOL_REC[],2,FALSE),0)</f>
        <v>90439.55</v>
      </c>
      <c r="AX1187" s="246">
        <f>IFERROR(VLOOKUP(H1187,VOL_REC[],2,FALSE),0)</f>
        <v>15540036.397699751</v>
      </c>
      <c r="AY1187" s="246">
        <f>IFERROR(VLOOKUP(I1187,VOL_REC[],2,FALSE),0)</f>
        <v>1812240</v>
      </c>
      <c r="AZ1187" s="246">
        <f>IFERROR(VLOOKUP(J1187,VOL_REC[],2,FALSE),0)</f>
        <v>240696.79238099116</v>
      </c>
      <c r="BA1187" s="246">
        <f>IFERROR(VLOOKUP(K1187,VOL_REC[],2,FALSE),0)</f>
        <v>663244.80000000016</v>
      </c>
      <c r="BB1187" s="246">
        <f>IFERROR(VLOOKUP(L1187,VOL_REC[],2,FALSE),0)</f>
        <v>105072</v>
      </c>
      <c r="BC1187" s="246">
        <f>IFERROR(VLOOKUP(M1187,VOL_REC[],2,FALSE),0)</f>
        <v>0</v>
      </c>
      <c r="BD1187" s="246">
        <f>IFERROR(VLOOKUP(N1187,VOL_REC[],2,FALSE),0)</f>
        <v>0</v>
      </c>
      <c r="BE1187" s="246">
        <f>IFERROR(VLOOKUP(O1187,VOL_REC[],2,FALSE),0)</f>
        <v>0</v>
      </c>
      <c r="BF1187" s="246">
        <f>IFERROR(VLOOKUP(P1187,VOL_REC[],2,FALSE),0)</f>
        <v>0</v>
      </c>
      <c r="BG1187" s="246">
        <f>IFERROR(VLOOKUP(Q1187,VOL_REC[],2,FALSE),0)</f>
        <v>0</v>
      </c>
      <c r="BH1187" s="1710">
        <f t="shared" si="72"/>
        <v>20074022661.489902</v>
      </c>
      <c r="BI1187" s="1710">
        <f t="shared" si="73"/>
        <v>21627168610.800518</v>
      </c>
      <c r="BJ1187" s="1711">
        <f t="shared" si="74"/>
        <v>29541403.740080744</v>
      </c>
      <c r="BK1187" s="1711">
        <f t="shared" si="75"/>
        <v>0.92818542374821178</v>
      </c>
    </row>
    <row r="1188" spans="3:67" x14ac:dyDescent="0.25">
      <c r="C1188" s="246" t="s">
        <v>2538</v>
      </c>
      <c r="D1188" s="246">
        <v>1</v>
      </c>
      <c r="E1188" s="246">
        <v>2</v>
      </c>
      <c r="F1188" s="246">
        <v>3</v>
      </c>
      <c r="G1188" s="246">
        <v>4</v>
      </c>
      <c r="H1188" s="246">
        <v>6</v>
      </c>
      <c r="I1188" s="246">
        <v>10</v>
      </c>
      <c r="J1188" s="246">
        <v>12</v>
      </c>
      <c r="K1188" s="246">
        <v>13</v>
      </c>
      <c r="L1188" s="246">
        <v>16</v>
      </c>
      <c r="M1188" s="246"/>
      <c r="N1188" s="246"/>
      <c r="O1188" s="246"/>
      <c r="P1188" s="246"/>
      <c r="Q1188" s="246"/>
      <c r="R1188" s="246">
        <f>IFERROR(VLOOKUP(D1188,PROGRAMAS[],2,FALSE),0)</f>
        <v>97037803.679377079</v>
      </c>
      <c r="S1188" s="246">
        <f>IFERROR(VLOOKUP(E1188,PROGRAMAS[],2,FALSE),0)</f>
        <v>640501509.6821388</v>
      </c>
      <c r="T1188" s="246">
        <f>IFERROR(VLOOKUP(F1188,PROGRAMAS[],2,FALSE),0)</f>
        <v>3062327798.1525245</v>
      </c>
      <c r="U1188" s="246">
        <f>IFERROR(VLOOKUP(G1188,PROGRAMAS[],2,FALSE),0)</f>
        <v>67697118.033011258</v>
      </c>
      <c r="V1188" s="246">
        <f>IFERROR(VLOOKUP(H1188,PROGRAMAS[],2,FALSE),0)</f>
        <v>6907648435.8447599</v>
      </c>
      <c r="W1188" s="246">
        <f>IFERROR(VLOOKUP(I1188,PROGRAMAS[],2,FALSE),0)</f>
        <v>4635315027.8751087</v>
      </c>
      <c r="X1188" s="246">
        <f>IFERROR(VLOOKUP(J1188,PROGRAMAS[],2,FALSE),0)</f>
        <v>764796700.79905891</v>
      </c>
      <c r="Y1188" s="246">
        <f>IFERROR(VLOOKUP(K1188,PROGRAMAS[],2,FALSE),0)</f>
        <v>3776538594.4604583</v>
      </c>
      <c r="Z1188" s="246">
        <f>IFERROR(VLOOKUP(L1188,PROGRAMAS[],2,FALSE),0)</f>
        <v>7068496961.0436354</v>
      </c>
      <c r="AA1188" s="246">
        <f>IFERROR(VLOOKUP(M1188,PROGRAMAS[],2,FALSE),0)</f>
        <v>0</v>
      </c>
      <c r="AB1188" s="246">
        <f>IFERROR(VLOOKUP(N1188,PROGRAMAS[],2,FALSE),0)</f>
        <v>0</v>
      </c>
      <c r="AC1188" s="246">
        <f>IFERROR(VLOOKUP(O1188,PROGRAMAS[],2,FALSE),0)</f>
        <v>0</v>
      </c>
      <c r="AD1188" s="246">
        <f>IFERROR(VLOOKUP(P1188,PROGRAMAS[],2,FALSE),0)</f>
        <v>0</v>
      </c>
      <c r="AE1188" s="246">
        <f>IFERROR(VLOOKUP(Q1188,PROGRAMAS[],2,FALSE),0)</f>
        <v>0</v>
      </c>
      <c r="AF1188" s="246">
        <f>IFERROR(VLOOKUP(D1188,PROGRAMAS[],3,FALSE),0)</f>
        <v>841888629.31080008</v>
      </c>
      <c r="AG1188" s="246">
        <f>IFERROR(VLOOKUP(E1188,PROGRAMAS[],3,FALSE),0)</f>
        <v>3848980803.1642323</v>
      </c>
      <c r="AH1188" s="246">
        <f>IFERROR(VLOOKUP(F1188,PROGRAMAS[],3,FALSE),0)</f>
        <v>3394901471.387517</v>
      </c>
      <c r="AI1188" s="246">
        <f>IFERROR(VLOOKUP(G1188,PROGRAMAS[],3,FALSE),0)</f>
        <v>125317226.95549992</v>
      </c>
      <c r="AJ1188" s="246">
        <f>IFERROR(VLOOKUP(H1188,PROGRAMAS[],3,FALSE),0)</f>
        <v>6129902208.7912121</v>
      </c>
      <c r="AK1188" s="246">
        <f>IFERROR(VLOOKUP(I1188,PROGRAMAS[],3,FALSE),0)</f>
        <v>4099471734.9978786</v>
      </c>
      <c r="AL1188" s="246">
        <f>IFERROR(VLOOKUP(J1188,PROGRAMAS[],3,FALSE),0)</f>
        <v>675517840.109828</v>
      </c>
      <c r="AM1188" s="246">
        <f>IFERROR(VLOOKUP(K1188,PROGRAMAS[],3,FALSE),0)</f>
        <v>2392571243.5584412</v>
      </c>
      <c r="AN1188" s="246">
        <f>IFERROR(VLOOKUP(L1188,PROGRAMAS[],3,FALSE),0)</f>
        <v>2406564599.0319901</v>
      </c>
      <c r="AO1188" s="246">
        <f>IFERROR(VLOOKUP(M1188,PROGRAMAS[],3,FALSE),0)</f>
        <v>0</v>
      </c>
      <c r="AP1188" s="246">
        <f>IFERROR(VLOOKUP(N1188,PROGRAMAS[],3,FALSE),0)</f>
        <v>0</v>
      </c>
      <c r="AQ1188" s="246">
        <f>IFERROR(VLOOKUP(O1188,PROGRAMAS[],3,FALSE),0)</f>
        <v>0</v>
      </c>
      <c r="AR1188" s="246">
        <f>IFERROR(VLOOKUP(P1188,PROGRAMAS[],3,FALSE),0)</f>
        <v>0</v>
      </c>
      <c r="AS1188" s="246">
        <f>IFERROR(VLOOKUP(Q1188,PROGRAMAS[],3,FALSE),0)</f>
        <v>0</v>
      </c>
      <c r="AT1188" s="246">
        <f>IFERROR(VLOOKUP(D1188,VOL_REC[],2,FALSE),0)</f>
        <v>0</v>
      </c>
      <c r="AU1188" s="246">
        <f>IFERROR(VLOOKUP(E1188,VOL_REC[],2,FALSE),0)</f>
        <v>0</v>
      </c>
      <c r="AV1188" s="246">
        <f>IFERROR(VLOOKUP(F1188,VOL_REC[],2,FALSE),0)</f>
        <v>11089674.200000001</v>
      </c>
      <c r="AW1188" s="246">
        <f>IFERROR(VLOOKUP(G1188,VOL_REC[],2,FALSE),0)</f>
        <v>90439.55</v>
      </c>
      <c r="AX1188" s="246">
        <f>IFERROR(VLOOKUP(H1188,VOL_REC[],2,FALSE),0)</f>
        <v>15540036.397699751</v>
      </c>
      <c r="AY1188" s="246">
        <f>IFERROR(VLOOKUP(I1188,VOL_REC[],2,FALSE),0)</f>
        <v>1812240</v>
      </c>
      <c r="AZ1188" s="246">
        <f>IFERROR(VLOOKUP(J1188,VOL_REC[],2,FALSE),0)</f>
        <v>240696.79238099116</v>
      </c>
      <c r="BA1188" s="246">
        <f>IFERROR(VLOOKUP(K1188,VOL_REC[],2,FALSE),0)</f>
        <v>663244.80000000016</v>
      </c>
      <c r="BB1188" s="246">
        <f>IFERROR(VLOOKUP(L1188,VOL_REC[],2,FALSE),0)</f>
        <v>1072354.9981737854</v>
      </c>
      <c r="BC1188" s="246">
        <f>IFERROR(VLOOKUP(M1188,VOL_REC[],2,FALSE),0)</f>
        <v>0</v>
      </c>
      <c r="BD1188" s="246">
        <f>IFERROR(VLOOKUP(N1188,VOL_REC[],2,FALSE),0)</f>
        <v>0</v>
      </c>
      <c r="BE1188" s="246">
        <f>IFERROR(VLOOKUP(O1188,VOL_REC[],2,FALSE),0)</f>
        <v>0</v>
      </c>
      <c r="BF1188" s="246">
        <f>IFERROR(VLOOKUP(P1188,VOL_REC[],2,FALSE),0)</f>
        <v>0</v>
      </c>
      <c r="BG1188" s="246">
        <f>IFERROR(VLOOKUP(Q1188,VOL_REC[],2,FALSE),0)</f>
        <v>0</v>
      </c>
      <c r="BH1188" s="1710">
        <f t="shared" si="72"/>
        <v>27020359949.570072</v>
      </c>
      <c r="BI1188" s="1710">
        <f t="shared" si="73"/>
        <v>23915115757.3074</v>
      </c>
      <c r="BJ1188" s="1711">
        <f t="shared" si="74"/>
        <v>30508686.738254528</v>
      </c>
      <c r="BK1188" s="1711">
        <f t="shared" si="75"/>
        <v>1.1298444140423551</v>
      </c>
      <c r="BL1188">
        <f>BJ1188</f>
        <v>30508686.738254528</v>
      </c>
      <c r="BO1188">
        <f>BL1188</f>
        <v>30508686.738254528</v>
      </c>
    </row>
    <row r="1189" spans="3:67" x14ac:dyDescent="0.25">
      <c r="C1189" s="246" t="s">
        <v>2539</v>
      </c>
      <c r="D1189" s="246">
        <v>1</v>
      </c>
      <c r="E1189" s="246">
        <v>2</v>
      </c>
      <c r="F1189" s="246">
        <v>3</v>
      </c>
      <c r="G1189" s="246">
        <v>4</v>
      </c>
      <c r="H1189" s="246">
        <v>6</v>
      </c>
      <c r="I1189" s="246">
        <v>10</v>
      </c>
      <c r="J1189" s="246">
        <v>12</v>
      </c>
      <c r="K1189" s="246">
        <v>13</v>
      </c>
      <c r="L1189" s="246">
        <v>17</v>
      </c>
      <c r="M1189" s="246"/>
      <c r="N1189" s="246"/>
      <c r="O1189" s="246"/>
      <c r="P1189" s="246"/>
      <c r="Q1189" s="246"/>
      <c r="R1189" s="246">
        <f>IFERROR(VLOOKUP(D1189,PROGRAMAS[],2,FALSE),0)</f>
        <v>97037803.679377079</v>
      </c>
      <c r="S1189" s="246">
        <f>IFERROR(VLOOKUP(E1189,PROGRAMAS[],2,FALSE),0)</f>
        <v>640501509.6821388</v>
      </c>
      <c r="T1189" s="246">
        <f>IFERROR(VLOOKUP(F1189,PROGRAMAS[],2,FALSE),0)</f>
        <v>3062327798.1525245</v>
      </c>
      <c r="U1189" s="246">
        <f>IFERROR(VLOOKUP(G1189,PROGRAMAS[],2,FALSE),0)</f>
        <v>67697118.033011258</v>
      </c>
      <c r="V1189" s="246">
        <f>IFERROR(VLOOKUP(H1189,PROGRAMAS[],2,FALSE),0)</f>
        <v>6907648435.8447599</v>
      </c>
      <c r="W1189" s="246">
        <f>IFERROR(VLOOKUP(I1189,PROGRAMAS[],2,FALSE),0)</f>
        <v>4635315027.8751087</v>
      </c>
      <c r="X1189" s="246">
        <f>IFERROR(VLOOKUP(J1189,PROGRAMAS[],2,FALSE),0)</f>
        <v>764796700.79905891</v>
      </c>
      <c r="Y1189" s="246">
        <f>IFERROR(VLOOKUP(K1189,PROGRAMAS[],2,FALSE),0)</f>
        <v>3776538594.4604583</v>
      </c>
      <c r="Z1189" s="246">
        <f>IFERROR(VLOOKUP(L1189,PROGRAMAS[],2,FALSE),0)</f>
        <v>1892779498.5211046</v>
      </c>
      <c r="AA1189" s="246">
        <f>IFERROR(VLOOKUP(M1189,PROGRAMAS[],2,FALSE),0)</f>
        <v>0</v>
      </c>
      <c r="AB1189" s="246">
        <f>IFERROR(VLOOKUP(N1189,PROGRAMAS[],2,FALSE),0)</f>
        <v>0</v>
      </c>
      <c r="AC1189" s="246">
        <f>IFERROR(VLOOKUP(O1189,PROGRAMAS[],2,FALSE),0)</f>
        <v>0</v>
      </c>
      <c r="AD1189" s="246">
        <f>IFERROR(VLOOKUP(P1189,PROGRAMAS[],2,FALSE),0)</f>
        <v>0</v>
      </c>
      <c r="AE1189" s="246">
        <f>IFERROR(VLOOKUP(Q1189,PROGRAMAS[],2,FALSE),0)</f>
        <v>0</v>
      </c>
      <c r="AF1189" s="246">
        <f>IFERROR(VLOOKUP(D1189,PROGRAMAS[],3,FALSE),0)</f>
        <v>841888629.31080008</v>
      </c>
      <c r="AG1189" s="246">
        <f>IFERROR(VLOOKUP(E1189,PROGRAMAS[],3,FALSE),0)</f>
        <v>3848980803.1642323</v>
      </c>
      <c r="AH1189" s="246">
        <f>IFERROR(VLOOKUP(F1189,PROGRAMAS[],3,FALSE),0)</f>
        <v>3394901471.387517</v>
      </c>
      <c r="AI1189" s="246">
        <f>IFERROR(VLOOKUP(G1189,PROGRAMAS[],3,FALSE),0)</f>
        <v>125317226.95549992</v>
      </c>
      <c r="AJ1189" s="246">
        <f>IFERROR(VLOOKUP(H1189,PROGRAMAS[],3,FALSE),0)</f>
        <v>6129902208.7912121</v>
      </c>
      <c r="AK1189" s="246">
        <f>IFERROR(VLOOKUP(I1189,PROGRAMAS[],3,FALSE),0)</f>
        <v>4099471734.9978786</v>
      </c>
      <c r="AL1189" s="246">
        <f>IFERROR(VLOOKUP(J1189,PROGRAMAS[],3,FALSE),0)</f>
        <v>675517840.109828</v>
      </c>
      <c r="AM1189" s="246">
        <f>IFERROR(VLOOKUP(K1189,PROGRAMAS[],3,FALSE),0)</f>
        <v>2392571243.5584412</v>
      </c>
      <c r="AN1189" s="246">
        <f>IFERROR(VLOOKUP(L1189,PROGRAMAS[],3,FALSE),0)</f>
        <v>948595847.09039903</v>
      </c>
      <c r="AO1189" s="246">
        <f>IFERROR(VLOOKUP(M1189,PROGRAMAS[],3,FALSE),0)</f>
        <v>0</v>
      </c>
      <c r="AP1189" s="246">
        <f>IFERROR(VLOOKUP(N1189,PROGRAMAS[],3,FALSE),0)</f>
        <v>0</v>
      </c>
      <c r="AQ1189" s="246">
        <f>IFERROR(VLOOKUP(O1189,PROGRAMAS[],3,FALSE),0)</f>
        <v>0</v>
      </c>
      <c r="AR1189" s="246">
        <f>IFERROR(VLOOKUP(P1189,PROGRAMAS[],3,FALSE),0)</f>
        <v>0</v>
      </c>
      <c r="AS1189" s="246">
        <f>IFERROR(VLOOKUP(Q1189,PROGRAMAS[],3,FALSE),0)</f>
        <v>0</v>
      </c>
      <c r="AT1189" s="246">
        <f>IFERROR(VLOOKUP(D1189,VOL_REC[],2,FALSE),0)</f>
        <v>0</v>
      </c>
      <c r="AU1189" s="246">
        <f>IFERROR(VLOOKUP(E1189,VOL_REC[],2,FALSE),0)</f>
        <v>0</v>
      </c>
      <c r="AV1189" s="246">
        <f>IFERROR(VLOOKUP(F1189,VOL_REC[],2,FALSE),0)</f>
        <v>11089674.200000001</v>
      </c>
      <c r="AW1189" s="246">
        <f>IFERROR(VLOOKUP(G1189,VOL_REC[],2,FALSE),0)</f>
        <v>90439.55</v>
      </c>
      <c r="AX1189" s="246">
        <f>IFERROR(VLOOKUP(H1189,VOL_REC[],2,FALSE),0)</f>
        <v>15540036.397699751</v>
      </c>
      <c r="AY1189" s="246">
        <f>IFERROR(VLOOKUP(I1189,VOL_REC[],2,FALSE),0)</f>
        <v>1812240</v>
      </c>
      <c r="AZ1189" s="246">
        <f>IFERROR(VLOOKUP(J1189,VOL_REC[],2,FALSE),0)</f>
        <v>240696.79238099116</v>
      </c>
      <c r="BA1189" s="246">
        <f>IFERROR(VLOOKUP(K1189,VOL_REC[],2,FALSE),0)</f>
        <v>663244.80000000016</v>
      </c>
      <c r="BB1189" s="246">
        <f>IFERROR(VLOOKUP(L1189,VOL_REC[],2,FALSE),0)</f>
        <v>740113.98115702497</v>
      </c>
      <c r="BC1189" s="246">
        <f>IFERROR(VLOOKUP(M1189,VOL_REC[],2,FALSE),0)</f>
        <v>0</v>
      </c>
      <c r="BD1189" s="246">
        <f>IFERROR(VLOOKUP(N1189,VOL_REC[],2,FALSE),0)</f>
        <v>0</v>
      </c>
      <c r="BE1189" s="246">
        <f>IFERROR(VLOOKUP(O1189,VOL_REC[],2,FALSE),0)</f>
        <v>0</v>
      </c>
      <c r="BF1189" s="246">
        <f>IFERROR(VLOOKUP(P1189,VOL_REC[],2,FALSE),0)</f>
        <v>0</v>
      </c>
      <c r="BG1189" s="246">
        <f>IFERROR(VLOOKUP(Q1189,VOL_REC[],2,FALSE),0)</f>
        <v>0</v>
      </c>
      <c r="BH1189" s="1710">
        <f t="shared" si="72"/>
        <v>21844642487.047539</v>
      </c>
      <c r="BI1189" s="1710">
        <f t="shared" si="73"/>
        <v>22457147005.36581</v>
      </c>
      <c r="BJ1189" s="1711">
        <f t="shared" si="74"/>
        <v>30176445.721237767</v>
      </c>
      <c r="BK1189" s="1711">
        <f t="shared" si="75"/>
        <v>0.97272563081267971</v>
      </c>
    </row>
    <row r="1190" spans="3:67" x14ac:dyDescent="0.25">
      <c r="C1190" s="246" t="s">
        <v>2540</v>
      </c>
      <c r="D1190" s="246">
        <v>1</v>
      </c>
      <c r="E1190" s="246">
        <v>2</v>
      </c>
      <c r="F1190" s="246">
        <v>3</v>
      </c>
      <c r="G1190" s="246">
        <v>4</v>
      </c>
      <c r="H1190" s="246">
        <v>6</v>
      </c>
      <c r="I1190" s="246">
        <v>10</v>
      </c>
      <c r="J1190" s="246">
        <v>12</v>
      </c>
      <c r="K1190" s="246">
        <v>14</v>
      </c>
      <c r="L1190" s="246">
        <v>15</v>
      </c>
      <c r="M1190" s="246"/>
      <c r="N1190" s="246"/>
      <c r="O1190" s="246"/>
      <c r="P1190" s="246"/>
      <c r="Q1190" s="246"/>
      <c r="R1190" s="246">
        <f>IFERROR(VLOOKUP(D1190,PROGRAMAS[],2,FALSE),0)</f>
        <v>97037803.679377079</v>
      </c>
      <c r="S1190" s="246">
        <f>IFERROR(VLOOKUP(E1190,PROGRAMAS[],2,FALSE),0)</f>
        <v>640501509.6821388</v>
      </c>
      <c r="T1190" s="246">
        <f>IFERROR(VLOOKUP(F1190,PROGRAMAS[],2,FALSE),0)</f>
        <v>3062327798.1525245</v>
      </c>
      <c r="U1190" s="246">
        <f>IFERROR(VLOOKUP(G1190,PROGRAMAS[],2,FALSE),0)</f>
        <v>67697118.033011258</v>
      </c>
      <c r="V1190" s="246">
        <f>IFERROR(VLOOKUP(H1190,PROGRAMAS[],2,FALSE),0)</f>
        <v>6907648435.8447599</v>
      </c>
      <c r="W1190" s="246">
        <f>IFERROR(VLOOKUP(I1190,PROGRAMAS[],2,FALSE),0)</f>
        <v>4635315027.8751087</v>
      </c>
      <c r="X1190" s="246">
        <f>IFERROR(VLOOKUP(J1190,PROGRAMAS[],2,FALSE),0)</f>
        <v>764796700.79905891</v>
      </c>
      <c r="Y1190" s="246">
        <f>IFERROR(VLOOKUP(K1190,PROGRAMAS[],2,FALSE),0)</f>
        <v>54223862.645839565</v>
      </c>
      <c r="Z1190" s="246">
        <f>IFERROR(VLOOKUP(L1190,PROGRAMAS[],2,FALSE),0)</f>
        <v>122159672.96346797</v>
      </c>
      <c r="AA1190" s="246">
        <f>IFERROR(VLOOKUP(M1190,PROGRAMAS[],2,FALSE),0)</f>
        <v>0</v>
      </c>
      <c r="AB1190" s="246">
        <f>IFERROR(VLOOKUP(N1190,PROGRAMAS[],2,FALSE),0)</f>
        <v>0</v>
      </c>
      <c r="AC1190" s="246">
        <f>IFERROR(VLOOKUP(O1190,PROGRAMAS[],2,FALSE),0)</f>
        <v>0</v>
      </c>
      <c r="AD1190" s="246">
        <f>IFERROR(VLOOKUP(P1190,PROGRAMAS[],2,FALSE),0)</f>
        <v>0</v>
      </c>
      <c r="AE1190" s="246">
        <f>IFERROR(VLOOKUP(Q1190,PROGRAMAS[],2,FALSE),0)</f>
        <v>0</v>
      </c>
      <c r="AF1190" s="246">
        <f>IFERROR(VLOOKUP(D1190,PROGRAMAS[],3,FALSE),0)</f>
        <v>841888629.31080008</v>
      </c>
      <c r="AG1190" s="246">
        <f>IFERROR(VLOOKUP(E1190,PROGRAMAS[],3,FALSE),0)</f>
        <v>3848980803.1642323</v>
      </c>
      <c r="AH1190" s="246">
        <f>IFERROR(VLOOKUP(F1190,PROGRAMAS[],3,FALSE),0)</f>
        <v>3394901471.387517</v>
      </c>
      <c r="AI1190" s="246">
        <f>IFERROR(VLOOKUP(G1190,PROGRAMAS[],3,FALSE),0)</f>
        <v>125317226.95549992</v>
      </c>
      <c r="AJ1190" s="246">
        <f>IFERROR(VLOOKUP(H1190,PROGRAMAS[],3,FALSE),0)</f>
        <v>6129902208.7912121</v>
      </c>
      <c r="AK1190" s="246">
        <f>IFERROR(VLOOKUP(I1190,PROGRAMAS[],3,FALSE),0)</f>
        <v>4099471734.9978786</v>
      </c>
      <c r="AL1190" s="246">
        <f>IFERROR(VLOOKUP(J1190,PROGRAMAS[],3,FALSE),0)</f>
        <v>675517840.109828</v>
      </c>
      <c r="AM1190" s="246">
        <f>IFERROR(VLOOKUP(K1190,PROGRAMAS[],3,FALSE),0)</f>
        <v>31865326.38096505</v>
      </c>
      <c r="AN1190" s="246">
        <f>IFERROR(VLOOKUP(L1190,PROGRAMAS[],3,FALSE),0)</f>
        <v>118617452.52510804</v>
      </c>
      <c r="AO1190" s="246">
        <f>IFERROR(VLOOKUP(M1190,PROGRAMAS[],3,FALSE),0)</f>
        <v>0</v>
      </c>
      <c r="AP1190" s="246">
        <f>IFERROR(VLOOKUP(N1190,PROGRAMAS[],3,FALSE),0)</f>
        <v>0</v>
      </c>
      <c r="AQ1190" s="246">
        <f>IFERROR(VLOOKUP(O1190,PROGRAMAS[],3,FALSE),0)</f>
        <v>0</v>
      </c>
      <c r="AR1190" s="246">
        <f>IFERROR(VLOOKUP(P1190,PROGRAMAS[],3,FALSE),0)</f>
        <v>0</v>
      </c>
      <c r="AS1190" s="246">
        <f>IFERROR(VLOOKUP(Q1190,PROGRAMAS[],3,FALSE),0)</f>
        <v>0</v>
      </c>
      <c r="AT1190" s="246">
        <f>IFERROR(VLOOKUP(D1190,VOL_REC[],2,FALSE),0)</f>
        <v>0</v>
      </c>
      <c r="AU1190" s="246">
        <f>IFERROR(VLOOKUP(E1190,VOL_REC[],2,FALSE),0)</f>
        <v>0</v>
      </c>
      <c r="AV1190" s="246">
        <f>IFERROR(VLOOKUP(F1190,VOL_REC[],2,FALSE),0)</f>
        <v>11089674.200000001</v>
      </c>
      <c r="AW1190" s="246">
        <f>IFERROR(VLOOKUP(G1190,VOL_REC[],2,FALSE),0)</f>
        <v>90439.55</v>
      </c>
      <c r="AX1190" s="246">
        <f>IFERROR(VLOOKUP(H1190,VOL_REC[],2,FALSE),0)</f>
        <v>15540036.397699751</v>
      </c>
      <c r="AY1190" s="246">
        <f>IFERROR(VLOOKUP(I1190,VOL_REC[],2,FALSE),0)</f>
        <v>1812240</v>
      </c>
      <c r="AZ1190" s="246">
        <f>IFERROR(VLOOKUP(J1190,VOL_REC[],2,FALSE),0)</f>
        <v>240696.79238099116</v>
      </c>
      <c r="BA1190" s="246">
        <f>IFERROR(VLOOKUP(K1190,VOL_REC[],2,FALSE),0)</f>
        <v>17074.045034105649</v>
      </c>
      <c r="BB1190" s="246">
        <f>IFERROR(VLOOKUP(L1190,VOL_REC[],2,FALSE),0)</f>
        <v>105072</v>
      </c>
      <c r="BC1190" s="246">
        <f>IFERROR(VLOOKUP(M1190,VOL_REC[],2,FALSE),0)</f>
        <v>0</v>
      </c>
      <c r="BD1190" s="246">
        <f>IFERROR(VLOOKUP(N1190,VOL_REC[],2,FALSE),0)</f>
        <v>0</v>
      </c>
      <c r="BE1190" s="246">
        <f>IFERROR(VLOOKUP(O1190,VOL_REC[],2,FALSE),0)</f>
        <v>0</v>
      </c>
      <c r="BF1190" s="246">
        <f>IFERROR(VLOOKUP(P1190,VOL_REC[],2,FALSE),0)</f>
        <v>0</v>
      </c>
      <c r="BG1190" s="246">
        <f>IFERROR(VLOOKUP(Q1190,VOL_REC[],2,FALSE),0)</f>
        <v>0</v>
      </c>
      <c r="BH1190" s="1710">
        <f t="shared" si="72"/>
        <v>16351707929.675287</v>
      </c>
      <c r="BI1190" s="1710">
        <f t="shared" si="73"/>
        <v>19266462693.623043</v>
      </c>
      <c r="BJ1190" s="1711">
        <f t="shared" si="74"/>
        <v>28895232.98511485</v>
      </c>
      <c r="BK1190" s="1711">
        <f t="shared" si="75"/>
        <v>0.84871354901527918</v>
      </c>
    </row>
    <row r="1191" spans="3:67" x14ac:dyDescent="0.25">
      <c r="C1191" s="246" t="s">
        <v>2541</v>
      </c>
      <c r="D1191" s="246">
        <v>1</v>
      </c>
      <c r="E1191" s="246">
        <v>2</v>
      </c>
      <c r="F1191" s="246">
        <v>3</v>
      </c>
      <c r="G1191" s="246">
        <v>4</v>
      </c>
      <c r="H1191" s="246">
        <v>6</v>
      </c>
      <c r="I1191" s="246">
        <v>10</v>
      </c>
      <c r="J1191" s="246">
        <v>12</v>
      </c>
      <c r="K1191" s="246">
        <v>14</v>
      </c>
      <c r="L1191" s="246">
        <v>16</v>
      </c>
      <c r="M1191" s="246"/>
      <c r="N1191" s="246"/>
      <c r="O1191" s="246"/>
      <c r="P1191" s="246"/>
      <c r="Q1191" s="246"/>
      <c r="R1191" s="246">
        <f>IFERROR(VLOOKUP(D1191,PROGRAMAS[],2,FALSE),0)</f>
        <v>97037803.679377079</v>
      </c>
      <c r="S1191" s="246">
        <f>IFERROR(VLOOKUP(E1191,PROGRAMAS[],2,FALSE),0)</f>
        <v>640501509.6821388</v>
      </c>
      <c r="T1191" s="246">
        <f>IFERROR(VLOOKUP(F1191,PROGRAMAS[],2,FALSE),0)</f>
        <v>3062327798.1525245</v>
      </c>
      <c r="U1191" s="246">
        <f>IFERROR(VLOOKUP(G1191,PROGRAMAS[],2,FALSE),0)</f>
        <v>67697118.033011258</v>
      </c>
      <c r="V1191" s="246">
        <f>IFERROR(VLOOKUP(H1191,PROGRAMAS[],2,FALSE),0)</f>
        <v>6907648435.8447599</v>
      </c>
      <c r="W1191" s="246">
        <f>IFERROR(VLOOKUP(I1191,PROGRAMAS[],2,FALSE),0)</f>
        <v>4635315027.8751087</v>
      </c>
      <c r="X1191" s="246">
        <f>IFERROR(VLOOKUP(J1191,PROGRAMAS[],2,FALSE),0)</f>
        <v>764796700.79905891</v>
      </c>
      <c r="Y1191" s="246">
        <f>IFERROR(VLOOKUP(K1191,PROGRAMAS[],2,FALSE),0)</f>
        <v>54223862.645839565</v>
      </c>
      <c r="Z1191" s="246">
        <f>IFERROR(VLOOKUP(L1191,PROGRAMAS[],2,FALSE),0)</f>
        <v>7068496961.0436354</v>
      </c>
      <c r="AA1191" s="246">
        <f>IFERROR(VLOOKUP(M1191,PROGRAMAS[],2,FALSE),0)</f>
        <v>0</v>
      </c>
      <c r="AB1191" s="246">
        <f>IFERROR(VLOOKUP(N1191,PROGRAMAS[],2,FALSE),0)</f>
        <v>0</v>
      </c>
      <c r="AC1191" s="246">
        <f>IFERROR(VLOOKUP(O1191,PROGRAMAS[],2,FALSE),0)</f>
        <v>0</v>
      </c>
      <c r="AD1191" s="246">
        <f>IFERROR(VLOOKUP(P1191,PROGRAMAS[],2,FALSE),0)</f>
        <v>0</v>
      </c>
      <c r="AE1191" s="246">
        <f>IFERROR(VLOOKUP(Q1191,PROGRAMAS[],2,FALSE),0)</f>
        <v>0</v>
      </c>
      <c r="AF1191" s="246">
        <f>IFERROR(VLOOKUP(D1191,PROGRAMAS[],3,FALSE),0)</f>
        <v>841888629.31080008</v>
      </c>
      <c r="AG1191" s="246">
        <f>IFERROR(VLOOKUP(E1191,PROGRAMAS[],3,FALSE),0)</f>
        <v>3848980803.1642323</v>
      </c>
      <c r="AH1191" s="246">
        <f>IFERROR(VLOOKUP(F1191,PROGRAMAS[],3,FALSE),0)</f>
        <v>3394901471.387517</v>
      </c>
      <c r="AI1191" s="246">
        <f>IFERROR(VLOOKUP(G1191,PROGRAMAS[],3,FALSE),0)</f>
        <v>125317226.95549992</v>
      </c>
      <c r="AJ1191" s="246">
        <f>IFERROR(VLOOKUP(H1191,PROGRAMAS[],3,FALSE),0)</f>
        <v>6129902208.7912121</v>
      </c>
      <c r="AK1191" s="246">
        <f>IFERROR(VLOOKUP(I1191,PROGRAMAS[],3,FALSE),0)</f>
        <v>4099471734.9978786</v>
      </c>
      <c r="AL1191" s="246">
        <f>IFERROR(VLOOKUP(J1191,PROGRAMAS[],3,FALSE),0)</f>
        <v>675517840.109828</v>
      </c>
      <c r="AM1191" s="246">
        <f>IFERROR(VLOOKUP(K1191,PROGRAMAS[],3,FALSE),0)</f>
        <v>31865326.38096505</v>
      </c>
      <c r="AN1191" s="246">
        <f>IFERROR(VLOOKUP(L1191,PROGRAMAS[],3,FALSE),0)</f>
        <v>2406564599.0319901</v>
      </c>
      <c r="AO1191" s="246">
        <f>IFERROR(VLOOKUP(M1191,PROGRAMAS[],3,FALSE),0)</f>
        <v>0</v>
      </c>
      <c r="AP1191" s="246">
        <f>IFERROR(VLOOKUP(N1191,PROGRAMAS[],3,FALSE),0)</f>
        <v>0</v>
      </c>
      <c r="AQ1191" s="246">
        <f>IFERROR(VLOOKUP(O1191,PROGRAMAS[],3,FALSE),0)</f>
        <v>0</v>
      </c>
      <c r="AR1191" s="246">
        <f>IFERROR(VLOOKUP(P1191,PROGRAMAS[],3,FALSE),0)</f>
        <v>0</v>
      </c>
      <c r="AS1191" s="246">
        <f>IFERROR(VLOOKUP(Q1191,PROGRAMAS[],3,FALSE),0)</f>
        <v>0</v>
      </c>
      <c r="AT1191" s="246">
        <f>IFERROR(VLOOKUP(D1191,VOL_REC[],2,FALSE),0)</f>
        <v>0</v>
      </c>
      <c r="AU1191" s="246">
        <f>IFERROR(VLOOKUP(E1191,VOL_REC[],2,FALSE),0)</f>
        <v>0</v>
      </c>
      <c r="AV1191" s="246">
        <f>IFERROR(VLOOKUP(F1191,VOL_REC[],2,FALSE),0)</f>
        <v>11089674.200000001</v>
      </c>
      <c r="AW1191" s="246">
        <f>IFERROR(VLOOKUP(G1191,VOL_REC[],2,FALSE),0)</f>
        <v>90439.55</v>
      </c>
      <c r="AX1191" s="246">
        <f>IFERROR(VLOOKUP(H1191,VOL_REC[],2,FALSE),0)</f>
        <v>15540036.397699751</v>
      </c>
      <c r="AY1191" s="246">
        <f>IFERROR(VLOOKUP(I1191,VOL_REC[],2,FALSE),0)</f>
        <v>1812240</v>
      </c>
      <c r="AZ1191" s="246">
        <f>IFERROR(VLOOKUP(J1191,VOL_REC[],2,FALSE),0)</f>
        <v>240696.79238099116</v>
      </c>
      <c r="BA1191" s="246">
        <f>IFERROR(VLOOKUP(K1191,VOL_REC[],2,FALSE),0)</f>
        <v>17074.045034105649</v>
      </c>
      <c r="BB1191" s="246">
        <f>IFERROR(VLOOKUP(L1191,VOL_REC[],2,FALSE),0)</f>
        <v>1072354.9981737854</v>
      </c>
      <c r="BC1191" s="246">
        <f>IFERROR(VLOOKUP(M1191,VOL_REC[],2,FALSE),0)</f>
        <v>0</v>
      </c>
      <c r="BD1191" s="246">
        <f>IFERROR(VLOOKUP(N1191,VOL_REC[],2,FALSE),0)</f>
        <v>0</v>
      </c>
      <c r="BE1191" s="246">
        <f>IFERROR(VLOOKUP(O1191,VOL_REC[],2,FALSE),0)</f>
        <v>0</v>
      </c>
      <c r="BF1191" s="246">
        <f>IFERROR(VLOOKUP(P1191,VOL_REC[],2,FALSE),0)</f>
        <v>0</v>
      </c>
      <c r="BG1191" s="246">
        <f>IFERROR(VLOOKUP(Q1191,VOL_REC[],2,FALSE),0)</f>
        <v>0</v>
      </c>
      <c r="BH1191" s="1710">
        <f t="shared" si="72"/>
        <v>23298045217.755455</v>
      </c>
      <c r="BI1191" s="1710">
        <f t="shared" si="73"/>
        <v>21554409840.129925</v>
      </c>
      <c r="BJ1191" s="1711">
        <f t="shared" si="74"/>
        <v>29862515.983288635</v>
      </c>
      <c r="BK1191" s="1711">
        <f t="shared" si="75"/>
        <v>1.0808946007131792</v>
      </c>
      <c r="BL1191">
        <f>BJ1191</f>
        <v>29862515.983288635</v>
      </c>
      <c r="BO1191">
        <f>BL1191</f>
        <v>29862515.983288635</v>
      </c>
    </row>
    <row r="1192" spans="3:67" x14ac:dyDescent="0.25">
      <c r="C1192" s="246" t="s">
        <v>2542</v>
      </c>
      <c r="D1192" s="246">
        <v>1</v>
      </c>
      <c r="E1192" s="246">
        <v>2</v>
      </c>
      <c r="F1192" s="246">
        <v>3</v>
      </c>
      <c r="G1192" s="246">
        <v>4</v>
      </c>
      <c r="H1192" s="246">
        <v>6</v>
      </c>
      <c r="I1192" s="246">
        <v>10</v>
      </c>
      <c r="J1192" s="246">
        <v>12</v>
      </c>
      <c r="K1192" s="246">
        <v>14</v>
      </c>
      <c r="L1192" s="246">
        <v>17</v>
      </c>
      <c r="M1192" s="246"/>
      <c r="N1192" s="246"/>
      <c r="O1192" s="246"/>
      <c r="P1192" s="246"/>
      <c r="Q1192" s="246"/>
      <c r="R1192" s="246">
        <f>IFERROR(VLOOKUP(D1192,PROGRAMAS[],2,FALSE),0)</f>
        <v>97037803.679377079</v>
      </c>
      <c r="S1192" s="246">
        <f>IFERROR(VLOOKUP(E1192,PROGRAMAS[],2,FALSE),0)</f>
        <v>640501509.6821388</v>
      </c>
      <c r="T1192" s="246">
        <f>IFERROR(VLOOKUP(F1192,PROGRAMAS[],2,FALSE),0)</f>
        <v>3062327798.1525245</v>
      </c>
      <c r="U1192" s="246">
        <f>IFERROR(VLOOKUP(G1192,PROGRAMAS[],2,FALSE),0)</f>
        <v>67697118.033011258</v>
      </c>
      <c r="V1192" s="246">
        <f>IFERROR(VLOOKUP(H1192,PROGRAMAS[],2,FALSE),0)</f>
        <v>6907648435.8447599</v>
      </c>
      <c r="W1192" s="246">
        <f>IFERROR(VLOOKUP(I1192,PROGRAMAS[],2,FALSE),0)</f>
        <v>4635315027.8751087</v>
      </c>
      <c r="X1192" s="246">
        <f>IFERROR(VLOOKUP(J1192,PROGRAMAS[],2,FALSE),0)</f>
        <v>764796700.79905891</v>
      </c>
      <c r="Y1192" s="246">
        <f>IFERROR(VLOOKUP(K1192,PROGRAMAS[],2,FALSE),0)</f>
        <v>54223862.645839565</v>
      </c>
      <c r="Z1192" s="246">
        <f>IFERROR(VLOOKUP(L1192,PROGRAMAS[],2,FALSE),0)</f>
        <v>1892779498.5211046</v>
      </c>
      <c r="AA1192" s="246">
        <f>IFERROR(VLOOKUP(M1192,PROGRAMAS[],2,FALSE),0)</f>
        <v>0</v>
      </c>
      <c r="AB1192" s="246">
        <f>IFERROR(VLOOKUP(N1192,PROGRAMAS[],2,FALSE),0)</f>
        <v>0</v>
      </c>
      <c r="AC1192" s="246">
        <f>IFERROR(VLOOKUP(O1192,PROGRAMAS[],2,FALSE),0)</f>
        <v>0</v>
      </c>
      <c r="AD1192" s="246">
        <f>IFERROR(VLOOKUP(P1192,PROGRAMAS[],2,FALSE),0)</f>
        <v>0</v>
      </c>
      <c r="AE1192" s="246">
        <f>IFERROR(VLOOKUP(Q1192,PROGRAMAS[],2,FALSE),0)</f>
        <v>0</v>
      </c>
      <c r="AF1192" s="246">
        <f>IFERROR(VLOOKUP(D1192,PROGRAMAS[],3,FALSE),0)</f>
        <v>841888629.31080008</v>
      </c>
      <c r="AG1192" s="246">
        <f>IFERROR(VLOOKUP(E1192,PROGRAMAS[],3,FALSE),0)</f>
        <v>3848980803.1642323</v>
      </c>
      <c r="AH1192" s="246">
        <f>IFERROR(VLOOKUP(F1192,PROGRAMAS[],3,FALSE),0)</f>
        <v>3394901471.387517</v>
      </c>
      <c r="AI1192" s="246">
        <f>IFERROR(VLOOKUP(G1192,PROGRAMAS[],3,FALSE),0)</f>
        <v>125317226.95549992</v>
      </c>
      <c r="AJ1192" s="246">
        <f>IFERROR(VLOOKUP(H1192,PROGRAMAS[],3,FALSE),0)</f>
        <v>6129902208.7912121</v>
      </c>
      <c r="AK1192" s="246">
        <f>IFERROR(VLOOKUP(I1192,PROGRAMAS[],3,FALSE),0)</f>
        <v>4099471734.9978786</v>
      </c>
      <c r="AL1192" s="246">
        <f>IFERROR(VLOOKUP(J1192,PROGRAMAS[],3,FALSE),0)</f>
        <v>675517840.109828</v>
      </c>
      <c r="AM1192" s="246">
        <f>IFERROR(VLOOKUP(K1192,PROGRAMAS[],3,FALSE),0)</f>
        <v>31865326.38096505</v>
      </c>
      <c r="AN1192" s="246">
        <f>IFERROR(VLOOKUP(L1192,PROGRAMAS[],3,FALSE),0)</f>
        <v>948595847.09039903</v>
      </c>
      <c r="AO1192" s="246">
        <f>IFERROR(VLOOKUP(M1192,PROGRAMAS[],3,FALSE),0)</f>
        <v>0</v>
      </c>
      <c r="AP1192" s="246">
        <f>IFERROR(VLOOKUP(N1192,PROGRAMAS[],3,FALSE),0)</f>
        <v>0</v>
      </c>
      <c r="AQ1192" s="246">
        <f>IFERROR(VLOOKUP(O1192,PROGRAMAS[],3,FALSE),0)</f>
        <v>0</v>
      </c>
      <c r="AR1192" s="246">
        <f>IFERROR(VLOOKUP(P1192,PROGRAMAS[],3,FALSE),0)</f>
        <v>0</v>
      </c>
      <c r="AS1192" s="246">
        <f>IFERROR(VLOOKUP(Q1192,PROGRAMAS[],3,FALSE),0)</f>
        <v>0</v>
      </c>
      <c r="AT1192" s="246">
        <f>IFERROR(VLOOKUP(D1192,VOL_REC[],2,FALSE),0)</f>
        <v>0</v>
      </c>
      <c r="AU1192" s="246">
        <f>IFERROR(VLOOKUP(E1192,VOL_REC[],2,FALSE),0)</f>
        <v>0</v>
      </c>
      <c r="AV1192" s="246">
        <f>IFERROR(VLOOKUP(F1192,VOL_REC[],2,FALSE),0)</f>
        <v>11089674.200000001</v>
      </c>
      <c r="AW1192" s="246">
        <f>IFERROR(VLOOKUP(G1192,VOL_REC[],2,FALSE),0)</f>
        <v>90439.55</v>
      </c>
      <c r="AX1192" s="246">
        <f>IFERROR(VLOOKUP(H1192,VOL_REC[],2,FALSE),0)</f>
        <v>15540036.397699751</v>
      </c>
      <c r="AY1192" s="246">
        <f>IFERROR(VLOOKUP(I1192,VOL_REC[],2,FALSE),0)</f>
        <v>1812240</v>
      </c>
      <c r="AZ1192" s="246">
        <f>IFERROR(VLOOKUP(J1192,VOL_REC[],2,FALSE),0)</f>
        <v>240696.79238099116</v>
      </c>
      <c r="BA1192" s="246">
        <f>IFERROR(VLOOKUP(K1192,VOL_REC[],2,FALSE),0)</f>
        <v>17074.045034105649</v>
      </c>
      <c r="BB1192" s="246">
        <f>IFERROR(VLOOKUP(L1192,VOL_REC[],2,FALSE),0)</f>
        <v>740113.98115702497</v>
      </c>
      <c r="BC1192" s="246">
        <f>IFERROR(VLOOKUP(M1192,VOL_REC[],2,FALSE),0)</f>
        <v>0</v>
      </c>
      <c r="BD1192" s="246">
        <f>IFERROR(VLOOKUP(N1192,VOL_REC[],2,FALSE),0)</f>
        <v>0</v>
      </c>
      <c r="BE1192" s="246">
        <f>IFERROR(VLOOKUP(O1192,VOL_REC[],2,FALSE),0)</f>
        <v>0</v>
      </c>
      <c r="BF1192" s="246">
        <f>IFERROR(VLOOKUP(P1192,VOL_REC[],2,FALSE),0)</f>
        <v>0</v>
      </c>
      <c r="BG1192" s="246">
        <f>IFERROR(VLOOKUP(Q1192,VOL_REC[],2,FALSE),0)</f>
        <v>0</v>
      </c>
      <c r="BH1192" s="1710">
        <f t="shared" si="72"/>
        <v>18122327755.232922</v>
      </c>
      <c r="BI1192" s="1710">
        <f t="shared" si="73"/>
        <v>20096441088.188335</v>
      </c>
      <c r="BJ1192" s="1711">
        <f t="shared" si="74"/>
        <v>29530274.966271874</v>
      </c>
      <c r="BK1192" s="1711">
        <f t="shared" si="75"/>
        <v>0.90176801333666501</v>
      </c>
    </row>
    <row r="1193" spans="3:67" x14ac:dyDescent="0.25">
      <c r="C1193" s="246" t="s">
        <v>2543</v>
      </c>
      <c r="D1193" s="246">
        <v>1</v>
      </c>
      <c r="E1193" s="246">
        <v>2</v>
      </c>
      <c r="F1193" s="246">
        <v>3</v>
      </c>
      <c r="G1193" s="246">
        <v>4</v>
      </c>
      <c r="H1193" s="246">
        <v>6</v>
      </c>
      <c r="I1193" s="246">
        <v>10</v>
      </c>
      <c r="J1193" s="246">
        <v>12</v>
      </c>
      <c r="K1193" s="246">
        <v>15</v>
      </c>
      <c r="L1193" s="246">
        <v>16</v>
      </c>
      <c r="M1193" s="246"/>
      <c r="N1193" s="246"/>
      <c r="O1193" s="246"/>
      <c r="P1193" s="246"/>
      <c r="Q1193" s="246"/>
      <c r="R1193" s="246">
        <f>IFERROR(VLOOKUP(D1193,PROGRAMAS[],2,FALSE),0)</f>
        <v>97037803.679377079</v>
      </c>
      <c r="S1193" s="246">
        <f>IFERROR(VLOOKUP(E1193,PROGRAMAS[],2,FALSE),0)</f>
        <v>640501509.6821388</v>
      </c>
      <c r="T1193" s="246">
        <f>IFERROR(VLOOKUP(F1193,PROGRAMAS[],2,FALSE),0)</f>
        <v>3062327798.1525245</v>
      </c>
      <c r="U1193" s="246">
        <f>IFERROR(VLOOKUP(G1193,PROGRAMAS[],2,FALSE),0)</f>
        <v>67697118.033011258</v>
      </c>
      <c r="V1193" s="246">
        <f>IFERROR(VLOOKUP(H1193,PROGRAMAS[],2,FALSE),0)</f>
        <v>6907648435.8447599</v>
      </c>
      <c r="W1193" s="246">
        <f>IFERROR(VLOOKUP(I1193,PROGRAMAS[],2,FALSE),0)</f>
        <v>4635315027.8751087</v>
      </c>
      <c r="X1193" s="246">
        <f>IFERROR(VLOOKUP(J1193,PROGRAMAS[],2,FALSE),0)</f>
        <v>764796700.79905891</v>
      </c>
      <c r="Y1193" s="246">
        <f>IFERROR(VLOOKUP(K1193,PROGRAMAS[],2,FALSE),0)</f>
        <v>122159672.96346797</v>
      </c>
      <c r="Z1193" s="246">
        <f>IFERROR(VLOOKUP(L1193,PROGRAMAS[],2,FALSE),0)</f>
        <v>7068496961.0436354</v>
      </c>
      <c r="AA1193" s="246">
        <f>IFERROR(VLOOKUP(M1193,PROGRAMAS[],2,FALSE),0)</f>
        <v>0</v>
      </c>
      <c r="AB1193" s="246">
        <f>IFERROR(VLOOKUP(N1193,PROGRAMAS[],2,FALSE),0)</f>
        <v>0</v>
      </c>
      <c r="AC1193" s="246">
        <f>IFERROR(VLOOKUP(O1193,PROGRAMAS[],2,FALSE),0)</f>
        <v>0</v>
      </c>
      <c r="AD1193" s="246">
        <f>IFERROR(VLOOKUP(P1193,PROGRAMAS[],2,FALSE),0)</f>
        <v>0</v>
      </c>
      <c r="AE1193" s="246">
        <f>IFERROR(VLOOKUP(Q1193,PROGRAMAS[],2,FALSE),0)</f>
        <v>0</v>
      </c>
      <c r="AF1193" s="246">
        <f>IFERROR(VLOOKUP(D1193,PROGRAMAS[],3,FALSE),0)</f>
        <v>841888629.31080008</v>
      </c>
      <c r="AG1193" s="246">
        <f>IFERROR(VLOOKUP(E1193,PROGRAMAS[],3,FALSE),0)</f>
        <v>3848980803.1642323</v>
      </c>
      <c r="AH1193" s="246">
        <f>IFERROR(VLOOKUP(F1193,PROGRAMAS[],3,FALSE),0)</f>
        <v>3394901471.387517</v>
      </c>
      <c r="AI1193" s="246">
        <f>IFERROR(VLOOKUP(G1193,PROGRAMAS[],3,FALSE),0)</f>
        <v>125317226.95549992</v>
      </c>
      <c r="AJ1193" s="246">
        <f>IFERROR(VLOOKUP(H1193,PROGRAMAS[],3,FALSE),0)</f>
        <v>6129902208.7912121</v>
      </c>
      <c r="AK1193" s="246">
        <f>IFERROR(VLOOKUP(I1193,PROGRAMAS[],3,FALSE),0)</f>
        <v>4099471734.9978786</v>
      </c>
      <c r="AL1193" s="246">
        <f>IFERROR(VLOOKUP(J1193,PROGRAMAS[],3,FALSE),0)</f>
        <v>675517840.109828</v>
      </c>
      <c r="AM1193" s="246">
        <f>IFERROR(VLOOKUP(K1193,PROGRAMAS[],3,FALSE),0)</f>
        <v>118617452.52510804</v>
      </c>
      <c r="AN1193" s="246">
        <f>IFERROR(VLOOKUP(L1193,PROGRAMAS[],3,FALSE),0)</f>
        <v>2406564599.0319901</v>
      </c>
      <c r="AO1193" s="246">
        <f>IFERROR(VLOOKUP(M1193,PROGRAMAS[],3,FALSE),0)</f>
        <v>0</v>
      </c>
      <c r="AP1193" s="246">
        <f>IFERROR(VLOOKUP(N1193,PROGRAMAS[],3,FALSE),0)</f>
        <v>0</v>
      </c>
      <c r="AQ1193" s="246">
        <f>IFERROR(VLOOKUP(O1193,PROGRAMAS[],3,FALSE),0)</f>
        <v>0</v>
      </c>
      <c r="AR1193" s="246">
        <f>IFERROR(VLOOKUP(P1193,PROGRAMAS[],3,FALSE),0)</f>
        <v>0</v>
      </c>
      <c r="AS1193" s="246">
        <f>IFERROR(VLOOKUP(Q1193,PROGRAMAS[],3,FALSE),0)</f>
        <v>0</v>
      </c>
      <c r="AT1193" s="246">
        <f>IFERROR(VLOOKUP(D1193,VOL_REC[],2,FALSE),0)</f>
        <v>0</v>
      </c>
      <c r="AU1193" s="246">
        <f>IFERROR(VLOOKUP(E1193,VOL_REC[],2,FALSE),0)</f>
        <v>0</v>
      </c>
      <c r="AV1193" s="246">
        <f>IFERROR(VLOOKUP(F1193,VOL_REC[],2,FALSE),0)</f>
        <v>11089674.200000001</v>
      </c>
      <c r="AW1193" s="246">
        <f>IFERROR(VLOOKUP(G1193,VOL_REC[],2,FALSE),0)</f>
        <v>90439.55</v>
      </c>
      <c r="AX1193" s="246">
        <f>IFERROR(VLOOKUP(H1193,VOL_REC[],2,FALSE),0)</f>
        <v>15540036.397699751</v>
      </c>
      <c r="AY1193" s="246">
        <f>IFERROR(VLOOKUP(I1193,VOL_REC[],2,FALSE),0)</f>
        <v>1812240</v>
      </c>
      <c r="AZ1193" s="246">
        <f>IFERROR(VLOOKUP(J1193,VOL_REC[],2,FALSE),0)</f>
        <v>240696.79238099116</v>
      </c>
      <c r="BA1193" s="246">
        <f>IFERROR(VLOOKUP(K1193,VOL_REC[],2,FALSE),0)</f>
        <v>105072</v>
      </c>
      <c r="BB1193" s="246">
        <f>IFERROR(VLOOKUP(L1193,VOL_REC[],2,FALSE),0)</f>
        <v>1072354.9981737854</v>
      </c>
      <c r="BC1193" s="246">
        <f>IFERROR(VLOOKUP(M1193,VOL_REC[],2,FALSE),0)</f>
        <v>0</v>
      </c>
      <c r="BD1193" s="246">
        <f>IFERROR(VLOOKUP(N1193,VOL_REC[],2,FALSE),0)</f>
        <v>0</v>
      </c>
      <c r="BE1193" s="246">
        <f>IFERROR(VLOOKUP(O1193,VOL_REC[],2,FALSE),0)</f>
        <v>0</v>
      </c>
      <c r="BF1193" s="246">
        <f>IFERROR(VLOOKUP(P1193,VOL_REC[],2,FALSE),0)</f>
        <v>0</v>
      </c>
      <c r="BG1193" s="246">
        <f>IFERROR(VLOOKUP(Q1193,VOL_REC[],2,FALSE),0)</f>
        <v>0</v>
      </c>
      <c r="BH1193" s="1710">
        <f t="shared" si="72"/>
        <v>23365981028.073082</v>
      </c>
      <c r="BI1193" s="1710">
        <f t="shared" si="73"/>
        <v>21641161966.274067</v>
      </c>
      <c r="BJ1193" s="1711">
        <f t="shared" si="74"/>
        <v>29950513.938254528</v>
      </c>
      <c r="BK1193" s="1711">
        <f t="shared" si="75"/>
        <v>1.0797008526846663</v>
      </c>
      <c r="BL1193">
        <f>BJ1193</f>
        <v>29950513.938254528</v>
      </c>
      <c r="BO1193">
        <f>BL1193</f>
        <v>29950513.938254528</v>
      </c>
    </row>
    <row r="1194" spans="3:67" x14ac:dyDescent="0.25">
      <c r="C1194" s="246" t="s">
        <v>2544</v>
      </c>
      <c r="D1194" s="246">
        <v>1</v>
      </c>
      <c r="E1194" s="246">
        <v>2</v>
      </c>
      <c r="F1194" s="246">
        <v>3</v>
      </c>
      <c r="G1194" s="246">
        <v>4</v>
      </c>
      <c r="H1194" s="246">
        <v>6</v>
      </c>
      <c r="I1194" s="246">
        <v>10</v>
      </c>
      <c r="J1194" s="246">
        <v>12</v>
      </c>
      <c r="K1194" s="246">
        <v>15</v>
      </c>
      <c r="L1194" s="246">
        <v>17</v>
      </c>
      <c r="M1194" s="246"/>
      <c r="N1194" s="246"/>
      <c r="O1194" s="246"/>
      <c r="P1194" s="246"/>
      <c r="Q1194" s="246"/>
      <c r="R1194" s="246">
        <f>IFERROR(VLOOKUP(D1194,PROGRAMAS[],2,FALSE),0)</f>
        <v>97037803.679377079</v>
      </c>
      <c r="S1194" s="246">
        <f>IFERROR(VLOOKUP(E1194,PROGRAMAS[],2,FALSE),0)</f>
        <v>640501509.6821388</v>
      </c>
      <c r="T1194" s="246">
        <f>IFERROR(VLOOKUP(F1194,PROGRAMAS[],2,FALSE),0)</f>
        <v>3062327798.1525245</v>
      </c>
      <c r="U1194" s="246">
        <f>IFERROR(VLOOKUP(G1194,PROGRAMAS[],2,FALSE),0)</f>
        <v>67697118.033011258</v>
      </c>
      <c r="V1194" s="246">
        <f>IFERROR(VLOOKUP(H1194,PROGRAMAS[],2,FALSE),0)</f>
        <v>6907648435.8447599</v>
      </c>
      <c r="W1194" s="246">
        <f>IFERROR(VLOOKUP(I1194,PROGRAMAS[],2,FALSE),0)</f>
        <v>4635315027.8751087</v>
      </c>
      <c r="X1194" s="246">
        <f>IFERROR(VLOOKUP(J1194,PROGRAMAS[],2,FALSE),0)</f>
        <v>764796700.79905891</v>
      </c>
      <c r="Y1194" s="246">
        <f>IFERROR(VLOOKUP(K1194,PROGRAMAS[],2,FALSE),0)</f>
        <v>122159672.96346797</v>
      </c>
      <c r="Z1194" s="246">
        <f>IFERROR(VLOOKUP(L1194,PROGRAMAS[],2,FALSE),0)</f>
        <v>1892779498.5211046</v>
      </c>
      <c r="AA1194" s="246">
        <f>IFERROR(VLOOKUP(M1194,PROGRAMAS[],2,FALSE),0)</f>
        <v>0</v>
      </c>
      <c r="AB1194" s="246">
        <f>IFERROR(VLOOKUP(N1194,PROGRAMAS[],2,FALSE),0)</f>
        <v>0</v>
      </c>
      <c r="AC1194" s="246">
        <f>IFERROR(VLOOKUP(O1194,PROGRAMAS[],2,FALSE),0)</f>
        <v>0</v>
      </c>
      <c r="AD1194" s="246">
        <f>IFERROR(VLOOKUP(P1194,PROGRAMAS[],2,FALSE),0)</f>
        <v>0</v>
      </c>
      <c r="AE1194" s="246">
        <f>IFERROR(VLOOKUP(Q1194,PROGRAMAS[],2,FALSE),0)</f>
        <v>0</v>
      </c>
      <c r="AF1194" s="246">
        <f>IFERROR(VLOOKUP(D1194,PROGRAMAS[],3,FALSE),0)</f>
        <v>841888629.31080008</v>
      </c>
      <c r="AG1194" s="246">
        <f>IFERROR(VLOOKUP(E1194,PROGRAMAS[],3,FALSE),0)</f>
        <v>3848980803.1642323</v>
      </c>
      <c r="AH1194" s="246">
        <f>IFERROR(VLOOKUP(F1194,PROGRAMAS[],3,FALSE),0)</f>
        <v>3394901471.387517</v>
      </c>
      <c r="AI1194" s="246">
        <f>IFERROR(VLOOKUP(G1194,PROGRAMAS[],3,FALSE),0)</f>
        <v>125317226.95549992</v>
      </c>
      <c r="AJ1194" s="246">
        <f>IFERROR(VLOOKUP(H1194,PROGRAMAS[],3,FALSE),0)</f>
        <v>6129902208.7912121</v>
      </c>
      <c r="AK1194" s="246">
        <f>IFERROR(VLOOKUP(I1194,PROGRAMAS[],3,FALSE),0)</f>
        <v>4099471734.9978786</v>
      </c>
      <c r="AL1194" s="246">
        <f>IFERROR(VLOOKUP(J1194,PROGRAMAS[],3,FALSE),0)</f>
        <v>675517840.109828</v>
      </c>
      <c r="AM1194" s="246">
        <f>IFERROR(VLOOKUP(K1194,PROGRAMAS[],3,FALSE),0)</f>
        <v>118617452.52510804</v>
      </c>
      <c r="AN1194" s="246">
        <f>IFERROR(VLOOKUP(L1194,PROGRAMAS[],3,FALSE),0)</f>
        <v>948595847.09039903</v>
      </c>
      <c r="AO1194" s="246">
        <f>IFERROR(VLOOKUP(M1194,PROGRAMAS[],3,FALSE),0)</f>
        <v>0</v>
      </c>
      <c r="AP1194" s="246">
        <f>IFERROR(VLOOKUP(N1194,PROGRAMAS[],3,FALSE),0)</f>
        <v>0</v>
      </c>
      <c r="AQ1194" s="246">
        <f>IFERROR(VLOOKUP(O1194,PROGRAMAS[],3,FALSE),0)</f>
        <v>0</v>
      </c>
      <c r="AR1194" s="246">
        <f>IFERROR(VLOOKUP(P1194,PROGRAMAS[],3,FALSE),0)</f>
        <v>0</v>
      </c>
      <c r="AS1194" s="246">
        <f>IFERROR(VLOOKUP(Q1194,PROGRAMAS[],3,FALSE),0)</f>
        <v>0</v>
      </c>
      <c r="AT1194" s="246">
        <f>IFERROR(VLOOKUP(D1194,VOL_REC[],2,FALSE),0)</f>
        <v>0</v>
      </c>
      <c r="AU1194" s="246">
        <f>IFERROR(VLOOKUP(E1194,VOL_REC[],2,FALSE),0)</f>
        <v>0</v>
      </c>
      <c r="AV1194" s="246">
        <f>IFERROR(VLOOKUP(F1194,VOL_REC[],2,FALSE),0)</f>
        <v>11089674.200000001</v>
      </c>
      <c r="AW1194" s="246">
        <f>IFERROR(VLOOKUP(G1194,VOL_REC[],2,FALSE),0)</f>
        <v>90439.55</v>
      </c>
      <c r="AX1194" s="246">
        <f>IFERROR(VLOOKUP(H1194,VOL_REC[],2,FALSE),0)</f>
        <v>15540036.397699751</v>
      </c>
      <c r="AY1194" s="246">
        <f>IFERROR(VLOOKUP(I1194,VOL_REC[],2,FALSE),0)</f>
        <v>1812240</v>
      </c>
      <c r="AZ1194" s="246">
        <f>IFERROR(VLOOKUP(J1194,VOL_REC[],2,FALSE),0)</f>
        <v>240696.79238099116</v>
      </c>
      <c r="BA1194" s="246">
        <f>IFERROR(VLOOKUP(K1194,VOL_REC[],2,FALSE),0)</f>
        <v>105072</v>
      </c>
      <c r="BB1194" s="246">
        <f>IFERROR(VLOOKUP(L1194,VOL_REC[],2,FALSE),0)</f>
        <v>740113.98115702497</v>
      </c>
      <c r="BC1194" s="246">
        <f>IFERROR(VLOOKUP(M1194,VOL_REC[],2,FALSE),0)</f>
        <v>0</v>
      </c>
      <c r="BD1194" s="246">
        <f>IFERROR(VLOOKUP(N1194,VOL_REC[],2,FALSE),0)</f>
        <v>0</v>
      </c>
      <c r="BE1194" s="246">
        <f>IFERROR(VLOOKUP(O1194,VOL_REC[],2,FALSE),0)</f>
        <v>0</v>
      </c>
      <c r="BF1194" s="246">
        <f>IFERROR(VLOOKUP(P1194,VOL_REC[],2,FALSE),0)</f>
        <v>0</v>
      </c>
      <c r="BG1194" s="246">
        <f>IFERROR(VLOOKUP(Q1194,VOL_REC[],2,FALSE),0)</f>
        <v>0</v>
      </c>
      <c r="BH1194" s="1710">
        <f t="shared" si="72"/>
        <v>18190263565.550552</v>
      </c>
      <c r="BI1194" s="1710">
        <f t="shared" si="73"/>
        <v>20183193214.332478</v>
      </c>
      <c r="BJ1194" s="1711">
        <f t="shared" si="74"/>
        <v>29618272.921237767</v>
      </c>
      <c r="BK1194" s="1711">
        <f t="shared" si="75"/>
        <v>0.90125796113537138</v>
      </c>
    </row>
    <row r="1195" spans="3:67" x14ac:dyDescent="0.25">
      <c r="C1195" s="246" t="s">
        <v>2545</v>
      </c>
      <c r="D1195" s="246">
        <v>1</v>
      </c>
      <c r="E1195" s="246">
        <v>2</v>
      </c>
      <c r="F1195" s="246">
        <v>3</v>
      </c>
      <c r="G1195" s="246">
        <v>4</v>
      </c>
      <c r="H1195" s="246">
        <v>6</v>
      </c>
      <c r="I1195" s="246">
        <v>10</v>
      </c>
      <c r="J1195" s="246">
        <v>12</v>
      </c>
      <c r="K1195" s="246">
        <v>16</v>
      </c>
      <c r="L1195" s="246">
        <v>17</v>
      </c>
      <c r="M1195" s="246"/>
      <c r="N1195" s="246"/>
      <c r="O1195" s="246"/>
      <c r="P1195" s="246"/>
      <c r="Q1195" s="246"/>
      <c r="R1195" s="246">
        <f>IFERROR(VLOOKUP(D1195,PROGRAMAS[],2,FALSE),0)</f>
        <v>97037803.679377079</v>
      </c>
      <c r="S1195" s="246">
        <f>IFERROR(VLOOKUP(E1195,PROGRAMAS[],2,FALSE),0)</f>
        <v>640501509.6821388</v>
      </c>
      <c r="T1195" s="246">
        <f>IFERROR(VLOOKUP(F1195,PROGRAMAS[],2,FALSE),0)</f>
        <v>3062327798.1525245</v>
      </c>
      <c r="U1195" s="246">
        <f>IFERROR(VLOOKUP(G1195,PROGRAMAS[],2,FALSE),0)</f>
        <v>67697118.033011258</v>
      </c>
      <c r="V1195" s="246">
        <f>IFERROR(VLOOKUP(H1195,PROGRAMAS[],2,FALSE),0)</f>
        <v>6907648435.8447599</v>
      </c>
      <c r="W1195" s="246">
        <f>IFERROR(VLOOKUP(I1195,PROGRAMAS[],2,FALSE),0)</f>
        <v>4635315027.8751087</v>
      </c>
      <c r="X1195" s="246">
        <f>IFERROR(VLOOKUP(J1195,PROGRAMAS[],2,FALSE),0)</f>
        <v>764796700.79905891</v>
      </c>
      <c r="Y1195" s="246">
        <f>IFERROR(VLOOKUP(K1195,PROGRAMAS[],2,FALSE),0)</f>
        <v>7068496961.0436354</v>
      </c>
      <c r="Z1195" s="246">
        <f>IFERROR(VLOOKUP(L1195,PROGRAMAS[],2,FALSE),0)</f>
        <v>1892779498.5211046</v>
      </c>
      <c r="AA1195" s="246">
        <f>IFERROR(VLOOKUP(M1195,PROGRAMAS[],2,FALSE),0)</f>
        <v>0</v>
      </c>
      <c r="AB1195" s="246">
        <f>IFERROR(VLOOKUP(N1195,PROGRAMAS[],2,FALSE),0)</f>
        <v>0</v>
      </c>
      <c r="AC1195" s="246">
        <f>IFERROR(VLOOKUP(O1195,PROGRAMAS[],2,FALSE),0)</f>
        <v>0</v>
      </c>
      <c r="AD1195" s="246">
        <f>IFERROR(VLOOKUP(P1195,PROGRAMAS[],2,FALSE),0)</f>
        <v>0</v>
      </c>
      <c r="AE1195" s="246">
        <f>IFERROR(VLOOKUP(Q1195,PROGRAMAS[],2,FALSE),0)</f>
        <v>0</v>
      </c>
      <c r="AF1195" s="246">
        <f>IFERROR(VLOOKUP(D1195,PROGRAMAS[],3,FALSE),0)</f>
        <v>841888629.31080008</v>
      </c>
      <c r="AG1195" s="246">
        <f>IFERROR(VLOOKUP(E1195,PROGRAMAS[],3,FALSE),0)</f>
        <v>3848980803.1642323</v>
      </c>
      <c r="AH1195" s="246">
        <f>IFERROR(VLOOKUP(F1195,PROGRAMAS[],3,FALSE),0)</f>
        <v>3394901471.387517</v>
      </c>
      <c r="AI1195" s="246">
        <f>IFERROR(VLOOKUP(G1195,PROGRAMAS[],3,FALSE),0)</f>
        <v>125317226.95549992</v>
      </c>
      <c r="AJ1195" s="246">
        <f>IFERROR(VLOOKUP(H1195,PROGRAMAS[],3,FALSE),0)</f>
        <v>6129902208.7912121</v>
      </c>
      <c r="AK1195" s="246">
        <f>IFERROR(VLOOKUP(I1195,PROGRAMAS[],3,FALSE),0)</f>
        <v>4099471734.9978786</v>
      </c>
      <c r="AL1195" s="246">
        <f>IFERROR(VLOOKUP(J1195,PROGRAMAS[],3,FALSE),0)</f>
        <v>675517840.109828</v>
      </c>
      <c r="AM1195" s="246">
        <f>IFERROR(VLOOKUP(K1195,PROGRAMAS[],3,FALSE),0)</f>
        <v>2406564599.0319901</v>
      </c>
      <c r="AN1195" s="246">
        <f>IFERROR(VLOOKUP(L1195,PROGRAMAS[],3,FALSE),0)</f>
        <v>948595847.09039903</v>
      </c>
      <c r="AO1195" s="246">
        <f>IFERROR(VLOOKUP(M1195,PROGRAMAS[],3,FALSE),0)</f>
        <v>0</v>
      </c>
      <c r="AP1195" s="246">
        <f>IFERROR(VLOOKUP(N1195,PROGRAMAS[],3,FALSE),0)</f>
        <v>0</v>
      </c>
      <c r="AQ1195" s="246">
        <f>IFERROR(VLOOKUP(O1195,PROGRAMAS[],3,FALSE),0)</f>
        <v>0</v>
      </c>
      <c r="AR1195" s="246">
        <f>IFERROR(VLOOKUP(P1195,PROGRAMAS[],3,FALSE),0)</f>
        <v>0</v>
      </c>
      <c r="AS1195" s="246">
        <f>IFERROR(VLOOKUP(Q1195,PROGRAMAS[],3,FALSE),0)</f>
        <v>0</v>
      </c>
      <c r="AT1195" s="246">
        <f>IFERROR(VLOOKUP(D1195,VOL_REC[],2,FALSE),0)</f>
        <v>0</v>
      </c>
      <c r="AU1195" s="246">
        <f>IFERROR(VLOOKUP(E1195,VOL_REC[],2,FALSE),0)</f>
        <v>0</v>
      </c>
      <c r="AV1195" s="246">
        <f>IFERROR(VLOOKUP(F1195,VOL_REC[],2,FALSE),0)</f>
        <v>11089674.200000001</v>
      </c>
      <c r="AW1195" s="246">
        <f>IFERROR(VLOOKUP(G1195,VOL_REC[],2,FALSE),0)</f>
        <v>90439.55</v>
      </c>
      <c r="AX1195" s="246">
        <f>IFERROR(VLOOKUP(H1195,VOL_REC[],2,FALSE),0)</f>
        <v>15540036.397699751</v>
      </c>
      <c r="AY1195" s="246">
        <f>IFERROR(VLOOKUP(I1195,VOL_REC[],2,FALSE),0)</f>
        <v>1812240</v>
      </c>
      <c r="AZ1195" s="246">
        <f>IFERROR(VLOOKUP(J1195,VOL_REC[],2,FALSE),0)</f>
        <v>240696.79238099116</v>
      </c>
      <c r="BA1195" s="246">
        <f>IFERROR(VLOOKUP(K1195,VOL_REC[],2,FALSE),0)</f>
        <v>1072354.9981737854</v>
      </c>
      <c r="BB1195" s="246">
        <f>IFERROR(VLOOKUP(L1195,VOL_REC[],2,FALSE),0)</f>
        <v>740113.98115702497</v>
      </c>
      <c r="BC1195" s="246">
        <f>IFERROR(VLOOKUP(M1195,VOL_REC[],2,FALSE),0)</f>
        <v>0</v>
      </c>
      <c r="BD1195" s="246">
        <f>IFERROR(VLOOKUP(N1195,VOL_REC[],2,FALSE),0)</f>
        <v>0</v>
      </c>
      <c r="BE1195" s="246">
        <f>IFERROR(VLOOKUP(O1195,VOL_REC[],2,FALSE),0)</f>
        <v>0</v>
      </c>
      <c r="BF1195" s="246">
        <f>IFERROR(VLOOKUP(P1195,VOL_REC[],2,FALSE),0)</f>
        <v>0</v>
      </c>
      <c r="BG1195" s="246">
        <f>IFERROR(VLOOKUP(Q1195,VOL_REC[],2,FALSE),0)</f>
        <v>0</v>
      </c>
      <c r="BH1195" s="1710">
        <f t="shared" si="72"/>
        <v>25136600853.630718</v>
      </c>
      <c r="BI1195" s="1710">
        <f t="shared" si="73"/>
        <v>22471140360.839359</v>
      </c>
      <c r="BJ1195" s="1711">
        <f t="shared" si="74"/>
        <v>30585555.919411551</v>
      </c>
      <c r="BK1195" s="1711">
        <f t="shared" si="75"/>
        <v>1.1186170550310157</v>
      </c>
      <c r="BL1195">
        <f>BJ1195</f>
        <v>30585555.919411551</v>
      </c>
      <c r="BO1195">
        <f>BL1195</f>
        <v>30585555.919411551</v>
      </c>
    </row>
    <row r="1196" spans="3:67" x14ac:dyDescent="0.25">
      <c r="C1196" s="246" t="s">
        <v>2546</v>
      </c>
      <c r="D1196" s="246">
        <v>1</v>
      </c>
      <c r="E1196" s="246">
        <v>2</v>
      </c>
      <c r="F1196" s="246">
        <v>3</v>
      </c>
      <c r="G1196" s="246">
        <v>4</v>
      </c>
      <c r="H1196" s="246">
        <v>6</v>
      </c>
      <c r="I1196" s="246">
        <v>10</v>
      </c>
      <c r="J1196" s="246">
        <v>13</v>
      </c>
      <c r="K1196" s="246">
        <v>14</v>
      </c>
      <c r="L1196" s="246">
        <v>15</v>
      </c>
      <c r="M1196" s="246"/>
      <c r="N1196" s="246"/>
      <c r="O1196" s="246"/>
      <c r="P1196" s="246"/>
      <c r="Q1196" s="246"/>
      <c r="R1196" s="246">
        <f>IFERROR(VLOOKUP(D1196,PROGRAMAS[],2,FALSE),0)</f>
        <v>97037803.679377079</v>
      </c>
      <c r="S1196" s="246">
        <f>IFERROR(VLOOKUP(E1196,PROGRAMAS[],2,FALSE),0)</f>
        <v>640501509.6821388</v>
      </c>
      <c r="T1196" s="246">
        <f>IFERROR(VLOOKUP(F1196,PROGRAMAS[],2,FALSE),0)</f>
        <v>3062327798.1525245</v>
      </c>
      <c r="U1196" s="246">
        <f>IFERROR(VLOOKUP(G1196,PROGRAMAS[],2,FALSE),0)</f>
        <v>67697118.033011258</v>
      </c>
      <c r="V1196" s="246">
        <f>IFERROR(VLOOKUP(H1196,PROGRAMAS[],2,FALSE),0)</f>
        <v>6907648435.8447599</v>
      </c>
      <c r="W1196" s="246">
        <f>IFERROR(VLOOKUP(I1196,PROGRAMAS[],2,FALSE),0)</f>
        <v>4635315027.8751087</v>
      </c>
      <c r="X1196" s="246">
        <f>IFERROR(VLOOKUP(J1196,PROGRAMAS[],2,FALSE),0)</f>
        <v>3776538594.4604583</v>
      </c>
      <c r="Y1196" s="246">
        <f>IFERROR(VLOOKUP(K1196,PROGRAMAS[],2,FALSE),0)</f>
        <v>54223862.645839565</v>
      </c>
      <c r="Z1196" s="246">
        <f>IFERROR(VLOOKUP(L1196,PROGRAMAS[],2,FALSE),0)</f>
        <v>122159672.96346797</v>
      </c>
      <c r="AA1196" s="246">
        <f>IFERROR(VLOOKUP(M1196,PROGRAMAS[],2,FALSE),0)</f>
        <v>0</v>
      </c>
      <c r="AB1196" s="246">
        <f>IFERROR(VLOOKUP(N1196,PROGRAMAS[],2,FALSE),0)</f>
        <v>0</v>
      </c>
      <c r="AC1196" s="246">
        <f>IFERROR(VLOOKUP(O1196,PROGRAMAS[],2,FALSE),0)</f>
        <v>0</v>
      </c>
      <c r="AD1196" s="246">
        <f>IFERROR(VLOOKUP(P1196,PROGRAMAS[],2,FALSE),0)</f>
        <v>0</v>
      </c>
      <c r="AE1196" s="246">
        <f>IFERROR(VLOOKUP(Q1196,PROGRAMAS[],2,FALSE),0)</f>
        <v>0</v>
      </c>
      <c r="AF1196" s="246">
        <f>IFERROR(VLOOKUP(D1196,PROGRAMAS[],3,FALSE),0)</f>
        <v>841888629.31080008</v>
      </c>
      <c r="AG1196" s="246">
        <f>IFERROR(VLOOKUP(E1196,PROGRAMAS[],3,FALSE),0)</f>
        <v>3848980803.1642323</v>
      </c>
      <c r="AH1196" s="246">
        <f>IFERROR(VLOOKUP(F1196,PROGRAMAS[],3,FALSE),0)</f>
        <v>3394901471.387517</v>
      </c>
      <c r="AI1196" s="246">
        <f>IFERROR(VLOOKUP(G1196,PROGRAMAS[],3,FALSE),0)</f>
        <v>125317226.95549992</v>
      </c>
      <c r="AJ1196" s="246">
        <f>IFERROR(VLOOKUP(H1196,PROGRAMAS[],3,FALSE),0)</f>
        <v>6129902208.7912121</v>
      </c>
      <c r="AK1196" s="246">
        <f>IFERROR(VLOOKUP(I1196,PROGRAMAS[],3,FALSE),0)</f>
        <v>4099471734.9978786</v>
      </c>
      <c r="AL1196" s="246">
        <f>IFERROR(VLOOKUP(J1196,PROGRAMAS[],3,FALSE),0)</f>
        <v>2392571243.5584412</v>
      </c>
      <c r="AM1196" s="246">
        <f>IFERROR(VLOOKUP(K1196,PROGRAMAS[],3,FALSE),0)</f>
        <v>31865326.38096505</v>
      </c>
      <c r="AN1196" s="246">
        <f>IFERROR(VLOOKUP(L1196,PROGRAMAS[],3,FALSE),0)</f>
        <v>118617452.52510804</v>
      </c>
      <c r="AO1196" s="246">
        <f>IFERROR(VLOOKUP(M1196,PROGRAMAS[],3,FALSE),0)</f>
        <v>0</v>
      </c>
      <c r="AP1196" s="246">
        <f>IFERROR(VLOOKUP(N1196,PROGRAMAS[],3,FALSE),0)</f>
        <v>0</v>
      </c>
      <c r="AQ1196" s="246">
        <f>IFERROR(VLOOKUP(O1196,PROGRAMAS[],3,FALSE),0)</f>
        <v>0</v>
      </c>
      <c r="AR1196" s="246">
        <f>IFERROR(VLOOKUP(P1196,PROGRAMAS[],3,FALSE),0)</f>
        <v>0</v>
      </c>
      <c r="AS1196" s="246">
        <f>IFERROR(VLOOKUP(Q1196,PROGRAMAS[],3,FALSE),0)</f>
        <v>0</v>
      </c>
      <c r="AT1196" s="246">
        <f>IFERROR(VLOOKUP(D1196,VOL_REC[],2,FALSE),0)</f>
        <v>0</v>
      </c>
      <c r="AU1196" s="246">
        <f>IFERROR(VLOOKUP(E1196,VOL_REC[],2,FALSE),0)</f>
        <v>0</v>
      </c>
      <c r="AV1196" s="246">
        <f>IFERROR(VLOOKUP(F1196,VOL_REC[],2,FALSE),0)</f>
        <v>11089674.200000001</v>
      </c>
      <c r="AW1196" s="246">
        <f>IFERROR(VLOOKUP(G1196,VOL_REC[],2,FALSE),0)</f>
        <v>90439.55</v>
      </c>
      <c r="AX1196" s="246">
        <f>IFERROR(VLOOKUP(H1196,VOL_REC[],2,FALSE),0)</f>
        <v>15540036.397699751</v>
      </c>
      <c r="AY1196" s="246">
        <f>IFERROR(VLOOKUP(I1196,VOL_REC[],2,FALSE),0)</f>
        <v>1812240</v>
      </c>
      <c r="AZ1196" s="246">
        <f>IFERROR(VLOOKUP(J1196,VOL_REC[],2,FALSE),0)</f>
        <v>663244.80000000016</v>
      </c>
      <c r="BA1196" s="246">
        <f>IFERROR(VLOOKUP(K1196,VOL_REC[],2,FALSE),0)</f>
        <v>17074.045034105649</v>
      </c>
      <c r="BB1196" s="246">
        <f>IFERROR(VLOOKUP(L1196,VOL_REC[],2,FALSE),0)</f>
        <v>105072</v>
      </c>
      <c r="BC1196" s="246">
        <f>IFERROR(VLOOKUP(M1196,VOL_REC[],2,FALSE),0)</f>
        <v>0</v>
      </c>
      <c r="BD1196" s="246">
        <f>IFERROR(VLOOKUP(N1196,VOL_REC[],2,FALSE),0)</f>
        <v>0</v>
      </c>
      <c r="BE1196" s="246">
        <f>IFERROR(VLOOKUP(O1196,VOL_REC[],2,FALSE),0)</f>
        <v>0</v>
      </c>
      <c r="BF1196" s="246">
        <f>IFERROR(VLOOKUP(P1196,VOL_REC[],2,FALSE),0)</f>
        <v>0</v>
      </c>
      <c r="BG1196" s="246">
        <f>IFERROR(VLOOKUP(Q1196,VOL_REC[],2,FALSE),0)</f>
        <v>0</v>
      </c>
      <c r="BH1196" s="1710">
        <f t="shared" si="72"/>
        <v>19363449823.336685</v>
      </c>
      <c r="BI1196" s="1710">
        <f t="shared" si="73"/>
        <v>20983516097.071655</v>
      </c>
      <c r="BJ1196" s="1711">
        <f t="shared" si="74"/>
        <v>29317780.992733859</v>
      </c>
      <c r="BK1196" s="1711">
        <f t="shared" si="75"/>
        <v>0.92279338380467812</v>
      </c>
    </row>
    <row r="1197" spans="3:67" x14ac:dyDescent="0.25">
      <c r="C1197" s="246" t="s">
        <v>2547</v>
      </c>
      <c r="D1197" s="246">
        <v>1</v>
      </c>
      <c r="E1197" s="246">
        <v>2</v>
      </c>
      <c r="F1197" s="246">
        <v>3</v>
      </c>
      <c r="G1197" s="246">
        <v>4</v>
      </c>
      <c r="H1197" s="246">
        <v>6</v>
      </c>
      <c r="I1197" s="246">
        <v>10</v>
      </c>
      <c r="J1197" s="246">
        <v>13</v>
      </c>
      <c r="K1197" s="246">
        <v>14</v>
      </c>
      <c r="L1197" s="246">
        <v>16</v>
      </c>
      <c r="M1197" s="246"/>
      <c r="N1197" s="246"/>
      <c r="O1197" s="246"/>
      <c r="P1197" s="246"/>
      <c r="Q1197" s="246"/>
      <c r="R1197" s="246">
        <f>IFERROR(VLOOKUP(D1197,PROGRAMAS[],2,FALSE),0)</f>
        <v>97037803.679377079</v>
      </c>
      <c r="S1197" s="246">
        <f>IFERROR(VLOOKUP(E1197,PROGRAMAS[],2,FALSE),0)</f>
        <v>640501509.6821388</v>
      </c>
      <c r="T1197" s="246">
        <f>IFERROR(VLOOKUP(F1197,PROGRAMAS[],2,FALSE),0)</f>
        <v>3062327798.1525245</v>
      </c>
      <c r="U1197" s="246">
        <f>IFERROR(VLOOKUP(G1197,PROGRAMAS[],2,FALSE),0)</f>
        <v>67697118.033011258</v>
      </c>
      <c r="V1197" s="246">
        <f>IFERROR(VLOOKUP(H1197,PROGRAMAS[],2,FALSE),0)</f>
        <v>6907648435.8447599</v>
      </c>
      <c r="W1197" s="246">
        <f>IFERROR(VLOOKUP(I1197,PROGRAMAS[],2,FALSE),0)</f>
        <v>4635315027.8751087</v>
      </c>
      <c r="X1197" s="246">
        <f>IFERROR(VLOOKUP(J1197,PROGRAMAS[],2,FALSE),0)</f>
        <v>3776538594.4604583</v>
      </c>
      <c r="Y1197" s="246">
        <f>IFERROR(VLOOKUP(K1197,PROGRAMAS[],2,FALSE),0)</f>
        <v>54223862.645839565</v>
      </c>
      <c r="Z1197" s="246">
        <f>IFERROR(VLOOKUP(L1197,PROGRAMAS[],2,FALSE),0)</f>
        <v>7068496961.0436354</v>
      </c>
      <c r="AA1197" s="246">
        <f>IFERROR(VLOOKUP(M1197,PROGRAMAS[],2,FALSE),0)</f>
        <v>0</v>
      </c>
      <c r="AB1197" s="246">
        <f>IFERROR(VLOOKUP(N1197,PROGRAMAS[],2,FALSE),0)</f>
        <v>0</v>
      </c>
      <c r="AC1197" s="246">
        <f>IFERROR(VLOOKUP(O1197,PROGRAMAS[],2,FALSE),0)</f>
        <v>0</v>
      </c>
      <c r="AD1197" s="246">
        <f>IFERROR(VLOOKUP(P1197,PROGRAMAS[],2,FALSE),0)</f>
        <v>0</v>
      </c>
      <c r="AE1197" s="246">
        <f>IFERROR(VLOOKUP(Q1197,PROGRAMAS[],2,FALSE),0)</f>
        <v>0</v>
      </c>
      <c r="AF1197" s="246">
        <f>IFERROR(VLOOKUP(D1197,PROGRAMAS[],3,FALSE),0)</f>
        <v>841888629.31080008</v>
      </c>
      <c r="AG1197" s="246">
        <f>IFERROR(VLOOKUP(E1197,PROGRAMAS[],3,FALSE),0)</f>
        <v>3848980803.1642323</v>
      </c>
      <c r="AH1197" s="246">
        <f>IFERROR(VLOOKUP(F1197,PROGRAMAS[],3,FALSE),0)</f>
        <v>3394901471.387517</v>
      </c>
      <c r="AI1197" s="246">
        <f>IFERROR(VLOOKUP(G1197,PROGRAMAS[],3,FALSE),0)</f>
        <v>125317226.95549992</v>
      </c>
      <c r="AJ1197" s="246">
        <f>IFERROR(VLOOKUP(H1197,PROGRAMAS[],3,FALSE),0)</f>
        <v>6129902208.7912121</v>
      </c>
      <c r="AK1197" s="246">
        <f>IFERROR(VLOOKUP(I1197,PROGRAMAS[],3,FALSE),0)</f>
        <v>4099471734.9978786</v>
      </c>
      <c r="AL1197" s="246">
        <f>IFERROR(VLOOKUP(J1197,PROGRAMAS[],3,FALSE),0)</f>
        <v>2392571243.5584412</v>
      </c>
      <c r="AM1197" s="246">
        <f>IFERROR(VLOOKUP(K1197,PROGRAMAS[],3,FALSE),0)</f>
        <v>31865326.38096505</v>
      </c>
      <c r="AN1197" s="246">
        <f>IFERROR(VLOOKUP(L1197,PROGRAMAS[],3,FALSE),0)</f>
        <v>2406564599.0319901</v>
      </c>
      <c r="AO1197" s="246">
        <f>IFERROR(VLOOKUP(M1197,PROGRAMAS[],3,FALSE),0)</f>
        <v>0</v>
      </c>
      <c r="AP1197" s="246">
        <f>IFERROR(VLOOKUP(N1197,PROGRAMAS[],3,FALSE),0)</f>
        <v>0</v>
      </c>
      <c r="AQ1197" s="246">
        <f>IFERROR(VLOOKUP(O1197,PROGRAMAS[],3,FALSE),0)</f>
        <v>0</v>
      </c>
      <c r="AR1197" s="246">
        <f>IFERROR(VLOOKUP(P1197,PROGRAMAS[],3,FALSE),0)</f>
        <v>0</v>
      </c>
      <c r="AS1197" s="246">
        <f>IFERROR(VLOOKUP(Q1197,PROGRAMAS[],3,FALSE),0)</f>
        <v>0</v>
      </c>
      <c r="AT1197" s="246">
        <f>IFERROR(VLOOKUP(D1197,VOL_REC[],2,FALSE),0)</f>
        <v>0</v>
      </c>
      <c r="AU1197" s="246">
        <f>IFERROR(VLOOKUP(E1197,VOL_REC[],2,FALSE),0)</f>
        <v>0</v>
      </c>
      <c r="AV1197" s="246">
        <f>IFERROR(VLOOKUP(F1197,VOL_REC[],2,FALSE),0)</f>
        <v>11089674.200000001</v>
      </c>
      <c r="AW1197" s="246">
        <f>IFERROR(VLOOKUP(G1197,VOL_REC[],2,FALSE),0)</f>
        <v>90439.55</v>
      </c>
      <c r="AX1197" s="246">
        <f>IFERROR(VLOOKUP(H1197,VOL_REC[],2,FALSE),0)</f>
        <v>15540036.397699751</v>
      </c>
      <c r="AY1197" s="246">
        <f>IFERROR(VLOOKUP(I1197,VOL_REC[],2,FALSE),0)</f>
        <v>1812240</v>
      </c>
      <c r="AZ1197" s="246">
        <f>IFERROR(VLOOKUP(J1197,VOL_REC[],2,FALSE),0)</f>
        <v>663244.80000000016</v>
      </c>
      <c r="BA1197" s="246">
        <f>IFERROR(VLOOKUP(K1197,VOL_REC[],2,FALSE),0)</f>
        <v>17074.045034105649</v>
      </c>
      <c r="BB1197" s="246">
        <f>IFERROR(VLOOKUP(L1197,VOL_REC[],2,FALSE),0)</f>
        <v>1072354.9981737854</v>
      </c>
      <c r="BC1197" s="246">
        <f>IFERROR(VLOOKUP(M1197,VOL_REC[],2,FALSE),0)</f>
        <v>0</v>
      </c>
      <c r="BD1197" s="246">
        <f>IFERROR(VLOOKUP(N1197,VOL_REC[],2,FALSE),0)</f>
        <v>0</v>
      </c>
      <c r="BE1197" s="246">
        <f>IFERROR(VLOOKUP(O1197,VOL_REC[],2,FALSE),0)</f>
        <v>0</v>
      </c>
      <c r="BF1197" s="246">
        <f>IFERROR(VLOOKUP(P1197,VOL_REC[],2,FALSE),0)</f>
        <v>0</v>
      </c>
      <c r="BG1197" s="246">
        <f>IFERROR(VLOOKUP(Q1197,VOL_REC[],2,FALSE),0)</f>
        <v>0</v>
      </c>
      <c r="BH1197" s="1710">
        <f t="shared" si="72"/>
        <v>26309787111.416855</v>
      </c>
      <c r="BI1197" s="1710">
        <f t="shared" si="73"/>
        <v>23271463243.578537</v>
      </c>
      <c r="BJ1197" s="1711">
        <f t="shared" si="74"/>
        <v>30285063.990907643</v>
      </c>
      <c r="BK1197" s="1711">
        <f t="shared" si="75"/>
        <v>1.1305600699034988</v>
      </c>
      <c r="BL1197">
        <f>BJ1197</f>
        <v>30285063.990907643</v>
      </c>
      <c r="BO1197">
        <f>BL1197</f>
        <v>30285063.990907643</v>
      </c>
    </row>
    <row r="1198" spans="3:67" x14ac:dyDescent="0.25">
      <c r="C1198" s="246" t="s">
        <v>2548</v>
      </c>
      <c r="D1198" s="246">
        <v>1</v>
      </c>
      <c r="E1198" s="246">
        <v>2</v>
      </c>
      <c r="F1198" s="246">
        <v>3</v>
      </c>
      <c r="G1198" s="246">
        <v>4</v>
      </c>
      <c r="H1198" s="246">
        <v>6</v>
      </c>
      <c r="I1198" s="246">
        <v>10</v>
      </c>
      <c r="J1198" s="246">
        <v>13</v>
      </c>
      <c r="K1198" s="246">
        <v>14</v>
      </c>
      <c r="L1198" s="246">
        <v>17</v>
      </c>
      <c r="M1198" s="246"/>
      <c r="N1198" s="246"/>
      <c r="O1198" s="246"/>
      <c r="P1198" s="246"/>
      <c r="Q1198" s="246"/>
      <c r="R1198" s="246">
        <f>IFERROR(VLOOKUP(D1198,PROGRAMAS[],2,FALSE),0)</f>
        <v>97037803.679377079</v>
      </c>
      <c r="S1198" s="246">
        <f>IFERROR(VLOOKUP(E1198,PROGRAMAS[],2,FALSE),0)</f>
        <v>640501509.6821388</v>
      </c>
      <c r="T1198" s="246">
        <f>IFERROR(VLOOKUP(F1198,PROGRAMAS[],2,FALSE),0)</f>
        <v>3062327798.1525245</v>
      </c>
      <c r="U1198" s="246">
        <f>IFERROR(VLOOKUP(G1198,PROGRAMAS[],2,FALSE),0)</f>
        <v>67697118.033011258</v>
      </c>
      <c r="V1198" s="246">
        <f>IFERROR(VLOOKUP(H1198,PROGRAMAS[],2,FALSE),0)</f>
        <v>6907648435.8447599</v>
      </c>
      <c r="W1198" s="246">
        <f>IFERROR(VLOOKUP(I1198,PROGRAMAS[],2,FALSE),0)</f>
        <v>4635315027.8751087</v>
      </c>
      <c r="X1198" s="246">
        <f>IFERROR(VLOOKUP(J1198,PROGRAMAS[],2,FALSE),0)</f>
        <v>3776538594.4604583</v>
      </c>
      <c r="Y1198" s="246">
        <f>IFERROR(VLOOKUP(K1198,PROGRAMAS[],2,FALSE),0)</f>
        <v>54223862.645839565</v>
      </c>
      <c r="Z1198" s="246">
        <f>IFERROR(VLOOKUP(L1198,PROGRAMAS[],2,FALSE),0)</f>
        <v>1892779498.5211046</v>
      </c>
      <c r="AA1198" s="246">
        <f>IFERROR(VLOOKUP(M1198,PROGRAMAS[],2,FALSE),0)</f>
        <v>0</v>
      </c>
      <c r="AB1198" s="246">
        <f>IFERROR(VLOOKUP(N1198,PROGRAMAS[],2,FALSE),0)</f>
        <v>0</v>
      </c>
      <c r="AC1198" s="246">
        <f>IFERROR(VLOOKUP(O1198,PROGRAMAS[],2,FALSE),0)</f>
        <v>0</v>
      </c>
      <c r="AD1198" s="246">
        <f>IFERROR(VLOOKUP(P1198,PROGRAMAS[],2,FALSE),0)</f>
        <v>0</v>
      </c>
      <c r="AE1198" s="246">
        <f>IFERROR(VLOOKUP(Q1198,PROGRAMAS[],2,FALSE),0)</f>
        <v>0</v>
      </c>
      <c r="AF1198" s="246">
        <f>IFERROR(VLOOKUP(D1198,PROGRAMAS[],3,FALSE),0)</f>
        <v>841888629.31080008</v>
      </c>
      <c r="AG1198" s="246">
        <f>IFERROR(VLOOKUP(E1198,PROGRAMAS[],3,FALSE),0)</f>
        <v>3848980803.1642323</v>
      </c>
      <c r="AH1198" s="246">
        <f>IFERROR(VLOOKUP(F1198,PROGRAMAS[],3,FALSE),0)</f>
        <v>3394901471.387517</v>
      </c>
      <c r="AI1198" s="246">
        <f>IFERROR(VLOOKUP(G1198,PROGRAMAS[],3,FALSE),0)</f>
        <v>125317226.95549992</v>
      </c>
      <c r="AJ1198" s="246">
        <f>IFERROR(VLOOKUP(H1198,PROGRAMAS[],3,FALSE),0)</f>
        <v>6129902208.7912121</v>
      </c>
      <c r="AK1198" s="246">
        <f>IFERROR(VLOOKUP(I1198,PROGRAMAS[],3,FALSE),0)</f>
        <v>4099471734.9978786</v>
      </c>
      <c r="AL1198" s="246">
        <f>IFERROR(VLOOKUP(J1198,PROGRAMAS[],3,FALSE),0)</f>
        <v>2392571243.5584412</v>
      </c>
      <c r="AM1198" s="246">
        <f>IFERROR(VLOOKUP(K1198,PROGRAMAS[],3,FALSE),0)</f>
        <v>31865326.38096505</v>
      </c>
      <c r="AN1198" s="246">
        <f>IFERROR(VLOOKUP(L1198,PROGRAMAS[],3,FALSE),0)</f>
        <v>948595847.09039903</v>
      </c>
      <c r="AO1198" s="246">
        <f>IFERROR(VLOOKUP(M1198,PROGRAMAS[],3,FALSE),0)</f>
        <v>0</v>
      </c>
      <c r="AP1198" s="246">
        <f>IFERROR(VLOOKUP(N1198,PROGRAMAS[],3,FALSE),0)</f>
        <v>0</v>
      </c>
      <c r="AQ1198" s="246">
        <f>IFERROR(VLOOKUP(O1198,PROGRAMAS[],3,FALSE),0)</f>
        <v>0</v>
      </c>
      <c r="AR1198" s="246">
        <f>IFERROR(VLOOKUP(P1198,PROGRAMAS[],3,FALSE),0)</f>
        <v>0</v>
      </c>
      <c r="AS1198" s="246">
        <f>IFERROR(VLOOKUP(Q1198,PROGRAMAS[],3,FALSE),0)</f>
        <v>0</v>
      </c>
      <c r="AT1198" s="246">
        <f>IFERROR(VLOOKUP(D1198,VOL_REC[],2,FALSE),0)</f>
        <v>0</v>
      </c>
      <c r="AU1198" s="246">
        <f>IFERROR(VLOOKUP(E1198,VOL_REC[],2,FALSE),0)</f>
        <v>0</v>
      </c>
      <c r="AV1198" s="246">
        <f>IFERROR(VLOOKUP(F1198,VOL_REC[],2,FALSE),0)</f>
        <v>11089674.200000001</v>
      </c>
      <c r="AW1198" s="246">
        <f>IFERROR(VLOOKUP(G1198,VOL_REC[],2,FALSE),0)</f>
        <v>90439.55</v>
      </c>
      <c r="AX1198" s="246">
        <f>IFERROR(VLOOKUP(H1198,VOL_REC[],2,FALSE),0)</f>
        <v>15540036.397699751</v>
      </c>
      <c r="AY1198" s="246">
        <f>IFERROR(VLOOKUP(I1198,VOL_REC[],2,FALSE),0)</f>
        <v>1812240</v>
      </c>
      <c r="AZ1198" s="246">
        <f>IFERROR(VLOOKUP(J1198,VOL_REC[],2,FALSE),0)</f>
        <v>663244.80000000016</v>
      </c>
      <c r="BA1198" s="246">
        <f>IFERROR(VLOOKUP(K1198,VOL_REC[],2,FALSE),0)</f>
        <v>17074.045034105649</v>
      </c>
      <c r="BB1198" s="246">
        <f>IFERROR(VLOOKUP(L1198,VOL_REC[],2,FALSE),0)</f>
        <v>740113.98115702497</v>
      </c>
      <c r="BC1198" s="246">
        <f>IFERROR(VLOOKUP(M1198,VOL_REC[],2,FALSE),0)</f>
        <v>0</v>
      </c>
      <c r="BD1198" s="246">
        <f>IFERROR(VLOOKUP(N1198,VOL_REC[],2,FALSE),0)</f>
        <v>0</v>
      </c>
      <c r="BE1198" s="246">
        <f>IFERROR(VLOOKUP(O1198,VOL_REC[],2,FALSE),0)</f>
        <v>0</v>
      </c>
      <c r="BF1198" s="246">
        <f>IFERROR(VLOOKUP(P1198,VOL_REC[],2,FALSE),0)</f>
        <v>0</v>
      </c>
      <c r="BG1198" s="246">
        <f>IFERROR(VLOOKUP(Q1198,VOL_REC[],2,FALSE),0)</f>
        <v>0</v>
      </c>
      <c r="BH1198" s="1710">
        <f t="shared" si="72"/>
        <v>21134069648.894321</v>
      </c>
      <c r="BI1198" s="1710">
        <f t="shared" si="73"/>
        <v>21813494491.636948</v>
      </c>
      <c r="BJ1198" s="1711">
        <f t="shared" si="74"/>
        <v>29952822.973890882</v>
      </c>
      <c r="BK1198" s="1711">
        <f t="shared" si="75"/>
        <v>0.9688530032176591</v>
      </c>
    </row>
    <row r="1199" spans="3:67" x14ac:dyDescent="0.25">
      <c r="C1199" s="246" t="s">
        <v>2549</v>
      </c>
      <c r="D1199" s="246">
        <v>1</v>
      </c>
      <c r="E1199" s="246">
        <v>2</v>
      </c>
      <c r="F1199" s="246">
        <v>3</v>
      </c>
      <c r="G1199" s="246">
        <v>4</v>
      </c>
      <c r="H1199" s="246">
        <v>6</v>
      </c>
      <c r="I1199" s="246">
        <v>10</v>
      </c>
      <c r="J1199" s="246">
        <v>13</v>
      </c>
      <c r="K1199" s="246">
        <v>15</v>
      </c>
      <c r="L1199" s="246">
        <v>16</v>
      </c>
      <c r="M1199" s="246"/>
      <c r="N1199" s="246"/>
      <c r="O1199" s="246"/>
      <c r="P1199" s="246"/>
      <c r="Q1199" s="246"/>
      <c r="R1199" s="246">
        <f>IFERROR(VLOOKUP(D1199,PROGRAMAS[],2,FALSE),0)</f>
        <v>97037803.679377079</v>
      </c>
      <c r="S1199" s="246">
        <f>IFERROR(VLOOKUP(E1199,PROGRAMAS[],2,FALSE),0)</f>
        <v>640501509.6821388</v>
      </c>
      <c r="T1199" s="246">
        <f>IFERROR(VLOOKUP(F1199,PROGRAMAS[],2,FALSE),0)</f>
        <v>3062327798.1525245</v>
      </c>
      <c r="U1199" s="246">
        <f>IFERROR(VLOOKUP(G1199,PROGRAMAS[],2,FALSE),0)</f>
        <v>67697118.033011258</v>
      </c>
      <c r="V1199" s="246">
        <f>IFERROR(VLOOKUP(H1199,PROGRAMAS[],2,FALSE),0)</f>
        <v>6907648435.8447599</v>
      </c>
      <c r="W1199" s="246">
        <f>IFERROR(VLOOKUP(I1199,PROGRAMAS[],2,FALSE),0)</f>
        <v>4635315027.8751087</v>
      </c>
      <c r="X1199" s="246">
        <f>IFERROR(VLOOKUP(J1199,PROGRAMAS[],2,FALSE),0)</f>
        <v>3776538594.4604583</v>
      </c>
      <c r="Y1199" s="246">
        <f>IFERROR(VLOOKUP(K1199,PROGRAMAS[],2,FALSE),0)</f>
        <v>122159672.96346797</v>
      </c>
      <c r="Z1199" s="246">
        <f>IFERROR(VLOOKUP(L1199,PROGRAMAS[],2,FALSE),0)</f>
        <v>7068496961.0436354</v>
      </c>
      <c r="AA1199" s="246">
        <f>IFERROR(VLOOKUP(M1199,PROGRAMAS[],2,FALSE),0)</f>
        <v>0</v>
      </c>
      <c r="AB1199" s="246">
        <f>IFERROR(VLOOKUP(N1199,PROGRAMAS[],2,FALSE),0)</f>
        <v>0</v>
      </c>
      <c r="AC1199" s="246">
        <f>IFERROR(VLOOKUP(O1199,PROGRAMAS[],2,FALSE),0)</f>
        <v>0</v>
      </c>
      <c r="AD1199" s="246">
        <f>IFERROR(VLOOKUP(P1199,PROGRAMAS[],2,FALSE),0)</f>
        <v>0</v>
      </c>
      <c r="AE1199" s="246">
        <f>IFERROR(VLOOKUP(Q1199,PROGRAMAS[],2,FALSE),0)</f>
        <v>0</v>
      </c>
      <c r="AF1199" s="246">
        <f>IFERROR(VLOOKUP(D1199,PROGRAMAS[],3,FALSE),0)</f>
        <v>841888629.31080008</v>
      </c>
      <c r="AG1199" s="246">
        <f>IFERROR(VLOOKUP(E1199,PROGRAMAS[],3,FALSE),0)</f>
        <v>3848980803.1642323</v>
      </c>
      <c r="AH1199" s="246">
        <f>IFERROR(VLOOKUP(F1199,PROGRAMAS[],3,FALSE),0)</f>
        <v>3394901471.387517</v>
      </c>
      <c r="AI1199" s="246">
        <f>IFERROR(VLOOKUP(G1199,PROGRAMAS[],3,FALSE),0)</f>
        <v>125317226.95549992</v>
      </c>
      <c r="AJ1199" s="246">
        <f>IFERROR(VLOOKUP(H1199,PROGRAMAS[],3,FALSE),0)</f>
        <v>6129902208.7912121</v>
      </c>
      <c r="AK1199" s="246">
        <f>IFERROR(VLOOKUP(I1199,PROGRAMAS[],3,FALSE),0)</f>
        <v>4099471734.9978786</v>
      </c>
      <c r="AL1199" s="246">
        <f>IFERROR(VLOOKUP(J1199,PROGRAMAS[],3,FALSE),0)</f>
        <v>2392571243.5584412</v>
      </c>
      <c r="AM1199" s="246">
        <f>IFERROR(VLOOKUP(K1199,PROGRAMAS[],3,FALSE),0)</f>
        <v>118617452.52510804</v>
      </c>
      <c r="AN1199" s="246">
        <f>IFERROR(VLOOKUP(L1199,PROGRAMAS[],3,FALSE),0)</f>
        <v>2406564599.0319901</v>
      </c>
      <c r="AO1199" s="246">
        <f>IFERROR(VLOOKUP(M1199,PROGRAMAS[],3,FALSE),0)</f>
        <v>0</v>
      </c>
      <c r="AP1199" s="246">
        <f>IFERROR(VLOOKUP(N1199,PROGRAMAS[],3,FALSE),0)</f>
        <v>0</v>
      </c>
      <c r="AQ1199" s="246">
        <f>IFERROR(VLOOKUP(O1199,PROGRAMAS[],3,FALSE),0)</f>
        <v>0</v>
      </c>
      <c r="AR1199" s="246">
        <f>IFERROR(VLOOKUP(P1199,PROGRAMAS[],3,FALSE),0)</f>
        <v>0</v>
      </c>
      <c r="AS1199" s="246">
        <f>IFERROR(VLOOKUP(Q1199,PROGRAMAS[],3,FALSE),0)</f>
        <v>0</v>
      </c>
      <c r="AT1199" s="246">
        <f>IFERROR(VLOOKUP(D1199,VOL_REC[],2,FALSE),0)</f>
        <v>0</v>
      </c>
      <c r="AU1199" s="246">
        <f>IFERROR(VLOOKUP(E1199,VOL_REC[],2,FALSE),0)</f>
        <v>0</v>
      </c>
      <c r="AV1199" s="246">
        <f>IFERROR(VLOOKUP(F1199,VOL_REC[],2,FALSE),0)</f>
        <v>11089674.200000001</v>
      </c>
      <c r="AW1199" s="246">
        <f>IFERROR(VLOOKUP(G1199,VOL_REC[],2,FALSE),0)</f>
        <v>90439.55</v>
      </c>
      <c r="AX1199" s="246">
        <f>IFERROR(VLOOKUP(H1199,VOL_REC[],2,FALSE),0)</f>
        <v>15540036.397699751</v>
      </c>
      <c r="AY1199" s="246">
        <f>IFERROR(VLOOKUP(I1199,VOL_REC[],2,FALSE),0)</f>
        <v>1812240</v>
      </c>
      <c r="AZ1199" s="246">
        <f>IFERROR(VLOOKUP(J1199,VOL_REC[],2,FALSE),0)</f>
        <v>663244.80000000016</v>
      </c>
      <c r="BA1199" s="246">
        <f>IFERROR(VLOOKUP(K1199,VOL_REC[],2,FALSE),0)</f>
        <v>105072</v>
      </c>
      <c r="BB1199" s="246">
        <f>IFERROR(VLOOKUP(L1199,VOL_REC[],2,FALSE),0)</f>
        <v>1072354.9981737854</v>
      </c>
      <c r="BC1199" s="246">
        <f>IFERROR(VLOOKUP(M1199,VOL_REC[],2,FALSE),0)</f>
        <v>0</v>
      </c>
      <c r="BD1199" s="246">
        <f>IFERROR(VLOOKUP(N1199,VOL_REC[],2,FALSE),0)</f>
        <v>0</v>
      </c>
      <c r="BE1199" s="246">
        <f>IFERROR(VLOOKUP(O1199,VOL_REC[],2,FALSE),0)</f>
        <v>0</v>
      </c>
      <c r="BF1199" s="246">
        <f>IFERROR(VLOOKUP(P1199,VOL_REC[],2,FALSE),0)</f>
        <v>0</v>
      </c>
      <c r="BG1199" s="246">
        <f>IFERROR(VLOOKUP(Q1199,VOL_REC[],2,FALSE),0)</f>
        <v>0</v>
      </c>
      <c r="BH1199" s="1710">
        <f t="shared" si="72"/>
        <v>26377722921.734482</v>
      </c>
      <c r="BI1199" s="1710">
        <f t="shared" si="73"/>
        <v>23358215369.722679</v>
      </c>
      <c r="BJ1199" s="1711">
        <f t="shared" si="74"/>
        <v>30373061.945873536</v>
      </c>
      <c r="BK1199" s="1711">
        <f t="shared" si="75"/>
        <v>1.1292696168871592</v>
      </c>
      <c r="BL1199">
        <f>BJ1199</f>
        <v>30373061.945873536</v>
      </c>
      <c r="BO1199">
        <f>BL1199</f>
        <v>30373061.945873536</v>
      </c>
    </row>
    <row r="1200" spans="3:67" x14ac:dyDescent="0.25">
      <c r="C1200" s="246" t="s">
        <v>2550</v>
      </c>
      <c r="D1200" s="246">
        <v>1</v>
      </c>
      <c r="E1200" s="246">
        <v>2</v>
      </c>
      <c r="F1200" s="246">
        <v>3</v>
      </c>
      <c r="G1200" s="246">
        <v>4</v>
      </c>
      <c r="H1200" s="246">
        <v>6</v>
      </c>
      <c r="I1200" s="246">
        <v>10</v>
      </c>
      <c r="J1200" s="246">
        <v>13</v>
      </c>
      <c r="K1200" s="246">
        <v>15</v>
      </c>
      <c r="L1200" s="246">
        <v>17</v>
      </c>
      <c r="M1200" s="246"/>
      <c r="N1200" s="246"/>
      <c r="O1200" s="246"/>
      <c r="P1200" s="246"/>
      <c r="Q1200" s="246"/>
      <c r="R1200" s="246">
        <f>IFERROR(VLOOKUP(D1200,PROGRAMAS[],2,FALSE),0)</f>
        <v>97037803.679377079</v>
      </c>
      <c r="S1200" s="246">
        <f>IFERROR(VLOOKUP(E1200,PROGRAMAS[],2,FALSE),0)</f>
        <v>640501509.6821388</v>
      </c>
      <c r="T1200" s="246">
        <f>IFERROR(VLOOKUP(F1200,PROGRAMAS[],2,FALSE),0)</f>
        <v>3062327798.1525245</v>
      </c>
      <c r="U1200" s="246">
        <f>IFERROR(VLOOKUP(G1200,PROGRAMAS[],2,FALSE),0)</f>
        <v>67697118.033011258</v>
      </c>
      <c r="V1200" s="246">
        <f>IFERROR(VLOOKUP(H1200,PROGRAMAS[],2,FALSE),0)</f>
        <v>6907648435.8447599</v>
      </c>
      <c r="W1200" s="246">
        <f>IFERROR(VLOOKUP(I1200,PROGRAMAS[],2,FALSE),0)</f>
        <v>4635315027.8751087</v>
      </c>
      <c r="X1200" s="246">
        <f>IFERROR(VLOOKUP(J1200,PROGRAMAS[],2,FALSE),0)</f>
        <v>3776538594.4604583</v>
      </c>
      <c r="Y1200" s="246">
        <f>IFERROR(VLOOKUP(K1200,PROGRAMAS[],2,FALSE),0)</f>
        <v>122159672.96346797</v>
      </c>
      <c r="Z1200" s="246">
        <f>IFERROR(VLOOKUP(L1200,PROGRAMAS[],2,FALSE),0)</f>
        <v>1892779498.5211046</v>
      </c>
      <c r="AA1200" s="246">
        <f>IFERROR(VLOOKUP(M1200,PROGRAMAS[],2,FALSE),0)</f>
        <v>0</v>
      </c>
      <c r="AB1200" s="246">
        <f>IFERROR(VLOOKUP(N1200,PROGRAMAS[],2,FALSE),0)</f>
        <v>0</v>
      </c>
      <c r="AC1200" s="246">
        <f>IFERROR(VLOOKUP(O1200,PROGRAMAS[],2,FALSE),0)</f>
        <v>0</v>
      </c>
      <c r="AD1200" s="246">
        <f>IFERROR(VLOOKUP(P1200,PROGRAMAS[],2,FALSE),0)</f>
        <v>0</v>
      </c>
      <c r="AE1200" s="246">
        <f>IFERROR(VLOOKUP(Q1200,PROGRAMAS[],2,FALSE),0)</f>
        <v>0</v>
      </c>
      <c r="AF1200" s="246">
        <f>IFERROR(VLOOKUP(D1200,PROGRAMAS[],3,FALSE),0)</f>
        <v>841888629.31080008</v>
      </c>
      <c r="AG1200" s="246">
        <f>IFERROR(VLOOKUP(E1200,PROGRAMAS[],3,FALSE),0)</f>
        <v>3848980803.1642323</v>
      </c>
      <c r="AH1200" s="246">
        <f>IFERROR(VLOOKUP(F1200,PROGRAMAS[],3,FALSE),0)</f>
        <v>3394901471.387517</v>
      </c>
      <c r="AI1200" s="246">
        <f>IFERROR(VLOOKUP(G1200,PROGRAMAS[],3,FALSE),0)</f>
        <v>125317226.95549992</v>
      </c>
      <c r="AJ1200" s="246">
        <f>IFERROR(VLOOKUP(H1200,PROGRAMAS[],3,FALSE),0)</f>
        <v>6129902208.7912121</v>
      </c>
      <c r="AK1200" s="246">
        <f>IFERROR(VLOOKUP(I1200,PROGRAMAS[],3,FALSE),0)</f>
        <v>4099471734.9978786</v>
      </c>
      <c r="AL1200" s="246">
        <f>IFERROR(VLOOKUP(J1200,PROGRAMAS[],3,FALSE),0)</f>
        <v>2392571243.5584412</v>
      </c>
      <c r="AM1200" s="246">
        <f>IFERROR(VLOOKUP(K1200,PROGRAMAS[],3,FALSE),0)</f>
        <v>118617452.52510804</v>
      </c>
      <c r="AN1200" s="246">
        <f>IFERROR(VLOOKUP(L1200,PROGRAMAS[],3,FALSE),0)</f>
        <v>948595847.09039903</v>
      </c>
      <c r="AO1200" s="246">
        <f>IFERROR(VLOOKUP(M1200,PROGRAMAS[],3,FALSE),0)</f>
        <v>0</v>
      </c>
      <c r="AP1200" s="246">
        <f>IFERROR(VLOOKUP(N1200,PROGRAMAS[],3,FALSE),0)</f>
        <v>0</v>
      </c>
      <c r="AQ1200" s="246">
        <f>IFERROR(VLOOKUP(O1200,PROGRAMAS[],3,FALSE),0)</f>
        <v>0</v>
      </c>
      <c r="AR1200" s="246">
        <f>IFERROR(VLOOKUP(P1200,PROGRAMAS[],3,FALSE),0)</f>
        <v>0</v>
      </c>
      <c r="AS1200" s="246">
        <f>IFERROR(VLOOKUP(Q1200,PROGRAMAS[],3,FALSE),0)</f>
        <v>0</v>
      </c>
      <c r="AT1200" s="246">
        <f>IFERROR(VLOOKUP(D1200,VOL_REC[],2,FALSE),0)</f>
        <v>0</v>
      </c>
      <c r="AU1200" s="246">
        <f>IFERROR(VLOOKUP(E1200,VOL_REC[],2,FALSE),0)</f>
        <v>0</v>
      </c>
      <c r="AV1200" s="246">
        <f>IFERROR(VLOOKUP(F1200,VOL_REC[],2,FALSE),0)</f>
        <v>11089674.200000001</v>
      </c>
      <c r="AW1200" s="246">
        <f>IFERROR(VLOOKUP(G1200,VOL_REC[],2,FALSE),0)</f>
        <v>90439.55</v>
      </c>
      <c r="AX1200" s="246">
        <f>IFERROR(VLOOKUP(H1200,VOL_REC[],2,FALSE),0)</f>
        <v>15540036.397699751</v>
      </c>
      <c r="AY1200" s="246">
        <f>IFERROR(VLOOKUP(I1200,VOL_REC[],2,FALSE),0)</f>
        <v>1812240</v>
      </c>
      <c r="AZ1200" s="246">
        <f>IFERROR(VLOOKUP(J1200,VOL_REC[],2,FALSE),0)</f>
        <v>663244.80000000016</v>
      </c>
      <c r="BA1200" s="246">
        <f>IFERROR(VLOOKUP(K1200,VOL_REC[],2,FALSE),0)</f>
        <v>105072</v>
      </c>
      <c r="BB1200" s="246">
        <f>IFERROR(VLOOKUP(L1200,VOL_REC[],2,FALSE),0)</f>
        <v>740113.98115702497</v>
      </c>
      <c r="BC1200" s="246">
        <f>IFERROR(VLOOKUP(M1200,VOL_REC[],2,FALSE),0)</f>
        <v>0</v>
      </c>
      <c r="BD1200" s="246">
        <f>IFERROR(VLOOKUP(N1200,VOL_REC[],2,FALSE),0)</f>
        <v>0</v>
      </c>
      <c r="BE1200" s="246">
        <f>IFERROR(VLOOKUP(O1200,VOL_REC[],2,FALSE),0)</f>
        <v>0</v>
      </c>
      <c r="BF1200" s="246">
        <f>IFERROR(VLOOKUP(P1200,VOL_REC[],2,FALSE),0)</f>
        <v>0</v>
      </c>
      <c r="BG1200" s="246">
        <f>IFERROR(VLOOKUP(Q1200,VOL_REC[],2,FALSE),0)</f>
        <v>0</v>
      </c>
      <c r="BH1200" s="1710">
        <f t="shared" si="72"/>
        <v>21202005459.211948</v>
      </c>
      <c r="BI1200" s="1710">
        <f t="shared" si="73"/>
        <v>21900246617.78109</v>
      </c>
      <c r="BJ1200" s="1711">
        <f t="shared" si="74"/>
        <v>30040820.928856775</v>
      </c>
      <c r="BK1200" s="1711">
        <f t="shared" si="75"/>
        <v>0.96811720110940525</v>
      </c>
    </row>
    <row r="1201" spans="3:67" x14ac:dyDescent="0.25">
      <c r="C1201" s="246" t="s">
        <v>2551</v>
      </c>
      <c r="D1201" s="246">
        <v>1</v>
      </c>
      <c r="E1201" s="246">
        <v>2</v>
      </c>
      <c r="F1201" s="246">
        <v>3</v>
      </c>
      <c r="G1201" s="246">
        <v>4</v>
      </c>
      <c r="H1201" s="246">
        <v>6</v>
      </c>
      <c r="I1201" s="246">
        <v>10</v>
      </c>
      <c r="J1201" s="246">
        <v>13</v>
      </c>
      <c r="K1201" s="246">
        <v>16</v>
      </c>
      <c r="L1201" s="246">
        <v>17</v>
      </c>
      <c r="M1201" s="246"/>
      <c r="N1201" s="246"/>
      <c r="O1201" s="246"/>
      <c r="P1201" s="246"/>
      <c r="Q1201" s="246"/>
      <c r="R1201" s="246">
        <f>IFERROR(VLOOKUP(D1201,PROGRAMAS[],2,FALSE),0)</f>
        <v>97037803.679377079</v>
      </c>
      <c r="S1201" s="246">
        <f>IFERROR(VLOOKUP(E1201,PROGRAMAS[],2,FALSE),0)</f>
        <v>640501509.6821388</v>
      </c>
      <c r="T1201" s="246">
        <f>IFERROR(VLOOKUP(F1201,PROGRAMAS[],2,FALSE),0)</f>
        <v>3062327798.1525245</v>
      </c>
      <c r="U1201" s="246">
        <f>IFERROR(VLOOKUP(G1201,PROGRAMAS[],2,FALSE),0)</f>
        <v>67697118.033011258</v>
      </c>
      <c r="V1201" s="246">
        <f>IFERROR(VLOOKUP(H1201,PROGRAMAS[],2,FALSE),0)</f>
        <v>6907648435.8447599</v>
      </c>
      <c r="W1201" s="246">
        <f>IFERROR(VLOOKUP(I1201,PROGRAMAS[],2,FALSE),0)</f>
        <v>4635315027.8751087</v>
      </c>
      <c r="X1201" s="246">
        <f>IFERROR(VLOOKUP(J1201,PROGRAMAS[],2,FALSE),0)</f>
        <v>3776538594.4604583</v>
      </c>
      <c r="Y1201" s="246">
        <f>IFERROR(VLOOKUP(K1201,PROGRAMAS[],2,FALSE),0)</f>
        <v>7068496961.0436354</v>
      </c>
      <c r="Z1201" s="246">
        <f>IFERROR(VLOOKUP(L1201,PROGRAMAS[],2,FALSE),0)</f>
        <v>1892779498.5211046</v>
      </c>
      <c r="AA1201" s="246">
        <f>IFERROR(VLOOKUP(M1201,PROGRAMAS[],2,FALSE),0)</f>
        <v>0</v>
      </c>
      <c r="AB1201" s="246">
        <f>IFERROR(VLOOKUP(N1201,PROGRAMAS[],2,FALSE),0)</f>
        <v>0</v>
      </c>
      <c r="AC1201" s="246">
        <f>IFERROR(VLOOKUP(O1201,PROGRAMAS[],2,FALSE),0)</f>
        <v>0</v>
      </c>
      <c r="AD1201" s="246">
        <f>IFERROR(VLOOKUP(P1201,PROGRAMAS[],2,FALSE),0)</f>
        <v>0</v>
      </c>
      <c r="AE1201" s="246">
        <f>IFERROR(VLOOKUP(Q1201,PROGRAMAS[],2,FALSE),0)</f>
        <v>0</v>
      </c>
      <c r="AF1201" s="246">
        <f>IFERROR(VLOOKUP(D1201,PROGRAMAS[],3,FALSE),0)</f>
        <v>841888629.31080008</v>
      </c>
      <c r="AG1201" s="246">
        <f>IFERROR(VLOOKUP(E1201,PROGRAMAS[],3,FALSE),0)</f>
        <v>3848980803.1642323</v>
      </c>
      <c r="AH1201" s="246">
        <f>IFERROR(VLOOKUP(F1201,PROGRAMAS[],3,FALSE),0)</f>
        <v>3394901471.387517</v>
      </c>
      <c r="AI1201" s="246">
        <f>IFERROR(VLOOKUP(G1201,PROGRAMAS[],3,FALSE),0)</f>
        <v>125317226.95549992</v>
      </c>
      <c r="AJ1201" s="246">
        <f>IFERROR(VLOOKUP(H1201,PROGRAMAS[],3,FALSE),0)</f>
        <v>6129902208.7912121</v>
      </c>
      <c r="AK1201" s="246">
        <f>IFERROR(VLOOKUP(I1201,PROGRAMAS[],3,FALSE),0)</f>
        <v>4099471734.9978786</v>
      </c>
      <c r="AL1201" s="246">
        <f>IFERROR(VLOOKUP(J1201,PROGRAMAS[],3,FALSE),0)</f>
        <v>2392571243.5584412</v>
      </c>
      <c r="AM1201" s="246">
        <f>IFERROR(VLOOKUP(K1201,PROGRAMAS[],3,FALSE),0)</f>
        <v>2406564599.0319901</v>
      </c>
      <c r="AN1201" s="246">
        <f>IFERROR(VLOOKUP(L1201,PROGRAMAS[],3,FALSE),0)</f>
        <v>948595847.09039903</v>
      </c>
      <c r="AO1201" s="246">
        <f>IFERROR(VLOOKUP(M1201,PROGRAMAS[],3,FALSE),0)</f>
        <v>0</v>
      </c>
      <c r="AP1201" s="246">
        <f>IFERROR(VLOOKUP(N1201,PROGRAMAS[],3,FALSE),0)</f>
        <v>0</v>
      </c>
      <c r="AQ1201" s="246">
        <f>IFERROR(VLOOKUP(O1201,PROGRAMAS[],3,FALSE),0)</f>
        <v>0</v>
      </c>
      <c r="AR1201" s="246">
        <f>IFERROR(VLOOKUP(P1201,PROGRAMAS[],3,FALSE),0)</f>
        <v>0</v>
      </c>
      <c r="AS1201" s="246">
        <f>IFERROR(VLOOKUP(Q1201,PROGRAMAS[],3,FALSE),0)</f>
        <v>0</v>
      </c>
      <c r="AT1201" s="246">
        <f>IFERROR(VLOOKUP(D1201,VOL_REC[],2,FALSE),0)</f>
        <v>0</v>
      </c>
      <c r="AU1201" s="246">
        <f>IFERROR(VLOOKUP(E1201,VOL_REC[],2,FALSE),0)</f>
        <v>0</v>
      </c>
      <c r="AV1201" s="246">
        <f>IFERROR(VLOOKUP(F1201,VOL_REC[],2,FALSE),0)</f>
        <v>11089674.200000001</v>
      </c>
      <c r="AW1201" s="246">
        <f>IFERROR(VLOOKUP(G1201,VOL_REC[],2,FALSE),0)</f>
        <v>90439.55</v>
      </c>
      <c r="AX1201" s="246">
        <f>IFERROR(VLOOKUP(H1201,VOL_REC[],2,FALSE),0)</f>
        <v>15540036.397699751</v>
      </c>
      <c r="AY1201" s="246">
        <f>IFERROR(VLOOKUP(I1201,VOL_REC[],2,FALSE),0)</f>
        <v>1812240</v>
      </c>
      <c r="AZ1201" s="246">
        <f>IFERROR(VLOOKUP(J1201,VOL_REC[],2,FALSE),0)</f>
        <v>663244.80000000016</v>
      </c>
      <c r="BA1201" s="246">
        <f>IFERROR(VLOOKUP(K1201,VOL_REC[],2,FALSE),0)</f>
        <v>1072354.9981737854</v>
      </c>
      <c r="BB1201" s="246">
        <f>IFERROR(VLOOKUP(L1201,VOL_REC[],2,FALSE),0)</f>
        <v>740113.98115702497</v>
      </c>
      <c r="BC1201" s="246">
        <f>IFERROR(VLOOKUP(M1201,VOL_REC[],2,FALSE),0)</f>
        <v>0</v>
      </c>
      <c r="BD1201" s="246">
        <f>IFERROR(VLOOKUP(N1201,VOL_REC[],2,FALSE),0)</f>
        <v>0</v>
      </c>
      <c r="BE1201" s="246">
        <f>IFERROR(VLOOKUP(O1201,VOL_REC[],2,FALSE),0)</f>
        <v>0</v>
      </c>
      <c r="BF1201" s="246">
        <f>IFERROR(VLOOKUP(P1201,VOL_REC[],2,FALSE),0)</f>
        <v>0</v>
      </c>
      <c r="BG1201" s="246">
        <f>IFERROR(VLOOKUP(Q1201,VOL_REC[],2,FALSE),0)</f>
        <v>0</v>
      </c>
      <c r="BH1201" s="1710">
        <f t="shared" si="72"/>
        <v>28148342747.292118</v>
      </c>
      <c r="BI1201" s="1710">
        <f t="shared" si="73"/>
        <v>24188193764.287971</v>
      </c>
      <c r="BJ1201" s="1711">
        <f t="shared" si="74"/>
        <v>31008103.92703056</v>
      </c>
      <c r="BK1201" s="1711">
        <f t="shared" si="75"/>
        <v>1.1637223937262735</v>
      </c>
      <c r="BL1201">
        <f>BJ1201</f>
        <v>31008103.92703056</v>
      </c>
      <c r="BO1201">
        <f>BL1201</f>
        <v>31008103.92703056</v>
      </c>
    </row>
    <row r="1202" spans="3:67" x14ac:dyDescent="0.25">
      <c r="C1202" s="246" t="s">
        <v>2552</v>
      </c>
      <c r="D1202" s="246">
        <v>1</v>
      </c>
      <c r="E1202" s="246">
        <v>2</v>
      </c>
      <c r="F1202" s="246">
        <v>3</v>
      </c>
      <c r="G1202" s="246">
        <v>4</v>
      </c>
      <c r="H1202" s="246">
        <v>6</v>
      </c>
      <c r="I1202" s="246">
        <v>10</v>
      </c>
      <c r="J1202" s="246">
        <v>14</v>
      </c>
      <c r="K1202" s="246">
        <v>15</v>
      </c>
      <c r="L1202" s="246">
        <v>16</v>
      </c>
      <c r="M1202" s="246"/>
      <c r="N1202" s="246"/>
      <c r="O1202" s="246"/>
      <c r="P1202" s="246"/>
      <c r="Q1202" s="246"/>
      <c r="R1202" s="246">
        <f>IFERROR(VLOOKUP(D1202,PROGRAMAS[],2,FALSE),0)</f>
        <v>97037803.679377079</v>
      </c>
      <c r="S1202" s="246">
        <f>IFERROR(VLOOKUP(E1202,PROGRAMAS[],2,FALSE),0)</f>
        <v>640501509.6821388</v>
      </c>
      <c r="T1202" s="246">
        <f>IFERROR(VLOOKUP(F1202,PROGRAMAS[],2,FALSE),0)</f>
        <v>3062327798.1525245</v>
      </c>
      <c r="U1202" s="246">
        <f>IFERROR(VLOOKUP(G1202,PROGRAMAS[],2,FALSE),0)</f>
        <v>67697118.033011258</v>
      </c>
      <c r="V1202" s="246">
        <f>IFERROR(VLOOKUP(H1202,PROGRAMAS[],2,FALSE),0)</f>
        <v>6907648435.8447599</v>
      </c>
      <c r="W1202" s="246">
        <f>IFERROR(VLOOKUP(I1202,PROGRAMAS[],2,FALSE),0)</f>
        <v>4635315027.8751087</v>
      </c>
      <c r="X1202" s="246">
        <f>IFERROR(VLOOKUP(J1202,PROGRAMAS[],2,FALSE),0)</f>
        <v>54223862.645839565</v>
      </c>
      <c r="Y1202" s="246">
        <f>IFERROR(VLOOKUP(K1202,PROGRAMAS[],2,FALSE),0)</f>
        <v>122159672.96346797</v>
      </c>
      <c r="Z1202" s="246">
        <f>IFERROR(VLOOKUP(L1202,PROGRAMAS[],2,FALSE),0)</f>
        <v>7068496961.0436354</v>
      </c>
      <c r="AA1202" s="246">
        <f>IFERROR(VLOOKUP(M1202,PROGRAMAS[],2,FALSE),0)</f>
        <v>0</v>
      </c>
      <c r="AB1202" s="246">
        <f>IFERROR(VLOOKUP(N1202,PROGRAMAS[],2,FALSE),0)</f>
        <v>0</v>
      </c>
      <c r="AC1202" s="246">
        <f>IFERROR(VLOOKUP(O1202,PROGRAMAS[],2,FALSE),0)</f>
        <v>0</v>
      </c>
      <c r="AD1202" s="246">
        <f>IFERROR(VLOOKUP(P1202,PROGRAMAS[],2,FALSE),0)</f>
        <v>0</v>
      </c>
      <c r="AE1202" s="246">
        <f>IFERROR(VLOOKUP(Q1202,PROGRAMAS[],2,FALSE),0)</f>
        <v>0</v>
      </c>
      <c r="AF1202" s="246">
        <f>IFERROR(VLOOKUP(D1202,PROGRAMAS[],3,FALSE),0)</f>
        <v>841888629.31080008</v>
      </c>
      <c r="AG1202" s="246">
        <f>IFERROR(VLOOKUP(E1202,PROGRAMAS[],3,FALSE),0)</f>
        <v>3848980803.1642323</v>
      </c>
      <c r="AH1202" s="246">
        <f>IFERROR(VLOOKUP(F1202,PROGRAMAS[],3,FALSE),0)</f>
        <v>3394901471.387517</v>
      </c>
      <c r="AI1202" s="246">
        <f>IFERROR(VLOOKUP(G1202,PROGRAMAS[],3,FALSE),0)</f>
        <v>125317226.95549992</v>
      </c>
      <c r="AJ1202" s="246">
        <f>IFERROR(VLOOKUP(H1202,PROGRAMAS[],3,FALSE),0)</f>
        <v>6129902208.7912121</v>
      </c>
      <c r="AK1202" s="246">
        <f>IFERROR(VLOOKUP(I1202,PROGRAMAS[],3,FALSE),0)</f>
        <v>4099471734.9978786</v>
      </c>
      <c r="AL1202" s="246">
        <f>IFERROR(VLOOKUP(J1202,PROGRAMAS[],3,FALSE),0)</f>
        <v>31865326.38096505</v>
      </c>
      <c r="AM1202" s="246">
        <f>IFERROR(VLOOKUP(K1202,PROGRAMAS[],3,FALSE),0)</f>
        <v>118617452.52510804</v>
      </c>
      <c r="AN1202" s="246">
        <f>IFERROR(VLOOKUP(L1202,PROGRAMAS[],3,FALSE),0)</f>
        <v>2406564599.0319901</v>
      </c>
      <c r="AO1202" s="246">
        <f>IFERROR(VLOOKUP(M1202,PROGRAMAS[],3,FALSE),0)</f>
        <v>0</v>
      </c>
      <c r="AP1202" s="246">
        <f>IFERROR(VLOOKUP(N1202,PROGRAMAS[],3,FALSE),0)</f>
        <v>0</v>
      </c>
      <c r="AQ1202" s="246">
        <f>IFERROR(VLOOKUP(O1202,PROGRAMAS[],3,FALSE),0)</f>
        <v>0</v>
      </c>
      <c r="AR1202" s="246">
        <f>IFERROR(VLOOKUP(P1202,PROGRAMAS[],3,FALSE),0)</f>
        <v>0</v>
      </c>
      <c r="AS1202" s="246">
        <f>IFERROR(VLOOKUP(Q1202,PROGRAMAS[],3,FALSE),0)</f>
        <v>0</v>
      </c>
      <c r="AT1202" s="246">
        <f>IFERROR(VLOOKUP(D1202,VOL_REC[],2,FALSE),0)</f>
        <v>0</v>
      </c>
      <c r="AU1202" s="246">
        <f>IFERROR(VLOOKUP(E1202,VOL_REC[],2,FALSE),0)</f>
        <v>0</v>
      </c>
      <c r="AV1202" s="246">
        <f>IFERROR(VLOOKUP(F1202,VOL_REC[],2,FALSE),0)</f>
        <v>11089674.200000001</v>
      </c>
      <c r="AW1202" s="246">
        <f>IFERROR(VLOOKUP(G1202,VOL_REC[],2,FALSE),0)</f>
        <v>90439.55</v>
      </c>
      <c r="AX1202" s="246">
        <f>IFERROR(VLOOKUP(H1202,VOL_REC[],2,FALSE),0)</f>
        <v>15540036.397699751</v>
      </c>
      <c r="AY1202" s="246">
        <f>IFERROR(VLOOKUP(I1202,VOL_REC[],2,FALSE),0)</f>
        <v>1812240</v>
      </c>
      <c r="AZ1202" s="246">
        <f>IFERROR(VLOOKUP(J1202,VOL_REC[],2,FALSE),0)</f>
        <v>17074.045034105649</v>
      </c>
      <c r="BA1202" s="246">
        <f>IFERROR(VLOOKUP(K1202,VOL_REC[],2,FALSE),0)</f>
        <v>105072</v>
      </c>
      <c r="BB1202" s="246">
        <f>IFERROR(VLOOKUP(L1202,VOL_REC[],2,FALSE),0)</f>
        <v>1072354.9981737854</v>
      </c>
      <c r="BC1202" s="246">
        <f>IFERROR(VLOOKUP(M1202,VOL_REC[],2,FALSE),0)</f>
        <v>0</v>
      </c>
      <c r="BD1202" s="246">
        <f>IFERROR(VLOOKUP(N1202,VOL_REC[],2,FALSE),0)</f>
        <v>0</v>
      </c>
      <c r="BE1202" s="246">
        <f>IFERROR(VLOOKUP(O1202,VOL_REC[],2,FALSE),0)</f>
        <v>0</v>
      </c>
      <c r="BF1202" s="246">
        <f>IFERROR(VLOOKUP(P1202,VOL_REC[],2,FALSE),0)</f>
        <v>0</v>
      </c>
      <c r="BG1202" s="246">
        <f>IFERROR(VLOOKUP(Q1202,VOL_REC[],2,FALSE),0)</f>
        <v>0</v>
      </c>
      <c r="BH1202" s="1710">
        <f t="shared" si="72"/>
        <v>22655408189.919865</v>
      </c>
      <c r="BI1202" s="1710">
        <f t="shared" si="73"/>
        <v>20997509452.545204</v>
      </c>
      <c r="BJ1202" s="1711">
        <f t="shared" si="74"/>
        <v>29726891.190907642</v>
      </c>
      <c r="BK1202" s="1711">
        <f t="shared" si="75"/>
        <v>1.0789569230161102</v>
      </c>
      <c r="BL1202">
        <f>BJ1202</f>
        <v>29726891.190907642</v>
      </c>
      <c r="BO1202">
        <f>BL1202</f>
        <v>29726891.190907642</v>
      </c>
    </row>
    <row r="1203" spans="3:67" x14ac:dyDescent="0.25">
      <c r="C1203" s="246" t="s">
        <v>2553</v>
      </c>
      <c r="D1203" s="246">
        <v>1</v>
      </c>
      <c r="E1203" s="246">
        <v>2</v>
      </c>
      <c r="F1203" s="246">
        <v>3</v>
      </c>
      <c r="G1203" s="246">
        <v>4</v>
      </c>
      <c r="H1203" s="246">
        <v>6</v>
      </c>
      <c r="I1203" s="246">
        <v>10</v>
      </c>
      <c r="J1203" s="246">
        <v>14</v>
      </c>
      <c r="K1203" s="246">
        <v>15</v>
      </c>
      <c r="L1203" s="246">
        <v>17</v>
      </c>
      <c r="M1203" s="246"/>
      <c r="N1203" s="246"/>
      <c r="O1203" s="246"/>
      <c r="P1203" s="246"/>
      <c r="Q1203" s="246"/>
      <c r="R1203" s="246">
        <f>IFERROR(VLOOKUP(D1203,PROGRAMAS[],2,FALSE),0)</f>
        <v>97037803.679377079</v>
      </c>
      <c r="S1203" s="246">
        <f>IFERROR(VLOOKUP(E1203,PROGRAMAS[],2,FALSE),0)</f>
        <v>640501509.6821388</v>
      </c>
      <c r="T1203" s="246">
        <f>IFERROR(VLOOKUP(F1203,PROGRAMAS[],2,FALSE),0)</f>
        <v>3062327798.1525245</v>
      </c>
      <c r="U1203" s="246">
        <f>IFERROR(VLOOKUP(G1203,PROGRAMAS[],2,FALSE),0)</f>
        <v>67697118.033011258</v>
      </c>
      <c r="V1203" s="246">
        <f>IFERROR(VLOOKUP(H1203,PROGRAMAS[],2,FALSE),0)</f>
        <v>6907648435.8447599</v>
      </c>
      <c r="W1203" s="246">
        <f>IFERROR(VLOOKUP(I1203,PROGRAMAS[],2,FALSE),0)</f>
        <v>4635315027.8751087</v>
      </c>
      <c r="X1203" s="246">
        <f>IFERROR(VLOOKUP(J1203,PROGRAMAS[],2,FALSE),0)</f>
        <v>54223862.645839565</v>
      </c>
      <c r="Y1203" s="246">
        <f>IFERROR(VLOOKUP(K1203,PROGRAMAS[],2,FALSE),0)</f>
        <v>122159672.96346797</v>
      </c>
      <c r="Z1203" s="246">
        <f>IFERROR(VLOOKUP(L1203,PROGRAMAS[],2,FALSE),0)</f>
        <v>1892779498.5211046</v>
      </c>
      <c r="AA1203" s="246">
        <f>IFERROR(VLOOKUP(M1203,PROGRAMAS[],2,FALSE),0)</f>
        <v>0</v>
      </c>
      <c r="AB1203" s="246">
        <f>IFERROR(VLOOKUP(N1203,PROGRAMAS[],2,FALSE),0)</f>
        <v>0</v>
      </c>
      <c r="AC1203" s="246">
        <f>IFERROR(VLOOKUP(O1203,PROGRAMAS[],2,FALSE),0)</f>
        <v>0</v>
      </c>
      <c r="AD1203" s="246">
        <f>IFERROR(VLOOKUP(P1203,PROGRAMAS[],2,FALSE),0)</f>
        <v>0</v>
      </c>
      <c r="AE1203" s="246">
        <f>IFERROR(VLOOKUP(Q1203,PROGRAMAS[],2,FALSE),0)</f>
        <v>0</v>
      </c>
      <c r="AF1203" s="246">
        <f>IFERROR(VLOOKUP(D1203,PROGRAMAS[],3,FALSE),0)</f>
        <v>841888629.31080008</v>
      </c>
      <c r="AG1203" s="246">
        <f>IFERROR(VLOOKUP(E1203,PROGRAMAS[],3,FALSE),0)</f>
        <v>3848980803.1642323</v>
      </c>
      <c r="AH1203" s="246">
        <f>IFERROR(VLOOKUP(F1203,PROGRAMAS[],3,FALSE),0)</f>
        <v>3394901471.387517</v>
      </c>
      <c r="AI1203" s="246">
        <f>IFERROR(VLOOKUP(G1203,PROGRAMAS[],3,FALSE),0)</f>
        <v>125317226.95549992</v>
      </c>
      <c r="AJ1203" s="246">
        <f>IFERROR(VLOOKUP(H1203,PROGRAMAS[],3,FALSE),0)</f>
        <v>6129902208.7912121</v>
      </c>
      <c r="AK1203" s="246">
        <f>IFERROR(VLOOKUP(I1203,PROGRAMAS[],3,FALSE),0)</f>
        <v>4099471734.9978786</v>
      </c>
      <c r="AL1203" s="246">
        <f>IFERROR(VLOOKUP(J1203,PROGRAMAS[],3,FALSE),0)</f>
        <v>31865326.38096505</v>
      </c>
      <c r="AM1203" s="246">
        <f>IFERROR(VLOOKUP(K1203,PROGRAMAS[],3,FALSE),0)</f>
        <v>118617452.52510804</v>
      </c>
      <c r="AN1203" s="246">
        <f>IFERROR(VLOOKUP(L1203,PROGRAMAS[],3,FALSE),0)</f>
        <v>948595847.09039903</v>
      </c>
      <c r="AO1203" s="246">
        <f>IFERROR(VLOOKUP(M1203,PROGRAMAS[],3,FALSE),0)</f>
        <v>0</v>
      </c>
      <c r="AP1203" s="246">
        <f>IFERROR(VLOOKUP(N1203,PROGRAMAS[],3,FALSE),0)</f>
        <v>0</v>
      </c>
      <c r="AQ1203" s="246">
        <f>IFERROR(VLOOKUP(O1203,PROGRAMAS[],3,FALSE),0)</f>
        <v>0</v>
      </c>
      <c r="AR1203" s="246">
        <f>IFERROR(VLOOKUP(P1203,PROGRAMAS[],3,FALSE),0)</f>
        <v>0</v>
      </c>
      <c r="AS1203" s="246">
        <f>IFERROR(VLOOKUP(Q1203,PROGRAMAS[],3,FALSE),0)</f>
        <v>0</v>
      </c>
      <c r="AT1203" s="246">
        <f>IFERROR(VLOOKUP(D1203,VOL_REC[],2,FALSE),0)</f>
        <v>0</v>
      </c>
      <c r="AU1203" s="246">
        <f>IFERROR(VLOOKUP(E1203,VOL_REC[],2,FALSE),0)</f>
        <v>0</v>
      </c>
      <c r="AV1203" s="246">
        <f>IFERROR(VLOOKUP(F1203,VOL_REC[],2,FALSE),0)</f>
        <v>11089674.200000001</v>
      </c>
      <c r="AW1203" s="246">
        <f>IFERROR(VLOOKUP(G1203,VOL_REC[],2,FALSE),0)</f>
        <v>90439.55</v>
      </c>
      <c r="AX1203" s="246">
        <f>IFERROR(VLOOKUP(H1203,VOL_REC[],2,FALSE),0)</f>
        <v>15540036.397699751</v>
      </c>
      <c r="AY1203" s="246">
        <f>IFERROR(VLOOKUP(I1203,VOL_REC[],2,FALSE),0)</f>
        <v>1812240</v>
      </c>
      <c r="AZ1203" s="246">
        <f>IFERROR(VLOOKUP(J1203,VOL_REC[],2,FALSE),0)</f>
        <v>17074.045034105649</v>
      </c>
      <c r="BA1203" s="246">
        <f>IFERROR(VLOOKUP(K1203,VOL_REC[],2,FALSE),0)</f>
        <v>105072</v>
      </c>
      <c r="BB1203" s="246">
        <f>IFERROR(VLOOKUP(L1203,VOL_REC[],2,FALSE),0)</f>
        <v>740113.98115702497</v>
      </c>
      <c r="BC1203" s="246">
        <f>IFERROR(VLOOKUP(M1203,VOL_REC[],2,FALSE),0)</f>
        <v>0</v>
      </c>
      <c r="BD1203" s="246">
        <f>IFERROR(VLOOKUP(N1203,VOL_REC[],2,FALSE),0)</f>
        <v>0</v>
      </c>
      <c r="BE1203" s="246">
        <f>IFERROR(VLOOKUP(O1203,VOL_REC[],2,FALSE),0)</f>
        <v>0</v>
      </c>
      <c r="BF1203" s="246">
        <f>IFERROR(VLOOKUP(P1203,VOL_REC[],2,FALSE),0)</f>
        <v>0</v>
      </c>
      <c r="BG1203" s="246">
        <f>IFERROR(VLOOKUP(Q1203,VOL_REC[],2,FALSE),0)</f>
        <v>0</v>
      </c>
      <c r="BH1203" s="1710">
        <f t="shared" si="72"/>
        <v>17479690727.397331</v>
      </c>
      <c r="BI1203" s="1710">
        <f t="shared" si="73"/>
        <v>19539540700.603615</v>
      </c>
      <c r="BJ1203" s="1711">
        <f t="shared" si="74"/>
        <v>29394650.173890881</v>
      </c>
      <c r="BK1203" s="1711">
        <f t="shared" si="75"/>
        <v>0.89458043027886269</v>
      </c>
    </row>
    <row r="1204" spans="3:67" x14ac:dyDescent="0.25">
      <c r="C1204" s="246" t="s">
        <v>2554</v>
      </c>
      <c r="D1204" s="246">
        <v>1</v>
      </c>
      <c r="E1204" s="246">
        <v>2</v>
      </c>
      <c r="F1204" s="246">
        <v>3</v>
      </c>
      <c r="G1204" s="246">
        <v>4</v>
      </c>
      <c r="H1204" s="246">
        <v>6</v>
      </c>
      <c r="I1204" s="246">
        <v>10</v>
      </c>
      <c r="J1204" s="246">
        <v>14</v>
      </c>
      <c r="K1204" s="246">
        <v>16</v>
      </c>
      <c r="L1204" s="246">
        <v>17</v>
      </c>
      <c r="M1204" s="246"/>
      <c r="N1204" s="246"/>
      <c r="O1204" s="246"/>
      <c r="P1204" s="246"/>
      <c r="Q1204" s="246"/>
      <c r="R1204" s="246">
        <f>IFERROR(VLOOKUP(D1204,PROGRAMAS[],2,FALSE),0)</f>
        <v>97037803.679377079</v>
      </c>
      <c r="S1204" s="246">
        <f>IFERROR(VLOOKUP(E1204,PROGRAMAS[],2,FALSE),0)</f>
        <v>640501509.6821388</v>
      </c>
      <c r="T1204" s="246">
        <f>IFERROR(VLOOKUP(F1204,PROGRAMAS[],2,FALSE),0)</f>
        <v>3062327798.1525245</v>
      </c>
      <c r="U1204" s="246">
        <f>IFERROR(VLOOKUP(G1204,PROGRAMAS[],2,FALSE),0)</f>
        <v>67697118.033011258</v>
      </c>
      <c r="V1204" s="246">
        <f>IFERROR(VLOOKUP(H1204,PROGRAMAS[],2,FALSE),0)</f>
        <v>6907648435.8447599</v>
      </c>
      <c r="W1204" s="246">
        <f>IFERROR(VLOOKUP(I1204,PROGRAMAS[],2,FALSE),0)</f>
        <v>4635315027.8751087</v>
      </c>
      <c r="X1204" s="246">
        <f>IFERROR(VLOOKUP(J1204,PROGRAMAS[],2,FALSE),0)</f>
        <v>54223862.645839565</v>
      </c>
      <c r="Y1204" s="246">
        <f>IFERROR(VLOOKUP(K1204,PROGRAMAS[],2,FALSE),0)</f>
        <v>7068496961.0436354</v>
      </c>
      <c r="Z1204" s="246">
        <f>IFERROR(VLOOKUP(L1204,PROGRAMAS[],2,FALSE),0)</f>
        <v>1892779498.5211046</v>
      </c>
      <c r="AA1204" s="246">
        <f>IFERROR(VLOOKUP(M1204,PROGRAMAS[],2,FALSE),0)</f>
        <v>0</v>
      </c>
      <c r="AB1204" s="246">
        <f>IFERROR(VLOOKUP(N1204,PROGRAMAS[],2,FALSE),0)</f>
        <v>0</v>
      </c>
      <c r="AC1204" s="246">
        <f>IFERROR(VLOOKUP(O1204,PROGRAMAS[],2,FALSE),0)</f>
        <v>0</v>
      </c>
      <c r="AD1204" s="246">
        <f>IFERROR(VLOOKUP(P1204,PROGRAMAS[],2,FALSE),0)</f>
        <v>0</v>
      </c>
      <c r="AE1204" s="246">
        <f>IFERROR(VLOOKUP(Q1204,PROGRAMAS[],2,FALSE),0)</f>
        <v>0</v>
      </c>
      <c r="AF1204" s="246">
        <f>IFERROR(VLOOKUP(D1204,PROGRAMAS[],3,FALSE),0)</f>
        <v>841888629.31080008</v>
      </c>
      <c r="AG1204" s="246">
        <f>IFERROR(VLOOKUP(E1204,PROGRAMAS[],3,FALSE),0)</f>
        <v>3848980803.1642323</v>
      </c>
      <c r="AH1204" s="246">
        <f>IFERROR(VLOOKUP(F1204,PROGRAMAS[],3,FALSE),0)</f>
        <v>3394901471.387517</v>
      </c>
      <c r="AI1204" s="246">
        <f>IFERROR(VLOOKUP(G1204,PROGRAMAS[],3,FALSE),0)</f>
        <v>125317226.95549992</v>
      </c>
      <c r="AJ1204" s="246">
        <f>IFERROR(VLOOKUP(H1204,PROGRAMAS[],3,FALSE),0)</f>
        <v>6129902208.7912121</v>
      </c>
      <c r="AK1204" s="246">
        <f>IFERROR(VLOOKUP(I1204,PROGRAMAS[],3,FALSE),0)</f>
        <v>4099471734.9978786</v>
      </c>
      <c r="AL1204" s="246">
        <f>IFERROR(VLOOKUP(J1204,PROGRAMAS[],3,FALSE),0)</f>
        <v>31865326.38096505</v>
      </c>
      <c r="AM1204" s="246">
        <f>IFERROR(VLOOKUP(K1204,PROGRAMAS[],3,FALSE),0)</f>
        <v>2406564599.0319901</v>
      </c>
      <c r="AN1204" s="246">
        <f>IFERROR(VLOOKUP(L1204,PROGRAMAS[],3,FALSE),0)</f>
        <v>948595847.09039903</v>
      </c>
      <c r="AO1204" s="246">
        <f>IFERROR(VLOOKUP(M1204,PROGRAMAS[],3,FALSE),0)</f>
        <v>0</v>
      </c>
      <c r="AP1204" s="246">
        <f>IFERROR(VLOOKUP(N1204,PROGRAMAS[],3,FALSE),0)</f>
        <v>0</v>
      </c>
      <c r="AQ1204" s="246">
        <f>IFERROR(VLOOKUP(O1204,PROGRAMAS[],3,FALSE),0)</f>
        <v>0</v>
      </c>
      <c r="AR1204" s="246">
        <f>IFERROR(VLOOKUP(P1204,PROGRAMAS[],3,FALSE),0)</f>
        <v>0</v>
      </c>
      <c r="AS1204" s="246">
        <f>IFERROR(VLOOKUP(Q1204,PROGRAMAS[],3,FALSE),0)</f>
        <v>0</v>
      </c>
      <c r="AT1204" s="246">
        <f>IFERROR(VLOOKUP(D1204,VOL_REC[],2,FALSE),0)</f>
        <v>0</v>
      </c>
      <c r="AU1204" s="246">
        <f>IFERROR(VLOOKUP(E1204,VOL_REC[],2,FALSE),0)</f>
        <v>0</v>
      </c>
      <c r="AV1204" s="246">
        <f>IFERROR(VLOOKUP(F1204,VOL_REC[],2,FALSE),0)</f>
        <v>11089674.200000001</v>
      </c>
      <c r="AW1204" s="246">
        <f>IFERROR(VLOOKUP(G1204,VOL_REC[],2,FALSE),0)</f>
        <v>90439.55</v>
      </c>
      <c r="AX1204" s="246">
        <f>IFERROR(VLOOKUP(H1204,VOL_REC[],2,FALSE),0)</f>
        <v>15540036.397699751</v>
      </c>
      <c r="AY1204" s="246">
        <f>IFERROR(VLOOKUP(I1204,VOL_REC[],2,FALSE),0)</f>
        <v>1812240</v>
      </c>
      <c r="AZ1204" s="246">
        <f>IFERROR(VLOOKUP(J1204,VOL_REC[],2,FALSE),0)</f>
        <v>17074.045034105649</v>
      </c>
      <c r="BA1204" s="246">
        <f>IFERROR(VLOOKUP(K1204,VOL_REC[],2,FALSE),0)</f>
        <v>1072354.9981737854</v>
      </c>
      <c r="BB1204" s="246">
        <f>IFERROR(VLOOKUP(L1204,VOL_REC[],2,FALSE),0)</f>
        <v>740113.98115702497</v>
      </c>
      <c r="BC1204" s="246">
        <f>IFERROR(VLOOKUP(M1204,VOL_REC[],2,FALSE),0)</f>
        <v>0</v>
      </c>
      <c r="BD1204" s="246">
        <f>IFERROR(VLOOKUP(N1204,VOL_REC[],2,FALSE),0)</f>
        <v>0</v>
      </c>
      <c r="BE1204" s="246">
        <f>IFERROR(VLOOKUP(O1204,VOL_REC[],2,FALSE),0)</f>
        <v>0</v>
      </c>
      <c r="BF1204" s="246">
        <f>IFERROR(VLOOKUP(P1204,VOL_REC[],2,FALSE),0)</f>
        <v>0</v>
      </c>
      <c r="BG1204" s="246">
        <f>IFERROR(VLOOKUP(Q1204,VOL_REC[],2,FALSE),0)</f>
        <v>0</v>
      </c>
      <c r="BH1204" s="1710">
        <f t="shared" si="72"/>
        <v>24426028015.477497</v>
      </c>
      <c r="BI1204" s="1710">
        <f t="shared" si="73"/>
        <v>21827487847.110497</v>
      </c>
      <c r="BJ1204" s="1711">
        <f t="shared" si="74"/>
        <v>30361933.172064666</v>
      </c>
      <c r="BK1204" s="1711">
        <f t="shared" si="75"/>
        <v>1.1190489801926975</v>
      </c>
      <c r="BL1204">
        <f>BJ1204</f>
        <v>30361933.172064666</v>
      </c>
      <c r="BO1204">
        <f>BL1204</f>
        <v>30361933.172064666</v>
      </c>
    </row>
    <row r="1205" spans="3:67" x14ac:dyDescent="0.25">
      <c r="C1205" s="246" t="s">
        <v>2555</v>
      </c>
      <c r="D1205" s="246">
        <v>1</v>
      </c>
      <c r="E1205" s="246">
        <v>2</v>
      </c>
      <c r="F1205" s="246">
        <v>3</v>
      </c>
      <c r="G1205" s="246">
        <v>4</v>
      </c>
      <c r="H1205" s="246">
        <v>6</v>
      </c>
      <c r="I1205" s="246">
        <v>10</v>
      </c>
      <c r="J1205" s="246">
        <v>15</v>
      </c>
      <c r="K1205" s="246">
        <v>16</v>
      </c>
      <c r="L1205" s="246">
        <v>17</v>
      </c>
      <c r="M1205" s="246"/>
      <c r="N1205" s="246"/>
      <c r="O1205" s="246"/>
      <c r="P1205" s="246"/>
      <c r="Q1205" s="246"/>
      <c r="R1205" s="246">
        <f>IFERROR(VLOOKUP(D1205,PROGRAMAS[],2,FALSE),0)</f>
        <v>97037803.679377079</v>
      </c>
      <c r="S1205" s="246">
        <f>IFERROR(VLOOKUP(E1205,PROGRAMAS[],2,FALSE),0)</f>
        <v>640501509.6821388</v>
      </c>
      <c r="T1205" s="246">
        <f>IFERROR(VLOOKUP(F1205,PROGRAMAS[],2,FALSE),0)</f>
        <v>3062327798.1525245</v>
      </c>
      <c r="U1205" s="246">
        <f>IFERROR(VLOOKUP(G1205,PROGRAMAS[],2,FALSE),0)</f>
        <v>67697118.033011258</v>
      </c>
      <c r="V1205" s="246">
        <f>IFERROR(VLOOKUP(H1205,PROGRAMAS[],2,FALSE),0)</f>
        <v>6907648435.8447599</v>
      </c>
      <c r="W1205" s="246">
        <f>IFERROR(VLOOKUP(I1205,PROGRAMAS[],2,FALSE),0)</f>
        <v>4635315027.8751087</v>
      </c>
      <c r="X1205" s="246">
        <f>IFERROR(VLOOKUP(J1205,PROGRAMAS[],2,FALSE),0)</f>
        <v>122159672.96346797</v>
      </c>
      <c r="Y1205" s="246">
        <f>IFERROR(VLOOKUP(K1205,PROGRAMAS[],2,FALSE),0)</f>
        <v>7068496961.0436354</v>
      </c>
      <c r="Z1205" s="246">
        <f>IFERROR(VLOOKUP(L1205,PROGRAMAS[],2,FALSE),0)</f>
        <v>1892779498.5211046</v>
      </c>
      <c r="AA1205" s="246">
        <f>IFERROR(VLOOKUP(M1205,PROGRAMAS[],2,FALSE),0)</f>
        <v>0</v>
      </c>
      <c r="AB1205" s="246">
        <f>IFERROR(VLOOKUP(N1205,PROGRAMAS[],2,FALSE),0)</f>
        <v>0</v>
      </c>
      <c r="AC1205" s="246">
        <f>IFERROR(VLOOKUP(O1205,PROGRAMAS[],2,FALSE),0)</f>
        <v>0</v>
      </c>
      <c r="AD1205" s="246">
        <f>IFERROR(VLOOKUP(P1205,PROGRAMAS[],2,FALSE),0)</f>
        <v>0</v>
      </c>
      <c r="AE1205" s="246">
        <f>IFERROR(VLOOKUP(Q1205,PROGRAMAS[],2,FALSE),0)</f>
        <v>0</v>
      </c>
      <c r="AF1205" s="246">
        <f>IFERROR(VLOOKUP(D1205,PROGRAMAS[],3,FALSE),0)</f>
        <v>841888629.31080008</v>
      </c>
      <c r="AG1205" s="246">
        <f>IFERROR(VLOOKUP(E1205,PROGRAMAS[],3,FALSE),0)</f>
        <v>3848980803.1642323</v>
      </c>
      <c r="AH1205" s="246">
        <f>IFERROR(VLOOKUP(F1205,PROGRAMAS[],3,FALSE),0)</f>
        <v>3394901471.387517</v>
      </c>
      <c r="AI1205" s="246">
        <f>IFERROR(VLOOKUP(G1205,PROGRAMAS[],3,FALSE),0)</f>
        <v>125317226.95549992</v>
      </c>
      <c r="AJ1205" s="246">
        <f>IFERROR(VLOOKUP(H1205,PROGRAMAS[],3,FALSE),0)</f>
        <v>6129902208.7912121</v>
      </c>
      <c r="AK1205" s="246">
        <f>IFERROR(VLOOKUP(I1205,PROGRAMAS[],3,FALSE),0)</f>
        <v>4099471734.9978786</v>
      </c>
      <c r="AL1205" s="246">
        <f>IFERROR(VLOOKUP(J1205,PROGRAMAS[],3,FALSE),0)</f>
        <v>118617452.52510804</v>
      </c>
      <c r="AM1205" s="246">
        <f>IFERROR(VLOOKUP(K1205,PROGRAMAS[],3,FALSE),0)</f>
        <v>2406564599.0319901</v>
      </c>
      <c r="AN1205" s="246">
        <f>IFERROR(VLOOKUP(L1205,PROGRAMAS[],3,FALSE),0)</f>
        <v>948595847.09039903</v>
      </c>
      <c r="AO1205" s="246">
        <f>IFERROR(VLOOKUP(M1205,PROGRAMAS[],3,FALSE),0)</f>
        <v>0</v>
      </c>
      <c r="AP1205" s="246">
        <f>IFERROR(VLOOKUP(N1205,PROGRAMAS[],3,FALSE),0)</f>
        <v>0</v>
      </c>
      <c r="AQ1205" s="246">
        <f>IFERROR(VLOOKUP(O1205,PROGRAMAS[],3,FALSE),0)</f>
        <v>0</v>
      </c>
      <c r="AR1205" s="246">
        <f>IFERROR(VLOOKUP(P1205,PROGRAMAS[],3,FALSE),0)</f>
        <v>0</v>
      </c>
      <c r="AS1205" s="246">
        <f>IFERROR(VLOOKUP(Q1205,PROGRAMAS[],3,FALSE),0)</f>
        <v>0</v>
      </c>
      <c r="AT1205" s="246">
        <f>IFERROR(VLOOKUP(D1205,VOL_REC[],2,FALSE),0)</f>
        <v>0</v>
      </c>
      <c r="AU1205" s="246">
        <f>IFERROR(VLOOKUP(E1205,VOL_REC[],2,FALSE),0)</f>
        <v>0</v>
      </c>
      <c r="AV1205" s="246">
        <f>IFERROR(VLOOKUP(F1205,VOL_REC[],2,FALSE),0)</f>
        <v>11089674.200000001</v>
      </c>
      <c r="AW1205" s="246">
        <f>IFERROR(VLOOKUP(G1205,VOL_REC[],2,FALSE),0)</f>
        <v>90439.55</v>
      </c>
      <c r="AX1205" s="246">
        <f>IFERROR(VLOOKUP(H1205,VOL_REC[],2,FALSE),0)</f>
        <v>15540036.397699751</v>
      </c>
      <c r="AY1205" s="246">
        <f>IFERROR(VLOOKUP(I1205,VOL_REC[],2,FALSE),0)</f>
        <v>1812240</v>
      </c>
      <c r="AZ1205" s="246">
        <f>IFERROR(VLOOKUP(J1205,VOL_REC[],2,FALSE),0)</f>
        <v>105072</v>
      </c>
      <c r="BA1205" s="246">
        <f>IFERROR(VLOOKUP(K1205,VOL_REC[],2,FALSE),0)</f>
        <v>1072354.9981737854</v>
      </c>
      <c r="BB1205" s="246">
        <f>IFERROR(VLOOKUP(L1205,VOL_REC[],2,FALSE),0)</f>
        <v>740113.98115702497</v>
      </c>
      <c r="BC1205" s="246">
        <f>IFERROR(VLOOKUP(M1205,VOL_REC[],2,FALSE),0)</f>
        <v>0</v>
      </c>
      <c r="BD1205" s="246">
        <f>IFERROR(VLOOKUP(N1205,VOL_REC[],2,FALSE),0)</f>
        <v>0</v>
      </c>
      <c r="BE1205" s="246">
        <f>IFERROR(VLOOKUP(O1205,VOL_REC[],2,FALSE),0)</f>
        <v>0</v>
      </c>
      <c r="BF1205" s="246">
        <f>IFERROR(VLOOKUP(P1205,VOL_REC[],2,FALSE),0)</f>
        <v>0</v>
      </c>
      <c r="BG1205" s="246">
        <f>IFERROR(VLOOKUP(Q1205,VOL_REC[],2,FALSE),0)</f>
        <v>0</v>
      </c>
      <c r="BH1205" s="1710">
        <f t="shared" si="72"/>
        <v>24493963825.795128</v>
      </c>
      <c r="BI1205" s="1710">
        <f t="shared" si="73"/>
        <v>21914239973.254639</v>
      </c>
      <c r="BJ1205" s="1711">
        <f t="shared" si="74"/>
        <v>30449931.127030559</v>
      </c>
      <c r="BK1205" s="1711">
        <f t="shared" si="75"/>
        <v>1.1177190655796838</v>
      </c>
      <c r="BL1205">
        <f>BJ1205</f>
        <v>30449931.127030559</v>
      </c>
      <c r="BO1205">
        <f>BL1205</f>
        <v>30449931.127030559</v>
      </c>
    </row>
    <row r="1206" spans="3:67" x14ac:dyDescent="0.25">
      <c r="C1206" s="246" t="s">
        <v>2556</v>
      </c>
      <c r="D1206" s="246">
        <v>1</v>
      </c>
      <c r="E1206" s="246">
        <v>2</v>
      </c>
      <c r="F1206" s="246">
        <v>3</v>
      </c>
      <c r="G1206" s="246">
        <v>4</v>
      </c>
      <c r="H1206" s="246">
        <v>6</v>
      </c>
      <c r="I1206" s="246">
        <v>12</v>
      </c>
      <c r="J1206" s="246">
        <v>13</v>
      </c>
      <c r="K1206" s="246">
        <v>14</v>
      </c>
      <c r="L1206" s="246">
        <v>15</v>
      </c>
      <c r="M1206" s="246"/>
      <c r="N1206" s="246"/>
      <c r="O1206" s="246"/>
      <c r="P1206" s="246"/>
      <c r="Q1206" s="246"/>
      <c r="R1206" s="246">
        <f>IFERROR(VLOOKUP(D1206,PROGRAMAS[],2,FALSE),0)</f>
        <v>97037803.679377079</v>
      </c>
      <c r="S1206" s="246">
        <f>IFERROR(VLOOKUP(E1206,PROGRAMAS[],2,FALSE),0)</f>
        <v>640501509.6821388</v>
      </c>
      <c r="T1206" s="246">
        <f>IFERROR(VLOOKUP(F1206,PROGRAMAS[],2,FALSE),0)</f>
        <v>3062327798.1525245</v>
      </c>
      <c r="U1206" s="246">
        <f>IFERROR(VLOOKUP(G1206,PROGRAMAS[],2,FALSE),0)</f>
        <v>67697118.033011258</v>
      </c>
      <c r="V1206" s="246">
        <f>IFERROR(VLOOKUP(H1206,PROGRAMAS[],2,FALSE),0)</f>
        <v>6907648435.8447599</v>
      </c>
      <c r="W1206" s="246">
        <f>IFERROR(VLOOKUP(I1206,PROGRAMAS[],2,FALSE),0)</f>
        <v>764796700.79905891</v>
      </c>
      <c r="X1206" s="246">
        <f>IFERROR(VLOOKUP(J1206,PROGRAMAS[],2,FALSE),0)</f>
        <v>3776538594.4604583</v>
      </c>
      <c r="Y1206" s="246">
        <f>IFERROR(VLOOKUP(K1206,PROGRAMAS[],2,FALSE),0)</f>
        <v>54223862.645839565</v>
      </c>
      <c r="Z1206" s="246">
        <f>IFERROR(VLOOKUP(L1206,PROGRAMAS[],2,FALSE),0)</f>
        <v>122159672.96346797</v>
      </c>
      <c r="AA1206" s="246">
        <f>IFERROR(VLOOKUP(M1206,PROGRAMAS[],2,FALSE),0)</f>
        <v>0</v>
      </c>
      <c r="AB1206" s="246">
        <f>IFERROR(VLOOKUP(N1206,PROGRAMAS[],2,FALSE),0)</f>
        <v>0</v>
      </c>
      <c r="AC1206" s="246">
        <f>IFERROR(VLOOKUP(O1206,PROGRAMAS[],2,FALSE),0)</f>
        <v>0</v>
      </c>
      <c r="AD1206" s="246">
        <f>IFERROR(VLOOKUP(P1206,PROGRAMAS[],2,FALSE),0)</f>
        <v>0</v>
      </c>
      <c r="AE1206" s="246">
        <f>IFERROR(VLOOKUP(Q1206,PROGRAMAS[],2,FALSE),0)</f>
        <v>0</v>
      </c>
      <c r="AF1206" s="246">
        <f>IFERROR(VLOOKUP(D1206,PROGRAMAS[],3,FALSE),0)</f>
        <v>841888629.31080008</v>
      </c>
      <c r="AG1206" s="246">
        <f>IFERROR(VLOOKUP(E1206,PROGRAMAS[],3,FALSE),0)</f>
        <v>3848980803.1642323</v>
      </c>
      <c r="AH1206" s="246">
        <f>IFERROR(VLOOKUP(F1206,PROGRAMAS[],3,FALSE),0)</f>
        <v>3394901471.387517</v>
      </c>
      <c r="AI1206" s="246">
        <f>IFERROR(VLOOKUP(G1206,PROGRAMAS[],3,FALSE),0)</f>
        <v>125317226.95549992</v>
      </c>
      <c r="AJ1206" s="246">
        <f>IFERROR(VLOOKUP(H1206,PROGRAMAS[],3,FALSE),0)</f>
        <v>6129902208.7912121</v>
      </c>
      <c r="AK1206" s="246">
        <f>IFERROR(VLOOKUP(I1206,PROGRAMAS[],3,FALSE),0)</f>
        <v>675517840.109828</v>
      </c>
      <c r="AL1206" s="246">
        <f>IFERROR(VLOOKUP(J1206,PROGRAMAS[],3,FALSE),0)</f>
        <v>2392571243.5584412</v>
      </c>
      <c r="AM1206" s="246">
        <f>IFERROR(VLOOKUP(K1206,PROGRAMAS[],3,FALSE),0)</f>
        <v>31865326.38096505</v>
      </c>
      <c r="AN1206" s="246">
        <f>IFERROR(VLOOKUP(L1206,PROGRAMAS[],3,FALSE),0)</f>
        <v>118617452.52510804</v>
      </c>
      <c r="AO1206" s="246">
        <f>IFERROR(VLOOKUP(M1206,PROGRAMAS[],3,FALSE),0)</f>
        <v>0</v>
      </c>
      <c r="AP1206" s="246">
        <f>IFERROR(VLOOKUP(N1206,PROGRAMAS[],3,FALSE),0)</f>
        <v>0</v>
      </c>
      <c r="AQ1206" s="246">
        <f>IFERROR(VLOOKUP(O1206,PROGRAMAS[],3,FALSE),0)</f>
        <v>0</v>
      </c>
      <c r="AR1206" s="246">
        <f>IFERROR(VLOOKUP(P1206,PROGRAMAS[],3,FALSE),0)</f>
        <v>0</v>
      </c>
      <c r="AS1206" s="246">
        <f>IFERROR(VLOOKUP(Q1206,PROGRAMAS[],3,FALSE),0)</f>
        <v>0</v>
      </c>
      <c r="AT1206" s="246">
        <f>IFERROR(VLOOKUP(D1206,VOL_REC[],2,FALSE),0)</f>
        <v>0</v>
      </c>
      <c r="AU1206" s="246">
        <f>IFERROR(VLOOKUP(E1206,VOL_REC[],2,FALSE),0)</f>
        <v>0</v>
      </c>
      <c r="AV1206" s="246">
        <f>IFERROR(VLOOKUP(F1206,VOL_REC[],2,FALSE),0)</f>
        <v>11089674.200000001</v>
      </c>
      <c r="AW1206" s="246">
        <f>IFERROR(VLOOKUP(G1206,VOL_REC[],2,FALSE),0)</f>
        <v>90439.55</v>
      </c>
      <c r="AX1206" s="246">
        <f>IFERROR(VLOOKUP(H1206,VOL_REC[],2,FALSE),0)</f>
        <v>15540036.397699751</v>
      </c>
      <c r="AY1206" s="246">
        <f>IFERROR(VLOOKUP(I1206,VOL_REC[],2,FALSE),0)</f>
        <v>240696.79238099116</v>
      </c>
      <c r="AZ1206" s="246">
        <f>IFERROR(VLOOKUP(J1206,VOL_REC[],2,FALSE),0)</f>
        <v>663244.80000000016</v>
      </c>
      <c r="BA1206" s="246">
        <f>IFERROR(VLOOKUP(K1206,VOL_REC[],2,FALSE),0)</f>
        <v>17074.045034105649</v>
      </c>
      <c r="BB1206" s="246">
        <f>IFERROR(VLOOKUP(L1206,VOL_REC[],2,FALSE),0)</f>
        <v>105072</v>
      </c>
      <c r="BC1206" s="246">
        <f>IFERROR(VLOOKUP(M1206,VOL_REC[],2,FALSE),0)</f>
        <v>0</v>
      </c>
      <c r="BD1206" s="246">
        <f>IFERROR(VLOOKUP(N1206,VOL_REC[],2,FALSE),0)</f>
        <v>0</v>
      </c>
      <c r="BE1206" s="246">
        <f>IFERROR(VLOOKUP(O1206,VOL_REC[],2,FALSE),0)</f>
        <v>0</v>
      </c>
      <c r="BF1206" s="246">
        <f>IFERROR(VLOOKUP(P1206,VOL_REC[],2,FALSE),0)</f>
        <v>0</v>
      </c>
      <c r="BG1206" s="246">
        <f>IFERROR(VLOOKUP(Q1206,VOL_REC[],2,FALSE),0)</f>
        <v>0</v>
      </c>
      <c r="BH1206" s="1710">
        <f t="shared" si="72"/>
        <v>15492931496.260637</v>
      </c>
      <c r="BI1206" s="1710">
        <f t="shared" si="73"/>
        <v>17559562202.183605</v>
      </c>
      <c r="BJ1206" s="1711">
        <f t="shared" si="74"/>
        <v>27746237.785114851</v>
      </c>
      <c r="BK1206" s="1711">
        <f t="shared" si="75"/>
        <v>0.88230739000622838</v>
      </c>
    </row>
    <row r="1207" spans="3:67" x14ac:dyDescent="0.25">
      <c r="C1207" s="246" t="s">
        <v>2557</v>
      </c>
      <c r="D1207" s="246">
        <v>1</v>
      </c>
      <c r="E1207" s="246">
        <v>2</v>
      </c>
      <c r="F1207" s="246">
        <v>3</v>
      </c>
      <c r="G1207" s="246">
        <v>4</v>
      </c>
      <c r="H1207" s="246">
        <v>6</v>
      </c>
      <c r="I1207" s="246">
        <v>12</v>
      </c>
      <c r="J1207" s="246">
        <v>13</v>
      </c>
      <c r="K1207" s="246">
        <v>14</v>
      </c>
      <c r="L1207" s="246">
        <v>16</v>
      </c>
      <c r="M1207" s="246"/>
      <c r="N1207" s="246"/>
      <c r="O1207" s="246"/>
      <c r="P1207" s="246"/>
      <c r="Q1207" s="246"/>
      <c r="R1207" s="246">
        <f>IFERROR(VLOOKUP(D1207,PROGRAMAS[],2,FALSE),0)</f>
        <v>97037803.679377079</v>
      </c>
      <c r="S1207" s="246">
        <f>IFERROR(VLOOKUP(E1207,PROGRAMAS[],2,FALSE),0)</f>
        <v>640501509.6821388</v>
      </c>
      <c r="T1207" s="246">
        <f>IFERROR(VLOOKUP(F1207,PROGRAMAS[],2,FALSE),0)</f>
        <v>3062327798.1525245</v>
      </c>
      <c r="U1207" s="246">
        <f>IFERROR(VLOOKUP(G1207,PROGRAMAS[],2,FALSE),0)</f>
        <v>67697118.033011258</v>
      </c>
      <c r="V1207" s="246">
        <f>IFERROR(VLOOKUP(H1207,PROGRAMAS[],2,FALSE),0)</f>
        <v>6907648435.8447599</v>
      </c>
      <c r="W1207" s="246">
        <f>IFERROR(VLOOKUP(I1207,PROGRAMAS[],2,FALSE),0)</f>
        <v>764796700.79905891</v>
      </c>
      <c r="X1207" s="246">
        <f>IFERROR(VLOOKUP(J1207,PROGRAMAS[],2,FALSE),0)</f>
        <v>3776538594.4604583</v>
      </c>
      <c r="Y1207" s="246">
        <f>IFERROR(VLOOKUP(K1207,PROGRAMAS[],2,FALSE),0)</f>
        <v>54223862.645839565</v>
      </c>
      <c r="Z1207" s="246">
        <f>IFERROR(VLOOKUP(L1207,PROGRAMAS[],2,FALSE),0)</f>
        <v>7068496961.0436354</v>
      </c>
      <c r="AA1207" s="246">
        <f>IFERROR(VLOOKUP(M1207,PROGRAMAS[],2,FALSE),0)</f>
        <v>0</v>
      </c>
      <c r="AB1207" s="246">
        <f>IFERROR(VLOOKUP(N1207,PROGRAMAS[],2,FALSE),0)</f>
        <v>0</v>
      </c>
      <c r="AC1207" s="246">
        <f>IFERROR(VLOOKUP(O1207,PROGRAMAS[],2,FALSE),0)</f>
        <v>0</v>
      </c>
      <c r="AD1207" s="246">
        <f>IFERROR(VLOOKUP(P1207,PROGRAMAS[],2,FALSE),0)</f>
        <v>0</v>
      </c>
      <c r="AE1207" s="246">
        <f>IFERROR(VLOOKUP(Q1207,PROGRAMAS[],2,FALSE),0)</f>
        <v>0</v>
      </c>
      <c r="AF1207" s="246">
        <f>IFERROR(VLOOKUP(D1207,PROGRAMAS[],3,FALSE),0)</f>
        <v>841888629.31080008</v>
      </c>
      <c r="AG1207" s="246">
        <f>IFERROR(VLOOKUP(E1207,PROGRAMAS[],3,FALSE),0)</f>
        <v>3848980803.1642323</v>
      </c>
      <c r="AH1207" s="246">
        <f>IFERROR(VLOOKUP(F1207,PROGRAMAS[],3,FALSE),0)</f>
        <v>3394901471.387517</v>
      </c>
      <c r="AI1207" s="246">
        <f>IFERROR(VLOOKUP(G1207,PROGRAMAS[],3,FALSE),0)</f>
        <v>125317226.95549992</v>
      </c>
      <c r="AJ1207" s="246">
        <f>IFERROR(VLOOKUP(H1207,PROGRAMAS[],3,FALSE),0)</f>
        <v>6129902208.7912121</v>
      </c>
      <c r="AK1207" s="246">
        <f>IFERROR(VLOOKUP(I1207,PROGRAMAS[],3,FALSE),0)</f>
        <v>675517840.109828</v>
      </c>
      <c r="AL1207" s="246">
        <f>IFERROR(VLOOKUP(J1207,PROGRAMAS[],3,FALSE),0)</f>
        <v>2392571243.5584412</v>
      </c>
      <c r="AM1207" s="246">
        <f>IFERROR(VLOOKUP(K1207,PROGRAMAS[],3,FALSE),0)</f>
        <v>31865326.38096505</v>
      </c>
      <c r="AN1207" s="246">
        <f>IFERROR(VLOOKUP(L1207,PROGRAMAS[],3,FALSE),0)</f>
        <v>2406564599.0319901</v>
      </c>
      <c r="AO1207" s="246">
        <f>IFERROR(VLOOKUP(M1207,PROGRAMAS[],3,FALSE),0)</f>
        <v>0</v>
      </c>
      <c r="AP1207" s="246">
        <f>IFERROR(VLOOKUP(N1207,PROGRAMAS[],3,FALSE),0)</f>
        <v>0</v>
      </c>
      <c r="AQ1207" s="246">
        <f>IFERROR(VLOOKUP(O1207,PROGRAMAS[],3,FALSE),0)</f>
        <v>0</v>
      </c>
      <c r="AR1207" s="246">
        <f>IFERROR(VLOOKUP(P1207,PROGRAMAS[],3,FALSE),0)</f>
        <v>0</v>
      </c>
      <c r="AS1207" s="246">
        <f>IFERROR(VLOOKUP(Q1207,PROGRAMAS[],3,FALSE),0)</f>
        <v>0</v>
      </c>
      <c r="AT1207" s="246">
        <f>IFERROR(VLOOKUP(D1207,VOL_REC[],2,FALSE),0)</f>
        <v>0</v>
      </c>
      <c r="AU1207" s="246">
        <f>IFERROR(VLOOKUP(E1207,VOL_REC[],2,FALSE),0)</f>
        <v>0</v>
      </c>
      <c r="AV1207" s="246">
        <f>IFERROR(VLOOKUP(F1207,VOL_REC[],2,FALSE),0)</f>
        <v>11089674.200000001</v>
      </c>
      <c r="AW1207" s="246">
        <f>IFERROR(VLOOKUP(G1207,VOL_REC[],2,FALSE),0)</f>
        <v>90439.55</v>
      </c>
      <c r="AX1207" s="246">
        <f>IFERROR(VLOOKUP(H1207,VOL_REC[],2,FALSE),0)</f>
        <v>15540036.397699751</v>
      </c>
      <c r="AY1207" s="246">
        <f>IFERROR(VLOOKUP(I1207,VOL_REC[],2,FALSE),0)</f>
        <v>240696.79238099116</v>
      </c>
      <c r="AZ1207" s="246">
        <f>IFERROR(VLOOKUP(J1207,VOL_REC[],2,FALSE),0)</f>
        <v>663244.80000000016</v>
      </c>
      <c r="BA1207" s="246">
        <f>IFERROR(VLOOKUP(K1207,VOL_REC[],2,FALSE),0)</f>
        <v>17074.045034105649</v>
      </c>
      <c r="BB1207" s="246">
        <f>IFERROR(VLOOKUP(L1207,VOL_REC[],2,FALSE),0)</f>
        <v>1072354.9981737854</v>
      </c>
      <c r="BC1207" s="246">
        <f>IFERROR(VLOOKUP(M1207,VOL_REC[],2,FALSE),0)</f>
        <v>0</v>
      </c>
      <c r="BD1207" s="246">
        <f>IFERROR(VLOOKUP(N1207,VOL_REC[],2,FALSE),0)</f>
        <v>0</v>
      </c>
      <c r="BE1207" s="246">
        <f>IFERROR(VLOOKUP(O1207,VOL_REC[],2,FALSE),0)</f>
        <v>0</v>
      </c>
      <c r="BF1207" s="246">
        <f>IFERROR(VLOOKUP(P1207,VOL_REC[],2,FALSE),0)</f>
        <v>0</v>
      </c>
      <c r="BG1207" s="246">
        <f>IFERROR(VLOOKUP(Q1207,VOL_REC[],2,FALSE),0)</f>
        <v>0</v>
      </c>
      <c r="BH1207" s="1710">
        <f t="shared" si="72"/>
        <v>22439268784.340805</v>
      </c>
      <c r="BI1207" s="1710">
        <f t="shared" si="73"/>
        <v>19847509348.690487</v>
      </c>
      <c r="BJ1207" s="1711">
        <f t="shared" si="74"/>
        <v>28713520.783288635</v>
      </c>
      <c r="BK1207" s="1711">
        <f t="shared" si="75"/>
        <v>1.1305836107753902</v>
      </c>
      <c r="BL1207">
        <f>BJ1207</f>
        <v>28713520.783288635</v>
      </c>
      <c r="BO1207">
        <f>BL1207</f>
        <v>28713520.783288635</v>
      </c>
    </row>
    <row r="1208" spans="3:67" x14ac:dyDescent="0.25">
      <c r="C1208" s="246" t="s">
        <v>2558</v>
      </c>
      <c r="D1208" s="246">
        <v>1</v>
      </c>
      <c r="E1208" s="246">
        <v>2</v>
      </c>
      <c r="F1208" s="246">
        <v>3</v>
      </c>
      <c r="G1208" s="246">
        <v>4</v>
      </c>
      <c r="H1208" s="246">
        <v>6</v>
      </c>
      <c r="I1208" s="246">
        <v>12</v>
      </c>
      <c r="J1208" s="246">
        <v>13</v>
      </c>
      <c r="K1208" s="246">
        <v>14</v>
      </c>
      <c r="L1208" s="246">
        <v>17</v>
      </c>
      <c r="M1208" s="246"/>
      <c r="N1208" s="246"/>
      <c r="O1208" s="246"/>
      <c r="P1208" s="246"/>
      <c r="Q1208" s="246"/>
      <c r="R1208" s="246">
        <f>IFERROR(VLOOKUP(D1208,PROGRAMAS[],2,FALSE),0)</f>
        <v>97037803.679377079</v>
      </c>
      <c r="S1208" s="246">
        <f>IFERROR(VLOOKUP(E1208,PROGRAMAS[],2,FALSE),0)</f>
        <v>640501509.6821388</v>
      </c>
      <c r="T1208" s="246">
        <f>IFERROR(VLOOKUP(F1208,PROGRAMAS[],2,FALSE),0)</f>
        <v>3062327798.1525245</v>
      </c>
      <c r="U1208" s="246">
        <f>IFERROR(VLOOKUP(G1208,PROGRAMAS[],2,FALSE),0)</f>
        <v>67697118.033011258</v>
      </c>
      <c r="V1208" s="246">
        <f>IFERROR(VLOOKUP(H1208,PROGRAMAS[],2,FALSE),0)</f>
        <v>6907648435.8447599</v>
      </c>
      <c r="W1208" s="246">
        <f>IFERROR(VLOOKUP(I1208,PROGRAMAS[],2,FALSE),0)</f>
        <v>764796700.79905891</v>
      </c>
      <c r="X1208" s="246">
        <f>IFERROR(VLOOKUP(J1208,PROGRAMAS[],2,FALSE),0)</f>
        <v>3776538594.4604583</v>
      </c>
      <c r="Y1208" s="246">
        <f>IFERROR(VLOOKUP(K1208,PROGRAMAS[],2,FALSE),0)</f>
        <v>54223862.645839565</v>
      </c>
      <c r="Z1208" s="246">
        <f>IFERROR(VLOOKUP(L1208,PROGRAMAS[],2,FALSE),0)</f>
        <v>1892779498.5211046</v>
      </c>
      <c r="AA1208" s="246">
        <f>IFERROR(VLOOKUP(M1208,PROGRAMAS[],2,FALSE),0)</f>
        <v>0</v>
      </c>
      <c r="AB1208" s="246">
        <f>IFERROR(VLOOKUP(N1208,PROGRAMAS[],2,FALSE),0)</f>
        <v>0</v>
      </c>
      <c r="AC1208" s="246">
        <f>IFERROR(VLOOKUP(O1208,PROGRAMAS[],2,FALSE),0)</f>
        <v>0</v>
      </c>
      <c r="AD1208" s="246">
        <f>IFERROR(VLOOKUP(P1208,PROGRAMAS[],2,FALSE),0)</f>
        <v>0</v>
      </c>
      <c r="AE1208" s="246">
        <f>IFERROR(VLOOKUP(Q1208,PROGRAMAS[],2,FALSE),0)</f>
        <v>0</v>
      </c>
      <c r="AF1208" s="246">
        <f>IFERROR(VLOOKUP(D1208,PROGRAMAS[],3,FALSE),0)</f>
        <v>841888629.31080008</v>
      </c>
      <c r="AG1208" s="246">
        <f>IFERROR(VLOOKUP(E1208,PROGRAMAS[],3,FALSE),0)</f>
        <v>3848980803.1642323</v>
      </c>
      <c r="AH1208" s="246">
        <f>IFERROR(VLOOKUP(F1208,PROGRAMAS[],3,FALSE),0)</f>
        <v>3394901471.387517</v>
      </c>
      <c r="AI1208" s="246">
        <f>IFERROR(VLOOKUP(G1208,PROGRAMAS[],3,FALSE),0)</f>
        <v>125317226.95549992</v>
      </c>
      <c r="AJ1208" s="246">
        <f>IFERROR(VLOOKUP(H1208,PROGRAMAS[],3,FALSE),0)</f>
        <v>6129902208.7912121</v>
      </c>
      <c r="AK1208" s="246">
        <f>IFERROR(VLOOKUP(I1208,PROGRAMAS[],3,FALSE),0)</f>
        <v>675517840.109828</v>
      </c>
      <c r="AL1208" s="246">
        <f>IFERROR(VLOOKUP(J1208,PROGRAMAS[],3,FALSE),0)</f>
        <v>2392571243.5584412</v>
      </c>
      <c r="AM1208" s="246">
        <f>IFERROR(VLOOKUP(K1208,PROGRAMAS[],3,FALSE),0)</f>
        <v>31865326.38096505</v>
      </c>
      <c r="AN1208" s="246">
        <f>IFERROR(VLOOKUP(L1208,PROGRAMAS[],3,FALSE),0)</f>
        <v>948595847.09039903</v>
      </c>
      <c r="AO1208" s="246">
        <f>IFERROR(VLOOKUP(M1208,PROGRAMAS[],3,FALSE),0)</f>
        <v>0</v>
      </c>
      <c r="AP1208" s="246">
        <f>IFERROR(VLOOKUP(N1208,PROGRAMAS[],3,FALSE),0)</f>
        <v>0</v>
      </c>
      <c r="AQ1208" s="246">
        <f>IFERROR(VLOOKUP(O1208,PROGRAMAS[],3,FALSE),0)</f>
        <v>0</v>
      </c>
      <c r="AR1208" s="246">
        <f>IFERROR(VLOOKUP(P1208,PROGRAMAS[],3,FALSE),0)</f>
        <v>0</v>
      </c>
      <c r="AS1208" s="246">
        <f>IFERROR(VLOOKUP(Q1208,PROGRAMAS[],3,FALSE),0)</f>
        <v>0</v>
      </c>
      <c r="AT1208" s="246">
        <f>IFERROR(VLOOKUP(D1208,VOL_REC[],2,FALSE),0)</f>
        <v>0</v>
      </c>
      <c r="AU1208" s="246">
        <f>IFERROR(VLOOKUP(E1208,VOL_REC[],2,FALSE),0)</f>
        <v>0</v>
      </c>
      <c r="AV1208" s="246">
        <f>IFERROR(VLOOKUP(F1208,VOL_REC[],2,FALSE),0)</f>
        <v>11089674.200000001</v>
      </c>
      <c r="AW1208" s="246">
        <f>IFERROR(VLOOKUP(G1208,VOL_REC[],2,FALSE),0)</f>
        <v>90439.55</v>
      </c>
      <c r="AX1208" s="246">
        <f>IFERROR(VLOOKUP(H1208,VOL_REC[],2,FALSE),0)</f>
        <v>15540036.397699751</v>
      </c>
      <c r="AY1208" s="246">
        <f>IFERROR(VLOOKUP(I1208,VOL_REC[],2,FALSE),0)</f>
        <v>240696.79238099116</v>
      </c>
      <c r="AZ1208" s="246">
        <f>IFERROR(VLOOKUP(J1208,VOL_REC[],2,FALSE),0)</f>
        <v>663244.80000000016</v>
      </c>
      <c r="BA1208" s="246">
        <f>IFERROR(VLOOKUP(K1208,VOL_REC[],2,FALSE),0)</f>
        <v>17074.045034105649</v>
      </c>
      <c r="BB1208" s="246">
        <f>IFERROR(VLOOKUP(L1208,VOL_REC[],2,FALSE),0)</f>
        <v>740113.98115702497</v>
      </c>
      <c r="BC1208" s="246">
        <f>IFERROR(VLOOKUP(M1208,VOL_REC[],2,FALSE),0)</f>
        <v>0</v>
      </c>
      <c r="BD1208" s="246">
        <f>IFERROR(VLOOKUP(N1208,VOL_REC[],2,FALSE),0)</f>
        <v>0</v>
      </c>
      <c r="BE1208" s="246">
        <f>IFERROR(VLOOKUP(O1208,VOL_REC[],2,FALSE),0)</f>
        <v>0</v>
      </c>
      <c r="BF1208" s="246">
        <f>IFERROR(VLOOKUP(P1208,VOL_REC[],2,FALSE),0)</f>
        <v>0</v>
      </c>
      <c r="BG1208" s="246">
        <f>IFERROR(VLOOKUP(Q1208,VOL_REC[],2,FALSE),0)</f>
        <v>0</v>
      </c>
      <c r="BH1208" s="1710">
        <f t="shared" si="72"/>
        <v>17263551321.818272</v>
      </c>
      <c r="BI1208" s="1710">
        <f t="shared" si="73"/>
        <v>18389540596.748898</v>
      </c>
      <c r="BJ1208" s="1711">
        <f t="shared" si="74"/>
        <v>28381279.766271874</v>
      </c>
      <c r="BK1208" s="1711">
        <f t="shared" si="75"/>
        <v>0.93877012484315725</v>
      </c>
    </row>
    <row r="1209" spans="3:67" x14ac:dyDescent="0.25">
      <c r="C1209" s="246" t="s">
        <v>2559</v>
      </c>
      <c r="D1209" s="246">
        <v>1</v>
      </c>
      <c r="E1209" s="246">
        <v>2</v>
      </c>
      <c r="F1209" s="246">
        <v>3</v>
      </c>
      <c r="G1209" s="246">
        <v>4</v>
      </c>
      <c r="H1209" s="246">
        <v>6</v>
      </c>
      <c r="I1209" s="246">
        <v>12</v>
      </c>
      <c r="J1209" s="246">
        <v>13</v>
      </c>
      <c r="K1209" s="246">
        <v>15</v>
      </c>
      <c r="L1209" s="246">
        <v>16</v>
      </c>
      <c r="M1209" s="246"/>
      <c r="N1209" s="246"/>
      <c r="O1209" s="246"/>
      <c r="P1209" s="246"/>
      <c r="Q1209" s="246"/>
      <c r="R1209" s="246">
        <f>IFERROR(VLOOKUP(D1209,PROGRAMAS[],2,FALSE),0)</f>
        <v>97037803.679377079</v>
      </c>
      <c r="S1209" s="246">
        <f>IFERROR(VLOOKUP(E1209,PROGRAMAS[],2,FALSE),0)</f>
        <v>640501509.6821388</v>
      </c>
      <c r="T1209" s="246">
        <f>IFERROR(VLOOKUP(F1209,PROGRAMAS[],2,FALSE),0)</f>
        <v>3062327798.1525245</v>
      </c>
      <c r="U1209" s="246">
        <f>IFERROR(VLOOKUP(G1209,PROGRAMAS[],2,FALSE),0)</f>
        <v>67697118.033011258</v>
      </c>
      <c r="V1209" s="246">
        <f>IFERROR(VLOOKUP(H1209,PROGRAMAS[],2,FALSE),0)</f>
        <v>6907648435.8447599</v>
      </c>
      <c r="W1209" s="246">
        <f>IFERROR(VLOOKUP(I1209,PROGRAMAS[],2,FALSE),0)</f>
        <v>764796700.79905891</v>
      </c>
      <c r="X1209" s="246">
        <f>IFERROR(VLOOKUP(J1209,PROGRAMAS[],2,FALSE),0)</f>
        <v>3776538594.4604583</v>
      </c>
      <c r="Y1209" s="246">
        <f>IFERROR(VLOOKUP(K1209,PROGRAMAS[],2,FALSE),0)</f>
        <v>122159672.96346797</v>
      </c>
      <c r="Z1209" s="246">
        <f>IFERROR(VLOOKUP(L1209,PROGRAMAS[],2,FALSE),0)</f>
        <v>7068496961.0436354</v>
      </c>
      <c r="AA1209" s="246">
        <f>IFERROR(VLOOKUP(M1209,PROGRAMAS[],2,FALSE),0)</f>
        <v>0</v>
      </c>
      <c r="AB1209" s="246">
        <f>IFERROR(VLOOKUP(N1209,PROGRAMAS[],2,FALSE),0)</f>
        <v>0</v>
      </c>
      <c r="AC1209" s="246">
        <f>IFERROR(VLOOKUP(O1209,PROGRAMAS[],2,FALSE),0)</f>
        <v>0</v>
      </c>
      <c r="AD1209" s="246">
        <f>IFERROR(VLOOKUP(P1209,PROGRAMAS[],2,FALSE),0)</f>
        <v>0</v>
      </c>
      <c r="AE1209" s="246">
        <f>IFERROR(VLOOKUP(Q1209,PROGRAMAS[],2,FALSE),0)</f>
        <v>0</v>
      </c>
      <c r="AF1209" s="246">
        <f>IFERROR(VLOOKUP(D1209,PROGRAMAS[],3,FALSE),0)</f>
        <v>841888629.31080008</v>
      </c>
      <c r="AG1209" s="246">
        <f>IFERROR(VLOOKUP(E1209,PROGRAMAS[],3,FALSE),0)</f>
        <v>3848980803.1642323</v>
      </c>
      <c r="AH1209" s="246">
        <f>IFERROR(VLOOKUP(F1209,PROGRAMAS[],3,FALSE),0)</f>
        <v>3394901471.387517</v>
      </c>
      <c r="AI1209" s="246">
        <f>IFERROR(VLOOKUP(G1209,PROGRAMAS[],3,FALSE),0)</f>
        <v>125317226.95549992</v>
      </c>
      <c r="AJ1209" s="246">
        <f>IFERROR(VLOOKUP(H1209,PROGRAMAS[],3,FALSE),0)</f>
        <v>6129902208.7912121</v>
      </c>
      <c r="AK1209" s="246">
        <f>IFERROR(VLOOKUP(I1209,PROGRAMAS[],3,FALSE),0)</f>
        <v>675517840.109828</v>
      </c>
      <c r="AL1209" s="246">
        <f>IFERROR(VLOOKUP(J1209,PROGRAMAS[],3,FALSE),0)</f>
        <v>2392571243.5584412</v>
      </c>
      <c r="AM1209" s="246">
        <f>IFERROR(VLOOKUP(K1209,PROGRAMAS[],3,FALSE),0)</f>
        <v>118617452.52510804</v>
      </c>
      <c r="AN1209" s="246">
        <f>IFERROR(VLOOKUP(L1209,PROGRAMAS[],3,FALSE),0)</f>
        <v>2406564599.0319901</v>
      </c>
      <c r="AO1209" s="246">
        <f>IFERROR(VLOOKUP(M1209,PROGRAMAS[],3,FALSE),0)</f>
        <v>0</v>
      </c>
      <c r="AP1209" s="246">
        <f>IFERROR(VLOOKUP(N1209,PROGRAMAS[],3,FALSE),0)</f>
        <v>0</v>
      </c>
      <c r="AQ1209" s="246">
        <f>IFERROR(VLOOKUP(O1209,PROGRAMAS[],3,FALSE),0)</f>
        <v>0</v>
      </c>
      <c r="AR1209" s="246">
        <f>IFERROR(VLOOKUP(P1209,PROGRAMAS[],3,FALSE),0)</f>
        <v>0</v>
      </c>
      <c r="AS1209" s="246">
        <f>IFERROR(VLOOKUP(Q1209,PROGRAMAS[],3,FALSE),0)</f>
        <v>0</v>
      </c>
      <c r="AT1209" s="246">
        <f>IFERROR(VLOOKUP(D1209,VOL_REC[],2,FALSE),0)</f>
        <v>0</v>
      </c>
      <c r="AU1209" s="246">
        <f>IFERROR(VLOOKUP(E1209,VOL_REC[],2,FALSE),0)</f>
        <v>0</v>
      </c>
      <c r="AV1209" s="246">
        <f>IFERROR(VLOOKUP(F1209,VOL_REC[],2,FALSE),0)</f>
        <v>11089674.200000001</v>
      </c>
      <c r="AW1209" s="246">
        <f>IFERROR(VLOOKUP(G1209,VOL_REC[],2,FALSE),0)</f>
        <v>90439.55</v>
      </c>
      <c r="AX1209" s="246">
        <f>IFERROR(VLOOKUP(H1209,VOL_REC[],2,FALSE),0)</f>
        <v>15540036.397699751</v>
      </c>
      <c r="AY1209" s="246">
        <f>IFERROR(VLOOKUP(I1209,VOL_REC[],2,FALSE),0)</f>
        <v>240696.79238099116</v>
      </c>
      <c r="AZ1209" s="246">
        <f>IFERROR(VLOOKUP(J1209,VOL_REC[],2,FALSE),0)</f>
        <v>663244.80000000016</v>
      </c>
      <c r="BA1209" s="246">
        <f>IFERROR(VLOOKUP(K1209,VOL_REC[],2,FALSE),0)</f>
        <v>105072</v>
      </c>
      <c r="BB1209" s="246">
        <f>IFERROR(VLOOKUP(L1209,VOL_REC[],2,FALSE),0)</f>
        <v>1072354.9981737854</v>
      </c>
      <c r="BC1209" s="246">
        <f>IFERROR(VLOOKUP(M1209,VOL_REC[],2,FALSE),0)</f>
        <v>0</v>
      </c>
      <c r="BD1209" s="246">
        <f>IFERROR(VLOOKUP(N1209,VOL_REC[],2,FALSE),0)</f>
        <v>0</v>
      </c>
      <c r="BE1209" s="246">
        <f>IFERROR(VLOOKUP(O1209,VOL_REC[],2,FALSE),0)</f>
        <v>0</v>
      </c>
      <c r="BF1209" s="246">
        <f>IFERROR(VLOOKUP(P1209,VOL_REC[],2,FALSE),0)</f>
        <v>0</v>
      </c>
      <c r="BG1209" s="246">
        <f>IFERROR(VLOOKUP(Q1209,VOL_REC[],2,FALSE),0)</f>
        <v>0</v>
      </c>
      <c r="BH1209" s="1710">
        <f t="shared" si="72"/>
        <v>22507204594.658432</v>
      </c>
      <c r="BI1209" s="1710">
        <f t="shared" si="73"/>
        <v>19934261474.834629</v>
      </c>
      <c r="BJ1209" s="1711">
        <f t="shared" si="74"/>
        <v>28801518.738254528</v>
      </c>
      <c r="BK1209" s="1711">
        <f t="shared" si="75"/>
        <v>1.129071404178777</v>
      </c>
      <c r="BL1209">
        <f>BJ1209</f>
        <v>28801518.738254528</v>
      </c>
      <c r="BO1209">
        <f>BL1209</f>
        <v>28801518.738254528</v>
      </c>
    </row>
    <row r="1210" spans="3:67" x14ac:dyDescent="0.25">
      <c r="C1210" s="246" t="s">
        <v>2560</v>
      </c>
      <c r="D1210" s="246">
        <v>1</v>
      </c>
      <c r="E1210" s="246">
        <v>2</v>
      </c>
      <c r="F1210" s="246">
        <v>3</v>
      </c>
      <c r="G1210" s="246">
        <v>4</v>
      </c>
      <c r="H1210" s="246">
        <v>6</v>
      </c>
      <c r="I1210" s="246">
        <v>12</v>
      </c>
      <c r="J1210" s="246">
        <v>13</v>
      </c>
      <c r="K1210" s="246">
        <v>15</v>
      </c>
      <c r="L1210" s="246">
        <v>17</v>
      </c>
      <c r="M1210" s="246"/>
      <c r="N1210" s="246"/>
      <c r="O1210" s="246"/>
      <c r="P1210" s="246"/>
      <c r="Q1210" s="246"/>
      <c r="R1210" s="246">
        <f>IFERROR(VLOOKUP(D1210,PROGRAMAS[],2,FALSE),0)</f>
        <v>97037803.679377079</v>
      </c>
      <c r="S1210" s="246">
        <f>IFERROR(VLOOKUP(E1210,PROGRAMAS[],2,FALSE),0)</f>
        <v>640501509.6821388</v>
      </c>
      <c r="T1210" s="246">
        <f>IFERROR(VLOOKUP(F1210,PROGRAMAS[],2,FALSE),0)</f>
        <v>3062327798.1525245</v>
      </c>
      <c r="U1210" s="246">
        <f>IFERROR(VLOOKUP(G1210,PROGRAMAS[],2,FALSE),0)</f>
        <v>67697118.033011258</v>
      </c>
      <c r="V1210" s="246">
        <f>IFERROR(VLOOKUP(H1210,PROGRAMAS[],2,FALSE),0)</f>
        <v>6907648435.8447599</v>
      </c>
      <c r="W1210" s="246">
        <f>IFERROR(VLOOKUP(I1210,PROGRAMAS[],2,FALSE),0)</f>
        <v>764796700.79905891</v>
      </c>
      <c r="X1210" s="246">
        <f>IFERROR(VLOOKUP(J1210,PROGRAMAS[],2,FALSE),0)</f>
        <v>3776538594.4604583</v>
      </c>
      <c r="Y1210" s="246">
        <f>IFERROR(VLOOKUP(K1210,PROGRAMAS[],2,FALSE),0)</f>
        <v>122159672.96346797</v>
      </c>
      <c r="Z1210" s="246">
        <f>IFERROR(VLOOKUP(L1210,PROGRAMAS[],2,FALSE),0)</f>
        <v>1892779498.5211046</v>
      </c>
      <c r="AA1210" s="246">
        <f>IFERROR(VLOOKUP(M1210,PROGRAMAS[],2,FALSE),0)</f>
        <v>0</v>
      </c>
      <c r="AB1210" s="246">
        <f>IFERROR(VLOOKUP(N1210,PROGRAMAS[],2,FALSE),0)</f>
        <v>0</v>
      </c>
      <c r="AC1210" s="246">
        <f>IFERROR(VLOOKUP(O1210,PROGRAMAS[],2,FALSE),0)</f>
        <v>0</v>
      </c>
      <c r="AD1210" s="246">
        <f>IFERROR(VLOOKUP(P1210,PROGRAMAS[],2,FALSE),0)</f>
        <v>0</v>
      </c>
      <c r="AE1210" s="246">
        <f>IFERROR(VLOOKUP(Q1210,PROGRAMAS[],2,FALSE),0)</f>
        <v>0</v>
      </c>
      <c r="AF1210" s="246">
        <f>IFERROR(VLOOKUP(D1210,PROGRAMAS[],3,FALSE),0)</f>
        <v>841888629.31080008</v>
      </c>
      <c r="AG1210" s="246">
        <f>IFERROR(VLOOKUP(E1210,PROGRAMAS[],3,FALSE),0)</f>
        <v>3848980803.1642323</v>
      </c>
      <c r="AH1210" s="246">
        <f>IFERROR(VLOOKUP(F1210,PROGRAMAS[],3,FALSE),0)</f>
        <v>3394901471.387517</v>
      </c>
      <c r="AI1210" s="246">
        <f>IFERROR(VLOOKUP(G1210,PROGRAMAS[],3,FALSE),0)</f>
        <v>125317226.95549992</v>
      </c>
      <c r="AJ1210" s="246">
        <f>IFERROR(VLOOKUP(H1210,PROGRAMAS[],3,FALSE),0)</f>
        <v>6129902208.7912121</v>
      </c>
      <c r="AK1210" s="246">
        <f>IFERROR(VLOOKUP(I1210,PROGRAMAS[],3,FALSE),0)</f>
        <v>675517840.109828</v>
      </c>
      <c r="AL1210" s="246">
        <f>IFERROR(VLOOKUP(J1210,PROGRAMAS[],3,FALSE),0)</f>
        <v>2392571243.5584412</v>
      </c>
      <c r="AM1210" s="246">
        <f>IFERROR(VLOOKUP(K1210,PROGRAMAS[],3,FALSE),0)</f>
        <v>118617452.52510804</v>
      </c>
      <c r="AN1210" s="246">
        <f>IFERROR(VLOOKUP(L1210,PROGRAMAS[],3,FALSE),0)</f>
        <v>948595847.09039903</v>
      </c>
      <c r="AO1210" s="246">
        <f>IFERROR(VLOOKUP(M1210,PROGRAMAS[],3,FALSE),0)</f>
        <v>0</v>
      </c>
      <c r="AP1210" s="246">
        <f>IFERROR(VLOOKUP(N1210,PROGRAMAS[],3,FALSE),0)</f>
        <v>0</v>
      </c>
      <c r="AQ1210" s="246">
        <f>IFERROR(VLOOKUP(O1210,PROGRAMAS[],3,FALSE),0)</f>
        <v>0</v>
      </c>
      <c r="AR1210" s="246">
        <f>IFERROR(VLOOKUP(P1210,PROGRAMAS[],3,FALSE),0)</f>
        <v>0</v>
      </c>
      <c r="AS1210" s="246">
        <f>IFERROR(VLOOKUP(Q1210,PROGRAMAS[],3,FALSE),0)</f>
        <v>0</v>
      </c>
      <c r="AT1210" s="246">
        <f>IFERROR(VLOOKUP(D1210,VOL_REC[],2,FALSE),0)</f>
        <v>0</v>
      </c>
      <c r="AU1210" s="246">
        <f>IFERROR(VLOOKUP(E1210,VOL_REC[],2,FALSE),0)</f>
        <v>0</v>
      </c>
      <c r="AV1210" s="246">
        <f>IFERROR(VLOOKUP(F1210,VOL_REC[],2,FALSE),0)</f>
        <v>11089674.200000001</v>
      </c>
      <c r="AW1210" s="246">
        <f>IFERROR(VLOOKUP(G1210,VOL_REC[],2,FALSE),0)</f>
        <v>90439.55</v>
      </c>
      <c r="AX1210" s="246">
        <f>IFERROR(VLOOKUP(H1210,VOL_REC[],2,FALSE),0)</f>
        <v>15540036.397699751</v>
      </c>
      <c r="AY1210" s="246">
        <f>IFERROR(VLOOKUP(I1210,VOL_REC[],2,FALSE),0)</f>
        <v>240696.79238099116</v>
      </c>
      <c r="AZ1210" s="246">
        <f>IFERROR(VLOOKUP(J1210,VOL_REC[],2,FALSE),0)</f>
        <v>663244.80000000016</v>
      </c>
      <c r="BA1210" s="246">
        <f>IFERROR(VLOOKUP(K1210,VOL_REC[],2,FALSE),0)</f>
        <v>105072</v>
      </c>
      <c r="BB1210" s="246">
        <f>IFERROR(VLOOKUP(L1210,VOL_REC[],2,FALSE),0)</f>
        <v>740113.98115702497</v>
      </c>
      <c r="BC1210" s="246">
        <f>IFERROR(VLOOKUP(M1210,VOL_REC[],2,FALSE),0)</f>
        <v>0</v>
      </c>
      <c r="BD1210" s="246">
        <f>IFERROR(VLOOKUP(N1210,VOL_REC[],2,FALSE),0)</f>
        <v>0</v>
      </c>
      <c r="BE1210" s="246">
        <f>IFERROR(VLOOKUP(O1210,VOL_REC[],2,FALSE),0)</f>
        <v>0</v>
      </c>
      <c r="BF1210" s="246">
        <f>IFERROR(VLOOKUP(P1210,VOL_REC[],2,FALSE),0)</f>
        <v>0</v>
      </c>
      <c r="BG1210" s="246">
        <f>IFERROR(VLOOKUP(Q1210,VOL_REC[],2,FALSE),0)</f>
        <v>0</v>
      </c>
      <c r="BH1210" s="1710">
        <f t="shared" si="72"/>
        <v>17331487132.135902</v>
      </c>
      <c r="BI1210" s="1710">
        <f t="shared" si="73"/>
        <v>18476292722.89304</v>
      </c>
      <c r="BJ1210" s="1711">
        <f t="shared" si="74"/>
        <v>28469277.721237767</v>
      </c>
      <c r="BK1210" s="1711">
        <f t="shared" si="75"/>
        <v>0.93803921555439163</v>
      </c>
    </row>
    <row r="1211" spans="3:67" x14ac:dyDescent="0.25">
      <c r="C1211" s="246" t="s">
        <v>2561</v>
      </c>
      <c r="D1211" s="246">
        <v>1</v>
      </c>
      <c r="E1211" s="246">
        <v>2</v>
      </c>
      <c r="F1211" s="246">
        <v>3</v>
      </c>
      <c r="G1211" s="246">
        <v>4</v>
      </c>
      <c r="H1211" s="246">
        <v>6</v>
      </c>
      <c r="I1211" s="246">
        <v>12</v>
      </c>
      <c r="J1211" s="246">
        <v>13</v>
      </c>
      <c r="K1211" s="246">
        <v>16</v>
      </c>
      <c r="L1211" s="246">
        <v>17</v>
      </c>
      <c r="M1211" s="246"/>
      <c r="N1211" s="246"/>
      <c r="O1211" s="246"/>
      <c r="P1211" s="246"/>
      <c r="Q1211" s="246"/>
      <c r="R1211" s="246">
        <f>IFERROR(VLOOKUP(D1211,PROGRAMAS[],2,FALSE),0)</f>
        <v>97037803.679377079</v>
      </c>
      <c r="S1211" s="246">
        <f>IFERROR(VLOOKUP(E1211,PROGRAMAS[],2,FALSE),0)</f>
        <v>640501509.6821388</v>
      </c>
      <c r="T1211" s="246">
        <f>IFERROR(VLOOKUP(F1211,PROGRAMAS[],2,FALSE),0)</f>
        <v>3062327798.1525245</v>
      </c>
      <c r="U1211" s="246">
        <f>IFERROR(VLOOKUP(G1211,PROGRAMAS[],2,FALSE),0)</f>
        <v>67697118.033011258</v>
      </c>
      <c r="V1211" s="246">
        <f>IFERROR(VLOOKUP(H1211,PROGRAMAS[],2,FALSE),0)</f>
        <v>6907648435.8447599</v>
      </c>
      <c r="W1211" s="246">
        <f>IFERROR(VLOOKUP(I1211,PROGRAMAS[],2,FALSE),0)</f>
        <v>764796700.79905891</v>
      </c>
      <c r="X1211" s="246">
        <f>IFERROR(VLOOKUP(J1211,PROGRAMAS[],2,FALSE),0)</f>
        <v>3776538594.4604583</v>
      </c>
      <c r="Y1211" s="246">
        <f>IFERROR(VLOOKUP(K1211,PROGRAMAS[],2,FALSE),0)</f>
        <v>7068496961.0436354</v>
      </c>
      <c r="Z1211" s="246">
        <f>IFERROR(VLOOKUP(L1211,PROGRAMAS[],2,FALSE),0)</f>
        <v>1892779498.5211046</v>
      </c>
      <c r="AA1211" s="246">
        <f>IFERROR(VLOOKUP(M1211,PROGRAMAS[],2,FALSE),0)</f>
        <v>0</v>
      </c>
      <c r="AB1211" s="246">
        <f>IFERROR(VLOOKUP(N1211,PROGRAMAS[],2,FALSE),0)</f>
        <v>0</v>
      </c>
      <c r="AC1211" s="246">
        <f>IFERROR(VLOOKUP(O1211,PROGRAMAS[],2,FALSE),0)</f>
        <v>0</v>
      </c>
      <c r="AD1211" s="246">
        <f>IFERROR(VLOOKUP(P1211,PROGRAMAS[],2,FALSE),0)</f>
        <v>0</v>
      </c>
      <c r="AE1211" s="246">
        <f>IFERROR(VLOOKUP(Q1211,PROGRAMAS[],2,FALSE),0)</f>
        <v>0</v>
      </c>
      <c r="AF1211" s="246">
        <f>IFERROR(VLOOKUP(D1211,PROGRAMAS[],3,FALSE),0)</f>
        <v>841888629.31080008</v>
      </c>
      <c r="AG1211" s="246">
        <f>IFERROR(VLOOKUP(E1211,PROGRAMAS[],3,FALSE),0)</f>
        <v>3848980803.1642323</v>
      </c>
      <c r="AH1211" s="246">
        <f>IFERROR(VLOOKUP(F1211,PROGRAMAS[],3,FALSE),0)</f>
        <v>3394901471.387517</v>
      </c>
      <c r="AI1211" s="246">
        <f>IFERROR(VLOOKUP(G1211,PROGRAMAS[],3,FALSE),0)</f>
        <v>125317226.95549992</v>
      </c>
      <c r="AJ1211" s="246">
        <f>IFERROR(VLOOKUP(H1211,PROGRAMAS[],3,FALSE),0)</f>
        <v>6129902208.7912121</v>
      </c>
      <c r="AK1211" s="246">
        <f>IFERROR(VLOOKUP(I1211,PROGRAMAS[],3,FALSE),0)</f>
        <v>675517840.109828</v>
      </c>
      <c r="AL1211" s="246">
        <f>IFERROR(VLOOKUP(J1211,PROGRAMAS[],3,FALSE),0)</f>
        <v>2392571243.5584412</v>
      </c>
      <c r="AM1211" s="246">
        <f>IFERROR(VLOOKUP(K1211,PROGRAMAS[],3,FALSE),0)</f>
        <v>2406564599.0319901</v>
      </c>
      <c r="AN1211" s="246">
        <f>IFERROR(VLOOKUP(L1211,PROGRAMAS[],3,FALSE),0)</f>
        <v>948595847.09039903</v>
      </c>
      <c r="AO1211" s="246">
        <f>IFERROR(VLOOKUP(M1211,PROGRAMAS[],3,FALSE),0)</f>
        <v>0</v>
      </c>
      <c r="AP1211" s="246">
        <f>IFERROR(VLOOKUP(N1211,PROGRAMAS[],3,FALSE),0)</f>
        <v>0</v>
      </c>
      <c r="AQ1211" s="246">
        <f>IFERROR(VLOOKUP(O1211,PROGRAMAS[],3,FALSE),0)</f>
        <v>0</v>
      </c>
      <c r="AR1211" s="246">
        <f>IFERROR(VLOOKUP(P1211,PROGRAMAS[],3,FALSE),0)</f>
        <v>0</v>
      </c>
      <c r="AS1211" s="246">
        <f>IFERROR(VLOOKUP(Q1211,PROGRAMAS[],3,FALSE),0)</f>
        <v>0</v>
      </c>
      <c r="AT1211" s="246">
        <f>IFERROR(VLOOKUP(D1211,VOL_REC[],2,FALSE),0)</f>
        <v>0</v>
      </c>
      <c r="AU1211" s="246">
        <f>IFERROR(VLOOKUP(E1211,VOL_REC[],2,FALSE),0)</f>
        <v>0</v>
      </c>
      <c r="AV1211" s="246">
        <f>IFERROR(VLOOKUP(F1211,VOL_REC[],2,FALSE),0)</f>
        <v>11089674.200000001</v>
      </c>
      <c r="AW1211" s="246">
        <f>IFERROR(VLOOKUP(G1211,VOL_REC[],2,FALSE),0)</f>
        <v>90439.55</v>
      </c>
      <c r="AX1211" s="246">
        <f>IFERROR(VLOOKUP(H1211,VOL_REC[],2,FALSE),0)</f>
        <v>15540036.397699751</v>
      </c>
      <c r="AY1211" s="246">
        <f>IFERROR(VLOOKUP(I1211,VOL_REC[],2,FALSE),0)</f>
        <v>240696.79238099116</v>
      </c>
      <c r="AZ1211" s="246">
        <f>IFERROR(VLOOKUP(J1211,VOL_REC[],2,FALSE),0)</f>
        <v>663244.80000000016</v>
      </c>
      <c r="BA1211" s="246">
        <f>IFERROR(VLOOKUP(K1211,VOL_REC[],2,FALSE),0)</f>
        <v>1072354.9981737854</v>
      </c>
      <c r="BB1211" s="246">
        <f>IFERROR(VLOOKUP(L1211,VOL_REC[],2,FALSE),0)</f>
        <v>740113.98115702497</v>
      </c>
      <c r="BC1211" s="246">
        <f>IFERROR(VLOOKUP(M1211,VOL_REC[],2,FALSE),0)</f>
        <v>0</v>
      </c>
      <c r="BD1211" s="246">
        <f>IFERROR(VLOOKUP(N1211,VOL_REC[],2,FALSE),0)</f>
        <v>0</v>
      </c>
      <c r="BE1211" s="246">
        <f>IFERROR(VLOOKUP(O1211,VOL_REC[],2,FALSE),0)</f>
        <v>0</v>
      </c>
      <c r="BF1211" s="246">
        <f>IFERROR(VLOOKUP(P1211,VOL_REC[],2,FALSE),0)</f>
        <v>0</v>
      </c>
      <c r="BG1211" s="246">
        <f>IFERROR(VLOOKUP(Q1211,VOL_REC[],2,FALSE),0)</f>
        <v>0</v>
      </c>
      <c r="BH1211" s="1710">
        <f t="shared" si="72"/>
        <v>24277824420.216068</v>
      </c>
      <c r="BI1211" s="1710">
        <f t="shared" si="73"/>
        <v>20764239869.399921</v>
      </c>
      <c r="BJ1211" s="1711">
        <f t="shared" si="74"/>
        <v>29436560.719411552</v>
      </c>
      <c r="BK1211" s="1711">
        <f t="shared" si="75"/>
        <v>1.1692132518654865</v>
      </c>
      <c r="BL1211">
        <f>BJ1211</f>
        <v>29436560.719411552</v>
      </c>
      <c r="BO1211">
        <f>BL1211</f>
        <v>29436560.719411552</v>
      </c>
    </row>
    <row r="1212" spans="3:67" x14ac:dyDescent="0.25">
      <c r="C1212" s="246" t="s">
        <v>2562</v>
      </c>
      <c r="D1212" s="246">
        <v>1</v>
      </c>
      <c r="E1212" s="246">
        <v>2</v>
      </c>
      <c r="F1212" s="246">
        <v>3</v>
      </c>
      <c r="G1212" s="246">
        <v>4</v>
      </c>
      <c r="H1212" s="246">
        <v>6</v>
      </c>
      <c r="I1212" s="246">
        <v>12</v>
      </c>
      <c r="J1212" s="246">
        <v>14</v>
      </c>
      <c r="K1212" s="246">
        <v>15</v>
      </c>
      <c r="L1212" s="246">
        <v>16</v>
      </c>
      <c r="M1212" s="246"/>
      <c r="N1212" s="246"/>
      <c r="O1212" s="246"/>
      <c r="P1212" s="246"/>
      <c r="Q1212" s="246"/>
      <c r="R1212" s="246">
        <f>IFERROR(VLOOKUP(D1212,PROGRAMAS[],2,FALSE),0)</f>
        <v>97037803.679377079</v>
      </c>
      <c r="S1212" s="246">
        <f>IFERROR(VLOOKUP(E1212,PROGRAMAS[],2,FALSE),0)</f>
        <v>640501509.6821388</v>
      </c>
      <c r="T1212" s="246">
        <f>IFERROR(VLOOKUP(F1212,PROGRAMAS[],2,FALSE),0)</f>
        <v>3062327798.1525245</v>
      </c>
      <c r="U1212" s="246">
        <f>IFERROR(VLOOKUP(G1212,PROGRAMAS[],2,FALSE),0)</f>
        <v>67697118.033011258</v>
      </c>
      <c r="V1212" s="246">
        <f>IFERROR(VLOOKUP(H1212,PROGRAMAS[],2,FALSE),0)</f>
        <v>6907648435.8447599</v>
      </c>
      <c r="W1212" s="246">
        <f>IFERROR(VLOOKUP(I1212,PROGRAMAS[],2,FALSE),0)</f>
        <v>764796700.79905891</v>
      </c>
      <c r="X1212" s="246">
        <f>IFERROR(VLOOKUP(J1212,PROGRAMAS[],2,FALSE),0)</f>
        <v>54223862.645839565</v>
      </c>
      <c r="Y1212" s="246">
        <f>IFERROR(VLOOKUP(K1212,PROGRAMAS[],2,FALSE),0)</f>
        <v>122159672.96346797</v>
      </c>
      <c r="Z1212" s="246">
        <f>IFERROR(VLOOKUP(L1212,PROGRAMAS[],2,FALSE),0)</f>
        <v>7068496961.0436354</v>
      </c>
      <c r="AA1212" s="246">
        <f>IFERROR(VLOOKUP(M1212,PROGRAMAS[],2,FALSE),0)</f>
        <v>0</v>
      </c>
      <c r="AB1212" s="246">
        <f>IFERROR(VLOOKUP(N1212,PROGRAMAS[],2,FALSE),0)</f>
        <v>0</v>
      </c>
      <c r="AC1212" s="246">
        <f>IFERROR(VLOOKUP(O1212,PROGRAMAS[],2,FALSE),0)</f>
        <v>0</v>
      </c>
      <c r="AD1212" s="246">
        <f>IFERROR(VLOOKUP(P1212,PROGRAMAS[],2,FALSE),0)</f>
        <v>0</v>
      </c>
      <c r="AE1212" s="246">
        <f>IFERROR(VLOOKUP(Q1212,PROGRAMAS[],2,FALSE),0)</f>
        <v>0</v>
      </c>
      <c r="AF1212" s="246">
        <f>IFERROR(VLOOKUP(D1212,PROGRAMAS[],3,FALSE),0)</f>
        <v>841888629.31080008</v>
      </c>
      <c r="AG1212" s="246">
        <f>IFERROR(VLOOKUP(E1212,PROGRAMAS[],3,FALSE),0)</f>
        <v>3848980803.1642323</v>
      </c>
      <c r="AH1212" s="246">
        <f>IFERROR(VLOOKUP(F1212,PROGRAMAS[],3,FALSE),0)</f>
        <v>3394901471.387517</v>
      </c>
      <c r="AI1212" s="246">
        <f>IFERROR(VLOOKUP(G1212,PROGRAMAS[],3,FALSE),0)</f>
        <v>125317226.95549992</v>
      </c>
      <c r="AJ1212" s="246">
        <f>IFERROR(VLOOKUP(H1212,PROGRAMAS[],3,FALSE),0)</f>
        <v>6129902208.7912121</v>
      </c>
      <c r="AK1212" s="246">
        <f>IFERROR(VLOOKUP(I1212,PROGRAMAS[],3,FALSE),0)</f>
        <v>675517840.109828</v>
      </c>
      <c r="AL1212" s="246">
        <f>IFERROR(VLOOKUP(J1212,PROGRAMAS[],3,FALSE),0)</f>
        <v>31865326.38096505</v>
      </c>
      <c r="AM1212" s="246">
        <f>IFERROR(VLOOKUP(K1212,PROGRAMAS[],3,FALSE),0)</f>
        <v>118617452.52510804</v>
      </c>
      <c r="AN1212" s="246">
        <f>IFERROR(VLOOKUP(L1212,PROGRAMAS[],3,FALSE),0)</f>
        <v>2406564599.0319901</v>
      </c>
      <c r="AO1212" s="246">
        <f>IFERROR(VLOOKUP(M1212,PROGRAMAS[],3,FALSE),0)</f>
        <v>0</v>
      </c>
      <c r="AP1212" s="246">
        <f>IFERROR(VLOOKUP(N1212,PROGRAMAS[],3,FALSE),0)</f>
        <v>0</v>
      </c>
      <c r="AQ1212" s="246">
        <f>IFERROR(VLOOKUP(O1212,PROGRAMAS[],3,FALSE),0)</f>
        <v>0</v>
      </c>
      <c r="AR1212" s="246">
        <f>IFERROR(VLOOKUP(P1212,PROGRAMAS[],3,FALSE),0)</f>
        <v>0</v>
      </c>
      <c r="AS1212" s="246">
        <f>IFERROR(VLOOKUP(Q1212,PROGRAMAS[],3,FALSE),0)</f>
        <v>0</v>
      </c>
      <c r="AT1212" s="246">
        <f>IFERROR(VLOOKUP(D1212,VOL_REC[],2,FALSE),0)</f>
        <v>0</v>
      </c>
      <c r="AU1212" s="246">
        <f>IFERROR(VLOOKUP(E1212,VOL_REC[],2,FALSE),0)</f>
        <v>0</v>
      </c>
      <c r="AV1212" s="246">
        <f>IFERROR(VLOOKUP(F1212,VOL_REC[],2,FALSE),0)</f>
        <v>11089674.200000001</v>
      </c>
      <c r="AW1212" s="246">
        <f>IFERROR(VLOOKUP(G1212,VOL_REC[],2,FALSE),0)</f>
        <v>90439.55</v>
      </c>
      <c r="AX1212" s="246">
        <f>IFERROR(VLOOKUP(H1212,VOL_REC[],2,FALSE),0)</f>
        <v>15540036.397699751</v>
      </c>
      <c r="AY1212" s="246">
        <f>IFERROR(VLOOKUP(I1212,VOL_REC[],2,FALSE),0)</f>
        <v>240696.79238099116</v>
      </c>
      <c r="AZ1212" s="246">
        <f>IFERROR(VLOOKUP(J1212,VOL_REC[],2,FALSE),0)</f>
        <v>17074.045034105649</v>
      </c>
      <c r="BA1212" s="246">
        <f>IFERROR(VLOOKUP(K1212,VOL_REC[],2,FALSE),0)</f>
        <v>105072</v>
      </c>
      <c r="BB1212" s="246">
        <f>IFERROR(VLOOKUP(L1212,VOL_REC[],2,FALSE),0)</f>
        <v>1072354.9981737854</v>
      </c>
      <c r="BC1212" s="246">
        <f>IFERROR(VLOOKUP(M1212,VOL_REC[],2,FALSE),0)</f>
        <v>0</v>
      </c>
      <c r="BD1212" s="246">
        <f>IFERROR(VLOOKUP(N1212,VOL_REC[],2,FALSE),0)</f>
        <v>0</v>
      </c>
      <c r="BE1212" s="246">
        <f>IFERROR(VLOOKUP(O1212,VOL_REC[],2,FALSE),0)</f>
        <v>0</v>
      </c>
      <c r="BF1212" s="246">
        <f>IFERROR(VLOOKUP(P1212,VOL_REC[],2,FALSE),0)</f>
        <v>0</v>
      </c>
      <c r="BG1212" s="246">
        <f>IFERROR(VLOOKUP(Q1212,VOL_REC[],2,FALSE),0)</f>
        <v>0</v>
      </c>
      <c r="BH1212" s="1710">
        <f t="shared" si="72"/>
        <v>18784889862.843815</v>
      </c>
      <c r="BI1212" s="1710">
        <f t="shared" si="73"/>
        <v>17573555557.65715</v>
      </c>
      <c r="BJ1212" s="1711">
        <f t="shared" si="74"/>
        <v>28155347.983288635</v>
      </c>
      <c r="BK1212" s="1711">
        <f t="shared" si="75"/>
        <v>1.0689293809219422</v>
      </c>
      <c r="BL1212">
        <f>BJ1212</f>
        <v>28155347.983288635</v>
      </c>
      <c r="BO1212">
        <f>BL1212</f>
        <v>28155347.983288635</v>
      </c>
    </row>
    <row r="1213" spans="3:67" x14ac:dyDescent="0.25">
      <c r="C1213" s="246" t="s">
        <v>2563</v>
      </c>
      <c r="D1213" s="246">
        <v>1</v>
      </c>
      <c r="E1213" s="246">
        <v>2</v>
      </c>
      <c r="F1213" s="246">
        <v>3</v>
      </c>
      <c r="G1213" s="246">
        <v>4</v>
      </c>
      <c r="H1213" s="246">
        <v>6</v>
      </c>
      <c r="I1213" s="246">
        <v>12</v>
      </c>
      <c r="J1213" s="246">
        <v>14</v>
      </c>
      <c r="K1213" s="246">
        <v>15</v>
      </c>
      <c r="L1213" s="246">
        <v>17</v>
      </c>
      <c r="M1213" s="246"/>
      <c r="N1213" s="246"/>
      <c r="O1213" s="246"/>
      <c r="P1213" s="246"/>
      <c r="Q1213" s="246"/>
      <c r="R1213" s="246">
        <f>IFERROR(VLOOKUP(D1213,PROGRAMAS[],2,FALSE),0)</f>
        <v>97037803.679377079</v>
      </c>
      <c r="S1213" s="246">
        <f>IFERROR(VLOOKUP(E1213,PROGRAMAS[],2,FALSE),0)</f>
        <v>640501509.6821388</v>
      </c>
      <c r="T1213" s="246">
        <f>IFERROR(VLOOKUP(F1213,PROGRAMAS[],2,FALSE),0)</f>
        <v>3062327798.1525245</v>
      </c>
      <c r="U1213" s="246">
        <f>IFERROR(VLOOKUP(G1213,PROGRAMAS[],2,FALSE),0)</f>
        <v>67697118.033011258</v>
      </c>
      <c r="V1213" s="246">
        <f>IFERROR(VLOOKUP(H1213,PROGRAMAS[],2,FALSE),0)</f>
        <v>6907648435.8447599</v>
      </c>
      <c r="W1213" s="246">
        <f>IFERROR(VLOOKUP(I1213,PROGRAMAS[],2,FALSE),0)</f>
        <v>764796700.79905891</v>
      </c>
      <c r="X1213" s="246">
        <f>IFERROR(VLOOKUP(J1213,PROGRAMAS[],2,FALSE),0)</f>
        <v>54223862.645839565</v>
      </c>
      <c r="Y1213" s="246">
        <f>IFERROR(VLOOKUP(K1213,PROGRAMAS[],2,FALSE),0)</f>
        <v>122159672.96346797</v>
      </c>
      <c r="Z1213" s="246">
        <f>IFERROR(VLOOKUP(L1213,PROGRAMAS[],2,FALSE),0)</f>
        <v>1892779498.5211046</v>
      </c>
      <c r="AA1213" s="246">
        <f>IFERROR(VLOOKUP(M1213,PROGRAMAS[],2,FALSE),0)</f>
        <v>0</v>
      </c>
      <c r="AB1213" s="246">
        <f>IFERROR(VLOOKUP(N1213,PROGRAMAS[],2,FALSE),0)</f>
        <v>0</v>
      </c>
      <c r="AC1213" s="246">
        <f>IFERROR(VLOOKUP(O1213,PROGRAMAS[],2,FALSE),0)</f>
        <v>0</v>
      </c>
      <c r="AD1213" s="246">
        <f>IFERROR(VLOOKUP(P1213,PROGRAMAS[],2,FALSE),0)</f>
        <v>0</v>
      </c>
      <c r="AE1213" s="246">
        <f>IFERROR(VLOOKUP(Q1213,PROGRAMAS[],2,FALSE),0)</f>
        <v>0</v>
      </c>
      <c r="AF1213" s="246">
        <f>IFERROR(VLOOKUP(D1213,PROGRAMAS[],3,FALSE),0)</f>
        <v>841888629.31080008</v>
      </c>
      <c r="AG1213" s="246">
        <f>IFERROR(VLOOKUP(E1213,PROGRAMAS[],3,FALSE),0)</f>
        <v>3848980803.1642323</v>
      </c>
      <c r="AH1213" s="246">
        <f>IFERROR(VLOOKUP(F1213,PROGRAMAS[],3,FALSE),0)</f>
        <v>3394901471.387517</v>
      </c>
      <c r="AI1213" s="246">
        <f>IFERROR(VLOOKUP(G1213,PROGRAMAS[],3,FALSE),0)</f>
        <v>125317226.95549992</v>
      </c>
      <c r="AJ1213" s="246">
        <f>IFERROR(VLOOKUP(H1213,PROGRAMAS[],3,FALSE),0)</f>
        <v>6129902208.7912121</v>
      </c>
      <c r="AK1213" s="246">
        <f>IFERROR(VLOOKUP(I1213,PROGRAMAS[],3,FALSE),0)</f>
        <v>675517840.109828</v>
      </c>
      <c r="AL1213" s="246">
        <f>IFERROR(VLOOKUP(J1213,PROGRAMAS[],3,FALSE),0)</f>
        <v>31865326.38096505</v>
      </c>
      <c r="AM1213" s="246">
        <f>IFERROR(VLOOKUP(K1213,PROGRAMAS[],3,FALSE),0)</f>
        <v>118617452.52510804</v>
      </c>
      <c r="AN1213" s="246">
        <f>IFERROR(VLOOKUP(L1213,PROGRAMAS[],3,FALSE),0)</f>
        <v>948595847.09039903</v>
      </c>
      <c r="AO1213" s="246">
        <f>IFERROR(VLOOKUP(M1213,PROGRAMAS[],3,FALSE),0)</f>
        <v>0</v>
      </c>
      <c r="AP1213" s="246">
        <f>IFERROR(VLOOKUP(N1213,PROGRAMAS[],3,FALSE),0)</f>
        <v>0</v>
      </c>
      <c r="AQ1213" s="246">
        <f>IFERROR(VLOOKUP(O1213,PROGRAMAS[],3,FALSE),0)</f>
        <v>0</v>
      </c>
      <c r="AR1213" s="246">
        <f>IFERROR(VLOOKUP(P1213,PROGRAMAS[],3,FALSE),0)</f>
        <v>0</v>
      </c>
      <c r="AS1213" s="246">
        <f>IFERROR(VLOOKUP(Q1213,PROGRAMAS[],3,FALSE),0)</f>
        <v>0</v>
      </c>
      <c r="AT1213" s="246">
        <f>IFERROR(VLOOKUP(D1213,VOL_REC[],2,FALSE),0)</f>
        <v>0</v>
      </c>
      <c r="AU1213" s="246">
        <f>IFERROR(VLOOKUP(E1213,VOL_REC[],2,FALSE),0)</f>
        <v>0</v>
      </c>
      <c r="AV1213" s="246">
        <f>IFERROR(VLOOKUP(F1213,VOL_REC[],2,FALSE),0)</f>
        <v>11089674.200000001</v>
      </c>
      <c r="AW1213" s="246">
        <f>IFERROR(VLOOKUP(G1213,VOL_REC[],2,FALSE),0)</f>
        <v>90439.55</v>
      </c>
      <c r="AX1213" s="246">
        <f>IFERROR(VLOOKUP(H1213,VOL_REC[],2,FALSE),0)</f>
        <v>15540036.397699751</v>
      </c>
      <c r="AY1213" s="246">
        <f>IFERROR(VLOOKUP(I1213,VOL_REC[],2,FALSE),0)</f>
        <v>240696.79238099116</v>
      </c>
      <c r="AZ1213" s="246">
        <f>IFERROR(VLOOKUP(J1213,VOL_REC[],2,FALSE),0)</f>
        <v>17074.045034105649</v>
      </c>
      <c r="BA1213" s="246">
        <f>IFERROR(VLOOKUP(K1213,VOL_REC[],2,FALSE),0)</f>
        <v>105072</v>
      </c>
      <c r="BB1213" s="246">
        <f>IFERROR(VLOOKUP(L1213,VOL_REC[],2,FALSE),0)</f>
        <v>740113.98115702497</v>
      </c>
      <c r="BC1213" s="246">
        <f>IFERROR(VLOOKUP(M1213,VOL_REC[],2,FALSE),0)</f>
        <v>0</v>
      </c>
      <c r="BD1213" s="246">
        <f>IFERROR(VLOOKUP(N1213,VOL_REC[],2,FALSE),0)</f>
        <v>0</v>
      </c>
      <c r="BE1213" s="246">
        <f>IFERROR(VLOOKUP(O1213,VOL_REC[],2,FALSE),0)</f>
        <v>0</v>
      </c>
      <c r="BF1213" s="246">
        <f>IFERROR(VLOOKUP(P1213,VOL_REC[],2,FALSE),0)</f>
        <v>0</v>
      </c>
      <c r="BG1213" s="246">
        <f>IFERROR(VLOOKUP(Q1213,VOL_REC[],2,FALSE),0)</f>
        <v>0</v>
      </c>
      <c r="BH1213" s="1710">
        <f t="shared" si="72"/>
        <v>13609172400.321283</v>
      </c>
      <c r="BI1213" s="1710">
        <f t="shared" si="73"/>
        <v>16115586805.715561</v>
      </c>
      <c r="BJ1213" s="1711">
        <f t="shared" si="74"/>
        <v>27823106.966271874</v>
      </c>
      <c r="BK1213" s="1711">
        <f t="shared" si="75"/>
        <v>0.8444726564653946</v>
      </c>
    </row>
    <row r="1214" spans="3:67" x14ac:dyDescent="0.25">
      <c r="C1214" s="246" t="s">
        <v>2564</v>
      </c>
      <c r="D1214" s="246">
        <v>1</v>
      </c>
      <c r="E1214" s="246">
        <v>2</v>
      </c>
      <c r="F1214" s="246">
        <v>3</v>
      </c>
      <c r="G1214" s="246">
        <v>4</v>
      </c>
      <c r="H1214" s="246">
        <v>6</v>
      </c>
      <c r="I1214" s="246">
        <v>12</v>
      </c>
      <c r="J1214" s="246">
        <v>14</v>
      </c>
      <c r="K1214" s="246">
        <v>16</v>
      </c>
      <c r="L1214" s="246">
        <v>17</v>
      </c>
      <c r="M1214" s="246"/>
      <c r="N1214" s="246"/>
      <c r="O1214" s="246"/>
      <c r="P1214" s="246"/>
      <c r="Q1214" s="246"/>
      <c r="R1214" s="246">
        <f>IFERROR(VLOOKUP(D1214,PROGRAMAS[],2,FALSE),0)</f>
        <v>97037803.679377079</v>
      </c>
      <c r="S1214" s="246">
        <f>IFERROR(VLOOKUP(E1214,PROGRAMAS[],2,FALSE),0)</f>
        <v>640501509.6821388</v>
      </c>
      <c r="T1214" s="246">
        <f>IFERROR(VLOOKUP(F1214,PROGRAMAS[],2,FALSE),0)</f>
        <v>3062327798.1525245</v>
      </c>
      <c r="U1214" s="246">
        <f>IFERROR(VLOOKUP(G1214,PROGRAMAS[],2,FALSE),0)</f>
        <v>67697118.033011258</v>
      </c>
      <c r="V1214" s="246">
        <f>IFERROR(VLOOKUP(H1214,PROGRAMAS[],2,FALSE),0)</f>
        <v>6907648435.8447599</v>
      </c>
      <c r="W1214" s="246">
        <f>IFERROR(VLOOKUP(I1214,PROGRAMAS[],2,FALSE),0)</f>
        <v>764796700.79905891</v>
      </c>
      <c r="X1214" s="246">
        <f>IFERROR(VLOOKUP(J1214,PROGRAMAS[],2,FALSE),0)</f>
        <v>54223862.645839565</v>
      </c>
      <c r="Y1214" s="246">
        <f>IFERROR(VLOOKUP(K1214,PROGRAMAS[],2,FALSE),0)</f>
        <v>7068496961.0436354</v>
      </c>
      <c r="Z1214" s="246">
        <f>IFERROR(VLOOKUP(L1214,PROGRAMAS[],2,FALSE),0)</f>
        <v>1892779498.5211046</v>
      </c>
      <c r="AA1214" s="246">
        <f>IFERROR(VLOOKUP(M1214,PROGRAMAS[],2,FALSE),0)</f>
        <v>0</v>
      </c>
      <c r="AB1214" s="246">
        <f>IFERROR(VLOOKUP(N1214,PROGRAMAS[],2,FALSE),0)</f>
        <v>0</v>
      </c>
      <c r="AC1214" s="246">
        <f>IFERROR(VLOOKUP(O1214,PROGRAMAS[],2,FALSE),0)</f>
        <v>0</v>
      </c>
      <c r="AD1214" s="246">
        <f>IFERROR(VLOOKUP(P1214,PROGRAMAS[],2,FALSE),0)</f>
        <v>0</v>
      </c>
      <c r="AE1214" s="246">
        <f>IFERROR(VLOOKUP(Q1214,PROGRAMAS[],2,FALSE),0)</f>
        <v>0</v>
      </c>
      <c r="AF1214" s="246">
        <f>IFERROR(VLOOKUP(D1214,PROGRAMAS[],3,FALSE),0)</f>
        <v>841888629.31080008</v>
      </c>
      <c r="AG1214" s="246">
        <f>IFERROR(VLOOKUP(E1214,PROGRAMAS[],3,FALSE),0)</f>
        <v>3848980803.1642323</v>
      </c>
      <c r="AH1214" s="246">
        <f>IFERROR(VLOOKUP(F1214,PROGRAMAS[],3,FALSE),0)</f>
        <v>3394901471.387517</v>
      </c>
      <c r="AI1214" s="246">
        <f>IFERROR(VLOOKUP(G1214,PROGRAMAS[],3,FALSE),0)</f>
        <v>125317226.95549992</v>
      </c>
      <c r="AJ1214" s="246">
        <f>IFERROR(VLOOKUP(H1214,PROGRAMAS[],3,FALSE),0)</f>
        <v>6129902208.7912121</v>
      </c>
      <c r="AK1214" s="246">
        <f>IFERROR(VLOOKUP(I1214,PROGRAMAS[],3,FALSE),0)</f>
        <v>675517840.109828</v>
      </c>
      <c r="AL1214" s="246">
        <f>IFERROR(VLOOKUP(J1214,PROGRAMAS[],3,FALSE),0)</f>
        <v>31865326.38096505</v>
      </c>
      <c r="AM1214" s="246">
        <f>IFERROR(VLOOKUP(K1214,PROGRAMAS[],3,FALSE),0)</f>
        <v>2406564599.0319901</v>
      </c>
      <c r="AN1214" s="246">
        <f>IFERROR(VLOOKUP(L1214,PROGRAMAS[],3,FALSE),0)</f>
        <v>948595847.09039903</v>
      </c>
      <c r="AO1214" s="246">
        <f>IFERROR(VLOOKUP(M1214,PROGRAMAS[],3,FALSE),0)</f>
        <v>0</v>
      </c>
      <c r="AP1214" s="246">
        <f>IFERROR(VLOOKUP(N1214,PROGRAMAS[],3,FALSE),0)</f>
        <v>0</v>
      </c>
      <c r="AQ1214" s="246">
        <f>IFERROR(VLOOKUP(O1214,PROGRAMAS[],3,FALSE),0)</f>
        <v>0</v>
      </c>
      <c r="AR1214" s="246">
        <f>IFERROR(VLOOKUP(P1214,PROGRAMAS[],3,FALSE),0)</f>
        <v>0</v>
      </c>
      <c r="AS1214" s="246">
        <f>IFERROR(VLOOKUP(Q1214,PROGRAMAS[],3,FALSE),0)</f>
        <v>0</v>
      </c>
      <c r="AT1214" s="246">
        <f>IFERROR(VLOOKUP(D1214,VOL_REC[],2,FALSE),0)</f>
        <v>0</v>
      </c>
      <c r="AU1214" s="246">
        <f>IFERROR(VLOOKUP(E1214,VOL_REC[],2,FALSE),0)</f>
        <v>0</v>
      </c>
      <c r="AV1214" s="246">
        <f>IFERROR(VLOOKUP(F1214,VOL_REC[],2,FALSE),0)</f>
        <v>11089674.200000001</v>
      </c>
      <c r="AW1214" s="246">
        <f>IFERROR(VLOOKUP(G1214,VOL_REC[],2,FALSE),0)</f>
        <v>90439.55</v>
      </c>
      <c r="AX1214" s="246">
        <f>IFERROR(VLOOKUP(H1214,VOL_REC[],2,FALSE),0)</f>
        <v>15540036.397699751</v>
      </c>
      <c r="AY1214" s="246">
        <f>IFERROR(VLOOKUP(I1214,VOL_REC[],2,FALSE),0)</f>
        <v>240696.79238099116</v>
      </c>
      <c r="AZ1214" s="246">
        <f>IFERROR(VLOOKUP(J1214,VOL_REC[],2,FALSE),0)</f>
        <v>17074.045034105649</v>
      </c>
      <c r="BA1214" s="246">
        <f>IFERROR(VLOOKUP(K1214,VOL_REC[],2,FALSE),0)</f>
        <v>1072354.9981737854</v>
      </c>
      <c r="BB1214" s="246">
        <f>IFERROR(VLOOKUP(L1214,VOL_REC[],2,FALSE),0)</f>
        <v>740113.98115702497</v>
      </c>
      <c r="BC1214" s="246">
        <f>IFERROR(VLOOKUP(M1214,VOL_REC[],2,FALSE),0)</f>
        <v>0</v>
      </c>
      <c r="BD1214" s="246">
        <f>IFERROR(VLOOKUP(N1214,VOL_REC[],2,FALSE),0)</f>
        <v>0</v>
      </c>
      <c r="BE1214" s="246">
        <f>IFERROR(VLOOKUP(O1214,VOL_REC[],2,FALSE),0)</f>
        <v>0</v>
      </c>
      <c r="BF1214" s="246">
        <f>IFERROR(VLOOKUP(P1214,VOL_REC[],2,FALSE),0)</f>
        <v>0</v>
      </c>
      <c r="BG1214" s="246">
        <f>IFERROR(VLOOKUP(Q1214,VOL_REC[],2,FALSE),0)</f>
        <v>0</v>
      </c>
      <c r="BH1214" s="1710">
        <f t="shared" si="72"/>
        <v>20555509688.401447</v>
      </c>
      <c r="BI1214" s="1710">
        <f t="shared" si="73"/>
        <v>18403533952.222443</v>
      </c>
      <c r="BJ1214" s="1711">
        <f t="shared" si="74"/>
        <v>28790389.964445658</v>
      </c>
      <c r="BK1214" s="1711">
        <f t="shared" si="75"/>
        <v>1.1169327446438149</v>
      </c>
      <c r="BL1214">
        <f>BJ1214</f>
        <v>28790389.964445658</v>
      </c>
      <c r="BO1214">
        <f>BL1214</f>
        <v>28790389.964445658</v>
      </c>
    </row>
    <row r="1215" spans="3:67" x14ac:dyDescent="0.25">
      <c r="C1215" s="246" t="s">
        <v>2565</v>
      </c>
      <c r="D1215" s="246">
        <v>1</v>
      </c>
      <c r="E1215" s="246">
        <v>2</v>
      </c>
      <c r="F1215" s="246">
        <v>3</v>
      </c>
      <c r="G1215" s="246">
        <v>4</v>
      </c>
      <c r="H1215" s="246">
        <v>6</v>
      </c>
      <c r="I1215" s="246">
        <v>12</v>
      </c>
      <c r="J1215" s="246">
        <v>15</v>
      </c>
      <c r="K1215" s="246">
        <v>16</v>
      </c>
      <c r="L1215" s="246">
        <v>17</v>
      </c>
      <c r="M1215" s="246"/>
      <c r="N1215" s="246"/>
      <c r="O1215" s="246"/>
      <c r="P1215" s="246"/>
      <c r="Q1215" s="246"/>
      <c r="R1215" s="246">
        <f>IFERROR(VLOOKUP(D1215,PROGRAMAS[],2,FALSE),0)</f>
        <v>97037803.679377079</v>
      </c>
      <c r="S1215" s="246">
        <f>IFERROR(VLOOKUP(E1215,PROGRAMAS[],2,FALSE),0)</f>
        <v>640501509.6821388</v>
      </c>
      <c r="T1215" s="246">
        <f>IFERROR(VLOOKUP(F1215,PROGRAMAS[],2,FALSE),0)</f>
        <v>3062327798.1525245</v>
      </c>
      <c r="U1215" s="246">
        <f>IFERROR(VLOOKUP(G1215,PROGRAMAS[],2,FALSE),0)</f>
        <v>67697118.033011258</v>
      </c>
      <c r="V1215" s="246">
        <f>IFERROR(VLOOKUP(H1215,PROGRAMAS[],2,FALSE),0)</f>
        <v>6907648435.8447599</v>
      </c>
      <c r="W1215" s="246">
        <f>IFERROR(VLOOKUP(I1215,PROGRAMAS[],2,FALSE),0)</f>
        <v>764796700.79905891</v>
      </c>
      <c r="X1215" s="246">
        <f>IFERROR(VLOOKUP(J1215,PROGRAMAS[],2,FALSE),0)</f>
        <v>122159672.96346797</v>
      </c>
      <c r="Y1215" s="246">
        <f>IFERROR(VLOOKUP(K1215,PROGRAMAS[],2,FALSE),0)</f>
        <v>7068496961.0436354</v>
      </c>
      <c r="Z1215" s="246">
        <f>IFERROR(VLOOKUP(L1215,PROGRAMAS[],2,FALSE),0)</f>
        <v>1892779498.5211046</v>
      </c>
      <c r="AA1215" s="246">
        <f>IFERROR(VLOOKUP(M1215,PROGRAMAS[],2,FALSE),0)</f>
        <v>0</v>
      </c>
      <c r="AB1215" s="246">
        <f>IFERROR(VLOOKUP(N1215,PROGRAMAS[],2,FALSE),0)</f>
        <v>0</v>
      </c>
      <c r="AC1215" s="246">
        <f>IFERROR(VLOOKUP(O1215,PROGRAMAS[],2,FALSE),0)</f>
        <v>0</v>
      </c>
      <c r="AD1215" s="246">
        <f>IFERROR(VLOOKUP(P1215,PROGRAMAS[],2,FALSE),0)</f>
        <v>0</v>
      </c>
      <c r="AE1215" s="246">
        <f>IFERROR(VLOOKUP(Q1215,PROGRAMAS[],2,FALSE),0)</f>
        <v>0</v>
      </c>
      <c r="AF1215" s="246">
        <f>IFERROR(VLOOKUP(D1215,PROGRAMAS[],3,FALSE),0)</f>
        <v>841888629.31080008</v>
      </c>
      <c r="AG1215" s="246">
        <f>IFERROR(VLOOKUP(E1215,PROGRAMAS[],3,FALSE),0)</f>
        <v>3848980803.1642323</v>
      </c>
      <c r="AH1215" s="246">
        <f>IFERROR(VLOOKUP(F1215,PROGRAMAS[],3,FALSE),0)</f>
        <v>3394901471.387517</v>
      </c>
      <c r="AI1215" s="246">
        <f>IFERROR(VLOOKUP(G1215,PROGRAMAS[],3,FALSE),0)</f>
        <v>125317226.95549992</v>
      </c>
      <c r="AJ1215" s="246">
        <f>IFERROR(VLOOKUP(H1215,PROGRAMAS[],3,FALSE),0)</f>
        <v>6129902208.7912121</v>
      </c>
      <c r="AK1215" s="246">
        <f>IFERROR(VLOOKUP(I1215,PROGRAMAS[],3,FALSE),0)</f>
        <v>675517840.109828</v>
      </c>
      <c r="AL1215" s="246">
        <f>IFERROR(VLOOKUP(J1215,PROGRAMAS[],3,FALSE),0)</f>
        <v>118617452.52510804</v>
      </c>
      <c r="AM1215" s="246">
        <f>IFERROR(VLOOKUP(K1215,PROGRAMAS[],3,FALSE),0)</f>
        <v>2406564599.0319901</v>
      </c>
      <c r="AN1215" s="246">
        <f>IFERROR(VLOOKUP(L1215,PROGRAMAS[],3,FALSE),0)</f>
        <v>948595847.09039903</v>
      </c>
      <c r="AO1215" s="246">
        <f>IFERROR(VLOOKUP(M1215,PROGRAMAS[],3,FALSE),0)</f>
        <v>0</v>
      </c>
      <c r="AP1215" s="246">
        <f>IFERROR(VLOOKUP(N1215,PROGRAMAS[],3,FALSE),0)</f>
        <v>0</v>
      </c>
      <c r="AQ1215" s="246">
        <f>IFERROR(VLOOKUP(O1215,PROGRAMAS[],3,FALSE),0)</f>
        <v>0</v>
      </c>
      <c r="AR1215" s="246">
        <f>IFERROR(VLOOKUP(P1215,PROGRAMAS[],3,FALSE),0)</f>
        <v>0</v>
      </c>
      <c r="AS1215" s="246">
        <f>IFERROR(VLOOKUP(Q1215,PROGRAMAS[],3,FALSE),0)</f>
        <v>0</v>
      </c>
      <c r="AT1215" s="246">
        <f>IFERROR(VLOOKUP(D1215,VOL_REC[],2,FALSE),0)</f>
        <v>0</v>
      </c>
      <c r="AU1215" s="246">
        <f>IFERROR(VLOOKUP(E1215,VOL_REC[],2,FALSE),0)</f>
        <v>0</v>
      </c>
      <c r="AV1215" s="246">
        <f>IFERROR(VLOOKUP(F1215,VOL_REC[],2,FALSE),0)</f>
        <v>11089674.200000001</v>
      </c>
      <c r="AW1215" s="246">
        <f>IFERROR(VLOOKUP(G1215,VOL_REC[],2,FALSE),0)</f>
        <v>90439.55</v>
      </c>
      <c r="AX1215" s="246">
        <f>IFERROR(VLOOKUP(H1215,VOL_REC[],2,FALSE),0)</f>
        <v>15540036.397699751</v>
      </c>
      <c r="AY1215" s="246">
        <f>IFERROR(VLOOKUP(I1215,VOL_REC[],2,FALSE),0)</f>
        <v>240696.79238099116</v>
      </c>
      <c r="AZ1215" s="246">
        <f>IFERROR(VLOOKUP(J1215,VOL_REC[],2,FALSE),0)</f>
        <v>105072</v>
      </c>
      <c r="BA1215" s="246">
        <f>IFERROR(VLOOKUP(K1215,VOL_REC[],2,FALSE),0)</f>
        <v>1072354.9981737854</v>
      </c>
      <c r="BB1215" s="246">
        <f>IFERROR(VLOOKUP(L1215,VOL_REC[],2,FALSE),0)</f>
        <v>740113.98115702497</v>
      </c>
      <c r="BC1215" s="246">
        <f>IFERROR(VLOOKUP(M1215,VOL_REC[],2,FALSE),0)</f>
        <v>0</v>
      </c>
      <c r="BD1215" s="246">
        <f>IFERROR(VLOOKUP(N1215,VOL_REC[],2,FALSE),0)</f>
        <v>0</v>
      </c>
      <c r="BE1215" s="246">
        <f>IFERROR(VLOOKUP(O1215,VOL_REC[],2,FALSE),0)</f>
        <v>0</v>
      </c>
      <c r="BF1215" s="246">
        <f>IFERROR(VLOOKUP(P1215,VOL_REC[],2,FALSE),0)</f>
        <v>0</v>
      </c>
      <c r="BG1215" s="246">
        <f>IFERROR(VLOOKUP(Q1215,VOL_REC[],2,FALSE),0)</f>
        <v>0</v>
      </c>
      <c r="BH1215" s="1710">
        <f t="shared" si="72"/>
        <v>20623445498.719078</v>
      </c>
      <c r="BI1215" s="1710">
        <f t="shared" si="73"/>
        <v>18490286078.366589</v>
      </c>
      <c r="BJ1215" s="1711">
        <f t="shared" si="74"/>
        <v>28878387.919411551</v>
      </c>
      <c r="BK1215" s="1711">
        <f t="shared" si="75"/>
        <v>1.1153664908867074</v>
      </c>
      <c r="BL1215">
        <f>BJ1215</f>
        <v>28878387.919411551</v>
      </c>
      <c r="BO1215">
        <f>BL1215</f>
        <v>28878387.919411551</v>
      </c>
    </row>
    <row r="1216" spans="3:67" x14ac:dyDescent="0.25">
      <c r="C1216" s="246" t="s">
        <v>2566</v>
      </c>
      <c r="D1216" s="246">
        <v>1</v>
      </c>
      <c r="E1216" s="246">
        <v>2</v>
      </c>
      <c r="F1216" s="246">
        <v>3</v>
      </c>
      <c r="G1216" s="246">
        <v>4</v>
      </c>
      <c r="H1216" s="246">
        <v>6</v>
      </c>
      <c r="I1216" s="246">
        <v>13</v>
      </c>
      <c r="J1216" s="246">
        <v>14</v>
      </c>
      <c r="K1216" s="246">
        <v>15</v>
      </c>
      <c r="L1216" s="246">
        <v>16</v>
      </c>
      <c r="M1216" s="246"/>
      <c r="N1216" s="246"/>
      <c r="O1216" s="246"/>
      <c r="P1216" s="246"/>
      <c r="Q1216" s="246"/>
      <c r="R1216" s="246">
        <f>IFERROR(VLOOKUP(D1216,PROGRAMAS[],2,FALSE),0)</f>
        <v>97037803.679377079</v>
      </c>
      <c r="S1216" s="246">
        <f>IFERROR(VLOOKUP(E1216,PROGRAMAS[],2,FALSE),0)</f>
        <v>640501509.6821388</v>
      </c>
      <c r="T1216" s="246">
        <f>IFERROR(VLOOKUP(F1216,PROGRAMAS[],2,FALSE),0)</f>
        <v>3062327798.1525245</v>
      </c>
      <c r="U1216" s="246">
        <f>IFERROR(VLOOKUP(G1216,PROGRAMAS[],2,FALSE),0)</f>
        <v>67697118.033011258</v>
      </c>
      <c r="V1216" s="246">
        <f>IFERROR(VLOOKUP(H1216,PROGRAMAS[],2,FALSE),0)</f>
        <v>6907648435.8447599</v>
      </c>
      <c r="W1216" s="246">
        <f>IFERROR(VLOOKUP(I1216,PROGRAMAS[],2,FALSE),0)</f>
        <v>3776538594.4604583</v>
      </c>
      <c r="X1216" s="246">
        <f>IFERROR(VLOOKUP(J1216,PROGRAMAS[],2,FALSE),0)</f>
        <v>54223862.645839565</v>
      </c>
      <c r="Y1216" s="246">
        <f>IFERROR(VLOOKUP(K1216,PROGRAMAS[],2,FALSE),0)</f>
        <v>122159672.96346797</v>
      </c>
      <c r="Z1216" s="246">
        <f>IFERROR(VLOOKUP(L1216,PROGRAMAS[],2,FALSE),0)</f>
        <v>7068496961.0436354</v>
      </c>
      <c r="AA1216" s="246">
        <f>IFERROR(VLOOKUP(M1216,PROGRAMAS[],2,FALSE),0)</f>
        <v>0</v>
      </c>
      <c r="AB1216" s="246">
        <f>IFERROR(VLOOKUP(N1216,PROGRAMAS[],2,FALSE),0)</f>
        <v>0</v>
      </c>
      <c r="AC1216" s="246">
        <f>IFERROR(VLOOKUP(O1216,PROGRAMAS[],2,FALSE),0)</f>
        <v>0</v>
      </c>
      <c r="AD1216" s="246">
        <f>IFERROR(VLOOKUP(P1216,PROGRAMAS[],2,FALSE),0)</f>
        <v>0</v>
      </c>
      <c r="AE1216" s="246">
        <f>IFERROR(VLOOKUP(Q1216,PROGRAMAS[],2,FALSE),0)</f>
        <v>0</v>
      </c>
      <c r="AF1216" s="246">
        <f>IFERROR(VLOOKUP(D1216,PROGRAMAS[],3,FALSE),0)</f>
        <v>841888629.31080008</v>
      </c>
      <c r="AG1216" s="246">
        <f>IFERROR(VLOOKUP(E1216,PROGRAMAS[],3,FALSE),0)</f>
        <v>3848980803.1642323</v>
      </c>
      <c r="AH1216" s="246">
        <f>IFERROR(VLOOKUP(F1216,PROGRAMAS[],3,FALSE),0)</f>
        <v>3394901471.387517</v>
      </c>
      <c r="AI1216" s="246">
        <f>IFERROR(VLOOKUP(G1216,PROGRAMAS[],3,FALSE),0)</f>
        <v>125317226.95549992</v>
      </c>
      <c r="AJ1216" s="246">
        <f>IFERROR(VLOOKUP(H1216,PROGRAMAS[],3,FALSE),0)</f>
        <v>6129902208.7912121</v>
      </c>
      <c r="AK1216" s="246">
        <f>IFERROR(VLOOKUP(I1216,PROGRAMAS[],3,FALSE),0)</f>
        <v>2392571243.5584412</v>
      </c>
      <c r="AL1216" s="246">
        <f>IFERROR(VLOOKUP(J1216,PROGRAMAS[],3,FALSE),0)</f>
        <v>31865326.38096505</v>
      </c>
      <c r="AM1216" s="246">
        <f>IFERROR(VLOOKUP(K1216,PROGRAMAS[],3,FALSE),0)</f>
        <v>118617452.52510804</v>
      </c>
      <c r="AN1216" s="246">
        <f>IFERROR(VLOOKUP(L1216,PROGRAMAS[],3,FALSE),0)</f>
        <v>2406564599.0319901</v>
      </c>
      <c r="AO1216" s="246">
        <f>IFERROR(VLOOKUP(M1216,PROGRAMAS[],3,FALSE),0)</f>
        <v>0</v>
      </c>
      <c r="AP1216" s="246">
        <f>IFERROR(VLOOKUP(N1216,PROGRAMAS[],3,FALSE),0)</f>
        <v>0</v>
      </c>
      <c r="AQ1216" s="246">
        <f>IFERROR(VLOOKUP(O1216,PROGRAMAS[],3,FALSE),0)</f>
        <v>0</v>
      </c>
      <c r="AR1216" s="246">
        <f>IFERROR(VLOOKUP(P1216,PROGRAMAS[],3,FALSE),0)</f>
        <v>0</v>
      </c>
      <c r="AS1216" s="246">
        <f>IFERROR(VLOOKUP(Q1216,PROGRAMAS[],3,FALSE),0)</f>
        <v>0</v>
      </c>
      <c r="AT1216" s="246">
        <f>IFERROR(VLOOKUP(D1216,VOL_REC[],2,FALSE),0)</f>
        <v>0</v>
      </c>
      <c r="AU1216" s="246">
        <f>IFERROR(VLOOKUP(E1216,VOL_REC[],2,FALSE),0)</f>
        <v>0</v>
      </c>
      <c r="AV1216" s="246">
        <f>IFERROR(VLOOKUP(F1216,VOL_REC[],2,FALSE),0)</f>
        <v>11089674.200000001</v>
      </c>
      <c r="AW1216" s="246">
        <f>IFERROR(VLOOKUP(G1216,VOL_REC[],2,FALSE),0)</f>
        <v>90439.55</v>
      </c>
      <c r="AX1216" s="246">
        <f>IFERROR(VLOOKUP(H1216,VOL_REC[],2,FALSE),0)</f>
        <v>15540036.397699751</v>
      </c>
      <c r="AY1216" s="246">
        <f>IFERROR(VLOOKUP(I1216,VOL_REC[],2,FALSE),0)</f>
        <v>663244.80000000016</v>
      </c>
      <c r="AZ1216" s="246">
        <f>IFERROR(VLOOKUP(J1216,VOL_REC[],2,FALSE),0)</f>
        <v>17074.045034105649</v>
      </c>
      <c r="BA1216" s="246">
        <f>IFERROR(VLOOKUP(K1216,VOL_REC[],2,FALSE),0)</f>
        <v>105072</v>
      </c>
      <c r="BB1216" s="246">
        <f>IFERROR(VLOOKUP(L1216,VOL_REC[],2,FALSE),0)</f>
        <v>1072354.9981737854</v>
      </c>
      <c r="BC1216" s="246">
        <f>IFERROR(VLOOKUP(M1216,VOL_REC[],2,FALSE),0)</f>
        <v>0</v>
      </c>
      <c r="BD1216" s="246">
        <f>IFERROR(VLOOKUP(N1216,VOL_REC[],2,FALSE),0)</f>
        <v>0</v>
      </c>
      <c r="BE1216" s="246">
        <f>IFERROR(VLOOKUP(O1216,VOL_REC[],2,FALSE),0)</f>
        <v>0</v>
      </c>
      <c r="BF1216" s="246">
        <f>IFERROR(VLOOKUP(P1216,VOL_REC[],2,FALSE),0)</f>
        <v>0</v>
      </c>
      <c r="BG1216" s="246">
        <f>IFERROR(VLOOKUP(Q1216,VOL_REC[],2,FALSE),0)</f>
        <v>0</v>
      </c>
      <c r="BH1216" s="1710">
        <f t="shared" si="72"/>
        <v>21796631756.505215</v>
      </c>
      <c r="BI1216" s="1710">
        <f t="shared" si="73"/>
        <v>19290608961.105766</v>
      </c>
      <c r="BJ1216" s="1711">
        <f t="shared" si="74"/>
        <v>28577895.990907643</v>
      </c>
      <c r="BK1216" s="1711">
        <f t="shared" si="75"/>
        <v>1.1299089520943666</v>
      </c>
      <c r="BL1216">
        <f>BJ1216</f>
        <v>28577895.990907643</v>
      </c>
      <c r="BO1216">
        <f>BL1216</f>
        <v>28577895.990907643</v>
      </c>
    </row>
    <row r="1217" spans="3:67" x14ac:dyDescent="0.25">
      <c r="C1217" s="246" t="s">
        <v>2567</v>
      </c>
      <c r="D1217" s="246">
        <v>1</v>
      </c>
      <c r="E1217" s="246">
        <v>2</v>
      </c>
      <c r="F1217" s="246">
        <v>3</v>
      </c>
      <c r="G1217" s="246">
        <v>4</v>
      </c>
      <c r="H1217" s="246">
        <v>6</v>
      </c>
      <c r="I1217" s="246">
        <v>13</v>
      </c>
      <c r="J1217" s="246">
        <v>14</v>
      </c>
      <c r="K1217" s="246">
        <v>15</v>
      </c>
      <c r="L1217" s="246">
        <v>17</v>
      </c>
      <c r="M1217" s="246"/>
      <c r="N1217" s="246"/>
      <c r="O1217" s="246"/>
      <c r="P1217" s="246"/>
      <c r="Q1217" s="246"/>
      <c r="R1217" s="246">
        <f>IFERROR(VLOOKUP(D1217,PROGRAMAS[],2,FALSE),0)</f>
        <v>97037803.679377079</v>
      </c>
      <c r="S1217" s="246">
        <f>IFERROR(VLOOKUP(E1217,PROGRAMAS[],2,FALSE),0)</f>
        <v>640501509.6821388</v>
      </c>
      <c r="T1217" s="246">
        <f>IFERROR(VLOOKUP(F1217,PROGRAMAS[],2,FALSE),0)</f>
        <v>3062327798.1525245</v>
      </c>
      <c r="U1217" s="246">
        <f>IFERROR(VLOOKUP(G1217,PROGRAMAS[],2,FALSE),0)</f>
        <v>67697118.033011258</v>
      </c>
      <c r="V1217" s="246">
        <f>IFERROR(VLOOKUP(H1217,PROGRAMAS[],2,FALSE),0)</f>
        <v>6907648435.8447599</v>
      </c>
      <c r="W1217" s="246">
        <f>IFERROR(VLOOKUP(I1217,PROGRAMAS[],2,FALSE),0)</f>
        <v>3776538594.4604583</v>
      </c>
      <c r="X1217" s="246">
        <f>IFERROR(VLOOKUP(J1217,PROGRAMAS[],2,FALSE),0)</f>
        <v>54223862.645839565</v>
      </c>
      <c r="Y1217" s="246">
        <f>IFERROR(VLOOKUP(K1217,PROGRAMAS[],2,FALSE),0)</f>
        <v>122159672.96346797</v>
      </c>
      <c r="Z1217" s="246">
        <f>IFERROR(VLOOKUP(L1217,PROGRAMAS[],2,FALSE),0)</f>
        <v>1892779498.5211046</v>
      </c>
      <c r="AA1217" s="246">
        <f>IFERROR(VLOOKUP(M1217,PROGRAMAS[],2,FALSE),0)</f>
        <v>0</v>
      </c>
      <c r="AB1217" s="246">
        <f>IFERROR(VLOOKUP(N1217,PROGRAMAS[],2,FALSE),0)</f>
        <v>0</v>
      </c>
      <c r="AC1217" s="246">
        <f>IFERROR(VLOOKUP(O1217,PROGRAMAS[],2,FALSE),0)</f>
        <v>0</v>
      </c>
      <c r="AD1217" s="246">
        <f>IFERROR(VLOOKUP(P1217,PROGRAMAS[],2,FALSE),0)</f>
        <v>0</v>
      </c>
      <c r="AE1217" s="246">
        <f>IFERROR(VLOOKUP(Q1217,PROGRAMAS[],2,FALSE),0)</f>
        <v>0</v>
      </c>
      <c r="AF1217" s="246">
        <f>IFERROR(VLOOKUP(D1217,PROGRAMAS[],3,FALSE),0)</f>
        <v>841888629.31080008</v>
      </c>
      <c r="AG1217" s="246">
        <f>IFERROR(VLOOKUP(E1217,PROGRAMAS[],3,FALSE),0)</f>
        <v>3848980803.1642323</v>
      </c>
      <c r="AH1217" s="246">
        <f>IFERROR(VLOOKUP(F1217,PROGRAMAS[],3,FALSE),0)</f>
        <v>3394901471.387517</v>
      </c>
      <c r="AI1217" s="246">
        <f>IFERROR(VLOOKUP(G1217,PROGRAMAS[],3,FALSE),0)</f>
        <v>125317226.95549992</v>
      </c>
      <c r="AJ1217" s="246">
        <f>IFERROR(VLOOKUP(H1217,PROGRAMAS[],3,FALSE),0)</f>
        <v>6129902208.7912121</v>
      </c>
      <c r="AK1217" s="246">
        <f>IFERROR(VLOOKUP(I1217,PROGRAMAS[],3,FALSE),0)</f>
        <v>2392571243.5584412</v>
      </c>
      <c r="AL1217" s="246">
        <f>IFERROR(VLOOKUP(J1217,PROGRAMAS[],3,FALSE),0)</f>
        <v>31865326.38096505</v>
      </c>
      <c r="AM1217" s="246">
        <f>IFERROR(VLOOKUP(K1217,PROGRAMAS[],3,FALSE),0)</f>
        <v>118617452.52510804</v>
      </c>
      <c r="AN1217" s="246">
        <f>IFERROR(VLOOKUP(L1217,PROGRAMAS[],3,FALSE),0)</f>
        <v>948595847.09039903</v>
      </c>
      <c r="AO1217" s="246">
        <f>IFERROR(VLOOKUP(M1217,PROGRAMAS[],3,FALSE),0)</f>
        <v>0</v>
      </c>
      <c r="AP1217" s="246">
        <f>IFERROR(VLOOKUP(N1217,PROGRAMAS[],3,FALSE),0)</f>
        <v>0</v>
      </c>
      <c r="AQ1217" s="246">
        <f>IFERROR(VLOOKUP(O1217,PROGRAMAS[],3,FALSE),0)</f>
        <v>0</v>
      </c>
      <c r="AR1217" s="246">
        <f>IFERROR(VLOOKUP(P1217,PROGRAMAS[],3,FALSE),0)</f>
        <v>0</v>
      </c>
      <c r="AS1217" s="246">
        <f>IFERROR(VLOOKUP(Q1217,PROGRAMAS[],3,FALSE),0)</f>
        <v>0</v>
      </c>
      <c r="AT1217" s="246">
        <f>IFERROR(VLOOKUP(D1217,VOL_REC[],2,FALSE),0)</f>
        <v>0</v>
      </c>
      <c r="AU1217" s="246">
        <f>IFERROR(VLOOKUP(E1217,VOL_REC[],2,FALSE),0)</f>
        <v>0</v>
      </c>
      <c r="AV1217" s="246">
        <f>IFERROR(VLOOKUP(F1217,VOL_REC[],2,FALSE),0)</f>
        <v>11089674.200000001</v>
      </c>
      <c r="AW1217" s="246">
        <f>IFERROR(VLOOKUP(G1217,VOL_REC[],2,FALSE),0)</f>
        <v>90439.55</v>
      </c>
      <c r="AX1217" s="246">
        <f>IFERROR(VLOOKUP(H1217,VOL_REC[],2,FALSE),0)</f>
        <v>15540036.397699751</v>
      </c>
      <c r="AY1217" s="246">
        <f>IFERROR(VLOOKUP(I1217,VOL_REC[],2,FALSE),0)</f>
        <v>663244.80000000016</v>
      </c>
      <c r="AZ1217" s="246">
        <f>IFERROR(VLOOKUP(J1217,VOL_REC[],2,FALSE),0)</f>
        <v>17074.045034105649</v>
      </c>
      <c r="BA1217" s="246">
        <f>IFERROR(VLOOKUP(K1217,VOL_REC[],2,FALSE),0)</f>
        <v>105072</v>
      </c>
      <c r="BB1217" s="246">
        <f>IFERROR(VLOOKUP(L1217,VOL_REC[],2,FALSE),0)</f>
        <v>740113.98115702497</v>
      </c>
      <c r="BC1217" s="246">
        <f>IFERROR(VLOOKUP(M1217,VOL_REC[],2,FALSE),0)</f>
        <v>0</v>
      </c>
      <c r="BD1217" s="246">
        <f>IFERROR(VLOOKUP(N1217,VOL_REC[],2,FALSE),0)</f>
        <v>0</v>
      </c>
      <c r="BE1217" s="246">
        <f>IFERROR(VLOOKUP(O1217,VOL_REC[],2,FALSE),0)</f>
        <v>0</v>
      </c>
      <c r="BF1217" s="246">
        <f>IFERROR(VLOOKUP(P1217,VOL_REC[],2,FALSE),0)</f>
        <v>0</v>
      </c>
      <c r="BG1217" s="246">
        <f>IFERROR(VLOOKUP(Q1217,VOL_REC[],2,FALSE),0)</f>
        <v>0</v>
      </c>
      <c r="BH1217" s="1710">
        <f t="shared" si="72"/>
        <v>16620914293.982683</v>
      </c>
      <c r="BI1217" s="1710">
        <f t="shared" si="73"/>
        <v>17832640209.164173</v>
      </c>
      <c r="BJ1217" s="1711">
        <f t="shared" si="74"/>
        <v>28245654.973890882</v>
      </c>
      <c r="BK1217" s="1711">
        <f t="shared" si="75"/>
        <v>0.93205011142664196</v>
      </c>
    </row>
    <row r="1218" spans="3:67" x14ac:dyDescent="0.25">
      <c r="C1218" s="246" t="s">
        <v>2568</v>
      </c>
      <c r="D1218" s="246">
        <v>1</v>
      </c>
      <c r="E1218" s="246">
        <v>2</v>
      </c>
      <c r="F1218" s="246">
        <v>3</v>
      </c>
      <c r="G1218" s="246">
        <v>4</v>
      </c>
      <c r="H1218" s="246">
        <v>6</v>
      </c>
      <c r="I1218" s="246">
        <v>13</v>
      </c>
      <c r="J1218" s="246">
        <v>14</v>
      </c>
      <c r="K1218" s="246">
        <v>16</v>
      </c>
      <c r="L1218" s="246">
        <v>17</v>
      </c>
      <c r="M1218" s="246"/>
      <c r="N1218" s="246"/>
      <c r="O1218" s="246"/>
      <c r="P1218" s="246"/>
      <c r="Q1218" s="246"/>
      <c r="R1218" s="246">
        <f>IFERROR(VLOOKUP(D1218,PROGRAMAS[],2,FALSE),0)</f>
        <v>97037803.679377079</v>
      </c>
      <c r="S1218" s="246">
        <f>IFERROR(VLOOKUP(E1218,PROGRAMAS[],2,FALSE),0)</f>
        <v>640501509.6821388</v>
      </c>
      <c r="T1218" s="246">
        <f>IFERROR(VLOOKUP(F1218,PROGRAMAS[],2,FALSE),0)</f>
        <v>3062327798.1525245</v>
      </c>
      <c r="U1218" s="246">
        <f>IFERROR(VLOOKUP(G1218,PROGRAMAS[],2,FALSE),0)</f>
        <v>67697118.033011258</v>
      </c>
      <c r="V1218" s="246">
        <f>IFERROR(VLOOKUP(H1218,PROGRAMAS[],2,FALSE),0)</f>
        <v>6907648435.8447599</v>
      </c>
      <c r="W1218" s="246">
        <f>IFERROR(VLOOKUP(I1218,PROGRAMAS[],2,FALSE),0)</f>
        <v>3776538594.4604583</v>
      </c>
      <c r="X1218" s="246">
        <f>IFERROR(VLOOKUP(J1218,PROGRAMAS[],2,FALSE),0)</f>
        <v>54223862.645839565</v>
      </c>
      <c r="Y1218" s="246">
        <f>IFERROR(VLOOKUP(K1218,PROGRAMAS[],2,FALSE),0)</f>
        <v>7068496961.0436354</v>
      </c>
      <c r="Z1218" s="246">
        <f>IFERROR(VLOOKUP(L1218,PROGRAMAS[],2,FALSE),0)</f>
        <v>1892779498.5211046</v>
      </c>
      <c r="AA1218" s="246">
        <f>IFERROR(VLOOKUP(M1218,PROGRAMAS[],2,FALSE),0)</f>
        <v>0</v>
      </c>
      <c r="AB1218" s="246">
        <f>IFERROR(VLOOKUP(N1218,PROGRAMAS[],2,FALSE),0)</f>
        <v>0</v>
      </c>
      <c r="AC1218" s="246">
        <f>IFERROR(VLOOKUP(O1218,PROGRAMAS[],2,FALSE),0)</f>
        <v>0</v>
      </c>
      <c r="AD1218" s="246">
        <f>IFERROR(VLOOKUP(P1218,PROGRAMAS[],2,FALSE),0)</f>
        <v>0</v>
      </c>
      <c r="AE1218" s="246">
        <f>IFERROR(VLOOKUP(Q1218,PROGRAMAS[],2,FALSE),0)</f>
        <v>0</v>
      </c>
      <c r="AF1218" s="246">
        <f>IFERROR(VLOOKUP(D1218,PROGRAMAS[],3,FALSE),0)</f>
        <v>841888629.31080008</v>
      </c>
      <c r="AG1218" s="246">
        <f>IFERROR(VLOOKUP(E1218,PROGRAMAS[],3,FALSE),0)</f>
        <v>3848980803.1642323</v>
      </c>
      <c r="AH1218" s="246">
        <f>IFERROR(VLOOKUP(F1218,PROGRAMAS[],3,FALSE),0)</f>
        <v>3394901471.387517</v>
      </c>
      <c r="AI1218" s="246">
        <f>IFERROR(VLOOKUP(G1218,PROGRAMAS[],3,FALSE),0)</f>
        <v>125317226.95549992</v>
      </c>
      <c r="AJ1218" s="246">
        <f>IFERROR(VLOOKUP(H1218,PROGRAMAS[],3,FALSE),0)</f>
        <v>6129902208.7912121</v>
      </c>
      <c r="AK1218" s="246">
        <f>IFERROR(VLOOKUP(I1218,PROGRAMAS[],3,FALSE),0)</f>
        <v>2392571243.5584412</v>
      </c>
      <c r="AL1218" s="246">
        <f>IFERROR(VLOOKUP(J1218,PROGRAMAS[],3,FALSE),0)</f>
        <v>31865326.38096505</v>
      </c>
      <c r="AM1218" s="246">
        <f>IFERROR(VLOOKUP(K1218,PROGRAMAS[],3,FALSE),0)</f>
        <v>2406564599.0319901</v>
      </c>
      <c r="AN1218" s="246">
        <f>IFERROR(VLOOKUP(L1218,PROGRAMAS[],3,FALSE),0)</f>
        <v>948595847.09039903</v>
      </c>
      <c r="AO1218" s="246">
        <f>IFERROR(VLOOKUP(M1218,PROGRAMAS[],3,FALSE),0)</f>
        <v>0</v>
      </c>
      <c r="AP1218" s="246">
        <f>IFERROR(VLOOKUP(N1218,PROGRAMAS[],3,FALSE),0)</f>
        <v>0</v>
      </c>
      <c r="AQ1218" s="246">
        <f>IFERROR(VLOOKUP(O1218,PROGRAMAS[],3,FALSE),0)</f>
        <v>0</v>
      </c>
      <c r="AR1218" s="246">
        <f>IFERROR(VLOOKUP(P1218,PROGRAMAS[],3,FALSE),0)</f>
        <v>0</v>
      </c>
      <c r="AS1218" s="246">
        <f>IFERROR(VLOOKUP(Q1218,PROGRAMAS[],3,FALSE),0)</f>
        <v>0</v>
      </c>
      <c r="AT1218" s="246">
        <f>IFERROR(VLOOKUP(D1218,VOL_REC[],2,FALSE),0)</f>
        <v>0</v>
      </c>
      <c r="AU1218" s="246">
        <f>IFERROR(VLOOKUP(E1218,VOL_REC[],2,FALSE),0)</f>
        <v>0</v>
      </c>
      <c r="AV1218" s="246">
        <f>IFERROR(VLOOKUP(F1218,VOL_REC[],2,FALSE),0)</f>
        <v>11089674.200000001</v>
      </c>
      <c r="AW1218" s="246">
        <f>IFERROR(VLOOKUP(G1218,VOL_REC[],2,FALSE),0)</f>
        <v>90439.55</v>
      </c>
      <c r="AX1218" s="246">
        <f>IFERROR(VLOOKUP(H1218,VOL_REC[],2,FALSE),0)</f>
        <v>15540036.397699751</v>
      </c>
      <c r="AY1218" s="246">
        <f>IFERROR(VLOOKUP(I1218,VOL_REC[],2,FALSE),0)</f>
        <v>663244.80000000016</v>
      </c>
      <c r="AZ1218" s="246">
        <f>IFERROR(VLOOKUP(J1218,VOL_REC[],2,FALSE),0)</f>
        <v>17074.045034105649</v>
      </c>
      <c r="BA1218" s="246">
        <f>IFERROR(VLOOKUP(K1218,VOL_REC[],2,FALSE),0)</f>
        <v>1072354.9981737854</v>
      </c>
      <c r="BB1218" s="246">
        <f>IFERROR(VLOOKUP(L1218,VOL_REC[],2,FALSE),0)</f>
        <v>740113.98115702497</v>
      </c>
      <c r="BC1218" s="246">
        <f>IFERROR(VLOOKUP(M1218,VOL_REC[],2,FALSE),0)</f>
        <v>0</v>
      </c>
      <c r="BD1218" s="246">
        <f>IFERROR(VLOOKUP(N1218,VOL_REC[],2,FALSE),0)</f>
        <v>0</v>
      </c>
      <c r="BE1218" s="246">
        <f>IFERROR(VLOOKUP(O1218,VOL_REC[],2,FALSE),0)</f>
        <v>0</v>
      </c>
      <c r="BF1218" s="246">
        <f>IFERROR(VLOOKUP(P1218,VOL_REC[],2,FALSE),0)</f>
        <v>0</v>
      </c>
      <c r="BG1218" s="246">
        <f>IFERROR(VLOOKUP(Q1218,VOL_REC[],2,FALSE),0)</f>
        <v>0</v>
      </c>
      <c r="BH1218" s="1710">
        <f t="shared" ref="BH1218:BH1281" si="76">SUM(R1218:AE1218)</f>
        <v>23567251582.062847</v>
      </c>
      <c r="BI1218" s="1710">
        <f t="shared" ref="BI1218:BI1281" si="77">SUM(AF1218:AS1218)</f>
        <v>20120587355.671059</v>
      </c>
      <c r="BJ1218" s="1711">
        <f t="shared" ref="BJ1218:BJ1281" si="78">SUM(AT1218:BG1218)</f>
        <v>29212937.972064666</v>
      </c>
      <c r="BK1218" s="1711">
        <f t="shared" ref="BK1218:BK1281" si="79">IFERROR(BH1218/BI1218,0)</f>
        <v>1.1713003783371332</v>
      </c>
      <c r="BL1218">
        <f>BJ1218</f>
        <v>29212937.972064666</v>
      </c>
      <c r="BO1218">
        <f>BL1218</f>
        <v>29212937.972064666</v>
      </c>
    </row>
    <row r="1219" spans="3:67" x14ac:dyDescent="0.25">
      <c r="C1219" s="246" t="s">
        <v>2569</v>
      </c>
      <c r="D1219" s="246">
        <v>1</v>
      </c>
      <c r="E1219" s="246">
        <v>2</v>
      </c>
      <c r="F1219" s="246">
        <v>3</v>
      </c>
      <c r="G1219" s="246">
        <v>4</v>
      </c>
      <c r="H1219" s="246">
        <v>6</v>
      </c>
      <c r="I1219" s="246">
        <v>13</v>
      </c>
      <c r="J1219" s="246">
        <v>15</v>
      </c>
      <c r="K1219" s="246">
        <v>16</v>
      </c>
      <c r="L1219" s="246">
        <v>17</v>
      </c>
      <c r="M1219" s="246"/>
      <c r="N1219" s="246"/>
      <c r="O1219" s="246"/>
      <c r="P1219" s="246"/>
      <c r="Q1219" s="246"/>
      <c r="R1219" s="246">
        <f>IFERROR(VLOOKUP(D1219,PROGRAMAS[],2,FALSE),0)</f>
        <v>97037803.679377079</v>
      </c>
      <c r="S1219" s="246">
        <f>IFERROR(VLOOKUP(E1219,PROGRAMAS[],2,FALSE),0)</f>
        <v>640501509.6821388</v>
      </c>
      <c r="T1219" s="246">
        <f>IFERROR(VLOOKUP(F1219,PROGRAMAS[],2,FALSE),0)</f>
        <v>3062327798.1525245</v>
      </c>
      <c r="U1219" s="246">
        <f>IFERROR(VLOOKUP(G1219,PROGRAMAS[],2,FALSE),0)</f>
        <v>67697118.033011258</v>
      </c>
      <c r="V1219" s="246">
        <f>IFERROR(VLOOKUP(H1219,PROGRAMAS[],2,FALSE),0)</f>
        <v>6907648435.8447599</v>
      </c>
      <c r="W1219" s="246">
        <f>IFERROR(VLOOKUP(I1219,PROGRAMAS[],2,FALSE),0)</f>
        <v>3776538594.4604583</v>
      </c>
      <c r="X1219" s="246">
        <f>IFERROR(VLOOKUP(J1219,PROGRAMAS[],2,FALSE),0)</f>
        <v>122159672.96346797</v>
      </c>
      <c r="Y1219" s="246">
        <f>IFERROR(VLOOKUP(K1219,PROGRAMAS[],2,FALSE),0)</f>
        <v>7068496961.0436354</v>
      </c>
      <c r="Z1219" s="246">
        <f>IFERROR(VLOOKUP(L1219,PROGRAMAS[],2,FALSE),0)</f>
        <v>1892779498.5211046</v>
      </c>
      <c r="AA1219" s="246">
        <f>IFERROR(VLOOKUP(M1219,PROGRAMAS[],2,FALSE),0)</f>
        <v>0</v>
      </c>
      <c r="AB1219" s="246">
        <f>IFERROR(VLOOKUP(N1219,PROGRAMAS[],2,FALSE),0)</f>
        <v>0</v>
      </c>
      <c r="AC1219" s="246">
        <f>IFERROR(VLOOKUP(O1219,PROGRAMAS[],2,FALSE),0)</f>
        <v>0</v>
      </c>
      <c r="AD1219" s="246">
        <f>IFERROR(VLOOKUP(P1219,PROGRAMAS[],2,FALSE),0)</f>
        <v>0</v>
      </c>
      <c r="AE1219" s="246">
        <f>IFERROR(VLOOKUP(Q1219,PROGRAMAS[],2,FALSE),0)</f>
        <v>0</v>
      </c>
      <c r="AF1219" s="246">
        <f>IFERROR(VLOOKUP(D1219,PROGRAMAS[],3,FALSE),0)</f>
        <v>841888629.31080008</v>
      </c>
      <c r="AG1219" s="246">
        <f>IFERROR(VLOOKUP(E1219,PROGRAMAS[],3,FALSE),0)</f>
        <v>3848980803.1642323</v>
      </c>
      <c r="AH1219" s="246">
        <f>IFERROR(VLOOKUP(F1219,PROGRAMAS[],3,FALSE),0)</f>
        <v>3394901471.387517</v>
      </c>
      <c r="AI1219" s="246">
        <f>IFERROR(VLOOKUP(G1219,PROGRAMAS[],3,FALSE),0)</f>
        <v>125317226.95549992</v>
      </c>
      <c r="AJ1219" s="246">
        <f>IFERROR(VLOOKUP(H1219,PROGRAMAS[],3,FALSE),0)</f>
        <v>6129902208.7912121</v>
      </c>
      <c r="AK1219" s="246">
        <f>IFERROR(VLOOKUP(I1219,PROGRAMAS[],3,FALSE),0)</f>
        <v>2392571243.5584412</v>
      </c>
      <c r="AL1219" s="246">
        <f>IFERROR(VLOOKUP(J1219,PROGRAMAS[],3,FALSE),0)</f>
        <v>118617452.52510804</v>
      </c>
      <c r="AM1219" s="246">
        <f>IFERROR(VLOOKUP(K1219,PROGRAMAS[],3,FALSE),0)</f>
        <v>2406564599.0319901</v>
      </c>
      <c r="AN1219" s="246">
        <f>IFERROR(VLOOKUP(L1219,PROGRAMAS[],3,FALSE),0)</f>
        <v>948595847.09039903</v>
      </c>
      <c r="AO1219" s="246">
        <f>IFERROR(VLOOKUP(M1219,PROGRAMAS[],3,FALSE),0)</f>
        <v>0</v>
      </c>
      <c r="AP1219" s="246">
        <f>IFERROR(VLOOKUP(N1219,PROGRAMAS[],3,FALSE),0)</f>
        <v>0</v>
      </c>
      <c r="AQ1219" s="246">
        <f>IFERROR(VLOOKUP(O1219,PROGRAMAS[],3,FALSE),0)</f>
        <v>0</v>
      </c>
      <c r="AR1219" s="246">
        <f>IFERROR(VLOOKUP(P1219,PROGRAMAS[],3,FALSE),0)</f>
        <v>0</v>
      </c>
      <c r="AS1219" s="246">
        <f>IFERROR(VLOOKUP(Q1219,PROGRAMAS[],3,FALSE),0)</f>
        <v>0</v>
      </c>
      <c r="AT1219" s="246">
        <f>IFERROR(VLOOKUP(D1219,VOL_REC[],2,FALSE),0)</f>
        <v>0</v>
      </c>
      <c r="AU1219" s="246">
        <f>IFERROR(VLOOKUP(E1219,VOL_REC[],2,FALSE),0)</f>
        <v>0</v>
      </c>
      <c r="AV1219" s="246">
        <f>IFERROR(VLOOKUP(F1219,VOL_REC[],2,FALSE),0)</f>
        <v>11089674.200000001</v>
      </c>
      <c r="AW1219" s="246">
        <f>IFERROR(VLOOKUP(G1219,VOL_REC[],2,FALSE),0)</f>
        <v>90439.55</v>
      </c>
      <c r="AX1219" s="246">
        <f>IFERROR(VLOOKUP(H1219,VOL_REC[],2,FALSE),0)</f>
        <v>15540036.397699751</v>
      </c>
      <c r="AY1219" s="246">
        <f>IFERROR(VLOOKUP(I1219,VOL_REC[],2,FALSE),0)</f>
        <v>663244.80000000016</v>
      </c>
      <c r="AZ1219" s="246">
        <f>IFERROR(VLOOKUP(J1219,VOL_REC[],2,FALSE),0)</f>
        <v>105072</v>
      </c>
      <c r="BA1219" s="246">
        <f>IFERROR(VLOOKUP(K1219,VOL_REC[],2,FALSE),0)</f>
        <v>1072354.9981737854</v>
      </c>
      <c r="BB1219" s="246">
        <f>IFERROR(VLOOKUP(L1219,VOL_REC[],2,FALSE),0)</f>
        <v>740113.98115702497</v>
      </c>
      <c r="BC1219" s="246">
        <f>IFERROR(VLOOKUP(M1219,VOL_REC[],2,FALSE),0)</f>
        <v>0</v>
      </c>
      <c r="BD1219" s="246">
        <f>IFERROR(VLOOKUP(N1219,VOL_REC[],2,FALSE),0)</f>
        <v>0</v>
      </c>
      <c r="BE1219" s="246">
        <f>IFERROR(VLOOKUP(O1219,VOL_REC[],2,FALSE),0)</f>
        <v>0</v>
      </c>
      <c r="BF1219" s="246">
        <f>IFERROR(VLOOKUP(P1219,VOL_REC[],2,FALSE),0)</f>
        <v>0</v>
      </c>
      <c r="BG1219" s="246">
        <f>IFERROR(VLOOKUP(Q1219,VOL_REC[],2,FALSE),0)</f>
        <v>0</v>
      </c>
      <c r="BH1219" s="1710">
        <f t="shared" si="76"/>
        <v>23635187392.380478</v>
      </c>
      <c r="BI1219" s="1710">
        <f t="shared" si="77"/>
        <v>20207339481.815201</v>
      </c>
      <c r="BJ1219" s="1711">
        <f t="shared" si="78"/>
        <v>29300935.92703056</v>
      </c>
      <c r="BK1219" s="1711">
        <f t="shared" si="79"/>
        <v>1.1696338062539124</v>
      </c>
      <c r="BL1219">
        <f>BJ1219</f>
        <v>29300935.92703056</v>
      </c>
      <c r="BO1219">
        <f>BL1219</f>
        <v>29300935.92703056</v>
      </c>
    </row>
    <row r="1220" spans="3:67" x14ac:dyDescent="0.25">
      <c r="C1220" s="246" t="s">
        <v>2570</v>
      </c>
      <c r="D1220" s="246">
        <v>1</v>
      </c>
      <c r="E1220" s="246">
        <v>2</v>
      </c>
      <c r="F1220" s="246">
        <v>3</v>
      </c>
      <c r="G1220" s="246">
        <v>4</v>
      </c>
      <c r="H1220" s="246">
        <v>6</v>
      </c>
      <c r="I1220" s="246">
        <v>14</v>
      </c>
      <c r="J1220" s="246">
        <v>15</v>
      </c>
      <c r="K1220" s="246">
        <v>16</v>
      </c>
      <c r="L1220" s="246">
        <v>17</v>
      </c>
      <c r="M1220" s="246"/>
      <c r="N1220" s="246"/>
      <c r="O1220" s="246"/>
      <c r="P1220" s="246"/>
      <c r="Q1220" s="246"/>
      <c r="R1220" s="246">
        <f>IFERROR(VLOOKUP(D1220,PROGRAMAS[],2,FALSE),0)</f>
        <v>97037803.679377079</v>
      </c>
      <c r="S1220" s="246">
        <f>IFERROR(VLOOKUP(E1220,PROGRAMAS[],2,FALSE),0)</f>
        <v>640501509.6821388</v>
      </c>
      <c r="T1220" s="246">
        <f>IFERROR(VLOOKUP(F1220,PROGRAMAS[],2,FALSE),0)</f>
        <v>3062327798.1525245</v>
      </c>
      <c r="U1220" s="246">
        <f>IFERROR(VLOOKUP(G1220,PROGRAMAS[],2,FALSE),0)</f>
        <v>67697118.033011258</v>
      </c>
      <c r="V1220" s="246">
        <f>IFERROR(VLOOKUP(H1220,PROGRAMAS[],2,FALSE),0)</f>
        <v>6907648435.8447599</v>
      </c>
      <c r="W1220" s="246">
        <f>IFERROR(VLOOKUP(I1220,PROGRAMAS[],2,FALSE),0)</f>
        <v>54223862.645839565</v>
      </c>
      <c r="X1220" s="246">
        <f>IFERROR(VLOOKUP(J1220,PROGRAMAS[],2,FALSE),0)</f>
        <v>122159672.96346797</v>
      </c>
      <c r="Y1220" s="246">
        <f>IFERROR(VLOOKUP(K1220,PROGRAMAS[],2,FALSE),0)</f>
        <v>7068496961.0436354</v>
      </c>
      <c r="Z1220" s="246">
        <f>IFERROR(VLOOKUP(L1220,PROGRAMAS[],2,FALSE),0)</f>
        <v>1892779498.5211046</v>
      </c>
      <c r="AA1220" s="246">
        <f>IFERROR(VLOOKUP(M1220,PROGRAMAS[],2,FALSE),0)</f>
        <v>0</v>
      </c>
      <c r="AB1220" s="246">
        <f>IFERROR(VLOOKUP(N1220,PROGRAMAS[],2,FALSE),0)</f>
        <v>0</v>
      </c>
      <c r="AC1220" s="246">
        <f>IFERROR(VLOOKUP(O1220,PROGRAMAS[],2,FALSE),0)</f>
        <v>0</v>
      </c>
      <c r="AD1220" s="246">
        <f>IFERROR(VLOOKUP(P1220,PROGRAMAS[],2,FALSE),0)</f>
        <v>0</v>
      </c>
      <c r="AE1220" s="246">
        <f>IFERROR(VLOOKUP(Q1220,PROGRAMAS[],2,FALSE),0)</f>
        <v>0</v>
      </c>
      <c r="AF1220" s="246">
        <f>IFERROR(VLOOKUP(D1220,PROGRAMAS[],3,FALSE),0)</f>
        <v>841888629.31080008</v>
      </c>
      <c r="AG1220" s="246">
        <f>IFERROR(VLOOKUP(E1220,PROGRAMAS[],3,FALSE),0)</f>
        <v>3848980803.1642323</v>
      </c>
      <c r="AH1220" s="246">
        <f>IFERROR(VLOOKUP(F1220,PROGRAMAS[],3,FALSE),0)</f>
        <v>3394901471.387517</v>
      </c>
      <c r="AI1220" s="246">
        <f>IFERROR(VLOOKUP(G1220,PROGRAMAS[],3,FALSE),0)</f>
        <v>125317226.95549992</v>
      </c>
      <c r="AJ1220" s="246">
        <f>IFERROR(VLOOKUP(H1220,PROGRAMAS[],3,FALSE),0)</f>
        <v>6129902208.7912121</v>
      </c>
      <c r="AK1220" s="246">
        <f>IFERROR(VLOOKUP(I1220,PROGRAMAS[],3,FALSE),0)</f>
        <v>31865326.38096505</v>
      </c>
      <c r="AL1220" s="246">
        <f>IFERROR(VLOOKUP(J1220,PROGRAMAS[],3,FALSE),0)</f>
        <v>118617452.52510804</v>
      </c>
      <c r="AM1220" s="246">
        <f>IFERROR(VLOOKUP(K1220,PROGRAMAS[],3,FALSE),0)</f>
        <v>2406564599.0319901</v>
      </c>
      <c r="AN1220" s="246">
        <f>IFERROR(VLOOKUP(L1220,PROGRAMAS[],3,FALSE),0)</f>
        <v>948595847.09039903</v>
      </c>
      <c r="AO1220" s="246">
        <f>IFERROR(VLOOKUP(M1220,PROGRAMAS[],3,FALSE),0)</f>
        <v>0</v>
      </c>
      <c r="AP1220" s="246">
        <f>IFERROR(VLOOKUP(N1220,PROGRAMAS[],3,FALSE),0)</f>
        <v>0</v>
      </c>
      <c r="AQ1220" s="246">
        <f>IFERROR(VLOOKUP(O1220,PROGRAMAS[],3,FALSE),0)</f>
        <v>0</v>
      </c>
      <c r="AR1220" s="246">
        <f>IFERROR(VLOOKUP(P1220,PROGRAMAS[],3,FALSE),0)</f>
        <v>0</v>
      </c>
      <c r="AS1220" s="246">
        <f>IFERROR(VLOOKUP(Q1220,PROGRAMAS[],3,FALSE),0)</f>
        <v>0</v>
      </c>
      <c r="AT1220" s="246">
        <f>IFERROR(VLOOKUP(D1220,VOL_REC[],2,FALSE),0)</f>
        <v>0</v>
      </c>
      <c r="AU1220" s="246">
        <f>IFERROR(VLOOKUP(E1220,VOL_REC[],2,FALSE),0)</f>
        <v>0</v>
      </c>
      <c r="AV1220" s="246">
        <f>IFERROR(VLOOKUP(F1220,VOL_REC[],2,FALSE),0)</f>
        <v>11089674.200000001</v>
      </c>
      <c r="AW1220" s="246">
        <f>IFERROR(VLOOKUP(G1220,VOL_REC[],2,FALSE),0)</f>
        <v>90439.55</v>
      </c>
      <c r="AX1220" s="246">
        <f>IFERROR(VLOOKUP(H1220,VOL_REC[],2,FALSE),0)</f>
        <v>15540036.397699751</v>
      </c>
      <c r="AY1220" s="246">
        <f>IFERROR(VLOOKUP(I1220,VOL_REC[],2,FALSE),0)</f>
        <v>17074.045034105649</v>
      </c>
      <c r="AZ1220" s="246">
        <f>IFERROR(VLOOKUP(J1220,VOL_REC[],2,FALSE),0)</f>
        <v>105072</v>
      </c>
      <c r="BA1220" s="246">
        <f>IFERROR(VLOOKUP(K1220,VOL_REC[],2,FALSE),0)</f>
        <v>1072354.9981737854</v>
      </c>
      <c r="BB1220" s="246">
        <f>IFERROR(VLOOKUP(L1220,VOL_REC[],2,FALSE),0)</f>
        <v>740113.98115702497</v>
      </c>
      <c r="BC1220" s="246">
        <f>IFERROR(VLOOKUP(M1220,VOL_REC[],2,FALSE),0)</f>
        <v>0</v>
      </c>
      <c r="BD1220" s="246">
        <f>IFERROR(VLOOKUP(N1220,VOL_REC[],2,FALSE),0)</f>
        <v>0</v>
      </c>
      <c r="BE1220" s="246">
        <f>IFERROR(VLOOKUP(O1220,VOL_REC[],2,FALSE),0)</f>
        <v>0</v>
      </c>
      <c r="BF1220" s="246">
        <f>IFERROR(VLOOKUP(P1220,VOL_REC[],2,FALSE),0)</f>
        <v>0</v>
      </c>
      <c r="BG1220" s="246">
        <f>IFERROR(VLOOKUP(Q1220,VOL_REC[],2,FALSE),0)</f>
        <v>0</v>
      </c>
      <c r="BH1220" s="1710">
        <f t="shared" si="76"/>
        <v>19912872660.565857</v>
      </c>
      <c r="BI1220" s="1710">
        <f t="shared" si="77"/>
        <v>17846633564.637722</v>
      </c>
      <c r="BJ1220" s="1711">
        <f t="shared" si="78"/>
        <v>28654765.172064666</v>
      </c>
      <c r="BK1220" s="1711">
        <f t="shared" si="79"/>
        <v>1.1157775268060803</v>
      </c>
      <c r="BL1220">
        <f>BJ1220</f>
        <v>28654765.172064666</v>
      </c>
      <c r="BO1220">
        <f>BL1220</f>
        <v>28654765.172064666</v>
      </c>
    </row>
    <row r="1221" spans="3:67" x14ac:dyDescent="0.25">
      <c r="C1221" s="246" t="s">
        <v>2571</v>
      </c>
      <c r="D1221" s="246">
        <v>1</v>
      </c>
      <c r="E1221" s="246">
        <v>2</v>
      </c>
      <c r="F1221" s="246">
        <v>3</v>
      </c>
      <c r="G1221" s="246">
        <v>4</v>
      </c>
      <c r="H1221" s="246">
        <v>9</v>
      </c>
      <c r="I1221" s="246">
        <v>10</v>
      </c>
      <c r="J1221" s="246">
        <v>12</v>
      </c>
      <c r="K1221" s="246">
        <v>13</v>
      </c>
      <c r="L1221" s="246">
        <v>14</v>
      </c>
      <c r="M1221" s="246"/>
      <c r="N1221" s="246"/>
      <c r="O1221" s="246"/>
      <c r="P1221" s="246"/>
      <c r="Q1221" s="246"/>
      <c r="R1221" s="246">
        <f>IFERROR(VLOOKUP(D1221,PROGRAMAS[],2,FALSE),0)</f>
        <v>97037803.679377079</v>
      </c>
      <c r="S1221" s="246">
        <f>IFERROR(VLOOKUP(E1221,PROGRAMAS[],2,FALSE),0)</f>
        <v>640501509.6821388</v>
      </c>
      <c r="T1221" s="246">
        <f>IFERROR(VLOOKUP(F1221,PROGRAMAS[],2,FALSE),0)</f>
        <v>3062327798.1525245</v>
      </c>
      <c r="U1221" s="246">
        <f>IFERROR(VLOOKUP(G1221,PROGRAMAS[],2,FALSE),0)</f>
        <v>67697118.033011258</v>
      </c>
      <c r="V1221" s="246">
        <f>IFERROR(VLOOKUP(H1221,PROGRAMAS[],2,FALSE),0)</f>
        <v>6128579952.1618185</v>
      </c>
      <c r="W1221" s="246">
        <f>IFERROR(VLOOKUP(I1221,PROGRAMAS[],2,FALSE),0)</f>
        <v>4635315027.8751087</v>
      </c>
      <c r="X1221" s="246">
        <f>IFERROR(VLOOKUP(J1221,PROGRAMAS[],2,FALSE),0)</f>
        <v>764796700.79905891</v>
      </c>
      <c r="Y1221" s="246">
        <f>IFERROR(VLOOKUP(K1221,PROGRAMAS[],2,FALSE),0)</f>
        <v>3776538594.4604583</v>
      </c>
      <c r="Z1221" s="246">
        <f>IFERROR(VLOOKUP(L1221,PROGRAMAS[],2,FALSE),0)</f>
        <v>54223862.645839565</v>
      </c>
      <c r="AA1221" s="246">
        <f>IFERROR(VLOOKUP(M1221,PROGRAMAS[],2,FALSE),0)</f>
        <v>0</v>
      </c>
      <c r="AB1221" s="246">
        <f>IFERROR(VLOOKUP(N1221,PROGRAMAS[],2,FALSE),0)</f>
        <v>0</v>
      </c>
      <c r="AC1221" s="246">
        <f>IFERROR(VLOOKUP(O1221,PROGRAMAS[],2,FALSE),0)</f>
        <v>0</v>
      </c>
      <c r="AD1221" s="246">
        <f>IFERROR(VLOOKUP(P1221,PROGRAMAS[],2,FALSE),0)</f>
        <v>0</v>
      </c>
      <c r="AE1221" s="246">
        <f>IFERROR(VLOOKUP(Q1221,PROGRAMAS[],2,FALSE),0)</f>
        <v>0</v>
      </c>
      <c r="AF1221" s="246">
        <f>IFERROR(VLOOKUP(D1221,PROGRAMAS[],3,FALSE),0)</f>
        <v>841888629.31080008</v>
      </c>
      <c r="AG1221" s="246">
        <f>IFERROR(VLOOKUP(E1221,PROGRAMAS[],3,FALSE),0)</f>
        <v>3848980803.1642323</v>
      </c>
      <c r="AH1221" s="246">
        <f>IFERROR(VLOOKUP(F1221,PROGRAMAS[],3,FALSE),0)</f>
        <v>3394901471.387517</v>
      </c>
      <c r="AI1221" s="246">
        <f>IFERROR(VLOOKUP(G1221,PROGRAMAS[],3,FALSE),0)</f>
        <v>125317226.95549992</v>
      </c>
      <c r="AJ1221" s="246">
        <f>IFERROR(VLOOKUP(H1221,PROGRAMAS[],3,FALSE),0)</f>
        <v>7011279577.519702</v>
      </c>
      <c r="AK1221" s="246">
        <f>IFERROR(VLOOKUP(I1221,PROGRAMAS[],3,FALSE),0)</f>
        <v>4099471734.9978786</v>
      </c>
      <c r="AL1221" s="246">
        <f>IFERROR(VLOOKUP(J1221,PROGRAMAS[],3,FALSE),0)</f>
        <v>675517840.109828</v>
      </c>
      <c r="AM1221" s="246">
        <f>IFERROR(VLOOKUP(K1221,PROGRAMAS[],3,FALSE),0)</f>
        <v>2392571243.5584412</v>
      </c>
      <c r="AN1221" s="246">
        <f>IFERROR(VLOOKUP(L1221,PROGRAMAS[],3,FALSE),0)</f>
        <v>31865326.38096505</v>
      </c>
      <c r="AO1221" s="246">
        <f>IFERROR(VLOOKUP(M1221,PROGRAMAS[],3,FALSE),0)</f>
        <v>0</v>
      </c>
      <c r="AP1221" s="246">
        <f>IFERROR(VLOOKUP(N1221,PROGRAMAS[],3,FALSE),0)</f>
        <v>0</v>
      </c>
      <c r="AQ1221" s="246">
        <f>IFERROR(VLOOKUP(O1221,PROGRAMAS[],3,FALSE),0)</f>
        <v>0</v>
      </c>
      <c r="AR1221" s="246">
        <f>IFERROR(VLOOKUP(P1221,PROGRAMAS[],3,FALSE),0)</f>
        <v>0</v>
      </c>
      <c r="AS1221" s="246">
        <f>IFERROR(VLOOKUP(Q1221,PROGRAMAS[],3,FALSE),0)</f>
        <v>0</v>
      </c>
      <c r="AT1221" s="246">
        <f>IFERROR(VLOOKUP(D1221,VOL_REC[],2,FALSE),0)</f>
        <v>0</v>
      </c>
      <c r="AU1221" s="246">
        <f>IFERROR(VLOOKUP(E1221,VOL_REC[],2,FALSE),0)</f>
        <v>0</v>
      </c>
      <c r="AV1221" s="246">
        <f>IFERROR(VLOOKUP(F1221,VOL_REC[],2,FALSE),0)</f>
        <v>11089674.200000001</v>
      </c>
      <c r="AW1221" s="246">
        <f>IFERROR(VLOOKUP(G1221,VOL_REC[],2,FALSE),0)</f>
        <v>90439.55</v>
      </c>
      <c r="AX1221" s="246">
        <f>IFERROR(VLOOKUP(H1221,VOL_REC[],2,FALSE),0)</f>
        <v>3761786</v>
      </c>
      <c r="AY1221" s="246">
        <f>IFERROR(VLOOKUP(I1221,VOL_REC[],2,FALSE),0)</f>
        <v>1812240</v>
      </c>
      <c r="AZ1221" s="246">
        <f>IFERROR(VLOOKUP(J1221,VOL_REC[],2,FALSE),0)</f>
        <v>240696.79238099116</v>
      </c>
      <c r="BA1221" s="246">
        <f>IFERROR(VLOOKUP(K1221,VOL_REC[],2,FALSE),0)</f>
        <v>663244.80000000016</v>
      </c>
      <c r="BB1221" s="246">
        <f>IFERROR(VLOOKUP(L1221,VOL_REC[],2,FALSE),0)</f>
        <v>17074.045034105649</v>
      </c>
      <c r="BC1221" s="246">
        <f>IFERROR(VLOOKUP(M1221,VOL_REC[],2,FALSE),0)</f>
        <v>0</v>
      </c>
      <c r="BD1221" s="246">
        <f>IFERROR(VLOOKUP(N1221,VOL_REC[],2,FALSE),0)</f>
        <v>0</v>
      </c>
      <c r="BE1221" s="246">
        <f>IFERROR(VLOOKUP(O1221,VOL_REC[],2,FALSE),0)</f>
        <v>0</v>
      </c>
      <c r="BF1221" s="246">
        <f>IFERROR(VLOOKUP(P1221,VOL_REC[],2,FALSE),0)</f>
        <v>0</v>
      </c>
      <c r="BG1221" s="246">
        <f>IFERROR(VLOOKUP(Q1221,VOL_REC[],2,FALSE),0)</f>
        <v>0</v>
      </c>
      <c r="BH1221" s="1710">
        <f t="shared" si="76"/>
        <v>19227018367.489334</v>
      </c>
      <c r="BI1221" s="1710">
        <f t="shared" si="77"/>
        <v>22421793853.384865</v>
      </c>
      <c r="BJ1221" s="1711">
        <f t="shared" si="78"/>
        <v>17675155.3874151</v>
      </c>
      <c r="BK1221" s="1711">
        <f t="shared" si="79"/>
        <v>0.85751472398747264</v>
      </c>
    </row>
    <row r="1222" spans="3:67" x14ac:dyDescent="0.25">
      <c r="C1222" s="246" t="s">
        <v>2572</v>
      </c>
      <c r="D1222" s="246">
        <v>1</v>
      </c>
      <c r="E1222" s="246">
        <v>2</v>
      </c>
      <c r="F1222" s="246">
        <v>3</v>
      </c>
      <c r="G1222" s="246">
        <v>4</v>
      </c>
      <c r="H1222" s="246">
        <v>9</v>
      </c>
      <c r="I1222" s="246">
        <v>10</v>
      </c>
      <c r="J1222" s="246">
        <v>12</v>
      </c>
      <c r="K1222" s="246">
        <v>13</v>
      </c>
      <c r="L1222" s="246">
        <v>15</v>
      </c>
      <c r="M1222" s="246"/>
      <c r="N1222" s="246"/>
      <c r="O1222" s="246"/>
      <c r="P1222" s="246"/>
      <c r="Q1222" s="246"/>
      <c r="R1222" s="246">
        <f>IFERROR(VLOOKUP(D1222,PROGRAMAS[],2,FALSE),0)</f>
        <v>97037803.679377079</v>
      </c>
      <c r="S1222" s="246">
        <f>IFERROR(VLOOKUP(E1222,PROGRAMAS[],2,FALSE),0)</f>
        <v>640501509.6821388</v>
      </c>
      <c r="T1222" s="246">
        <f>IFERROR(VLOOKUP(F1222,PROGRAMAS[],2,FALSE),0)</f>
        <v>3062327798.1525245</v>
      </c>
      <c r="U1222" s="246">
        <f>IFERROR(VLOOKUP(G1222,PROGRAMAS[],2,FALSE),0)</f>
        <v>67697118.033011258</v>
      </c>
      <c r="V1222" s="246">
        <f>IFERROR(VLOOKUP(H1222,PROGRAMAS[],2,FALSE),0)</f>
        <v>6128579952.1618185</v>
      </c>
      <c r="W1222" s="246">
        <f>IFERROR(VLOOKUP(I1222,PROGRAMAS[],2,FALSE),0)</f>
        <v>4635315027.8751087</v>
      </c>
      <c r="X1222" s="246">
        <f>IFERROR(VLOOKUP(J1222,PROGRAMAS[],2,FALSE),0)</f>
        <v>764796700.79905891</v>
      </c>
      <c r="Y1222" s="246">
        <f>IFERROR(VLOOKUP(K1222,PROGRAMAS[],2,FALSE),0)</f>
        <v>3776538594.4604583</v>
      </c>
      <c r="Z1222" s="246">
        <f>IFERROR(VLOOKUP(L1222,PROGRAMAS[],2,FALSE),0)</f>
        <v>122159672.96346797</v>
      </c>
      <c r="AA1222" s="246">
        <f>IFERROR(VLOOKUP(M1222,PROGRAMAS[],2,FALSE),0)</f>
        <v>0</v>
      </c>
      <c r="AB1222" s="246">
        <f>IFERROR(VLOOKUP(N1222,PROGRAMAS[],2,FALSE),0)</f>
        <v>0</v>
      </c>
      <c r="AC1222" s="246">
        <f>IFERROR(VLOOKUP(O1222,PROGRAMAS[],2,FALSE),0)</f>
        <v>0</v>
      </c>
      <c r="AD1222" s="246">
        <f>IFERROR(VLOOKUP(P1222,PROGRAMAS[],2,FALSE),0)</f>
        <v>0</v>
      </c>
      <c r="AE1222" s="246">
        <f>IFERROR(VLOOKUP(Q1222,PROGRAMAS[],2,FALSE),0)</f>
        <v>0</v>
      </c>
      <c r="AF1222" s="246">
        <f>IFERROR(VLOOKUP(D1222,PROGRAMAS[],3,FALSE),0)</f>
        <v>841888629.31080008</v>
      </c>
      <c r="AG1222" s="246">
        <f>IFERROR(VLOOKUP(E1222,PROGRAMAS[],3,FALSE),0)</f>
        <v>3848980803.1642323</v>
      </c>
      <c r="AH1222" s="246">
        <f>IFERROR(VLOOKUP(F1222,PROGRAMAS[],3,FALSE),0)</f>
        <v>3394901471.387517</v>
      </c>
      <c r="AI1222" s="246">
        <f>IFERROR(VLOOKUP(G1222,PROGRAMAS[],3,FALSE),0)</f>
        <v>125317226.95549992</v>
      </c>
      <c r="AJ1222" s="246">
        <f>IFERROR(VLOOKUP(H1222,PROGRAMAS[],3,FALSE),0)</f>
        <v>7011279577.519702</v>
      </c>
      <c r="AK1222" s="246">
        <f>IFERROR(VLOOKUP(I1222,PROGRAMAS[],3,FALSE),0)</f>
        <v>4099471734.9978786</v>
      </c>
      <c r="AL1222" s="246">
        <f>IFERROR(VLOOKUP(J1222,PROGRAMAS[],3,FALSE),0)</f>
        <v>675517840.109828</v>
      </c>
      <c r="AM1222" s="246">
        <f>IFERROR(VLOOKUP(K1222,PROGRAMAS[],3,FALSE),0)</f>
        <v>2392571243.5584412</v>
      </c>
      <c r="AN1222" s="246">
        <f>IFERROR(VLOOKUP(L1222,PROGRAMAS[],3,FALSE),0)</f>
        <v>118617452.52510804</v>
      </c>
      <c r="AO1222" s="246">
        <f>IFERROR(VLOOKUP(M1222,PROGRAMAS[],3,FALSE),0)</f>
        <v>0</v>
      </c>
      <c r="AP1222" s="246">
        <f>IFERROR(VLOOKUP(N1222,PROGRAMAS[],3,FALSE),0)</f>
        <v>0</v>
      </c>
      <c r="AQ1222" s="246">
        <f>IFERROR(VLOOKUP(O1222,PROGRAMAS[],3,FALSE),0)</f>
        <v>0</v>
      </c>
      <c r="AR1222" s="246">
        <f>IFERROR(VLOOKUP(P1222,PROGRAMAS[],3,FALSE),0)</f>
        <v>0</v>
      </c>
      <c r="AS1222" s="246">
        <f>IFERROR(VLOOKUP(Q1222,PROGRAMAS[],3,FALSE),0)</f>
        <v>0</v>
      </c>
      <c r="AT1222" s="246">
        <f>IFERROR(VLOOKUP(D1222,VOL_REC[],2,FALSE),0)</f>
        <v>0</v>
      </c>
      <c r="AU1222" s="246">
        <f>IFERROR(VLOOKUP(E1222,VOL_REC[],2,FALSE),0)</f>
        <v>0</v>
      </c>
      <c r="AV1222" s="246">
        <f>IFERROR(VLOOKUP(F1222,VOL_REC[],2,FALSE),0)</f>
        <v>11089674.200000001</v>
      </c>
      <c r="AW1222" s="246">
        <f>IFERROR(VLOOKUP(G1222,VOL_REC[],2,FALSE),0)</f>
        <v>90439.55</v>
      </c>
      <c r="AX1222" s="246">
        <f>IFERROR(VLOOKUP(H1222,VOL_REC[],2,FALSE),0)</f>
        <v>3761786</v>
      </c>
      <c r="AY1222" s="246">
        <f>IFERROR(VLOOKUP(I1222,VOL_REC[],2,FALSE),0)</f>
        <v>1812240</v>
      </c>
      <c r="AZ1222" s="246">
        <f>IFERROR(VLOOKUP(J1222,VOL_REC[],2,FALSE),0)</f>
        <v>240696.79238099116</v>
      </c>
      <c r="BA1222" s="246">
        <f>IFERROR(VLOOKUP(K1222,VOL_REC[],2,FALSE),0)</f>
        <v>663244.80000000016</v>
      </c>
      <c r="BB1222" s="246">
        <f>IFERROR(VLOOKUP(L1222,VOL_REC[],2,FALSE),0)</f>
        <v>105072</v>
      </c>
      <c r="BC1222" s="246">
        <f>IFERROR(VLOOKUP(M1222,VOL_REC[],2,FALSE),0)</f>
        <v>0</v>
      </c>
      <c r="BD1222" s="246">
        <f>IFERROR(VLOOKUP(N1222,VOL_REC[],2,FALSE),0)</f>
        <v>0</v>
      </c>
      <c r="BE1222" s="246">
        <f>IFERROR(VLOOKUP(O1222,VOL_REC[],2,FALSE),0)</f>
        <v>0</v>
      </c>
      <c r="BF1222" s="246">
        <f>IFERROR(VLOOKUP(P1222,VOL_REC[],2,FALSE),0)</f>
        <v>0</v>
      </c>
      <c r="BG1222" s="246">
        <f>IFERROR(VLOOKUP(Q1222,VOL_REC[],2,FALSE),0)</f>
        <v>0</v>
      </c>
      <c r="BH1222" s="1710">
        <f t="shared" si="76"/>
        <v>19294954177.806961</v>
      </c>
      <c r="BI1222" s="1710">
        <f t="shared" si="77"/>
        <v>22508545979.529007</v>
      </c>
      <c r="BJ1222" s="1711">
        <f t="shared" si="78"/>
        <v>17763153.342380993</v>
      </c>
      <c r="BK1222" s="1711">
        <f t="shared" si="79"/>
        <v>0.85722792557792349</v>
      </c>
    </row>
    <row r="1223" spans="3:67" x14ac:dyDescent="0.25">
      <c r="C1223" s="246" t="s">
        <v>2573</v>
      </c>
      <c r="D1223" s="246">
        <v>1</v>
      </c>
      <c r="E1223" s="246">
        <v>2</v>
      </c>
      <c r="F1223" s="246">
        <v>3</v>
      </c>
      <c r="G1223" s="246">
        <v>4</v>
      </c>
      <c r="H1223" s="246">
        <v>9</v>
      </c>
      <c r="I1223" s="246">
        <v>10</v>
      </c>
      <c r="J1223" s="246">
        <v>12</v>
      </c>
      <c r="K1223" s="246">
        <v>13</v>
      </c>
      <c r="L1223" s="246">
        <v>16</v>
      </c>
      <c r="M1223" s="246"/>
      <c r="N1223" s="246"/>
      <c r="O1223" s="246"/>
      <c r="P1223" s="246"/>
      <c r="Q1223" s="246"/>
      <c r="R1223" s="246">
        <f>IFERROR(VLOOKUP(D1223,PROGRAMAS[],2,FALSE),0)</f>
        <v>97037803.679377079</v>
      </c>
      <c r="S1223" s="246">
        <f>IFERROR(VLOOKUP(E1223,PROGRAMAS[],2,FALSE),0)</f>
        <v>640501509.6821388</v>
      </c>
      <c r="T1223" s="246">
        <f>IFERROR(VLOOKUP(F1223,PROGRAMAS[],2,FALSE),0)</f>
        <v>3062327798.1525245</v>
      </c>
      <c r="U1223" s="246">
        <f>IFERROR(VLOOKUP(G1223,PROGRAMAS[],2,FALSE),0)</f>
        <v>67697118.033011258</v>
      </c>
      <c r="V1223" s="246">
        <f>IFERROR(VLOOKUP(H1223,PROGRAMAS[],2,FALSE),0)</f>
        <v>6128579952.1618185</v>
      </c>
      <c r="W1223" s="246">
        <f>IFERROR(VLOOKUP(I1223,PROGRAMAS[],2,FALSE),0)</f>
        <v>4635315027.8751087</v>
      </c>
      <c r="X1223" s="246">
        <f>IFERROR(VLOOKUP(J1223,PROGRAMAS[],2,FALSE),0)</f>
        <v>764796700.79905891</v>
      </c>
      <c r="Y1223" s="246">
        <f>IFERROR(VLOOKUP(K1223,PROGRAMAS[],2,FALSE),0)</f>
        <v>3776538594.4604583</v>
      </c>
      <c r="Z1223" s="246">
        <f>IFERROR(VLOOKUP(L1223,PROGRAMAS[],2,FALSE),0)</f>
        <v>7068496961.0436354</v>
      </c>
      <c r="AA1223" s="246">
        <f>IFERROR(VLOOKUP(M1223,PROGRAMAS[],2,FALSE),0)</f>
        <v>0</v>
      </c>
      <c r="AB1223" s="246">
        <f>IFERROR(VLOOKUP(N1223,PROGRAMAS[],2,FALSE),0)</f>
        <v>0</v>
      </c>
      <c r="AC1223" s="246">
        <f>IFERROR(VLOOKUP(O1223,PROGRAMAS[],2,FALSE),0)</f>
        <v>0</v>
      </c>
      <c r="AD1223" s="246">
        <f>IFERROR(VLOOKUP(P1223,PROGRAMAS[],2,FALSE),0)</f>
        <v>0</v>
      </c>
      <c r="AE1223" s="246">
        <f>IFERROR(VLOOKUP(Q1223,PROGRAMAS[],2,FALSE),0)</f>
        <v>0</v>
      </c>
      <c r="AF1223" s="246">
        <f>IFERROR(VLOOKUP(D1223,PROGRAMAS[],3,FALSE),0)</f>
        <v>841888629.31080008</v>
      </c>
      <c r="AG1223" s="246">
        <f>IFERROR(VLOOKUP(E1223,PROGRAMAS[],3,FALSE),0)</f>
        <v>3848980803.1642323</v>
      </c>
      <c r="AH1223" s="246">
        <f>IFERROR(VLOOKUP(F1223,PROGRAMAS[],3,FALSE),0)</f>
        <v>3394901471.387517</v>
      </c>
      <c r="AI1223" s="246">
        <f>IFERROR(VLOOKUP(G1223,PROGRAMAS[],3,FALSE),0)</f>
        <v>125317226.95549992</v>
      </c>
      <c r="AJ1223" s="246">
        <f>IFERROR(VLOOKUP(H1223,PROGRAMAS[],3,FALSE),0)</f>
        <v>7011279577.519702</v>
      </c>
      <c r="AK1223" s="246">
        <f>IFERROR(VLOOKUP(I1223,PROGRAMAS[],3,FALSE),0)</f>
        <v>4099471734.9978786</v>
      </c>
      <c r="AL1223" s="246">
        <f>IFERROR(VLOOKUP(J1223,PROGRAMAS[],3,FALSE),0)</f>
        <v>675517840.109828</v>
      </c>
      <c r="AM1223" s="246">
        <f>IFERROR(VLOOKUP(K1223,PROGRAMAS[],3,FALSE),0)</f>
        <v>2392571243.5584412</v>
      </c>
      <c r="AN1223" s="246">
        <f>IFERROR(VLOOKUP(L1223,PROGRAMAS[],3,FALSE),0)</f>
        <v>2406564599.0319901</v>
      </c>
      <c r="AO1223" s="246">
        <f>IFERROR(VLOOKUP(M1223,PROGRAMAS[],3,FALSE),0)</f>
        <v>0</v>
      </c>
      <c r="AP1223" s="246">
        <f>IFERROR(VLOOKUP(N1223,PROGRAMAS[],3,FALSE),0)</f>
        <v>0</v>
      </c>
      <c r="AQ1223" s="246">
        <f>IFERROR(VLOOKUP(O1223,PROGRAMAS[],3,FALSE),0)</f>
        <v>0</v>
      </c>
      <c r="AR1223" s="246">
        <f>IFERROR(VLOOKUP(P1223,PROGRAMAS[],3,FALSE),0)</f>
        <v>0</v>
      </c>
      <c r="AS1223" s="246">
        <f>IFERROR(VLOOKUP(Q1223,PROGRAMAS[],3,FALSE),0)</f>
        <v>0</v>
      </c>
      <c r="AT1223" s="246">
        <f>IFERROR(VLOOKUP(D1223,VOL_REC[],2,FALSE),0)</f>
        <v>0</v>
      </c>
      <c r="AU1223" s="246">
        <f>IFERROR(VLOOKUP(E1223,VOL_REC[],2,FALSE),0)</f>
        <v>0</v>
      </c>
      <c r="AV1223" s="246">
        <f>IFERROR(VLOOKUP(F1223,VOL_REC[],2,FALSE),0)</f>
        <v>11089674.200000001</v>
      </c>
      <c r="AW1223" s="246">
        <f>IFERROR(VLOOKUP(G1223,VOL_REC[],2,FALSE),0)</f>
        <v>90439.55</v>
      </c>
      <c r="AX1223" s="246">
        <f>IFERROR(VLOOKUP(H1223,VOL_REC[],2,FALSE),0)</f>
        <v>3761786</v>
      </c>
      <c r="AY1223" s="246">
        <f>IFERROR(VLOOKUP(I1223,VOL_REC[],2,FALSE),0)</f>
        <v>1812240</v>
      </c>
      <c r="AZ1223" s="246">
        <f>IFERROR(VLOOKUP(J1223,VOL_REC[],2,FALSE),0)</f>
        <v>240696.79238099116</v>
      </c>
      <c r="BA1223" s="246">
        <f>IFERROR(VLOOKUP(K1223,VOL_REC[],2,FALSE),0)</f>
        <v>663244.80000000016</v>
      </c>
      <c r="BB1223" s="246">
        <f>IFERROR(VLOOKUP(L1223,VOL_REC[],2,FALSE),0)</f>
        <v>1072354.9981737854</v>
      </c>
      <c r="BC1223" s="246">
        <f>IFERROR(VLOOKUP(M1223,VOL_REC[],2,FALSE),0)</f>
        <v>0</v>
      </c>
      <c r="BD1223" s="246">
        <f>IFERROR(VLOOKUP(N1223,VOL_REC[],2,FALSE),0)</f>
        <v>0</v>
      </c>
      <c r="BE1223" s="246">
        <f>IFERROR(VLOOKUP(O1223,VOL_REC[],2,FALSE),0)</f>
        <v>0</v>
      </c>
      <c r="BF1223" s="246">
        <f>IFERROR(VLOOKUP(P1223,VOL_REC[],2,FALSE),0)</f>
        <v>0</v>
      </c>
      <c r="BG1223" s="246">
        <f>IFERROR(VLOOKUP(Q1223,VOL_REC[],2,FALSE),0)</f>
        <v>0</v>
      </c>
      <c r="BH1223" s="1710">
        <f t="shared" si="76"/>
        <v>26241291465.887131</v>
      </c>
      <c r="BI1223" s="1710">
        <f t="shared" si="77"/>
        <v>24796493126.035889</v>
      </c>
      <c r="BJ1223" s="1711">
        <f t="shared" si="78"/>
        <v>18730436.340554778</v>
      </c>
      <c r="BK1223" s="1711">
        <f t="shared" si="79"/>
        <v>1.0582662367822582</v>
      </c>
      <c r="BL1223">
        <f>BJ1223</f>
        <v>18730436.340554778</v>
      </c>
      <c r="BO1223">
        <f>BL1223</f>
        <v>18730436.340554778</v>
      </c>
    </row>
    <row r="1224" spans="3:67" x14ac:dyDescent="0.25">
      <c r="C1224" s="246" t="s">
        <v>2574</v>
      </c>
      <c r="D1224" s="246">
        <v>1</v>
      </c>
      <c r="E1224" s="246">
        <v>2</v>
      </c>
      <c r="F1224" s="246">
        <v>3</v>
      </c>
      <c r="G1224" s="246">
        <v>4</v>
      </c>
      <c r="H1224" s="246">
        <v>9</v>
      </c>
      <c r="I1224" s="246">
        <v>10</v>
      </c>
      <c r="J1224" s="246">
        <v>12</v>
      </c>
      <c r="K1224" s="246">
        <v>13</v>
      </c>
      <c r="L1224" s="246">
        <v>17</v>
      </c>
      <c r="M1224" s="246"/>
      <c r="N1224" s="246"/>
      <c r="O1224" s="246"/>
      <c r="P1224" s="246"/>
      <c r="Q1224" s="246"/>
      <c r="R1224" s="246">
        <f>IFERROR(VLOOKUP(D1224,PROGRAMAS[],2,FALSE),0)</f>
        <v>97037803.679377079</v>
      </c>
      <c r="S1224" s="246">
        <f>IFERROR(VLOOKUP(E1224,PROGRAMAS[],2,FALSE),0)</f>
        <v>640501509.6821388</v>
      </c>
      <c r="T1224" s="246">
        <f>IFERROR(VLOOKUP(F1224,PROGRAMAS[],2,FALSE),0)</f>
        <v>3062327798.1525245</v>
      </c>
      <c r="U1224" s="246">
        <f>IFERROR(VLOOKUP(G1224,PROGRAMAS[],2,FALSE),0)</f>
        <v>67697118.033011258</v>
      </c>
      <c r="V1224" s="246">
        <f>IFERROR(VLOOKUP(H1224,PROGRAMAS[],2,FALSE),0)</f>
        <v>6128579952.1618185</v>
      </c>
      <c r="W1224" s="246">
        <f>IFERROR(VLOOKUP(I1224,PROGRAMAS[],2,FALSE),0)</f>
        <v>4635315027.8751087</v>
      </c>
      <c r="X1224" s="246">
        <f>IFERROR(VLOOKUP(J1224,PROGRAMAS[],2,FALSE),0)</f>
        <v>764796700.79905891</v>
      </c>
      <c r="Y1224" s="246">
        <f>IFERROR(VLOOKUP(K1224,PROGRAMAS[],2,FALSE),0)</f>
        <v>3776538594.4604583</v>
      </c>
      <c r="Z1224" s="246">
        <f>IFERROR(VLOOKUP(L1224,PROGRAMAS[],2,FALSE),0)</f>
        <v>1892779498.5211046</v>
      </c>
      <c r="AA1224" s="246">
        <f>IFERROR(VLOOKUP(M1224,PROGRAMAS[],2,FALSE),0)</f>
        <v>0</v>
      </c>
      <c r="AB1224" s="246">
        <f>IFERROR(VLOOKUP(N1224,PROGRAMAS[],2,FALSE),0)</f>
        <v>0</v>
      </c>
      <c r="AC1224" s="246">
        <f>IFERROR(VLOOKUP(O1224,PROGRAMAS[],2,FALSE),0)</f>
        <v>0</v>
      </c>
      <c r="AD1224" s="246">
        <f>IFERROR(VLOOKUP(P1224,PROGRAMAS[],2,FALSE),0)</f>
        <v>0</v>
      </c>
      <c r="AE1224" s="246">
        <f>IFERROR(VLOOKUP(Q1224,PROGRAMAS[],2,FALSE),0)</f>
        <v>0</v>
      </c>
      <c r="AF1224" s="246">
        <f>IFERROR(VLOOKUP(D1224,PROGRAMAS[],3,FALSE),0)</f>
        <v>841888629.31080008</v>
      </c>
      <c r="AG1224" s="246">
        <f>IFERROR(VLOOKUP(E1224,PROGRAMAS[],3,FALSE),0)</f>
        <v>3848980803.1642323</v>
      </c>
      <c r="AH1224" s="246">
        <f>IFERROR(VLOOKUP(F1224,PROGRAMAS[],3,FALSE),0)</f>
        <v>3394901471.387517</v>
      </c>
      <c r="AI1224" s="246">
        <f>IFERROR(VLOOKUP(G1224,PROGRAMAS[],3,FALSE),0)</f>
        <v>125317226.95549992</v>
      </c>
      <c r="AJ1224" s="246">
        <f>IFERROR(VLOOKUP(H1224,PROGRAMAS[],3,FALSE),0)</f>
        <v>7011279577.519702</v>
      </c>
      <c r="AK1224" s="246">
        <f>IFERROR(VLOOKUP(I1224,PROGRAMAS[],3,FALSE),0)</f>
        <v>4099471734.9978786</v>
      </c>
      <c r="AL1224" s="246">
        <f>IFERROR(VLOOKUP(J1224,PROGRAMAS[],3,FALSE),0)</f>
        <v>675517840.109828</v>
      </c>
      <c r="AM1224" s="246">
        <f>IFERROR(VLOOKUP(K1224,PROGRAMAS[],3,FALSE),0)</f>
        <v>2392571243.5584412</v>
      </c>
      <c r="AN1224" s="246">
        <f>IFERROR(VLOOKUP(L1224,PROGRAMAS[],3,FALSE),0)</f>
        <v>948595847.09039903</v>
      </c>
      <c r="AO1224" s="246">
        <f>IFERROR(VLOOKUP(M1224,PROGRAMAS[],3,FALSE),0)</f>
        <v>0</v>
      </c>
      <c r="AP1224" s="246">
        <f>IFERROR(VLOOKUP(N1224,PROGRAMAS[],3,FALSE),0)</f>
        <v>0</v>
      </c>
      <c r="AQ1224" s="246">
        <f>IFERROR(VLOOKUP(O1224,PROGRAMAS[],3,FALSE),0)</f>
        <v>0</v>
      </c>
      <c r="AR1224" s="246">
        <f>IFERROR(VLOOKUP(P1224,PROGRAMAS[],3,FALSE),0)</f>
        <v>0</v>
      </c>
      <c r="AS1224" s="246">
        <f>IFERROR(VLOOKUP(Q1224,PROGRAMAS[],3,FALSE),0)</f>
        <v>0</v>
      </c>
      <c r="AT1224" s="246">
        <f>IFERROR(VLOOKUP(D1224,VOL_REC[],2,FALSE),0)</f>
        <v>0</v>
      </c>
      <c r="AU1224" s="246">
        <f>IFERROR(VLOOKUP(E1224,VOL_REC[],2,FALSE),0)</f>
        <v>0</v>
      </c>
      <c r="AV1224" s="246">
        <f>IFERROR(VLOOKUP(F1224,VOL_REC[],2,FALSE),0)</f>
        <v>11089674.200000001</v>
      </c>
      <c r="AW1224" s="246">
        <f>IFERROR(VLOOKUP(G1224,VOL_REC[],2,FALSE),0)</f>
        <v>90439.55</v>
      </c>
      <c r="AX1224" s="246">
        <f>IFERROR(VLOOKUP(H1224,VOL_REC[],2,FALSE),0)</f>
        <v>3761786</v>
      </c>
      <c r="AY1224" s="246">
        <f>IFERROR(VLOOKUP(I1224,VOL_REC[],2,FALSE),0)</f>
        <v>1812240</v>
      </c>
      <c r="AZ1224" s="246">
        <f>IFERROR(VLOOKUP(J1224,VOL_REC[],2,FALSE),0)</f>
        <v>240696.79238099116</v>
      </c>
      <c r="BA1224" s="246">
        <f>IFERROR(VLOOKUP(K1224,VOL_REC[],2,FALSE),0)</f>
        <v>663244.80000000016</v>
      </c>
      <c r="BB1224" s="246">
        <f>IFERROR(VLOOKUP(L1224,VOL_REC[],2,FALSE),0)</f>
        <v>740113.98115702497</v>
      </c>
      <c r="BC1224" s="246">
        <f>IFERROR(VLOOKUP(M1224,VOL_REC[],2,FALSE),0)</f>
        <v>0</v>
      </c>
      <c r="BD1224" s="246">
        <f>IFERROR(VLOOKUP(N1224,VOL_REC[],2,FALSE),0)</f>
        <v>0</v>
      </c>
      <c r="BE1224" s="246">
        <f>IFERROR(VLOOKUP(O1224,VOL_REC[],2,FALSE),0)</f>
        <v>0</v>
      </c>
      <c r="BF1224" s="246">
        <f>IFERROR(VLOOKUP(P1224,VOL_REC[],2,FALSE),0)</f>
        <v>0</v>
      </c>
      <c r="BG1224" s="246">
        <f>IFERROR(VLOOKUP(Q1224,VOL_REC[],2,FALSE),0)</f>
        <v>0</v>
      </c>
      <c r="BH1224" s="1710">
        <f t="shared" si="76"/>
        <v>21065574003.364597</v>
      </c>
      <c r="BI1224" s="1710">
        <f t="shared" si="77"/>
        <v>23338524374.094299</v>
      </c>
      <c r="BJ1224" s="1711">
        <f t="shared" si="78"/>
        <v>18398195.323538017</v>
      </c>
      <c r="BK1224" s="1711">
        <f t="shared" si="79"/>
        <v>0.90260950802645123</v>
      </c>
    </row>
    <row r="1225" spans="3:67" x14ac:dyDescent="0.25">
      <c r="C1225" s="246" t="s">
        <v>2575</v>
      </c>
      <c r="D1225" s="246">
        <v>1</v>
      </c>
      <c r="E1225" s="246">
        <v>2</v>
      </c>
      <c r="F1225" s="246">
        <v>3</v>
      </c>
      <c r="G1225" s="246">
        <v>4</v>
      </c>
      <c r="H1225" s="246">
        <v>9</v>
      </c>
      <c r="I1225" s="246">
        <v>10</v>
      </c>
      <c r="J1225" s="246">
        <v>12</v>
      </c>
      <c r="K1225" s="246">
        <v>14</v>
      </c>
      <c r="L1225" s="246">
        <v>15</v>
      </c>
      <c r="M1225" s="246"/>
      <c r="N1225" s="246"/>
      <c r="O1225" s="246"/>
      <c r="P1225" s="246"/>
      <c r="Q1225" s="246"/>
      <c r="R1225" s="246">
        <f>IFERROR(VLOOKUP(D1225,PROGRAMAS[],2,FALSE),0)</f>
        <v>97037803.679377079</v>
      </c>
      <c r="S1225" s="246">
        <f>IFERROR(VLOOKUP(E1225,PROGRAMAS[],2,FALSE),0)</f>
        <v>640501509.6821388</v>
      </c>
      <c r="T1225" s="246">
        <f>IFERROR(VLOOKUP(F1225,PROGRAMAS[],2,FALSE),0)</f>
        <v>3062327798.1525245</v>
      </c>
      <c r="U1225" s="246">
        <f>IFERROR(VLOOKUP(G1225,PROGRAMAS[],2,FALSE),0)</f>
        <v>67697118.033011258</v>
      </c>
      <c r="V1225" s="246">
        <f>IFERROR(VLOOKUP(H1225,PROGRAMAS[],2,FALSE),0)</f>
        <v>6128579952.1618185</v>
      </c>
      <c r="W1225" s="246">
        <f>IFERROR(VLOOKUP(I1225,PROGRAMAS[],2,FALSE),0)</f>
        <v>4635315027.8751087</v>
      </c>
      <c r="X1225" s="246">
        <f>IFERROR(VLOOKUP(J1225,PROGRAMAS[],2,FALSE),0)</f>
        <v>764796700.79905891</v>
      </c>
      <c r="Y1225" s="246">
        <f>IFERROR(VLOOKUP(K1225,PROGRAMAS[],2,FALSE),0)</f>
        <v>54223862.645839565</v>
      </c>
      <c r="Z1225" s="246">
        <f>IFERROR(VLOOKUP(L1225,PROGRAMAS[],2,FALSE),0)</f>
        <v>122159672.96346797</v>
      </c>
      <c r="AA1225" s="246">
        <f>IFERROR(VLOOKUP(M1225,PROGRAMAS[],2,FALSE),0)</f>
        <v>0</v>
      </c>
      <c r="AB1225" s="246">
        <f>IFERROR(VLOOKUP(N1225,PROGRAMAS[],2,FALSE),0)</f>
        <v>0</v>
      </c>
      <c r="AC1225" s="246">
        <f>IFERROR(VLOOKUP(O1225,PROGRAMAS[],2,FALSE),0)</f>
        <v>0</v>
      </c>
      <c r="AD1225" s="246">
        <f>IFERROR(VLOOKUP(P1225,PROGRAMAS[],2,FALSE),0)</f>
        <v>0</v>
      </c>
      <c r="AE1225" s="246">
        <f>IFERROR(VLOOKUP(Q1225,PROGRAMAS[],2,FALSE),0)</f>
        <v>0</v>
      </c>
      <c r="AF1225" s="246">
        <f>IFERROR(VLOOKUP(D1225,PROGRAMAS[],3,FALSE),0)</f>
        <v>841888629.31080008</v>
      </c>
      <c r="AG1225" s="246">
        <f>IFERROR(VLOOKUP(E1225,PROGRAMAS[],3,FALSE),0)</f>
        <v>3848980803.1642323</v>
      </c>
      <c r="AH1225" s="246">
        <f>IFERROR(VLOOKUP(F1225,PROGRAMAS[],3,FALSE),0)</f>
        <v>3394901471.387517</v>
      </c>
      <c r="AI1225" s="246">
        <f>IFERROR(VLOOKUP(G1225,PROGRAMAS[],3,FALSE),0)</f>
        <v>125317226.95549992</v>
      </c>
      <c r="AJ1225" s="246">
        <f>IFERROR(VLOOKUP(H1225,PROGRAMAS[],3,FALSE),0)</f>
        <v>7011279577.519702</v>
      </c>
      <c r="AK1225" s="246">
        <f>IFERROR(VLOOKUP(I1225,PROGRAMAS[],3,FALSE),0)</f>
        <v>4099471734.9978786</v>
      </c>
      <c r="AL1225" s="246">
        <f>IFERROR(VLOOKUP(J1225,PROGRAMAS[],3,FALSE),0)</f>
        <v>675517840.109828</v>
      </c>
      <c r="AM1225" s="246">
        <f>IFERROR(VLOOKUP(K1225,PROGRAMAS[],3,FALSE),0)</f>
        <v>31865326.38096505</v>
      </c>
      <c r="AN1225" s="246">
        <f>IFERROR(VLOOKUP(L1225,PROGRAMAS[],3,FALSE),0)</f>
        <v>118617452.52510804</v>
      </c>
      <c r="AO1225" s="246">
        <f>IFERROR(VLOOKUP(M1225,PROGRAMAS[],3,FALSE),0)</f>
        <v>0</v>
      </c>
      <c r="AP1225" s="246">
        <f>IFERROR(VLOOKUP(N1225,PROGRAMAS[],3,FALSE),0)</f>
        <v>0</v>
      </c>
      <c r="AQ1225" s="246">
        <f>IFERROR(VLOOKUP(O1225,PROGRAMAS[],3,FALSE),0)</f>
        <v>0</v>
      </c>
      <c r="AR1225" s="246">
        <f>IFERROR(VLOOKUP(P1225,PROGRAMAS[],3,FALSE),0)</f>
        <v>0</v>
      </c>
      <c r="AS1225" s="246">
        <f>IFERROR(VLOOKUP(Q1225,PROGRAMAS[],3,FALSE),0)</f>
        <v>0</v>
      </c>
      <c r="AT1225" s="246">
        <f>IFERROR(VLOOKUP(D1225,VOL_REC[],2,FALSE),0)</f>
        <v>0</v>
      </c>
      <c r="AU1225" s="246">
        <f>IFERROR(VLOOKUP(E1225,VOL_REC[],2,FALSE),0)</f>
        <v>0</v>
      </c>
      <c r="AV1225" s="246">
        <f>IFERROR(VLOOKUP(F1225,VOL_REC[],2,FALSE),0)</f>
        <v>11089674.200000001</v>
      </c>
      <c r="AW1225" s="246">
        <f>IFERROR(VLOOKUP(G1225,VOL_REC[],2,FALSE),0)</f>
        <v>90439.55</v>
      </c>
      <c r="AX1225" s="246">
        <f>IFERROR(VLOOKUP(H1225,VOL_REC[],2,FALSE),0)</f>
        <v>3761786</v>
      </c>
      <c r="AY1225" s="246">
        <f>IFERROR(VLOOKUP(I1225,VOL_REC[],2,FALSE),0)</f>
        <v>1812240</v>
      </c>
      <c r="AZ1225" s="246">
        <f>IFERROR(VLOOKUP(J1225,VOL_REC[],2,FALSE),0)</f>
        <v>240696.79238099116</v>
      </c>
      <c r="BA1225" s="246">
        <f>IFERROR(VLOOKUP(K1225,VOL_REC[],2,FALSE),0)</f>
        <v>17074.045034105649</v>
      </c>
      <c r="BB1225" s="246">
        <f>IFERROR(VLOOKUP(L1225,VOL_REC[],2,FALSE),0)</f>
        <v>105072</v>
      </c>
      <c r="BC1225" s="246">
        <f>IFERROR(VLOOKUP(M1225,VOL_REC[],2,FALSE),0)</f>
        <v>0</v>
      </c>
      <c r="BD1225" s="246">
        <f>IFERROR(VLOOKUP(N1225,VOL_REC[],2,FALSE),0)</f>
        <v>0</v>
      </c>
      <c r="BE1225" s="246">
        <f>IFERROR(VLOOKUP(O1225,VOL_REC[],2,FALSE),0)</f>
        <v>0</v>
      </c>
      <c r="BF1225" s="246">
        <f>IFERROR(VLOOKUP(P1225,VOL_REC[],2,FALSE),0)</f>
        <v>0</v>
      </c>
      <c r="BG1225" s="246">
        <f>IFERROR(VLOOKUP(Q1225,VOL_REC[],2,FALSE),0)</f>
        <v>0</v>
      </c>
      <c r="BH1225" s="1710">
        <f t="shared" si="76"/>
        <v>15572639445.992346</v>
      </c>
      <c r="BI1225" s="1710">
        <f t="shared" si="77"/>
        <v>20147840062.351532</v>
      </c>
      <c r="BJ1225" s="1711">
        <f t="shared" si="78"/>
        <v>17116982.587415099</v>
      </c>
      <c r="BK1225" s="1711">
        <f t="shared" si="79"/>
        <v>0.77291855592458991</v>
      </c>
    </row>
    <row r="1226" spans="3:67" x14ac:dyDescent="0.25">
      <c r="C1226" s="246" t="s">
        <v>2576</v>
      </c>
      <c r="D1226" s="246">
        <v>1</v>
      </c>
      <c r="E1226" s="246">
        <v>2</v>
      </c>
      <c r="F1226" s="246">
        <v>3</v>
      </c>
      <c r="G1226" s="246">
        <v>4</v>
      </c>
      <c r="H1226" s="246">
        <v>9</v>
      </c>
      <c r="I1226" s="246">
        <v>10</v>
      </c>
      <c r="J1226" s="246">
        <v>12</v>
      </c>
      <c r="K1226" s="246">
        <v>14</v>
      </c>
      <c r="L1226" s="246">
        <v>16</v>
      </c>
      <c r="M1226" s="246"/>
      <c r="N1226" s="246"/>
      <c r="O1226" s="246"/>
      <c r="P1226" s="246"/>
      <c r="Q1226" s="246"/>
      <c r="R1226" s="246">
        <f>IFERROR(VLOOKUP(D1226,PROGRAMAS[],2,FALSE),0)</f>
        <v>97037803.679377079</v>
      </c>
      <c r="S1226" s="246">
        <f>IFERROR(VLOOKUP(E1226,PROGRAMAS[],2,FALSE),0)</f>
        <v>640501509.6821388</v>
      </c>
      <c r="T1226" s="246">
        <f>IFERROR(VLOOKUP(F1226,PROGRAMAS[],2,FALSE),0)</f>
        <v>3062327798.1525245</v>
      </c>
      <c r="U1226" s="246">
        <f>IFERROR(VLOOKUP(G1226,PROGRAMAS[],2,FALSE),0)</f>
        <v>67697118.033011258</v>
      </c>
      <c r="V1226" s="246">
        <f>IFERROR(VLOOKUP(H1226,PROGRAMAS[],2,FALSE),0)</f>
        <v>6128579952.1618185</v>
      </c>
      <c r="W1226" s="246">
        <f>IFERROR(VLOOKUP(I1226,PROGRAMAS[],2,FALSE),0)</f>
        <v>4635315027.8751087</v>
      </c>
      <c r="X1226" s="246">
        <f>IFERROR(VLOOKUP(J1226,PROGRAMAS[],2,FALSE),0)</f>
        <v>764796700.79905891</v>
      </c>
      <c r="Y1226" s="246">
        <f>IFERROR(VLOOKUP(K1226,PROGRAMAS[],2,FALSE),0)</f>
        <v>54223862.645839565</v>
      </c>
      <c r="Z1226" s="246">
        <f>IFERROR(VLOOKUP(L1226,PROGRAMAS[],2,FALSE),0)</f>
        <v>7068496961.0436354</v>
      </c>
      <c r="AA1226" s="246">
        <f>IFERROR(VLOOKUP(M1226,PROGRAMAS[],2,FALSE),0)</f>
        <v>0</v>
      </c>
      <c r="AB1226" s="246">
        <f>IFERROR(VLOOKUP(N1226,PROGRAMAS[],2,FALSE),0)</f>
        <v>0</v>
      </c>
      <c r="AC1226" s="246">
        <f>IFERROR(VLOOKUP(O1226,PROGRAMAS[],2,FALSE),0)</f>
        <v>0</v>
      </c>
      <c r="AD1226" s="246">
        <f>IFERROR(VLOOKUP(P1226,PROGRAMAS[],2,FALSE),0)</f>
        <v>0</v>
      </c>
      <c r="AE1226" s="246">
        <f>IFERROR(VLOOKUP(Q1226,PROGRAMAS[],2,FALSE),0)</f>
        <v>0</v>
      </c>
      <c r="AF1226" s="246">
        <f>IFERROR(VLOOKUP(D1226,PROGRAMAS[],3,FALSE),0)</f>
        <v>841888629.31080008</v>
      </c>
      <c r="AG1226" s="246">
        <f>IFERROR(VLOOKUP(E1226,PROGRAMAS[],3,FALSE),0)</f>
        <v>3848980803.1642323</v>
      </c>
      <c r="AH1226" s="246">
        <f>IFERROR(VLOOKUP(F1226,PROGRAMAS[],3,FALSE),0)</f>
        <v>3394901471.387517</v>
      </c>
      <c r="AI1226" s="246">
        <f>IFERROR(VLOOKUP(G1226,PROGRAMAS[],3,FALSE),0)</f>
        <v>125317226.95549992</v>
      </c>
      <c r="AJ1226" s="246">
        <f>IFERROR(VLOOKUP(H1226,PROGRAMAS[],3,FALSE),0)</f>
        <v>7011279577.519702</v>
      </c>
      <c r="AK1226" s="246">
        <f>IFERROR(VLOOKUP(I1226,PROGRAMAS[],3,FALSE),0)</f>
        <v>4099471734.9978786</v>
      </c>
      <c r="AL1226" s="246">
        <f>IFERROR(VLOOKUP(J1226,PROGRAMAS[],3,FALSE),0)</f>
        <v>675517840.109828</v>
      </c>
      <c r="AM1226" s="246">
        <f>IFERROR(VLOOKUP(K1226,PROGRAMAS[],3,FALSE),0)</f>
        <v>31865326.38096505</v>
      </c>
      <c r="AN1226" s="246">
        <f>IFERROR(VLOOKUP(L1226,PROGRAMAS[],3,FALSE),0)</f>
        <v>2406564599.0319901</v>
      </c>
      <c r="AO1226" s="246">
        <f>IFERROR(VLOOKUP(M1226,PROGRAMAS[],3,FALSE),0)</f>
        <v>0</v>
      </c>
      <c r="AP1226" s="246">
        <f>IFERROR(VLOOKUP(N1226,PROGRAMAS[],3,FALSE),0)</f>
        <v>0</v>
      </c>
      <c r="AQ1226" s="246">
        <f>IFERROR(VLOOKUP(O1226,PROGRAMAS[],3,FALSE),0)</f>
        <v>0</v>
      </c>
      <c r="AR1226" s="246">
        <f>IFERROR(VLOOKUP(P1226,PROGRAMAS[],3,FALSE),0)</f>
        <v>0</v>
      </c>
      <c r="AS1226" s="246">
        <f>IFERROR(VLOOKUP(Q1226,PROGRAMAS[],3,FALSE),0)</f>
        <v>0</v>
      </c>
      <c r="AT1226" s="246">
        <f>IFERROR(VLOOKUP(D1226,VOL_REC[],2,FALSE),0)</f>
        <v>0</v>
      </c>
      <c r="AU1226" s="246">
        <f>IFERROR(VLOOKUP(E1226,VOL_REC[],2,FALSE),0)</f>
        <v>0</v>
      </c>
      <c r="AV1226" s="246">
        <f>IFERROR(VLOOKUP(F1226,VOL_REC[],2,FALSE),0)</f>
        <v>11089674.200000001</v>
      </c>
      <c r="AW1226" s="246">
        <f>IFERROR(VLOOKUP(G1226,VOL_REC[],2,FALSE),0)</f>
        <v>90439.55</v>
      </c>
      <c r="AX1226" s="246">
        <f>IFERROR(VLOOKUP(H1226,VOL_REC[],2,FALSE),0)</f>
        <v>3761786</v>
      </c>
      <c r="AY1226" s="246">
        <f>IFERROR(VLOOKUP(I1226,VOL_REC[],2,FALSE),0)</f>
        <v>1812240</v>
      </c>
      <c r="AZ1226" s="246">
        <f>IFERROR(VLOOKUP(J1226,VOL_REC[],2,FALSE),0)</f>
        <v>240696.79238099116</v>
      </c>
      <c r="BA1226" s="246">
        <f>IFERROR(VLOOKUP(K1226,VOL_REC[],2,FALSE),0)</f>
        <v>17074.045034105649</v>
      </c>
      <c r="BB1226" s="246">
        <f>IFERROR(VLOOKUP(L1226,VOL_REC[],2,FALSE),0)</f>
        <v>1072354.9981737854</v>
      </c>
      <c r="BC1226" s="246">
        <f>IFERROR(VLOOKUP(M1226,VOL_REC[],2,FALSE),0)</f>
        <v>0</v>
      </c>
      <c r="BD1226" s="246">
        <f>IFERROR(VLOOKUP(N1226,VOL_REC[],2,FALSE),0)</f>
        <v>0</v>
      </c>
      <c r="BE1226" s="246">
        <f>IFERROR(VLOOKUP(O1226,VOL_REC[],2,FALSE),0)</f>
        <v>0</v>
      </c>
      <c r="BF1226" s="246">
        <f>IFERROR(VLOOKUP(P1226,VOL_REC[],2,FALSE),0)</f>
        <v>0</v>
      </c>
      <c r="BG1226" s="246">
        <f>IFERROR(VLOOKUP(Q1226,VOL_REC[],2,FALSE),0)</f>
        <v>0</v>
      </c>
      <c r="BH1226" s="1710">
        <f t="shared" si="76"/>
        <v>22518976734.072514</v>
      </c>
      <c r="BI1226" s="1710">
        <f t="shared" si="77"/>
        <v>22435787208.858414</v>
      </c>
      <c r="BJ1226" s="1711">
        <f t="shared" si="78"/>
        <v>18084265.585588884</v>
      </c>
      <c r="BK1226" s="1711">
        <f t="shared" si="79"/>
        <v>1.0037078941977686</v>
      </c>
      <c r="BL1226">
        <f>BJ1226</f>
        <v>18084265.585588884</v>
      </c>
      <c r="BO1226">
        <f>BL1226</f>
        <v>18084265.585588884</v>
      </c>
    </row>
    <row r="1227" spans="3:67" x14ac:dyDescent="0.25">
      <c r="C1227" s="246" t="s">
        <v>2577</v>
      </c>
      <c r="D1227" s="246">
        <v>1</v>
      </c>
      <c r="E1227" s="246">
        <v>2</v>
      </c>
      <c r="F1227" s="246">
        <v>3</v>
      </c>
      <c r="G1227" s="246">
        <v>4</v>
      </c>
      <c r="H1227" s="246">
        <v>9</v>
      </c>
      <c r="I1227" s="246">
        <v>10</v>
      </c>
      <c r="J1227" s="246">
        <v>12</v>
      </c>
      <c r="K1227" s="246">
        <v>14</v>
      </c>
      <c r="L1227" s="246">
        <v>17</v>
      </c>
      <c r="M1227" s="246"/>
      <c r="N1227" s="246"/>
      <c r="O1227" s="246"/>
      <c r="P1227" s="246"/>
      <c r="Q1227" s="246"/>
      <c r="R1227" s="246">
        <f>IFERROR(VLOOKUP(D1227,PROGRAMAS[],2,FALSE),0)</f>
        <v>97037803.679377079</v>
      </c>
      <c r="S1227" s="246">
        <f>IFERROR(VLOOKUP(E1227,PROGRAMAS[],2,FALSE),0)</f>
        <v>640501509.6821388</v>
      </c>
      <c r="T1227" s="246">
        <f>IFERROR(VLOOKUP(F1227,PROGRAMAS[],2,FALSE),0)</f>
        <v>3062327798.1525245</v>
      </c>
      <c r="U1227" s="246">
        <f>IFERROR(VLOOKUP(G1227,PROGRAMAS[],2,FALSE),0)</f>
        <v>67697118.033011258</v>
      </c>
      <c r="V1227" s="246">
        <f>IFERROR(VLOOKUP(H1227,PROGRAMAS[],2,FALSE),0)</f>
        <v>6128579952.1618185</v>
      </c>
      <c r="W1227" s="246">
        <f>IFERROR(VLOOKUP(I1227,PROGRAMAS[],2,FALSE),0)</f>
        <v>4635315027.8751087</v>
      </c>
      <c r="X1227" s="246">
        <f>IFERROR(VLOOKUP(J1227,PROGRAMAS[],2,FALSE),0)</f>
        <v>764796700.79905891</v>
      </c>
      <c r="Y1227" s="246">
        <f>IFERROR(VLOOKUP(K1227,PROGRAMAS[],2,FALSE),0)</f>
        <v>54223862.645839565</v>
      </c>
      <c r="Z1227" s="246">
        <f>IFERROR(VLOOKUP(L1227,PROGRAMAS[],2,FALSE),0)</f>
        <v>1892779498.5211046</v>
      </c>
      <c r="AA1227" s="246">
        <f>IFERROR(VLOOKUP(M1227,PROGRAMAS[],2,FALSE),0)</f>
        <v>0</v>
      </c>
      <c r="AB1227" s="246">
        <f>IFERROR(VLOOKUP(N1227,PROGRAMAS[],2,FALSE),0)</f>
        <v>0</v>
      </c>
      <c r="AC1227" s="246">
        <f>IFERROR(VLOOKUP(O1227,PROGRAMAS[],2,FALSE),0)</f>
        <v>0</v>
      </c>
      <c r="AD1227" s="246">
        <f>IFERROR(VLOOKUP(P1227,PROGRAMAS[],2,FALSE),0)</f>
        <v>0</v>
      </c>
      <c r="AE1227" s="246">
        <f>IFERROR(VLOOKUP(Q1227,PROGRAMAS[],2,FALSE),0)</f>
        <v>0</v>
      </c>
      <c r="AF1227" s="246">
        <f>IFERROR(VLOOKUP(D1227,PROGRAMAS[],3,FALSE),0)</f>
        <v>841888629.31080008</v>
      </c>
      <c r="AG1227" s="246">
        <f>IFERROR(VLOOKUP(E1227,PROGRAMAS[],3,FALSE),0)</f>
        <v>3848980803.1642323</v>
      </c>
      <c r="AH1227" s="246">
        <f>IFERROR(VLOOKUP(F1227,PROGRAMAS[],3,FALSE),0)</f>
        <v>3394901471.387517</v>
      </c>
      <c r="AI1227" s="246">
        <f>IFERROR(VLOOKUP(G1227,PROGRAMAS[],3,FALSE),0)</f>
        <v>125317226.95549992</v>
      </c>
      <c r="AJ1227" s="246">
        <f>IFERROR(VLOOKUP(H1227,PROGRAMAS[],3,FALSE),0)</f>
        <v>7011279577.519702</v>
      </c>
      <c r="AK1227" s="246">
        <f>IFERROR(VLOOKUP(I1227,PROGRAMAS[],3,FALSE),0)</f>
        <v>4099471734.9978786</v>
      </c>
      <c r="AL1227" s="246">
        <f>IFERROR(VLOOKUP(J1227,PROGRAMAS[],3,FALSE),0)</f>
        <v>675517840.109828</v>
      </c>
      <c r="AM1227" s="246">
        <f>IFERROR(VLOOKUP(K1227,PROGRAMAS[],3,FALSE),0)</f>
        <v>31865326.38096505</v>
      </c>
      <c r="AN1227" s="246">
        <f>IFERROR(VLOOKUP(L1227,PROGRAMAS[],3,FALSE),0)</f>
        <v>948595847.09039903</v>
      </c>
      <c r="AO1227" s="246">
        <f>IFERROR(VLOOKUP(M1227,PROGRAMAS[],3,FALSE),0)</f>
        <v>0</v>
      </c>
      <c r="AP1227" s="246">
        <f>IFERROR(VLOOKUP(N1227,PROGRAMAS[],3,FALSE),0)</f>
        <v>0</v>
      </c>
      <c r="AQ1227" s="246">
        <f>IFERROR(VLOOKUP(O1227,PROGRAMAS[],3,FALSE),0)</f>
        <v>0</v>
      </c>
      <c r="AR1227" s="246">
        <f>IFERROR(VLOOKUP(P1227,PROGRAMAS[],3,FALSE),0)</f>
        <v>0</v>
      </c>
      <c r="AS1227" s="246">
        <f>IFERROR(VLOOKUP(Q1227,PROGRAMAS[],3,FALSE),0)</f>
        <v>0</v>
      </c>
      <c r="AT1227" s="246">
        <f>IFERROR(VLOOKUP(D1227,VOL_REC[],2,FALSE),0)</f>
        <v>0</v>
      </c>
      <c r="AU1227" s="246">
        <f>IFERROR(VLOOKUP(E1227,VOL_REC[],2,FALSE),0)</f>
        <v>0</v>
      </c>
      <c r="AV1227" s="246">
        <f>IFERROR(VLOOKUP(F1227,VOL_REC[],2,FALSE),0)</f>
        <v>11089674.200000001</v>
      </c>
      <c r="AW1227" s="246">
        <f>IFERROR(VLOOKUP(G1227,VOL_REC[],2,FALSE),0)</f>
        <v>90439.55</v>
      </c>
      <c r="AX1227" s="246">
        <f>IFERROR(VLOOKUP(H1227,VOL_REC[],2,FALSE),0)</f>
        <v>3761786</v>
      </c>
      <c r="AY1227" s="246">
        <f>IFERROR(VLOOKUP(I1227,VOL_REC[],2,FALSE),0)</f>
        <v>1812240</v>
      </c>
      <c r="AZ1227" s="246">
        <f>IFERROR(VLOOKUP(J1227,VOL_REC[],2,FALSE),0)</f>
        <v>240696.79238099116</v>
      </c>
      <c r="BA1227" s="246">
        <f>IFERROR(VLOOKUP(K1227,VOL_REC[],2,FALSE),0)</f>
        <v>17074.045034105649</v>
      </c>
      <c r="BB1227" s="246">
        <f>IFERROR(VLOOKUP(L1227,VOL_REC[],2,FALSE),0)</f>
        <v>740113.98115702497</v>
      </c>
      <c r="BC1227" s="246">
        <f>IFERROR(VLOOKUP(M1227,VOL_REC[],2,FALSE),0)</f>
        <v>0</v>
      </c>
      <c r="BD1227" s="246">
        <f>IFERROR(VLOOKUP(N1227,VOL_REC[],2,FALSE),0)</f>
        <v>0</v>
      </c>
      <c r="BE1227" s="246">
        <f>IFERROR(VLOOKUP(O1227,VOL_REC[],2,FALSE),0)</f>
        <v>0</v>
      </c>
      <c r="BF1227" s="246">
        <f>IFERROR(VLOOKUP(P1227,VOL_REC[],2,FALSE),0)</f>
        <v>0</v>
      </c>
      <c r="BG1227" s="246">
        <f>IFERROR(VLOOKUP(Q1227,VOL_REC[],2,FALSE),0)</f>
        <v>0</v>
      </c>
      <c r="BH1227" s="1710">
        <f t="shared" si="76"/>
        <v>17343259271.54998</v>
      </c>
      <c r="BI1227" s="1710">
        <f t="shared" si="77"/>
        <v>20977818456.916824</v>
      </c>
      <c r="BJ1227" s="1711">
        <f t="shared" si="78"/>
        <v>17752024.568572123</v>
      </c>
      <c r="BK1227" s="1711">
        <f t="shared" si="79"/>
        <v>0.82674274768697631</v>
      </c>
    </row>
    <row r="1228" spans="3:67" x14ac:dyDescent="0.25">
      <c r="C1228" s="246" t="s">
        <v>2578</v>
      </c>
      <c r="D1228" s="246">
        <v>1</v>
      </c>
      <c r="E1228" s="246">
        <v>2</v>
      </c>
      <c r="F1228" s="246">
        <v>3</v>
      </c>
      <c r="G1228" s="246">
        <v>4</v>
      </c>
      <c r="H1228" s="246">
        <v>9</v>
      </c>
      <c r="I1228" s="246">
        <v>10</v>
      </c>
      <c r="J1228" s="246">
        <v>12</v>
      </c>
      <c r="K1228" s="246">
        <v>15</v>
      </c>
      <c r="L1228" s="246">
        <v>16</v>
      </c>
      <c r="M1228" s="246"/>
      <c r="N1228" s="246"/>
      <c r="O1228" s="246"/>
      <c r="P1228" s="246"/>
      <c r="Q1228" s="246"/>
      <c r="R1228" s="246">
        <f>IFERROR(VLOOKUP(D1228,PROGRAMAS[],2,FALSE),0)</f>
        <v>97037803.679377079</v>
      </c>
      <c r="S1228" s="246">
        <f>IFERROR(VLOOKUP(E1228,PROGRAMAS[],2,FALSE),0)</f>
        <v>640501509.6821388</v>
      </c>
      <c r="T1228" s="246">
        <f>IFERROR(VLOOKUP(F1228,PROGRAMAS[],2,FALSE),0)</f>
        <v>3062327798.1525245</v>
      </c>
      <c r="U1228" s="246">
        <f>IFERROR(VLOOKUP(G1228,PROGRAMAS[],2,FALSE),0)</f>
        <v>67697118.033011258</v>
      </c>
      <c r="V1228" s="246">
        <f>IFERROR(VLOOKUP(H1228,PROGRAMAS[],2,FALSE),0)</f>
        <v>6128579952.1618185</v>
      </c>
      <c r="W1228" s="246">
        <f>IFERROR(VLOOKUP(I1228,PROGRAMAS[],2,FALSE),0)</f>
        <v>4635315027.8751087</v>
      </c>
      <c r="X1228" s="246">
        <f>IFERROR(VLOOKUP(J1228,PROGRAMAS[],2,FALSE),0)</f>
        <v>764796700.79905891</v>
      </c>
      <c r="Y1228" s="246">
        <f>IFERROR(VLOOKUP(K1228,PROGRAMAS[],2,FALSE),0)</f>
        <v>122159672.96346797</v>
      </c>
      <c r="Z1228" s="246">
        <f>IFERROR(VLOOKUP(L1228,PROGRAMAS[],2,FALSE),0)</f>
        <v>7068496961.0436354</v>
      </c>
      <c r="AA1228" s="246">
        <f>IFERROR(VLOOKUP(M1228,PROGRAMAS[],2,FALSE),0)</f>
        <v>0</v>
      </c>
      <c r="AB1228" s="246">
        <f>IFERROR(VLOOKUP(N1228,PROGRAMAS[],2,FALSE),0)</f>
        <v>0</v>
      </c>
      <c r="AC1228" s="246">
        <f>IFERROR(VLOOKUP(O1228,PROGRAMAS[],2,FALSE),0)</f>
        <v>0</v>
      </c>
      <c r="AD1228" s="246">
        <f>IFERROR(VLOOKUP(P1228,PROGRAMAS[],2,FALSE),0)</f>
        <v>0</v>
      </c>
      <c r="AE1228" s="246">
        <f>IFERROR(VLOOKUP(Q1228,PROGRAMAS[],2,FALSE),0)</f>
        <v>0</v>
      </c>
      <c r="AF1228" s="246">
        <f>IFERROR(VLOOKUP(D1228,PROGRAMAS[],3,FALSE),0)</f>
        <v>841888629.31080008</v>
      </c>
      <c r="AG1228" s="246">
        <f>IFERROR(VLOOKUP(E1228,PROGRAMAS[],3,FALSE),0)</f>
        <v>3848980803.1642323</v>
      </c>
      <c r="AH1228" s="246">
        <f>IFERROR(VLOOKUP(F1228,PROGRAMAS[],3,FALSE),0)</f>
        <v>3394901471.387517</v>
      </c>
      <c r="AI1228" s="246">
        <f>IFERROR(VLOOKUP(G1228,PROGRAMAS[],3,FALSE),0)</f>
        <v>125317226.95549992</v>
      </c>
      <c r="AJ1228" s="246">
        <f>IFERROR(VLOOKUP(H1228,PROGRAMAS[],3,FALSE),0)</f>
        <v>7011279577.519702</v>
      </c>
      <c r="AK1228" s="246">
        <f>IFERROR(VLOOKUP(I1228,PROGRAMAS[],3,FALSE),0)</f>
        <v>4099471734.9978786</v>
      </c>
      <c r="AL1228" s="246">
        <f>IFERROR(VLOOKUP(J1228,PROGRAMAS[],3,FALSE),0)</f>
        <v>675517840.109828</v>
      </c>
      <c r="AM1228" s="246">
        <f>IFERROR(VLOOKUP(K1228,PROGRAMAS[],3,FALSE),0)</f>
        <v>118617452.52510804</v>
      </c>
      <c r="AN1228" s="246">
        <f>IFERROR(VLOOKUP(L1228,PROGRAMAS[],3,FALSE),0)</f>
        <v>2406564599.0319901</v>
      </c>
      <c r="AO1228" s="246">
        <f>IFERROR(VLOOKUP(M1228,PROGRAMAS[],3,FALSE),0)</f>
        <v>0</v>
      </c>
      <c r="AP1228" s="246">
        <f>IFERROR(VLOOKUP(N1228,PROGRAMAS[],3,FALSE),0)</f>
        <v>0</v>
      </c>
      <c r="AQ1228" s="246">
        <f>IFERROR(VLOOKUP(O1228,PROGRAMAS[],3,FALSE),0)</f>
        <v>0</v>
      </c>
      <c r="AR1228" s="246">
        <f>IFERROR(VLOOKUP(P1228,PROGRAMAS[],3,FALSE),0)</f>
        <v>0</v>
      </c>
      <c r="AS1228" s="246">
        <f>IFERROR(VLOOKUP(Q1228,PROGRAMAS[],3,FALSE),0)</f>
        <v>0</v>
      </c>
      <c r="AT1228" s="246">
        <f>IFERROR(VLOOKUP(D1228,VOL_REC[],2,FALSE),0)</f>
        <v>0</v>
      </c>
      <c r="AU1228" s="246">
        <f>IFERROR(VLOOKUP(E1228,VOL_REC[],2,FALSE),0)</f>
        <v>0</v>
      </c>
      <c r="AV1228" s="246">
        <f>IFERROR(VLOOKUP(F1228,VOL_REC[],2,FALSE),0)</f>
        <v>11089674.200000001</v>
      </c>
      <c r="AW1228" s="246">
        <f>IFERROR(VLOOKUP(G1228,VOL_REC[],2,FALSE),0)</f>
        <v>90439.55</v>
      </c>
      <c r="AX1228" s="246">
        <f>IFERROR(VLOOKUP(H1228,VOL_REC[],2,FALSE),0)</f>
        <v>3761786</v>
      </c>
      <c r="AY1228" s="246">
        <f>IFERROR(VLOOKUP(I1228,VOL_REC[],2,FALSE),0)</f>
        <v>1812240</v>
      </c>
      <c r="AZ1228" s="246">
        <f>IFERROR(VLOOKUP(J1228,VOL_REC[],2,FALSE),0)</f>
        <v>240696.79238099116</v>
      </c>
      <c r="BA1228" s="246">
        <f>IFERROR(VLOOKUP(K1228,VOL_REC[],2,FALSE),0)</f>
        <v>105072</v>
      </c>
      <c r="BB1228" s="246">
        <f>IFERROR(VLOOKUP(L1228,VOL_REC[],2,FALSE),0)</f>
        <v>1072354.9981737854</v>
      </c>
      <c r="BC1228" s="246">
        <f>IFERROR(VLOOKUP(M1228,VOL_REC[],2,FALSE),0)</f>
        <v>0</v>
      </c>
      <c r="BD1228" s="246">
        <f>IFERROR(VLOOKUP(N1228,VOL_REC[],2,FALSE),0)</f>
        <v>0</v>
      </c>
      <c r="BE1228" s="246">
        <f>IFERROR(VLOOKUP(O1228,VOL_REC[],2,FALSE),0)</f>
        <v>0</v>
      </c>
      <c r="BF1228" s="246">
        <f>IFERROR(VLOOKUP(P1228,VOL_REC[],2,FALSE),0)</f>
        <v>0</v>
      </c>
      <c r="BG1228" s="246">
        <f>IFERROR(VLOOKUP(Q1228,VOL_REC[],2,FALSE),0)</f>
        <v>0</v>
      </c>
      <c r="BH1228" s="1710">
        <f t="shared" si="76"/>
        <v>22586912544.390141</v>
      </c>
      <c r="BI1228" s="1710">
        <f t="shared" si="77"/>
        <v>22522539335.002556</v>
      </c>
      <c r="BJ1228" s="1711">
        <f t="shared" si="78"/>
        <v>18172263.540554777</v>
      </c>
      <c r="BK1228" s="1711">
        <f t="shared" si="79"/>
        <v>1.00285816836326</v>
      </c>
      <c r="BL1228">
        <f>BJ1228</f>
        <v>18172263.540554777</v>
      </c>
      <c r="BO1228">
        <f>BL1228</f>
        <v>18172263.540554777</v>
      </c>
    </row>
    <row r="1229" spans="3:67" x14ac:dyDescent="0.25">
      <c r="C1229" s="246" t="s">
        <v>2579</v>
      </c>
      <c r="D1229" s="246">
        <v>1</v>
      </c>
      <c r="E1229" s="246">
        <v>2</v>
      </c>
      <c r="F1229" s="246">
        <v>3</v>
      </c>
      <c r="G1229" s="246">
        <v>4</v>
      </c>
      <c r="H1229" s="246">
        <v>9</v>
      </c>
      <c r="I1229" s="246">
        <v>10</v>
      </c>
      <c r="J1229" s="246">
        <v>12</v>
      </c>
      <c r="K1229" s="246">
        <v>15</v>
      </c>
      <c r="L1229" s="246">
        <v>17</v>
      </c>
      <c r="M1229" s="246"/>
      <c r="N1229" s="246"/>
      <c r="O1229" s="246"/>
      <c r="P1229" s="246"/>
      <c r="Q1229" s="246"/>
      <c r="R1229" s="246">
        <f>IFERROR(VLOOKUP(D1229,PROGRAMAS[],2,FALSE),0)</f>
        <v>97037803.679377079</v>
      </c>
      <c r="S1229" s="246">
        <f>IFERROR(VLOOKUP(E1229,PROGRAMAS[],2,FALSE),0)</f>
        <v>640501509.6821388</v>
      </c>
      <c r="T1229" s="246">
        <f>IFERROR(VLOOKUP(F1229,PROGRAMAS[],2,FALSE),0)</f>
        <v>3062327798.1525245</v>
      </c>
      <c r="U1229" s="246">
        <f>IFERROR(VLOOKUP(G1229,PROGRAMAS[],2,FALSE),0)</f>
        <v>67697118.033011258</v>
      </c>
      <c r="V1229" s="246">
        <f>IFERROR(VLOOKUP(H1229,PROGRAMAS[],2,FALSE),0)</f>
        <v>6128579952.1618185</v>
      </c>
      <c r="W1229" s="246">
        <f>IFERROR(VLOOKUP(I1229,PROGRAMAS[],2,FALSE),0)</f>
        <v>4635315027.8751087</v>
      </c>
      <c r="X1229" s="246">
        <f>IFERROR(VLOOKUP(J1229,PROGRAMAS[],2,FALSE),0)</f>
        <v>764796700.79905891</v>
      </c>
      <c r="Y1229" s="246">
        <f>IFERROR(VLOOKUP(K1229,PROGRAMAS[],2,FALSE),0)</f>
        <v>122159672.96346797</v>
      </c>
      <c r="Z1229" s="246">
        <f>IFERROR(VLOOKUP(L1229,PROGRAMAS[],2,FALSE),0)</f>
        <v>1892779498.5211046</v>
      </c>
      <c r="AA1229" s="246">
        <f>IFERROR(VLOOKUP(M1229,PROGRAMAS[],2,FALSE),0)</f>
        <v>0</v>
      </c>
      <c r="AB1229" s="246">
        <f>IFERROR(VLOOKUP(N1229,PROGRAMAS[],2,FALSE),0)</f>
        <v>0</v>
      </c>
      <c r="AC1229" s="246">
        <f>IFERROR(VLOOKUP(O1229,PROGRAMAS[],2,FALSE),0)</f>
        <v>0</v>
      </c>
      <c r="AD1229" s="246">
        <f>IFERROR(VLOOKUP(P1229,PROGRAMAS[],2,FALSE),0)</f>
        <v>0</v>
      </c>
      <c r="AE1229" s="246">
        <f>IFERROR(VLOOKUP(Q1229,PROGRAMAS[],2,FALSE),0)</f>
        <v>0</v>
      </c>
      <c r="AF1229" s="246">
        <f>IFERROR(VLOOKUP(D1229,PROGRAMAS[],3,FALSE),0)</f>
        <v>841888629.31080008</v>
      </c>
      <c r="AG1229" s="246">
        <f>IFERROR(VLOOKUP(E1229,PROGRAMAS[],3,FALSE),0)</f>
        <v>3848980803.1642323</v>
      </c>
      <c r="AH1229" s="246">
        <f>IFERROR(VLOOKUP(F1229,PROGRAMAS[],3,FALSE),0)</f>
        <v>3394901471.387517</v>
      </c>
      <c r="AI1229" s="246">
        <f>IFERROR(VLOOKUP(G1229,PROGRAMAS[],3,FALSE),0)</f>
        <v>125317226.95549992</v>
      </c>
      <c r="AJ1229" s="246">
        <f>IFERROR(VLOOKUP(H1229,PROGRAMAS[],3,FALSE),0)</f>
        <v>7011279577.519702</v>
      </c>
      <c r="AK1229" s="246">
        <f>IFERROR(VLOOKUP(I1229,PROGRAMAS[],3,FALSE),0)</f>
        <v>4099471734.9978786</v>
      </c>
      <c r="AL1229" s="246">
        <f>IFERROR(VLOOKUP(J1229,PROGRAMAS[],3,FALSE),0)</f>
        <v>675517840.109828</v>
      </c>
      <c r="AM1229" s="246">
        <f>IFERROR(VLOOKUP(K1229,PROGRAMAS[],3,FALSE),0)</f>
        <v>118617452.52510804</v>
      </c>
      <c r="AN1229" s="246">
        <f>IFERROR(VLOOKUP(L1229,PROGRAMAS[],3,FALSE),0)</f>
        <v>948595847.09039903</v>
      </c>
      <c r="AO1229" s="246">
        <f>IFERROR(VLOOKUP(M1229,PROGRAMAS[],3,FALSE),0)</f>
        <v>0</v>
      </c>
      <c r="AP1229" s="246">
        <f>IFERROR(VLOOKUP(N1229,PROGRAMAS[],3,FALSE),0)</f>
        <v>0</v>
      </c>
      <c r="AQ1229" s="246">
        <f>IFERROR(VLOOKUP(O1229,PROGRAMAS[],3,FALSE),0)</f>
        <v>0</v>
      </c>
      <c r="AR1229" s="246">
        <f>IFERROR(VLOOKUP(P1229,PROGRAMAS[],3,FALSE),0)</f>
        <v>0</v>
      </c>
      <c r="AS1229" s="246">
        <f>IFERROR(VLOOKUP(Q1229,PROGRAMAS[],3,FALSE),0)</f>
        <v>0</v>
      </c>
      <c r="AT1229" s="246">
        <f>IFERROR(VLOOKUP(D1229,VOL_REC[],2,FALSE),0)</f>
        <v>0</v>
      </c>
      <c r="AU1229" s="246">
        <f>IFERROR(VLOOKUP(E1229,VOL_REC[],2,FALSE),0)</f>
        <v>0</v>
      </c>
      <c r="AV1229" s="246">
        <f>IFERROR(VLOOKUP(F1229,VOL_REC[],2,FALSE),0)</f>
        <v>11089674.200000001</v>
      </c>
      <c r="AW1229" s="246">
        <f>IFERROR(VLOOKUP(G1229,VOL_REC[],2,FALSE),0)</f>
        <v>90439.55</v>
      </c>
      <c r="AX1229" s="246">
        <f>IFERROR(VLOOKUP(H1229,VOL_REC[],2,FALSE),0)</f>
        <v>3761786</v>
      </c>
      <c r="AY1229" s="246">
        <f>IFERROR(VLOOKUP(I1229,VOL_REC[],2,FALSE),0)</f>
        <v>1812240</v>
      </c>
      <c r="AZ1229" s="246">
        <f>IFERROR(VLOOKUP(J1229,VOL_REC[],2,FALSE),0)</f>
        <v>240696.79238099116</v>
      </c>
      <c r="BA1229" s="246">
        <f>IFERROR(VLOOKUP(K1229,VOL_REC[],2,FALSE),0)</f>
        <v>105072</v>
      </c>
      <c r="BB1229" s="246">
        <f>IFERROR(VLOOKUP(L1229,VOL_REC[],2,FALSE),0)</f>
        <v>740113.98115702497</v>
      </c>
      <c r="BC1229" s="246">
        <f>IFERROR(VLOOKUP(M1229,VOL_REC[],2,FALSE),0)</f>
        <v>0</v>
      </c>
      <c r="BD1229" s="246">
        <f>IFERROR(VLOOKUP(N1229,VOL_REC[],2,FALSE),0)</f>
        <v>0</v>
      </c>
      <c r="BE1229" s="246">
        <f>IFERROR(VLOOKUP(O1229,VOL_REC[],2,FALSE),0)</f>
        <v>0</v>
      </c>
      <c r="BF1229" s="246">
        <f>IFERROR(VLOOKUP(P1229,VOL_REC[],2,FALSE),0)</f>
        <v>0</v>
      </c>
      <c r="BG1229" s="246">
        <f>IFERROR(VLOOKUP(Q1229,VOL_REC[],2,FALSE),0)</f>
        <v>0</v>
      </c>
      <c r="BH1229" s="1710">
        <f t="shared" si="76"/>
        <v>17411195081.867611</v>
      </c>
      <c r="BI1229" s="1710">
        <f t="shared" si="77"/>
        <v>21064570583.060966</v>
      </c>
      <c r="BJ1229" s="1711">
        <f t="shared" si="78"/>
        <v>17840022.523538016</v>
      </c>
      <c r="BK1229" s="1711">
        <f t="shared" si="79"/>
        <v>0.82656302027200068</v>
      </c>
    </row>
    <row r="1230" spans="3:67" x14ac:dyDescent="0.25">
      <c r="C1230" s="246" t="s">
        <v>2580</v>
      </c>
      <c r="D1230" s="246">
        <v>1</v>
      </c>
      <c r="E1230" s="246">
        <v>2</v>
      </c>
      <c r="F1230" s="246">
        <v>3</v>
      </c>
      <c r="G1230" s="246">
        <v>4</v>
      </c>
      <c r="H1230" s="246">
        <v>9</v>
      </c>
      <c r="I1230" s="246">
        <v>10</v>
      </c>
      <c r="J1230" s="246">
        <v>12</v>
      </c>
      <c r="K1230" s="246">
        <v>16</v>
      </c>
      <c r="L1230" s="246">
        <v>17</v>
      </c>
      <c r="M1230" s="246"/>
      <c r="N1230" s="246"/>
      <c r="O1230" s="246"/>
      <c r="P1230" s="246"/>
      <c r="Q1230" s="246"/>
      <c r="R1230" s="246">
        <f>IFERROR(VLOOKUP(D1230,PROGRAMAS[],2,FALSE),0)</f>
        <v>97037803.679377079</v>
      </c>
      <c r="S1230" s="246">
        <f>IFERROR(VLOOKUP(E1230,PROGRAMAS[],2,FALSE),0)</f>
        <v>640501509.6821388</v>
      </c>
      <c r="T1230" s="246">
        <f>IFERROR(VLOOKUP(F1230,PROGRAMAS[],2,FALSE),0)</f>
        <v>3062327798.1525245</v>
      </c>
      <c r="U1230" s="246">
        <f>IFERROR(VLOOKUP(G1230,PROGRAMAS[],2,FALSE),0)</f>
        <v>67697118.033011258</v>
      </c>
      <c r="V1230" s="246">
        <f>IFERROR(VLOOKUP(H1230,PROGRAMAS[],2,FALSE),0)</f>
        <v>6128579952.1618185</v>
      </c>
      <c r="W1230" s="246">
        <f>IFERROR(VLOOKUP(I1230,PROGRAMAS[],2,FALSE),0)</f>
        <v>4635315027.8751087</v>
      </c>
      <c r="X1230" s="246">
        <f>IFERROR(VLOOKUP(J1230,PROGRAMAS[],2,FALSE),0)</f>
        <v>764796700.79905891</v>
      </c>
      <c r="Y1230" s="246">
        <f>IFERROR(VLOOKUP(K1230,PROGRAMAS[],2,FALSE),0)</f>
        <v>7068496961.0436354</v>
      </c>
      <c r="Z1230" s="246">
        <f>IFERROR(VLOOKUP(L1230,PROGRAMAS[],2,FALSE),0)</f>
        <v>1892779498.5211046</v>
      </c>
      <c r="AA1230" s="246">
        <f>IFERROR(VLOOKUP(M1230,PROGRAMAS[],2,FALSE),0)</f>
        <v>0</v>
      </c>
      <c r="AB1230" s="246">
        <f>IFERROR(VLOOKUP(N1230,PROGRAMAS[],2,FALSE),0)</f>
        <v>0</v>
      </c>
      <c r="AC1230" s="246">
        <f>IFERROR(VLOOKUP(O1230,PROGRAMAS[],2,FALSE),0)</f>
        <v>0</v>
      </c>
      <c r="AD1230" s="246">
        <f>IFERROR(VLOOKUP(P1230,PROGRAMAS[],2,FALSE),0)</f>
        <v>0</v>
      </c>
      <c r="AE1230" s="246">
        <f>IFERROR(VLOOKUP(Q1230,PROGRAMAS[],2,FALSE),0)</f>
        <v>0</v>
      </c>
      <c r="AF1230" s="246">
        <f>IFERROR(VLOOKUP(D1230,PROGRAMAS[],3,FALSE),0)</f>
        <v>841888629.31080008</v>
      </c>
      <c r="AG1230" s="246">
        <f>IFERROR(VLOOKUP(E1230,PROGRAMAS[],3,FALSE),0)</f>
        <v>3848980803.1642323</v>
      </c>
      <c r="AH1230" s="246">
        <f>IFERROR(VLOOKUP(F1230,PROGRAMAS[],3,FALSE),0)</f>
        <v>3394901471.387517</v>
      </c>
      <c r="AI1230" s="246">
        <f>IFERROR(VLOOKUP(G1230,PROGRAMAS[],3,FALSE),0)</f>
        <v>125317226.95549992</v>
      </c>
      <c r="AJ1230" s="246">
        <f>IFERROR(VLOOKUP(H1230,PROGRAMAS[],3,FALSE),0)</f>
        <v>7011279577.519702</v>
      </c>
      <c r="AK1230" s="246">
        <f>IFERROR(VLOOKUP(I1230,PROGRAMAS[],3,FALSE),0)</f>
        <v>4099471734.9978786</v>
      </c>
      <c r="AL1230" s="246">
        <f>IFERROR(VLOOKUP(J1230,PROGRAMAS[],3,FALSE),0)</f>
        <v>675517840.109828</v>
      </c>
      <c r="AM1230" s="246">
        <f>IFERROR(VLOOKUP(K1230,PROGRAMAS[],3,FALSE),0)</f>
        <v>2406564599.0319901</v>
      </c>
      <c r="AN1230" s="246">
        <f>IFERROR(VLOOKUP(L1230,PROGRAMAS[],3,FALSE),0)</f>
        <v>948595847.09039903</v>
      </c>
      <c r="AO1230" s="246">
        <f>IFERROR(VLOOKUP(M1230,PROGRAMAS[],3,FALSE),0)</f>
        <v>0</v>
      </c>
      <c r="AP1230" s="246">
        <f>IFERROR(VLOOKUP(N1230,PROGRAMAS[],3,FALSE),0)</f>
        <v>0</v>
      </c>
      <c r="AQ1230" s="246">
        <f>IFERROR(VLOOKUP(O1230,PROGRAMAS[],3,FALSE),0)</f>
        <v>0</v>
      </c>
      <c r="AR1230" s="246">
        <f>IFERROR(VLOOKUP(P1230,PROGRAMAS[],3,FALSE),0)</f>
        <v>0</v>
      </c>
      <c r="AS1230" s="246">
        <f>IFERROR(VLOOKUP(Q1230,PROGRAMAS[],3,FALSE),0)</f>
        <v>0</v>
      </c>
      <c r="AT1230" s="246">
        <f>IFERROR(VLOOKUP(D1230,VOL_REC[],2,FALSE),0)</f>
        <v>0</v>
      </c>
      <c r="AU1230" s="246">
        <f>IFERROR(VLOOKUP(E1230,VOL_REC[],2,FALSE),0)</f>
        <v>0</v>
      </c>
      <c r="AV1230" s="246">
        <f>IFERROR(VLOOKUP(F1230,VOL_REC[],2,FALSE),0)</f>
        <v>11089674.200000001</v>
      </c>
      <c r="AW1230" s="246">
        <f>IFERROR(VLOOKUP(G1230,VOL_REC[],2,FALSE),0)</f>
        <v>90439.55</v>
      </c>
      <c r="AX1230" s="246">
        <f>IFERROR(VLOOKUP(H1230,VOL_REC[],2,FALSE),0)</f>
        <v>3761786</v>
      </c>
      <c r="AY1230" s="246">
        <f>IFERROR(VLOOKUP(I1230,VOL_REC[],2,FALSE),0)</f>
        <v>1812240</v>
      </c>
      <c r="AZ1230" s="246">
        <f>IFERROR(VLOOKUP(J1230,VOL_REC[],2,FALSE),0)</f>
        <v>240696.79238099116</v>
      </c>
      <c r="BA1230" s="246">
        <f>IFERROR(VLOOKUP(K1230,VOL_REC[],2,FALSE),0)</f>
        <v>1072354.9981737854</v>
      </c>
      <c r="BB1230" s="246">
        <f>IFERROR(VLOOKUP(L1230,VOL_REC[],2,FALSE),0)</f>
        <v>740113.98115702497</v>
      </c>
      <c r="BC1230" s="246">
        <f>IFERROR(VLOOKUP(M1230,VOL_REC[],2,FALSE),0)</f>
        <v>0</v>
      </c>
      <c r="BD1230" s="246">
        <f>IFERROR(VLOOKUP(N1230,VOL_REC[],2,FALSE),0)</f>
        <v>0</v>
      </c>
      <c r="BE1230" s="246">
        <f>IFERROR(VLOOKUP(O1230,VOL_REC[],2,FALSE),0)</f>
        <v>0</v>
      </c>
      <c r="BF1230" s="246">
        <f>IFERROR(VLOOKUP(P1230,VOL_REC[],2,FALSE),0)</f>
        <v>0</v>
      </c>
      <c r="BG1230" s="246">
        <f>IFERROR(VLOOKUP(Q1230,VOL_REC[],2,FALSE),0)</f>
        <v>0</v>
      </c>
      <c r="BH1230" s="1710">
        <f t="shared" si="76"/>
        <v>24357532369.947777</v>
      </c>
      <c r="BI1230" s="1710">
        <f t="shared" si="77"/>
        <v>23352517729.567848</v>
      </c>
      <c r="BJ1230" s="1711">
        <f t="shared" si="78"/>
        <v>18807305.5217118</v>
      </c>
      <c r="BK1230" s="1711">
        <f t="shared" si="79"/>
        <v>1.0430366717635515</v>
      </c>
      <c r="BL1230">
        <f>BJ1230</f>
        <v>18807305.5217118</v>
      </c>
      <c r="BO1230">
        <f>BL1230</f>
        <v>18807305.5217118</v>
      </c>
    </row>
    <row r="1231" spans="3:67" x14ac:dyDescent="0.25">
      <c r="C1231" s="246" t="s">
        <v>2581</v>
      </c>
      <c r="D1231" s="246">
        <v>1</v>
      </c>
      <c r="E1231" s="246">
        <v>2</v>
      </c>
      <c r="F1231" s="246">
        <v>3</v>
      </c>
      <c r="G1231" s="246">
        <v>4</v>
      </c>
      <c r="H1231" s="246">
        <v>9</v>
      </c>
      <c r="I1231" s="246">
        <v>10</v>
      </c>
      <c r="J1231" s="246">
        <v>13</v>
      </c>
      <c r="K1231" s="246">
        <v>14</v>
      </c>
      <c r="L1231" s="246">
        <v>15</v>
      </c>
      <c r="M1231" s="246"/>
      <c r="N1231" s="246"/>
      <c r="O1231" s="246"/>
      <c r="P1231" s="246"/>
      <c r="Q1231" s="246"/>
      <c r="R1231" s="246">
        <f>IFERROR(VLOOKUP(D1231,PROGRAMAS[],2,FALSE),0)</f>
        <v>97037803.679377079</v>
      </c>
      <c r="S1231" s="246">
        <f>IFERROR(VLOOKUP(E1231,PROGRAMAS[],2,FALSE),0)</f>
        <v>640501509.6821388</v>
      </c>
      <c r="T1231" s="246">
        <f>IFERROR(VLOOKUP(F1231,PROGRAMAS[],2,FALSE),0)</f>
        <v>3062327798.1525245</v>
      </c>
      <c r="U1231" s="246">
        <f>IFERROR(VLOOKUP(G1231,PROGRAMAS[],2,FALSE),0)</f>
        <v>67697118.033011258</v>
      </c>
      <c r="V1231" s="246">
        <f>IFERROR(VLOOKUP(H1231,PROGRAMAS[],2,FALSE),0)</f>
        <v>6128579952.1618185</v>
      </c>
      <c r="W1231" s="246">
        <f>IFERROR(VLOOKUP(I1231,PROGRAMAS[],2,FALSE),0)</f>
        <v>4635315027.8751087</v>
      </c>
      <c r="X1231" s="246">
        <f>IFERROR(VLOOKUP(J1231,PROGRAMAS[],2,FALSE),0)</f>
        <v>3776538594.4604583</v>
      </c>
      <c r="Y1231" s="246">
        <f>IFERROR(VLOOKUP(K1231,PROGRAMAS[],2,FALSE),0)</f>
        <v>54223862.645839565</v>
      </c>
      <c r="Z1231" s="246">
        <f>IFERROR(VLOOKUP(L1231,PROGRAMAS[],2,FALSE),0)</f>
        <v>122159672.96346797</v>
      </c>
      <c r="AA1231" s="246">
        <f>IFERROR(VLOOKUP(M1231,PROGRAMAS[],2,FALSE),0)</f>
        <v>0</v>
      </c>
      <c r="AB1231" s="246">
        <f>IFERROR(VLOOKUP(N1231,PROGRAMAS[],2,FALSE),0)</f>
        <v>0</v>
      </c>
      <c r="AC1231" s="246">
        <f>IFERROR(VLOOKUP(O1231,PROGRAMAS[],2,FALSE),0)</f>
        <v>0</v>
      </c>
      <c r="AD1231" s="246">
        <f>IFERROR(VLOOKUP(P1231,PROGRAMAS[],2,FALSE),0)</f>
        <v>0</v>
      </c>
      <c r="AE1231" s="246">
        <f>IFERROR(VLOOKUP(Q1231,PROGRAMAS[],2,FALSE),0)</f>
        <v>0</v>
      </c>
      <c r="AF1231" s="246">
        <f>IFERROR(VLOOKUP(D1231,PROGRAMAS[],3,FALSE),0)</f>
        <v>841888629.31080008</v>
      </c>
      <c r="AG1231" s="246">
        <f>IFERROR(VLOOKUP(E1231,PROGRAMAS[],3,FALSE),0)</f>
        <v>3848980803.1642323</v>
      </c>
      <c r="AH1231" s="246">
        <f>IFERROR(VLOOKUP(F1231,PROGRAMAS[],3,FALSE),0)</f>
        <v>3394901471.387517</v>
      </c>
      <c r="AI1231" s="246">
        <f>IFERROR(VLOOKUP(G1231,PROGRAMAS[],3,FALSE),0)</f>
        <v>125317226.95549992</v>
      </c>
      <c r="AJ1231" s="246">
        <f>IFERROR(VLOOKUP(H1231,PROGRAMAS[],3,FALSE),0)</f>
        <v>7011279577.519702</v>
      </c>
      <c r="AK1231" s="246">
        <f>IFERROR(VLOOKUP(I1231,PROGRAMAS[],3,FALSE),0)</f>
        <v>4099471734.9978786</v>
      </c>
      <c r="AL1231" s="246">
        <f>IFERROR(VLOOKUP(J1231,PROGRAMAS[],3,FALSE),0)</f>
        <v>2392571243.5584412</v>
      </c>
      <c r="AM1231" s="246">
        <f>IFERROR(VLOOKUP(K1231,PROGRAMAS[],3,FALSE),0)</f>
        <v>31865326.38096505</v>
      </c>
      <c r="AN1231" s="246">
        <f>IFERROR(VLOOKUP(L1231,PROGRAMAS[],3,FALSE),0)</f>
        <v>118617452.52510804</v>
      </c>
      <c r="AO1231" s="246">
        <f>IFERROR(VLOOKUP(M1231,PROGRAMAS[],3,FALSE),0)</f>
        <v>0</v>
      </c>
      <c r="AP1231" s="246">
        <f>IFERROR(VLOOKUP(N1231,PROGRAMAS[],3,FALSE),0)</f>
        <v>0</v>
      </c>
      <c r="AQ1231" s="246">
        <f>IFERROR(VLOOKUP(O1231,PROGRAMAS[],3,FALSE),0)</f>
        <v>0</v>
      </c>
      <c r="AR1231" s="246">
        <f>IFERROR(VLOOKUP(P1231,PROGRAMAS[],3,FALSE),0)</f>
        <v>0</v>
      </c>
      <c r="AS1231" s="246">
        <f>IFERROR(VLOOKUP(Q1231,PROGRAMAS[],3,FALSE),0)</f>
        <v>0</v>
      </c>
      <c r="AT1231" s="246">
        <f>IFERROR(VLOOKUP(D1231,VOL_REC[],2,FALSE),0)</f>
        <v>0</v>
      </c>
      <c r="AU1231" s="246">
        <f>IFERROR(VLOOKUP(E1231,VOL_REC[],2,FALSE),0)</f>
        <v>0</v>
      </c>
      <c r="AV1231" s="246">
        <f>IFERROR(VLOOKUP(F1231,VOL_REC[],2,FALSE),0)</f>
        <v>11089674.200000001</v>
      </c>
      <c r="AW1231" s="246">
        <f>IFERROR(VLOOKUP(G1231,VOL_REC[],2,FALSE),0)</f>
        <v>90439.55</v>
      </c>
      <c r="AX1231" s="246">
        <f>IFERROR(VLOOKUP(H1231,VOL_REC[],2,FALSE),0)</f>
        <v>3761786</v>
      </c>
      <c r="AY1231" s="246">
        <f>IFERROR(VLOOKUP(I1231,VOL_REC[],2,FALSE),0)</f>
        <v>1812240</v>
      </c>
      <c r="AZ1231" s="246">
        <f>IFERROR(VLOOKUP(J1231,VOL_REC[],2,FALSE),0)</f>
        <v>663244.80000000016</v>
      </c>
      <c r="BA1231" s="246">
        <f>IFERROR(VLOOKUP(K1231,VOL_REC[],2,FALSE),0)</f>
        <v>17074.045034105649</v>
      </c>
      <c r="BB1231" s="246">
        <f>IFERROR(VLOOKUP(L1231,VOL_REC[],2,FALSE),0)</f>
        <v>105072</v>
      </c>
      <c r="BC1231" s="246">
        <f>IFERROR(VLOOKUP(M1231,VOL_REC[],2,FALSE),0)</f>
        <v>0</v>
      </c>
      <c r="BD1231" s="246">
        <f>IFERROR(VLOOKUP(N1231,VOL_REC[],2,FALSE),0)</f>
        <v>0</v>
      </c>
      <c r="BE1231" s="246">
        <f>IFERROR(VLOOKUP(O1231,VOL_REC[],2,FALSE),0)</f>
        <v>0</v>
      </c>
      <c r="BF1231" s="246">
        <f>IFERROR(VLOOKUP(P1231,VOL_REC[],2,FALSE),0)</f>
        <v>0</v>
      </c>
      <c r="BG1231" s="246">
        <f>IFERROR(VLOOKUP(Q1231,VOL_REC[],2,FALSE),0)</f>
        <v>0</v>
      </c>
      <c r="BH1231" s="1710">
        <f t="shared" si="76"/>
        <v>18584381339.653744</v>
      </c>
      <c r="BI1231" s="1710">
        <f t="shared" si="77"/>
        <v>21864893465.800144</v>
      </c>
      <c r="BJ1231" s="1711">
        <f t="shared" si="78"/>
        <v>17539530.595034108</v>
      </c>
      <c r="BK1231" s="1711">
        <f t="shared" si="79"/>
        <v>0.84996441298570258</v>
      </c>
    </row>
    <row r="1232" spans="3:67" x14ac:dyDescent="0.25">
      <c r="C1232" s="246" t="s">
        <v>2582</v>
      </c>
      <c r="D1232" s="246">
        <v>1</v>
      </c>
      <c r="E1232" s="246">
        <v>2</v>
      </c>
      <c r="F1232" s="246">
        <v>3</v>
      </c>
      <c r="G1232" s="246">
        <v>4</v>
      </c>
      <c r="H1232" s="246">
        <v>9</v>
      </c>
      <c r="I1232" s="246">
        <v>10</v>
      </c>
      <c r="J1232" s="246">
        <v>13</v>
      </c>
      <c r="K1232" s="246">
        <v>14</v>
      </c>
      <c r="L1232" s="246">
        <v>16</v>
      </c>
      <c r="M1232" s="246"/>
      <c r="N1232" s="246"/>
      <c r="O1232" s="246"/>
      <c r="P1232" s="246"/>
      <c r="Q1232" s="246"/>
      <c r="R1232" s="246">
        <f>IFERROR(VLOOKUP(D1232,PROGRAMAS[],2,FALSE),0)</f>
        <v>97037803.679377079</v>
      </c>
      <c r="S1232" s="246">
        <f>IFERROR(VLOOKUP(E1232,PROGRAMAS[],2,FALSE),0)</f>
        <v>640501509.6821388</v>
      </c>
      <c r="T1232" s="246">
        <f>IFERROR(VLOOKUP(F1232,PROGRAMAS[],2,FALSE),0)</f>
        <v>3062327798.1525245</v>
      </c>
      <c r="U1232" s="246">
        <f>IFERROR(VLOOKUP(G1232,PROGRAMAS[],2,FALSE),0)</f>
        <v>67697118.033011258</v>
      </c>
      <c r="V1232" s="246">
        <f>IFERROR(VLOOKUP(H1232,PROGRAMAS[],2,FALSE),0)</f>
        <v>6128579952.1618185</v>
      </c>
      <c r="W1232" s="246">
        <f>IFERROR(VLOOKUP(I1232,PROGRAMAS[],2,FALSE),0)</f>
        <v>4635315027.8751087</v>
      </c>
      <c r="X1232" s="246">
        <f>IFERROR(VLOOKUP(J1232,PROGRAMAS[],2,FALSE),0)</f>
        <v>3776538594.4604583</v>
      </c>
      <c r="Y1232" s="246">
        <f>IFERROR(VLOOKUP(K1232,PROGRAMAS[],2,FALSE),0)</f>
        <v>54223862.645839565</v>
      </c>
      <c r="Z1232" s="246">
        <f>IFERROR(VLOOKUP(L1232,PROGRAMAS[],2,FALSE),0)</f>
        <v>7068496961.0436354</v>
      </c>
      <c r="AA1232" s="246">
        <f>IFERROR(VLOOKUP(M1232,PROGRAMAS[],2,FALSE),0)</f>
        <v>0</v>
      </c>
      <c r="AB1232" s="246">
        <f>IFERROR(VLOOKUP(N1232,PROGRAMAS[],2,FALSE),0)</f>
        <v>0</v>
      </c>
      <c r="AC1232" s="246">
        <f>IFERROR(VLOOKUP(O1232,PROGRAMAS[],2,FALSE),0)</f>
        <v>0</v>
      </c>
      <c r="AD1232" s="246">
        <f>IFERROR(VLOOKUP(P1232,PROGRAMAS[],2,FALSE),0)</f>
        <v>0</v>
      </c>
      <c r="AE1232" s="246">
        <f>IFERROR(VLOOKUP(Q1232,PROGRAMAS[],2,FALSE),0)</f>
        <v>0</v>
      </c>
      <c r="AF1232" s="246">
        <f>IFERROR(VLOOKUP(D1232,PROGRAMAS[],3,FALSE),0)</f>
        <v>841888629.31080008</v>
      </c>
      <c r="AG1232" s="246">
        <f>IFERROR(VLOOKUP(E1232,PROGRAMAS[],3,FALSE),0)</f>
        <v>3848980803.1642323</v>
      </c>
      <c r="AH1232" s="246">
        <f>IFERROR(VLOOKUP(F1232,PROGRAMAS[],3,FALSE),0)</f>
        <v>3394901471.387517</v>
      </c>
      <c r="AI1232" s="246">
        <f>IFERROR(VLOOKUP(G1232,PROGRAMAS[],3,FALSE),0)</f>
        <v>125317226.95549992</v>
      </c>
      <c r="AJ1232" s="246">
        <f>IFERROR(VLOOKUP(H1232,PROGRAMAS[],3,FALSE),0)</f>
        <v>7011279577.519702</v>
      </c>
      <c r="AK1232" s="246">
        <f>IFERROR(VLOOKUP(I1232,PROGRAMAS[],3,FALSE),0)</f>
        <v>4099471734.9978786</v>
      </c>
      <c r="AL1232" s="246">
        <f>IFERROR(VLOOKUP(J1232,PROGRAMAS[],3,FALSE),0)</f>
        <v>2392571243.5584412</v>
      </c>
      <c r="AM1232" s="246">
        <f>IFERROR(VLOOKUP(K1232,PROGRAMAS[],3,FALSE),0)</f>
        <v>31865326.38096505</v>
      </c>
      <c r="AN1232" s="246">
        <f>IFERROR(VLOOKUP(L1232,PROGRAMAS[],3,FALSE),0)</f>
        <v>2406564599.0319901</v>
      </c>
      <c r="AO1232" s="246">
        <f>IFERROR(VLOOKUP(M1232,PROGRAMAS[],3,FALSE),0)</f>
        <v>0</v>
      </c>
      <c r="AP1232" s="246">
        <f>IFERROR(VLOOKUP(N1232,PROGRAMAS[],3,FALSE),0)</f>
        <v>0</v>
      </c>
      <c r="AQ1232" s="246">
        <f>IFERROR(VLOOKUP(O1232,PROGRAMAS[],3,FALSE),0)</f>
        <v>0</v>
      </c>
      <c r="AR1232" s="246">
        <f>IFERROR(VLOOKUP(P1232,PROGRAMAS[],3,FALSE),0)</f>
        <v>0</v>
      </c>
      <c r="AS1232" s="246">
        <f>IFERROR(VLOOKUP(Q1232,PROGRAMAS[],3,FALSE),0)</f>
        <v>0</v>
      </c>
      <c r="AT1232" s="246">
        <f>IFERROR(VLOOKUP(D1232,VOL_REC[],2,FALSE),0)</f>
        <v>0</v>
      </c>
      <c r="AU1232" s="246">
        <f>IFERROR(VLOOKUP(E1232,VOL_REC[],2,FALSE),0)</f>
        <v>0</v>
      </c>
      <c r="AV1232" s="246">
        <f>IFERROR(VLOOKUP(F1232,VOL_REC[],2,FALSE),0)</f>
        <v>11089674.200000001</v>
      </c>
      <c r="AW1232" s="246">
        <f>IFERROR(VLOOKUP(G1232,VOL_REC[],2,FALSE),0)</f>
        <v>90439.55</v>
      </c>
      <c r="AX1232" s="246">
        <f>IFERROR(VLOOKUP(H1232,VOL_REC[],2,FALSE),0)</f>
        <v>3761786</v>
      </c>
      <c r="AY1232" s="246">
        <f>IFERROR(VLOOKUP(I1232,VOL_REC[],2,FALSE),0)</f>
        <v>1812240</v>
      </c>
      <c r="AZ1232" s="246">
        <f>IFERROR(VLOOKUP(J1232,VOL_REC[],2,FALSE),0)</f>
        <v>663244.80000000016</v>
      </c>
      <c r="BA1232" s="246">
        <f>IFERROR(VLOOKUP(K1232,VOL_REC[],2,FALSE),0)</f>
        <v>17074.045034105649</v>
      </c>
      <c r="BB1232" s="246">
        <f>IFERROR(VLOOKUP(L1232,VOL_REC[],2,FALSE),0)</f>
        <v>1072354.9981737854</v>
      </c>
      <c r="BC1232" s="246">
        <f>IFERROR(VLOOKUP(M1232,VOL_REC[],2,FALSE),0)</f>
        <v>0</v>
      </c>
      <c r="BD1232" s="246">
        <f>IFERROR(VLOOKUP(N1232,VOL_REC[],2,FALSE),0)</f>
        <v>0</v>
      </c>
      <c r="BE1232" s="246">
        <f>IFERROR(VLOOKUP(O1232,VOL_REC[],2,FALSE),0)</f>
        <v>0</v>
      </c>
      <c r="BF1232" s="246">
        <f>IFERROR(VLOOKUP(P1232,VOL_REC[],2,FALSE),0)</f>
        <v>0</v>
      </c>
      <c r="BG1232" s="246">
        <f>IFERROR(VLOOKUP(Q1232,VOL_REC[],2,FALSE),0)</f>
        <v>0</v>
      </c>
      <c r="BH1232" s="1710">
        <f t="shared" si="76"/>
        <v>25530718627.733913</v>
      </c>
      <c r="BI1232" s="1710">
        <f t="shared" si="77"/>
        <v>24152840612.307026</v>
      </c>
      <c r="BJ1232" s="1711">
        <f t="shared" si="78"/>
        <v>18506813.593207892</v>
      </c>
      <c r="BK1232" s="1711">
        <f t="shared" si="79"/>
        <v>1.0570482800571621</v>
      </c>
      <c r="BL1232">
        <f>BJ1232</f>
        <v>18506813.593207892</v>
      </c>
      <c r="BO1232">
        <f>BL1232</f>
        <v>18506813.593207892</v>
      </c>
    </row>
    <row r="1233" spans="3:67" x14ac:dyDescent="0.25">
      <c r="C1233" s="246" t="s">
        <v>2583</v>
      </c>
      <c r="D1233" s="246">
        <v>1</v>
      </c>
      <c r="E1233" s="246">
        <v>2</v>
      </c>
      <c r="F1233" s="246">
        <v>3</v>
      </c>
      <c r="G1233" s="246">
        <v>4</v>
      </c>
      <c r="H1233" s="246">
        <v>9</v>
      </c>
      <c r="I1233" s="246">
        <v>10</v>
      </c>
      <c r="J1233" s="246">
        <v>13</v>
      </c>
      <c r="K1233" s="246">
        <v>14</v>
      </c>
      <c r="L1233" s="246">
        <v>17</v>
      </c>
      <c r="M1233" s="246"/>
      <c r="N1233" s="246"/>
      <c r="O1233" s="246"/>
      <c r="P1233" s="246"/>
      <c r="Q1233" s="246"/>
      <c r="R1233" s="246">
        <f>IFERROR(VLOOKUP(D1233,PROGRAMAS[],2,FALSE),0)</f>
        <v>97037803.679377079</v>
      </c>
      <c r="S1233" s="246">
        <f>IFERROR(VLOOKUP(E1233,PROGRAMAS[],2,FALSE),0)</f>
        <v>640501509.6821388</v>
      </c>
      <c r="T1233" s="246">
        <f>IFERROR(VLOOKUP(F1233,PROGRAMAS[],2,FALSE),0)</f>
        <v>3062327798.1525245</v>
      </c>
      <c r="U1233" s="246">
        <f>IFERROR(VLOOKUP(G1233,PROGRAMAS[],2,FALSE),0)</f>
        <v>67697118.033011258</v>
      </c>
      <c r="V1233" s="246">
        <f>IFERROR(VLOOKUP(H1233,PROGRAMAS[],2,FALSE),0)</f>
        <v>6128579952.1618185</v>
      </c>
      <c r="W1233" s="246">
        <f>IFERROR(VLOOKUP(I1233,PROGRAMAS[],2,FALSE),0)</f>
        <v>4635315027.8751087</v>
      </c>
      <c r="X1233" s="246">
        <f>IFERROR(VLOOKUP(J1233,PROGRAMAS[],2,FALSE),0)</f>
        <v>3776538594.4604583</v>
      </c>
      <c r="Y1233" s="246">
        <f>IFERROR(VLOOKUP(K1233,PROGRAMAS[],2,FALSE),0)</f>
        <v>54223862.645839565</v>
      </c>
      <c r="Z1233" s="246">
        <f>IFERROR(VLOOKUP(L1233,PROGRAMAS[],2,FALSE),0)</f>
        <v>1892779498.5211046</v>
      </c>
      <c r="AA1233" s="246">
        <f>IFERROR(VLOOKUP(M1233,PROGRAMAS[],2,FALSE),0)</f>
        <v>0</v>
      </c>
      <c r="AB1233" s="246">
        <f>IFERROR(VLOOKUP(N1233,PROGRAMAS[],2,FALSE),0)</f>
        <v>0</v>
      </c>
      <c r="AC1233" s="246">
        <f>IFERROR(VLOOKUP(O1233,PROGRAMAS[],2,FALSE),0)</f>
        <v>0</v>
      </c>
      <c r="AD1233" s="246">
        <f>IFERROR(VLOOKUP(P1233,PROGRAMAS[],2,FALSE),0)</f>
        <v>0</v>
      </c>
      <c r="AE1233" s="246">
        <f>IFERROR(VLOOKUP(Q1233,PROGRAMAS[],2,FALSE),0)</f>
        <v>0</v>
      </c>
      <c r="AF1233" s="246">
        <f>IFERROR(VLOOKUP(D1233,PROGRAMAS[],3,FALSE),0)</f>
        <v>841888629.31080008</v>
      </c>
      <c r="AG1233" s="246">
        <f>IFERROR(VLOOKUP(E1233,PROGRAMAS[],3,FALSE),0)</f>
        <v>3848980803.1642323</v>
      </c>
      <c r="AH1233" s="246">
        <f>IFERROR(VLOOKUP(F1233,PROGRAMAS[],3,FALSE),0)</f>
        <v>3394901471.387517</v>
      </c>
      <c r="AI1233" s="246">
        <f>IFERROR(VLOOKUP(G1233,PROGRAMAS[],3,FALSE),0)</f>
        <v>125317226.95549992</v>
      </c>
      <c r="AJ1233" s="246">
        <f>IFERROR(VLOOKUP(H1233,PROGRAMAS[],3,FALSE),0)</f>
        <v>7011279577.519702</v>
      </c>
      <c r="AK1233" s="246">
        <f>IFERROR(VLOOKUP(I1233,PROGRAMAS[],3,FALSE),0)</f>
        <v>4099471734.9978786</v>
      </c>
      <c r="AL1233" s="246">
        <f>IFERROR(VLOOKUP(J1233,PROGRAMAS[],3,FALSE),0)</f>
        <v>2392571243.5584412</v>
      </c>
      <c r="AM1233" s="246">
        <f>IFERROR(VLOOKUP(K1233,PROGRAMAS[],3,FALSE),0)</f>
        <v>31865326.38096505</v>
      </c>
      <c r="AN1233" s="246">
        <f>IFERROR(VLOOKUP(L1233,PROGRAMAS[],3,FALSE),0)</f>
        <v>948595847.09039903</v>
      </c>
      <c r="AO1233" s="246">
        <f>IFERROR(VLOOKUP(M1233,PROGRAMAS[],3,FALSE),0)</f>
        <v>0</v>
      </c>
      <c r="AP1233" s="246">
        <f>IFERROR(VLOOKUP(N1233,PROGRAMAS[],3,FALSE),0)</f>
        <v>0</v>
      </c>
      <c r="AQ1233" s="246">
        <f>IFERROR(VLOOKUP(O1233,PROGRAMAS[],3,FALSE),0)</f>
        <v>0</v>
      </c>
      <c r="AR1233" s="246">
        <f>IFERROR(VLOOKUP(P1233,PROGRAMAS[],3,FALSE),0)</f>
        <v>0</v>
      </c>
      <c r="AS1233" s="246">
        <f>IFERROR(VLOOKUP(Q1233,PROGRAMAS[],3,FALSE),0)</f>
        <v>0</v>
      </c>
      <c r="AT1233" s="246">
        <f>IFERROR(VLOOKUP(D1233,VOL_REC[],2,FALSE),0)</f>
        <v>0</v>
      </c>
      <c r="AU1233" s="246">
        <f>IFERROR(VLOOKUP(E1233,VOL_REC[],2,FALSE),0)</f>
        <v>0</v>
      </c>
      <c r="AV1233" s="246">
        <f>IFERROR(VLOOKUP(F1233,VOL_REC[],2,FALSE),0)</f>
        <v>11089674.200000001</v>
      </c>
      <c r="AW1233" s="246">
        <f>IFERROR(VLOOKUP(G1233,VOL_REC[],2,FALSE),0)</f>
        <v>90439.55</v>
      </c>
      <c r="AX1233" s="246">
        <f>IFERROR(VLOOKUP(H1233,VOL_REC[],2,FALSE),0)</f>
        <v>3761786</v>
      </c>
      <c r="AY1233" s="246">
        <f>IFERROR(VLOOKUP(I1233,VOL_REC[],2,FALSE),0)</f>
        <v>1812240</v>
      </c>
      <c r="AZ1233" s="246">
        <f>IFERROR(VLOOKUP(J1233,VOL_REC[],2,FALSE),0)</f>
        <v>663244.80000000016</v>
      </c>
      <c r="BA1233" s="246">
        <f>IFERROR(VLOOKUP(K1233,VOL_REC[],2,FALSE),0)</f>
        <v>17074.045034105649</v>
      </c>
      <c r="BB1233" s="246">
        <f>IFERROR(VLOOKUP(L1233,VOL_REC[],2,FALSE),0)</f>
        <v>740113.98115702497</v>
      </c>
      <c r="BC1233" s="246">
        <f>IFERROR(VLOOKUP(M1233,VOL_REC[],2,FALSE),0)</f>
        <v>0</v>
      </c>
      <c r="BD1233" s="246">
        <f>IFERROR(VLOOKUP(N1233,VOL_REC[],2,FALSE),0)</f>
        <v>0</v>
      </c>
      <c r="BE1233" s="246">
        <f>IFERROR(VLOOKUP(O1233,VOL_REC[],2,FALSE),0)</f>
        <v>0</v>
      </c>
      <c r="BF1233" s="246">
        <f>IFERROR(VLOOKUP(P1233,VOL_REC[],2,FALSE),0)</f>
        <v>0</v>
      </c>
      <c r="BG1233" s="246">
        <f>IFERROR(VLOOKUP(Q1233,VOL_REC[],2,FALSE),0)</f>
        <v>0</v>
      </c>
      <c r="BH1233" s="1710">
        <f t="shared" si="76"/>
        <v>20355001165.21138</v>
      </c>
      <c r="BI1233" s="1710">
        <f t="shared" si="77"/>
        <v>22694871860.365437</v>
      </c>
      <c r="BJ1233" s="1711">
        <f t="shared" si="78"/>
        <v>18174572.576191131</v>
      </c>
      <c r="BK1233" s="1711">
        <f t="shared" si="79"/>
        <v>0.89689870427334595</v>
      </c>
    </row>
    <row r="1234" spans="3:67" x14ac:dyDescent="0.25">
      <c r="C1234" s="246" t="s">
        <v>2584</v>
      </c>
      <c r="D1234" s="246">
        <v>1</v>
      </c>
      <c r="E1234" s="246">
        <v>2</v>
      </c>
      <c r="F1234" s="246">
        <v>3</v>
      </c>
      <c r="G1234" s="246">
        <v>4</v>
      </c>
      <c r="H1234" s="246">
        <v>9</v>
      </c>
      <c r="I1234" s="246">
        <v>10</v>
      </c>
      <c r="J1234" s="246">
        <v>13</v>
      </c>
      <c r="K1234" s="246">
        <v>15</v>
      </c>
      <c r="L1234" s="246">
        <v>16</v>
      </c>
      <c r="M1234" s="246"/>
      <c r="N1234" s="246"/>
      <c r="O1234" s="246"/>
      <c r="P1234" s="246"/>
      <c r="Q1234" s="246"/>
      <c r="R1234" s="246">
        <f>IFERROR(VLOOKUP(D1234,PROGRAMAS[],2,FALSE),0)</f>
        <v>97037803.679377079</v>
      </c>
      <c r="S1234" s="246">
        <f>IFERROR(VLOOKUP(E1234,PROGRAMAS[],2,FALSE),0)</f>
        <v>640501509.6821388</v>
      </c>
      <c r="T1234" s="246">
        <f>IFERROR(VLOOKUP(F1234,PROGRAMAS[],2,FALSE),0)</f>
        <v>3062327798.1525245</v>
      </c>
      <c r="U1234" s="246">
        <f>IFERROR(VLOOKUP(G1234,PROGRAMAS[],2,FALSE),0)</f>
        <v>67697118.033011258</v>
      </c>
      <c r="V1234" s="246">
        <f>IFERROR(VLOOKUP(H1234,PROGRAMAS[],2,FALSE),0)</f>
        <v>6128579952.1618185</v>
      </c>
      <c r="W1234" s="246">
        <f>IFERROR(VLOOKUP(I1234,PROGRAMAS[],2,FALSE),0)</f>
        <v>4635315027.8751087</v>
      </c>
      <c r="X1234" s="246">
        <f>IFERROR(VLOOKUP(J1234,PROGRAMAS[],2,FALSE),0)</f>
        <v>3776538594.4604583</v>
      </c>
      <c r="Y1234" s="246">
        <f>IFERROR(VLOOKUP(K1234,PROGRAMAS[],2,FALSE),0)</f>
        <v>122159672.96346797</v>
      </c>
      <c r="Z1234" s="246">
        <f>IFERROR(VLOOKUP(L1234,PROGRAMAS[],2,FALSE),0)</f>
        <v>7068496961.0436354</v>
      </c>
      <c r="AA1234" s="246">
        <f>IFERROR(VLOOKUP(M1234,PROGRAMAS[],2,FALSE),0)</f>
        <v>0</v>
      </c>
      <c r="AB1234" s="246">
        <f>IFERROR(VLOOKUP(N1234,PROGRAMAS[],2,FALSE),0)</f>
        <v>0</v>
      </c>
      <c r="AC1234" s="246">
        <f>IFERROR(VLOOKUP(O1234,PROGRAMAS[],2,FALSE),0)</f>
        <v>0</v>
      </c>
      <c r="AD1234" s="246">
        <f>IFERROR(VLOOKUP(P1234,PROGRAMAS[],2,FALSE),0)</f>
        <v>0</v>
      </c>
      <c r="AE1234" s="246">
        <f>IFERROR(VLOOKUP(Q1234,PROGRAMAS[],2,FALSE),0)</f>
        <v>0</v>
      </c>
      <c r="AF1234" s="246">
        <f>IFERROR(VLOOKUP(D1234,PROGRAMAS[],3,FALSE),0)</f>
        <v>841888629.31080008</v>
      </c>
      <c r="AG1234" s="246">
        <f>IFERROR(VLOOKUP(E1234,PROGRAMAS[],3,FALSE),0)</f>
        <v>3848980803.1642323</v>
      </c>
      <c r="AH1234" s="246">
        <f>IFERROR(VLOOKUP(F1234,PROGRAMAS[],3,FALSE),0)</f>
        <v>3394901471.387517</v>
      </c>
      <c r="AI1234" s="246">
        <f>IFERROR(VLOOKUP(G1234,PROGRAMAS[],3,FALSE),0)</f>
        <v>125317226.95549992</v>
      </c>
      <c r="AJ1234" s="246">
        <f>IFERROR(VLOOKUP(H1234,PROGRAMAS[],3,FALSE),0)</f>
        <v>7011279577.519702</v>
      </c>
      <c r="AK1234" s="246">
        <f>IFERROR(VLOOKUP(I1234,PROGRAMAS[],3,FALSE),0)</f>
        <v>4099471734.9978786</v>
      </c>
      <c r="AL1234" s="246">
        <f>IFERROR(VLOOKUP(J1234,PROGRAMAS[],3,FALSE),0)</f>
        <v>2392571243.5584412</v>
      </c>
      <c r="AM1234" s="246">
        <f>IFERROR(VLOOKUP(K1234,PROGRAMAS[],3,FALSE),0)</f>
        <v>118617452.52510804</v>
      </c>
      <c r="AN1234" s="246">
        <f>IFERROR(VLOOKUP(L1234,PROGRAMAS[],3,FALSE),0)</f>
        <v>2406564599.0319901</v>
      </c>
      <c r="AO1234" s="246">
        <f>IFERROR(VLOOKUP(M1234,PROGRAMAS[],3,FALSE),0)</f>
        <v>0</v>
      </c>
      <c r="AP1234" s="246">
        <f>IFERROR(VLOOKUP(N1234,PROGRAMAS[],3,FALSE),0)</f>
        <v>0</v>
      </c>
      <c r="AQ1234" s="246">
        <f>IFERROR(VLOOKUP(O1234,PROGRAMAS[],3,FALSE),0)</f>
        <v>0</v>
      </c>
      <c r="AR1234" s="246">
        <f>IFERROR(VLOOKUP(P1234,PROGRAMAS[],3,FALSE),0)</f>
        <v>0</v>
      </c>
      <c r="AS1234" s="246">
        <f>IFERROR(VLOOKUP(Q1234,PROGRAMAS[],3,FALSE),0)</f>
        <v>0</v>
      </c>
      <c r="AT1234" s="246">
        <f>IFERROR(VLOOKUP(D1234,VOL_REC[],2,FALSE),0)</f>
        <v>0</v>
      </c>
      <c r="AU1234" s="246">
        <f>IFERROR(VLOOKUP(E1234,VOL_REC[],2,FALSE),0)</f>
        <v>0</v>
      </c>
      <c r="AV1234" s="246">
        <f>IFERROR(VLOOKUP(F1234,VOL_REC[],2,FALSE),0)</f>
        <v>11089674.200000001</v>
      </c>
      <c r="AW1234" s="246">
        <f>IFERROR(VLOOKUP(G1234,VOL_REC[],2,FALSE),0)</f>
        <v>90439.55</v>
      </c>
      <c r="AX1234" s="246">
        <f>IFERROR(VLOOKUP(H1234,VOL_REC[],2,FALSE),0)</f>
        <v>3761786</v>
      </c>
      <c r="AY1234" s="246">
        <f>IFERROR(VLOOKUP(I1234,VOL_REC[],2,FALSE),0)</f>
        <v>1812240</v>
      </c>
      <c r="AZ1234" s="246">
        <f>IFERROR(VLOOKUP(J1234,VOL_REC[],2,FALSE),0)</f>
        <v>663244.80000000016</v>
      </c>
      <c r="BA1234" s="246">
        <f>IFERROR(VLOOKUP(K1234,VOL_REC[],2,FALSE),0)</f>
        <v>105072</v>
      </c>
      <c r="BB1234" s="246">
        <f>IFERROR(VLOOKUP(L1234,VOL_REC[],2,FALSE),0)</f>
        <v>1072354.9981737854</v>
      </c>
      <c r="BC1234" s="246">
        <f>IFERROR(VLOOKUP(M1234,VOL_REC[],2,FALSE),0)</f>
        <v>0</v>
      </c>
      <c r="BD1234" s="246">
        <f>IFERROR(VLOOKUP(N1234,VOL_REC[],2,FALSE),0)</f>
        <v>0</v>
      </c>
      <c r="BE1234" s="246">
        <f>IFERROR(VLOOKUP(O1234,VOL_REC[],2,FALSE),0)</f>
        <v>0</v>
      </c>
      <c r="BF1234" s="246">
        <f>IFERROR(VLOOKUP(P1234,VOL_REC[],2,FALSE),0)</f>
        <v>0</v>
      </c>
      <c r="BG1234" s="246">
        <f>IFERROR(VLOOKUP(Q1234,VOL_REC[],2,FALSE),0)</f>
        <v>0</v>
      </c>
      <c r="BH1234" s="1710">
        <f t="shared" si="76"/>
        <v>25598654438.05154</v>
      </c>
      <c r="BI1234" s="1710">
        <f t="shared" si="77"/>
        <v>24239592738.451168</v>
      </c>
      <c r="BJ1234" s="1711">
        <f t="shared" si="78"/>
        <v>18594811.548173785</v>
      </c>
      <c r="BK1234" s="1711">
        <f t="shared" si="79"/>
        <v>1.0560678438068185</v>
      </c>
      <c r="BL1234">
        <f>BJ1234</f>
        <v>18594811.548173785</v>
      </c>
      <c r="BO1234">
        <f>BL1234</f>
        <v>18594811.548173785</v>
      </c>
    </row>
    <row r="1235" spans="3:67" x14ac:dyDescent="0.25">
      <c r="C1235" s="246" t="s">
        <v>2585</v>
      </c>
      <c r="D1235" s="246">
        <v>1</v>
      </c>
      <c r="E1235" s="246">
        <v>2</v>
      </c>
      <c r="F1235" s="246">
        <v>3</v>
      </c>
      <c r="G1235" s="246">
        <v>4</v>
      </c>
      <c r="H1235" s="246">
        <v>9</v>
      </c>
      <c r="I1235" s="246">
        <v>10</v>
      </c>
      <c r="J1235" s="246">
        <v>13</v>
      </c>
      <c r="K1235" s="246">
        <v>15</v>
      </c>
      <c r="L1235" s="246">
        <v>17</v>
      </c>
      <c r="M1235" s="246"/>
      <c r="N1235" s="246"/>
      <c r="O1235" s="246"/>
      <c r="P1235" s="246"/>
      <c r="Q1235" s="246"/>
      <c r="R1235" s="246">
        <f>IFERROR(VLOOKUP(D1235,PROGRAMAS[],2,FALSE),0)</f>
        <v>97037803.679377079</v>
      </c>
      <c r="S1235" s="246">
        <f>IFERROR(VLOOKUP(E1235,PROGRAMAS[],2,FALSE),0)</f>
        <v>640501509.6821388</v>
      </c>
      <c r="T1235" s="246">
        <f>IFERROR(VLOOKUP(F1235,PROGRAMAS[],2,FALSE),0)</f>
        <v>3062327798.1525245</v>
      </c>
      <c r="U1235" s="246">
        <f>IFERROR(VLOOKUP(G1235,PROGRAMAS[],2,FALSE),0)</f>
        <v>67697118.033011258</v>
      </c>
      <c r="V1235" s="246">
        <f>IFERROR(VLOOKUP(H1235,PROGRAMAS[],2,FALSE),0)</f>
        <v>6128579952.1618185</v>
      </c>
      <c r="W1235" s="246">
        <f>IFERROR(VLOOKUP(I1235,PROGRAMAS[],2,FALSE),0)</f>
        <v>4635315027.8751087</v>
      </c>
      <c r="X1235" s="246">
        <f>IFERROR(VLOOKUP(J1235,PROGRAMAS[],2,FALSE),0)</f>
        <v>3776538594.4604583</v>
      </c>
      <c r="Y1235" s="246">
        <f>IFERROR(VLOOKUP(K1235,PROGRAMAS[],2,FALSE),0)</f>
        <v>122159672.96346797</v>
      </c>
      <c r="Z1235" s="246">
        <f>IFERROR(VLOOKUP(L1235,PROGRAMAS[],2,FALSE),0)</f>
        <v>1892779498.5211046</v>
      </c>
      <c r="AA1235" s="246">
        <f>IFERROR(VLOOKUP(M1235,PROGRAMAS[],2,FALSE),0)</f>
        <v>0</v>
      </c>
      <c r="AB1235" s="246">
        <f>IFERROR(VLOOKUP(N1235,PROGRAMAS[],2,FALSE),0)</f>
        <v>0</v>
      </c>
      <c r="AC1235" s="246">
        <f>IFERROR(VLOOKUP(O1235,PROGRAMAS[],2,FALSE),0)</f>
        <v>0</v>
      </c>
      <c r="AD1235" s="246">
        <f>IFERROR(VLOOKUP(P1235,PROGRAMAS[],2,FALSE),0)</f>
        <v>0</v>
      </c>
      <c r="AE1235" s="246">
        <f>IFERROR(VLOOKUP(Q1235,PROGRAMAS[],2,FALSE),0)</f>
        <v>0</v>
      </c>
      <c r="AF1235" s="246">
        <f>IFERROR(VLOOKUP(D1235,PROGRAMAS[],3,FALSE),0)</f>
        <v>841888629.31080008</v>
      </c>
      <c r="AG1235" s="246">
        <f>IFERROR(VLOOKUP(E1235,PROGRAMAS[],3,FALSE),0)</f>
        <v>3848980803.1642323</v>
      </c>
      <c r="AH1235" s="246">
        <f>IFERROR(VLOOKUP(F1235,PROGRAMAS[],3,FALSE),0)</f>
        <v>3394901471.387517</v>
      </c>
      <c r="AI1235" s="246">
        <f>IFERROR(VLOOKUP(G1235,PROGRAMAS[],3,FALSE),0)</f>
        <v>125317226.95549992</v>
      </c>
      <c r="AJ1235" s="246">
        <f>IFERROR(VLOOKUP(H1235,PROGRAMAS[],3,FALSE),0)</f>
        <v>7011279577.519702</v>
      </c>
      <c r="AK1235" s="246">
        <f>IFERROR(VLOOKUP(I1235,PROGRAMAS[],3,FALSE),0)</f>
        <v>4099471734.9978786</v>
      </c>
      <c r="AL1235" s="246">
        <f>IFERROR(VLOOKUP(J1235,PROGRAMAS[],3,FALSE),0)</f>
        <v>2392571243.5584412</v>
      </c>
      <c r="AM1235" s="246">
        <f>IFERROR(VLOOKUP(K1235,PROGRAMAS[],3,FALSE),0)</f>
        <v>118617452.52510804</v>
      </c>
      <c r="AN1235" s="246">
        <f>IFERROR(VLOOKUP(L1235,PROGRAMAS[],3,FALSE),0)</f>
        <v>948595847.09039903</v>
      </c>
      <c r="AO1235" s="246">
        <f>IFERROR(VLOOKUP(M1235,PROGRAMAS[],3,FALSE),0)</f>
        <v>0</v>
      </c>
      <c r="AP1235" s="246">
        <f>IFERROR(VLOOKUP(N1235,PROGRAMAS[],3,FALSE),0)</f>
        <v>0</v>
      </c>
      <c r="AQ1235" s="246">
        <f>IFERROR(VLOOKUP(O1235,PROGRAMAS[],3,FALSE),0)</f>
        <v>0</v>
      </c>
      <c r="AR1235" s="246">
        <f>IFERROR(VLOOKUP(P1235,PROGRAMAS[],3,FALSE),0)</f>
        <v>0</v>
      </c>
      <c r="AS1235" s="246">
        <f>IFERROR(VLOOKUP(Q1235,PROGRAMAS[],3,FALSE),0)</f>
        <v>0</v>
      </c>
      <c r="AT1235" s="246">
        <f>IFERROR(VLOOKUP(D1235,VOL_REC[],2,FALSE),0)</f>
        <v>0</v>
      </c>
      <c r="AU1235" s="246">
        <f>IFERROR(VLOOKUP(E1235,VOL_REC[],2,FALSE),0)</f>
        <v>0</v>
      </c>
      <c r="AV1235" s="246">
        <f>IFERROR(VLOOKUP(F1235,VOL_REC[],2,FALSE),0)</f>
        <v>11089674.200000001</v>
      </c>
      <c r="AW1235" s="246">
        <f>IFERROR(VLOOKUP(G1235,VOL_REC[],2,FALSE),0)</f>
        <v>90439.55</v>
      </c>
      <c r="AX1235" s="246">
        <f>IFERROR(VLOOKUP(H1235,VOL_REC[],2,FALSE),0)</f>
        <v>3761786</v>
      </c>
      <c r="AY1235" s="246">
        <f>IFERROR(VLOOKUP(I1235,VOL_REC[],2,FALSE),0)</f>
        <v>1812240</v>
      </c>
      <c r="AZ1235" s="246">
        <f>IFERROR(VLOOKUP(J1235,VOL_REC[],2,FALSE),0)</f>
        <v>663244.80000000016</v>
      </c>
      <c r="BA1235" s="246">
        <f>IFERROR(VLOOKUP(K1235,VOL_REC[],2,FALSE),0)</f>
        <v>105072</v>
      </c>
      <c r="BB1235" s="246">
        <f>IFERROR(VLOOKUP(L1235,VOL_REC[],2,FALSE),0)</f>
        <v>740113.98115702497</v>
      </c>
      <c r="BC1235" s="246">
        <f>IFERROR(VLOOKUP(M1235,VOL_REC[],2,FALSE),0)</f>
        <v>0</v>
      </c>
      <c r="BD1235" s="246">
        <f>IFERROR(VLOOKUP(N1235,VOL_REC[],2,FALSE),0)</f>
        <v>0</v>
      </c>
      <c r="BE1235" s="246">
        <f>IFERROR(VLOOKUP(O1235,VOL_REC[],2,FALSE),0)</f>
        <v>0</v>
      </c>
      <c r="BF1235" s="246">
        <f>IFERROR(VLOOKUP(P1235,VOL_REC[],2,FALSE),0)</f>
        <v>0</v>
      </c>
      <c r="BG1235" s="246">
        <f>IFERROR(VLOOKUP(Q1235,VOL_REC[],2,FALSE),0)</f>
        <v>0</v>
      </c>
      <c r="BH1235" s="1710">
        <f t="shared" si="76"/>
        <v>20422936975.529007</v>
      </c>
      <c r="BI1235" s="1710">
        <f t="shared" si="77"/>
        <v>22781623986.509579</v>
      </c>
      <c r="BJ1235" s="1711">
        <f t="shared" si="78"/>
        <v>18262570.531157024</v>
      </c>
      <c r="BK1235" s="1711">
        <f t="shared" si="79"/>
        <v>0.89646536996759763</v>
      </c>
    </row>
    <row r="1236" spans="3:67" x14ac:dyDescent="0.25">
      <c r="C1236" s="246" t="s">
        <v>2586</v>
      </c>
      <c r="D1236" s="246">
        <v>1</v>
      </c>
      <c r="E1236" s="246">
        <v>2</v>
      </c>
      <c r="F1236" s="246">
        <v>3</v>
      </c>
      <c r="G1236" s="246">
        <v>4</v>
      </c>
      <c r="H1236" s="246">
        <v>9</v>
      </c>
      <c r="I1236" s="246">
        <v>10</v>
      </c>
      <c r="J1236" s="246">
        <v>13</v>
      </c>
      <c r="K1236" s="246">
        <v>16</v>
      </c>
      <c r="L1236" s="246">
        <v>17</v>
      </c>
      <c r="M1236" s="246"/>
      <c r="N1236" s="246"/>
      <c r="O1236" s="246"/>
      <c r="P1236" s="246"/>
      <c r="Q1236" s="246"/>
      <c r="R1236" s="246">
        <f>IFERROR(VLOOKUP(D1236,PROGRAMAS[],2,FALSE),0)</f>
        <v>97037803.679377079</v>
      </c>
      <c r="S1236" s="246">
        <f>IFERROR(VLOOKUP(E1236,PROGRAMAS[],2,FALSE),0)</f>
        <v>640501509.6821388</v>
      </c>
      <c r="T1236" s="246">
        <f>IFERROR(VLOOKUP(F1236,PROGRAMAS[],2,FALSE),0)</f>
        <v>3062327798.1525245</v>
      </c>
      <c r="U1236" s="246">
        <f>IFERROR(VLOOKUP(G1236,PROGRAMAS[],2,FALSE),0)</f>
        <v>67697118.033011258</v>
      </c>
      <c r="V1236" s="246">
        <f>IFERROR(VLOOKUP(H1236,PROGRAMAS[],2,FALSE),0)</f>
        <v>6128579952.1618185</v>
      </c>
      <c r="W1236" s="246">
        <f>IFERROR(VLOOKUP(I1236,PROGRAMAS[],2,FALSE),0)</f>
        <v>4635315027.8751087</v>
      </c>
      <c r="X1236" s="246">
        <f>IFERROR(VLOOKUP(J1236,PROGRAMAS[],2,FALSE),0)</f>
        <v>3776538594.4604583</v>
      </c>
      <c r="Y1236" s="246">
        <f>IFERROR(VLOOKUP(K1236,PROGRAMAS[],2,FALSE),0)</f>
        <v>7068496961.0436354</v>
      </c>
      <c r="Z1236" s="246">
        <f>IFERROR(VLOOKUP(L1236,PROGRAMAS[],2,FALSE),0)</f>
        <v>1892779498.5211046</v>
      </c>
      <c r="AA1236" s="246">
        <f>IFERROR(VLOOKUP(M1236,PROGRAMAS[],2,FALSE),0)</f>
        <v>0</v>
      </c>
      <c r="AB1236" s="246">
        <f>IFERROR(VLOOKUP(N1236,PROGRAMAS[],2,FALSE),0)</f>
        <v>0</v>
      </c>
      <c r="AC1236" s="246">
        <f>IFERROR(VLOOKUP(O1236,PROGRAMAS[],2,FALSE),0)</f>
        <v>0</v>
      </c>
      <c r="AD1236" s="246">
        <f>IFERROR(VLOOKUP(P1236,PROGRAMAS[],2,FALSE),0)</f>
        <v>0</v>
      </c>
      <c r="AE1236" s="246">
        <f>IFERROR(VLOOKUP(Q1236,PROGRAMAS[],2,FALSE),0)</f>
        <v>0</v>
      </c>
      <c r="AF1236" s="246">
        <f>IFERROR(VLOOKUP(D1236,PROGRAMAS[],3,FALSE),0)</f>
        <v>841888629.31080008</v>
      </c>
      <c r="AG1236" s="246">
        <f>IFERROR(VLOOKUP(E1236,PROGRAMAS[],3,FALSE),0)</f>
        <v>3848980803.1642323</v>
      </c>
      <c r="AH1236" s="246">
        <f>IFERROR(VLOOKUP(F1236,PROGRAMAS[],3,FALSE),0)</f>
        <v>3394901471.387517</v>
      </c>
      <c r="AI1236" s="246">
        <f>IFERROR(VLOOKUP(G1236,PROGRAMAS[],3,FALSE),0)</f>
        <v>125317226.95549992</v>
      </c>
      <c r="AJ1236" s="246">
        <f>IFERROR(VLOOKUP(H1236,PROGRAMAS[],3,FALSE),0)</f>
        <v>7011279577.519702</v>
      </c>
      <c r="AK1236" s="246">
        <f>IFERROR(VLOOKUP(I1236,PROGRAMAS[],3,FALSE),0)</f>
        <v>4099471734.9978786</v>
      </c>
      <c r="AL1236" s="246">
        <f>IFERROR(VLOOKUP(J1236,PROGRAMAS[],3,FALSE),0)</f>
        <v>2392571243.5584412</v>
      </c>
      <c r="AM1236" s="246">
        <f>IFERROR(VLOOKUP(K1236,PROGRAMAS[],3,FALSE),0)</f>
        <v>2406564599.0319901</v>
      </c>
      <c r="AN1236" s="246">
        <f>IFERROR(VLOOKUP(L1236,PROGRAMAS[],3,FALSE),0)</f>
        <v>948595847.09039903</v>
      </c>
      <c r="AO1236" s="246">
        <f>IFERROR(VLOOKUP(M1236,PROGRAMAS[],3,FALSE),0)</f>
        <v>0</v>
      </c>
      <c r="AP1236" s="246">
        <f>IFERROR(VLOOKUP(N1236,PROGRAMAS[],3,FALSE),0)</f>
        <v>0</v>
      </c>
      <c r="AQ1236" s="246">
        <f>IFERROR(VLOOKUP(O1236,PROGRAMAS[],3,FALSE),0)</f>
        <v>0</v>
      </c>
      <c r="AR1236" s="246">
        <f>IFERROR(VLOOKUP(P1236,PROGRAMAS[],3,FALSE),0)</f>
        <v>0</v>
      </c>
      <c r="AS1236" s="246">
        <f>IFERROR(VLOOKUP(Q1236,PROGRAMAS[],3,FALSE),0)</f>
        <v>0</v>
      </c>
      <c r="AT1236" s="246">
        <f>IFERROR(VLOOKUP(D1236,VOL_REC[],2,FALSE),0)</f>
        <v>0</v>
      </c>
      <c r="AU1236" s="246">
        <f>IFERROR(VLOOKUP(E1236,VOL_REC[],2,FALSE),0)</f>
        <v>0</v>
      </c>
      <c r="AV1236" s="246">
        <f>IFERROR(VLOOKUP(F1236,VOL_REC[],2,FALSE),0)</f>
        <v>11089674.200000001</v>
      </c>
      <c r="AW1236" s="246">
        <f>IFERROR(VLOOKUP(G1236,VOL_REC[],2,FALSE),0)</f>
        <v>90439.55</v>
      </c>
      <c r="AX1236" s="246">
        <f>IFERROR(VLOOKUP(H1236,VOL_REC[],2,FALSE),0)</f>
        <v>3761786</v>
      </c>
      <c r="AY1236" s="246">
        <f>IFERROR(VLOOKUP(I1236,VOL_REC[],2,FALSE),0)</f>
        <v>1812240</v>
      </c>
      <c r="AZ1236" s="246">
        <f>IFERROR(VLOOKUP(J1236,VOL_REC[],2,FALSE),0)</f>
        <v>663244.80000000016</v>
      </c>
      <c r="BA1236" s="246">
        <f>IFERROR(VLOOKUP(K1236,VOL_REC[],2,FALSE),0)</f>
        <v>1072354.9981737854</v>
      </c>
      <c r="BB1236" s="246">
        <f>IFERROR(VLOOKUP(L1236,VOL_REC[],2,FALSE),0)</f>
        <v>740113.98115702497</v>
      </c>
      <c r="BC1236" s="246">
        <f>IFERROR(VLOOKUP(M1236,VOL_REC[],2,FALSE),0)</f>
        <v>0</v>
      </c>
      <c r="BD1236" s="246">
        <f>IFERROR(VLOOKUP(N1236,VOL_REC[],2,FALSE),0)</f>
        <v>0</v>
      </c>
      <c r="BE1236" s="246">
        <f>IFERROR(VLOOKUP(O1236,VOL_REC[],2,FALSE),0)</f>
        <v>0</v>
      </c>
      <c r="BF1236" s="246">
        <f>IFERROR(VLOOKUP(P1236,VOL_REC[],2,FALSE),0)</f>
        <v>0</v>
      </c>
      <c r="BG1236" s="246">
        <f>IFERROR(VLOOKUP(Q1236,VOL_REC[],2,FALSE),0)</f>
        <v>0</v>
      </c>
      <c r="BH1236" s="1710">
        <f t="shared" si="76"/>
        <v>27369274263.609177</v>
      </c>
      <c r="BI1236" s="1710">
        <f t="shared" si="77"/>
        <v>25069571133.01646</v>
      </c>
      <c r="BJ1236" s="1711">
        <f t="shared" si="78"/>
        <v>19229853.529330809</v>
      </c>
      <c r="BK1236" s="1711">
        <f t="shared" si="79"/>
        <v>1.0917328468999623</v>
      </c>
      <c r="BL1236">
        <f>BJ1236</f>
        <v>19229853.529330809</v>
      </c>
      <c r="BO1236">
        <f>BL1236</f>
        <v>19229853.529330809</v>
      </c>
    </row>
    <row r="1237" spans="3:67" x14ac:dyDescent="0.25">
      <c r="C1237" s="246" t="s">
        <v>2587</v>
      </c>
      <c r="D1237" s="246">
        <v>1</v>
      </c>
      <c r="E1237" s="246">
        <v>2</v>
      </c>
      <c r="F1237" s="246">
        <v>3</v>
      </c>
      <c r="G1237" s="246">
        <v>4</v>
      </c>
      <c r="H1237" s="246">
        <v>9</v>
      </c>
      <c r="I1237" s="246">
        <v>10</v>
      </c>
      <c r="J1237" s="246">
        <v>14</v>
      </c>
      <c r="K1237" s="246">
        <v>15</v>
      </c>
      <c r="L1237" s="246">
        <v>16</v>
      </c>
      <c r="M1237" s="246"/>
      <c r="N1237" s="246"/>
      <c r="O1237" s="246"/>
      <c r="P1237" s="246"/>
      <c r="Q1237" s="246"/>
      <c r="R1237" s="246">
        <f>IFERROR(VLOOKUP(D1237,PROGRAMAS[],2,FALSE),0)</f>
        <v>97037803.679377079</v>
      </c>
      <c r="S1237" s="246">
        <f>IFERROR(VLOOKUP(E1237,PROGRAMAS[],2,FALSE),0)</f>
        <v>640501509.6821388</v>
      </c>
      <c r="T1237" s="246">
        <f>IFERROR(VLOOKUP(F1237,PROGRAMAS[],2,FALSE),0)</f>
        <v>3062327798.1525245</v>
      </c>
      <c r="U1237" s="246">
        <f>IFERROR(VLOOKUP(G1237,PROGRAMAS[],2,FALSE),0)</f>
        <v>67697118.033011258</v>
      </c>
      <c r="V1237" s="246">
        <f>IFERROR(VLOOKUP(H1237,PROGRAMAS[],2,FALSE),0)</f>
        <v>6128579952.1618185</v>
      </c>
      <c r="W1237" s="246">
        <f>IFERROR(VLOOKUP(I1237,PROGRAMAS[],2,FALSE),0)</f>
        <v>4635315027.8751087</v>
      </c>
      <c r="X1237" s="246">
        <f>IFERROR(VLOOKUP(J1237,PROGRAMAS[],2,FALSE),0)</f>
        <v>54223862.645839565</v>
      </c>
      <c r="Y1237" s="246">
        <f>IFERROR(VLOOKUP(K1237,PROGRAMAS[],2,FALSE),0)</f>
        <v>122159672.96346797</v>
      </c>
      <c r="Z1237" s="246">
        <f>IFERROR(VLOOKUP(L1237,PROGRAMAS[],2,FALSE),0)</f>
        <v>7068496961.0436354</v>
      </c>
      <c r="AA1237" s="246">
        <f>IFERROR(VLOOKUP(M1237,PROGRAMAS[],2,FALSE),0)</f>
        <v>0</v>
      </c>
      <c r="AB1237" s="246">
        <f>IFERROR(VLOOKUP(N1237,PROGRAMAS[],2,FALSE),0)</f>
        <v>0</v>
      </c>
      <c r="AC1237" s="246">
        <f>IFERROR(VLOOKUP(O1237,PROGRAMAS[],2,FALSE),0)</f>
        <v>0</v>
      </c>
      <c r="AD1237" s="246">
        <f>IFERROR(VLOOKUP(P1237,PROGRAMAS[],2,FALSE),0)</f>
        <v>0</v>
      </c>
      <c r="AE1237" s="246">
        <f>IFERROR(VLOOKUP(Q1237,PROGRAMAS[],2,FALSE),0)</f>
        <v>0</v>
      </c>
      <c r="AF1237" s="246">
        <f>IFERROR(VLOOKUP(D1237,PROGRAMAS[],3,FALSE),0)</f>
        <v>841888629.31080008</v>
      </c>
      <c r="AG1237" s="246">
        <f>IFERROR(VLOOKUP(E1237,PROGRAMAS[],3,FALSE),0)</f>
        <v>3848980803.1642323</v>
      </c>
      <c r="AH1237" s="246">
        <f>IFERROR(VLOOKUP(F1237,PROGRAMAS[],3,FALSE),0)</f>
        <v>3394901471.387517</v>
      </c>
      <c r="AI1237" s="246">
        <f>IFERROR(VLOOKUP(G1237,PROGRAMAS[],3,FALSE),0)</f>
        <v>125317226.95549992</v>
      </c>
      <c r="AJ1237" s="246">
        <f>IFERROR(VLOOKUP(H1237,PROGRAMAS[],3,FALSE),0)</f>
        <v>7011279577.519702</v>
      </c>
      <c r="AK1237" s="246">
        <f>IFERROR(VLOOKUP(I1237,PROGRAMAS[],3,FALSE),0)</f>
        <v>4099471734.9978786</v>
      </c>
      <c r="AL1237" s="246">
        <f>IFERROR(VLOOKUP(J1237,PROGRAMAS[],3,FALSE),0)</f>
        <v>31865326.38096505</v>
      </c>
      <c r="AM1237" s="246">
        <f>IFERROR(VLOOKUP(K1237,PROGRAMAS[],3,FALSE),0)</f>
        <v>118617452.52510804</v>
      </c>
      <c r="AN1237" s="246">
        <f>IFERROR(VLOOKUP(L1237,PROGRAMAS[],3,FALSE),0)</f>
        <v>2406564599.0319901</v>
      </c>
      <c r="AO1237" s="246">
        <f>IFERROR(VLOOKUP(M1237,PROGRAMAS[],3,FALSE),0)</f>
        <v>0</v>
      </c>
      <c r="AP1237" s="246">
        <f>IFERROR(VLOOKUP(N1237,PROGRAMAS[],3,FALSE),0)</f>
        <v>0</v>
      </c>
      <c r="AQ1237" s="246">
        <f>IFERROR(VLOOKUP(O1237,PROGRAMAS[],3,FALSE),0)</f>
        <v>0</v>
      </c>
      <c r="AR1237" s="246">
        <f>IFERROR(VLOOKUP(P1237,PROGRAMAS[],3,FALSE),0)</f>
        <v>0</v>
      </c>
      <c r="AS1237" s="246">
        <f>IFERROR(VLOOKUP(Q1237,PROGRAMAS[],3,FALSE),0)</f>
        <v>0</v>
      </c>
      <c r="AT1237" s="246">
        <f>IFERROR(VLOOKUP(D1237,VOL_REC[],2,FALSE),0)</f>
        <v>0</v>
      </c>
      <c r="AU1237" s="246">
        <f>IFERROR(VLOOKUP(E1237,VOL_REC[],2,FALSE),0)</f>
        <v>0</v>
      </c>
      <c r="AV1237" s="246">
        <f>IFERROR(VLOOKUP(F1237,VOL_REC[],2,FALSE),0)</f>
        <v>11089674.200000001</v>
      </c>
      <c r="AW1237" s="246">
        <f>IFERROR(VLOOKUP(G1237,VOL_REC[],2,FALSE),0)</f>
        <v>90439.55</v>
      </c>
      <c r="AX1237" s="246">
        <f>IFERROR(VLOOKUP(H1237,VOL_REC[],2,FALSE),0)</f>
        <v>3761786</v>
      </c>
      <c r="AY1237" s="246">
        <f>IFERROR(VLOOKUP(I1237,VOL_REC[],2,FALSE),0)</f>
        <v>1812240</v>
      </c>
      <c r="AZ1237" s="246">
        <f>IFERROR(VLOOKUP(J1237,VOL_REC[],2,FALSE),0)</f>
        <v>17074.045034105649</v>
      </c>
      <c r="BA1237" s="246">
        <f>IFERROR(VLOOKUP(K1237,VOL_REC[],2,FALSE),0)</f>
        <v>105072</v>
      </c>
      <c r="BB1237" s="246">
        <f>IFERROR(VLOOKUP(L1237,VOL_REC[],2,FALSE),0)</f>
        <v>1072354.9981737854</v>
      </c>
      <c r="BC1237" s="246">
        <f>IFERROR(VLOOKUP(M1237,VOL_REC[],2,FALSE),0)</f>
        <v>0</v>
      </c>
      <c r="BD1237" s="246">
        <f>IFERROR(VLOOKUP(N1237,VOL_REC[],2,FALSE),0)</f>
        <v>0</v>
      </c>
      <c r="BE1237" s="246">
        <f>IFERROR(VLOOKUP(O1237,VOL_REC[],2,FALSE),0)</f>
        <v>0</v>
      </c>
      <c r="BF1237" s="246">
        <f>IFERROR(VLOOKUP(P1237,VOL_REC[],2,FALSE),0)</f>
        <v>0</v>
      </c>
      <c r="BG1237" s="246">
        <f>IFERROR(VLOOKUP(Q1237,VOL_REC[],2,FALSE),0)</f>
        <v>0</v>
      </c>
      <c r="BH1237" s="1710">
        <f t="shared" si="76"/>
        <v>21876339706.236923</v>
      </c>
      <c r="BI1237" s="1710">
        <f t="shared" si="77"/>
        <v>21878886821.273693</v>
      </c>
      <c r="BJ1237" s="1711">
        <f t="shared" si="78"/>
        <v>17948640.793207891</v>
      </c>
      <c r="BK1237" s="1711">
        <f t="shared" si="79"/>
        <v>0.99988358114114406</v>
      </c>
    </row>
    <row r="1238" spans="3:67" x14ac:dyDescent="0.25">
      <c r="C1238" s="246" t="s">
        <v>2588</v>
      </c>
      <c r="D1238" s="246">
        <v>1</v>
      </c>
      <c r="E1238" s="246">
        <v>2</v>
      </c>
      <c r="F1238" s="246">
        <v>3</v>
      </c>
      <c r="G1238" s="246">
        <v>4</v>
      </c>
      <c r="H1238" s="246">
        <v>9</v>
      </c>
      <c r="I1238" s="246">
        <v>10</v>
      </c>
      <c r="J1238" s="246">
        <v>14</v>
      </c>
      <c r="K1238" s="246">
        <v>15</v>
      </c>
      <c r="L1238" s="246">
        <v>17</v>
      </c>
      <c r="M1238" s="246"/>
      <c r="N1238" s="246"/>
      <c r="O1238" s="246"/>
      <c r="P1238" s="246"/>
      <c r="Q1238" s="246"/>
      <c r="R1238" s="246">
        <f>IFERROR(VLOOKUP(D1238,PROGRAMAS[],2,FALSE),0)</f>
        <v>97037803.679377079</v>
      </c>
      <c r="S1238" s="246">
        <f>IFERROR(VLOOKUP(E1238,PROGRAMAS[],2,FALSE),0)</f>
        <v>640501509.6821388</v>
      </c>
      <c r="T1238" s="246">
        <f>IFERROR(VLOOKUP(F1238,PROGRAMAS[],2,FALSE),0)</f>
        <v>3062327798.1525245</v>
      </c>
      <c r="U1238" s="246">
        <f>IFERROR(VLOOKUP(G1238,PROGRAMAS[],2,FALSE),0)</f>
        <v>67697118.033011258</v>
      </c>
      <c r="V1238" s="246">
        <f>IFERROR(VLOOKUP(H1238,PROGRAMAS[],2,FALSE),0)</f>
        <v>6128579952.1618185</v>
      </c>
      <c r="W1238" s="246">
        <f>IFERROR(VLOOKUP(I1238,PROGRAMAS[],2,FALSE),0)</f>
        <v>4635315027.8751087</v>
      </c>
      <c r="X1238" s="246">
        <f>IFERROR(VLOOKUP(J1238,PROGRAMAS[],2,FALSE),0)</f>
        <v>54223862.645839565</v>
      </c>
      <c r="Y1238" s="246">
        <f>IFERROR(VLOOKUP(K1238,PROGRAMAS[],2,FALSE),0)</f>
        <v>122159672.96346797</v>
      </c>
      <c r="Z1238" s="246">
        <f>IFERROR(VLOOKUP(L1238,PROGRAMAS[],2,FALSE),0)</f>
        <v>1892779498.5211046</v>
      </c>
      <c r="AA1238" s="246">
        <f>IFERROR(VLOOKUP(M1238,PROGRAMAS[],2,FALSE),0)</f>
        <v>0</v>
      </c>
      <c r="AB1238" s="246">
        <f>IFERROR(VLOOKUP(N1238,PROGRAMAS[],2,FALSE),0)</f>
        <v>0</v>
      </c>
      <c r="AC1238" s="246">
        <f>IFERROR(VLOOKUP(O1238,PROGRAMAS[],2,FALSE),0)</f>
        <v>0</v>
      </c>
      <c r="AD1238" s="246">
        <f>IFERROR(VLOOKUP(P1238,PROGRAMAS[],2,FALSE),0)</f>
        <v>0</v>
      </c>
      <c r="AE1238" s="246">
        <f>IFERROR(VLOOKUP(Q1238,PROGRAMAS[],2,FALSE),0)</f>
        <v>0</v>
      </c>
      <c r="AF1238" s="246">
        <f>IFERROR(VLOOKUP(D1238,PROGRAMAS[],3,FALSE),0)</f>
        <v>841888629.31080008</v>
      </c>
      <c r="AG1238" s="246">
        <f>IFERROR(VLOOKUP(E1238,PROGRAMAS[],3,FALSE),0)</f>
        <v>3848980803.1642323</v>
      </c>
      <c r="AH1238" s="246">
        <f>IFERROR(VLOOKUP(F1238,PROGRAMAS[],3,FALSE),0)</f>
        <v>3394901471.387517</v>
      </c>
      <c r="AI1238" s="246">
        <f>IFERROR(VLOOKUP(G1238,PROGRAMAS[],3,FALSE),0)</f>
        <v>125317226.95549992</v>
      </c>
      <c r="AJ1238" s="246">
        <f>IFERROR(VLOOKUP(H1238,PROGRAMAS[],3,FALSE),0)</f>
        <v>7011279577.519702</v>
      </c>
      <c r="AK1238" s="246">
        <f>IFERROR(VLOOKUP(I1238,PROGRAMAS[],3,FALSE),0)</f>
        <v>4099471734.9978786</v>
      </c>
      <c r="AL1238" s="246">
        <f>IFERROR(VLOOKUP(J1238,PROGRAMAS[],3,FALSE),0)</f>
        <v>31865326.38096505</v>
      </c>
      <c r="AM1238" s="246">
        <f>IFERROR(VLOOKUP(K1238,PROGRAMAS[],3,FALSE),0)</f>
        <v>118617452.52510804</v>
      </c>
      <c r="AN1238" s="246">
        <f>IFERROR(VLOOKUP(L1238,PROGRAMAS[],3,FALSE),0)</f>
        <v>948595847.09039903</v>
      </c>
      <c r="AO1238" s="246">
        <f>IFERROR(VLOOKUP(M1238,PROGRAMAS[],3,FALSE),0)</f>
        <v>0</v>
      </c>
      <c r="AP1238" s="246">
        <f>IFERROR(VLOOKUP(N1238,PROGRAMAS[],3,FALSE),0)</f>
        <v>0</v>
      </c>
      <c r="AQ1238" s="246">
        <f>IFERROR(VLOOKUP(O1238,PROGRAMAS[],3,FALSE),0)</f>
        <v>0</v>
      </c>
      <c r="AR1238" s="246">
        <f>IFERROR(VLOOKUP(P1238,PROGRAMAS[],3,FALSE),0)</f>
        <v>0</v>
      </c>
      <c r="AS1238" s="246">
        <f>IFERROR(VLOOKUP(Q1238,PROGRAMAS[],3,FALSE),0)</f>
        <v>0</v>
      </c>
      <c r="AT1238" s="246">
        <f>IFERROR(VLOOKUP(D1238,VOL_REC[],2,FALSE),0)</f>
        <v>0</v>
      </c>
      <c r="AU1238" s="246">
        <f>IFERROR(VLOOKUP(E1238,VOL_REC[],2,FALSE),0)</f>
        <v>0</v>
      </c>
      <c r="AV1238" s="246">
        <f>IFERROR(VLOOKUP(F1238,VOL_REC[],2,FALSE),0)</f>
        <v>11089674.200000001</v>
      </c>
      <c r="AW1238" s="246">
        <f>IFERROR(VLOOKUP(G1238,VOL_REC[],2,FALSE),0)</f>
        <v>90439.55</v>
      </c>
      <c r="AX1238" s="246">
        <f>IFERROR(VLOOKUP(H1238,VOL_REC[],2,FALSE),0)</f>
        <v>3761786</v>
      </c>
      <c r="AY1238" s="246">
        <f>IFERROR(VLOOKUP(I1238,VOL_REC[],2,FALSE),0)</f>
        <v>1812240</v>
      </c>
      <c r="AZ1238" s="246">
        <f>IFERROR(VLOOKUP(J1238,VOL_REC[],2,FALSE),0)</f>
        <v>17074.045034105649</v>
      </c>
      <c r="BA1238" s="246">
        <f>IFERROR(VLOOKUP(K1238,VOL_REC[],2,FALSE),0)</f>
        <v>105072</v>
      </c>
      <c r="BB1238" s="246">
        <f>IFERROR(VLOOKUP(L1238,VOL_REC[],2,FALSE),0)</f>
        <v>740113.98115702497</v>
      </c>
      <c r="BC1238" s="246">
        <f>IFERROR(VLOOKUP(M1238,VOL_REC[],2,FALSE),0)</f>
        <v>0</v>
      </c>
      <c r="BD1238" s="246">
        <f>IFERROR(VLOOKUP(N1238,VOL_REC[],2,FALSE),0)</f>
        <v>0</v>
      </c>
      <c r="BE1238" s="246">
        <f>IFERROR(VLOOKUP(O1238,VOL_REC[],2,FALSE),0)</f>
        <v>0</v>
      </c>
      <c r="BF1238" s="246">
        <f>IFERROR(VLOOKUP(P1238,VOL_REC[],2,FALSE),0)</f>
        <v>0</v>
      </c>
      <c r="BG1238" s="246">
        <f>IFERROR(VLOOKUP(Q1238,VOL_REC[],2,FALSE),0)</f>
        <v>0</v>
      </c>
      <c r="BH1238" s="1710">
        <f t="shared" si="76"/>
        <v>16700622243.714392</v>
      </c>
      <c r="BI1238" s="1710">
        <f t="shared" si="77"/>
        <v>20420918069.332104</v>
      </c>
      <c r="BJ1238" s="1711">
        <f t="shared" si="78"/>
        <v>17616399.77619113</v>
      </c>
      <c r="BK1238" s="1711">
        <f t="shared" si="79"/>
        <v>0.81781936478140971</v>
      </c>
    </row>
    <row r="1239" spans="3:67" x14ac:dyDescent="0.25">
      <c r="C1239" s="246" t="s">
        <v>2589</v>
      </c>
      <c r="D1239" s="246">
        <v>1</v>
      </c>
      <c r="E1239" s="246">
        <v>2</v>
      </c>
      <c r="F1239" s="246">
        <v>3</v>
      </c>
      <c r="G1239" s="246">
        <v>4</v>
      </c>
      <c r="H1239" s="246">
        <v>9</v>
      </c>
      <c r="I1239" s="246">
        <v>10</v>
      </c>
      <c r="J1239" s="246">
        <v>14</v>
      </c>
      <c r="K1239" s="246">
        <v>16</v>
      </c>
      <c r="L1239" s="246">
        <v>17</v>
      </c>
      <c r="M1239" s="246"/>
      <c r="N1239" s="246"/>
      <c r="O1239" s="246"/>
      <c r="P1239" s="246"/>
      <c r="Q1239" s="246"/>
      <c r="R1239" s="246">
        <f>IFERROR(VLOOKUP(D1239,PROGRAMAS[],2,FALSE),0)</f>
        <v>97037803.679377079</v>
      </c>
      <c r="S1239" s="246">
        <f>IFERROR(VLOOKUP(E1239,PROGRAMAS[],2,FALSE),0)</f>
        <v>640501509.6821388</v>
      </c>
      <c r="T1239" s="246">
        <f>IFERROR(VLOOKUP(F1239,PROGRAMAS[],2,FALSE),0)</f>
        <v>3062327798.1525245</v>
      </c>
      <c r="U1239" s="246">
        <f>IFERROR(VLOOKUP(G1239,PROGRAMAS[],2,FALSE),0)</f>
        <v>67697118.033011258</v>
      </c>
      <c r="V1239" s="246">
        <f>IFERROR(VLOOKUP(H1239,PROGRAMAS[],2,FALSE),0)</f>
        <v>6128579952.1618185</v>
      </c>
      <c r="W1239" s="246">
        <f>IFERROR(VLOOKUP(I1239,PROGRAMAS[],2,FALSE),0)</f>
        <v>4635315027.8751087</v>
      </c>
      <c r="X1239" s="246">
        <f>IFERROR(VLOOKUP(J1239,PROGRAMAS[],2,FALSE),0)</f>
        <v>54223862.645839565</v>
      </c>
      <c r="Y1239" s="246">
        <f>IFERROR(VLOOKUP(K1239,PROGRAMAS[],2,FALSE),0)</f>
        <v>7068496961.0436354</v>
      </c>
      <c r="Z1239" s="246">
        <f>IFERROR(VLOOKUP(L1239,PROGRAMAS[],2,FALSE),0)</f>
        <v>1892779498.5211046</v>
      </c>
      <c r="AA1239" s="246">
        <f>IFERROR(VLOOKUP(M1239,PROGRAMAS[],2,FALSE),0)</f>
        <v>0</v>
      </c>
      <c r="AB1239" s="246">
        <f>IFERROR(VLOOKUP(N1239,PROGRAMAS[],2,FALSE),0)</f>
        <v>0</v>
      </c>
      <c r="AC1239" s="246">
        <f>IFERROR(VLOOKUP(O1239,PROGRAMAS[],2,FALSE),0)</f>
        <v>0</v>
      </c>
      <c r="AD1239" s="246">
        <f>IFERROR(VLOOKUP(P1239,PROGRAMAS[],2,FALSE),0)</f>
        <v>0</v>
      </c>
      <c r="AE1239" s="246">
        <f>IFERROR(VLOOKUP(Q1239,PROGRAMAS[],2,FALSE),0)</f>
        <v>0</v>
      </c>
      <c r="AF1239" s="246">
        <f>IFERROR(VLOOKUP(D1239,PROGRAMAS[],3,FALSE),0)</f>
        <v>841888629.31080008</v>
      </c>
      <c r="AG1239" s="246">
        <f>IFERROR(VLOOKUP(E1239,PROGRAMAS[],3,FALSE),0)</f>
        <v>3848980803.1642323</v>
      </c>
      <c r="AH1239" s="246">
        <f>IFERROR(VLOOKUP(F1239,PROGRAMAS[],3,FALSE),0)</f>
        <v>3394901471.387517</v>
      </c>
      <c r="AI1239" s="246">
        <f>IFERROR(VLOOKUP(G1239,PROGRAMAS[],3,FALSE),0)</f>
        <v>125317226.95549992</v>
      </c>
      <c r="AJ1239" s="246">
        <f>IFERROR(VLOOKUP(H1239,PROGRAMAS[],3,FALSE),0)</f>
        <v>7011279577.519702</v>
      </c>
      <c r="AK1239" s="246">
        <f>IFERROR(VLOOKUP(I1239,PROGRAMAS[],3,FALSE),0)</f>
        <v>4099471734.9978786</v>
      </c>
      <c r="AL1239" s="246">
        <f>IFERROR(VLOOKUP(J1239,PROGRAMAS[],3,FALSE),0)</f>
        <v>31865326.38096505</v>
      </c>
      <c r="AM1239" s="246">
        <f>IFERROR(VLOOKUP(K1239,PROGRAMAS[],3,FALSE),0)</f>
        <v>2406564599.0319901</v>
      </c>
      <c r="AN1239" s="246">
        <f>IFERROR(VLOOKUP(L1239,PROGRAMAS[],3,FALSE),0)</f>
        <v>948595847.09039903</v>
      </c>
      <c r="AO1239" s="246">
        <f>IFERROR(VLOOKUP(M1239,PROGRAMAS[],3,FALSE),0)</f>
        <v>0</v>
      </c>
      <c r="AP1239" s="246">
        <f>IFERROR(VLOOKUP(N1239,PROGRAMAS[],3,FALSE),0)</f>
        <v>0</v>
      </c>
      <c r="AQ1239" s="246">
        <f>IFERROR(VLOOKUP(O1239,PROGRAMAS[],3,FALSE),0)</f>
        <v>0</v>
      </c>
      <c r="AR1239" s="246">
        <f>IFERROR(VLOOKUP(P1239,PROGRAMAS[],3,FALSE),0)</f>
        <v>0</v>
      </c>
      <c r="AS1239" s="246">
        <f>IFERROR(VLOOKUP(Q1239,PROGRAMAS[],3,FALSE),0)</f>
        <v>0</v>
      </c>
      <c r="AT1239" s="246">
        <f>IFERROR(VLOOKUP(D1239,VOL_REC[],2,FALSE),0)</f>
        <v>0</v>
      </c>
      <c r="AU1239" s="246">
        <f>IFERROR(VLOOKUP(E1239,VOL_REC[],2,FALSE),0)</f>
        <v>0</v>
      </c>
      <c r="AV1239" s="246">
        <f>IFERROR(VLOOKUP(F1239,VOL_REC[],2,FALSE),0)</f>
        <v>11089674.200000001</v>
      </c>
      <c r="AW1239" s="246">
        <f>IFERROR(VLOOKUP(G1239,VOL_REC[],2,FALSE),0)</f>
        <v>90439.55</v>
      </c>
      <c r="AX1239" s="246">
        <f>IFERROR(VLOOKUP(H1239,VOL_REC[],2,FALSE),0)</f>
        <v>3761786</v>
      </c>
      <c r="AY1239" s="246">
        <f>IFERROR(VLOOKUP(I1239,VOL_REC[],2,FALSE),0)</f>
        <v>1812240</v>
      </c>
      <c r="AZ1239" s="246">
        <f>IFERROR(VLOOKUP(J1239,VOL_REC[],2,FALSE),0)</f>
        <v>17074.045034105649</v>
      </c>
      <c r="BA1239" s="246">
        <f>IFERROR(VLOOKUP(K1239,VOL_REC[],2,FALSE),0)</f>
        <v>1072354.9981737854</v>
      </c>
      <c r="BB1239" s="246">
        <f>IFERROR(VLOOKUP(L1239,VOL_REC[],2,FALSE),0)</f>
        <v>740113.98115702497</v>
      </c>
      <c r="BC1239" s="246">
        <f>IFERROR(VLOOKUP(M1239,VOL_REC[],2,FALSE),0)</f>
        <v>0</v>
      </c>
      <c r="BD1239" s="246">
        <f>IFERROR(VLOOKUP(N1239,VOL_REC[],2,FALSE),0)</f>
        <v>0</v>
      </c>
      <c r="BE1239" s="246">
        <f>IFERROR(VLOOKUP(O1239,VOL_REC[],2,FALSE),0)</f>
        <v>0</v>
      </c>
      <c r="BF1239" s="246">
        <f>IFERROR(VLOOKUP(P1239,VOL_REC[],2,FALSE),0)</f>
        <v>0</v>
      </c>
      <c r="BG1239" s="246">
        <f>IFERROR(VLOOKUP(Q1239,VOL_REC[],2,FALSE),0)</f>
        <v>0</v>
      </c>
      <c r="BH1239" s="1710">
        <f t="shared" si="76"/>
        <v>23646959531.794556</v>
      </c>
      <c r="BI1239" s="1710">
        <f t="shared" si="77"/>
        <v>22708865215.838985</v>
      </c>
      <c r="BJ1239" s="1711">
        <f t="shared" si="78"/>
        <v>18583682.774364915</v>
      </c>
      <c r="BK1239" s="1711">
        <f t="shared" si="79"/>
        <v>1.0413096078134836</v>
      </c>
      <c r="BL1239">
        <f>BJ1239</f>
        <v>18583682.774364915</v>
      </c>
      <c r="BO1239">
        <f>BL1239</f>
        <v>18583682.774364915</v>
      </c>
    </row>
    <row r="1240" spans="3:67" x14ac:dyDescent="0.25">
      <c r="C1240" s="246" t="s">
        <v>2590</v>
      </c>
      <c r="D1240" s="246">
        <v>1</v>
      </c>
      <c r="E1240" s="246">
        <v>2</v>
      </c>
      <c r="F1240" s="246">
        <v>3</v>
      </c>
      <c r="G1240" s="246">
        <v>4</v>
      </c>
      <c r="H1240" s="246">
        <v>9</v>
      </c>
      <c r="I1240" s="246">
        <v>10</v>
      </c>
      <c r="J1240" s="246">
        <v>15</v>
      </c>
      <c r="K1240" s="246">
        <v>16</v>
      </c>
      <c r="L1240" s="246">
        <v>17</v>
      </c>
      <c r="M1240" s="246"/>
      <c r="N1240" s="246"/>
      <c r="O1240" s="246"/>
      <c r="P1240" s="246"/>
      <c r="Q1240" s="246"/>
      <c r="R1240" s="246">
        <f>IFERROR(VLOOKUP(D1240,PROGRAMAS[],2,FALSE),0)</f>
        <v>97037803.679377079</v>
      </c>
      <c r="S1240" s="246">
        <f>IFERROR(VLOOKUP(E1240,PROGRAMAS[],2,FALSE),0)</f>
        <v>640501509.6821388</v>
      </c>
      <c r="T1240" s="246">
        <f>IFERROR(VLOOKUP(F1240,PROGRAMAS[],2,FALSE),0)</f>
        <v>3062327798.1525245</v>
      </c>
      <c r="U1240" s="246">
        <f>IFERROR(VLOOKUP(G1240,PROGRAMAS[],2,FALSE),0)</f>
        <v>67697118.033011258</v>
      </c>
      <c r="V1240" s="246">
        <f>IFERROR(VLOOKUP(H1240,PROGRAMAS[],2,FALSE),0)</f>
        <v>6128579952.1618185</v>
      </c>
      <c r="W1240" s="246">
        <f>IFERROR(VLOOKUP(I1240,PROGRAMAS[],2,FALSE),0)</f>
        <v>4635315027.8751087</v>
      </c>
      <c r="X1240" s="246">
        <f>IFERROR(VLOOKUP(J1240,PROGRAMAS[],2,FALSE),0)</f>
        <v>122159672.96346797</v>
      </c>
      <c r="Y1240" s="246">
        <f>IFERROR(VLOOKUP(K1240,PROGRAMAS[],2,FALSE),0)</f>
        <v>7068496961.0436354</v>
      </c>
      <c r="Z1240" s="246">
        <f>IFERROR(VLOOKUP(L1240,PROGRAMAS[],2,FALSE),0)</f>
        <v>1892779498.5211046</v>
      </c>
      <c r="AA1240" s="246">
        <f>IFERROR(VLOOKUP(M1240,PROGRAMAS[],2,FALSE),0)</f>
        <v>0</v>
      </c>
      <c r="AB1240" s="246">
        <f>IFERROR(VLOOKUP(N1240,PROGRAMAS[],2,FALSE),0)</f>
        <v>0</v>
      </c>
      <c r="AC1240" s="246">
        <f>IFERROR(VLOOKUP(O1240,PROGRAMAS[],2,FALSE),0)</f>
        <v>0</v>
      </c>
      <c r="AD1240" s="246">
        <f>IFERROR(VLOOKUP(P1240,PROGRAMAS[],2,FALSE),0)</f>
        <v>0</v>
      </c>
      <c r="AE1240" s="246">
        <f>IFERROR(VLOOKUP(Q1240,PROGRAMAS[],2,FALSE),0)</f>
        <v>0</v>
      </c>
      <c r="AF1240" s="246">
        <f>IFERROR(VLOOKUP(D1240,PROGRAMAS[],3,FALSE),0)</f>
        <v>841888629.31080008</v>
      </c>
      <c r="AG1240" s="246">
        <f>IFERROR(VLOOKUP(E1240,PROGRAMAS[],3,FALSE),0)</f>
        <v>3848980803.1642323</v>
      </c>
      <c r="AH1240" s="246">
        <f>IFERROR(VLOOKUP(F1240,PROGRAMAS[],3,FALSE),0)</f>
        <v>3394901471.387517</v>
      </c>
      <c r="AI1240" s="246">
        <f>IFERROR(VLOOKUP(G1240,PROGRAMAS[],3,FALSE),0)</f>
        <v>125317226.95549992</v>
      </c>
      <c r="AJ1240" s="246">
        <f>IFERROR(VLOOKUP(H1240,PROGRAMAS[],3,FALSE),0)</f>
        <v>7011279577.519702</v>
      </c>
      <c r="AK1240" s="246">
        <f>IFERROR(VLOOKUP(I1240,PROGRAMAS[],3,FALSE),0)</f>
        <v>4099471734.9978786</v>
      </c>
      <c r="AL1240" s="246">
        <f>IFERROR(VLOOKUP(J1240,PROGRAMAS[],3,FALSE),0)</f>
        <v>118617452.52510804</v>
      </c>
      <c r="AM1240" s="246">
        <f>IFERROR(VLOOKUP(K1240,PROGRAMAS[],3,FALSE),0)</f>
        <v>2406564599.0319901</v>
      </c>
      <c r="AN1240" s="246">
        <f>IFERROR(VLOOKUP(L1240,PROGRAMAS[],3,FALSE),0)</f>
        <v>948595847.09039903</v>
      </c>
      <c r="AO1240" s="246">
        <f>IFERROR(VLOOKUP(M1240,PROGRAMAS[],3,FALSE),0)</f>
        <v>0</v>
      </c>
      <c r="AP1240" s="246">
        <f>IFERROR(VLOOKUP(N1240,PROGRAMAS[],3,FALSE),0)</f>
        <v>0</v>
      </c>
      <c r="AQ1240" s="246">
        <f>IFERROR(VLOOKUP(O1240,PROGRAMAS[],3,FALSE),0)</f>
        <v>0</v>
      </c>
      <c r="AR1240" s="246">
        <f>IFERROR(VLOOKUP(P1240,PROGRAMAS[],3,FALSE),0)</f>
        <v>0</v>
      </c>
      <c r="AS1240" s="246">
        <f>IFERROR(VLOOKUP(Q1240,PROGRAMAS[],3,FALSE),0)</f>
        <v>0</v>
      </c>
      <c r="AT1240" s="246">
        <f>IFERROR(VLOOKUP(D1240,VOL_REC[],2,FALSE),0)</f>
        <v>0</v>
      </c>
      <c r="AU1240" s="246">
        <f>IFERROR(VLOOKUP(E1240,VOL_REC[],2,FALSE),0)</f>
        <v>0</v>
      </c>
      <c r="AV1240" s="246">
        <f>IFERROR(VLOOKUP(F1240,VOL_REC[],2,FALSE),0)</f>
        <v>11089674.200000001</v>
      </c>
      <c r="AW1240" s="246">
        <f>IFERROR(VLOOKUP(G1240,VOL_REC[],2,FALSE),0)</f>
        <v>90439.55</v>
      </c>
      <c r="AX1240" s="246">
        <f>IFERROR(VLOOKUP(H1240,VOL_REC[],2,FALSE),0)</f>
        <v>3761786</v>
      </c>
      <c r="AY1240" s="246">
        <f>IFERROR(VLOOKUP(I1240,VOL_REC[],2,FALSE),0)</f>
        <v>1812240</v>
      </c>
      <c r="AZ1240" s="246">
        <f>IFERROR(VLOOKUP(J1240,VOL_REC[],2,FALSE),0)</f>
        <v>105072</v>
      </c>
      <c r="BA1240" s="246">
        <f>IFERROR(VLOOKUP(K1240,VOL_REC[],2,FALSE),0)</f>
        <v>1072354.9981737854</v>
      </c>
      <c r="BB1240" s="246">
        <f>IFERROR(VLOOKUP(L1240,VOL_REC[],2,FALSE),0)</f>
        <v>740113.98115702497</v>
      </c>
      <c r="BC1240" s="246">
        <f>IFERROR(VLOOKUP(M1240,VOL_REC[],2,FALSE),0)</f>
        <v>0</v>
      </c>
      <c r="BD1240" s="246">
        <f>IFERROR(VLOOKUP(N1240,VOL_REC[],2,FALSE),0)</f>
        <v>0</v>
      </c>
      <c r="BE1240" s="246">
        <f>IFERROR(VLOOKUP(O1240,VOL_REC[],2,FALSE),0)</f>
        <v>0</v>
      </c>
      <c r="BF1240" s="246">
        <f>IFERROR(VLOOKUP(P1240,VOL_REC[],2,FALSE),0)</f>
        <v>0</v>
      </c>
      <c r="BG1240" s="246">
        <f>IFERROR(VLOOKUP(Q1240,VOL_REC[],2,FALSE),0)</f>
        <v>0</v>
      </c>
      <c r="BH1240" s="1710">
        <f t="shared" si="76"/>
        <v>23714895342.112186</v>
      </c>
      <c r="BI1240" s="1710">
        <f t="shared" si="77"/>
        <v>22795617341.983128</v>
      </c>
      <c r="BJ1240" s="1711">
        <f t="shared" si="78"/>
        <v>18671680.729330808</v>
      </c>
      <c r="BK1240" s="1711">
        <f t="shared" si="79"/>
        <v>1.0403269622549773</v>
      </c>
      <c r="BL1240">
        <f>BJ1240</f>
        <v>18671680.729330808</v>
      </c>
      <c r="BO1240">
        <f>BL1240</f>
        <v>18671680.729330808</v>
      </c>
    </row>
    <row r="1241" spans="3:67" x14ac:dyDescent="0.25">
      <c r="C1241" s="246" t="s">
        <v>2591</v>
      </c>
      <c r="D1241" s="246">
        <v>1</v>
      </c>
      <c r="E1241" s="246">
        <v>2</v>
      </c>
      <c r="F1241" s="246">
        <v>3</v>
      </c>
      <c r="G1241" s="246">
        <v>4</v>
      </c>
      <c r="H1241" s="246">
        <v>9</v>
      </c>
      <c r="I1241" s="246">
        <v>12</v>
      </c>
      <c r="J1241" s="246">
        <v>13</v>
      </c>
      <c r="K1241" s="246">
        <v>14</v>
      </c>
      <c r="L1241" s="246">
        <v>15</v>
      </c>
      <c r="M1241" s="246"/>
      <c r="N1241" s="246"/>
      <c r="O1241" s="246"/>
      <c r="P1241" s="246"/>
      <c r="Q1241" s="246"/>
      <c r="R1241" s="246">
        <f>IFERROR(VLOOKUP(D1241,PROGRAMAS[],2,FALSE),0)</f>
        <v>97037803.679377079</v>
      </c>
      <c r="S1241" s="246">
        <f>IFERROR(VLOOKUP(E1241,PROGRAMAS[],2,FALSE),0)</f>
        <v>640501509.6821388</v>
      </c>
      <c r="T1241" s="246">
        <f>IFERROR(VLOOKUP(F1241,PROGRAMAS[],2,FALSE),0)</f>
        <v>3062327798.1525245</v>
      </c>
      <c r="U1241" s="246">
        <f>IFERROR(VLOOKUP(G1241,PROGRAMAS[],2,FALSE),0)</f>
        <v>67697118.033011258</v>
      </c>
      <c r="V1241" s="246">
        <f>IFERROR(VLOOKUP(H1241,PROGRAMAS[],2,FALSE),0)</f>
        <v>6128579952.1618185</v>
      </c>
      <c r="W1241" s="246">
        <f>IFERROR(VLOOKUP(I1241,PROGRAMAS[],2,FALSE),0)</f>
        <v>764796700.79905891</v>
      </c>
      <c r="X1241" s="246">
        <f>IFERROR(VLOOKUP(J1241,PROGRAMAS[],2,FALSE),0)</f>
        <v>3776538594.4604583</v>
      </c>
      <c r="Y1241" s="246">
        <f>IFERROR(VLOOKUP(K1241,PROGRAMAS[],2,FALSE),0)</f>
        <v>54223862.645839565</v>
      </c>
      <c r="Z1241" s="246">
        <f>IFERROR(VLOOKUP(L1241,PROGRAMAS[],2,FALSE),0)</f>
        <v>122159672.96346797</v>
      </c>
      <c r="AA1241" s="246">
        <f>IFERROR(VLOOKUP(M1241,PROGRAMAS[],2,FALSE),0)</f>
        <v>0</v>
      </c>
      <c r="AB1241" s="246">
        <f>IFERROR(VLOOKUP(N1241,PROGRAMAS[],2,FALSE),0)</f>
        <v>0</v>
      </c>
      <c r="AC1241" s="246">
        <f>IFERROR(VLOOKUP(O1241,PROGRAMAS[],2,FALSE),0)</f>
        <v>0</v>
      </c>
      <c r="AD1241" s="246">
        <f>IFERROR(VLOOKUP(P1241,PROGRAMAS[],2,FALSE),0)</f>
        <v>0</v>
      </c>
      <c r="AE1241" s="246">
        <f>IFERROR(VLOOKUP(Q1241,PROGRAMAS[],2,FALSE),0)</f>
        <v>0</v>
      </c>
      <c r="AF1241" s="246">
        <f>IFERROR(VLOOKUP(D1241,PROGRAMAS[],3,FALSE),0)</f>
        <v>841888629.31080008</v>
      </c>
      <c r="AG1241" s="246">
        <f>IFERROR(VLOOKUP(E1241,PROGRAMAS[],3,FALSE),0)</f>
        <v>3848980803.1642323</v>
      </c>
      <c r="AH1241" s="246">
        <f>IFERROR(VLOOKUP(F1241,PROGRAMAS[],3,FALSE),0)</f>
        <v>3394901471.387517</v>
      </c>
      <c r="AI1241" s="246">
        <f>IFERROR(VLOOKUP(G1241,PROGRAMAS[],3,FALSE),0)</f>
        <v>125317226.95549992</v>
      </c>
      <c r="AJ1241" s="246">
        <f>IFERROR(VLOOKUP(H1241,PROGRAMAS[],3,FALSE),0)</f>
        <v>7011279577.519702</v>
      </c>
      <c r="AK1241" s="246">
        <f>IFERROR(VLOOKUP(I1241,PROGRAMAS[],3,FALSE),0)</f>
        <v>675517840.109828</v>
      </c>
      <c r="AL1241" s="246">
        <f>IFERROR(VLOOKUP(J1241,PROGRAMAS[],3,FALSE),0)</f>
        <v>2392571243.5584412</v>
      </c>
      <c r="AM1241" s="246">
        <f>IFERROR(VLOOKUP(K1241,PROGRAMAS[],3,FALSE),0)</f>
        <v>31865326.38096505</v>
      </c>
      <c r="AN1241" s="246">
        <f>IFERROR(VLOOKUP(L1241,PROGRAMAS[],3,FALSE),0)</f>
        <v>118617452.52510804</v>
      </c>
      <c r="AO1241" s="246">
        <f>IFERROR(VLOOKUP(M1241,PROGRAMAS[],3,FALSE),0)</f>
        <v>0</v>
      </c>
      <c r="AP1241" s="246">
        <f>IFERROR(VLOOKUP(N1241,PROGRAMAS[],3,FALSE),0)</f>
        <v>0</v>
      </c>
      <c r="AQ1241" s="246">
        <f>IFERROR(VLOOKUP(O1241,PROGRAMAS[],3,FALSE),0)</f>
        <v>0</v>
      </c>
      <c r="AR1241" s="246">
        <f>IFERROR(VLOOKUP(P1241,PROGRAMAS[],3,FALSE),0)</f>
        <v>0</v>
      </c>
      <c r="AS1241" s="246">
        <f>IFERROR(VLOOKUP(Q1241,PROGRAMAS[],3,FALSE),0)</f>
        <v>0</v>
      </c>
      <c r="AT1241" s="246">
        <f>IFERROR(VLOOKUP(D1241,VOL_REC[],2,FALSE),0)</f>
        <v>0</v>
      </c>
      <c r="AU1241" s="246">
        <f>IFERROR(VLOOKUP(E1241,VOL_REC[],2,FALSE),0)</f>
        <v>0</v>
      </c>
      <c r="AV1241" s="246">
        <f>IFERROR(VLOOKUP(F1241,VOL_REC[],2,FALSE),0)</f>
        <v>11089674.200000001</v>
      </c>
      <c r="AW1241" s="246">
        <f>IFERROR(VLOOKUP(G1241,VOL_REC[],2,FALSE),0)</f>
        <v>90439.55</v>
      </c>
      <c r="AX1241" s="246">
        <f>IFERROR(VLOOKUP(H1241,VOL_REC[],2,FALSE),0)</f>
        <v>3761786</v>
      </c>
      <c r="AY1241" s="246">
        <f>IFERROR(VLOOKUP(I1241,VOL_REC[],2,FALSE),0)</f>
        <v>240696.79238099116</v>
      </c>
      <c r="AZ1241" s="246">
        <f>IFERROR(VLOOKUP(J1241,VOL_REC[],2,FALSE),0)</f>
        <v>663244.80000000016</v>
      </c>
      <c r="BA1241" s="246">
        <f>IFERROR(VLOOKUP(K1241,VOL_REC[],2,FALSE),0)</f>
        <v>17074.045034105649</v>
      </c>
      <c r="BB1241" s="246">
        <f>IFERROR(VLOOKUP(L1241,VOL_REC[],2,FALSE),0)</f>
        <v>105072</v>
      </c>
      <c r="BC1241" s="246">
        <f>IFERROR(VLOOKUP(M1241,VOL_REC[],2,FALSE),0)</f>
        <v>0</v>
      </c>
      <c r="BD1241" s="246">
        <f>IFERROR(VLOOKUP(N1241,VOL_REC[],2,FALSE),0)</f>
        <v>0</v>
      </c>
      <c r="BE1241" s="246">
        <f>IFERROR(VLOOKUP(O1241,VOL_REC[],2,FALSE),0)</f>
        <v>0</v>
      </c>
      <c r="BF1241" s="246">
        <f>IFERROR(VLOOKUP(P1241,VOL_REC[],2,FALSE),0)</f>
        <v>0</v>
      </c>
      <c r="BG1241" s="246">
        <f>IFERROR(VLOOKUP(Q1241,VOL_REC[],2,FALSE),0)</f>
        <v>0</v>
      </c>
      <c r="BH1241" s="1710">
        <f t="shared" si="76"/>
        <v>14713863012.577696</v>
      </c>
      <c r="BI1241" s="1710">
        <f t="shared" si="77"/>
        <v>18440939570.912094</v>
      </c>
      <c r="BJ1241" s="1711">
        <f t="shared" si="78"/>
        <v>15967987.387415098</v>
      </c>
      <c r="BK1241" s="1711">
        <f t="shared" si="79"/>
        <v>0.7978911788088433</v>
      </c>
    </row>
    <row r="1242" spans="3:67" x14ac:dyDescent="0.25">
      <c r="C1242" s="246" t="s">
        <v>2592</v>
      </c>
      <c r="D1242" s="246">
        <v>1</v>
      </c>
      <c r="E1242" s="246">
        <v>2</v>
      </c>
      <c r="F1242" s="246">
        <v>3</v>
      </c>
      <c r="G1242" s="246">
        <v>4</v>
      </c>
      <c r="H1242" s="246">
        <v>9</v>
      </c>
      <c r="I1242" s="246">
        <v>12</v>
      </c>
      <c r="J1242" s="246">
        <v>13</v>
      </c>
      <c r="K1242" s="246">
        <v>14</v>
      </c>
      <c r="L1242" s="246">
        <v>16</v>
      </c>
      <c r="M1242" s="246"/>
      <c r="N1242" s="246"/>
      <c r="O1242" s="246"/>
      <c r="P1242" s="246"/>
      <c r="Q1242" s="246"/>
      <c r="R1242" s="246">
        <f>IFERROR(VLOOKUP(D1242,PROGRAMAS[],2,FALSE),0)</f>
        <v>97037803.679377079</v>
      </c>
      <c r="S1242" s="246">
        <f>IFERROR(VLOOKUP(E1242,PROGRAMAS[],2,FALSE),0)</f>
        <v>640501509.6821388</v>
      </c>
      <c r="T1242" s="246">
        <f>IFERROR(VLOOKUP(F1242,PROGRAMAS[],2,FALSE),0)</f>
        <v>3062327798.1525245</v>
      </c>
      <c r="U1242" s="246">
        <f>IFERROR(VLOOKUP(G1242,PROGRAMAS[],2,FALSE),0)</f>
        <v>67697118.033011258</v>
      </c>
      <c r="V1242" s="246">
        <f>IFERROR(VLOOKUP(H1242,PROGRAMAS[],2,FALSE),0)</f>
        <v>6128579952.1618185</v>
      </c>
      <c r="W1242" s="246">
        <f>IFERROR(VLOOKUP(I1242,PROGRAMAS[],2,FALSE),0)</f>
        <v>764796700.79905891</v>
      </c>
      <c r="X1242" s="246">
        <f>IFERROR(VLOOKUP(J1242,PROGRAMAS[],2,FALSE),0)</f>
        <v>3776538594.4604583</v>
      </c>
      <c r="Y1242" s="246">
        <f>IFERROR(VLOOKUP(K1242,PROGRAMAS[],2,FALSE),0)</f>
        <v>54223862.645839565</v>
      </c>
      <c r="Z1242" s="246">
        <f>IFERROR(VLOOKUP(L1242,PROGRAMAS[],2,FALSE),0)</f>
        <v>7068496961.0436354</v>
      </c>
      <c r="AA1242" s="246">
        <f>IFERROR(VLOOKUP(M1242,PROGRAMAS[],2,FALSE),0)</f>
        <v>0</v>
      </c>
      <c r="AB1242" s="246">
        <f>IFERROR(VLOOKUP(N1242,PROGRAMAS[],2,FALSE),0)</f>
        <v>0</v>
      </c>
      <c r="AC1242" s="246">
        <f>IFERROR(VLOOKUP(O1242,PROGRAMAS[],2,FALSE),0)</f>
        <v>0</v>
      </c>
      <c r="AD1242" s="246">
        <f>IFERROR(VLOOKUP(P1242,PROGRAMAS[],2,FALSE),0)</f>
        <v>0</v>
      </c>
      <c r="AE1242" s="246">
        <f>IFERROR(VLOOKUP(Q1242,PROGRAMAS[],2,FALSE),0)</f>
        <v>0</v>
      </c>
      <c r="AF1242" s="246">
        <f>IFERROR(VLOOKUP(D1242,PROGRAMAS[],3,FALSE),0)</f>
        <v>841888629.31080008</v>
      </c>
      <c r="AG1242" s="246">
        <f>IFERROR(VLOOKUP(E1242,PROGRAMAS[],3,FALSE),0)</f>
        <v>3848980803.1642323</v>
      </c>
      <c r="AH1242" s="246">
        <f>IFERROR(VLOOKUP(F1242,PROGRAMAS[],3,FALSE),0)</f>
        <v>3394901471.387517</v>
      </c>
      <c r="AI1242" s="246">
        <f>IFERROR(VLOOKUP(G1242,PROGRAMAS[],3,FALSE),0)</f>
        <v>125317226.95549992</v>
      </c>
      <c r="AJ1242" s="246">
        <f>IFERROR(VLOOKUP(H1242,PROGRAMAS[],3,FALSE),0)</f>
        <v>7011279577.519702</v>
      </c>
      <c r="AK1242" s="246">
        <f>IFERROR(VLOOKUP(I1242,PROGRAMAS[],3,FALSE),0)</f>
        <v>675517840.109828</v>
      </c>
      <c r="AL1242" s="246">
        <f>IFERROR(VLOOKUP(J1242,PROGRAMAS[],3,FALSE),0)</f>
        <v>2392571243.5584412</v>
      </c>
      <c r="AM1242" s="246">
        <f>IFERROR(VLOOKUP(K1242,PROGRAMAS[],3,FALSE),0)</f>
        <v>31865326.38096505</v>
      </c>
      <c r="AN1242" s="246">
        <f>IFERROR(VLOOKUP(L1242,PROGRAMAS[],3,FALSE),0)</f>
        <v>2406564599.0319901</v>
      </c>
      <c r="AO1242" s="246">
        <f>IFERROR(VLOOKUP(M1242,PROGRAMAS[],3,FALSE),0)</f>
        <v>0</v>
      </c>
      <c r="AP1242" s="246">
        <f>IFERROR(VLOOKUP(N1242,PROGRAMAS[],3,FALSE),0)</f>
        <v>0</v>
      </c>
      <c r="AQ1242" s="246">
        <f>IFERROR(VLOOKUP(O1242,PROGRAMAS[],3,FALSE),0)</f>
        <v>0</v>
      </c>
      <c r="AR1242" s="246">
        <f>IFERROR(VLOOKUP(P1242,PROGRAMAS[],3,FALSE),0)</f>
        <v>0</v>
      </c>
      <c r="AS1242" s="246">
        <f>IFERROR(VLOOKUP(Q1242,PROGRAMAS[],3,FALSE),0)</f>
        <v>0</v>
      </c>
      <c r="AT1242" s="246">
        <f>IFERROR(VLOOKUP(D1242,VOL_REC[],2,FALSE),0)</f>
        <v>0</v>
      </c>
      <c r="AU1242" s="246">
        <f>IFERROR(VLOOKUP(E1242,VOL_REC[],2,FALSE),0)</f>
        <v>0</v>
      </c>
      <c r="AV1242" s="246">
        <f>IFERROR(VLOOKUP(F1242,VOL_REC[],2,FALSE),0)</f>
        <v>11089674.200000001</v>
      </c>
      <c r="AW1242" s="246">
        <f>IFERROR(VLOOKUP(G1242,VOL_REC[],2,FALSE),0)</f>
        <v>90439.55</v>
      </c>
      <c r="AX1242" s="246">
        <f>IFERROR(VLOOKUP(H1242,VOL_REC[],2,FALSE),0)</f>
        <v>3761786</v>
      </c>
      <c r="AY1242" s="246">
        <f>IFERROR(VLOOKUP(I1242,VOL_REC[],2,FALSE),0)</f>
        <v>240696.79238099116</v>
      </c>
      <c r="AZ1242" s="246">
        <f>IFERROR(VLOOKUP(J1242,VOL_REC[],2,FALSE),0)</f>
        <v>663244.80000000016</v>
      </c>
      <c r="BA1242" s="246">
        <f>IFERROR(VLOOKUP(K1242,VOL_REC[],2,FALSE),0)</f>
        <v>17074.045034105649</v>
      </c>
      <c r="BB1242" s="246">
        <f>IFERROR(VLOOKUP(L1242,VOL_REC[],2,FALSE),0)</f>
        <v>1072354.9981737854</v>
      </c>
      <c r="BC1242" s="246">
        <f>IFERROR(VLOOKUP(M1242,VOL_REC[],2,FALSE),0)</f>
        <v>0</v>
      </c>
      <c r="BD1242" s="246">
        <f>IFERROR(VLOOKUP(N1242,VOL_REC[],2,FALSE),0)</f>
        <v>0</v>
      </c>
      <c r="BE1242" s="246">
        <f>IFERROR(VLOOKUP(O1242,VOL_REC[],2,FALSE),0)</f>
        <v>0</v>
      </c>
      <c r="BF1242" s="246">
        <f>IFERROR(VLOOKUP(P1242,VOL_REC[],2,FALSE),0)</f>
        <v>0</v>
      </c>
      <c r="BG1242" s="246">
        <f>IFERROR(VLOOKUP(Q1242,VOL_REC[],2,FALSE),0)</f>
        <v>0</v>
      </c>
      <c r="BH1242" s="1710">
        <f t="shared" si="76"/>
        <v>21660200300.657864</v>
      </c>
      <c r="BI1242" s="1710">
        <f t="shared" si="77"/>
        <v>20728886717.418976</v>
      </c>
      <c r="BJ1242" s="1711">
        <f t="shared" si="78"/>
        <v>16935270.385588884</v>
      </c>
      <c r="BK1242" s="1711">
        <f t="shared" si="79"/>
        <v>1.0449282972083727</v>
      </c>
      <c r="BL1242">
        <f>BJ1242</f>
        <v>16935270.385588884</v>
      </c>
      <c r="BO1242">
        <f>BL1242</f>
        <v>16935270.385588884</v>
      </c>
    </row>
    <row r="1243" spans="3:67" x14ac:dyDescent="0.25">
      <c r="C1243" s="246" t="s">
        <v>2593</v>
      </c>
      <c r="D1243" s="246">
        <v>1</v>
      </c>
      <c r="E1243" s="246">
        <v>2</v>
      </c>
      <c r="F1243" s="246">
        <v>3</v>
      </c>
      <c r="G1243" s="246">
        <v>4</v>
      </c>
      <c r="H1243" s="246">
        <v>9</v>
      </c>
      <c r="I1243" s="246">
        <v>12</v>
      </c>
      <c r="J1243" s="246">
        <v>13</v>
      </c>
      <c r="K1243" s="246">
        <v>14</v>
      </c>
      <c r="L1243" s="246">
        <v>17</v>
      </c>
      <c r="M1243" s="246"/>
      <c r="N1243" s="246"/>
      <c r="O1243" s="246"/>
      <c r="P1243" s="246"/>
      <c r="Q1243" s="246"/>
      <c r="R1243" s="246">
        <f>IFERROR(VLOOKUP(D1243,PROGRAMAS[],2,FALSE),0)</f>
        <v>97037803.679377079</v>
      </c>
      <c r="S1243" s="246">
        <f>IFERROR(VLOOKUP(E1243,PROGRAMAS[],2,FALSE),0)</f>
        <v>640501509.6821388</v>
      </c>
      <c r="T1243" s="246">
        <f>IFERROR(VLOOKUP(F1243,PROGRAMAS[],2,FALSE),0)</f>
        <v>3062327798.1525245</v>
      </c>
      <c r="U1243" s="246">
        <f>IFERROR(VLOOKUP(G1243,PROGRAMAS[],2,FALSE),0)</f>
        <v>67697118.033011258</v>
      </c>
      <c r="V1243" s="246">
        <f>IFERROR(VLOOKUP(H1243,PROGRAMAS[],2,FALSE),0)</f>
        <v>6128579952.1618185</v>
      </c>
      <c r="W1243" s="246">
        <f>IFERROR(VLOOKUP(I1243,PROGRAMAS[],2,FALSE),0)</f>
        <v>764796700.79905891</v>
      </c>
      <c r="X1243" s="246">
        <f>IFERROR(VLOOKUP(J1243,PROGRAMAS[],2,FALSE),0)</f>
        <v>3776538594.4604583</v>
      </c>
      <c r="Y1243" s="246">
        <f>IFERROR(VLOOKUP(K1243,PROGRAMAS[],2,FALSE),0)</f>
        <v>54223862.645839565</v>
      </c>
      <c r="Z1243" s="246">
        <f>IFERROR(VLOOKUP(L1243,PROGRAMAS[],2,FALSE),0)</f>
        <v>1892779498.5211046</v>
      </c>
      <c r="AA1243" s="246">
        <f>IFERROR(VLOOKUP(M1243,PROGRAMAS[],2,FALSE),0)</f>
        <v>0</v>
      </c>
      <c r="AB1243" s="246">
        <f>IFERROR(VLOOKUP(N1243,PROGRAMAS[],2,FALSE),0)</f>
        <v>0</v>
      </c>
      <c r="AC1243" s="246">
        <f>IFERROR(VLOOKUP(O1243,PROGRAMAS[],2,FALSE),0)</f>
        <v>0</v>
      </c>
      <c r="AD1243" s="246">
        <f>IFERROR(VLOOKUP(P1243,PROGRAMAS[],2,FALSE),0)</f>
        <v>0</v>
      </c>
      <c r="AE1243" s="246">
        <f>IFERROR(VLOOKUP(Q1243,PROGRAMAS[],2,FALSE),0)</f>
        <v>0</v>
      </c>
      <c r="AF1243" s="246">
        <f>IFERROR(VLOOKUP(D1243,PROGRAMAS[],3,FALSE),0)</f>
        <v>841888629.31080008</v>
      </c>
      <c r="AG1243" s="246">
        <f>IFERROR(VLOOKUP(E1243,PROGRAMAS[],3,FALSE),0)</f>
        <v>3848980803.1642323</v>
      </c>
      <c r="AH1243" s="246">
        <f>IFERROR(VLOOKUP(F1243,PROGRAMAS[],3,FALSE),0)</f>
        <v>3394901471.387517</v>
      </c>
      <c r="AI1243" s="246">
        <f>IFERROR(VLOOKUP(G1243,PROGRAMAS[],3,FALSE),0)</f>
        <v>125317226.95549992</v>
      </c>
      <c r="AJ1243" s="246">
        <f>IFERROR(VLOOKUP(H1243,PROGRAMAS[],3,FALSE),0)</f>
        <v>7011279577.519702</v>
      </c>
      <c r="AK1243" s="246">
        <f>IFERROR(VLOOKUP(I1243,PROGRAMAS[],3,FALSE),0)</f>
        <v>675517840.109828</v>
      </c>
      <c r="AL1243" s="246">
        <f>IFERROR(VLOOKUP(J1243,PROGRAMAS[],3,FALSE),0)</f>
        <v>2392571243.5584412</v>
      </c>
      <c r="AM1243" s="246">
        <f>IFERROR(VLOOKUP(K1243,PROGRAMAS[],3,FALSE),0)</f>
        <v>31865326.38096505</v>
      </c>
      <c r="AN1243" s="246">
        <f>IFERROR(VLOOKUP(L1243,PROGRAMAS[],3,FALSE),0)</f>
        <v>948595847.09039903</v>
      </c>
      <c r="AO1243" s="246">
        <f>IFERROR(VLOOKUP(M1243,PROGRAMAS[],3,FALSE),0)</f>
        <v>0</v>
      </c>
      <c r="AP1243" s="246">
        <f>IFERROR(VLOOKUP(N1243,PROGRAMAS[],3,FALSE),0)</f>
        <v>0</v>
      </c>
      <c r="AQ1243" s="246">
        <f>IFERROR(VLOOKUP(O1243,PROGRAMAS[],3,FALSE),0)</f>
        <v>0</v>
      </c>
      <c r="AR1243" s="246">
        <f>IFERROR(VLOOKUP(P1243,PROGRAMAS[],3,FALSE),0)</f>
        <v>0</v>
      </c>
      <c r="AS1243" s="246">
        <f>IFERROR(VLOOKUP(Q1243,PROGRAMAS[],3,FALSE),0)</f>
        <v>0</v>
      </c>
      <c r="AT1243" s="246">
        <f>IFERROR(VLOOKUP(D1243,VOL_REC[],2,FALSE),0)</f>
        <v>0</v>
      </c>
      <c r="AU1243" s="246">
        <f>IFERROR(VLOOKUP(E1243,VOL_REC[],2,FALSE),0)</f>
        <v>0</v>
      </c>
      <c r="AV1243" s="246">
        <f>IFERROR(VLOOKUP(F1243,VOL_REC[],2,FALSE),0)</f>
        <v>11089674.200000001</v>
      </c>
      <c r="AW1243" s="246">
        <f>IFERROR(VLOOKUP(G1243,VOL_REC[],2,FALSE),0)</f>
        <v>90439.55</v>
      </c>
      <c r="AX1243" s="246">
        <f>IFERROR(VLOOKUP(H1243,VOL_REC[],2,FALSE),0)</f>
        <v>3761786</v>
      </c>
      <c r="AY1243" s="246">
        <f>IFERROR(VLOOKUP(I1243,VOL_REC[],2,FALSE),0)</f>
        <v>240696.79238099116</v>
      </c>
      <c r="AZ1243" s="246">
        <f>IFERROR(VLOOKUP(J1243,VOL_REC[],2,FALSE),0)</f>
        <v>663244.80000000016</v>
      </c>
      <c r="BA1243" s="246">
        <f>IFERROR(VLOOKUP(K1243,VOL_REC[],2,FALSE),0)</f>
        <v>17074.045034105649</v>
      </c>
      <c r="BB1243" s="246">
        <f>IFERROR(VLOOKUP(L1243,VOL_REC[],2,FALSE),0)</f>
        <v>740113.98115702497</v>
      </c>
      <c r="BC1243" s="246">
        <f>IFERROR(VLOOKUP(M1243,VOL_REC[],2,FALSE),0)</f>
        <v>0</v>
      </c>
      <c r="BD1243" s="246">
        <f>IFERROR(VLOOKUP(N1243,VOL_REC[],2,FALSE),0)</f>
        <v>0</v>
      </c>
      <c r="BE1243" s="246">
        <f>IFERROR(VLOOKUP(O1243,VOL_REC[],2,FALSE),0)</f>
        <v>0</v>
      </c>
      <c r="BF1243" s="246">
        <f>IFERROR(VLOOKUP(P1243,VOL_REC[],2,FALSE),0)</f>
        <v>0</v>
      </c>
      <c r="BG1243" s="246">
        <f>IFERROR(VLOOKUP(Q1243,VOL_REC[],2,FALSE),0)</f>
        <v>0</v>
      </c>
      <c r="BH1243" s="1710">
        <f t="shared" si="76"/>
        <v>16484482838.135332</v>
      </c>
      <c r="BI1243" s="1710">
        <f t="shared" si="77"/>
        <v>19270917965.477386</v>
      </c>
      <c r="BJ1243" s="1711">
        <f t="shared" si="78"/>
        <v>16603029.368572123</v>
      </c>
      <c r="BK1243" s="1711">
        <f t="shared" si="79"/>
        <v>0.85540724461939099</v>
      </c>
    </row>
    <row r="1244" spans="3:67" x14ac:dyDescent="0.25">
      <c r="C1244" s="246" t="s">
        <v>2594</v>
      </c>
      <c r="D1244" s="246">
        <v>1</v>
      </c>
      <c r="E1244" s="246">
        <v>2</v>
      </c>
      <c r="F1244" s="246">
        <v>3</v>
      </c>
      <c r="G1244" s="246">
        <v>4</v>
      </c>
      <c r="H1244" s="246">
        <v>9</v>
      </c>
      <c r="I1244" s="246">
        <v>12</v>
      </c>
      <c r="J1244" s="246">
        <v>13</v>
      </c>
      <c r="K1244" s="246">
        <v>15</v>
      </c>
      <c r="L1244" s="246">
        <v>16</v>
      </c>
      <c r="M1244" s="246"/>
      <c r="N1244" s="246"/>
      <c r="O1244" s="246"/>
      <c r="P1244" s="246"/>
      <c r="Q1244" s="246"/>
      <c r="R1244" s="246">
        <f>IFERROR(VLOOKUP(D1244,PROGRAMAS[],2,FALSE),0)</f>
        <v>97037803.679377079</v>
      </c>
      <c r="S1244" s="246">
        <f>IFERROR(VLOOKUP(E1244,PROGRAMAS[],2,FALSE),0)</f>
        <v>640501509.6821388</v>
      </c>
      <c r="T1244" s="246">
        <f>IFERROR(VLOOKUP(F1244,PROGRAMAS[],2,FALSE),0)</f>
        <v>3062327798.1525245</v>
      </c>
      <c r="U1244" s="246">
        <f>IFERROR(VLOOKUP(G1244,PROGRAMAS[],2,FALSE),0)</f>
        <v>67697118.033011258</v>
      </c>
      <c r="V1244" s="246">
        <f>IFERROR(VLOOKUP(H1244,PROGRAMAS[],2,FALSE),0)</f>
        <v>6128579952.1618185</v>
      </c>
      <c r="W1244" s="246">
        <f>IFERROR(VLOOKUP(I1244,PROGRAMAS[],2,FALSE),0)</f>
        <v>764796700.79905891</v>
      </c>
      <c r="X1244" s="246">
        <f>IFERROR(VLOOKUP(J1244,PROGRAMAS[],2,FALSE),0)</f>
        <v>3776538594.4604583</v>
      </c>
      <c r="Y1244" s="246">
        <f>IFERROR(VLOOKUP(K1244,PROGRAMAS[],2,FALSE),0)</f>
        <v>122159672.96346797</v>
      </c>
      <c r="Z1244" s="246">
        <f>IFERROR(VLOOKUP(L1244,PROGRAMAS[],2,FALSE),0)</f>
        <v>7068496961.0436354</v>
      </c>
      <c r="AA1244" s="246">
        <f>IFERROR(VLOOKUP(M1244,PROGRAMAS[],2,FALSE),0)</f>
        <v>0</v>
      </c>
      <c r="AB1244" s="246">
        <f>IFERROR(VLOOKUP(N1244,PROGRAMAS[],2,FALSE),0)</f>
        <v>0</v>
      </c>
      <c r="AC1244" s="246">
        <f>IFERROR(VLOOKUP(O1244,PROGRAMAS[],2,FALSE),0)</f>
        <v>0</v>
      </c>
      <c r="AD1244" s="246">
        <f>IFERROR(VLOOKUP(P1244,PROGRAMAS[],2,FALSE),0)</f>
        <v>0</v>
      </c>
      <c r="AE1244" s="246">
        <f>IFERROR(VLOOKUP(Q1244,PROGRAMAS[],2,FALSE),0)</f>
        <v>0</v>
      </c>
      <c r="AF1244" s="246">
        <f>IFERROR(VLOOKUP(D1244,PROGRAMAS[],3,FALSE),0)</f>
        <v>841888629.31080008</v>
      </c>
      <c r="AG1244" s="246">
        <f>IFERROR(VLOOKUP(E1244,PROGRAMAS[],3,FALSE),0)</f>
        <v>3848980803.1642323</v>
      </c>
      <c r="AH1244" s="246">
        <f>IFERROR(VLOOKUP(F1244,PROGRAMAS[],3,FALSE),0)</f>
        <v>3394901471.387517</v>
      </c>
      <c r="AI1244" s="246">
        <f>IFERROR(VLOOKUP(G1244,PROGRAMAS[],3,FALSE),0)</f>
        <v>125317226.95549992</v>
      </c>
      <c r="AJ1244" s="246">
        <f>IFERROR(VLOOKUP(H1244,PROGRAMAS[],3,FALSE),0)</f>
        <v>7011279577.519702</v>
      </c>
      <c r="AK1244" s="246">
        <f>IFERROR(VLOOKUP(I1244,PROGRAMAS[],3,FALSE),0)</f>
        <v>675517840.109828</v>
      </c>
      <c r="AL1244" s="246">
        <f>IFERROR(VLOOKUP(J1244,PROGRAMAS[],3,FALSE),0)</f>
        <v>2392571243.5584412</v>
      </c>
      <c r="AM1244" s="246">
        <f>IFERROR(VLOOKUP(K1244,PROGRAMAS[],3,FALSE),0)</f>
        <v>118617452.52510804</v>
      </c>
      <c r="AN1244" s="246">
        <f>IFERROR(VLOOKUP(L1244,PROGRAMAS[],3,FALSE),0)</f>
        <v>2406564599.0319901</v>
      </c>
      <c r="AO1244" s="246">
        <f>IFERROR(VLOOKUP(M1244,PROGRAMAS[],3,FALSE),0)</f>
        <v>0</v>
      </c>
      <c r="AP1244" s="246">
        <f>IFERROR(VLOOKUP(N1244,PROGRAMAS[],3,FALSE),0)</f>
        <v>0</v>
      </c>
      <c r="AQ1244" s="246">
        <f>IFERROR(VLOOKUP(O1244,PROGRAMAS[],3,FALSE),0)</f>
        <v>0</v>
      </c>
      <c r="AR1244" s="246">
        <f>IFERROR(VLOOKUP(P1244,PROGRAMAS[],3,FALSE),0)</f>
        <v>0</v>
      </c>
      <c r="AS1244" s="246">
        <f>IFERROR(VLOOKUP(Q1244,PROGRAMAS[],3,FALSE),0)</f>
        <v>0</v>
      </c>
      <c r="AT1244" s="246">
        <f>IFERROR(VLOOKUP(D1244,VOL_REC[],2,FALSE),0)</f>
        <v>0</v>
      </c>
      <c r="AU1244" s="246">
        <f>IFERROR(VLOOKUP(E1244,VOL_REC[],2,FALSE),0)</f>
        <v>0</v>
      </c>
      <c r="AV1244" s="246">
        <f>IFERROR(VLOOKUP(F1244,VOL_REC[],2,FALSE),0)</f>
        <v>11089674.200000001</v>
      </c>
      <c r="AW1244" s="246">
        <f>IFERROR(VLOOKUP(G1244,VOL_REC[],2,FALSE),0)</f>
        <v>90439.55</v>
      </c>
      <c r="AX1244" s="246">
        <f>IFERROR(VLOOKUP(H1244,VOL_REC[],2,FALSE),0)</f>
        <v>3761786</v>
      </c>
      <c r="AY1244" s="246">
        <f>IFERROR(VLOOKUP(I1244,VOL_REC[],2,FALSE),0)</f>
        <v>240696.79238099116</v>
      </c>
      <c r="AZ1244" s="246">
        <f>IFERROR(VLOOKUP(J1244,VOL_REC[],2,FALSE),0)</f>
        <v>663244.80000000016</v>
      </c>
      <c r="BA1244" s="246">
        <f>IFERROR(VLOOKUP(K1244,VOL_REC[],2,FALSE),0)</f>
        <v>105072</v>
      </c>
      <c r="BB1244" s="246">
        <f>IFERROR(VLOOKUP(L1244,VOL_REC[],2,FALSE),0)</f>
        <v>1072354.9981737854</v>
      </c>
      <c r="BC1244" s="246">
        <f>IFERROR(VLOOKUP(M1244,VOL_REC[],2,FALSE),0)</f>
        <v>0</v>
      </c>
      <c r="BD1244" s="246">
        <f>IFERROR(VLOOKUP(N1244,VOL_REC[],2,FALSE),0)</f>
        <v>0</v>
      </c>
      <c r="BE1244" s="246">
        <f>IFERROR(VLOOKUP(O1244,VOL_REC[],2,FALSE),0)</f>
        <v>0</v>
      </c>
      <c r="BF1244" s="246">
        <f>IFERROR(VLOOKUP(P1244,VOL_REC[],2,FALSE),0)</f>
        <v>0</v>
      </c>
      <c r="BG1244" s="246">
        <f>IFERROR(VLOOKUP(Q1244,VOL_REC[],2,FALSE),0)</f>
        <v>0</v>
      </c>
      <c r="BH1244" s="1710">
        <f t="shared" si="76"/>
        <v>21728136110.975491</v>
      </c>
      <c r="BI1244" s="1710">
        <f t="shared" si="77"/>
        <v>20815638843.563118</v>
      </c>
      <c r="BJ1244" s="1711">
        <f t="shared" si="78"/>
        <v>17023268.340554778</v>
      </c>
      <c r="BK1244" s="1711">
        <f t="shared" si="79"/>
        <v>1.0438371012424894</v>
      </c>
      <c r="BL1244">
        <f>BJ1244</f>
        <v>17023268.340554778</v>
      </c>
      <c r="BO1244">
        <f>BL1244</f>
        <v>17023268.340554778</v>
      </c>
    </row>
    <row r="1245" spans="3:67" x14ac:dyDescent="0.25">
      <c r="C1245" s="246" t="s">
        <v>2595</v>
      </c>
      <c r="D1245" s="246">
        <v>1</v>
      </c>
      <c r="E1245" s="246">
        <v>2</v>
      </c>
      <c r="F1245" s="246">
        <v>3</v>
      </c>
      <c r="G1245" s="246">
        <v>4</v>
      </c>
      <c r="H1245" s="246">
        <v>9</v>
      </c>
      <c r="I1245" s="246">
        <v>12</v>
      </c>
      <c r="J1245" s="246">
        <v>13</v>
      </c>
      <c r="K1245" s="246">
        <v>15</v>
      </c>
      <c r="L1245" s="246">
        <v>17</v>
      </c>
      <c r="M1245" s="246"/>
      <c r="N1245" s="246"/>
      <c r="O1245" s="246"/>
      <c r="P1245" s="246"/>
      <c r="Q1245" s="246"/>
      <c r="R1245" s="246">
        <f>IFERROR(VLOOKUP(D1245,PROGRAMAS[],2,FALSE),0)</f>
        <v>97037803.679377079</v>
      </c>
      <c r="S1245" s="246">
        <f>IFERROR(VLOOKUP(E1245,PROGRAMAS[],2,FALSE),0)</f>
        <v>640501509.6821388</v>
      </c>
      <c r="T1245" s="246">
        <f>IFERROR(VLOOKUP(F1245,PROGRAMAS[],2,FALSE),0)</f>
        <v>3062327798.1525245</v>
      </c>
      <c r="U1245" s="246">
        <f>IFERROR(VLOOKUP(G1245,PROGRAMAS[],2,FALSE),0)</f>
        <v>67697118.033011258</v>
      </c>
      <c r="V1245" s="246">
        <f>IFERROR(VLOOKUP(H1245,PROGRAMAS[],2,FALSE),0)</f>
        <v>6128579952.1618185</v>
      </c>
      <c r="W1245" s="246">
        <f>IFERROR(VLOOKUP(I1245,PROGRAMAS[],2,FALSE),0)</f>
        <v>764796700.79905891</v>
      </c>
      <c r="X1245" s="246">
        <f>IFERROR(VLOOKUP(J1245,PROGRAMAS[],2,FALSE),0)</f>
        <v>3776538594.4604583</v>
      </c>
      <c r="Y1245" s="246">
        <f>IFERROR(VLOOKUP(K1245,PROGRAMAS[],2,FALSE),0)</f>
        <v>122159672.96346797</v>
      </c>
      <c r="Z1245" s="246">
        <f>IFERROR(VLOOKUP(L1245,PROGRAMAS[],2,FALSE),0)</f>
        <v>1892779498.5211046</v>
      </c>
      <c r="AA1245" s="246">
        <f>IFERROR(VLOOKUP(M1245,PROGRAMAS[],2,FALSE),0)</f>
        <v>0</v>
      </c>
      <c r="AB1245" s="246">
        <f>IFERROR(VLOOKUP(N1245,PROGRAMAS[],2,FALSE),0)</f>
        <v>0</v>
      </c>
      <c r="AC1245" s="246">
        <f>IFERROR(VLOOKUP(O1245,PROGRAMAS[],2,FALSE),0)</f>
        <v>0</v>
      </c>
      <c r="AD1245" s="246">
        <f>IFERROR(VLOOKUP(P1245,PROGRAMAS[],2,FALSE),0)</f>
        <v>0</v>
      </c>
      <c r="AE1245" s="246">
        <f>IFERROR(VLOOKUP(Q1245,PROGRAMAS[],2,FALSE),0)</f>
        <v>0</v>
      </c>
      <c r="AF1245" s="246">
        <f>IFERROR(VLOOKUP(D1245,PROGRAMAS[],3,FALSE),0)</f>
        <v>841888629.31080008</v>
      </c>
      <c r="AG1245" s="246">
        <f>IFERROR(VLOOKUP(E1245,PROGRAMAS[],3,FALSE),0)</f>
        <v>3848980803.1642323</v>
      </c>
      <c r="AH1245" s="246">
        <f>IFERROR(VLOOKUP(F1245,PROGRAMAS[],3,FALSE),0)</f>
        <v>3394901471.387517</v>
      </c>
      <c r="AI1245" s="246">
        <f>IFERROR(VLOOKUP(G1245,PROGRAMAS[],3,FALSE),0)</f>
        <v>125317226.95549992</v>
      </c>
      <c r="AJ1245" s="246">
        <f>IFERROR(VLOOKUP(H1245,PROGRAMAS[],3,FALSE),0)</f>
        <v>7011279577.519702</v>
      </c>
      <c r="AK1245" s="246">
        <f>IFERROR(VLOOKUP(I1245,PROGRAMAS[],3,FALSE),0)</f>
        <v>675517840.109828</v>
      </c>
      <c r="AL1245" s="246">
        <f>IFERROR(VLOOKUP(J1245,PROGRAMAS[],3,FALSE),0)</f>
        <v>2392571243.5584412</v>
      </c>
      <c r="AM1245" s="246">
        <f>IFERROR(VLOOKUP(K1245,PROGRAMAS[],3,FALSE),0)</f>
        <v>118617452.52510804</v>
      </c>
      <c r="AN1245" s="246">
        <f>IFERROR(VLOOKUP(L1245,PROGRAMAS[],3,FALSE),0)</f>
        <v>948595847.09039903</v>
      </c>
      <c r="AO1245" s="246">
        <f>IFERROR(VLOOKUP(M1245,PROGRAMAS[],3,FALSE),0)</f>
        <v>0</v>
      </c>
      <c r="AP1245" s="246">
        <f>IFERROR(VLOOKUP(N1245,PROGRAMAS[],3,FALSE),0)</f>
        <v>0</v>
      </c>
      <c r="AQ1245" s="246">
        <f>IFERROR(VLOOKUP(O1245,PROGRAMAS[],3,FALSE),0)</f>
        <v>0</v>
      </c>
      <c r="AR1245" s="246">
        <f>IFERROR(VLOOKUP(P1245,PROGRAMAS[],3,FALSE),0)</f>
        <v>0</v>
      </c>
      <c r="AS1245" s="246">
        <f>IFERROR(VLOOKUP(Q1245,PROGRAMAS[],3,FALSE),0)</f>
        <v>0</v>
      </c>
      <c r="AT1245" s="246">
        <f>IFERROR(VLOOKUP(D1245,VOL_REC[],2,FALSE),0)</f>
        <v>0</v>
      </c>
      <c r="AU1245" s="246">
        <f>IFERROR(VLOOKUP(E1245,VOL_REC[],2,FALSE),0)</f>
        <v>0</v>
      </c>
      <c r="AV1245" s="246">
        <f>IFERROR(VLOOKUP(F1245,VOL_REC[],2,FALSE),0)</f>
        <v>11089674.200000001</v>
      </c>
      <c r="AW1245" s="246">
        <f>IFERROR(VLOOKUP(G1245,VOL_REC[],2,FALSE),0)</f>
        <v>90439.55</v>
      </c>
      <c r="AX1245" s="246">
        <f>IFERROR(VLOOKUP(H1245,VOL_REC[],2,FALSE),0)</f>
        <v>3761786</v>
      </c>
      <c r="AY1245" s="246">
        <f>IFERROR(VLOOKUP(I1245,VOL_REC[],2,FALSE),0)</f>
        <v>240696.79238099116</v>
      </c>
      <c r="AZ1245" s="246">
        <f>IFERROR(VLOOKUP(J1245,VOL_REC[],2,FALSE),0)</f>
        <v>663244.80000000016</v>
      </c>
      <c r="BA1245" s="246">
        <f>IFERROR(VLOOKUP(K1245,VOL_REC[],2,FALSE),0)</f>
        <v>105072</v>
      </c>
      <c r="BB1245" s="246">
        <f>IFERROR(VLOOKUP(L1245,VOL_REC[],2,FALSE),0)</f>
        <v>740113.98115702497</v>
      </c>
      <c r="BC1245" s="246">
        <f>IFERROR(VLOOKUP(M1245,VOL_REC[],2,FALSE),0)</f>
        <v>0</v>
      </c>
      <c r="BD1245" s="246">
        <f>IFERROR(VLOOKUP(N1245,VOL_REC[],2,FALSE),0)</f>
        <v>0</v>
      </c>
      <c r="BE1245" s="246">
        <f>IFERROR(VLOOKUP(O1245,VOL_REC[],2,FALSE),0)</f>
        <v>0</v>
      </c>
      <c r="BF1245" s="246">
        <f>IFERROR(VLOOKUP(P1245,VOL_REC[],2,FALSE),0)</f>
        <v>0</v>
      </c>
      <c r="BG1245" s="246">
        <f>IFERROR(VLOOKUP(Q1245,VOL_REC[],2,FALSE),0)</f>
        <v>0</v>
      </c>
      <c r="BH1245" s="1710">
        <f t="shared" si="76"/>
        <v>16552418648.452961</v>
      </c>
      <c r="BI1245" s="1710">
        <f t="shared" si="77"/>
        <v>19357670091.621529</v>
      </c>
      <c r="BJ1245" s="1711">
        <f t="shared" si="78"/>
        <v>16691027.323538018</v>
      </c>
      <c r="BK1245" s="1711">
        <f t="shared" si="79"/>
        <v>0.85508320836696416</v>
      </c>
    </row>
    <row r="1246" spans="3:67" x14ac:dyDescent="0.25">
      <c r="C1246" s="246" t="s">
        <v>2596</v>
      </c>
      <c r="D1246" s="246">
        <v>1</v>
      </c>
      <c r="E1246" s="246">
        <v>2</v>
      </c>
      <c r="F1246" s="246">
        <v>3</v>
      </c>
      <c r="G1246" s="246">
        <v>4</v>
      </c>
      <c r="H1246" s="246">
        <v>9</v>
      </c>
      <c r="I1246" s="246">
        <v>12</v>
      </c>
      <c r="J1246" s="246">
        <v>13</v>
      </c>
      <c r="K1246" s="246">
        <v>16</v>
      </c>
      <c r="L1246" s="246">
        <v>17</v>
      </c>
      <c r="M1246" s="246"/>
      <c r="N1246" s="246"/>
      <c r="O1246" s="246"/>
      <c r="P1246" s="246"/>
      <c r="Q1246" s="246"/>
      <c r="R1246" s="246">
        <f>IFERROR(VLOOKUP(D1246,PROGRAMAS[],2,FALSE),0)</f>
        <v>97037803.679377079</v>
      </c>
      <c r="S1246" s="246">
        <f>IFERROR(VLOOKUP(E1246,PROGRAMAS[],2,FALSE),0)</f>
        <v>640501509.6821388</v>
      </c>
      <c r="T1246" s="246">
        <f>IFERROR(VLOOKUP(F1246,PROGRAMAS[],2,FALSE),0)</f>
        <v>3062327798.1525245</v>
      </c>
      <c r="U1246" s="246">
        <f>IFERROR(VLOOKUP(G1246,PROGRAMAS[],2,FALSE),0)</f>
        <v>67697118.033011258</v>
      </c>
      <c r="V1246" s="246">
        <f>IFERROR(VLOOKUP(H1246,PROGRAMAS[],2,FALSE),0)</f>
        <v>6128579952.1618185</v>
      </c>
      <c r="W1246" s="246">
        <f>IFERROR(VLOOKUP(I1246,PROGRAMAS[],2,FALSE),0)</f>
        <v>764796700.79905891</v>
      </c>
      <c r="X1246" s="246">
        <f>IFERROR(VLOOKUP(J1246,PROGRAMAS[],2,FALSE),0)</f>
        <v>3776538594.4604583</v>
      </c>
      <c r="Y1246" s="246">
        <f>IFERROR(VLOOKUP(K1246,PROGRAMAS[],2,FALSE),0)</f>
        <v>7068496961.0436354</v>
      </c>
      <c r="Z1246" s="246">
        <f>IFERROR(VLOOKUP(L1246,PROGRAMAS[],2,FALSE),0)</f>
        <v>1892779498.5211046</v>
      </c>
      <c r="AA1246" s="246">
        <f>IFERROR(VLOOKUP(M1246,PROGRAMAS[],2,FALSE),0)</f>
        <v>0</v>
      </c>
      <c r="AB1246" s="246">
        <f>IFERROR(VLOOKUP(N1246,PROGRAMAS[],2,FALSE),0)</f>
        <v>0</v>
      </c>
      <c r="AC1246" s="246">
        <f>IFERROR(VLOOKUP(O1246,PROGRAMAS[],2,FALSE),0)</f>
        <v>0</v>
      </c>
      <c r="AD1246" s="246">
        <f>IFERROR(VLOOKUP(P1246,PROGRAMAS[],2,FALSE),0)</f>
        <v>0</v>
      </c>
      <c r="AE1246" s="246">
        <f>IFERROR(VLOOKUP(Q1246,PROGRAMAS[],2,FALSE),0)</f>
        <v>0</v>
      </c>
      <c r="AF1246" s="246">
        <f>IFERROR(VLOOKUP(D1246,PROGRAMAS[],3,FALSE),0)</f>
        <v>841888629.31080008</v>
      </c>
      <c r="AG1246" s="246">
        <f>IFERROR(VLOOKUP(E1246,PROGRAMAS[],3,FALSE),0)</f>
        <v>3848980803.1642323</v>
      </c>
      <c r="AH1246" s="246">
        <f>IFERROR(VLOOKUP(F1246,PROGRAMAS[],3,FALSE),0)</f>
        <v>3394901471.387517</v>
      </c>
      <c r="AI1246" s="246">
        <f>IFERROR(VLOOKUP(G1246,PROGRAMAS[],3,FALSE),0)</f>
        <v>125317226.95549992</v>
      </c>
      <c r="AJ1246" s="246">
        <f>IFERROR(VLOOKUP(H1246,PROGRAMAS[],3,FALSE),0)</f>
        <v>7011279577.519702</v>
      </c>
      <c r="AK1246" s="246">
        <f>IFERROR(VLOOKUP(I1246,PROGRAMAS[],3,FALSE),0)</f>
        <v>675517840.109828</v>
      </c>
      <c r="AL1246" s="246">
        <f>IFERROR(VLOOKUP(J1246,PROGRAMAS[],3,FALSE),0)</f>
        <v>2392571243.5584412</v>
      </c>
      <c r="AM1246" s="246">
        <f>IFERROR(VLOOKUP(K1246,PROGRAMAS[],3,FALSE),0)</f>
        <v>2406564599.0319901</v>
      </c>
      <c r="AN1246" s="246">
        <f>IFERROR(VLOOKUP(L1246,PROGRAMAS[],3,FALSE),0)</f>
        <v>948595847.09039903</v>
      </c>
      <c r="AO1246" s="246">
        <f>IFERROR(VLOOKUP(M1246,PROGRAMAS[],3,FALSE),0)</f>
        <v>0</v>
      </c>
      <c r="AP1246" s="246">
        <f>IFERROR(VLOOKUP(N1246,PROGRAMAS[],3,FALSE),0)</f>
        <v>0</v>
      </c>
      <c r="AQ1246" s="246">
        <f>IFERROR(VLOOKUP(O1246,PROGRAMAS[],3,FALSE),0)</f>
        <v>0</v>
      </c>
      <c r="AR1246" s="246">
        <f>IFERROR(VLOOKUP(P1246,PROGRAMAS[],3,FALSE),0)</f>
        <v>0</v>
      </c>
      <c r="AS1246" s="246">
        <f>IFERROR(VLOOKUP(Q1246,PROGRAMAS[],3,FALSE),0)</f>
        <v>0</v>
      </c>
      <c r="AT1246" s="246">
        <f>IFERROR(VLOOKUP(D1246,VOL_REC[],2,FALSE),0)</f>
        <v>0</v>
      </c>
      <c r="AU1246" s="246">
        <f>IFERROR(VLOOKUP(E1246,VOL_REC[],2,FALSE),0)</f>
        <v>0</v>
      </c>
      <c r="AV1246" s="246">
        <f>IFERROR(VLOOKUP(F1246,VOL_REC[],2,FALSE),0)</f>
        <v>11089674.200000001</v>
      </c>
      <c r="AW1246" s="246">
        <f>IFERROR(VLOOKUP(G1246,VOL_REC[],2,FALSE),0)</f>
        <v>90439.55</v>
      </c>
      <c r="AX1246" s="246">
        <f>IFERROR(VLOOKUP(H1246,VOL_REC[],2,FALSE),0)</f>
        <v>3761786</v>
      </c>
      <c r="AY1246" s="246">
        <f>IFERROR(VLOOKUP(I1246,VOL_REC[],2,FALSE),0)</f>
        <v>240696.79238099116</v>
      </c>
      <c r="AZ1246" s="246">
        <f>IFERROR(VLOOKUP(J1246,VOL_REC[],2,FALSE),0)</f>
        <v>663244.80000000016</v>
      </c>
      <c r="BA1246" s="246">
        <f>IFERROR(VLOOKUP(K1246,VOL_REC[],2,FALSE),0)</f>
        <v>1072354.9981737854</v>
      </c>
      <c r="BB1246" s="246">
        <f>IFERROR(VLOOKUP(L1246,VOL_REC[],2,FALSE),0)</f>
        <v>740113.98115702497</v>
      </c>
      <c r="BC1246" s="246">
        <f>IFERROR(VLOOKUP(M1246,VOL_REC[],2,FALSE),0)</f>
        <v>0</v>
      </c>
      <c r="BD1246" s="246">
        <f>IFERROR(VLOOKUP(N1246,VOL_REC[],2,FALSE),0)</f>
        <v>0</v>
      </c>
      <c r="BE1246" s="246">
        <f>IFERROR(VLOOKUP(O1246,VOL_REC[],2,FALSE),0)</f>
        <v>0</v>
      </c>
      <c r="BF1246" s="246">
        <f>IFERROR(VLOOKUP(P1246,VOL_REC[],2,FALSE),0)</f>
        <v>0</v>
      </c>
      <c r="BG1246" s="246">
        <f>IFERROR(VLOOKUP(Q1246,VOL_REC[],2,FALSE),0)</f>
        <v>0</v>
      </c>
      <c r="BH1246" s="1710">
        <f t="shared" si="76"/>
        <v>23498755936.533127</v>
      </c>
      <c r="BI1246" s="1710">
        <f t="shared" si="77"/>
        <v>21645617238.12841</v>
      </c>
      <c r="BJ1246" s="1711">
        <f t="shared" si="78"/>
        <v>17658310.321711801</v>
      </c>
      <c r="BK1246" s="1711">
        <f t="shared" si="79"/>
        <v>1.085612652114186</v>
      </c>
      <c r="BL1246">
        <f>BJ1246</f>
        <v>17658310.321711801</v>
      </c>
      <c r="BO1246">
        <f>BL1246</f>
        <v>17658310.321711801</v>
      </c>
    </row>
    <row r="1247" spans="3:67" x14ac:dyDescent="0.25">
      <c r="C1247" s="246" t="s">
        <v>2597</v>
      </c>
      <c r="D1247" s="246">
        <v>1</v>
      </c>
      <c r="E1247" s="246">
        <v>2</v>
      </c>
      <c r="F1247" s="246">
        <v>3</v>
      </c>
      <c r="G1247" s="246">
        <v>4</v>
      </c>
      <c r="H1247" s="246">
        <v>9</v>
      </c>
      <c r="I1247" s="246">
        <v>12</v>
      </c>
      <c r="J1247" s="246">
        <v>14</v>
      </c>
      <c r="K1247" s="246">
        <v>15</v>
      </c>
      <c r="L1247" s="246">
        <v>16</v>
      </c>
      <c r="M1247" s="246"/>
      <c r="N1247" s="246"/>
      <c r="O1247" s="246"/>
      <c r="P1247" s="246"/>
      <c r="Q1247" s="246"/>
      <c r="R1247" s="246">
        <f>IFERROR(VLOOKUP(D1247,PROGRAMAS[],2,FALSE),0)</f>
        <v>97037803.679377079</v>
      </c>
      <c r="S1247" s="246">
        <f>IFERROR(VLOOKUP(E1247,PROGRAMAS[],2,FALSE),0)</f>
        <v>640501509.6821388</v>
      </c>
      <c r="T1247" s="246">
        <f>IFERROR(VLOOKUP(F1247,PROGRAMAS[],2,FALSE),0)</f>
        <v>3062327798.1525245</v>
      </c>
      <c r="U1247" s="246">
        <f>IFERROR(VLOOKUP(G1247,PROGRAMAS[],2,FALSE),0)</f>
        <v>67697118.033011258</v>
      </c>
      <c r="V1247" s="246">
        <f>IFERROR(VLOOKUP(H1247,PROGRAMAS[],2,FALSE),0)</f>
        <v>6128579952.1618185</v>
      </c>
      <c r="W1247" s="246">
        <f>IFERROR(VLOOKUP(I1247,PROGRAMAS[],2,FALSE),0)</f>
        <v>764796700.79905891</v>
      </c>
      <c r="X1247" s="246">
        <f>IFERROR(VLOOKUP(J1247,PROGRAMAS[],2,FALSE),0)</f>
        <v>54223862.645839565</v>
      </c>
      <c r="Y1247" s="246">
        <f>IFERROR(VLOOKUP(K1247,PROGRAMAS[],2,FALSE),0)</f>
        <v>122159672.96346797</v>
      </c>
      <c r="Z1247" s="246">
        <f>IFERROR(VLOOKUP(L1247,PROGRAMAS[],2,FALSE),0)</f>
        <v>7068496961.0436354</v>
      </c>
      <c r="AA1247" s="246">
        <f>IFERROR(VLOOKUP(M1247,PROGRAMAS[],2,FALSE),0)</f>
        <v>0</v>
      </c>
      <c r="AB1247" s="246">
        <f>IFERROR(VLOOKUP(N1247,PROGRAMAS[],2,FALSE),0)</f>
        <v>0</v>
      </c>
      <c r="AC1247" s="246">
        <f>IFERROR(VLOOKUP(O1247,PROGRAMAS[],2,FALSE),0)</f>
        <v>0</v>
      </c>
      <c r="AD1247" s="246">
        <f>IFERROR(VLOOKUP(P1247,PROGRAMAS[],2,FALSE),0)</f>
        <v>0</v>
      </c>
      <c r="AE1247" s="246">
        <f>IFERROR(VLOOKUP(Q1247,PROGRAMAS[],2,FALSE),0)</f>
        <v>0</v>
      </c>
      <c r="AF1247" s="246">
        <f>IFERROR(VLOOKUP(D1247,PROGRAMAS[],3,FALSE),0)</f>
        <v>841888629.31080008</v>
      </c>
      <c r="AG1247" s="246">
        <f>IFERROR(VLOOKUP(E1247,PROGRAMAS[],3,FALSE),0)</f>
        <v>3848980803.1642323</v>
      </c>
      <c r="AH1247" s="246">
        <f>IFERROR(VLOOKUP(F1247,PROGRAMAS[],3,FALSE),0)</f>
        <v>3394901471.387517</v>
      </c>
      <c r="AI1247" s="246">
        <f>IFERROR(VLOOKUP(G1247,PROGRAMAS[],3,FALSE),0)</f>
        <v>125317226.95549992</v>
      </c>
      <c r="AJ1247" s="246">
        <f>IFERROR(VLOOKUP(H1247,PROGRAMAS[],3,FALSE),0)</f>
        <v>7011279577.519702</v>
      </c>
      <c r="AK1247" s="246">
        <f>IFERROR(VLOOKUP(I1247,PROGRAMAS[],3,FALSE),0)</f>
        <v>675517840.109828</v>
      </c>
      <c r="AL1247" s="246">
        <f>IFERROR(VLOOKUP(J1247,PROGRAMAS[],3,FALSE),0)</f>
        <v>31865326.38096505</v>
      </c>
      <c r="AM1247" s="246">
        <f>IFERROR(VLOOKUP(K1247,PROGRAMAS[],3,FALSE),0)</f>
        <v>118617452.52510804</v>
      </c>
      <c r="AN1247" s="246">
        <f>IFERROR(VLOOKUP(L1247,PROGRAMAS[],3,FALSE),0)</f>
        <v>2406564599.0319901</v>
      </c>
      <c r="AO1247" s="246">
        <f>IFERROR(VLOOKUP(M1247,PROGRAMAS[],3,FALSE),0)</f>
        <v>0</v>
      </c>
      <c r="AP1247" s="246">
        <f>IFERROR(VLOOKUP(N1247,PROGRAMAS[],3,FALSE),0)</f>
        <v>0</v>
      </c>
      <c r="AQ1247" s="246">
        <f>IFERROR(VLOOKUP(O1247,PROGRAMAS[],3,FALSE),0)</f>
        <v>0</v>
      </c>
      <c r="AR1247" s="246">
        <f>IFERROR(VLOOKUP(P1247,PROGRAMAS[],3,FALSE),0)</f>
        <v>0</v>
      </c>
      <c r="AS1247" s="246">
        <f>IFERROR(VLOOKUP(Q1247,PROGRAMAS[],3,FALSE),0)</f>
        <v>0</v>
      </c>
      <c r="AT1247" s="246">
        <f>IFERROR(VLOOKUP(D1247,VOL_REC[],2,FALSE),0)</f>
        <v>0</v>
      </c>
      <c r="AU1247" s="246">
        <f>IFERROR(VLOOKUP(E1247,VOL_REC[],2,FALSE),0)</f>
        <v>0</v>
      </c>
      <c r="AV1247" s="246">
        <f>IFERROR(VLOOKUP(F1247,VOL_REC[],2,FALSE),0)</f>
        <v>11089674.200000001</v>
      </c>
      <c r="AW1247" s="246">
        <f>IFERROR(VLOOKUP(G1247,VOL_REC[],2,FALSE),0)</f>
        <v>90439.55</v>
      </c>
      <c r="AX1247" s="246">
        <f>IFERROR(VLOOKUP(H1247,VOL_REC[],2,FALSE),0)</f>
        <v>3761786</v>
      </c>
      <c r="AY1247" s="246">
        <f>IFERROR(VLOOKUP(I1247,VOL_REC[],2,FALSE),0)</f>
        <v>240696.79238099116</v>
      </c>
      <c r="AZ1247" s="246">
        <f>IFERROR(VLOOKUP(J1247,VOL_REC[],2,FALSE),0)</f>
        <v>17074.045034105649</v>
      </c>
      <c r="BA1247" s="246">
        <f>IFERROR(VLOOKUP(K1247,VOL_REC[],2,FALSE),0)</f>
        <v>105072</v>
      </c>
      <c r="BB1247" s="246">
        <f>IFERROR(VLOOKUP(L1247,VOL_REC[],2,FALSE),0)</f>
        <v>1072354.9981737854</v>
      </c>
      <c r="BC1247" s="246">
        <f>IFERROR(VLOOKUP(M1247,VOL_REC[],2,FALSE),0)</f>
        <v>0</v>
      </c>
      <c r="BD1247" s="246">
        <f>IFERROR(VLOOKUP(N1247,VOL_REC[],2,FALSE),0)</f>
        <v>0</v>
      </c>
      <c r="BE1247" s="246">
        <f>IFERROR(VLOOKUP(O1247,VOL_REC[],2,FALSE),0)</f>
        <v>0</v>
      </c>
      <c r="BF1247" s="246">
        <f>IFERROR(VLOOKUP(P1247,VOL_REC[],2,FALSE),0)</f>
        <v>0</v>
      </c>
      <c r="BG1247" s="246">
        <f>IFERROR(VLOOKUP(Q1247,VOL_REC[],2,FALSE),0)</f>
        <v>0</v>
      </c>
      <c r="BH1247" s="1710">
        <f t="shared" si="76"/>
        <v>18005821379.160873</v>
      </c>
      <c r="BI1247" s="1710">
        <f t="shared" si="77"/>
        <v>18454932926.385643</v>
      </c>
      <c r="BJ1247" s="1711">
        <f t="shared" si="78"/>
        <v>16377097.585588884</v>
      </c>
      <c r="BK1247" s="1711">
        <f t="shared" si="79"/>
        <v>0.97566441725818143</v>
      </c>
    </row>
    <row r="1248" spans="3:67" x14ac:dyDescent="0.25">
      <c r="C1248" s="246" t="s">
        <v>2598</v>
      </c>
      <c r="D1248" s="246">
        <v>1</v>
      </c>
      <c r="E1248" s="246">
        <v>2</v>
      </c>
      <c r="F1248" s="246">
        <v>3</v>
      </c>
      <c r="G1248" s="246">
        <v>4</v>
      </c>
      <c r="H1248" s="246">
        <v>9</v>
      </c>
      <c r="I1248" s="246">
        <v>12</v>
      </c>
      <c r="J1248" s="246">
        <v>14</v>
      </c>
      <c r="K1248" s="246">
        <v>15</v>
      </c>
      <c r="L1248" s="246">
        <v>17</v>
      </c>
      <c r="M1248" s="246"/>
      <c r="N1248" s="246"/>
      <c r="O1248" s="246"/>
      <c r="P1248" s="246"/>
      <c r="Q1248" s="246"/>
      <c r="R1248" s="246">
        <f>IFERROR(VLOOKUP(D1248,PROGRAMAS[],2,FALSE),0)</f>
        <v>97037803.679377079</v>
      </c>
      <c r="S1248" s="246">
        <f>IFERROR(VLOOKUP(E1248,PROGRAMAS[],2,FALSE),0)</f>
        <v>640501509.6821388</v>
      </c>
      <c r="T1248" s="246">
        <f>IFERROR(VLOOKUP(F1248,PROGRAMAS[],2,FALSE),0)</f>
        <v>3062327798.1525245</v>
      </c>
      <c r="U1248" s="246">
        <f>IFERROR(VLOOKUP(G1248,PROGRAMAS[],2,FALSE),0)</f>
        <v>67697118.033011258</v>
      </c>
      <c r="V1248" s="246">
        <f>IFERROR(VLOOKUP(H1248,PROGRAMAS[],2,FALSE),0)</f>
        <v>6128579952.1618185</v>
      </c>
      <c r="W1248" s="246">
        <f>IFERROR(VLOOKUP(I1248,PROGRAMAS[],2,FALSE),0)</f>
        <v>764796700.79905891</v>
      </c>
      <c r="X1248" s="246">
        <f>IFERROR(VLOOKUP(J1248,PROGRAMAS[],2,FALSE),0)</f>
        <v>54223862.645839565</v>
      </c>
      <c r="Y1248" s="246">
        <f>IFERROR(VLOOKUP(K1248,PROGRAMAS[],2,FALSE),0)</f>
        <v>122159672.96346797</v>
      </c>
      <c r="Z1248" s="246">
        <f>IFERROR(VLOOKUP(L1248,PROGRAMAS[],2,FALSE),0)</f>
        <v>1892779498.5211046</v>
      </c>
      <c r="AA1248" s="246">
        <f>IFERROR(VLOOKUP(M1248,PROGRAMAS[],2,FALSE),0)</f>
        <v>0</v>
      </c>
      <c r="AB1248" s="246">
        <f>IFERROR(VLOOKUP(N1248,PROGRAMAS[],2,FALSE),0)</f>
        <v>0</v>
      </c>
      <c r="AC1248" s="246">
        <f>IFERROR(VLOOKUP(O1248,PROGRAMAS[],2,FALSE),0)</f>
        <v>0</v>
      </c>
      <c r="AD1248" s="246">
        <f>IFERROR(VLOOKUP(P1248,PROGRAMAS[],2,FALSE),0)</f>
        <v>0</v>
      </c>
      <c r="AE1248" s="246">
        <f>IFERROR(VLOOKUP(Q1248,PROGRAMAS[],2,FALSE),0)</f>
        <v>0</v>
      </c>
      <c r="AF1248" s="246">
        <f>IFERROR(VLOOKUP(D1248,PROGRAMAS[],3,FALSE),0)</f>
        <v>841888629.31080008</v>
      </c>
      <c r="AG1248" s="246">
        <f>IFERROR(VLOOKUP(E1248,PROGRAMAS[],3,FALSE),0)</f>
        <v>3848980803.1642323</v>
      </c>
      <c r="AH1248" s="246">
        <f>IFERROR(VLOOKUP(F1248,PROGRAMAS[],3,FALSE),0)</f>
        <v>3394901471.387517</v>
      </c>
      <c r="AI1248" s="246">
        <f>IFERROR(VLOOKUP(G1248,PROGRAMAS[],3,FALSE),0)</f>
        <v>125317226.95549992</v>
      </c>
      <c r="AJ1248" s="246">
        <f>IFERROR(VLOOKUP(H1248,PROGRAMAS[],3,FALSE),0)</f>
        <v>7011279577.519702</v>
      </c>
      <c r="AK1248" s="246">
        <f>IFERROR(VLOOKUP(I1248,PROGRAMAS[],3,FALSE),0)</f>
        <v>675517840.109828</v>
      </c>
      <c r="AL1248" s="246">
        <f>IFERROR(VLOOKUP(J1248,PROGRAMAS[],3,FALSE),0)</f>
        <v>31865326.38096505</v>
      </c>
      <c r="AM1248" s="246">
        <f>IFERROR(VLOOKUP(K1248,PROGRAMAS[],3,FALSE),0)</f>
        <v>118617452.52510804</v>
      </c>
      <c r="AN1248" s="246">
        <f>IFERROR(VLOOKUP(L1248,PROGRAMAS[],3,FALSE),0)</f>
        <v>948595847.09039903</v>
      </c>
      <c r="AO1248" s="246">
        <f>IFERROR(VLOOKUP(M1248,PROGRAMAS[],3,FALSE),0)</f>
        <v>0</v>
      </c>
      <c r="AP1248" s="246">
        <f>IFERROR(VLOOKUP(N1248,PROGRAMAS[],3,FALSE),0)</f>
        <v>0</v>
      </c>
      <c r="AQ1248" s="246">
        <f>IFERROR(VLOOKUP(O1248,PROGRAMAS[],3,FALSE),0)</f>
        <v>0</v>
      </c>
      <c r="AR1248" s="246">
        <f>IFERROR(VLOOKUP(P1248,PROGRAMAS[],3,FALSE),0)</f>
        <v>0</v>
      </c>
      <c r="AS1248" s="246">
        <f>IFERROR(VLOOKUP(Q1248,PROGRAMAS[],3,FALSE),0)</f>
        <v>0</v>
      </c>
      <c r="AT1248" s="246">
        <f>IFERROR(VLOOKUP(D1248,VOL_REC[],2,FALSE),0)</f>
        <v>0</v>
      </c>
      <c r="AU1248" s="246">
        <f>IFERROR(VLOOKUP(E1248,VOL_REC[],2,FALSE),0)</f>
        <v>0</v>
      </c>
      <c r="AV1248" s="246">
        <f>IFERROR(VLOOKUP(F1248,VOL_REC[],2,FALSE),0)</f>
        <v>11089674.200000001</v>
      </c>
      <c r="AW1248" s="246">
        <f>IFERROR(VLOOKUP(G1248,VOL_REC[],2,FALSE),0)</f>
        <v>90439.55</v>
      </c>
      <c r="AX1248" s="246">
        <f>IFERROR(VLOOKUP(H1248,VOL_REC[],2,FALSE),0)</f>
        <v>3761786</v>
      </c>
      <c r="AY1248" s="246">
        <f>IFERROR(VLOOKUP(I1248,VOL_REC[],2,FALSE),0)</f>
        <v>240696.79238099116</v>
      </c>
      <c r="AZ1248" s="246">
        <f>IFERROR(VLOOKUP(J1248,VOL_REC[],2,FALSE),0)</f>
        <v>17074.045034105649</v>
      </c>
      <c r="BA1248" s="246">
        <f>IFERROR(VLOOKUP(K1248,VOL_REC[],2,FALSE),0)</f>
        <v>105072</v>
      </c>
      <c r="BB1248" s="246">
        <f>IFERROR(VLOOKUP(L1248,VOL_REC[],2,FALSE),0)</f>
        <v>740113.98115702497</v>
      </c>
      <c r="BC1248" s="246">
        <f>IFERROR(VLOOKUP(M1248,VOL_REC[],2,FALSE),0)</f>
        <v>0</v>
      </c>
      <c r="BD1248" s="246">
        <f>IFERROR(VLOOKUP(N1248,VOL_REC[],2,FALSE),0)</f>
        <v>0</v>
      </c>
      <c r="BE1248" s="246">
        <f>IFERROR(VLOOKUP(O1248,VOL_REC[],2,FALSE),0)</f>
        <v>0</v>
      </c>
      <c r="BF1248" s="246">
        <f>IFERROR(VLOOKUP(P1248,VOL_REC[],2,FALSE),0)</f>
        <v>0</v>
      </c>
      <c r="BG1248" s="246">
        <f>IFERROR(VLOOKUP(Q1248,VOL_REC[],2,FALSE),0)</f>
        <v>0</v>
      </c>
      <c r="BH1248" s="1710">
        <f t="shared" si="76"/>
        <v>12830103916.638342</v>
      </c>
      <c r="BI1248" s="1710">
        <f t="shared" si="77"/>
        <v>16996964174.44405</v>
      </c>
      <c r="BJ1248" s="1711">
        <f t="shared" si="78"/>
        <v>16044856.568572123</v>
      </c>
      <c r="BK1248" s="1711">
        <f t="shared" si="79"/>
        <v>0.75484679410745414</v>
      </c>
    </row>
    <row r="1249" spans="3:67" x14ac:dyDescent="0.25">
      <c r="C1249" s="246" t="s">
        <v>2599</v>
      </c>
      <c r="D1249" s="246">
        <v>1</v>
      </c>
      <c r="E1249" s="246">
        <v>2</v>
      </c>
      <c r="F1249" s="246">
        <v>3</v>
      </c>
      <c r="G1249" s="246">
        <v>4</v>
      </c>
      <c r="H1249" s="246">
        <v>9</v>
      </c>
      <c r="I1249" s="246">
        <v>12</v>
      </c>
      <c r="J1249" s="246">
        <v>14</v>
      </c>
      <c r="K1249" s="246">
        <v>16</v>
      </c>
      <c r="L1249" s="246">
        <v>17</v>
      </c>
      <c r="M1249" s="246"/>
      <c r="N1249" s="246"/>
      <c r="O1249" s="246"/>
      <c r="P1249" s="246"/>
      <c r="Q1249" s="246"/>
      <c r="R1249" s="246">
        <f>IFERROR(VLOOKUP(D1249,PROGRAMAS[],2,FALSE),0)</f>
        <v>97037803.679377079</v>
      </c>
      <c r="S1249" s="246">
        <f>IFERROR(VLOOKUP(E1249,PROGRAMAS[],2,FALSE),0)</f>
        <v>640501509.6821388</v>
      </c>
      <c r="T1249" s="246">
        <f>IFERROR(VLOOKUP(F1249,PROGRAMAS[],2,FALSE),0)</f>
        <v>3062327798.1525245</v>
      </c>
      <c r="U1249" s="246">
        <f>IFERROR(VLOOKUP(G1249,PROGRAMAS[],2,FALSE),0)</f>
        <v>67697118.033011258</v>
      </c>
      <c r="V1249" s="246">
        <f>IFERROR(VLOOKUP(H1249,PROGRAMAS[],2,FALSE),0)</f>
        <v>6128579952.1618185</v>
      </c>
      <c r="W1249" s="246">
        <f>IFERROR(VLOOKUP(I1249,PROGRAMAS[],2,FALSE),0)</f>
        <v>764796700.79905891</v>
      </c>
      <c r="X1249" s="246">
        <f>IFERROR(VLOOKUP(J1249,PROGRAMAS[],2,FALSE),0)</f>
        <v>54223862.645839565</v>
      </c>
      <c r="Y1249" s="246">
        <f>IFERROR(VLOOKUP(K1249,PROGRAMAS[],2,FALSE),0)</f>
        <v>7068496961.0436354</v>
      </c>
      <c r="Z1249" s="246">
        <f>IFERROR(VLOOKUP(L1249,PROGRAMAS[],2,FALSE),0)</f>
        <v>1892779498.5211046</v>
      </c>
      <c r="AA1249" s="246">
        <f>IFERROR(VLOOKUP(M1249,PROGRAMAS[],2,FALSE),0)</f>
        <v>0</v>
      </c>
      <c r="AB1249" s="246">
        <f>IFERROR(VLOOKUP(N1249,PROGRAMAS[],2,FALSE),0)</f>
        <v>0</v>
      </c>
      <c r="AC1249" s="246">
        <f>IFERROR(VLOOKUP(O1249,PROGRAMAS[],2,FALSE),0)</f>
        <v>0</v>
      </c>
      <c r="AD1249" s="246">
        <f>IFERROR(VLOOKUP(P1249,PROGRAMAS[],2,FALSE),0)</f>
        <v>0</v>
      </c>
      <c r="AE1249" s="246">
        <f>IFERROR(VLOOKUP(Q1249,PROGRAMAS[],2,FALSE),0)</f>
        <v>0</v>
      </c>
      <c r="AF1249" s="246">
        <f>IFERROR(VLOOKUP(D1249,PROGRAMAS[],3,FALSE),0)</f>
        <v>841888629.31080008</v>
      </c>
      <c r="AG1249" s="246">
        <f>IFERROR(VLOOKUP(E1249,PROGRAMAS[],3,FALSE),0)</f>
        <v>3848980803.1642323</v>
      </c>
      <c r="AH1249" s="246">
        <f>IFERROR(VLOOKUP(F1249,PROGRAMAS[],3,FALSE),0)</f>
        <v>3394901471.387517</v>
      </c>
      <c r="AI1249" s="246">
        <f>IFERROR(VLOOKUP(G1249,PROGRAMAS[],3,FALSE),0)</f>
        <v>125317226.95549992</v>
      </c>
      <c r="AJ1249" s="246">
        <f>IFERROR(VLOOKUP(H1249,PROGRAMAS[],3,FALSE),0)</f>
        <v>7011279577.519702</v>
      </c>
      <c r="AK1249" s="246">
        <f>IFERROR(VLOOKUP(I1249,PROGRAMAS[],3,FALSE),0)</f>
        <v>675517840.109828</v>
      </c>
      <c r="AL1249" s="246">
        <f>IFERROR(VLOOKUP(J1249,PROGRAMAS[],3,FALSE),0)</f>
        <v>31865326.38096505</v>
      </c>
      <c r="AM1249" s="246">
        <f>IFERROR(VLOOKUP(K1249,PROGRAMAS[],3,FALSE),0)</f>
        <v>2406564599.0319901</v>
      </c>
      <c r="AN1249" s="246">
        <f>IFERROR(VLOOKUP(L1249,PROGRAMAS[],3,FALSE),0)</f>
        <v>948595847.09039903</v>
      </c>
      <c r="AO1249" s="246">
        <f>IFERROR(VLOOKUP(M1249,PROGRAMAS[],3,FALSE),0)</f>
        <v>0</v>
      </c>
      <c r="AP1249" s="246">
        <f>IFERROR(VLOOKUP(N1249,PROGRAMAS[],3,FALSE),0)</f>
        <v>0</v>
      </c>
      <c r="AQ1249" s="246">
        <f>IFERROR(VLOOKUP(O1249,PROGRAMAS[],3,FALSE),0)</f>
        <v>0</v>
      </c>
      <c r="AR1249" s="246">
        <f>IFERROR(VLOOKUP(P1249,PROGRAMAS[],3,FALSE),0)</f>
        <v>0</v>
      </c>
      <c r="AS1249" s="246">
        <f>IFERROR(VLOOKUP(Q1249,PROGRAMAS[],3,FALSE),0)</f>
        <v>0</v>
      </c>
      <c r="AT1249" s="246">
        <f>IFERROR(VLOOKUP(D1249,VOL_REC[],2,FALSE),0)</f>
        <v>0</v>
      </c>
      <c r="AU1249" s="246">
        <f>IFERROR(VLOOKUP(E1249,VOL_REC[],2,FALSE),0)</f>
        <v>0</v>
      </c>
      <c r="AV1249" s="246">
        <f>IFERROR(VLOOKUP(F1249,VOL_REC[],2,FALSE),0)</f>
        <v>11089674.200000001</v>
      </c>
      <c r="AW1249" s="246">
        <f>IFERROR(VLOOKUP(G1249,VOL_REC[],2,FALSE),0)</f>
        <v>90439.55</v>
      </c>
      <c r="AX1249" s="246">
        <f>IFERROR(VLOOKUP(H1249,VOL_REC[],2,FALSE),0)</f>
        <v>3761786</v>
      </c>
      <c r="AY1249" s="246">
        <f>IFERROR(VLOOKUP(I1249,VOL_REC[],2,FALSE),0)</f>
        <v>240696.79238099116</v>
      </c>
      <c r="AZ1249" s="246">
        <f>IFERROR(VLOOKUP(J1249,VOL_REC[],2,FALSE),0)</f>
        <v>17074.045034105649</v>
      </c>
      <c r="BA1249" s="246">
        <f>IFERROR(VLOOKUP(K1249,VOL_REC[],2,FALSE),0)</f>
        <v>1072354.9981737854</v>
      </c>
      <c r="BB1249" s="246">
        <f>IFERROR(VLOOKUP(L1249,VOL_REC[],2,FALSE),0)</f>
        <v>740113.98115702497</v>
      </c>
      <c r="BC1249" s="246">
        <f>IFERROR(VLOOKUP(M1249,VOL_REC[],2,FALSE),0)</f>
        <v>0</v>
      </c>
      <c r="BD1249" s="246">
        <f>IFERROR(VLOOKUP(N1249,VOL_REC[],2,FALSE),0)</f>
        <v>0</v>
      </c>
      <c r="BE1249" s="246">
        <f>IFERROR(VLOOKUP(O1249,VOL_REC[],2,FALSE),0)</f>
        <v>0</v>
      </c>
      <c r="BF1249" s="246">
        <f>IFERROR(VLOOKUP(P1249,VOL_REC[],2,FALSE),0)</f>
        <v>0</v>
      </c>
      <c r="BG1249" s="246">
        <f>IFERROR(VLOOKUP(Q1249,VOL_REC[],2,FALSE),0)</f>
        <v>0</v>
      </c>
      <c r="BH1249" s="1710">
        <f t="shared" si="76"/>
        <v>19776441204.718506</v>
      </c>
      <c r="BI1249" s="1710">
        <f t="shared" si="77"/>
        <v>19284911320.950935</v>
      </c>
      <c r="BJ1249" s="1711">
        <f t="shared" si="78"/>
        <v>17012139.566745907</v>
      </c>
      <c r="BK1249" s="1711">
        <f t="shared" si="79"/>
        <v>1.0254877959036077</v>
      </c>
      <c r="BL1249">
        <f>BJ1249</f>
        <v>17012139.566745907</v>
      </c>
      <c r="BO1249">
        <f>BL1249</f>
        <v>17012139.566745907</v>
      </c>
    </row>
    <row r="1250" spans="3:67" x14ac:dyDescent="0.25">
      <c r="C1250" s="246" t="s">
        <v>2600</v>
      </c>
      <c r="D1250" s="246">
        <v>1</v>
      </c>
      <c r="E1250" s="246">
        <v>2</v>
      </c>
      <c r="F1250" s="246">
        <v>3</v>
      </c>
      <c r="G1250" s="246">
        <v>4</v>
      </c>
      <c r="H1250" s="246">
        <v>9</v>
      </c>
      <c r="I1250" s="246">
        <v>12</v>
      </c>
      <c r="J1250" s="246">
        <v>15</v>
      </c>
      <c r="K1250" s="246">
        <v>16</v>
      </c>
      <c r="L1250" s="246">
        <v>17</v>
      </c>
      <c r="M1250" s="246"/>
      <c r="N1250" s="246"/>
      <c r="O1250" s="246"/>
      <c r="P1250" s="246"/>
      <c r="Q1250" s="246"/>
      <c r="R1250" s="246">
        <f>IFERROR(VLOOKUP(D1250,PROGRAMAS[],2,FALSE),0)</f>
        <v>97037803.679377079</v>
      </c>
      <c r="S1250" s="246">
        <f>IFERROR(VLOOKUP(E1250,PROGRAMAS[],2,FALSE),0)</f>
        <v>640501509.6821388</v>
      </c>
      <c r="T1250" s="246">
        <f>IFERROR(VLOOKUP(F1250,PROGRAMAS[],2,FALSE),0)</f>
        <v>3062327798.1525245</v>
      </c>
      <c r="U1250" s="246">
        <f>IFERROR(VLOOKUP(G1250,PROGRAMAS[],2,FALSE),0)</f>
        <v>67697118.033011258</v>
      </c>
      <c r="V1250" s="246">
        <f>IFERROR(VLOOKUP(H1250,PROGRAMAS[],2,FALSE),0)</f>
        <v>6128579952.1618185</v>
      </c>
      <c r="W1250" s="246">
        <f>IFERROR(VLOOKUP(I1250,PROGRAMAS[],2,FALSE),0)</f>
        <v>764796700.79905891</v>
      </c>
      <c r="X1250" s="246">
        <f>IFERROR(VLOOKUP(J1250,PROGRAMAS[],2,FALSE),0)</f>
        <v>122159672.96346797</v>
      </c>
      <c r="Y1250" s="246">
        <f>IFERROR(VLOOKUP(K1250,PROGRAMAS[],2,FALSE),0)</f>
        <v>7068496961.0436354</v>
      </c>
      <c r="Z1250" s="246">
        <f>IFERROR(VLOOKUP(L1250,PROGRAMAS[],2,FALSE),0)</f>
        <v>1892779498.5211046</v>
      </c>
      <c r="AA1250" s="246">
        <f>IFERROR(VLOOKUP(M1250,PROGRAMAS[],2,FALSE),0)</f>
        <v>0</v>
      </c>
      <c r="AB1250" s="246">
        <f>IFERROR(VLOOKUP(N1250,PROGRAMAS[],2,FALSE),0)</f>
        <v>0</v>
      </c>
      <c r="AC1250" s="246">
        <f>IFERROR(VLOOKUP(O1250,PROGRAMAS[],2,FALSE),0)</f>
        <v>0</v>
      </c>
      <c r="AD1250" s="246">
        <f>IFERROR(VLOOKUP(P1250,PROGRAMAS[],2,FALSE),0)</f>
        <v>0</v>
      </c>
      <c r="AE1250" s="246">
        <f>IFERROR(VLOOKUP(Q1250,PROGRAMAS[],2,FALSE),0)</f>
        <v>0</v>
      </c>
      <c r="AF1250" s="246">
        <f>IFERROR(VLOOKUP(D1250,PROGRAMAS[],3,FALSE),0)</f>
        <v>841888629.31080008</v>
      </c>
      <c r="AG1250" s="246">
        <f>IFERROR(VLOOKUP(E1250,PROGRAMAS[],3,FALSE),0)</f>
        <v>3848980803.1642323</v>
      </c>
      <c r="AH1250" s="246">
        <f>IFERROR(VLOOKUP(F1250,PROGRAMAS[],3,FALSE),0)</f>
        <v>3394901471.387517</v>
      </c>
      <c r="AI1250" s="246">
        <f>IFERROR(VLOOKUP(G1250,PROGRAMAS[],3,FALSE),0)</f>
        <v>125317226.95549992</v>
      </c>
      <c r="AJ1250" s="246">
        <f>IFERROR(VLOOKUP(H1250,PROGRAMAS[],3,FALSE),0)</f>
        <v>7011279577.519702</v>
      </c>
      <c r="AK1250" s="246">
        <f>IFERROR(VLOOKUP(I1250,PROGRAMAS[],3,FALSE),0)</f>
        <v>675517840.109828</v>
      </c>
      <c r="AL1250" s="246">
        <f>IFERROR(VLOOKUP(J1250,PROGRAMAS[],3,FALSE),0)</f>
        <v>118617452.52510804</v>
      </c>
      <c r="AM1250" s="246">
        <f>IFERROR(VLOOKUP(K1250,PROGRAMAS[],3,FALSE),0)</f>
        <v>2406564599.0319901</v>
      </c>
      <c r="AN1250" s="246">
        <f>IFERROR(VLOOKUP(L1250,PROGRAMAS[],3,FALSE),0)</f>
        <v>948595847.09039903</v>
      </c>
      <c r="AO1250" s="246">
        <f>IFERROR(VLOOKUP(M1250,PROGRAMAS[],3,FALSE),0)</f>
        <v>0</v>
      </c>
      <c r="AP1250" s="246">
        <f>IFERROR(VLOOKUP(N1250,PROGRAMAS[],3,FALSE),0)</f>
        <v>0</v>
      </c>
      <c r="AQ1250" s="246">
        <f>IFERROR(VLOOKUP(O1250,PROGRAMAS[],3,FALSE),0)</f>
        <v>0</v>
      </c>
      <c r="AR1250" s="246">
        <f>IFERROR(VLOOKUP(P1250,PROGRAMAS[],3,FALSE),0)</f>
        <v>0</v>
      </c>
      <c r="AS1250" s="246">
        <f>IFERROR(VLOOKUP(Q1250,PROGRAMAS[],3,FALSE),0)</f>
        <v>0</v>
      </c>
      <c r="AT1250" s="246">
        <f>IFERROR(VLOOKUP(D1250,VOL_REC[],2,FALSE),0)</f>
        <v>0</v>
      </c>
      <c r="AU1250" s="246">
        <f>IFERROR(VLOOKUP(E1250,VOL_REC[],2,FALSE),0)</f>
        <v>0</v>
      </c>
      <c r="AV1250" s="246">
        <f>IFERROR(VLOOKUP(F1250,VOL_REC[],2,FALSE),0)</f>
        <v>11089674.200000001</v>
      </c>
      <c r="AW1250" s="246">
        <f>IFERROR(VLOOKUP(G1250,VOL_REC[],2,FALSE),0)</f>
        <v>90439.55</v>
      </c>
      <c r="AX1250" s="246">
        <f>IFERROR(VLOOKUP(H1250,VOL_REC[],2,FALSE),0)</f>
        <v>3761786</v>
      </c>
      <c r="AY1250" s="246">
        <f>IFERROR(VLOOKUP(I1250,VOL_REC[],2,FALSE),0)</f>
        <v>240696.79238099116</v>
      </c>
      <c r="AZ1250" s="246">
        <f>IFERROR(VLOOKUP(J1250,VOL_REC[],2,FALSE),0)</f>
        <v>105072</v>
      </c>
      <c r="BA1250" s="246">
        <f>IFERROR(VLOOKUP(K1250,VOL_REC[],2,FALSE),0)</f>
        <v>1072354.9981737854</v>
      </c>
      <c r="BB1250" s="246">
        <f>IFERROR(VLOOKUP(L1250,VOL_REC[],2,FALSE),0)</f>
        <v>740113.98115702497</v>
      </c>
      <c r="BC1250" s="246">
        <f>IFERROR(VLOOKUP(M1250,VOL_REC[],2,FALSE),0)</f>
        <v>0</v>
      </c>
      <c r="BD1250" s="246">
        <f>IFERROR(VLOOKUP(N1250,VOL_REC[],2,FALSE),0)</f>
        <v>0</v>
      </c>
      <c r="BE1250" s="246">
        <f>IFERROR(VLOOKUP(O1250,VOL_REC[],2,FALSE),0)</f>
        <v>0</v>
      </c>
      <c r="BF1250" s="246">
        <f>IFERROR(VLOOKUP(P1250,VOL_REC[],2,FALSE),0)</f>
        <v>0</v>
      </c>
      <c r="BG1250" s="246">
        <f>IFERROR(VLOOKUP(Q1250,VOL_REC[],2,FALSE),0)</f>
        <v>0</v>
      </c>
      <c r="BH1250" s="1710">
        <f t="shared" si="76"/>
        <v>19844377015.036137</v>
      </c>
      <c r="BI1250" s="1710">
        <f t="shared" si="77"/>
        <v>19371663447.095078</v>
      </c>
      <c r="BJ1250" s="1711">
        <f t="shared" si="78"/>
        <v>17100137.5217118</v>
      </c>
      <c r="BK1250" s="1711">
        <f t="shared" si="79"/>
        <v>1.0244023219395724</v>
      </c>
      <c r="BL1250">
        <f>BJ1250</f>
        <v>17100137.5217118</v>
      </c>
      <c r="BO1250">
        <f>BL1250</f>
        <v>17100137.5217118</v>
      </c>
    </row>
    <row r="1251" spans="3:67" x14ac:dyDescent="0.25">
      <c r="C1251" s="246" t="s">
        <v>2601</v>
      </c>
      <c r="D1251" s="246">
        <v>1</v>
      </c>
      <c r="E1251" s="246">
        <v>2</v>
      </c>
      <c r="F1251" s="246">
        <v>3</v>
      </c>
      <c r="G1251" s="246">
        <v>4</v>
      </c>
      <c r="H1251" s="246">
        <v>9</v>
      </c>
      <c r="I1251" s="246">
        <v>13</v>
      </c>
      <c r="J1251" s="246">
        <v>14</v>
      </c>
      <c r="K1251" s="246">
        <v>15</v>
      </c>
      <c r="L1251" s="246">
        <v>16</v>
      </c>
      <c r="M1251" s="246"/>
      <c r="N1251" s="246"/>
      <c r="O1251" s="246"/>
      <c r="P1251" s="246"/>
      <c r="Q1251" s="246"/>
      <c r="R1251" s="246">
        <f>IFERROR(VLOOKUP(D1251,PROGRAMAS[],2,FALSE),0)</f>
        <v>97037803.679377079</v>
      </c>
      <c r="S1251" s="246">
        <f>IFERROR(VLOOKUP(E1251,PROGRAMAS[],2,FALSE),0)</f>
        <v>640501509.6821388</v>
      </c>
      <c r="T1251" s="246">
        <f>IFERROR(VLOOKUP(F1251,PROGRAMAS[],2,FALSE),0)</f>
        <v>3062327798.1525245</v>
      </c>
      <c r="U1251" s="246">
        <f>IFERROR(VLOOKUP(G1251,PROGRAMAS[],2,FALSE),0)</f>
        <v>67697118.033011258</v>
      </c>
      <c r="V1251" s="246">
        <f>IFERROR(VLOOKUP(H1251,PROGRAMAS[],2,FALSE),0)</f>
        <v>6128579952.1618185</v>
      </c>
      <c r="W1251" s="246">
        <f>IFERROR(VLOOKUP(I1251,PROGRAMAS[],2,FALSE),0)</f>
        <v>3776538594.4604583</v>
      </c>
      <c r="X1251" s="246">
        <f>IFERROR(VLOOKUP(J1251,PROGRAMAS[],2,FALSE),0)</f>
        <v>54223862.645839565</v>
      </c>
      <c r="Y1251" s="246">
        <f>IFERROR(VLOOKUP(K1251,PROGRAMAS[],2,FALSE),0)</f>
        <v>122159672.96346797</v>
      </c>
      <c r="Z1251" s="246">
        <f>IFERROR(VLOOKUP(L1251,PROGRAMAS[],2,FALSE),0)</f>
        <v>7068496961.0436354</v>
      </c>
      <c r="AA1251" s="246">
        <f>IFERROR(VLOOKUP(M1251,PROGRAMAS[],2,FALSE),0)</f>
        <v>0</v>
      </c>
      <c r="AB1251" s="246">
        <f>IFERROR(VLOOKUP(N1251,PROGRAMAS[],2,FALSE),0)</f>
        <v>0</v>
      </c>
      <c r="AC1251" s="246">
        <f>IFERROR(VLOOKUP(O1251,PROGRAMAS[],2,FALSE),0)</f>
        <v>0</v>
      </c>
      <c r="AD1251" s="246">
        <f>IFERROR(VLOOKUP(P1251,PROGRAMAS[],2,FALSE),0)</f>
        <v>0</v>
      </c>
      <c r="AE1251" s="246">
        <f>IFERROR(VLOOKUP(Q1251,PROGRAMAS[],2,FALSE),0)</f>
        <v>0</v>
      </c>
      <c r="AF1251" s="246">
        <f>IFERROR(VLOOKUP(D1251,PROGRAMAS[],3,FALSE),0)</f>
        <v>841888629.31080008</v>
      </c>
      <c r="AG1251" s="246">
        <f>IFERROR(VLOOKUP(E1251,PROGRAMAS[],3,FALSE),0)</f>
        <v>3848980803.1642323</v>
      </c>
      <c r="AH1251" s="246">
        <f>IFERROR(VLOOKUP(F1251,PROGRAMAS[],3,FALSE),0)</f>
        <v>3394901471.387517</v>
      </c>
      <c r="AI1251" s="246">
        <f>IFERROR(VLOOKUP(G1251,PROGRAMAS[],3,FALSE),0)</f>
        <v>125317226.95549992</v>
      </c>
      <c r="AJ1251" s="246">
        <f>IFERROR(VLOOKUP(H1251,PROGRAMAS[],3,FALSE),0)</f>
        <v>7011279577.519702</v>
      </c>
      <c r="AK1251" s="246">
        <f>IFERROR(VLOOKUP(I1251,PROGRAMAS[],3,FALSE),0)</f>
        <v>2392571243.5584412</v>
      </c>
      <c r="AL1251" s="246">
        <f>IFERROR(VLOOKUP(J1251,PROGRAMAS[],3,FALSE),0)</f>
        <v>31865326.38096505</v>
      </c>
      <c r="AM1251" s="246">
        <f>IFERROR(VLOOKUP(K1251,PROGRAMAS[],3,FALSE),0)</f>
        <v>118617452.52510804</v>
      </c>
      <c r="AN1251" s="246">
        <f>IFERROR(VLOOKUP(L1251,PROGRAMAS[],3,FALSE),0)</f>
        <v>2406564599.0319901</v>
      </c>
      <c r="AO1251" s="246">
        <f>IFERROR(VLOOKUP(M1251,PROGRAMAS[],3,FALSE),0)</f>
        <v>0</v>
      </c>
      <c r="AP1251" s="246">
        <f>IFERROR(VLOOKUP(N1251,PROGRAMAS[],3,FALSE),0)</f>
        <v>0</v>
      </c>
      <c r="AQ1251" s="246">
        <f>IFERROR(VLOOKUP(O1251,PROGRAMAS[],3,FALSE),0)</f>
        <v>0</v>
      </c>
      <c r="AR1251" s="246">
        <f>IFERROR(VLOOKUP(P1251,PROGRAMAS[],3,FALSE),0)</f>
        <v>0</v>
      </c>
      <c r="AS1251" s="246">
        <f>IFERROR(VLOOKUP(Q1251,PROGRAMAS[],3,FALSE),0)</f>
        <v>0</v>
      </c>
      <c r="AT1251" s="246">
        <f>IFERROR(VLOOKUP(D1251,VOL_REC[],2,FALSE),0)</f>
        <v>0</v>
      </c>
      <c r="AU1251" s="246">
        <f>IFERROR(VLOOKUP(E1251,VOL_REC[],2,FALSE),0)</f>
        <v>0</v>
      </c>
      <c r="AV1251" s="246">
        <f>IFERROR(VLOOKUP(F1251,VOL_REC[],2,FALSE),0)</f>
        <v>11089674.200000001</v>
      </c>
      <c r="AW1251" s="246">
        <f>IFERROR(VLOOKUP(G1251,VOL_REC[],2,FALSE),0)</f>
        <v>90439.55</v>
      </c>
      <c r="AX1251" s="246">
        <f>IFERROR(VLOOKUP(H1251,VOL_REC[],2,FALSE),0)</f>
        <v>3761786</v>
      </c>
      <c r="AY1251" s="246">
        <f>IFERROR(VLOOKUP(I1251,VOL_REC[],2,FALSE),0)</f>
        <v>663244.80000000016</v>
      </c>
      <c r="AZ1251" s="246">
        <f>IFERROR(VLOOKUP(J1251,VOL_REC[],2,FALSE),0)</f>
        <v>17074.045034105649</v>
      </c>
      <c r="BA1251" s="246">
        <f>IFERROR(VLOOKUP(K1251,VOL_REC[],2,FALSE),0)</f>
        <v>105072</v>
      </c>
      <c r="BB1251" s="246">
        <f>IFERROR(VLOOKUP(L1251,VOL_REC[],2,FALSE),0)</f>
        <v>1072354.9981737854</v>
      </c>
      <c r="BC1251" s="246">
        <f>IFERROR(VLOOKUP(M1251,VOL_REC[],2,FALSE),0)</f>
        <v>0</v>
      </c>
      <c r="BD1251" s="246">
        <f>IFERROR(VLOOKUP(N1251,VOL_REC[],2,FALSE),0)</f>
        <v>0</v>
      </c>
      <c r="BE1251" s="246">
        <f>IFERROR(VLOOKUP(O1251,VOL_REC[],2,FALSE),0)</f>
        <v>0</v>
      </c>
      <c r="BF1251" s="246">
        <f>IFERROR(VLOOKUP(P1251,VOL_REC[],2,FALSE),0)</f>
        <v>0</v>
      </c>
      <c r="BG1251" s="246">
        <f>IFERROR(VLOOKUP(Q1251,VOL_REC[],2,FALSE),0)</f>
        <v>0</v>
      </c>
      <c r="BH1251" s="1710">
        <f t="shared" si="76"/>
        <v>21017563272.822273</v>
      </c>
      <c r="BI1251" s="1710">
        <f t="shared" si="77"/>
        <v>20171986329.834259</v>
      </c>
      <c r="BJ1251" s="1711">
        <f t="shared" si="78"/>
        <v>16799645.593207892</v>
      </c>
      <c r="BK1251" s="1711">
        <f t="shared" si="79"/>
        <v>1.0419183777522896</v>
      </c>
      <c r="BL1251">
        <f>BJ1251</f>
        <v>16799645.593207892</v>
      </c>
      <c r="BO1251">
        <f>BL1251</f>
        <v>16799645.593207892</v>
      </c>
    </row>
    <row r="1252" spans="3:67" x14ac:dyDescent="0.25">
      <c r="C1252" s="246" t="s">
        <v>2602</v>
      </c>
      <c r="D1252" s="246">
        <v>1</v>
      </c>
      <c r="E1252" s="246">
        <v>2</v>
      </c>
      <c r="F1252" s="246">
        <v>3</v>
      </c>
      <c r="G1252" s="246">
        <v>4</v>
      </c>
      <c r="H1252" s="246">
        <v>9</v>
      </c>
      <c r="I1252" s="246">
        <v>13</v>
      </c>
      <c r="J1252" s="246">
        <v>14</v>
      </c>
      <c r="K1252" s="246">
        <v>15</v>
      </c>
      <c r="L1252" s="246">
        <v>17</v>
      </c>
      <c r="M1252" s="246"/>
      <c r="N1252" s="246"/>
      <c r="O1252" s="246"/>
      <c r="P1252" s="246"/>
      <c r="Q1252" s="246"/>
      <c r="R1252" s="246">
        <f>IFERROR(VLOOKUP(D1252,PROGRAMAS[],2,FALSE),0)</f>
        <v>97037803.679377079</v>
      </c>
      <c r="S1252" s="246">
        <f>IFERROR(VLOOKUP(E1252,PROGRAMAS[],2,FALSE),0)</f>
        <v>640501509.6821388</v>
      </c>
      <c r="T1252" s="246">
        <f>IFERROR(VLOOKUP(F1252,PROGRAMAS[],2,FALSE),0)</f>
        <v>3062327798.1525245</v>
      </c>
      <c r="U1252" s="246">
        <f>IFERROR(VLOOKUP(G1252,PROGRAMAS[],2,FALSE),0)</f>
        <v>67697118.033011258</v>
      </c>
      <c r="V1252" s="246">
        <f>IFERROR(VLOOKUP(H1252,PROGRAMAS[],2,FALSE),0)</f>
        <v>6128579952.1618185</v>
      </c>
      <c r="W1252" s="246">
        <f>IFERROR(VLOOKUP(I1252,PROGRAMAS[],2,FALSE),0)</f>
        <v>3776538594.4604583</v>
      </c>
      <c r="X1252" s="246">
        <f>IFERROR(VLOOKUP(J1252,PROGRAMAS[],2,FALSE),0)</f>
        <v>54223862.645839565</v>
      </c>
      <c r="Y1252" s="246">
        <f>IFERROR(VLOOKUP(K1252,PROGRAMAS[],2,FALSE),0)</f>
        <v>122159672.96346797</v>
      </c>
      <c r="Z1252" s="246">
        <f>IFERROR(VLOOKUP(L1252,PROGRAMAS[],2,FALSE),0)</f>
        <v>1892779498.5211046</v>
      </c>
      <c r="AA1252" s="246">
        <f>IFERROR(VLOOKUP(M1252,PROGRAMAS[],2,FALSE),0)</f>
        <v>0</v>
      </c>
      <c r="AB1252" s="246">
        <f>IFERROR(VLOOKUP(N1252,PROGRAMAS[],2,FALSE),0)</f>
        <v>0</v>
      </c>
      <c r="AC1252" s="246">
        <f>IFERROR(VLOOKUP(O1252,PROGRAMAS[],2,FALSE),0)</f>
        <v>0</v>
      </c>
      <c r="AD1252" s="246">
        <f>IFERROR(VLOOKUP(P1252,PROGRAMAS[],2,FALSE),0)</f>
        <v>0</v>
      </c>
      <c r="AE1252" s="246">
        <f>IFERROR(VLOOKUP(Q1252,PROGRAMAS[],2,FALSE),0)</f>
        <v>0</v>
      </c>
      <c r="AF1252" s="246">
        <f>IFERROR(VLOOKUP(D1252,PROGRAMAS[],3,FALSE),0)</f>
        <v>841888629.31080008</v>
      </c>
      <c r="AG1252" s="246">
        <f>IFERROR(VLOOKUP(E1252,PROGRAMAS[],3,FALSE),0)</f>
        <v>3848980803.1642323</v>
      </c>
      <c r="AH1252" s="246">
        <f>IFERROR(VLOOKUP(F1252,PROGRAMAS[],3,FALSE),0)</f>
        <v>3394901471.387517</v>
      </c>
      <c r="AI1252" s="246">
        <f>IFERROR(VLOOKUP(G1252,PROGRAMAS[],3,FALSE),0)</f>
        <v>125317226.95549992</v>
      </c>
      <c r="AJ1252" s="246">
        <f>IFERROR(VLOOKUP(H1252,PROGRAMAS[],3,FALSE),0)</f>
        <v>7011279577.519702</v>
      </c>
      <c r="AK1252" s="246">
        <f>IFERROR(VLOOKUP(I1252,PROGRAMAS[],3,FALSE),0)</f>
        <v>2392571243.5584412</v>
      </c>
      <c r="AL1252" s="246">
        <f>IFERROR(VLOOKUP(J1252,PROGRAMAS[],3,FALSE),0)</f>
        <v>31865326.38096505</v>
      </c>
      <c r="AM1252" s="246">
        <f>IFERROR(VLOOKUP(K1252,PROGRAMAS[],3,FALSE),0)</f>
        <v>118617452.52510804</v>
      </c>
      <c r="AN1252" s="246">
        <f>IFERROR(VLOOKUP(L1252,PROGRAMAS[],3,FALSE),0)</f>
        <v>948595847.09039903</v>
      </c>
      <c r="AO1252" s="246">
        <f>IFERROR(VLOOKUP(M1252,PROGRAMAS[],3,FALSE),0)</f>
        <v>0</v>
      </c>
      <c r="AP1252" s="246">
        <f>IFERROR(VLOOKUP(N1252,PROGRAMAS[],3,FALSE),0)</f>
        <v>0</v>
      </c>
      <c r="AQ1252" s="246">
        <f>IFERROR(VLOOKUP(O1252,PROGRAMAS[],3,FALSE),0)</f>
        <v>0</v>
      </c>
      <c r="AR1252" s="246">
        <f>IFERROR(VLOOKUP(P1252,PROGRAMAS[],3,FALSE),0)</f>
        <v>0</v>
      </c>
      <c r="AS1252" s="246">
        <f>IFERROR(VLOOKUP(Q1252,PROGRAMAS[],3,FALSE),0)</f>
        <v>0</v>
      </c>
      <c r="AT1252" s="246">
        <f>IFERROR(VLOOKUP(D1252,VOL_REC[],2,FALSE),0)</f>
        <v>0</v>
      </c>
      <c r="AU1252" s="246">
        <f>IFERROR(VLOOKUP(E1252,VOL_REC[],2,FALSE),0)</f>
        <v>0</v>
      </c>
      <c r="AV1252" s="246">
        <f>IFERROR(VLOOKUP(F1252,VOL_REC[],2,FALSE),0)</f>
        <v>11089674.200000001</v>
      </c>
      <c r="AW1252" s="246">
        <f>IFERROR(VLOOKUP(G1252,VOL_REC[],2,FALSE),0)</f>
        <v>90439.55</v>
      </c>
      <c r="AX1252" s="246">
        <f>IFERROR(VLOOKUP(H1252,VOL_REC[],2,FALSE),0)</f>
        <v>3761786</v>
      </c>
      <c r="AY1252" s="246">
        <f>IFERROR(VLOOKUP(I1252,VOL_REC[],2,FALSE),0)</f>
        <v>663244.80000000016</v>
      </c>
      <c r="AZ1252" s="246">
        <f>IFERROR(VLOOKUP(J1252,VOL_REC[],2,FALSE),0)</f>
        <v>17074.045034105649</v>
      </c>
      <c r="BA1252" s="246">
        <f>IFERROR(VLOOKUP(K1252,VOL_REC[],2,FALSE),0)</f>
        <v>105072</v>
      </c>
      <c r="BB1252" s="246">
        <f>IFERROR(VLOOKUP(L1252,VOL_REC[],2,FALSE),0)</f>
        <v>740113.98115702497</v>
      </c>
      <c r="BC1252" s="246">
        <f>IFERROR(VLOOKUP(M1252,VOL_REC[],2,FALSE),0)</f>
        <v>0</v>
      </c>
      <c r="BD1252" s="246">
        <f>IFERROR(VLOOKUP(N1252,VOL_REC[],2,FALSE),0)</f>
        <v>0</v>
      </c>
      <c r="BE1252" s="246">
        <f>IFERROR(VLOOKUP(O1252,VOL_REC[],2,FALSE),0)</f>
        <v>0</v>
      </c>
      <c r="BF1252" s="246">
        <f>IFERROR(VLOOKUP(P1252,VOL_REC[],2,FALSE),0)</f>
        <v>0</v>
      </c>
      <c r="BG1252" s="246">
        <f>IFERROR(VLOOKUP(Q1252,VOL_REC[],2,FALSE),0)</f>
        <v>0</v>
      </c>
      <c r="BH1252" s="1710">
        <f t="shared" si="76"/>
        <v>15841845810.299742</v>
      </c>
      <c r="BI1252" s="1710">
        <f t="shared" si="77"/>
        <v>18714017577.89267</v>
      </c>
      <c r="BJ1252" s="1711">
        <f t="shared" si="78"/>
        <v>16467404.576191133</v>
      </c>
      <c r="BK1252" s="1711">
        <f t="shared" si="79"/>
        <v>0.84652297372073138</v>
      </c>
    </row>
    <row r="1253" spans="3:67" x14ac:dyDescent="0.25">
      <c r="C1253" s="246" t="s">
        <v>2603</v>
      </c>
      <c r="D1253" s="246">
        <v>1</v>
      </c>
      <c r="E1253" s="246">
        <v>2</v>
      </c>
      <c r="F1253" s="246">
        <v>3</v>
      </c>
      <c r="G1253" s="246">
        <v>4</v>
      </c>
      <c r="H1253" s="246">
        <v>9</v>
      </c>
      <c r="I1253" s="246">
        <v>13</v>
      </c>
      <c r="J1253" s="246">
        <v>14</v>
      </c>
      <c r="K1253" s="246">
        <v>16</v>
      </c>
      <c r="L1253" s="246">
        <v>17</v>
      </c>
      <c r="M1253" s="246"/>
      <c r="N1253" s="246"/>
      <c r="O1253" s="246"/>
      <c r="P1253" s="246"/>
      <c r="Q1253" s="246"/>
      <c r="R1253" s="246">
        <f>IFERROR(VLOOKUP(D1253,PROGRAMAS[],2,FALSE),0)</f>
        <v>97037803.679377079</v>
      </c>
      <c r="S1253" s="246">
        <f>IFERROR(VLOOKUP(E1253,PROGRAMAS[],2,FALSE),0)</f>
        <v>640501509.6821388</v>
      </c>
      <c r="T1253" s="246">
        <f>IFERROR(VLOOKUP(F1253,PROGRAMAS[],2,FALSE),0)</f>
        <v>3062327798.1525245</v>
      </c>
      <c r="U1253" s="246">
        <f>IFERROR(VLOOKUP(G1253,PROGRAMAS[],2,FALSE),0)</f>
        <v>67697118.033011258</v>
      </c>
      <c r="V1253" s="246">
        <f>IFERROR(VLOOKUP(H1253,PROGRAMAS[],2,FALSE),0)</f>
        <v>6128579952.1618185</v>
      </c>
      <c r="W1253" s="246">
        <f>IFERROR(VLOOKUP(I1253,PROGRAMAS[],2,FALSE),0)</f>
        <v>3776538594.4604583</v>
      </c>
      <c r="X1253" s="246">
        <f>IFERROR(VLOOKUP(J1253,PROGRAMAS[],2,FALSE),0)</f>
        <v>54223862.645839565</v>
      </c>
      <c r="Y1253" s="246">
        <f>IFERROR(VLOOKUP(K1253,PROGRAMAS[],2,FALSE),0)</f>
        <v>7068496961.0436354</v>
      </c>
      <c r="Z1253" s="246">
        <f>IFERROR(VLOOKUP(L1253,PROGRAMAS[],2,FALSE),0)</f>
        <v>1892779498.5211046</v>
      </c>
      <c r="AA1253" s="246">
        <f>IFERROR(VLOOKUP(M1253,PROGRAMAS[],2,FALSE),0)</f>
        <v>0</v>
      </c>
      <c r="AB1253" s="246">
        <f>IFERROR(VLOOKUP(N1253,PROGRAMAS[],2,FALSE),0)</f>
        <v>0</v>
      </c>
      <c r="AC1253" s="246">
        <f>IFERROR(VLOOKUP(O1253,PROGRAMAS[],2,FALSE),0)</f>
        <v>0</v>
      </c>
      <c r="AD1253" s="246">
        <f>IFERROR(VLOOKUP(P1253,PROGRAMAS[],2,FALSE),0)</f>
        <v>0</v>
      </c>
      <c r="AE1253" s="246">
        <f>IFERROR(VLOOKUP(Q1253,PROGRAMAS[],2,FALSE),0)</f>
        <v>0</v>
      </c>
      <c r="AF1253" s="246">
        <f>IFERROR(VLOOKUP(D1253,PROGRAMAS[],3,FALSE),0)</f>
        <v>841888629.31080008</v>
      </c>
      <c r="AG1253" s="246">
        <f>IFERROR(VLOOKUP(E1253,PROGRAMAS[],3,FALSE),0)</f>
        <v>3848980803.1642323</v>
      </c>
      <c r="AH1253" s="246">
        <f>IFERROR(VLOOKUP(F1253,PROGRAMAS[],3,FALSE),0)</f>
        <v>3394901471.387517</v>
      </c>
      <c r="AI1253" s="246">
        <f>IFERROR(VLOOKUP(G1253,PROGRAMAS[],3,FALSE),0)</f>
        <v>125317226.95549992</v>
      </c>
      <c r="AJ1253" s="246">
        <f>IFERROR(VLOOKUP(H1253,PROGRAMAS[],3,FALSE),0)</f>
        <v>7011279577.519702</v>
      </c>
      <c r="AK1253" s="246">
        <f>IFERROR(VLOOKUP(I1253,PROGRAMAS[],3,FALSE),0)</f>
        <v>2392571243.5584412</v>
      </c>
      <c r="AL1253" s="246">
        <f>IFERROR(VLOOKUP(J1253,PROGRAMAS[],3,FALSE),0)</f>
        <v>31865326.38096505</v>
      </c>
      <c r="AM1253" s="246">
        <f>IFERROR(VLOOKUP(K1253,PROGRAMAS[],3,FALSE),0)</f>
        <v>2406564599.0319901</v>
      </c>
      <c r="AN1253" s="246">
        <f>IFERROR(VLOOKUP(L1253,PROGRAMAS[],3,FALSE),0)</f>
        <v>948595847.09039903</v>
      </c>
      <c r="AO1253" s="246">
        <f>IFERROR(VLOOKUP(M1253,PROGRAMAS[],3,FALSE),0)</f>
        <v>0</v>
      </c>
      <c r="AP1253" s="246">
        <f>IFERROR(VLOOKUP(N1253,PROGRAMAS[],3,FALSE),0)</f>
        <v>0</v>
      </c>
      <c r="AQ1253" s="246">
        <f>IFERROR(VLOOKUP(O1253,PROGRAMAS[],3,FALSE),0)</f>
        <v>0</v>
      </c>
      <c r="AR1253" s="246">
        <f>IFERROR(VLOOKUP(P1253,PROGRAMAS[],3,FALSE),0)</f>
        <v>0</v>
      </c>
      <c r="AS1253" s="246">
        <f>IFERROR(VLOOKUP(Q1253,PROGRAMAS[],3,FALSE),0)</f>
        <v>0</v>
      </c>
      <c r="AT1253" s="246">
        <f>IFERROR(VLOOKUP(D1253,VOL_REC[],2,FALSE),0)</f>
        <v>0</v>
      </c>
      <c r="AU1253" s="246">
        <f>IFERROR(VLOOKUP(E1253,VOL_REC[],2,FALSE),0)</f>
        <v>0</v>
      </c>
      <c r="AV1253" s="246">
        <f>IFERROR(VLOOKUP(F1253,VOL_REC[],2,FALSE),0)</f>
        <v>11089674.200000001</v>
      </c>
      <c r="AW1253" s="246">
        <f>IFERROR(VLOOKUP(G1253,VOL_REC[],2,FALSE),0)</f>
        <v>90439.55</v>
      </c>
      <c r="AX1253" s="246">
        <f>IFERROR(VLOOKUP(H1253,VOL_REC[],2,FALSE),0)</f>
        <v>3761786</v>
      </c>
      <c r="AY1253" s="246">
        <f>IFERROR(VLOOKUP(I1253,VOL_REC[],2,FALSE),0)</f>
        <v>663244.80000000016</v>
      </c>
      <c r="AZ1253" s="246">
        <f>IFERROR(VLOOKUP(J1253,VOL_REC[],2,FALSE),0)</f>
        <v>17074.045034105649</v>
      </c>
      <c r="BA1253" s="246">
        <f>IFERROR(VLOOKUP(K1253,VOL_REC[],2,FALSE),0)</f>
        <v>1072354.9981737854</v>
      </c>
      <c r="BB1253" s="246">
        <f>IFERROR(VLOOKUP(L1253,VOL_REC[],2,FALSE),0)</f>
        <v>740113.98115702497</v>
      </c>
      <c r="BC1253" s="246">
        <f>IFERROR(VLOOKUP(M1253,VOL_REC[],2,FALSE),0)</f>
        <v>0</v>
      </c>
      <c r="BD1253" s="246">
        <f>IFERROR(VLOOKUP(N1253,VOL_REC[],2,FALSE),0)</f>
        <v>0</v>
      </c>
      <c r="BE1253" s="246">
        <f>IFERROR(VLOOKUP(O1253,VOL_REC[],2,FALSE),0)</f>
        <v>0</v>
      </c>
      <c r="BF1253" s="246">
        <f>IFERROR(VLOOKUP(P1253,VOL_REC[],2,FALSE),0)</f>
        <v>0</v>
      </c>
      <c r="BG1253" s="246">
        <f>IFERROR(VLOOKUP(Q1253,VOL_REC[],2,FALSE),0)</f>
        <v>0</v>
      </c>
      <c r="BH1253" s="1710">
        <f t="shared" si="76"/>
        <v>22788183098.379906</v>
      </c>
      <c r="BI1253" s="1710">
        <f t="shared" si="77"/>
        <v>21001964724.399551</v>
      </c>
      <c r="BJ1253" s="1711">
        <f t="shared" si="78"/>
        <v>17434687.574364915</v>
      </c>
      <c r="BK1253" s="1711">
        <f t="shared" si="79"/>
        <v>1.085050060669094</v>
      </c>
      <c r="BL1253">
        <f>BJ1253</f>
        <v>17434687.574364915</v>
      </c>
      <c r="BO1253">
        <f>BL1253</f>
        <v>17434687.574364915</v>
      </c>
    </row>
    <row r="1254" spans="3:67" x14ac:dyDescent="0.25">
      <c r="C1254" s="246" t="s">
        <v>2604</v>
      </c>
      <c r="D1254" s="246">
        <v>1</v>
      </c>
      <c r="E1254" s="246">
        <v>2</v>
      </c>
      <c r="F1254" s="246">
        <v>3</v>
      </c>
      <c r="G1254" s="246">
        <v>4</v>
      </c>
      <c r="H1254" s="246">
        <v>9</v>
      </c>
      <c r="I1254" s="246">
        <v>13</v>
      </c>
      <c r="J1254" s="246">
        <v>15</v>
      </c>
      <c r="K1254" s="246">
        <v>16</v>
      </c>
      <c r="L1254" s="246">
        <v>17</v>
      </c>
      <c r="M1254" s="246"/>
      <c r="N1254" s="246"/>
      <c r="O1254" s="246"/>
      <c r="P1254" s="246"/>
      <c r="Q1254" s="246"/>
      <c r="R1254" s="246">
        <f>IFERROR(VLOOKUP(D1254,PROGRAMAS[],2,FALSE),0)</f>
        <v>97037803.679377079</v>
      </c>
      <c r="S1254" s="246">
        <f>IFERROR(VLOOKUP(E1254,PROGRAMAS[],2,FALSE),0)</f>
        <v>640501509.6821388</v>
      </c>
      <c r="T1254" s="246">
        <f>IFERROR(VLOOKUP(F1254,PROGRAMAS[],2,FALSE),0)</f>
        <v>3062327798.1525245</v>
      </c>
      <c r="U1254" s="246">
        <f>IFERROR(VLOOKUP(G1254,PROGRAMAS[],2,FALSE),0)</f>
        <v>67697118.033011258</v>
      </c>
      <c r="V1254" s="246">
        <f>IFERROR(VLOOKUP(H1254,PROGRAMAS[],2,FALSE),0)</f>
        <v>6128579952.1618185</v>
      </c>
      <c r="W1254" s="246">
        <f>IFERROR(VLOOKUP(I1254,PROGRAMAS[],2,FALSE),0)</f>
        <v>3776538594.4604583</v>
      </c>
      <c r="X1254" s="246">
        <f>IFERROR(VLOOKUP(J1254,PROGRAMAS[],2,FALSE),0)</f>
        <v>122159672.96346797</v>
      </c>
      <c r="Y1254" s="246">
        <f>IFERROR(VLOOKUP(K1254,PROGRAMAS[],2,FALSE),0)</f>
        <v>7068496961.0436354</v>
      </c>
      <c r="Z1254" s="246">
        <f>IFERROR(VLOOKUP(L1254,PROGRAMAS[],2,FALSE),0)</f>
        <v>1892779498.5211046</v>
      </c>
      <c r="AA1254" s="246">
        <f>IFERROR(VLOOKUP(M1254,PROGRAMAS[],2,FALSE),0)</f>
        <v>0</v>
      </c>
      <c r="AB1254" s="246">
        <f>IFERROR(VLOOKUP(N1254,PROGRAMAS[],2,FALSE),0)</f>
        <v>0</v>
      </c>
      <c r="AC1254" s="246">
        <f>IFERROR(VLOOKUP(O1254,PROGRAMAS[],2,FALSE),0)</f>
        <v>0</v>
      </c>
      <c r="AD1254" s="246">
        <f>IFERROR(VLOOKUP(P1254,PROGRAMAS[],2,FALSE),0)</f>
        <v>0</v>
      </c>
      <c r="AE1254" s="246">
        <f>IFERROR(VLOOKUP(Q1254,PROGRAMAS[],2,FALSE),0)</f>
        <v>0</v>
      </c>
      <c r="AF1254" s="246">
        <f>IFERROR(VLOOKUP(D1254,PROGRAMAS[],3,FALSE),0)</f>
        <v>841888629.31080008</v>
      </c>
      <c r="AG1254" s="246">
        <f>IFERROR(VLOOKUP(E1254,PROGRAMAS[],3,FALSE),0)</f>
        <v>3848980803.1642323</v>
      </c>
      <c r="AH1254" s="246">
        <f>IFERROR(VLOOKUP(F1254,PROGRAMAS[],3,FALSE),0)</f>
        <v>3394901471.387517</v>
      </c>
      <c r="AI1254" s="246">
        <f>IFERROR(VLOOKUP(G1254,PROGRAMAS[],3,FALSE),0)</f>
        <v>125317226.95549992</v>
      </c>
      <c r="AJ1254" s="246">
        <f>IFERROR(VLOOKUP(H1254,PROGRAMAS[],3,FALSE),0)</f>
        <v>7011279577.519702</v>
      </c>
      <c r="AK1254" s="246">
        <f>IFERROR(VLOOKUP(I1254,PROGRAMAS[],3,FALSE),0)</f>
        <v>2392571243.5584412</v>
      </c>
      <c r="AL1254" s="246">
        <f>IFERROR(VLOOKUP(J1254,PROGRAMAS[],3,FALSE),0)</f>
        <v>118617452.52510804</v>
      </c>
      <c r="AM1254" s="246">
        <f>IFERROR(VLOOKUP(K1254,PROGRAMAS[],3,FALSE),0)</f>
        <v>2406564599.0319901</v>
      </c>
      <c r="AN1254" s="246">
        <f>IFERROR(VLOOKUP(L1254,PROGRAMAS[],3,FALSE),0)</f>
        <v>948595847.09039903</v>
      </c>
      <c r="AO1254" s="246">
        <f>IFERROR(VLOOKUP(M1254,PROGRAMAS[],3,FALSE),0)</f>
        <v>0</v>
      </c>
      <c r="AP1254" s="246">
        <f>IFERROR(VLOOKUP(N1254,PROGRAMAS[],3,FALSE),0)</f>
        <v>0</v>
      </c>
      <c r="AQ1254" s="246">
        <f>IFERROR(VLOOKUP(O1254,PROGRAMAS[],3,FALSE),0)</f>
        <v>0</v>
      </c>
      <c r="AR1254" s="246">
        <f>IFERROR(VLOOKUP(P1254,PROGRAMAS[],3,FALSE),0)</f>
        <v>0</v>
      </c>
      <c r="AS1254" s="246">
        <f>IFERROR(VLOOKUP(Q1254,PROGRAMAS[],3,FALSE),0)</f>
        <v>0</v>
      </c>
      <c r="AT1254" s="246">
        <f>IFERROR(VLOOKUP(D1254,VOL_REC[],2,FALSE),0)</f>
        <v>0</v>
      </c>
      <c r="AU1254" s="246">
        <f>IFERROR(VLOOKUP(E1254,VOL_REC[],2,FALSE),0)</f>
        <v>0</v>
      </c>
      <c r="AV1254" s="246">
        <f>IFERROR(VLOOKUP(F1254,VOL_REC[],2,FALSE),0)</f>
        <v>11089674.200000001</v>
      </c>
      <c r="AW1254" s="246">
        <f>IFERROR(VLOOKUP(G1254,VOL_REC[],2,FALSE),0)</f>
        <v>90439.55</v>
      </c>
      <c r="AX1254" s="246">
        <f>IFERROR(VLOOKUP(H1254,VOL_REC[],2,FALSE),0)</f>
        <v>3761786</v>
      </c>
      <c r="AY1254" s="246">
        <f>IFERROR(VLOOKUP(I1254,VOL_REC[],2,FALSE),0)</f>
        <v>663244.80000000016</v>
      </c>
      <c r="AZ1254" s="246">
        <f>IFERROR(VLOOKUP(J1254,VOL_REC[],2,FALSE),0)</f>
        <v>105072</v>
      </c>
      <c r="BA1254" s="246">
        <f>IFERROR(VLOOKUP(K1254,VOL_REC[],2,FALSE),0)</f>
        <v>1072354.9981737854</v>
      </c>
      <c r="BB1254" s="246">
        <f>IFERROR(VLOOKUP(L1254,VOL_REC[],2,FALSE),0)</f>
        <v>740113.98115702497</v>
      </c>
      <c r="BC1254" s="246">
        <f>IFERROR(VLOOKUP(M1254,VOL_REC[],2,FALSE),0)</f>
        <v>0</v>
      </c>
      <c r="BD1254" s="246">
        <f>IFERROR(VLOOKUP(N1254,VOL_REC[],2,FALSE),0)</f>
        <v>0</v>
      </c>
      <c r="BE1254" s="246">
        <f>IFERROR(VLOOKUP(O1254,VOL_REC[],2,FALSE),0)</f>
        <v>0</v>
      </c>
      <c r="BF1254" s="246">
        <f>IFERROR(VLOOKUP(P1254,VOL_REC[],2,FALSE),0)</f>
        <v>0</v>
      </c>
      <c r="BG1254" s="246">
        <f>IFERROR(VLOOKUP(Q1254,VOL_REC[],2,FALSE),0)</f>
        <v>0</v>
      </c>
      <c r="BH1254" s="1710">
        <f t="shared" si="76"/>
        <v>22856118908.697536</v>
      </c>
      <c r="BI1254" s="1710">
        <f t="shared" si="77"/>
        <v>21088716850.543694</v>
      </c>
      <c r="BJ1254" s="1711">
        <f t="shared" si="78"/>
        <v>17522685.529330812</v>
      </c>
      <c r="BK1254" s="1711">
        <f t="shared" si="79"/>
        <v>1.0838079467176438</v>
      </c>
      <c r="BL1254">
        <f>BJ1254</f>
        <v>17522685.529330812</v>
      </c>
      <c r="BO1254">
        <f>BL1254</f>
        <v>17522685.529330812</v>
      </c>
    </row>
    <row r="1255" spans="3:67" x14ac:dyDescent="0.25">
      <c r="C1255" s="246" t="s">
        <v>2605</v>
      </c>
      <c r="D1255" s="246">
        <v>1</v>
      </c>
      <c r="E1255" s="246">
        <v>2</v>
      </c>
      <c r="F1255" s="246">
        <v>3</v>
      </c>
      <c r="G1255" s="246">
        <v>4</v>
      </c>
      <c r="H1255" s="246">
        <v>9</v>
      </c>
      <c r="I1255" s="246">
        <v>14</v>
      </c>
      <c r="J1255" s="246">
        <v>15</v>
      </c>
      <c r="K1255" s="246">
        <v>16</v>
      </c>
      <c r="L1255" s="246">
        <v>17</v>
      </c>
      <c r="M1255" s="246"/>
      <c r="N1255" s="246"/>
      <c r="O1255" s="246"/>
      <c r="P1255" s="246"/>
      <c r="Q1255" s="246"/>
      <c r="R1255" s="246">
        <f>IFERROR(VLOOKUP(D1255,PROGRAMAS[],2,FALSE),0)</f>
        <v>97037803.679377079</v>
      </c>
      <c r="S1255" s="246">
        <f>IFERROR(VLOOKUP(E1255,PROGRAMAS[],2,FALSE),0)</f>
        <v>640501509.6821388</v>
      </c>
      <c r="T1255" s="246">
        <f>IFERROR(VLOOKUP(F1255,PROGRAMAS[],2,FALSE),0)</f>
        <v>3062327798.1525245</v>
      </c>
      <c r="U1255" s="246">
        <f>IFERROR(VLOOKUP(G1255,PROGRAMAS[],2,FALSE),0)</f>
        <v>67697118.033011258</v>
      </c>
      <c r="V1255" s="246">
        <f>IFERROR(VLOOKUP(H1255,PROGRAMAS[],2,FALSE),0)</f>
        <v>6128579952.1618185</v>
      </c>
      <c r="W1255" s="246">
        <f>IFERROR(VLOOKUP(I1255,PROGRAMAS[],2,FALSE),0)</f>
        <v>54223862.645839565</v>
      </c>
      <c r="X1255" s="246">
        <f>IFERROR(VLOOKUP(J1255,PROGRAMAS[],2,FALSE),0)</f>
        <v>122159672.96346797</v>
      </c>
      <c r="Y1255" s="246">
        <f>IFERROR(VLOOKUP(K1255,PROGRAMAS[],2,FALSE),0)</f>
        <v>7068496961.0436354</v>
      </c>
      <c r="Z1255" s="246">
        <f>IFERROR(VLOOKUP(L1255,PROGRAMAS[],2,FALSE),0)</f>
        <v>1892779498.5211046</v>
      </c>
      <c r="AA1255" s="246">
        <f>IFERROR(VLOOKUP(M1255,PROGRAMAS[],2,FALSE),0)</f>
        <v>0</v>
      </c>
      <c r="AB1255" s="246">
        <f>IFERROR(VLOOKUP(N1255,PROGRAMAS[],2,FALSE),0)</f>
        <v>0</v>
      </c>
      <c r="AC1255" s="246">
        <f>IFERROR(VLOOKUP(O1255,PROGRAMAS[],2,FALSE),0)</f>
        <v>0</v>
      </c>
      <c r="AD1255" s="246">
        <f>IFERROR(VLOOKUP(P1255,PROGRAMAS[],2,FALSE),0)</f>
        <v>0</v>
      </c>
      <c r="AE1255" s="246">
        <f>IFERROR(VLOOKUP(Q1255,PROGRAMAS[],2,FALSE),0)</f>
        <v>0</v>
      </c>
      <c r="AF1255" s="246">
        <f>IFERROR(VLOOKUP(D1255,PROGRAMAS[],3,FALSE),0)</f>
        <v>841888629.31080008</v>
      </c>
      <c r="AG1255" s="246">
        <f>IFERROR(VLOOKUP(E1255,PROGRAMAS[],3,FALSE),0)</f>
        <v>3848980803.1642323</v>
      </c>
      <c r="AH1255" s="246">
        <f>IFERROR(VLOOKUP(F1255,PROGRAMAS[],3,FALSE),0)</f>
        <v>3394901471.387517</v>
      </c>
      <c r="AI1255" s="246">
        <f>IFERROR(VLOOKUP(G1255,PROGRAMAS[],3,FALSE),0)</f>
        <v>125317226.95549992</v>
      </c>
      <c r="AJ1255" s="246">
        <f>IFERROR(VLOOKUP(H1255,PROGRAMAS[],3,FALSE),0)</f>
        <v>7011279577.519702</v>
      </c>
      <c r="AK1255" s="246">
        <f>IFERROR(VLOOKUP(I1255,PROGRAMAS[],3,FALSE),0)</f>
        <v>31865326.38096505</v>
      </c>
      <c r="AL1255" s="246">
        <f>IFERROR(VLOOKUP(J1255,PROGRAMAS[],3,FALSE),0)</f>
        <v>118617452.52510804</v>
      </c>
      <c r="AM1255" s="246">
        <f>IFERROR(VLOOKUP(K1255,PROGRAMAS[],3,FALSE),0)</f>
        <v>2406564599.0319901</v>
      </c>
      <c r="AN1255" s="246">
        <f>IFERROR(VLOOKUP(L1255,PROGRAMAS[],3,FALSE),0)</f>
        <v>948595847.09039903</v>
      </c>
      <c r="AO1255" s="246">
        <f>IFERROR(VLOOKUP(M1255,PROGRAMAS[],3,FALSE),0)</f>
        <v>0</v>
      </c>
      <c r="AP1255" s="246">
        <f>IFERROR(VLOOKUP(N1255,PROGRAMAS[],3,FALSE),0)</f>
        <v>0</v>
      </c>
      <c r="AQ1255" s="246">
        <f>IFERROR(VLOOKUP(O1255,PROGRAMAS[],3,FALSE),0)</f>
        <v>0</v>
      </c>
      <c r="AR1255" s="246">
        <f>IFERROR(VLOOKUP(P1255,PROGRAMAS[],3,FALSE),0)</f>
        <v>0</v>
      </c>
      <c r="AS1255" s="246">
        <f>IFERROR(VLOOKUP(Q1255,PROGRAMAS[],3,FALSE),0)</f>
        <v>0</v>
      </c>
      <c r="AT1255" s="246">
        <f>IFERROR(VLOOKUP(D1255,VOL_REC[],2,FALSE),0)</f>
        <v>0</v>
      </c>
      <c r="AU1255" s="246">
        <f>IFERROR(VLOOKUP(E1255,VOL_REC[],2,FALSE),0)</f>
        <v>0</v>
      </c>
      <c r="AV1255" s="246">
        <f>IFERROR(VLOOKUP(F1255,VOL_REC[],2,FALSE),0)</f>
        <v>11089674.200000001</v>
      </c>
      <c r="AW1255" s="246">
        <f>IFERROR(VLOOKUP(G1255,VOL_REC[],2,FALSE),0)</f>
        <v>90439.55</v>
      </c>
      <c r="AX1255" s="246">
        <f>IFERROR(VLOOKUP(H1255,VOL_REC[],2,FALSE),0)</f>
        <v>3761786</v>
      </c>
      <c r="AY1255" s="246">
        <f>IFERROR(VLOOKUP(I1255,VOL_REC[],2,FALSE),0)</f>
        <v>17074.045034105649</v>
      </c>
      <c r="AZ1255" s="246">
        <f>IFERROR(VLOOKUP(J1255,VOL_REC[],2,FALSE),0)</f>
        <v>105072</v>
      </c>
      <c r="BA1255" s="246">
        <f>IFERROR(VLOOKUP(K1255,VOL_REC[],2,FALSE),0)</f>
        <v>1072354.9981737854</v>
      </c>
      <c r="BB1255" s="246">
        <f>IFERROR(VLOOKUP(L1255,VOL_REC[],2,FALSE),0)</f>
        <v>740113.98115702497</v>
      </c>
      <c r="BC1255" s="246">
        <f>IFERROR(VLOOKUP(M1255,VOL_REC[],2,FALSE),0)</f>
        <v>0</v>
      </c>
      <c r="BD1255" s="246">
        <f>IFERROR(VLOOKUP(N1255,VOL_REC[],2,FALSE),0)</f>
        <v>0</v>
      </c>
      <c r="BE1255" s="246">
        <f>IFERROR(VLOOKUP(O1255,VOL_REC[],2,FALSE),0)</f>
        <v>0</v>
      </c>
      <c r="BF1255" s="246">
        <f>IFERROR(VLOOKUP(P1255,VOL_REC[],2,FALSE),0)</f>
        <v>0</v>
      </c>
      <c r="BG1255" s="246">
        <f>IFERROR(VLOOKUP(Q1255,VOL_REC[],2,FALSE),0)</f>
        <v>0</v>
      </c>
      <c r="BH1255" s="1710">
        <f t="shared" si="76"/>
        <v>19133804176.882915</v>
      </c>
      <c r="BI1255" s="1710">
        <f t="shared" si="77"/>
        <v>18728010933.366215</v>
      </c>
      <c r="BJ1255" s="1711">
        <f t="shared" si="78"/>
        <v>16876514.774364915</v>
      </c>
      <c r="BK1255" s="1711">
        <f t="shared" si="79"/>
        <v>1.0216677171409447</v>
      </c>
      <c r="BL1255">
        <f>BJ1255</f>
        <v>16876514.774364915</v>
      </c>
      <c r="BO1255">
        <f>BL1255</f>
        <v>16876514.774364915</v>
      </c>
    </row>
    <row r="1256" spans="3:67" x14ac:dyDescent="0.25">
      <c r="C1256" s="246" t="s">
        <v>2606</v>
      </c>
      <c r="D1256" s="246">
        <v>1</v>
      </c>
      <c r="E1256" s="246">
        <v>2</v>
      </c>
      <c r="F1256" s="246">
        <v>3</v>
      </c>
      <c r="G1256" s="246">
        <v>4</v>
      </c>
      <c r="H1256" s="246">
        <v>10</v>
      </c>
      <c r="I1256" s="246">
        <v>12</v>
      </c>
      <c r="J1256" s="246">
        <v>13</v>
      </c>
      <c r="K1256" s="246">
        <v>14</v>
      </c>
      <c r="L1256" s="246">
        <v>15</v>
      </c>
      <c r="M1256" s="246"/>
      <c r="N1256" s="246"/>
      <c r="O1256" s="246"/>
      <c r="P1256" s="246"/>
      <c r="Q1256" s="246"/>
      <c r="R1256" s="246">
        <f>IFERROR(VLOOKUP(D1256,PROGRAMAS[],2,FALSE),0)</f>
        <v>97037803.679377079</v>
      </c>
      <c r="S1256" s="246">
        <f>IFERROR(VLOOKUP(E1256,PROGRAMAS[],2,FALSE),0)</f>
        <v>640501509.6821388</v>
      </c>
      <c r="T1256" s="246">
        <f>IFERROR(VLOOKUP(F1256,PROGRAMAS[],2,FALSE),0)</f>
        <v>3062327798.1525245</v>
      </c>
      <c r="U1256" s="246">
        <f>IFERROR(VLOOKUP(G1256,PROGRAMAS[],2,FALSE),0)</f>
        <v>67697118.033011258</v>
      </c>
      <c r="V1256" s="246">
        <f>IFERROR(VLOOKUP(H1256,PROGRAMAS[],2,FALSE),0)</f>
        <v>4635315027.8751087</v>
      </c>
      <c r="W1256" s="246">
        <f>IFERROR(VLOOKUP(I1256,PROGRAMAS[],2,FALSE),0)</f>
        <v>764796700.79905891</v>
      </c>
      <c r="X1256" s="246">
        <f>IFERROR(VLOOKUP(J1256,PROGRAMAS[],2,FALSE),0)</f>
        <v>3776538594.4604583</v>
      </c>
      <c r="Y1256" s="246">
        <f>IFERROR(VLOOKUP(K1256,PROGRAMAS[],2,FALSE),0)</f>
        <v>54223862.645839565</v>
      </c>
      <c r="Z1256" s="246">
        <f>IFERROR(VLOOKUP(L1256,PROGRAMAS[],2,FALSE),0)</f>
        <v>122159672.96346797</v>
      </c>
      <c r="AA1256" s="246">
        <f>IFERROR(VLOOKUP(M1256,PROGRAMAS[],2,FALSE),0)</f>
        <v>0</v>
      </c>
      <c r="AB1256" s="246">
        <f>IFERROR(VLOOKUP(N1256,PROGRAMAS[],2,FALSE),0)</f>
        <v>0</v>
      </c>
      <c r="AC1256" s="246">
        <f>IFERROR(VLOOKUP(O1256,PROGRAMAS[],2,FALSE),0)</f>
        <v>0</v>
      </c>
      <c r="AD1256" s="246">
        <f>IFERROR(VLOOKUP(P1256,PROGRAMAS[],2,FALSE),0)</f>
        <v>0</v>
      </c>
      <c r="AE1256" s="246">
        <f>IFERROR(VLOOKUP(Q1256,PROGRAMAS[],2,FALSE),0)</f>
        <v>0</v>
      </c>
      <c r="AF1256" s="246">
        <f>IFERROR(VLOOKUP(D1256,PROGRAMAS[],3,FALSE),0)</f>
        <v>841888629.31080008</v>
      </c>
      <c r="AG1256" s="246">
        <f>IFERROR(VLOOKUP(E1256,PROGRAMAS[],3,FALSE),0)</f>
        <v>3848980803.1642323</v>
      </c>
      <c r="AH1256" s="246">
        <f>IFERROR(VLOOKUP(F1256,PROGRAMAS[],3,FALSE),0)</f>
        <v>3394901471.387517</v>
      </c>
      <c r="AI1256" s="246">
        <f>IFERROR(VLOOKUP(G1256,PROGRAMAS[],3,FALSE),0)</f>
        <v>125317226.95549992</v>
      </c>
      <c r="AJ1256" s="246">
        <f>IFERROR(VLOOKUP(H1256,PROGRAMAS[],3,FALSE),0)</f>
        <v>4099471734.9978786</v>
      </c>
      <c r="AK1256" s="246">
        <f>IFERROR(VLOOKUP(I1256,PROGRAMAS[],3,FALSE),0)</f>
        <v>675517840.109828</v>
      </c>
      <c r="AL1256" s="246">
        <f>IFERROR(VLOOKUP(J1256,PROGRAMAS[],3,FALSE),0)</f>
        <v>2392571243.5584412</v>
      </c>
      <c r="AM1256" s="246">
        <f>IFERROR(VLOOKUP(K1256,PROGRAMAS[],3,FALSE),0)</f>
        <v>31865326.38096505</v>
      </c>
      <c r="AN1256" s="246">
        <f>IFERROR(VLOOKUP(L1256,PROGRAMAS[],3,FALSE),0)</f>
        <v>118617452.52510804</v>
      </c>
      <c r="AO1256" s="246">
        <f>IFERROR(VLOOKUP(M1256,PROGRAMAS[],3,FALSE),0)</f>
        <v>0</v>
      </c>
      <c r="AP1256" s="246">
        <f>IFERROR(VLOOKUP(N1256,PROGRAMAS[],3,FALSE),0)</f>
        <v>0</v>
      </c>
      <c r="AQ1256" s="246">
        <f>IFERROR(VLOOKUP(O1256,PROGRAMAS[],3,FALSE),0)</f>
        <v>0</v>
      </c>
      <c r="AR1256" s="246">
        <f>IFERROR(VLOOKUP(P1256,PROGRAMAS[],3,FALSE),0)</f>
        <v>0</v>
      </c>
      <c r="AS1256" s="246">
        <f>IFERROR(VLOOKUP(Q1256,PROGRAMAS[],3,FALSE),0)</f>
        <v>0</v>
      </c>
      <c r="AT1256" s="246">
        <f>IFERROR(VLOOKUP(D1256,VOL_REC[],2,FALSE),0)</f>
        <v>0</v>
      </c>
      <c r="AU1256" s="246">
        <f>IFERROR(VLOOKUP(E1256,VOL_REC[],2,FALSE),0)</f>
        <v>0</v>
      </c>
      <c r="AV1256" s="246">
        <f>IFERROR(VLOOKUP(F1256,VOL_REC[],2,FALSE),0)</f>
        <v>11089674.200000001</v>
      </c>
      <c r="AW1256" s="246">
        <f>IFERROR(VLOOKUP(G1256,VOL_REC[],2,FALSE),0)</f>
        <v>90439.55</v>
      </c>
      <c r="AX1256" s="246">
        <f>IFERROR(VLOOKUP(H1256,VOL_REC[],2,FALSE),0)</f>
        <v>1812240</v>
      </c>
      <c r="AY1256" s="246">
        <f>IFERROR(VLOOKUP(I1256,VOL_REC[],2,FALSE),0)</f>
        <v>240696.79238099116</v>
      </c>
      <c r="AZ1256" s="246">
        <f>IFERROR(VLOOKUP(J1256,VOL_REC[],2,FALSE),0)</f>
        <v>663244.80000000016</v>
      </c>
      <c r="BA1256" s="246">
        <f>IFERROR(VLOOKUP(K1256,VOL_REC[],2,FALSE),0)</f>
        <v>17074.045034105649</v>
      </c>
      <c r="BB1256" s="246">
        <f>IFERROR(VLOOKUP(L1256,VOL_REC[],2,FALSE),0)</f>
        <v>105072</v>
      </c>
      <c r="BC1256" s="246">
        <f>IFERROR(VLOOKUP(M1256,VOL_REC[],2,FALSE),0)</f>
        <v>0</v>
      </c>
      <c r="BD1256" s="246">
        <f>IFERROR(VLOOKUP(N1256,VOL_REC[],2,FALSE),0)</f>
        <v>0</v>
      </c>
      <c r="BE1256" s="246">
        <f>IFERROR(VLOOKUP(O1256,VOL_REC[],2,FALSE),0)</f>
        <v>0</v>
      </c>
      <c r="BF1256" s="246">
        <f>IFERROR(VLOOKUP(P1256,VOL_REC[],2,FALSE),0)</f>
        <v>0</v>
      </c>
      <c r="BG1256" s="246">
        <f>IFERROR(VLOOKUP(Q1256,VOL_REC[],2,FALSE),0)</f>
        <v>0</v>
      </c>
      <c r="BH1256" s="1710">
        <f t="shared" si="76"/>
        <v>13220598088.290987</v>
      </c>
      <c r="BI1256" s="1710">
        <f t="shared" si="77"/>
        <v>15529131728.390268</v>
      </c>
      <c r="BJ1256" s="1711">
        <f t="shared" si="78"/>
        <v>14018441.387415098</v>
      </c>
      <c r="BK1256" s="1711">
        <f t="shared" si="79"/>
        <v>0.85134174398953466</v>
      </c>
    </row>
    <row r="1257" spans="3:67" x14ac:dyDescent="0.25">
      <c r="C1257" s="246" t="s">
        <v>2607</v>
      </c>
      <c r="D1257" s="246">
        <v>1</v>
      </c>
      <c r="E1257" s="246">
        <v>2</v>
      </c>
      <c r="F1257" s="246">
        <v>3</v>
      </c>
      <c r="G1257" s="246">
        <v>4</v>
      </c>
      <c r="H1257" s="246">
        <v>10</v>
      </c>
      <c r="I1257" s="246">
        <v>12</v>
      </c>
      <c r="J1257" s="246">
        <v>13</v>
      </c>
      <c r="K1257" s="246">
        <v>14</v>
      </c>
      <c r="L1257" s="246">
        <v>16</v>
      </c>
      <c r="M1257" s="246"/>
      <c r="N1257" s="246"/>
      <c r="O1257" s="246"/>
      <c r="P1257" s="246"/>
      <c r="Q1257" s="246"/>
      <c r="R1257" s="246">
        <f>IFERROR(VLOOKUP(D1257,PROGRAMAS[],2,FALSE),0)</f>
        <v>97037803.679377079</v>
      </c>
      <c r="S1257" s="246">
        <f>IFERROR(VLOOKUP(E1257,PROGRAMAS[],2,FALSE),0)</f>
        <v>640501509.6821388</v>
      </c>
      <c r="T1257" s="246">
        <f>IFERROR(VLOOKUP(F1257,PROGRAMAS[],2,FALSE),0)</f>
        <v>3062327798.1525245</v>
      </c>
      <c r="U1257" s="246">
        <f>IFERROR(VLOOKUP(G1257,PROGRAMAS[],2,FALSE),0)</f>
        <v>67697118.033011258</v>
      </c>
      <c r="V1257" s="246">
        <f>IFERROR(VLOOKUP(H1257,PROGRAMAS[],2,FALSE),0)</f>
        <v>4635315027.8751087</v>
      </c>
      <c r="W1257" s="246">
        <f>IFERROR(VLOOKUP(I1257,PROGRAMAS[],2,FALSE),0)</f>
        <v>764796700.79905891</v>
      </c>
      <c r="X1257" s="246">
        <f>IFERROR(VLOOKUP(J1257,PROGRAMAS[],2,FALSE),0)</f>
        <v>3776538594.4604583</v>
      </c>
      <c r="Y1257" s="246">
        <f>IFERROR(VLOOKUP(K1257,PROGRAMAS[],2,FALSE),0)</f>
        <v>54223862.645839565</v>
      </c>
      <c r="Z1257" s="246">
        <f>IFERROR(VLOOKUP(L1257,PROGRAMAS[],2,FALSE),0)</f>
        <v>7068496961.0436354</v>
      </c>
      <c r="AA1257" s="246">
        <f>IFERROR(VLOOKUP(M1257,PROGRAMAS[],2,FALSE),0)</f>
        <v>0</v>
      </c>
      <c r="AB1257" s="246">
        <f>IFERROR(VLOOKUP(N1257,PROGRAMAS[],2,FALSE),0)</f>
        <v>0</v>
      </c>
      <c r="AC1257" s="246">
        <f>IFERROR(VLOOKUP(O1257,PROGRAMAS[],2,FALSE),0)</f>
        <v>0</v>
      </c>
      <c r="AD1257" s="246">
        <f>IFERROR(VLOOKUP(P1257,PROGRAMAS[],2,FALSE),0)</f>
        <v>0</v>
      </c>
      <c r="AE1257" s="246">
        <f>IFERROR(VLOOKUP(Q1257,PROGRAMAS[],2,FALSE),0)</f>
        <v>0</v>
      </c>
      <c r="AF1257" s="246">
        <f>IFERROR(VLOOKUP(D1257,PROGRAMAS[],3,FALSE),0)</f>
        <v>841888629.31080008</v>
      </c>
      <c r="AG1257" s="246">
        <f>IFERROR(VLOOKUP(E1257,PROGRAMAS[],3,FALSE),0)</f>
        <v>3848980803.1642323</v>
      </c>
      <c r="AH1257" s="246">
        <f>IFERROR(VLOOKUP(F1257,PROGRAMAS[],3,FALSE),0)</f>
        <v>3394901471.387517</v>
      </c>
      <c r="AI1257" s="246">
        <f>IFERROR(VLOOKUP(G1257,PROGRAMAS[],3,FALSE),0)</f>
        <v>125317226.95549992</v>
      </c>
      <c r="AJ1257" s="246">
        <f>IFERROR(VLOOKUP(H1257,PROGRAMAS[],3,FALSE),0)</f>
        <v>4099471734.9978786</v>
      </c>
      <c r="AK1257" s="246">
        <f>IFERROR(VLOOKUP(I1257,PROGRAMAS[],3,FALSE),0)</f>
        <v>675517840.109828</v>
      </c>
      <c r="AL1257" s="246">
        <f>IFERROR(VLOOKUP(J1257,PROGRAMAS[],3,FALSE),0)</f>
        <v>2392571243.5584412</v>
      </c>
      <c r="AM1257" s="246">
        <f>IFERROR(VLOOKUP(K1257,PROGRAMAS[],3,FALSE),0)</f>
        <v>31865326.38096505</v>
      </c>
      <c r="AN1257" s="246">
        <f>IFERROR(VLOOKUP(L1257,PROGRAMAS[],3,FALSE),0)</f>
        <v>2406564599.0319901</v>
      </c>
      <c r="AO1257" s="246">
        <f>IFERROR(VLOOKUP(M1257,PROGRAMAS[],3,FALSE),0)</f>
        <v>0</v>
      </c>
      <c r="AP1257" s="246">
        <f>IFERROR(VLOOKUP(N1257,PROGRAMAS[],3,FALSE),0)</f>
        <v>0</v>
      </c>
      <c r="AQ1257" s="246">
        <f>IFERROR(VLOOKUP(O1257,PROGRAMAS[],3,FALSE),0)</f>
        <v>0</v>
      </c>
      <c r="AR1257" s="246">
        <f>IFERROR(VLOOKUP(P1257,PROGRAMAS[],3,FALSE),0)</f>
        <v>0</v>
      </c>
      <c r="AS1257" s="246">
        <f>IFERROR(VLOOKUP(Q1257,PROGRAMAS[],3,FALSE),0)</f>
        <v>0</v>
      </c>
      <c r="AT1257" s="246">
        <f>IFERROR(VLOOKUP(D1257,VOL_REC[],2,FALSE),0)</f>
        <v>0</v>
      </c>
      <c r="AU1257" s="246">
        <f>IFERROR(VLOOKUP(E1257,VOL_REC[],2,FALSE),0)</f>
        <v>0</v>
      </c>
      <c r="AV1257" s="246">
        <f>IFERROR(VLOOKUP(F1257,VOL_REC[],2,FALSE),0)</f>
        <v>11089674.200000001</v>
      </c>
      <c r="AW1257" s="246">
        <f>IFERROR(VLOOKUP(G1257,VOL_REC[],2,FALSE),0)</f>
        <v>90439.55</v>
      </c>
      <c r="AX1257" s="246">
        <f>IFERROR(VLOOKUP(H1257,VOL_REC[],2,FALSE),0)</f>
        <v>1812240</v>
      </c>
      <c r="AY1257" s="246">
        <f>IFERROR(VLOOKUP(I1257,VOL_REC[],2,FALSE),0)</f>
        <v>240696.79238099116</v>
      </c>
      <c r="AZ1257" s="246">
        <f>IFERROR(VLOOKUP(J1257,VOL_REC[],2,FALSE),0)</f>
        <v>663244.80000000016</v>
      </c>
      <c r="BA1257" s="246">
        <f>IFERROR(VLOOKUP(K1257,VOL_REC[],2,FALSE),0)</f>
        <v>17074.045034105649</v>
      </c>
      <c r="BB1257" s="246">
        <f>IFERROR(VLOOKUP(L1257,VOL_REC[],2,FALSE),0)</f>
        <v>1072354.9981737854</v>
      </c>
      <c r="BC1257" s="246">
        <f>IFERROR(VLOOKUP(M1257,VOL_REC[],2,FALSE),0)</f>
        <v>0</v>
      </c>
      <c r="BD1257" s="246">
        <f>IFERROR(VLOOKUP(N1257,VOL_REC[],2,FALSE),0)</f>
        <v>0</v>
      </c>
      <c r="BE1257" s="246">
        <f>IFERROR(VLOOKUP(O1257,VOL_REC[],2,FALSE),0)</f>
        <v>0</v>
      </c>
      <c r="BF1257" s="246">
        <f>IFERROR(VLOOKUP(P1257,VOL_REC[],2,FALSE),0)</f>
        <v>0</v>
      </c>
      <c r="BG1257" s="246">
        <f>IFERROR(VLOOKUP(Q1257,VOL_REC[],2,FALSE),0)</f>
        <v>0</v>
      </c>
      <c r="BH1257" s="1710">
        <f t="shared" si="76"/>
        <v>20166935376.371155</v>
      </c>
      <c r="BI1257" s="1710">
        <f t="shared" si="77"/>
        <v>17817078874.897148</v>
      </c>
      <c r="BJ1257" s="1711">
        <f t="shared" si="78"/>
        <v>14985724.385588884</v>
      </c>
      <c r="BK1257" s="1711">
        <f t="shared" si="79"/>
        <v>1.1318878654561477</v>
      </c>
      <c r="BL1257">
        <f>BJ1257</f>
        <v>14985724.385588884</v>
      </c>
      <c r="BO1257">
        <f>BL1257</f>
        <v>14985724.385588884</v>
      </c>
    </row>
    <row r="1258" spans="3:67" x14ac:dyDescent="0.25">
      <c r="C1258" s="246" t="s">
        <v>2608</v>
      </c>
      <c r="D1258" s="246">
        <v>1</v>
      </c>
      <c r="E1258" s="246">
        <v>2</v>
      </c>
      <c r="F1258" s="246">
        <v>3</v>
      </c>
      <c r="G1258" s="246">
        <v>4</v>
      </c>
      <c r="H1258" s="246">
        <v>10</v>
      </c>
      <c r="I1258" s="246">
        <v>12</v>
      </c>
      <c r="J1258" s="246">
        <v>13</v>
      </c>
      <c r="K1258" s="246">
        <v>14</v>
      </c>
      <c r="L1258" s="246">
        <v>17</v>
      </c>
      <c r="M1258" s="246"/>
      <c r="N1258" s="246"/>
      <c r="O1258" s="246"/>
      <c r="P1258" s="246"/>
      <c r="Q1258" s="246"/>
      <c r="R1258" s="246">
        <f>IFERROR(VLOOKUP(D1258,PROGRAMAS[],2,FALSE),0)</f>
        <v>97037803.679377079</v>
      </c>
      <c r="S1258" s="246">
        <f>IFERROR(VLOOKUP(E1258,PROGRAMAS[],2,FALSE),0)</f>
        <v>640501509.6821388</v>
      </c>
      <c r="T1258" s="246">
        <f>IFERROR(VLOOKUP(F1258,PROGRAMAS[],2,FALSE),0)</f>
        <v>3062327798.1525245</v>
      </c>
      <c r="U1258" s="246">
        <f>IFERROR(VLOOKUP(G1258,PROGRAMAS[],2,FALSE),0)</f>
        <v>67697118.033011258</v>
      </c>
      <c r="V1258" s="246">
        <f>IFERROR(VLOOKUP(H1258,PROGRAMAS[],2,FALSE),0)</f>
        <v>4635315027.8751087</v>
      </c>
      <c r="W1258" s="246">
        <f>IFERROR(VLOOKUP(I1258,PROGRAMAS[],2,FALSE),0)</f>
        <v>764796700.79905891</v>
      </c>
      <c r="X1258" s="246">
        <f>IFERROR(VLOOKUP(J1258,PROGRAMAS[],2,FALSE),0)</f>
        <v>3776538594.4604583</v>
      </c>
      <c r="Y1258" s="246">
        <f>IFERROR(VLOOKUP(K1258,PROGRAMAS[],2,FALSE),0)</f>
        <v>54223862.645839565</v>
      </c>
      <c r="Z1258" s="246">
        <f>IFERROR(VLOOKUP(L1258,PROGRAMAS[],2,FALSE),0)</f>
        <v>1892779498.5211046</v>
      </c>
      <c r="AA1258" s="246">
        <f>IFERROR(VLOOKUP(M1258,PROGRAMAS[],2,FALSE),0)</f>
        <v>0</v>
      </c>
      <c r="AB1258" s="246">
        <f>IFERROR(VLOOKUP(N1258,PROGRAMAS[],2,FALSE),0)</f>
        <v>0</v>
      </c>
      <c r="AC1258" s="246">
        <f>IFERROR(VLOOKUP(O1258,PROGRAMAS[],2,FALSE),0)</f>
        <v>0</v>
      </c>
      <c r="AD1258" s="246">
        <f>IFERROR(VLOOKUP(P1258,PROGRAMAS[],2,FALSE),0)</f>
        <v>0</v>
      </c>
      <c r="AE1258" s="246">
        <f>IFERROR(VLOOKUP(Q1258,PROGRAMAS[],2,FALSE),0)</f>
        <v>0</v>
      </c>
      <c r="AF1258" s="246">
        <f>IFERROR(VLOOKUP(D1258,PROGRAMAS[],3,FALSE),0)</f>
        <v>841888629.31080008</v>
      </c>
      <c r="AG1258" s="246">
        <f>IFERROR(VLOOKUP(E1258,PROGRAMAS[],3,FALSE),0)</f>
        <v>3848980803.1642323</v>
      </c>
      <c r="AH1258" s="246">
        <f>IFERROR(VLOOKUP(F1258,PROGRAMAS[],3,FALSE),0)</f>
        <v>3394901471.387517</v>
      </c>
      <c r="AI1258" s="246">
        <f>IFERROR(VLOOKUP(G1258,PROGRAMAS[],3,FALSE),0)</f>
        <v>125317226.95549992</v>
      </c>
      <c r="AJ1258" s="246">
        <f>IFERROR(VLOOKUP(H1258,PROGRAMAS[],3,FALSE),0)</f>
        <v>4099471734.9978786</v>
      </c>
      <c r="AK1258" s="246">
        <f>IFERROR(VLOOKUP(I1258,PROGRAMAS[],3,FALSE),0)</f>
        <v>675517840.109828</v>
      </c>
      <c r="AL1258" s="246">
        <f>IFERROR(VLOOKUP(J1258,PROGRAMAS[],3,FALSE),0)</f>
        <v>2392571243.5584412</v>
      </c>
      <c r="AM1258" s="246">
        <f>IFERROR(VLOOKUP(K1258,PROGRAMAS[],3,FALSE),0)</f>
        <v>31865326.38096505</v>
      </c>
      <c r="AN1258" s="246">
        <f>IFERROR(VLOOKUP(L1258,PROGRAMAS[],3,FALSE),0)</f>
        <v>948595847.09039903</v>
      </c>
      <c r="AO1258" s="246">
        <f>IFERROR(VLOOKUP(M1258,PROGRAMAS[],3,FALSE),0)</f>
        <v>0</v>
      </c>
      <c r="AP1258" s="246">
        <f>IFERROR(VLOOKUP(N1258,PROGRAMAS[],3,FALSE),0)</f>
        <v>0</v>
      </c>
      <c r="AQ1258" s="246">
        <f>IFERROR(VLOOKUP(O1258,PROGRAMAS[],3,FALSE),0)</f>
        <v>0</v>
      </c>
      <c r="AR1258" s="246">
        <f>IFERROR(VLOOKUP(P1258,PROGRAMAS[],3,FALSE),0)</f>
        <v>0</v>
      </c>
      <c r="AS1258" s="246">
        <f>IFERROR(VLOOKUP(Q1258,PROGRAMAS[],3,FALSE),0)</f>
        <v>0</v>
      </c>
      <c r="AT1258" s="246">
        <f>IFERROR(VLOOKUP(D1258,VOL_REC[],2,FALSE),0)</f>
        <v>0</v>
      </c>
      <c r="AU1258" s="246">
        <f>IFERROR(VLOOKUP(E1258,VOL_REC[],2,FALSE),0)</f>
        <v>0</v>
      </c>
      <c r="AV1258" s="246">
        <f>IFERROR(VLOOKUP(F1258,VOL_REC[],2,FALSE),0)</f>
        <v>11089674.200000001</v>
      </c>
      <c r="AW1258" s="246">
        <f>IFERROR(VLOOKUP(G1258,VOL_REC[],2,FALSE),0)</f>
        <v>90439.55</v>
      </c>
      <c r="AX1258" s="246">
        <f>IFERROR(VLOOKUP(H1258,VOL_REC[],2,FALSE),0)</f>
        <v>1812240</v>
      </c>
      <c r="AY1258" s="246">
        <f>IFERROR(VLOOKUP(I1258,VOL_REC[],2,FALSE),0)</f>
        <v>240696.79238099116</v>
      </c>
      <c r="AZ1258" s="246">
        <f>IFERROR(VLOOKUP(J1258,VOL_REC[],2,FALSE),0)</f>
        <v>663244.80000000016</v>
      </c>
      <c r="BA1258" s="246">
        <f>IFERROR(VLOOKUP(K1258,VOL_REC[],2,FALSE),0)</f>
        <v>17074.045034105649</v>
      </c>
      <c r="BB1258" s="246">
        <f>IFERROR(VLOOKUP(L1258,VOL_REC[],2,FALSE),0)</f>
        <v>740113.98115702497</v>
      </c>
      <c r="BC1258" s="246">
        <f>IFERROR(VLOOKUP(M1258,VOL_REC[],2,FALSE),0)</f>
        <v>0</v>
      </c>
      <c r="BD1258" s="246">
        <f>IFERROR(VLOOKUP(N1258,VOL_REC[],2,FALSE),0)</f>
        <v>0</v>
      </c>
      <c r="BE1258" s="246">
        <f>IFERROR(VLOOKUP(O1258,VOL_REC[],2,FALSE),0)</f>
        <v>0</v>
      </c>
      <c r="BF1258" s="246">
        <f>IFERROR(VLOOKUP(P1258,VOL_REC[],2,FALSE),0)</f>
        <v>0</v>
      </c>
      <c r="BG1258" s="246">
        <f>IFERROR(VLOOKUP(Q1258,VOL_REC[],2,FALSE),0)</f>
        <v>0</v>
      </c>
      <c r="BH1258" s="1710">
        <f t="shared" si="76"/>
        <v>14991217913.848623</v>
      </c>
      <c r="BI1258" s="1710">
        <f t="shared" si="77"/>
        <v>16359110122.955559</v>
      </c>
      <c r="BJ1258" s="1711">
        <f t="shared" si="78"/>
        <v>14653483.368572123</v>
      </c>
      <c r="BK1258" s="1711">
        <f t="shared" si="79"/>
        <v>0.91638345858510539</v>
      </c>
    </row>
    <row r="1259" spans="3:67" x14ac:dyDescent="0.25">
      <c r="C1259" s="246" t="s">
        <v>2609</v>
      </c>
      <c r="D1259" s="246">
        <v>1</v>
      </c>
      <c r="E1259" s="246">
        <v>2</v>
      </c>
      <c r="F1259" s="246">
        <v>3</v>
      </c>
      <c r="G1259" s="246">
        <v>4</v>
      </c>
      <c r="H1259" s="246">
        <v>10</v>
      </c>
      <c r="I1259" s="246">
        <v>12</v>
      </c>
      <c r="J1259" s="246">
        <v>13</v>
      </c>
      <c r="K1259" s="246">
        <v>15</v>
      </c>
      <c r="L1259" s="246">
        <v>16</v>
      </c>
      <c r="M1259" s="246"/>
      <c r="N1259" s="246"/>
      <c r="O1259" s="246"/>
      <c r="P1259" s="246"/>
      <c r="Q1259" s="246"/>
      <c r="R1259" s="246">
        <f>IFERROR(VLOOKUP(D1259,PROGRAMAS[],2,FALSE),0)</f>
        <v>97037803.679377079</v>
      </c>
      <c r="S1259" s="246">
        <f>IFERROR(VLOOKUP(E1259,PROGRAMAS[],2,FALSE),0)</f>
        <v>640501509.6821388</v>
      </c>
      <c r="T1259" s="246">
        <f>IFERROR(VLOOKUP(F1259,PROGRAMAS[],2,FALSE),0)</f>
        <v>3062327798.1525245</v>
      </c>
      <c r="U1259" s="246">
        <f>IFERROR(VLOOKUP(G1259,PROGRAMAS[],2,FALSE),0)</f>
        <v>67697118.033011258</v>
      </c>
      <c r="V1259" s="246">
        <f>IFERROR(VLOOKUP(H1259,PROGRAMAS[],2,FALSE),0)</f>
        <v>4635315027.8751087</v>
      </c>
      <c r="W1259" s="246">
        <f>IFERROR(VLOOKUP(I1259,PROGRAMAS[],2,FALSE),0)</f>
        <v>764796700.79905891</v>
      </c>
      <c r="X1259" s="246">
        <f>IFERROR(VLOOKUP(J1259,PROGRAMAS[],2,FALSE),0)</f>
        <v>3776538594.4604583</v>
      </c>
      <c r="Y1259" s="246">
        <f>IFERROR(VLOOKUP(K1259,PROGRAMAS[],2,FALSE),0)</f>
        <v>122159672.96346797</v>
      </c>
      <c r="Z1259" s="246">
        <f>IFERROR(VLOOKUP(L1259,PROGRAMAS[],2,FALSE),0)</f>
        <v>7068496961.0436354</v>
      </c>
      <c r="AA1259" s="246">
        <f>IFERROR(VLOOKUP(M1259,PROGRAMAS[],2,FALSE),0)</f>
        <v>0</v>
      </c>
      <c r="AB1259" s="246">
        <f>IFERROR(VLOOKUP(N1259,PROGRAMAS[],2,FALSE),0)</f>
        <v>0</v>
      </c>
      <c r="AC1259" s="246">
        <f>IFERROR(VLOOKUP(O1259,PROGRAMAS[],2,FALSE),0)</f>
        <v>0</v>
      </c>
      <c r="AD1259" s="246">
        <f>IFERROR(VLOOKUP(P1259,PROGRAMAS[],2,FALSE),0)</f>
        <v>0</v>
      </c>
      <c r="AE1259" s="246">
        <f>IFERROR(VLOOKUP(Q1259,PROGRAMAS[],2,FALSE),0)</f>
        <v>0</v>
      </c>
      <c r="AF1259" s="246">
        <f>IFERROR(VLOOKUP(D1259,PROGRAMAS[],3,FALSE),0)</f>
        <v>841888629.31080008</v>
      </c>
      <c r="AG1259" s="246">
        <f>IFERROR(VLOOKUP(E1259,PROGRAMAS[],3,FALSE),0)</f>
        <v>3848980803.1642323</v>
      </c>
      <c r="AH1259" s="246">
        <f>IFERROR(VLOOKUP(F1259,PROGRAMAS[],3,FALSE),0)</f>
        <v>3394901471.387517</v>
      </c>
      <c r="AI1259" s="246">
        <f>IFERROR(VLOOKUP(G1259,PROGRAMAS[],3,FALSE),0)</f>
        <v>125317226.95549992</v>
      </c>
      <c r="AJ1259" s="246">
        <f>IFERROR(VLOOKUP(H1259,PROGRAMAS[],3,FALSE),0)</f>
        <v>4099471734.9978786</v>
      </c>
      <c r="AK1259" s="246">
        <f>IFERROR(VLOOKUP(I1259,PROGRAMAS[],3,FALSE),0)</f>
        <v>675517840.109828</v>
      </c>
      <c r="AL1259" s="246">
        <f>IFERROR(VLOOKUP(J1259,PROGRAMAS[],3,FALSE),0)</f>
        <v>2392571243.5584412</v>
      </c>
      <c r="AM1259" s="246">
        <f>IFERROR(VLOOKUP(K1259,PROGRAMAS[],3,FALSE),0)</f>
        <v>118617452.52510804</v>
      </c>
      <c r="AN1259" s="246">
        <f>IFERROR(VLOOKUP(L1259,PROGRAMAS[],3,FALSE),0)</f>
        <v>2406564599.0319901</v>
      </c>
      <c r="AO1259" s="246">
        <f>IFERROR(VLOOKUP(M1259,PROGRAMAS[],3,FALSE),0)</f>
        <v>0</v>
      </c>
      <c r="AP1259" s="246">
        <f>IFERROR(VLOOKUP(N1259,PROGRAMAS[],3,FALSE),0)</f>
        <v>0</v>
      </c>
      <c r="AQ1259" s="246">
        <f>IFERROR(VLOOKUP(O1259,PROGRAMAS[],3,FALSE),0)</f>
        <v>0</v>
      </c>
      <c r="AR1259" s="246">
        <f>IFERROR(VLOOKUP(P1259,PROGRAMAS[],3,FALSE),0)</f>
        <v>0</v>
      </c>
      <c r="AS1259" s="246">
        <f>IFERROR(VLOOKUP(Q1259,PROGRAMAS[],3,FALSE),0)</f>
        <v>0</v>
      </c>
      <c r="AT1259" s="246">
        <f>IFERROR(VLOOKUP(D1259,VOL_REC[],2,FALSE),0)</f>
        <v>0</v>
      </c>
      <c r="AU1259" s="246">
        <f>IFERROR(VLOOKUP(E1259,VOL_REC[],2,FALSE),0)</f>
        <v>0</v>
      </c>
      <c r="AV1259" s="246">
        <f>IFERROR(VLOOKUP(F1259,VOL_REC[],2,FALSE),0)</f>
        <v>11089674.200000001</v>
      </c>
      <c r="AW1259" s="246">
        <f>IFERROR(VLOOKUP(G1259,VOL_REC[],2,FALSE),0)</f>
        <v>90439.55</v>
      </c>
      <c r="AX1259" s="246">
        <f>IFERROR(VLOOKUP(H1259,VOL_REC[],2,FALSE),0)</f>
        <v>1812240</v>
      </c>
      <c r="AY1259" s="246">
        <f>IFERROR(VLOOKUP(I1259,VOL_REC[],2,FALSE),0)</f>
        <v>240696.79238099116</v>
      </c>
      <c r="AZ1259" s="246">
        <f>IFERROR(VLOOKUP(J1259,VOL_REC[],2,FALSE),0)</f>
        <v>663244.80000000016</v>
      </c>
      <c r="BA1259" s="246">
        <f>IFERROR(VLOOKUP(K1259,VOL_REC[],2,FALSE),0)</f>
        <v>105072</v>
      </c>
      <c r="BB1259" s="246">
        <f>IFERROR(VLOOKUP(L1259,VOL_REC[],2,FALSE),0)</f>
        <v>1072354.9981737854</v>
      </c>
      <c r="BC1259" s="246">
        <f>IFERROR(VLOOKUP(M1259,VOL_REC[],2,FALSE),0)</f>
        <v>0</v>
      </c>
      <c r="BD1259" s="246">
        <f>IFERROR(VLOOKUP(N1259,VOL_REC[],2,FALSE),0)</f>
        <v>0</v>
      </c>
      <c r="BE1259" s="246">
        <f>IFERROR(VLOOKUP(O1259,VOL_REC[],2,FALSE),0)</f>
        <v>0</v>
      </c>
      <c r="BF1259" s="246">
        <f>IFERROR(VLOOKUP(P1259,VOL_REC[],2,FALSE),0)</f>
        <v>0</v>
      </c>
      <c r="BG1259" s="246">
        <f>IFERROR(VLOOKUP(Q1259,VOL_REC[],2,FALSE),0)</f>
        <v>0</v>
      </c>
      <c r="BH1259" s="1710">
        <f t="shared" si="76"/>
        <v>20234871186.688782</v>
      </c>
      <c r="BI1259" s="1710">
        <f t="shared" si="77"/>
        <v>17903831001.041294</v>
      </c>
      <c r="BJ1259" s="1711">
        <f t="shared" si="78"/>
        <v>15073722.340554778</v>
      </c>
      <c r="BK1259" s="1711">
        <f t="shared" si="79"/>
        <v>1.1301978434398712</v>
      </c>
      <c r="BL1259">
        <f>BJ1259</f>
        <v>15073722.340554778</v>
      </c>
      <c r="BO1259">
        <f>BL1259</f>
        <v>15073722.340554778</v>
      </c>
    </row>
    <row r="1260" spans="3:67" x14ac:dyDescent="0.25">
      <c r="C1260" s="246" t="s">
        <v>2610</v>
      </c>
      <c r="D1260" s="246">
        <v>1</v>
      </c>
      <c r="E1260" s="246">
        <v>2</v>
      </c>
      <c r="F1260" s="246">
        <v>3</v>
      </c>
      <c r="G1260" s="246">
        <v>4</v>
      </c>
      <c r="H1260" s="246">
        <v>10</v>
      </c>
      <c r="I1260" s="246">
        <v>12</v>
      </c>
      <c r="J1260" s="246">
        <v>13</v>
      </c>
      <c r="K1260" s="246">
        <v>15</v>
      </c>
      <c r="L1260" s="246">
        <v>17</v>
      </c>
      <c r="M1260" s="246"/>
      <c r="N1260" s="246"/>
      <c r="O1260" s="246"/>
      <c r="P1260" s="246"/>
      <c r="Q1260" s="246"/>
      <c r="R1260" s="246">
        <f>IFERROR(VLOOKUP(D1260,PROGRAMAS[],2,FALSE),0)</f>
        <v>97037803.679377079</v>
      </c>
      <c r="S1260" s="246">
        <f>IFERROR(VLOOKUP(E1260,PROGRAMAS[],2,FALSE),0)</f>
        <v>640501509.6821388</v>
      </c>
      <c r="T1260" s="246">
        <f>IFERROR(VLOOKUP(F1260,PROGRAMAS[],2,FALSE),0)</f>
        <v>3062327798.1525245</v>
      </c>
      <c r="U1260" s="246">
        <f>IFERROR(VLOOKUP(G1260,PROGRAMAS[],2,FALSE),0)</f>
        <v>67697118.033011258</v>
      </c>
      <c r="V1260" s="246">
        <f>IFERROR(VLOOKUP(H1260,PROGRAMAS[],2,FALSE),0)</f>
        <v>4635315027.8751087</v>
      </c>
      <c r="W1260" s="246">
        <f>IFERROR(VLOOKUP(I1260,PROGRAMAS[],2,FALSE),0)</f>
        <v>764796700.79905891</v>
      </c>
      <c r="X1260" s="246">
        <f>IFERROR(VLOOKUP(J1260,PROGRAMAS[],2,FALSE),0)</f>
        <v>3776538594.4604583</v>
      </c>
      <c r="Y1260" s="246">
        <f>IFERROR(VLOOKUP(K1260,PROGRAMAS[],2,FALSE),0)</f>
        <v>122159672.96346797</v>
      </c>
      <c r="Z1260" s="246">
        <f>IFERROR(VLOOKUP(L1260,PROGRAMAS[],2,FALSE),0)</f>
        <v>1892779498.5211046</v>
      </c>
      <c r="AA1260" s="246">
        <f>IFERROR(VLOOKUP(M1260,PROGRAMAS[],2,FALSE),0)</f>
        <v>0</v>
      </c>
      <c r="AB1260" s="246">
        <f>IFERROR(VLOOKUP(N1260,PROGRAMAS[],2,FALSE),0)</f>
        <v>0</v>
      </c>
      <c r="AC1260" s="246">
        <f>IFERROR(VLOOKUP(O1260,PROGRAMAS[],2,FALSE),0)</f>
        <v>0</v>
      </c>
      <c r="AD1260" s="246">
        <f>IFERROR(VLOOKUP(P1260,PROGRAMAS[],2,FALSE),0)</f>
        <v>0</v>
      </c>
      <c r="AE1260" s="246">
        <f>IFERROR(VLOOKUP(Q1260,PROGRAMAS[],2,FALSE),0)</f>
        <v>0</v>
      </c>
      <c r="AF1260" s="246">
        <f>IFERROR(VLOOKUP(D1260,PROGRAMAS[],3,FALSE),0)</f>
        <v>841888629.31080008</v>
      </c>
      <c r="AG1260" s="246">
        <f>IFERROR(VLOOKUP(E1260,PROGRAMAS[],3,FALSE),0)</f>
        <v>3848980803.1642323</v>
      </c>
      <c r="AH1260" s="246">
        <f>IFERROR(VLOOKUP(F1260,PROGRAMAS[],3,FALSE),0)</f>
        <v>3394901471.387517</v>
      </c>
      <c r="AI1260" s="246">
        <f>IFERROR(VLOOKUP(G1260,PROGRAMAS[],3,FALSE),0)</f>
        <v>125317226.95549992</v>
      </c>
      <c r="AJ1260" s="246">
        <f>IFERROR(VLOOKUP(H1260,PROGRAMAS[],3,FALSE),0)</f>
        <v>4099471734.9978786</v>
      </c>
      <c r="AK1260" s="246">
        <f>IFERROR(VLOOKUP(I1260,PROGRAMAS[],3,FALSE),0)</f>
        <v>675517840.109828</v>
      </c>
      <c r="AL1260" s="246">
        <f>IFERROR(VLOOKUP(J1260,PROGRAMAS[],3,FALSE),0)</f>
        <v>2392571243.5584412</v>
      </c>
      <c r="AM1260" s="246">
        <f>IFERROR(VLOOKUP(K1260,PROGRAMAS[],3,FALSE),0)</f>
        <v>118617452.52510804</v>
      </c>
      <c r="AN1260" s="246">
        <f>IFERROR(VLOOKUP(L1260,PROGRAMAS[],3,FALSE),0)</f>
        <v>948595847.09039903</v>
      </c>
      <c r="AO1260" s="246">
        <f>IFERROR(VLOOKUP(M1260,PROGRAMAS[],3,FALSE),0)</f>
        <v>0</v>
      </c>
      <c r="AP1260" s="246">
        <f>IFERROR(VLOOKUP(N1260,PROGRAMAS[],3,FALSE),0)</f>
        <v>0</v>
      </c>
      <c r="AQ1260" s="246">
        <f>IFERROR(VLOOKUP(O1260,PROGRAMAS[],3,FALSE),0)</f>
        <v>0</v>
      </c>
      <c r="AR1260" s="246">
        <f>IFERROR(VLOOKUP(P1260,PROGRAMAS[],3,FALSE),0)</f>
        <v>0</v>
      </c>
      <c r="AS1260" s="246">
        <f>IFERROR(VLOOKUP(Q1260,PROGRAMAS[],3,FALSE),0)</f>
        <v>0</v>
      </c>
      <c r="AT1260" s="246">
        <f>IFERROR(VLOOKUP(D1260,VOL_REC[],2,FALSE),0)</f>
        <v>0</v>
      </c>
      <c r="AU1260" s="246">
        <f>IFERROR(VLOOKUP(E1260,VOL_REC[],2,FALSE),0)</f>
        <v>0</v>
      </c>
      <c r="AV1260" s="246">
        <f>IFERROR(VLOOKUP(F1260,VOL_REC[],2,FALSE),0)</f>
        <v>11089674.200000001</v>
      </c>
      <c r="AW1260" s="246">
        <f>IFERROR(VLOOKUP(G1260,VOL_REC[],2,FALSE),0)</f>
        <v>90439.55</v>
      </c>
      <c r="AX1260" s="246">
        <f>IFERROR(VLOOKUP(H1260,VOL_REC[],2,FALSE),0)</f>
        <v>1812240</v>
      </c>
      <c r="AY1260" s="246">
        <f>IFERROR(VLOOKUP(I1260,VOL_REC[],2,FALSE),0)</f>
        <v>240696.79238099116</v>
      </c>
      <c r="AZ1260" s="246">
        <f>IFERROR(VLOOKUP(J1260,VOL_REC[],2,FALSE),0)</f>
        <v>663244.80000000016</v>
      </c>
      <c r="BA1260" s="246">
        <f>IFERROR(VLOOKUP(K1260,VOL_REC[],2,FALSE),0)</f>
        <v>105072</v>
      </c>
      <c r="BB1260" s="246">
        <f>IFERROR(VLOOKUP(L1260,VOL_REC[],2,FALSE),0)</f>
        <v>740113.98115702497</v>
      </c>
      <c r="BC1260" s="246">
        <f>IFERROR(VLOOKUP(M1260,VOL_REC[],2,FALSE),0)</f>
        <v>0</v>
      </c>
      <c r="BD1260" s="246">
        <f>IFERROR(VLOOKUP(N1260,VOL_REC[],2,FALSE),0)</f>
        <v>0</v>
      </c>
      <c r="BE1260" s="246">
        <f>IFERROR(VLOOKUP(O1260,VOL_REC[],2,FALSE),0)</f>
        <v>0</v>
      </c>
      <c r="BF1260" s="246">
        <f>IFERROR(VLOOKUP(P1260,VOL_REC[],2,FALSE),0)</f>
        <v>0</v>
      </c>
      <c r="BG1260" s="246">
        <f>IFERROR(VLOOKUP(Q1260,VOL_REC[],2,FALSE),0)</f>
        <v>0</v>
      </c>
      <c r="BH1260" s="1710">
        <f t="shared" si="76"/>
        <v>15059153724.166252</v>
      </c>
      <c r="BI1260" s="1710">
        <f t="shared" si="77"/>
        <v>16445862249.099703</v>
      </c>
      <c r="BJ1260" s="1711">
        <f t="shared" si="78"/>
        <v>14741481.323538018</v>
      </c>
      <c r="BK1260" s="1711">
        <f t="shared" si="79"/>
        <v>0.91568040009520546</v>
      </c>
    </row>
    <row r="1261" spans="3:67" x14ac:dyDescent="0.25">
      <c r="C1261" s="246" t="s">
        <v>2611</v>
      </c>
      <c r="D1261" s="246">
        <v>1</v>
      </c>
      <c r="E1261" s="246">
        <v>2</v>
      </c>
      <c r="F1261" s="246">
        <v>3</v>
      </c>
      <c r="G1261" s="246">
        <v>4</v>
      </c>
      <c r="H1261" s="246">
        <v>10</v>
      </c>
      <c r="I1261" s="246">
        <v>12</v>
      </c>
      <c r="J1261" s="246">
        <v>13</v>
      </c>
      <c r="K1261" s="246">
        <v>16</v>
      </c>
      <c r="L1261" s="246">
        <v>17</v>
      </c>
      <c r="M1261" s="246"/>
      <c r="N1261" s="246"/>
      <c r="O1261" s="246"/>
      <c r="P1261" s="246"/>
      <c r="Q1261" s="246"/>
      <c r="R1261" s="246">
        <f>IFERROR(VLOOKUP(D1261,PROGRAMAS[],2,FALSE),0)</f>
        <v>97037803.679377079</v>
      </c>
      <c r="S1261" s="246">
        <f>IFERROR(VLOOKUP(E1261,PROGRAMAS[],2,FALSE),0)</f>
        <v>640501509.6821388</v>
      </c>
      <c r="T1261" s="246">
        <f>IFERROR(VLOOKUP(F1261,PROGRAMAS[],2,FALSE),0)</f>
        <v>3062327798.1525245</v>
      </c>
      <c r="U1261" s="246">
        <f>IFERROR(VLOOKUP(G1261,PROGRAMAS[],2,FALSE),0)</f>
        <v>67697118.033011258</v>
      </c>
      <c r="V1261" s="246">
        <f>IFERROR(VLOOKUP(H1261,PROGRAMAS[],2,FALSE),0)</f>
        <v>4635315027.8751087</v>
      </c>
      <c r="W1261" s="246">
        <f>IFERROR(VLOOKUP(I1261,PROGRAMAS[],2,FALSE),0)</f>
        <v>764796700.79905891</v>
      </c>
      <c r="X1261" s="246">
        <f>IFERROR(VLOOKUP(J1261,PROGRAMAS[],2,FALSE),0)</f>
        <v>3776538594.4604583</v>
      </c>
      <c r="Y1261" s="246">
        <f>IFERROR(VLOOKUP(K1261,PROGRAMAS[],2,FALSE),0)</f>
        <v>7068496961.0436354</v>
      </c>
      <c r="Z1261" s="246">
        <f>IFERROR(VLOOKUP(L1261,PROGRAMAS[],2,FALSE),0)</f>
        <v>1892779498.5211046</v>
      </c>
      <c r="AA1261" s="246">
        <f>IFERROR(VLOOKUP(M1261,PROGRAMAS[],2,FALSE),0)</f>
        <v>0</v>
      </c>
      <c r="AB1261" s="246">
        <f>IFERROR(VLOOKUP(N1261,PROGRAMAS[],2,FALSE),0)</f>
        <v>0</v>
      </c>
      <c r="AC1261" s="246">
        <f>IFERROR(VLOOKUP(O1261,PROGRAMAS[],2,FALSE),0)</f>
        <v>0</v>
      </c>
      <c r="AD1261" s="246">
        <f>IFERROR(VLOOKUP(P1261,PROGRAMAS[],2,FALSE),0)</f>
        <v>0</v>
      </c>
      <c r="AE1261" s="246">
        <f>IFERROR(VLOOKUP(Q1261,PROGRAMAS[],2,FALSE),0)</f>
        <v>0</v>
      </c>
      <c r="AF1261" s="246">
        <f>IFERROR(VLOOKUP(D1261,PROGRAMAS[],3,FALSE),0)</f>
        <v>841888629.31080008</v>
      </c>
      <c r="AG1261" s="246">
        <f>IFERROR(VLOOKUP(E1261,PROGRAMAS[],3,FALSE),0)</f>
        <v>3848980803.1642323</v>
      </c>
      <c r="AH1261" s="246">
        <f>IFERROR(VLOOKUP(F1261,PROGRAMAS[],3,FALSE),0)</f>
        <v>3394901471.387517</v>
      </c>
      <c r="AI1261" s="246">
        <f>IFERROR(VLOOKUP(G1261,PROGRAMAS[],3,FALSE),0)</f>
        <v>125317226.95549992</v>
      </c>
      <c r="AJ1261" s="246">
        <f>IFERROR(VLOOKUP(H1261,PROGRAMAS[],3,FALSE),0)</f>
        <v>4099471734.9978786</v>
      </c>
      <c r="AK1261" s="246">
        <f>IFERROR(VLOOKUP(I1261,PROGRAMAS[],3,FALSE),0)</f>
        <v>675517840.109828</v>
      </c>
      <c r="AL1261" s="246">
        <f>IFERROR(VLOOKUP(J1261,PROGRAMAS[],3,FALSE),0)</f>
        <v>2392571243.5584412</v>
      </c>
      <c r="AM1261" s="246">
        <f>IFERROR(VLOOKUP(K1261,PROGRAMAS[],3,FALSE),0)</f>
        <v>2406564599.0319901</v>
      </c>
      <c r="AN1261" s="246">
        <f>IFERROR(VLOOKUP(L1261,PROGRAMAS[],3,FALSE),0)</f>
        <v>948595847.09039903</v>
      </c>
      <c r="AO1261" s="246">
        <f>IFERROR(VLOOKUP(M1261,PROGRAMAS[],3,FALSE),0)</f>
        <v>0</v>
      </c>
      <c r="AP1261" s="246">
        <f>IFERROR(VLOOKUP(N1261,PROGRAMAS[],3,FALSE),0)</f>
        <v>0</v>
      </c>
      <c r="AQ1261" s="246">
        <f>IFERROR(VLOOKUP(O1261,PROGRAMAS[],3,FALSE),0)</f>
        <v>0</v>
      </c>
      <c r="AR1261" s="246">
        <f>IFERROR(VLOOKUP(P1261,PROGRAMAS[],3,FALSE),0)</f>
        <v>0</v>
      </c>
      <c r="AS1261" s="246">
        <f>IFERROR(VLOOKUP(Q1261,PROGRAMAS[],3,FALSE),0)</f>
        <v>0</v>
      </c>
      <c r="AT1261" s="246">
        <f>IFERROR(VLOOKUP(D1261,VOL_REC[],2,FALSE),0)</f>
        <v>0</v>
      </c>
      <c r="AU1261" s="246">
        <f>IFERROR(VLOOKUP(E1261,VOL_REC[],2,FALSE),0)</f>
        <v>0</v>
      </c>
      <c r="AV1261" s="246">
        <f>IFERROR(VLOOKUP(F1261,VOL_REC[],2,FALSE),0)</f>
        <v>11089674.200000001</v>
      </c>
      <c r="AW1261" s="246">
        <f>IFERROR(VLOOKUP(G1261,VOL_REC[],2,FALSE),0)</f>
        <v>90439.55</v>
      </c>
      <c r="AX1261" s="246">
        <f>IFERROR(VLOOKUP(H1261,VOL_REC[],2,FALSE),0)</f>
        <v>1812240</v>
      </c>
      <c r="AY1261" s="246">
        <f>IFERROR(VLOOKUP(I1261,VOL_REC[],2,FALSE),0)</f>
        <v>240696.79238099116</v>
      </c>
      <c r="AZ1261" s="246">
        <f>IFERROR(VLOOKUP(J1261,VOL_REC[],2,FALSE),0)</f>
        <v>663244.80000000016</v>
      </c>
      <c r="BA1261" s="246">
        <f>IFERROR(VLOOKUP(K1261,VOL_REC[],2,FALSE),0)</f>
        <v>1072354.9981737854</v>
      </c>
      <c r="BB1261" s="246">
        <f>IFERROR(VLOOKUP(L1261,VOL_REC[],2,FALSE),0)</f>
        <v>740113.98115702497</v>
      </c>
      <c r="BC1261" s="246">
        <f>IFERROR(VLOOKUP(M1261,VOL_REC[],2,FALSE),0)</f>
        <v>0</v>
      </c>
      <c r="BD1261" s="246">
        <f>IFERROR(VLOOKUP(N1261,VOL_REC[],2,FALSE),0)</f>
        <v>0</v>
      </c>
      <c r="BE1261" s="246">
        <f>IFERROR(VLOOKUP(O1261,VOL_REC[],2,FALSE),0)</f>
        <v>0</v>
      </c>
      <c r="BF1261" s="246">
        <f>IFERROR(VLOOKUP(P1261,VOL_REC[],2,FALSE),0)</f>
        <v>0</v>
      </c>
      <c r="BG1261" s="246">
        <f>IFERROR(VLOOKUP(Q1261,VOL_REC[],2,FALSE),0)</f>
        <v>0</v>
      </c>
      <c r="BH1261" s="1710">
        <f t="shared" si="76"/>
        <v>22005491012.246418</v>
      </c>
      <c r="BI1261" s="1710">
        <f t="shared" si="77"/>
        <v>18733809395.606586</v>
      </c>
      <c r="BJ1261" s="1711">
        <f t="shared" si="78"/>
        <v>15708764.321711803</v>
      </c>
      <c r="BK1261" s="1711">
        <f t="shared" si="79"/>
        <v>1.1746404880903241</v>
      </c>
      <c r="BL1261">
        <f>BJ1261</f>
        <v>15708764.321711803</v>
      </c>
      <c r="BO1261">
        <f>BL1261</f>
        <v>15708764.321711803</v>
      </c>
    </row>
    <row r="1262" spans="3:67" x14ac:dyDescent="0.25">
      <c r="C1262" s="246" t="s">
        <v>2612</v>
      </c>
      <c r="D1262" s="246">
        <v>1</v>
      </c>
      <c r="E1262" s="246">
        <v>2</v>
      </c>
      <c r="F1262" s="246">
        <v>3</v>
      </c>
      <c r="G1262" s="246">
        <v>4</v>
      </c>
      <c r="H1262" s="246">
        <v>10</v>
      </c>
      <c r="I1262" s="246">
        <v>12</v>
      </c>
      <c r="J1262" s="246">
        <v>14</v>
      </c>
      <c r="K1262" s="246">
        <v>15</v>
      </c>
      <c r="L1262" s="246">
        <v>16</v>
      </c>
      <c r="M1262" s="246"/>
      <c r="N1262" s="246"/>
      <c r="O1262" s="246"/>
      <c r="P1262" s="246"/>
      <c r="Q1262" s="246"/>
      <c r="R1262" s="246">
        <f>IFERROR(VLOOKUP(D1262,PROGRAMAS[],2,FALSE),0)</f>
        <v>97037803.679377079</v>
      </c>
      <c r="S1262" s="246">
        <f>IFERROR(VLOOKUP(E1262,PROGRAMAS[],2,FALSE),0)</f>
        <v>640501509.6821388</v>
      </c>
      <c r="T1262" s="246">
        <f>IFERROR(VLOOKUP(F1262,PROGRAMAS[],2,FALSE),0)</f>
        <v>3062327798.1525245</v>
      </c>
      <c r="U1262" s="246">
        <f>IFERROR(VLOOKUP(G1262,PROGRAMAS[],2,FALSE),0)</f>
        <v>67697118.033011258</v>
      </c>
      <c r="V1262" s="246">
        <f>IFERROR(VLOOKUP(H1262,PROGRAMAS[],2,FALSE),0)</f>
        <v>4635315027.8751087</v>
      </c>
      <c r="W1262" s="246">
        <f>IFERROR(VLOOKUP(I1262,PROGRAMAS[],2,FALSE),0)</f>
        <v>764796700.79905891</v>
      </c>
      <c r="X1262" s="246">
        <f>IFERROR(VLOOKUP(J1262,PROGRAMAS[],2,FALSE),0)</f>
        <v>54223862.645839565</v>
      </c>
      <c r="Y1262" s="246">
        <f>IFERROR(VLOOKUP(K1262,PROGRAMAS[],2,FALSE),0)</f>
        <v>122159672.96346797</v>
      </c>
      <c r="Z1262" s="246">
        <f>IFERROR(VLOOKUP(L1262,PROGRAMAS[],2,FALSE),0)</f>
        <v>7068496961.0436354</v>
      </c>
      <c r="AA1262" s="246">
        <f>IFERROR(VLOOKUP(M1262,PROGRAMAS[],2,FALSE),0)</f>
        <v>0</v>
      </c>
      <c r="AB1262" s="246">
        <f>IFERROR(VLOOKUP(N1262,PROGRAMAS[],2,FALSE),0)</f>
        <v>0</v>
      </c>
      <c r="AC1262" s="246">
        <f>IFERROR(VLOOKUP(O1262,PROGRAMAS[],2,FALSE),0)</f>
        <v>0</v>
      </c>
      <c r="AD1262" s="246">
        <f>IFERROR(VLOOKUP(P1262,PROGRAMAS[],2,FALSE),0)</f>
        <v>0</v>
      </c>
      <c r="AE1262" s="246">
        <f>IFERROR(VLOOKUP(Q1262,PROGRAMAS[],2,FALSE),0)</f>
        <v>0</v>
      </c>
      <c r="AF1262" s="246">
        <f>IFERROR(VLOOKUP(D1262,PROGRAMAS[],3,FALSE),0)</f>
        <v>841888629.31080008</v>
      </c>
      <c r="AG1262" s="246">
        <f>IFERROR(VLOOKUP(E1262,PROGRAMAS[],3,FALSE),0)</f>
        <v>3848980803.1642323</v>
      </c>
      <c r="AH1262" s="246">
        <f>IFERROR(VLOOKUP(F1262,PROGRAMAS[],3,FALSE),0)</f>
        <v>3394901471.387517</v>
      </c>
      <c r="AI1262" s="246">
        <f>IFERROR(VLOOKUP(G1262,PROGRAMAS[],3,FALSE),0)</f>
        <v>125317226.95549992</v>
      </c>
      <c r="AJ1262" s="246">
        <f>IFERROR(VLOOKUP(H1262,PROGRAMAS[],3,FALSE),0)</f>
        <v>4099471734.9978786</v>
      </c>
      <c r="AK1262" s="246">
        <f>IFERROR(VLOOKUP(I1262,PROGRAMAS[],3,FALSE),0)</f>
        <v>675517840.109828</v>
      </c>
      <c r="AL1262" s="246">
        <f>IFERROR(VLOOKUP(J1262,PROGRAMAS[],3,FALSE),0)</f>
        <v>31865326.38096505</v>
      </c>
      <c r="AM1262" s="246">
        <f>IFERROR(VLOOKUP(K1262,PROGRAMAS[],3,FALSE),0)</f>
        <v>118617452.52510804</v>
      </c>
      <c r="AN1262" s="246">
        <f>IFERROR(VLOOKUP(L1262,PROGRAMAS[],3,FALSE),0)</f>
        <v>2406564599.0319901</v>
      </c>
      <c r="AO1262" s="246">
        <f>IFERROR(VLOOKUP(M1262,PROGRAMAS[],3,FALSE),0)</f>
        <v>0</v>
      </c>
      <c r="AP1262" s="246">
        <f>IFERROR(VLOOKUP(N1262,PROGRAMAS[],3,FALSE),0)</f>
        <v>0</v>
      </c>
      <c r="AQ1262" s="246">
        <f>IFERROR(VLOOKUP(O1262,PROGRAMAS[],3,FALSE),0)</f>
        <v>0</v>
      </c>
      <c r="AR1262" s="246">
        <f>IFERROR(VLOOKUP(P1262,PROGRAMAS[],3,FALSE),0)</f>
        <v>0</v>
      </c>
      <c r="AS1262" s="246">
        <f>IFERROR(VLOOKUP(Q1262,PROGRAMAS[],3,FALSE),0)</f>
        <v>0</v>
      </c>
      <c r="AT1262" s="246">
        <f>IFERROR(VLOOKUP(D1262,VOL_REC[],2,FALSE),0)</f>
        <v>0</v>
      </c>
      <c r="AU1262" s="246">
        <f>IFERROR(VLOOKUP(E1262,VOL_REC[],2,FALSE),0)</f>
        <v>0</v>
      </c>
      <c r="AV1262" s="246">
        <f>IFERROR(VLOOKUP(F1262,VOL_REC[],2,FALSE),0)</f>
        <v>11089674.200000001</v>
      </c>
      <c r="AW1262" s="246">
        <f>IFERROR(VLOOKUP(G1262,VOL_REC[],2,FALSE),0)</f>
        <v>90439.55</v>
      </c>
      <c r="AX1262" s="246">
        <f>IFERROR(VLOOKUP(H1262,VOL_REC[],2,FALSE),0)</f>
        <v>1812240</v>
      </c>
      <c r="AY1262" s="246">
        <f>IFERROR(VLOOKUP(I1262,VOL_REC[],2,FALSE),0)</f>
        <v>240696.79238099116</v>
      </c>
      <c r="AZ1262" s="246">
        <f>IFERROR(VLOOKUP(J1262,VOL_REC[],2,FALSE),0)</f>
        <v>17074.045034105649</v>
      </c>
      <c r="BA1262" s="246">
        <f>IFERROR(VLOOKUP(K1262,VOL_REC[],2,FALSE),0)</f>
        <v>105072</v>
      </c>
      <c r="BB1262" s="246">
        <f>IFERROR(VLOOKUP(L1262,VOL_REC[],2,FALSE),0)</f>
        <v>1072354.9981737854</v>
      </c>
      <c r="BC1262" s="246">
        <f>IFERROR(VLOOKUP(M1262,VOL_REC[],2,FALSE),0)</f>
        <v>0</v>
      </c>
      <c r="BD1262" s="246">
        <f>IFERROR(VLOOKUP(N1262,VOL_REC[],2,FALSE),0)</f>
        <v>0</v>
      </c>
      <c r="BE1262" s="246">
        <f>IFERROR(VLOOKUP(O1262,VOL_REC[],2,FALSE),0)</f>
        <v>0</v>
      </c>
      <c r="BF1262" s="246">
        <f>IFERROR(VLOOKUP(P1262,VOL_REC[],2,FALSE),0)</f>
        <v>0</v>
      </c>
      <c r="BG1262" s="246">
        <f>IFERROR(VLOOKUP(Q1262,VOL_REC[],2,FALSE),0)</f>
        <v>0</v>
      </c>
      <c r="BH1262" s="1710">
        <f t="shared" si="76"/>
        <v>16512556454.874165</v>
      </c>
      <c r="BI1262" s="1710">
        <f t="shared" si="77"/>
        <v>15543125083.863817</v>
      </c>
      <c r="BJ1262" s="1711">
        <f t="shared" si="78"/>
        <v>14427551.585588884</v>
      </c>
      <c r="BK1262" s="1711">
        <f t="shared" si="79"/>
        <v>1.0623704284550066</v>
      </c>
      <c r="BL1262">
        <f>BJ1262</f>
        <v>14427551.585588884</v>
      </c>
      <c r="BO1262">
        <f>BL1262</f>
        <v>14427551.585588884</v>
      </c>
    </row>
    <row r="1263" spans="3:67" x14ac:dyDescent="0.25">
      <c r="C1263" s="246" t="s">
        <v>2613</v>
      </c>
      <c r="D1263" s="246">
        <v>1</v>
      </c>
      <c r="E1263" s="246">
        <v>2</v>
      </c>
      <c r="F1263" s="246">
        <v>3</v>
      </c>
      <c r="G1263" s="246">
        <v>4</v>
      </c>
      <c r="H1263" s="246">
        <v>10</v>
      </c>
      <c r="I1263" s="246">
        <v>12</v>
      </c>
      <c r="J1263" s="246">
        <v>14</v>
      </c>
      <c r="K1263" s="246">
        <v>15</v>
      </c>
      <c r="L1263" s="246">
        <v>17</v>
      </c>
      <c r="M1263" s="246"/>
      <c r="N1263" s="246"/>
      <c r="O1263" s="246"/>
      <c r="P1263" s="246"/>
      <c r="Q1263" s="246"/>
      <c r="R1263" s="246">
        <f>IFERROR(VLOOKUP(D1263,PROGRAMAS[],2,FALSE),0)</f>
        <v>97037803.679377079</v>
      </c>
      <c r="S1263" s="246">
        <f>IFERROR(VLOOKUP(E1263,PROGRAMAS[],2,FALSE),0)</f>
        <v>640501509.6821388</v>
      </c>
      <c r="T1263" s="246">
        <f>IFERROR(VLOOKUP(F1263,PROGRAMAS[],2,FALSE),0)</f>
        <v>3062327798.1525245</v>
      </c>
      <c r="U1263" s="246">
        <f>IFERROR(VLOOKUP(G1263,PROGRAMAS[],2,FALSE),0)</f>
        <v>67697118.033011258</v>
      </c>
      <c r="V1263" s="246">
        <f>IFERROR(VLOOKUP(H1263,PROGRAMAS[],2,FALSE),0)</f>
        <v>4635315027.8751087</v>
      </c>
      <c r="W1263" s="246">
        <f>IFERROR(VLOOKUP(I1263,PROGRAMAS[],2,FALSE),0)</f>
        <v>764796700.79905891</v>
      </c>
      <c r="X1263" s="246">
        <f>IFERROR(VLOOKUP(J1263,PROGRAMAS[],2,FALSE),0)</f>
        <v>54223862.645839565</v>
      </c>
      <c r="Y1263" s="246">
        <f>IFERROR(VLOOKUP(K1263,PROGRAMAS[],2,FALSE),0)</f>
        <v>122159672.96346797</v>
      </c>
      <c r="Z1263" s="246">
        <f>IFERROR(VLOOKUP(L1263,PROGRAMAS[],2,FALSE),0)</f>
        <v>1892779498.5211046</v>
      </c>
      <c r="AA1263" s="246">
        <f>IFERROR(VLOOKUP(M1263,PROGRAMAS[],2,FALSE),0)</f>
        <v>0</v>
      </c>
      <c r="AB1263" s="246">
        <f>IFERROR(VLOOKUP(N1263,PROGRAMAS[],2,FALSE),0)</f>
        <v>0</v>
      </c>
      <c r="AC1263" s="246">
        <f>IFERROR(VLOOKUP(O1263,PROGRAMAS[],2,FALSE),0)</f>
        <v>0</v>
      </c>
      <c r="AD1263" s="246">
        <f>IFERROR(VLOOKUP(P1263,PROGRAMAS[],2,FALSE),0)</f>
        <v>0</v>
      </c>
      <c r="AE1263" s="246">
        <f>IFERROR(VLOOKUP(Q1263,PROGRAMAS[],2,FALSE),0)</f>
        <v>0</v>
      </c>
      <c r="AF1263" s="246">
        <f>IFERROR(VLOOKUP(D1263,PROGRAMAS[],3,FALSE),0)</f>
        <v>841888629.31080008</v>
      </c>
      <c r="AG1263" s="246">
        <f>IFERROR(VLOOKUP(E1263,PROGRAMAS[],3,FALSE),0)</f>
        <v>3848980803.1642323</v>
      </c>
      <c r="AH1263" s="246">
        <f>IFERROR(VLOOKUP(F1263,PROGRAMAS[],3,FALSE),0)</f>
        <v>3394901471.387517</v>
      </c>
      <c r="AI1263" s="246">
        <f>IFERROR(VLOOKUP(G1263,PROGRAMAS[],3,FALSE),0)</f>
        <v>125317226.95549992</v>
      </c>
      <c r="AJ1263" s="246">
        <f>IFERROR(VLOOKUP(H1263,PROGRAMAS[],3,FALSE),0)</f>
        <v>4099471734.9978786</v>
      </c>
      <c r="AK1263" s="246">
        <f>IFERROR(VLOOKUP(I1263,PROGRAMAS[],3,FALSE),0)</f>
        <v>675517840.109828</v>
      </c>
      <c r="AL1263" s="246">
        <f>IFERROR(VLOOKUP(J1263,PROGRAMAS[],3,FALSE),0)</f>
        <v>31865326.38096505</v>
      </c>
      <c r="AM1263" s="246">
        <f>IFERROR(VLOOKUP(K1263,PROGRAMAS[],3,FALSE),0)</f>
        <v>118617452.52510804</v>
      </c>
      <c r="AN1263" s="246">
        <f>IFERROR(VLOOKUP(L1263,PROGRAMAS[],3,FALSE),0)</f>
        <v>948595847.09039903</v>
      </c>
      <c r="AO1263" s="246">
        <f>IFERROR(VLOOKUP(M1263,PROGRAMAS[],3,FALSE),0)</f>
        <v>0</v>
      </c>
      <c r="AP1263" s="246">
        <f>IFERROR(VLOOKUP(N1263,PROGRAMAS[],3,FALSE),0)</f>
        <v>0</v>
      </c>
      <c r="AQ1263" s="246">
        <f>IFERROR(VLOOKUP(O1263,PROGRAMAS[],3,FALSE),0)</f>
        <v>0</v>
      </c>
      <c r="AR1263" s="246">
        <f>IFERROR(VLOOKUP(P1263,PROGRAMAS[],3,FALSE),0)</f>
        <v>0</v>
      </c>
      <c r="AS1263" s="246">
        <f>IFERROR(VLOOKUP(Q1263,PROGRAMAS[],3,FALSE),0)</f>
        <v>0</v>
      </c>
      <c r="AT1263" s="246">
        <f>IFERROR(VLOOKUP(D1263,VOL_REC[],2,FALSE),0)</f>
        <v>0</v>
      </c>
      <c r="AU1263" s="246">
        <f>IFERROR(VLOOKUP(E1263,VOL_REC[],2,FALSE),0)</f>
        <v>0</v>
      </c>
      <c r="AV1263" s="246">
        <f>IFERROR(VLOOKUP(F1263,VOL_REC[],2,FALSE),0)</f>
        <v>11089674.200000001</v>
      </c>
      <c r="AW1263" s="246">
        <f>IFERROR(VLOOKUP(G1263,VOL_REC[],2,FALSE),0)</f>
        <v>90439.55</v>
      </c>
      <c r="AX1263" s="246">
        <f>IFERROR(VLOOKUP(H1263,VOL_REC[],2,FALSE),0)</f>
        <v>1812240</v>
      </c>
      <c r="AY1263" s="246">
        <f>IFERROR(VLOOKUP(I1263,VOL_REC[],2,FALSE),0)</f>
        <v>240696.79238099116</v>
      </c>
      <c r="AZ1263" s="246">
        <f>IFERROR(VLOOKUP(J1263,VOL_REC[],2,FALSE),0)</f>
        <v>17074.045034105649</v>
      </c>
      <c r="BA1263" s="246">
        <f>IFERROR(VLOOKUP(K1263,VOL_REC[],2,FALSE),0)</f>
        <v>105072</v>
      </c>
      <c r="BB1263" s="246">
        <f>IFERROR(VLOOKUP(L1263,VOL_REC[],2,FALSE),0)</f>
        <v>740113.98115702497</v>
      </c>
      <c r="BC1263" s="246">
        <f>IFERROR(VLOOKUP(M1263,VOL_REC[],2,FALSE),0)</f>
        <v>0</v>
      </c>
      <c r="BD1263" s="246">
        <f>IFERROR(VLOOKUP(N1263,VOL_REC[],2,FALSE),0)</f>
        <v>0</v>
      </c>
      <c r="BE1263" s="246">
        <f>IFERROR(VLOOKUP(O1263,VOL_REC[],2,FALSE),0)</f>
        <v>0</v>
      </c>
      <c r="BF1263" s="246">
        <f>IFERROR(VLOOKUP(P1263,VOL_REC[],2,FALSE),0)</f>
        <v>0</v>
      </c>
      <c r="BG1263" s="246">
        <f>IFERROR(VLOOKUP(Q1263,VOL_REC[],2,FALSE),0)</f>
        <v>0</v>
      </c>
      <c r="BH1263" s="1710">
        <f t="shared" si="76"/>
        <v>11336838992.351633</v>
      </c>
      <c r="BI1263" s="1710">
        <f t="shared" si="77"/>
        <v>14085156331.922226</v>
      </c>
      <c r="BJ1263" s="1711">
        <f t="shared" si="78"/>
        <v>14095310.568572123</v>
      </c>
      <c r="BK1263" s="1711">
        <f t="shared" si="79"/>
        <v>0.80487846390871221</v>
      </c>
    </row>
    <row r="1264" spans="3:67" x14ac:dyDescent="0.25">
      <c r="C1264" s="246" t="s">
        <v>2614</v>
      </c>
      <c r="D1264" s="246">
        <v>1</v>
      </c>
      <c r="E1264" s="246">
        <v>2</v>
      </c>
      <c r="F1264" s="246">
        <v>3</v>
      </c>
      <c r="G1264" s="246">
        <v>4</v>
      </c>
      <c r="H1264" s="246">
        <v>10</v>
      </c>
      <c r="I1264" s="246">
        <v>12</v>
      </c>
      <c r="J1264" s="246">
        <v>14</v>
      </c>
      <c r="K1264" s="246">
        <v>16</v>
      </c>
      <c r="L1264" s="246">
        <v>17</v>
      </c>
      <c r="M1264" s="246"/>
      <c r="N1264" s="246"/>
      <c r="O1264" s="246"/>
      <c r="P1264" s="246"/>
      <c r="Q1264" s="246"/>
      <c r="R1264" s="246">
        <f>IFERROR(VLOOKUP(D1264,PROGRAMAS[],2,FALSE),0)</f>
        <v>97037803.679377079</v>
      </c>
      <c r="S1264" s="246">
        <f>IFERROR(VLOOKUP(E1264,PROGRAMAS[],2,FALSE),0)</f>
        <v>640501509.6821388</v>
      </c>
      <c r="T1264" s="246">
        <f>IFERROR(VLOOKUP(F1264,PROGRAMAS[],2,FALSE),0)</f>
        <v>3062327798.1525245</v>
      </c>
      <c r="U1264" s="246">
        <f>IFERROR(VLOOKUP(G1264,PROGRAMAS[],2,FALSE),0)</f>
        <v>67697118.033011258</v>
      </c>
      <c r="V1264" s="246">
        <f>IFERROR(VLOOKUP(H1264,PROGRAMAS[],2,FALSE),0)</f>
        <v>4635315027.8751087</v>
      </c>
      <c r="W1264" s="246">
        <f>IFERROR(VLOOKUP(I1264,PROGRAMAS[],2,FALSE),0)</f>
        <v>764796700.79905891</v>
      </c>
      <c r="X1264" s="246">
        <f>IFERROR(VLOOKUP(J1264,PROGRAMAS[],2,FALSE),0)</f>
        <v>54223862.645839565</v>
      </c>
      <c r="Y1264" s="246">
        <f>IFERROR(VLOOKUP(K1264,PROGRAMAS[],2,FALSE),0)</f>
        <v>7068496961.0436354</v>
      </c>
      <c r="Z1264" s="246">
        <f>IFERROR(VLOOKUP(L1264,PROGRAMAS[],2,FALSE),0)</f>
        <v>1892779498.5211046</v>
      </c>
      <c r="AA1264" s="246">
        <f>IFERROR(VLOOKUP(M1264,PROGRAMAS[],2,FALSE),0)</f>
        <v>0</v>
      </c>
      <c r="AB1264" s="246">
        <f>IFERROR(VLOOKUP(N1264,PROGRAMAS[],2,FALSE),0)</f>
        <v>0</v>
      </c>
      <c r="AC1264" s="246">
        <f>IFERROR(VLOOKUP(O1264,PROGRAMAS[],2,FALSE),0)</f>
        <v>0</v>
      </c>
      <c r="AD1264" s="246">
        <f>IFERROR(VLOOKUP(P1264,PROGRAMAS[],2,FALSE),0)</f>
        <v>0</v>
      </c>
      <c r="AE1264" s="246">
        <f>IFERROR(VLOOKUP(Q1264,PROGRAMAS[],2,FALSE),0)</f>
        <v>0</v>
      </c>
      <c r="AF1264" s="246">
        <f>IFERROR(VLOOKUP(D1264,PROGRAMAS[],3,FALSE),0)</f>
        <v>841888629.31080008</v>
      </c>
      <c r="AG1264" s="246">
        <f>IFERROR(VLOOKUP(E1264,PROGRAMAS[],3,FALSE),0)</f>
        <v>3848980803.1642323</v>
      </c>
      <c r="AH1264" s="246">
        <f>IFERROR(VLOOKUP(F1264,PROGRAMAS[],3,FALSE),0)</f>
        <v>3394901471.387517</v>
      </c>
      <c r="AI1264" s="246">
        <f>IFERROR(VLOOKUP(G1264,PROGRAMAS[],3,FALSE),0)</f>
        <v>125317226.95549992</v>
      </c>
      <c r="AJ1264" s="246">
        <f>IFERROR(VLOOKUP(H1264,PROGRAMAS[],3,FALSE),0)</f>
        <v>4099471734.9978786</v>
      </c>
      <c r="AK1264" s="246">
        <f>IFERROR(VLOOKUP(I1264,PROGRAMAS[],3,FALSE),0)</f>
        <v>675517840.109828</v>
      </c>
      <c r="AL1264" s="246">
        <f>IFERROR(VLOOKUP(J1264,PROGRAMAS[],3,FALSE),0)</f>
        <v>31865326.38096505</v>
      </c>
      <c r="AM1264" s="246">
        <f>IFERROR(VLOOKUP(K1264,PROGRAMAS[],3,FALSE),0)</f>
        <v>2406564599.0319901</v>
      </c>
      <c r="AN1264" s="246">
        <f>IFERROR(VLOOKUP(L1264,PROGRAMAS[],3,FALSE),0)</f>
        <v>948595847.09039903</v>
      </c>
      <c r="AO1264" s="246">
        <f>IFERROR(VLOOKUP(M1264,PROGRAMAS[],3,FALSE),0)</f>
        <v>0</v>
      </c>
      <c r="AP1264" s="246">
        <f>IFERROR(VLOOKUP(N1264,PROGRAMAS[],3,FALSE),0)</f>
        <v>0</v>
      </c>
      <c r="AQ1264" s="246">
        <f>IFERROR(VLOOKUP(O1264,PROGRAMAS[],3,FALSE),0)</f>
        <v>0</v>
      </c>
      <c r="AR1264" s="246">
        <f>IFERROR(VLOOKUP(P1264,PROGRAMAS[],3,FALSE),0)</f>
        <v>0</v>
      </c>
      <c r="AS1264" s="246">
        <f>IFERROR(VLOOKUP(Q1264,PROGRAMAS[],3,FALSE),0)</f>
        <v>0</v>
      </c>
      <c r="AT1264" s="246">
        <f>IFERROR(VLOOKUP(D1264,VOL_REC[],2,FALSE),0)</f>
        <v>0</v>
      </c>
      <c r="AU1264" s="246">
        <f>IFERROR(VLOOKUP(E1264,VOL_REC[],2,FALSE),0)</f>
        <v>0</v>
      </c>
      <c r="AV1264" s="246">
        <f>IFERROR(VLOOKUP(F1264,VOL_REC[],2,FALSE),0)</f>
        <v>11089674.200000001</v>
      </c>
      <c r="AW1264" s="246">
        <f>IFERROR(VLOOKUP(G1264,VOL_REC[],2,FALSE),0)</f>
        <v>90439.55</v>
      </c>
      <c r="AX1264" s="246">
        <f>IFERROR(VLOOKUP(H1264,VOL_REC[],2,FALSE),0)</f>
        <v>1812240</v>
      </c>
      <c r="AY1264" s="246">
        <f>IFERROR(VLOOKUP(I1264,VOL_REC[],2,FALSE),0)</f>
        <v>240696.79238099116</v>
      </c>
      <c r="AZ1264" s="246">
        <f>IFERROR(VLOOKUP(J1264,VOL_REC[],2,FALSE),0)</f>
        <v>17074.045034105649</v>
      </c>
      <c r="BA1264" s="246">
        <f>IFERROR(VLOOKUP(K1264,VOL_REC[],2,FALSE),0)</f>
        <v>1072354.9981737854</v>
      </c>
      <c r="BB1264" s="246">
        <f>IFERROR(VLOOKUP(L1264,VOL_REC[],2,FALSE),0)</f>
        <v>740113.98115702497</v>
      </c>
      <c r="BC1264" s="246">
        <f>IFERROR(VLOOKUP(M1264,VOL_REC[],2,FALSE),0)</f>
        <v>0</v>
      </c>
      <c r="BD1264" s="246">
        <f>IFERROR(VLOOKUP(N1264,VOL_REC[],2,FALSE),0)</f>
        <v>0</v>
      </c>
      <c r="BE1264" s="246">
        <f>IFERROR(VLOOKUP(O1264,VOL_REC[],2,FALSE),0)</f>
        <v>0</v>
      </c>
      <c r="BF1264" s="246">
        <f>IFERROR(VLOOKUP(P1264,VOL_REC[],2,FALSE),0)</f>
        <v>0</v>
      </c>
      <c r="BG1264" s="246">
        <f>IFERROR(VLOOKUP(Q1264,VOL_REC[],2,FALSE),0)</f>
        <v>0</v>
      </c>
      <c r="BH1264" s="1710">
        <f t="shared" si="76"/>
        <v>18283176280.431797</v>
      </c>
      <c r="BI1264" s="1710">
        <f t="shared" si="77"/>
        <v>16373103478.429108</v>
      </c>
      <c r="BJ1264" s="1711">
        <f t="shared" si="78"/>
        <v>15062593.566745909</v>
      </c>
      <c r="BK1264" s="1711">
        <f t="shared" si="79"/>
        <v>1.1166591785435871</v>
      </c>
      <c r="BL1264">
        <f>BJ1264</f>
        <v>15062593.566745909</v>
      </c>
      <c r="BO1264">
        <f>BL1264</f>
        <v>15062593.566745909</v>
      </c>
    </row>
    <row r="1265" spans="3:67" x14ac:dyDescent="0.25">
      <c r="C1265" s="246" t="s">
        <v>2615</v>
      </c>
      <c r="D1265" s="246">
        <v>1</v>
      </c>
      <c r="E1265" s="246">
        <v>2</v>
      </c>
      <c r="F1265" s="246">
        <v>3</v>
      </c>
      <c r="G1265" s="246">
        <v>4</v>
      </c>
      <c r="H1265" s="246">
        <v>10</v>
      </c>
      <c r="I1265" s="246">
        <v>12</v>
      </c>
      <c r="J1265" s="246">
        <v>15</v>
      </c>
      <c r="K1265" s="246">
        <v>16</v>
      </c>
      <c r="L1265" s="246">
        <v>17</v>
      </c>
      <c r="M1265" s="246"/>
      <c r="N1265" s="246"/>
      <c r="O1265" s="246"/>
      <c r="P1265" s="246"/>
      <c r="Q1265" s="246"/>
      <c r="R1265" s="246">
        <f>IFERROR(VLOOKUP(D1265,PROGRAMAS[],2,FALSE),0)</f>
        <v>97037803.679377079</v>
      </c>
      <c r="S1265" s="246">
        <f>IFERROR(VLOOKUP(E1265,PROGRAMAS[],2,FALSE),0)</f>
        <v>640501509.6821388</v>
      </c>
      <c r="T1265" s="246">
        <f>IFERROR(VLOOKUP(F1265,PROGRAMAS[],2,FALSE),0)</f>
        <v>3062327798.1525245</v>
      </c>
      <c r="U1265" s="246">
        <f>IFERROR(VLOOKUP(G1265,PROGRAMAS[],2,FALSE),0)</f>
        <v>67697118.033011258</v>
      </c>
      <c r="V1265" s="246">
        <f>IFERROR(VLOOKUP(H1265,PROGRAMAS[],2,FALSE),0)</f>
        <v>4635315027.8751087</v>
      </c>
      <c r="W1265" s="246">
        <f>IFERROR(VLOOKUP(I1265,PROGRAMAS[],2,FALSE),0)</f>
        <v>764796700.79905891</v>
      </c>
      <c r="X1265" s="246">
        <f>IFERROR(VLOOKUP(J1265,PROGRAMAS[],2,FALSE),0)</f>
        <v>122159672.96346797</v>
      </c>
      <c r="Y1265" s="246">
        <f>IFERROR(VLOOKUP(K1265,PROGRAMAS[],2,FALSE),0)</f>
        <v>7068496961.0436354</v>
      </c>
      <c r="Z1265" s="246">
        <f>IFERROR(VLOOKUP(L1265,PROGRAMAS[],2,FALSE),0)</f>
        <v>1892779498.5211046</v>
      </c>
      <c r="AA1265" s="246">
        <f>IFERROR(VLOOKUP(M1265,PROGRAMAS[],2,FALSE),0)</f>
        <v>0</v>
      </c>
      <c r="AB1265" s="246">
        <f>IFERROR(VLOOKUP(N1265,PROGRAMAS[],2,FALSE),0)</f>
        <v>0</v>
      </c>
      <c r="AC1265" s="246">
        <f>IFERROR(VLOOKUP(O1265,PROGRAMAS[],2,FALSE),0)</f>
        <v>0</v>
      </c>
      <c r="AD1265" s="246">
        <f>IFERROR(VLOOKUP(P1265,PROGRAMAS[],2,FALSE),0)</f>
        <v>0</v>
      </c>
      <c r="AE1265" s="246">
        <f>IFERROR(VLOOKUP(Q1265,PROGRAMAS[],2,FALSE),0)</f>
        <v>0</v>
      </c>
      <c r="AF1265" s="246">
        <f>IFERROR(VLOOKUP(D1265,PROGRAMAS[],3,FALSE),0)</f>
        <v>841888629.31080008</v>
      </c>
      <c r="AG1265" s="246">
        <f>IFERROR(VLOOKUP(E1265,PROGRAMAS[],3,FALSE),0)</f>
        <v>3848980803.1642323</v>
      </c>
      <c r="AH1265" s="246">
        <f>IFERROR(VLOOKUP(F1265,PROGRAMAS[],3,FALSE),0)</f>
        <v>3394901471.387517</v>
      </c>
      <c r="AI1265" s="246">
        <f>IFERROR(VLOOKUP(G1265,PROGRAMAS[],3,FALSE),0)</f>
        <v>125317226.95549992</v>
      </c>
      <c r="AJ1265" s="246">
        <f>IFERROR(VLOOKUP(H1265,PROGRAMAS[],3,FALSE),0)</f>
        <v>4099471734.9978786</v>
      </c>
      <c r="AK1265" s="246">
        <f>IFERROR(VLOOKUP(I1265,PROGRAMAS[],3,FALSE),0)</f>
        <v>675517840.109828</v>
      </c>
      <c r="AL1265" s="246">
        <f>IFERROR(VLOOKUP(J1265,PROGRAMAS[],3,FALSE),0)</f>
        <v>118617452.52510804</v>
      </c>
      <c r="AM1265" s="246">
        <f>IFERROR(VLOOKUP(K1265,PROGRAMAS[],3,FALSE),0)</f>
        <v>2406564599.0319901</v>
      </c>
      <c r="AN1265" s="246">
        <f>IFERROR(VLOOKUP(L1265,PROGRAMAS[],3,FALSE),0)</f>
        <v>948595847.09039903</v>
      </c>
      <c r="AO1265" s="246">
        <f>IFERROR(VLOOKUP(M1265,PROGRAMAS[],3,FALSE),0)</f>
        <v>0</v>
      </c>
      <c r="AP1265" s="246">
        <f>IFERROR(VLOOKUP(N1265,PROGRAMAS[],3,FALSE),0)</f>
        <v>0</v>
      </c>
      <c r="AQ1265" s="246">
        <f>IFERROR(VLOOKUP(O1265,PROGRAMAS[],3,FALSE),0)</f>
        <v>0</v>
      </c>
      <c r="AR1265" s="246">
        <f>IFERROR(VLOOKUP(P1265,PROGRAMAS[],3,FALSE),0)</f>
        <v>0</v>
      </c>
      <c r="AS1265" s="246">
        <f>IFERROR(VLOOKUP(Q1265,PROGRAMAS[],3,FALSE),0)</f>
        <v>0</v>
      </c>
      <c r="AT1265" s="246">
        <f>IFERROR(VLOOKUP(D1265,VOL_REC[],2,FALSE),0)</f>
        <v>0</v>
      </c>
      <c r="AU1265" s="246">
        <f>IFERROR(VLOOKUP(E1265,VOL_REC[],2,FALSE),0)</f>
        <v>0</v>
      </c>
      <c r="AV1265" s="246">
        <f>IFERROR(VLOOKUP(F1265,VOL_REC[],2,FALSE),0)</f>
        <v>11089674.200000001</v>
      </c>
      <c r="AW1265" s="246">
        <f>IFERROR(VLOOKUP(G1265,VOL_REC[],2,FALSE),0)</f>
        <v>90439.55</v>
      </c>
      <c r="AX1265" s="246">
        <f>IFERROR(VLOOKUP(H1265,VOL_REC[],2,FALSE),0)</f>
        <v>1812240</v>
      </c>
      <c r="AY1265" s="246">
        <f>IFERROR(VLOOKUP(I1265,VOL_REC[],2,FALSE),0)</f>
        <v>240696.79238099116</v>
      </c>
      <c r="AZ1265" s="246">
        <f>IFERROR(VLOOKUP(J1265,VOL_REC[],2,FALSE),0)</f>
        <v>105072</v>
      </c>
      <c r="BA1265" s="246">
        <f>IFERROR(VLOOKUP(K1265,VOL_REC[],2,FALSE),0)</f>
        <v>1072354.9981737854</v>
      </c>
      <c r="BB1265" s="246">
        <f>IFERROR(VLOOKUP(L1265,VOL_REC[],2,FALSE),0)</f>
        <v>740113.98115702497</v>
      </c>
      <c r="BC1265" s="246">
        <f>IFERROR(VLOOKUP(M1265,VOL_REC[],2,FALSE),0)</f>
        <v>0</v>
      </c>
      <c r="BD1265" s="246">
        <f>IFERROR(VLOOKUP(N1265,VOL_REC[],2,FALSE),0)</f>
        <v>0</v>
      </c>
      <c r="BE1265" s="246">
        <f>IFERROR(VLOOKUP(O1265,VOL_REC[],2,FALSE),0)</f>
        <v>0</v>
      </c>
      <c r="BF1265" s="246">
        <f>IFERROR(VLOOKUP(P1265,VOL_REC[],2,FALSE),0)</f>
        <v>0</v>
      </c>
      <c r="BG1265" s="246">
        <f>IFERROR(VLOOKUP(Q1265,VOL_REC[],2,FALSE),0)</f>
        <v>0</v>
      </c>
      <c r="BH1265" s="1710">
        <f t="shared" si="76"/>
        <v>18351112090.749428</v>
      </c>
      <c r="BI1265" s="1710">
        <f t="shared" si="77"/>
        <v>16459855604.573252</v>
      </c>
      <c r="BJ1265" s="1711">
        <f t="shared" si="78"/>
        <v>15150591.521711802</v>
      </c>
      <c r="BK1265" s="1711">
        <f t="shared" si="79"/>
        <v>1.1149011590144633</v>
      </c>
      <c r="BL1265">
        <f>BJ1265</f>
        <v>15150591.521711802</v>
      </c>
      <c r="BO1265">
        <f>BL1265</f>
        <v>15150591.521711802</v>
      </c>
    </row>
    <row r="1266" spans="3:67" x14ac:dyDescent="0.25">
      <c r="C1266" s="246" t="s">
        <v>2616</v>
      </c>
      <c r="D1266" s="246">
        <v>1</v>
      </c>
      <c r="E1266" s="246">
        <v>2</v>
      </c>
      <c r="F1266" s="246">
        <v>3</v>
      </c>
      <c r="G1266" s="246">
        <v>4</v>
      </c>
      <c r="H1266" s="246">
        <v>10</v>
      </c>
      <c r="I1266" s="246">
        <v>13</v>
      </c>
      <c r="J1266" s="246">
        <v>14</v>
      </c>
      <c r="K1266" s="246">
        <v>15</v>
      </c>
      <c r="L1266" s="246">
        <v>16</v>
      </c>
      <c r="M1266" s="246"/>
      <c r="N1266" s="246"/>
      <c r="O1266" s="246"/>
      <c r="P1266" s="246"/>
      <c r="Q1266" s="246"/>
      <c r="R1266" s="246">
        <f>IFERROR(VLOOKUP(D1266,PROGRAMAS[],2,FALSE),0)</f>
        <v>97037803.679377079</v>
      </c>
      <c r="S1266" s="246">
        <f>IFERROR(VLOOKUP(E1266,PROGRAMAS[],2,FALSE),0)</f>
        <v>640501509.6821388</v>
      </c>
      <c r="T1266" s="246">
        <f>IFERROR(VLOOKUP(F1266,PROGRAMAS[],2,FALSE),0)</f>
        <v>3062327798.1525245</v>
      </c>
      <c r="U1266" s="246">
        <f>IFERROR(VLOOKUP(G1266,PROGRAMAS[],2,FALSE),0)</f>
        <v>67697118.033011258</v>
      </c>
      <c r="V1266" s="246">
        <f>IFERROR(VLOOKUP(H1266,PROGRAMAS[],2,FALSE),0)</f>
        <v>4635315027.8751087</v>
      </c>
      <c r="W1266" s="246">
        <f>IFERROR(VLOOKUP(I1266,PROGRAMAS[],2,FALSE),0)</f>
        <v>3776538594.4604583</v>
      </c>
      <c r="X1266" s="246">
        <f>IFERROR(VLOOKUP(J1266,PROGRAMAS[],2,FALSE),0)</f>
        <v>54223862.645839565</v>
      </c>
      <c r="Y1266" s="246">
        <f>IFERROR(VLOOKUP(K1266,PROGRAMAS[],2,FALSE),0)</f>
        <v>122159672.96346797</v>
      </c>
      <c r="Z1266" s="246">
        <f>IFERROR(VLOOKUP(L1266,PROGRAMAS[],2,FALSE),0)</f>
        <v>7068496961.0436354</v>
      </c>
      <c r="AA1266" s="246">
        <f>IFERROR(VLOOKUP(M1266,PROGRAMAS[],2,FALSE),0)</f>
        <v>0</v>
      </c>
      <c r="AB1266" s="246">
        <f>IFERROR(VLOOKUP(N1266,PROGRAMAS[],2,FALSE),0)</f>
        <v>0</v>
      </c>
      <c r="AC1266" s="246">
        <f>IFERROR(VLOOKUP(O1266,PROGRAMAS[],2,FALSE),0)</f>
        <v>0</v>
      </c>
      <c r="AD1266" s="246">
        <f>IFERROR(VLOOKUP(P1266,PROGRAMAS[],2,FALSE),0)</f>
        <v>0</v>
      </c>
      <c r="AE1266" s="246">
        <f>IFERROR(VLOOKUP(Q1266,PROGRAMAS[],2,FALSE),0)</f>
        <v>0</v>
      </c>
      <c r="AF1266" s="246">
        <f>IFERROR(VLOOKUP(D1266,PROGRAMAS[],3,FALSE),0)</f>
        <v>841888629.31080008</v>
      </c>
      <c r="AG1266" s="246">
        <f>IFERROR(VLOOKUP(E1266,PROGRAMAS[],3,FALSE),0)</f>
        <v>3848980803.1642323</v>
      </c>
      <c r="AH1266" s="246">
        <f>IFERROR(VLOOKUP(F1266,PROGRAMAS[],3,FALSE),0)</f>
        <v>3394901471.387517</v>
      </c>
      <c r="AI1266" s="246">
        <f>IFERROR(VLOOKUP(G1266,PROGRAMAS[],3,FALSE),0)</f>
        <v>125317226.95549992</v>
      </c>
      <c r="AJ1266" s="246">
        <f>IFERROR(VLOOKUP(H1266,PROGRAMAS[],3,FALSE),0)</f>
        <v>4099471734.9978786</v>
      </c>
      <c r="AK1266" s="246">
        <f>IFERROR(VLOOKUP(I1266,PROGRAMAS[],3,FALSE),0)</f>
        <v>2392571243.5584412</v>
      </c>
      <c r="AL1266" s="246">
        <f>IFERROR(VLOOKUP(J1266,PROGRAMAS[],3,FALSE),0)</f>
        <v>31865326.38096505</v>
      </c>
      <c r="AM1266" s="246">
        <f>IFERROR(VLOOKUP(K1266,PROGRAMAS[],3,FALSE),0)</f>
        <v>118617452.52510804</v>
      </c>
      <c r="AN1266" s="246">
        <f>IFERROR(VLOOKUP(L1266,PROGRAMAS[],3,FALSE),0)</f>
        <v>2406564599.0319901</v>
      </c>
      <c r="AO1266" s="246">
        <f>IFERROR(VLOOKUP(M1266,PROGRAMAS[],3,FALSE),0)</f>
        <v>0</v>
      </c>
      <c r="AP1266" s="246">
        <f>IFERROR(VLOOKUP(N1266,PROGRAMAS[],3,FALSE),0)</f>
        <v>0</v>
      </c>
      <c r="AQ1266" s="246">
        <f>IFERROR(VLOOKUP(O1266,PROGRAMAS[],3,FALSE),0)</f>
        <v>0</v>
      </c>
      <c r="AR1266" s="246">
        <f>IFERROR(VLOOKUP(P1266,PROGRAMAS[],3,FALSE),0)</f>
        <v>0</v>
      </c>
      <c r="AS1266" s="246">
        <f>IFERROR(VLOOKUP(Q1266,PROGRAMAS[],3,FALSE),0)</f>
        <v>0</v>
      </c>
      <c r="AT1266" s="246">
        <f>IFERROR(VLOOKUP(D1266,VOL_REC[],2,FALSE),0)</f>
        <v>0</v>
      </c>
      <c r="AU1266" s="246">
        <f>IFERROR(VLOOKUP(E1266,VOL_REC[],2,FALSE),0)</f>
        <v>0</v>
      </c>
      <c r="AV1266" s="246">
        <f>IFERROR(VLOOKUP(F1266,VOL_REC[],2,FALSE),0)</f>
        <v>11089674.200000001</v>
      </c>
      <c r="AW1266" s="246">
        <f>IFERROR(VLOOKUP(G1266,VOL_REC[],2,FALSE),0)</f>
        <v>90439.55</v>
      </c>
      <c r="AX1266" s="246">
        <f>IFERROR(VLOOKUP(H1266,VOL_REC[],2,FALSE),0)</f>
        <v>1812240</v>
      </c>
      <c r="AY1266" s="246">
        <f>IFERROR(VLOOKUP(I1266,VOL_REC[],2,FALSE),0)</f>
        <v>663244.80000000016</v>
      </c>
      <c r="AZ1266" s="246">
        <f>IFERROR(VLOOKUP(J1266,VOL_REC[],2,FALSE),0)</f>
        <v>17074.045034105649</v>
      </c>
      <c r="BA1266" s="246">
        <f>IFERROR(VLOOKUP(K1266,VOL_REC[],2,FALSE),0)</f>
        <v>105072</v>
      </c>
      <c r="BB1266" s="246">
        <f>IFERROR(VLOOKUP(L1266,VOL_REC[],2,FALSE),0)</f>
        <v>1072354.9981737854</v>
      </c>
      <c r="BC1266" s="246">
        <f>IFERROR(VLOOKUP(M1266,VOL_REC[],2,FALSE),0)</f>
        <v>0</v>
      </c>
      <c r="BD1266" s="246">
        <f>IFERROR(VLOOKUP(N1266,VOL_REC[],2,FALSE),0)</f>
        <v>0</v>
      </c>
      <c r="BE1266" s="246">
        <f>IFERROR(VLOOKUP(O1266,VOL_REC[],2,FALSE),0)</f>
        <v>0</v>
      </c>
      <c r="BF1266" s="246">
        <f>IFERROR(VLOOKUP(P1266,VOL_REC[],2,FALSE),0)</f>
        <v>0</v>
      </c>
      <c r="BG1266" s="246">
        <f>IFERROR(VLOOKUP(Q1266,VOL_REC[],2,FALSE),0)</f>
        <v>0</v>
      </c>
      <c r="BH1266" s="1710">
        <f t="shared" si="76"/>
        <v>19524298348.535564</v>
      </c>
      <c r="BI1266" s="1710">
        <f t="shared" si="77"/>
        <v>17260178487.312431</v>
      </c>
      <c r="BJ1266" s="1711">
        <f t="shared" si="78"/>
        <v>14850099.593207892</v>
      </c>
      <c r="BK1266" s="1711">
        <f t="shared" si="79"/>
        <v>1.1311759239852262</v>
      </c>
      <c r="BL1266">
        <f>BJ1266</f>
        <v>14850099.593207892</v>
      </c>
      <c r="BO1266">
        <f>BL1266</f>
        <v>14850099.593207892</v>
      </c>
    </row>
    <row r="1267" spans="3:67" x14ac:dyDescent="0.25">
      <c r="C1267" s="246" t="s">
        <v>2617</v>
      </c>
      <c r="D1267" s="246">
        <v>1</v>
      </c>
      <c r="E1267" s="246">
        <v>2</v>
      </c>
      <c r="F1267" s="246">
        <v>3</v>
      </c>
      <c r="G1267" s="246">
        <v>4</v>
      </c>
      <c r="H1267" s="246">
        <v>10</v>
      </c>
      <c r="I1267" s="246">
        <v>13</v>
      </c>
      <c r="J1267" s="246">
        <v>14</v>
      </c>
      <c r="K1267" s="246">
        <v>15</v>
      </c>
      <c r="L1267" s="246">
        <v>17</v>
      </c>
      <c r="M1267" s="246"/>
      <c r="N1267" s="246"/>
      <c r="O1267" s="246"/>
      <c r="P1267" s="246"/>
      <c r="Q1267" s="246"/>
      <c r="R1267" s="246">
        <f>IFERROR(VLOOKUP(D1267,PROGRAMAS[],2,FALSE),0)</f>
        <v>97037803.679377079</v>
      </c>
      <c r="S1267" s="246">
        <f>IFERROR(VLOOKUP(E1267,PROGRAMAS[],2,FALSE),0)</f>
        <v>640501509.6821388</v>
      </c>
      <c r="T1267" s="246">
        <f>IFERROR(VLOOKUP(F1267,PROGRAMAS[],2,FALSE),0)</f>
        <v>3062327798.1525245</v>
      </c>
      <c r="U1267" s="246">
        <f>IFERROR(VLOOKUP(G1267,PROGRAMAS[],2,FALSE),0)</f>
        <v>67697118.033011258</v>
      </c>
      <c r="V1267" s="246">
        <f>IFERROR(VLOOKUP(H1267,PROGRAMAS[],2,FALSE),0)</f>
        <v>4635315027.8751087</v>
      </c>
      <c r="W1267" s="246">
        <f>IFERROR(VLOOKUP(I1267,PROGRAMAS[],2,FALSE),0)</f>
        <v>3776538594.4604583</v>
      </c>
      <c r="X1267" s="246">
        <f>IFERROR(VLOOKUP(J1267,PROGRAMAS[],2,FALSE),0)</f>
        <v>54223862.645839565</v>
      </c>
      <c r="Y1267" s="246">
        <f>IFERROR(VLOOKUP(K1267,PROGRAMAS[],2,FALSE),0)</f>
        <v>122159672.96346797</v>
      </c>
      <c r="Z1267" s="246">
        <f>IFERROR(VLOOKUP(L1267,PROGRAMAS[],2,FALSE),0)</f>
        <v>1892779498.5211046</v>
      </c>
      <c r="AA1267" s="246">
        <f>IFERROR(VLOOKUP(M1267,PROGRAMAS[],2,FALSE),0)</f>
        <v>0</v>
      </c>
      <c r="AB1267" s="246">
        <f>IFERROR(VLOOKUP(N1267,PROGRAMAS[],2,FALSE),0)</f>
        <v>0</v>
      </c>
      <c r="AC1267" s="246">
        <f>IFERROR(VLOOKUP(O1267,PROGRAMAS[],2,FALSE),0)</f>
        <v>0</v>
      </c>
      <c r="AD1267" s="246">
        <f>IFERROR(VLOOKUP(P1267,PROGRAMAS[],2,FALSE),0)</f>
        <v>0</v>
      </c>
      <c r="AE1267" s="246">
        <f>IFERROR(VLOOKUP(Q1267,PROGRAMAS[],2,FALSE),0)</f>
        <v>0</v>
      </c>
      <c r="AF1267" s="246">
        <f>IFERROR(VLOOKUP(D1267,PROGRAMAS[],3,FALSE),0)</f>
        <v>841888629.31080008</v>
      </c>
      <c r="AG1267" s="246">
        <f>IFERROR(VLOOKUP(E1267,PROGRAMAS[],3,FALSE),0)</f>
        <v>3848980803.1642323</v>
      </c>
      <c r="AH1267" s="246">
        <f>IFERROR(VLOOKUP(F1267,PROGRAMAS[],3,FALSE),0)</f>
        <v>3394901471.387517</v>
      </c>
      <c r="AI1267" s="246">
        <f>IFERROR(VLOOKUP(G1267,PROGRAMAS[],3,FALSE),0)</f>
        <v>125317226.95549992</v>
      </c>
      <c r="AJ1267" s="246">
        <f>IFERROR(VLOOKUP(H1267,PROGRAMAS[],3,FALSE),0)</f>
        <v>4099471734.9978786</v>
      </c>
      <c r="AK1267" s="246">
        <f>IFERROR(VLOOKUP(I1267,PROGRAMAS[],3,FALSE),0)</f>
        <v>2392571243.5584412</v>
      </c>
      <c r="AL1267" s="246">
        <f>IFERROR(VLOOKUP(J1267,PROGRAMAS[],3,FALSE),0)</f>
        <v>31865326.38096505</v>
      </c>
      <c r="AM1267" s="246">
        <f>IFERROR(VLOOKUP(K1267,PROGRAMAS[],3,FALSE),0)</f>
        <v>118617452.52510804</v>
      </c>
      <c r="AN1267" s="246">
        <f>IFERROR(VLOOKUP(L1267,PROGRAMAS[],3,FALSE),0)</f>
        <v>948595847.09039903</v>
      </c>
      <c r="AO1267" s="246">
        <f>IFERROR(VLOOKUP(M1267,PROGRAMAS[],3,FALSE),0)</f>
        <v>0</v>
      </c>
      <c r="AP1267" s="246">
        <f>IFERROR(VLOOKUP(N1267,PROGRAMAS[],3,FALSE),0)</f>
        <v>0</v>
      </c>
      <c r="AQ1267" s="246">
        <f>IFERROR(VLOOKUP(O1267,PROGRAMAS[],3,FALSE),0)</f>
        <v>0</v>
      </c>
      <c r="AR1267" s="246">
        <f>IFERROR(VLOOKUP(P1267,PROGRAMAS[],3,FALSE),0)</f>
        <v>0</v>
      </c>
      <c r="AS1267" s="246">
        <f>IFERROR(VLOOKUP(Q1267,PROGRAMAS[],3,FALSE),0)</f>
        <v>0</v>
      </c>
      <c r="AT1267" s="246">
        <f>IFERROR(VLOOKUP(D1267,VOL_REC[],2,FALSE),0)</f>
        <v>0</v>
      </c>
      <c r="AU1267" s="246">
        <f>IFERROR(VLOOKUP(E1267,VOL_REC[],2,FALSE),0)</f>
        <v>0</v>
      </c>
      <c r="AV1267" s="246">
        <f>IFERROR(VLOOKUP(F1267,VOL_REC[],2,FALSE),0)</f>
        <v>11089674.200000001</v>
      </c>
      <c r="AW1267" s="246">
        <f>IFERROR(VLOOKUP(G1267,VOL_REC[],2,FALSE),0)</f>
        <v>90439.55</v>
      </c>
      <c r="AX1267" s="246">
        <f>IFERROR(VLOOKUP(H1267,VOL_REC[],2,FALSE),0)</f>
        <v>1812240</v>
      </c>
      <c r="AY1267" s="246">
        <f>IFERROR(VLOOKUP(I1267,VOL_REC[],2,FALSE),0)</f>
        <v>663244.80000000016</v>
      </c>
      <c r="AZ1267" s="246">
        <f>IFERROR(VLOOKUP(J1267,VOL_REC[],2,FALSE),0)</f>
        <v>17074.045034105649</v>
      </c>
      <c r="BA1267" s="246">
        <f>IFERROR(VLOOKUP(K1267,VOL_REC[],2,FALSE),0)</f>
        <v>105072</v>
      </c>
      <c r="BB1267" s="246">
        <f>IFERROR(VLOOKUP(L1267,VOL_REC[],2,FALSE),0)</f>
        <v>740113.98115702497</v>
      </c>
      <c r="BC1267" s="246">
        <f>IFERROR(VLOOKUP(M1267,VOL_REC[],2,FALSE),0)</f>
        <v>0</v>
      </c>
      <c r="BD1267" s="246">
        <f>IFERROR(VLOOKUP(N1267,VOL_REC[],2,FALSE),0)</f>
        <v>0</v>
      </c>
      <c r="BE1267" s="246">
        <f>IFERROR(VLOOKUP(O1267,VOL_REC[],2,FALSE),0)</f>
        <v>0</v>
      </c>
      <c r="BF1267" s="246">
        <f>IFERROR(VLOOKUP(P1267,VOL_REC[],2,FALSE),0)</f>
        <v>0</v>
      </c>
      <c r="BG1267" s="246">
        <f>IFERROR(VLOOKUP(Q1267,VOL_REC[],2,FALSE),0)</f>
        <v>0</v>
      </c>
      <c r="BH1267" s="1710">
        <f t="shared" si="76"/>
        <v>14348580886.013033</v>
      </c>
      <c r="BI1267" s="1710">
        <f t="shared" si="77"/>
        <v>15802209735.37084</v>
      </c>
      <c r="BJ1267" s="1711">
        <f t="shared" si="78"/>
        <v>14517858.576191133</v>
      </c>
      <c r="BK1267" s="1711">
        <f t="shared" si="79"/>
        <v>0.90801103936090155</v>
      </c>
    </row>
    <row r="1268" spans="3:67" x14ac:dyDescent="0.25">
      <c r="C1268" s="246" t="s">
        <v>2618</v>
      </c>
      <c r="D1268" s="246">
        <v>1</v>
      </c>
      <c r="E1268" s="246">
        <v>2</v>
      </c>
      <c r="F1268" s="246">
        <v>3</v>
      </c>
      <c r="G1268" s="246">
        <v>4</v>
      </c>
      <c r="H1268" s="246">
        <v>10</v>
      </c>
      <c r="I1268" s="246">
        <v>13</v>
      </c>
      <c r="J1268" s="246">
        <v>14</v>
      </c>
      <c r="K1268" s="246">
        <v>16</v>
      </c>
      <c r="L1268" s="246">
        <v>17</v>
      </c>
      <c r="M1268" s="246"/>
      <c r="N1268" s="246"/>
      <c r="O1268" s="246"/>
      <c r="P1268" s="246"/>
      <c r="Q1268" s="246"/>
      <c r="R1268" s="246">
        <f>IFERROR(VLOOKUP(D1268,PROGRAMAS[],2,FALSE),0)</f>
        <v>97037803.679377079</v>
      </c>
      <c r="S1268" s="246">
        <f>IFERROR(VLOOKUP(E1268,PROGRAMAS[],2,FALSE),0)</f>
        <v>640501509.6821388</v>
      </c>
      <c r="T1268" s="246">
        <f>IFERROR(VLOOKUP(F1268,PROGRAMAS[],2,FALSE),0)</f>
        <v>3062327798.1525245</v>
      </c>
      <c r="U1268" s="246">
        <f>IFERROR(VLOOKUP(G1268,PROGRAMAS[],2,FALSE),0)</f>
        <v>67697118.033011258</v>
      </c>
      <c r="V1268" s="246">
        <f>IFERROR(VLOOKUP(H1268,PROGRAMAS[],2,FALSE),0)</f>
        <v>4635315027.8751087</v>
      </c>
      <c r="W1268" s="246">
        <f>IFERROR(VLOOKUP(I1268,PROGRAMAS[],2,FALSE),0)</f>
        <v>3776538594.4604583</v>
      </c>
      <c r="X1268" s="246">
        <f>IFERROR(VLOOKUP(J1268,PROGRAMAS[],2,FALSE),0)</f>
        <v>54223862.645839565</v>
      </c>
      <c r="Y1268" s="246">
        <f>IFERROR(VLOOKUP(K1268,PROGRAMAS[],2,FALSE),0)</f>
        <v>7068496961.0436354</v>
      </c>
      <c r="Z1268" s="246">
        <f>IFERROR(VLOOKUP(L1268,PROGRAMAS[],2,FALSE),0)</f>
        <v>1892779498.5211046</v>
      </c>
      <c r="AA1268" s="246">
        <f>IFERROR(VLOOKUP(M1268,PROGRAMAS[],2,FALSE),0)</f>
        <v>0</v>
      </c>
      <c r="AB1268" s="246">
        <f>IFERROR(VLOOKUP(N1268,PROGRAMAS[],2,FALSE),0)</f>
        <v>0</v>
      </c>
      <c r="AC1268" s="246">
        <f>IFERROR(VLOOKUP(O1268,PROGRAMAS[],2,FALSE),0)</f>
        <v>0</v>
      </c>
      <c r="AD1268" s="246">
        <f>IFERROR(VLOOKUP(P1268,PROGRAMAS[],2,FALSE),0)</f>
        <v>0</v>
      </c>
      <c r="AE1268" s="246">
        <f>IFERROR(VLOOKUP(Q1268,PROGRAMAS[],2,FALSE),0)</f>
        <v>0</v>
      </c>
      <c r="AF1268" s="246">
        <f>IFERROR(VLOOKUP(D1268,PROGRAMAS[],3,FALSE),0)</f>
        <v>841888629.31080008</v>
      </c>
      <c r="AG1268" s="246">
        <f>IFERROR(VLOOKUP(E1268,PROGRAMAS[],3,FALSE),0)</f>
        <v>3848980803.1642323</v>
      </c>
      <c r="AH1268" s="246">
        <f>IFERROR(VLOOKUP(F1268,PROGRAMAS[],3,FALSE),0)</f>
        <v>3394901471.387517</v>
      </c>
      <c r="AI1268" s="246">
        <f>IFERROR(VLOOKUP(G1268,PROGRAMAS[],3,FALSE),0)</f>
        <v>125317226.95549992</v>
      </c>
      <c r="AJ1268" s="246">
        <f>IFERROR(VLOOKUP(H1268,PROGRAMAS[],3,FALSE),0)</f>
        <v>4099471734.9978786</v>
      </c>
      <c r="AK1268" s="246">
        <f>IFERROR(VLOOKUP(I1268,PROGRAMAS[],3,FALSE),0)</f>
        <v>2392571243.5584412</v>
      </c>
      <c r="AL1268" s="246">
        <f>IFERROR(VLOOKUP(J1268,PROGRAMAS[],3,FALSE),0)</f>
        <v>31865326.38096505</v>
      </c>
      <c r="AM1268" s="246">
        <f>IFERROR(VLOOKUP(K1268,PROGRAMAS[],3,FALSE),0)</f>
        <v>2406564599.0319901</v>
      </c>
      <c r="AN1268" s="246">
        <f>IFERROR(VLOOKUP(L1268,PROGRAMAS[],3,FALSE),0)</f>
        <v>948595847.09039903</v>
      </c>
      <c r="AO1268" s="246">
        <f>IFERROR(VLOOKUP(M1268,PROGRAMAS[],3,FALSE),0)</f>
        <v>0</v>
      </c>
      <c r="AP1268" s="246">
        <f>IFERROR(VLOOKUP(N1268,PROGRAMAS[],3,FALSE),0)</f>
        <v>0</v>
      </c>
      <c r="AQ1268" s="246">
        <f>IFERROR(VLOOKUP(O1268,PROGRAMAS[],3,FALSE),0)</f>
        <v>0</v>
      </c>
      <c r="AR1268" s="246">
        <f>IFERROR(VLOOKUP(P1268,PROGRAMAS[],3,FALSE),0)</f>
        <v>0</v>
      </c>
      <c r="AS1268" s="246">
        <f>IFERROR(VLOOKUP(Q1268,PROGRAMAS[],3,FALSE),0)</f>
        <v>0</v>
      </c>
      <c r="AT1268" s="246">
        <f>IFERROR(VLOOKUP(D1268,VOL_REC[],2,FALSE),0)</f>
        <v>0</v>
      </c>
      <c r="AU1268" s="246">
        <f>IFERROR(VLOOKUP(E1268,VOL_REC[],2,FALSE),0)</f>
        <v>0</v>
      </c>
      <c r="AV1268" s="246">
        <f>IFERROR(VLOOKUP(F1268,VOL_REC[],2,FALSE),0)</f>
        <v>11089674.200000001</v>
      </c>
      <c r="AW1268" s="246">
        <f>IFERROR(VLOOKUP(G1268,VOL_REC[],2,FALSE),0)</f>
        <v>90439.55</v>
      </c>
      <c r="AX1268" s="246">
        <f>IFERROR(VLOOKUP(H1268,VOL_REC[],2,FALSE),0)</f>
        <v>1812240</v>
      </c>
      <c r="AY1268" s="246">
        <f>IFERROR(VLOOKUP(I1268,VOL_REC[],2,FALSE),0)</f>
        <v>663244.80000000016</v>
      </c>
      <c r="AZ1268" s="246">
        <f>IFERROR(VLOOKUP(J1268,VOL_REC[],2,FALSE),0)</f>
        <v>17074.045034105649</v>
      </c>
      <c r="BA1268" s="246">
        <f>IFERROR(VLOOKUP(K1268,VOL_REC[],2,FALSE),0)</f>
        <v>1072354.9981737854</v>
      </c>
      <c r="BB1268" s="246">
        <f>IFERROR(VLOOKUP(L1268,VOL_REC[],2,FALSE),0)</f>
        <v>740113.98115702497</v>
      </c>
      <c r="BC1268" s="246">
        <f>IFERROR(VLOOKUP(M1268,VOL_REC[],2,FALSE),0)</f>
        <v>0</v>
      </c>
      <c r="BD1268" s="246">
        <f>IFERROR(VLOOKUP(N1268,VOL_REC[],2,FALSE),0)</f>
        <v>0</v>
      </c>
      <c r="BE1268" s="246">
        <f>IFERROR(VLOOKUP(O1268,VOL_REC[],2,FALSE),0)</f>
        <v>0</v>
      </c>
      <c r="BF1268" s="246">
        <f>IFERROR(VLOOKUP(P1268,VOL_REC[],2,FALSE),0)</f>
        <v>0</v>
      </c>
      <c r="BG1268" s="246">
        <f>IFERROR(VLOOKUP(Q1268,VOL_REC[],2,FALSE),0)</f>
        <v>0</v>
      </c>
      <c r="BH1268" s="1710">
        <f t="shared" si="76"/>
        <v>21294918174.093197</v>
      </c>
      <c r="BI1268" s="1710">
        <f t="shared" si="77"/>
        <v>18090156881.877724</v>
      </c>
      <c r="BJ1268" s="1711">
        <f t="shared" si="78"/>
        <v>15485141.574364917</v>
      </c>
      <c r="BK1268" s="1711">
        <f t="shared" si="79"/>
        <v>1.1771549751138932</v>
      </c>
      <c r="BL1268">
        <f>BJ1268</f>
        <v>15485141.574364917</v>
      </c>
      <c r="BO1268">
        <f>BL1268</f>
        <v>15485141.574364917</v>
      </c>
    </row>
    <row r="1269" spans="3:67" x14ac:dyDescent="0.25">
      <c r="C1269" s="246" t="s">
        <v>2619</v>
      </c>
      <c r="D1269" s="246">
        <v>1</v>
      </c>
      <c r="E1269" s="246">
        <v>2</v>
      </c>
      <c r="F1269" s="246">
        <v>3</v>
      </c>
      <c r="G1269" s="246">
        <v>4</v>
      </c>
      <c r="H1269" s="246">
        <v>10</v>
      </c>
      <c r="I1269" s="246">
        <v>13</v>
      </c>
      <c r="J1269" s="246">
        <v>15</v>
      </c>
      <c r="K1269" s="246">
        <v>16</v>
      </c>
      <c r="L1269" s="246">
        <v>17</v>
      </c>
      <c r="M1269" s="246"/>
      <c r="N1269" s="246"/>
      <c r="O1269" s="246"/>
      <c r="P1269" s="246"/>
      <c r="Q1269" s="246"/>
      <c r="R1269" s="246">
        <f>IFERROR(VLOOKUP(D1269,PROGRAMAS[],2,FALSE),0)</f>
        <v>97037803.679377079</v>
      </c>
      <c r="S1269" s="246">
        <f>IFERROR(VLOOKUP(E1269,PROGRAMAS[],2,FALSE),0)</f>
        <v>640501509.6821388</v>
      </c>
      <c r="T1269" s="246">
        <f>IFERROR(VLOOKUP(F1269,PROGRAMAS[],2,FALSE),0)</f>
        <v>3062327798.1525245</v>
      </c>
      <c r="U1269" s="246">
        <f>IFERROR(VLOOKUP(G1269,PROGRAMAS[],2,FALSE),0)</f>
        <v>67697118.033011258</v>
      </c>
      <c r="V1269" s="246">
        <f>IFERROR(VLOOKUP(H1269,PROGRAMAS[],2,FALSE),0)</f>
        <v>4635315027.8751087</v>
      </c>
      <c r="W1269" s="246">
        <f>IFERROR(VLOOKUP(I1269,PROGRAMAS[],2,FALSE),0)</f>
        <v>3776538594.4604583</v>
      </c>
      <c r="X1269" s="246">
        <f>IFERROR(VLOOKUP(J1269,PROGRAMAS[],2,FALSE),0)</f>
        <v>122159672.96346797</v>
      </c>
      <c r="Y1269" s="246">
        <f>IFERROR(VLOOKUP(K1269,PROGRAMAS[],2,FALSE),0)</f>
        <v>7068496961.0436354</v>
      </c>
      <c r="Z1269" s="246">
        <f>IFERROR(VLOOKUP(L1269,PROGRAMAS[],2,FALSE),0)</f>
        <v>1892779498.5211046</v>
      </c>
      <c r="AA1269" s="246">
        <f>IFERROR(VLOOKUP(M1269,PROGRAMAS[],2,FALSE),0)</f>
        <v>0</v>
      </c>
      <c r="AB1269" s="246">
        <f>IFERROR(VLOOKUP(N1269,PROGRAMAS[],2,FALSE),0)</f>
        <v>0</v>
      </c>
      <c r="AC1269" s="246">
        <f>IFERROR(VLOOKUP(O1269,PROGRAMAS[],2,FALSE),0)</f>
        <v>0</v>
      </c>
      <c r="AD1269" s="246">
        <f>IFERROR(VLOOKUP(P1269,PROGRAMAS[],2,FALSE),0)</f>
        <v>0</v>
      </c>
      <c r="AE1269" s="246">
        <f>IFERROR(VLOOKUP(Q1269,PROGRAMAS[],2,FALSE),0)</f>
        <v>0</v>
      </c>
      <c r="AF1269" s="246">
        <f>IFERROR(VLOOKUP(D1269,PROGRAMAS[],3,FALSE),0)</f>
        <v>841888629.31080008</v>
      </c>
      <c r="AG1269" s="246">
        <f>IFERROR(VLOOKUP(E1269,PROGRAMAS[],3,FALSE),0)</f>
        <v>3848980803.1642323</v>
      </c>
      <c r="AH1269" s="246">
        <f>IFERROR(VLOOKUP(F1269,PROGRAMAS[],3,FALSE),0)</f>
        <v>3394901471.387517</v>
      </c>
      <c r="AI1269" s="246">
        <f>IFERROR(VLOOKUP(G1269,PROGRAMAS[],3,FALSE),0)</f>
        <v>125317226.95549992</v>
      </c>
      <c r="AJ1269" s="246">
        <f>IFERROR(VLOOKUP(H1269,PROGRAMAS[],3,FALSE),0)</f>
        <v>4099471734.9978786</v>
      </c>
      <c r="AK1269" s="246">
        <f>IFERROR(VLOOKUP(I1269,PROGRAMAS[],3,FALSE),0)</f>
        <v>2392571243.5584412</v>
      </c>
      <c r="AL1269" s="246">
        <f>IFERROR(VLOOKUP(J1269,PROGRAMAS[],3,FALSE),0)</f>
        <v>118617452.52510804</v>
      </c>
      <c r="AM1269" s="246">
        <f>IFERROR(VLOOKUP(K1269,PROGRAMAS[],3,FALSE),0)</f>
        <v>2406564599.0319901</v>
      </c>
      <c r="AN1269" s="246">
        <f>IFERROR(VLOOKUP(L1269,PROGRAMAS[],3,FALSE),0)</f>
        <v>948595847.09039903</v>
      </c>
      <c r="AO1269" s="246">
        <f>IFERROR(VLOOKUP(M1269,PROGRAMAS[],3,FALSE),0)</f>
        <v>0</v>
      </c>
      <c r="AP1269" s="246">
        <f>IFERROR(VLOOKUP(N1269,PROGRAMAS[],3,FALSE),0)</f>
        <v>0</v>
      </c>
      <c r="AQ1269" s="246">
        <f>IFERROR(VLOOKUP(O1269,PROGRAMAS[],3,FALSE),0)</f>
        <v>0</v>
      </c>
      <c r="AR1269" s="246">
        <f>IFERROR(VLOOKUP(P1269,PROGRAMAS[],3,FALSE),0)</f>
        <v>0</v>
      </c>
      <c r="AS1269" s="246">
        <f>IFERROR(VLOOKUP(Q1269,PROGRAMAS[],3,FALSE),0)</f>
        <v>0</v>
      </c>
      <c r="AT1269" s="246">
        <f>IFERROR(VLOOKUP(D1269,VOL_REC[],2,FALSE),0)</f>
        <v>0</v>
      </c>
      <c r="AU1269" s="246">
        <f>IFERROR(VLOOKUP(E1269,VOL_REC[],2,FALSE),0)</f>
        <v>0</v>
      </c>
      <c r="AV1269" s="246">
        <f>IFERROR(VLOOKUP(F1269,VOL_REC[],2,FALSE),0)</f>
        <v>11089674.200000001</v>
      </c>
      <c r="AW1269" s="246">
        <f>IFERROR(VLOOKUP(G1269,VOL_REC[],2,FALSE),0)</f>
        <v>90439.55</v>
      </c>
      <c r="AX1269" s="246">
        <f>IFERROR(VLOOKUP(H1269,VOL_REC[],2,FALSE),0)</f>
        <v>1812240</v>
      </c>
      <c r="AY1269" s="246">
        <f>IFERROR(VLOOKUP(I1269,VOL_REC[],2,FALSE),0)</f>
        <v>663244.80000000016</v>
      </c>
      <c r="AZ1269" s="246">
        <f>IFERROR(VLOOKUP(J1269,VOL_REC[],2,FALSE),0)</f>
        <v>105072</v>
      </c>
      <c r="BA1269" s="246">
        <f>IFERROR(VLOOKUP(K1269,VOL_REC[],2,FALSE),0)</f>
        <v>1072354.9981737854</v>
      </c>
      <c r="BB1269" s="246">
        <f>IFERROR(VLOOKUP(L1269,VOL_REC[],2,FALSE),0)</f>
        <v>740113.98115702497</v>
      </c>
      <c r="BC1269" s="246">
        <f>IFERROR(VLOOKUP(M1269,VOL_REC[],2,FALSE),0)</f>
        <v>0</v>
      </c>
      <c r="BD1269" s="246">
        <f>IFERROR(VLOOKUP(N1269,VOL_REC[],2,FALSE),0)</f>
        <v>0</v>
      </c>
      <c r="BE1269" s="246">
        <f>IFERROR(VLOOKUP(O1269,VOL_REC[],2,FALSE),0)</f>
        <v>0</v>
      </c>
      <c r="BF1269" s="246">
        <f>IFERROR(VLOOKUP(P1269,VOL_REC[],2,FALSE),0)</f>
        <v>0</v>
      </c>
      <c r="BG1269" s="246">
        <f>IFERROR(VLOOKUP(Q1269,VOL_REC[],2,FALSE),0)</f>
        <v>0</v>
      </c>
      <c r="BH1269" s="1710">
        <f t="shared" si="76"/>
        <v>21362853984.410828</v>
      </c>
      <c r="BI1269" s="1710">
        <f t="shared" si="77"/>
        <v>18176909008.021866</v>
      </c>
      <c r="BJ1269" s="1711">
        <f t="shared" si="78"/>
        <v>15573139.529330814</v>
      </c>
      <c r="BK1269" s="1711">
        <f t="shared" si="79"/>
        <v>1.1752742985610445</v>
      </c>
      <c r="BL1269">
        <f>BJ1269</f>
        <v>15573139.529330814</v>
      </c>
      <c r="BO1269">
        <f>BL1269</f>
        <v>15573139.529330814</v>
      </c>
    </row>
    <row r="1270" spans="3:67" x14ac:dyDescent="0.25">
      <c r="C1270" s="246" t="s">
        <v>2620</v>
      </c>
      <c r="D1270" s="246">
        <v>1</v>
      </c>
      <c r="E1270" s="246">
        <v>2</v>
      </c>
      <c r="F1270" s="246">
        <v>3</v>
      </c>
      <c r="G1270" s="246">
        <v>4</v>
      </c>
      <c r="H1270" s="246">
        <v>10</v>
      </c>
      <c r="I1270" s="246">
        <v>14</v>
      </c>
      <c r="J1270" s="246">
        <v>15</v>
      </c>
      <c r="K1270" s="246">
        <v>16</v>
      </c>
      <c r="L1270" s="246">
        <v>17</v>
      </c>
      <c r="M1270" s="246"/>
      <c r="N1270" s="246"/>
      <c r="O1270" s="246"/>
      <c r="P1270" s="246"/>
      <c r="Q1270" s="246"/>
      <c r="R1270" s="246">
        <f>IFERROR(VLOOKUP(D1270,PROGRAMAS[],2,FALSE),0)</f>
        <v>97037803.679377079</v>
      </c>
      <c r="S1270" s="246">
        <f>IFERROR(VLOOKUP(E1270,PROGRAMAS[],2,FALSE),0)</f>
        <v>640501509.6821388</v>
      </c>
      <c r="T1270" s="246">
        <f>IFERROR(VLOOKUP(F1270,PROGRAMAS[],2,FALSE),0)</f>
        <v>3062327798.1525245</v>
      </c>
      <c r="U1270" s="246">
        <f>IFERROR(VLOOKUP(G1270,PROGRAMAS[],2,FALSE),0)</f>
        <v>67697118.033011258</v>
      </c>
      <c r="V1270" s="246">
        <f>IFERROR(VLOOKUP(H1270,PROGRAMAS[],2,FALSE),0)</f>
        <v>4635315027.8751087</v>
      </c>
      <c r="W1270" s="246">
        <f>IFERROR(VLOOKUP(I1270,PROGRAMAS[],2,FALSE),0)</f>
        <v>54223862.645839565</v>
      </c>
      <c r="X1270" s="246">
        <f>IFERROR(VLOOKUP(J1270,PROGRAMAS[],2,FALSE),0)</f>
        <v>122159672.96346797</v>
      </c>
      <c r="Y1270" s="246">
        <f>IFERROR(VLOOKUP(K1270,PROGRAMAS[],2,FALSE),0)</f>
        <v>7068496961.0436354</v>
      </c>
      <c r="Z1270" s="246">
        <f>IFERROR(VLOOKUP(L1270,PROGRAMAS[],2,FALSE),0)</f>
        <v>1892779498.5211046</v>
      </c>
      <c r="AA1270" s="246">
        <f>IFERROR(VLOOKUP(M1270,PROGRAMAS[],2,FALSE),0)</f>
        <v>0</v>
      </c>
      <c r="AB1270" s="246">
        <f>IFERROR(VLOOKUP(N1270,PROGRAMAS[],2,FALSE),0)</f>
        <v>0</v>
      </c>
      <c r="AC1270" s="246">
        <f>IFERROR(VLOOKUP(O1270,PROGRAMAS[],2,FALSE),0)</f>
        <v>0</v>
      </c>
      <c r="AD1270" s="246">
        <f>IFERROR(VLOOKUP(P1270,PROGRAMAS[],2,FALSE),0)</f>
        <v>0</v>
      </c>
      <c r="AE1270" s="246">
        <f>IFERROR(VLOOKUP(Q1270,PROGRAMAS[],2,FALSE),0)</f>
        <v>0</v>
      </c>
      <c r="AF1270" s="246">
        <f>IFERROR(VLOOKUP(D1270,PROGRAMAS[],3,FALSE),0)</f>
        <v>841888629.31080008</v>
      </c>
      <c r="AG1270" s="246">
        <f>IFERROR(VLOOKUP(E1270,PROGRAMAS[],3,FALSE),0)</f>
        <v>3848980803.1642323</v>
      </c>
      <c r="AH1270" s="246">
        <f>IFERROR(VLOOKUP(F1270,PROGRAMAS[],3,FALSE),0)</f>
        <v>3394901471.387517</v>
      </c>
      <c r="AI1270" s="246">
        <f>IFERROR(VLOOKUP(G1270,PROGRAMAS[],3,FALSE),0)</f>
        <v>125317226.95549992</v>
      </c>
      <c r="AJ1270" s="246">
        <f>IFERROR(VLOOKUP(H1270,PROGRAMAS[],3,FALSE),0)</f>
        <v>4099471734.9978786</v>
      </c>
      <c r="AK1270" s="246">
        <f>IFERROR(VLOOKUP(I1270,PROGRAMAS[],3,FALSE),0)</f>
        <v>31865326.38096505</v>
      </c>
      <c r="AL1270" s="246">
        <f>IFERROR(VLOOKUP(J1270,PROGRAMAS[],3,FALSE),0)</f>
        <v>118617452.52510804</v>
      </c>
      <c r="AM1270" s="246">
        <f>IFERROR(VLOOKUP(K1270,PROGRAMAS[],3,FALSE),0)</f>
        <v>2406564599.0319901</v>
      </c>
      <c r="AN1270" s="246">
        <f>IFERROR(VLOOKUP(L1270,PROGRAMAS[],3,FALSE),0)</f>
        <v>948595847.09039903</v>
      </c>
      <c r="AO1270" s="246">
        <f>IFERROR(VLOOKUP(M1270,PROGRAMAS[],3,FALSE),0)</f>
        <v>0</v>
      </c>
      <c r="AP1270" s="246">
        <f>IFERROR(VLOOKUP(N1270,PROGRAMAS[],3,FALSE),0)</f>
        <v>0</v>
      </c>
      <c r="AQ1270" s="246">
        <f>IFERROR(VLOOKUP(O1270,PROGRAMAS[],3,FALSE),0)</f>
        <v>0</v>
      </c>
      <c r="AR1270" s="246">
        <f>IFERROR(VLOOKUP(P1270,PROGRAMAS[],3,FALSE),0)</f>
        <v>0</v>
      </c>
      <c r="AS1270" s="246">
        <f>IFERROR(VLOOKUP(Q1270,PROGRAMAS[],3,FALSE),0)</f>
        <v>0</v>
      </c>
      <c r="AT1270" s="246">
        <f>IFERROR(VLOOKUP(D1270,VOL_REC[],2,FALSE),0)</f>
        <v>0</v>
      </c>
      <c r="AU1270" s="246">
        <f>IFERROR(VLOOKUP(E1270,VOL_REC[],2,FALSE),0)</f>
        <v>0</v>
      </c>
      <c r="AV1270" s="246">
        <f>IFERROR(VLOOKUP(F1270,VOL_REC[],2,FALSE),0)</f>
        <v>11089674.200000001</v>
      </c>
      <c r="AW1270" s="246">
        <f>IFERROR(VLOOKUP(G1270,VOL_REC[],2,FALSE),0)</f>
        <v>90439.55</v>
      </c>
      <c r="AX1270" s="246">
        <f>IFERROR(VLOOKUP(H1270,VOL_REC[],2,FALSE),0)</f>
        <v>1812240</v>
      </c>
      <c r="AY1270" s="246">
        <f>IFERROR(VLOOKUP(I1270,VOL_REC[],2,FALSE),0)</f>
        <v>17074.045034105649</v>
      </c>
      <c r="AZ1270" s="246">
        <f>IFERROR(VLOOKUP(J1270,VOL_REC[],2,FALSE),0)</f>
        <v>105072</v>
      </c>
      <c r="BA1270" s="246">
        <f>IFERROR(VLOOKUP(K1270,VOL_REC[],2,FALSE),0)</f>
        <v>1072354.9981737854</v>
      </c>
      <c r="BB1270" s="246">
        <f>IFERROR(VLOOKUP(L1270,VOL_REC[],2,FALSE),0)</f>
        <v>740113.98115702497</v>
      </c>
      <c r="BC1270" s="246">
        <f>IFERROR(VLOOKUP(M1270,VOL_REC[],2,FALSE),0)</f>
        <v>0</v>
      </c>
      <c r="BD1270" s="246">
        <f>IFERROR(VLOOKUP(N1270,VOL_REC[],2,FALSE),0)</f>
        <v>0</v>
      </c>
      <c r="BE1270" s="246">
        <f>IFERROR(VLOOKUP(O1270,VOL_REC[],2,FALSE),0)</f>
        <v>0</v>
      </c>
      <c r="BF1270" s="246">
        <f>IFERROR(VLOOKUP(P1270,VOL_REC[],2,FALSE),0)</f>
        <v>0</v>
      </c>
      <c r="BG1270" s="246">
        <f>IFERROR(VLOOKUP(Q1270,VOL_REC[],2,FALSE),0)</f>
        <v>0</v>
      </c>
      <c r="BH1270" s="1710">
        <f t="shared" si="76"/>
        <v>17640539252.596207</v>
      </c>
      <c r="BI1270" s="1710">
        <f t="shared" si="77"/>
        <v>15816203090.844389</v>
      </c>
      <c r="BJ1270" s="1711">
        <f t="shared" si="78"/>
        <v>14926968.774364917</v>
      </c>
      <c r="BK1270" s="1711">
        <f t="shared" si="79"/>
        <v>1.1153460252927507</v>
      </c>
      <c r="BL1270">
        <f>BJ1270</f>
        <v>14926968.774364917</v>
      </c>
      <c r="BO1270">
        <f>BL1270</f>
        <v>14926968.774364917</v>
      </c>
    </row>
    <row r="1271" spans="3:67" x14ac:dyDescent="0.25">
      <c r="C1271" s="246" t="s">
        <v>2621</v>
      </c>
      <c r="D1271" s="246">
        <v>1</v>
      </c>
      <c r="E1271" s="246">
        <v>2</v>
      </c>
      <c r="F1271" s="246">
        <v>3</v>
      </c>
      <c r="G1271" s="246">
        <v>4</v>
      </c>
      <c r="H1271" s="246">
        <v>12</v>
      </c>
      <c r="I1271" s="246">
        <v>13</v>
      </c>
      <c r="J1271" s="246">
        <v>14</v>
      </c>
      <c r="K1271" s="246">
        <v>15</v>
      </c>
      <c r="L1271" s="246">
        <v>16</v>
      </c>
      <c r="M1271" s="246"/>
      <c r="N1271" s="246"/>
      <c r="O1271" s="246"/>
      <c r="P1271" s="246"/>
      <c r="Q1271" s="246"/>
      <c r="R1271" s="246">
        <f>IFERROR(VLOOKUP(D1271,PROGRAMAS[],2,FALSE),0)</f>
        <v>97037803.679377079</v>
      </c>
      <c r="S1271" s="246">
        <f>IFERROR(VLOOKUP(E1271,PROGRAMAS[],2,FALSE),0)</f>
        <v>640501509.6821388</v>
      </c>
      <c r="T1271" s="246">
        <f>IFERROR(VLOOKUP(F1271,PROGRAMAS[],2,FALSE),0)</f>
        <v>3062327798.1525245</v>
      </c>
      <c r="U1271" s="246">
        <f>IFERROR(VLOOKUP(G1271,PROGRAMAS[],2,FALSE),0)</f>
        <v>67697118.033011258</v>
      </c>
      <c r="V1271" s="246">
        <f>IFERROR(VLOOKUP(H1271,PROGRAMAS[],2,FALSE),0)</f>
        <v>764796700.79905891</v>
      </c>
      <c r="W1271" s="246">
        <f>IFERROR(VLOOKUP(I1271,PROGRAMAS[],2,FALSE),0)</f>
        <v>3776538594.4604583</v>
      </c>
      <c r="X1271" s="246">
        <f>IFERROR(VLOOKUP(J1271,PROGRAMAS[],2,FALSE),0)</f>
        <v>54223862.645839565</v>
      </c>
      <c r="Y1271" s="246">
        <f>IFERROR(VLOOKUP(K1271,PROGRAMAS[],2,FALSE),0)</f>
        <v>122159672.96346797</v>
      </c>
      <c r="Z1271" s="246">
        <f>IFERROR(VLOOKUP(L1271,PROGRAMAS[],2,FALSE),0)</f>
        <v>7068496961.0436354</v>
      </c>
      <c r="AA1271" s="246">
        <f>IFERROR(VLOOKUP(M1271,PROGRAMAS[],2,FALSE),0)</f>
        <v>0</v>
      </c>
      <c r="AB1271" s="246">
        <f>IFERROR(VLOOKUP(N1271,PROGRAMAS[],2,FALSE),0)</f>
        <v>0</v>
      </c>
      <c r="AC1271" s="246">
        <f>IFERROR(VLOOKUP(O1271,PROGRAMAS[],2,FALSE),0)</f>
        <v>0</v>
      </c>
      <c r="AD1271" s="246">
        <f>IFERROR(VLOOKUP(P1271,PROGRAMAS[],2,FALSE),0)</f>
        <v>0</v>
      </c>
      <c r="AE1271" s="246">
        <f>IFERROR(VLOOKUP(Q1271,PROGRAMAS[],2,FALSE),0)</f>
        <v>0</v>
      </c>
      <c r="AF1271" s="246">
        <f>IFERROR(VLOOKUP(D1271,PROGRAMAS[],3,FALSE),0)</f>
        <v>841888629.31080008</v>
      </c>
      <c r="AG1271" s="246">
        <f>IFERROR(VLOOKUP(E1271,PROGRAMAS[],3,FALSE),0)</f>
        <v>3848980803.1642323</v>
      </c>
      <c r="AH1271" s="246">
        <f>IFERROR(VLOOKUP(F1271,PROGRAMAS[],3,FALSE),0)</f>
        <v>3394901471.387517</v>
      </c>
      <c r="AI1271" s="246">
        <f>IFERROR(VLOOKUP(G1271,PROGRAMAS[],3,FALSE),0)</f>
        <v>125317226.95549992</v>
      </c>
      <c r="AJ1271" s="246">
        <f>IFERROR(VLOOKUP(H1271,PROGRAMAS[],3,FALSE),0)</f>
        <v>675517840.109828</v>
      </c>
      <c r="AK1271" s="246">
        <f>IFERROR(VLOOKUP(I1271,PROGRAMAS[],3,FALSE),0)</f>
        <v>2392571243.5584412</v>
      </c>
      <c r="AL1271" s="246">
        <f>IFERROR(VLOOKUP(J1271,PROGRAMAS[],3,FALSE),0)</f>
        <v>31865326.38096505</v>
      </c>
      <c r="AM1271" s="246">
        <f>IFERROR(VLOOKUP(K1271,PROGRAMAS[],3,FALSE),0)</f>
        <v>118617452.52510804</v>
      </c>
      <c r="AN1271" s="246">
        <f>IFERROR(VLOOKUP(L1271,PROGRAMAS[],3,FALSE),0)</f>
        <v>2406564599.0319901</v>
      </c>
      <c r="AO1271" s="246">
        <f>IFERROR(VLOOKUP(M1271,PROGRAMAS[],3,FALSE),0)</f>
        <v>0</v>
      </c>
      <c r="AP1271" s="246">
        <f>IFERROR(VLOOKUP(N1271,PROGRAMAS[],3,FALSE),0)</f>
        <v>0</v>
      </c>
      <c r="AQ1271" s="246">
        <f>IFERROR(VLOOKUP(O1271,PROGRAMAS[],3,FALSE),0)</f>
        <v>0</v>
      </c>
      <c r="AR1271" s="246">
        <f>IFERROR(VLOOKUP(P1271,PROGRAMAS[],3,FALSE),0)</f>
        <v>0</v>
      </c>
      <c r="AS1271" s="246">
        <f>IFERROR(VLOOKUP(Q1271,PROGRAMAS[],3,FALSE),0)</f>
        <v>0</v>
      </c>
      <c r="AT1271" s="246">
        <f>IFERROR(VLOOKUP(D1271,VOL_REC[],2,FALSE),0)</f>
        <v>0</v>
      </c>
      <c r="AU1271" s="246">
        <f>IFERROR(VLOOKUP(E1271,VOL_REC[],2,FALSE),0)</f>
        <v>0</v>
      </c>
      <c r="AV1271" s="246">
        <f>IFERROR(VLOOKUP(F1271,VOL_REC[],2,FALSE),0)</f>
        <v>11089674.200000001</v>
      </c>
      <c r="AW1271" s="246">
        <f>IFERROR(VLOOKUP(G1271,VOL_REC[],2,FALSE),0)</f>
        <v>90439.55</v>
      </c>
      <c r="AX1271" s="246">
        <f>IFERROR(VLOOKUP(H1271,VOL_REC[],2,FALSE),0)</f>
        <v>240696.79238099116</v>
      </c>
      <c r="AY1271" s="246">
        <f>IFERROR(VLOOKUP(I1271,VOL_REC[],2,FALSE),0)</f>
        <v>663244.80000000016</v>
      </c>
      <c r="AZ1271" s="246">
        <f>IFERROR(VLOOKUP(J1271,VOL_REC[],2,FALSE),0)</f>
        <v>17074.045034105649</v>
      </c>
      <c r="BA1271" s="246">
        <f>IFERROR(VLOOKUP(K1271,VOL_REC[],2,FALSE),0)</f>
        <v>105072</v>
      </c>
      <c r="BB1271" s="246">
        <f>IFERROR(VLOOKUP(L1271,VOL_REC[],2,FALSE),0)</f>
        <v>1072354.9981737854</v>
      </c>
      <c r="BC1271" s="246">
        <f>IFERROR(VLOOKUP(M1271,VOL_REC[],2,FALSE),0)</f>
        <v>0</v>
      </c>
      <c r="BD1271" s="246">
        <f>IFERROR(VLOOKUP(N1271,VOL_REC[],2,FALSE),0)</f>
        <v>0</v>
      </c>
      <c r="BE1271" s="246">
        <f>IFERROR(VLOOKUP(O1271,VOL_REC[],2,FALSE),0)</f>
        <v>0</v>
      </c>
      <c r="BF1271" s="246">
        <f>IFERROR(VLOOKUP(P1271,VOL_REC[],2,FALSE),0)</f>
        <v>0</v>
      </c>
      <c r="BG1271" s="246">
        <f>IFERROR(VLOOKUP(Q1271,VOL_REC[],2,FALSE),0)</f>
        <v>0</v>
      </c>
      <c r="BH1271" s="1710">
        <f t="shared" si="76"/>
        <v>15653780021.459513</v>
      </c>
      <c r="BI1271" s="1710">
        <f t="shared" si="77"/>
        <v>13836224592.424381</v>
      </c>
      <c r="BJ1271" s="1711">
        <f t="shared" si="78"/>
        <v>13278556.385588884</v>
      </c>
      <c r="BK1271" s="1711">
        <f t="shared" si="79"/>
        <v>1.1313620935316619</v>
      </c>
      <c r="BL1271">
        <f>BJ1271</f>
        <v>13278556.385588884</v>
      </c>
      <c r="BO1271">
        <f>BL1271</f>
        <v>13278556.385588884</v>
      </c>
    </row>
    <row r="1272" spans="3:67" x14ac:dyDescent="0.25">
      <c r="C1272" s="246" t="s">
        <v>2622</v>
      </c>
      <c r="D1272" s="246">
        <v>1</v>
      </c>
      <c r="E1272" s="246">
        <v>2</v>
      </c>
      <c r="F1272" s="246">
        <v>3</v>
      </c>
      <c r="G1272" s="246">
        <v>4</v>
      </c>
      <c r="H1272" s="246">
        <v>12</v>
      </c>
      <c r="I1272" s="246">
        <v>13</v>
      </c>
      <c r="J1272" s="246">
        <v>14</v>
      </c>
      <c r="K1272" s="246">
        <v>15</v>
      </c>
      <c r="L1272" s="246">
        <v>17</v>
      </c>
      <c r="M1272" s="246"/>
      <c r="N1272" s="246"/>
      <c r="O1272" s="246"/>
      <c r="P1272" s="246"/>
      <c r="Q1272" s="246"/>
      <c r="R1272" s="246">
        <f>IFERROR(VLOOKUP(D1272,PROGRAMAS[],2,FALSE),0)</f>
        <v>97037803.679377079</v>
      </c>
      <c r="S1272" s="246">
        <f>IFERROR(VLOOKUP(E1272,PROGRAMAS[],2,FALSE),0)</f>
        <v>640501509.6821388</v>
      </c>
      <c r="T1272" s="246">
        <f>IFERROR(VLOOKUP(F1272,PROGRAMAS[],2,FALSE),0)</f>
        <v>3062327798.1525245</v>
      </c>
      <c r="U1272" s="246">
        <f>IFERROR(VLOOKUP(G1272,PROGRAMAS[],2,FALSE),0)</f>
        <v>67697118.033011258</v>
      </c>
      <c r="V1272" s="246">
        <f>IFERROR(VLOOKUP(H1272,PROGRAMAS[],2,FALSE),0)</f>
        <v>764796700.79905891</v>
      </c>
      <c r="W1272" s="246">
        <f>IFERROR(VLOOKUP(I1272,PROGRAMAS[],2,FALSE),0)</f>
        <v>3776538594.4604583</v>
      </c>
      <c r="X1272" s="246">
        <f>IFERROR(VLOOKUP(J1272,PROGRAMAS[],2,FALSE),0)</f>
        <v>54223862.645839565</v>
      </c>
      <c r="Y1272" s="246">
        <f>IFERROR(VLOOKUP(K1272,PROGRAMAS[],2,FALSE),0)</f>
        <v>122159672.96346797</v>
      </c>
      <c r="Z1272" s="246">
        <f>IFERROR(VLOOKUP(L1272,PROGRAMAS[],2,FALSE),0)</f>
        <v>1892779498.5211046</v>
      </c>
      <c r="AA1272" s="246">
        <f>IFERROR(VLOOKUP(M1272,PROGRAMAS[],2,FALSE),0)</f>
        <v>0</v>
      </c>
      <c r="AB1272" s="246">
        <f>IFERROR(VLOOKUP(N1272,PROGRAMAS[],2,FALSE),0)</f>
        <v>0</v>
      </c>
      <c r="AC1272" s="246">
        <f>IFERROR(VLOOKUP(O1272,PROGRAMAS[],2,FALSE),0)</f>
        <v>0</v>
      </c>
      <c r="AD1272" s="246">
        <f>IFERROR(VLOOKUP(P1272,PROGRAMAS[],2,FALSE),0)</f>
        <v>0</v>
      </c>
      <c r="AE1272" s="246">
        <f>IFERROR(VLOOKUP(Q1272,PROGRAMAS[],2,FALSE),0)</f>
        <v>0</v>
      </c>
      <c r="AF1272" s="246">
        <f>IFERROR(VLOOKUP(D1272,PROGRAMAS[],3,FALSE),0)</f>
        <v>841888629.31080008</v>
      </c>
      <c r="AG1272" s="246">
        <f>IFERROR(VLOOKUP(E1272,PROGRAMAS[],3,FALSE),0)</f>
        <v>3848980803.1642323</v>
      </c>
      <c r="AH1272" s="246">
        <f>IFERROR(VLOOKUP(F1272,PROGRAMAS[],3,FALSE),0)</f>
        <v>3394901471.387517</v>
      </c>
      <c r="AI1272" s="246">
        <f>IFERROR(VLOOKUP(G1272,PROGRAMAS[],3,FALSE),0)</f>
        <v>125317226.95549992</v>
      </c>
      <c r="AJ1272" s="246">
        <f>IFERROR(VLOOKUP(H1272,PROGRAMAS[],3,FALSE),0)</f>
        <v>675517840.109828</v>
      </c>
      <c r="AK1272" s="246">
        <f>IFERROR(VLOOKUP(I1272,PROGRAMAS[],3,FALSE),0)</f>
        <v>2392571243.5584412</v>
      </c>
      <c r="AL1272" s="246">
        <f>IFERROR(VLOOKUP(J1272,PROGRAMAS[],3,FALSE),0)</f>
        <v>31865326.38096505</v>
      </c>
      <c r="AM1272" s="246">
        <f>IFERROR(VLOOKUP(K1272,PROGRAMAS[],3,FALSE),0)</f>
        <v>118617452.52510804</v>
      </c>
      <c r="AN1272" s="246">
        <f>IFERROR(VLOOKUP(L1272,PROGRAMAS[],3,FALSE),0)</f>
        <v>948595847.09039903</v>
      </c>
      <c r="AO1272" s="246">
        <f>IFERROR(VLOOKUP(M1272,PROGRAMAS[],3,FALSE),0)</f>
        <v>0</v>
      </c>
      <c r="AP1272" s="246">
        <f>IFERROR(VLOOKUP(N1272,PROGRAMAS[],3,FALSE),0)</f>
        <v>0</v>
      </c>
      <c r="AQ1272" s="246">
        <f>IFERROR(VLOOKUP(O1272,PROGRAMAS[],3,FALSE),0)</f>
        <v>0</v>
      </c>
      <c r="AR1272" s="246">
        <f>IFERROR(VLOOKUP(P1272,PROGRAMAS[],3,FALSE),0)</f>
        <v>0</v>
      </c>
      <c r="AS1272" s="246">
        <f>IFERROR(VLOOKUP(Q1272,PROGRAMAS[],3,FALSE),0)</f>
        <v>0</v>
      </c>
      <c r="AT1272" s="246">
        <f>IFERROR(VLOOKUP(D1272,VOL_REC[],2,FALSE),0)</f>
        <v>0</v>
      </c>
      <c r="AU1272" s="246">
        <f>IFERROR(VLOOKUP(E1272,VOL_REC[],2,FALSE),0)</f>
        <v>0</v>
      </c>
      <c r="AV1272" s="246">
        <f>IFERROR(VLOOKUP(F1272,VOL_REC[],2,FALSE),0)</f>
        <v>11089674.200000001</v>
      </c>
      <c r="AW1272" s="246">
        <f>IFERROR(VLOOKUP(G1272,VOL_REC[],2,FALSE),0)</f>
        <v>90439.55</v>
      </c>
      <c r="AX1272" s="246">
        <f>IFERROR(VLOOKUP(H1272,VOL_REC[],2,FALSE),0)</f>
        <v>240696.79238099116</v>
      </c>
      <c r="AY1272" s="246">
        <f>IFERROR(VLOOKUP(I1272,VOL_REC[],2,FALSE),0)</f>
        <v>663244.80000000016</v>
      </c>
      <c r="AZ1272" s="246">
        <f>IFERROR(VLOOKUP(J1272,VOL_REC[],2,FALSE),0)</f>
        <v>17074.045034105649</v>
      </c>
      <c r="BA1272" s="246">
        <f>IFERROR(VLOOKUP(K1272,VOL_REC[],2,FALSE),0)</f>
        <v>105072</v>
      </c>
      <c r="BB1272" s="246">
        <f>IFERROR(VLOOKUP(L1272,VOL_REC[],2,FALSE),0)</f>
        <v>740113.98115702497</v>
      </c>
      <c r="BC1272" s="246">
        <f>IFERROR(VLOOKUP(M1272,VOL_REC[],2,FALSE),0)</f>
        <v>0</v>
      </c>
      <c r="BD1272" s="246">
        <f>IFERROR(VLOOKUP(N1272,VOL_REC[],2,FALSE),0)</f>
        <v>0</v>
      </c>
      <c r="BE1272" s="246">
        <f>IFERROR(VLOOKUP(O1272,VOL_REC[],2,FALSE),0)</f>
        <v>0</v>
      </c>
      <c r="BF1272" s="246">
        <f>IFERROR(VLOOKUP(P1272,VOL_REC[],2,FALSE),0)</f>
        <v>0</v>
      </c>
      <c r="BG1272" s="246">
        <f>IFERROR(VLOOKUP(Q1272,VOL_REC[],2,FALSE),0)</f>
        <v>0</v>
      </c>
      <c r="BH1272" s="1710">
        <f t="shared" si="76"/>
        <v>10478062558.936981</v>
      </c>
      <c r="BI1272" s="1710">
        <f t="shared" si="77"/>
        <v>12378255840.48279</v>
      </c>
      <c r="BJ1272" s="1711">
        <f t="shared" si="78"/>
        <v>12946315.368572123</v>
      </c>
      <c r="BK1272" s="1711">
        <f t="shared" si="79"/>
        <v>0.84648941611537287</v>
      </c>
    </row>
    <row r="1273" spans="3:67" x14ac:dyDescent="0.25">
      <c r="C1273" s="246" t="s">
        <v>2623</v>
      </c>
      <c r="D1273" s="246">
        <v>1</v>
      </c>
      <c r="E1273" s="246">
        <v>2</v>
      </c>
      <c r="F1273" s="246">
        <v>3</v>
      </c>
      <c r="G1273" s="246">
        <v>4</v>
      </c>
      <c r="H1273" s="246">
        <v>12</v>
      </c>
      <c r="I1273" s="246">
        <v>13</v>
      </c>
      <c r="J1273" s="246">
        <v>14</v>
      </c>
      <c r="K1273" s="246">
        <v>16</v>
      </c>
      <c r="L1273" s="246">
        <v>17</v>
      </c>
      <c r="M1273" s="246"/>
      <c r="N1273" s="246"/>
      <c r="O1273" s="246"/>
      <c r="P1273" s="246"/>
      <c r="Q1273" s="246"/>
      <c r="R1273" s="246">
        <f>IFERROR(VLOOKUP(D1273,PROGRAMAS[],2,FALSE),0)</f>
        <v>97037803.679377079</v>
      </c>
      <c r="S1273" s="246">
        <f>IFERROR(VLOOKUP(E1273,PROGRAMAS[],2,FALSE),0)</f>
        <v>640501509.6821388</v>
      </c>
      <c r="T1273" s="246">
        <f>IFERROR(VLOOKUP(F1273,PROGRAMAS[],2,FALSE),0)</f>
        <v>3062327798.1525245</v>
      </c>
      <c r="U1273" s="246">
        <f>IFERROR(VLOOKUP(G1273,PROGRAMAS[],2,FALSE),0)</f>
        <v>67697118.033011258</v>
      </c>
      <c r="V1273" s="246">
        <f>IFERROR(VLOOKUP(H1273,PROGRAMAS[],2,FALSE),0)</f>
        <v>764796700.79905891</v>
      </c>
      <c r="W1273" s="246">
        <f>IFERROR(VLOOKUP(I1273,PROGRAMAS[],2,FALSE),0)</f>
        <v>3776538594.4604583</v>
      </c>
      <c r="X1273" s="246">
        <f>IFERROR(VLOOKUP(J1273,PROGRAMAS[],2,FALSE),0)</f>
        <v>54223862.645839565</v>
      </c>
      <c r="Y1273" s="246">
        <f>IFERROR(VLOOKUP(K1273,PROGRAMAS[],2,FALSE),0)</f>
        <v>7068496961.0436354</v>
      </c>
      <c r="Z1273" s="246">
        <f>IFERROR(VLOOKUP(L1273,PROGRAMAS[],2,FALSE),0)</f>
        <v>1892779498.5211046</v>
      </c>
      <c r="AA1273" s="246">
        <f>IFERROR(VLOOKUP(M1273,PROGRAMAS[],2,FALSE),0)</f>
        <v>0</v>
      </c>
      <c r="AB1273" s="246">
        <f>IFERROR(VLOOKUP(N1273,PROGRAMAS[],2,FALSE),0)</f>
        <v>0</v>
      </c>
      <c r="AC1273" s="246">
        <f>IFERROR(VLOOKUP(O1273,PROGRAMAS[],2,FALSE),0)</f>
        <v>0</v>
      </c>
      <c r="AD1273" s="246">
        <f>IFERROR(VLOOKUP(P1273,PROGRAMAS[],2,FALSE),0)</f>
        <v>0</v>
      </c>
      <c r="AE1273" s="246">
        <f>IFERROR(VLOOKUP(Q1273,PROGRAMAS[],2,FALSE),0)</f>
        <v>0</v>
      </c>
      <c r="AF1273" s="246">
        <f>IFERROR(VLOOKUP(D1273,PROGRAMAS[],3,FALSE),0)</f>
        <v>841888629.31080008</v>
      </c>
      <c r="AG1273" s="246">
        <f>IFERROR(VLOOKUP(E1273,PROGRAMAS[],3,FALSE),0)</f>
        <v>3848980803.1642323</v>
      </c>
      <c r="AH1273" s="246">
        <f>IFERROR(VLOOKUP(F1273,PROGRAMAS[],3,FALSE),0)</f>
        <v>3394901471.387517</v>
      </c>
      <c r="AI1273" s="246">
        <f>IFERROR(VLOOKUP(G1273,PROGRAMAS[],3,FALSE),0)</f>
        <v>125317226.95549992</v>
      </c>
      <c r="AJ1273" s="246">
        <f>IFERROR(VLOOKUP(H1273,PROGRAMAS[],3,FALSE),0)</f>
        <v>675517840.109828</v>
      </c>
      <c r="AK1273" s="246">
        <f>IFERROR(VLOOKUP(I1273,PROGRAMAS[],3,FALSE),0)</f>
        <v>2392571243.5584412</v>
      </c>
      <c r="AL1273" s="246">
        <f>IFERROR(VLOOKUP(J1273,PROGRAMAS[],3,FALSE),0)</f>
        <v>31865326.38096505</v>
      </c>
      <c r="AM1273" s="246">
        <f>IFERROR(VLOOKUP(K1273,PROGRAMAS[],3,FALSE),0)</f>
        <v>2406564599.0319901</v>
      </c>
      <c r="AN1273" s="246">
        <f>IFERROR(VLOOKUP(L1273,PROGRAMAS[],3,FALSE),0)</f>
        <v>948595847.09039903</v>
      </c>
      <c r="AO1273" s="246">
        <f>IFERROR(VLOOKUP(M1273,PROGRAMAS[],3,FALSE),0)</f>
        <v>0</v>
      </c>
      <c r="AP1273" s="246">
        <f>IFERROR(VLOOKUP(N1273,PROGRAMAS[],3,FALSE),0)</f>
        <v>0</v>
      </c>
      <c r="AQ1273" s="246">
        <f>IFERROR(VLOOKUP(O1273,PROGRAMAS[],3,FALSE),0)</f>
        <v>0</v>
      </c>
      <c r="AR1273" s="246">
        <f>IFERROR(VLOOKUP(P1273,PROGRAMAS[],3,FALSE),0)</f>
        <v>0</v>
      </c>
      <c r="AS1273" s="246">
        <f>IFERROR(VLOOKUP(Q1273,PROGRAMAS[],3,FALSE),0)</f>
        <v>0</v>
      </c>
      <c r="AT1273" s="246">
        <f>IFERROR(VLOOKUP(D1273,VOL_REC[],2,FALSE),0)</f>
        <v>0</v>
      </c>
      <c r="AU1273" s="246">
        <f>IFERROR(VLOOKUP(E1273,VOL_REC[],2,FALSE),0)</f>
        <v>0</v>
      </c>
      <c r="AV1273" s="246">
        <f>IFERROR(VLOOKUP(F1273,VOL_REC[],2,FALSE),0)</f>
        <v>11089674.200000001</v>
      </c>
      <c r="AW1273" s="246">
        <f>IFERROR(VLOOKUP(G1273,VOL_REC[],2,FALSE),0)</f>
        <v>90439.55</v>
      </c>
      <c r="AX1273" s="246">
        <f>IFERROR(VLOOKUP(H1273,VOL_REC[],2,FALSE),0)</f>
        <v>240696.79238099116</v>
      </c>
      <c r="AY1273" s="246">
        <f>IFERROR(VLOOKUP(I1273,VOL_REC[],2,FALSE),0)</f>
        <v>663244.80000000016</v>
      </c>
      <c r="AZ1273" s="246">
        <f>IFERROR(VLOOKUP(J1273,VOL_REC[],2,FALSE),0)</f>
        <v>17074.045034105649</v>
      </c>
      <c r="BA1273" s="246">
        <f>IFERROR(VLOOKUP(K1273,VOL_REC[],2,FALSE),0)</f>
        <v>1072354.9981737854</v>
      </c>
      <c r="BB1273" s="246">
        <f>IFERROR(VLOOKUP(L1273,VOL_REC[],2,FALSE),0)</f>
        <v>740113.98115702497</v>
      </c>
      <c r="BC1273" s="246">
        <f>IFERROR(VLOOKUP(M1273,VOL_REC[],2,FALSE),0)</f>
        <v>0</v>
      </c>
      <c r="BD1273" s="246">
        <f>IFERROR(VLOOKUP(N1273,VOL_REC[],2,FALSE),0)</f>
        <v>0</v>
      </c>
      <c r="BE1273" s="246">
        <f>IFERROR(VLOOKUP(O1273,VOL_REC[],2,FALSE),0)</f>
        <v>0</v>
      </c>
      <c r="BF1273" s="246">
        <f>IFERROR(VLOOKUP(P1273,VOL_REC[],2,FALSE),0)</f>
        <v>0</v>
      </c>
      <c r="BG1273" s="246">
        <f>IFERROR(VLOOKUP(Q1273,VOL_REC[],2,FALSE),0)</f>
        <v>0</v>
      </c>
      <c r="BH1273" s="1710">
        <f t="shared" si="76"/>
        <v>17424399847.017147</v>
      </c>
      <c r="BI1273" s="1710">
        <f t="shared" si="77"/>
        <v>14666202986.989672</v>
      </c>
      <c r="BJ1273" s="1711">
        <f t="shared" si="78"/>
        <v>13913598.36674591</v>
      </c>
      <c r="BK1273" s="1711">
        <f t="shared" si="79"/>
        <v>1.1880648223997896</v>
      </c>
      <c r="BL1273">
        <f>BJ1273</f>
        <v>13913598.36674591</v>
      </c>
      <c r="BO1273">
        <f>BL1273</f>
        <v>13913598.36674591</v>
      </c>
    </row>
    <row r="1274" spans="3:67" x14ac:dyDescent="0.25">
      <c r="C1274" s="246" t="s">
        <v>2624</v>
      </c>
      <c r="D1274" s="246">
        <v>1</v>
      </c>
      <c r="E1274" s="246">
        <v>2</v>
      </c>
      <c r="F1274" s="246">
        <v>3</v>
      </c>
      <c r="G1274" s="246">
        <v>4</v>
      </c>
      <c r="H1274" s="246">
        <v>12</v>
      </c>
      <c r="I1274" s="246">
        <v>13</v>
      </c>
      <c r="J1274" s="246">
        <v>15</v>
      </c>
      <c r="K1274" s="246">
        <v>16</v>
      </c>
      <c r="L1274" s="246">
        <v>17</v>
      </c>
      <c r="M1274" s="246"/>
      <c r="N1274" s="246"/>
      <c r="O1274" s="246"/>
      <c r="P1274" s="246"/>
      <c r="Q1274" s="246"/>
      <c r="R1274" s="246">
        <f>IFERROR(VLOOKUP(D1274,PROGRAMAS[],2,FALSE),0)</f>
        <v>97037803.679377079</v>
      </c>
      <c r="S1274" s="246">
        <f>IFERROR(VLOOKUP(E1274,PROGRAMAS[],2,FALSE),0)</f>
        <v>640501509.6821388</v>
      </c>
      <c r="T1274" s="246">
        <f>IFERROR(VLOOKUP(F1274,PROGRAMAS[],2,FALSE),0)</f>
        <v>3062327798.1525245</v>
      </c>
      <c r="U1274" s="246">
        <f>IFERROR(VLOOKUP(G1274,PROGRAMAS[],2,FALSE),0)</f>
        <v>67697118.033011258</v>
      </c>
      <c r="V1274" s="246">
        <f>IFERROR(VLOOKUP(H1274,PROGRAMAS[],2,FALSE),0)</f>
        <v>764796700.79905891</v>
      </c>
      <c r="W1274" s="246">
        <f>IFERROR(VLOOKUP(I1274,PROGRAMAS[],2,FALSE),0)</f>
        <v>3776538594.4604583</v>
      </c>
      <c r="X1274" s="246">
        <f>IFERROR(VLOOKUP(J1274,PROGRAMAS[],2,FALSE),0)</f>
        <v>122159672.96346797</v>
      </c>
      <c r="Y1274" s="246">
        <f>IFERROR(VLOOKUP(K1274,PROGRAMAS[],2,FALSE),0)</f>
        <v>7068496961.0436354</v>
      </c>
      <c r="Z1274" s="246">
        <f>IFERROR(VLOOKUP(L1274,PROGRAMAS[],2,FALSE),0)</f>
        <v>1892779498.5211046</v>
      </c>
      <c r="AA1274" s="246">
        <f>IFERROR(VLOOKUP(M1274,PROGRAMAS[],2,FALSE),0)</f>
        <v>0</v>
      </c>
      <c r="AB1274" s="246">
        <f>IFERROR(VLOOKUP(N1274,PROGRAMAS[],2,FALSE),0)</f>
        <v>0</v>
      </c>
      <c r="AC1274" s="246">
        <f>IFERROR(VLOOKUP(O1274,PROGRAMAS[],2,FALSE),0)</f>
        <v>0</v>
      </c>
      <c r="AD1274" s="246">
        <f>IFERROR(VLOOKUP(P1274,PROGRAMAS[],2,FALSE),0)</f>
        <v>0</v>
      </c>
      <c r="AE1274" s="246">
        <f>IFERROR(VLOOKUP(Q1274,PROGRAMAS[],2,FALSE),0)</f>
        <v>0</v>
      </c>
      <c r="AF1274" s="246">
        <f>IFERROR(VLOOKUP(D1274,PROGRAMAS[],3,FALSE),0)</f>
        <v>841888629.31080008</v>
      </c>
      <c r="AG1274" s="246">
        <f>IFERROR(VLOOKUP(E1274,PROGRAMAS[],3,FALSE),0)</f>
        <v>3848980803.1642323</v>
      </c>
      <c r="AH1274" s="246">
        <f>IFERROR(VLOOKUP(F1274,PROGRAMAS[],3,FALSE),0)</f>
        <v>3394901471.387517</v>
      </c>
      <c r="AI1274" s="246">
        <f>IFERROR(VLOOKUP(G1274,PROGRAMAS[],3,FALSE),0)</f>
        <v>125317226.95549992</v>
      </c>
      <c r="AJ1274" s="246">
        <f>IFERROR(VLOOKUP(H1274,PROGRAMAS[],3,FALSE),0)</f>
        <v>675517840.109828</v>
      </c>
      <c r="AK1274" s="246">
        <f>IFERROR(VLOOKUP(I1274,PROGRAMAS[],3,FALSE),0)</f>
        <v>2392571243.5584412</v>
      </c>
      <c r="AL1274" s="246">
        <f>IFERROR(VLOOKUP(J1274,PROGRAMAS[],3,FALSE),0)</f>
        <v>118617452.52510804</v>
      </c>
      <c r="AM1274" s="246">
        <f>IFERROR(VLOOKUP(K1274,PROGRAMAS[],3,FALSE),0)</f>
        <v>2406564599.0319901</v>
      </c>
      <c r="AN1274" s="246">
        <f>IFERROR(VLOOKUP(L1274,PROGRAMAS[],3,FALSE),0)</f>
        <v>948595847.09039903</v>
      </c>
      <c r="AO1274" s="246">
        <f>IFERROR(VLOOKUP(M1274,PROGRAMAS[],3,FALSE),0)</f>
        <v>0</v>
      </c>
      <c r="AP1274" s="246">
        <f>IFERROR(VLOOKUP(N1274,PROGRAMAS[],3,FALSE),0)</f>
        <v>0</v>
      </c>
      <c r="AQ1274" s="246">
        <f>IFERROR(VLOOKUP(O1274,PROGRAMAS[],3,FALSE),0)</f>
        <v>0</v>
      </c>
      <c r="AR1274" s="246">
        <f>IFERROR(VLOOKUP(P1274,PROGRAMAS[],3,FALSE),0)</f>
        <v>0</v>
      </c>
      <c r="AS1274" s="246">
        <f>IFERROR(VLOOKUP(Q1274,PROGRAMAS[],3,FALSE),0)</f>
        <v>0</v>
      </c>
      <c r="AT1274" s="246">
        <f>IFERROR(VLOOKUP(D1274,VOL_REC[],2,FALSE),0)</f>
        <v>0</v>
      </c>
      <c r="AU1274" s="246">
        <f>IFERROR(VLOOKUP(E1274,VOL_REC[],2,FALSE),0)</f>
        <v>0</v>
      </c>
      <c r="AV1274" s="246">
        <f>IFERROR(VLOOKUP(F1274,VOL_REC[],2,FALSE),0)</f>
        <v>11089674.200000001</v>
      </c>
      <c r="AW1274" s="246">
        <f>IFERROR(VLOOKUP(G1274,VOL_REC[],2,FALSE),0)</f>
        <v>90439.55</v>
      </c>
      <c r="AX1274" s="246">
        <f>IFERROR(VLOOKUP(H1274,VOL_REC[],2,FALSE),0)</f>
        <v>240696.79238099116</v>
      </c>
      <c r="AY1274" s="246">
        <f>IFERROR(VLOOKUP(I1274,VOL_REC[],2,FALSE),0)</f>
        <v>663244.80000000016</v>
      </c>
      <c r="AZ1274" s="246">
        <f>IFERROR(VLOOKUP(J1274,VOL_REC[],2,FALSE),0)</f>
        <v>105072</v>
      </c>
      <c r="BA1274" s="246">
        <f>IFERROR(VLOOKUP(K1274,VOL_REC[],2,FALSE),0)</f>
        <v>1072354.9981737854</v>
      </c>
      <c r="BB1274" s="246">
        <f>IFERROR(VLOOKUP(L1274,VOL_REC[],2,FALSE),0)</f>
        <v>740113.98115702497</v>
      </c>
      <c r="BC1274" s="246">
        <f>IFERROR(VLOOKUP(M1274,VOL_REC[],2,FALSE),0)</f>
        <v>0</v>
      </c>
      <c r="BD1274" s="246">
        <f>IFERROR(VLOOKUP(N1274,VOL_REC[],2,FALSE),0)</f>
        <v>0</v>
      </c>
      <c r="BE1274" s="246">
        <f>IFERROR(VLOOKUP(O1274,VOL_REC[],2,FALSE),0)</f>
        <v>0</v>
      </c>
      <c r="BF1274" s="246">
        <f>IFERROR(VLOOKUP(P1274,VOL_REC[],2,FALSE),0)</f>
        <v>0</v>
      </c>
      <c r="BG1274" s="246">
        <f>IFERROR(VLOOKUP(Q1274,VOL_REC[],2,FALSE),0)</f>
        <v>0</v>
      </c>
      <c r="BH1274" s="1710">
        <f t="shared" si="76"/>
        <v>17492335657.334778</v>
      </c>
      <c r="BI1274" s="1710">
        <f t="shared" si="77"/>
        <v>14752955113.133816</v>
      </c>
      <c r="BJ1274" s="1711">
        <f t="shared" si="78"/>
        <v>14001596.321711803</v>
      </c>
      <c r="BK1274" s="1711">
        <f t="shared" si="79"/>
        <v>1.185683513790551</v>
      </c>
      <c r="BL1274">
        <f>BJ1274</f>
        <v>14001596.321711803</v>
      </c>
      <c r="BO1274">
        <f>BL1274</f>
        <v>14001596.321711803</v>
      </c>
    </row>
    <row r="1275" spans="3:67" x14ac:dyDescent="0.25">
      <c r="C1275" s="246" t="s">
        <v>2625</v>
      </c>
      <c r="D1275" s="246">
        <v>1</v>
      </c>
      <c r="E1275" s="246">
        <v>2</v>
      </c>
      <c r="F1275" s="246">
        <v>3</v>
      </c>
      <c r="G1275" s="246">
        <v>4</v>
      </c>
      <c r="H1275" s="246">
        <v>12</v>
      </c>
      <c r="I1275" s="246">
        <v>14</v>
      </c>
      <c r="J1275" s="246">
        <v>15</v>
      </c>
      <c r="K1275" s="246">
        <v>16</v>
      </c>
      <c r="L1275" s="246">
        <v>17</v>
      </c>
      <c r="M1275" s="246"/>
      <c r="N1275" s="246"/>
      <c r="O1275" s="246"/>
      <c r="P1275" s="246"/>
      <c r="Q1275" s="246"/>
      <c r="R1275" s="246">
        <f>IFERROR(VLOOKUP(D1275,PROGRAMAS[],2,FALSE),0)</f>
        <v>97037803.679377079</v>
      </c>
      <c r="S1275" s="246">
        <f>IFERROR(VLOOKUP(E1275,PROGRAMAS[],2,FALSE),0)</f>
        <v>640501509.6821388</v>
      </c>
      <c r="T1275" s="246">
        <f>IFERROR(VLOOKUP(F1275,PROGRAMAS[],2,FALSE),0)</f>
        <v>3062327798.1525245</v>
      </c>
      <c r="U1275" s="246">
        <f>IFERROR(VLOOKUP(G1275,PROGRAMAS[],2,FALSE),0)</f>
        <v>67697118.033011258</v>
      </c>
      <c r="V1275" s="246">
        <f>IFERROR(VLOOKUP(H1275,PROGRAMAS[],2,FALSE),0)</f>
        <v>764796700.79905891</v>
      </c>
      <c r="W1275" s="246">
        <f>IFERROR(VLOOKUP(I1275,PROGRAMAS[],2,FALSE),0)</f>
        <v>54223862.645839565</v>
      </c>
      <c r="X1275" s="246">
        <f>IFERROR(VLOOKUP(J1275,PROGRAMAS[],2,FALSE),0)</f>
        <v>122159672.96346797</v>
      </c>
      <c r="Y1275" s="246">
        <f>IFERROR(VLOOKUP(K1275,PROGRAMAS[],2,FALSE),0)</f>
        <v>7068496961.0436354</v>
      </c>
      <c r="Z1275" s="246">
        <f>IFERROR(VLOOKUP(L1275,PROGRAMAS[],2,FALSE),0)</f>
        <v>1892779498.5211046</v>
      </c>
      <c r="AA1275" s="246">
        <f>IFERROR(VLOOKUP(M1275,PROGRAMAS[],2,FALSE),0)</f>
        <v>0</v>
      </c>
      <c r="AB1275" s="246">
        <f>IFERROR(VLOOKUP(N1275,PROGRAMAS[],2,FALSE),0)</f>
        <v>0</v>
      </c>
      <c r="AC1275" s="246">
        <f>IFERROR(VLOOKUP(O1275,PROGRAMAS[],2,FALSE),0)</f>
        <v>0</v>
      </c>
      <c r="AD1275" s="246">
        <f>IFERROR(VLOOKUP(P1275,PROGRAMAS[],2,FALSE),0)</f>
        <v>0</v>
      </c>
      <c r="AE1275" s="246">
        <f>IFERROR(VLOOKUP(Q1275,PROGRAMAS[],2,FALSE),0)</f>
        <v>0</v>
      </c>
      <c r="AF1275" s="246">
        <f>IFERROR(VLOOKUP(D1275,PROGRAMAS[],3,FALSE),0)</f>
        <v>841888629.31080008</v>
      </c>
      <c r="AG1275" s="246">
        <f>IFERROR(VLOOKUP(E1275,PROGRAMAS[],3,FALSE),0)</f>
        <v>3848980803.1642323</v>
      </c>
      <c r="AH1275" s="246">
        <f>IFERROR(VLOOKUP(F1275,PROGRAMAS[],3,FALSE),0)</f>
        <v>3394901471.387517</v>
      </c>
      <c r="AI1275" s="246">
        <f>IFERROR(VLOOKUP(G1275,PROGRAMAS[],3,FALSE),0)</f>
        <v>125317226.95549992</v>
      </c>
      <c r="AJ1275" s="246">
        <f>IFERROR(VLOOKUP(H1275,PROGRAMAS[],3,FALSE),0)</f>
        <v>675517840.109828</v>
      </c>
      <c r="AK1275" s="246">
        <f>IFERROR(VLOOKUP(I1275,PROGRAMAS[],3,FALSE),0)</f>
        <v>31865326.38096505</v>
      </c>
      <c r="AL1275" s="246">
        <f>IFERROR(VLOOKUP(J1275,PROGRAMAS[],3,FALSE),0)</f>
        <v>118617452.52510804</v>
      </c>
      <c r="AM1275" s="246">
        <f>IFERROR(VLOOKUP(K1275,PROGRAMAS[],3,FALSE),0)</f>
        <v>2406564599.0319901</v>
      </c>
      <c r="AN1275" s="246">
        <f>IFERROR(VLOOKUP(L1275,PROGRAMAS[],3,FALSE),0)</f>
        <v>948595847.09039903</v>
      </c>
      <c r="AO1275" s="246">
        <f>IFERROR(VLOOKUP(M1275,PROGRAMAS[],3,FALSE),0)</f>
        <v>0</v>
      </c>
      <c r="AP1275" s="246">
        <f>IFERROR(VLOOKUP(N1275,PROGRAMAS[],3,FALSE),0)</f>
        <v>0</v>
      </c>
      <c r="AQ1275" s="246">
        <f>IFERROR(VLOOKUP(O1275,PROGRAMAS[],3,FALSE),0)</f>
        <v>0</v>
      </c>
      <c r="AR1275" s="246">
        <f>IFERROR(VLOOKUP(P1275,PROGRAMAS[],3,FALSE),0)</f>
        <v>0</v>
      </c>
      <c r="AS1275" s="246">
        <f>IFERROR(VLOOKUP(Q1275,PROGRAMAS[],3,FALSE),0)</f>
        <v>0</v>
      </c>
      <c r="AT1275" s="246">
        <f>IFERROR(VLOOKUP(D1275,VOL_REC[],2,FALSE),0)</f>
        <v>0</v>
      </c>
      <c r="AU1275" s="246">
        <f>IFERROR(VLOOKUP(E1275,VOL_REC[],2,FALSE),0)</f>
        <v>0</v>
      </c>
      <c r="AV1275" s="246">
        <f>IFERROR(VLOOKUP(F1275,VOL_REC[],2,FALSE),0)</f>
        <v>11089674.200000001</v>
      </c>
      <c r="AW1275" s="246">
        <f>IFERROR(VLOOKUP(G1275,VOL_REC[],2,FALSE),0)</f>
        <v>90439.55</v>
      </c>
      <c r="AX1275" s="246">
        <f>IFERROR(VLOOKUP(H1275,VOL_REC[],2,FALSE),0)</f>
        <v>240696.79238099116</v>
      </c>
      <c r="AY1275" s="246">
        <f>IFERROR(VLOOKUP(I1275,VOL_REC[],2,FALSE),0)</f>
        <v>17074.045034105649</v>
      </c>
      <c r="AZ1275" s="246">
        <f>IFERROR(VLOOKUP(J1275,VOL_REC[],2,FALSE),0)</f>
        <v>105072</v>
      </c>
      <c r="BA1275" s="246">
        <f>IFERROR(VLOOKUP(K1275,VOL_REC[],2,FALSE),0)</f>
        <v>1072354.9981737854</v>
      </c>
      <c r="BB1275" s="246">
        <f>IFERROR(VLOOKUP(L1275,VOL_REC[],2,FALSE),0)</f>
        <v>740113.98115702497</v>
      </c>
      <c r="BC1275" s="246">
        <f>IFERROR(VLOOKUP(M1275,VOL_REC[],2,FALSE),0)</f>
        <v>0</v>
      </c>
      <c r="BD1275" s="246">
        <f>IFERROR(VLOOKUP(N1275,VOL_REC[],2,FALSE),0)</f>
        <v>0</v>
      </c>
      <c r="BE1275" s="246">
        <f>IFERROR(VLOOKUP(O1275,VOL_REC[],2,FALSE),0)</f>
        <v>0</v>
      </c>
      <c r="BF1275" s="246">
        <f>IFERROR(VLOOKUP(P1275,VOL_REC[],2,FALSE),0)</f>
        <v>0</v>
      </c>
      <c r="BG1275" s="246">
        <f>IFERROR(VLOOKUP(Q1275,VOL_REC[],2,FALSE),0)</f>
        <v>0</v>
      </c>
      <c r="BH1275" s="1710">
        <f t="shared" si="76"/>
        <v>13770020925.520159</v>
      </c>
      <c r="BI1275" s="1710">
        <f t="shared" si="77"/>
        <v>12392249195.956339</v>
      </c>
      <c r="BJ1275" s="1711">
        <f t="shared" si="78"/>
        <v>13355425.566745909</v>
      </c>
      <c r="BK1275" s="1711">
        <f t="shared" si="79"/>
        <v>1.1111801181349221</v>
      </c>
      <c r="BL1275">
        <f>BJ1275</f>
        <v>13355425.566745909</v>
      </c>
      <c r="BO1275">
        <f>BL1275</f>
        <v>13355425.566745909</v>
      </c>
    </row>
    <row r="1276" spans="3:67" x14ac:dyDescent="0.25">
      <c r="C1276" s="246" t="s">
        <v>2626</v>
      </c>
      <c r="D1276" s="246">
        <v>1</v>
      </c>
      <c r="E1276" s="246">
        <v>2</v>
      </c>
      <c r="F1276" s="246">
        <v>3</v>
      </c>
      <c r="G1276" s="246">
        <v>4</v>
      </c>
      <c r="H1276" s="246">
        <v>13</v>
      </c>
      <c r="I1276" s="246">
        <v>14</v>
      </c>
      <c r="J1276" s="246">
        <v>15</v>
      </c>
      <c r="K1276" s="246">
        <v>16</v>
      </c>
      <c r="L1276" s="246">
        <v>17</v>
      </c>
      <c r="M1276" s="246"/>
      <c r="N1276" s="246"/>
      <c r="O1276" s="246"/>
      <c r="P1276" s="246"/>
      <c r="Q1276" s="246"/>
      <c r="R1276" s="246">
        <f>IFERROR(VLOOKUP(D1276,PROGRAMAS[],2,FALSE),0)</f>
        <v>97037803.679377079</v>
      </c>
      <c r="S1276" s="246">
        <f>IFERROR(VLOOKUP(E1276,PROGRAMAS[],2,FALSE),0)</f>
        <v>640501509.6821388</v>
      </c>
      <c r="T1276" s="246">
        <f>IFERROR(VLOOKUP(F1276,PROGRAMAS[],2,FALSE),0)</f>
        <v>3062327798.1525245</v>
      </c>
      <c r="U1276" s="246">
        <f>IFERROR(VLOOKUP(G1276,PROGRAMAS[],2,FALSE),0)</f>
        <v>67697118.033011258</v>
      </c>
      <c r="V1276" s="246">
        <f>IFERROR(VLOOKUP(H1276,PROGRAMAS[],2,FALSE),0)</f>
        <v>3776538594.4604583</v>
      </c>
      <c r="W1276" s="246">
        <f>IFERROR(VLOOKUP(I1276,PROGRAMAS[],2,FALSE),0)</f>
        <v>54223862.645839565</v>
      </c>
      <c r="X1276" s="246">
        <f>IFERROR(VLOOKUP(J1276,PROGRAMAS[],2,FALSE),0)</f>
        <v>122159672.96346797</v>
      </c>
      <c r="Y1276" s="246">
        <f>IFERROR(VLOOKUP(K1276,PROGRAMAS[],2,FALSE),0)</f>
        <v>7068496961.0436354</v>
      </c>
      <c r="Z1276" s="246">
        <f>IFERROR(VLOOKUP(L1276,PROGRAMAS[],2,FALSE),0)</f>
        <v>1892779498.5211046</v>
      </c>
      <c r="AA1276" s="246">
        <f>IFERROR(VLOOKUP(M1276,PROGRAMAS[],2,FALSE),0)</f>
        <v>0</v>
      </c>
      <c r="AB1276" s="246">
        <f>IFERROR(VLOOKUP(N1276,PROGRAMAS[],2,FALSE),0)</f>
        <v>0</v>
      </c>
      <c r="AC1276" s="246">
        <f>IFERROR(VLOOKUP(O1276,PROGRAMAS[],2,FALSE),0)</f>
        <v>0</v>
      </c>
      <c r="AD1276" s="246">
        <f>IFERROR(VLOOKUP(P1276,PROGRAMAS[],2,FALSE),0)</f>
        <v>0</v>
      </c>
      <c r="AE1276" s="246">
        <f>IFERROR(VLOOKUP(Q1276,PROGRAMAS[],2,FALSE),0)</f>
        <v>0</v>
      </c>
      <c r="AF1276" s="246">
        <f>IFERROR(VLOOKUP(D1276,PROGRAMAS[],3,FALSE),0)</f>
        <v>841888629.31080008</v>
      </c>
      <c r="AG1276" s="246">
        <f>IFERROR(VLOOKUP(E1276,PROGRAMAS[],3,FALSE),0)</f>
        <v>3848980803.1642323</v>
      </c>
      <c r="AH1276" s="246">
        <f>IFERROR(VLOOKUP(F1276,PROGRAMAS[],3,FALSE),0)</f>
        <v>3394901471.387517</v>
      </c>
      <c r="AI1276" s="246">
        <f>IFERROR(VLOOKUP(G1276,PROGRAMAS[],3,FALSE),0)</f>
        <v>125317226.95549992</v>
      </c>
      <c r="AJ1276" s="246">
        <f>IFERROR(VLOOKUP(H1276,PROGRAMAS[],3,FALSE),0)</f>
        <v>2392571243.5584412</v>
      </c>
      <c r="AK1276" s="246">
        <f>IFERROR(VLOOKUP(I1276,PROGRAMAS[],3,FALSE),0)</f>
        <v>31865326.38096505</v>
      </c>
      <c r="AL1276" s="246">
        <f>IFERROR(VLOOKUP(J1276,PROGRAMAS[],3,FALSE),0)</f>
        <v>118617452.52510804</v>
      </c>
      <c r="AM1276" s="246">
        <f>IFERROR(VLOOKUP(K1276,PROGRAMAS[],3,FALSE),0)</f>
        <v>2406564599.0319901</v>
      </c>
      <c r="AN1276" s="246">
        <f>IFERROR(VLOOKUP(L1276,PROGRAMAS[],3,FALSE),0)</f>
        <v>948595847.09039903</v>
      </c>
      <c r="AO1276" s="246">
        <f>IFERROR(VLOOKUP(M1276,PROGRAMAS[],3,FALSE),0)</f>
        <v>0</v>
      </c>
      <c r="AP1276" s="246">
        <f>IFERROR(VLOOKUP(N1276,PROGRAMAS[],3,FALSE),0)</f>
        <v>0</v>
      </c>
      <c r="AQ1276" s="246">
        <f>IFERROR(VLOOKUP(O1276,PROGRAMAS[],3,FALSE),0)</f>
        <v>0</v>
      </c>
      <c r="AR1276" s="246">
        <f>IFERROR(VLOOKUP(P1276,PROGRAMAS[],3,FALSE),0)</f>
        <v>0</v>
      </c>
      <c r="AS1276" s="246">
        <f>IFERROR(VLOOKUP(Q1276,PROGRAMAS[],3,FALSE),0)</f>
        <v>0</v>
      </c>
      <c r="AT1276" s="246">
        <f>IFERROR(VLOOKUP(D1276,VOL_REC[],2,FALSE),0)</f>
        <v>0</v>
      </c>
      <c r="AU1276" s="246">
        <f>IFERROR(VLOOKUP(E1276,VOL_REC[],2,FALSE),0)</f>
        <v>0</v>
      </c>
      <c r="AV1276" s="246">
        <f>IFERROR(VLOOKUP(F1276,VOL_REC[],2,FALSE),0)</f>
        <v>11089674.200000001</v>
      </c>
      <c r="AW1276" s="246">
        <f>IFERROR(VLOOKUP(G1276,VOL_REC[],2,FALSE),0)</f>
        <v>90439.55</v>
      </c>
      <c r="AX1276" s="246">
        <f>IFERROR(VLOOKUP(H1276,VOL_REC[],2,FALSE),0)</f>
        <v>663244.80000000016</v>
      </c>
      <c r="AY1276" s="246">
        <f>IFERROR(VLOOKUP(I1276,VOL_REC[],2,FALSE),0)</f>
        <v>17074.045034105649</v>
      </c>
      <c r="AZ1276" s="246">
        <f>IFERROR(VLOOKUP(J1276,VOL_REC[],2,FALSE),0)</f>
        <v>105072</v>
      </c>
      <c r="BA1276" s="246">
        <f>IFERROR(VLOOKUP(K1276,VOL_REC[],2,FALSE),0)</f>
        <v>1072354.9981737854</v>
      </c>
      <c r="BB1276" s="246">
        <f>IFERROR(VLOOKUP(L1276,VOL_REC[],2,FALSE),0)</f>
        <v>740113.98115702497</v>
      </c>
      <c r="BC1276" s="246">
        <f>IFERROR(VLOOKUP(M1276,VOL_REC[],2,FALSE),0)</f>
        <v>0</v>
      </c>
      <c r="BD1276" s="246">
        <f>IFERROR(VLOOKUP(N1276,VOL_REC[],2,FALSE),0)</f>
        <v>0</v>
      </c>
      <c r="BE1276" s="246">
        <f>IFERROR(VLOOKUP(O1276,VOL_REC[],2,FALSE),0)</f>
        <v>0</v>
      </c>
      <c r="BF1276" s="246">
        <f>IFERROR(VLOOKUP(P1276,VOL_REC[],2,FALSE),0)</f>
        <v>0</v>
      </c>
      <c r="BG1276" s="246">
        <f>IFERROR(VLOOKUP(Q1276,VOL_REC[],2,FALSE),0)</f>
        <v>0</v>
      </c>
      <c r="BH1276" s="1710">
        <f t="shared" si="76"/>
        <v>16781762819.181559</v>
      </c>
      <c r="BI1276" s="1710">
        <f t="shared" si="77"/>
        <v>14109302599.404953</v>
      </c>
      <c r="BJ1276" s="1711">
        <f t="shared" si="78"/>
        <v>13777973.574364917</v>
      </c>
      <c r="BK1276" s="1711">
        <f t="shared" si="79"/>
        <v>1.18941122007613</v>
      </c>
      <c r="BL1276">
        <f>BJ1276</f>
        <v>13777973.574364917</v>
      </c>
      <c r="BO1276">
        <f>BL1276</f>
        <v>13777973.574364917</v>
      </c>
    </row>
    <row r="1277" spans="3:67" x14ac:dyDescent="0.25">
      <c r="C1277" s="246" t="s">
        <v>2627</v>
      </c>
      <c r="D1277" s="246">
        <v>1</v>
      </c>
      <c r="E1277" s="246">
        <v>2</v>
      </c>
      <c r="F1277" s="246">
        <v>3</v>
      </c>
      <c r="G1277" s="246">
        <v>5</v>
      </c>
      <c r="H1277" s="246">
        <v>6</v>
      </c>
      <c r="I1277" s="246">
        <v>9</v>
      </c>
      <c r="J1277" s="246">
        <v>10</v>
      </c>
      <c r="K1277" s="246">
        <v>12</v>
      </c>
      <c r="L1277" s="246">
        <v>13</v>
      </c>
      <c r="M1277" s="246"/>
      <c r="N1277" s="246"/>
      <c r="O1277" s="246"/>
      <c r="P1277" s="246"/>
      <c r="Q1277" s="246"/>
      <c r="R1277" s="246">
        <f>IFERROR(VLOOKUP(D1277,PROGRAMAS[],2,FALSE),0)</f>
        <v>97037803.679377079</v>
      </c>
      <c r="S1277" s="246">
        <f>IFERROR(VLOOKUP(E1277,PROGRAMAS[],2,FALSE),0)</f>
        <v>640501509.6821388</v>
      </c>
      <c r="T1277" s="246">
        <f>IFERROR(VLOOKUP(F1277,PROGRAMAS[],2,FALSE),0)</f>
        <v>3062327798.1525245</v>
      </c>
      <c r="U1277" s="246">
        <f>IFERROR(VLOOKUP(G1277,PROGRAMAS[],2,FALSE),0)</f>
        <v>1440941976.2528784</v>
      </c>
      <c r="V1277" s="246">
        <f>IFERROR(VLOOKUP(H1277,PROGRAMAS[],2,FALSE),0)</f>
        <v>6907648435.8447599</v>
      </c>
      <c r="W1277" s="246">
        <f>IFERROR(VLOOKUP(I1277,PROGRAMAS[],2,FALSE),0)</f>
        <v>6128579952.1618185</v>
      </c>
      <c r="X1277" s="246">
        <f>IFERROR(VLOOKUP(J1277,PROGRAMAS[],2,FALSE),0)</f>
        <v>4635315027.8751087</v>
      </c>
      <c r="Y1277" s="246">
        <f>IFERROR(VLOOKUP(K1277,PROGRAMAS[],2,FALSE),0)</f>
        <v>764796700.79905891</v>
      </c>
      <c r="Z1277" s="246">
        <f>IFERROR(VLOOKUP(L1277,PROGRAMAS[],2,FALSE),0)</f>
        <v>3776538594.4604583</v>
      </c>
      <c r="AA1277" s="246">
        <f>IFERROR(VLOOKUP(M1277,PROGRAMAS[],2,FALSE),0)</f>
        <v>0</v>
      </c>
      <c r="AB1277" s="246">
        <f>IFERROR(VLOOKUP(N1277,PROGRAMAS[],2,FALSE),0)</f>
        <v>0</v>
      </c>
      <c r="AC1277" s="246">
        <f>IFERROR(VLOOKUP(O1277,PROGRAMAS[],2,FALSE),0)</f>
        <v>0</v>
      </c>
      <c r="AD1277" s="246">
        <f>IFERROR(VLOOKUP(P1277,PROGRAMAS[],2,FALSE),0)</f>
        <v>0</v>
      </c>
      <c r="AE1277" s="246">
        <f>IFERROR(VLOOKUP(Q1277,PROGRAMAS[],2,FALSE),0)</f>
        <v>0</v>
      </c>
      <c r="AF1277" s="246">
        <f>IFERROR(VLOOKUP(D1277,PROGRAMAS[],3,FALSE),0)</f>
        <v>841888629.31080008</v>
      </c>
      <c r="AG1277" s="246">
        <f>IFERROR(VLOOKUP(E1277,PROGRAMAS[],3,FALSE),0)</f>
        <v>3848980803.1642323</v>
      </c>
      <c r="AH1277" s="246">
        <f>IFERROR(VLOOKUP(F1277,PROGRAMAS[],3,FALSE),0)</f>
        <v>3394901471.387517</v>
      </c>
      <c r="AI1277" s="246">
        <f>IFERROR(VLOOKUP(G1277,PROGRAMAS[],3,FALSE),0)</f>
        <v>1233505101.0616004</v>
      </c>
      <c r="AJ1277" s="246">
        <f>IFERROR(VLOOKUP(H1277,PROGRAMAS[],3,FALSE),0)</f>
        <v>6129902208.7912121</v>
      </c>
      <c r="AK1277" s="246">
        <f>IFERROR(VLOOKUP(I1277,PROGRAMAS[],3,FALSE),0)</f>
        <v>7011279577.519702</v>
      </c>
      <c r="AL1277" s="246">
        <f>IFERROR(VLOOKUP(J1277,PROGRAMAS[],3,FALSE),0)</f>
        <v>4099471734.9978786</v>
      </c>
      <c r="AM1277" s="246">
        <f>IFERROR(VLOOKUP(K1277,PROGRAMAS[],3,FALSE),0)</f>
        <v>675517840.109828</v>
      </c>
      <c r="AN1277" s="246">
        <f>IFERROR(VLOOKUP(L1277,PROGRAMAS[],3,FALSE),0)</f>
        <v>2392571243.5584412</v>
      </c>
      <c r="AO1277" s="246">
        <f>IFERROR(VLOOKUP(M1277,PROGRAMAS[],3,FALSE),0)</f>
        <v>0</v>
      </c>
      <c r="AP1277" s="246">
        <f>IFERROR(VLOOKUP(N1277,PROGRAMAS[],3,FALSE),0)</f>
        <v>0</v>
      </c>
      <c r="AQ1277" s="246">
        <f>IFERROR(VLOOKUP(O1277,PROGRAMAS[],3,FALSE),0)</f>
        <v>0</v>
      </c>
      <c r="AR1277" s="246">
        <f>IFERROR(VLOOKUP(P1277,PROGRAMAS[],3,FALSE),0)</f>
        <v>0</v>
      </c>
      <c r="AS1277" s="246">
        <f>IFERROR(VLOOKUP(Q1277,PROGRAMAS[],3,FALSE),0)</f>
        <v>0</v>
      </c>
      <c r="AT1277" s="246">
        <f>IFERROR(VLOOKUP(D1277,VOL_REC[],2,FALSE),0)</f>
        <v>0</v>
      </c>
      <c r="AU1277" s="246">
        <f>IFERROR(VLOOKUP(E1277,VOL_REC[],2,FALSE),0)</f>
        <v>0</v>
      </c>
      <c r="AV1277" s="246">
        <f>IFERROR(VLOOKUP(F1277,VOL_REC[],2,FALSE),0)</f>
        <v>11089674.200000001</v>
      </c>
      <c r="AW1277" s="246">
        <f>IFERROR(VLOOKUP(G1277,VOL_REC[],2,FALSE),0)</f>
        <v>4325103.1812214684</v>
      </c>
      <c r="AX1277" s="246">
        <f>IFERROR(VLOOKUP(H1277,VOL_REC[],2,FALSE),0)</f>
        <v>15540036.397699751</v>
      </c>
      <c r="AY1277" s="246">
        <f>IFERROR(VLOOKUP(I1277,VOL_REC[],2,FALSE),0)</f>
        <v>3761786</v>
      </c>
      <c r="AZ1277" s="246">
        <f>IFERROR(VLOOKUP(J1277,VOL_REC[],2,FALSE),0)</f>
        <v>1812240</v>
      </c>
      <c r="BA1277" s="246">
        <f>IFERROR(VLOOKUP(K1277,VOL_REC[],2,FALSE),0)</f>
        <v>240696.79238099116</v>
      </c>
      <c r="BB1277" s="246">
        <f>IFERROR(VLOOKUP(L1277,VOL_REC[],2,FALSE),0)</f>
        <v>663244.80000000016</v>
      </c>
      <c r="BC1277" s="246">
        <f>IFERROR(VLOOKUP(M1277,VOL_REC[],2,FALSE),0)</f>
        <v>0</v>
      </c>
      <c r="BD1277" s="246">
        <f>IFERROR(VLOOKUP(N1277,VOL_REC[],2,FALSE),0)</f>
        <v>0</v>
      </c>
      <c r="BE1277" s="246">
        <f>IFERROR(VLOOKUP(O1277,VOL_REC[],2,FALSE),0)</f>
        <v>0</v>
      </c>
      <c r="BF1277" s="246">
        <f>IFERROR(VLOOKUP(P1277,VOL_REC[],2,FALSE),0)</f>
        <v>0</v>
      </c>
      <c r="BG1277" s="246">
        <f>IFERROR(VLOOKUP(Q1277,VOL_REC[],2,FALSE),0)</f>
        <v>0</v>
      </c>
      <c r="BH1277" s="1710">
        <f t="shared" si="76"/>
        <v>27453687798.908119</v>
      </c>
      <c r="BI1277" s="1710">
        <f t="shared" si="77"/>
        <v>29628018609.901215</v>
      </c>
      <c r="BJ1277" s="1711">
        <f t="shared" si="78"/>
        <v>37432781.371302202</v>
      </c>
      <c r="BK1277" s="1711">
        <f t="shared" si="79"/>
        <v>0.92661234490157673</v>
      </c>
    </row>
    <row r="1278" spans="3:67" x14ac:dyDescent="0.25">
      <c r="C1278" s="246" t="s">
        <v>2628</v>
      </c>
      <c r="D1278" s="246">
        <v>1</v>
      </c>
      <c r="E1278" s="246">
        <v>2</v>
      </c>
      <c r="F1278" s="246">
        <v>3</v>
      </c>
      <c r="G1278" s="246">
        <v>5</v>
      </c>
      <c r="H1278" s="246">
        <v>6</v>
      </c>
      <c r="I1278" s="246">
        <v>9</v>
      </c>
      <c r="J1278" s="246">
        <v>10</v>
      </c>
      <c r="K1278" s="246">
        <v>12</v>
      </c>
      <c r="L1278" s="246">
        <v>14</v>
      </c>
      <c r="M1278" s="246"/>
      <c r="N1278" s="246"/>
      <c r="O1278" s="246"/>
      <c r="P1278" s="246"/>
      <c r="Q1278" s="246"/>
      <c r="R1278" s="246">
        <f>IFERROR(VLOOKUP(D1278,PROGRAMAS[],2,FALSE),0)</f>
        <v>97037803.679377079</v>
      </c>
      <c r="S1278" s="246">
        <f>IFERROR(VLOOKUP(E1278,PROGRAMAS[],2,FALSE),0)</f>
        <v>640501509.6821388</v>
      </c>
      <c r="T1278" s="246">
        <f>IFERROR(VLOOKUP(F1278,PROGRAMAS[],2,FALSE),0)</f>
        <v>3062327798.1525245</v>
      </c>
      <c r="U1278" s="246">
        <f>IFERROR(VLOOKUP(G1278,PROGRAMAS[],2,FALSE),0)</f>
        <v>1440941976.2528784</v>
      </c>
      <c r="V1278" s="246">
        <f>IFERROR(VLOOKUP(H1278,PROGRAMAS[],2,FALSE),0)</f>
        <v>6907648435.8447599</v>
      </c>
      <c r="W1278" s="246">
        <f>IFERROR(VLOOKUP(I1278,PROGRAMAS[],2,FALSE),0)</f>
        <v>6128579952.1618185</v>
      </c>
      <c r="X1278" s="246">
        <f>IFERROR(VLOOKUP(J1278,PROGRAMAS[],2,FALSE),0)</f>
        <v>4635315027.8751087</v>
      </c>
      <c r="Y1278" s="246">
        <f>IFERROR(VLOOKUP(K1278,PROGRAMAS[],2,FALSE),0)</f>
        <v>764796700.79905891</v>
      </c>
      <c r="Z1278" s="246">
        <f>IFERROR(VLOOKUP(L1278,PROGRAMAS[],2,FALSE),0)</f>
        <v>54223862.645839565</v>
      </c>
      <c r="AA1278" s="246">
        <f>IFERROR(VLOOKUP(M1278,PROGRAMAS[],2,FALSE),0)</f>
        <v>0</v>
      </c>
      <c r="AB1278" s="246">
        <f>IFERROR(VLOOKUP(N1278,PROGRAMAS[],2,FALSE),0)</f>
        <v>0</v>
      </c>
      <c r="AC1278" s="246">
        <f>IFERROR(VLOOKUP(O1278,PROGRAMAS[],2,FALSE),0)</f>
        <v>0</v>
      </c>
      <c r="AD1278" s="246">
        <f>IFERROR(VLOOKUP(P1278,PROGRAMAS[],2,FALSE),0)</f>
        <v>0</v>
      </c>
      <c r="AE1278" s="246">
        <f>IFERROR(VLOOKUP(Q1278,PROGRAMAS[],2,FALSE),0)</f>
        <v>0</v>
      </c>
      <c r="AF1278" s="246">
        <f>IFERROR(VLOOKUP(D1278,PROGRAMAS[],3,FALSE),0)</f>
        <v>841888629.31080008</v>
      </c>
      <c r="AG1278" s="246">
        <f>IFERROR(VLOOKUP(E1278,PROGRAMAS[],3,FALSE),0)</f>
        <v>3848980803.1642323</v>
      </c>
      <c r="AH1278" s="246">
        <f>IFERROR(VLOOKUP(F1278,PROGRAMAS[],3,FALSE),0)</f>
        <v>3394901471.387517</v>
      </c>
      <c r="AI1278" s="246">
        <f>IFERROR(VLOOKUP(G1278,PROGRAMAS[],3,FALSE),0)</f>
        <v>1233505101.0616004</v>
      </c>
      <c r="AJ1278" s="246">
        <f>IFERROR(VLOOKUP(H1278,PROGRAMAS[],3,FALSE),0)</f>
        <v>6129902208.7912121</v>
      </c>
      <c r="AK1278" s="246">
        <f>IFERROR(VLOOKUP(I1278,PROGRAMAS[],3,FALSE),0)</f>
        <v>7011279577.519702</v>
      </c>
      <c r="AL1278" s="246">
        <f>IFERROR(VLOOKUP(J1278,PROGRAMAS[],3,FALSE),0)</f>
        <v>4099471734.9978786</v>
      </c>
      <c r="AM1278" s="246">
        <f>IFERROR(VLOOKUP(K1278,PROGRAMAS[],3,FALSE),0)</f>
        <v>675517840.109828</v>
      </c>
      <c r="AN1278" s="246">
        <f>IFERROR(VLOOKUP(L1278,PROGRAMAS[],3,FALSE),0)</f>
        <v>31865326.38096505</v>
      </c>
      <c r="AO1278" s="246">
        <f>IFERROR(VLOOKUP(M1278,PROGRAMAS[],3,FALSE),0)</f>
        <v>0</v>
      </c>
      <c r="AP1278" s="246">
        <f>IFERROR(VLOOKUP(N1278,PROGRAMAS[],3,FALSE),0)</f>
        <v>0</v>
      </c>
      <c r="AQ1278" s="246">
        <f>IFERROR(VLOOKUP(O1278,PROGRAMAS[],3,FALSE),0)</f>
        <v>0</v>
      </c>
      <c r="AR1278" s="246">
        <f>IFERROR(VLOOKUP(P1278,PROGRAMAS[],3,FALSE),0)</f>
        <v>0</v>
      </c>
      <c r="AS1278" s="246">
        <f>IFERROR(VLOOKUP(Q1278,PROGRAMAS[],3,FALSE),0)</f>
        <v>0</v>
      </c>
      <c r="AT1278" s="246">
        <f>IFERROR(VLOOKUP(D1278,VOL_REC[],2,FALSE),0)</f>
        <v>0</v>
      </c>
      <c r="AU1278" s="246">
        <f>IFERROR(VLOOKUP(E1278,VOL_REC[],2,FALSE),0)</f>
        <v>0</v>
      </c>
      <c r="AV1278" s="246">
        <f>IFERROR(VLOOKUP(F1278,VOL_REC[],2,FALSE),0)</f>
        <v>11089674.200000001</v>
      </c>
      <c r="AW1278" s="246">
        <f>IFERROR(VLOOKUP(G1278,VOL_REC[],2,FALSE),0)</f>
        <v>4325103.1812214684</v>
      </c>
      <c r="AX1278" s="246">
        <f>IFERROR(VLOOKUP(H1278,VOL_REC[],2,FALSE),0)</f>
        <v>15540036.397699751</v>
      </c>
      <c r="AY1278" s="246">
        <f>IFERROR(VLOOKUP(I1278,VOL_REC[],2,FALSE),0)</f>
        <v>3761786</v>
      </c>
      <c r="AZ1278" s="246">
        <f>IFERROR(VLOOKUP(J1278,VOL_REC[],2,FALSE),0)</f>
        <v>1812240</v>
      </c>
      <c r="BA1278" s="246">
        <f>IFERROR(VLOOKUP(K1278,VOL_REC[],2,FALSE),0)</f>
        <v>240696.79238099116</v>
      </c>
      <c r="BB1278" s="246">
        <f>IFERROR(VLOOKUP(L1278,VOL_REC[],2,FALSE),0)</f>
        <v>17074.045034105649</v>
      </c>
      <c r="BC1278" s="246">
        <f>IFERROR(VLOOKUP(M1278,VOL_REC[],2,FALSE),0)</f>
        <v>0</v>
      </c>
      <c r="BD1278" s="246">
        <f>IFERROR(VLOOKUP(N1278,VOL_REC[],2,FALSE),0)</f>
        <v>0</v>
      </c>
      <c r="BE1278" s="246">
        <f>IFERROR(VLOOKUP(O1278,VOL_REC[],2,FALSE),0)</f>
        <v>0</v>
      </c>
      <c r="BF1278" s="246">
        <f>IFERROR(VLOOKUP(P1278,VOL_REC[],2,FALSE),0)</f>
        <v>0</v>
      </c>
      <c r="BG1278" s="246">
        <f>IFERROR(VLOOKUP(Q1278,VOL_REC[],2,FALSE),0)</f>
        <v>0</v>
      </c>
      <c r="BH1278" s="1710">
        <f t="shared" si="76"/>
        <v>23731373067.093502</v>
      </c>
      <c r="BI1278" s="1710">
        <f t="shared" si="77"/>
        <v>27267312692.72374</v>
      </c>
      <c r="BJ1278" s="1711">
        <f t="shared" si="78"/>
        <v>36786610.616336308</v>
      </c>
      <c r="BK1278" s="1711">
        <f t="shared" si="79"/>
        <v>0.87032313504902881</v>
      </c>
    </row>
    <row r="1279" spans="3:67" x14ac:dyDescent="0.25">
      <c r="C1279" s="246" t="s">
        <v>2629</v>
      </c>
      <c r="D1279" s="246">
        <v>1</v>
      </c>
      <c r="E1279" s="246">
        <v>2</v>
      </c>
      <c r="F1279" s="246">
        <v>3</v>
      </c>
      <c r="G1279" s="246">
        <v>5</v>
      </c>
      <c r="H1279" s="246">
        <v>6</v>
      </c>
      <c r="I1279" s="246">
        <v>9</v>
      </c>
      <c r="J1279" s="246">
        <v>10</v>
      </c>
      <c r="K1279" s="246">
        <v>12</v>
      </c>
      <c r="L1279" s="246">
        <v>15</v>
      </c>
      <c r="M1279" s="246"/>
      <c r="N1279" s="246"/>
      <c r="O1279" s="246"/>
      <c r="P1279" s="246"/>
      <c r="Q1279" s="246"/>
      <c r="R1279" s="246">
        <f>IFERROR(VLOOKUP(D1279,PROGRAMAS[],2,FALSE),0)</f>
        <v>97037803.679377079</v>
      </c>
      <c r="S1279" s="246">
        <f>IFERROR(VLOOKUP(E1279,PROGRAMAS[],2,FALSE),0)</f>
        <v>640501509.6821388</v>
      </c>
      <c r="T1279" s="246">
        <f>IFERROR(VLOOKUP(F1279,PROGRAMAS[],2,FALSE),0)</f>
        <v>3062327798.1525245</v>
      </c>
      <c r="U1279" s="246">
        <f>IFERROR(VLOOKUP(G1279,PROGRAMAS[],2,FALSE),0)</f>
        <v>1440941976.2528784</v>
      </c>
      <c r="V1279" s="246">
        <f>IFERROR(VLOOKUP(H1279,PROGRAMAS[],2,FALSE),0)</f>
        <v>6907648435.8447599</v>
      </c>
      <c r="W1279" s="246">
        <f>IFERROR(VLOOKUP(I1279,PROGRAMAS[],2,FALSE),0)</f>
        <v>6128579952.1618185</v>
      </c>
      <c r="X1279" s="246">
        <f>IFERROR(VLOOKUP(J1279,PROGRAMAS[],2,FALSE),0)</f>
        <v>4635315027.8751087</v>
      </c>
      <c r="Y1279" s="246">
        <f>IFERROR(VLOOKUP(K1279,PROGRAMAS[],2,FALSE),0)</f>
        <v>764796700.79905891</v>
      </c>
      <c r="Z1279" s="246">
        <f>IFERROR(VLOOKUP(L1279,PROGRAMAS[],2,FALSE),0)</f>
        <v>122159672.96346797</v>
      </c>
      <c r="AA1279" s="246">
        <f>IFERROR(VLOOKUP(M1279,PROGRAMAS[],2,FALSE),0)</f>
        <v>0</v>
      </c>
      <c r="AB1279" s="246">
        <f>IFERROR(VLOOKUP(N1279,PROGRAMAS[],2,FALSE),0)</f>
        <v>0</v>
      </c>
      <c r="AC1279" s="246">
        <f>IFERROR(VLOOKUP(O1279,PROGRAMAS[],2,FALSE),0)</f>
        <v>0</v>
      </c>
      <c r="AD1279" s="246">
        <f>IFERROR(VLOOKUP(P1279,PROGRAMAS[],2,FALSE),0)</f>
        <v>0</v>
      </c>
      <c r="AE1279" s="246">
        <f>IFERROR(VLOOKUP(Q1279,PROGRAMAS[],2,FALSE),0)</f>
        <v>0</v>
      </c>
      <c r="AF1279" s="246">
        <f>IFERROR(VLOOKUP(D1279,PROGRAMAS[],3,FALSE),0)</f>
        <v>841888629.31080008</v>
      </c>
      <c r="AG1279" s="246">
        <f>IFERROR(VLOOKUP(E1279,PROGRAMAS[],3,FALSE),0)</f>
        <v>3848980803.1642323</v>
      </c>
      <c r="AH1279" s="246">
        <f>IFERROR(VLOOKUP(F1279,PROGRAMAS[],3,FALSE),0)</f>
        <v>3394901471.387517</v>
      </c>
      <c r="AI1279" s="246">
        <f>IFERROR(VLOOKUP(G1279,PROGRAMAS[],3,FALSE),0)</f>
        <v>1233505101.0616004</v>
      </c>
      <c r="AJ1279" s="246">
        <f>IFERROR(VLOOKUP(H1279,PROGRAMAS[],3,FALSE),0)</f>
        <v>6129902208.7912121</v>
      </c>
      <c r="AK1279" s="246">
        <f>IFERROR(VLOOKUP(I1279,PROGRAMAS[],3,FALSE),0)</f>
        <v>7011279577.519702</v>
      </c>
      <c r="AL1279" s="246">
        <f>IFERROR(VLOOKUP(J1279,PROGRAMAS[],3,FALSE),0)</f>
        <v>4099471734.9978786</v>
      </c>
      <c r="AM1279" s="246">
        <f>IFERROR(VLOOKUP(K1279,PROGRAMAS[],3,FALSE),0)</f>
        <v>675517840.109828</v>
      </c>
      <c r="AN1279" s="246">
        <f>IFERROR(VLOOKUP(L1279,PROGRAMAS[],3,FALSE),0)</f>
        <v>118617452.52510804</v>
      </c>
      <c r="AO1279" s="246">
        <f>IFERROR(VLOOKUP(M1279,PROGRAMAS[],3,FALSE),0)</f>
        <v>0</v>
      </c>
      <c r="AP1279" s="246">
        <f>IFERROR(VLOOKUP(N1279,PROGRAMAS[],3,FALSE),0)</f>
        <v>0</v>
      </c>
      <c r="AQ1279" s="246">
        <f>IFERROR(VLOOKUP(O1279,PROGRAMAS[],3,FALSE),0)</f>
        <v>0</v>
      </c>
      <c r="AR1279" s="246">
        <f>IFERROR(VLOOKUP(P1279,PROGRAMAS[],3,FALSE),0)</f>
        <v>0</v>
      </c>
      <c r="AS1279" s="246">
        <f>IFERROR(VLOOKUP(Q1279,PROGRAMAS[],3,FALSE),0)</f>
        <v>0</v>
      </c>
      <c r="AT1279" s="246">
        <f>IFERROR(VLOOKUP(D1279,VOL_REC[],2,FALSE),0)</f>
        <v>0</v>
      </c>
      <c r="AU1279" s="246">
        <f>IFERROR(VLOOKUP(E1279,VOL_REC[],2,FALSE),0)</f>
        <v>0</v>
      </c>
      <c r="AV1279" s="246">
        <f>IFERROR(VLOOKUP(F1279,VOL_REC[],2,FALSE),0)</f>
        <v>11089674.200000001</v>
      </c>
      <c r="AW1279" s="246">
        <f>IFERROR(VLOOKUP(G1279,VOL_REC[],2,FALSE),0)</f>
        <v>4325103.1812214684</v>
      </c>
      <c r="AX1279" s="246">
        <f>IFERROR(VLOOKUP(H1279,VOL_REC[],2,FALSE),0)</f>
        <v>15540036.397699751</v>
      </c>
      <c r="AY1279" s="246">
        <f>IFERROR(VLOOKUP(I1279,VOL_REC[],2,FALSE),0)</f>
        <v>3761786</v>
      </c>
      <c r="AZ1279" s="246">
        <f>IFERROR(VLOOKUP(J1279,VOL_REC[],2,FALSE),0)</f>
        <v>1812240</v>
      </c>
      <c r="BA1279" s="246">
        <f>IFERROR(VLOOKUP(K1279,VOL_REC[],2,FALSE),0)</f>
        <v>240696.79238099116</v>
      </c>
      <c r="BB1279" s="246">
        <f>IFERROR(VLOOKUP(L1279,VOL_REC[],2,FALSE),0)</f>
        <v>105072</v>
      </c>
      <c r="BC1279" s="246">
        <f>IFERROR(VLOOKUP(M1279,VOL_REC[],2,FALSE),0)</f>
        <v>0</v>
      </c>
      <c r="BD1279" s="246">
        <f>IFERROR(VLOOKUP(N1279,VOL_REC[],2,FALSE),0)</f>
        <v>0</v>
      </c>
      <c r="BE1279" s="246">
        <f>IFERROR(VLOOKUP(O1279,VOL_REC[],2,FALSE),0)</f>
        <v>0</v>
      </c>
      <c r="BF1279" s="246">
        <f>IFERROR(VLOOKUP(P1279,VOL_REC[],2,FALSE),0)</f>
        <v>0</v>
      </c>
      <c r="BG1279" s="246">
        <f>IFERROR(VLOOKUP(Q1279,VOL_REC[],2,FALSE),0)</f>
        <v>0</v>
      </c>
      <c r="BH1279" s="1710">
        <f t="shared" si="76"/>
        <v>23799308877.411129</v>
      </c>
      <c r="BI1279" s="1710">
        <f t="shared" si="77"/>
        <v>27354064818.867882</v>
      </c>
      <c r="BJ1279" s="1711">
        <f t="shared" si="78"/>
        <v>36874608.571302205</v>
      </c>
      <c r="BK1279" s="1711">
        <f t="shared" si="79"/>
        <v>0.87004651904587116</v>
      </c>
    </row>
    <row r="1280" spans="3:67" x14ac:dyDescent="0.25">
      <c r="C1280" s="246" t="s">
        <v>2630</v>
      </c>
      <c r="D1280" s="246">
        <v>1</v>
      </c>
      <c r="E1280" s="246">
        <v>2</v>
      </c>
      <c r="F1280" s="246">
        <v>3</v>
      </c>
      <c r="G1280" s="246">
        <v>5</v>
      </c>
      <c r="H1280" s="246">
        <v>6</v>
      </c>
      <c r="I1280" s="246">
        <v>9</v>
      </c>
      <c r="J1280" s="246">
        <v>10</v>
      </c>
      <c r="K1280" s="246">
        <v>12</v>
      </c>
      <c r="L1280" s="246">
        <v>16</v>
      </c>
      <c r="M1280" s="246"/>
      <c r="N1280" s="246"/>
      <c r="O1280" s="246"/>
      <c r="P1280" s="246"/>
      <c r="Q1280" s="246"/>
      <c r="R1280" s="246">
        <f>IFERROR(VLOOKUP(D1280,PROGRAMAS[],2,FALSE),0)</f>
        <v>97037803.679377079</v>
      </c>
      <c r="S1280" s="246">
        <f>IFERROR(VLOOKUP(E1280,PROGRAMAS[],2,FALSE),0)</f>
        <v>640501509.6821388</v>
      </c>
      <c r="T1280" s="246">
        <f>IFERROR(VLOOKUP(F1280,PROGRAMAS[],2,FALSE),0)</f>
        <v>3062327798.1525245</v>
      </c>
      <c r="U1280" s="246">
        <f>IFERROR(VLOOKUP(G1280,PROGRAMAS[],2,FALSE),0)</f>
        <v>1440941976.2528784</v>
      </c>
      <c r="V1280" s="246">
        <f>IFERROR(VLOOKUP(H1280,PROGRAMAS[],2,FALSE),0)</f>
        <v>6907648435.8447599</v>
      </c>
      <c r="W1280" s="246">
        <f>IFERROR(VLOOKUP(I1280,PROGRAMAS[],2,FALSE),0)</f>
        <v>6128579952.1618185</v>
      </c>
      <c r="X1280" s="246">
        <f>IFERROR(VLOOKUP(J1280,PROGRAMAS[],2,FALSE),0)</f>
        <v>4635315027.8751087</v>
      </c>
      <c r="Y1280" s="246">
        <f>IFERROR(VLOOKUP(K1280,PROGRAMAS[],2,FALSE),0)</f>
        <v>764796700.79905891</v>
      </c>
      <c r="Z1280" s="246">
        <f>IFERROR(VLOOKUP(L1280,PROGRAMAS[],2,FALSE),0)</f>
        <v>7068496961.0436354</v>
      </c>
      <c r="AA1280" s="246">
        <f>IFERROR(VLOOKUP(M1280,PROGRAMAS[],2,FALSE),0)</f>
        <v>0</v>
      </c>
      <c r="AB1280" s="246">
        <f>IFERROR(VLOOKUP(N1280,PROGRAMAS[],2,FALSE),0)</f>
        <v>0</v>
      </c>
      <c r="AC1280" s="246">
        <f>IFERROR(VLOOKUP(O1280,PROGRAMAS[],2,FALSE),0)</f>
        <v>0</v>
      </c>
      <c r="AD1280" s="246">
        <f>IFERROR(VLOOKUP(P1280,PROGRAMAS[],2,FALSE),0)</f>
        <v>0</v>
      </c>
      <c r="AE1280" s="246">
        <f>IFERROR(VLOOKUP(Q1280,PROGRAMAS[],2,FALSE),0)</f>
        <v>0</v>
      </c>
      <c r="AF1280" s="246">
        <f>IFERROR(VLOOKUP(D1280,PROGRAMAS[],3,FALSE),0)</f>
        <v>841888629.31080008</v>
      </c>
      <c r="AG1280" s="246">
        <f>IFERROR(VLOOKUP(E1280,PROGRAMAS[],3,FALSE),0)</f>
        <v>3848980803.1642323</v>
      </c>
      <c r="AH1280" s="246">
        <f>IFERROR(VLOOKUP(F1280,PROGRAMAS[],3,FALSE),0)</f>
        <v>3394901471.387517</v>
      </c>
      <c r="AI1280" s="246">
        <f>IFERROR(VLOOKUP(G1280,PROGRAMAS[],3,FALSE),0)</f>
        <v>1233505101.0616004</v>
      </c>
      <c r="AJ1280" s="246">
        <f>IFERROR(VLOOKUP(H1280,PROGRAMAS[],3,FALSE),0)</f>
        <v>6129902208.7912121</v>
      </c>
      <c r="AK1280" s="246">
        <f>IFERROR(VLOOKUP(I1280,PROGRAMAS[],3,FALSE),0)</f>
        <v>7011279577.519702</v>
      </c>
      <c r="AL1280" s="246">
        <f>IFERROR(VLOOKUP(J1280,PROGRAMAS[],3,FALSE),0)</f>
        <v>4099471734.9978786</v>
      </c>
      <c r="AM1280" s="246">
        <f>IFERROR(VLOOKUP(K1280,PROGRAMAS[],3,FALSE),0)</f>
        <v>675517840.109828</v>
      </c>
      <c r="AN1280" s="246">
        <f>IFERROR(VLOOKUP(L1280,PROGRAMAS[],3,FALSE),0)</f>
        <v>2406564599.0319901</v>
      </c>
      <c r="AO1280" s="246">
        <f>IFERROR(VLOOKUP(M1280,PROGRAMAS[],3,FALSE),0)</f>
        <v>0</v>
      </c>
      <c r="AP1280" s="246">
        <f>IFERROR(VLOOKUP(N1280,PROGRAMAS[],3,FALSE),0)</f>
        <v>0</v>
      </c>
      <c r="AQ1280" s="246">
        <f>IFERROR(VLOOKUP(O1280,PROGRAMAS[],3,FALSE),0)</f>
        <v>0</v>
      </c>
      <c r="AR1280" s="246">
        <f>IFERROR(VLOOKUP(P1280,PROGRAMAS[],3,FALSE),0)</f>
        <v>0</v>
      </c>
      <c r="AS1280" s="246">
        <f>IFERROR(VLOOKUP(Q1280,PROGRAMAS[],3,FALSE),0)</f>
        <v>0</v>
      </c>
      <c r="AT1280" s="246">
        <f>IFERROR(VLOOKUP(D1280,VOL_REC[],2,FALSE),0)</f>
        <v>0</v>
      </c>
      <c r="AU1280" s="246">
        <f>IFERROR(VLOOKUP(E1280,VOL_REC[],2,FALSE),0)</f>
        <v>0</v>
      </c>
      <c r="AV1280" s="246">
        <f>IFERROR(VLOOKUP(F1280,VOL_REC[],2,FALSE),0)</f>
        <v>11089674.200000001</v>
      </c>
      <c r="AW1280" s="246">
        <f>IFERROR(VLOOKUP(G1280,VOL_REC[],2,FALSE),0)</f>
        <v>4325103.1812214684</v>
      </c>
      <c r="AX1280" s="246">
        <f>IFERROR(VLOOKUP(H1280,VOL_REC[],2,FALSE),0)</f>
        <v>15540036.397699751</v>
      </c>
      <c r="AY1280" s="246">
        <f>IFERROR(VLOOKUP(I1280,VOL_REC[],2,FALSE),0)</f>
        <v>3761786</v>
      </c>
      <c r="AZ1280" s="246">
        <f>IFERROR(VLOOKUP(J1280,VOL_REC[],2,FALSE),0)</f>
        <v>1812240</v>
      </c>
      <c r="BA1280" s="246">
        <f>IFERROR(VLOOKUP(K1280,VOL_REC[],2,FALSE),0)</f>
        <v>240696.79238099116</v>
      </c>
      <c r="BB1280" s="246">
        <f>IFERROR(VLOOKUP(L1280,VOL_REC[],2,FALSE),0)</f>
        <v>1072354.9981737854</v>
      </c>
      <c r="BC1280" s="246">
        <f>IFERROR(VLOOKUP(M1280,VOL_REC[],2,FALSE),0)</f>
        <v>0</v>
      </c>
      <c r="BD1280" s="246">
        <f>IFERROR(VLOOKUP(N1280,VOL_REC[],2,FALSE),0)</f>
        <v>0</v>
      </c>
      <c r="BE1280" s="246">
        <f>IFERROR(VLOOKUP(O1280,VOL_REC[],2,FALSE),0)</f>
        <v>0</v>
      </c>
      <c r="BF1280" s="246">
        <f>IFERROR(VLOOKUP(P1280,VOL_REC[],2,FALSE),0)</f>
        <v>0</v>
      </c>
      <c r="BG1280" s="246">
        <f>IFERROR(VLOOKUP(Q1280,VOL_REC[],2,FALSE),0)</f>
        <v>0</v>
      </c>
      <c r="BH1280" s="1710">
        <f t="shared" si="76"/>
        <v>30745646165.491299</v>
      </c>
      <c r="BI1280" s="1710">
        <f t="shared" si="77"/>
        <v>29642011965.374763</v>
      </c>
      <c r="BJ1280" s="1711">
        <f t="shared" si="78"/>
        <v>37841891.569475994</v>
      </c>
      <c r="BK1280" s="1711">
        <f t="shared" si="79"/>
        <v>1.0372320948188574</v>
      </c>
      <c r="BL1280">
        <f>BJ1280</f>
        <v>37841891.569475994</v>
      </c>
      <c r="BO1280">
        <f>BL1280</f>
        <v>37841891.569475994</v>
      </c>
    </row>
    <row r="1281" spans="3:67" x14ac:dyDescent="0.25">
      <c r="C1281" s="246" t="s">
        <v>2631</v>
      </c>
      <c r="D1281" s="246">
        <v>1</v>
      </c>
      <c r="E1281" s="246">
        <v>2</v>
      </c>
      <c r="F1281" s="246">
        <v>3</v>
      </c>
      <c r="G1281" s="246">
        <v>5</v>
      </c>
      <c r="H1281" s="246">
        <v>6</v>
      </c>
      <c r="I1281" s="246">
        <v>9</v>
      </c>
      <c r="J1281" s="246">
        <v>10</v>
      </c>
      <c r="K1281" s="246">
        <v>12</v>
      </c>
      <c r="L1281" s="246">
        <v>17</v>
      </c>
      <c r="M1281" s="246"/>
      <c r="N1281" s="246"/>
      <c r="O1281" s="246"/>
      <c r="P1281" s="246"/>
      <c r="Q1281" s="246"/>
      <c r="R1281" s="246">
        <f>IFERROR(VLOOKUP(D1281,PROGRAMAS[],2,FALSE),0)</f>
        <v>97037803.679377079</v>
      </c>
      <c r="S1281" s="246">
        <f>IFERROR(VLOOKUP(E1281,PROGRAMAS[],2,FALSE),0)</f>
        <v>640501509.6821388</v>
      </c>
      <c r="T1281" s="246">
        <f>IFERROR(VLOOKUP(F1281,PROGRAMAS[],2,FALSE),0)</f>
        <v>3062327798.1525245</v>
      </c>
      <c r="U1281" s="246">
        <f>IFERROR(VLOOKUP(G1281,PROGRAMAS[],2,FALSE),0)</f>
        <v>1440941976.2528784</v>
      </c>
      <c r="V1281" s="246">
        <f>IFERROR(VLOOKUP(H1281,PROGRAMAS[],2,FALSE),0)</f>
        <v>6907648435.8447599</v>
      </c>
      <c r="W1281" s="246">
        <f>IFERROR(VLOOKUP(I1281,PROGRAMAS[],2,FALSE),0)</f>
        <v>6128579952.1618185</v>
      </c>
      <c r="X1281" s="246">
        <f>IFERROR(VLOOKUP(J1281,PROGRAMAS[],2,FALSE),0)</f>
        <v>4635315027.8751087</v>
      </c>
      <c r="Y1281" s="246">
        <f>IFERROR(VLOOKUP(K1281,PROGRAMAS[],2,FALSE),0)</f>
        <v>764796700.79905891</v>
      </c>
      <c r="Z1281" s="246">
        <f>IFERROR(VLOOKUP(L1281,PROGRAMAS[],2,FALSE),0)</f>
        <v>1892779498.5211046</v>
      </c>
      <c r="AA1281" s="246">
        <f>IFERROR(VLOOKUP(M1281,PROGRAMAS[],2,FALSE),0)</f>
        <v>0</v>
      </c>
      <c r="AB1281" s="246">
        <f>IFERROR(VLOOKUP(N1281,PROGRAMAS[],2,FALSE),0)</f>
        <v>0</v>
      </c>
      <c r="AC1281" s="246">
        <f>IFERROR(VLOOKUP(O1281,PROGRAMAS[],2,FALSE),0)</f>
        <v>0</v>
      </c>
      <c r="AD1281" s="246">
        <f>IFERROR(VLOOKUP(P1281,PROGRAMAS[],2,FALSE),0)</f>
        <v>0</v>
      </c>
      <c r="AE1281" s="246">
        <f>IFERROR(VLOOKUP(Q1281,PROGRAMAS[],2,FALSE),0)</f>
        <v>0</v>
      </c>
      <c r="AF1281" s="246">
        <f>IFERROR(VLOOKUP(D1281,PROGRAMAS[],3,FALSE),0)</f>
        <v>841888629.31080008</v>
      </c>
      <c r="AG1281" s="246">
        <f>IFERROR(VLOOKUP(E1281,PROGRAMAS[],3,FALSE),0)</f>
        <v>3848980803.1642323</v>
      </c>
      <c r="AH1281" s="246">
        <f>IFERROR(VLOOKUP(F1281,PROGRAMAS[],3,FALSE),0)</f>
        <v>3394901471.387517</v>
      </c>
      <c r="AI1281" s="246">
        <f>IFERROR(VLOOKUP(G1281,PROGRAMAS[],3,FALSE),0)</f>
        <v>1233505101.0616004</v>
      </c>
      <c r="AJ1281" s="246">
        <f>IFERROR(VLOOKUP(H1281,PROGRAMAS[],3,FALSE),0)</f>
        <v>6129902208.7912121</v>
      </c>
      <c r="AK1281" s="246">
        <f>IFERROR(VLOOKUP(I1281,PROGRAMAS[],3,FALSE),0)</f>
        <v>7011279577.519702</v>
      </c>
      <c r="AL1281" s="246">
        <f>IFERROR(VLOOKUP(J1281,PROGRAMAS[],3,FALSE),0)</f>
        <v>4099471734.9978786</v>
      </c>
      <c r="AM1281" s="246">
        <f>IFERROR(VLOOKUP(K1281,PROGRAMAS[],3,FALSE),0)</f>
        <v>675517840.109828</v>
      </c>
      <c r="AN1281" s="246">
        <f>IFERROR(VLOOKUP(L1281,PROGRAMAS[],3,FALSE),0)</f>
        <v>948595847.09039903</v>
      </c>
      <c r="AO1281" s="246">
        <f>IFERROR(VLOOKUP(M1281,PROGRAMAS[],3,FALSE),0)</f>
        <v>0</v>
      </c>
      <c r="AP1281" s="246">
        <f>IFERROR(VLOOKUP(N1281,PROGRAMAS[],3,FALSE),0)</f>
        <v>0</v>
      </c>
      <c r="AQ1281" s="246">
        <f>IFERROR(VLOOKUP(O1281,PROGRAMAS[],3,FALSE),0)</f>
        <v>0</v>
      </c>
      <c r="AR1281" s="246">
        <f>IFERROR(VLOOKUP(P1281,PROGRAMAS[],3,FALSE),0)</f>
        <v>0</v>
      </c>
      <c r="AS1281" s="246">
        <f>IFERROR(VLOOKUP(Q1281,PROGRAMAS[],3,FALSE),0)</f>
        <v>0</v>
      </c>
      <c r="AT1281" s="246">
        <f>IFERROR(VLOOKUP(D1281,VOL_REC[],2,FALSE),0)</f>
        <v>0</v>
      </c>
      <c r="AU1281" s="246">
        <f>IFERROR(VLOOKUP(E1281,VOL_REC[],2,FALSE),0)</f>
        <v>0</v>
      </c>
      <c r="AV1281" s="246">
        <f>IFERROR(VLOOKUP(F1281,VOL_REC[],2,FALSE),0)</f>
        <v>11089674.200000001</v>
      </c>
      <c r="AW1281" s="246">
        <f>IFERROR(VLOOKUP(G1281,VOL_REC[],2,FALSE),0)</f>
        <v>4325103.1812214684</v>
      </c>
      <c r="AX1281" s="246">
        <f>IFERROR(VLOOKUP(H1281,VOL_REC[],2,FALSE),0)</f>
        <v>15540036.397699751</v>
      </c>
      <c r="AY1281" s="246">
        <f>IFERROR(VLOOKUP(I1281,VOL_REC[],2,FALSE),0)</f>
        <v>3761786</v>
      </c>
      <c r="AZ1281" s="246">
        <f>IFERROR(VLOOKUP(J1281,VOL_REC[],2,FALSE),0)</f>
        <v>1812240</v>
      </c>
      <c r="BA1281" s="246">
        <f>IFERROR(VLOOKUP(K1281,VOL_REC[],2,FALSE),0)</f>
        <v>240696.79238099116</v>
      </c>
      <c r="BB1281" s="246">
        <f>IFERROR(VLOOKUP(L1281,VOL_REC[],2,FALSE),0)</f>
        <v>740113.98115702497</v>
      </c>
      <c r="BC1281" s="246">
        <f>IFERROR(VLOOKUP(M1281,VOL_REC[],2,FALSE),0)</f>
        <v>0</v>
      </c>
      <c r="BD1281" s="246">
        <f>IFERROR(VLOOKUP(N1281,VOL_REC[],2,FALSE),0)</f>
        <v>0</v>
      </c>
      <c r="BE1281" s="246">
        <f>IFERROR(VLOOKUP(O1281,VOL_REC[],2,FALSE),0)</f>
        <v>0</v>
      </c>
      <c r="BF1281" s="246">
        <f>IFERROR(VLOOKUP(P1281,VOL_REC[],2,FALSE),0)</f>
        <v>0</v>
      </c>
      <c r="BG1281" s="246">
        <f>IFERROR(VLOOKUP(Q1281,VOL_REC[],2,FALSE),0)</f>
        <v>0</v>
      </c>
      <c r="BH1281" s="1710">
        <f t="shared" si="76"/>
        <v>25569928702.968765</v>
      </c>
      <c r="BI1281" s="1710">
        <f t="shared" si="77"/>
        <v>28184043213.433174</v>
      </c>
      <c r="BJ1281" s="1711">
        <f t="shared" si="78"/>
        <v>37509650.552459233</v>
      </c>
      <c r="BK1281" s="1711">
        <f t="shared" si="79"/>
        <v>0.90724842100659064</v>
      </c>
    </row>
    <row r="1282" spans="3:67" x14ac:dyDescent="0.25">
      <c r="C1282" s="246" t="s">
        <v>2632</v>
      </c>
      <c r="D1282" s="246">
        <v>1</v>
      </c>
      <c r="E1282" s="246">
        <v>2</v>
      </c>
      <c r="F1282" s="246">
        <v>3</v>
      </c>
      <c r="G1282" s="246">
        <v>5</v>
      </c>
      <c r="H1282" s="246">
        <v>6</v>
      </c>
      <c r="I1282" s="246">
        <v>9</v>
      </c>
      <c r="J1282" s="246">
        <v>10</v>
      </c>
      <c r="K1282" s="246">
        <v>13</v>
      </c>
      <c r="L1282" s="246">
        <v>14</v>
      </c>
      <c r="M1282" s="246"/>
      <c r="N1282" s="246"/>
      <c r="O1282" s="246"/>
      <c r="P1282" s="246"/>
      <c r="Q1282" s="246"/>
      <c r="R1282" s="246">
        <f>IFERROR(VLOOKUP(D1282,PROGRAMAS[],2,FALSE),0)</f>
        <v>97037803.679377079</v>
      </c>
      <c r="S1282" s="246">
        <f>IFERROR(VLOOKUP(E1282,PROGRAMAS[],2,FALSE),0)</f>
        <v>640501509.6821388</v>
      </c>
      <c r="T1282" s="246">
        <f>IFERROR(VLOOKUP(F1282,PROGRAMAS[],2,FALSE),0)</f>
        <v>3062327798.1525245</v>
      </c>
      <c r="U1282" s="246">
        <f>IFERROR(VLOOKUP(G1282,PROGRAMAS[],2,FALSE),0)</f>
        <v>1440941976.2528784</v>
      </c>
      <c r="V1282" s="246">
        <f>IFERROR(VLOOKUP(H1282,PROGRAMAS[],2,FALSE),0)</f>
        <v>6907648435.8447599</v>
      </c>
      <c r="W1282" s="246">
        <f>IFERROR(VLOOKUP(I1282,PROGRAMAS[],2,FALSE),0)</f>
        <v>6128579952.1618185</v>
      </c>
      <c r="X1282" s="246">
        <f>IFERROR(VLOOKUP(J1282,PROGRAMAS[],2,FALSE),0)</f>
        <v>4635315027.8751087</v>
      </c>
      <c r="Y1282" s="246">
        <f>IFERROR(VLOOKUP(K1282,PROGRAMAS[],2,FALSE),0)</f>
        <v>3776538594.4604583</v>
      </c>
      <c r="Z1282" s="246">
        <f>IFERROR(VLOOKUP(L1282,PROGRAMAS[],2,FALSE),0)</f>
        <v>54223862.645839565</v>
      </c>
      <c r="AA1282" s="246">
        <f>IFERROR(VLOOKUP(M1282,PROGRAMAS[],2,FALSE),0)</f>
        <v>0</v>
      </c>
      <c r="AB1282" s="246">
        <f>IFERROR(VLOOKUP(N1282,PROGRAMAS[],2,FALSE),0)</f>
        <v>0</v>
      </c>
      <c r="AC1282" s="246">
        <f>IFERROR(VLOOKUP(O1282,PROGRAMAS[],2,FALSE),0)</f>
        <v>0</v>
      </c>
      <c r="AD1282" s="246">
        <f>IFERROR(VLOOKUP(P1282,PROGRAMAS[],2,FALSE),0)</f>
        <v>0</v>
      </c>
      <c r="AE1282" s="246">
        <f>IFERROR(VLOOKUP(Q1282,PROGRAMAS[],2,FALSE),0)</f>
        <v>0</v>
      </c>
      <c r="AF1282" s="246">
        <f>IFERROR(VLOOKUP(D1282,PROGRAMAS[],3,FALSE),0)</f>
        <v>841888629.31080008</v>
      </c>
      <c r="AG1282" s="246">
        <f>IFERROR(VLOOKUP(E1282,PROGRAMAS[],3,FALSE),0)</f>
        <v>3848980803.1642323</v>
      </c>
      <c r="AH1282" s="246">
        <f>IFERROR(VLOOKUP(F1282,PROGRAMAS[],3,FALSE),0)</f>
        <v>3394901471.387517</v>
      </c>
      <c r="AI1282" s="246">
        <f>IFERROR(VLOOKUP(G1282,PROGRAMAS[],3,FALSE),0)</f>
        <v>1233505101.0616004</v>
      </c>
      <c r="AJ1282" s="246">
        <f>IFERROR(VLOOKUP(H1282,PROGRAMAS[],3,FALSE),0)</f>
        <v>6129902208.7912121</v>
      </c>
      <c r="AK1282" s="246">
        <f>IFERROR(VLOOKUP(I1282,PROGRAMAS[],3,FALSE),0)</f>
        <v>7011279577.519702</v>
      </c>
      <c r="AL1282" s="246">
        <f>IFERROR(VLOOKUP(J1282,PROGRAMAS[],3,FALSE),0)</f>
        <v>4099471734.9978786</v>
      </c>
      <c r="AM1282" s="246">
        <f>IFERROR(VLOOKUP(K1282,PROGRAMAS[],3,FALSE),0)</f>
        <v>2392571243.5584412</v>
      </c>
      <c r="AN1282" s="246">
        <f>IFERROR(VLOOKUP(L1282,PROGRAMAS[],3,FALSE),0)</f>
        <v>31865326.38096505</v>
      </c>
      <c r="AO1282" s="246">
        <f>IFERROR(VLOOKUP(M1282,PROGRAMAS[],3,FALSE),0)</f>
        <v>0</v>
      </c>
      <c r="AP1282" s="246">
        <f>IFERROR(VLOOKUP(N1282,PROGRAMAS[],3,FALSE),0)</f>
        <v>0</v>
      </c>
      <c r="AQ1282" s="246">
        <f>IFERROR(VLOOKUP(O1282,PROGRAMAS[],3,FALSE),0)</f>
        <v>0</v>
      </c>
      <c r="AR1282" s="246">
        <f>IFERROR(VLOOKUP(P1282,PROGRAMAS[],3,FALSE),0)</f>
        <v>0</v>
      </c>
      <c r="AS1282" s="246">
        <f>IFERROR(VLOOKUP(Q1282,PROGRAMAS[],3,FALSE),0)</f>
        <v>0</v>
      </c>
      <c r="AT1282" s="246">
        <f>IFERROR(VLOOKUP(D1282,VOL_REC[],2,FALSE),0)</f>
        <v>0</v>
      </c>
      <c r="AU1282" s="246">
        <f>IFERROR(VLOOKUP(E1282,VOL_REC[],2,FALSE),0)</f>
        <v>0</v>
      </c>
      <c r="AV1282" s="246">
        <f>IFERROR(VLOOKUP(F1282,VOL_REC[],2,FALSE),0)</f>
        <v>11089674.200000001</v>
      </c>
      <c r="AW1282" s="246">
        <f>IFERROR(VLOOKUP(G1282,VOL_REC[],2,FALSE),0)</f>
        <v>4325103.1812214684</v>
      </c>
      <c r="AX1282" s="246">
        <f>IFERROR(VLOOKUP(H1282,VOL_REC[],2,FALSE),0)</f>
        <v>15540036.397699751</v>
      </c>
      <c r="AY1282" s="246">
        <f>IFERROR(VLOOKUP(I1282,VOL_REC[],2,FALSE),0)</f>
        <v>3761786</v>
      </c>
      <c r="AZ1282" s="246">
        <f>IFERROR(VLOOKUP(J1282,VOL_REC[],2,FALSE),0)</f>
        <v>1812240</v>
      </c>
      <c r="BA1282" s="246">
        <f>IFERROR(VLOOKUP(K1282,VOL_REC[],2,FALSE),0)</f>
        <v>663244.80000000016</v>
      </c>
      <c r="BB1282" s="246">
        <f>IFERROR(VLOOKUP(L1282,VOL_REC[],2,FALSE),0)</f>
        <v>17074.045034105649</v>
      </c>
      <c r="BC1282" s="246">
        <f>IFERROR(VLOOKUP(M1282,VOL_REC[],2,FALSE),0)</f>
        <v>0</v>
      </c>
      <c r="BD1282" s="246">
        <f>IFERROR(VLOOKUP(N1282,VOL_REC[],2,FALSE),0)</f>
        <v>0</v>
      </c>
      <c r="BE1282" s="246">
        <f>IFERROR(VLOOKUP(O1282,VOL_REC[],2,FALSE),0)</f>
        <v>0</v>
      </c>
      <c r="BF1282" s="246">
        <f>IFERROR(VLOOKUP(P1282,VOL_REC[],2,FALSE),0)</f>
        <v>0</v>
      </c>
      <c r="BG1282" s="246">
        <f>IFERROR(VLOOKUP(Q1282,VOL_REC[],2,FALSE),0)</f>
        <v>0</v>
      </c>
      <c r="BH1282" s="1710">
        <f t="shared" ref="BH1282:BH1345" si="80">SUM(R1282:AE1282)</f>
        <v>26743114960.754902</v>
      </c>
      <c r="BI1282" s="1710">
        <f t="shared" ref="BI1282:BI1345" si="81">SUM(AF1282:AS1282)</f>
        <v>28984366096.172352</v>
      </c>
      <c r="BJ1282" s="1711">
        <f t="shared" ref="BJ1282:BJ1345" si="82">SUM(AT1282:BG1282)</f>
        <v>37209158.623955317</v>
      </c>
      <c r="BK1282" s="1711">
        <f t="shared" ref="BK1282:BK1345" si="83">IFERROR(BH1282/BI1282,0)</f>
        <v>0.92267379151985573</v>
      </c>
    </row>
    <row r="1283" spans="3:67" x14ac:dyDescent="0.25">
      <c r="C1283" s="246" t="s">
        <v>2633</v>
      </c>
      <c r="D1283" s="246">
        <v>1</v>
      </c>
      <c r="E1283" s="246">
        <v>2</v>
      </c>
      <c r="F1283" s="246">
        <v>3</v>
      </c>
      <c r="G1283" s="246">
        <v>5</v>
      </c>
      <c r="H1283" s="246">
        <v>6</v>
      </c>
      <c r="I1283" s="246">
        <v>9</v>
      </c>
      <c r="J1283" s="246">
        <v>10</v>
      </c>
      <c r="K1283" s="246">
        <v>13</v>
      </c>
      <c r="L1283" s="246">
        <v>15</v>
      </c>
      <c r="M1283" s="246"/>
      <c r="N1283" s="246"/>
      <c r="O1283" s="246"/>
      <c r="P1283" s="246"/>
      <c r="Q1283" s="246"/>
      <c r="R1283" s="246">
        <f>IFERROR(VLOOKUP(D1283,PROGRAMAS[],2,FALSE),0)</f>
        <v>97037803.679377079</v>
      </c>
      <c r="S1283" s="246">
        <f>IFERROR(VLOOKUP(E1283,PROGRAMAS[],2,FALSE),0)</f>
        <v>640501509.6821388</v>
      </c>
      <c r="T1283" s="246">
        <f>IFERROR(VLOOKUP(F1283,PROGRAMAS[],2,FALSE),0)</f>
        <v>3062327798.1525245</v>
      </c>
      <c r="U1283" s="246">
        <f>IFERROR(VLOOKUP(G1283,PROGRAMAS[],2,FALSE),0)</f>
        <v>1440941976.2528784</v>
      </c>
      <c r="V1283" s="246">
        <f>IFERROR(VLOOKUP(H1283,PROGRAMAS[],2,FALSE),0)</f>
        <v>6907648435.8447599</v>
      </c>
      <c r="W1283" s="246">
        <f>IFERROR(VLOOKUP(I1283,PROGRAMAS[],2,FALSE),0)</f>
        <v>6128579952.1618185</v>
      </c>
      <c r="X1283" s="246">
        <f>IFERROR(VLOOKUP(J1283,PROGRAMAS[],2,FALSE),0)</f>
        <v>4635315027.8751087</v>
      </c>
      <c r="Y1283" s="246">
        <f>IFERROR(VLOOKUP(K1283,PROGRAMAS[],2,FALSE),0)</f>
        <v>3776538594.4604583</v>
      </c>
      <c r="Z1283" s="246">
        <f>IFERROR(VLOOKUP(L1283,PROGRAMAS[],2,FALSE),0)</f>
        <v>122159672.96346797</v>
      </c>
      <c r="AA1283" s="246">
        <f>IFERROR(VLOOKUP(M1283,PROGRAMAS[],2,FALSE),0)</f>
        <v>0</v>
      </c>
      <c r="AB1283" s="246">
        <f>IFERROR(VLOOKUP(N1283,PROGRAMAS[],2,FALSE),0)</f>
        <v>0</v>
      </c>
      <c r="AC1283" s="246">
        <f>IFERROR(VLOOKUP(O1283,PROGRAMAS[],2,FALSE),0)</f>
        <v>0</v>
      </c>
      <c r="AD1283" s="246">
        <f>IFERROR(VLOOKUP(P1283,PROGRAMAS[],2,FALSE),0)</f>
        <v>0</v>
      </c>
      <c r="AE1283" s="246">
        <f>IFERROR(VLOOKUP(Q1283,PROGRAMAS[],2,FALSE),0)</f>
        <v>0</v>
      </c>
      <c r="AF1283" s="246">
        <f>IFERROR(VLOOKUP(D1283,PROGRAMAS[],3,FALSE),0)</f>
        <v>841888629.31080008</v>
      </c>
      <c r="AG1283" s="246">
        <f>IFERROR(VLOOKUP(E1283,PROGRAMAS[],3,FALSE),0)</f>
        <v>3848980803.1642323</v>
      </c>
      <c r="AH1283" s="246">
        <f>IFERROR(VLOOKUP(F1283,PROGRAMAS[],3,FALSE),0)</f>
        <v>3394901471.387517</v>
      </c>
      <c r="AI1283" s="246">
        <f>IFERROR(VLOOKUP(G1283,PROGRAMAS[],3,FALSE),0)</f>
        <v>1233505101.0616004</v>
      </c>
      <c r="AJ1283" s="246">
        <f>IFERROR(VLOOKUP(H1283,PROGRAMAS[],3,FALSE),0)</f>
        <v>6129902208.7912121</v>
      </c>
      <c r="AK1283" s="246">
        <f>IFERROR(VLOOKUP(I1283,PROGRAMAS[],3,FALSE),0)</f>
        <v>7011279577.519702</v>
      </c>
      <c r="AL1283" s="246">
        <f>IFERROR(VLOOKUP(J1283,PROGRAMAS[],3,FALSE),0)</f>
        <v>4099471734.9978786</v>
      </c>
      <c r="AM1283" s="246">
        <f>IFERROR(VLOOKUP(K1283,PROGRAMAS[],3,FALSE),0)</f>
        <v>2392571243.5584412</v>
      </c>
      <c r="AN1283" s="246">
        <f>IFERROR(VLOOKUP(L1283,PROGRAMAS[],3,FALSE),0)</f>
        <v>118617452.52510804</v>
      </c>
      <c r="AO1283" s="246">
        <f>IFERROR(VLOOKUP(M1283,PROGRAMAS[],3,FALSE),0)</f>
        <v>0</v>
      </c>
      <c r="AP1283" s="246">
        <f>IFERROR(VLOOKUP(N1283,PROGRAMAS[],3,FALSE),0)</f>
        <v>0</v>
      </c>
      <c r="AQ1283" s="246">
        <f>IFERROR(VLOOKUP(O1283,PROGRAMAS[],3,FALSE),0)</f>
        <v>0</v>
      </c>
      <c r="AR1283" s="246">
        <f>IFERROR(VLOOKUP(P1283,PROGRAMAS[],3,FALSE),0)</f>
        <v>0</v>
      </c>
      <c r="AS1283" s="246">
        <f>IFERROR(VLOOKUP(Q1283,PROGRAMAS[],3,FALSE),0)</f>
        <v>0</v>
      </c>
      <c r="AT1283" s="246">
        <f>IFERROR(VLOOKUP(D1283,VOL_REC[],2,FALSE),0)</f>
        <v>0</v>
      </c>
      <c r="AU1283" s="246">
        <f>IFERROR(VLOOKUP(E1283,VOL_REC[],2,FALSE),0)</f>
        <v>0</v>
      </c>
      <c r="AV1283" s="246">
        <f>IFERROR(VLOOKUP(F1283,VOL_REC[],2,FALSE),0)</f>
        <v>11089674.200000001</v>
      </c>
      <c r="AW1283" s="246">
        <f>IFERROR(VLOOKUP(G1283,VOL_REC[],2,FALSE),0)</f>
        <v>4325103.1812214684</v>
      </c>
      <c r="AX1283" s="246">
        <f>IFERROR(VLOOKUP(H1283,VOL_REC[],2,FALSE),0)</f>
        <v>15540036.397699751</v>
      </c>
      <c r="AY1283" s="246">
        <f>IFERROR(VLOOKUP(I1283,VOL_REC[],2,FALSE),0)</f>
        <v>3761786</v>
      </c>
      <c r="AZ1283" s="246">
        <f>IFERROR(VLOOKUP(J1283,VOL_REC[],2,FALSE),0)</f>
        <v>1812240</v>
      </c>
      <c r="BA1283" s="246">
        <f>IFERROR(VLOOKUP(K1283,VOL_REC[],2,FALSE),0)</f>
        <v>663244.80000000016</v>
      </c>
      <c r="BB1283" s="246">
        <f>IFERROR(VLOOKUP(L1283,VOL_REC[],2,FALSE),0)</f>
        <v>105072</v>
      </c>
      <c r="BC1283" s="246">
        <f>IFERROR(VLOOKUP(M1283,VOL_REC[],2,FALSE),0)</f>
        <v>0</v>
      </c>
      <c r="BD1283" s="246">
        <f>IFERROR(VLOOKUP(N1283,VOL_REC[],2,FALSE),0)</f>
        <v>0</v>
      </c>
      <c r="BE1283" s="246">
        <f>IFERROR(VLOOKUP(O1283,VOL_REC[],2,FALSE),0)</f>
        <v>0</v>
      </c>
      <c r="BF1283" s="246">
        <f>IFERROR(VLOOKUP(P1283,VOL_REC[],2,FALSE),0)</f>
        <v>0</v>
      </c>
      <c r="BG1283" s="246">
        <f>IFERROR(VLOOKUP(Q1283,VOL_REC[],2,FALSE),0)</f>
        <v>0</v>
      </c>
      <c r="BH1283" s="1710">
        <f t="shared" si="80"/>
        <v>26811050771.072529</v>
      </c>
      <c r="BI1283" s="1710">
        <f t="shared" si="81"/>
        <v>29071118222.316494</v>
      </c>
      <c r="BJ1283" s="1711">
        <f t="shared" si="82"/>
        <v>37297156.578921214</v>
      </c>
      <c r="BK1283" s="1711">
        <f t="shared" si="83"/>
        <v>0.92225729213577268</v>
      </c>
    </row>
    <row r="1284" spans="3:67" x14ac:dyDescent="0.25">
      <c r="C1284" s="246" t="s">
        <v>2634</v>
      </c>
      <c r="D1284" s="246">
        <v>1</v>
      </c>
      <c r="E1284" s="246">
        <v>2</v>
      </c>
      <c r="F1284" s="246">
        <v>3</v>
      </c>
      <c r="G1284" s="246">
        <v>5</v>
      </c>
      <c r="H1284" s="246">
        <v>6</v>
      </c>
      <c r="I1284" s="246">
        <v>9</v>
      </c>
      <c r="J1284" s="246">
        <v>10</v>
      </c>
      <c r="K1284" s="246">
        <v>13</v>
      </c>
      <c r="L1284" s="246">
        <v>16</v>
      </c>
      <c r="M1284" s="246"/>
      <c r="N1284" s="246"/>
      <c r="O1284" s="246"/>
      <c r="P1284" s="246"/>
      <c r="Q1284" s="246"/>
      <c r="R1284" s="246">
        <f>IFERROR(VLOOKUP(D1284,PROGRAMAS[],2,FALSE),0)</f>
        <v>97037803.679377079</v>
      </c>
      <c r="S1284" s="246">
        <f>IFERROR(VLOOKUP(E1284,PROGRAMAS[],2,FALSE),0)</f>
        <v>640501509.6821388</v>
      </c>
      <c r="T1284" s="246">
        <f>IFERROR(VLOOKUP(F1284,PROGRAMAS[],2,FALSE),0)</f>
        <v>3062327798.1525245</v>
      </c>
      <c r="U1284" s="246">
        <f>IFERROR(VLOOKUP(G1284,PROGRAMAS[],2,FALSE),0)</f>
        <v>1440941976.2528784</v>
      </c>
      <c r="V1284" s="246">
        <f>IFERROR(VLOOKUP(H1284,PROGRAMAS[],2,FALSE),0)</f>
        <v>6907648435.8447599</v>
      </c>
      <c r="W1284" s="246">
        <f>IFERROR(VLOOKUP(I1284,PROGRAMAS[],2,FALSE),0)</f>
        <v>6128579952.1618185</v>
      </c>
      <c r="X1284" s="246">
        <f>IFERROR(VLOOKUP(J1284,PROGRAMAS[],2,FALSE),0)</f>
        <v>4635315027.8751087</v>
      </c>
      <c r="Y1284" s="246">
        <f>IFERROR(VLOOKUP(K1284,PROGRAMAS[],2,FALSE),0)</f>
        <v>3776538594.4604583</v>
      </c>
      <c r="Z1284" s="246">
        <f>IFERROR(VLOOKUP(L1284,PROGRAMAS[],2,FALSE),0)</f>
        <v>7068496961.0436354</v>
      </c>
      <c r="AA1284" s="246">
        <f>IFERROR(VLOOKUP(M1284,PROGRAMAS[],2,FALSE),0)</f>
        <v>0</v>
      </c>
      <c r="AB1284" s="246">
        <f>IFERROR(VLOOKUP(N1284,PROGRAMAS[],2,FALSE),0)</f>
        <v>0</v>
      </c>
      <c r="AC1284" s="246">
        <f>IFERROR(VLOOKUP(O1284,PROGRAMAS[],2,FALSE),0)</f>
        <v>0</v>
      </c>
      <c r="AD1284" s="246">
        <f>IFERROR(VLOOKUP(P1284,PROGRAMAS[],2,FALSE),0)</f>
        <v>0</v>
      </c>
      <c r="AE1284" s="246">
        <f>IFERROR(VLOOKUP(Q1284,PROGRAMAS[],2,FALSE),0)</f>
        <v>0</v>
      </c>
      <c r="AF1284" s="246">
        <f>IFERROR(VLOOKUP(D1284,PROGRAMAS[],3,FALSE),0)</f>
        <v>841888629.31080008</v>
      </c>
      <c r="AG1284" s="246">
        <f>IFERROR(VLOOKUP(E1284,PROGRAMAS[],3,FALSE),0)</f>
        <v>3848980803.1642323</v>
      </c>
      <c r="AH1284" s="246">
        <f>IFERROR(VLOOKUP(F1284,PROGRAMAS[],3,FALSE),0)</f>
        <v>3394901471.387517</v>
      </c>
      <c r="AI1284" s="246">
        <f>IFERROR(VLOOKUP(G1284,PROGRAMAS[],3,FALSE),0)</f>
        <v>1233505101.0616004</v>
      </c>
      <c r="AJ1284" s="246">
        <f>IFERROR(VLOOKUP(H1284,PROGRAMAS[],3,FALSE),0)</f>
        <v>6129902208.7912121</v>
      </c>
      <c r="AK1284" s="246">
        <f>IFERROR(VLOOKUP(I1284,PROGRAMAS[],3,FALSE),0)</f>
        <v>7011279577.519702</v>
      </c>
      <c r="AL1284" s="246">
        <f>IFERROR(VLOOKUP(J1284,PROGRAMAS[],3,FALSE),0)</f>
        <v>4099471734.9978786</v>
      </c>
      <c r="AM1284" s="246">
        <f>IFERROR(VLOOKUP(K1284,PROGRAMAS[],3,FALSE),0)</f>
        <v>2392571243.5584412</v>
      </c>
      <c r="AN1284" s="246">
        <f>IFERROR(VLOOKUP(L1284,PROGRAMAS[],3,FALSE),0)</f>
        <v>2406564599.0319901</v>
      </c>
      <c r="AO1284" s="246">
        <f>IFERROR(VLOOKUP(M1284,PROGRAMAS[],3,FALSE),0)</f>
        <v>0</v>
      </c>
      <c r="AP1284" s="246">
        <f>IFERROR(VLOOKUP(N1284,PROGRAMAS[],3,FALSE),0)</f>
        <v>0</v>
      </c>
      <c r="AQ1284" s="246">
        <f>IFERROR(VLOOKUP(O1284,PROGRAMAS[],3,FALSE),0)</f>
        <v>0</v>
      </c>
      <c r="AR1284" s="246">
        <f>IFERROR(VLOOKUP(P1284,PROGRAMAS[],3,FALSE),0)</f>
        <v>0</v>
      </c>
      <c r="AS1284" s="246">
        <f>IFERROR(VLOOKUP(Q1284,PROGRAMAS[],3,FALSE),0)</f>
        <v>0</v>
      </c>
      <c r="AT1284" s="246">
        <f>IFERROR(VLOOKUP(D1284,VOL_REC[],2,FALSE),0)</f>
        <v>0</v>
      </c>
      <c r="AU1284" s="246">
        <f>IFERROR(VLOOKUP(E1284,VOL_REC[],2,FALSE),0)</f>
        <v>0</v>
      </c>
      <c r="AV1284" s="246">
        <f>IFERROR(VLOOKUP(F1284,VOL_REC[],2,FALSE),0)</f>
        <v>11089674.200000001</v>
      </c>
      <c r="AW1284" s="246">
        <f>IFERROR(VLOOKUP(G1284,VOL_REC[],2,FALSE),0)</f>
        <v>4325103.1812214684</v>
      </c>
      <c r="AX1284" s="246">
        <f>IFERROR(VLOOKUP(H1284,VOL_REC[],2,FALSE),0)</f>
        <v>15540036.397699751</v>
      </c>
      <c r="AY1284" s="246">
        <f>IFERROR(VLOOKUP(I1284,VOL_REC[],2,FALSE),0)</f>
        <v>3761786</v>
      </c>
      <c r="AZ1284" s="246">
        <f>IFERROR(VLOOKUP(J1284,VOL_REC[],2,FALSE),0)</f>
        <v>1812240</v>
      </c>
      <c r="BA1284" s="246">
        <f>IFERROR(VLOOKUP(K1284,VOL_REC[],2,FALSE),0)</f>
        <v>663244.80000000016</v>
      </c>
      <c r="BB1284" s="246">
        <f>IFERROR(VLOOKUP(L1284,VOL_REC[],2,FALSE),0)</f>
        <v>1072354.9981737854</v>
      </c>
      <c r="BC1284" s="246">
        <f>IFERROR(VLOOKUP(M1284,VOL_REC[],2,FALSE),0)</f>
        <v>0</v>
      </c>
      <c r="BD1284" s="246">
        <f>IFERROR(VLOOKUP(N1284,VOL_REC[],2,FALSE),0)</f>
        <v>0</v>
      </c>
      <c r="BE1284" s="246">
        <f>IFERROR(VLOOKUP(O1284,VOL_REC[],2,FALSE),0)</f>
        <v>0</v>
      </c>
      <c r="BF1284" s="246">
        <f>IFERROR(VLOOKUP(P1284,VOL_REC[],2,FALSE),0)</f>
        <v>0</v>
      </c>
      <c r="BG1284" s="246">
        <f>IFERROR(VLOOKUP(Q1284,VOL_REC[],2,FALSE),0)</f>
        <v>0</v>
      </c>
      <c r="BH1284" s="1710">
        <f t="shared" si="80"/>
        <v>33757388059.152699</v>
      </c>
      <c r="BI1284" s="1710">
        <f t="shared" si="81"/>
        <v>31359065368.823376</v>
      </c>
      <c r="BJ1284" s="1711">
        <f t="shared" si="82"/>
        <v>38264439.577095002</v>
      </c>
      <c r="BK1284" s="1711">
        <f t="shared" si="83"/>
        <v>1.0764794059428089</v>
      </c>
      <c r="BL1284">
        <f>BJ1284</f>
        <v>38264439.577095002</v>
      </c>
      <c r="BO1284">
        <f>BL1284</f>
        <v>38264439.577095002</v>
      </c>
    </row>
    <row r="1285" spans="3:67" x14ac:dyDescent="0.25">
      <c r="C1285" s="246" t="s">
        <v>2635</v>
      </c>
      <c r="D1285" s="246">
        <v>1</v>
      </c>
      <c r="E1285" s="246">
        <v>2</v>
      </c>
      <c r="F1285" s="246">
        <v>3</v>
      </c>
      <c r="G1285" s="246">
        <v>5</v>
      </c>
      <c r="H1285" s="246">
        <v>6</v>
      </c>
      <c r="I1285" s="246">
        <v>9</v>
      </c>
      <c r="J1285" s="246">
        <v>10</v>
      </c>
      <c r="K1285" s="246">
        <v>13</v>
      </c>
      <c r="L1285" s="246">
        <v>17</v>
      </c>
      <c r="M1285" s="246"/>
      <c r="N1285" s="246"/>
      <c r="O1285" s="246"/>
      <c r="P1285" s="246"/>
      <c r="Q1285" s="246"/>
      <c r="R1285" s="246">
        <f>IFERROR(VLOOKUP(D1285,PROGRAMAS[],2,FALSE),0)</f>
        <v>97037803.679377079</v>
      </c>
      <c r="S1285" s="246">
        <f>IFERROR(VLOOKUP(E1285,PROGRAMAS[],2,FALSE),0)</f>
        <v>640501509.6821388</v>
      </c>
      <c r="T1285" s="246">
        <f>IFERROR(VLOOKUP(F1285,PROGRAMAS[],2,FALSE),0)</f>
        <v>3062327798.1525245</v>
      </c>
      <c r="U1285" s="246">
        <f>IFERROR(VLOOKUP(G1285,PROGRAMAS[],2,FALSE),0)</f>
        <v>1440941976.2528784</v>
      </c>
      <c r="V1285" s="246">
        <f>IFERROR(VLOOKUP(H1285,PROGRAMAS[],2,FALSE),0)</f>
        <v>6907648435.8447599</v>
      </c>
      <c r="W1285" s="246">
        <f>IFERROR(VLOOKUP(I1285,PROGRAMAS[],2,FALSE),0)</f>
        <v>6128579952.1618185</v>
      </c>
      <c r="X1285" s="246">
        <f>IFERROR(VLOOKUP(J1285,PROGRAMAS[],2,FALSE),0)</f>
        <v>4635315027.8751087</v>
      </c>
      <c r="Y1285" s="246">
        <f>IFERROR(VLOOKUP(K1285,PROGRAMAS[],2,FALSE),0)</f>
        <v>3776538594.4604583</v>
      </c>
      <c r="Z1285" s="246">
        <f>IFERROR(VLOOKUP(L1285,PROGRAMAS[],2,FALSE),0)</f>
        <v>1892779498.5211046</v>
      </c>
      <c r="AA1285" s="246">
        <f>IFERROR(VLOOKUP(M1285,PROGRAMAS[],2,FALSE),0)</f>
        <v>0</v>
      </c>
      <c r="AB1285" s="246">
        <f>IFERROR(VLOOKUP(N1285,PROGRAMAS[],2,FALSE),0)</f>
        <v>0</v>
      </c>
      <c r="AC1285" s="246">
        <f>IFERROR(VLOOKUP(O1285,PROGRAMAS[],2,FALSE),0)</f>
        <v>0</v>
      </c>
      <c r="AD1285" s="246">
        <f>IFERROR(VLOOKUP(P1285,PROGRAMAS[],2,FALSE),0)</f>
        <v>0</v>
      </c>
      <c r="AE1285" s="246">
        <f>IFERROR(VLOOKUP(Q1285,PROGRAMAS[],2,FALSE),0)</f>
        <v>0</v>
      </c>
      <c r="AF1285" s="246">
        <f>IFERROR(VLOOKUP(D1285,PROGRAMAS[],3,FALSE),0)</f>
        <v>841888629.31080008</v>
      </c>
      <c r="AG1285" s="246">
        <f>IFERROR(VLOOKUP(E1285,PROGRAMAS[],3,FALSE),0)</f>
        <v>3848980803.1642323</v>
      </c>
      <c r="AH1285" s="246">
        <f>IFERROR(VLOOKUP(F1285,PROGRAMAS[],3,FALSE),0)</f>
        <v>3394901471.387517</v>
      </c>
      <c r="AI1285" s="246">
        <f>IFERROR(VLOOKUP(G1285,PROGRAMAS[],3,FALSE),0)</f>
        <v>1233505101.0616004</v>
      </c>
      <c r="AJ1285" s="246">
        <f>IFERROR(VLOOKUP(H1285,PROGRAMAS[],3,FALSE),0)</f>
        <v>6129902208.7912121</v>
      </c>
      <c r="AK1285" s="246">
        <f>IFERROR(VLOOKUP(I1285,PROGRAMAS[],3,FALSE),0)</f>
        <v>7011279577.519702</v>
      </c>
      <c r="AL1285" s="246">
        <f>IFERROR(VLOOKUP(J1285,PROGRAMAS[],3,FALSE),0)</f>
        <v>4099471734.9978786</v>
      </c>
      <c r="AM1285" s="246">
        <f>IFERROR(VLOOKUP(K1285,PROGRAMAS[],3,FALSE),0)</f>
        <v>2392571243.5584412</v>
      </c>
      <c r="AN1285" s="246">
        <f>IFERROR(VLOOKUP(L1285,PROGRAMAS[],3,FALSE),0)</f>
        <v>948595847.09039903</v>
      </c>
      <c r="AO1285" s="246">
        <f>IFERROR(VLOOKUP(M1285,PROGRAMAS[],3,FALSE),0)</f>
        <v>0</v>
      </c>
      <c r="AP1285" s="246">
        <f>IFERROR(VLOOKUP(N1285,PROGRAMAS[],3,FALSE),0)</f>
        <v>0</v>
      </c>
      <c r="AQ1285" s="246">
        <f>IFERROR(VLOOKUP(O1285,PROGRAMAS[],3,FALSE),0)</f>
        <v>0</v>
      </c>
      <c r="AR1285" s="246">
        <f>IFERROR(VLOOKUP(P1285,PROGRAMAS[],3,FALSE),0)</f>
        <v>0</v>
      </c>
      <c r="AS1285" s="246">
        <f>IFERROR(VLOOKUP(Q1285,PROGRAMAS[],3,FALSE),0)</f>
        <v>0</v>
      </c>
      <c r="AT1285" s="246">
        <f>IFERROR(VLOOKUP(D1285,VOL_REC[],2,FALSE),0)</f>
        <v>0</v>
      </c>
      <c r="AU1285" s="246">
        <f>IFERROR(VLOOKUP(E1285,VOL_REC[],2,FALSE),0)</f>
        <v>0</v>
      </c>
      <c r="AV1285" s="246">
        <f>IFERROR(VLOOKUP(F1285,VOL_REC[],2,FALSE),0)</f>
        <v>11089674.200000001</v>
      </c>
      <c r="AW1285" s="246">
        <f>IFERROR(VLOOKUP(G1285,VOL_REC[],2,FALSE),0)</f>
        <v>4325103.1812214684</v>
      </c>
      <c r="AX1285" s="246">
        <f>IFERROR(VLOOKUP(H1285,VOL_REC[],2,FALSE),0)</f>
        <v>15540036.397699751</v>
      </c>
      <c r="AY1285" s="246">
        <f>IFERROR(VLOOKUP(I1285,VOL_REC[],2,FALSE),0)</f>
        <v>3761786</v>
      </c>
      <c r="AZ1285" s="246">
        <f>IFERROR(VLOOKUP(J1285,VOL_REC[],2,FALSE),0)</f>
        <v>1812240</v>
      </c>
      <c r="BA1285" s="246">
        <f>IFERROR(VLOOKUP(K1285,VOL_REC[],2,FALSE),0)</f>
        <v>663244.80000000016</v>
      </c>
      <c r="BB1285" s="246">
        <f>IFERROR(VLOOKUP(L1285,VOL_REC[],2,FALSE),0)</f>
        <v>740113.98115702497</v>
      </c>
      <c r="BC1285" s="246">
        <f>IFERROR(VLOOKUP(M1285,VOL_REC[],2,FALSE),0)</f>
        <v>0</v>
      </c>
      <c r="BD1285" s="246">
        <f>IFERROR(VLOOKUP(N1285,VOL_REC[],2,FALSE),0)</f>
        <v>0</v>
      </c>
      <c r="BE1285" s="246">
        <f>IFERROR(VLOOKUP(O1285,VOL_REC[],2,FALSE),0)</f>
        <v>0</v>
      </c>
      <c r="BF1285" s="246">
        <f>IFERROR(VLOOKUP(P1285,VOL_REC[],2,FALSE),0)</f>
        <v>0</v>
      </c>
      <c r="BG1285" s="246">
        <f>IFERROR(VLOOKUP(Q1285,VOL_REC[],2,FALSE),0)</f>
        <v>0</v>
      </c>
      <c r="BH1285" s="1710">
        <f t="shared" si="80"/>
        <v>28581670596.630165</v>
      </c>
      <c r="BI1285" s="1710">
        <f t="shared" si="81"/>
        <v>29901096616.881786</v>
      </c>
      <c r="BJ1285" s="1711">
        <f t="shared" si="82"/>
        <v>37932198.560078241</v>
      </c>
      <c r="BK1285" s="1711">
        <f t="shared" si="83"/>
        <v>0.9558736578408068</v>
      </c>
    </row>
    <row r="1286" spans="3:67" x14ac:dyDescent="0.25">
      <c r="C1286" s="246" t="s">
        <v>2636</v>
      </c>
      <c r="D1286" s="246">
        <v>1</v>
      </c>
      <c r="E1286" s="246">
        <v>2</v>
      </c>
      <c r="F1286" s="246">
        <v>3</v>
      </c>
      <c r="G1286" s="246">
        <v>5</v>
      </c>
      <c r="H1286" s="246">
        <v>6</v>
      </c>
      <c r="I1286" s="246">
        <v>9</v>
      </c>
      <c r="J1286" s="246">
        <v>10</v>
      </c>
      <c r="K1286" s="246">
        <v>14</v>
      </c>
      <c r="L1286" s="246">
        <v>15</v>
      </c>
      <c r="M1286" s="246"/>
      <c r="N1286" s="246"/>
      <c r="O1286" s="246"/>
      <c r="P1286" s="246"/>
      <c r="Q1286" s="246"/>
      <c r="R1286" s="246">
        <f>IFERROR(VLOOKUP(D1286,PROGRAMAS[],2,FALSE),0)</f>
        <v>97037803.679377079</v>
      </c>
      <c r="S1286" s="246">
        <f>IFERROR(VLOOKUP(E1286,PROGRAMAS[],2,FALSE),0)</f>
        <v>640501509.6821388</v>
      </c>
      <c r="T1286" s="246">
        <f>IFERROR(VLOOKUP(F1286,PROGRAMAS[],2,FALSE),0)</f>
        <v>3062327798.1525245</v>
      </c>
      <c r="U1286" s="246">
        <f>IFERROR(VLOOKUP(G1286,PROGRAMAS[],2,FALSE),0)</f>
        <v>1440941976.2528784</v>
      </c>
      <c r="V1286" s="246">
        <f>IFERROR(VLOOKUP(H1286,PROGRAMAS[],2,FALSE),0)</f>
        <v>6907648435.8447599</v>
      </c>
      <c r="W1286" s="246">
        <f>IFERROR(VLOOKUP(I1286,PROGRAMAS[],2,FALSE),0)</f>
        <v>6128579952.1618185</v>
      </c>
      <c r="X1286" s="246">
        <f>IFERROR(VLOOKUP(J1286,PROGRAMAS[],2,FALSE),0)</f>
        <v>4635315027.8751087</v>
      </c>
      <c r="Y1286" s="246">
        <f>IFERROR(VLOOKUP(K1286,PROGRAMAS[],2,FALSE),0)</f>
        <v>54223862.645839565</v>
      </c>
      <c r="Z1286" s="246">
        <f>IFERROR(VLOOKUP(L1286,PROGRAMAS[],2,FALSE),0)</f>
        <v>122159672.96346797</v>
      </c>
      <c r="AA1286" s="246">
        <f>IFERROR(VLOOKUP(M1286,PROGRAMAS[],2,FALSE),0)</f>
        <v>0</v>
      </c>
      <c r="AB1286" s="246">
        <f>IFERROR(VLOOKUP(N1286,PROGRAMAS[],2,FALSE),0)</f>
        <v>0</v>
      </c>
      <c r="AC1286" s="246">
        <f>IFERROR(VLOOKUP(O1286,PROGRAMAS[],2,FALSE),0)</f>
        <v>0</v>
      </c>
      <c r="AD1286" s="246">
        <f>IFERROR(VLOOKUP(P1286,PROGRAMAS[],2,FALSE),0)</f>
        <v>0</v>
      </c>
      <c r="AE1286" s="246">
        <f>IFERROR(VLOOKUP(Q1286,PROGRAMAS[],2,FALSE),0)</f>
        <v>0</v>
      </c>
      <c r="AF1286" s="246">
        <f>IFERROR(VLOOKUP(D1286,PROGRAMAS[],3,FALSE),0)</f>
        <v>841888629.31080008</v>
      </c>
      <c r="AG1286" s="246">
        <f>IFERROR(VLOOKUP(E1286,PROGRAMAS[],3,FALSE),0)</f>
        <v>3848980803.1642323</v>
      </c>
      <c r="AH1286" s="246">
        <f>IFERROR(VLOOKUP(F1286,PROGRAMAS[],3,FALSE),0)</f>
        <v>3394901471.387517</v>
      </c>
      <c r="AI1286" s="246">
        <f>IFERROR(VLOOKUP(G1286,PROGRAMAS[],3,FALSE),0)</f>
        <v>1233505101.0616004</v>
      </c>
      <c r="AJ1286" s="246">
        <f>IFERROR(VLOOKUP(H1286,PROGRAMAS[],3,FALSE),0)</f>
        <v>6129902208.7912121</v>
      </c>
      <c r="AK1286" s="246">
        <f>IFERROR(VLOOKUP(I1286,PROGRAMAS[],3,FALSE),0)</f>
        <v>7011279577.519702</v>
      </c>
      <c r="AL1286" s="246">
        <f>IFERROR(VLOOKUP(J1286,PROGRAMAS[],3,FALSE),0)</f>
        <v>4099471734.9978786</v>
      </c>
      <c r="AM1286" s="246">
        <f>IFERROR(VLOOKUP(K1286,PROGRAMAS[],3,FALSE),0)</f>
        <v>31865326.38096505</v>
      </c>
      <c r="AN1286" s="246">
        <f>IFERROR(VLOOKUP(L1286,PROGRAMAS[],3,FALSE),0)</f>
        <v>118617452.52510804</v>
      </c>
      <c r="AO1286" s="246">
        <f>IFERROR(VLOOKUP(M1286,PROGRAMAS[],3,FALSE),0)</f>
        <v>0</v>
      </c>
      <c r="AP1286" s="246">
        <f>IFERROR(VLOOKUP(N1286,PROGRAMAS[],3,FALSE),0)</f>
        <v>0</v>
      </c>
      <c r="AQ1286" s="246">
        <f>IFERROR(VLOOKUP(O1286,PROGRAMAS[],3,FALSE),0)</f>
        <v>0</v>
      </c>
      <c r="AR1286" s="246">
        <f>IFERROR(VLOOKUP(P1286,PROGRAMAS[],3,FALSE),0)</f>
        <v>0</v>
      </c>
      <c r="AS1286" s="246">
        <f>IFERROR(VLOOKUP(Q1286,PROGRAMAS[],3,FALSE),0)</f>
        <v>0</v>
      </c>
      <c r="AT1286" s="246">
        <f>IFERROR(VLOOKUP(D1286,VOL_REC[],2,FALSE),0)</f>
        <v>0</v>
      </c>
      <c r="AU1286" s="246">
        <f>IFERROR(VLOOKUP(E1286,VOL_REC[],2,FALSE),0)</f>
        <v>0</v>
      </c>
      <c r="AV1286" s="246">
        <f>IFERROR(VLOOKUP(F1286,VOL_REC[],2,FALSE),0)</f>
        <v>11089674.200000001</v>
      </c>
      <c r="AW1286" s="246">
        <f>IFERROR(VLOOKUP(G1286,VOL_REC[],2,FALSE),0)</f>
        <v>4325103.1812214684</v>
      </c>
      <c r="AX1286" s="246">
        <f>IFERROR(VLOOKUP(H1286,VOL_REC[],2,FALSE),0)</f>
        <v>15540036.397699751</v>
      </c>
      <c r="AY1286" s="246">
        <f>IFERROR(VLOOKUP(I1286,VOL_REC[],2,FALSE),0)</f>
        <v>3761786</v>
      </c>
      <c r="AZ1286" s="246">
        <f>IFERROR(VLOOKUP(J1286,VOL_REC[],2,FALSE),0)</f>
        <v>1812240</v>
      </c>
      <c r="BA1286" s="246">
        <f>IFERROR(VLOOKUP(K1286,VOL_REC[],2,FALSE),0)</f>
        <v>17074.045034105649</v>
      </c>
      <c r="BB1286" s="246">
        <f>IFERROR(VLOOKUP(L1286,VOL_REC[],2,FALSE),0)</f>
        <v>105072</v>
      </c>
      <c r="BC1286" s="246">
        <f>IFERROR(VLOOKUP(M1286,VOL_REC[],2,FALSE),0)</f>
        <v>0</v>
      </c>
      <c r="BD1286" s="246">
        <f>IFERROR(VLOOKUP(N1286,VOL_REC[],2,FALSE),0)</f>
        <v>0</v>
      </c>
      <c r="BE1286" s="246">
        <f>IFERROR(VLOOKUP(O1286,VOL_REC[],2,FALSE),0)</f>
        <v>0</v>
      </c>
      <c r="BF1286" s="246">
        <f>IFERROR(VLOOKUP(P1286,VOL_REC[],2,FALSE),0)</f>
        <v>0</v>
      </c>
      <c r="BG1286" s="246">
        <f>IFERROR(VLOOKUP(Q1286,VOL_REC[],2,FALSE),0)</f>
        <v>0</v>
      </c>
      <c r="BH1286" s="1710">
        <f t="shared" si="80"/>
        <v>23088736039.257912</v>
      </c>
      <c r="BI1286" s="1710">
        <f t="shared" si="81"/>
        <v>26710412305.139019</v>
      </c>
      <c r="BJ1286" s="1711">
        <f t="shared" si="82"/>
        <v>36650985.82395532</v>
      </c>
      <c r="BK1286" s="1711">
        <f t="shared" si="83"/>
        <v>0.86440957090039727</v>
      </c>
    </row>
    <row r="1287" spans="3:67" x14ac:dyDescent="0.25">
      <c r="C1287" s="246" t="s">
        <v>2637</v>
      </c>
      <c r="D1287" s="246">
        <v>1</v>
      </c>
      <c r="E1287" s="246">
        <v>2</v>
      </c>
      <c r="F1287" s="246">
        <v>3</v>
      </c>
      <c r="G1287" s="246">
        <v>5</v>
      </c>
      <c r="H1287" s="246">
        <v>6</v>
      </c>
      <c r="I1287" s="246">
        <v>9</v>
      </c>
      <c r="J1287" s="246">
        <v>10</v>
      </c>
      <c r="K1287" s="246">
        <v>14</v>
      </c>
      <c r="L1287" s="246">
        <v>16</v>
      </c>
      <c r="M1287" s="246"/>
      <c r="N1287" s="246"/>
      <c r="O1287" s="246"/>
      <c r="P1287" s="246"/>
      <c r="Q1287" s="246"/>
      <c r="R1287" s="246">
        <f>IFERROR(VLOOKUP(D1287,PROGRAMAS[],2,FALSE),0)</f>
        <v>97037803.679377079</v>
      </c>
      <c r="S1287" s="246">
        <f>IFERROR(VLOOKUP(E1287,PROGRAMAS[],2,FALSE),0)</f>
        <v>640501509.6821388</v>
      </c>
      <c r="T1287" s="246">
        <f>IFERROR(VLOOKUP(F1287,PROGRAMAS[],2,FALSE),0)</f>
        <v>3062327798.1525245</v>
      </c>
      <c r="U1287" s="246">
        <f>IFERROR(VLOOKUP(G1287,PROGRAMAS[],2,FALSE),0)</f>
        <v>1440941976.2528784</v>
      </c>
      <c r="V1287" s="246">
        <f>IFERROR(VLOOKUP(H1287,PROGRAMAS[],2,FALSE),0)</f>
        <v>6907648435.8447599</v>
      </c>
      <c r="W1287" s="246">
        <f>IFERROR(VLOOKUP(I1287,PROGRAMAS[],2,FALSE),0)</f>
        <v>6128579952.1618185</v>
      </c>
      <c r="X1287" s="246">
        <f>IFERROR(VLOOKUP(J1287,PROGRAMAS[],2,FALSE),0)</f>
        <v>4635315027.8751087</v>
      </c>
      <c r="Y1287" s="246">
        <f>IFERROR(VLOOKUP(K1287,PROGRAMAS[],2,FALSE),0)</f>
        <v>54223862.645839565</v>
      </c>
      <c r="Z1287" s="246">
        <f>IFERROR(VLOOKUP(L1287,PROGRAMAS[],2,FALSE),0)</f>
        <v>7068496961.0436354</v>
      </c>
      <c r="AA1287" s="246">
        <f>IFERROR(VLOOKUP(M1287,PROGRAMAS[],2,FALSE),0)</f>
        <v>0</v>
      </c>
      <c r="AB1287" s="246">
        <f>IFERROR(VLOOKUP(N1287,PROGRAMAS[],2,FALSE),0)</f>
        <v>0</v>
      </c>
      <c r="AC1287" s="246">
        <f>IFERROR(VLOOKUP(O1287,PROGRAMAS[],2,FALSE),0)</f>
        <v>0</v>
      </c>
      <c r="AD1287" s="246">
        <f>IFERROR(VLOOKUP(P1287,PROGRAMAS[],2,FALSE),0)</f>
        <v>0</v>
      </c>
      <c r="AE1287" s="246">
        <f>IFERROR(VLOOKUP(Q1287,PROGRAMAS[],2,FALSE),0)</f>
        <v>0</v>
      </c>
      <c r="AF1287" s="246">
        <f>IFERROR(VLOOKUP(D1287,PROGRAMAS[],3,FALSE),0)</f>
        <v>841888629.31080008</v>
      </c>
      <c r="AG1287" s="246">
        <f>IFERROR(VLOOKUP(E1287,PROGRAMAS[],3,FALSE),0)</f>
        <v>3848980803.1642323</v>
      </c>
      <c r="AH1287" s="246">
        <f>IFERROR(VLOOKUP(F1287,PROGRAMAS[],3,FALSE),0)</f>
        <v>3394901471.387517</v>
      </c>
      <c r="AI1287" s="246">
        <f>IFERROR(VLOOKUP(G1287,PROGRAMAS[],3,FALSE),0)</f>
        <v>1233505101.0616004</v>
      </c>
      <c r="AJ1287" s="246">
        <f>IFERROR(VLOOKUP(H1287,PROGRAMAS[],3,FALSE),0)</f>
        <v>6129902208.7912121</v>
      </c>
      <c r="AK1287" s="246">
        <f>IFERROR(VLOOKUP(I1287,PROGRAMAS[],3,FALSE),0)</f>
        <v>7011279577.519702</v>
      </c>
      <c r="AL1287" s="246">
        <f>IFERROR(VLOOKUP(J1287,PROGRAMAS[],3,FALSE),0)</f>
        <v>4099471734.9978786</v>
      </c>
      <c r="AM1287" s="246">
        <f>IFERROR(VLOOKUP(K1287,PROGRAMAS[],3,FALSE),0)</f>
        <v>31865326.38096505</v>
      </c>
      <c r="AN1287" s="246">
        <f>IFERROR(VLOOKUP(L1287,PROGRAMAS[],3,FALSE),0)</f>
        <v>2406564599.0319901</v>
      </c>
      <c r="AO1287" s="246">
        <f>IFERROR(VLOOKUP(M1287,PROGRAMAS[],3,FALSE),0)</f>
        <v>0</v>
      </c>
      <c r="AP1287" s="246">
        <f>IFERROR(VLOOKUP(N1287,PROGRAMAS[],3,FALSE),0)</f>
        <v>0</v>
      </c>
      <c r="AQ1287" s="246">
        <f>IFERROR(VLOOKUP(O1287,PROGRAMAS[],3,FALSE),0)</f>
        <v>0</v>
      </c>
      <c r="AR1287" s="246">
        <f>IFERROR(VLOOKUP(P1287,PROGRAMAS[],3,FALSE),0)</f>
        <v>0</v>
      </c>
      <c r="AS1287" s="246">
        <f>IFERROR(VLOOKUP(Q1287,PROGRAMAS[],3,FALSE),0)</f>
        <v>0</v>
      </c>
      <c r="AT1287" s="246">
        <f>IFERROR(VLOOKUP(D1287,VOL_REC[],2,FALSE),0)</f>
        <v>0</v>
      </c>
      <c r="AU1287" s="246">
        <f>IFERROR(VLOOKUP(E1287,VOL_REC[],2,FALSE),0)</f>
        <v>0</v>
      </c>
      <c r="AV1287" s="246">
        <f>IFERROR(VLOOKUP(F1287,VOL_REC[],2,FALSE),0)</f>
        <v>11089674.200000001</v>
      </c>
      <c r="AW1287" s="246">
        <f>IFERROR(VLOOKUP(G1287,VOL_REC[],2,FALSE),0)</f>
        <v>4325103.1812214684</v>
      </c>
      <c r="AX1287" s="246">
        <f>IFERROR(VLOOKUP(H1287,VOL_REC[],2,FALSE),0)</f>
        <v>15540036.397699751</v>
      </c>
      <c r="AY1287" s="246">
        <f>IFERROR(VLOOKUP(I1287,VOL_REC[],2,FALSE),0)</f>
        <v>3761786</v>
      </c>
      <c r="AZ1287" s="246">
        <f>IFERROR(VLOOKUP(J1287,VOL_REC[],2,FALSE),0)</f>
        <v>1812240</v>
      </c>
      <c r="BA1287" s="246">
        <f>IFERROR(VLOOKUP(K1287,VOL_REC[],2,FALSE),0)</f>
        <v>17074.045034105649</v>
      </c>
      <c r="BB1287" s="246">
        <f>IFERROR(VLOOKUP(L1287,VOL_REC[],2,FALSE),0)</f>
        <v>1072354.9981737854</v>
      </c>
      <c r="BC1287" s="246">
        <f>IFERROR(VLOOKUP(M1287,VOL_REC[],2,FALSE),0)</f>
        <v>0</v>
      </c>
      <c r="BD1287" s="246">
        <f>IFERROR(VLOOKUP(N1287,VOL_REC[],2,FALSE),0)</f>
        <v>0</v>
      </c>
      <c r="BE1287" s="246">
        <f>IFERROR(VLOOKUP(O1287,VOL_REC[],2,FALSE),0)</f>
        <v>0</v>
      </c>
      <c r="BF1287" s="246">
        <f>IFERROR(VLOOKUP(P1287,VOL_REC[],2,FALSE),0)</f>
        <v>0</v>
      </c>
      <c r="BG1287" s="246">
        <f>IFERROR(VLOOKUP(Q1287,VOL_REC[],2,FALSE),0)</f>
        <v>0</v>
      </c>
      <c r="BH1287" s="1710">
        <f t="shared" si="80"/>
        <v>30035073327.338081</v>
      </c>
      <c r="BI1287" s="1710">
        <f t="shared" si="81"/>
        <v>28998359451.645901</v>
      </c>
      <c r="BJ1287" s="1711">
        <f t="shared" si="82"/>
        <v>37618268.822129108</v>
      </c>
      <c r="BK1287" s="1711">
        <f t="shared" si="83"/>
        <v>1.0357507767782821</v>
      </c>
      <c r="BL1287">
        <f>BJ1287</f>
        <v>37618268.822129108</v>
      </c>
      <c r="BO1287">
        <f>BL1287</f>
        <v>37618268.822129108</v>
      </c>
    </row>
    <row r="1288" spans="3:67" x14ac:dyDescent="0.25">
      <c r="C1288" s="246" t="s">
        <v>2638</v>
      </c>
      <c r="D1288" s="246">
        <v>1</v>
      </c>
      <c r="E1288" s="246">
        <v>2</v>
      </c>
      <c r="F1288" s="246">
        <v>3</v>
      </c>
      <c r="G1288" s="246">
        <v>5</v>
      </c>
      <c r="H1288" s="246">
        <v>6</v>
      </c>
      <c r="I1288" s="246">
        <v>9</v>
      </c>
      <c r="J1288" s="246">
        <v>10</v>
      </c>
      <c r="K1288" s="246">
        <v>14</v>
      </c>
      <c r="L1288" s="246">
        <v>17</v>
      </c>
      <c r="M1288" s="246"/>
      <c r="N1288" s="246"/>
      <c r="O1288" s="246"/>
      <c r="P1288" s="246"/>
      <c r="Q1288" s="246"/>
      <c r="R1288" s="246">
        <f>IFERROR(VLOOKUP(D1288,PROGRAMAS[],2,FALSE),0)</f>
        <v>97037803.679377079</v>
      </c>
      <c r="S1288" s="246">
        <f>IFERROR(VLOOKUP(E1288,PROGRAMAS[],2,FALSE),0)</f>
        <v>640501509.6821388</v>
      </c>
      <c r="T1288" s="246">
        <f>IFERROR(VLOOKUP(F1288,PROGRAMAS[],2,FALSE),0)</f>
        <v>3062327798.1525245</v>
      </c>
      <c r="U1288" s="246">
        <f>IFERROR(VLOOKUP(G1288,PROGRAMAS[],2,FALSE),0)</f>
        <v>1440941976.2528784</v>
      </c>
      <c r="V1288" s="246">
        <f>IFERROR(VLOOKUP(H1288,PROGRAMAS[],2,FALSE),0)</f>
        <v>6907648435.8447599</v>
      </c>
      <c r="W1288" s="246">
        <f>IFERROR(VLOOKUP(I1288,PROGRAMAS[],2,FALSE),0)</f>
        <v>6128579952.1618185</v>
      </c>
      <c r="X1288" s="246">
        <f>IFERROR(VLOOKUP(J1288,PROGRAMAS[],2,FALSE),0)</f>
        <v>4635315027.8751087</v>
      </c>
      <c r="Y1288" s="246">
        <f>IFERROR(VLOOKUP(K1288,PROGRAMAS[],2,FALSE),0)</f>
        <v>54223862.645839565</v>
      </c>
      <c r="Z1288" s="246">
        <f>IFERROR(VLOOKUP(L1288,PROGRAMAS[],2,FALSE),0)</f>
        <v>1892779498.5211046</v>
      </c>
      <c r="AA1288" s="246">
        <f>IFERROR(VLOOKUP(M1288,PROGRAMAS[],2,FALSE),0)</f>
        <v>0</v>
      </c>
      <c r="AB1288" s="246">
        <f>IFERROR(VLOOKUP(N1288,PROGRAMAS[],2,FALSE),0)</f>
        <v>0</v>
      </c>
      <c r="AC1288" s="246">
        <f>IFERROR(VLOOKUP(O1288,PROGRAMAS[],2,FALSE),0)</f>
        <v>0</v>
      </c>
      <c r="AD1288" s="246">
        <f>IFERROR(VLOOKUP(P1288,PROGRAMAS[],2,FALSE),0)</f>
        <v>0</v>
      </c>
      <c r="AE1288" s="246">
        <f>IFERROR(VLOOKUP(Q1288,PROGRAMAS[],2,FALSE),0)</f>
        <v>0</v>
      </c>
      <c r="AF1288" s="246">
        <f>IFERROR(VLOOKUP(D1288,PROGRAMAS[],3,FALSE),0)</f>
        <v>841888629.31080008</v>
      </c>
      <c r="AG1288" s="246">
        <f>IFERROR(VLOOKUP(E1288,PROGRAMAS[],3,FALSE),0)</f>
        <v>3848980803.1642323</v>
      </c>
      <c r="AH1288" s="246">
        <f>IFERROR(VLOOKUP(F1288,PROGRAMAS[],3,FALSE),0)</f>
        <v>3394901471.387517</v>
      </c>
      <c r="AI1288" s="246">
        <f>IFERROR(VLOOKUP(G1288,PROGRAMAS[],3,FALSE),0)</f>
        <v>1233505101.0616004</v>
      </c>
      <c r="AJ1288" s="246">
        <f>IFERROR(VLOOKUP(H1288,PROGRAMAS[],3,FALSE),0)</f>
        <v>6129902208.7912121</v>
      </c>
      <c r="AK1288" s="246">
        <f>IFERROR(VLOOKUP(I1288,PROGRAMAS[],3,FALSE),0)</f>
        <v>7011279577.519702</v>
      </c>
      <c r="AL1288" s="246">
        <f>IFERROR(VLOOKUP(J1288,PROGRAMAS[],3,FALSE),0)</f>
        <v>4099471734.9978786</v>
      </c>
      <c r="AM1288" s="246">
        <f>IFERROR(VLOOKUP(K1288,PROGRAMAS[],3,FALSE),0)</f>
        <v>31865326.38096505</v>
      </c>
      <c r="AN1288" s="246">
        <f>IFERROR(VLOOKUP(L1288,PROGRAMAS[],3,FALSE),0)</f>
        <v>948595847.09039903</v>
      </c>
      <c r="AO1288" s="246">
        <f>IFERROR(VLOOKUP(M1288,PROGRAMAS[],3,FALSE),0)</f>
        <v>0</v>
      </c>
      <c r="AP1288" s="246">
        <f>IFERROR(VLOOKUP(N1288,PROGRAMAS[],3,FALSE),0)</f>
        <v>0</v>
      </c>
      <c r="AQ1288" s="246">
        <f>IFERROR(VLOOKUP(O1288,PROGRAMAS[],3,FALSE),0)</f>
        <v>0</v>
      </c>
      <c r="AR1288" s="246">
        <f>IFERROR(VLOOKUP(P1288,PROGRAMAS[],3,FALSE),0)</f>
        <v>0</v>
      </c>
      <c r="AS1288" s="246">
        <f>IFERROR(VLOOKUP(Q1288,PROGRAMAS[],3,FALSE),0)</f>
        <v>0</v>
      </c>
      <c r="AT1288" s="246">
        <f>IFERROR(VLOOKUP(D1288,VOL_REC[],2,FALSE),0)</f>
        <v>0</v>
      </c>
      <c r="AU1288" s="246">
        <f>IFERROR(VLOOKUP(E1288,VOL_REC[],2,FALSE),0)</f>
        <v>0</v>
      </c>
      <c r="AV1288" s="246">
        <f>IFERROR(VLOOKUP(F1288,VOL_REC[],2,FALSE),0)</f>
        <v>11089674.200000001</v>
      </c>
      <c r="AW1288" s="246">
        <f>IFERROR(VLOOKUP(G1288,VOL_REC[],2,FALSE),0)</f>
        <v>4325103.1812214684</v>
      </c>
      <c r="AX1288" s="246">
        <f>IFERROR(VLOOKUP(H1288,VOL_REC[],2,FALSE),0)</f>
        <v>15540036.397699751</v>
      </c>
      <c r="AY1288" s="246">
        <f>IFERROR(VLOOKUP(I1288,VOL_REC[],2,FALSE),0)</f>
        <v>3761786</v>
      </c>
      <c r="AZ1288" s="246">
        <f>IFERROR(VLOOKUP(J1288,VOL_REC[],2,FALSE),0)</f>
        <v>1812240</v>
      </c>
      <c r="BA1288" s="246">
        <f>IFERROR(VLOOKUP(K1288,VOL_REC[],2,FALSE),0)</f>
        <v>17074.045034105649</v>
      </c>
      <c r="BB1288" s="246">
        <f>IFERROR(VLOOKUP(L1288,VOL_REC[],2,FALSE),0)</f>
        <v>740113.98115702497</v>
      </c>
      <c r="BC1288" s="246">
        <f>IFERROR(VLOOKUP(M1288,VOL_REC[],2,FALSE),0)</f>
        <v>0</v>
      </c>
      <c r="BD1288" s="246">
        <f>IFERROR(VLOOKUP(N1288,VOL_REC[],2,FALSE),0)</f>
        <v>0</v>
      </c>
      <c r="BE1288" s="246">
        <f>IFERROR(VLOOKUP(O1288,VOL_REC[],2,FALSE),0)</f>
        <v>0</v>
      </c>
      <c r="BF1288" s="246">
        <f>IFERROR(VLOOKUP(P1288,VOL_REC[],2,FALSE),0)</f>
        <v>0</v>
      </c>
      <c r="BG1288" s="246">
        <f>IFERROR(VLOOKUP(Q1288,VOL_REC[],2,FALSE),0)</f>
        <v>0</v>
      </c>
      <c r="BH1288" s="1710">
        <f t="shared" si="80"/>
        <v>24859355864.815548</v>
      </c>
      <c r="BI1288" s="1710">
        <f t="shared" si="81"/>
        <v>27540390699.704311</v>
      </c>
      <c r="BJ1288" s="1711">
        <f t="shared" si="82"/>
        <v>37286027.805112347</v>
      </c>
      <c r="BK1288" s="1711">
        <f t="shared" si="83"/>
        <v>0.90265080607888581</v>
      </c>
    </row>
    <row r="1289" spans="3:67" x14ac:dyDescent="0.25">
      <c r="C1289" s="246" t="s">
        <v>2639</v>
      </c>
      <c r="D1289" s="246">
        <v>1</v>
      </c>
      <c r="E1289" s="246">
        <v>2</v>
      </c>
      <c r="F1289" s="246">
        <v>3</v>
      </c>
      <c r="G1289" s="246">
        <v>5</v>
      </c>
      <c r="H1289" s="246">
        <v>6</v>
      </c>
      <c r="I1289" s="246">
        <v>9</v>
      </c>
      <c r="J1289" s="246">
        <v>10</v>
      </c>
      <c r="K1289" s="246">
        <v>15</v>
      </c>
      <c r="L1289" s="246">
        <v>16</v>
      </c>
      <c r="M1289" s="246"/>
      <c r="N1289" s="246"/>
      <c r="O1289" s="246"/>
      <c r="P1289" s="246"/>
      <c r="Q1289" s="246"/>
      <c r="R1289" s="246">
        <f>IFERROR(VLOOKUP(D1289,PROGRAMAS[],2,FALSE),0)</f>
        <v>97037803.679377079</v>
      </c>
      <c r="S1289" s="246">
        <f>IFERROR(VLOOKUP(E1289,PROGRAMAS[],2,FALSE),0)</f>
        <v>640501509.6821388</v>
      </c>
      <c r="T1289" s="246">
        <f>IFERROR(VLOOKUP(F1289,PROGRAMAS[],2,FALSE),0)</f>
        <v>3062327798.1525245</v>
      </c>
      <c r="U1289" s="246">
        <f>IFERROR(VLOOKUP(G1289,PROGRAMAS[],2,FALSE),0)</f>
        <v>1440941976.2528784</v>
      </c>
      <c r="V1289" s="246">
        <f>IFERROR(VLOOKUP(H1289,PROGRAMAS[],2,FALSE),0)</f>
        <v>6907648435.8447599</v>
      </c>
      <c r="W1289" s="246">
        <f>IFERROR(VLOOKUP(I1289,PROGRAMAS[],2,FALSE),0)</f>
        <v>6128579952.1618185</v>
      </c>
      <c r="X1289" s="246">
        <f>IFERROR(VLOOKUP(J1289,PROGRAMAS[],2,FALSE),0)</f>
        <v>4635315027.8751087</v>
      </c>
      <c r="Y1289" s="246">
        <f>IFERROR(VLOOKUP(K1289,PROGRAMAS[],2,FALSE),0)</f>
        <v>122159672.96346797</v>
      </c>
      <c r="Z1289" s="246">
        <f>IFERROR(VLOOKUP(L1289,PROGRAMAS[],2,FALSE),0)</f>
        <v>7068496961.0436354</v>
      </c>
      <c r="AA1289" s="246">
        <f>IFERROR(VLOOKUP(M1289,PROGRAMAS[],2,FALSE),0)</f>
        <v>0</v>
      </c>
      <c r="AB1289" s="246">
        <f>IFERROR(VLOOKUP(N1289,PROGRAMAS[],2,FALSE),0)</f>
        <v>0</v>
      </c>
      <c r="AC1289" s="246">
        <f>IFERROR(VLOOKUP(O1289,PROGRAMAS[],2,FALSE),0)</f>
        <v>0</v>
      </c>
      <c r="AD1289" s="246">
        <f>IFERROR(VLOOKUP(P1289,PROGRAMAS[],2,FALSE),0)</f>
        <v>0</v>
      </c>
      <c r="AE1289" s="246">
        <f>IFERROR(VLOOKUP(Q1289,PROGRAMAS[],2,FALSE),0)</f>
        <v>0</v>
      </c>
      <c r="AF1289" s="246">
        <f>IFERROR(VLOOKUP(D1289,PROGRAMAS[],3,FALSE),0)</f>
        <v>841888629.31080008</v>
      </c>
      <c r="AG1289" s="246">
        <f>IFERROR(VLOOKUP(E1289,PROGRAMAS[],3,FALSE),0)</f>
        <v>3848980803.1642323</v>
      </c>
      <c r="AH1289" s="246">
        <f>IFERROR(VLOOKUP(F1289,PROGRAMAS[],3,FALSE),0)</f>
        <v>3394901471.387517</v>
      </c>
      <c r="AI1289" s="246">
        <f>IFERROR(VLOOKUP(G1289,PROGRAMAS[],3,FALSE),0)</f>
        <v>1233505101.0616004</v>
      </c>
      <c r="AJ1289" s="246">
        <f>IFERROR(VLOOKUP(H1289,PROGRAMAS[],3,FALSE),0)</f>
        <v>6129902208.7912121</v>
      </c>
      <c r="AK1289" s="246">
        <f>IFERROR(VLOOKUP(I1289,PROGRAMAS[],3,FALSE),0)</f>
        <v>7011279577.519702</v>
      </c>
      <c r="AL1289" s="246">
        <f>IFERROR(VLOOKUP(J1289,PROGRAMAS[],3,FALSE),0)</f>
        <v>4099471734.9978786</v>
      </c>
      <c r="AM1289" s="246">
        <f>IFERROR(VLOOKUP(K1289,PROGRAMAS[],3,FALSE),0)</f>
        <v>118617452.52510804</v>
      </c>
      <c r="AN1289" s="246">
        <f>IFERROR(VLOOKUP(L1289,PROGRAMAS[],3,FALSE),0)</f>
        <v>2406564599.0319901</v>
      </c>
      <c r="AO1289" s="246">
        <f>IFERROR(VLOOKUP(M1289,PROGRAMAS[],3,FALSE),0)</f>
        <v>0</v>
      </c>
      <c r="AP1289" s="246">
        <f>IFERROR(VLOOKUP(N1289,PROGRAMAS[],3,FALSE),0)</f>
        <v>0</v>
      </c>
      <c r="AQ1289" s="246">
        <f>IFERROR(VLOOKUP(O1289,PROGRAMAS[],3,FALSE),0)</f>
        <v>0</v>
      </c>
      <c r="AR1289" s="246">
        <f>IFERROR(VLOOKUP(P1289,PROGRAMAS[],3,FALSE),0)</f>
        <v>0</v>
      </c>
      <c r="AS1289" s="246">
        <f>IFERROR(VLOOKUP(Q1289,PROGRAMAS[],3,FALSE),0)</f>
        <v>0</v>
      </c>
      <c r="AT1289" s="246">
        <f>IFERROR(VLOOKUP(D1289,VOL_REC[],2,FALSE),0)</f>
        <v>0</v>
      </c>
      <c r="AU1289" s="246">
        <f>IFERROR(VLOOKUP(E1289,VOL_REC[],2,FALSE),0)</f>
        <v>0</v>
      </c>
      <c r="AV1289" s="246">
        <f>IFERROR(VLOOKUP(F1289,VOL_REC[],2,FALSE),0)</f>
        <v>11089674.200000001</v>
      </c>
      <c r="AW1289" s="246">
        <f>IFERROR(VLOOKUP(G1289,VOL_REC[],2,FALSE),0)</f>
        <v>4325103.1812214684</v>
      </c>
      <c r="AX1289" s="246">
        <f>IFERROR(VLOOKUP(H1289,VOL_REC[],2,FALSE),0)</f>
        <v>15540036.397699751</v>
      </c>
      <c r="AY1289" s="246">
        <f>IFERROR(VLOOKUP(I1289,VOL_REC[],2,FALSE),0)</f>
        <v>3761786</v>
      </c>
      <c r="AZ1289" s="246">
        <f>IFERROR(VLOOKUP(J1289,VOL_REC[],2,FALSE),0)</f>
        <v>1812240</v>
      </c>
      <c r="BA1289" s="246">
        <f>IFERROR(VLOOKUP(K1289,VOL_REC[],2,FALSE),0)</f>
        <v>105072</v>
      </c>
      <c r="BB1289" s="246">
        <f>IFERROR(VLOOKUP(L1289,VOL_REC[],2,FALSE),0)</f>
        <v>1072354.9981737854</v>
      </c>
      <c r="BC1289" s="246">
        <f>IFERROR(VLOOKUP(M1289,VOL_REC[],2,FALSE),0)</f>
        <v>0</v>
      </c>
      <c r="BD1289" s="246">
        <f>IFERROR(VLOOKUP(N1289,VOL_REC[],2,FALSE),0)</f>
        <v>0</v>
      </c>
      <c r="BE1289" s="246">
        <f>IFERROR(VLOOKUP(O1289,VOL_REC[],2,FALSE),0)</f>
        <v>0</v>
      </c>
      <c r="BF1289" s="246">
        <f>IFERROR(VLOOKUP(P1289,VOL_REC[],2,FALSE),0)</f>
        <v>0</v>
      </c>
      <c r="BG1289" s="246">
        <f>IFERROR(VLOOKUP(Q1289,VOL_REC[],2,FALSE),0)</f>
        <v>0</v>
      </c>
      <c r="BH1289" s="1710">
        <f t="shared" si="80"/>
        <v>30103009137.655708</v>
      </c>
      <c r="BI1289" s="1710">
        <f t="shared" si="81"/>
        <v>29085111577.790043</v>
      </c>
      <c r="BJ1289" s="1711">
        <f t="shared" si="82"/>
        <v>37706266.777095005</v>
      </c>
      <c r="BK1289" s="1711">
        <f t="shared" si="83"/>
        <v>1.03499720319598</v>
      </c>
      <c r="BL1289">
        <f>BJ1289</f>
        <v>37706266.777095005</v>
      </c>
      <c r="BO1289">
        <f>BL1289</f>
        <v>37706266.777095005</v>
      </c>
    </row>
    <row r="1290" spans="3:67" x14ac:dyDescent="0.25">
      <c r="C1290" s="246" t="s">
        <v>2640</v>
      </c>
      <c r="D1290" s="246">
        <v>1</v>
      </c>
      <c r="E1290" s="246">
        <v>2</v>
      </c>
      <c r="F1290" s="246">
        <v>3</v>
      </c>
      <c r="G1290" s="246">
        <v>5</v>
      </c>
      <c r="H1290" s="246">
        <v>6</v>
      </c>
      <c r="I1290" s="246">
        <v>9</v>
      </c>
      <c r="J1290" s="246">
        <v>10</v>
      </c>
      <c r="K1290" s="246">
        <v>15</v>
      </c>
      <c r="L1290" s="246">
        <v>17</v>
      </c>
      <c r="M1290" s="246"/>
      <c r="N1290" s="246"/>
      <c r="O1290" s="246"/>
      <c r="P1290" s="246"/>
      <c r="Q1290" s="246"/>
      <c r="R1290" s="246">
        <f>IFERROR(VLOOKUP(D1290,PROGRAMAS[],2,FALSE),0)</f>
        <v>97037803.679377079</v>
      </c>
      <c r="S1290" s="246">
        <f>IFERROR(VLOOKUP(E1290,PROGRAMAS[],2,FALSE),0)</f>
        <v>640501509.6821388</v>
      </c>
      <c r="T1290" s="246">
        <f>IFERROR(VLOOKUP(F1290,PROGRAMAS[],2,FALSE),0)</f>
        <v>3062327798.1525245</v>
      </c>
      <c r="U1290" s="246">
        <f>IFERROR(VLOOKUP(G1290,PROGRAMAS[],2,FALSE),0)</f>
        <v>1440941976.2528784</v>
      </c>
      <c r="V1290" s="246">
        <f>IFERROR(VLOOKUP(H1290,PROGRAMAS[],2,FALSE),0)</f>
        <v>6907648435.8447599</v>
      </c>
      <c r="W1290" s="246">
        <f>IFERROR(VLOOKUP(I1290,PROGRAMAS[],2,FALSE),0)</f>
        <v>6128579952.1618185</v>
      </c>
      <c r="X1290" s="246">
        <f>IFERROR(VLOOKUP(J1290,PROGRAMAS[],2,FALSE),0)</f>
        <v>4635315027.8751087</v>
      </c>
      <c r="Y1290" s="246">
        <f>IFERROR(VLOOKUP(K1290,PROGRAMAS[],2,FALSE),0)</f>
        <v>122159672.96346797</v>
      </c>
      <c r="Z1290" s="246">
        <f>IFERROR(VLOOKUP(L1290,PROGRAMAS[],2,FALSE),0)</f>
        <v>1892779498.5211046</v>
      </c>
      <c r="AA1290" s="246">
        <f>IFERROR(VLOOKUP(M1290,PROGRAMAS[],2,FALSE),0)</f>
        <v>0</v>
      </c>
      <c r="AB1290" s="246">
        <f>IFERROR(VLOOKUP(N1290,PROGRAMAS[],2,FALSE),0)</f>
        <v>0</v>
      </c>
      <c r="AC1290" s="246">
        <f>IFERROR(VLOOKUP(O1290,PROGRAMAS[],2,FALSE),0)</f>
        <v>0</v>
      </c>
      <c r="AD1290" s="246">
        <f>IFERROR(VLOOKUP(P1290,PROGRAMAS[],2,FALSE),0)</f>
        <v>0</v>
      </c>
      <c r="AE1290" s="246">
        <f>IFERROR(VLOOKUP(Q1290,PROGRAMAS[],2,FALSE),0)</f>
        <v>0</v>
      </c>
      <c r="AF1290" s="246">
        <f>IFERROR(VLOOKUP(D1290,PROGRAMAS[],3,FALSE),0)</f>
        <v>841888629.31080008</v>
      </c>
      <c r="AG1290" s="246">
        <f>IFERROR(VLOOKUP(E1290,PROGRAMAS[],3,FALSE),0)</f>
        <v>3848980803.1642323</v>
      </c>
      <c r="AH1290" s="246">
        <f>IFERROR(VLOOKUP(F1290,PROGRAMAS[],3,FALSE),0)</f>
        <v>3394901471.387517</v>
      </c>
      <c r="AI1290" s="246">
        <f>IFERROR(VLOOKUP(G1290,PROGRAMAS[],3,FALSE),0)</f>
        <v>1233505101.0616004</v>
      </c>
      <c r="AJ1290" s="246">
        <f>IFERROR(VLOOKUP(H1290,PROGRAMAS[],3,FALSE),0)</f>
        <v>6129902208.7912121</v>
      </c>
      <c r="AK1290" s="246">
        <f>IFERROR(VLOOKUP(I1290,PROGRAMAS[],3,FALSE),0)</f>
        <v>7011279577.519702</v>
      </c>
      <c r="AL1290" s="246">
        <f>IFERROR(VLOOKUP(J1290,PROGRAMAS[],3,FALSE),0)</f>
        <v>4099471734.9978786</v>
      </c>
      <c r="AM1290" s="246">
        <f>IFERROR(VLOOKUP(K1290,PROGRAMAS[],3,FALSE),0)</f>
        <v>118617452.52510804</v>
      </c>
      <c r="AN1290" s="246">
        <f>IFERROR(VLOOKUP(L1290,PROGRAMAS[],3,FALSE),0)</f>
        <v>948595847.09039903</v>
      </c>
      <c r="AO1290" s="246">
        <f>IFERROR(VLOOKUP(M1290,PROGRAMAS[],3,FALSE),0)</f>
        <v>0</v>
      </c>
      <c r="AP1290" s="246">
        <f>IFERROR(VLOOKUP(N1290,PROGRAMAS[],3,FALSE),0)</f>
        <v>0</v>
      </c>
      <c r="AQ1290" s="246">
        <f>IFERROR(VLOOKUP(O1290,PROGRAMAS[],3,FALSE),0)</f>
        <v>0</v>
      </c>
      <c r="AR1290" s="246">
        <f>IFERROR(VLOOKUP(P1290,PROGRAMAS[],3,FALSE),0)</f>
        <v>0</v>
      </c>
      <c r="AS1290" s="246">
        <f>IFERROR(VLOOKUP(Q1290,PROGRAMAS[],3,FALSE),0)</f>
        <v>0</v>
      </c>
      <c r="AT1290" s="246">
        <f>IFERROR(VLOOKUP(D1290,VOL_REC[],2,FALSE),0)</f>
        <v>0</v>
      </c>
      <c r="AU1290" s="246">
        <f>IFERROR(VLOOKUP(E1290,VOL_REC[],2,FALSE),0)</f>
        <v>0</v>
      </c>
      <c r="AV1290" s="246">
        <f>IFERROR(VLOOKUP(F1290,VOL_REC[],2,FALSE),0)</f>
        <v>11089674.200000001</v>
      </c>
      <c r="AW1290" s="246">
        <f>IFERROR(VLOOKUP(G1290,VOL_REC[],2,FALSE),0)</f>
        <v>4325103.1812214684</v>
      </c>
      <c r="AX1290" s="246">
        <f>IFERROR(VLOOKUP(H1290,VOL_REC[],2,FALSE),0)</f>
        <v>15540036.397699751</v>
      </c>
      <c r="AY1290" s="246">
        <f>IFERROR(VLOOKUP(I1290,VOL_REC[],2,FALSE),0)</f>
        <v>3761786</v>
      </c>
      <c r="AZ1290" s="246">
        <f>IFERROR(VLOOKUP(J1290,VOL_REC[],2,FALSE),0)</f>
        <v>1812240</v>
      </c>
      <c r="BA1290" s="246">
        <f>IFERROR(VLOOKUP(K1290,VOL_REC[],2,FALSE),0)</f>
        <v>105072</v>
      </c>
      <c r="BB1290" s="246">
        <f>IFERROR(VLOOKUP(L1290,VOL_REC[],2,FALSE),0)</f>
        <v>740113.98115702497</v>
      </c>
      <c r="BC1290" s="246">
        <f>IFERROR(VLOOKUP(M1290,VOL_REC[],2,FALSE),0)</f>
        <v>0</v>
      </c>
      <c r="BD1290" s="246">
        <f>IFERROR(VLOOKUP(N1290,VOL_REC[],2,FALSE),0)</f>
        <v>0</v>
      </c>
      <c r="BE1290" s="246">
        <f>IFERROR(VLOOKUP(O1290,VOL_REC[],2,FALSE),0)</f>
        <v>0</v>
      </c>
      <c r="BF1290" s="246">
        <f>IFERROR(VLOOKUP(P1290,VOL_REC[],2,FALSE),0)</f>
        <v>0</v>
      </c>
      <c r="BG1290" s="246">
        <f>IFERROR(VLOOKUP(Q1290,VOL_REC[],2,FALSE),0)</f>
        <v>0</v>
      </c>
      <c r="BH1290" s="1710">
        <f t="shared" si="80"/>
        <v>24927291675.133175</v>
      </c>
      <c r="BI1290" s="1710">
        <f t="shared" si="81"/>
        <v>27627142825.848454</v>
      </c>
      <c r="BJ1290" s="1711">
        <f t="shared" si="82"/>
        <v>37374025.760078244</v>
      </c>
      <c r="BK1290" s="1711">
        <f t="shared" si="83"/>
        <v>0.9022754119839983</v>
      </c>
    </row>
    <row r="1291" spans="3:67" x14ac:dyDescent="0.25">
      <c r="C1291" s="246" t="s">
        <v>2641</v>
      </c>
      <c r="D1291" s="246">
        <v>1</v>
      </c>
      <c r="E1291" s="246">
        <v>2</v>
      </c>
      <c r="F1291" s="246">
        <v>3</v>
      </c>
      <c r="G1291" s="246">
        <v>5</v>
      </c>
      <c r="H1291" s="246">
        <v>6</v>
      </c>
      <c r="I1291" s="246">
        <v>9</v>
      </c>
      <c r="J1291" s="246">
        <v>10</v>
      </c>
      <c r="K1291" s="246">
        <v>16</v>
      </c>
      <c r="L1291" s="246">
        <v>17</v>
      </c>
      <c r="M1291" s="246"/>
      <c r="N1291" s="246"/>
      <c r="O1291" s="246"/>
      <c r="P1291" s="246"/>
      <c r="Q1291" s="246"/>
      <c r="R1291" s="246">
        <f>IFERROR(VLOOKUP(D1291,PROGRAMAS[],2,FALSE),0)</f>
        <v>97037803.679377079</v>
      </c>
      <c r="S1291" s="246">
        <f>IFERROR(VLOOKUP(E1291,PROGRAMAS[],2,FALSE),0)</f>
        <v>640501509.6821388</v>
      </c>
      <c r="T1291" s="246">
        <f>IFERROR(VLOOKUP(F1291,PROGRAMAS[],2,FALSE),0)</f>
        <v>3062327798.1525245</v>
      </c>
      <c r="U1291" s="246">
        <f>IFERROR(VLOOKUP(G1291,PROGRAMAS[],2,FALSE),0)</f>
        <v>1440941976.2528784</v>
      </c>
      <c r="V1291" s="246">
        <f>IFERROR(VLOOKUP(H1291,PROGRAMAS[],2,FALSE),0)</f>
        <v>6907648435.8447599</v>
      </c>
      <c r="W1291" s="246">
        <f>IFERROR(VLOOKUP(I1291,PROGRAMAS[],2,FALSE),0)</f>
        <v>6128579952.1618185</v>
      </c>
      <c r="X1291" s="246">
        <f>IFERROR(VLOOKUP(J1291,PROGRAMAS[],2,FALSE),0)</f>
        <v>4635315027.8751087</v>
      </c>
      <c r="Y1291" s="246">
        <f>IFERROR(VLOOKUP(K1291,PROGRAMAS[],2,FALSE),0)</f>
        <v>7068496961.0436354</v>
      </c>
      <c r="Z1291" s="246">
        <f>IFERROR(VLOOKUP(L1291,PROGRAMAS[],2,FALSE),0)</f>
        <v>1892779498.5211046</v>
      </c>
      <c r="AA1291" s="246">
        <f>IFERROR(VLOOKUP(M1291,PROGRAMAS[],2,FALSE),0)</f>
        <v>0</v>
      </c>
      <c r="AB1291" s="246">
        <f>IFERROR(VLOOKUP(N1291,PROGRAMAS[],2,FALSE),0)</f>
        <v>0</v>
      </c>
      <c r="AC1291" s="246">
        <f>IFERROR(VLOOKUP(O1291,PROGRAMAS[],2,FALSE),0)</f>
        <v>0</v>
      </c>
      <c r="AD1291" s="246">
        <f>IFERROR(VLOOKUP(P1291,PROGRAMAS[],2,FALSE),0)</f>
        <v>0</v>
      </c>
      <c r="AE1291" s="246">
        <f>IFERROR(VLOOKUP(Q1291,PROGRAMAS[],2,FALSE),0)</f>
        <v>0</v>
      </c>
      <c r="AF1291" s="246">
        <f>IFERROR(VLOOKUP(D1291,PROGRAMAS[],3,FALSE),0)</f>
        <v>841888629.31080008</v>
      </c>
      <c r="AG1291" s="246">
        <f>IFERROR(VLOOKUP(E1291,PROGRAMAS[],3,FALSE),0)</f>
        <v>3848980803.1642323</v>
      </c>
      <c r="AH1291" s="246">
        <f>IFERROR(VLOOKUP(F1291,PROGRAMAS[],3,FALSE),0)</f>
        <v>3394901471.387517</v>
      </c>
      <c r="AI1291" s="246">
        <f>IFERROR(VLOOKUP(G1291,PROGRAMAS[],3,FALSE),0)</f>
        <v>1233505101.0616004</v>
      </c>
      <c r="AJ1291" s="246">
        <f>IFERROR(VLOOKUP(H1291,PROGRAMAS[],3,FALSE),0)</f>
        <v>6129902208.7912121</v>
      </c>
      <c r="AK1291" s="246">
        <f>IFERROR(VLOOKUP(I1291,PROGRAMAS[],3,FALSE),0)</f>
        <v>7011279577.519702</v>
      </c>
      <c r="AL1291" s="246">
        <f>IFERROR(VLOOKUP(J1291,PROGRAMAS[],3,FALSE),0)</f>
        <v>4099471734.9978786</v>
      </c>
      <c r="AM1291" s="246">
        <f>IFERROR(VLOOKUP(K1291,PROGRAMAS[],3,FALSE),0)</f>
        <v>2406564599.0319901</v>
      </c>
      <c r="AN1291" s="246">
        <f>IFERROR(VLOOKUP(L1291,PROGRAMAS[],3,FALSE),0)</f>
        <v>948595847.09039903</v>
      </c>
      <c r="AO1291" s="246">
        <f>IFERROR(VLOOKUP(M1291,PROGRAMAS[],3,FALSE),0)</f>
        <v>0</v>
      </c>
      <c r="AP1291" s="246">
        <f>IFERROR(VLOOKUP(N1291,PROGRAMAS[],3,FALSE),0)</f>
        <v>0</v>
      </c>
      <c r="AQ1291" s="246">
        <f>IFERROR(VLOOKUP(O1291,PROGRAMAS[],3,FALSE),0)</f>
        <v>0</v>
      </c>
      <c r="AR1291" s="246">
        <f>IFERROR(VLOOKUP(P1291,PROGRAMAS[],3,FALSE),0)</f>
        <v>0</v>
      </c>
      <c r="AS1291" s="246">
        <f>IFERROR(VLOOKUP(Q1291,PROGRAMAS[],3,FALSE),0)</f>
        <v>0</v>
      </c>
      <c r="AT1291" s="246">
        <f>IFERROR(VLOOKUP(D1291,VOL_REC[],2,FALSE),0)</f>
        <v>0</v>
      </c>
      <c r="AU1291" s="246">
        <f>IFERROR(VLOOKUP(E1291,VOL_REC[],2,FALSE),0)</f>
        <v>0</v>
      </c>
      <c r="AV1291" s="246">
        <f>IFERROR(VLOOKUP(F1291,VOL_REC[],2,FALSE),0)</f>
        <v>11089674.200000001</v>
      </c>
      <c r="AW1291" s="246">
        <f>IFERROR(VLOOKUP(G1291,VOL_REC[],2,FALSE),0)</f>
        <v>4325103.1812214684</v>
      </c>
      <c r="AX1291" s="246">
        <f>IFERROR(VLOOKUP(H1291,VOL_REC[],2,FALSE),0)</f>
        <v>15540036.397699751</v>
      </c>
      <c r="AY1291" s="246">
        <f>IFERROR(VLOOKUP(I1291,VOL_REC[],2,FALSE),0)</f>
        <v>3761786</v>
      </c>
      <c r="AZ1291" s="246">
        <f>IFERROR(VLOOKUP(J1291,VOL_REC[],2,FALSE),0)</f>
        <v>1812240</v>
      </c>
      <c r="BA1291" s="246">
        <f>IFERROR(VLOOKUP(K1291,VOL_REC[],2,FALSE),0)</f>
        <v>1072354.9981737854</v>
      </c>
      <c r="BB1291" s="246">
        <f>IFERROR(VLOOKUP(L1291,VOL_REC[],2,FALSE),0)</f>
        <v>740113.98115702497</v>
      </c>
      <c r="BC1291" s="246">
        <f>IFERROR(VLOOKUP(M1291,VOL_REC[],2,FALSE),0)</f>
        <v>0</v>
      </c>
      <c r="BD1291" s="246">
        <f>IFERROR(VLOOKUP(N1291,VOL_REC[],2,FALSE),0)</f>
        <v>0</v>
      </c>
      <c r="BE1291" s="246">
        <f>IFERROR(VLOOKUP(O1291,VOL_REC[],2,FALSE),0)</f>
        <v>0</v>
      </c>
      <c r="BF1291" s="246">
        <f>IFERROR(VLOOKUP(P1291,VOL_REC[],2,FALSE),0)</f>
        <v>0</v>
      </c>
      <c r="BG1291" s="246">
        <f>IFERROR(VLOOKUP(Q1291,VOL_REC[],2,FALSE),0)</f>
        <v>0</v>
      </c>
      <c r="BH1291" s="1710">
        <f t="shared" si="80"/>
        <v>31873628963.213345</v>
      </c>
      <c r="BI1291" s="1710">
        <f t="shared" si="81"/>
        <v>29915089972.355335</v>
      </c>
      <c r="BJ1291" s="1711">
        <f t="shared" si="82"/>
        <v>38341308.758252032</v>
      </c>
      <c r="BK1291" s="1711">
        <f t="shared" si="83"/>
        <v>1.0654699348278045</v>
      </c>
      <c r="BL1291">
        <f>BJ1291</f>
        <v>38341308.758252032</v>
      </c>
      <c r="BO1291">
        <f>BL1291</f>
        <v>38341308.758252032</v>
      </c>
    </row>
    <row r="1292" spans="3:67" x14ac:dyDescent="0.25">
      <c r="C1292" s="246" t="s">
        <v>2642</v>
      </c>
      <c r="D1292" s="246">
        <v>1</v>
      </c>
      <c r="E1292" s="246">
        <v>2</v>
      </c>
      <c r="F1292" s="246">
        <v>3</v>
      </c>
      <c r="G1292" s="246">
        <v>5</v>
      </c>
      <c r="H1292" s="246">
        <v>6</v>
      </c>
      <c r="I1292" s="246">
        <v>9</v>
      </c>
      <c r="J1292" s="246">
        <v>12</v>
      </c>
      <c r="K1292" s="246">
        <v>13</v>
      </c>
      <c r="L1292" s="246">
        <v>14</v>
      </c>
      <c r="M1292" s="246"/>
      <c r="N1292" s="246"/>
      <c r="O1292" s="246"/>
      <c r="P1292" s="246"/>
      <c r="Q1292" s="246"/>
      <c r="R1292" s="246">
        <f>IFERROR(VLOOKUP(D1292,PROGRAMAS[],2,FALSE),0)</f>
        <v>97037803.679377079</v>
      </c>
      <c r="S1292" s="246">
        <f>IFERROR(VLOOKUP(E1292,PROGRAMAS[],2,FALSE),0)</f>
        <v>640501509.6821388</v>
      </c>
      <c r="T1292" s="246">
        <f>IFERROR(VLOOKUP(F1292,PROGRAMAS[],2,FALSE),0)</f>
        <v>3062327798.1525245</v>
      </c>
      <c r="U1292" s="246">
        <f>IFERROR(VLOOKUP(G1292,PROGRAMAS[],2,FALSE),0)</f>
        <v>1440941976.2528784</v>
      </c>
      <c r="V1292" s="246">
        <f>IFERROR(VLOOKUP(H1292,PROGRAMAS[],2,FALSE),0)</f>
        <v>6907648435.8447599</v>
      </c>
      <c r="W1292" s="246">
        <f>IFERROR(VLOOKUP(I1292,PROGRAMAS[],2,FALSE),0)</f>
        <v>6128579952.1618185</v>
      </c>
      <c r="X1292" s="246">
        <f>IFERROR(VLOOKUP(J1292,PROGRAMAS[],2,FALSE),0)</f>
        <v>764796700.79905891</v>
      </c>
      <c r="Y1292" s="246">
        <f>IFERROR(VLOOKUP(K1292,PROGRAMAS[],2,FALSE),0)</f>
        <v>3776538594.4604583</v>
      </c>
      <c r="Z1292" s="246">
        <f>IFERROR(VLOOKUP(L1292,PROGRAMAS[],2,FALSE),0)</f>
        <v>54223862.645839565</v>
      </c>
      <c r="AA1292" s="246">
        <f>IFERROR(VLOOKUP(M1292,PROGRAMAS[],2,FALSE),0)</f>
        <v>0</v>
      </c>
      <c r="AB1292" s="246">
        <f>IFERROR(VLOOKUP(N1292,PROGRAMAS[],2,FALSE),0)</f>
        <v>0</v>
      </c>
      <c r="AC1292" s="246">
        <f>IFERROR(VLOOKUP(O1292,PROGRAMAS[],2,FALSE),0)</f>
        <v>0</v>
      </c>
      <c r="AD1292" s="246">
        <f>IFERROR(VLOOKUP(P1292,PROGRAMAS[],2,FALSE),0)</f>
        <v>0</v>
      </c>
      <c r="AE1292" s="246">
        <f>IFERROR(VLOOKUP(Q1292,PROGRAMAS[],2,FALSE),0)</f>
        <v>0</v>
      </c>
      <c r="AF1292" s="246">
        <f>IFERROR(VLOOKUP(D1292,PROGRAMAS[],3,FALSE),0)</f>
        <v>841888629.31080008</v>
      </c>
      <c r="AG1292" s="246">
        <f>IFERROR(VLOOKUP(E1292,PROGRAMAS[],3,FALSE),0)</f>
        <v>3848980803.1642323</v>
      </c>
      <c r="AH1292" s="246">
        <f>IFERROR(VLOOKUP(F1292,PROGRAMAS[],3,FALSE),0)</f>
        <v>3394901471.387517</v>
      </c>
      <c r="AI1292" s="246">
        <f>IFERROR(VLOOKUP(G1292,PROGRAMAS[],3,FALSE),0)</f>
        <v>1233505101.0616004</v>
      </c>
      <c r="AJ1292" s="246">
        <f>IFERROR(VLOOKUP(H1292,PROGRAMAS[],3,FALSE),0)</f>
        <v>6129902208.7912121</v>
      </c>
      <c r="AK1292" s="246">
        <f>IFERROR(VLOOKUP(I1292,PROGRAMAS[],3,FALSE),0)</f>
        <v>7011279577.519702</v>
      </c>
      <c r="AL1292" s="246">
        <f>IFERROR(VLOOKUP(J1292,PROGRAMAS[],3,FALSE),0)</f>
        <v>675517840.109828</v>
      </c>
      <c r="AM1292" s="246">
        <f>IFERROR(VLOOKUP(K1292,PROGRAMAS[],3,FALSE),0)</f>
        <v>2392571243.5584412</v>
      </c>
      <c r="AN1292" s="246">
        <f>IFERROR(VLOOKUP(L1292,PROGRAMAS[],3,FALSE),0)</f>
        <v>31865326.38096505</v>
      </c>
      <c r="AO1292" s="246">
        <f>IFERROR(VLOOKUP(M1292,PROGRAMAS[],3,FALSE),0)</f>
        <v>0</v>
      </c>
      <c r="AP1292" s="246">
        <f>IFERROR(VLOOKUP(N1292,PROGRAMAS[],3,FALSE),0)</f>
        <v>0</v>
      </c>
      <c r="AQ1292" s="246">
        <f>IFERROR(VLOOKUP(O1292,PROGRAMAS[],3,FALSE),0)</f>
        <v>0</v>
      </c>
      <c r="AR1292" s="246">
        <f>IFERROR(VLOOKUP(P1292,PROGRAMAS[],3,FALSE),0)</f>
        <v>0</v>
      </c>
      <c r="AS1292" s="246">
        <f>IFERROR(VLOOKUP(Q1292,PROGRAMAS[],3,FALSE),0)</f>
        <v>0</v>
      </c>
      <c r="AT1292" s="246">
        <f>IFERROR(VLOOKUP(D1292,VOL_REC[],2,FALSE),0)</f>
        <v>0</v>
      </c>
      <c r="AU1292" s="246">
        <f>IFERROR(VLOOKUP(E1292,VOL_REC[],2,FALSE),0)</f>
        <v>0</v>
      </c>
      <c r="AV1292" s="246">
        <f>IFERROR(VLOOKUP(F1292,VOL_REC[],2,FALSE),0)</f>
        <v>11089674.200000001</v>
      </c>
      <c r="AW1292" s="246">
        <f>IFERROR(VLOOKUP(G1292,VOL_REC[],2,FALSE),0)</f>
        <v>4325103.1812214684</v>
      </c>
      <c r="AX1292" s="246">
        <f>IFERROR(VLOOKUP(H1292,VOL_REC[],2,FALSE),0)</f>
        <v>15540036.397699751</v>
      </c>
      <c r="AY1292" s="246">
        <f>IFERROR(VLOOKUP(I1292,VOL_REC[],2,FALSE),0)</f>
        <v>3761786</v>
      </c>
      <c r="AZ1292" s="246">
        <f>IFERROR(VLOOKUP(J1292,VOL_REC[],2,FALSE),0)</f>
        <v>240696.79238099116</v>
      </c>
      <c r="BA1292" s="246">
        <f>IFERROR(VLOOKUP(K1292,VOL_REC[],2,FALSE),0)</f>
        <v>663244.80000000016</v>
      </c>
      <c r="BB1292" s="246">
        <f>IFERROR(VLOOKUP(L1292,VOL_REC[],2,FALSE),0)</f>
        <v>17074.045034105649</v>
      </c>
      <c r="BC1292" s="246">
        <f>IFERROR(VLOOKUP(M1292,VOL_REC[],2,FALSE),0)</f>
        <v>0</v>
      </c>
      <c r="BD1292" s="246">
        <f>IFERROR(VLOOKUP(N1292,VOL_REC[],2,FALSE),0)</f>
        <v>0</v>
      </c>
      <c r="BE1292" s="246">
        <f>IFERROR(VLOOKUP(O1292,VOL_REC[],2,FALSE),0)</f>
        <v>0</v>
      </c>
      <c r="BF1292" s="246">
        <f>IFERROR(VLOOKUP(P1292,VOL_REC[],2,FALSE),0)</f>
        <v>0</v>
      </c>
      <c r="BG1292" s="246">
        <f>IFERROR(VLOOKUP(Q1292,VOL_REC[],2,FALSE),0)</f>
        <v>0</v>
      </c>
      <c r="BH1292" s="1710">
        <f t="shared" si="80"/>
        <v>22872596633.678852</v>
      </c>
      <c r="BI1292" s="1710">
        <f t="shared" si="81"/>
        <v>25560412201.284302</v>
      </c>
      <c r="BJ1292" s="1711">
        <f t="shared" si="82"/>
        <v>35637615.416336305</v>
      </c>
      <c r="BK1292" s="1711">
        <f t="shared" si="83"/>
        <v>0.89484459223742885</v>
      </c>
    </row>
    <row r="1293" spans="3:67" x14ac:dyDescent="0.25">
      <c r="C1293" s="246" t="s">
        <v>2643</v>
      </c>
      <c r="D1293" s="246">
        <v>1</v>
      </c>
      <c r="E1293" s="246">
        <v>2</v>
      </c>
      <c r="F1293" s="246">
        <v>3</v>
      </c>
      <c r="G1293" s="246">
        <v>5</v>
      </c>
      <c r="H1293" s="246">
        <v>6</v>
      </c>
      <c r="I1293" s="246">
        <v>9</v>
      </c>
      <c r="J1293" s="246">
        <v>12</v>
      </c>
      <c r="K1293" s="246">
        <v>13</v>
      </c>
      <c r="L1293" s="246">
        <v>15</v>
      </c>
      <c r="M1293" s="246"/>
      <c r="N1293" s="246"/>
      <c r="O1293" s="246"/>
      <c r="P1293" s="246"/>
      <c r="Q1293" s="246"/>
      <c r="R1293" s="246">
        <f>IFERROR(VLOOKUP(D1293,PROGRAMAS[],2,FALSE),0)</f>
        <v>97037803.679377079</v>
      </c>
      <c r="S1293" s="246">
        <f>IFERROR(VLOOKUP(E1293,PROGRAMAS[],2,FALSE),0)</f>
        <v>640501509.6821388</v>
      </c>
      <c r="T1293" s="246">
        <f>IFERROR(VLOOKUP(F1293,PROGRAMAS[],2,FALSE),0)</f>
        <v>3062327798.1525245</v>
      </c>
      <c r="U1293" s="246">
        <f>IFERROR(VLOOKUP(G1293,PROGRAMAS[],2,FALSE),0)</f>
        <v>1440941976.2528784</v>
      </c>
      <c r="V1293" s="246">
        <f>IFERROR(VLOOKUP(H1293,PROGRAMAS[],2,FALSE),0)</f>
        <v>6907648435.8447599</v>
      </c>
      <c r="W1293" s="246">
        <f>IFERROR(VLOOKUP(I1293,PROGRAMAS[],2,FALSE),0)</f>
        <v>6128579952.1618185</v>
      </c>
      <c r="X1293" s="246">
        <f>IFERROR(VLOOKUP(J1293,PROGRAMAS[],2,FALSE),0)</f>
        <v>764796700.79905891</v>
      </c>
      <c r="Y1293" s="246">
        <f>IFERROR(VLOOKUP(K1293,PROGRAMAS[],2,FALSE),0)</f>
        <v>3776538594.4604583</v>
      </c>
      <c r="Z1293" s="246">
        <f>IFERROR(VLOOKUP(L1293,PROGRAMAS[],2,FALSE),0)</f>
        <v>122159672.96346797</v>
      </c>
      <c r="AA1293" s="246">
        <f>IFERROR(VLOOKUP(M1293,PROGRAMAS[],2,FALSE),0)</f>
        <v>0</v>
      </c>
      <c r="AB1293" s="246">
        <f>IFERROR(VLOOKUP(N1293,PROGRAMAS[],2,FALSE),0)</f>
        <v>0</v>
      </c>
      <c r="AC1293" s="246">
        <f>IFERROR(VLOOKUP(O1293,PROGRAMAS[],2,FALSE),0)</f>
        <v>0</v>
      </c>
      <c r="AD1293" s="246">
        <f>IFERROR(VLOOKUP(P1293,PROGRAMAS[],2,FALSE),0)</f>
        <v>0</v>
      </c>
      <c r="AE1293" s="246">
        <f>IFERROR(VLOOKUP(Q1293,PROGRAMAS[],2,FALSE),0)</f>
        <v>0</v>
      </c>
      <c r="AF1293" s="246">
        <f>IFERROR(VLOOKUP(D1293,PROGRAMAS[],3,FALSE),0)</f>
        <v>841888629.31080008</v>
      </c>
      <c r="AG1293" s="246">
        <f>IFERROR(VLOOKUP(E1293,PROGRAMAS[],3,FALSE),0)</f>
        <v>3848980803.1642323</v>
      </c>
      <c r="AH1293" s="246">
        <f>IFERROR(VLOOKUP(F1293,PROGRAMAS[],3,FALSE),0)</f>
        <v>3394901471.387517</v>
      </c>
      <c r="AI1293" s="246">
        <f>IFERROR(VLOOKUP(G1293,PROGRAMAS[],3,FALSE),0)</f>
        <v>1233505101.0616004</v>
      </c>
      <c r="AJ1293" s="246">
        <f>IFERROR(VLOOKUP(H1293,PROGRAMAS[],3,FALSE),0)</f>
        <v>6129902208.7912121</v>
      </c>
      <c r="AK1293" s="246">
        <f>IFERROR(VLOOKUP(I1293,PROGRAMAS[],3,FALSE),0)</f>
        <v>7011279577.519702</v>
      </c>
      <c r="AL1293" s="246">
        <f>IFERROR(VLOOKUP(J1293,PROGRAMAS[],3,FALSE),0)</f>
        <v>675517840.109828</v>
      </c>
      <c r="AM1293" s="246">
        <f>IFERROR(VLOOKUP(K1293,PROGRAMAS[],3,FALSE),0)</f>
        <v>2392571243.5584412</v>
      </c>
      <c r="AN1293" s="246">
        <f>IFERROR(VLOOKUP(L1293,PROGRAMAS[],3,FALSE),0)</f>
        <v>118617452.52510804</v>
      </c>
      <c r="AO1293" s="246">
        <f>IFERROR(VLOOKUP(M1293,PROGRAMAS[],3,FALSE),0)</f>
        <v>0</v>
      </c>
      <c r="AP1293" s="246">
        <f>IFERROR(VLOOKUP(N1293,PROGRAMAS[],3,FALSE),0)</f>
        <v>0</v>
      </c>
      <c r="AQ1293" s="246">
        <f>IFERROR(VLOOKUP(O1293,PROGRAMAS[],3,FALSE),0)</f>
        <v>0</v>
      </c>
      <c r="AR1293" s="246">
        <f>IFERROR(VLOOKUP(P1293,PROGRAMAS[],3,FALSE),0)</f>
        <v>0</v>
      </c>
      <c r="AS1293" s="246">
        <f>IFERROR(VLOOKUP(Q1293,PROGRAMAS[],3,FALSE),0)</f>
        <v>0</v>
      </c>
      <c r="AT1293" s="246">
        <f>IFERROR(VLOOKUP(D1293,VOL_REC[],2,FALSE),0)</f>
        <v>0</v>
      </c>
      <c r="AU1293" s="246">
        <f>IFERROR(VLOOKUP(E1293,VOL_REC[],2,FALSE),0)</f>
        <v>0</v>
      </c>
      <c r="AV1293" s="246">
        <f>IFERROR(VLOOKUP(F1293,VOL_REC[],2,FALSE),0)</f>
        <v>11089674.200000001</v>
      </c>
      <c r="AW1293" s="246">
        <f>IFERROR(VLOOKUP(G1293,VOL_REC[],2,FALSE),0)</f>
        <v>4325103.1812214684</v>
      </c>
      <c r="AX1293" s="246">
        <f>IFERROR(VLOOKUP(H1293,VOL_REC[],2,FALSE),0)</f>
        <v>15540036.397699751</v>
      </c>
      <c r="AY1293" s="246">
        <f>IFERROR(VLOOKUP(I1293,VOL_REC[],2,FALSE),0)</f>
        <v>3761786</v>
      </c>
      <c r="AZ1293" s="246">
        <f>IFERROR(VLOOKUP(J1293,VOL_REC[],2,FALSE),0)</f>
        <v>240696.79238099116</v>
      </c>
      <c r="BA1293" s="246">
        <f>IFERROR(VLOOKUP(K1293,VOL_REC[],2,FALSE),0)</f>
        <v>663244.80000000016</v>
      </c>
      <c r="BB1293" s="246">
        <f>IFERROR(VLOOKUP(L1293,VOL_REC[],2,FALSE),0)</f>
        <v>105072</v>
      </c>
      <c r="BC1293" s="246">
        <f>IFERROR(VLOOKUP(M1293,VOL_REC[],2,FALSE),0)</f>
        <v>0</v>
      </c>
      <c r="BD1293" s="246">
        <f>IFERROR(VLOOKUP(N1293,VOL_REC[],2,FALSE),0)</f>
        <v>0</v>
      </c>
      <c r="BE1293" s="246">
        <f>IFERROR(VLOOKUP(O1293,VOL_REC[],2,FALSE),0)</f>
        <v>0</v>
      </c>
      <c r="BF1293" s="246">
        <f>IFERROR(VLOOKUP(P1293,VOL_REC[],2,FALSE),0)</f>
        <v>0</v>
      </c>
      <c r="BG1293" s="246">
        <f>IFERROR(VLOOKUP(Q1293,VOL_REC[],2,FALSE),0)</f>
        <v>0</v>
      </c>
      <c r="BH1293" s="1710">
        <f t="shared" si="80"/>
        <v>22940532443.996479</v>
      </c>
      <c r="BI1293" s="1710">
        <f t="shared" si="81"/>
        <v>25647164327.428444</v>
      </c>
      <c r="BJ1293" s="1711">
        <f t="shared" si="82"/>
        <v>35725613.371302202</v>
      </c>
      <c r="BK1293" s="1711">
        <f t="shared" si="83"/>
        <v>0.89446662216230477</v>
      </c>
    </row>
    <row r="1294" spans="3:67" x14ac:dyDescent="0.25">
      <c r="C1294" s="246" t="s">
        <v>2644</v>
      </c>
      <c r="D1294" s="246">
        <v>1</v>
      </c>
      <c r="E1294" s="246">
        <v>2</v>
      </c>
      <c r="F1294" s="246">
        <v>3</v>
      </c>
      <c r="G1294" s="246">
        <v>5</v>
      </c>
      <c r="H1294" s="246">
        <v>6</v>
      </c>
      <c r="I1294" s="246">
        <v>9</v>
      </c>
      <c r="J1294" s="246">
        <v>12</v>
      </c>
      <c r="K1294" s="246">
        <v>13</v>
      </c>
      <c r="L1294" s="246">
        <v>16</v>
      </c>
      <c r="M1294" s="246"/>
      <c r="N1294" s="246"/>
      <c r="O1294" s="246"/>
      <c r="P1294" s="246"/>
      <c r="Q1294" s="246"/>
      <c r="R1294" s="246">
        <f>IFERROR(VLOOKUP(D1294,PROGRAMAS[],2,FALSE),0)</f>
        <v>97037803.679377079</v>
      </c>
      <c r="S1294" s="246">
        <f>IFERROR(VLOOKUP(E1294,PROGRAMAS[],2,FALSE),0)</f>
        <v>640501509.6821388</v>
      </c>
      <c r="T1294" s="246">
        <f>IFERROR(VLOOKUP(F1294,PROGRAMAS[],2,FALSE),0)</f>
        <v>3062327798.1525245</v>
      </c>
      <c r="U1294" s="246">
        <f>IFERROR(VLOOKUP(G1294,PROGRAMAS[],2,FALSE),0)</f>
        <v>1440941976.2528784</v>
      </c>
      <c r="V1294" s="246">
        <f>IFERROR(VLOOKUP(H1294,PROGRAMAS[],2,FALSE),0)</f>
        <v>6907648435.8447599</v>
      </c>
      <c r="W1294" s="246">
        <f>IFERROR(VLOOKUP(I1294,PROGRAMAS[],2,FALSE),0)</f>
        <v>6128579952.1618185</v>
      </c>
      <c r="X1294" s="246">
        <f>IFERROR(VLOOKUP(J1294,PROGRAMAS[],2,FALSE),0)</f>
        <v>764796700.79905891</v>
      </c>
      <c r="Y1294" s="246">
        <f>IFERROR(VLOOKUP(K1294,PROGRAMAS[],2,FALSE),0)</f>
        <v>3776538594.4604583</v>
      </c>
      <c r="Z1294" s="246">
        <f>IFERROR(VLOOKUP(L1294,PROGRAMAS[],2,FALSE),0)</f>
        <v>7068496961.0436354</v>
      </c>
      <c r="AA1294" s="246">
        <f>IFERROR(VLOOKUP(M1294,PROGRAMAS[],2,FALSE),0)</f>
        <v>0</v>
      </c>
      <c r="AB1294" s="246">
        <f>IFERROR(VLOOKUP(N1294,PROGRAMAS[],2,FALSE),0)</f>
        <v>0</v>
      </c>
      <c r="AC1294" s="246">
        <f>IFERROR(VLOOKUP(O1294,PROGRAMAS[],2,FALSE),0)</f>
        <v>0</v>
      </c>
      <c r="AD1294" s="246">
        <f>IFERROR(VLOOKUP(P1294,PROGRAMAS[],2,FALSE),0)</f>
        <v>0</v>
      </c>
      <c r="AE1294" s="246">
        <f>IFERROR(VLOOKUP(Q1294,PROGRAMAS[],2,FALSE),0)</f>
        <v>0</v>
      </c>
      <c r="AF1294" s="246">
        <f>IFERROR(VLOOKUP(D1294,PROGRAMAS[],3,FALSE),0)</f>
        <v>841888629.31080008</v>
      </c>
      <c r="AG1294" s="246">
        <f>IFERROR(VLOOKUP(E1294,PROGRAMAS[],3,FALSE),0)</f>
        <v>3848980803.1642323</v>
      </c>
      <c r="AH1294" s="246">
        <f>IFERROR(VLOOKUP(F1294,PROGRAMAS[],3,FALSE),0)</f>
        <v>3394901471.387517</v>
      </c>
      <c r="AI1294" s="246">
        <f>IFERROR(VLOOKUP(G1294,PROGRAMAS[],3,FALSE),0)</f>
        <v>1233505101.0616004</v>
      </c>
      <c r="AJ1294" s="246">
        <f>IFERROR(VLOOKUP(H1294,PROGRAMAS[],3,FALSE),0)</f>
        <v>6129902208.7912121</v>
      </c>
      <c r="AK1294" s="246">
        <f>IFERROR(VLOOKUP(I1294,PROGRAMAS[],3,FALSE),0)</f>
        <v>7011279577.519702</v>
      </c>
      <c r="AL1294" s="246">
        <f>IFERROR(VLOOKUP(J1294,PROGRAMAS[],3,FALSE),0)</f>
        <v>675517840.109828</v>
      </c>
      <c r="AM1294" s="246">
        <f>IFERROR(VLOOKUP(K1294,PROGRAMAS[],3,FALSE),0)</f>
        <v>2392571243.5584412</v>
      </c>
      <c r="AN1294" s="246">
        <f>IFERROR(VLOOKUP(L1294,PROGRAMAS[],3,FALSE),0)</f>
        <v>2406564599.0319901</v>
      </c>
      <c r="AO1294" s="246">
        <f>IFERROR(VLOOKUP(M1294,PROGRAMAS[],3,FALSE),0)</f>
        <v>0</v>
      </c>
      <c r="AP1294" s="246">
        <f>IFERROR(VLOOKUP(N1294,PROGRAMAS[],3,FALSE),0)</f>
        <v>0</v>
      </c>
      <c r="AQ1294" s="246">
        <f>IFERROR(VLOOKUP(O1294,PROGRAMAS[],3,FALSE),0)</f>
        <v>0</v>
      </c>
      <c r="AR1294" s="246">
        <f>IFERROR(VLOOKUP(P1294,PROGRAMAS[],3,FALSE),0)</f>
        <v>0</v>
      </c>
      <c r="AS1294" s="246">
        <f>IFERROR(VLOOKUP(Q1294,PROGRAMAS[],3,FALSE),0)</f>
        <v>0</v>
      </c>
      <c r="AT1294" s="246">
        <f>IFERROR(VLOOKUP(D1294,VOL_REC[],2,FALSE),0)</f>
        <v>0</v>
      </c>
      <c r="AU1294" s="246">
        <f>IFERROR(VLOOKUP(E1294,VOL_REC[],2,FALSE),0)</f>
        <v>0</v>
      </c>
      <c r="AV1294" s="246">
        <f>IFERROR(VLOOKUP(F1294,VOL_REC[],2,FALSE),0)</f>
        <v>11089674.200000001</v>
      </c>
      <c r="AW1294" s="246">
        <f>IFERROR(VLOOKUP(G1294,VOL_REC[],2,FALSE),0)</f>
        <v>4325103.1812214684</v>
      </c>
      <c r="AX1294" s="246">
        <f>IFERROR(VLOOKUP(H1294,VOL_REC[],2,FALSE),0)</f>
        <v>15540036.397699751</v>
      </c>
      <c r="AY1294" s="246">
        <f>IFERROR(VLOOKUP(I1294,VOL_REC[],2,FALSE),0)</f>
        <v>3761786</v>
      </c>
      <c r="AZ1294" s="246">
        <f>IFERROR(VLOOKUP(J1294,VOL_REC[],2,FALSE),0)</f>
        <v>240696.79238099116</v>
      </c>
      <c r="BA1294" s="246">
        <f>IFERROR(VLOOKUP(K1294,VOL_REC[],2,FALSE),0)</f>
        <v>663244.80000000016</v>
      </c>
      <c r="BB1294" s="246">
        <f>IFERROR(VLOOKUP(L1294,VOL_REC[],2,FALSE),0)</f>
        <v>1072354.9981737854</v>
      </c>
      <c r="BC1294" s="246">
        <f>IFERROR(VLOOKUP(M1294,VOL_REC[],2,FALSE),0)</f>
        <v>0</v>
      </c>
      <c r="BD1294" s="246">
        <f>IFERROR(VLOOKUP(N1294,VOL_REC[],2,FALSE),0)</f>
        <v>0</v>
      </c>
      <c r="BE1294" s="246">
        <f>IFERROR(VLOOKUP(O1294,VOL_REC[],2,FALSE),0)</f>
        <v>0</v>
      </c>
      <c r="BF1294" s="246">
        <f>IFERROR(VLOOKUP(P1294,VOL_REC[],2,FALSE),0)</f>
        <v>0</v>
      </c>
      <c r="BG1294" s="246">
        <f>IFERROR(VLOOKUP(Q1294,VOL_REC[],2,FALSE),0)</f>
        <v>0</v>
      </c>
      <c r="BH1294" s="1710">
        <f t="shared" si="80"/>
        <v>29886869732.076649</v>
      </c>
      <c r="BI1294" s="1710">
        <f t="shared" si="81"/>
        <v>27935111473.935326</v>
      </c>
      <c r="BJ1294" s="1711">
        <f t="shared" si="82"/>
        <v>36692896.369475991</v>
      </c>
      <c r="BK1294" s="1711">
        <f t="shared" si="83"/>
        <v>1.0698675664839354</v>
      </c>
      <c r="BL1294">
        <f>BJ1294</f>
        <v>36692896.369475991</v>
      </c>
      <c r="BO1294">
        <f>BL1294</f>
        <v>36692896.369475991</v>
      </c>
    </row>
    <row r="1295" spans="3:67" x14ac:dyDescent="0.25">
      <c r="C1295" s="246" t="s">
        <v>2645</v>
      </c>
      <c r="D1295" s="246">
        <v>1</v>
      </c>
      <c r="E1295" s="246">
        <v>2</v>
      </c>
      <c r="F1295" s="246">
        <v>3</v>
      </c>
      <c r="G1295" s="246">
        <v>5</v>
      </c>
      <c r="H1295" s="246">
        <v>6</v>
      </c>
      <c r="I1295" s="246">
        <v>9</v>
      </c>
      <c r="J1295" s="246">
        <v>12</v>
      </c>
      <c r="K1295" s="246">
        <v>13</v>
      </c>
      <c r="L1295" s="246">
        <v>17</v>
      </c>
      <c r="M1295" s="246"/>
      <c r="N1295" s="246"/>
      <c r="O1295" s="246"/>
      <c r="P1295" s="246"/>
      <c r="Q1295" s="246"/>
      <c r="R1295" s="246">
        <f>IFERROR(VLOOKUP(D1295,PROGRAMAS[],2,FALSE),0)</f>
        <v>97037803.679377079</v>
      </c>
      <c r="S1295" s="246">
        <f>IFERROR(VLOOKUP(E1295,PROGRAMAS[],2,FALSE),0)</f>
        <v>640501509.6821388</v>
      </c>
      <c r="T1295" s="246">
        <f>IFERROR(VLOOKUP(F1295,PROGRAMAS[],2,FALSE),0)</f>
        <v>3062327798.1525245</v>
      </c>
      <c r="U1295" s="246">
        <f>IFERROR(VLOOKUP(G1295,PROGRAMAS[],2,FALSE),0)</f>
        <v>1440941976.2528784</v>
      </c>
      <c r="V1295" s="246">
        <f>IFERROR(VLOOKUP(H1295,PROGRAMAS[],2,FALSE),0)</f>
        <v>6907648435.8447599</v>
      </c>
      <c r="W1295" s="246">
        <f>IFERROR(VLOOKUP(I1295,PROGRAMAS[],2,FALSE),0)</f>
        <v>6128579952.1618185</v>
      </c>
      <c r="X1295" s="246">
        <f>IFERROR(VLOOKUP(J1295,PROGRAMAS[],2,FALSE),0)</f>
        <v>764796700.79905891</v>
      </c>
      <c r="Y1295" s="246">
        <f>IFERROR(VLOOKUP(K1295,PROGRAMAS[],2,FALSE),0)</f>
        <v>3776538594.4604583</v>
      </c>
      <c r="Z1295" s="246">
        <f>IFERROR(VLOOKUP(L1295,PROGRAMAS[],2,FALSE),0)</f>
        <v>1892779498.5211046</v>
      </c>
      <c r="AA1295" s="246">
        <f>IFERROR(VLOOKUP(M1295,PROGRAMAS[],2,FALSE),0)</f>
        <v>0</v>
      </c>
      <c r="AB1295" s="246">
        <f>IFERROR(VLOOKUP(N1295,PROGRAMAS[],2,FALSE),0)</f>
        <v>0</v>
      </c>
      <c r="AC1295" s="246">
        <f>IFERROR(VLOOKUP(O1295,PROGRAMAS[],2,FALSE),0)</f>
        <v>0</v>
      </c>
      <c r="AD1295" s="246">
        <f>IFERROR(VLOOKUP(P1295,PROGRAMAS[],2,FALSE),0)</f>
        <v>0</v>
      </c>
      <c r="AE1295" s="246">
        <f>IFERROR(VLOOKUP(Q1295,PROGRAMAS[],2,FALSE),0)</f>
        <v>0</v>
      </c>
      <c r="AF1295" s="246">
        <f>IFERROR(VLOOKUP(D1295,PROGRAMAS[],3,FALSE),0)</f>
        <v>841888629.31080008</v>
      </c>
      <c r="AG1295" s="246">
        <f>IFERROR(VLOOKUP(E1295,PROGRAMAS[],3,FALSE),0)</f>
        <v>3848980803.1642323</v>
      </c>
      <c r="AH1295" s="246">
        <f>IFERROR(VLOOKUP(F1295,PROGRAMAS[],3,FALSE),0)</f>
        <v>3394901471.387517</v>
      </c>
      <c r="AI1295" s="246">
        <f>IFERROR(VLOOKUP(G1295,PROGRAMAS[],3,FALSE),0)</f>
        <v>1233505101.0616004</v>
      </c>
      <c r="AJ1295" s="246">
        <f>IFERROR(VLOOKUP(H1295,PROGRAMAS[],3,FALSE),0)</f>
        <v>6129902208.7912121</v>
      </c>
      <c r="AK1295" s="246">
        <f>IFERROR(VLOOKUP(I1295,PROGRAMAS[],3,FALSE),0)</f>
        <v>7011279577.519702</v>
      </c>
      <c r="AL1295" s="246">
        <f>IFERROR(VLOOKUP(J1295,PROGRAMAS[],3,FALSE),0)</f>
        <v>675517840.109828</v>
      </c>
      <c r="AM1295" s="246">
        <f>IFERROR(VLOOKUP(K1295,PROGRAMAS[],3,FALSE),0)</f>
        <v>2392571243.5584412</v>
      </c>
      <c r="AN1295" s="246">
        <f>IFERROR(VLOOKUP(L1295,PROGRAMAS[],3,FALSE),0)</f>
        <v>948595847.09039903</v>
      </c>
      <c r="AO1295" s="246">
        <f>IFERROR(VLOOKUP(M1295,PROGRAMAS[],3,FALSE),0)</f>
        <v>0</v>
      </c>
      <c r="AP1295" s="246">
        <f>IFERROR(VLOOKUP(N1295,PROGRAMAS[],3,FALSE),0)</f>
        <v>0</v>
      </c>
      <c r="AQ1295" s="246">
        <f>IFERROR(VLOOKUP(O1295,PROGRAMAS[],3,FALSE),0)</f>
        <v>0</v>
      </c>
      <c r="AR1295" s="246">
        <f>IFERROR(VLOOKUP(P1295,PROGRAMAS[],3,FALSE),0)</f>
        <v>0</v>
      </c>
      <c r="AS1295" s="246">
        <f>IFERROR(VLOOKUP(Q1295,PROGRAMAS[],3,FALSE),0)</f>
        <v>0</v>
      </c>
      <c r="AT1295" s="246">
        <f>IFERROR(VLOOKUP(D1295,VOL_REC[],2,FALSE),0)</f>
        <v>0</v>
      </c>
      <c r="AU1295" s="246">
        <f>IFERROR(VLOOKUP(E1295,VOL_REC[],2,FALSE),0)</f>
        <v>0</v>
      </c>
      <c r="AV1295" s="246">
        <f>IFERROR(VLOOKUP(F1295,VOL_REC[],2,FALSE),0)</f>
        <v>11089674.200000001</v>
      </c>
      <c r="AW1295" s="246">
        <f>IFERROR(VLOOKUP(G1295,VOL_REC[],2,FALSE),0)</f>
        <v>4325103.1812214684</v>
      </c>
      <c r="AX1295" s="246">
        <f>IFERROR(VLOOKUP(H1295,VOL_REC[],2,FALSE),0)</f>
        <v>15540036.397699751</v>
      </c>
      <c r="AY1295" s="246">
        <f>IFERROR(VLOOKUP(I1295,VOL_REC[],2,FALSE),0)</f>
        <v>3761786</v>
      </c>
      <c r="AZ1295" s="246">
        <f>IFERROR(VLOOKUP(J1295,VOL_REC[],2,FALSE),0)</f>
        <v>240696.79238099116</v>
      </c>
      <c r="BA1295" s="246">
        <f>IFERROR(VLOOKUP(K1295,VOL_REC[],2,FALSE),0)</f>
        <v>663244.80000000016</v>
      </c>
      <c r="BB1295" s="246">
        <f>IFERROR(VLOOKUP(L1295,VOL_REC[],2,FALSE),0)</f>
        <v>740113.98115702497</v>
      </c>
      <c r="BC1295" s="246">
        <f>IFERROR(VLOOKUP(M1295,VOL_REC[],2,FALSE),0)</f>
        <v>0</v>
      </c>
      <c r="BD1295" s="246">
        <f>IFERROR(VLOOKUP(N1295,VOL_REC[],2,FALSE),0)</f>
        <v>0</v>
      </c>
      <c r="BE1295" s="246">
        <f>IFERROR(VLOOKUP(O1295,VOL_REC[],2,FALSE),0)</f>
        <v>0</v>
      </c>
      <c r="BF1295" s="246">
        <f>IFERROR(VLOOKUP(P1295,VOL_REC[],2,FALSE),0)</f>
        <v>0</v>
      </c>
      <c r="BG1295" s="246">
        <f>IFERROR(VLOOKUP(Q1295,VOL_REC[],2,FALSE),0)</f>
        <v>0</v>
      </c>
      <c r="BH1295" s="1710">
        <f t="shared" si="80"/>
        <v>24711152269.554115</v>
      </c>
      <c r="BI1295" s="1710">
        <f t="shared" si="81"/>
        <v>26477142721.993736</v>
      </c>
      <c r="BJ1295" s="1711">
        <f t="shared" si="82"/>
        <v>36360655.35245923</v>
      </c>
      <c r="BK1295" s="1711">
        <f t="shared" si="83"/>
        <v>0.93330132065297711</v>
      </c>
    </row>
    <row r="1296" spans="3:67" x14ac:dyDescent="0.25">
      <c r="C1296" s="246" t="s">
        <v>2646</v>
      </c>
      <c r="D1296" s="246">
        <v>1</v>
      </c>
      <c r="E1296" s="246">
        <v>2</v>
      </c>
      <c r="F1296" s="246">
        <v>3</v>
      </c>
      <c r="G1296" s="246">
        <v>5</v>
      </c>
      <c r="H1296" s="246">
        <v>6</v>
      </c>
      <c r="I1296" s="246">
        <v>9</v>
      </c>
      <c r="J1296" s="246">
        <v>12</v>
      </c>
      <c r="K1296" s="246">
        <v>14</v>
      </c>
      <c r="L1296" s="246">
        <v>15</v>
      </c>
      <c r="M1296" s="246"/>
      <c r="N1296" s="246"/>
      <c r="O1296" s="246"/>
      <c r="P1296" s="246"/>
      <c r="Q1296" s="246"/>
      <c r="R1296" s="246">
        <f>IFERROR(VLOOKUP(D1296,PROGRAMAS[],2,FALSE),0)</f>
        <v>97037803.679377079</v>
      </c>
      <c r="S1296" s="246">
        <f>IFERROR(VLOOKUP(E1296,PROGRAMAS[],2,FALSE),0)</f>
        <v>640501509.6821388</v>
      </c>
      <c r="T1296" s="246">
        <f>IFERROR(VLOOKUP(F1296,PROGRAMAS[],2,FALSE),0)</f>
        <v>3062327798.1525245</v>
      </c>
      <c r="U1296" s="246">
        <f>IFERROR(VLOOKUP(G1296,PROGRAMAS[],2,FALSE),0)</f>
        <v>1440941976.2528784</v>
      </c>
      <c r="V1296" s="246">
        <f>IFERROR(VLOOKUP(H1296,PROGRAMAS[],2,FALSE),0)</f>
        <v>6907648435.8447599</v>
      </c>
      <c r="W1296" s="246">
        <f>IFERROR(VLOOKUP(I1296,PROGRAMAS[],2,FALSE),0)</f>
        <v>6128579952.1618185</v>
      </c>
      <c r="X1296" s="246">
        <f>IFERROR(VLOOKUP(J1296,PROGRAMAS[],2,FALSE),0)</f>
        <v>764796700.79905891</v>
      </c>
      <c r="Y1296" s="246">
        <f>IFERROR(VLOOKUP(K1296,PROGRAMAS[],2,FALSE),0)</f>
        <v>54223862.645839565</v>
      </c>
      <c r="Z1296" s="246">
        <f>IFERROR(VLOOKUP(L1296,PROGRAMAS[],2,FALSE),0)</f>
        <v>122159672.96346797</v>
      </c>
      <c r="AA1296" s="246">
        <f>IFERROR(VLOOKUP(M1296,PROGRAMAS[],2,FALSE),0)</f>
        <v>0</v>
      </c>
      <c r="AB1296" s="246">
        <f>IFERROR(VLOOKUP(N1296,PROGRAMAS[],2,FALSE),0)</f>
        <v>0</v>
      </c>
      <c r="AC1296" s="246">
        <f>IFERROR(VLOOKUP(O1296,PROGRAMAS[],2,FALSE),0)</f>
        <v>0</v>
      </c>
      <c r="AD1296" s="246">
        <f>IFERROR(VLOOKUP(P1296,PROGRAMAS[],2,FALSE),0)</f>
        <v>0</v>
      </c>
      <c r="AE1296" s="246">
        <f>IFERROR(VLOOKUP(Q1296,PROGRAMAS[],2,FALSE),0)</f>
        <v>0</v>
      </c>
      <c r="AF1296" s="246">
        <f>IFERROR(VLOOKUP(D1296,PROGRAMAS[],3,FALSE),0)</f>
        <v>841888629.31080008</v>
      </c>
      <c r="AG1296" s="246">
        <f>IFERROR(VLOOKUP(E1296,PROGRAMAS[],3,FALSE),0)</f>
        <v>3848980803.1642323</v>
      </c>
      <c r="AH1296" s="246">
        <f>IFERROR(VLOOKUP(F1296,PROGRAMAS[],3,FALSE),0)</f>
        <v>3394901471.387517</v>
      </c>
      <c r="AI1296" s="246">
        <f>IFERROR(VLOOKUP(G1296,PROGRAMAS[],3,FALSE),0)</f>
        <v>1233505101.0616004</v>
      </c>
      <c r="AJ1296" s="246">
        <f>IFERROR(VLOOKUP(H1296,PROGRAMAS[],3,FALSE),0)</f>
        <v>6129902208.7912121</v>
      </c>
      <c r="AK1296" s="246">
        <f>IFERROR(VLOOKUP(I1296,PROGRAMAS[],3,FALSE),0)</f>
        <v>7011279577.519702</v>
      </c>
      <c r="AL1296" s="246">
        <f>IFERROR(VLOOKUP(J1296,PROGRAMAS[],3,FALSE),0)</f>
        <v>675517840.109828</v>
      </c>
      <c r="AM1296" s="246">
        <f>IFERROR(VLOOKUP(K1296,PROGRAMAS[],3,FALSE),0)</f>
        <v>31865326.38096505</v>
      </c>
      <c r="AN1296" s="246">
        <f>IFERROR(VLOOKUP(L1296,PROGRAMAS[],3,FALSE),0)</f>
        <v>118617452.52510804</v>
      </c>
      <c r="AO1296" s="246">
        <f>IFERROR(VLOOKUP(M1296,PROGRAMAS[],3,FALSE),0)</f>
        <v>0</v>
      </c>
      <c r="AP1296" s="246">
        <f>IFERROR(VLOOKUP(N1296,PROGRAMAS[],3,FALSE),0)</f>
        <v>0</v>
      </c>
      <c r="AQ1296" s="246">
        <f>IFERROR(VLOOKUP(O1296,PROGRAMAS[],3,FALSE),0)</f>
        <v>0</v>
      </c>
      <c r="AR1296" s="246">
        <f>IFERROR(VLOOKUP(P1296,PROGRAMAS[],3,FALSE),0)</f>
        <v>0</v>
      </c>
      <c r="AS1296" s="246">
        <f>IFERROR(VLOOKUP(Q1296,PROGRAMAS[],3,FALSE),0)</f>
        <v>0</v>
      </c>
      <c r="AT1296" s="246">
        <f>IFERROR(VLOOKUP(D1296,VOL_REC[],2,FALSE),0)</f>
        <v>0</v>
      </c>
      <c r="AU1296" s="246">
        <f>IFERROR(VLOOKUP(E1296,VOL_REC[],2,FALSE),0)</f>
        <v>0</v>
      </c>
      <c r="AV1296" s="246">
        <f>IFERROR(VLOOKUP(F1296,VOL_REC[],2,FALSE),0)</f>
        <v>11089674.200000001</v>
      </c>
      <c r="AW1296" s="246">
        <f>IFERROR(VLOOKUP(G1296,VOL_REC[],2,FALSE),0)</f>
        <v>4325103.1812214684</v>
      </c>
      <c r="AX1296" s="246">
        <f>IFERROR(VLOOKUP(H1296,VOL_REC[],2,FALSE),0)</f>
        <v>15540036.397699751</v>
      </c>
      <c r="AY1296" s="246">
        <f>IFERROR(VLOOKUP(I1296,VOL_REC[],2,FALSE),0)</f>
        <v>3761786</v>
      </c>
      <c r="AZ1296" s="246">
        <f>IFERROR(VLOOKUP(J1296,VOL_REC[],2,FALSE),0)</f>
        <v>240696.79238099116</v>
      </c>
      <c r="BA1296" s="246">
        <f>IFERROR(VLOOKUP(K1296,VOL_REC[],2,FALSE),0)</f>
        <v>17074.045034105649</v>
      </c>
      <c r="BB1296" s="246">
        <f>IFERROR(VLOOKUP(L1296,VOL_REC[],2,FALSE),0)</f>
        <v>105072</v>
      </c>
      <c r="BC1296" s="246">
        <f>IFERROR(VLOOKUP(M1296,VOL_REC[],2,FALSE),0)</f>
        <v>0</v>
      </c>
      <c r="BD1296" s="246">
        <f>IFERROR(VLOOKUP(N1296,VOL_REC[],2,FALSE),0)</f>
        <v>0</v>
      </c>
      <c r="BE1296" s="246">
        <f>IFERROR(VLOOKUP(O1296,VOL_REC[],2,FALSE),0)</f>
        <v>0</v>
      </c>
      <c r="BF1296" s="246">
        <f>IFERROR(VLOOKUP(P1296,VOL_REC[],2,FALSE),0)</f>
        <v>0</v>
      </c>
      <c r="BG1296" s="246">
        <f>IFERROR(VLOOKUP(Q1296,VOL_REC[],2,FALSE),0)</f>
        <v>0</v>
      </c>
      <c r="BH1296" s="1710">
        <f t="shared" si="80"/>
        <v>19218217712.181862</v>
      </c>
      <c r="BI1296" s="1710">
        <f t="shared" si="81"/>
        <v>23286458410.250969</v>
      </c>
      <c r="BJ1296" s="1711">
        <f t="shared" si="82"/>
        <v>35079442.616336308</v>
      </c>
      <c r="BK1296" s="1711">
        <f t="shared" si="83"/>
        <v>0.82529585966244567</v>
      </c>
    </row>
    <row r="1297" spans="3:67" x14ac:dyDescent="0.25">
      <c r="C1297" s="246" t="s">
        <v>2647</v>
      </c>
      <c r="D1297" s="246">
        <v>1</v>
      </c>
      <c r="E1297" s="246">
        <v>2</v>
      </c>
      <c r="F1297" s="246">
        <v>3</v>
      </c>
      <c r="G1297" s="246">
        <v>5</v>
      </c>
      <c r="H1297" s="246">
        <v>6</v>
      </c>
      <c r="I1297" s="246">
        <v>9</v>
      </c>
      <c r="J1297" s="246">
        <v>12</v>
      </c>
      <c r="K1297" s="246">
        <v>14</v>
      </c>
      <c r="L1297" s="246">
        <v>16</v>
      </c>
      <c r="M1297" s="246"/>
      <c r="N1297" s="246"/>
      <c r="O1297" s="246"/>
      <c r="P1297" s="246"/>
      <c r="Q1297" s="246"/>
      <c r="R1297" s="246">
        <f>IFERROR(VLOOKUP(D1297,PROGRAMAS[],2,FALSE),0)</f>
        <v>97037803.679377079</v>
      </c>
      <c r="S1297" s="246">
        <f>IFERROR(VLOOKUP(E1297,PROGRAMAS[],2,FALSE),0)</f>
        <v>640501509.6821388</v>
      </c>
      <c r="T1297" s="246">
        <f>IFERROR(VLOOKUP(F1297,PROGRAMAS[],2,FALSE),0)</f>
        <v>3062327798.1525245</v>
      </c>
      <c r="U1297" s="246">
        <f>IFERROR(VLOOKUP(G1297,PROGRAMAS[],2,FALSE),0)</f>
        <v>1440941976.2528784</v>
      </c>
      <c r="V1297" s="246">
        <f>IFERROR(VLOOKUP(H1297,PROGRAMAS[],2,FALSE),0)</f>
        <v>6907648435.8447599</v>
      </c>
      <c r="W1297" s="246">
        <f>IFERROR(VLOOKUP(I1297,PROGRAMAS[],2,FALSE),0)</f>
        <v>6128579952.1618185</v>
      </c>
      <c r="X1297" s="246">
        <f>IFERROR(VLOOKUP(J1297,PROGRAMAS[],2,FALSE),0)</f>
        <v>764796700.79905891</v>
      </c>
      <c r="Y1297" s="246">
        <f>IFERROR(VLOOKUP(K1297,PROGRAMAS[],2,FALSE),0)</f>
        <v>54223862.645839565</v>
      </c>
      <c r="Z1297" s="246">
        <f>IFERROR(VLOOKUP(L1297,PROGRAMAS[],2,FALSE),0)</f>
        <v>7068496961.0436354</v>
      </c>
      <c r="AA1297" s="246">
        <f>IFERROR(VLOOKUP(M1297,PROGRAMAS[],2,FALSE),0)</f>
        <v>0</v>
      </c>
      <c r="AB1297" s="246">
        <f>IFERROR(VLOOKUP(N1297,PROGRAMAS[],2,FALSE),0)</f>
        <v>0</v>
      </c>
      <c r="AC1297" s="246">
        <f>IFERROR(VLOOKUP(O1297,PROGRAMAS[],2,FALSE),0)</f>
        <v>0</v>
      </c>
      <c r="AD1297" s="246">
        <f>IFERROR(VLOOKUP(P1297,PROGRAMAS[],2,FALSE),0)</f>
        <v>0</v>
      </c>
      <c r="AE1297" s="246">
        <f>IFERROR(VLOOKUP(Q1297,PROGRAMAS[],2,FALSE),0)</f>
        <v>0</v>
      </c>
      <c r="AF1297" s="246">
        <f>IFERROR(VLOOKUP(D1297,PROGRAMAS[],3,FALSE),0)</f>
        <v>841888629.31080008</v>
      </c>
      <c r="AG1297" s="246">
        <f>IFERROR(VLOOKUP(E1297,PROGRAMAS[],3,FALSE),0)</f>
        <v>3848980803.1642323</v>
      </c>
      <c r="AH1297" s="246">
        <f>IFERROR(VLOOKUP(F1297,PROGRAMAS[],3,FALSE),0)</f>
        <v>3394901471.387517</v>
      </c>
      <c r="AI1297" s="246">
        <f>IFERROR(VLOOKUP(G1297,PROGRAMAS[],3,FALSE),0)</f>
        <v>1233505101.0616004</v>
      </c>
      <c r="AJ1297" s="246">
        <f>IFERROR(VLOOKUP(H1297,PROGRAMAS[],3,FALSE),0)</f>
        <v>6129902208.7912121</v>
      </c>
      <c r="AK1297" s="246">
        <f>IFERROR(VLOOKUP(I1297,PROGRAMAS[],3,FALSE),0)</f>
        <v>7011279577.519702</v>
      </c>
      <c r="AL1297" s="246">
        <f>IFERROR(VLOOKUP(J1297,PROGRAMAS[],3,FALSE),0)</f>
        <v>675517840.109828</v>
      </c>
      <c r="AM1297" s="246">
        <f>IFERROR(VLOOKUP(K1297,PROGRAMAS[],3,FALSE),0)</f>
        <v>31865326.38096505</v>
      </c>
      <c r="AN1297" s="246">
        <f>IFERROR(VLOOKUP(L1297,PROGRAMAS[],3,FALSE),0)</f>
        <v>2406564599.0319901</v>
      </c>
      <c r="AO1297" s="246">
        <f>IFERROR(VLOOKUP(M1297,PROGRAMAS[],3,FALSE),0)</f>
        <v>0</v>
      </c>
      <c r="AP1297" s="246">
        <f>IFERROR(VLOOKUP(N1297,PROGRAMAS[],3,FALSE),0)</f>
        <v>0</v>
      </c>
      <c r="AQ1297" s="246">
        <f>IFERROR(VLOOKUP(O1297,PROGRAMAS[],3,FALSE),0)</f>
        <v>0</v>
      </c>
      <c r="AR1297" s="246">
        <f>IFERROR(VLOOKUP(P1297,PROGRAMAS[],3,FALSE),0)</f>
        <v>0</v>
      </c>
      <c r="AS1297" s="246">
        <f>IFERROR(VLOOKUP(Q1297,PROGRAMAS[],3,FALSE),0)</f>
        <v>0</v>
      </c>
      <c r="AT1297" s="246">
        <f>IFERROR(VLOOKUP(D1297,VOL_REC[],2,FALSE),0)</f>
        <v>0</v>
      </c>
      <c r="AU1297" s="246">
        <f>IFERROR(VLOOKUP(E1297,VOL_REC[],2,FALSE),0)</f>
        <v>0</v>
      </c>
      <c r="AV1297" s="246">
        <f>IFERROR(VLOOKUP(F1297,VOL_REC[],2,FALSE),0)</f>
        <v>11089674.200000001</v>
      </c>
      <c r="AW1297" s="246">
        <f>IFERROR(VLOOKUP(G1297,VOL_REC[],2,FALSE),0)</f>
        <v>4325103.1812214684</v>
      </c>
      <c r="AX1297" s="246">
        <f>IFERROR(VLOOKUP(H1297,VOL_REC[],2,FALSE),0)</f>
        <v>15540036.397699751</v>
      </c>
      <c r="AY1297" s="246">
        <f>IFERROR(VLOOKUP(I1297,VOL_REC[],2,FALSE),0)</f>
        <v>3761786</v>
      </c>
      <c r="AZ1297" s="246">
        <f>IFERROR(VLOOKUP(J1297,VOL_REC[],2,FALSE),0)</f>
        <v>240696.79238099116</v>
      </c>
      <c r="BA1297" s="246">
        <f>IFERROR(VLOOKUP(K1297,VOL_REC[],2,FALSE),0)</f>
        <v>17074.045034105649</v>
      </c>
      <c r="BB1297" s="246">
        <f>IFERROR(VLOOKUP(L1297,VOL_REC[],2,FALSE),0)</f>
        <v>1072354.9981737854</v>
      </c>
      <c r="BC1297" s="246">
        <f>IFERROR(VLOOKUP(M1297,VOL_REC[],2,FALSE),0)</f>
        <v>0</v>
      </c>
      <c r="BD1297" s="246">
        <f>IFERROR(VLOOKUP(N1297,VOL_REC[],2,FALSE),0)</f>
        <v>0</v>
      </c>
      <c r="BE1297" s="246">
        <f>IFERROR(VLOOKUP(O1297,VOL_REC[],2,FALSE),0)</f>
        <v>0</v>
      </c>
      <c r="BF1297" s="246">
        <f>IFERROR(VLOOKUP(P1297,VOL_REC[],2,FALSE),0)</f>
        <v>0</v>
      </c>
      <c r="BG1297" s="246">
        <f>IFERROR(VLOOKUP(Q1297,VOL_REC[],2,FALSE),0)</f>
        <v>0</v>
      </c>
      <c r="BH1297" s="1710">
        <f t="shared" si="80"/>
        <v>26164555000.262032</v>
      </c>
      <c r="BI1297" s="1710">
        <f t="shared" si="81"/>
        <v>25574405556.757851</v>
      </c>
      <c r="BJ1297" s="1711">
        <f t="shared" si="82"/>
        <v>36046725.614510097</v>
      </c>
      <c r="BK1297" s="1711">
        <f t="shared" si="83"/>
        <v>1.0230757834114443</v>
      </c>
      <c r="BL1297">
        <f>BJ1297</f>
        <v>36046725.614510097</v>
      </c>
      <c r="BO1297">
        <f>BL1297</f>
        <v>36046725.614510097</v>
      </c>
    </row>
    <row r="1298" spans="3:67" x14ac:dyDescent="0.25">
      <c r="C1298" s="246" t="s">
        <v>2648</v>
      </c>
      <c r="D1298" s="246">
        <v>1</v>
      </c>
      <c r="E1298" s="246">
        <v>2</v>
      </c>
      <c r="F1298" s="246">
        <v>3</v>
      </c>
      <c r="G1298" s="246">
        <v>5</v>
      </c>
      <c r="H1298" s="246">
        <v>6</v>
      </c>
      <c r="I1298" s="246">
        <v>9</v>
      </c>
      <c r="J1298" s="246">
        <v>12</v>
      </c>
      <c r="K1298" s="246">
        <v>14</v>
      </c>
      <c r="L1298" s="246">
        <v>17</v>
      </c>
      <c r="M1298" s="246"/>
      <c r="N1298" s="246"/>
      <c r="O1298" s="246"/>
      <c r="P1298" s="246"/>
      <c r="Q1298" s="246"/>
      <c r="R1298" s="246">
        <f>IFERROR(VLOOKUP(D1298,PROGRAMAS[],2,FALSE),0)</f>
        <v>97037803.679377079</v>
      </c>
      <c r="S1298" s="246">
        <f>IFERROR(VLOOKUP(E1298,PROGRAMAS[],2,FALSE),0)</f>
        <v>640501509.6821388</v>
      </c>
      <c r="T1298" s="246">
        <f>IFERROR(VLOOKUP(F1298,PROGRAMAS[],2,FALSE),0)</f>
        <v>3062327798.1525245</v>
      </c>
      <c r="U1298" s="246">
        <f>IFERROR(VLOOKUP(G1298,PROGRAMAS[],2,FALSE),0)</f>
        <v>1440941976.2528784</v>
      </c>
      <c r="V1298" s="246">
        <f>IFERROR(VLOOKUP(H1298,PROGRAMAS[],2,FALSE),0)</f>
        <v>6907648435.8447599</v>
      </c>
      <c r="W1298" s="246">
        <f>IFERROR(VLOOKUP(I1298,PROGRAMAS[],2,FALSE),0)</f>
        <v>6128579952.1618185</v>
      </c>
      <c r="X1298" s="246">
        <f>IFERROR(VLOOKUP(J1298,PROGRAMAS[],2,FALSE),0)</f>
        <v>764796700.79905891</v>
      </c>
      <c r="Y1298" s="246">
        <f>IFERROR(VLOOKUP(K1298,PROGRAMAS[],2,FALSE),0)</f>
        <v>54223862.645839565</v>
      </c>
      <c r="Z1298" s="246">
        <f>IFERROR(VLOOKUP(L1298,PROGRAMAS[],2,FALSE),0)</f>
        <v>1892779498.5211046</v>
      </c>
      <c r="AA1298" s="246">
        <f>IFERROR(VLOOKUP(M1298,PROGRAMAS[],2,FALSE),0)</f>
        <v>0</v>
      </c>
      <c r="AB1298" s="246">
        <f>IFERROR(VLOOKUP(N1298,PROGRAMAS[],2,FALSE),0)</f>
        <v>0</v>
      </c>
      <c r="AC1298" s="246">
        <f>IFERROR(VLOOKUP(O1298,PROGRAMAS[],2,FALSE),0)</f>
        <v>0</v>
      </c>
      <c r="AD1298" s="246">
        <f>IFERROR(VLOOKUP(P1298,PROGRAMAS[],2,FALSE),0)</f>
        <v>0</v>
      </c>
      <c r="AE1298" s="246">
        <f>IFERROR(VLOOKUP(Q1298,PROGRAMAS[],2,FALSE),0)</f>
        <v>0</v>
      </c>
      <c r="AF1298" s="246">
        <f>IFERROR(VLOOKUP(D1298,PROGRAMAS[],3,FALSE),0)</f>
        <v>841888629.31080008</v>
      </c>
      <c r="AG1298" s="246">
        <f>IFERROR(VLOOKUP(E1298,PROGRAMAS[],3,FALSE),0)</f>
        <v>3848980803.1642323</v>
      </c>
      <c r="AH1298" s="246">
        <f>IFERROR(VLOOKUP(F1298,PROGRAMAS[],3,FALSE),0)</f>
        <v>3394901471.387517</v>
      </c>
      <c r="AI1298" s="246">
        <f>IFERROR(VLOOKUP(G1298,PROGRAMAS[],3,FALSE),0)</f>
        <v>1233505101.0616004</v>
      </c>
      <c r="AJ1298" s="246">
        <f>IFERROR(VLOOKUP(H1298,PROGRAMAS[],3,FALSE),0)</f>
        <v>6129902208.7912121</v>
      </c>
      <c r="AK1298" s="246">
        <f>IFERROR(VLOOKUP(I1298,PROGRAMAS[],3,FALSE),0)</f>
        <v>7011279577.519702</v>
      </c>
      <c r="AL1298" s="246">
        <f>IFERROR(VLOOKUP(J1298,PROGRAMAS[],3,FALSE),0)</f>
        <v>675517840.109828</v>
      </c>
      <c r="AM1298" s="246">
        <f>IFERROR(VLOOKUP(K1298,PROGRAMAS[],3,FALSE),0)</f>
        <v>31865326.38096505</v>
      </c>
      <c r="AN1298" s="246">
        <f>IFERROR(VLOOKUP(L1298,PROGRAMAS[],3,FALSE),0)</f>
        <v>948595847.09039903</v>
      </c>
      <c r="AO1298" s="246">
        <f>IFERROR(VLOOKUP(M1298,PROGRAMAS[],3,FALSE),0)</f>
        <v>0</v>
      </c>
      <c r="AP1298" s="246">
        <f>IFERROR(VLOOKUP(N1298,PROGRAMAS[],3,FALSE),0)</f>
        <v>0</v>
      </c>
      <c r="AQ1298" s="246">
        <f>IFERROR(VLOOKUP(O1298,PROGRAMAS[],3,FALSE),0)</f>
        <v>0</v>
      </c>
      <c r="AR1298" s="246">
        <f>IFERROR(VLOOKUP(P1298,PROGRAMAS[],3,FALSE),0)</f>
        <v>0</v>
      </c>
      <c r="AS1298" s="246">
        <f>IFERROR(VLOOKUP(Q1298,PROGRAMAS[],3,FALSE),0)</f>
        <v>0</v>
      </c>
      <c r="AT1298" s="246">
        <f>IFERROR(VLOOKUP(D1298,VOL_REC[],2,FALSE),0)</f>
        <v>0</v>
      </c>
      <c r="AU1298" s="246">
        <f>IFERROR(VLOOKUP(E1298,VOL_REC[],2,FALSE),0)</f>
        <v>0</v>
      </c>
      <c r="AV1298" s="246">
        <f>IFERROR(VLOOKUP(F1298,VOL_REC[],2,FALSE),0)</f>
        <v>11089674.200000001</v>
      </c>
      <c r="AW1298" s="246">
        <f>IFERROR(VLOOKUP(G1298,VOL_REC[],2,FALSE),0)</f>
        <v>4325103.1812214684</v>
      </c>
      <c r="AX1298" s="246">
        <f>IFERROR(VLOOKUP(H1298,VOL_REC[],2,FALSE),0)</f>
        <v>15540036.397699751</v>
      </c>
      <c r="AY1298" s="246">
        <f>IFERROR(VLOOKUP(I1298,VOL_REC[],2,FALSE),0)</f>
        <v>3761786</v>
      </c>
      <c r="AZ1298" s="246">
        <f>IFERROR(VLOOKUP(J1298,VOL_REC[],2,FALSE),0)</f>
        <v>240696.79238099116</v>
      </c>
      <c r="BA1298" s="246">
        <f>IFERROR(VLOOKUP(K1298,VOL_REC[],2,FALSE),0)</f>
        <v>17074.045034105649</v>
      </c>
      <c r="BB1298" s="246">
        <f>IFERROR(VLOOKUP(L1298,VOL_REC[],2,FALSE),0)</f>
        <v>740113.98115702497</v>
      </c>
      <c r="BC1298" s="246">
        <f>IFERROR(VLOOKUP(M1298,VOL_REC[],2,FALSE),0)</f>
        <v>0</v>
      </c>
      <c r="BD1298" s="246">
        <f>IFERROR(VLOOKUP(N1298,VOL_REC[],2,FALSE),0)</f>
        <v>0</v>
      </c>
      <c r="BE1298" s="246">
        <f>IFERROR(VLOOKUP(O1298,VOL_REC[],2,FALSE),0)</f>
        <v>0</v>
      </c>
      <c r="BF1298" s="246">
        <f>IFERROR(VLOOKUP(P1298,VOL_REC[],2,FALSE),0)</f>
        <v>0</v>
      </c>
      <c r="BG1298" s="246">
        <f>IFERROR(VLOOKUP(Q1298,VOL_REC[],2,FALSE),0)</f>
        <v>0</v>
      </c>
      <c r="BH1298" s="1710">
        <f t="shared" si="80"/>
        <v>20988837537.739498</v>
      </c>
      <c r="BI1298" s="1710">
        <f t="shared" si="81"/>
        <v>24116436804.816261</v>
      </c>
      <c r="BJ1298" s="1711">
        <f t="shared" si="82"/>
        <v>35714484.597493336</v>
      </c>
      <c r="BK1298" s="1711">
        <f t="shared" si="83"/>
        <v>0.87031254689945925</v>
      </c>
    </row>
    <row r="1299" spans="3:67" x14ac:dyDescent="0.25">
      <c r="C1299" s="246" t="s">
        <v>2649</v>
      </c>
      <c r="D1299" s="246">
        <v>1</v>
      </c>
      <c r="E1299" s="246">
        <v>2</v>
      </c>
      <c r="F1299" s="246">
        <v>3</v>
      </c>
      <c r="G1299" s="246">
        <v>5</v>
      </c>
      <c r="H1299" s="246">
        <v>6</v>
      </c>
      <c r="I1299" s="246">
        <v>9</v>
      </c>
      <c r="J1299" s="246">
        <v>12</v>
      </c>
      <c r="K1299" s="246">
        <v>15</v>
      </c>
      <c r="L1299" s="246">
        <v>16</v>
      </c>
      <c r="M1299" s="246"/>
      <c r="N1299" s="246"/>
      <c r="O1299" s="246"/>
      <c r="P1299" s="246"/>
      <c r="Q1299" s="246"/>
      <c r="R1299" s="246">
        <f>IFERROR(VLOOKUP(D1299,PROGRAMAS[],2,FALSE),0)</f>
        <v>97037803.679377079</v>
      </c>
      <c r="S1299" s="246">
        <f>IFERROR(VLOOKUP(E1299,PROGRAMAS[],2,FALSE),0)</f>
        <v>640501509.6821388</v>
      </c>
      <c r="T1299" s="246">
        <f>IFERROR(VLOOKUP(F1299,PROGRAMAS[],2,FALSE),0)</f>
        <v>3062327798.1525245</v>
      </c>
      <c r="U1299" s="246">
        <f>IFERROR(VLOOKUP(G1299,PROGRAMAS[],2,FALSE),0)</f>
        <v>1440941976.2528784</v>
      </c>
      <c r="V1299" s="246">
        <f>IFERROR(VLOOKUP(H1299,PROGRAMAS[],2,FALSE),0)</f>
        <v>6907648435.8447599</v>
      </c>
      <c r="W1299" s="246">
        <f>IFERROR(VLOOKUP(I1299,PROGRAMAS[],2,FALSE),0)</f>
        <v>6128579952.1618185</v>
      </c>
      <c r="X1299" s="246">
        <f>IFERROR(VLOOKUP(J1299,PROGRAMAS[],2,FALSE),0)</f>
        <v>764796700.79905891</v>
      </c>
      <c r="Y1299" s="246">
        <f>IFERROR(VLOOKUP(K1299,PROGRAMAS[],2,FALSE),0)</f>
        <v>122159672.96346797</v>
      </c>
      <c r="Z1299" s="246">
        <f>IFERROR(VLOOKUP(L1299,PROGRAMAS[],2,FALSE),0)</f>
        <v>7068496961.0436354</v>
      </c>
      <c r="AA1299" s="246">
        <f>IFERROR(VLOOKUP(M1299,PROGRAMAS[],2,FALSE),0)</f>
        <v>0</v>
      </c>
      <c r="AB1299" s="246">
        <f>IFERROR(VLOOKUP(N1299,PROGRAMAS[],2,FALSE),0)</f>
        <v>0</v>
      </c>
      <c r="AC1299" s="246">
        <f>IFERROR(VLOOKUP(O1299,PROGRAMAS[],2,FALSE),0)</f>
        <v>0</v>
      </c>
      <c r="AD1299" s="246">
        <f>IFERROR(VLOOKUP(P1299,PROGRAMAS[],2,FALSE),0)</f>
        <v>0</v>
      </c>
      <c r="AE1299" s="246">
        <f>IFERROR(VLOOKUP(Q1299,PROGRAMAS[],2,FALSE),0)</f>
        <v>0</v>
      </c>
      <c r="AF1299" s="246">
        <f>IFERROR(VLOOKUP(D1299,PROGRAMAS[],3,FALSE),0)</f>
        <v>841888629.31080008</v>
      </c>
      <c r="AG1299" s="246">
        <f>IFERROR(VLOOKUP(E1299,PROGRAMAS[],3,FALSE),0)</f>
        <v>3848980803.1642323</v>
      </c>
      <c r="AH1299" s="246">
        <f>IFERROR(VLOOKUP(F1299,PROGRAMAS[],3,FALSE),0)</f>
        <v>3394901471.387517</v>
      </c>
      <c r="AI1299" s="246">
        <f>IFERROR(VLOOKUP(G1299,PROGRAMAS[],3,FALSE),0)</f>
        <v>1233505101.0616004</v>
      </c>
      <c r="AJ1299" s="246">
        <f>IFERROR(VLOOKUP(H1299,PROGRAMAS[],3,FALSE),0)</f>
        <v>6129902208.7912121</v>
      </c>
      <c r="AK1299" s="246">
        <f>IFERROR(VLOOKUP(I1299,PROGRAMAS[],3,FALSE),0)</f>
        <v>7011279577.519702</v>
      </c>
      <c r="AL1299" s="246">
        <f>IFERROR(VLOOKUP(J1299,PROGRAMAS[],3,FALSE),0)</f>
        <v>675517840.109828</v>
      </c>
      <c r="AM1299" s="246">
        <f>IFERROR(VLOOKUP(K1299,PROGRAMAS[],3,FALSE),0)</f>
        <v>118617452.52510804</v>
      </c>
      <c r="AN1299" s="246">
        <f>IFERROR(VLOOKUP(L1299,PROGRAMAS[],3,FALSE),0)</f>
        <v>2406564599.0319901</v>
      </c>
      <c r="AO1299" s="246">
        <f>IFERROR(VLOOKUP(M1299,PROGRAMAS[],3,FALSE),0)</f>
        <v>0</v>
      </c>
      <c r="AP1299" s="246">
        <f>IFERROR(VLOOKUP(N1299,PROGRAMAS[],3,FALSE),0)</f>
        <v>0</v>
      </c>
      <c r="AQ1299" s="246">
        <f>IFERROR(VLOOKUP(O1299,PROGRAMAS[],3,FALSE),0)</f>
        <v>0</v>
      </c>
      <c r="AR1299" s="246">
        <f>IFERROR(VLOOKUP(P1299,PROGRAMAS[],3,FALSE),0)</f>
        <v>0</v>
      </c>
      <c r="AS1299" s="246">
        <f>IFERROR(VLOOKUP(Q1299,PROGRAMAS[],3,FALSE),0)</f>
        <v>0</v>
      </c>
      <c r="AT1299" s="246">
        <f>IFERROR(VLOOKUP(D1299,VOL_REC[],2,FALSE),0)</f>
        <v>0</v>
      </c>
      <c r="AU1299" s="246">
        <f>IFERROR(VLOOKUP(E1299,VOL_REC[],2,FALSE),0)</f>
        <v>0</v>
      </c>
      <c r="AV1299" s="246">
        <f>IFERROR(VLOOKUP(F1299,VOL_REC[],2,FALSE),0)</f>
        <v>11089674.200000001</v>
      </c>
      <c r="AW1299" s="246">
        <f>IFERROR(VLOOKUP(G1299,VOL_REC[],2,FALSE),0)</f>
        <v>4325103.1812214684</v>
      </c>
      <c r="AX1299" s="246">
        <f>IFERROR(VLOOKUP(H1299,VOL_REC[],2,FALSE),0)</f>
        <v>15540036.397699751</v>
      </c>
      <c r="AY1299" s="246">
        <f>IFERROR(VLOOKUP(I1299,VOL_REC[],2,FALSE),0)</f>
        <v>3761786</v>
      </c>
      <c r="AZ1299" s="246">
        <f>IFERROR(VLOOKUP(J1299,VOL_REC[],2,FALSE),0)</f>
        <v>240696.79238099116</v>
      </c>
      <c r="BA1299" s="246">
        <f>IFERROR(VLOOKUP(K1299,VOL_REC[],2,FALSE),0)</f>
        <v>105072</v>
      </c>
      <c r="BB1299" s="246">
        <f>IFERROR(VLOOKUP(L1299,VOL_REC[],2,FALSE),0)</f>
        <v>1072354.9981737854</v>
      </c>
      <c r="BC1299" s="246">
        <f>IFERROR(VLOOKUP(M1299,VOL_REC[],2,FALSE),0)</f>
        <v>0</v>
      </c>
      <c r="BD1299" s="246">
        <f>IFERROR(VLOOKUP(N1299,VOL_REC[],2,FALSE),0)</f>
        <v>0</v>
      </c>
      <c r="BE1299" s="246">
        <f>IFERROR(VLOOKUP(O1299,VOL_REC[],2,FALSE),0)</f>
        <v>0</v>
      </c>
      <c r="BF1299" s="246">
        <f>IFERROR(VLOOKUP(P1299,VOL_REC[],2,FALSE),0)</f>
        <v>0</v>
      </c>
      <c r="BG1299" s="246">
        <f>IFERROR(VLOOKUP(Q1299,VOL_REC[],2,FALSE),0)</f>
        <v>0</v>
      </c>
      <c r="BH1299" s="1710">
        <f t="shared" si="80"/>
        <v>26232490810.579659</v>
      </c>
      <c r="BI1299" s="1710">
        <f t="shared" si="81"/>
        <v>25661157682.901993</v>
      </c>
      <c r="BJ1299" s="1711">
        <f t="shared" si="82"/>
        <v>36134723.569475994</v>
      </c>
      <c r="BK1299" s="1711">
        <f t="shared" si="83"/>
        <v>1.0222645110067792</v>
      </c>
      <c r="BL1299">
        <f>BJ1299</f>
        <v>36134723.569475994</v>
      </c>
      <c r="BO1299">
        <f>BL1299</f>
        <v>36134723.569475994</v>
      </c>
    </row>
    <row r="1300" spans="3:67" x14ac:dyDescent="0.25">
      <c r="C1300" s="246" t="s">
        <v>2650</v>
      </c>
      <c r="D1300" s="246">
        <v>1</v>
      </c>
      <c r="E1300" s="246">
        <v>2</v>
      </c>
      <c r="F1300" s="246">
        <v>3</v>
      </c>
      <c r="G1300" s="246">
        <v>5</v>
      </c>
      <c r="H1300" s="246">
        <v>6</v>
      </c>
      <c r="I1300" s="246">
        <v>9</v>
      </c>
      <c r="J1300" s="246">
        <v>12</v>
      </c>
      <c r="K1300" s="246">
        <v>15</v>
      </c>
      <c r="L1300" s="246">
        <v>17</v>
      </c>
      <c r="M1300" s="246"/>
      <c r="N1300" s="246"/>
      <c r="O1300" s="246"/>
      <c r="P1300" s="246"/>
      <c r="Q1300" s="246"/>
      <c r="R1300" s="246">
        <f>IFERROR(VLOOKUP(D1300,PROGRAMAS[],2,FALSE),0)</f>
        <v>97037803.679377079</v>
      </c>
      <c r="S1300" s="246">
        <f>IFERROR(VLOOKUP(E1300,PROGRAMAS[],2,FALSE),0)</f>
        <v>640501509.6821388</v>
      </c>
      <c r="T1300" s="246">
        <f>IFERROR(VLOOKUP(F1300,PROGRAMAS[],2,FALSE),0)</f>
        <v>3062327798.1525245</v>
      </c>
      <c r="U1300" s="246">
        <f>IFERROR(VLOOKUP(G1300,PROGRAMAS[],2,FALSE),0)</f>
        <v>1440941976.2528784</v>
      </c>
      <c r="V1300" s="246">
        <f>IFERROR(VLOOKUP(H1300,PROGRAMAS[],2,FALSE),0)</f>
        <v>6907648435.8447599</v>
      </c>
      <c r="W1300" s="246">
        <f>IFERROR(VLOOKUP(I1300,PROGRAMAS[],2,FALSE),0)</f>
        <v>6128579952.1618185</v>
      </c>
      <c r="X1300" s="246">
        <f>IFERROR(VLOOKUP(J1300,PROGRAMAS[],2,FALSE),0)</f>
        <v>764796700.79905891</v>
      </c>
      <c r="Y1300" s="246">
        <f>IFERROR(VLOOKUP(K1300,PROGRAMAS[],2,FALSE),0)</f>
        <v>122159672.96346797</v>
      </c>
      <c r="Z1300" s="246">
        <f>IFERROR(VLOOKUP(L1300,PROGRAMAS[],2,FALSE),0)</f>
        <v>1892779498.5211046</v>
      </c>
      <c r="AA1300" s="246">
        <f>IFERROR(VLOOKUP(M1300,PROGRAMAS[],2,FALSE),0)</f>
        <v>0</v>
      </c>
      <c r="AB1300" s="246">
        <f>IFERROR(VLOOKUP(N1300,PROGRAMAS[],2,FALSE),0)</f>
        <v>0</v>
      </c>
      <c r="AC1300" s="246">
        <f>IFERROR(VLOOKUP(O1300,PROGRAMAS[],2,FALSE),0)</f>
        <v>0</v>
      </c>
      <c r="AD1300" s="246">
        <f>IFERROR(VLOOKUP(P1300,PROGRAMAS[],2,FALSE),0)</f>
        <v>0</v>
      </c>
      <c r="AE1300" s="246">
        <f>IFERROR(VLOOKUP(Q1300,PROGRAMAS[],2,FALSE),0)</f>
        <v>0</v>
      </c>
      <c r="AF1300" s="246">
        <f>IFERROR(VLOOKUP(D1300,PROGRAMAS[],3,FALSE),0)</f>
        <v>841888629.31080008</v>
      </c>
      <c r="AG1300" s="246">
        <f>IFERROR(VLOOKUP(E1300,PROGRAMAS[],3,FALSE),0)</f>
        <v>3848980803.1642323</v>
      </c>
      <c r="AH1300" s="246">
        <f>IFERROR(VLOOKUP(F1300,PROGRAMAS[],3,FALSE),0)</f>
        <v>3394901471.387517</v>
      </c>
      <c r="AI1300" s="246">
        <f>IFERROR(VLOOKUP(G1300,PROGRAMAS[],3,FALSE),0)</f>
        <v>1233505101.0616004</v>
      </c>
      <c r="AJ1300" s="246">
        <f>IFERROR(VLOOKUP(H1300,PROGRAMAS[],3,FALSE),0)</f>
        <v>6129902208.7912121</v>
      </c>
      <c r="AK1300" s="246">
        <f>IFERROR(VLOOKUP(I1300,PROGRAMAS[],3,FALSE),0)</f>
        <v>7011279577.519702</v>
      </c>
      <c r="AL1300" s="246">
        <f>IFERROR(VLOOKUP(J1300,PROGRAMAS[],3,FALSE),0)</f>
        <v>675517840.109828</v>
      </c>
      <c r="AM1300" s="246">
        <f>IFERROR(VLOOKUP(K1300,PROGRAMAS[],3,FALSE),0)</f>
        <v>118617452.52510804</v>
      </c>
      <c r="AN1300" s="246">
        <f>IFERROR(VLOOKUP(L1300,PROGRAMAS[],3,FALSE),0)</f>
        <v>948595847.09039903</v>
      </c>
      <c r="AO1300" s="246">
        <f>IFERROR(VLOOKUP(M1300,PROGRAMAS[],3,FALSE),0)</f>
        <v>0</v>
      </c>
      <c r="AP1300" s="246">
        <f>IFERROR(VLOOKUP(N1300,PROGRAMAS[],3,FALSE),0)</f>
        <v>0</v>
      </c>
      <c r="AQ1300" s="246">
        <f>IFERROR(VLOOKUP(O1300,PROGRAMAS[],3,FALSE),0)</f>
        <v>0</v>
      </c>
      <c r="AR1300" s="246">
        <f>IFERROR(VLOOKUP(P1300,PROGRAMAS[],3,FALSE),0)</f>
        <v>0</v>
      </c>
      <c r="AS1300" s="246">
        <f>IFERROR(VLOOKUP(Q1300,PROGRAMAS[],3,FALSE),0)</f>
        <v>0</v>
      </c>
      <c r="AT1300" s="246">
        <f>IFERROR(VLOOKUP(D1300,VOL_REC[],2,FALSE),0)</f>
        <v>0</v>
      </c>
      <c r="AU1300" s="246">
        <f>IFERROR(VLOOKUP(E1300,VOL_REC[],2,FALSE),0)</f>
        <v>0</v>
      </c>
      <c r="AV1300" s="246">
        <f>IFERROR(VLOOKUP(F1300,VOL_REC[],2,FALSE),0)</f>
        <v>11089674.200000001</v>
      </c>
      <c r="AW1300" s="246">
        <f>IFERROR(VLOOKUP(G1300,VOL_REC[],2,FALSE),0)</f>
        <v>4325103.1812214684</v>
      </c>
      <c r="AX1300" s="246">
        <f>IFERROR(VLOOKUP(H1300,VOL_REC[],2,FALSE),0)</f>
        <v>15540036.397699751</v>
      </c>
      <c r="AY1300" s="246">
        <f>IFERROR(VLOOKUP(I1300,VOL_REC[],2,FALSE),0)</f>
        <v>3761786</v>
      </c>
      <c r="AZ1300" s="246">
        <f>IFERROR(VLOOKUP(J1300,VOL_REC[],2,FALSE),0)</f>
        <v>240696.79238099116</v>
      </c>
      <c r="BA1300" s="246">
        <f>IFERROR(VLOOKUP(K1300,VOL_REC[],2,FALSE),0)</f>
        <v>105072</v>
      </c>
      <c r="BB1300" s="246">
        <f>IFERROR(VLOOKUP(L1300,VOL_REC[],2,FALSE),0)</f>
        <v>740113.98115702497</v>
      </c>
      <c r="BC1300" s="246">
        <f>IFERROR(VLOOKUP(M1300,VOL_REC[],2,FALSE),0)</f>
        <v>0</v>
      </c>
      <c r="BD1300" s="246">
        <f>IFERROR(VLOOKUP(N1300,VOL_REC[],2,FALSE),0)</f>
        <v>0</v>
      </c>
      <c r="BE1300" s="246">
        <f>IFERROR(VLOOKUP(O1300,VOL_REC[],2,FALSE),0)</f>
        <v>0</v>
      </c>
      <c r="BF1300" s="246">
        <f>IFERROR(VLOOKUP(P1300,VOL_REC[],2,FALSE),0)</f>
        <v>0</v>
      </c>
      <c r="BG1300" s="246">
        <f>IFERROR(VLOOKUP(Q1300,VOL_REC[],2,FALSE),0)</f>
        <v>0</v>
      </c>
      <c r="BH1300" s="1710">
        <f t="shared" si="80"/>
        <v>21056773348.057125</v>
      </c>
      <c r="BI1300" s="1710">
        <f t="shared" si="81"/>
        <v>24203188930.960403</v>
      </c>
      <c r="BJ1300" s="1711">
        <f t="shared" si="82"/>
        <v>35802482.552459233</v>
      </c>
      <c r="BK1300" s="1711">
        <f t="shared" si="83"/>
        <v>0.86999995777918238</v>
      </c>
    </row>
    <row r="1301" spans="3:67" x14ac:dyDescent="0.25">
      <c r="C1301" s="246" t="s">
        <v>2651</v>
      </c>
      <c r="D1301" s="246">
        <v>1</v>
      </c>
      <c r="E1301" s="246">
        <v>2</v>
      </c>
      <c r="F1301" s="246">
        <v>3</v>
      </c>
      <c r="G1301" s="246">
        <v>5</v>
      </c>
      <c r="H1301" s="246">
        <v>6</v>
      </c>
      <c r="I1301" s="246">
        <v>9</v>
      </c>
      <c r="J1301" s="246">
        <v>12</v>
      </c>
      <c r="K1301" s="246">
        <v>16</v>
      </c>
      <c r="L1301" s="246">
        <v>17</v>
      </c>
      <c r="M1301" s="246"/>
      <c r="N1301" s="246"/>
      <c r="O1301" s="246"/>
      <c r="P1301" s="246"/>
      <c r="Q1301" s="246"/>
      <c r="R1301" s="246">
        <f>IFERROR(VLOOKUP(D1301,PROGRAMAS[],2,FALSE),0)</f>
        <v>97037803.679377079</v>
      </c>
      <c r="S1301" s="246">
        <f>IFERROR(VLOOKUP(E1301,PROGRAMAS[],2,FALSE),0)</f>
        <v>640501509.6821388</v>
      </c>
      <c r="T1301" s="246">
        <f>IFERROR(VLOOKUP(F1301,PROGRAMAS[],2,FALSE),0)</f>
        <v>3062327798.1525245</v>
      </c>
      <c r="U1301" s="246">
        <f>IFERROR(VLOOKUP(G1301,PROGRAMAS[],2,FALSE),0)</f>
        <v>1440941976.2528784</v>
      </c>
      <c r="V1301" s="246">
        <f>IFERROR(VLOOKUP(H1301,PROGRAMAS[],2,FALSE),0)</f>
        <v>6907648435.8447599</v>
      </c>
      <c r="W1301" s="246">
        <f>IFERROR(VLOOKUP(I1301,PROGRAMAS[],2,FALSE),0)</f>
        <v>6128579952.1618185</v>
      </c>
      <c r="X1301" s="246">
        <f>IFERROR(VLOOKUP(J1301,PROGRAMAS[],2,FALSE),0)</f>
        <v>764796700.79905891</v>
      </c>
      <c r="Y1301" s="246">
        <f>IFERROR(VLOOKUP(K1301,PROGRAMAS[],2,FALSE),0)</f>
        <v>7068496961.0436354</v>
      </c>
      <c r="Z1301" s="246">
        <f>IFERROR(VLOOKUP(L1301,PROGRAMAS[],2,FALSE),0)</f>
        <v>1892779498.5211046</v>
      </c>
      <c r="AA1301" s="246">
        <f>IFERROR(VLOOKUP(M1301,PROGRAMAS[],2,FALSE),0)</f>
        <v>0</v>
      </c>
      <c r="AB1301" s="246">
        <f>IFERROR(VLOOKUP(N1301,PROGRAMAS[],2,FALSE),0)</f>
        <v>0</v>
      </c>
      <c r="AC1301" s="246">
        <f>IFERROR(VLOOKUP(O1301,PROGRAMAS[],2,FALSE),0)</f>
        <v>0</v>
      </c>
      <c r="AD1301" s="246">
        <f>IFERROR(VLOOKUP(P1301,PROGRAMAS[],2,FALSE),0)</f>
        <v>0</v>
      </c>
      <c r="AE1301" s="246">
        <f>IFERROR(VLOOKUP(Q1301,PROGRAMAS[],2,FALSE),0)</f>
        <v>0</v>
      </c>
      <c r="AF1301" s="246">
        <f>IFERROR(VLOOKUP(D1301,PROGRAMAS[],3,FALSE),0)</f>
        <v>841888629.31080008</v>
      </c>
      <c r="AG1301" s="246">
        <f>IFERROR(VLOOKUP(E1301,PROGRAMAS[],3,FALSE),0)</f>
        <v>3848980803.1642323</v>
      </c>
      <c r="AH1301" s="246">
        <f>IFERROR(VLOOKUP(F1301,PROGRAMAS[],3,FALSE),0)</f>
        <v>3394901471.387517</v>
      </c>
      <c r="AI1301" s="246">
        <f>IFERROR(VLOOKUP(G1301,PROGRAMAS[],3,FALSE),0)</f>
        <v>1233505101.0616004</v>
      </c>
      <c r="AJ1301" s="246">
        <f>IFERROR(VLOOKUP(H1301,PROGRAMAS[],3,FALSE),0)</f>
        <v>6129902208.7912121</v>
      </c>
      <c r="AK1301" s="246">
        <f>IFERROR(VLOOKUP(I1301,PROGRAMAS[],3,FALSE),0)</f>
        <v>7011279577.519702</v>
      </c>
      <c r="AL1301" s="246">
        <f>IFERROR(VLOOKUP(J1301,PROGRAMAS[],3,FALSE),0)</f>
        <v>675517840.109828</v>
      </c>
      <c r="AM1301" s="246">
        <f>IFERROR(VLOOKUP(K1301,PROGRAMAS[],3,FALSE),0)</f>
        <v>2406564599.0319901</v>
      </c>
      <c r="AN1301" s="246">
        <f>IFERROR(VLOOKUP(L1301,PROGRAMAS[],3,FALSE),0)</f>
        <v>948595847.09039903</v>
      </c>
      <c r="AO1301" s="246">
        <f>IFERROR(VLOOKUP(M1301,PROGRAMAS[],3,FALSE),0)</f>
        <v>0</v>
      </c>
      <c r="AP1301" s="246">
        <f>IFERROR(VLOOKUP(N1301,PROGRAMAS[],3,FALSE),0)</f>
        <v>0</v>
      </c>
      <c r="AQ1301" s="246">
        <f>IFERROR(VLOOKUP(O1301,PROGRAMAS[],3,FALSE),0)</f>
        <v>0</v>
      </c>
      <c r="AR1301" s="246">
        <f>IFERROR(VLOOKUP(P1301,PROGRAMAS[],3,FALSE),0)</f>
        <v>0</v>
      </c>
      <c r="AS1301" s="246">
        <f>IFERROR(VLOOKUP(Q1301,PROGRAMAS[],3,FALSE),0)</f>
        <v>0</v>
      </c>
      <c r="AT1301" s="246">
        <f>IFERROR(VLOOKUP(D1301,VOL_REC[],2,FALSE),0)</f>
        <v>0</v>
      </c>
      <c r="AU1301" s="246">
        <f>IFERROR(VLOOKUP(E1301,VOL_REC[],2,FALSE),0)</f>
        <v>0</v>
      </c>
      <c r="AV1301" s="246">
        <f>IFERROR(VLOOKUP(F1301,VOL_REC[],2,FALSE),0)</f>
        <v>11089674.200000001</v>
      </c>
      <c r="AW1301" s="246">
        <f>IFERROR(VLOOKUP(G1301,VOL_REC[],2,FALSE),0)</f>
        <v>4325103.1812214684</v>
      </c>
      <c r="AX1301" s="246">
        <f>IFERROR(VLOOKUP(H1301,VOL_REC[],2,FALSE),0)</f>
        <v>15540036.397699751</v>
      </c>
      <c r="AY1301" s="246">
        <f>IFERROR(VLOOKUP(I1301,VOL_REC[],2,FALSE),0)</f>
        <v>3761786</v>
      </c>
      <c r="AZ1301" s="246">
        <f>IFERROR(VLOOKUP(J1301,VOL_REC[],2,FALSE),0)</f>
        <v>240696.79238099116</v>
      </c>
      <c r="BA1301" s="246">
        <f>IFERROR(VLOOKUP(K1301,VOL_REC[],2,FALSE),0)</f>
        <v>1072354.9981737854</v>
      </c>
      <c r="BB1301" s="246">
        <f>IFERROR(VLOOKUP(L1301,VOL_REC[],2,FALSE),0)</f>
        <v>740113.98115702497</v>
      </c>
      <c r="BC1301" s="246">
        <f>IFERROR(VLOOKUP(M1301,VOL_REC[],2,FALSE),0)</f>
        <v>0</v>
      </c>
      <c r="BD1301" s="246">
        <f>IFERROR(VLOOKUP(N1301,VOL_REC[],2,FALSE),0)</f>
        <v>0</v>
      </c>
      <c r="BE1301" s="246">
        <f>IFERROR(VLOOKUP(O1301,VOL_REC[],2,FALSE),0)</f>
        <v>0</v>
      </c>
      <c r="BF1301" s="246">
        <f>IFERROR(VLOOKUP(P1301,VOL_REC[],2,FALSE),0)</f>
        <v>0</v>
      </c>
      <c r="BG1301" s="246">
        <f>IFERROR(VLOOKUP(Q1301,VOL_REC[],2,FALSE),0)</f>
        <v>0</v>
      </c>
      <c r="BH1301" s="1710">
        <f t="shared" si="80"/>
        <v>28003110636.137295</v>
      </c>
      <c r="BI1301" s="1710">
        <f t="shared" si="81"/>
        <v>26491136077.467285</v>
      </c>
      <c r="BJ1301" s="1711">
        <f t="shared" si="82"/>
        <v>36769765.550633021</v>
      </c>
      <c r="BK1301" s="1711">
        <f t="shared" si="83"/>
        <v>1.0570747345168054</v>
      </c>
      <c r="BL1301">
        <f>BJ1301</f>
        <v>36769765.550633021</v>
      </c>
      <c r="BO1301">
        <f>BL1301</f>
        <v>36769765.550633021</v>
      </c>
    </row>
    <row r="1302" spans="3:67" x14ac:dyDescent="0.25">
      <c r="C1302" s="246" t="s">
        <v>2652</v>
      </c>
      <c r="D1302" s="246">
        <v>1</v>
      </c>
      <c r="E1302" s="246">
        <v>2</v>
      </c>
      <c r="F1302" s="246">
        <v>3</v>
      </c>
      <c r="G1302" s="246">
        <v>5</v>
      </c>
      <c r="H1302" s="246">
        <v>6</v>
      </c>
      <c r="I1302" s="246">
        <v>9</v>
      </c>
      <c r="J1302" s="246">
        <v>13</v>
      </c>
      <c r="K1302" s="246">
        <v>14</v>
      </c>
      <c r="L1302" s="246">
        <v>15</v>
      </c>
      <c r="M1302" s="246"/>
      <c r="N1302" s="246"/>
      <c r="O1302" s="246"/>
      <c r="P1302" s="246"/>
      <c r="Q1302" s="246"/>
      <c r="R1302" s="246">
        <f>IFERROR(VLOOKUP(D1302,PROGRAMAS[],2,FALSE),0)</f>
        <v>97037803.679377079</v>
      </c>
      <c r="S1302" s="246">
        <f>IFERROR(VLOOKUP(E1302,PROGRAMAS[],2,FALSE),0)</f>
        <v>640501509.6821388</v>
      </c>
      <c r="T1302" s="246">
        <f>IFERROR(VLOOKUP(F1302,PROGRAMAS[],2,FALSE),0)</f>
        <v>3062327798.1525245</v>
      </c>
      <c r="U1302" s="246">
        <f>IFERROR(VLOOKUP(G1302,PROGRAMAS[],2,FALSE),0)</f>
        <v>1440941976.2528784</v>
      </c>
      <c r="V1302" s="246">
        <f>IFERROR(VLOOKUP(H1302,PROGRAMAS[],2,FALSE),0)</f>
        <v>6907648435.8447599</v>
      </c>
      <c r="W1302" s="246">
        <f>IFERROR(VLOOKUP(I1302,PROGRAMAS[],2,FALSE),0)</f>
        <v>6128579952.1618185</v>
      </c>
      <c r="X1302" s="246">
        <f>IFERROR(VLOOKUP(J1302,PROGRAMAS[],2,FALSE),0)</f>
        <v>3776538594.4604583</v>
      </c>
      <c r="Y1302" s="246">
        <f>IFERROR(VLOOKUP(K1302,PROGRAMAS[],2,FALSE),0)</f>
        <v>54223862.645839565</v>
      </c>
      <c r="Z1302" s="246">
        <f>IFERROR(VLOOKUP(L1302,PROGRAMAS[],2,FALSE),0)</f>
        <v>122159672.96346797</v>
      </c>
      <c r="AA1302" s="246">
        <f>IFERROR(VLOOKUP(M1302,PROGRAMAS[],2,FALSE),0)</f>
        <v>0</v>
      </c>
      <c r="AB1302" s="246">
        <f>IFERROR(VLOOKUP(N1302,PROGRAMAS[],2,FALSE),0)</f>
        <v>0</v>
      </c>
      <c r="AC1302" s="246">
        <f>IFERROR(VLOOKUP(O1302,PROGRAMAS[],2,FALSE),0)</f>
        <v>0</v>
      </c>
      <c r="AD1302" s="246">
        <f>IFERROR(VLOOKUP(P1302,PROGRAMAS[],2,FALSE),0)</f>
        <v>0</v>
      </c>
      <c r="AE1302" s="246">
        <f>IFERROR(VLOOKUP(Q1302,PROGRAMAS[],2,FALSE),0)</f>
        <v>0</v>
      </c>
      <c r="AF1302" s="246">
        <f>IFERROR(VLOOKUP(D1302,PROGRAMAS[],3,FALSE),0)</f>
        <v>841888629.31080008</v>
      </c>
      <c r="AG1302" s="246">
        <f>IFERROR(VLOOKUP(E1302,PROGRAMAS[],3,FALSE),0)</f>
        <v>3848980803.1642323</v>
      </c>
      <c r="AH1302" s="246">
        <f>IFERROR(VLOOKUP(F1302,PROGRAMAS[],3,FALSE),0)</f>
        <v>3394901471.387517</v>
      </c>
      <c r="AI1302" s="246">
        <f>IFERROR(VLOOKUP(G1302,PROGRAMAS[],3,FALSE),0)</f>
        <v>1233505101.0616004</v>
      </c>
      <c r="AJ1302" s="246">
        <f>IFERROR(VLOOKUP(H1302,PROGRAMAS[],3,FALSE),0)</f>
        <v>6129902208.7912121</v>
      </c>
      <c r="AK1302" s="246">
        <f>IFERROR(VLOOKUP(I1302,PROGRAMAS[],3,FALSE),0)</f>
        <v>7011279577.519702</v>
      </c>
      <c r="AL1302" s="246">
        <f>IFERROR(VLOOKUP(J1302,PROGRAMAS[],3,FALSE),0)</f>
        <v>2392571243.5584412</v>
      </c>
      <c r="AM1302" s="246">
        <f>IFERROR(VLOOKUP(K1302,PROGRAMAS[],3,FALSE),0)</f>
        <v>31865326.38096505</v>
      </c>
      <c r="AN1302" s="246">
        <f>IFERROR(VLOOKUP(L1302,PROGRAMAS[],3,FALSE),0)</f>
        <v>118617452.52510804</v>
      </c>
      <c r="AO1302" s="246">
        <f>IFERROR(VLOOKUP(M1302,PROGRAMAS[],3,FALSE),0)</f>
        <v>0</v>
      </c>
      <c r="AP1302" s="246">
        <f>IFERROR(VLOOKUP(N1302,PROGRAMAS[],3,FALSE),0)</f>
        <v>0</v>
      </c>
      <c r="AQ1302" s="246">
        <f>IFERROR(VLOOKUP(O1302,PROGRAMAS[],3,FALSE),0)</f>
        <v>0</v>
      </c>
      <c r="AR1302" s="246">
        <f>IFERROR(VLOOKUP(P1302,PROGRAMAS[],3,FALSE),0)</f>
        <v>0</v>
      </c>
      <c r="AS1302" s="246">
        <f>IFERROR(VLOOKUP(Q1302,PROGRAMAS[],3,FALSE),0)</f>
        <v>0</v>
      </c>
      <c r="AT1302" s="246">
        <f>IFERROR(VLOOKUP(D1302,VOL_REC[],2,FALSE),0)</f>
        <v>0</v>
      </c>
      <c r="AU1302" s="246">
        <f>IFERROR(VLOOKUP(E1302,VOL_REC[],2,FALSE),0)</f>
        <v>0</v>
      </c>
      <c r="AV1302" s="246">
        <f>IFERROR(VLOOKUP(F1302,VOL_REC[],2,FALSE),0)</f>
        <v>11089674.200000001</v>
      </c>
      <c r="AW1302" s="246">
        <f>IFERROR(VLOOKUP(G1302,VOL_REC[],2,FALSE),0)</f>
        <v>4325103.1812214684</v>
      </c>
      <c r="AX1302" s="246">
        <f>IFERROR(VLOOKUP(H1302,VOL_REC[],2,FALSE),0)</f>
        <v>15540036.397699751</v>
      </c>
      <c r="AY1302" s="246">
        <f>IFERROR(VLOOKUP(I1302,VOL_REC[],2,FALSE),0)</f>
        <v>3761786</v>
      </c>
      <c r="AZ1302" s="246">
        <f>IFERROR(VLOOKUP(J1302,VOL_REC[],2,FALSE),0)</f>
        <v>663244.80000000016</v>
      </c>
      <c r="BA1302" s="246">
        <f>IFERROR(VLOOKUP(K1302,VOL_REC[],2,FALSE),0)</f>
        <v>17074.045034105649</v>
      </c>
      <c r="BB1302" s="246">
        <f>IFERROR(VLOOKUP(L1302,VOL_REC[],2,FALSE),0)</f>
        <v>105072</v>
      </c>
      <c r="BC1302" s="246">
        <f>IFERROR(VLOOKUP(M1302,VOL_REC[],2,FALSE),0)</f>
        <v>0</v>
      </c>
      <c r="BD1302" s="246">
        <f>IFERROR(VLOOKUP(N1302,VOL_REC[],2,FALSE),0)</f>
        <v>0</v>
      </c>
      <c r="BE1302" s="246">
        <f>IFERROR(VLOOKUP(O1302,VOL_REC[],2,FALSE),0)</f>
        <v>0</v>
      </c>
      <c r="BF1302" s="246">
        <f>IFERROR(VLOOKUP(P1302,VOL_REC[],2,FALSE),0)</f>
        <v>0</v>
      </c>
      <c r="BG1302" s="246">
        <f>IFERROR(VLOOKUP(Q1302,VOL_REC[],2,FALSE),0)</f>
        <v>0</v>
      </c>
      <c r="BH1302" s="1710">
        <f t="shared" si="80"/>
        <v>22229959605.843262</v>
      </c>
      <c r="BI1302" s="1710">
        <f t="shared" si="81"/>
        <v>25003511813.699581</v>
      </c>
      <c r="BJ1302" s="1711">
        <f t="shared" si="82"/>
        <v>35501990.623955317</v>
      </c>
      <c r="BK1302" s="1711">
        <f t="shared" si="83"/>
        <v>0.8890734938147099</v>
      </c>
    </row>
    <row r="1303" spans="3:67" x14ac:dyDescent="0.25">
      <c r="C1303" s="246" t="s">
        <v>2653</v>
      </c>
      <c r="D1303" s="246">
        <v>1</v>
      </c>
      <c r="E1303" s="246">
        <v>2</v>
      </c>
      <c r="F1303" s="246">
        <v>3</v>
      </c>
      <c r="G1303" s="246">
        <v>5</v>
      </c>
      <c r="H1303" s="246">
        <v>6</v>
      </c>
      <c r="I1303" s="246">
        <v>9</v>
      </c>
      <c r="J1303" s="246">
        <v>13</v>
      </c>
      <c r="K1303" s="246">
        <v>14</v>
      </c>
      <c r="L1303" s="246">
        <v>16</v>
      </c>
      <c r="M1303" s="246"/>
      <c r="N1303" s="246"/>
      <c r="O1303" s="246"/>
      <c r="P1303" s="246"/>
      <c r="Q1303" s="246"/>
      <c r="R1303" s="246">
        <f>IFERROR(VLOOKUP(D1303,PROGRAMAS[],2,FALSE),0)</f>
        <v>97037803.679377079</v>
      </c>
      <c r="S1303" s="246">
        <f>IFERROR(VLOOKUP(E1303,PROGRAMAS[],2,FALSE),0)</f>
        <v>640501509.6821388</v>
      </c>
      <c r="T1303" s="246">
        <f>IFERROR(VLOOKUP(F1303,PROGRAMAS[],2,FALSE),0)</f>
        <v>3062327798.1525245</v>
      </c>
      <c r="U1303" s="246">
        <f>IFERROR(VLOOKUP(G1303,PROGRAMAS[],2,FALSE),0)</f>
        <v>1440941976.2528784</v>
      </c>
      <c r="V1303" s="246">
        <f>IFERROR(VLOOKUP(H1303,PROGRAMAS[],2,FALSE),0)</f>
        <v>6907648435.8447599</v>
      </c>
      <c r="W1303" s="246">
        <f>IFERROR(VLOOKUP(I1303,PROGRAMAS[],2,FALSE),0)</f>
        <v>6128579952.1618185</v>
      </c>
      <c r="X1303" s="246">
        <f>IFERROR(VLOOKUP(J1303,PROGRAMAS[],2,FALSE),0)</f>
        <v>3776538594.4604583</v>
      </c>
      <c r="Y1303" s="246">
        <f>IFERROR(VLOOKUP(K1303,PROGRAMAS[],2,FALSE),0)</f>
        <v>54223862.645839565</v>
      </c>
      <c r="Z1303" s="246">
        <f>IFERROR(VLOOKUP(L1303,PROGRAMAS[],2,FALSE),0)</f>
        <v>7068496961.0436354</v>
      </c>
      <c r="AA1303" s="246">
        <f>IFERROR(VLOOKUP(M1303,PROGRAMAS[],2,FALSE),0)</f>
        <v>0</v>
      </c>
      <c r="AB1303" s="246">
        <f>IFERROR(VLOOKUP(N1303,PROGRAMAS[],2,FALSE),0)</f>
        <v>0</v>
      </c>
      <c r="AC1303" s="246">
        <f>IFERROR(VLOOKUP(O1303,PROGRAMAS[],2,FALSE),0)</f>
        <v>0</v>
      </c>
      <c r="AD1303" s="246">
        <f>IFERROR(VLOOKUP(P1303,PROGRAMAS[],2,FALSE),0)</f>
        <v>0</v>
      </c>
      <c r="AE1303" s="246">
        <f>IFERROR(VLOOKUP(Q1303,PROGRAMAS[],2,FALSE),0)</f>
        <v>0</v>
      </c>
      <c r="AF1303" s="246">
        <f>IFERROR(VLOOKUP(D1303,PROGRAMAS[],3,FALSE),0)</f>
        <v>841888629.31080008</v>
      </c>
      <c r="AG1303" s="246">
        <f>IFERROR(VLOOKUP(E1303,PROGRAMAS[],3,FALSE),0)</f>
        <v>3848980803.1642323</v>
      </c>
      <c r="AH1303" s="246">
        <f>IFERROR(VLOOKUP(F1303,PROGRAMAS[],3,FALSE),0)</f>
        <v>3394901471.387517</v>
      </c>
      <c r="AI1303" s="246">
        <f>IFERROR(VLOOKUP(G1303,PROGRAMAS[],3,FALSE),0)</f>
        <v>1233505101.0616004</v>
      </c>
      <c r="AJ1303" s="246">
        <f>IFERROR(VLOOKUP(H1303,PROGRAMAS[],3,FALSE),0)</f>
        <v>6129902208.7912121</v>
      </c>
      <c r="AK1303" s="246">
        <f>IFERROR(VLOOKUP(I1303,PROGRAMAS[],3,FALSE),0)</f>
        <v>7011279577.519702</v>
      </c>
      <c r="AL1303" s="246">
        <f>IFERROR(VLOOKUP(J1303,PROGRAMAS[],3,FALSE),0)</f>
        <v>2392571243.5584412</v>
      </c>
      <c r="AM1303" s="246">
        <f>IFERROR(VLOOKUP(K1303,PROGRAMAS[],3,FALSE),0)</f>
        <v>31865326.38096505</v>
      </c>
      <c r="AN1303" s="246">
        <f>IFERROR(VLOOKUP(L1303,PROGRAMAS[],3,FALSE),0)</f>
        <v>2406564599.0319901</v>
      </c>
      <c r="AO1303" s="246">
        <f>IFERROR(VLOOKUP(M1303,PROGRAMAS[],3,FALSE),0)</f>
        <v>0</v>
      </c>
      <c r="AP1303" s="246">
        <f>IFERROR(VLOOKUP(N1303,PROGRAMAS[],3,FALSE),0)</f>
        <v>0</v>
      </c>
      <c r="AQ1303" s="246">
        <f>IFERROR(VLOOKUP(O1303,PROGRAMAS[],3,FALSE),0)</f>
        <v>0</v>
      </c>
      <c r="AR1303" s="246">
        <f>IFERROR(VLOOKUP(P1303,PROGRAMAS[],3,FALSE),0)</f>
        <v>0</v>
      </c>
      <c r="AS1303" s="246">
        <f>IFERROR(VLOOKUP(Q1303,PROGRAMAS[],3,FALSE),0)</f>
        <v>0</v>
      </c>
      <c r="AT1303" s="246">
        <f>IFERROR(VLOOKUP(D1303,VOL_REC[],2,FALSE),0)</f>
        <v>0</v>
      </c>
      <c r="AU1303" s="246">
        <f>IFERROR(VLOOKUP(E1303,VOL_REC[],2,FALSE),0)</f>
        <v>0</v>
      </c>
      <c r="AV1303" s="246">
        <f>IFERROR(VLOOKUP(F1303,VOL_REC[],2,FALSE),0)</f>
        <v>11089674.200000001</v>
      </c>
      <c r="AW1303" s="246">
        <f>IFERROR(VLOOKUP(G1303,VOL_REC[],2,FALSE),0)</f>
        <v>4325103.1812214684</v>
      </c>
      <c r="AX1303" s="246">
        <f>IFERROR(VLOOKUP(H1303,VOL_REC[],2,FALSE),0)</f>
        <v>15540036.397699751</v>
      </c>
      <c r="AY1303" s="246">
        <f>IFERROR(VLOOKUP(I1303,VOL_REC[],2,FALSE),0)</f>
        <v>3761786</v>
      </c>
      <c r="AZ1303" s="246">
        <f>IFERROR(VLOOKUP(J1303,VOL_REC[],2,FALSE),0)</f>
        <v>663244.80000000016</v>
      </c>
      <c r="BA1303" s="246">
        <f>IFERROR(VLOOKUP(K1303,VOL_REC[],2,FALSE),0)</f>
        <v>17074.045034105649</v>
      </c>
      <c r="BB1303" s="246">
        <f>IFERROR(VLOOKUP(L1303,VOL_REC[],2,FALSE),0)</f>
        <v>1072354.9981737854</v>
      </c>
      <c r="BC1303" s="246">
        <f>IFERROR(VLOOKUP(M1303,VOL_REC[],2,FALSE),0)</f>
        <v>0</v>
      </c>
      <c r="BD1303" s="246">
        <f>IFERROR(VLOOKUP(N1303,VOL_REC[],2,FALSE),0)</f>
        <v>0</v>
      </c>
      <c r="BE1303" s="246">
        <f>IFERROR(VLOOKUP(O1303,VOL_REC[],2,FALSE),0)</f>
        <v>0</v>
      </c>
      <c r="BF1303" s="246">
        <f>IFERROR(VLOOKUP(P1303,VOL_REC[],2,FALSE),0)</f>
        <v>0</v>
      </c>
      <c r="BG1303" s="246">
        <f>IFERROR(VLOOKUP(Q1303,VOL_REC[],2,FALSE),0)</f>
        <v>0</v>
      </c>
      <c r="BH1303" s="1710">
        <f t="shared" si="80"/>
        <v>29176296893.923431</v>
      </c>
      <c r="BI1303" s="1710">
        <f t="shared" si="81"/>
        <v>27291458960.206463</v>
      </c>
      <c r="BJ1303" s="1711">
        <f t="shared" si="82"/>
        <v>36469273.622129105</v>
      </c>
      <c r="BK1303" s="1711">
        <f t="shared" si="83"/>
        <v>1.0690632895978642</v>
      </c>
      <c r="BL1303">
        <f>BJ1303</f>
        <v>36469273.622129105</v>
      </c>
      <c r="BO1303">
        <f>BL1303</f>
        <v>36469273.622129105</v>
      </c>
    </row>
    <row r="1304" spans="3:67" x14ac:dyDescent="0.25">
      <c r="C1304" s="246" t="s">
        <v>2654</v>
      </c>
      <c r="D1304" s="246">
        <v>1</v>
      </c>
      <c r="E1304" s="246">
        <v>2</v>
      </c>
      <c r="F1304" s="246">
        <v>3</v>
      </c>
      <c r="G1304" s="246">
        <v>5</v>
      </c>
      <c r="H1304" s="246">
        <v>6</v>
      </c>
      <c r="I1304" s="246">
        <v>9</v>
      </c>
      <c r="J1304" s="246">
        <v>13</v>
      </c>
      <c r="K1304" s="246">
        <v>14</v>
      </c>
      <c r="L1304" s="246">
        <v>17</v>
      </c>
      <c r="M1304" s="246"/>
      <c r="N1304" s="246"/>
      <c r="O1304" s="246"/>
      <c r="P1304" s="246"/>
      <c r="Q1304" s="246"/>
      <c r="R1304" s="246">
        <f>IFERROR(VLOOKUP(D1304,PROGRAMAS[],2,FALSE),0)</f>
        <v>97037803.679377079</v>
      </c>
      <c r="S1304" s="246">
        <f>IFERROR(VLOOKUP(E1304,PROGRAMAS[],2,FALSE),0)</f>
        <v>640501509.6821388</v>
      </c>
      <c r="T1304" s="246">
        <f>IFERROR(VLOOKUP(F1304,PROGRAMAS[],2,FALSE),0)</f>
        <v>3062327798.1525245</v>
      </c>
      <c r="U1304" s="246">
        <f>IFERROR(VLOOKUP(G1304,PROGRAMAS[],2,FALSE),0)</f>
        <v>1440941976.2528784</v>
      </c>
      <c r="V1304" s="246">
        <f>IFERROR(VLOOKUP(H1304,PROGRAMAS[],2,FALSE),0)</f>
        <v>6907648435.8447599</v>
      </c>
      <c r="W1304" s="246">
        <f>IFERROR(VLOOKUP(I1304,PROGRAMAS[],2,FALSE),0)</f>
        <v>6128579952.1618185</v>
      </c>
      <c r="X1304" s="246">
        <f>IFERROR(VLOOKUP(J1304,PROGRAMAS[],2,FALSE),0)</f>
        <v>3776538594.4604583</v>
      </c>
      <c r="Y1304" s="246">
        <f>IFERROR(VLOOKUP(K1304,PROGRAMAS[],2,FALSE),0)</f>
        <v>54223862.645839565</v>
      </c>
      <c r="Z1304" s="246">
        <f>IFERROR(VLOOKUP(L1304,PROGRAMAS[],2,FALSE),0)</f>
        <v>1892779498.5211046</v>
      </c>
      <c r="AA1304" s="246">
        <f>IFERROR(VLOOKUP(M1304,PROGRAMAS[],2,FALSE),0)</f>
        <v>0</v>
      </c>
      <c r="AB1304" s="246">
        <f>IFERROR(VLOOKUP(N1304,PROGRAMAS[],2,FALSE),0)</f>
        <v>0</v>
      </c>
      <c r="AC1304" s="246">
        <f>IFERROR(VLOOKUP(O1304,PROGRAMAS[],2,FALSE),0)</f>
        <v>0</v>
      </c>
      <c r="AD1304" s="246">
        <f>IFERROR(VLOOKUP(P1304,PROGRAMAS[],2,FALSE),0)</f>
        <v>0</v>
      </c>
      <c r="AE1304" s="246">
        <f>IFERROR(VLOOKUP(Q1304,PROGRAMAS[],2,FALSE),0)</f>
        <v>0</v>
      </c>
      <c r="AF1304" s="246">
        <f>IFERROR(VLOOKUP(D1304,PROGRAMAS[],3,FALSE),0)</f>
        <v>841888629.31080008</v>
      </c>
      <c r="AG1304" s="246">
        <f>IFERROR(VLOOKUP(E1304,PROGRAMAS[],3,FALSE),0)</f>
        <v>3848980803.1642323</v>
      </c>
      <c r="AH1304" s="246">
        <f>IFERROR(VLOOKUP(F1304,PROGRAMAS[],3,FALSE),0)</f>
        <v>3394901471.387517</v>
      </c>
      <c r="AI1304" s="246">
        <f>IFERROR(VLOOKUP(G1304,PROGRAMAS[],3,FALSE),0)</f>
        <v>1233505101.0616004</v>
      </c>
      <c r="AJ1304" s="246">
        <f>IFERROR(VLOOKUP(H1304,PROGRAMAS[],3,FALSE),0)</f>
        <v>6129902208.7912121</v>
      </c>
      <c r="AK1304" s="246">
        <f>IFERROR(VLOOKUP(I1304,PROGRAMAS[],3,FALSE),0)</f>
        <v>7011279577.519702</v>
      </c>
      <c r="AL1304" s="246">
        <f>IFERROR(VLOOKUP(J1304,PROGRAMAS[],3,FALSE),0)</f>
        <v>2392571243.5584412</v>
      </c>
      <c r="AM1304" s="246">
        <f>IFERROR(VLOOKUP(K1304,PROGRAMAS[],3,FALSE),0)</f>
        <v>31865326.38096505</v>
      </c>
      <c r="AN1304" s="246">
        <f>IFERROR(VLOOKUP(L1304,PROGRAMAS[],3,FALSE),0)</f>
        <v>948595847.09039903</v>
      </c>
      <c r="AO1304" s="246">
        <f>IFERROR(VLOOKUP(M1304,PROGRAMAS[],3,FALSE),0)</f>
        <v>0</v>
      </c>
      <c r="AP1304" s="246">
        <f>IFERROR(VLOOKUP(N1304,PROGRAMAS[],3,FALSE),0)</f>
        <v>0</v>
      </c>
      <c r="AQ1304" s="246">
        <f>IFERROR(VLOOKUP(O1304,PROGRAMAS[],3,FALSE),0)</f>
        <v>0</v>
      </c>
      <c r="AR1304" s="246">
        <f>IFERROR(VLOOKUP(P1304,PROGRAMAS[],3,FALSE),0)</f>
        <v>0</v>
      </c>
      <c r="AS1304" s="246">
        <f>IFERROR(VLOOKUP(Q1304,PROGRAMAS[],3,FALSE),0)</f>
        <v>0</v>
      </c>
      <c r="AT1304" s="246">
        <f>IFERROR(VLOOKUP(D1304,VOL_REC[],2,FALSE),0)</f>
        <v>0</v>
      </c>
      <c r="AU1304" s="246">
        <f>IFERROR(VLOOKUP(E1304,VOL_REC[],2,FALSE),0)</f>
        <v>0</v>
      </c>
      <c r="AV1304" s="246">
        <f>IFERROR(VLOOKUP(F1304,VOL_REC[],2,FALSE),0)</f>
        <v>11089674.200000001</v>
      </c>
      <c r="AW1304" s="246">
        <f>IFERROR(VLOOKUP(G1304,VOL_REC[],2,FALSE),0)</f>
        <v>4325103.1812214684</v>
      </c>
      <c r="AX1304" s="246">
        <f>IFERROR(VLOOKUP(H1304,VOL_REC[],2,FALSE),0)</f>
        <v>15540036.397699751</v>
      </c>
      <c r="AY1304" s="246">
        <f>IFERROR(VLOOKUP(I1304,VOL_REC[],2,FALSE),0)</f>
        <v>3761786</v>
      </c>
      <c r="AZ1304" s="246">
        <f>IFERROR(VLOOKUP(J1304,VOL_REC[],2,FALSE),0)</f>
        <v>663244.80000000016</v>
      </c>
      <c r="BA1304" s="246">
        <f>IFERROR(VLOOKUP(K1304,VOL_REC[],2,FALSE),0)</f>
        <v>17074.045034105649</v>
      </c>
      <c r="BB1304" s="246">
        <f>IFERROR(VLOOKUP(L1304,VOL_REC[],2,FALSE),0)</f>
        <v>740113.98115702497</v>
      </c>
      <c r="BC1304" s="246">
        <f>IFERROR(VLOOKUP(M1304,VOL_REC[],2,FALSE),0)</f>
        <v>0</v>
      </c>
      <c r="BD1304" s="246">
        <f>IFERROR(VLOOKUP(N1304,VOL_REC[],2,FALSE),0)</f>
        <v>0</v>
      </c>
      <c r="BE1304" s="246">
        <f>IFERROR(VLOOKUP(O1304,VOL_REC[],2,FALSE),0)</f>
        <v>0</v>
      </c>
      <c r="BF1304" s="246">
        <f>IFERROR(VLOOKUP(P1304,VOL_REC[],2,FALSE),0)</f>
        <v>0</v>
      </c>
      <c r="BG1304" s="246">
        <f>IFERROR(VLOOKUP(Q1304,VOL_REC[],2,FALSE),0)</f>
        <v>0</v>
      </c>
      <c r="BH1304" s="1710">
        <f t="shared" si="80"/>
        <v>24000579431.400898</v>
      </c>
      <c r="BI1304" s="1710">
        <f t="shared" si="81"/>
        <v>25833490208.264874</v>
      </c>
      <c r="BJ1304" s="1711">
        <f t="shared" si="82"/>
        <v>36137032.605112344</v>
      </c>
      <c r="BK1304" s="1711">
        <f t="shared" si="83"/>
        <v>0.92904904594433879</v>
      </c>
    </row>
    <row r="1305" spans="3:67" x14ac:dyDescent="0.25">
      <c r="C1305" s="246" t="s">
        <v>2655</v>
      </c>
      <c r="D1305" s="246">
        <v>1</v>
      </c>
      <c r="E1305" s="246">
        <v>2</v>
      </c>
      <c r="F1305" s="246">
        <v>3</v>
      </c>
      <c r="G1305" s="246">
        <v>5</v>
      </c>
      <c r="H1305" s="246">
        <v>6</v>
      </c>
      <c r="I1305" s="246">
        <v>9</v>
      </c>
      <c r="J1305" s="246">
        <v>13</v>
      </c>
      <c r="K1305" s="246">
        <v>15</v>
      </c>
      <c r="L1305" s="246">
        <v>16</v>
      </c>
      <c r="M1305" s="246"/>
      <c r="N1305" s="246"/>
      <c r="O1305" s="246"/>
      <c r="P1305" s="246"/>
      <c r="Q1305" s="246"/>
      <c r="R1305" s="246">
        <f>IFERROR(VLOOKUP(D1305,PROGRAMAS[],2,FALSE),0)</f>
        <v>97037803.679377079</v>
      </c>
      <c r="S1305" s="246">
        <f>IFERROR(VLOOKUP(E1305,PROGRAMAS[],2,FALSE),0)</f>
        <v>640501509.6821388</v>
      </c>
      <c r="T1305" s="246">
        <f>IFERROR(VLOOKUP(F1305,PROGRAMAS[],2,FALSE),0)</f>
        <v>3062327798.1525245</v>
      </c>
      <c r="U1305" s="246">
        <f>IFERROR(VLOOKUP(G1305,PROGRAMAS[],2,FALSE),0)</f>
        <v>1440941976.2528784</v>
      </c>
      <c r="V1305" s="246">
        <f>IFERROR(VLOOKUP(H1305,PROGRAMAS[],2,FALSE),0)</f>
        <v>6907648435.8447599</v>
      </c>
      <c r="W1305" s="246">
        <f>IFERROR(VLOOKUP(I1305,PROGRAMAS[],2,FALSE),0)</f>
        <v>6128579952.1618185</v>
      </c>
      <c r="X1305" s="246">
        <f>IFERROR(VLOOKUP(J1305,PROGRAMAS[],2,FALSE),0)</f>
        <v>3776538594.4604583</v>
      </c>
      <c r="Y1305" s="246">
        <f>IFERROR(VLOOKUP(K1305,PROGRAMAS[],2,FALSE),0)</f>
        <v>122159672.96346797</v>
      </c>
      <c r="Z1305" s="246">
        <f>IFERROR(VLOOKUP(L1305,PROGRAMAS[],2,FALSE),0)</f>
        <v>7068496961.0436354</v>
      </c>
      <c r="AA1305" s="246">
        <f>IFERROR(VLOOKUP(M1305,PROGRAMAS[],2,FALSE),0)</f>
        <v>0</v>
      </c>
      <c r="AB1305" s="246">
        <f>IFERROR(VLOOKUP(N1305,PROGRAMAS[],2,FALSE),0)</f>
        <v>0</v>
      </c>
      <c r="AC1305" s="246">
        <f>IFERROR(VLOOKUP(O1305,PROGRAMAS[],2,FALSE),0)</f>
        <v>0</v>
      </c>
      <c r="AD1305" s="246">
        <f>IFERROR(VLOOKUP(P1305,PROGRAMAS[],2,FALSE),0)</f>
        <v>0</v>
      </c>
      <c r="AE1305" s="246">
        <f>IFERROR(VLOOKUP(Q1305,PROGRAMAS[],2,FALSE),0)</f>
        <v>0</v>
      </c>
      <c r="AF1305" s="246">
        <f>IFERROR(VLOOKUP(D1305,PROGRAMAS[],3,FALSE),0)</f>
        <v>841888629.31080008</v>
      </c>
      <c r="AG1305" s="246">
        <f>IFERROR(VLOOKUP(E1305,PROGRAMAS[],3,FALSE),0)</f>
        <v>3848980803.1642323</v>
      </c>
      <c r="AH1305" s="246">
        <f>IFERROR(VLOOKUP(F1305,PROGRAMAS[],3,FALSE),0)</f>
        <v>3394901471.387517</v>
      </c>
      <c r="AI1305" s="246">
        <f>IFERROR(VLOOKUP(G1305,PROGRAMAS[],3,FALSE),0)</f>
        <v>1233505101.0616004</v>
      </c>
      <c r="AJ1305" s="246">
        <f>IFERROR(VLOOKUP(H1305,PROGRAMAS[],3,FALSE),0)</f>
        <v>6129902208.7912121</v>
      </c>
      <c r="AK1305" s="246">
        <f>IFERROR(VLOOKUP(I1305,PROGRAMAS[],3,FALSE),0)</f>
        <v>7011279577.519702</v>
      </c>
      <c r="AL1305" s="246">
        <f>IFERROR(VLOOKUP(J1305,PROGRAMAS[],3,FALSE),0)</f>
        <v>2392571243.5584412</v>
      </c>
      <c r="AM1305" s="246">
        <f>IFERROR(VLOOKUP(K1305,PROGRAMAS[],3,FALSE),0)</f>
        <v>118617452.52510804</v>
      </c>
      <c r="AN1305" s="246">
        <f>IFERROR(VLOOKUP(L1305,PROGRAMAS[],3,FALSE),0)</f>
        <v>2406564599.0319901</v>
      </c>
      <c r="AO1305" s="246">
        <f>IFERROR(VLOOKUP(M1305,PROGRAMAS[],3,FALSE),0)</f>
        <v>0</v>
      </c>
      <c r="AP1305" s="246">
        <f>IFERROR(VLOOKUP(N1305,PROGRAMAS[],3,FALSE),0)</f>
        <v>0</v>
      </c>
      <c r="AQ1305" s="246">
        <f>IFERROR(VLOOKUP(O1305,PROGRAMAS[],3,FALSE),0)</f>
        <v>0</v>
      </c>
      <c r="AR1305" s="246">
        <f>IFERROR(VLOOKUP(P1305,PROGRAMAS[],3,FALSE),0)</f>
        <v>0</v>
      </c>
      <c r="AS1305" s="246">
        <f>IFERROR(VLOOKUP(Q1305,PROGRAMAS[],3,FALSE),0)</f>
        <v>0</v>
      </c>
      <c r="AT1305" s="246">
        <f>IFERROR(VLOOKUP(D1305,VOL_REC[],2,FALSE),0)</f>
        <v>0</v>
      </c>
      <c r="AU1305" s="246">
        <f>IFERROR(VLOOKUP(E1305,VOL_REC[],2,FALSE),0)</f>
        <v>0</v>
      </c>
      <c r="AV1305" s="246">
        <f>IFERROR(VLOOKUP(F1305,VOL_REC[],2,FALSE),0)</f>
        <v>11089674.200000001</v>
      </c>
      <c r="AW1305" s="246">
        <f>IFERROR(VLOOKUP(G1305,VOL_REC[],2,FALSE),0)</f>
        <v>4325103.1812214684</v>
      </c>
      <c r="AX1305" s="246">
        <f>IFERROR(VLOOKUP(H1305,VOL_REC[],2,FALSE),0)</f>
        <v>15540036.397699751</v>
      </c>
      <c r="AY1305" s="246">
        <f>IFERROR(VLOOKUP(I1305,VOL_REC[],2,FALSE),0)</f>
        <v>3761786</v>
      </c>
      <c r="AZ1305" s="246">
        <f>IFERROR(VLOOKUP(J1305,VOL_REC[],2,FALSE),0)</f>
        <v>663244.80000000016</v>
      </c>
      <c r="BA1305" s="246">
        <f>IFERROR(VLOOKUP(K1305,VOL_REC[],2,FALSE),0)</f>
        <v>105072</v>
      </c>
      <c r="BB1305" s="246">
        <f>IFERROR(VLOOKUP(L1305,VOL_REC[],2,FALSE),0)</f>
        <v>1072354.9981737854</v>
      </c>
      <c r="BC1305" s="246">
        <f>IFERROR(VLOOKUP(M1305,VOL_REC[],2,FALSE),0)</f>
        <v>0</v>
      </c>
      <c r="BD1305" s="246">
        <f>IFERROR(VLOOKUP(N1305,VOL_REC[],2,FALSE),0)</f>
        <v>0</v>
      </c>
      <c r="BE1305" s="246">
        <f>IFERROR(VLOOKUP(O1305,VOL_REC[],2,FALSE),0)</f>
        <v>0</v>
      </c>
      <c r="BF1305" s="246">
        <f>IFERROR(VLOOKUP(P1305,VOL_REC[],2,FALSE),0)</f>
        <v>0</v>
      </c>
      <c r="BG1305" s="246">
        <f>IFERROR(VLOOKUP(Q1305,VOL_REC[],2,FALSE),0)</f>
        <v>0</v>
      </c>
      <c r="BH1305" s="1710">
        <f t="shared" si="80"/>
        <v>29244232704.241058</v>
      </c>
      <c r="BI1305" s="1710">
        <f t="shared" si="81"/>
        <v>27378211086.350605</v>
      </c>
      <c r="BJ1305" s="1711">
        <f t="shared" si="82"/>
        <v>36557271.577095002</v>
      </c>
      <c r="BK1305" s="1711">
        <f t="shared" si="83"/>
        <v>1.0681571784221051</v>
      </c>
      <c r="BL1305">
        <f>BJ1305</f>
        <v>36557271.577095002</v>
      </c>
      <c r="BO1305">
        <f>BL1305</f>
        <v>36557271.577095002</v>
      </c>
    </row>
    <row r="1306" spans="3:67" x14ac:dyDescent="0.25">
      <c r="C1306" s="246" t="s">
        <v>2656</v>
      </c>
      <c r="D1306" s="246">
        <v>1</v>
      </c>
      <c r="E1306" s="246">
        <v>2</v>
      </c>
      <c r="F1306" s="246">
        <v>3</v>
      </c>
      <c r="G1306" s="246">
        <v>5</v>
      </c>
      <c r="H1306" s="246">
        <v>6</v>
      </c>
      <c r="I1306" s="246">
        <v>9</v>
      </c>
      <c r="J1306" s="246">
        <v>13</v>
      </c>
      <c r="K1306" s="246">
        <v>15</v>
      </c>
      <c r="L1306" s="246">
        <v>17</v>
      </c>
      <c r="M1306" s="246"/>
      <c r="N1306" s="246"/>
      <c r="O1306" s="246"/>
      <c r="P1306" s="246"/>
      <c r="Q1306" s="246"/>
      <c r="R1306" s="246">
        <f>IFERROR(VLOOKUP(D1306,PROGRAMAS[],2,FALSE),0)</f>
        <v>97037803.679377079</v>
      </c>
      <c r="S1306" s="246">
        <f>IFERROR(VLOOKUP(E1306,PROGRAMAS[],2,FALSE),0)</f>
        <v>640501509.6821388</v>
      </c>
      <c r="T1306" s="246">
        <f>IFERROR(VLOOKUP(F1306,PROGRAMAS[],2,FALSE),0)</f>
        <v>3062327798.1525245</v>
      </c>
      <c r="U1306" s="246">
        <f>IFERROR(VLOOKUP(G1306,PROGRAMAS[],2,FALSE),0)</f>
        <v>1440941976.2528784</v>
      </c>
      <c r="V1306" s="246">
        <f>IFERROR(VLOOKUP(H1306,PROGRAMAS[],2,FALSE),0)</f>
        <v>6907648435.8447599</v>
      </c>
      <c r="W1306" s="246">
        <f>IFERROR(VLOOKUP(I1306,PROGRAMAS[],2,FALSE),0)</f>
        <v>6128579952.1618185</v>
      </c>
      <c r="X1306" s="246">
        <f>IFERROR(VLOOKUP(J1306,PROGRAMAS[],2,FALSE),0)</f>
        <v>3776538594.4604583</v>
      </c>
      <c r="Y1306" s="246">
        <f>IFERROR(VLOOKUP(K1306,PROGRAMAS[],2,FALSE),0)</f>
        <v>122159672.96346797</v>
      </c>
      <c r="Z1306" s="246">
        <f>IFERROR(VLOOKUP(L1306,PROGRAMAS[],2,FALSE),0)</f>
        <v>1892779498.5211046</v>
      </c>
      <c r="AA1306" s="246">
        <f>IFERROR(VLOOKUP(M1306,PROGRAMAS[],2,FALSE),0)</f>
        <v>0</v>
      </c>
      <c r="AB1306" s="246">
        <f>IFERROR(VLOOKUP(N1306,PROGRAMAS[],2,FALSE),0)</f>
        <v>0</v>
      </c>
      <c r="AC1306" s="246">
        <f>IFERROR(VLOOKUP(O1306,PROGRAMAS[],2,FALSE),0)</f>
        <v>0</v>
      </c>
      <c r="AD1306" s="246">
        <f>IFERROR(VLOOKUP(P1306,PROGRAMAS[],2,FALSE),0)</f>
        <v>0</v>
      </c>
      <c r="AE1306" s="246">
        <f>IFERROR(VLOOKUP(Q1306,PROGRAMAS[],2,FALSE),0)</f>
        <v>0</v>
      </c>
      <c r="AF1306" s="246">
        <f>IFERROR(VLOOKUP(D1306,PROGRAMAS[],3,FALSE),0)</f>
        <v>841888629.31080008</v>
      </c>
      <c r="AG1306" s="246">
        <f>IFERROR(VLOOKUP(E1306,PROGRAMAS[],3,FALSE),0)</f>
        <v>3848980803.1642323</v>
      </c>
      <c r="AH1306" s="246">
        <f>IFERROR(VLOOKUP(F1306,PROGRAMAS[],3,FALSE),0)</f>
        <v>3394901471.387517</v>
      </c>
      <c r="AI1306" s="246">
        <f>IFERROR(VLOOKUP(G1306,PROGRAMAS[],3,FALSE),0)</f>
        <v>1233505101.0616004</v>
      </c>
      <c r="AJ1306" s="246">
        <f>IFERROR(VLOOKUP(H1306,PROGRAMAS[],3,FALSE),0)</f>
        <v>6129902208.7912121</v>
      </c>
      <c r="AK1306" s="246">
        <f>IFERROR(VLOOKUP(I1306,PROGRAMAS[],3,FALSE),0)</f>
        <v>7011279577.519702</v>
      </c>
      <c r="AL1306" s="246">
        <f>IFERROR(VLOOKUP(J1306,PROGRAMAS[],3,FALSE),0)</f>
        <v>2392571243.5584412</v>
      </c>
      <c r="AM1306" s="246">
        <f>IFERROR(VLOOKUP(K1306,PROGRAMAS[],3,FALSE),0)</f>
        <v>118617452.52510804</v>
      </c>
      <c r="AN1306" s="246">
        <f>IFERROR(VLOOKUP(L1306,PROGRAMAS[],3,FALSE),0)</f>
        <v>948595847.09039903</v>
      </c>
      <c r="AO1306" s="246">
        <f>IFERROR(VLOOKUP(M1306,PROGRAMAS[],3,FALSE),0)</f>
        <v>0</v>
      </c>
      <c r="AP1306" s="246">
        <f>IFERROR(VLOOKUP(N1306,PROGRAMAS[],3,FALSE),0)</f>
        <v>0</v>
      </c>
      <c r="AQ1306" s="246">
        <f>IFERROR(VLOOKUP(O1306,PROGRAMAS[],3,FALSE),0)</f>
        <v>0</v>
      </c>
      <c r="AR1306" s="246">
        <f>IFERROR(VLOOKUP(P1306,PROGRAMAS[],3,FALSE),0)</f>
        <v>0</v>
      </c>
      <c r="AS1306" s="246">
        <f>IFERROR(VLOOKUP(Q1306,PROGRAMAS[],3,FALSE),0)</f>
        <v>0</v>
      </c>
      <c r="AT1306" s="246">
        <f>IFERROR(VLOOKUP(D1306,VOL_REC[],2,FALSE),0)</f>
        <v>0</v>
      </c>
      <c r="AU1306" s="246">
        <f>IFERROR(VLOOKUP(E1306,VOL_REC[],2,FALSE),0)</f>
        <v>0</v>
      </c>
      <c r="AV1306" s="246">
        <f>IFERROR(VLOOKUP(F1306,VOL_REC[],2,FALSE),0)</f>
        <v>11089674.200000001</v>
      </c>
      <c r="AW1306" s="246">
        <f>IFERROR(VLOOKUP(G1306,VOL_REC[],2,FALSE),0)</f>
        <v>4325103.1812214684</v>
      </c>
      <c r="AX1306" s="246">
        <f>IFERROR(VLOOKUP(H1306,VOL_REC[],2,FALSE),0)</f>
        <v>15540036.397699751</v>
      </c>
      <c r="AY1306" s="246">
        <f>IFERROR(VLOOKUP(I1306,VOL_REC[],2,FALSE),0)</f>
        <v>3761786</v>
      </c>
      <c r="AZ1306" s="246">
        <f>IFERROR(VLOOKUP(J1306,VOL_REC[],2,FALSE),0)</f>
        <v>663244.80000000016</v>
      </c>
      <c r="BA1306" s="246">
        <f>IFERROR(VLOOKUP(K1306,VOL_REC[],2,FALSE),0)</f>
        <v>105072</v>
      </c>
      <c r="BB1306" s="246">
        <f>IFERROR(VLOOKUP(L1306,VOL_REC[],2,FALSE),0)</f>
        <v>740113.98115702497</v>
      </c>
      <c r="BC1306" s="246">
        <f>IFERROR(VLOOKUP(M1306,VOL_REC[],2,FALSE),0)</f>
        <v>0</v>
      </c>
      <c r="BD1306" s="246">
        <f>IFERROR(VLOOKUP(N1306,VOL_REC[],2,FALSE),0)</f>
        <v>0</v>
      </c>
      <c r="BE1306" s="246">
        <f>IFERROR(VLOOKUP(O1306,VOL_REC[],2,FALSE),0)</f>
        <v>0</v>
      </c>
      <c r="BF1306" s="246">
        <f>IFERROR(VLOOKUP(P1306,VOL_REC[],2,FALSE),0)</f>
        <v>0</v>
      </c>
      <c r="BG1306" s="246">
        <f>IFERROR(VLOOKUP(Q1306,VOL_REC[],2,FALSE),0)</f>
        <v>0</v>
      </c>
      <c r="BH1306" s="1710">
        <f t="shared" si="80"/>
        <v>24068515241.718525</v>
      </c>
      <c r="BI1306" s="1710">
        <f t="shared" si="81"/>
        <v>25920242334.409016</v>
      </c>
      <c r="BJ1306" s="1711">
        <f t="shared" si="82"/>
        <v>36225030.560078241</v>
      </c>
      <c r="BK1306" s="1711">
        <f t="shared" si="83"/>
        <v>0.92856057945753345</v>
      </c>
    </row>
    <row r="1307" spans="3:67" x14ac:dyDescent="0.25">
      <c r="C1307" s="246" t="s">
        <v>2657</v>
      </c>
      <c r="D1307" s="246">
        <v>1</v>
      </c>
      <c r="E1307" s="246">
        <v>2</v>
      </c>
      <c r="F1307" s="246">
        <v>3</v>
      </c>
      <c r="G1307" s="246">
        <v>5</v>
      </c>
      <c r="H1307" s="246">
        <v>6</v>
      </c>
      <c r="I1307" s="246">
        <v>9</v>
      </c>
      <c r="J1307" s="246">
        <v>13</v>
      </c>
      <c r="K1307" s="246">
        <v>16</v>
      </c>
      <c r="L1307" s="246">
        <v>17</v>
      </c>
      <c r="M1307" s="246"/>
      <c r="N1307" s="246"/>
      <c r="O1307" s="246"/>
      <c r="P1307" s="246"/>
      <c r="Q1307" s="246"/>
      <c r="R1307" s="246">
        <f>IFERROR(VLOOKUP(D1307,PROGRAMAS[],2,FALSE),0)</f>
        <v>97037803.679377079</v>
      </c>
      <c r="S1307" s="246">
        <f>IFERROR(VLOOKUP(E1307,PROGRAMAS[],2,FALSE),0)</f>
        <v>640501509.6821388</v>
      </c>
      <c r="T1307" s="246">
        <f>IFERROR(VLOOKUP(F1307,PROGRAMAS[],2,FALSE),0)</f>
        <v>3062327798.1525245</v>
      </c>
      <c r="U1307" s="246">
        <f>IFERROR(VLOOKUP(G1307,PROGRAMAS[],2,FALSE),0)</f>
        <v>1440941976.2528784</v>
      </c>
      <c r="V1307" s="246">
        <f>IFERROR(VLOOKUP(H1307,PROGRAMAS[],2,FALSE),0)</f>
        <v>6907648435.8447599</v>
      </c>
      <c r="W1307" s="246">
        <f>IFERROR(VLOOKUP(I1307,PROGRAMAS[],2,FALSE),0)</f>
        <v>6128579952.1618185</v>
      </c>
      <c r="X1307" s="246">
        <f>IFERROR(VLOOKUP(J1307,PROGRAMAS[],2,FALSE),0)</f>
        <v>3776538594.4604583</v>
      </c>
      <c r="Y1307" s="246">
        <f>IFERROR(VLOOKUP(K1307,PROGRAMAS[],2,FALSE),0)</f>
        <v>7068496961.0436354</v>
      </c>
      <c r="Z1307" s="246">
        <f>IFERROR(VLOOKUP(L1307,PROGRAMAS[],2,FALSE),0)</f>
        <v>1892779498.5211046</v>
      </c>
      <c r="AA1307" s="246">
        <f>IFERROR(VLOOKUP(M1307,PROGRAMAS[],2,FALSE),0)</f>
        <v>0</v>
      </c>
      <c r="AB1307" s="246">
        <f>IFERROR(VLOOKUP(N1307,PROGRAMAS[],2,FALSE),0)</f>
        <v>0</v>
      </c>
      <c r="AC1307" s="246">
        <f>IFERROR(VLOOKUP(O1307,PROGRAMAS[],2,FALSE),0)</f>
        <v>0</v>
      </c>
      <c r="AD1307" s="246">
        <f>IFERROR(VLOOKUP(P1307,PROGRAMAS[],2,FALSE),0)</f>
        <v>0</v>
      </c>
      <c r="AE1307" s="246">
        <f>IFERROR(VLOOKUP(Q1307,PROGRAMAS[],2,FALSE),0)</f>
        <v>0</v>
      </c>
      <c r="AF1307" s="246">
        <f>IFERROR(VLOOKUP(D1307,PROGRAMAS[],3,FALSE),0)</f>
        <v>841888629.31080008</v>
      </c>
      <c r="AG1307" s="246">
        <f>IFERROR(VLOOKUP(E1307,PROGRAMAS[],3,FALSE),0)</f>
        <v>3848980803.1642323</v>
      </c>
      <c r="AH1307" s="246">
        <f>IFERROR(VLOOKUP(F1307,PROGRAMAS[],3,FALSE),0)</f>
        <v>3394901471.387517</v>
      </c>
      <c r="AI1307" s="246">
        <f>IFERROR(VLOOKUP(G1307,PROGRAMAS[],3,FALSE),0)</f>
        <v>1233505101.0616004</v>
      </c>
      <c r="AJ1307" s="246">
        <f>IFERROR(VLOOKUP(H1307,PROGRAMAS[],3,FALSE),0)</f>
        <v>6129902208.7912121</v>
      </c>
      <c r="AK1307" s="246">
        <f>IFERROR(VLOOKUP(I1307,PROGRAMAS[],3,FALSE),0)</f>
        <v>7011279577.519702</v>
      </c>
      <c r="AL1307" s="246">
        <f>IFERROR(VLOOKUP(J1307,PROGRAMAS[],3,FALSE),0)</f>
        <v>2392571243.5584412</v>
      </c>
      <c r="AM1307" s="246">
        <f>IFERROR(VLOOKUP(K1307,PROGRAMAS[],3,FALSE),0)</f>
        <v>2406564599.0319901</v>
      </c>
      <c r="AN1307" s="246">
        <f>IFERROR(VLOOKUP(L1307,PROGRAMAS[],3,FALSE),0)</f>
        <v>948595847.09039903</v>
      </c>
      <c r="AO1307" s="246">
        <f>IFERROR(VLOOKUP(M1307,PROGRAMAS[],3,FALSE),0)</f>
        <v>0</v>
      </c>
      <c r="AP1307" s="246">
        <f>IFERROR(VLOOKUP(N1307,PROGRAMAS[],3,FALSE),0)</f>
        <v>0</v>
      </c>
      <c r="AQ1307" s="246">
        <f>IFERROR(VLOOKUP(O1307,PROGRAMAS[],3,FALSE),0)</f>
        <v>0</v>
      </c>
      <c r="AR1307" s="246">
        <f>IFERROR(VLOOKUP(P1307,PROGRAMAS[],3,FALSE),0)</f>
        <v>0</v>
      </c>
      <c r="AS1307" s="246">
        <f>IFERROR(VLOOKUP(Q1307,PROGRAMAS[],3,FALSE),0)</f>
        <v>0</v>
      </c>
      <c r="AT1307" s="246">
        <f>IFERROR(VLOOKUP(D1307,VOL_REC[],2,FALSE),0)</f>
        <v>0</v>
      </c>
      <c r="AU1307" s="246">
        <f>IFERROR(VLOOKUP(E1307,VOL_REC[],2,FALSE),0)</f>
        <v>0</v>
      </c>
      <c r="AV1307" s="246">
        <f>IFERROR(VLOOKUP(F1307,VOL_REC[],2,FALSE),0)</f>
        <v>11089674.200000001</v>
      </c>
      <c r="AW1307" s="246">
        <f>IFERROR(VLOOKUP(G1307,VOL_REC[],2,FALSE),0)</f>
        <v>4325103.1812214684</v>
      </c>
      <c r="AX1307" s="246">
        <f>IFERROR(VLOOKUP(H1307,VOL_REC[],2,FALSE),0)</f>
        <v>15540036.397699751</v>
      </c>
      <c r="AY1307" s="246">
        <f>IFERROR(VLOOKUP(I1307,VOL_REC[],2,FALSE),0)</f>
        <v>3761786</v>
      </c>
      <c r="AZ1307" s="246">
        <f>IFERROR(VLOOKUP(J1307,VOL_REC[],2,FALSE),0)</f>
        <v>663244.80000000016</v>
      </c>
      <c r="BA1307" s="246">
        <f>IFERROR(VLOOKUP(K1307,VOL_REC[],2,FALSE),0)</f>
        <v>1072354.9981737854</v>
      </c>
      <c r="BB1307" s="246">
        <f>IFERROR(VLOOKUP(L1307,VOL_REC[],2,FALSE),0)</f>
        <v>740113.98115702497</v>
      </c>
      <c r="BC1307" s="246">
        <f>IFERROR(VLOOKUP(M1307,VOL_REC[],2,FALSE),0)</f>
        <v>0</v>
      </c>
      <c r="BD1307" s="246">
        <f>IFERROR(VLOOKUP(N1307,VOL_REC[],2,FALSE),0)</f>
        <v>0</v>
      </c>
      <c r="BE1307" s="246">
        <f>IFERROR(VLOOKUP(O1307,VOL_REC[],2,FALSE),0)</f>
        <v>0</v>
      </c>
      <c r="BF1307" s="246">
        <f>IFERROR(VLOOKUP(P1307,VOL_REC[],2,FALSE),0)</f>
        <v>0</v>
      </c>
      <c r="BG1307" s="246">
        <f>IFERROR(VLOOKUP(Q1307,VOL_REC[],2,FALSE),0)</f>
        <v>0</v>
      </c>
      <c r="BH1307" s="1710">
        <f t="shared" si="80"/>
        <v>31014852529.798695</v>
      </c>
      <c r="BI1307" s="1710">
        <f t="shared" si="81"/>
        <v>28208189480.915897</v>
      </c>
      <c r="BJ1307" s="1711">
        <f t="shared" si="82"/>
        <v>37192313.558252029</v>
      </c>
      <c r="BK1307" s="1711">
        <f t="shared" si="83"/>
        <v>1.0994981634954497</v>
      </c>
      <c r="BL1307">
        <f>BJ1307</f>
        <v>37192313.558252029</v>
      </c>
      <c r="BO1307">
        <f>BL1307</f>
        <v>37192313.558252029</v>
      </c>
    </row>
    <row r="1308" spans="3:67" x14ac:dyDescent="0.25">
      <c r="C1308" s="246" t="s">
        <v>2658</v>
      </c>
      <c r="D1308" s="246">
        <v>1</v>
      </c>
      <c r="E1308" s="246">
        <v>2</v>
      </c>
      <c r="F1308" s="246">
        <v>3</v>
      </c>
      <c r="G1308" s="246">
        <v>5</v>
      </c>
      <c r="H1308" s="246">
        <v>6</v>
      </c>
      <c r="I1308" s="246">
        <v>9</v>
      </c>
      <c r="J1308" s="246">
        <v>14</v>
      </c>
      <c r="K1308" s="246">
        <v>15</v>
      </c>
      <c r="L1308" s="246">
        <v>16</v>
      </c>
      <c r="M1308" s="246"/>
      <c r="N1308" s="246"/>
      <c r="O1308" s="246"/>
      <c r="P1308" s="246"/>
      <c r="Q1308" s="246"/>
      <c r="R1308" s="246">
        <f>IFERROR(VLOOKUP(D1308,PROGRAMAS[],2,FALSE),0)</f>
        <v>97037803.679377079</v>
      </c>
      <c r="S1308" s="246">
        <f>IFERROR(VLOOKUP(E1308,PROGRAMAS[],2,FALSE),0)</f>
        <v>640501509.6821388</v>
      </c>
      <c r="T1308" s="246">
        <f>IFERROR(VLOOKUP(F1308,PROGRAMAS[],2,FALSE),0)</f>
        <v>3062327798.1525245</v>
      </c>
      <c r="U1308" s="246">
        <f>IFERROR(VLOOKUP(G1308,PROGRAMAS[],2,FALSE),0)</f>
        <v>1440941976.2528784</v>
      </c>
      <c r="V1308" s="246">
        <f>IFERROR(VLOOKUP(H1308,PROGRAMAS[],2,FALSE),0)</f>
        <v>6907648435.8447599</v>
      </c>
      <c r="W1308" s="246">
        <f>IFERROR(VLOOKUP(I1308,PROGRAMAS[],2,FALSE),0)</f>
        <v>6128579952.1618185</v>
      </c>
      <c r="X1308" s="246">
        <f>IFERROR(VLOOKUP(J1308,PROGRAMAS[],2,FALSE),0)</f>
        <v>54223862.645839565</v>
      </c>
      <c r="Y1308" s="246">
        <f>IFERROR(VLOOKUP(K1308,PROGRAMAS[],2,FALSE),0)</f>
        <v>122159672.96346797</v>
      </c>
      <c r="Z1308" s="246">
        <f>IFERROR(VLOOKUP(L1308,PROGRAMAS[],2,FALSE),0)</f>
        <v>7068496961.0436354</v>
      </c>
      <c r="AA1308" s="246">
        <f>IFERROR(VLOOKUP(M1308,PROGRAMAS[],2,FALSE),0)</f>
        <v>0</v>
      </c>
      <c r="AB1308" s="246">
        <f>IFERROR(VLOOKUP(N1308,PROGRAMAS[],2,FALSE),0)</f>
        <v>0</v>
      </c>
      <c r="AC1308" s="246">
        <f>IFERROR(VLOOKUP(O1308,PROGRAMAS[],2,FALSE),0)</f>
        <v>0</v>
      </c>
      <c r="AD1308" s="246">
        <f>IFERROR(VLOOKUP(P1308,PROGRAMAS[],2,FALSE),0)</f>
        <v>0</v>
      </c>
      <c r="AE1308" s="246">
        <f>IFERROR(VLOOKUP(Q1308,PROGRAMAS[],2,FALSE),0)</f>
        <v>0</v>
      </c>
      <c r="AF1308" s="246">
        <f>IFERROR(VLOOKUP(D1308,PROGRAMAS[],3,FALSE),0)</f>
        <v>841888629.31080008</v>
      </c>
      <c r="AG1308" s="246">
        <f>IFERROR(VLOOKUP(E1308,PROGRAMAS[],3,FALSE),0)</f>
        <v>3848980803.1642323</v>
      </c>
      <c r="AH1308" s="246">
        <f>IFERROR(VLOOKUP(F1308,PROGRAMAS[],3,FALSE),0)</f>
        <v>3394901471.387517</v>
      </c>
      <c r="AI1308" s="246">
        <f>IFERROR(VLOOKUP(G1308,PROGRAMAS[],3,FALSE),0)</f>
        <v>1233505101.0616004</v>
      </c>
      <c r="AJ1308" s="246">
        <f>IFERROR(VLOOKUP(H1308,PROGRAMAS[],3,FALSE),0)</f>
        <v>6129902208.7912121</v>
      </c>
      <c r="AK1308" s="246">
        <f>IFERROR(VLOOKUP(I1308,PROGRAMAS[],3,FALSE),0)</f>
        <v>7011279577.519702</v>
      </c>
      <c r="AL1308" s="246">
        <f>IFERROR(VLOOKUP(J1308,PROGRAMAS[],3,FALSE),0)</f>
        <v>31865326.38096505</v>
      </c>
      <c r="AM1308" s="246">
        <f>IFERROR(VLOOKUP(K1308,PROGRAMAS[],3,FALSE),0)</f>
        <v>118617452.52510804</v>
      </c>
      <c r="AN1308" s="246">
        <f>IFERROR(VLOOKUP(L1308,PROGRAMAS[],3,FALSE),0)</f>
        <v>2406564599.0319901</v>
      </c>
      <c r="AO1308" s="246">
        <f>IFERROR(VLOOKUP(M1308,PROGRAMAS[],3,FALSE),0)</f>
        <v>0</v>
      </c>
      <c r="AP1308" s="246">
        <f>IFERROR(VLOOKUP(N1308,PROGRAMAS[],3,FALSE),0)</f>
        <v>0</v>
      </c>
      <c r="AQ1308" s="246">
        <f>IFERROR(VLOOKUP(O1308,PROGRAMAS[],3,FALSE),0)</f>
        <v>0</v>
      </c>
      <c r="AR1308" s="246">
        <f>IFERROR(VLOOKUP(P1308,PROGRAMAS[],3,FALSE),0)</f>
        <v>0</v>
      </c>
      <c r="AS1308" s="246">
        <f>IFERROR(VLOOKUP(Q1308,PROGRAMAS[],3,FALSE),0)</f>
        <v>0</v>
      </c>
      <c r="AT1308" s="246">
        <f>IFERROR(VLOOKUP(D1308,VOL_REC[],2,FALSE),0)</f>
        <v>0</v>
      </c>
      <c r="AU1308" s="246">
        <f>IFERROR(VLOOKUP(E1308,VOL_REC[],2,FALSE),0)</f>
        <v>0</v>
      </c>
      <c r="AV1308" s="246">
        <f>IFERROR(VLOOKUP(F1308,VOL_REC[],2,FALSE),0)</f>
        <v>11089674.200000001</v>
      </c>
      <c r="AW1308" s="246">
        <f>IFERROR(VLOOKUP(G1308,VOL_REC[],2,FALSE),0)</f>
        <v>4325103.1812214684</v>
      </c>
      <c r="AX1308" s="246">
        <f>IFERROR(VLOOKUP(H1308,VOL_REC[],2,FALSE),0)</f>
        <v>15540036.397699751</v>
      </c>
      <c r="AY1308" s="246">
        <f>IFERROR(VLOOKUP(I1308,VOL_REC[],2,FALSE),0)</f>
        <v>3761786</v>
      </c>
      <c r="AZ1308" s="246">
        <f>IFERROR(VLOOKUP(J1308,VOL_REC[],2,FALSE),0)</f>
        <v>17074.045034105649</v>
      </c>
      <c r="BA1308" s="246">
        <f>IFERROR(VLOOKUP(K1308,VOL_REC[],2,FALSE),0)</f>
        <v>105072</v>
      </c>
      <c r="BB1308" s="246">
        <f>IFERROR(VLOOKUP(L1308,VOL_REC[],2,FALSE),0)</f>
        <v>1072354.9981737854</v>
      </c>
      <c r="BC1308" s="246">
        <f>IFERROR(VLOOKUP(M1308,VOL_REC[],2,FALSE),0)</f>
        <v>0</v>
      </c>
      <c r="BD1308" s="246">
        <f>IFERROR(VLOOKUP(N1308,VOL_REC[],2,FALSE),0)</f>
        <v>0</v>
      </c>
      <c r="BE1308" s="246">
        <f>IFERROR(VLOOKUP(O1308,VOL_REC[],2,FALSE),0)</f>
        <v>0</v>
      </c>
      <c r="BF1308" s="246">
        <f>IFERROR(VLOOKUP(P1308,VOL_REC[],2,FALSE),0)</f>
        <v>0</v>
      </c>
      <c r="BG1308" s="246">
        <f>IFERROR(VLOOKUP(Q1308,VOL_REC[],2,FALSE),0)</f>
        <v>0</v>
      </c>
      <c r="BH1308" s="1710">
        <f t="shared" si="80"/>
        <v>25521917972.426441</v>
      </c>
      <c r="BI1308" s="1710">
        <f t="shared" si="81"/>
        <v>25017505169.17313</v>
      </c>
      <c r="BJ1308" s="1711">
        <f t="shared" si="82"/>
        <v>35911100.822129108</v>
      </c>
      <c r="BK1308" s="1711">
        <f t="shared" si="83"/>
        <v>1.0201623942852165</v>
      </c>
      <c r="BL1308">
        <f>BJ1308</f>
        <v>35911100.822129108</v>
      </c>
      <c r="BO1308">
        <f>BL1308</f>
        <v>35911100.822129108</v>
      </c>
    </row>
    <row r="1309" spans="3:67" x14ac:dyDescent="0.25">
      <c r="C1309" s="246" t="s">
        <v>2659</v>
      </c>
      <c r="D1309" s="246">
        <v>1</v>
      </c>
      <c r="E1309" s="246">
        <v>2</v>
      </c>
      <c r="F1309" s="246">
        <v>3</v>
      </c>
      <c r="G1309" s="246">
        <v>5</v>
      </c>
      <c r="H1309" s="246">
        <v>6</v>
      </c>
      <c r="I1309" s="246">
        <v>9</v>
      </c>
      <c r="J1309" s="246">
        <v>14</v>
      </c>
      <c r="K1309" s="246">
        <v>15</v>
      </c>
      <c r="L1309" s="246">
        <v>17</v>
      </c>
      <c r="M1309" s="246"/>
      <c r="N1309" s="246"/>
      <c r="O1309" s="246"/>
      <c r="P1309" s="246"/>
      <c r="Q1309" s="246"/>
      <c r="R1309" s="246">
        <f>IFERROR(VLOOKUP(D1309,PROGRAMAS[],2,FALSE),0)</f>
        <v>97037803.679377079</v>
      </c>
      <c r="S1309" s="246">
        <f>IFERROR(VLOOKUP(E1309,PROGRAMAS[],2,FALSE),0)</f>
        <v>640501509.6821388</v>
      </c>
      <c r="T1309" s="246">
        <f>IFERROR(VLOOKUP(F1309,PROGRAMAS[],2,FALSE),0)</f>
        <v>3062327798.1525245</v>
      </c>
      <c r="U1309" s="246">
        <f>IFERROR(VLOOKUP(G1309,PROGRAMAS[],2,FALSE),0)</f>
        <v>1440941976.2528784</v>
      </c>
      <c r="V1309" s="246">
        <f>IFERROR(VLOOKUP(H1309,PROGRAMAS[],2,FALSE),0)</f>
        <v>6907648435.8447599</v>
      </c>
      <c r="W1309" s="246">
        <f>IFERROR(VLOOKUP(I1309,PROGRAMAS[],2,FALSE),0)</f>
        <v>6128579952.1618185</v>
      </c>
      <c r="X1309" s="246">
        <f>IFERROR(VLOOKUP(J1309,PROGRAMAS[],2,FALSE),0)</f>
        <v>54223862.645839565</v>
      </c>
      <c r="Y1309" s="246">
        <f>IFERROR(VLOOKUP(K1309,PROGRAMAS[],2,FALSE),0)</f>
        <v>122159672.96346797</v>
      </c>
      <c r="Z1309" s="246">
        <f>IFERROR(VLOOKUP(L1309,PROGRAMAS[],2,FALSE),0)</f>
        <v>1892779498.5211046</v>
      </c>
      <c r="AA1309" s="246">
        <f>IFERROR(VLOOKUP(M1309,PROGRAMAS[],2,FALSE),0)</f>
        <v>0</v>
      </c>
      <c r="AB1309" s="246">
        <f>IFERROR(VLOOKUP(N1309,PROGRAMAS[],2,FALSE),0)</f>
        <v>0</v>
      </c>
      <c r="AC1309" s="246">
        <f>IFERROR(VLOOKUP(O1309,PROGRAMAS[],2,FALSE),0)</f>
        <v>0</v>
      </c>
      <c r="AD1309" s="246">
        <f>IFERROR(VLOOKUP(P1309,PROGRAMAS[],2,FALSE),0)</f>
        <v>0</v>
      </c>
      <c r="AE1309" s="246">
        <f>IFERROR(VLOOKUP(Q1309,PROGRAMAS[],2,FALSE),0)</f>
        <v>0</v>
      </c>
      <c r="AF1309" s="246">
        <f>IFERROR(VLOOKUP(D1309,PROGRAMAS[],3,FALSE),0)</f>
        <v>841888629.31080008</v>
      </c>
      <c r="AG1309" s="246">
        <f>IFERROR(VLOOKUP(E1309,PROGRAMAS[],3,FALSE),0)</f>
        <v>3848980803.1642323</v>
      </c>
      <c r="AH1309" s="246">
        <f>IFERROR(VLOOKUP(F1309,PROGRAMAS[],3,FALSE),0)</f>
        <v>3394901471.387517</v>
      </c>
      <c r="AI1309" s="246">
        <f>IFERROR(VLOOKUP(G1309,PROGRAMAS[],3,FALSE),0)</f>
        <v>1233505101.0616004</v>
      </c>
      <c r="AJ1309" s="246">
        <f>IFERROR(VLOOKUP(H1309,PROGRAMAS[],3,FALSE),0)</f>
        <v>6129902208.7912121</v>
      </c>
      <c r="AK1309" s="246">
        <f>IFERROR(VLOOKUP(I1309,PROGRAMAS[],3,FALSE),0)</f>
        <v>7011279577.519702</v>
      </c>
      <c r="AL1309" s="246">
        <f>IFERROR(VLOOKUP(J1309,PROGRAMAS[],3,FALSE),0)</f>
        <v>31865326.38096505</v>
      </c>
      <c r="AM1309" s="246">
        <f>IFERROR(VLOOKUP(K1309,PROGRAMAS[],3,FALSE),0)</f>
        <v>118617452.52510804</v>
      </c>
      <c r="AN1309" s="246">
        <f>IFERROR(VLOOKUP(L1309,PROGRAMAS[],3,FALSE),0)</f>
        <v>948595847.09039903</v>
      </c>
      <c r="AO1309" s="246">
        <f>IFERROR(VLOOKUP(M1309,PROGRAMAS[],3,FALSE),0)</f>
        <v>0</v>
      </c>
      <c r="AP1309" s="246">
        <f>IFERROR(VLOOKUP(N1309,PROGRAMAS[],3,FALSE),0)</f>
        <v>0</v>
      </c>
      <c r="AQ1309" s="246">
        <f>IFERROR(VLOOKUP(O1309,PROGRAMAS[],3,FALSE),0)</f>
        <v>0</v>
      </c>
      <c r="AR1309" s="246">
        <f>IFERROR(VLOOKUP(P1309,PROGRAMAS[],3,FALSE),0)</f>
        <v>0</v>
      </c>
      <c r="AS1309" s="246">
        <f>IFERROR(VLOOKUP(Q1309,PROGRAMAS[],3,FALSE),0)</f>
        <v>0</v>
      </c>
      <c r="AT1309" s="246">
        <f>IFERROR(VLOOKUP(D1309,VOL_REC[],2,FALSE),0)</f>
        <v>0</v>
      </c>
      <c r="AU1309" s="246">
        <f>IFERROR(VLOOKUP(E1309,VOL_REC[],2,FALSE),0)</f>
        <v>0</v>
      </c>
      <c r="AV1309" s="246">
        <f>IFERROR(VLOOKUP(F1309,VOL_REC[],2,FALSE),0)</f>
        <v>11089674.200000001</v>
      </c>
      <c r="AW1309" s="246">
        <f>IFERROR(VLOOKUP(G1309,VOL_REC[],2,FALSE),0)</f>
        <v>4325103.1812214684</v>
      </c>
      <c r="AX1309" s="246">
        <f>IFERROR(VLOOKUP(H1309,VOL_REC[],2,FALSE),0)</f>
        <v>15540036.397699751</v>
      </c>
      <c r="AY1309" s="246">
        <f>IFERROR(VLOOKUP(I1309,VOL_REC[],2,FALSE),0)</f>
        <v>3761786</v>
      </c>
      <c r="AZ1309" s="246">
        <f>IFERROR(VLOOKUP(J1309,VOL_REC[],2,FALSE),0)</f>
        <v>17074.045034105649</v>
      </c>
      <c r="BA1309" s="246">
        <f>IFERROR(VLOOKUP(K1309,VOL_REC[],2,FALSE),0)</f>
        <v>105072</v>
      </c>
      <c r="BB1309" s="246">
        <f>IFERROR(VLOOKUP(L1309,VOL_REC[],2,FALSE),0)</f>
        <v>740113.98115702497</v>
      </c>
      <c r="BC1309" s="246">
        <f>IFERROR(VLOOKUP(M1309,VOL_REC[],2,FALSE),0)</f>
        <v>0</v>
      </c>
      <c r="BD1309" s="246">
        <f>IFERROR(VLOOKUP(N1309,VOL_REC[],2,FALSE),0)</f>
        <v>0</v>
      </c>
      <c r="BE1309" s="246">
        <f>IFERROR(VLOOKUP(O1309,VOL_REC[],2,FALSE),0)</f>
        <v>0</v>
      </c>
      <c r="BF1309" s="246">
        <f>IFERROR(VLOOKUP(P1309,VOL_REC[],2,FALSE),0)</f>
        <v>0</v>
      </c>
      <c r="BG1309" s="246">
        <f>IFERROR(VLOOKUP(Q1309,VOL_REC[],2,FALSE),0)</f>
        <v>0</v>
      </c>
      <c r="BH1309" s="1710">
        <f t="shared" si="80"/>
        <v>20346200509.903908</v>
      </c>
      <c r="BI1309" s="1710">
        <f t="shared" si="81"/>
        <v>23559536417.231541</v>
      </c>
      <c r="BJ1309" s="1711">
        <f t="shared" si="82"/>
        <v>35578859.805112347</v>
      </c>
      <c r="BK1309" s="1711">
        <f t="shared" si="83"/>
        <v>0.86360784650340627</v>
      </c>
    </row>
    <row r="1310" spans="3:67" x14ac:dyDescent="0.25">
      <c r="C1310" s="246" t="s">
        <v>2660</v>
      </c>
      <c r="D1310" s="246">
        <v>1</v>
      </c>
      <c r="E1310" s="246">
        <v>2</v>
      </c>
      <c r="F1310" s="246">
        <v>3</v>
      </c>
      <c r="G1310" s="246">
        <v>5</v>
      </c>
      <c r="H1310" s="246">
        <v>6</v>
      </c>
      <c r="I1310" s="246">
        <v>9</v>
      </c>
      <c r="J1310" s="246">
        <v>14</v>
      </c>
      <c r="K1310" s="246">
        <v>16</v>
      </c>
      <c r="L1310" s="246">
        <v>17</v>
      </c>
      <c r="M1310" s="246"/>
      <c r="N1310" s="246"/>
      <c r="O1310" s="246"/>
      <c r="P1310" s="246"/>
      <c r="Q1310" s="246"/>
      <c r="R1310" s="246">
        <f>IFERROR(VLOOKUP(D1310,PROGRAMAS[],2,FALSE),0)</f>
        <v>97037803.679377079</v>
      </c>
      <c r="S1310" s="246">
        <f>IFERROR(VLOOKUP(E1310,PROGRAMAS[],2,FALSE),0)</f>
        <v>640501509.6821388</v>
      </c>
      <c r="T1310" s="246">
        <f>IFERROR(VLOOKUP(F1310,PROGRAMAS[],2,FALSE),0)</f>
        <v>3062327798.1525245</v>
      </c>
      <c r="U1310" s="246">
        <f>IFERROR(VLOOKUP(G1310,PROGRAMAS[],2,FALSE),0)</f>
        <v>1440941976.2528784</v>
      </c>
      <c r="V1310" s="246">
        <f>IFERROR(VLOOKUP(H1310,PROGRAMAS[],2,FALSE),0)</f>
        <v>6907648435.8447599</v>
      </c>
      <c r="W1310" s="246">
        <f>IFERROR(VLOOKUP(I1310,PROGRAMAS[],2,FALSE),0)</f>
        <v>6128579952.1618185</v>
      </c>
      <c r="X1310" s="246">
        <f>IFERROR(VLOOKUP(J1310,PROGRAMAS[],2,FALSE),0)</f>
        <v>54223862.645839565</v>
      </c>
      <c r="Y1310" s="246">
        <f>IFERROR(VLOOKUP(K1310,PROGRAMAS[],2,FALSE),0)</f>
        <v>7068496961.0436354</v>
      </c>
      <c r="Z1310" s="246">
        <f>IFERROR(VLOOKUP(L1310,PROGRAMAS[],2,FALSE),0)</f>
        <v>1892779498.5211046</v>
      </c>
      <c r="AA1310" s="246">
        <f>IFERROR(VLOOKUP(M1310,PROGRAMAS[],2,FALSE),0)</f>
        <v>0</v>
      </c>
      <c r="AB1310" s="246">
        <f>IFERROR(VLOOKUP(N1310,PROGRAMAS[],2,FALSE),0)</f>
        <v>0</v>
      </c>
      <c r="AC1310" s="246">
        <f>IFERROR(VLOOKUP(O1310,PROGRAMAS[],2,FALSE),0)</f>
        <v>0</v>
      </c>
      <c r="AD1310" s="246">
        <f>IFERROR(VLOOKUP(P1310,PROGRAMAS[],2,FALSE),0)</f>
        <v>0</v>
      </c>
      <c r="AE1310" s="246">
        <f>IFERROR(VLOOKUP(Q1310,PROGRAMAS[],2,FALSE),0)</f>
        <v>0</v>
      </c>
      <c r="AF1310" s="246">
        <f>IFERROR(VLOOKUP(D1310,PROGRAMAS[],3,FALSE),0)</f>
        <v>841888629.31080008</v>
      </c>
      <c r="AG1310" s="246">
        <f>IFERROR(VLOOKUP(E1310,PROGRAMAS[],3,FALSE),0)</f>
        <v>3848980803.1642323</v>
      </c>
      <c r="AH1310" s="246">
        <f>IFERROR(VLOOKUP(F1310,PROGRAMAS[],3,FALSE),0)</f>
        <v>3394901471.387517</v>
      </c>
      <c r="AI1310" s="246">
        <f>IFERROR(VLOOKUP(G1310,PROGRAMAS[],3,FALSE),0)</f>
        <v>1233505101.0616004</v>
      </c>
      <c r="AJ1310" s="246">
        <f>IFERROR(VLOOKUP(H1310,PROGRAMAS[],3,FALSE),0)</f>
        <v>6129902208.7912121</v>
      </c>
      <c r="AK1310" s="246">
        <f>IFERROR(VLOOKUP(I1310,PROGRAMAS[],3,FALSE),0)</f>
        <v>7011279577.519702</v>
      </c>
      <c r="AL1310" s="246">
        <f>IFERROR(VLOOKUP(J1310,PROGRAMAS[],3,FALSE),0)</f>
        <v>31865326.38096505</v>
      </c>
      <c r="AM1310" s="246">
        <f>IFERROR(VLOOKUP(K1310,PROGRAMAS[],3,FALSE),0)</f>
        <v>2406564599.0319901</v>
      </c>
      <c r="AN1310" s="246">
        <f>IFERROR(VLOOKUP(L1310,PROGRAMAS[],3,FALSE),0)</f>
        <v>948595847.09039903</v>
      </c>
      <c r="AO1310" s="246">
        <f>IFERROR(VLOOKUP(M1310,PROGRAMAS[],3,FALSE),0)</f>
        <v>0</v>
      </c>
      <c r="AP1310" s="246">
        <f>IFERROR(VLOOKUP(N1310,PROGRAMAS[],3,FALSE),0)</f>
        <v>0</v>
      </c>
      <c r="AQ1310" s="246">
        <f>IFERROR(VLOOKUP(O1310,PROGRAMAS[],3,FALSE),0)</f>
        <v>0</v>
      </c>
      <c r="AR1310" s="246">
        <f>IFERROR(VLOOKUP(P1310,PROGRAMAS[],3,FALSE),0)</f>
        <v>0</v>
      </c>
      <c r="AS1310" s="246">
        <f>IFERROR(VLOOKUP(Q1310,PROGRAMAS[],3,FALSE),0)</f>
        <v>0</v>
      </c>
      <c r="AT1310" s="246">
        <f>IFERROR(VLOOKUP(D1310,VOL_REC[],2,FALSE),0)</f>
        <v>0</v>
      </c>
      <c r="AU1310" s="246">
        <f>IFERROR(VLOOKUP(E1310,VOL_REC[],2,FALSE),0)</f>
        <v>0</v>
      </c>
      <c r="AV1310" s="246">
        <f>IFERROR(VLOOKUP(F1310,VOL_REC[],2,FALSE),0)</f>
        <v>11089674.200000001</v>
      </c>
      <c r="AW1310" s="246">
        <f>IFERROR(VLOOKUP(G1310,VOL_REC[],2,FALSE),0)</f>
        <v>4325103.1812214684</v>
      </c>
      <c r="AX1310" s="246">
        <f>IFERROR(VLOOKUP(H1310,VOL_REC[],2,FALSE),0)</f>
        <v>15540036.397699751</v>
      </c>
      <c r="AY1310" s="246">
        <f>IFERROR(VLOOKUP(I1310,VOL_REC[],2,FALSE),0)</f>
        <v>3761786</v>
      </c>
      <c r="AZ1310" s="246">
        <f>IFERROR(VLOOKUP(J1310,VOL_REC[],2,FALSE),0)</f>
        <v>17074.045034105649</v>
      </c>
      <c r="BA1310" s="246">
        <f>IFERROR(VLOOKUP(K1310,VOL_REC[],2,FALSE),0)</f>
        <v>1072354.9981737854</v>
      </c>
      <c r="BB1310" s="246">
        <f>IFERROR(VLOOKUP(L1310,VOL_REC[],2,FALSE),0)</f>
        <v>740113.98115702497</v>
      </c>
      <c r="BC1310" s="246">
        <f>IFERROR(VLOOKUP(M1310,VOL_REC[],2,FALSE),0)</f>
        <v>0</v>
      </c>
      <c r="BD1310" s="246">
        <f>IFERROR(VLOOKUP(N1310,VOL_REC[],2,FALSE),0)</f>
        <v>0</v>
      </c>
      <c r="BE1310" s="246">
        <f>IFERROR(VLOOKUP(O1310,VOL_REC[],2,FALSE),0)</f>
        <v>0</v>
      </c>
      <c r="BF1310" s="246">
        <f>IFERROR(VLOOKUP(P1310,VOL_REC[],2,FALSE),0)</f>
        <v>0</v>
      </c>
      <c r="BG1310" s="246">
        <f>IFERROR(VLOOKUP(Q1310,VOL_REC[],2,FALSE),0)</f>
        <v>0</v>
      </c>
      <c r="BH1310" s="1710">
        <f t="shared" si="80"/>
        <v>27292537797.984077</v>
      </c>
      <c r="BI1310" s="1710">
        <f t="shared" si="81"/>
        <v>25847483563.738422</v>
      </c>
      <c r="BJ1310" s="1711">
        <f t="shared" si="82"/>
        <v>36546142.803286135</v>
      </c>
      <c r="BK1310" s="1711">
        <f t="shared" si="83"/>
        <v>1.0559069601759195</v>
      </c>
      <c r="BL1310">
        <f>BJ1310</f>
        <v>36546142.803286135</v>
      </c>
      <c r="BO1310">
        <f>BL1310</f>
        <v>36546142.803286135</v>
      </c>
    </row>
    <row r="1311" spans="3:67" x14ac:dyDescent="0.25">
      <c r="C1311" s="246" t="s">
        <v>2661</v>
      </c>
      <c r="D1311" s="246">
        <v>1</v>
      </c>
      <c r="E1311" s="246">
        <v>2</v>
      </c>
      <c r="F1311" s="246">
        <v>3</v>
      </c>
      <c r="G1311" s="246">
        <v>5</v>
      </c>
      <c r="H1311" s="246">
        <v>6</v>
      </c>
      <c r="I1311" s="246">
        <v>9</v>
      </c>
      <c r="J1311" s="246">
        <v>15</v>
      </c>
      <c r="K1311" s="246">
        <v>16</v>
      </c>
      <c r="L1311" s="246">
        <v>17</v>
      </c>
      <c r="M1311" s="246"/>
      <c r="N1311" s="246"/>
      <c r="O1311" s="246"/>
      <c r="P1311" s="246"/>
      <c r="Q1311" s="246"/>
      <c r="R1311" s="246">
        <f>IFERROR(VLOOKUP(D1311,PROGRAMAS[],2,FALSE),0)</f>
        <v>97037803.679377079</v>
      </c>
      <c r="S1311" s="246">
        <f>IFERROR(VLOOKUP(E1311,PROGRAMAS[],2,FALSE),0)</f>
        <v>640501509.6821388</v>
      </c>
      <c r="T1311" s="246">
        <f>IFERROR(VLOOKUP(F1311,PROGRAMAS[],2,FALSE),0)</f>
        <v>3062327798.1525245</v>
      </c>
      <c r="U1311" s="246">
        <f>IFERROR(VLOOKUP(G1311,PROGRAMAS[],2,FALSE),0)</f>
        <v>1440941976.2528784</v>
      </c>
      <c r="V1311" s="246">
        <f>IFERROR(VLOOKUP(H1311,PROGRAMAS[],2,FALSE),0)</f>
        <v>6907648435.8447599</v>
      </c>
      <c r="W1311" s="246">
        <f>IFERROR(VLOOKUP(I1311,PROGRAMAS[],2,FALSE),0)</f>
        <v>6128579952.1618185</v>
      </c>
      <c r="X1311" s="246">
        <f>IFERROR(VLOOKUP(J1311,PROGRAMAS[],2,FALSE),0)</f>
        <v>122159672.96346797</v>
      </c>
      <c r="Y1311" s="246">
        <f>IFERROR(VLOOKUP(K1311,PROGRAMAS[],2,FALSE),0)</f>
        <v>7068496961.0436354</v>
      </c>
      <c r="Z1311" s="246">
        <f>IFERROR(VLOOKUP(L1311,PROGRAMAS[],2,FALSE),0)</f>
        <v>1892779498.5211046</v>
      </c>
      <c r="AA1311" s="246">
        <f>IFERROR(VLOOKUP(M1311,PROGRAMAS[],2,FALSE),0)</f>
        <v>0</v>
      </c>
      <c r="AB1311" s="246">
        <f>IFERROR(VLOOKUP(N1311,PROGRAMAS[],2,FALSE),0)</f>
        <v>0</v>
      </c>
      <c r="AC1311" s="246">
        <f>IFERROR(VLOOKUP(O1311,PROGRAMAS[],2,FALSE),0)</f>
        <v>0</v>
      </c>
      <c r="AD1311" s="246">
        <f>IFERROR(VLOOKUP(P1311,PROGRAMAS[],2,FALSE),0)</f>
        <v>0</v>
      </c>
      <c r="AE1311" s="246">
        <f>IFERROR(VLOOKUP(Q1311,PROGRAMAS[],2,FALSE),0)</f>
        <v>0</v>
      </c>
      <c r="AF1311" s="246">
        <f>IFERROR(VLOOKUP(D1311,PROGRAMAS[],3,FALSE),0)</f>
        <v>841888629.31080008</v>
      </c>
      <c r="AG1311" s="246">
        <f>IFERROR(VLOOKUP(E1311,PROGRAMAS[],3,FALSE),0)</f>
        <v>3848980803.1642323</v>
      </c>
      <c r="AH1311" s="246">
        <f>IFERROR(VLOOKUP(F1311,PROGRAMAS[],3,FALSE),0)</f>
        <v>3394901471.387517</v>
      </c>
      <c r="AI1311" s="246">
        <f>IFERROR(VLOOKUP(G1311,PROGRAMAS[],3,FALSE),0)</f>
        <v>1233505101.0616004</v>
      </c>
      <c r="AJ1311" s="246">
        <f>IFERROR(VLOOKUP(H1311,PROGRAMAS[],3,FALSE),0)</f>
        <v>6129902208.7912121</v>
      </c>
      <c r="AK1311" s="246">
        <f>IFERROR(VLOOKUP(I1311,PROGRAMAS[],3,FALSE),0)</f>
        <v>7011279577.519702</v>
      </c>
      <c r="AL1311" s="246">
        <f>IFERROR(VLOOKUP(J1311,PROGRAMAS[],3,FALSE),0)</f>
        <v>118617452.52510804</v>
      </c>
      <c r="AM1311" s="246">
        <f>IFERROR(VLOOKUP(K1311,PROGRAMAS[],3,FALSE),0)</f>
        <v>2406564599.0319901</v>
      </c>
      <c r="AN1311" s="246">
        <f>IFERROR(VLOOKUP(L1311,PROGRAMAS[],3,FALSE),0)</f>
        <v>948595847.09039903</v>
      </c>
      <c r="AO1311" s="246">
        <f>IFERROR(VLOOKUP(M1311,PROGRAMAS[],3,FALSE),0)</f>
        <v>0</v>
      </c>
      <c r="AP1311" s="246">
        <f>IFERROR(VLOOKUP(N1311,PROGRAMAS[],3,FALSE),0)</f>
        <v>0</v>
      </c>
      <c r="AQ1311" s="246">
        <f>IFERROR(VLOOKUP(O1311,PROGRAMAS[],3,FALSE),0)</f>
        <v>0</v>
      </c>
      <c r="AR1311" s="246">
        <f>IFERROR(VLOOKUP(P1311,PROGRAMAS[],3,FALSE),0)</f>
        <v>0</v>
      </c>
      <c r="AS1311" s="246">
        <f>IFERROR(VLOOKUP(Q1311,PROGRAMAS[],3,FALSE),0)</f>
        <v>0</v>
      </c>
      <c r="AT1311" s="246">
        <f>IFERROR(VLOOKUP(D1311,VOL_REC[],2,FALSE),0)</f>
        <v>0</v>
      </c>
      <c r="AU1311" s="246">
        <f>IFERROR(VLOOKUP(E1311,VOL_REC[],2,FALSE),0)</f>
        <v>0</v>
      </c>
      <c r="AV1311" s="246">
        <f>IFERROR(VLOOKUP(F1311,VOL_REC[],2,FALSE),0)</f>
        <v>11089674.200000001</v>
      </c>
      <c r="AW1311" s="246">
        <f>IFERROR(VLOOKUP(G1311,VOL_REC[],2,FALSE),0)</f>
        <v>4325103.1812214684</v>
      </c>
      <c r="AX1311" s="246">
        <f>IFERROR(VLOOKUP(H1311,VOL_REC[],2,FALSE),0)</f>
        <v>15540036.397699751</v>
      </c>
      <c r="AY1311" s="246">
        <f>IFERROR(VLOOKUP(I1311,VOL_REC[],2,FALSE),0)</f>
        <v>3761786</v>
      </c>
      <c r="AZ1311" s="246">
        <f>IFERROR(VLOOKUP(J1311,VOL_REC[],2,FALSE),0)</f>
        <v>105072</v>
      </c>
      <c r="BA1311" s="246">
        <f>IFERROR(VLOOKUP(K1311,VOL_REC[],2,FALSE),0)</f>
        <v>1072354.9981737854</v>
      </c>
      <c r="BB1311" s="246">
        <f>IFERROR(VLOOKUP(L1311,VOL_REC[],2,FALSE),0)</f>
        <v>740113.98115702497</v>
      </c>
      <c r="BC1311" s="246">
        <f>IFERROR(VLOOKUP(M1311,VOL_REC[],2,FALSE),0)</f>
        <v>0</v>
      </c>
      <c r="BD1311" s="246">
        <f>IFERROR(VLOOKUP(N1311,VOL_REC[],2,FALSE),0)</f>
        <v>0</v>
      </c>
      <c r="BE1311" s="246">
        <f>IFERROR(VLOOKUP(O1311,VOL_REC[],2,FALSE),0)</f>
        <v>0</v>
      </c>
      <c r="BF1311" s="246">
        <f>IFERROR(VLOOKUP(P1311,VOL_REC[],2,FALSE),0)</f>
        <v>0</v>
      </c>
      <c r="BG1311" s="246">
        <f>IFERROR(VLOOKUP(Q1311,VOL_REC[],2,FALSE),0)</f>
        <v>0</v>
      </c>
      <c r="BH1311" s="1710">
        <f t="shared" si="80"/>
        <v>27360473608.301704</v>
      </c>
      <c r="BI1311" s="1710">
        <f t="shared" si="81"/>
        <v>25934235689.882565</v>
      </c>
      <c r="BJ1311" s="1711">
        <f t="shared" si="82"/>
        <v>36634140.758252032</v>
      </c>
      <c r="BK1311" s="1711">
        <f t="shared" si="83"/>
        <v>1.0549944072180828</v>
      </c>
      <c r="BL1311">
        <f>BJ1311</f>
        <v>36634140.758252032</v>
      </c>
      <c r="BO1311">
        <f>BL1311</f>
        <v>36634140.758252032</v>
      </c>
    </row>
    <row r="1312" spans="3:67" x14ac:dyDescent="0.25">
      <c r="C1312" s="246" t="s">
        <v>2662</v>
      </c>
      <c r="D1312" s="246">
        <v>1</v>
      </c>
      <c r="E1312" s="246">
        <v>2</v>
      </c>
      <c r="F1312" s="246">
        <v>3</v>
      </c>
      <c r="G1312" s="246">
        <v>5</v>
      </c>
      <c r="H1312" s="246">
        <v>6</v>
      </c>
      <c r="I1312" s="246">
        <v>10</v>
      </c>
      <c r="J1312" s="246">
        <v>12</v>
      </c>
      <c r="K1312" s="246">
        <v>13</v>
      </c>
      <c r="L1312" s="246">
        <v>14</v>
      </c>
      <c r="M1312" s="246"/>
      <c r="N1312" s="246"/>
      <c r="O1312" s="246"/>
      <c r="P1312" s="246"/>
      <c r="Q1312" s="246"/>
      <c r="R1312" s="246">
        <f>IFERROR(VLOOKUP(D1312,PROGRAMAS[],2,FALSE),0)</f>
        <v>97037803.679377079</v>
      </c>
      <c r="S1312" s="246">
        <f>IFERROR(VLOOKUP(E1312,PROGRAMAS[],2,FALSE),0)</f>
        <v>640501509.6821388</v>
      </c>
      <c r="T1312" s="246">
        <f>IFERROR(VLOOKUP(F1312,PROGRAMAS[],2,FALSE),0)</f>
        <v>3062327798.1525245</v>
      </c>
      <c r="U1312" s="246">
        <f>IFERROR(VLOOKUP(G1312,PROGRAMAS[],2,FALSE),0)</f>
        <v>1440941976.2528784</v>
      </c>
      <c r="V1312" s="246">
        <f>IFERROR(VLOOKUP(H1312,PROGRAMAS[],2,FALSE),0)</f>
        <v>6907648435.8447599</v>
      </c>
      <c r="W1312" s="246">
        <f>IFERROR(VLOOKUP(I1312,PROGRAMAS[],2,FALSE),0)</f>
        <v>4635315027.8751087</v>
      </c>
      <c r="X1312" s="246">
        <f>IFERROR(VLOOKUP(J1312,PROGRAMAS[],2,FALSE),0)</f>
        <v>764796700.79905891</v>
      </c>
      <c r="Y1312" s="246">
        <f>IFERROR(VLOOKUP(K1312,PROGRAMAS[],2,FALSE),0)</f>
        <v>3776538594.4604583</v>
      </c>
      <c r="Z1312" s="246">
        <f>IFERROR(VLOOKUP(L1312,PROGRAMAS[],2,FALSE),0)</f>
        <v>54223862.645839565</v>
      </c>
      <c r="AA1312" s="246">
        <f>IFERROR(VLOOKUP(M1312,PROGRAMAS[],2,FALSE),0)</f>
        <v>0</v>
      </c>
      <c r="AB1312" s="246">
        <f>IFERROR(VLOOKUP(N1312,PROGRAMAS[],2,FALSE),0)</f>
        <v>0</v>
      </c>
      <c r="AC1312" s="246">
        <f>IFERROR(VLOOKUP(O1312,PROGRAMAS[],2,FALSE),0)</f>
        <v>0</v>
      </c>
      <c r="AD1312" s="246">
        <f>IFERROR(VLOOKUP(P1312,PROGRAMAS[],2,FALSE),0)</f>
        <v>0</v>
      </c>
      <c r="AE1312" s="246">
        <f>IFERROR(VLOOKUP(Q1312,PROGRAMAS[],2,FALSE),0)</f>
        <v>0</v>
      </c>
      <c r="AF1312" s="246">
        <f>IFERROR(VLOOKUP(D1312,PROGRAMAS[],3,FALSE),0)</f>
        <v>841888629.31080008</v>
      </c>
      <c r="AG1312" s="246">
        <f>IFERROR(VLOOKUP(E1312,PROGRAMAS[],3,FALSE),0)</f>
        <v>3848980803.1642323</v>
      </c>
      <c r="AH1312" s="246">
        <f>IFERROR(VLOOKUP(F1312,PROGRAMAS[],3,FALSE),0)</f>
        <v>3394901471.387517</v>
      </c>
      <c r="AI1312" s="246">
        <f>IFERROR(VLOOKUP(G1312,PROGRAMAS[],3,FALSE),0)</f>
        <v>1233505101.0616004</v>
      </c>
      <c r="AJ1312" s="246">
        <f>IFERROR(VLOOKUP(H1312,PROGRAMAS[],3,FALSE),0)</f>
        <v>6129902208.7912121</v>
      </c>
      <c r="AK1312" s="246">
        <f>IFERROR(VLOOKUP(I1312,PROGRAMAS[],3,FALSE),0)</f>
        <v>4099471734.9978786</v>
      </c>
      <c r="AL1312" s="246">
        <f>IFERROR(VLOOKUP(J1312,PROGRAMAS[],3,FALSE),0)</f>
        <v>675517840.109828</v>
      </c>
      <c r="AM1312" s="246">
        <f>IFERROR(VLOOKUP(K1312,PROGRAMAS[],3,FALSE),0)</f>
        <v>2392571243.5584412</v>
      </c>
      <c r="AN1312" s="246">
        <f>IFERROR(VLOOKUP(L1312,PROGRAMAS[],3,FALSE),0)</f>
        <v>31865326.38096505</v>
      </c>
      <c r="AO1312" s="246">
        <f>IFERROR(VLOOKUP(M1312,PROGRAMAS[],3,FALSE),0)</f>
        <v>0</v>
      </c>
      <c r="AP1312" s="246">
        <f>IFERROR(VLOOKUP(N1312,PROGRAMAS[],3,FALSE),0)</f>
        <v>0</v>
      </c>
      <c r="AQ1312" s="246">
        <f>IFERROR(VLOOKUP(O1312,PROGRAMAS[],3,FALSE),0)</f>
        <v>0</v>
      </c>
      <c r="AR1312" s="246">
        <f>IFERROR(VLOOKUP(P1312,PROGRAMAS[],3,FALSE),0)</f>
        <v>0</v>
      </c>
      <c r="AS1312" s="246">
        <f>IFERROR(VLOOKUP(Q1312,PROGRAMAS[],3,FALSE),0)</f>
        <v>0</v>
      </c>
      <c r="AT1312" s="246">
        <f>IFERROR(VLOOKUP(D1312,VOL_REC[],2,FALSE),0)</f>
        <v>0</v>
      </c>
      <c r="AU1312" s="246">
        <f>IFERROR(VLOOKUP(E1312,VOL_REC[],2,FALSE),0)</f>
        <v>0</v>
      </c>
      <c r="AV1312" s="246">
        <f>IFERROR(VLOOKUP(F1312,VOL_REC[],2,FALSE),0)</f>
        <v>11089674.200000001</v>
      </c>
      <c r="AW1312" s="246">
        <f>IFERROR(VLOOKUP(G1312,VOL_REC[],2,FALSE),0)</f>
        <v>4325103.1812214684</v>
      </c>
      <c r="AX1312" s="246">
        <f>IFERROR(VLOOKUP(H1312,VOL_REC[],2,FALSE),0)</f>
        <v>15540036.397699751</v>
      </c>
      <c r="AY1312" s="246">
        <f>IFERROR(VLOOKUP(I1312,VOL_REC[],2,FALSE),0)</f>
        <v>1812240</v>
      </c>
      <c r="AZ1312" s="246">
        <f>IFERROR(VLOOKUP(J1312,VOL_REC[],2,FALSE),0)</f>
        <v>240696.79238099116</v>
      </c>
      <c r="BA1312" s="246">
        <f>IFERROR(VLOOKUP(K1312,VOL_REC[],2,FALSE),0)</f>
        <v>663244.80000000016</v>
      </c>
      <c r="BB1312" s="246">
        <f>IFERROR(VLOOKUP(L1312,VOL_REC[],2,FALSE),0)</f>
        <v>17074.045034105649</v>
      </c>
      <c r="BC1312" s="246">
        <f>IFERROR(VLOOKUP(M1312,VOL_REC[],2,FALSE),0)</f>
        <v>0</v>
      </c>
      <c r="BD1312" s="246">
        <f>IFERROR(VLOOKUP(N1312,VOL_REC[],2,FALSE),0)</f>
        <v>0</v>
      </c>
      <c r="BE1312" s="246">
        <f>IFERROR(VLOOKUP(O1312,VOL_REC[],2,FALSE),0)</f>
        <v>0</v>
      </c>
      <c r="BF1312" s="246">
        <f>IFERROR(VLOOKUP(P1312,VOL_REC[],2,FALSE),0)</f>
        <v>0</v>
      </c>
      <c r="BG1312" s="246">
        <f>IFERROR(VLOOKUP(Q1312,VOL_REC[],2,FALSE),0)</f>
        <v>0</v>
      </c>
      <c r="BH1312" s="1710">
        <f t="shared" si="80"/>
        <v>21379331709.392143</v>
      </c>
      <c r="BI1312" s="1710">
        <f t="shared" si="81"/>
        <v>22648604358.762478</v>
      </c>
      <c r="BJ1312" s="1711">
        <f t="shared" si="82"/>
        <v>33688069.416336313</v>
      </c>
      <c r="BK1312" s="1711">
        <f t="shared" si="83"/>
        <v>0.94395801925520118</v>
      </c>
    </row>
    <row r="1313" spans="3:67" x14ac:dyDescent="0.25">
      <c r="C1313" s="246" t="s">
        <v>2663</v>
      </c>
      <c r="D1313" s="246">
        <v>1</v>
      </c>
      <c r="E1313" s="246">
        <v>2</v>
      </c>
      <c r="F1313" s="246">
        <v>3</v>
      </c>
      <c r="G1313" s="246">
        <v>5</v>
      </c>
      <c r="H1313" s="246">
        <v>6</v>
      </c>
      <c r="I1313" s="246">
        <v>10</v>
      </c>
      <c r="J1313" s="246">
        <v>12</v>
      </c>
      <c r="K1313" s="246">
        <v>13</v>
      </c>
      <c r="L1313" s="246">
        <v>15</v>
      </c>
      <c r="M1313" s="246"/>
      <c r="N1313" s="246"/>
      <c r="O1313" s="246"/>
      <c r="P1313" s="246"/>
      <c r="Q1313" s="246"/>
      <c r="R1313" s="246">
        <f>IFERROR(VLOOKUP(D1313,PROGRAMAS[],2,FALSE),0)</f>
        <v>97037803.679377079</v>
      </c>
      <c r="S1313" s="246">
        <f>IFERROR(VLOOKUP(E1313,PROGRAMAS[],2,FALSE),0)</f>
        <v>640501509.6821388</v>
      </c>
      <c r="T1313" s="246">
        <f>IFERROR(VLOOKUP(F1313,PROGRAMAS[],2,FALSE),0)</f>
        <v>3062327798.1525245</v>
      </c>
      <c r="U1313" s="246">
        <f>IFERROR(VLOOKUP(G1313,PROGRAMAS[],2,FALSE),0)</f>
        <v>1440941976.2528784</v>
      </c>
      <c r="V1313" s="246">
        <f>IFERROR(VLOOKUP(H1313,PROGRAMAS[],2,FALSE),0)</f>
        <v>6907648435.8447599</v>
      </c>
      <c r="W1313" s="246">
        <f>IFERROR(VLOOKUP(I1313,PROGRAMAS[],2,FALSE),0)</f>
        <v>4635315027.8751087</v>
      </c>
      <c r="X1313" s="246">
        <f>IFERROR(VLOOKUP(J1313,PROGRAMAS[],2,FALSE),0)</f>
        <v>764796700.79905891</v>
      </c>
      <c r="Y1313" s="246">
        <f>IFERROR(VLOOKUP(K1313,PROGRAMAS[],2,FALSE),0)</f>
        <v>3776538594.4604583</v>
      </c>
      <c r="Z1313" s="246">
        <f>IFERROR(VLOOKUP(L1313,PROGRAMAS[],2,FALSE),0)</f>
        <v>122159672.96346797</v>
      </c>
      <c r="AA1313" s="246">
        <f>IFERROR(VLOOKUP(M1313,PROGRAMAS[],2,FALSE),0)</f>
        <v>0</v>
      </c>
      <c r="AB1313" s="246">
        <f>IFERROR(VLOOKUP(N1313,PROGRAMAS[],2,FALSE),0)</f>
        <v>0</v>
      </c>
      <c r="AC1313" s="246">
        <f>IFERROR(VLOOKUP(O1313,PROGRAMAS[],2,FALSE),0)</f>
        <v>0</v>
      </c>
      <c r="AD1313" s="246">
        <f>IFERROR(VLOOKUP(P1313,PROGRAMAS[],2,FALSE),0)</f>
        <v>0</v>
      </c>
      <c r="AE1313" s="246">
        <f>IFERROR(VLOOKUP(Q1313,PROGRAMAS[],2,FALSE),0)</f>
        <v>0</v>
      </c>
      <c r="AF1313" s="246">
        <f>IFERROR(VLOOKUP(D1313,PROGRAMAS[],3,FALSE),0)</f>
        <v>841888629.31080008</v>
      </c>
      <c r="AG1313" s="246">
        <f>IFERROR(VLOOKUP(E1313,PROGRAMAS[],3,FALSE),0)</f>
        <v>3848980803.1642323</v>
      </c>
      <c r="AH1313" s="246">
        <f>IFERROR(VLOOKUP(F1313,PROGRAMAS[],3,FALSE),0)</f>
        <v>3394901471.387517</v>
      </c>
      <c r="AI1313" s="246">
        <f>IFERROR(VLOOKUP(G1313,PROGRAMAS[],3,FALSE),0)</f>
        <v>1233505101.0616004</v>
      </c>
      <c r="AJ1313" s="246">
        <f>IFERROR(VLOOKUP(H1313,PROGRAMAS[],3,FALSE),0)</f>
        <v>6129902208.7912121</v>
      </c>
      <c r="AK1313" s="246">
        <f>IFERROR(VLOOKUP(I1313,PROGRAMAS[],3,FALSE),0)</f>
        <v>4099471734.9978786</v>
      </c>
      <c r="AL1313" s="246">
        <f>IFERROR(VLOOKUP(J1313,PROGRAMAS[],3,FALSE),0)</f>
        <v>675517840.109828</v>
      </c>
      <c r="AM1313" s="246">
        <f>IFERROR(VLOOKUP(K1313,PROGRAMAS[],3,FALSE),0)</f>
        <v>2392571243.5584412</v>
      </c>
      <c r="AN1313" s="246">
        <f>IFERROR(VLOOKUP(L1313,PROGRAMAS[],3,FALSE),0)</f>
        <v>118617452.52510804</v>
      </c>
      <c r="AO1313" s="246">
        <f>IFERROR(VLOOKUP(M1313,PROGRAMAS[],3,FALSE),0)</f>
        <v>0</v>
      </c>
      <c r="AP1313" s="246">
        <f>IFERROR(VLOOKUP(N1313,PROGRAMAS[],3,FALSE),0)</f>
        <v>0</v>
      </c>
      <c r="AQ1313" s="246">
        <f>IFERROR(VLOOKUP(O1313,PROGRAMAS[],3,FALSE),0)</f>
        <v>0</v>
      </c>
      <c r="AR1313" s="246">
        <f>IFERROR(VLOOKUP(P1313,PROGRAMAS[],3,FALSE),0)</f>
        <v>0</v>
      </c>
      <c r="AS1313" s="246">
        <f>IFERROR(VLOOKUP(Q1313,PROGRAMAS[],3,FALSE),0)</f>
        <v>0</v>
      </c>
      <c r="AT1313" s="246">
        <f>IFERROR(VLOOKUP(D1313,VOL_REC[],2,FALSE),0)</f>
        <v>0</v>
      </c>
      <c r="AU1313" s="246">
        <f>IFERROR(VLOOKUP(E1313,VOL_REC[],2,FALSE),0)</f>
        <v>0</v>
      </c>
      <c r="AV1313" s="246">
        <f>IFERROR(VLOOKUP(F1313,VOL_REC[],2,FALSE),0)</f>
        <v>11089674.200000001</v>
      </c>
      <c r="AW1313" s="246">
        <f>IFERROR(VLOOKUP(G1313,VOL_REC[],2,FALSE),0)</f>
        <v>4325103.1812214684</v>
      </c>
      <c r="AX1313" s="246">
        <f>IFERROR(VLOOKUP(H1313,VOL_REC[],2,FALSE),0)</f>
        <v>15540036.397699751</v>
      </c>
      <c r="AY1313" s="246">
        <f>IFERROR(VLOOKUP(I1313,VOL_REC[],2,FALSE),0)</f>
        <v>1812240</v>
      </c>
      <c r="AZ1313" s="246">
        <f>IFERROR(VLOOKUP(J1313,VOL_REC[],2,FALSE),0)</f>
        <v>240696.79238099116</v>
      </c>
      <c r="BA1313" s="246">
        <f>IFERROR(VLOOKUP(K1313,VOL_REC[],2,FALSE),0)</f>
        <v>663244.80000000016</v>
      </c>
      <c r="BB1313" s="246">
        <f>IFERROR(VLOOKUP(L1313,VOL_REC[],2,FALSE),0)</f>
        <v>105072</v>
      </c>
      <c r="BC1313" s="246">
        <f>IFERROR(VLOOKUP(M1313,VOL_REC[],2,FALSE),0)</f>
        <v>0</v>
      </c>
      <c r="BD1313" s="246">
        <f>IFERROR(VLOOKUP(N1313,VOL_REC[],2,FALSE),0)</f>
        <v>0</v>
      </c>
      <c r="BE1313" s="246">
        <f>IFERROR(VLOOKUP(O1313,VOL_REC[],2,FALSE),0)</f>
        <v>0</v>
      </c>
      <c r="BF1313" s="246">
        <f>IFERROR(VLOOKUP(P1313,VOL_REC[],2,FALSE),0)</f>
        <v>0</v>
      </c>
      <c r="BG1313" s="246">
        <f>IFERROR(VLOOKUP(Q1313,VOL_REC[],2,FALSE),0)</f>
        <v>0</v>
      </c>
      <c r="BH1313" s="1710">
        <f t="shared" si="80"/>
        <v>21447267519.70977</v>
      </c>
      <c r="BI1313" s="1710">
        <f t="shared" si="81"/>
        <v>22735356484.90662</v>
      </c>
      <c r="BJ1313" s="1711">
        <f t="shared" si="82"/>
        <v>33776067.37130221</v>
      </c>
      <c r="BK1313" s="1711">
        <f t="shared" si="83"/>
        <v>0.94334423715537619</v>
      </c>
    </row>
    <row r="1314" spans="3:67" x14ac:dyDescent="0.25">
      <c r="C1314" s="246" t="s">
        <v>2664</v>
      </c>
      <c r="D1314" s="246">
        <v>1</v>
      </c>
      <c r="E1314" s="246">
        <v>2</v>
      </c>
      <c r="F1314" s="246">
        <v>3</v>
      </c>
      <c r="G1314" s="246">
        <v>5</v>
      </c>
      <c r="H1314" s="246">
        <v>6</v>
      </c>
      <c r="I1314" s="246">
        <v>10</v>
      </c>
      <c r="J1314" s="246">
        <v>12</v>
      </c>
      <c r="K1314" s="246">
        <v>13</v>
      </c>
      <c r="L1314" s="246">
        <v>16</v>
      </c>
      <c r="M1314" s="246"/>
      <c r="N1314" s="246"/>
      <c r="O1314" s="246"/>
      <c r="P1314" s="246"/>
      <c r="Q1314" s="246"/>
      <c r="R1314" s="246">
        <f>IFERROR(VLOOKUP(D1314,PROGRAMAS[],2,FALSE),0)</f>
        <v>97037803.679377079</v>
      </c>
      <c r="S1314" s="246">
        <f>IFERROR(VLOOKUP(E1314,PROGRAMAS[],2,FALSE),0)</f>
        <v>640501509.6821388</v>
      </c>
      <c r="T1314" s="246">
        <f>IFERROR(VLOOKUP(F1314,PROGRAMAS[],2,FALSE),0)</f>
        <v>3062327798.1525245</v>
      </c>
      <c r="U1314" s="246">
        <f>IFERROR(VLOOKUP(G1314,PROGRAMAS[],2,FALSE),0)</f>
        <v>1440941976.2528784</v>
      </c>
      <c r="V1314" s="246">
        <f>IFERROR(VLOOKUP(H1314,PROGRAMAS[],2,FALSE),0)</f>
        <v>6907648435.8447599</v>
      </c>
      <c r="W1314" s="246">
        <f>IFERROR(VLOOKUP(I1314,PROGRAMAS[],2,FALSE),0)</f>
        <v>4635315027.8751087</v>
      </c>
      <c r="X1314" s="246">
        <f>IFERROR(VLOOKUP(J1314,PROGRAMAS[],2,FALSE),0)</f>
        <v>764796700.79905891</v>
      </c>
      <c r="Y1314" s="246">
        <f>IFERROR(VLOOKUP(K1314,PROGRAMAS[],2,FALSE),0)</f>
        <v>3776538594.4604583</v>
      </c>
      <c r="Z1314" s="246">
        <f>IFERROR(VLOOKUP(L1314,PROGRAMAS[],2,FALSE),0)</f>
        <v>7068496961.0436354</v>
      </c>
      <c r="AA1314" s="246">
        <f>IFERROR(VLOOKUP(M1314,PROGRAMAS[],2,FALSE),0)</f>
        <v>0</v>
      </c>
      <c r="AB1314" s="246">
        <f>IFERROR(VLOOKUP(N1314,PROGRAMAS[],2,FALSE),0)</f>
        <v>0</v>
      </c>
      <c r="AC1314" s="246">
        <f>IFERROR(VLOOKUP(O1314,PROGRAMAS[],2,FALSE),0)</f>
        <v>0</v>
      </c>
      <c r="AD1314" s="246">
        <f>IFERROR(VLOOKUP(P1314,PROGRAMAS[],2,FALSE),0)</f>
        <v>0</v>
      </c>
      <c r="AE1314" s="246">
        <f>IFERROR(VLOOKUP(Q1314,PROGRAMAS[],2,FALSE),0)</f>
        <v>0</v>
      </c>
      <c r="AF1314" s="246">
        <f>IFERROR(VLOOKUP(D1314,PROGRAMAS[],3,FALSE),0)</f>
        <v>841888629.31080008</v>
      </c>
      <c r="AG1314" s="246">
        <f>IFERROR(VLOOKUP(E1314,PROGRAMAS[],3,FALSE),0)</f>
        <v>3848980803.1642323</v>
      </c>
      <c r="AH1314" s="246">
        <f>IFERROR(VLOOKUP(F1314,PROGRAMAS[],3,FALSE),0)</f>
        <v>3394901471.387517</v>
      </c>
      <c r="AI1314" s="246">
        <f>IFERROR(VLOOKUP(G1314,PROGRAMAS[],3,FALSE),0)</f>
        <v>1233505101.0616004</v>
      </c>
      <c r="AJ1314" s="246">
        <f>IFERROR(VLOOKUP(H1314,PROGRAMAS[],3,FALSE),0)</f>
        <v>6129902208.7912121</v>
      </c>
      <c r="AK1314" s="246">
        <f>IFERROR(VLOOKUP(I1314,PROGRAMAS[],3,FALSE),0)</f>
        <v>4099471734.9978786</v>
      </c>
      <c r="AL1314" s="246">
        <f>IFERROR(VLOOKUP(J1314,PROGRAMAS[],3,FALSE),0)</f>
        <v>675517840.109828</v>
      </c>
      <c r="AM1314" s="246">
        <f>IFERROR(VLOOKUP(K1314,PROGRAMAS[],3,FALSE),0)</f>
        <v>2392571243.5584412</v>
      </c>
      <c r="AN1314" s="246">
        <f>IFERROR(VLOOKUP(L1314,PROGRAMAS[],3,FALSE),0)</f>
        <v>2406564599.0319901</v>
      </c>
      <c r="AO1314" s="246">
        <f>IFERROR(VLOOKUP(M1314,PROGRAMAS[],3,FALSE),0)</f>
        <v>0</v>
      </c>
      <c r="AP1314" s="246">
        <f>IFERROR(VLOOKUP(N1314,PROGRAMAS[],3,FALSE),0)</f>
        <v>0</v>
      </c>
      <c r="AQ1314" s="246">
        <f>IFERROR(VLOOKUP(O1314,PROGRAMAS[],3,FALSE),0)</f>
        <v>0</v>
      </c>
      <c r="AR1314" s="246">
        <f>IFERROR(VLOOKUP(P1314,PROGRAMAS[],3,FALSE),0)</f>
        <v>0</v>
      </c>
      <c r="AS1314" s="246">
        <f>IFERROR(VLOOKUP(Q1314,PROGRAMAS[],3,FALSE),0)</f>
        <v>0</v>
      </c>
      <c r="AT1314" s="246">
        <f>IFERROR(VLOOKUP(D1314,VOL_REC[],2,FALSE),0)</f>
        <v>0</v>
      </c>
      <c r="AU1314" s="246">
        <f>IFERROR(VLOOKUP(E1314,VOL_REC[],2,FALSE),0)</f>
        <v>0</v>
      </c>
      <c r="AV1314" s="246">
        <f>IFERROR(VLOOKUP(F1314,VOL_REC[],2,FALSE),0)</f>
        <v>11089674.200000001</v>
      </c>
      <c r="AW1314" s="246">
        <f>IFERROR(VLOOKUP(G1314,VOL_REC[],2,FALSE),0)</f>
        <v>4325103.1812214684</v>
      </c>
      <c r="AX1314" s="246">
        <f>IFERROR(VLOOKUP(H1314,VOL_REC[],2,FALSE),0)</f>
        <v>15540036.397699751</v>
      </c>
      <c r="AY1314" s="246">
        <f>IFERROR(VLOOKUP(I1314,VOL_REC[],2,FALSE),0)</f>
        <v>1812240</v>
      </c>
      <c r="AZ1314" s="246">
        <f>IFERROR(VLOOKUP(J1314,VOL_REC[],2,FALSE),0)</f>
        <v>240696.79238099116</v>
      </c>
      <c r="BA1314" s="246">
        <f>IFERROR(VLOOKUP(K1314,VOL_REC[],2,FALSE),0)</f>
        <v>663244.80000000016</v>
      </c>
      <c r="BB1314" s="246">
        <f>IFERROR(VLOOKUP(L1314,VOL_REC[],2,FALSE),0)</f>
        <v>1072354.9981737854</v>
      </c>
      <c r="BC1314" s="246">
        <f>IFERROR(VLOOKUP(M1314,VOL_REC[],2,FALSE),0)</f>
        <v>0</v>
      </c>
      <c r="BD1314" s="246">
        <f>IFERROR(VLOOKUP(N1314,VOL_REC[],2,FALSE),0)</f>
        <v>0</v>
      </c>
      <c r="BE1314" s="246">
        <f>IFERROR(VLOOKUP(O1314,VOL_REC[],2,FALSE),0)</f>
        <v>0</v>
      </c>
      <c r="BF1314" s="246">
        <f>IFERROR(VLOOKUP(P1314,VOL_REC[],2,FALSE),0)</f>
        <v>0</v>
      </c>
      <c r="BG1314" s="246">
        <f>IFERROR(VLOOKUP(Q1314,VOL_REC[],2,FALSE),0)</f>
        <v>0</v>
      </c>
      <c r="BH1314" s="1710">
        <f t="shared" si="80"/>
        <v>28393604807.78994</v>
      </c>
      <c r="BI1314" s="1710">
        <f t="shared" si="81"/>
        <v>25023303631.413502</v>
      </c>
      <c r="BJ1314" s="1711">
        <f t="shared" si="82"/>
        <v>34743350.369475998</v>
      </c>
      <c r="BK1314" s="1711">
        <f t="shared" si="83"/>
        <v>1.1346864996732671</v>
      </c>
      <c r="BL1314">
        <f>BJ1314</f>
        <v>34743350.369475998</v>
      </c>
      <c r="BO1314">
        <f>BL1314</f>
        <v>34743350.369475998</v>
      </c>
    </row>
    <row r="1315" spans="3:67" x14ac:dyDescent="0.25">
      <c r="C1315" s="246" t="s">
        <v>2665</v>
      </c>
      <c r="D1315" s="246">
        <v>1</v>
      </c>
      <c r="E1315" s="246">
        <v>2</v>
      </c>
      <c r="F1315" s="246">
        <v>3</v>
      </c>
      <c r="G1315" s="246">
        <v>5</v>
      </c>
      <c r="H1315" s="246">
        <v>6</v>
      </c>
      <c r="I1315" s="246">
        <v>10</v>
      </c>
      <c r="J1315" s="246">
        <v>12</v>
      </c>
      <c r="K1315" s="246">
        <v>13</v>
      </c>
      <c r="L1315" s="246">
        <v>17</v>
      </c>
      <c r="M1315" s="246"/>
      <c r="N1315" s="246"/>
      <c r="O1315" s="246"/>
      <c r="P1315" s="246"/>
      <c r="Q1315" s="246"/>
      <c r="R1315" s="246">
        <f>IFERROR(VLOOKUP(D1315,PROGRAMAS[],2,FALSE),0)</f>
        <v>97037803.679377079</v>
      </c>
      <c r="S1315" s="246">
        <f>IFERROR(VLOOKUP(E1315,PROGRAMAS[],2,FALSE),0)</f>
        <v>640501509.6821388</v>
      </c>
      <c r="T1315" s="246">
        <f>IFERROR(VLOOKUP(F1315,PROGRAMAS[],2,FALSE),0)</f>
        <v>3062327798.1525245</v>
      </c>
      <c r="U1315" s="246">
        <f>IFERROR(VLOOKUP(G1315,PROGRAMAS[],2,FALSE),0)</f>
        <v>1440941976.2528784</v>
      </c>
      <c r="V1315" s="246">
        <f>IFERROR(VLOOKUP(H1315,PROGRAMAS[],2,FALSE),0)</f>
        <v>6907648435.8447599</v>
      </c>
      <c r="W1315" s="246">
        <f>IFERROR(VLOOKUP(I1315,PROGRAMAS[],2,FALSE),0)</f>
        <v>4635315027.8751087</v>
      </c>
      <c r="X1315" s="246">
        <f>IFERROR(VLOOKUP(J1315,PROGRAMAS[],2,FALSE),0)</f>
        <v>764796700.79905891</v>
      </c>
      <c r="Y1315" s="246">
        <f>IFERROR(VLOOKUP(K1315,PROGRAMAS[],2,FALSE),0)</f>
        <v>3776538594.4604583</v>
      </c>
      <c r="Z1315" s="246">
        <f>IFERROR(VLOOKUP(L1315,PROGRAMAS[],2,FALSE),0)</f>
        <v>1892779498.5211046</v>
      </c>
      <c r="AA1315" s="246">
        <f>IFERROR(VLOOKUP(M1315,PROGRAMAS[],2,FALSE),0)</f>
        <v>0</v>
      </c>
      <c r="AB1315" s="246">
        <f>IFERROR(VLOOKUP(N1315,PROGRAMAS[],2,FALSE),0)</f>
        <v>0</v>
      </c>
      <c r="AC1315" s="246">
        <f>IFERROR(VLOOKUP(O1315,PROGRAMAS[],2,FALSE),0)</f>
        <v>0</v>
      </c>
      <c r="AD1315" s="246">
        <f>IFERROR(VLOOKUP(P1315,PROGRAMAS[],2,FALSE),0)</f>
        <v>0</v>
      </c>
      <c r="AE1315" s="246">
        <f>IFERROR(VLOOKUP(Q1315,PROGRAMAS[],2,FALSE),0)</f>
        <v>0</v>
      </c>
      <c r="AF1315" s="246">
        <f>IFERROR(VLOOKUP(D1315,PROGRAMAS[],3,FALSE),0)</f>
        <v>841888629.31080008</v>
      </c>
      <c r="AG1315" s="246">
        <f>IFERROR(VLOOKUP(E1315,PROGRAMAS[],3,FALSE),0)</f>
        <v>3848980803.1642323</v>
      </c>
      <c r="AH1315" s="246">
        <f>IFERROR(VLOOKUP(F1315,PROGRAMAS[],3,FALSE),0)</f>
        <v>3394901471.387517</v>
      </c>
      <c r="AI1315" s="246">
        <f>IFERROR(VLOOKUP(G1315,PROGRAMAS[],3,FALSE),0)</f>
        <v>1233505101.0616004</v>
      </c>
      <c r="AJ1315" s="246">
        <f>IFERROR(VLOOKUP(H1315,PROGRAMAS[],3,FALSE),0)</f>
        <v>6129902208.7912121</v>
      </c>
      <c r="AK1315" s="246">
        <f>IFERROR(VLOOKUP(I1315,PROGRAMAS[],3,FALSE),0)</f>
        <v>4099471734.9978786</v>
      </c>
      <c r="AL1315" s="246">
        <f>IFERROR(VLOOKUP(J1315,PROGRAMAS[],3,FALSE),0)</f>
        <v>675517840.109828</v>
      </c>
      <c r="AM1315" s="246">
        <f>IFERROR(VLOOKUP(K1315,PROGRAMAS[],3,FALSE),0)</f>
        <v>2392571243.5584412</v>
      </c>
      <c r="AN1315" s="246">
        <f>IFERROR(VLOOKUP(L1315,PROGRAMAS[],3,FALSE),0)</f>
        <v>948595847.09039903</v>
      </c>
      <c r="AO1315" s="246">
        <f>IFERROR(VLOOKUP(M1315,PROGRAMAS[],3,FALSE),0)</f>
        <v>0</v>
      </c>
      <c r="AP1315" s="246">
        <f>IFERROR(VLOOKUP(N1315,PROGRAMAS[],3,FALSE),0)</f>
        <v>0</v>
      </c>
      <c r="AQ1315" s="246">
        <f>IFERROR(VLOOKUP(O1315,PROGRAMAS[],3,FALSE),0)</f>
        <v>0</v>
      </c>
      <c r="AR1315" s="246">
        <f>IFERROR(VLOOKUP(P1315,PROGRAMAS[],3,FALSE),0)</f>
        <v>0</v>
      </c>
      <c r="AS1315" s="246">
        <f>IFERROR(VLOOKUP(Q1315,PROGRAMAS[],3,FALSE),0)</f>
        <v>0</v>
      </c>
      <c r="AT1315" s="246">
        <f>IFERROR(VLOOKUP(D1315,VOL_REC[],2,FALSE),0)</f>
        <v>0</v>
      </c>
      <c r="AU1315" s="246">
        <f>IFERROR(VLOOKUP(E1315,VOL_REC[],2,FALSE),0)</f>
        <v>0</v>
      </c>
      <c r="AV1315" s="246">
        <f>IFERROR(VLOOKUP(F1315,VOL_REC[],2,FALSE),0)</f>
        <v>11089674.200000001</v>
      </c>
      <c r="AW1315" s="246">
        <f>IFERROR(VLOOKUP(G1315,VOL_REC[],2,FALSE),0)</f>
        <v>4325103.1812214684</v>
      </c>
      <c r="AX1315" s="246">
        <f>IFERROR(VLOOKUP(H1315,VOL_REC[],2,FALSE),0)</f>
        <v>15540036.397699751</v>
      </c>
      <c r="AY1315" s="246">
        <f>IFERROR(VLOOKUP(I1315,VOL_REC[],2,FALSE),0)</f>
        <v>1812240</v>
      </c>
      <c r="AZ1315" s="246">
        <f>IFERROR(VLOOKUP(J1315,VOL_REC[],2,FALSE),0)</f>
        <v>240696.79238099116</v>
      </c>
      <c r="BA1315" s="246">
        <f>IFERROR(VLOOKUP(K1315,VOL_REC[],2,FALSE),0)</f>
        <v>663244.80000000016</v>
      </c>
      <c r="BB1315" s="246">
        <f>IFERROR(VLOOKUP(L1315,VOL_REC[],2,FALSE),0)</f>
        <v>740113.98115702497</v>
      </c>
      <c r="BC1315" s="246">
        <f>IFERROR(VLOOKUP(M1315,VOL_REC[],2,FALSE),0)</f>
        <v>0</v>
      </c>
      <c r="BD1315" s="246">
        <f>IFERROR(VLOOKUP(N1315,VOL_REC[],2,FALSE),0)</f>
        <v>0</v>
      </c>
      <c r="BE1315" s="246">
        <f>IFERROR(VLOOKUP(O1315,VOL_REC[],2,FALSE),0)</f>
        <v>0</v>
      </c>
      <c r="BF1315" s="246">
        <f>IFERROR(VLOOKUP(P1315,VOL_REC[],2,FALSE),0)</f>
        <v>0</v>
      </c>
      <c r="BG1315" s="246">
        <f>IFERROR(VLOOKUP(Q1315,VOL_REC[],2,FALSE),0)</f>
        <v>0</v>
      </c>
      <c r="BH1315" s="1710">
        <f t="shared" si="80"/>
        <v>23217887345.267406</v>
      </c>
      <c r="BI1315" s="1710">
        <f t="shared" si="81"/>
        <v>23565334879.471912</v>
      </c>
      <c r="BJ1315" s="1711">
        <f t="shared" si="82"/>
        <v>34411109.352459237</v>
      </c>
      <c r="BK1315" s="1711">
        <f t="shared" si="83"/>
        <v>0.98525598995382102</v>
      </c>
    </row>
    <row r="1316" spans="3:67" x14ac:dyDescent="0.25">
      <c r="C1316" s="246" t="s">
        <v>2666</v>
      </c>
      <c r="D1316" s="246">
        <v>1</v>
      </c>
      <c r="E1316" s="246">
        <v>2</v>
      </c>
      <c r="F1316" s="246">
        <v>3</v>
      </c>
      <c r="G1316" s="246">
        <v>5</v>
      </c>
      <c r="H1316" s="246">
        <v>6</v>
      </c>
      <c r="I1316" s="246">
        <v>10</v>
      </c>
      <c r="J1316" s="246">
        <v>12</v>
      </c>
      <c r="K1316" s="246">
        <v>14</v>
      </c>
      <c r="L1316" s="246">
        <v>15</v>
      </c>
      <c r="M1316" s="246"/>
      <c r="N1316" s="246"/>
      <c r="O1316" s="246"/>
      <c r="P1316" s="246"/>
      <c r="Q1316" s="246"/>
      <c r="R1316" s="246">
        <f>IFERROR(VLOOKUP(D1316,PROGRAMAS[],2,FALSE),0)</f>
        <v>97037803.679377079</v>
      </c>
      <c r="S1316" s="246">
        <f>IFERROR(VLOOKUP(E1316,PROGRAMAS[],2,FALSE),0)</f>
        <v>640501509.6821388</v>
      </c>
      <c r="T1316" s="246">
        <f>IFERROR(VLOOKUP(F1316,PROGRAMAS[],2,FALSE),0)</f>
        <v>3062327798.1525245</v>
      </c>
      <c r="U1316" s="246">
        <f>IFERROR(VLOOKUP(G1316,PROGRAMAS[],2,FALSE),0)</f>
        <v>1440941976.2528784</v>
      </c>
      <c r="V1316" s="246">
        <f>IFERROR(VLOOKUP(H1316,PROGRAMAS[],2,FALSE),0)</f>
        <v>6907648435.8447599</v>
      </c>
      <c r="W1316" s="246">
        <f>IFERROR(VLOOKUP(I1316,PROGRAMAS[],2,FALSE),0)</f>
        <v>4635315027.8751087</v>
      </c>
      <c r="X1316" s="246">
        <f>IFERROR(VLOOKUP(J1316,PROGRAMAS[],2,FALSE),0)</f>
        <v>764796700.79905891</v>
      </c>
      <c r="Y1316" s="246">
        <f>IFERROR(VLOOKUP(K1316,PROGRAMAS[],2,FALSE),0)</f>
        <v>54223862.645839565</v>
      </c>
      <c r="Z1316" s="246">
        <f>IFERROR(VLOOKUP(L1316,PROGRAMAS[],2,FALSE),0)</f>
        <v>122159672.96346797</v>
      </c>
      <c r="AA1316" s="246">
        <f>IFERROR(VLOOKUP(M1316,PROGRAMAS[],2,FALSE),0)</f>
        <v>0</v>
      </c>
      <c r="AB1316" s="246">
        <f>IFERROR(VLOOKUP(N1316,PROGRAMAS[],2,FALSE),0)</f>
        <v>0</v>
      </c>
      <c r="AC1316" s="246">
        <f>IFERROR(VLOOKUP(O1316,PROGRAMAS[],2,FALSE),0)</f>
        <v>0</v>
      </c>
      <c r="AD1316" s="246">
        <f>IFERROR(VLOOKUP(P1316,PROGRAMAS[],2,FALSE),0)</f>
        <v>0</v>
      </c>
      <c r="AE1316" s="246">
        <f>IFERROR(VLOOKUP(Q1316,PROGRAMAS[],2,FALSE),0)</f>
        <v>0</v>
      </c>
      <c r="AF1316" s="246">
        <f>IFERROR(VLOOKUP(D1316,PROGRAMAS[],3,FALSE),0)</f>
        <v>841888629.31080008</v>
      </c>
      <c r="AG1316" s="246">
        <f>IFERROR(VLOOKUP(E1316,PROGRAMAS[],3,FALSE),0)</f>
        <v>3848980803.1642323</v>
      </c>
      <c r="AH1316" s="246">
        <f>IFERROR(VLOOKUP(F1316,PROGRAMAS[],3,FALSE),0)</f>
        <v>3394901471.387517</v>
      </c>
      <c r="AI1316" s="246">
        <f>IFERROR(VLOOKUP(G1316,PROGRAMAS[],3,FALSE),0)</f>
        <v>1233505101.0616004</v>
      </c>
      <c r="AJ1316" s="246">
        <f>IFERROR(VLOOKUP(H1316,PROGRAMAS[],3,FALSE),0)</f>
        <v>6129902208.7912121</v>
      </c>
      <c r="AK1316" s="246">
        <f>IFERROR(VLOOKUP(I1316,PROGRAMAS[],3,FALSE),0)</f>
        <v>4099471734.9978786</v>
      </c>
      <c r="AL1316" s="246">
        <f>IFERROR(VLOOKUP(J1316,PROGRAMAS[],3,FALSE),0)</f>
        <v>675517840.109828</v>
      </c>
      <c r="AM1316" s="246">
        <f>IFERROR(VLOOKUP(K1316,PROGRAMAS[],3,FALSE),0)</f>
        <v>31865326.38096505</v>
      </c>
      <c r="AN1316" s="246">
        <f>IFERROR(VLOOKUP(L1316,PROGRAMAS[],3,FALSE),0)</f>
        <v>118617452.52510804</v>
      </c>
      <c r="AO1316" s="246">
        <f>IFERROR(VLOOKUP(M1316,PROGRAMAS[],3,FALSE),0)</f>
        <v>0</v>
      </c>
      <c r="AP1316" s="246">
        <f>IFERROR(VLOOKUP(N1316,PROGRAMAS[],3,FALSE),0)</f>
        <v>0</v>
      </c>
      <c r="AQ1316" s="246">
        <f>IFERROR(VLOOKUP(O1316,PROGRAMAS[],3,FALSE),0)</f>
        <v>0</v>
      </c>
      <c r="AR1316" s="246">
        <f>IFERROR(VLOOKUP(P1316,PROGRAMAS[],3,FALSE),0)</f>
        <v>0</v>
      </c>
      <c r="AS1316" s="246">
        <f>IFERROR(VLOOKUP(Q1316,PROGRAMAS[],3,FALSE),0)</f>
        <v>0</v>
      </c>
      <c r="AT1316" s="246">
        <f>IFERROR(VLOOKUP(D1316,VOL_REC[],2,FALSE),0)</f>
        <v>0</v>
      </c>
      <c r="AU1316" s="246">
        <f>IFERROR(VLOOKUP(E1316,VOL_REC[],2,FALSE),0)</f>
        <v>0</v>
      </c>
      <c r="AV1316" s="246">
        <f>IFERROR(VLOOKUP(F1316,VOL_REC[],2,FALSE),0)</f>
        <v>11089674.200000001</v>
      </c>
      <c r="AW1316" s="246">
        <f>IFERROR(VLOOKUP(G1316,VOL_REC[],2,FALSE),0)</f>
        <v>4325103.1812214684</v>
      </c>
      <c r="AX1316" s="246">
        <f>IFERROR(VLOOKUP(H1316,VOL_REC[],2,FALSE),0)</f>
        <v>15540036.397699751</v>
      </c>
      <c r="AY1316" s="246">
        <f>IFERROR(VLOOKUP(I1316,VOL_REC[],2,FALSE),0)</f>
        <v>1812240</v>
      </c>
      <c r="AZ1316" s="246">
        <f>IFERROR(VLOOKUP(J1316,VOL_REC[],2,FALSE),0)</f>
        <v>240696.79238099116</v>
      </c>
      <c r="BA1316" s="246">
        <f>IFERROR(VLOOKUP(K1316,VOL_REC[],2,FALSE),0)</f>
        <v>17074.045034105649</v>
      </c>
      <c r="BB1316" s="246">
        <f>IFERROR(VLOOKUP(L1316,VOL_REC[],2,FALSE),0)</f>
        <v>105072</v>
      </c>
      <c r="BC1316" s="246">
        <f>IFERROR(VLOOKUP(M1316,VOL_REC[],2,FALSE),0)</f>
        <v>0</v>
      </c>
      <c r="BD1316" s="246">
        <f>IFERROR(VLOOKUP(N1316,VOL_REC[],2,FALSE),0)</f>
        <v>0</v>
      </c>
      <c r="BE1316" s="246">
        <f>IFERROR(VLOOKUP(O1316,VOL_REC[],2,FALSE),0)</f>
        <v>0</v>
      </c>
      <c r="BF1316" s="246">
        <f>IFERROR(VLOOKUP(P1316,VOL_REC[],2,FALSE),0)</f>
        <v>0</v>
      </c>
      <c r="BG1316" s="246">
        <f>IFERROR(VLOOKUP(Q1316,VOL_REC[],2,FALSE),0)</f>
        <v>0</v>
      </c>
      <c r="BH1316" s="1710">
        <f t="shared" si="80"/>
        <v>17724952787.895153</v>
      </c>
      <c r="BI1316" s="1710">
        <f t="shared" si="81"/>
        <v>20374650567.729145</v>
      </c>
      <c r="BJ1316" s="1711">
        <f t="shared" si="82"/>
        <v>33129896.61633632</v>
      </c>
      <c r="BK1316" s="1711">
        <f t="shared" si="83"/>
        <v>0.86995125285580233</v>
      </c>
    </row>
    <row r="1317" spans="3:67" x14ac:dyDescent="0.25">
      <c r="C1317" s="246" t="s">
        <v>2667</v>
      </c>
      <c r="D1317" s="246">
        <v>1</v>
      </c>
      <c r="E1317" s="246">
        <v>2</v>
      </c>
      <c r="F1317" s="246">
        <v>3</v>
      </c>
      <c r="G1317" s="246">
        <v>5</v>
      </c>
      <c r="H1317" s="246">
        <v>6</v>
      </c>
      <c r="I1317" s="246">
        <v>10</v>
      </c>
      <c r="J1317" s="246">
        <v>12</v>
      </c>
      <c r="K1317" s="246">
        <v>14</v>
      </c>
      <c r="L1317" s="246">
        <v>16</v>
      </c>
      <c r="M1317" s="246"/>
      <c r="N1317" s="246"/>
      <c r="O1317" s="246"/>
      <c r="P1317" s="246"/>
      <c r="Q1317" s="246"/>
      <c r="R1317" s="246">
        <f>IFERROR(VLOOKUP(D1317,PROGRAMAS[],2,FALSE),0)</f>
        <v>97037803.679377079</v>
      </c>
      <c r="S1317" s="246">
        <f>IFERROR(VLOOKUP(E1317,PROGRAMAS[],2,FALSE),0)</f>
        <v>640501509.6821388</v>
      </c>
      <c r="T1317" s="246">
        <f>IFERROR(VLOOKUP(F1317,PROGRAMAS[],2,FALSE),0)</f>
        <v>3062327798.1525245</v>
      </c>
      <c r="U1317" s="246">
        <f>IFERROR(VLOOKUP(G1317,PROGRAMAS[],2,FALSE),0)</f>
        <v>1440941976.2528784</v>
      </c>
      <c r="V1317" s="246">
        <f>IFERROR(VLOOKUP(H1317,PROGRAMAS[],2,FALSE),0)</f>
        <v>6907648435.8447599</v>
      </c>
      <c r="W1317" s="246">
        <f>IFERROR(VLOOKUP(I1317,PROGRAMAS[],2,FALSE),0)</f>
        <v>4635315027.8751087</v>
      </c>
      <c r="X1317" s="246">
        <f>IFERROR(VLOOKUP(J1317,PROGRAMAS[],2,FALSE),0)</f>
        <v>764796700.79905891</v>
      </c>
      <c r="Y1317" s="246">
        <f>IFERROR(VLOOKUP(K1317,PROGRAMAS[],2,FALSE),0)</f>
        <v>54223862.645839565</v>
      </c>
      <c r="Z1317" s="246">
        <f>IFERROR(VLOOKUP(L1317,PROGRAMAS[],2,FALSE),0)</f>
        <v>7068496961.0436354</v>
      </c>
      <c r="AA1317" s="246">
        <f>IFERROR(VLOOKUP(M1317,PROGRAMAS[],2,FALSE),0)</f>
        <v>0</v>
      </c>
      <c r="AB1317" s="246">
        <f>IFERROR(VLOOKUP(N1317,PROGRAMAS[],2,FALSE),0)</f>
        <v>0</v>
      </c>
      <c r="AC1317" s="246">
        <f>IFERROR(VLOOKUP(O1317,PROGRAMAS[],2,FALSE),0)</f>
        <v>0</v>
      </c>
      <c r="AD1317" s="246">
        <f>IFERROR(VLOOKUP(P1317,PROGRAMAS[],2,FALSE),0)</f>
        <v>0</v>
      </c>
      <c r="AE1317" s="246">
        <f>IFERROR(VLOOKUP(Q1317,PROGRAMAS[],2,FALSE),0)</f>
        <v>0</v>
      </c>
      <c r="AF1317" s="246">
        <f>IFERROR(VLOOKUP(D1317,PROGRAMAS[],3,FALSE),0)</f>
        <v>841888629.31080008</v>
      </c>
      <c r="AG1317" s="246">
        <f>IFERROR(VLOOKUP(E1317,PROGRAMAS[],3,FALSE),0)</f>
        <v>3848980803.1642323</v>
      </c>
      <c r="AH1317" s="246">
        <f>IFERROR(VLOOKUP(F1317,PROGRAMAS[],3,FALSE),0)</f>
        <v>3394901471.387517</v>
      </c>
      <c r="AI1317" s="246">
        <f>IFERROR(VLOOKUP(G1317,PROGRAMAS[],3,FALSE),0)</f>
        <v>1233505101.0616004</v>
      </c>
      <c r="AJ1317" s="246">
        <f>IFERROR(VLOOKUP(H1317,PROGRAMAS[],3,FALSE),0)</f>
        <v>6129902208.7912121</v>
      </c>
      <c r="AK1317" s="246">
        <f>IFERROR(VLOOKUP(I1317,PROGRAMAS[],3,FALSE),0)</f>
        <v>4099471734.9978786</v>
      </c>
      <c r="AL1317" s="246">
        <f>IFERROR(VLOOKUP(J1317,PROGRAMAS[],3,FALSE),0)</f>
        <v>675517840.109828</v>
      </c>
      <c r="AM1317" s="246">
        <f>IFERROR(VLOOKUP(K1317,PROGRAMAS[],3,FALSE),0)</f>
        <v>31865326.38096505</v>
      </c>
      <c r="AN1317" s="246">
        <f>IFERROR(VLOOKUP(L1317,PROGRAMAS[],3,FALSE),0)</f>
        <v>2406564599.0319901</v>
      </c>
      <c r="AO1317" s="246">
        <f>IFERROR(VLOOKUP(M1317,PROGRAMAS[],3,FALSE),0)</f>
        <v>0</v>
      </c>
      <c r="AP1317" s="246">
        <f>IFERROR(VLOOKUP(N1317,PROGRAMAS[],3,FALSE),0)</f>
        <v>0</v>
      </c>
      <c r="AQ1317" s="246">
        <f>IFERROR(VLOOKUP(O1317,PROGRAMAS[],3,FALSE),0)</f>
        <v>0</v>
      </c>
      <c r="AR1317" s="246">
        <f>IFERROR(VLOOKUP(P1317,PROGRAMAS[],3,FALSE),0)</f>
        <v>0</v>
      </c>
      <c r="AS1317" s="246">
        <f>IFERROR(VLOOKUP(Q1317,PROGRAMAS[],3,FALSE),0)</f>
        <v>0</v>
      </c>
      <c r="AT1317" s="246">
        <f>IFERROR(VLOOKUP(D1317,VOL_REC[],2,FALSE),0)</f>
        <v>0</v>
      </c>
      <c r="AU1317" s="246">
        <f>IFERROR(VLOOKUP(E1317,VOL_REC[],2,FALSE),0)</f>
        <v>0</v>
      </c>
      <c r="AV1317" s="246">
        <f>IFERROR(VLOOKUP(F1317,VOL_REC[],2,FALSE),0)</f>
        <v>11089674.200000001</v>
      </c>
      <c r="AW1317" s="246">
        <f>IFERROR(VLOOKUP(G1317,VOL_REC[],2,FALSE),0)</f>
        <v>4325103.1812214684</v>
      </c>
      <c r="AX1317" s="246">
        <f>IFERROR(VLOOKUP(H1317,VOL_REC[],2,FALSE),0)</f>
        <v>15540036.397699751</v>
      </c>
      <c r="AY1317" s="246">
        <f>IFERROR(VLOOKUP(I1317,VOL_REC[],2,FALSE),0)</f>
        <v>1812240</v>
      </c>
      <c r="AZ1317" s="246">
        <f>IFERROR(VLOOKUP(J1317,VOL_REC[],2,FALSE),0)</f>
        <v>240696.79238099116</v>
      </c>
      <c r="BA1317" s="246">
        <f>IFERROR(VLOOKUP(K1317,VOL_REC[],2,FALSE),0)</f>
        <v>17074.045034105649</v>
      </c>
      <c r="BB1317" s="246">
        <f>IFERROR(VLOOKUP(L1317,VOL_REC[],2,FALSE),0)</f>
        <v>1072354.9981737854</v>
      </c>
      <c r="BC1317" s="246">
        <f>IFERROR(VLOOKUP(M1317,VOL_REC[],2,FALSE),0)</f>
        <v>0</v>
      </c>
      <c r="BD1317" s="246">
        <f>IFERROR(VLOOKUP(N1317,VOL_REC[],2,FALSE),0)</f>
        <v>0</v>
      </c>
      <c r="BE1317" s="246">
        <f>IFERROR(VLOOKUP(O1317,VOL_REC[],2,FALSE),0)</f>
        <v>0</v>
      </c>
      <c r="BF1317" s="246">
        <f>IFERROR(VLOOKUP(P1317,VOL_REC[],2,FALSE),0)</f>
        <v>0</v>
      </c>
      <c r="BG1317" s="246">
        <f>IFERROR(VLOOKUP(Q1317,VOL_REC[],2,FALSE),0)</f>
        <v>0</v>
      </c>
      <c r="BH1317" s="1710">
        <f t="shared" si="80"/>
        <v>24671290075.975323</v>
      </c>
      <c r="BI1317" s="1710">
        <f t="shared" si="81"/>
        <v>22662597714.236027</v>
      </c>
      <c r="BJ1317" s="1711">
        <f t="shared" si="82"/>
        <v>34097179.614510104</v>
      </c>
      <c r="BK1317" s="1711">
        <f t="shared" si="83"/>
        <v>1.0886346917095691</v>
      </c>
      <c r="BL1317">
        <f>BJ1317</f>
        <v>34097179.614510104</v>
      </c>
      <c r="BO1317">
        <f>BL1317</f>
        <v>34097179.614510104</v>
      </c>
    </row>
    <row r="1318" spans="3:67" x14ac:dyDescent="0.25">
      <c r="C1318" s="246" t="s">
        <v>2668</v>
      </c>
      <c r="D1318" s="246">
        <v>1</v>
      </c>
      <c r="E1318" s="246">
        <v>2</v>
      </c>
      <c r="F1318" s="246">
        <v>3</v>
      </c>
      <c r="G1318" s="246">
        <v>5</v>
      </c>
      <c r="H1318" s="246">
        <v>6</v>
      </c>
      <c r="I1318" s="246">
        <v>10</v>
      </c>
      <c r="J1318" s="246">
        <v>12</v>
      </c>
      <c r="K1318" s="246">
        <v>14</v>
      </c>
      <c r="L1318" s="246">
        <v>17</v>
      </c>
      <c r="M1318" s="246"/>
      <c r="N1318" s="246"/>
      <c r="O1318" s="246"/>
      <c r="P1318" s="246"/>
      <c r="Q1318" s="246"/>
      <c r="R1318" s="246">
        <f>IFERROR(VLOOKUP(D1318,PROGRAMAS[],2,FALSE),0)</f>
        <v>97037803.679377079</v>
      </c>
      <c r="S1318" s="246">
        <f>IFERROR(VLOOKUP(E1318,PROGRAMAS[],2,FALSE),0)</f>
        <v>640501509.6821388</v>
      </c>
      <c r="T1318" s="246">
        <f>IFERROR(VLOOKUP(F1318,PROGRAMAS[],2,FALSE),0)</f>
        <v>3062327798.1525245</v>
      </c>
      <c r="U1318" s="246">
        <f>IFERROR(VLOOKUP(G1318,PROGRAMAS[],2,FALSE),0)</f>
        <v>1440941976.2528784</v>
      </c>
      <c r="V1318" s="246">
        <f>IFERROR(VLOOKUP(H1318,PROGRAMAS[],2,FALSE),0)</f>
        <v>6907648435.8447599</v>
      </c>
      <c r="W1318" s="246">
        <f>IFERROR(VLOOKUP(I1318,PROGRAMAS[],2,FALSE),0)</f>
        <v>4635315027.8751087</v>
      </c>
      <c r="X1318" s="246">
        <f>IFERROR(VLOOKUP(J1318,PROGRAMAS[],2,FALSE),0)</f>
        <v>764796700.79905891</v>
      </c>
      <c r="Y1318" s="246">
        <f>IFERROR(VLOOKUP(K1318,PROGRAMAS[],2,FALSE),0)</f>
        <v>54223862.645839565</v>
      </c>
      <c r="Z1318" s="246">
        <f>IFERROR(VLOOKUP(L1318,PROGRAMAS[],2,FALSE),0)</f>
        <v>1892779498.5211046</v>
      </c>
      <c r="AA1318" s="246">
        <f>IFERROR(VLOOKUP(M1318,PROGRAMAS[],2,FALSE),0)</f>
        <v>0</v>
      </c>
      <c r="AB1318" s="246">
        <f>IFERROR(VLOOKUP(N1318,PROGRAMAS[],2,FALSE),0)</f>
        <v>0</v>
      </c>
      <c r="AC1318" s="246">
        <f>IFERROR(VLOOKUP(O1318,PROGRAMAS[],2,FALSE),0)</f>
        <v>0</v>
      </c>
      <c r="AD1318" s="246">
        <f>IFERROR(VLOOKUP(P1318,PROGRAMAS[],2,FALSE),0)</f>
        <v>0</v>
      </c>
      <c r="AE1318" s="246">
        <f>IFERROR(VLOOKUP(Q1318,PROGRAMAS[],2,FALSE),0)</f>
        <v>0</v>
      </c>
      <c r="AF1318" s="246">
        <f>IFERROR(VLOOKUP(D1318,PROGRAMAS[],3,FALSE),0)</f>
        <v>841888629.31080008</v>
      </c>
      <c r="AG1318" s="246">
        <f>IFERROR(VLOOKUP(E1318,PROGRAMAS[],3,FALSE),0)</f>
        <v>3848980803.1642323</v>
      </c>
      <c r="AH1318" s="246">
        <f>IFERROR(VLOOKUP(F1318,PROGRAMAS[],3,FALSE),0)</f>
        <v>3394901471.387517</v>
      </c>
      <c r="AI1318" s="246">
        <f>IFERROR(VLOOKUP(G1318,PROGRAMAS[],3,FALSE),0)</f>
        <v>1233505101.0616004</v>
      </c>
      <c r="AJ1318" s="246">
        <f>IFERROR(VLOOKUP(H1318,PROGRAMAS[],3,FALSE),0)</f>
        <v>6129902208.7912121</v>
      </c>
      <c r="AK1318" s="246">
        <f>IFERROR(VLOOKUP(I1318,PROGRAMAS[],3,FALSE),0)</f>
        <v>4099471734.9978786</v>
      </c>
      <c r="AL1318" s="246">
        <f>IFERROR(VLOOKUP(J1318,PROGRAMAS[],3,FALSE),0)</f>
        <v>675517840.109828</v>
      </c>
      <c r="AM1318" s="246">
        <f>IFERROR(VLOOKUP(K1318,PROGRAMAS[],3,FALSE),0)</f>
        <v>31865326.38096505</v>
      </c>
      <c r="AN1318" s="246">
        <f>IFERROR(VLOOKUP(L1318,PROGRAMAS[],3,FALSE),0)</f>
        <v>948595847.09039903</v>
      </c>
      <c r="AO1318" s="246">
        <f>IFERROR(VLOOKUP(M1318,PROGRAMAS[],3,FALSE),0)</f>
        <v>0</v>
      </c>
      <c r="AP1318" s="246">
        <f>IFERROR(VLOOKUP(N1318,PROGRAMAS[],3,FALSE),0)</f>
        <v>0</v>
      </c>
      <c r="AQ1318" s="246">
        <f>IFERROR(VLOOKUP(O1318,PROGRAMAS[],3,FALSE),0)</f>
        <v>0</v>
      </c>
      <c r="AR1318" s="246">
        <f>IFERROR(VLOOKUP(P1318,PROGRAMAS[],3,FALSE),0)</f>
        <v>0</v>
      </c>
      <c r="AS1318" s="246">
        <f>IFERROR(VLOOKUP(Q1318,PROGRAMAS[],3,FALSE),0)</f>
        <v>0</v>
      </c>
      <c r="AT1318" s="246">
        <f>IFERROR(VLOOKUP(D1318,VOL_REC[],2,FALSE),0)</f>
        <v>0</v>
      </c>
      <c r="AU1318" s="246">
        <f>IFERROR(VLOOKUP(E1318,VOL_REC[],2,FALSE),0)</f>
        <v>0</v>
      </c>
      <c r="AV1318" s="246">
        <f>IFERROR(VLOOKUP(F1318,VOL_REC[],2,FALSE),0)</f>
        <v>11089674.200000001</v>
      </c>
      <c r="AW1318" s="246">
        <f>IFERROR(VLOOKUP(G1318,VOL_REC[],2,FALSE),0)</f>
        <v>4325103.1812214684</v>
      </c>
      <c r="AX1318" s="246">
        <f>IFERROR(VLOOKUP(H1318,VOL_REC[],2,FALSE),0)</f>
        <v>15540036.397699751</v>
      </c>
      <c r="AY1318" s="246">
        <f>IFERROR(VLOOKUP(I1318,VOL_REC[],2,FALSE),0)</f>
        <v>1812240</v>
      </c>
      <c r="AZ1318" s="246">
        <f>IFERROR(VLOOKUP(J1318,VOL_REC[],2,FALSE),0)</f>
        <v>240696.79238099116</v>
      </c>
      <c r="BA1318" s="246">
        <f>IFERROR(VLOOKUP(K1318,VOL_REC[],2,FALSE),0)</f>
        <v>17074.045034105649</v>
      </c>
      <c r="BB1318" s="246">
        <f>IFERROR(VLOOKUP(L1318,VOL_REC[],2,FALSE),0)</f>
        <v>740113.98115702497</v>
      </c>
      <c r="BC1318" s="246">
        <f>IFERROR(VLOOKUP(M1318,VOL_REC[],2,FALSE),0)</f>
        <v>0</v>
      </c>
      <c r="BD1318" s="246">
        <f>IFERROR(VLOOKUP(N1318,VOL_REC[],2,FALSE),0)</f>
        <v>0</v>
      </c>
      <c r="BE1318" s="246">
        <f>IFERROR(VLOOKUP(O1318,VOL_REC[],2,FALSE),0)</f>
        <v>0</v>
      </c>
      <c r="BF1318" s="246">
        <f>IFERROR(VLOOKUP(P1318,VOL_REC[],2,FALSE),0)</f>
        <v>0</v>
      </c>
      <c r="BG1318" s="246">
        <f>IFERROR(VLOOKUP(Q1318,VOL_REC[],2,FALSE),0)</f>
        <v>0</v>
      </c>
      <c r="BH1318" s="1710">
        <f t="shared" si="80"/>
        <v>19495572613.452789</v>
      </c>
      <c r="BI1318" s="1710">
        <f t="shared" si="81"/>
        <v>21204628962.294437</v>
      </c>
      <c r="BJ1318" s="1711">
        <f t="shared" si="82"/>
        <v>33764938.597493343</v>
      </c>
      <c r="BK1318" s="1711">
        <f t="shared" si="83"/>
        <v>0.91940173290083727</v>
      </c>
    </row>
    <row r="1319" spans="3:67" x14ac:dyDescent="0.25">
      <c r="C1319" s="246" t="s">
        <v>2669</v>
      </c>
      <c r="D1319" s="246">
        <v>1</v>
      </c>
      <c r="E1319" s="246">
        <v>2</v>
      </c>
      <c r="F1319" s="246">
        <v>3</v>
      </c>
      <c r="G1319" s="246">
        <v>5</v>
      </c>
      <c r="H1319" s="246">
        <v>6</v>
      </c>
      <c r="I1319" s="246">
        <v>10</v>
      </c>
      <c r="J1319" s="246">
        <v>12</v>
      </c>
      <c r="K1319" s="246">
        <v>15</v>
      </c>
      <c r="L1319" s="246">
        <v>16</v>
      </c>
      <c r="M1319" s="246"/>
      <c r="N1319" s="246"/>
      <c r="O1319" s="246"/>
      <c r="P1319" s="246"/>
      <c r="Q1319" s="246"/>
      <c r="R1319" s="246">
        <f>IFERROR(VLOOKUP(D1319,PROGRAMAS[],2,FALSE),0)</f>
        <v>97037803.679377079</v>
      </c>
      <c r="S1319" s="246">
        <f>IFERROR(VLOOKUP(E1319,PROGRAMAS[],2,FALSE),0)</f>
        <v>640501509.6821388</v>
      </c>
      <c r="T1319" s="246">
        <f>IFERROR(VLOOKUP(F1319,PROGRAMAS[],2,FALSE),0)</f>
        <v>3062327798.1525245</v>
      </c>
      <c r="U1319" s="246">
        <f>IFERROR(VLOOKUP(G1319,PROGRAMAS[],2,FALSE),0)</f>
        <v>1440941976.2528784</v>
      </c>
      <c r="V1319" s="246">
        <f>IFERROR(VLOOKUP(H1319,PROGRAMAS[],2,FALSE),0)</f>
        <v>6907648435.8447599</v>
      </c>
      <c r="W1319" s="246">
        <f>IFERROR(VLOOKUP(I1319,PROGRAMAS[],2,FALSE),0)</f>
        <v>4635315027.8751087</v>
      </c>
      <c r="X1319" s="246">
        <f>IFERROR(VLOOKUP(J1319,PROGRAMAS[],2,FALSE),0)</f>
        <v>764796700.79905891</v>
      </c>
      <c r="Y1319" s="246">
        <f>IFERROR(VLOOKUP(K1319,PROGRAMAS[],2,FALSE),0)</f>
        <v>122159672.96346797</v>
      </c>
      <c r="Z1319" s="246">
        <f>IFERROR(VLOOKUP(L1319,PROGRAMAS[],2,FALSE),0)</f>
        <v>7068496961.0436354</v>
      </c>
      <c r="AA1319" s="246">
        <f>IFERROR(VLOOKUP(M1319,PROGRAMAS[],2,FALSE),0)</f>
        <v>0</v>
      </c>
      <c r="AB1319" s="246">
        <f>IFERROR(VLOOKUP(N1319,PROGRAMAS[],2,FALSE),0)</f>
        <v>0</v>
      </c>
      <c r="AC1319" s="246">
        <f>IFERROR(VLOOKUP(O1319,PROGRAMAS[],2,FALSE),0)</f>
        <v>0</v>
      </c>
      <c r="AD1319" s="246">
        <f>IFERROR(VLOOKUP(P1319,PROGRAMAS[],2,FALSE),0)</f>
        <v>0</v>
      </c>
      <c r="AE1319" s="246">
        <f>IFERROR(VLOOKUP(Q1319,PROGRAMAS[],2,FALSE),0)</f>
        <v>0</v>
      </c>
      <c r="AF1319" s="246">
        <f>IFERROR(VLOOKUP(D1319,PROGRAMAS[],3,FALSE),0)</f>
        <v>841888629.31080008</v>
      </c>
      <c r="AG1319" s="246">
        <f>IFERROR(VLOOKUP(E1319,PROGRAMAS[],3,FALSE),0)</f>
        <v>3848980803.1642323</v>
      </c>
      <c r="AH1319" s="246">
        <f>IFERROR(VLOOKUP(F1319,PROGRAMAS[],3,FALSE),0)</f>
        <v>3394901471.387517</v>
      </c>
      <c r="AI1319" s="246">
        <f>IFERROR(VLOOKUP(G1319,PROGRAMAS[],3,FALSE),0)</f>
        <v>1233505101.0616004</v>
      </c>
      <c r="AJ1319" s="246">
        <f>IFERROR(VLOOKUP(H1319,PROGRAMAS[],3,FALSE),0)</f>
        <v>6129902208.7912121</v>
      </c>
      <c r="AK1319" s="246">
        <f>IFERROR(VLOOKUP(I1319,PROGRAMAS[],3,FALSE),0)</f>
        <v>4099471734.9978786</v>
      </c>
      <c r="AL1319" s="246">
        <f>IFERROR(VLOOKUP(J1319,PROGRAMAS[],3,FALSE),0)</f>
        <v>675517840.109828</v>
      </c>
      <c r="AM1319" s="246">
        <f>IFERROR(VLOOKUP(K1319,PROGRAMAS[],3,FALSE),0)</f>
        <v>118617452.52510804</v>
      </c>
      <c r="AN1319" s="246">
        <f>IFERROR(VLOOKUP(L1319,PROGRAMAS[],3,FALSE),0)</f>
        <v>2406564599.0319901</v>
      </c>
      <c r="AO1319" s="246">
        <f>IFERROR(VLOOKUP(M1319,PROGRAMAS[],3,FALSE),0)</f>
        <v>0</v>
      </c>
      <c r="AP1319" s="246">
        <f>IFERROR(VLOOKUP(N1319,PROGRAMAS[],3,FALSE),0)</f>
        <v>0</v>
      </c>
      <c r="AQ1319" s="246">
        <f>IFERROR(VLOOKUP(O1319,PROGRAMAS[],3,FALSE),0)</f>
        <v>0</v>
      </c>
      <c r="AR1319" s="246">
        <f>IFERROR(VLOOKUP(P1319,PROGRAMAS[],3,FALSE),0)</f>
        <v>0</v>
      </c>
      <c r="AS1319" s="246">
        <f>IFERROR(VLOOKUP(Q1319,PROGRAMAS[],3,FALSE),0)</f>
        <v>0</v>
      </c>
      <c r="AT1319" s="246">
        <f>IFERROR(VLOOKUP(D1319,VOL_REC[],2,FALSE),0)</f>
        <v>0</v>
      </c>
      <c r="AU1319" s="246">
        <f>IFERROR(VLOOKUP(E1319,VOL_REC[],2,FALSE),0)</f>
        <v>0</v>
      </c>
      <c r="AV1319" s="246">
        <f>IFERROR(VLOOKUP(F1319,VOL_REC[],2,FALSE),0)</f>
        <v>11089674.200000001</v>
      </c>
      <c r="AW1319" s="246">
        <f>IFERROR(VLOOKUP(G1319,VOL_REC[],2,FALSE),0)</f>
        <v>4325103.1812214684</v>
      </c>
      <c r="AX1319" s="246">
        <f>IFERROR(VLOOKUP(H1319,VOL_REC[],2,FALSE),0)</f>
        <v>15540036.397699751</v>
      </c>
      <c r="AY1319" s="246">
        <f>IFERROR(VLOOKUP(I1319,VOL_REC[],2,FALSE),0)</f>
        <v>1812240</v>
      </c>
      <c r="AZ1319" s="246">
        <f>IFERROR(VLOOKUP(J1319,VOL_REC[],2,FALSE),0)</f>
        <v>240696.79238099116</v>
      </c>
      <c r="BA1319" s="246">
        <f>IFERROR(VLOOKUP(K1319,VOL_REC[],2,FALSE),0)</f>
        <v>105072</v>
      </c>
      <c r="BB1319" s="246">
        <f>IFERROR(VLOOKUP(L1319,VOL_REC[],2,FALSE),0)</f>
        <v>1072354.9981737854</v>
      </c>
      <c r="BC1319" s="246">
        <f>IFERROR(VLOOKUP(M1319,VOL_REC[],2,FALSE),0)</f>
        <v>0</v>
      </c>
      <c r="BD1319" s="246">
        <f>IFERROR(VLOOKUP(N1319,VOL_REC[],2,FALSE),0)</f>
        <v>0</v>
      </c>
      <c r="BE1319" s="246">
        <f>IFERROR(VLOOKUP(O1319,VOL_REC[],2,FALSE),0)</f>
        <v>0</v>
      </c>
      <c r="BF1319" s="246">
        <f>IFERROR(VLOOKUP(P1319,VOL_REC[],2,FALSE),0)</f>
        <v>0</v>
      </c>
      <c r="BG1319" s="246">
        <f>IFERROR(VLOOKUP(Q1319,VOL_REC[],2,FALSE),0)</f>
        <v>0</v>
      </c>
      <c r="BH1319" s="1710">
        <f t="shared" si="80"/>
        <v>24739225886.29295</v>
      </c>
      <c r="BI1319" s="1710">
        <f t="shared" si="81"/>
        <v>22749349840.380169</v>
      </c>
      <c r="BJ1319" s="1711">
        <f t="shared" si="82"/>
        <v>34185177.569476001</v>
      </c>
      <c r="BK1319" s="1711">
        <f t="shared" si="83"/>
        <v>1.0874695786857498</v>
      </c>
      <c r="BL1319">
        <f>BJ1319</f>
        <v>34185177.569476001</v>
      </c>
      <c r="BO1319">
        <f>BL1319</f>
        <v>34185177.569476001</v>
      </c>
    </row>
    <row r="1320" spans="3:67" x14ac:dyDescent="0.25">
      <c r="C1320" s="246" t="s">
        <v>2670</v>
      </c>
      <c r="D1320" s="246">
        <v>1</v>
      </c>
      <c r="E1320" s="246">
        <v>2</v>
      </c>
      <c r="F1320" s="246">
        <v>3</v>
      </c>
      <c r="G1320" s="246">
        <v>5</v>
      </c>
      <c r="H1320" s="246">
        <v>6</v>
      </c>
      <c r="I1320" s="246">
        <v>10</v>
      </c>
      <c r="J1320" s="246">
        <v>12</v>
      </c>
      <c r="K1320" s="246">
        <v>15</v>
      </c>
      <c r="L1320" s="246">
        <v>17</v>
      </c>
      <c r="M1320" s="246"/>
      <c r="N1320" s="246"/>
      <c r="O1320" s="246"/>
      <c r="P1320" s="246"/>
      <c r="Q1320" s="246"/>
      <c r="R1320" s="246">
        <f>IFERROR(VLOOKUP(D1320,PROGRAMAS[],2,FALSE),0)</f>
        <v>97037803.679377079</v>
      </c>
      <c r="S1320" s="246">
        <f>IFERROR(VLOOKUP(E1320,PROGRAMAS[],2,FALSE),0)</f>
        <v>640501509.6821388</v>
      </c>
      <c r="T1320" s="246">
        <f>IFERROR(VLOOKUP(F1320,PROGRAMAS[],2,FALSE),0)</f>
        <v>3062327798.1525245</v>
      </c>
      <c r="U1320" s="246">
        <f>IFERROR(VLOOKUP(G1320,PROGRAMAS[],2,FALSE),0)</f>
        <v>1440941976.2528784</v>
      </c>
      <c r="V1320" s="246">
        <f>IFERROR(VLOOKUP(H1320,PROGRAMAS[],2,FALSE),0)</f>
        <v>6907648435.8447599</v>
      </c>
      <c r="W1320" s="246">
        <f>IFERROR(VLOOKUP(I1320,PROGRAMAS[],2,FALSE),0)</f>
        <v>4635315027.8751087</v>
      </c>
      <c r="X1320" s="246">
        <f>IFERROR(VLOOKUP(J1320,PROGRAMAS[],2,FALSE),0)</f>
        <v>764796700.79905891</v>
      </c>
      <c r="Y1320" s="246">
        <f>IFERROR(VLOOKUP(K1320,PROGRAMAS[],2,FALSE),0)</f>
        <v>122159672.96346797</v>
      </c>
      <c r="Z1320" s="246">
        <f>IFERROR(VLOOKUP(L1320,PROGRAMAS[],2,FALSE),0)</f>
        <v>1892779498.5211046</v>
      </c>
      <c r="AA1320" s="246">
        <f>IFERROR(VLOOKUP(M1320,PROGRAMAS[],2,FALSE),0)</f>
        <v>0</v>
      </c>
      <c r="AB1320" s="246">
        <f>IFERROR(VLOOKUP(N1320,PROGRAMAS[],2,FALSE),0)</f>
        <v>0</v>
      </c>
      <c r="AC1320" s="246">
        <f>IFERROR(VLOOKUP(O1320,PROGRAMAS[],2,FALSE),0)</f>
        <v>0</v>
      </c>
      <c r="AD1320" s="246">
        <f>IFERROR(VLOOKUP(P1320,PROGRAMAS[],2,FALSE),0)</f>
        <v>0</v>
      </c>
      <c r="AE1320" s="246">
        <f>IFERROR(VLOOKUP(Q1320,PROGRAMAS[],2,FALSE),0)</f>
        <v>0</v>
      </c>
      <c r="AF1320" s="246">
        <f>IFERROR(VLOOKUP(D1320,PROGRAMAS[],3,FALSE),0)</f>
        <v>841888629.31080008</v>
      </c>
      <c r="AG1320" s="246">
        <f>IFERROR(VLOOKUP(E1320,PROGRAMAS[],3,FALSE),0)</f>
        <v>3848980803.1642323</v>
      </c>
      <c r="AH1320" s="246">
        <f>IFERROR(VLOOKUP(F1320,PROGRAMAS[],3,FALSE),0)</f>
        <v>3394901471.387517</v>
      </c>
      <c r="AI1320" s="246">
        <f>IFERROR(VLOOKUP(G1320,PROGRAMAS[],3,FALSE),0)</f>
        <v>1233505101.0616004</v>
      </c>
      <c r="AJ1320" s="246">
        <f>IFERROR(VLOOKUP(H1320,PROGRAMAS[],3,FALSE),0)</f>
        <v>6129902208.7912121</v>
      </c>
      <c r="AK1320" s="246">
        <f>IFERROR(VLOOKUP(I1320,PROGRAMAS[],3,FALSE),0)</f>
        <v>4099471734.9978786</v>
      </c>
      <c r="AL1320" s="246">
        <f>IFERROR(VLOOKUP(J1320,PROGRAMAS[],3,FALSE),0)</f>
        <v>675517840.109828</v>
      </c>
      <c r="AM1320" s="246">
        <f>IFERROR(VLOOKUP(K1320,PROGRAMAS[],3,FALSE),0)</f>
        <v>118617452.52510804</v>
      </c>
      <c r="AN1320" s="246">
        <f>IFERROR(VLOOKUP(L1320,PROGRAMAS[],3,FALSE),0)</f>
        <v>948595847.09039903</v>
      </c>
      <c r="AO1320" s="246">
        <f>IFERROR(VLOOKUP(M1320,PROGRAMAS[],3,FALSE),0)</f>
        <v>0</v>
      </c>
      <c r="AP1320" s="246">
        <f>IFERROR(VLOOKUP(N1320,PROGRAMAS[],3,FALSE),0)</f>
        <v>0</v>
      </c>
      <c r="AQ1320" s="246">
        <f>IFERROR(VLOOKUP(O1320,PROGRAMAS[],3,FALSE),0)</f>
        <v>0</v>
      </c>
      <c r="AR1320" s="246">
        <f>IFERROR(VLOOKUP(P1320,PROGRAMAS[],3,FALSE),0)</f>
        <v>0</v>
      </c>
      <c r="AS1320" s="246">
        <f>IFERROR(VLOOKUP(Q1320,PROGRAMAS[],3,FALSE),0)</f>
        <v>0</v>
      </c>
      <c r="AT1320" s="246">
        <f>IFERROR(VLOOKUP(D1320,VOL_REC[],2,FALSE),0)</f>
        <v>0</v>
      </c>
      <c r="AU1320" s="246">
        <f>IFERROR(VLOOKUP(E1320,VOL_REC[],2,FALSE),0)</f>
        <v>0</v>
      </c>
      <c r="AV1320" s="246">
        <f>IFERROR(VLOOKUP(F1320,VOL_REC[],2,FALSE),0)</f>
        <v>11089674.200000001</v>
      </c>
      <c r="AW1320" s="246">
        <f>IFERROR(VLOOKUP(G1320,VOL_REC[],2,FALSE),0)</f>
        <v>4325103.1812214684</v>
      </c>
      <c r="AX1320" s="246">
        <f>IFERROR(VLOOKUP(H1320,VOL_REC[],2,FALSE),0)</f>
        <v>15540036.397699751</v>
      </c>
      <c r="AY1320" s="246">
        <f>IFERROR(VLOOKUP(I1320,VOL_REC[],2,FALSE),0)</f>
        <v>1812240</v>
      </c>
      <c r="AZ1320" s="246">
        <f>IFERROR(VLOOKUP(J1320,VOL_REC[],2,FALSE),0)</f>
        <v>240696.79238099116</v>
      </c>
      <c r="BA1320" s="246">
        <f>IFERROR(VLOOKUP(K1320,VOL_REC[],2,FALSE),0)</f>
        <v>105072</v>
      </c>
      <c r="BB1320" s="246">
        <f>IFERROR(VLOOKUP(L1320,VOL_REC[],2,FALSE),0)</f>
        <v>740113.98115702497</v>
      </c>
      <c r="BC1320" s="246">
        <f>IFERROR(VLOOKUP(M1320,VOL_REC[],2,FALSE),0)</f>
        <v>0</v>
      </c>
      <c r="BD1320" s="246">
        <f>IFERROR(VLOOKUP(N1320,VOL_REC[],2,FALSE),0)</f>
        <v>0</v>
      </c>
      <c r="BE1320" s="246">
        <f>IFERROR(VLOOKUP(O1320,VOL_REC[],2,FALSE),0)</f>
        <v>0</v>
      </c>
      <c r="BF1320" s="246">
        <f>IFERROR(VLOOKUP(P1320,VOL_REC[],2,FALSE),0)</f>
        <v>0</v>
      </c>
      <c r="BG1320" s="246">
        <f>IFERROR(VLOOKUP(Q1320,VOL_REC[],2,FALSE),0)</f>
        <v>0</v>
      </c>
      <c r="BH1320" s="1710">
        <f t="shared" si="80"/>
        <v>19563508423.770416</v>
      </c>
      <c r="BI1320" s="1710">
        <f t="shared" si="81"/>
        <v>21291381088.43858</v>
      </c>
      <c r="BJ1320" s="1711">
        <f t="shared" si="82"/>
        <v>33852936.55245924</v>
      </c>
      <c r="BK1320" s="1711">
        <f t="shared" si="83"/>
        <v>0.91884637931700852</v>
      </c>
    </row>
    <row r="1321" spans="3:67" x14ac:dyDescent="0.25">
      <c r="C1321" s="246" t="s">
        <v>2671</v>
      </c>
      <c r="D1321" s="246">
        <v>1</v>
      </c>
      <c r="E1321" s="246">
        <v>2</v>
      </c>
      <c r="F1321" s="246">
        <v>3</v>
      </c>
      <c r="G1321" s="246">
        <v>5</v>
      </c>
      <c r="H1321" s="246">
        <v>6</v>
      </c>
      <c r="I1321" s="246">
        <v>10</v>
      </c>
      <c r="J1321" s="246">
        <v>12</v>
      </c>
      <c r="K1321" s="246">
        <v>16</v>
      </c>
      <c r="L1321" s="246">
        <v>17</v>
      </c>
      <c r="M1321" s="246"/>
      <c r="N1321" s="246"/>
      <c r="O1321" s="246"/>
      <c r="P1321" s="246"/>
      <c r="Q1321" s="246"/>
      <c r="R1321" s="246">
        <f>IFERROR(VLOOKUP(D1321,PROGRAMAS[],2,FALSE),0)</f>
        <v>97037803.679377079</v>
      </c>
      <c r="S1321" s="246">
        <f>IFERROR(VLOOKUP(E1321,PROGRAMAS[],2,FALSE),0)</f>
        <v>640501509.6821388</v>
      </c>
      <c r="T1321" s="246">
        <f>IFERROR(VLOOKUP(F1321,PROGRAMAS[],2,FALSE),0)</f>
        <v>3062327798.1525245</v>
      </c>
      <c r="U1321" s="246">
        <f>IFERROR(VLOOKUP(G1321,PROGRAMAS[],2,FALSE),0)</f>
        <v>1440941976.2528784</v>
      </c>
      <c r="V1321" s="246">
        <f>IFERROR(VLOOKUP(H1321,PROGRAMAS[],2,FALSE),0)</f>
        <v>6907648435.8447599</v>
      </c>
      <c r="W1321" s="246">
        <f>IFERROR(VLOOKUP(I1321,PROGRAMAS[],2,FALSE),0)</f>
        <v>4635315027.8751087</v>
      </c>
      <c r="X1321" s="246">
        <f>IFERROR(VLOOKUP(J1321,PROGRAMAS[],2,FALSE),0)</f>
        <v>764796700.79905891</v>
      </c>
      <c r="Y1321" s="246">
        <f>IFERROR(VLOOKUP(K1321,PROGRAMAS[],2,FALSE),0)</f>
        <v>7068496961.0436354</v>
      </c>
      <c r="Z1321" s="246">
        <f>IFERROR(VLOOKUP(L1321,PROGRAMAS[],2,FALSE),0)</f>
        <v>1892779498.5211046</v>
      </c>
      <c r="AA1321" s="246">
        <f>IFERROR(VLOOKUP(M1321,PROGRAMAS[],2,FALSE),0)</f>
        <v>0</v>
      </c>
      <c r="AB1321" s="246">
        <f>IFERROR(VLOOKUP(N1321,PROGRAMAS[],2,FALSE),0)</f>
        <v>0</v>
      </c>
      <c r="AC1321" s="246">
        <f>IFERROR(VLOOKUP(O1321,PROGRAMAS[],2,FALSE),0)</f>
        <v>0</v>
      </c>
      <c r="AD1321" s="246">
        <f>IFERROR(VLOOKUP(P1321,PROGRAMAS[],2,FALSE),0)</f>
        <v>0</v>
      </c>
      <c r="AE1321" s="246">
        <f>IFERROR(VLOOKUP(Q1321,PROGRAMAS[],2,FALSE),0)</f>
        <v>0</v>
      </c>
      <c r="AF1321" s="246">
        <f>IFERROR(VLOOKUP(D1321,PROGRAMAS[],3,FALSE),0)</f>
        <v>841888629.31080008</v>
      </c>
      <c r="AG1321" s="246">
        <f>IFERROR(VLOOKUP(E1321,PROGRAMAS[],3,FALSE),0)</f>
        <v>3848980803.1642323</v>
      </c>
      <c r="AH1321" s="246">
        <f>IFERROR(VLOOKUP(F1321,PROGRAMAS[],3,FALSE),0)</f>
        <v>3394901471.387517</v>
      </c>
      <c r="AI1321" s="246">
        <f>IFERROR(VLOOKUP(G1321,PROGRAMAS[],3,FALSE),0)</f>
        <v>1233505101.0616004</v>
      </c>
      <c r="AJ1321" s="246">
        <f>IFERROR(VLOOKUP(H1321,PROGRAMAS[],3,FALSE),0)</f>
        <v>6129902208.7912121</v>
      </c>
      <c r="AK1321" s="246">
        <f>IFERROR(VLOOKUP(I1321,PROGRAMAS[],3,FALSE),0)</f>
        <v>4099471734.9978786</v>
      </c>
      <c r="AL1321" s="246">
        <f>IFERROR(VLOOKUP(J1321,PROGRAMAS[],3,FALSE),0)</f>
        <v>675517840.109828</v>
      </c>
      <c r="AM1321" s="246">
        <f>IFERROR(VLOOKUP(K1321,PROGRAMAS[],3,FALSE),0)</f>
        <v>2406564599.0319901</v>
      </c>
      <c r="AN1321" s="246">
        <f>IFERROR(VLOOKUP(L1321,PROGRAMAS[],3,FALSE),0)</f>
        <v>948595847.09039903</v>
      </c>
      <c r="AO1321" s="246">
        <f>IFERROR(VLOOKUP(M1321,PROGRAMAS[],3,FALSE),0)</f>
        <v>0</v>
      </c>
      <c r="AP1321" s="246">
        <f>IFERROR(VLOOKUP(N1321,PROGRAMAS[],3,FALSE),0)</f>
        <v>0</v>
      </c>
      <c r="AQ1321" s="246">
        <f>IFERROR(VLOOKUP(O1321,PROGRAMAS[],3,FALSE),0)</f>
        <v>0</v>
      </c>
      <c r="AR1321" s="246">
        <f>IFERROR(VLOOKUP(P1321,PROGRAMAS[],3,FALSE),0)</f>
        <v>0</v>
      </c>
      <c r="AS1321" s="246">
        <f>IFERROR(VLOOKUP(Q1321,PROGRAMAS[],3,FALSE),0)</f>
        <v>0</v>
      </c>
      <c r="AT1321" s="246">
        <f>IFERROR(VLOOKUP(D1321,VOL_REC[],2,FALSE),0)</f>
        <v>0</v>
      </c>
      <c r="AU1321" s="246">
        <f>IFERROR(VLOOKUP(E1321,VOL_REC[],2,FALSE),0)</f>
        <v>0</v>
      </c>
      <c r="AV1321" s="246">
        <f>IFERROR(VLOOKUP(F1321,VOL_REC[],2,FALSE),0)</f>
        <v>11089674.200000001</v>
      </c>
      <c r="AW1321" s="246">
        <f>IFERROR(VLOOKUP(G1321,VOL_REC[],2,FALSE),0)</f>
        <v>4325103.1812214684</v>
      </c>
      <c r="AX1321" s="246">
        <f>IFERROR(VLOOKUP(H1321,VOL_REC[],2,FALSE),0)</f>
        <v>15540036.397699751</v>
      </c>
      <c r="AY1321" s="246">
        <f>IFERROR(VLOOKUP(I1321,VOL_REC[],2,FALSE),0)</f>
        <v>1812240</v>
      </c>
      <c r="AZ1321" s="246">
        <f>IFERROR(VLOOKUP(J1321,VOL_REC[],2,FALSE),0)</f>
        <v>240696.79238099116</v>
      </c>
      <c r="BA1321" s="246">
        <f>IFERROR(VLOOKUP(K1321,VOL_REC[],2,FALSE),0)</f>
        <v>1072354.9981737854</v>
      </c>
      <c r="BB1321" s="246">
        <f>IFERROR(VLOOKUP(L1321,VOL_REC[],2,FALSE),0)</f>
        <v>740113.98115702497</v>
      </c>
      <c r="BC1321" s="246">
        <f>IFERROR(VLOOKUP(M1321,VOL_REC[],2,FALSE),0)</f>
        <v>0</v>
      </c>
      <c r="BD1321" s="246">
        <f>IFERROR(VLOOKUP(N1321,VOL_REC[],2,FALSE),0)</f>
        <v>0</v>
      </c>
      <c r="BE1321" s="246">
        <f>IFERROR(VLOOKUP(O1321,VOL_REC[],2,FALSE),0)</f>
        <v>0</v>
      </c>
      <c r="BF1321" s="246">
        <f>IFERROR(VLOOKUP(P1321,VOL_REC[],2,FALSE),0)</f>
        <v>0</v>
      </c>
      <c r="BG1321" s="246">
        <f>IFERROR(VLOOKUP(Q1321,VOL_REC[],2,FALSE),0)</f>
        <v>0</v>
      </c>
      <c r="BH1321" s="1710">
        <f t="shared" si="80"/>
        <v>26509845711.850586</v>
      </c>
      <c r="BI1321" s="1710">
        <f t="shared" si="81"/>
        <v>23579328234.945461</v>
      </c>
      <c r="BJ1321" s="1711">
        <f t="shared" si="82"/>
        <v>34820219.550633028</v>
      </c>
      <c r="BK1321" s="1711">
        <f t="shared" si="83"/>
        <v>1.1242833318958589</v>
      </c>
      <c r="BL1321">
        <f>BJ1321</f>
        <v>34820219.550633028</v>
      </c>
      <c r="BO1321">
        <f>BL1321</f>
        <v>34820219.550633028</v>
      </c>
    </row>
    <row r="1322" spans="3:67" x14ac:dyDescent="0.25">
      <c r="C1322" s="246" t="s">
        <v>2672</v>
      </c>
      <c r="D1322" s="246">
        <v>1</v>
      </c>
      <c r="E1322" s="246">
        <v>2</v>
      </c>
      <c r="F1322" s="246">
        <v>3</v>
      </c>
      <c r="G1322" s="246">
        <v>5</v>
      </c>
      <c r="H1322" s="246">
        <v>6</v>
      </c>
      <c r="I1322" s="246">
        <v>10</v>
      </c>
      <c r="J1322" s="246">
        <v>13</v>
      </c>
      <c r="K1322" s="246">
        <v>14</v>
      </c>
      <c r="L1322" s="246">
        <v>15</v>
      </c>
      <c r="M1322" s="246"/>
      <c r="N1322" s="246"/>
      <c r="O1322" s="246"/>
      <c r="P1322" s="246"/>
      <c r="Q1322" s="246"/>
      <c r="R1322" s="246">
        <f>IFERROR(VLOOKUP(D1322,PROGRAMAS[],2,FALSE),0)</f>
        <v>97037803.679377079</v>
      </c>
      <c r="S1322" s="246">
        <f>IFERROR(VLOOKUP(E1322,PROGRAMAS[],2,FALSE),0)</f>
        <v>640501509.6821388</v>
      </c>
      <c r="T1322" s="246">
        <f>IFERROR(VLOOKUP(F1322,PROGRAMAS[],2,FALSE),0)</f>
        <v>3062327798.1525245</v>
      </c>
      <c r="U1322" s="246">
        <f>IFERROR(VLOOKUP(G1322,PROGRAMAS[],2,FALSE),0)</f>
        <v>1440941976.2528784</v>
      </c>
      <c r="V1322" s="246">
        <f>IFERROR(VLOOKUP(H1322,PROGRAMAS[],2,FALSE),0)</f>
        <v>6907648435.8447599</v>
      </c>
      <c r="W1322" s="246">
        <f>IFERROR(VLOOKUP(I1322,PROGRAMAS[],2,FALSE),0)</f>
        <v>4635315027.8751087</v>
      </c>
      <c r="X1322" s="246">
        <f>IFERROR(VLOOKUP(J1322,PROGRAMAS[],2,FALSE),0)</f>
        <v>3776538594.4604583</v>
      </c>
      <c r="Y1322" s="246">
        <f>IFERROR(VLOOKUP(K1322,PROGRAMAS[],2,FALSE),0)</f>
        <v>54223862.645839565</v>
      </c>
      <c r="Z1322" s="246">
        <f>IFERROR(VLOOKUP(L1322,PROGRAMAS[],2,FALSE),0)</f>
        <v>122159672.96346797</v>
      </c>
      <c r="AA1322" s="246">
        <f>IFERROR(VLOOKUP(M1322,PROGRAMAS[],2,FALSE),0)</f>
        <v>0</v>
      </c>
      <c r="AB1322" s="246">
        <f>IFERROR(VLOOKUP(N1322,PROGRAMAS[],2,FALSE),0)</f>
        <v>0</v>
      </c>
      <c r="AC1322" s="246">
        <f>IFERROR(VLOOKUP(O1322,PROGRAMAS[],2,FALSE),0)</f>
        <v>0</v>
      </c>
      <c r="AD1322" s="246">
        <f>IFERROR(VLOOKUP(P1322,PROGRAMAS[],2,FALSE),0)</f>
        <v>0</v>
      </c>
      <c r="AE1322" s="246">
        <f>IFERROR(VLOOKUP(Q1322,PROGRAMAS[],2,FALSE),0)</f>
        <v>0</v>
      </c>
      <c r="AF1322" s="246">
        <f>IFERROR(VLOOKUP(D1322,PROGRAMAS[],3,FALSE),0)</f>
        <v>841888629.31080008</v>
      </c>
      <c r="AG1322" s="246">
        <f>IFERROR(VLOOKUP(E1322,PROGRAMAS[],3,FALSE),0)</f>
        <v>3848980803.1642323</v>
      </c>
      <c r="AH1322" s="246">
        <f>IFERROR(VLOOKUP(F1322,PROGRAMAS[],3,FALSE),0)</f>
        <v>3394901471.387517</v>
      </c>
      <c r="AI1322" s="246">
        <f>IFERROR(VLOOKUP(G1322,PROGRAMAS[],3,FALSE),0)</f>
        <v>1233505101.0616004</v>
      </c>
      <c r="AJ1322" s="246">
        <f>IFERROR(VLOOKUP(H1322,PROGRAMAS[],3,FALSE),0)</f>
        <v>6129902208.7912121</v>
      </c>
      <c r="AK1322" s="246">
        <f>IFERROR(VLOOKUP(I1322,PROGRAMAS[],3,FALSE),0)</f>
        <v>4099471734.9978786</v>
      </c>
      <c r="AL1322" s="246">
        <f>IFERROR(VLOOKUP(J1322,PROGRAMAS[],3,FALSE),0)</f>
        <v>2392571243.5584412</v>
      </c>
      <c r="AM1322" s="246">
        <f>IFERROR(VLOOKUP(K1322,PROGRAMAS[],3,FALSE),0)</f>
        <v>31865326.38096505</v>
      </c>
      <c r="AN1322" s="246">
        <f>IFERROR(VLOOKUP(L1322,PROGRAMAS[],3,FALSE),0)</f>
        <v>118617452.52510804</v>
      </c>
      <c r="AO1322" s="246">
        <f>IFERROR(VLOOKUP(M1322,PROGRAMAS[],3,FALSE),0)</f>
        <v>0</v>
      </c>
      <c r="AP1322" s="246">
        <f>IFERROR(VLOOKUP(N1322,PROGRAMAS[],3,FALSE),0)</f>
        <v>0</v>
      </c>
      <c r="AQ1322" s="246">
        <f>IFERROR(VLOOKUP(O1322,PROGRAMAS[],3,FALSE),0)</f>
        <v>0</v>
      </c>
      <c r="AR1322" s="246">
        <f>IFERROR(VLOOKUP(P1322,PROGRAMAS[],3,FALSE),0)</f>
        <v>0</v>
      </c>
      <c r="AS1322" s="246">
        <f>IFERROR(VLOOKUP(Q1322,PROGRAMAS[],3,FALSE),0)</f>
        <v>0</v>
      </c>
      <c r="AT1322" s="246">
        <f>IFERROR(VLOOKUP(D1322,VOL_REC[],2,FALSE),0)</f>
        <v>0</v>
      </c>
      <c r="AU1322" s="246">
        <f>IFERROR(VLOOKUP(E1322,VOL_REC[],2,FALSE),0)</f>
        <v>0</v>
      </c>
      <c r="AV1322" s="246">
        <f>IFERROR(VLOOKUP(F1322,VOL_REC[],2,FALSE),0)</f>
        <v>11089674.200000001</v>
      </c>
      <c r="AW1322" s="246">
        <f>IFERROR(VLOOKUP(G1322,VOL_REC[],2,FALSE),0)</f>
        <v>4325103.1812214684</v>
      </c>
      <c r="AX1322" s="246">
        <f>IFERROR(VLOOKUP(H1322,VOL_REC[],2,FALSE),0)</f>
        <v>15540036.397699751</v>
      </c>
      <c r="AY1322" s="246">
        <f>IFERROR(VLOOKUP(I1322,VOL_REC[],2,FALSE),0)</f>
        <v>1812240</v>
      </c>
      <c r="AZ1322" s="246">
        <f>IFERROR(VLOOKUP(J1322,VOL_REC[],2,FALSE),0)</f>
        <v>663244.80000000016</v>
      </c>
      <c r="BA1322" s="246">
        <f>IFERROR(VLOOKUP(K1322,VOL_REC[],2,FALSE),0)</f>
        <v>17074.045034105649</v>
      </c>
      <c r="BB1322" s="246">
        <f>IFERROR(VLOOKUP(L1322,VOL_REC[],2,FALSE),0)</f>
        <v>105072</v>
      </c>
      <c r="BC1322" s="246">
        <f>IFERROR(VLOOKUP(M1322,VOL_REC[],2,FALSE),0)</f>
        <v>0</v>
      </c>
      <c r="BD1322" s="246">
        <f>IFERROR(VLOOKUP(N1322,VOL_REC[],2,FALSE),0)</f>
        <v>0</v>
      </c>
      <c r="BE1322" s="246">
        <f>IFERROR(VLOOKUP(O1322,VOL_REC[],2,FALSE),0)</f>
        <v>0</v>
      </c>
      <c r="BF1322" s="246">
        <f>IFERROR(VLOOKUP(P1322,VOL_REC[],2,FALSE),0)</f>
        <v>0</v>
      </c>
      <c r="BG1322" s="246">
        <f>IFERROR(VLOOKUP(Q1322,VOL_REC[],2,FALSE),0)</f>
        <v>0</v>
      </c>
      <c r="BH1322" s="1710">
        <f t="shared" si="80"/>
        <v>20736694681.556553</v>
      </c>
      <c r="BI1322" s="1710">
        <f t="shared" si="81"/>
        <v>22091703971.177757</v>
      </c>
      <c r="BJ1322" s="1711">
        <f t="shared" si="82"/>
        <v>33552444.623955328</v>
      </c>
      <c r="BK1322" s="1711">
        <f t="shared" si="83"/>
        <v>0.93866433791666615</v>
      </c>
    </row>
    <row r="1323" spans="3:67" x14ac:dyDescent="0.25">
      <c r="C1323" s="246" t="s">
        <v>2673</v>
      </c>
      <c r="D1323" s="246">
        <v>1</v>
      </c>
      <c r="E1323" s="246">
        <v>2</v>
      </c>
      <c r="F1323" s="246">
        <v>3</v>
      </c>
      <c r="G1323" s="246">
        <v>5</v>
      </c>
      <c r="H1323" s="246">
        <v>6</v>
      </c>
      <c r="I1323" s="246">
        <v>10</v>
      </c>
      <c r="J1323" s="246">
        <v>13</v>
      </c>
      <c r="K1323" s="246">
        <v>14</v>
      </c>
      <c r="L1323" s="246">
        <v>16</v>
      </c>
      <c r="M1323" s="246"/>
      <c r="N1323" s="246"/>
      <c r="O1323" s="246"/>
      <c r="P1323" s="246"/>
      <c r="Q1323" s="246"/>
      <c r="R1323" s="246">
        <f>IFERROR(VLOOKUP(D1323,PROGRAMAS[],2,FALSE),0)</f>
        <v>97037803.679377079</v>
      </c>
      <c r="S1323" s="246">
        <f>IFERROR(VLOOKUP(E1323,PROGRAMAS[],2,FALSE),0)</f>
        <v>640501509.6821388</v>
      </c>
      <c r="T1323" s="246">
        <f>IFERROR(VLOOKUP(F1323,PROGRAMAS[],2,FALSE),0)</f>
        <v>3062327798.1525245</v>
      </c>
      <c r="U1323" s="246">
        <f>IFERROR(VLOOKUP(G1323,PROGRAMAS[],2,FALSE),0)</f>
        <v>1440941976.2528784</v>
      </c>
      <c r="V1323" s="246">
        <f>IFERROR(VLOOKUP(H1323,PROGRAMAS[],2,FALSE),0)</f>
        <v>6907648435.8447599</v>
      </c>
      <c r="W1323" s="246">
        <f>IFERROR(VLOOKUP(I1323,PROGRAMAS[],2,FALSE),0)</f>
        <v>4635315027.8751087</v>
      </c>
      <c r="X1323" s="246">
        <f>IFERROR(VLOOKUP(J1323,PROGRAMAS[],2,FALSE),0)</f>
        <v>3776538594.4604583</v>
      </c>
      <c r="Y1323" s="246">
        <f>IFERROR(VLOOKUP(K1323,PROGRAMAS[],2,FALSE),0)</f>
        <v>54223862.645839565</v>
      </c>
      <c r="Z1323" s="246">
        <f>IFERROR(VLOOKUP(L1323,PROGRAMAS[],2,FALSE),0)</f>
        <v>7068496961.0436354</v>
      </c>
      <c r="AA1323" s="246">
        <f>IFERROR(VLOOKUP(M1323,PROGRAMAS[],2,FALSE),0)</f>
        <v>0</v>
      </c>
      <c r="AB1323" s="246">
        <f>IFERROR(VLOOKUP(N1323,PROGRAMAS[],2,FALSE),0)</f>
        <v>0</v>
      </c>
      <c r="AC1323" s="246">
        <f>IFERROR(VLOOKUP(O1323,PROGRAMAS[],2,FALSE),0)</f>
        <v>0</v>
      </c>
      <c r="AD1323" s="246">
        <f>IFERROR(VLOOKUP(P1323,PROGRAMAS[],2,FALSE),0)</f>
        <v>0</v>
      </c>
      <c r="AE1323" s="246">
        <f>IFERROR(VLOOKUP(Q1323,PROGRAMAS[],2,FALSE),0)</f>
        <v>0</v>
      </c>
      <c r="AF1323" s="246">
        <f>IFERROR(VLOOKUP(D1323,PROGRAMAS[],3,FALSE),0)</f>
        <v>841888629.31080008</v>
      </c>
      <c r="AG1323" s="246">
        <f>IFERROR(VLOOKUP(E1323,PROGRAMAS[],3,FALSE),0)</f>
        <v>3848980803.1642323</v>
      </c>
      <c r="AH1323" s="246">
        <f>IFERROR(VLOOKUP(F1323,PROGRAMAS[],3,FALSE),0)</f>
        <v>3394901471.387517</v>
      </c>
      <c r="AI1323" s="246">
        <f>IFERROR(VLOOKUP(G1323,PROGRAMAS[],3,FALSE),0)</f>
        <v>1233505101.0616004</v>
      </c>
      <c r="AJ1323" s="246">
        <f>IFERROR(VLOOKUP(H1323,PROGRAMAS[],3,FALSE),0)</f>
        <v>6129902208.7912121</v>
      </c>
      <c r="AK1323" s="246">
        <f>IFERROR(VLOOKUP(I1323,PROGRAMAS[],3,FALSE),0)</f>
        <v>4099471734.9978786</v>
      </c>
      <c r="AL1323" s="246">
        <f>IFERROR(VLOOKUP(J1323,PROGRAMAS[],3,FALSE),0)</f>
        <v>2392571243.5584412</v>
      </c>
      <c r="AM1323" s="246">
        <f>IFERROR(VLOOKUP(K1323,PROGRAMAS[],3,FALSE),0)</f>
        <v>31865326.38096505</v>
      </c>
      <c r="AN1323" s="246">
        <f>IFERROR(VLOOKUP(L1323,PROGRAMAS[],3,FALSE),0)</f>
        <v>2406564599.0319901</v>
      </c>
      <c r="AO1323" s="246">
        <f>IFERROR(VLOOKUP(M1323,PROGRAMAS[],3,FALSE),0)</f>
        <v>0</v>
      </c>
      <c r="AP1323" s="246">
        <f>IFERROR(VLOOKUP(N1323,PROGRAMAS[],3,FALSE),0)</f>
        <v>0</v>
      </c>
      <c r="AQ1323" s="246">
        <f>IFERROR(VLOOKUP(O1323,PROGRAMAS[],3,FALSE),0)</f>
        <v>0</v>
      </c>
      <c r="AR1323" s="246">
        <f>IFERROR(VLOOKUP(P1323,PROGRAMAS[],3,FALSE),0)</f>
        <v>0</v>
      </c>
      <c r="AS1323" s="246">
        <f>IFERROR(VLOOKUP(Q1323,PROGRAMAS[],3,FALSE),0)</f>
        <v>0</v>
      </c>
      <c r="AT1323" s="246">
        <f>IFERROR(VLOOKUP(D1323,VOL_REC[],2,FALSE),0)</f>
        <v>0</v>
      </c>
      <c r="AU1323" s="246">
        <f>IFERROR(VLOOKUP(E1323,VOL_REC[],2,FALSE),0)</f>
        <v>0</v>
      </c>
      <c r="AV1323" s="246">
        <f>IFERROR(VLOOKUP(F1323,VOL_REC[],2,FALSE),0)</f>
        <v>11089674.200000001</v>
      </c>
      <c r="AW1323" s="246">
        <f>IFERROR(VLOOKUP(G1323,VOL_REC[],2,FALSE),0)</f>
        <v>4325103.1812214684</v>
      </c>
      <c r="AX1323" s="246">
        <f>IFERROR(VLOOKUP(H1323,VOL_REC[],2,FALSE),0)</f>
        <v>15540036.397699751</v>
      </c>
      <c r="AY1323" s="246">
        <f>IFERROR(VLOOKUP(I1323,VOL_REC[],2,FALSE),0)</f>
        <v>1812240</v>
      </c>
      <c r="AZ1323" s="246">
        <f>IFERROR(VLOOKUP(J1323,VOL_REC[],2,FALSE),0)</f>
        <v>663244.80000000016</v>
      </c>
      <c r="BA1323" s="246">
        <f>IFERROR(VLOOKUP(K1323,VOL_REC[],2,FALSE),0)</f>
        <v>17074.045034105649</v>
      </c>
      <c r="BB1323" s="246">
        <f>IFERROR(VLOOKUP(L1323,VOL_REC[],2,FALSE),0)</f>
        <v>1072354.9981737854</v>
      </c>
      <c r="BC1323" s="246">
        <f>IFERROR(VLOOKUP(M1323,VOL_REC[],2,FALSE),0)</f>
        <v>0</v>
      </c>
      <c r="BD1323" s="246">
        <f>IFERROR(VLOOKUP(N1323,VOL_REC[],2,FALSE),0)</f>
        <v>0</v>
      </c>
      <c r="BE1323" s="246">
        <f>IFERROR(VLOOKUP(O1323,VOL_REC[],2,FALSE),0)</f>
        <v>0</v>
      </c>
      <c r="BF1323" s="246">
        <f>IFERROR(VLOOKUP(P1323,VOL_REC[],2,FALSE),0)</f>
        <v>0</v>
      </c>
      <c r="BG1323" s="246">
        <f>IFERROR(VLOOKUP(Q1323,VOL_REC[],2,FALSE),0)</f>
        <v>0</v>
      </c>
      <c r="BH1323" s="1710">
        <f t="shared" si="80"/>
        <v>27683031969.636723</v>
      </c>
      <c r="BI1323" s="1710">
        <f t="shared" si="81"/>
        <v>24379651117.684639</v>
      </c>
      <c r="BJ1323" s="1711">
        <f t="shared" si="82"/>
        <v>34519727.622129112</v>
      </c>
      <c r="BK1323" s="1711">
        <f t="shared" si="83"/>
        <v>1.1354974620434932</v>
      </c>
      <c r="BL1323">
        <f>BJ1323</f>
        <v>34519727.622129112</v>
      </c>
      <c r="BO1323">
        <f>BL1323</f>
        <v>34519727.622129112</v>
      </c>
    </row>
    <row r="1324" spans="3:67" x14ac:dyDescent="0.25">
      <c r="C1324" s="246" t="s">
        <v>2674</v>
      </c>
      <c r="D1324" s="246">
        <v>1</v>
      </c>
      <c r="E1324" s="246">
        <v>2</v>
      </c>
      <c r="F1324" s="246">
        <v>3</v>
      </c>
      <c r="G1324" s="246">
        <v>5</v>
      </c>
      <c r="H1324" s="246">
        <v>6</v>
      </c>
      <c r="I1324" s="246">
        <v>10</v>
      </c>
      <c r="J1324" s="246">
        <v>13</v>
      </c>
      <c r="K1324" s="246">
        <v>14</v>
      </c>
      <c r="L1324" s="246">
        <v>17</v>
      </c>
      <c r="M1324" s="246"/>
      <c r="N1324" s="246"/>
      <c r="O1324" s="246"/>
      <c r="P1324" s="246"/>
      <c r="Q1324" s="246"/>
      <c r="R1324" s="246">
        <f>IFERROR(VLOOKUP(D1324,PROGRAMAS[],2,FALSE),0)</f>
        <v>97037803.679377079</v>
      </c>
      <c r="S1324" s="246">
        <f>IFERROR(VLOOKUP(E1324,PROGRAMAS[],2,FALSE),0)</f>
        <v>640501509.6821388</v>
      </c>
      <c r="T1324" s="246">
        <f>IFERROR(VLOOKUP(F1324,PROGRAMAS[],2,FALSE),0)</f>
        <v>3062327798.1525245</v>
      </c>
      <c r="U1324" s="246">
        <f>IFERROR(VLOOKUP(G1324,PROGRAMAS[],2,FALSE),0)</f>
        <v>1440941976.2528784</v>
      </c>
      <c r="V1324" s="246">
        <f>IFERROR(VLOOKUP(H1324,PROGRAMAS[],2,FALSE),0)</f>
        <v>6907648435.8447599</v>
      </c>
      <c r="W1324" s="246">
        <f>IFERROR(VLOOKUP(I1324,PROGRAMAS[],2,FALSE),0)</f>
        <v>4635315027.8751087</v>
      </c>
      <c r="X1324" s="246">
        <f>IFERROR(VLOOKUP(J1324,PROGRAMAS[],2,FALSE),0)</f>
        <v>3776538594.4604583</v>
      </c>
      <c r="Y1324" s="246">
        <f>IFERROR(VLOOKUP(K1324,PROGRAMAS[],2,FALSE),0)</f>
        <v>54223862.645839565</v>
      </c>
      <c r="Z1324" s="246">
        <f>IFERROR(VLOOKUP(L1324,PROGRAMAS[],2,FALSE),0)</f>
        <v>1892779498.5211046</v>
      </c>
      <c r="AA1324" s="246">
        <f>IFERROR(VLOOKUP(M1324,PROGRAMAS[],2,FALSE),0)</f>
        <v>0</v>
      </c>
      <c r="AB1324" s="246">
        <f>IFERROR(VLOOKUP(N1324,PROGRAMAS[],2,FALSE),0)</f>
        <v>0</v>
      </c>
      <c r="AC1324" s="246">
        <f>IFERROR(VLOOKUP(O1324,PROGRAMAS[],2,FALSE),0)</f>
        <v>0</v>
      </c>
      <c r="AD1324" s="246">
        <f>IFERROR(VLOOKUP(P1324,PROGRAMAS[],2,FALSE),0)</f>
        <v>0</v>
      </c>
      <c r="AE1324" s="246">
        <f>IFERROR(VLOOKUP(Q1324,PROGRAMAS[],2,FALSE),0)</f>
        <v>0</v>
      </c>
      <c r="AF1324" s="246">
        <f>IFERROR(VLOOKUP(D1324,PROGRAMAS[],3,FALSE),0)</f>
        <v>841888629.31080008</v>
      </c>
      <c r="AG1324" s="246">
        <f>IFERROR(VLOOKUP(E1324,PROGRAMAS[],3,FALSE),0)</f>
        <v>3848980803.1642323</v>
      </c>
      <c r="AH1324" s="246">
        <f>IFERROR(VLOOKUP(F1324,PROGRAMAS[],3,FALSE),0)</f>
        <v>3394901471.387517</v>
      </c>
      <c r="AI1324" s="246">
        <f>IFERROR(VLOOKUP(G1324,PROGRAMAS[],3,FALSE),0)</f>
        <v>1233505101.0616004</v>
      </c>
      <c r="AJ1324" s="246">
        <f>IFERROR(VLOOKUP(H1324,PROGRAMAS[],3,FALSE),0)</f>
        <v>6129902208.7912121</v>
      </c>
      <c r="AK1324" s="246">
        <f>IFERROR(VLOOKUP(I1324,PROGRAMAS[],3,FALSE),0)</f>
        <v>4099471734.9978786</v>
      </c>
      <c r="AL1324" s="246">
        <f>IFERROR(VLOOKUP(J1324,PROGRAMAS[],3,FALSE),0)</f>
        <v>2392571243.5584412</v>
      </c>
      <c r="AM1324" s="246">
        <f>IFERROR(VLOOKUP(K1324,PROGRAMAS[],3,FALSE),0)</f>
        <v>31865326.38096505</v>
      </c>
      <c r="AN1324" s="246">
        <f>IFERROR(VLOOKUP(L1324,PROGRAMAS[],3,FALSE),0)</f>
        <v>948595847.09039903</v>
      </c>
      <c r="AO1324" s="246">
        <f>IFERROR(VLOOKUP(M1324,PROGRAMAS[],3,FALSE),0)</f>
        <v>0</v>
      </c>
      <c r="AP1324" s="246">
        <f>IFERROR(VLOOKUP(N1324,PROGRAMAS[],3,FALSE),0)</f>
        <v>0</v>
      </c>
      <c r="AQ1324" s="246">
        <f>IFERROR(VLOOKUP(O1324,PROGRAMAS[],3,FALSE),0)</f>
        <v>0</v>
      </c>
      <c r="AR1324" s="246">
        <f>IFERROR(VLOOKUP(P1324,PROGRAMAS[],3,FALSE),0)</f>
        <v>0</v>
      </c>
      <c r="AS1324" s="246">
        <f>IFERROR(VLOOKUP(Q1324,PROGRAMAS[],3,FALSE),0)</f>
        <v>0</v>
      </c>
      <c r="AT1324" s="246">
        <f>IFERROR(VLOOKUP(D1324,VOL_REC[],2,FALSE),0)</f>
        <v>0</v>
      </c>
      <c r="AU1324" s="246">
        <f>IFERROR(VLOOKUP(E1324,VOL_REC[],2,FALSE),0)</f>
        <v>0</v>
      </c>
      <c r="AV1324" s="246">
        <f>IFERROR(VLOOKUP(F1324,VOL_REC[],2,FALSE),0)</f>
        <v>11089674.200000001</v>
      </c>
      <c r="AW1324" s="246">
        <f>IFERROR(VLOOKUP(G1324,VOL_REC[],2,FALSE),0)</f>
        <v>4325103.1812214684</v>
      </c>
      <c r="AX1324" s="246">
        <f>IFERROR(VLOOKUP(H1324,VOL_REC[],2,FALSE),0)</f>
        <v>15540036.397699751</v>
      </c>
      <c r="AY1324" s="246">
        <f>IFERROR(VLOOKUP(I1324,VOL_REC[],2,FALSE),0)</f>
        <v>1812240</v>
      </c>
      <c r="AZ1324" s="246">
        <f>IFERROR(VLOOKUP(J1324,VOL_REC[],2,FALSE),0)</f>
        <v>663244.80000000016</v>
      </c>
      <c r="BA1324" s="246">
        <f>IFERROR(VLOOKUP(K1324,VOL_REC[],2,FALSE),0)</f>
        <v>17074.045034105649</v>
      </c>
      <c r="BB1324" s="246">
        <f>IFERROR(VLOOKUP(L1324,VOL_REC[],2,FALSE),0)</f>
        <v>740113.98115702497</v>
      </c>
      <c r="BC1324" s="246">
        <f>IFERROR(VLOOKUP(M1324,VOL_REC[],2,FALSE),0)</f>
        <v>0</v>
      </c>
      <c r="BD1324" s="246">
        <f>IFERROR(VLOOKUP(N1324,VOL_REC[],2,FALSE),0)</f>
        <v>0</v>
      </c>
      <c r="BE1324" s="246">
        <f>IFERROR(VLOOKUP(O1324,VOL_REC[],2,FALSE),0)</f>
        <v>0</v>
      </c>
      <c r="BF1324" s="246">
        <f>IFERROR(VLOOKUP(P1324,VOL_REC[],2,FALSE),0)</f>
        <v>0</v>
      </c>
      <c r="BG1324" s="246">
        <f>IFERROR(VLOOKUP(Q1324,VOL_REC[],2,FALSE),0)</f>
        <v>0</v>
      </c>
      <c r="BH1324" s="1710">
        <f t="shared" si="80"/>
        <v>22507314507.114189</v>
      </c>
      <c r="BI1324" s="1710">
        <f t="shared" si="81"/>
        <v>22921682365.74305</v>
      </c>
      <c r="BJ1324" s="1711">
        <f t="shared" si="82"/>
        <v>34187486.605112351</v>
      </c>
      <c r="BK1324" s="1711">
        <f t="shared" si="83"/>
        <v>0.9819224500184095</v>
      </c>
    </row>
    <row r="1325" spans="3:67" x14ac:dyDescent="0.25">
      <c r="C1325" s="246" t="s">
        <v>2675</v>
      </c>
      <c r="D1325" s="246">
        <v>1</v>
      </c>
      <c r="E1325" s="246">
        <v>2</v>
      </c>
      <c r="F1325" s="246">
        <v>3</v>
      </c>
      <c r="G1325" s="246">
        <v>5</v>
      </c>
      <c r="H1325" s="246">
        <v>6</v>
      </c>
      <c r="I1325" s="246">
        <v>10</v>
      </c>
      <c r="J1325" s="246">
        <v>13</v>
      </c>
      <c r="K1325" s="246">
        <v>15</v>
      </c>
      <c r="L1325" s="246">
        <v>16</v>
      </c>
      <c r="M1325" s="246"/>
      <c r="N1325" s="246"/>
      <c r="O1325" s="246"/>
      <c r="P1325" s="246"/>
      <c r="Q1325" s="246"/>
      <c r="R1325" s="246">
        <f>IFERROR(VLOOKUP(D1325,PROGRAMAS[],2,FALSE),0)</f>
        <v>97037803.679377079</v>
      </c>
      <c r="S1325" s="246">
        <f>IFERROR(VLOOKUP(E1325,PROGRAMAS[],2,FALSE),0)</f>
        <v>640501509.6821388</v>
      </c>
      <c r="T1325" s="246">
        <f>IFERROR(VLOOKUP(F1325,PROGRAMAS[],2,FALSE),0)</f>
        <v>3062327798.1525245</v>
      </c>
      <c r="U1325" s="246">
        <f>IFERROR(VLOOKUP(G1325,PROGRAMAS[],2,FALSE),0)</f>
        <v>1440941976.2528784</v>
      </c>
      <c r="V1325" s="246">
        <f>IFERROR(VLOOKUP(H1325,PROGRAMAS[],2,FALSE),0)</f>
        <v>6907648435.8447599</v>
      </c>
      <c r="W1325" s="246">
        <f>IFERROR(VLOOKUP(I1325,PROGRAMAS[],2,FALSE),0)</f>
        <v>4635315027.8751087</v>
      </c>
      <c r="X1325" s="246">
        <f>IFERROR(VLOOKUP(J1325,PROGRAMAS[],2,FALSE),0)</f>
        <v>3776538594.4604583</v>
      </c>
      <c r="Y1325" s="246">
        <f>IFERROR(VLOOKUP(K1325,PROGRAMAS[],2,FALSE),0)</f>
        <v>122159672.96346797</v>
      </c>
      <c r="Z1325" s="246">
        <f>IFERROR(VLOOKUP(L1325,PROGRAMAS[],2,FALSE),0)</f>
        <v>7068496961.0436354</v>
      </c>
      <c r="AA1325" s="246">
        <f>IFERROR(VLOOKUP(M1325,PROGRAMAS[],2,FALSE),0)</f>
        <v>0</v>
      </c>
      <c r="AB1325" s="246">
        <f>IFERROR(VLOOKUP(N1325,PROGRAMAS[],2,FALSE),0)</f>
        <v>0</v>
      </c>
      <c r="AC1325" s="246">
        <f>IFERROR(VLOOKUP(O1325,PROGRAMAS[],2,FALSE),0)</f>
        <v>0</v>
      </c>
      <c r="AD1325" s="246">
        <f>IFERROR(VLOOKUP(P1325,PROGRAMAS[],2,FALSE),0)</f>
        <v>0</v>
      </c>
      <c r="AE1325" s="246">
        <f>IFERROR(VLOOKUP(Q1325,PROGRAMAS[],2,FALSE),0)</f>
        <v>0</v>
      </c>
      <c r="AF1325" s="246">
        <f>IFERROR(VLOOKUP(D1325,PROGRAMAS[],3,FALSE),0)</f>
        <v>841888629.31080008</v>
      </c>
      <c r="AG1325" s="246">
        <f>IFERROR(VLOOKUP(E1325,PROGRAMAS[],3,FALSE),0)</f>
        <v>3848980803.1642323</v>
      </c>
      <c r="AH1325" s="246">
        <f>IFERROR(VLOOKUP(F1325,PROGRAMAS[],3,FALSE),0)</f>
        <v>3394901471.387517</v>
      </c>
      <c r="AI1325" s="246">
        <f>IFERROR(VLOOKUP(G1325,PROGRAMAS[],3,FALSE),0)</f>
        <v>1233505101.0616004</v>
      </c>
      <c r="AJ1325" s="246">
        <f>IFERROR(VLOOKUP(H1325,PROGRAMAS[],3,FALSE),0)</f>
        <v>6129902208.7912121</v>
      </c>
      <c r="AK1325" s="246">
        <f>IFERROR(VLOOKUP(I1325,PROGRAMAS[],3,FALSE),0)</f>
        <v>4099471734.9978786</v>
      </c>
      <c r="AL1325" s="246">
        <f>IFERROR(VLOOKUP(J1325,PROGRAMAS[],3,FALSE),0)</f>
        <v>2392571243.5584412</v>
      </c>
      <c r="AM1325" s="246">
        <f>IFERROR(VLOOKUP(K1325,PROGRAMAS[],3,FALSE),0)</f>
        <v>118617452.52510804</v>
      </c>
      <c r="AN1325" s="246">
        <f>IFERROR(VLOOKUP(L1325,PROGRAMAS[],3,FALSE),0)</f>
        <v>2406564599.0319901</v>
      </c>
      <c r="AO1325" s="246">
        <f>IFERROR(VLOOKUP(M1325,PROGRAMAS[],3,FALSE),0)</f>
        <v>0</v>
      </c>
      <c r="AP1325" s="246">
        <f>IFERROR(VLOOKUP(N1325,PROGRAMAS[],3,FALSE),0)</f>
        <v>0</v>
      </c>
      <c r="AQ1325" s="246">
        <f>IFERROR(VLOOKUP(O1325,PROGRAMAS[],3,FALSE),0)</f>
        <v>0</v>
      </c>
      <c r="AR1325" s="246">
        <f>IFERROR(VLOOKUP(P1325,PROGRAMAS[],3,FALSE),0)</f>
        <v>0</v>
      </c>
      <c r="AS1325" s="246">
        <f>IFERROR(VLOOKUP(Q1325,PROGRAMAS[],3,FALSE),0)</f>
        <v>0</v>
      </c>
      <c r="AT1325" s="246">
        <f>IFERROR(VLOOKUP(D1325,VOL_REC[],2,FALSE),0)</f>
        <v>0</v>
      </c>
      <c r="AU1325" s="246">
        <f>IFERROR(VLOOKUP(E1325,VOL_REC[],2,FALSE),0)</f>
        <v>0</v>
      </c>
      <c r="AV1325" s="246">
        <f>IFERROR(VLOOKUP(F1325,VOL_REC[],2,FALSE),0)</f>
        <v>11089674.200000001</v>
      </c>
      <c r="AW1325" s="246">
        <f>IFERROR(VLOOKUP(G1325,VOL_REC[],2,FALSE),0)</f>
        <v>4325103.1812214684</v>
      </c>
      <c r="AX1325" s="246">
        <f>IFERROR(VLOOKUP(H1325,VOL_REC[],2,FALSE),0)</f>
        <v>15540036.397699751</v>
      </c>
      <c r="AY1325" s="246">
        <f>IFERROR(VLOOKUP(I1325,VOL_REC[],2,FALSE),0)</f>
        <v>1812240</v>
      </c>
      <c r="AZ1325" s="246">
        <f>IFERROR(VLOOKUP(J1325,VOL_REC[],2,FALSE),0)</f>
        <v>663244.80000000016</v>
      </c>
      <c r="BA1325" s="246">
        <f>IFERROR(VLOOKUP(K1325,VOL_REC[],2,FALSE),0)</f>
        <v>105072</v>
      </c>
      <c r="BB1325" s="246">
        <f>IFERROR(VLOOKUP(L1325,VOL_REC[],2,FALSE),0)</f>
        <v>1072354.9981737854</v>
      </c>
      <c r="BC1325" s="246">
        <f>IFERROR(VLOOKUP(M1325,VOL_REC[],2,FALSE),0)</f>
        <v>0</v>
      </c>
      <c r="BD1325" s="246">
        <f>IFERROR(VLOOKUP(N1325,VOL_REC[],2,FALSE),0)</f>
        <v>0</v>
      </c>
      <c r="BE1325" s="246">
        <f>IFERROR(VLOOKUP(O1325,VOL_REC[],2,FALSE),0)</f>
        <v>0</v>
      </c>
      <c r="BF1325" s="246">
        <f>IFERROR(VLOOKUP(P1325,VOL_REC[],2,FALSE),0)</f>
        <v>0</v>
      </c>
      <c r="BG1325" s="246">
        <f>IFERROR(VLOOKUP(Q1325,VOL_REC[],2,FALSE),0)</f>
        <v>0</v>
      </c>
      <c r="BH1325" s="1710">
        <f t="shared" si="80"/>
        <v>27750967779.95435</v>
      </c>
      <c r="BI1325" s="1710">
        <f t="shared" si="81"/>
        <v>24466403243.828781</v>
      </c>
      <c r="BJ1325" s="1711">
        <f t="shared" si="82"/>
        <v>34607725.577095009</v>
      </c>
      <c r="BK1325" s="1711">
        <f t="shared" si="83"/>
        <v>1.1342479523202513</v>
      </c>
      <c r="BL1325">
        <f>BJ1325</f>
        <v>34607725.577095009</v>
      </c>
      <c r="BO1325">
        <f>BL1325</f>
        <v>34607725.577095009</v>
      </c>
    </row>
    <row r="1326" spans="3:67" x14ac:dyDescent="0.25">
      <c r="C1326" s="246" t="s">
        <v>2676</v>
      </c>
      <c r="D1326" s="246">
        <v>1</v>
      </c>
      <c r="E1326" s="246">
        <v>2</v>
      </c>
      <c r="F1326" s="246">
        <v>3</v>
      </c>
      <c r="G1326" s="246">
        <v>5</v>
      </c>
      <c r="H1326" s="246">
        <v>6</v>
      </c>
      <c r="I1326" s="246">
        <v>10</v>
      </c>
      <c r="J1326" s="246">
        <v>13</v>
      </c>
      <c r="K1326" s="246">
        <v>15</v>
      </c>
      <c r="L1326" s="246">
        <v>17</v>
      </c>
      <c r="M1326" s="246"/>
      <c r="N1326" s="246"/>
      <c r="O1326" s="246"/>
      <c r="P1326" s="246"/>
      <c r="Q1326" s="246"/>
      <c r="R1326" s="246">
        <f>IFERROR(VLOOKUP(D1326,PROGRAMAS[],2,FALSE),0)</f>
        <v>97037803.679377079</v>
      </c>
      <c r="S1326" s="246">
        <f>IFERROR(VLOOKUP(E1326,PROGRAMAS[],2,FALSE),0)</f>
        <v>640501509.6821388</v>
      </c>
      <c r="T1326" s="246">
        <f>IFERROR(VLOOKUP(F1326,PROGRAMAS[],2,FALSE),0)</f>
        <v>3062327798.1525245</v>
      </c>
      <c r="U1326" s="246">
        <f>IFERROR(VLOOKUP(G1326,PROGRAMAS[],2,FALSE),0)</f>
        <v>1440941976.2528784</v>
      </c>
      <c r="V1326" s="246">
        <f>IFERROR(VLOOKUP(H1326,PROGRAMAS[],2,FALSE),0)</f>
        <v>6907648435.8447599</v>
      </c>
      <c r="W1326" s="246">
        <f>IFERROR(VLOOKUP(I1326,PROGRAMAS[],2,FALSE),0)</f>
        <v>4635315027.8751087</v>
      </c>
      <c r="X1326" s="246">
        <f>IFERROR(VLOOKUP(J1326,PROGRAMAS[],2,FALSE),0)</f>
        <v>3776538594.4604583</v>
      </c>
      <c r="Y1326" s="246">
        <f>IFERROR(VLOOKUP(K1326,PROGRAMAS[],2,FALSE),0)</f>
        <v>122159672.96346797</v>
      </c>
      <c r="Z1326" s="246">
        <f>IFERROR(VLOOKUP(L1326,PROGRAMAS[],2,FALSE),0)</f>
        <v>1892779498.5211046</v>
      </c>
      <c r="AA1326" s="246">
        <f>IFERROR(VLOOKUP(M1326,PROGRAMAS[],2,FALSE),0)</f>
        <v>0</v>
      </c>
      <c r="AB1326" s="246">
        <f>IFERROR(VLOOKUP(N1326,PROGRAMAS[],2,FALSE),0)</f>
        <v>0</v>
      </c>
      <c r="AC1326" s="246">
        <f>IFERROR(VLOOKUP(O1326,PROGRAMAS[],2,FALSE),0)</f>
        <v>0</v>
      </c>
      <c r="AD1326" s="246">
        <f>IFERROR(VLOOKUP(P1326,PROGRAMAS[],2,FALSE),0)</f>
        <v>0</v>
      </c>
      <c r="AE1326" s="246">
        <f>IFERROR(VLOOKUP(Q1326,PROGRAMAS[],2,FALSE),0)</f>
        <v>0</v>
      </c>
      <c r="AF1326" s="246">
        <f>IFERROR(VLOOKUP(D1326,PROGRAMAS[],3,FALSE),0)</f>
        <v>841888629.31080008</v>
      </c>
      <c r="AG1326" s="246">
        <f>IFERROR(VLOOKUP(E1326,PROGRAMAS[],3,FALSE),0)</f>
        <v>3848980803.1642323</v>
      </c>
      <c r="AH1326" s="246">
        <f>IFERROR(VLOOKUP(F1326,PROGRAMAS[],3,FALSE),0)</f>
        <v>3394901471.387517</v>
      </c>
      <c r="AI1326" s="246">
        <f>IFERROR(VLOOKUP(G1326,PROGRAMAS[],3,FALSE),0)</f>
        <v>1233505101.0616004</v>
      </c>
      <c r="AJ1326" s="246">
        <f>IFERROR(VLOOKUP(H1326,PROGRAMAS[],3,FALSE),0)</f>
        <v>6129902208.7912121</v>
      </c>
      <c r="AK1326" s="246">
        <f>IFERROR(VLOOKUP(I1326,PROGRAMAS[],3,FALSE),0)</f>
        <v>4099471734.9978786</v>
      </c>
      <c r="AL1326" s="246">
        <f>IFERROR(VLOOKUP(J1326,PROGRAMAS[],3,FALSE),0)</f>
        <v>2392571243.5584412</v>
      </c>
      <c r="AM1326" s="246">
        <f>IFERROR(VLOOKUP(K1326,PROGRAMAS[],3,FALSE),0)</f>
        <v>118617452.52510804</v>
      </c>
      <c r="AN1326" s="246">
        <f>IFERROR(VLOOKUP(L1326,PROGRAMAS[],3,FALSE),0)</f>
        <v>948595847.09039903</v>
      </c>
      <c r="AO1326" s="246">
        <f>IFERROR(VLOOKUP(M1326,PROGRAMAS[],3,FALSE),0)</f>
        <v>0</v>
      </c>
      <c r="AP1326" s="246">
        <f>IFERROR(VLOOKUP(N1326,PROGRAMAS[],3,FALSE),0)</f>
        <v>0</v>
      </c>
      <c r="AQ1326" s="246">
        <f>IFERROR(VLOOKUP(O1326,PROGRAMAS[],3,FALSE),0)</f>
        <v>0</v>
      </c>
      <c r="AR1326" s="246">
        <f>IFERROR(VLOOKUP(P1326,PROGRAMAS[],3,FALSE),0)</f>
        <v>0</v>
      </c>
      <c r="AS1326" s="246">
        <f>IFERROR(VLOOKUP(Q1326,PROGRAMAS[],3,FALSE),0)</f>
        <v>0</v>
      </c>
      <c r="AT1326" s="246">
        <f>IFERROR(VLOOKUP(D1326,VOL_REC[],2,FALSE),0)</f>
        <v>0</v>
      </c>
      <c r="AU1326" s="246">
        <f>IFERROR(VLOOKUP(E1326,VOL_REC[],2,FALSE),0)</f>
        <v>0</v>
      </c>
      <c r="AV1326" s="246">
        <f>IFERROR(VLOOKUP(F1326,VOL_REC[],2,FALSE),0)</f>
        <v>11089674.200000001</v>
      </c>
      <c r="AW1326" s="246">
        <f>IFERROR(VLOOKUP(G1326,VOL_REC[],2,FALSE),0)</f>
        <v>4325103.1812214684</v>
      </c>
      <c r="AX1326" s="246">
        <f>IFERROR(VLOOKUP(H1326,VOL_REC[],2,FALSE),0)</f>
        <v>15540036.397699751</v>
      </c>
      <c r="AY1326" s="246">
        <f>IFERROR(VLOOKUP(I1326,VOL_REC[],2,FALSE),0)</f>
        <v>1812240</v>
      </c>
      <c r="AZ1326" s="246">
        <f>IFERROR(VLOOKUP(J1326,VOL_REC[],2,FALSE),0)</f>
        <v>663244.80000000016</v>
      </c>
      <c r="BA1326" s="246">
        <f>IFERROR(VLOOKUP(K1326,VOL_REC[],2,FALSE),0)</f>
        <v>105072</v>
      </c>
      <c r="BB1326" s="246">
        <f>IFERROR(VLOOKUP(L1326,VOL_REC[],2,FALSE),0)</f>
        <v>740113.98115702497</v>
      </c>
      <c r="BC1326" s="246">
        <f>IFERROR(VLOOKUP(M1326,VOL_REC[],2,FALSE),0)</f>
        <v>0</v>
      </c>
      <c r="BD1326" s="246">
        <f>IFERROR(VLOOKUP(N1326,VOL_REC[],2,FALSE),0)</f>
        <v>0</v>
      </c>
      <c r="BE1326" s="246">
        <f>IFERROR(VLOOKUP(O1326,VOL_REC[],2,FALSE),0)</f>
        <v>0</v>
      </c>
      <c r="BF1326" s="246">
        <f>IFERROR(VLOOKUP(P1326,VOL_REC[],2,FALSE),0)</f>
        <v>0</v>
      </c>
      <c r="BG1326" s="246">
        <f>IFERROR(VLOOKUP(Q1326,VOL_REC[],2,FALSE),0)</f>
        <v>0</v>
      </c>
      <c r="BH1326" s="1710">
        <f t="shared" si="80"/>
        <v>22575250317.431816</v>
      </c>
      <c r="BI1326" s="1710">
        <f t="shared" si="81"/>
        <v>23008434491.887192</v>
      </c>
      <c r="BJ1326" s="1711">
        <f t="shared" si="82"/>
        <v>34275484.560078248</v>
      </c>
      <c r="BK1326" s="1711">
        <f t="shared" si="83"/>
        <v>0.98117280970992982</v>
      </c>
    </row>
    <row r="1327" spans="3:67" x14ac:dyDescent="0.25">
      <c r="C1327" s="246" t="s">
        <v>2677</v>
      </c>
      <c r="D1327" s="246">
        <v>1</v>
      </c>
      <c r="E1327" s="246">
        <v>2</v>
      </c>
      <c r="F1327" s="246">
        <v>3</v>
      </c>
      <c r="G1327" s="246">
        <v>5</v>
      </c>
      <c r="H1327" s="246">
        <v>6</v>
      </c>
      <c r="I1327" s="246">
        <v>10</v>
      </c>
      <c r="J1327" s="246">
        <v>13</v>
      </c>
      <c r="K1327" s="246">
        <v>16</v>
      </c>
      <c r="L1327" s="246">
        <v>17</v>
      </c>
      <c r="M1327" s="246"/>
      <c r="N1327" s="246"/>
      <c r="O1327" s="246"/>
      <c r="P1327" s="246"/>
      <c r="Q1327" s="246"/>
      <c r="R1327" s="246">
        <f>IFERROR(VLOOKUP(D1327,PROGRAMAS[],2,FALSE),0)</f>
        <v>97037803.679377079</v>
      </c>
      <c r="S1327" s="246">
        <f>IFERROR(VLOOKUP(E1327,PROGRAMAS[],2,FALSE),0)</f>
        <v>640501509.6821388</v>
      </c>
      <c r="T1327" s="246">
        <f>IFERROR(VLOOKUP(F1327,PROGRAMAS[],2,FALSE),0)</f>
        <v>3062327798.1525245</v>
      </c>
      <c r="U1327" s="246">
        <f>IFERROR(VLOOKUP(G1327,PROGRAMAS[],2,FALSE),0)</f>
        <v>1440941976.2528784</v>
      </c>
      <c r="V1327" s="246">
        <f>IFERROR(VLOOKUP(H1327,PROGRAMAS[],2,FALSE),0)</f>
        <v>6907648435.8447599</v>
      </c>
      <c r="W1327" s="246">
        <f>IFERROR(VLOOKUP(I1327,PROGRAMAS[],2,FALSE),0)</f>
        <v>4635315027.8751087</v>
      </c>
      <c r="X1327" s="246">
        <f>IFERROR(VLOOKUP(J1327,PROGRAMAS[],2,FALSE),0)</f>
        <v>3776538594.4604583</v>
      </c>
      <c r="Y1327" s="246">
        <f>IFERROR(VLOOKUP(K1327,PROGRAMAS[],2,FALSE),0)</f>
        <v>7068496961.0436354</v>
      </c>
      <c r="Z1327" s="246">
        <f>IFERROR(VLOOKUP(L1327,PROGRAMAS[],2,FALSE),0)</f>
        <v>1892779498.5211046</v>
      </c>
      <c r="AA1327" s="246">
        <f>IFERROR(VLOOKUP(M1327,PROGRAMAS[],2,FALSE),0)</f>
        <v>0</v>
      </c>
      <c r="AB1327" s="246">
        <f>IFERROR(VLOOKUP(N1327,PROGRAMAS[],2,FALSE),0)</f>
        <v>0</v>
      </c>
      <c r="AC1327" s="246">
        <f>IFERROR(VLOOKUP(O1327,PROGRAMAS[],2,FALSE),0)</f>
        <v>0</v>
      </c>
      <c r="AD1327" s="246">
        <f>IFERROR(VLOOKUP(P1327,PROGRAMAS[],2,FALSE),0)</f>
        <v>0</v>
      </c>
      <c r="AE1327" s="246">
        <f>IFERROR(VLOOKUP(Q1327,PROGRAMAS[],2,FALSE),0)</f>
        <v>0</v>
      </c>
      <c r="AF1327" s="246">
        <f>IFERROR(VLOOKUP(D1327,PROGRAMAS[],3,FALSE),0)</f>
        <v>841888629.31080008</v>
      </c>
      <c r="AG1327" s="246">
        <f>IFERROR(VLOOKUP(E1327,PROGRAMAS[],3,FALSE),0)</f>
        <v>3848980803.1642323</v>
      </c>
      <c r="AH1327" s="246">
        <f>IFERROR(VLOOKUP(F1327,PROGRAMAS[],3,FALSE),0)</f>
        <v>3394901471.387517</v>
      </c>
      <c r="AI1327" s="246">
        <f>IFERROR(VLOOKUP(G1327,PROGRAMAS[],3,FALSE),0)</f>
        <v>1233505101.0616004</v>
      </c>
      <c r="AJ1327" s="246">
        <f>IFERROR(VLOOKUP(H1327,PROGRAMAS[],3,FALSE),0)</f>
        <v>6129902208.7912121</v>
      </c>
      <c r="AK1327" s="246">
        <f>IFERROR(VLOOKUP(I1327,PROGRAMAS[],3,FALSE),0)</f>
        <v>4099471734.9978786</v>
      </c>
      <c r="AL1327" s="246">
        <f>IFERROR(VLOOKUP(J1327,PROGRAMAS[],3,FALSE),0)</f>
        <v>2392571243.5584412</v>
      </c>
      <c r="AM1327" s="246">
        <f>IFERROR(VLOOKUP(K1327,PROGRAMAS[],3,FALSE),0)</f>
        <v>2406564599.0319901</v>
      </c>
      <c r="AN1327" s="246">
        <f>IFERROR(VLOOKUP(L1327,PROGRAMAS[],3,FALSE),0)</f>
        <v>948595847.09039903</v>
      </c>
      <c r="AO1327" s="246">
        <f>IFERROR(VLOOKUP(M1327,PROGRAMAS[],3,FALSE),0)</f>
        <v>0</v>
      </c>
      <c r="AP1327" s="246">
        <f>IFERROR(VLOOKUP(N1327,PROGRAMAS[],3,FALSE),0)</f>
        <v>0</v>
      </c>
      <c r="AQ1327" s="246">
        <f>IFERROR(VLOOKUP(O1327,PROGRAMAS[],3,FALSE),0)</f>
        <v>0</v>
      </c>
      <c r="AR1327" s="246">
        <f>IFERROR(VLOOKUP(P1327,PROGRAMAS[],3,FALSE),0)</f>
        <v>0</v>
      </c>
      <c r="AS1327" s="246">
        <f>IFERROR(VLOOKUP(Q1327,PROGRAMAS[],3,FALSE),0)</f>
        <v>0</v>
      </c>
      <c r="AT1327" s="246">
        <f>IFERROR(VLOOKUP(D1327,VOL_REC[],2,FALSE),0)</f>
        <v>0</v>
      </c>
      <c r="AU1327" s="246">
        <f>IFERROR(VLOOKUP(E1327,VOL_REC[],2,FALSE),0)</f>
        <v>0</v>
      </c>
      <c r="AV1327" s="246">
        <f>IFERROR(VLOOKUP(F1327,VOL_REC[],2,FALSE),0)</f>
        <v>11089674.200000001</v>
      </c>
      <c r="AW1327" s="246">
        <f>IFERROR(VLOOKUP(G1327,VOL_REC[],2,FALSE),0)</f>
        <v>4325103.1812214684</v>
      </c>
      <c r="AX1327" s="246">
        <f>IFERROR(VLOOKUP(H1327,VOL_REC[],2,FALSE),0)</f>
        <v>15540036.397699751</v>
      </c>
      <c r="AY1327" s="246">
        <f>IFERROR(VLOOKUP(I1327,VOL_REC[],2,FALSE),0)</f>
        <v>1812240</v>
      </c>
      <c r="AZ1327" s="246">
        <f>IFERROR(VLOOKUP(J1327,VOL_REC[],2,FALSE),0)</f>
        <v>663244.80000000016</v>
      </c>
      <c r="BA1327" s="246">
        <f>IFERROR(VLOOKUP(K1327,VOL_REC[],2,FALSE),0)</f>
        <v>1072354.9981737854</v>
      </c>
      <c r="BB1327" s="246">
        <f>IFERROR(VLOOKUP(L1327,VOL_REC[],2,FALSE),0)</f>
        <v>740113.98115702497</v>
      </c>
      <c r="BC1327" s="246">
        <f>IFERROR(VLOOKUP(M1327,VOL_REC[],2,FALSE),0)</f>
        <v>0</v>
      </c>
      <c r="BD1327" s="246">
        <f>IFERROR(VLOOKUP(N1327,VOL_REC[],2,FALSE),0)</f>
        <v>0</v>
      </c>
      <c r="BE1327" s="246">
        <f>IFERROR(VLOOKUP(O1327,VOL_REC[],2,FALSE),0)</f>
        <v>0</v>
      </c>
      <c r="BF1327" s="246">
        <f>IFERROR(VLOOKUP(P1327,VOL_REC[],2,FALSE),0)</f>
        <v>0</v>
      </c>
      <c r="BG1327" s="246">
        <f>IFERROR(VLOOKUP(Q1327,VOL_REC[],2,FALSE),0)</f>
        <v>0</v>
      </c>
      <c r="BH1327" s="1710">
        <f t="shared" si="80"/>
        <v>29521587605.511986</v>
      </c>
      <c r="BI1327" s="1710">
        <f t="shared" si="81"/>
        <v>25296381638.394073</v>
      </c>
      <c r="BJ1327" s="1711">
        <f t="shared" si="82"/>
        <v>35242767.558252037</v>
      </c>
      <c r="BK1327" s="1711">
        <f t="shared" si="83"/>
        <v>1.1670280764860468</v>
      </c>
      <c r="BL1327">
        <f>BJ1327</f>
        <v>35242767.558252037</v>
      </c>
      <c r="BO1327">
        <f>BL1327</f>
        <v>35242767.558252037</v>
      </c>
    </row>
    <row r="1328" spans="3:67" x14ac:dyDescent="0.25">
      <c r="C1328" s="246" t="s">
        <v>2678</v>
      </c>
      <c r="D1328" s="246">
        <v>1</v>
      </c>
      <c r="E1328" s="246">
        <v>2</v>
      </c>
      <c r="F1328" s="246">
        <v>3</v>
      </c>
      <c r="G1328" s="246">
        <v>5</v>
      </c>
      <c r="H1328" s="246">
        <v>6</v>
      </c>
      <c r="I1328" s="246">
        <v>10</v>
      </c>
      <c r="J1328" s="246">
        <v>14</v>
      </c>
      <c r="K1328" s="246">
        <v>15</v>
      </c>
      <c r="L1328" s="246">
        <v>16</v>
      </c>
      <c r="M1328" s="246"/>
      <c r="N1328" s="246"/>
      <c r="O1328" s="246"/>
      <c r="P1328" s="246"/>
      <c r="Q1328" s="246"/>
      <c r="R1328" s="246">
        <f>IFERROR(VLOOKUP(D1328,PROGRAMAS[],2,FALSE),0)</f>
        <v>97037803.679377079</v>
      </c>
      <c r="S1328" s="246">
        <f>IFERROR(VLOOKUP(E1328,PROGRAMAS[],2,FALSE),0)</f>
        <v>640501509.6821388</v>
      </c>
      <c r="T1328" s="246">
        <f>IFERROR(VLOOKUP(F1328,PROGRAMAS[],2,FALSE),0)</f>
        <v>3062327798.1525245</v>
      </c>
      <c r="U1328" s="246">
        <f>IFERROR(VLOOKUP(G1328,PROGRAMAS[],2,FALSE),0)</f>
        <v>1440941976.2528784</v>
      </c>
      <c r="V1328" s="246">
        <f>IFERROR(VLOOKUP(H1328,PROGRAMAS[],2,FALSE),0)</f>
        <v>6907648435.8447599</v>
      </c>
      <c r="W1328" s="246">
        <f>IFERROR(VLOOKUP(I1328,PROGRAMAS[],2,FALSE),0)</f>
        <v>4635315027.8751087</v>
      </c>
      <c r="X1328" s="246">
        <f>IFERROR(VLOOKUP(J1328,PROGRAMAS[],2,FALSE),0)</f>
        <v>54223862.645839565</v>
      </c>
      <c r="Y1328" s="246">
        <f>IFERROR(VLOOKUP(K1328,PROGRAMAS[],2,FALSE),0)</f>
        <v>122159672.96346797</v>
      </c>
      <c r="Z1328" s="246">
        <f>IFERROR(VLOOKUP(L1328,PROGRAMAS[],2,FALSE),0)</f>
        <v>7068496961.0436354</v>
      </c>
      <c r="AA1328" s="246">
        <f>IFERROR(VLOOKUP(M1328,PROGRAMAS[],2,FALSE),0)</f>
        <v>0</v>
      </c>
      <c r="AB1328" s="246">
        <f>IFERROR(VLOOKUP(N1328,PROGRAMAS[],2,FALSE),0)</f>
        <v>0</v>
      </c>
      <c r="AC1328" s="246">
        <f>IFERROR(VLOOKUP(O1328,PROGRAMAS[],2,FALSE),0)</f>
        <v>0</v>
      </c>
      <c r="AD1328" s="246">
        <f>IFERROR(VLOOKUP(P1328,PROGRAMAS[],2,FALSE),0)</f>
        <v>0</v>
      </c>
      <c r="AE1328" s="246">
        <f>IFERROR(VLOOKUP(Q1328,PROGRAMAS[],2,FALSE),0)</f>
        <v>0</v>
      </c>
      <c r="AF1328" s="246">
        <f>IFERROR(VLOOKUP(D1328,PROGRAMAS[],3,FALSE),0)</f>
        <v>841888629.31080008</v>
      </c>
      <c r="AG1328" s="246">
        <f>IFERROR(VLOOKUP(E1328,PROGRAMAS[],3,FALSE),0)</f>
        <v>3848980803.1642323</v>
      </c>
      <c r="AH1328" s="246">
        <f>IFERROR(VLOOKUP(F1328,PROGRAMAS[],3,FALSE),0)</f>
        <v>3394901471.387517</v>
      </c>
      <c r="AI1328" s="246">
        <f>IFERROR(VLOOKUP(G1328,PROGRAMAS[],3,FALSE),0)</f>
        <v>1233505101.0616004</v>
      </c>
      <c r="AJ1328" s="246">
        <f>IFERROR(VLOOKUP(H1328,PROGRAMAS[],3,FALSE),0)</f>
        <v>6129902208.7912121</v>
      </c>
      <c r="AK1328" s="246">
        <f>IFERROR(VLOOKUP(I1328,PROGRAMAS[],3,FALSE),0)</f>
        <v>4099471734.9978786</v>
      </c>
      <c r="AL1328" s="246">
        <f>IFERROR(VLOOKUP(J1328,PROGRAMAS[],3,FALSE),0)</f>
        <v>31865326.38096505</v>
      </c>
      <c r="AM1328" s="246">
        <f>IFERROR(VLOOKUP(K1328,PROGRAMAS[],3,FALSE),0)</f>
        <v>118617452.52510804</v>
      </c>
      <c r="AN1328" s="246">
        <f>IFERROR(VLOOKUP(L1328,PROGRAMAS[],3,FALSE),0)</f>
        <v>2406564599.0319901</v>
      </c>
      <c r="AO1328" s="246">
        <f>IFERROR(VLOOKUP(M1328,PROGRAMAS[],3,FALSE),0)</f>
        <v>0</v>
      </c>
      <c r="AP1328" s="246">
        <f>IFERROR(VLOOKUP(N1328,PROGRAMAS[],3,FALSE),0)</f>
        <v>0</v>
      </c>
      <c r="AQ1328" s="246">
        <f>IFERROR(VLOOKUP(O1328,PROGRAMAS[],3,FALSE),0)</f>
        <v>0</v>
      </c>
      <c r="AR1328" s="246">
        <f>IFERROR(VLOOKUP(P1328,PROGRAMAS[],3,FALSE),0)</f>
        <v>0</v>
      </c>
      <c r="AS1328" s="246">
        <f>IFERROR(VLOOKUP(Q1328,PROGRAMAS[],3,FALSE),0)</f>
        <v>0</v>
      </c>
      <c r="AT1328" s="246">
        <f>IFERROR(VLOOKUP(D1328,VOL_REC[],2,FALSE),0)</f>
        <v>0</v>
      </c>
      <c r="AU1328" s="246">
        <f>IFERROR(VLOOKUP(E1328,VOL_REC[],2,FALSE),0)</f>
        <v>0</v>
      </c>
      <c r="AV1328" s="246">
        <f>IFERROR(VLOOKUP(F1328,VOL_REC[],2,FALSE),0)</f>
        <v>11089674.200000001</v>
      </c>
      <c r="AW1328" s="246">
        <f>IFERROR(VLOOKUP(G1328,VOL_REC[],2,FALSE),0)</f>
        <v>4325103.1812214684</v>
      </c>
      <c r="AX1328" s="246">
        <f>IFERROR(VLOOKUP(H1328,VOL_REC[],2,FALSE),0)</f>
        <v>15540036.397699751</v>
      </c>
      <c r="AY1328" s="246">
        <f>IFERROR(VLOOKUP(I1328,VOL_REC[],2,FALSE),0)</f>
        <v>1812240</v>
      </c>
      <c r="AZ1328" s="246">
        <f>IFERROR(VLOOKUP(J1328,VOL_REC[],2,FALSE),0)</f>
        <v>17074.045034105649</v>
      </c>
      <c r="BA1328" s="246">
        <f>IFERROR(VLOOKUP(K1328,VOL_REC[],2,FALSE),0)</f>
        <v>105072</v>
      </c>
      <c r="BB1328" s="246">
        <f>IFERROR(VLOOKUP(L1328,VOL_REC[],2,FALSE),0)</f>
        <v>1072354.9981737854</v>
      </c>
      <c r="BC1328" s="246">
        <f>IFERROR(VLOOKUP(M1328,VOL_REC[],2,FALSE),0)</f>
        <v>0</v>
      </c>
      <c r="BD1328" s="246">
        <f>IFERROR(VLOOKUP(N1328,VOL_REC[],2,FALSE),0)</f>
        <v>0</v>
      </c>
      <c r="BE1328" s="246">
        <f>IFERROR(VLOOKUP(O1328,VOL_REC[],2,FALSE),0)</f>
        <v>0</v>
      </c>
      <c r="BF1328" s="246">
        <f>IFERROR(VLOOKUP(P1328,VOL_REC[],2,FALSE),0)</f>
        <v>0</v>
      </c>
      <c r="BG1328" s="246">
        <f>IFERROR(VLOOKUP(Q1328,VOL_REC[],2,FALSE),0)</f>
        <v>0</v>
      </c>
      <c r="BH1328" s="1710">
        <f t="shared" si="80"/>
        <v>24028653048.139732</v>
      </c>
      <c r="BI1328" s="1710">
        <f t="shared" si="81"/>
        <v>22105697326.651306</v>
      </c>
      <c r="BJ1328" s="1711">
        <f t="shared" si="82"/>
        <v>33961554.822129115</v>
      </c>
      <c r="BK1328" s="1711">
        <f t="shared" si="83"/>
        <v>1.0869891455163485</v>
      </c>
      <c r="BL1328">
        <f>BJ1328</f>
        <v>33961554.822129115</v>
      </c>
      <c r="BO1328">
        <f>BL1328</f>
        <v>33961554.822129115</v>
      </c>
    </row>
    <row r="1329" spans="3:67" x14ac:dyDescent="0.25">
      <c r="C1329" s="246" t="s">
        <v>2679</v>
      </c>
      <c r="D1329" s="246">
        <v>1</v>
      </c>
      <c r="E1329" s="246">
        <v>2</v>
      </c>
      <c r="F1329" s="246">
        <v>3</v>
      </c>
      <c r="G1329" s="246">
        <v>5</v>
      </c>
      <c r="H1329" s="246">
        <v>6</v>
      </c>
      <c r="I1329" s="246">
        <v>10</v>
      </c>
      <c r="J1329" s="246">
        <v>14</v>
      </c>
      <c r="K1329" s="246">
        <v>15</v>
      </c>
      <c r="L1329" s="246">
        <v>17</v>
      </c>
      <c r="M1329" s="246"/>
      <c r="N1329" s="246"/>
      <c r="O1329" s="246"/>
      <c r="P1329" s="246"/>
      <c r="Q1329" s="246"/>
      <c r="R1329" s="246">
        <f>IFERROR(VLOOKUP(D1329,PROGRAMAS[],2,FALSE),0)</f>
        <v>97037803.679377079</v>
      </c>
      <c r="S1329" s="246">
        <f>IFERROR(VLOOKUP(E1329,PROGRAMAS[],2,FALSE),0)</f>
        <v>640501509.6821388</v>
      </c>
      <c r="T1329" s="246">
        <f>IFERROR(VLOOKUP(F1329,PROGRAMAS[],2,FALSE),0)</f>
        <v>3062327798.1525245</v>
      </c>
      <c r="U1329" s="246">
        <f>IFERROR(VLOOKUP(G1329,PROGRAMAS[],2,FALSE),0)</f>
        <v>1440941976.2528784</v>
      </c>
      <c r="V1329" s="246">
        <f>IFERROR(VLOOKUP(H1329,PROGRAMAS[],2,FALSE),0)</f>
        <v>6907648435.8447599</v>
      </c>
      <c r="W1329" s="246">
        <f>IFERROR(VLOOKUP(I1329,PROGRAMAS[],2,FALSE),0)</f>
        <v>4635315027.8751087</v>
      </c>
      <c r="X1329" s="246">
        <f>IFERROR(VLOOKUP(J1329,PROGRAMAS[],2,FALSE),0)</f>
        <v>54223862.645839565</v>
      </c>
      <c r="Y1329" s="246">
        <f>IFERROR(VLOOKUP(K1329,PROGRAMAS[],2,FALSE),0)</f>
        <v>122159672.96346797</v>
      </c>
      <c r="Z1329" s="246">
        <f>IFERROR(VLOOKUP(L1329,PROGRAMAS[],2,FALSE),0)</f>
        <v>1892779498.5211046</v>
      </c>
      <c r="AA1329" s="246">
        <f>IFERROR(VLOOKUP(M1329,PROGRAMAS[],2,FALSE),0)</f>
        <v>0</v>
      </c>
      <c r="AB1329" s="246">
        <f>IFERROR(VLOOKUP(N1329,PROGRAMAS[],2,FALSE),0)</f>
        <v>0</v>
      </c>
      <c r="AC1329" s="246">
        <f>IFERROR(VLOOKUP(O1329,PROGRAMAS[],2,FALSE),0)</f>
        <v>0</v>
      </c>
      <c r="AD1329" s="246">
        <f>IFERROR(VLOOKUP(P1329,PROGRAMAS[],2,FALSE),0)</f>
        <v>0</v>
      </c>
      <c r="AE1329" s="246">
        <f>IFERROR(VLOOKUP(Q1329,PROGRAMAS[],2,FALSE),0)</f>
        <v>0</v>
      </c>
      <c r="AF1329" s="246">
        <f>IFERROR(VLOOKUP(D1329,PROGRAMAS[],3,FALSE),0)</f>
        <v>841888629.31080008</v>
      </c>
      <c r="AG1329" s="246">
        <f>IFERROR(VLOOKUP(E1329,PROGRAMAS[],3,FALSE),0)</f>
        <v>3848980803.1642323</v>
      </c>
      <c r="AH1329" s="246">
        <f>IFERROR(VLOOKUP(F1329,PROGRAMAS[],3,FALSE),0)</f>
        <v>3394901471.387517</v>
      </c>
      <c r="AI1329" s="246">
        <f>IFERROR(VLOOKUP(G1329,PROGRAMAS[],3,FALSE),0)</f>
        <v>1233505101.0616004</v>
      </c>
      <c r="AJ1329" s="246">
        <f>IFERROR(VLOOKUP(H1329,PROGRAMAS[],3,FALSE),0)</f>
        <v>6129902208.7912121</v>
      </c>
      <c r="AK1329" s="246">
        <f>IFERROR(VLOOKUP(I1329,PROGRAMAS[],3,FALSE),0)</f>
        <v>4099471734.9978786</v>
      </c>
      <c r="AL1329" s="246">
        <f>IFERROR(VLOOKUP(J1329,PROGRAMAS[],3,FALSE),0)</f>
        <v>31865326.38096505</v>
      </c>
      <c r="AM1329" s="246">
        <f>IFERROR(VLOOKUP(K1329,PROGRAMAS[],3,FALSE),0)</f>
        <v>118617452.52510804</v>
      </c>
      <c r="AN1329" s="246">
        <f>IFERROR(VLOOKUP(L1329,PROGRAMAS[],3,FALSE),0)</f>
        <v>948595847.09039903</v>
      </c>
      <c r="AO1329" s="246">
        <f>IFERROR(VLOOKUP(M1329,PROGRAMAS[],3,FALSE),0)</f>
        <v>0</v>
      </c>
      <c r="AP1329" s="246">
        <f>IFERROR(VLOOKUP(N1329,PROGRAMAS[],3,FALSE),0)</f>
        <v>0</v>
      </c>
      <c r="AQ1329" s="246">
        <f>IFERROR(VLOOKUP(O1329,PROGRAMAS[],3,FALSE),0)</f>
        <v>0</v>
      </c>
      <c r="AR1329" s="246">
        <f>IFERROR(VLOOKUP(P1329,PROGRAMAS[],3,FALSE),0)</f>
        <v>0</v>
      </c>
      <c r="AS1329" s="246">
        <f>IFERROR(VLOOKUP(Q1329,PROGRAMAS[],3,FALSE),0)</f>
        <v>0</v>
      </c>
      <c r="AT1329" s="246">
        <f>IFERROR(VLOOKUP(D1329,VOL_REC[],2,FALSE),0)</f>
        <v>0</v>
      </c>
      <c r="AU1329" s="246">
        <f>IFERROR(VLOOKUP(E1329,VOL_REC[],2,FALSE),0)</f>
        <v>0</v>
      </c>
      <c r="AV1329" s="246">
        <f>IFERROR(VLOOKUP(F1329,VOL_REC[],2,FALSE),0)</f>
        <v>11089674.200000001</v>
      </c>
      <c r="AW1329" s="246">
        <f>IFERROR(VLOOKUP(G1329,VOL_REC[],2,FALSE),0)</f>
        <v>4325103.1812214684</v>
      </c>
      <c r="AX1329" s="246">
        <f>IFERROR(VLOOKUP(H1329,VOL_REC[],2,FALSE),0)</f>
        <v>15540036.397699751</v>
      </c>
      <c r="AY1329" s="246">
        <f>IFERROR(VLOOKUP(I1329,VOL_REC[],2,FALSE),0)</f>
        <v>1812240</v>
      </c>
      <c r="AZ1329" s="246">
        <f>IFERROR(VLOOKUP(J1329,VOL_REC[],2,FALSE),0)</f>
        <v>17074.045034105649</v>
      </c>
      <c r="BA1329" s="246">
        <f>IFERROR(VLOOKUP(K1329,VOL_REC[],2,FALSE),0)</f>
        <v>105072</v>
      </c>
      <c r="BB1329" s="246">
        <f>IFERROR(VLOOKUP(L1329,VOL_REC[],2,FALSE),0)</f>
        <v>740113.98115702497</v>
      </c>
      <c r="BC1329" s="246">
        <f>IFERROR(VLOOKUP(M1329,VOL_REC[],2,FALSE),0)</f>
        <v>0</v>
      </c>
      <c r="BD1329" s="246">
        <f>IFERROR(VLOOKUP(N1329,VOL_REC[],2,FALSE),0)</f>
        <v>0</v>
      </c>
      <c r="BE1329" s="246">
        <f>IFERROR(VLOOKUP(O1329,VOL_REC[],2,FALSE),0)</f>
        <v>0</v>
      </c>
      <c r="BF1329" s="246">
        <f>IFERROR(VLOOKUP(P1329,VOL_REC[],2,FALSE),0)</f>
        <v>0</v>
      </c>
      <c r="BG1329" s="246">
        <f>IFERROR(VLOOKUP(Q1329,VOL_REC[],2,FALSE),0)</f>
        <v>0</v>
      </c>
      <c r="BH1329" s="1710">
        <f t="shared" si="80"/>
        <v>18852935585.617199</v>
      </c>
      <c r="BI1329" s="1710">
        <f t="shared" si="81"/>
        <v>20647728574.709717</v>
      </c>
      <c r="BJ1329" s="1711">
        <f t="shared" si="82"/>
        <v>33629313.805112354</v>
      </c>
      <c r="BK1329" s="1711">
        <f t="shared" si="83"/>
        <v>0.91307552389608304</v>
      </c>
    </row>
    <row r="1330" spans="3:67" x14ac:dyDescent="0.25">
      <c r="C1330" s="246" t="s">
        <v>2680</v>
      </c>
      <c r="D1330" s="246">
        <v>1</v>
      </c>
      <c r="E1330" s="246">
        <v>2</v>
      </c>
      <c r="F1330" s="246">
        <v>3</v>
      </c>
      <c r="G1330" s="246">
        <v>5</v>
      </c>
      <c r="H1330" s="246">
        <v>6</v>
      </c>
      <c r="I1330" s="246">
        <v>10</v>
      </c>
      <c r="J1330" s="246">
        <v>14</v>
      </c>
      <c r="K1330" s="246">
        <v>16</v>
      </c>
      <c r="L1330" s="246">
        <v>17</v>
      </c>
      <c r="M1330" s="246"/>
      <c r="N1330" s="246"/>
      <c r="O1330" s="246"/>
      <c r="P1330" s="246"/>
      <c r="Q1330" s="246"/>
      <c r="R1330" s="246">
        <f>IFERROR(VLOOKUP(D1330,PROGRAMAS[],2,FALSE),0)</f>
        <v>97037803.679377079</v>
      </c>
      <c r="S1330" s="246">
        <f>IFERROR(VLOOKUP(E1330,PROGRAMAS[],2,FALSE),0)</f>
        <v>640501509.6821388</v>
      </c>
      <c r="T1330" s="246">
        <f>IFERROR(VLOOKUP(F1330,PROGRAMAS[],2,FALSE),0)</f>
        <v>3062327798.1525245</v>
      </c>
      <c r="U1330" s="246">
        <f>IFERROR(VLOOKUP(G1330,PROGRAMAS[],2,FALSE),0)</f>
        <v>1440941976.2528784</v>
      </c>
      <c r="V1330" s="246">
        <f>IFERROR(VLOOKUP(H1330,PROGRAMAS[],2,FALSE),0)</f>
        <v>6907648435.8447599</v>
      </c>
      <c r="W1330" s="246">
        <f>IFERROR(VLOOKUP(I1330,PROGRAMAS[],2,FALSE),0)</f>
        <v>4635315027.8751087</v>
      </c>
      <c r="X1330" s="246">
        <f>IFERROR(VLOOKUP(J1330,PROGRAMAS[],2,FALSE),0)</f>
        <v>54223862.645839565</v>
      </c>
      <c r="Y1330" s="246">
        <f>IFERROR(VLOOKUP(K1330,PROGRAMAS[],2,FALSE),0)</f>
        <v>7068496961.0436354</v>
      </c>
      <c r="Z1330" s="246">
        <f>IFERROR(VLOOKUP(L1330,PROGRAMAS[],2,FALSE),0)</f>
        <v>1892779498.5211046</v>
      </c>
      <c r="AA1330" s="246">
        <f>IFERROR(VLOOKUP(M1330,PROGRAMAS[],2,FALSE),0)</f>
        <v>0</v>
      </c>
      <c r="AB1330" s="246">
        <f>IFERROR(VLOOKUP(N1330,PROGRAMAS[],2,FALSE),0)</f>
        <v>0</v>
      </c>
      <c r="AC1330" s="246">
        <f>IFERROR(VLOOKUP(O1330,PROGRAMAS[],2,FALSE),0)</f>
        <v>0</v>
      </c>
      <c r="AD1330" s="246">
        <f>IFERROR(VLOOKUP(P1330,PROGRAMAS[],2,FALSE),0)</f>
        <v>0</v>
      </c>
      <c r="AE1330" s="246">
        <f>IFERROR(VLOOKUP(Q1330,PROGRAMAS[],2,FALSE),0)</f>
        <v>0</v>
      </c>
      <c r="AF1330" s="246">
        <f>IFERROR(VLOOKUP(D1330,PROGRAMAS[],3,FALSE),0)</f>
        <v>841888629.31080008</v>
      </c>
      <c r="AG1330" s="246">
        <f>IFERROR(VLOOKUP(E1330,PROGRAMAS[],3,FALSE),0)</f>
        <v>3848980803.1642323</v>
      </c>
      <c r="AH1330" s="246">
        <f>IFERROR(VLOOKUP(F1330,PROGRAMAS[],3,FALSE),0)</f>
        <v>3394901471.387517</v>
      </c>
      <c r="AI1330" s="246">
        <f>IFERROR(VLOOKUP(G1330,PROGRAMAS[],3,FALSE),0)</f>
        <v>1233505101.0616004</v>
      </c>
      <c r="AJ1330" s="246">
        <f>IFERROR(VLOOKUP(H1330,PROGRAMAS[],3,FALSE),0)</f>
        <v>6129902208.7912121</v>
      </c>
      <c r="AK1330" s="246">
        <f>IFERROR(VLOOKUP(I1330,PROGRAMAS[],3,FALSE),0)</f>
        <v>4099471734.9978786</v>
      </c>
      <c r="AL1330" s="246">
        <f>IFERROR(VLOOKUP(J1330,PROGRAMAS[],3,FALSE),0)</f>
        <v>31865326.38096505</v>
      </c>
      <c r="AM1330" s="246">
        <f>IFERROR(VLOOKUP(K1330,PROGRAMAS[],3,FALSE),0)</f>
        <v>2406564599.0319901</v>
      </c>
      <c r="AN1330" s="246">
        <f>IFERROR(VLOOKUP(L1330,PROGRAMAS[],3,FALSE),0)</f>
        <v>948595847.09039903</v>
      </c>
      <c r="AO1330" s="246">
        <f>IFERROR(VLOOKUP(M1330,PROGRAMAS[],3,FALSE),0)</f>
        <v>0</v>
      </c>
      <c r="AP1330" s="246">
        <f>IFERROR(VLOOKUP(N1330,PROGRAMAS[],3,FALSE),0)</f>
        <v>0</v>
      </c>
      <c r="AQ1330" s="246">
        <f>IFERROR(VLOOKUP(O1330,PROGRAMAS[],3,FALSE),0)</f>
        <v>0</v>
      </c>
      <c r="AR1330" s="246">
        <f>IFERROR(VLOOKUP(P1330,PROGRAMAS[],3,FALSE),0)</f>
        <v>0</v>
      </c>
      <c r="AS1330" s="246">
        <f>IFERROR(VLOOKUP(Q1330,PROGRAMAS[],3,FALSE),0)</f>
        <v>0</v>
      </c>
      <c r="AT1330" s="246">
        <f>IFERROR(VLOOKUP(D1330,VOL_REC[],2,FALSE),0)</f>
        <v>0</v>
      </c>
      <c r="AU1330" s="246">
        <f>IFERROR(VLOOKUP(E1330,VOL_REC[],2,FALSE),0)</f>
        <v>0</v>
      </c>
      <c r="AV1330" s="246">
        <f>IFERROR(VLOOKUP(F1330,VOL_REC[],2,FALSE),0)</f>
        <v>11089674.200000001</v>
      </c>
      <c r="AW1330" s="246">
        <f>IFERROR(VLOOKUP(G1330,VOL_REC[],2,FALSE),0)</f>
        <v>4325103.1812214684</v>
      </c>
      <c r="AX1330" s="246">
        <f>IFERROR(VLOOKUP(H1330,VOL_REC[],2,FALSE),0)</f>
        <v>15540036.397699751</v>
      </c>
      <c r="AY1330" s="246">
        <f>IFERROR(VLOOKUP(I1330,VOL_REC[],2,FALSE),0)</f>
        <v>1812240</v>
      </c>
      <c r="AZ1330" s="246">
        <f>IFERROR(VLOOKUP(J1330,VOL_REC[],2,FALSE),0)</f>
        <v>17074.045034105649</v>
      </c>
      <c r="BA1330" s="246">
        <f>IFERROR(VLOOKUP(K1330,VOL_REC[],2,FALSE),0)</f>
        <v>1072354.9981737854</v>
      </c>
      <c r="BB1330" s="246">
        <f>IFERROR(VLOOKUP(L1330,VOL_REC[],2,FALSE),0)</f>
        <v>740113.98115702497</v>
      </c>
      <c r="BC1330" s="246">
        <f>IFERROR(VLOOKUP(M1330,VOL_REC[],2,FALSE),0)</f>
        <v>0</v>
      </c>
      <c r="BD1330" s="246">
        <f>IFERROR(VLOOKUP(N1330,VOL_REC[],2,FALSE),0)</f>
        <v>0</v>
      </c>
      <c r="BE1330" s="246">
        <f>IFERROR(VLOOKUP(O1330,VOL_REC[],2,FALSE),0)</f>
        <v>0</v>
      </c>
      <c r="BF1330" s="246">
        <f>IFERROR(VLOOKUP(P1330,VOL_REC[],2,FALSE),0)</f>
        <v>0</v>
      </c>
      <c r="BG1330" s="246">
        <f>IFERROR(VLOOKUP(Q1330,VOL_REC[],2,FALSE),0)</f>
        <v>0</v>
      </c>
      <c r="BH1330" s="1710">
        <f t="shared" si="80"/>
        <v>25799272873.697365</v>
      </c>
      <c r="BI1330" s="1710">
        <f t="shared" si="81"/>
        <v>22935675721.216599</v>
      </c>
      <c r="BJ1330" s="1711">
        <f t="shared" si="82"/>
        <v>34596596.803286143</v>
      </c>
      <c r="BK1330" s="1711">
        <f t="shared" si="83"/>
        <v>1.1248534025021901</v>
      </c>
      <c r="BL1330">
        <f>BJ1330</f>
        <v>34596596.803286143</v>
      </c>
      <c r="BO1330">
        <f>BL1330</f>
        <v>34596596.803286143</v>
      </c>
    </row>
    <row r="1331" spans="3:67" x14ac:dyDescent="0.25">
      <c r="C1331" s="246" t="s">
        <v>2681</v>
      </c>
      <c r="D1331" s="246">
        <v>1</v>
      </c>
      <c r="E1331" s="246">
        <v>2</v>
      </c>
      <c r="F1331" s="246">
        <v>3</v>
      </c>
      <c r="G1331" s="246">
        <v>5</v>
      </c>
      <c r="H1331" s="246">
        <v>6</v>
      </c>
      <c r="I1331" s="246">
        <v>10</v>
      </c>
      <c r="J1331" s="246">
        <v>15</v>
      </c>
      <c r="K1331" s="246">
        <v>16</v>
      </c>
      <c r="L1331" s="246">
        <v>17</v>
      </c>
      <c r="M1331" s="246"/>
      <c r="N1331" s="246"/>
      <c r="O1331" s="246"/>
      <c r="P1331" s="246"/>
      <c r="Q1331" s="246"/>
      <c r="R1331" s="246">
        <f>IFERROR(VLOOKUP(D1331,PROGRAMAS[],2,FALSE),0)</f>
        <v>97037803.679377079</v>
      </c>
      <c r="S1331" s="246">
        <f>IFERROR(VLOOKUP(E1331,PROGRAMAS[],2,FALSE),0)</f>
        <v>640501509.6821388</v>
      </c>
      <c r="T1331" s="246">
        <f>IFERROR(VLOOKUP(F1331,PROGRAMAS[],2,FALSE),0)</f>
        <v>3062327798.1525245</v>
      </c>
      <c r="U1331" s="246">
        <f>IFERROR(VLOOKUP(G1331,PROGRAMAS[],2,FALSE),0)</f>
        <v>1440941976.2528784</v>
      </c>
      <c r="V1331" s="246">
        <f>IFERROR(VLOOKUP(H1331,PROGRAMAS[],2,FALSE),0)</f>
        <v>6907648435.8447599</v>
      </c>
      <c r="W1331" s="246">
        <f>IFERROR(VLOOKUP(I1331,PROGRAMAS[],2,FALSE),0)</f>
        <v>4635315027.8751087</v>
      </c>
      <c r="X1331" s="246">
        <f>IFERROR(VLOOKUP(J1331,PROGRAMAS[],2,FALSE),0)</f>
        <v>122159672.96346797</v>
      </c>
      <c r="Y1331" s="246">
        <f>IFERROR(VLOOKUP(K1331,PROGRAMAS[],2,FALSE),0)</f>
        <v>7068496961.0436354</v>
      </c>
      <c r="Z1331" s="246">
        <f>IFERROR(VLOOKUP(L1331,PROGRAMAS[],2,FALSE),0)</f>
        <v>1892779498.5211046</v>
      </c>
      <c r="AA1331" s="246">
        <f>IFERROR(VLOOKUP(M1331,PROGRAMAS[],2,FALSE),0)</f>
        <v>0</v>
      </c>
      <c r="AB1331" s="246">
        <f>IFERROR(VLOOKUP(N1331,PROGRAMAS[],2,FALSE),0)</f>
        <v>0</v>
      </c>
      <c r="AC1331" s="246">
        <f>IFERROR(VLOOKUP(O1331,PROGRAMAS[],2,FALSE),0)</f>
        <v>0</v>
      </c>
      <c r="AD1331" s="246">
        <f>IFERROR(VLOOKUP(P1331,PROGRAMAS[],2,FALSE),0)</f>
        <v>0</v>
      </c>
      <c r="AE1331" s="246">
        <f>IFERROR(VLOOKUP(Q1331,PROGRAMAS[],2,FALSE),0)</f>
        <v>0</v>
      </c>
      <c r="AF1331" s="246">
        <f>IFERROR(VLOOKUP(D1331,PROGRAMAS[],3,FALSE),0)</f>
        <v>841888629.31080008</v>
      </c>
      <c r="AG1331" s="246">
        <f>IFERROR(VLOOKUP(E1331,PROGRAMAS[],3,FALSE),0)</f>
        <v>3848980803.1642323</v>
      </c>
      <c r="AH1331" s="246">
        <f>IFERROR(VLOOKUP(F1331,PROGRAMAS[],3,FALSE),0)</f>
        <v>3394901471.387517</v>
      </c>
      <c r="AI1331" s="246">
        <f>IFERROR(VLOOKUP(G1331,PROGRAMAS[],3,FALSE),0)</f>
        <v>1233505101.0616004</v>
      </c>
      <c r="AJ1331" s="246">
        <f>IFERROR(VLOOKUP(H1331,PROGRAMAS[],3,FALSE),0)</f>
        <v>6129902208.7912121</v>
      </c>
      <c r="AK1331" s="246">
        <f>IFERROR(VLOOKUP(I1331,PROGRAMAS[],3,FALSE),0)</f>
        <v>4099471734.9978786</v>
      </c>
      <c r="AL1331" s="246">
        <f>IFERROR(VLOOKUP(J1331,PROGRAMAS[],3,FALSE),0)</f>
        <v>118617452.52510804</v>
      </c>
      <c r="AM1331" s="246">
        <f>IFERROR(VLOOKUP(K1331,PROGRAMAS[],3,FALSE),0)</f>
        <v>2406564599.0319901</v>
      </c>
      <c r="AN1331" s="246">
        <f>IFERROR(VLOOKUP(L1331,PROGRAMAS[],3,FALSE),0)</f>
        <v>948595847.09039903</v>
      </c>
      <c r="AO1331" s="246">
        <f>IFERROR(VLOOKUP(M1331,PROGRAMAS[],3,FALSE),0)</f>
        <v>0</v>
      </c>
      <c r="AP1331" s="246">
        <f>IFERROR(VLOOKUP(N1331,PROGRAMAS[],3,FALSE),0)</f>
        <v>0</v>
      </c>
      <c r="AQ1331" s="246">
        <f>IFERROR(VLOOKUP(O1331,PROGRAMAS[],3,FALSE),0)</f>
        <v>0</v>
      </c>
      <c r="AR1331" s="246">
        <f>IFERROR(VLOOKUP(P1331,PROGRAMAS[],3,FALSE),0)</f>
        <v>0</v>
      </c>
      <c r="AS1331" s="246">
        <f>IFERROR(VLOOKUP(Q1331,PROGRAMAS[],3,FALSE),0)</f>
        <v>0</v>
      </c>
      <c r="AT1331" s="246">
        <f>IFERROR(VLOOKUP(D1331,VOL_REC[],2,FALSE),0)</f>
        <v>0</v>
      </c>
      <c r="AU1331" s="246">
        <f>IFERROR(VLOOKUP(E1331,VOL_REC[],2,FALSE),0)</f>
        <v>0</v>
      </c>
      <c r="AV1331" s="246">
        <f>IFERROR(VLOOKUP(F1331,VOL_REC[],2,FALSE),0)</f>
        <v>11089674.200000001</v>
      </c>
      <c r="AW1331" s="246">
        <f>IFERROR(VLOOKUP(G1331,VOL_REC[],2,FALSE),0)</f>
        <v>4325103.1812214684</v>
      </c>
      <c r="AX1331" s="246">
        <f>IFERROR(VLOOKUP(H1331,VOL_REC[],2,FALSE),0)</f>
        <v>15540036.397699751</v>
      </c>
      <c r="AY1331" s="246">
        <f>IFERROR(VLOOKUP(I1331,VOL_REC[],2,FALSE),0)</f>
        <v>1812240</v>
      </c>
      <c r="AZ1331" s="246">
        <f>IFERROR(VLOOKUP(J1331,VOL_REC[],2,FALSE),0)</f>
        <v>105072</v>
      </c>
      <c r="BA1331" s="246">
        <f>IFERROR(VLOOKUP(K1331,VOL_REC[],2,FALSE),0)</f>
        <v>1072354.9981737854</v>
      </c>
      <c r="BB1331" s="246">
        <f>IFERROR(VLOOKUP(L1331,VOL_REC[],2,FALSE),0)</f>
        <v>740113.98115702497</v>
      </c>
      <c r="BC1331" s="246">
        <f>IFERROR(VLOOKUP(M1331,VOL_REC[],2,FALSE),0)</f>
        <v>0</v>
      </c>
      <c r="BD1331" s="246">
        <f>IFERROR(VLOOKUP(N1331,VOL_REC[],2,FALSE),0)</f>
        <v>0</v>
      </c>
      <c r="BE1331" s="246">
        <f>IFERROR(VLOOKUP(O1331,VOL_REC[],2,FALSE),0)</f>
        <v>0</v>
      </c>
      <c r="BF1331" s="246">
        <f>IFERROR(VLOOKUP(P1331,VOL_REC[],2,FALSE),0)</f>
        <v>0</v>
      </c>
      <c r="BG1331" s="246">
        <f>IFERROR(VLOOKUP(Q1331,VOL_REC[],2,FALSE),0)</f>
        <v>0</v>
      </c>
      <c r="BH1331" s="1710">
        <f t="shared" si="80"/>
        <v>25867208684.014996</v>
      </c>
      <c r="BI1331" s="1710">
        <f t="shared" si="81"/>
        <v>23022427847.360741</v>
      </c>
      <c r="BJ1331" s="1711">
        <f t="shared" si="82"/>
        <v>34684594.758252032</v>
      </c>
      <c r="BK1331" s="1711">
        <f t="shared" si="83"/>
        <v>1.1235656315448233</v>
      </c>
      <c r="BL1331">
        <f>BJ1331</f>
        <v>34684594.758252032</v>
      </c>
      <c r="BO1331">
        <f>BL1331</f>
        <v>34684594.758252032</v>
      </c>
    </row>
    <row r="1332" spans="3:67" x14ac:dyDescent="0.25">
      <c r="C1332" s="246" t="s">
        <v>2682</v>
      </c>
      <c r="D1332" s="246">
        <v>1</v>
      </c>
      <c r="E1332" s="246">
        <v>2</v>
      </c>
      <c r="F1332" s="246">
        <v>3</v>
      </c>
      <c r="G1332" s="246">
        <v>5</v>
      </c>
      <c r="H1332" s="246">
        <v>6</v>
      </c>
      <c r="I1332" s="246">
        <v>12</v>
      </c>
      <c r="J1332" s="246">
        <v>13</v>
      </c>
      <c r="K1332" s="246">
        <v>14</v>
      </c>
      <c r="L1332" s="246">
        <v>15</v>
      </c>
      <c r="M1332" s="246"/>
      <c r="N1332" s="246"/>
      <c r="O1332" s="246"/>
      <c r="P1332" s="246"/>
      <c r="Q1332" s="246"/>
      <c r="R1332" s="246">
        <f>IFERROR(VLOOKUP(D1332,PROGRAMAS[],2,FALSE),0)</f>
        <v>97037803.679377079</v>
      </c>
      <c r="S1332" s="246">
        <f>IFERROR(VLOOKUP(E1332,PROGRAMAS[],2,FALSE),0)</f>
        <v>640501509.6821388</v>
      </c>
      <c r="T1332" s="246">
        <f>IFERROR(VLOOKUP(F1332,PROGRAMAS[],2,FALSE),0)</f>
        <v>3062327798.1525245</v>
      </c>
      <c r="U1332" s="246">
        <f>IFERROR(VLOOKUP(G1332,PROGRAMAS[],2,FALSE),0)</f>
        <v>1440941976.2528784</v>
      </c>
      <c r="V1332" s="246">
        <f>IFERROR(VLOOKUP(H1332,PROGRAMAS[],2,FALSE),0)</f>
        <v>6907648435.8447599</v>
      </c>
      <c r="W1332" s="246">
        <f>IFERROR(VLOOKUP(I1332,PROGRAMAS[],2,FALSE),0)</f>
        <v>764796700.79905891</v>
      </c>
      <c r="X1332" s="246">
        <f>IFERROR(VLOOKUP(J1332,PROGRAMAS[],2,FALSE),0)</f>
        <v>3776538594.4604583</v>
      </c>
      <c r="Y1332" s="246">
        <f>IFERROR(VLOOKUP(K1332,PROGRAMAS[],2,FALSE),0)</f>
        <v>54223862.645839565</v>
      </c>
      <c r="Z1332" s="246">
        <f>IFERROR(VLOOKUP(L1332,PROGRAMAS[],2,FALSE),0)</f>
        <v>122159672.96346797</v>
      </c>
      <c r="AA1332" s="246">
        <f>IFERROR(VLOOKUP(M1332,PROGRAMAS[],2,FALSE),0)</f>
        <v>0</v>
      </c>
      <c r="AB1332" s="246">
        <f>IFERROR(VLOOKUP(N1332,PROGRAMAS[],2,FALSE),0)</f>
        <v>0</v>
      </c>
      <c r="AC1332" s="246">
        <f>IFERROR(VLOOKUP(O1332,PROGRAMAS[],2,FALSE),0)</f>
        <v>0</v>
      </c>
      <c r="AD1332" s="246">
        <f>IFERROR(VLOOKUP(P1332,PROGRAMAS[],2,FALSE),0)</f>
        <v>0</v>
      </c>
      <c r="AE1332" s="246">
        <f>IFERROR(VLOOKUP(Q1332,PROGRAMAS[],2,FALSE),0)</f>
        <v>0</v>
      </c>
      <c r="AF1332" s="246">
        <f>IFERROR(VLOOKUP(D1332,PROGRAMAS[],3,FALSE),0)</f>
        <v>841888629.31080008</v>
      </c>
      <c r="AG1332" s="246">
        <f>IFERROR(VLOOKUP(E1332,PROGRAMAS[],3,FALSE),0)</f>
        <v>3848980803.1642323</v>
      </c>
      <c r="AH1332" s="246">
        <f>IFERROR(VLOOKUP(F1332,PROGRAMAS[],3,FALSE),0)</f>
        <v>3394901471.387517</v>
      </c>
      <c r="AI1332" s="246">
        <f>IFERROR(VLOOKUP(G1332,PROGRAMAS[],3,FALSE),0)</f>
        <v>1233505101.0616004</v>
      </c>
      <c r="AJ1332" s="246">
        <f>IFERROR(VLOOKUP(H1332,PROGRAMAS[],3,FALSE),0)</f>
        <v>6129902208.7912121</v>
      </c>
      <c r="AK1332" s="246">
        <f>IFERROR(VLOOKUP(I1332,PROGRAMAS[],3,FALSE),0)</f>
        <v>675517840.109828</v>
      </c>
      <c r="AL1332" s="246">
        <f>IFERROR(VLOOKUP(J1332,PROGRAMAS[],3,FALSE),0)</f>
        <v>2392571243.5584412</v>
      </c>
      <c r="AM1332" s="246">
        <f>IFERROR(VLOOKUP(K1332,PROGRAMAS[],3,FALSE),0)</f>
        <v>31865326.38096505</v>
      </c>
      <c r="AN1332" s="246">
        <f>IFERROR(VLOOKUP(L1332,PROGRAMAS[],3,FALSE),0)</f>
        <v>118617452.52510804</v>
      </c>
      <c r="AO1332" s="246">
        <f>IFERROR(VLOOKUP(M1332,PROGRAMAS[],3,FALSE),0)</f>
        <v>0</v>
      </c>
      <c r="AP1332" s="246">
        <f>IFERROR(VLOOKUP(N1332,PROGRAMAS[],3,FALSE),0)</f>
        <v>0</v>
      </c>
      <c r="AQ1332" s="246">
        <f>IFERROR(VLOOKUP(O1332,PROGRAMAS[],3,FALSE),0)</f>
        <v>0</v>
      </c>
      <c r="AR1332" s="246">
        <f>IFERROR(VLOOKUP(P1332,PROGRAMAS[],3,FALSE),0)</f>
        <v>0</v>
      </c>
      <c r="AS1332" s="246">
        <f>IFERROR(VLOOKUP(Q1332,PROGRAMAS[],3,FALSE),0)</f>
        <v>0</v>
      </c>
      <c r="AT1332" s="246">
        <f>IFERROR(VLOOKUP(D1332,VOL_REC[],2,FALSE),0)</f>
        <v>0</v>
      </c>
      <c r="AU1332" s="246">
        <f>IFERROR(VLOOKUP(E1332,VOL_REC[],2,FALSE),0)</f>
        <v>0</v>
      </c>
      <c r="AV1332" s="246">
        <f>IFERROR(VLOOKUP(F1332,VOL_REC[],2,FALSE),0)</f>
        <v>11089674.200000001</v>
      </c>
      <c r="AW1332" s="246">
        <f>IFERROR(VLOOKUP(G1332,VOL_REC[],2,FALSE),0)</f>
        <v>4325103.1812214684</v>
      </c>
      <c r="AX1332" s="246">
        <f>IFERROR(VLOOKUP(H1332,VOL_REC[],2,FALSE),0)</f>
        <v>15540036.397699751</v>
      </c>
      <c r="AY1332" s="246">
        <f>IFERROR(VLOOKUP(I1332,VOL_REC[],2,FALSE),0)</f>
        <v>240696.79238099116</v>
      </c>
      <c r="AZ1332" s="246">
        <f>IFERROR(VLOOKUP(J1332,VOL_REC[],2,FALSE),0)</f>
        <v>663244.80000000016</v>
      </c>
      <c r="BA1332" s="246">
        <f>IFERROR(VLOOKUP(K1332,VOL_REC[],2,FALSE),0)</f>
        <v>17074.045034105649</v>
      </c>
      <c r="BB1332" s="246">
        <f>IFERROR(VLOOKUP(L1332,VOL_REC[],2,FALSE),0)</f>
        <v>105072</v>
      </c>
      <c r="BC1332" s="246">
        <f>IFERROR(VLOOKUP(M1332,VOL_REC[],2,FALSE),0)</f>
        <v>0</v>
      </c>
      <c r="BD1332" s="246">
        <f>IFERROR(VLOOKUP(N1332,VOL_REC[],2,FALSE),0)</f>
        <v>0</v>
      </c>
      <c r="BE1332" s="246">
        <f>IFERROR(VLOOKUP(O1332,VOL_REC[],2,FALSE),0)</f>
        <v>0</v>
      </c>
      <c r="BF1332" s="246">
        <f>IFERROR(VLOOKUP(P1332,VOL_REC[],2,FALSE),0)</f>
        <v>0</v>
      </c>
      <c r="BG1332" s="246">
        <f>IFERROR(VLOOKUP(Q1332,VOL_REC[],2,FALSE),0)</f>
        <v>0</v>
      </c>
      <c r="BH1332" s="1710">
        <f t="shared" si="80"/>
        <v>16866176354.480505</v>
      </c>
      <c r="BI1332" s="1710">
        <f t="shared" si="81"/>
        <v>18667750076.289707</v>
      </c>
      <c r="BJ1332" s="1711">
        <f t="shared" si="82"/>
        <v>31980901.41633632</v>
      </c>
      <c r="BK1332" s="1711">
        <f t="shared" si="83"/>
        <v>0.90349272330909236</v>
      </c>
    </row>
    <row r="1333" spans="3:67" x14ac:dyDescent="0.25">
      <c r="C1333" s="246" t="s">
        <v>2683</v>
      </c>
      <c r="D1333" s="246">
        <v>1</v>
      </c>
      <c r="E1333" s="246">
        <v>2</v>
      </c>
      <c r="F1333" s="246">
        <v>3</v>
      </c>
      <c r="G1333" s="246">
        <v>5</v>
      </c>
      <c r="H1333" s="246">
        <v>6</v>
      </c>
      <c r="I1333" s="246">
        <v>12</v>
      </c>
      <c r="J1333" s="246">
        <v>13</v>
      </c>
      <c r="K1333" s="246">
        <v>14</v>
      </c>
      <c r="L1333" s="246">
        <v>16</v>
      </c>
      <c r="M1333" s="246"/>
      <c r="N1333" s="246"/>
      <c r="O1333" s="246"/>
      <c r="P1333" s="246"/>
      <c r="Q1333" s="246"/>
      <c r="R1333" s="246">
        <f>IFERROR(VLOOKUP(D1333,PROGRAMAS[],2,FALSE),0)</f>
        <v>97037803.679377079</v>
      </c>
      <c r="S1333" s="246">
        <f>IFERROR(VLOOKUP(E1333,PROGRAMAS[],2,FALSE),0)</f>
        <v>640501509.6821388</v>
      </c>
      <c r="T1333" s="246">
        <f>IFERROR(VLOOKUP(F1333,PROGRAMAS[],2,FALSE),0)</f>
        <v>3062327798.1525245</v>
      </c>
      <c r="U1333" s="246">
        <f>IFERROR(VLOOKUP(G1333,PROGRAMAS[],2,FALSE),0)</f>
        <v>1440941976.2528784</v>
      </c>
      <c r="V1333" s="246">
        <f>IFERROR(VLOOKUP(H1333,PROGRAMAS[],2,FALSE),0)</f>
        <v>6907648435.8447599</v>
      </c>
      <c r="W1333" s="246">
        <f>IFERROR(VLOOKUP(I1333,PROGRAMAS[],2,FALSE),0)</f>
        <v>764796700.79905891</v>
      </c>
      <c r="X1333" s="246">
        <f>IFERROR(VLOOKUP(J1333,PROGRAMAS[],2,FALSE),0)</f>
        <v>3776538594.4604583</v>
      </c>
      <c r="Y1333" s="246">
        <f>IFERROR(VLOOKUP(K1333,PROGRAMAS[],2,FALSE),0)</f>
        <v>54223862.645839565</v>
      </c>
      <c r="Z1333" s="246">
        <f>IFERROR(VLOOKUP(L1333,PROGRAMAS[],2,FALSE),0)</f>
        <v>7068496961.0436354</v>
      </c>
      <c r="AA1333" s="246">
        <f>IFERROR(VLOOKUP(M1333,PROGRAMAS[],2,FALSE),0)</f>
        <v>0</v>
      </c>
      <c r="AB1333" s="246">
        <f>IFERROR(VLOOKUP(N1333,PROGRAMAS[],2,FALSE),0)</f>
        <v>0</v>
      </c>
      <c r="AC1333" s="246">
        <f>IFERROR(VLOOKUP(O1333,PROGRAMAS[],2,FALSE),0)</f>
        <v>0</v>
      </c>
      <c r="AD1333" s="246">
        <f>IFERROR(VLOOKUP(P1333,PROGRAMAS[],2,FALSE),0)</f>
        <v>0</v>
      </c>
      <c r="AE1333" s="246">
        <f>IFERROR(VLOOKUP(Q1333,PROGRAMAS[],2,FALSE),0)</f>
        <v>0</v>
      </c>
      <c r="AF1333" s="246">
        <f>IFERROR(VLOOKUP(D1333,PROGRAMAS[],3,FALSE),0)</f>
        <v>841888629.31080008</v>
      </c>
      <c r="AG1333" s="246">
        <f>IFERROR(VLOOKUP(E1333,PROGRAMAS[],3,FALSE),0)</f>
        <v>3848980803.1642323</v>
      </c>
      <c r="AH1333" s="246">
        <f>IFERROR(VLOOKUP(F1333,PROGRAMAS[],3,FALSE),0)</f>
        <v>3394901471.387517</v>
      </c>
      <c r="AI1333" s="246">
        <f>IFERROR(VLOOKUP(G1333,PROGRAMAS[],3,FALSE),0)</f>
        <v>1233505101.0616004</v>
      </c>
      <c r="AJ1333" s="246">
        <f>IFERROR(VLOOKUP(H1333,PROGRAMAS[],3,FALSE),0)</f>
        <v>6129902208.7912121</v>
      </c>
      <c r="AK1333" s="246">
        <f>IFERROR(VLOOKUP(I1333,PROGRAMAS[],3,FALSE),0)</f>
        <v>675517840.109828</v>
      </c>
      <c r="AL1333" s="246">
        <f>IFERROR(VLOOKUP(J1333,PROGRAMAS[],3,FALSE),0)</f>
        <v>2392571243.5584412</v>
      </c>
      <c r="AM1333" s="246">
        <f>IFERROR(VLOOKUP(K1333,PROGRAMAS[],3,FALSE),0)</f>
        <v>31865326.38096505</v>
      </c>
      <c r="AN1333" s="246">
        <f>IFERROR(VLOOKUP(L1333,PROGRAMAS[],3,FALSE),0)</f>
        <v>2406564599.0319901</v>
      </c>
      <c r="AO1333" s="246">
        <f>IFERROR(VLOOKUP(M1333,PROGRAMAS[],3,FALSE),0)</f>
        <v>0</v>
      </c>
      <c r="AP1333" s="246">
        <f>IFERROR(VLOOKUP(N1333,PROGRAMAS[],3,FALSE),0)</f>
        <v>0</v>
      </c>
      <c r="AQ1333" s="246">
        <f>IFERROR(VLOOKUP(O1333,PROGRAMAS[],3,FALSE),0)</f>
        <v>0</v>
      </c>
      <c r="AR1333" s="246">
        <f>IFERROR(VLOOKUP(P1333,PROGRAMAS[],3,FALSE),0)</f>
        <v>0</v>
      </c>
      <c r="AS1333" s="246">
        <f>IFERROR(VLOOKUP(Q1333,PROGRAMAS[],3,FALSE),0)</f>
        <v>0</v>
      </c>
      <c r="AT1333" s="246">
        <f>IFERROR(VLOOKUP(D1333,VOL_REC[],2,FALSE),0)</f>
        <v>0</v>
      </c>
      <c r="AU1333" s="246">
        <f>IFERROR(VLOOKUP(E1333,VOL_REC[],2,FALSE),0)</f>
        <v>0</v>
      </c>
      <c r="AV1333" s="246">
        <f>IFERROR(VLOOKUP(F1333,VOL_REC[],2,FALSE),0)</f>
        <v>11089674.200000001</v>
      </c>
      <c r="AW1333" s="246">
        <f>IFERROR(VLOOKUP(G1333,VOL_REC[],2,FALSE),0)</f>
        <v>4325103.1812214684</v>
      </c>
      <c r="AX1333" s="246">
        <f>IFERROR(VLOOKUP(H1333,VOL_REC[],2,FALSE),0)</f>
        <v>15540036.397699751</v>
      </c>
      <c r="AY1333" s="246">
        <f>IFERROR(VLOOKUP(I1333,VOL_REC[],2,FALSE),0)</f>
        <v>240696.79238099116</v>
      </c>
      <c r="AZ1333" s="246">
        <f>IFERROR(VLOOKUP(J1333,VOL_REC[],2,FALSE),0)</f>
        <v>663244.80000000016</v>
      </c>
      <c r="BA1333" s="246">
        <f>IFERROR(VLOOKUP(K1333,VOL_REC[],2,FALSE),0)</f>
        <v>17074.045034105649</v>
      </c>
      <c r="BB1333" s="246">
        <f>IFERROR(VLOOKUP(L1333,VOL_REC[],2,FALSE),0)</f>
        <v>1072354.9981737854</v>
      </c>
      <c r="BC1333" s="246">
        <f>IFERROR(VLOOKUP(M1333,VOL_REC[],2,FALSE),0)</f>
        <v>0</v>
      </c>
      <c r="BD1333" s="246">
        <f>IFERROR(VLOOKUP(N1333,VOL_REC[],2,FALSE),0)</f>
        <v>0</v>
      </c>
      <c r="BE1333" s="246">
        <f>IFERROR(VLOOKUP(O1333,VOL_REC[],2,FALSE),0)</f>
        <v>0</v>
      </c>
      <c r="BF1333" s="246">
        <f>IFERROR(VLOOKUP(P1333,VOL_REC[],2,FALSE),0)</f>
        <v>0</v>
      </c>
      <c r="BG1333" s="246">
        <f>IFERROR(VLOOKUP(Q1333,VOL_REC[],2,FALSE),0)</f>
        <v>0</v>
      </c>
      <c r="BH1333" s="1710">
        <f t="shared" si="80"/>
        <v>23812513642.560673</v>
      </c>
      <c r="BI1333" s="1710">
        <f t="shared" si="81"/>
        <v>20955697222.796589</v>
      </c>
      <c r="BJ1333" s="1711">
        <f t="shared" si="82"/>
        <v>32948184.414510105</v>
      </c>
      <c r="BK1333" s="1711">
        <f t="shared" si="83"/>
        <v>1.136326479114057</v>
      </c>
      <c r="BL1333">
        <f>BJ1333</f>
        <v>32948184.414510105</v>
      </c>
      <c r="BO1333">
        <f>BL1333</f>
        <v>32948184.414510105</v>
      </c>
    </row>
    <row r="1334" spans="3:67" x14ac:dyDescent="0.25">
      <c r="C1334" s="246" t="s">
        <v>2684</v>
      </c>
      <c r="D1334" s="246">
        <v>1</v>
      </c>
      <c r="E1334" s="246">
        <v>2</v>
      </c>
      <c r="F1334" s="246">
        <v>3</v>
      </c>
      <c r="G1334" s="246">
        <v>5</v>
      </c>
      <c r="H1334" s="246">
        <v>6</v>
      </c>
      <c r="I1334" s="246">
        <v>12</v>
      </c>
      <c r="J1334" s="246">
        <v>13</v>
      </c>
      <c r="K1334" s="246">
        <v>14</v>
      </c>
      <c r="L1334" s="246">
        <v>17</v>
      </c>
      <c r="M1334" s="246"/>
      <c r="N1334" s="246"/>
      <c r="O1334" s="246"/>
      <c r="P1334" s="246"/>
      <c r="Q1334" s="246"/>
      <c r="R1334" s="246">
        <f>IFERROR(VLOOKUP(D1334,PROGRAMAS[],2,FALSE),0)</f>
        <v>97037803.679377079</v>
      </c>
      <c r="S1334" s="246">
        <f>IFERROR(VLOOKUP(E1334,PROGRAMAS[],2,FALSE),0)</f>
        <v>640501509.6821388</v>
      </c>
      <c r="T1334" s="246">
        <f>IFERROR(VLOOKUP(F1334,PROGRAMAS[],2,FALSE),0)</f>
        <v>3062327798.1525245</v>
      </c>
      <c r="U1334" s="246">
        <f>IFERROR(VLOOKUP(G1334,PROGRAMAS[],2,FALSE),0)</f>
        <v>1440941976.2528784</v>
      </c>
      <c r="V1334" s="246">
        <f>IFERROR(VLOOKUP(H1334,PROGRAMAS[],2,FALSE),0)</f>
        <v>6907648435.8447599</v>
      </c>
      <c r="W1334" s="246">
        <f>IFERROR(VLOOKUP(I1334,PROGRAMAS[],2,FALSE),0)</f>
        <v>764796700.79905891</v>
      </c>
      <c r="X1334" s="246">
        <f>IFERROR(VLOOKUP(J1334,PROGRAMAS[],2,FALSE),0)</f>
        <v>3776538594.4604583</v>
      </c>
      <c r="Y1334" s="246">
        <f>IFERROR(VLOOKUP(K1334,PROGRAMAS[],2,FALSE),0)</f>
        <v>54223862.645839565</v>
      </c>
      <c r="Z1334" s="246">
        <f>IFERROR(VLOOKUP(L1334,PROGRAMAS[],2,FALSE),0)</f>
        <v>1892779498.5211046</v>
      </c>
      <c r="AA1334" s="246">
        <f>IFERROR(VLOOKUP(M1334,PROGRAMAS[],2,FALSE),0)</f>
        <v>0</v>
      </c>
      <c r="AB1334" s="246">
        <f>IFERROR(VLOOKUP(N1334,PROGRAMAS[],2,FALSE),0)</f>
        <v>0</v>
      </c>
      <c r="AC1334" s="246">
        <f>IFERROR(VLOOKUP(O1334,PROGRAMAS[],2,FALSE),0)</f>
        <v>0</v>
      </c>
      <c r="AD1334" s="246">
        <f>IFERROR(VLOOKUP(P1334,PROGRAMAS[],2,FALSE),0)</f>
        <v>0</v>
      </c>
      <c r="AE1334" s="246">
        <f>IFERROR(VLOOKUP(Q1334,PROGRAMAS[],2,FALSE),0)</f>
        <v>0</v>
      </c>
      <c r="AF1334" s="246">
        <f>IFERROR(VLOOKUP(D1334,PROGRAMAS[],3,FALSE),0)</f>
        <v>841888629.31080008</v>
      </c>
      <c r="AG1334" s="246">
        <f>IFERROR(VLOOKUP(E1334,PROGRAMAS[],3,FALSE),0)</f>
        <v>3848980803.1642323</v>
      </c>
      <c r="AH1334" s="246">
        <f>IFERROR(VLOOKUP(F1334,PROGRAMAS[],3,FALSE),0)</f>
        <v>3394901471.387517</v>
      </c>
      <c r="AI1334" s="246">
        <f>IFERROR(VLOOKUP(G1334,PROGRAMAS[],3,FALSE),0)</f>
        <v>1233505101.0616004</v>
      </c>
      <c r="AJ1334" s="246">
        <f>IFERROR(VLOOKUP(H1334,PROGRAMAS[],3,FALSE),0)</f>
        <v>6129902208.7912121</v>
      </c>
      <c r="AK1334" s="246">
        <f>IFERROR(VLOOKUP(I1334,PROGRAMAS[],3,FALSE),0)</f>
        <v>675517840.109828</v>
      </c>
      <c r="AL1334" s="246">
        <f>IFERROR(VLOOKUP(J1334,PROGRAMAS[],3,FALSE),0)</f>
        <v>2392571243.5584412</v>
      </c>
      <c r="AM1334" s="246">
        <f>IFERROR(VLOOKUP(K1334,PROGRAMAS[],3,FALSE),0)</f>
        <v>31865326.38096505</v>
      </c>
      <c r="AN1334" s="246">
        <f>IFERROR(VLOOKUP(L1334,PROGRAMAS[],3,FALSE),0)</f>
        <v>948595847.09039903</v>
      </c>
      <c r="AO1334" s="246">
        <f>IFERROR(VLOOKUP(M1334,PROGRAMAS[],3,FALSE),0)</f>
        <v>0</v>
      </c>
      <c r="AP1334" s="246">
        <f>IFERROR(VLOOKUP(N1334,PROGRAMAS[],3,FALSE),0)</f>
        <v>0</v>
      </c>
      <c r="AQ1334" s="246">
        <f>IFERROR(VLOOKUP(O1334,PROGRAMAS[],3,FALSE),0)</f>
        <v>0</v>
      </c>
      <c r="AR1334" s="246">
        <f>IFERROR(VLOOKUP(P1334,PROGRAMAS[],3,FALSE),0)</f>
        <v>0</v>
      </c>
      <c r="AS1334" s="246">
        <f>IFERROR(VLOOKUP(Q1334,PROGRAMAS[],3,FALSE),0)</f>
        <v>0</v>
      </c>
      <c r="AT1334" s="246">
        <f>IFERROR(VLOOKUP(D1334,VOL_REC[],2,FALSE),0)</f>
        <v>0</v>
      </c>
      <c r="AU1334" s="246">
        <f>IFERROR(VLOOKUP(E1334,VOL_REC[],2,FALSE),0)</f>
        <v>0</v>
      </c>
      <c r="AV1334" s="246">
        <f>IFERROR(VLOOKUP(F1334,VOL_REC[],2,FALSE),0)</f>
        <v>11089674.200000001</v>
      </c>
      <c r="AW1334" s="246">
        <f>IFERROR(VLOOKUP(G1334,VOL_REC[],2,FALSE),0)</f>
        <v>4325103.1812214684</v>
      </c>
      <c r="AX1334" s="246">
        <f>IFERROR(VLOOKUP(H1334,VOL_REC[],2,FALSE),0)</f>
        <v>15540036.397699751</v>
      </c>
      <c r="AY1334" s="246">
        <f>IFERROR(VLOOKUP(I1334,VOL_REC[],2,FALSE),0)</f>
        <v>240696.79238099116</v>
      </c>
      <c r="AZ1334" s="246">
        <f>IFERROR(VLOOKUP(J1334,VOL_REC[],2,FALSE),0)</f>
        <v>663244.80000000016</v>
      </c>
      <c r="BA1334" s="246">
        <f>IFERROR(VLOOKUP(K1334,VOL_REC[],2,FALSE),0)</f>
        <v>17074.045034105649</v>
      </c>
      <c r="BB1334" s="246">
        <f>IFERROR(VLOOKUP(L1334,VOL_REC[],2,FALSE),0)</f>
        <v>740113.98115702497</v>
      </c>
      <c r="BC1334" s="246">
        <f>IFERROR(VLOOKUP(M1334,VOL_REC[],2,FALSE),0)</f>
        <v>0</v>
      </c>
      <c r="BD1334" s="246">
        <f>IFERROR(VLOOKUP(N1334,VOL_REC[],2,FALSE),0)</f>
        <v>0</v>
      </c>
      <c r="BE1334" s="246">
        <f>IFERROR(VLOOKUP(O1334,VOL_REC[],2,FALSE),0)</f>
        <v>0</v>
      </c>
      <c r="BF1334" s="246">
        <f>IFERROR(VLOOKUP(P1334,VOL_REC[],2,FALSE),0)</f>
        <v>0</v>
      </c>
      <c r="BG1334" s="246">
        <f>IFERROR(VLOOKUP(Q1334,VOL_REC[],2,FALSE),0)</f>
        <v>0</v>
      </c>
      <c r="BH1334" s="1710">
        <f t="shared" si="80"/>
        <v>18636796180.038139</v>
      </c>
      <c r="BI1334" s="1710">
        <f t="shared" si="81"/>
        <v>19497728470.855</v>
      </c>
      <c r="BJ1334" s="1711">
        <f t="shared" si="82"/>
        <v>32615943.397493344</v>
      </c>
      <c r="BK1334" s="1711">
        <f t="shared" si="83"/>
        <v>0.95584448249426734</v>
      </c>
    </row>
    <row r="1335" spans="3:67" x14ac:dyDescent="0.25">
      <c r="C1335" s="246" t="s">
        <v>2685</v>
      </c>
      <c r="D1335" s="246">
        <v>1</v>
      </c>
      <c r="E1335" s="246">
        <v>2</v>
      </c>
      <c r="F1335" s="246">
        <v>3</v>
      </c>
      <c r="G1335" s="246">
        <v>5</v>
      </c>
      <c r="H1335" s="246">
        <v>6</v>
      </c>
      <c r="I1335" s="246">
        <v>12</v>
      </c>
      <c r="J1335" s="246">
        <v>13</v>
      </c>
      <c r="K1335" s="246">
        <v>15</v>
      </c>
      <c r="L1335" s="246">
        <v>16</v>
      </c>
      <c r="M1335" s="246"/>
      <c r="N1335" s="246"/>
      <c r="O1335" s="246"/>
      <c r="P1335" s="246"/>
      <c r="Q1335" s="246"/>
      <c r="R1335" s="246">
        <f>IFERROR(VLOOKUP(D1335,PROGRAMAS[],2,FALSE),0)</f>
        <v>97037803.679377079</v>
      </c>
      <c r="S1335" s="246">
        <f>IFERROR(VLOOKUP(E1335,PROGRAMAS[],2,FALSE),0)</f>
        <v>640501509.6821388</v>
      </c>
      <c r="T1335" s="246">
        <f>IFERROR(VLOOKUP(F1335,PROGRAMAS[],2,FALSE),0)</f>
        <v>3062327798.1525245</v>
      </c>
      <c r="U1335" s="246">
        <f>IFERROR(VLOOKUP(G1335,PROGRAMAS[],2,FALSE),0)</f>
        <v>1440941976.2528784</v>
      </c>
      <c r="V1335" s="246">
        <f>IFERROR(VLOOKUP(H1335,PROGRAMAS[],2,FALSE),0)</f>
        <v>6907648435.8447599</v>
      </c>
      <c r="W1335" s="246">
        <f>IFERROR(VLOOKUP(I1335,PROGRAMAS[],2,FALSE),0)</f>
        <v>764796700.79905891</v>
      </c>
      <c r="X1335" s="246">
        <f>IFERROR(VLOOKUP(J1335,PROGRAMAS[],2,FALSE),0)</f>
        <v>3776538594.4604583</v>
      </c>
      <c r="Y1335" s="246">
        <f>IFERROR(VLOOKUP(K1335,PROGRAMAS[],2,FALSE),0)</f>
        <v>122159672.96346797</v>
      </c>
      <c r="Z1335" s="246">
        <f>IFERROR(VLOOKUP(L1335,PROGRAMAS[],2,FALSE),0)</f>
        <v>7068496961.0436354</v>
      </c>
      <c r="AA1335" s="246">
        <f>IFERROR(VLOOKUP(M1335,PROGRAMAS[],2,FALSE),0)</f>
        <v>0</v>
      </c>
      <c r="AB1335" s="246">
        <f>IFERROR(VLOOKUP(N1335,PROGRAMAS[],2,FALSE),0)</f>
        <v>0</v>
      </c>
      <c r="AC1335" s="246">
        <f>IFERROR(VLOOKUP(O1335,PROGRAMAS[],2,FALSE),0)</f>
        <v>0</v>
      </c>
      <c r="AD1335" s="246">
        <f>IFERROR(VLOOKUP(P1335,PROGRAMAS[],2,FALSE),0)</f>
        <v>0</v>
      </c>
      <c r="AE1335" s="246">
        <f>IFERROR(VLOOKUP(Q1335,PROGRAMAS[],2,FALSE),0)</f>
        <v>0</v>
      </c>
      <c r="AF1335" s="246">
        <f>IFERROR(VLOOKUP(D1335,PROGRAMAS[],3,FALSE),0)</f>
        <v>841888629.31080008</v>
      </c>
      <c r="AG1335" s="246">
        <f>IFERROR(VLOOKUP(E1335,PROGRAMAS[],3,FALSE),0)</f>
        <v>3848980803.1642323</v>
      </c>
      <c r="AH1335" s="246">
        <f>IFERROR(VLOOKUP(F1335,PROGRAMAS[],3,FALSE),0)</f>
        <v>3394901471.387517</v>
      </c>
      <c r="AI1335" s="246">
        <f>IFERROR(VLOOKUP(G1335,PROGRAMAS[],3,FALSE),0)</f>
        <v>1233505101.0616004</v>
      </c>
      <c r="AJ1335" s="246">
        <f>IFERROR(VLOOKUP(H1335,PROGRAMAS[],3,FALSE),0)</f>
        <v>6129902208.7912121</v>
      </c>
      <c r="AK1335" s="246">
        <f>IFERROR(VLOOKUP(I1335,PROGRAMAS[],3,FALSE),0)</f>
        <v>675517840.109828</v>
      </c>
      <c r="AL1335" s="246">
        <f>IFERROR(VLOOKUP(J1335,PROGRAMAS[],3,FALSE),0)</f>
        <v>2392571243.5584412</v>
      </c>
      <c r="AM1335" s="246">
        <f>IFERROR(VLOOKUP(K1335,PROGRAMAS[],3,FALSE),0)</f>
        <v>118617452.52510804</v>
      </c>
      <c r="AN1335" s="246">
        <f>IFERROR(VLOOKUP(L1335,PROGRAMAS[],3,FALSE),0)</f>
        <v>2406564599.0319901</v>
      </c>
      <c r="AO1335" s="246">
        <f>IFERROR(VLOOKUP(M1335,PROGRAMAS[],3,FALSE),0)</f>
        <v>0</v>
      </c>
      <c r="AP1335" s="246">
        <f>IFERROR(VLOOKUP(N1335,PROGRAMAS[],3,FALSE),0)</f>
        <v>0</v>
      </c>
      <c r="AQ1335" s="246">
        <f>IFERROR(VLOOKUP(O1335,PROGRAMAS[],3,FALSE),0)</f>
        <v>0</v>
      </c>
      <c r="AR1335" s="246">
        <f>IFERROR(VLOOKUP(P1335,PROGRAMAS[],3,FALSE),0)</f>
        <v>0</v>
      </c>
      <c r="AS1335" s="246">
        <f>IFERROR(VLOOKUP(Q1335,PROGRAMAS[],3,FALSE),0)</f>
        <v>0</v>
      </c>
      <c r="AT1335" s="246">
        <f>IFERROR(VLOOKUP(D1335,VOL_REC[],2,FALSE),0)</f>
        <v>0</v>
      </c>
      <c r="AU1335" s="246">
        <f>IFERROR(VLOOKUP(E1335,VOL_REC[],2,FALSE),0)</f>
        <v>0</v>
      </c>
      <c r="AV1335" s="246">
        <f>IFERROR(VLOOKUP(F1335,VOL_REC[],2,FALSE),0)</f>
        <v>11089674.200000001</v>
      </c>
      <c r="AW1335" s="246">
        <f>IFERROR(VLOOKUP(G1335,VOL_REC[],2,FALSE),0)</f>
        <v>4325103.1812214684</v>
      </c>
      <c r="AX1335" s="246">
        <f>IFERROR(VLOOKUP(H1335,VOL_REC[],2,FALSE),0)</f>
        <v>15540036.397699751</v>
      </c>
      <c r="AY1335" s="246">
        <f>IFERROR(VLOOKUP(I1335,VOL_REC[],2,FALSE),0)</f>
        <v>240696.79238099116</v>
      </c>
      <c r="AZ1335" s="246">
        <f>IFERROR(VLOOKUP(J1335,VOL_REC[],2,FALSE),0)</f>
        <v>663244.80000000016</v>
      </c>
      <c r="BA1335" s="246">
        <f>IFERROR(VLOOKUP(K1335,VOL_REC[],2,FALSE),0)</f>
        <v>105072</v>
      </c>
      <c r="BB1335" s="246">
        <f>IFERROR(VLOOKUP(L1335,VOL_REC[],2,FALSE),0)</f>
        <v>1072354.9981737854</v>
      </c>
      <c r="BC1335" s="246">
        <f>IFERROR(VLOOKUP(M1335,VOL_REC[],2,FALSE),0)</f>
        <v>0</v>
      </c>
      <c r="BD1335" s="246">
        <f>IFERROR(VLOOKUP(N1335,VOL_REC[],2,FALSE),0)</f>
        <v>0</v>
      </c>
      <c r="BE1335" s="246">
        <f>IFERROR(VLOOKUP(O1335,VOL_REC[],2,FALSE),0)</f>
        <v>0</v>
      </c>
      <c r="BF1335" s="246">
        <f>IFERROR(VLOOKUP(P1335,VOL_REC[],2,FALSE),0)</f>
        <v>0</v>
      </c>
      <c r="BG1335" s="246">
        <f>IFERROR(VLOOKUP(Q1335,VOL_REC[],2,FALSE),0)</f>
        <v>0</v>
      </c>
      <c r="BH1335" s="1710">
        <f t="shared" si="80"/>
        <v>23880449452.8783</v>
      </c>
      <c r="BI1335" s="1710">
        <f t="shared" si="81"/>
        <v>21042449348.940731</v>
      </c>
      <c r="BJ1335" s="1711">
        <f t="shared" si="82"/>
        <v>33036182.369475998</v>
      </c>
      <c r="BK1335" s="1711">
        <f t="shared" si="83"/>
        <v>1.1348702357256919</v>
      </c>
      <c r="BL1335">
        <f>BJ1335</f>
        <v>33036182.369475998</v>
      </c>
      <c r="BO1335">
        <f>BL1335</f>
        <v>33036182.369475998</v>
      </c>
    </row>
    <row r="1336" spans="3:67" x14ac:dyDescent="0.25">
      <c r="C1336" s="246" t="s">
        <v>2686</v>
      </c>
      <c r="D1336" s="246">
        <v>1</v>
      </c>
      <c r="E1336" s="246">
        <v>2</v>
      </c>
      <c r="F1336" s="246">
        <v>3</v>
      </c>
      <c r="G1336" s="246">
        <v>5</v>
      </c>
      <c r="H1336" s="246">
        <v>6</v>
      </c>
      <c r="I1336" s="246">
        <v>12</v>
      </c>
      <c r="J1336" s="246">
        <v>13</v>
      </c>
      <c r="K1336" s="246">
        <v>15</v>
      </c>
      <c r="L1336" s="246">
        <v>17</v>
      </c>
      <c r="M1336" s="246"/>
      <c r="N1336" s="246"/>
      <c r="O1336" s="246"/>
      <c r="P1336" s="246"/>
      <c r="Q1336" s="246"/>
      <c r="R1336" s="246">
        <f>IFERROR(VLOOKUP(D1336,PROGRAMAS[],2,FALSE),0)</f>
        <v>97037803.679377079</v>
      </c>
      <c r="S1336" s="246">
        <f>IFERROR(VLOOKUP(E1336,PROGRAMAS[],2,FALSE),0)</f>
        <v>640501509.6821388</v>
      </c>
      <c r="T1336" s="246">
        <f>IFERROR(VLOOKUP(F1336,PROGRAMAS[],2,FALSE),0)</f>
        <v>3062327798.1525245</v>
      </c>
      <c r="U1336" s="246">
        <f>IFERROR(VLOOKUP(G1336,PROGRAMAS[],2,FALSE),0)</f>
        <v>1440941976.2528784</v>
      </c>
      <c r="V1336" s="246">
        <f>IFERROR(VLOOKUP(H1336,PROGRAMAS[],2,FALSE),0)</f>
        <v>6907648435.8447599</v>
      </c>
      <c r="W1336" s="246">
        <f>IFERROR(VLOOKUP(I1336,PROGRAMAS[],2,FALSE),0)</f>
        <v>764796700.79905891</v>
      </c>
      <c r="X1336" s="246">
        <f>IFERROR(VLOOKUP(J1336,PROGRAMAS[],2,FALSE),0)</f>
        <v>3776538594.4604583</v>
      </c>
      <c r="Y1336" s="246">
        <f>IFERROR(VLOOKUP(K1336,PROGRAMAS[],2,FALSE),0)</f>
        <v>122159672.96346797</v>
      </c>
      <c r="Z1336" s="246">
        <f>IFERROR(VLOOKUP(L1336,PROGRAMAS[],2,FALSE),0)</f>
        <v>1892779498.5211046</v>
      </c>
      <c r="AA1336" s="246">
        <f>IFERROR(VLOOKUP(M1336,PROGRAMAS[],2,FALSE),0)</f>
        <v>0</v>
      </c>
      <c r="AB1336" s="246">
        <f>IFERROR(VLOOKUP(N1336,PROGRAMAS[],2,FALSE),0)</f>
        <v>0</v>
      </c>
      <c r="AC1336" s="246">
        <f>IFERROR(VLOOKUP(O1336,PROGRAMAS[],2,FALSE),0)</f>
        <v>0</v>
      </c>
      <c r="AD1336" s="246">
        <f>IFERROR(VLOOKUP(P1336,PROGRAMAS[],2,FALSE),0)</f>
        <v>0</v>
      </c>
      <c r="AE1336" s="246">
        <f>IFERROR(VLOOKUP(Q1336,PROGRAMAS[],2,FALSE),0)</f>
        <v>0</v>
      </c>
      <c r="AF1336" s="246">
        <f>IFERROR(VLOOKUP(D1336,PROGRAMAS[],3,FALSE),0)</f>
        <v>841888629.31080008</v>
      </c>
      <c r="AG1336" s="246">
        <f>IFERROR(VLOOKUP(E1336,PROGRAMAS[],3,FALSE),0)</f>
        <v>3848980803.1642323</v>
      </c>
      <c r="AH1336" s="246">
        <f>IFERROR(VLOOKUP(F1336,PROGRAMAS[],3,FALSE),0)</f>
        <v>3394901471.387517</v>
      </c>
      <c r="AI1336" s="246">
        <f>IFERROR(VLOOKUP(G1336,PROGRAMAS[],3,FALSE),0)</f>
        <v>1233505101.0616004</v>
      </c>
      <c r="AJ1336" s="246">
        <f>IFERROR(VLOOKUP(H1336,PROGRAMAS[],3,FALSE),0)</f>
        <v>6129902208.7912121</v>
      </c>
      <c r="AK1336" s="246">
        <f>IFERROR(VLOOKUP(I1336,PROGRAMAS[],3,FALSE),0)</f>
        <v>675517840.109828</v>
      </c>
      <c r="AL1336" s="246">
        <f>IFERROR(VLOOKUP(J1336,PROGRAMAS[],3,FALSE),0)</f>
        <v>2392571243.5584412</v>
      </c>
      <c r="AM1336" s="246">
        <f>IFERROR(VLOOKUP(K1336,PROGRAMAS[],3,FALSE),0)</f>
        <v>118617452.52510804</v>
      </c>
      <c r="AN1336" s="246">
        <f>IFERROR(VLOOKUP(L1336,PROGRAMAS[],3,FALSE),0)</f>
        <v>948595847.09039903</v>
      </c>
      <c r="AO1336" s="246">
        <f>IFERROR(VLOOKUP(M1336,PROGRAMAS[],3,FALSE),0)</f>
        <v>0</v>
      </c>
      <c r="AP1336" s="246">
        <f>IFERROR(VLOOKUP(N1336,PROGRAMAS[],3,FALSE),0)</f>
        <v>0</v>
      </c>
      <c r="AQ1336" s="246">
        <f>IFERROR(VLOOKUP(O1336,PROGRAMAS[],3,FALSE),0)</f>
        <v>0</v>
      </c>
      <c r="AR1336" s="246">
        <f>IFERROR(VLOOKUP(P1336,PROGRAMAS[],3,FALSE),0)</f>
        <v>0</v>
      </c>
      <c r="AS1336" s="246">
        <f>IFERROR(VLOOKUP(Q1336,PROGRAMAS[],3,FALSE),0)</f>
        <v>0</v>
      </c>
      <c r="AT1336" s="246">
        <f>IFERROR(VLOOKUP(D1336,VOL_REC[],2,FALSE),0)</f>
        <v>0</v>
      </c>
      <c r="AU1336" s="246">
        <f>IFERROR(VLOOKUP(E1336,VOL_REC[],2,FALSE),0)</f>
        <v>0</v>
      </c>
      <c r="AV1336" s="246">
        <f>IFERROR(VLOOKUP(F1336,VOL_REC[],2,FALSE),0)</f>
        <v>11089674.200000001</v>
      </c>
      <c r="AW1336" s="246">
        <f>IFERROR(VLOOKUP(G1336,VOL_REC[],2,FALSE),0)</f>
        <v>4325103.1812214684</v>
      </c>
      <c r="AX1336" s="246">
        <f>IFERROR(VLOOKUP(H1336,VOL_REC[],2,FALSE),0)</f>
        <v>15540036.397699751</v>
      </c>
      <c r="AY1336" s="246">
        <f>IFERROR(VLOOKUP(I1336,VOL_REC[],2,FALSE),0)</f>
        <v>240696.79238099116</v>
      </c>
      <c r="AZ1336" s="246">
        <f>IFERROR(VLOOKUP(J1336,VOL_REC[],2,FALSE),0)</f>
        <v>663244.80000000016</v>
      </c>
      <c r="BA1336" s="246">
        <f>IFERROR(VLOOKUP(K1336,VOL_REC[],2,FALSE),0)</f>
        <v>105072</v>
      </c>
      <c r="BB1336" s="246">
        <f>IFERROR(VLOOKUP(L1336,VOL_REC[],2,FALSE),0)</f>
        <v>740113.98115702497</v>
      </c>
      <c r="BC1336" s="246">
        <f>IFERROR(VLOOKUP(M1336,VOL_REC[],2,FALSE),0)</f>
        <v>0</v>
      </c>
      <c r="BD1336" s="246">
        <f>IFERROR(VLOOKUP(N1336,VOL_REC[],2,FALSE),0)</f>
        <v>0</v>
      </c>
      <c r="BE1336" s="246">
        <f>IFERROR(VLOOKUP(O1336,VOL_REC[],2,FALSE),0)</f>
        <v>0</v>
      </c>
      <c r="BF1336" s="246">
        <f>IFERROR(VLOOKUP(P1336,VOL_REC[],2,FALSE),0)</f>
        <v>0</v>
      </c>
      <c r="BG1336" s="246">
        <f>IFERROR(VLOOKUP(Q1336,VOL_REC[],2,FALSE),0)</f>
        <v>0</v>
      </c>
      <c r="BH1336" s="1710">
        <f t="shared" si="80"/>
        <v>18704731990.35577</v>
      </c>
      <c r="BI1336" s="1710">
        <f t="shared" si="81"/>
        <v>19584480596.999142</v>
      </c>
      <c r="BJ1336" s="1711">
        <f t="shared" si="82"/>
        <v>32703941.352459237</v>
      </c>
      <c r="BK1336" s="1711">
        <f t="shared" si="83"/>
        <v>0.9550792985146529</v>
      </c>
    </row>
    <row r="1337" spans="3:67" x14ac:dyDescent="0.25">
      <c r="C1337" s="246" t="s">
        <v>2687</v>
      </c>
      <c r="D1337" s="246">
        <v>1</v>
      </c>
      <c r="E1337" s="246">
        <v>2</v>
      </c>
      <c r="F1337" s="246">
        <v>3</v>
      </c>
      <c r="G1337" s="246">
        <v>5</v>
      </c>
      <c r="H1337" s="246">
        <v>6</v>
      </c>
      <c r="I1337" s="246">
        <v>12</v>
      </c>
      <c r="J1337" s="246">
        <v>13</v>
      </c>
      <c r="K1337" s="246">
        <v>16</v>
      </c>
      <c r="L1337" s="246">
        <v>17</v>
      </c>
      <c r="M1337" s="246"/>
      <c r="N1337" s="246"/>
      <c r="O1337" s="246"/>
      <c r="P1337" s="246"/>
      <c r="Q1337" s="246"/>
      <c r="R1337" s="246">
        <f>IFERROR(VLOOKUP(D1337,PROGRAMAS[],2,FALSE),0)</f>
        <v>97037803.679377079</v>
      </c>
      <c r="S1337" s="246">
        <f>IFERROR(VLOOKUP(E1337,PROGRAMAS[],2,FALSE),0)</f>
        <v>640501509.6821388</v>
      </c>
      <c r="T1337" s="246">
        <f>IFERROR(VLOOKUP(F1337,PROGRAMAS[],2,FALSE),0)</f>
        <v>3062327798.1525245</v>
      </c>
      <c r="U1337" s="246">
        <f>IFERROR(VLOOKUP(G1337,PROGRAMAS[],2,FALSE),0)</f>
        <v>1440941976.2528784</v>
      </c>
      <c r="V1337" s="246">
        <f>IFERROR(VLOOKUP(H1337,PROGRAMAS[],2,FALSE),0)</f>
        <v>6907648435.8447599</v>
      </c>
      <c r="W1337" s="246">
        <f>IFERROR(VLOOKUP(I1337,PROGRAMAS[],2,FALSE),0)</f>
        <v>764796700.79905891</v>
      </c>
      <c r="X1337" s="246">
        <f>IFERROR(VLOOKUP(J1337,PROGRAMAS[],2,FALSE),0)</f>
        <v>3776538594.4604583</v>
      </c>
      <c r="Y1337" s="246">
        <f>IFERROR(VLOOKUP(K1337,PROGRAMAS[],2,FALSE),0)</f>
        <v>7068496961.0436354</v>
      </c>
      <c r="Z1337" s="246">
        <f>IFERROR(VLOOKUP(L1337,PROGRAMAS[],2,FALSE),0)</f>
        <v>1892779498.5211046</v>
      </c>
      <c r="AA1337" s="246">
        <f>IFERROR(VLOOKUP(M1337,PROGRAMAS[],2,FALSE),0)</f>
        <v>0</v>
      </c>
      <c r="AB1337" s="246">
        <f>IFERROR(VLOOKUP(N1337,PROGRAMAS[],2,FALSE),0)</f>
        <v>0</v>
      </c>
      <c r="AC1337" s="246">
        <f>IFERROR(VLOOKUP(O1337,PROGRAMAS[],2,FALSE),0)</f>
        <v>0</v>
      </c>
      <c r="AD1337" s="246">
        <f>IFERROR(VLOOKUP(P1337,PROGRAMAS[],2,FALSE),0)</f>
        <v>0</v>
      </c>
      <c r="AE1337" s="246">
        <f>IFERROR(VLOOKUP(Q1337,PROGRAMAS[],2,FALSE),0)</f>
        <v>0</v>
      </c>
      <c r="AF1337" s="246">
        <f>IFERROR(VLOOKUP(D1337,PROGRAMAS[],3,FALSE),0)</f>
        <v>841888629.31080008</v>
      </c>
      <c r="AG1337" s="246">
        <f>IFERROR(VLOOKUP(E1337,PROGRAMAS[],3,FALSE),0)</f>
        <v>3848980803.1642323</v>
      </c>
      <c r="AH1337" s="246">
        <f>IFERROR(VLOOKUP(F1337,PROGRAMAS[],3,FALSE),0)</f>
        <v>3394901471.387517</v>
      </c>
      <c r="AI1337" s="246">
        <f>IFERROR(VLOOKUP(G1337,PROGRAMAS[],3,FALSE),0)</f>
        <v>1233505101.0616004</v>
      </c>
      <c r="AJ1337" s="246">
        <f>IFERROR(VLOOKUP(H1337,PROGRAMAS[],3,FALSE),0)</f>
        <v>6129902208.7912121</v>
      </c>
      <c r="AK1337" s="246">
        <f>IFERROR(VLOOKUP(I1337,PROGRAMAS[],3,FALSE),0)</f>
        <v>675517840.109828</v>
      </c>
      <c r="AL1337" s="246">
        <f>IFERROR(VLOOKUP(J1337,PROGRAMAS[],3,FALSE),0)</f>
        <v>2392571243.5584412</v>
      </c>
      <c r="AM1337" s="246">
        <f>IFERROR(VLOOKUP(K1337,PROGRAMAS[],3,FALSE),0)</f>
        <v>2406564599.0319901</v>
      </c>
      <c r="AN1337" s="246">
        <f>IFERROR(VLOOKUP(L1337,PROGRAMAS[],3,FALSE),0)</f>
        <v>948595847.09039903</v>
      </c>
      <c r="AO1337" s="246">
        <f>IFERROR(VLOOKUP(M1337,PROGRAMAS[],3,FALSE),0)</f>
        <v>0</v>
      </c>
      <c r="AP1337" s="246">
        <f>IFERROR(VLOOKUP(N1337,PROGRAMAS[],3,FALSE),0)</f>
        <v>0</v>
      </c>
      <c r="AQ1337" s="246">
        <f>IFERROR(VLOOKUP(O1337,PROGRAMAS[],3,FALSE),0)</f>
        <v>0</v>
      </c>
      <c r="AR1337" s="246">
        <f>IFERROR(VLOOKUP(P1337,PROGRAMAS[],3,FALSE),0)</f>
        <v>0</v>
      </c>
      <c r="AS1337" s="246">
        <f>IFERROR(VLOOKUP(Q1337,PROGRAMAS[],3,FALSE),0)</f>
        <v>0</v>
      </c>
      <c r="AT1337" s="246">
        <f>IFERROR(VLOOKUP(D1337,VOL_REC[],2,FALSE),0)</f>
        <v>0</v>
      </c>
      <c r="AU1337" s="246">
        <f>IFERROR(VLOOKUP(E1337,VOL_REC[],2,FALSE),0)</f>
        <v>0</v>
      </c>
      <c r="AV1337" s="246">
        <f>IFERROR(VLOOKUP(F1337,VOL_REC[],2,FALSE),0)</f>
        <v>11089674.200000001</v>
      </c>
      <c r="AW1337" s="246">
        <f>IFERROR(VLOOKUP(G1337,VOL_REC[],2,FALSE),0)</f>
        <v>4325103.1812214684</v>
      </c>
      <c r="AX1337" s="246">
        <f>IFERROR(VLOOKUP(H1337,VOL_REC[],2,FALSE),0)</f>
        <v>15540036.397699751</v>
      </c>
      <c r="AY1337" s="246">
        <f>IFERROR(VLOOKUP(I1337,VOL_REC[],2,FALSE),0)</f>
        <v>240696.79238099116</v>
      </c>
      <c r="AZ1337" s="246">
        <f>IFERROR(VLOOKUP(J1337,VOL_REC[],2,FALSE),0)</f>
        <v>663244.80000000016</v>
      </c>
      <c r="BA1337" s="246">
        <f>IFERROR(VLOOKUP(K1337,VOL_REC[],2,FALSE),0)</f>
        <v>1072354.9981737854</v>
      </c>
      <c r="BB1337" s="246">
        <f>IFERROR(VLOOKUP(L1337,VOL_REC[],2,FALSE),0)</f>
        <v>740113.98115702497</v>
      </c>
      <c r="BC1337" s="246">
        <f>IFERROR(VLOOKUP(M1337,VOL_REC[],2,FALSE),0)</f>
        <v>0</v>
      </c>
      <c r="BD1337" s="246">
        <f>IFERROR(VLOOKUP(N1337,VOL_REC[],2,FALSE),0)</f>
        <v>0</v>
      </c>
      <c r="BE1337" s="246">
        <f>IFERROR(VLOOKUP(O1337,VOL_REC[],2,FALSE),0)</f>
        <v>0</v>
      </c>
      <c r="BF1337" s="246">
        <f>IFERROR(VLOOKUP(P1337,VOL_REC[],2,FALSE),0)</f>
        <v>0</v>
      </c>
      <c r="BG1337" s="246">
        <f>IFERROR(VLOOKUP(Q1337,VOL_REC[],2,FALSE),0)</f>
        <v>0</v>
      </c>
      <c r="BH1337" s="1710">
        <f t="shared" si="80"/>
        <v>25651069278.435936</v>
      </c>
      <c r="BI1337" s="1710">
        <f t="shared" si="81"/>
        <v>21872427743.506023</v>
      </c>
      <c r="BJ1337" s="1711">
        <f t="shared" si="82"/>
        <v>33671224.350633025</v>
      </c>
      <c r="BK1337" s="1711">
        <f t="shared" si="83"/>
        <v>1.1727582131824301</v>
      </c>
      <c r="BL1337">
        <f>BJ1337</f>
        <v>33671224.350633025</v>
      </c>
      <c r="BO1337">
        <f>BL1337</f>
        <v>33671224.350633025</v>
      </c>
    </row>
    <row r="1338" spans="3:67" x14ac:dyDescent="0.25">
      <c r="C1338" s="246" t="s">
        <v>2688</v>
      </c>
      <c r="D1338" s="246">
        <v>1</v>
      </c>
      <c r="E1338" s="246">
        <v>2</v>
      </c>
      <c r="F1338" s="246">
        <v>3</v>
      </c>
      <c r="G1338" s="246">
        <v>5</v>
      </c>
      <c r="H1338" s="246">
        <v>6</v>
      </c>
      <c r="I1338" s="246">
        <v>12</v>
      </c>
      <c r="J1338" s="246">
        <v>14</v>
      </c>
      <c r="K1338" s="246">
        <v>15</v>
      </c>
      <c r="L1338" s="246">
        <v>16</v>
      </c>
      <c r="M1338" s="246"/>
      <c r="N1338" s="246"/>
      <c r="O1338" s="246"/>
      <c r="P1338" s="246"/>
      <c r="Q1338" s="246"/>
      <c r="R1338" s="246">
        <f>IFERROR(VLOOKUP(D1338,PROGRAMAS[],2,FALSE),0)</f>
        <v>97037803.679377079</v>
      </c>
      <c r="S1338" s="246">
        <f>IFERROR(VLOOKUP(E1338,PROGRAMAS[],2,FALSE),0)</f>
        <v>640501509.6821388</v>
      </c>
      <c r="T1338" s="246">
        <f>IFERROR(VLOOKUP(F1338,PROGRAMAS[],2,FALSE),0)</f>
        <v>3062327798.1525245</v>
      </c>
      <c r="U1338" s="246">
        <f>IFERROR(VLOOKUP(G1338,PROGRAMAS[],2,FALSE),0)</f>
        <v>1440941976.2528784</v>
      </c>
      <c r="V1338" s="246">
        <f>IFERROR(VLOOKUP(H1338,PROGRAMAS[],2,FALSE),0)</f>
        <v>6907648435.8447599</v>
      </c>
      <c r="W1338" s="246">
        <f>IFERROR(VLOOKUP(I1338,PROGRAMAS[],2,FALSE),0)</f>
        <v>764796700.79905891</v>
      </c>
      <c r="X1338" s="246">
        <f>IFERROR(VLOOKUP(J1338,PROGRAMAS[],2,FALSE),0)</f>
        <v>54223862.645839565</v>
      </c>
      <c r="Y1338" s="246">
        <f>IFERROR(VLOOKUP(K1338,PROGRAMAS[],2,FALSE),0)</f>
        <v>122159672.96346797</v>
      </c>
      <c r="Z1338" s="246">
        <f>IFERROR(VLOOKUP(L1338,PROGRAMAS[],2,FALSE),0)</f>
        <v>7068496961.0436354</v>
      </c>
      <c r="AA1338" s="246">
        <f>IFERROR(VLOOKUP(M1338,PROGRAMAS[],2,FALSE),0)</f>
        <v>0</v>
      </c>
      <c r="AB1338" s="246">
        <f>IFERROR(VLOOKUP(N1338,PROGRAMAS[],2,FALSE),0)</f>
        <v>0</v>
      </c>
      <c r="AC1338" s="246">
        <f>IFERROR(VLOOKUP(O1338,PROGRAMAS[],2,FALSE),0)</f>
        <v>0</v>
      </c>
      <c r="AD1338" s="246">
        <f>IFERROR(VLOOKUP(P1338,PROGRAMAS[],2,FALSE),0)</f>
        <v>0</v>
      </c>
      <c r="AE1338" s="246">
        <f>IFERROR(VLOOKUP(Q1338,PROGRAMAS[],2,FALSE),0)</f>
        <v>0</v>
      </c>
      <c r="AF1338" s="246">
        <f>IFERROR(VLOOKUP(D1338,PROGRAMAS[],3,FALSE),0)</f>
        <v>841888629.31080008</v>
      </c>
      <c r="AG1338" s="246">
        <f>IFERROR(VLOOKUP(E1338,PROGRAMAS[],3,FALSE),0)</f>
        <v>3848980803.1642323</v>
      </c>
      <c r="AH1338" s="246">
        <f>IFERROR(VLOOKUP(F1338,PROGRAMAS[],3,FALSE),0)</f>
        <v>3394901471.387517</v>
      </c>
      <c r="AI1338" s="246">
        <f>IFERROR(VLOOKUP(G1338,PROGRAMAS[],3,FALSE),0)</f>
        <v>1233505101.0616004</v>
      </c>
      <c r="AJ1338" s="246">
        <f>IFERROR(VLOOKUP(H1338,PROGRAMAS[],3,FALSE),0)</f>
        <v>6129902208.7912121</v>
      </c>
      <c r="AK1338" s="246">
        <f>IFERROR(VLOOKUP(I1338,PROGRAMAS[],3,FALSE),0)</f>
        <v>675517840.109828</v>
      </c>
      <c r="AL1338" s="246">
        <f>IFERROR(VLOOKUP(J1338,PROGRAMAS[],3,FALSE),0)</f>
        <v>31865326.38096505</v>
      </c>
      <c r="AM1338" s="246">
        <f>IFERROR(VLOOKUP(K1338,PROGRAMAS[],3,FALSE),0)</f>
        <v>118617452.52510804</v>
      </c>
      <c r="AN1338" s="246">
        <f>IFERROR(VLOOKUP(L1338,PROGRAMAS[],3,FALSE),0)</f>
        <v>2406564599.0319901</v>
      </c>
      <c r="AO1338" s="246">
        <f>IFERROR(VLOOKUP(M1338,PROGRAMAS[],3,FALSE),0)</f>
        <v>0</v>
      </c>
      <c r="AP1338" s="246">
        <f>IFERROR(VLOOKUP(N1338,PROGRAMAS[],3,FALSE),0)</f>
        <v>0</v>
      </c>
      <c r="AQ1338" s="246">
        <f>IFERROR(VLOOKUP(O1338,PROGRAMAS[],3,FALSE),0)</f>
        <v>0</v>
      </c>
      <c r="AR1338" s="246">
        <f>IFERROR(VLOOKUP(P1338,PROGRAMAS[],3,FALSE),0)</f>
        <v>0</v>
      </c>
      <c r="AS1338" s="246">
        <f>IFERROR(VLOOKUP(Q1338,PROGRAMAS[],3,FALSE),0)</f>
        <v>0</v>
      </c>
      <c r="AT1338" s="246">
        <f>IFERROR(VLOOKUP(D1338,VOL_REC[],2,FALSE),0)</f>
        <v>0</v>
      </c>
      <c r="AU1338" s="246">
        <f>IFERROR(VLOOKUP(E1338,VOL_REC[],2,FALSE),0)</f>
        <v>0</v>
      </c>
      <c r="AV1338" s="246">
        <f>IFERROR(VLOOKUP(F1338,VOL_REC[],2,FALSE),0)</f>
        <v>11089674.200000001</v>
      </c>
      <c r="AW1338" s="246">
        <f>IFERROR(VLOOKUP(G1338,VOL_REC[],2,FALSE),0)</f>
        <v>4325103.1812214684</v>
      </c>
      <c r="AX1338" s="246">
        <f>IFERROR(VLOOKUP(H1338,VOL_REC[],2,FALSE),0)</f>
        <v>15540036.397699751</v>
      </c>
      <c r="AY1338" s="246">
        <f>IFERROR(VLOOKUP(I1338,VOL_REC[],2,FALSE),0)</f>
        <v>240696.79238099116</v>
      </c>
      <c r="AZ1338" s="246">
        <f>IFERROR(VLOOKUP(J1338,VOL_REC[],2,FALSE),0)</f>
        <v>17074.045034105649</v>
      </c>
      <c r="BA1338" s="246">
        <f>IFERROR(VLOOKUP(K1338,VOL_REC[],2,FALSE),0)</f>
        <v>105072</v>
      </c>
      <c r="BB1338" s="246">
        <f>IFERROR(VLOOKUP(L1338,VOL_REC[],2,FALSE),0)</f>
        <v>1072354.9981737854</v>
      </c>
      <c r="BC1338" s="246">
        <f>IFERROR(VLOOKUP(M1338,VOL_REC[],2,FALSE),0)</f>
        <v>0</v>
      </c>
      <c r="BD1338" s="246">
        <f>IFERROR(VLOOKUP(N1338,VOL_REC[],2,FALSE),0)</f>
        <v>0</v>
      </c>
      <c r="BE1338" s="246">
        <f>IFERROR(VLOOKUP(O1338,VOL_REC[],2,FALSE),0)</f>
        <v>0</v>
      </c>
      <c r="BF1338" s="246">
        <f>IFERROR(VLOOKUP(P1338,VOL_REC[],2,FALSE),0)</f>
        <v>0</v>
      </c>
      <c r="BG1338" s="246">
        <f>IFERROR(VLOOKUP(Q1338,VOL_REC[],2,FALSE),0)</f>
        <v>0</v>
      </c>
      <c r="BH1338" s="1710">
        <f t="shared" si="80"/>
        <v>20158134721.063683</v>
      </c>
      <c r="BI1338" s="1710">
        <f t="shared" si="81"/>
        <v>18681743431.763252</v>
      </c>
      <c r="BJ1338" s="1711">
        <f t="shared" si="82"/>
        <v>32390011.614510104</v>
      </c>
      <c r="BK1338" s="1711">
        <f t="shared" si="83"/>
        <v>1.0790285604067458</v>
      </c>
      <c r="BL1338">
        <f>BJ1338</f>
        <v>32390011.614510104</v>
      </c>
      <c r="BO1338">
        <f>BL1338</f>
        <v>32390011.614510104</v>
      </c>
    </row>
    <row r="1339" spans="3:67" x14ac:dyDescent="0.25">
      <c r="C1339" s="246" t="s">
        <v>2689</v>
      </c>
      <c r="D1339" s="246">
        <v>1</v>
      </c>
      <c r="E1339" s="246">
        <v>2</v>
      </c>
      <c r="F1339" s="246">
        <v>3</v>
      </c>
      <c r="G1339" s="246">
        <v>5</v>
      </c>
      <c r="H1339" s="246">
        <v>6</v>
      </c>
      <c r="I1339" s="246">
        <v>12</v>
      </c>
      <c r="J1339" s="246">
        <v>14</v>
      </c>
      <c r="K1339" s="246">
        <v>15</v>
      </c>
      <c r="L1339" s="246">
        <v>17</v>
      </c>
      <c r="M1339" s="246"/>
      <c r="N1339" s="246"/>
      <c r="O1339" s="246"/>
      <c r="P1339" s="246"/>
      <c r="Q1339" s="246"/>
      <c r="R1339" s="246">
        <f>IFERROR(VLOOKUP(D1339,PROGRAMAS[],2,FALSE),0)</f>
        <v>97037803.679377079</v>
      </c>
      <c r="S1339" s="246">
        <f>IFERROR(VLOOKUP(E1339,PROGRAMAS[],2,FALSE),0)</f>
        <v>640501509.6821388</v>
      </c>
      <c r="T1339" s="246">
        <f>IFERROR(VLOOKUP(F1339,PROGRAMAS[],2,FALSE),0)</f>
        <v>3062327798.1525245</v>
      </c>
      <c r="U1339" s="246">
        <f>IFERROR(VLOOKUP(G1339,PROGRAMAS[],2,FALSE),0)</f>
        <v>1440941976.2528784</v>
      </c>
      <c r="V1339" s="246">
        <f>IFERROR(VLOOKUP(H1339,PROGRAMAS[],2,FALSE),0)</f>
        <v>6907648435.8447599</v>
      </c>
      <c r="W1339" s="246">
        <f>IFERROR(VLOOKUP(I1339,PROGRAMAS[],2,FALSE),0)</f>
        <v>764796700.79905891</v>
      </c>
      <c r="X1339" s="246">
        <f>IFERROR(VLOOKUP(J1339,PROGRAMAS[],2,FALSE),0)</f>
        <v>54223862.645839565</v>
      </c>
      <c r="Y1339" s="246">
        <f>IFERROR(VLOOKUP(K1339,PROGRAMAS[],2,FALSE),0)</f>
        <v>122159672.96346797</v>
      </c>
      <c r="Z1339" s="246">
        <f>IFERROR(VLOOKUP(L1339,PROGRAMAS[],2,FALSE),0)</f>
        <v>1892779498.5211046</v>
      </c>
      <c r="AA1339" s="246">
        <f>IFERROR(VLOOKUP(M1339,PROGRAMAS[],2,FALSE),0)</f>
        <v>0</v>
      </c>
      <c r="AB1339" s="246">
        <f>IFERROR(VLOOKUP(N1339,PROGRAMAS[],2,FALSE),0)</f>
        <v>0</v>
      </c>
      <c r="AC1339" s="246">
        <f>IFERROR(VLOOKUP(O1339,PROGRAMAS[],2,FALSE),0)</f>
        <v>0</v>
      </c>
      <c r="AD1339" s="246">
        <f>IFERROR(VLOOKUP(P1339,PROGRAMAS[],2,FALSE),0)</f>
        <v>0</v>
      </c>
      <c r="AE1339" s="246">
        <f>IFERROR(VLOOKUP(Q1339,PROGRAMAS[],2,FALSE),0)</f>
        <v>0</v>
      </c>
      <c r="AF1339" s="246">
        <f>IFERROR(VLOOKUP(D1339,PROGRAMAS[],3,FALSE),0)</f>
        <v>841888629.31080008</v>
      </c>
      <c r="AG1339" s="246">
        <f>IFERROR(VLOOKUP(E1339,PROGRAMAS[],3,FALSE),0)</f>
        <v>3848980803.1642323</v>
      </c>
      <c r="AH1339" s="246">
        <f>IFERROR(VLOOKUP(F1339,PROGRAMAS[],3,FALSE),0)</f>
        <v>3394901471.387517</v>
      </c>
      <c r="AI1339" s="246">
        <f>IFERROR(VLOOKUP(G1339,PROGRAMAS[],3,FALSE),0)</f>
        <v>1233505101.0616004</v>
      </c>
      <c r="AJ1339" s="246">
        <f>IFERROR(VLOOKUP(H1339,PROGRAMAS[],3,FALSE),0)</f>
        <v>6129902208.7912121</v>
      </c>
      <c r="AK1339" s="246">
        <f>IFERROR(VLOOKUP(I1339,PROGRAMAS[],3,FALSE),0)</f>
        <v>675517840.109828</v>
      </c>
      <c r="AL1339" s="246">
        <f>IFERROR(VLOOKUP(J1339,PROGRAMAS[],3,FALSE),0)</f>
        <v>31865326.38096505</v>
      </c>
      <c r="AM1339" s="246">
        <f>IFERROR(VLOOKUP(K1339,PROGRAMAS[],3,FALSE),0)</f>
        <v>118617452.52510804</v>
      </c>
      <c r="AN1339" s="246">
        <f>IFERROR(VLOOKUP(L1339,PROGRAMAS[],3,FALSE),0)</f>
        <v>948595847.09039903</v>
      </c>
      <c r="AO1339" s="246">
        <f>IFERROR(VLOOKUP(M1339,PROGRAMAS[],3,FALSE),0)</f>
        <v>0</v>
      </c>
      <c r="AP1339" s="246">
        <f>IFERROR(VLOOKUP(N1339,PROGRAMAS[],3,FALSE),0)</f>
        <v>0</v>
      </c>
      <c r="AQ1339" s="246">
        <f>IFERROR(VLOOKUP(O1339,PROGRAMAS[],3,FALSE),0)</f>
        <v>0</v>
      </c>
      <c r="AR1339" s="246">
        <f>IFERROR(VLOOKUP(P1339,PROGRAMAS[],3,FALSE),0)</f>
        <v>0</v>
      </c>
      <c r="AS1339" s="246">
        <f>IFERROR(VLOOKUP(Q1339,PROGRAMAS[],3,FALSE),0)</f>
        <v>0</v>
      </c>
      <c r="AT1339" s="246">
        <f>IFERROR(VLOOKUP(D1339,VOL_REC[],2,FALSE),0)</f>
        <v>0</v>
      </c>
      <c r="AU1339" s="246">
        <f>IFERROR(VLOOKUP(E1339,VOL_REC[],2,FALSE),0)</f>
        <v>0</v>
      </c>
      <c r="AV1339" s="246">
        <f>IFERROR(VLOOKUP(F1339,VOL_REC[],2,FALSE),0)</f>
        <v>11089674.200000001</v>
      </c>
      <c r="AW1339" s="246">
        <f>IFERROR(VLOOKUP(G1339,VOL_REC[],2,FALSE),0)</f>
        <v>4325103.1812214684</v>
      </c>
      <c r="AX1339" s="246">
        <f>IFERROR(VLOOKUP(H1339,VOL_REC[],2,FALSE),0)</f>
        <v>15540036.397699751</v>
      </c>
      <c r="AY1339" s="246">
        <f>IFERROR(VLOOKUP(I1339,VOL_REC[],2,FALSE),0)</f>
        <v>240696.79238099116</v>
      </c>
      <c r="AZ1339" s="246">
        <f>IFERROR(VLOOKUP(J1339,VOL_REC[],2,FALSE),0)</f>
        <v>17074.045034105649</v>
      </c>
      <c r="BA1339" s="246">
        <f>IFERROR(VLOOKUP(K1339,VOL_REC[],2,FALSE),0)</f>
        <v>105072</v>
      </c>
      <c r="BB1339" s="246">
        <f>IFERROR(VLOOKUP(L1339,VOL_REC[],2,FALSE),0)</f>
        <v>740113.98115702497</v>
      </c>
      <c r="BC1339" s="246">
        <f>IFERROR(VLOOKUP(M1339,VOL_REC[],2,FALSE),0)</f>
        <v>0</v>
      </c>
      <c r="BD1339" s="246">
        <f>IFERROR(VLOOKUP(N1339,VOL_REC[],2,FALSE),0)</f>
        <v>0</v>
      </c>
      <c r="BE1339" s="246">
        <f>IFERROR(VLOOKUP(O1339,VOL_REC[],2,FALSE),0)</f>
        <v>0</v>
      </c>
      <c r="BF1339" s="246">
        <f>IFERROR(VLOOKUP(P1339,VOL_REC[],2,FALSE),0)</f>
        <v>0</v>
      </c>
      <c r="BG1339" s="246">
        <f>IFERROR(VLOOKUP(Q1339,VOL_REC[],2,FALSE),0)</f>
        <v>0</v>
      </c>
      <c r="BH1339" s="1710">
        <f t="shared" si="80"/>
        <v>14982417258.541151</v>
      </c>
      <c r="BI1339" s="1710">
        <f t="shared" si="81"/>
        <v>17223774679.821663</v>
      </c>
      <c r="BJ1339" s="1711">
        <f t="shared" si="82"/>
        <v>32057770.597493343</v>
      </c>
      <c r="BK1339" s="1711">
        <f t="shared" si="83"/>
        <v>0.86986839627515844</v>
      </c>
    </row>
    <row r="1340" spans="3:67" x14ac:dyDescent="0.25">
      <c r="C1340" s="246" t="s">
        <v>2690</v>
      </c>
      <c r="D1340" s="246">
        <v>1</v>
      </c>
      <c r="E1340" s="246">
        <v>2</v>
      </c>
      <c r="F1340" s="246">
        <v>3</v>
      </c>
      <c r="G1340" s="246">
        <v>5</v>
      </c>
      <c r="H1340" s="246">
        <v>6</v>
      </c>
      <c r="I1340" s="246">
        <v>12</v>
      </c>
      <c r="J1340" s="246">
        <v>14</v>
      </c>
      <c r="K1340" s="246">
        <v>16</v>
      </c>
      <c r="L1340" s="246">
        <v>17</v>
      </c>
      <c r="M1340" s="246"/>
      <c r="N1340" s="246"/>
      <c r="O1340" s="246"/>
      <c r="P1340" s="246"/>
      <c r="Q1340" s="246"/>
      <c r="R1340" s="246">
        <f>IFERROR(VLOOKUP(D1340,PROGRAMAS[],2,FALSE),0)</f>
        <v>97037803.679377079</v>
      </c>
      <c r="S1340" s="246">
        <f>IFERROR(VLOOKUP(E1340,PROGRAMAS[],2,FALSE),0)</f>
        <v>640501509.6821388</v>
      </c>
      <c r="T1340" s="246">
        <f>IFERROR(VLOOKUP(F1340,PROGRAMAS[],2,FALSE),0)</f>
        <v>3062327798.1525245</v>
      </c>
      <c r="U1340" s="246">
        <f>IFERROR(VLOOKUP(G1340,PROGRAMAS[],2,FALSE),0)</f>
        <v>1440941976.2528784</v>
      </c>
      <c r="V1340" s="246">
        <f>IFERROR(VLOOKUP(H1340,PROGRAMAS[],2,FALSE),0)</f>
        <v>6907648435.8447599</v>
      </c>
      <c r="W1340" s="246">
        <f>IFERROR(VLOOKUP(I1340,PROGRAMAS[],2,FALSE),0)</f>
        <v>764796700.79905891</v>
      </c>
      <c r="X1340" s="246">
        <f>IFERROR(VLOOKUP(J1340,PROGRAMAS[],2,FALSE),0)</f>
        <v>54223862.645839565</v>
      </c>
      <c r="Y1340" s="246">
        <f>IFERROR(VLOOKUP(K1340,PROGRAMAS[],2,FALSE),0)</f>
        <v>7068496961.0436354</v>
      </c>
      <c r="Z1340" s="246">
        <f>IFERROR(VLOOKUP(L1340,PROGRAMAS[],2,FALSE),0)</f>
        <v>1892779498.5211046</v>
      </c>
      <c r="AA1340" s="246">
        <f>IFERROR(VLOOKUP(M1340,PROGRAMAS[],2,FALSE),0)</f>
        <v>0</v>
      </c>
      <c r="AB1340" s="246">
        <f>IFERROR(VLOOKUP(N1340,PROGRAMAS[],2,FALSE),0)</f>
        <v>0</v>
      </c>
      <c r="AC1340" s="246">
        <f>IFERROR(VLOOKUP(O1340,PROGRAMAS[],2,FALSE),0)</f>
        <v>0</v>
      </c>
      <c r="AD1340" s="246">
        <f>IFERROR(VLOOKUP(P1340,PROGRAMAS[],2,FALSE),0)</f>
        <v>0</v>
      </c>
      <c r="AE1340" s="246">
        <f>IFERROR(VLOOKUP(Q1340,PROGRAMAS[],2,FALSE),0)</f>
        <v>0</v>
      </c>
      <c r="AF1340" s="246">
        <f>IFERROR(VLOOKUP(D1340,PROGRAMAS[],3,FALSE),0)</f>
        <v>841888629.31080008</v>
      </c>
      <c r="AG1340" s="246">
        <f>IFERROR(VLOOKUP(E1340,PROGRAMAS[],3,FALSE),0)</f>
        <v>3848980803.1642323</v>
      </c>
      <c r="AH1340" s="246">
        <f>IFERROR(VLOOKUP(F1340,PROGRAMAS[],3,FALSE),0)</f>
        <v>3394901471.387517</v>
      </c>
      <c r="AI1340" s="246">
        <f>IFERROR(VLOOKUP(G1340,PROGRAMAS[],3,FALSE),0)</f>
        <v>1233505101.0616004</v>
      </c>
      <c r="AJ1340" s="246">
        <f>IFERROR(VLOOKUP(H1340,PROGRAMAS[],3,FALSE),0)</f>
        <v>6129902208.7912121</v>
      </c>
      <c r="AK1340" s="246">
        <f>IFERROR(VLOOKUP(I1340,PROGRAMAS[],3,FALSE),0)</f>
        <v>675517840.109828</v>
      </c>
      <c r="AL1340" s="246">
        <f>IFERROR(VLOOKUP(J1340,PROGRAMAS[],3,FALSE),0)</f>
        <v>31865326.38096505</v>
      </c>
      <c r="AM1340" s="246">
        <f>IFERROR(VLOOKUP(K1340,PROGRAMAS[],3,FALSE),0)</f>
        <v>2406564599.0319901</v>
      </c>
      <c r="AN1340" s="246">
        <f>IFERROR(VLOOKUP(L1340,PROGRAMAS[],3,FALSE),0)</f>
        <v>948595847.09039903</v>
      </c>
      <c r="AO1340" s="246">
        <f>IFERROR(VLOOKUP(M1340,PROGRAMAS[],3,FALSE),0)</f>
        <v>0</v>
      </c>
      <c r="AP1340" s="246">
        <f>IFERROR(VLOOKUP(N1340,PROGRAMAS[],3,FALSE),0)</f>
        <v>0</v>
      </c>
      <c r="AQ1340" s="246">
        <f>IFERROR(VLOOKUP(O1340,PROGRAMAS[],3,FALSE),0)</f>
        <v>0</v>
      </c>
      <c r="AR1340" s="246">
        <f>IFERROR(VLOOKUP(P1340,PROGRAMAS[],3,FALSE),0)</f>
        <v>0</v>
      </c>
      <c r="AS1340" s="246">
        <f>IFERROR(VLOOKUP(Q1340,PROGRAMAS[],3,FALSE),0)</f>
        <v>0</v>
      </c>
      <c r="AT1340" s="246">
        <f>IFERROR(VLOOKUP(D1340,VOL_REC[],2,FALSE),0)</f>
        <v>0</v>
      </c>
      <c r="AU1340" s="246">
        <f>IFERROR(VLOOKUP(E1340,VOL_REC[],2,FALSE),0)</f>
        <v>0</v>
      </c>
      <c r="AV1340" s="246">
        <f>IFERROR(VLOOKUP(F1340,VOL_REC[],2,FALSE),0)</f>
        <v>11089674.200000001</v>
      </c>
      <c r="AW1340" s="246">
        <f>IFERROR(VLOOKUP(G1340,VOL_REC[],2,FALSE),0)</f>
        <v>4325103.1812214684</v>
      </c>
      <c r="AX1340" s="246">
        <f>IFERROR(VLOOKUP(H1340,VOL_REC[],2,FALSE),0)</f>
        <v>15540036.397699751</v>
      </c>
      <c r="AY1340" s="246">
        <f>IFERROR(VLOOKUP(I1340,VOL_REC[],2,FALSE),0)</f>
        <v>240696.79238099116</v>
      </c>
      <c r="AZ1340" s="246">
        <f>IFERROR(VLOOKUP(J1340,VOL_REC[],2,FALSE),0)</f>
        <v>17074.045034105649</v>
      </c>
      <c r="BA1340" s="246">
        <f>IFERROR(VLOOKUP(K1340,VOL_REC[],2,FALSE),0)</f>
        <v>1072354.9981737854</v>
      </c>
      <c r="BB1340" s="246">
        <f>IFERROR(VLOOKUP(L1340,VOL_REC[],2,FALSE),0)</f>
        <v>740113.98115702497</v>
      </c>
      <c r="BC1340" s="246">
        <f>IFERROR(VLOOKUP(M1340,VOL_REC[],2,FALSE),0)</f>
        <v>0</v>
      </c>
      <c r="BD1340" s="246">
        <f>IFERROR(VLOOKUP(N1340,VOL_REC[],2,FALSE),0)</f>
        <v>0</v>
      </c>
      <c r="BE1340" s="246">
        <f>IFERROR(VLOOKUP(O1340,VOL_REC[],2,FALSE),0)</f>
        <v>0</v>
      </c>
      <c r="BF1340" s="246">
        <f>IFERROR(VLOOKUP(P1340,VOL_REC[],2,FALSE),0)</f>
        <v>0</v>
      </c>
      <c r="BG1340" s="246">
        <f>IFERROR(VLOOKUP(Q1340,VOL_REC[],2,FALSE),0)</f>
        <v>0</v>
      </c>
      <c r="BH1340" s="1710">
        <f t="shared" si="80"/>
        <v>21928754546.621315</v>
      </c>
      <c r="BI1340" s="1710">
        <f t="shared" si="81"/>
        <v>19511721826.328545</v>
      </c>
      <c r="BJ1340" s="1711">
        <f t="shared" si="82"/>
        <v>33025053.595667128</v>
      </c>
      <c r="BK1340" s="1711">
        <f t="shared" si="83"/>
        <v>1.1238759316992362</v>
      </c>
      <c r="BL1340">
        <f>BJ1340</f>
        <v>33025053.595667128</v>
      </c>
      <c r="BO1340">
        <f>BL1340</f>
        <v>33025053.595667128</v>
      </c>
    </row>
    <row r="1341" spans="3:67" x14ac:dyDescent="0.25">
      <c r="C1341" s="246" t="s">
        <v>2691</v>
      </c>
      <c r="D1341" s="246">
        <v>1</v>
      </c>
      <c r="E1341" s="246">
        <v>2</v>
      </c>
      <c r="F1341" s="246">
        <v>3</v>
      </c>
      <c r="G1341" s="246">
        <v>5</v>
      </c>
      <c r="H1341" s="246">
        <v>6</v>
      </c>
      <c r="I1341" s="246">
        <v>12</v>
      </c>
      <c r="J1341" s="246">
        <v>15</v>
      </c>
      <c r="K1341" s="246">
        <v>16</v>
      </c>
      <c r="L1341" s="246">
        <v>17</v>
      </c>
      <c r="M1341" s="246"/>
      <c r="N1341" s="246"/>
      <c r="O1341" s="246"/>
      <c r="P1341" s="246"/>
      <c r="Q1341" s="246"/>
      <c r="R1341" s="246">
        <f>IFERROR(VLOOKUP(D1341,PROGRAMAS[],2,FALSE),0)</f>
        <v>97037803.679377079</v>
      </c>
      <c r="S1341" s="246">
        <f>IFERROR(VLOOKUP(E1341,PROGRAMAS[],2,FALSE),0)</f>
        <v>640501509.6821388</v>
      </c>
      <c r="T1341" s="246">
        <f>IFERROR(VLOOKUP(F1341,PROGRAMAS[],2,FALSE),0)</f>
        <v>3062327798.1525245</v>
      </c>
      <c r="U1341" s="246">
        <f>IFERROR(VLOOKUP(G1341,PROGRAMAS[],2,FALSE),0)</f>
        <v>1440941976.2528784</v>
      </c>
      <c r="V1341" s="246">
        <f>IFERROR(VLOOKUP(H1341,PROGRAMAS[],2,FALSE),0)</f>
        <v>6907648435.8447599</v>
      </c>
      <c r="W1341" s="246">
        <f>IFERROR(VLOOKUP(I1341,PROGRAMAS[],2,FALSE),0)</f>
        <v>764796700.79905891</v>
      </c>
      <c r="X1341" s="246">
        <f>IFERROR(VLOOKUP(J1341,PROGRAMAS[],2,FALSE),0)</f>
        <v>122159672.96346797</v>
      </c>
      <c r="Y1341" s="246">
        <f>IFERROR(VLOOKUP(K1341,PROGRAMAS[],2,FALSE),0)</f>
        <v>7068496961.0436354</v>
      </c>
      <c r="Z1341" s="246">
        <f>IFERROR(VLOOKUP(L1341,PROGRAMAS[],2,FALSE),0)</f>
        <v>1892779498.5211046</v>
      </c>
      <c r="AA1341" s="246">
        <f>IFERROR(VLOOKUP(M1341,PROGRAMAS[],2,FALSE),0)</f>
        <v>0</v>
      </c>
      <c r="AB1341" s="246">
        <f>IFERROR(VLOOKUP(N1341,PROGRAMAS[],2,FALSE),0)</f>
        <v>0</v>
      </c>
      <c r="AC1341" s="246">
        <f>IFERROR(VLOOKUP(O1341,PROGRAMAS[],2,FALSE),0)</f>
        <v>0</v>
      </c>
      <c r="AD1341" s="246">
        <f>IFERROR(VLOOKUP(P1341,PROGRAMAS[],2,FALSE),0)</f>
        <v>0</v>
      </c>
      <c r="AE1341" s="246">
        <f>IFERROR(VLOOKUP(Q1341,PROGRAMAS[],2,FALSE),0)</f>
        <v>0</v>
      </c>
      <c r="AF1341" s="246">
        <f>IFERROR(VLOOKUP(D1341,PROGRAMAS[],3,FALSE),0)</f>
        <v>841888629.31080008</v>
      </c>
      <c r="AG1341" s="246">
        <f>IFERROR(VLOOKUP(E1341,PROGRAMAS[],3,FALSE),0)</f>
        <v>3848980803.1642323</v>
      </c>
      <c r="AH1341" s="246">
        <f>IFERROR(VLOOKUP(F1341,PROGRAMAS[],3,FALSE),0)</f>
        <v>3394901471.387517</v>
      </c>
      <c r="AI1341" s="246">
        <f>IFERROR(VLOOKUP(G1341,PROGRAMAS[],3,FALSE),0)</f>
        <v>1233505101.0616004</v>
      </c>
      <c r="AJ1341" s="246">
        <f>IFERROR(VLOOKUP(H1341,PROGRAMAS[],3,FALSE),0)</f>
        <v>6129902208.7912121</v>
      </c>
      <c r="AK1341" s="246">
        <f>IFERROR(VLOOKUP(I1341,PROGRAMAS[],3,FALSE),0)</f>
        <v>675517840.109828</v>
      </c>
      <c r="AL1341" s="246">
        <f>IFERROR(VLOOKUP(J1341,PROGRAMAS[],3,FALSE),0)</f>
        <v>118617452.52510804</v>
      </c>
      <c r="AM1341" s="246">
        <f>IFERROR(VLOOKUP(K1341,PROGRAMAS[],3,FALSE),0)</f>
        <v>2406564599.0319901</v>
      </c>
      <c r="AN1341" s="246">
        <f>IFERROR(VLOOKUP(L1341,PROGRAMAS[],3,FALSE),0)</f>
        <v>948595847.09039903</v>
      </c>
      <c r="AO1341" s="246">
        <f>IFERROR(VLOOKUP(M1341,PROGRAMAS[],3,FALSE),0)</f>
        <v>0</v>
      </c>
      <c r="AP1341" s="246">
        <f>IFERROR(VLOOKUP(N1341,PROGRAMAS[],3,FALSE),0)</f>
        <v>0</v>
      </c>
      <c r="AQ1341" s="246">
        <f>IFERROR(VLOOKUP(O1341,PROGRAMAS[],3,FALSE),0)</f>
        <v>0</v>
      </c>
      <c r="AR1341" s="246">
        <f>IFERROR(VLOOKUP(P1341,PROGRAMAS[],3,FALSE),0)</f>
        <v>0</v>
      </c>
      <c r="AS1341" s="246">
        <f>IFERROR(VLOOKUP(Q1341,PROGRAMAS[],3,FALSE),0)</f>
        <v>0</v>
      </c>
      <c r="AT1341" s="246">
        <f>IFERROR(VLOOKUP(D1341,VOL_REC[],2,FALSE),0)</f>
        <v>0</v>
      </c>
      <c r="AU1341" s="246">
        <f>IFERROR(VLOOKUP(E1341,VOL_REC[],2,FALSE),0)</f>
        <v>0</v>
      </c>
      <c r="AV1341" s="246">
        <f>IFERROR(VLOOKUP(F1341,VOL_REC[],2,FALSE),0)</f>
        <v>11089674.200000001</v>
      </c>
      <c r="AW1341" s="246">
        <f>IFERROR(VLOOKUP(G1341,VOL_REC[],2,FALSE),0)</f>
        <v>4325103.1812214684</v>
      </c>
      <c r="AX1341" s="246">
        <f>IFERROR(VLOOKUP(H1341,VOL_REC[],2,FALSE),0)</f>
        <v>15540036.397699751</v>
      </c>
      <c r="AY1341" s="246">
        <f>IFERROR(VLOOKUP(I1341,VOL_REC[],2,FALSE),0)</f>
        <v>240696.79238099116</v>
      </c>
      <c r="AZ1341" s="246">
        <f>IFERROR(VLOOKUP(J1341,VOL_REC[],2,FALSE),0)</f>
        <v>105072</v>
      </c>
      <c r="BA1341" s="246">
        <f>IFERROR(VLOOKUP(K1341,VOL_REC[],2,FALSE),0)</f>
        <v>1072354.9981737854</v>
      </c>
      <c r="BB1341" s="246">
        <f>IFERROR(VLOOKUP(L1341,VOL_REC[],2,FALSE),0)</f>
        <v>740113.98115702497</v>
      </c>
      <c r="BC1341" s="246">
        <f>IFERROR(VLOOKUP(M1341,VOL_REC[],2,FALSE),0)</f>
        <v>0</v>
      </c>
      <c r="BD1341" s="246">
        <f>IFERROR(VLOOKUP(N1341,VOL_REC[],2,FALSE),0)</f>
        <v>0</v>
      </c>
      <c r="BE1341" s="246">
        <f>IFERROR(VLOOKUP(O1341,VOL_REC[],2,FALSE),0)</f>
        <v>0</v>
      </c>
      <c r="BF1341" s="246">
        <f>IFERROR(VLOOKUP(P1341,VOL_REC[],2,FALSE),0)</f>
        <v>0</v>
      </c>
      <c r="BG1341" s="246">
        <f>IFERROR(VLOOKUP(Q1341,VOL_REC[],2,FALSE),0)</f>
        <v>0</v>
      </c>
      <c r="BH1341" s="1710">
        <f t="shared" si="80"/>
        <v>21996690356.938946</v>
      </c>
      <c r="BI1341" s="1710">
        <f t="shared" si="81"/>
        <v>19598473952.472691</v>
      </c>
      <c r="BJ1341" s="1711">
        <f t="shared" si="82"/>
        <v>33113051.550633021</v>
      </c>
      <c r="BK1341" s="1711">
        <f t="shared" si="83"/>
        <v>1.1223675073009283</v>
      </c>
      <c r="BL1341">
        <f>BJ1341</f>
        <v>33113051.550633021</v>
      </c>
      <c r="BO1341">
        <f>BL1341</f>
        <v>33113051.550633021</v>
      </c>
    </row>
    <row r="1342" spans="3:67" x14ac:dyDescent="0.25">
      <c r="C1342" s="246" t="s">
        <v>2692</v>
      </c>
      <c r="D1342" s="246">
        <v>1</v>
      </c>
      <c r="E1342" s="246">
        <v>2</v>
      </c>
      <c r="F1342" s="246">
        <v>3</v>
      </c>
      <c r="G1342" s="246">
        <v>5</v>
      </c>
      <c r="H1342" s="246">
        <v>6</v>
      </c>
      <c r="I1342" s="246">
        <v>13</v>
      </c>
      <c r="J1342" s="246">
        <v>14</v>
      </c>
      <c r="K1342" s="246">
        <v>15</v>
      </c>
      <c r="L1342" s="246">
        <v>16</v>
      </c>
      <c r="M1342" s="246"/>
      <c r="N1342" s="246"/>
      <c r="O1342" s="246"/>
      <c r="P1342" s="246"/>
      <c r="Q1342" s="246"/>
      <c r="R1342" s="246">
        <f>IFERROR(VLOOKUP(D1342,PROGRAMAS[],2,FALSE),0)</f>
        <v>97037803.679377079</v>
      </c>
      <c r="S1342" s="246">
        <f>IFERROR(VLOOKUP(E1342,PROGRAMAS[],2,FALSE),0)</f>
        <v>640501509.6821388</v>
      </c>
      <c r="T1342" s="246">
        <f>IFERROR(VLOOKUP(F1342,PROGRAMAS[],2,FALSE),0)</f>
        <v>3062327798.1525245</v>
      </c>
      <c r="U1342" s="246">
        <f>IFERROR(VLOOKUP(G1342,PROGRAMAS[],2,FALSE),0)</f>
        <v>1440941976.2528784</v>
      </c>
      <c r="V1342" s="246">
        <f>IFERROR(VLOOKUP(H1342,PROGRAMAS[],2,FALSE),0)</f>
        <v>6907648435.8447599</v>
      </c>
      <c r="W1342" s="246">
        <f>IFERROR(VLOOKUP(I1342,PROGRAMAS[],2,FALSE),0)</f>
        <v>3776538594.4604583</v>
      </c>
      <c r="X1342" s="246">
        <f>IFERROR(VLOOKUP(J1342,PROGRAMAS[],2,FALSE),0)</f>
        <v>54223862.645839565</v>
      </c>
      <c r="Y1342" s="246">
        <f>IFERROR(VLOOKUP(K1342,PROGRAMAS[],2,FALSE),0)</f>
        <v>122159672.96346797</v>
      </c>
      <c r="Z1342" s="246">
        <f>IFERROR(VLOOKUP(L1342,PROGRAMAS[],2,FALSE),0)</f>
        <v>7068496961.0436354</v>
      </c>
      <c r="AA1342" s="246">
        <f>IFERROR(VLOOKUP(M1342,PROGRAMAS[],2,FALSE),0)</f>
        <v>0</v>
      </c>
      <c r="AB1342" s="246">
        <f>IFERROR(VLOOKUP(N1342,PROGRAMAS[],2,FALSE),0)</f>
        <v>0</v>
      </c>
      <c r="AC1342" s="246">
        <f>IFERROR(VLOOKUP(O1342,PROGRAMAS[],2,FALSE),0)</f>
        <v>0</v>
      </c>
      <c r="AD1342" s="246">
        <f>IFERROR(VLOOKUP(P1342,PROGRAMAS[],2,FALSE),0)</f>
        <v>0</v>
      </c>
      <c r="AE1342" s="246">
        <f>IFERROR(VLOOKUP(Q1342,PROGRAMAS[],2,FALSE),0)</f>
        <v>0</v>
      </c>
      <c r="AF1342" s="246">
        <f>IFERROR(VLOOKUP(D1342,PROGRAMAS[],3,FALSE),0)</f>
        <v>841888629.31080008</v>
      </c>
      <c r="AG1342" s="246">
        <f>IFERROR(VLOOKUP(E1342,PROGRAMAS[],3,FALSE),0)</f>
        <v>3848980803.1642323</v>
      </c>
      <c r="AH1342" s="246">
        <f>IFERROR(VLOOKUP(F1342,PROGRAMAS[],3,FALSE),0)</f>
        <v>3394901471.387517</v>
      </c>
      <c r="AI1342" s="246">
        <f>IFERROR(VLOOKUP(G1342,PROGRAMAS[],3,FALSE),0)</f>
        <v>1233505101.0616004</v>
      </c>
      <c r="AJ1342" s="246">
        <f>IFERROR(VLOOKUP(H1342,PROGRAMAS[],3,FALSE),0)</f>
        <v>6129902208.7912121</v>
      </c>
      <c r="AK1342" s="246">
        <f>IFERROR(VLOOKUP(I1342,PROGRAMAS[],3,FALSE),0)</f>
        <v>2392571243.5584412</v>
      </c>
      <c r="AL1342" s="246">
        <f>IFERROR(VLOOKUP(J1342,PROGRAMAS[],3,FALSE),0)</f>
        <v>31865326.38096505</v>
      </c>
      <c r="AM1342" s="246">
        <f>IFERROR(VLOOKUP(K1342,PROGRAMAS[],3,FALSE),0)</f>
        <v>118617452.52510804</v>
      </c>
      <c r="AN1342" s="246">
        <f>IFERROR(VLOOKUP(L1342,PROGRAMAS[],3,FALSE),0)</f>
        <v>2406564599.0319901</v>
      </c>
      <c r="AO1342" s="246">
        <f>IFERROR(VLOOKUP(M1342,PROGRAMAS[],3,FALSE),0)</f>
        <v>0</v>
      </c>
      <c r="AP1342" s="246">
        <f>IFERROR(VLOOKUP(N1342,PROGRAMAS[],3,FALSE),0)</f>
        <v>0</v>
      </c>
      <c r="AQ1342" s="246">
        <f>IFERROR(VLOOKUP(O1342,PROGRAMAS[],3,FALSE),0)</f>
        <v>0</v>
      </c>
      <c r="AR1342" s="246">
        <f>IFERROR(VLOOKUP(P1342,PROGRAMAS[],3,FALSE),0)</f>
        <v>0</v>
      </c>
      <c r="AS1342" s="246">
        <f>IFERROR(VLOOKUP(Q1342,PROGRAMAS[],3,FALSE),0)</f>
        <v>0</v>
      </c>
      <c r="AT1342" s="246">
        <f>IFERROR(VLOOKUP(D1342,VOL_REC[],2,FALSE),0)</f>
        <v>0</v>
      </c>
      <c r="AU1342" s="246">
        <f>IFERROR(VLOOKUP(E1342,VOL_REC[],2,FALSE),0)</f>
        <v>0</v>
      </c>
      <c r="AV1342" s="246">
        <f>IFERROR(VLOOKUP(F1342,VOL_REC[],2,FALSE),0)</f>
        <v>11089674.200000001</v>
      </c>
      <c r="AW1342" s="246">
        <f>IFERROR(VLOOKUP(G1342,VOL_REC[],2,FALSE),0)</f>
        <v>4325103.1812214684</v>
      </c>
      <c r="AX1342" s="246">
        <f>IFERROR(VLOOKUP(H1342,VOL_REC[],2,FALSE),0)</f>
        <v>15540036.397699751</v>
      </c>
      <c r="AY1342" s="246">
        <f>IFERROR(VLOOKUP(I1342,VOL_REC[],2,FALSE),0)</f>
        <v>663244.80000000016</v>
      </c>
      <c r="AZ1342" s="246">
        <f>IFERROR(VLOOKUP(J1342,VOL_REC[],2,FALSE),0)</f>
        <v>17074.045034105649</v>
      </c>
      <c r="BA1342" s="246">
        <f>IFERROR(VLOOKUP(K1342,VOL_REC[],2,FALSE),0)</f>
        <v>105072</v>
      </c>
      <c r="BB1342" s="246">
        <f>IFERROR(VLOOKUP(L1342,VOL_REC[],2,FALSE),0)</f>
        <v>1072354.9981737854</v>
      </c>
      <c r="BC1342" s="246">
        <f>IFERROR(VLOOKUP(M1342,VOL_REC[],2,FALSE),0)</f>
        <v>0</v>
      </c>
      <c r="BD1342" s="246">
        <f>IFERROR(VLOOKUP(N1342,VOL_REC[],2,FALSE),0)</f>
        <v>0</v>
      </c>
      <c r="BE1342" s="246">
        <f>IFERROR(VLOOKUP(O1342,VOL_REC[],2,FALSE),0)</f>
        <v>0</v>
      </c>
      <c r="BF1342" s="246">
        <f>IFERROR(VLOOKUP(P1342,VOL_REC[],2,FALSE),0)</f>
        <v>0</v>
      </c>
      <c r="BG1342" s="246">
        <f>IFERROR(VLOOKUP(Q1342,VOL_REC[],2,FALSE),0)</f>
        <v>0</v>
      </c>
      <c r="BH1342" s="1710">
        <f t="shared" si="80"/>
        <v>23169876614.725082</v>
      </c>
      <c r="BI1342" s="1710">
        <f t="shared" si="81"/>
        <v>20398796835.211868</v>
      </c>
      <c r="BJ1342" s="1711">
        <f t="shared" si="82"/>
        <v>32812559.622129112</v>
      </c>
      <c r="BK1342" s="1711">
        <f t="shared" si="83"/>
        <v>1.1358452560657817</v>
      </c>
      <c r="BL1342">
        <f>BJ1342</f>
        <v>32812559.622129112</v>
      </c>
      <c r="BO1342">
        <f>BL1342</f>
        <v>32812559.622129112</v>
      </c>
    </row>
    <row r="1343" spans="3:67" x14ac:dyDescent="0.25">
      <c r="C1343" s="246" t="s">
        <v>2693</v>
      </c>
      <c r="D1343" s="246">
        <v>1</v>
      </c>
      <c r="E1343" s="246">
        <v>2</v>
      </c>
      <c r="F1343" s="246">
        <v>3</v>
      </c>
      <c r="G1343" s="246">
        <v>5</v>
      </c>
      <c r="H1343" s="246">
        <v>6</v>
      </c>
      <c r="I1343" s="246">
        <v>13</v>
      </c>
      <c r="J1343" s="246">
        <v>14</v>
      </c>
      <c r="K1343" s="246">
        <v>15</v>
      </c>
      <c r="L1343" s="246">
        <v>17</v>
      </c>
      <c r="M1343" s="246"/>
      <c r="N1343" s="246"/>
      <c r="O1343" s="246"/>
      <c r="P1343" s="246"/>
      <c r="Q1343" s="246"/>
      <c r="R1343" s="246">
        <f>IFERROR(VLOOKUP(D1343,PROGRAMAS[],2,FALSE),0)</f>
        <v>97037803.679377079</v>
      </c>
      <c r="S1343" s="246">
        <f>IFERROR(VLOOKUP(E1343,PROGRAMAS[],2,FALSE),0)</f>
        <v>640501509.6821388</v>
      </c>
      <c r="T1343" s="246">
        <f>IFERROR(VLOOKUP(F1343,PROGRAMAS[],2,FALSE),0)</f>
        <v>3062327798.1525245</v>
      </c>
      <c r="U1343" s="246">
        <f>IFERROR(VLOOKUP(G1343,PROGRAMAS[],2,FALSE),0)</f>
        <v>1440941976.2528784</v>
      </c>
      <c r="V1343" s="246">
        <f>IFERROR(VLOOKUP(H1343,PROGRAMAS[],2,FALSE),0)</f>
        <v>6907648435.8447599</v>
      </c>
      <c r="W1343" s="246">
        <f>IFERROR(VLOOKUP(I1343,PROGRAMAS[],2,FALSE),0)</f>
        <v>3776538594.4604583</v>
      </c>
      <c r="X1343" s="246">
        <f>IFERROR(VLOOKUP(J1343,PROGRAMAS[],2,FALSE),0)</f>
        <v>54223862.645839565</v>
      </c>
      <c r="Y1343" s="246">
        <f>IFERROR(VLOOKUP(K1343,PROGRAMAS[],2,FALSE),0)</f>
        <v>122159672.96346797</v>
      </c>
      <c r="Z1343" s="246">
        <f>IFERROR(VLOOKUP(L1343,PROGRAMAS[],2,FALSE),0)</f>
        <v>1892779498.5211046</v>
      </c>
      <c r="AA1343" s="246">
        <f>IFERROR(VLOOKUP(M1343,PROGRAMAS[],2,FALSE),0)</f>
        <v>0</v>
      </c>
      <c r="AB1343" s="246">
        <f>IFERROR(VLOOKUP(N1343,PROGRAMAS[],2,FALSE),0)</f>
        <v>0</v>
      </c>
      <c r="AC1343" s="246">
        <f>IFERROR(VLOOKUP(O1343,PROGRAMAS[],2,FALSE),0)</f>
        <v>0</v>
      </c>
      <c r="AD1343" s="246">
        <f>IFERROR(VLOOKUP(P1343,PROGRAMAS[],2,FALSE),0)</f>
        <v>0</v>
      </c>
      <c r="AE1343" s="246">
        <f>IFERROR(VLOOKUP(Q1343,PROGRAMAS[],2,FALSE),0)</f>
        <v>0</v>
      </c>
      <c r="AF1343" s="246">
        <f>IFERROR(VLOOKUP(D1343,PROGRAMAS[],3,FALSE),0)</f>
        <v>841888629.31080008</v>
      </c>
      <c r="AG1343" s="246">
        <f>IFERROR(VLOOKUP(E1343,PROGRAMAS[],3,FALSE),0)</f>
        <v>3848980803.1642323</v>
      </c>
      <c r="AH1343" s="246">
        <f>IFERROR(VLOOKUP(F1343,PROGRAMAS[],3,FALSE),0)</f>
        <v>3394901471.387517</v>
      </c>
      <c r="AI1343" s="246">
        <f>IFERROR(VLOOKUP(G1343,PROGRAMAS[],3,FALSE),0)</f>
        <v>1233505101.0616004</v>
      </c>
      <c r="AJ1343" s="246">
        <f>IFERROR(VLOOKUP(H1343,PROGRAMAS[],3,FALSE),0)</f>
        <v>6129902208.7912121</v>
      </c>
      <c r="AK1343" s="246">
        <f>IFERROR(VLOOKUP(I1343,PROGRAMAS[],3,FALSE),0)</f>
        <v>2392571243.5584412</v>
      </c>
      <c r="AL1343" s="246">
        <f>IFERROR(VLOOKUP(J1343,PROGRAMAS[],3,FALSE),0)</f>
        <v>31865326.38096505</v>
      </c>
      <c r="AM1343" s="246">
        <f>IFERROR(VLOOKUP(K1343,PROGRAMAS[],3,FALSE),0)</f>
        <v>118617452.52510804</v>
      </c>
      <c r="AN1343" s="246">
        <f>IFERROR(VLOOKUP(L1343,PROGRAMAS[],3,FALSE),0)</f>
        <v>948595847.09039903</v>
      </c>
      <c r="AO1343" s="246">
        <f>IFERROR(VLOOKUP(M1343,PROGRAMAS[],3,FALSE),0)</f>
        <v>0</v>
      </c>
      <c r="AP1343" s="246">
        <f>IFERROR(VLOOKUP(N1343,PROGRAMAS[],3,FALSE),0)</f>
        <v>0</v>
      </c>
      <c r="AQ1343" s="246">
        <f>IFERROR(VLOOKUP(O1343,PROGRAMAS[],3,FALSE),0)</f>
        <v>0</v>
      </c>
      <c r="AR1343" s="246">
        <f>IFERROR(VLOOKUP(P1343,PROGRAMAS[],3,FALSE),0)</f>
        <v>0</v>
      </c>
      <c r="AS1343" s="246">
        <f>IFERROR(VLOOKUP(Q1343,PROGRAMAS[],3,FALSE),0)</f>
        <v>0</v>
      </c>
      <c r="AT1343" s="246">
        <f>IFERROR(VLOOKUP(D1343,VOL_REC[],2,FALSE),0)</f>
        <v>0</v>
      </c>
      <c r="AU1343" s="246">
        <f>IFERROR(VLOOKUP(E1343,VOL_REC[],2,FALSE),0)</f>
        <v>0</v>
      </c>
      <c r="AV1343" s="246">
        <f>IFERROR(VLOOKUP(F1343,VOL_REC[],2,FALSE),0)</f>
        <v>11089674.200000001</v>
      </c>
      <c r="AW1343" s="246">
        <f>IFERROR(VLOOKUP(G1343,VOL_REC[],2,FALSE),0)</f>
        <v>4325103.1812214684</v>
      </c>
      <c r="AX1343" s="246">
        <f>IFERROR(VLOOKUP(H1343,VOL_REC[],2,FALSE),0)</f>
        <v>15540036.397699751</v>
      </c>
      <c r="AY1343" s="246">
        <f>IFERROR(VLOOKUP(I1343,VOL_REC[],2,FALSE),0)</f>
        <v>663244.80000000016</v>
      </c>
      <c r="AZ1343" s="246">
        <f>IFERROR(VLOOKUP(J1343,VOL_REC[],2,FALSE),0)</f>
        <v>17074.045034105649</v>
      </c>
      <c r="BA1343" s="246">
        <f>IFERROR(VLOOKUP(K1343,VOL_REC[],2,FALSE),0)</f>
        <v>105072</v>
      </c>
      <c r="BB1343" s="246">
        <f>IFERROR(VLOOKUP(L1343,VOL_REC[],2,FALSE),0)</f>
        <v>740113.98115702497</v>
      </c>
      <c r="BC1343" s="246">
        <f>IFERROR(VLOOKUP(M1343,VOL_REC[],2,FALSE),0)</f>
        <v>0</v>
      </c>
      <c r="BD1343" s="246">
        <f>IFERROR(VLOOKUP(N1343,VOL_REC[],2,FALSE),0)</f>
        <v>0</v>
      </c>
      <c r="BE1343" s="246">
        <f>IFERROR(VLOOKUP(O1343,VOL_REC[],2,FALSE),0)</f>
        <v>0</v>
      </c>
      <c r="BF1343" s="246">
        <f>IFERROR(VLOOKUP(P1343,VOL_REC[],2,FALSE),0)</f>
        <v>0</v>
      </c>
      <c r="BG1343" s="246">
        <f>IFERROR(VLOOKUP(Q1343,VOL_REC[],2,FALSE),0)</f>
        <v>0</v>
      </c>
      <c r="BH1343" s="1710">
        <f t="shared" si="80"/>
        <v>17994159152.202549</v>
      </c>
      <c r="BI1343" s="1710">
        <f t="shared" si="81"/>
        <v>18940828083.270279</v>
      </c>
      <c r="BJ1343" s="1711">
        <f t="shared" si="82"/>
        <v>32480318.605112351</v>
      </c>
      <c r="BK1343" s="1711">
        <f t="shared" si="83"/>
        <v>0.95001966509036173</v>
      </c>
    </row>
    <row r="1344" spans="3:67" x14ac:dyDescent="0.25">
      <c r="C1344" s="246" t="s">
        <v>2694</v>
      </c>
      <c r="D1344" s="246">
        <v>1</v>
      </c>
      <c r="E1344" s="246">
        <v>2</v>
      </c>
      <c r="F1344" s="246">
        <v>3</v>
      </c>
      <c r="G1344" s="246">
        <v>5</v>
      </c>
      <c r="H1344" s="246">
        <v>6</v>
      </c>
      <c r="I1344" s="246">
        <v>13</v>
      </c>
      <c r="J1344" s="246">
        <v>14</v>
      </c>
      <c r="K1344" s="246">
        <v>16</v>
      </c>
      <c r="L1344" s="246">
        <v>17</v>
      </c>
      <c r="M1344" s="246"/>
      <c r="N1344" s="246"/>
      <c r="O1344" s="246"/>
      <c r="P1344" s="246"/>
      <c r="Q1344" s="246"/>
      <c r="R1344" s="246">
        <f>IFERROR(VLOOKUP(D1344,PROGRAMAS[],2,FALSE),0)</f>
        <v>97037803.679377079</v>
      </c>
      <c r="S1344" s="246">
        <f>IFERROR(VLOOKUP(E1344,PROGRAMAS[],2,FALSE),0)</f>
        <v>640501509.6821388</v>
      </c>
      <c r="T1344" s="246">
        <f>IFERROR(VLOOKUP(F1344,PROGRAMAS[],2,FALSE),0)</f>
        <v>3062327798.1525245</v>
      </c>
      <c r="U1344" s="246">
        <f>IFERROR(VLOOKUP(G1344,PROGRAMAS[],2,FALSE),0)</f>
        <v>1440941976.2528784</v>
      </c>
      <c r="V1344" s="246">
        <f>IFERROR(VLOOKUP(H1344,PROGRAMAS[],2,FALSE),0)</f>
        <v>6907648435.8447599</v>
      </c>
      <c r="W1344" s="246">
        <f>IFERROR(VLOOKUP(I1344,PROGRAMAS[],2,FALSE),0)</f>
        <v>3776538594.4604583</v>
      </c>
      <c r="X1344" s="246">
        <f>IFERROR(VLOOKUP(J1344,PROGRAMAS[],2,FALSE),0)</f>
        <v>54223862.645839565</v>
      </c>
      <c r="Y1344" s="246">
        <f>IFERROR(VLOOKUP(K1344,PROGRAMAS[],2,FALSE),0)</f>
        <v>7068496961.0436354</v>
      </c>
      <c r="Z1344" s="246">
        <f>IFERROR(VLOOKUP(L1344,PROGRAMAS[],2,FALSE),0)</f>
        <v>1892779498.5211046</v>
      </c>
      <c r="AA1344" s="246">
        <f>IFERROR(VLOOKUP(M1344,PROGRAMAS[],2,FALSE),0)</f>
        <v>0</v>
      </c>
      <c r="AB1344" s="246">
        <f>IFERROR(VLOOKUP(N1344,PROGRAMAS[],2,FALSE),0)</f>
        <v>0</v>
      </c>
      <c r="AC1344" s="246">
        <f>IFERROR(VLOOKUP(O1344,PROGRAMAS[],2,FALSE),0)</f>
        <v>0</v>
      </c>
      <c r="AD1344" s="246">
        <f>IFERROR(VLOOKUP(P1344,PROGRAMAS[],2,FALSE),0)</f>
        <v>0</v>
      </c>
      <c r="AE1344" s="246">
        <f>IFERROR(VLOOKUP(Q1344,PROGRAMAS[],2,FALSE),0)</f>
        <v>0</v>
      </c>
      <c r="AF1344" s="246">
        <f>IFERROR(VLOOKUP(D1344,PROGRAMAS[],3,FALSE),0)</f>
        <v>841888629.31080008</v>
      </c>
      <c r="AG1344" s="246">
        <f>IFERROR(VLOOKUP(E1344,PROGRAMAS[],3,FALSE),0)</f>
        <v>3848980803.1642323</v>
      </c>
      <c r="AH1344" s="246">
        <f>IFERROR(VLOOKUP(F1344,PROGRAMAS[],3,FALSE),0)</f>
        <v>3394901471.387517</v>
      </c>
      <c r="AI1344" s="246">
        <f>IFERROR(VLOOKUP(G1344,PROGRAMAS[],3,FALSE),0)</f>
        <v>1233505101.0616004</v>
      </c>
      <c r="AJ1344" s="246">
        <f>IFERROR(VLOOKUP(H1344,PROGRAMAS[],3,FALSE),0)</f>
        <v>6129902208.7912121</v>
      </c>
      <c r="AK1344" s="246">
        <f>IFERROR(VLOOKUP(I1344,PROGRAMAS[],3,FALSE),0)</f>
        <v>2392571243.5584412</v>
      </c>
      <c r="AL1344" s="246">
        <f>IFERROR(VLOOKUP(J1344,PROGRAMAS[],3,FALSE),0)</f>
        <v>31865326.38096505</v>
      </c>
      <c r="AM1344" s="246">
        <f>IFERROR(VLOOKUP(K1344,PROGRAMAS[],3,FALSE),0)</f>
        <v>2406564599.0319901</v>
      </c>
      <c r="AN1344" s="246">
        <f>IFERROR(VLOOKUP(L1344,PROGRAMAS[],3,FALSE),0)</f>
        <v>948595847.09039903</v>
      </c>
      <c r="AO1344" s="246">
        <f>IFERROR(VLOOKUP(M1344,PROGRAMAS[],3,FALSE),0)</f>
        <v>0</v>
      </c>
      <c r="AP1344" s="246">
        <f>IFERROR(VLOOKUP(N1344,PROGRAMAS[],3,FALSE),0)</f>
        <v>0</v>
      </c>
      <c r="AQ1344" s="246">
        <f>IFERROR(VLOOKUP(O1344,PROGRAMAS[],3,FALSE),0)</f>
        <v>0</v>
      </c>
      <c r="AR1344" s="246">
        <f>IFERROR(VLOOKUP(P1344,PROGRAMAS[],3,FALSE),0)</f>
        <v>0</v>
      </c>
      <c r="AS1344" s="246">
        <f>IFERROR(VLOOKUP(Q1344,PROGRAMAS[],3,FALSE),0)</f>
        <v>0</v>
      </c>
      <c r="AT1344" s="246">
        <f>IFERROR(VLOOKUP(D1344,VOL_REC[],2,FALSE),0)</f>
        <v>0</v>
      </c>
      <c r="AU1344" s="246">
        <f>IFERROR(VLOOKUP(E1344,VOL_REC[],2,FALSE),0)</f>
        <v>0</v>
      </c>
      <c r="AV1344" s="246">
        <f>IFERROR(VLOOKUP(F1344,VOL_REC[],2,FALSE),0)</f>
        <v>11089674.200000001</v>
      </c>
      <c r="AW1344" s="246">
        <f>IFERROR(VLOOKUP(G1344,VOL_REC[],2,FALSE),0)</f>
        <v>4325103.1812214684</v>
      </c>
      <c r="AX1344" s="246">
        <f>IFERROR(VLOOKUP(H1344,VOL_REC[],2,FALSE),0)</f>
        <v>15540036.397699751</v>
      </c>
      <c r="AY1344" s="246">
        <f>IFERROR(VLOOKUP(I1344,VOL_REC[],2,FALSE),0)</f>
        <v>663244.80000000016</v>
      </c>
      <c r="AZ1344" s="246">
        <f>IFERROR(VLOOKUP(J1344,VOL_REC[],2,FALSE),0)</f>
        <v>17074.045034105649</v>
      </c>
      <c r="BA1344" s="246">
        <f>IFERROR(VLOOKUP(K1344,VOL_REC[],2,FALSE),0)</f>
        <v>1072354.9981737854</v>
      </c>
      <c r="BB1344" s="246">
        <f>IFERROR(VLOOKUP(L1344,VOL_REC[],2,FALSE),0)</f>
        <v>740113.98115702497</v>
      </c>
      <c r="BC1344" s="246">
        <f>IFERROR(VLOOKUP(M1344,VOL_REC[],2,FALSE),0)</f>
        <v>0</v>
      </c>
      <c r="BD1344" s="246">
        <f>IFERROR(VLOOKUP(N1344,VOL_REC[],2,FALSE),0)</f>
        <v>0</v>
      </c>
      <c r="BE1344" s="246">
        <f>IFERROR(VLOOKUP(O1344,VOL_REC[],2,FALSE),0)</f>
        <v>0</v>
      </c>
      <c r="BF1344" s="246">
        <f>IFERROR(VLOOKUP(P1344,VOL_REC[],2,FALSE),0)</f>
        <v>0</v>
      </c>
      <c r="BG1344" s="246">
        <f>IFERROR(VLOOKUP(Q1344,VOL_REC[],2,FALSE),0)</f>
        <v>0</v>
      </c>
      <c r="BH1344" s="1710">
        <f t="shared" si="80"/>
        <v>24940496440.282715</v>
      </c>
      <c r="BI1344" s="1710">
        <f t="shared" si="81"/>
        <v>21228775229.777161</v>
      </c>
      <c r="BJ1344" s="1711">
        <f t="shared" si="82"/>
        <v>33447601.603286136</v>
      </c>
      <c r="BK1344" s="1711">
        <f t="shared" si="83"/>
        <v>1.1748438697160071</v>
      </c>
      <c r="BL1344">
        <f>BJ1344</f>
        <v>33447601.603286136</v>
      </c>
      <c r="BO1344">
        <f>BL1344</f>
        <v>33447601.603286136</v>
      </c>
    </row>
    <row r="1345" spans="3:67" x14ac:dyDescent="0.25">
      <c r="C1345" s="246" t="s">
        <v>2695</v>
      </c>
      <c r="D1345" s="246">
        <v>1</v>
      </c>
      <c r="E1345" s="246">
        <v>2</v>
      </c>
      <c r="F1345" s="246">
        <v>3</v>
      </c>
      <c r="G1345" s="246">
        <v>5</v>
      </c>
      <c r="H1345" s="246">
        <v>6</v>
      </c>
      <c r="I1345" s="246">
        <v>13</v>
      </c>
      <c r="J1345" s="246">
        <v>15</v>
      </c>
      <c r="K1345" s="246">
        <v>16</v>
      </c>
      <c r="L1345" s="246">
        <v>17</v>
      </c>
      <c r="M1345" s="246"/>
      <c r="N1345" s="246"/>
      <c r="O1345" s="246"/>
      <c r="P1345" s="246"/>
      <c r="Q1345" s="246"/>
      <c r="R1345" s="246">
        <f>IFERROR(VLOOKUP(D1345,PROGRAMAS[],2,FALSE),0)</f>
        <v>97037803.679377079</v>
      </c>
      <c r="S1345" s="246">
        <f>IFERROR(VLOOKUP(E1345,PROGRAMAS[],2,FALSE),0)</f>
        <v>640501509.6821388</v>
      </c>
      <c r="T1345" s="246">
        <f>IFERROR(VLOOKUP(F1345,PROGRAMAS[],2,FALSE),0)</f>
        <v>3062327798.1525245</v>
      </c>
      <c r="U1345" s="246">
        <f>IFERROR(VLOOKUP(G1345,PROGRAMAS[],2,FALSE),0)</f>
        <v>1440941976.2528784</v>
      </c>
      <c r="V1345" s="246">
        <f>IFERROR(VLOOKUP(H1345,PROGRAMAS[],2,FALSE),0)</f>
        <v>6907648435.8447599</v>
      </c>
      <c r="W1345" s="246">
        <f>IFERROR(VLOOKUP(I1345,PROGRAMAS[],2,FALSE),0)</f>
        <v>3776538594.4604583</v>
      </c>
      <c r="X1345" s="246">
        <f>IFERROR(VLOOKUP(J1345,PROGRAMAS[],2,FALSE),0)</f>
        <v>122159672.96346797</v>
      </c>
      <c r="Y1345" s="246">
        <f>IFERROR(VLOOKUP(K1345,PROGRAMAS[],2,FALSE),0)</f>
        <v>7068496961.0436354</v>
      </c>
      <c r="Z1345" s="246">
        <f>IFERROR(VLOOKUP(L1345,PROGRAMAS[],2,FALSE),0)</f>
        <v>1892779498.5211046</v>
      </c>
      <c r="AA1345" s="246">
        <f>IFERROR(VLOOKUP(M1345,PROGRAMAS[],2,FALSE),0)</f>
        <v>0</v>
      </c>
      <c r="AB1345" s="246">
        <f>IFERROR(VLOOKUP(N1345,PROGRAMAS[],2,FALSE),0)</f>
        <v>0</v>
      </c>
      <c r="AC1345" s="246">
        <f>IFERROR(VLOOKUP(O1345,PROGRAMAS[],2,FALSE),0)</f>
        <v>0</v>
      </c>
      <c r="AD1345" s="246">
        <f>IFERROR(VLOOKUP(P1345,PROGRAMAS[],2,FALSE),0)</f>
        <v>0</v>
      </c>
      <c r="AE1345" s="246">
        <f>IFERROR(VLOOKUP(Q1345,PROGRAMAS[],2,FALSE),0)</f>
        <v>0</v>
      </c>
      <c r="AF1345" s="246">
        <f>IFERROR(VLOOKUP(D1345,PROGRAMAS[],3,FALSE),0)</f>
        <v>841888629.31080008</v>
      </c>
      <c r="AG1345" s="246">
        <f>IFERROR(VLOOKUP(E1345,PROGRAMAS[],3,FALSE),0)</f>
        <v>3848980803.1642323</v>
      </c>
      <c r="AH1345" s="246">
        <f>IFERROR(VLOOKUP(F1345,PROGRAMAS[],3,FALSE),0)</f>
        <v>3394901471.387517</v>
      </c>
      <c r="AI1345" s="246">
        <f>IFERROR(VLOOKUP(G1345,PROGRAMAS[],3,FALSE),0)</f>
        <v>1233505101.0616004</v>
      </c>
      <c r="AJ1345" s="246">
        <f>IFERROR(VLOOKUP(H1345,PROGRAMAS[],3,FALSE),0)</f>
        <v>6129902208.7912121</v>
      </c>
      <c r="AK1345" s="246">
        <f>IFERROR(VLOOKUP(I1345,PROGRAMAS[],3,FALSE),0)</f>
        <v>2392571243.5584412</v>
      </c>
      <c r="AL1345" s="246">
        <f>IFERROR(VLOOKUP(J1345,PROGRAMAS[],3,FALSE),0)</f>
        <v>118617452.52510804</v>
      </c>
      <c r="AM1345" s="246">
        <f>IFERROR(VLOOKUP(K1345,PROGRAMAS[],3,FALSE),0)</f>
        <v>2406564599.0319901</v>
      </c>
      <c r="AN1345" s="246">
        <f>IFERROR(VLOOKUP(L1345,PROGRAMAS[],3,FALSE),0)</f>
        <v>948595847.09039903</v>
      </c>
      <c r="AO1345" s="246">
        <f>IFERROR(VLOOKUP(M1345,PROGRAMAS[],3,FALSE),0)</f>
        <v>0</v>
      </c>
      <c r="AP1345" s="246">
        <f>IFERROR(VLOOKUP(N1345,PROGRAMAS[],3,FALSE),0)</f>
        <v>0</v>
      </c>
      <c r="AQ1345" s="246">
        <f>IFERROR(VLOOKUP(O1345,PROGRAMAS[],3,FALSE),0)</f>
        <v>0</v>
      </c>
      <c r="AR1345" s="246">
        <f>IFERROR(VLOOKUP(P1345,PROGRAMAS[],3,FALSE),0)</f>
        <v>0</v>
      </c>
      <c r="AS1345" s="246">
        <f>IFERROR(VLOOKUP(Q1345,PROGRAMAS[],3,FALSE),0)</f>
        <v>0</v>
      </c>
      <c r="AT1345" s="246">
        <f>IFERROR(VLOOKUP(D1345,VOL_REC[],2,FALSE),0)</f>
        <v>0</v>
      </c>
      <c r="AU1345" s="246">
        <f>IFERROR(VLOOKUP(E1345,VOL_REC[],2,FALSE),0)</f>
        <v>0</v>
      </c>
      <c r="AV1345" s="246">
        <f>IFERROR(VLOOKUP(F1345,VOL_REC[],2,FALSE),0)</f>
        <v>11089674.200000001</v>
      </c>
      <c r="AW1345" s="246">
        <f>IFERROR(VLOOKUP(G1345,VOL_REC[],2,FALSE),0)</f>
        <v>4325103.1812214684</v>
      </c>
      <c r="AX1345" s="246">
        <f>IFERROR(VLOOKUP(H1345,VOL_REC[],2,FALSE),0)</f>
        <v>15540036.397699751</v>
      </c>
      <c r="AY1345" s="246">
        <f>IFERROR(VLOOKUP(I1345,VOL_REC[],2,FALSE),0)</f>
        <v>663244.80000000016</v>
      </c>
      <c r="AZ1345" s="246">
        <f>IFERROR(VLOOKUP(J1345,VOL_REC[],2,FALSE),0)</f>
        <v>105072</v>
      </c>
      <c r="BA1345" s="246">
        <f>IFERROR(VLOOKUP(K1345,VOL_REC[],2,FALSE),0)</f>
        <v>1072354.9981737854</v>
      </c>
      <c r="BB1345" s="246">
        <f>IFERROR(VLOOKUP(L1345,VOL_REC[],2,FALSE),0)</f>
        <v>740113.98115702497</v>
      </c>
      <c r="BC1345" s="246">
        <f>IFERROR(VLOOKUP(M1345,VOL_REC[],2,FALSE),0)</f>
        <v>0</v>
      </c>
      <c r="BD1345" s="246">
        <f>IFERROR(VLOOKUP(N1345,VOL_REC[],2,FALSE),0)</f>
        <v>0</v>
      </c>
      <c r="BE1345" s="246">
        <f>IFERROR(VLOOKUP(O1345,VOL_REC[],2,FALSE),0)</f>
        <v>0</v>
      </c>
      <c r="BF1345" s="246">
        <f>IFERROR(VLOOKUP(P1345,VOL_REC[],2,FALSE),0)</f>
        <v>0</v>
      </c>
      <c r="BG1345" s="246">
        <f>IFERROR(VLOOKUP(Q1345,VOL_REC[],2,FALSE),0)</f>
        <v>0</v>
      </c>
      <c r="BH1345" s="1710">
        <f t="shared" si="80"/>
        <v>25008432250.600346</v>
      </c>
      <c r="BI1345" s="1710">
        <f t="shared" si="81"/>
        <v>21315527355.921303</v>
      </c>
      <c r="BJ1345" s="1711">
        <f t="shared" si="82"/>
        <v>33535599.558252029</v>
      </c>
      <c r="BK1345" s="1711">
        <f t="shared" si="83"/>
        <v>1.1732495205497779</v>
      </c>
      <c r="BL1345">
        <f>BJ1345</f>
        <v>33535599.558252029</v>
      </c>
      <c r="BO1345">
        <f>BL1345</f>
        <v>33535599.558252029</v>
      </c>
    </row>
    <row r="1346" spans="3:67" x14ac:dyDescent="0.25">
      <c r="C1346" s="246" t="s">
        <v>2696</v>
      </c>
      <c r="D1346" s="246">
        <v>1</v>
      </c>
      <c r="E1346" s="246">
        <v>2</v>
      </c>
      <c r="F1346" s="246">
        <v>3</v>
      </c>
      <c r="G1346" s="246">
        <v>5</v>
      </c>
      <c r="H1346" s="246">
        <v>6</v>
      </c>
      <c r="I1346" s="246">
        <v>14</v>
      </c>
      <c r="J1346" s="246">
        <v>15</v>
      </c>
      <c r="K1346" s="246">
        <v>16</v>
      </c>
      <c r="L1346" s="246">
        <v>17</v>
      </c>
      <c r="M1346" s="246"/>
      <c r="N1346" s="246"/>
      <c r="O1346" s="246"/>
      <c r="P1346" s="246"/>
      <c r="Q1346" s="246"/>
      <c r="R1346" s="246">
        <f>IFERROR(VLOOKUP(D1346,PROGRAMAS[],2,FALSE),0)</f>
        <v>97037803.679377079</v>
      </c>
      <c r="S1346" s="246">
        <f>IFERROR(VLOOKUP(E1346,PROGRAMAS[],2,FALSE),0)</f>
        <v>640501509.6821388</v>
      </c>
      <c r="T1346" s="246">
        <f>IFERROR(VLOOKUP(F1346,PROGRAMAS[],2,FALSE),0)</f>
        <v>3062327798.1525245</v>
      </c>
      <c r="U1346" s="246">
        <f>IFERROR(VLOOKUP(G1346,PROGRAMAS[],2,FALSE),0)</f>
        <v>1440941976.2528784</v>
      </c>
      <c r="V1346" s="246">
        <f>IFERROR(VLOOKUP(H1346,PROGRAMAS[],2,FALSE),0)</f>
        <v>6907648435.8447599</v>
      </c>
      <c r="W1346" s="246">
        <f>IFERROR(VLOOKUP(I1346,PROGRAMAS[],2,FALSE),0)</f>
        <v>54223862.645839565</v>
      </c>
      <c r="X1346" s="246">
        <f>IFERROR(VLOOKUP(J1346,PROGRAMAS[],2,FALSE),0)</f>
        <v>122159672.96346797</v>
      </c>
      <c r="Y1346" s="246">
        <f>IFERROR(VLOOKUP(K1346,PROGRAMAS[],2,FALSE),0)</f>
        <v>7068496961.0436354</v>
      </c>
      <c r="Z1346" s="246">
        <f>IFERROR(VLOOKUP(L1346,PROGRAMAS[],2,FALSE),0)</f>
        <v>1892779498.5211046</v>
      </c>
      <c r="AA1346" s="246">
        <f>IFERROR(VLOOKUP(M1346,PROGRAMAS[],2,FALSE),0)</f>
        <v>0</v>
      </c>
      <c r="AB1346" s="246">
        <f>IFERROR(VLOOKUP(N1346,PROGRAMAS[],2,FALSE),0)</f>
        <v>0</v>
      </c>
      <c r="AC1346" s="246">
        <f>IFERROR(VLOOKUP(O1346,PROGRAMAS[],2,FALSE),0)</f>
        <v>0</v>
      </c>
      <c r="AD1346" s="246">
        <f>IFERROR(VLOOKUP(P1346,PROGRAMAS[],2,FALSE),0)</f>
        <v>0</v>
      </c>
      <c r="AE1346" s="246">
        <f>IFERROR(VLOOKUP(Q1346,PROGRAMAS[],2,FALSE),0)</f>
        <v>0</v>
      </c>
      <c r="AF1346" s="246">
        <f>IFERROR(VLOOKUP(D1346,PROGRAMAS[],3,FALSE),0)</f>
        <v>841888629.31080008</v>
      </c>
      <c r="AG1346" s="246">
        <f>IFERROR(VLOOKUP(E1346,PROGRAMAS[],3,FALSE),0)</f>
        <v>3848980803.1642323</v>
      </c>
      <c r="AH1346" s="246">
        <f>IFERROR(VLOOKUP(F1346,PROGRAMAS[],3,FALSE),0)</f>
        <v>3394901471.387517</v>
      </c>
      <c r="AI1346" s="246">
        <f>IFERROR(VLOOKUP(G1346,PROGRAMAS[],3,FALSE),0)</f>
        <v>1233505101.0616004</v>
      </c>
      <c r="AJ1346" s="246">
        <f>IFERROR(VLOOKUP(H1346,PROGRAMAS[],3,FALSE),0)</f>
        <v>6129902208.7912121</v>
      </c>
      <c r="AK1346" s="246">
        <f>IFERROR(VLOOKUP(I1346,PROGRAMAS[],3,FALSE),0)</f>
        <v>31865326.38096505</v>
      </c>
      <c r="AL1346" s="246">
        <f>IFERROR(VLOOKUP(J1346,PROGRAMAS[],3,FALSE),0)</f>
        <v>118617452.52510804</v>
      </c>
      <c r="AM1346" s="246">
        <f>IFERROR(VLOOKUP(K1346,PROGRAMAS[],3,FALSE),0)</f>
        <v>2406564599.0319901</v>
      </c>
      <c r="AN1346" s="246">
        <f>IFERROR(VLOOKUP(L1346,PROGRAMAS[],3,FALSE),0)</f>
        <v>948595847.09039903</v>
      </c>
      <c r="AO1346" s="246">
        <f>IFERROR(VLOOKUP(M1346,PROGRAMAS[],3,FALSE),0)</f>
        <v>0</v>
      </c>
      <c r="AP1346" s="246">
        <f>IFERROR(VLOOKUP(N1346,PROGRAMAS[],3,FALSE),0)</f>
        <v>0</v>
      </c>
      <c r="AQ1346" s="246">
        <f>IFERROR(VLOOKUP(O1346,PROGRAMAS[],3,FALSE),0)</f>
        <v>0</v>
      </c>
      <c r="AR1346" s="246">
        <f>IFERROR(VLOOKUP(P1346,PROGRAMAS[],3,FALSE),0)</f>
        <v>0</v>
      </c>
      <c r="AS1346" s="246">
        <f>IFERROR(VLOOKUP(Q1346,PROGRAMAS[],3,FALSE),0)</f>
        <v>0</v>
      </c>
      <c r="AT1346" s="246">
        <f>IFERROR(VLOOKUP(D1346,VOL_REC[],2,FALSE),0)</f>
        <v>0</v>
      </c>
      <c r="AU1346" s="246">
        <f>IFERROR(VLOOKUP(E1346,VOL_REC[],2,FALSE),0)</f>
        <v>0</v>
      </c>
      <c r="AV1346" s="246">
        <f>IFERROR(VLOOKUP(F1346,VOL_REC[],2,FALSE),0)</f>
        <v>11089674.200000001</v>
      </c>
      <c r="AW1346" s="246">
        <f>IFERROR(VLOOKUP(G1346,VOL_REC[],2,FALSE),0)</f>
        <v>4325103.1812214684</v>
      </c>
      <c r="AX1346" s="246">
        <f>IFERROR(VLOOKUP(H1346,VOL_REC[],2,FALSE),0)</f>
        <v>15540036.397699751</v>
      </c>
      <c r="AY1346" s="246">
        <f>IFERROR(VLOOKUP(I1346,VOL_REC[],2,FALSE),0)</f>
        <v>17074.045034105649</v>
      </c>
      <c r="AZ1346" s="246">
        <f>IFERROR(VLOOKUP(J1346,VOL_REC[],2,FALSE),0)</f>
        <v>105072</v>
      </c>
      <c r="BA1346" s="246">
        <f>IFERROR(VLOOKUP(K1346,VOL_REC[],2,FALSE),0)</f>
        <v>1072354.9981737854</v>
      </c>
      <c r="BB1346" s="246">
        <f>IFERROR(VLOOKUP(L1346,VOL_REC[],2,FALSE),0)</f>
        <v>740113.98115702497</v>
      </c>
      <c r="BC1346" s="246">
        <f>IFERROR(VLOOKUP(M1346,VOL_REC[],2,FALSE),0)</f>
        <v>0</v>
      </c>
      <c r="BD1346" s="246">
        <f>IFERROR(VLOOKUP(N1346,VOL_REC[],2,FALSE),0)</f>
        <v>0</v>
      </c>
      <c r="BE1346" s="246">
        <f>IFERROR(VLOOKUP(O1346,VOL_REC[],2,FALSE),0)</f>
        <v>0</v>
      </c>
      <c r="BF1346" s="246">
        <f>IFERROR(VLOOKUP(P1346,VOL_REC[],2,FALSE),0)</f>
        <v>0</v>
      </c>
      <c r="BG1346" s="246">
        <f>IFERROR(VLOOKUP(Q1346,VOL_REC[],2,FALSE),0)</f>
        <v>0</v>
      </c>
      <c r="BH1346" s="1710">
        <f t="shared" ref="BH1346:BH1409" si="84">SUM(R1346:AE1346)</f>
        <v>21286117518.785725</v>
      </c>
      <c r="BI1346" s="1710">
        <f t="shared" ref="BI1346:BI1409" si="85">SUM(AF1346:AS1346)</f>
        <v>18954821438.743828</v>
      </c>
      <c r="BJ1346" s="1711">
        <f t="shared" ref="BJ1346:BJ1409" si="86">SUM(AT1346:BG1346)</f>
        <v>32889428.803286135</v>
      </c>
      <c r="BK1346" s="1711">
        <f t="shared" ref="BK1346:BK1409" si="87">IFERROR(BH1346/BI1346,0)</f>
        <v>1.122992246989819</v>
      </c>
      <c r="BL1346">
        <f>BJ1346</f>
        <v>32889428.803286135</v>
      </c>
      <c r="BO1346">
        <f>BL1346</f>
        <v>32889428.803286135</v>
      </c>
    </row>
    <row r="1347" spans="3:67" x14ac:dyDescent="0.25">
      <c r="C1347" s="246" t="s">
        <v>2697</v>
      </c>
      <c r="D1347" s="246">
        <v>1</v>
      </c>
      <c r="E1347" s="246">
        <v>2</v>
      </c>
      <c r="F1347" s="246">
        <v>3</v>
      </c>
      <c r="G1347" s="246">
        <v>5</v>
      </c>
      <c r="H1347" s="246">
        <v>9</v>
      </c>
      <c r="I1347" s="246">
        <v>10</v>
      </c>
      <c r="J1347" s="246">
        <v>12</v>
      </c>
      <c r="K1347" s="246">
        <v>13</v>
      </c>
      <c r="L1347" s="246">
        <v>14</v>
      </c>
      <c r="M1347" s="246"/>
      <c r="N1347" s="246"/>
      <c r="O1347" s="246"/>
      <c r="P1347" s="246"/>
      <c r="Q1347" s="246"/>
      <c r="R1347" s="246">
        <f>IFERROR(VLOOKUP(D1347,PROGRAMAS[],2,FALSE),0)</f>
        <v>97037803.679377079</v>
      </c>
      <c r="S1347" s="246">
        <f>IFERROR(VLOOKUP(E1347,PROGRAMAS[],2,FALSE),0)</f>
        <v>640501509.6821388</v>
      </c>
      <c r="T1347" s="246">
        <f>IFERROR(VLOOKUP(F1347,PROGRAMAS[],2,FALSE),0)</f>
        <v>3062327798.1525245</v>
      </c>
      <c r="U1347" s="246">
        <f>IFERROR(VLOOKUP(G1347,PROGRAMAS[],2,FALSE),0)</f>
        <v>1440941976.2528784</v>
      </c>
      <c r="V1347" s="246">
        <f>IFERROR(VLOOKUP(H1347,PROGRAMAS[],2,FALSE),0)</f>
        <v>6128579952.1618185</v>
      </c>
      <c r="W1347" s="246">
        <f>IFERROR(VLOOKUP(I1347,PROGRAMAS[],2,FALSE),0)</f>
        <v>4635315027.8751087</v>
      </c>
      <c r="X1347" s="246">
        <f>IFERROR(VLOOKUP(J1347,PROGRAMAS[],2,FALSE),0)</f>
        <v>764796700.79905891</v>
      </c>
      <c r="Y1347" s="246">
        <f>IFERROR(VLOOKUP(K1347,PROGRAMAS[],2,FALSE),0)</f>
        <v>3776538594.4604583</v>
      </c>
      <c r="Z1347" s="246">
        <f>IFERROR(VLOOKUP(L1347,PROGRAMAS[],2,FALSE),0)</f>
        <v>54223862.645839565</v>
      </c>
      <c r="AA1347" s="246">
        <f>IFERROR(VLOOKUP(M1347,PROGRAMAS[],2,FALSE),0)</f>
        <v>0</v>
      </c>
      <c r="AB1347" s="246">
        <f>IFERROR(VLOOKUP(N1347,PROGRAMAS[],2,FALSE),0)</f>
        <v>0</v>
      </c>
      <c r="AC1347" s="246">
        <f>IFERROR(VLOOKUP(O1347,PROGRAMAS[],2,FALSE),0)</f>
        <v>0</v>
      </c>
      <c r="AD1347" s="246">
        <f>IFERROR(VLOOKUP(P1347,PROGRAMAS[],2,FALSE),0)</f>
        <v>0</v>
      </c>
      <c r="AE1347" s="246">
        <f>IFERROR(VLOOKUP(Q1347,PROGRAMAS[],2,FALSE),0)</f>
        <v>0</v>
      </c>
      <c r="AF1347" s="246">
        <f>IFERROR(VLOOKUP(D1347,PROGRAMAS[],3,FALSE),0)</f>
        <v>841888629.31080008</v>
      </c>
      <c r="AG1347" s="246">
        <f>IFERROR(VLOOKUP(E1347,PROGRAMAS[],3,FALSE),0)</f>
        <v>3848980803.1642323</v>
      </c>
      <c r="AH1347" s="246">
        <f>IFERROR(VLOOKUP(F1347,PROGRAMAS[],3,FALSE),0)</f>
        <v>3394901471.387517</v>
      </c>
      <c r="AI1347" s="246">
        <f>IFERROR(VLOOKUP(G1347,PROGRAMAS[],3,FALSE),0)</f>
        <v>1233505101.0616004</v>
      </c>
      <c r="AJ1347" s="246">
        <f>IFERROR(VLOOKUP(H1347,PROGRAMAS[],3,FALSE),0)</f>
        <v>7011279577.519702</v>
      </c>
      <c r="AK1347" s="246">
        <f>IFERROR(VLOOKUP(I1347,PROGRAMAS[],3,FALSE),0)</f>
        <v>4099471734.9978786</v>
      </c>
      <c r="AL1347" s="246">
        <f>IFERROR(VLOOKUP(J1347,PROGRAMAS[],3,FALSE),0)</f>
        <v>675517840.109828</v>
      </c>
      <c r="AM1347" s="246">
        <f>IFERROR(VLOOKUP(K1347,PROGRAMAS[],3,FALSE),0)</f>
        <v>2392571243.5584412</v>
      </c>
      <c r="AN1347" s="246">
        <f>IFERROR(VLOOKUP(L1347,PROGRAMAS[],3,FALSE),0)</f>
        <v>31865326.38096505</v>
      </c>
      <c r="AO1347" s="246">
        <f>IFERROR(VLOOKUP(M1347,PROGRAMAS[],3,FALSE),0)</f>
        <v>0</v>
      </c>
      <c r="AP1347" s="246">
        <f>IFERROR(VLOOKUP(N1347,PROGRAMAS[],3,FALSE),0)</f>
        <v>0</v>
      </c>
      <c r="AQ1347" s="246">
        <f>IFERROR(VLOOKUP(O1347,PROGRAMAS[],3,FALSE),0)</f>
        <v>0</v>
      </c>
      <c r="AR1347" s="246">
        <f>IFERROR(VLOOKUP(P1347,PROGRAMAS[],3,FALSE),0)</f>
        <v>0</v>
      </c>
      <c r="AS1347" s="246">
        <f>IFERROR(VLOOKUP(Q1347,PROGRAMAS[],3,FALSE),0)</f>
        <v>0</v>
      </c>
      <c r="AT1347" s="246">
        <f>IFERROR(VLOOKUP(D1347,VOL_REC[],2,FALSE),0)</f>
        <v>0</v>
      </c>
      <c r="AU1347" s="246">
        <f>IFERROR(VLOOKUP(E1347,VOL_REC[],2,FALSE),0)</f>
        <v>0</v>
      </c>
      <c r="AV1347" s="246">
        <f>IFERROR(VLOOKUP(F1347,VOL_REC[],2,FALSE),0)</f>
        <v>11089674.200000001</v>
      </c>
      <c r="AW1347" s="246">
        <f>IFERROR(VLOOKUP(G1347,VOL_REC[],2,FALSE),0)</f>
        <v>4325103.1812214684</v>
      </c>
      <c r="AX1347" s="246">
        <f>IFERROR(VLOOKUP(H1347,VOL_REC[],2,FALSE),0)</f>
        <v>3761786</v>
      </c>
      <c r="AY1347" s="246">
        <f>IFERROR(VLOOKUP(I1347,VOL_REC[],2,FALSE),0)</f>
        <v>1812240</v>
      </c>
      <c r="AZ1347" s="246">
        <f>IFERROR(VLOOKUP(J1347,VOL_REC[],2,FALSE),0)</f>
        <v>240696.79238099116</v>
      </c>
      <c r="BA1347" s="246">
        <f>IFERROR(VLOOKUP(K1347,VOL_REC[],2,FALSE),0)</f>
        <v>663244.80000000016</v>
      </c>
      <c r="BB1347" s="246">
        <f>IFERROR(VLOOKUP(L1347,VOL_REC[],2,FALSE),0)</f>
        <v>17074.045034105649</v>
      </c>
      <c r="BC1347" s="246">
        <f>IFERROR(VLOOKUP(M1347,VOL_REC[],2,FALSE),0)</f>
        <v>0</v>
      </c>
      <c r="BD1347" s="246">
        <f>IFERROR(VLOOKUP(N1347,VOL_REC[],2,FALSE),0)</f>
        <v>0</v>
      </c>
      <c r="BE1347" s="246">
        <f>IFERROR(VLOOKUP(O1347,VOL_REC[],2,FALSE),0)</f>
        <v>0</v>
      </c>
      <c r="BF1347" s="246">
        <f>IFERROR(VLOOKUP(P1347,VOL_REC[],2,FALSE),0)</f>
        <v>0</v>
      </c>
      <c r="BG1347" s="246">
        <f>IFERROR(VLOOKUP(Q1347,VOL_REC[],2,FALSE),0)</f>
        <v>0</v>
      </c>
      <c r="BH1347" s="1710">
        <f t="shared" si="84"/>
        <v>20600263225.709202</v>
      </c>
      <c r="BI1347" s="1710">
        <f t="shared" si="85"/>
        <v>23529981727.490967</v>
      </c>
      <c r="BJ1347" s="1711">
        <f t="shared" si="86"/>
        <v>21909819.018636569</v>
      </c>
      <c r="BK1347" s="1711">
        <f t="shared" si="87"/>
        <v>0.87548997973258669</v>
      </c>
    </row>
    <row r="1348" spans="3:67" x14ac:dyDescent="0.25">
      <c r="C1348" s="246" t="s">
        <v>2698</v>
      </c>
      <c r="D1348" s="246">
        <v>1</v>
      </c>
      <c r="E1348" s="246">
        <v>2</v>
      </c>
      <c r="F1348" s="246">
        <v>3</v>
      </c>
      <c r="G1348" s="246">
        <v>5</v>
      </c>
      <c r="H1348" s="246">
        <v>9</v>
      </c>
      <c r="I1348" s="246">
        <v>10</v>
      </c>
      <c r="J1348" s="246">
        <v>12</v>
      </c>
      <c r="K1348" s="246">
        <v>13</v>
      </c>
      <c r="L1348" s="246">
        <v>15</v>
      </c>
      <c r="M1348" s="246"/>
      <c r="N1348" s="246"/>
      <c r="O1348" s="246"/>
      <c r="P1348" s="246"/>
      <c r="Q1348" s="246"/>
      <c r="R1348" s="246">
        <f>IFERROR(VLOOKUP(D1348,PROGRAMAS[],2,FALSE),0)</f>
        <v>97037803.679377079</v>
      </c>
      <c r="S1348" s="246">
        <f>IFERROR(VLOOKUP(E1348,PROGRAMAS[],2,FALSE),0)</f>
        <v>640501509.6821388</v>
      </c>
      <c r="T1348" s="246">
        <f>IFERROR(VLOOKUP(F1348,PROGRAMAS[],2,FALSE),0)</f>
        <v>3062327798.1525245</v>
      </c>
      <c r="U1348" s="246">
        <f>IFERROR(VLOOKUP(G1348,PROGRAMAS[],2,FALSE),0)</f>
        <v>1440941976.2528784</v>
      </c>
      <c r="V1348" s="246">
        <f>IFERROR(VLOOKUP(H1348,PROGRAMAS[],2,FALSE),0)</f>
        <v>6128579952.1618185</v>
      </c>
      <c r="W1348" s="246">
        <f>IFERROR(VLOOKUP(I1348,PROGRAMAS[],2,FALSE),0)</f>
        <v>4635315027.8751087</v>
      </c>
      <c r="X1348" s="246">
        <f>IFERROR(VLOOKUP(J1348,PROGRAMAS[],2,FALSE),0)</f>
        <v>764796700.79905891</v>
      </c>
      <c r="Y1348" s="246">
        <f>IFERROR(VLOOKUP(K1348,PROGRAMAS[],2,FALSE),0)</f>
        <v>3776538594.4604583</v>
      </c>
      <c r="Z1348" s="246">
        <f>IFERROR(VLOOKUP(L1348,PROGRAMAS[],2,FALSE),0)</f>
        <v>122159672.96346797</v>
      </c>
      <c r="AA1348" s="246">
        <f>IFERROR(VLOOKUP(M1348,PROGRAMAS[],2,FALSE),0)</f>
        <v>0</v>
      </c>
      <c r="AB1348" s="246">
        <f>IFERROR(VLOOKUP(N1348,PROGRAMAS[],2,FALSE),0)</f>
        <v>0</v>
      </c>
      <c r="AC1348" s="246">
        <f>IFERROR(VLOOKUP(O1348,PROGRAMAS[],2,FALSE),0)</f>
        <v>0</v>
      </c>
      <c r="AD1348" s="246">
        <f>IFERROR(VLOOKUP(P1348,PROGRAMAS[],2,FALSE),0)</f>
        <v>0</v>
      </c>
      <c r="AE1348" s="246">
        <f>IFERROR(VLOOKUP(Q1348,PROGRAMAS[],2,FALSE),0)</f>
        <v>0</v>
      </c>
      <c r="AF1348" s="246">
        <f>IFERROR(VLOOKUP(D1348,PROGRAMAS[],3,FALSE),0)</f>
        <v>841888629.31080008</v>
      </c>
      <c r="AG1348" s="246">
        <f>IFERROR(VLOOKUP(E1348,PROGRAMAS[],3,FALSE),0)</f>
        <v>3848980803.1642323</v>
      </c>
      <c r="AH1348" s="246">
        <f>IFERROR(VLOOKUP(F1348,PROGRAMAS[],3,FALSE),0)</f>
        <v>3394901471.387517</v>
      </c>
      <c r="AI1348" s="246">
        <f>IFERROR(VLOOKUP(G1348,PROGRAMAS[],3,FALSE),0)</f>
        <v>1233505101.0616004</v>
      </c>
      <c r="AJ1348" s="246">
        <f>IFERROR(VLOOKUP(H1348,PROGRAMAS[],3,FALSE),0)</f>
        <v>7011279577.519702</v>
      </c>
      <c r="AK1348" s="246">
        <f>IFERROR(VLOOKUP(I1348,PROGRAMAS[],3,FALSE),0)</f>
        <v>4099471734.9978786</v>
      </c>
      <c r="AL1348" s="246">
        <f>IFERROR(VLOOKUP(J1348,PROGRAMAS[],3,FALSE),0)</f>
        <v>675517840.109828</v>
      </c>
      <c r="AM1348" s="246">
        <f>IFERROR(VLOOKUP(K1348,PROGRAMAS[],3,FALSE),0)</f>
        <v>2392571243.5584412</v>
      </c>
      <c r="AN1348" s="246">
        <f>IFERROR(VLOOKUP(L1348,PROGRAMAS[],3,FALSE),0)</f>
        <v>118617452.52510804</v>
      </c>
      <c r="AO1348" s="246">
        <f>IFERROR(VLOOKUP(M1348,PROGRAMAS[],3,FALSE),0)</f>
        <v>0</v>
      </c>
      <c r="AP1348" s="246">
        <f>IFERROR(VLOOKUP(N1348,PROGRAMAS[],3,FALSE),0)</f>
        <v>0</v>
      </c>
      <c r="AQ1348" s="246">
        <f>IFERROR(VLOOKUP(O1348,PROGRAMAS[],3,FALSE),0)</f>
        <v>0</v>
      </c>
      <c r="AR1348" s="246">
        <f>IFERROR(VLOOKUP(P1348,PROGRAMAS[],3,FALSE),0)</f>
        <v>0</v>
      </c>
      <c r="AS1348" s="246">
        <f>IFERROR(VLOOKUP(Q1348,PROGRAMAS[],3,FALSE),0)</f>
        <v>0</v>
      </c>
      <c r="AT1348" s="246">
        <f>IFERROR(VLOOKUP(D1348,VOL_REC[],2,FALSE),0)</f>
        <v>0</v>
      </c>
      <c r="AU1348" s="246">
        <f>IFERROR(VLOOKUP(E1348,VOL_REC[],2,FALSE),0)</f>
        <v>0</v>
      </c>
      <c r="AV1348" s="246">
        <f>IFERROR(VLOOKUP(F1348,VOL_REC[],2,FALSE),0)</f>
        <v>11089674.200000001</v>
      </c>
      <c r="AW1348" s="246">
        <f>IFERROR(VLOOKUP(G1348,VOL_REC[],2,FALSE),0)</f>
        <v>4325103.1812214684</v>
      </c>
      <c r="AX1348" s="246">
        <f>IFERROR(VLOOKUP(H1348,VOL_REC[],2,FALSE),0)</f>
        <v>3761786</v>
      </c>
      <c r="AY1348" s="246">
        <f>IFERROR(VLOOKUP(I1348,VOL_REC[],2,FALSE),0)</f>
        <v>1812240</v>
      </c>
      <c r="AZ1348" s="246">
        <f>IFERROR(VLOOKUP(J1348,VOL_REC[],2,FALSE),0)</f>
        <v>240696.79238099116</v>
      </c>
      <c r="BA1348" s="246">
        <f>IFERROR(VLOOKUP(K1348,VOL_REC[],2,FALSE),0)</f>
        <v>663244.80000000016</v>
      </c>
      <c r="BB1348" s="246">
        <f>IFERROR(VLOOKUP(L1348,VOL_REC[],2,FALSE),0)</f>
        <v>105072</v>
      </c>
      <c r="BC1348" s="246">
        <f>IFERROR(VLOOKUP(M1348,VOL_REC[],2,FALSE),0)</f>
        <v>0</v>
      </c>
      <c r="BD1348" s="246">
        <f>IFERROR(VLOOKUP(N1348,VOL_REC[],2,FALSE),0)</f>
        <v>0</v>
      </c>
      <c r="BE1348" s="246">
        <f>IFERROR(VLOOKUP(O1348,VOL_REC[],2,FALSE),0)</f>
        <v>0</v>
      </c>
      <c r="BF1348" s="246">
        <f>IFERROR(VLOOKUP(P1348,VOL_REC[],2,FALSE),0)</f>
        <v>0</v>
      </c>
      <c r="BG1348" s="246">
        <f>IFERROR(VLOOKUP(Q1348,VOL_REC[],2,FALSE),0)</f>
        <v>0</v>
      </c>
      <c r="BH1348" s="1710">
        <f t="shared" si="84"/>
        <v>20668199036.026829</v>
      </c>
      <c r="BI1348" s="1710">
        <f t="shared" si="85"/>
        <v>23616733853.635109</v>
      </c>
      <c r="BJ1348" s="1711">
        <f t="shared" si="86"/>
        <v>21997816.973602463</v>
      </c>
      <c r="BK1348" s="1711">
        <f t="shared" si="87"/>
        <v>0.87515060990728666</v>
      </c>
    </row>
    <row r="1349" spans="3:67" x14ac:dyDescent="0.25">
      <c r="C1349" s="246" t="s">
        <v>2699</v>
      </c>
      <c r="D1349" s="246">
        <v>1</v>
      </c>
      <c r="E1349" s="246">
        <v>2</v>
      </c>
      <c r="F1349" s="246">
        <v>3</v>
      </c>
      <c r="G1349" s="246">
        <v>5</v>
      </c>
      <c r="H1349" s="246">
        <v>9</v>
      </c>
      <c r="I1349" s="246">
        <v>10</v>
      </c>
      <c r="J1349" s="246">
        <v>12</v>
      </c>
      <c r="K1349" s="246">
        <v>13</v>
      </c>
      <c r="L1349" s="246">
        <v>16</v>
      </c>
      <c r="M1349" s="246"/>
      <c r="N1349" s="246"/>
      <c r="O1349" s="246"/>
      <c r="P1349" s="246"/>
      <c r="Q1349" s="246"/>
      <c r="R1349" s="246">
        <f>IFERROR(VLOOKUP(D1349,PROGRAMAS[],2,FALSE),0)</f>
        <v>97037803.679377079</v>
      </c>
      <c r="S1349" s="246">
        <f>IFERROR(VLOOKUP(E1349,PROGRAMAS[],2,FALSE),0)</f>
        <v>640501509.6821388</v>
      </c>
      <c r="T1349" s="246">
        <f>IFERROR(VLOOKUP(F1349,PROGRAMAS[],2,FALSE),0)</f>
        <v>3062327798.1525245</v>
      </c>
      <c r="U1349" s="246">
        <f>IFERROR(VLOOKUP(G1349,PROGRAMAS[],2,FALSE),0)</f>
        <v>1440941976.2528784</v>
      </c>
      <c r="V1349" s="246">
        <f>IFERROR(VLOOKUP(H1349,PROGRAMAS[],2,FALSE),0)</f>
        <v>6128579952.1618185</v>
      </c>
      <c r="W1349" s="246">
        <f>IFERROR(VLOOKUP(I1349,PROGRAMAS[],2,FALSE),0)</f>
        <v>4635315027.8751087</v>
      </c>
      <c r="X1349" s="246">
        <f>IFERROR(VLOOKUP(J1349,PROGRAMAS[],2,FALSE),0)</f>
        <v>764796700.79905891</v>
      </c>
      <c r="Y1349" s="246">
        <f>IFERROR(VLOOKUP(K1349,PROGRAMAS[],2,FALSE),0)</f>
        <v>3776538594.4604583</v>
      </c>
      <c r="Z1349" s="246">
        <f>IFERROR(VLOOKUP(L1349,PROGRAMAS[],2,FALSE),0)</f>
        <v>7068496961.0436354</v>
      </c>
      <c r="AA1349" s="246">
        <f>IFERROR(VLOOKUP(M1349,PROGRAMAS[],2,FALSE),0)</f>
        <v>0</v>
      </c>
      <c r="AB1349" s="246">
        <f>IFERROR(VLOOKUP(N1349,PROGRAMAS[],2,FALSE),0)</f>
        <v>0</v>
      </c>
      <c r="AC1349" s="246">
        <f>IFERROR(VLOOKUP(O1349,PROGRAMAS[],2,FALSE),0)</f>
        <v>0</v>
      </c>
      <c r="AD1349" s="246">
        <f>IFERROR(VLOOKUP(P1349,PROGRAMAS[],2,FALSE),0)</f>
        <v>0</v>
      </c>
      <c r="AE1349" s="246">
        <f>IFERROR(VLOOKUP(Q1349,PROGRAMAS[],2,FALSE),0)</f>
        <v>0</v>
      </c>
      <c r="AF1349" s="246">
        <f>IFERROR(VLOOKUP(D1349,PROGRAMAS[],3,FALSE),0)</f>
        <v>841888629.31080008</v>
      </c>
      <c r="AG1349" s="246">
        <f>IFERROR(VLOOKUP(E1349,PROGRAMAS[],3,FALSE),0)</f>
        <v>3848980803.1642323</v>
      </c>
      <c r="AH1349" s="246">
        <f>IFERROR(VLOOKUP(F1349,PROGRAMAS[],3,FALSE),0)</f>
        <v>3394901471.387517</v>
      </c>
      <c r="AI1349" s="246">
        <f>IFERROR(VLOOKUP(G1349,PROGRAMAS[],3,FALSE),0)</f>
        <v>1233505101.0616004</v>
      </c>
      <c r="AJ1349" s="246">
        <f>IFERROR(VLOOKUP(H1349,PROGRAMAS[],3,FALSE),0)</f>
        <v>7011279577.519702</v>
      </c>
      <c r="AK1349" s="246">
        <f>IFERROR(VLOOKUP(I1349,PROGRAMAS[],3,FALSE),0)</f>
        <v>4099471734.9978786</v>
      </c>
      <c r="AL1349" s="246">
        <f>IFERROR(VLOOKUP(J1349,PROGRAMAS[],3,FALSE),0)</f>
        <v>675517840.109828</v>
      </c>
      <c r="AM1349" s="246">
        <f>IFERROR(VLOOKUP(K1349,PROGRAMAS[],3,FALSE),0)</f>
        <v>2392571243.5584412</v>
      </c>
      <c r="AN1349" s="246">
        <f>IFERROR(VLOOKUP(L1349,PROGRAMAS[],3,FALSE),0)</f>
        <v>2406564599.0319901</v>
      </c>
      <c r="AO1349" s="246">
        <f>IFERROR(VLOOKUP(M1349,PROGRAMAS[],3,FALSE),0)</f>
        <v>0</v>
      </c>
      <c r="AP1349" s="246">
        <f>IFERROR(VLOOKUP(N1349,PROGRAMAS[],3,FALSE),0)</f>
        <v>0</v>
      </c>
      <c r="AQ1349" s="246">
        <f>IFERROR(VLOOKUP(O1349,PROGRAMAS[],3,FALSE),0)</f>
        <v>0</v>
      </c>
      <c r="AR1349" s="246">
        <f>IFERROR(VLOOKUP(P1349,PROGRAMAS[],3,FALSE),0)</f>
        <v>0</v>
      </c>
      <c r="AS1349" s="246">
        <f>IFERROR(VLOOKUP(Q1349,PROGRAMAS[],3,FALSE),0)</f>
        <v>0</v>
      </c>
      <c r="AT1349" s="246">
        <f>IFERROR(VLOOKUP(D1349,VOL_REC[],2,FALSE),0)</f>
        <v>0</v>
      </c>
      <c r="AU1349" s="246">
        <f>IFERROR(VLOOKUP(E1349,VOL_REC[],2,FALSE),0)</f>
        <v>0</v>
      </c>
      <c r="AV1349" s="246">
        <f>IFERROR(VLOOKUP(F1349,VOL_REC[],2,FALSE),0)</f>
        <v>11089674.200000001</v>
      </c>
      <c r="AW1349" s="246">
        <f>IFERROR(VLOOKUP(G1349,VOL_REC[],2,FALSE),0)</f>
        <v>4325103.1812214684</v>
      </c>
      <c r="AX1349" s="246">
        <f>IFERROR(VLOOKUP(H1349,VOL_REC[],2,FALSE),0)</f>
        <v>3761786</v>
      </c>
      <c r="AY1349" s="246">
        <f>IFERROR(VLOOKUP(I1349,VOL_REC[],2,FALSE),0)</f>
        <v>1812240</v>
      </c>
      <c r="AZ1349" s="246">
        <f>IFERROR(VLOOKUP(J1349,VOL_REC[],2,FALSE),0)</f>
        <v>240696.79238099116</v>
      </c>
      <c r="BA1349" s="246">
        <f>IFERROR(VLOOKUP(K1349,VOL_REC[],2,FALSE),0)</f>
        <v>663244.80000000016</v>
      </c>
      <c r="BB1349" s="246">
        <f>IFERROR(VLOOKUP(L1349,VOL_REC[],2,FALSE),0)</f>
        <v>1072354.9981737854</v>
      </c>
      <c r="BC1349" s="246">
        <f>IFERROR(VLOOKUP(M1349,VOL_REC[],2,FALSE),0)</f>
        <v>0</v>
      </c>
      <c r="BD1349" s="246">
        <f>IFERROR(VLOOKUP(N1349,VOL_REC[],2,FALSE),0)</f>
        <v>0</v>
      </c>
      <c r="BE1349" s="246">
        <f>IFERROR(VLOOKUP(O1349,VOL_REC[],2,FALSE),0)</f>
        <v>0</v>
      </c>
      <c r="BF1349" s="246">
        <f>IFERROR(VLOOKUP(P1349,VOL_REC[],2,FALSE),0)</f>
        <v>0</v>
      </c>
      <c r="BG1349" s="246">
        <f>IFERROR(VLOOKUP(Q1349,VOL_REC[],2,FALSE),0)</f>
        <v>0</v>
      </c>
      <c r="BH1349" s="1710">
        <f t="shared" si="84"/>
        <v>27614536324.106998</v>
      </c>
      <c r="BI1349" s="1710">
        <f t="shared" si="85"/>
        <v>25904681000.141991</v>
      </c>
      <c r="BJ1349" s="1711">
        <f t="shared" si="86"/>
        <v>22965099.971776247</v>
      </c>
      <c r="BK1349" s="1711">
        <f t="shared" si="87"/>
        <v>1.0660056506372588</v>
      </c>
      <c r="BL1349">
        <f>BJ1349</f>
        <v>22965099.971776247</v>
      </c>
      <c r="BO1349">
        <f>BL1349</f>
        <v>22965099.971776247</v>
      </c>
    </row>
    <row r="1350" spans="3:67" x14ac:dyDescent="0.25">
      <c r="C1350" s="246" t="s">
        <v>2700</v>
      </c>
      <c r="D1350" s="246">
        <v>1</v>
      </c>
      <c r="E1350" s="246">
        <v>2</v>
      </c>
      <c r="F1350" s="246">
        <v>3</v>
      </c>
      <c r="G1350" s="246">
        <v>5</v>
      </c>
      <c r="H1350" s="246">
        <v>9</v>
      </c>
      <c r="I1350" s="246">
        <v>10</v>
      </c>
      <c r="J1350" s="246">
        <v>12</v>
      </c>
      <c r="K1350" s="246">
        <v>13</v>
      </c>
      <c r="L1350" s="246">
        <v>17</v>
      </c>
      <c r="M1350" s="246"/>
      <c r="N1350" s="246"/>
      <c r="O1350" s="246"/>
      <c r="P1350" s="246"/>
      <c r="Q1350" s="246"/>
      <c r="R1350" s="246">
        <f>IFERROR(VLOOKUP(D1350,PROGRAMAS[],2,FALSE),0)</f>
        <v>97037803.679377079</v>
      </c>
      <c r="S1350" s="246">
        <f>IFERROR(VLOOKUP(E1350,PROGRAMAS[],2,FALSE),0)</f>
        <v>640501509.6821388</v>
      </c>
      <c r="T1350" s="246">
        <f>IFERROR(VLOOKUP(F1350,PROGRAMAS[],2,FALSE),0)</f>
        <v>3062327798.1525245</v>
      </c>
      <c r="U1350" s="246">
        <f>IFERROR(VLOOKUP(G1350,PROGRAMAS[],2,FALSE),0)</f>
        <v>1440941976.2528784</v>
      </c>
      <c r="V1350" s="246">
        <f>IFERROR(VLOOKUP(H1350,PROGRAMAS[],2,FALSE),0)</f>
        <v>6128579952.1618185</v>
      </c>
      <c r="W1350" s="246">
        <f>IFERROR(VLOOKUP(I1350,PROGRAMAS[],2,FALSE),0)</f>
        <v>4635315027.8751087</v>
      </c>
      <c r="X1350" s="246">
        <f>IFERROR(VLOOKUP(J1350,PROGRAMAS[],2,FALSE),0)</f>
        <v>764796700.79905891</v>
      </c>
      <c r="Y1350" s="246">
        <f>IFERROR(VLOOKUP(K1350,PROGRAMAS[],2,FALSE),0)</f>
        <v>3776538594.4604583</v>
      </c>
      <c r="Z1350" s="246">
        <f>IFERROR(VLOOKUP(L1350,PROGRAMAS[],2,FALSE),0)</f>
        <v>1892779498.5211046</v>
      </c>
      <c r="AA1350" s="246">
        <f>IFERROR(VLOOKUP(M1350,PROGRAMAS[],2,FALSE),0)</f>
        <v>0</v>
      </c>
      <c r="AB1350" s="246">
        <f>IFERROR(VLOOKUP(N1350,PROGRAMAS[],2,FALSE),0)</f>
        <v>0</v>
      </c>
      <c r="AC1350" s="246">
        <f>IFERROR(VLOOKUP(O1350,PROGRAMAS[],2,FALSE),0)</f>
        <v>0</v>
      </c>
      <c r="AD1350" s="246">
        <f>IFERROR(VLOOKUP(P1350,PROGRAMAS[],2,FALSE),0)</f>
        <v>0</v>
      </c>
      <c r="AE1350" s="246">
        <f>IFERROR(VLOOKUP(Q1350,PROGRAMAS[],2,FALSE),0)</f>
        <v>0</v>
      </c>
      <c r="AF1350" s="246">
        <f>IFERROR(VLOOKUP(D1350,PROGRAMAS[],3,FALSE),0)</f>
        <v>841888629.31080008</v>
      </c>
      <c r="AG1350" s="246">
        <f>IFERROR(VLOOKUP(E1350,PROGRAMAS[],3,FALSE),0)</f>
        <v>3848980803.1642323</v>
      </c>
      <c r="AH1350" s="246">
        <f>IFERROR(VLOOKUP(F1350,PROGRAMAS[],3,FALSE),0)</f>
        <v>3394901471.387517</v>
      </c>
      <c r="AI1350" s="246">
        <f>IFERROR(VLOOKUP(G1350,PROGRAMAS[],3,FALSE),0)</f>
        <v>1233505101.0616004</v>
      </c>
      <c r="AJ1350" s="246">
        <f>IFERROR(VLOOKUP(H1350,PROGRAMAS[],3,FALSE),0)</f>
        <v>7011279577.519702</v>
      </c>
      <c r="AK1350" s="246">
        <f>IFERROR(VLOOKUP(I1350,PROGRAMAS[],3,FALSE),0)</f>
        <v>4099471734.9978786</v>
      </c>
      <c r="AL1350" s="246">
        <f>IFERROR(VLOOKUP(J1350,PROGRAMAS[],3,FALSE),0)</f>
        <v>675517840.109828</v>
      </c>
      <c r="AM1350" s="246">
        <f>IFERROR(VLOOKUP(K1350,PROGRAMAS[],3,FALSE),0)</f>
        <v>2392571243.5584412</v>
      </c>
      <c r="AN1350" s="246">
        <f>IFERROR(VLOOKUP(L1350,PROGRAMAS[],3,FALSE),0)</f>
        <v>948595847.09039903</v>
      </c>
      <c r="AO1350" s="246">
        <f>IFERROR(VLOOKUP(M1350,PROGRAMAS[],3,FALSE),0)</f>
        <v>0</v>
      </c>
      <c r="AP1350" s="246">
        <f>IFERROR(VLOOKUP(N1350,PROGRAMAS[],3,FALSE),0)</f>
        <v>0</v>
      </c>
      <c r="AQ1350" s="246">
        <f>IFERROR(VLOOKUP(O1350,PROGRAMAS[],3,FALSE),0)</f>
        <v>0</v>
      </c>
      <c r="AR1350" s="246">
        <f>IFERROR(VLOOKUP(P1350,PROGRAMAS[],3,FALSE),0)</f>
        <v>0</v>
      </c>
      <c r="AS1350" s="246">
        <f>IFERROR(VLOOKUP(Q1350,PROGRAMAS[],3,FALSE),0)</f>
        <v>0</v>
      </c>
      <c r="AT1350" s="246">
        <f>IFERROR(VLOOKUP(D1350,VOL_REC[],2,FALSE),0)</f>
        <v>0</v>
      </c>
      <c r="AU1350" s="246">
        <f>IFERROR(VLOOKUP(E1350,VOL_REC[],2,FALSE),0)</f>
        <v>0</v>
      </c>
      <c r="AV1350" s="246">
        <f>IFERROR(VLOOKUP(F1350,VOL_REC[],2,FALSE),0)</f>
        <v>11089674.200000001</v>
      </c>
      <c r="AW1350" s="246">
        <f>IFERROR(VLOOKUP(G1350,VOL_REC[],2,FALSE),0)</f>
        <v>4325103.1812214684</v>
      </c>
      <c r="AX1350" s="246">
        <f>IFERROR(VLOOKUP(H1350,VOL_REC[],2,FALSE),0)</f>
        <v>3761786</v>
      </c>
      <c r="AY1350" s="246">
        <f>IFERROR(VLOOKUP(I1350,VOL_REC[],2,FALSE),0)</f>
        <v>1812240</v>
      </c>
      <c r="AZ1350" s="246">
        <f>IFERROR(VLOOKUP(J1350,VOL_REC[],2,FALSE),0)</f>
        <v>240696.79238099116</v>
      </c>
      <c r="BA1350" s="246">
        <f>IFERROR(VLOOKUP(K1350,VOL_REC[],2,FALSE),0)</f>
        <v>663244.80000000016</v>
      </c>
      <c r="BB1350" s="246">
        <f>IFERROR(VLOOKUP(L1350,VOL_REC[],2,FALSE),0)</f>
        <v>740113.98115702497</v>
      </c>
      <c r="BC1350" s="246">
        <f>IFERROR(VLOOKUP(M1350,VOL_REC[],2,FALSE),0)</f>
        <v>0</v>
      </c>
      <c r="BD1350" s="246">
        <f>IFERROR(VLOOKUP(N1350,VOL_REC[],2,FALSE),0)</f>
        <v>0</v>
      </c>
      <c r="BE1350" s="246">
        <f>IFERROR(VLOOKUP(O1350,VOL_REC[],2,FALSE),0)</f>
        <v>0</v>
      </c>
      <c r="BF1350" s="246">
        <f>IFERROR(VLOOKUP(P1350,VOL_REC[],2,FALSE),0)</f>
        <v>0</v>
      </c>
      <c r="BG1350" s="246">
        <f>IFERROR(VLOOKUP(Q1350,VOL_REC[],2,FALSE),0)</f>
        <v>0</v>
      </c>
      <c r="BH1350" s="1710">
        <f t="shared" si="84"/>
        <v>22438818861.584465</v>
      </c>
      <c r="BI1350" s="1710">
        <f t="shared" si="85"/>
        <v>24446712248.200401</v>
      </c>
      <c r="BJ1350" s="1711">
        <f t="shared" si="86"/>
        <v>22632858.954759486</v>
      </c>
      <c r="BK1350" s="1711">
        <f t="shared" si="87"/>
        <v>0.91786652674476732</v>
      </c>
    </row>
    <row r="1351" spans="3:67" x14ac:dyDescent="0.25">
      <c r="C1351" s="246" t="s">
        <v>2701</v>
      </c>
      <c r="D1351" s="246">
        <v>1</v>
      </c>
      <c r="E1351" s="246">
        <v>2</v>
      </c>
      <c r="F1351" s="246">
        <v>3</v>
      </c>
      <c r="G1351" s="246">
        <v>5</v>
      </c>
      <c r="H1351" s="246">
        <v>9</v>
      </c>
      <c r="I1351" s="246">
        <v>10</v>
      </c>
      <c r="J1351" s="246">
        <v>12</v>
      </c>
      <c r="K1351" s="246">
        <v>14</v>
      </c>
      <c r="L1351" s="246">
        <v>15</v>
      </c>
      <c r="M1351" s="246"/>
      <c r="N1351" s="246"/>
      <c r="O1351" s="246"/>
      <c r="P1351" s="246"/>
      <c r="Q1351" s="246"/>
      <c r="R1351" s="246">
        <f>IFERROR(VLOOKUP(D1351,PROGRAMAS[],2,FALSE),0)</f>
        <v>97037803.679377079</v>
      </c>
      <c r="S1351" s="246">
        <f>IFERROR(VLOOKUP(E1351,PROGRAMAS[],2,FALSE),0)</f>
        <v>640501509.6821388</v>
      </c>
      <c r="T1351" s="246">
        <f>IFERROR(VLOOKUP(F1351,PROGRAMAS[],2,FALSE),0)</f>
        <v>3062327798.1525245</v>
      </c>
      <c r="U1351" s="246">
        <f>IFERROR(VLOOKUP(G1351,PROGRAMAS[],2,FALSE),0)</f>
        <v>1440941976.2528784</v>
      </c>
      <c r="V1351" s="246">
        <f>IFERROR(VLOOKUP(H1351,PROGRAMAS[],2,FALSE),0)</f>
        <v>6128579952.1618185</v>
      </c>
      <c r="W1351" s="246">
        <f>IFERROR(VLOOKUP(I1351,PROGRAMAS[],2,FALSE),0)</f>
        <v>4635315027.8751087</v>
      </c>
      <c r="X1351" s="246">
        <f>IFERROR(VLOOKUP(J1351,PROGRAMAS[],2,FALSE),0)</f>
        <v>764796700.79905891</v>
      </c>
      <c r="Y1351" s="246">
        <f>IFERROR(VLOOKUP(K1351,PROGRAMAS[],2,FALSE),0)</f>
        <v>54223862.645839565</v>
      </c>
      <c r="Z1351" s="246">
        <f>IFERROR(VLOOKUP(L1351,PROGRAMAS[],2,FALSE),0)</f>
        <v>122159672.96346797</v>
      </c>
      <c r="AA1351" s="246">
        <f>IFERROR(VLOOKUP(M1351,PROGRAMAS[],2,FALSE),0)</f>
        <v>0</v>
      </c>
      <c r="AB1351" s="246">
        <f>IFERROR(VLOOKUP(N1351,PROGRAMAS[],2,FALSE),0)</f>
        <v>0</v>
      </c>
      <c r="AC1351" s="246">
        <f>IFERROR(VLOOKUP(O1351,PROGRAMAS[],2,FALSE),0)</f>
        <v>0</v>
      </c>
      <c r="AD1351" s="246">
        <f>IFERROR(VLOOKUP(P1351,PROGRAMAS[],2,FALSE),0)</f>
        <v>0</v>
      </c>
      <c r="AE1351" s="246">
        <f>IFERROR(VLOOKUP(Q1351,PROGRAMAS[],2,FALSE),0)</f>
        <v>0</v>
      </c>
      <c r="AF1351" s="246">
        <f>IFERROR(VLOOKUP(D1351,PROGRAMAS[],3,FALSE),0)</f>
        <v>841888629.31080008</v>
      </c>
      <c r="AG1351" s="246">
        <f>IFERROR(VLOOKUP(E1351,PROGRAMAS[],3,FALSE),0)</f>
        <v>3848980803.1642323</v>
      </c>
      <c r="AH1351" s="246">
        <f>IFERROR(VLOOKUP(F1351,PROGRAMAS[],3,FALSE),0)</f>
        <v>3394901471.387517</v>
      </c>
      <c r="AI1351" s="246">
        <f>IFERROR(VLOOKUP(G1351,PROGRAMAS[],3,FALSE),0)</f>
        <v>1233505101.0616004</v>
      </c>
      <c r="AJ1351" s="246">
        <f>IFERROR(VLOOKUP(H1351,PROGRAMAS[],3,FALSE),0)</f>
        <v>7011279577.519702</v>
      </c>
      <c r="AK1351" s="246">
        <f>IFERROR(VLOOKUP(I1351,PROGRAMAS[],3,FALSE),0)</f>
        <v>4099471734.9978786</v>
      </c>
      <c r="AL1351" s="246">
        <f>IFERROR(VLOOKUP(J1351,PROGRAMAS[],3,FALSE),0)</f>
        <v>675517840.109828</v>
      </c>
      <c r="AM1351" s="246">
        <f>IFERROR(VLOOKUP(K1351,PROGRAMAS[],3,FALSE),0)</f>
        <v>31865326.38096505</v>
      </c>
      <c r="AN1351" s="246">
        <f>IFERROR(VLOOKUP(L1351,PROGRAMAS[],3,FALSE),0)</f>
        <v>118617452.52510804</v>
      </c>
      <c r="AO1351" s="246">
        <f>IFERROR(VLOOKUP(M1351,PROGRAMAS[],3,FALSE),0)</f>
        <v>0</v>
      </c>
      <c r="AP1351" s="246">
        <f>IFERROR(VLOOKUP(N1351,PROGRAMAS[],3,FALSE),0)</f>
        <v>0</v>
      </c>
      <c r="AQ1351" s="246">
        <f>IFERROR(VLOOKUP(O1351,PROGRAMAS[],3,FALSE),0)</f>
        <v>0</v>
      </c>
      <c r="AR1351" s="246">
        <f>IFERROR(VLOOKUP(P1351,PROGRAMAS[],3,FALSE),0)</f>
        <v>0</v>
      </c>
      <c r="AS1351" s="246">
        <f>IFERROR(VLOOKUP(Q1351,PROGRAMAS[],3,FALSE),0)</f>
        <v>0</v>
      </c>
      <c r="AT1351" s="246">
        <f>IFERROR(VLOOKUP(D1351,VOL_REC[],2,FALSE),0)</f>
        <v>0</v>
      </c>
      <c r="AU1351" s="246">
        <f>IFERROR(VLOOKUP(E1351,VOL_REC[],2,FALSE),0)</f>
        <v>0</v>
      </c>
      <c r="AV1351" s="246">
        <f>IFERROR(VLOOKUP(F1351,VOL_REC[],2,FALSE),0)</f>
        <v>11089674.200000001</v>
      </c>
      <c r="AW1351" s="246">
        <f>IFERROR(VLOOKUP(G1351,VOL_REC[],2,FALSE),0)</f>
        <v>4325103.1812214684</v>
      </c>
      <c r="AX1351" s="246">
        <f>IFERROR(VLOOKUP(H1351,VOL_REC[],2,FALSE),0)</f>
        <v>3761786</v>
      </c>
      <c r="AY1351" s="246">
        <f>IFERROR(VLOOKUP(I1351,VOL_REC[],2,FALSE),0)</f>
        <v>1812240</v>
      </c>
      <c r="AZ1351" s="246">
        <f>IFERROR(VLOOKUP(J1351,VOL_REC[],2,FALSE),0)</f>
        <v>240696.79238099116</v>
      </c>
      <c r="BA1351" s="246">
        <f>IFERROR(VLOOKUP(K1351,VOL_REC[],2,FALSE),0)</f>
        <v>17074.045034105649</v>
      </c>
      <c r="BB1351" s="246">
        <f>IFERROR(VLOOKUP(L1351,VOL_REC[],2,FALSE),0)</f>
        <v>105072</v>
      </c>
      <c r="BC1351" s="246">
        <f>IFERROR(VLOOKUP(M1351,VOL_REC[],2,FALSE),0)</f>
        <v>0</v>
      </c>
      <c r="BD1351" s="246">
        <f>IFERROR(VLOOKUP(N1351,VOL_REC[],2,FALSE),0)</f>
        <v>0</v>
      </c>
      <c r="BE1351" s="246">
        <f>IFERROR(VLOOKUP(O1351,VOL_REC[],2,FALSE),0)</f>
        <v>0</v>
      </c>
      <c r="BF1351" s="246">
        <f>IFERROR(VLOOKUP(P1351,VOL_REC[],2,FALSE),0)</f>
        <v>0</v>
      </c>
      <c r="BG1351" s="246">
        <f>IFERROR(VLOOKUP(Q1351,VOL_REC[],2,FALSE),0)</f>
        <v>0</v>
      </c>
      <c r="BH1351" s="1710">
        <f t="shared" si="84"/>
        <v>16945884304.212214</v>
      </c>
      <c r="BI1351" s="1710">
        <f t="shared" si="85"/>
        <v>21256027936.457634</v>
      </c>
      <c r="BJ1351" s="1711">
        <f t="shared" si="86"/>
        <v>21351646.218636569</v>
      </c>
      <c r="BK1351" s="1711">
        <f t="shared" si="87"/>
        <v>0.79722723148792984</v>
      </c>
    </row>
    <row r="1352" spans="3:67" x14ac:dyDescent="0.25">
      <c r="C1352" s="246" t="s">
        <v>2702</v>
      </c>
      <c r="D1352" s="246">
        <v>1</v>
      </c>
      <c r="E1352" s="246">
        <v>2</v>
      </c>
      <c r="F1352" s="246">
        <v>3</v>
      </c>
      <c r="G1352" s="246">
        <v>5</v>
      </c>
      <c r="H1352" s="246">
        <v>9</v>
      </c>
      <c r="I1352" s="246">
        <v>10</v>
      </c>
      <c r="J1352" s="246">
        <v>12</v>
      </c>
      <c r="K1352" s="246">
        <v>14</v>
      </c>
      <c r="L1352" s="246">
        <v>16</v>
      </c>
      <c r="M1352" s="246"/>
      <c r="N1352" s="246"/>
      <c r="O1352" s="246"/>
      <c r="P1352" s="246"/>
      <c r="Q1352" s="246"/>
      <c r="R1352" s="246">
        <f>IFERROR(VLOOKUP(D1352,PROGRAMAS[],2,FALSE),0)</f>
        <v>97037803.679377079</v>
      </c>
      <c r="S1352" s="246">
        <f>IFERROR(VLOOKUP(E1352,PROGRAMAS[],2,FALSE),0)</f>
        <v>640501509.6821388</v>
      </c>
      <c r="T1352" s="246">
        <f>IFERROR(VLOOKUP(F1352,PROGRAMAS[],2,FALSE),0)</f>
        <v>3062327798.1525245</v>
      </c>
      <c r="U1352" s="246">
        <f>IFERROR(VLOOKUP(G1352,PROGRAMAS[],2,FALSE),0)</f>
        <v>1440941976.2528784</v>
      </c>
      <c r="V1352" s="246">
        <f>IFERROR(VLOOKUP(H1352,PROGRAMAS[],2,FALSE),0)</f>
        <v>6128579952.1618185</v>
      </c>
      <c r="W1352" s="246">
        <f>IFERROR(VLOOKUP(I1352,PROGRAMAS[],2,FALSE),0)</f>
        <v>4635315027.8751087</v>
      </c>
      <c r="X1352" s="246">
        <f>IFERROR(VLOOKUP(J1352,PROGRAMAS[],2,FALSE),0)</f>
        <v>764796700.79905891</v>
      </c>
      <c r="Y1352" s="246">
        <f>IFERROR(VLOOKUP(K1352,PROGRAMAS[],2,FALSE),0)</f>
        <v>54223862.645839565</v>
      </c>
      <c r="Z1352" s="246">
        <f>IFERROR(VLOOKUP(L1352,PROGRAMAS[],2,FALSE),0)</f>
        <v>7068496961.0436354</v>
      </c>
      <c r="AA1352" s="246">
        <f>IFERROR(VLOOKUP(M1352,PROGRAMAS[],2,FALSE),0)</f>
        <v>0</v>
      </c>
      <c r="AB1352" s="246">
        <f>IFERROR(VLOOKUP(N1352,PROGRAMAS[],2,FALSE),0)</f>
        <v>0</v>
      </c>
      <c r="AC1352" s="246">
        <f>IFERROR(VLOOKUP(O1352,PROGRAMAS[],2,FALSE),0)</f>
        <v>0</v>
      </c>
      <c r="AD1352" s="246">
        <f>IFERROR(VLOOKUP(P1352,PROGRAMAS[],2,FALSE),0)</f>
        <v>0</v>
      </c>
      <c r="AE1352" s="246">
        <f>IFERROR(VLOOKUP(Q1352,PROGRAMAS[],2,FALSE),0)</f>
        <v>0</v>
      </c>
      <c r="AF1352" s="246">
        <f>IFERROR(VLOOKUP(D1352,PROGRAMAS[],3,FALSE),0)</f>
        <v>841888629.31080008</v>
      </c>
      <c r="AG1352" s="246">
        <f>IFERROR(VLOOKUP(E1352,PROGRAMAS[],3,FALSE),0)</f>
        <v>3848980803.1642323</v>
      </c>
      <c r="AH1352" s="246">
        <f>IFERROR(VLOOKUP(F1352,PROGRAMAS[],3,FALSE),0)</f>
        <v>3394901471.387517</v>
      </c>
      <c r="AI1352" s="246">
        <f>IFERROR(VLOOKUP(G1352,PROGRAMAS[],3,FALSE),0)</f>
        <v>1233505101.0616004</v>
      </c>
      <c r="AJ1352" s="246">
        <f>IFERROR(VLOOKUP(H1352,PROGRAMAS[],3,FALSE),0)</f>
        <v>7011279577.519702</v>
      </c>
      <c r="AK1352" s="246">
        <f>IFERROR(VLOOKUP(I1352,PROGRAMAS[],3,FALSE),0)</f>
        <v>4099471734.9978786</v>
      </c>
      <c r="AL1352" s="246">
        <f>IFERROR(VLOOKUP(J1352,PROGRAMAS[],3,FALSE),0)</f>
        <v>675517840.109828</v>
      </c>
      <c r="AM1352" s="246">
        <f>IFERROR(VLOOKUP(K1352,PROGRAMAS[],3,FALSE),0)</f>
        <v>31865326.38096505</v>
      </c>
      <c r="AN1352" s="246">
        <f>IFERROR(VLOOKUP(L1352,PROGRAMAS[],3,FALSE),0)</f>
        <v>2406564599.0319901</v>
      </c>
      <c r="AO1352" s="246">
        <f>IFERROR(VLOOKUP(M1352,PROGRAMAS[],3,FALSE),0)</f>
        <v>0</v>
      </c>
      <c r="AP1352" s="246">
        <f>IFERROR(VLOOKUP(N1352,PROGRAMAS[],3,FALSE),0)</f>
        <v>0</v>
      </c>
      <c r="AQ1352" s="246">
        <f>IFERROR(VLOOKUP(O1352,PROGRAMAS[],3,FALSE),0)</f>
        <v>0</v>
      </c>
      <c r="AR1352" s="246">
        <f>IFERROR(VLOOKUP(P1352,PROGRAMAS[],3,FALSE),0)</f>
        <v>0</v>
      </c>
      <c r="AS1352" s="246">
        <f>IFERROR(VLOOKUP(Q1352,PROGRAMAS[],3,FALSE),0)</f>
        <v>0</v>
      </c>
      <c r="AT1352" s="246">
        <f>IFERROR(VLOOKUP(D1352,VOL_REC[],2,FALSE),0)</f>
        <v>0</v>
      </c>
      <c r="AU1352" s="246">
        <f>IFERROR(VLOOKUP(E1352,VOL_REC[],2,FALSE),0)</f>
        <v>0</v>
      </c>
      <c r="AV1352" s="246">
        <f>IFERROR(VLOOKUP(F1352,VOL_REC[],2,FALSE),0)</f>
        <v>11089674.200000001</v>
      </c>
      <c r="AW1352" s="246">
        <f>IFERROR(VLOOKUP(G1352,VOL_REC[],2,FALSE),0)</f>
        <v>4325103.1812214684</v>
      </c>
      <c r="AX1352" s="246">
        <f>IFERROR(VLOOKUP(H1352,VOL_REC[],2,FALSE),0)</f>
        <v>3761786</v>
      </c>
      <c r="AY1352" s="246">
        <f>IFERROR(VLOOKUP(I1352,VOL_REC[],2,FALSE),0)</f>
        <v>1812240</v>
      </c>
      <c r="AZ1352" s="246">
        <f>IFERROR(VLOOKUP(J1352,VOL_REC[],2,FALSE),0)</f>
        <v>240696.79238099116</v>
      </c>
      <c r="BA1352" s="246">
        <f>IFERROR(VLOOKUP(K1352,VOL_REC[],2,FALSE),0)</f>
        <v>17074.045034105649</v>
      </c>
      <c r="BB1352" s="246">
        <f>IFERROR(VLOOKUP(L1352,VOL_REC[],2,FALSE),0)</f>
        <v>1072354.9981737854</v>
      </c>
      <c r="BC1352" s="246">
        <f>IFERROR(VLOOKUP(M1352,VOL_REC[],2,FALSE),0)</f>
        <v>0</v>
      </c>
      <c r="BD1352" s="246">
        <f>IFERROR(VLOOKUP(N1352,VOL_REC[],2,FALSE),0)</f>
        <v>0</v>
      </c>
      <c r="BE1352" s="246">
        <f>IFERROR(VLOOKUP(O1352,VOL_REC[],2,FALSE),0)</f>
        <v>0</v>
      </c>
      <c r="BF1352" s="246">
        <f>IFERROR(VLOOKUP(P1352,VOL_REC[],2,FALSE),0)</f>
        <v>0</v>
      </c>
      <c r="BG1352" s="246">
        <f>IFERROR(VLOOKUP(Q1352,VOL_REC[],2,FALSE),0)</f>
        <v>0</v>
      </c>
      <c r="BH1352" s="1710">
        <f t="shared" si="84"/>
        <v>23892221592.292381</v>
      </c>
      <c r="BI1352" s="1710">
        <f t="shared" si="85"/>
        <v>23543975082.964516</v>
      </c>
      <c r="BJ1352" s="1711">
        <f t="shared" si="86"/>
        <v>22318929.216810353</v>
      </c>
      <c r="BK1352" s="1711">
        <f t="shared" si="87"/>
        <v>1.0147913216906113</v>
      </c>
      <c r="BL1352">
        <f>BJ1352</f>
        <v>22318929.216810353</v>
      </c>
      <c r="BO1352">
        <f>BL1352</f>
        <v>22318929.216810353</v>
      </c>
    </row>
    <row r="1353" spans="3:67" x14ac:dyDescent="0.25">
      <c r="C1353" s="246" t="s">
        <v>2703</v>
      </c>
      <c r="D1353" s="246">
        <v>1</v>
      </c>
      <c r="E1353" s="246">
        <v>2</v>
      </c>
      <c r="F1353" s="246">
        <v>3</v>
      </c>
      <c r="G1353" s="246">
        <v>5</v>
      </c>
      <c r="H1353" s="246">
        <v>9</v>
      </c>
      <c r="I1353" s="246">
        <v>10</v>
      </c>
      <c r="J1353" s="246">
        <v>12</v>
      </c>
      <c r="K1353" s="246">
        <v>14</v>
      </c>
      <c r="L1353" s="246">
        <v>17</v>
      </c>
      <c r="M1353" s="246"/>
      <c r="N1353" s="246"/>
      <c r="O1353" s="246"/>
      <c r="P1353" s="246"/>
      <c r="Q1353" s="246"/>
      <c r="R1353" s="246">
        <f>IFERROR(VLOOKUP(D1353,PROGRAMAS[],2,FALSE),0)</f>
        <v>97037803.679377079</v>
      </c>
      <c r="S1353" s="246">
        <f>IFERROR(VLOOKUP(E1353,PROGRAMAS[],2,FALSE),0)</f>
        <v>640501509.6821388</v>
      </c>
      <c r="T1353" s="246">
        <f>IFERROR(VLOOKUP(F1353,PROGRAMAS[],2,FALSE),0)</f>
        <v>3062327798.1525245</v>
      </c>
      <c r="U1353" s="246">
        <f>IFERROR(VLOOKUP(G1353,PROGRAMAS[],2,FALSE),0)</f>
        <v>1440941976.2528784</v>
      </c>
      <c r="V1353" s="246">
        <f>IFERROR(VLOOKUP(H1353,PROGRAMAS[],2,FALSE),0)</f>
        <v>6128579952.1618185</v>
      </c>
      <c r="W1353" s="246">
        <f>IFERROR(VLOOKUP(I1353,PROGRAMAS[],2,FALSE),0)</f>
        <v>4635315027.8751087</v>
      </c>
      <c r="X1353" s="246">
        <f>IFERROR(VLOOKUP(J1353,PROGRAMAS[],2,FALSE),0)</f>
        <v>764796700.79905891</v>
      </c>
      <c r="Y1353" s="246">
        <f>IFERROR(VLOOKUP(K1353,PROGRAMAS[],2,FALSE),0)</f>
        <v>54223862.645839565</v>
      </c>
      <c r="Z1353" s="246">
        <f>IFERROR(VLOOKUP(L1353,PROGRAMAS[],2,FALSE),0)</f>
        <v>1892779498.5211046</v>
      </c>
      <c r="AA1353" s="246">
        <f>IFERROR(VLOOKUP(M1353,PROGRAMAS[],2,FALSE),0)</f>
        <v>0</v>
      </c>
      <c r="AB1353" s="246">
        <f>IFERROR(VLOOKUP(N1353,PROGRAMAS[],2,FALSE),0)</f>
        <v>0</v>
      </c>
      <c r="AC1353" s="246">
        <f>IFERROR(VLOOKUP(O1353,PROGRAMAS[],2,FALSE),0)</f>
        <v>0</v>
      </c>
      <c r="AD1353" s="246">
        <f>IFERROR(VLOOKUP(P1353,PROGRAMAS[],2,FALSE),0)</f>
        <v>0</v>
      </c>
      <c r="AE1353" s="246">
        <f>IFERROR(VLOOKUP(Q1353,PROGRAMAS[],2,FALSE),0)</f>
        <v>0</v>
      </c>
      <c r="AF1353" s="246">
        <f>IFERROR(VLOOKUP(D1353,PROGRAMAS[],3,FALSE),0)</f>
        <v>841888629.31080008</v>
      </c>
      <c r="AG1353" s="246">
        <f>IFERROR(VLOOKUP(E1353,PROGRAMAS[],3,FALSE),0)</f>
        <v>3848980803.1642323</v>
      </c>
      <c r="AH1353" s="246">
        <f>IFERROR(VLOOKUP(F1353,PROGRAMAS[],3,FALSE),0)</f>
        <v>3394901471.387517</v>
      </c>
      <c r="AI1353" s="246">
        <f>IFERROR(VLOOKUP(G1353,PROGRAMAS[],3,FALSE),0)</f>
        <v>1233505101.0616004</v>
      </c>
      <c r="AJ1353" s="246">
        <f>IFERROR(VLOOKUP(H1353,PROGRAMAS[],3,FALSE),0)</f>
        <v>7011279577.519702</v>
      </c>
      <c r="AK1353" s="246">
        <f>IFERROR(VLOOKUP(I1353,PROGRAMAS[],3,FALSE),0)</f>
        <v>4099471734.9978786</v>
      </c>
      <c r="AL1353" s="246">
        <f>IFERROR(VLOOKUP(J1353,PROGRAMAS[],3,FALSE),0)</f>
        <v>675517840.109828</v>
      </c>
      <c r="AM1353" s="246">
        <f>IFERROR(VLOOKUP(K1353,PROGRAMAS[],3,FALSE),0)</f>
        <v>31865326.38096505</v>
      </c>
      <c r="AN1353" s="246">
        <f>IFERROR(VLOOKUP(L1353,PROGRAMAS[],3,FALSE),0)</f>
        <v>948595847.09039903</v>
      </c>
      <c r="AO1353" s="246">
        <f>IFERROR(VLOOKUP(M1353,PROGRAMAS[],3,FALSE),0)</f>
        <v>0</v>
      </c>
      <c r="AP1353" s="246">
        <f>IFERROR(VLOOKUP(N1353,PROGRAMAS[],3,FALSE),0)</f>
        <v>0</v>
      </c>
      <c r="AQ1353" s="246">
        <f>IFERROR(VLOOKUP(O1353,PROGRAMAS[],3,FALSE),0)</f>
        <v>0</v>
      </c>
      <c r="AR1353" s="246">
        <f>IFERROR(VLOOKUP(P1353,PROGRAMAS[],3,FALSE),0)</f>
        <v>0</v>
      </c>
      <c r="AS1353" s="246">
        <f>IFERROR(VLOOKUP(Q1353,PROGRAMAS[],3,FALSE),0)</f>
        <v>0</v>
      </c>
      <c r="AT1353" s="246">
        <f>IFERROR(VLOOKUP(D1353,VOL_REC[],2,FALSE),0)</f>
        <v>0</v>
      </c>
      <c r="AU1353" s="246">
        <f>IFERROR(VLOOKUP(E1353,VOL_REC[],2,FALSE),0)</f>
        <v>0</v>
      </c>
      <c r="AV1353" s="246">
        <f>IFERROR(VLOOKUP(F1353,VOL_REC[],2,FALSE),0)</f>
        <v>11089674.200000001</v>
      </c>
      <c r="AW1353" s="246">
        <f>IFERROR(VLOOKUP(G1353,VOL_REC[],2,FALSE),0)</f>
        <v>4325103.1812214684</v>
      </c>
      <c r="AX1353" s="246">
        <f>IFERROR(VLOOKUP(H1353,VOL_REC[],2,FALSE),0)</f>
        <v>3761786</v>
      </c>
      <c r="AY1353" s="246">
        <f>IFERROR(VLOOKUP(I1353,VOL_REC[],2,FALSE),0)</f>
        <v>1812240</v>
      </c>
      <c r="AZ1353" s="246">
        <f>IFERROR(VLOOKUP(J1353,VOL_REC[],2,FALSE),0)</f>
        <v>240696.79238099116</v>
      </c>
      <c r="BA1353" s="246">
        <f>IFERROR(VLOOKUP(K1353,VOL_REC[],2,FALSE),0)</f>
        <v>17074.045034105649</v>
      </c>
      <c r="BB1353" s="246">
        <f>IFERROR(VLOOKUP(L1353,VOL_REC[],2,FALSE),0)</f>
        <v>740113.98115702497</v>
      </c>
      <c r="BC1353" s="246">
        <f>IFERROR(VLOOKUP(M1353,VOL_REC[],2,FALSE),0)</f>
        <v>0</v>
      </c>
      <c r="BD1353" s="246">
        <f>IFERROR(VLOOKUP(N1353,VOL_REC[],2,FALSE),0)</f>
        <v>0</v>
      </c>
      <c r="BE1353" s="246">
        <f>IFERROR(VLOOKUP(O1353,VOL_REC[],2,FALSE),0)</f>
        <v>0</v>
      </c>
      <c r="BF1353" s="246">
        <f>IFERROR(VLOOKUP(P1353,VOL_REC[],2,FALSE),0)</f>
        <v>0</v>
      </c>
      <c r="BG1353" s="246">
        <f>IFERROR(VLOOKUP(Q1353,VOL_REC[],2,FALSE),0)</f>
        <v>0</v>
      </c>
      <c r="BH1353" s="1710">
        <f t="shared" si="84"/>
        <v>18716504129.769848</v>
      </c>
      <c r="BI1353" s="1710">
        <f t="shared" si="85"/>
        <v>22086006331.022926</v>
      </c>
      <c r="BJ1353" s="1711">
        <f t="shared" si="86"/>
        <v>21986688.199793592</v>
      </c>
      <c r="BK1353" s="1711">
        <f t="shared" si="87"/>
        <v>0.84743723465658272</v>
      </c>
    </row>
    <row r="1354" spans="3:67" x14ac:dyDescent="0.25">
      <c r="C1354" s="246" t="s">
        <v>2704</v>
      </c>
      <c r="D1354" s="246">
        <v>1</v>
      </c>
      <c r="E1354" s="246">
        <v>2</v>
      </c>
      <c r="F1354" s="246">
        <v>3</v>
      </c>
      <c r="G1354" s="246">
        <v>5</v>
      </c>
      <c r="H1354" s="246">
        <v>9</v>
      </c>
      <c r="I1354" s="246">
        <v>10</v>
      </c>
      <c r="J1354" s="246">
        <v>12</v>
      </c>
      <c r="K1354" s="246">
        <v>15</v>
      </c>
      <c r="L1354" s="246">
        <v>16</v>
      </c>
      <c r="M1354" s="246"/>
      <c r="N1354" s="246"/>
      <c r="O1354" s="246"/>
      <c r="P1354" s="246"/>
      <c r="Q1354" s="246"/>
      <c r="R1354" s="246">
        <f>IFERROR(VLOOKUP(D1354,PROGRAMAS[],2,FALSE),0)</f>
        <v>97037803.679377079</v>
      </c>
      <c r="S1354" s="246">
        <f>IFERROR(VLOOKUP(E1354,PROGRAMAS[],2,FALSE),0)</f>
        <v>640501509.6821388</v>
      </c>
      <c r="T1354" s="246">
        <f>IFERROR(VLOOKUP(F1354,PROGRAMAS[],2,FALSE),0)</f>
        <v>3062327798.1525245</v>
      </c>
      <c r="U1354" s="246">
        <f>IFERROR(VLOOKUP(G1354,PROGRAMAS[],2,FALSE),0)</f>
        <v>1440941976.2528784</v>
      </c>
      <c r="V1354" s="246">
        <f>IFERROR(VLOOKUP(H1354,PROGRAMAS[],2,FALSE),0)</f>
        <v>6128579952.1618185</v>
      </c>
      <c r="W1354" s="246">
        <f>IFERROR(VLOOKUP(I1354,PROGRAMAS[],2,FALSE),0)</f>
        <v>4635315027.8751087</v>
      </c>
      <c r="X1354" s="246">
        <f>IFERROR(VLOOKUP(J1354,PROGRAMAS[],2,FALSE),0)</f>
        <v>764796700.79905891</v>
      </c>
      <c r="Y1354" s="246">
        <f>IFERROR(VLOOKUP(K1354,PROGRAMAS[],2,FALSE),0)</f>
        <v>122159672.96346797</v>
      </c>
      <c r="Z1354" s="246">
        <f>IFERROR(VLOOKUP(L1354,PROGRAMAS[],2,FALSE),0)</f>
        <v>7068496961.0436354</v>
      </c>
      <c r="AA1354" s="246">
        <f>IFERROR(VLOOKUP(M1354,PROGRAMAS[],2,FALSE),0)</f>
        <v>0</v>
      </c>
      <c r="AB1354" s="246">
        <f>IFERROR(VLOOKUP(N1354,PROGRAMAS[],2,FALSE),0)</f>
        <v>0</v>
      </c>
      <c r="AC1354" s="246">
        <f>IFERROR(VLOOKUP(O1354,PROGRAMAS[],2,FALSE),0)</f>
        <v>0</v>
      </c>
      <c r="AD1354" s="246">
        <f>IFERROR(VLOOKUP(P1354,PROGRAMAS[],2,FALSE),0)</f>
        <v>0</v>
      </c>
      <c r="AE1354" s="246">
        <f>IFERROR(VLOOKUP(Q1354,PROGRAMAS[],2,FALSE),0)</f>
        <v>0</v>
      </c>
      <c r="AF1354" s="246">
        <f>IFERROR(VLOOKUP(D1354,PROGRAMAS[],3,FALSE),0)</f>
        <v>841888629.31080008</v>
      </c>
      <c r="AG1354" s="246">
        <f>IFERROR(VLOOKUP(E1354,PROGRAMAS[],3,FALSE),0)</f>
        <v>3848980803.1642323</v>
      </c>
      <c r="AH1354" s="246">
        <f>IFERROR(VLOOKUP(F1354,PROGRAMAS[],3,FALSE),0)</f>
        <v>3394901471.387517</v>
      </c>
      <c r="AI1354" s="246">
        <f>IFERROR(VLOOKUP(G1354,PROGRAMAS[],3,FALSE),0)</f>
        <v>1233505101.0616004</v>
      </c>
      <c r="AJ1354" s="246">
        <f>IFERROR(VLOOKUP(H1354,PROGRAMAS[],3,FALSE),0)</f>
        <v>7011279577.519702</v>
      </c>
      <c r="AK1354" s="246">
        <f>IFERROR(VLOOKUP(I1354,PROGRAMAS[],3,FALSE),0)</f>
        <v>4099471734.9978786</v>
      </c>
      <c r="AL1354" s="246">
        <f>IFERROR(VLOOKUP(J1354,PROGRAMAS[],3,FALSE),0)</f>
        <v>675517840.109828</v>
      </c>
      <c r="AM1354" s="246">
        <f>IFERROR(VLOOKUP(K1354,PROGRAMAS[],3,FALSE),0)</f>
        <v>118617452.52510804</v>
      </c>
      <c r="AN1354" s="246">
        <f>IFERROR(VLOOKUP(L1354,PROGRAMAS[],3,FALSE),0)</f>
        <v>2406564599.0319901</v>
      </c>
      <c r="AO1354" s="246">
        <f>IFERROR(VLOOKUP(M1354,PROGRAMAS[],3,FALSE),0)</f>
        <v>0</v>
      </c>
      <c r="AP1354" s="246">
        <f>IFERROR(VLOOKUP(N1354,PROGRAMAS[],3,FALSE),0)</f>
        <v>0</v>
      </c>
      <c r="AQ1354" s="246">
        <f>IFERROR(VLOOKUP(O1354,PROGRAMAS[],3,FALSE),0)</f>
        <v>0</v>
      </c>
      <c r="AR1354" s="246">
        <f>IFERROR(VLOOKUP(P1354,PROGRAMAS[],3,FALSE),0)</f>
        <v>0</v>
      </c>
      <c r="AS1354" s="246">
        <f>IFERROR(VLOOKUP(Q1354,PROGRAMAS[],3,FALSE),0)</f>
        <v>0</v>
      </c>
      <c r="AT1354" s="246">
        <f>IFERROR(VLOOKUP(D1354,VOL_REC[],2,FALSE),0)</f>
        <v>0</v>
      </c>
      <c r="AU1354" s="246">
        <f>IFERROR(VLOOKUP(E1354,VOL_REC[],2,FALSE),0)</f>
        <v>0</v>
      </c>
      <c r="AV1354" s="246">
        <f>IFERROR(VLOOKUP(F1354,VOL_REC[],2,FALSE),0)</f>
        <v>11089674.200000001</v>
      </c>
      <c r="AW1354" s="246">
        <f>IFERROR(VLOOKUP(G1354,VOL_REC[],2,FALSE),0)</f>
        <v>4325103.1812214684</v>
      </c>
      <c r="AX1354" s="246">
        <f>IFERROR(VLOOKUP(H1354,VOL_REC[],2,FALSE),0)</f>
        <v>3761786</v>
      </c>
      <c r="AY1354" s="246">
        <f>IFERROR(VLOOKUP(I1354,VOL_REC[],2,FALSE),0)</f>
        <v>1812240</v>
      </c>
      <c r="AZ1354" s="246">
        <f>IFERROR(VLOOKUP(J1354,VOL_REC[],2,FALSE),0)</f>
        <v>240696.79238099116</v>
      </c>
      <c r="BA1354" s="246">
        <f>IFERROR(VLOOKUP(K1354,VOL_REC[],2,FALSE),0)</f>
        <v>105072</v>
      </c>
      <c r="BB1354" s="246">
        <f>IFERROR(VLOOKUP(L1354,VOL_REC[],2,FALSE),0)</f>
        <v>1072354.9981737854</v>
      </c>
      <c r="BC1354" s="246">
        <f>IFERROR(VLOOKUP(M1354,VOL_REC[],2,FALSE),0)</f>
        <v>0</v>
      </c>
      <c r="BD1354" s="246">
        <f>IFERROR(VLOOKUP(N1354,VOL_REC[],2,FALSE),0)</f>
        <v>0</v>
      </c>
      <c r="BE1354" s="246">
        <f>IFERROR(VLOOKUP(O1354,VOL_REC[],2,FALSE),0)</f>
        <v>0</v>
      </c>
      <c r="BF1354" s="246">
        <f>IFERROR(VLOOKUP(P1354,VOL_REC[],2,FALSE),0)</f>
        <v>0</v>
      </c>
      <c r="BG1354" s="246">
        <f>IFERROR(VLOOKUP(Q1354,VOL_REC[],2,FALSE),0)</f>
        <v>0</v>
      </c>
      <c r="BH1354" s="1710">
        <f t="shared" si="84"/>
        <v>23960157402.610008</v>
      </c>
      <c r="BI1354" s="1710">
        <f t="shared" si="85"/>
        <v>23630727209.108658</v>
      </c>
      <c r="BJ1354" s="1711">
        <f t="shared" si="86"/>
        <v>22406927.171776246</v>
      </c>
      <c r="BK1354" s="1711">
        <f t="shared" si="87"/>
        <v>1.013940755635077</v>
      </c>
      <c r="BL1354">
        <f>BJ1354</f>
        <v>22406927.171776246</v>
      </c>
      <c r="BO1354">
        <f>BL1354</f>
        <v>22406927.171776246</v>
      </c>
    </row>
    <row r="1355" spans="3:67" x14ac:dyDescent="0.25">
      <c r="C1355" s="246" t="s">
        <v>2705</v>
      </c>
      <c r="D1355" s="246">
        <v>1</v>
      </c>
      <c r="E1355" s="246">
        <v>2</v>
      </c>
      <c r="F1355" s="246">
        <v>3</v>
      </c>
      <c r="G1355" s="246">
        <v>5</v>
      </c>
      <c r="H1355" s="246">
        <v>9</v>
      </c>
      <c r="I1355" s="246">
        <v>10</v>
      </c>
      <c r="J1355" s="246">
        <v>12</v>
      </c>
      <c r="K1355" s="246">
        <v>15</v>
      </c>
      <c r="L1355" s="246">
        <v>17</v>
      </c>
      <c r="M1355" s="246"/>
      <c r="N1355" s="246"/>
      <c r="O1355" s="246"/>
      <c r="P1355" s="246"/>
      <c r="Q1355" s="246"/>
      <c r="R1355" s="246">
        <f>IFERROR(VLOOKUP(D1355,PROGRAMAS[],2,FALSE),0)</f>
        <v>97037803.679377079</v>
      </c>
      <c r="S1355" s="246">
        <f>IFERROR(VLOOKUP(E1355,PROGRAMAS[],2,FALSE),0)</f>
        <v>640501509.6821388</v>
      </c>
      <c r="T1355" s="246">
        <f>IFERROR(VLOOKUP(F1355,PROGRAMAS[],2,FALSE),0)</f>
        <v>3062327798.1525245</v>
      </c>
      <c r="U1355" s="246">
        <f>IFERROR(VLOOKUP(G1355,PROGRAMAS[],2,FALSE),0)</f>
        <v>1440941976.2528784</v>
      </c>
      <c r="V1355" s="246">
        <f>IFERROR(VLOOKUP(H1355,PROGRAMAS[],2,FALSE),0)</f>
        <v>6128579952.1618185</v>
      </c>
      <c r="W1355" s="246">
        <f>IFERROR(VLOOKUP(I1355,PROGRAMAS[],2,FALSE),0)</f>
        <v>4635315027.8751087</v>
      </c>
      <c r="X1355" s="246">
        <f>IFERROR(VLOOKUP(J1355,PROGRAMAS[],2,FALSE),0)</f>
        <v>764796700.79905891</v>
      </c>
      <c r="Y1355" s="246">
        <f>IFERROR(VLOOKUP(K1355,PROGRAMAS[],2,FALSE),0)</f>
        <v>122159672.96346797</v>
      </c>
      <c r="Z1355" s="246">
        <f>IFERROR(VLOOKUP(L1355,PROGRAMAS[],2,FALSE),0)</f>
        <v>1892779498.5211046</v>
      </c>
      <c r="AA1355" s="246">
        <f>IFERROR(VLOOKUP(M1355,PROGRAMAS[],2,FALSE),0)</f>
        <v>0</v>
      </c>
      <c r="AB1355" s="246">
        <f>IFERROR(VLOOKUP(N1355,PROGRAMAS[],2,FALSE),0)</f>
        <v>0</v>
      </c>
      <c r="AC1355" s="246">
        <f>IFERROR(VLOOKUP(O1355,PROGRAMAS[],2,FALSE),0)</f>
        <v>0</v>
      </c>
      <c r="AD1355" s="246">
        <f>IFERROR(VLOOKUP(P1355,PROGRAMAS[],2,FALSE),0)</f>
        <v>0</v>
      </c>
      <c r="AE1355" s="246">
        <f>IFERROR(VLOOKUP(Q1355,PROGRAMAS[],2,FALSE),0)</f>
        <v>0</v>
      </c>
      <c r="AF1355" s="246">
        <f>IFERROR(VLOOKUP(D1355,PROGRAMAS[],3,FALSE),0)</f>
        <v>841888629.31080008</v>
      </c>
      <c r="AG1355" s="246">
        <f>IFERROR(VLOOKUP(E1355,PROGRAMAS[],3,FALSE),0)</f>
        <v>3848980803.1642323</v>
      </c>
      <c r="AH1355" s="246">
        <f>IFERROR(VLOOKUP(F1355,PROGRAMAS[],3,FALSE),0)</f>
        <v>3394901471.387517</v>
      </c>
      <c r="AI1355" s="246">
        <f>IFERROR(VLOOKUP(G1355,PROGRAMAS[],3,FALSE),0)</f>
        <v>1233505101.0616004</v>
      </c>
      <c r="AJ1355" s="246">
        <f>IFERROR(VLOOKUP(H1355,PROGRAMAS[],3,FALSE),0)</f>
        <v>7011279577.519702</v>
      </c>
      <c r="AK1355" s="246">
        <f>IFERROR(VLOOKUP(I1355,PROGRAMAS[],3,FALSE),0)</f>
        <v>4099471734.9978786</v>
      </c>
      <c r="AL1355" s="246">
        <f>IFERROR(VLOOKUP(J1355,PROGRAMAS[],3,FALSE),0)</f>
        <v>675517840.109828</v>
      </c>
      <c r="AM1355" s="246">
        <f>IFERROR(VLOOKUP(K1355,PROGRAMAS[],3,FALSE),0)</f>
        <v>118617452.52510804</v>
      </c>
      <c r="AN1355" s="246">
        <f>IFERROR(VLOOKUP(L1355,PROGRAMAS[],3,FALSE),0)</f>
        <v>948595847.09039903</v>
      </c>
      <c r="AO1355" s="246">
        <f>IFERROR(VLOOKUP(M1355,PROGRAMAS[],3,FALSE),0)</f>
        <v>0</v>
      </c>
      <c r="AP1355" s="246">
        <f>IFERROR(VLOOKUP(N1355,PROGRAMAS[],3,FALSE),0)</f>
        <v>0</v>
      </c>
      <c r="AQ1355" s="246">
        <f>IFERROR(VLOOKUP(O1355,PROGRAMAS[],3,FALSE),0)</f>
        <v>0</v>
      </c>
      <c r="AR1355" s="246">
        <f>IFERROR(VLOOKUP(P1355,PROGRAMAS[],3,FALSE),0)</f>
        <v>0</v>
      </c>
      <c r="AS1355" s="246">
        <f>IFERROR(VLOOKUP(Q1355,PROGRAMAS[],3,FALSE),0)</f>
        <v>0</v>
      </c>
      <c r="AT1355" s="246">
        <f>IFERROR(VLOOKUP(D1355,VOL_REC[],2,FALSE),0)</f>
        <v>0</v>
      </c>
      <c r="AU1355" s="246">
        <f>IFERROR(VLOOKUP(E1355,VOL_REC[],2,FALSE),0)</f>
        <v>0</v>
      </c>
      <c r="AV1355" s="246">
        <f>IFERROR(VLOOKUP(F1355,VOL_REC[],2,FALSE),0)</f>
        <v>11089674.200000001</v>
      </c>
      <c r="AW1355" s="246">
        <f>IFERROR(VLOOKUP(G1355,VOL_REC[],2,FALSE),0)</f>
        <v>4325103.1812214684</v>
      </c>
      <c r="AX1355" s="246">
        <f>IFERROR(VLOOKUP(H1355,VOL_REC[],2,FALSE),0)</f>
        <v>3761786</v>
      </c>
      <c r="AY1355" s="246">
        <f>IFERROR(VLOOKUP(I1355,VOL_REC[],2,FALSE),0)</f>
        <v>1812240</v>
      </c>
      <c r="AZ1355" s="246">
        <f>IFERROR(VLOOKUP(J1355,VOL_REC[],2,FALSE),0)</f>
        <v>240696.79238099116</v>
      </c>
      <c r="BA1355" s="246">
        <f>IFERROR(VLOOKUP(K1355,VOL_REC[],2,FALSE),0)</f>
        <v>105072</v>
      </c>
      <c r="BB1355" s="246">
        <f>IFERROR(VLOOKUP(L1355,VOL_REC[],2,FALSE),0)</f>
        <v>740113.98115702497</v>
      </c>
      <c r="BC1355" s="246">
        <f>IFERROR(VLOOKUP(M1355,VOL_REC[],2,FALSE),0)</f>
        <v>0</v>
      </c>
      <c r="BD1355" s="246">
        <f>IFERROR(VLOOKUP(N1355,VOL_REC[],2,FALSE),0)</f>
        <v>0</v>
      </c>
      <c r="BE1355" s="246">
        <f>IFERROR(VLOOKUP(O1355,VOL_REC[],2,FALSE),0)</f>
        <v>0</v>
      </c>
      <c r="BF1355" s="246">
        <f>IFERROR(VLOOKUP(P1355,VOL_REC[],2,FALSE),0)</f>
        <v>0</v>
      </c>
      <c r="BG1355" s="246">
        <f>IFERROR(VLOOKUP(Q1355,VOL_REC[],2,FALSE),0)</f>
        <v>0</v>
      </c>
      <c r="BH1355" s="1710">
        <f t="shared" si="84"/>
        <v>18784439940.087479</v>
      </c>
      <c r="BI1355" s="1710">
        <f t="shared" si="85"/>
        <v>22172758457.167068</v>
      </c>
      <c r="BJ1355" s="1711">
        <f t="shared" si="86"/>
        <v>22074686.154759485</v>
      </c>
      <c r="BK1355" s="1711">
        <f t="shared" si="87"/>
        <v>0.84718552165599592</v>
      </c>
    </row>
    <row r="1356" spans="3:67" x14ac:dyDescent="0.25">
      <c r="C1356" s="246" t="s">
        <v>2706</v>
      </c>
      <c r="D1356" s="246">
        <v>1</v>
      </c>
      <c r="E1356" s="246">
        <v>2</v>
      </c>
      <c r="F1356" s="246">
        <v>3</v>
      </c>
      <c r="G1356" s="246">
        <v>5</v>
      </c>
      <c r="H1356" s="246">
        <v>9</v>
      </c>
      <c r="I1356" s="246">
        <v>10</v>
      </c>
      <c r="J1356" s="246">
        <v>12</v>
      </c>
      <c r="K1356" s="246">
        <v>16</v>
      </c>
      <c r="L1356" s="246">
        <v>17</v>
      </c>
      <c r="M1356" s="246"/>
      <c r="N1356" s="246"/>
      <c r="O1356" s="246"/>
      <c r="P1356" s="246"/>
      <c r="Q1356" s="246"/>
      <c r="R1356" s="246">
        <f>IFERROR(VLOOKUP(D1356,PROGRAMAS[],2,FALSE),0)</f>
        <v>97037803.679377079</v>
      </c>
      <c r="S1356" s="246">
        <f>IFERROR(VLOOKUP(E1356,PROGRAMAS[],2,FALSE),0)</f>
        <v>640501509.6821388</v>
      </c>
      <c r="T1356" s="246">
        <f>IFERROR(VLOOKUP(F1356,PROGRAMAS[],2,FALSE),0)</f>
        <v>3062327798.1525245</v>
      </c>
      <c r="U1356" s="246">
        <f>IFERROR(VLOOKUP(G1356,PROGRAMAS[],2,FALSE),0)</f>
        <v>1440941976.2528784</v>
      </c>
      <c r="V1356" s="246">
        <f>IFERROR(VLOOKUP(H1356,PROGRAMAS[],2,FALSE),0)</f>
        <v>6128579952.1618185</v>
      </c>
      <c r="W1356" s="246">
        <f>IFERROR(VLOOKUP(I1356,PROGRAMAS[],2,FALSE),0)</f>
        <v>4635315027.8751087</v>
      </c>
      <c r="X1356" s="246">
        <f>IFERROR(VLOOKUP(J1356,PROGRAMAS[],2,FALSE),0)</f>
        <v>764796700.79905891</v>
      </c>
      <c r="Y1356" s="246">
        <f>IFERROR(VLOOKUP(K1356,PROGRAMAS[],2,FALSE),0)</f>
        <v>7068496961.0436354</v>
      </c>
      <c r="Z1356" s="246">
        <f>IFERROR(VLOOKUP(L1356,PROGRAMAS[],2,FALSE),0)</f>
        <v>1892779498.5211046</v>
      </c>
      <c r="AA1356" s="246">
        <f>IFERROR(VLOOKUP(M1356,PROGRAMAS[],2,FALSE),0)</f>
        <v>0</v>
      </c>
      <c r="AB1356" s="246">
        <f>IFERROR(VLOOKUP(N1356,PROGRAMAS[],2,FALSE),0)</f>
        <v>0</v>
      </c>
      <c r="AC1356" s="246">
        <f>IFERROR(VLOOKUP(O1356,PROGRAMAS[],2,FALSE),0)</f>
        <v>0</v>
      </c>
      <c r="AD1356" s="246">
        <f>IFERROR(VLOOKUP(P1356,PROGRAMAS[],2,FALSE),0)</f>
        <v>0</v>
      </c>
      <c r="AE1356" s="246">
        <f>IFERROR(VLOOKUP(Q1356,PROGRAMAS[],2,FALSE),0)</f>
        <v>0</v>
      </c>
      <c r="AF1356" s="246">
        <f>IFERROR(VLOOKUP(D1356,PROGRAMAS[],3,FALSE),0)</f>
        <v>841888629.31080008</v>
      </c>
      <c r="AG1356" s="246">
        <f>IFERROR(VLOOKUP(E1356,PROGRAMAS[],3,FALSE),0)</f>
        <v>3848980803.1642323</v>
      </c>
      <c r="AH1356" s="246">
        <f>IFERROR(VLOOKUP(F1356,PROGRAMAS[],3,FALSE),0)</f>
        <v>3394901471.387517</v>
      </c>
      <c r="AI1356" s="246">
        <f>IFERROR(VLOOKUP(G1356,PROGRAMAS[],3,FALSE),0)</f>
        <v>1233505101.0616004</v>
      </c>
      <c r="AJ1356" s="246">
        <f>IFERROR(VLOOKUP(H1356,PROGRAMAS[],3,FALSE),0)</f>
        <v>7011279577.519702</v>
      </c>
      <c r="AK1356" s="246">
        <f>IFERROR(VLOOKUP(I1356,PROGRAMAS[],3,FALSE),0)</f>
        <v>4099471734.9978786</v>
      </c>
      <c r="AL1356" s="246">
        <f>IFERROR(VLOOKUP(J1356,PROGRAMAS[],3,FALSE),0)</f>
        <v>675517840.109828</v>
      </c>
      <c r="AM1356" s="246">
        <f>IFERROR(VLOOKUP(K1356,PROGRAMAS[],3,FALSE),0)</f>
        <v>2406564599.0319901</v>
      </c>
      <c r="AN1356" s="246">
        <f>IFERROR(VLOOKUP(L1356,PROGRAMAS[],3,FALSE),0)</f>
        <v>948595847.09039903</v>
      </c>
      <c r="AO1356" s="246">
        <f>IFERROR(VLOOKUP(M1356,PROGRAMAS[],3,FALSE),0)</f>
        <v>0</v>
      </c>
      <c r="AP1356" s="246">
        <f>IFERROR(VLOOKUP(N1356,PROGRAMAS[],3,FALSE),0)</f>
        <v>0</v>
      </c>
      <c r="AQ1356" s="246">
        <f>IFERROR(VLOOKUP(O1356,PROGRAMAS[],3,FALSE),0)</f>
        <v>0</v>
      </c>
      <c r="AR1356" s="246">
        <f>IFERROR(VLOOKUP(P1356,PROGRAMAS[],3,FALSE),0)</f>
        <v>0</v>
      </c>
      <c r="AS1356" s="246">
        <f>IFERROR(VLOOKUP(Q1356,PROGRAMAS[],3,FALSE),0)</f>
        <v>0</v>
      </c>
      <c r="AT1356" s="246">
        <f>IFERROR(VLOOKUP(D1356,VOL_REC[],2,FALSE),0)</f>
        <v>0</v>
      </c>
      <c r="AU1356" s="246">
        <f>IFERROR(VLOOKUP(E1356,VOL_REC[],2,FALSE),0)</f>
        <v>0</v>
      </c>
      <c r="AV1356" s="246">
        <f>IFERROR(VLOOKUP(F1356,VOL_REC[],2,FALSE),0)</f>
        <v>11089674.200000001</v>
      </c>
      <c r="AW1356" s="246">
        <f>IFERROR(VLOOKUP(G1356,VOL_REC[],2,FALSE),0)</f>
        <v>4325103.1812214684</v>
      </c>
      <c r="AX1356" s="246">
        <f>IFERROR(VLOOKUP(H1356,VOL_REC[],2,FALSE),0)</f>
        <v>3761786</v>
      </c>
      <c r="AY1356" s="246">
        <f>IFERROR(VLOOKUP(I1356,VOL_REC[],2,FALSE),0)</f>
        <v>1812240</v>
      </c>
      <c r="AZ1356" s="246">
        <f>IFERROR(VLOOKUP(J1356,VOL_REC[],2,FALSE),0)</f>
        <v>240696.79238099116</v>
      </c>
      <c r="BA1356" s="246">
        <f>IFERROR(VLOOKUP(K1356,VOL_REC[],2,FALSE),0)</f>
        <v>1072354.9981737854</v>
      </c>
      <c r="BB1356" s="246">
        <f>IFERROR(VLOOKUP(L1356,VOL_REC[],2,FALSE),0)</f>
        <v>740113.98115702497</v>
      </c>
      <c r="BC1356" s="246">
        <f>IFERROR(VLOOKUP(M1356,VOL_REC[],2,FALSE),0)</f>
        <v>0</v>
      </c>
      <c r="BD1356" s="246">
        <f>IFERROR(VLOOKUP(N1356,VOL_REC[],2,FALSE),0)</f>
        <v>0</v>
      </c>
      <c r="BE1356" s="246">
        <f>IFERROR(VLOOKUP(O1356,VOL_REC[],2,FALSE),0)</f>
        <v>0</v>
      </c>
      <c r="BF1356" s="246">
        <f>IFERROR(VLOOKUP(P1356,VOL_REC[],2,FALSE),0)</f>
        <v>0</v>
      </c>
      <c r="BG1356" s="246">
        <f>IFERROR(VLOOKUP(Q1356,VOL_REC[],2,FALSE),0)</f>
        <v>0</v>
      </c>
      <c r="BH1356" s="1710">
        <f t="shared" si="84"/>
        <v>25730777228.167645</v>
      </c>
      <c r="BI1356" s="1710">
        <f t="shared" si="85"/>
        <v>24460705603.67395</v>
      </c>
      <c r="BJ1356" s="1711">
        <f t="shared" si="86"/>
        <v>23041969.15293327</v>
      </c>
      <c r="BK1356" s="1711">
        <f t="shared" si="87"/>
        <v>1.0519229348928893</v>
      </c>
      <c r="BL1356">
        <f>BJ1356</f>
        <v>23041969.15293327</v>
      </c>
      <c r="BO1356">
        <f>BL1356</f>
        <v>23041969.15293327</v>
      </c>
    </row>
    <row r="1357" spans="3:67" x14ac:dyDescent="0.25">
      <c r="C1357" s="246" t="s">
        <v>2707</v>
      </c>
      <c r="D1357" s="246">
        <v>1</v>
      </c>
      <c r="E1357" s="246">
        <v>2</v>
      </c>
      <c r="F1357" s="246">
        <v>3</v>
      </c>
      <c r="G1357" s="246">
        <v>5</v>
      </c>
      <c r="H1357" s="246">
        <v>9</v>
      </c>
      <c r="I1357" s="246">
        <v>10</v>
      </c>
      <c r="J1357" s="246">
        <v>13</v>
      </c>
      <c r="K1357" s="246">
        <v>14</v>
      </c>
      <c r="L1357" s="246">
        <v>15</v>
      </c>
      <c r="M1357" s="246"/>
      <c r="N1357" s="246"/>
      <c r="O1357" s="246"/>
      <c r="P1357" s="246"/>
      <c r="Q1357" s="246"/>
      <c r="R1357" s="246">
        <f>IFERROR(VLOOKUP(D1357,PROGRAMAS[],2,FALSE),0)</f>
        <v>97037803.679377079</v>
      </c>
      <c r="S1357" s="246">
        <f>IFERROR(VLOOKUP(E1357,PROGRAMAS[],2,FALSE),0)</f>
        <v>640501509.6821388</v>
      </c>
      <c r="T1357" s="246">
        <f>IFERROR(VLOOKUP(F1357,PROGRAMAS[],2,FALSE),0)</f>
        <v>3062327798.1525245</v>
      </c>
      <c r="U1357" s="246">
        <f>IFERROR(VLOOKUP(G1357,PROGRAMAS[],2,FALSE),0)</f>
        <v>1440941976.2528784</v>
      </c>
      <c r="V1357" s="246">
        <f>IFERROR(VLOOKUP(H1357,PROGRAMAS[],2,FALSE),0)</f>
        <v>6128579952.1618185</v>
      </c>
      <c r="W1357" s="246">
        <f>IFERROR(VLOOKUP(I1357,PROGRAMAS[],2,FALSE),0)</f>
        <v>4635315027.8751087</v>
      </c>
      <c r="X1357" s="246">
        <f>IFERROR(VLOOKUP(J1357,PROGRAMAS[],2,FALSE),0)</f>
        <v>3776538594.4604583</v>
      </c>
      <c r="Y1357" s="246">
        <f>IFERROR(VLOOKUP(K1357,PROGRAMAS[],2,FALSE),0)</f>
        <v>54223862.645839565</v>
      </c>
      <c r="Z1357" s="246">
        <f>IFERROR(VLOOKUP(L1357,PROGRAMAS[],2,FALSE),0)</f>
        <v>122159672.96346797</v>
      </c>
      <c r="AA1357" s="246">
        <f>IFERROR(VLOOKUP(M1357,PROGRAMAS[],2,FALSE),0)</f>
        <v>0</v>
      </c>
      <c r="AB1357" s="246">
        <f>IFERROR(VLOOKUP(N1357,PROGRAMAS[],2,FALSE),0)</f>
        <v>0</v>
      </c>
      <c r="AC1357" s="246">
        <f>IFERROR(VLOOKUP(O1357,PROGRAMAS[],2,FALSE),0)</f>
        <v>0</v>
      </c>
      <c r="AD1357" s="246">
        <f>IFERROR(VLOOKUP(P1357,PROGRAMAS[],2,FALSE),0)</f>
        <v>0</v>
      </c>
      <c r="AE1357" s="246">
        <f>IFERROR(VLOOKUP(Q1357,PROGRAMAS[],2,FALSE),0)</f>
        <v>0</v>
      </c>
      <c r="AF1357" s="246">
        <f>IFERROR(VLOOKUP(D1357,PROGRAMAS[],3,FALSE),0)</f>
        <v>841888629.31080008</v>
      </c>
      <c r="AG1357" s="246">
        <f>IFERROR(VLOOKUP(E1357,PROGRAMAS[],3,FALSE),0)</f>
        <v>3848980803.1642323</v>
      </c>
      <c r="AH1357" s="246">
        <f>IFERROR(VLOOKUP(F1357,PROGRAMAS[],3,FALSE),0)</f>
        <v>3394901471.387517</v>
      </c>
      <c r="AI1357" s="246">
        <f>IFERROR(VLOOKUP(G1357,PROGRAMAS[],3,FALSE),0)</f>
        <v>1233505101.0616004</v>
      </c>
      <c r="AJ1357" s="246">
        <f>IFERROR(VLOOKUP(H1357,PROGRAMAS[],3,FALSE),0)</f>
        <v>7011279577.519702</v>
      </c>
      <c r="AK1357" s="246">
        <f>IFERROR(VLOOKUP(I1357,PROGRAMAS[],3,FALSE),0)</f>
        <v>4099471734.9978786</v>
      </c>
      <c r="AL1357" s="246">
        <f>IFERROR(VLOOKUP(J1357,PROGRAMAS[],3,FALSE),0)</f>
        <v>2392571243.5584412</v>
      </c>
      <c r="AM1357" s="246">
        <f>IFERROR(VLOOKUP(K1357,PROGRAMAS[],3,FALSE),0)</f>
        <v>31865326.38096505</v>
      </c>
      <c r="AN1357" s="246">
        <f>IFERROR(VLOOKUP(L1357,PROGRAMAS[],3,FALSE),0)</f>
        <v>118617452.52510804</v>
      </c>
      <c r="AO1357" s="246">
        <f>IFERROR(VLOOKUP(M1357,PROGRAMAS[],3,FALSE),0)</f>
        <v>0</v>
      </c>
      <c r="AP1357" s="246">
        <f>IFERROR(VLOOKUP(N1357,PROGRAMAS[],3,FALSE),0)</f>
        <v>0</v>
      </c>
      <c r="AQ1357" s="246">
        <f>IFERROR(VLOOKUP(O1357,PROGRAMAS[],3,FALSE),0)</f>
        <v>0</v>
      </c>
      <c r="AR1357" s="246">
        <f>IFERROR(VLOOKUP(P1357,PROGRAMAS[],3,FALSE),0)</f>
        <v>0</v>
      </c>
      <c r="AS1357" s="246">
        <f>IFERROR(VLOOKUP(Q1357,PROGRAMAS[],3,FALSE),0)</f>
        <v>0</v>
      </c>
      <c r="AT1357" s="246">
        <f>IFERROR(VLOOKUP(D1357,VOL_REC[],2,FALSE),0)</f>
        <v>0</v>
      </c>
      <c r="AU1357" s="246">
        <f>IFERROR(VLOOKUP(E1357,VOL_REC[],2,FALSE),0)</f>
        <v>0</v>
      </c>
      <c r="AV1357" s="246">
        <f>IFERROR(VLOOKUP(F1357,VOL_REC[],2,FALSE),0)</f>
        <v>11089674.200000001</v>
      </c>
      <c r="AW1357" s="246">
        <f>IFERROR(VLOOKUP(G1357,VOL_REC[],2,FALSE),0)</f>
        <v>4325103.1812214684</v>
      </c>
      <c r="AX1357" s="246">
        <f>IFERROR(VLOOKUP(H1357,VOL_REC[],2,FALSE),0)</f>
        <v>3761786</v>
      </c>
      <c r="AY1357" s="246">
        <f>IFERROR(VLOOKUP(I1357,VOL_REC[],2,FALSE),0)</f>
        <v>1812240</v>
      </c>
      <c r="AZ1357" s="246">
        <f>IFERROR(VLOOKUP(J1357,VOL_REC[],2,FALSE),0)</f>
        <v>663244.80000000016</v>
      </c>
      <c r="BA1357" s="246">
        <f>IFERROR(VLOOKUP(K1357,VOL_REC[],2,FALSE),0)</f>
        <v>17074.045034105649</v>
      </c>
      <c r="BB1357" s="246">
        <f>IFERROR(VLOOKUP(L1357,VOL_REC[],2,FALSE),0)</f>
        <v>105072</v>
      </c>
      <c r="BC1357" s="246">
        <f>IFERROR(VLOOKUP(M1357,VOL_REC[],2,FALSE),0)</f>
        <v>0</v>
      </c>
      <c r="BD1357" s="246">
        <f>IFERROR(VLOOKUP(N1357,VOL_REC[],2,FALSE),0)</f>
        <v>0</v>
      </c>
      <c r="BE1357" s="246">
        <f>IFERROR(VLOOKUP(O1357,VOL_REC[],2,FALSE),0)</f>
        <v>0</v>
      </c>
      <c r="BF1357" s="246">
        <f>IFERROR(VLOOKUP(P1357,VOL_REC[],2,FALSE),0)</f>
        <v>0</v>
      </c>
      <c r="BG1357" s="246">
        <f>IFERROR(VLOOKUP(Q1357,VOL_REC[],2,FALSE),0)</f>
        <v>0</v>
      </c>
      <c r="BH1357" s="1710">
        <f t="shared" si="84"/>
        <v>19957626197.873611</v>
      </c>
      <c r="BI1357" s="1710">
        <f t="shared" si="85"/>
        <v>22973081339.906246</v>
      </c>
      <c r="BJ1357" s="1711">
        <f t="shared" si="86"/>
        <v>21774194.226255577</v>
      </c>
      <c r="BK1357" s="1711">
        <f t="shared" si="87"/>
        <v>0.86873963063916348</v>
      </c>
    </row>
    <row r="1358" spans="3:67" x14ac:dyDescent="0.25">
      <c r="C1358" s="246" t="s">
        <v>2708</v>
      </c>
      <c r="D1358" s="246">
        <v>1</v>
      </c>
      <c r="E1358" s="246">
        <v>2</v>
      </c>
      <c r="F1358" s="246">
        <v>3</v>
      </c>
      <c r="G1358" s="246">
        <v>5</v>
      </c>
      <c r="H1358" s="246">
        <v>9</v>
      </c>
      <c r="I1358" s="246">
        <v>10</v>
      </c>
      <c r="J1358" s="246">
        <v>13</v>
      </c>
      <c r="K1358" s="246">
        <v>14</v>
      </c>
      <c r="L1358" s="246">
        <v>16</v>
      </c>
      <c r="M1358" s="246"/>
      <c r="N1358" s="246"/>
      <c r="O1358" s="246"/>
      <c r="P1358" s="246"/>
      <c r="Q1358" s="246"/>
      <c r="R1358" s="246">
        <f>IFERROR(VLOOKUP(D1358,PROGRAMAS[],2,FALSE),0)</f>
        <v>97037803.679377079</v>
      </c>
      <c r="S1358" s="246">
        <f>IFERROR(VLOOKUP(E1358,PROGRAMAS[],2,FALSE),0)</f>
        <v>640501509.6821388</v>
      </c>
      <c r="T1358" s="246">
        <f>IFERROR(VLOOKUP(F1358,PROGRAMAS[],2,FALSE),0)</f>
        <v>3062327798.1525245</v>
      </c>
      <c r="U1358" s="246">
        <f>IFERROR(VLOOKUP(G1358,PROGRAMAS[],2,FALSE),0)</f>
        <v>1440941976.2528784</v>
      </c>
      <c r="V1358" s="246">
        <f>IFERROR(VLOOKUP(H1358,PROGRAMAS[],2,FALSE),0)</f>
        <v>6128579952.1618185</v>
      </c>
      <c r="W1358" s="246">
        <f>IFERROR(VLOOKUP(I1358,PROGRAMAS[],2,FALSE),0)</f>
        <v>4635315027.8751087</v>
      </c>
      <c r="X1358" s="246">
        <f>IFERROR(VLOOKUP(J1358,PROGRAMAS[],2,FALSE),0)</f>
        <v>3776538594.4604583</v>
      </c>
      <c r="Y1358" s="246">
        <f>IFERROR(VLOOKUP(K1358,PROGRAMAS[],2,FALSE),0)</f>
        <v>54223862.645839565</v>
      </c>
      <c r="Z1358" s="246">
        <f>IFERROR(VLOOKUP(L1358,PROGRAMAS[],2,FALSE),0)</f>
        <v>7068496961.0436354</v>
      </c>
      <c r="AA1358" s="246">
        <f>IFERROR(VLOOKUP(M1358,PROGRAMAS[],2,FALSE),0)</f>
        <v>0</v>
      </c>
      <c r="AB1358" s="246">
        <f>IFERROR(VLOOKUP(N1358,PROGRAMAS[],2,FALSE),0)</f>
        <v>0</v>
      </c>
      <c r="AC1358" s="246">
        <f>IFERROR(VLOOKUP(O1358,PROGRAMAS[],2,FALSE),0)</f>
        <v>0</v>
      </c>
      <c r="AD1358" s="246">
        <f>IFERROR(VLOOKUP(P1358,PROGRAMAS[],2,FALSE),0)</f>
        <v>0</v>
      </c>
      <c r="AE1358" s="246">
        <f>IFERROR(VLOOKUP(Q1358,PROGRAMAS[],2,FALSE),0)</f>
        <v>0</v>
      </c>
      <c r="AF1358" s="246">
        <f>IFERROR(VLOOKUP(D1358,PROGRAMAS[],3,FALSE),0)</f>
        <v>841888629.31080008</v>
      </c>
      <c r="AG1358" s="246">
        <f>IFERROR(VLOOKUP(E1358,PROGRAMAS[],3,FALSE),0)</f>
        <v>3848980803.1642323</v>
      </c>
      <c r="AH1358" s="246">
        <f>IFERROR(VLOOKUP(F1358,PROGRAMAS[],3,FALSE),0)</f>
        <v>3394901471.387517</v>
      </c>
      <c r="AI1358" s="246">
        <f>IFERROR(VLOOKUP(G1358,PROGRAMAS[],3,FALSE),0)</f>
        <v>1233505101.0616004</v>
      </c>
      <c r="AJ1358" s="246">
        <f>IFERROR(VLOOKUP(H1358,PROGRAMAS[],3,FALSE),0)</f>
        <v>7011279577.519702</v>
      </c>
      <c r="AK1358" s="246">
        <f>IFERROR(VLOOKUP(I1358,PROGRAMAS[],3,FALSE),0)</f>
        <v>4099471734.9978786</v>
      </c>
      <c r="AL1358" s="246">
        <f>IFERROR(VLOOKUP(J1358,PROGRAMAS[],3,FALSE),0)</f>
        <v>2392571243.5584412</v>
      </c>
      <c r="AM1358" s="246">
        <f>IFERROR(VLOOKUP(K1358,PROGRAMAS[],3,FALSE),0)</f>
        <v>31865326.38096505</v>
      </c>
      <c r="AN1358" s="246">
        <f>IFERROR(VLOOKUP(L1358,PROGRAMAS[],3,FALSE),0)</f>
        <v>2406564599.0319901</v>
      </c>
      <c r="AO1358" s="246">
        <f>IFERROR(VLOOKUP(M1358,PROGRAMAS[],3,FALSE),0)</f>
        <v>0</v>
      </c>
      <c r="AP1358" s="246">
        <f>IFERROR(VLOOKUP(N1358,PROGRAMAS[],3,FALSE),0)</f>
        <v>0</v>
      </c>
      <c r="AQ1358" s="246">
        <f>IFERROR(VLOOKUP(O1358,PROGRAMAS[],3,FALSE),0)</f>
        <v>0</v>
      </c>
      <c r="AR1358" s="246">
        <f>IFERROR(VLOOKUP(P1358,PROGRAMAS[],3,FALSE),0)</f>
        <v>0</v>
      </c>
      <c r="AS1358" s="246">
        <f>IFERROR(VLOOKUP(Q1358,PROGRAMAS[],3,FALSE),0)</f>
        <v>0</v>
      </c>
      <c r="AT1358" s="246">
        <f>IFERROR(VLOOKUP(D1358,VOL_REC[],2,FALSE),0)</f>
        <v>0</v>
      </c>
      <c r="AU1358" s="246">
        <f>IFERROR(VLOOKUP(E1358,VOL_REC[],2,FALSE),0)</f>
        <v>0</v>
      </c>
      <c r="AV1358" s="246">
        <f>IFERROR(VLOOKUP(F1358,VOL_REC[],2,FALSE),0)</f>
        <v>11089674.200000001</v>
      </c>
      <c r="AW1358" s="246">
        <f>IFERROR(VLOOKUP(G1358,VOL_REC[],2,FALSE),0)</f>
        <v>4325103.1812214684</v>
      </c>
      <c r="AX1358" s="246">
        <f>IFERROR(VLOOKUP(H1358,VOL_REC[],2,FALSE),0)</f>
        <v>3761786</v>
      </c>
      <c r="AY1358" s="246">
        <f>IFERROR(VLOOKUP(I1358,VOL_REC[],2,FALSE),0)</f>
        <v>1812240</v>
      </c>
      <c r="AZ1358" s="246">
        <f>IFERROR(VLOOKUP(J1358,VOL_REC[],2,FALSE),0)</f>
        <v>663244.80000000016</v>
      </c>
      <c r="BA1358" s="246">
        <f>IFERROR(VLOOKUP(K1358,VOL_REC[],2,FALSE),0)</f>
        <v>17074.045034105649</v>
      </c>
      <c r="BB1358" s="246">
        <f>IFERROR(VLOOKUP(L1358,VOL_REC[],2,FALSE),0)</f>
        <v>1072354.9981737854</v>
      </c>
      <c r="BC1358" s="246">
        <f>IFERROR(VLOOKUP(M1358,VOL_REC[],2,FALSE),0)</f>
        <v>0</v>
      </c>
      <c r="BD1358" s="246">
        <f>IFERROR(VLOOKUP(N1358,VOL_REC[],2,FALSE),0)</f>
        <v>0</v>
      </c>
      <c r="BE1358" s="246">
        <f>IFERROR(VLOOKUP(O1358,VOL_REC[],2,FALSE),0)</f>
        <v>0</v>
      </c>
      <c r="BF1358" s="246">
        <f>IFERROR(VLOOKUP(P1358,VOL_REC[],2,FALSE),0)</f>
        <v>0</v>
      </c>
      <c r="BG1358" s="246">
        <f>IFERROR(VLOOKUP(Q1358,VOL_REC[],2,FALSE),0)</f>
        <v>0</v>
      </c>
      <c r="BH1358" s="1710">
        <f t="shared" si="84"/>
        <v>26903963485.953781</v>
      </c>
      <c r="BI1358" s="1710">
        <f t="shared" si="85"/>
        <v>25261028486.413128</v>
      </c>
      <c r="BJ1358" s="1711">
        <f t="shared" si="86"/>
        <v>22741477.224429362</v>
      </c>
      <c r="BK1358" s="1711">
        <f t="shared" si="87"/>
        <v>1.0650383257524261</v>
      </c>
      <c r="BL1358">
        <f>BJ1358</f>
        <v>22741477.224429362</v>
      </c>
      <c r="BO1358">
        <f>BL1358</f>
        <v>22741477.224429362</v>
      </c>
    </row>
    <row r="1359" spans="3:67" x14ac:dyDescent="0.25">
      <c r="C1359" s="246" t="s">
        <v>2709</v>
      </c>
      <c r="D1359" s="246">
        <v>1</v>
      </c>
      <c r="E1359" s="246">
        <v>2</v>
      </c>
      <c r="F1359" s="246">
        <v>3</v>
      </c>
      <c r="G1359" s="246">
        <v>5</v>
      </c>
      <c r="H1359" s="246">
        <v>9</v>
      </c>
      <c r="I1359" s="246">
        <v>10</v>
      </c>
      <c r="J1359" s="246">
        <v>13</v>
      </c>
      <c r="K1359" s="246">
        <v>14</v>
      </c>
      <c r="L1359" s="246">
        <v>17</v>
      </c>
      <c r="M1359" s="246"/>
      <c r="N1359" s="246"/>
      <c r="O1359" s="246"/>
      <c r="P1359" s="246"/>
      <c r="Q1359" s="246"/>
      <c r="R1359" s="246">
        <f>IFERROR(VLOOKUP(D1359,PROGRAMAS[],2,FALSE),0)</f>
        <v>97037803.679377079</v>
      </c>
      <c r="S1359" s="246">
        <f>IFERROR(VLOOKUP(E1359,PROGRAMAS[],2,FALSE),0)</f>
        <v>640501509.6821388</v>
      </c>
      <c r="T1359" s="246">
        <f>IFERROR(VLOOKUP(F1359,PROGRAMAS[],2,FALSE),0)</f>
        <v>3062327798.1525245</v>
      </c>
      <c r="U1359" s="246">
        <f>IFERROR(VLOOKUP(G1359,PROGRAMAS[],2,FALSE),0)</f>
        <v>1440941976.2528784</v>
      </c>
      <c r="V1359" s="246">
        <f>IFERROR(VLOOKUP(H1359,PROGRAMAS[],2,FALSE),0)</f>
        <v>6128579952.1618185</v>
      </c>
      <c r="W1359" s="246">
        <f>IFERROR(VLOOKUP(I1359,PROGRAMAS[],2,FALSE),0)</f>
        <v>4635315027.8751087</v>
      </c>
      <c r="X1359" s="246">
        <f>IFERROR(VLOOKUP(J1359,PROGRAMAS[],2,FALSE),0)</f>
        <v>3776538594.4604583</v>
      </c>
      <c r="Y1359" s="246">
        <f>IFERROR(VLOOKUP(K1359,PROGRAMAS[],2,FALSE),0)</f>
        <v>54223862.645839565</v>
      </c>
      <c r="Z1359" s="246">
        <f>IFERROR(VLOOKUP(L1359,PROGRAMAS[],2,FALSE),0)</f>
        <v>1892779498.5211046</v>
      </c>
      <c r="AA1359" s="246">
        <f>IFERROR(VLOOKUP(M1359,PROGRAMAS[],2,FALSE),0)</f>
        <v>0</v>
      </c>
      <c r="AB1359" s="246">
        <f>IFERROR(VLOOKUP(N1359,PROGRAMAS[],2,FALSE),0)</f>
        <v>0</v>
      </c>
      <c r="AC1359" s="246">
        <f>IFERROR(VLOOKUP(O1359,PROGRAMAS[],2,FALSE),0)</f>
        <v>0</v>
      </c>
      <c r="AD1359" s="246">
        <f>IFERROR(VLOOKUP(P1359,PROGRAMAS[],2,FALSE),0)</f>
        <v>0</v>
      </c>
      <c r="AE1359" s="246">
        <f>IFERROR(VLOOKUP(Q1359,PROGRAMAS[],2,FALSE),0)</f>
        <v>0</v>
      </c>
      <c r="AF1359" s="246">
        <f>IFERROR(VLOOKUP(D1359,PROGRAMAS[],3,FALSE),0)</f>
        <v>841888629.31080008</v>
      </c>
      <c r="AG1359" s="246">
        <f>IFERROR(VLOOKUP(E1359,PROGRAMAS[],3,FALSE),0)</f>
        <v>3848980803.1642323</v>
      </c>
      <c r="AH1359" s="246">
        <f>IFERROR(VLOOKUP(F1359,PROGRAMAS[],3,FALSE),0)</f>
        <v>3394901471.387517</v>
      </c>
      <c r="AI1359" s="246">
        <f>IFERROR(VLOOKUP(G1359,PROGRAMAS[],3,FALSE),0)</f>
        <v>1233505101.0616004</v>
      </c>
      <c r="AJ1359" s="246">
        <f>IFERROR(VLOOKUP(H1359,PROGRAMAS[],3,FALSE),0)</f>
        <v>7011279577.519702</v>
      </c>
      <c r="AK1359" s="246">
        <f>IFERROR(VLOOKUP(I1359,PROGRAMAS[],3,FALSE),0)</f>
        <v>4099471734.9978786</v>
      </c>
      <c r="AL1359" s="246">
        <f>IFERROR(VLOOKUP(J1359,PROGRAMAS[],3,FALSE),0)</f>
        <v>2392571243.5584412</v>
      </c>
      <c r="AM1359" s="246">
        <f>IFERROR(VLOOKUP(K1359,PROGRAMAS[],3,FALSE),0)</f>
        <v>31865326.38096505</v>
      </c>
      <c r="AN1359" s="246">
        <f>IFERROR(VLOOKUP(L1359,PROGRAMAS[],3,FALSE),0)</f>
        <v>948595847.09039903</v>
      </c>
      <c r="AO1359" s="246">
        <f>IFERROR(VLOOKUP(M1359,PROGRAMAS[],3,FALSE),0)</f>
        <v>0</v>
      </c>
      <c r="AP1359" s="246">
        <f>IFERROR(VLOOKUP(N1359,PROGRAMAS[],3,FALSE),0)</f>
        <v>0</v>
      </c>
      <c r="AQ1359" s="246">
        <f>IFERROR(VLOOKUP(O1359,PROGRAMAS[],3,FALSE),0)</f>
        <v>0</v>
      </c>
      <c r="AR1359" s="246">
        <f>IFERROR(VLOOKUP(P1359,PROGRAMAS[],3,FALSE),0)</f>
        <v>0</v>
      </c>
      <c r="AS1359" s="246">
        <f>IFERROR(VLOOKUP(Q1359,PROGRAMAS[],3,FALSE),0)</f>
        <v>0</v>
      </c>
      <c r="AT1359" s="246">
        <f>IFERROR(VLOOKUP(D1359,VOL_REC[],2,FALSE),0)</f>
        <v>0</v>
      </c>
      <c r="AU1359" s="246">
        <f>IFERROR(VLOOKUP(E1359,VOL_REC[],2,FALSE),0)</f>
        <v>0</v>
      </c>
      <c r="AV1359" s="246">
        <f>IFERROR(VLOOKUP(F1359,VOL_REC[],2,FALSE),0)</f>
        <v>11089674.200000001</v>
      </c>
      <c r="AW1359" s="246">
        <f>IFERROR(VLOOKUP(G1359,VOL_REC[],2,FALSE),0)</f>
        <v>4325103.1812214684</v>
      </c>
      <c r="AX1359" s="246">
        <f>IFERROR(VLOOKUP(H1359,VOL_REC[],2,FALSE),0)</f>
        <v>3761786</v>
      </c>
      <c r="AY1359" s="246">
        <f>IFERROR(VLOOKUP(I1359,VOL_REC[],2,FALSE),0)</f>
        <v>1812240</v>
      </c>
      <c r="AZ1359" s="246">
        <f>IFERROR(VLOOKUP(J1359,VOL_REC[],2,FALSE),0)</f>
        <v>663244.80000000016</v>
      </c>
      <c r="BA1359" s="246">
        <f>IFERROR(VLOOKUP(K1359,VOL_REC[],2,FALSE),0)</f>
        <v>17074.045034105649</v>
      </c>
      <c r="BB1359" s="246">
        <f>IFERROR(VLOOKUP(L1359,VOL_REC[],2,FALSE),0)</f>
        <v>740113.98115702497</v>
      </c>
      <c r="BC1359" s="246">
        <f>IFERROR(VLOOKUP(M1359,VOL_REC[],2,FALSE),0)</f>
        <v>0</v>
      </c>
      <c r="BD1359" s="246">
        <f>IFERROR(VLOOKUP(N1359,VOL_REC[],2,FALSE),0)</f>
        <v>0</v>
      </c>
      <c r="BE1359" s="246">
        <f>IFERROR(VLOOKUP(O1359,VOL_REC[],2,FALSE),0)</f>
        <v>0</v>
      </c>
      <c r="BF1359" s="246">
        <f>IFERROR(VLOOKUP(P1359,VOL_REC[],2,FALSE),0)</f>
        <v>0</v>
      </c>
      <c r="BG1359" s="246">
        <f>IFERROR(VLOOKUP(Q1359,VOL_REC[],2,FALSE),0)</f>
        <v>0</v>
      </c>
      <c r="BH1359" s="1710">
        <f t="shared" si="84"/>
        <v>21728246023.431248</v>
      </c>
      <c r="BI1359" s="1710">
        <f t="shared" si="85"/>
        <v>23803059734.471539</v>
      </c>
      <c r="BJ1359" s="1711">
        <f t="shared" si="86"/>
        <v>22409236.207412601</v>
      </c>
      <c r="BK1359" s="1711">
        <f t="shared" si="87"/>
        <v>0.91283415938180623</v>
      </c>
    </row>
    <row r="1360" spans="3:67" x14ac:dyDescent="0.25">
      <c r="C1360" s="246" t="s">
        <v>2710</v>
      </c>
      <c r="D1360" s="246">
        <v>1</v>
      </c>
      <c r="E1360" s="246">
        <v>2</v>
      </c>
      <c r="F1360" s="246">
        <v>3</v>
      </c>
      <c r="G1360" s="246">
        <v>5</v>
      </c>
      <c r="H1360" s="246">
        <v>9</v>
      </c>
      <c r="I1360" s="246">
        <v>10</v>
      </c>
      <c r="J1360" s="246">
        <v>13</v>
      </c>
      <c r="K1360" s="246">
        <v>15</v>
      </c>
      <c r="L1360" s="246">
        <v>16</v>
      </c>
      <c r="M1360" s="246"/>
      <c r="N1360" s="246"/>
      <c r="O1360" s="246"/>
      <c r="P1360" s="246"/>
      <c r="Q1360" s="246"/>
      <c r="R1360" s="246">
        <f>IFERROR(VLOOKUP(D1360,PROGRAMAS[],2,FALSE),0)</f>
        <v>97037803.679377079</v>
      </c>
      <c r="S1360" s="246">
        <f>IFERROR(VLOOKUP(E1360,PROGRAMAS[],2,FALSE),0)</f>
        <v>640501509.6821388</v>
      </c>
      <c r="T1360" s="246">
        <f>IFERROR(VLOOKUP(F1360,PROGRAMAS[],2,FALSE),0)</f>
        <v>3062327798.1525245</v>
      </c>
      <c r="U1360" s="246">
        <f>IFERROR(VLOOKUP(G1360,PROGRAMAS[],2,FALSE),0)</f>
        <v>1440941976.2528784</v>
      </c>
      <c r="V1360" s="246">
        <f>IFERROR(VLOOKUP(H1360,PROGRAMAS[],2,FALSE),0)</f>
        <v>6128579952.1618185</v>
      </c>
      <c r="W1360" s="246">
        <f>IFERROR(VLOOKUP(I1360,PROGRAMAS[],2,FALSE),0)</f>
        <v>4635315027.8751087</v>
      </c>
      <c r="X1360" s="246">
        <f>IFERROR(VLOOKUP(J1360,PROGRAMAS[],2,FALSE),0)</f>
        <v>3776538594.4604583</v>
      </c>
      <c r="Y1360" s="246">
        <f>IFERROR(VLOOKUP(K1360,PROGRAMAS[],2,FALSE),0)</f>
        <v>122159672.96346797</v>
      </c>
      <c r="Z1360" s="246">
        <f>IFERROR(VLOOKUP(L1360,PROGRAMAS[],2,FALSE),0)</f>
        <v>7068496961.0436354</v>
      </c>
      <c r="AA1360" s="246">
        <f>IFERROR(VLOOKUP(M1360,PROGRAMAS[],2,FALSE),0)</f>
        <v>0</v>
      </c>
      <c r="AB1360" s="246">
        <f>IFERROR(VLOOKUP(N1360,PROGRAMAS[],2,FALSE),0)</f>
        <v>0</v>
      </c>
      <c r="AC1360" s="246">
        <f>IFERROR(VLOOKUP(O1360,PROGRAMAS[],2,FALSE),0)</f>
        <v>0</v>
      </c>
      <c r="AD1360" s="246">
        <f>IFERROR(VLOOKUP(P1360,PROGRAMAS[],2,FALSE),0)</f>
        <v>0</v>
      </c>
      <c r="AE1360" s="246">
        <f>IFERROR(VLOOKUP(Q1360,PROGRAMAS[],2,FALSE),0)</f>
        <v>0</v>
      </c>
      <c r="AF1360" s="246">
        <f>IFERROR(VLOOKUP(D1360,PROGRAMAS[],3,FALSE),0)</f>
        <v>841888629.31080008</v>
      </c>
      <c r="AG1360" s="246">
        <f>IFERROR(VLOOKUP(E1360,PROGRAMAS[],3,FALSE),0)</f>
        <v>3848980803.1642323</v>
      </c>
      <c r="AH1360" s="246">
        <f>IFERROR(VLOOKUP(F1360,PROGRAMAS[],3,FALSE),0)</f>
        <v>3394901471.387517</v>
      </c>
      <c r="AI1360" s="246">
        <f>IFERROR(VLOOKUP(G1360,PROGRAMAS[],3,FALSE),0)</f>
        <v>1233505101.0616004</v>
      </c>
      <c r="AJ1360" s="246">
        <f>IFERROR(VLOOKUP(H1360,PROGRAMAS[],3,FALSE),0)</f>
        <v>7011279577.519702</v>
      </c>
      <c r="AK1360" s="246">
        <f>IFERROR(VLOOKUP(I1360,PROGRAMAS[],3,FALSE),0)</f>
        <v>4099471734.9978786</v>
      </c>
      <c r="AL1360" s="246">
        <f>IFERROR(VLOOKUP(J1360,PROGRAMAS[],3,FALSE),0)</f>
        <v>2392571243.5584412</v>
      </c>
      <c r="AM1360" s="246">
        <f>IFERROR(VLOOKUP(K1360,PROGRAMAS[],3,FALSE),0)</f>
        <v>118617452.52510804</v>
      </c>
      <c r="AN1360" s="246">
        <f>IFERROR(VLOOKUP(L1360,PROGRAMAS[],3,FALSE),0)</f>
        <v>2406564599.0319901</v>
      </c>
      <c r="AO1360" s="246">
        <f>IFERROR(VLOOKUP(M1360,PROGRAMAS[],3,FALSE),0)</f>
        <v>0</v>
      </c>
      <c r="AP1360" s="246">
        <f>IFERROR(VLOOKUP(N1360,PROGRAMAS[],3,FALSE),0)</f>
        <v>0</v>
      </c>
      <c r="AQ1360" s="246">
        <f>IFERROR(VLOOKUP(O1360,PROGRAMAS[],3,FALSE),0)</f>
        <v>0</v>
      </c>
      <c r="AR1360" s="246">
        <f>IFERROR(VLOOKUP(P1360,PROGRAMAS[],3,FALSE),0)</f>
        <v>0</v>
      </c>
      <c r="AS1360" s="246">
        <f>IFERROR(VLOOKUP(Q1360,PROGRAMAS[],3,FALSE),0)</f>
        <v>0</v>
      </c>
      <c r="AT1360" s="246">
        <f>IFERROR(VLOOKUP(D1360,VOL_REC[],2,FALSE),0)</f>
        <v>0</v>
      </c>
      <c r="AU1360" s="246">
        <f>IFERROR(VLOOKUP(E1360,VOL_REC[],2,FALSE),0)</f>
        <v>0</v>
      </c>
      <c r="AV1360" s="246">
        <f>IFERROR(VLOOKUP(F1360,VOL_REC[],2,FALSE),0)</f>
        <v>11089674.200000001</v>
      </c>
      <c r="AW1360" s="246">
        <f>IFERROR(VLOOKUP(G1360,VOL_REC[],2,FALSE),0)</f>
        <v>4325103.1812214684</v>
      </c>
      <c r="AX1360" s="246">
        <f>IFERROR(VLOOKUP(H1360,VOL_REC[],2,FALSE),0)</f>
        <v>3761786</v>
      </c>
      <c r="AY1360" s="246">
        <f>IFERROR(VLOOKUP(I1360,VOL_REC[],2,FALSE),0)</f>
        <v>1812240</v>
      </c>
      <c r="AZ1360" s="246">
        <f>IFERROR(VLOOKUP(J1360,VOL_REC[],2,FALSE),0)</f>
        <v>663244.80000000016</v>
      </c>
      <c r="BA1360" s="246">
        <f>IFERROR(VLOOKUP(K1360,VOL_REC[],2,FALSE),0)</f>
        <v>105072</v>
      </c>
      <c r="BB1360" s="246">
        <f>IFERROR(VLOOKUP(L1360,VOL_REC[],2,FALSE),0)</f>
        <v>1072354.9981737854</v>
      </c>
      <c r="BC1360" s="246">
        <f>IFERROR(VLOOKUP(M1360,VOL_REC[],2,FALSE),0)</f>
        <v>0</v>
      </c>
      <c r="BD1360" s="246">
        <f>IFERROR(VLOOKUP(N1360,VOL_REC[],2,FALSE),0)</f>
        <v>0</v>
      </c>
      <c r="BE1360" s="246">
        <f>IFERROR(VLOOKUP(O1360,VOL_REC[],2,FALSE),0)</f>
        <v>0</v>
      </c>
      <c r="BF1360" s="246">
        <f>IFERROR(VLOOKUP(P1360,VOL_REC[],2,FALSE),0)</f>
        <v>0</v>
      </c>
      <c r="BG1360" s="246">
        <f>IFERROR(VLOOKUP(Q1360,VOL_REC[],2,FALSE),0)</f>
        <v>0</v>
      </c>
      <c r="BH1360" s="1710">
        <f t="shared" si="84"/>
        <v>26971899296.271408</v>
      </c>
      <c r="BI1360" s="1710">
        <f t="shared" si="85"/>
        <v>25347780612.55727</v>
      </c>
      <c r="BJ1360" s="1711">
        <f t="shared" si="86"/>
        <v>22829475.179395255</v>
      </c>
      <c r="BK1360" s="1711">
        <f t="shared" si="87"/>
        <v>1.064073407788197</v>
      </c>
      <c r="BL1360">
        <f>BJ1360</f>
        <v>22829475.179395255</v>
      </c>
      <c r="BO1360">
        <f>BL1360</f>
        <v>22829475.179395255</v>
      </c>
    </row>
    <row r="1361" spans="3:67" x14ac:dyDescent="0.25">
      <c r="C1361" s="246" t="s">
        <v>2711</v>
      </c>
      <c r="D1361" s="246">
        <v>1</v>
      </c>
      <c r="E1361" s="246">
        <v>2</v>
      </c>
      <c r="F1361" s="246">
        <v>3</v>
      </c>
      <c r="G1361" s="246">
        <v>5</v>
      </c>
      <c r="H1361" s="246">
        <v>9</v>
      </c>
      <c r="I1361" s="246">
        <v>10</v>
      </c>
      <c r="J1361" s="246">
        <v>13</v>
      </c>
      <c r="K1361" s="246">
        <v>15</v>
      </c>
      <c r="L1361" s="246">
        <v>17</v>
      </c>
      <c r="M1361" s="246"/>
      <c r="N1361" s="246"/>
      <c r="O1361" s="246"/>
      <c r="P1361" s="246"/>
      <c r="Q1361" s="246"/>
      <c r="R1361" s="246">
        <f>IFERROR(VLOOKUP(D1361,PROGRAMAS[],2,FALSE),0)</f>
        <v>97037803.679377079</v>
      </c>
      <c r="S1361" s="246">
        <f>IFERROR(VLOOKUP(E1361,PROGRAMAS[],2,FALSE),0)</f>
        <v>640501509.6821388</v>
      </c>
      <c r="T1361" s="246">
        <f>IFERROR(VLOOKUP(F1361,PROGRAMAS[],2,FALSE),0)</f>
        <v>3062327798.1525245</v>
      </c>
      <c r="U1361" s="246">
        <f>IFERROR(VLOOKUP(G1361,PROGRAMAS[],2,FALSE),0)</f>
        <v>1440941976.2528784</v>
      </c>
      <c r="V1361" s="246">
        <f>IFERROR(VLOOKUP(H1361,PROGRAMAS[],2,FALSE),0)</f>
        <v>6128579952.1618185</v>
      </c>
      <c r="W1361" s="246">
        <f>IFERROR(VLOOKUP(I1361,PROGRAMAS[],2,FALSE),0)</f>
        <v>4635315027.8751087</v>
      </c>
      <c r="X1361" s="246">
        <f>IFERROR(VLOOKUP(J1361,PROGRAMAS[],2,FALSE),0)</f>
        <v>3776538594.4604583</v>
      </c>
      <c r="Y1361" s="246">
        <f>IFERROR(VLOOKUP(K1361,PROGRAMAS[],2,FALSE),0)</f>
        <v>122159672.96346797</v>
      </c>
      <c r="Z1361" s="246">
        <f>IFERROR(VLOOKUP(L1361,PROGRAMAS[],2,FALSE),0)</f>
        <v>1892779498.5211046</v>
      </c>
      <c r="AA1361" s="246">
        <f>IFERROR(VLOOKUP(M1361,PROGRAMAS[],2,FALSE),0)</f>
        <v>0</v>
      </c>
      <c r="AB1361" s="246">
        <f>IFERROR(VLOOKUP(N1361,PROGRAMAS[],2,FALSE),0)</f>
        <v>0</v>
      </c>
      <c r="AC1361" s="246">
        <f>IFERROR(VLOOKUP(O1361,PROGRAMAS[],2,FALSE),0)</f>
        <v>0</v>
      </c>
      <c r="AD1361" s="246">
        <f>IFERROR(VLOOKUP(P1361,PROGRAMAS[],2,FALSE),0)</f>
        <v>0</v>
      </c>
      <c r="AE1361" s="246">
        <f>IFERROR(VLOOKUP(Q1361,PROGRAMAS[],2,FALSE),0)</f>
        <v>0</v>
      </c>
      <c r="AF1361" s="246">
        <f>IFERROR(VLOOKUP(D1361,PROGRAMAS[],3,FALSE),0)</f>
        <v>841888629.31080008</v>
      </c>
      <c r="AG1361" s="246">
        <f>IFERROR(VLOOKUP(E1361,PROGRAMAS[],3,FALSE),0)</f>
        <v>3848980803.1642323</v>
      </c>
      <c r="AH1361" s="246">
        <f>IFERROR(VLOOKUP(F1361,PROGRAMAS[],3,FALSE),0)</f>
        <v>3394901471.387517</v>
      </c>
      <c r="AI1361" s="246">
        <f>IFERROR(VLOOKUP(G1361,PROGRAMAS[],3,FALSE),0)</f>
        <v>1233505101.0616004</v>
      </c>
      <c r="AJ1361" s="246">
        <f>IFERROR(VLOOKUP(H1361,PROGRAMAS[],3,FALSE),0)</f>
        <v>7011279577.519702</v>
      </c>
      <c r="AK1361" s="246">
        <f>IFERROR(VLOOKUP(I1361,PROGRAMAS[],3,FALSE),0)</f>
        <v>4099471734.9978786</v>
      </c>
      <c r="AL1361" s="246">
        <f>IFERROR(VLOOKUP(J1361,PROGRAMAS[],3,FALSE),0)</f>
        <v>2392571243.5584412</v>
      </c>
      <c r="AM1361" s="246">
        <f>IFERROR(VLOOKUP(K1361,PROGRAMAS[],3,FALSE),0)</f>
        <v>118617452.52510804</v>
      </c>
      <c r="AN1361" s="246">
        <f>IFERROR(VLOOKUP(L1361,PROGRAMAS[],3,FALSE),0)</f>
        <v>948595847.09039903</v>
      </c>
      <c r="AO1361" s="246">
        <f>IFERROR(VLOOKUP(M1361,PROGRAMAS[],3,FALSE),0)</f>
        <v>0</v>
      </c>
      <c r="AP1361" s="246">
        <f>IFERROR(VLOOKUP(N1361,PROGRAMAS[],3,FALSE),0)</f>
        <v>0</v>
      </c>
      <c r="AQ1361" s="246">
        <f>IFERROR(VLOOKUP(O1361,PROGRAMAS[],3,FALSE),0)</f>
        <v>0</v>
      </c>
      <c r="AR1361" s="246">
        <f>IFERROR(VLOOKUP(P1361,PROGRAMAS[],3,FALSE),0)</f>
        <v>0</v>
      </c>
      <c r="AS1361" s="246">
        <f>IFERROR(VLOOKUP(Q1361,PROGRAMAS[],3,FALSE),0)</f>
        <v>0</v>
      </c>
      <c r="AT1361" s="246">
        <f>IFERROR(VLOOKUP(D1361,VOL_REC[],2,FALSE),0)</f>
        <v>0</v>
      </c>
      <c r="AU1361" s="246">
        <f>IFERROR(VLOOKUP(E1361,VOL_REC[],2,FALSE),0)</f>
        <v>0</v>
      </c>
      <c r="AV1361" s="246">
        <f>IFERROR(VLOOKUP(F1361,VOL_REC[],2,FALSE),0)</f>
        <v>11089674.200000001</v>
      </c>
      <c r="AW1361" s="246">
        <f>IFERROR(VLOOKUP(G1361,VOL_REC[],2,FALSE),0)</f>
        <v>4325103.1812214684</v>
      </c>
      <c r="AX1361" s="246">
        <f>IFERROR(VLOOKUP(H1361,VOL_REC[],2,FALSE),0)</f>
        <v>3761786</v>
      </c>
      <c r="AY1361" s="246">
        <f>IFERROR(VLOOKUP(I1361,VOL_REC[],2,FALSE),0)</f>
        <v>1812240</v>
      </c>
      <c r="AZ1361" s="246">
        <f>IFERROR(VLOOKUP(J1361,VOL_REC[],2,FALSE),0)</f>
        <v>663244.80000000016</v>
      </c>
      <c r="BA1361" s="246">
        <f>IFERROR(VLOOKUP(K1361,VOL_REC[],2,FALSE),0)</f>
        <v>105072</v>
      </c>
      <c r="BB1361" s="246">
        <f>IFERROR(VLOOKUP(L1361,VOL_REC[],2,FALSE),0)</f>
        <v>740113.98115702497</v>
      </c>
      <c r="BC1361" s="246">
        <f>IFERROR(VLOOKUP(M1361,VOL_REC[],2,FALSE),0)</f>
        <v>0</v>
      </c>
      <c r="BD1361" s="246">
        <f>IFERROR(VLOOKUP(N1361,VOL_REC[],2,FALSE),0)</f>
        <v>0</v>
      </c>
      <c r="BE1361" s="246">
        <f>IFERROR(VLOOKUP(O1361,VOL_REC[],2,FALSE),0)</f>
        <v>0</v>
      </c>
      <c r="BF1361" s="246">
        <f>IFERROR(VLOOKUP(P1361,VOL_REC[],2,FALSE),0)</f>
        <v>0</v>
      </c>
      <c r="BG1361" s="246">
        <f>IFERROR(VLOOKUP(Q1361,VOL_REC[],2,FALSE),0)</f>
        <v>0</v>
      </c>
      <c r="BH1361" s="1710">
        <f t="shared" si="84"/>
        <v>21796181833.748875</v>
      </c>
      <c r="BI1361" s="1710">
        <f t="shared" si="85"/>
        <v>23889811860.615681</v>
      </c>
      <c r="BJ1361" s="1711">
        <f t="shared" si="86"/>
        <v>22497234.162378494</v>
      </c>
      <c r="BK1361" s="1711">
        <f t="shared" si="87"/>
        <v>0.91236305923704963</v>
      </c>
    </row>
    <row r="1362" spans="3:67" x14ac:dyDescent="0.25">
      <c r="C1362" s="246" t="s">
        <v>2712</v>
      </c>
      <c r="D1362" s="246">
        <v>1</v>
      </c>
      <c r="E1362" s="246">
        <v>2</v>
      </c>
      <c r="F1362" s="246">
        <v>3</v>
      </c>
      <c r="G1362" s="246">
        <v>5</v>
      </c>
      <c r="H1362" s="246">
        <v>9</v>
      </c>
      <c r="I1362" s="246">
        <v>10</v>
      </c>
      <c r="J1362" s="246">
        <v>13</v>
      </c>
      <c r="K1362" s="246">
        <v>16</v>
      </c>
      <c r="L1362" s="246">
        <v>17</v>
      </c>
      <c r="M1362" s="246"/>
      <c r="N1362" s="246"/>
      <c r="O1362" s="246"/>
      <c r="P1362" s="246"/>
      <c r="Q1362" s="246"/>
      <c r="R1362" s="246">
        <f>IFERROR(VLOOKUP(D1362,PROGRAMAS[],2,FALSE),0)</f>
        <v>97037803.679377079</v>
      </c>
      <c r="S1362" s="246">
        <f>IFERROR(VLOOKUP(E1362,PROGRAMAS[],2,FALSE),0)</f>
        <v>640501509.6821388</v>
      </c>
      <c r="T1362" s="246">
        <f>IFERROR(VLOOKUP(F1362,PROGRAMAS[],2,FALSE),0)</f>
        <v>3062327798.1525245</v>
      </c>
      <c r="U1362" s="246">
        <f>IFERROR(VLOOKUP(G1362,PROGRAMAS[],2,FALSE),0)</f>
        <v>1440941976.2528784</v>
      </c>
      <c r="V1362" s="246">
        <f>IFERROR(VLOOKUP(H1362,PROGRAMAS[],2,FALSE),0)</f>
        <v>6128579952.1618185</v>
      </c>
      <c r="W1362" s="246">
        <f>IFERROR(VLOOKUP(I1362,PROGRAMAS[],2,FALSE),0)</f>
        <v>4635315027.8751087</v>
      </c>
      <c r="X1362" s="246">
        <f>IFERROR(VLOOKUP(J1362,PROGRAMAS[],2,FALSE),0)</f>
        <v>3776538594.4604583</v>
      </c>
      <c r="Y1362" s="246">
        <f>IFERROR(VLOOKUP(K1362,PROGRAMAS[],2,FALSE),0)</f>
        <v>7068496961.0436354</v>
      </c>
      <c r="Z1362" s="246">
        <f>IFERROR(VLOOKUP(L1362,PROGRAMAS[],2,FALSE),0)</f>
        <v>1892779498.5211046</v>
      </c>
      <c r="AA1362" s="246">
        <f>IFERROR(VLOOKUP(M1362,PROGRAMAS[],2,FALSE),0)</f>
        <v>0</v>
      </c>
      <c r="AB1362" s="246">
        <f>IFERROR(VLOOKUP(N1362,PROGRAMAS[],2,FALSE),0)</f>
        <v>0</v>
      </c>
      <c r="AC1362" s="246">
        <f>IFERROR(VLOOKUP(O1362,PROGRAMAS[],2,FALSE),0)</f>
        <v>0</v>
      </c>
      <c r="AD1362" s="246">
        <f>IFERROR(VLOOKUP(P1362,PROGRAMAS[],2,FALSE),0)</f>
        <v>0</v>
      </c>
      <c r="AE1362" s="246">
        <f>IFERROR(VLOOKUP(Q1362,PROGRAMAS[],2,FALSE),0)</f>
        <v>0</v>
      </c>
      <c r="AF1362" s="246">
        <f>IFERROR(VLOOKUP(D1362,PROGRAMAS[],3,FALSE),0)</f>
        <v>841888629.31080008</v>
      </c>
      <c r="AG1362" s="246">
        <f>IFERROR(VLOOKUP(E1362,PROGRAMAS[],3,FALSE),0)</f>
        <v>3848980803.1642323</v>
      </c>
      <c r="AH1362" s="246">
        <f>IFERROR(VLOOKUP(F1362,PROGRAMAS[],3,FALSE),0)</f>
        <v>3394901471.387517</v>
      </c>
      <c r="AI1362" s="246">
        <f>IFERROR(VLOOKUP(G1362,PROGRAMAS[],3,FALSE),0)</f>
        <v>1233505101.0616004</v>
      </c>
      <c r="AJ1362" s="246">
        <f>IFERROR(VLOOKUP(H1362,PROGRAMAS[],3,FALSE),0)</f>
        <v>7011279577.519702</v>
      </c>
      <c r="AK1362" s="246">
        <f>IFERROR(VLOOKUP(I1362,PROGRAMAS[],3,FALSE),0)</f>
        <v>4099471734.9978786</v>
      </c>
      <c r="AL1362" s="246">
        <f>IFERROR(VLOOKUP(J1362,PROGRAMAS[],3,FALSE),0)</f>
        <v>2392571243.5584412</v>
      </c>
      <c r="AM1362" s="246">
        <f>IFERROR(VLOOKUP(K1362,PROGRAMAS[],3,FALSE),0)</f>
        <v>2406564599.0319901</v>
      </c>
      <c r="AN1362" s="246">
        <f>IFERROR(VLOOKUP(L1362,PROGRAMAS[],3,FALSE),0)</f>
        <v>948595847.09039903</v>
      </c>
      <c r="AO1362" s="246">
        <f>IFERROR(VLOOKUP(M1362,PROGRAMAS[],3,FALSE),0)</f>
        <v>0</v>
      </c>
      <c r="AP1362" s="246">
        <f>IFERROR(VLOOKUP(N1362,PROGRAMAS[],3,FALSE),0)</f>
        <v>0</v>
      </c>
      <c r="AQ1362" s="246">
        <f>IFERROR(VLOOKUP(O1362,PROGRAMAS[],3,FALSE),0)</f>
        <v>0</v>
      </c>
      <c r="AR1362" s="246">
        <f>IFERROR(VLOOKUP(P1362,PROGRAMAS[],3,FALSE),0)</f>
        <v>0</v>
      </c>
      <c r="AS1362" s="246">
        <f>IFERROR(VLOOKUP(Q1362,PROGRAMAS[],3,FALSE),0)</f>
        <v>0</v>
      </c>
      <c r="AT1362" s="246">
        <f>IFERROR(VLOOKUP(D1362,VOL_REC[],2,FALSE),0)</f>
        <v>0</v>
      </c>
      <c r="AU1362" s="246">
        <f>IFERROR(VLOOKUP(E1362,VOL_REC[],2,FALSE),0)</f>
        <v>0</v>
      </c>
      <c r="AV1362" s="246">
        <f>IFERROR(VLOOKUP(F1362,VOL_REC[],2,FALSE),0)</f>
        <v>11089674.200000001</v>
      </c>
      <c r="AW1362" s="246">
        <f>IFERROR(VLOOKUP(G1362,VOL_REC[],2,FALSE),0)</f>
        <v>4325103.1812214684</v>
      </c>
      <c r="AX1362" s="246">
        <f>IFERROR(VLOOKUP(H1362,VOL_REC[],2,FALSE),0)</f>
        <v>3761786</v>
      </c>
      <c r="AY1362" s="246">
        <f>IFERROR(VLOOKUP(I1362,VOL_REC[],2,FALSE),0)</f>
        <v>1812240</v>
      </c>
      <c r="AZ1362" s="246">
        <f>IFERROR(VLOOKUP(J1362,VOL_REC[],2,FALSE),0)</f>
        <v>663244.80000000016</v>
      </c>
      <c r="BA1362" s="246">
        <f>IFERROR(VLOOKUP(K1362,VOL_REC[],2,FALSE),0)</f>
        <v>1072354.9981737854</v>
      </c>
      <c r="BB1362" s="246">
        <f>IFERROR(VLOOKUP(L1362,VOL_REC[],2,FALSE),0)</f>
        <v>740113.98115702497</v>
      </c>
      <c r="BC1362" s="246">
        <f>IFERROR(VLOOKUP(M1362,VOL_REC[],2,FALSE),0)</f>
        <v>0</v>
      </c>
      <c r="BD1362" s="246">
        <f>IFERROR(VLOOKUP(N1362,VOL_REC[],2,FALSE),0)</f>
        <v>0</v>
      </c>
      <c r="BE1362" s="246">
        <f>IFERROR(VLOOKUP(O1362,VOL_REC[],2,FALSE),0)</f>
        <v>0</v>
      </c>
      <c r="BF1362" s="246">
        <f>IFERROR(VLOOKUP(P1362,VOL_REC[],2,FALSE),0)</f>
        <v>0</v>
      </c>
      <c r="BG1362" s="246">
        <f>IFERROR(VLOOKUP(Q1362,VOL_REC[],2,FALSE),0)</f>
        <v>0</v>
      </c>
      <c r="BH1362" s="1710">
        <f t="shared" si="84"/>
        <v>28742519121.829044</v>
      </c>
      <c r="BI1362" s="1710">
        <f t="shared" si="85"/>
        <v>26177759007.122562</v>
      </c>
      <c r="BJ1362" s="1711">
        <f t="shared" si="86"/>
        <v>23464517.160552278</v>
      </c>
      <c r="BK1362" s="1711">
        <f t="shared" si="87"/>
        <v>1.0979747775204383</v>
      </c>
      <c r="BL1362">
        <f>BJ1362</f>
        <v>23464517.160552278</v>
      </c>
      <c r="BO1362">
        <f>BL1362</f>
        <v>23464517.160552278</v>
      </c>
    </row>
    <row r="1363" spans="3:67" x14ac:dyDescent="0.25">
      <c r="C1363" s="246" t="s">
        <v>2713</v>
      </c>
      <c r="D1363" s="246">
        <v>1</v>
      </c>
      <c r="E1363" s="246">
        <v>2</v>
      </c>
      <c r="F1363" s="246">
        <v>3</v>
      </c>
      <c r="G1363" s="246">
        <v>5</v>
      </c>
      <c r="H1363" s="246">
        <v>9</v>
      </c>
      <c r="I1363" s="246">
        <v>10</v>
      </c>
      <c r="J1363" s="246">
        <v>14</v>
      </c>
      <c r="K1363" s="246">
        <v>15</v>
      </c>
      <c r="L1363" s="246">
        <v>16</v>
      </c>
      <c r="M1363" s="246"/>
      <c r="N1363" s="246"/>
      <c r="O1363" s="246"/>
      <c r="P1363" s="246"/>
      <c r="Q1363" s="246"/>
      <c r="R1363" s="246">
        <f>IFERROR(VLOOKUP(D1363,PROGRAMAS[],2,FALSE),0)</f>
        <v>97037803.679377079</v>
      </c>
      <c r="S1363" s="246">
        <f>IFERROR(VLOOKUP(E1363,PROGRAMAS[],2,FALSE),0)</f>
        <v>640501509.6821388</v>
      </c>
      <c r="T1363" s="246">
        <f>IFERROR(VLOOKUP(F1363,PROGRAMAS[],2,FALSE),0)</f>
        <v>3062327798.1525245</v>
      </c>
      <c r="U1363" s="246">
        <f>IFERROR(VLOOKUP(G1363,PROGRAMAS[],2,FALSE),0)</f>
        <v>1440941976.2528784</v>
      </c>
      <c r="V1363" s="246">
        <f>IFERROR(VLOOKUP(H1363,PROGRAMAS[],2,FALSE),0)</f>
        <v>6128579952.1618185</v>
      </c>
      <c r="W1363" s="246">
        <f>IFERROR(VLOOKUP(I1363,PROGRAMAS[],2,FALSE),0)</f>
        <v>4635315027.8751087</v>
      </c>
      <c r="X1363" s="246">
        <f>IFERROR(VLOOKUP(J1363,PROGRAMAS[],2,FALSE),0)</f>
        <v>54223862.645839565</v>
      </c>
      <c r="Y1363" s="246">
        <f>IFERROR(VLOOKUP(K1363,PROGRAMAS[],2,FALSE),0)</f>
        <v>122159672.96346797</v>
      </c>
      <c r="Z1363" s="246">
        <f>IFERROR(VLOOKUP(L1363,PROGRAMAS[],2,FALSE),0)</f>
        <v>7068496961.0436354</v>
      </c>
      <c r="AA1363" s="246">
        <f>IFERROR(VLOOKUP(M1363,PROGRAMAS[],2,FALSE),0)</f>
        <v>0</v>
      </c>
      <c r="AB1363" s="246">
        <f>IFERROR(VLOOKUP(N1363,PROGRAMAS[],2,FALSE),0)</f>
        <v>0</v>
      </c>
      <c r="AC1363" s="246">
        <f>IFERROR(VLOOKUP(O1363,PROGRAMAS[],2,FALSE),0)</f>
        <v>0</v>
      </c>
      <c r="AD1363" s="246">
        <f>IFERROR(VLOOKUP(P1363,PROGRAMAS[],2,FALSE),0)</f>
        <v>0</v>
      </c>
      <c r="AE1363" s="246">
        <f>IFERROR(VLOOKUP(Q1363,PROGRAMAS[],2,FALSE),0)</f>
        <v>0</v>
      </c>
      <c r="AF1363" s="246">
        <f>IFERROR(VLOOKUP(D1363,PROGRAMAS[],3,FALSE),0)</f>
        <v>841888629.31080008</v>
      </c>
      <c r="AG1363" s="246">
        <f>IFERROR(VLOOKUP(E1363,PROGRAMAS[],3,FALSE),0)</f>
        <v>3848980803.1642323</v>
      </c>
      <c r="AH1363" s="246">
        <f>IFERROR(VLOOKUP(F1363,PROGRAMAS[],3,FALSE),0)</f>
        <v>3394901471.387517</v>
      </c>
      <c r="AI1363" s="246">
        <f>IFERROR(VLOOKUP(G1363,PROGRAMAS[],3,FALSE),0)</f>
        <v>1233505101.0616004</v>
      </c>
      <c r="AJ1363" s="246">
        <f>IFERROR(VLOOKUP(H1363,PROGRAMAS[],3,FALSE),0)</f>
        <v>7011279577.519702</v>
      </c>
      <c r="AK1363" s="246">
        <f>IFERROR(VLOOKUP(I1363,PROGRAMAS[],3,FALSE),0)</f>
        <v>4099471734.9978786</v>
      </c>
      <c r="AL1363" s="246">
        <f>IFERROR(VLOOKUP(J1363,PROGRAMAS[],3,FALSE),0)</f>
        <v>31865326.38096505</v>
      </c>
      <c r="AM1363" s="246">
        <f>IFERROR(VLOOKUP(K1363,PROGRAMAS[],3,FALSE),0)</f>
        <v>118617452.52510804</v>
      </c>
      <c r="AN1363" s="246">
        <f>IFERROR(VLOOKUP(L1363,PROGRAMAS[],3,FALSE),0)</f>
        <v>2406564599.0319901</v>
      </c>
      <c r="AO1363" s="246">
        <f>IFERROR(VLOOKUP(M1363,PROGRAMAS[],3,FALSE),0)</f>
        <v>0</v>
      </c>
      <c r="AP1363" s="246">
        <f>IFERROR(VLOOKUP(N1363,PROGRAMAS[],3,FALSE),0)</f>
        <v>0</v>
      </c>
      <c r="AQ1363" s="246">
        <f>IFERROR(VLOOKUP(O1363,PROGRAMAS[],3,FALSE),0)</f>
        <v>0</v>
      </c>
      <c r="AR1363" s="246">
        <f>IFERROR(VLOOKUP(P1363,PROGRAMAS[],3,FALSE),0)</f>
        <v>0</v>
      </c>
      <c r="AS1363" s="246">
        <f>IFERROR(VLOOKUP(Q1363,PROGRAMAS[],3,FALSE),0)</f>
        <v>0</v>
      </c>
      <c r="AT1363" s="246">
        <f>IFERROR(VLOOKUP(D1363,VOL_REC[],2,FALSE),0)</f>
        <v>0</v>
      </c>
      <c r="AU1363" s="246">
        <f>IFERROR(VLOOKUP(E1363,VOL_REC[],2,FALSE),0)</f>
        <v>0</v>
      </c>
      <c r="AV1363" s="246">
        <f>IFERROR(VLOOKUP(F1363,VOL_REC[],2,FALSE),0)</f>
        <v>11089674.200000001</v>
      </c>
      <c r="AW1363" s="246">
        <f>IFERROR(VLOOKUP(G1363,VOL_REC[],2,FALSE),0)</f>
        <v>4325103.1812214684</v>
      </c>
      <c r="AX1363" s="246">
        <f>IFERROR(VLOOKUP(H1363,VOL_REC[],2,FALSE),0)</f>
        <v>3761786</v>
      </c>
      <c r="AY1363" s="246">
        <f>IFERROR(VLOOKUP(I1363,VOL_REC[],2,FALSE),0)</f>
        <v>1812240</v>
      </c>
      <c r="AZ1363" s="246">
        <f>IFERROR(VLOOKUP(J1363,VOL_REC[],2,FALSE),0)</f>
        <v>17074.045034105649</v>
      </c>
      <c r="BA1363" s="246">
        <f>IFERROR(VLOOKUP(K1363,VOL_REC[],2,FALSE),0)</f>
        <v>105072</v>
      </c>
      <c r="BB1363" s="246">
        <f>IFERROR(VLOOKUP(L1363,VOL_REC[],2,FALSE),0)</f>
        <v>1072354.9981737854</v>
      </c>
      <c r="BC1363" s="246">
        <f>IFERROR(VLOOKUP(M1363,VOL_REC[],2,FALSE),0)</f>
        <v>0</v>
      </c>
      <c r="BD1363" s="246">
        <f>IFERROR(VLOOKUP(N1363,VOL_REC[],2,FALSE),0)</f>
        <v>0</v>
      </c>
      <c r="BE1363" s="246">
        <f>IFERROR(VLOOKUP(O1363,VOL_REC[],2,FALSE),0)</f>
        <v>0</v>
      </c>
      <c r="BF1363" s="246">
        <f>IFERROR(VLOOKUP(P1363,VOL_REC[],2,FALSE),0)</f>
        <v>0</v>
      </c>
      <c r="BG1363" s="246">
        <f>IFERROR(VLOOKUP(Q1363,VOL_REC[],2,FALSE),0)</f>
        <v>0</v>
      </c>
      <c r="BH1363" s="1710">
        <f t="shared" si="84"/>
        <v>23249584564.456791</v>
      </c>
      <c r="BI1363" s="1710">
        <f t="shared" si="85"/>
        <v>22987074695.379795</v>
      </c>
      <c r="BJ1363" s="1711">
        <f t="shared" si="86"/>
        <v>22183304.424429361</v>
      </c>
      <c r="BK1363" s="1711">
        <f t="shared" si="87"/>
        <v>1.0114198902015905</v>
      </c>
      <c r="BL1363">
        <f>BJ1363</f>
        <v>22183304.424429361</v>
      </c>
      <c r="BO1363">
        <f>BL1363</f>
        <v>22183304.424429361</v>
      </c>
    </row>
    <row r="1364" spans="3:67" x14ac:dyDescent="0.25">
      <c r="C1364" s="246" t="s">
        <v>2714</v>
      </c>
      <c r="D1364" s="246">
        <v>1</v>
      </c>
      <c r="E1364" s="246">
        <v>2</v>
      </c>
      <c r="F1364" s="246">
        <v>3</v>
      </c>
      <c r="G1364" s="246">
        <v>5</v>
      </c>
      <c r="H1364" s="246">
        <v>9</v>
      </c>
      <c r="I1364" s="246">
        <v>10</v>
      </c>
      <c r="J1364" s="246">
        <v>14</v>
      </c>
      <c r="K1364" s="246">
        <v>15</v>
      </c>
      <c r="L1364" s="246">
        <v>17</v>
      </c>
      <c r="M1364" s="246"/>
      <c r="N1364" s="246"/>
      <c r="O1364" s="246"/>
      <c r="P1364" s="246"/>
      <c r="Q1364" s="246"/>
      <c r="R1364" s="246">
        <f>IFERROR(VLOOKUP(D1364,PROGRAMAS[],2,FALSE),0)</f>
        <v>97037803.679377079</v>
      </c>
      <c r="S1364" s="246">
        <f>IFERROR(VLOOKUP(E1364,PROGRAMAS[],2,FALSE),0)</f>
        <v>640501509.6821388</v>
      </c>
      <c r="T1364" s="246">
        <f>IFERROR(VLOOKUP(F1364,PROGRAMAS[],2,FALSE),0)</f>
        <v>3062327798.1525245</v>
      </c>
      <c r="U1364" s="246">
        <f>IFERROR(VLOOKUP(G1364,PROGRAMAS[],2,FALSE),0)</f>
        <v>1440941976.2528784</v>
      </c>
      <c r="V1364" s="246">
        <f>IFERROR(VLOOKUP(H1364,PROGRAMAS[],2,FALSE),0)</f>
        <v>6128579952.1618185</v>
      </c>
      <c r="W1364" s="246">
        <f>IFERROR(VLOOKUP(I1364,PROGRAMAS[],2,FALSE),0)</f>
        <v>4635315027.8751087</v>
      </c>
      <c r="X1364" s="246">
        <f>IFERROR(VLOOKUP(J1364,PROGRAMAS[],2,FALSE),0)</f>
        <v>54223862.645839565</v>
      </c>
      <c r="Y1364" s="246">
        <f>IFERROR(VLOOKUP(K1364,PROGRAMAS[],2,FALSE),0)</f>
        <v>122159672.96346797</v>
      </c>
      <c r="Z1364" s="246">
        <f>IFERROR(VLOOKUP(L1364,PROGRAMAS[],2,FALSE),0)</f>
        <v>1892779498.5211046</v>
      </c>
      <c r="AA1364" s="246">
        <f>IFERROR(VLOOKUP(M1364,PROGRAMAS[],2,FALSE),0)</f>
        <v>0</v>
      </c>
      <c r="AB1364" s="246">
        <f>IFERROR(VLOOKUP(N1364,PROGRAMAS[],2,FALSE),0)</f>
        <v>0</v>
      </c>
      <c r="AC1364" s="246">
        <f>IFERROR(VLOOKUP(O1364,PROGRAMAS[],2,FALSE),0)</f>
        <v>0</v>
      </c>
      <c r="AD1364" s="246">
        <f>IFERROR(VLOOKUP(P1364,PROGRAMAS[],2,FALSE),0)</f>
        <v>0</v>
      </c>
      <c r="AE1364" s="246">
        <f>IFERROR(VLOOKUP(Q1364,PROGRAMAS[],2,FALSE),0)</f>
        <v>0</v>
      </c>
      <c r="AF1364" s="246">
        <f>IFERROR(VLOOKUP(D1364,PROGRAMAS[],3,FALSE),0)</f>
        <v>841888629.31080008</v>
      </c>
      <c r="AG1364" s="246">
        <f>IFERROR(VLOOKUP(E1364,PROGRAMAS[],3,FALSE),0)</f>
        <v>3848980803.1642323</v>
      </c>
      <c r="AH1364" s="246">
        <f>IFERROR(VLOOKUP(F1364,PROGRAMAS[],3,FALSE),0)</f>
        <v>3394901471.387517</v>
      </c>
      <c r="AI1364" s="246">
        <f>IFERROR(VLOOKUP(G1364,PROGRAMAS[],3,FALSE),0)</f>
        <v>1233505101.0616004</v>
      </c>
      <c r="AJ1364" s="246">
        <f>IFERROR(VLOOKUP(H1364,PROGRAMAS[],3,FALSE),0)</f>
        <v>7011279577.519702</v>
      </c>
      <c r="AK1364" s="246">
        <f>IFERROR(VLOOKUP(I1364,PROGRAMAS[],3,FALSE),0)</f>
        <v>4099471734.9978786</v>
      </c>
      <c r="AL1364" s="246">
        <f>IFERROR(VLOOKUP(J1364,PROGRAMAS[],3,FALSE),0)</f>
        <v>31865326.38096505</v>
      </c>
      <c r="AM1364" s="246">
        <f>IFERROR(VLOOKUP(K1364,PROGRAMAS[],3,FALSE),0)</f>
        <v>118617452.52510804</v>
      </c>
      <c r="AN1364" s="246">
        <f>IFERROR(VLOOKUP(L1364,PROGRAMAS[],3,FALSE),0)</f>
        <v>948595847.09039903</v>
      </c>
      <c r="AO1364" s="246">
        <f>IFERROR(VLOOKUP(M1364,PROGRAMAS[],3,FALSE),0)</f>
        <v>0</v>
      </c>
      <c r="AP1364" s="246">
        <f>IFERROR(VLOOKUP(N1364,PROGRAMAS[],3,FALSE),0)</f>
        <v>0</v>
      </c>
      <c r="AQ1364" s="246">
        <f>IFERROR(VLOOKUP(O1364,PROGRAMAS[],3,FALSE),0)</f>
        <v>0</v>
      </c>
      <c r="AR1364" s="246">
        <f>IFERROR(VLOOKUP(P1364,PROGRAMAS[],3,FALSE),0)</f>
        <v>0</v>
      </c>
      <c r="AS1364" s="246">
        <f>IFERROR(VLOOKUP(Q1364,PROGRAMAS[],3,FALSE),0)</f>
        <v>0</v>
      </c>
      <c r="AT1364" s="246">
        <f>IFERROR(VLOOKUP(D1364,VOL_REC[],2,FALSE),0)</f>
        <v>0</v>
      </c>
      <c r="AU1364" s="246">
        <f>IFERROR(VLOOKUP(E1364,VOL_REC[],2,FALSE),0)</f>
        <v>0</v>
      </c>
      <c r="AV1364" s="246">
        <f>IFERROR(VLOOKUP(F1364,VOL_REC[],2,FALSE),0)</f>
        <v>11089674.200000001</v>
      </c>
      <c r="AW1364" s="246">
        <f>IFERROR(VLOOKUP(G1364,VOL_REC[],2,FALSE),0)</f>
        <v>4325103.1812214684</v>
      </c>
      <c r="AX1364" s="246">
        <f>IFERROR(VLOOKUP(H1364,VOL_REC[],2,FALSE),0)</f>
        <v>3761786</v>
      </c>
      <c r="AY1364" s="246">
        <f>IFERROR(VLOOKUP(I1364,VOL_REC[],2,FALSE),0)</f>
        <v>1812240</v>
      </c>
      <c r="AZ1364" s="246">
        <f>IFERROR(VLOOKUP(J1364,VOL_REC[],2,FALSE),0)</f>
        <v>17074.045034105649</v>
      </c>
      <c r="BA1364" s="246">
        <f>IFERROR(VLOOKUP(K1364,VOL_REC[],2,FALSE),0)</f>
        <v>105072</v>
      </c>
      <c r="BB1364" s="246">
        <f>IFERROR(VLOOKUP(L1364,VOL_REC[],2,FALSE),0)</f>
        <v>740113.98115702497</v>
      </c>
      <c r="BC1364" s="246">
        <f>IFERROR(VLOOKUP(M1364,VOL_REC[],2,FALSE),0)</f>
        <v>0</v>
      </c>
      <c r="BD1364" s="246">
        <f>IFERROR(VLOOKUP(N1364,VOL_REC[],2,FALSE),0)</f>
        <v>0</v>
      </c>
      <c r="BE1364" s="246">
        <f>IFERROR(VLOOKUP(O1364,VOL_REC[],2,FALSE),0)</f>
        <v>0</v>
      </c>
      <c r="BF1364" s="246">
        <f>IFERROR(VLOOKUP(P1364,VOL_REC[],2,FALSE),0)</f>
        <v>0</v>
      </c>
      <c r="BG1364" s="246">
        <f>IFERROR(VLOOKUP(Q1364,VOL_REC[],2,FALSE),0)</f>
        <v>0</v>
      </c>
      <c r="BH1364" s="1710">
        <f t="shared" si="84"/>
        <v>18073867101.934258</v>
      </c>
      <c r="BI1364" s="1710">
        <f t="shared" si="85"/>
        <v>21529105943.438206</v>
      </c>
      <c r="BJ1364" s="1711">
        <f t="shared" si="86"/>
        <v>21851063.4074126</v>
      </c>
      <c r="BK1364" s="1711">
        <f t="shared" si="87"/>
        <v>0.83950848444047621</v>
      </c>
    </row>
    <row r="1365" spans="3:67" x14ac:dyDescent="0.25">
      <c r="C1365" s="246" t="s">
        <v>2715</v>
      </c>
      <c r="D1365" s="246">
        <v>1</v>
      </c>
      <c r="E1365" s="246">
        <v>2</v>
      </c>
      <c r="F1365" s="246">
        <v>3</v>
      </c>
      <c r="G1365" s="246">
        <v>5</v>
      </c>
      <c r="H1365" s="246">
        <v>9</v>
      </c>
      <c r="I1365" s="246">
        <v>10</v>
      </c>
      <c r="J1365" s="246">
        <v>14</v>
      </c>
      <c r="K1365" s="246">
        <v>16</v>
      </c>
      <c r="L1365" s="246">
        <v>17</v>
      </c>
      <c r="M1365" s="246"/>
      <c r="N1365" s="246"/>
      <c r="O1365" s="246"/>
      <c r="P1365" s="246"/>
      <c r="Q1365" s="246"/>
      <c r="R1365" s="246">
        <f>IFERROR(VLOOKUP(D1365,PROGRAMAS[],2,FALSE),0)</f>
        <v>97037803.679377079</v>
      </c>
      <c r="S1365" s="246">
        <f>IFERROR(VLOOKUP(E1365,PROGRAMAS[],2,FALSE),0)</f>
        <v>640501509.6821388</v>
      </c>
      <c r="T1365" s="246">
        <f>IFERROR(VLOOKUP(F1365,PROGRAMAS[],2,FALSE),0)</f>
        <v>3062327798.1525245</v>
      </c>
      <c r="U1365" s="246">
        <f>IFERROR(VLOOKUP(G1365,PROGRAMAS[],2,FALSE),0)</f>
        <v>1440941976.2528784</v>
      </c>
      <c r="V1365" s="246">
        <f>IFERROR(VLOOKUP(H1365,PROGRAMAS[],2,FALSE),0)</f>
        <v>6128579952.1618185</v>
      </c>
      <c r="W1365" s="246">
        <f>IFERROR(VLOOKUP(I1365,PROGRAMAS[],2,FALSE),0)</f>
        <v>4635315027.8751087</v>
      </c>
      <c r="X1365" s="246">
        <f>IFERROR(VLOOKUP(J1365,PROGRAMAS[],2,FALSE),0)</f>
        <v>54223862.645839565</v>
      </c>
      <c r="Y1365" s="246">
        <f>IFERROR(VLOOKUP(K1365,PROGRAMAS[],2,FALSE),0)</f>
        <v>7068496961.0436354</v>
      </c>
      <c r="Z1365" s="246">
        <f>IFERROR(VLOOKUP(L1365,PROGRAMAS[],2,FALSE),0)</f>
        <v>1892779498.5211046</v>
      </c>
      <c r="AA1365" s="246">
        <f>IFERROR(VLOOKUP(M1365,PROGRAMAS[],2,FALSE),0)</f>
        <v>0</v>
      </c>
      <c r="AB1365" s="246">
        <f>IFERROR(VLOOKUP(N1365,PROGRAMAS[],2,FALSE),0)</f>
        <v>0</v>
      </c>
      <c r="AC1365" s="246">
        <f>IFERROR(VLOOKUP(O1365,PROGRAMAS[],2,FALSE),0)</f>
        <v>0</v>
      </c>
      <c r="AD1365" s="246">
        <f>IFERROR(VLOOKUP(P1365,PROGRAMAS[],2,FALSE),0)</f>
        <v>0</v>
      </c>
      <c r="AE1365" s="246">
        <f>IFERROR(VLOOKUP(Q1365,PROGRAMAS[],2,FALSE),0)</f>
        <v>0</v>
      </c>
      <c r="AF1365" s="246">
        <f>IFERROR(VLOOKUP(D1365,PROGRAMAS[],3,FALSE),0)</f>
        <v>841888629.31080008</v>
      </c>
      <c r="AG1365" s="246">
        <f>IFERROR(VLOOKUP(E1365,PROGRAMAS[],3,FALSE),0)</f>
        <v>3848980803.1642323</v>
      </c>
      <c r="AH1365" s="246">
        <f>IFERROR(VLOOKUP(F1365,PROGRAMAS[],3,FALSE),0)</f>
        <v>3394901471.387517</v>
      </c>
      <c r="AI1365" s="246">
        <f>IFERROR(VLOOKUP(G1365,PROGRAMAS[],3,FALSE),0)</f>
        <v>1233505101.0616004</v>
      </c>
      <c r="AJ1365" s="246">
        <f>IFERROR(VLOOKUP(H1365,PROGRAMAS[],3,FALSE),0)</f>
        <v>7011279577.519702</v>
      </c>
      <c r="AK1365" s="246">
        <f>IFERROR(VLOOKUP(I1365,PROGRAMAS[],3,FALSE),0)</f>
        <v>4099471734.9978786</v>
      </c>
      <c r="AL1365" s="246">
        <f>IFERROR(VLOOKUP(J1365,PROGRAMAS[],3,FALSE),0)</f>
        <v>31865326.38096505</v>
      </c>
      <c r="AM1365" s="246">
        <f>IFERROR(VLOOKUP(K1365,PROGRAMAS[],3,FALSE),0)</f>
        <v>2406564599.0319901</v>
      </c>
      <c r="AN1365" s="246">
        <f>IFERROR(VLOOKUP(L1365,PROGRAMAS[],3,FALSE),0)</f>
        <v>948595847.09039903</v>
      </c>
      <c r="AO1365" s="246">
        <f>IFERROR(VLOOKUP(M1365,PROGRAMAS[],3,FALSE),0)</f>
        <v>0</v>
      </c>
      <c r="AP1365" s="246">
        <f>IFERROR(VLOOKUP(N1365,PROGRAMAS[],3,FALSE),0)</f>
        <v>0</v>
      </c>
      <c r="AQ1365" s="246">
        <f>IFERROR(VLOOKUP(O1365,PROGRAMAS[],3,FALSE),0)</f>
        <v>0</v>
      </c>
      <c r="AR1365" s="246">
        <f>IFERROR(VLOOKUP(P1365,PROGRAMAS[],3,FALSE),0)</f>
        <v>0</v>
      </c>
      <c r="AS1365" s="246">
        <f>IFERROR(VLOOKUP(Q1365,PROGRAMAS[],3,FALSE),0)</f>
        <v>0</v>
      </c>
      <c r="AT1365" s="246">
        <f>IFERROR(VLOOKUP(D1365,VOL_REC[],2,FALSE),0)</f>
        <v>0</v>
      </c>
      <c r="AU1365" s="246">
        <f>IFERROR(VLOOKUP(E1365,VOL_REC[],2,FALSE),0)</f>
        <v>0</v>
      </c>
      <c r="AV1365" s="246">
        <f>IFERROR(VLOOKUP(F1365,VOL_REC[],2,FALSE),0)</f>
        <v>11089674.200000001</v>
      </c>
      <c r="AW1365" s="246">
        <f>IFERROR(VLOOKUP(G1365,VOL_REC[],2,FALSE),0)</f>
        <v>4325103.1812214684</v>
      </c>
      <c r="AX1365" s="246">
        <f>IFERROR(VLOOKUP(H1365,VOL_REC[],2,FALSE),0)</f>
        <v>3761786</v>
      </c>
      <c r="AY1365" s="246">
        <f>IFERROR(VLOOKUP(I1365,VOL_REC[],2,FALSE),0)</f>
        <v>1812240</v>
      </c>
      <c r="AZ1365" s="246">
        <f>IFERROR(VLOOKUP(J1365,VOL_REC[],2,FALSE),0)</f>
        <v>17074.045034105649</v>
      </c>
      <c r="BA1365" s="246">
        <f>IFERROR(VLOOKUP(K1365,VOL_REC[],2,FALSE),0)</f>
        <v>1072354.9981737854</v>
      </c>
      <c r="BB1365" s="246">
        <f>IFERROR(VLOOKUP(L1365,VOL_REC[],2,FALSE),0)</f>
        <v>740113.98115702497</v>
      </c>
      <c r="BC1365" s="246">
        <f>IFERROR(VLOOKUP(M1365,VOL_REC[],2,FALSE),0)</f>
        <v>0</v>
      </c>
      <c r="BD1365" s="246">
        <f>IFERROR(VLOOKUP(N1365,VOL_REC[],2,FALSE),0)</f>
        <v>0</v>
      </c>
      <c r="BE1365" s="246">
        <f>IFERROR(VLOOKUP(O1365,VOL_REC[],2,FALSE),0)</f>
        <v>0</v>
      </c>
      <c r="BF1365" s="246">
        <f>IFERROR(VLOOKUP(P1365,VOL_REC[],2,FALSE),0)</f>
        <v>0</v>
      </c>
      <c r="BG1365" s="246">
        <f>IFERROR(VLOOKUP(Q1365,VOL_REC[],2,FALSE),0)</f>
        <v>0</v>
      </c>
      <c r="BH1365" s="1710">
        <f t="shared" si="84"/>
        <v>25020204390.014423</v>
      </c>
      <c r="BI1365" s="1710">
        <f t="shared" si="85"/>
        <v>23817053089.945087</v>
      </c>
      <c r="BJ1365" s="1711">
        <f t="shared" si="86"/>
        <v>22818346.405586384</v>
      </c>
      <c r="BK1365" s="1711">
        <f t="shared" si="87"/>
        <v>1.050516379819352</v>
      </c>
      <c r="BL1365">
        <f>BJ1365</f>
        <v>22818346.405586384</v>
      </c>
      <c r="BO1365">
        <f>BL1365</f>
        <v>22818346.405586384</v>
      </c>
    </row>
    <row r="1366" spans="3:67" x14ac:dyDescent="0.25">
      <c r="C1366" s="246" t="s">
        <v>2716</v>
      </c>
      <c r="D1366" s="246">
        <v>1</v>
      </c>
      <c r="E1366" s="246">
        <v>2</v>
      </c>
      <c r="F1366" s="246">
        <v>3</v>
      </c>
      <c r="G1366" s="246">
        <v>5</v>
      </c>
      <c r="H1366" s="246">
        <v>9</v>
      </c>
      <c r="I1366" s="246">
        <v>10</v>
      </c>
      <c r="J1366" s="246">
        <v>15</v>
      </c>
      <c r="K1366" s="246">
        <v>16</v>
      </c>
      <c r="L1366" s="246">
        <v>17</v>
      </c>
      <c r="M1366" s="246"/>
      <c r="N1366" s="246"/>
      <c r="O1366" s="246"/>
      <c r="P1366" s="246"/>
      <c r="Q1366" s="246"/>
      <c r="R1366" s="246">
        <f>IFERROR(VLOOKUP(D1366,PROGRAMAS[],2,FALSE),0)</f>
        <v>97037803.679377079</v>
      </c>
      <c r="S1366" s="246">
        <f>IFERROR(VLOOKUP(E1366,PROGRAMAS[],2,FALSE),0)</f>
        <v>640501509.6821388</v>
      </c>
      <c r="T1366" s="246">
        <f>IFERROR(VLOOKUP(F1366,PROGRAMAS[],2,FALSE),0)</f>
        <v>3062327798.1525245</v>
      </c>
      <c r="U1366" s="246">
        <f>IFERROR(VLOOKUP(G1366,PROGRAMAS[],2,FALSE),0)</f>
        <v>1440941976.2528784</v>
      </c>
      <c r="V1366" s="246">
        <f>IFERROR(VLOOKUP(H1366,PROGRAMAS[],2,FALSE),0)</f>
        <v>6128579952.1618185</v>
      </c>
      <c r="W1366" s="246">
        <f>IFERROR(VLOOKUP(I1366,PROGRAMAS[],2,FALSE),0)</f>
        <v>4635315027.8751087</v>
      </c>
      <c r="X1366" s="246">
        <f>IFERROR(VLOOKUP(J1366,PROGRAMAS[],2,FALSE),0)</f>
        <v>122159672.96346797</v>
      </c>
      <c r="Y1366" s="246">
        <f>IFERROR(VLOOKUP(K1366,PROGRAMAS[],2,FALSE),0)</f>
        <v>7068496961.0436354</v>
      </c>
      <c r="Z1366" s="246">
        <f>IFERROR(VLOOKUP(L1366,PROGRAMAS[],2,FALSE),0)</f>
        <v>1892779498.5211046</v>
      </c>
      <c r="AA1366" s="246">
        <f>IFERROR(VLOOKUP(M1366,PROGRAMAS[],2,FALSE),0)</f>
        <v>0</v>
      </c>
      <c r="AB1366" s="246">
        <f>IFERROR(VLOOKUP(N1366,PROGRAMAS[],2,FALSE),0)</f>
        <v>0</v>
      </c>
      <c r="AC1366" s="246">
        <f>IFERROR(VLOOKUP(O1366,PROGRAMAS[],2,FALSE),0)</f>
        <v>0</v>
      </c>
      <c r="AD1366" s="246">
        <f>IFERROR(VLOOKUP(P1366,PROGRAMAS[],2,FALSE),0)</f>
        <v>0</v>
      </c>
      <c r="AE1366" s="246">
        <f>IFERROR(VLOOKUP(Q1366,PROGRAMAS[],2,FALSE),0)</f>
        <v>0</v>
      </c>
      <c r="AF1366" s="246">
        <f>IFERROR(VLOOKUP(D1366,PROGRAMAS[],3,FALSE),0)</f>
        <v>841888629.31080008</v>
      </c>
      <c r="AG1366" s="246">
        <f>IFERROR(VLOOKUP(E1366,PROGRAMAS[],3,FALSE),0)</f>
        <v>3848980803.1642323</v>
      </c>
      <c r="AH1366" s="246">
        <f>IFERROR(VLOOKUP(F1366,PROGRAMAS[],3,FALSE),0)</f>
        <v>3394901471.387517</v>
      </c>
      <c r="AI1366" s="246">
        <f>IFERROR(VLOOKUP(G1366,PROGRAMAS[],3,FALSE),0)</f>
        <v>1233505101.0616004</v>
      </c>
      <c r="AJ1366" s="246">
        <f>IFERROR(VLOOKUP(H1366,PROGRAMAS[],3,FALSE),0)</f>
        <v>7011279577.519702</v>
      </c>
      <c r="AK1366" s="246">
        <f>IFERROR(VLOOKUP(I1366,PROGRAMAS[],3,FALSE),0)</f>
        <v>4099471734.9978786</v>
      </c>
      <c r="AL1366" s="246">
        <f>IFERROR(VLOOKUP(J1366,PROGRAMAS[],3,FALSE),0)</f>
        <v>118617452.52510804</v>
      </c>
      <c r="AM1366" s="246">
        <f>IFERROR(VLOOKUP(K1366,PROGRAMAS[],3,FALSE),0)</f>
        <v>2406564599.0319901</v>
      </c>
      <c r="AN1366" s="246">
        <f>IFERROR(VLOOKUP(L1366,PROGRAMAS[],3,FALSE),0)</f>
        <v>948595847.09039903</v>
      </c>
      <c r="AO1366" s="246">
        <f>IFERROR(VLOOKUP(M1366,PROGRAMAS[],3,FALSE),0)</f>
        <v>0</v>
      </c>
      <c r="AP1366" s="246">
        <f>IFERROR(VLOOKUP(N1366,PROGRAMAS[],3,FALSE),0)</f>
        <v>0</v>
      </c>
      <c r="AQ1366" s="246">
        <f>IFERROR(VLOOKUP(O1366,PROGRAMAS[],3,FALSE),0)</f>
        <v>0</v>
      </c>
      <c r="AR1366" s="246">
        <f>IFERROR(VLOOKUP(P1366,PROGRAMAS[],3,FALSE),0)</f>
        <v>0</v>
      </c>
      <c r="AS1366" s="246">
        <f>IFERROR(VLOOKUP(Q1366,PROGRAMAS[],3,FALSE),0)</f>
        <v>0</v>
      </c>
      <c r="AT1366" s="246">
        <f>IFERROR(VLOOKUP(D1366,VOL_REC[],2,FALSE),0)</f>
        <v>0</v>
      </c>
      <c r="AU1366" s="246">
        <f>IFERROR(VLOOKUP(E1366,VOL_REC[],2,FALSE),0)</f>
        <v>0</v>
      </c>
      <c r="AV1366" s="246">
        <f>IFERROR(VLOOKUP(F1366,VOL_REC[],2,FALSE),0)</f>
        <v>11089674.200000001</v>
      </c>
      <c r="AW1366" s="246">
        <f>IFERROR(VLOOKUP(G1366,VOL_REC[],2,FALSE),0)</f>
        <v>4325103.1812214684</v>
      </c>
      <c r="AX1366" s="246">
        <f>IFERROR(VLOOKUP(H1366,VOL_REC[],2,FALSE),0)</f>
        <v>3761786</v>
      </c>
      <c r="AY1366" s="246">
        <f>IFERROR(VLOOKUP(I1366,VOL_REC[],2,FALSE),0)</f>
        <v>1812240</v>
      </c>
      <c r="AZ1366" s="246">
        <f>IFERROR(VLOOKUP(J1366,VOL_REC[],2,FALSE),0)</f>
        <v>105072</v>
      </c>
      <c r="BA1366" s="246">
        <f>IFERROR(VLOOKUP(K1366,VOL_REC[],2,FALSE),0)</f>
        <v>1072354.9981737854</v>
      </c>
      <c r="BB1366" s="246">
        <f>IFERROR(VLOOKUP(L1366,VOL_REC[],2,FALSE),0)</f>
        <v>740113.98115702497</v>
      </c>
      <c r="BC1366" s="246">
        <f>IFERROR(VLOOKUP(M1366,VOL_REC[],2,FALSE),0)</f>
        <v>0</v>
      </c>
      <c r="BD1366" s="246">
        <f>IFERROR(VLOOKUP(N1366,VOL_REC[],2,FALSE),0)</f>
        <v>0</v>
      </c>
      <c r="BE1366" s="246">
        <f>IFERROR(VLOOKUP(O1366,VOL_REC[],2,FALSE),0)</f>
        <v>0</v>
      </c>
      <c r="BF1366" s="246">
        <f>IFERROR(VLOOKUP(P1366,VOL_REC[],2,FALSE),0)</f>
        <v>0</v>
      </c>
      <c r="BG1366" s="246">
        <f>IFERROR(VLOOKUP(Q1366,VOL_REC[],2,FALSE),0)</f>
        <v>0</v>
      </c>
      <c r="BH1366" s="1710">
        <f t="shared" si="84"/>
        <v>25088140200.332054</v>
      </c>
      <c r="BI1366" s="1710">
        <f t="shared" si="85"/>
        <v>23903805216.08923</v>
      </c>
      <c r="BJ1366" s="1711">
        <f t="shared" si="86"/>
        <v>22906344.360552277</v>
      </c>
      <c r="BK1366" s="1711">
        <f t="shared" si="87"/>
        <v>1.0495458766307915</v>
      </c>
      <c r="BL1366">
        <f>BJ1366</f>
        <v>22906344.360552277</v>
      </c>
      <c r="BO1366">
        <f>BL1366</f>
        <v>22906344.360552277</v>
      </c>
    </row>
    <row r="1367" spans="3:67" x14ac:dyDescent="0.25">
      <c r="C1367" s="246" t="s">
        <v>2717</v>
      </c>
      <c r="D1367" s="246">
        <v>1</v>
      </c>
      <c r="E1367" s="246">
        <v>2</v>
      </c>
      <c r="F1367" s="246">
        <v>3</v>
      </c>
      <c r="G1367" s="246">
        <v>5</v>
      </c>
      <c r="H1367" s="246">
        <v>9</v>
      </c>
      <c r="I1367" s="246">
        <v>12</v>
      </c>
      <c r="J1367" s="246">
        <v>13</v>
      </c>
      <c r="K1367" s="246">
        <v>14</v>
      </c>
      <c r="L1367" s="246">
        <v>15</v>
      </c>
      <c r="M1367" s="246"/>
      <c r="N1367" s="246"/>
      <c r="O1367" s="246"/>
      <c r="P1367" s="246"/>
      <c r="Q1367" s="246"/>
      <c r="R1367" s="246">
        <f>IFERROR(VLOOKUP(D1367,PROGRAMAS[],2,FALSE),0)</f>
        <v>97037803.679377079</v>
      </c>
      <c r="S1367" s="246">
        <f>IFERROR(VLOOKUP(E1367,PROGRAMAS[],2,FALSE),0)</f>
        <v>640501509.6821388</v>
      </c>
      <c r="T1367" s="246">
        <f>IFERROR(VLOOKUP(F1367,PROGRAMAS[],2,FALSE),0)</f>
        <v>3062327798.1525245</v>
      </c>
      <c r="U1367" s="246">
        <f>IFERROR(VLOOKUP(G1367,PROGRAMAS[],2,FALSE),0)</f>
        <v>1440941976.2528784</v>
      </c>
      <c r="V1367" s="246">
        <f>IFERROR(VLOOKUP(H1367,PROGRAMAS[],2,FALSE),0)</f>
        <v>6128579952.1618185</v>
      </c>
      <c r="W1367" s="246">
        <f>IFERROR(VLOOKUP(I1367,PROGRAMAS[],2,FALSE),0)</f>
        <v>764796700.79905891</v>
      </c>
      <c r="X1367" s="246">
        <f>IFERROR(VLOOKUP(J1367,PROGRAMAS[],2,FALSE),0)</f>
        <v>3776538594.4604583</v>
      </c>
      <c r="Y1367" s="246">
        <f>IFERROR(VLOOKUP(K1367,PROGRAMAS[],2,FALSE),0)</f>
        <v>54223862.645839565</v>
      </c>
      <c r="Z1367" s="246">
        <f>IFERROR(VLOOKUP(L1367,PROGRAMAS[],2,FALSE),0)</f>
        <v>122159672.96346797</v>
      </c>
      <c r="AA1367" s="246">
        <f>IFERROR(VLOOKUP(M1367,PROGRAMAS[],2,FALSE),0)</f>
        <v>0</v>
      </c>
      <c r="AB1367" s="246">
        <f>IFERROR(VLOOKUP(N1367,PROGRAMAS[],2,FALSE),0)</f>
        <v>0</v>
      </c>
      <c r="AC1367" s="246">
        <f>IFERROR(VLOOKUP(O1367,PROGRAMAS[],2,FALSE),0)</f>
        <v>0</v>
      </c>
      <c r="AD1367" s="246">
        <f>IFERROR(VLOOKUP(P1367,PROGRAMAS[],2,FALSE),0)</f>
        <v>0</v>
      </c>
      <c r="AE1367" s="246">
        <f>IFERROR(VLOOKUP(Q1367,PROGRAMAS[],2,FALSE),0)</f>
        <v>0</v>
      </c>
      <c r="AF1367" s="246">
        <f>IFERROR(VLOOKUP(D1367,PROGRAMAS[],3,FALSE),0)</f>
        <v>841888629.31080008</v>
      </c>
      <c r="AG1367" s="246">
        <f>IFERROR(VLOOKUP(E1367,PROGRAMAS[],3,FALSE),0)</f>
        <v>3848980803.1642323</v>
      </c>
      <c r="AH1367" s="246">
        <f>IFERROR(VLOOKUP(F1367,PROGRAMAS[],3,FALSE),0)</f>
        <v>3394901471.387517</v>
      </c>
      <c r="AI1367" s="246">
        <f>IFERROR(VLOOKUP(G1367,PROGRAMAS[],3,FALSE),0)</f>
        <v>1233505101.0616004</v>
      </c>
      <c r="AJ1367" s="246">
        <f>IFERROR(VLOOKUP(H1367,PROGRAMAS[],3,FALSE),0)</f>
        <v>7011279577.519702</v>
      </c>
      <c r="AK1367" s="246">
        <f>IFERROR(VLOOKUP(I1367,PROGRAMAS[],3,FALSE),0)</f>
        <v>675517840.109828</v>
      </c>
      <c r="AL1367" s="246">
        <f>IFERROR(VLOOKUP(J1367,PROGRAMAS[],3,FALSE),0)</f>
        <v>2392571243.5584412</v>
      </c>
      <c r="AM1367" s="246">
        <f>IFERROR(VLOOKUP(K1367,PROGRAMAS[],3,FALSE),0)</f>
        <v>31865326.38096505</v>
      </c>
      <c r="AN1367" s="246">
        <f>IFERROR(VLOOKUP(L1367,PROGRAMAS[],3,FALSE),0)</f>
        <v>118617452.52510804</v>
      </c>
      <c r="AO1367" s="246">
        <f>IFERROR(VLOOKUP(M1367,PROGRAMAS[],3,FALSE),0)</f>
        <v>0</v>
      </c>
      <c r="AP1367" s="246">
        <f>IFERROR(VLOOKUP(N1367,PROGRAMAS[],3,FALSE),0)</f>
        <v>0</v>
      </c>
      <c r="AQ1367" s="246">
        <f>IFERROR(VLOOKUP(O1367,PROGRAMAS[],3,FALSE),0)</f>
        <v>0</v>
      </c>
      <c r="AR1367" s="246">
        <f>IFERROR(VLOOKUP(P1367,PROGRAMAS[],3,FALSE),0)</f>
        <v>0</v>
      </c>
      <c r="AS1367" s="246">
        <f>IFERROR(VLOOKUP(Q1367,PROGRAMAS[],3,FALSE),0)</f>
        <v>0</v>
      </c>
      <c r="AT1367" s="246">
        <f>IFERROR(VLOOKUP(D1367,VOL_REC[],2,FALSE),0)</f>
        <v>0</v>
      </c>
      <c r="AU1367" s="246">
        <f>IFERROR(VLOOKUP(E1367,VOL_REC[],2,FALSE),0)</f>
        <v>0</v>
      </c>
      <c r="AV1367" s="246">
        <f>IFERROR(VLOOKUP(F1367,VOL_REC[],2,FALSE),0)</f>
        <v>11089674.200000001</v>
      </c>
      <c r="AW1367" s="246">
        <f>IFERROR(VLOOKUP(G1367,VOL_REC[],2,FALSE),0)</f>
        <v>4325103.1812214684</v>
      </c>
      <c r="AX1367" s="246">
        <f>IFERROR(VLOOKUP(H1367,VOL_REC[],2,FALSE),0)</f>
        <v>3761786</v>
      </c>
      <c r="AY1367" s="246">
        <f>IFERROR(VLOOKUP(I1367,VOL_REC[],2,FALSE),0)</f>
        <v>240696.79238099116</v>
      </c>
      <c r="AZ1367" s="246">
        <f>IFERROR(VLOOKUP(J1367,VOL_REC[],2,FALSE),0)</f>
        <v>663244.80000000016</v>
      </c>
      <c r="BA1367" s="246">
        <f>IFERROR(VLOOKUP(K1367,VOL_REC[],2,FALSE),0)</f>
        <v>17074.045034105649</v>
      </c>
      <c r="BB1367" s="246">
        <f>IFERROR(VLOOKUP(L1367,VOL_REC[],2,FALSE),0)</f>
        <v>105072</v>
      </c>
      <c r="BC1367" s="246">
        <f>IFERROR(VLOOKUP(M1367,VOL_REC[],2,FALSE),0)</f>
        <v>0</v>
      </c>
      <c r="BD1367" s="246">
        <f>IFERROR(VLOOKUP(N1367,VOL_REC[],2,FALSE),0)</f>
        <v>0</v>
      </c>
      <c r="BE1367" s="246">
        <f>IFERROR(VLOOKUP(O1367,VOL_REC[],2,FALSE),0)</f>
        <v>0</v>
      </c>
      <c r="BF1367" s="246">
        <f>IFERROR(VLOOKUP(P1367,VOL_REC[],2,FALSE),0)</f>
        <v>0</v>
      </c>
      <c r="BG1367" s="246">
        <f>IFERROR(VLOOKUP(Q1367,VOL_REC[],2,FALSE),0)</f>
        <v>0</v>
      </c>
      <c r="BH1367" s="1710">
        <f t="shared" si="84"/>
        <v>16087107870.797564</v>
      </c>
      <c r="BI1367" s="1710">
        <f t="shared" si="85"/>
        <v>19549127445.018196</v>
      </c>
      <c r="BJ1367" s="1711">
        <f t="shared" si="86"/>
        <v>20202651.018636569</v>
      </c>
      <c r="BK1367" s="1711">
        <f t="shared" si="87"/>
        <v>0.822906695761356</v>
      </c>
    </row>
    <row r="1368" spans="3:67" x14ac:dyDescent="0.25">
      <c r="C1368" s="246" t="s">
        <v>2718</v>
      </c>
      <c r="D1368" s="246">
        <v>1</v>
      </c>
      <c r="E1368" s="246">
        <v>2</v>
      </c>
      <c r="F1368" s="246">
        <v>3</v>
      </c>
      <c r="G1368" s="246">
        <v>5</v>
      </c>
      <c r="H1368" s="246">
        <v>9</v>
      </c>
      <c r="I1368" s="246">
        <v>12</v>
      </c>
      <c r="J1368" s="246">
        <v>13</v>
      </c>
      <c r="K1368" s="246">
        <v>14</v>
      </c>
      <c r="L1368" s="246">
        <v>16</v>
      </c>
      <c r="M1368" s="246"/>
      <c r="N1368" s="246"/>
      <c r="O1368" s="246"/>
      <c r="P1368" s="246"/>
      <c r="Q1368" s="246"/>
      <c r="R1368" s="246">
        <f>IFERROR(VLOOKUP(D1368,PROGRAMAS[],2,FALSE),0)</f>
        <v>97037803.679377079</v>
      </c>
      <c r="S1368" s="246">
        <f>IFERROR(VLOOKUP(E1368,PROGRAMAS[],2,FALSE),0)</f>
        <v>640501509.6821388</v>
      </c>
      <c r="T1368" s="246">
        <f>IFERROR(VLOOKUP(F1368,PROGRAMAS[],2,FALSE),0)</f>
        <v>3062327798.1525245</v>
      </c>
      <c r="U1368" s="246">
        <f>IFERROR(VLOOKUP(G1368,PROGRAMAS[],2,FALSE),0)</f>
        <v>1440941976.2528784</v>
      </c>
      <c r="V1368" s="246">
        <f>IFERROR(VLOOKUP(H1368,PROGRAMAS[],2,FALSE),0)</f>
        <v>6128579952.1618185</v>
      </c>
      <c r="W1368" s="246">
        <f>IFERROR(VLOOKUP(I1368,PROGRAMAS[],2,FALSE),0)</f>
        <v>764796700.79905891</v>
      </c>
      <c r="X1368" s="246">
        <f>IFERROR(VLOOKUP(J1368,PROGRAMAS[],2,FALSE),0)</f>
        <v>3776538594.4604583</v>
      </c>
      <c r="Y1368" s="246">
        <f>IFERROR(VLOOKUP(K1368,PROGRAMAS[],2,FALSE),0)</f>
        <v>54223862.645839565</v>
      </c>
      <c r="Z1368" s="246">
        <f>IFERROR(VLOOKUP(L1368,PROGRAMAS[],2,FALSE),0)</f>
        <v>7068496961.0436354</v>
      </c>
      <c r="AA1368" s="246">
        <f>IFERROR(VLOOKUP(M1368,PROGRAMAS[],2,FALSE),0)</f>
        <v>0</v>
      </c>
      <c r="AB1368" s="246">
        <f>IFERROR(VLOOKUP(N1368,PROGRAMAS[],2,FALSE),0)</f>
        <v>0</v>
      </c>
      <c r="AC1368" s="246">
        <f>IFERROR(VLOOKUP(O1368,PROGRAMAS[],2,FALSE),0)</f>
        <v>0</v>
      </c>
      <c r="AD1368" s="246">
        <f>IFERROR(VLOOKUP(P1368,PROGRAMAS[],2,FALSE),0)</f>
        <v>0</v>
      </c>
      <c r="AE1368" s="246">
        <f>IFERROR(VLOOKUP(Q1368,PROGRAMAS[],2,FALSE),0)</f>
        <v>0</v>
      </c>
      <c r="AF1368" s="246">
        <f>IFERROR(VLOOKUP(D1368,PROGRAMAS[],3,FALSE),0)</f>
        <v>841888629.31080008</v>
      </c>
      <c r="AG1368" s="246">
        <f>IFERROR(VLOOKUP(E1368,PROGRAMAS[],3,FALSE),0)</f>
        <v>3848980803.1642323</v>
      </c>
      <c r="AH1368" s="246">
        <f>IFERROR(VLOOKUP(F1368,PROGRAMAS[],3,FALSE),0)</f>
        <v>3394901471.387517</v>
      </c>
      <c r="AI1368" s="246">
        <f>IFERROR(VLOOKUP(G1368,PROGRAMAS[],3,FALSE),0)</f>
        <v>1233505101.0616004</v>
      </c>
      <c r="AJ1368" s="246">
        <f>IFERROR(VLOOKUP(H1368,PROGRAMAS[],3,FALSE),0)</f>
        <v>7011279577.519702</v>
      </c>
      <c r="AK1368" s="246">
        <f>IFERROR(VLOOKUP(I1368,PROGRAMAS[],3,FALSE),0)</f>
        <v>675517840.109828</v>
      </c>
      <c r="AL1368" s="246">
        <f>IFERROR(VLOOKUP(J1368,PROGRAMAS[],3,FALSE),0)</f>
        <v>2392571243.5584412</v>
      </c>
      <c r="AM1368" s="246">
        <f>IFERROR(VLOOKUP(K1368,PROGRAMAS[],3,FALSE),0)</f>
        <v>31865326.38096505</v>
      </c>
      <c r="AN1368" s="246">
        <f>IFERROR(VLOOKUP(L1368,PROGRAMAS[],3,FALSE),0)</f>
        <v>2406564599.0319901</v>
      </c>
      <c r="AO1368" s="246">
        <f>IFERROR(VLOOKUP(M1368,PROGRAMAS[],3,FALSE),0)</f>
        <v>0</v>
      </c>
      <c r="AP1368" s="246">
        <f>IFERROR(VLOOKUP(N1368,PROGRAMAS[],3,FALSE),0)</f>
        <v>0</v>
      </c>
      <c r="AQ1368" s="246">
        <f>IFERROR(VLOOKUP(O1368,PROGRAMAS[],3,FALSE),0)</f>
        <v>0</v>
      </c>
      <c r="AR1368" s="246">
        <f>IFERROR(VLOOKUP(P1368,PROGRAMAS[],3,FALSE),0)</f>
        <v>0</v>
      </c>
      <c r="AS1368" s="246">
        <f>IFERROR(VLOOKUP(Q1368,PROGRAMAS[],3,FALSE),0)</f>
        <v>0</v>
      </c>
      <c r="AT1368" s="246">
        <f>IFERROR(VLOOKUP(D1368,VOL_REC[],2,FALSE),0)</f>
        <v>0</v>
      </c>
      <c r="AU1368" s="246">
        <f>IFERROR(VLOOKUP(E1368,VOL_REC[],2,FALSE),0)</f>
        <v>0</v>
      </c>
      <c r="AV1368" s="246">
        <f>IFERROR(VLOOKUP(F1368,VOL_REC[],2,FALSE),0)</f>
        <v>11089674.200000001</v>
      </c>
      <c r="AW1368" s="246">
        <f>IFERROR(VLOOKUP(G1368,VOL_REC[],2,FALSE),0)</f>
        <v>4325103.1812214684</v>
      </c>
      <c r="AX1368" s="246">
        <f>IFERROR(VLOOKUP(H1368,VOL_REC[],2,FALSE),0)</f>
        <v>3761786</v>
      </c>
      <c r="AY1368" s="246">
        <f>IFERROR(VLOOKUP(I1368,VOL_REC[],2,FALSE),0)</f>
        <v>240696.79238099116</v>
      </c>
      <c r="AZ1368" s="246">
        <f>IFERROR(VLOOKUP(J1368,VOL_REC[],2,FALSE),0)</f>
        <v>663244.80000000016</v>
      </c>
      <c r="BA1368" s="246">
        <f>IFERROR(VLOOKUP(K1368,VOL_REC[],2,FALSE),0)</f>
        <v>17074.045034105649</v>
      </c>
      <c r="BB1368" s="246">
        <f>IFERROR(VLOOKUP(L1368,VOL_REC[],2,FALSE),0)</f>
        <v>1072354.9981737854</v>
      </c>
      <c r="BC1368" s="246">
        <f>IFERROR(VLOOKUP(M1368,VOL_REC[],2,FALSE),0)</f>
        <v>0</v>
      </c>
      <c r="BD1368" s="246">
        <f>IFERROR(VLOOKUP(N1368,VOL_REC[],2,FALSE),0)</f>
        <v>0</v>
      </c>
      <c r="BE1368" s="246">
        <f>IFERROR(VLOOKUP(O1368,VOL_REC[],2,FALSE),0)</f>
        <v>0</v>
      </c>
      <c r="BF1368" s="246">
        <f>IFERROR(VLOOKUP(P1368,VOL_REC[],2,FALSE),0)</f>
        <v>0</v>
      </c>
      <c r="BG1368" s="246">
        <f>IFERROR(VLOOKUP(Q1368,VOL_REC[],2,FALSE),0)</f>
        <v>0</v>
      </c>
      <c r="BH1368" s="1710">
        <f t="shared" si="84"/>
        <v>23033445158.877731</v>
      </c>
      <c r="BI1368" s="1710">
        <f t="shared" si="85"/>
        <v>21837074591.525078</v>
      </c>
      <c r="BJ1368" s="1711">
        <f t="shared" si="86"/>
        <v>21169934.016810354</v>
      </c>
      <c r="BK1368" s="1711">
        <f t="shared" si="87"/>
        <v>1.0547862105951207</v>
      </c>
      <c r="BL1368">
        <f>BJ1368</f>
        <v>21169934.016810354</v>
      </c>
      <c r="BO1368">
        <f>BL1368</f>
        <v>21169934.016810354</v>
      </c>
    </row>
    <row r="1369" spans="3:67" x14ac:dyDescent="0.25">
      <c r="C1369" s="246" t="s">
        <v>2719</v>
      </c>
      <c r="D1369" s="246">
        <v>1</v>
      </c>
      <c r="E1369" s="246">
        <v>2</v>
      </c>
      <c r="F1369" s="246">
        <v>3</v>
      </c>
      <c r="G1369" s="246">
        <v>5</v>
      </c>
      <c r="H1369" s="246">
        <v>9</v>
      </c>
      <c r="I1369" s="246">
        <v>12</v>
      </c>
      <c r="J1369" s="246">
        <v>13</v>
      </c>
      <c r="K1369" s="246">
        <v>14</v>
      </c>
      <c r="L1369" s="246">
        <v>17</v>
      </c>
      <c r="M1369" s="246"/>
      <c r="N1369" s="246"/>
      <c r="O1369" s="246"/>
      <c r="P1369" s="246"/>
      <c r="Q1369" s="246"/>
      <c r="R1369" s="246">
        <f>IFERROR(VLOOKUP(D1369,PROGRAMAS[],2,FALSE),0)</f>
        <v>97037803.679377079</v>
      </c>
      <c r="S1369" s="246">
        <f>IFERROR(VLOOKUP(E1369,PROGRAMAS[],2,FALSE),0)</f>
        <v>640501509.6821388</v>
      </c>
      <c r="T1369" s="246">
        <f>IFERROR(VLOOKUP(F1369,PROGRAMAS[],2,FALSE),0)</f>
        <v>3062327798.1525245</v>
      </c>
      <c r="U1369" s="246">
        <f>IFERROR(VLOOKUP(G1369,PROGRAMAS[],2,FALSE),0)</f>
        <v>1440941976.2528784</v>
      </c>
      <c r="V1369" s="246">
        <f>IFERROR(VLOOKUP(H1369,PROGRAMAS[],2,FALSE),0)</f>
        <v>6128579952.1618185</v>
      </c>
      <c r="W1369" s="246">
        <f>IFERROR(VLOOKUP(I1369,PROGRAMAS[],2,FALSE),0)</f>
        <v>764796700.79905891</v>
      </c>
      <c r="X1369" s="246">
        <f>IFERROR(VLOOKUP(J1369,PROGRAMAS[],2,FALSE),0)</f>
        <v>3776538594.4604583</v>
      </c>
      <c r="Y1369" s="246">
        <f>IFERROR(VLOOKUP(K1369,PROGRAMAS[],2,FALSE),0)</f>
        <v>54223862.645839565</v>
      </c>
      <c r="Z1369" s="246">
        <f>IFERROR(VLOOKUP(L1369,PROGRAMAS[],2,FALSE),0)</f>
        <v>1892779498.5211046</v>
      </c>
      <c r="AA1369" s="246">
        <f>IFERROR(VLOOKUP(M1369,PROGRAMAS[],2,FALSE),0)</f>
        <v>0</v>
      </c>
      <c r="AB1369" s="246">
        <f>IFERROR(VLOOKUP(N1369,PROGRAMAS[],2,FALSE),0)</f>
        <v>0</v>
      </c>
      <c r="AC1369" s="246">
        <f>IFERROR(VLOOKUP(O1369,PROGRAMAS[],2,FALSE),0)</f>
        <v>0</v>
      </c>
      <c r="AD1369" s="246">
        <f>IFERROR(VLOOKUP(P1369,PROGRAMAS[],2,FALSE),0)</f>
        <v>0</v>
      </c>
      <c r="AE1369" s="246">
        <f>IFERROR(VLOOKUP(Q1369,PROGRAMAS[],2,FALSE),0)</f>
        <v>0</v>
      </c>
      <c r="AF1369" s="246">
        <f>IFERROR(VLOOKUP(D1369,PROGRAMAS[],3,FALSE),0)</f>
        <v>841888629.31080008</v>
      </c>
      <c r="AG1369" s="246">
        <f>IFERROR(VLOOKUP(E1369,PROGRAMAS[],3,FALSE),0)</f>
        <v>3848980803.1642323</v>
      </c>
      <c r="AH1369" s="246">
        <f>IFERROR(VLOOKUP(F1369,PROGRAMAS[],3,FALSE),0)</f>
        <v>3394901471.387517</v>
      </c>
      <c r="AI1369" s="246">
        <f>IFERROR(VLOOKUP(G1369,PROGRAMAS[],3,FALSE),0)</f>
        <v>1233505101.0616004</v>
      </c>
      <c r="AJ1369" s="246">
        <f>IFERROR(VLOOKUP(H1369,PROGRAMAS[],3,FALSE),0)</f>
        <v>7011279577.519702</v>
      </c>
      <c r="AK1369" s="246">
        <f>IFERROR(VLOOKUP(I1369,PROGRAMAS[],3,FALSE),0)</f>
        <v>675517840.109828</v>
      </c>
      <c r="AL1369" s="246">
        <f>IFERROR(VLOOKUP(J1369,PROGRAMAS[],3,FALSE),0)</f>
        <v>2392571243.5584412</v>
      </c>
      <c r="AM1369" s="246">
        <f>IFERROR(VLOOKUP(K1369,PROGRAMAS[],3,FALSE),0)</f>
        <v>31865326.38096505</v>
      </c>
      <c r="AN1369" s="246">
        <f>IFERROR(VLOOKUP(L1369,PROGRAMAS[],3,FALSE),0)</f>
        <v>948595847.09039903</v>
      </c>
      <c r="AO1369" s="246">
        <f>IFERROR(VLOOKUP(M1369,PROGRAMAS[],3,FALSE),0)</f>
        <v>0</v>
      </c>
      <c r="AP1369" s="246">
        <f>IFERROR(VLOOKUP(N1369,PROGRAMAS[],3,FALSE),0)</f>
        <v>0</v>
      </c>
      <c r="AQ1369" s="246">
        <f>IFERROR(VLOOKUP(O1369,PROGRAMAS[],3,FALSE),0)</f>
        <v>0</v>
      </c>
      <c r="AR1369" s="246">
        <f>IFERROR(VLOOKUP(P1369,PROGRAMAS[],3,FALSE),0)</f>
        <v>0</v>
      </c>
      <c r="AS1369" s="246">
        <f>IFERROR(VLOOKUP(Q1369,PROGRAMAS[],3,FALSE),0)</f>
        <v>0</v>
      </c>
      <c r="AT1369" s="246">
        <f>IFERROR(VLOOKUP(D1369,VOL_REC[],2,FALSE),0)</f>
        <v>0</v>
      </c>
      <c r="AU1369" s="246">
        <f>IFERROR(VLOOKUP(E1369,VOL_REC[],2,FALSE),0)</f>
        <v>0</v>
      </c>
      <c r="AV1369" s="246">
        <f>IFERROR(VLOOKUP(F1369,VOL_REC[],2,FALSE),0)</f>
        <v>11089674.200000001</v>
      </c>
      <c r="AW1369" s="246">
        <f>IFERROR(VLOOKUP(G1369,VOL_REC[],2,FALSE),0)</f>
        <v>4325103.1812214684</v>
      </c>
      <c r="AX1369" s="246">
        <f>IFERROR(VLOOKUP(H1369,VOL_REC[],2,FALSE),0)</f>
        <v>3761786</v>
      </c>
      <c r="AY1369" s="246">
        <f>IFERROR(VLOOKUP(I1369,VOL_REC[],2,FALSE),0)</f>
        <v>240696.79238099116</v>
      </c>
      <c r="AZ1369" s="246">
        <f>IFERROR(VLOOKUP(J1369,VOL_REC[],2,FALSE),0)</f>
        <v>663244.80000000016</v>
      </c>
      <c r="BA1369" s="246">
        <f>IFERROR(VLOOKUP(K1369,VOL_REC[],2,FALSE),0)</f>
        <v>17074.045034105649</v>
      </c>
      <c r="BB1369" s="246">
        <f>IFERROR(VLOOKUP(L1369,VOL_REC[],2,FALSE),0)</f>
        <v>740113.98115702497</v>
      </c>
      <c r="BC1369" s="246">
        <f>IFERROR(VLOOKUP(M1369,VOL_REC[],2,FALSE),0)</f>
        <v>0</v>
      </c>
      <c r="BD1369" s="246">
        <f>IFERROR(VLOOKUP(N1369,VOL_REC[],2,FALSE),0)</f>
        <v>0</v>
      </c>
      <c r="BE1369" s="246">
        <f>IFERROR(VLOOKUP(O1369,VOL_REC[],2,FALSE),0)</f>
        <v>0</v>
      </c>
      <c r="BF1369" s="246">
        <f>IFERROR(VLOOKUP(P1369,VOL_REC[],2,FALSE),0)</f>
        <v>0</v>
      </c>
      <c r="BG1369" s="246">
        <f>IFERROR(VLOOKUP(Q1369,VOL_REC[],2,FALSE),0)</f>
        <v>0</v>
      </c>
      <c r="BH1369" s="1710">
        <f t="shared" si="84"/>
        <v>17857727696.355198</v>
      </c>
      <c r="BI1369" s="1710">
        <f t="shared" si="85"/>
        <v>20379105839.583488</v>
      </c>
      <c r="BJ1369" s="1711">
        <f t="shared" si="86"/>
        <v>20837692.999793593</v>
      </c>
      <c r="BK1369" s="1711">
        <f t="shared" si="87"/>
        <v>0.87627631147923701</v>
      </c>
    </row>
    <row r="1370" spans="3:67" x14ac:dyDescent="0.25">
      <c r="C1370" s="246" t="s">
        <v>2720</v>
      </c>
      <c r="D1370" s="246">
        <v>1</v>
      </c>
      <c r="E1370" s="246">
        <v>2</v>
      </c>
      <c r="F1370" s="246">
        <v>3</v>
      </c>
      <c r="G1370" s="246">
        <v>5</v>
      </c>
      <c r="H1370" s="246">
        <v>9</v>
      </c>
      <c r="I1370" s="246">
        <v>12</v>
      </c>
      <c r="J1370" s="246">
        <v>13</v>
      </c>
      <c r="K1370" s="246">
        <v>15</v>
      </c>
      <c r="L1370" s="246">
        <v>16</v>
      </c>
      <c r="M1370" s="246"/>
      <c r="N1370" s="246"/>
      <c r="O1370" s="246"/>
      <c r="P1370" s="246"/>
      <c r="Q1370" s="246"/>
      <c r="R1370" s="246">
        <f>IFERROR(VLOOKUP(D1370,PROGRAMAS[],2,FALSE),0)</f>
        <v>97037803.679377079</v>
      </c>
      <c r="S1370" s="246">
        <f>IFERROR(VLOOKUP(E1370,PROGRAMAS[],2,FALSE),0)</f>
        <v>640501509.6821388</v>
      </c>
      <c r="T1370" s="246">
        <f>IFERROR(VLOOKUP(F1370,PROGRAMAS[],2,FALSE),0)</f>
        <v>3062327798.1525245</v>
      </c>
      <c r="U1370" s="246">
        <f>IFERROR(VLOOKUP(G1370,PROGRAMAS[],2,FALSE),0)</f>
        <v>1440941976.2528784</v>
      </c>
      <c r="V1370" s="246">
        <f>IFERROR(VLOOKUP(H1370,PROGRAMAS[],2,FALSE),0)</f>
        <v>6128579952.1618185</v>
      </c>
      <c r="W1370" s="246">
        <f>IFERROR(VLOOKUP(I1370,PROGRAMAS[],2,FALSE),0)</f>
        <v>764796700.79905891</v>
      </c>
      <c r="X1370" s="246">
        <f>IFERROR(VLOOKUP(J1370,PROGRAMAS[],2,FALSE),0)</f>
        <v>3776538594.4604583</v>
      </c>
      <c r="Y1370" s="246">
        <f>IFERROR(VLOOKUP(K1370,PROGRAMAS[],2,FALSE),0)</f>
        <v>122159672.96346797</v>
      </c>
      <c r="Z1370" s="246">
        <f>IFERROR(VLOOKUP(L1370,PROGRAMAS[],2,FALSE),0)</f>
        <v>7068496961.0436354</v>
      </c>
      <c r="AA1370" s="246">
        <f>IFERROR(VLOOKUP(M1370,PROGRAMAS[],2,FALSE),0)</f>
        <v>0</v>
      </c>
      <c r="AB1370" s="246">
        <f>IFERROR(VLOOKUP(N1370,PROGRAMAS[],2,FALSE),0)</f>
        <v>0</v>
      </c>
      <c r="AC1370" s="246">
        <f>IFERROR(VLOOKUP(O1370,PROGRAMAS[],2,FALSE),0)</f>
        <v>0</v>
      </c>
      <c r="AD1370" s="246">
        <f>IFERROR(VLOOKUP(P1370,PROGRAMAS[],2,FALSE),0)</f>
        <v>0</v>
      </c>
      <c r="AE1370" s="246">
        <f>IFERROR(VLOOKUP(Q1370,PROGRAMAS[],2,FALSE),0)</f>
        <v>0</v>
      </c>
      <c r="AF1370" s="246">
        <f>IFERROR(VLOOKUP(D1370,PROGRAMAS[],3,FALSE),0)</f>
        <v>841888629.31080008</v>
      </c>
      <c r="AG1370" s="246">
        <f>IFERROR(VLOOKUP(E1370,PROGRAMAS[],3,FALSE),0)</f>
        <v>3848980803.1642323</v>
      </c>
      <c r="AH1370" s="246">
        <f>IFERROR(VLOOKUP(F1370,PROGRAMAS[],3,FALSE),0)</f>
        <v>3394901471.387517</v>
      </c>
      <c r="AI1370" s="246">
        <f>IFERROR(VLOOKUP(G1370,PROGRAMAS[],3,FALSE),0)</f>
        <v>1233505101.0616004</v>
      </c>
      <c r="AJ1370" s="246">
        <f>IFERROR(VLOOKUP(H1370,PROGRAMAS[],3,FALSE),0)</f>
        <v>7011279577.519702</v>
      </c>
      <c r="AK1370" s="246">
        <f>IFERROR(VLOOKUP(I1370,PROGRAMAS[],3,FALSE),0)</f>
        <v>675517840.109828</v>
      </c>
      <c r="AL1370" s="246">
        <f>IFERROR(VLOOKUP(J1370,PROGRAMAS[],3,FALSE),0)</f>
        <v>2392571243.5584412</v>
      </c>
      <c r="AM1370" s="246">
        <f>IFERROR(VLOOKUP(K1370,PROGRAMAS[],3,FALSE),0)</f>
        <v>118617452.52510804</v>
      </c>
      <c r="AN1370" s="246">
        <f>IFERROR(VLOOKUP(L1370,PROGRAMAS[],3,FALSE),0)</f>
        <v>2406564599.0319901</v>
      </c>
      <c r="AO1370" s="246">
        <f>IFERROR(VLOOKUP(M1370,PROGRAMAS[],3,FALSE),0)</f>
        <v>0</v>
      </c>
      <c r="AP1370" s="246">
        <f>IFERROR(VLOOKUP(N1370,PROGRAMAS[],3,FALSE),0)</f>
        <v>0</v>
      </c>
      <c r="AQ1370" s="246">
        <f>IFERROR(VLOOKUP(O1370,PROGRAMAS[],3,FALSE),0)</f>
        <v>0</v>
      </c>
      <c r="AR1370" s="246">
        <f>IFERROR(VLOOKUP(P1370,PROGRAMAS[],3,FALSE),0)</f>
        <v>0</v>
      </c>
      <c r="AS1370" s="246">
        <f>IFERROR(VLOOKUP(Q1370,PROGRAMAS[],3,FALSE),0)</f>
        <v>0</v>
      </c>
      <c r="AT1370" s="246">
        <f>IFERROR(VLOOKUP(D1370,VOL_REC[],2,FALSE),0)</f>
        <v>0</v>
      </c>
      <c r="AU1370" s="246">
        <f>IFERROR(VLOOKUP(E1370,VOL_REC[],2,FALSE),0)</f>
        <v>0</v>
      </c>
      <c r="AV1370" s="246">
        <f>IFERROR(VLOOKUP(F1370,VOL_REC[],2,FALSE),0)</f>
        <v>11089674.200000001</v>
      </c>
      <c r="AW1370" s="246">
        <f>IFERROR(VLOOKUP(G1370,VOL_REC[],2,FALSE),0)</f>
        <v>4325103.1812214684</v>
      </c>
      <c r="AX1370" s="246">
        <f>IFERROR(VLOOKUP(H1370,VOL_REC[],2,FALSE),0)</f>
        <v>3761786</v>
      </c>
      <c r="AY1370" s="246">
        <f>IFERROR(VLOOKUP(I1370,VOL_REC[],2,FALSE),0)</f>
        <v>240696.79238099116</v>
      </c>
      <c r="AZ1370" s="246">
        <f>IFERROR(VLOOKUP(J1370,VOL_REC[],2,FALSE),0)</f>
        <v>663244.80000000016</v>
      </c>
      <c r="BA1370" s="246">
        <f>IFERROR(VLOOKUP(K1370,VOL_REC[],2,FALSE),0)</f>
        <v>105072</v>
      </c>
      <c r="BB1370" s="246">
        <f>IFERROR(VLOOKUP(L1370,VOL_REC[],2,FALSE),0)</f>
        <v>1072354.9981737854</v>
      </c>
      <c r="BC1370" s="246">
        <f>IFERROR(VLOOKUP(M1370,VOL_REC[],2,FALSE),0)</f>
        <v>0</v>
      </c>
      <c r="BD1370" s="246">
        <f>IFERROR(VLOOKUP(N1370,VOL_REC[],2,FALSE),0)</f>
        <v>0</v>
      </c>
      <c r="BE1370" s="246">
        <f>IFERROR(VLOOKUP(O1370,VOL_REC[],2,FALSE),0)</f>
        <v>0</v>
      </c>
      <c r="BF1370" s="246">
        <f>IFERROR(VLOOKUP(P1370,VOL_REC[],2,FALSE),0)</f>
        <v>0</v>
      </c>
      <c r="BG1370" s="246">
        <f>IFERROR(VLOOKUP(Q1370,VOL_REC[],2,FALSE),0)</f>
        <v>0</v>
      </c>
      <c r="BH1370" s="1710">
        <f t="shared" si="84"/>
        <v>23101380969.195358</v>
      </c>
      <c r="BI1370" s="1710">
        <f t="shared" si="85"/>
        <v>21923826717.66922</v>
      </c>
      <c r="BJ1370" s="1711">
        <f t="shared" si="86"/>
        <v>21257931.971776247</v>
      </c>
      <c r="BK1370" s="1711">
        <f t="shared" si="87"/>
        <v>1.0537111639628636</v>
      </c>
      <c r="BL1370">
        <f>BJ1370</f>
        <v>21257931.971776247</v>
      </c>
      <c r="BO1370">
        <f>BL1370</f>
        <v>21257931.971776247</v>
      </c>
    </row>
    <row r="1371" spans="3:67" x14ac:dyDescent="0.25">
      <c r="C1371" s="246" t="s">
        <v>2721</v>
      </c>
      <c r="D1371" s="246">
        <v>1</v>
      </c>
      <c r="E1371" s="246">
        <v>2</v>
      </c>
      <c r="F1371" s="246">
        <v>3</v>
      </c>
      <c r="G1371" s="246">
        <v>5</v>
      </c>
      <c r="H1371" s="246">
        <v>9</v>
      </c>
      <c r="I1371" s="246">
        <v>12</v>
      </c>
      <c r="J1371" s="246">
        <v>13</v>
      </c>
      <c r="K1371" s="246">
        <v>15</v>
      </c>
      <c r="L1371" s="246">
        <v>17</v>
      </c>
      <c r="M1371" s="246"/>
      <c r="N1371" s="246"/>
      <c r="O1371" s="246"/>
      <c r="P1371" s="246"/>
      <c r="Q1371" s="246"/>
      <c r="R1371" s="246">
        <f>IFERROR(VLOOKUP(D1371,PROGRAMAS[],2,FALSE),0)</f>
        <v>97037803.679377079</v>
      </c>
      <c r="S1371" s="246">
        <f>IFERROR(VLOOKUP(E1371,PROGRAMAS[],2,FALSE),0)</f>
        <v>640501509.6821388</v>
      </c>
      <c r="T1371" s="246">
        <f>IFERROR(VLOOKUP(F1371,PROGRAMAS[],2,FALSE),0)</f>
        <v>3062327798.1525245</v>
      </c>
      <c r="U1371" s="246">
        <f>IFERROR(VLOOKUP(G1371,PROGRAMAS[],2,FALSE),0)</f>
        <v>1440941976.2528784</v>
      </c>
      <c r="V1371" s="246">
        <f>IFERROR(VLOOKUP(H1371,PROGRAMAS[],2,FALSE),0)</f>
        <v>6128579952.1618185</v>
      </c>
      <c r="W1371" s="246">
        <f>IFERROR(VLOOKUP(I1371,PROGRAMAS[],2,FALSE),0)</f>
        <v>764796700.79905891</v>
      </c>
      <c r="X1371" s="246">
        <f>IFERROR(VLOOKUP(J1371,PROGRAMAS[],2,FALSE),0)</f>
        <v>3776538594.4604583</v>
      </c>
      <c r="Y1371" s="246">
        <f>IFERROR(VLOOKUP(K1371,PROGRAMAS[],2,FALSE),0)</f>
        <v>122159672.96346797</v>
      </c>
      <c r="Z1371" s="246">
        <f>IFERROR(VLOOKUP(L1371,PROGRAMAS[],2,FALSE),0)</f>
        <v>1892779498.5211046</v>
      </c>
      <c r="AA1371" s="246">
        <f>IFERROR(VLOOKUP(M1371,PROGRAMAS[],2,FALSE),0)</f>
        <v>0</v>
      </c>
      <c r="AB1371" s="246">
        <f>IFERROR(VLOOKUP(N1371,PROGRAMAS[],2,FALSE),0)</f>
        <v>0</v>
      </c>
      <c r="AC1371" s="246">
        <f>IFERROR(VLOOKUP(O1371,PROGRAMAS[],2,FALSE),0)</f>
        <v>0</v>
      </c>
      <c r="AD1371" s="246">
        <f>IFERROR(VLOOKUP(P1371,PROGRAMAS[],2,FALSE),0)</f>
        <v>0</v>
      </c>
      <c r="AE1371" s="246">
        <f>IFERROR(VLOOKUP(Q1371,PROGRAMAS[],2,FALSE),0)</f>
        <v>0</v>
      </c>
      <c r="AF1371" s="246">
        <f>IFERROR(VLOOKUP(D1371,PROGRAMAS[],3,FALSE),0)</f>
        <v>841888629.31080008</v>
      </c>
      <c r="AG1371" s="246">
        <f>IFERROR(VLOOKUP(E1371,PROGRAMAS[],3,FALSE),0)</f>
        <v>3848980803.1642323</v>
      </c>
      <c r="AH1371" s="246">
        <f>IFERROR(VLOOKUP(F1371,PROGRAMAS[],3,FALSE),0)</f>
        <v>3394901471.387517</v>
      </c>
      <c r="AI1371" s="246">
        <f>IFERROR(VLOOKUP(G1371,PROGRAMAS[],3,FALSE),0)</f>
        <v>1233505101.0616004</v>
      </c>
      <c r="AJ1371" s="246">
        <f>IFERROR(VLOOKUP(H1371,PROGRAMAS[],3,FALSE),0)</f>
        <v>7011279577.519702</v>
      </c>
      <c r="AK1371" s="246">
        <f>IFERROR(VLOOKUP(I1371,PROGRAMAS[],3,FALSE),0)</f>
        <v>675517840.109828</v>
      </c>
      <c r="AL1371" s="246">
        <f>IFERROR(VLOOKUP(J1371,PROGRAMAS[],3,FALSE),0)</f>
        <v>2392571243.5584412</v>
      </c>
      <c r="AM1371" s="246">
        <f>IFERROR(VLOOKUP(K1371,PROGRAMAS[],3,FALSE),0)</f>
        <v>118617452.52510804</v>
      </c>
      <c r="AN1371" s="246">
        <f>IFERROR(VLOOKUP(L1371,PROGRAMAS[],3,FALSE),0)</f>
        <v>948595847.09039903</v>
      </c>
      <c r="AO1371" s="246">
        <f>IFERROR(VLOOKUP(M1371,PROGRAMAS[],3,FALSE),0)</f>
        <v>0</v>
      </c>
      <c r="AP1371" s="246">
        <f>IFERROR(VLOOKUP(N1371,PROGRAMAS[],3,FALSE),0)</f>
        <v>0</v>
      </c>
      <c r="AQ1371" s="246">
        <f>IFERROR(VLOOKUP(O1371,PROGRAMAS[],3,FALSE),0)</f>
        <v>0</v>
      </c>
      <c r="AR1371" s="246">
        <f>IFERROR(VLOOKUP(P1371,PROGRAMAS[],3,FALSE),0)</f>
        <v>0</v>
      </c>
      <c r="AS1371" s="246">
        <f>IFERROR(VLOOKUP(Q1371,PROGRAMAS[],3,FALSE),0)</f>
        <v>0</v>
      </c>
      <c r="AT1371" s="246">
        <f>IFERROR(VLOOKUP(D1371,VOL_REC[],2,FALSE),0)</f>
        <v>0</v>
      </c>
      <c r="AU1371" s="246">
        <f>IFERROR(VLOOKUP(E1371,VOL_REC[],2,FALSE),0)</f>
        <v>0</v>
      </c>
      <c r="AV1371" s="246">
        <f>IFERROR(VLOOKUP(F1371,VOL_REC[],2,FALSE),0)</f>
        <v>11089674.200000001</v>
      </c>
      <c r="AW1371" s="246">
        <f>IFERROR(VLOOKUP(G1371,VOL_REC[],2,FALSE),0)</f>
        <v>4325103.1812214684</v>
      </c>
      <c r="AX1371" s="246">
        <f>IFERROR(VLOOKUP(H1371,VOL_REC[],2,FALSE),0)</f>
        <v>3761786</v>
      </c>
      <c r="AY1371" s="246">
        <f>IFERROR(VLOOKUP(I1371,VOL_REC[],2,FALSE),0)</f>
        <v>240696.79238099116</v>
      </c>
      <c r="AZ1371" s="246">
        <f>IFERROR(VLOOKUP(J1371,VOL_REC[],2,FALSE),0)</f>
        <v>663244.80000000016</v>
      </c>
      <c r="BA1371" s="246">
        <f>IFERROR(VLOOKUP(K1371,VOL_REC[],2,FALSE),0)</f>
        <v>105072</v>
      </c>
      <c r="BB1371" s="246">
        <f>IFERROR(VLOOKUP(L1371,VOL_REC[],2,FALSE),0)</f>
        <v>740113.98115702497</v>
      </c>
      <c r="BC1371" s="246">
        <f>IFERROR(VLOOKUP(M1371,VOL_REC[],2,FALSE),0)</f>
        <v>0</v>
      </c>
      <c r="BD1371" s="246">
        <f>IFERROR(VLOOKUP(N1371,VOL_REC[],2,FALSE),0)</f>
        <v>0</v>
      </c>
      <c r="BE1371" s="246">
        <f>IFERROR(VLOOKUP(O1371,VOL_REC[],2,FALSE),0)</f>
        <v>0</v>
      </c>
      <c r="BF1371" s="246">
        <f>IFERROR(VLOOKUP(P1371,VOL_REC[],2,FALSE),0)</f>
        <v>0</v>
      </c>
      <c r="BG1371" s="246">
        <f>IFERROR(VLOOKUP(Q1371,VOL_REC[],2,FALSE),0)</f>
        <v>0</v>
      </c>
      <c r="BH1371" s="1710">
        <f t="shared" si="84"/>
        <v>17925663506.672829</v>
      </c>
      <c r="BI1371" s="1710">
        <f t="shared" si="85"/>
        <v>20465857965.727631</v>
      </c>
      <c r="BJ1371" s="1711">
        <f t="shared" si="86"/>
        <v>20925690.954759486</v>
      </c>
      <c r="BK1371" s="1711">
        <f t="shared" si="87"/>
        <v>0.87588135990640403</v>
      </c>
    </row>
    <row r="1372" spans="3:67" x14ac:dyDescent="0.25">
      <c r="C1372" s="246" t="s">
        <v>2722</v>
      </c>
      <c r="D1372" s="246">
        <v>1</v>
      </c>
      <c r="E1372" s="246">
        <v>2</v>
      </c>
      <c r="F1372" s="246">
        <v>3</v>
      </c>
      <c r="G1372" s="246">
        <v>5</v>
      </c>
      <c r="H1372" s="246">
        <v>9</v>
      </c>
      <c r="I1372" s="246">
        <v>12</v>
      </c>
      <c r="J1372" s="246">
        <v>13</v>
      </c>
      <c r="K1372" s="246">
        <v>16</v>
      </c>
      <c r="L1372" s="246">
        <v>17</v>
      </c>
      <c r="M1372" s="246"/>
      <c r="N1372" s="246"/>
      <c r="O1372" s="246"/>
      <c r="P1372" s="246"/>
      <c r="Q1372" s="246"/>
      <c r="R1372" s="246">
        <f>IFERROR(VLOOKUP(D1372,PROGRAMAS[],2,FALSE),0)</f>
        <v>97037803.679377079</v>
      </c>
      <c r="S1372" s="246">
        <f>IFERROR(VLOOKUP(E1372,PROGRAMAS[],2,FALSE),0)</f>
        <v>640501509.6821388</v>
      </c>
      <c r="T1372" s="246">
        <f>IFERROR(VLOOKUP(F1372,PROGRAMAS[],2,FALSE),0)</f>
        <v>3062327798.1525245</v>
      </c>
      <c r="U1372" s="246">
        <f>IFERROR(VLOOKUP(G1372,PROGRAMAS[],2,FALSE),0)</f>
        <v>1440941976.2528784</v>
      </c>
      <c r="V1372" s="246">
        <f>IFERROR(VLOOKUP(H1372,PROGRAMAS[],2,FALSE),0)</f>
        <v>6128579952.1618185</v>
      </c>
      <c r="W1372" s="246">
        <f>IFERROR(VLOOKUP(I1372,PROGRAMAS[],2,FALSE),0)</f>
        <v>764796700.79905891</v>
      </c>
      <c r="X1372" s="246">
        <f>IFERROR(VLOOKUP(J1372,PROGRAMAS[],2,FALSE),0)</f>
        <v>3776538594.4604583</v>
      </c>
      <c r="Y1372" s="246">
        <f>IFERROR(VLOOKUP(K1372,PROGRAMAS[],2,FALSE),0)</f>
        <v>7068496961.0436354</v>
      </c>
      <c r="Z1372" s="246">
        <f>IFERROR(VLOOKUP(L1372,PROGRAMAS[],2,FALSE),0)</f>
        <v>1892779498.5211046</v>
      </c>
      <c r="AA1372" s="246">
        <f>IFERROR(VLOOKUP(M1372,PROGRAMAS[],2,FALSE),0)</f>
        <v>0</v>
      </c>
      <c r="AB1372" s="246">
        <f>IFERROR(VLOOKUP(N1372,PROGRAMAS[],2,FALSE),0)</f>
        <v>0</v>
      </c>
      <c r="AC1372" s="246">
        <f>IFERROR(VLOOKUP(O1372,PROGRAMAS[],2,FALSE),0)</f>
        <v>0</v>
      </c>
      <c r="AD1372" s="246">
        <f>IFERROR(VLOOKUP(P1372,PROGRAMAS[],2,FALSE),0)</f>
        <v>0</v>
      </c>
      <c r="AE1372" s="246">
        <f>IFERROR(VLOOKUP(Q1372,PROGRAMAS[],2,FALSE),0)</f>
        <v>0</v>
      </c>
      <c r="AF1372" s="246">
        <f>IFERROR(VLOOKUP(D1372,PROGRAMAS[],3,FALSE),0)</f>
        <v>841888629.31080008</v>
      </c>
      <c r="AG1372" s="246">
        <f>IFERROR(VLOOKUP(E1372,PROGRAMAS[],3,FALSE),0)</f>
        <v>3848980803.1642323</v>
      </c>
      <c r="AH1372" s="246">
        <f>IFERROR(VLOOKUP(F1372,PROGRAMAS[],3,FALSE),0)</f>
        <v>3394901471.387517</v>
      </c>
      <c r="AI1372" s="246">
        <f>IFERROR(VLOOKUP(G1372,PROGRAMAS[],3,FALSE),0)</f>
        <v>1233505101.0616004</v>
      </c>
      <c r="AJ1372" s="246">
        <f>IFERROR(VLOOKUP(H1372,PROGRAMAS[],3,FALSE),0)</f>
        <v>7011279577.519702</v>
      </c>
      <c r="AK1372" s="246">
        <f>IFERROR(VLOOKUP(I1372,PROGRAMAS[],3,FALSE),0)</f>
        <v>675517840.109828</v>
      </c>
      <c r="AL1372" s="246">
        <f>IFERROR(VLOOKUP(J1372,PROGRAMAS[],3,FALSE),0)</f>
        <v>2392571243.5584412</v>
      </c>
      <c r="AM1372" s="246">
        <f>IFERROR(VLOOKUP(K1372,PROGRAMAS[],3,FALSE),0)</f>
        <v>2406564599.0319901</v>
      </c>
      <c r="AN1372" s="246">
        <f>IFERROR(VLOOKUP(L1372,PROGRAMAS[],3,FALSE),0)</f>
        <v>948595847.09039903</v>
      </c>
      <c r="AO1372" s="246">
        <f>IFERROR(VLOOKUP(M1372,PROGRAMAS[],3,FALSE),0)</f>
        <v>0</v>
      </c>
      <c r="AP1372" s="246">
        <f>IFERROR(VLOOKUP(N1372,PROGRAMAS[],3,FALSE),0)</f>
        <v>0</v>
      </c>
      <c r="AQ1372" s="246">
        <f>IFERROR(VLOOKUP(O1372,PROGRAMAS[],3,FALSE),0)</f>
        <v>0</v>
      </c>
      <c r="AR1372" s="246">
        <f>IFERROR(VLOOKUP(P1372,PROGRAMAS[],3,FALSE),0)</f>
        <v>0</v>
      </c>
      <c r="AS1372" s="246">
        <f>IFERROR(VLOOKUP(Q1372,PROGRAMAS[],3,FALSE),0)</f>
        <v>0</v>
      </c>
      <c r="AT1372" s="246">
        <f>IFERROR(VLOOKUP(D1372,VOL_REC[],2,FALSE),0)</f>
        <v>0</v>
      </c>
      <c r="AU1372" s="246">
        <f>IFERROR(VLOOKUP(E1372,VOL_REC[],2,FALSE),0)</f>
        <v>0</v>
      </c>
      <c r="AV1372" s="246">
        <f>IFERROR(VLOOKUP(F1372,VOL_REC[],2,FALSE),0)</f>
        <v>11089674.200000001</v>
      </c>
      <c r="AW1372" s="246">
        <f>IFERROR(VLOOKUP(G1372,VOL_REC[],2,FALSE),0)</f>
        <v>4325103.1812214684</v>
      </c>
      <c r="AX1372" s="246">
        <f>IFERROR(VLOOKUP(H1372,VOL_REC[],2,FALSE),0)</f>
        <v>3761786</v>
      </c>
      <c r="AY1372" s="246">
        <f>IFERROR(VLOOKUP(I1372,VOL_REC[],2,FALSE),0)</f>
        <v>240696.79238099116</v>
      </c>
      <c r="AZ1372" s="246">
        <f>IFERROR(VLOOKUP(J1372,VOL_REC[],2,FALSE),0)</f>
        <v>663244.80000000016</v>
      </c>
      <c r="BA1372" s="246">
        <f>IFERROR(VLOOKUP(K1372,VOL_REC[],2,FALSE),0)</f>
        <v>1072354.9981737854</v>
      </c>
      <c r="BB1372" s="246">
        <f>IFERROR(VLOOKUP(L1372,VOL_REC[],2,FALSE),0)</f>
        <v>740113.98115702497</v>
      </c>
      <c r="BC1372" s="246">
        <f>IFERROR(VLOOKUP(M1372,VOL_REC[],2,FALSE),0)</f>
        <v>0</v>
      </c>
      <c r="BD1372" s="246">
        <f>IFERROR(VLOOKUP(N1372,VOL_REC[],2,FALSE),0)</f>
        <v>0</v>
      </c>
      <c r="BE1372" s="246">
        <f>IFERROR(VLOOKUP(O1372,VOL_REC[],2,FALSE),0)</f>
        <v>0</v>
      </c>
      <c r="BF1372" s="246">
        <f>IFERROR(VLOOKUP(P1372,VOL_REC[],2,FALSE),0)</f>
        <v>0</v>
      </c>
      <c r="BG1372" s="246">
        <f>IFERROR(VLOOKUP(Q1372,VOL_REC[],2,FALSE),0)</f>
        <v>0</v>
      </c>
      <c r="BH1372" s="1710">
        <f t="shared" si="84"/>
        <v>24872000794.752995</v>
      </c>
      <c r="BI1372" s="1710">
        <f t="shared" si="85"/>
        <v>22753805112.234512</v>
      </c>
      <c r="BJ1372" s="1711">
        <f t="shared" si="86"/>
        <v>21892973.95293327</v>
      </c>
      <c r="BK1372" s="1711">
        <f t="shared" si="87"/>
        <v>1.0930919321876211</v>
      </c>
      <c r="BL1372">
        <f>BJ1372</f>
        <v>21892973.95293327</v>
      </c>
      <c r="BO1372">
        <f>BL1372</f>
        <v>21892973.95293327</v>
      </c>
    </row>
    <row r="1373" spans="3:67" x14ac:dyDescent="0.25">
      <c r="C1373" s="246" t="s">
        <v>2723</v>
      </c>
      <c r="D1373" s="246">
        <v>1</v>
      </c>
      <c r="E1373" s="246">
        <v>2</v>
      </c>
      <c r="F1373" s="246">
        <v>3</v>
      </c>
      <c r="G1373" s="246">
        <v>5</v>
      </c>
      <c r="H1373" s="246">
        <v>9</v>
      </c>
      <c r="I1373" s="246">
        <v>12</v>
      </c>
      <c r="J1373" s="246">
        <v>14</v>
      </c>
      <c r="K1373" s="246">
        <v>15</v>
      </c>
      <c r="L1373" s="246">
        <v>16</v>
      </c>
      <c r="M1373" s="246"/>
      <c r="N1373" s="246"/>
      <c r="O1373" s="246"/>
      <c r="P1373" s="246"/>
      <c r="Q1373" s="246"/>
      <c r="R1373" s="246">
        <f>IFERROR(VLOOKUP(D1373,PROGRAMAS[],2,FALSE),0)</f>
        <v>97037803.679377079</v>
      </c>
      <c r="S1373" s="246">
        <f>IFERROR(VLOOKUP(E1373,PROGRAMAS[],2,FALSE),0)</f>
        <v>640501509.6821388</v>
      </c>
      <c r="T1373" s="246">
        <f>IFERROR(VLOOKUP(F1373,PROGRAMAS[],2,FALSE),0)</f>
        <v>3062327798.1525245</v>
      </c>
      <c r="U1373" s="246">
        <f>IFERROR(VLOOKUP(G1373,PROGRAMAS[],2,FALSE),0)</f>
        <v>1440941976.2528784</v>
      </c>
      <c r="V1373" s="246">
        <f>IFERROR(VLOOKUP(H1373,PROGRAMAS[],2,FALSE),0)</f>
        <v>6128579952.1618185</v>
      </c>
      <c r="W1373" s="246">
        <f>IFERROR(VLOOKUP(I1373,PROGRAMAS[],2,FALSE),0)</f>
        <v>764796700.79905891</v>
      </c>
      <c r="X1373" s="246">
        <f>IFERROR(VLOOKUP(J1373,PROGRAMAS[],2,FALSE),0)</f>
        <v>54223862.645839565</v>
      </c>
      <c r="Y1373" s="246">
        <f>IFERROR(VLOOKUP(K1373,PROGRAMAS[],2,FALSE),0)</f>
        <v>122159672.96346797</v>
      </c>
      <c r="Z1373" s="246">
        <f>IFERROR(VLOOKUP(L1373,PROGRAMAS[],2,FALSE),0)</f>
        <v>7068496961.0436354</v>
      </c>
      <c r="AA1373" s="246">
        <f>IFERROR(VLOOKUP(M1373,PROGRAMAS[],2,FALSE),0)</f>
        <v>0</v>
      </c>
      <c r="AB1373" s="246">
        <f>IFERROR(VLOOKUP(N1373,PROGRAMAS[],2,FALSE),0)</f>
        <v>0</v>
      </c>
      <c r="AC1373" s="246">
        <f>IFERROR(VLOOKUP(O1373,PROGRAMAS[],2,FALSE),0)</f>
        <v>0</v>
      </c>
      <c r="AD1373" s="246">
        <f>IFERROR(VLOOKUP(P1373,PROGRAMAS[],2,FALSE),0)</f>
        <v>0</v>
      </c>
      <c r="AE1373" s="246">
        <f>IFERROR(VLOOKUP(Q1373,PROGRAMAS[],2,FALSE),0)</f>
        <v>0</v>
      </c>
      <c r="AF1373" s="246">
        <f>IFERROR(VLOOKUP(D1373,PROGRAMAS[],3,FALSE),0)</f>
        <v>841888629.31080008</v>
      </c>
      <c r="AG1373" s="246">
        <f>IFERROR(VLOOKUP(E1373,PROGRAMAS[],3,FALSE),0)</f>
        <v>3848980803.1642323</v>
      </c>
      <c r="AH1373" s="246">
        <f>IFERROR(VLOOKUP(F1373,PROGRAMAS[],3,FALSE),0)</f>
        <v>3394901471.387517</v>
      </c>
      <c r="AI1373" s="246">
        <f>IFERROR(VLOOKUP(G1373,PROGRAMAS[],3,FALSE),0)</f>
        <v>1233505101.0616004</v>
      </c>
      <c r="AJ1373" s="246">
        <f>IFERROR(VLOOKUP(H1373,PROGRAMAS[],3,FALSE),0)</f>
        <v>7011279577.519702</v>
      </c>
      <c r="AK1373" s="246">
        <f>IFERROR(VLOOKUP(I1373,PROGRAMAS[],3,FALSE),0)</f>
        <v>675517840.109828</v>
      </c>
      <c r="AL1373" s="246">
        <f>IFERROR(VLOOKUP(J1373,PROGRAMAS[],3,FALSE),0)</f>
        <v>31865326.38096505</v>
      </c>
      <c r="AM1373" s="246">
        <f>IFERROR(VLOOKUP(K1373,PROGRAMAS[],3,FALSE),0)</f>
        <v>118617452.52510804</v>
      </c>
      <c r="AN1373" s="246">
        <f>IFERROR(VLOOKUP(L1373,PROGRAMAS[],3,FALSE),0)</f>
        <v>2406564599.0319901</v>
      </c>
      <c r="AO1373" s="246">
        <f>IFERROR(VLOOKUP(M1373,PROGRAMAS[],3,FALSE),0)</f>
        <v>0</v>
      </c>
      <c r="AP1373" s="246">
        <f>IFERROR(VLOOKUP(N1373,PROGRAMAS[],3,FALSE),0)</f>
        <v>0</v>
      </c>
      <c r="AQ1373" s="246">
        <f>IFERROR(VLOOKUP(O1373,PROGRAMAS[],3,FALSE),0)</f>
        <v>0</v>
      </c>
      <c r="AR1373" s="246">
        <f>IFERROR(VLOOKUP(P1373,PROGRAMAS[],3,FALSE),0)</f>
        <v>0</v>
      </c>
      <c r="AS1373" s="246">
        <f>IFERROR(VLOOKUP(Q1373,PROGRAMAS[],3,FALSE),0)</f>
        <v>0</v>
      </c>
      <c r="AT1373" s="246">
        <f>IFERROR(VLOOKUP(D1373,VOL_REC[],2,FALSE),0)</f>
        <v>0</v>
      </c>
      <c r="AU1373" s="246">
        <f>IFERROR(VLOOKUP(E1373,VOL_REC[],2,FALSE),0)</f>
        <v>0</v>
      </c>
      <c r="AV1373" s="246">
        <f>IFERROR(VLOOKUP(F1373,VOL_REC[],2,FALSE),0)</f>
        <v>11089674.200000001</v>
      </c>
      <c r="AW1373" s="246">
        <f>IFERROR(VLOOKUP(G1373,VOL_REC[],2,FALSE),0)</f>
        <v>4325103.1812214684</v>
      </c>
      <c r="AX1373" s="246">
        <f>IFERROR(VLOOKUP(H1373,VOL_REC[],2,FALSE),0)</f>
        <v>3761786</v>
      </c>
      <c r="AY1373" s="246">
        <f>IFERROR(VLOOKUP(I1373,VOL_REC[],2,FALSE),0)</f>
        <v>240696.79238099116</v>
      </c>
      <c r="AZ1373" s="246">
        <f>IFERROR(VLOOKUP(J1373,VOL_REC[],2,FALSE),0)</f>
        <v>17074.045034105649</v>
      </c>
      <c r="BA1373" s="246">
        <f>IFERROR(VLOOKUP(K1373,VOL_REC[],2,FALSE),0)</f>
        <v>105072</v>
      </c>
      <c r="BB1373" s="246">
        <f>IFERROR(VLOOKUP(L1373,VOL_REC[],2,FALSE),0)</f>
        <v>1072354.9981737854</v>
      </c>
      <c r="BC1373" s="246">
        <f>IFERROR(VLOOKUP(M1373,VOL_REC[],2,FALSE),0)</f>
        <v>0</v>
      </c>
      <c r="BD1373" s="246">
        <f>IFERROR(VLOOKUP(N1373,VOL_REC[],2,FALSE),0)</f>
        <v>0</v>
      </c>
      <c r="BE1373" s="246">
        <f>IFERROR(VLOOKUP(O1373,VOL_REC[],2,FALSE),0)</f>
        <v>0</v>
      </c>
      <c r="BF1373" s="246">
        <f>IFERROR(VLOOKUP(P1373,VOL_REC[],2,FALSE),0)</f>
        <v>0</v>
      </c>
      <c r="BG1373" s="246">
        <f>IFERROR(VLOOKUP(Q1373,VOL_REC[],2,FALSE),0)</f>
        <v>0</v>
      </c>
      <c r="BH1373" s="1710">
        <f t="shared" si="84"/>
        <v>19379066237.380741</v>
      </c>
      <c r="BI1373" s="1710">
        <f t="shared" si="85"/>
        <v>19563120800.491745</v>
      </c>
      <c r="BJ1373" s="1711">
        <f t="shared" si="86"/>
        <v>20611761.216810353</v>
      </c>
      <c r="BK1373" s="1711">
        <f t="shared" si="87"/>
        <v>0.99059175859577697</v>
      </c>
    </row>
    <row r="1374" spans="3:67" x14ac:dyDescent="0.25">
      <c r="C1374" s="246" t="s">
        <v>2724</v>
      </c>
      <c r="D1374" s="246">
        <v>1</v>
      </c>
      <c r="E1374" s="246">
        <v>2</v>
      </c>
      <c r="F1374" s="246">
        <v>3</v>
      </c>
      <c r="G1374" s="246">
        <v>5</v>
      </c>
      <c r="H1374" s="246">
        <v>9</v>
      </c>
      <c r="I1374" s="246">
        <v>12</v>
      </c>
      <c r="J1374" s="246">
        <v>14</v>
      </c>
      <c r="K1374" s="246">
        <v>15</v>
      </c>
      <c r="L1374" s="246">
        <v>17</v>
      </c>
      <c r="M1374" s="246"/>
      <c r="N1374" s="246"/>
      <c r="O1374" s="246"/>
      <c r="P1374" s="246"/>
      <c r="Q1374" s="246"/>
      <c r="R1374" s="246">
        <f>IFERROR(VLOOKUP(D1374,PROGRAMAS[],2,FALSE),0)</f>
        <v>97037803.679377079</v>
      </c>
      <c r="S1374" s="246">
        <f>IFERROR(VLOOKUP(E1374,PROGRAMAS[],2,FALSE),0)</f>
        <v>640501509.6821388</v>
      </c>
      <c r="T1374" s="246">
        <f>IFERROR(VLOOKUP(F1374,PROGRAMAS[],2,FALSE),0)</f>
        <v>3062327798.1525245</v>
      </c>
      <c r="U1374" s="246">
        <f>IFERROR(VLOOKUP(G1374,PROGRAMAS[],2,FALSE),0)</f>
        <v>1440941976.2528784</v>
      </c>
      <c r="V1374" s="246">
        <f>IFERROR(VLOOKUP(H1374,PROGRAMAS[],2,FALSE),0)</f>
        <v>6128579952.1618185</v>
      </c>
      <c r="W1374" s="246">
        <f>IFERROR(VLOOKUP(I1374,PROGRAMAS[],2,FALSE),0)</f>
        <v>764796700.79905891</v>
      </c>
      <c r="X1374" s="246">
        <f>IFERROR(VLOOKUP(J1374,PROGRAMAS[],2,FALSE),0)</f>
        <v>54223862.645839565</v>
      </c>
      <c r="Y1374" s="246">
        <f>IFERROR(VLOOKUP(K1374,PROGRAMAS[],2,FALSE),0)</f>
        <v>122159672.96346797</v>
      </c>
      <c r="Z1374" s="246">
        <f>IFERROR(VLOOKUP(L1374,PROGRAMAS[],2,FALSE),0)</f>
        <v>1892779498.5211046</v>
      </c>
      <c r="AA1374" s="246">
        <f>IFERROR(VLOOKUP(M1374,PROGRAMAS[],2,FALSE),0)</f>
        <v>0</v>
      </c>
      <c r="AB1374" s="246">
        <f>IFERROR(VLOOKUP(N1374,PROGRAMAS[],2,FALSE),0)</f>
        <v>0</v>
      </c>
      <c r="AC1374" s="246">
        <f>IFERROR(VLOOKUP(O1374,PROGRAMAS[],2,FALSE),0)</f>
        <v>0</v>
      </c>
      <c r="AD1374" s="246">
        <f>IFERROR(VLOOKUP(P1374,PROGRAMAS[],2,FALSE),0)</f>
        <v>0</v>
      </c>
      <c r="AE1374" s="246">
        <f>IFERROR(VLOOKUP(Q1374,PROGRAMAS[],2,FALSE),0)</f>
        <v>0</v>
      </c>
      <c r="AF1374" s="246">
        <f>IFERROR(VLOOKUP(D1374,PROGRAMAS[],3,FALSE),0)</f>
        <v>841888629.31080008</v>
      </c>
      <c r="AG1374" s="246">
        <f>IFERROR(VLOOKUP(E1374,PROGRAMAS[],3,FALSE),0)</f>
        <v>3848980803.1642323</v>
      </c>
      <c r="AH1374" s="246">
        <f>IFERROR(VLOOKUP(F1374,PROGRAMAS[],3,FALSE),0)</f>
        <v>3394901471.387517</v>
      </c>
      <c r="AI1374" s="246">
        <f>IFERROR(VLOOKUP(G1374,PROGRAMAS[],3,FALSE),0)</f>
        <v>1233505101.0616004</v>
      </c>
      <c r="AJ1374" s="246">
        <f>IFERROR(VLOOKUP(H1374,PROGRAMAS[],3,FALSE),0)</f>
        <v>7011279577.519702</v>
      </c>
      <c r="AK1374" s="246">
        <f>IFERROR(VLOOKUP(I1374,PROGRAMAS[],3,FALSE),0)</f>
        <v>675517840.109828</v>
      </c>
      <c r="AL1374" s="246">
        <f>IFERROR(VLOOKUP(J1374,PROGRAMAS[],3,FALSE),0)</f>
        <v>31865326.38096505</v>
      </c>
      <c r="AM1374" s="246">
        <f>IFERROR(VLOOKUP(K1374,PROGRAMAS[],3,FALSE),0)</f>
        <v>118617452.52510804</v>
      </c>
      <c r="AN1374" s="246">
        <f>IFERROR(VLOOKUP(L1374,PROGRAMAS[],3,FALSE),0)</f>
        <v>948595847.09039903</v>
      </c>
      <c r="AO1374" s="246">
        <f>IFERROR(VLOOKUP(M1374,PROGRAMAS[],3,FALSE),0)</f>
        <v>0</v>
      </c>
      <c r="AP1374" s="246">
        <f>IFERROR(VLOOKUP(N1374,PROGRAMAS[],3,FALSE),0)</f>
        <v>0</v>
      </c>
      <c r="AQ1374" s="246">
        <f>IFERROR(VLOOKUP(O1374,PROGRAMAS[],3,FALSE),0)</f>
        <v>0</v>
      </c>
      <c r="AR1374" s="246">
        <f>IFERROR(VLOOKUP(P1374,PROGRAMAS[],3,FALSE),0)</f>
        <v>0</v>
      </c>
      <c r="AS1374" s="246">
        <f>IFERROR(VLOOKUP(Q1374,PROGRAMAS[],3,FALSE),0)</f>
        <v>0</v>
      </c>
      <c r="AT1374" s="246">
        <f>IFERROR(VLOOKUP(D1374,VOL_REC[],2,FALSE),0)</f>
        <v>0</v>
      </c>
      <c r="AU1374" s="246">
        <f>IFERROR(VLOOKUP(E1374,VOL_REC[],2,FALSE),0)</f>
        <v>0</v>
      </c>
      <c r="AV1374" s="246">
        <f>IFERROR(VLOOKUP(F1374,VOL_REC[],2,FALSE),0)</f>
        <v>11089674.200000001</v>
      </c>
      <c r="AW1374" s="246">
        <f>IFERROR(VLOOKUP(G1374,VOL_REC[],2,FALSE),0)</f>
        <v>4325103.1812214684</v>
      </c>
      <c r="AX1374" s="246">
        <f>IFERROR(VLOOKUP(H1374,VOL_REC[],2,FALSE),0)</f>
        <v>3761786</v>
      </c>
      <c r="AY1374" s="246">
        <f>IFERROR(VLOOKUP(I1374,VOL_REC[],2,FALSE),0)</f>
        <v>240696.79238099116</v>
      </c>
      <c r="AZ1374" s="246">
        <f>IFERROR(VLOOKUP(J1374,VOL_REC[],2,FALSE),0)</f>
        <v>17074.045034105649</v>
      </c>
      <c r="BA1374" s="246">
        <f>IFERROR(VLOOKUP(K1374,VOL_REC[],2,FALSE),0)</f>
        <v>105072</v>
      </c>
      <c r="BB1374" s="246">
        <f>IFERROR(VLOOKUP(L1374,VOL_REC[],2,FALSE),0)</f>
        <v>740113.98115702497</v>
      </c>
      <c r="BC1374" s="246">
        <f>IFERROR(VLOOKUP(M1374,VOL_REC[],2,FALSE),0)</f>
        <v>0</v>
      </c>
      <c r="BD1374" s="246">
        <f>IFERROR(VLOOKUP(N1374,VOL_REC[],2,FALSE),0)</f>
        <v>0</v>
      </c>
      <c r="BE1374" s="246">
        <f>IFERROR(VLOOKUP(O1374,VOL_REC[],2,FALSE),0)</f>
        <v>0</v>
      </c>
      <c r="BF1374" s="246">
        <f>IFERROR(VLOOKUP(P1374,VOL_REC[],2,FALSE),0)</f>
        <v>0</v>
      </c>
      <c r="BG1374" s="246">
        <f>IFERROR(VLOOKUP(Q1374,VOL_REC[],2,FALSE),0)</f>
        <v>0</v>
      </c>
      <c r="BH1374" s="1710">
        <f t="shared" si="84"/>
        <v>14203348774.85821</v>
      </c>
      <c r="BI1374" s="1710">
        <f t="shared" si="85"/>
        <v>18105152048.550152</v>
      </c>
      <c r="BJ1374" s="1711">
        <f t="shared" si="86"/>
        <v>20279520.199793592</v>
      </c>
      <c r="BK1374" s="1711">
        <f t="shared" si="87"/>
        <v>0.78449210129641544</v>
      </c>
    </row>
    <row r="1375" spans="3:67" x14ac:dyDescent="0.25">
      <c r="C1375" s="246" t="s">
        <v>2725</v>
      </c>
      <c r="D1375" s="246">
        <v>1</v>
      </c>
      <c r="E1375" s="246">
        <v>2</v>
      </c>
      <c r="F1375" s="246">
        <v>3</v>
      </c>
      <c r="G1375" s="246">
        <v>5</v>
      </c>
      <c r="H1375" s="246">
        <v>9</v>
      </c>
      <c r="I1375" s="246">
        <v>12</v>
      </c>
      <c r="J1375" s="246">
        <v>14</v>
      </c>
      <c r="K1375" s="246">
        <v>16</v>
      </c>
      <c r="L1375" s="246">
        <v>17</v>
      </c>
      <c r="M1375" s="246"/>
      <c r="N1375" s="246"/>
      <c r="O1375" s="246"/>
      <c r="P1375" s="246"/>
      <c r="Q1375" s="246"/>
      <c r="R1375" s="246">
        <f>IFERROR(VLOOKUP(D1375,PROGRAMAS[],2,FALSE),0)</f>
        <v>97037803.679377079</v>
      </c>
      <c r="S1375" s="246">
        <f>IFERROR(VLOOKUP(E1375,PROGRAMAS[],2,FALSE),0)</f>
        <v>640501509.6821388</v>
      </c>
      <c r="T1375" s="246">
        <f>IFERROR(VLOOKUP(F1375,PROGRAMAS[],2,FALSE),0)</f>
        <v>3062327798.1525245</v>
      </c>
      <c r="U1375" s="246">
        <f>IFERROR(VLOOKUP(G1375,PROGRAMAS[],2,FALSE),0)</f>
        <v>1440941976.2528784</v>
      </c>
      <c r="V1375" s="246">
        <f>IFERROR(VLOOKUP(H1375,PROGRAMAS[],2,FALSE),0)</f>
        <v>6128579952.1618185</v>
      </c>
      <c r="W1375" s="246">
        <f>IFERROR(VLOOKUP(I1375,PROGRAMAS[],2,FALSE),0)</f>
        <v>764796700.79905891</v>
      </c>
      <c r="X1375" s="246">
        <f>IFERROR(VLOOKUP(J1375,PROGRAMAS[],2,FALSE),0)</f>
        <v>54223862.645839565</v>
      </c>
      <c r="Y1375" s="246">
        <f>IFERROR(VLOOKUP(K1375,PROGRAMAS[],2,FALSE),0)</f>
        <v>7068496961.0436354</v>
      </c>
      <c r="Z1375" s="246">
        <f>IFERROR(VLOOKUP(L1375,PROGRAMAS[],2,FALSE),0)</f>
        <v>1892779498.5211046</v>
      </c>
      <c r="AA1375" s="246">
        <f>IFERROR(VLOOKUP(M1375,PROGRAMAS[],2,FALSE),0)</f>
        <v>0</v>
      </c>
      <c r="AB1375" s="246">
        <f>IFERROR(VLOOKUP(N1375,PROGRAMAS[],2,FALSE),0)</f>
        <v>0</v>
      </c>
      <c r="AC1375" s="246">
        <f>IFERROR(VLOOKUP(O1375,PROGRAMAS[],2,FALSE),0)</f>
        <v>0</v>
      </c>
      <c r="AD1375" s="246">
        <f>IFERROR(VLOOKUP(P1375,PROGRAMAS[],2,FALSE),0)</f>
        <v>0</v>
      </c>
      <c r="AE1375" s="246">
        <f>IFERROR(VLOOKUP(Q1375,PROGRAMAS[],2,FALSE),0)</f>
        <v>0</v>
      </c>
      <c r="AF1375" s="246">
        <f>IFERROR(VLOOKUP(D1375,PROGRAMAS[],3,FALSE),0)</f>
        <v>841888629.31080008</v>
      </c>
      <c r="AG1375" s="246">
        <f>IFERROR(VLOOKUP(E1375,PROGRAMAS[],3,FALSE),0)</f>
        <v>3848980803.1642323</v>
      </c>
      <c r="AH1375" s="246">
        <f>IFERROR(VLOOKUP(F1375,PROGRAMAS[],3,FALSE),0)</f>
        <v>3394901471.387517</v>
      </c>
      <c r="AI1375" s="246">
        <f>IFERROR(VLOOKUP(G1375,PROGRAMAS[],3,FALSE),0)</f>
        <v>1233505101.0616004</v>
      </c>
      <c r="AJ1375" s="246">
        <f>IFERROR(VLOOKUP(H1375,PROGRAMAS[],3,FALSE),0)</f>
        <v>7011279577.519702</v>
      </c>
      <c r="AK1375" s="246">
        <f>IFERROR(VLOOKUP(I1375,PROGRAMAS[],3,FALSE),0)</f>
        <v>675517840.109828</v>
      </c>
      <c r="AL1375" s="246">
        <f>IFERROR(VLOOKUP(J1375,PROGRAMAS[],3,FALSE),0)</f>
        <v>31865326.38096505</v>
      </c>
      <c r="AM1375" s="246">
        <f>IFERROR(VLOOKUP(K1375,PROGRAMAS[],3,FALSE),0)</f>
        <v>2406564599.0319901</v>
      </c>
      <c r="AN1375" s="246">
        <f>IFERROR(VLOOKUP(L1375,PROGRAMAS[],3,FALSE),0)</f>
        <v>948595847.09039903</v>
      </c>
      <c r="AO1375" s="246">
        <f>IFERROR(VLOOKUP(M1375,PROGRAMAS[],3,FALSE),0)</f>
        <v>0</v>
      </c>
      <c r="AP1375" s="246">
        <f>IFERROR(VLOOKUP(N1375,PROGRAMAS[],3,FALSE),0)</f>
        <v>0</v>
      </c>
      <c r="AQ1375" s="246">
        <f>IFERROR(VLOOKUP(O1375,PROGRAMAS[],3,FALSE),0)</f>
        <v>0</v>
      </c>
      <c r="AR1375" s="246">
        <f>IFERROR(VLOOKUP(P1375,PROGRAMAS[],3,FALSE),0)</f>
        <v>0</v>
      </c>
      <c r="AS1375" s="246">
        <f>IFERROR(VLOOKUP(Q1375,PROGRAMAS[],3,FALSE),0)</f>
        <v>0</v>
      </c>
      <c r="AT1375" s="246">
        <f>IFERROR(VLOOKUP(D1375,VOL_REC[],2,FALSE),0)</f>
        <v>0</v>
      </c>
      <c r="AU1375" s="246">
        <f>IFERROR(VLOOKUP(E1375,VOL_REC[],2,FALSE),0)</f>
        <v>0</v>
      </c>
      <c r="AV1375" s="246">
        <f>IFERROR(VLOOKUP(F1375,VOL_REC[],2,FALSE),0)</f>
        <v>11089674.200000001</v>
      </c>
      <c r="AW1375" s="246">
        <f>IFERROR(VLOOKUP(G1375,VOL_REC[],2,FALSE),0)</f>
        <v>4325103.1812214684</v>
      </c>
      <c r="AX1375" s="246">
        <f>IFERROR(VLOOKUP(H1375,VOL_REC[],2,FALSE),0)</f>
        <v>3761786</v>
      </c>
      <c r="AY1375" s="246">
        <f>IFERROR(VLOOKUP(I1375,VOL_REC[],2,FALSE),0)</f>
        <v>240696.79238099116</v>
      </c>
      <c r="AZ1375" s="246">
        <f>IFERROR(VLOOKUP(J1375,VOL_REC[],2,FALSE),0)</f>
        <v>17074.045034105649</v>
      </c>
      <c r="BA1375" s="246">
        <f>IFERROR(VLOOKUP(K1375,VOL_REC[],2,FALSE),0)</f>
        <v>1072354.9981737854</v>
      </c>
      <c r="BB1375" s="246">
        <f>IFERROR(VLOOKUP(L1375,VOL_REC[],2,FALSE),0)</f>
        <v>740113.98115702497</v>
      </c>
      <c r="BC1375" s="246">
        <f>IFERROR(VLOOKUP(M1375,VOL_REC[],2,FALSE),0)</f>
        <v>0</v>
      </c>
      <c r="BD1375" s="246">
        <f>IFERROR(VLOOKUP(N1375,VOL_REC[],2,FALSE),0)</f>
        <v>0</v>
      </c>
      <c r="BE1375" s="246">
        <f>IFERROR(VLOOKUP(O1375,VOL_REC[],2,FALSE),0)</f>
        <v>0</v>
      </c>
      <c r="BF1375" s="246">
        <f>IFERROR(VLOOKUP(P1375,VOL_REC[],2,FALSE),0)</f>
        <v>0</v>
      </c>
      <c r="BG1375" s="246">
        <f>IFERROR(VLOOKUP(Q1375,VOL_REC[],2,FALSE),0)</f>
        <v>0</v>
      </c>
      <c r="BH1375" s="1710">
        <f t="shared" si="84"/>
        <v>21149686062.938374</v>
      </c>
      <c r="BI1375" s="1710">
        <f t="shared" si="85"/>
        <v>20393099195.057037</v>
      </c>
      <c r="BJ1375" s="1711">
        <f t="shared" si="86"/>
        <v>21246803.197967377</v>
      </c>
      <c r="BK1375" s="1711">
        <f t="shared" si="87"/>
        <v>1.0371001416040149</v>
      </c>
      <c r="BL1375">
        <f>BJ1375</f>
        <v>21246803.197967377</v>
      </c>
      <c r="BO1375">
        <f>BL1375</f>
        <v>21246803.197967377</v>
      </c>
    </row>
    <row r="1376" spans="3:67" x14ac:dyDescent="0.25">
      <c r="C1376" s="246" t="s">
        <v>2726</v>
      </c>
      <c r="D1376" s="246">
        <v>1</v>
      </c>
      <c r="E1376" s="246">
        <v>2</v>
      </c>
      <c r="F1376" s="246">
        <v>3</v>
      </c>
      <c r="G1376" s="246">
        <v>5</v>
      </c>
      <c r="H1376" s="246">
        <v>9</v>
      </c>
      <c r="I1376" s="246">
        <v>12</v>
      </c>
      <c r="J1376" s="246">
        <v>15</v>
      </c>
      <c r="K1376" s="246">
        <v>16</v>
      </c>
      <c r="L1376" s="246">
        <v>17</v>
      </c>
      <c r="M1376" s="246"/>
      <c r="N1376" s="246"/>
      <c r="O1376" s="246"/>
      <c r="P1376" s="246"/>
      <c r="Q1376" s="246"/>
      <c r="R1376" s="246">
        <f>IFERROR(VLOOKUP(D1376,PROGRAMAS[],2,FALSE),0)</f>
        <v>97037803.679377079</v>
      </c>
      <c r="S1376" s="246">
        <f>IFERROR(VLOOKUP(E1376,PROGRAMAS[],2,FALSE),0)</f>
        <v>640501509.6821388</v>
      </c>
      <c r="T1376" s="246">
        <f>IFERROR(VLOOKUP(F1376,PROGRAMAS[],2,FALSE),0)</f>
        <v>3062327798.1525245</v>
      </c>
      <c r="U1376" s="246">
        <f>IFERROR(VLOOKUP(G1376,PROGRAMAS[],2,FALSE),0)</f>
        <v>1440941976.2528784</v>
      </c>
      <c r="V1376" s="246">
        <f>IFERROR(VLOOKUP(H1376,PROGRAMAS[],2,FALSE),0)</f>
        <v>6128579952.1618185</v>
      </c>
      <c r="W1376" s="246">
        <f>IFERROR(VLOOKUP(I1376,PROGRAMAS[],2,FALSE),0)</f>
        <v>764796700.79905891</v>
      </c>
      <c r="X1376" s="246">
        <f>IFERROR(VLOOKUP(J1376,PROGRAMAS[],2,FALSE),0)</f>
        <v>122159672.96346797</v>
      </c>
      <c r="Y1376" s="246">
        <f>IFERROR(VLOOKUP(K1376,PROGRAMAS[],2,FALSE),0)</f>
        <v>7068496961.0436354</v>
      </c>
      <c r="Z1376" s="246">
        <f>IFERROR(VLOOKUP(L1376,PROGRAMAS[],2,FALSE),0)</f>
        <v>1892779498.5211046</v>
      </c>
      <c r="AA1376" s="246">
        <f>IFERROR(VLOOKUP(M1376,PROGRAMAS[],2,FALSE),0)</f>
        <v>0</v>
      </c>
      <c r="AB1376" s="246">
        <f>IFERROR(VLOOKUP(N1376,PROGRAMAS[],2,FALSE),0)</f>
        <v>0</v>
      </c>
      <c r="AC1376" s="246">
        <f>IFERROR(VLOOKUP(O1376,PROGRAMAS[],2,FALSE),0)</f>
        <v>0</v>
      </c>
      <c r="AD1376" s="246">
        <f>IFERROR(VLOOKUP(P1376,PROGRAMAS[],2,FALSE),0)</f>
        <v>0</v>
      </c>
      <c r="AE1376" s="246">
        <f>IFERROR(VLOOKUP(Q1376,PROGRAMAS[],2,FALSE),0)</f>
        <v>0</v>
      </c>
      <c r="AF1376" s="246">
        <f>IFERROR(VLOOKUP(D1376,PROGRAMAS[],3,FALSE),0)</f>
        <v>841888629.31080008</v>
      </c>
      <c r="AG1376" s="246">
        <f>IFERROR(VLOOKUP(E1376,PROGRAMAS[],3,FALSE),0)</f>
        <v>3848980803.1642323</v>
      </c>
      <c r="AH1376" s="246">
        <f>IFERROR(VLOOKUP(F1376,PROGRAMAS[],3,FALSE),0)</f>
        <v>3394901471.387517</v>
      </c>
      <c r="AI1376" s="246">
        <f>IFERROR(VLOOKUP(G1376,PROGRAMAS[],3,FALSE),0)</f>
        <v>1233505101.0616004</v>
      </c>
      <c r="AJ1376" s="246">
        <f>IFERROR(VLOOKUP(H1376,PROGRAMAS[],3,FALSE),0)</f>
        <v>7011279577.519702</v>
      </c>
      <c r="AK1376" s="246">
        <f>IFERROR(VLOOKUP(I1376,PROGRAMAS[],3,FALSE),0)</f>
        <v>675517840.109828</v>
      </c>
      <c r="AL1376" s="246">
        <f>IFERROR(VLOOKUP(J1376,PROGRAMAS[],3,FALSE),0)</f>
        <v>118617452.52510804</v>
      </c>
      <c r="AM1376" s="246">
        <f>IFERROR(VLOOKUP(K1376,PROGRAMAS[],3,FALSE),0)</f>
        <v>2406564599.0319901</v>
      </c>
      <c r="AN1376" s="246">
        <f>IFERROR(VLOOKUP(L1376,PROGRAMAS[],3,FALSE),0)</f>
        <v>948595847.09039903</v>
      </c>
      <c r="AO1376" s="246">
        <f>IFERROR(VLOOKUP(M1376,PROGRAMAS[],3,FALSE),0)</f>
        <v>0</v>
      </c>
      <c r="AP1376" s="246">
        <f>IFERROR(VLOOKUP(N1376,PROGRAMAS[],3,FALSE),0)</f>
        <v>0</v>
      </c>
      <c r="AQ1376" s="246">
        <f>IFERROR(VLOOKUP(O1376,PROGRAMAS[],3,FALSE),0)</f>
        <v>0</v>
      </c>
      <c r="AR1376" s="246">
        <f>IFERROR(VLOOKUP(P1376,PROGRAMAS[],3,FALSE),0)</f>
        <v>0</v>
      </c>
      <c r="AS1376" s="246">
        <f>IFERROR(VLOOKUP(Q1376,PROGRAMAS[],3,FALSE),0)</f>
        <v>0</v>
      </c>
      <c r="AT1376" s="246">
        <f>IFERROR(VLOOKUP(D1376,VOL_REC[],2,FALSE),0)</f>
        <v>0</v>
      </c>
      <c r="AU1376" s="246">
        <f>IFERROR(VLOOKUP(E1376,VOL_REC[],2,FALSE),0)</f>
        <v>0</v>
      </c>
      <c r="AV1376" s="246">
        <f>IFERROR(VLOOKUP(F1376,VOL_REC[],2,FALSE),0)</f>
        <v>11089674.200000001</v>
      </c>
      <c r="AW1376" s="246">
        <f>IFERROR(VLOOKUP(G1376,VOL_REC[],2,FALSE),0)</f>
        <v>4325103.1812214684</v>
      </c>
      <c r="AX1376" s="246">
        <f>IFERROR(VLOOKUP(H1376,VOL_REC[],2,FALSE),0)</f>
        <v>3761786</v>
      </c>
      <c r="AY1376" s="246">
        <f>IFERROR(VLOOKUP(I1376,VOL_REC[],2,FALSE),0)</f>
        <v>240696.79238099116</v>
      </c>
      <c r="AZ1376" s="246">
        <f>IFERROR(VLOOKUP(J1376,VOL_REC[],2,FALSE),0)</f>
        <v>105072</v>
      </c>
      <c r="BA1376" s="246">
        <f>IFERROR(VLOOKUP(K1376,VOL_REC[],2,FALSE),0)</f>
        <v>1072354.9981737854</v>
      </c>
      <c r="BB1376" s="246">
        <f>IFERROR(VLOOKUP(L1376,VOL_REC[],2,FALSE),0)</f>
        <v>740113.98115702497</v>
      </c>
      <c r="BC1376" s="246">
        <f>IFERROR(VLOOKUP(M1376,VOL_REC[],2,FALSE),0)</f>
        <v>0</v>
      </c>
      <c r="BD1376" s="246">
        <f>IFERROR(VLOOKUP(N1376,VOL_REC[],2,FALSE),0)</f>
        <v>0</v>
      </c>
      <c r="BE1376" s="246">
        <f>IFERROR(VLOOKUP(O1376,VOL_REC[],2,FALSE),0)</f>
        <v>0</v>
      </c>
      <c r="BF1376" s="246">
        <f>IFERROR(VLOOKUP(P1376,VOL_REC[],2,FALSE),0)</f>
        <v>0</v>
      </c>
      <c r="BG1376" s="246">
        <f>IFERROR(VLOOKUP(Q1376,VOL_REC[],2,FALSE),0)</f>
        <v>0</v>
      </c>
      <c r="BH1376" s="1710">
        <f t="shared" si="84"/>
        <v>21217621873.256004</v>
      </c>
      <c r="BI1376" s="1710">
        <f t="shared" si="85"/>
        <v>20479851321.20118</v>
      </c>
      <c r="BJ1376" s="1711">
        <f t="shared" si="86"/>
        <v>21334801.15293327</v>
      </c>
      <c r="BK1376" s="1711">
        <f t="shared" si="87"/>
        <v>1.0360242142622915</v>
      </c>
      <c r="BL1376">
        <f>BJ1376</f>
        <v>21334801.15293327</v>
      </c>
      <c r="BO1376">
        <f>BL1376</f>
        <v>21334801.15293327</v>
      </c>
    </row>
    <row r="1377" spans="3:67" x14ac:dyDescent="0.25">
      <c r="C1377" s="246" t="s">
        <v>2727</v>
      </c>
      <c r="D1377" s="246">
        <v>1</v>
      </c>
      <c r="E1377" s="246">
        <v>2</v>
      </c>
      <c r="F1377" s="246">
        <v>3</v>
      </c>
      <c r="G1377" s="246">
        <v>5</v>
      </c>
      <c r="H1377" s="246">
        <v>9</v>
      </c>
      <c r="I1377" s="246">
        <v>13</v>
      </c>
      <c r="J1377" s="246">
        <v>14</v>
      </c>
      <c r="K1377" s="246">
        <v>15</v>
      </c>
      <c r="L1377" s="246">
        <v>16</v>
      </c>
      <c r="M1377" s="246"/>
      <c r="N1377" s="246"/>
      <c r="O1377" s="246"/>
      <c r="P1377" s="246"/>
      <c r="Q1377" s="246"/>
      <c r="R1377" s="246">
        <f>IFERROR(VLOOKUP(D1377,PROGRAMAS[],2,FALSE),0)</f>
        <v>97037803.679377079</v>
      </c>
      <c r="S1377" s="246">
        <f>IFERROR(VLOOKUP(E1377,PROGRAMAS[],2,FALSE),0)</f>
        <v>640501509.6821388</v>
      </c>
      <c r="T1377" s="246">
        <f>IFERROR(VLOOKUP(F1377,PROGRAMAS[],2,FALSE),0)</f>
        <v>3062327798.1525245</v>
      </c>
      <c r="U1377" s="246">
        <f>IFERROR(VLOOKUP(G1377,PROGRAMAS[],2,FALSE),0)</f>
        <v>1440941976.2528784</v>
      </c>
      <c r="V1377" s="246">
        <f>IFERROR(VLOOKUP(H1377,PROGRAMAS[],2,FALSE),0)</f>
        <v>6128579952.1618185</v>
      </c>
      <c r="W1377" s="246">
        <f>IFERROR(VLOOKUP(I1377,PROGRAMAS[],2,FALSE),0)</f>
        <v>3776538594.4604583</v>
      </c>
      <c r="X1377" s="246">
        <f>IFERROR(VLOOKUP(J1377,PROGRAMAS[],2,FALSE),0)</f>
        <v>54223862.645839565</v>
      </c>
      <c r="Y1377" s="246">
        <f>IFERROR(VLOOKUP(K1377,PROGRAMAS[],2,FALSE),0)</f>
        <v>122159672.96346797</v>
      </c>
      <c r="Z1377" s="246">
        <f>IFERROR(VLOOKUP(L1377,PROGRAMAS[],2,FALSE),0)</f>
        <v>7068496961.0436354</v>
      </c>
      <c r="AA1377" s="246">
        <f>IFERROR(VLOOKUP(M1377,PROGRAMAS[],2,FALSE),0)</f>
        <v>0</v>
      </c>
      <c r="AB1377" s="246">
        <f>IFERROR(VLOOKUP(N1377,PROGRAMAS[],2,FALSE),0)</f>
        <v>0</v>
      </c>
      <c r="AC1377" s="246">
        <f>IFERROR(VLOOKUP(O1377,PROGRAMAS[],2,FALSE),0)</f>
        <v>0</v>
      </c>
      <c r="AD1377" s="246">
        <f>IFERROR(VLOOKUP(P1377,PROGRAMAS[],2,FALSE),0)</f>
        <v>0</v>
      </c>
      <c r="AE1377" s="246">
        <f>IFERROR(VLOOKUP(Q1377,PROGRAMAS[],2,FALSE),0)</f>
        <v>0</v>
      </c>
      <c r="AF1377" s="246">
        <f>IFERROR(VLOOKUP(D1377,PROGRAMAS[],3,FALSE),0)</f>
        <v>841888629.31080008</v>
      </c>
      <c r="AG1377" s="246">
        <f>IFERROR(VLOOKUP(E1377,PROGRAMAS[],3,FALSE),0)</f>
        <v>3848980803.1642323</v>
      </c>
      <c r="AH1377" s="246">
        <f>IFERROR(VLOOKUP(F1377,PROGRAMAS[],3,FALSE),0)</f>
        <v>3394901471.387517</v>
      </c>
      <c r="AI1377" s="246">
        <f>IFERROR(VLOOKUP(G1377,PROGRAMAS[],3,FALSE),0)</f>
        <v>1233505101.0616004</v>
      </c>
      <c r="AJ1377" s="246">
        <f>IFERROR(VLOOKUP(H1377,PROGRAMAS[],3,FALSE),0)</f>
        <v>7011279577.519702</v>
      </c>
      <c r="AK1377" s="246">
        <f>IFERROR(VLOOKUP(I1377,PROGRAMAS[],3,FALSE),0)</f>
        <v>2392571243.5584412</v>
      </c>
      <c r="AL1377" s="246">
        <f>IFERROR(VLOOKUP(J1377,PROGRAMAS[],3,FALSE),0)</f>
        <v>31865326.38096505</v>
      </c>
      <c r="AM1377" s="246">
        <f>IFERROR(VLOOKUP(K1377,PROGRAMAS[],3,FALSE),0)</f>
        <v>118617452.52510804</v>
      </c>
      <c r="AN1377" s="246">
        <f>IFERROR(VLOOKUP(L1377,PROGRAMAS[],3,FALSE),0)</f>
        <v>2406564599.0319901</v>
      </c>
      <c r="AO1377" s="246">
        <f>IFERROR(VLOOKUP(M1377,PROGRAMAS[],3,FALSE),0)</f>
        <v>0</v>
      </c>
      <c r="AP1377" s="246">
        <f>IFERROR(VLOOKUP(N1377,PROGRAMAS[],3,FALSE),0)</f>
        <v>0</v>
      </c>
      <c r="AQ1377" s="246">
        <f>IFERROR(VLOOKUP(O1377,PROGRAMAS[],3,FALSE),0)</f>
        <v>0</v>
      </c>
      <c r="AR1377" s="246">
        <f>IFERROR(VLOOKUP(P1377,PROGRAMAS[],3,FALSE),0)</f>
        <v>0</v>
      </c>
      <c r="AS1377" s="246">
        <f>IFERROR(VLOOKUP(Q1377,PROGRAMAS[],3,FALSE),0)</f>
        <v>0</v>
      </c>
      <c r="AT1377" s="246">
        <f>IFERROR(VLOOKUP(D1377,VOL_REC[],2,FALSE),0)</f>
        <v>0</v>
      </c>
      <c r="AU1377" s="246">
        <f>IFERROR(VLOOKUP(E1377,VOL_REC[],2,FALSE),0)</f>
        <v>0</v>
      </c>
      <c r="AV1377" s="246">
        <f>IFERROR(VLOOKUP(F1377,VOL_REC[],2,FALSE),0)</f>
        <v>11089674.200000001</v>
      </c>
      <c r="AW1377" s="246">
        <f>IFERROR(VLOOKUP(G1377,VOL_REC[],2,FALSE),0)</f>
        <v>4325103.1812214684</v>
      </c>
      <c r="AX1377" s="246">
        <f>IFERROR(VLOOKUP(H1377,VOL_REC[],2,FALSE),0)</f>
        <v>3761786</v>
      </c>
      <c r="AY1377" s="246">
        <f>IFERROR(VLOOKUP(I1377,VOL_REC[],2,FALSE),0)</f>
        <v>663244.80000000016</v>
      </c>
      <c r="AZ1377" s="246">
        <f>IFERROR(VLOOKUP(J1377,VOL_REC[],2,FALSE),0)</f>
        <v>17074.045034105649</v>
      </c>
      <c r="BA1377" s="246">
        <f>IFERROR(VLOOKUP(K1377,VOL_REC[],2,FALSE),0)</f>
        <v>105072</v>
      </c>
      <c r="BB1377" s="246">
        <f>IFERROR(VLOOKUP(L1377,VOL_REC[],2,FALSE),0)</f>
        <v>1072354.9981737854</v>
      </c>
      <c r="BC1377" s="246">
        <f>IFERROR(VLOOKUP(M1377,VOL_REC[],2,FALSE),0)</f>
        <v>0</v>
      </c>
      <c r="BD1377" s="246">
        <f>IFERROR(VLOOKUP(N1377,VOL_REC[],2,FALSE),0)</f>
        <v>0</v>
      </c>
      <c r="BE1377" s="246">
        <f>IFERROR(VLOOKUP(O1377,VOL_REC[],2,FALSE),0)</f>
        <v>0</v>
      </c>
      <c r="BF1377" s="246">
        <f>IFERROR(VLOOKUP(P1377,VOL_REC[],2,FALSE),0)</f>
        <v>0</v>
      </c>
      <c r="BG1377" s="246">
        <f>IFERROR(VLOOKUP(Q1377,VOL_REC[],2,FALSE),0)</f>
        <v>0</v>
      </c>
      <c r="BH1377" s="1710">
        <f t="shared" si="84"/>
        <v>22390808131.042141</v>
      </c>
      <c r="BI1377" s="1710">
        <f t="shared" si="85"/>
        <v>21280174203.940357</v>
      </c>
      <c r="BJ1377" s="1711">
        <f t="shared" si="86"/>
        <v>21034309.224429362</v>
      </c>
      <c r="BK1377" s="1711">
        <f t="shared" si="87"/>
        <v>1.0521910166927173</v>
      </c>
      <c r="BL1377">
        <f>BJ1377</f>
        <v>21034309.224429362</v>
      </c>
      <c r="BO1377">
        <f>BL1377</f>
        <v>21034309.224429362</v>
      </c>
    </row>
    <row r="1378" spans="3:67" x14ac:dyDescent="0.25">
      <c r="C1378" s="246" t="s">
        <v>2728</v>
      </c>
      <c r="D1378" s="246">
        <v>1</v>
      </c>
      <c r="E1378" s="246">
        <v>2</v>
      </c>
      <c r="F1378" s="246">
        <v>3</v>
      </c>
      <c r="G1378" s="246">
        <v>5</v>
      </c>
      <c r="H1378" s="246">
        <v>9</v>
      </c>
      <c r="I1378" s="246">
        <v>13</v>
      </c>
      <c r="J1378" s="246">
        <v>14</v>
      </c>
      <c r="K1378" s="246">
        <v>15</v>
      </c>
      <c r="L1378" s="246">
        <v>17</v>
      </c>
      <c r="M1378" s="246"/>
      <c r="N1378" s="246"/>
      <c r="O1378" s="246"/>
      <c r="P1378" s="246"/>
      <c r="Q1378" s="246"/>
      <c r="R1378" s="246">
        <f>IFERROR(VLOOKUP(D1378,PROGRAMAS[],2,FALSE),0)</f>
        <v>97037803.679377079</v>
      </c>
      <c r="S1378" s="246">
        <f>IFERROR(VLOOKUP(E1378,PROGRAMAS[],2,FALSE),0)</f>
        <v>640501509.6821388</v>
      </c>
      <c r="T1378" s="246">
        <f>IFERROR(VLOOKUP(F1378,PROGRAMAS[],2,FALSE),0)</f>
        <v>3062327798.1525245</v>
      </c>
      <c r="U1378" s="246">
        <f>IFERROR(VLOOKUP(G1378,PROGRAMAS[],2,FALSE),0)</f>
        <v>1440941976.2528784</v>
      </c>
      <c r="V1378" s="246">
        <f>IFERROR(VLOOKUP(H1378,PROGRAMAS[],2,FALSE),0)</f>
        <v>6128579952.1618185</v>
      </c>
      <c r="W1378" s="246">
        <f>IFERROR(VLOOKUP(I1378,PROGRAMAS[],2,FALSE),0)</f>
        <v>3776538594.4604583</v>
      </c>
      <c r="X1378" s="246">
        <f>IFERROR(VLOOKUP(J1378,PROGRAMAS[],2,FALSE),0)</f>
        <v>54223862.645839565</v>
      </c>
      <c r="Y1378" s="246">
        <f>IFERROR(VLOOKUP(K1378,PROGRAMAS[],2,FALSE),0)</f>
        <v>122159672.96346797</v>
      </c>
      <c r="Z1378" s="246">
        <f>IFERROR(VLOOKUP(L1378,PROGRAMAS[],2,FALSE),0)</f>
        <v>1892779498.5211046</v>
      </c>
      <c r="AA1378" s="246">
        <f>IFERROR(VLOOKUP(M1378,PROGRAMAS[],2,FALSE),0)</f>
        <v>0</v>
      </c>
      <c r="AB1378" s="246">
        <f>IFERROR(VLOOKUP(N1378,PROGRAMAS[],2,FALSE),0)</f>
        <v>0</v>
      </c>
      <c r="AC1378" s="246">
        <f>IFERROR(VLOOKUP(O1378,PROGRAMAS[],2,FALSE),0)</f>
        <v>0</v>
      </c>
      <c r="AD1378" s="246">
        <f>IFERROR(VLOOKUP(P1378,PROGRAMAS[],2,FALSE),0)</f>
        <v>0</v>
      </c>
      <c r="AE1378" s="246">
        <f>IFERROR(VLOOKUP(Q1378,PROGRAMAS[],2,FALSE),0)</f>
        <v>0</v>
      </c>
      <c r="AF1378" s="246">
        <f>IFERROR(VLOOKUP(D1378,PROGRAMAS[],3,FALSE),0)</f>
        <v>841888629.31080008</v>
      </c>
      <c r="AG1378" s="246">
        <f>IFERROR(VLOOKUP(E1378,PROGRAMAS[],3,FALSE),0)</f>
        <v>3848980803.1642323</v>
      </c>
      <c r="AH1378" s="246">
        <f>IFERROR(VLOOKUP(F1378,PROGRAMAS[],3,FALSE),0)</f>
        <v>3394901471.387517</v>
      </c>
      <c r="AI1378" s="246">
        <f>IFERROR(VLOOKUP(G1378,PROGRAMAS[],3,FALSE),0)</f>
        <v>1233505101.0616004</v>
      </c>
      <c r="AJ1378" s="246">
        <f>IFERROR(VLOOKUP(H1378,PROGRAMAS[],3,FALSE),0)</f>
        <v>7011279577.519702</v>
      </c>
      <c r="AK1378" s="246">
        <f>IFERROR(VLOOKUP(I1378,PROGRAMAS[],3,FALSE),0)</f>
        <v>2392571243.5584412</v>
      </c>
      <c r="AL1378" s="246">
        <f>IFERROR(VLOOKUP(J1378,PROGRAMAS[],3,FALSE),0)</f>
        <v>31865326.38096505</v>
      </c>
      <c r="AM1378" s="246">
        <f>IFERROR(VLOOKUP(K1378,PROGRAMAS[],3,FALSE),0)</f>
        <v>118617452.52510804</v>
      </c>
      <c r="AN1378" s="246">
        <f>IFERROR(VLOOKUP(L1378,PROGRAMAS[],3,FALSE),0)</f>
        <v>948595847.09039903</v>
      </c>
      <c r="AO1378" s="246">
        <f>IFERROR(VLOOKUP(M1378,PROGRAMAS[],3,FALSE),0)</f>
        <v>0</v>
      </c>
      <c r="AP1378" s="246">
        <f>IFERROR(VLOOKUP(N1378,PROGRAMAS[],3,FALSE),0)</f>
        <v>0</v>
      </c>
      <c r="AQ1378" s="246">
        <f>IFERROR(VLOOKUP(O1378,PROGRAMAS[],3,FALSE),0)</f>
        <v>0</v>
      </c>
      <c r="AR1378" s="246">
        <f>IFERROR(VLOOKUP(P1378,PROGRAMAS[],3,FALSE),0)</f>
        <v>0</v>
      </c>
      <c r="AS1378" s="246">
        <f>IFERROR(VLOOKUP(Q1378,PROGRAMAS[],3,FALSE),0)</f>
        <v>0</v>
      </c>
      <c r="AT1378" s="246">
        <f>IFERROR(VLOOKUP(D1378,VOL_REC[],2,FALSE),0)</f>
        <v>0</v>
      </c>
      <c r="AU1378" s="246">
        <f>IFERROR(VLOOKUP(E1378,VOL_REC[],2,FALSE),0)</f>
        <v>0</v>
      </c>
      <c r="AV1378" s="246">
        <f>IFERROR(VLOOKUP(F1378,VOL_REC[],2,FALSE),0)</f>
        <v>11089674.200000001</v>
      </c>
      <c r="AW1378" s="246">
        <f>IFERROR(VLOOKUP(G1378,VOL_REC[],2,FALSE),0)</f>
        <v>4325103.1812214684</v>
      </c>
      <c r="AX1378" s="246">
        <f>IFERROR(VLOOKUP(H1378,VOL_REC[],2,FALSE),0)</f>
        <v>3761786</v>
      </c>
      <c r="AY1378" s="246">
        <f>IFERROR(VLOOKUP(I1378,VOL_REC[],2,FALSE),0)</f>
        <v>663244.80000000016</v>
      </c>
      <c r="AZ1378" s="246">
        <f>IFERROR(VLOOKUP(J1378,VOL_REC[],2,FALSE),0)</f>
        <v>17074.045034105649</v>
      </c>
      <c r="BA1378" s="246">
        <f>IFERROR(VLOOKUP(K1378,VOL_REC[],2,FALSE),0)</f>
        <v>105072</v>
      </c>
      <c r="BB1378" s="246">
        <f>IFERROR(VLOOKUP(L1378,VOL_REC[],2,FALSE),0)</f>
        <v>740113.98115702497</v>
      </c>
      <c r="BC1378" s="246">
        <f>IFERROR(VLOOKUP(M1378,VOL_REC[],2,FALSE),0)</f>
        <v>0</v>
      </c>
      <c r="BD1378" s="246">
        <f>IFERROR(VLOOKUP(N1378,VOL_REC[],2,FALSE),0)</f>
        <v>0</v>
      </c>
      <c r="BE1378" s="246">
        <f>IFERROR(VLOOKUP(O1378,VOL_REC[],2,FALSE),0)</f>
        <v>0</v>
      </c>
      <c r="BF1378" s="246">
        <f>IFERROR(VLOOKUP(P1378,VOL_REC[],2,FALSE),0)</f>
        <v>0</v>
      </c>
      <c r="BG1378" s="246">
        <f>IFERROR(VLOOKUP(Q1378,VOL_REC[],2,FALSE),0)</f>
        <v>0</v>
      </c>
      <c r="BH1378" s="1710">
        <f t="shared" si="84"/>
        <v>17215090668.519608</v>
      </c>
      <c r="BI1378" s="1710">
        <f t="shared" si="85"/>
        <v>19822205451.998768</v>
      </c>
      <c r="BJ1378" s="1711">
        <f t="shared" si="86"/>
        <v>20702068.207412601</v>
      </c>
      <c r="BK1378" s="1711">
        <f t="shared" si="87"/>
        <v>0.86847503978341256</v>
      </c>
    </row>
    <row r="1379" spans="3:67" x14ac:dyDescent="0.25">
      <c r="C1379" s="246" t="s">
        <v>2729</v>
      </c>
      <c r="D1379" s="246">
        <v>1</v>
      </c>
      <c r="E1379" s="246">
        <v>2</v>
      </c>
      <c r="F1379" s="246">
        <v>3</v>
      </c>
      <c r="G1379" s="246">
        <v>5</v>
      </c>
      <c r="H1379" s="246">
        <v>9</v>
      </c>
      <c r="I1379" s="246">
        <v>13</v>
      </c>
      <c r="J1379" s="246">
        <v>14</v>
      </c>
      <c r="K1379" s="246">
        <v>16</v>
      </c>
      <c r="L1379" s="246">
        <v>17</v>
      </c>
      <c r="M1379" s="246"/>
      <c r="N1379" s="246"/>
      <c r="O1379" s="246"/>
      <c r="P1379" s="246"/>
      <c r="Q1379" s="246"/>
      <c r="R1379" s="246">
        <f>IFERROR(VLOOKUP(D1379,PROGRAMAS[],2,FALSE),0)</f>
        <v>97037803.679377079</v>
      </c>
      <c r="S1379" s="246">
        <f>IFERROR(VLOOKUP(E1379,PROGRAMAS[],2,FALSE),0)</f>
        <v>640501509.6821388</v>
      </c>
      <c r="T1379" s="246">
        <f>IFERROR(VLOOKUP(F1379,PROGRAMAS[],2,FALSE),0)</f>
        <v>3062327798.1525245</v>
      </c>
      <c r="U1379" s="246">
        <f>IFERROR(VLOOKUP(G1379,PROGRAMAS[],2,FALSE),0)</f>
        <v>1440941976.2528784</v>
      </c>
      <c r="V1379" s="246">
        <f>IFERROR(VLOOKUP(H1379,PROGRAMAS[],2,FALSE),0)</f>
        <v>6128579952.1618185</v>
      </c>
      <c r="W1379" s="246">
        <f>IFERROR(VLOOKUP(I1379,PROGRAMAS[],2,FALSE),0)</f>
        <v>3776538594.4604583</v>
      </c>
      <c r="X1379" s="246">
        <f>IFERROR(VLOOKUP(J1379,PROGRAMAS[],2,FALSE),0)</f>
        <v>54223862.645839565</v>
      </c>
      <c r="Y1379" s="246">
        <f>IFERROR(VLOOKUP(K1379,PROGRAMAS[],2,FALSE),0)</f>
        <v>7068496961.0436354</v>
      </c>
      <c r="Z1379" s="246">
        <f>IFERROR(VLOOKUP(L1379,PROGRAMAS[],2,FALSE),0)</f>
        <v>1892779498.5211046</v>
      </c>
      <c r="AA1379" s="246">
        <f>IFERROR(VLOOKUP(M1379,PROGRAMAS[],2,FALSE),0)</f>
        <v>0</v>
      </c>
      <c r="AB1379" s="246">
        <f>IFERROR(VLOOKUP(N1379,PROGRAMAS[],2,FALSE),0)</f>
        <v>0</v>
      </c>
      <c r="AC1379" s="246">
        <f>IFERROR(VLOOKUP(O1379,PROGRAMAS[],2,FALSE),0)</f>
        <v>0</v>
      </c>
      <c r="AD1379" s="246">
        <f>IFERROR(VLOOKUP(P1379,PROGRAMAS[],2,FALSE),0)</f>
        <v>0</v>
      </c>
      <c r="AE1379" s="246">
        <f>IFERROR(VLOOKUP(Q1379,PROGRAMAS[],2,FALSE),0)</f>
        <v>0</v>
      </c>
      <c r="AF1379" s="246">
        <f>IFERROR(VLOOKUP(D1379,PROGRAMAS[],3,FALSE),0)</f>
        <v>841888629.31080008</v>
      </c>
      <c r="AG1379" s="246">
        <f>IFERROR(VLOOKUP(E1379,PROGRAMAS[],3,FALSE),0)</f>
        <v>3848980803.1642323</v>
      </c>
      <c r="AH1379" s="246">
        <f>IFERROR(VLOOKUP(F1379,PROGRAMAS[],3,FALSE),0)</f>
        <v>3394901471.387517</v>
      </c>
      <c r="AI1379" s="246">
        <f>IFERROR(VLOOKUP(G1379,PROGRAMAS[],3,FALSE),0)</f>
        <v>1233505101.0616004</v>
      </c>
      <c r="AJ1379" s="246">
        <f>IFERROR(VLOOKUP(H1379,PROGRAMAS[],3,FALSE),0)</f>
        <v>7011279577.519702</v>
      </c>
      <c r="AK1379" s="246">
        <f>IFERROR(VLOOKUP(I1379,PROGRAMAS[],3,FALSE),0)</f>
        <v>2392571243.5584412</v>
      </c>
      <c r="AL1379" s="246">
        <f>IFERROR(VLOOKUP(J1379,PROGRAMAS[],3,FALSE),0)</f>
        <v>31865326.38096505</v>
      </c>
      <c r="AM1379" s="246">
        <f>IFERROR(VLOOKUP(K1379,PROGRAMAS[],3,FALSE),0)</f>
        <v>2406564599.0319901</v>
      </c>
      <c r="AN1379" s="246">
        <f>IFERROR(VLOOKUP(L1379,PROGRAMAS[],3,FALSE),0)</f>
        <v>948595847.09039903</v>
      </c>
      <c r="AO1379" s="246">
        <f>IFERROR(VLOOKUP(M1379,PROGRAMAS[],3,FALSE),0)</f>
        <v>0</v>
      </c>
      <c r="AP1379" s="246">
        <f>IFERROR(VLOOKUP(N1379,PROGRAMAS[],3,FALSE),0)</f>
        <v>0</v>
      </c>
      <c r="AQ1379" s="246">
        <f>IFERROR(VLOOKUP(O1379,PROGRAMAS[],3,FALSE),0)</f>
        <v>0</v>
      </c>
      <c r="AR1379" s="246">
        <f>IFERROR(VLOOKUP(P1379,PROGRAMAS[],3,FALSE),0)</f>
        <v>0</v>
      </c>
      <c r="AS1379" s="246">
        <f>IFERROR(VLOOKUP(Q1379,PROGRAMAS[],3,FALSE),0)</f>
        <v>0</v>
      </c>
      <c r="AT1379" s="246">
        <f>IFERROR(VLOOKUP(D1379,VOL_REC[],2,FALSE),0)</f>
        <v>0</v>
      </c>
      <c r="AU1379" s="246">
        <f>IFERROR(VLOOKUP(E1379,VOL_REC[],2,FALSE),0)</f>
        <v>0</v>
      </c>
      <c r="AV1379" s="246">
        <f>IFERROR(VLOOKUP(F1379,VOL_REC[],2,FALSE),0)</f>
        <v>11089674.200000001</v>
      </c>
      <c r="AW1379" s="246">
        <f>IFERROR(VLOOKUP(G1379,VOL_REC[],2,FALSE),0)</f>
        <v>4325103.1812214684</v>
      </c>
      <c r="AX1379" s="246">
        <f>IFERROR(VLOOKUP(H1379,VOL_REC[],2,FALSE),0)</f>
        <v>3761786</v>
      </c>
      <c r="AY1379" s="246">
        <f>IFERROR(VLOOKUP(I1379,VOL_REC[],2,FALSE),0)</f>
        <v>663244.80000000016</v>
      </c>
      <c r="AZ1379" s="246">
        <f>IFERROR(VLOOKUP(J1379,VOL_REC[],2,FALSE),0)</f>
        <v>17074.045034105649</v>
      </c>
      <c r="BA1379" s="246">
        <f>IFERROR(VLOOKUP(K1379,VOL_REC[],2,FALSE),0)</f>
        <v>1072354.9981737854</v>
      </c>
      <c r="BB1379" s="246">
        <f>IFERROR(VLOOKUP(L1379,VOL_REC[],2,FALSE),0)</f>
        <v>740113.98115702497</v>
      </c>
      <c r="BC1379" s="246">
        <f>IFERROR(VLOOKUP(M1379,VOL_REC[],2,FALSE),0)</f>
        <v>0</v>
      </c>
      <c r="BD1379" s="246">
        <f>IFERROR(VLOOKUP(N1379,VOL_REC[],2,FALSE),0)</f>
        <v>0</v>
      </c>
      <c r="BE1379" s="246">
        <f>IFERROR(VLOOKUP(O1379,VOL_REC[],2,FALSE),0)</f>
        <v>0</v>
      </c>
      <c r="BF1379" s="246">
        <f>IFERROR(VLOOKUP(P1379,VOL_REC[],2,FALSE),0)</f>
        <v>0</v>
      </c>
      <c r="BG1379" s="246">
        <f>IFERROR(VLOOKUP(Q1379,VOL_REC[],2,FALSE),0)</f>
        <v>0</v>
      </c>
      <c r="BH1379" s="1710">
        <f t="shared" si="84"/>
        <v>24161427956.599773</v>
      </c>
      <c r="BI1379" s="1710">
        <f t="shared" si="85"/>
        <v>22110152598.50565</v>
      </c>
      <c r="BJ1379" s="1711">
        <f t="shared" si="86"/>
        <v>21669351.205586385</v>
      </c>
      <c r="BK1379" s="1711">
        <f t="shared" si="87"/>
        <v>1.0927752691418675</v>
      </c>
      <c r="BL1379">
        <f>BJ1379</f>
        <v>21669351.205586385</v>
      </c>
      <c r="BO1379">
        <f>BL1379</f>
        <v>21669351.205586385</v>
      </c>
    </row>
    <row r="1380" spans="3:67" x14ac:dyDescent="0.25">
      <c r="C1380" s="246" t="s">
        <v>2730</v>
      </c>
      <c r="D1380" s="246">
        <v>1</v>
      </c>
      <c r="E1380" s="246">
        <v>2</v>
      </c>
      <c r="F1380" s="246">
        <v>3</v>
      </c>
      <c r="G1380" s="246">
        <v>5</v>
      </c>
      <c r="H1380" s="246">
        <v>9</v>
      </c>
      <c r="I1380" s="246">
        <v>13</v>
      </c>
      <c r="J1380" s="246">
        <v>15</v>
      </c>
      <c r="K1380" s="246">
        <v>16</v>
      </c>
      <c r="L1380" s="246">
        <v>17</v>
      </c>
      <c r="M1380" s="246"/>
      <c r="N1380" s="246"/>
      <c r="O1380" s="246"/>
      <c r="P1380" s="246"/>
      <c r="Q1380" s="246"/>
      <c r="R1380" s="246">
        <f>IFERROR(VLOOKUP(D1380,PROGRAMAS[],2,FALSE),0)</f>
        <v>97037803.679377079</v>
      </c>
      <c r="S1380" s="246">
        <f>IFERROR(VLOOKUP(E1380,PROGRAMAS[],2,FALSE),0)</f>
        <v>640501509.6821388</v>
      </c>
      <c r="T1380" s="246">
        <f>IFERROR(VLOOKUP(F1380,PROGRAMAS[],2,FALSE),0)</f>
        <v>3062327798.1525245</v>
      </c>
      <c r="U1380" s="246">
        <f>IFERROR(VLOOKUP(G1380,PROGRAMAS[],2,FALSE),0)</f>
        <v>1440941976.2528784</v>
      </c>
      <c r="V1380" s="246">
        <f>IFERROR(VLOOKUP(H1380,PROGRAMAS[],2,FALSE),0)</f>
        <v>6128579952.1618185</v>
      </c>
      <c r="W1380" s="246">
        <f>IFERROR(VLOOKUP(I1380,PROGRAMAS[],2,FALSE),0)</f>
        <v>3776538594.4604583</v>
      </c>
      <c r="X1380" s="246">
        <f>IFERROR(VLOOKUP(J1380,PROGRAMAS[],2,FALSE),0)</f>
        <v>122159672.96346797</v>
      </c>
      <c r="Y1380" s="246">
        <f>IFERROR(VLOOKUP(K1380,PROGRAMAS[],2,FALSE),0)</f>
        <v>7068496961.0436354</v>
      </c>
      <c r="Z1380" s="246">
        <f>IFERROR(VLOOKUP(L1380,PROGRAMAS[],2,FALSE),0)</f>
        <v>1892779498.5211046</v>
      </c>
      <c r="AA1380" s="246">
        <f>IFERROR(VLOOKUP(M1380,PROGRAMAS[],2,FALSE),0)</f>
        <v>0</v>
      </c>
      <c r="AB1380" s="246">
        <f>IFERROR(VLOOKUP(N1380,PROGRAMAS[],2,FALSE),0)</f>
        <v>0</v>
      </c>
      <c r="AC1380" s="246">
        <f>IFERROR(VLOOKUP(O1380,PROGRAMAS[],2,FALSE),0)</f>
        <v>0</v>
      </c>
      <c r="AD1380" s="246">
        <f>IFERROR(VLOOKUP(P1380,PROGRAMAS[],2,FALSE),0)</f>
        <v>0</v>
      </c>
      <c r="AE1380" s="246">
        <f>IFERROR(VLOOKUP(Q1380,PROGRAMAS[],2,FALSE),0)</f>
        <v>0</v>
      </c>
      <c r="AF1380" s="246">
        <f>IFERROR(VLOOKUP(D1380,PROGRAMAS[],3,FALSE),0)</f>
        <v>841888629.31080008</v>
      </c>
      <c r="AG1380" s="246">
        <f>IFERROR(VLOOKUP(E1380,PROGRAMAS[],3,FALSE),0)</f>
        <v>3848980803.1642323</v>
      </c>
      <c r="AH1380" s="246">
        <f>IFERROR(VLOOKUP(F1380,PROGRAMAS[],3,FALSE),0)</f>
        <v>3394901471.387517</v>
      </c>
      <c r="AI1380" s="246">
        <f>IFERROR(VLOOKUP(G1380,PROGRAMAS[],3,FALSE),0)</f>
        <v>1233505101.0616004</v>
      </c>
      <c r="AJ1380" s="246">
        <f>IFERROR(VLOOKUP(H1380,PROGRAMAS[],3,FALSE),0)</f>
        <v>7011279577.519702</v>
      </c>
      <c r="AK1380" s="246">
        <f>IFERROR(VLOOKUP(I1380,PROGRAMAS[],3,FALSE),0)</f>
        <v>2392571243.5584412</v>
      </c>
      <c r="AL1380" s="246">
        <f>IFERROR(VLOOKUP(J1380,PROGRAMAS[],3,FALSE),0)</f>
        <v>118617452.52510804</v>
      </c>
      <c r="AM1380" s="246">
        <f>IFERROR(VLOOKUP(K1380,PROGRAMAS[],3,FALSE),0)</f>
        <v>2406564599.0319901</v>
      </c>
      <c r="AN1380" s="246">
        <f>IFERROR(VLOOKUP(L1380,PROGRAMAS[],3,FALSE),0)</f>
        <v>948595847.09039903</v>
      </c>
      <c r="AO1380" s="246">
        <f>IFERROR(VLOOKUP(M1380,PROGRAMAS[],3,FALSE),0)</f>
        <v>0</v>
      </c>
      <c r="AP1380" s="246">
        <f>IFERROR(VLOOKUP(N1380,PROGRAMAS[],3,FALSE),0)</f>
        <v>0</v>
      </c>
      <c r="AQ1380" s="246">
        <f>IFERROR(VLOOKUP(O1380,PROGRAMAS[],3,FALSE),0)</f>
        <v>0</v>
      </c>
      <c r="AR1380" s="246">
        <f>IFERROR(VLOOKUP(P1380,PROGRAMAS[],3,FALSE),0)</f>
        <v>0</v>
      </c>
      <c r="AS1380" s="246">
        <f>IFERROR(VLOOKUP(Q1380,PROGRAMAS[],3,FALSE),0)</f>
        <v>0</v>
      </c>
      <c r="AT1380" s="246">
        <f>IFERROR(VLOOKUP(D1380,VOL_REC[],2,FALSE),0)</f>
        <v>0</v>
      </c>
      <c r="AU1380" s="246">
        <f>IFERROR(VLOOKUP(E1380,VOL_REC[],2,FALSE),0)</f>
        <v>0</v>
      </c>
      <c r="AV1380" s="246">
        <f>IFERROR(VLOOKUP(F1380,VOL_REC[],2,FALSE),0)</f>
        <v>11089674.200000001</v>
      </c>
      <c r="AW1380" s="246">
        <f>IFERROR(VLOOKUP(G1380,VOL_REC[],2,FALSE),0)</f>
        <v>4325103.1812214684</v>
      </c>
      <c r="AX1380" s="246">
        <f>IFERROR(VLOOKUP(H1380,VOL_REC[],2,FALSE),0)</f>
        <v>3761786</v>
      </c>
      <c r="AY1380" s="246">
        <f>IFERROR(VLOOKUP(I1380,VOL_REC[],2,FALSE),0)</f>
        <v>663244.80000000016</v>
      </c>
      <c r="AZ1380" s="246">
        <f>IFERROR(VLOOKUP(J1380,VOL_REC[],2,FALSE),0)</f>
        <v>105072</v>
      </c>
      <c r="BA1380" s="246">
        <f>IFERROR(VLOOKUP(K1380,VOL_REC[],2,FALSE),0)</f>
        <v>1072354.9981737854</v>
      </c>
      <c r="BB1380" s="246">
        <f>IFERROR(VLOOKUP(L1380,VOL_REC[],2,FALSE),0)</f>
        <v>740113.98115702497</v>
      </c>
      <c r="BC1380" s="246">
        <f>IFERROR(VLOOKUP(M1380,VOL_REC[],2,FALSE),0)</f>
        <v>0</v>
      </c>
      <c r="BD1380" s="246">
        <f>IFERROR(VLOOKUP(N1380,VOL_REC[],2,FALSE),0)</f>
        <v>0</v>
      </c>
      <c r="BE1380" s="246">
        <f>IFERROR(VLOOKUP(O1380,VOL_REC[],2,FALSE),0)</f>
        <v>0</v>
      </c>
      <c r="BF1380" s="246">
        <f>IFERROR(VLOOKUP(P1380,VOL_REC[],2,FALSE),0)</f>
        <v>0</v>
      </c>
      <c r="BG1380" s="246">
        <f>IFERROR(VLOOKUP(Q1380,VOL_REC[],2,FALSE),0)</f>
        <v>0</v>
      </c>
      <c r="BH1380" s="1710">
        <f t="shared" si="84"/>
        <v>24229363766.917404</v>
      </c>
      <c r="BI1380" s="1710">
        <f t="shared" si="85"/>
        <v>22196904724.649792</v>
      </c>
      <c r="BJ1380" s="1711">
        <f t="shared" si="86"/>
        <v>21757349.160552278</v>
      </c>
      <c r="BK1380" s="1711">
        <f t="shared" si="87"/>
        <v>1.0915649757243204</v>
      </c>
      <c r="BL1380">
        <f>BJ1380</f>
        <v>21757349.160552278</v>
      </c>
      <c r="BO1380">
        <f>BL1380</f>
        <v>21757349.160552278</v>
      </c>
    </row>
    <row r="1381" spans="3:67" x14ac:dyDescent="0.25">
      <c r="C1381" s="246" t="s">
        <v>2731</v>
      </c>
      <c r="D1381" s="246">
        <v>1</v>
      </c>
      <c r="E1381" s="246">
        <v>2</v>
      </c>
      <c r="F1381" s="246">
        <v>3</v>
      </c>
      <c r="G1381" s="246">
        <v>5</v>
      </c>
      <c r="H1381" s="246">
        <v>9</v>
      </c>
      <c r="I1381" s="246">
        <v>14</v>
      </c>
      <c r="J1381" s="246">
        <v>15</v>
      </c>
      <c r="K1381" s="246">
        <v>16</v>
      </c>
      <c r="L1381" s="246">
        <v>17</v>
      </c>
      <c r="M1381" s="246"/>
      <c r="N1381" s="246"/>
      <c r="O1381" s="246"/>
      <c r="P1381" s="246"/>
      <c r="Q1381" s="246"/>
      <c r="R1381" s="246">
        <f>IFERROR(VLOOKUP(D1381,PROGRAMAS[],2,FALSE),0)</f>
        <v>97037803.679377079</v>
      </c>
      <c r="S1381" s="246">
        <f>IFERROR(VLOOKUP(E1381,PROGRAMAS[],2,FALSE),0)</f>
        <v>640501509.6821388</v>
      </c>
      <c r="T1381" s="246">
        <f>IFERROR(VLOOKUP(F1381,PROGRAMAS[],2,FALSE),0)</f>
        <v>3062327798.1525245</v>
      </c>
      <c r="U1381" s="246">
        <f>IFERROR(VLOOKUP(G1381,PROGRAMAS[],2,FALSE),0)</f>
        <v>1440941976.2528784</v>
      </c>
      <c r="V1381" s="246">
        <f>IFERROR(VLOOKUP(H1381,PROGRAMAS[],2,FALSE),0)</f>
        <v>6128579952.1618185</v>
      </c>
      <c r="W1381" s="246">
        <f>IFERROR(VLOOKUP(I1381,PROGRAMAS[],2,FALSE),0)</f>
        <v>54223862.645839565</v>
      </c>
      <c r="X1381" s="246">
        <f>IFERROR(VLOOKUP(J1381,PROGRAMAS[],2,FALSE),0)</f>
        <v>122159672.96346797</v>
      </c>
      <c r="Y1381" s="246">
        <f>IFERROR(VLOOKUP(K1381,PROGRAMAS[],2,FALSE),0)</f>
        <v>7068496961.0436354</v>
      </c>
      <c r="Z1381" s="246">
        <f>IFERROR(VLOOKUP(L1381,PROGRAMAS[],2,FALSE),0)</f>
        <v>1892779498.5211046</v>
      </c>
      <c r="AA1381" s="246">
        <f>IFERROR(VLOOKUP(M1381,PROGRAMAS[],2,FALSE),0)</f>
        <v>0</v>
      </c>
      <c r="AB1381" s="246">
        <f>IFERROR(VLOOKUP(N1381,PROGRAMAS[],2,FALSE),0)</f>
        <v>0</v>
      </c>
      <c r="AC1381" s="246">
        <f>IFERROR(VLOOKUP(O1381,PROGRAMAS[],2,FALSE),0)</f>
        <v>0</v>
      </c>
      <c r="AD1381" s="246">
        <f>IFERROR(VLOOKUP(P1381,PROGRAMAS[],2,FALSE),0)</f>
        <v>0</v>
      </c>
      <c r="AE1381" s="246">
        <f>IFERROR(VLOOKUP(Q1381,PROGRAMAS[],2,FALSE),0)</f>
        <v>0</v>
      </c>
      <c r="AF1381" s="246">
        <f>IFERROR(VLOOKUP(D1381,PROGRAMAS[],3,FALSE),0)</f>
        <v>841888629.31080008</v>
      </c>
      <c r="AG1381" s="246">
        <f>IFERROR(VLOOKUP(E1381,PROGRAMAS[],3,FALSE),0)</f>
        <v>3848980803.1642323</v>
      </c>
      <c r="AH1381" s="246">
        <f>IFERROR(VLOOKUP(F1381,PROGRAMAS[],3,FALSE),0)</f>
        <v>3394901471.387517</v>
      </c>
      <c r="AI1381" s="246">
        <f>IFERROR(VLOOKUP(G1381,PROGRAMAS[],3,FALSE),0)</f>
        <v>1233505101.0616004</v>
      </c>
      <c r="AJ1381" s="246">
        <f>IFERROR(VLOOKUP(H1381,PROGRAMAS[],3,FALSE),0)</f>
        <v>7011279577.519702</v>
      </c>
      <c r="AK1381" s="246">
        <f>IFERROR(VLOOKUP(I1381,PROGRAMAS[],3,FALSE),0)</f>
        <v>31865326.38096505</v>
      </c>
      <c r="AL1381" s="246">
        <f>IFERROR(VLOOKUP(J1381,PROGRAMAS[],3,FALSE),0)</f>
        <v>118617452.52510804</v>
      </c>
      <c r="AM1381" s="246">
        <f>IFERROR(VLOOKUP(K1381,PROGRAMAS[],3,FALSE),0)</f>
        <v>2406564599.0319901</v>
      </c>
      <c r="AN1381" s="246">
        <f>IFERROR(VLOOKUP(L1381,PROGRAMAS[],3,FALSE),0)</f>
        <v>948595847.09039903</v>
      </c>
      <c r="AO1381" s="246">
        <f>IFERROR(VLOOKUP(M1381,PROGRAMAS[],3,FALSE),0)</f>
        <v>0</v>
      </c>
      <c r="AP1381" s="246">
        <f>IFERROR(VLOOKUP(N1381,PROGRAMAS[],3,FALSE),0)</f>
        <v>0</v>
      </c>
      <c r="AQ1381" s="246">
        <f>IFERROR(VLOOKUP(O1381,PROGRAMAS[],3,FALSE),0)</f>
        <v>0</v>
      </c>
      <c r="AR1381" s="246">
        <f>IFERROR(VLOOKUP(P1381,PROGRAMAS[],3,FALSE),0)</f>
        <v>0</v>
      </c>
      <c r="AS1381" s="246">
        <f>IFERROR(VLOOKUP(Q1381,PROGRAMAS[],3,FALSE),0)</f>
        <v>0</v>
      </c>
      <c r="AT1381" s="246">
        <f>IFERROR(VLOOKUP(D1381,VOL_REC[],2,FALSE),0)</f>
        <v>0</v>
      </c>
      <c r="AU1381" s="246">
        <f>IFERROR(VLOOKUP(E1381,VOL_REC[],2,FALSE),0)</f>
        <v>0</v>
      </c>
      <c r="AV1381" s="246">
        <f>IFERROR(VLOOKUP(F1381,VOL_REC[],2,FALSE),0)</f>
        <v>11089674.200000001</v>
      </c>
      <c r="AW1381" s="246">
        <f>IFERROR(VLOOKUP(G1381,VOL_REC[],2,FALSE),0)</f>
        <v>4325103.1812214684</v>
      </c>
      <c r="AX1381" s="246">
        <f>IFERROR(VLOOKUP(H1381,VOL_REC[],2,FALSE),0)</f>
        <v>3761786</v>
      </c>
      <c r="AY1381" s="246">
        <f>IFERROR(VLOOKUP(I1381,VOL_REC[],2,FALSE),0)</f>
        <v>17074.045034105649</v>
      </c>
      <c r="AZ1381" s="246">
        <f>IFERROR(VLOOKUP(J1381,VOL_REC[],2,FALSE),0)</f>
        <v>105072</v>
      </c>
      <c r="BA1381" s="246">
        <f>IFERROR(VLOOKUP(K1381,VOL_REC[],2,FALSE),0)</f>
        <v>1072354.9981737854</v>
      </c>
      <c r="BB1381" s="246">
        <f>IFERROR(VLOOKUP(L1381,VOL_REC[],2,FALSE),0)</f>
        <v>740113.98115702497</v>
      </c>
      <c r="BC1381" s="246">
        <f>IFERROR(VLOOKUP(M1381,VOL_REC[],2,FALSE),0)</f>
        <v>0</v>
      </c>
      <c r="BD1381" s="246">
        <f>IFERROR(VLOOKUP(N1381,VOL_REC[],2,FALSE),0)</f>
        <v>0</v>
      </c>
      <c r="BE1381" s="246">
        <f>IFERROR(VLOOKUP(O1381,VOL_REC[],2,FALSE),0)</f>
        <v>0</v>
      </c>
      <c r="BF1381" s="246">
        <f>IFERROR(VLOOKUP(P1381,VOL_REC[],2,FALSE),0)</f>
        <v>0</v>
      </c>
      <c r="BG1381" s="246">
        <f>IFERROR(VLOOKUP(Q1381,VOL_REC[],2,FALSE),0)</f>
        <v>0</v>
      </c>
      <c r="BH1381" s="1710">
        <f t="shared" si="84"/>
        <v>20507049035.102783</v>
      </c>
      <c r="BI1381" s="1710">
        <f t="shared" si="85"/>
        <v>19836198807.472313</v>
      </c>
      <c r="BJ1381" s="1711">
        <f t="shared" si="86"/>
        <v>21111178.405586384</v>
      </c>
      <c r="BK1381" s="1711">
        <f t="shared" si="87"/>
        <v>1.0338194950626205</v>
      </c>
      <c r="BL1381">
        <f>BJ1381</f>
        <v>21111178.405586384</v>
      </c>
      <c r="BO1381">
        <f>BL1381</f>
        <v>21111178.405586384</v>
      </c>
    </row>
    <row r="1382" spans="3:67" x14ac:dyDescent="0.25">
      <c r="C1382" s="246" t="s">
        <v>2732</v>
      </c>
      <c r="D1382" s="246">
        <v>1</v>
      </c>
      <c r="E1382" s="246">
        <v>2</v>
      </c>
      <c r="F1382" s="246">
        <v>3</v>
      </c>
      <c r="G1382" s="246">
        <v>5</v>
      </c>
      <c r="H1382" s="246">
        <v>10</v>
      </c>
      <c r="I1382" s="246">
        <v>12</v>
      </c>
      <c r="J1382" s="246">
        <v>13</v>
      </c>
      <c r="K1382" s="246">
        <v>14</v>
      </c>
      <c r="L1382" s="246">
        <v>15</v>
      </c>
      <c r="M1382" s="246"/>
      <c r="N1382" s="246"/>
      <c r="O1382" s="246"/>
      <c r="P1382" s="246"/>
      <c r="Q1382" s="246"/>
      <c r="R1382" s="246">
        <f>IFERROR(VLOOKUP(D1382,PROGRAMAS[],2,FALSE),0)</f>
        <v>97037803.679377079</v>
      </c>
      <c r="S1382" s="246">
        <f>IFERROR(VLOOKUP(E1382,PROGRAMAS[],2,FALSE),0)</f>
        <v>640501509.6821388</v>
      </c>
      <c r="T1382" s="246">
        <f>IFERROR(VLOOKUP(F1382,PROGRAMAS[],2,FALSE),0)</f>
        <v>3062327798.1525245</v>
      </c>
      <c r="U1382" s="246">
        <f>IFERROR(VLOOKUP(G1382,PROGRAMAS[],2,FALSE),0)</f>
        <v>1440941976.2528784</v>
      </c>
      <c r="V1382" s="246">
        <f>IFERROR(VLOOKUP(H1382,PROGRAMAS[],2,FALSE),0)</f>
        <v>4635315027.8751087</v>
      </c>
      <c r="W1382" s="246">
        <f>IFERROR(VLOOKUP(I1382,PROGRAMAS[],2,FALSE),0)</f>
        <v>764796700.79905891</v>
      </c>
      <c r="X1382" s="246">
        <f>IFERROR(VLOOKUP(J1382,PROGRAMAS[],2,FALSE),0)</f>
        <v>3776538594.4604583</v>
      </c>
      <c r="Y1382" s="246">
        <f>IFERROR(VLOOKUP(K1382,PROGRAMAS[],2,FALSE),0)</f>
        <v>54223862.645839565</v>
      </c>
      <c r="Z1382" s="246">
        <f>IFERROR(VLOOKUP(L1382,PROGRAMAS[],2,FALSE),0)</f>
        <v>122159672.96346797</v>
      </c>
      <c r="AA1382" s="246">
        <f>IFERROR(VLOOKUP(M1382,PROGRAMAS[],2,FALSE),0)</f>
        <v>0</v>
      </c>
      <c r="AB1382" s="246">
        <f>IFERROR(VLOOKUP(N1382,PROGRAMAS[],2,FALSE),0)</f>
        <v>0</v>
      </c>
      <c r="AC1382" s="246">
        <f>IFERROR(VLOOKUP(O1382,PROGRAMAS[],2,FALSE),0)</f>
        <v>0</v>
      </c>
      <c r="AD1382" s="246">
        <f>IFERROR(VLOOKUP(P1382,PROGRAMAS[],2,FALSE),0)</f>
        <v>0</v>
      </c>
      <c r="AE1382" s="246">
        <f>IFERROR(VLOOKUP(Q1382,PROGRAMAS[],2,FALSE),0)</f>
        <v>0</v>
      </c>
      <c r="AF1382" s="246">
        <f>IFERROR(VLOOKUP(D1382,PROGRAMAS[],3,FALSE),0)</f>
        <v>841888629.31080008</v>
      </c>
      <c r="AG1382" s="246">
        <f>IFERROR(VLOOKUP(E1382,PROGRAMAS[],3,FALSE),0)</f>
        <v>3848980803.1642323</v>
      </c>
      <c r="AH1382" s="246">
        <f>IFERROR(VLOOKUP(F1382,PROGRAMAS[],3,FALSE),0)</f>
        <v>3394901471.387517</v>
      </c>
      <c r="AI1382" s="246">
        <f>IFERROR(VLOOKUP(G1382,PROGRAMAS[],3,FALSE),0)</f>
        <v>1233505101.0616004</v>
      </c>
      <c r="AJ1382" s="246">
        <f>IFERROR(VLOOKUP(H1382,PROGRAMAS[],3,FALSE),0)</f>
        <v>4099471734.9978786</v>
      </c>
      <c r="AK1382" s="246">
        <f>IFERROR(VLOOKUP(I1382,PROGRAMAS[],3,FALSE),0)</f>
        <v>675517840.109828</v>
      </c>
      <c r="AL1382" s="246">
        <f>IFERROR(VLOOKUP(J1382,PROGRAMAS[],3,FALSE),0)</f>
        <v>2392571243.5584412</v>
      </c>
      <c r="AM1382" s="246">
        <f>IFERROR(VLOOKUP(K1382,PROGRAMAS[],3,FALSE),0)</f>
        <v>31865326.38096505</v>
      </c>
      <c r="AN1382" s="246">
        <f>IFERROR(VLOOKUP(L1382,PROGRAMAS[],3,FALSE),0)</f>
        <v>118617452.52510804</v>
      </c>
      <c r="AO1382" s="246">
        <f>IFERROR(VLOOKUP(M1382,PROGRAMAS[],3,FALSE),0)</f>
        <v>0</v>
      </c>
      <c r="AP1382" s="246">
        <f>IFERROR(VLOOKUP(N1382,PROGRAMAS[],3,FALSE),0)</f>
        <v>0</v>
      </c>
      <c r="AQ1382" s="246">
        <f>IFERROR(VLOOKUP(O1382,PROGRAMAS[],3,FALSE),0)</f>
        <v>0</v>
      </c>
      <c r="AR1382" s="246">
        <f>IFERROR(VLOOKUP(P1382,PROGRAMAS[],3,FALSE),0)</f>
        <v>0</v>
      </c>
      <c r="AS1382" s="246">
        <f>IFERROR(VLOOKUP(Q1382,PROGRAMAS[],3,FALSE),0)</f>
        <v>0</v>
      </c>
      <c r="AT1382" s="246">
        <f>IFERROR(VLOOKUP(D1382,VOL_REC[],2,FALSE),0)</f>
        <v>0</v>
      </c>
      <c r="AU1382" s="246">
        <f>IFERROR(VLOOKUP(E1382,VOL_REC[],2,FALSE),0)</f>
        <v>0</v>
      </c>
      <c r="AV1382" s="246">
        <f>IFERROR(VLOOKUP(F1382,VOL_REC[],2,FALSE),0)</f>
        <v>11089674.200000001</v>
      </c>
      <c r="AW1382" s="246">
        <f>IFERROR(VLOOKUP(G1382,VOL_REC[],2,FALSE),0)</f>
        <v>4325103.1812214684</v>
      </c>
      <c r="AX1382" s="246">
        <f>IFERROR(VLOOKUP(H1382,VOL_REC[],2,FALSE),0)</f>
        <v>1812240</v>
      </c>
      <c r="AY1382" s="246">
        <f>IFERROR(VLOOKUP(I1382,VOL_REC[],2,FALSE),0)</f>
        <v>240696.79238099116</v>
      </c>
      <c r="AZ1382" s="246">
        <f>IFERROR(VLOOKUP(J1382,VOL_REC[],2,FALSE),0)</f>
        <v>663244.80000000016</v>
      </c>
      <c r="BA1382" s="246">
        <f>IFERROR(VLOOKUP(K1382,VOL_REC[],2,FALSE),0)</f>
        <v>17074.045034105649</v>
      </c>
      <c r="BB1382" s="246">
        <f>IFERROR(VLOOKUP(L1382,VOL_REC[],2,FALSE),0)</f>
        <v>105072</v>
      </c>
      <c r="BC1382" s="246">
        <f>IFERROR(VLOOKUP(M1382,VOL_REC[],2,FALSE),0)</f>
        <v>0</v>
      </c>
      <c r="BD1382" s="246">
        <f>IFERROR(VLOOKUP(N1382,VOL_REC[],2,FALSE),0)</f>
        <v>0</v>
      </c>
      <c r="BE1382" s="246">
        <f>IFERROR(VLOOKUP(O1382,VOL_REC[],2,FALSE),0)</f>
        <v>0</v>
      </c>
      <c r="BF1382" s="246">
        <f>IFERROR(VLOOKUP(P1382,VOL_REC[],2,FALSE),0)</f>
        <v>0</v>
      </c>
      <c r="BG1382" s="246">
        <f>IFERROR(VLOOKUP(Q1382,VOL_REC[],2,FALSE),0)</f>
        <v>0</v>
      </c>
      <c r="BH1382" s="1710">
        <f t="shared" si="84"/>
        <v>14593842946.510855</v>
      </c>
      <c r="BI1382" s="1710">
        <f t="shared" si="85"/>
        <v>16637319602.49637</v>
      </c>
      <c r="BJ1382" s="1711">
        <f t="shared" si="86"/>
        <v>18253105.018636569</v>
      </c>
      <c r="BK1382" s="1711">
        <f t="shared" si="87"/>
        <v>0.87717512767628147</v>
      </c>
    </row>
    <row r="1383" spans="3:67" x14ac:dyDescent="0.25">
      <c r="C1383" s="246" t="s">
        <v>2733</v>
      </c>
      <c r="D1383" s="246">
        <v>1</v>
      </c>
      <c r="E1383" s="246">
        <v>2</v>
      </c>
      <c r="F1383" s="246">
        <v>3</v>
      </c>
      <c r="G1383" s="246">
        <v>5</v>
      </c>
      <c r="H1383" s="246">
        <v>10</v>
      </c>
      <c r="I1383" s="246">
        <v>12</v>
      </c>
      <c r="J1383" s="246">
        <v>13</v>
      </c>
      <c r="K1383" s="246">
        <v>14</v>
      </c>
      <c r="L1383" s="246">
        <v>16</v>
      </c>
      <c r="M1383" s="246"/>
      <c r="N1383" s="246"/>
      <c r="O1383" s="246"/>
      <c r="P1383" s="246"/>
      <c r="Q1383" s="246"/>
      <c r="R1383" s="246">
        <f>IFERROR(VLOOKUP(D1383,PROGRAMAS[],2,FALSE),0)</f>
        <v>97037803.679377079</v>
      </c>
      <c r="S1383" s="246">
        <f>IFERROR(VLOOKUP(E1383,PROGRAMAS[],2,FALSE),0)</f>
        <v>640501509.6821388</v>
      </c>
      <c r="T1383" s="246">
        <f>IFERROR(VLOOKUP(F1383,PROGRAMAS[],2,FALSE),0)</f>
        <v>3062327798.1525245</v>
      </c>
      <c r="U1383" s="246">
        <f>IFERROR(VLOOKUP(G1383,PROGRAMAS[],2,FALSE),0)</f>
        <v>1440941976.2528784</v>
      </c>
      <c r="V1383" s="246">
        <f>IFERROR(VLOOKUP(H1383,PROGRAMAS[],2,FALSE),0)</f>
        <v>4635315027.8751087</v>
      </c>
      <c r="W1383" s="246">
        <f>IFERROR(VLOOKUP(I1383,PROGRAMAS[],2,FALSE),0)</f>
        <v>764796700.79905891</v>
      </c>
      <c r="X1383" s="246">
        <f>IFERROR(VLOOKUP(J1383,PROGRAMAS[],2,FALSE),0)</f>
        <v>3776538594.4604583</v>
      </c>
      <c r="Y1383" s="246">
        <f>IFERROR(VLOOKUP(K1383,PROGRAMAS[],2,FALSE),0)</f>
        <v>54223862.645839565</v>
      </c>
      <c r="Z1383" s="246">
        <f>IFERROR(VLOOKUP(L1383,PROGRAMAS[],2,FALSE),0)</f>
        <v>7068496961.0436354</v>
      </c>
      <c r="AA1383" s="246">
        <f>IFERROR(VLOOKUP(M1383,PROGRAMAS[],2,FALSE),0)</f>
        <v>0</v>
      </c>
      <c r="AB1383" s="246">
        <f>IFERROR(VLOOKUP(N1383,PROGRAMAS[],2,FALSE),0)</f>
        <v>0</v>
      </c>
      <c r="AC1383" s="246">
        <f>IFERROR(VLOOKUP(O1383,PROGRAMAS[],2,FALSE),0)</f>
        <v>0</v>
      </c>
      <c r="AD1383" s="246">
        <f>IFERROR(VLOOKUP(P1383,PROGRAMAS[],2,FALSE),0)</f>
        <v>0</v>
      </c>
      <c r="AE1383" s="246">
        <f>IFERROR(VLOOKUP(Q1383,PROGRAMAS[],2,FALSE),0)</f>
        <v>0</v>
      </c>
      <c r="AF1383" s="246">
        <f>IFERROR(VLOOKUP(D1383,PROGRAMAS[],3,FALSE),0)</f>
        <v>841888629.31080008</v>
      </c>
      <c r="AG1383" s="246">
        <f>IFERROR(VLOOKUP(E1383,PROGRAMAS[],3,FALSE),0)</f>
        <v>3848980803.1642323</v>
      </c>
      <c r="AH1383" s="246">
        <f>IFERROR(VLOOKUP(F1383,PROGRAMAS[],3,FALSE),0)</f>
        <v>3394901471.387517</v>
      </c>
      <c r="AI1383" s="246">
        <f>IFERROR(VLOOKUP(G1383,PROGRAMAS[],3,FALSE),0)</f>
        <v>1233505101.0616004</v>
      </c>
      <c r="AJ1383" s="246">
        <f>IFERROR(VLOOKUP(H1383,PROGRAMAS[],3,FALSE),0)</f>
        <v>4099471734.9978786</v>
      </c>
      <c r="AK1383" s="246">
        <f>IFERROR(VLOOKUP(I1383,PROGRAMAS[],3,FALSE),0)</f>
        <v>675517840.109828</v>
      </c>
      <c r="AL1383" s="246">
        <f>IFERROR(VLOOKUP(J1383,PROGRAMAS[],3,FALSE),0)</f>
        <v>2392571243.5584412</v>
      </c>
      <c r="AM1383" s="246">
        <f>IFERROR(VLOOKUP(K1383,PROGRAMAS[],3,FALSE),0)</f>
        <v>31865326.38096505</v>
      </c>
      <c r="AN1383" s="246">
        <f>IFERROR(VLOOKUP(L1383,PROGRAMAS[],3,FALSE),0)</f>
        <v>2406564599.0319901</v>
      </c>
      <c r="AO1383" s="246">
        <f>IFERROR(VLOOKUP(M1383,PROGRAMAS[],3,FALSE),0)</f>
        <v>0</v>
      </c>
      <c r="AP1383" s="246">
        <f>IFERROR(VLOOKUP(N1383,PROGRAMAS[],3,FALSE),0)</f>
        <v>0</v>
      </c>
      <c r="AQ1383" s="246">
        <f>IFERROR(VLOOKUP(O1383,PROGRAMAS[],3,FALSE),0)</f>
        <v>0</v>
      </c>
      <c r="AR1383" s="246">
        <f>IFERROR(VLOOKUP(P1383,PROGRAMAS[],3,FALSE),0)</f>
        <v>0</v>
      </c>
      <c r="AS1383" s="246">
        <f>IFERROR(VLOOKUP(Q1383,PROGRAMAS[],3,FALSE),0)</f>
        <v>0</v>
      </c>
      <c r="AT1383" s="246">
        <f>IFERROR(VLOOKUP(D1383,VOL_REC[],2,FALSE),0)</f>
        <v>0</v>
      </c>
      <c r="AU1383" s="246">
        <f>IFERROR(VLOOKUP(E1383,VOL_REC[],2,FALSE),0)</f>
        <v>0</v>
      </c>
      <c r="AV1383" s="246">
        <f>IFERROR(VLOOKUP(F1383,VOL_REC[],2,FALSE),0)</f>
        <v>11089674.200000001</v>
      </c>
      <c r="AW1383" s="246">
        <f>IFERROR(VLOOKUP(G1383,VOL_REC[],2,FALSE),0)</f>
        <v>4325103.1812214684</v>
      </c>
      <c r="AX1383" s="246">
        <f>IFERROR(VLOOKUP(H1383,VOL_REC[],2,FALSE),0)</f>
        <v>1812240</v>
      </c>
      <c r="AY1383" s="246">
        <f>IFERROR(VLOOKUP(I1383,VOL_REC[],2,FALSE),0)</f>
        <v>240696.79238099116</v>
      </c>
      <c r="AZ1383" s="246">
        <f>IFERROR(VLOOKUP(J1383,VOL_REC[],2,FALSE),0)</f>
        <v>663244.80000000016</v>
      </c>
      <c r="BA1383" s="246">
        <f>IFERROR(VLOOKUP(K1383,VOL_REC[],2,FALSE),0)</f>
        <v>17074.045034105649</v>
      </c>
      <c r="BB1383" s="246">
        <f>IFERROR(VLOOKUP(L1383,VOL_REC[],2,FALSE),0)</f>
        <v>1072354.9981737854</v>
      </c>
      <c r="BC1383" s="246">
        <f>IFERROR(VLOOKUP(M1383,VOL_REC[],2,FALSE),0)</f>
        <v>0</v>
      </c>
      <c r="BD1383" s="246">
        <f>IFERROR(VLOOKUP(N1383,VOL_REC[],2,FALSE),0)</f>
        <v>0</v>
      </c>
      <c r="BE1383" s="246">
        <f>IFERROR(VLOOKUP(O1383,VOL_REC[],2,FALSE),0)</f>
        <v>0</v>
      </c>
      <c r="BF1383" s="246">
        <f>IFERROR(VLOOKUP(P1383,VOL_REC[],2,FALSE),0)</f>
        <v>0</v>
      </c>
      <c r="BG1383" s="246">
        <f>IFERROR(VLOOKUP(Q1383,VOL_REC[],2,FALSE),0)</f>
        <v>0</v>
      </c>
      <c r="BH1383" s="1710">
        <f t="shared" si="84"/>
        <v>21540180234.591022</v>
      </c>
      <c r="BI1383" s="1710">
        <f t="shared" si="85"/>
        <v>18925266749.00325</v>
      </c>
      <c r="BJ1383" s="1711">
        <f t="shared" si="86"/>
        <v>19220388.016810354</v>
      </c>
      <c r="BK1383" s="1711">
        <f t="shared" si="87"/>
        <v>1.1381704955744147</v>
      </c>
      <c r="BL1383">
        <f>BJ1383</f>
        <v>19220388.016810354</v>
      </c>
      <c r="BO1383">
        <f>BL1383</f>
        <v>19220388.016810354</v>
      </c>
    </row>
    <row r="1384" spans="3:67" x14ac:dyDescent="0.25">
      <c r="C1384" s="246" t="s">
        <v>2734</v>
      </c>
      <c r="D1384" s="246">
        <v>1</v>
      </c>
      <c r="E1384" s="246">
        <v>2</v>
      </c>
      <c r="F1384" s="246">
        <v>3</v>
      </c>
      <c r="G1384" s="246">
        <v>5</v>
      </c>
      <c r="H1384" s="246">
        <v>10</v>
      </c>
      <c r="I1384" s="246">
        <v>12</v>
      </c>
      <c r="J1384" s="246">
        <v>13</v>
      </c>
      <c r="K1384" s="246">
        <v>14</v>
      </c>
      <c r="L1384" s="246">
        <v>17</v>
      </c>
      <c r="M1384" s="246"/>
      <c r="N1384" s="246"/>
      <c r="O1384" s="246"/>
      <c r="P1384" s="246"/>
      <c r="Q1384" s="246"/>
      <c r="R1384" s="246">
        <f>IFERROR(VLOOKUP(D1384,PROGRAMAS[],2,FALSE),0)</f>
        <v>97037803.679377079</v>
      </c>
      <c r="S1384" s="246">
        <f>IFERROR(VLOOKUP(E1384,PROGRAMAS[],2,FALSE),0)</f>
        <v>640501509.6821388</v>
      </c>
      <c r="T1384" s="246">
        <f>IFERROR(VLOOKUP(F1384,PROGRAMAS[],2,FALSE),0)</f>
        <v>3062327798.1525245</v>
      </c>
      <c r="U1384" s="246">
        <f>IFERROR(VLOOKUP(G1384,PROGRAMAS[],2,FALSE),0)</f>
        <v>1440941976.2528784</v>
      </c>
      <c r="V1384" s="246">
        <f>IFERROR(VLOOKUP(H1384,PROGRAMAS[],2,FALSE),0)</f>
        <v>4635315027.8751087</v>
      </c>
      <c r="W1384" s="246">
        <f>IFERROR(VLOOKUP(I1384,PROGRAMAS[],2,FALSE),0)</f>
        <v>764796700.79905891</v>
      </c>
      <c r="X1384" s="246">
        <f>IFERROR(VLOOKUP(J1384,PROGRAMAS[],2,FALSE),0)</f>
        <v>3776538594.4604583</v>
      </c>
      <c r="Y1384" s="246">
        <f>IFERROR(VLOOKUP(K1384,PROGRAMAS[],2,FALSE),0)</f>
        <v>54223862.645839565</v>
      </c>
      <c r="Z1384" s="246">
        <f>IFERROR(VLOOKUP(L1384,PROGRAMAS[],2,FALSE),0)</f>
        <v>1892779498.5211046</v>
      </c>
      <c r="AA1384" s="246">
        <f>IFERROR(VLOOKUP(M1384,PROGRAMAS[],2,FALSE),0)</f>
        <v>0</v>
      </c>
      <c r="AB1384" s="246">
        <f>IFERROR(VLOOKUP(N1384,PROGRAMAS[],2,FALSE),0)</f>
        <v>0</v>
      </c>
      <c r="AC1384" s="246">
        <f>IFERROR(VLOOKUP(O1384,PROGRAMAS[],2,FALSE),0)</f>
        <v>0</v>
      </c>
      <c r="AD1384" s="246">
        <f>IFERROR(VLOOKUP(P1384,PROGRAMAS[],2,FALSE),0)</f>
        <v>0</v>
      </c>
      <c r="AE1384" s="246">
        <f>IFERROR(VLOOKUP(Q1384,PROGRAMAS[],2,FALSE),0)</f>
        <v>0</v>
      </c>
      <c r="AF1384" s="246">
        <f>IFERROR(VLOOKUP(D1384,PROGRAMAS[],3,FALSE),0)</f>
        <v>841888629.31080008</v>
      </c>
      <c r="AG1384" s="246">
        <f>IFERROR(VLOOKUP(E1384,PROGRAMAS[],3,FALSE),0)</f>
        <v>3848980803.1642323</v>
      </c>
      <c r="AH1384" s="246">
        <f>IFERROR(VLOOKUP(F1384,PROGRAMAS[],3,FALSE),0)</f>
        <v>3394901471.387517</v>
      </c>
      <c r="AI1384" s="246">
        <f>IFERROR(VLOOKUP(G1384,PROGRAMAS[],3,FALSE),0)</f>
        <v>1233505101.0616004</v>
      </c>
      <c r="AJ1384" s="246">
        <f>IFERROR(VLOOKUP(H1384,PROGRAMAS[],3,FALSE),0)</f>
        <v>4099471734.9978786</v>
      </c>
      <c r="AK1384" s="246">
        <f>IFERROR(VLOOKUP(I1384,PROGRAMAS[],3,FALSE),0)</f>
        <v>675517840.109828</v>
      </c>
      <c r="AL1384" s="246">
        <f>IFERROR(VLOOKUP(J1384,PROGRAMAS[],3,FALSE),0)</f>
        <v>2392571243.5584412</v>
      </c>
      <c r="AM1384" s="246">
        <f>IFERROR(VLOOKUP(K1384,PROGRAMAS[],3,FALSE),0)</f>
        <v>31865326.38096505</v>
      </c>
      <c r="AN1384" s="246">
        <f>IFERROR(VLOOKUP(L1384,PROGRAMAS[],3,FALSE),0)</f>
        <v>948595847.09039903</v>
      </c>
      <c r="AO1384" s="246">
        <f>IFERROR(VLOOKUP(M1384,PROGRAMAS[],3,FALSE),0)</f>
        <v>0</v>
      </c>
      <c r="AP1384" s="246">
        <f>IFERROR(VLOOKUP(N1384,PROGRAMAS[],3,FALSE),0)</f>
        <v>0</v>
      </c>
      <c r="AQ1384" s="246">
        <f>IFERROR(VLOOKUP(O1384,PROGRAMAS[],3,FALSE),0)</f>
        <v>0</v>
      </c>
      <c r="AR1384" s="246">
        <f>IFERROR(VLOOKUP(P1384,PROGRAMAS[],3,FALSE),0)</f>
        <v>0</v>
      </c>
      <c r="AS1384" s="246">
        <f>IFERROR(VLOOKUP(Q1384,PROGRAMAS[],3,FALSE),0)</f>
        <v>0</v>
      </c>
      <c r="AT1384" s="246">
        <f>IFERROR(VLOOKUP(D1384,VOL_REC[],2,FALSE),0)</f>
        <v>0</v>
      </c>
      <c r="AU1384" s="246">
        <f>IFERROR(VLOOKUP(E1384,VOL_REC[],2,FALSE),0)</f>
        <v>0</v>
      </c>
      <c r="AV1384" s="246">
        <f>IFERROR(VLOOKUP(F1384,VOL_REC[],2,FALSE),0)</f>
        <v>11089674.200000001</v>
      </c>
      <c r="AW1384" s="246">
        <f>IFERROR(VLOOKUP(G1384,VOL_REC[],2,FALSE),0)</f>
        <v>4325103.1812214684</v>
      </c>
      <c r="AX1384" s="246">
        <f>IFERROR(VLOOKUP(H1384,VOL_REC[],2,FALSE),0)</f>
        <v>1812240</v>
      </c>
      <c r="AY1384" s="246">
        <f>IFERROR(VLOOKUP(I1384,VOL_REC[],2,FALSE),0)</f>
        <v>240696.79238099116</v>
      </c>
      <c r="AZ1384" s="246">
        <f>IFERROR(VLOOKUP(J1384,VOL_REC[],2,FALSE),0)</f>
        <v>663244.80000000016</v>
      </c>
      <c r="BA1384" s="246">
        <f>IFERROR(VLOOKUP(K1384,VOL_REC[],2,FALSE),0)</f>
        <v>17074.045034105649</v>
      </c>
      <c r="BB1384" s="246">
        <f>IFERROR(VLOOKUP(L1384,VOL_REC[],2,FALSE),0)</f>
        <v>740113.98115702497</v>
      </c>
      <c r="BC1384" s="246">
        <f>IFERROR(VLOOKUP(M1384,VOL_REC[],2,FALSE),0)</f>
        <v>0</v>
      </c>
      <c r="BD1384" s="246">
        <f>IFERROR(VLOOKUP(N1384,VOL_REC[],2,FALSE),0)</f>
        <v>0</v>
      </c>
      <c r="BE1384" s="246">
        <f>IFERROR(VLOOKUP(O1384,VOL_REC[],2,FALSE),0)</f>
        <v>0</v>
      </c>
      <c r="BF1384" s="246">
        <f>IFERROR(VLOOKUP(P1384,VOL_REC[],2,FALSE),0)</f>
        <v>0</v>
      </c>
      <c r="BG1384" s="246">
        <f>IFERROR(VLOOKUP(Q1384,VOL_REC[],2,FALSE),0)</f>
        <v>0</v>
      </c>
      <c r="BH1384" s="1710">
        <f t="shared" si="84"/>
        <v>16364462772.068491</v>
      </c>
      <c r="BI1384" s="1710">
        <f t="shared" si="85"/>
        <v>17467297997.061661</v>
      </c>
      <c r="BJ1384" s="1711">
        <f t="shared" si="86"/>
        <v>18888146.999793593</v>
      </c>
      <c r="BK1384" s="1711">
        <f t="shared" si="87"/>
        <v>0.93686286080544978</v>
      </c>
    </row>
    <row r="1385" spans="3:67" x14ac:dyDescent="0.25">
      <c r="C1385" s="246" t="s">
        <v>2735</v>
      </c>
      <c r="D1385" s="246">
        <v>1</v>
      </c>
      <c r="E1385" s="246">
        <v>2</v>
      </c>
      <c r="F1385" s="246">
        <v>3</v>
      </c>
      <c r="G1385" s="246">
        <v>5</v>
      </c>
      <c r="H1385" s="246">
        <v>10</v>
      </c>
      <c r="I1385" s="246">
        <v>12</v>
      </c>
      <c r="J1385" s="246">
        <v>13</v>
      </c>
      <c r="K1385" s="246">
        <v>15</v>
      </c>
      <c r="L1385" s="246">
        <v>16</v>
      </c>
      <c r="M1385" s="246"/>
      <c r="N1385" s="246"/>
      <c r="O1385" s="246"/>
      <c r="P1385" s="246"/>
      <c r="Q1385" s="246"/>
      <c r="R1385" s="246">
        <f>IFERROR(VLOOKUP(D1385,PROGRAMAS[],2,FALSE),0)</f>
        <v>97037803.679377079</v>
      </c>
      <c r="S1385" s="246">
        <f>IFERROR(VLOOKUP(E1385,PROGRAMAS[],2,FALSE),0)</f>
        <v>640501509.6821388</v>
      </c>
      <c r="T1385" s="246">
        <f>IFERROR(VLOOKUP(F1385,PROGRAMAS[],2,FALSE),0)</f>
        <v>3062327798.1525245</v>
      </c>
      <c r="U1385" s="246">
        <f>IFERROR(VLOOKUP(G1385,PROGRAMAS[],2,FALSE),0)</f>
        <v>1440941976.2528784</v>
      </c>
      <c r="V1385" s="246">
        <f>IFERROR(VLOOKUP(H1385,PROGRAMAS[],2,FALSE),0)</f>
        <v>4635315027.8751087</v>
      </c>
      <c r="W1385" s="246">
        <f>IFERROR(VLOOKUP(I1385,PROGRAMAS[],2,FALSE),0)</f>
        <v>764796700.79905891</v>
      </c>
      <c r="X1385" s="246">
        <f>IFERROR(VLOOKUP(J1385,PROGRAMAS[],2,FALSE),0)</f>
        <v>3776538594.4604583</v>
      </c>
      <c r="Y1385" s="246">
        <f>IFERROR(VLOOKUP(K1385,PROGRAMAS[],2,FALSE),0)</f>
        <v>122159672.96346797</v>
      </c>
      <c r="Z1385" s="246">
        <f>IFERROR(VLOOKUP(L1385,PROGRAMAS[],2,FALSE),0)</f>
        <v>7068496961.0436354</v>
      </c>
      <c r="AA1385" s="246">
        <f>IFERROR(VLOOKUP(M1385,PROGRAMAS[],2,FALSE),0)</f>
        <v>0</v>
      </c>
      <c r="AB1385" s="246">
        <f>IFERROR(VLOOKUP(N1385,PROGRAMAS[],2,FALSE),0)</f>
        <v>0</v>
      </c>
      <c r="AC1385" s="246">
        <f>IFERROR(VLOOKUP(O1385,PROGRAMAS[],2,FALSE),0)</f>
        <v>0</v>
      </c>
      <c r="AD1385" s="246">
        <f>IFERROR(VLOOKUP(P1385,PROGRAMAS[],2,FALSE),0)</f>
        <v>0</v>
      </c>
      <c r="AE1385" s="246">
        <f>IFERROR(VLOOKUP(Q1385,PROGRAMAS[],2,FALSE),0)</f>
        <v>0</v>
      </c>
      <c r="AF1385" s="246">
        <f>IFERROR(VLOOKUP(D1385,PROGRAMAS[],3,FALSE),0)</f>
        <v>841888629.31080008</v>
      </c>
      <c r="AG1385" s="246">
        <f>IFERROR(VLOOKUP(E1385,PROGRAMAS[],3,FALSE),0)</f>
        <v>3848980803.1642323</v>
      </c>
      <c r="AH1385" s="246">
        <f>IFERROR(VLOOKUP(F1385,PROGRAMAS[],3,FALSE),0)</f>
        <v>3394901471.387517</v>
      </c>
      <c r="AI1385" s="246">
        <f>IFERROR(VLOOKUP(G1385,PROGRAMAS[],3,FALSE),0)</f>
        <v>1233505101.0616004</v>
      </c>
      <c r="AJ1385" s="246">
        <f>IFERROR(VLOOKUP(H1385,PROGRAMAS[],3,FALSE),0)</f>
        <v>4099471734.9978786</v>
      </c>
      <c r="AK1385" s="246">
        <f>IFERROR(VLOOKUP(I1385,PROGRAMAS[],3,FALSE),0)</f>
        <v>675517840.109828</v>
      </c>
      <c r="AL1385" s="246">
        <f>IFERROR(VLOOKUP(J1385,PROGRAMAS[],3,FALSE),0)</f>
        <v>2392571243.5584412</v>
      </c>
      <c r="AM1385" s="246">
        <f>IFERROR(VLOOKUP(K1385,PROGRAMAS[],3,FALSE),0)</f>
        <v>118617452.52510804</v>
      </c>
      <c r="AN1385" s="246">
        <f>IFERROR(VLOOKUP(L1385,PROGRAMAS[],3,FALSE),0)</f>
        <v>2406564599.0319901</v>
      </c>
      <c r="AO1385" s="246">
        <f>IFERROR(VLOOKUP(M1385,PROGRAMAS[],3,FALSE),0)</f>
        <v>0</v>
      </c>
      <c r="AP1385" s="246">
        <f>IFERROR(VLOOKUP(N1385,PROGRAMAS[],3,FALSE),0)</f>
        <v>0</v>
      </c>
      <c r="AQ1385" s="246">
        <f>IFERROR(VLOOKUP(O1385,PROGRAMAS[],3,FALSE),0)</f>
        <v>0</v>
      </c>
      <c r="AR1385" s="246">
        <f>IFERROR(VLOOKUP(P1385,PROGRAMAS[],3,FALSE),0)</f>
        <v>0</v>
      </c>
      <c r="AS1385" s="246">
        <f>IFERROR(VLOOKUP(Q1385,PROGRAMAS[],3,FALSE),0)</f>
        <v>0</v>
      </c>
      <c r="AT1385" s="246">
        <f>IFERROR(VLOOKUP(D1385,VOL_REC[],2,FALSE),0)</f>
        <v>0</v>
      </c>
      <c r="AU1385" s="246">
        <f>IFERROR(VLOOKUP(E1385,VOL_REC[],2,FALSE),0)</f>
        <v>0</v>
      </c>
      <c r="AV1385" s="246">
        <f>IFERROR(VLOOKUP(F1385,VOL_REC[],2,FALSE),0)</f>
        <v>11089674.200000001</v>
      </c>
      <c r="AW1385" s="246">
        <f>IFERROR(VLOOKUP(G1385,VOL_REC[],2,FALSE),0)</f>
        <v>4325103.1812214684</v>
      </c>
      <c r="AX1385" s="246">
        <f>IFERROR(VLOOKUP(H1385,VOL_REC[],2,FALSE),0)</f>
        <v>1812240</v>
      </c>
      <c r="AY1385" s="246">
        <f>IFERROR(VLOOKUP(I1385,VOL_REC[],2,FALSE),0)</f>
        <v>240696.79238099116</v>
      </c>
      <c r="AZ1385" s="246">
        <f>IFERROR(VLOOKUP(J1385,VOL_REC[],2,FALSE),0)</f>
        <v>663244.80000000016</v>
      </c>
      <c r="BA1385" s="246">
        <f>IFERROR(VLOOKUP(K1385,VOL_REC[],2,FALSE),0)</f>
        <v>105072</v>
      </c>
      <c r="BB1385" s="246">
        <f>IFERROR(VLOOKUP(L1385,VOL_REC[],2,FALSE),0)</f>
        <v>1072354.9981737854</v>
      </c>
      <c r="BC1385" s="246">
        <f>IFERROR(VLOOKUP(M1385,VOL_REC[],2,FALSE),0)</f>
        <v>0</v>
      </c>
      <c r="BD1385" s="246">
        <f>IFERROR(VLOOKUP(N1385,VOL_REC[],2,FALSE),0)</f>
        <v>0</v>
      </c>
      <c r="BE1385" s="246">
        <f>IFERROR(VLOOKUP(O1385,VOL_REC[],2,FALSE),0)</f>
        <v>0</v>
      </c>
      <c r="BF1385" s="246">
        <f>IFERROR(VLOOKUP(P1385,VOL_REC[],2,FALSE),0)</f>
        <v>0</v>
      </c>
      <c r="BG1385" s="246">
        <f>IFERROR(VLOOKUP(Q1385,VOL_REC[],2,FALSE),0)</f>
        <v>0</v>
      </c>
      <c r="BH1385" s="1710">
        <f t="shared" si="84"/>
        <v>21608116044.908649</v>
      </c>
      <c r="BI1385" s="1710">
        <f t="shared" si="85"/>
        <v>19012018875.147396</v>
      </c>
      <c r="BJ1385" s="1711">
        <f t="shared" si="86"/>
        <v>19308385.971776247</v>
      </c>
      <c r="BK1385" s="1711">
        <f t="shared" si="87"/>
        <v>1.1365503151879828</v>
      </c>
      <c r="BL1385">
        <f>BJ1385</f>
        <v>19308385.971776247</v>
      </c>
      <c r="BO1385">
        <f>BL1385</f>
        <v>19308385.971776247</v>
      </c>
    </row>
    <row r="1386" spans="3:67" x14ac:dyDescent="0.25">
      <c r="C1386" s="246" t="s">
        <v>2736</v>
      </c>
      <c r="D1386" s="246">
        <v>1</v>
      </c>
      <c r="E1386" s="246">
        <v>2</v>
      </c>
      <c r="F1386" s="246">
        <v>3</v>
      </c>
      <c r="G1386" s="246">
        <v>5</v>
      </c>
      <c r="H1386" s="246">
        <v>10</v>
      </c>
      <c r="I1386" s="246">
        <v>12</v>
      </c>
      <c r="J1386" s="246">
        <v>13</v>
      </c>
      <c r="K1386" s="246">
        <v>15</v>
      </c>
      <c r="L1386" s="246">
        <v>17</v>
      </c>
      <c r="M1386" s="246"/>
      <c r="N1386" s="246"/>
      <c r="O1386" s="246"/>
      <c r="P1386" s="246"/>
      <c r="Q1386" s="246"/>
      <c r="R1386" s="246">
        <f>IFERROR(VLOOKUP(D1386,PROGRAMAS[],2,FALSE),0)</f>
        <v>97037803.679377079</v>
      </c>
      <c r="S1386" s="246">
        <f>IFERROR(VLOOKUP(E1386,PROGRAMAS[],2,FALSE),0)</f>
        <v>640501509.6821388</v>
      </c>
      <c r="T1386" s="246">
        <f>IFERROR(VLOOKUP(F1386,PROGRAMAS[],2,FALSE),0)</f>
        <v>3062327798.1525245</v>
      </c>
      <c r="U1386" s="246">
        <f>IFERROR(VLOOKUP(G1386,PROGRAMAS[],2,FALSE),0)</f>
        <v>1440941976.2528784</v>
      </c>
      <c r="V1386" s="246">
        <f>IFERROR(VLOOKUP(H1386,PROGRAMAS[],2,FALSE),0)</f>
        <v>4635315027.8751087</v>
      </c>
      <c r="W1386" s="246">
        <f>IFERROR(VLOOKUP(I1386,PROGRAMAS[],2,FALSE),0)</f>
        <v>764796700.79905891</v>
      </c>
      <c r="X1386" s="246">
        <f>IFERROR(VLOOKUP(J1386,PROGRAMAS[],2,FALSE),0)</f>
        <v>3776538594.4604583</v>
      </c>
      <c r="Y1386" s="246">
        <f>IFERROR(VLOOKUP(K1386,PROGRAMAS[],2,FALSE),0)</f>
        <v>122159672.96346797</v>
      </c>
      <c r="Z1386" s="246">
        <f>IFERROR(VLOOKUP(L1386,PROGRAMAS[],2,FALSE),0)</f>
        <v>1892779498.5211046</v>
      </c>
      <c r="AA1386" s="246">
        <f>IFERROR(VLOOKUP(M1386,PROGRAMAS[],2,FALSE),0)</f>
        <v>0</v>
      </c>
      <c r="AB1386" s="246">
        <f>IFERROR(VLOOKUP(N1386,PROGRAMAS[],2,FALSE),0)</f>
        <v>0</v>
      </c>
      <c r="AC1386" s="246">
        <f>IFERROR(VLOOKUP(O1386,PROGRAMAS[],2,FALSE),0)</f>
        <v>0</v>
      </c>
      <c r="AD1386" s="246">
        <f>IFERROR(VLOOKUP(P1386,PROGRAMAS[],2,FALSE),0)</f>
        <v>0</v>
      </c>
      <c r="AE1386" s="246">
        <f>IFERROR(VLOOKUP(Q1386,PROGRAMAS[],2,FALSE),0)</f>
        <v>0</v>
      </c>
      <c r="AF1386" s="246">
        <f>IFERROR(VLOOKUP(D1386,PROGRAMAS[],3,FALSE),0)</f>
        <v>841888629.31080008</v>
      </c>
      <c r="AG1386" s="246">
        <f>IFERROR(VLOOKUP(E1386,PROGRAMAS[],3,FALSE),0)</f>
        <v>3848980803.1642323</v>
      </c>
      <c r="AH1386" s="246">
        <f>IFERROR(VLOOKUP(F1386,PROGRAMAS[],3,FALSE),0)</f>
        <v>3394901471.387517</v>
      </c>
      <c r="AI1386" s="246">
        <f>IFERROR(VLOOKUP(G1386,PROGRAMAS[],3,FALSE),0)</f>
        <v>1233505101.0616004</v>
      </c>
      <c r="AJ1386" s="246">
        <f>IFERROR(VLOOKUP(H1386,PROGRAMAS[],3,FALSE),0)</f>
        <v>4099471734.9978786</v>
      </c>
      <c r="AK1386" s="246">
        <f>IFERROR(VLOOKUP(I1386,PROGRAMAS[],3,FALSE),0)</f>
        <v>675517840.109828</v>
      </c>
      <c r="AL1386" s="246">
        <f>IFERROR(VLOOKUP(J1386,PROGRAMAS[],3,FALSE),0)</f>
        <v>2392571243.5584412</v>
      </c>
      <c r="AM1386" s="246">
        <f>IFERROR(VLOOKUP(K1386,PROGRAMAS[],3,FALSE),0)</f>
        <v>118617452.52510804</v>
      </c>
      <c r="AN1386" s="246">
        <f>IFERROR(VLOOKUP(L1386,PROGRAMAS[],3,FALSE),0)</f>
        <v>948595847.09039903</v>
      </c>
      <c r="AO1386" s="246">
        <f>IFERROR(VLOOKUP(M1386,PROGRAMAS[],3,FALSE),0)</f>
        <v>0</v>
      </c>
      <c r="AP1386" s="246">
        <f>IFERROR(VLOOKUP(N1386,PROGRAMAS[],3,FALSE),0)</f>
        <v>0</v>
      </c>
      <c r="AQ1386" s="246">
        <f>IFERROR(VLOOKUP(O1386,PROGRAMAS[],3,FALSE),0)</f>
        <v>0</v>
      </c>
      <c r="AR1386" s="246">
        <f>IFERROR(VLOOKUP(P1386,PROGRAMAS[],3,FALSE),0)</f>
        <v>0</v>
      </c>
      <c r="AS1386" s="246">
        <f>IFERROR(VLOOKUP(Q1386,PROGRAMAS[],3,FALSE),0)</f>
        <v>0</v>
      </c>
      <c r="AT1386" s="246">
        <f>IFERROR(VLOOKUP(D1386,VOL_REC[],2,FALSE),0)</f>
        <v>0</v>
      </c>
      <c r="AU1386" s="246">
        <f>IFERROR(VLOOKUP(E1386,VOL_REC[],2,FALSE),0)</f>
        <v>0</v>
      </c>
      <c r="AV1386" s="246">
        <f>IFERROR(VLOOKUP(F1386,VOL_REC[],2,FALSE),0)</f>
        <v>11089674.200000001</v>
      </c>
      <c r="AW1386" s="246">
        <f>IFERROR(VLOOKUP(G1386,VOL_REC[],2,FALSE),0)</f>
        <v>4325103.1812214684</v>
      </c>
      <c r="AX1386" s="246">
        <f>IFERROR(VLOOKUP(H1386,VOL_REC[],2,FALSE),0)</f>
        <v>1812240</v>
      </c>
      <c r="AY1386" s="246">
        <f>IFERROR(VLOOKUP(I1386,VOL_REC[],2,FALSE),0)</f>
        <v>240696.79238099116</v>
      </c>
      <c r="AZ1386" s="246">
        <f>IFERROR(VLOOKUP(J1386,VOL_REC[],2,FALSE),0)</f>
        <v>663244.80000000016</v>
      </c>
      <c r="BA1386" s="246">
        <f>IFERROR(VLOOKUP(K1386,VOL_REC[],2,FALSE),0)</f>
        <v>105072</v>
      </c>
      <c r="BB1386" s="246">
        <f>IFERROR(VLOOKUP(L1386,VOL_REC[],2,FALSE),0)</f>
        <v>740113.98115702497</v>
      </c>
      <c r="BC1386" s="246">
        <f>IFERROR(VLOOKUP(M1386,VOL_REC[],2,FALSE),0)</f>
        <v>0</v>
      </c>
      <c r="BD1386" s="246">
        <f>IFERROR(VLOOKUP(N1386,VOL_REC[],2,FALSE),0)</f>
        <v>0</v>
      </c>
      <c r="BE1386" s="246">
        <f>IFERROR(VLOOKUP(O1386,VOL_REC[],2,FALSE),0)</f>
        <v>0</v>
      </c>
      <c r="BF1386" s="246">
        <f>IFERROR(VLOOKUP(P1386,VOL_REC[],2,FALSE),0)</f>
        <v>0</v>
      </c>
      <c r="BG1386" s="246">
        <f>IFERROR(VLOOKUP(Q1386,VOL_REC[],2,FALSE),0)</f>
        <v>0</v>
      </c>
      <c r="BH1386" s="1710">
        <f t="shared" si="84"/>
        <v>16432398582.38612</v>
      </c>
      <c r="BI1386" s="1710">
        <f t="shared" si="85"/>
        <v>17554050123.205807</v>
      </c>
      <c r="BJ1386" s="1711">
        <f t="shared" si="86"/>
        <v>18976144.954759486</v>
      </c>
      <c r="BK1386" s="1711">
        <f t="shared" si="87"/>
        <v>0.93610297720769831</v>
      </c>
    </row>
    <row r="1387" spans="3:67" x14ac:dyDescent="0.25">
      <c r="C1387" s="246" t="s">
        <v>2737</v>
      </c>
      <c r="D1387" s="246">
        <v>1</v>
      </c>
      <c r="E1387" s="246">
        <v>2</v>
      </c>
      <c r="F1387" s="246">
        <v>3</v>
      </c>
      <c r="G1387" s="246">
        <v>5</v>
      </c>
      <c r="H1387" s="246">
        <v>10</v>
      </c>
      <c r="I1387" s="246">
        <v>12</v>
      </c>
      <c r="J1387" s="246">
        <v>13</v>
      </c>
      <c r="K1387" s="246">
        <v>16</v>
      </c>
      <c r="L1387" s="246">
        <v>17</v>
      </c>
      <c r="M1387" s="246"/>
      <c r="N1387" s="246"/>
      <c r="O1387" s="246"/>
      <c r="P1387" s="246"/>
      <c r="Q1387" s="246"/>
      <c r="R1387" s="246">
        <f>IFERROR(VLOOKUP(D1387,PROGRAMAS[],2,FALSE),0)</f>
        <v>97037803.679377079</v>
      </c>
      <c r="S1387" s="246">
        <f>IFERROR(VLOOKUP(E1387,PROGRAMAS[],2,FALSE),0)</f>
        <v>640501509.6821388</v>
      </c>
      <c r="T1387" s="246">
        <f>IFERROR(VLOOKUP(F1387,PROGRAMAS[],2,FALSE),0)</f>
        <v>3062327798.1525245</v>
      </c>
      <c r="U1387" s="246">
        <f>IFERROR(VLOOKUP(G1387,PROGRAMAS[],2,FALSE),0)</f>
        <v>1440941976.2528784</v>
      </c>
      <c r="V1387" s="246">
        <f>IFERROR(VLOOKUP(H1387,PROGRAMAS[],2,FALSE),0)</f>
        <v>4635315027.8751087</v>
      </c>
      <c r="W1387" s="246">
        <f>IFERROR(VLOOKUP(I1387,PROGRAMAS[],2,FALSE),0)</f>
        <v>764796700.79905891</v>
      </c>
      <c r="X1387" s="246">
        <f>IFERROR(VLOOKUP(J1387,PROGRAMAS[],2,FALSE),0)</f>
        <v>3776538594.4604583</v>
      </c>
      <c r="Y1387" s="246">
        <f>IFERROR(VLOOKUP(K1387,PROGRAMAS[],2,FALSE),0)</f>
        <v>7068496961.0436354</v>
      </c>
      <c r="Z1387" s="246">
        <f>IFERROR(VLOOKUP(L1387,PROGRAMAS[],2,FALSE),0)</f>
        <v>1892779498.5211046</v>
      </c>
      <c r="AA1387" s="246">
        <f>IFERROR(VLOOKUP(M1387,PROGRAMAS[],2,FALSE),0)</f>
        <v>0</v>
      </c>
      <c r="AB1387" s="246">
        <f>IFERROR(VLOOKUP(N1387,PROGRAMAS[],2,FALSE),0)</f>
        <v>0</v>
      </c>
      <c r="AC1387" s="246">
        <f>IFERROR(VLOOKUP(O1387,PROGRAMAS[],2,FALSE),0)</f>
        <v>0</v>
      </c>
      <c r="AD1387" s="246">
        <f>IFERROR(VLOOKUP(P1387,PROGRAMAS[],2,FALSE),0)</f>
        <v>0</v>
      </c>
      <c r="AE1387" s="246">
        <f>IFERROR(VLOOKUP(Q1387,PROGRAMAS[],2,FALSE),0)</f>
        <v>0</v>
      </c>
      <c r="AF1387" s="246">
        <f>IFERROR(VLOOKUP(D1387,PROGRAMAS[],3,FALSE),0)</f>
        <v>841888629.31080008</v>
      </c>
      <c r="AG1387" s="246">
        <f>IFERROR(VLOOKUP(E1387,PROGRAMAS[],3,FALSE),0)</f>
        <v>3848980803.1642323</v>
      </c>
      <c r="AH1387" s="246">
        <f>IFERROR(VLOOKUP(F1387,PROGRAMAS[],3,FALSE),0)</f>
        <v>3394901471.387517</v>
      </c>
      <c r="AI1387" s="246">
        <f>IFERROR(VLOOKUP(G1387,PROGRAMAS[],3,FALSE),0)</f>
        <v>1233505101.0616004</v>
      </c>
      <c r="AJ1387" s="246">
        <f>IFERROR(VLOOKUP(H1387,PROGRAMAS[],3,FALSE),0)</f>
        <v>4099471734.9978786</v>
      </c>
      <c r="AK1387" s="246">
        <f>IFERROR(VLOOKUP(I1387,PROGRAMAS[],3,FALSE),0)</f>
        <v>675517840.109828</v>
      </c>
      <c r="AL1387" s="246">
        <f>IFERROR(VLOOKUP(J1387,PROGRAMAS[],3,FALSE),0)</f>
        <v>2392571243.5584412</v>
      </c>
      <c r="AM1387" s="246">
        <f>IFERROR(VLOOKUP(K1387,PROGRAMAS[],3,FALSE),0)</f>
        <v>2406564599.0319901</v>
      </c>
      <c r="AN1387" s="246">
        <f>IFERROR(VLOOKUP(L1387,PROGRAMAS[],3,FALSE),0)</f>
        <v>948595847.09039903</v>
      </c>
      <c r="AO1387" s="246">
        <f>IFERROR(VLOOKUP(M1387,PROGRAMAS[],3,FALSE),0)</f>
        <v>0</v>
      </c>
      <c r="AP1387" s="246">
        <f>IFERROR(VLOOKUP(N1387,PROGRAMAS[],3,FALSE),0)</f>
        <v>0</v>
      </c>
      <c r="AQ1387" s="246">
        <f>IFERROR(VLOOKUP(O1387,PROGRAMAS[],3,FALSE),0)</f>
        <v>0</v>
      </c>
      <c r="AR1387" s="246">
        <f>IFERROR(VLOOKUP(P1387,PROGRAMAS[],3,FALSE),0)</f>
        <v>0</v>
      </c>
      <c r="AS1387" s="246">
        <f>IFERROR(VLOOKUP(Q1387,PROGRAMAS[],3,FALSE),0)</f>
        <v>0</v>
      </c>
      <c r="AT1387" s="246">
        <f>IFERROR(VLOOKUP(D1387,VOL_REC[],2,FALSE),0)</f>
        <v>0</v>
      </c>
      <c r="AU1387" s="246">
        <f>IFERROR(VLOOKUP(E1387,VOL_REC[],2,FALSE),0)</f>
        <v>0</v>
      </c>
      <c r="AV1387" s="246">
        <f>IFERROR(VLOOKUP(F1387,VOL_REC[],2,FALSE),0)</f>
        <v>11089674.200000001</v>
      </c>
      <c r="AW1387" s="246">
        <f>IFERROR(VLOOKUP(G1387,VOL_REC[],2,FALSE),0)</f>
        <v>4325103.1812214684</v>
      </c>
      <c r="AX1387" s="246">
        <f>IFERROR(VLOOKUP(H1387,VOL_REC[],2,FALSE),0)</f>
        <v>1812240</v>
      </c>
      <c r="AY1387" s="246">
        <f>IFERROR(VLOOKUP(I1387,VOL_REC[],2,FALSE),0)</f>
        <v>240696.79238099116</v>
      </c>
      <c r="AZ1387" s="246">
        <f>IFERROR(VLOOKUP(J1387,VOL_REC[],2,FALSE),0)</f>
        <v>663244.80000000016</v>
      </c>
      <c r="BA1387" s="246">
        <f>IFERROR(VLOOKUP(K1387,VOL_REC[],2,FALSE),0)</f>
        <v>1072354.9981737854</v>
      </c>
      <c r="BB1387" s="246">
        <f>IFERROR(VLOOKUP(L1387,VOL_REC[],2,FALSE),0)</f>
        <v>740113.98115702497</v>
      </c>
      <c r="BC1387" s="246">
        <f>IFERROR(VLOOKUP(M1387,VOL_REC[],2,FALSE),0)</f>
        <v>0</v>
      </c>
      <c r="BD1387" s="246">
        <f>IFERROR(VLOOKUP(N1387,VOL_REC[],2,FALSE),0)</f>
        <v>0</v>
      </c>
      <c r="BE1387" s="246">
        <f>IFERROR(VLOOKUP(O1387,VOL_REC[],2,FALSE),0)</f>
        <v>0</v>
      </c>
      <c r="BF1387" s="246">
        <f>IFERROR(VLOOKUP(P1387,VOL_REC[],2,FALSE),0)</f>
        <v>0</v>
      </c>
      <c r="BG1387" s="246">
        <f>IFERROR(VLOOKUP(Q1387,VOL_REC[],2,FALSE),0)</f>
        <v>0</v>
      </c>
      <c r="BH1387" s="1710">
        <f t="shared" si="84"/>
        <v>23378735870.466286</v>
      </c>
      <c r="BI1387" s="1710">
        <f t="shared" si="85"/>
        <v>19841997269.712688</v>
      </c>
      <c r="BJ1387" s="1711">
        <f t="shared" si="86"/>
        <v>19943427.95293327</v>
      </c>
      <c r="BK1387" s="1711">
        <f t="shared" si="87"/>
        <v>1.1782450905863273</v>
      </c>
      <c r="BL1387">
        <f>BJ1387</f>
        <v>19943427.95293327</v>
      </c>
      <c r="BO1387">
        <f>BL1387</f>
        <v>19943427.95293327</v>
      </c>
    </row>
    <row r="1388" spans="3:67" x14ac:dyDescent="0.25">
      <c r="C1388" s="246" t="s">
        <v>2738</v>
      </c>
      <c r="D1388" s="246">
        <v>1</v>
      </c>
      <c r="E1388" s="246">
        <v>2</v>
      </c>
      <c r="F1388" s="246">
        <v>3</v>
      </c>
      <c r="G1388" s="246">
        <v>5</v>
      </c>
      <c r="H1388" s="246">
        <v>10</v>
      </c>
      <c r="I1388" s="246">
        <v>12</v>
      </c>
      <c r="J1388" s="246">
        <v>14</v>
      </c>
      <c r="K1388" s="246">
        <v>15</v>
      </c>
      <c r="L1388" s="246">
        <v>16</v>
      </c>
      <c r="M1388" s="246"/>
      <c r="N1388" s="246"/>
      <c r="O1388" s="246"/>
      <c r="P1388" s="246"/>
      <c r="Q1388" s="246"/>
      <c r="R1388" s="246">
        <f>IFERROR(VLOOKUP(D1388,PROGRAMAS[],2,FALSE),0)</f>
        <v>97037803.679377079</v>
      </c>
      <c r="S1388" s="246">
        <f>IFERROR(VLOOKUP(E1388,PROGRAMAS[],2,FALSE),0)</f>
        <v>640501509.6821388</v>
      </c>
      <c r="T1388" s="246">
        <f>IFERROR(VLOOKUP(F1388,PROGRAMAS[],2,FALSE),0)</f>
        <v>3062327798.1525245</v>
      </c>
      <c r="U1388" s="246">
        <f>IFERROR(VLOOKUP(G1388,PROGRAMAS[],2,FALSE),0)</f>
        <v>1440941976.2528784</v>
      </c>
      <c r="V1388" s="246">
        <f>IFERROR(VLOOKUP(H1388,PROGRAMAS[],2,FALSE),0)</f>
        <v>4635315027.8751087</v>
      </c>
      <c r="W1388" s="246">
        <f>IFERROR(VLOOKUP(I1388,PROGRAMAS[],2,FALSE),0)</f>
        <v>764796700.79905891</v>
      </c>
      <c r="X1388" s="246">
        <f>IFERROR(VLOOKUP(J1388,PROGRAMAS[],2,FALSE),0)</f>
        <v>54223862.645839565</v>
      </c>
      <c r="Y1388" s="246">
        <f>IFERROR(VLOOKUP(K1388,PROGRAMAS[],2,FALSE),0)</f>
        <v>122159672.96346797</v>
      </c>
      <c r="Z1388" s="246">
        <f>IFERROR(VLOOKUP(L1388,PROGRAMAS[],2,FALSE),0)</f>
        <v>7068496961.0436354</v>
      </c>
      <c r="AA1388" s="246">
        <f>IFERROR(VLOOKUP(M1388,PROGRAMAS[],2,FALSE),0)</f>
        <v>0</v>
      </c>
      <c r="AB1388" s="246">
        <f>IFERROR(VLOOKUP(N1388,PROGRAMAS[],2,FALSE),0)</f>
        <v>0</v>
      </c>
      <c r="AC1388" s="246">
        <f>IFERROR(VLOOKUP(O1388,PROGRAMAS[],2,FALSE),0)</f>
        <v>0</v>
      </c>
      <c r="AD1388" s="246">
        <f>IFERROR(VLOOKUP(P1388,PROGRAMAS[],2,FALSE),0)</f>
        <v>0</v>
      </c>
      <c r="AE1388" s="246">
        <f>IFERROR(VLOOKUP(Q1388,PROGRAMAS[],2,FALSE),0)</f>
        <v>0</v>
      </c>
      <c r="AF1388" s="246">
        <f>IFERROR(VLOOKUP(D1388,PROGRAMAS[],3,FALSE),0)</f>
        <v>841888629.31080008</v>
      </c>
      <c r="AG1388" s="246">
        <f>IFERROR(VLOOKUP(E1388,PROGRAMAS[],3,FALSE),0)</f>
        <v>3848980803.1642323</v>
      </c>
      <c r="AH1388" s="246">
        <f>IFERROR(VLOOKUP(F1388,PROGRAMAS[],3,FALSE),0)</f>
        <v>3394901471.387517</v>
      </c>
      <c r="AI1388" s="246">
        <f>IFERROR(VLOOKUP(G1388,PROGRAMAS[],3,FALSE),0)</f>
        <v>1233505101.0616004</v>
      </c>
      <c r="AJ1388" s="246">
        <f>IFERROR(VLOOKUP(H1388,PROGRAMAS[],3,FALSE),0)</f>
        <v>4099471734.9978786</v>
      </c>
      <c r="AK1388" s="246">
        <f>IFERROR(VLOOKUP(I1388,PROGRAMAS[],3,FALSE),0)</f>
        <v>675517840.109828</v>
      </c>
      <c r="AL1388" s="246">
        <f>IFERROR(VLOOKUP(J1388,PROGRAMAS[],3,FALSE),0)</f>
        <v>31865326.38096505</v>
      </c>
      <c r="AM1388" s="246">
        <f>IFERROR(VLOOKUP(K1388,PROGRAMAS[],3,FALSE),0)</f>
        <v>118617452.52510804</v>
      </c>
      <c r="AN1388" s="246">
        <f>IFERROR(VLOOKUP(L1388,PROGRAMAS[],3,FALSE),0)</f>
        <v>2406564599.0319901</v>
      </c>
      <c r="AO1388" s="246">
        <f>IFERROR(VLOOKUP(M1388,PROGRAMAS[],3,FALSE),0)</f>
        <v>0</v>
      </c>
      <c r="AP1388" s="246">
        <f>IFERROR(VLOOKUP(N1388,PROGRAMAS[],3,FALSE),0)</f>
        <v>0</v>
      </c>
      <c r="AQ1388" s="246">
        <f>IFERROR(VLOOKUP(O1388,PROGRAMAS[],3,FALSE),0)</f>
        <v>0</v>
      </c>
      <c r="AR1388" s="246">
        <f>IFERROR(VLOOKUP(P1388,PROGRAMAS[],3,FALSE),0)</f>
        <v>0</v>
      </c>
      <c r="AS1388" s="246">
        <f>IFERROR(VLOOKUP(Q1388,PROGRAMAS[],3,FALSE),0)</f>
        <v>0</v>
      </c>
      <c r="AT1388" s="246">
        <f>IFERROR(VLOOKUP(D1388,VOL_REC[],2,FALSE),0)</f>
        <v>0</v>
      </c>
      <c r="AU1388" s="246">
        <f>IFERROR(VLOOKUP(E1388,VOL_REC[],2,FALSE),0)</f>
        <v>0</v>
      </c>
      <c r="AV1388" s="246">
        <f>IFERROR(VLOOKUP(F1388,VOL_REC[],2,FALSE),0)</f>
        <v>11089674.200000001</v>
      </c>
      <c r="AW1388" s="246">
        <f>IFERROR(VLOOKUP(G1388,VOL_REC[],2,FALSE),0)</f>
        <v>4325103.1812214684</v>
      </c>
      <c r="AX1388" s="246">
        <f>IFERROR(VLOOKUP(H1388,VOL_REC[],2,FALSE),0)</f>
        <v>1812240</v>
      </c>
      <c r="AY1388" s="246">
        <f>IFERROR(VLOOKUP(I1388,VOL_REC[],2,FALSE),0)</f>
        <v>240696.79238099116</v>
      </c>
      <c r="AZ1388" s="246">
        <f>IFERROR(VLOOKUP(J1388,VOL_REC[],2,FALSE),0)</f>
        <v>17074.045034105649</v>
      </c>
      <c r="BA1388" s="246">
        <f>IFERROR(VLOOKUP(K1388,VOL_REC[],2,FALSE),0)</f>
        <v>105072</v>
      </c>
      <c r="BB1388" s="246">
        <f>IFERROR(VLOOKUP(L1388,VOL_REC[],2,FALSE),0)</f>
        <v>1072354.9981737854</v>
      </c>
      <c r="BC1388" s="246">
        <f>IFERROR(VLOOKUP(M1388,VOL_REC[],2,FALSE),0)</f>
        <v>0</v>
      </c>
      <c r="BD1388" s="246">
        <f>IFERROR(VLOOKUP(N1388,VOL_REC[],2,FALSE),0)</f>
        <v>0</v>
      </c>
      <c r="BE1388" s="246">
        <f>IFERROR(VLOOKUP(O1388,VOL_REC[],2,FALSE),0)</f>
        <v>0</v>
      </c>
      <c r="BF1388" s="246">
        <f>IFERROR(VLOOKUP(P1388,VOL_REC[],2,FALSE),0)</f>
        <v>0</v>
      </c>
      <c r="BG1388" s="246">
        <f>IFERROR(VLOOKUP(Q1388,VOL_REC[],2,FALSE),0)</f>
        <v>0</v>
      </c>
      <c r="BH1388" s="1710">
        <f t="shared" si="84"/>
        <v>17885801313.094032</v>
      </c>
      <c r="BI1388" s="1710">
        <f t="shared" si="85"/>
        <v>16651312957.969919</v>
      </c>
      <c r="BJ1388" s="1711">
        <f t="shared" si="86"/>
        <v>18662215.216810353</v>
      </c>
      <c r="BK1388" s="1711">
        <f t="shared" si="87"/>
        <v>1.0741375985329278</v>
      </c>
      <c r="BL1388">
        <f>BJ1388</f>
        <v>18662215.216810353</v>
      </c>
      <c r="BO1388">
        <f>BL1388</f>
        <v>18662215.216810353</v>
      </c>
    </row>
    <row r="1389" spans="3:67" x14ac:dyDescent="0.25">
      <c r="C1389" s="246" t="s">
        <v>2739</v>
      </c>
      <c r="D1389" s="246">
        <v>1</v>
      </c>
      <c r="E1389" s="246">
        <v>2</v>
      </c>
      <c r="F1389" s="246">
        <v>3</v>
      </c>
      <c r="G1389" s="246">
        <v>5</v>
      </c>
      <c r="H1389" s="246">
        <v>10</v>
      </c>
      <c r="I1389" s="246">
        <v>12</v>
      </c>
      <c r="J1389" s="246">
        <v>14</v>
      </c>
      <c r="K1389" s="246">
        <v>15</v>
      </c>
      <c r="L1389" s="246">
        <v>17</v>
      </c>
      <c r="M1389" s="246"/>
      <c r="N1389" s="246"/>
      <c r="O1389" s="246"/>
      <c r="P1389" s="246"/>
      <c r="Q1389" s="246"/>
      <c r="R1389" s="246">
        <f>IFERROR(VLOOKUP(D1389,PROGRAMAS[],2,FALSE),0)</f>
        <v>97037803.679377079</v>
      </c>
      <c r="S1389" s="246">
        <f>IFERROR(VLOOKUP(E1389,PROGRAMAS[],2,FALSE),0)</f>
        <v>640501509.6821388</v>
      </c>
      <c r="T1389" s="246">
        <f>IFERROR(VLOOKUP(F1389,PROGRAMAS[],2,FALSE),0)</f>
        <v>3062327798.1525245</v>
      </c>
      <c r="U1389" s="246">
        <f>IFERROR(VLOOKUP(G1389,PROGRAMAS[],2,FALSE),0)</f>
        <v>1440941976.2528784</v>
      </c>
      <c r="V1389" s="246">
        <f>IFERROR(VLOOKUP(H1389,PROGRAMAS[],2,FALSE),0)</f>
        <v>4635315027.8751087</v>
      </c>
      <c r="W1389" s="246">
        <f>IFERROR(VLOOKUP(I1389,PROGRAMAS[],2,FALSE),0)</f>
        <v>764796700.79905891</v>
      </c>
      <c r="X1389" s="246">
        <f>IFERROR(VLOOKUP(J1389,PROGRAMAS[],2,FALSE),0)</f>
        <v>54223862.645839565</v>
      </c>
      <c r="Y1389" s="246">
        <f>IFERROR(VLOOKUP(K1389,PROGRAMAS[],2,FALSE),0)</f>
        <v>122159672.96346797</v>
      </c>
      <c r="Z1389" s="246">
        <f>IFERROR(VLOOKUP(L1389,PROGRAMAS[],2,FALSE),0)</f>
        <v>1892779498.5211046</v>
      </c>
      <c r="AA1389" s="246">
        <f>IFERROR(VLOOKUP(M1389,PROGRAMAS[],2,FALSE),0)</f>
        <v>0</v>
      </c>
      <c r="AB1389" s="246">
        <f>IFERROR(VLOOKUP(N1389,PROGRAMAS[],2,FALSE),0)</f>
        <v>0</v>
      </c>
      <c r="AC1389" s="246">
        <f>IFERROR(VLOOKUP(O1389,PROGRAMAS[],2,FALSE),0)</f>
        <v>0</v>
      </c>
      <c r="AD1389" s="246">
        <f>IFERROR(VLOOKUP(P1389,PROGRAMAS[],2,FALSE),0)</f>
        <v>0</v>
      </c>
      <c r="AE1389" s="246">
        <f>IFERROR(VLOOKUP(Q1389,PROGRAMAS[],2,FALSE),0)</f>
        <v>0</v>
      </c>
      <c r="AF1389" s="246">
        <f>IFERROR(VLOOKUP(D1389,PROGRAMAS[],3,FALSE),0)</f>
        <v>841888629.31080008</v>
      </c>
      <c r="AG1389" s="246">
        <f>IFERROR(VLOOKUP(E1389,PROGRAMAS[],3,FALSE),0)</f>
        <v>3848980803.1642323</v>
      </c>
      <c r="AH1389" s="246">
        <f>IFERROR(VLOOKUP(F1389,PROGRAMAS[],3,FALSE),0)</f>
        <v>3394901471.387517</v>
      </c>
      <c r="AI1389" s="246">
        <f>IFERROR(VLOOKUP(G1389,PROGRAMAS[],3,FALSE),0)</f>
        <v>1233505101.0616004</v>
      </c>
      <c r="AJ1389" s="246">
        <f>IFERROR(VLOOKUP(H1389,PROGRAMAS[],3,FALSE),0)</f>
        <v>4099471734.9978786</v>
      </c>
      <c r="AK1389" s="246">
        <f>IFERROR(VLOOKUP(I1389,PROGRAMAS[],3,FALSE),0)</f>
        <v>675517840.109828</v>
      </c>
      <c r="AL1389" s="246">
        <f>IFERROR(VLOOKUP(J1389,PROGRAMAS[],3,FALSE),0)</f>
        <v>31865326.38096505</v>
      </c>
      <c r="AM1389" s="246">
        <f>IFERROR(VLOOKUP(K1389,PROGRAMAS[],3,FALSE),0)</f>
        <v>118617452.52510804</v>
      </c>
      <c r="AN1389" s="246">
        <f>IFERROR(VLOOKUP(L1389,PROGRAMAS[],3,FALSE),0)</f>
        <v>948595847.09039903</v>
      </c>
      <c r="AO1389" s="246">
        <f>IFERROR(VLOOKUP(M1389,PROGRAMAS[],3,FALSE),0)</f>
        <v>0</v>
      </c>
      <c r="AP1389" s="246">
        <f>IFERROR(VLOOKUP(N1389,PROGRAMAS[],3,FALSE),0)</f>
        <v>0</v>
      </c>
      <c r="AQ1389" s="246">
        <f>IFERROR(VLOOKUP(O1389,PROGRAMAS[],3,FALSE),0)</f>
        <v>0</v>
      </c>
      <c r="AR1389" s="246">
        <f>IFERROR(VLOOKUP(P1389,PROGRAMAS[],3,FALSE),0)</f>
        <v>0</v>
      </c>
      <c r="AS1389" s="246">
        <f>IFERROR(VLOOKUP(Q1389,PROGRAMAS[],3,FALSE),0)</f>
        <v>0</v>
      </c>
      <c r="AT1389" s="246">
        <f>IFERROR(VLOOKUP(D1389,VOL_REC[],2,FALSE),0)</f>
        <v>0</v>
      </c>
      <c r="AU1389" s="246">
        <f>IFERROR(VLOOKUP(E1389,VOL_REC[],2,FALSE),0)</f>
        <v>0</v>
      </c>
      <c r="AV1389" s="246">
        <f>IFERROR(VLOOKUP(F1389,VOL_REC[],2,FALSE),0)</f>
        <v>11089674.200000001</v>
      </c>
      <c r="AW1389" s="246">
        <f>IFERROR(VLOOKUP(G1389,VOL_REC[],2,FALSE),0)</f>
        <v>4325103.1812214684</v>
      </c>
      <c r="AX1389" s="246">
        <f>IFERROR(VLOOKUP(H1389,VOL_REC[],2,FALSE),0)</f>
        <v>1812240</v>
      </c>
      <c r="AY1389" s="246">
        <f>IFERROR(VLOOKUP(I1389,VOL_REC[],2,FALSE),0)</f>
        <v>240696.79238099116</v>
      </c>
      <c r="AZ1389" s="246">
        <f>IFERROR(VLOOKUP(J1389,VOL_REC[],2,FALSE),0)</f>
        <v>17074.045034105649</v>
      </c>
      <c r="BA1389" s="246">
        <f>IFERROR(VLOOKUP(K1389,VOL_REC[],2,FALSE),0)</f>
        <v>105072</v>
      </c>
      <c r="BB1389" s="246">
        <f>IFERROR(VLOOKUP(L1389,VOL_REC[],2,FALSE),0)</f>
        <v>740113.98115702497</v>
      </c>
      <c r="BC1389" s="246">
        <f>IFERROR(VLOOKUP(M1389,VOL_REC[],2,FALSE),0)</f>
        <v>0</v>
      </c>
      <c r="BD1389" s="246">
        <f>IFERROR(VLOOKUP(N1389,VOL_REC[],2,FALSE),0)</f>
        <v>0</v>
      </c>
      <c r="BE1389" s="246">
        <f>IFERROR(VLOOKUP(O1389,VOL_REC[],2,FALSE),0)</f>
        <v>0</v>
      </c>
      <c r="BF1389" s="246">
        <f>IFERROR(VLOOKUP(P1389,VOL_REC[],2,FALSE),0)</f>
        <v>0</v>
      </c>
      <c r="BG1389" s="246">
        <f>IFERROR(VLOOKUP(Q1389,VOL_REC[],2,FALSE),0)</f>
        <v>0</v>
      </c>
      <c r="BH1389" s="1710">
        <f t="shared" si="84"/>
        <v>12710083850.571501</v>
      </c>
      <c r="BI1389" s="1710">
        <f t="shared" si="85"/>
        <v>15193344206.028328</v>
      </c>
      <c r="BJ1389" s="1711">
        <f t="shared" si="86"/>
        <v>18329974.199793592</v>
      </c>
      <c r="BK1389" s="1711">
        <f t="shared" si="87"/>
        <v>0.83655603915880916</v>
      </c>
    </row>
    <row r="1390" spans="3:67" x14ac:dyDescent="0.25">
      <c r="C1390" s="246" t="s">
        <v>2740</v>
      </c>
      <c r="D1390" s="246">
        <v>1</v>
      </c>
      <c r="E1390" s="246">
        <v>2</v>
      </c>
      <c r="F1390" s="246">
        <v>3</v>
      </c>
      <c r="G1390" s="246">
        <v>5</v>
      </c>
      <c r="H1390" s="246">
        <v>10</v>
      </c>
      <c r="I1390" s="246">
        <v>12</v>
      </c>
      <c r="J1390" s="246">
        <v>14</v>
      </c>
      <c r="K1390" s="246">
        <v>16</v>
      </c>
      <c r="L1390" s="246">
        <v>17</v>
      </c>
      <c r="M1390" s="246"/>
      <c r="N1390" s="246"/>
      <c r="O1390" s="246"/>
      <c r="P1390" s="246"/>
      <c r="Q1390" s="246"/>
      <c r="R1390" s="246">
        <f>IFERROR(VLOOKUP(D1390,PROGRAMAS[],2,FALSE),0)</f>
        <v>97037803.679377079</v>
      </c>
      <c r="S1390" s="246">
        <f>IFERROR(VLOOKUP(E1390,PROGRAMAS[],2,FALSE),0)</f>
        <v>640501509.6821388</v>
      </c>
      <c r="T1390" s="246">
        <f>IFERROR(VLOOKUP(F1390,PROGRAMAS[],2,FALSE),0)</f>
        <v>3062327798.1525245</v>
      </c>
      <c r="U1390" s="246">
        <f>IFERROR(VLOOKUP(G1390,PROGRAMAS[],2,FALSE),0)</f>
        <v>1440941976.2528784</v>
      </c>
      <c r="V1390" s="246">
        <f>IFERROR(VLOOKUP(H1390,PROGRAMAS[],2,FALSE),0)</f>
        <v>4635315027.8751087</v>
      </c>
      <c r="W1390" s="246">
        <f>IFERROR(VLOOKUP(I1390,PROGRAMAS[],2,FALSE),0)</f>
        <v>764796700.79905891</v>
      </c>
      <c r="X1390" s="246">
        <f>IFERROR(VLOOKUP(J1390,PROGRAMAS[],2,FALSE),0)</f>
        <v>54223862.645839565</v>
      </c>
      <c r="Y1390" s="246">
        <f>IFERROR(VLOOKUP(K1390,PROGRAMAS[],2,FALSE),0)</f>
        <v>7068496961.0436354</v>
      </c>
      <c r="Z1390" s="246">
        <f>IFERROR(VLOOKUP(L1390,PROGRAMAS[],2,FALSE),0)</f>
        <v>1892779498.5211046</v>
      </c>
      <c r="AA1390" s="246">
        <f>IFERROR(VLOOKUP(M1390,PROGRAMAS[],2,FALSE),0)</f>
        <v>0</v>
      </c>
      <c r="AB1390" s="246">
        <f>IFERROR(VLOOKUP(N1390,PROGRAMAS[],2,FALSE),0)</f>
        <v>0</v>
      </c>
      <c r="AC1390" s="246">
        <f>IFERROR(VLOOKUP(O1390,PROGRAMAS[],2,FALSE),0)</f>
        <v>0</v>
      </c>
      <c r="AD1390" s="246">
        <f>IFERROR(VLOOKUP(P1390,PROGRAMAS[],2,FALSE),0)</f>
        <v>0</v>
      </c>
      <c r="AE1390" s="246">
        <f>IFERROR(VLOOKUP(Q1390,PROGRAMAS[],2,FALSE),0)</f>
        <v>0</v>
      </c>
      <c r="AF1390" s="246">
        <f>IFERROR(VLOOKUP(D1390,PROGRAMAS[],3,FALSE),0)</f>
        <v>841888629.31080008</v>
      </c>
      <c r="AG1390" s="246">
        <f>IFERROR(VLOOKUP(E1390,PROGRAMAS[],3,FALSE),0)</f>
        <v>3848980803.1642323</v>
      </c>
      <c r="AH1390" s="246">
        <f>IFERROR(VLOOKUP(F1390,PROGRAMAS[],3,FALSE),0)</f>
        <v>3394901471.387517</v>
      </c>
      <c r="AI1390" s="246">
        <f>IFERROR(VLOOKUP(G1390,PROGRAMAS[],3,FALSE),0)</f>
        <v>1233505101.0616004</v>
      </c>
      <c r="AJ1390" s="246">
        <f>IFERROR(VLOOKUP(H1390,PROGRAMAS[],3,FALSE),0)</f>
        <v>4099471734.9978786</v>
      </c>
      <c r="AK1390" s="246">
        <f>IFERROR(VLOOKUP(I1390,PROGRAMAS[],3,FALSE),0)</f>
        <v>675517840.109828</v>
      </c>
      <c r="AL1390" s="246">
        <f>IFERROR(VLOOKUP(J1390,PROGRAMAS[],3,FALSE),0)</f>
        <v>31865326.38096505</v>
      </c>
      <c r="AM1390" s="246">
        <f>IFERROR(VLOOKUP(K1390,PROGRAMAS[],3,FALSE),0)</f>
        <v>2406564599.0319901</v>
      </c>
      <c r="AN1390" s="246">
        <f>IFERROR(VLOOKUP(L1390,PROGRAMAS[],3,FALSE),0)</f>
        <v>948595847.09039903</v>
      </c>
      <c r="AO1390" s="246">
        <f>IFERROR(VLOOKUP(M1390,PROGRAMAS[],3,FALSE),0)</f>
        <v>0</v>
      </c>
      <c r="AP1390" s="246">
        <f>IFERROR(VLOOKUP(N1390,PROGRAMAS[],3,FALSE),0)</f>
        <v>0</v>
      </c>
      <c r="AQ1390" s="246">
        <f>IFERROR(VLOOKUP(O1390,PROGRAMAS[],3,FALSE),0)</f>
        <v>0</v>
      </c>
      <c r="AR1390" s="246">
        <f>IFERROR(VLOOKUP(P1390,PROGRAMAS[],3,FALSE),0)</f>
        <v>0</v>
      </c>
      <c r="AS1390" s="246">
        <f>IFERROR(VLOOKUP(Q1390,PROGRAMAS[],3,FALSE),0)</f>
        <v>0</v>
      </c>
      <c r="AT1390" s="246">
        <f>IFERROR(VLOOKUP(D1390,VOL_REC[],2,FALSE),0)</f>
        <v>0</v>
      </c>
      <c r="AU1390" s="246">
        <f>IFERROR(VLOOKUP(E1390,VOL_REC[],2,FALSE),0)</f>
        <v>0</v>
      </c>
      <c r="AV1390" s="246">
        <f>IFERROR(VLOOKUP(F1390,VOL_REC[],2,FALSE),0)</f>
        <v>11089674.200000001</v>
      </c>
      <c r="AW1390" s="246">
        <f>IFERROR(VLOOKUP(G1390,VOL_REC[],2,FALSE),0)</f>
        <v>4325103.1812214684</v>
      </c>
      <c r="AX1390" s="246">
        <f>IFERROR(VLOOKUP(H1390,VOL_REC[],2,FALSE),0)</f>
        <v>1812240</v>
      </c>
      <c r="AY1390" s="246">
        <f>IFERROR(VLOOKUP(I1390,VOL_REC[],2,FALSE),0)</f>
        <v>240696.79238099116</v>
      </c>
      <c r="AZ1390" s="246">
        <f>IFERROR(VLOOKUP(J1390,VOL_REC[],2,FALSE),0)</f>
        <v>17074.045034105649</v>
      </c>
      <c r="BA1390" s="246">
        <f>IFERROR(VLOOKUP(K1390,VOL_REC[],2,FALSE),0)</f>
        <v>1072354.9981737854</v>
      </c>
      <c r="BB1390" s="246">
        <f>IFERROR(VLOOKUP(L1390,VOL_REC[],2,FALSE),0)</f>
        <v>740113.98115702497</v>
      </c>
      <c r="BC1390" s="246">
        <f>IFERROR(VLOOKUP(M1390,VOL_REC[],2,FALSE),0)</f>
        <v>0</v>
      </c>
      <c r="BD1390" s="246">
        <f>IFERROR(VLOOKUP(N1390,VOL_REC[],2,FALSE),0)</f>
        <v>0</v>
      </c>
      <c r="BE1390" s="246">
        <f>IFERROR(VLOOKUP(O1390,VOL_REC[],2,FALSE),0)</f>
        <v>0</v>
      </c>
      <c r="BF1390" s="246">
        <f>IFERROR(VLOOKUP(P1390,VOL_REC[],2,FALSE),0)</f>
        <v>0</v>
      </c>
      <c r="BG1390" s="246">
        <f>IFERROR(VLOOKUP(Q1390,VOL_REC[],2,FALSE),0)</f>
        <v>0</v>
      </c>
      <c r="BH1390" s="1710">
        <f t="shared" si="84"/>
        <v>19656421138.651665</v>
      </c>
      <c r="BI1390" s="1710">
        <f t="shared" si="85"/>
        <v>17481291352.53521</v>
      </c>
      <c r="BJ1390" s="1711">
        <f t="shared" si="86"/>
        <v>19297257.197967377</v>
      </c>
      <c r="BK1390" s="1711">
        <f t="shared" si="87"/>
        <v>1.1244261503484987</v>
      </c>
      <c r="BL1390">
        <f>BJ1390</f>
        <v>19297257.197967377</v>
      </c>
      <c r="BO1390">
        <f>BL1390</f>
        <v>19297257.197967377</v>
      </c>
    </row>
    <row r="1391" spans="3:67" x14ac:dyDescent="0.25">
      <c r="C1391" s="246" t="s">
        <v>2741</v>
      </c>
      <c r="D1391" s="246">
        <v>1</v>
      </c>
      <c r="E1391" s="246">
        <v>2</v>
      </c>
      <c r="F1391" s="246">
        <v>3</v>
      </c>
      <c r="G1391" s="246">
        <v>5</v>
      </c>
      <c r="H1391" s="246">
        <v>10</v>
      </c>
      <c r="I1391" s="246">
        <v>12</v>
      </c>
      <c r="J1391" s="246">
        <v>15</v>
      </c>
      <c r="K1391" s="246">
        <v>16</v>
      </c>
      <c r="L1391" s="246">
        <v>17</v>
      </c>
      <c r="M1391" s="246"/>
      <c r="N1391" s="246"/>
      <c r="O1391" s="246"/>
      <c r="P1391" s="246"/>
      <c r="Q1391" s="246"/>
      <c r="R1391" s="246">
        <f>IFERROR(VLOOKUP(D1391,PROGRAMAS[],2,FALSE),0)</f>
        <v>97037803.679377079</v>
      </c>
      <c r="S1391" s="246">
        <f>IFERROR(VLOOKUP(E1391,PROGRAMAS[],2,FALSE),0)</f>
        <v>640501509.6821388</v>
      </c>
      <c r="T1391" s="246">
        <f>IFERROR(VLOOKUP(F1391,PROGRAMAS[],2,FALSE),0)</f>
        <v>3062327798.1525245</v>
      </c>
      <c r="U1391" s="246">
        <f>IFERROR(VLOOKUP(G1391,PROGRAMAS[],2,FALSE),0)</f>
        <v>1440941976.2528784</v>
      </c>
      <c r="V1391" s="246">
        <f>IFERROR(VLOOKUP(H1391,PROGRAMAS[],2,FALSE),0)</f>
        <v>4635315027.8751087</v>
      </c>
      <c r="W1391" s="246">
        <f>IFERROR(VLOOKUP(I1391,PROGRAMAS[],2,FALSE),0)</f>
        <v>764796700.79905891</v>
      </c>
      <c r="X1391" s="246">
        <f>IFERROR(VLOOKUP(J1391,PROGRAMAS[],2,FALSE),0)</f>
        <v>122159672.96346797</v>
      </c>
      <c r="Y1391" s="246">
        <f>IFERROR(VLOOKUP(K1391,PROGRAMAS[],2,FALSE),0)</f>
        <v>7068496961.0436354</v>
      </c>
      <c r="Z1391" s="246">
        <f>IFERROR(VLOOKUP(L1391,PROGRAMAS[],2,FALSE),0)</f>
        <v>1892779498.5211046</v>
      </c>
      <c r="AA1391" s="246">
        <f>IFERROR(VLOOKUP(M1391,PROGRAMAS[],2,FALSE),0)</f>
        <v>0</v>
      </c>
      <c r="AB1391" s="246">
        <f>IFERROR(VLOOKUP(N1391,PROGRAMAS[],2,FALSE),0)</f>
        <v>0</v>
      </c>
      <c r="AC1391" s="246">
        <f>IFERROR(VLOOKUP(O1391,PROGRAMAS[],2,FALSE),0)</f>
        <v>0</v>
      </c>
      <c r="AD1391" s="246">
        <f>IFERROR(VLOOKUP(P1391,PROGRAMAS[],2,FALSE),0)</f>
        <v>0</v>
      </c>
      <c r="AE1391" s="246">
        <f>IFERROR(VLOOKUP(Q1391,PROGRAMAS[],2,FALSE),0)</f>
        <v>0</v>
      </c>
      <c r="AF1391" s="246">
        <f>IFERROR(VLOOKUP(D1391,PROGRAMAS[],3,FALSE),0)</f>
        <v>841888629.31080008</v>
      </c>
      <c r="AG1391" s="246">
        <f>IFERROR(VLOOKUP(E1391,PROGRAMAS[],3,FALSE),0)</f>
        <v>3848980803.1642323</v>
      </c>
      <c r="AH1391" s="246">
        <f>IFERROR(VLOOKUP(F1391,PROGRAMAS[],3,FALSE),0)</f>
        <v>3394901471.387517</v>
      </c>
      <c r="AI1391" s="246">
        <f>IFERROR(VLOOKUP(G1391,PROGRAMAS[],3,FALSE),0)</f>
        <v>1233505101.0616004</v>
      </c>
      <c r="AJ1391" s="246">
        <f>IFERROR(VLOOKUP(H1391,PROGRAMAS[],3,FALSE),0)</f>
        <v>4099471734.9978786</v>
      </c>
      <c r="AK1391" s="246">
        <f>IFERROR(VLOOKUP(I1391,PROGRAMAS[],3,FALSE),0)</f>
        <v>675517840.109828</v>
      </c>
      <c r="AL1391" s="246">
        <f>IFERROR(VLOOKUP(J1391,PROGRAMAS[],3,FALSE),0)</f>
        <v>118617452.52510804</v>
      </c>
      <c r="AM1391" s="246">
        <f>IFERROR(VLOOKUP(K1391,PROGRAMAS[],3,FALSE),0)</f>
        <v>2406564599.0319901</v>
      </c>
      <c r="AN1391" s="246">
        <f>IFERROR(VLOOKUP(L1391,PROGRAMAS[],3,FALSE),0)</f>
        <v>948595847.09039903</v>
      </c>
      <c r="AO1391" s="246">
        <f>IFERROR(VLOOKUP(M1391,PROGRAMAS[],3,FALSE),0)</f>
        <v>0</v>
      </c>
      <c r="AP1391" s="246">
        <f>IFERROR(VLOOKUP(N1391,PROGRAMAS[],3,FALSE),0)</f>
        <v>0</v>
      </c>
      <c r="AQ1391" s="246">
        <f>IFERROR(VLOOKUP(O1391,PROGRAMAS[],3,FALSE),0)</f>
        <v>0</v>
      </c>
      <c r="AR1391" s="246">
        <f>IFERROR(VLOOKUP(P1391,PROGRAMAS[],3,FALSE),0)</f>
        <v>0</v>
      </c>
      <c r="AS1391" s="246">
        <f>IFERROR(VLOOKUP(Q1391,PROGRAMAS[],3,FALSE),0)</f>
        <v>0</v>
      </c>
      <c r="AT1391" s="246">
        <f>IFERROR(VLOOKUP(D1391,VOL_REC[],2,FALSE),0)</f>
        <v>0</v>
      </c>
      <c r="AU1391" s="246">
        <f>IFERROR(VLOOKUP(E1391,VOL_REC[],2,FALSE),0)</f>
        <v>0</v>
      </c>
      <c r="AV1391" s="246">
        <f>IFERROR(VLOOKUP(F1391,VOL_REC[],2,FALSE),0)</f>
        <v>11089674.200000001</v>
      </c>
      <c r="AW1391" s="246">
        <f>IFERROR(VLOOKUP(G1391,VOL_REC[],2,FALSE),0)</f>
        <v>4325103.1812214684</v>
      </c>
      <c r="AX1391" s="246">
        <f>IFERROR(VLOOKUP(H1391,VOL_REC[],2,FALSE),0)</f>
        <v>1812240</v>
      </c>
      <c r="AY1391" s="246">
        <f>IFERROR(VLOOKUP(I1391,VOL_REC[],2,FALSE),0)</f>
        <v>240696.79238099116</v>
      </c>
      <c r="AZ1391" s="246">
        <f>IFERROR(VLOOKUP(J1391,VOL_REC[],2,FALSE),0)</f>
        <v>105072</v>
      </c>
      <c r="BA1391" s="246">
        <f>IFERROR(VLOOKUP(K1391,VOL_REC[],2,FALSE),0)</f>
        <v>1072354.9981737854</v>
      </c>
      <c r="BB1391" s="246">
        <f>IFERROR(VLOOKUP(L1391,VOL_REC[],2,FALSE),0)</f>
        <v>740113.98115702497</v>
      </c>
      <c r="BC1391" s="246">
        <f>IFERROR(VLOOKUP(M1391,VOL_REC[],2,FALSE),0)</f>
        <v>0</v>
      </c>
      <c r="BD1391" s="246">
        <f>IFERROR(VLOOKUP(N1391,VOL_REC[],2,FALSE),0)</f>
        <v>0</v>
      </c>
      <c r="BE1391" s="246">
        <f>IFERROR(VLOOKUP(O1391,VOL_REC[],2,FALSE),0)</f>
        <v>0</v>
      </c>
      <c r="BF1391" s="246">
        <f>IFERROR(VLOOKUP(P1391,VOL_REC[],2,FALSE),0)</f>
        <v>0</v>
      </c>
      <c r="BG1391" s="246">
        <f>IFERROR(VLOOKUP(Q1391,VOL_REC[],2,FALSE),0)</f>
        <v>0</v>
      </c>
      <c r="BH1391" s="1710">
        <f t="shared" si="84"/>
        <v>19724356948.969296</v>
      </c>
      <c r="BI1391" s="1710">
        <f t="shared" si="85"/>
        <v>17568043478.679356</v>
      </c>
      <c r="BJ1391" s="1711">
        <f t="shared" si="86"/>
        <v>19385255.15293327</v>
      </c>
      <c r="BK1391" s="1711">
        <f t="shared" si="87"/>
        <v>1.1227406724548952</v>
      </c>
      <c r="BL1391">
        <f>BJ1391</f>
        <v>19385255.15293327</v>
      </c>
      <c r="BO1391">
        <f>BL1391</f>
        <v>19385255.15293327</v>
      </c>
    </row>
    <row r="1392" spans="3:67" x14ac:dyDescent="0.25">
      <c r="C1392" s="246" t="s">
        <v>2742</v>
      </c>
      <c r="D1392" s="246">
        <v>1</v>
      </c>
      <c r="E1392" s="246">
        <v>2</v>
      </c>
      <c r="F1392" s="246">
        <v>3</v>
      </c>
      <c r="G1392" s="246">
        <v>5</v>
      </c>
      <c r="H1392" s="246">
        <v>10</v>
      </c>
      <c r="I1392" s="246">
        <v>13</v>
      </c>
      <c r="J1392" s="246">
        <v>14</v>
      </c>
      <c r="K1392" s="246">
        <v>15</v>
      </c>
      <c r="L1392" s="246">
        <v>16</v>
      </c>
      <c r="M1392" s="246"/>
      <c r="N1392" s="246"/>
      <c r="O1392" s="246"/>
      <c r="P1392" s="246"/>
      <c r="Q1392" s="246"/>
      <c r="R1392" s="246">
        <f>IFERROR(VLOOKUP(D1392,PROGRAMAS[],2,FALSE),0)</f>
        <v>97037803.679377079</v>
      </c>
      <c r="S1392" s="246">
        <f>IFERROR(VLOOKUP(E1392,PROGRAMAS[],2,FALSE),0)</f>
        <v>640501509.6821388</v>
      </c>
      <c r="T1392" s="246">
        <f>IFERROR(VLOOKUP(F1392,PROGRAMAS[],2,FALSE),0)</f>
        <v>3062327798.1525245</v>
      </c>
      <c r="U1392" s="246">
        <f>IFERROR(VLOOKUP(G1392,PROGRAMAS[],2,FALSE),0)</f>
        <v>1440941976.2528784</v>
      </c>
      <c r="V1392" s="246">
        <f>IFERROR(VLOOKUP(H1392,PROGRAMAS[],2,FALSE),0)</f>
        <v>4635315027.8751087</v>
      </c>
      <c r="W1392" s="246">
        <f>IFERROR(VLOOKUP(I1392,PROGRAMAS[],2,FALSE),0)</f>
        <v>3776538594.4604583</v>
      </c>
      <c r="X1392" s="246">
        <f>IFERROR(VLOOKUP(J1392,PROGRAMAS[],2,FALSE),0)</f>
        <v>54223862.645839565</v>
      </c>
      <c r="Y1392" s="246">
        <f>IFERROR(VLOOKUP(K1392,PROGRAMAS[],2,FALSE),0)</f>
        <v>122159672.96346797</v>
      </c>
      <c r="Z1392" s="246">
        <f>IFERROR(VLOOKUP(L1392,PROGRAMAS[],2,FALSE),0)</f>
        <v>7068496961.0436354</v>
      </c>
      <c r="AA1392" s="246">
        <f>IFERROR(VLOOKUP(M1392,PROGRAMAS[],2,FALSE),0)</f>
        <v>0</v>
      </c>
      <c r="AB1392" s="246">
        <f>IFERROR(VLOOKUP(N1392,PROGRAMAS[],2,FALSE),0)</f>
        <v>0</v>
      </c>
      <c r="AC1392" s="246">
        <f>IFERROR(VLOOKUP(O1392,PROGRAMAS[],2,FALSE),0)</f>
        <v>0</v>
      </c>
      <c r="AD1392" s="246">
        <f>IFERROR(VLOOKUP(P1392,PROGRAMAS[],2,FALSE),0)</f>
        <v>0</v>
      </c>
      <c r="AE1392" s="246">
        <f>IFERROR(VLOOKUP(Q1392,PROGRAMAS[],2,FALSE),0)</f>
        <v>0</v>
      </c>
      <c r="AF1392" s="246">
        <f>IFERROR(VLOOKUP(D1392,PROGRAMAS[],3,FALSE),0)</f>
        <v>841888629.31080008</v>
      </c>
      <c r="AG1392" s="246">
        <f>IFERROR(VLOOKUP(E1392,PROGRAMAS[],3,FALSE),0)</f>
        <v>3848980803.1642323</v>
      </c>
      <c r="AH1392" s="246">
        <f>IFERROR(VLOOKUP(F1392,PROGRAMAS[],3,FALSE),0)</f>
        <v>3394901471.387517</v>
      </c>
      <c r="AI1392" s="246">
        <f>IFERROR(VLOOKUP(G1392,PROGRAMAS[],3,FALSE),0)</f>
        <v>1233505101.0616004</v>
      </c>
      <c r="AJ1392" s="246">
        <f>IFERROR(VLOOKUP(H1392,PROGRAMAS[],3,FALSE),0)</f>
        <v>4099471734.9978786</v>
      </c>
      <c r="AK1392" s="246">
        <f>IFERROR(VLOOKUP(I1392,PROGRAMAS[],3,FALSE),0)</f>
        <v>2392571243.5584412</v>
      </c>
      <c r="AL1392" s="246">
        <f>IFERROR(VLOOKUP(J1392,PROGRAMAS[],3,FALSE),0)</f>
        <v>31865326.38096505</v>
      </c>
      <c r="AM1392" s="246">
        <f>IFERROR(VLOOKUP(K1392,PROGRAMAS[],3,FALSE),0)</f>
        <v>118617452.52510804</v>
      </c>
      <c r="AN1392" s="246">
        <f>IFERROR(VLOOKUP(L1392,PROGRAMAS[],3,FALSE),0)</f>
        <v>2406564599.0319901</v>
      </c>
      <c r="AO1392" s="246">
        <f>IFERROR(VLOOKUP(M1392,PROGRAMAS[],3,FALSE),0)</f>
        <v>0</v>
      </c>
      <c r="AP1392" s="246">
        <f>IFERROR(VLOOKUP(N1392,PROGRAMAS[],3,FALSE),0)</f>
        <v>0</v>
      </c>
      <c r="AQ1392" s="246">
        <f>IFERROR(VLOOKUP(O1392,PROGRAMAS[],3,FALSE),0)</f>
        <v>0</v>
      </c>
      <c r="AR1392" s="246">
        <f>IFERROR(VLOOKUP(P1392,PROGRAMAS[],3,FALSE),0)</f>
        <v>0</v>
      </c>
      <c r="AS1392" s="246">
        <f>IFERROR(VLOOKUP(Q1392,PROGRAMAS[],3,FALSE),0)</f>
        <v>0</v>
      </c>
      <c r="AT1392" s="246">
        <f>IFERROR(VLOOKUP(D1392,VOL_REC[],2,FALSE),0)</f>
        <v>0</v>
      </c>
      <c r="AU1392" s="246">
        <f>IFERROR(VLOOKUP(E1392,VOL_REC[],2,FALSE),0)</f>
        <v>0</v>
      </c>
      <c r="AV1392" s="246">
        <f>IFERROR(VLOOKUP(F1392,VOL_REC[],2,FALSE),0)</f>
        <v>11089674.200000001</v>
      </c>
      <c r="AW1392" s="246">
        <f>IFERROR(VLOOKUP(G1392,VOL_REC[],2,FALSE),0)</f>
        <v>4325103.1812214684</v>
      </c>
      <c r="AX1392" s="246">
        <f>IFERROR(VLOOKUP(H1392,VOL_REC[],2,FALSE),0)</f>
        <v>1812240</v>
      </c>
      <c r="AY1392" s="246">
        <f>IFERROR(VLOOKUP(I1392,VOL_REC[],2,FALSE),0)</f>
        <v>663244.80000000016</v>
      </c>
      <c r="AZ1392" s="246">
        <f>IFERROR(VLOOKUP(J1392,VOL_REC[],2,FALSE),0)</f>
        <v>17074.045034105649</v>
      </c>
      <c r="BA1392" s="246">
        <f>IFERROR(VLOOKUP(K1392,VOL_REC[],2,FALSE),0)</f>
        <v>105072</v>
      </c>
      <c r="BB1392" s="246">
        <f>IFERROR(VLOOKUP(L1392,VOL_REC[],2,FALSE),0)</f>
        <v>1072354.9981737854</v>
      </c>
      <c r="BC1392" s="246">
        <f>IFERROR(VLOOKUP(M1392,VOL_REC[],2,FALSE),0)</f>
        <v>0</v>
      </c>
      <c r="BD1392" s="246">
        <f>IFERROR(VLOOKUP(N1392,VOL_REC[],2,FALSE),0)</f>
        <v>0</v>
      </c>
      <c r="BE1392" s="246">
        <f>IFERROR(VLOOKUP(O1392,VOL_REC[],2,FALSE),0)</f>
        <v>0</v>
      </c>
      <c r="BF1392" s="246">
        <f>IFERROR(VLOOKUP(P1392,VOL_REC[],2,FALSE),0)</f>
        <v>0</v>
      </c>
      <c r="BG1392" s="246">
        <f>IFERROR(VLOOKUP(Q1392,VOL_REC[],2,FALSE),0)</f>
        <v>0</v>
      </c>
      <c r="BH1392" s="1710">
        <f t="shared" si="84"/>
        <v>20897543206.755432</v>
      </c>
      <c r="BI1392" s="1710">
        <f t="shared" si="85"/>
        <v>18368366361.418533</v>
      </c>
      <c r="BJ1392" s="1711">
        <f t="shared" si="86"/>
        <v>19084763.224429362</v>
      </c>
      <c r="BK1392" s="1711">
        <f t="shared" si="87"/>
        <v>1.1376919860793531</v>
      </c>
      <c r="BL1392">
        <f>BJ1392</f>
        <v>19084763.224429362</v>
      </c>
      <c r="BO1392">
        <f>BL1392</f>
        <v>19084763.224429362</v>
      </c>
    </row>
    <row r="1393" spans="3:67" x14ac:dyDescent="0.25">
      <c r="C1393" s="246" t="s">
        <v>2743</v>
      </c>
      <c r="D1393" s="246">
        <v>1</v>
      </c>
      <c r="E1393" s="246">
        <v>2</v>
      </c>
      <c r="F1393" s="246">
        <v>3</v>
      </c>
      <c r="G1393" s="246">
        <v>5</v>
      </c>
      <c r="H1393" s="246">
        <v>10</v>
      </c>
      <c r="I1393" s="246">
        <v>13</v>
      </c>
      <c r="J1393" s="246">
        <v>14</v>
      </c>
      <c r="K1393" s="246">
        <v>15</v>
      </c>
      <c r="L1393" s="246">
        <v>17</v>
      </c>
      <c r="M1393" s="246"/>
      <c r="N1393" s="246"/>
      <c r="O1393" s="246"/>
      <c r="P1393" s="246"/>
      <c r="Q1393" s="246"/>
      <c r="R1393" s="246">
        <f>IFERROR(VLOOKUP(D1393,PROGRAMAS[],2,FALSE),0)</f>
        <v>97037803.679377079</v>
      </c>
      <c r="S1393" s="246">
        <f>IFERROR(VLOOKUP(E1393,PROGRAMAS[],2,FALSE),0)</f>
        <v>640501509.6821388</v>
      </c>
      <c r="T1393" s="246">
        <f>IFERROR(VLOOKUP(F1393,PROGRAMAS[],2,FALSE),0)</f>
        <v>3062327798.1525245</v>
      </c>
      <c r="U1393" s="246">
        <f>IFERROR(VLOOKUP(G1393,PROGRAMAS[],2,FALSE),0)</f>
        <v>1440941976.2528784</v>
      </c>
      <c r="V1393" s="246">
        <f>IFERROR(VLOOKUP(H1393,PROGRAMAS[],2,FALSE),0)</f>
        <v>4635315027.8751087</v>
      </c>
      <c r="W1393" s="246">
        <f>IFERROR(VLOOKUP(I1393,PROGRAMAS[],2,FALSE),0)</f>
        <v>3776538594.4604583</v>
      </c>
      <c r="X1393" s="246">
        <f>IFERROR(VLOOKUP(J1393,PROGRAMAS[],2,FALSE),0)</f>
        <v>54223862.645839565</v>
      </c>
      <c r="Y1393" s="246">
        <f>IFERROR(VLOOKUP(K1393,PROGRAMAS[],2,FALSE),0)</f>
        <v>122159672.96346797</v>
      </c>
      <c r="Z1393" s="246">
        <f>IFERROR(VLOOKUP(L1393,PROGRAMAS[],2,FALSE),0)</f>
        <v>1892779498.5211046</v>
      </c>
      <c r="AA1393" s="246">
        <f>IFERROR(VLOOKUP(M1393,PROGRAMAS[],2,FALSE),0)</f>
        <v>0</v>
      </c>
      <c r="AB1393" s="246">
        <f>IFERROR(VLOOKUP(N1393,PROGRAMAS[],2,FALSE),0)</f>
        <v>0</v>
      </c>
      <c r="AC1393" s="246">
        <f>IFERROR(VLOOKUP(O1393,PROGRAMAS[],2,FALSE),0)</f>
        <v>0</v>
      </c>
      <c r="AD1393" s="246">
        <f>IFERROR(VLOOKUP(P1393,PROGRAMAS[],2,FALSE),0)</f>
        <v>0</v>
      </c>
      <c r="AE1393" s="246">
        <f>IFERROR(VLOOKUP(Q1393,PROGRAMAS[],2,FALSE),0)</f>
        <v>0</v>
      </c>
      <c r="AF1393" s="246">
        <f>IFERROR(VLOOKUP(D1393,PROGRAMAS[],3,FALSE),0)</f>
        <v>841888629.31080008</v>
      </c>
      <c r="AG1393" s="246">
        <f>IFERROR(VLOOKUP(E1393,PROGRAMAS[],3,FALSE),0)</f>
        <v>3848980803.1642323</v>
      </c>
      <c r="AH1393" s="246">
        <f>IFERROR(VLOOKUP(F1393,PROGRAMAS[],3,FALSE),0)</f>
        <v>3394901471.387517</v>
      </c>
      <c r="AI1393" s="246">
        <f>IFERROR(VLOOKUP(G1393,PROGRAMAS[],3,FALSE),0)</f>
        <v>1233505101.0616004</v>
      </c>
      <c r="AJ1393" s="246">
        <f>IFERROR(VLOOKUP(H1393,PROGRAMAS[],3,FALSE),0)</f>
        <v>4099471734.9978786</v>
      </c>
      <c r="AK1393" s="246">
        <f>IFERROR(VLOOKUP(I1393,PROGRAMAS[],3,FALSE),0)</f>
        <v>2392571243.5584412</v>
      </c>
      <c r="AL1393" s="246">
        <f>IFERROR(VLOOKUP(J1393,PROGRAMAS[],3,FALSE),0)</f>
        <v>31865326.38096505</v>
      </c>
      <c r="AM1393" s="246">
        <f>IFERROR(VLOOKUP(K1393,PROGRAMAS[],3,FALSE),0)</f>
        <v>118617452.52510804</v>
      </c>
      <c r="AN1393" s="246">
        <f>IFERROR(VLOOKUP(L1393,PROGRAMAS[],3,FALSE),0)</f>
        <v>948595847.09039903</v>
      </c>
      <c r="AO1393" s="246">
        <f>IFERROR(VLOOKUP(M1393,PROGRAMAS[],3,FALSE),0)</f>
        <v>0</v>
      </c>
      <c r="AP1393" s="246">
        <f>IFERROR(VLOOKUP(N1393,PROGRAMAS[],3,FALSE),0)</f>
        <v>0</v>
      </c>
      <c r="AQ1393" s="246">
        <f>IFERROR(VLOOKUP(O1393,PROGRAMAS[],3,FALSE),0)</f>
        <v>0</v>
      </c>
      <c r="AR1393" s="246">
        <f>IFERROR(VLOOKUP(P1393,PROGRAMAS[],3,FALSE),0)</f>
        <v>0</v>
      </c>
      <c r="AS1393" s="246">
        <f>IFERROR(VLOOKUP(Q1393,PROGRAMAS[],3,FALSE),0)</f>
        <v>0</v>
      </c>
      <c r="AT1393" s="246">
        <f>IFERROR(VLOOKUP(D1393,VOL_REC[],2,FALSE),0)</f>
        <v>0</v>
      </c>
      <c r="AU1393" s="246">
        <f>IFERROR(VLOOKUP(E1393,VOL_REC[],2,FALSE),0)</f>
        <v>0</v>
      </c>
      <c r="AV1393" s="246">
        <f>IFERROR(VLOOKUP(F1393,VOL_REC[],2,FALSE),0)</f>
        <v>11089674.200000001</v>
      </c>
      <c r="AW1393" s="246">
        <f>IFERROR(VLOOKUP(G1393,VOL_REC[],2,FALSE),0)</f>
        <v>4325103.1812214684</v>
      </c>
      <c r="AX1393" s="246">
        <f>IFERROR(VLOOKUP(H1393,VOL_REC[],2,FALSE),0)</f>
        <v>1812240</v>
      </c>
      <c r="AY1393" s="246">
        <f>IFERROR(VLOOKUP(I1393,VOL_REC[],2,FALSE),0)</f>
        <v>663244.80000000016</v>
      </c>
      <c r="AZ1393" s="246">
        <f>IFERROR(VLOOKUP(J1393,VOL_REC[],2,FALSE),0)</f>
        <v>17074.045034105649</v>
      </c>
      <c r="BA1393" s="246">
        <f>IFERROR(VLOOKUP(K1393,VOL_REC[],2,FALSE),0)</f>
        <v>105072</v>
      </c>
      <c r="BB1393" s="246">
        <f>IFERROR(VLOOKUP(L1393,VOL_REC[],2,FALSE),0)</f>
        <v>740113.98115702497</v>
      </c>
      <c r="BC1393" s="246">
        <f>IFERROR(VLOOKUP(M1393,VOL_REC[],2,FALSE),0)</f>
        <v>0</v>
      </c>
      <c r="BD1393" s="246">
        <f>IFERROR(VLOOKUP(N1393,VOL_REC[],2,FALSE),0)</f>
        <v>0</v>
      </c>
      <c r="BE1393" s="246">
        <f>IFERROR(VLOOKUP(O1393,VOL_REC[],2,FALSE),0)</f>
        <v>0</v>
      </c>
      <c r="BF1393" s="246">
        <f>IFERROR(VLOOKUP(P1393,VOL_REC[],2,FALSE),0)</f>
        <v>0</v>
      </c>
      <c r="BG1393" s="246">
        <f>IFERROR(VLOOKUP(Q1393,VOL_REC[],2,FALSE),0)</f>
        <v>0</v>
      </c>
      <c r="BH1393" s="1710">
        <f t="shared" si="84"/>
        <v>15721825744.232901</v>
      </c>
      <c r="BI1393" s="1710">
        <f t="shared" si="85"/>
        <v>16910397609.476942</v>
      </c>
      <c r="BJ1393" s="1711">
        <f t="shared" si="86"/>
        <v>18752522.207412601</v>
      </c>
      <c r="BK1393" s="1711">
        <f t="shared" si="87"/>
        <v>0.92971354709140952</v>
      </c>
    </row>
    <row r="1394" spans="3:67" x14ac:dyDescent="0.25">
      <c r="C1394" s="246" t="s">
        <v>2744</v>
      </c>
      <c r="D1394" s="246">
        <v>1</v>
      </c>
      <c r="E1394" s="246">
        <v>2</v>
      </c>
      <c r="F1394" s="246">
        <v>3</v>
      </c>
      <c r="G1394" s="246">
        <v>5</v>
      </c>
      <c r="H1394" s="246">
        <v>10</v>
      </c>
      <c r="I1394" s="246">
        <v>13</v>
      </c>
      <c r="J1394" s="246">
        <v>14</v>
      </c>
      <c r="K1394" s="246">
        <v>16</v>
      </c>
      <c r="L1394" s="246">
        <v>17</v>
      </c>
      <c r="M1394" s="246"/>
      <c r="N1394" s="246"/>
      <c r="O1394" s="246"/>
      <c r="P1394" s="246"/>
      <c r="Q1394" s="246"/>
      <c r="R1394" s="246">
        <f>IFERROR(VLOOKUP(D1394,PROGRAMAS[],2,FALSE),0)</f>
        <v>97037803.679377079</v>
      </c>
      <c r="S1394" s="246">
        <f>IFERROR(VLOOKUP(E1394,PROGRAMAS[],2,FALSE),0)</f>
        <v>640501509.6821388</v>
      </c>
      <c r="T1394" s="246">
        <f>IFERROR(VLOOKUP(F1394,PROGRAMAS[],2,FALSE),0)</f>
        <v>3062327798.1525245</v>
      </c>
      <c r="U1394" s="246">
        <f>IFERROR(VLOOKUP(G1394,PROGRAMAS[],2,FALSE),0)</f>
        <v>1440941976.2528784</v>
      </c>
      <c r="V1394" s="246">
        <f>IFERROR(VLOOKUP(H1394,PROGRAMAS[],2,FALSE),0)</f>
        <v>4635315027.8751087</v>
      </c>
      <c r="W1394" s="246">
        <f>IFERROR(VLOOKUP(I1394,PROGRAMAS[],2,FALSE),0)</f>
        <v>3776538594.4604583</v>
      </c>
      <c r="X1394" s="246">
        <f>IFERROR(VLOOKUP(J1394,PROGRAMAS[],2,FALSE),0)</f>
        <v>54223862.645839565</v>
      </c>
      <c r="Y1394" s="246">
        <f>IFERROR(VLOOKUP(K1394,PROGRAMAS[],2,FALSE),0)</f>
        <v>7068496961.0436354</v>
      </c>
      <c r="Z1394" s="246">
        <f>IFERROR(VLOOKUP(L1394,PROGRAMAS[],2,FALSE),0)</f>
        <v>1892779498.5211046</v>
      </c>
      <c r="AA1394" s="246">
        <f>IFERROR(VLOOKUP(M1394,PROGRAMAS[],2,FALSE),0)</f>
        <v>0</v>
      </c>
      <c r="AB1394" s="246">
        <f>IFERROR(VLOOKUP(N1394,PROGRAMAS[],2,FALSE),0)</f>
        <v>0</v>
      </c>
      <c r="AC1394" s="246">
        <f>IFERROR(VLOOKUP(O1394,PROGRAMAS[],2,FALSE),0)</f>
        <v>0</v>
      </c>
      <c r="AD1394" s="246">
        <f>IFERROR(VLOOKUP(P1394,PROGRAMAS[],2,FALSE),0)</f>
        <v>0</v>
      </c>
      <c r="AE1394" s="246">
        <f>IFERROR(VLOOKUP(Q1394,PROGRAMAS[],2,FALSE),0)</f>
        <v>0</v>
      </c>
      <c r="AF1394" s="246">
        <f>IFERROR(VLOOKUP(D1394,PROGRAMAS[],3,FALSE),0)</f>
        <v>841888629.31080008</v>
      </c>
      <c r="AG1394" s="246">
        <f>IFERROR(VLOOKUP(E1394,PROGRAMAS[],3,FALSE),0)</f>
        <v>3848980803.1642323</v>
      </c>
      <c r="AH1394" s="246">
        <f>IFERROR(VLOOKUP(F1394,PROGRAMAS[],3,FALSE),0)</f>
        <v>3394901471.387517</v>
      </c>
      <c r="AI1394" s="246">
        <f>IFERROR(VLOOKUP(G1394,PROGRAMAS[],3,FALSE),0)</f>
        <v>1233505101.0616004</v>
      </c>
      <c r="AJ1394" s="246">
        <f>IFERROR(VLOOKUP(H1394,PROGRAMAS[],3,FALSE),0)</f>
        <v>4099471734.9978786</v>
      </c>
      <c r="AK1394" s="246">
        <f>IFERROR(VLOOKUP(I1394,PROGRAMAS[],3,FALSE),0)</f>
        <v>2392571243.5584412</v>
      </c>
      <c r="AL1394" s="246">
        <f>IFERROR(VLOOKUP(J1394,PROGRAMAS[],3,FALSE),0)</f>
        <v>31865326.38096505</v>
      </c>
      <c r="AM1394" s="246">
        <f>IFERROR(VLOOKUP(K1394,PROGRAMAS[],3,FALSE),0)</f>
        <v>2406564599.0319901</v>
      </c>
      <c r="AN1394" s="246">
        <f>IFERROR(VLOOKUP(L1394,PROGRAMAS[],3,FALSE),0)</f>
        <v>948595847.09039903</v>
      </c>
      <c r="AO1394" s="246">
        <f>IFERROR(VLOOKUP(M1394,PROGRAMAS[],3,FALSE),0)</f>
        <v>0</v>
      </c>
      <c r="AP1394" s="246">
        <f>IFERROR(VLOOKUP(N1394,PROGRAMAS[],3,FALSE),0)</f>
        <v>0</v>
      </c>
      <c r="AQ1394" s="246">
        <f>IFERROR(VLOOKUP(O1394,PROGRAMAS[],3,FALSE),0)</f>
        <v>0</v>
      </c>
      <c r="AR1394" s="246">
        <f>IFERROR(VLOOKUP(P1394,PROGRAMAS[],3,FALSE),0)</f>
        <v>0</v>
      </c>
      <c r="AS1394" s="246">
        <f>IFERROR(VLOOKUP(Q1394,PROGRAMAS[],3,FALSE),0)</f>
        <v>0</v>
      </c>
      <c r="AT1394" s="246">
        <f>IFERROR(VLOOKUP(D1394,VOL_REC[],2,FALSE),0)</f>
        <v>0</v>
      </c>
      <c r="AU1394" s="246">
        <f>IFERROR(VLOOKUP(E1394,VOL_REC[],2,FALSE),0)</f>
        <v>0</v>
      </c>
      <c r="AV1394" s="246">
        <f>IFERROR(VLOOKUP(F1394,VOL_REC[],2,FALSE),0)</f>
        <v>11089674.200000001</v>
      </c>
      <c r="AW1394" s="246">
        <f>IFERROR(VLOOKUP(G1394,VOL_REC[],2,FALSE),0)</f>
        <v>4325103.1812214684</v>
      </c>
      <c r="AX1394" s="246">
        <f>IFERROR(VLOOKUP(H1394,VOL_REC[],2,FALSE),0)</f>
        <v>1812240</v>
      </c>
      <c r="AY1394" s="246">
        <f>IFERROR(VLOOKUP(I1394,VOL_REC[],2,FALSE),0)</f>
        <v>663244.80000000016</v>
      </c>
      <c r="AZ1394" s="246">
        <f>IFERROR(VLOOKUP(J1394,VOL_REC[],2,FALSE),0)</f>
        <v>17074.045034105649</v>
      </c>
      <c r="BA1394" s="246">
        <f>IFERROR(VLOOKUP(K1394,VOL_REC[],2,FALSE),0)</f>
        <v>1072354.9981737854</v>
      </c>
      <c r="BB1394" s="246">
        <f>IFERROR(VLOOKUP(L1394,VOL_REC[],2,FALSE),0)</f>
        <v>740113.98115702497</v>
      </c>
      <c r="BC1394" s="246">
        <f>IFERROR(VLOOKUP(M1394,VOL_REC[],2,FALSE),0)</f>
        <v>0</v>
      </c>
      <c r="BD1394" s="246">
        <f>IFERROR(VLOOKUP(N1394,VOL_REC[],2,FALSE),0)</f>
        <v>0</v>
      </c>
      <c r="BE1394" s="246">
        <f>IFERROR(VLOOKUP(O1394,VOL_REC[],2,FALSE),0)</f>
        <v>0</v>
      </c>
      <c r="BF1394" s="246">
        <f>IFERROR(VLOOKUP(P1394,VOL_REC[],2,FALSE),0)</f>
        <v>0</v>
      </c>
      <c r="BG1394" s="246">
        <f>IFERROR(VLOOKUP(Q1394,VOL_REC[],2,FALSE),0)</f>
        <v>0</v>
      </c>
      <c r="BH1394" s="1710">
        <f t="shared" si="84"/>
        <v>22668163032.313065</v>
      </c>
      <c r="BI1394" s="1710">
        <f t="shared" si="85"/>
        <v>19198344755.983826</v>
      </c>
      <c r="BJ1394" s="1711">
        <f t="shared" si="86"/>
        <v>19719805.205586385</v>
      </c>
      <c r="BK1394" s="1711">
        <f t="shared" si="87"/>
        <v>1.1807352831940239</v>
      </c>
      <c r="BL1394">
        <f>BJ1394</f>
        <v>19719805.205586385</v>
      </c>
      <c r="BO1394">
        <f>BL1394</f>
        <v>19719805.205586385</v>
      </c>
    </row>
    <row r="1395" spans="3:67" x14ac:dyDescent="0.25">
      <c r="C1395" s="246" t="s">
        <v>2745</v>
      </c>
      <c r="D1395" s="246">
        <v>1</v>
      </c>
      <c r="E1395" s="246">
        <v>2</v>
      </c>
      <c r="F1395" s="246">
        <v>3</v>
      </c>
      <c r="G1395" s="246">
        <v>5</v>
      </c>
      <c r="H1395" s="246">
        <v>10</v>
      </c>
      <c r="I1395" s="246">
        <v>13</v>
      </c>
      <c r="J1395" s="246">
        <v>15</v>
      </c>
      <c r="K1395" s="246">
        <v>16</v>
      </c>
      <c r="L1395" s="246">
        <v>17</v>
      </c>
      <c r="M1395" s="246"/>
      <c r="N1395" s="246"/>
      <c r="O1395" s="246"/>
      <c r="P1395" s="246"/>
      <c r="Q1395" s="246"/>
      <c r="R1395" s="246">
        <f>IFERROR(VLOOKUP(D1395,PROGRAMAS[],2,FALSE),0)</f>
        <v>97037803.679377079</v>
      </c>
      <c r="S1395" s="246">
        <f>IFERROR(VLOOKUP(E1395,PROGRAMAS[],2,FALSE),0)</f>
        <v>640501509.6821388</v>
      </c>
      <c r="T1395" s="246">
        <f>IFERROR(VLOOKUP(F1395,PROGRAMAS[],2,FALSE),0)</f>
        <v>3062327798.1525245</v>
      </c>
      <c r="U1395" s="246">
        <f>IFERROR(VLOOKUP(G1395,PROGRAMAS[],2,FALSE),0)</f>
        <v>1440941976.2528784</v>
      </c>
      <c r="V1395" s="246">
        <f>IFERROR(VLOOKUP(H1395,PROGRAMAS[],2,FALSE),0)</f>
        <v>4635315027.8751087</v>
      </c>
      <c r="W1395" s="246">
        <f>IFERROR(VLOOKUP(I1395,PROGRAMAS[],2,FALSE),0)</f>
        <v>3776538594.4604583</v>
      </c>
      <c r="X1395" s="246">
        <f>IFERROR(VLOOKUP(J1395,PROGRAMAS[],2,FALSE),0)</f>
        <v>122159672.96346797</v>
      </c>
      <c r="Y1395" s="246">
        <f>IFERROR(VLOOKUP(K1395,PROGRAMAS[],2,FALSE),0)</f>
        <v>7068496961.0436354</v>
      </c>
      <c r="Z1395" s="246">
        <f>IFERROR(VLOOKUP(L1395,PROGRAMAS[],2,FALSE),0)</f>
        <v>1892779498.5211046</v>
      </c>
      <c r="AA1395" s="246">
        <f>IFERROR(VLOOKUP(M1395,PROGRAMAS[],2,FALSE),0)</f>
        <v>0</v>
      </c>
      <c r="AB1395" s="246">
        <f>IFERROR(VLOOKUP(N1395,PROGRAMAS[],2,FALSE),0)</f>
        <v>0</v>
      </c>
      <c r="AC1395" s="246">
        <f>IFERROR(VLOOKUP(O1395,PROGRAMAS[],2,FALSE),0)</f>
        <v>0</v>
      </c>
      <c r="AD1395" s="246">
        <f>IFERROR(VLOOKUP(P1395,PROGRAMAS[],2,FALSE),0)</f>
        <v>0</v>
      </c>
      <c r="AE1395" s="246">
        <f>IFERROR(VLOOKUP(Q1395,PROGRAMAS[],2,FALSE),0)</f>
        <v>0</v>
      </c>
      <c r="AF1395" s="246">
        <f>IFERROR(VLOOKUP(D1395,PROGRAMAS[],3,FALSE),0)</f>
        <v>841888629.31080008</v>
      </c>
      <c r="AG1395" s="246">
        <f>IFERROR(VLOOKUP(E1395,PROGRAMAS[],3,FALSE),0)</f>
        <v>3848980803.1642323</v>
      </c>
      <c r="AH1395" s="246">
        <f>IFERROR(VLOOKUP(F1395,PROGRAMAS[],3,FALSE),0)</f>
        <v>3394901471.387517</v>
      </c>
      <c r="AI1395" s="246">
        <f>IFERROR(VLOOKUP(G1395,PROGRAMAS[],3,FALSE),0)</f>
        <v>1233505101.0616004</v>
      </c>
      <c r="AJ1395" s="246">
        <f>IFERROR(VLOOKUP(H1395,PROGRAMAS[],3,FALSE),0)</f>
        <v>4099471734.9978786</v>
      </c>
      <c r="AK1395" s="246">
        <f>IFERROR(VLOOKUP(I1395,PROGRAMAS[],3,FALSE),0)</f>
        <v>2392571243.5584412</v>
      </c>
      <c r="AL1395" s="246">
        <f>IFERROR(VLOOKUP(J1395,PROGRAMAS[],3,FALSE),0)</f>
        <v>118617452.52510804</v>
      </c>
      <c r="AM1395" s="246">
        <f>IFERROR(VLOOKUP(K1395,PROGRAMAS[],3,FALSE),0)</f>
        <v>2406564599.0319901</v>
      </c>
      <c r="AN1395" s="246">
        <f>IFERROR(VLOOKUP(L1395,PROGRAMAS[],3,FALSE),0)</f>
        <v>948595847.09039903</v>
      </c>
      <c r="AO1395" s="246">
        <f>IFERROR(VLOOKUP(M1395,PROGRAMAS[],3,FALSE),0)</f>
        <v>0</v>
      </c>
      <c r="AP1395" s="246">
        <f>IFERROR(VLOOKUP(N1395,PROGRAMAS[],3,FALSE),0)</f>
        <v>0</v>
      </c>
      <c r="AQ1395" s="246">
        <f>IFERROR(VLOOKUP(O1395,PROGRAMAS[],3,FALSE),0)</f>
        <v>0</v>
      </c>
      <c r="AR1395" s="246">
        <f>IFERROR(VLOOKUP(P1395,PROGRAMAS[],3,FALSE),0)</f>
        <v>0</v>
      </c>
      <c r="AS1395" s="246">
        <f>IFERROR(VLOOKUP(Q1395,PROGRAMAS[],3,FALSE),0)</f>
        <v>0</v>
      </c>
      <c r="AT1395" s="246">
        <f>IFERROR(VLOOKUP(D1395,VOL_REC[],2,FALSE),0)</f>
        <v>0</v>
      </c>
      <c r="AU1395" s="246">
        <f>IFERROR(VLOOKUP(E1395,VOL_REC[],2,FALSE),0)</f>
        <v>0</v>
      </c>
      <c r="AV1395" s="246">
        <f>IFERROR(VLOOKUP(F1395,VOL_REC[],2,FALSE),0)</f>
        <v>11089674.200000001</v>
      </c>
      <c r="AW1395" s="246">
        <f>IFERROR(VLOOKUP(G1395,VOL_REC[],2,FALSE),0)</f>
        <v>4325103.1812214684</v>
      </c>
      <c r="AX1395" s="246">
        <f>IFERROR(VLOOKUP(H1395,VOL_REC[],2,FALSE),0)</f>
        <v>1812240</v>
      </c>
      <c r="AY1395" s="246">
        <f>IFERROR(VLOOKUP(I1395,VOL_REC[],2,FALSE),0)</f>
        <v>663244.80000000016</v>
      </c>
      <c r="AZ1395" s="246">
        <f>IFERROR(VLOOKUP(J1395,VOL_REC[],2,FALSE),0)</f>
        <v>105072</v>
      </c>
      <c r="BA1395" s="246">
        <f>IFERROR(VLOOKUP(K1395,VOL_REC[],2,FALSE),0)</f>
        <v>1072354.9981737854</v>
      </c>
      <c r="BB1395" s="246">
        <f>IFERROR(VLOOKUP(L1395,VOL_REC[],2,FALSE),0)</f>
        <v>740113.98115702497</v>
      </c>
      <c r="BC1395" s="246">
        <f>IFERROR(VLOOKUP(M1395,VOL_REC[],2,FALSE),0)</f>
        <v>0</v>
      </c>
      <c r="BD1395" s="246">
        <f>IFERROR(VLOOKUP(N1395,VOL_REC[],2,FALSE),0)</f>
        <v>0</v>
      </c>
      <c r="BE1395" s="246">
        <f>IFERROR(VLOOKUP(O1395,VOL_REC[],2,FALSE),0)</f>
        <v>0</v>
      </c>
      <c r="BF1395" s="246">
        <f>IFERROR(VLOOKUP(P1395,VOL_REC[],2,FALSE),0)</f>
        <v>0</v>
      </c>
      <c r="BG1395" s="246">
        <f>IFERROR(VLOOKUP(Q1395,VOL_REC[],2,FALSE),0)</f>
        <v>0</v>
      </c>
      <c r="BH1395" s="1710">
        <f t="shared" si="84"/>
        <v>22736098842.630695</v>
      </c>
      <c r="BI1395" s="1710">
        <f t="shared" si="85"/>
        <v>19285096882.127968</v>
      </c>
      <c r="BJ1395" s="1711">
        <f t="shared" si="86"/>
        <v>19807803.160552278</v>
      </c>
      <c r="BK1395" s="1711">
        <f t="shared" si="87"/>
        <v>1.1789465711059437</v>
      </c>
      <c r="BL1395">
        <f>BJ1395</f>
        <v>19807803.160552278</v>
      </c>
      <c r="BO1395">
        <f>BL1395</f>
        <v>19807803.160552278</v>
      </c>
    </row>
    <row r="1396" spans="3:67" x14ac:dyDescent="0.25">
      <c r="C1396" s="246" t="s">
        <v>2746</v>
      </c>
      <c r="D1396" s="246">
        <v>1</v>
      </c>
      <c r="E1396" s="246">
        <v>2</v>
      </c>
      <c r="F1396" s="246">
        <v>3</v>
      </c>
      <c r="G1396" s="246">
        <v>5</v>
      </c>
      <c r="H1396" s="246">
        <v>10</v>
      </c>
      <c r="I1396" s="246">
        <v>14</v>
      </c>
      <c r="J1396" s="246">
        <v>15</v>
      </c>
      <c r="K1396" s="246">
        <v>16</v>
      </c>
      <c r="L1396" s="246">
        <v>17</v>
      </c>
      <c r="M1396" s="246"/>
      <c r="N1396" s="246"/>
      <c r="O1396" s="246"/>
      <c r="P1396" s="246"/>
      <c r="Q1396" s="246"/>
      <c r="R1396" s="246">
        <f>IFERROR(VLOOKUP(D1396,PROGRAMAS[],2,FALSE),0)</f>
        <v>97037803.679377079</v>
      </c>
      <c r="S1396" s="246">
        <f>IFERROR(VLOOKUP(E1396,PROGRAMAS[],2,FALSE),0)</f>
        <v>640501509.6821388</v>
      </c>
      <c r="T1396" s="246">
        <f>IFERROR(VLOOKUP(F1396,PROGRAMAS[],2,FALSE),0)</f>
        <v>3062327798.1525245</v>
      </c>
      <c r="U1396" s="246">
        <f>IFERROR(VLOOKUP(G1396,PROGRAMAS[],2,FALSE),0)</f>
        <v>1440941976.2528784</v>
      </c>
      <c r="V1396" s="246">
        <f>IFERROR(VLOOKUP(H1396,PROGRAMAS[],2,FALSE),0)</f>
        <v>4635315027.8751087</v>
      </c>
      <c r="W1396" s="246">
        <f>IFERROR(VLOOKUP(I1396,PROGRAMAS[],2,FALSE),0)</f>
        <v>54223862.645839565</v>
      </c>
      <c r="X1396" s="246">
        <f>IFERROR(VLOOKUP(J1396,PROGRAMAS[],2,FALSE),0)</f>
        <v>122159672.96346797</v>
      </c>
      <c r="Y1396" s="246">
        <f>IFERROR(VLOOKUP(K1396,PROGRAMAS[],2,FALSE),0)</f>
        <v>7068496961.0436354</v>
      </c>
      <c r="Z1396" s="246">
        <f>IFERROR(VLOOKUP(L1396,PROGRAMAS[],2,FALSE),0)</f>
        <v>1892779498.5211046</v>
      </c>
      <c r="AA1396" s="246">
        <f>IFERROR(VLOOKUP(M1396,PROGRAMAS[],2,FALSE),0)</f>
        <v>0</v>
      </c>
      <c r="AB1396" s="246">
        <f>IFERROR(VLOOKUP(N1396,PROGRAMAS[],2,FALSE),0)</f>
        <v>0</v>
      </c>
      <c r="AC1396" s="246">
        <f>IFERROR(VLOOKUP(O1396,PROGRAMAS[],2,FALSE),0)</f>
        <v>0</v>
      </c>
      <c r="AD1396" s="246">
        <f>IFERROR(VLOOKUP(P1396,PROGRAMAS[],2,FALSE),0)</f>
        <v>0</v>
      </c>
      <c r="AE1396" s="246">
        <f>IFERROR(VLOOKUP(Q1396,PROGRAMAS[],2,FALSE),0)</f>
        <v>0</v>
      </c>
      <c r="AF1396" s="246">
        <f>IFERROR(VLOOKUP(D1396,PROGRAMAS[],3,FALSE),0)</f>
        <v>841888629.31080008</v>
      </c>
      <c r="AG1396" s="246">
        <f>IFERROR(VLOOKUP(E1396,PROGRAMAS[],3,FALSE),0)</f>
        <v>3848980803.1642323</v>
      </c>
      <c r="AH1396" s="246">
        <f>IFERROR(VLOOKUP(F1396,PROGRAMAS[],3,FALSE),0)</f>
        <v>3394901471.387517</v>
      </c>
      <c r="AI1396" s="246">
        <f>IFERROR(VLOOKUP(G1396,PROGRAMAS[],3,FALSE),0)</f>
        <v>1233505101.0616004</v>
      </c>
      <c r="AJ1396" s="246">
        <f>IFERROR(VLOOKUP(H1396,PROGRAMAS[],3,FALSE),0)</f>
        <v>4099471734.9978786</v>
      </c>
      <c r="AK1396" s="246">
        <f>IFERROR(VLOOKUP(I1396,PROGRAMAS[],3,FALSE),0)</f>
        <v>31865326.38096505</v>
      </c>
      <c r="AL1396" s="246">
        <f>IFERROR(VLOOKUP(J1396,PROGRAMAS[],3,FALSE),0)</f>
        <v>118617452.52510804</v>
      </c>
      <c r="AM1396" s="246">
        <f>IFERROR(VLOOKUP(K1396,PROGRAMAS[],3,FALSE),0)</f>
        <v>2406564599.0319901</v>
      </c>
      <c r="AN1396" s="246">
        <f>IFERROR(VLOOKUP(L1396,PROGRAMAS[],3,FALSE),0)</f>
        <v>948595847.09039903</v>
      </c>
      <c r="AO1396" s="246">
        <f>IFERROR(VLOOKUP(M1396,PROGRAMAS[],3,FALSE),0)</f>
        <v>0</v>
      </c>
      <c r="AP1396" s="246">
        <f>IFERROR(VLOOKUP(N1396,PROGRAMAS[],3,FALSE),0)</f>
        <v>0</v>
      </c>
      <c r="AQ1396" s="246">
        <f>IFERROR(VLOOKUP(O1396,PROGRAMAS[],3,FALSE),0)</f>
        <v>0</v>
      </c>
      <c r="AR1396" s="246">
        <f>IFERROR(VLOOKUP(P1396,PROGRAMAS[],3,FALSE),0)</f>
        <v>0</v>
      </c>
      <c r="AS1396" s="246">
        <f>IFERROR(VLOOKUP(Q1396,PROGRAMAS[],3,FALSE),0)</f>
        <v>0</v>
      </c>
      <c r="AT1396" s="246">
        <f>IFERROR(VLOOKUP(D1396,VOL_REC[],2,FALSE),0)</f>
        <v>0</v>
      </c>
      <c r="AU1396" s="246">
        <f>IFERROR(VLOOKUP(E1396,VOL_REC[],2,FALSE),0)</f>
        <v>0</v>
      </c>
      <c r="AV1396" s="246">
        <f>IFERROR(VLOOKUP(F1396,VOL_REC[],2,FALSE),0)</f>
        <v>11089674.200000001</v>
      </c>
      <c r="AW1396" s="246">
        <f>IFERROR(VLOOKUP(G1396,VOL_REC[],2,FALSE),0)</f>
        <v>4325103.1812214684</v>
      </c>
      <c r="AX1396" s="246">
        <f>IFERROR(VLOOKUP(H1396,VOL_REC[],2,FALSE),0)</f>
        <v>1812240</v>
      </c>
      <c r="AY1396" s="246">
        <f>IFERROR(VLOOKUP(I1396,VOL_REC[],2,FALSE),0)</f>
        <v>17074.045034105649</v>
      </c>
      <c r="AZ1396" s="246">
        <f>IFERROR(VLOOKUP(J1396,VOL_REC[],2,FALSE),0)</f>
        <v>105072</v>
      </c>
      <c r="BA1396" s="246">
        <f>IFERROR(VLOOKUP(K1396,VOL_REC[],2,FALSE),0)</f>
        <v>1072354.9981737854</v>
      </c>
      <c r="BB1396" s="246">
        <f>IFERROR(VLOOKUP(L1396,VOL_REC[],2,FALSE),0)</f>
        <v>740113.98115702497</v>
      </c>
      <c r="BC1396" s="246">
        <f>IFERROR(VLOOKUP(M1396,VOL_REC[],2,FALSE),0)</f>
        <v>0</v>
      </c>
      <c r="BD1396" s="246">
        <f>IFERROR(VLOOKUP(N1396,VOL_REC[],2,FALSE),0)</f>
        <v>0</v>
      </c>
      <c r="BE1396" s="246">
        <f>IFERROR(VLOOKUP(O1396,VOL_REC[],2,FALSE),0)</f>
        <v>0</v>
      </c>
      <c r="BF1396" s="246">
        <f>IFERROR(VLOOKUP(P1396,VOL_REC[],2,FALSE),0)</f>
        <v>0</v>
      </c>
      <c r="BG1396" s="246">
        <f>IFERROR(VLOOKUP(Q1396,VOL_REC[],2,FALSE),0)</f>
        <v>0</v>
      </c>
      <c r="BH1396" s="1710">
        <f t="shared" si="84"/>
        <v>19013784110.816074</v>
      </c>
      <c r="BI1396" s="1710">
        <f t="shared" si="85"/>
        <v>16924390964.950491</v>
      </c>
      <c r="BJ1396" s="1711">
        <f t="shared" si="86"/>
        <v>19161632.405586384</v>
      </c>
      <c r="BK1396" s="1711">
        <f t="shared" si="87"/>
        <v>1.1234545544470467</v>
      </c>
      <c r="BL1396">
        <f>BJ1396</f>
        <v>19161632.405586384</v>
      </c>
      <c r="BO1396">
        <f>BL1396</f>
        <v>19161632.405586384</v>
      </c>
    </row>
    <row r="1397" spans="3:67" x14ac:dyDescent="0.25">
      <c r="C1397" s="246" t="s">
        <v>2747</v>
      </c>
      <c r="D1397" s="246">
        <v>1</v>
      </c>
      <c r="E1397" s="246">
        <v>2</v>
      </c>
      <c r="F1397" s="246">
        <v>3</v>
      </c>
      <c r="G1397" s="246">
        <v>5</v>
      </c>
      <c r="H1397" s="246">
        <v>12</v>
      </c>
      <c r="I1397" s="246">
        <v>13</v>
      </c>
      <c r="J1397" s="246">
        <v>14</v>
      </c>
      <c r="K1397" s="246">
        <v>15</v>
      </c>
      <c r="L1397" s="246">
        <v>16</v>
      </c>
      <c r="M1397" s="246"/>
      <c r="N1397" s="246"/>
      <c r="O1397" s="246"/>
      <c r="P1397" s="246"/>
      <c r="Q1397" s="246"/>
      <c r="R1397" s="246">
        <f>IFERROR(VLOOKUP(D1397,PROGRAMAS[],2,FALSE),0)</f>
        <v>97037803.679377079</v>
      </c>
      <c r="S1397" s="246">
        <f>IFERROR(VLOOKUP(E1397,PROGRAMAS[],2,FALSE),0)</f>
        <v>640501509.6821388</v>
      </c>
      <c r="T1397" s="246">
        <f>IFERROR(VLOOKUP(F1397,PROGRAMAS[],2,FALSE),0)</f>
        <v>3062327798.1525245</v>
      </c>
      <c r="U1397" s="246">
        <f>IFERROR(VLOOKUP(G1397,PROGRAMAS[],2,FALSE),0)</f>
        <v>1440941976.2528784</v>
      </c>
      <c r="V1397" s="246">
        <f>IFERROR(VLOOKUP(H1397,PROGRAMAS[],2,FALSE),0)</f>
        <v>764796700.79905891</v>
      </c>
      <c r="W1397" s="246">
        <f>IFERROR(VLOOKUP(I1397,PROGRAMAS[],2,FALSE),0)</f>
        <v>3776538594.4604583</v>
      </c>
      <c r="X1397" s="246">
        <f>IFERROR(VLOOKUP(J1397,PROGRAMAS[],2,FALSE),0)</f>
        <v>54223862.645839565</v>
      </c>
      <c r="Y1397" s="246">
        <f>IFERROR(VLOOKUP(K1397,PROGRAMAS[],2,FALSE),0)</f>
        <v>122159672.96346797</v>
      </c>
      <c r="Z1397" s="246">
        <f>IFERROR(VLOOKUP(L1397,PROGRAMAS[],2,FALSE),0)</f>
        <v>7068496961.0436354</v>
      </c>
      <c r="AA1397" s="246">
        <f>IFERROR(VLOOKUP(M1397,PROGRAMAS[],2,FALSE),0)</f>
        <v>0</v>
      </c>
      <c r="AB1397" s="246">
        <f>IFERROR(VLOOKUP(N1397,PROGRAMAS[],2,FALSE),0)</f>
        <v>0</v>
      </c>
      <c r="AC1397" s="246">
        <f>IFERROR(VLOOKUP(O1397,PROGRAMAS[],2,FALSE),0)</f>
        <v>0</v>
      </c>
      <c r="AD1397" s="246">
        <f>IFERROR(VLOOKUP(P1397,PROGRAMAS[],2,FALSE),0)</f>
        <v>0</v>
      </c>
      <c r="AE1397" s="246">
        <f>IFERROR(VLOOKUP(Q1397,PROGRAMAS[],2,FALSE),0)</f>
        <v>0</v>
      </c>
      <c r="AF1397" s="246">
        <f>IFERROR(VLOOKUP(D1397,PROGRAMAS[],3,FALSE),0)</f>
        <v>841888629.31080008</v>
      </c>
      <c r="AG1397" s="246">
        <f>IFERROR(VLOOKUP(E1397,PROGRAMAS[],3,FALSE),0)</f>
        <v>3848980803.1642323</v>
      </c>
      <c r="AH1397" s="246">
        <f>IFERROR(VLOOKUP(F1397,PROGRAMAS[],3,FALSE),0)</f>
        <v>3394901471.387517</v>
      </c>
      <c r="AI1397" s="246">
        <f>IFERROR(VLOOKUP(G1397,PROGRAMAS[],3,FALSE),0)</f>
        <v>1233505101.0616004</v>
      </c>
      <c r="AJ1397" s="246">
        <f>IFERROR(VLOOKUP(H1397,PROGRAMAS[],3,FALSE),0)</f>
        <v>675517840.109828</v>
      </c>
      <c r="AK1397" s="246">
        <f>IFERROR(VLOOKUP(I1397,PROGRAMAS[],3,FALSE),0)</f>
        <v>2392571243.5584412</v>
      </c>
      <c r="AL1397" s="246">
        <f>IFERROR(VLOOKUP(J1397,PROGRAMAS[],3,FALSE),0)</f>
        <v>31865326.38096505</v>
      </c>
      <c r="AM1397" s="246">
        <f>IFERROR(VLOOKUP(K1397,PROGRAMAS[],3,FALSE),0)</f>
        <v>118617452.52510804</v>
      </c>
      <c r="AN1397" s="246">
        <f>IFERROR(VLOOKUP(L1397,PROGRAMAS[],3,FALSE),0)</f>
        <v>2406564599.0319901</v>
      </c>
      <c r="AO1397" s="246">
        <f>IFERROR(VLOOKUP(M1397,PROGRAMAS[],3,FALSE),0)</f>
        <v>0</v>
      </c>
      <c r="AP1397" s="246">
        <f>IFERROR(VLOOKUP(N1397,PROGRAMAS[],3,FALSE),0)</f>
        <v>0</v>
      </c>
      <c r="AQ1397" s="246">
        <f>IFERROR(VLOOKUP(O1397,PROGRAMAS[],3,FALSE),0)</f>
        <v>0</v>
      </c>
      <c r="AR1397" s="246">
        <f>IFERROR(VLOOKUP(P1397,PROGRAMAS[],3,FALSE),0)</f>
        <v>0</v>
      </c>
      <c r="AS1397" s="246">
        <f>IFERROR(VLOOKUP(Q1397,PROGRAMAS[],3,FALSE),0)</f>
        <v>0</v>
      </c>
      <c r="AT1397" s="246">
        <f>IFERROR(VLOOKUP(D1397,VOL_REC[],2,FALSE),0)</f>
        <v>0</v>
      </c>
      <c r="AU1397" s="246">
        <f>IFERROR(VLOOKUP(E1397,VOL_REC[],2,FALSE),0)</f>
        <v>0</v>
      </c>
      <c r="AV1397" s="246">
        <f>IFERROR(VLOOKUP(F1397,VOL_REC[],2,FALSE),0)</f>
        <v>11089674.200000001</v>
      </c>
      <c r="AW1397" s="246">
        <f>IFERROR(VLOOKUP(G1397,VOL_REC[],2,FALSE),0)</f>
        <v>4325103.1812214684</v>
      </c>
      <c r="AX1397" s="246">
        <f>IFERROR(VLOOKUP(H1397,VOL_REC[],2,FALSE),0)</f>
        <v>240696.79238099116</v>
      </c>
      <c r="AY1397" s="246">
        <f>IFERROR(VLOOKUP(I1397,VOL_REC[],2,FALSE),0)</f>
        <v>663244.80000000016</v>
      </c>
      <c r="AZ1397" s="246">
        <f>IFERROR(VLOOKUP(J1397,VOL_REC[],2,FALSE),0)</f>
        <v>17074.045034105649</v>
      </c>
      <c r="BA1397" s="246">
        <f>IFERROR(VLOOKUP(K1397,VOL_REC[],2,FALSE),0)</f>
        <v>105072</v>
      </c>
      <c r="BB1397" s="246">
        <f>IFERROR(VLOOKUP(L1397,VOL_REC[],2,FALSE),0)</f>
        <v>1072354.9981737854</v>
      </c>
      <c r="BC1397" s="246">
        <f>IFERROR(VLOOKUP(M1397,VOL_REC[],2,FALSE),0)</f>
        <v>0</v>
      </c>
      <c r="BD1397" s="246">
        <f>IFERROR(VLOOKUP(N1397,VOL_REC[],2,FALSE),0)</f>
        <v>0</v>
      </c>
      <c r="BE1397" s="246">
        <f>IFERROR(VLOOKUP(O1397,VOL_REC[],2,FALSE),0)</f>
        <v>0</v>
      </c>
      <c r="BF1397" s="246">
        <f>IFERROR(VLOOKUP(P1397,VOL_REC[],2,FALSE),0)</f>
        <v>0</v>
      </c>
      <c r="BG1397" s="246">
        <f>IFERROR(VLOOKUP(Q1397,VOL_REC[],2,FALSE),0)</f>
        <v>0</v>
      </c>
      <c r="BH1397" s="1710">
        <f t="shared" si="84"/>
        <v>17027024879.679379</v>
      </c>
      <c r="BI1397" s="1710">
        <f t="shared" si="85"/>
        <v>14944412466.530481</v>
      </c>
      <c r="BJ1397" s="1711">
        <f t="shared" si="86"/>
        <v>17513220.01681035</v>
      </c>
      <c r="BK1397" s="1711">
        <f t="shared" si="87"/>
        <v>1.1393572626433537</v>
      </c>
      <c r="BL1397">
        <f>BJ1397</f>
        <v>17513220.01681035</v>
      </c>
      <c r="BO1397">
        <f>BL1397</f>
        <v>17513220.01681035</v>
      </c>
    </row>
    <row r="1398" spans="3:67" x14ac:dyDescent="0.25">
      <c r="C1398" s="246" t="s">
        <v>2748</v>
      </c>
      <c r="D1398" s="246">
        <v>1</v>
      </c>
      <c r="E1398" s="246">
        <v>2</v>
      </c>
      <c r="F1398" s="246">
        <v>3</v>
      </c>
      <c r="G1398" s="246">
        <v>5</v>
      </c>
      <c r="H1398" s="246">
        <v>12</v>
      </c>
      <c r="I1398" s="246">
        <v>13</v>
      </c>
      <c r="J1398" s="246">
        <v>14</v>
      </c>
      <c r="K1398" s="246">
        <v>15</v>
      </c>
      <c r="L1398" s="246">
        <v>17</v>
      </c>
      <c r="M1398" s="246"/>
      <c r="N1398" s="246"/>
      <c r="O1398" s="246"/>
      <c r="P1398" s="246"/>
      <c r="Q1398" s="246"/>
      <c r="R1398" s="246">
        <f>IFERROR(VLOOKUP(D1398,PROGRAMAS[],2,FALSE),0)</f>
        <v>97037803.679377079</v>
      </c>
      <c r="S1398" s="246">
        <f>IFERROR(VLOOKUP(E1398,PROGRAMAS[],2,FALSE),0)</f>
        <v>640501509.6821388</v>
      </c>
      <c r="T1398" s="246">
        <f>IFERROR(VLOOKUP(F1398,PROGRAMAS[],2,FALSE),0)</f>
        <v>3062327798.1525245</v>
      </c>
      <c r="U1398" s="246">
        <f>IFERROR(VLOOKUP(G1398,PROGRAMAS[],2,FALSE),0)</f>
        <v>1440941976.2528784</v>
      </c>
      <c r="V1398" s="246">
        <f>IFERROR(VLOOKUP(H1398,PROGRAMAS[],2,FALSE),0)</f>
        <v>764796700.79905891</v>
      </c>
      <c r="W1398" s="246">
        <f>IFERROR(VLOOKUP(I1398,PROGRAMAS[],2,FALSE),0)</f>
        <v>3776538594.4604583</v>
      </c>
      <c r="X1398" s="246">
        <f>IFERROR(VLOOKUP(J1398,PROGRAMAS[],2,FALSE),0)</f>
        <v>54223862.645839565</v>
      </c>
      <c r="Y1398" s="246">
        <f>IFERROR(VLOOKUP(K1398,PROGRAMAS[],2,FALSE),0)</f>
        <v>122159672.96346797</v>
      </c>
      <c r="Z1398" s="246">
        <f>IFERROR(VLOOKUP(L1398,PROGRAMAS[],2,FALSE),0)</f>
        <v>1892779498.5211046</v>
      </c>
      <c r="AA1398" s="246">
        <f>IFERROR(VLOOKUP(M1398,PROGRAMAS[],2,FALSE),0)</f>
        <v>0</v>
      </c>
      <c r="AB1398" s="246">
        <f>IFERROR(VLOOKUP(N1398,PROGRAMAS[],2,FALSE),0)</f>
        <v>0</v>
      </c>
      <c r="AC1398" s="246">
        <f>IFERROR(VLOOKUP(O1398,PROGRAMAS[],2,FALSE),0)</f>
        <v>0</v>
      </c>
      <c r="AD1398" s="246">
        <f>IFERROR(VLOOKUP(P1398,PROGRAMAS[],2,FALSE),0)</f>
        <v>0</v>
      </c>
      <c r="AE1398" s="246">
        <f>IFERROR(VLOOKUP(Q1398,PROGRAMAS[],2,FALSE),0)</f>
        <v>0</v>
      </c>
      <c r="AF1398" s="246">
        <f>IFERROR(VLOOKUP(D1398,PROGRAMAS[],3,FALSE),0)</f>
        <v>841888629.31080008</v>
      </c>
      <c r="AG1398" s="246">
        <f>IFERROR(VLOOKUP(E1398,PROGRAMAS[],3,FALSE),0)</f>
        <v>3848980803.1642323</v>
      </c>
      <c r="AH1398" s="246">
        <f>IFERROR(VLOOKUP(F1398,PROGRAMAS[],3,FALSE),0)</f>
        <v>3394901471.387517</v>
      </c>
      <c r="AI1398" s="246">
        <f>IFERROR(VLOOKUP(G1398,PROGRAMAS[],3,FALSE),0)</f>
        <v>1233505101.0616004</v>
      </c>
      <c r="AJ1398" s="246">
        <f>IFERROR(VLOOKUP(H1398,PROGRAMAS[],3,FALSE),0)</f>
        <v>675517840.109828</v>
      </c>
      <c r="AK1398" s="246">
        <f>IFERROR(VLOOKUP(I1398,PROGRAMAS[],3,FALSE),0)</f>
        <v>2392571243.5584412</v>
      </c>
      <c r="AL1398" s="246">
        <f>IFERROR(VLOOKUP(J1398,PROGRAMAS[],3,FALSE),0)</f>
        <v>31865326.38096505</v>
      </c>
      <c r="AM1398" s="246">
        <f>IFERROR(VLOOKUP(K1398,PROGRAMAS[],3,FALSE),0)</f>
        <v>118617452.52510804</v>
      </c>
      <c r="AN1398" s="246">
        <f>IFERROR(VLOOKUP(L1398,PROGRAMAS[],3,FALSE),0)</f>
        <v>948595847.09039903</v>
      </c>
      <c r="AO1398" s="246">
        <f>IFERROR(VLOOKUP(M1398,PROGRAMAS[],3,FALSE),0)</f>
        <v>0</v>
      </c>
      <c r="AP1398" s="246">
        <f>IFERROR(VLOOKUP(N1398,PROGRAMAS[],3,FALSE),0)</f>
        <v>0</v>
      </c>
      <c r="AQ1398" s="246">
        <f>IFERROR(VLOOKUP(O1398,PROGRAMAS[],3,FALSE),0)</f>
        <v>0</v>
      </c>
      <c r="AR1398" s="246">
        <f>IFERROR(VLOOKUP(P1398,PROGRAMAS[],3,FALSE),0)</f>
        <v>0</v>
      </c>
      <c r="AS1398" s="246">
        <f>IFERROR(VLOOKUP(Q1398,PROGRAMAS[],3,FALSE),0)</f>
        <v>0</v>
      </c>
      <c r="AT1398" s="246">
        <f>IFERROR(VLOOKUP(D1398,VOL_REC[],2,FALSE),0)</f>
        <v>0</v>
      </c>
      <c r="AU1398" s="246">
        <f>IFERROR(VLOOKUP(E1398,VOL_REC[],2,FALSE),0)</f>
        <v>0</v>
      </c>
      <c r="AV1398" s="246">
        <f>IFERROR(VLOOKUP(F1398,VOL_REC[],2,FALSE),0)</f>
        <v>11089674.200000001</v>
      </c>
      <c r="AW1398" s="246">
        <f>IFERROR(VLOOKUP(G1398,VOL_REC[],2,FALSE),0)</f>
        <v>4325103.1812214684</v>
      </c>
      <c r="AX1398" s="246">
        <f>IFERROR(VLOOKUP(H1398,VOL_REC[],2,FALSE),0)</f>
        <v>240696.79238099116</v>
      </c>
      <c r="AY1398" s="246">
        <f>IFERROR(VLOOKUP(I1398,VOL_REC[],2,FALSE),0)</f>
        <v>663244.80000000016</v>
      </c>
      <c r="AZ1398" s="246">
        <f>IFERROR(VLOOKUP(J1398,VOL_REC[],2,FALSE),0)</f>
        <v>17074.045034105649</v>
      </c>
      <c r="BA1398" s="246">
        <f>IFERROR(VLOOKUP(K1398,VOL_REC[],2,FALSE),0)</f>
        <v>105072</v>
      </c>
      <c r="BB1398" s="246">
        <f>IFERROR(VLOOKUP(L1398,VOL_REC[],2,FALSE),0)</f>
        <v>740113.98115702497</v>
      </c>
      <c r="BC1398" s="246">
        <f>IFERROR(VLOOKUP(M1398,VOL_REC[],2,FALSE),0)</f>
        <v>0</v>
      </c>
      <c r="BD1398" s="246">
        <f>IFERROR(VLOOKUP(N1398,VOL_REC[],2,FALSE),0)</f>
        <v>0</v>
      </c>
      <c r="BE1398" s="246">
        <f>IFERROR(VLOOKUP(O1398,VOL_REC[],2,FALSE),0)</f>
        <v>0</v>
      </c>
      <c r="BF1398" s="246">
        <f>IFERROR(VLOOKUP(P1398,VOL_REC[],2,FALSE),0)</f>
        <v>0</v>
      </c>
      <c r="BG1398" s="246">
        <f>IFERROR(VLOOKUP(Q1398,VOL_REC[],2,FALSE),0)</f>
        <v>0</v>
      </c>
      <c r="BH1398" s="1710">
        <f t="shared" si="84"/>
        <v>11851307417.156849</v>
      </c>
      <c r="BI1398" s="1710">
        <f t="shared" si="85"/>
        <v>13486443714.58889</v>
      </c>
      <c r="BJ1398" s="1711">
        <f t="shared" si="86"/>
        <v>17180978.999793589</v>
      </c>
      <c r="BK1398" s="1711">
        <f t="shared" si="87"/>
        <v>0.87875704433013424</v>
      </c>
    </row>
    <row r="1399" spans="3:67" x14ac:dyDescent="0.25">
      <c r="C1399" s="246" t="s">
        <v>2749</v>
      </c>
      <c r="D1399" s="246">
        <v>1</v>
      </c>
      <c r="E1399" s="246">
        <v>2</v>
      </c>
      <c r="F1399" s="246">
        <v>3</v>
      </c>
      <c r="G1399" s="246">
        <v>5</v>
      </c>
      <c r="H1399" s="246">
        <v>12</v>
      </c>
      <c r="I1399" s="246">
        <v>13</v>
      </c>
      <c r="J1399" s="246">
        <v>14</v>
      </c>
      <c r="K1399" s="246">
        <v>16</v>
      </c>
      <c r="L1399" s="246">
        <v>17</v>
      </c>
      <c r="M1399" s="246"/>
      <c r="N1399" s="246"/>
      <c r="O1399" s="246"/>
      <c r="P1399" s="246"/>
      <c r="Q1399" s="246"/>
      <c r="R1399" s="246">
        <f>IFERROR(VLOOKUP(D1399,PROGRAMAS[],2,FALSE),0)</f>
        <v>97037803.679377079</v>
      </c>
      <c r="S1399" s="246">
        <f>IFERROR(VLOOKUP(E1399,PROGRAMAS[],2,FALSE),0)</f>
        <v>640501509.6821388</v>
      </c>
      <c r="T1399" s="246">
        <f>IFERROR(VLOOKUP(F1399,PROGRAMAS[],2,FALSE),0)</f>
        <v>3062327798.1525245</v>
      </c>
      <c r="U1399" s="246">
        <f>IFERROR(VLOOKUP(G1399,PROGRAMAS[],2,FALSE),0)</f>
        <v>1440941976.2528784</v>
      </c>
      <c r="V1399" s="246">
        <f>IFERROR(VLOOKUP(H1399,PROGRAMAS[],2,FALSE),0)</f>
        <v>764796700.79905891</v>
      </c>
      <c r="W1399" s="246">
        <f>IFERROR(VLOOKUP(I1399,PROGRAMAS[],2,FALSE),0)</f>
        <v>3776538594.4604583</v>
      </c>
      <c r="X1399" s="246">
        <f>IFERROR(VLOOKUP(J1399,PROGRAMAS[],2,FALSE),0)</f>
        <v>54223862.645839565</v>
      </c>
      <c r="Y1399" s="246">
        <f>IFERROR(VLOOKUP(K1399,PROGRAMAS[],2,FALSE),0)</f>
        <v>7068496961.0436354</v>
      </c>
      <c r="Z1399" s="246">
        <f>IFERROR(VLOOKUP(L1399,PROGRAMAS[],2,FALSE),0)</f>
        <v>1892779498.5211046</v>
      </c>
      <c r="AA1399" s="246">
        <f>IFERROR(VLOOKUP(M1399,PROGRAMAS[],2,FALSE),0)</f>
        <v>0</v>
      </c>
      <c r="AB1399" s="246">
        <f>IFERROR(VLOOKUP(N1399,PROGRAMAS[],2,FALSE),0)</f>
        <v>0</v>
      </c>
      <c r="AC1399" s="246">
        <f>IFERROR(VLOOKUP(O1399,PROGRAMAS[],2,FALSE),0)</f>
        <v>0</v>
      </c>
      <c r="AD1399" s="246">
        <f>IFERROR(VLOOKUP(P1399,PROGRAMAS[],2,FALSE),0)</f>
        <v>0</v>
      </c>
      <c r="AE1399" s="246">
        <f>IFERROR(VLOOKUP(Q1399,PROGRAMAS[],2,FALSE),0)</f>
        <v>0</v>
      </c>
      <c r="AF1399" s="246">
        <f>IFERROR(VLOOKUP(D1399,PROGRAMAS[],3,FALSE),0)</f>
        <v>841888629.31080008</v>
      </c>
      <c r="AG1399" s="246">
        <f>IFERROR(VLOOKUP(E1399,PROGRAMAS[],3,FALSE),0)</f>
        <v>3848980803.1642323</v>
      </c>
      <c r="AH1399" s="246">
        <f>IFERROR(VLOOKUP(F1399,PROGRAMAS[],3,FALSE),0)</f>
        <v>3394901471.387517</v>
      </c>
      <c r="AI1399" s="246">
        <f>IFERROR(VLOOKUP(G1399,PROGRAMAS[],3,FALSE),0)</f>
        <v>1233505101.0616004</v>
      </c>
      <c r="AJ1399" s="246">
        <f>IFERROR(VLOOKUP(H1399,PROGRAMAS[],3,FALSE),0)</f>
        <v>675517840.109828</v>
      </c>
      <c r="AK1399" s="246">
        <f>IFERROR(VLOOKUP(I1399,PROGRAMAS[],3,FALSE),0)</f>
        <v>2392571243.5584412</v>
      </c>
      <c r="AL1399" s="246">
        <f>IFERROR(VLOOKUP(J1399,PROGRAMAS[],3,FALSE),0)</f>
        <v>31865326.38096505</v>
      </c>
      <c r="AM1399" s="246">
        <f>IFERROR(VLOOKUP(K1399,PROGRAMAS[],3,FALSE),0)</f>
        <v>2406564599.0319901</v>
      </c>
      <c r="AN1399" s="246">
        <f>IFERROR(VLOOKUP(L1399,PROGRAMAS[],3,FALSE),0)</f>
        <v>948595847.09039903</v>
      </c>
      <c r="AO1399" s="246">
        <f>IFERROR(VLOOKUP(M1399,PROGRAMAS[],3,FALSE),0)</f>
        <v>0</v>
      </c>
      <c r="AP1399" s="246">
        <f>IFERROR(VLOOKUP(N1399,PROGRAMAS[],3,FALSE),0)</f>
        <v>0</v>
      </c>
      <c r="AQ1399" s="246">
        <f>IFERROR(VLOOKUP(O1399,PROGRAMAS[],3,FALSE),0)</f>
        <v>0</v>
      </c>
      <c r="AR1399" s="246">
        <f>IFERROR(VLOOKUP(P1399,PROGRAMAS[],3,FALSE),0)</f>
        <v>0</v>
      </c>
      <c r="AS1399" s="246">
        <f>IFERROR(VLOOKUP(Q1399,PROGRAMAS[],3,FALSE),0)</f>
        <v>0</v>
      </c>
      <c r="AT1399" s="246">
        <f>IFERROR(VLOOKUP(D1399,VOL_REC[],2,FALSE),0)</f>
        <v>0</v>
      </c>
      <c r="AU1399" s="246">
        <f>IFERROR(VLOOKUP(E1399,VOL_REC[],2,FALSE),0)</f>
        <v>0</v>
      </c>
      <c r="AV1399" s="246">
        <f>IFERROR(VLOOKUP(F1399,VOL_REC[],2,FALSE),0)</f>
        <v>11089674.200000001</v>
      </c>
      <c r="AW1399" s="246">
        <f>IFERROR(VLOOKUP(G1399,VOL_REC[],2,FALSE),0)</f>
        <v>4325103.1812214684</v>
      </c>
      <c r="AX1399" s="246">
        <f>IFERROR(VLOOKUP(H1399,VOL_REC[],2,FALSE),0)</f>
        <v>240696.79238099116</v>
      </c>
      <c r="AY1399" s="246">
        <f>IFERROR(VLOOKUP(I1399,VOL_REC[],2,FALSE),0)</f>
        <v>663244.80000000016</v>
      </c>
      <c r="AZ1399" s="246">
        <f>IFERROR(VLOOKUP(J1399,VOL_REC[],2,FALSE),0)</f>
        <v>17074.045034105649</v>
      </c>
      <c r="BA1399" s="246">
        <f>IFERROR(VLOOKUP(K1399,VOL_REC[],2,FALSE),0)</f>
        <v>1072354.9981737854</v>
      </c>
      <c r="BB1399" s="246">
        <f>IFERROR(VLOOKUP(L1399,VOL_REC[],2,FALSE),0)</f>
        <v>740113.98115702497</v>
      </c>
      <c r="BC1399" s="246">
        <f>IFERROR(VLOOKUP(M1399,VOL_REC[],2,FALSE),0)</f>
        <v>0</v>
      </c>
      <c r="BD1399" s="246">
        <f>IFERROR(VLOOKUP(N1399,VOL_REC[],2,FALSE),0)</f>
        <v>0</v>
      </c>
      <c r="BE1399" s="246">
        <f>IFERROR(VLOOKUP(O1399,VOL_REC[],2,FALSE),0)</f>
        <v>0</v>
      </c>
      <c r="BF1399" s="246">
        <f>IFERROR(VLOOKUP(P1399,VOL_REC[],2,FALSE),0)</f>
        <v>0</v>
      </c>
      <c r="BG1399" s="246">
        <f>IFERROR(VLOOKUP(Q1399,VOL_REC[],2,FALSE),0)</f>
        <v>0</v>
      </c>
      <c r="BH1399" s="1710">
        <f t="shared" si="84"/>
        <v>18797644705.237015</v>
      </c>
      <c r="BI1399" s="1710">
        <f t="shared" si="85"/>
        <v>15774390861.095772</v>
      </c>
      <c r="BJ1399" s="1711">
        <f t="shared" si="86"/>
        <v>18148261.997967374</v>
      </c>
      <c r="BK1399" s="1711">
        <f t="shared" si="87"/>
        <v>1.1916558218167057</v>
      </c>
      <c r="BL1399">
        <f>BJ1399</f>
        <v>18148261.997967374</v>
      </c>
      <c r="BO1399">
        <f>BL1399</f>
        <v>18148261.997967374</v>
      </c>
    </row>
    <row r="1400" spans="3:67" x14ac:dyDescent="0.25">
      <c r="C1400" s="246" t="s">
        <v>2750</v>
      </c>
      <c r="D1400" s="246">
        <v>1</v>
      </c>
      <c r="E1400" s="246">
        <v>2</v>
      </c>
      <c r="F1400" s="246">
        <v>3</v>
      </c>
      <c r="G1400" s="246">
        <v>5</v>
      </c>
      <c r="H1400" s="246">
        <v>12</v>
      </c>
      <c r="I1400" s="246">
        <v>13</v>
      </c>
      <c r="J1400" s="246">
        <v>15</v>
      </c>
      <c r="K1400" s="246">
        <v>16</v>
      </c>
      <c r="L1400" s="246">
        <v>17</v>
      </c>
      <c r="M1400" s="246"/>
      <c r="N1400" s="246"/>
      <c r="O1400" s="246"/>
      <c r="P1400" s="246"/>
      <c r="Q1400" s="246"/>
      <c r="R1400" s="246">
        <f>IFERROR(VLOOKUP(D1400,PROGRAMAS[],2,FALSE),0)</f>
        <v>97037803.679377079</v>
      </c>
      <c r="S1400" s="246">
        <f>IFERROR(VLOOKUP(E1400,PROGRAMAS[],2,FALSE),0)</f>
        <v>640501509.6821388</v>
      </c>
      <c r="T1400" s="246">
        <f>IFERROR(VLOOKUP(F1400,PROGRAMAS[],2,FALSE),0)</f>
        <v>3062327798.1525245</v>
      </c>
      <c r="U1400" s="246">
        <f>IFERROR(VLOOKUP(G1400,PROGRAMAS[],2,FALSE),0)</f>
        <v>1440941976.2528784</v>
      </c>
      <c r="V1400" s="246">
        <f>IFERROR(VLOOKUP(H1400,PROGRAMAS[],2,FALSE),0)</f>
        <v>764796700.79905891</v>
      </c>
      <c r="W1400" s="246">
        <f>IFERROR(VLOOKUP(I1400,PROGRAMAS[],2,FALSE),0)</f>
        <v>3776538594.4604583</v>
      </c>
      <c r="X1400" s="246">
        <f>IFERROR(VLOOKUP(J1400,PROGRAMAS[],2,FALSE),0)</f>
        <v>122159672.96346797</v>
      </c>
      <c r="Y1400" s="246">
        <f>IFERROR(VLOOKUP(K1400,PROGRAMAS[],2,FALSE),0)</f>
        <v>7068496961.0436354</v>
      </c>
      <c r="Z1400" s="246">
        <f>IFERROR(VLOOKUP(L1400,PROGRAMAS[],2,FALSE),0)</f>
        <v>1892779498.5211046</v>
      </c>
      <c r="AA1400" s="246">
        <f>IFERROR(VLOOKUP(M1400,PROGRAMAS[],2,FALSE),0)</f>
        <v>0</v>
      </c>
      <c r="AB1400" s="246">
        <f>IFERROR(VLOOKUP(N1400,PROGRAMAS[],2,FALSE),0)</f>
        <v>0</v>
      </c>
      <c r="AC1400" s="246">
        <f>IFERROR(VLOOKUP(O1400,PROGRAMAS[],2,FALSE),0)</f>
        <v>0</v>
      </c>
      <c r="AD1400" s="246">
        <f>IFERROR(VLOOKUP(P1400,PROGRAMAS[],2,FALSE),0)</f>
        <v>0</v>
      </c>
      <c r="AE1400" s="246">
        <f>IFERROR(VLOOKUP(Q1400,PROGRAMAS[],2,FALSE),0)</f>
        <v>0</v>
      </c>
      <c r="AF1400" s="246">
        <f>IFERROR(VLOOKUP(D1400,PROGRAMAS[],3,FALSE),0)</f>
        <v>841888629.31080008</v>
      </c>
      <c r="AG1400" s="246">
        <f>IFERROR(VLOOKUP(E1400,PROGRAMAS[],3,FALSE),0)</f>
        <v>3848980803.1642323</v>
      </c>
      <c r="AH1400" s="246">
        <f>IFERROR(VLOOKUP(F1400,PROGRAMAS[],3,FALSE),0)</f>
        <v>3394901471.387517</v>
      </c>
      <c r="AI1400" s="246">
        <f>IFERROR(VLOOKUP(G1400,PROGRAMAS[],3,FALSE),0)</f>
        <v>1233505101.0616004</v>
      </c>
      <c r="AJ1400" s="246">
        <f>IFERROR(VLOOKUP(H1400,PROGRAMAS[],3,FALSE),0)</f>
        <v>675517840.109828</v>
      </c>
      <c r="AK1400" s="246">
        <f>IFERROR(VLOOKUP(I1400,PROGRAMAS[],3,FALSE),0)</f>
        <v>2392571243.5584412</v>
      </c>
      <c r="AL1400" s="246">
        <f>IFERROR(VLOOKUP(J1400,PROGRAMAS[],3,FALSE),0)</f>
        <v>118617452.52510804</v>
      </c>
      <c r="AM1400" s="246">
        <f>IFERROR(VLOOKUP(K1400,PROGRAMAS[],3,FALSE),0)</f>
        <v>2406564599.0319901</v>
      </c>
      <c r="AN1400" s="246">
        <f>IFERROR(VLOOKUP(L1400,PROGRAMAS[],3,FALSE),0)</f>
        <v>948595847.09039903</v>
      </c>
      <c r="AO1400" s="246">
        <f>IFERROR(VLOOKUP(M1400,PROGRAMAS[],3,FALSE),0)</f>
        <v>0</v>
      </c>
      <c r="AP1400" s="246">
        <f>IFERROR(VLOOKUP(N1400,PROGRAMAS[],3,FALSE),0)</f>
        <v>0</v>
      </c>
      <c r="AQ1400" s="246">
        <f>IFERROR(VLOOKUP(O1400,PROGRAMAS[],3,FALSE),0)</f>
        <v>0</v>
      </c>
      <c r="AR1400" s="246">
        <f>IFERROR(VLOOKUP(P1400,PROGRAMAS[],3,FALSE),0)</f>
        <v>0</v>
      </c>
      <c r="AS1400" s="246">
        <f>IFERROR(VLOOKUP(Q1400,PROGRAMAS[],3,FALSE),0)</f>
        <v>0</v>
      </c>
      <c r="AT1400" s="246">
        <f>IFERROR(VLOOKUP(D1400,VOL_REC[],2,FALSE),0)</f>
        <v>0</v>
      </c>
      <c r="AU1400" s="246">
        <f>IFERROR(VLOOKUP(E1400,VOL_REC[],2,FALSE),0)</f>
        <v>0</v>
      </c>
      <c r="AV1400" s="246">
        <f>IFERROR(VLOOKUP(F1400,VOL_REC[],2,FALSE),0)</f>
        <v>11089674.200000001</v>
      </c>
      <c r="AW1400" s="246">
        <f>IFERROR(VLOOKUP(G1400,VOL_REC[],2,FALSE),0)</f>
        <v>4325103.1812214684</v>
      </c>
      <c r="AX1400" s="246">
        <f>IFERROR(VLOOKUP(H1400,VOL_REC[],2,FALSE),0)</f>
        <v>240696.79238099116</v>
      </c>
      <c r="AY1400" s="246">
        <f>IFERROR(VLOOKUP(I1400,VOL_REC[],2,FALSE),0)</f>
        <v>663244.80000000016</v>
      </c>
      <c r="AZ1400" s="246">
        <f>IFERROR(VLOOKUP(J1400,VOL_REC[],2,FALSE),0)</f>
        <v>105072</v>
      </c>
      <c r="BA1400" s="246">
        <f>IFERROR(VLOOKUP(K1400,VOL_REC[],2,FALSE),0)</f>
        <v>1072354.9981737854</v>
      </c>
      <c r="BB1400" s="246">
        <f>IFERROR(VLOOKUP(L1400,VOL_REC[],2,FALSE),0)</f>
        <v>740113.98115702497</v>
      </c>
      <c r="BC1400" s="246">
        <f>IFERROR(VLOOKUP(M1400,VOL_REC[],2,FALSE),0)</f>
        <v>0</v>
      </c>
      <c r="BD1400" s="246">
        <f>IFERROR(VLOOKUP(N1400,VOL_REC[],2,FALSE),0)</f>
        <v>0</v>
      </c>
      <c r="BE1400" s="246">
        <f>IFERROR(VLOOKUP(O1400,VOL_REC[],2,FALSE),0)</f>
        <v>0</v>
      </c>
      <c r="BF1400" s="246">
        <f>IFERROR(VLOOKUP(P1400,VOL_REC[],2,FALSE),0)</f>
        <v>0</v>
      </c>
      <c r="BG1400" s="246">
        <f>IFERROR(VLOOKUP(Q1400,VOL_REC[],2,FALSE),0)</f>
        <v>0</v>
      </c>
      <c r="BH1400" s="1710">
        <f t="shared" si="84"/>
        <v>18865580515.554642</v>
      </c>
      <c r="BI1400" s="1710">
        <f t="shared" si="85"/>
        <v>15861142987.239916</v>
      </c>
      <c r="BJ1400" s="1711">
        <f t="shared" si="86"/>
        <v>18236259.95293327</v>
      </c>
      <c r="BK1400" s="1711">
        <f t="shared" si="87"/>
        <v>1.1894212498261794</v>
      </c>
      <c r="BL1400">
        <f>BJ1400</f>
        <v>18236259.95293327</v>
      </c>
      <c r="BO1400">
        <f>BL1400</f>
        <v>18236259.95293327</v>
      </c>
    </row>
    <row r="1401" spans="3:67" x14ac:dyDescent="0.25">
      <c r="C1401" s="246" t="s">
        <v>2751</v>
      </c>
      <c r="D1401" s="246">
        <v>1</v>
      </c>
      <c r="E1401" s="246">
        <v>2</v>
      </c>
      <c r="F1401" s="246">
        <v>3</v>
      </c>
      <c r="G1401" s="246">
        <v>5</v>
      </c>
      <c r="H1401" s="246">
        <v>12</v>
      </c>
      <c r="I1401" s="246">
        <v>14</v>
      </c>
      <c r="J1401" s="246">
        <v>15</v>
      </c>
      <c r="K1401" s="246">
        <v>16</v>
      </c>
      <c r="L1401" s="246">
        <v>17</v>
      </c>
      <c r="M1401" s="246"/>
      <c r="N1401" s="246"/>
      <c r="O1401" s="246"/>
      <c r="P1401" s="246"/>
      <c r="Q1401" s="246"/>
      <c r="R1401" s="246">
        <f>IFERROR(VLOOKUP(D1401,PROGRAMAS[],2,FALSE),0)</f>
        <v>97037803.679377079</v>
      </c>
      <c r="S1401" s="246">
        <f>IFERROR(VLOOKUP(E1401,PROGRAMAS[],2,FALSE),0)</f>
        <v>640501509.6821388</v>
      </c>
      <c r="T1401" s="246">
        <f>IFERROR(VLOOKUP(F1401,PROGRAMAS[],2,FALSE),0)</f>
        <v>3062327798.1525245</v>
      </c>
      <c r="U1401" s="246">
        <f>IFERROR(VLOOKUP(G1401,PROGRAMAS[],2,FALSE),0)</f>
        <v>1440941976.2528784</v>
      </c>
      <c r="V1401" s="246">
        <f>IFERROR(VLOOKUP(H1401,PROGRAMAS[],2,FALSE),0)</f>
        <v>764796700.79905891</v>
      </c>
      <c r="W1401" s="246">
        <f>IFERROR(VLOOKUP(I1401,PROGRAMAS[],2,FALSE),0)</f>
        <v>54223862.645839565</v>
      </c>
      <c r="X1401" s="246">
        <f>IFERROR(VLOOKUP(J1401,PROGRAMAS[],2,FALSE),0)</f>
        <v>122159672.96346797</v>
      </c>
      <c r="Y1401" s="246">
        <f>IFERROR(VLOOKUP(K1401,PROGRAMAS[],2,FALSE),0)</f>
        <v>7068496961.0436354</v>
      </c>
      <c r="Z1401" s="246">
        <f>IFERROR(VLOOKUP(L1401,PROGRAMAS[],2,FALSE),0)</f>
        <v>1892779498.5211046</v>
      </c>
      <c r="AA1401" s="246">
        <f>IFERROR(VLOOKUP(M1401,PROGRAMAS[],2,FALSE),0)</f>
        <v>0</v>
      </c>
      <c r="AB1401" s="246">
        <f>IFERROR(VLOOKUP(N1401,PROGRAMAS[],2,FALSE),0)</f>
        <v>0</v>
      </c>
      <c r="AC1401" s="246">
        <f>IFERROR(VLOOKUP(O1401,PROGRAMAS[],2,FALSE),0)</f>
        <v>0</v>
      </c>
      <c r="AD1401" s="246">
        <f>IFERROR(VLOOKUP(P1401,PROGRAMAS[],2,FALSE),0)</f>
        <v>0</v>
      </c>
      <c r="AE1401" s="246">
        <f>IFERROR(VLOOKUP(Q1401,PROGRAMAS[],2,FALSE),0)</f>
        <v>0</v>
      </c>
      <c r="AF1401" s="246">
        <f>IFERROR(VLOOKUP(D1401,PROGRAMAS[],3,FALSE),0)</f>
        <v>841888629.31080008</v>
      </c>
      <c r="AG1401" s="246">
        <f>IFERROR(VLOOKUP(E1401,PROGRAMAS[],3,FALSE),0)</f>
        <v>3848980803.1642323</v>
      </c>
      <c r="AH1401" s="246">
        <f>IFERROR(VLOOKUP(F1401,PROGRAMAS[],3,FALSE),0)</f>
        <v>3394901471.387517</v>
      </c>
      <c r="AI1401" s="246">
        <f>IFERROR(VLOOKUP(G1401,PROGRAMAS[],3,FALSE),0)</f>
        <v>1233505101.0616004</v>
      </c>
      <c r="AJ1401" s="246">
        <f>IFERROR(VLOOKUP(H1401,PROGRAMAS[],3,FALSE),0)</f>
        <v>675517840.109828</v>
      </c>
      <c r="AK1401" s="246">
        <f>IFERROR(VLOOKUP(I1401,PROGRAMAS[],3,FALSE),0)</f>
        <v>31865326.38096505</v>
      </c>
      <c r="AL1401" s="246">
        <f>IFERROR(VLOOKUP(J1401,PROGRAMAS[],3,FALSE),0)</f>
        <v>118617452.52510804</v>
      </c>
      <c r="AM1401" s="246">
        <f>IFERROR(VLOOKUP(K1401,PROGRAMAS[],3,FALSE),0)</f>
        <v>2406564599.0319901</v>
      </c>
      <c r="AN1401" s="246">
        <f>IFERROR(VLOOKUP(L1401,PROGRAMAS[],3,FALSE),0)</f>
        <v>948595847.09039903</v>
      </c>
      <c r="AO1401" s="246">
        <f>IFERROR(VLOOKUP(M1401,PROGRAMAS[],3,FALSE),0)</f>
        <v>0</v>
      </c>
      <c r="AP1401" s="246">
        <f>IFERROR(VLOOKUP(N1401,PROGRAMAS[],3,FALSE),0)</f>
        <v>0</v>
      </c>
      <c r="AQ1401" s="246">
        <f>IFERROR(VLOOKUP(O1401,PROGRAMAS[],3,FALSE),0)</f>
        <v>0</v>
      </c>
      <c r="AR1401" s="246">
        <f>IFERROR(VLOOKUP(P1401,PROGRAMAS[],3,FALSE),0)</f>
        <v>0</v>
      </c>
      <c r="AS1401" s="246">
        <f>IFERROR(VLOOKUP(Q1401,PROGRAMAS[],3,FALSE),0)</f>
        <v>0</v>
      </c>
      <c r="AT1401" s="246">
        <f>IFERROR(VLOOKUP(D1401,VOL_REC[],2,FALSE),0)</f>
        <v>0</v>
      </c>
      <c r="AU1401" s="246">
        <f>IFERROR(VLOOKUP(E1401,VOL_REC[],2,FALSE),0)</f>
        <v>0</v>
      </c>
      <c r="AV1401" s="246">
        <f>IFERROR(VLOOKUP(F1401,VOL_REC[],2,FALSE),0)</f>
        <v>11089674.200000001</v>
      </c>
      <c r="AW1401" s="246">
        <f>IFERROR(VLOOKUP(G1401,VOL_REC[],2,FALSE),0)</f>
        <v>4325103.1812214684</v>
      </c>
      <c r="AX1401" s="246">
        <f>IFERROR(VLOOKUP(H1401,VOL_REC[],2,FALSE),0)</f>
        <v>240696.79238099116</v>
      </c>
      <c r="AY1401" s="246">
        <f>IFERROR(VLOOKUP(I1401,VOL_REC[],2,FALSE),0)</f>
        <v>17074.045034105649</v>
      </c>
      <c r="AZ1401" s="246">
        <f>IFERROR(VLOOKUP(J1401,VOL_REC[],2,FALSE),0)</f>
        <v>105072</v>
      </c>
      <c r="BA1401" s="246">
        <f>IFERROR(VLOOKUP(K1401,VOL_REC[],2,FALSE),0)</f>
        <v>1072354.9981737854</v>
      </c>
      <c r="BB1401" s="246">
        <f>IFERROR(VLOOKUP(L1401,VOL_REC[],2,FALSE),0)</f>
        <v>740113.98115702497</v>
      </c>
      <c r="BC1401" s="246">
        <f>IFERROR(VLOOKUP(M1401,VOL_REC[],2,FALSE),0)</f>
        <v>0</v>
      </c>
      <c r="BD1401" s="246">
        <f>IFERROR(VLOOKUP(N1401,VOL_REC[],2,FALSE),0)</f>
        <v>0</v>
      </c>
      <c r="BE1401" s="246">
        <f>IFERROR(VLOOKUP(O1401,VOL_REC[],2,FALSE),0)</f>
        <v>0</v>
      </c>
      <c r="BF1401" s="246">
        <f>IFERROR(VLOOKUP(P1401,VOL_REC[],2,FALSE),0)</f>
        <v>0</v>
      </c>
      <c r="BG1401" s="246">
        <f>IFERROR(VLOOKUP(Q1401,VOL_REC[],2,FALSE),0)</f>
        <v>0</v>
      </c>
      <c r="BH1401" s="1710">
        <f t="shared" si="84"/>
        <v>15143265783.740026</v>
      </c>
      <c r="BI1401" s="1710">
        <f t="shared" si="85"/>
        <v>13500437070.062439</v>
      </c>
      <c r="BJ1401" s="1711">
        <f t="shared" si="86"/>
        <v>17590089.197967373</v>
      </c>
      <c r="BK1401" s="1711">
        <f t="shared" si="87"/>
        <v>1.1216870761407127</v>
      </c>
      <c r="BL1401">
        <f>BJ1401</f>
        <v>17590089.197967373</v>
      </c>
      <c r="BO1401">
        <f>BL1401</f>
        <v>17590089.197967373</v>
      </c>
    </row>
    <row r="1402" spans="3:67" x14ac:dyDescent="0.25">
      <c r="C1402" s="246" t="s">
        <v>2752</v>
      </c>
      <c r="D1402" s="246">
        <v>1</v>
      </c>
      <c r="E1402" s="246">
        <v>2</v>
      </c>
      <c r="F1402" s="246">
        <v>3</v>
      </c>
      <c r="G1402" s="246">
        <v>5</v>
      </c>
      <c r="H1402" s="246">
        <v>13</v>
      </c>
      <c r="I1402" s="246">
        <v>14</v>
      </c>
      <c r="J1402" s="246">
        <v>15</v>
      </c>
      <c r="K1402" s="246">
        <v>16</v>
      </c>
      <c r="L1402" s="246">
        <v>17</v>
      </c>
      <c r="M1402" s="246"/>
      <c r="N1402" s="246"/>
      <c r="O1402" s="246"/>
      <c r="P1402" s="246"/>
      <c r="Q1402" s="246"/>
      <c r="R1402" s="246">
        <f>IFERROR(VLOOKUP(D1402,PROGRAMAS[],2,FALSE),0)</f>
        <v>97037803.679377079</v>
      </c>
      <c r="S1402" s="246">
        <f>IFERROR(VLOOKUP(E1402,PROGRAMAS[],2,FALSE),0)</f>
        <v>640501509.6821388</v>
      </c>
      <c r="T1402" s="246">
        <f>IFERROR(VLOOKUP(F1402,PROGRAMAS[],2,FALSE),0)</f>
        <v>3062327798.1525245</v>
      </c>
      <c r="U1402" s="246">
        <f>IFERROR(VLOOKUP(G1402,PROGRAMAS[],2,FALSE),0)</f>
        <v>1440941976.2528784</v>
      </c>
      <c r="V1402" s="246">
        <f>IFERROR(VLOOKUP(H1402,PROGRAMAS[],2,FALSE),0)</f>
        <v>3776538594.4604583</v>
      </c>
      <c r="W1402" s="246">
        <f>IFERROR(VLOOKUP(I1402,PROGRAMAS[],2,FALSE),0)</f>
        <v>54223862.645839565</v>
      </c>
      <c r="X1402" s="246">
        <f>IFERROR(VLOOKUP(J1402,PROGRAMAS[],2,FALSE),0)</f>
        <v>122159672.96346797</v>
      </c>
      <c r="Y1402" s="246">
        <f>IFERROR(VLOOKUP(K1402,PROGRAMAS[],2,FALSE),0)</f>
        <v>7068496961.0436354</v>
      </c>
      <c r="Z1402" s="246">
        <f>IFERROR(VLOOKUP(L1402,PROGRAMAS[],2,FALSE),0)</f>
        <v>1892779498.5211046</v>
      </c>
      <c r="AA1402" s="246">
        <f>IFERROR(VLOOKUP(M1402,PROGRAMAS[],2,FALSE),0)</f>
        <v>0</v>
      </c>
      <c r="AB1402" s="246">
        <f>IFERROR(VLOOKUP(N1402,PROGRAMAS[],2,FALSE),0)</f>
        <v>0</v>
      </c>
      <c r="AC1402" s="246">
        <f>IFERROR(VLOOKUP(O1402,PROGRAMAS[],2,FALSE),0)</f>
        <v>0</v>
      </c>
      <c r="AD1402" s="246">
        <f>IFERROR(VLOOKUP(P1402,PROGRAMAS[],2,FALSE),0)</f>
        <v>0</v>
      </c>
      <c r="AE1402" s="246">
        <f>IFERROR(VLOOKUP(Q1402,PROGRAMAS[],2,FALSE),0)</f>
        <v>0</v>
      </c>
      <c r="AF1402" s="246">
        <f>IFERROR(VLOOKUP(D1402,PROGRAMAS[],3,FALSE),0)</f>
        <v>841888629.31080008</v>
      </c>
      <c r="AG1402" s="246">
        <f>IFERROR(VLOOKUP(E1402,PROGRAMAS[],3,FALSE),0)</f>
        <v>3848980803.1642323</v>
      </c>
      <c r="AH1402" s="246">
        <f>IFERROR(VLOOKUP(F1402,PROGRAMAS[],3,FALSE),0)</f>
        <v>3394901471.387517</v>
      </c>
      <c r="AI1402" s="246">
        <f>IFERROR(VLOOKUP(G1402,PROGRAMAS[],3,FALSE),0)</f>
        <v>1233505101.0616004</v>
      </c>
      <c r="AJ1402" s="246">
        <f>IFERROR(VLOOKUP(H1402,PROGRAMAS[],3,FALSE),0)</f>
        <v>2392571243.5584412</v>
      </c>
      <c r="AK1402" s="246">
        <f>IFERROR(VLOOKUP(I1402,PROGRAMAS[],3,FALSE),0)</f>
        <v>31865326.38096505</v>
      </c>
      <c r="AL1402" s="246">
        <f>IFERROR(VLOOKUP(J1402,PROGRAMAS[],3,FALSE),0)</f>
        <v>118617452.52510804</v>
      </c>
      <c r="AM1402" s="246">
        <f>IFERROR(VLOOKUP(K1402,PROGRAMAS[],3,FALSE),0)</f>
        <v>2406564599.0319901</v>
      </c>
      <c r="AN1402" s="246">
        <f>IFERROR(VLOOKUP(L1402,PROGRAMAS[],3,FALSE),0)</f>
        <v>948595847.09039903</v>
      </c>
      <c r="AO1402" s="246">
        <f>IFERROR(VLOOKUP(M1402,PROGRAMAS[],3,FALSE),0)</f>
        <v>0</v>
      </c>
      <c r="AP1402" s="246">
        <f>IFERROR(VLOOKUP(N1402,PROGRAMAS[],3,FALSE),0)</f>
        <v>0</v>
      </c>
      <c r="AQ1402" s="246">
        <f>IFERROR(VLOOKUP(O1402,PROGRAMAS[],3,FALSE),0)</f>
        <v>0</v>
      </c>
      <c r="AR1402" s="246">
        <f>IFERROR(VLOOKUP(P1402,PROGRAMAS[],3,FALSE),0)</f>
        <v>0</v>
      </c>
      <c r="AS1402" s="246">
        <f>IFERROR(VLOOKUP(Q1402,PROGRAMAS[],3,FALSE),0)</f>
        <v>0</v>
      </c>
      <c r="AT1402" s="246">
        <f>IFERROR(VLOOKUP(D1402,VOL_REC[],2,FALSE),0)</f>
        <v>0</v>
      </c>
      <c r="AU1402" s="246">
        <f>IFERROR(VLOOKUP(E1402,VOL_REC[],2,FALSE),0)</f>
        <v>0</v>
      </c>
      <c r="AV1402" s="246">
        <f>IFERROR(VLOOKUP(F1402,VOL_REC[],2,FALSE),0)</f>
        <v>11089674.200000001</v>
      </c>
      <c r="AW1402" s="246">
        <f>IFERROR(VLOOKUP(G1402,VOL_REC[],2,FALSE),0)</f>
        <v>4325103.1812214684</v>
      </c>
      <c r="AX1402" s="246">
        <f>IFERROR(VLOOKUP(H1402,VOL_REC[],2,FALSE),0)</f>
        <v>663244.80000000016</v>
      </c>
      <c r="AY1402" s="246">
        <f>IFERROR(VLOOKUP(I1402,VOL_REC[],2,FALSE),0)</f>
        <v>17074.045034105649</v>
      </c>
      <c r="AZ1402" s="246">
        <f>IFERROR(VLOOKUP(J1402,VOL_REC[],2,FALSE),0)</f>
        <v>105072</v>
      </c>
      <c r="BA1402" s="246">
        <f>IFERROR(VLOOKUP(K1402,VOL_REC[],2,FALSE),0)</f>
        <v>1072354.9981737854</v>
      </c>
      <c r="BB1402" s="246">
        <f>IFERROR(VLOOKUP(L1402,VOL_REC[],2,FALSE),0)</f>
        <v>740113.98115702497</v>
      </c>
      <c r="BC1402" s="246">
        <f>IFERROR(VLOOKUP(M1402,VOL_REC[],2,FALSE),0)</f>
        <v>0</v>
      </c>
      <c r="BD1402" s="246">
        <f>IFERROR(VLOOKUP(N1402,VOL_REC[],2,FALSE),0)</f>
        <v>0</v>
      </c>
      <c r="BE1402" s="246">
        <f>IFERROR(VLOOKUP(O1402,VOL_REC[],2,FALSE),0)</f>
        <v>0</v>
      </c>
      <c r="BF1402" s="246">
        <f>IFERROR(VLOOKUP(P1402,VOL_REC[],2,FALSE),0)</f>
        <v>0</v>
      </c>
      <c r="BG1402" s="246">
        <f>IFERROR(VLOOKUP(Q1402,VOL_REC[],2,FALSE),0)</f>
        <v>0</v>
      </c>
      <c r="BH1402" s="1710">
        <f t="shared" si="84"/>
        <v>18155007677.401424</v>
      </c>
      <c r="BI1402" s="1710">
        <f t="shared" si="85"/>
        <v>15217490473.511053</v>
      </c>
      <c r="BJ1402" s="1711">
        <f t="shared" si="86"/>
        <v>18012637.205586385</v>
      </c>
      <c r="BK1402" s="1711">
        <f t="shared" si="87"/>
        <v>1.1930355868468379</v>
      </c>
      <c r="BL1402">
        <f>BJ1402</f>
        <v>18012637.205586385</v>
      </c>
      <c r="BO1402">
        <f>BL1402</f>
        <v>18012637.205586385</v>
      </c>
    </row>
    <row r="1403" spans="3:67" x14ac:dyDescent="0.25">
      <c r="C1403" s="246" t="s">
        <v>2753</v>
      </c>
      <c r="D1403" s="246">
        <v>1</v>
      </c>
      <c r="E1403" s="246">
        <v>2</v>
      </c>
      <c r="F1403" s="246">
        <v>3</v>
      </c>
      <c r="G1403" s="246">
        <v>6</v>
      </c>
      <c r="H1403" s="246">
        <v>9</v>
      </c>
      <c r="I1403" s="246">
        <v>10</v>
      </c>
      <c r="J1403" s="246">
        <v>12</v>
      </c>
      <c r="K1403" s="246">
        <v>13</v>
      </c>
      <c r="L1403" s="246">
        <v>14</v>
      </c>
      <c r="M1403" s="246"/>
      <c r="N1403" s="246"/>
      <c r="O1403" s="246"/>
      <c r="P1403" s="246"/>
      <c r="Q1403" s="246"/>
      <c r="R1403" s="246">
        <f>IFERROR(VLOOKUP(D1403,PROGRAMAS[],2,FALSE),0)</f>
        <v>97037803.679377079</v>
      </c>
      <c r="S1403" s="246">
        <f>IFERROR(VLOOKUP(E1403,PROGRAMAS[],2,FALSE),0)</f>
        <v>640501509.6821388</v>
      </c>
      <c r="T1403" s="246">
        <f>IFERROR(VLOOKUP(F1403,PROGRAMAS[],2,FALSE),0)</f>
        <v>3062327798.1525245</v>
      </c>
      <c r="U1403" s="246">
        <f>IFERROR(VLOOKUP(G1403,PROGRAMAS[],2,FALSE),0)</f>
        <v>6907648435.8447599</v>
      </c>
      <c r="V1403" s="246">
        <f>IFERROR(VLOOKUP(H1403,PROGRAMAS[],2,FALSE),0)</f>
        <v>6128579952.1618185</v>
      </c>
      <c r="W1403" s="246">
        <f>IFERROR(VLOOKUP(I1403,PROGRAMAS[],2,FALSE),0)</f>
        <v>4635315027.8751087</v>
      </c>
      <c r="X1403" s="246">
        <f>IFERROR(VLOOKUP(J1403,PROGRAMAS[],2,FALSE),0)</f>
        <v>764796700.79905891</v>
      </c>
      <c r="Y1403" s="246">
        <f>IFERROR(VLOOKUP(K1403,PROGRAMAS[],2,FALSE),0)</f>
        <v>3776538594.4604583</v>
      </c>
      <c r="Z1403" s="246">
        <f>IFERROR(VLOOKUP(L1403,PROGRAMAS[],2,FALSE),0)</f>
        <v>54223862.645839565</v>
      </c>
      <c r="AA1403" s="246">
        <f>IFERROR(VLOOKUP(M1403,PROGRAMAS[],2,FALSE),0)</f>
        <v>0</v>
      </c>
      <c r="AB1403" s="246">
        <f>IFERROR(VLOOKUP(N1403,PROGRAMAS[],2,FALSE),0)</f>
        <v>0</v>
      </c>
      <c r="AC1403" s="246">
        <f>IFERROR(VLOOKUP(O1403,PROGRAMAS[],2,FALSE),0)</f>
        <v>0</v>
      </c>
      <c r="AD1403" s="246">
        <f>IFERROR(VLOOKUP(P1403,PROGRAMAS[],2,FALSE),0)</f>
        <v>0</v>
      </c>
      <c r="AE1403" s="246">
        <f>IFERROR(VLOOKUP(Q1403,PROGRAMAS[],2,FALSE),0)</f>
        <v>0</v>
      </c>
      <c r="AF1403" s="246">
        <f>IFERROR(VLOOKUP(D1403,PROGRAMAS[],3,FALSE),0)</f>
        <v>841888629.31080008</v>
      </c>
      <c r="AG1403" s="246">
        <f>IFERROR(VLOOKUP(E1403,PROGRAMAS[],3,FALSE),0)</f>
        <v>3848980803.1642323</v>
      </c>
      <c r="AH1403" s="246">
        <f>IFERROR(VLOOKUP(F1403,PROGRAMAS[],3,FALSE),0)</f>
        <v>3394901471.387517</v>
      </c>
      <c r="AI1403" s="246">
        <f>IFERROR(VLOOKUP(G1403,PROGRAMAS[],3,FALSE),0)</f>
        <v>6129902208.7912121</v>
      </c>
      <c r="AJ1403" s="246">
        <f>IFERROR(VLOOKUP(H1403,PROGRAMAS[],3,FALSE),0)</f>
        <v>7011279577.519702</v>
      </c>
      <c r="AK1403" s="246">
        <f>IFERROR(VLOOKUP(I1403,PROGRAMAS[],3,FALSE),0)</f>
        <v>4099471734.9978786</v>
      </c>
      <c r="AL1403" s="246">
        <f>IFERROR(VLOOKUP(J1403,PROGRAMAS[],3,FALSE),0)</f>
        <v>675517840.109828</v>
      </c>
      <c r="AM1403" s="246">
        <f>IFERROR(VLOOKUP(K1403,PROGRAMAS[],3,FALSE),0)</f>
        <v>2392571243.5584412</v>
      </c>
      <c r="AN1403" s="246">
        <f>IFERROR(VLOOKUP(L1403,PROGRAMAS[],3,FALSE),0)</f>
        <v>31865326.38096505</v>
      </c>
      <c r="AO1403" s="246">
        <f>IFERROR(VLOOKUP(M1403,PROGRAMAS[],3,FALSE),0)</f>
        <v>0</v>
      </c>
      <c r="AP1403" s="246">
        <f>IFERROR(VLOOKUP(N1403,PROGRAMAS[],3,FALSE),0)</f>
        <v>0</v>
      </c>
      <c r="AQ1403" s="246">
        <f>IFERROR(VLOOKUP(O1403,PROGRAMAS[],3,FALSE),0)</f>
        <v>0</v>
      </c>
      <c r="AR1403" s="246">
        <f>IFERROR(VLOOKUP(P1403,PROGRAMAS[],3,FALSE),0)</f>
        <v>0</v>
      </c>
      <c r="AS1403" s="246">
        <f>IFERROR(VLOOKUP(Q1403,PROGRAMAS[],3,FALSE),0)</f>
        <v>0</v>
      </c>
      <c r="AT1403" s="246">
        <f>IFERROR(VLOOKUP(D1403,VOL_REC[],2,FALSE),0)</f>
        <v>0</v>
      </c>
      <c r="AU1403" s="246">
        <f>IFERROR(VLOOKUP(E1403,VOL_REC[],2,FALSE),0)</f>
        <v>0</v>
      </c>
      <c r="AV1403" s="246">
        <f>IFERROR(VLOOKUP(F1403,VOL_REC[],2,FALSE),0)</f>
        <v>11089674.200000001</v>
      </c>
      <c r="AW1403" s="246">
        <f>IFERROR(VLOOKUP(G1403,VOL_REC[],2,FALSE),0)</f>
        <v>15540036.397699751</v>
      </c>
      <c r="AX1403" s="246">
        <f>IFERROR(VLOOKUP(H1403,VOL_REC[],2,FALSE),0)</f>
        <v>3761786</v>
      </c>
      <c r="AY1403" s="246">
        <f>IFERROR(VLOOKUP(I1403,VOL_REC[],2,FALSE),0)</f>
        <v>1812240</v>
      </c>
      <c r="AZ1403" s="246">
        <f>IFERROR(VLOOKUP(J1403,VOL_REC[],2,FALSE),0)</f>
        <v>240696.79238099116</v>
      </c>
      <c r="BA1403" s="246">
        <f>IFERROR(VLOOKUP(K1403,VOL_REC[],2,FALSE),0)</f>
        <v>663244.80000000016</v>
      </c>
      <c r="BB1403" s="246">
        <f>IFERROR(VLOOKUP(L1403,VOL_REC[],2,FALSE),0)</f>
        <v>17074.045034105649</v>
      </c>
      <c r="BC1403" s="246">
        <f>IFERROR(VLOOKUP(M1403,VOL_REC[],2,FALSE),0)</f>
        <v>0</v>
      </c>
      <c r="BD1403" s="246">
        <f>IFERROR(VLOOKUP(N1403,VOL_REC[],2,FALSE),0)</f>
        <v>0</v>
      </c>
      <c r="BE1403" s="246">
        <f>IFERROR(VLOOKUP(O1403,VOL_REC[],2,FALSE),0)</f>
        <v>0</v>
      </c>
      <c r="BF1403" s="246">
        <f>IFERROR(VLOOKUP(P1403,VOL_REC[],2,FALSE),0)</f>
        <v>0</v>
      </c>
      <c r="BG1403" s="246">
        <f>IFERROR(VLOOKUP(Q1403,VOL_REC[],2,FALSE),0)</f>
        <v>0</v>
      </c>
      <c r="BH1403" s="1710">
        <f t="shared" si="84"/>
        <v>26066969685.301083</v>
      </c>
      <c r="BI1403" s="1710">
        <f t="shared" si="85"/>
        <v>28426378835.220581</v>
      </c>
      <c r="BJ1403" s="1711">
        <f t="shared" si="86"/>
        <v>33124752.235114854</v>
      </c>
      <c r="BK1403" s="1711">
        <f t="shared" si="87"/>
        <v>0.91699930674968122</v>
      </c>
    </row>
    <row r="1404" spans="3:67" x14ac:dyDescent="0.25">
      <c r="C1404" s="246" t="s">
        <v>2754</v>
      </c>
      <c r="D1404" s="246">
        <v>1</v>
      </c>
      <c r="E1404" s="246">
        <v>2</v>
      </c>
      <c r="F1404" s="246">
        <v>3</v>
      </c>
      <c r="G1404" s="246">
        <v>6</v>
      </c>
      <c r="H1404" s="246">
        <v>9</v>
      </c>
      <c r="I1404" s="246">
        <v>10</v>
      </c>
      <c r="J1404" s="246">
        <v>12</v>
      </c>
      <c r="K1404" s="246">
        <v>13</v>
      </c>
      <c r="L1404" s="246">
        <v>15</v>
      </c>
      <c r="M1404" s="246"/>
      <c r="N1404" s="246"/>
      <c r="O1404" s="246"/>
      <c r="P1404" s="246"/>
      <c r="Q1404" s="246"/>
      <c r="R1404" s="246">
        <f>IFERROR(VLOOKUP(D1404,PROGRAMAS[],2,FALSE),0)</f>
        <v>97037803.679377079</v>
      </c>
      <c r="S1404" s="246">
        <f>IFERROR(VLOOKUP(E1404,PROGRAMAS[],2,FALSE),0)</f>
        <v>640501509.6821388</v>
      </c>
      <c r="T1404" s="246">
        <f>IFERROR(VLOOKUP(F1404,PROGRAMAS[],2,FALSE),0)</f>
        <v>3062327798.1525245</v>
      </c>
      <c r="U1404" s="246">
        <f>IFERROR(VLOOKUP(G1404,PROGRAMAS[],2,FALSE),0)</f>
        <v>6907648435.8447599</v>
      </c>
      <c r="V1404" s="246">
        <f>IFERROR(VLOOKUP(H1404,PROGRAMAS[],2,FALSE),0)</f>
        <v>6128579952.1618185</v>
      </c>
      <c r="W1404" s="246">
        <f>IFERROR(VLOOKUP(I1404,PROGRAMAS[],2,FALSE),0)</f>
        <v>4635315027.8751087</v>
      </c>
      <c r="X1404" s="246">
        <f>IFERROR(VLOOKUP(J1404,PROGRAMAS[],2,FALSE),0)</f>
        <v>764796700.79905891</v>
      </c>
      <c r="Y1404" s="246">
        <f>IFERROR(VLOOKUP(K1404,PROGRAMAS[],2,FALSE),0)</f>
        <v>3776538594.4604583</v>
      </c>
      <c r="Z1404" s="246">
        <f>IFERROR(VLOOKUP(L1404,PROGRAMAS[],2,FALSE),0)</f>
        <v>122159672.96346797</v>
      </c>
      <c r="AA1404" s="246">
        <f>IFERROR(VLOOKUP(M1404,PROGRAMAS[],2,FALSE),0)</f>
        <v>0</v>
      </c>
      <c r="AB1404" s="246">
        <f>IFERROR(VLOOKUP(N1404,PROGRAMAS[],2,FALSE),0)</f>
        <v>0</v>
      </c>
      <c r="AC1404" s="246">
        <f>IFERROR(VLOOKUP(O1404,PROGRAMAS[],2,FALSE),0)</f>
        <v>0</v>
      </c>
      <c r="AD1404" s="246">
        <f>IFERROR(VLOOKUP(P1404,PROGRAMAS[],2,FALSE),0)</f>
        <v>0</v>
      </c>
      <c r="AE1404" s="246">
        <f>IFERROR(VLOOKUP(Q1404,PROGRAMAS[],2,FALSE),0)</f>
        <v>0</v>
      </c>
      <c r="AF1404" s="246">
        <f>IFERROR(VLOOKUP(D1404,PROGRAMAS[],3,FALSE),0)</f>
        <v>841888629.31080008</v>
      </c>
      <c r="AG1404" s="246">
        <f>IFERROR(VLOOKUP(E1404,PROGRAMAS[],3,FALSE),0)</f>
        <v>3848980803.1642323</v>
      </c>
      <c r="AH1404" s="246">
        <f>IFERROR(VLOOKUP(F1404,PROGRAMAS[],3,FALSE),0)</f>
        <v>3394901471.387517</v>
      </c>
      <c r="AI1404" s="246">
        <f>IFERROR(VLOOKUP(G1404,PROGRAMAS[],3,FALSE),0)</f>
        <v>6129902208.7912121</v>
      </c>
      <c r="AJ1404" s="246">
        <f>IFERROR(VLOOKUP(H1404,PROGRAMAS[],3,FALSE),0)</f>
        <v>7011279577.519702</v>
      </c>
      <c r="AK1404" s="246">
        <f>IFERROR(VLOOKUP(I1404,PROGRAMAS[],3,FALSE),0)</f>
        <v>4099471734.9978786</v>
      </c>
      <c r="AL1404" s="246">
        <f>IFERROR(VLOOKUP(J1404,PROGRAMAS[],3,FALSE),0)</f>
        <v>675517840.109828</v>
      </c>
      <c r="AM1404" s="246">
        <f>IFERROR(VLOOKUP(K1404,PROGRAMAS[],3,FALSE),0)</f>
        <v>2392571243.5584412</v>
      </c>
      <c r="AN1404" s="246">
        <f>IFERROR(VLOOKUP(L1404,PROGRAMAS[],3,FALSE),0)</f>
        <v>118617452.52510804</v>
      </c>
      <c r="AO1404" s="246">
        <f>IFERROR(VLOOKUP(M1404,PROGRAMAS[],3,FALSE),0)</f>
        <v>0</v>
      </c>
      <c r="AP1404" s="246">
        <f>IFERROR(VLOOKUP(N1404,PROGRAMAS[],3,FALSE),0)</f>
        <v>0</v>
      </c>
      <c r="AQ1404" s="246">
        <f>IFERROR(VLOOKUP(O1404,PROGRAMAS[],3,FALSE),0)</f>
        <v>0</v>
      </c>
      <c r="AR1404" s="246">
        <f>IFERROR(VLOOKUP(P1404,PROGRAMAS[],3,FALSE),0)</f>
        <v>0</v>
      </c>
      <c r="AS1404" s="246">
        <f>IFERROR(VLOOKUP(Q1404,PROGRAMAS[],3,FALSE),0)</f>
        <v>0</v>
      </c>
      <c r="AT1404" s="246">
        <f>IFERROR(VLOOKUP(D1404,VOL_REC[],2,FALSE),0)</f>
        <v>0</v>
      </c>
      <c r="AU1404" s="246">
        <f>IFERROR(VLOOKUP(E1404,VOL_REC[],2,FALSE),0)</f>
        <v>0</v>
      </c>
      <c r="AV1404" s="246">
        <f>IFERROR(VLOOKUP(F1404,VOL_REC[],2,FALSE),0)</f>
        <v>11089674.200000001</v>
      </c>
      <c r="AW1404" s="246">
        <f>IFERROR(VLOOKUP(G1404,VOL_REC[],2,FALSE),0)</f>
        <v>15540036.397699751</v>
      </c>
      <c r="AX1404" s="246">
        <f>IFERROR(VLOOKUP(H1404,VOL_REC[],2,FALSE),0)</f>
        <v>3761786</v>
      </c>
      <c r="AY1404" s="246">
        <f>IFERROR(VLOOKUP(I1404,VOL_REC[],2,FALSE),0)</f>
        <v>1812240</v>
      </c>
      <c r="AZ1404" s="246">
        <f>IFERROR(VLOOKUP(J1404,VOL_REC[],2,FALSE),0)</f>
        <v>240696.79238099116</v>
      </c>
      <c r="BA1404" s="246">
        <f>IFERROR(VLOOKUP(K1404,VOL_REC[],2,FALSE),0)</f>
        <v>663244.80000000016</v>
      </c>
      <c r="BB1404" s="246">
        <f>IFERROR(VLOOKUP(L1404,VOL_REC[],2,FALSE),0)</f>
        <v>105072</v>
      </c>
      <c r="BC1404" s="246">
        <f>IFERROR(VLOOKUP(M1404,VOL_REC[],2,FALSE),0)</f>
        <v>0</v>
      </c>
      <c r="BD1404" s="246">
        <f>IFERROR(VLOOKUP(N1404,VOL_REC[],2,FALSE),0)</f>
        <v>0</v>
      </c>
      <c r="BE1404" s="246">
        <f>IFERROR(VLOOKUP(O1404,VOL_REC[],2,FALSE),0)</f>
        <v>0</v>
      </c>
      <c r="BF1404" s="246">
        <f>IFERROR(VLOOKUP(P1404,VOL_REC[],2,FALSE),0)</f>
        <v>0</v>
      </c>
      <c r="BG1404" s="246">
        <f>IFERROR(VLOOKUP(Q1404,VOL_REC[],2,FALSE),0)</f>
        <v>0</v>
      </c>
      <c r="BH1404" s="1710">
        <f t="shared" si="84"/>
        <v>26134905495.61871</v>
      </c>
      <c r="BI1404" s="1710">
        <f t="shared" si="85"/>
        <v>28513130961.364723</v>
      </c>
      <c r="BJ1404" s="1711">
        <f t="shared" si="86"/>
        <v>33212750.190080747</v>
      </c>
      <c r="BK1404" s="1711">
        <f t="shared" si="87"/>
        <v>0.91659192149159252</v>
      </c>
    </row>
    <row r="1405" spans="3:67" x14ac:dyDescent="0.25">
      <c r="C1405" s="246" t="s">
        <v>2755</v>
      </c>
      <c r="D1405" s="246">
        <v>1</v>
      </c>
      <c r="E1405" s="246">
        <v>2</v>
      </c>
      <c r="F1405" s="246">
        <v>3</v>
      </c>
      <c r="G1405" s="246">
        <v>6</v>
      </c>
      <c r="H1405" s="246">
        <v>9</v>
      </c>
      <c r="I1405" s="246">
        <v>10</v>
      </c>
      <c r="J1405" s="246">
        <v>12</v>
      </c>
      <c r="K1405" s="246">
        <v>13</v>
      </c>
      <c r="L1405" s="246">
        <v>16</v>
      </c>
      <c r="M1405" s="246"/>
      <c r="N1405" s="246"/>
      <c r="O1405" s="246"/>
      <c r="P1405" s="246"/>
      <c r="Q1405" s="246"/>
      <c r="R1405" s="246">
        <f>IFERROR(VLOOKUP(D1405,PROGRAMAS[],2,FALSE),0)</f>
        <v>97037803.679377079</v>
      </c>
      <c r="S1405" s="246">
        <f>IFERROR(VLOOKUP(E1405,PROGRAMAS[],2,FALSE),0)</f>
        <v>640501509.6821388</v>
      </c>
      <c r="T1405" s="246">
        <f>IFERROR(VLOOKUP(F1405,PROGRAMAS[],2,FALSE),0)</f>
        <v>3062327798.1525245</v>
      </c>
      <c r="U1405" s="246">
        <f>IFERROR(VLOOKUP(G1405,PROGRAMAS[],2,FALSE),0)</f>
        <v>6907648435.8447599</v>
      </c>
      <c r="V1405" s="246">
        <f>IFERROR(VLOOKUP(H1405,PROGRAMAS[],2,FALSE),0)</f>
        <v>6128579952.1618185</v>
      </c>
      <c r="W1405" s="246">
        <f>IFERROR(VLOOKUP(I1405,PROGRAMAS[],2,FALSE),0)</f>
        <v>4635315027.8751087</v>
      </c>
      <c r="X1405" s="246">
        <f>IFERROR(VLOOKUP(J1405,PROGRAMAS[],2,FALSE),0)</f>
        <v>764796700.79905891</v>
      </c>
      <c r="Y1405" s="246">
        <f>IFERROR(VLOOKUP(K1405,PROGRAMAS[],2,FALSE),0)</f>
        <v>3776538594.4604583</v>
      </c>
      <c r="Z1405" s="246">
        <f>IFERROR(VLOOKUP(L1405,PROGRAMAS[],2,FALSE),0)</f>
        <v>7068496961.0436354</v>
      </c>
      <c r="AA1405" s="246">
        <f>IFERROR(VLOOKUP(M1405,PROGRAMAS[],2,FALSE),0)</f>
        <v>0</v>
      </c>
      <c r="AB1405" s="246">
        <f>IFERROR(VLOOKUP(N1405,PROGRAMAS[],2,FALSE),0)</f>
        <v>0</v>
      </c>
      <c r="AC1405" s="246">
        <f>IFERROR(VLOOKUP(O1405,PROGRAMAS[],2,FALSE),0)</f>
        <v>0</v>
      </c>
      <c r="AD1405" s="246">
        <f>IFERROR(VLOOKUP(P1405,PROGRAMAS[],2,FALSE),0)</f>
        <v>0</v>
      </c>
      <c r="AE1405" s="246">
        <f>IFERROR(VLOOKUP(Q1405,PROGRAMAS[],2,FALSE),0)</f>
        <v>0</v>
      </c>
      <c r="AF1405" s="246">
        <f>IFERROR(VLOOKUP(D1405,PROGRAMAS[],3,FALSE),0)</f>
        <v>841888629.31080008</v>
      </c>
      <c r="AG1405" s="246">
        <f>IFERROR(VLOOKUP(E1405,PROGRAMAS[],3,FALSE),0)</f>
        <v>3848980803.1642323</v>
      </c>
      <c r="AH1405" s="246">
        <f>IFERROR(VLOOKUP(F1405,PROGRAMAS[],3,FALSE),0)</f>
        <v>3394901471.387517</v>
      </c>
      <c r="AI1405" s="246">
        <f>IFERROR(VLOOKUP(G1405,PROGRAMAS[],3,FALSE),0)</f>
        <v>6129902208.7912121</v>
      </c>
      <c r="AJ1405" s="246">
        <f>IFERROR(VLOOKUP(H1405,PROGRAMAS[],3,FALSE),0)</f>
        <v>7011279577.519702</v>
      </c>
      <c r="AK1405" s="246">
        <f>IFERROR(VLOOKUP(I1405,PROGRAMAS[],3,FALSE),0)</f>
        <v>4099471734.9978786</v>
      </c>
      <c r="AL1405" s="246">
        <f>IFERROR(VLOOKUP(J1405,PROGRAMAS[],3,FALSE),0)</f>
        <v>675517840.109828</v>
      </c>
      <c r="AM1405" s="246">
        <f>IFERROR(VLOOKUP(K1405,PROGRAMAS[],3,FALSE),0)</f>
        <v>2392571243.5584412</v>
      </c>
      <c r="AN1405" s="246">
        <f>IFERROR(VLOOKUP(L1405,PROGRAMAS[],3,FALSE),0)</f>
        <v>2406564599.0319901</v>
      </c>
      <c r="AO1405" s="246">
        <f>IFERROR(VLOOKUP(M1405,PROGRAMAS[],3,FALSE),0)</f>
        <v>0</v>
      </c>
      <c r="AP1405" s="246">
        <f>IFERROR(VLOOKUP(N1405,PROGRAMAS[],3,FALSE),0)</f>
        <v>0</v>
      </c>
      <c r="AQ1405" s="246">
        <f>IFERROR(VLOOKUP(O1405,PROGRAMAS[],3,FALSE),0)</f>
        <v>0</v>
      </c>
      <c r="AR1405" s="246">
        <f>IFERROR(VLOOKUP(P1405,PROGRAMAS[],3,FALSE),0)</f>
        <v>0</v>
      </c>
      <c r="AS1405" s="246">
        <f>IFERROR(VLOOKUP(Q1405,PROGRAMAS[],3,FALSE),0)</f>
        <v>0</v>
      </c>
      <c r="AT1405" s="246">
        <f>IFERROR(VLOOKUP(D1405,VOL_REC[],2,FALSE),0)</f>
        <v>0</v>
      </c>
      <c r="AU1405" s="246">
        <f>IFERROR(VLOOKUP(E1405,VOL_REC[],2,FALSE),0)</f>
        <v>0</v>
      </c>
      <c r="AV1405" s="246">
        <f>IFERROR(VLOOKUP(F1405,VOL_REC[],2,FALSE),0)</f>
        <v>11089674.200000001</v>
      </c>
      <c r="AW1405" s="246">
        <f>IFERROR(VLOOKUP(G1405,VOL_REC[],2,FALSE),0)</f>
        <v>15540036.397699751</v>
      </c>
      <c r="AX1405" s="246">
        <f>IFERROR(VLOOKUP(H1405,VOL_REC[],2,FALSE),0)</f>
        <v>3761786</v>
      </c>
      <c r="AY1405" s="246">
        <f>IFERROR(VLOOKUP(I1405,VOL_REC[],2,FALSE),0)</f>
        <v>1812240</v>
      </c>
      <c r="AZ1405" s="246">
        <f>IFERROR(VLOOKUP(J1405,VOL_REC[],2,FALSE),0)</f>
        <v>240696.79238099116</v>
      </c>
      <c r="BA1405" s="246">
        <f>IFERROR(VLOOKUP(K1405,VOL_REC[],2,FALSE),0)</f>
        <v>663244.80000000016</v>
      </c>
      <c r="BB1405" s="246">
        <f>IFERROR(VLOOKUP(L1405,VOL_REC[],2,FALSE),0)</f>
        <v>1072354.9981737854</v>
      </c>
      <c r="BC1405" s="246">
        <f>IFERROR(VLOOKUP(M1405,VOL_REC[],2,FALSE),0)</f>
        <v>0</v>
      </c>
      <c r="BD1405" s="246">
        <f>IFERROR(VLOOKUP(N1405,VOL_REC[],2,FALSE),0)</f>
        <v>0</v>
      </c>
      <c r="BE1405" s="246">
        <f>IFERROR(VLOOKUP(O1405,VOL_REC[],2,FALSE),0)</f>
        <v>0</v>
      </c>
      <c r="BF1405" s="246">
        <f>IFERROR(VLOOKUP(P1405,VOL_REC[],2,FALSE),0)</f>
        <v>0</v>
      </c>
      <c r="BG1405" s="246">
        <f>IFERROR(VLOOKUP(Q1405,VOL_REC[],2,FALSE),0)</f>
        <v>0</v>
      </c>
      <c r="BH1405" s="1710">
        <f t="shared" si="84"/>
        <v>33081242783.698879</v>
      </c>
      <c r="BI1405" s="1710">
        <f t="shared" si="85"/>
        <v>30801078107.871605</v>
      </c>
      <c r="BJ1405" s="1711">
        <f t="shared" si="86"/>
        <v>34180033.188254535</v>
      </c>
      <c r="BK1405" s="1711">
        <f t="shared" si="87"/>
        <v>1.0740287293789417</v>
      </c>
      <c r="BL1405">
        <f>BJ1405</f>
        <v>34180033.188254535</v>
      </c>
      <c r="BO1405">
        <f>BL1405</f>
        <v>34180033.188254535</v>
      </c>
    </row>
    <row r="1406" spans="3:67" x14ac:dyDescent="0.25">
      <c r="C1406" s="246" t="s">
        <v>2756</v>
      </c>
      <c r="D1406" s="246">
        <v>1</v>
      </c>
      <c r="E1406" s="246">
        <v>2</v>
      </c>
      <c r="F1406" s="246">
        <v>3</v>
      </c>
      <c r="G1406" s="246">
        <v>6</v>
      </c>
      <c r="H1406" s="246">
        <v>9</v>
      </c>
      <c r="I1406" s="246">
        <v>10</v>
      </c>
      <c r="J1406" s="246">
        <v>12</v>
      </c>
      <c r="K1406" s="246">
        <v>13</v>
      </c>
      <c r="L1406" s="246">
        <v>17</v>
      </c>
      <c r="M1406" s="246"/>
      <c r="N1406" s="246"/>
      <c r="O1406" s="246"/>
      <c r="P1406" s="246"/>
      <c r="Q1406" s="246"/>
      <c r="R1406" s="246">
        <f>IFERROR(VLOOKUP(D1406,PROGRAMAS[],2,FALSE),0)</f>
        <v>97037803.679377079</v>
      </c>
      <c r="S1406" s="246">
        <f>IFERROR(VLOOKUP(E1406,PROGRAMAS[],2,FALSE),0)</f>
        <v>640501509.6821388</v>
      </c>
      <c r="T1406" s="246">
        <f>IFERROR(VLOOKUP(F1406,PROGRAMAS[],2,FALSE),0)</f>
        <v>3062327798.1525245</v>
      </c>
      <c r="U1406" s="246">
        <f>IFERROR(VLOOKUP(G1406,PROGRAMAS[],2,FALSE),0)</f>
        <v>6907648435.8447599</v>
      </c>
      <c r="V1406" s="246">
        <f>IFERROR(VLOOKUP(H1406,PROGRAMAS[],2,FALSE),0)</f>
        <v>6128579952.1618185</v>
      </c>
      <c r="W1406" s="246">
        <f>IFERROR(VLOOKUP(I1406,PROGRAMAS[],2,FALSE),0)</f>
        <v>4635315027.8751087</v>
      </c>
      <c r="X1406" s="246">
        <f>IFERROR(VLOOKUP(J1406,PROGRAMAS[],2,FALSE),0)</f>
        <v>764796700.79905891</v>
      </c>
      <c r="Y1406" s="246">
        <f>IFERROR(VLOOKUP(K1406,PROGRAMAS[],2,FALSE),0)</f>
        <v>3776538594.4604583</v>
      </c>
      <c r="Z1406" s="246">
        <f>IFERROR(VLOOKUP(L1406,PROGRAMAS[],2,FALSE),0)</f>
        <v>1892779498.5211046</v>
      </c>
      <c r="AA1406" s="246">
        <f>IFERROR(VLOOKUP(M1406,PROGRAMAS[],2,FALSE),0)</f>
        <v>0</v>
      </c>
      <c r="AB1406" s="246">
        <f>IFERROR(VLOOKUP(N1406,PROGRAMAS[],2,FALSE),0)</f>
        <v>0</v>
      </c>
      <c r="AC1406" s="246">
        <f>IFERROR(VLOOKUP(O1406,PROGRAMAS[],2,FALSE),0)</f>
        <v>0</v>
      </c>
      <c r="AD1406" s="246">
        <f>IFERROR(VLOOKUP(P1406,PROGRAMAS[],2,FALSE),0)</f>
        <v>0</v>
      </c>
      <c r="AE1406" s="246">
        <f>IFERROR(VLOOKUP(Q1406,PROGRAMAS[],2,FALSE),0)</f>
        <v>0</v>
      </c>
      <c r="AF1406" s="246">
        <f>IFERROR(VLOOKUP(D1406,PROGRAMAS[],3,FALSE),0)</f>
        <v>841888629.31080008</v>
      </c>
      <c r="AG1406" s="246">
        <f>IFERROR(VLOOKUP(E1406,PROGRAMAS[],3,FALSE),0)</f>
        <v>3848980803.1642323</v>
      </c>
      <c r="AH1406" s="246">
        <f>IFERROR(VLOOKUP(F1406,PROGRAMAS[],3,FALSE),0)</f>
        <v>3394901471.387517</v>
      </c>
      <c r="AI1406" s="246">
        <f>IFERROR(VLOOKUP(G1406,PROGRAMAS[],3,FALSE),0)</f>
        <v>6129902208.7912121</v>
      </c>
      <c r="AJ1406" s="246">
        <f>IFERROR(VLOOKUP(H1406,PROGRAMAS[],3,FALSE),0)</f>
        <v>7011279577.519702</v>
      </c>
      <c r="AK1406" s="246">
        <f>IFERROR(VLOOKUP(I1406,PROGRAMAS[],3,FALSE),0)</f>
        <v>4099471734.9978786</v>
      </c>
      <c r="AL1406" s="246">
        <f>IFERROR(VLOOKUP(J1406,PROGRAMAS[],3,FALSE),0)</f>
        <v>675517840.109828</v>
      </c>
      <c r="AM1406" s="246">
        <f>IFERROR(VLOOKUP(K1406,PROGRAMAS[],3,FALSE),0)</f>
        <v>2392571243.5584412</v>
      </c>
      <c r="AN1406" s="246">
        <f>IFERROR(VLOOKUP(L1406,PROGRAMAS[],3,FALSE),0)</f>
        <v>948595847.09039903</v>
      </c>
      <c r="AO1406" s="246">
        <f>IFERROR(VLOOKUP(M1406,PROGRAMAS[],3,FALSE),0)</f>
        <v>0</v>
      </c>
      <c r="AP1406" s="246">
        <f>IFERROR(VLOOKUP(N1406,PROGRAMAS[],3,FALSE),0)</f>
        <v>0</v>
      </c>
      <c r="AQ1406" s="246">
        <f>IFERROR(VLOOKUP(O1406,PROGRAMAS[],3,FALSE),0)</f>
        <v>0</v>
      </c>
      <c r="AR1406" s="246">
        <f>IFERROR(VLOOKUP(P1406,PROGRAMAS[],3,FALSE),0)</f>
        <v>0</v>
      </c>
      <c r="AS1406" s="246">
        <f>IFERROR(VLOOKUP(Q1406,PROGRAMAS[],3,FALSE),0)</f>
        <v>0</v>
      </c>
      <c r="AT1406" s="246">
        <f>IFERROR(VLOOKUP(D1406,VOL_REC[],2,FALSE),0)</f>
        <v>0</v>
      </c>
      <c r="AU1406" s="246">
        <f>IFERROR(VLOOKUP(E1406,VOL_REC[],2,FALSE),0)</f>
        <v>0</v>
      </c>
      <c r="AV1406" s="246">
        <f>IFERROR(VLOOKUP(F1406,VOL_REC[],2,FALSE),0)</f>
        <v>11089674.200000001</v>
      </c>
      <c r="AW1406" s="246">
        <f>IFERROR(VLOOKUP(G1406,VOL_REC[],2,FALSE),0)</f>
        <v>15540036.397699751</v>
      </c>
      <c r="AX1406" s="246">
        <f>IFERROR(VLOOKUP(H1406,VOL_REC[],2,FALSE),0)</f>
        <v>3761786</v>
      </c>
      <c r="AY1406" s="246">
        <f>IFERROR(VLOOKUP(I1406,VOL_REC[],2,FALSE),0)</f>
        <v>1812240</v>
      </c>
      <c r="AZ1406" s="246">
        <f>IFERROR(VLOOKUP(J1406,VOL_REC[],2,FALSE),0)</f>
        <v>240696.79238099116</v>
      </c>
      <c r="BA1406" s="246">
        <f>IFERROR(VLOOKUP(K1406,VOL_REC[],2,FALSE),0)</f>
        <v>663244.80000000016</v>
      </c>
      <c r="BB1406" s="246">
        <f>IFERROR(VLOOKUP(L1406,VOL_REC[],2,FALSE),0)</f>
        <v>740113.98115702497</v>
      </c>
      <c r="BC1406" s="246">
        <f>IFERROR(VLOOKUP(M1406,VOL_REC[],2,FALSE),0)</f>
        <v>0</v>
      </c>
      <c r="BD1406" s="246">
        <f>IFERROR(VLOOKUP(N1406,VOL_REC[],2,FALSE),0)</f>
        <v>0</v>
      </c>
      <c r="BE1406" s="246">
        <f>IFERROR(VLOOKUP(O1406,VOL_REC[],2,FALSE),0)</f>
        <v>0</v>
      </c>
      <c r="BF1406" s="246">
        <f>IFERROR(VLOOKUP(P1406,VOL_REC[],2,FALSE),0)</f>
        <v>0</v>
      </c>
      <c r="BG1406" s="246">
        <f>IFERROR(VLOOKUP(Q1406,VOL_REC[],2,FALSE),0)</f>
        <v>0</v>
      </c>
      <c r="BH1406" s="1710">
        <f t="shared" si="84"/>
        <v>27905525321.176346</v>
      </c>
      <c r="BI1406" s="1710">
        <f t="shared" si="85"/>
        <v>29343109355.930016</v>
      </c>
      <c r="BJ1406" s="1711">
        <f t="shared" si="86"/>
        <v>33847792.171237774</v>
      </c>
      <c r="BK1406" s="1711">
        <f t="shared" si="87"/>
        <v>0.95100778116879614</v>
      </c>
    </row>
    <row r="1407" spans="3:67" x14ac:dyDescent="0.25">
      <c r="C1407" s="246" t="s">
        <v>2757</v>
      </c>
      <c r="D1407" s="246">
        <v>1</v>
      </c>
      <c r="E1407" s="246">
        <v>2</v>
      </c>
      <c r="F1407" s="246">
        <v>3</v>
      </c>
      <c r="G1407" s="246">
        <v>6</v>
      </c>
      <c r="H1407" s="246">
        <v>9</v>
      </c>
      <c r="I1407" s="246">
        <v>10</v>
      </c>
      <c r="J1407" s="246">
        <v>12</v>
      </c>
      <c r="K1407" s="246">
        <v>14</v>
      </c>
      <c r="L1407" s="246">
        <v>15</v>
      </c>
      <c r="M1407" s="246"/>
      <c r="N1407" s="246"/>
      <c r="O1407" s="246"/>
      <c r="P1407" s="246"/>
      <c r="Q1407" s="246"/>
      <c r="R1407" s="246">
        <f>IFERROR(VLOOKUP(D1407,PROGRAMAS[],2,FALSE),0)</f>
        <v>97037803.679377079</v>
      </c>
      <c r="S1407" s="246">
        <f>IFERROR(VLOOKUP(E1407,PROGRAMAS[],2,FALSE),0)</f>
        <v>640501509.6821388</v>
      </c>
      <c r="T1407" s="246">
        <f>IFERROR(VLOOKUP(F1407,PROGRAMAS[],2,FALSE),0)</f>
        <v>3062327798.1525245</v>
      </c>
      <c r="U1407" s="246">
        <f>IFERROR(VLOOKUP(G1407,PROGRAMAS[],2,FALSE),0)</f>
        <v>6907648435.8447599</v>
      </c>
      <c r="V1407" s="246">
        <f>IFERROR(VLOOKUP(H1407,PROGRAMAS[],2,FALSE),0)</f>
        <v>6128579952.1618185</v>
      </c>
      <c r="W1407" s="246">
        <f>IFERROR(VLOOKUP(I1407,PROGRAMAS[],2,FALSE),0)</f>
        <v>4635315027.8751087</v>
      </c>
      <c r="X1407" s="246">
        <f>IFERROR(VLOOKUP(J1407,PROGRAMAS[],2,FALSE),0)</f>
        <v>764796700.79905891</v>
      </c>
      <c r="Y1407" s="246">
        <f>IFERROR(VLOOKUP(K1407,PROGRAMAS[],2,FALSE),0)</f>
        <v>54223862.645839565</v>
      </c>
      <c r="Z1407" s="246">
        <f>IFERROR(VLOOKUP(L1407,PROGRAMAS[],2,FALSE),0)</f>
        <v>122159672.96346797</v>
      </c>
      <c r="AA1407" s="246">
        <f>IFERROR(VLOOKUP(M1407,PROGRAMAS[],2,FALSE),0)</f>
        <v>0</v>
      </c>
      <c r="AB1407" s="246">
        <f>IFERROR(VLOOKUP(N1407,PROGRAMAS[],2,FALSE),0)</f>
        <v>0</v>
      </c>
      <c r="AC1407" s="246">
        <f>IFERROR(VLOOKUP(O1407,PROGRAMAS[],2,FALSE),0)</f>
        <v>0</v>
      </c>
      <c r="AD1407" s="246">
        <f>IFERROR(VLOOKUP(P1407,PROGRAMAS[],2,FALSE),0)</f>
        <v>0</v>
      </c>
      <c r="AE1407" s="246">
        <f>IFERROR(VLOOKUP(Q1407,PROGRAMAS[],2,FALSE),0)</f>
        <v>0</v>
      </c>
      <c r="AF1407" s="246">
        <f>IFERROR(VLOOKUP(D1407,PROGRAMAS[],3,FALSE),0)</f>
        <v>841888629.31080008</v>
      </c>
      <c r="AG1407" s="246">
        <f>IFERROR(VLOOKUP(E1407,PROGRAMAS[],3,FALSE),0)</f>
        <v>3848980803.1642323</v>
      </c>
      <c r="AH1407" s="246">
        <f>IFERROR(VLOOKUP(F1407,PROGRAMAS[],3,FALSE),0)</f>
        <v>3394901471.387517</v>
      </c>
      <c r="AI1407" s="246">
        <f>IFERROR(VLOOKUP(G1407,PROGRAMAS[],3,FALSE),0)</f>
        <v>6129902208.7912121</v>
      </c>
      <c r="AJ1407" s="246">
        <f>IFERROR(VLOOKUP(H1407,PROGRAMAS[],3,FALSE),0)</f>
        <v>7011279577.519702</v>
      </c>
      <c r="AK1407" s="246">
        <f>IFERROR(VLOOKUP(I1407,PROGRAMAS[],3,FALSE),0)</f>
        <v>4099471734.9978786</v>
      </c>
      <c r="AL1407" s="246">
        <f>IFERROR(VLOOKUP(J1407,PROGRAMAS[],3,FALSE),0)</f>
        <v>675517840.109828</v>
      </c>
      <c r="AM1407" s="246">
        <f>IFERROR(VLOOKUP(K1407,PROGRAMAS[],3,FALSE),0)</f>
        <v>31865326.38096505</v>
      </c>
      <c r="AN1407" s="246">
        <f>IFERROR(VLOOKUP(L1407,PROGRAMAS[],3,FALSE),0)</f>
        <v>118617452.52510804</v>
      </c>
      <c r="AO1407" s="246">
        <f>IFERROR(VLOOKUP(M1407,PROGRAMAS[],3,FALSE),0)</f>
        <v>0</v>
      </c>
      <c r="AP1407" s="246">
        <f>IFERROR(VLOOKUP(N1407,PROGRAMAS[],3,FALSE),0)</f>
        <v>0</v>
      </c>
      <c r="AQ1407" s="246">
        <f>IFERROR(VLOOKUP(O1407,PROGRAMAS[],3,FALSE),0)</f>
        <v>0</v>
      </c>
      <c r="AR1407" s="246">
        <f>IFERROR(VLOOKUP(P1407,PROGRAMAS[],3,FALSE),0)</f>
        <v>0</v>
      </c>
      <c r="AS1407" s="246">
        <f>IFERROR(VLOOKUP(Q1407,PROGRAMAS[],3,FALSE),0)</f>
        <v>0</v>
      </c>
      <c r="AT1407" s="246">
        <f>IFERROR(VLOOKUP(D1407,VOL_REC[],2,FALSE),0)</f>
        <v>0</v>
      </c>
      <c r="AU1407" s="246">
        <f>IFERROR(VLOOKUP(E1407,VOL_REC[],2,FALSE),0)</f>
        <v>0</v>
      </c>
      <c r="AV1407" s="246">
        <f>IFERROR(VLOOKUP(F1407,VOL_REC[],2,FALSE),0)</f>
        <v>11089674.200000001</v>
      </c>
      <c r="AW1407" s="246">
        <f>IFERROR(VLOOKUP(G1407,VOL_REC[],2,FALSE),0)</f>
        <v>15540036.397699751</v>
      </c>
      <c r="AX1407" s="246">
        <f>IFERROR(VLOOKUP(H1407,VOL_REC[],2,FALSE),0)</f>
        <v>3761786</v>
      </c>
      <c r="AY1407" s="246">
        <f>IFERROR(VLOOKUP(I1407,VOL_REC[],2,FALSE),0)</f>
        <v>1812240</v>
      </c>
      <c r="AZ1407" s="246">
        <f>IFERROR(VLOOKUP(J1407,VOL_REC[],2,FALSE),0)</f>
        <v>240696.79238099116</v>
      </c>
      <c r="BA1407" s="246">
        <f>IFERROR(VLOOKUP(K1407,VOL_REC[],2,FALSE),0)</f>
        <v>17074.045034105649</v>
      </c>
      <c r="BB1407" s="246">
        <f>IFERROR(VLOOKUP(L1407,VOL_REC[],2,FALSE),0)</f>
        <v>105072</v>
      </c>
      <c r="BC1407" s="246">
        <f>IFERROR(VLOOKUP(M1407,VOL_REC[],2,FALSE),0)</f>
        <v>0</v>
      </c>
      <c r="BD1407" s="246">
        <f>IFERROR(VLOOKUP(N1407,VOL_REC[],2,FALSE),0)</f>
        <v>0</v>
      </c>
      <c r="BE1407" s="246">
        <f>IFERROR(VLOOKUP(O1407,VOL_REC[],2,FALSE),0)</f>
        <v>0</v>
      </c>
      <c r="BF1407" s="246">
        <f>IFERROR(VLOOKUP(P1407,VOL_REC[],2,FALSE),0)</f>
        <v>0</v>
      </c>
      <c r="BG1407" s="246">
        <f>IFERROR(VLOOKUP(Q1407,VOL_REC[],2,FALSE),0)</f>
        <v>0</v>
      </c>
      <c r="BH1407" s="1710">
        <f t="shared" si="84"/>
        <v>22412590763.804092</v>
      </c>
      <c r="BI1407" s="1710">
        <f t="shared" si="85"/>
        <v>26152425044.187248</v>
      </c>
      <c r="BJ1407" s="1711">
        <f t="shared" si="86"/>
        <v>32566579.435114853</v>
      </c>
      <c r="BK1407" s="1711">
        <f t="shared" si="87"/>
        <v>0.85699856613433301</v>
      </c>
    </row>
    <row r="1408" spans="3:67" x14ac:dyDescent="0.25">
      <c r="C1408" s="246" t="s">
        <v>2758</v>
      </c>
      <c r="D1408" s="246">
        <v>1</v>
      </c>
      <c r="E1408" s="246">
        <v>2</v>
      </c>
      <c r="F1408" s="246">
        <v>3</v>
      </c>
      <c r="G1408" s="246">
        <v>6</v>
      </c>
      <c r="H1408" s="246">
        <v>9</v>
      </c>
      <c r="I1408" s="246">
        <v>10</v>
      </c>
      <c r="J1408" s="246">
        <v>12</v>
      </c>
      <c r="K1408" s="246">
        <v>14</v>
      </c>
      <c r="L1408" s="246">
        <v>16</v>
      </c>
      <c r="M1408" s="246"/>
      <c r="N1408" s="246"/>
      <c r="O1408" s="246"/>
      <c r="P1408" s="246"/>
      <c r="Q1408" s="246"/>
      <c r="R1408" s="246">
        <f>IFERROR(VLOOKUP(D1408,PROGRAMAS[],2,FALSE),0)</f>
        <v>97037803.679377079</v>
      </c>
      <c r="S1408" s="246">
        <f>IFERROR(VLOOKUP(E1408,PROGRAMAS[],2,FALSE),0)</f>
        <v>640501509.6821388</v>
      </c>
      <c r="T1408" s="246">
        <f>IFERROR(VLOOKUP(F1408,PROGRAMAS[],2,FALSE),0)</f>
        <v>3062327798.1525245</v>
      </c>
      <c r="U1408" s="246">
        <f>IFERROR(VLOOKUP(G1408,PROGRAMAS[],2,FALSE),0)</f>
        <v>6907648435.8447599</v>
      </c>
      <c r="V1408" s="246">
        <f>IFERROR(VLOOKUP(H1408,PROGRAMAS[],2,FALSE),0)</f>
        <v>6128579952.1618185</v>
      </c>
      <c r="W1408" s="246">
        <f>IFERROR(VLOOKUP(I1408,PROGRAMAS[],2,FALSE),0)</f>
        <v>4635315027.8751087</v>
      </c>
      <c r="X1408" s="246">
        <f>IFERROR(VLOOKUP(J1408,PROGRAMAS[],2,FALSE),0)</f>
        <v>764796700.79905891</v>
      </c>
      <c r="Y1408" s="246">
        <f>IFERROR(VLOOKUP(K1408,PROGRAMAS[],2,FALSE),0)</f>
        <v>54223862.645839565</v>
      </c>
      <c r="Z1408" s="246">
        <f>IFERROR(VLOOKUP(L1408,PROGRAMAS[],2,FALSE),0)</f>
        <v>7068496961.0436354</v>
      </c>
      <c r="AA1408" s="246">
        <f>IFERROR(VLOOKUP(M1408,PROGRAMAS[],2,FALSE),0)</f>
        <v>0</v>
      </c>
      <c r="AB1408" s="246">
        <f>IFERROR(VLOOKUP(N1408,PROGRAMAS[],2,FALSE),0)</f>
        <v>0</v>
      </c>
      <c r="AC1408" s="246">
        <f>IFERROR(VLOOKUP(O1408,PROGRAMAS[],2,FALSE),0)</f>
        <v>0</v>
      </c>
      <c r="AD1408" s="246">
        <f>IFERROR(VLOOKUP(P1408,PROGRAMAS[],2,FALSE),0)</f>
        <v>0</v>
      </c>
      <c r="AE1408" s="246">
        <f>IFERROR(VLOOKUP(Q1408,PROGRAMAS[],2,FALSE),0)</f>
        <v>0</v>
      </c>
      <c r="AF1408" s="246">
        <f>IFERROR(VLOOKUP(D1408,PROGRAMAS[],3,FALSE),0)</f>
        <v>841888629.31080008</v>
      </c>
      <c r="AG1408" s="246">
        <f>IFERROR(VLOOKUP(E1408,PROGRAMAS[],3,FALSE),0)</f>
        <v>3848980803.1642323</v>
      </c>
      <c r="AH1408" s="246">
        <f>IFERROR(VLOOKUP(F1408,PROGRAMAS[],3,FALSE),0)</f>
        <v>3394901471.387517</v>
      </c>
      <c r="AI1408" s="246">
        <f>IFERROR(VLOOKUP(G1408,PROGRAMAS[],3,FALSE),0)</f>
        <v>6129902208.7912121</v>
      </c>
      <c r="AJ1408" s="246">
        <f>IFERROR(VLOOKUP(H1408,PROGRAMAS[],3,FALSE),0)</f>
        <v>7011279577.519702</v>
      </c>
      <c r="AK1408" s="246">
        <f>IFERROR(VLOOKUP(I1408,PROGRAMAS[],3,FALSE),0)</f>
        <v>4099471734.9978786</v>
      </c>
      <c r="AL1408" s="246">
        <f>IFERROR(VLOOKUP(J1408,PROGRAMAS[],3,FALSE),0)</f>
        <v>675517840.109828</v>
      </c>
      <c r="AM1408" s="246">
        <f>IFERROR(VLOOKUP(K1408,PROGRAMAS[],3,FALSE),0)</f>
        <v>31865326.38096505</v>
      </c>
      <c r="AN1408" s="246">
        <f>IFERROR(VLOOKUP(L1408,PROGRAMAS[],3,FALSE),0)</f>
        <v>2406564599.0319901</v>
      </c>
      <c r="AO1408" s="246">
        <f>IFERROR(VLOOKUP(M1408,PROGRAMAS[],3,FALSE),0)</f>
        <v>0</v>
      </c>
      <c r="AP1408" s="246">
        <f>IFERROR(VLOOKUP(N1408,PROGRAMAS[],3,FALSE),0)</f>
        <v>0</v>
      </c>
      <c r="AQ1408" s="246">
        <f>IFERROR(VLOOKUP(O1408,PROGRAMAS[],3,FALSE),0)</f>
        <v>0</v>
      </c>
      <c r="AR1408" s="246">
        <f>IFERROR(VLOOKUP(P1408,PROGRAMAS[],3,FALSE),0)</f>
        <v>0</v>
      </c>
      <c r="AS1408" s="246">
        <f>IFERROR(VLOOKUP(Q1408,PROGRAMAS[],3,FALSE),0)</f>
        <v>0</v>
      </c>
      <c r="AT1408" s="246">
        <f>IFERROR(VLOOKUP(D1408,VOL_REC[],2,FALSE),0)</f>
        <v>0</v>
      </c>
      <c r="AU1408" s="246">
        <f>IFERROR(VLOOKUP(E1408,VOL_REC[],2,FALSE),0)</f>
        <v>0</v>
      </c>
      <c r="AV1408" s="246">
        <f>IFERROR(VLOOKUP(F1408,VOL_REC[],2,FALSE),0)</f>
        <v>11089674.200000001</v>
      </c>
      <c r="AW1408" s="246">
        <f>IFERROR(VLOOKUP(G1408,VOL_REC[],2,FALSE),0)</f>
        <v>15540036.397699751</v>
      </c>
      <c r="AX1408" s="246">
        <f>IFERROR(VLOOKUP(H1408,VOL_REC[],2,FALSE),0)</f>
        <v>3761786</v>
      </c>
      <c r="AY1408" s="246">
        <f>IFERROR(VLOOKUP(I1408,VOL_REC[],2,FALSE),0)</f>
        <v>1812240</v>
      </c>
      <c r="AZ1408" s="246">
        <f>IFERROR(VLOOKUP(J1408,VOL_REC[],2,FALSE),0)</f>
        <v>240696.79238099116</v>
      </c>
      <c r="BA1408" s="246">
        <f>IFERROR(VLOOKUP(K1408,VOL_REC[],2,FALSE),0)</f>
        <v>17074.045034105649</v>
      </c>
      <c r="BB1408" s="246">
        <f>IFERROR(VLOOKUP(L1408,VOL_REC[],2,FALSE),0)</f>
        <v>1072354.9981737854</v>
      </c>
      <c r="BC1408" s="246">
        <f>IFERROR(VLOOKUP(M1408,VOL_REC[],2,FALSE),0)</f>
        <v>0</v>
      </c>
      <c r="BD1408" s="246">
        <f>IFERROR(VLOOKUP(N1408,VOL_REC[],2,FALSE),0)</f>
        <v>0</v>
      </c>
      <c r="BE1408" s="246">
        <f>IFERROR(VLOOKUP(O1408,VOL_REC[],2,FALSE),0)</f>
        <v>0</v>
      </c>
      <c r="BF1408" s="246">
        <f>IFERROR(VLOOKUP(P1408,VOL_REC[],2,FALSE),0)</f>
        <v>0</v>
      </c>
      <c r="BG1408" s="246">
        <f>IFERROR(VLOOKUP(Q1408,VOL_REC[],2,FALSE),0)</f>
        <v>0</v>
      </c>
      <c r="BH1408" s="1710">
        <f t="shared" si="84"/>
        <v>29358928051.884262</v>
      </c>
      <c r="BI1408" s="1710">
        <f t="shared" si="85"/>
        <v>28440372190.69413</v>
      </c>
      <c r="BJ1408" s="1711">
        <f t="shared" si="86"/>
        <v>33533862.433288638</v>
      </c>
      <c r="BK1408" s="1711">
        <f t="shared" si="87"/>
        <v>1.0322976033868745</v>
      </c>
      <c r="BL1408">
        <f>BJ1408</f>
        <v>33533862.433288638</v>
      </c>
      <c r="BO1408">
        <f>BL1408</f>
        <v>33533862.433288638</v>
      </c>
    </row>
    <row r="1409" spans="3:67" x14ac:dyDescent="0.25">
      <c r="C1409" s="246" t="s">
        <v>2759</v>
      </c>
      <c r="D1409" s="246">
        <v>1</v>
      </c>
      <c r="E1409" s="246">
        <v>2</v>
      </c>
      <c r="F1409" s="246">
        <v>3</v>
      </c>
      <c r="G1409" s="246">
        <v>6</v>
      </c>
      <c r="H1409" s="246">
        <v>9</v>
      </c>
      <c r="I1409" s="246">
        <v>10</v>
      </c>
      <c r="J1409" s="246">
        <v>12</v>
      </c>
      <c r="K1409" s="246">
        <v>14</v>
      </c>
      <c r="L1409" s="246">
        <v>17</v>
      </c>
      <c r="M1409" s="246"/>
      <c r="N1409" s="246"/>
      <c r="O1409" s="246"/>
      <c r="P1409" s="246"/>
      <c r="Q1409" s="246"/>
      <c r="R1409" s="246">
        <f>IFERROR(VLOOKUP(D1409,PROGRAMAS[],2,FALSE),0)</f>
        <v>97037803.679377079</v>
      </c>
      <c r="S1409" s="246">
        <f>IFERROR(VLOOKUP(E1409,PROGRAMAS[],2,FALSE),0)</f>
        <v>640501509.6821388</v>
      </c>
      <c r="T1409" s="246">
        <f>IFERROR(VLOOKUP(F1409,PROGRAMAS[],2,FALSE),0)</f>
        <v>3062327798.1525245</v>
      </c>
      <c r="U1409" s="246">
        <f>IFERROR(VLOOKUP(G1409,PROGRAMAS[],2,FALSE),0)</f>
        <v>6907648435.8447599</v>
      </c>
      <c r="V1409" s="246">
        <f>IFERROR(VLOOKUP(H1409,PROGRAMAS[],2,FALSE),0)</f>
        <v>6128579952.1618185</v>
      </c>
      <c r="W1409" s="246">
        <f>IFERROR(VLOOKUP(I1409,PROGRAMAS[],2,FALSE),0)</f>
        <v>4635315027.8751087</v>
      </c>
      <c r="X1409" s="246">
        <f>IFERROR(VLOOKUP(J1409,PROGRAMAS[],2,FALSE),0)</f>
        <v>764796700.79905891</v>
      </c>
      <c r="Y1409" s="246">
        <f>IFERROR(VLOOKUP(K1409,PROGRAMAS[],2,FALSE),0)</f>
        <v>54223862.645839565</v>
      </c>
      <c r="Z1409" s="246">
        <f>IFERROR(VLOOKUP(L1409,PROGRAMAS[],2,FALSE),0)</f>
        <v>1892779498.5211046</v>
      </c>
      <c r="AA1409" s="246">
        <f>IFERROR(VLOOKUP(M1409,PROGRAMAS[],2,FALSE),0)</f>
        <v>0</v>
      </c>
      <c r="AB1409" s="246">
        <f>IFERROR(VLOOKUP(N1409,PROGRAMAS[],2,FALSE),0)</f>
        <v>0</v>
      </c>
      <c r="AC1409" s="246">
        <f>IFERROR(VLOOKUP(O1409,PROGRAMAS[],2,FALSE),0)</f>
        <v>0</v>
      </c>
      <c r="AD1409" s="246">
        <f>IFERROR(VLOOKUP(P1409,PROGRAMAS[],2,FALSE),0)</f>
        <v>0</v>
      </c>
      <c r="AE1409" s="246">
        <f>IFERROR(VLOOKUP(Q1409,PROGRAMAS[],2,FALSE),0)</f>
        <v>0</v>
      </c>
      <c r="AF1409" s="246">
        <f>IFERROR(VLOOKUP(D1409,PROGRAMAS[],3,FALSE),0)</f>
        <v>841888629.31080008</v>
      </c>
      <c r="AG1409" s="246">
        <f>IFERROR(VLOOKUP(E1409,PROGRAMAS[],3,FALSE),0)</f>
        <v>3848980803.1642323</v>
      </c>
      <c r="AH1409" s="246">
        <f>IFERROR(VLOOKUP(F1409,PROGRAMAS[],3,FALSE),0)</f>
        <v>3394901471.387517</v>
      </c>
      <c r="AI1409" s="246">
        <f>IFERROR(VLOOKUP(G1409,PROGRAMAS[],3,FALSE),0)</f>
        <v>6129902208.7912121</v>
      </c>
      <c r="AJ1409" s="246">
        <f>IFERROR(VLOOKUP(H1409,PROGRAMAS[],3,FALSE),0)</f>
        <v>7011279577.519702</v>
      </c>
      <c r="AK1409" s="246">
        <f>IFERROR(VLOOKUP(I1409,PROGRAMAS[],3,FALSE),0)</f>
        <v>4099471734.9978786</v>
      </c>
      <c r="AL1409" s="246">
        <f>IFERROR(VLOOKUP(J1409,PROGRAMAS[],3,FALSE),0)</f>
        <v>675517840.109828</v>
      </c>
      <c r="AM1409" s="246">
        <f>IFERROR(VLOOKUP(K1409,PROGRAMAS[],3,FALSE),0)</f>
        <v>31865326.38096505</v>
      </c>
      <c r="AN1409" s="246">
        <f>IFERROR(VLOOKUP(L1409,PROGRAMAS[],3,FALSE),0)</f>
        <v>948595847.09039903</v>
      </c>
      <c r="AO1409" s="246">
        <f>IFERROR(VLOOKUP(M1409,PROGRAMAS[],3,FALSE),0)</f>
        <v>0</v>
      </c>
      <c r="AP1409" s="246">
        <f>IFERROR(VLOOKUP(N1409,PROGRAMAS[],3,FALSE),0)</f>
        <v>0</v>
      </c>
      <c r="AQ1409" s="246">
        <f>IFERROR(VLOOKUP(O1409,PROGRAMAS[],3,FALSE),0)</f>
        <v>0</v>
      </c>
      <c r="AR1409" s="246">
        <f>IFERROR(VLOOKUP(P1409,PROGRAMAS[],3,FALSE),0)</f>
        <v>0</v>
      </c>
      <c r="AS1409" s="246">
        <f>IFERROR(VLOOKUP(Q1409,PROGRAMAS[],3,FALSE),0)</f>
        <v>0</v>
      </c>
      <c r="AT1409" s="246">
        <f>IFERROR(VLOOKUP(D1409,VOL_REC[],2,FALSE),0)</f>
        <v>0</v>
      </c>
      <c r="AU1409" s="246">
        <f>IFERROR(VLOOKUP(E1409,VOL_REC[],2,FALSE),0)</f>
        <v>0</v>
      </c>
      <c r="AV1409" s="246">
        <f>IFERROR(VLOOKUP(F1409,VOL_REC[],2,FALSE),0)</f>
        <v>11089674.200000001</v>
      </c>
      <c r="AW1409" s="246">
        <f>IFERROR(VLOOKUP(G1409,VOL_REC[],2,FALSE),0)</f>
        <v>15540036.397699751</v>
      </c>
      <c r="AX1409" s="246">
        <f>IFERROR(VLOOKUP(H1409,VOL_REC[],2,FALSE),0)</f>
        <v>3761786</v>
      </c>
      <c r="AY1409" s="246">
        <f>IFERROR(VLOOKUP(I1409,VOL_REC[],2,FALSE),0)</f>
        <v>1812240</v>
      </c>
      <c r="AZ1409" s="246">
        <f>IFERROR(VLOOKUP(J1409,VOL_REC[],2,FALSE),0)</f>
        <v>240696.79238099116</v>
      </c>
      <c r="BA1409" s="246">
        <f>IFERROR(VLOOKUP(K1409,VOL_REC[],2,FALSE),0)</f>
        <v>17074.045034105649</v>
      </c>
      <c r="BB1409" s="246">
        <f>IFERROR(VLOOKUP(L1409,VOL_REC[],2,FALSE),0)</f>
        <v>740113.98115702497</v>
      </c>
      <c r="BC1409" s="246">
        <f>IFERROR(VLOOKUP(M1409,VOL_REC[],2,FALSE),0)</f>
        <v>0</v>
      </c>
      <c r="BD1409" s="246">
        <f>IFERROR(VLOOKUP(N1409,VOL_REC[],2,FALSE),0)</f>
        <v>0</v>
      </c>
      <c r="BE1409" s="246">
        <f>IFERROR(VLOOKUP(O1409,VOL_REC[],2,FALSE),0)</f>
        <v>0</v>
      </c>
      <c r="BF1409" s="246">
        <f>IFERROR(VLOOKUP(P1409,VOL_REC[],2,FALSE),0)</f>
        <v>0</v>
      </c>
      <c r="BG1409" s="246">
        <f>IFERROR(VLOOKUP(Q1409,VOL_REC[],2,FALSE),0)</f>
        <v>0</v>
      </c>
      <c r="BH1409" s="1710">
        <f t="shared" si="84"/>
        <v>24183210589.361729</v>
      </c>
      <c r="BI1409" s="1710">
        <f t="shared" si="85"/>
        <v>26982403438.752541</v>
      </c>
      <c r="BJ1409" s="1711">
        <f t="shared" si="86"/>
        <v>33201621.416271877</v>
      </c>
      <c r="BK1409" s="1711">
        <f t="shared" si="87"/>
        <v>0.89625857993915514</v>
      </c>
    </row>
    <row r="1410" spans="3:67" x14ac:dyDescent="0.25">
      <c r="C1410" s="246" t="s">
        <v>2760</v>
      </c>
      <c r="D1410" s="246">
        <v>1</v>
      </c>
      <c r="E1410" s="246">
        <v>2</v>
      </c>
      <c r="F1410" s="246">
        <v>3</v>
      </c>
      <c r="G1410" s="246">
        <v>6</v>
      </c>
      <c r="H1410" s="246">
        <v>9</v>
      </c>
      <c r="I1410" s="246">
        <v>10</v>
      </c>
      <c r="J1410" s="246">
        <v>12</v>
      </c>
      <c r="K1410" s="246">
        <v>15</v>
      </c>
      <c r="L1410" s="246">
        <v>16</v>
      </c>
      <c r="M1410" s="246"/>
      <c r="N1410" s="246"/>
      <c r="O1410" s="246"/>
      <c r="P1410" s="246"/>
      <c r="Q1410" s="246"/>
      <c r="R1410" s="246">
        <f>IFERROR(VLOOKUP(D1410,PROGRAMAS[],2,FALSE),0)</f>
        <v>97037803.679377079</v>
      </c>
      <c r="S1410" s="246">
        <f>IFERROR(VLOOKUP(E1410,PROGRAMAS[],2,FALSE),0)</f>
        <v>640501509.6821388</v>
      </c>
      <c r="T1410" s="246">
        <f>IFERROR(VLOOKUP(F1410,PROGRAMAS[],2,FALSE),0)</f>
        <v>3062327798.1525245</v>
      </c>
      <c r="U1410" s="246">
        <f>IFERROR(VLOOKUP(G1410,PROGRAMAS[],2,FALSE),0)</f>
        <v>6907648435.8447599</v>
      </c>
      <c r="V1410" s="246">
        <f>IFERROR(VLOOKUP(H1410,PROGRAMAS[],2,FALSE),0)</f>
        <v>6128579952.1618185</v>
      </c>
      <c r="W1410" s="246">
        <f>IFERROR(VLOOKUP(I1410,PROGRAMAS[],2,FALSE),0)</f>
        <v>4635315027.8751087</v>
      </c>
      <c r="X1410" s="246">
        <f>IFERROR(VLOOKUP(J1410,PROGRAMAS[],2,FALSE),0)</f>
        <v>764796700.79905891</v>
      </c>
      <c r="Y1410" s="246">
        <f>IFERROR(VLOOKUP(K1410,PROGRAMAS[],2,FALSE),0)</f>
        <v>122159672.96346797</v>
      </c>
      <c r="Z1410" s="246">
        <f>IFERROR(VLOOKUP(L1410,PROGRAMAS[],2,FALSE),0)</f>
        <v>7068496961.0436354</v>
      </c>
      <c r="AA1410" s="246">
        <f>IFERROR(VLOOKUP(M1410,PROGRAMAS[],2,FALSE),0)</f>
        <v>0</v>
      </c>
      <c r="AB1410" s="246">
        <f>IFERROR(VLOOKUP(N1410,PROGRAMAS[],2,FALSE),0)</f>
        <v>0</v>
      </c>
      <c r="AC1410" s="246">
        <f>IFERROR(VLOOKUP(O1410,PROGRAMAS[],2,FALSE),0)</f>
        <v>0</v>
      </c>
      <c r="AD1410" s="246">
        <f>IFERROR(VLOOKUP(P1410,PROGRAMAS[],2,FALSE),0)</f>
        <v>0</v>
      </c>
      <c r="AE1410" s="246">
        <f>IFERROR(VLOOKUP(Q1410,PROGRAMAS[],2,FALSE),0)</f>
        <v>0</v>
      </c>
      <c r="AF1410" s="246">
        <f>IFERROR(VLOOKUP(D1410,PROGRAMAS[],3,FALSE),0)</f>
        <v>841888629.31080008</v>
      </c>
      <c r="AG1410" s="246">
        <f>IFERROR(VLOOKUP(E1410,PROGRAMAS[],3,FALSE),0)</f>
        <v>3848980803.1642323</v>
      </c>
      <c r="AH1410" s="246">
        <f>IFERROR(VLOOKUP(F1410,PROGRAMAS[],3,FALSE),0)</f>
        <v>3394901471.387517</v>
      </c>
      <c r="AI1410" s="246">
        <f>IFERROR(VLOOKUP(G1410,PROGRAMAS[],3,FALSE),0)</f>
        <v>6129902208.7912121</v>
      </c>
      <c r="AJ1410" s="246">
        <f>IFERROR(VLOOKUP(H1410,PROGRAMAS[],3,FALSE),0)</f>
        <v>7011279577.519702</v>
      </c>
      <c r="AK1410" s="246">
        <f>IFERROR(VLOOKUP(I1410,PROGRAMAS[],3,FALSE),0)</f>
        <v>4099471734.9978786</v>
      </c>
      <c r="AL1410" s="246">
        <f>IFERROR(VLOOKUP(J1410,PROGRAMAS[],3,FALSE),0)</f>
        <v>675517840.109828</v>
      </c>
      <c r="AM1410" s="246">
        <f>IFERROR(VLOOKUP(K1410,PROGRAMAS[],3,FALSE),0)</f>
        <v>118617452.52510804</v>
      </c>
      <c r="AN1410" s="246">
        <f>IFERROR(VLOOKUP(L1410,PROGRAMAS[],3,FALSE),0)</f>
        <v>2406564599.0319901</v>
      </c>
      <c r="AO1410" s="246">
        <f>IFERROR(VLOOKUP(M1410,PROGRAMAS[],3,FALSE),0)</f>
        <v>0</v>
      </c>
      <c r="AP1410" s="246">
        <f>IFERROR(VLOOKUP(N1410,PROGRAMAS[],3,FALSE),0)</f>
        <v>0</v>
      </c>
      <c r="AQ1410" s="246">
        <f>IFERROR(VLOOKUP(O1410,PROGRAMAS[],3,FALSE),0)</f>
        <v>0</v>
      </c>
      <c r="AR1410" s="246">
        <f>IFERROR(VLOOKUP(P1410,PROGRAMAS[],3,FALSE),0)</f>
        <v>0</v>
      </c>
      <c r="AS1410" s="246">
        <f>IFERROR(VLOOKUP(Q1410,PROGRAMAS[],3,FALSE),0)</f>
        <v>0</v>
      </c>
      <c r="AT1410" s="246">
        <f>IFERROR(VLOOKUP(D1410,VOL_REC[],2,FALSE),0)</f>
        <v>0</v>
      </c>
      <c r="AU1410" s="246">
        <f>IFERROR(VLOOKUP(E1410,VOL_REC[],2,FALSE),0)</f>
        <v>0</v>
      </c>
      <c r="AV1410" s="246">
        <f>IFERROR(VLOOKUP(F1410,VOL_REC[],2,FALSE),0)</f>
        <v>11089674.200000001</v>
      </c>
      <c r="AW1410" s="246">
        <f>IFERROR(VLOOKUP(G1410,VOL_REC[],2,FALSE),0)</f>
        <v>15540036.397699751</v>
      </c>
      <c r="AX1410" s="246">
        <f>IFERROR(VLOOKUP(H1410,VOL_REC[],2,FALSE),0)</f>
        <v>3761786</v>
      </c>
      <c r="AY1410" s="246">
        <f>IFERROR(VLOOKUP(I1410,VOL_REC[],2,FALSE),0)</f>
        <v>1812240</v>
      </c>
      <c r="AZ1410" s="246">
        <f>IFERROR(VLOOKUP(J1410,VOL_REC[],2,FALSE),0)</f>
        <v>240696.79238099116</v>
      </c>
      <c r="BA1410" s="246">
        <f>IFERROR(VLOOKUP(K1410,VOL_REC[],2,FALSE),0)</f>
        <v>105072</v>
      </c>
      <c r="BB1410" s="246">
        <f>IFERROR(VLOOKUP(L1410,VOL_REC[],2,FALSE),0)</f>
        <v>1072354.9981737854</v>
      </c>
      <c r="BC1410" s="246">
        <f>IFERROR(VLOOKUP(M1410,VOL_REC[],2,FALSE),0)</f>
        <v>0</v>
      </c>
      <c r="BD1410" s="246">
        <f>IFERROR(VLOOKUP(N1410,VOL_REC[],2,FALSE),0)</f>
        <v>0</v>
      </c>
      <c r="BE1410" s="246">
        <f>IFERROR(VLOOKUP(O1410,VOL_REC[],2,FALSE),0)</f>
        <v>0</v>
      </c>
      <c r="BF1410" s="246">
        <f>IFERROR(VLOOKUP(P1410,VOL_REC[],2,FALSE),0)</f>
        <v>0</v>
      </c>
      <c r="BG1410" s="246">
        <f>IFERROR(VLOOKUP(Q1410,VOL_REC[],2,FALSE),0)</f>
        <v>0</v>
      </c>
      <c r="BH1410" s="1710">
        <f t="shared" ref="BH1410:BH1473" si="88">SUM(R1410:AE1410)</f>
        <v>29426863862.201889</v>
      </c>
      <c r="BI1410" s="1710">
        <f t="shared" ref="BI1410:BI1473" si="89">SUM(AF1410:AS1410)</f>
        <v>28527124316.838272</v>
      </c>
      <c r="BJ1410" s="1711">
        <f t="shared" ref="BJ1410:BJ1473" si="90">SUM(AT1410:BG1410)</f>
        <v>33621860.388254531</v>
      </c>
      <c r="BK1410" s="1711">
        <f t="shared" ref="BK1410:BK1473" si="91">IFERROR(BH1410/BI1410,0)</f>
        <v>1.0315397912306408</v>
      </c>
      <c r="BL1410">
        <f>BJ1410</f>
        <v>33621860.388254531</v>
      </c>
      <c r="BO1410">
        <f>BL1410</f>
        <v>33621860.388254531</v>
      </c>
    </row>
    <row r="1411" spans="3:67" x14ac:dyDescent="0.25">
      <c r="C1411" s="246" t="s">
        <v>2761</v>
      </c>
      <c r="D1411" s="246">
        <v>1</v>
      </c>
      <c r="E1411" s="246">
        <v>2</v>
      </c>
      <c r="F1411" s="246">
        <v>3</v>
      </c>
      <c r="G1411" s="246">
        <v>6</v>
      </c>
      <c r="H1411" s="246">
        <v>9</v>
      </c>
      <c r="I1411" s="246">
        <v>10</v>
      </c>
      <c r="J1411" s="246">
        <v>12</v>
      </c>
      <c r="K1411" s="246">
        <v>15</v>
      </c>
      <c r="L1411" s="246">
        <v>17</v>
      </c>
      <c r="M1411" s="246"/>
      <c r="N1411" s="246"/>
      <c r="O1411" s="246"/>
      <c r="P1411" s="246"/>
      <c r="Q1411" s="246"/>
      <c r="R1411" s="246">
        <f>IFERROR(VLOOKUP(D1411,PROGRAMAS[],2,FALSE),0)</f>
        <v>97037803.679377079</v>
      </c>
      <c r="S1411" s="246">
        <f>IFERROR(VLOOKUP(E1411,PROGRAMAS[],2,FALSE),0)</f>
        <v>640501509.6821388</v>
      </c>
      <c r="T1411" s="246">
        <f>IFERROR(VLOOKUP(F1411,PROGRAMAS[],2,FALSE),0)</f>
        <v>3062327798.1525245</v>
      </c>
      <c r="U1411" s="246">
        <f>IFERROR(VLOOKUP(G1411,PROGRAMAS[],2,FALSE),0)</f>
        <v>6907648435.8447599</v>
      </c>
      <c r="V1411" s="246">
        <f>IFERROR(VLOOKUP(H1411,PROGRAMAS[],2,FALSE),0)</f>
        <v>6128579952.1618185</v>
      </c>
      <c r="W1411" s="246">
        <f>IFERROR(VLOOKUP(I1411,PROGRAMAS[],2,FALSE),0)</f>
        <v>4635315027.8751087</v>
      </c>
      <c r="X1411" s="246">
        <f>IFERROR(VLOOKUP(J1411,PROGRAMAS[],2,FALSE),0)</f>
        <v>764796700.79905891</v>
      </c>
      <c r="Y1411" s="246">
        <f>IFERROR(VLOOKUP(K1411,PROGRAMAS[],2,FALSE),0)</f>
        <v>122159672.96346797</v>
      </c>
      <c r="Z1411" s="246">
        <f>IFERROR(VLOOKUP(L1411,PROGRAMAS[],2,FALSE),0)</f>
        <v>1892779498.5211046</v>
      </c>
      <c r="AA1411" s="246">
        <f>IFERROR(VLOOKUP(M1411,PROGRAMAS[],2,FALSE),0)</f>
        <v>0</v>
      </c>
      <c r="AB1411" s="246">
        <f>IFERROR(VLOOKUP(N1411,PROGRAMAS[],2,FALSE),0)</f>
        <v>0</v>
      </c>
      <c r="AC1411" s="246">
        <f>IFERROR(VLOOKUP(O1411,PROGRAMAS[],2,FALSE),0)</f>
        <v>0</v>
      </c>
      <c r="AD1411" s="246">
        <f>IFERROR(VLOOKUP(P1411,PROGRAMAS[],2,FALSE),0)</f>
        <v>0</v>
      </c>
      <c r="AE1411" s="246">
        <f>IFERROR(VLOOKUP(Q1411,PROGRAMAS[],2,FALSE),0)</f>
        <v>0</v>
      </c>
      <c r="AF1411" s="246">
        <f>IFERROR(VLOOKUP(D1411,PROGRAMAS[],3,FALSE),0)</f>
        <v>841888629.31080008</v>
      </c>
      <c r="AG1411" s="246">
        <f>IFERROR(VLOOKUP(E1411,PROGRAMAS[],3,FALSE),0)</f>
        <v>3848980803.1642323</v>
      </c>
      <c r="AH1411" s="246">
        <f>IFERROR(VLOOKUP(F1411,PROGRAMAS[],3,FALSE),0)</f>
        <v>3394901471.387517</v>
      </c>
      <c r="AI1411" s="246">
        <f>IFERROR(VLOOKUP(G1411,PROGRAMAS[],3,FALSE),0)</f>
        <v>6129902208.7912121</v>
      </c>
      <c r="AJ1411" s="246">
        <f>IFERROR(VLOOKUP(H1411,PROGRAMAS[],3,FALSE),0)</f>
        <v>7011279577.519702</v>
      </c>
      <c r="AK1411" s="246">
        <f>IFERROR(VLOOKUP(I1411,PROGRAMAS[],3,FALSE),0)</f>
        <v>4099471734.9978786</v>
      </c>
      <c r="AL1411" s="246">
        <f>IFERROR(VLOOKUP(J1411,PROGRAMAS[],3,FALSE),0)</f>
        <v>675517840.109828</v>
      </c>
      <c r="AM1411" s="246">
        <f>IFERROR(VLOOKUP(K1411,PROGRAMAS[],3,FALSE),0)</f>
        <v>118617452.52510804</v>
      </c>
      <c r="AN1411" s="246">
        <f>IFERROR(VLOOKUP(L1411,PROGRAMAS[],3,FALSE),0)</f>
        <v>948595847.09039903</v>
      </c>
      <c r="AO1411" s="246">
        <f>IFERROR(VLOOKUP(M1411,PROGRAMAS[],3,FALSE),0)</f>
        <v>0</v>
      </c>
      <c r="AP1411" s="246">
        <f>IFERROR(VLOOKUP(N1411,PROGRAMAS[],3,FALSE),0)</f>
        <v>0</v>
      </c>
      <c r="AQ1411" s="246">
        <f>IFERROR(VLOOKUP(O1411,PROGRAMAS[],3,FALSE),0)</f>
        <v>0</v>
      </c>
      <c r="AR1411" s="246">
        <f>IFERROR(VLOOKUP(P1411,PROGRAMAS[],3,FALSE),0)</f>
        <v>0</v>
      </c>
      <c r="AS1411" s="246">
        <f>IFERROR(VLOOKUP(Q1411,PROGRAMAS[],3,FALSE),0)</f>
        <v>0</v>
      </c>
      <c r="AT1411" s="246">
        <f>IFERROR(VLOOKUP(D1411,VOL_REC[],2,FALSE),0)</f>
        <v>0</v>
      </c>
      <c r="AU1411" s="246">
        <f>IFERROR(VLOOKUP(E1411,VOL_REC[],2,FALSE),0)</f>
        <v>0</v>
      </c>
      <c r="AV1411" s="246">
        <f>IFERROR(VLOOKUP(F1411,VOL_REC[],2,FALSE),0)</f>
        <v>11089674.200000001</v>
      </c>
      <c r="AW1411" s="246">
        <f>IFERROR(VLOOKUP(G1411,VOL_REC[],2,FALSE),0)</f>
        <v>15540036.397699751</v>
      </c>
      <c r="AX1411" s="246">
        <f>IFERROR(VLOOKUP(H1411,VOL_REC[],2,FALSE),0)</f>
        <v>3761786</v>
      </c>
      <c r="AY1411" s="246">
        <f>IFERROR(VLOOKUP(I1411,VOL_REC[],2,FALSE),0)</f>
        <v>1812240</v>
      </c>
      <c r="AZ1411" s="246">
        <f>IFERROR(VLOOKUP(J1411,VOL_REC[],2,FALSE),0)</f>
        <v>240696.79238099116</v>
      </c>
      <c r="BA1411" s="246">
        <f>IFERROR(VLOOKUP(K1411,VOL_REC[],2,FALSE),0)</f>
        <v>105072</v>
      </c>
      <c r="BB1411" s="246">
        <f>IFERROR(VLOOKUP(L1411,VOL_REC[],2,FALSE),0)</f>
        <v>740113.98115702497</v>
      </c>
      <c r="BC1411" s="246">
        <f>IFERROR(VLOOKUP(M1411,VOL_REC[],2,FALSE),0)</f>
        <v>0</v>
      </c>
      <c r="BD1411" s="246">
        <f>IFERROR(VLOOKUP(N1411,VOL_REC[],2,FALSE),0)</f>
        <v>0</v>
      </c>
      <c r="BE1411" s="246">
        <f>IFERROR(VLOOKUP(O1411,VOL_REC[],2,FALSE),0)</f>
        <v>0</v>
      </c>
      <c r="BF1411" s="246">
        <f>IFERROR(VLOOKUP(P1411,VOL_REC[],2,FALSE),0)</f>
        <v>0</v>
      </c>
      <c r="BG1411" s="246">
        <f>IFERROR(VLOOKUP(Q1411,VOL_REC[],2,FALSE),0)</f>
        <v>0</v>
      </c>
      <c r="BH1411" s="1710">
        <f t="shared" si="88"/>
        <v>24251146399.679356</v>
      </c>
      <c r="BI1411" s="1710">
        <f t="shared" si="89"/>
        <v>27069155564.896683</v>
      </c>
      <c r="BJ1411" s="1711">
        <f t="shared" si="90"/>
        <v>33289619.37123777</v>
      </c>
      <c r="BK1411" s="1711">
        <f t="shared" si="91"/>
        <v>0.89589593371461773</v>
      </c>
    </row>
    <row r="1412" spans="3:67" x14ac:dyDescent="0.25">
      <c r="C1412" s="246" t="s">
        <v>2762</v>
      </c>
      <c r="D1412" s="246">
        <v>1</v>
      </c>
      <c r="E1412" s="246">
        <v>2</v>
      </c>
      <c r="F1412" s="246">
        <v>3</v>
      </c>
      <c r="G1412" s="246">
        <v>6</v>
      </c>
      <c r="H1412" s="246">
        <v>9</v>
      </c>
      <c r="I1412" s="246">
        <v>10</v>
      </c>
      <c r="J1412" s="246">
        <v>12</v>
      </c>
      <c r="K1412" s="246">
        <v>16</v>
      </c>
      <c r="L1412" s="246">
        <v>17</v>
      </c>
      <c r="M1412" s="246"/>
      <c r="N1412" s="246"/>
      <c r="O1412" s="246"/>
      <c r="P1412" s="246"/>
      <c r="Q1412" s="246"/>
      <c r="R1412" s="246">
        <f>IFERROR(VLOOKUP(D1412,PROGRAMAS[],2,FALSE),0)</f>
        <v>97037803.679377079</v>
      </c>
      <c r="S1412" s="246">
        <f>IFERROR(VLOOKUP(E1412,PROGRAMAS[],2,FALSE),0)</f>
        <v>640501509.6821388</v>
      </c>
      <c r="T1412" s="246">
        <f>IFERROR(VLOOKUP(F1412,PROGRAMAS[],2,FALSE),0)</f>
        <v>3062327798.1525245</v>
      </c>
      <c r="U1412" s="246">
        <f>IFERROR(VLOOKUP(G1412,PROGRAMAS[],2,FALSE),0)</f>
        <v>6907648435.8447599</v>
      </c>
      <c r="V1412" s="246">
        <f>IFERROR(VLOOKUP(H1412,PROGRAMAS[],2,FALSE),0)</f>
        <v>6128579952.1618185</v>
      </c>
      <c r="W1412" s="246">
        <f>IFERROR(VLOOKUP(I1412,PROGRAMAS[],2,FALSE),0)</f>
        <v>4635315027.8751087</v>
      </c>
      <c r="X1412" s="246">
        <f>IFERROR(VLOOKUP(J1412,PROGRAMAS[],2,FALSE),0)</f>
        <v>764796700.79905891</v>
      </c>
      <c r="Y1412" s="246">
        <f>IFERROR(VLOOKUP(K1412,PROGRAMAS[],2,FALSE),0)</f>
        <v>7068496961.0436354</v>
      </c>
      <c r="Z1412" s="246">
        <f>IFERROR(VLOOKUP(L1412,PROGRAMAS[],2,FALSE),0)</f>
        <v>1892779498.5211046</v>
      </c>
      <c r="AA1412" s="246">
        <f>IFERROR(VLOOKUP(M1412,PROGRAMAS[],2,FALSE),0)</f>
        <v>0</v>
      </c>
      <c r="AB1412" s="246">
        <f>IFERROR(VLOOKUP(N1412,PROGRAMAS[],2,FALSE),0)</f>
        <v>0</v>
      </c>
      <c r="AC1412" s="246">
        <f>IFERROR(VLOOKUP(O1412,PROGRAMAS[],2,FALSE),0)</f>
        <v>0</v>
      </c>
      <c r="AD1412" s="246">
        <f>IFERROR(VLOOKUP(P1412,PROGRAMAS[],2,FALSE),0)</f>
        <v>0</v>
      </c>
      <c r="AE1412" s="246">
        <f>IFERROR(VLOOKUP(Q1412,PROGRAMAS[],2,FALSE),0)</f>
        <v>0</v>
      </c>
      <c r="AF1412" s="246">
        <f>IFERROR(VLOOKUP(D1412,PROGRAMAS[],3,FALSE),0)</f>
        <v>841888629.31080008</v>
      </c>
      <c r="AG1412" s="246">
        <f>IFERROR(VLOOKUP(E1412,PROGRAMAS[],3,FALSE),0)</f>
        <v>3848980803.1642323</v>
      </c>
      <c r="AH1412" s="246">
        <f>IFERROR(VLOOKUP(F1412,PROGRAMAS[],3,FALSE),0)</f>
        <v>3394901471.387517</v>
      </c>
      <c r="AI1412" s="246">
        <f>IFERROR(VLOOKUP(G1412,PROGRAMAS[],3,FALSE),0)</f>
        <v>6129902208.7912121</v>
      </c>
      <c r="AJ1412" s="246">
        <f>IFERROR(VLOOKUP(H1412,PROGRAMAS[],3,FALSE),0)</f>
        <v>7011279577.519702</v>
      </c>
      <c r="AK1412" s="246">
        <f>IFERROR(VLOOKUP(I1412,PROGRAMAS[],3,FALSE),0)</f>
        <v>4099471734.9978786</v>
      </c>
      <c r="AL1412" s="246">
        <f>IFERROR(VLOOKUP(J1412,PROGRAMAS[],3,FALSE),0)</f>
        <v>675517840.109828</v>
      </c>
      <c r="AM1412" s="246">
        <f>IFERROR(VLOOKUP(K1412,PROGRAMAS[],3,FALSE),0)</f>
        <v>2406564599.0319901</v>
      </c>
      <c r="AN1412" s="246">
        <f>IFERROR(VLOOKUP(L1412,PROGRAMAS[],3,FALSE),0)</f>
        <v>948595847.09039903</v>
      </c>
      <c r="AO1412" s="246">
        <f>IFERROR(VLOOKUP(M1412,PROGRAMAS[],3,FALSE),0)</f>
        <v>0</v>
      </c>
      <c r="AP1412" s="246">
        <f>IFERROR(VLOOKUP(N1412,PROGRAMAS[],3,FALSE),0)</f>
        <v>0</v>
      </c>
      <c r="AQ1412" s="246">
        <f>IFERROR(VLOOKUP(O1412,PROGRAMAS[],3,FALSE),0)</f>
        <v>0</v>
      </c>
      <c r="AR1412" s="246">
        <f>IFERROR(VLOOKUP(P1412,PROGRAMAS[],3,FALSE),0)</f>
        <v>0</v>
      </c>
      <c r="AS1412" s="246">
        <f>IFERROR(VLOOKUP(Q1412,PROGRAMAS[],3,FALSE),0)</f>
        <v>0</v>
      </c>
      <c r="AT1412" s="246">
        <f>IFERROR(VLOOKUP(D1412,VOL_REC[],2,FALSE),0)</f>
        <v>0</v>
      </c>
      <c r="AU1412" s="246">
        <f>IFERROR(VLOOKUP(E1412,VOL_REC[],2,FALSE),0)</f>
        <v>0</v>
      </c>
      <c r="AV1412" s="246">
        <f>IFERROR(VLOOKUP(F1412,VOL_REC[],2,FALSE),0)</f>
        <v>11089674.200000001</v>
      </c>
      <c r="AW1412" s="246">
        <f>IFERROR(VLOOKUP(G1412,VOL_REC[],2,FALSE),0)</f>
        <v>15540036.397699751</v>
      </c>
      <c r="AX1412" s="246">
        <f>IFERROR(VLOOKUP(H1412,VOL_REC[],2,FALSE),0)</f>
        <v>3761786</v>
      </c>
      <c r="AY1412" s="246">
        <f>IFERROR(VLOOKUP(I1412,VOL_REC[],2,FALSE),0)</f>
        <v>1812240</v>
      </c>
      <c r="AZ1412" s="246">
        <f>IFERROR(VLOOKUP(J1412,VOL_REC[],2,FALSE),0)</f>
        <v>240696.79238099116</v>
      </c>
      <c r="BA1412" s="246">
        <f>IFERROR(VLOOKUP(K1412,VOL_REC[],2,FALSE),0)</f>
        <v>1072354.9981737854</v>
      </c>
      <c r="BB1412" s="246">
        <f>IFERROR(VLOOKUP(L1412,VOL_REC[],2,FALSE),0)</f>
        <v>740113.98115702497</v>
      </c>
      <c r="BC1412" s="246">
        <f>IFERROR(VLOOKUP(M1412,VOL_REC[],2,FALSE),0)</f>
        <v>0</v>
      </c>
      <c r="BD1412" s="246">
        <f>IFERROR(VLOOKUP(N1412,VOL_REC[],2,FALSE),0)</f>
        <v>0</v>
      </c>
      <c r="BE1412" s="246">
        <f>IFERROR(VLOOKUP(O1412,VOL_REC[],2,FALSE),0)</f>
        <v>0</v>
      </c>
      <c r="BF1412" s="246">
        <f>IFERROR(VLOOKUP(P1412,VOL_REC[],2,FALSE),0)</f>
        <v>0</v>
      </c>
      <c r="BG1412" s="246">
        <f>IFERROR(VLOOKUP(Q1412,VOL_REC[],2,FALSE),0)</f>
        <v>0</v>
      </c>
      <c r="BH1412" s="1710">
        <f t="shared" si="88"/>
        <v>31197483687.759525</v>
      </c>
      <c r="BI1412" s="1710">
        <f t="shared" si="89"/>
        <v>29357102711.403564</v>
      </c>
      <c r="BJ1412" s="1711">
        <f t="shared" si="90"/>
        <v>34256902.369411558</v>
      </c>
      <c r="BK1412" s="1711">
        <f t="shared" si="91"/>
        <v>1.0626894620510721</v>
      </c>
      <c r="BL1412">
        <f>BJ1412</f>
        <v>34256902.369411558</v>
      </c>
      <c r="BO1412">
        <f>BL1412</f>
        <v>34256902.369411558</v>
      </c>
    </row>
    <row r="1413" spans="3:67" x14ac:dyDescent="0.25">
      <c r="C1413" s="246" t="s">
        <v>2763</v>
      </c>
      <c r="D1413" s="246">
        <v>1</v>
      </c>
      <c r="E1413" s="246">
        <v>2</v>
      </c>
      <c r="F1413" s="246">
        <v>3</v>
      </c>
      <c r="G1413" s="246">
        <v>6</v>
      </c>
      <c r="H1413" s="246">
        <v>9</v>
      </c>
      <c r="I1413" s="246">
        <v>10</v>
      </c>
      <c r="J1413" s="246">
        <v>13</v>
      </c>
      <c r="K1413" s="246">
        <v>14</v>
      </c>
      <c r="L1413" s="246">
        <v>15</v>
      </c>
      <c r="M1413" s="246"/>
      <c r="N1413" s="246"/>
      <c r="O1413" s="246"/>
      <c r="P1413" s="246"/>
      <c r="Q1413" s="246"/>
      <c r="R1413" s="246">
        <f>IFERROR(VLOOKUP(D1413,PROGRAMAS[],2,FALSE),0)</f>
        <v>97037803.679377079</v>
      </c>
      <c r="S1413" s="246">
        <f>IFERROR(VLOOKUP(E1413,PROGRAMAS[],2,FALSE),0)</f>
        <v>640501509.6821388</v>
      </c>
      <c r="T1413" s="246">
        <f>IFERROR(VLOOKUP(F1413,PROGRAMAS[],2,FALSE),0)</f>
        <v>3062327798.1525245</v>
      </c>
      <c r="U1413" s="246">
        <f>IFERROR(VLOOKUP(G1413,PROGRAMAS[],2,FALSE),0)</f>
        <v>6907648435.8447599</v>
      </c>
      <c r="V1413" s="246">
        <f>IFERROR(VLOOKUP(H1413,PROGRAMAS[],2,FALSE),0)</f>
        <v>6128579952.1618185</v>
      </c>
      <c r="W1413" s="246">
        <f>IFERROR(VLOOKUP(I1413,PROGRAMAS[],2,FALSE),0)</f>
        <v>4635315027.8751087</v>
      </c>
      <c r="X1413" s="246">
        <f>IFERROR(VLOOKUP(J1413,PROGRAMAS[],2,FALSE),0)</f>
        <v>3776538594.4604583</v>
      </c>
      <c r="Y1413" s="246">
        <f>IFERROR(VLOOKUP(K1413,PROGRAMAS[],2,FALSE),0)</f>
        <v>54223862.645839565</v>
      </c>
      <c r="Z1413" s="246">
        <f>IFERROR(VLOOKUP(L1413,PROGRAMAS[],2,FALSE),0)</f>
        <v>122159672.96346797</v>
      </c>
      <c r="AA1413" s="246">
        <f>IFERROR(VLOOKUP(M1413,PROGRAMAS[],2,FALSE),0)</f>
        <v>0</v>
      </c>
      <c r="AB1413" s="246">
        <f>IFERROR(VLOOKUP(N1413,PROGRAMAS[],2,FALSE),0)</f>
        <v>0</v>
      </c>
      <c r="AC1413" s="246">
        <f>IFERROR(VLOOKUP(O1413,PROGRAMAS[],2,FALSE),0)</f>
        <v>0</v>
      </c>
      <c r="AD1413" s="246">
        <f>IFERROR(VLOOKUP(P1413,PROGRAMAS[],2,FALSE),0)</f>
        <v>0</v>
      </c>
      <c r="AE1413" s="246">
        <f>IFERROR(VLOOKUP(Q1413,PROGRAMAS[],2,FALSE),0)</f>
        <v>0</v>
      </c>
      <c r="AF1413" s="246">
        <f>IFERROR(VLOOKUP(D1413,PROGRAMAS[],3,FALSE),0)</f>
        <v>841888629.31080008</v>
      </c>
      <c r="AG1413" s="246">
        <f>IFERROR(VLOOKUP(E1413,PROGRAMAS[],3,FALSE),0)</f>
        <v>3848980803.1642323</v>
      </c>
      <c r="AH1413" s="246">
        <f>IFERROR(VLOOKUP(F1413,PROGRAMAS[],3,FALSE),0)</f>
        <v>3394901471.387517</v>
      </c>
      <c r="AI1413" s="246">
        <f>IFERROR(VLOOKUP(G1413,PROGRAMAS[],3,FALSE),0)</f>
        <v>6129902208.7912121</v>
      </c>
      <c r="AJ1413" s="246">
        <f>IFERROR(VLOOKUP(H1413,PROGRAMAS[],3,FALSE),0)</f>
        <v>7011279577.519702</v>
      </c>
      <c r="AK1413" s="246">
        <f>IFERROR(VLOOKUP(I1413,PROGRAMAS[],3,FALSE),0)</f>
        <v>4099471734.9978786</v>
      </c>
      <c r="AL1413" s="246">
        <f>IFERROR(VLOOKUP(J1413,PROGRAMAS[],3,FALSE),0)</f>
        <v>2392571243.5584412</v>
      </c>
      <c r="AM1413" s="246">
        <f>IFERROR(VLOOKUP(K1413,PROGRAMAS[],3,FALSE),0)</f>
        <v>31865326.38096505</v>
      </c>
      <c r="AN1413" s="246">
        <f>IFERROR(VLOOKUP(L1413,PROGRAMAS[],3,FALSE),0)</f>
        <v>118617452.52510804</v>
      </c>
      <c r="AO1413" s="246">
        <f>IFERROR(VLOOKUP(M1413,PROGRAMAS[],3,FALSE),0)</f>
        <v>0</v>
      </c>
      <c r="AP1413" s="246">
        <f>IFERROR(VLOOKUP(N1413,PROGRAMAS[],3,FALSE),0)</f>
        <v>0</v>
      </c>
      <c r="AQ1413" s="246">
        <f>IFERROR(VLOOKUP(O1413,PROGRAMAS[],3,FALSE),0)</f>
        <v>0</v>
      </c>
      <c r="AR1413" s="246">
        <f>IFERROR(VLOOKUP(P1413,PROGRAMAS[],3,FALSE),0)</f>
        <v>0</v>
      </c>
      <c r="AS1413" s="246">
        <f>IFERROR(VLOOKUP(Q1413,PROGRAMAS[],3,FALSE),0)</f>
        <v>0</v>
      </c>
      <c r="AT1413" s="246">
        <f>IFERROR(VLOOKUP(D1413,VOL_REC[],2,FALSE),0)</f>
        <v>0</v>
      </c>
      <c r="AU1413" s="246">
        <f>IFERROR(VLOOKUP(E1413,VOL_REC[],2,FALSE),0)</f>
        <v>0</v>
      </c>
      <c r="AV1413" s="246">
        <f>IFERROR(VLOOKUP(F1413,VOL_REC[],2,FALSE),0)</f>
        <v>11089674.200000001</v>
      </c>
      <c r="AW1413" s="246">
        <f>IFERROR(VLOOKUP(G1413,VOL_REC[],2,FALSE),0)</f>
        <v>15540036.397699751</v>
      </c>
      <c r="AX1413" s="246">
        <f>IFERROR(VLOOKUP(H1413,VOL_REC[],2,FALSE),0)</f>
        <v>3761786</v>
      </c>
      <c r="AY1413" s="246">
        <f>IFERROR(VLOOKUP(I1413,VOL_REC[],2,FALSE),0)</f>
        <v>1812240</v>
      </c>
      <c r="AZ1413" s="246">
        <f>IFERROR(VLOOKUP(J1413,VOL_REC[],2,FALSE),0)</f>
        <v>663244.80000000016</v>
      </c>
      <c r="BA1413" s="246">
        <f>IFERROR(VLOOKUP(K1413,VOL_REC[],2,FALSE),0)</f>
        <v>17074.045034105649</v>
      </c>
      <c r="BB1413" s="246">
        <f>IFERROR(VLOOKUP(L1413,VOL_REC[],2,FALSE),0)</f>
        <v>105072</v>
      </c>
      <c r="BC1413" s="246">
        <f>IFERROR(VLOOKUP(M1413,VOL_REC[],2,FALSE),0)</f>
        <v>0</v>
      </c>
      <c r="BD1413" s="246">
        <f>IFERROR(VLOOKUP(N1413,VOL_REC[],2,FALSE),0)</f>
        <v>0</v>
      </c>
      <c r="BE1413" s="246">
        <f>IFERROR(VLOOKUP(O1413,VOL_REC[],2,FALSE),0)</f>
        <v>0</v>
      </c>
      <c r="BF1413" s="246">
        <f>IFERROR(VLOOKUP(P1413,VOL_REC[],2,FALSE),0)</f>
        <v>0</v>
      </c>
      <c r="BG1413" s="246">
        <f>IFERROR(VLOOKUP(Q1413,VOL_REC[],2,FALSE),0)</f>
        <v>0</v>
      </c>
      <c r="BH1413" s="1710">
        <f t="shared" si="88"/>
        <v>25424332657.465492</v>
      </c>
      <c r="BI1413" s="1710">
        <f t="shared" si="89"/>
        <v>27869478447.63586</v>
      </c>
      <c r="BJ1413" s="1711">
        <f t="shared" si="90"/>
        <v>32989127.442733862</v>
      </c>
      <c r="BK1413" s="1711">
        <f t="shared" si="91"/>
        <v>0.91226438647696373</v>
      </c>
    </row>
    <row r="1414" spans="3:67" x14ac:dyDescent="0.25">
      <c r="C1414" s="246" t="s">
        <v>2764</v>
      </c>
      <c r="D1414" s="246">
        <v>1</v>
      </c>
      <c r="E1414" s="246">
        <v>2</v>
      </c>
      <c r="F1414" s="246">
        <v>3</v>
      </c>
      <c r="G1414" s="246">
        <v>6</v>
      </c>
      <c r="H1414" s="246">
        <v>9</v>
      </c>
      <c r="I1414" s="246">
        <v>10</v>
      </c>
      <c r="J1414" s="246">
        <v>13</v>
      </c>
      <c r="K1414" s="246">
        <v>14</v>
      </c>
      <c r="L1414" s="246">
        <v>16</v>
      </c>
      <c r="M1414" s="246"/>
      <c r="N1414" s="246"/>
      <c r="O1414" s="246"/>
      <c r="P1414" s="246"/>
      <c r="Q1414" s="246"/>
      <c r="R1414" s="246">
        <f>IFERROR(VLOOKUP(D1414,PROGRAMAS[],2,FALSE),0)</f>
        <v>97037803.679377079</v>
      </c>
      <c r="S1414" s="246">
        <f>IFERROR(VLOOKUP(E1414,PROGRAMAS[],2,FALSE),0)</f>
        <v>640501509.6821388</v>
      </c>
      <c r="T1414" s="246">
        <f>IFERROR(VLOOKUP(F1414,PROGRAMAS[],2,FALSE),0)</f>
        <v>3062327798.1525245</v>
      </c>
      <c r="U1414" s="246">
        <f>IFERROR(VLOOKUP(G1414,PROGRAMAS[],2,FALSE),0)</f>
        <v>6907648435.8447599</v>
      </c>
      <c r="V1414" s="246">
        <f>IFERROR(VLOOKUP(H1414,PROGRAMAS[],2,FALSE),0)</f>
        <v>6128579952.1618185</v>
      </c>
      <c r="W1414" s="246">
        <f>IFERROR(VLOOKUP(I1414,PROGRAMAS[],2,FALSE),0)</f>
        <v>4635315027.8751087</v>
      </c>
      <c r="X1414" s="246">
        <f>IFERROR(VLOOKUP(J1414,PROGRAMAS[],2,FALSE),0)</f>
        <v>3776538594.4604583</v>
      </c>
      <c r="Y1414" s="246">
        <f>IFERROR(VLOOKUP(K1414,PROGRAMAS[],2,FALSE),0)</f>
        <v>54223862.645839565</v>
      </c>
      <c r="Z1414" s="246">
        <f>IFERROR(VLOOKUP(L1414,PROGRAMAS[],2,FALSE),0)</f>
        <v>7068496961.0436354</v>
      </c>
      <c r="AA1414" s="246">
        <f>IFERROR(VLOOKUP(M1414,PROGRAMAS[],2,FALSE),0)</f>
        <v>0</v>
      </c>
      <c r="AB1414" s="246">
        <f>IFERROR(VLOOKUP(N1414,PROGRAMAS[],2,FALSE),0)</f>
        <v>0</v>
      </c>
      <c r="AC1414" s="246">
        <f>IFERROR(VLOOKUP(O1414,PROGRAMAS[],2,FALSE),0)</f>
        <v>0</v>
      </c>
      <c r="AD1414" s="246">
        <f>IFERROR(VLOOKUP(P1414,PROGRAMAS[],2,FALSE),0)</f>
        <v>0</v>
      </c>
      <c r="AE1414" s="246">
        <f>IFERROR(VLOOKUP(Q1414,PROGRAMAS[],2,FALSE),0)</f>
        <v>0</v>
      </c>
      <c r="AF1414" s="246">
        <f>IFERROR(VLOOKUP(D1414,PROGRAMAS[],3,FALSE),0)</f>
        <v>841888629.31080008</v>
      </c>
      <c r="AG1414" s="246">
        <f>IFERROR(VLOOKUP(E1414,PROGRAMAS[],3,FALSE),0)</f>
        <v>3848980803.1642323</v>
      </c>
      <c r="AH1414" s="246">
        <f>IFERROR(VLOOKUP(F1414,PROGRAMAS[],3,FALSE),0)</f>
        <v>3394901471.387517</v>
      </c>
      <c r="AI1414" s="246">
        <f>IFERROR(VLOOKUP(G1414,PROGRAMAS[],3,FALSE),0)</f>
        <v>6129902208.7912121</v>
      </c>
      <c r="AJ1414" s="246">
        <f>IFERROR(VLOOKUP(H1414,PROGRAMAS[],3,FALSE),0)</f>
        <v>7011279577.519702</v>
      </c>
      <c r="AK1414" s="246">
        <f>IFERROR(VLOOKUP(I1414,PROGRAMAS[],3,FALSE),0)</f>
        <v>4099471734.9978786</v>
      </c>
      <c r="AL1414" s="246">
        <f>IFERROR(VLOOKUP(J1414,PROGRAMAS[],3,FALSE),0)</f>
        <v>2392571243.5584412</v>
      </c>
      <c r="AM1414" s="246">
        <f>IFERROR(VLOOKUP(K1414,PROGRAMAS[],3,FALSE),0)</f>
        <v>31865326.38096505</v>
      </c>
      <c r="AN1414" s="246">
        <f>IFERROR(VLOOKUP(L1414,PROGRAMAS[],3,FALSE),0)</f>
        <v>2406564599.0319901</v>
      </c>
      <c r="AO1414" s="246">
        <f>IFERROR(VLOOKUP(M1414,PROGRAMAS[],3,FALSE),0)</f>
        <v>0</v>
      </c>
      <c r="AP1414" s="246">
        <f>IFERROR(VLOOKUP(N1414,PROGRAMAS[],3,FALSE),0)</f>
        <v>0</v>
      </c>
      <c r="AQ1414" s="246">
        <f>IFERROR(VLOOKUP(O1414,PROGRAMAS[],3,FALSE),0)</f>
        <v>0</v>
      </c>
      <c r="AR1414" s="246">
        <f>IFERROR(VLOOKUP(P1414,PROGRAMAS[],3,FALSE),0)</f>
        <v>0</v>
      </c>
      <c r="AS1414" s="246">
        <f>IFERROR(VLOOKUP(Q1414,PROGRAMAS[],3,FALSE),0)</f>
        <v>0</v>
      </c>
      <c r="AT1414" s="246">
        <f>IFERROR(VLOOKUP(D1414,VOL_REC[],2,FALSE),0)</f>
        <v>0</v>
      </c>
      <c r="AU1414" s="246">
        <f>IFERROR(VLOOKUP(E1414,VOL_REC[],2,FALSE),0)</f>
        <v>0</v>
      </c>
      <c r="AV1414" s="246">
        <f>IFERROR(VLOOKUP(F1414,VOL_REC[],2,FALSE),0)</f>
        <v>11089674.200000001</v>
      </c>
      <c r="AW1414" s="246">
        <f>IFERROR(VLOOKUP(G1414,VOL_REC[],2,FALSE),0)</f>
        <v>15540036.397699751</v>
      </c>
      <c r="AX1414" s="246">
        <f>IFERROR(VLOOKUP(H1414,VOL_REC[],2,FALSE),0)</f>
        <v>3761786</v>
      </c>
      <c r="AY1414" s="246">
        <f>IFERROR(VLOOKUP(I1414,VOL_REC[],2,FALSE),0)</f>
        <v>1812240</v>
      </c>
      <c r="AZ1414" s="246">
        <f>IFERROR(VLOOKUP(J1414,VOL_REC[],2,FALSE),0)</f>
        <v>663244.80000000016</v>
      </c>
      <c r="BA1414" s="246">
        <f>IFERROR(VLOOKUP(K1414,VOL_REC[],2,FALSE),0)</f>
        <v>17074.045034105649</v>
      </c>
      <c r="BB1414" s="246">
        <f>IFERROR(VLOOKUP(L1414,VOL_REC[],2,FALSE),0)</f>
        <v>1072354.9981737854</v>
      </c>
      <c r="BC1414" s="246">
        <f>IFERROR(VLOOKUP(M1414,VOL_REC[],2,FALSE),0)</f>
        <v>0</v>
      </c>
      <c r="BD1414" s="246">
        <f>IFERROR(VLOOKUP(N1414,VOL_REC[],2,FALSE),0)</f>
        <v>0</v>
      </c>
      <c r="BE1414" s="246">
        <f>IFERROR(VLOOKUP(O1414,VOL_REC[],2,FALSE),0)</f>
        <v>0</v>
      </c>
      <c r="BF1414" s="246">
        <f>IFERROR(VLOOKUP(P1414,VOL_REC[],2,FALSE),0)</f>
        <v>0</v>
      </c>
      <c r="BG1414" s="246">
        <f>IFERROR(VLOOKUP(Q1414,VOL_REC[],2,FALSE),0)</f>
        <v>0</v>
      </c>
      <c r="BH1414" s="1710">
        <f t="shared" si="88"/>
        <v>32370669945.545662</v>
      </c>
      <c r="BI1414" s="1710">
        <f t="shared" si="89"/>
        <v>30157425594.142742</v>
      </c>
      <c r="BJ1414" s="1711">
        <f t="shared" si="90"/>
        <v>33956410.44090765</v>
      </c>
      <c r="BK1414" s="1711">
        <f t="shared" si="91"/>
        <v>1.0733896978206516</v>
      </c>
      <c r="BL1414">
        <f>BJ1414</f>
        <v>33956410.44090765</v>
      </c>
      <c r="BO1414">
        <f>BL1414</f>
        <v>33956410.44090765</v>
      </c>
    </row>
    <row r="1415" spans="3:67" x14ac:dyDescent="0.25">
      <c r="C1415" s="246" t="s">
        <v>2765</v>
      </c>
      <c r="D1415" s="246">
        <v>1</v>
      </c>
      <c r="E1415" s="246">
        <v>2</v>
      </c>
      <c r="F1415" s="246">
        <v>3</v>
      </c>
      <c r="G1415" s="246">
        <v>6</v>
      </c>
      <c r="H1415" s="246">
        <v>9</v>
      </c>
      <c r="I1415" s="246">
        <v>10</v>
      </c>
      <c r="J1415" s="246">
        <v>13</v>
      </c>
      <c r="K1415" s="246">
        <v>14</v>
      </c>
      <c r="L1415" s="246">
        <v>17</v>
      </c>
      <c r="M1415" s="246"/>
      <c r="N1415" s="246"/>
      <c r="O1415" s="246"/>
      <c r="P1415" s="246"/>
      <c r="Q1415" s="246"/>
      <c r="R1415" s="246">
        <f>IFERROR(VLOOKUP(D1415,PROGRAMAS[],2,FALSE),0)</f>
        <v>97037803.679377079</v>
      </c>
      <c r="S1415" s="246">
        <f>IFERROR(VLOOKUP(E1415,PROGRAMAS[],2,FALSE),0)</f>
        <v>640501509.6821388</v>
      </c>
      <c r="T1415" s="246">
        <f>IFERROR(VLOOKUP(F1415,PROGRAMAS[],2,FALSE),0)</f>
        <v>3062327798.1525245</v>
      </c>
      <c r="U1415" s="246">
        <f>IFERROR(VLOOKUP(G1415,PROGRAMAS[],2,FALSE),0)</f>
        <v>6907648435.8447599</v>
      </c>
      <c r="V1415" s="246">
        <f>IFERROR(VLOOKUP(H1415,PROGRAMAS[],2,FALSE),0)</f>
        <v>6128579952.1618185</v>
      </c>
      <c r="W1415" s="246">
        <f>IFERROR(VLOOKUP(I1415,PROGRAMAS[],2,FALSE),0)</f>
        <v>4635315027.8751087</v>
      </c>
      <c r="X1415" s="246">
        <f>IFERROR(VLOOKUP(J1415,PROGRAMAS[],2,FALSE),0)</f>
        <v>3776538594.4604583</v>
      </c>
      <c r="Y1415" s="246">
        <f>IFERROR(VLOOKUP(K1415,PROGRAMAS[],2,FALSE),0)</f>
        <v>54223862.645839565</v>
      </c>
      <c r="Z1415" s="246">
        <f>IFERROR(VLOOKUP(L1415,PROGRAMAS[],2,FALSE),0)</f>
        <v>1892779498.5211046</v>
      </c>
      <c r="AA1415" s="246">
        <f>IFERROR(VLOOKUP(M1415,PROGRAMAS[],2,FALSE),0)</f>
        <v>0</v>
      </c>
      <c r="AB1415" s="246">
        <f>IFERROR(VLOOKUP(N1415,PROGRAMAS[],2,FALSE),0)</f>
        <v>0</v>
      </c>
      <c r="AC1415" s="246">
        <f>IFERROR(VLOOKUP(O1415,PROGRAMAS[],2,FALSE),0)</f>
        <v>0</v>
      </c>
      <c r="AD1415" s="246">
        <f>IFERROR(VLOOKUP(P1415,PROGRAMAS[],2,FALSE),0)</f>
        <v>0</v>
      </c>
      <c r="AE1415" s="246">
        <f>IFERROR(VLOOKUP(Q1415,PROGRAMAS[],2,FALSE),0)</f>
        <v>0</v>
      </c>
      <c r="AF1415" s="246">
        <f>IFERROR(VLOOKUP(D1415,PROGRAMAS[],3,FALSE),0)</f>
        <v>841888629.31080008</v>
      </c>
      <c r="AG1415" s="246">
        <f>IFERROR(VLOOKUP(E1415,PROGRAMAS[],3,FALSE),0)</f>
        <v>3848980803.1642323</v>
      </c>
      <c r="AH1415" s="246">
        <f>IFERROR(VLOOKUP(F1415,PROGRAMAS[],3,FALSE),0)</f>
        <v>3394901471.387517</v>
      </c>
      <c r="AI1415" s="246">
        <f>IFERROR(VLOOKUP(G1415,PROGRAMAS[],3,FALSE),0)</f>
        <v>6129902208.7912121</v>
      </c>
      <c r="AJ1415" s="246">
        <f>IFERROR(VLOOKUP(H1415,PROGRAMAS[],3,FALSE),0)</f>
        <v>7011279577.519702</v>
      </c>
      <c r="AK1415" s="246">
        <f>IFERROR(VLOOKUP(I1415,PROGRAMAS[],3,FALSE),0)</f>
        <v>4099471734.9978786</v>
      </c>
      <c r="AL1415" s="246">
        <f>IFERROR(VLOOKUP(J1415,PROGRAMAS[],3,FALSE),0)</f>
        <v>2392571243.5584412</v>
      </c>
      <c r="AM1415" s="246">
        <f>IFERROR(VLOOKUP(K1415,PROGRAMAS[],3,FALSE),0)</f>
        <v>31865326.38096505</v>
      </c>
      <c r="AN1415" s="246">
        <f>IFERROR(VLOOKUP(L1415,PROGRAMAS[],3,FALSE),0)</f>
        <v>948595847.09039903</v>
      </c>
      <c r="AO1415" s="246">
        <f>IFERROR(VLOOKUP(M1415,PROGRAMAS[],3,FALSE),0)</f>
        <v>0</v>
      </c>
      <c r="AP1415" s="246">
        <f>IFERROR(VLOOKUP(N1415,PROGRAMAS[],3,FALSE),0)</f>
        <v>0</v>
      </c>
      <c r="AQ1415" s="246">
        <f>IFERROR(VLOOKUP(O1415,PROGRAMAS[],3,FALSE),0)</f>
        <v>0</v>
      </c>
      <c r="AR1415" s="246">
        <f>IFERROR(VLOOKUP(P1415,PROGRAMAS[],3,FALSE),0)</f>
        <v>0</v>
      </c>
      <c r="AS1415" s="246">
        <f>IFERROR(VLOOKUP(Q1415,PROGRAMAS[],3,FALSE),0)</f>
        <v>0</v>
      </c>
      <c r="AT1415" s="246">
        <f>IFERROR(VLOOKUP(D1415,VOL_REC[],2,FALSE),0)</f>
        <v>0</v>
      </c>
      <c r="AU1415" s="246">
        <f>IFERROR(VLOOKUP(E1415,VOL_REC[],2,FALSE),0)</f>
        <v>0</v>
      </c>
      <c r="AV1415" s="246">
        <f>IFERROR(VLOOKUP(F1415,VOL_REC[],2,FALSE),0)</f>
        <v>11089674.200000001</v>
      </c>
      <c r="AW1415" s="246">
        <f>IFERROR(VLOOKUP(G1415,VOL_REC[],2,FALSE),0)</f>
        <v>15540036.397699751</v>
      </c>
      <c r="AX1415" s="246">
        <f>IFERROR(VLOOKUP(H1415,VOL_REC[],2,FALSE),0)</f>
        <v>3761786</v>
      </c>
      <c r="AY1415" s="246">
        <f>IFERROR(VLOOKUP(I1415,VOL_REC[],2,FALSE),0)</f>
        <v>1812240</v>
      </c>
      <c r="AZ1415" s="246">
        <f>IFERROR(VLOOKUP(J1415,VOL_REC[],2,FALSE),0)</f>
        <v>663244.80000000016</v>
      </c>
      <c r="BA1415" s="246">
        <f>IFERROR(VLOOKUP(K1415,VOL_REC[],2,FALSE),0)</f>
        <v>17074.045034105649</v>
      </c>
      <c r="BB1415" s="246">
        <f>IFERROR(VLOOKUP(L1415,VOL_REC[],2,FALSE),0)</f>
        <v>740113.98115702497</v>
      </c>
      <c r="BC1415" s="246">
        <f>IFERROR(VLOOKUP(M1415,VOL_REC[],2,FALSE),0)</f>
        <v>0</v>
      </c>
      <c r="BD1415" s="246">
        <f>IFERROR(VLOOKUP(N1415,VOL_REC[],2,FALSE),0)</f>
        <v>0</v>
      </c>
      <c r="BE1415" s="246">
        <f>IFERROR(VLOOKUP(O1415,VOL_REC[],2,FALSE),0)</f>
        <v>0</v>
      </c>
      <c r="BF1415" s="246">
        <f>IFERROR(VLOOKUP(P1415,VOL_REC[],2,FALSE),0)</f>
        <v>0</v>
      </c>
      <c r="BG1415" s="246">
        <f>IFERROR(VLOOKUP(Q1415,VOL_REC[],2,FALSE),0)</f>
        <v>0</v>
      </c>
      <c r="BH1415" s="1710">
        <f t="shared" si="88"/>
        <v>27194952483.023129</v>
      </c>
      <c r="BI1415" s="1710">
        <f t="shared" si="89"/>
        <v>28699456842.201153</v>
      </c>
      <c r="BJ1415" s="1711">
        <f t="shared" si="90"/>
        <v>33624169.423890889</v>
      </c>
      <c r="BK1415" s="1711">
        <f t="shared" si="91"/>
        <v>0.94757725320551278</v>
      </c>
    </row>
    <row r="1416" spans="3:67" x14ac:dyDescent="0.25">
      <c r="C1416" s="246" t="s">
        <v>2766</v>
      </c>
      <c r="D1416" s="246">
        <v>1</v>
      </c>
      <c r="E1416" s="246">
        <v>2</v>
      </c>
      <c r="F1416" s="246">
        <v>3</v>
      </c>
      <c r="G1416" s="246">
        <v>6</v>
      </c>
      <c r="H1416" s="246">
        <v>9</v>
      </c>
      <c r="I1416" s="246">
        <v>10</v>
      </c>
      <c r="J1416" s="246">
        <v>13</v>
      </c>
      <c r="K1416" s="246">
        <v>15</v>
      </c>
      <c r="L1416" s="246">
        <v>16</v>
      </c>
      <c r="M1416" s="246"/>
      <c r="N1416" s="246"/>
      <c r="O1416" s="246"/>
      <c r="P1416" s="246"/>
      <c r="Q1416" s="246"/>
      <c r="R1416" s="246">
        <f>IFERROR(VLOOKUP(D1416,PROGRAMAS[],2,FALSE),0)</f>
        <v>97037803.679377079</v>
      </c>
      <c r="S1416" s="246">
        <f>IFERROR(VLOOKUP(E1416,PROGRAMAS[],2,FALSE),0)</f>
        <v>640501509.6821388</v>
      </c>
      <c r="T1416" s="246">
        <f>IFERROR(VLOOKUP(F1416,PROGRAMAS[],2,FALSE),0)</f>
        <v>3062327798.1525245</v>
      </c>
      <c r="U1416" s="246">
        <f>IFERROR(VLOOKUP(G1416,PROGRAMAS[],2,FALSE),0)</f>
        <v>6907648435.8447599</v>
      </c>
      <c r="V1416" s="246">
        <f>IFERROR(VLOOKUP(H1416,PROGRAMAS[],2,FALSE),0)</f>
        <v>6128579952.1618185</v>
      </c>
      <c r="W1416" s="246">
        <f>IFERROR(VLOOKUP(I1416,PROGRAMAS[],2,FALSE),0)</f>
        <v>4635315027.8751087</v>
      </c>
      <c r="X1416" s="246">
        <f>IFERROR(VLOOKUP(J1416,PROGRAMAS[],2,FALSE),0)</f>
        <v>3776538594.4604583</v>
      </c>
      <c r="Y1416" s="246">
        <f>IFERROR(VLOOKUP(K1416,PROGRAMAS[],2,FALSE),0)</f>
        <v>122159672.96346797</v>
      </c>
      <c r="Z1416" s="246">
        <f>IFERROR(VLOOKUP(L1416,PROGRAMAS[],2,FALSE),0)</f>
        <v>7068496961.0436354</v>
      </c>
      <c r="AA1416" s="246">
        <f>IFERROR(VLOOKUP(M1416,PROGRAMAS[],2,FALSE),0)</f>
        <v>0</v>
      </c>
      <c r="AB1416" s="246">
        <f>IFERROR(VLOOKUP(N1416,PROGRAMAS[],2,FALSE),0)</f>
        <v>0</v>
      </c>
      <c r="AC1416" s="246">
        <f>IFERROR(VLOOKUP(O1416,PROGRAMAS[],2,FALSE),0)</f>
        <v>0</v>
      </c>
      <c r="AD1416" s="246">
        <f>IFERROR(VLOOKUP(P1416,PROGRAMAS[],2,FALSE),0)</f>
        <v>0</v>
      </c>
      <c r="AE1416" s="246">
        <f>IFERROR(VLOOKUP(Q1416,PROGRAMAS[],2,FALSE),0)</f>
        <v>0</v>
      </c>
      <c r="AF1416" s="246">
        <f>IFERROR(VLOOKUP(D1416,PROGRAMAS[],3,FALSE),0)</f>
        <v>841888629.31080008</v>
      </c>
      <c r="AG1416" s="246">
        <f>IFERROR(VLOOKUP(E1416,PROGRAMAS[],3,FALSE),0)</f>
        <v>3848980803.1642323</v>
      </c>
      <c r="AH1416" s="246">
        <f>IFERROR(VLOOKUP(F1416,PROGRAMAS[],3,FALSE),0)</f>
        <v>3394901471.387517</v>
      </c>
      <c r="AI1416" s="246">
        <f>IFERROR(VLOOKUP(G1416,PROGRAMAS[],3,FALSE),0)</f>
        <v>6129902208.7912121</v>
      </c>
      <c r="AJ1416" s="246">
        <f>IFERROR(VLOOKUP(H1416,PROGRAMAS[],3,FALSE),0)</f>
        <v>7011279577.519702</v>
      </c>
      <c r="AK1416" s="246">
        <f>IFERROR(VLOOKUP(I1416,PROGRAMAS[],3,FALSE),0)</f>
        <v>4099471734.9978786</v>
      </c>
      <c r="AL1416" s="246">
        <f>IFERROR(VLOOKUP(J1416,PROGRAMAS[],3,FALSE),0)</f>
        <v>2392571243.5584412</v>
      </c>
      <c r="AM1416" s="246">
        <f>IFERROR(VLOOKUP(K1416,PROGRAMAS[],3,FALSE),0)</f>
        <v>118617452.52510804</v>
      </c>
      <c r="AN1416" s="246">
        <f>IFERROR(VLOOKUP(L1416,PROGRAMAS[],3,FALSE),0)</f>
        <v>2406564599.0319901</v>
      </c>
      <c r="AO1416" s="246">
        <f>IFERROR(VLOOKUP(M1416,PROGRAMAS[],3,FALSE),0)</f>
        <v>0</v>
      </c>
      <c r="AP1416" s="246">
        <f>IFERROR(VLOOKUP(N1416,PROGRAMAS[],3,FALSE),0)</f>
        <v>0</v>
      </c>
      <c r="AQ1416" s="246">
        <f>IFERROR(VLOOKUP(O1416,PROGRAMAS[],3,FALSE),0)</f>
        <v>0</v>
      </c>
      <c r="AR1416" s="246">
        <f>IFERROR(VLOOKUP(P1416,PROGRAMAS[],3,FALSE),0)</f>
        <v>0</v>
      </c>
      <c r="AS1416" s="246">
        <f>IFERROR(VLOOKUP(Q1416,PROGRAMAS[],3,FALSE),0)</f>
        <v>0</v>
      </c>
      <c r="AT1416" s="246">
        <f>IFERROR(VLOOKUP(D1416,VOL_REC[],2,FALSE),0)</f>
        <v>0</v>
      </c>
      <c r="AU1416" s="246">
        <f>IFERROR(VLOOKUP(E1416,VOL_REC[],2,FALSE),0)</f>
        <v>0</v>
      </c>
      <c r="AV1416" s="246">
        <f>IFERROR(VLOOKUP(F1416,VOL_REC[],2,FALSE),0)</f>
        <v>11089674.200000001</v>
      </c>
      <c r="AW1416" s="246">
        <f>IFERROR(VLOOKUP(G1416,VOL_REC[],2,FALSE),0)</f>
        <v>15540036.397699751</v>
      </c>
      <c r="AX1416" s="246">
        <f>IFERROR(VLOOKUP(H1416,VOL_REC[],2,FALSE),0)</f>
        <v>3761786</v>
      </c>
      <c r="AY1416" s="246">
        <f>IFERROR(VLOOKUP(I1416,VOL_REC[],2,FALSE),0)</f>
        <v>1812240</v>
      </c>
      <c r="AZ1416" s="246">
        <f>IFERROR(VLOOKUP(J1416,VOL_REC[],2,FALSE),0)</f>
        <v>663244.80000000016</v>
      </c>
      <c r="BA1416" s="246">
        <f>IFERROR(VLOOKUP(K1416,VOL_REC[],2,FALSE),0)</f>
        <v>105072</v>
      </c>
      <c r="BB1416" s="246">
        <f>IFERROR(VLOOKUP(L1416,VOL_REC[],2,FALSE),0)</f>
        <v>1072354.9981737854</v>
      </c>
      <c r="BC1416" s="246">
        <f>IFERROR(VLOOKUP(M1416,VOL_REC[],2,FALSE),0)</f>
        <v>0</v>
      </c>
      <c r="BD1416" s="246">
        <f>IFERROR(VLOOKUP(N1416,VOL_REC[],2,FALSE),0)</f>
        <v>0</v>
      </c>
      <c r="BE1416" s="246">
        <f>IFERROR(VLOOKUP(O1416,VOL_REC[],2,FALSE),0)</f>
        <v>0</v>
      </c>
      <c r="BF1416" s="246">
        <f>IFERROR(VLOOKUP(P1416,VOL_REC[],2,FALSE),0)</f>
        <v>0</v>
      </c>
      <c r="BG1416" s="246">
        <f>IFERROR(VLOOKUP(Q1416,VOL_REC[],2,FALSE),0)</f>
        <v>0</v>
      </c>
      <c r="BH1416" s="1710">
        <f t="shared" si="88"/>
        <v>32438605755.863289</v>
      </c>
      <c r="BI1416" s="1710">
        <f t="shared" si="89"/>
        <v>30244177720.286884</v>
      </c>
      <c r="BJ1416" s="1711">
        <f t="shared" si="90"/>
        <v>34044408.395873539</v>
      </c>
      <c r="BK1416" s="1711">
        <f t="shared" si="91"/>
        <v>1.0725570407591027</v>
      </c>
      <c r="BL1416">
        <f>BJ1416</f>
        <v>34044408.395873539</v>
      </c>
      <c r="BO1416">
        <f>BL1416</f>
        <v>34044408.395873539</v>
      </c>
    </row>
    <row r="1417" spans="3:67" x14ac:dyDescent="0.25">
      <c r="C1417" s="246" t="s">
        <v>2767</v>
      </c>
      <c r="D1417" s="246">
        <v>1</v>
      </c>
      <c r="E1417" s="246">
        <v>2</v>
      </c>
      <c r="F1417" s="246">
        <v>3</v>
      </c>
      <c r="G1417" s="246">
        <v>6</v>
      </c>
      <c r="H1417" s="246">
        <v>9</v>
      </c>
      <c r="I1417" s="246">
        <v>10</v>
      </c>
      <c r="J1417" s="246">
        <v>13</v>
      </c>
      <c r="K1417" s="246">
        <v>15</v>
      </c>
      <c r="L1417" s="246">
        <v>17</v>
      </c>
      <c r="M1417" s="246"/>
      <c r="N1417" s="246"/>
      <c r="O1417" s="246"/>
      <c r="P1417" s="246"/>
      <c r="Q1417" s="246"/>
      <c r="R1417" s="246">
        <f>IFERROR(VLOOKUP(D1417,PROGRAMAS[],2,FALSE),0)</f>
        <v>97037803.679377079</v>
      </c>
      <c r="S1417" s="246">
        <f>IFERROR(VLOOKUP(E1417,PROGRAMAS[],2,FALSE),0)</f>
        <v>640501509.6821388</v>
      </c>
      <c r="T1417" s="246">
        <f>IFERROR(VLOOKUP(F1417,PROGRAMAS[],2,FALSE),0)</f>
        <v>3062327798.1525245</v>
      </c>
      <c r="U1417" s="246">
        <f>IFERROR(VLOOKUP(G1417,PROGRAMAS[],2,FALSE),0)</f>
        <v>6907648435.8447599</v>
      </c>
      <c r="V1417" s="246">
        <f>IFERROR(VLOOKUP(H1417,PROGRAMAS[],2,FALSE),0)</f>
        <v>6128579952.1618185</v>
      </c>
      <c r="W1417" s="246">
        <f>IFERROR(VLOOKUP(I1417,PROGRAMAS[],2,FALSE),0)</f>
        <v>4635315027.8751087</v>
      </c>
      <c r="X1417" s="246">
        <f>IFERROR(VLOOKUP(J1417,PROGRAMAS[],2,FALSE),0)</f>
        <v>3776538594.4604583</v>
      </c>
      <c r="Y1417" s="246">
        <f>IFERROR(VLOOKUP(K1417,PROGRAMAS[],2,FALSE),0)</f>
        <v>122159672.96346797</v>
      </c>
      <c r="Z1417" s="246">
        <f>IFERROR(VLOOKUP(L1417,PROGRAMAS[],2,FALSE),0)</f>
        <v>1892779498.5211046</v>
      </c>
      <c r="AA1417" s="246">
        <f>IFERROR(VLOOKUP(M1417,PROGRAMAS[],2,FALSE),0)</f>
        <v>0</v>
      </c>
      <c r="AB1417" s="246">
        <f>IFERROR(VLOOKUP(N1417,PROGRAMAS[],2,FALSE),0)</f>
        <v>0</v>
      </c>
      <c r="AC1417" s="246">
        <f>IFERROR(VLOOKUP(O1417,PROGRAMAS[],2,FALSE),0)</f>
        <v>0</v>
      </c>
      <c r="AD1417" s="246">
        <f>IFERROR(VLOOKUP(P1417,PROGRAMAS[],2,FALSE),0)</f>
        <v>0</v>
      </c>
      <c r="AE1417" s="246">
        <f>IFERROR(VLOOKUP(Q1417,PROGRAMAS[],2,FALSE),0)</f>
        <v>0</v>
      </c>
      <c r="AF1417" s="246">
        <f>IFERROR(VLOOKUP(D1417,PROGRAMAS[],3,FALSE),0)</f>
        <v>841888629.31080008</v>
      </c>
      <c r="AG1417" s="246">
        <f>IFERROR(VLOOKUP(E1417,PROGRAMAS[],3,FALSE),0)</f>
        <v>3848980803.1642323</v>
      </c>
      <c r="AH1417" s="246">
        <f>IFERROR(VLOOKUP(F1417,PROGRAMAS[],3,FALSE),0)</f>
        <v>3394901471.387517</v>
      </c>
      <c r="AI1417" s="246">
        <f>IFERROR(VLOOKUP(G1417,PROGRAMAS[],3,FALSE),0)</f>
        <v>6129902208.7912121</v>
      </c>
      <c r="AJ1417" s="246">
        <f>IFERROR(VLOOKUP(H1417,PROGRAMAS[],3,FALSE),0)</f>
        <v>7011279577.519702</v>
      </c>
      <c r="AK1417" s="246">
        <f>IFERROR(VLOOKUP(I1417,PROGRAMAS[],3,FALSE),0)</f>
        <v>4099471734.9978786</v>
      </c>
      <c r="AL1417" s="246">
        <f>IFERROR(VLOOKUP(J1417,PROGRAMAS[],3,FALSE),0)</f>
        <v>2392571243.5584412</v>
      </c>
      <c r="AM1417" s="246">
        <f>IFERROR(VLOOKUP(K1417,PROGRAMAS[],3,FALSE),0)</f>
        <v>118617452.52510804</v>
      </c>
      <c r="AN1417" s="246">
        <f>IFERROR(VLOOKUP(L1417,PROGRAMAS[],3,FALSE),0)</f>
        <v>948595847.09039903</v>
      </c>
      <c r="AO1417" s="246">
        <f>IFERROR(VLOOKUP(M1417,PROGRAMAS[],3,FALSE),0)</f>
        <v>0</v>
      </c>
      <c r="AP1417" s="246">
        <f>IFERROR(VLOOKUP(N1417,PROGRAMAS[],3,FALSE),0)</f>
        <v>0</v>
      </c>
      <c r="AQ1417" s="246">
        <f>IFERROR(VLOOKUP(O1417,PROGRAMAS[],3,FALSE),0)</f>
        <v>0</v>
      </c>
      <c r="AR1417" s="246">
        <f>IFERROR(VLOOKUP(P1417,PROGRAMAS[],3,FALSE),0)</f>
        <v>0</v>
      </c>
      <c r="AS1417" s="246">
        <f>IFERROR(VLOOKUP(Q1417,PROGRAMAS[],3,FALSE),0)</f>
        <v>0</v>
      </c>
      <c r="AT1417" s="246">
        <f>IFERROR(VLOOKUP(D1417,VOL_REC[],2,FALSE),0)</f>
        <v>0</v>
      </c>
      <c r="AU1417" s="246">
        <f>IFERROR(VLOOKUP(E1417,VOL_REC[],2,FALSE),0)</f>
        <v>0</v>
      </c>
      <c r="AV1417" s="246">
        <f>IFERROR(VLOOKUP(F1417,VOL_REC[],2,FALSE),0)</f>
        <v>11089674.200000001</v>
      </c>
      <c r="AW1417" s="246">
        <f>IFERROR(VLOOKUP(G1417,VOL_REC[],2,FALSE),0)</f>
        <v>15540036.397699751</v>
      </c>
      <c r="AX1417" s="246">
        <f>IFERROR(VLOOKUP(H1417,VOL_REC[],2,FALSE),0)</f>
        <v>3761786</v>
      </c>
      <c r="AY1417" s="246">
        <f>IFERROR(VLOOKUP(I1417,VOL_REC[],2,FALSE),0)</f>
        <v>1812240</v>
      </c>
      <c r="AZ1417" s="246">
        <f>IFERROR(VLOOKUP(J1417,VOL_REC[],2,FALSE),0)</f>
        <v>663244.80000000016</v>
      </c>
      <c r="BA1417" s="246">
        <f>IFERROR(VLOOKUP(K1417,VOL_REC[],2,FALSE),0)</f>
        <v>105072</v>
      </c>
      <c r="BB1417" s="246">
        <f>IFERROR(VLOOKUP(L1417,VOL_REC[],2,FALSE),0)</f>
        <v>740113.98115702497</v>
      </c>
      <c r="BC1417" s="246">
        <f>IFERROR(VLOOKUP(M1417,VOL_REC[],2,FALSE),0)</f>
        <v>0</v>
      </c>
      <c r="BD1417" s="246">
        <f>IFERROR(VLOOKUP(N1417,VOL_REC[],2,FALSE),0)</f>
        <v>0</v>
      </c>
      <c r="BE1417" s="246">
        <f>IFERROR(VLOOKUP(O1417,VOL_REC[],2,FALSE),0)</f>
        <v>0</v>
      </c>
      <c r="BF1417" s="246">
        <f>IFERROR(VLOOKUP(P1417,VOL_REC[],2,FALSE),0)</f>
        <v>0</v>
      </c>
      <c r="BG1417" s="246">
        <f>IFERROR(VLOOKUP(Q1417,VOL_REC[],2,FALSE),0)</f>
        <v>0</v>
      </c>
      <c r="BH1417" s="1710">
        <f t="shared" si="88"/>
        <v>27262888293.340755</v>
      </c>
      <c r="BI1417" s="1710">
        <f t="shared" si="89"/>
        <v>28786208968.345295</v>
      </c>
      <c r="BJ1417" s="1711">
        <f t="shared" si="90"/>
        <v>33712167.378856778</v>
      </c>
      <c r="BK1417" s="1711">
        <f t="shared" si="91"/>
        <v>0.94708158074306847</v>
      </c>
    </row>
    <row r="1418" spans="3:67" x14ac:dyDescent="0.25">
      <c r="C1418" s="246" t="s">
        <v>2768</v>
      </c>
      <c r="D1418" s="246">
        <v>1</v>
      </c>
      <c r="E1418" s="246">
        <v>2</v>
      </c>
      <c r="F1418" s="246">
        <v>3</v>
      </c>
      <c r="G1418" s="246">
        <v>6</v>
      </c>
      <c r="H1418" s="246">
        <v>9</v>
      </c>
      <c r="I1418" s="246">
        <v>10</v>
      </c>
      <c r="J1418" s="246">
        <v>13</v>
      </c>
      <c r="K1418" s="246">
        <v>16</v>
      </c>
      <c r="L1418" s="246">
        <v>17</v>
      </c>
      <c r="M1418" s="246"/>
      <c r="N1418" s="246"/>
      <c r="O1418" s="246"/>
      <c r="P1418" s="246"/>
      <c r="Q1418" s="246"/>
      <c r="R1418" s="246">
        <f>IFERROR(VLOOKUP(D1418,PROGRAMAS[],2,FALSE),0)</f>
        <v>97037803.679377079</v>
      </c>
      <c r="S1418" s="246">
        <f>IFERROR(VLOOKUP(E1418,PROGRAMAS[],2,FALSE),0)</f>
        <v>640501509.6821388</v>
      </c>
      <c r="T1418" s="246">
        <f>IFERROR(VLOOKUP(F1418,PROGRAMAS[],2,FALSE),0)</f>
        <v>3062327798.1525245</v>
      </c>
      <c r="U1418" s="246">
        <f>IFERROR(VLOOKUP(G1418,PROGRAMAS[],2,FALSE),0)</f>
        <v>6907648435.8447599</v>
      </c>
      <c r="V1418" s="246">
        <f>IFERROR(VLOOKUP(H1418,PROGRAMAS[],2,FALSE),0)</f>
        <v>6128579952.1618185</v>
      </c>
      <c r="W1418" s="246">
        <f>IFERROR(VLOOKUP(I1418,PROGRAMAS[],2,FALSE),0)</f>
        <v>4635315027.8751087</v>
      </c>
      <c r="X1418" s="246">
        <f>IFERROR(VLOOKUP(J1418,PROGRAMAS[],2,FALSE),0)</f>
        <v>3776538594.4604583</v>
      </c>
      <c r="Y1418" s="246">
        <f>IFERROR(VLOOKUP(K1418,PROGRAMAS[],2,FALSE),0)</f>
        <v>7068496961.0436354</v>
      </c>
      <c r="Z1418" s="246">
        <f>IFERROR(VLOOKUP(L1418,PROGRAMAS[],2,FALSE),0)</f>
        <v>1892779498.5211046</v>
      </c>
      <c r="AA1418" s="246">
        <f>IFERROR(VLOOKUP(M1418,PROGRAMAS[],2,FALSE),0)</f>
        <v>0</v>
      </c>
      <c r="AB1418" s="246">
        <f>IFERROR(VLOOKUP(N1418,PROGRAMAS[],2,FALSE),0)</f>
        <v>0</v>
      </c>
      <c r="AC1418" s="246">
        <f>IFERROR(VLOOKUP(O1418,PROGRAMAS[],2,FALSE),0)</f>
        <v>0</v>
      </c>
      <c r="AD1418" s="246">
        <f>IFERROR(VLOOKUP(P1418,PROGRAMAS[],2,FALSE),0)</f>
        <v>0</v>
      </c>
      <c r="AE1418" s="246">
        <f>IFERROR(VLOOKUP(Q1418,PROGRAMAS[],2,FALSE),0)</f>
        <v>0</v>
      </c>
      <c r="AF1418" s="246">
        <f>IFERROR(VLOOKUP(D1418,PROGRAMAS[],3,FALSE),0)</f>
        <v>841888629.31080008</v>
      </c>
      <c r="AG1418" s="246">
        <f>IFERROR(VLOOKUP(E1418,PROGRAMAS[],3,FALSE),0)</f>
        <v>3848980803.1642323</v>
      </c>
      <c r="AH1418" s="246">
        <f>IFERROR(VLOOKUP(F1418,PROGRAMAS[],3,FALSE),0)</f>
        <v>3394901471.387517</v>
      </c>
      <c r="AI1418" s="246">
        <f>IFERROR(VLOOKUP(G1418,PROGRAMAS[],3,FALSE),0)</f>
        <v>6129902208.7912121</v>
      </c>
      <c r="AJ1418" s="246">
        <f>IFERROR(VLOOKUP(H1418,PROGRAMAS[],3,FALSE),0)</f>
        <v>7011279577.519702</v>
      </c>
      <c r="AK1418" s="246">
        <f>IFERROR(VLOOKUP(I1418,PROGRAMAS[],3,FALSE),0)</f>
        <v>4099471734.9978786</v>
      </c>
      <c r="AL1418" s="246">
        <f>IFERROR(VLOOKUP(J1418,PROGRAMAS[],3,FALSE),0)</f>
        <v>2392571243.5584412</v>
      </c>
      <c r="AM1418" s="246">
        <f>IFERROR(VLOOKUP(K1418,PROGRAMAS[],3,FALSE),0)</f>
        <v>2406564599.0319901</v>
      </c>
      <c r="AN1418" s="246">
        <f>IFERROR(VLOOKUP(L1418,PROGRAMAS[],3,FALSE),0)</f>
        <v>948595847.09039903</v>
      </c>
      <c r="AO1418" s="246">
        <f>IFERROR(VLOOKUP(M1418,PROGRAMAS[],3,FALSE),0)</f>
        <v>0</v>
      </c>
      <c r="AP1418" s="246">
        <f>IFERROR(VLOOKUP(N1418,PROGRAMAS[],3,FALSE),0)</f>
        <v>0</v>
      </c>
      <c r="AQ1418" s="246">
        <f>IFERROR(VLOOKUP(O1418,PROGRAMAS[],3,FALSE),0)</f>
        <v>0</v>
      </c>
      <c r="AR1418" s="246">
        <f>IFERROR(VLOOKUP(P1418,PROGRAMAS[],3,FALSE),0)</f>
        <v>0</v>
      </c>
      <c r="AS1418" s="246">
        <f>IFERROR(VLOOKUP(Q1418,PROGRAMAS[],3,FALSE),0)</f>
        <v>0</v>
      </c>
      <c r="AT1418" s="246">
        <f>IFERROR(VLOOKUP(D1418,VOL_REC[],2,FALSE),0)</f>
        <v>0</v>
      </c>
      <c r="AU1418" s="246">
        <f>IFERROR(VLOOKUP(E1418,VOL_REC[],2,FALSE),0)</f>
        <v>0</v>
      </c>
      <c r="AV1418" s="246">
        <f>IFERROR(VLOOKUP(F1418,VOL_REC[],2,FALSE),0)</f>
        <v>11089674.200000001</v>
      </c>
      <c r="AW1418" s="246">
        <f>IFERROR(VLOOKUP(G1418,VOL_REC[],2,FALSE),0)</f>
        <v>15540036.397699751</v>
      </c>
      <c r="AX1418" s="246">
        <f>IFERROR(VLOOKUP(H1418,VOL_REC[],2,FALSE),0)</f>
        <v>3761786</v>
      </c>
      <c r="AY1418" s="246">
        <f>IFERROR(VLOOKUP(I1418,VOL_REC[],2,FALSE),0)</f>
        <v>1812240</v>
      </c>
      <c r="AZ1418" s="246">
        <f>IFERROR(VLOOKUP(J1418,VOL_REC[],2,FALSE),0)</f>
        <v>663244.80000000016</v>
      </c>
      <c r="BA1418" s="246">
        <f>IFERROR(VLOOKUP(K1418,VOL_REC[],2,FALSE),0)</f>
        <v>1072354.9981737854</v>
      </c>
      <c r="BB1418" s="246">
        <f>IFERROR(VLOOKUP(L1418,VOL_REC[],2,FALSE),0)</f>
        <v>740113.98115702497</v>
      </c>
      <c r="BC1418" s="246">
        <f>IFERROR(VLOOKUP(M1418,VOL_REC[],2,FALSE),0)</f>
        <v>0</v>
      </c>
      <c r="BD1418" s="246">
        <f>IFERROR(VLOOKUP(N1418,VOL_REC[],2,FALSE),0)</f>
        <v>0</v>
      </c>
      <c r="BE1418" s="246">
        <f>IFERROR(VLOOKUP(O1418,VOL_REC[],2,FALSE),0)</f>
        <v>0</v>
      </c>
      <c r="BF1418" s="246">
        <f>IFERROR(VLOOKUP(P1418,VOL_REC[],2,FALSE),0)</f>
        <v>0</v>
      </c>
      <c r="BG1418" s="246">
        <f>IFERROR(VLOOKUP(Q1418,VOL_REC[],2,FALSE),0)</f>
        <v>0</v>
      </c>
      <c r="BH1418" s="1710">
        <f t="shared" si="88"/>
        <v>34209225581.420925</v>
      </c>
      <c r="BI1418" s="1710">
        <f t="shared" si="89"/>
        <v>31074156114.852177</v>
      </c>
      <c r="BJ1418" s="1711">
        <f t="shared" si="90"/>
        <v>34679450.377030566</v>
      </c>
      <c r="BK1418" s="1711">
        <f t="shared" si="91"/>
        <v>1.1008899310083053</v>
      </c>
      <c r="BL1418">
        <f>BJ1418</f>
        <v>34679450.377030566</v>
      </c>
      <c r="BO1418">
        <f>BL1418</f>
        <v>34679450.377030566</v>
      </c>
    </row>
    <row r="1419" spans="3:67" x14ac:dyDescent="0.25">
      <c r="C1419" s="246" t="s">
        <v>2769</v>
      </c>
      <c r="D1419" s="246">
        <v>1</v>
      </c>
      <c r="E1419" s="246">
        <v>2</v>
      </c>
      <c r="F1419" s="246">
        <v>3</v>
      </c>
      <c r="G1419" s="246">
        <v>6</v>
      </c>
      <c r="H1419" s="246">
        <v>9</v>
      </c>
      <c r="I1419" s="246">
        <v>10</v>
      </c>
      <c r="J1419" s="246">
        <v>14</v>
      </c>
      <c r="K1419" s="246">
        <v>15</v>
      </c>
      <c r="L1419" s="246">
        <v>16</v>
      </c>
      <c r="M1419" s="246"/>
      <c r="N1419" s="246"/>
      <c r="O1419" s="246"/>
      <c r="P1419" s="246"/>
      <c r="Q1419" s="246"/>
      <c r="R1419" s="246">
        <f>IFERROR(VLOOKUP(D1419,PROGRAMAS[],2,FALSE),0)</f>
        <v>97037803.679377079</v>
      </c>
      <c r="S1419" s="246">
        <f>IFERROR(VLOOKUP(E1419,PROGRAMAS[],2,FALSE),0)</f>
        <v>640501509.6821388</v>
      </c>
      <c r="T1419" s="246">
        <f>IFERROR(VLOOKUP(F1419,PROGRAMAS[],2,FALSE),0)</f>
        <v>3062327798.1525245</v>
      </c>
      <c r="U1419" s="246">
        <f>IFERROR(VLOOKUP(G1419,PROGRAMAS[],2,FALSE),0)</f>
        <v>6907648435.8447599</v>
      </c>
      <c r="V1419" s="246">
        <f>IFERROR(VLOOKUP(H1419,PROGRAMAS[],2,FALSE),0)</f>
        <v>6128579952.1618185</v>
      </c>
      <c r="W1419" s="246">
        <f>IFERROR(VLOOKUP(I1419,PROGRAMAS[],2,FALSE),0)</f>
        <v>4635315027.8751087</v>
      </c>
      <c r="X1419" s="246">
        <f>IFERROR(VLOOKUP(J1419,PROGRAMAS[],2,FALSE),0)</f>
        <v>54223862.645839565</v>
      </c>
      <c r="Y1419" s="246">
        <f>IFERROR(VLOOKUP(K1419,PROGRAMAS[],2,FALSE),0)</f>
        <v>122159672.96346797</v>
      </c>
      <c r="Z1419" s="246">
        <f>IFERROR(VLOOKUP(L1419,PROGRAMAS[],2,FALSE),0)</f>
        <v>7068496961.0436354</v>
      </c>
      <c r="AA1419" s="246">
        <f>IFERROR(VLOOKUP(M1419,PROGRAMAS[],2,FALSE),0)</f>
        <v>0</v>
      </c>
      <c r="AB1419" s="246">
        <f>IFERROR(VLOOKUP(N1419,PROGRAMAS[],2,FALSE),0)</f>
        <v>0</v>
      </c>
      <c r="AC1419" s="246">
        <f>IFERROR(VLOOKUP(O1419,PROGRAMAS[],2,FALSE),0)</f>
        <v>0</v>
      </c>
      <c r="AD1419" s="246">
        <f>IFERROR(VLOOKUP(P1419,PROGRAMAS[],2,FALSE),0)</f>
        <v>0</v>
      </c>
      <c r="AE1419" s="246">
        <f>IFERROR(VLOOKUP(Q1419,PROGRAMAS[],2,FALSE),0)</f>
        <v>0</v>
      </c>
      <c r="AF1419" s="246">
        <f>IFERROR(VLOOKUP(D1419,PROGRAMAS[],3,FALSE),0)</f>
        <v>841888629.31080008</v>
      </c>
      <c r="AG1419" s="246">
        <f>IFERROR(VLOOKUP(E1419,PROGRAMAS[],3,FALSE),0)</f>
        <v>3848980803.1642323</v>
      </c>
      <c r="AH1419" s="246">
        <f>IFERROR(VLOOKUP(F1419,PROGRAMAS[],3,FALSE),0)</f>
        <v>3394901471.387517</v>
      </c>
      <c r="AI1419" s="246">
        <f>IFERROR(VLOOKUP(G1419,PROGRAMAS[],3,FALSE),0)</f>
        <v>6129902208.7912121</v>
      </c>
      <c r="AJ1419" s="246">
        <f>IFERROR(VLOOKUP(H1419,PROGRAMAS[],3,FALSE),0)</f>
        <v>7011279577.519702</v>
      </c>
      <c r="AK1419" s="246">
        <f>IFERROR(VLOOKUP(I1419,PROGRAMAS[],3,FALSE),0)</f>
        <v>4099471734.9978786</v>
      </c>
      <c r="AL1419" s="246">
        <f>IFERROR(VLOOKUP(J1419,PROGRAMAS[],3,FALSE),0)</f>
        <v>31865326.38096505</v>
      </c>
      <c r="AM1419" s="246">
        <f>IFERROR(VLOOKUP(K1419,PROGRAMAS[],3,FALSE),0)</f>
        <v>118617452.52510804</v>
      </c>
      <c r="AN1419" s="246">
        <f>IFERROR(VLOOKUP(L1419,PROGRAMAS[],3,FALSE),0)</f>
        <v>2406564599.0319901</v>
      </c>
      <c r="AO1419" s="246">
        <f>IFERROR(VLOOKUP(M1419,PROGRAMAS[],3,FALSE),0)</f>
        <v>0</v>
      </c>
      <c r="AP1419" s="246">
        <f>IFERROR(VLOOKUP(N1419,PROGRAMAS[],3,FALSE),0)</f>
        <v>0</v>
      </c>
      <c r="AQ1419" s="246">
        <f>IFERROR(VLOOKUP(O1419,PROGRAMAS[],3,FALSE),0)</f>
        <v>0</v>
      </c>
      <c r="AR1419" s="246">
        <f>IFERROR(VLOOKUP(P1419,PROGRAMAS[],3,FALSE),0)</f>
        <v>0</v>
      </c>
      <c r="AS1419" s="246">
        <f>IFERROR(VLOOKUP(Q1419,PROGRAMAS[],3,FALSE),0)</f>
        <v>0</v>
      </c>
      <c r="AT1419" s="246">
        <f>IFERROR(VLOOKUP(D1419,VOL_REC[],2,FALSE),0)</f>
        <v>0</v>
      </c>
      <c r="AU1419" s="246">
        <f>IFERROR(VLOOKUP(E1419,VOL_REC[],2,FALSE),0)</f>
        <v>0</v>
      </c>
      <c r="AV1419" s="246">
        <f>IFERROR(VLOOKUP(F1419,VOL_REC[],2,FALSE),0)</f>
        <v>11089674.200000001</v>
      </c>
      <c r="AW1419" s="246">
        <f>IFERROR(VLOOKUP(G1419,VOL_REC[],2,FALSE),0)</f>
        <v>15540036.397699751</v>
      </c>
      <c r="AX1419" s="246">
        <f>IFERROR(VLOOKUP(H1419,VOL_REC[],2,FALSE),0)</f>
        <v>3761786</v>
      </c>
      <c r="AY1419" s="246">
        <f>IFERROR(VLOOKUP(I1419,VOL_REC[],2,FALSE),0)</f>
        <v>1812240</v>
      </c>
      <c r="AZ1419" s="246">
        <f>IFERROR(VLOOKUP(J1419,VOL_REC[],2,FALSE),0)</f>
        <v>17074.045034105649</v>
      </c>
      <c r="BA1419" s="246">
        <f>IFERROR(VLOOKUP(K1419,VOL_REC[],2,FALSE),0)</f>
        <v>105072</v>
      </c>
      <c r="BB1419" s="246">
        <f>IFERROR(VLOOKUP(L1419,VOL_REC[],2,FALSE),0)</f>
        <v>1072354.9981737854</v>
      </c>
      <c r="BC1419" s="246">
        <f>IFERROR(VLOOKUP(M1419,VOL_REC[],2,FALSE),0)</f>
        <v>0</v>
      </c>
      <c r="BD1419" s="246">
        <f>IFERROR(VLOOKUP(N1419,VOL_REC[],2,FALSE),0)</f>
        <v>0</v>
      </c>
      <c r="BE1419" s="246">
        <f>IFERROR(VLOOKUP(O1419,VOL_REC[],2,FALSE),0)</f>
        <v>0</v>
      </c>
      <c r="BF1419" s="246">
        <f>IFERROR(VLOOKUP(P1419,VOL_REC[],2,FALSE),0)</f>
        <v>0</v>
      </c>
      <c r="BG1419" s="246">
        <f>IFERROR(VLOOKUP(Q1419,VOL_REC[],2,FALSE),0)</f>
        <v>0</v>
      </c>
      <c r="BH1419" s="1710">
        <f t="shared" si="88"/>
        <v>28716291024.048672</v>
      </c>
      <c r="BI1419" s="1710">
        <f t="shared" si="89"/>
        <v>27883471803.109409</v>
      </c>
      <c r="BJ1419" s="1711">
        <f t="shared" si="90"/>
        <v>33398237.640907645</v>
      </c>
      <c r="BK1419" s="1711">
        <f t="shared" si="91"/>
        <v>1.0298678452532726</v>
      </c>
      <c r="BL1419">
        <f>BJ1419</f>
        <v>33398237.640907645</v>
      </c>
      <c r="BO1419">
        <f>BL1419</f>
        <v>33398237.640907645</v>
      </c>
    </row>
    <row r="1420" spans="3:67" x14ac:dyDescent="0.25">
      <c r="C1420" s="246" t="s">
        <v>2770</v>
      </c>
      <c r="D1420" s="246">
        <v>1</v>
      </c>
      <c r="E1420" s="246">
        <v>2</v>
      </c>
      <c r="F1420" s="246">
        <v>3</v>
      </c>
      <c r="G1420" s="246">
        <v>6</v>
      </c>
      <c r="H1420" s="246">
        <v>9</v>
      </c>
      <c r="I1420" s="246">
        <v>10</v>
      </c>
      <c r="J1420" s="246">
        <v>14</v>
      </c>
      <c r="K1420" s="246">
        <v>15</v>
      </c>
      <c r="L1420" s="246">
        <v>17</v>
      </c>
      <c r="M1420" s="246"/>
      <c r="N1420" s="246"/>
      <c r="O1420" s="246"/>
      <c r="P1420" s="246"/>
      <c r="Q1420" s="246"/>
      <c r="R1420" s="246">
        <f>IFERROR(VLOOKUP(D1420,PROGRAMAS[],2,FALSE),0)</f>
        <v>97037803.679377079</v>
      </c>
      <c r="S1420" s="246">
        <f>IFERROR(VLOOKUP(E1420,PROGRAMAS[],2,FALSE),0)</f>
        <v>640501509.6821388</v>
      </c>
      <c r="T1420" s="246">
        <f>IFERROR(VLOOKUP(F1420,PROGRAMAS[],2,FALSE),0)</f>
        <v>3062327798.1525245</v>
      </c>
      <c r="U1420" s="246">
        <f>IFERROR(VLOOKUP(G1420,PROGRAMAS[],2,FALSE),0)</f>
        <v>6907648435.8447599</v>
      </c>
      <c r="V1420" s="246">
        <f>IFERROR(VLOOKUP(H1420,PROGRAMAS[],2,FALSE),0)</f>
        <v>6128579952.1618185</v>
      </c>
      <c r="W1420" s="246">
        <f>IFERROR(VLOOKUP(I1420,PROGRAMAS[],2,FALSE),0)</f>
        <v>4635315027.8751087</v>
      </c>
      <c r="X1420" s="246">
        <f>IFERROR(VLOOKUP(J1420,PROGRAMAS[],2,FALSE),0)</f>
        <v>54223862.645839565</v>
      </c>
      <c r="Y1420" s="246">
        <f>IFERROR(VLOOKUP(K1420,PROGRAMAS[],2,FALSE),0)</f>
        <v>122159672.96346797</v>
      </c>
      <c r="Z1420" s="246">
        <f>IFERROR(VLOOKUP(L1420,PROGRAMAS[],2,FALSE),0)</f>
        <v>1892779498.5211046</v>
      </c>
      <c r="AA1420" s="246">
        <f>IFERROR(VLOOKUP(M1420,PROGRAMAS[],2,FALSE),0)</f>
        <v>0</v>
      </c>
      <c r="AB1420" s="246">
        <f>IFERROR(VLOOKUP(N1420,PROGRAMAS[],2,FALSE),0)</f>
        <v>0</v>
      </c>
      <c r="AC1420" s="246">
        <f>IFERROR(VLOOKUP(O1420,PROGRAMAS[],2,FALSE),0)</f>
        <v>0</v>
      </c>
      <c r="AD1420" s="246">
        <f>IFERROR(VLOOKUP(P1420,PROGRAMAS[],2,FALSE),0)</f>
        <v>0</v>
      </c>
      <c r="AE1420" s="246">
        <f>IFERROR(VLOOKUP(Q1420,PROGRAMAS[],2,FALSE),0)</f>
        <v>0</v>
      </c>
      <c r="AF1420" s="246">
        <f>IFERROR(VLOOKUP(D1420,PROGRAMAS[],3,FALSE),0)</f>
        <v>841888629.31080008</v>
      </c>
      <c r="AG1420" s="246">
        <f>IFERROR(VLOOKUP(E1420,PROGRAMAS[],3,FALSE),0)</f>
        <v>3848980803.1642323</v>
      </c>
      <c r="AH1420" s="246">
        <f>IFERROR(VLOOKUP(F1420,PROGRAMAS[],3,FALSE),0)</f>
        <v>3394901471.387517</v>
      </c>
      <c r="AI1420" s="246">
        <f>IFERROR(VLOOKUP(G1420,PROGRAMAS[],3,FALSE),0)</f>
        <v>6129902208.7912121</v>
      </c>
      <c r="AJ1420" s="246">
        <f>IFERROR(VLOOKUP(H1420,PROGRAMAS[],3,FALSE),0)</f>
        <v>7011279577.519702</v>
      </c>
      <c r="AK1420" s="246">
        <f>IFERROR(VLOOKUP(I1420,PROGRAMAS[],3,FALSE),0)</f>
        <v>4099471734.9978786</v>
      </c>
      <c r="AL1420" s="246">
        <f>IFERROR(VLOOKUP(J1420,PROGRAMAS[],3,FALSE),0)</f>
        <v>31865326.38096505</v>
      </c>
      <c r="AM1420" s="246">
        <f>IFERROR(VLOOKUP(K1420,PROGRAMAS[],3,FALSE),0)</f>
        <v>118617452.52510804</v>
      </c>
      <c r="AN1420" s="246">
        <f>IFERROR(VLOOKUP(L1420,PROGRAMAS[],3,FALSE),0)</f>
        <v>948595847.09039903</v>
      </c>
      <c r="AO1420" s="246">
        <f>IFERROR(VLOOKUP(M1420,PROGRAMAS[],3,FALSE),0)</f>
        <v>0</v>
      </c>
      <c r="AP1420" s="246">
        <f>IFERROR(VLOOKUP(N1420,PROGRAMAS[],3,FALSE),0)</f>
        <v>0</v>
      </c>
      <c r="AQ1420" s="246">
        <f>IFERROR(VLOOKUP(O1420,PROGRAMAS[],3,FALSE),0)</f>
        <v>0</v>
      </c>
      <c r="AR1420" s="246">
        <f>IFERROR(VLOOKUP(P1420,PROGRAMAS[],3,FALSE),0)</f>
        <v>0</v>
      </c>
      <c r="AS1420" s="246">
        <f>IFERROR(VLOOKUP(Q1420,PROGRAMAS[],3,FALSE),0)</f>
        <v>0</v>
      </c>
      <c r="AT1420" s="246">
        <f>IFERROR(VLOOKUP(D1420,VOL_REC[],2,FALSE),0)</f>
        <v>0</v>
      </c>
      <c r="AU1420" s="246">
        <f>IFERROR(VLOOKUP(E1420,VOL_REC[],2,FALSE),0)</f>
        <v>0</v>
      </c>
      <c r="AV1420" s="246">
        <f>IFERROR(VLOOKUP(F1420,VOL_REC[],2,FALSE),0)</f>
        <v>11089674.200000001</v>
      </c>
      <c r="AW1420" s="246">
        <f>IFERROR(VLOOKUP(G1420,VOL_REC[],2,FALSE),0)</f>
        <v>15540036.397699751</v>
      </c>
      <c r="AX1420" s="246">
        <f>IFERROR(VLOOKUP(H1420,VOL_REC[],2,FALSE),0)</f>
        <v>3761786</v>
      </c>
      <c r="AY1420" s="246">
        <f>IFERROR(VLOOKUP(I1420,VOL_REC[],2,FALSE),0)</f>
        <v>1812240</v>
      </c>
      <c r="AZ1420" s="246">
        <f>IFERROR(VLOOKUP(J1420,VOL_REC[],2,FALSE),0)</f>
        <v>17074.045034105649</v>
      </c>
      <c r="BA1420" s="246">
        <f>IFERROR(VLOOKUP(K1420,VOL_REC[],2,FALSE),0)</f>
        <v>105072</v>
      </c>
      <c r="BB1420" s="246">
        <f>IFERROR(VLOOKUP(L1420,VOL_REC[],2,FALSE),0)</f>
        <v>740113.98115702497</v>
      </c>
      <c r="BC1420" s="246">
        <f>IFERROR(VLOOKUP(M1420,VOL_REC[],2,FALSE),0)</f>
        <v>0</v>
      </c>
      <c r="BD1420" s="246">
        <f>IFERROR(VLOOKUP(N1420,VOL_REC[],2,FALSE),0)</f>
        <v>0</v>
      </c>
      <c r="BE1420" s="246">
        <f>IFERROR(VLOOKUP(O1420,VOL_REC[],2,FALSE),0)</f>
        <v>0</v>
      </c>
      <c r="BF1420" s="246">
        <f>IFERROR(VLOOKUP(P1420,VOL_REC[],2,FALSE),0)</f>
        <v>0</v>
      </c>
      <c r="BG1420" s="246">
        <f>IFERROR(VLOOKUP(Q1420,VOL_REC[],2,FALSE),0)</f>
        <v>0</v>
      </c>
      <c r="BH1420" s="1710">
        <f t="shared" si="88"/>
        <v>23540573561.526138</v>
      </c>
      <c r="BI1420" s="1710">
        <f t="shared" si="89"/>
        <v>26425503051.16782</v>
      </c>
      <c r="BJ1420" s="1711">
        <f t="shared" si="90"/>
        <v>33065996.623890884</v>
      </c>
      <c r="BK1420" s="1711">
        <f t="shared" si="91"/>
        <v>0.89082783082480665</v>
      </c>
    </row>
    <row r="1421" spans="3:67" x14ac:dyDescent="0.25">
      <c r="C1421" s="246" t="s">
        <v>2771</v>
      </c>
      <c r="D1421" s="246">
        <v>1</v>
      </c>
      <c r="E1421" s="246">
        <v>2</v>
      </c>
      <c r="F1421" s="246">
        <v>3</v>
      </c>
      <c r="G1421" s="246">
        <v>6</v>
      </c>
      <c r="H1421" s="246">
        <v>9</v>
      </c>
      <c r="I1421" s="246">
        <v>10</v>
      </c>
      <c r="J1421" s="246">
        <v>14</v>
      </c>
      <c r="K1421" s="246">
        <v>16</v>
      </c>
      <c r="L1421" s="246">
        <v>17</v>
      </c>
      <c r="M1421" s="246"/>
      <c r="N1421" s="246"/>
      <c r="O1421" s="246"/>
      <c r="P1421" s="246"/>
      <c r="Q1421" s="246"/>
      <c r="R1421" s="246">
        <f>IFERROR(VLOOKUP(D1421,PROGRAMAS[],2,FALSE),0)</f>
        <v>97037803.679377079</v>
      </c>
      <c r="S1421" s="246">
        <f>IFERROR(VLOOKUP(E1421,PROGRAMAS[],2,FALSE),0)</f>
        <v>640501509.6821388</v>
      </c>
      <c r="T1421" s="246">
        <f>IFERROR(VLOOKUP(F1421,PROGRAMAS[],2,FALSE),0)</f>
        <v>3062327798.1525245</v>
      </c>
      <c r="U1421" s="246">
        <f>IFERROR(VLOOKUP(G1421,PROGRAMAS[],2,FALSE),0)</f>
        <v>6907648435.8447599</v>
      </c>
      <c r="V1421" s="246">
        <f>IFERROR(VLOOKUP(H1421,PROGRAMAS[],2,FALSE),0)</f>
        <v>6128579952.1618185</v>
      </c>
      <c r="W1421" s="246">
        <f>IFERROR(VLOOKUP(I1421,PROGRAMAS[],2,FALSE),0)</f>
        <v>4635315027.8751087</v>
      </c>
      <c r="X1421" s="246">
        <f>IFERROR(VLOOKUP(J1421,PROGRAMAS[],2,FALSE),0)</f>
        <v>54223862.645839565</v>
      </c>
      <c r="Y1421" s="246">
        <f>IFERROR(VLOOKUP(K1421,PROGRAMAS[],2,FALSE),0)</f>
        <v>7068496961.0436354</v>
      </c>
      <c r="Z1421" s="246">
        <f>IFERROR(VLOOKUP(L1421,PROGRAMAS[],2,FALSE),0)</f>
        <v>1892779498.5211046</v>
      </c>
      <c r="AA1421" s="246">
        <f>IFERROR(VLOOKUP(M1421,PROGRAMAS[],2,FALSE),0)</f>
        <v>0</v>
      </c>
      <c r="AB1421" s="246">
        <f>IFERROR(VLOOKUP(N1421,PROGRAMAS[],2,FALSE),0)</f>
        <v>0</v>
      </c>
      <c r="AC1421" s="246">
        <f>IFERROR(VLOOKUP(O1421,PROGRAMAS[],2,FALSE),0)</f>
        <v>0</v>
      </c>
      <c r="AD1421" s="246">
        <f>IFERROR(VLOOKUP(P1421,PROGRAMAS[],2,FALSE),0)</f>
        <v>0</v>
      </c>
      <c r="AE1421" s="246">
        <f>IFERROR(VLOOKUP(Q1421,PROGRAMAS[],2,FALSE),0)</f>
        <v>0</v>
      </c>
      <c r="AF1421" s="246">
        <f>IFERROR(VLOOKUP(D1421,PROGRAMAS[],3,FALSE),0)</f>
        <v>841888629.31080008</v>
      </c>
      <c r="AG1421" s="246">
        <f>IFERROR(VLOOKUP(E1421,PROGRAMAS[],3,FALSE),0)</f>
        <v>3848980803.1642323</v>
      </c>
      <c r="AH1421" s="246">
        <f>IFERROR(VLOOKUP(F1421,PROGRAMAS[],3,FALSE),0)</f>
        <v>3394901471.387517</v>
      </c>
      <c r="AI1421" s="246">
        <f>IFERROR(VLOOKUP(G1421,PROGRAMAS[],3,FALSE),0)</f>
        <v>6129902208.7912121</v>
      </c>
      <c r="AJ1421" s="246">
        <f>IFERROR(VLOOKUP(H1421,PROGRAMAS[],3,FALSE),0)</f>
        <v>7011279577.519702</v>
      </c>
      <c r="AK1421" s="246">
        <f>IFERROR(VLOOKUP(I1421,PROGRAMAS[],3,FALSE),0)</f>
        <v>4099471734.9978786</v>
      </c>
      <c r="AL1421" s="246">
        <f>IFERROR(VLOOKUP(J1421,PROGRAMAS[],3,FALSE),0)</f>
        <v>31865326.38096505</v>
      </c>
      <c r="AM1421" s="246">
        <f>IFERROR(VLOOKUP(K1421,PROGRAMAS[],3,FALSE),0)</f>
        <v>2406564599.0319901</v>
      </c>
      <c r="AN1421" s="246">
        <f>IFERROR(VLOOKUP(L1421,PROGRAMAS[],3,FALSE),0)</f>
        <v>948595847.09039903</v>
      </c>
      <c r="AO1421" s="246">
        <f>IFERROR(VLOOKUP(M1421,PROGRAMAS[],3,FALSE),0)</f>
        <v>0</v>
      </c>
      <c r="AP1421" s="246">
        <f>IFERROR(VLOOKUP(N1421,PROGRAMAS[],3,FALSE),0)</f>
        <v>0</v>
      </c>
      <c r="AQ1421" s="246">
        <f>IFERROR(VLOOKUP(O1421,PROGRAMAS[],3,FALSE),0)</f>
        <v>0</v>
      </c>
      <c r="AR1421" s="246">
        <f>IFERROR(VLOOKUP(P1421,PROGRAMAS[],3,FALSE),0)</f>
        <v>0</v>
      </c>
      <c r="AS1421" s="246">
        <f>IFERROR(VLOOKUP(Q1421,PROGRAMAS[],3,FALSE),0)</f>
        <v>0</v>
      </c>
      <c r="AT1421" s="246">
        <f>IFERROR(VLOOKUP(D1421,VOL_REC[],2,FALSE),0)</f>
        <v>0</v>
      </c>
      <c r="AU1421" s="246">
        <f>IFERROR(VLOOKUP(E1421,VOL_REC[],2,FALSE),0)</f>
        <v>0</v>
      </c>
      <c r="AV1421" s="246">
        <f>IFERROR(VLOOKUP(F1421,VOL_REC[],2,FALSE),0)</f>
        <v>11089674.200000001</v>
      </c>
      <c r="AW1421" s="246">
        <f>IFERROR(VLOOKUP(G1421,VOL_REC[],2,FALSE),0)</f>
        <v>15540036.397699751</v>
      </c>
      <c r="AX1421" s="246">
        <f>IFERROR(VLOOKUP(H1421,VOL_REC[],2,FALSE),0)</f>
        <v>3761786</v>
      </c>
      <c r="AY1421" s="246">
        <f>IFERROR(VLOOKUP(I1421,VOL_REC[],2,FALSE),0)</f>
        <v>1812240</v>
      </c>
      <c r="AZ1421" s="246">
        <f>IFERROR(VLOOKUP(J1421,VOL_REC[],2,FALSE),0)</f>
        <v>17074.045034105649</v>
      </c>
      <c r="BA1421" s="246">
        <f>IFERROR(VLOOKUP(K1421,VOL_REC[],2,FALSE),0)</f>
        <v>1072354.9981737854</v>
      </c>
      <c r="BB1421" s="246">
        <f>IFERROR(VLOOKUP(L1421,VOL_REC[],2,FALSE),0)</f>
        <v>740113.98115702497</v>
      </c>
      <c r="BC1421" s="246">
        <f>IFERROR(VLOOKUP(M1421,VOL_REC[],2,FALSE),0)</f>
        <v>0</v>
      </c>
      <c r="BD1421" s="246">
        <f>IFERROR(VLOOKUP(N1421,VOL_REC[],2,FALSE),0)</f>
        <v>0</v>
      </c>
      <c r="BE1421" s="246">
        <f>IFERROR(VLOOKUP(O1421,VOL_REC[],2,FALSE),0)</f>
        <v>0</v>
      </c>
      <c r="BF1421" s="246">
        <f>IFERROR(VLOOKUP(P1421,VOL_REC[],2,FALSE),0)</f>
        <v>0</v>
      </c>
      <c r="BG1421" s="246">
        <f>IFERROR(VLOOKUP(Q1421,VOL_REC[],2,FALSE),0)</f>
        <v>0</v>
      </c>
      <c r="BH1421" s="1710">
        <f t="shared" si="88"/>
        <v>30486910849.606308</v>
      </c>
      <c r="BI1421" s="1710">
        <f t="shared" si="89"/>
        <v>28713450197.674702</v>
      </c>
      <c r="BJ1421" s="1711">
        <f t="shared" si="90"/>
        <v>34033279.622064672</v>
      </c>
      <c r="BK1421" s="1711">
        <f t="shared" si="91"/>
        <v>1.0617641084482152</v>
      </c>
      <c r="BL1421">
        <f>BJ1421</f>
        <v>34033279.622064672</v>
      </c>
      <c r="BO1421">
        <f>BL1421</f>
        <v>34033279.622064672</v>
      </c>
    </row>
    <row r="1422" spans="3:67" x14ac:dyDescent="0.25">
      <c r="C1422" s="246" t="s">
        <v>2772</v>
      </c>
      <c r="D1422" s="246">
        <v>1</v>
      </c>
      <c r="E1422" s="246">
        <v>2</v>
      </c>
      <c r="F1422" s="246">
        <v>3</v>
      </c>
      <c r="G1422" s="246">
        <v>6</v>
      </c>
      <c r="H1422" s="246">
        <v>9</v>
      </c>
      <c r="I1422" s="246">
        <v>10</v>
      </c>
      <c r="J1422" s="246">
        <v>15</v>
      </c>
      <c r="K1422" s="246">
        <v>16</v>
      </c>
      <c r="L1422" s="246">
        <v>17</v>
      </c>
      <c r="M1422" s="246"/>
      <c r="N1422" s="246"/>
      <c r="O1422" s="246"/>
      <c r="P1422" s="246"/>
      <c r="Q1422" s="246"/>
      <c r="R1422" s="246">
        <f>IFERROR(VLOOKUP(D1422,PROGRAMAS[],2,FALSE),0)</f>
        <v>97037803.679377079</v>
      </c>
      <c r="S1422" s="246">
        <f>IFERROR(VLOOKUP(E1422,PROGRAMAS[],2,FALSE),0)</f>
        <v>640501509.6821388</v>
      </c>
      <c r="T1422" s="246">
        <f>IFERROR(VLOOKUP(F1422,PROGRAMAS[],2,FALSE),0)</f>
        <v>3062327798.1525245</v>
      </c>
      <c r="U1422" s="246">
        <f>IFERROR(VLOOKUP(G1422,PROGRAMAS[],2,FALSE),0)</f>
        <v>6907648435.8447599</v>
      </c>
      <c r="V1422" s="246">
        <f>IFERROR(VLOOKUP(H1422,PROGRAMAS[],2,FALSE),0)</f>
        <v>6128579952.1618185</v>
      </c>
      <c r="W1422" s="246">
        <f>IFERROR(VLOOKUP(I1422,PROGRAMAS[],2,FALSE),0)</f>
        <v>4635315027.8751087</v>
      </c>
      <c r="X1422" s="246">
        <f>IFERROR(VLOOKUP(J1422,PROGRAMAS[],2,FALSE),0)</f>
        <v>122159672.96346797</v>
      </c>
      <c r="Y1422" s="246">
        <f>IFERROR(VLOOKUP(K1422,PROGRAMAS[],2,FALSE),0)</f>
        <v>7068496961.0436354</v>
      </c>
      <c r="Z1422" s="246">
        <f>IFERROR(VLOOKUP(L1422,PROGRAMAS[],2,FALSE),0)</f>
        <v>1892779498.5211046</v>
      </c>
      <c r="AA1422" s="246">
        <f>IFERROR(VLOOKUP(M1422,PROGRAMAS[],2,FALSE),0)</f>
        <v>0</v>
      </c>
      <c r="AB1422" s="246">
        <f>IFERROR(VLOOKUP(N1422,PROGRAMAS[],2,FALSE),0)</f>
        <v>0</v>
      </c>
      <c r="AC1422" s="246">
        <f>IFERROR(VLOOKUP(O1422,PROGRAMAS[],2,FALSE),0)</f>
        <v>0</v>
      </c>
      <c r="AD1422" s="246">
        <f>IFERROR(VLOOKUP(P1422,PROGRAMAS[],2,FALSE),0)</f>
        <v>0</v>
      </c>
      <c r="AE1422" s="246">
        <f>IFERROR(VLOOKUP(Q1422,PROGRAMAS[],2,FALSE),0)</f>
        <v>0</v>
      </c>
      <c r="AF1422" s="246">
        <f>IFERROR(VLOOKUP(D1422,PROGRAMAS[],3,FALSE),0)</f>
        <v>841888629.31080008</v>
      </c>
      <c r="AG1422" s="246">
        <f>IFERROR(VLOOKUP(E1422,PROGRAMAS[],3,FALSE),0)</f>
        <v>3848980803.1642323</v>
      </c>
      <c r="AH1422" s="246">
        <f>IFERROR(VLOOKUP(F1422,PROGRAMAS[],3,FALSE),0)</f>
        <v>3394901471.387517</v>
      </c>
      <c r="AI1422" s="246">
        <f>IFERROR(VLOOKUP(G1422,PROGRAMAS[],3,FALSE),0)</f>
        <v>6129902208.7912121</v>
      </c>
      <c r="AJ1422" s="246">
        <f>IFERROR(VLOOKUP(H1422,PROGRAMAS[],3,FALSE),0)</f>
        <v>7011279577.519702</v>
      </c>
      <c r="AK1422" s="246">
        <f>IFERROR(VLOOKUP(I1422,PROGRAMAS[],3,FALSE),0)</f>
        <v>4099471734.9978786</v>
      </c>
      <c r="AL1422" s="246">
        <f>IFERROR(VLOOKUP(J1422,PROGRAMAS[],3,FALSE),0)</f>
        <v>118617452.52510804</v>
      </c>
      <c r="AM1422" s="246">
        <f>IFERROR(VLOOKUP(K1422,PROGRAMAS[],3,FALSE),0)</f>
        <v>2406564599.0319901</v>
      </c>
      <c r="AN1422" s="246">
        <f>IFERROR(VLOOKUP(L1422,PROGRAMAS[],3,FALSE),0)</f>
        <v>948595847.09039903</v>
      </c>
      <c r="AO1422" s="246">
        <f>IFERROR(VLOOKUP(M1422,PROGRAMAS[],3,FALSE),0)</f>
        <v>0</v>
      </c>
      <c r="AP1422" s="246">
        <f>IFERROR(VLOOKUP(N1422,PROGRAMAS[],3,FALSE),0)</f>
        <v>0</v>
      </c>
      <c r="AQ1422" s="246">
        <f>IFERROR(VLOOKUP(O1422,PROGRAMAS[],3,FALSE),0)</f>
        <v>0</v>
      </c>
      <c r="AR1422" s="246">
        <f>IFERROR(VLOOKUP(P1422,PROGRAMAS[],3,FALSE),0)</f>
        <v>0</v>
      </c>
      <c r="AS1422" s="246">
        <f>IFERROR(VLOOKUP(Q1422,PROGRAMAS[],3,FALSE),0)</f>
        <v>0</v>
      </c>
      <c r="AT1422" s="246">
        <f>IFERROR(VLOOKUP(D1422,VOL_REC[],2,FALSE),0)</f>
        <v>0</v>
      </c>
      <c r="AU1422" s="246">
        <f>IFERROR(VLOOKUP(E1422,VOL_REC[],2,FALSE),0)</f>
        <v>0</v>
      </c>
      <c r="AV1422" s="246">
        <f>IFERROR(VLOOKUP(F1422,VOL_REC[],2,FALSE),0)</f>
        <v>11089674.200000001</v>
      </c>
      <c r="AW1422" s="246">
        <f>IFERROR(VLOOKUP(G1422,VOL_REC[],2,FALSE),0)</f>
        <v>15540036.397699751</v>
      </c>
      <c r="AX1422" s="246">
        <f>IFERROR(VLOOKUP(H1422,VOL_REC[],2,FALSE),0)</f>
        <v>3761786</v>
      </c>
      <c r="AY1422" s="246">
        <f>IFERROR(VLOOKUP(I1422,VOL_REC[],2,FALSE),0)</f>
        <v>1812240</v>
      </c>
      <c r="AZ1422" s="246">
        <f>IFERROR(VLOOKUP(J1422,VOL_REC[],2,FALSE),0)</f>
        <v>105072</v>
      </c>
      <c r="BA1422" s="246">
        <f>IFERROR(VLOOKUP(K1422,VOL_REC[],2,FALSE),0)</f>
        <v>1072354.9981737854</v>
      </c>
      <c r="BB1422" s="246">
        <f>IFERROR(VLOOKUP(L1422,VOL_REC[],2,FALSE),0)</f>
        <v>740113.98115702497</v>
      </c>
      <c r="BC1422" s="246">
        <f>IFERROR(VLOOKUP(M1422,VOL_REC[],2,FALSE),0)</f>
        <v>0</v>
      </c>
      <c r="BD1422" s="246">
        <f>IFERROR(VLOOKUP(N1422,VOL_REC[],2,FALSE),0)</f>
        <v>0</v>
      </c>
      <c r="BE1422" s="246">
        <f>IFERROR(VLOOKUP(O1422,VOL_REC[],2,FALSE),0)</f>
        <v>0</v>
      </c>
      <c r="BF1422" s="246">
        <f>IFERROR(VLOOKUP(P1422,VOL_REC[],2,FALSE),0)</f>
        <v>0</v>
      </c>
      <c r="BG1422" s="246">
        <f>IFERROR(VLOOKUP(Q1422,VOL_REC[],2,FALSE),0)</f>
        <v>0</v>
      </c>
      <c r="BH1422" s="1710">
        <f t="shared" si="88"/>
        <v>30554846659.923935</v>
      </c>
      <c r="BI1422" s="1710">
        <f t="shared" si="89"/>
        <v>28800202323.818844</v>
      </c>
      <c r="BJ1422" s="1711">
        <f t="shared" si="90"/>
        <v>34121277.577030562</v>
      </c>
      <c r="BK1422" s="1711">
        <f t="shared" si="91"/>
        <v>1.0609247225549501</v>
      </c>
      <c r="BL1422">
        <f>BJ1422</f>
        <v>34121277.577030562</v>
      </c>
      <c r="BO1422">
        <f>BL1422</f>
        <v>34121277.577030562</v>
      </c>
    </row>
    <row r="1423" spans="3:67" x14ac:dyDescent="0.25">
      <c r="C1423" s="246" t="s">
        <v>2773</v>
      </c>
      <c r="D1423" s="246">
        <v>1</v>
      </c>
      <c r="E1423" s="246">
        <v>2</v>
      </c>
      <c r="F1423" s="246">
        <v>3</v>
      </c>
      <c r="G1423" s="246">
        <v>6</v>
      </c>
      <c r="H1423" s="246">
        <v>9</v>
      </c>
      <c r="I1423" s="246">
        <v>12</v>
      </c>
      <c r="J1423" s="246">
        <v>13</v>
      </c>
      <c r="K1423" s="246">
        <v>14</v>
      </c>
      <c r="L1423" s="246">
        <v>15</v>
      </c>
      <c r="M1423" s="246"/>
      <c r="N1423" s="246"/>
      <c r="O1423" s="246"/>
      <c r="P1423" s="246"/>
      <c r="Q1423" s="246"/>
      <c r="R1423" s="246">
        <f>IFERROR(VLOOKUP(D1423,PROGRAMAS[],2,FALSE),0)</f>
        <v>97037803.679377079</v>
      </c>
      <c r="S1423" s="246">
        <f>IFERROR(VLOOKUP(E1423,PROGRAMAS[],2,FALSE),0)</f>
        <v>640501509.6821388</v>
      </c>
      <c r="T1423" s="246">
        <f>IFERROR(VLOOKUP(F1423,PROGRAMAS[],2,FALSE),0)</f>
        <v>3062327798.1525245</v>
      </c>
      <c r="U1423" s="246">
        <f>IFERROR(VLOOKUP(G1423,PROGRAMAS[],2,FALSE),0)</f>
        <v>6907648435.8447599</v>
      </c>
      <c r="V1423" s="246">
        <f>IFERROR(VLOOKUP(H1423,PROGRAMAS[],2,FALSE),0)</f>
        <v>6128579952.1618185</v>
      </c>
      <c r="W1423" s="246">
        <f>IFERROR(VLOOKUP(I1423,PROGRAMAS[],2,FALSE),0)</f>
        <v>764796700.79905891</v>
      </c>
      <c r="X1423" s="246">
        <f>IFERROR(VLOOKUP(J1423,PROGRAMAS[],2,FALSE),0)</f>
        <v>3776538594.4604583</v>
      </c>
      <c r="Y1423" s="246">
        <f>IFERROR(VLOOKUP(K1423,PROGRAMAS[],2,FALSE),0)</f>
        <v>54223862.645839565</v>
      </c>
      <c r="Z1423" s="246">
        <f>IFERROR(VLOOKUP(L1423,PROGRAMAS[],2,FALSE),0)</f>
        <v>122159672.96346797</v>
      </c>
      <c r="AA1423" s="246">
        <f>IFERROR(VLOOKUP(M1423,PROGRAMAS[],2,FALSE),0)</f>
        <v>0</v>
      </c>
      <c r="AB1423" s="246">
        <f>IFERROR(VLOOKUP(N1423,PROGRAMAS[],2,FALSE),0)</f>
        <v>0</v>
      </c>
      <c r="AC1423" s="246">
        <f>IFERROR(VLOOKUP(O1423,PROGRAMAS[],2,FALSE),0)</f>
        <v>0</v>
      </c>
      <c r="AD1423" s="246">
        <f>IFERROR(VLOOKUP(P1423,PROGRAMAS[],2,FALSE),0)</f>
        <v>0</v>
      </c>
      <c r="AE1423" s="246">
        <f>IFERROR(VLOOKUP(Q1423,PROGRAMAS[],2,FALSE),0)</f>
        <v>0</v>
      </c>
      <c r="AF1423" s="246">
        <f>IFERROR(VLOOKUP(D1423,PROGRAMAS[],3,FALSE),0)</f>
        <v>841888629.31080008</v>
      </c>
      <c r="AG1423" s="246">
        <f>IFERROR(VLOOKUP(E1423,PROGRAMAS[],3,FALSE),0)</f>
        <v>3848980803.1642323</v>
      </c>
      <c r="AH1423" s="246">
        <f>IFERROR(VLOOKUP(F1423,PROGRAMAS[],3,FALSE),0)</f>
        <v>3394901471.387517</v>
      </c>
      <c r="AI1423" s="246">
        <f>IFERROR(VLOOKUP(G1423,PROGRAMAS[],3,FALSE),0)</f>
        <v>6129902208.7912121</v>
      </c>
      <c r="AJ1423" s="246">
        <f>IFERROR(VLOOKUP(H1423,PROGRAMAS[],3,FALSE),0)</f>
        <v>7011279577.519702</v>
      </c>
      <c r="AK1423" s="246">
        <f>IFERROR(VLOOKUP(I1423,PROGRAMAS[],3,FALSE),0)</f>
        <v>675517840.109828</v>
      </c>
      <c r="AL1423" s="246">
        <f>IFERROR(VLOOKUP(J1423,PROGRAMAS[],3,FALSE),0)</f>
        <v>2392571243.5584412</v>
      </c>
      <c r="AM1423" s="246">
        <f>IFERROR(VLOOKUP(K1423,PROGRAMAS[],3,FALSE),0)</f>
        <v>31865326.38096505</v>
      </c>
      <c r="AN1423" s="246">
        <f>IFERROR(VLOOKUP(L1423,PROGRAMAS[],3,FALSE),0)</f>
        <v>118617452.52510804</v>
      </c>
      <c r="AO1423" s="246">
        <f>IFERROR(VLOOKUP(M1423,PROGRAMAS[],3,FALSE),0)</f>
        <v>0</v>
      </c>
      <c r="AP1423" s="246">
        <f>IFERROR(VLOOKUP(N1423,PROGRAMAS[],3,FALSE),0)</f>
        <v>0</v>
      </c>
      <c r="AQ1423" s="246">
        <f>IFERROR(VLOOKUP(O1423,PROGRAMAS[],3,FALSE),0)</f>
        <v>0</v>
      </c>
      <c r="AR1423" s="246">
        <f>IFERROR(VLOOKUP(P1423,PROGRAMAS[],3,FALSE),0)</f>
        <v>0</v>
      </c>
      <c r="AS1423" s="246">
        <f>IFERROR(VLOOKUP(Q1423,PROGRAMAS[],3,FALSE),0)</f>
        <v>0</v>
      </c>
      <c r="AT1423" s="246">
        <f>IFERROR(VLOOKUP(D1423,VOL_REC[],2,FALSE),0)</f>
        <v>0</v>
      </c>
      <c r="AU1423" s="246">
        <f>IFERROR(VLOOKUP(E1423,VOL_REC[],2,FALSE),0)</f>
        <v>0</v>
      </c>
      <c r="AV1423" s="246">
        <f>IFERROR(VLOOKUP(F1423,VOL_REC[],2,FALSE),0)</f>
        <v>11089674.200000001</v>
      </c>
      <c r="AW1423" s="246">
        <f>IFERROR(VLOOKUP(G1423,VOL_REC[],2,FALSE),0)</f>
        <v>15540036.397699751</v>
      </c>
      <c r="AX1423" s="246">
        <f>IFERROR(VLOOKUP(H1423,VOL_REC[],2,FALSE),0)</f>
        <v>3761786</v>
      </c>
      <c r="AY1423" s="246">
        <f>IFERROR(VLOOKUP(I1423,VOL_REC[],2,FALSE),0)</f>
        <v>240696.79238099116</v>
      </c>
      <c r="AZ1423" s="246">
        <f>IFERROR(VLOOKUP(J1423,VOL_REC[],2,FALSE),0)</f>
        <v>663244.80000000016</v>
      </c>
      <c r="BA1423" s="246">
        <f>IFERROR(VLOOKUP(K1423,VOL_REC[],2,FALSE),0)</f>
        <v>17074.045034105649</v>
      </c>
      <c r="BB1423" s="246">
        <f>IFERROR(VLOOKUP(L1423,VOL_REC[],2,FALSE),0)</f>
        <v>105072</v>
      </c>
      <c r="BC1423" s="246">
        <f>IFERROR(VLOOKUP(M1423,VOL_REC[],2,FALSE),0)</f>
        <v>0</v>
      </c>
      <c r="BD1423" s="246">
        <f>IFERROR(VLOOKUP(N1423,VOL_REC[],2,FALSE),0)</f>
        <v>0</v>
      </c>
      <c r="BE1423" s="246">
        <f>IFERROR(VLOOKUP(O1423,VOL_REC[],2,FALSE),0)</f>
        <v>0</v>
      </c>
      <c r="BF1423" s="246">
        <f>IFERROR(VLOOKUP(P1423,VOL_REC[],2,FALSE),0)</f>
        <v>0</v>
      </c>
      <c r="BG1423" s="246">
        <f>IFERROR(VLOOKUP(Q1423,VOL_REC[],2,FALSE),0)</f>
        <v>0</v>
      </c>
      <c r="BH1423" s="1710">
        <f t="shared" si="88"/>
        <v>21553814330.389442</v>
      </c>
      <c r="BI1423" s="1710">
        <f t="shared" si="89"/>
        <v>24445524552.74781</v>
      </c>
      <c r="BJ1423" s="1711">
        <f t="shared" si="90"/>
        <v>31417584.235114854</v>
      </c>
      <c r="BK1423" s="1711">
        <f t="shared" si="91"/>
        <v>0.88170799051095328</v>
      </c>
    </row>
    <row r="1424" spans="3:67" x14ac:dyDescent="0.25">
      <c r="C1424" s="246" t="s">
        <v>2774</v>
      </c>
      <c r="D1424" s="246">
        <v>1</v>
      </c>
      <c r="E1424" s="246">
        <v>2</v>
      </c>
      <c r="F1424" s="246">
        <v>3</v>
      </c>
      <c r="G1424" s="246">
        <v>6</v>
      </c>
      <c r="H1424" s="246">
        <v>9</v>
      </c>
      <c r="I1424" s="246">
        <v>12</v>
      </c>
      <c r="J1424" s="246">
        <v>13</v>
      </c>
      <c r="K1424" s="246">
        <v>14</v>
      </c>
      <c r="L1424" s="246">
        <v>16</v>
      </c>
      <c r="M1424" s="246"/>
      <c r="N1424" s="246"/>
      <c r="O1424" s="246"/>
      <c r="P1424" s="246"/>
      <c r="Q1424" s="246"/>
      <c r="R1424" s="246">
        <f>IFERROR(VLOOKUP(D1424,PROGRAMAS[],2,FALSE),0)</f>
        <v>97037803.679377079</v>
      </c>
      <c r="S1424" s="246">
        <f>IFERROR(VLOOKUP(E1424,PROGRAMAS[],2,FALSE),0)</f>
        <v>640501509.6821388</v>
      </c>
      <c r="T1424" s="246">
        <f>IFERROR(VLOOKUP(F1424,PROGRAMAS[],2,FALSE),0)</f>
        <v>3062327798.1525245</v>
      </c>
      <c r="U1424" s="246">
        <f>IFERROR(VLOOKUP(G1424,PROGRAMAS[],2,FALSE),0)</f>
        <v>6907648435.8447599</v>
      </c>
      <c r="V1424" s="246">
        <f>IFERROR(VLOOKUP(H1424,PROGRAMAS[],2,FALSE),0)</f>
        <v>6128579952.1618185</v>
      </c>
      <c r="W1424" s="246">
        <f>IFERROR(VLOOKUP(I1424,PROGRAMAS[],2,FALSE),0)</f>
        <v>764796700.79905891</v>
      </c>
      <c r="X1424" s="246">
        <f>IFERROR(VLOOKUP(J1424,PROGRAMAS[],2,FALSE),0)</f>
        <v>3776538594.4604583</v>
      </c>
      <c r="Y1424" s="246">
        <f>IFERROR(VLOOKUP(K1424,PROGRAMAS[],2,FALSE),0)</f>
        <v>54223862.645839565</v>
      </c>
      <c r="Z1424" s="246">
        <f>IFERROR(VLOOKUP(L1424,PROGRAMAS[],2,FALSE),0)</f>
        <v>7068496961.0436354</v>
      </c>
      <c r="AA1424" s="246">
        <f>IFERROR(VLOOKUP(M1424,PROGRAMAS[],2,FALSE),0)</f>
        <v>0</v>
      </c>
      <c r="AB1424" s="246">
        <f>IFERROR(VLOOKUP(N1424,PROGRAMAS[],2,FALSE),0)</f>
        <v>0</v>
      </c>
      <c r="AC1424" s="246">
        <f>IFERROR(VLOOKUP(O1424,PROGRAMAS[],2,FALSE),0)</f>
        <v>0</v>
      </c>
      <c r="AD1424" s="246">
        <f>IFERROR(VLOOKUP(P1424,PROGRAMAS[],2,FALSE),0)</f>
        <v>0</v>
      </c>
      <c r="AE1424" s="246">
        <f>IFERROR(VLOOKUP(Q1424,PROGRAMAS[],2,FALSE),0)</f>
        <v>0</v>
      </c>
      <c r="AF1424" s="246">
        <f>IFERROR(VLOOKUP(D1424,PROGRAMAS[],3,FALSE),0)</f>
        <v>841888629.31080008</v>
      </c>
      <c r="AG1424" s="246">
        <f>IFERROR(VLOOKUP(E1424,PROGRAMAS[],3,FALSE),0)</f>
        <v>3848980803.1642323</v>
      </c>
      <c r="AH1424" s="246">
        <f>IFERROR(VLOOKUP(F1424,PROGRAMAS[],3,FALSE),0)</f>
        <v>3394901471.387517</v>
      </c>
      <c r="AI1424" s="246">
        <f>IFERROR(VLOOKUP(G1424,PROGRAMAS[],3,FALSE),0)</f>
        <v>6129902208.7912121</v>
      </c>
      <c r="AJ1424" s="246">
        <f>IFERROR(VLOOKUP(H1424,PROGRAMAS[],3,FALSE),0)</f>
        <v>7011279577.519702</v>
      </c>
      <c r="AK1424" s="246">
        <f>IFERROR(VLOOKUP(I1424,PROGRAMAS[],3,FALSE),0)</f>
        <v>675517840.109828</v>
      </c>
      <c r="AL1424" s="246">
        <f>IFERROR(VLOOKUP(J1424,PROGRAMAS[],3,FALSE),0)</f>
        <v>2392571243.5584412</v>
      </c>
      <c r="AM1424" s="246">
        <f>IFERROR(VLOOKUP(K1424,PROGRAMAS[],3,FALSE),0)</f>
        <v>31865326.38096505</v>
      </c>
      <c r="AN1424" s="246">
        <f>IFERROR(VLOOKUP(L1424,PROGRAMAS[],3,FALSE),0)</f>
        <v>2406564599.0319901</v>
      </c>
      <c r="AO1424" s="246">
        <f>IFERROR(VLOOKUP(M1424,PROGRAMAS[],3,FALSE),0)</f>
        <v>0</v>
      </c>
      <c r="AP1424" s="246">
        <f>IFERROR(VLOOKUP(N1424,PROGRAMAS[],3,FALSE),0)</f>
        <v>0</v>
      </c>
      <c r="AQ1424" s="246">
        <f>IFERROR(VLOOKUP(O1424,PROGRAMAS[],3,FALSE),0)</f>
        <v>0</v>
      </c>
      <c r="AR1424" s="246">
        <f>IFERROR(VLOOKUP(P1424,PROGRAMAS[],3,FALSE),0)</f>
        <v>0</v>
      </c>
      <c r="AS1424" s="246">
        <f>IFERROR(VLOOKUP(Q1424,PROGRAMAS[],3,FALSE),0)</f>
        <v>0</v>
      </c>
      <c r="AT1424" s="246">
        <f>IFERROR(VLOOKUP(D1424,VOL_REC[],2,FALSE),0)</f>
        <v>0</v>
      </c>
      <c r="AU1424" s="246">
        <f>IFERROR(VLOOKUP(E1424,VOL_REC[],2,FALSE),0)</f>
        <v>0</v>
      </c>
      <c r="AV1424" s="246">
        <f>IFERROR(VLOOKUP(F1424,VOL_REC[],2,FALSE),0)</f>
        <v>11089674.200000001</v>
      </c>
      <c r="AW1424" s="246">
        <f>IFERROR(VLOOKUP(G1424,VOL_REC[],2,FALSE),0)</f>
        <v>15540036.397699751</v>
      </c>
      <c r="AX1424" s="246">
        <f>IFERROR(VLOOKUP(H1424,VOL_REC[],2,FALSE),0)</f>
        <v>3761786</v>
      </c>
      <c r="AY1424" s="246">
        <f>IFERROR(VLOOKUP(I1424,VOL_REC[],2,FALSE),0)</f>
        <v>240696.79238099116</v>
      </c>
      <c r="AZ1424" s="246">
        <f>IFERROR(VLOOKUP(J1424,VOL_REC[],2,FALSE),0)</f>
        <v>663244.80000000016</v>
      </c>
      <c r="BA1424" s="246">
        <f>IFERROR(VLOOKUP(K1424,VOL_REC[],2,FALSE),0)</f>
        <v>17074.045034105649</v>
      </c>
      <c r="BB1424" s="246">
        <f>IFERROR(VLOOKUP(L1424,VOL_REC[],2,FALSE),0)</f>
        <v>1072354.9981737854</v>
      </c>
      <c r="BC1424" s="246">
        <f>IFERROR(VLOOKUP(M1424,VOL_REC[],2,FALSE),0)</f>
        <v>0</v>
      </c>
      <c r="BD1424" s="246">
        <f>IFERROR(VLOOKUP(N1424,VOL_REC[],2,FALSE),0)</f>
        <v>0</v>
      </c>
      <c r="BE1424" s="246">
        <f>IFERROR(VLOOKUP(O1424,VOL_REC[],2,FALSE),0)</f>
        <v>0</v>
      </c>
      <c r="BF1424" s="246">
        <f>IFERROR(VLOOKUP(P1424,VOL_REC[],2,FALSE),0)</f>
        <v>0</v>
      </c>
      <c r="BG1424" s="246">
        <f>IFERROR(VLOOKUP(Q1424,VOL_REC[],2,FALSE),0)</f>
        <v>0</v>
      </c>
      <c r="BH1424" s="1710">
        <f t="shared" si="88"/>
        <v>28500151618.469612</v>
      </c>
      <c r="BI1424" s="1710">
        <f t="shared" si="89"/>
        <v>26733471699.254692</v>
      </c>
      <c r="BJ1424" s="1711">
        <f t="shared" si="90"/>
        <v>32384867.233288638</v>
      </c>
      <c r="BK1424" s="1711">
        <f t="shared" si="91"/>
        <v>1.0660849417198655</v>
      </c>
      <c r="BL1424">
        <f>BJ1424</f>
        <v>32384867.233288638</v>
      </c>
      <c r="BO1424">
        <f>BL1424</f>
        <v>32384867.233288638</v>
      </c>
    </row>
    <row r="1425" spans="3:67" x14ac:dyDescent="0.25">
      <c r="C1425" s="246" t="s">
        <v>2775</v>
      </c>
      <c r="D1425" s="246">
        <v>1</v>
      </c>
      <c r="E1425" s="246">
        <v>2</v>
      </c>
      <c r="F1425" s="246">
        <v>3</v>
      </c>
      <c r="G1425" s="246">
        <v>6</v>
      </c>
      <c r="H1425" s="246">
        <v>9</v>
      </c>
      <c r="I1425" s="246">
        <v>12</v>
      </c>
      <c r="J1425" s="246">
        <v>13</v>
      </c>
      <c r="K1425" s="246">
        <v>14</v>
      </c>
      <c r="L1425" s="246">
        <v>17</v>
      </c>
      <c r="M1425" s="246"/>
      <c r="N1425" s="246"/>
      <c r="O1425" s="246"/>
      <c r="P1425" s="246"/>
      <c r="Q1425" s="246"/>
      <c r="R1425" s="246">
        <f>IFERROR(VLOOKUP(D1425,PROGRAMAS[],2,FALSE),0)</f>
        <v>97037803.679377079</v>
      </c>
      <c r="S1425" s="246">
        <f>IFERROR(VLOOKUP(E1425,PROGRAMAS[],2,FALSE),0)</f>
        <v>640501509.6821388</v>
      </c>
      <c r="T1425" s="246">
        <f>IFERROR(VLOOKUP(F1425,PROGRAMAS[],2,FALSE),0)</f>
        <v>3062327798.1525245</v>
      </c>
      <c r="U1425" s="246">
        <f>IFERROR(VLOOKUP(G1425,PROGRAMAS[],2,FALSE),0)</f>
        <v>6907648435.8447599</v>
      </c>
      <c r="V1425" s="246">
        <f>IFERROR(VLOOKUP(H1425,PROGRAMAS[],2,FALSE),0)</f>
        <v>6128579952.1618185</v>
      </c>
      <c r="W1425" s="246">
        <f>IFERROR(VLOOKUP(I1425,PROGRAMAS[],2,FALSE),0)</f>
        <v>764796700.79905891</v>
      </c>
      <c r="X1425" s="246">
        <f>IFERROR(VLOOKUP(J1425,PROGRAMAS[],2,FALSE),0)</f>
        <v>3776538594.4604583</v>
      </c>
      <c r="Y1425" s="246">
        <f>IFERROR(VLOOKUP(K1425,PROGRAMAS[],2,FALSE),0)</f>
        <v>54223862.645839565</v>
      </c>
      <c r="Z1425" s="246">
        <f>IFERROR(VLOOKUP(L1425,PROGRAMAS[],2,FALSE),0)</f>
        <v>1892779498.5211046</v>
      </c>
      <c r="AA1425" s="246">
        <f>IFERROR(VLOOKUP(M1425,PROGRAMAS[],2,FALSE),0)</f>
        <v>0</v>
      </c>
      <c r="AB1425" s="246">
        <f>IFERROR(VLOOKUP(N1425,PROGRAMAS[],2,FALSE),0)</f>
        <v>0</v>
      </c>
      <c r="AC1425" s="246">
        <f>IFERROR(VLOOKUP(O1425,PROGRAMAS[],2,FALSE),0)</f>
        <v>0</v>
      </c>
      <c r="AD1425" s="246">
        <f>IFERROR(VLOOKUP(P1425,PROGRAMAS[],2,FALSE),0)</f>
        <v>0</v>
      </c>
      <c r="AE1425" s="246">
        <f>IFERROR(VLOOKUP(Q1425,PROGRAMAS[],2,FALSE),0)</f>
        <v>0</v>
      </c>
      <c r="AF1425" s="246">
        <f>IFERROR(VLOOKUP(D1425,PROGRAMAS[],3,FALSE),0)</f>
        <v>841888629.31080008</v>
      </c>
      <c r="AG1425" s="246">
        <f>IFERROR(VLOOKUP(E1425,PROGRAMAS[],3,FALSE),0)</f>
        <v>3848980803.1642323</v>
      </c>
      <c r="AH1425" s="246">
        <f>IFERROR(VLOOKUP(F1425,PROGRAMAS[],3,FALSE),0)</f>
        <v>3394901471.387517</v>
      </c>
      <c r="AI1425" s="246">
        <f>IFERROR(VLOOKUP(G1425,PROGRAMAS[],3,FALSE),0)</f>
        <v>6129902208.7912121</v>
      </c>
      <c r="AJ1425" s="246">
        <f>IFERROR(VLOOKUP(H1425,PROGRAMAS[],3,FALSE),0)</f>
        <v>7011279577.519702</v>
      </c>
      <c r="AK1425" s="246">
        <f>IFERROR(VLOOKUP(I1425,PROGRAMAS[],3,FALSE),0)</f>
        <v>675517840.109828</v>
      </c>
      <c r="AL1425" s="246">
        <f>IFERROR(VLOOKUP(J1425,PROGRAMAS[],3,FALSE),0)</f>
        <v>2392571243.5584412</v>
      </c>
      <c r="AM1425" s="246">
        <f>IFERROR(VLOOKUP(K1425,PROGRAMAS[],3,FALSE),0)</f>
        <v>31865326.38096505</v>
      </c>
      <c r="AN1425" s="246">
        <f>IFERROR(VLOOKUP(L1425,PROGRAMAS[],3,FALSE),0)</f>
        <v>948595847.09039903</v>
      </c>
      <c r="AO1425" s="246">
        <f>IFERROR(VLOOKUP(M1425,PROGRAMAS[],3,FALSE),0)</f>
        <v>0</v>
      </c>
      <c r="AP1425" s="246">
        <f>IFERROR(VLOOKUP(N1425,PROGRAMAS[],3,FALSE),0)</f>
        <v>0</v>
      </c>
      <c r="AQ1425" s="246">
        <f>IFERROR(VLOOKUP(O1425,PROGRAMAS[],3,FALSE),0)</f>
        <v>0</v>
      </c>
      <c r="AR1425" s="246">
        <f>IFERROR(VLOOKUP(P1425,PROGRAMAS[],3,FALSE),0)</f>
        <v>0</v>
      </c>
      <c r="AS1425" s="246">
        <f>IFERROR(VLOOKUP(Q1425,PROGRAMAS[],3,FALSE),0)</f>
        <v>0</v>
      </c>
      <c r="AT1425" s="246">
        <f>IFERROR(VLOOKUP(D1425,VOL_REC[],2,FALSE),0)</f>
        <v>0</v>
      </c>
      <c r="AU1425" s="246">
        <f>IFERROR(VLOOKUP(E1425,VOL_REC[],2,FALSE),0)</f>
        <v>0</v>
      </c>
      <c r="AV1425" s="246">
        <f>IFERROR(VLOOKUP(F1425,VOL_REC[],2,FALSE),0)</f>
        <v>11089674.200000001</v>
      </c>
      <c r="AW1425" s="246">
        <f>IFERROR(VLOOKUP(G1425,VOL_REC[],2,FALSE),0)</f>
        <v>15540036.397699751</v>
      </c>
      <c r="AX1425" s="246">
        <f>IFERROR(VLOOKUP(H1425,VOL_REC[],2,FALSE),0)</f>
        <v>3761786</v>
      </c>
      <c r="AY1425" s="246">
        <f>IFERROR(VLOOKUP(I1425,VOL_REC[],2,FALSE),0)</f>
        <v>240696.79238099116</v>
      </c>
      <c r="AZ1425" s="246">
        <f>IFERROR(VLOOKUP(J1425,VOL_REC[],2,FALSE),0)</f>
        <v>663244.80000000016</v>
      </c>
      <c r="BA1425" s="246">
        <f>IFERROR(VLOOKUP(K1425,VOL_REC[],2,FALSE),0)</f>
        <v>17074.045034105649</v>
      </c>
      <c r="BB1425" s="246">
        <f>IFERROR(VLOOKUP(L1425,VOL_REC[],2,FALSE),0)</f>
        <v>740113.98115702497</v>
      </c>
      <c r="BC1425" s="246">
        <f>IFERROR(VLOOKUP(M1425,VOL_REC[],2,FALSE),0)</f>
        <v>0</v>
      </c>
      <c r="BD1425" s="246">
        <f>IFERROR(VLOOKUP(N1425,VOL_REC[],2,FALSE),0)</f>
        <v>0</v>
      </c>
      <c r="BE1425" s="246">
        <f>IFERROR(VLOOKUP(O1425,VOL_REC[],2,FALSE),0)</f>
        <v>0</v>
      </c>
      <c r="BF1425" s="246">
        <f>IFERROR(VLOOKUP(P1425,VOL_REC[],2,FALSE),0)</f>
        <v>0</v>
      </c>
      <c r="BG1425" s="246">
        <f>IFERROR(VLOOKUP(Q1425,VOL_REC[],2,FALSE),0)</f>
        <v>0</v>
      </c>
      <c r="BH1425" s="1710">
        <f t="shared" si="88"/>
        <v>23324434155.947079</v>
      </c>
      <c r="BI1425" s="1710">
        <f t="shared" si="89"/>
        <v>25275502947.313103</v>
      </c>
      <c r="BJ1425" s="1711">
        <f t="shared" si="90"/>
        <v>32052626.216271877</v>
      </c>
      <c r="BK1425" s="1711">
        <f t="shared" si="91"/>
        <v>0.92280791423090436</v>
      </c>
    </row>
    <row r="1426" spans="3:67" x14ac:dyDescent="0.25">
      <c r="C1426" s="246" t="s">
        <v>2776</v>
      </c>
      <c r="D1426" s="246">
        <v>1</v>
      </c>
      <c r="E1426" s="246">
        <v>2</v>
      </c>
      <c r="F1426" s="246">
        <v>3</v>
      </c>
      <c r="G1426" s="246">
        <v>6</v>
      </c>
      <c r="H1426" s="246">
        <v>9</v>
      </c>
      <c r="I1426" s="246">
        <v>12</v>
      </c>
      <c r="J1426" s="246">
        <v>13</v>
      </c>
      <c r="K1426" s="246">
        <v>15</v>
      </c>
      <c r="L1426" s="246">
        <v>16</v>
      </c>
      <c r="M1426" s="246"/>
      <c r="N1426" s="246"/>
      <c r="O1426" s="246"/>
      <c r="P1426" s="246"/>
      <c r="Q1426" s="246"/>
      <c r="R1426" s="246">
        <f>IFERROR(VLOOKUP(D1426,PROGRAMAS[],2,FALSE),0)</f>
        <v>97037803.679377079</v>
      </c>
      <c r="S1426" s="246">
        <f>IFERROR(VLOOKUP(E1426,PROGRAMAS[],2,FALSE),0)</f>
        <v>640501509.6821388</v>
      </c>
      <c r="T1426" s="246">
        <f>IFERROR(VLOOKUP(F1426,PROGRAMAS[],2,FALSE),0)</f>
        <v>3062327798.1525245</v>
      </c>
      <c r="U1426" s="246">
        <f>IFERROR(VLOOKUP(G1426,PROGRAMAS[],2,FALSE),0)</f>
        <v>6907648435.8447599</v>
      </c>
      <c r="V1426" s="246">
        <f>IFERROR(VLOOKUP(H1426,PROGRAMAS[],2,FALSE),0)</f>
        <v>6128579952.1618185</v>
      </c>
      <c r="W1426" s="246">
        <f>IFERROR(VLOOKUP(I1426,PROGRAMAS[],2,FALSE),0)</f>
        <v>764796700.79905891</v>
      </c>
      <c r="X1426" s="246">
        <f>IFERROR(VLOOKUP(J1426,PROGRAMAS[],2,FALSE),0)</f>
        <v>3776538594.4604583</v>
      </c>
      <c r="Y1426" s="246">
        <f>IFERROR(VLOOKUP(K1426,PROGRAMAS[],2,FALSE),0)</f>
        <v>122159672.96346797</v>
      </c>
      <c r="Z1426" s="246">
        <f>IFERROR(VLOOKUP(L1426,PROGRAMAS[],2,FALSE),0)</f>
        <v>7068496961.0436354</v>
      </c>
      <c r="AA1426" s="246">
        <f>IFERROR(VLOOKUP(M1426,PROGRAMAS[],2,FALSE),0)</f>
        <v>0</v>
      </c>
      <c r="AB1426" s="246">
        <f>IFERROR(VLOOKUP(N1426,PROGRAMAS[],2,FALSE),0)</f>
        <v>0</v>
      </c>
      <c r="AC1426" s="246">
        <f>IFERROR(VLOOKUP(O1426,PROGRAMAS[],2,FALSE),0)</f>
        <v>0</v>
      </c>
      <c r="AD1426" s="246">
        <f>IFERROR(VLOOKUP(P1426,PROGRAMAS[],2,FALSE),0)</f>
        <v>0</v>
      </c>
      <c r="AE1426" s="246">
        <f>IFERROR(VLOOKUP(Q1426,PROGRAMAS[],2,FALSE),0)</f>
        <v>0</v>
      </c>
      <c r="AF1426" s="246">
        <f>IFERROR(VLOOKUP(D1426,PROGRAMAS[],3,FALSE),0)</f>
        <v>841888629.31080008</v>
      </c>
      <c r="AG1426" s="246">
        <f>IFERROR(VLOOKUP(E1426,PROGRAMAS[],3,FALSE),0)</f>
        <v>3848980803.1642323</v>
      </c>
      <c r="AH1426" s="246">
        <f>IFERROR(VLOOKUP(F1426,PROGRAMAS[],3,FALSE),0)</f>
        <v>3394901471.387517</v>
      </c>
      <c r="AI1426" s="246">
        <f>IFERROR(VLOOKUP(G1426,PROGRAMAS[],3,FALSE),0)</f>
        <v>6129902208.7912121</v>
      </c>
      <c r="AJ1426" s="246">
        <f>IFERROR(VLOOKUP(H1426,PROGRAMAS[],3,FALSE),0)</f>
        <v>7011279577.519702</v>
      </c>
      <c r="AK1426" s="246">
        <f>IFERROR(VLOOKUP(I1426,PROGRAMAS[],3,FALSE),0)</f>
        <v>675517840.109828</v>
      </c>
      <c r="AL1426" s="246">
        <f>IFERROR(VLOOKUP(J1426,PROGRAMAS[],3,FALSE),0)</f>
        <v>2392571243.5584412</v>
      </c>
      <c r="AM1426" s="246">
        <f>IFERROR(VLOOKUP(K1426,PROGRAMAS[],3,FALSE),0)</f>
        <v>118617452.52510804</v>
      </c>
      <c r="AN1426" s="246">
        <f>IFERROR(VLOOKUP(L1426,PROGRAMAS[],3,FALSE),0)</f>
        <v>2406564599.0319901</v>
      </c>
      <c r="AO1426" s="246">
        <f>IFERROR(VLOOKUP(M1426,PROGRAMAS[],3,FALSE),0)</f>
        <v>0</v>
      </c>
      <c r="AP1426" s="246">
        <f>IFERROR(VLOOKUP(N1426,PROGRAMAS[],3,FALSE),0)</f>
        <v>0</v>
      </c>
      <c r="AQ1426" s="246">
        <f>IFERROR(VLOOKUP(O1426,PROGRAMAS[],3,FALSE),0)</f>
        <v>0</v>
      </c>
      <c r="AR1426" s="246">
        <f>IFERROR(VLOOKUP(P1426,PROGRAMAS[],3,FALSE),0)</f>
        <v>0</v>
      </c>
      <c r="AS1426" s="246">
        <f>IFERROR(VLOOKUP(Q1426,PROGRAMAS[],3,FALSE),0)</f>
        <v>0</v>
      </c>
      <c r="AT1426" s="246">
        <f>IFERROR(VLOOKUP(D1426,VOL_REC[],2,FALSE),0)</f>
        <v>0</v>
      </c>
      <c r="AU1426" s="246">
        <f>IFERROR(VLOOKUP(E1426,VOL_REC[],2,FALSE),0)</f>
        <v>0</v>
      </c>
      <c r="AV1426" s="246">
        <f>IFERROR(VLOOKUP(F1426,VOL_REC[],2,FALSE),0)</f>
        <v>11089674.200000001</v>
      </c>
      <c r="AW1426" s="246">
        <f>IFERROR(VLOOKUP(G1426,VOL_REC[],2,FALSE),0)</f>
        <v>15540036.397699751</v>
      </c>
      <c r="AX1426" s="246">
        <f>IFERROR(VLOOKUP(H1426,VOL_REC[],2,FALSE),0)</f>
        <v>3761786</v>
      </c>
      <c r="AY1426" s="246">
        <f>IFERROR(VLOOKUP(I1426,VOL_REC[],2,FALSE),0)</f>
        <v>240696.79238099116</v>
      </c>
      <c r="AZ1426" s="246">
        <f>IFERROR(VLOOKUP(J1426,VOL_REC[],2,FALSE),0)</f>
        <v>663244.80000000016</v>
      </c>
      <c r="BA1426" s="246">
        <f>IFERROR(VLOOKUP(K1426,VOL_REC[],2,FALSE),0)</f>
        <v>105072</v>
      </c>
      <c r="BB1426" s="246">
        <f>IFERROR(VLOOKUP(L1426,VOL_REC[],2,FALSE),0)</f>
        <v>1072354.9981737854</v>
      </c>
      <c r="BC1426" s="246">
        <f>IFERROR(VLOOKUP(M1426,VOL_REC[],2,FALSE),0)</f>
        <v>0</v>
      </c>
      <c r="BD1426" s="246">
        <f>IFERROR(VLOOKUP(N1426,VOL_REC[],2,FALSE),0)</f>
        <v>0</v>
      </c>
      <c r="BE1426" s="246">
        <f>IFERROR(VLOOKUP(O1426,VOL_REC[],2,FALSE),0)</f>
        <v>0</v>
      </c>
      <c r="BF1426" s="246">
        <f>IFERROR(VLOOKUP(P1426,VOL_REC[],2,FALSE),0)</f>
        <v>0</v>
      </c>
      <c r="BG1426" s="246">
        <f>IFERROR(VLOOKUP(Q1426,VOL_REC[],2,FALSE),0)</f>
        <v>0</v>
      </c>
      <c r="BH1426" s="1710">
        <f t="shared" si="88"/>
        <v>28568087428.787239</v>
      </c>
      <c r="BI1426" s="1710">
        <f t="shared" si="89"/>
        <v>26820223825.398834</v>
      </c>
      <c r="BJ1426" s="1711">
        <f t="shared" si="90"/>
        <v>32472865.188254531</v>
      </c>
      <c r="BK1426" s="1711">
        <f t="shared" si="91"/>
        <v>1.0651696128551014</v>
      </c>
      <c r="BL1426">
        <f>BJ1426</f>
        <v>32472865.188254531</v>
      </c>
      <c r="BO1426">
        <f>BL1426</f>
        <v>32472865.188254531</v>
      </c>
    </row>
    <row r="1427" spans="3:67" x14ac:dyDescent="0.25">
      <c r="C1427" s="246" t="s">
        <v>2777</v>
      </c>
      <c r="D1427" s="246">
        <v>1</v>
      </c>
      <c r="E1427" s="246">
        <v>2</v>
      </c>
      <c r="F1427" s="246">
        <v>3</v>
      </c>
      <c r="G1427" s="246">
        <v>6</v>
      </c>
      <c r="H1427" s="246">
        <v>9</v>
      </c>
      <c r="I1427" s="246">
        <v>12</v>
      </c>
      <c r="J1427" s="246">
        <v>13</v>
      </c>
      <c r="K1427" s="246">
        <v>15</v>
      </c>
      <c r="L1427" s="246">
        <v>17</v>
      </c>
      <c r="M1427" s="246"/>
      <c r="N1427" s="246"/>
      <c r="O1427" s="246"/>
      <c r="P1427" s="246"/>
      <c r="Q1427" s="246"/>
      <c r="R1427" s="246">
        <f>IFERROR(VLOOKUP(D1427,PROGRAMAS[],2,FALSE),0)</f>
        <v>97037803.679377079</v>
      </c>
      <c r="S1427" s="246">
        <f>IFERROR(VLOOKUP(E1427,PROGRAMAS[],2,FALSE),0)</f>
        <v>640501509.6821388</v>
      </c>
      <c r="T1427" s="246">
        <f>IFERROR(VLOOKUP(F1427,PROGRAMAS[],2,FALSE),0)</f>
        <v>3062327798.1525245</v>
      </c>
      <c r="U1427" s="246">
        <f>IFERROR(VLOOKUP(G1427,PROGRAMAS[],2,FALSE),0)</f>
        <v>6907648435.8447599</v>
      </c>
      <c r="V1427" s="246">
        <f>IFERROR(VLOOKUP(H1427,PROGRAMAS[],2,FALSE),0)</f>
        <v>6128579952.1618185</v>
      </c>
      <c r="W1427" s="246">
        <f>IFERROR(VLOOKUP(I1427,PROGRAMAS[],2,FALSE),0)</f>
        <v>764796700.79905891</v>
      </c>
      <c r="X1427" s="246">
        <f>IFERROR(VLOOKUP(J1427,PROGRAMAS[],2,FALSE),0)</f>
        <v>3776538594.4604583</v>
      </c>
      <c r="Y1427" s="246">
        <f>IFERROR(VLOOKUP(K1427,PROGRAMAS[],2,FALSE),0)</f>
        <v>122159672.96346797</v>
      </c>
      <c r="Z1427" s="246">
        <f>IFERROR(VLOOKUP(L1427,PROGRAMAS[],2,FALSE),0)</f>
        <v>1892779498.5211046</v>
      </c>
      <c r="AA1427" s="246">
        <f>IFERROR(VLOOKUP(M1427,PROGRAMAS[],2,FALSE),0)</f>
        <v>0</v>
      </c>
      <c r="AB1427" s="246">
        <f>IFERROR(VLOOKUP(N1427,PROGRAMAS[],2,FALSE),0)</f>
        <v>0</v>
      </c>
      <c r="AC1427" s="246">
        <f>IFERROR(VLOOKUP(O1427,PROGRAMAS[],2,FALSE),0)</f>
        <v>0</v>
      </c>
      <c r="AD1427" s="246">
        <f>IFERROR(VLOOKUP(P1427,PROGRAMAS[],2,FALSE),0)</f>
        <v>0</v>
      </c>
      <c r="AE1427" s="246">
        <f>IFERROR(VLOOKUP(Q1427,PROGRAMAS[],2,FALSE),0)</f>
        <v>0</v>
      </c>
      <c r="AF1427" s="246">
        <f>IFERROR(VLOOKUP(D1427,PROGRAMAS[],3,FALSE),0)</f>
        <v>841888629.31080008</v>
      </c>
      <c r="AG1427" s="246">
        <f>IFERROR(VLOOKUP(E1427,PROGRAMAS[],3,FALSE),0)</f>
        <v>3848980803.1642323</v>
      </c>
      <c r="AH1427" s="246">
        <f>IFERROR(VLOOKUP(F1427,PROGRAMAS[],3,FALSE),0)</f>
        <v>3394901471.387517</v>
      </c>
      <c r="AI1427" s="246">
        <f>IFERROR(VLOOKUP(G1427,PROGRAMAS[],3,FALSE),0)</f>
        <v>6129902208.7912121</v>
      </c>
      <c r="AJ1427" s="246">
        <f>IFERROR(VLOOKUP(H1427,PROGRAMAS[],3,FALSE),0)</f>
        <v>7011279577.519702</v>
      </c>
      <c r="AK1427" s="246">
        <f>IFERROR(VLOOKUP(I1427,PROGRAMAS[],3,FALSE),0)</f>
        <v>675517840.109828</v>
      </c>
      <c r="AL1427" s="246">
        <f>IFERROR(VLOOKUP(J1427,PROGRAMAS[],3,FALSE),0)</f>
        <v>2392571243.5584412</v>
      </c>
      <c r="AM1427" s="246">
        <f>IFERROR(VLOOKUP(K1427,PROGRAMAS[],3,FALSE),0)</f>
        <v>118617452.52510804</v>
      </c>
      <c r="AN1427" s="246">
        <f>IFERROR(VLOOKUP(L1427,PROGRAMAS[],3,FALSE),0)</f>
        <v>948595847.09039903</v>
      </c>
      <c r="AO1427" s="246">
        <f>IFERROR(VLOOKUP(M1427,PROGRAMAS[],3,FALSE),0)</f>
        <v>0</v>
      </c>
      <c r="AP1427" s="246">
        <f>IFERROR(VLOOKUP(N1427,PROGRAMAS[],3,FALSE),0)</f>
        <v>0</v>
      </c>
      <c r="AQ1427" s="246">
        <f>IFERROR(VLOOKUP(O1427,PROGRAMAS[],3,FALSE),0)</f>
        <v>0</v>
      </c>
      <c r="AR1427" s="246">
        <f>IFERROR(VLOOKUP(P1427,PROGRAMAS[],3,FALSE),0)</f>
        <v>0</v>
      </c>
      <c r="AS1427" s="246">
        <f>IFERROR(VLOOKUP(Q1427,PROGRAMAS[],3,FALSE),0)</f>
        <v>0</v>
      </c>
      <c r="AT1427" s="246">
        <f>IFERROR(VLOOKUP(D1427,VOL_REC[],2,FALSE),0)</f>
        <v>0</v>
      </c>
      <c r="AU1427" s="246">
        <f>IFERROR(VLOOKUP(E1427,VOL_REC[],2,FALSE),0)</f>
        <v>0</v>
      </c>
      <c r="AV1427" s="246">
        <f>IFERROR(VLOOKUP(F1427,VOL_REC[],2,FALSE),0)</f>
        <v>11089674.200000001</v>
      </c>
      <c r="AW1427" s="246">
        <f>IFERROR(VLOOKUP(G1427,VOL_REC[],2,FALSE),0)</f>
        <v>15540036.397699751</v>
      </c>
      <c r="AX1427" s="246">
        <f>IFERROR(VLOOKUP(H1427,VOL_REC[],2,FALSE),0)</f>
        <v>3761786</v>
      </c>
      <c r="AY1427" s="246">
        <f>IFERROR(VLOOKUP(I1427,VOL_REC[],2,FALSE),0)</f>
        <v>240696.79238099116</v>
      </c>
      <c r="AZ1427" s="246">
        <f>IFERROR(VLOOKUP(J1427,VOL_REC[],2,FALSE),0)</f>
        <v>663244.80000000016</v>
      </c>
      <c r="BA1427" s="246">
        <f>IFERROR(VLOOKUP(K1427,VOL_REC[],2,FALSE),0)</f>
        <v>105072</v>
      </c>
      <c r="BB1427" s="246">
        <f>IFERROR(VLOOKUP(L1427,VOL_REC[],2,FALSE),0)</f>
        <v>740113.98115702497</v>
      </c>
      <c r="BC1427" s="246">
        <f>IFERROR(VLOOKUP(M1427,VOL_REC[],2,FALSE),0)</f>
        <v>0</v>
      </c>
      <c r="BD1427" s="246">
        <f>IFERROR(VLOOKUP(N1427,VOL_REC[],2,FALSE),0)</f>
        <v>0</v>
      </c>
      <c r="BE1427" s="246">
        <f>IFERROR(VLOOKUP(O1427,VOL_REC[],2,FALSE),0)</f>
        <v>0</v>
      </c>
      <c r="BF1427" s="246">
        <f>IFERROR(VLOOKUP(P1427,VOL_REC[],2,FALSE),0)</f>
        <v>0</v>
      </c>
      <c r="BG1427" s="246">
        <f>IFERROR(VLOOKUP(Q1427,VOL_REC[],2,FALSE),0)</f>
        <v>0</v>
      </c>
      <c r="BH1427" s="1710">
        <f t="shared" si="88"/>
        <v>23392369966.264706</v>
      </c>
      <c r="BI1427" s="1710">
        <f t="shared" si="89"/>
        <v>25362255073.457245</v>
      </c>
      <c r="BJ1427" s="1711">
        <f t="shared" si="90"/>
        <v>32140624.17123777</v>
      </c>
      <c r="BK1427" s="1711">
        <f t="shared" si="91"/>
        <v>0.9223300490635743</v>
      </c>
    </row>
    <row r="1428" spans="3:67" x14ac:dyDescent="0.25">
      <c r="C1428" s="246" t="s">
        <v>2778</v>
      </c>
      <c r="D1428" s="246">
        <v>1</v>
      </c>
      <c r="E1428" s="246">
        <v>2</v>
      </c>
      <c r="F1428" s="246">
        <v>3</v>
      </c>
      <c r="G1428" s="246">
        <v>6</v>
      </c>
      <c r="H1428" s="246">
        <v>9</v>
      </c>
      <c r="I1428" s="246">
        <v>12</v>
      </c>
      <c r="J1428" s="246">
        <v>13</v>
      </c>
      <c r="K1428" s="246">
        <v>16</v>
      </c>
      <c r="L1428" s="246">
        <v>17</v>
      </c>
      <c r="M1428" s="246"/>
      <c r="N1428" s="246"/>
      <c r="O1428" s="246"/>
      <c r="P1428" s="246"/>
      <c r="Q1428" s="246"/>
      <c r="R1428" s="246">
        <f>IFERROR(VLOOKUP(D1428,PROGRAMAS[],2,FALSE),0)</f>
        <v>97037803.679377079</v>
      </c>
      <c r="S1428" s="246">
        <f>IFERROR(VLOOKUP(E1428,PROGRAMAS[],2,FALSE),0)</f>
        <v>640501509.6821388</v>
      </c>
      <c r="T1428" s="246">
        <f>IFERROR(VLOOKUP(F1428,PROGRAMAS[],2,FALSE),0)</f>
        <v>3062327798.1525245</v>
      </c>
      <c r="U1428" s="246">
        <f>IFERROR(VLOOKUP(G1428,PROGRAMAS[],2,FALSE),0)</f>
        <v>6907648435.8447599</v>
      </c>
      <c r="V1428" s="246">
        <f>IFERROR(VLOOKUP(H1428,PROGRAMAS[],2,FALSE),0)</f>
        <v>6128579952.1618185</v>
      </c>
      <c r="W1428" s="246">
        <f>IFERROR(VLOOKUP(I1428,PROGRAMAS[],2,FALSE),0)</f>
        <v>764796700.79905891</v>
      </c>
      <c r="X1428" s="246">
        <f>IFERROR(VLOOKUP(J1428,PROGRAMAS[],2,FALSE),0)</f>
        <v>3776538594.4604583</v>
      </c>
      <c r="Y1428" s="246">
        <f>IFERROR(VLOOKUP(K1428,PROGRAMAS[],2,FALSE),0)</f>
        <v>7068496961.0436354</v>
      </c>
      <c r="Z1428" s="246">
        <f>IFERROR(VLOOKUP(L1428,PROGRAMAS[],2,FALSE),0)</f>
        <v>1892779498.5211046</v>
      </c>
      <c r="AA1428" s="246">
        <f>IFERROR(VLOOKUP(M1428,PROGRAMAS[],2,FALSE),0)</f>
        <v>0</v>
      </c>
      <c r="AB1428" s="246">
        <f>IFERROR(VLOOKUP(N1428,PROGRAMAS[],2,FALSE),0)</f>
        <v>0</v>
      </c>
      <c r="AC1428" s="246">
        <f>IFERROR(VLOOKUP(O1428,PROGRAMAS[],2,FALSE),0)</f>
        <v>0</v>
      </c>
      <c r="AD1428" s="246">
        <f>IFERROR(VLOOKUP(P1428,PROGRAMAS[],2,FALSE),0)</f>
        <v>0</v>
      </c>
      <c r="AE1428" s="246">
        <f>IFERROR(VLOOKUP(Q1428,PROGRAMAS[],2,FALSE),0)</f>
        <v>0</v>
      </c>
      <c r="AF1428" s="246">
        <f>IFERROR(VLOOKUP(D1428,PROGRAMAS[],3,FALSE),0)</f>
        <v>841888629.31080008</v>
      </c>
      <c r="AG1428" s="246">
        <f>IFERROR(VLOOKUP(E1428,PROGRAMAS[],3,FALSE),0)</f>
        <v>3848980803.1642323</v>
      </c>
      <c r="AH1428" s="246">
        <f>IFERROR(VLOOKUP(F1428,PROGRAMAS[],3,FALSE),0)</f>
        <v>3394901471.387517</v>
      </c>
      <c r="AI1428" s="246">
        <f>IFERROR(VLOOKUP(G1428,PROGRAMAS[],3,FALSE),0)</f>
        <v>6129902208.7912121</v>
      </c>
      <c r="AJ1428" s="246">
        <f>IFERROR(VLOOKUP(H1428,PROGRAMAS[],3,FALSE),0)</f>
        <v>7011279577.519702</v>
      </c>
      <c r="AK1428" s="246">
        <f>IFERROR(VLOOKUP(I1428,PROGRAMAS[],3,FALSE),0)</f>
        <v>675517840.109828</v>
      </c>
      <c r="AL1428" s="246">
        <f>IFERROR(VLOOKUP(J1428,PROGRAMAS[],3,FALSE),0)</f>
        <v>2392571243.5584412</v>
      </c>
      <c r="AM1428" s="246">
        <f>IFERROR(VLOOKUP(K1428,PROGRAMAS[],3,FALSE),0)</f>
        <v>2406564599.0319901</v>
      </c>
      <c r="AN1428" s="246">
        <f>IFERROR(VLOOKUP(L1428,PROGRAMAS[],3,FALSE),0)</f>
        <v>948595847.09039903</v>
      </c>
      <c r="AO1428" s="246">
        <f>IFERROR(VLOOKUP(M1428,PROGRAMAS[],3,FALSE),0)</f>
        <v>0</v>
      </c>
      <c r="AP1428" s="246">
        <f>IFERROR(VLOOKUP(N1428,PROGRAMAS[],3,FALSE),0)</f>
        <v>0</v>
      </c>
      <c r="AQ1428" s="246">
        <f>IFERROR(VLOOKUP(O1428,PROGRAMAS[],3,FALSE),0)</f>
        <v>0</v>
      </c>
      <c r="AR1428" s="246">
        <f>IFERROR(VLOOKUP(P1428,PROGRAMAS[],3,FALSE),0)</f>
        <v>0</v>
      </c>
      <c r="AS1428" s="246">
        <f>IFERROR(VLOOKUP(Q1428,PROGRAMAS[],3,FALSE),0)</f>
        <v>0</v>
      </c>
      <c r="AT1428" s="246">
        <f>IFERROR(VLOOKUP(D1428,VOL_REC[],2,FALSE),0)</f>
        <v>0</v>
      </c>
      <c r="AU1428" s="246">
        <f>IFERROR(VLOOKUP(E1428,VOL_REC[],2,FALSE),0)</f>
        <v>0</v>
      </c>
      <c r="AV1428" s="246">
        <f>IFERROR(VLOOKUP(F1428,VOL_REC[],2,FALSE),0)</f>
        <v>11089674.200000001</v>
      </c>
      <c r="AW1428" s="246">
        <f>IFERROR(VLOOKUP(G1428,VOL_REC[],2,FALSE),0)</f>
        <v>15540036.397699751</v>
      </c>
      <c r="AX1428" s="246">
        <f>IFERROR(VLOOKUP(H1428,VOL_REC[],2,FALSE),0)</f>
        <v>3761786</v>
      </c>
      <c r="AY1428" s="246">
        <f>IFERROR(VLOOKUP(I1428,VOL_REC[],2,FALSE),0)</f>
        <v>240696.79238099116</v>
      </c>
      <c r="AZ1428" s="246">
        <f>IFERROR(VLOOKUP(J1428,VOL_REC[],2,FALSE),0)</f>
        <v>663244.80000000016</v>
      </c>
      <c r="BA1428" s="246">
        <f>IFERROR(VLOOKUP(K1428,VOL_REC[],2,FALSE),0)</f>
        <v>1072354.9981737854</v>
      </c>
      <c r="BB1428" s="246">
        <f>IFERROR(VLOOKUP(L1428,VOL_REC[],2,FALSE),0)</f>
        <v>740113.98115702497</v>
      </c>
      <c r="BC1428" s="246">
        <f>IFERROR(VLOOKUP(M1428,VOL_REC[],2,FALSE),0)</f>
        <v>0</v>
      </c>
      <c r="BD1428" s="246">
        <f>IFERROR(VLOOKUP(N1428,VOL_REC[],2,FALSE),0)</f>
        <v>0</v>
      </c>
      <c r="BE1428" s="246">
        <f>IFERROR(VLOOKUP(O1428,VOL_REC[],2,FALSE),0)</f>
        <v>0</v>
      </c>
      <c r="BF1428" s="246">
        <f>IFERROR(VLOOKUP(P1428,VOL_REC[],2,FALSE),0)</f>
        <v>0</v>
      </c>
      <c r="BG1428" s="246">
        <f>IFERROR(VLOOKUP(Q1428,VOL_REC[],2,FALSE),0)</f>
        <v>0</v>
      </c>
      <c r="BH1428" s="1710">
        <f t="shared" si="88"/>
        <v>30338707254.344875</v>
      </c>
      <c r="BI1428" s="1710">
        <f t="shared" si="89"/>
        <v>27650202219.964127</v>
      </c>
      <c r="BJ1428" s="1711">
        <f t="shared" si="90"/>
        <v>33107907.169411555</v>
      </c>
      <c r="BK1428" s="1711">
        <f t="shared" si="91"/>
        <v>1.0972327440136977</v>
      </c>
      <c r="BL1428">
        <f>BJ1428</f>
        <v>33107907.169411555</v>
      </c>
      <c r="BO1428">
        <f>BL1428</f>
        <v>33107907.169411555</v>
      </c>
    </row>
    <row r="1429" spans="3:67" x14ac:dyDescent="0.25">
      <c r="C1429" s="246" t="s">
        <v>2779</v>
      </c>
      <c r="D1429" s="246">
        <v>1</v>
      </c>
      <c r="E1429" s="246">
        <v>2</v>
      </c>
      <c r="F1429" s="246">
        <v>3</v>
      </c>
      <c r="G1429" s="246">
        <v>6</v>
      </c>
      <c r="H1429" s="246">
        <v>9</v>
      </c>
      <c r="I1429" s="246">
        <v>12</v>
      </c>
      <c r="J1429" s="246">
        <v>14</v>
      </c>
      <c r="K1429" s="246">
        <v>15</v>
      </c>
      <c r="L1429" s="246">
        <v>16</v>
      </c>
      <c r="M1429" s="246"/>
      <c r="N1429" s="246"/>
      <c r="O1429" s="246"/>
      <c r="P1429" s="246"/>
      <c r="Q1429" s="246"/>
      <c r="R1429" s="246">
        <f>IFERROR(VLOOKUP(D1429,PROGRAMAS[],2,FALSE),0)</f>
        <v>97037803.679377079</v>
      </c>
      <c r="S1429" s="246">
        <f>IFERROR(VLOOKUP(E1429,PROGRAMAS[],2,FALSE),0)</f>
        <v>640501509.6821388</v>
      </c>
      <c r="T1429" s="246">
        <f>IFERROR(VLOOKUP(F1429,PROGRAMAS[],2,FALSE),0)</f>
        <v>3062327798.1525245</v>
      </c>
      <c r="U1429" s="246">
        <f>IFERROR(VLOOKUP(G1429,PROGRAMAS[],2,FALSE),0)</f>
        <v>6907648435.8447599</v>
      </c>
      <c r="V1429" s="246">
        <f>IFERROR(VLOOKUP(H1429,PROGRAMAS[],2,FALSE),0)</f>
        <v>6128579952.1618185</v>
      </c>
      <c r="W1429" s="246">
        <f>IFERROR(VLOOKUP(I1429,PROGRAMAS[],2,FALSE),0)</f>
        <v>764796700.79905891</v>
      </c>
      <c r="X1429" s="246">
        <f>IFERROR(VLOOKUP(J1429,PROGRAMAS[],2,FALSE),0)</f>
        <v>54223862.645839565</v>
      </c>
      <c r="Y1429" s="246">
        <f>IFERROR(VLOOKUP(K1429,PROGRAMAS[],2,FALSE),0)</f>
        <v>122159672.96346797</v>
      </c>
      <c r="Z1429" s="246">
        <f>IFERROR(VLOOKUP(L1429,PROGRAMAS[],2,FALSE),0)</f>
        <v>7068496961.0436354</v>
      </c>
      <c r="AA1429" s="246">
        <f>IFERROR(VLOOKUP(M1429,PROGRAMAS[],2,FALSE),0)</f>
        <v>0</v>
      </c>
      <c r="AB1429" s="246">
        <f>IFERROR(VLOOKUP(N1429,PROGRAMAS[],2,FALSE),0)</f>
        <v>0</v>
      </c>
      <c r="AC1429" s="246">
        <f>IFERROR(VLOOKUP(O1429,PROGRAMAS[],2,FALSE),0)</f>
        <v>0</v>
      </c>
      <c r="AD1429" s="246">
        <f>IFERROR(VLOOKUP(P1429,PROGRAMAS[],2,FALSE),0)</f>
        <v>0</v>
      </c>
      <c r="AE1429" s="246">
        <f>IFERROR(VLOOKUP(Q1429,PROGRAMAS[],2,FALSE),0)</f>
        <v>0</v>
      </c>
      <c r="AF1429" s="246">
        <f>IFERROR(VLOOKUP(D1429,PROGRAMAS[],3,FALSE),0)</f>
        <v>841888629.31080008</v>
      </c>
      <c r="AG1429" s="246">
        <f>IFERROR(VLOOKUP(E1429,PROGRAMAS[],3,FALSE),0)</f>
        <v>3848980803.1642323</v>
      </c>
      <c r="AH1429" s="246">
        <f>IFERROR(VLOOKUP(F1429,PROGRAMAS[],3,FALSE),0)</f>
        <v>3394901471.387517</v>
      </c>
      <c r="AI1429" s="246">
        <f>IFERROR(VLOOKUP(G1429,PROGRAMAS[],3,FALSE),0)</f>
        <v>6129902208.7912121</v>
      </c>
      <c r="AJ1429" s="246">
        <f>IFERROR(VLOOKUP(H1429,PROGRAMAS[],3,FALSE),0)</f>
        <v>7011279577.519702</v>
      </c>
      <c r="AK1429" s="246">
        <f>IFERROR(VLOOKUP(I1429,PROGRAMAS[],3,FALSE),0)</f>
        <v>675517840.109828</v>
      </c>
      <c r="AL1429" s="246">
        <f>IFERROR(VLOOKUP(J1429,PROGRAMAS[],3,FALSE),0)</f>
        <v>31865326.38096505</v>
      </c>
      <c r="AM1429" s="246">
        <f>IFERROR(VLOOKUP(K1429,PROGRAMAS[],3,FALSE),0)</f>
        <v>118617452.52510804</v>
      </c>
      <c r="AN1429" s="246">
        <f>IFERROR(VLOOKUP(L1429,PROGRAMAS[],3,FALSE),0)</f>
        <v>2406564599.0319901</v>
      </c>
      <c r="AO1429" s="246">
        <f>IFERROR(VLOOKUP(M1429,PROGRAMAS[],3,FALSE),0)</f>
        <v>0</v>
      </c>
      <c r="AP1429" s="246">
        <f>IFERROR(VLOOKUP(N1429,PROGRAMAS[],3,FALSE),0)</f>
        <v>0</v>
      </c>
      <c r="AQ1429" s="246">
        <f>IFERROR(VLOOKUP(O1429,PROGRAMAS[],3,FALSE),0)</f>
        <v>0</v>
      </c>
      <c r="AR1429" s="246">
        <f>IFERROR(VLOOKUP(P1429,PROGRAMAS[],3,FALSE),0)</f>
        <v>0</v>
      </c>
      <c r="AS1429" s="246">
        <f>IFERROR(VLOOKUP(Q1429,PROGRAMAS[],3,FALSE),0)</f>
        <v>0</v>
      </c>
      <c r="AT1429" s="246">
        <f>IFERROR(VLOOKUP(D1429,VOL_REC[],2,FALSE),0)</f>
        <v>0</v>
      </c>
      <c r="AU1429" s="246">
        <f>IFERROR(VLOOKUP(E1429,VOL_REC[],2,FALSE),0)</f>
        <v>0</v>
      </c>
      <c r="AV1429" s="246">
        <f>IFERROR(VLOOKUP(F1429,VOL_REC[],2,FALSE),0)</f>
        <v>11089674.200000001</v>
      </c>
      <c r="AW1429" s="246">
        <f>IFERROR(VLOOKUP(G1429,VOL_REC[],2,FALSE),0)</f>
        <v>15540036.397699751</v>
      </c>
      <c r="AX1429" s="246">
        <f>IFERROR(VLOOKUP(H1429,VOL_REC[],2,FALSE),0)</f>
        <v>3761786</v>
      </c>
      <c r="AY1429" s="246">
        <f>IFERROR(VLOOKUP(I1429,VOL_REC[],2,FALSE),0)</f>
        <v>240696.79238099116</v>
      </c>
      <c r="AZ1429" s="246">
        <f>IFERROR(VLOOKUP(J1429,VOL_REC[],2,FALSE),0)</f>
        <v>17074.045034105649</v>
      </c>
      <c r="BA1429" s="246">
        <f>IFERROR(VLOOKUP(K1429,VOL_REC[],2,FALSE),0)</f>
        <v>105072</v>
      </c>
      <c r="BB1429" s="246">
        <f>IFERROR(VLOOKUP(L1429,VOL_REC[],2,FALSE),0)</f>
        <v>1072354.9981737854</v>
      </c>
      <c r="BC1429" s="246">
        <f>IFERROR(VLOOKUP(M1429,VOL_REC[],2,FALSE),0)</f>
        <v>0</v>
      </c>
      <c r="BD1429" s="246">
        <f>IFERROR(VLOOKUP(N1429,VOL_REC[],2,FALSE),0)</f>
        <v>0</v>
      </c>
      <c r="BE1429" s="246">
        <f>IFERROR(VLOOKUP(O1429,VOL_REC[],2,FALSE),0)</f>
        <v>0</v>
      </c>
      <c r="BF1429" s="246">
        <f>IFERROR(VLOOKUP(P1429,VOL_REC[],2,FALSE),0)</f>
        <v>0</v>
      </c>
      <c r="BG1429" s="246">
        <f>IFERROR(VLOOKUP(Q1429,VOL_REC[],2,FALSE),0)</f>
        <v>0</v>
      </c>
      <c r="BH1429" s="1710">
        <f t="shared" si="88"/>
        <v>24845772696.972622</v>
      </c>
      <c r="BI1429" s="1710">
        <f t="shared" si="89"/>
        <v>24459517908.221359</v>
      </c>
      <c r="BJ1429" s="1711">
        <f t="shared" si="90"/>
        <v>31826694.433288638</v>
      </c>
      <c r="BK1429" s="1711">
        <f t="shared" si="91"/>
        <v>1.0157915945114124</v>
      </c>
      <c r="BL1429">
        <f>BJ1429</f>
        <v>31826694.433288638</v>
      </c>
      <c r="BO1429">
        <f>BL1429</f>
        <v>31826694.433288638</v>
      </c>
    </row>
    <row r="1430" spans="3:67" x14ac:dyDescent="0.25">
      <c r="C1430" s="246" t="s">
        <v>2780</v>
      </c>
      <c r="D1430" s="246">
        <v>1</v>
      </c>
      <c r="E1430" s="246">
        <v>2</v>
      </c>
      <c r="F1430" s="246">
        <v>3</v>
      </c>
      <c r="G1430" s="246">
        <v>6</v>
      </c>
      <c r="H1430" s="246">
        <v>9</v>
      </c>
      <c r="I1430" s="246">
        <v>12</v>
      </c>
      <c r="J1430" s="246">
        <v>14</v>
      </c>
      <c r="K1430" s="246">
        <v>15</v>
      </c>
      <c r="L1430" s="246">
        <v>17</v>
      </c>
      <c r="M1430" s="246"/>
      <c r="N1430" s="246"/>
      <c r="O1430" s="246"/>
      <c r="P1430" s="246"/>
      <c r="Q1430" s="246"/>
      <c r="R1430" s="246">
        <f>IFERROR(VLOOKUP(D1430,PROGRAMAS[],2,FALSE),0)</f>
        <v>97037803.679377079</v>
      </c>
      <c r="S1430" s="246">
        <f>IFERROR(VLOOKUP(E1430,PROGRAMAS[],2,FALSE),0)</f>
        <v>640501509.6821388</v>
      </c>
      <c r="T1430" s="246">
        <f>IFERROR(VLOOKUP(F1430,PROGRAMAS[],2,FALSE),0)</f>
        <v>3062327798.1525245</v>
      </c>
      <c r="U1430" s="246">
        <f>IFERROR(VLOOKUP(G1430,PROGRAMAS[],2,FALSE),0)</f>
        <v>6907648435.8447599</v>
      </c>
      <c r="V1430" s="246">
        <f>IFERROR(VLOOKUP(H1430,PROGRAMAS[],2,FALSE),0)</f>
        <v>6128579952.1618185</v>
      </c>
      <c r="W1430" s="246">
        <f>IFERROR(VLOOKUP(I1430,PROGRAMAS[],2,FALSE),0)</f>
        <v>764796700.79905891</v>
      </c>
      <c r="X1430" s="246">
        <f>IFERROR(VLOOKUP(J1430,PROGRAMAS[],2,FALSE),0)</f>
        <v>54223862.645839565</v>
      </c>
      <c r="Y1430" s="246">
        <f>IFERROR(VLOOKUP(K1430,PROGRAMAS[],2,FALSE),0)</f>
        <v>122159672.96346797</v>
      </c>
      <c r="Z1430" s="246">
        <f>IFERROR(VLOOKUP(L1430,PROGRAMAS[],2,FALSE),0)</f>
        <v>1892779498.5211046</v>
      </c>
      <c r="AA1430" s="246">
        <f>IFERROR(VLOOKUP(M1430,PROGRAMAS[],2,FALSE),0)</f>
        <v>0</v>
      </c>
      <c r="AB1430" s="246">
        <f>IFERROR(VLOOKUP(N1430,PROGRAMAS[],2,FALSE),0)</f>
        <v>0</v>
      </c>
      <c r="AC1430" s="246">
        <f>IFERROR(VLOOKUP(O1430,PROGRAMAS[],2,FALSE),0)</f>
        <v>0</v>
      </c>
      <c r="AD1430" s="246">
        <f>IFERROR(VLOOKUP(P1430,PROGRAMAS[],2,FALSE),0)</f>
        <v>0</v>
      </c>
      <c r="AE1430" s="246">
        <f>IFERROR(VLOOKUP(Q1430,PROGRAMAS[],2,FALSE),0)</f>
        <v>0</v>
      </c>
      <c r="AF1430" s="246">
        <f>IFERROR(VLOOKUP(D1430,PROGRAMAS[],3,FALSE),0)</f>
        <v>841888629.31080008</v>
      </c>
      <c r="AG1430" s="246">
        <f>IFERROR(VLOOKUP(E1430,PROGRAMAS[],3,FALSE),0)</f>
        <v>3848980803.1642323</v>
      </c>
      <c r="AH1430" s="246">
        <f>IFERROR(VLOOKUP(F1430,PROGRAMAS[],3,FALSE),0)</f>
        <v>3394901471.387517</v>
      </c>
      <c r="AI1430" s="246">
        <f>IFERROR(VLOOKUP(G1430,PROGRAMAS[],3,FALSE),0)</f>
        <v>6129902208.7912121</v>
      </c>
      <c r="AJ1430" s="246">
        <f>IFERROR(VLOOKUP(H1430,PROGRAMAS[],3,FALSE),0)</f>
        <v>7011279577.519702</v>
      </c>
      <c r="AK1430" s="246">
        <f>IFERROR(VLOOKUP(I1430,PROGRAMAS[],3,FALSE),0)</f>
        <v>675517840.109828</v>
      </c>
      <c r="AL1430" s="246">
        <f>IFERROR(VLOOKUP(J1430,PROGRAMAS[],3,FALSE),0)</f>
        <v>31865326.38096505</v>
      </c>
      <c r="AM1430" s="246">
        <f>IFERROR(VLOOKUP(K1430,PROGRAMAS[],3,FALSE),0)</f>
        <v>118617452.52510804</v>
      </c>
      <c r="AN1430" s="246">
        <f>IFERROR(VLOOKUP(L1430,PROGRAMAS[],3,FALSE),0)</f>
        <v>948595847.09039903</v>
      </c>
      <c r="AO1430" s="246">
        <f>IFERROR(VLOOKUP(M1430,PROGRAMAS[],3,FALSE),0)</f>
        <v>0</v>
      </c>
      <c r="AP1430" s="246">
        <f>IFERROR(VLOOKUP(N1430,PROGRAMAS[],3,FALSE),0)</f>
        <v>0</v>
      </c>
      <c r="AQ1430" s="246">
        <f>IFERROR(VLOOKUP(O1430,PROGRAMAS[],3,FALSE),0)</f>
        <v>0</v>
      </c>
      <c r="AR1430" s="246">
        <f>IFERROR(VLOOKUP(P1430,PROGRAMAS[],3,FALSE),0)</f>
        <v>0</v>
      </c>
      <c r="AS1430" s="246">
        <f>IFERROR(VLOOKUP(Q1430,PROGRAMAS[],3,FALSE),0)</f>
        <v>0</v>
      </c>
      <c r="AT1430" s="246">
        <f>IFERROR(VLOOKUP(D1430,VOL_REC[],2,FALSE),0)</f>
        <v>0</v>
      </c>
      <c r="AU1430" s="246">
        <f>IFERROR(VLOOKUP(E1430,VOL_REC[],2,FALSE),0)</f>
        <v>0</v>
      </c>
      <c r="AV1430" s="246">
        <f>IFERROR(VLOOKUP(F1430,VOL_REC[],2,FALSE),0)</f>
        <v>11089674.200000001</v>
      </c>
      <c r="AW1430" s="246">
        <f>IFERROR(VLOOKUP(G1430,VOL_REC[],2,FALSE),0)</f>
        <v>15540036.397699751</v>
      </c>
      <c r="AX1430" s="246">
        <f>IFERROR(VLOOKUP(H1430,VOL_REC[],2,FALSE),0)</f>
        <v>3761786</v>
      </c>
      <c r="AY1430" s="246">
        <f>IFERROR(VLOOKUP(I1430,VOL_REC[],2,FALSE),0)</f>
        <v>240696.79238099116</v>
      </c>
      <c r="AZ1430" s="246">
        <f>IFERROR(VLOOKUP(J1430,VOL_REC[],2,FALSE),0)</f>
        <v>17074.045034105649</v>
      </c>
      <c r="BA1430" s="246">
        <f>IFERROR(VLOOKUP(K1430,VOL_REC[],2,FALSE),0)</f>
        <v>105072</v>
      </c>
      <c r="BB1430" s="246">
        <f>IFERROR(VLOOKUP(L1430,VOL_REC[],2,FALSE),0)</f>
        <v>740113.98115702497</v>
      </c>
      <c r="BC1430" s="246">
        <f>IFERROR(VLOOKUP(M1430,VOL_REC[],2,FALSE),0)</f>
        <v>0</v>
      </c>
      <c r="BD1430" s="246">
        <f>IFERROR(VLOOKUP(N1430,VOL_REC[],2,FALSE),0)</f>
        <v>0</v>
      </c>
      <c r="BE1430" s="246">
        <f>IFERROR(VLOOKUP(O1430,VOL_REC[],2,FALSE),0)</f>
        <v>0</v>
      </c>
      <c r="BF1430" s="246">
        <f>IFERROR(VLOOKUP(P1430,VOL_REC[],2,FALSE),0)</f>
        <v>0</v>
      </c>
      <c r="BG1430" s="246">
        <f>IFERROR(VLOOKUP(Q1430,VOL_REC[],2,FALSE),0)</f>
        <v>0</v>
      </c>
      <c r="BH1430" s="1710">
        <f t="shared" si="88"/>
        <v>19670055234.450089</v>
      </c>
      <c r="BI1430" s="1710">
        <f t="shared" si="89"/>
        <v>23001549156.27977</v>
      </c>
      <c r="BJ1430" s="1711">
        <f t="shared" si="90"/>
        <v>31494453.416271877</v>
      </c>
      <c r="BK1430" s="1711">
        <f t="shared" si="91"/>
        <v>0.8551621936768492</v>
      </c>
    </row>
    <row r="1431" spans="3:67" x14ac:dyDescent="0.25">
      <c r="C1431" s="246" t="s">
        <v>2781</v>
      </c>
      <c r="D1431" s="246">
        <v>1</v>
      </c>
      <c r="E1431" s="246">
        <v>2</v>
      </c>
      <c r="F1431" s="246">
        <v>3</v>
      </c>
      <c r="G1431" s="246">
        <v>6</v>
      </c>
      <c r="H1431" s="246">
        <v>9</v>
      </c>
      <c r="I1431" s="246">
        <v>12</v>
      </c>
      <c r="J1431" s="246">
        <v>14</v>
      </c>
      <c r="K1431" s="246">
        <v>16</v>
      </c>
      <c r="L1431" s="246">
        <v>17</v>
      </c>
      <c r="M1431" s="246"/>
      <c r="N1431" s="246"/>
      <c r="O1431" s="246"/>
      <c r="P1431" s="246"/>
      <c r="Q1431" s="246"/>
      <c r="R1431" s="246">
        <f>IFERROR(VLOOKUP(D1431,PROGRAMAS[],2,FALSE),0)</f>
        <v>97037803.679377079</v>
      </c>
      <c r="S1431" s="246">
        <f>IFERROR(VLOOKUP(E1431,PROGRAMAS[],2,FALSE),0)</f>
        <v>640501509.6821388</v>
      </c>
      <c r="T1431" s="246">
        <f>IFERROR(VLOOKUP(F1431,PROGRAMAS[],2,FALSE),0)</f>
        <v>3062327798.1525245</v>
      </c>
      <c r="U1431" s="246">
        <f>IFERROR(VLOOKUP(G1431,PROGRAMAS[],2,FALSE),0)</f>
        <v>6907648435.8447599</v>
      </c>
      <c r="V1431" s="246">
        <f>IFERROR(VLOOKUP(H1431,PROGRAMAS[],2,FALSE),0)</f>
        <v>6128579952.1618185</v>
      </c>
      <c r="W1431" s="246">
        <f>IFERROR(VLOOKUP(I1431,PROGRAMAS[],2,FALSE),0)</f>
        <v>764796700.79905891</v>
      </c>
      <c r="X1431" s="246">
        <f>IFERROR(VLOOKUP(J1431,PROGRAMAS[],2,FALSE),0)</f>
        <v>54223862.645839565</v>
      </c>
      <c r="Y1431" s="246">
        <f>IFERROR(VLOOKUP(K1431,PROGRAMAS[],2,FALSE),0)</f>
        <v>7068496961.0436354</v>
      </c>
      <c r="Z1431" s="246">
        <f>IFERROR(VLOOKUP(L1431,PROGRAMAS[],2,FALSE),0)</f>
        <v>1892779498.5211046</v>
      </c>
      <c r="AA1431" s="246">
        <f>IFERROR(VLOOKUP(M1431,PROGRAMAS[],2,FALSE),0)</f>
        <v>0</v>
      </c>
      <c r="AB1431" s="246">
        <f>IFERROR(VLOOKUP(N1431,PROGRAMAS[],2,FALSE),0)</f>
        <v>0</v>
      </c>
      <c r="AC1431" s="246">
        <f>IFERROR(VLOOKUP(O1431,PROGRAMAS[],2,FALSE),0)</f>
        <v>0</v>
      </c>
      <c r="AD1431" s="246">
        <f>IFERROR(VLOOKUP(P1431,PROGRAMAS[],2,FALSE),0)</f>
        <v>0</v>
      </c>
      <c r="AE1431" s="246">
        <f>IFERROR(VLOOKUP(Q1431,PROGRAMAS[],2,FALSE),0)</f>
        <v>0</v>
      </c>
      <c r="AF1431" s="246">
        <f>IFERROR(VLOOKUP(D1431,PROGRAMAS[],3,FALSE),0)</f>
        <v>841888629.31080008</v>
      </c>
      <c r="AG1431" s="246">
        <f>IFERROR(VLOOKUP(E1431,PROGRAMAS[],3,FALSE),0)</f>
        <v>3848980803.1642323</v>
      </c>
      <c r="AH1431" s="246">
        <f>IFERROR(VLOOKUP(F1431,PROGRAMAS[],3,FALSE),0)</f>
        <v>3394901471.387517</v>
      </c>
      <c r="AI1431" s="246">
        <f>IFERROR(VLOOKUP(G1431,PROGRAMAS[],3,FALSE),0)</f>
        <v>6129902208.7912121</v>
      </c>
      <c r="AJ1431" s="246">
        <f>IFERROR(VLOOKUP(H1431,PROGRAMAS[],3,FALSE),0)</f>
        <v>7011279577.519702</v>
      </c>
      <c r="AK1431" s="246">
        <f>IFERROR(VLOOKUP(I1431,PROGRAMAS[],3,FALSE),0)</f>
        <v>675517840.109828</v>
      </c>
      <c r="AL1431" s="246">
        <f>IFERROR(VLOOKUP(J1431,PROGRAMAS[],3,FALSE),0)</f>
        <v>31865326.38096505</v>
      </c>
      <c r="AM1431" s="246">
        <f>IFERROR(VLOOKUP(K1431,PROGRAMAS[],3,FALSE),0)</f>
        <v>2406564599.0319901</v>
      </c>
      <c r="AN1431" s="246">
        <f>IFERROR(VLOOKUP(L1431,PROGRAMAS[],3,FALSE),0)</f>
        <v>948595847.09039903</v>
      </c>
      <c r="AO1431" s="246">
        <f>IFERROR(VLOOKUP(M1431,PROGRAMAS[],3,FALSE),0)</f>
        <v>0</v>
      </c>
      <c r="AP1431" s="246">
        <f>IFERROR(VLOOKUP(N1431,PROGRAMAS[],3,FALSE),0)</f>
        <v>0</v>
      </c>
      <c r="AQ1431" s="246">
        <f>IFERROR(VLOOKUP(O1431,PROGRAMAS[],3,FALSE),0)</f>
        <v>0</v>
      </c>
      <c r="AR1431" s="246">
        <f>IFERROR(VLOOKUP(P1431,PROGRAMAS[],3,FALSE),0)</f>
        <v>0</v>
      </c>
      <c r="AS1431" s="246">
        <f>IFERROR(VLOOKUP(Q1431,PROGRAMAS[],3,FALSE),0)</f>
        <v>0</v>
      </c>
      <c r="AT1431" s="246">
        <f>IFERROR(VLOOKUP(D1431,VOL_REC[],2,FALSE),0)</f>
        <v>0</v>
      </c>
      <c r="AU1431" s="246">
        <f>IFERROR(VLOOKUP(E1431,VOL_REC[],2,FALSE),0)</f>
        <v>0</v>
      </c>
      <c r="AV1431" s="246">
        <f>IFERROR(VLOOKUP(F1431,VOL_REC[],2,FALSE),0)</f>
        <v>11089674.200000001</v>
      </c>
      <c r="AW1431" s="246">
        <f>IFERROR(VLOOKUP(G1431,VOL_REC[],2,FALSE),0)</f>
        <v>15540036.397699751</v>
      </c>
      <c r="AX1431" s="246">
        <f>IFERROR(VLOOKUP(H1431,VOL_REC[],2,FALSE),0)</f>
        <v>3761786</v>
      </c>
      <c r="AY1431" s="246">
        <f>IFERROR(VLOOKUP(I1431,VOL_REC[],2,FALSE),0)</f>
        <v>240696.79238099116</v>
      </c>
      <c r="AZ1431" s="246">
        <f>IFERROR(VLOOKUP(J1431,VOL_REC[],2,FALSE),0)</f>
        <v>17074.045034105649</v>
      </c>
      <c r="BA1431" s="246">
        <f>IFERROR(VLOOKUP(K1431,VOL_REC[],2,FALSE),0)</f>
        <v>1072354.9981737854</v>
      </c>
      <c r="BB1431" s="246">
        <f>IFERROR(VLOOKUP(L1431,VOL_REC[],2,FALSE),0)</f>
        <v>740113.98115702497</v>
      </c>
      <c r="BC1431" s="246">
        <f>IFERROR(VLOOKUP(M1431,VOL_REC[],2,FALSE),0)</f>
        <v>0</v>
      </c>
      <c r="BD1431" s="246">
        <f>IFERROR(VLOOKUP(N1431,VOL_REC[],2,FALSE),0)</f>
        <v>0</v>
      </c>
      <c r="BE1431" s="246">
        <f>IFERROR(VLOOKUP(O1431,VOL_REC[],2,FALSE),0)</f>
        <v>0</v>
      </c>
      <c r="BF1431" s="246">
        <f>IFERROR(VLOOKUP(P1431,VOL_REC[],2,FALSE),0)</f>
        <v>0</v>
      </c>
      <c r="BG1431" s="246">
        <f>IFERROR(VLOOKUP(Q1431,VOL_REC[],2,FALSE),0)</f>
        <v>0</v>
      </c>
      <c r="BH1431" s="1710">
        <f t="shared" si="88"/>
        <v>26616392522.530258</v>
      </c>
      <c r="BI1431" s="1710">
        <f t="shared" si="89"/>
        <v>25289496302.786652</v>
      </c>
      <c r="BJ1431" s="1711">
        <f t="shared" si="90"/>
        <v>32461736.414445661</v>
      </c>
      <c r="BK1431" s="1711">
        <f t="shared" si="91"/>
        <v>1.0524682739370097</v>
      </c>
      <c r="BL1431">
        <f>BJ1431</f>
        <v>32461736.414445661</v>
      </c>
      <c r="BO1431">
        <f>BL1431</f>
        <v>32461736.414445661</v>
      </c>
    </row>
    <row r="1432" spans="3:67" x14ac:dyDescent="0.25">
      <c r="C1432" s="246" t="s">
        <v>2782</v>
      </c>
      <c r="D1432" s="246">
        <v>1</v>
      </c>
      <c r="E1432" s="246">
        <v>2</v>
      </c>
      <c r="F1432" s="246">
        <v>3</v>
      </c>
      <c r="G1432" s="246">
        <v>6</v>
      </c>
      <c r="H1432" s="246">
        <v>9</v>
      </c>
      <c r="I1432" s="246">
        <v>12</v>
      </c>
      <c r="J1432" s="246">
        <v>15</v>
      </c>
      <c r="K1432" s="246">
        <v>16</v>
      </c>
      <c r="L1432" s="246">
        <v>17</v>
      </c>
      <c r="M1432" s="246"/>
      <c r="N1432" s="246"/>
      <c r="O1432" s="246"/>
      <c r="P1432" s="246"/>
      <c r="Q1432" s="246"/>
      <c r="R1432" s="246">
        <f>IFERROR(VLOOKUP(D1432,PROGRAMAS[],2,FALSE),0)</f>
        <v>97037803.679377079</v>
      </c>
      <c r="S1432" s="246">
        <f>IFERROR(VLOOKUP(E1432,PROGRAMAS[],2,FALSE),0)</f>
        <v>640501509.6821388</v>
      </c>
      <c r="T1432" s="246">
        <f>IFERROR(VLOOKUP(F1432,PROGRAMAS[],2,FALSE),0)</f>
        <v>3062327798.1525245</v>
      </c>
      <c r="U1432" s="246">
        <f>IFERROR(VLOOKUP(G1432,PROGRAMAS[],2,FALSE),0)</f>
        <v>6907648435.8447599</v>
      </c>
      <c r="V1432" s="246">
        <f>IFERROR(VLOOKUP(H1432,PROGRAMAS[],2,FALSE),0)</f>
        <v>6128579952.1618185</v>
      </c>
      <c r="W1432" s="246">
        <f>IFERROR(VLOOKUP(I1432,PROGRAMAS[],2,FALSE),0)</f>
        <v>764796700.79905891</v>
      </c>
      <c r="X1432" s="246">
        <f>IFERROR(VLOOKUP(J1432,PROGRAMAS[],2,FALSE),0)</f>
        <v>122159672.96346797</v>
      </c>
      <c r="Y1432" s="246">
        <f>IFERROR(VLOOKUP(K1432,PROGRAMAS[],2,FALSE),0)</f>
        <v>7068496961.0436354</v>
      </c>
      <c r="Z1432" s="246">
        <f>IFERROR(VLOOKUP(L1432,PROGRAMAS[],2,FALSE),0)</f>
        <v>1892779498.5211046</v>
      </c>
      <c r="AA1432" s="246">
        <f>IFERROR(VLOOKUP(M1432,PROGRAMAS[],2,FALSE),0)</f>
        <v>0</v>
      </c>
      <c r="AB1432" s="246">
        <f>IFERROR(VLOOKUP(N1432,PROGRAMAS[],2,FALSE),0)</f>
        <v>0</v>
      </c>
      <c r="AC1432" s="246">
        <f>IFERROR(VLOOKUP(O1432,PROGRAMAS[],2,FALSE),0)</f>
        <v>0</v>
      </c>
      <c r="AD1432" s="246">
        <f>IFERROR(VLOOKUP(P1432,PROGRAMAS[],2,FALSE),0)</f>
        <v>0</v>
      </c>
      <c r="AE1432" s="246">
        <f>IFERROR(VLOOKUP(Q1432,PROGRAMAS[],2,FALSE),0)</f>
        <v>0</v>
      </c>
      <c r="AF1432" s="246">
        <f>IFERROR(VLOOKUP(D1432,PROGRAMAS[],3,FALSE),0)</f>
        <v>841888629.31080008</v>
      </c>
      <c r="AG1432" s="246">
        <f>IFERROR(VLOOKUP(E1432,PROGRAMAS[],3,FALSE),0)</f>
        <v>3848980803.1642323</v>
      </c>
      <c r="AH1432" s="246">
        <f>IFERROR(VLOOKUP(F1432,PROGRAMAS[],3,FALSE),0)</f>
        <v>3394901471.387517</v>
      </c>
      <c r="AI1432" s="246">
        <f>IFERROR(VLOOKUP(G1432,PROGRAMAS[],3,FALSE),0)</f>
        <v>6129902208.7912121</v>
      </c>
      <c r="AJ1432" s="246">
        <f>IFERROR(VLOOKUP(H1432,PROGRAMAS[],3,FALSE),0)</f>
        <v>7011279577.519702</v>
      </c>
      <c r="AK1432" s="246">
        <f>IFERROR(VLOOKUP(I1432,PROGRAMAS[],3,FALSE),0)</f>
        <v>675517840.109828</v>
      </c>
      <c r="AL1432" s="246">
        <f>IFERROR(VLOOKUP(J1432,PROGRAMAS[],3,FALSE),0)</f>
        <v>118617452.52510804</v>
      </c>
      <c r="AM1432" s="246">
        <f>IFERROR(VLOOKUP(K1432,PROGRAMAS[],3,FALSE),0)</f>
        <v>2406564599.0319901</v>
      </c>
      <c r="AN1432" s="246">
        <f>IFERROR(VLOOKUP(L1432,PROGRAMAS[],3,FALSE),0)</f>
        <v>948595847.09039903</v>
      </c>
      <c r="AO1432" s="246">
        <f>IFERROR(VLOOKUP(M1432,PROGRAMAS[],3,FALSE),0)</f>
        <v>0</v>
      </c>
      <c r="AP1432" s="246">
        <f>IFERROR(VLOOKUP(N1432,PROGRAMAS[],3,FALSE),0)</f>
        <v>0</v>
      </c>
      <c r="AQ1432" s="246">
        <f>IFERROR(VLOOKUP(O1432,PROGRAMAS[],3,FALSE),0)</f>
        <v>0</v>
      </c>
      <c r="AR1432" s="246">
        <f>IFERROR(VLOOKUP(P1432,PROGRAMAS[],3,FALSE),0)</f>
        <v>0</v>
      </c>
      <c r="AS1432" s="246">
        <f>IFERROR(VLOOKUP(Q1432,PROGRAMAS[],3,FALSE),0)</f>
        <v>0</v>
      </c>
      <c r="AT1432" s="246">
        <f>IFERROR(VLOOKUP(D1432,VOL_REC[],2,FALSE),0)</f>
        <v>0</v>
      </c>
      <c r="AU1432" s="246">
        <f>IFERROR(VLOOKUP(E1432,VOL_REC[],2,FALSE),0)</f>
        <v>0</v>
      </c>
      <c r="AV1432" s="246">
        <f>IFERROR(VLOOKUP(F1432,VOL_REC[],2,FALSE),0)</f>
        <v>11089674.200000001</v>
      </c>
      <c r="AW1432" s="246">
        <f>IFERROR(VLOOKUP(G1432,VOL_REC[],2,FALSE),0)</f>
        <v>15540036.397699751</v>
      </c>
      <c r="AX1432" s="246">
        <f>IFERROR(VLOOKUP(H1432,VOL_REC[],2,FALSE),0)</f>
        <v>3761786</v>
      </c>
      <c r="AY1432" s="246">
        <f>IFERROR(VLOOKUP(I1432,VOL_REC[],2,FALSE),0)</f>
        <v>240696.79238099116</v>
      </c>
      <c r="AZ1432" s="246">
        <f>IFERROR(VLOOKUP(J1432,VOL_REC[],2,FALSE),0)</f>
        <v>105072</v>
      </c>
      <c r="BA1432" s="246">
        <f>IFERROR(VLOOKUP(K1432,VOL_REC[],2,FALSE),0)</f>
        <v>1072354.9981737854</v>
      </c>
      <c r="BB1432" s="246">
        <f>IFERROR(VLOOKUP(L1432,VOL_REC[],2,FALSE),0)</f>
        <v>740113.98115702497</v>
      </c>
      <c r="BC1432" s="246">
        <f>IFERROR(VLOOKUP(M1432,VOL_REC[],2,FALSE),0)</f>
        <v>0</v>
      </c>
      <c r="BD1432" s="246">
        <f>IFERROR(VLOOKUP(N1432,VOL_REC[],2,FALSE),0)</f>
        <v>0</v>
      </c>
      <c r="BE1432" s="246">
        <f>IFERROR(VLOOKUP(O1432,VOL_REC[],2,FALSE),0)</f>
        <v>0</v>
      </c>
      <c r="BF1432" s="246">
        <f>IFERROR(VLOOKUP(P1432,VOL_REC[],2,FALSE),0)</f>
        <v>0</v>
      </c>
      <c r="BG1432" s="246">
        <f>IFERROR(VLOOKUP(Q1432,VOL_REC[],2,FALSE),0)</f>
        <v>0</v>
      </c>
      <c r="BH1432" s="1710">
        <f t="shared" si="88"/>
        <v>26684328332.847885</v>
      </c>
      <c r="BI1432" s="1710">
        <f t="shared" si="89"/>
        <v>25376248428.930794</v>
      </c>
      <c r="BJ1432" s="1711">
        <f t="shared" si="90"/>
        <v>32549734.369411554</v>
      </c>
      <c r="BK1432" s="1711">
        <f t="shared" si="91"/>
        <v>1.0515474108625837</v>
      </c>
      <c r="BL1432">
        <f>BJ1432</f>
        <v>32549734.369411554</v>
      </c>
      <c r="BO1432">
        <f>BL1432</f>
        <v>32549734.369411554</v>
      </c>
    </row>
    <row r="1433" spans="3:67" x14ac:dyDescent="0.25">
      <c r="C1433" s="246" t="s">
        <v>2783</v>
      </c>
      <c r="D1433" s="246">
        <v>1</v>
      </c>
      <c r="E1433" s="246">
        <v>2</v>
      </c>
      <c r="F1433" s="246">
        <v>3</v>
      </c>
      <c r="G1433" s="246">
        <v>6</v>
      </c>
      <c r="H1433" s="246">
        <v>9</v>
      </c>
      <c r="I1433" s="246">
        <v>13</v>
      </c>
      <c r="J1433" s="246">
        <v>14</v>
      </c>
      <c r="K1433" s="246">
        <v>15</v>
      </c>
      <c r="L1433" s="246">
        <v>16</v>
      </c>
      <c r="M1433" s="246"/>
      <c r="N1433" s="246"/>
      <c r="O1433" s="246"/>
      <c r="P1433" s="246"/>
      <c r="Q1433" s="246"/>
      <c r="R1433" s="246">
        <f>IFERROR(VLOOKUP(D1433,PROGRAMAS[],2,FALSE),0)</f>
        <v>97037803.679377079</v>
      </c>
      <c r="S1433" s="246">
        <f>IFERROR(VLOOKUP(E1433,PROGRAMAS[],2,FALSE),0)</f>
        <v>640501509.6821388</v>
      </c>
      <c r="T1433" s="246">
        <f>IFERROR(VLOOKUP(F1433,PROGRAMAS[],2,FALSE),0)</f>
        <v>3062327798.1525245</v>
      </c>
      <c r="U1433" s="246">
        <f>IFERROR(VLOOKUP(G1433,PROGRAMAS[],2,FALSE),0)</f>
        <v>6907648435.8447599</v>
      </c>
      <c r="V1433" s="246">
        <f>IFERROR(VLOOKUP(H1433,PROGRAMAS[],2,FALSE),0)</f>
        <v>6128579952.1618185</v>
      </c>
      <c r="W1433" s="246">
        <f>IFERROR(VLOOKUP(I1433,PROGRAMAS[],2,FALSE),0)</f>
        <v>3776538594.4604583</v>
      </c>
      <c r="X1433" s="246">
        <f>IFERROR(VLOOKUP(J1433,PROGRAMAS[],2,FALSE),0)</f>
        <v>54223862.645839565</v>
      </c>
      <c r="Y1433" s="246">
        <f>IFERROR(VLOOKUP(K1433,PROGRAMAS[],2,FALSE),0)</f>
        <v>122159672.96346797</v>
      </c>
      <c r="Z1433" s="246">
        <f>IFERROR(VLOOKUP(L1433,PROGRAMAS[],2,FALSE),0)</f>
        <v>7068496961.0436354</v>
      </c>
      <c r="AA1433" s="246">
        <f>IFERROR(VLOOKUP(M1433,PROGRAMAS[],2,FALSE),0)</f>
        <v>0</v>
      </c>
      <c r="AB1433" s="246">
        <f>IFERROR(VLOOKUP(N1433,PROGRAMAS[],2,FALSE),0)</f>
        <v>0</v>
      </c>
      <c r="AC1433" s="246">
        <f>IFERROR(VLOOKUP(O1433,PROGRAMAS[],2,FALSE),0)</f>
        <v>0</v>
      </c>
      <c r="AD1433" s="246">
        <f>IFERROR(VLOOKUP(P1433,PROGRAMAS[],2,FALSE),0)</f>
        <v>0</v>
      </c>
      <c r="AE1433" s="246">
        <f>IFERROR(VLOOKUP(Q1433,PROGRAMAS[],2,FALSE),0)</f>
        <v>0</v>
      </c>
      <c r="AF1433" s="246">
        <f>IFERROR(VLOOKUP(D1433,PROGRAMAS[],3,FALSE),0)</f>
        <v>841888629.31080008</v>
      </c>
      <c r="AG1433" s="246">
        <f>IFERROR(VLOOKUP(E1433,PROGRAMAS[],3,FALSE),0)</f>
        <v>3848980803.1642323</v>
      </c>
      <c r="AH1433" s="246">
        <f>IFERROR(VLOOKUP(F1433,PROGRAMAS[],3,FALSE),0)</f>
        <v>3394901471.387517</v>
      </c>
      <c r="AI1433" s="246">
        <f>IFERROR(VLOOKUP(G1433,PROGRAMAS[],3,FALSE),0)</f>
        <v>6129902208.7912121</v>
      </c>
      <c r="AJ1433" s="246">
        <f>IFERROR(VLOOKUP(H1433,PROGRAMAS[],3,FALSE),0)</f>
        <v>7011279577.519702</v>
      </c>
      <c r="AK1433" s="246">
        <f>IFERROR(VLOOKUP(I1433,PROGRAMAS[],3,FALSE),0)</f>
        <v>2392571243.5584412</v>
      </c>
      <c r="AL1433" s="246">
        <f>IFERROR(VLOOKUP(J1433,PROGRAMAS[],3,FALSE),0)</f>
        <v>31865326.38096505</v>
      </c>
      <c r="AM1433" s="246">
        <f>IFERROR(VLOOKUP(K1433,PROGRAMAS[],3,FALSE),0)</f>
        <v>118617452.52510804</v>
      </c>
      <c r="AN1433" s="246">
        <f>IFERROR(VLOOKUP(L1433,PROGRAMAS[],3,FALSE),0)</f>
        <v>2406564599.0319901</v>
      </c>
      <c r="AO1433" s="246">
        <f>IFERROR(VLOOKUP(M1433,PROGRAMAS[],3,FALSE),0)</f>
        <v>0</v>
      </c>
      <c r="AP1433" s="246">
        <f>IFERROR(VLOOKUP(N1433,PROGRAMAS[],3,FALSE),0)</f>
        <v>0</v>
      </c>
      <c r="AQ1433" s="246">
        <f>IFERROR(VLOOKUP(O1433,PROGRAMAS[],3,FALSE),0)</f>
        <v>0</v>
      </c>
      <c r="AR1433" s="246">
        <f>IFERROR(VLOOKUP(P1433,PROGRAMAS[],3,FALSE),0)</f>
        <v>0</v>
      </c>
      <c r="AS1433" s="246">
        <f>IFERROR(VLOOKUP(Q1433,PROGRAMAS[],3,FALSE),0)</f>
        <v>0</v>
      </c>
      <c r="AT1433" s="246">
        <f>IFERROR(VLOOKUP(D1433,VOL_REC[],2,FALSE),0)</f>
        <v>0</v>
      </c>
      <c r="AU1433" s="246">
        <f>IFERROR(VLOOKUP(E1433,VOL_REC[],2,FALSE),0)</f>
        <v>0</v>
      </c>
      <c r="AV1433" s="246">
        <f>IFERROR(VLOOKUP(F1433,VOL_REC[],2,FALSE),0)</f>
        <v>11089674.200000001</v>
      </c>
      <c r="AW1433" s="246">
        <f>IFERROR(VLOOKUP(G1433,VOL_REC[],2,FALSE),0)</f>
        <v>15540036.397699751</v>
      </c>
      <c r="AX1433" s="246">
        <f>IFERROR(VLOOKUP(H1433,VOL_REC[],2,FALSE),0)</f>
        <v>3761786</v>
      </c>
      <c r="AY1433" s="246">
        <f>IFERROR(VLOOKUP(I1433,VOL_REC[],2,FALSE),0)</f>
        <v>663244.80000000016</v>
      </c>
      <c r="AZ1433" s="246">
        <f>IFERROR(VLOOKUP(J1433,VOL_REC[],2,FALSE),0)</f>
        <v>17074.045034105649</v>
      </c>
      <c r="BA1433" s="246">
        <f>IFERROR(VLOOKUP(K1433,VOL_REC[],2,FALSE),0)</f>
        <v>105072</v>
      </c>
      <c r="BB1433" s="246">
        <f>IFERROR(VLOOKUP(L1433,VOL_REC[],2,FALSE),0)</f>
        <v>1072354.9981737854</v>
      </c>
      <c r="BC1433" s="246">
        <f>IFERROR(VLOOKUP(M1433,VOL_REC[],2,FALSE),0)</f>
        <v>0</v>
      </c>
      <c r="BD1433" s="246">
        <f>IFERROR(VLOOKUP(N1433,VOL_REC[],2,FALSE),0)</f>
        <v>0</v>
      </c>
      <c r="BE1433" s="246">
        <f>IFERROR(VLOOKUP(O1433,VOL_REC[],2,FALSE),0)</f>
        <v>0</v>
      </c>
      <c r="BF1433" s="246">
        <f>IFERROR(VLOOKUP(P1433,VOL_REC[],2,FALSE),0)</f>
        <v>0</v>
      </c>
      <c r="BG1433" s="246">
        <f>IFERROR(VLOOKUP(Q1433,VOL_REC[],2,FALSE),0)</f>
        <v>0</v>
      </c>
      <c r="BH1433" s="1710">
        <f t="shared" si="88"/>
        <v>27857514590.634018</v>
      </c>
      <c r="BI1433" s="1710">
        <f t="shared" si="89"/>
        <v>26176571311.669971</v>
      </c>
      <c r="BJ1433" s="1711">
        <f t="shared" si="90"/>
        <v>32249242.440907646</v>
      </c>
      <c r="BK1433" s="1711">
        <f t="shared" si="91"/>
        <v>1.0642155635644555</v>
      </c>
      <c r="BL1433">
        <f>BJ1433</f>
        <v>32249242.440907646</v>
      </c>
      <c r="BO1433">
        <f>BL1433</f>
        <v>32249242.440907646</v>
      </c>
    </row>
    <row r="1434" spans="3:67" x14ac:dyDescent="0.25">
      <c r="C1434" s="246" t="s">
        <v>2784</v>
      </c>
      <c r="D1434" s="246">
        <v>1</v>
      </c>
      <c r="E1434" s="246">
        <v>2</v>
      </c>
      <c r="F1434" s="246">
        <v>3</v>
      </c>
      <c r="G1434" s="246">
        <v>6</v>
      </c>
      <c r="H1434" s="246">
        <v>9</v>
      </c>
      <c r="I1434" s="246">
        <v>13</v>
      </c>
      <c r="J1434" s="246">
        <v>14</v>
      </c>
      <c r="K1434" s="246">
        <v>15</v>
      </c>
      <c r="L1434" s="246">
        <v>17</v>
      </c>
      <c r="M1434" s="246"/>
      <c r="N1434" s="246"/>
      <c r="O1434" s="246"/>
      <c r="P1434" s="246"/>
      <c r="Q1434" s="246"/>
      <c r="R1434" s="246">
        <f>IFERROR(VLOOKUP(D1434,PROGRAMAS[],2,FALSE),0)</f>
        <v>97037803.679377079</v>
      </c>
      <c r="S1434" s="246">
        <f>IFERROR(VLOOKUP(E1434,PROGRAMAS[],2,FALSE),0)</f>
        <v>640501509.6821388</v>
      </c>
      <c r="T1434" s="246">
        <f>IFERROR(VLOOKUP(F1434,PROGRAMAS[],2,FALSE),0)</f>
        <v>3062327798.1525245</v>
      </c>
      <c r="U1434" s="246">
        <f>IFERROR(VLOOKUP(G1434,PROGRAMAS[],2,FALSE),0)</f>
        <v>6907648435.8447599</v>
      </c>
      <c r="V1434" s="246">
        <f>IFERROR(VLOOKUP(H1434,PROGRAMAS[],2,FALSE),0)</f>
        <v>6128579952.1618185</v>
      </c>
      <c r="W1434" s="246">
        <f>IFERROR(VLOOKUP(I1434,PROGRAMAS[],2,FALSE),0)</f>
        <v>3776538594.4604583</v>
      </c>
      <c r="X1434" s="246">
        <f>IFERROR(VLOOKUP(J1434,PROGRAMAS[],2,FALSE),0)</f>
        <v>54223862.645839565</v>
      </c>
      <c r="Y1434" s="246">
        <f>IFERROR(VLOOKUP(K1434,PROGRAMAS[],2,FALSE),0)</f>
        <v>122159672.96346797</v>
      </c>
      <c r="Z1434" s="246">
        <f>IFERROR(VLOOKUP(L1434,PROGRAMAS[],2,FALSE),0)</f>
        <v>1892779498.5211046</v>
      </c>
      <c r="AA1434" s="246">
        <f>IFERROR(VLOOKUP(M1434,PROGRAMAS[],2,FALSE),0)</f>
        <v>0</v>
      </c>
      <c r="AB1434" s="246">
        <f>IFERROR(VLOOKUP(N1434,PROGRAMAS[],2,FALSE),0)</f>
        <v>0</v>
      </c>
      <c r="AC1434" s="246">
        <f>IFERROR(VLOOKUP(O1434,PROGRAMAS[],2,FALSE),0)</f>
        <v>0</v>
      </c>
      <c r="AD1434" s="246">
        <f>IFERROR(VLOOKUP(P1434,PROGRAMAS[],2,FALSE),0)</f>
        <v>0</v>
      </c>
      <c r="AE1434" s="246">
        <f>IFERROR(VLOOKUP(Q1434,PROGRAMAS[],2,FALSE),0)</f>
        <v>0</v>
      </c>
      <c r="AF1434" s="246">
        <f>IFERROR(VLOOKUP(D1434,PROGRAMAS[],3,FALSE),0)</f>
        <v>841888629.31080008</v>
      </c>
      <c r="AG1434" s="246">
        <f>IFERROR(VLOOKUP(E1434,PROGRAMAS[],3,FALSE),0)</f>
        <v>3848980803.1642323</v>
      </c>
      <c r="AH1434" s="246">
        <f>IFERROR(VLOOKUP(F1434,PROGRAMAS[],3,FALSE),0)</f>
        <v>3394901471.387517</v>
      </c>
      <c r="AI1434" s="246">
        <f>IFERROR(VLOOKUP(G1434,PROGRAMAS[],3,FALSE),0)</f>
        <v>6129902208.7912121</v>
      </c>
      <c r="AJ1434" s="246">
        <f>IFERROR(VLOOKUP(H1434,PROGRAMAS[],3,FALSE),0)</f>
        <v>7011279577.519702</v>
      </c>
      <c r="AK1434" s="246">
        <f>IFERROR(VLOOKUP(I1434,PROGRAMAS[],3,FALSE),0)</f>
        <v>2392571243.5584412</v>
      </c>
      <c r="AL1434" s="246">
        <f>IFERROR(VLOOKUP(J1434,PROGRAMAS[],3,FALSE),0)</f>
        <v>31865326.38096505</v>
      </c>
      <c r="AM1434" s="246">
        <f>IFERROR(VLOOKUP(K1434,PROGRAMAS[],3,FALSE),0)</f>
        <v>118617452.52510804</v>
      </c>
      <c r="AN1434" s="246">
        <f>IFERROR(VLOOKUP(L1434,PROGRAMAS[],3,FALSE),0)</f>
        <v>948595847.09039903</v>
      </c>
      <c r="AO1434" s="246">
        <f>IFERROR(VLOOKUP(M1434,PROGRAMAS[],3,FALSE),0)</f>
        <v>0</v>
      </c>
      <c r="AP1434" s="246">
        <f>IFERROR(VLOOKUP(N1434,PROGRAMAS[],3,FALSE),0)</f>
        <v>0</v>
      </c>
      <c r="AQ1434" s="246">
        <f>IFERROR(VLOOKUP(O1434,PROGRAMAS[],3,FALSE),0)</f>
        <v>0</v>
      </c>
      <c r="AR1434" s="246">
        <f>IFERROR(VLOOKUP(P1434,PROGRAMAS[],3,FALSE),0)</f>
        <v>0</v>
      </c>
      <c r="AS1434" s="246">
        <f>IFERROR(VLOOKUP(Q1434,PROGRAMAS[],3,FALSE),0)</f>
        <v>0</v>
      </c>
      <c r="AT1434" s="246">
        <f>IFERROR(VLOOKUP(D1434,VOL_REC[],2,FALSE),0)</f>
        <v>0</v>
      </c>
      <c r="AU1434" s="246">
        <f>IFERROR(VLOOKUP(E1434,VOL_REC[],2,FALSE),0)</f>
        <v>0</v>
      </c>
      <c r="AV1434" s="246">
        <f>IFERROR(VLOOKUP(F1434,VOL_REC[],2,FALSE),0)</f>
        <v>11089674.200000001</v>
      </c>
      <c r="AW1434" s="246">
        <f>IFERROR(VLOOKUP(G1434,VOL_REC[],2,FALSE),0)</f>
        <v>15540036.397699751</v>
      </c>
      <c r="AX1434" s="246">
        <f>IFERROR(VLOOKUP(H1434,VOL_REC[],2,FALSE),0)</f>
        <v>3761786</v>
      </c>
      <c r="AY1434" s="246">
        <f>IFERROR(VLOOKUP(I1434,VOL_REC[],2,FALSE),0)</f>
        <v>663244.80000000016</v>
      </c>
      <c r="AZ1434" s="246">
        <f>IFERROR(VLOOKUP(J1434,VOL_REC[],2,FALSE),0)</f>
        <v>17074.045034105649</v>
      </c>
      <c r="BA1434" s="246">
        <f>IFERROR(VLOOKUP(K1434,VOL_REC[],2,FALSE),0)</f>
        <v>105072</v>
      </c>
      <c r="BB1434" s="246">
        <f>IFERROR(VLOOKUP(L1434,VOL_REC[],2,FALSE),0)</f>
        <v>740113.98115702497</v>
      </c>
      <c r="BC1434" s="246">
        <f>IFERROR(VLOOKUP(M1434,VOL_REC[],2,FALSE),0)</f>
        <v>0</v>
      </c>
      <c r="BD1434" s="246">
        <f>IFERROR(VLOOKUP(N1434,VOL_REC[],2,FALSE),0)</f>
        <v>0</v>
      </c>
      <c r="BE1434" s="246">
        <f>IFERROR(VLOOKUP(O1434,VOL_REC[],2,FALSE),0)</f>
        <v>0</v>
      </c>
      <c r="BF1434" s="246">
        <f>IFERROR(VLOOKUP(P1434,VOL_REC[],2,FALSE),0)</f>
        <v>0</v>
      </c>
      <c r="BG1434" s="246">
        <f>IFERROR(VLOOKUP(Q1434,VOL_REC[],2,FALSE),0)</f>
        <v>0</v>
      </c>
      <c r="BH1434" s="1710">
        <f t="shared" si="88"/>
        <v>22681797128.111485</v>
      </c>
      <c r="BI1434" s="1710">
        <f t="shared" si="89"/>
        <v>24718602559.728382</v>
      </c>
      <c r="BJ1434" s="1711">
        <f t="shared" si="90"/>
        <v>31917001.423890885</v>
      </c>
      <c r="BK1434" s="1711">
        <f t="shared" si="91"/>
        <v>0.91760030015065386</v>
      </c>
    </row>
    <row r="1435" spans="3:67" x14ac:dyDescent="0.25">
      <c r="C1435" s="246" t="s">
        <v>2785</v>
      </c>
      <c r="D1435" s="246">
        <v>1</v>
      </c>
      <c r="E1435" s="246">
        <v>2</v>
      </c>
      <c r="F1435" s="246">
        <v>3</v>
      </c>
      <c r="G1435" s="246">
        <v>6</v>
      </c>
      <c r="H1435" s="246">
        <v>9</v>
      </c>
      <c r="I1435" s="246">
        <v>13</v>
      </c>
      <c r="J1435" s="246">
        <v>14</v>
      </c>
      <c r="K1435" s="246">
        <v>16</v>
      </c>
      <c r="L1435" s="246">
        <v>17</v>
      </c>
      <c r="M1435" s="246"/>
      <c r="N1435" s="246"/>
      <c r="O1435" s="246"/>
      <c r="P1435" s="246"/>
      <c r="Q1435" s="246"/>
      <c r="R1435" s="246">
        <f>IFERROR(VLOOKUP(D1435,PROGRAMAS[],2,FALSE),0)</f>
        <v>97037803.679377079</v>
      </c>
      <c r="S1435" s="246">
        <f>IFERROR(VLOOKUP(E1435,PROGRAMAS[],2,FALSE),0)</f>
        <v>640501509.6821388</v>
      </c>
      <c r="T1435" s="246">
        <f>IFERROR(VLOOKUP(F1435,PROGRAMAS[],2,FALSE),0)</f>
        <v>3062327798.1525245</v>
      </c>
      <c r="U1435" s="246">
        <f>IFERROR(VLOOKUP(G1435,PROGRAMAS[],2,FALSE),0)</f>
        <v>6907648435.8447599</v>
      </c>
      <c r="V1435" s="246">
        <f>IFERROR(VLOOKUP(H1435,PROGRAMAS[],2,FALSE),0)</f>
        <v>6128579952.1618185</v>
      </c>
      <c r="W1435" s="246">
        <f>IFERROR(VLOOKUP(I1435,PROGRAMAS[],2,FALSE),0)</f>
        <v>3776538594.4604583</v>
      </c>
      <c r="X1435" s="246">
        <f>IFERROR(VLOOKUP(J1435,PROGRAMAS[],2,FALSE),0)</f>
        <v>54223862.645839565</v>
      </c>
      <c r="Y1435" s="246">
        <f>IFERROR(VLOOKUP(K1435,PROGRAMAS[],2,FALSE),0)</f>
        <v>7068496961.0436354</v>
      </c>
      <c r="Z1435" s="246">
        <f>IFERROR(VLOOKUP(L1435,PROGRAMAS[],2,FALSE),0)</f>
        <v>1892779498.5211046</v>
      </c>
      <c r="AA1435" s="246">
        <f>IFERROR(VLOOKUP(M1435,PROGRAMAS[],2,FALSE),0)</f>
        <v>0</v>
      </c>
      <c r="AB1435" s="246">
        <f>IFERROR(VLOOKUP(N1435,PROGRAMAS[],2,FALSE),0)</f>
        <v>0</v>
      </c>
      <c r="AC1435" s="246">
        <f>IFERROR(VLOOKUP(O1435,PROGRAMAS[],2,FALSE),0)</f>
        <v>0</v>
      </c>
      <c r="AD1435" s="246">
        <f>IFERROR(VLOOKUP(P1435,PROGRAMAS[],2,FALSE),0)</f>
        <v>0</v>
      </c>
      <c r="AE1435" s="246">
        <f>IFERROR(VLOOKUP(Q1435,PROGRAMAS[],2,FALSE),0)</f>
        <v>0</v>
      </c>
      <c r="AF1435" s="246">
        <f>IFERROR(VLOOKUP(D1435,PROGRAMAS[],3,FALSE),0)</f>
        <v>841888629.31080008</v>
      </c>
      <c r="AG1435" s="246">
        <f>IFERROR(VLOOKUP(E1435,PROGRAMAS[],3,FALSE),0)</f>
        <v>3848980803.1642323</v>
      </c>
      <c r="AH1435" s="246">
        <f>IFERROR(VLOOKUP(F1435,PROGRAMAS[],3,FALSE),0)</f>
        <v>3394901471.387517</v>
      </c>
      <c r="AI1435" s="246">
        <f>IFERROR(VLOOKUP(G1435,PROGRAMAS[],3,FALSE),0)</f>
        <v>6129902208.7912121</v>
      </c>
      <c r="AJ1435" s="246">
        <f>IFERROR(VLOOKUP(H1435,PROGRAMAS[],3,FALSE),0)</f>
        <v>7011279577.519702</v>
      </c>
      <c r="AK1435" s="246">
        <f>IFERROR(VLOOKUP(I1435,PROGRAMAS[],3,FALSE),0)</f>
        <v>2392571243.5584412</v>
      </c>
      <c r="AL1435" s="246">
        <f>IFERROR(VLOOKUP(J1435,PROGRAMAS[],3,FALSE),0)</f>
        <v>31865326.38096505</v>
      </c>
      <c r="AM1435" s="246">
        <f>IFERROR(VLOOKUP(K1435,PROGRAMAS[],3,FALSE),0)</f>
        <v>2406564599.0319901</v>
      </c>
      <c r="AN1435" s="246">
        <f>IFERROR(VLOOKUP(L1435,PROGRAMAS[],3,FALSE),0)</f>
        <v>948595847.09039903</v>
      </c>
      <c r="AO1435" s="246">
        <f>IFERROR(VLOOKUP(M1435,PROGRAMAS[],3,FALSE),0)</f>
        <v>0</v>
      </c>
      <c r="AP1435" s="246">
        <f>IFERROR(VLOOKUP(N1435,PROGRAMAS[],3,FALSE),0)</f>
        <v>0</v>
      </c>
      <c r="AQ1435" s="246">
        <f>IFERROR(VLOOKUP(O1435,PROGRAMAS[],3,FALSE),0)</f>
        <v>0</v>
      </c>
      <c r="AR1435" s="246">
        <f>IFERROR(VLOOKUP(P1435,PROGRAMAS[],3,FALSE),0)</f>
        <v>0</v>
      </c>
      <c r="AS1435" s="246">
        <f>IFERROR(VLOOKUP(Q1435,PROGRAMAS[],3,FALSE),0)</f>
        <v>0</v>
      </c>
      <c r="AT1435" s="246">
        <f>IFERROR(VLOOKUP(D1435,VOL_REC[],2,FALSE),0)</f>
        <v>0</v>
      </c>
      <c r="AU1435" s="246">
        <f>IFERROR(VLOOKUP(E1435,VOL_REC[],2,FALSE),0)</f>
        <v>0</v>
      </c>
      <c r="AV1435" s="246">
        <f>IFERROR(VLOOKUP(F1435,VOL_REC[],2,FALSE),0)</f>
        <v>11089674.200000001</v>
      </c>
      <c r="AW1435" s="246">
        <f>IFERROR(VLOOKUP(G1435,VOL_REC[],2,FALSE),0)</f>
        <v>15540036.397699751</v>
      </c>
      <c r="AX1435" s="246">
        <f>IFERROR(VLOOKUP(H1435,VOL_REC[],2,FALSE),0)</f>
        <v>3761786</v>
      </c>
      <c r="AY1435" s="246">
        <f>IFERROR(VLOOKUP(I1435,VOL_REC[],2,FALSE),0)</f>
        <v>663244.80000000016</v>
      </c>
      <c r="AZ1435" s="246">
        <f>IFERROR(VLOOKUP(J1435,VOL_REC[],2,FALSE),0)</f>
        <v>17074.045034105649</v>
      </c>
      <c r="BA1435" s="246">
        <f>IFERROR(VLOOKUP(K1435,VOL_REC[],2,FALSE),0)</f>
        <v>1072354.9981737854</v>
      </c>
      <c r="BB1435" s="246">
        <f>IFERROR(VLOOKUP(L1435,VOL_REC[],2,FALSE),0)</f>
        <v>740113.98115702497</v>
      </c>
      <c r="BC1435" s="246">
        <f>IFERROR(VLOOKUP(M1435,VOL_REC[],2,FALSE),0)</f>
        <v>0</v>
      </c>
      <c r="BD1435" s="246">
        <f>IFERROR(VLOOKUP(N1435,VOL_REC[],2,FALSE),0)</f>
        <v>0</v>
      </c>
      <c r="BE1435" s="246">
        <f>IFERROR(VLOOKUP(O1435,VOL_REC[],2,FALSE),0)</f>
        <v>0</v>
      </c>
      <c r="BF1435" s="246">
        <f>IFERROR(VLOOKUP(P1435,VOL_REC[],2,FALSE),0)</f>
        <v>0</v>
      </c>
      <c r="BG1435" s="246">
        <f>IFERROR(VLOOKUP(Q1435,VOL_REC[],2,FALSE),0)</f>
        <v>0</v>
      </c>
      <c r="BH1435" s="1710">
        <f t="shared" si="88"/>
        <v>29628134416.191654</v>
      </c>
      <c r="BI1435" s="1710">
        <f t="shared" si="89"/>
        <v>27006549706.235264</v>
      </c>
      <c r="BJ1435" s="1711">
        <f t="shared" si="90"/>
        <v>32884284.422064669</v>
      </c>
      <c r="BK1435" s="1711">
        <f t="shared" si="91"/>
        <v>1.097072182062232</v>
      </c>
      <c r="BL1435">
        <f>BJ1435</f>
        <v>32884284.422064669</v>
      </c>
      <c r="BO1435">
        <f>BL1435</f>
        <v>32884284.422064669</v>
      </c>
    </row>
    <row r="1436" spans="3:67" x14ac:dyDescent="0.25">
      <c r="C1436" s="246" t="s">
        <v>2786</v>
      </c>
      <c r="D1436" s="246">
        <v>1</v>
      </c>
      <c r="E1436" s="246">
        <v>2</v>
      </c>
      <c r="F1436" s="246">
        <v>3</v>
      </c>
      <c r="G1436" s="246">
        <v>6</v>
      </c>
      <c r="H1436" s="246">
        <v>9</v>
      </c>
      <c r="I1436" s="246">
        <v>13</v>
      </c>
      <c r="J1436" s="246">
        <v>15</v>
      </c>
      <c r="K1436" s="246">
        <v>16</v>
      </c>
      <c r="L1436" s="246">
        <v>17</v>
      </c>
      <c r="M1436" s="246"/>
      <c r="N1436" s="246"/>
      <c r="O1436" s="246"/>
      <c r="P1436" s="246"/>
      <c r="Q1436" s="246"/>
      <c r="R1436" s="246">
        <f>IFERROR(VLOOKUP(D1436,PROGRAMAS[],2,FALSE),0)</f>
        <v>97037803.679377079</v>
      </c>
      <c r="S1436" s="246">
        <f>IFERROR(VLOOKUP(E1436,PROGRAMAS[],2,FALSE),0)</f>
        <v>640501509.6821388</v>
      </c>
      <c r="T1436" s="246">
        <f>IFERROR(VLOOKUP(F1436,PROGRAMAS[],2,FALSE),0)</f>
        <v>3062327798.1525245</v>
      </c>
      <c r="U1436" s="246">
        <f>IFERROR(VLOOKUP(G1436,PROGRAMAS[],2,FALSE),0)</f>
        <v>6907648435.8447599</v>
      </c>
      <c r="V1436" s="246">
        <f>IFERROR(VLOOKUP(H1436,PROGRAMAS[],2,FALSE),0)</f>
        <v>6128579952.1618185</v>
      </c>
      <c r="W1436" s="246">
        <f>IFERROR(VLOOKUP(I1436,PROGRAMAS[],2,FALSE),0)</f>
        <v>3776538594.4604583</v>
      </c>
      <c r="X1436" s="246">
        <f>IFERROR(VLOOKUP(J1436,PROGRAMAS[],2,FALSE),0)</f>
        <v>122159672.96346797</v>
      </c>
      <c r="Y1436" s="246">
        <f>IFERROR(VLOOKUP(K1436,PROGRAMAS[],2,FALSE),0)</f>
        <v>7068496961.0436354</v>
      </c>
      <c r="Z1436" s="246">
        <f>IFERROR(VLOOKUP(L1436,PROGRAMAS[],2,FALSE),0)</f>
        <v>1892779498.5211046</v>
      </c>
      <c r="AA1436" s="246">
        <f>IFERROR(VLOOKUP(M1436,PROGRAMAS[],2,FALSE),0)</f>
        <v>0</v>
      </c>
      <c r="AB1436" s="246">
        <f>IFERROR(VLOOKUP(N1436,PROGRAMAS[],2,FALSE),0)</f>
        <v>0</v>
      </c>
      <c r="AC1436" s="246">
        <f>IFERROR(VLOOKUP(O1436,PROGRAMAS[],2,FALSE),0)</f>
        <v>0</v>
      </c>
      <c r="AD1436" s="246">
        <f>IFERROR(VLOOKUP(P1436,PROGRAMAS[],2,FALSE),0)</f>
        <v>0</v>
      </c>
      <c r="AE1436" s="246">
        <f>IFERROR(VLOOKUP(Q1436,PROGRAMAS[],2,FALSE),0)</f>
        <v>0</v>
      </c>
      <c r="AF1436" s="246">
        <f>IFERROR(VLOOKUP(D1436,PROGRAMAS[],3,FALSE),0)</f>
        <v>841888629.31080008</v>
      </c>
      <c r="AG1436" s="246">
        <f>IFERROR(VLOOKUP(E1436,PROGRAMAS[],3,FALSE),0)</f>
        <v>3848980803.1642323</v>
      </c>
      <c r="AH1436" s="246">
        <f>IFERROR(VLOOKUP(F1436,PROGRAMAS[],3,FALSE),0)</f>
        <v>3394901471.387517</v>
      </c>
      <c r="AI1436" s="246">
        <f>IFERROR(VLOOKUP(G1436,PROGRAMAS[],3,FALSE),0)</f>
        <v>6129902208.7912121</v>
      </c>
      <c r="AJ1436" s="246">
        <f>IFERROR(VLOOKUP(H1436,PROGRAMAS[],3,FALSE),0)</f>
        <v>7011279577.519702</v>
      </c>
      <c r="AK1436" s="246">
        <f>IFERROR(VLOOKUP(I1436,PROGRAMAS[],3,FALSE),0)</f>
        <v>2392571243.5584412</v>
      </c>
      <c r="AL1436" s="246">
        <f>IFERROR(VLOOKUP(J1436,PROGRAMAS[],3,FALSE),0)</f>
        <v>118617452.52510804</v>
      </c>
      <c r="AM1436" s="246">
        <f>IFERROR(VLOOKUP(K1436,PROGRAMAS[],3,FALSE),0)</f>
        <v>2406564599.0319901</v>
      </c>
      <c r="AN1436" s="246">
        <f>IFERROR(VLOOKUP(L1436,PROGRAMAS[],3,FALSE),0)</f>
        <v>948595847.09039903</v>
      </c>
      <c r="AO1436" s="246">
        <f>IFERROR(VLOOKUP(M1436,PROGRAMAS[],3,FALSE),0)</f>
        <v>0</v>
      </c>
      <c r="AP1436" s="246">
        <f>IFERROR(VLOOKUP(N1436,PROGRAMAS[],3,FALSE),0)</f>
        <v>0</v>
      </c>
      <c r="AQ1436" s="246">
        <f>IFERROR(VLOOKUP(O1436,PROGRAMAS[],3,FALSE),0)</f>
        <v>0</v>
      </c>
      <c r="AR1436" s="246">
        <f>IFERROR(VLOOKUP(P1436,PROGRAMAS[],3,FALSE),0)</f>
        <v>0</v>
      </c>
      <c r="AS1436" s="246">
        <f>IFERROR(VLOOKUP(Q1436,PROGRAMAS[],3,FALSE),0)</f>
        <v>0</v>
      </c>
      <c r="AT1436" s="246">
        <f>IFERROR(VLOOKUP(D1436,VOL_REC[],2,FALSE),0)</f>
        <v>0</v>
      </c>
      <c r="AU1436" s="246">
        <f>IFERROR(VLOOKUP(E1436,VOL_REC[],2,FALSE),0)</f>
        <v>0</v>
      </c>
      <c r="AV1436" s="246">
        <f>IFERROR(VLOOKUP(F1436,VOL_REC[],2,FALSE),0)</f>
        <v>11089674.200000001</v>
      </c>
      <c r="AW1436" s="246">
        <f>IFERROR(VLOOKUP(G1436,VOL_REC[],2,FALSE),0)</f>
        <v>15540036.397699751</v>
      </c>
      <c r="AX1436" s="246">
        <f>IFERROR(VLOOKUP(H1436,VOL_REC[],2,FALSE),0)</f>
        <v>3761786</v>
      </c>
      <c r="AY1436" s="246">
        <f>IFERROR(VLOOKUP(I1436,VOL_REC[],2,FALSE),0)</f>
        <v>663244.80000000016</v>
      </c>
      <c r="AZ1436" s="246">
        <f>IFERROR(VLOOKUP(J1436,VOL_REC[],2,FALSE),0)</f>
        <v>105072</v>
      </c>
      <c r="BA1436" s="246">
        <f>IFERROR(VLOOKUP(K1436,VOL_REC[],2,FALSE),0)</f>
        <v>1072354.9981737854</v>
      </c>
      <c r="BB1436" s="246">
        <f>IFERROR(VLOOKUP(L1436,VOL_REC[],2,FALSE),0)</f>
        <v>740113.98115702497</v>
      </c>
      <c r="BC1436" s="246">
        <f>IFERROR(VLOOKUP(M1436,VOL_REC[],2,FALSE),0)</f>
        <v>0</v>
      </c>
      <c r="BD1436" s="246">
        <f>IFERROR(VLOOKUP(N1436,VOL_REC[],2,FALSE),0)</f>
        <v>0</v>
      </c>
      <c r="BE1436" s="246">
        <f>IFERROR(VLOOKUP(O1436,VOL_REC[],2,FALSE),0)</f>
        <v>0</v>
      </c>
      <c r="BF1436" s="246">
        <f>IFERROR(VLOOKUP(P1436,VOL_REC[],2,FALSE),0)</f>
        <v>0</v>
      </c>
      <c r="BG1436" s="246">
        <f>IFERROR(VLOOKUP(Q1436,VOL_REC[],2,FALSE),0)</f>
        <v>0</v>
      </c>
      <c r="BH1436" s="1710">
        <f t="shared" si="88"/>
        <v>29696070226.509281</v>
      </c>
      <c r="BI1436" s="1710">
        <f t="shared" si="89"/>
        <v>27093301832.379406</v>
      </c>
      <c r="BJ1436" s="1711">
        <f t="shared" si="90"/>
        <v>32972282.377030563</v>
      </c>
      <c r="BK1436" s="1711">
        <f t="shared" si="91"/>
        <v>1.0960668585258695</v>
      </c>
      <c r="BL1436">
        <f>BJ1436</f>
        <v>32972282.377030563</v>
      </c>
      <c r="BO1436">
        <f>BL1436</f>
        <v>32972282.377030563</v>
      </c>
    </row>
    <row r="1437" spans="3:67" x14ac:dyDescent="0.25">
      <c r="C1437" s="246" t="s">
        <v>2787</v>
      </c>
      <c r="D1437" s="246">
        <v>1</v>
      </c>
      <c r="E1437" s="246">
        <v>2</v>
      </c>
      <c r="F1437" s="246">
        <v>3</v>
      </c>
      <c r="G1437" s="246">
        <v>6</v>
      </c>
      <c r="H1437" s="246">
        <v>9</v>
      </c>
      <c r="I1437" s="246">
        <v>14</v>
      </c>
      <c r="J1437" s="246">
        <v>15</v>
      </c>
      <c r="K1437" s="246">
        <v>16</v>
      </c>
      <c r="L1437" s="246">
        <v>17</v>
      </c>
      <c r="M1437" s="246"/>
      <c r="N1437" s="246"/>
      <c r="O1437" s="246"/>
      <c r="P1437" s="246"/>
      <c r="Q1437" s="246"/>
      <c r="R1437" s="246">
        <f>IFERROR(VLOOKUP(D1437,PROGRAMAS[],2,FALSE),0)</f>
        <v>97037803.679377079</v>
      </c>
      <c r="S1437" s="246">
        <f>IFERROR(VLOOKUP(E1437,PROGRAMAS[],2,FALSE),0)</f>
        <v>640501509.6821388</v>
      </c>
      <c r="T1437" s="246">
        <f>IFERROR(VLOOKUP(F1437,PROGRAMAS[],2,FALSE),0)</f>
        <v>3062327798.1525245</v>
      </c>
      <c r="U1437" s="246">
        <f>IFERROR(VLOOKUP(G1437,PROGRAMAS[],2,FALSE),0)</f>
        <v>6907648435.8447599</v>
      </c>
      <c r="V1437" s="246">
        <f>IFERROR(VLOOKUP(H1437,PROGRAMAS[],2,FALSE),0)</f>
        <v>6128579952.1618185</v>
      </c>
      <c r="W1437" s="246">
        <f>IFERROR(VLOOKUP(I1437,PROGRAMAS[],2,FALSE),0)</f>
        <v>54223862.645839565</v>
      </c>
      <c r="X1437" s="246">
        <f>IFERROR(VLOOKUP(J1437,PROGRAMAS[],2,FALSE),0)</f>
        <v>122159672.96346797</v>
      </c>
      <c r="Y1437" s="246">
        <f>IFERROR(VLOOKUP(K1437,PROGRAMAS[],2,FALSE),0)</f>
        <v>7068496961.0436354</v>
      </c>
      <c r="Z1437" s="246">
        <f>IFERROR(VLOOKUP(L1437,PROGRAMAS[],2,FALSE),0)</f>
        <v>1892779498.5211046</v>
      </c>
      <c r="AA1437" s="246">
        <f>IFERROR(VLOOKUP(M1437,PROGRAMAS[],2,FALSE),0)</f>
        <v>0</v>
      </c>
      <c r="AB1437" s="246">
        <f>IFERROR(VLOOKUP(N1437,PROGRAMAS[],2,FALSE),0)</f>
        <v>0</v>
      </c>
      <c r="AC1437" s="246">
        <f>IFERROR(VLOOKUP(O1437,PROGRAMAS[],2,FALSE),0)</f>
        <v>0</v>
      </c>
      <c r="AD1437" s="246">
        <f>IFERROR(VLOOKUP(P1437,PROGRAMAS[],2,FALSE),0)</f>
        <v>0</v>
      </c>
      <c r="AE1437" s="246">
        <f>IFERROR(VLOOKUP(Q1437,PROGRAMAS[],2,FALSE),0)</f>
        <v>0</v>
      </c>
      <c r="AF1437" s="246">
        <f>IFERROR(VLOOKUP(D1437,PROGRAMAS[],3,FALSE),0)</f>
        <v>841888629.31080008</v>
      </c>
      <c r="AG1437" s="246">
        <f>IFERROR(VLOOKUP(E1437,PROGRAMAS[],3,FALSE),0)</f>
        <v>3848980803.1642323</v>
      </c>
      <c r="AH1437" s="246">
        <f>IFERROR(VLOOKUP(F1437,PROGRAMAS[],3,FALSE),0)</f>
        <v>3394901471.387517</v>
      </c>
      <c r="AI1437" s="246">
        <f>IFERROR(VLOOKUP(G1437,PROGRAMAS[],3,FALSE),0)</f>
        <v>6129902208.7912121</v>
      </c>
      <c r="AJ1437" s="246">
        <f>IFERROR(VLOOKUP(H1437,PROGRAMAS[],3,FALSE),0)</f>
        <v>7011279577.519702</v>
      </c>
      <c r="AK1437" s="246">
        <f>IFERROR(VLOOKUP(I1437,PROGRAMAS[],3,FALSE),0)</f>
        <v>31865326.38096505</v>
      </c>
      <c r="AL1437" s="246">
        <f>IFERROR(VLOOKUP(J1437,PROGRAMAS[],3,FALSE),0)</f>
        <v>118617452.52510804</v>
      </c>
      <c r="AM1437" s="246">
        <f>IFERROR(VLOOKUP(K1437,PROGRAMAS[],3,FALSE),0)</f>
        <v>2406564599.0319901</v>
      </c>
      <c r="AN1437" s="246">
        <f>IFERROR(VLOOKUP(L1437,PROGRAMAS[],3,FALSE),0)</f>
        <v>948595847.09039903</v>
      </c>
      <c r="AO1437" s="246">
        <f>IFERROR(VLOOKUP(M1437,PROGRAMAS[],3,FALSE),0)</f>
        <v>0</v>
      </c>
      <c r="AP1437" s="246">
        <f>IFERROR(VLOOKUP(N1437,PROGRAMAS[],3,FALSE),0)</f>
        <v>0</v>
      </c>
      <c r="AQ1437" s="246">
        <f>IFERROR(VLOOKUP(O1437,PROGRAMAS[],3,FALSE),0)</f>
        <v>0</v>
      </c>
      <c r="AR1437" s="246">
        <f>IFERROR(VLOOKUP(P1437,PROGRAMAS[],3,FALSE),0)</f>
        <v>0</v>
      </c>
      <c r="AS1437" s="246">
        <f>IFERROR(VLOOKUP(Q1437,PROGRAMAS[],3,FALSE),0)</f>
        <v>0</v>
      </c>
      <c r="AT1437" s="246">
        <f>IFERROR(VLOOKUP(D1437,VOL_REC[],2,FALSE),0)</f>
        <v>0</v>
      </c>
      <c r="AU1437" s="246">
        <f>IFERROR(VLOOKUP(E1437,VOL_REC[],2,FALSE),0)</f>
        <v>0</v>
      </c>
      <c r="AV1437" s="246">
        <f>IFERROR(VLOOKUP(F1437,VOL_REC[],2,FALSE),0)</f>
        <v>11089674.200000001</v>
      </c>
      <c r="AW1437" s="246">
        <f>IFERROR(VLOOKUP(G1437,VOL_REC[],2,FALSE),0)</f>
        <v>15540036.397699751</v>
      </c>
      <c r="AX1437" s="246">
        <f>IFERROR(VLOOKUP(H1437,VOL_REC[],2,FALSE),0)</f>
        <v>3761786</v>
      </c>
      <c r="AY1437" s="246">
        <f>IFERROR(VLOOKUP(I1437,VOL_REC[],2,FALSE),0)</f>
        <v>17074.045034105649</v>
      </c>
      <c r="AZ1437" s="246">
        <f>IFERROR(VLOOKUP(J1437,VOL_REC[],2,FALSE),0)</f>
        <v>105072</v>
      </c>
      <c r="BA1437" s="246">
        <f>IFERROR(VLOOKUP(K1437,VOL_REC[],2,FALSE),0)</f>
        <v>1072354.9981737854</v>
      </c>
      <c r="BB1437" s="246">
        <f>IFERROR(VLOOKUP(L1437,VOL_REC[],2,FALSE),0)</f>
        <v>740113.98115702497</v>
      </c>
      <c r="BC1437" s="246">
        <f>IFERROR(VLOOKUP(M1437,VOL_REC[],2,FALSE),0)</f>
        <v>0</v>
      </c>
      <c r="BD1437" s="246">
        <f>IFERROR(VLOOKUP(N1437,VOL_REC[],2,FALSE),0)</f>
        <v>0</v>
      </c>
      <c r="BE1437" s="246">
        <f>IFERROR(VLOOKUP(O1437,VOL_REC[],2,FALSE),0)</f>
        <v>0</v>
      </c>
      <c r="BF1437" s="246">
        <f>IFERROR(VLOOKUP(P1437,VOL_REC[],2,FALSE),0)</f>
        <v>0</v>
      </c>
      <c r="BG1437" s="246">
        <f>IFERROR(VLOOKUP(Q1437,VOL_REC[],2,FALSE),0)</f>
        <v>0</v>
      </c>
      <c r="BH1437" s="1710">
        <f t="shared" si="88"/>
        <v>25973755494.694664</v>
      </c>
      <c r="BI1437" s="1710">
        <f t="shared" si="89"/>
        <v>24732595915.201931</v>
      </c>
      <c r="BJ1437" s="1711">
        <f t="shared" si="90"/>
        <v>32326111.622064669</v>
      </c>
      <c r="BK1437" s="1711">
        <f t="shared" si="91"/>
        <v>1.0501831503554324</v>
      </c>
      <c r="BL1437">
        <f>BJ1437</f>
        <v>32326111.622064669</v>
      </c>
      <c r="BO1437">
        <f>BL1437</f>
        <v>32326111.622064669</v>
      </c>
    </row>
    <row r="1438" spans="3:67" x14ac:dyDescent="0.25">
      <c r="C1438" s="246" t="s">
        <v>2788</v>
      </c>
      <c r="D1438" s="246">
        <v>1</v>
      </c>
      <c r="E1438" s="246">
        <v>2</v>
      </c>
      <c r="F1438" s="246">
        <v>3</v>
      </c>
      <c r="G1438" s="246">
        <v>6</v>
      </c>
      <c r="H1438" s="246">
        <v>10</v>
      </c>
      <c r="I1438" s="246">
        <v>12</v>
      </c>
      <c r="J1438" s="246">
        <v>13</v>
      </c>
      <c r="K1438" s="246">
        <v>14</v>
      </c>
      <c r="L1438" s="246">
        <v>15</v>
      </c>
      <c r="M1438" s="246"/>
      <c r="N1438" s="246"/>
      <c r="O1438" s="246"/>
      <c r="P1438" s="246"/>
      <c r="Q1438" s="246"/>
      <c r="R1438" s="246">
        <f>IFERROR(VLOOKUP(D1438,PROGRAMAS[],2,FALSE),0)</f>
        <v>97037803.679377079</v>
      </c>
      <c r="S1438" s="246">
        <f>IFERROR(VLOOKUP(E1438,PROGRAMAS[],2,FALSE),0)</f>
        <v>640501509.6821388</v>
      </c>
      <c r="T1438" s="246">
        <f>IFERROR(VLOOKUP(F1438,PROGRAMAS[],2,FALSE),0)</f>
        <v>3062327798.1525245</v>
      </c>
      <c r="U1438" s="246">
        <f>IFERROR(VLOOKUP(G1438,PROGRAMAS[],2,FALSE),0)</f>
        <v>6907648435.8447599</v>
      </c>
      <c r="V1438" s="246">
        <f>IFERROR(VLOOKUP(H1438,PROGRAMAS[],2,FALSE),0)</f>
        <v>4635315027.8751087</v>
      </c>
      <c r="W1438" s="246">
        <f>IFERROR(VLOOKUP(I1438,PROGRAMAS[],2,FALSE),0)</f>
        <v>764796700.79905891</v>
      </c>
      <c r="X1438" s="246">
        <f>IFERROR(VLOOKUP(J1438,PROGRAMAS[],2,FALSE),0)</f>
        <v>3776538594.4604583</v>
      </c>
      <c r="Y1438" s="246">
        <f>IFERROR(VLOOKUP(K1438,PROGRAMAS[],2,FALSE),0)</f>
        <v>54223862.645839565</v>
      </c>
      <c r="Z1438" s="246">
        <f>IFERROR(VLOOKUP(L1438,PROGRAMAS[],2,FALSE),0)</f>
        <v>122159672.96346797</v>
      </c>
      <c r="AA1438" s="246">
        <f>IFERROR(VLOOKUP(M1438,PROGRAMAS[],2,FALSE),0)</f>
        <v>0</v>
      </c>
      <c r="AB1438" s="246">
        <f>IFERROR(VLOOKUP(N1438,PROGRAMAS[],2,FALSE),0)</f>
        <v>0</v>
      </c>
      <c r="AC1438" s="246">
        <f>IFERROR(VLOOKUP(O1438,PROGRAMAS[],2,FALSE),0)</f>
        <v>0</v>
      </c>
      <c r="AD1438" s="246">
        <f>IFERROR(VLOOKUP(P1438,PROGRAMAS[],2,FALSE),0)</f>
        <v>0</v>
      </c>
      <c r="AE1438" s="246">
        <f>IFERROR(VLOOKUP(Q1438,PROGRAMAS[],2,FALSE),0)</f>
        <v>0</v>
      </c>
      <c r="AF1438" s="246">
        <f>IFERROR(VLOOKUP(D1438,PROGRAMAS[],3,FALSE),0)</f>
        <v>841888629.31080008</v>
      </c>
      <c r="AG1438" s="246">
        <f>IFERROR(VLOOKUP(E1438,PROGRAMAS[],3,FALSE),0)</f>
        <v>3848980803.1642323</v>
      </c>
      <c r="AH1438" s="246">
        <f>IFERROR(VLOOKUP(F1438,PROGRAMAS[],3,FALSE),0)</f>
        <v>3394901471.387517</v>
      </c>
      <c r="AI1438" s="246">
        <f>IFERROR(VLOOKUP(G1438,PROGRAMAS[],3,FALSE),0)</f>
        <v>6129902208.7912121</v>
      </c>
      <c r="AJ1438" s="246">
        <f>IFERROR(VLOOKUP(H1438,PROGRAMAS[],3,FALSE),0)</f>
        <v>4099471734.9978786</v>
      </c>
      <c r="AK1438" s="246">
        <f>IFERROR(VLOOKUP(I1438,PROGRAMAS[],3,FALSE),0)</f>
        <v>675517840.109828</v>
      </c>
      <c r="AL1438" s="246">
        <f>IFERROR(VLOOKUP(J1438,PROGRAMAS[],3,FALSE),0)</f>
        <v>2392571243.5584412</v>
      </c>
      <c r="AM1438" s="246">
        <f>IFERROR(VLOOKUP(K1438,PROGRAMAS[],3,FALSE),0)</f>
        <v>31865326.38096505</v>
      </c>
      <c r="AN1438" s="246">
        <f>IFERROR(VLOOKUP(L1438,PROGRAMAS[],3,FALSE),0)</f>
        <v>118617452.52510804</v>
      </c>
      <c r="AO1438" s="246">
        <f>IFERROR(VLOOKUP(M1438,PROGRAMAS[],3,FALSE),0)</f>
        <v>0</v>
      </c>
      <c r="AP1438" s="246">
        <f>IFERROR(VLOOKUP(N1438,PROGRAMAS[],3,FALSE),0)</f>
        <v>0</v>
      </c>
      <c r="AQ1438" s="246">
        <f>IFERROR(VLOOKUP(O1438,PROGRAMAS[],3,FALSE),0)</f>
        <v>0</v>
      </c>
      <c r="AR1438" s="246">
        <f>IFERROR(VLOOKUP(P1438,PROGRAMAS[],3,FALSE),0)</f>
        <v>0</v>
      </c>
      <c r="AS1438" s="246">
        <f>IFERROR(VLOOKUP(Q1438,PROGRAMAS[],3,FALSE),0)</f>
        <v>0</v>
      </c>
      <c r="AT1438" s="246">
        <f>IFERROR(VLOOKUP(D1438,VOL_REC[],2,FALSE),0)</f>
        <v>0</v>
      </c>
      <c r="AU1438" s="246">
        <f>IFERROR(VLOOKUP(E1438,VOL_REC[],2,FALSE),0)</f>
        <v>0</v>
      </c>
      <c r="AV1438" s="246">
        <f>IFERROR(VLOOKUP(F1438,VOL_REC[],2,FALSE),0)</f>
        <v>11089674.200000001</v>
      </c>
      <c r="AW1438" s="246">
        <f>IFERROR(VLOOKUP(G1438,VOL_REC[],2,FALSE),0)</f>
        <v>15540036.397699751</v>
      </c>
      <c r="AX1438" s="246">
        <f>IFERROR(VLOOKUP(H1438,VOL_REC[],2,FALSE),0)</f>
        <v>1812240</v>
      </c>
      <c r="AY1438" s="246">
        <f>IFERROR(VLOOKUP(I1438,VOL_REC[],2,FALSE),0)</f>
        <v>240696.79238099116</v>
      </c>
      <c r="AZ1438" s="246">
        <f>IFERROR(VLOOKUP(J1438,VOL_REC[],2,FALSE),0)</f>
        <v>663244.80000000016</v>
      </c>
      <c r="BA1438" s="246">
        <f>IFERROR(VLOOKUP(K1438,VOL_REC[],2,FALSE),0)</f>
        <v>17074.045034105649</v>
      </c>
      <c r="BB1438" s="246">
        <f>IFERROR(VLOOKUP(L1438,VOL_REC[],2,FALSE),0)</f>
        <v>105072</v>
      </c>
      <c r="BC1438" s="246">
        <f>IFERROR(VLOOKUP(M1438,VOL_REC[],2,FALSE),0)</f>
        <v>0</v>
      </c>
      <c r="BD1438" s="246">
        <f>IFERROR(VLOOKUP(N1438,VOL_REC[],2,FALSE),0)</f>
        <v>0</v>
      </c>
      <c r="BE1438" s="246">
        <f>IFERROR(VLOOKUP(O1438,VOL_REC[],2,FALSE),0)</f>
        <v>0</v>
      </c>
      <c r="BF1438" s="246">
        <f>IFERROR(VLOOKUP(P1438,VOL_REC[],2,FALSE),0)</f>
        <v>0</v>
      </c>
      <c r="BG1438" s="246">
        <f>IFERROR(VLOOKUP(Q1438,VOL_REC[],2,FALSE),0)</f>
        <v>0</v>
      </c>
      <c r="BH1438" s="1710">
        <f t="shared" si="88"/>
        <v>20060549406.102734</v>
      </c>
      <c r="BI1438" s="1710">
        <f t="shared" si="89"/>
        <v>21533716710.225986</v>
      </c>
      <c r="BJ1438" s="1711">
        <f t="shared" si="90"/>
        <v>29468038.235114854</v>
      </c>
      <c r="BK1438" s="1711">
        <f t="shared" si="91"/>
        <v>0.93158787570453772</v>
      </c>
    </row>
    <row r="1439" spans="3:67" x14ac:dyDescent="0.25">
      <c r="C1439" s="246" t="s">
        <v>2789</v>
      </c>
      <c r="D1439" s="246">
        <v>1</v>
      </c>
      <c r="E1439" s="246">
        <v>2</v>
      </c>
      <c r="F1439" s="246">
        <v>3</v>
      </c>
      <c r="G1439" s="246">
        <v>6</v>
      </c>
      <c r="H1439" s="246">
        <v>10</v>
      </c>
      <c r="I1439" s="246">
        <v>12</v>
      </c>
      <c r="J1439" s="246">
        <v>13</v>
      </c>
      <c r="K1439" s="246">
        <v>14</v>
      </c>
      <c r="L1439" s="246">
        <v>16</v>
      </c>
      <c r="M1439" s="246"/>
      <c r="N1439" s="246"/>
      <c r="O1439" s="246"/>
      <c r="P1439" s="246"/>
      <c r="Q1439" s="246"/>
      <c r="R1439" s="246">
        <f>IFERROR(VLOOKUP(D1439,PROGRAMAS[],2,FALSE),0)</f>
        <v>97037803.679377079</v>
      </c>
      <c r="S1439" s="246">
        <f>IFERROR(VLOOKUP(E1439,PROGRAMAS[],2,FALSE),0)</f>
        <v>640501509.6821388</v>
      </c>
      <c r="T1439" s="246">
        <f>IFERROR(VLOOKUP(F1439,PROGRAMAS[],2,FALSE),0)</f>
        <v>3062327798.1525245</v>
      </c>
      <c r="U1439" s="246">
        <f>IFERROR(VLOOKUP(G1439,PROGRAMAS[],2,FALSE),0)</f>
        <v>6907648435.8447599</v>
      </c>
      <c r="V1439" s="246">
        <f>IFERROR(VLOOKUP(H1439,PROGRAMAS[],2,FALSE),0)</f>
        <v>4635315027.8751087</v>
      </c>
      <c r="W1439" s="246">
        <f>IFERROR(VLOOKUP(I1439,PROGRAMAS[],2,FALSE),0)</f>
        <v>764796700.79905891</v>
      </c>
      <c r="X1439" s="246">
        <f>IFERROR(VLOOKUP(J1439,PROGRAMAS[],2,FALSE),0)</f>
        <v>3776538594.4604583</v>
      </c>
      <c r="Y1439" s="246">
        <f>IFERROR(VLOOKUP(K1439,PROGRAMAS[],2,FALSE),0)</f>
        <v>54223862.645839565</v>
      </c>
      <c r="Z1439" s="246">
        <f>IFERROR(VLOOKUP(L1439,PROGRAMAS[],2,FALSE),0)</f>
        <v>7068496961.0436354</v>
      </c>
      <c r="AA1439" s="246">
        <f>IFERROR(VLOOKUP(M1439,PROGRAMAS[],2,FALSE),0)</f>
        <v>0</v>
      </c>
      <c r="AB1439" s="246">
        <f>IFERROR(VLOOKUP(N1439,PROGRAMAS[],2,FALSE),0)</f>
        <v>0</v>
      </c>
      <c r="AC1439" s="246">
        <f>IFERROR(VLOOKUP(O1439,PROGRAMAS[],2,FALSE),0)</f>
        <v>0</v>
      </c>
      <c r="AD1439" s="246">
        <f>IFERROR(VLOOKUP(P1439,PROGRAMAS[],2,FALSE),0)</f>
        <v>0</v>
      </c>
      <c r="AE1439" s="246">
        <f>IFERROR(VLOOKUP(Q1439,PROGRAMAS[],2,FALSE),0)</f>
        <v>0</v>
      </c>
      <c r="AF1439" s="246">
        <f>IFERROR(VLOOKUP(D1439,PROGRAMAS[],3,FALSE),0)</f>
        <v>841888629.31080008</v>
      </c>
      <c r="AG1439" s="246">
        <f>IFERROR(VLOOKUP(E1439,PROGRAMAS[],3,FALSE),0)</f>
        <v>3848980803.1642323</v>
      </c>
      <c r="AH1439" s="246">
        <f>IFERROR(VLOOKUP(F1439,PROGRAMAS[],3,FALSE),0)</f>
        <v>3394901471.387517</v>
      </c>
      <c r="AI1439" s="246">
        <f>IFERROR(VLOOKUP(G1439,PROGRAMAS[],3,FALSE),0)</f>
        <v>6129902208.7912121</v>
      </c>
      <c r="AJ1439" s="246">
        <f>IFERROR(VLOOKUP(H1439,PROGRAMAS[],3,FALSE),0)</f>
        <v>4099471734.9978786</v>
      </c>
      <c r="AK1439" s="246">
        <f>IFERROR(VLOOKUP(I1439,PROGRAMAS[],3,FALSE),0)</f>
        <v>675517840.109828</v>
      </c>
      <c r="AL1439" s="246">
        <f>IFERROR(VLOOKUP(J1439,PROGRAMAS[],3,FALSE),0)</f>
        <v>2392571243.5584412</v>
      </c>
      <c r="AM1439" s="246">
        <f>IFERROR(VLOOKUP(K1439,PROGRAMAS[],3,FALSE),0)</f>
        <v>31865326.38096505</v>
      </c>
      <c r="AN1439" s="246">
        <f>IFERROR(VLOOKUP(L1439,PROGRAMAS[],3,FALSE),0)</f>
        <v>2406564599.0319901</v>
      </c>
      <c r="AO1439" s="246">
        <f>IFERROR(VLOOKUP(M1439,PROGRAMAS[],3,FALSE),0)</f>
        <v>0</v>
      </c>
      <c r="AP1439" s="246">
        <f>IFERROR(VLOOKUP(N1439,PROGRAMAS[],3,FALSE),0)</f>
        <v>0</v>
      </c>
      <c r="AQ1439" s="246">
        <f>IFERROR(VLOOKUP(O1439,PROGRAMAS[],3,FALSE),0)</f>
        <v>0</v>
      </c>
      <c r="AR1439" s="246">
        <f>IFERROR(VLOOKUP(P1439,PROGRAMAS[],3,FALSE),0)</f>
        <v>0</v>
      </c>
      <c r="AS1439" s="246">
        <f>IFERROR(VLOOKUP(Q1439,PROGRAMAS[],3,FALSE),0)</f>
        <v>0</v>
      </c>
      <c r="AT1439" s="246">
        <f>IFERROR(VLOOKUP(D1439,VOL_REC[],2,FALSE),0)</f>
        <v>0</v>
      </c>
      <c r="AU1439" s="246">
        <f>IFERROR(VLOOKUP(E1439,VOL_REC[],2,FALSE),0)</f>
        <v>0</v>
      </c>
      <c r="AV1439" s="246">
        <f>IFERROR(VLOOKUP(F1439,VOL_REC[],2,FALSE),0)</f>
        <v>11089674.200000001</v>
      </c>
      <c r="AW1439" s="246">
        <f>IFERROR(VLOOKUP(G1439,VOL_REC[],2,FALSE),0)</f>
        <v>15540036.397699751</v>
      </c>
      <c r="AX1439" s="246">
        <f>IFERROR(VLOOKUP(H1439,VOL_REC[],2,FALSE),0)</f>
        <v>1812240</v>
      </c>
      <c r="AY1439" s="246">
        <f>IFERROR(VLOOKUP(I1439,VOL_REC[],2,FALSE),0)</f>
        <v>240696.79238099116</v>
      </c>
      <c r="AZ1439" s="246">
        <f>IFERROR(VLOOKUP(J1439,VOL_REC[],2,FALSE),0)</f>
        <v>663244.80000000016</v>
      </c>
      <c r="BA1439" s="246">
        <f>IFERROR(VLOOKUP(K1439,VOL_REC[],2,FALSE),0)</f>
        <v>17074.045034105649</v>
      </c>
      <c r="BB1439" s="246">
        <f>IFERROR(VLOOKUP(L1439,VOL_REC[],2,FALSE),0)</f>
        <v>1072354.9981737854</v>
      </c>
      <c r="BC1439" s="246">
        <f>IFERROR(VLOOKUP(M1439,VOL_REC[],2,FALSE),0)</f>
        <v>0</v>
      </c>
      <c r="BD1439" s="246">
        <f>IFERROR(VLOOKUP(N1439,VOL_REC[],2,FALSE),0)</f>
        <v>0</v>
      </c>
      <c r="BE1439" s="246">
        <f>IFERROR(VLOOKUP(O1439,VOL_REC[],2,FALSE),0)</f>
        <v>0</v>
      </c>
      <c r="BF1439" s="246">
        <f>IFERROR(VLOOKUP(P1439,VOL_REC[],2,FALSE),0)</f>
        <v>0</v>
      </c>
      <c r="BG1439" s="246">
        <f>IFERROR(VLOOKUP(Q1439,VOL_REC[],2,FALSE),0)</f>
        <v>0</v>
      </c>
      <c r="BH1439" s="1710">
        <f t="shared" si="88"/>
        <v>27006886694.182903</v>
      </c>
      <c r="BI1439" s="1710">
        <f t="shared" si="89"/>
        <v>23821663856.732868</v>
      </c>
      <c r="BJ1439" s="1711">
        <f t="shared" si="90"/>
        <v>30435321.233288638</v>
      </c>
      <c r="BK1439" s="1711">
        <f t="shared" si="91"/>
        <v>1.1337111822501758</v>
      </c>
      <c r="BL1439">
        <f>BJ1439</f>
        <v>30435321.233288638</v>
      </c>
      <c r="BO1439">
        <f>BL1439</f>
        <v>30435321.233288638</v>
      </c>
    </row>
    <row r="1440" spans="3:67" x14ac:dyDescent="0.25">
      <c r="C1440" s="246" t="s">
        <v>2790</v>
      </c>
      <c r="D1440" s="246">
        <v>1</v>
      </c>
      <c r="E1440" s="246">
        <v>2</v>
      </c>
      <c r="F1440" s="246">
        <v>3</v>
      </c>
      <c r="G1440" s="246">
        <v>6</v>
      </c>
      <c r="H1440" s="246">
        <v>10</v>
      </c>
      <c r="I1440" s="246">
        <v>12</v>
      </c>
      <c r="J1440" s="246">
        <v>13</v>
      </c>
      <c r="K1440" s="246">
        <v>14</v>
      </c>
      <c r="L1440" s="246">
        <v>17</v>
      </c>
      <c r="M1440" s="246"/>
      <c r="N1440" s="246"/>
      <c r="O1440" s="246"/>
      <c r="P1440" s="246"/>
      <c r="Q1440" s="246"/>
      <c r="R1440" s="246">
        <f>IFERROR(VLOOKUP(D1440,PROGRAMAS[],2,FALSE),0)</f>
        <v>97037803.679377079</v>
      </c>
      <c r="S1440" s="246">
        <f>IFERROR(VLOOKUP(E1440,PROGRAMAS[],2,FALSE),0)</f>
        <v>640501509.6821388</v>
      </c>
      <c r="T1440" s="246">
        <f>IFERROR(VLOOKUP(F1440,PROGRAMAS[],2,FALSE),0)</f>
        <v>3062327798.1525245</v>
      </c>
      <c r="U1440" s="246">
        <f>IFERROR(VLOOKUP(G1440,PROGRAMAS[],2,FALSE),0)</f>
        <v>6907648435.8447599</v>
      </c>
      <c r="V1440" s="246">
        <f>IFERROR(VLOOKUP(H1440,PROGRAMAS[],2,FALSE),0)</f>
        <v>4635315027.8751087</v>
      </c>
      <c r="W1440" s="246">
        <f>IFERROR(VLOOKUP(I1440,PROGRAMAS[],2,FALSE),0)</f>
        <v>764796700.79905891</v>
      </c>
      <c r="X1440" s="246">
        <f>IFERROR(VLOOKUP(J1440,PROGRAMAS[],2,FALSE),0)</f>
        <v>3776538594.4604583</v>
      </c>
      <c r="Y1440" s="246">
        <f>IFERROR(VLOOKUP(K1440,PROGRAMAS[],2,FALSE),0)</f>
        <v>54223862.645839565</v>
      </c>
      <c r="Z1440" s="246">
        <f>IFERROR(VLOOKUP(L1440,PROGRAMAS[],2,FALSE),0)</f>
        <v>1892779498.5211046</v>
      </c>
      <c r="AA1440" s="246">
        <f>IFERROR(VLOOKUP(M1440,PROGRAMAS[],2,FALSE),0)</f>
        <v>0</v>
      </c>
      <c r="AB1440" s="246">
        <f>IFERROR(VLOOKUP(N1440,PROGRAMAS[],2,FALSE),0)</f>
        <v>0</v>
      </c>
      <c r="AC1440" s="246">
        <f>IFERROR(VLOOKUP(O1440,PROGRAMAS[],2,FALSE),0)</f>
        <v>0</v>
      </c>
      <c r="AD1440" s="246">
        <f>IFERROR(VLOOKUP(P1440,PROGRAMAS[],2,FALSE),0)</f>
        <v>0</v>
      </c>
      <c r="AE1440" s="246">
        <f>IFERROR(VLOOKUP(Q1440,PROGRAMAS[],2,FALSE),0)</f>
        <v>0</v>
      </c>
      <c r="AF1440" s="246">
        <f>IFERROR(VLOOKUP(D1440,PROGRAMAS[],3,FALSE),0)</f>
        <v>841888629.31080008</v>
      </c>
      <c r="AG1440" s="246">
        <f>IFERROR(VLOOKUP(E1440,PROGRAMAS[],3,FALSE),0)</f>
        <v>3848980803.1642323</v>
      </c>
      <c r="AH1440" s="246">
        <f>IFERROR(VLOOKUP(F1440,PROGRAMAS[],3,FALSE),0)</f>
        <v>3394901471.387517</v>
      </c>
      <c r="AI1440" s="246">
        <f>IFERROR(VLOOKUP(G1440,PROGRAMAS[],3,FALSE),0)</f>
        <v>6129902208.7912121</v>
      </c>
      <c r="AJ1440" s="246">
        <f>IFERROR(VLOOKUP(H1440,PROGRAMAS[],3,FALSE),0)</f>
        <v>4099471734.9978786</v>
      </c>
      <c r="AK1440" s="246">
        <f>IFERROR(VLOOKUP(I1440,PROGRAMAS[],3,FALSE),0)</f>
        <v>675517840.109828</v>
      </c>
      <c r="AL1440" s="246">
        <f>IFERROR(VLOOKUP(J1440,PROGRAMAS[],3,FALSE),0)</f>
        <v>2392571243.5584412</v>
      </c>
      <c r="AM1440" s="246">
        <f>IFERROR(VLOOKUP(K1440,PROGRAMAS[],3,FALSE),0)</f>
        <v>31865326.38096505</v>
      </c>
      <c r="AN1440" s="246">
        <f>IFERROR(VLOOKUP(L1440,PROGRAMAS[],3,FALSE),0)</f>
        <v>948595847.09039903</v>
      </c>
      <c r="AO1440" s="246">
        <f>IFERROR(VLOOKUP(M1440,PROGRAMAS[],3,FALSE),0)</f>
        <v>0</v>
      </c>
      <c r="AP1440" s="246">
        <f>IFERROR(VLOOKUP(N1440,PROGRAMAS[],3,FALSE),0)</f>
        <v>0</v>
      </c>
      <c r="AQ1440" s="246">
        <f>IFERROR(VLOOKUP(O1440,PROGRAMAS[],3,FALSE),0)</f>
        <v>0</v>
      </c>
      <c r="AR1440" s="246">
        <f>IFERROR(VLOOKUP(P1440,PROGRAMAS[],3,FALSE),0)</f>
        <v>0</v>
      </c>
      <c r="AS1440" s="246">
        <f>IFERROR(VLOOKUP(Q1440,PROGRAMAS[],3,FALSE),0)</f>
        <v>0</v>
      </c>
      <c r="AT1440" s="246">
        <f>IFERROR(VLOOKUP(D1440,VOL_REC[],2,FALSE),0)</f>
        <v>0</v>
      </c>
      <c r="AU1440" s="246">
        <f>IFERROR(VLOOKUP(E1440,VOL_REC[],2,FALSE),0)</f>
        <v>0</v>
      </c>
      <c r="AV1440" s="246">
        <f>IFERROR(VLOOKUP(F1440,VOL_REC[],2,FALSE),0)</f>
        <v>11089674.200000001</v>
      </c>
      <c r="AW1440" s="246">
        <f>IFERROR(VLOOKUP(G1440,VOL_REC[],2,FALSE),0)</f>
        <v>15540036.397699751</v>
      </c>
      <c r="AX1440" s="246">
        <f>IFERROR(VLOOKUP(H1440,VOL_REC[],2,FALSE),0)</f>
        <v>1812240</v>
      </c>
      <c r="AY1440" s="246">
        <f>IFERROR(VLOOKUP(I1440,VOL_REC[],2,FALSE),0)</f>
        <v>240696.79238099116</v>
      </c>
      <c r="AZ1440" s="246">
        <f>IFERROR(VLOOKUP(J1440,VOL_REC[],2,FALSE),0)</f>
        <v>663244.80000000016</v>
      </c>
      <c r="BA1440" s="246">
        <f>IFERROR(VLOOKUP(K1440,VOL_REC[],2,FALSE),0)</f>
        <v>17074.045034105649</v>
      </c>
      <c r="BB1440" s="246">
        <f>IFERROR(VLOOKUP(L1440,VOL_REC[],2,FALSE),0)</f>
        <v>740113.98115702497</v>
      </c>
      <c r="BC1440" s="246">
        <f>IFERROR(VLOOKUP(M1440,VOL_REC[],2,FALSE),0)</f>
        <v>0</v>
      </c>
      <c r="BD1440" s="246">
        <f>IFERROR(VLOOKUP(N1440,VOL_REC[],2,FALSE),0)</f>
        <v>0</v>
      </c>
      <c r="BE1440" s="246">
        <f>IFERROR(VLOOKUP(O1440,VOL_REC[],2,FALSE),0)</f>
        <v>0</v>
      </c>
      <c r="BF1440" s="246">
        <f>IFERROR(VLOOKUP(P1440,VOL_REC[],2,FALSE),0)</f>
        <v>0</v>
      </c>
      <c r="BG1440" s="246">
        <f>IFERROR(VLOOKUP(Q1440,VOL_REC[],2,FALSE),0)</f>
        <v>0</v>
      </c>
      <c r="BH1440" s="1710">
        <f t="shared" si="88"/>
        <v>21831169231.66037</v>
      </c>
      <c r="BI1440" s="1710">
        <f t="shared" si="89"/>
        <v>22363695104.791279</v>
      </c>
      <c r="BJ1440" s="1711">
        <f t="shared" si="90"/>
        <v>30103080.216271877</v>
      </c>
      <c r="BK1440" s="1711">
        <f t="shared" si="91"/>
        <v>0.97618793000729032</v>
      </c>
    </row>
    <row r="1441" spans="3:67" x14ac:dyDescent="0.25">
      <c r="C1441" s="246" t="s">
        <v>2791</v>
      </c>
      <c r="D1441" s="246">
        <v>1</v>
      </c>
      <c r="E1441" s="246">
        <v>2</v>
      </c>
      <c r="F1441" s="246">
        <v>3</v>
      </c>
      <c r="G1441" s="246">
        <v>6</v>
      </c>
      <c r="H1441" s="246">
        <v>10</v>
      </c>
      <c r="I1441" s="246">
        <v>12</v>
      </c>
      <c r="J1441" s="246">
        <v>13</v>
      </c>
      <c r="K1441" s="246">
        <v>15</v>
      </c>
      <c r="L1441" s="246">
        <v>16</v>
      </c>
      <c r="M1441" s="246"/>
      <c r="N1441" s="246"/>
      <c r="O1441" s="246"/>
      <c r="P1441" s="246"/>
      <c r="Q1441" s="246"/>
      <c r="R1441" s="246">
        <f>IFERROR(VLOOKUP(D1441,PROGRAMAS[],2,FALSE),0)</f>
        <v>97037803.679377079</v>
      </c>
      <c r="S1441" s="246">
        <f>IFERROR(VLOOKUP(E1441,PROGRAMAS[],2,FALSE),0)</f>
        <v>640501509.6821388</v>
      </c>
      <c r="T1441" s="246">
        <f>IFERROR(VLOOKUP(F1441,PROGRAMAS[],2,FALSE),0)</f>
        <v>3062327798.1525245</v>
      </c>
      <c r="U1441" s="246">
        <f>IFERROR(VLOOKUP(G1441,PROGRAMAS[],2,FALSE),0)</f>
        <v>6907648435.8447599</v>
      </c>
      <c r="V1441" s="246">
        <f>IFERROR(VLOOKUP(H1441,PROGRAMAS[],2,FALSE),0)</f>
        <v>4635315027.8751087</v>
      </c>
      <c r="W1441" s="246">
        <f>IFERROR(VLOOKUP(I1441,PROGRAMAS[],2,FALSE),0)</f>
        <v>764796700.79905891</v>
      </c>
      <c r="X1441" s="246">
        <f>IFERROR(VLOOKUP(J1441,PROGRAMAS[],2,FALSE),0)</f>
        <v>3776538594.4604583</v>
      </c>
      <c r="Y1441" s="246">
        <f>IFERROR(VLOOKUP(K1441,PROGRAMAS[],2,FALSE),0)</f>
        <v>122159672.96346797</v>
      </c>
      <c r="Z1441" s="246">
        <f>IFERROR(VLOOKUP(L1441,PROGRAMAS[],2,FALSE),0)</f>
        <v>7068496961.0436354</v>
      </c>
      <c r="AA1441" s="246">
        <f>IFERROR(VLOOKUP(M1441,PROGRAMAS[],2,FALSE),0)</f>
        <v>0</v>
      </c>
      <c r="AB1441" s="246">
        <f>IFERROR(VLOOKUP(N1441,PROGRAMAS[],2,FALSE),0)</f>
        <v>0</v>
      </c>
      <c r="AC1441" s="246">
        <f>IFERROR(VLOOKUP(O1441,PROGRAMAS[],2,FALSE),0)</f>
        <v>0</v>
      </c>
      <c r="AD1441" s="246">
        <f>IFERROR(VLOOKUP(P1441,PROGRAMAS[],2,FALSE),0)</f>
        <v>0</v>
      </c>
      <c r="AE1441" s="246">
        <f>IFERROR(VLOOKUP(Q1441,PROGRAMAS[],2,FALSE),0)</f>
        <v>0</v>
      </c>
      <c r="AF1441" s="246">
        <f>IFERROR(VLOOKUP(D1441,PROGRAMAS[],3,FALSE),0)</f>
        <v>841888629.31080008</v>
      </c>
      <c r="AG1441" s="246">
        <f>IFERROR(VLOOKUP(E1441,PROGRAMAS[],3,FALSE),0)</f>
        <v>3848980803.1642323</v>
      </c>
      <c r="AH1441" s="246">
        <f>IFERROR(VLOOKUP(F1441,PROGRAMAS[],3,FALSE),0)</f>
        <v>3394901471.387517</v>
      </c>
      <c r="AI1441" s="246">
        <f>IFERROR(VLOOKUP(G1441,PROGRAMAS[],3,FALSE),0)</f>
        <v>6129902208.7912121</v>
      </c>
      <c r="AJ1441" s="246">
        <f>IFERROR(VLOOKUP(H1441,PROGRAMAS[],3,FALSE),0)</f>
        <v>4099471734.9978786</v>
      </c>
      <c r="AK1441" s="246">
        <f>IFERROR(VLOOKUP(I1441,PROGRAMAS[],3,FALSE),0)</f>
        <v>675517840.109828</v>
      </c>
      <c r="AL1441" s="246">
        <f>IFERROR(VLOOKUP(J1441,PROGRAMAS[],3,FALSE),0)</f>
        <v>2392571243.5584412</v>
      </c>
      <c r="AM1441" s="246">
        <f>IFERROR(VLOOKUP(K1441,PROGRAMAS[],3,FALSE),0)</f>
        <v>118617452.52510804</v>
      </c>
      <c r="AN1441" s="246">
        <f>IFERROR(VLOOKUP(L1441,PROGRAMAS[],3,FALSE),0)</f>
        <v>2406564599.0319901</v>
      </c>
      <c r="AO1441" s="246">
        <f>IFERROR(VLOOKUP(M1441,PROGRAMAS[],3,FALSE),0)</f>
        <v>0</v>
      </c>
      <c r="AP1441" s="246">
        <f>IFERROR(VLOOKUP(N1441,PROGRAMAS[],3,FALSE),0)</f>
        <v>0</v>
      </c>
      <c r="AQ1441" s="246">
        <f>IFERROR(VLOOKUP(O1441,PROGRAMAS[],3,FALSE),0)</f>
        <v>0</v>
      </c>
      <c r="AR1441" s="246">
        <f>IFERROR(VLOOKUP(P1441,PROGRAMAS[],3,FALSE),0)</f>
        <v>0</v>
      </c>
      <c r="AS1441" s="246">
        <f>IFERROR(VLOOKUP(Q1441,PROGRAMAS[],3,FALSE),0)</f>
        <v>0</v>
      </c>
      <c r="AT1441" s="246">
        <f>IFERROR(VLOOKUP(D1441,VOL_REC[],2,FALSE),0)</f>
        <v>0</v>
      </c>
      <c r="AU1441" s="246">
        <f>IFERROR(VLOOKUP(E1441,VOL_REC[],2,FALSE),0)</f>
        <v>0</v>
      </c>
      <c r="AV1441" s="246">
        <f>IFERROR(VLOOKUP(F1441,VOL_REC[],2,FALSE),0)</f>
        <v>11089674.200000001</v>
      </c>
      <c r="AW1441" s="246">
        <f>IFERROR(VLOOKUP(G1441,VOL_REC[],2,FALSE),0)</f>
        <v>15540036.397699751</v>
      </c>
      <c r="AX1441" s="246">
        <f>IFERROR(VLOOKUP(H1441,VOL_REC[],2,FALSE),0)</f>
        <v>1812240</v>
      </c>
      <c r="AY1441" s="246">
        <f>IFERROR(VLOOKUP(I1441,VOL_REC[],2,FALSE),0)</f>
        <v>240696.79238099116</v>
      </c>
      <c r="AZ1441" s="246">
        <f>IFERROR(VLOOKUP(J1441,VOL_REC[],2,FALSE),0)</f>
        <v>663244.80000000016</v>
      </c>
      <c r="BA1441" s="246">
        <f>IFERROR(VLOOKUP(K1441,VOL_REC[],2,FALSE),0)</f>
        <v>105072</v>
      </c>
      <c r="BB1441" s="246">
        <f>IFERROR(VLOOKUP(L1441,VOL_REC[],2,FALSE),0)</f>
        <v>1072354.9981737854</v>
      </c>
      <c r="BC1441" s="246">
        <f>IFERROR(VLOOKUP(M1441,VOL_REC[],2,FALSE),0)</f>
        <v>0</v>
      </c>
      <c r="BD1441" s="246">
        <f>IFERROR(VLOOKUP(N1441,VOL_REC[],2,FALSE),0)</f>
        <v>0</v>
      </c>
      <c r="BE1441" s="246">
        <f>IFERROR(VLOOKUP(O1441,VOL_REC[],2,FALSE),0)</f>
        <v>0</v>
      </c>
      <c r="BF1441" s="246">
        <f>IFERROR(VLOOKUP(P1441,VOL_REC[],2,FALSE),0)</f>
        <v>0</v>
      </c>
      <c r="BG1441" s="246">
        <f>IFERROR(VLOOKUP(Q1441,VOL_REC[],2,FALSE),0)</f>
        <v>0</v>
      </c>
      <c r="BH1441" s="1710">
        <f t="shared" si="88"/>
        <v>27074822504.50053</v>
      </c>
      <c r="BI1441" s="1710">
        <f t="shared" si="89"/>
        <v>23908415982.87701</v>
      </c>
      <c r="BJ1441" s="1711">
        <f t="shared" si="90"/>
        <v>30523319.188254531</v>
      </c>
      <c r="BK1441" s="1711">
        <f t="shared" si="91"/>
        <v>1.1324389923569704</v>
      </c>
      <c r="BL1441">
        <f>BJ1441</f>
        <v>30523319.188254531</v>
      </c>
      <c r="BO1441">
        <f>BL1441</f>
        <v>30523319.188254531</v>
      </c>
    </row>
    <row r="1442" spans="3:67" x14ac:dyDescent="0.25">
      <c r="C1442" s="246" t="s">
        <v>2792</v>
      </c>
      <c r="D1442" s="246">
        <v>1</v>
      </c>
      <c r="E1442" s="246">
        <v>2</v>
      </c>
      <c r="F1442" s="246">
        <v>3</v>
      </c>
      <c r="G1442" s="246">
        <v>6</v>
      </c>
      <c r="H1442" s="246">
        <v>10</v>
      </c>
      <c r="I1442" s="246">
        <v>12</v>
      </c>
      <c r="J1442" s="246">
        <v>13</v>
      </c>
      <c r="K1442" s="246">
        <v>15</v>
      </c>
      <c r="L1442" s="246">
        <v>17</v>
      </c>
      <c r="M1442" s="246"/>
      <c r="N1442" s="246"/>
      <c r="O1442" s="246"/>
      <c r="P1442" s="246"/>
      <c r="Q1442" s="246"/>
      <c r="R1442" s="246">
        <f>IFERROR(VLOOKUP(D1442,PROGRAMAS[],2,FALSE),0)</f>
        <v>97037803.679377079</v>
      </c>
      <c r="S1442" s="246">
        <f>IFERROR(VLOOKUP(E1442,PROGRAMAS[],2,FALSE),0)</f>
        <v>640501509.6821388</v>
      </c>
      <c r="T1442" s="246">
        <f>IFERROR(VLOOKUP(F1442,PROGRAMAS[],2,FALSE),0)</f>
        <v>3062327798.1525245</v>
      </c>
      <c r="U1442" s="246">
        <f>IFERROR(VLOOKUP(G1442,PROGRAMAS[],2,FALSE),0)</f>
        <v>6907648435.8447599</v>
      </c>
      <c r="V1442" s="246">
        <f>IFERROR(VLOOKUP(H1442,PROGRAMAS[],2,FALSE),0)</f>
        <v>4635315027.8751087</v>
      </c>
      <c r="W1442" s="246">
        <f>IFERROR(VLOOKUP(I1442,PROGRAMAS[],2,FALSE),0)</f>
        <v>764796700.79905891</v>
      </c>
      <c r="X1442" s="246">
        <f>IFERROR(VLOOKUP(J1442,PROGRAMAS[],2,FALSE),0)</f>
        <v>3776538594.4604583</v>
      </c>
      <c r="Y1442" s="246">
        <f>IFERROR(VLOOKUP(K1442,PROGRAMAS[],2,FALSE),0)</f>
        <v>122159672.96346797</v>
      </c>
      <c r="Z1442" s="246">
        <f>IFERROR(VLOOKUP(L1442,PROGRAMAS[],2,FALSE),0)</f>
        <v>1892779498.5211046</v>
      </c>
      <c r="AA1442" s="246">
        <f>IFERROR(VLOOKUP(M1442,PROGRAMAS[],2,FALSE),0)</f>
        <v>0</v>
      </c>
      <c r="AB1442" s="246">
        <f>IFERROR(VLOOKUP(N1442,PROGRAMAS[],2,FALSE),0)</f>
        <v>0</v>
      </c>
      <c r="AC1442" s="246">
        <f>IFERROR(VLOOKUP(O1442,PROGRAMAS[],2,FALSE),0)</f>
        <v>0</v>
      </c>
      <c r="AD1442" s="246">
        <f>IFERROR(VLOOKUP(P1442,PROGRAMAS[],2,FALSE),0)</f>
        <v>0</v>
      </c>
      <c r="AE1442" s="246">
        <f>IFERROR(VLOOKUP(Q1442,PROGRAMAS[],2,FALSE),0)</f>
        <v>0</v>
      </c>
      <c r="AF1442" s="246">
        <f>IFERROR(VLOOKUP(D1442,PROGRAMAS[],3,FALSE),0)</f>
        <v>841888629.31080008</v>
      </c>
      <c r="AG1442" s="246">
        <f>IFERROR(VLOOKUP(E1442,PROGRAMAS[],3,FALSE),0)</f>
        <v>3848980803.1642323</v>
      </c>
      <c r="AH1442" s="246">
        <f>IFERROR(VLOOKUP(F1442,PROGRAMAS[],3,FALSE),0)</f>
        <v>3394901471.387517</v>
      </c>
      <c r="AI1442" s="246">
        <f>IFERROR(VLOOKUP(G1442,PROGRAMAS[],3,FALSE),0)</f>
        <v>6129902208.7912121</v>
      </c>
      <c r="AJ1442" s="246">
        <f>IFERROR(VLOOKUP(H1442,PROGRAMAS[],3,FALSE),0)</f>
        <v>4099471734.9978786</v>
      </c>
      <c r="AK1442" s="246">
        <f>IFERROR(VLOOKUP(I1442,PROGRAMAS[],3,FALSE),0)</f>
        <v>675517840.109828</v>
      </c>
      <c r="AL1442" s="246">
        <f>IFERROR(VLOOKUP(J1442,PROGRAMAS[],3,FALSE),0)</f>
        <v>2392571243.5584412</v>
      </c>
      <c r="AM1442" s="246">
        <f>IFERROR(VLOOKUP(K1442,PROGRAMAS[],3,FALSE),0)</f>
        <v>118617452.52510804</v>
      </c>
      <c r="AN1442" s="246">
        <f>IFERROR(VLOOKUP(L1442,PROGRAMAS[],3,FALSE),0)</f>
        <v>948595847.09039903</v>
      </c>
      <c r="AO1442" s="246">
        <f>IFERROR(VLOOKUP(M1442,PROGRAMAS[],3,FALSE),0)</f>
        <v>0</v>
      </c>
      <c r="AP1442" s="246">
        <f>IFERROR(VLOOKUP(N1442,PROGRAMAS[],3,FALSE),0)</f>
        <v>0</v>
      </c>
      <c r="AQ1442" s="246">
        <f>IFERROR(VLOOKUP(O1442,PROGRAMAS[],3,FALSE),0)</f>
        <v>0</v>
      </c>
      <c r="AR1442" s="246">
        <f>IFERROR(VLOOKUP(P1442,PROGRAMAS[],3,FALSE),0)</f>
        <v>0</v>
      </c>
      <c r="AS1442" s="246">
        <f>IFERROR(VLOOKUP(Q1442,PROGRAMAS[],3,FALSE),0)</f>
        <v>0</v>
      </c>
      <c r="AT1442" s="246">
        <f>IFERROR(VLOOKUP(D1442,VOL_REC[],2,FALSE),0)</f>
        <v>0</v>
      </c>
      <c r="AU1442" s="246">
        <f>IFERROR(VLOOKUP(E1442,VOL_REC[],2,FALSE),0)</f>
        <v>0</v>
      </c>
      <c r="AV1442" s="246">
        <f>IFERROR(VLOOKUP(F1442,VOL_REC[],2,FALSE),0)</f>
        <v>11089674.200000001</v>
      </c>
      <c r="AW1442" s="246">
        <f>IFERROR(VLOOKUP(G1442,VOL_REC[],2,FALSE),0)</f>
        <v>15540036.397699751</v>
      </c>
      <c r="AX1442" s="246">
        <f>IFERROR(VLOOKUP(H1442,VOL_REC[],2,FALSE),0)</f>
        <v>1812240</v>
      </c>
      <c r="AY1442" s="246">
        <f>IFERROR(VLOOKUP(I1442,VOL_REC[],2,FALSE),0)</f>
        <v>240696.79238099116</v>
      </c>
      <c r="AZ1442" s="246">
        <f>IFERROR(VLOOKUP(J1442,VOL_REC[],2,FALSE),0)</f>
        <v>663244.80000000016</v>
      </c>
      <c r="BA1442" s="246">
        <f>IFERROR(VLOOKUP(K1442,VOL_REC[],2,FALSE),0)</f>
        <v>105072</v>
      </c>
      <c r="BB1442" s="246">
        <f>IFERROR(VLOOKUP(L1442,VOL_REC[],2,FALSE),0)</f>
        <v>740113.98115702497</v>
      </c>
      <c r="BC1442" s="246">
        <f>IFERROR(VLOOKUP(M1442,VOL_REC[],2,FALSE),0)</f>
        <v>0</v>
      </c>
      <c r="BD1442" s="246">
        <f>IFERROR(VLOOKUP(N1442,VOL_REC[],2,FALSE),0)</f>
        <v>0</v>
      </c>
      <c r="BE1442" s="246">
        <f>IFERROR(VLOOKUP(O1442,VOL_REC[],2,FALSE),0)</f>
        <v>0</v>
      </c>
      <c r="BF1442" s="246">
        <f>IFERROR(VLOOKUP(P1442,VOL_REC[],2,FALSE),0)</f>
        <v>0</v>
      </c>
      <c r="BG1442" s="246">
        <f>IFERROR(VLOOKUP(Q1442,VOL_REC[],2,FALSE),0)</f>
        <v>0</v>
      </c>
      <c r="BH1442" s="1710">
        <f t="shared" si="88"/>
        <v>21899105041.977997</v>
      </c>
      <c r="BI1442" s="1710">
        <f t="shared" si="89"/>
        <v>22450447230.935421</v>
      </c>
      <c r="BJ1442" s="1711">
        <f t="shared" si="90"/>
        <v>30191078.17123777</v>
      </c>
      <c r="BK1442" s="1711">
        <f t="shared" si="91"/>
        <v>0.97544181711455147</v>
      </c>
    </row>
    <row r="1443" spans="3:67" x14ac:dyDescent="0.25">
      <c r="C1443" s="246" t="s">
        <v>2793</v>
      </c>
      <c r="D1443" s="246">
        <v>1</v>
      </c>
      <c r="E1443" s="246">
        <v>2</v>
      </c>
      <c r="F1443" s="246">
        <v>3</v>
      </c>
      <c r="G1443" s="246">
        <v>6</v>
      </c>
      <c r="H1443" s="246">
        <v>10</v>
      </c>
      <c r="I1443" s="246">
        <v>12</v>
      </c>
      <c r="J1443" s="246">
        <v>13</v>
      </c>
      <c r="K1443" s="246">
        <v>16</v>
      </c>
      <c r="L1443" s="246">
        <v>17</v>
      </c>
      <c r="M1443" s="246"/>
      <c r="N1443" s="246"/>
      <c r="O1443" s="246"/>
      <c r="P1443" s="246"/>
      <c r="Q1443" s="246"/>
      <c r="R1443" s="246">
        <f>IFERROR(VLOOKUP(D1443,PROGRAMAS[],2,FALSE),0)</f>
        <v>97037803.679377079</v>
      </c>
      <c r="S1443" s="246">
        <f>IFERROR(VLOOKUP(E1443,PROGRAMAS[],2,FALSE),0)</f>
        <v>640501509.6821388</v>
      </c>
      <c r="T1443" s="246">
        <f>IFERROR(VLOOKUP(F1443,PROGRAMAS[],2,FALSE),0)</f>
        <v>3062327798.1525245</v>
      </c>
      <c r="U1443" s="246">
        <f>IFERROR(VLOOKUP(G1443,PROGRAMAS[],2,FALSE),0)</f>
        <v>6907648435.8447599</v>
      </c>
      <c r="V1443" s="246">
        <f>IFERROR(VLOOKUP(H1443,PROGRAMAS[],2,FALSE),0)</f>
        <v>4635315027.8751087</v>
      </c>
      <c r="W1443" s="246">
        <f>IFERROR(VLOOKUP(I1443,PROGRAMAS[],2,FALSE),0)</f>
        <v>764796700.79905891</v>
      </c>
      <c r="X1443" s="246">
        <f>IFERROR(VLOOKUP(J1443,PROGRAMAS[],2,FALSE),0)</f>
        <v>3776538594.4604583</v>
      </c>
      <c r="Y1443" s="246">
        <f>IFERROR(VLOOKUP(K1443,PROGRAMAS[],2,FALSE),0)</f>
        <v>7068496961.0436354</v>
      </c>
      <c r="Z1443" s="246">
        <f>IFERROR(VLOOKUP(L1443,PROGRAMAS[],2,FALSE),0)</f>
        <v>1892779498.5211046</v>
      </c>
      <c r="AA1443" s="246">
        <f>IFERROR(VLOOKUP(M1443,PROGRAMAS[],2,FALSE),0)</f>
        <v>0</v>
      </c>
      <c r="AB1443" s="246">
        <f>IFERROR(VLOOKUP(N1443,PROGRAMAS[],2,FALSE),0)</f>
        <v>0</v>
      </c>
      <c r="AC1443" s="246">
        <f>IFERROR(VLOOKUP(O1443,PROGRAMAS[],2,FALSE),0)</f>
        <v>0</v>
      </c>
      <c r="AD1443" s="246">
        <f>IFERROR(VLOOKUP(P1443,PROGRAMAS[],2,FALSE),0)</f>
        <v>0</v>
      </c>
      <c r="AE1443" s="246">
        <f>IFERROR(VLOOKUP(Q1443,PROGRAMAS[],2,FALSE),0)</f>
        <v>0</v>
      </c>
      <c r="AF1443" s="246">
        <f>IFERROR(VLOOKUP(D1443,PROGRAMAS[],3,FALSE),0)</f>
        <v>841888629.31080008</v>
      </c>
      <c r="AG1443" s="246">
        <f>IFERROR(VLOOKUP(E1443,PROGRAMAS[],3,FALSE),0)</f>
        <v>3848980803.1642323</v>
      </c>
      <c r="AH1443" s="246">
        <f>IFERROR(VLOOKUP(F1443,PROGRAMAS[],3,FALSE),0)</f>
        <v>3394901471.387517</v>
      </c>
      <c r="AI1443" s="246">
        <f>IFERROR(VLOOKUP(G1443,PROGRAMAS[],3,FALSE),0)</f>
        <v>6129902208.7912121</v>
      </c>
      <c r="AJ1443" s="246">
        <f>IFERROR(VLOOKUP(H1443,PROGRAMAS[],3,FALSE),0)</f>
        <v>4099471734.9978786</v>
      </c>
      <c r="AK1443" s="246">
        <f>IFERROR(VLOOKUP(I1443,PROGRAMAS[],3,FALSE),0)</f>
        <v>675517840.109828</v>
      </c>
      <c r="AL1443" s="246">
        <f>IFERROR(VLOOKUP(J1443,PROGRAMAS[],3,FALSE),0)</f>
        <v>2392571243.5584412</v>
      </c>
      <c r="AM1443" s="246">
        <f>IFERROR(VLOOKUP(K1443,PROGRAMAS[],3,FALSE),0)</f>
        <v>2406564599.0319901</v>
      </c>
      <c r="AN1443" s="246">
        <f>IFERROR(VLOOKUP(L1443,PROGRAMAS[],3,FALSE),0)</f>
        <v>948595847.09039903</v>
      </c>
      <c r="AO1443" s="246">
        <f>IFERROR(VLOOKUP(M1443,PROGRAMAS[],3,FALSE),0)</f>
        <v>0</v>
      </c>
      <c r="AP1443" s="246">
        <f>IFERROR(VLOOKUP(N1443,PROGRAMAS[],3,FALSE),0)</f>
        <v>0</v>
      </c>
      <c r="AQ1443" s="246">
        <f>IFERROR(VLOOKUP(O1443,PROGRAMAS[],3,FALSE),0)</f>
        <v>0</v>
      </c>
      <c r="AR1443" s="246">
        <f>IFERROR(VLOOKUP(P1443,PROGRAMAS[],3,FALSE),0)</f>
        <v>0</v>
      </c>
      <c r="AS1443" s="246">
        <f>IFERROR(VLOOKUP(Q1443,PROGRAMAS[],3,FALSE),0)</f>
        <v>0</v>
      </c>
      <c r="AT1443" s="246">
        <f>IFERROR(VLOOKUP(D1443,VOL_REC[],2,FALSE),0)</f>
        <v>0</v>
      </c>
      <c r="AU1443" s="246">
        <f>IFERROR(VLOOKUP(E1443,VOL_REC[],2,FALSE),0)</f>
        <v>0</v>
      </c>
      <c r="AV1443" s="246">
        <f>IFERROR(VLOOKUP(F1443,VOL_REC[],2,FALSE),0)</f>
        <v>11089674.200000001</v>
      </c>
      <c r="AW1443" s="246">
        <f>IFERROR(VLOOKUP(G1443,VOL_REC[],2,FALSE),0)</f>
        <v>15540036.397699751</v>
      </c>
      <c r="AX1443" s="246">
        <f>IFERROR(VLOOKUP(H1443,VOL_REC[],2,FALSE),0)</f>
        <v>1812240</v>
      </c>
      <c r="AY1443" s="246">
        <f>IFERROR(VLOOKUP(I1443,VOL_REC[],2,FALSE),0)</f>
        <v>240696.79238099116</v>
      </c>
      <c r="AZ1443" s="246">
        <f>IFERROR(VLOOKUP(J1443,VOL_REC[],2,FALSE),0)</f>
        <v>663244.80000000016</v>
      </c>
      <c r="BA1443" s="246">
        <f>IFERROR(VLOOKUP(K1443,VOL_REC[],2,FALSE),0)</f>
        <v>1072354.9981737854</v>
      </c>
      <c r="BB1443" s="246">
        <f>IFERROR(VLOOKUP(L1443,VOL_REC[],2,FALSE),0)</f>
        <v>740113.98115702497</v>
      </c>
      <c r="BC1443" s="246">
        <f>IFERROR(VLOOKUP(M1443,VOL_REC[],2,FALSE),0)</f>
        <v>0</v>
      </c>
      <c r="BD1443" s="246">
        <f>IFERROR(VLOOKUP(N1443,VOL_REC[],2,FALSE),0)</f>
        <v>0</v>
      </c>
      <c r="BE1443" s="246">
        <f>IFERROR(VLOOKUP(O1443,VOL_REC[],2,FALSE),0)</f>
        <v>0</v>
      </c>
      <c r="BF1443" s="246">
        <f>IFERROR(VLOOKUP(P1443,VOL_REC[],2,FALSE),0)</f>
        <v>0</v>
      </c>
      <c r="BG1443" s="246">
        <f>IFERROR(VLOOKUP(Q1443,VOL_REC[],2,FALSE),0)</f>
        <v>0</v>
      </c>
      <c r="BH1443" s="1710">
        <f t="shared" si="88"/>
        <v>28845442330.058167</v>
      </c>
      <c r="BI1443" s="1710">
        <f t="shared" si="89"/>
        <v>24738394377.442303</v>
      </c>
      <c r="BJ1443" s="1711">
        <f t="shared" si="90"/>
        <v>31158361.169411555</v>
      </c>
      <c r="BK1443" s="1711">
        <f t="shared" si="91"/>
        <v>1.1660191801437556</v>
      </c>
      <c r="BL1443">
        <f>BJ1443</f>
        <v>31158361.169411555</v>
      </c>
      <c r="BO1443">
        <f>BL1443</f>
        <v>31158361.169411555</v>
      </c>
    </row>
    <row r="1444" spans="3:67" x14ac:dyDescent="0.25">
      <c r="C1444" s="246" t="s">
        <v>2794</v>
      </c>
      <c r="D1444" s="246">
        <v>1</v>
      </c>
      <c r="E1444" s="246">
        <v>2</v>
      </c>
      <c r="F1444" s="246">
        <v>3</v>
      </c>
      <c r="G1444" s="246">
        <v>6</v>
      </c>
      <c r="H1444" s="246">
        <v>10</v>
      </c>
      <c r="I1444" s="246">
        <v>12</v>
      </c>
      <c r="J1444" s="246">
        <v>14</v>
      </c>
      <c r="K1444" s="246">
        <v>15</v>
      </c>
      <c r="L1444" s="246">
        <v>16</v>
      </c>
      <c r="M1444" s="246"/>
      <c r="N1444" s="246"/>
      <c r="O1444" s="246"/>
      <c r="P1444" s="246"/>
      <c r="Q1444" s="246"/>
      <c r="R1444" s="246">
        <f>IFERROR(VLOOKUP(D1444,PROGRAMAS[],2,FALSE),0)</f>
        <v>97037803.679377079</v>
      </c>
      <c r="S1444" s="246">
        <f>IFERROR(VLOOKUP(E1444,PROGRAMAS[],2,FALSE),0)</f>
        <v>640501509.6821388</v>
      </c>
      <c r="T1444" s="246">
        <f>IFERROR(VLOOKUP(F1444,PROGRAMAS[],2,FALSE),0)</f>
        <v>3062327798.1525245</v>
      </c>
      <c r="U1444" s="246">
        <f>IFERROR(VLOOKUP(G1444,PROGRAMAS[],2,FALSE),0)</f>
        <v>6907648435.8447599</v>
      </c>
      <c r="V1444" s="246">
        <f>IFERROR(VLOOKUP(H1444,PROGRAMAS[],2,FALSE),0)</f>
        <v>4635315027.8751087</v>
      </c>
      <c r="W1444" s="246">
        <f>IFERROR(VLOOKUP(I1444,PROGRAMAS[],2,FALSE),0)</f>
        <v>764796700.79905891</v>
      </c>
      <c r="X1444" s="246">
        <f>IFERROR(VLOOKUP(J1444,PROGRAMAS[],2,FALSE),0)</f>
        <v>54223862.645839565</v>
      </c>
      <c r="Y1444" s="246">
        <f>IFERROR(VLOOKUP(K1444,PROGRAMAS[],2,FALSE),0)</f>
        <v>122159672.96346797</v>
      </c>
      <c r="Z1444" s="246">
        <f>IFERROR(VLOOKUP(L1444,PROGRAMAS[],2,FALSE),0)</f>
        <v>7068496961.0436354</v>
      </c>
      <c r="AA1444" s="246">
        <f>IFERROR(VLOOKUP(M1444,PROGRAMAS[],2,FALSE),0)</f>
        <v>0</v>
      </c>
      <c r="AB1444" s="246">
        <f>IFERROR(VLOOKUP(N1444,PROGRAMAS[],2,FALSE),0)</f>
        <v>0</v>
      </c>
      <c r="AC1444" s="246">
        <f>IFERROR(VLOOKUP(O1444,PROGRAMAS[],2,FALSE),0)</f>
        <v>0</v>
      </c>
      <c r="AD1444" s="246">
        <f>IFERROR(VLOOKUP(P1444,PROGRAMAS[],2,FALSE),0)</f>
        <v>0</v>
      </c>
      <c r="AE1444" s="246">
        <f>IFERROR(VLOOKUP(Q1444,PROGRAMAS[],2,FALSE),0)</f>
        <v>0</v>
      </c>
      <c r="AF1444" s="246">
        <f>IFERROR(VLOOKUP(D1444,PROGRAMAS[],3,FALSE),0)</f>
        <v>841888629.31080008</v>
      </c>
      <c r="AG1444" s="246">
        <f>IFERROR(VLOOKUP(E1444,PROGRAMAS[],3,FALSE),0)</f>
        <v>3848980803.1642323</v>
      </c>
      <c r="AH1444" s="246">
        <f>IFERROR(VLOOKUP(F1444,PROGRAMAS[],3,FALSE),0)</f>
        <v>3394901471.387517</v>
      </c>
      <c r="AI1444" s="246">
        <f>IFERROR(VLOOKUP(G1444,PROGRAMAS[],3,FALSE),0)</f>
        <v>6129902208.7912121</v>
      </c>
      <c r="AJ1444" s="246">
        <f>IFERROR(VLOOKUP(H1444,PROGRAMAS[],3,FALSE),0)</f>
        <v>4099471734.9978786</v>
      </c>
      <c r="AK1444" s="246">
        <f>IFERROR(VLOOKUP(I1444,PROGRAMAS[],3,FALSE),0)</f>
        <v>675517840.109828</v>
      </c>
      <c r="AL1444" s="246">
        <f>IFERROR(VLOOKUP(J1444,PROGRAMAS[],3,FALSE),0)</f>
        <v>31865326.38096505</v>
      </c>
      <c r="AM1444" s="246">
        <f>IFERROR(VLOOKUP(K1444,PROGRAMAS[],3,FALSE),0)</f>
        <v>118617452.52510804</v>
      </c>
      <c r="AN1444" s="246">
        <f>IFERROR(VLOOKUP(L1444,PROGRAMAS[],3,FALSE),0)</f>
        <v>2406564599.0319901</v>
      </c>
      <c r="AO1444" s="246">
        <f>IFERROR(VLOOKUP(M1444,PROGRAMAS[],3,FALSE),0)</f>
        <v>0</v>
      </c>
      <c r="AP1444" s="246">
        <f>IFERROR(VLOOKUP(N1444,PROGRAMAS[],3,FALSE),0)</f>
        <v>0</v>
      </c>
      <c r="AQ1444" s="246">
        <f>IFERROR(VLOOKUP(O1444,PROGRAMAS[],3,FALSE),0)</f>
        <v>0</v>
      </c>
      <c r="AR1444" s="246">
        <f>IFERROR(VLOOKUP(P1444,PROGRAMAS[],3,FALSE),0)</f>
        <v>0</v>
      </c>
      <c r="AS1444" s="246">
        <f>IFERROR(VLOOKUP(Q1444,PROGRAMAS[],3,FALSE),0)</f>
        <v>0</v>
      </c>
      <c r="AT1444" s="246">
        <f>IFERROR(VLOOKUP(D1444,VOL_REC[],2,FALSE),0)</f>
        <v>0</v>
      </c>
      <c r="AU1444" s="246">
        <f>IFERROR(VLOOKUP(E1444,VOL_REC[],2,FALSE),0)</f>
        <v>0</v>
      </c>
      <c r="AV1444" s="246">
        <f>IFERROR(VLOOKUP(F1444,VOL_REC[],2,FALSE),0)</f>
        <v>11089674.200000001</v>
      </c>
      <c r="AW1444" s="246">
        <f>IFERROR(VLOOKUP(G1444,VOL_REC[],2,FALSE),0)</f>
        <v>15540036.397699751</v>
      </c>
      <c r="AX1444" s="246">
        <f>IFERROR(VLOOKUP(H1444,VOL_REC[],2,FALSE),0)</f>
        <v>1812240</v>
      </c>
      <c r="AY1444" s="246">
        <f>IFERROR(VLOOKUP(I1444,VOL_REC[],2,FALSE),0)</f>
        <v>240696.79238099116</v>
      </c>
      <c r="AZ1444" s="246">
        <f>IFERROR(VLOOKUP(J1444,VOL_REC[],2,FALSE),0)</f>
        <v>17074.045034105649</v>
      </c>
      <c r="BA1444" s="246">
        <f>IFERROR(VLOOKUP(K1444,VOL_REC[],2,FALSE),0)</f>
        <v>105072</v>
      </c>
      <c r="BB1444" s="246">
        <f>IFERROR(VLOOKUP(L1444,VOL_REC[],2,FALSE),0)</f>
        <v>1072354.9981737854</v>
      </c>
      <c r="BC1444" s="246">
        <f>IFERROR(VLOOKUP(M1444,VOL_REC[],2,FALSE),0)</f>
        <v>0</v>
      </c>
      <c r="BD1444" s="246">
        <f>IFERROR(VLOOKUP(N1444,VOL_REC[],2,FALSE),0)</f>
        <v>0</v>
      </c>
      <c r="BE1444" s="246">
        <f>IFERROR(VLOOKUP(O1444,VOL_REC[],2,FALSE),0)</f>
        <v>0</v>
      </c>
      <c r="BF1444" s="246">
        <f>IFERROR(VLOOKUP(P1444,VOL_REC[],2,FALSE),0)</f>
        <v>0</v>
      </c>
      <c r="BG1444" s="246">
        <f>IFERROR(VLOOKUP(Q1444,VOL_REC[],2,FALSE),0)</f>
        <v>0</v>
      </c>
      <c r="BH1444" s="1710">
        <f t="shared" si="88"/>
        <v>23352507772.685913</v>
      </c>
      <c r="BI1444" s="1710">
        <f t="shared" si="89"/>
        <v>21547710065.699535</v>
      </c>
      <c r="BJ1444" s="1711">
        <f t="shared" si="90"/>
        <v>29877148.433288638</v>
      </c>
      <c r="BK1444" s="1711">
        <f t="shared" si="91"/>
        <v>1.0837582138187074</v>
      </c>
      <c r="BL1444">
        <f>BJ1444</f>
        <v>29877148.433288638</v>
      </c>
      <c r="BO1444">
        <f>BL1444</f>
        <v>29877148.433288638</v>
      </c>
    </row>
    <row r="1445" spans="3:67" x14ac:dyDescent="0.25">
      <c r="C1445" s="246" t="s">
        <v>2795</v>
      </c>
      <c r="D1445" s="246">
        <v>1</v>
      </c>
      <c r="E1445" s="246">
        <v>2</v>
      </c>
      <c r="F1445" s="246">
        <v>3</v>
      </c>
      <c r="G1445" s="246">
        <v>6</v>
      </c>
      <c r="H1445" s="246">
        <v>10</v>
      </c>
      <c r="I1445" s="246">
        <v>12</v>
      </c>
      <c r="J1445" s="246">
        <v>14</v>
      </c>
      <c r="K1445" s="246">
        <v>15</v>
      </c>
      <c r="L1445" s="246">
        <v>17</v>
      </c>
      <c r="M1445" s="246"/>
      <c r="N1445" s="246"/>
      <c r="O1445" s="246"/>
      <c r="P1445" s="246"/>
      <c r="Q1445" s="246"/>
      <c r="R1445" s="246">
        <f>IFERROR(VLOOKUP(D1445,PROGRAMAS[],2,FALSE),0)</f>
        <v>97037803.679377079</v>
      </c>
      <c r="S1445" s="246">
        <f>IFERROR(VLOOKUP(E1445,PROGRAMAS[],2,FALSE),0)</f>
        <v>640501509.6821388</v>
      </c>
      <c r="T1445" s="246">
        <f>IFERROR(VLOOKUP(F1445,PROGRAMAS[],2,FALSE),0)</f>
        <v>3062327798.1525245</v>
      </c>
      <c r="U1445" s="246">
        <f>IFERROR(VLOOKUP(G1445,PROGRAMAS[],2,FALSE),0)</f>
        <v>6907648435.8447599</v>
      </c>
      <c r="V1445" s="246">
        <f>IFERROR(VLOOKUP(H1445,PROGRAMAS[],2,FALSE),0)</f>
        <v>4635315027.8751087</v>
      </c>
      <c r="W1445" s="246">
        <f>IFERROR(VLOOKUP(I1445,PROGRAMAS[],2,FALSE),0)</f>
        <v>764796700.79905891</v>
      </c>
      <c r="X1445" s="246">
        <f>IFERROR(VLOOKUP(J1445,PROGRAMAS[],2,FALSE),0)</f>
        <v>54223862.645839565</v>
      </c>
      <c r="Y1445" s="246">
        <f>IFERROR(VLOOKUP(K1445,PROGRAMAS[],2,FALSE),0)</f>
        <v>122159672.96346797</v>
      </c>
      <c r="Z1445" s="246">
        <f>IFERROR(VLOOKUP(L1445,PROGRAMAS[],2,FALSE),0)</f>
        <v>1892779498.5211046</v>
      </c>
      <c r="AA1445" s="246">
        <f>IFERROR(VLOOKUP(M1445,PROGRAMAS[],2,FALSE),0)</f>
        <v>0</v>
      </c>
      <c r="AB1445" s="246">
        <f>IFERROR(VLOOKUP(N1445,PROGRAMAS[],2,FALSE),0)</f>
        <v>0</v>
      </c>
      <c r="AC1445" s="246">
        <f>IFERROR(VLOOKUP(O1445,PROGRAMAS[],2,FALSE),0)</f>
        <v>0</v>
      </c>
      <c r="AD1445" s="246">
        <f>IFERROR(VLOOKUP(P1445,PROGRAMAS[],2,FALSE),0)</f>
        <v>0</v>
      </c>
      <c r="AE1445" s="246">
        <f>IFERROR(VLOOKUP(Q1445,PROGRAMAS[],2,FALSE),0)</f>
        <v>0</v>
      </c>
      <c r="AF1445" s="246">
        <f>IFERROR(VLOOKUP(D1445,PROGRAMAS[],3,FALSE),0)</f>
        <v>841888629.31080008</v>
      </c>
      <c r="AG1445" s="246">
        <f>IFERROR(VLOOKUP(E1445,PROGRAMAS[],3,FALSE),0)</f>
        <v>3848980803.1642323</v>
      </c>
      <c r="AH1445" s="246">
        <f>IFERROR(VLOOKUP(F1445,PROGRAMAS[],3,FALSE),0)</f>
        <v>3394901471.387517</v>
      </c>
      <c r="AI1445" s="246">
        <f>IFERROR(VLOOKUP(G1445,PROGRAMAS[],3,FALSE),0)</f>
        <v>6129902208.7912121</v>
      </c>
      <c r="AJ1445" s="246">
        <f>IFERROR(VLOOKUP(H1445,PROGRAMAS[],3,FALSE),0)</f>
        <v>4099471734.9978786</v>
      </c>
      <c r="AK1445" s="246">
        <f>IFERROR(VLOOKUP(I1445,PROGRAMAS[],3,FALSE),0)</f>
        <v>675517840.109828</v>
      </c>
      <c r="AL1445" s="246">
        <f>IFERROR(VLOOKUP(J1445,PROGRAMAS[],3,FALSE),0)</f>
        <v>31865326.38096505</v>
      </c>
      <c r="AM1445" s="246">
        <f>IFERROR(VLOOKUP(K1445,PROGRAMAS[],3,FALSE),0)</f>
        <v>118617452.52510804</v>
      </c>
      <c r="AN1445" s="246">
        <f>IFERROR(VLOOKUP(L1445,PROGRAMAS[],3,FALSE),0)</f>
        <v>948595847.09039903</v>
      </c>
      <c r="AO1445" s="246">
        <f>IFERROR(VLOOKUP(M1445,PROGRAMAS[],3,FALSE),0)</f>
        <v>0</v>
      </c>
      <c r="AP1445" s="246">
        <f>IFERROR(VLOOKUP(N1445,PROGRAMAS[],3,FALSE),0)</f>
        <v>0</v>
      </c>
      <c r="AQ1445" s="246">
        <f>IFERROR(VLOOKUP(O1445,PROGRAMAS[],3,FALSE),0)</f>
        <v>0</v>
      </c>
      <c r="AR1445" s="246">
        <f>IFERROR(VLOOKUP(P1445,PROGRAMAS[],3,FALSE),0)</f>
        <v>0</v>
      </c>
      <c r="AS1445" s="246">
        <f>IFERROR(VLOOKUP(Q1445,PROGRAMAS[],3,FALSE),0)</f>
        <v>0</v>
      </c>
      <c r="AT1445" s="246">
        <f>IFERROR(VLOOKUP(D1445,VOL_REC[],2,FALSE),0)</f>
        <v>0</v>
      </c>
      <c r="AU1445" s="246">
        <f>IFERROR(VLOOKUP(E1445,VOL_REC[],2,FALSE),0)</f>
        <v>0</v>
      </c>
      <c r="AV1445" s="246">
        <f>IFERROR(VLOOKUP(F1445,VOL_REC[],2,FALSE),0)</f>
        <v>11089674.200000001</v>
      </c>
      <c r="AW1445" s="246">
        <f>IFERROR(VLOOKUP(G1445,VOL_REC[],2,FALSE),0)</f>
        <v>15540036.397699751</v>
      </c>
      <c r="AX1445" s="246">
        <f>IFERROR(VLOOKUP(H1445,VOL_REC[],2,FALSE),0)</f>
        <v>1812240</v>
      </c>
      <c r="AY1445" s="246">
        <f>IFERROR(VLOOKUP(I1445,VOL_REC[],2,FALSE),0)</f>
        <v>240696.79238099116</v>
      </c>
      <c r="AZ1445" s="246">
        <f>IFERROR(VLOOKUP(J1445,VOL_REC[],2,FALSE),0)</f>
        <v>17074.045034105649</v>
      </c>
      <c r="BA1445" s="246">
        <f>IFERROR(VLOOKUP(K1445,VOL_REC[],2,FALSE),0)</f>
        <v>105072</v>
      </c>
      <c r="BB1445" s="246">
        <f>IFERROR(VLOOKUP(L1445,VOL_REC[],2,FALSE),0)</f>
        <v>740113.98115702497</v>
      </c>
      <c r="BC1445" s="246">
        <f>IFERROR(VLOOKUP(M1445,VOL_REC[],2,FALSE),0)</f>
        <v>0</v>
      </c>
      <c r="BD1445" s="246">
        <f>IFERROR(VLOOKUP(N1445,VOL_REC[],2,FALSE),0)</f>
        <v>0</v>
      </c>
      <c r="BE1445" s="246">
        <f>IFERROR(VLOOKUP(O1445,VOL_REC[],2,FALSE),0)</f>
        <v>0</v>
      </c>
      <c r="BF1445" s="246">
        <f>IFERROR(VLOOKUP(P1445,VOL_REC[],2,FALSE),0)</f>
        <v>0</v>
      </c>
      <c r="BG1445" s="246">
        <f>IFERROR(VLOOKUP(Q1445,VOL_REC[],2,FALSE),0)</f>
        <v>0</v>
      </c>
      <c r="BH1445" s="1710">
        <f t="shared" si="88"/>
        <v>18176790310.16338</v>
      </c>
      <c r="BI1445" s="1710">
        <f t="shared" si="89"/>
        <v>20089741313.757946</v>
      </c>
      <c r="BJ1445" s="1711">
        <f t="shared" si="90"/>
        <v>29544907.416271877</v>
      </c>
      <c r="BK1445" s="1711">
        <f t="shared" si="91"/>
        <v>0.90477970951848297</v>
      </c>
    </row>
    <row r="1446" spans="3:67" x14ac:dyDescent="0.25">
      <c r="C1446" s="246" t="s">
        <v>2796</v>
      </c>
      <c r="D1446" s="246">
        <v>1</v>
      </c>
      <c r="E1446" s="246">
        <v>2</v>
      </c>
      <c r="F1446" s="246">
        <v>3</v>
      </c>
      <c r="G1446" s="246">
        <v>6</v>
      </c>
      <c r="H1446" s="246">
        <v>10</v>
      </c>
      <c r="I1446" s="246">
        <v>12</v>
      </c>
      <c r="J1446" s="246">
        <v>14</v>
      </c>
      <c r="K1446" s="246">
        <v>16</v>
      </c>
      <c r="L1446" s="246">
        <v>17</v>
      </c>
      <c r="M1446" s="246"/>
      <c r="N1446" s="246"/>
      <c r="O1446" s="246"/>
      <c r="P1446" s="246"/>
      <c r="Q1446" s="246"/>
      <c r="R1446" s="246">
        <f>IFERROR(VLOOKUP(D1446,PROGRAMAS[],2,FALSE),0)</f>
        <v>97037803.679377079</v>
      </c>
      <c r="S1446" s="246">
        <f>IFERROR(VLOOKUP(E1446,PROGRAMAS[],2,FALSE),0)</f>
        <v>640501509.6821388</v>
      </c>
      <c r="T1446" s="246">
        <f>IFERROR(VLOOKUP(F1446,PROGRAMAS[],2,FALSE),0)</f>
        <v>3062327798.1525245</v>
      </c>
      <c r="U1446" s="246">
        <f>IFERROR(VLOOKUP(G1446,PROGRAMAS[],2,FALSE),0)</f>
        <v>6907648435.8447599</v>
      </c>
      <c r="V1446" s="246">
        <f>IFERROR(VLOOKUP(H1446,PROGRAMAS[],2,FALSE),0)</f>
        <v>4635315027.8751087</v>
      </c>
      <c r="W1446" s="246">
        <f>IFERROR(VLOOKUP(I1446,PROGRAMAS[],2,FALSE),0)</f>
        <v>764796700.79905891</v>
      </c>
      <c r="X1446" s="246">
        <f>IFERROR(VLOOKUP(J1446,PROGRAMAS[],2,FALSE),0)</f>
        <v>54223862.645839565</v>
      </c>
      <c r="Y1446" s="246">
        <f>IFERROR(VLOOKUP(K1446,PROGRAMAS[],2,FALSE),0)</f>
        <v>7068496961.0436354</v>
      </c>
      <c r="Z1446" s="246">
        <f>IFERROR(VLOOKUP(L1446,PROGRAMAS[],2,FALSE),0)</f>
        <v>1892779498.5211046</v>
      </c>
      <c r="AA1446" s="246">
        <f>IFERROR(VLOOKUP(M1446,PROGRAMAS[],2,FALSE),0)</f>
        <v>0</v>
      </c>
      <c r="AB1446" s="246">
        <f>IFERROR(VLOOKUP(N1446,PROGRAMAS[],2,FALSE),0)</f>
        <v>0</v>
      </c>
      <c r="AC1446" s="246">
        <f>IFERROR(VLOOKUP(O1446,PROGRAMAS[],2,FALSE),0)</f>
        <v>0</v>
      </c>
      <c r="AD1446" s="246">
        <f>IFERROR(VLOOKUP(P1446,PROGRAMAS[],2,FALSE),0)</f>
        <v>0</v>
      </c>
      <c r="AE1446" s="246">
        <f>IFERROR(VLOOKUP(Q1446,PROGRAMAS[],2,FALSE),0)</f>
        <v>0</v>
      </c>
      <c r="AF1446" s="246">
        <f>IFERROR(VLOOKUP(D1446,PROGRAMAS[],3,FALSE),0)</f>
        <v>841888629.31080008</v>
      </c>
      <c r="AG1446" s="246">
        <f>IFERROR(VLOOKUP(E1446,PROGRAMAS[],3,FALSE),0)</f>
        <v>3848980803.1642323</v>
      </c>
      <c r="AH1446" s="246">
        <f>IFERROR(VLOOKUP(F1446,PROGRAMAS[],3,FALSE),0)</f>
        <v>3394901471.387517</v>
      </c>
      <c r="AI1446" s="246">
        <f>IFERROR(VLOOKUP(G1446,PROGRAMAS[],3,FALSE),0)</f>
        <v>6129902208.7912121</v>
      </c>
      <c r="AJ1446" s="246">
        <f>IFERROR(VLOOKUP(H1446,PROGRAMAS[],3,FALSE),0)</f>
        <v>4099471734.9978786</v>
      </c>
      <c r="AK1446" s="246">
        <f>IFERROR(VLOOKUP(I1446,PROGRAMAS[],3,FALSE),0)</f>
        <v>675517840.109828</v>
      </c>
      <c r="AL1446" s="246">
        <f>IFERROR(VLOOKUP(J1446,PROGRAMAS[],3,FALSE),0)</f>
        <v>31865326.38096505</v>
      </c>
      <c r="AM1446" s="246">
        <f>IFERROR(VLOOKUP(K1446,PROGRAMAS[],3,FALSE),0)</f>
        <v>2406564599.0319901</v>
      </c>
      <c r="AN1446" s="246">
        <f>IFERROR(VLOOKUP(L1446,PROGRAMAS[],3,FALSE),0)</f>
        <v>948595847.09039903</v>
      </c>
      <c r="AO1446" s="246">
        <f>IFERROR(VLOOKUP(M1446,PROGRAMAS[],3,FALSE),0)</f>
        <v>0</v>
      </c>
      <c r="AP1446" s="246">
        <f>IFERROR(VLOOKUP(N1446,PROGRAMAS[],3,FALSE),0)</f>
        <v>0</v>
      </c>
      <c r="AQ1446" s="246">
        <f>IFERROR(VLOOKUP(O1446,PROGRAMAS[],3,FALSE),0)</f>
        <v>0</v>
      </c>
      <c r="AR1446" s="246">
        <f>IFERROR(VLOOKUP(P1446,PROGRAMAS[],3,FALSE),0)</f>
        <v>0</v>
      </c>
      <c r="AS1446" s="246">
        <f>IFERROR(VLOOKUP(Q1446,PROGRAMAS[],3,FALSE),0)</f>
        <v>0</v>
      </c>
      <c r="AT1446" s="246">
        <f>IFERROR(VLOOKUP(D1446,VOL_REC[],2,FALSE),0)</f>
        <v>0</v>
      </c>
      <c r="AU1446" s="246">
        <f>IFERROR(VLOOKUP(E1446,VOL_REC[],2,FALSE),0)</f>
        <v>0</v>
      </c>
      <c r="AV1446" s="246">
        <f>IFERROR(VLOOKUP(F1446,VOL_REC[],2,FALSE),0)</f>
        <v>11089674.200000001</v>
      </c>
      <c r="AW1446" s="246">
        <f>IFERROR(VLOOKUP(G1446,VOL_REC[],2,FALSE),0)</f>
        <v>15540036.397699751</v>
      </c>
      <c r="AX1446" s="246">
        <f>IFERROR(VLOOKUP(H1446,VOL_REC[],2,FALSE),0)</f>
        <v>1812240</v>
      </c>
      <c r="AY1446" s="246">
        <f>IFERROR(VLOOKUP(I1446,VOL_REC[],2,FALSE),0)</f>
        <v>240696.79238099116</v>
      </c>
      <c r="AZ1446" s="246">
        <f>IFERROR(VLOOKUP(J1446,VOL_REC[],2,FALSE),0)</f>
        <v>17074.045034105649</v>
      </c>
      <c r="BA1446" s="246">
        <f>IFERROR(VLOOKUP(K1446,VOL_REC[],2,FALSE),0)</f>
        <v>1072354.9981737854</v>
      </c>
      <c r="BB1446" s="246">
        <f>IFERROR(VLOOKUP(L1446,VOL_REC[],2,FALSE),0)</f>
        <v>740113.98115702497</v>
      </c>
      <c r="BC1446" s="246">
        <f>IFERROR(VLOOKUP(M1446,VOL_REC[],2,FALSE),0)</f>
        <v>0</v>
      </c>
      <c r="BD1446" s="246">
        <f>IFERROR(VLOOKUP(N1446,VOL_REC[],2,FALSE),0)</f>
        <v>0</v>
      </c>
      <c r="BE1446" s="246">
        <f>IFERROR(VLOOKUP(O1446,VOL_REC[],2,FALSE),0)</f>
        <v>0</v>
      </c>
      <c r="BF1446" s="246">
        <f>IFERROR(VLOOKUP(P1446,VOL_REC[],2,FALSE),0)</f>
        <v>0</v>
      </c>
      <c r="BG1446" s="246">
        <f>IFERROR(VLOOKUP(Q1446,VOL_REC[],2,FALSE),0)</f>
        <v>0</v>
      </c>
      <c r="BH1446" s="1710">
        <f t="shared" si="88"/>
        <v>25123127598.243546</v>
      </c>
      <c r="BI1446" s="1710">
        <f t="shared" si="89"/>
        <v>22377688460.264828</v>
      </c>
      <c r="BJ1446" s="1711">
        <f t="shared" si="90"/>
        <v>30512190.414445661</v>
      </c>
      <c r="BK1446" s="1711">
        <f t="shared" si="91"/>
        <v>1.1226864491769866</v>
      </c>
      <c r="BL1446">
        <f>BJ1446</f>
        <v>30512190.414445661</v>
      </c>
      <c r="BO1446">
        <f>BL1446</f>
        <v>30512190.414445661</v>
      </c>
    </row>
    <row r="1447" spans="3:67" x14ac:dyDescent="0.25">
      <c r="C1447" s="246" t="s">
        <v>2797</v>
      </c>
      <c r="D1447" s="246">
        <v>1</v>
      </c>
      <c r="E1447" s="246">
        <v>2</v>
      </c>
      <c r="F1447" s="246">
        <v>3</v>
      </c>
      <c r="G1447" s="246">
        <v>6</v>
      </c>
      <c r="H1447" s="246">
        <v>10</v>
      </c>
      <c r="I1447" s="246">
        <v>12</v>
      </c>
      <c r="J1447" s="246">
        <v>15</v>
      </c>
      <c r="K1447" s="246">
        <v>16</v>
      </c>
      <c r="L1447" s="246">
        <v>17</v>
      </c>
      <c r="M1447" s="246"/>
      <c r="N1447" s="246"/>
      <c r="O1447" s="246"/>
      <c r="P1447" s="246"/>
      <c r="Q1447" s="246"/>
      <c r="R1447" s="246">
        <f>IFERROR(VLOOKUP(D1447,PROGRAMAS[],2,FALSE),0)</f>
        <v>97037803.679377079</v>
      </c>
      <c r="S1447" s="246">
        <f>IFERROR(VLOOKUP(E1447,PROGRAMAS[],2,FALSE),0)</f>
        <v>640501509.6821388</v>
      </c>
      <c r="T1447" s="246">
        <f>IFERROR(VLOOKUP(F1447,PROGRAMAS[],2,FALSE),0)</f>
        <v>3062327798.1525245</v>
      </c>
      <c r="U1447" s="246">
        <f>IFERROR(VLOOKUP(G1447,PROGRAMAS[],2,FALSE),0)</f>
        <v>6907648435.8447599</v>
      </c>
      <c r="V1447" s="246">
        <f>IFERROR(VLOOKUP(H1447,PROGRAMAS[],2,FALSE),0)</f>
        <v>4635315027.8751087</v>
      </c>
      <c r="W1447" s="246">
        <f>IFERROR(VLOOKUP(I1447,PROGRAMAS[],2,FALSE),0)</f>
        <v>764796700.79905891</v>
      </c>
      <c r="X1447" s="246">
        <f>IFERROR(VLOOKUP(J1447,PROGRAMAS[],2,FALSE),0)</f>
        <v>122159672.96346797</v>
      </c>
      <c r="Y1447" s="246">
        <f>IFERROR(VLOOKUP(K1447,PROGRAMAS[],2,FALSE),0)</f>
        <v>7068496961.0436354</v>
      </c>
      <c r="Z1447" s="246">
        <f>IFERROR(VLOOKUP(L1447,PROGRAMAS[],2,FALSE),0)</f>
        <v>1892779498.5211046</v>
      </c>
      <c r="AA1447" s="246">
        <f>IFERROR(VLOOKUP(M1447,PROGRAMAS[],2,FALSE),0)</f>
        <v>0</v>
      </c>
      <c r="AB1447" s="246">
        <f>IFERROR(VLOOKUP(N1447,PROGRAMAS[],2,FALSE),0)</f>
        <v>0</v>
      </c>
      <c r="AC1447" s="246">
        <f>IFERROR(VLOOKUP(O1447,PROGRAMAS[],2,FALSE),0)</f>
        <v>0</v>
      </c>
      <c r="AD1447" s="246">
        <f>IFERROR(VLOOKUP(P1447,PROGRAMAS[],2,FALSE),0)</f>
        <v>0</v>
      </c>
      <c r="AE1447" s="246">
        <f>IFERROR(VLOOKUP(Q1447,PROGRAMAS[],2,FALSE),0)</f>
        <v>0</v>
      </c>
      <c r="AF1447" s="246">
        <f>IFERROR(VLOOKUP(D1447,PROGRAMAS[],3,FALSE),0)</f>
        <v>841888629.31080008</v>
      </c>
      <c r="AG1447" s="246">
        <f>IFERROR(VLOOKUP(E1447,PROGRAMAS[],3,FALSE),0)</f>
        <v>3848980803.1642323</v>
      </c>
      <c r="AH1447" s="246">
        <f>IFERROR(VLOOKUP(F1447,PROGRAMAS[],3,FALSE),0)</f>
        <v>3394901471.387517</v>
      </c>
      <c r="AI1447" s="246">
        <f>IFERROR(VLOOKUP(G1447,PROGRAMAS[],3,FALSE),0)</f>
        <v>6129902208.7912121</v>
      </c>
      <c r="AJ1447" s="246">
        <f>IFERROR(VLOOKUP(H1447,PROGRAMAS[],3,FALSE),0)</f>
        <v>4099471734.9978786</v>
      </c>
      <c r="AK1447" s="246">
        <f>IFERROR(VLOOKUP(I1447,PROGRAMAS[],3,FALSE),0)</f>
        <v>675517840.109828</v>
      </c>
      <c r="AL1447" s="246">
        <f>IFERROR(VLOOKUP(J1447,PROGRAMAS[],3,FALSE),0)</f>
        <v>118617452.52510804</v>
      </c>
      <c r="AM1447" s="246">
        <f>IFERROR(VLOOKUP(K1447,PROGRAMAS[],3,FALSE),0)</f>
        <v>2406564599.0319901</v>
      </c>
      <c r="AN1447" s="246">
        <f>IFERROR(VLOOKUP(L1447,PROGRAMAS[],3,FALSE),0)</f>
        <v>948595847.09039903</v>
      </c>
      <c r="AO1447" s="246">
        <f>IFERROR(VLOOKUP(M1447,PROGRAMAS[],3,FALSE),0)</f>
        <v>0</v>
      </c>
      <c r="AP1447" s="246">
        <f>IFERROR(VLOOKUP(N1447,PROGRAMAS[],3,FALSE),0)</f>
        <v>0</v>
      </c>
      <c r="AQ1447" s="246">
        <f>IFERROR(VLOOKUP(O1447,PROGRAMAS[],3,FALSE),0)</f>
        <v>0</v>
      </c>
      <c r="AR1447" s="246">
        <f>IFERROR(VLOOKUP(P1447,PROGRAMAS[],3,FALSE),0)</f>
        <v>0</v>
      </c>
      <c r="AS1447" s="246">
        <f>IFERROR(VLOOKUP(Q1447,PROGRAMAS[],3,FALSE),0)</f>
        <v>0</v>
      </c>
      <c r="AT1447" s="246">
        <f>IFERROR(VLOOKUP(D1447,VOL_REC[],2,FALSE),0)</f>
        <v>0</v>
      </c>
      <c r="AU1447" s="246">
        <f>IFERROR(VLOOKUP(E1447,VOL_REC[],2,FALSE),0)</f>
        <v>0</v>
      </c>
      <c r="AV1447" s="246">
        <f>IFERROR(VLOOKUP(F1447,VOL_REC[],2,FALSE),0)</f>
        <v>11089674.200000001</v>
      </c>
      <c r="AW1447" s="246">
        <f>IFERROR(VLOOKUP(G1447,VOL_REC[],2,FALSE),0)</f>
        <v>15540036.397699751</v>
      </c>
      <c r="AX1447" s="246">
        <f>IFERROR(VLOOKUP(H1447,VOL_REC[],2,FALSE),0)</f>
        <v>1812240</v>
      </c>
      <c r="AY1447" s="246">
        <f>IFERROR(VLOOKUP(I1447,VOL_REC[],2,FALSE),0)</f>
        <v>240696.79238099116</v>
      </c>
      <c r="AZ1447" s="246">
        <f>IFERROR(VLOOKUP(J1447,VOL_REC[],2,FALSE),0)</f>
        <v>105072</v>
      </c>
      <c r="BA1447" s="246">
        <f>IFERROR(VLOOKUP(K1447,VOL_REC[],2,FALSE),0)</f>
        <v>1072354.9981737854</v>
      </c>
      <c r="BB1447" s="246">
        <f>IFERROR(VLOOKUP(L1447,VOL_REC[],2,FALSE),0)</f>
        <v>740113.98115702497</v>
      </c>
      <c r="BC1447" s="246">
        <f>IFERROR(VLOOKUP(M1447,VOL_REC[],2,FALSE),0)</f>
        <v>0</v>
      </c>
      <c r="BD1447" s="246">
        <f>IFERROR(VLOOKUP(N1447,VOL_REC[],2,FALSE),0)</f>
        <v>0</v>
      </c>
      <c r="BE1447" s="246">
        <f>IFERROR(VLOOKUP(O1447,VOL_REC[],2,FALSE),0)</f>
        <v>0</v>
      </c>
      <c r="BF1447" s="246">
        <f>IFERROR(VLOOKUP(P1447,VOL_REC[],2,FALSE),0)</f>
        <v>0</v>
      </c>
      <c r="BG1447" s="246">
        <f>IFERROR(VLOOKUP(Q1447,VOL_REC[],2,FALSE),0)</f>
        <v>0</v>
      </c>
      <c r="BH1447" s="1710">
        <f t="shared" si="88"/>
        <v>25191063408.561176</v>
      </c>
      <c r="BI1447" s="1710">
        <f t="shared" si="89"/>
        <v>22464440586.40897</v>
      </c>
      <c r="BJ1447" s="1711">
        <f t="shared" si="90"/>
        <v>30600188.369411554</v>
      </c>
      <c r="BK1447" s="1711">
        <f t="shared" si="91"/>
        <v>1.121375059915884</v>
      </c>
      <c r="BL1447">
        <f>BJ1447</f>
        <v>30600188.369411554</v>
      </c>
      <c r="BO1447">
        <f>BL1447</f>
        <v>30600188.369411554</v>
      </c>
    </row>
    <row r="1448" spans="3:67" x14ac:dyDescent="0.25">
      <c r="C1448" s="246" t="s">
        <v>2798</v>
      </c>
      <c r="D1448" s="246">
        <v>1</v>
      </c>
      <c r="E1448" s="246">
        <v>2</v>
      </c>
      <c r="F1448" s="246">
        <v>3</v>
      </c>
      <c r="G1448" s="246">
        <v>6</v>
      </c>
      <c r="H1448" s="246">
        <v>10</v>
      </c>
      <c r="I1448" s="246">
        <v>13</v>
      </c>
      <c r="J1448" s="246">
        <v>14</v>
      </c>
      <c r="K1448" s="246">
        <v>15</v>
      </c>
      <c r="L1448" s="246">
        <v>16</v>
      </c>
      <c r="M1448" s="246"/>
      <c r="N1448" s="246"/>
      <c r="O1448" s="246"/>
      <c r="P1448" s="246"/>
      <c r="Q1448" s="246"/>
      <c r="R1448" s="246">
        <f>IFERROR(VLOOKUP(D1448,PROGRAMAS[],2,FALSE),0)</f>
        <v>97037803.679377079</v>
      </c>
      <c r="S1448" s="246">
        <f>IFERROR(VLOOKUP(E1448,PROGRAMAS[],2,FALSE),0)</f>
        <v>640501509.6821388</v>
      </c>
      <c r="T1448" s="246">
        <f>IFERROR(VLOOKUP(F1448,PROGRAMAS[],2,FALSE),0)</f>
        <v>3062327798.1525245</v>
      </c>
      <c r="U1448" s="246">
        <f>IFERROR(VLOOKUP(G1448,PROGRAMAS[],2,FALSE),0)</f>
        <v>6907648435.8447599</v>
      </c>
      <c r="V1448" s="246">
        <f>IFERROR(VLOOKUP(H1448,PROGRAMAS[],2,FALSE),0)</f>
        <v>4635315027.8751087</v>
      </c>
      <c r="W1448" s="246">
        <f>IFERROR(VLOOKUP(I1448,PROGRAMAS[],2,FALSE),0)</f>
        <v>3776538594.4604583</v>
      </c>
      <c r="X1448" s="246">
        <f>IFERROR(VLOOKUP(J1448,PROGRAMAS[],2,FALSE),0)</f>
        <v>54223862.645839565</v>
      </c>
      <c r="Y1448" s="246">
        <f>IFERROR(VLOOKUP(K1448,PROGRAMAS[],2,FALSE),0)</f>
        <v>122159672.96346797</v>
      </c>
      <c r="Z1448" s="246">
        <f>IFERROR(VLOOKUP(L1448,PROGRAMAS[],2,FALSE),0)</f>
        <v>7068496961.0436354</v>
      </c>
      <c r="AA1448" s="246">
        <f>IFERROR(VLOOKUP(M1448,PROGRAMAS[],2,FALSE),0)</f>
        <v>0</v>
      </c>
      <c r="AB1448" s="246">
        <f>IFERROR(VLOOKUP(N1448,PROGRAMAS[],2,FALSE),0)</f>
        <v>0</v>
      </c>
      <c r="AC1448" s="246">
        <f>IFERROR(VLOOKUP(O1448,PROGRAMAS[],2,FALSE),0)</f>
        <v>0</v>
      </c>
      <c r="AD1448" s="246">
        <f>IFERROR(VLOOKUP(P1448,PROGRAMAS[],2,FALSE),0)</f>
        <v>0</v>
      </c>
      <c r="AE1448" s="246">
        <f>IFERROR(VLOOKUP(Q1448,PROGRAMAS[],2,FALSE),0)</f>
        <v>0</v>
      </c>
      <c r="AF1448" s="246">
        <f>IFERROR(VLOOKUP(D1448,PROGRAMAS[],3,FALSE),0)</f>
        <v>841888629.31080008</v>
      </c>
      <c r="AG1448" s="246">
        <f>IFERROR(VLOOKUP(E1448,PROGRAMAS[],3,FALSE),0)</f>
        <v>3848980803.1642323</v>
      </c>
      <c r="AH1448" s="246">
        <f>IFERROR(VLOOKUP(F1448,PROGRAMAS[],3,FALSE),0)</f>
        <v>3394901471.387517</v>
      </c>
      <c r="AI1448" s="246">
        <f>IFERROR(VLOOKUP(G1448,PROGRAMAS[],3,FALSE),0)</f>
        <v>6129902208.7912121</v>
      </c>
      <c r="AJ1448" s="246">
        <f>IFERROR(VLOOKUP(H1448,PROGRAMAS[],3,FALSE),0)</f>
        <v>4099471734.9978786</v>
      </c>
      <c r="AK1448" s="246">
        <f>IFERROR(VLOOKUP(I1448,PROGRAMAS[],3,FALSE),0)</f>
        <v>2392571243.5584412</v>
      </c>
      <c r="AL1448" s="246">
        <f>IFERROR(VLOOKUP(J1448,PROGRAMAS[],3,FALSE),0)</f>
        <v>31865326.38096505</v>
      </c>
      <c r="AM1448" s="246">
        <f>IFERROR(VLOOKUP(K1448,PROGRAMAS[],3,FALSE),0)</f>
        <v>118617452.52510804</v>
      </c>
      <c r="AN1448" s="246">
        <f>IFERROR(VLOOKUP(L1448,PROGRAMAS[],3,FALSE),0)</f>
        <v>2406564599.0319901</v>
      </c>
      <c r="AO1448" s="246">
        <f>IFERROR(VLOOKUP(M1448,PROGRAMAS[],3,FALSE),0)</f>
        <v>0</v>
      </c>
      <c r="AP1448" s="246">
        <f>IFERROR(VLOOKUP(N1448,PROGRAMAS[],3,FALSE),0)</f>
        <v>0</v>
      </c>
      <c r="AQ1448" s="246">
        <f>IFERROR(VLOOKUP(O1448,PROGRAMAS[],3,FALSE),0)</f>
        <v>0</v>
      </c>
      <c r="AR1448" s="246">
        <f>IFERROR(VLOOKUP(P1448,PROGRAMAS[],3,FALSE),0)</f>
        <v>0</v>
      </c>
      <c r="AS1448" s="246">
        <f>IFERROR(VLOOKUP(Q1448,PROGRAMAS[],3,FALSE),0)</f>
        <v>0</v>
      </c>
      <c r="AT1448" s="246">
        <f>IFERROR(VLOOKUP(D1448,VOL_REC[],2,FALSE),0)</f>
        <v>0</v>
      </c>
      <c r="AU1448" s="246">
        <f>IFERROR(VLOOKUP(E1448,VOL_REC[],2,FALSE),0)</f>
        <v>0</v>
      </c>
      <c r="AV1448" s="246">
        <f>IFERROR(VLOOKUP(F1448,VOL_REC[],2,FALSE),0)</f>
        <v>11089674.200000001</v>
      </c>
      <c r="AW1448" s="246">
        <f>IFERROR(VLOOKUP(G1448,VOL_REC[],2,FALSE),0)</f>
        <v>15540036.397699751</v>
      </c>
      <c r="AX1448" s="246">
        <f>IFERROR(VLOOKUP(H1448,VOL_REC[],2,FALSE),0)</f>
        <v>1812240</v>
      </c>
      <c r="AY1448" s="246">
        <f>IFERROR(VLOOKUP(I1448,VOL_REC[],2,FALSE),0)</f>
        <v>663244.80000000016</v>
      </c>
      <c r="AZ1448" s="246">
        <f>IFERROR(VLOOKUP(J1448,VOL_REC[],2,FALSE),0)</f>
        <v>17074.045034105649</v>
      </c>
      <c r="BA1448" s="246">
        <f>IFERROR(VLOOKUP(K1448,VOL_REC[],2,FALSE),0)</f>
        <v>105072</v>
      </c>
      <c r="BB1448" s="246">
        <f>IFERROR(VLOOKUP(L1448,VOL_REC[],2,FALSE),0)</f>
        <v>1072354.9981737854</v>
      </c>
      <c r="BC1448" s="246">
        <f>IFERROR(VLOOKUP(M1448,VOL_REC[],2,FALSE),0)</f>
        <v>0</v>
      </c>
      <c r="BD1448" s="246">
        <f>IFERROR(VLOOKUP(N1448,VOL_REC[],2,FALSE),0)</f>
        <v>0</v>
      </c>
      <c r="BE1448" s="246">
        <f>IFERROR(VLOOKUP(O1448,VOL_REC[],2,FALSE),0)</f>
        <v>0</v>
      </c>
      <c r="BF1448" s="246">
        <f>IFERROR(VLOOKUP(P1448,VOL_REC[],2,FALSE),0)</f>
        <v>0</v>
      </c>
      <c r="BG1448" s="246">
        <f>IFERROR(VLOOKUP(Q1448,VOL_REC[],2,FALSE),0)</f>
        <v>0</v>
      </c>
      <c r="BH1448" s="1710">
        <f t="shared" si="88"/>
        <v>26364249666.347309</v>
      </c>
      <c r="BI1448" s="1710">
        <f t="shared" si="89"/>
        <v>23264763469.148148</v>
      </c>
      <c r="BJ1448" s="1711">
        <f t="shared" si="90"/>
        <v>30299696.440907646</v>
      </c>
      <c r="BK1448" s="1711">
        <f t="shared" si="91"/>
        <v>1.1332266369829829</v>
      </c>
      <c r="BL1448">
        <f>BJ1448</f>
        <v>30299696.440907646</v>
      </c>
      <c r="BO1448">
        <f>BL1448</f>
        <v>30299696.440907646</v>
      </c>
    </row>
    <row r="1449" spans="3:67" x14ac:dyDescent="0.25">
      <c r="C1449" s="246" t="s">
        <v>2799</v>
      </c>
      <c r="D1449" s="246">
        <v>1</v>
      </c>
      <c r="E1449" s="246">
        <v>2</v>
      </c>
      <c r="F1449" s="246">
        <v>3</v>
      </c>
      <c r="G1449" s="246">
        <v>6</v>
      </c>
      <c r="H1449" s="246">
        <v>10</v>
      </c>
      <c r="I1449" s="246">
        <v>13</v>
      </c>
      <c r="J1449" s="246">
        <v>14</v>
      </c>
      <c r="K1449" s="246">
        <v>15</v>
      </c>
      <c r="L1449" s="246">
        <v>17</v>
      </c>
      <c r="M1449" s="246"/>
      <c r="N1449" s="246"/>
      <c r="O1449" s="246"/>
      <c r="P1449" s="246"/>
      <c r="Q1449" s="246"/>
      <c r="R1449" s="246">
        <f>IFERROR(VLOOKUP(D1449,PROGRAMAS[],2,FALSE),0)</f>
        <v>97037803.679377079</v>
      </c>
      <c r="S1449" s="246">
        <f>IFERROR(VLOOKUP(E1449,PROGRAMAS[],2,FALSE),0)</f>
        <v>640501509.6821388</v>
      </c>
      <c r="T1449" s="246">
        <f>IFERROR(VLOOKUP(F1449,PROGRAMAS[],2,FALSE),0)</f>
        <v>3062327798.1525245</v>
      </c>
      <c r="U1449" s="246">
        <f>IFERROR(VLOOKUP(G1449,PROGRAMAS[],2,FALSE),0)</f>
        <v>6907648435.8447599</v>
      </c>
      <c r="V1449" s="246">
        <f>IFERROR(VLOOKUP(H1449,PROGRAMAS[],2,FALSE),0)</f>
        <v>4635315027.8751087</v>
      </c>
      <c r="W1449" s="246">
        <f>IFERROR(VLOOKUP(I1449,PROGRAMAS[],2,FALSE),0)</f>
        <v>3776538594.4604583</v>
      </c>
      <c r="X1449" s="246">
        <f>IFERROR(VLOOKUP(J1449,PROGRAMAS[],2,FALSE),0)</f>
        <v>54223862.645839565</v>
      </c>
      <c r="Y1449" s="246">
        <f>IFERROR(VLOOKUP(K1449,PROGRAMAS[],2,FALSE),0)</f>
        <v>122159672.96346797</v>
      </c>
      <c r="Z1449" s="246">
        <f>IFERROR(VLOOKUP(L1449,PROGRAMAS[],2,FALSE),0)</f>
        <v>1892779498.5211046</v>
      </c>
      <c r="AA1449" s="246">
        <f>IFERROR(VLOOKUP(M1449,PROGRAMAS[],2,FALSE),0)</f>
        <v>0</v>
      </c>
      <c r="AB1449" s="246">
        <f>IFERROR(VLOOKUP(N1449,PROGRAMAS[],2,FALSE),0)</f>
        <v>0</v>
      </c>
      <c r="AC1449" s="246">
        <f>IFERROR(VLOOKUP(O1449,PROGRAMAS[],2,FALSE),0)</f>
        <v>0</v>
      </c>
      <c r="AD1449" s="246">
        <f>IFERROR(VLOOKUP(P1449,PROGRAMAS[],2,FALSE),0)</f>
        <v>0</v>
      </c>
      <c r="AE1449" s="246">
        <f>IFERROR(VLOOKUP(Q1449,PROGRAMAS[],2,FALSE),0)</f>
        <v>0</v>
      </c>
      <c r="AF1449" s="246">
        <f>IFERROR(VLOOKUP(D1449,PROGRAMAS[],3,FALSE),0)</f>
        <v>841888629.31080008</v>
      </c>
      <c r="AG1449" s="246">
        <f>IFERROR(VLOOKUP(E1449,PROGRAMAS[],3,FALSE),0)</f>
        <v>3848980803.1642323</v>
      </c>
      <c r="AH1449" s="246">
        <f>IFERROR(VLOOKUP(F1449,PROGRAMAS[],3,FALSE),0)</f>
        <v>3394901471.387517</v>
      </c>
      <c r="AI1449" s="246">
        <f>IFERROR(VLOOKUP(G1449,PROGRAMAS[],3,FALSE),0)</f>
        <v>6129902208.7912121</v>
      </c>
      <c r="AJ1449" s="246">
        <f>IFERROR(VLOOKUP(H1449,PROGRAMAS[],3,FALSE),0)</f>
        <v>4099471734.9978786</v>
      </c>
      <c r="AK1449" s="246">
        <f>IFERROR(VLOOKUP(I1449,PROGRAMAS[],3,FALSE),0)</f>
        <v>2392571243.5584412</v>
      </c>
      <c r="AL1449" s="246">
        <f>IFERROR(VLOOKUP(J1449,PROGRAMAS[],3,FALSE),0)</f>
        <v>31865326.38096505</v>
      </c>
      <c r="AM1449" s="246">
        <f>IFERROR(VLOOKUP(K1449,PROGRAMAS[],3,FALSE),0)</f>
        <v>118617452.52510804</v>
      </c>
      <c r="AN1449" s="246">
        <f>IFERROR(VLOOKUP(L1449,PROGRAMAS[],3,FALSE),0)</f>
        <v>948595847.09039903</v>
      </c>
      <c r="AO1449" s="246">
        <f>IFERROR(VLOOKUP(M1449,PROGRAMAS[],3,FALSE),0)</f>
        <v>0</v>
      </c>
      <c r="AP1449" s="246">
        <f>IFERROR(VLOOKUP(N1449,PROGRAMAS[],3,FALSE),0)</f>
        <v>0</v>
      </c>
      <c r="AQ1449" s="246">
        <f>IFERROR(VLOOKUP(O1449,PROGRAMAS[],3,FALSE),0)</f>
        <v>0</v>
      </c>
      <c r="AR1449" s="246">
        <f>IFERROR(VLOOKUP(P1449,PROGRAMAS[],3,FALSE),0)</f>
        <v>0</v>
      </c>
      <c r="AS1449" s="246">
        <f>IFERROR(VLOOKUP(Q1449,PROGRAMAS[],3,FALSE),0)</f>
        <v>0</v>
      </c>
      <c r="AT1449" s="246">
        <f>IFERROR(VLOOKUP(D1449,VOL_REC[],2,FALSE),0)</f>
        <v>0</v>
      </c>
      <c r="AU1449" s="246">
        <f>IFERROR(VLOOKUP(E1449,VOL_REC[],2,FALSE),0)</f>
        <v>0</v>
      </c>
      <c r="AV1449" s="246">
        <f>IFERROR(VLOOKUP(F1449,VOL_REC[],2,FALSE),0)</f>
        <v>11089674.200000001</v>
      </c>
      <c r="AW1449" s="246">
        <f>IFERROR(VLOOKUP(G1449,VOL_REC[],2,FALSE),0)</f>
        <v>15540036.397699751</v>
      </c>
      <c r="AX1449" s="246">
        <f>IFERROR(VLOOKUP(H1449,VOL_REC[],2,FALSE),0)</f>
        <v>1812240</v>
      </c>
      <c r="AY1449" s="246">
        <f>IFERROR(VLOOKUP(I1449,VOL_REC[],2,FALSE),0)</f>
        <v>663244.80000000016</v>
      </c>
      <c r="AZ1449" s="246">
        <f>IFERROR(VLOOKUP(J1449,VOL_REC[],2,FALSE),0)</f>
        <v>17074.045034105649</v>
      </c>
      <c r="BA1449" s="246">
        <f>IFERROR(VLOOKUP(K1449,VOL_REC[],2,FALSE),0)</f>
        <v>105072</v>
      </c>
      <c r="BB1449" s="246">
        <f>IFERROR(VLOOKUP(L1449,VOL_REC[],2,FALSE),0)</f>
        <v>740113.98115702497</v>
      </c>
      <c r="BC1449" s="246">
        <f>IFERROR(VLOOKUP(M1449,VOL_REC[],2,FALSE),0)</f>
        <v>0</v>
      </c>
      <c r="BD1449" s="246">
        <f>IFERROR(VLOOKUP(N1449,VOL_REC[],2,FALSE),0)</f>
        <v>0</v>
      </c>
      <c r="BE1449" s="246">
        <f>IFERROR(VLOOKUP(O1449,VOL_REC[],2,FALSE),0)</f>
        <v>0</v>
      </c>
      <c r="BF1449" s="246">
        <f>IFERROR(VLOOKUP(P1449,VOL_REC[],2,FALSE),0)</f>
        <v>0</v>
      </c>
      <c r="BG1449" s="246">
        <f>IFERROR(VLOOKUP(Q1449,VOL_REC[],2,FALSE),0)</f>
        <v>0</v>
      </c>
      <c r="BH1449" s="1710">
        <f t="shared" si="88"/>
        <v>21188532203.824776</v>
      </c>
      <c r="BI1449" s="1710">
        <f t="shared" si="89"/>
        <v>21806794717.206558</v>
      </c>
      <c r="BJ1449" s="1711">
        <f t="shared" si="90"/>
        <v>29967455.423890885</v>
      </c>
      <c r="BK1449" s="1711">
        <f t="shared" si="91"/>
        <v>0.97164817106780277</v>
      </c>
    </row>
    <row r="1450" spans="3:67" x14ac:dyDescent="0.25">
      <c r="C1450" s="246" t="s">
        <v>2800</v>
      </c>
      <c r="D1450" s="246">
        <v>1</v>
      </c>
      <c r="E1450" s="246">
        <v>2</v>
      </c>
      <c r="F1450" s="246">
        <v>3</v>
      </c>
      <c r="G1450" s="246">
        <v>6</v>
      </c>
      <c r="H1450" s="246">
        <v>10</v>
      </c>
      <c r="I1450" s="246">
        <v>13</v>
      </c>
      <c r="J1450" s="246">
        <v>14</v>
      </c>
      <c r="K1450" s="246">
        <v>16</v>
      </c>
      <c r="L1450" s="246">
        <v>17</v>
      </c>
      <c r="M1450" s="246"/>
      <c r="N1450" s="246"/>
      <c r="O1450" s="246"/>
      <c r="P1450" s="246"/>
      <c r="Q1450" s="246"/>
      <c r="R1450" s="246">
        <f>IFERROR(VLOOKUP(D1450,PROGRAMAS[],2,FALSE),0)</f>
        <v>97037803.679377079</v>
      </c>
      <c r="S1450" s="246">
        <f>IFERROR(VLOOKUP(E1450,PROGRAMAS[],2,FALSE),0)</f>
        <v>640501509.6821388</v>
      </c>
      <c r="T1450" s="246">
        <f>IFERROR(VLOOKUP(F1450,PROGRAMAS[],2,FALSE),0)</f>
        <v>3062327798.1525245</v>
      </c>
      <c r="U1450" s="246">
        <f>IFERROR(VLOOKUP(G1450,PROGRAMAS[],2,FALSE),0)</f>
        <v>6907648435.8447599</v>
      </c>
      <c r="V1450" s="246">
        <f>IFERROR(VLOOKUP(H1450,PROGRAMAS[],2,FALSE),0)</f>
        <v>4635315027.8751087</v>
      </c>
      <c r="W1450" s="246">
        <f>IFERROR(VLOOKUP(I1450,PROGRAMAS[],2,FALSE),0)</f>
        <v>3776538594.4604583</v>
      </c>
      <c r="X1450" s="246">
        <f>IFERROR(VLOOKUP(J1450,PROGRAMAS[],2,FALSE),0)</f>
        <v>54223862.645839565</v>
      </c>
      <c r="Y1450" s="246">
        <f>IFERROR(VLOOKUP(K1450,PROGRAMAS[],2,FALSE),0)</f>
        <v>7068496961.0436354</v>
      </c>
      <c r="Z1450" s="246">
        <f>IFERROR(VLOOKUP(L1450,PROGRAMAS[],2,FALSE),0)</f>
        <v>1892779498.5211046</v>
      </c>
      <c r="AA1450" s="246">
        <f>IFERROR(VLOOKUP(M1450,PROGRAMAS[],2,FALSE),0)</f>
        <v>0</v>
      </c>
      <c r="AB1450" s="246">
        <f>IFERROR(VLOOKUP(N1450,PROGRAMAS[],2,FALSE),0)</f>
        <v>0</v>
      </c>
      <c r="AC1450" s="246">
        <f>IFERROR(VLOOKUP(O1450,PROGRAMAS[],2,FALSE),0)</f>
        <v>0</v>
      </c>
      <c r="AD1450" s="246">
        <f>IFERROR(VLOOKUP(P1450,PROGRAMAS[],2,FALSE),0)</f>
        <v>0</v>
      </c>
      <c r="AE1450" s="246">
        <f>IFERROR(VLOOKUP(Q1450,PROGRAMAS[],2,FALSE),0)</f>
        <v>0</v>
      </c>
      <c r="AF1450" s="246">
        <f>IFERROR(VLOOKUP(D1450,PROGRAMAS[],3,FALSE),0)</f>
        <v>841888629.31080008</v>
      </c>
      <c r="AG1450" s="246">
        <f>IFERROR(VLOOKUP(E1450,PROGRAMAS[],3,FALSE),0)</f>
        <v>3848980803.1642323</v>
      </c>
      <c r="AH1450" s="246">
        <f>IFERROR(VLOOKUP(F1450,PROGRAMAS[],3,FALSE),0)</f>
        <v>3394901471.387517</v>
      </c>
      <c r="AI1450" s="246">
        <f>IFERROR(VLOOKUP(G1450,PROGRAMAS[],3,FALSE),0)</f>
        <v>6129902208.7912121</v>
      </c>
      <c r="AJ1450" s="246">
        <f>IFERROR(VLOOKUP(H1450,PROGRAMAS[],3,FALSE),0)</f>
        <v>4099471734.9978786</v>
      </c>
      <c r="AK1450" s="246">
        <f>IFERROR(VLOOKUP(I1450,PROGRAMAS[],3,FALSE),0)</f>
        <v>2392571243.5584412</v>
      </c>
      <c r="AL1450" s="246">
        <f>IFERROR(VLOOKUP(J1450,PROGRAMAS[],3,FALSE),0)</f>
        <v>31865326.38096505</v>
      </c>
      <c r="AM1450" s="246">
        <f>IFERROR(VLOOKUP(K1450,PROGRAMAS[],3,FALSE),0)</f>
        <v>2406564599.0319901</v>
      </c>
      <c r="AN1450" s="246">
        <f>IFERROR(VLOOKUP(L1450,PROGRAMAS[],3,FALSE),0)</f>
        <v>948595847.09039903</v>
      </c>
      <c r="AO1450" s="246">
        <f>IFERROR(VLOOKUP(M1450,PROGRAMAS[],3,FALSE),0)</f>
        <v>0</v>
      </c>
      <c r="AP1450" s="246">
        <f>IFERROR(VLOOKUP(N1450,PROGRAMAS[],3,FALSE),0)</f>
        <v>0</v>
      </c>
      <c r="AQ1450" s="246">
        <f>IFERROR(VLOOKUP(O1450,PROGRAMAS[],3,FALSE),0)</f>
        <v>0</v>
      </c>
      <c r="AR1450" s="246">
        <f>IFERROR(VLOOKUP(P1450,PROGRAMAS[],3,FALSE),0)</f>
        <v>0</v>
      </c>
      <c r="AS1450" s="246">
        <f>IFERROR(VLOOKUP(Q1450,PROGRAMAS[],3,FALSE),0)</f>
        <v>0</v>
      </c>
      <c r="AT1450" s="246">
        <f>IFERROR(VLOOKUP(D1450,VOL_REC[],2,FALSE),0)</f>
        <v>0</v>
      </c>
      <c r="AU1450" s="246">
        <f>IFERROR(VLOOKUP(E1450,VOL_REC[],2,FALSE),0)</f>
        <v>0</v>
      </c>
      <c r="AV1450" s="246">
        <f>IFERROR(VLOOKUP(F1450,VOL_REC[],2,FALSE),0)</f>
        <v>11089674.200000001</v>
      </c>
      <c r="AW1450" s="246">
        <f>IFERROR(VLOOKUP(G1450,VOL_REC[],2,FALSE),0)</f>
        <v>15540036.397699751</v>
      </c>
      <c r="AX1450" s="246">
        <f>IFERROR(VLOOKUP(H1450,VOL_REC[],2,FALSE),0)</f>
        <v>1812240</v>
      </c>
      <c r="AY1450" s="246">
        <f>IFERROR(VLOOKUP(I1450,VOL_REC[],2,FALSE),0)</f>
        <v>663244.80000000016</v>
      </c>
      <c r="AZ1450" s="246">
        <f>IFERROR(VLOOKUP(J1450,VOL_REC[],2,FALSE),0)</f>
        <v>17074.045034105649</v>
      </c>
      <c r="BA1450" s="246">
        <f>IFERROR(VLOOKUP(K1450,VOL_REC[],2,FALSE),0)</f>
        <v>1072354.9981737854</v>
      </c>
      <c r="BB1450" s="246">
        <f>IFERROR(VLOOKUP(L1450,VOL_REC[],2,FALSE),0)</f>
        <v>740113.98115702497</v>
      </c>
      <c r="BC1450" s="246">
        <f>IFERROR(VLOOKUP(M1450,VOL_REC[],2,FALSE),0)</f>
        <v>0</v>
      </c>
      <c r="BD1450" s="246">
        <f>IFERROR(VLOOKUP(N1450,VOL_REC[],2,FALSE),0)</f>
        <v>0</v>
      </c>
      <c r="BE1450" s="246">
        <f>IFERROR(VLOOKUP(O1450,VOL_REC[],2,FALSE),0)</f>
        <v>0</v>
      </c>
      <c r="BF1450" s="246">
        <f>IFERROR(VLOOKUP(P1450,VOL_REC[],2,FALSE),0)</f>
        <v>0</v>
      </c>
      <c r="BG1450" s="246">
        <f>IFERROR(VLOOKUP(Q1450,VOL_REC[],2,FALSE),0)</f>
        <v>0</v>
      </c>
      <c r="BH1450" s="1710">
        <f t="shared" si="88"/>
        <v>28134869491.904945</v>
      </c>
      <c r="BI1450" s="1710">
        <f t="shared" si="89"/>
        <v>24094741863.71344</v>
      </c>
      <c r="BJ1450" s="1711">
        <f t="shared" si="90"/>
        <v>30934738.422064669</v>
      </c>
      <c r="BK1450" s="1711">
        <f t="shared" si="91"/>
        <v>1.1676767342453216</v>
      </c>
      <c r="BL1450">
        <f>BJ1450</f>
        <v>30934738.422064669</v>
      </c>
      <c r="BO1450">
        <f>BL1450</f>
        <v>30934738.422064669</v>
      </c>
    </row>
    <row r="1451" spans="3:67" x14ac:dyDescent="0.25">
      <c r="C1451" s="246" t="s">
        <v>2801</v>
      </c>
      <c r="D1451" s="246">
        <v>1</v>
      </c>
      <c r="E1451" s="246">
        <v>2</v>
      </c>
      <c r="F1451" s="246">
        <v>3</v>
      </c>
      <c r="G1451" s="246">
        <v>6</v>
      </c>
      <c r="H1451" s="246">
        <v>10</v>
      </c>
      <c r="I1451" s="246">
        <v>13</v>
      </c>
      <c r="J1451" s="246">
        <v>15</v>
      </c>
      <c r="K1451" s="246">
        <v>16</v>
      </c>
      <c r="L1451" s="246">
        <v>17</v>
      </c>
      <c r="M1451" s="246"/>
      <c r="N1451" s="246"/>
      <c r="O1451" s="246"/>
      <c r="P1451" s="246"/>
      <c r="Q1451" s="246"/>
      <c r="R1451" s="246">
        <f>IFERROR(VLOOKUP(D1451,PROGRAMAS[],2,FALSE),0)</f>
        <v>97037803.679377079</v>
      </c>
      <c r="S1451" s="246">
        <f>IFERROR(VLOOKUP(E1451,PROGRAMAS[],2,FALSE),0)</f>
        <v>640501509.6821388</v>
      </c>
      <c r="T1451" s="246">
        <f>IFERROR(VLOOKUP(F1451,PROGRAMAS[],2,FALSE),0)</f>
        <v>3062327798.1525245</v>
      </c>
      <c r="U1451" s="246">
        <f>IFERROR(VLOOKUP(G1451,PROGRAMAS[],2,FALSE),0)</f>
        <v>6907648435.8447599</v>
      </c>
      <c r="V1451" s="246">
        <f>IFERROR(VLOOKUP(H1451,PROGRAMAS[],2,FALSE),0)</f>
        <v>4635315027.8751087</v>
      </c>
      <c r="W1451" s="246">
        <f>IFERROR(VLOOKUP(I1451,PROGRAMAS[],2,FALSE),0)</f>
        <v>3776538594.4604583</v>
      </c>
      <c r="X1451" s="246">
        <f>IFERROR(VLOOKUP(J1451,PROGRAMAS[],2,FALSE),0)</f>
        <v>122159672.96346797</v>
      </c>
      <c r="Y1451" s="246">
        <f>IFERROR(VLOOKUP(K1451,PROGRAMAS[],2,FALSE),0)</f>
        <v>7068496961.0436354</v>
      </c>
      <c r="Z1451" s="246">
        <f>IFERROR(VLOOKUP(L1451,PROGRAMAS[],2,FALSE),0)</f>
        <v>1892779498.5211046</v>
      </c>
      <c r="AA1451" s="246">
        <f>IFERROR(VLOOKUP(M1451,PROGRAMAS[],2,FALSE),0)</f>
        <v>0</v>
      </c>
      <c r="AB1451" s="246">
        <f>IFERROR(VLOOKUP(N1451,PROGRAMAS[],2,FALSE),0)</f>
        <v>0</v>
      </c>
      <c r="AC1451" s="246">
        <f>IFERROR(VLOOKUP(O1451,PROGRAMAS[],2,FALSE),0)</f>
        <v>0</v>
      </c>
      <c r="AD1451" s="246">
        <f>IFERROR(VLOOKUP(P1451,PROGRAMAS[],2,FALSE),0)</f>
        <v>0</v>
      </c>
      <c r="AE1451" s="246">
        <f>IFERROR(VLOOKUP(Q1451,PROGRAMAS[],2,FALSE),0)</f>
        <v>0</v>
      </c>
      <c r="AF1451" s="246">
        <f>IFERROR(VLOOKUP(D1451,PROGRAMAS[],3,FALSE),0)</f>
        <v>841888629.31080008</v>
      </c>
      <c r="AG1451" s="246">
        <f>IFERROR(VLOOKUP(E1451,PROGRAMAS[],3,FALSE),0)</f>
        <v>3848980803.1642323</v>
      </c>
      <c r="AH1451" s="246">
        <f>IFERROR(VLOOKUP(F1451,PROGRAMAS[],3,FALSE),0)</f>
        <v>3394901471.387517</v>
      </c>
      <c r="AI1451" s="246">
        <f>IFERROR(VLOOKUP(G1451,PROGRAMAS[],3,FALSE),0)</f>
        <v>6129902208.7912121</v>
      </c>
      <c r="AJ1451" s="246">
        <f>IFERROR(VLOOKUP(H1451,PROGRAMAS[],3,FALSE),0)</f>
        <v>4099471734.9978786</v>
      </c>
      <c r="AK1451" s="246">
        <f>IFERROR(VLOOKUP(I1451,PROGRAMAS[],3,FALSE),0)</f>
        <v>2392571243.5584412</v>
      </c>
      <c r="AL1451" s="246">
        <f>IFERROR(VLOOKUP(J1451,PROGRAMAS[],3,FALSE),0)</f>
        <v>118617452.52510804</v>
      </c>
      <c r="AM1451" s="246">
        <f>IFERROR(VLOOKUP(K1451,PROGRAMAS[],3,FALSE),0)</f>
        <v>2406564599.0319901</v>
      </c>
      <c r="AN1451" s="246">
        <f>IFERROR(VLOOKUP(L1451,PROGRAMAS[],3,FALSE),0)</f>
        <v>948595847.09039903</v>
      </c>
      <c r="AO1451" s="246">
        <f>IFERROR(VLOOKUP(M1451,PROGRAMAS[],3,FALSE),0)</f>
        <v>0</v>
      </c>
      <c r="AP1451" s="246">
        <f>IFERROR(VLOOKUP(N1451,PROGRAMAS[],3,FALSE),0)</f>
        <v>0</v>
      </c>
      <c r="AQ1451" s="246">
        <f>IFERROR(VLOOKUP(O1451,PROGRAMAS[],3,FALSE),0)</f>
        <v>0</v>
      </c>
      <c r="AR1451" s="246">
        <f>IFERROR(VLOOKUP(P1451,PROGRAMAS[],3,FALSE),0)</f>
        <v>0</v>
      </c>
      <c r="AS1451" s="246">
        <f>IFERROR(VLOOKUP(Q1451,PROGRAMAS[],3,FALSE),0)</f>
        <v>0</v>
      </c>
      <c r="AT1451" s="246">
        <f>IFERROR(VLOOKUP(D1451,VOL_REC[],2,FALSE),0)</f>
        <v>0</v>
      </c>
      <c r="AU1451" s="246">
        <f>IFERROR(VLOOKUP(E1451,VOL_REC[],2,FALSE),0)</f>
        <v>0</v>
      </c>
      <c r="AV1451" s="246">
        <f>IFERROR(VLOOKUP(F1451,VOL_REC[],2,FALSE),0)</f>
        <v>11089674.200000001</v>
      </c>
      <c r="AW1451" s="246">
        <f>IFERROR(VLOOKUP(G1451,VOL_REC[],2,FALSE),0)</f>
        <v>15540036.397699751</v>
      </c>
      <c r="AX1451" s="246">
        <f>IFERROR(VLOOKUP(H1451,VOL_REC[],2,FALSE),0)</f>
        <v>1812240</v>
      </c>
      <c r="AY1451" s="246">
        <f>IFERROR(VLOOKUP(I1451,VOL_REC[],2,FALSE),0)</f>
        <v>663244.80000000016</v>
      </c>
      <c r="AZ1451" s="246">
        <f>IFERROR(VLOOKUP(J1451,VOL_REC[],2,FALSE),0)</f>
        <v>105072</v>
      </c>
      <c r="BA1451" s="246">
        <f>IFERROR(VLOOKUP(K1451,VOL_REC[],2,FALSE),0)</f>
        <v>1072354.9981737854</v>
      </c>
      <c r="BB1451" s="246">
        <f>IFERROR(VLOOKUP(L1451,VOL_REC[],2,FALSE),0)</f>
        <v>740113.98115702497</v>
      </c>
      <c r="BC1451" s="246">
        <f>IFERROR(VLOOKUP(M1451,VOL_REC[],2,FALSE),0)</f>
        <v>0</v>
      </c>
      <c r="BD1451" s="246">
        <f>IFERROR(VLOOKUP(N1451,VOL_REC[],2,FALSE),0)</f>
        <v>0</v>
      </c>
      <c r="BE1451" s="246">
        <f>IFERROR(VLOOKUP(O1451,VOL_REC[],2,FALSE),0)</f>
        <v>0</v>
      </c>
      <c r="BF1451" s="246">
        <f>IFERROR(VLOOKUP(P1451,VOL_REC[],2,FALSE),0)</f>
        <v>0</v>
      </c>
      <c r="BG1451" s="246">
        <f>IFERROR(VLOOKUP(Q1451,VOL_REC[],2,FALSE),0)</f>
        <v>0</v>
      </c>
      <c r="BH1451" s="1710">
        <f t="shared" si="88"/>
        <v>28202805302.222572</v>
      </c>
      <c r="BI1451" s="1710">
        <f t="shared" si="89"/>
        <v>24181493989.857582</v>
      </c>
      <c r="BJ1451" s="1711">
        <f t="shared" si="90"/>
        <v>31022736.377030563</v>
      </c>
      <c r="BK1451" s="1711">
        <f t="shared" si="91"/>
        <v>1.1662970581574341</v>
      </c>
      <c r="BL1451">
        <f>BJ1451</f>
        <v>31022736.377030563</v>
      </c>
      <c r="BO1451">
        <f>BL1451</f>
        <v>31022736.377030563</v>
      </c>
    </row>
    <row r="1452" spans="3:67" x14ac:dyDescent="0.25">
      <c r="C1452" s="246" t="s">
        <v>2802</v>
      </c>
      <c r="D1452" s="246">
        <v>1</v>
      </c>
      <c r="E1452" s="246">
        <v>2</v>
      </c>
      <c r="F1452" s="246">
        <v>3</v>
      </c>
      <c r="G1452" s="246">
        <v>6</v>
      </c>
      <c r="H1452" s="246">
        <v>10</v>
      </c>
      <c r="I1452" s="246">
        <v>14</v>
      </c>
      <c r="J1452" s="246">
        <v>15</v>
      </c>
      <c r="K1452" s="246">
        <v>16</v>
      </c>
      <c r="L1452" s="246">
        <v>17</v>
      </c>
      <c r="M1452" s="246"/>
      <c r="N1452" s="246"/>
      <c r="O1452" s="246"/>
      <c r="P1452" s="246"/>
      <c r="Q1452" s="246"/>
      <c r="R1452" s="246">
        <f>IFERROR(VLOOKUP(D1452,PROGRAMAS[],2,FALSE),0)</f>
        <v>97037803.679377079</v>
      </c>
      <c r="S1452" s="246">
        <f>IFERROR(VLOOKUP(E1452,PROGRAMAS[],2,FALSE),0)</f>
        <v>640501509.6821388</v>
      </c>
      <c r="T1452" s="246">
        <f>IFERROR(VLOOKUP(F1452,PROGRAMAS[],2,FALSE),0)</f>
        <v>3062327798.1525245</v>
      </c>
      <c r="U1452" s="246">
        <f>IFERROR(VLOOKUP(G1452,PROGRAMAS[],2,FALSE),0)</f>
        <v>6907648435.8447599</v>
      </c>
      <c r="V1452" s="246">
        <f>IFERROR(VLOOKUP(H1452,PROGRAMAS[],2,FALSE),0)</f>
        <v>4635315027.8751087</v>
      </c>
      <c r="W1452" s="246">
        <f>IFERROR(VLOOKUP(I1452,PROGRAMAS[],2,FALSE),0)</f>
        <v>54223862.645839565</v>
      </c>
      <c r="X1452" s="246">
        <f>IFERROR(VLOOKUP(J1452,PROGRAMAS[],2,FALSE),0)</f>
        <v>122159672.96346797</v>
      </c>
      <c r="Y1452" s="246">
        <f>IFERROR(VLOOKUP(K1452,PROGRAMAS[],2,FALSE),0)</f>
        <v>7068496961.0436354</v>
      </c>
      <c r="Z1452" s="246">
        <f>IFERROR(VLOOKUP(L1452,PROGRAMAS[],2,FALSE),0)</f>
        <v>1892779498.5211046</v>
      </c>
      <c r="AA1452" s="246">
        <f>IFERROR(VLOOKUP(M1452,PROGRAMAS[],2,FALSE),0)</f>
        <v>0</v>
      </c>
      <c r="AB1452" s="246">
        <f>IFERROR(VLOOKUP(N1452,PROGRAMAS[],2,FALSE),0)</f>
        <v>0</v>
      </c>
      <c r="AC1452" s="246">
        <f>IFERROR(VLOOKUP(O1452,PROGRAMAS[],2,FALSE),0)</f>
        <v>0</v>
      </c>
      <c r="AD1452" s="246">
        <f>IFERROR(VLOOKUP(P1452,PROGRAMAS[],2,FALSE),0)</f>
        <v>0</v>
      </c>
      <c r="AE1452" s="246">
        <f>IFERROR(VLOOKUP(Q1452,PROGRAMAS[],2,FALSE),0)</f>
        <v>0</v>
      </c>
      <c r="AF1452" s="246">
        <f>IFERROR(VLOOKUP(D1452,PROGRAMAS[],3,FALSE),0)</f>
        <v>841888629.31080008</v>
      </c>
      <c r="AG1452" s="246">
        <f>IFERROR(VLOOKUP(E1452,PROGRAMAS[],3,FALSE),0)</f>
        <v>3848980803.1642323</v>
      </c>
      <c r="AH1452" s="246">
        <f>IFERROR(VLOOKUP(F1452,PROGRAMAS[],3,FALSE),0)</f>
        <v>3394901471.387517</v>
      </c>
      <c r="AI1452" s="246">
        <f>IFERROR(VLOOKUP(G1452,PROGRAMAS[],3,FALSE),0)</f>
        <v>6129902208.7912121</v>
      </c>
      <c r="AJ1452" s="246">
        <f>IFERROR(VLOOKUP(H1452,PROGRAMAS[],3,FALSE),0)</f>
        <v>4099471734.9978786</v>
      </c>
      <c r="AK1452" s="246">
        <f>IFERROR(VLOOKUP(I1452,PROGRAMAS[],3,FALSE),0)</f>
        <v>31865326.38096505</v>
      </c>
      <c r="AL1452" s="246">
        <f>IFERROR(VLOOKUP(J1452,PROGRAMAS[],3,FALSE),0)</f>
        <v>118617452.52510804</v>
      </c>
      <c r="AM1452" s="246">
        <f>IFERROR(VLOOKUP(K1452,PROGRAMAS[],3,FALSE),0)</f>
        <v>2406564599.0319901</v>
      </c>
      <c r="AN1452" s="246">
        <f>IFERROR(VLOOKUP(L1452,PROGRAMAS[],3,FALSE),0)</f>
        <v>948595847.09039903</v>
      </c>
      <c r="AO1452" s="246">
        <f>IFERROR(VLOOKUP(M1452,PROGRAMAS[],3,FALSE),0)</f>
        <v>0</v>
      </c>
      <c r="AP1452" s="246">
        <f>IFERROR(VLOOKUP(N1452,PROGRAMAS[],3,FALSE),0)</f>
        <v>0</v>
      </c>
      <c r="AQ1452" s="246">
        <f>IFERROR(VLOOKUP(O1452,PROGRAMAS[],3,FALSE),0)</f>
        <v>0</v>
      </c>
      <c r="AR1452" s="246">
        <f>IFERROR(VLOOKUP(P1452,PROGRAMAS[],3,FALSE),0)</f>
        <v>0</v>
      </c>
      <c r="AS1452" s="246">
        <f>IFERROR(VLOOKUP(Q1452,PROGRAMAS[],3,FALSE),0)</f>
        <v>0</v>
      </c>
      <c r="AT1452" s="246">
        <f>IFERROR(VLOOKUP(D1452,VOL_REC[],2,FALSE),0)</f>
        <v>0</v>
      </c>
      <c r="AU1452" s="246">
        <f>IFERROR(VLOOKUP(E1452,VOL_REC[],2,FALSE),0)</f>
        <v>0</v>
      </c>
      <c r="AV1452" s="246">
        <f>IFERROR(VLOOKUP(F1452,VOL_REC[],2,FALSE),0)</f>
        <v>11089674.200000001</v>
      </c>
      <c r="AW1452" s="246">
        <f>IFERROR(VLOOKUP(G1452,VOL_REC[],2,FALSE),0)</f>
        <v>15540036.397699751</v>
      </c>
      <c r="AX1452" s="246">
        <f>IFERROR(VLOOKUP(H1452,VOL_REC[],2,FALSE),0)</f>
        <v>1812240</v>
      </c>
      <c r="AY1452" s="246">
        <f>IFERROR(VLOOKUP(I1452,VOL_REC[],2,FALSE),0)</f>
        <v>17074.045034105649</v>
      </c>
      <c r="AZ1452" s="246">
        <f>IFERROR(VLOOKUP(J1452,VOL_REC[],2,FALSE),0)</f>
        <v>105072</v>
      </c>
      <c r="BA1452" s="246">
        <f>IFERROR(VLOOKUP(K1452,VOL_REC[],2,FALSE),0)</f>
        <v>1072354.9981737854</v>
      </c>
      <c r="BB1452" s="246">
        <f>IFERROR(VLOOKUP(L1452,VOL_REC[],2,FALSE),0)</f>
        <v>740113.98115702497</v>
      </c>
      <c r="BC1452" s="246">
        <f>IFERROR(VLOOKUP(M1452,VOL_REC[],2,FALSE),0)</f>
        <v>0</v>
      </c>
      <c r="BD1452" s="246">
        <f>IFERROR(VLOOKUP(N1452,VOL_REC[],2,FALSE),0)</f>
        <v>0</v>
      </c>
      <c r="BE1452" s="246">
        <f>IFERROR(VLOOKUP(O1452,VOL_REC[],2,FALSE),0)</f>
        <v>0</v>
      </c>
      <c r="BF1452" s="246">
        <f>IFERROR(VLOOKUP(P1452,VOL_REC[],2,FALSE),0)</f>
        <v>0</v>
      </c>
      <c r="BG1452" s="246">
        <f>IFERROR(VLOOKUP(Q1452,VOL_REC[],2,FALSE),0)</f>
        <v>0</v>
      </c>
      <c r="BH1452" s="1710">
        <f t="shared" si="88"/>
        <v>24480490570.407955</v>
      </c>
      <c r="BI1452" s="1710">
        <f t="shared" si="89"/>
        <v>21820788072.680107</v>
      </c>
      <c r="BJ1452" s="1711">
        <f t="shared" si="90"/>
        <v>30376565.622064669</v>
      </c>
      <c r="BK1452" s="1711">
        <f t="shared" si="91"/>
        <v>1.1218884711619479</v>
      </c>
      <c r="BL1452">
        <f>BJ1452</f>
        <v>30376565.622064669</v>
      </c>
      <c r="BO1452">
        <f>BL1452</f>
        <v>30376565.622064669</v>
      </c>
    </row>
    <row r="1453" spans="3:67" x14ac:dyDescent="0.25">
      <c r="C1453" s="246" t="s">
        <v>2803</v>
      </c>
      <c r="D1453" s="246">
        <v>1</v>
      </c>
      <c r="E1453" s="246">
        <v>2</v>
      </c>
      <c r="F1453" s="246">
        <v>3</v>
      </c>
      <c r="G1453" s="246">
        <v>6</v>
      </c>
      <c r="H1453" s="246">
        <v>12</v>
      </c>
      <c r="I1453" s="246">
        <v>13</v>
      </c>
      <c r="J1453" s="246">
        <v>14</v>
      </c>
      <c r="K1453" s="246">
        <v>15</v>
      </c>
      <c r="L1453" s="246">
        <v>16</v>
      </c>
      <c r="M1453" s="246"/>
      <c r="N1453" s="246"/>
      <c r="O1453" s="246"/>
      <c r="P1453" s="246"/>
      <c r="Q1453" s="246"/>
      <c r="R1453" s="246">
        <f>IFERROR(VLOOKUP(D1453,PROGRAMAS[],2,FALSE),0)</f>
        <v>97037803.679377079</v>
      </c>
      <c r="S1453" s="246">
        <f>IFERROR(VLOOKUP(E1453,PROGRAMAS[],2,FALSE),0)</f>
        <v>640501509.6821388</v>
      </c>
      <c r="T1453" s="246">
        <f>IFERROR(VLOOKUP(F1453,PROGRAMAS[],2,FALSE),0)</f>
        <v>3062327798.1525245</v>
      </c>
      <c r="U1453" s="246">
        <f>IFERROR(VLOOKUP(G1453,PROGRAMAS[],2,FALSE),0)</f>
        <v>6907648435.8447599</v>
      </c>
      <c r="V1453" s="246">
        <f>IFERROR(VLOOKUP(H1453,PROGRAMAS[],2,FALSE),0)</f>
        <v>764796700.79905891</v>
      </c>
      <c r="W1453" s="246">
        <f>IFERROR(VLOOKUP(I1453,PROGRAMAS[],2,FALSE),0)</f>
        <v>3776538594.4604583</v>
      </c>
      <c r="X1453" s="246">
        <f>IFERROR(VLOOKUP(J1453,PROGRAMAS[],2,FALSE),0)</f>
        <v>54223862.645839565</v>
      </c>
      <c r="Y1453" s="246">
        <f>IFERROR(VLOOKUP(K1453,PROGRAMAS[],2,FALSE),0)</f>
        <v>122159672.96346797</v>
      </c>
      <c r="Z1453" s="246">
        <f>IFERROR(VLOOKUP(L1453,PROGRAMAS[],2,FALSE),0)</f>
        <v>7068496961.0436354</v>
      </c>
      <c r="AA1453" s="246">
        <f>IFERROR(VLOOKUP(M1453,PROGRAMAS[],2,FALSE),0)</f>
        <v>0</v>
      </c>
      <c r="AB1453" s="246">
        <f>IFERROR(VLOOKUP(N1453,PROGRAMAS[],2,FALSE),0)</f>
        <v>0</v>
      </c>
      <c r="AC1453" s="246">
        <f>IFERROR(VLOOKUP(O1453,PROGRAMAS[],2,FALSE),0)</f>
        <v>0</v>
      </c>
      <c r="AD1453" s="246">
        <f>IFERROR(VLOOKUP(P1453,PROGRAMAS[],2,FALSE),0)</f>
        <v>0</v>
      </c>
      <c r="AE1453" s="246">
        <f>IFERROR(VLOOKUP(Q1453,PROGRAMAS[],2,FALSE),0)</f>
        <v>0</v>
      </c>
      <c r="AF1453" s="246">
        <f>IFERROR(VLOOKUP(D1453,PROGRAMAS[],3,FALSE),0)</f>
        <v>841888629.31080008</v>
      </c>
      <c r="AG1453" s="246">
        <f>IFERROR(VLOOKUP(E1453,PROGRAMAS[],3,FALSE),0)</f>
        <v>3848980803.1642323</v>
      </c>
      <c r="AH1453" s="246">
        <f>IFERROR(VLOOKUP(F1453,PROGRAMAS[],3,FALSE),0)</f>
        <v>3394901471.387517</v>
      </c>
      <c r="AI1453" s="246">
        <f>IFERROR(VLOOKUP(G1453,PROGRAMAS[],3,FALSE),0)</f>
        <v>6129902208.7912121</v>
      </c>
      <c r="AJ1453" s="246">
        <f>IFERROR(VLOOKUP(H1453,PROGRAMAS[],3,FALSE),0)</f>
        <v>675517840.109828</v>
      </c>
      <c r="AK1453" s="246">
        <f>IFERROR(VLOOKUP(I1453,PROGRAMAS[],3,FALSE),0)</f>
        <v>2392571243.5584412</v>
      </c>
      <c r="AL1453" s="246">
        <f>IFERROR(VLOOKUP(J1453,PROGRAMAS[],3,FALSE),0)</f>
        <v>31865326.38096505</v>
      </c>
      <c r="AM1453" s="246">
        <f>IFERROR(VLOOKUP(K1453,PROGRAMAS[],3,FALSE),0)</f>
        <v>118617452.52510804</v>
      </c>
      <c r="AN1453" s="246">
        <f>IFERROR(VLOOKUP(L1453,PROGRAMAS[],3,FALSE),0)</f>
        <v>2406564599.0319901</v>
      </c>
      <c r="AO1453" s="246">
        <f>IFERROR(VLOOKUP(M1453,PROGRAMAS[],3,FALSE),0)</f>
        <v>0</v>
      </c>
      <c r="AP1453" s="246">
        <f>IFERROR(VLOOKUP(N1453,PROGRAMAS[],3,FALSE),0)</f>
        <v>0</v>
      </c>
      <c r="AQ1453" s="246">
        <f>IFERROR(VLOOKUP(O1453,PROGRAMAS[],3,FALSE),0)</f>
        <v>0</v>
      </c>
      <c r="AR1453" s="246">
        <f>IFERROR(VLOOKUP(P1453,PROGRAMAS[],3,FALSE),0)</f>
        <v>0</v>
      </c>
      <c r="AS1453" s="246">
        <f>IFERROR(VLOOKUP(Q1453,PROGRAMAS[],3,FALSE),0)</f>
        <v>0</v>
      </c>
      <c r="AT1453" s="246">
        <f>IFERROR(VLOOKUP(D1453,VOL_REC[],2,FALSE),0)</f>
        <v>0</v>
      </c>
      <c r="AU1453" s="246">
        <f>IFERROR(VLOOKUP(E1453,VOL_REC[],2,FALSE),0)</f>
        <v>0</v>
      </c>
      <c r="AV1453" s="246">
        <f>IFERROR(VLOOKUP(F1453,VOL_REC[],2,FALSE),0)</f>
        <v>11089674.200000001</v>
      </c>
      <c r="AW1453" s="246">
        <f>IFERROR(VLOOKUP(G1453,VOL_REC[],2,FALSE),0)</f>
        <v>15540036.397699751</v>
      </c>
      <c r="AX1453" s="246">
        <f>IFERROR(VLOOKUP(H1453,VOL_REC[],2,FALSE),0)</f>
        <v>240696.79238099116</v>
      </c>
      <c r="AY1453" s="246">
        <f>IFERROR(VLOOKUP(I1453,VOL_REC[],2,FALSE),0)</f>
        <v>663244.80000000016</v>
      </c>
      <c r="AZ1453" s="246">
        <f>IFERROR(VLOOKUP(J1453,VOL_REC[],2,FALSE),0)</f>
        <v>17074.045034105649</v>
      </c>
      <c r="BA1453" s="246">
        <f>IFERROR(VLOOKUP(K1453,VOL_REC[],2,FALSE),0)</f>
        <v>105072</v>
      </c>
      <c r="BB1453" s="246">
        <f>IFERROR(VLOOKUP(L1453,VOL_REC[],2,FALSE),0)</f>
        <v>1072354.9981737854</v>
      </c>
      <c r="BC1453" s="246">
        <f>IFERROR(VLOOKUP(M1453,VOL_REC[],2,FALSE),0)</f>
        <v>0</v>
      </c>
      <c r="BD1453" s="246">
        <f>IFERROR(VLOOKUP(N1453,VOL_REC[],2,FALSE),0)</f>
        <v>0</v>
      </c>
      <c r="BE1453" s="246">
        <f>IFERROR(VLOOKUP(O1453,VOL_REC[],2,FALSE),0)</f>
        <v>0</v>
      </c>
      <c r="BF1453" s="246">
        <f>IFERROR(VLOOKUP(P1453,VOL_REC[],2,FALSE),0)</f>
        <v>0</v>
      </c>
      <c r="BG1453" s="246">
        <f>IFERROR(VLOOKUP(Q1453,VOL_REC[],2,FALSE),0)</f>
        <v>0</v>
      </c>
      <c r="BH1453" s="1710">
        <f t="shared" si="88"/>
        <v>22493731339.271263</v>
      </c>
      <c r="BI1453" s="1710">
        <f t="shared" si="89"/>
        <v>19840809574.260098</v>
      </c>
      <c r="BJ1453" s="1711">
        <f t="shared" si="90"/>
        <v>28728153.233288638</v>
      </c>
      <c r="BK1453" s="1711">
        <f t="shared" si="91"/>
        <v>1.133710358696898</v>
      </c>
      <c r="BL1453">
        <f>BJ1453</f>
        <v>28728153.233288638</v>
      </c>
      <c r="BO1453">
        <f>BL1453</f>
        <v>28728153.233288638</v>
      </c>
    </row>
    <row r="1454" spans="3:67" x14ac:dyDescent="0.25">
      <c r="C1454" s="246" t="s">
        <v>2804</v>
      </c>
      <c r="D1454" s="246">
        <v>1</v>
      </c>
      <c r="E1454" s="246">
        <v>2</v>
      </c>
      <c r="F1454" s="246">
        <v>3</v>
      </c>
      <c r="G1454" s="246">
        <v>6</v>
      </c>
      <c r="H1454" s="246">
        <v>12</v>
      </c>
      <c r="I1454" s="246">
        <v>13</v>
      </c>
      <c r="J1454" s="246">
        <v>14</v>
      </c>
      <c r="K1454" s="246">
        <v>15</v>
      </c>
      <c r="L1454" s="246">
        <v>17</v>
      </c>
      <c r="M1454" s="246"/>
      <c r="N1454" s="246"/>
      <c r="O1454" s="246"/>
      <c r="P1454" s="246"/>
      <c r="Q1454" s="246"/>
      <c r="R1454" s="246">
        <f>IFERROR(VLOOKUP(D1454,PROGRAMAS[],2,FALSE),0)</f>
        <v>97037803.679377079</v>
      </c>
      <c r="S1454" s="246">
        <f>IFERROR(VLOOKUP(E1454,PROGRAMAS[],2,FALSE),0)</f>
        <v>640501509.6821388</v>
      </c>
      <c r="T1454" s="246">
        <f>IFERROR(VLOOKUP(F1454,PROGRAMAS[],2,FALSE),0)</f>
        <v>3062327798.1525245</v>
      </c>
      <c r="U1454" s="246">
        <f>IFERROR(VLOOKUP(G1454,PROGRAMAS[],2,FALSE),0)</f>
        <v>6907648435.8447599</v>
      </c>
      <c r="V1454" s="246">
        <f>IFERROR(VLOOKUP(H1454,PROGRAMAS[],2,FALSE),0)</f>
        <v>764796700.79905891</v>
      </c>
      <c r="W1454" s="246">
        <f>IFERROR(VLOOKUP(I1454,PROGRAMAS[],2,FALSE),0)</f>
        <v>3776538594.4604583</v>
      </c>
      <c r="X1454" s="246">
        <f>IFERROR(VLOOKUP(J1454,PROGRAMAS[],2,FALSE),0)</f>
        <v>54223862.645839565</v>
      </c>
      <c r="Y1454" s="246">
        <f>IFERROR(VLOOKUP(K1454,PROGRAMAS[],2,FALSE),0)</f>
        <v>122159672.96346797</v>
      </c>
      <c r="Z1454" s="246">
        <f>IFERROR(VLOOKUP(L1454,PROGRAMAS[],2,FALSE),0)</f>
        <v>1892779498.5211046</v>
      </c>
      <c r="AA1454" s="246">
        <f>IFERROR(VLOOKUP(M1454,PROGRAMAS[],2,FALSE),0)</f>
        <v>0</v>
      </c>
      <c r="AB1454" s="246">
        <f>IFERROR(VLOOKUP(N1454,PROGRAMAS[],2,FALSE),0)</f>
        <v>0</v>
      </c>
      <c r="AC1454" s="246">
        <f>IFERROR(VLOOKUP(O1454,PROGRAMAS[],2,FALSE),0)</f>
        <v>0</v>
      </c>
      <c r="AD1454" s="246">
        <f>IFERROR(VLOOKUP(P1454,PROGRAMAS[],2,FALSE),0)</f>
        <v>0</v>
      </c>
      <c r="AE1454" s="246">
        <f>IFERROR(VLOOKUP(Q1454,PROGRAMAS[],2,FALSE),0)</f>
        <v>0</v>
      </c>
      <c r="AF1454" s="246">
        <f>IFERROR(VLOOKUP(D1454,PROGRAMAS[],3,FALSE),0)</f>
        <v>841888629.31080008</v>
      </c>
      <c r="AG1454" s="246">
        <f>IFERROR(VLOOKUP(E1454,PROGRAMAS[],3,FALSE),0)</f>
        <v>3848980803.1642323</v>
      </c>
      <c r="AH1454" s="246">
        <f>IFERROR(VLOOKUP(F1454,PROGRAMAS[],3,FALSE),0)</f>
        <v>3394901471.387517</v>
      </c>
      <c r="AI1454" s="246">
        <f>IFERROR(VLOOKUP(G1454,PROGRAMAS[],3,FALSE),0)</f>
        <v>6129902208.7912121</v>
      </c>
      <c r="AJ1454" s="246">
        <f>IFERROR(VLOOKUP(H1454,PROGRAMAS[],3,FALSE),0)</f>
        <v>675517840.109828</v>
      </c>
      <c r="AK1454" s="246">
        <f>IFERROR(VLOOKUP(I1454,PROGRAMAS[],3,FALSE),0)</f>
        <v>2392571243.5584412</v>
      </c>
      <c r="AL1454" s="246">
        <f>IFERROR(VLOOKUP(J1454,PROGRAMAS[],3,FALSE),0)</f>
        <v>31865326.38096505</v>
      </c>
      <c r="AM1454" s="246">
        <f>IFERROR(VLOOKUP(K1454,PROGRAMAS[],3,FALSE),0)</f>
        <v>118617452.52510804</v>
      </c>
      <c r="AN1454" s="246">
        <f>IFERROR(VLOOKUP(L1454,PROGRAMAS[],3,FALSE),0)</f>
        <v>948595847.09039903</v>
      </c>
      <c r="AO1454" s="246">
        <f>IFERROR(VLOOKUP(M1454,PROGRAMAS[],3,FALSE),0)</f>
        <v>0</v>
      </c>
      <c r="AP1454" s="246">
        <f>IFERROR(VLOOKUP(N1454,PROGRAMAS[],3,FALSE),0)</f>
        <v>0</v>
      </c>
      <c r="AQ1454" s="246">
        <f>IFERROR(VLOOKUP(O1454,PROGRAMAS[],3,FALSE),0)</f>
        <v>0</v>
      </c>
      <c r="AR1454" s="246">
        <f>IFERROR(VLOOKUP(P1454,PROGRAMAS[],3,FALSE),0)</f>
        <v>0</v>
      </c>
      <c r="AS1454" s="246">
        <f>IFERROR(VLOOKUP(Q1454,PROGRAMAS[],3,FALSE),0)</f>
        <v>0</v>
      </c>
      <c r="AT1454" s="246">
        <f>IFERROR(VLOOKUP(D1454,VOL_REC[],2,FALSE),0)</f>
        <v>0</v>
      </c>
      <c r="AU1454" s="246">
        <f>IFERROR(VLOOKUP(E1454,VOL_REC[],2,FALSE),0)</f>
        <v>0</v>
      </c>
      <c r="AV1454" s="246">
        <f>IFERROR(VLOOKUP(F1454,VOL_REC[],2,FALSE),0)</f>
        <v>11089674.200000001</v>
      </c>
      <c r="AW1454" s="246">
        <f>IFERROR(VLOOKUP(G1454,VOL_REC[],2,FALSE),0)</f>
        <v>15540036.397699751</v>
      </c>
      <c r="AX1454" s="246">
        <f>IFERROR(VLOOKUP(H1454,VOL_REC[],2,FALSE),0)</f>
        <v>240696.79238099116</v>
      </c>
      <c r="AY1454" s="246">
        <f>IFERROR(VLOOKUP(I1454,VOL_REC[],2,FALSE),0)</f>
        <v>663244.80000000016</v>
      </c>
      <c r="AZ1454" s="246">
        <f>IFERROR(VLOOKUP(J1454,VOL_REC[],2,FALSE),0)</f>
        <v>17074.045034105649</v>
      </c>
      <c r="BA1454" s="246">
        <f>IFERROR(VLOOKUP(K1454,VOL_REC[],2,FALSE),0)</f>
        <v>105072</v>
      </c>
      <c r="BB1454" s="246">
        <f>IFERROR(VLOOKUP(L1454,VOL_REC[],2,FALSE),0)</f>
        <v>740113.98115702497</v>
      </c>
      <c r="BC1454" s="246">
        <f>IFERROR(VLOOKUP(M1454,VOL_REC[],2,FALSE),0)</f>
        <v>0</v>
      </c>
      <c r="BD1454" s="246">
        <f>IFERROR(VLOOKUP(N1454,VOL_REC[],2,FALSE),0)</f>
        <v>0</v>
      </c>
      <c r="BE1454" s="246">
        <f>IFERROR(VLOOKUP(O1454,VOL_REC[],2,FALSE),0)</f>
        <v>0</v>
      </c>
      <c r="BF1454" s="246">
        <f>IFERROR(VLOOKUP(P1454,VOL_REC[],2,FALSE),0)</f>
        <v>0</v>
      </c>
      <c r="BG1454" s="246">
        <f>IFERROR(VLOOKUP(Q1454,VOL_REC[],2,FALSE),0)</f>
        <v>0</v>
      </c>
      <c r="BH1454" s="1710">
        <f t="shared" si="88"/>
        <v>17318013876.74873</v>
      </c>
      <c r="BI1454" s="1710">
        <f t="shared" si="89"/>
        <v>18382840822.318508</v>
      </c>
      <c r="BJ1454" s="1711">
        <f t="shared" si="90"/>
        <v>28395912.216271877</v>
      </c>
      <c r="BK1454" s="1711">
        <f t="shared" si="91"/>
        <v>0.94207495153431464</v>
      </c>
    </row>
    <row r="1455" spans="3:67" x14ac:dyDescent="0.25">
      <c r="C1455" s="246" t="s">
        <v>2805</v>
      </c>
      <c r="D1455" s="246">
        <v>1</v>
      </c>
      <c r="E1455" s="246">
        <v>2</v>
      </c>
      <c r="F1455" s="246">
        <v>3</v>
      </c>
      <c r="G1455" s="246">
        <v>6</v>
      </c>
      <c r="H1455" s="246">
        <v>12</v>
      </c>
      <c r="I1455" s="246">
        <v>13</v>
      </c>
      <c r="J1455" s="246">
        <v>14</v>
      </c>
      <c r="K1455" s="246">
        <v>16</v>
      </c>
      <c r="L1455" s="246">
        <v>17</v>
      </c>
      <c r="M1455" s="246"/>
      <c r="N1455" s="246"/>
      <c r="O1455" s="246"/>
      <c r="P1455" s="246"/>
      <c r="Q1455" s="246"/>
      <c r="R1455" s="246">
        <f>IFERROR(VLOOKUP(D1455,PROGRAMAS[],2,FALSE),0)</f>
        <v>97037803.679377079</v>
      </c>
      <c r="S1455" s="246">
        <f>IFERROR(VLOOKUP(E1455,PROGRAMAS[],2,FALSE),0)</f>
        <v>640501509.6821388</v>
      </c>
      <c r="T1455" s="246">
        <f>IFERROR(VLOOKUP(F1455,PROGRAMAS[],2,FALSE),0)</f>
        <v>3062327798.1525245</v>
      </c>
      <c r="U1455" s="246">
        <f>IFERROR(VLOOKUP(G1455,PROGRAMAS[],2,FALSE),0)</f>
        <v>6907648435.8447599</v>
      </c>
      <c r="V1455" s="246">
        <f>IFERROR(VLOOKUP(H1455,PROGRAMAS[],2,FALSE),0)</f>
        <v>764796700.79905891</v>
      </c>
      <c r="W1455" s="246">
        <f>IFERROR(VLOOKUP(I1455,PROGRAMAS[],2,FALSE),0)</f>
        <v>3776538594.4604583</v>
      </c>
      <c r="X1455" s="246">
        <f>IFERROR(VLOOKUP(J1455,PROGRAMAS[],2,FALSE),0)</f>
        <v>54223862.645839565</v>
      </c>
      <c r="Y1455" s="246">
        <f>IFERROR(VLOOKUP(K1455,PROGRAMAS[],2,FALSE),0)</f>
        <v>7068496961.0436354</v>
      </c>
      <c r="Z1455" s="246">
        <f>IFERROR(VLOOKUP(L1455,PROGRAMAS[],2,FALSE),0)</f>
        <v>1892779498.5211046</v>
      </c>
      <c r="AA1455" s="246">
        <f>IFERROR(VLOOKUP(M1455,PROGRAMAS[],2,FALSE),0)</f>
        <v>0</v>
      </c>
      <c r="AB1455" s="246">
        <f>IFERROR(VLOOKUP(N1455,PROGRAMAS[],2,FALSE),0)</f>
        <v>0</v>
      </c>
      <c r="AC1455" s="246">
        <f>IFERROR(VLOOKUP(O1455,PROGRAMAS[],2,FALSE),0)</f>
        <v>0</v>
      </c>
      <c r="AD1455" s="246">
        <f>IFERROR(VLOOKUP(P1455,PROGRAMAS[],2,FALSE),0)</f>
        <v>0</v>
      </c>
      <c r="AE1455" s="246">
        <f>IFERROR(VLOOKUP(Q1455,PROGRAMAS[],2,FALSE),0)</f>
        <v>0</v>
      </c>
      <c r="AF1455" s="246">
        <f>IFERROR(VLOOKUP(D1455,PROGRAMAS[],3,FALSE),0)</f>
        <v>841888629.31080008</v>
      </c>
      <c r="AG1455" s="246">
        <f>IFERROR(VLOOKUP(E1455,PROGRAMAS[],3,FALSE),0)</f>
        <v>3848980803.1642323</v>
      </c>
      <c r="AH1455" s="246">
        <f>IFERROR(VLOOKUP(F1455,PROGRAMAS[],3,FALSE),0)</f>
        <v>3394901471.387517</v>
      </c>
      <c r="AI1455" s="246">
        <f>IFERROR(VLOOKUP(G1455,PROGRAMAS[],3,FALSE),0)</f>
        <v>6129902208.7912121</v>
      </c>
      <c r="AJ1455" s="246">
        <f>IFERROR(VLOOKUP(H1455,PROGRAMAS[],3,FALSE),0)</f>
        <v>675517840.109828</v>
      </c>
      <c r="AK1455" s="246">
        <f>IFERROR(VLOOKUP(I1455,PROGRAMAS[],3,FALSE),0)</f>
        <v>2392571243.5584412</v>
      </c>
      <c r="AL1455" s="246">
        <f>IFERROR(VLOOKUP(J1455,PROGRAMAS[],3,FALSE),0)</f>
        <v>31865326.38096505</v>
      </c>
      <c r="AM1455" s="246">
        <f>IFERROR(VLOOKUP(K1455,PROGRAMAS[],3,FALSE),0)</f>
        <v>2406564599.0319901</v>
      </c>
      <c r="AN1455" s="246">
        <f>IFERROR(VLOOKUP(L1455,PROGRAMAS[],3,FALSE),0)</f>
        <v>948595847.09039903</v>
      </c>
      <c r="AO1455" s="246">
        <f>IFERROR(VLOOKUP(M1455,PROGRAMAS[],3,FALSE),0)</f>
        <v>0</v>
      </c>
      <c r="AP1455" s="246">
        <f>IFERROR(VLOOKUP(N1455,PROGRAMAS[],3,FALSE),0)</f>
        <v>0</v>
      </c>
      <c r="AQ1455" s="246">
        <f>IFERROR(VLOOKUP(O1455,PROGRAMAS[],3,FALSE),0)</f>
        <v>0</v>
      </c>
      <c r="AR1455" s="246">
        <f>IFERROR(VLOOKUP(P1455,PROGRAMAS[],3,FALSE),0)</f>
        <v>0</v>
      </c>
      <c r="AS1455" s="246">
        <f>IFERROR(VLOOKUP(Q1455,PROGRAMAS[],3,FALSE),0)</f>
        <v>0</v>
      </c>
      <c r="AT1455" s="246">
        <f>IFERROR(VLOOKUP(D1455,VOL_REC[],2,FALSE),0)</f>
        <v>0</v>
      </c>
      <c r="AU1455" s="246">
        <f>IFERROR(VLOOKUP(E1455,VOL_REC[],2,FALSE),0)</f>
        <v>0</v>
      </c>
      <c r="AV1455" s="246">
        <f>IFERROR(VLOOKUP(F1455,VOL_REC[],2,FALSE),0)</f>
        <v>11089674.200000001</v>
      </c>
      <c r="AW1455" s="246">
        <f>IFERROR(VLOOKUP(G1455,VOL_REC[],2,FALSE),0)</f>
        <v>15540036.397699751</v>
      </c>
      <c r="AX1455" s="246">
        <f>IFERROR(VLOOKUP(H1455,VOL_REC[],2,FALSE),0)</f>
        <v>240696.79238099116</v>
      </c>
      <c r="AY1455" s="246">
        <f>IFERROR(VLOOKUP(I1455,VOL_REC[],2,FALSE),0)</f>
        <v>663244.80000000016</v>
      </c>
      <c r="AZ1455" s="246">
        <f>IFERROR(VLOOKUP(J1455,VOL_REC[],2,FALSE),0)</f>
        <v>17074.045034105649</v>
      </c>
      <c r="BA1455" s="246">
        <f>IFERROR(VLOOKUP(K1455,VOL_REC[],2,FALSE),0)</f>
        <v>1072354.9981737854</v>
      </c>
      <c r="BB1455" s="246">
        <f>IFERROR(VLOOKUP(L1455,VOL_REC[],2,FALSE),0)</f>
        <v>740113.98115702497</v>
      </c>
      <c r="BC1455" s="246">
        <f>IFERROR(VLOOKUP(M1455,VOL_REC[],2,FALSE),0)</f>
        <v>0</v>
      </c>
      <c r="BD1455" s="246">
        <f>IFERROR(VLOOKUP(N1455,VOL_REC[],2,FALSE),0)</f>
        <v>0</v>
      </c>
      <c r="BE1455" s="246">
        <f>IFERROR(VLOOKUP(O1455,VOL_REC[],2,FALSE),0)</f>
        <v>0</v>
      </c>
      <c r="BF1455" s="246">
        <f>IFERROR(VLOOKUP(P1455,VOL_REC[],2,FALSE),0)</f>
        <v>0</v>
      </c>
      <c r="BG1455" s="246">
        <f>IFERROR(VLOOKUP(Q1455,VOL_REC[],2,FALSE),0)</f>
        <v>0</v>
      </c>
      <c r="BH1455" s="1710">
        <f t="shared" si="88"/>
        <v>24264351164.828896</v>
      </c>
      <c r="BI1455" s="1710">
        <f t="shared" si="89"/>
        <v>20670787968.82539</v>
      </c>
      <c r="BJ1455" s="1711">
        <f t="shared" si="90"/>
        <v>29363195.214445662</v>
      </c>
      <c r="BK1455" s="1711">
        <f t="shared" si="91"/>
        <v>1.173847421850736</v>
      </c>
      <c r="BL1455">
        <f>BJ1455</f>
        <v>29363195.214445662</v>
      </c>
      <c r="BO1455">
        <f>BL1455</f>
        <v>29363195.214445662</v>
      </c>
    </row>
    <row r="1456" spans="3:67" x14ac:dyDescent="0.25">
      <c r="C1456" s="246" t="s">
        <v>2806</v>
      </c>
      <c r="D1456" s="246">
        <v>1</v>
      </c>
      <c r="E1456" s="246">
        <v>2</v>
      </c>
      <c r="F1456" s="246">
        <v>3</v>
      </c>
      <c r="G1456" s="246">
        <v>6</v>
      </c>
      <c r="H1456" s="246">
        <v>12</v>
      </c>
      <c r="I1456" s="246">
        <v>13</v>
      </c>
      <c r="J1456" s="246">
        <v>15</v>
      </c>
      <c r="K1456" s="246">
        <v>16</v>
      </c>
      <c r="L1456" s="246">
        <v>17</v>
      </c>
      <c r="M1456" s="246"/>
      <c r="N1456" s="246"/>
      <c r="O1456" s="246"/>
      <c r="P1456" s="246"/>
      <c r="Q1456" s="246"/>
      <c r="R1456" s="246">
        <f>IFERROR(VLOOKUP(D1456,PROGRAMAS[],2,FALSE),0)</f>
        <v>97037803.679377079</v>
      </c>
      <c r="S1456" s="246">
        <f>IFERROR(VLOOKUP(E1456,PROGRAMAS[],2,FALSE),0)</f>
        <v>640501509.6821388</v>
      </c>
      <c r="T1456" s="246">
        <f>IFERROR(VLOOKUP(F1456,PROGRAMAS[],2,FALSE),0)</f>
        <v>3062327798.1525245</v>
      </c>
      <c r="U1456" s="246">
        <f>IFERROR(VLOOKUP(G1456,PROGRAMAS[],2,FALSE),0)</f>
        <v>6907648435.8447599</v>
      </c>
      <c r="V1456" s="246">
        <f>IFERROR(VLOOKUP(H1456,PROGRAMAS[],2,FALSE),0)</f>
        <v>764796700.79905891</v>
      </c>
      <c r="W1456" s="246">
        <f>IFERROR(VLOOKUP(I1456,PROGRAMAS[],2,FALSE),0)</f>
        <v>3776538594.4604583</v>
      </c>
      <c r="X1456" s="246">
        <f>IFERROR(VLOOKUP(J1456,PROGRAMAS[],2,FALSE),0)</f>
        <v>122159672.96346797</v>
      </c>
      <c r="Y1456" s="246">
        <f>IFERROR(VLOOKUP(K1456,PROGRAMAS[],2,FALSE),0)</f>
        <v>7068496961.0436354</v>
      </c>
      <c r="Z1456" s="246">
        <f>IFERROR(VLOOKUP(L1456,PROGRAMAS[],2,FALSE),0)</f>
        <v>1892779498.5211046</v>
      </c>
      <c r="AA1456" s="246">
        <f>IFERROR(VLOOKUP(M1456,PROGRAMAS[],2,FALSE),0)</f>
        <v>0</v>
      </c>
      <c r="AB1456" s="246">
        <f>IFERROR(VLOOKUP(N1456,PROGRAMAS[],2,FALSE),0)</f>
        <v>0</v>
      </c>
      <c r="AC1456" s="246">
        <f>IFERROR(VLOOKUP(O1456,PROGRAMAS[],2,FALSE),0)</f>
        <v>0</v>
      </c>
      <c r="AD1456" s="246">
        <f>IFERROR(VLOOKUP(P1456,PROGRAMAS[],2,FALSE),0)</f>
        <v>0</v>
      </c>
      <c r="AE1456" s="246">
        <f>IFERROR(VLOOKUP(Q1456,PROGRAMAS[],2,FALSE),0)</f>
        <v>0</v>
      </c>
      <c r="AF1456" s="246">
        <f>IFERROR(VLOOKUP(D1456,PROGRAMAS[],3,FALSE),0)</f>
        <v>841888629.31080008</v>
      </c>
      <c r="AG1456" s="246">
        <f>IFERROR(VLOOKUP(E1456,PROGRAMAS[],3,FALSE),0)</f>
        <v>3848980803.1642323</v>
      </c>
      <c r="AH1456" s="246">
        <f>IFERROR(VLOOKUP(F1456,PROGRAMAS[],3,FALSE),0)</f>
        <v>3394901471.387517</v>
      </c>
      <c r="AI1456" s="246">
        <f>IFERROR(VLOOKUP(G1456,PROGRAMAS[],3,FALSE),0)</f>
        <v>6129902208.7912121</v>
      </c>
      <c r="AJ1456" s="246">
        <f>IFERROR(VLOOKUP(H1456,PROGRAMAS[],3,FALSE),0)</f>
        <v>675517840.109828</v>
      </c>
      <c r="AK1456" s="246">
        <f>IFERROR(VLOOKUP(I1456,PROGRAMAS[],3,FALSE),0)</f>
        <v>2392571243.5584412</v>
      </c>
      <c r="AL1456" s="246">
        <f>IFERROR(VLOOKUP(J1456,PROGRAMAS[],3,FALSE),0)</f>
        <v>118617452.52510804</v>
      </c>
      <c r="AM1456" s="246">
        <f>IFERROR(VLOOKUP(K1456,PROGRAMAS[],3,FALSE),0)</f>
        <v>2406564599.0319901</v>
      </c>
      <c r="AN1456" s="246">
        <f>IFERROR(VLOOKUP(L1456,PROGRAMAS[],3,FALSE),0)</f>
        <v>948595847.09039903</v>
      </c>
      <c r="AO1456" s="246">
        <f>IFERROR(VLOOKUP(M1456,PROGRAMAS[],3,FALSE),0)</f>
        <v>0</v>
      </c>
      <c r="AP1456" s="246">
        <f>IFERROR(VLOOKUP(N1456,PROGRAMAS[],3,FALSE),0)</f>
        <v>0</v>
      </c>
      <c r="AQ1456" s="246">
        <f>IFERROR(VLOOKUP(O1456,PROGRAMAS[],3,FALSE),0)</f>
        <v>0</v>
      </c>
      <c r="AR1456" s="246">
        <f>IFERROR(VLOOKUP(P1456,PROGRAMAS[],3,FALSE),0)</f>
        <v>0</v>
      </c>
      <c r="AS1456" s="246">
        <f>IFERROR(VLOOKUP(Q1456,PROGRAMAS[],3,FALSE),0)</f>
        <v>0</v>
      </c>
      <c r="AT1456" s="246">
        <f>IFERROR(VLOOKUP(D1456,VOL_REC[],2,FALSE),0)</f>
        <v>0</v>
      </c>
      <c r="AU1456" s="246">
        <f>IFERROR(VLOOKUP(E1456,VOL_REC[],2,FALSE),0)</f>
        <v>0</v>
      </c>
      <c r="AV1456" s="246">
        <f>IFERROR(VLOOKUP(F1456,VOL_REC[],2,FALSE),0)</f>
        <v>11089674.200000001</v>
      </c>
      <c r="AW1456" s="246">
        <f>IFERROR(VLOOKUP(G1456,VOL_REC[],2,FALSE),0)</f>
        <v>15540036.397699751</v>
      </c>
      <c r="AX1456" s="246">
        <f>IFERROR(VLOOKUP(H1456,VOL_REC[],2,FALSE),0)</f>
        <v>240696.79238099116</v>
      </c>
      <c r="AY1456" s="246">
        <f>IFERROR(VLOOKUP(I1456,VOL_REC[],2,FALSE),0)</f>
        <v>663244.80000000016</v>
      </c>
      <c r="AZ1456" s="246">
        <f>IFERROR(VLOOKUP(J1456,VOL_REC[],2,FALSE),0)</f>
        <v>105072</v>
      </c>
      <c r="BA1456" s="246">
        <f>IFERROR(VLOOKUP(K1456,VOL_REC[],2,FALSE),0)</f>
        <v>1072354.9981737854</v>
      </c>
      <c r="BB1456" s="246">
        <f>IFERROR(VLOOKUP(L1456,VOL_REC[],2,FALSE),0)</f>
        <v>740113.98115702497</v>
      </c>
      <c r="BC1456" s="246">
        <f>IFERROR(VLOOKUP(M1456,VOL_REC[],2,FALSE),0)</f>
        <v>0</v>
      </c>
      <c r="BD1456" s="246">
        <f>IFERROR(VLOOKUP(N1456,VOL_REC[],2,FALSE),0)</f>
        <v>0</v>
      </c>
      <c r="BE1456" s="246">
        <f>IFERROR(VLOOKUP(O1456,VOL_REC[],2,FALSE),0)</f>
        <v>0</v>
      </c>
      <c r="BF1456" s="246">
        <f>IFERROR(VLOOKUP(P1456,VOL_REC[],2,FALSE),0)</f>
        <v>0</v>
      </c>
      <c r="BG1456" s="246">
        <f>IFERROR(VLOOKUP(Q1456,VOL_REC[],2,FALSE),0)</f>
        <v>0</v>
      </c>
      <c r="BH1456" s="1710">
        <f t="shared" si="88"/>
        <v>24332286975.146526</v>
      </c>
      <c r="BI1456" s="1710">
        <f t="shared" si="89"/>
        <v>20757540094.969532</v>
      </c>
      <c r="BJ1456" s="1711">
        <f t="shared" si="90"/>
        <v>29451193.169411555</v>
      </c>
      <c r="BK1456" s="1711">
        <f t="shared" si="91"/>
        <v>1.1722143791519553</v>
      </c>
      <c r="BL1456">
        <f>BJ1456</f>
        <v>29451193.169411555</v>
      </c>
      <c r="BO1456">
        <f>BL1456</f>
        <v>29451193.169411555</v>
      </c>
    </row>
    <row r="1457" spans="3:67" x14ac:dyDescent="0.25">
      <c r="C1457" s="246" t="s">
        <v>2807</v>
      </c>
      <c r="D1457" s="246">
        <v>1</v>
      </c>
      <c r="E1457" s="246">
        <v>2</v>
      </c>
      <c r="F1457" s="246">
        <v>3</v>
      </c>
      <c r="G1457" s="246">
        <v>6</v>
      </c>
      <c r="H1457" s="246">
        <v>12</v>
      </c>
      <c r="I1457" s="246">
        <v>14</v>
      </c>
      <c r="J1457" s="246">
        <v>15</v>
      </c>
      <c r="K1457" s="246">
        <v>16</v>
      </c>
      <c r="L1457" s="246">
        <v>17</v>
      </c>
      <c r="M1457" s="246"/>
      <c r="N1457" s="246"/>
      <c r="O1457" s="246"/>
      <c r="P1457" s="246"/>
      <c r="Q1457" s="246"/>
      <c r="R1457" s="246">
        <f>IFERROR(VLOOKUP(D1457,PROGRAMAS[],2,FALSE),0)</f>
        <v>97037803.679377079</v>
      </c>
      <c r="S1457" s="246">
        <f>IFERROR(VLOOKUP(E1457,PROGRAMAS[],2,FALSE),0)</f>
        <v>640501509.6821388</v>
      </c>
      <c r="T1457" s="246">
        <f>IFERROR(VLOOKUP(F1457,PROGRAMAS[],2,FALSE),0)</f>
        <v>3062327798.1525245</v>
      </c>
      <c r="U1457" s="246">
        <f>IFERROR(VLOOKUP(G1457,PROGRAMAS[],2,FALSE),0)</f>
        <v>6907648435.8447599</v>
      </c>
      <c r="V1457" s="246">
        <f>IFERROR(VLOOKUP(H1457,PROGRAMAS[],2,FALSE),0)</f>
        <v>764796700.79905891</v>
      </c>
      <c r="W1457" s="246">
        <f>IFERROR(VLOOKUP(I1457,PROGRAMAS[],2,FALSE),0)</f>
        <v>54223862.645839565</v>
      </c>
      <c r="X1457" s="246">
        <f>IFERROR(VLOOKUP(J1457,PROGRAMAS[],2,FALSE),0)</f>
        <v>122159672.96346797</v>
      </c>
      <c r="Y1457" s="246">
        <f>IFERROR(VLOOKUP(K1457,PROGRAMAS[],2,FALSE),0)</f>
        <v>7068496961.0436354</v>
      </c>
      <c r="Z1457" s="246">
        <f>IFERROR(VLOOKUP(L1457,PROGRAMAS[],2,FALSE),0)</f>
        <v>1892779498.5211046</v>
      </c>
      <c r="AA1457" s="246">
        <f>IFERROR(VLOOKUP(M1457,PROGRAMAS[],2,FALSE),0)</f>
        <v>0</v>
      </c>
      <c r="AB1457" s="246">
        <f>IFERROR(VLOOKUP(N1457,PROGRAMAS[],2,FALSE),0)</f>
        <v>0</v>
      </c>
      <c r="AC1457" s="246">
        <f>IFERROR(VLOOKUP(O1457,PROGRAMAS[],2,FALSE),0)</f>
        <v>0</v>
      </c>
      <c r="AD1457" s="246">
        <f>IFERROR(VLOOKUP(P1457,PROGRAMAS[],2,FALSE),0)</f>
        <v>0</v>
      </c>
      <c r="AE1457" s="246">
        <f>IFERROR(VLOOKUP(Q1457,PROGRAMAS[],2,FALSE),0)</f>
        <v>0</v>
      </c>
      <c r="AF1457" s="246">
        <f>IFERROR(VLOOKUP(D1457,PROGRAMAS[],3,FALSE),0)</f>
        <v>841888629.31080008</v>
      </c>
      <c r="AG1457" s="246">
        <f>IFERROR(VLOOKUP(E1457,PROGRAMAS[],3,FALSE),0)</f>
        <v>3848980803.1642323</v>
      </c>
      <c r="AH1457" s="246">
        <f>IFERROR(VLOOKUP(F1457,PROGRAMAS[],3,FALSE),0)</f>
        <v>3394901471.387517</v>
      </c>
      <c r="AI1457" s="246">
        <f>IFERROR(VLOOKUP(G1457,PROGRAMAS[],3,FALSE),0)</f>
        <v>6129902208.7912121</v>
      </c>
      <c r="AJ1457" s="246">
        <f>IFERROR(VLOOKUP(H1457,PROGRAMAS[],3,FALSE),0)</f>
        <v>675517840.109828</v>
      </c>
      <c r="AK1457" s="246">
        <f>IFERROR(VLOOKUP(I1457,PROGRAMAS[],3,FALSE),0)</f>
        <v>31865326.38096505</v>
      </c>
      <c r="AL1457" s="246">
        <f>IFERROR(VLOOKUP(J1457,PROGRAMAS[],3,FALSE),0)</f>
        <v>118617452.52510804</v>
      </c>
      <c r="AM1457" s="246">
        <f>IFERROR(VLOOKUP(K1457,PROGRAMAS[],3,FALSE),0)</f>
        <v>2406564599.0319901</v>
      </c>
      <c r="AN1457" s="246">
        <f>IFERROR(VLOOKUP(L1457,PROGRAMAS[],3,FALSE),0)</f>
        <v>948595847.09039903</v>
      </c>
      <c r="AO1457" s="246">
        <f>IFERROR(VLOOKUP(M1457,PROGRAMAS[],3,FALSE),0)</f>
        <v>0</v>
      </c>
      <c r="AP1457" s="246">
        <f>IFERROR(VLOOKUP(N1457,PROGRAMAS[],3,FALSE),0)</f>
        <v>0</v>
      </c>
      <c r="AQ1457" s="246">
        <f>IFERROR(VLOOKUP(O1457,PROGRAMAS[],3,FALSE),0)</f>
        <v>0</v>
      </c>
      <c r="AR1457" s="246">
        <f>IFERROR(VLOOKUP(P1457,PROGRAMAS[],3,FALSE),0)</f>
        <v>0</v>
      </c>
      <c r="AS1457" s="246">
        <f>IFERROR(VLOOKUP(Q1457,PROGRAMAS[],3,FALSE),0)</f>
        <v>0</v>
      </c>
      <c r="AT1457" s="246">
        <f>IFERROR(VLOOKUP(D1457,VOL_REC[],2,FALSE),0)</f>
        <v>0</v>
      </c>
      <c r="AU1457" s="246">
        <f>IFERROR(VLOOKUP(E1457,VOL_REC[],2,FALSE),0)</f>
        <v>0</v>
      </c>
      <c r="AV1457" s="246">
        <f>IFERROR(VLOOKUP(F1457,VOL_REC[],2,FALSE),0)</f>
        <v>11089674.200000001</v>
      </c>
      <c r="AW1457" s="246">
        <f>IFERROR(VLOOKUP(G1457,VOL_REC[],2,FALSE),0)</f>
        <v>15540036.397699751</v>
      </c>
      <c r="AX1457" s="246">
        <f>IFERROR(VLOOKUP(H1457,VOL_REC[],2,FALSE),0)</f>
        <v>240696.79238099116</v>
      </c>
      <c r="AY1457" s="246">
        <f>IFERROR(VLOOKUP(I1457,VOL_REC[],2,FALSE),0)</f>
        <v>17074.045034105649</v>
      </c>
      <c r="AZ1457" s="246">
        <f>IFERROR(VLOOKUP(J1457,VOL_REC[],2,FALSE),0)</f>
        <v>105072</v>
      </c>
      <c r="BA1457" s="246">
        <f>IFERROR(VLOOKUP(K1457,VOL_REC[],2,FALSE),0)</f>
        <v>1072354.9981737854</v>
      </c>
      <c r="BB1457" s="246">
        <f>IFERROR(VLOOKUP(L1457,VOL_REC[],2,FALSE),0)</f>
        <v>740113.98115702497</v>
      </c>
      <c r="BC1457" s="246">
        <f>IFERROR(VLOOKUP(M1457,VOL_REC[],2,FALSE),0)</f>
        <v>0</v>
      </c>
      <c r="BD1457" s="246">
        <f>IFERROR(VLOOKUP(N1457,VOL_REC[],2,FALSE),0)</f>
        <v>0</v>
      </c>
      <c r="BE1457" s="246">
        <f>IFERROR(VLOOKUP(O1457,VOL_REC[],2,FALSE),0)</f>
        <v>0</v>
      </c>
      <c r="BF1457" s="246">
        <f>IFERROR(VLOOKUP(P1457,VOL_REC[],2,FALSE),0)</f>
        <v>0</v>
      </c>
      <c r="BG1457" s="246">
        <f>IFERROR(VLOOKUP(Q1457,VOL_REC[],2,FALSE),0)</f>
        <v>0</v>
      </c>
      <c r="BH1457" s="1710">
        <f t="shared" si="88"/>
        <v>20609972243.331905</v>
      </c>
      <c r="BI1457" s="1710">
        <f t="shared" si="89"/>
        <v>18396834177.792053</v>
      </c>
      <c r="BJ1457" s="1711">
        <f t="shared" si="90"/>
        <v>28805022.414445661</v>
      </c>
      <c r="BK1457" s="1711">
        <f t="shared" si="91"/>
        <v>1.1202999409654661</v>
      </c>
      <c r="BL1457">
        <f>BJ1457</f>
        <v>28805022.414445661</v>
      </c>
      <c r="BO1457">
        <f>BL1457</f>
        <v>28805022.414445661</v>
      </c>
    </row>
    <row r="1458" spans="3:67" x14ac:dyDescent="0.25">
      <c r="C1458" s="246" t="s">
        <v>2808</v>
      </c>
      <c r="D1458" s="246">
        <v>1</v>
      </c>
      <c r="E1458" s="246">
        <v>2</v>
      </c>
      <c r="F1458" s="246">
        <v>3</v>
      </c>
      <c r="G1458" s="246">
        <v>6</v>
      </c>
      <c r="H1458" s="246">
        <v>13</v>
      </c>
      <c r="I1458" s="246">
        <v>14</v>
      </c>
      <c r="J1458" s="246">
        <v>15</v>
      </c>
      <c r="K1458" s="246">
        <v>16</v>
      </c>
      <c r="L1458" s="246">
        <v>17</v>
      </c>
      <c r="M1458" s="246"/>
      <c r="N1458" s="246"/>
      <c r="O1458" s="246"/>
      <c r="P1458" s="246"/>
      <c r="Q1458" s="246"/>
      <c r="R1458" s="246">
        <f>IFERROR(VLOOKUP(D1458,PROGRAMAS[],2,FALSE),0)</f>
        <v>97037803.679377079</v>
      </c>
      <c r="S1458" s="246">
        <f>IFERROR(VLOOKUP(E1458,PROGRAMAS[],2,FALSE),0)</f>
        <v>640501509.6821388</v>
      </c>
      <c r="T1458" s="246">
        <f>IFERROR(VLOOKUP(F1458,PROGRAMAS[],2,FALSE),0)</f>
        <v>3062327798.1525245</v>
      </c>
      <c r="U1458" s="246">
        <f>IFERROR(VLOOKUP(G1458,PROGRAMAS[],2,FALSE),0)</f>
        <v>6907648435.8447599</v>
      </c>
      <c r="V1458" s="246">
        <f>IFERROR(VLOOKUP(H1458,PROGRAMAS[],2,FALSE),0)</f>
        <v>3776538594.4604583</v>
      </c>
      <c r="W1458" s="246">
        <f>IFERROR(VLOOKUP(I1458,PROGRAMAS[],2,FALSE),0)</f>
        <v>54223862.645839565</v>
      </c>
      <c r="X1458" s="246">
        <f>IFERROR(VLOOKUP(J1458,PROGRAMAS[],2,FALSE),0)</f>
        <v>122159672.96346797</v>
      </c>
      <c r="Y1458" s="246">
        <f>IFERROR(VLOOKUP(K1458,PROGRAMAS[],2,FALSE),0)</f>
        <v>7068496961.0436354</v>
      </c>
      <c r="Z1458" s="246">
        <f>IFERROR(VLOOKUP(L1458,PROGRAMAS[],2,FALSE),0)</f>
        <v>1892779498.5211046</v>
      </c>
      <c r="AA1458" s="246">
        <f>IFERROR(VLOOKUP(M1458,PROGRAMAS[],2,FALSE),0)</f>
        <v>0</v>
      </c>
      <c r="AB1458" s="246">
        <f>IFERROR(VLOOKUP(N1458,PROGRAMAS[],2,FALSE),0)</f>
        <v>0</v>
      </c>
      <c r="AC1458" s="246">
        <f>IFERROR(VLOOKUP(O1458,PROGRAMAS[],2,FALSE),0)</f>
        <v>0</v>
      </c>
      <c r="AD1458" s="246">
        <f>IFERROR(VLOOKUP(P1458,PROGRAMAS[],2,FALSE),0)</f>
        <v>0</v>
      </c>
      <c r="AE1458" s="246">
        <f>IFERROR(VLOOKUP(Q1458,PROGRAMAS[],2,FALSE),0)</f>
        <v>0</v>
      </c>
      <c r="AF1458" s="246">
        <f>IFERROR(VLOOKUP(D1458,PROGRAMAS[],3,FALSE),0)</f>
        <v>841888629.31080008</v>
      </c>
      <c r="AG1458" s="246">
        <f>IFERROR(VLOOKUP(E1458,PROGRAMAS[],3,FALSE),0)</f>
        <v>3848980803.1642323</v>
      </c>
      <c r="AH1458" s="246">
        <f>IFERROR(VLOOKUP(F1458,PROGRAMAS[],3,FALSE),0)</f>
        <v>3394901471.387517</v>
      </c>
      <c r="AI1458" s="246">
        <f>IFERROR(VLOOKUP(G1458,PROGRAMAS[],3,FALSE),0)</f>
        <v>6129902208.7912121</v>
      </c>
      <c r="AJ1458" s="246">
        <f>IFERROR(VLOOKUP(H1458,PROGRAMAS[],3,FALSE),0)</f>
        <v>2392571243.5584412</v>
      </c>
      <c r="AK1458" s="246">
        <f>IFERROR(VLOOKUP(I1458,PROGRAMAS[],3,FALSE),0)</f>
        <v>31865326.38096505</v>
      </c>
      <c r="AL1458" s="246">
        <f>IFERROR(VLOOKUP(J1458,PROGRAMAS[],3,FALSE),0)</f>
        <v>118617452.52510804</v>
      </c>
      <c r="AM1458" s="246">
        <f>IFERROR(VLOOKUP(K1458,PROGRAMAS[],3,FALSE),0)</f>
        <v>2406564599.0319901</v>
      </c>
      <c r="AN1458" s="246">
        <f>IFERROR(VLOOKUP(L1458,PROGRAMAS[],3,FALSE),0)</f>
        <v>948595847.09039903</v>
      </c>
      <c r="AO1458" s="246">
        <f>IFERROR(VLOOKUP(M1458,PROGRAMAS[],3,FALSE),0)</f>
        <v>0</v>
      </c>
      <c r="AP1458" s="246">
        <f>IFERROR(VLOOKUP(N1458,PROGRAMAS[],3,FALSE),0)</f>
        <v>0</v>
      </c>
      <c r="AQ1458" s="246">
        <f>IFERROR(VLOOKUP(O1458,PROGRAMAS[],3,FALSE),0)</f>
        <v>0</v>
      </c>
      <c r="AR1458" s="246">
        <f>IFERROR(VLOOKUP(P1458,PROGRAMAS[],3,FALSE),0)</f>
        <v>0</v>
      </c>
      <c r="AS1458" s="246">
        <f>IFERROR(VLOOKUP(Q1458,PROGRAMAS[],3,FALSE),0)</f>
        <v>0</v>
      </c>
      <c r="AT1458" s="246">
        <f>IFERROR(VLOOKUP(D1458,VOL_REC[],2,FALSE),0)</f>
        <v>0</v>
      </c>
      <c r="AU1458" s="246">
        <f>IFERROR(VLOOKUP(E1458,VOL_REC[],2,FALSE),0)</f>
        <v>0</v>
      </c>
      <c r="AV1458" s="246">
        <f>IFERROR(VLOOKUP(F1458,VOL_REC[],2,FALSE),0)</f>
        <v>11089674.200000001</v>
      </c>
      <c r="AW1458" s="246">
        <f>IFERROR(VLOOKUP(G1458,VOL_REC[],2,FALSE),0)</f>
        <v>15540036.397699751</v>
      </c>
      <c r="AX1458" s="246">
        <f>IFERROR(VLOOKUP(H1458,VOL_REC[],2,FALSE),0)</f>
        <v>663244.80000000016</v>
      </c>
      <c r="AY1458" s="246">
        <f>IFERROR(VLOOKUP(I1458,VOL_REC[],2,FALSE),0)</f>
        <v>17074.045034105649</v>
      </c>
      <c r="AZ1458" s="246">
        <f>IFERROR(VLOOKUP(J1458,VOL_REC[],2,FALSE),0)</f>
        <v>105072</v>
      </c>
      <c r="BA1458" s="246">
        <f>IFERROR(VLOOKUP(K1458,VOL_REC[],2,FALSE),0)</f>
        <v>1072354.9981737854</v>
      </c>
      <c r="BB1458" s="246">
        <f>IFERROR(VLOOKUP(L1458,VOL_REC[],2,FALSE),0)</f>
        <v>740113.98115702497</v>
      </c>
      <c r="BC1458" s="246">
        <f>IFERROR(VLOOKUP(M1458,VOL_REC[],2,FALSE),0)</f>
        <v>0</v>
      </c>
      <c r="BD1458" s="246">
        <f>IFERROR(VLOOKUP(N1458,VOL_REC[],2,FALSE),0)</f>
        <v>0</v>
      </c>
      <c r="BE1458" s="246">
        <f>IFERROR(VLOOKUP(O1458,VOL_REC[],2,FALSE),0)</f>
        <v>0</v>
      </c>
      <c r="BF1458" s="246">
        <f>IFERROR(VLOOKUP(P1458,VOL_REC[],2,FALSE),0)</f>
        <v>0</v>
      </c>
      <c r="BG1458" s="246">
        <f>IFERROR(VLOOKUP(Q1458,VOL_REC[],2,FALSE),0)</f>
        <v>0</v>
      </c>
      <c r="BH1458" s="1710">
        <f t="shared" si="88"/>
        <v>23621714136.993305</v>
      </c>
      <c r="BI1458" s="1710">
        <f t="shared" si="89"/>
        <v>20113887581.240669</v>
      </c>
      <c r="BJ1458" s="1711">
        <f t="shared" si="90"/>
        <v>29227570.422064669</v>
      </c>
      <c r="BK1458" s="1711">
        <f t="shared" si="91"/>
        <v>1.174398238112071</v>
      </c>
      <c r="BL1458">
        <f>BJ1458</f>
        <v>29227570.422064669</v>
      </c>
      <c r="BO1458">
        <f>BL1458</f>
        <v>29227570.422064669</v>
      </c>
    </row>
    <row r="1459" spans="3:67" x14ac:dyDescent="0.25">
      <c r="C1459" s="246" t="s">
        <v>2809</v>
      </c>
      <c r="D1459" s="246">
        <v>1</v>
      </c>
      <c r="E1459" s="246">
        <v>2</v>
      </c>
      <c r="F1459" s="246">
        <v>3</v>
      </c>
      <c r="G1459" s="246">
        <v>9</v>
      </c>
      <c r="H1459" s="246">
        <v>10</v>
      </c>
      <c r="I1459" s="246">
        <v>12</v>
      </c>
      <c r="J1459" s="246">
        <v>13</v>
      </c>
      <c r="K1459" s="246">
        <v>14</v>
      </c>
      <c r="L1459" s="246">
        <v>15</v>
      </c>
      <c r="M1459" s="246"/>
      <c r="N1459" s="246"/>
      <c r="O1459" s="246"/>
      <c r="P1459" s="246"/>
      <c r="Q1459" s="246"/>
      <c r="R1459" s="246">
        <f>IFERROR(VLOOKUP(D1459,PROGRAMAS[],2,FALSE),0)</f>
        <v>97037803.679377079</v>
      </c>
      <c r="S1459" s="246">
        <f>IFERROR(VLOOKUP(E1459,PROGRAMAS[],2,FALSE),0)</f>
        <v>640501509.6821388</v>
      </c>
      <c r="T1459" s="246">
        <f>IFERROR(VLOOKUP(F1459,PROGRAMAS[],2,FALSE),0)</f>
        <v>3062327798.1525245</v>
      </c>
      <c r="U1459" s="246">
        <f>IFERROR(VLOOKUP(G1459,PROGRAMAS[],2,FALSE),0)</f>
        <v>6128579952.1618185</v>
      </c>
      <c r="V1459" s="246">
        <f>IFERROR(VLOOKUP(H1459,PROGRAMAS[],2,FALSE),0)</f>
        <v>4635315027.8751087</v>
      </c>
      <c r="W1459" s="246">
        <f>IFERROR(VLOOKUP(I1459,PROGRAMAS[],2,FALSE),0)</f>
        <v>764796700.79905891</v>
      </c>
      <c r="X1459" s="246">
        <f>IFERROR(VLOOKUP(J1459,PROGRAMAS[],2,FALSE),0)</f>
        <v>3776538594.4604583</v>
      </c>
      <c r="Y1459" s="246">
        <f>IFERROR(VLOOKUP(K1459,PROGRAMAS[],2,FALSE),0)</f>
        <v>54223862.645839565</v>
      </c>
      <c r="Z1459" s="246">
        <f>IFERROR(VLOOKUP(L1459,PROGRAMAS[],2,FALSE),0)</f>
        <v>122159672.96346797</v>
      </c>
      <c r="AA1459" s="246">
        <f>IFERROR(VLOOKUP(M1459,PROGRAMAS[],2,FALSE),0)</f>
        <v>0</v>
      </c>
      <c r="AB1459" s="246">
        <f>IFERROR(VLOOKUP(N1459,PROGRAMAS[],2,FALSE),0)</f>
        <v>0</v>
      </c>
      <c r="AC1459" s="246">
        <f>IFERROR(VLOOKUP(O1459,PROGRAMAS[],2,FALSE),0)</f>
        <v>0</v>
      </c>
      <c r="AD1459" s="246">
        <f>IFERROR(VLOOKUP(P1459,PROGRAMAS[],2,FALSE),0)</f>
        <v>0</v>
      </c>
      <c r="AE1459" s="246">
        <f>IFERROR(VLOOKUP(Q1459,PROGRAMAS[],2,FALSE),0)</f>
        <v>0</v>
      </c>
      <c r="AF1459" s="246">
        <f>IFERROR(VLOOKUP(D1459,PROGRAMAS[],3,FALSE),0)</f>
        <v>841888629.31080008</v>
      </c>
      <c r="AG1459" s="246">
        <f>IFERROR(VLOOKUP(E1459,PROGRAMAS[],3,FALSE),0)</f>
        <v>3848980803.1642323</v>
      </c>
      <c r="AH1459" s="246">
        <f>IFERROR(VLOOKUP(F1459,PROGRAMAS[],3,FALSE),0)</f>
        <v>3394901471.387517</v>
      </c>
      <c r="AI1459" s="246">
        <f>IFERROR(VLOOKUP(G1459,PROGRAMAS[],3,FALSE),0)</f>
        <v>7011279577.519702</v>
      </c>
      <c r="AJ1459" s="246">
        <f>IFERROR(VLOOKUP(H1459,PROGRAMAS[],3,FALSE),0)</f>
        <v>4099471734.9978786</v>
      </c>
      <c r="AK1459" s="246">
        <f>IFERROR(VLOOKUP(I1459,PROGRAMAS[],3,FALSE),0)</f>
        <v>675517840.109828</v>
      </c>
      <c r="AL1459" s="246">
        <f>IFERROR(VLOOKUP(J1459,PROGRAMAS[],3,FALSE),0)</f>
        <v>2392571243.5584412</v>
      </c>
      <c r="AM1459" s="246">
        <f>IFERROR(VLOOKUP(K1459,PROGRAMAS[],3,FALSE),0)</f>
        <v>31865326.38096505</v>
      </c>
      <c r="AN1459" s="246">
        <f>IFERROR(VLOOKUP(L1459,PROGRAMAS[],3,FALSE),0)</f>
        <v>118617452.52510804</v>
      </c>
      <c r="AO1459" s="246">
        <f>IFERROR(VLOOKUP(M1459,PROGRAMAS[],3,FALSE),0)</f>
        <v>0</v>
      </c>
      <c r="AP1459" s="246">
        <f>IFERROR(VLOOKUP(N1459,PROGRAMAS[],3,FALSE),0)</f>
        <v>0</v>
      </c>
      <c r="AQ1459" s="246">
        <f>IFERROR(VLOOKUP(O1459,PROGRAMAS[],3,FALSE),0)</f>
        <v>0</v>
      </c>
      <c r="AR1459" s="246">
        <f>IFERROR(VLOOKUP(P1459,PROGRAMAS[],3,FALSE),0)</f>
        <v>0</v>
      </c>
      <c r="AS1459" s="246">
        <f>IFERROR(VLOOKUP(Q1459,PROGRAMAS[],3,FALSE),0)</f>
        <v>0</v>
      </c>
      <c r="AT1459" s="246">
        <f>IFERROR(VLOOKUP(D1459,VOL_REC[],2,FALSE),0)</f>
        <v>0</v>
      </c>
      <c r="AU1459" s="246">
        <f>IFERROR(VLOOKUP(E1459,VOL_REC[],2,FALSE),0)</f>
        <v>0</v>
      </c>
      <c r="AV1459" s="246">
        <f>IFERROR(VLOOKUP(F1459,VOL_REC[],2,FALSE),0)</f>
        <v>11089674.200000001</v>
      </c>
      <c r="AW1459" s="246">
        <f>IFERROR(VLOOKUP(G1459,VOL_REC[],2,FALSE),0)</f>
        <v>3761786</v>
      </c>
      <c r="AX1459" s="246">
        <f>IFERROR(VLOOKUP(H1459,VOL_REC[],2,FALSE),0)</f>
        <v>1812240</v>
      </c>
      <c r="AY1459" s="246">
        <f>IFERROR(VLOOKUP(I1459,VOL_REC[],2,FALSE),0)</f>
        <v>240696.79238099116</v>
      </c>
      <c r="AZ1459" s="246">
        <f>IFERROR(VLOOKUP(J1459,VOL_REC[],2,FALSE),0)</f>
        <v>663244.80000000016</v>
      </c>
      <c r="BA1459" s="246">
        <f>IFERROR(VLOOKUP(K1459,VOL_REC[],2,FALSE),0)</f>
        <v>17074.045034105649</v>
      </c>
      <c r="BB1459" s="246">
        <f>IFERROR(VLOOKUP(L1459,VOL_REC[],2,FALSE),0)</f>
        <v>105072</v>
      </c>
      <c r="BC1459" s="246">
        <f>IFERROR(VLOOKUP(M1459,VOL_REC[],2,FALSE),0)</f>
        <v>0</v>
      </c>
      <c r="BD1459" s="246">
        <f>IFERROR(VLOOKUP(N1459,VOL_REC[],2,FALSE),0)</f>
        <v>0</v>
      </c>
      <c r="BE1459" s="246">
        <f>IFERROR(VLOOKUP(O1459,VOL_REC[],2,FALSE),0)</f>
        <v>0</v>
      </c>
      <c r="BF1459" s="246">
        <f>IFERROR(VLOOKUP(P1459,VOL_REC[],2,FALSE),0)</f>
        <v>0</v>
      </c>
      <c r="BG1459" s="246">
        <f>IFERROR(VLOOKUP(Q1459,VOL_REC[],2,FALSE),0)</f>
        <v>0</v>
      </c>
      <c r="BH1459" s="1710">
        <f t="shared" si="88"/>
        <v>19281480922.419792</v>
      </c>
      <c r="BI1459" s="1710">
        <f t="shared" si="89"/>
        <v>22415094078.954475</v>
      </c>
      <c r="BJ1459" s="1711">
        <f t="shared" si="90"/>
        <v>17689787.837415099</v>
      </c>
      <c r="BK1459" s="1711">
        <f t="shared" si="91"/>
        <v>0.86020075822582287</v>
      </c>
    </row>
    <row r="1460" spans="3:67" x14ac:dyDescent="0.25">
      <c r="C1460" s="246" t="s">
        <v>2810</v>
      </c>
      <c r="D1460" s="246">
        <v>1</v>
      </c>
      <c r="E1460" s="246">
        <v>2</v>
      </c>
      <c r="F1460" s="246">
        <v>3</v>
      </c>
      <c r="G1460" s="246">
        <v>9</v>
      </c>
      <c r="H1460" s="246">
        <v>10</v>
      </c>
      <c r="I1460" s="246">
        <v>12</v>
      </c>
      <c r="J1460" s="246">
        <v>13</v>
      </c>
      <c r="K1460" s="246">
        <v>14</v>
      </c>
      <c r="L1460" s="246">
        <v>16</v>
      </c>
      <c r="M1460" s="246"/>
      <c r="N1460" s="246"/>
      <c r="O1460" s="246"/>
      <c r="P1460" s="246"/>
      <c r="Q1460" s="246"/>
      <c r="R1460" s="246">
        <f>IFERROR(VLOOKUP(D1460,PROGRAMAS[],2,FALSE),0)</f>
        <v>97037803.679377079</v>
      </c>
      <c r="S1460" s="246">
        <f>IFERROR(VLOOKUP(E1460,PROGRAMAS[],2,FALSE),0)</f>
        <v>640501509.6821388</v>
      </c>
      <c r="T1460" s="246">
        <f>IFERROR(VLOOKUP(F1460,PROGRAMAS[],2,FALSE),0)</f>
        <v>3062327798.1525245</v>
      </c>
      <c r="U1460" s="246">
        <f>IFERROR(VLOOKUP(G1460,PROGRAMAS[],2,FALSE),0)</f>
        <v>6128579952.1618185</v>
      </c>
      <c r="V1460" s="246">
        <f>IFERROR(VLOOKUP(H1460,PROGRAMAS[],2,FALSE),0)</f>
        <v>4635315027.8751087</v>
      </c>
      <c r="W1460" s="246">
        <f>IFERROR(VLOOKUP(I1460,PROGRAMAS[],2,FALSE),0)</f>
        <v>764796700.79905891</v>
      </c>
      <c r="X1460" s="246">
        <f>IFERROR(VLOOKUP(J1460,PROGRAMAS[],2,FALSE),0)</f>
        <v>3776538594.4604583</v>
      </c>
      <c r="Y1460" s="246">
        <f>IFERROR(VLOOKUP(K1460,PROGRAMAS[],2,FALSE),0)</f>
        <v>54223862.645839565</v>
      </c>
      <c r="Z1460" s="246">
        <f>IFERROR(VLOOKUP(L1460,PROGRAMAS[],2,FALSE),0)</f>
        <v>7068496961.0436354</v>
      </c>
      <c r="AA1460" s="246">
        <f>IFERROR(VLOOKUP(M1460,PROGRAMAS[],2,FALSE),0)</f>
        <v>0</v>
      </c>
      <c r="AB1460" s="246">
        <f>IFERROR(VLOOKUP(N1460,PROGRAMAS[],2,FALSE),0)</f>
        <v>0</v>
      </c>
      <c r="AC1460" s="246">
        <f>IFERROR(VLOOKUP(O1460,PROGRAMAS[],2,FALSE),0)</f>
        <v>0</v>
      </c>
      <c r="AD1460" s="246">
        <f>IFERROR(VLOOKUP(P1460,PROGRAMAS[],2,FALSE),0)</f>
        <v>0</v>
      </c>
      <c r="AE1460" s="246">
        <f>IFERROR(VLOOKUP(Q1460,PROGRAMAS[],2,FALSE),0)</f>
        <v>0</v>
      </c>
      <c r="AF1460" s="246">
        <f>IFERROR(VLOOKUP(D1460,PROGRAMAS[],3,FALSE),0)</f>
        <v>841888629.31080008</v>
      </c>
      <c r="AG1460" s="246">
        <f>IFERROR(VLOOKUP(E1460,PROGRAMAS[],3,FALSE),0)</f>
        <v>3848980803.1642323</v>
      </c>
      <c r="AH1460" s="246">
        <f>IFERROR(VLOOKUP(F1460,PROGRAMAS[],3,FALSE),0)</f>
        <v>3394901471.387517</v>
      </c>
      <c r="AI1460" s="246">
        <f>IFERROR(VLOOKUP(G1460,PROGRAMAS[],3,FALSE),0)</f>
        <v>7011279577.519702</v>
      </c>
      <c r="AJ1460" s="246">
        <f>IFERROR(VLOOKUP(H1460,PROGRAMAS[],3,FALSE),0)</f>
        <v>4099471734.9978786</v>
      </c>
      <c r="AK1460" s="246">
        <f>IFERROR(VLOOKUP(I1460,PROGRAMAS[],3,FALSE),0)</f>
        <v>675517840.109828</v>
      </c>
      <c r="AL1460" s="246">
        <f>IFERROR(VLOOKUP(J1460,PROGRAMAS[],3,FALSE),0)</f>
        <v>2392571243.5584412</v>
      </c>
      <c r="AM1460" s="246">
        <f>IFERROR(VLOOKUP(K1460,PROGRAMAS[],3,FALSE),0)</f>
        <v>31865326.38096505</v>
      </c>
      <c r="AN1460" s="246">
        <f>IFERROR(VLOOKUP(L1460,PROGRAMAS[],3,FALSE),0)</f>
        <v>2406564599.0319901</v>
      </c>
      <c r="AO1460" s="246">
        <f>IFERROR(VLOOKUP(M1460,PROGRAMAS[],3,FALSE),0)</f>
        <v>0</v>
      </c>
      <c r="AP1460" s="246">
        <f>IFERROR(VLOOKUP(N1460,PROGRAMAS[],3,FALSE),0)</f>
        <v>0</v>
      </c>
      <c r="AQ1460" s="246">
        <f>IFERROR(VLOOKUP(O1460,PROGRAMAS[],3,FALSE),0)</f>
        <v>0</v>
      </c>
      <c r="AR1460" s="246">
        <f>IFERROR(VLOOKUP(P1460,PROGRAMAS[],3,FALSE),0)</f>
        <v>0</v>
      </c>
      <c r="AS1460" s="246">
        <f>IFERROR(VLOOKUP(Q1460,PROGRAMAS[],3,FALSE),0)</f>
        <v>0</v>
      </c>
      <c r="AT1460" s="246">
        <f>IFERROR(VLOOKUP(D1460,VOL_REC[],2,FALSE),0)</f>
        <v>0</v>
      </c>
      <c r="AU1460" s="246">
        <f>IFERROR(VLOOKUP(E1460,VOL_REC[],2,FALSE),0)</f>
        <v>0</v>
      </c>
      <c r="AV1460" s="246">
        <f>IFERROR(VLOOKUP(F1460,VOL_REC[],2,FALSE),0)</f>
        <v>11089674.200000001</v>
      </c>
      <c r="AW1460" s="246">
        <f>IFERROR(VLOOKUP(G1460,VOL_REC[],2,FALSE),0)</f>
        <v>3761786</v>
      </c>
      <c r="AX1460" s="246">
        <f>IFERROR(VLOOKUP(H1460,VOL_REC[],2,FALSE),0)</f>
        <v>1812240</v>
      </c>
      <c r="AY1460" s="246">
        <f>IFERROR(VLOOKUP(I1460,VOL_REC[],2,FALSE),0)</f>
        <v>240696.79238099116</v>
      </c>
      <c r="AZ1460" s="246">
        <f>IFERROR(VLOOKUP(J1460,VOL_REC[],2,FALSE),0)</f>
        <v>663244.80000000016</v>
      </c>
      <c r="BA1460" s="246">
        <f>IFERROR(VLOOKUP(K1460,VOL_REC[],2,FALSE),0)</f>
        <v>17074.045034105649</v>
      </c>
      <c r="BB1460" s="246">
        <f>IFERROR(VLOOKUP(L1460,VOL_REC[],2,FALSE),0)</f>
        <v>1072354.9981737854</v>
      </c>
      <c r="BC1460" s="246">
        <f>IFERROR(VLOOKUP(M1460,VOL_REC[],2,FALSE),0)</f>
        <v>0</v>
      </c>
      <c r="BD1460" s="246">
        <f>IFERROR(VLOOKUP(N1460,VOL_REC[],2,FALSE),0)</f>
        <v>0</v>
      </c>
      <c r="BE1460" s="246">
        <f>IFERROR(VLOOKUP(O1460,VOL_REC[],2,FALSE),0)</f>
        <v>0</v>
      </c>
      <c r="BF1460" s="246">
        <f>IFERROR(VLOOKUP(P1460,VOL_REC[],2,FALSE),0)</f>
        <v>0</v>
      </c>
      <c r="BG1460" s="246">
        <f>IFERROR(VLOOKUP(Q1460,VOL_REC[],2,FALSE),0)</f>
        <v>0</v>
      </c>
      <c r="BH1460" s="1710">
        <f t="shared" si="88"/>
        <v>26227818210.499962</v>
      </c>
      <c r="BI1460" s="1710">
        <f t="shared" si="89"/>
        <v>24703041225.461357</v>
      </c>
      <c r="BJ1460" s="1711">
        <f t="shared" si="90"/>
        <v>18657070.835588884</v>
      </c>
      <c r="BK1460" s="1711">
        <f t="shared" si="91"/>
        <v>1.0617242618478497</v>
      </c>
      <c r="BL1460">
        <f>BJ1460</f>
        <v>18657070.835588884</v>
      </c>
      <c r="BO1460">
        <f>BL1460</f>
        <v>18657070.835588884</v>
      </c>
    </row>
    <row r="1461" spans="3:67" x14ac:dyDescent="0.25">
      <c r="C1461" s="246" t="s">
        <v>2811</v>
      </c>
      <c r="D1461" s="246">
        <v>1</v>
      </c>
      <c r="E1461" s="246">
        <v>2</v>
      </c>
      <c r="F1461" s="246">
        <v>3</v>
      </c>
      <c r="G1461" s="246">
        <v>9</v>
      </c>
      <c r="H1461" s="246">
        <v>10</v>
      </c>
      <c r="I1461" s="246">
        <v>12</v>
      </c>
      <c r="J1461" s="246">
        <v>13</v>
      </c>
      <c r="K1461" s="246">
        <v>14</v>
      </c>
      <c r="L1461" s="246">
        <v>17</v>
      </c>
      <c r="M1461" s="246"/>
      <c r="N1461" s="246"/>
      <c r="O1461" s="246"/>
      <c r="P1461" s="246"/>
      <c r="Q1461" s="246"/>
      <c r="R1461" s="246">
        <f>IFERROR(VLOOKUP(D1461,PROGRAMAS[],2,FALSE),0)</f>
        <v>97037803.679377079</v>
      </c>
      <c r="S1461" s="246">
        <f>IFERROR(VLOOKUP(E1461,PROGRAMAS[],2,FALSE),0)</f>
        <v>640501509.6821388</v>
      </c>
      <c r="T1461" s="246">
        <f>IFERROR(VLOOKUP(F1461,PROGRAMAS[],2,FALSE),0)</f>
        <v>3062327798.1525245</v>
      </c>
      <c r="U1461" s="246">
        <f>IFERROR(VLOOKUP(G1461,PROGRAMAS[],2,FALSE),0)</f>
        <v>6128579952.1618185</v>
      </c>
      <c r="V1461" s="246">
        <f>IFERROR(VLOOKUP(H1461,PROGRAMAS[],2,FALSE),0)</f>
        <v>4635315027.8751087</v>
      </c>
      <c r="W1461" s="246">
        <f>IFERROR(VLOOKUP(I1461,PROGRAMAS[],2,FALSE),0)</f>
        <v>764796700.79905891</v>
      </c>
      <c r="X1461" s="246">
        <f>IFERROR(VLOOKUP(J1461,PROGRAMAS[],2,FALSE),0)</f>
        <v>3776538594.4604583</v>
      </c>
      <c r="Y1461" s="246">
        <f>IFERROR(VLOOKUP(K1461,PROGRAMAS[],2,FALSE),0)</f>
        <v>54223862.645839565</v>
      </c>
      <c r="Z1461" s="246">
        <f>IFERROR(VLOOKUP(L1461,PROGRAMAS[],2,FALSE),0)</f>
        <v>1892779498.5211046</v>
      </c>
      <c r="AA1461" s="246">
        <f>IFERROR(VLOOKUP(M1461,PROGRAMAS[],2,FALSE),0)</f>
        <v>0</v>
      </c>
      <c r="AB1461" s="246">
        <f>IFERROR(VLOOKUP(N1461,PROGRAMAS[],2,FALSE),0)</f>
        <v>0</v>
      </c>
      <c r="AC1461" s="246">
        <f>IFERROR(VLOOKUP(O1461,PROGRAMAS[],2,FALSE),0)</f>
        <v>0</v>
      </c>
      <c r="AD1461" s="246">
        <f>IFERROR(VLOOKUP(P1461,PROGRAMAS[],2,FALSE),0)</f>
        <v>0</v>
      </c>
      <c r="AE1461" s="246">
        <f>IFERROR(VLOOKUP(Q1461,PROGRAMAS[],2,FALSE),0)</f>
        <v>0</v>
      </c>
      <c r="AF1461" s="246">
        <f>IFERROR(VLOOKUP(D1461,PROGRAMAS[],3,FALSE),0)</f>
        <v>841888629.31080008</v>
      </c>
      <c r="AG1461" s="246">
        <f>IFERROR(VLOOKUP(E1461,PROGRAMAS[],3,FALSE),0)</f>
        <v>3848980803.1642323</v>
      </c>
      <c r="AH1461" s="246">
        <f>IFERROR(VLOOKUP(F1461,PROGRAMAS[],3,FALSE),0)</f>
        <v>3394901471.387517</v>
      </c>
      <c r="AI1461" s="246">
        <f>IFERROR(VLOOKUP(G1461,PROGRAMAS[],3,FALSE),0)</f>
        <v>7011279577.519702</v>
      </c>
      <c r="AJ1461" s="246">
        <f>IFERROR(VLOOKUP(H1461,PROGRAMAS[],3,FALSE),0)</f>
        <v>4099471734.9978786</v>
      </c>
      <c r="AK1461" s="246">
        <f>IFERROR(VLOOKUP(I1461,PROGRAMAS[],3,FALSE),0)</f>
        <v>675517840.109828</v>
      </c>
      <c r="AL1461" s="246">
        <f>IFERROR(VLOOKUP(J1461,PROGRAMAS[],3,FALSE),0)</f>
        <v>2392571243.5584412</v>
      </c>
      <c r="AM1461" s="246">
        <f>IFERROR(VLOOKUP(K1461,PROGRAMAS[],3,FALSE),0)</f>
        <v>31865326.38096505</v>
      </c>
      <c r="AN1461" s="246">
        <f>IFERROR(VLOOKUP(L1461,PROGRAMAS[],3,FALSE),0)</f>
        <v>948595847.09039903</v>
      </c>
      <c r="AO1461" s="246">
        <f>IFERROR(VLOOKUP(M1461,PROGRAMAS[],3,FALSE),0)</f>
        <v>0</v>
      </c>
      <c r="AP1461" s="246">
        <f>IFERROR(VLOOKUP(N1461,PROGRAMAS[],3,FALSE),0)</f>
        <v>0</v>
      </c>
      <c r="AQ1461" s="246">
        <f>IFERROR(VLOOKUP(O1461,PROGRAMAS[],3,FALSE),0)</f>
        <v>0</v>
      </c>
      <c r="AR1461" s="246">
        <f>IFERROR(VLOOKUP(P1461,PROGRAMAS[],3,FALSE),0)</f>
        <v>0</v>
      </c>
      <c r="AS1461" s="246">
        <f>IFERROR(VLOOKUP(Q1461,PROGRAMAS[],3,FALSE),0)</f>
        <v>0</v>
      </c>
      <c r="AT1461" s="246">
        <f>IFERROR(VLOOKUP(D1461,VOL_REC[],2,FALSE),0)</f>
        <v>0</v>
      </c>
      <c r="AU1461" s="246">
        <f>IFERROR(VLOOKUP(E1461,VOL_REC[],2,FALSE),0)</f>
        <v>0</v>
      </c>
      <c r="AV1461" s="246">
        <f>IFERROR(VLOOKUP(F1461,VOL_REC[],2,FALSE),0)</f>
        <v>11089674.200000001</v>
      </c>
      <c r="AW1461" s="246">
        <f>IFERROR(VLOOKUP(G1461,VOL_REC[],2,FALSE),0)</f>
        <v>3761786</v>
      </c>
      <c r="AX1461" s="246">
        <f>IFERROR(VLOOKUP(H1461,VOL_REC[],2,FALSE),0)</f>
        <v>1812240</v>
      </c>
      <c r="AY1461" s="246">
        <f>IFERROR(VLOOKUP(I1461,VOL_REC[],2,FALSE),0)</f>
        <v>240696.79238099116</v>
      </c>
      <c r="AZ1461" s="246">
        <f>IFERROR(VLOOKUP(J1461,VOL_REC[],2,FALSE),0)</f>
        <v>663244.80000000016</v>
      </c>
      <c r="BA1461" s="246">
        <f>IFERROR(VLOOKUP(K1461,VOL_REC[],2,FALSE),0)</f>
        <v>17074.045034105649</v>
      </c>
      <c r="BB1461" s="246">
        <f>IFERROR(VLOOKUP(L1461,VOL_REC[],2,FALSE),0)</f>
        <v>740113.98115702497</v>
      </c>
      <c r="BC1461" s="246">
        <f>IFERROR(VLOOKUP(M1461,VOL_REC[],2,FALSE),0)</f>
        <v>0</v>
      </c>
      <c r="BD1461" s="246">
        <f>IFERROR(VLOOKUP(N1461,VOL_REC[],2,FALSE),0)</f>
        <v>0</v>
      </c>
      <c r="BE1461" s="246">
        <f>IFERROR(VLOOKUP(O1461,VOL_REC[],2,FALSE),0)</f>
        <v>0</v>
      </c>
      <c r="BF1461" s="246">
        <f>IFERROR(VLOOKUP(P1461,VOL_REC[],2,FALSE),0)</f>
        <v>0</v>
      </c>
      <c r="BG1461" s="246">
        <f>IFERROR(VLOOKUP(Q1461,VOL_REC[],2,FALSE),0)</f>
        <v>0</v>
      </c>
      <c r="BH1461" s="1710">
        <f t="shared" si="88"/>
        <v>21052100747.977428</v>
      </c>
      <c r="BI1461" s="1710">
        <f t="shared" si="89"/>
        <v>23245072473.519768</v>
      </c>
      <c r="BJ1461" s="1711">
        <f t="shared" si="90"/>
        <v>18324829.818572123</v>
      </c>
      <c r="BK1461" s="1711">
        <f t="shared" si="91"/>
        <v>0.90565864107154237</v>
      </c>
    </row>
    <row r="1462" spans="3:67" x14ac:dyDescent="0.25">
      <c r="C1462" s="246" t="s">
        <v>2812</v>
      </c>
      <c r="D1462" s="246">
        <v>1</v>
      </c>
      <c r="E1462" s="246">
        <v>2</v>
      </c>
      <c r="F1462" s="246">
        <v>3</v>
      </c>
      <c r="G1462" s="246">
        <v>9</v>
      </c>
      <c r="H1462" s="246">
        <v>10</v>
      </c>
      <c r="I1462" s="246">
        <v>12</v>
      </c>
      <c r="J1462" s="246">
        <v>13</v>
      </c>
      <c r="K1462" s="246">
        <v>15</v>
      </c>
      <c r="L1462" s="246">
        <v>16</v>
      </c>
      <c r="M1462" s="246"/>
      <c r="N1462" s="246"/>
      <c r="O1462" s="246"/>
      <c r="P1462" s="246"/>
      <c r="Q1462" s="246"/>
      <c r="R1462" s="246">
        <f>IFERROR(VLOOKUP(D1462,PROGRAMAS[],2,FALSE),0)</f>
        <v>97037803.679377079</v>
      </c>
      <c r="S1462" s="246">
        <f>IFERROR(VLOOKUP(E1462,PROGRAMAS[],2,FALSE),0)</f>
        <v>640501509.6821388</v>
      </c>
      <c r="T1462" s="246">
        <f>IFERROR(VLOOKUP(F1462,PROGRAMAS[],2,FALSE),0)</f>
        <v>3062327798.1525245</v>
      </c>
      <c r="U1462" s="246">
        <f>IFERROR(VLOOKUP(G1462,PROGRAMAS[],2,FALSE),0)</f>
        <v>6128579952.1618185</v>
      </c>
      <c r="V1462" s="246">
        <f>IFERROR(VLOOKUP(H1462,PROGRAMAS[],2,FALSE),0)</f>
        <v>4635315027.8751087</v>
      </c>
      <c r="W1462" s="246">
        <f>IFERROR(VLOOKUP(I1462,PROGRAMAS[],2,FALSE),0)</f>
        <v>764796700.79905891</v>
      </c>
      <c r="X1462" s="246">
        <f>IFERROR(VLOOKUP(J1462,PROGRAMAS[],2,FALSE),0)</f>
        <v>3776538594.4604583</v>
      </c>
      <c r="Y1462" s="246">
        <f>IFERROR(VLOOKUP(K1462,PROGRAMAS[],2,FALSE),0)</f>
        <v>122159672.96346797</v>
      </c>
      <c r="Z1462" s="246">
        <f>IFERROR(VLOOKUP(L1462,PROGRAMAS[],2,FALSE),0)</f>
        <v>7068496961.0436354</v>
      </c>
      <c r="AA1462" s="246">
        <f>IFERROR(VLOOKUP(M1462,PROGRAMAS[],2,FALSE),0)</f>
        <v>0</v>
      </c>
      <c r="AB1462" s="246">
        <f>IFERROR(VLOOKUP(N1462,PROGRAMAS[],2,FALSE),0)</f>
        <v>0</v>
      </c>
      <c r="AC1462" s="246">
        <f>IFERROR(VLOOKUP(O1462,PROGRAMAS[],2,FALSE),0)</f>
        <v>0</v>
      </c>
      <c r="AD1462" s="246">
        <f>IFERROR(VLOOKUP(P1462,PROGRAMAS[],2,FALSE),0)</f>
        <v>0</v>
      </c>
      <c r="AE1462" s="246">
        <f>IFERROR(VLOOKUP(Q1462,PROGRAMAS[],2,FALSE),0)</f>
        <v>0</v>
      </c>
      <c r="AF1462" s="246">
        <f>IFERROR(VLOOKUP(D1462,PROGRAMAS[],3,FALSE),0)</f>
        <v>841888629.31080008</v>
      </c>
      <c r="AG1462" s="246">
        <f>IFERROR(VLOOKUP(E1462,PROGRAMAS[],3,FALSE),0)</f>
        <v>3848980803.1642323</v>
      </c>
      <c r="AH1462" s="246">
        <f>IFERROR(VLOOKUP(F1462,PROGRAMAS[],3,FALSE),0)</f>
        <v>3394901471.387517</v>
      </c>
      <c r="AI1462" s="246">
        <f>IFERROR(VLOOKUP(G1462,PROGRAMAS[],3,FALSE),0)</f>
        <v>7011279577.519702</v>
      </c>
      <c r="AJ1462" s="246">
        <f>IFERROR(VLOOKUP(H1462,PROGRAMAS[],3,FALSE),0)</f>
        <v>4099471734.9978786</v>
      </c>
      <c r="AK1462" s="246">
        <f>IFERROR(VLOOKUP(I1462,PROGRAMAS[],3,FALSE),0)</f>
        <v>675517840.109828</v>
      </c>
      <c r="AL1462" s="246">
        <f>IFERROR(VLOOKUP(J1462,PROGRAMAS[],3,FALSE),0)</f>
        <v>2392571243.5584412</v>
      </c>
      <c r="AM1462" s="246">
        <f>IFERROR(VLOOKUP(K1462,PROGRAMAS[],3,FALSE),0)</f>
        <v>118617452.52510804</v>
      </c>
      <c r="AN1462" s="246">
        <f>IFERROR(VLOOKUP(L1462,PROGRAMAS[],3,FALSE),0)</f>
        <v>2406564599.0319901</v>
      </c>
      <c r="AO1462" s="246">
        <f>IFERROR(VLOOKUP(M1462,PROGRAMAS[],3,FALSE),0)</f>
        <v>0</v>
      </c>
      <c r="AP1462" s="246">
        <f>IFERROR(VLOOKUP(N1462,PROGRAMAS[],3,FALSE),0)</f>
        <v>0</v>
      </c>
      <c r="AQ1462" s="246">
        <f>IFERROR(VLOOKUP(O1462,PROGRAMAS[],3,FALSE),0)</f>
        <v>0</v>
      </c>
      <c r="AR1462" s="246">
        <f>IFERROR(VLOOKUP(P1462,PROGRAMAS[],3,FALSE),0)</f>
        <v>0</v>
      </c>
      <c r="AS1462" s="246">
        <f>IFERROR(VLOOKUP(Q1462,PROGRAMAS[],3,FALSE),0)</f>
        <v>0</v>
      </c>
      <c r="AT1462" s="246">
        <f>IFERROR(VLOOKUP(D1462,VOL_REC[],2,FALSE),0)</f>
        <v>0</v>
      </c>
      <c r="AU1462" s="246">
        <f>IFERROR(VLOOKUP(E1462,VOL_REC[],2,FALSE),0)</f>
        <v>0</v>
      </c>
      <c r="AV1462" s="246">
        <f>IFERROR(VLOOKUP(F1462,VOL_REC[],2,FALSE),0)</f>
        <v>11089674.200000001</v>
      </c>
      <c r="AW1462" s="246">
        <f>IFERROR(VLOOKUP(G1462,VOL_REC[],2,FALSE),0)</f>
        <v>3761786</v>
      </c>
      <c r="AX1462" s="246">
        <f>IFERROR(VLOOKUP(H1462,VOL_REC[],2,FALSE),0)</f>
        <v>1812240</v>
      </c>
      <c r="AY1462" s="246">
        <f>IFERROR(VLOOKUP(I1462,VOL_REC[],2,FALSE),0)</f>
        <v>240696.79238099116</v>
      </c>
      <c r="AZ1462" s="246">
        <f>IFERROR(VLOOKUP(J1462,VOL_REC[],2,FALSE),0)</f>
        <v>663244.80000000016</v>
      </c>
      <c r="BA1462" s="246">
        <f>IFERROR(VLOOKUP(K1462,VOL_REC[],2,FALSE),0)</f>
        <v>105072</v>
      </c>
      <c r="BB1462" s="246">
        <f>IFERROR(VLOOKUP(L1462,VOL_REC[],2,FALSE),0)</f>
        <v>1072354.9981737854</v>
      </c>
      <c r="BC1462" s="246">
        <f>IFERROR(VLOOKUP(M1462,VOL_REC[],2,FALSE),0)</f>
        <v>0</v>
      </c>
      <c r="BD1462" s="246">
        <f>IFERROR(VLOOKUP(N1462,VOL_REC[],2,FALSE),0)</f>
        <v>0</v>
      </c>
      <c r="BE1462" s="246">
        <f>IFERROR(VLOOKUP(O1462,VOL_REC[],2,FALSE),0)</f>
        <v>0</v>
      </c>
      <c r="BF1462" s="246">
        <f>IFERROR(VLOOKUP(P1462,VOL_REC[],2,FALSE),0)</f>
        <v>0</v>
      </c>
      <c r="BG1462" s="246">
        <f>IFERROR(VLOOKUP(Q1462,VOL_REC[],2,FALSE),0)</f>
        <v>0</v>
      </c>
      <c r="BH1462" s="1710">
        <f t="shared" si="88"/>
        <v>26295754020.817589</v>
      </c>
      <c r="BI1462" s="1710">
        <f t="shared" si="89"/>
        <v>24789793351.605499</v>
      </c>
      <c r="BJ1462" s="1711">
        <f t="shared" si="90"/>
        <v>18745068.790554777</v>
      </c>
      <c r="BK1462" s="1711">
        <f t="shared" si="91"/>
        <v>1.0607492223856942</v>
      </c>
      <c r="BL1462">
        <f>BJ1462</f>
        <v>18745068.790554777</v>
      </c>
      <c r="BO1462">
        <f>BL1462</f>
        <v>18745068.790554777</v>
      </c>
    </row>
    <row r="1463" spans="3:67" x14ac:dyDescent="0.25">
      <c r="C1463" s="246" t="s">
        <v>2813</v>
      </c>
      <c r="D1463" s="246">
        <v>1</v>
      </c>
      <c r="E1463" s="246">
        <v>2</v>
      </c>
      <c r="F1463" s="246">
        <v>3</v>
      </c>
      <c r="G1463" s="246">
        <v>9</v>
      </c>
      <c r="H1463" s="246">
        <v>10</v>
      </c>
      <c r="I1463" s="246">
        <v>12</v>
      </c>
      <c r="J1463" s="246">
        <v>13</v>
      </c>
      <c r="K1463" s="246">
        <v>15</v>
      </c>
      <c r="L1463" s="246">
        <v>17</v>
      </c>
      <c r="M1463" s="246"/>
      <c r="N1463" s="246"/>
      <c r="O1463" s="246"/>
      <c r="P1463" s="246"/>
      <c r="Q1463" s="246"/>
      <c r="R1463" s="246">
        <f>IFERROR(VLOOKUP(D1463,PROGRAMAS[],2,FALSE),0)</f>
        <v>97037803.679377079</v>
      </c>
      <c r="S1463" s="246">
        <f>IFERROR(VLOOKUP(E1463,PROGRAMAS[],2,FALSE),0)</f>
        <v>640501509.6821388</v>
      </c>
      <c r="T1463" s="246">
        <f>IFERROR(VLOOKUP(F1463,PROGRAMAS[],2,FALSE),0)</f>
        <v>3062327798.1525245</v>
      </c>
      <c r="U1463" s="246">
        <f>IFERROR(VLOOKUP(G1463,PROGRAMAS[],2,FALSE),0)</f>
        <v>6128579952.1618185</v>
      </c>
      <c r="V1463" s="246">
        <f>IFERROR(VLOOKUP(H1463,PROGRAMAS[],2,FALSE),0)</f>
        <v>4635315027.8751087</v>
      </c>
      <c r="W1463" s="246">
        <f>IFERROR(VLOOKUP(I1463,PROGRAMAS[],2,FALSE),0)</f>
        <v>764796700.79905891</v>
      </c>
      <c r="X1463" s="246">
        <f>IFERROR(VLOOKUP(J1463,PROGRAMAS[],2,FALSE),0)</f>
        <v>3776538594.4604583</v>
      </c>
      <c r="Y1463" s="246">
        <f>IFERROR(VLOOKUP(K1463,PROGRAMAS[],2,FALSE),0)</f>
        <v>122159672.96346797</v>
      </c>
      <c r="Z1463" s="246">
        <f>IFERROR(VLOOKUP(L1463,PROGRAMAS[],2,FALSE),0)</f>
        <v>1892779498.5211046</v>
      </c>
      <c r="AA1463" s="246">
        <f>IFERROR(VLOOKUP(M1463,PROGRAMAS[],2,FALSE),0)</f>
        <v>0</v>
      </c>
      <c r="AB1463" s="246">
        <f>IFERROR(VLOOKUP(N1463,PROGRAMAS[],2,FALSE),0)</f>
        <v>0</v>
      </c>
      <c r="AC1463" s="246">
        <f>IFERROR(VLOOKUP(O1463,PROGRAMAS[],2,FALSE),0)</f>
        <v>0</v>
      </c>
      <c r="AD1463" s="246">
        <f>IFERROR(VLOOKUP(P1463,PROGRAMAS[],2,FALSE),0)</f>
        <v>0</v>
      </c>
      <c r="AE1463" s="246">
        <f>IFERROR(VLOOKUP(Q1463,PROGRAMAS[],2,FALSE),0)</f>
        <v>0</v>
      </c>
      <c r="AF1463" s="246">
        <f>IFERROR(VLOOKUP(D1463,PROGRAMAS[],3,FALSE),0)</f>
        <v>841888629.31080008</v>
      </c>
      <c r="AG1463" s="246">
        <f>IFERROR(VLOOKUP(E1463,PROGRAMAS[],3,FALSE),0)</f>
        <v>3848980803.1642323</v>
      </c>
      <c r="AH1463" s="246">
        <f>IFERROR(VLOOKUP(F1463,PROGRAMAS[],3,FALSE),0)</f>
        <v>3394901471.387517</v>
      </c>
      <c r="AI1463" s="246">
        <f>IFERROR(VLOOKUP(G1463,PROGRAMAS[],3,FALSE),0)</f>
        <v>7011279577.519702</v>
      </c>
      <c r="AJ1463" s="246">
        <f>IFERROR(VLOOKUP(H1463,PROGRAMAS[],3,FALSE),0)</f>
        <v>4099471734.9978786</v>
      </c>
      <c r="AK1463" s="246">
        <f>IFERROR(VLOOKUP(I1463,PROGRAMAS[],3,FALSE),0)</f>
        <v>675517840.109828</v>
      </c>
      <c r="AL1463" s="246">
        <f>IFERROR(VLOOKUP(J1463,PROGRAMAS[],3,FALSE),0)</f>
        <v>2392571243.5584412</v>
      </c>
      <c r="AM1463" s="246">
        <f>IFERROR(VLOOKUP(K1463,PROGRAMAS[],3,FALSE),0)</f>
        <v>118617452.52510804</v>
      </c>
      <c r="AN1463" s="246">
        <f>IFERROR(VLOOKUP(L1463,PROGRAMAS[],3,FALSE),0)</f>
        <v>948595847.09039903</v>
      </c>
      <c r="AO1463" s="246">
        <f>IFERROR(VLOOKUP(M1463,PROGRAMAS[],3,FALSE),0)</f>
        <v>0</v>
      </c>
      <c r="AP1463" s="246">
        <f>IFERROR(VLOOKUP(N1463,PROGRAMAS[],3,FALSE),0)</f>
        <v>0</v>
      </c>
      <c r="AQ1463" s="246">
        <f>IFERROR(VLOOKUP(O1463,PROGRAMAS[],3,FALSE),0)</f>
        <v>0</v>
      </c>
      <c r="AR1463" s="246">
        <f>IFERROR(VLOOKUP(P1463,PROGRAMAS[],3,FALSE),0)</f>
        <v>0</v>
      </c>
      <c r="AS1463" s="246">
        <f>IFERROR(VLOOKUP(Q1463,PROGRAMAS[],3,FALSE),0)</f>
        <v>0</v>
      </c>
      <c r="AT1463" s="246">
        <f>IFERROR(VLOOKUP(D1463,VOL_REC[],2,FALSE),0)</f>
        <v>0</v>
      </c>
      <c r="AU1463" s="246">
        <f>IFERROR(VLOOKUP(E1463,VOL_REC[],2,FALSE),0)</f>
        <v>0</v>
      </c>
      <c r="AV1463" s="246">
        <f>IFERROR(VLOOKUP(F1463,VOL_REC[],2,FALSE),0)</f>
        <v>11089674.200000001</v>
      </c>
      <c r="AW1463" s="246">
        <f>IFERROR(VLOOKUP(G1463,VOL_REC[],2,FALSE),0)</f>
        <v>3761786</v>
      </c>
      <c r="AX1463" s="246">
        <f>IFERROR(VLOOKUP(H1463,VOL_REC[],2,FALSE),0)</f>
        <v>1812240</v>
      </c>
      <c r="AY1463" s="246">
        <f>IFERROR(VLOOKUP(I1463,VOL_REC[],2,FALSE),0)</f>
        <v>240696.79238099116</v>
      </c>
      <c r="AZ1463" s="246">
        <f>IFERROR(VLOOKUP(J1463,VOL_REC[],2,FALSE),0)</f>
        <v>663244.80000000016</v>
      </c>
      <c r="BA1463" s="246">
        <f>IFERROR(VLOOKUP(K1463,VOL_REC[],2,FALSE),0)</f>
        <v>105072</v>
      </c>
      <c r="BB1463" s="246">
        <f>IFERROR(VLOOKUP(L1463,VOL_REC[],2,FALSE),0)</f>
        <v>740113.98115702497</v>
      </c>
      <c r="BC1463" s="246">
        <f>IFERROR(VLOOKUP(M1463,VOL_REC[],2,FALSE),0)</f>
        <v>0</v>
      </c>
      <c r="BD1463" s="246">
        <f>IFERROR(VLOOKUP(N1463,VOL_REC[],2,FALSE),0)</f>
        <v>0</v>
      </c>
      <c r="BE1463" s="246">
        <f>IFERROR(VLOOKUP(O1463,VOL_REC[],2,FALSE),0)</f>
        <v>0</v>
      </c>
      <c r="BF1463" s="246">
        <f>IFERROR(VLOOKUP(P1463,VOL_REC[],2,FALSE),0)</f>
        <v>0</v>
      </c>
      <c r="BG1463" s="246">
        <f>IFERROR(VLOOKUP(Q1463,VOL_REC[],2,FALSE),0)</f>
        <v>0</v>
      </c>
      <c r="BH1463" s="1710">
        <f t="shared" si="88"/>
        <v>21120036558.295055</v>
      </c>
      <c r="BI1463" s="1710">
        <f t="shared" si="89"/>
        <v>23331824599.66391</v>
      </c>
      <c r="BJ1463" s="1711">
        <f t="shared" si="90"/>
        <v>18412827.773538016</v>
      </c>
      <c r="BK1463" s="1711">
        <f t="shared" si="91"/>
        <v>0.90520295436299847</v>
      </c>
    </row>
    <row r="1464" spans="3:67" x14ac:dyDescent="0.25">
      <c r="C1464" s="246" t="s">
        <v>2814</v>
      </c>
      <c r="D1464" s="246">
        <v>1</v>
      </c>
      <c r="E1464" s="246">
        <v>2</v>
      </c>
      <c r="F1464" s="246">
        <v>3</v>
      </c>
      <c r="G1464" s="246">
        <v>9</v>
      </c>
      <c r="H1464" s="246">
        <v>10</v>
      </c>
      <c r="I1464" s="246">
        <v>12</v>
      </c>
      <c r="J1464" s="246">
        <v>13</v>
      </c>
      <c r="K1464" s="246">
        <v>16</v>
      </c>
      <c r="L1464" s="246">
        <v>17</v>
      </c>
      <c r="M1464" s="246"/>
      <c r="N1464" s="246"/>
      <c r="O1464" s="246"/>
      <c r="P1464" s="246"/>
      <c r="Q1464" s="246"/>
      <c r="R1464" s="246">
        <f>IFERROR(VLOOKUP(D1464,PROGRAMAS[],2,FALSE),0)</f>
        <v>97037803.679377079</v>
      </c>
      <c r="S1464" s="246">
        <f>IFERROR(VLOOKUP(E1464,PROGRAMAS[],2,FALSE),0)</f>
        <v>640501509.6821388</v>
      </c>
      <c r="T1464" s="246">
        <f>IFERROR(VLOOKUP(F1464,PROGRAMAS[],2,FALSE),0)</f>
        <v>3062327798.1525245</v>
      </c>
      <c r="U1464" s="246">
        <f>IFERROR(VLOOKUP(G1464,PROGRAMAS[],2,FALSE),0)</f>
        <v>6128579952.1618185</v>
      </c>
      <c r="V1464" s="246">
        <f>IFERROR(VLOOKUP(H1464,PROGRAMAS[],2,FALSE),0)</f>
        <v>4635315027.8751087</v>
      </c>
      <c r="W1464" s="246">
        <f>IFERROR(VLOOKUP(I1464,PROGRAMAS[],2,FALSE),0)</f>
        <v>764796700.79905891</v>
      </c>
      <c r="X1464" s="246">
        <f>IFERROR(VLOOKUP(J1464,PROGRAMAS[],2,FALSE),0)</f>
        <v>3776538594.4604583</v>
      </c>
      <c r="Y1464" s="246">
        <f>IFERROR(VLOOKUP(K1464,PROGRAMAS[],2,FALSE),0)</f>
        <v>7068496961.0436354</v>
      </c>
      <c r="Z1464" s="246">
        <f>IFERROR(VLOOKUP(L1464,PROGRAMAS[],2,FALSE),0)</f>
        <v>1892779498.5211046</v>
      </c>
      <c r="AA1464" s="246">
        <f>IFERROR(VLOOKUP(M1464,PROGRAMAS[],2,FALSE),0)</f>
        <v>0</v>
      </c>
      <c r="AB1464" s="246">
        <f>IFERROR(VLOOKUP(N1464,PROGRAMAS[],2,FALSE),0)</f>
        <v>0</v>
      </c>
      <c r="AC1464" s="246">
        <f>IFERROR(VLOOKUP(O1464,PROGRAMAS[],2,FALSE),0)</f>
        <v>0</v>
      </c>
      <c r="AD1464" s="246">
        <f>IFERROR(VLOOKUP(P1464,PROGRAMAS[],2,FALSE),0)</f>
        <v>0</v>
      </c>
      <c r="AE1464" s="246">
        <f>IFERROR(VLOOKUP(Q1464,PROGRAMAS[],2,FALSE),0)</f>
        <v>0</v>
      </c>
      <c r="AF1464" s="246">
        <f>IFERROR(VLOOKUP(D1464,PROGRAMAS[],3,FALSE),0)</f>
        <v>841888629.31080008</v>
      </c>
      <c r="AG1464" s="246">
        <f>IFERROR(VLOOKUP(E1464,PROGRAMAS[],3,FALSE),0)</f>
        <v>3848980803.1642323</v>
      </c>
      <c r="AH1464" s="246">
        <f>IFERROR(VLOOKUP(F1464,PROGRAMAS[],3,FALSE),0)</f>
        <v>3394901471.387517</v>
      </c>
      <c r="AI1464" s="246">
        <f>IFERROR(VLOOKUP(G1464,PROGRAMAS[],3,FALSE),0)</f>
        <v>7011279577.519702</v>
      </c>
      <c r="AJ1464" s="246">
        <f>IFERROR(VLOOKUP(H1464,PROGRAMAS[],3,FALSE),0)</f>
        <v>4099471734.9978786</v>
      </c>
      <c r="AK1464" s="246">
        <f>IFERROR(VLOOKUP(I1464,PROGRAMAS[],3,FALSE),0)</f>
        <v>675517840.109828</v>
      </c>
      <c r="AL1464" s="246">
        <f>IFERROR(VLOOKUP(J1464,PROGRAMAS[],3,FALSE),0)</f>
        <v>2392571243.5584412</v>
      </c>
      <c r="AM1464" s="246">
        <f>IFERROR(VLOOKUP(K1464,PROGRAMAS[],3,FALSE),0)</f>
        <v>2406564599.0319901</v>
      </c>
      <c r="AN1464" s="246">
        <f>IFERROR(VLOOKUP(L1464,PROGRAMAS[],3,FALSE),0)</f>
        <v>948595847.09039903</v>
      </c>
      <c r="AO1464" s="246">
        <f>IFERROR(VLOOKUP(M1464,PROGRAMAS[],3,FALSE),0)</f>
        <v>0</v>
      </c>
      <c r="AP1464" s="246">
        <f>IFERROR(VLOOKUP(N1464,PROGRAMAS[],3,FALSE),0)</f>
        <v>0</v>
      </c>
      <c r="AQ1464" s="246">
        <f>IFERROR(VLOOKUP(O1464,PROGRAMAS[],3,FALSE),0)</f>
        <v>0</v>
      </c>
      <c r="AR1464" s="246">
        <f>IFERROR(VLOOKUP(P1464,PROGRAMAS[],3,FALSE),0)</f>
        <v>0</v>
      </c>
      <c r="AS1464" s="246">
        <f>IFERROR(VLOOKUP(Q1464,PROGRAMAS[],3,FALSE),0)</f>
        <v>0</v>
      </c>
      <c r="AT1464" s="246">
        <f>IFERROR(VLOOKUP(D1464,VOL_REC[],2,FALSE),0)</f>
        <v>0</v>
      </c>
      <c r="AU1464" s="246">
        <f>IFERROR(VLOOKUP(E1464,VOL_REC[],2,FALSE),0)</f>
        <v>0</v>
      </c>
      <c r="AV1464" s="246">
        <f>IFERROR(VLOOKUP(F1464,VOL_REC[],2,FALSE),0)</f>
        <v>11089674.200000001</v>
      </c>
      <c r="AW1464" s="246">
        <f>IFERROR(VLOOKUP(G1464,VOL_REC[],2,FALSE),0)</f>
        <v>3761786</v>
      </c>
      <c r="AX1464" s="246">
        <f>IFERROR(VLOOKUP(H1464,VOL_REC[],2,FALSE),0)</f>
        <v>1812240</v>
      </c>
      <c r="AY1464" s="246">
        <f>IFERROR(VLOOKUP(I1464,VOL_REC[],2,FALSE),0)</f>
        <v>240696.79238099116</v>
      </c>
      <c r="AZ1464" s="246">
        <f>IFERROR(VLOOKUP(J1464,VOL_REC[],2,FALSE),0)</f>
        <v>663244.80000000016</v>
      </c>
      <c r="BA1464" s="246">
        <f>IFERROR(VLOOKUP(K1464,VOL_REC[],2,FALSE),0)</f>
        <v>1072354.9981737854</v>
      </c>
      <c r="BB1464" s="246">
        <f>IFERROR(VLOOKUP(L1464,VOL_REC[],2,FALSE),0)</f>
        <v>740113.98115702497</v>
      </c>
      <c r="BC1464" s="246">
        <f>IFERROR(VLOOKUP(M1464,VOL_REC[],2,FALSE),0)</f>
        <v>0</v>
      </c>
      <c r="BD1464" s="246">
        <f>IFERROR(VLOOKUP(N1464,VOL_REC[],2,FALSE),0)</f>
        <v>0</v>
      </c>
      <c r="BE1464" s="246">
        <f>IFERROR(VLOOKUP(O1464,VOL_REC[],2,FALSE),0)</f>
        <v>0</v>
      </c>
      <c r="BF1464" s="246">
        <f>IFERROR(VLOOKUP(P1464,VOL_REC[],2,FALSE),0)</f>
        <v>0</v>
      </c>
      <c r="BG1464" s="246">
        <f>IFERROR(VLOOKUP(Q1464,VOL_REC[],2,FALSE),0)</f>
        <v>0</v>
      </c>
      <c r="BH1464" s="1710">
        <f t="shared" si="88"/>
        <v>28066373846.375225</v>
      </c>
      <c r="BI1464" s="1710">
        <f t="shared" si="89"/>
        <v>25619771746.170792</v>
      </c>
      <c r="BJ1464" s="1711">
        <f t="shared" si="90"/>
        <v>19380110.7717118</v>
      </c>
      <c r="BK1464" s="1711">
        <f t="shared" si="91"/>
        <v>1.0954966392536307</v>
      </c>
      <c r="BL1464">
        <f>BJ1464</f>
        <v>19380110.7717118</v>
      </c>
      <c r="BO1464">
        <f>BL1464</f>
        <v>19380110.7717118</v>
      </c>
    </row>
    <row r="1465" spans="3:67" x14ac:dyDescent="0.25">
      <c r="C1465" s="246" t="s">
        <v>2815</v>
      </c>
      <c r="D1465" s="246">
        <v>1</v>
      </c>
      <c r="E1465" s="246">
        <v>2</v>
      </c>
      <c r="F1465" s="246">
        <v>3</v>
      </c>
      <c r="G1465" s="246">
        <v>9</v>
      </c>
      <c r="H1465" s="246">
        <v>10</v>
      </c>
      <c r="I1465" s="246">
        <v>12</v>
      </c>
      <c r="J1465" s="246">
        <v>14</v>
      </c>
      <c r="K1465" s="246">
        <v>15</v>
      </c>
      <c r="L1465" s="246">
        <v>16</v>
      </c>
      <c r="M1465" s="246"/>
      <c r="N1465" s="246"/>
      <c r="O1465" s="246"/>
      <c r="P1465" s="246"/>
      <c r="Q1465" s="246"/>
      <c r="R1465" s="246">
        <f>IFERROR(VLOOKUP(D1465,PROGRAMAS[],2,FALSE),0)</f>
        <v>97037803.679377079</v>
      </c>
      <c r="S1465" s="246">
        <f>IFERROR(VLOOKUP(E1465,PROGRAMAS[],2,FALSE),0)</f>
        <v>640501509.6821388</v>
      </c>
      <c r="T1465" s="246">
        <f>IFERROR(VLOOKUP(F1465,PROGRAMAS[],2,FALSE),0)</f>
        <v>3062327798.1525245</v>
      </c>
      <c r="U1465" s="246">
        <f>IFERROR(VLOOKUP(G1465,PROGRAMAS[],2,FALSE),0)</f>
        <v>6128579952.1618185</v>
      </c>
      <c r="V1465" s="246">
        <f>IFERROR(VLOOKUP(H1465,PROGRAMAS[],2,FALSE),0)</f>
        <v>4635315027.8751087</v>
      </c>
      <c r="W1465" s="246">
        <f>IFERROR(VLOOKUP(I1465,PROGRAMAS[],2,FALSE),0)</f>
        <v>764796700.79905891</v>
      </c>
      <c r="X1465" s="246">
        <f>IFERROR(VLOOKUP(J1465,PROGRAMAS[],2,FALSE),0)</f>
        <v>54223862.645839565</v>
      </c>
      <c r="Y1465" s="246">
        <f>IFERROR(VLOOKUP(K1465,PROGRAMAS[],2,FALSE),0)</f>
        <v>122159672.96346797</v>
      </c>
      <c r="Z1465" s="246">
        <f>IFERROR(VLOOKUP(L1465,PROGRAMAS[],2,FALSE),0)</f>
        <v>7068496961.0436354</v>
      </c>
      <c r="AA1465" s="246">
        <f>IFERROR(VLOOKUP(M1465,PROGRAMAS[],2,FALSE),0)</f>
        <v>0</v>
      </c>
      <c r="AB1465" s="246">
        <f>IFERROR(VLOOKUP(N1465,PROGRAMAS[],2,FALSE),0)</f>
        <v>0</v>
      </c>
      <c r="AC1465" s="246">
        <f>IFERROR(VLOOKUP(O1465,PROGRAMAS[],2,FALSE),0)</f>
        <v>0</v>
      </c>
      <c r="AD1465" s="246">
        <f>IFERROR(VLOOKUP(P1465,PROGRAMAS[],2,FALSE),0)</f>
        <v>0</v>
      </c>
      <c r="AE1465" s="246">
        <f>IFERROR(VLOOKUP(Q1465,PROGRAMAS[],2,FALSE),0)</f>
        <v>0</v>
      </c>
      <c r="AF1465" s="246">
        <f>IFERROR(VLOOKUP(D1465,PROGRAMAS[],3,FALSE),0)</f>
        <v>841888629.31080008</v>
      </c>
      <c r="AG1465" s="246">
        <f>IFERROR(VLOOKUP(E1465,PROGRAMAS[],3,FALSE),0)</f>
        <v>3848980803.1642323</v>
      </c>
      <c r="AH1465" s="246">
        <f>IFERROR(VLOOKUP(F1465,PROGRAMAS[],3,FALSE),0)</f>
        <v>3394901471.387517</v>
      </c>
      <c r="AI1465" s="246">
        <f>IFERROR(VLOOKUP(G1465,PROGRAMAS[],3,FALSE),0)</f>
        <v>7011279577.519702</v>
      </c>
      <c r="AJ1465" s="246">
        <f>IFERROR(VLOOKUP(H1465,PROGRAMAS[],3,FALSE),0)</f>
        <v>4099471734.9978786</v>
      </c>
      <c r="AK1465" s="246">
        <f>IFERROR(VLOOKUP(I1465,PROGRAMAS[],3,FALSE),0)</f>
        <v>675517840.109828</v>
      </c>
      <c r="AL1465" s="246">
        <f>IFERROR(VLOOKUP(J1465,PROGRAMAS[],3,FALSE),0)</f>
        <v>31865326.38096505</v>
      </c>
      <c r="AM1465" s="246">
        <f>IFERROR(VLOOKUP(K1465,PROGRAMAS[],3,FALSE),0)</f>
        <v>118617452.52510804</v>
      </c>
      <c r="AN1465" s="246">
        <f>IFERROR(VLOOKUP(L1465,PROGRAMAS[],3,FALSE),0)</f>
        <v>2406564599.0319901</v>
      </c>
      <c r="AO1465" s="246">
        <f>IFERROR(VLOOKUP(M1465,PROGRAMAS[],3,FALSE),0)</f>
        <v>0</v>
      </c>
      <c r="AP1465" s="246">
        <f>IFERROR(VLOOKUP(N1465,PROGRAMAS[],3,FALSE),0)</f>
        <v>0</v>
      </c>
      <c r="AQ1465" s="246">
        <f>IFERROR(VLOOKUP(O1465,PROGRAMAS[],3,FALSE),0)</f>
        <v>0</v>
      </c>
      <c r="AR1465" s="246">
        <f>IFERROR(VLOOKUP(P1465,PROGRAMAS[],3,FALSE),0)</f>
        <v>0</v>
      </c>
      <c r="AS1465" s="246">
        <f>IFERROR(VLOOKUP(Q1465,PROGRAMAS[],3,FALSE),0)</f>
        <v>0</v>
      </c>
      <c r="AT1465" s="246">
        <f>IFERROR(VLOOKUP(D1465,VOL_REC[],2,FALSE),0)</f>
        <v>0</v>
      </c>
      <c r="AU1465" s="246">
        <f>IFERROR(VLOOKUP(E1465,VOL_REC[],2,FALSE),0)</f>
        <v>0</v>
      </c>
      <c r="AV1465" s="246">
        <f>IFERROR(VLOOKUP(F1465,VOL_REC[],2,FALSE),0)</f>
        <v>11089674.200000001</v>
      </c>
      <c r="AW1465" s="246">
        <f>IFERROR(VLOOKUP(G1465,VOL_REC[],2,FALSE),0)</f>
        <v>3761786</v>
      </c>
      <c r="AX1465" s="246">
        <f>IFERROR(VLOOKUP(H1465,VOL_REC[],2,FALSE),0)</f>
        <v>1812240</v>
      </c>
      <c r="AY1465" s="246">
        <f>IFERROR(VLOOKUP(I1465,VOL_REC[],2,FALSE),0)</f>
        <v>240696.79238099116</v>
      </c>
      <c r="AZ1465" s="246">
        <f>IFERROR(VLOOKUP(J1465,VOL_REC[],2,FALSE),0)</f>
        <v>17074.045034105649</v>
      </c>
      <c r="BA1465" s="246">
        <f>IFERROR(VLOOKUP(K1465,VOL_REC[],2,FALSE),0)</f>
        <v>105072</v>
      </c>
      <c r="BB1465" s="246">
        <f>IFERROR(VLOOKUP(L1465,VOL_REC[],2,FALSE),0)</f>
        <v>1072354.9981737854</v>
      </c>
      <c r="BC1465" s="246">
        <f>IFERROR(VLOOKUP(M1465,VOL_REC[],2,FALSE),0)</f>
        <v>0</v>
      </c>
      <c r="BD1465" s="246">
        <f>IFERROR(VLOOKUP(N1465,VOL_REC[],2,FALSE),0)</f>
        <v>0</v>
      </c>
      <c r="BE1465" s="246">
        <f>IFERROR(VLOOKUP(O1465,VOL_REC[],2,FALSE),0)</f>
        <v>0</v>
      </c>
      <c r="BF1465" s="246">
        <f>IFERROR(VLOOKUP(P1465,VOL_REC[],2,FALSE),0)</f>
        <v>0</v>
      </c>
      <c r="BG1465" s="246">
        <f>IFERROR(VLOOKUP(Q1465,VOL_REC[],2,FALSE),0)</f>
        <v>0</v>
      </c>
      <c r="BH1465" s="1710">
        <f t="shared" si="88"/>
        <v>22573439289.002972</v>
      </c>
      <c r="BI1465" s="1710">
        <f t="shared" si="89"/>
        <v>22429087434.428024</v>
      </c>
      <c r="BJ1465" s="1711">
        <f t="shared" si="90"/>
        <v>18098898.035588883</v>
      </c>
      <c r="BK1465" s="1711">
        <f t="shared" si="91"/>
        <v>1.0064359218803245</v>
      </c>
      <c r="BL1465">
        <f>BJ1465</f>
        <v>18098898.035588883</v>
      </c>
      <c r="BO1465">
        <f>BL1465</f>
        <v>18098898.035588883</v>
      </c>
    </row>
    <row r="1466" spans="3:67" x14ac:dyDescent="0.25">
      <c r="C1466" s="246" t="s">
        <v>2816</v>
      </c>
      <c r="D1466" s="246">
        <v>1</v>
      </c>
      <c r="E1466" s="246">
        <v>2</v>
      </c>
      <c r="F1466" s="246">
        <v>3</v>
      </c>
      <c r="G1466" s="246">
        <v>9</v>
      </c>
      <c r="H1466" s="246">
        <v>10</v>
      </c>
      <c r="I1466" s="246">
        <v>12</v>
      </c>
      <c r="J1466" s="246">
        <v>14</v>
      </c>
      <c r="K1466" s="246">
        <v>15</v>
      </c>
      <c r="L1466" s="246">
        <v>17</v>
      </c>
      <c r="M1466" s="246"/>
      <c r="N1466" s="246"/>
      <c r="O1466" s="246"/>
      <c r="P1466" s="246"/>
      <c r="Q1466" s="246"/>
      <c r="R1466" s="246">
        <f>IFERROR(VLOOKUP(D1466,PROGRAMAS[],2,FALSE),0)</f>
        <v>97037803.679377079</v>
      </c>
      <c r="S1466" s="246">
        <f>IFERROR(VLOOKUP(E1466,PROGRAMAS[],2,FALSE),0)</f>
        <v>640501509.6821388</v>
      </c>
      <c r="T1466" s="246">
        <f>IFERROR(VLOOKUP(F1466,PROGRAMAS[],2,FALSE),0)</f>
        <v>3062327798.1525245</v>
      </c>
      <c r="U1466" s="246">
        <f>IFERROR(VLOOKUP(G1466,PROGRAMAS[],2,FALSE),0)</f>
        <v>6128579952.1618185</v>
      </c>
      <c r="V1466" s="246">
        <f>IFERROR(VLOOKUP(H1466,PROGRAMAS[],2,FALSE),0)</f>
        <v>4635315027.8751087</v>
      </c>
      <c r="W1466" s="246">
        <f>IFERROR(VLOOKUP(I1466,PROGRAMAS[],2,FALSE),0)</f>
        <v>764796700.79905891</v>
      </c>
      <c r="X1466" s="246">
        <f>IFERROR(VLOOKUP(J1466,PROGRAMAS[],2,FALSE),0)</f>
        <v>54223862.645839565</v>
      </c>
      <c r="Y1466" s="246">
        <f>IFERROR(VLOOKUP(K1466,PROGRAMAS[],2,FALSE),0)</f>
        <v>122159672.96346797</v>
      </c>
      <c r="Z1466" s="246">
        <f>IFERROR(VLOOKUP(L1466,PROGRAMAS[],2,FALSE),0)</f>
        <v>1892779498.5211046</v>
      </c>
      <c r="AA1466" s="246">
        <f>IFERROR(VLOOKUP(M1466,PROGRAMAS[],2,FALSE),0)</f>
        <v>0</v>
      </c>
      <c r="AB1466" s="246">
        <f>IFERROR(VLOOKUP(N1466,PROGRAMAS[],2,FALSE),0)</f>
        <v>0</v>
      </c>
      <c r="AC1466" s="246">
        <f>IFERROR(VLOOKUP(O1466,PROGRAMAS[],2,FALSE),0)</f>
        <v>0</v>
      </c>
      <c r="AD1466" s="246">
        <f>IFERROR(VLOOKUP(P1466,PROGRAMAS[],2,FALSE),0)</f>
        <v>0</v>
      </c>
      <c r="AE1466" s="246">
        <f>IFERROR(VLOOKUP(Q1466,PROGRAMAS[],2,FALSE),0)</f>
        <v>0</v>
      </c>
      <c r="AF1466" s="246">
        <f>IFERROR(VLOOKUP(D1466,PROGRAMAS[],3,FALSE),0)</f>
        <v>841888629.31080008</v>
      </c>
      <c r="AG1466" s="246">
        <f>IFERROR(VLOOKUP(E1466,PROGRAMAS[],3,FALSE),0)</f>
        <v>3848980803.1642323</v>
      </c>
      <c r="AH1466" s="246">
        <f>IFERROR(VLOOKUP(F1466,PROGRAMAS[],3,FALSE),0)</f>
        <v>3394901471.387517</v>
      </c>
      <c r="AI1466" s="246">
        <f>IFERROR(VLOOKUP(G1466,PROGRAMAS[],3,FALSE),0)</f>
        <v>7011279577.519702</v>
      </c>
      <c r="AJ1466" s="246">
        <f>IFERROR(VLOOKUP(H1466,PROGRAMAS[],3,FALSE),0)</f>
        <v>4099471734.9978786</v>
      </c>
      <c r="AK1466" s="246">
        <f>IFERROR(VLOOKUP(I1466,PROGRAMAS[],3,FALSE),0)</f>
        <v>675517840.109828</v>
      </c>
      <c r="AL1466" s="246">
        <f>IFERROR(VLOOKUP(J1466,PROGRAMAS[],3,FALSE),0)</f>
        <v>31865326.38096505</v>
      </c>
      <c r="AM1466" s="246">
        <f>IFERROR(VLOOKUP(K1466,PROGRAMAS[],3,FALSE),0)</f>
        <v>118617452.52510804</v>
      </c>
      <c r="AN1466" s="246">
        <f>IFERROR(VLOOKUP(L1466,PROGRAMAS[],3,FALSE),0)</f>
        <v>948595847.09039903</v>
      </c>
      <c r="AO1466" s="246">
        <f>IFERROR(VLOOKUP(M1466,PROGRAMAS[],3,FALSE),0)</f>
        <v>0</v>
      </c>
      <c r="AP1466" s="246">
        <f>IFERROR(VLOOKUP(N1466,PROGRAMAS[],3,FALSE),0)</f>
        <v>0</v>
      </c>
      <c r="AQ1466" s="246">
        <f>IFERROR(VLOOKUP(O1466,PROGRAMAS[],3,FALSE),0)</f>
        <v>0</v>
      </c>
      <c r="AR1466" s="246">
        <f>IFERROR(VLOOKUP(P1466,PROGRAMAS[],3,FALSE),0)</f>
        <v>0</v>
      </c>
      <c r="AS1466" s="246">
        <f>IFERROR(VLOOKUP(Q1466,PROGRAMAS[],3,FALSE),0)</f>
        <v>0</v>
      </c>
      <c r="AT1466" s="246">
        <f>IFERROR(VLOOKUP(D1466,VOL_REC[],2,FALSE),0)</f>
        <v>0</v>
      </c>
      <c r="AU1466" s="246">
        <f>IFERROR(VLOOKUP(E1466,VOL_REC[],2,FALSE),0)</f>
        <v>0</v>
      </c>
      <c r="AV1466" s="246">
        <f>IFERROR(VLOOKUP(F1466,VOL_REC[],2,FALSE),0)</f>
        <v>11089674.200000001</v>
      </c>
      <c r="AW1466" s="246">
        <f>IFERROR(VLOOKUP(G1466,VOL_REC[],2,FALSE),0)</f>
        <v>3761786</v>
      </c>
      <c r="AX1466" s="246">
        <f>IFERROR(VLOOKUP(H1466,VOL_REC[],2,FALSE),0)</f>
        <v>1812240</v>
      </c>
      <c r="AY1466" s="246">
        <f>IFERROR(VLOOKUP(I1466,VOL_REC[],2,FALSE),0)</f>
        <v>240696.79238099116</v>
      </c>
      <c r="AZ1466" s="246">
        <f>IFERROR(VLOOKUP(J1466,VOL_REC[],2,FALSE),0)</f>
        <v>17074.045034105649</v>
      </c>
      <c r="BA1466" s="246">
        <f>IFERROR(VLOOKUP(K1466,VOL_REC[],2,FALSE),0)</f>
        <v>105072</v>
      </c>
      <c r="BB1466" s="246">
        <f>IFERROR(VLOOKUP(L1466,VOL_REC[],2,FALSE),0)</f>
        <v>740113.98115702497</v>
      </c>
      <c r="BC1466" s="246">
        <f>IFERROR(VLOOKUP(M1466,VOL_REC[],2,FALSE),0)</f>
        <v>0</v>
      </c>
      <c r="BD1466" s="246">
        <f>IFERROR(VLOOKUP(N1466,VOL_REC[],2,FALSE),0)</f>
        <v>0</v>
      </c>
      <c r="BE1466" s="246">
        <f>IFERROR(VLOOKUP(O1466,VOL_REC[],2,FALSE),0)</f>
        <v>0</v>
      </c>
      <c r="BF1466" s="246">
        <f>IFERROR(VLOOKUP(P1466,VOL_REC[],2,FALSE),0)</f>
        <v>0</v>
      </c>
      <c r="BG1466" s="246">
        <f>IFERROR(VLOOKUP(Q1466,VOL_REC[],2,FALSE),0)</f>
        <v>0</v>
      </c>
      <c r="BH1466" s="1710">
        <f t="shared" si="88"/>
        <v>17397721826.480438</v>
      </c>
      <c r="BI1466" s="1710">
        <f t="shared" si="89"/>
        <v>20971118682.486435</v>
      </c>
      <c r="BJ1466" s="1711">
        <f t="shared" si="90"/>
        <v>17766657.018572122</v>
      </c>
      <c r="BK1466" s="1711">
        <f t="shared" si="91"/>
        <v>0.82960389905235532</v>
      </c>
    </row>
    <row r="1467" spans="3:67" x14ac:dyDescent="0.25">
      <c r="C1467" s="246" t="s">
        <v>2817</v>
      </c>
      <c r="D1467" s="246">
        <v>1</v>
      </c>
      <c r="E1467" s="246">
        <v>2</v>
      </c>
      <c r="F1467" s="246">
        <v>3</v>
      </c>
      <c r="G1467" s="246">
        <v>9</v>
      </c>
      <c r="H1467" s="246">
        <v>10</v>
      </c>
      <c r="I1467" s="246">
        <v>12</v>
      </c>
      <c r="J1467" s="246">
        <v>14</v>
      </c>
      <c r="K1467" s="246">
        <v>16</v>
      </c>
      <c r="L1467" s="246">
        <v>17</v>
      </c>
      <c r="M1467" s="246"/>
      <c r="N1467" s="246"/>
      <c r="O1467" s="246"/>
      <c r="P1467" s="246"/>
      <c r="Q1467" s="246"/>
      <c r="R1467" s="246">
        <f>IFERROR(VLOOKUP(D1467,PROGRAMAS[],2,FALSE),0)</f>
        <v>97037803.679377079</v>
      </c>
      <c r="S1467" s="246">
        <f>IFERROR(VLOOKUP(E1467,PROGRAMAS[],2,FALSE),0)</f>
        <v>640501509.6821388</v>
      </c>
      <c r="T1467" s="246">
        <f>IFERROR(VLOOKUP(F1467,PROGRAMAS[],2,FALSE),0)</f>
        <v>3062327798.1525245</v>
      </c>
      <c r="U1467" s="246">
        <f>IFERROR(VLOOKUP(G1467,PROGRAMAS[],2,FALSE),0)</f>
        <v>6128579952.1618185</v>
      </c>
      <c r="V1467" s="246">
        <f>IFERROR(VLOOKUP(H1467,PROGRAMAS[],2,FALSE),0)</f>
        <v>4635315027.8751087</v>
      </c>
      <c r="W1467" s="246">
        <f>IFERROR(VLOOKUP(I1467,PROGRAMAS[],2,FALSE),0)</f>
        <v>764796700.79905891</v>
      </c>
      <c r="X1467" s="246">
        <f>IFERROR(VLOOKUP(J1467,PROGRAMAS[],2,FALSE),0)</f>
        <v>54223862.645839565</v>
      </c>
      <c r="Y1467" s="246">
        <f>IFERROR(VLOOKUP(K1467,PROGRAMAS[],2,FALSE),0)</f>
        <v>7068496961.0436354</v>
      </c>
      <c r="Z1467" s="246">
        <f>IFERROR(VLOOKUP(L1467,PROGRAMAS[],2,FALSE),0)</f>
        <v>1892779498.5211046</v>
      </c>
      <c r="AA1467" s="246">
        <f>IFERROR(VLOOKUP(M1467,PROGRAMAS[],2,FALSE),0)</f>
        <v>0</v>
      </c>
      <c r="AB1467" s="246">
        <f>IFERROR(VLOOKUP(N1467,PROGRAMAS[],2,FALSE),0)</f>
        <v>0</v>
      </c>
      <c r="AC1467" s="246">
        <f>IFERROR(VLOOKUP(O1467,PROGRAMAS[],2,FALSE),0)</f>
        <v>0</v>
      </c>
      <c r="AD1467" s="246">
        <f>IFERROR(VLOOKUP(P1467,PROGRAMAS[],2,FALSE),0)</f>
        <v>0</v>
      </c>
      <c r="AE1467" s="246">
        <f>IFERROR(VLOOKUP(Q1467,PROGRAMAS[],2,FALSE),0)</f>
        <v>0</v>
      </c>
      <c r="AF1467" s="246">
        <f>IFERROR(VLOOKUP(D1467,PROGRAMAS[],3,FALSE),0)</f>
        <v>841888629.31080008</v>
      </c>
      <c r="AG1467" s="246">
        <f>IFERROR(VLOOKUP(E1467,PROGRAMAS[],3,FALSE),0)</f>
        <v>3848980803.1642323</v>
      </c>
      <c r="AH1467" s="246">
        <f>IFERROR(VLOOKUP(F1467,PROGRAMAS[],3,FALSE),0)</f>
        <v>3394901471.387517</v>
      </c>
      <c r="AI1467" s="246">
        <f>IFERROR(VLOOKUP(G1467,PROGRAMAS[],3,FALSE),0)</f>
        <v>7011279577.519702</v>
      </c>
      <c r="AJ1467" s="246">
        <f>IFERROR(VLOOKUP(H1467,PROGRAMAS[],3,FALSE),0)</f>
        <v>4099471734.9978786</v>
      </c>
      <c r="AK1467" s="246">
        <f>IFERROR(VLOOKUP(I1467,PROGRAMAS[],3,FALSE),0)</f>
        <v>675517840.109828</v>
      </c>
      <c r="AL1467" s="246">
        <f>IFERROR(VLOOKUP(J1467,PROGRAMAS[],3,FALSE),0)</f>
        <v>31865326.38096505</v>
      </c>
      <c r="AM1467" s="246">
        <f>IFERROR(VLOOKUP(K1467,PROGRAMAS[],3,FALSE),0)</f>
        <v>2406564599.0319901</v>
      </c>
      <c r="AN1467" s="246">
        <f>IFERROR(VLOOKUP(L1467,PROGRAMAS[],3,FALSE),0)</f>
        <v>948595847.09039903</v>
      </c>
      <c r="AO1467" s="246">
        <f>IFERROR(VLOOKUP(M1467,PROGRAMAS[],3,FALSE),0)</f>
        <v>0</v>
      </c>
      <c r="AP1467" s="246">
        <f>IFERROR(VLOOKUP(N1467,PROGRAMAS[],3,FALSE),0)</f>
        <v>0</v>
      </c>
      <c r="AQ1467" s="246">
        <f>IFERROR(VLOOKUP(O1467,PROGRAMAS[],3,FALSE),0)</f>
        <v>0</v>
      </c>
      <c r="AR1467" s="246">
        <f>IFERROR(VLOOKUP(P1467,PROGRAMAS[],3,FALSE),0)</f>
        <v>0</v>
      </c>
      <c r="AS1467" s="246">
        <f>IFERROR(VLOOKUP(Q1467,PROGRAMAS[],3,FALSE),0)</f>
        <v>0</v>
      </c>
      <c r="AT1467" s="246">
        <f>IFERROR(VLOOKUP(D1467,VOL_REC[],2,FALSE),0)</f>
        <v>0</v>
      </c>
      <c r="AU1467" s="246">
        <f>IFERROR(VLOOKUP(E1467,VOL_REC[],2,FALSE),0)</f>
        <v>0</v>
      </c>
      <c r="AV1467" s="246">
        <f>IFERROR(VLOOKUP(F1467,VOL_REC[],2,FALSE),0)</f>
        <v>11089674.200000001</v>
      </c>
      <c r="AW1467" s="246">
        <f>IFERROR(VLOOKUP(G1467,VOL_REC[],2,FALSE),0)</f>
        <v>3761786</v>
      </c>
      <c r="AX1467" s="246">
        <f>IFERROR(VLOOKUP(H1467,VOL_REC[],2,FALSE),0)</f>
        <v>1812240</v>
      </c>
      <c r="AY1467" s="246">
        <f>IFERROR(VLOOKUP(I1467,VOL_REC[],2,FALSE),0)</f>
        <v>240696.79238099116</v>
      </c>
      <c r="AZ1467" s="246">
        <f>IFERROR(VLOOKUP(J1467,VOL_REC[],2,FALSE),0)</f>
        <v>17074.045034105649</v>
      </c>
      <c r="BA1467" s="246">
        <f>IFERROR(VLOOKUP(K1467,VOL_REC[],2,FALSE),0)</f>
        <v>1072354.9981737854</v>
      </c>
      <c r="BB1467" s="246">
        <f>IFERROR(VLOOKUP(L1467,VOL_REC[],2,FALSE),0)</f>
        <v>740113.98115702497</v>
      </c>
      <c r="BC1467" s="246">
        <f>IFERROR(VLOOKUP(M1467,VOL_REC[],2,FALSE),0)</f>
        <v>0</v>
      </c>
      <c r="BD1467" s="246">
        <f>IFERROR(VLOOKUP(N1467,VOL_REC[],2,FALSE),0)</f>
        <v>0</v>
      </c>
      <c r="BE1467" s="246">
        <f>IFERROR(VLOOKUP(O1467,VOL_REC[],2,FALSE),0)</f>
        <v>0</v>
      </c>
      <c r="BF1467" s="246">
        <f>IFERROR(VLOOKUP(P1467,VOL_REC[],2,FALSE),0)</f>
        <v>0</v>
      </c>
      <c r="BG1467" s="246">
        <f>IFERROR(VLOOKUP(Q1467,VOL_REC[],2,FALSE),0)</f>
        <v>0</v>
      </c>
      <c r="BH1467" s="1710">
        <f t="shared" si="88"/>
        <v>24344059114.560604</v>
      </c>
      <c r="BI1467" s="1710">
        <f t="shared" si="89"/>
        <v>23259065828.993317</v>
      </c>
      <c r="BJ1467" s="1711">
        <f t="shared" si="90"/>
        <v>18733940.016745906</v>
      </c>
      <c r="BK1467" s="1711">
        <f t="shared" si="91"/>
        <v>1.0466481884330368</v>
      </c>
      <c r="BL1467">
        <f>BJ1467</f>
        <v>18733940.016745906</v>
      </c>
      <c r="BO1467">
        <f>BL1467</f>
        <v>18733940.016745906</v>
      </c>
    </row>
    <row r="1468" spans="3:67" x14ac:dyDescent="0.25">
      <c r="C1468" s="246" t="s">
        <v>2818</v>
      </c>
      <c r="D1468" s="246">
        <v>1</v>
      </c>
      <c r="E1468" s="246">
        <v>2</v>
      </c>
      <c r="F1468" s="246">
        <v>3</v>
      </c>
      <c r="G1468" s="246">
        <v>9</v>
      </c>
      <c r="H1468" s="246">
        <v>10</v>
      </c>
      <c r="I1468" s="246">
        <v>12</v>
      </c>
      <c r="J1468" s="246">
        <v>15</v>
      </c>
      <c r="K1468" s="246">
        <v>16</v>
      </c>
      <c r="L1468" s="246">
        <v>17</v>
      </c>
      <c r="M1468" s="246"/>
      <c r="N1468" s="246"/>
      <c r="O1468" s="246"/>
      <c r="P1468" s="246"/>
      <c r="Q1468" s="246"/>
      <c r="R1468" s="246">
        <f>IFERROR(VLOOKUP(D1468,PROGRAMAS[],2,FALSE),0)</f>
        <v>97037803.679377079</v>
      </c>
      <c r="S1468" s="246">
        <f>IFERROR(VLOOKUP(E1468,PROGRAMAS[],2,FALSE),0)</f>
        <v>640501509.6821388</v>
      </c>
      <c r="T1468" s="246">
        <f>IFERROR(VLOOKUP(F1468,PROGRAMAS[],2,FALSE),0)</f>
        <v>3062327798.1525245</v>
      </c>
      <c r="U1468" s="246">
        <f>IFERROR(VLOOKUP(G1468,PROGRAMAS[],2,FALSE),0)</f>
        <v>6128579952.1618185</v>
      </c>
      <c r="V1468" s="246">
        <f>IFERROR(VLOOKUP(H1468,PROGRAMAS[],2,FALSE),0)</f>
        <v>4635315027.8751087</v>
      </c>
      <c r="W1468" s="246">
        <f>IFERROR(VLOOKUP(I1468,PROGRAMAS[],2,FALSE),0)</f>
        <v>764796700.79905891</v>
      </c>
      <c r="X1468" s="246">
        <f>IFERROR(VLOOKUP(J1468,PROGRAMAS[],2,FALSE),0)</f>
        <v>122159672.96346797</v>
      </c>
      <c r="Y1468" s="246">
        <f>IFERROR(VLOOKUP(K1468,PROGRAMAS[],2,FALSE),0)</f>
        <v>7068496961.0436354</v>
      </c>
      <c r="Z1468" s="246">
        <f>IFERROR(VLOOKUP(L1468,PROGRAMAS[],2,FALSE),0)</f>
        <v>1892779498.5211046</v>
      </c>
      <c r="AA1468" s="246">
        <f>IFERROR(VLOOKUP(M1468,PROGRAMAS[],2,FALSE),0)</f>
        <v>0</v>
      </c>
      <c r="AB1468" s="246">
        <f>IFERROR(VLOOKUP(N1468,PROGRAMAS[],2,FALSE),0)</f>
        <v>0</v>
      </c>
      <c r="AC1468" s="246">
        <f>IFERROR(VLOOKUP(O1468,PROGRAMAS[],2,FALSE),0)</f>
        <v>0</v>
      </c>
      <c r="AD1468" s="246">
        <f>IFERROR(VLOOKUP(P1468,PROGRAMAS[],2,FALSE),0)</f>
        <v>0</v>
      </c>
      <c r="AE1468" s="246">
        <f>IFERROR(VLOOKUP(Q1468,PROGRAMAS[],2,FALSE),0)</f>
        <v>0</v>
      </c>
      <c r="AF1468" s="246">
        <f>IFERROR(VLOOKUP(D1468,PROGRAMAS[],3,FALSE),0)</f>
        <v>841888629.31080008</v>
      </c>
      <c r="AG1468" s="246">
        <f>IFERROR(VLOOKUP(E1468,PROGRAMAS[],3,FALSE),0)</f>
        <v>3848980803.1642323</v>
      </c>
      <c r="AH1468" s="246">
        <f>IFERROR(VLOOKUP(F1468,PROGRAMAS[],3,FALSE),0)</f>
        <v>3394901471.387517</v>
      </c>
      <c r="AI1468" s="246">
        <f>IFERROR(VLOOKUP(G1468,PROGRAMAS[],3,FALSE),0)</f>
        <v>7011279577.519702</v>
      </c>
      <c r="AJ1468" s="246">
        <f>IFERROR(VLOOKUP(H1468,PROGRAMAS[],3,FALSE),0)</f>
        <v>4099471734.9978786</v>
      </c>
      <c r="AK1468" s="246">
        <f>IFERROR(VLOOKUP(I1468,PROGRAMAS[],3,FALSE),0)</f>
        <v>675517840.109828</v>
      </c>
      <c r="AL1468" s="246">
        <f>IFERROR(VLOOKUP(J1468,PROGRAMAS[],3,FALSE),0)</f>
        <v>118617452.52510804</v>
      </c>
      <c r="AM1468" s="246">
        <f>IFERROR(VLOOKUP(K1468,PROGRAMAS[],3,FALSE),0)</f>
        <v>2406564599.0319901</v>
      </c>
      <c r="AN1468" s="246">
        <f>IFERROR(VLOOKUP(L1468,PROGRAMAS[],3,FALSE),0)</f>
        <v>948595847.09039903</v>
      </c>
      <c r="AO1468" s="246">
        <f>IFERROR(VLOOKUP(M1468,PROGRAMAS[],3,FALSE),0)</f>
        <v>0</v>
      </c>
      <c r="AP1468" s="246">
        <f>IFERROR(VLOOKUP(N1468,PROGRAMAS[],3,FALSE),0)</f>
        <v>0</v>
      </c>
      <c r="AQ1468" s="246">
        <f>IFERROR(VLOOKUP(O1468,PROGRAMAS[],3,FALSE),0)</f>
        <v>0</v>
      </c>
      <c r="AR1468" s="246">
        <f>IFERROR(VLOOKUP(P1468,PROGRAMAS[],3,FALSE),0)</f>
        <v>0</v>
      </c>
      <c r="AS1468" s="246">
        <f>IFERROR(VLOOKUP(Q1468,PROGRAMAS[],3,FALSE),0)</f>
        <v>0</v>
      </c>
      <c r="AT1468" s="246">
        <f>IFERROR(VLOOKUP(D1468,VOL_REC[],2,FALSE),0)</f>
        <v>0</v>
      </c>
      <c r="AU1468" s="246">
        <f>IFERROR(VLOOKUP(E1468,VOL_REC[],2,FALSE),0)</f>
        <v>0</v>
      </c>
      <c r="AV1468" s="246">
        <f>IFERROR(VLOOKUP(F1468,VOL_REC[],2,FALSE),0)</f>
        <v>11089674.200000001</v>
      </c>
      <c r="AW1468" s="246">
        <f>IFERROR(VLOOKUP(G1468,VOL_REC[],2,FALSE),0)</f>
        <v>3761786</v>
      </c>
      <c r="AX1468" s="246">
        <f>IFERROR(VLOOKUP(H1468,VOL_REC[],2,FALSE),0)</f>
        <v>1812240</v>
      </c>
      <c r="AY1468" s="246">
        <f>IFERROR(VLOOKUP(I1468,VOL_REC[],2,FALSE),0)</f>
        <v>240696.79238099116</v>
      </c>
      <c r="AZ1468" s="246">
        <f>IFERROR(VLOOKUP(J1468,VOL_REC[],2,FALSE),0)</f>
        <v>105072</v>
      </c>
      <c r="BA1468" s="246">
        <f>IFERROR(VLOOKUP(K1468,VOL_REC[],2,FALSE),0)</f>
        <v>1072354.9981737854</v>
      </c>
      <c r="BB1468" s="246">
        <f>IFERROR(VLOOKUP(L1468,VOL_REC[],2,FALSE),0)</f>
        <v>740113.98115702497</v>
      </c>
      <c r="BC1468" s="246">
        <f>IFERROR(VLOOKUP(M1468,VOL_REC[],2,FALSE),0)</f>
        <v>0</v>
      </c>
      <c r="BD1468" s="246">
        <f>IFERROR(VLOOKUP(N1468,VOL_REC[],2,FALSE),0)</f>
        <v>0</v>
      </c>
      <c r="BE1468" s="246">
        <f>IFERROR(VLOOKUP(O1468,VOL_REC[],2,FALSE),0)</f>
        <v>0</v>
      </c>
      <c r="BF1468" s="246">
        <f>IFERROR(VLOOKUP(P1468,VOL_REC[],2,FALSE),0)</f>
        <v>0</v>
      </c>
      <c r="BG1468" s="246">
        <f>IFERROR(VLOOKUP(Q1468,VOL_REC[],2,FALSE),0)</f>
        <v>0</v>
      </c>
      <c r="BH1468" s="1710">
        <f t="shared" si="88"/>
        <v>24411994924.878235</v>
      </c>
      <c r="BI1468" s="1710">
        <f t="shared" si="89"/>
        <v>23345817955.137459</v>
      </c>
      <c r="BJ1468" s="1711">
        <f t="shared" si="90"/>
        <v>18821937.9717118</v>
      </c>
      <c r="BK1468" s="1711">
        <f t="shared" si="91"/>
        <v>1.0456688633394469</v>
      </c>
      <c r="BL1468">
        <f>BJ1468</f>
        <v>18821937.9717118</v>
      </c>
      <c r="BO1468">
        <f>BL1468</f>
        <v>18821937.9717118</v>
      </c>
    </row>
    <row r="1469" spans="3:67" x14ac:dyDescent="0.25">
      <c r="C1469" s="246" t="s">
        <v>2819</v>
      </c>
      <c r="D1469" s="246">
        <v>1</v>
      </c>
      <c r="E1469" s="246">
        <v>2</v>
      </c>
      <c r="F1469" s="246">
        <v>3</v>
      </c>
      <c r="G1469" s="246">
        <v>9</v>
      </c>
      <c r="H1469" s="246">
        <v>10</v>
      </c>
      <c r="I1469" s="246">
        <v>13</v>
      </c>
      <c r="J1469" s="246">
        <v>14</v>
      </c>
      <c r="K1469" s="246">
        <v>15</v>
      </c>
      <c r="L1469" s="246">
        <v>16</v>
      </c>
      <c r="M1469" s="246"/>
      <c r="N1469" s="246"/>
      <c r="O1469" s="246"/>
      <c r="P1469" s="246"/>
      <c r="Q1469" s="246"/>
      <c r="R1469" s="246">
        <f>IFERROR(VLOOKUP(D1469,PROGRAMAS[],2,FALSE),0)</f>
        <v>97037803.679377079</v>
      </c>
      <c r="S1469" s="246">
        <f>IFERROR(VLOOKUP(E1469,PROGRAMAS[],2,FALSE),0)</f>
        <v>640501509.6821388</v>
      </c>
      <c r="T1469" s="246">
        <f>IFERROR(VLOOKUP(F1469,PROGRAMAS[],2,FALSE),0)</f>
        <v>3062327798.1525245</v>
      </c>
      <c r="U1469" s="246">
        <f>IFERROR(VLOOKUP(G1469,PROGRAMAS[],2,FALSE),0)</f>
        <v>6128579952.1618185</v>
      </c>
      <c r="V1469" s="246">
        <f>IFERROR(VLOOKUP(H1469,PROGRAMAS[],2,FALSE),0)</f>
        <v>4635315027.8751087</v>
      </c>
      <c r="W1469" s="246">
        <f>IFERROR(VLOOKUP(I1469,PROGRAMAS[],2,FALSE),0)</f>
        <v>3776538594.4604583</v>
      </c>
      <c r="X1469" s="246">
        <f>IFERROR(VLOOKUP(J1469,PROGRAMAS[],2,FALSE),0)</f>
        <v>54223862.645839565</v>
      </c>
      <c r="Y1469" s="246">
        <f>IFERROR(VLOOKUP(K1469,PROGRAMAS[],2,FALSE),0)</f>
        <v>122159672.96346797</v>
      </c>
      <c r="Z1469" s="246">
        <f>IFERROR(VLOOKUP(L1469,PROGRAMAS[],2,FALSE),0)</f>
        <v>7068496961.0436354</v>
      </c>
      <c r="AA1469" s="246">
        <f>IFERROR(VLOOKUP(M1469,PROGRAMAS[],2,FALSE),0)</f>
        <v>0</v>
      </c>
      <c r="AB1469" s="246">
        <f>IFERROR(VLOOKUP(N1469,PROGRAMAS[],2,FALSE),0)</f>
        <v>0</v>
      </c>
      <c r="AC1469" s="246">
        <f>IFERROR(VLOOKUP(O1469,PROGRAMAS[],2,FALSE),0)</f>
        <v>0</v>
      </c>
      <c r="AD1469" s="246">
        <f>IFERROR(VLOOKUP(P1469,PROGRAMAS[],2,FALSE),0)</f>
        <v>0</v>
      </c>
      <c r="AE1469" s="246">
        <f>IFERROR(VLOOKUP(Q1469,PROGRAMAS[],2,FALSE),0)</f>
        <v>0</v>
      </c>
      <c r="AF1469" s="246">
        <f>IFERROR(VLOOKUP(D1469,PROGRAMAS[],3,FALSE),0)</f>
        <v>841888629.31080008</v>
      </c>
      <c r="AG1469" s="246">
        <f>IFERROR(VLOOKUP(E1469,PROGRAMAS[],3,FALSE),0)</f>
        <v>3848980803.1642323</v>
      </c>
      <c r="AH1469" s="246">
        <f>IFERROR(VLOOKUP(F1469,PROGRAMAS[],3,FALSE),0)</f>
        <v>3394901471.387517</v>
      </c>
      <c r="AI1469" s="246">
        <f>IFERROR(VLOOKUP(G1469,PROGRAMAS[],3,FALSE),0)</f>
        <v>7011279577.519702</v>
      </c>
      <c r="AJ1469" s="246">
        <f>IFERROR(VLOOKUP(H1469,PROGRAMAS[],3,FALSE),0)</f>
        <v>4099471734.9978786</v>
      </c>
      <c r="AK1469" s="246">
        <f>IFERROR(VLOOKUP(I1469,PROGRAMAS[],3,FALSE),0)</f>
        <v>2392571243.5584412</v>
      </c>
      <c r="AL1469" s="246">
        <f>IFERROR(VLOOKUP(J1469,PROGRAMAS[],3,FALSE),0)</f>
        <v>31865326.38096505</v>
      </c>
      <c r="AM1469" s="246">
        <f>IFERROR(VLOOKUP(K1469,PROGRAMAS[],3,FALSE),0)</f>
        <v>118617452.52510804</v>
      </c>
      <c r="AN1469" s="246">
        <f>IFERROR(VLOOKUP(L1469,PROGRAMAS[],3,FALSE),0)</f>
        <v>2406564599.0319901</v>
      </c>
      <c r="AO1469" s="246">
        <f>IFERROR(VLOOKUP(M1469,PROGRAMAS[],3,FALSE),0)</f>
        <v>0</v>
      </c>
      <c r="AP1469" s="246">
        <f>IFERROR(VLOOKUP(N1469,PROGRAMAS[],3,FALSE),0)</f>
        <v>0</v>
      </c>
      <c r="AQ1469" s="246">
        <f>IFERROR(VLOOKUP(O1469,PROGRAMAS[],3,FALSE),0)</f>
        <v>0</v>
      </c>
      <c r="AR1469" s="246">
        <f>IFERROR(VLOOKUP(P1469,PROGRAMAS[],3,FALSE),0)</f>
        <v>0</v>
      </c>
      <c r="AS1469" s="246">
        <f>IFERROR(VLOOKUP(Q1469,PROGRAMAS[],3,FALSE),0)</f>
        <v>0</v>
      </c>
      <c r="AT1469" s="246">
        <f>IFERROR(VLOOKUP(D1469,VOL_REC[],2,FALSE),0)</f>
        <v>0</v>
      </c>
      <c r="AU1469" s="246">
        <f>IFERROR(VLOOKUP(E1469,VOL_REC[],2,FALSE),0)</f>
        <v>0</v>
      </c>
      <c r="AV1469" s="246">
        <f>IFERROR(VLOOKUP(F1469,VOL_REC[],2,FALSE),0)</f>
        <v>11089674.200000001</v>
      </c>
      <c r="AW1469" s="246">
        <f>IFERROR(VLOOKUP(G1469,VOL_REC[],2,FALSE),0)</f>
        <v>3761786</v>
      </c>
      <c r="AX1469" s="246">
        <f>IFERROR(VLOOKUP(H1469,VOL_REC[],2,FALSE),0)</f>
        <v>1812240</v>
      </c>
      <c r="AY1469" s="246">
        <f>IFERROR(VLOOKUP(I1469,VOL_REC[],2,FALSE),0)</f>
        <v>663244.80000000016</v>
      </c>
      <c r="AZ1469" s="246">
        <f>IFERROR(VLOOKUP(J1469,VOL_REC[],2,FALSE),0)</f>
        <v>17074.045034105649</v>
      </c>
      <c r="BA1469" s="246">
        <f>IFERROR(VLOOKUP(K1469,VOL_REC[],2,FALSE),0)</f>
        <v>105072</v>
      </c>
      <c r="BB1469" s="246">
        <f>IFERROR(VLOOKUP(L1469,VOL_REC[],2,FALSE),0)</f>
        <v>1072354.9981737854</v>
      </c>
      <c r="BC1469" s="246">
        <f>IFERROR(VLOOKUP(M1469,VOL_REC[],2,FALSE),0)</f>
        <v>0</v>
      </c>
      <c r="BD1469" s="246">
        <f>IFERROR(VLOOKUP(N1469,VOL_REC[],2,FALSE),0)</f>
        <v>0</v>
      </c>
      <c r="BE1469" s="246">
        <f>IFERROR(VLOOKUP(O1469,VOL_REC[],2,FALSE),0)</f>
        <v>0</v>
      </c>
      <c r="BF1469" s="246">
        <f>IFERROR(VLOOKUP(P1469,VOL_REC[],2,FALSE),0)</f>
        <v>0</v>
      </c>
      <c r="BG1469" s="246">
        <f>IFERROR(VLOOKUP(Q1469,VOL_REC[],2,FALSE),0)</f>
        <v>0</v>
      </c>
      <c r="BH1469" s="1710">
        <f t="shared" si="88"/>
        <v>25585181182.664368</v>
      </c>
      <c r="BI1469" s="1710">
        <f t="shared" si="89"/>
        <v>24146140837.876637</v>
      </c>
      <c r="BJ1469" s="1711">
        <f t="shared" si="90"/>
        <v>18521446.043207891</v>
      </c>
      <c r="BK1469" s="1711">
        <f t="shared" si="91"/>
        <v>1.0595971155162978</v>
      </c>
      <c r="BL1469">
        <f>BJ1469</f>
        <v>18521446.043207891</v>
      </c>
      <c r="BO1469">
        <f>BL1469</f>
        <v>18521446.043207891</v>
      </c>
    </row>
    <row r="1470" spans="3:67" x14ac:dyDescent="0.25">
      <c r="C1470" s="246" t="s">
        <v>2820</v>
      </c>
      <c r="D1470" s="246">
        <v>1</v>
      </c>
      <c r="E1470" s="246">
        <v>2</v>
      </c>
      <c r="F1470" s="246">
        <v>3</v>
      </c>
      <c r="G1470" s="246">
        <v>9</v>
      </c>
      <c r="H1470" s="246">
        <v>10</v>
      </c>
      <c r="I1470" s="246">
        <v>13</v>
      </c>
      <c r="J1470" s="246">
        <v>14</v>
      </c>
      <c r="K1470" s="246">
        <v>15</v>
      </c>
      <c r="L1470" s="246">
        <v>17</v>
      </c>
      <c r="M1470" s="246"/>
      <c r="N1470" s="246"/>
      <c r="O1470" s="246"/>
      <c r="P1470" s="246"/>
      <c r="Q1470" s="246"/>
      <c r="R1470" s="246">
        <f>IFERROR(VLOOKUP(D1470,PROGRAMAS[],2,FALSE),0)</f>
        <v>97037803.679377079</v>
      </c>
      <c r="S1470" s="246">
        <f>IFERROR(VLOOKUP(E1470,PROGRAMAS[],2,FALSE),0)</f>
        <v>640501509.6821388</v>
      </c>
      <c r="T1470" s="246">
        <f>IFERROR(VLOOKUP(F1470,PROGRAMAS[],2,FALSE),0)</f>
        <v>3062327798.1525245</v>
      </c>
      <c r="U1470" s="246">
        <f>IFERROR(VLOOKUP(G1470,PROGRAMAS[],2,FALSE),0)</f>
        <v>6128579952.1618185</v>
      </c>
      <c r="V1470" s="246">
        <f>IFERROR(VLOOKUP(H1470,PROGRAMAS[],2,FALSE),0)</f>
        <v>4635315027.8751087</v>
      </c>
      <c r="W1470" s="246">
        <f>IFERROR(VLOOKUP(I1470,PROGRAMAS[],2,FALSE),0)</f>
        <v>3776538594.4604583</v>
      </c>
      <c r="X1470" s="246">
        <f>IFERROR(VLOOKUP(J1470,PROGRAMAS[],2,FALSE),0)</f>
        <v>54223862.645839565</v>
      </c>
      <c r="Y1470" s="246">
        <f>IFERROR(VLOOKUP(K1470,PROGRAMAS[],2,FALSE),0)</f>
        <v>122159672.96346797</v>
      </c>
      <c r="Z1470" s="246">
        <f>IFERROR(VLOOKUP(L1470,PROGRAMAS[],2,FALSE),0)</f>
        <v>1892779498.5211046</v>
      </c>
      <c r="AA1470" s="246">
        <f>IFERROR(VLOOKUP(M1470,PROGRAMAS[],2,FALSE),0)</f>
        <v>0</v>
      </c>
      <c r="AB1470" s="246">
        <f>IFERROR(VLOOKUP(N1470,PROGRAMAS[],2,FALSE),0)</f>
        <v>0</v>
      </c>
      <c r="AC1470" s="246">
        <f>IFERROR(VLOOKUP(O1470,PROGRAMAS[],2,FALSE),0)</f>
        <v>0</v>
      </c>
      <c r="AD1470" s="246">
        <f>IFERROR(VLOOKUP(P1470,PROGRAMAS[],2,FALSE),0)</f>
        <v>0</v>
      </c>
      <c r="AE1470" s="246">
        <f>IFERROR(VLOOKUP(Q1470,PROGRAMAS[],2,FALSE),0)</f>
        <v>0</v>
      </c>
      <c r="AF1470" s="246">
        <f>IFERROR(VLOOKUP(D1470,PROGRAMAS[],3,FALSE),0)</f>
        <v>841888629.31080008</v>
      </c>
      <c r="AG1470" s="246">
        <f>IFERROR(VLOOKUP(E1470,PROGRAMAS[],3,FALSE),0)</f>
        <v>3848980803.1642323</v>
      </c>
      <c r="AH1470" s="246">
        <f>IFERROR(VLOOKUP(F1470,PROGRAMAS[],3,FALSE),0)</f>
        <v>3394901471.387517</v>
      </c>
      <c r="AI1470" s="246">
        <f>IFERROR(VLOOKUP(G1470,PROGRAMAS[],3,FALSE),0)</f>
        <v>7011279577.519702</v>
      </c>
      <c r="AJ1470" s="246">
        <f>IFERROR(VLOOKUP(H1470,PROGRAMAS[],3,FALSE),0)</f>
        <v>4099471734.9978786</v>
      </c>
      <c r="AK1470" s="246">
        <f>IFERROR(VLOOKUP(I1470,PROGRAMAS[],3,FALSE),0)</f>
        <v>2392571243.5584412</v>
      </c>
      <c r="AL1470" s="246">
        <f>IFERROR(VLOOKUP(J1470,PROGRAMAS[],3,FALSE),0)</f>
        <v>31865326.38096505</v>
      </c>
      <c r="AM1470" s="246">
        <f>IFERROR(VLOOKUP(K1470,PROGRAMAS[],3,FALSE),0)</f>
        <v>118617452.52510804</v>
      </c>
      <c r="AN1470" s="246">
        <f>IFERROR(VLOOKUP(L1470,PROGRAMAS[],3,FALSE),0)</f>
        <v>948595847.09039903</v>
      </c>
      <c r="AO1470" s="246">
        <f>IFERROR(VLOOKUP(M1470,PROGRAMAS[],3,FALSE),0)</f>
        <v>0</v>
      </c>
      <c r="AP1470" s="246">
        <f>IFERROR(VLOOKUP(N1470,PROGRAMAS[],3,FALSE),0)</f>
        <v>0</v>
      </c>
      <c r="AQ1470" s="246">
        <f>IFERROR(VLOOKUP(O1470,PROGRAMAS[],3,FALSE),0)</f>
        <v>0</v>
      </c>
      <c r="AR1470" s="246">
        <f>IFERROR(VLOOKUP(P1470,PROGRAMAS[],3,FALSE),0)</f>
        <v>0</v>
      </c>
      <c r="AS1470" s="246">
        <f>IFERROR(VLOOKUP(Q1470,PROGRAMAS[],3,FALSE),0)</f>
        <v>0</v>
      </c>
      <c r="AT1470" s="246">
        <f>IFERROR(VLOOKUP(D1470,VOL_REC[],2,FALSE),0)</f>
        <v>0</v>
      </c>
      <c r="AU1470" s="246">
        <f>IFERROR(VLOOKUP(E1470,VOL_REC[],2,FALSE),0)</f>
        <v>0</v>
      </c>
      <c r="AV1470" s="246">
        <f>IFERROR(VLOOKUP(F1470,VOL_REC[],2,FALSE),0)</f>
        <v>11089674.200000001</v>
      </c>
      <c r="AW1470" s="246">
        <f>IFERROR(VLOOKUP(G1470,VOL_REC[],2,FALSE),0)</f>
        <v>3761786</v>
      </c>
      <c r="AX1470" s="246">
        <f>IFERROR(VLOOKUP(H1470,VOL_REC[],2,FALSE),0)</f>
        <v>1812240</v>
      </c>
      <c r="AY1470" s="246">
        <f>IFERROR(VLOOKUP(I1470,VOL_REC[],2,FALSE),0)</f>
        <v>663244.80000000016</v>
      </c>
      <c r="AZ1470" s="246">
        <f>IFERROR(VLOOKUP(J1470,VOL_REC[],2,FALSE),0)</f>
        <v>17074.045034105649</v>
      </c>
      <c r="BA1470" s="246">
        <f>IFERROR(VLOOKUP(K1470,VOL_REC[],2,FALSE),0)</f>
        <v>105072</v>
      </c>
      <c r="BB1470" s="246">
        <f>IFERROR(VLOOKUP(L1470,VOL_REC[],2,FALSE),0)</f>
        <v>740113.98115702497</v>
      </c>
      <c r="BC1470" s="246">
        <f>IFERROR(VLOOKUP(M1470,VOL_REC[],2,FALSE),0)</f>
        <v>0</v>
      </c>
      <c r="BD1470" s="246">
        <f>IFERROR(VLOOKUP(N1470,VOL_REC[],2,FALSE),0)</f>
        <v>0</v>
      </c>
      <c r="BE1470" s="246">
        <f>IFERROR(VLOOKUP(O1470,VOL_REC[],2,FALSE),0)</f>
        <v>0</v>
      </c>
      <c r="BF1470" s="246">
        <f>IFERROR(VLOOKUP(P1470,VOL_REC[],2,FALSE),0)</f>
        <v>0</v>
      </c>
      <c r="BG1470" s="246">
        <f>IFERROR(VLOOKUP(Q1470,VOL_REC[],2,FALSE),0)</f>
        <v>0</v>
      </c>
      <c r="BH1470" s="1710">
        <f t="shared" si="88"/>
        <v>20409463720.141834</v>
      </c>
      <c r="BI1470" s="1710">
        <f t="shared" si="89"/>
        <v>22688172085.935047</v>
      </c>
      <c r="BJ1470" s="1711">
        <f t="shared" si="90"/>
        <v>18189205.02619113</v>
      </c>
      <c r="BK1470" s="1711">
        <f t="shared" si="91"/>
        <v>0.89956403904368132</v>
      </c>
    </row>
    <row r="1471" spans="3:67" x14ac:dyDescent="0.25">
      <c r="C1471" s="246" t="s">
        <v>2821</v>
      </c>
      <c r="D1471" s="246">
        <v>1</v>
      </c>
      <c r="E1471" s="246">
        <v>2</v>
      </c>
      <c r="F1471" s="246">
        <v>3</v>
      </c>
      <c r="G1471" s="246">
        <v>9</v>
      </c>
      <c r="H1471" s="246">
        <v>10</v>
      </c>
      <c r="I1471" s="246">
        <v>13</v>
      </c>
      <c r="J1471" s="246">
        <v>14</v>
      </c>
      <c r="K1471" s="246">
        <v>16</v>
      </c>
      <c r="L1471" s="246">
        <v>17</v>
      </c>
      <c r="M1471" s="246"/>
      <c r="N1471" s="246"/>
      <c r="O1471" s="246"/>
      <c r="P1471" s="246"/>
      <c r="Q1471" s="246"/>
      <c r="R1471" s="246">
        <f>IFERROR(VLOOKUP(D1471,PROGRAMAS[],2,FALSE),0)</f>
        <v>97037803.679377079</v>
      </c>
      <c r="S1471" s="246">
        <f>IFERROR(VLOOKUP(E1471,PROGRAMAS[],2,FALSE),0)</f>
        <v>640501509.6821388</v>
      </c>
      <c r="T1471" s="246">
        <f>IFERROR(VLOOKUP(F1471,PROGRAMAS[],2,FALSE),0)</f>
        <v>3062327798.1525245</v>
      </c>
      <c r="U1471" s="246">
        <f>IFERROR(VLOOKUP(G1471,PROGRAMAS[],2,FALSE),0)</f>
        <v>6128579952.1618185</v>
      </c>
      <c r="V1471" s="246">
        <f>IFERROR(VLOOKUP(H1471,PROGRAMAS[],2,FALSE),0)</f>
        <v>4635315027.8751087</v>
      </c>
      <c r="W1471" s="246">
        <f>IFERROR(VLOOKUP(I1471,PROGRAMAS[],2,FALSE),0)</f>
        <v>3776538594.4604583</v>
      </c>
      <c r="X1471" s="246">
        <f>IFERROR(VLOOKUP(J1471,PROGRAMAS[],2,FALSE),0)</f>
        <v>54223862.645839565</v>
      </c>
      <c r="Y1471" s="246">
        <f>IFERROR(VLOOKUP(K1471,PROGRAMAS[],2,FALSE),0)</f>
        <v>7068496961.0436354</v>
      </c>
      <c r="Z1471" s="246">
        <f>IFERROR(VLOOKUP(L1471,PROGRAMAS[],2,FALSE),0)</f>
        <v>1892779498.5211046</v>
      </c>
      <c r="AA1471" s="246">
        <f>IFERROR(VLOOKUP(M1471,PROGRAMAS[],2,FALSE),0)</f>
        <v>0</v>
      </c>
      <c r="AB1471" s="246">
        <f>IFERROR(VLOOKUP(N1471,PROGRAMAS[],2,FALSE),0)</f>
        <v>0</v>
      </c>
      <c r="AC1471" s="246">
        <f>IFERROR(VLOOKUP(O1471,PROGRAMAS[],2,FALSE),0)</f>
        <v>0</v>
      </c>
      <c r="AD1471" s="246">
        <f>IFERROR(VLOOKUP(P1471,PROGRAMAS[],2,FALSE),0)</f>
        <v>0</v>
      </c>
      <c r="AE1471" s="246">
        <f>IFERROR(VLOOKUP(Q1471,PROGRAMAS[],2,FALSE),0)</f>
        <v>0</v>
      </c>
      <c r="AF1471" s="246">
        <f>IFERROR(VLOOKUP(D1471,PROGRAMAS[],3,FALSE),0)</f>
        <v>841888629.31080008</v>
      </c>
      <c r="AG1471" s="246">
        <f>IFERROR(VLOOKUP(E1471,PROGRAMAS[],3,FALSE),0)</f>
        <v>3848980803.1642323</v>
      </c>
      <c r="AH1471" s="246">
        <f>IFERROR(VLOOKUP(F1471,PROGRAMAS[],3,FALSE),0)</f>
        <v>3394901471.387517</v>
      </c>
      <c r="AI1471" s="246">
        <f>IFERROR(VLOOKUP(G1471,PROGRAMAS[],3,FALSE),0)</f>
        <v>7011279577.519702</v>
      </c>
      <c r="AJ1471" s="246">
        <f>IFERROR(VLOOKUP(H1471,PROGRAMAS[],3,FALSE),0)</f>
        <v>4099471734.9978786</v>
      </c>
      <c r="AK1471" s="246">
        <f>IFERROR(VLOOKUP(I1471,PROGRAMAS[],3,FALSE),0)</f>
        <v>2392571243.5584412</v>
      </c>
      <c r="AL1471" s="246">
        <f>IFERROR(VLOOKUP(J1471,PROGRAMAS[],3,FALSE),0)</f>
        <v>31865326.38096505</v>
      </c>
      <c r="AM1471" s="246">
        <f>IFERROR(VLOOKUP(K1471,PROGRAMAS[],3,FALSE),0)</f>
        <v>2406564599.0319901</v>
      </c>
      <c r="AN1471" s="246">
        <f>IFERROR(VLOOKUP(L1471,PROGRAMAS[],3,FALSE),0)</f>
        <v>948595847.09039903</v>
      </c>
      <c r="AO1471" s="246">
        <f>IFERROR(VLOOKUP(M1471,PROGRAMAS[],3,FALSE),0)</f>
        <v>0</v>
      </c>
      <c r="AP1471" s="246">
        <f>IFERROR(VLOOKUP(N1471,PROGRAMAS[],3,FALSE),0)</f>
        <v>0</v>
      </c>
      <c r="AQ1471" s="246">
        <f>IFERROR(VLOOKUP(O1471,PROGRAMAS[],3,FALSE),0)</f>
        <v>0</v>
      </c>
      <c r="AR1471" s="246">
        <f>IFERROR(VLOOKUP(P1471,PROGRAMAS[],3,FALSE),0)</f>
        <v>0</v>
      </c>
      <c r="AS1471" s="246">
        <f>IFERROR(VLOOKUP(Q1471,PROGRAMAS[],3,FALSE),0)</f>
        <v>0</v>
      </c>
      <c r="AT1471" s="246">
        <f>IFERROR(VLOOKUP(D1471,VOL_REC[],2,FALSE),0)</f>
        <v>0</v>
      </c>
      <c r="AU1471" s="246">
        <f>IFERROR(VLOOKUP(E1471,VOL_REC[],2,FALSE),0)</f>
        <v>0</v>
      </c>
      <c r="AV1471" s="246">
        <f>IFERROR(VLOOKUP(F1471,VOL_REC[],2,FALSE),0)</f>
        <v>11089674.200000001</v>
      </c>
      <c r="AW1471" s="246">
        <f>IFERROR(VLOOKUP(G1471,VOL_REC[],2,FALSE),0)</f>
        <v>3761786</v>
      </c>
      <c r="AX1471" s="246">
        <f>IFERROR(VLOOKUP(H1471,VOL_REC[],2,FALSE),0)</f>
        <v>1812240</v>
      </c>
      <c r="AY1471" s="246">
        <f>IFERROR(VLOOKUP(I1471,VOL_REC[],2,FALSE),0)</f>
        <v>663244.80000000016</v>
      </c>
      <c r="AZ1471" s="246">
        <f>IFERROR(VLOOKUP(J1471,VOL_REC[],2,FALSE),0)</f>
        <v>17074.045034105649</v>
      </c>
      <c r="BA1471" s="246">
        <f>IFERROR(VLOOKUP(K1471,VOL_REC[],2,FALSE),0)</f>
        <v>1072354.9981737854</v>
      </c>
      <c r="BB1471" s="246">
        <f>IFERROR(VLOOKUP(L1471,VOL_REC[],2,FALSE),0)</f>
        <v>740113.98115702497</v>
      </c>
      <c r="BC1471" s="246">
        <f>IFERROR(VLOOKUP(M1471,VOL_REC[],2,FALSE),0)</f>
        <v>0</v>
      </c>
      <c r="BD1471" s="246">
        <f>IFERROR(VLOOKUP(N1471,VOL_REC[],2,FALSE),0)</f>
        <v>0</v>
      </c>
      <c r="BE1471" s="246">
        <f>IFERROR(VLOOKUP(O1471,VOL_REC[],2,FALSE),0)</f>
        <v>0</v>
      </c>
      <c r="BF1471" s="246">
        <f>IFERROR(VLOOKUP(P1471,VOL_REC[],2,FALSE),0)</f>
        <v>0</v>
      </c>
      <c r="BG1471" s="246">
        <f>IFERROR(VLOOKUP(Q1471,VOL_REC[],2,FALSE),0)</f>
        <v>0</v>
      </c>
      <c r="BH1471" s="1710">
        <f t="shared" si="88"/>
        <v>27355801008.222004</v>
      </c>
      <c r="BI1471" s="1710">
        <f t="shared" si="89"/>
        <v>24976119232.441929</v>
      </c>
      <c r="BJ1471" s="1711">
        <f t="shared" si="90"/>
        <v>19156488.024364915</v>
      </c>
      <c r="BK1471" s="1711">
        <f t="shared" si="91"/>
        <v>1.0952782837731276</v>
      </c>
      <c r="BL1471">
        <f>BJ1471</f>
        <v>19156488.024364915</v>
      </c>
      <c r="BO1471">
        <f>BL1471</f>
        <v>19156488.024364915</v>
      </c>
    </row>
    <row r="1472" spans="3:67" x14ac:dyDescent="0.25">
      <c r="C1472" s="246" t="s">
        <v>2822</v>
      </c>
      <c r="D1472" s="246">
        <v>1</v>
      </c>
      <c r="E1472" s="246">
        <v>2</v>
      </c>
      <c r="F1472" s="246">
        <v>3</v>
      </c>
      <c r="G1472" s="246">
        <v>9</v>
      </c>
      <c r="H1472" s="246">
        <v>10</v>
      </c>
      <c r="I1472" s="246">
        <v>13</v>
      </c>
      <c r="J1472" s="246">
        <v>15</v>
      </c>
      <c r="K1472" s="246">
        <v>16</v>
      </c>
      <c r="L1472" s="246">
        <v>17</v>
      </c>
      <c r="M1472" s="246"/>
      <c r="N1472" s="246"/>
      <c r="O1472" s="246"/>
      <c r="P1472" s="246"/>
      <c r="Q1472" s="246"/>
      <c r="R1472" s="246">
        <f>IFERROR(VLOOKUP(D1472,PROGRAMAS[],2,FALSE),0)</f>
        <v>97037803.679377079</v>
      </c>
      <c r="S1472" s="246">
        <f>IFERROR(VLOOKUP(E1472,PROGRAMAS[],2,FALSE),0)</f>
        <v>640501509.6821388</v>
      </c>
      <c r="T1472" s="246">
        <f>IFERROR(VLOOKUP(F1472,PROGRAMAS[],2,FALSE),0)</f>
        <v>3062327798.1525245</v>
      </c>
      <c r="U1472" s="246">
        <f>IFERROR(VLOOKUP(G1472,PROGRAMAS[],2,FALSE),0)</f>
        <v>6128579952.1618185</v>
      </c>
      <c r="V1472" s="246">
        <f>IFERROR(VLOOKUP(H1472,PROGRAMAS[],2,FALSE),0)</f>
        <v>4635315027.8751087</v>
      </c>
      <c r="W1472" s="246">
        <f>IFERROR(VLOOKUP(I1472,PROGRAMAS[],2,FALSE),0)</f>
        <v>3776538594.4604583</v>
      </c>
      <c r="X1472" s="246">
        <f>IFERROR(VLOOKUP(J1472,PROGRAMAS[],2,FALSE),0)</f>
        <v>122159672.96346797</v>
      </c>
      <c r="Y1472" s="246">
        <f>IFERROR(VLOOKUP(K1472,PROGRAMAS[],2,FALSE),0)</f>
        <v>7068496961.0436354</v>
      </c>
      <c r="Z1472" s="246">
        <f>IFERROR(VLOOKUP(L1472,PROGRAMAS[],2,FALSE),0)</f>
        <v>1892779498.5211046</v>
      </c>
      <c r="AA1472" s="246">
        <f>IFERROR(VLOOKUP(M1472,PROGRAMAS[],2,FALSE),0)</f>
        <v>0</v>
      </c>
      <c r="AB1472" s="246">
        <f>IFERROR(VLOOKUP(N1472,PROGRAMAS[],2,FALSE),0)</f>
        <v>0</v>
      </c>
      <c r="AC1472" s="246">
        <f>IFERROR(VLOOKUP(O1472,PROGRAMAS[],2,FALSE),0)</f>
        <v>0</v>
      </c>
      <c r="AD1472" s="246">
        <f>IFERROR(VLOOKUP(P1472,PROGRAMAS[],2,FALSE),0)</f>
        <v>0</v>
      </c>
      <c r="AE1472" s="246">
        <f>IFERROR(VLOOKUP(Q1472,PROGRAMAS[],2,FALSE),0)</f>
        <v>0</v>
      </c>
      <c r="AF1472" s="246">
        <f>IFERROR(VLOOKUP(D1472,PROGRAMAS[],3,FALSE),0)</f>
        <v>841888629.31080008</v>
      </c>
      <c r="AG1472" s="246">
        <f>IFERROR(VLOOKUP(E1472,PROGRAMAS[],3,FALSE),0)</f>
        <v>3848980803.1642323</v>
      </c>
      <c r="AH1472" s="246">
        <f>IFERROR(VLOOKUP(F1472,PROGRAMAS[],3,FALSE),0)</f>
        <v>3394901471.387517</v>
      </c>
      <c r="AI1472" s="246">
        <f>IFERROR(VLOOKUP(G1472,PROGRAMAS[],3,FALSE),0)</f>
        <v>7011279577.519702</v>
      </c>
      <c r="AJ1472" s="246">
        <f>IFERROR(VLOOKUP(H1472,PROGRAMAS[],3,FALSE),0)</f>
        <v>4099471734.9978786</v>
      </c>
      <c r="AK1472" s="246">
        <f>IFERROR(VLOOKUP(I1472,PROGRAMAS[],3,FALSE),0)</f>
        <v>2392571243.5584412</v>
      </c>
      <c r="AL1472" s="246">
        <f>IFERROR(VLOOKUP(J1472,PROGRAMAS[],3,FALSE),0)</f>
        <v>118617452.52510804</v>
      </c>
      <c r="AM1472" s="246">
        <f>IFERROR(VLOOKUP(K1472,PROGRAMAS[],3,FALSE),0)</f>
        <v>2406564599.0319901</v>
      </c>
      <c r="AN1472" s="246">
        <f>IFERROR(VLOOKUP(L1472,PROGRAMAS[],3,FALSE),0)</f>
        <v>948595847.09039903</v>
      </c>
      <c r="AO1472" s="246">
        <f>IFERROR(VLOOKUP(M1472,PROGRAMAS[],3,FALSE),0)</f>
        <v>0</v>
      </c>
      <c r="AP1472" s="246">
        <f>IFERROR(VLOOKUP(N1472,PROGRAMAS[],3,FALSE),0)</f>
        <v>0</v>
      </c>
      <c r="AQ1472" s="246">
        <f>IFERROR(VLOOKUP(O1472,PROGRAMAS[],3,FALSE),0)</f>
        <v>0</v>
      </c>
      <c r="AR1472" s="246">
        <f>IFERROR(VLOOKUP(P1472,PROGRAMAS[],3,FALSE),0)</f>
        <v>0</v>
      </c>
      <c r="AS1472" s="246">
        <f>IFERROR(VLOOKUP(Q1472,PROGRAMAS[],3,FALSE),0)</f>
        <v>0</v>
      </c>
      <c r="AT1472" s="246">
        <f>IFERROR(VLOOKUP(D1472,VOL_REC[],2,FALSE),0)</f>
        <v>0</v>
      </c>
      <c r="AU1472" s="246">
        <f>IFERROR(VLOOKUP(E1472,VOL_REC[],2,FALSE),0)</f>
        <v>0</v>
      </c>
      <c r="AV1472" s="246">
        <f>IFERROR(VLOOKUP(F1472,VOL_REC[],2,FALSE),0)</f>
        <v>11089674.200000001</v>
      </c>
      <c r="AW1472" s="246">
        <f>IFERROR(VLOOKUP(G1472,VOL_REC[],2,FALSE),0)</f>
        <v>3761786</v>
      </c>
      <c r="AX1472" s="246">
        <f>IFERROR(VLOOKUP(H1472,VOL_REC[],2,FALSE),0)</f>
        <v>1812240</v>
      </c>
      <c r="AY1472" s="246">
        <f>IFERROR(VLOOKUP(I1472,VOL_REC[],2,FALSE),0)</f>
        <v>663244.80000000016</v>
      </c>
      <c r="AZ1472" s="246">
        <f>IFERROR(VLOOKUP(J1472,VOL_REC[],2,FALSE),0)</f>
        <v>105072</v>
      </c>
      <c r="BA1472" s="246">
        <f>IFERROR(VLOOKUP(K1472,VOL_REC[],2,FALSE),0)</f>
        <v>1072354.9981737854</v>
      </c>
      <c r="BB1472" s="246">
        <f>IFERROR(VLOOKUP(L1472,VOL_REC[],2,FALSE),0)</f>
        <v>740113.98115702497</v>
      </c>
      <c r="BC1472" s="246">
        <f>IFERROR(VLOOKUP(M1472,VOL_REC[],2,FALSE),0)</f>
        <v>0</v>
      </c>
      <c r="BD1472" s="246">
        <f>IFERROR(VLOOKUP(N1472,VOL_REC[],2,FALSE),0)</f>
        <v>0</v>
      </c>
      <c r="BE1472" s="246">
        <f>IFERROR(VLOOKUP(O1472,VOL_REC[],2,FALSE),0)</f>
        <v>0</v>
      </c>
      <c r="BF1472" s="246">
        <f>IFERROR(VLOOKUP(P1472,VOL_REC[],2,FALSE),0)</f>
        <v>0</v>
      </c>
      <c r="BG1472" s="246">
        <f>IFERROR(VLOOKUP(Q1472,VOL_REC[],2,FALSE),0)</f>
        <v>0</v>
      </c>
      <c r="BH1472" s="1710">
        <f t="shared" si="88"/>
        <v>27423736818.539631</v>
      </c>
      <c r="BI1472" s="1710">
        <f t="shared" si="89"/>
        <v>25062871358.586071</v>
      </c>
      <c r="BJ1472" s="1711">
        <f t="shared" si="90"/>
        <v>19244485.979330808</v>
      </c>
      <c r="BK1472" s="1711">
        <f t="shared" si="91"/>
        <v>1.0941977248406844</v>
      </c>
      <c r="BL1472">
        <f>BJ1472</f>
        <v>19244485.979330808</v>
      </c>
      <c r="BO1472">
        <f>BL1472</f>
        <v>19244485.979330808</v>
      </c>
    </row>
    <row r="1473" spans="3:67" x14ac:dyDescent="0.25">
      <c r="C1473" s="246" t="s">
        <v>2823</v>
      </c>
      <c r="D1473" s="246">
        <v>1</v>
      </c>
      <c r="E1473" s="246">
        <v>2</v>
      </c>
      <c r="F1473" s="246">
        <v>3</v>
      </c>
      <c r="G1473" s="246">
        <v>9</v>
      </c>
      <c r="H1473" s="246">
        <v>10</v>
      </c>
      <c r="I1473" s="246">
        <v>14</v>
      </c>
      <c r="J1473" s="246">
        <v>15</v>
      </c>
      <c r="K1473" s="246">
        <v>16</v>
      </c>
      <c r="L1473" s="246">
        <v>17</v>
      </c>
      <c r="M1473" s="246"/>
      <c r="N1473" s="246"/>
      <c r="O1473" s="246"/>
      <c r="P1473" s="246"/>
      <c r="Q1473" s="246"/>
      <c r="R1473" s="246">
        <f>IFERROR(VLOOKUP(D1473,PROGRAMAS[],2,FALSE),0)</f>
        <v>97037803.679377079</v>
      </c>
      <c r="S1473" s="246">
        <f>IFERROR(VLOOKUP(E1473,PROGRAMAS[],2,FALSE),0)</f>
        <v>640501509.6821388</v>
      </c>
      <c r="T1473" s="246">
        <f>IFERROR(VLOOKUP(F1473,PROGRAMAS[],2,FALSE),0)</f>
        <v>3062327798.1525245</v>
      </c>
      <c r="U1473" s="246">
        <f>IFERROR(VLOOKUP(G1473,PROGRAMAS[],2,FALSE),0)</f>
        <v>6128579952.1618185</v>
      </c>
      <c r="V1473" s="246">
        <f>IFERROR(VLOOKUP(H1473,PROGRAMAS[],2,FALSE),0)</f>
        <v>4635315027.8751087</v>
      </c>
      <c r="W1473" s="246">
        <f>IFERROR(VLOOKUP(I1473,PROGRAMAS[],2,FALSE),0)</f>
        <v>54223862.645839565</v>
      </c>
      <c r="X1473" s="246">
        <f>IFERROR(VLOOKUP(J1473,PROGRAMAS[],2,FALSE),0)</f>
        <v>122159672.96346797</v>
      </c>
      <c r="Y1473" s="246">
        <f>IFERROR(VLOOKUP(K1473,PROGRAMAS[],2,FALSE),0)</f>
        <v>7068496961.0436354</v>
      </c>
      <c r="Z1473" s="246">
        <f>IFERROR(VLOOKUP(L1473,PROGRAMAS[],2,FALSE),0)</f>
        <v>1892779498.5211046</v>
      </c>
      <c r="AA1473" s="246">
        <f>IFERROR(VLOOKUP(M1473,PROGRAMAS[],2,FALSE),0)</f>
        <v>0</v>
      </c>
      <c r="AB1473" s="246">
        <f>IFERROR(VLOOKUP(N1473,PROGRAMAS[],2,FALSE),0)</f>
        <v>0</v>
      </c>
      <c r="AC1473" s="246">
        <f>IFERROR(VLOOKUP(O1473,PROGRAMAS[],2,FALSE),0)</f>
        <v>0</v>
      </c>
      <c r="AD1473" s="246">
        <f>IFERROR(VLOOKUP(P1473,PROGRAMAS[],2,FALSE),0)</f>
        <v>0</v>
      </c>
      <c r="AE1473" s="246">
        <f>IFERROR(VLOOKUP(Q1473,PROGRAMAS[],2,FALSE),0)</f>
        <v>0</v>
      </c>
      <c r="AF1473" s="246">
        <f>IFERROR(VLOOKUP(D1473,PROGRAMAS[],3,FALSE),0)</f>
        <v>841888629.31080008</v>
      </c>
      <c r="AG1473" s="246">
        <f>IFERROR(VLOOKUP(E1473,PROGRAMAS[],3,FALSE),0)</f>
        <v>3848980803.1642323</v>
      </c>
      <c r="AH1473" s="246">
        <f>IFERROR(VLOOKUP(F1473,PROGRAMAS[],3,FALSE),0)</f>
        <v>3394901471.387517</v>
      </c>
      <c r="AI1473" s="246">
        <f>IFERROR(VLOOKUP(G1473,PROGRAMAS[],3,FALSE),0)</f>
        <v>7011279577.519702</v>
      </c>
      <c r="AJ1473" s="246">
        <f>IFERROR(VLOOKUP(H1473,PROGRAMAS[],3,FALSE),0)</f>
        <v>4099471734.9978786</v>
      </c>
      <c r="AK1473" s="246">
        <f>IFERROR(VLOOKUP(I1473,PROGRAMAS[],3,FALSE),0)</f>
        <v>31865326.38096505</v>
      </c>
      <c r="AL1473" s="246">
        <f>IFERROR(VLOOKUP(J1473,PROGRAMAS[],3,FALSE),0)</f>
        <v>118617452.52510804</v>
      </c>
      <c r="AM1473" s="246">
        <f>IFERROR(VLOOKUP(K1473,PROGRAMAS[],3,FALSE),0)</f>
        <v>2406564599.0319901</v>
      </c>
      <c r="AN1473" s="246">
        <f>IFERROR(VLOOKUP(L1473,PROGRAMAS[],3,FALSE),0)</f>
        <v>948595847.09039903</v>
      </c>
      <c r="AO1473" s="246">
        <f>IFERROR(VLOOKUP(M1473,PROGRAMAS[],3,FALSE),0)</f>
        <v>0</v>
      </c>
      <c r="AP1473" s="246">
        <f>IFERROR(VLOOKUP(N1473,PROGRAMAS[],3,FALSE),0)</f>
        <v>0</v>
      </c>
      <c r="AQ1473" s="246">
        <f>IFERROR(VLOOKUP(O1473,PROGRAMAS[],3,FALSE),0)</f>
        <v>0</v>
      </c>
      <c r="AR1473" s="246">
        <f>IFERROR(VLOOKUP(P1473,PROGRAMAS[],3,FALSE),0)</f>
        <v>0</v>
      </c>
      <c r="AS1473" s="246">
        <f>IFERROR(VLOOKUP(Q1473,PROGRAMAS[],3,FALSE),0)</f>
        <v>0</v>
      </c>
      <c r="AT1473" s="246">
        <f>IFERROR(VLOOKUP(D1473,VOL_REC[],2,FALSE),0)</f>
        <v>0</v>
      </c>
      <c r="AU1473" s="246">
        <f>IFERROR(VLOOKUP(E1473,VOL_REC[],2,FALSE),0)</f>
        <v>0</v>
      </c>
      <c r="AV1473" s="246">
        <f>IFERROR(VLOOKUP(F1473,VOL_REC[],2,FALSE),0)</f>
        <v>11089674.200000001</v>
      </c>
      <c r="AW1473" s="246">
        <f>IFERROR(VLOOKUP(G1473,VOL_REC[],2,FALSE),0)</f>
        <v>3761786</v>
      </c>
      <c r="AX1473" s="246">
        <f>IFERROR(VLOOKUP(H1473,VOL_REC[],2,FALSE),0)</f>
        <v>1812240</v>
      </c>
      <c r="AY1473" s="246">
        <f>IFERROR(VLOOKUP(I1473,VOL_REC[],2,FALSE),0)</f>
        <v>17074.045034105649</v>
      </c>
      <c r="AZ1473" s="246">
        <f>IFERROR(VLOOKUP(J1473,VOL_REC[],2,FALSE),0)</f>
        <v>105072</v>
      </c>
      <c r="BA1473" s="246">
        <f>IFERROR(VLOOKUP(K1473,VOL_REC[],2,FALSE),0)</f>
        <v>1072354.9981737854</v>
      </c>
      <c r="BB1473" s="246">
        <f>IFERROR(VLOOKUP(L1473,VOL_REC[],2,FALSE),0)</f>
        <v>740113.98115702497</v>
      </c>
      <c r="BC1473" s="246">
        <f>IFERROR(VLOOKUP(M1473,VOL_REC[],2,FALSE),0)</f>
        <v>0</v>
      </c>
      <c r="BD1473" s="246">
        <f>IFERROR(VLOOKUP(N1473,VOL_REC[],2,FALSE),0)</f>
        <v>0</v>
      </c>
      <c r="BE1473" s="246">
        <f>IFERROR(VLOOKUP(O1473,VOL_REC[],2,FALSE),0)</f>
        <v>0</v>
      </c>
      <c r="BF1473" s="246">
        <f>IFERROR(VLOOKUP(P1473,VOL_REC[],2,FALSE),0)</f>
        <v>0</v>
      </c>
      <c r="BG1473" s="246">
        <f>IFERROR(VLOOKUP(Q1473,VOL_REC[],2,FALSE),0)</f>
        <v>0</v>
      </c>
      <c r="BH1473" s="1710">
        <f t="shared" si="88"/>
        <v>23701422086.725014</v>
      </c>
      <c r="BI1473" s="1710">
        <f t="shared" si="89"/>
        <v>22702165441.408596</v>
      </c>
      <c r="BJ1473" s="1711">
        <f t="shared" si="90"/>
        <v>18598315.224364914</v>
      </c>
      <c r="BK1473" s="1711">
        <f t="shared" si="91"/>
        <v>1.0440159176839483</v>
      </c>
      <c r="BL1473">
        <f>BJ1473</f>
        <v>18598315.224364914</v>
      </c>
      <c r="BO1473">
        <f>BL1473</f>
        <v>18598315.224364914</v>
      </c>
    </row>
    <row r="1474" spans="3:67" x14ac:dyDescent="0.25">
      <c r="C1474" s="246" t="s">
        <v>2824</v>
      </c>
      <c r="D1474" s="246">
        <v>1</v>
      </c>
      <c r="E1474" s="246">
        <v>2</v>
      </c>
      <c r="F1474" s="246">
        <v>3</v>
      </c>
      <c r="G1474" s="246">
        <v>9</v>
      </c>
      <c r="H1474" s="246">
        <v>12</v>
      </c>
      <c r="I1474" s="246">
        <v>13</v>
      </c>
      <c r="J1474" s="246">
        <v>14</v>
      </c>
      <c r="K1474" s="246">
        <v>15</v>
      </c>
      <c r="L1474" s="246">
        <v>16</v>
      </c>
      <c r="M1474" s="246"/>
      <c r="N1474" s="246"/>
      <c r="O1474" s="246"/>
      <c r="P1474" s="246"/>
      <c r="Q1474" s="246"/>
      <c r="R1474" s="246">
        <f>IFERROR(VLOOKUP(D1474,PROGRAMAS[],2,FALSE),0)</f>
        <v>97037803.679377079</v>
      </c>
      <c r="S1474" s="246">
        <f>IFERROR(VLOOKUP(E1474,PROGRAMAS[],2,FALSE),0)</f>
        <v>640501509.6821388</v>
      </c>
      <c r="T1474" s="246">
        <f>IFERROR(VLOOKUP(F1474,PROGRAMAS[],2,FALSE),0)</f>
        <v>3062327798.1525245</v>
      </c>
      <c r="U1474" s="246">
        <f>IFERROR(VLOOKUP(G1474,PROGRAMAS[],2,FALSE),0)</f>
        <v>6128579952.1618185</v>
      </c>
      <c r="V1474" s="246">
        <f>IFERROR(VLOOKUP(H1474,PROGRAMAS[],2,FALSE),0)</f>
        <v>764796700.79905891</v>
      </c>
      <c r="W1474" s="246">
        <f>IFERROR(VLOOKUP(I1474,PROGRAMAS[],2,FALSE),0)</f>
        <v>3776538594.4604583</v>
      </c>
      <c r="X1474" s="246">
        <f>IFERROR(VLOOKUP(J1474,PROGRAMAS[],2,FALSE),0)</f>
        <v>54223862.645839565</v>
      </c>
      <c r="Y1474" s="246">
        <f>IFERROR(VLOOKUP(K1474,PROGRAMAS[],2,FALSE),0)</f>
        <v>122159672.96346797</v>
      </c>
      <c r="Z1474" s="246">
        <f>IFERROR(VLOOKUP(L1474,PROGRAMAS[],2,FALSE),0)</f>
        <v>7068496961.0436354</v>
      </c>
      <c r="AA1474" s="246">
        <f>IFERROR(VLOOKUP(M1474,PROGRAMAS[],2,FALSE),0)</f>
        <v>0</v>
      </c>
      <c r="AB1474" s="246">
        <f>IFERROR(VLOOKUP(N1474,PROGRAMAS[],2,FALSE),0)</f>
        <v>0</v>
      </c>
      <c r="AC1474" s="246">
        <f>IFERROR(VLOOKUP(O1474,PROGRAMAS[],2,FALSE),0)</f>
        <v>0</v>
      </c>
      <c r="AD1474" s="246">
        <f>IFERROR(VLOOKUP(P1474,PROGRAMAS[],2,FALSE),0)</f>
        <v>0</v>
      </c>
      <c r="AE1474" s="246">
        <f>IFERROR(VLOOKUP(Q1474,PROGRAMAS[],2,FALSE),0)</f>
        <v>0</v>
      </c>
      <c r="AF1474" s="246">
        <f>IFERROR(VLOOKUP(D1474,PROGRAMAS[],3,FALSE),0)</f>
        <v>841888629.31080008</v>
      </c>
      <c r="AG1474" s="246">
        <f>IFERROR(VLOOKUP(E1474,PROGRAMAS[],3,FALSE),0)</f>
        <v>3848980803.1642323</v>
      </c>
      <c r="AH1474" s="246">
        <f>IFERROR(VLOOKUP(F1474,PROGRAMAS[],3,FALSE),0)</f>
        <v>3394901471.387517</v>
      </c>
      <c r="AI1474" s="246">
        <f>IFERROR(VLOOKUP(G1474,PROGRAMAS[],3,FALSE),0)</f>
        <v>7011279577.519702</v>
      </c>
      <c r="AJ1474" s="246">
        <f>IFERROR(VLOOKUP(H1474,PROGRAMAS[],3,FALSE),0)</f>
        <v>675517840.109828</v>
      </c>
      <c r="AK1474" s="246">
        <f>IFERROR(VLOOKUP(I1474,PROGRAMAS[],3,FALSE),0)</f>
        <v>2392571243.5584412</v>
      </c>
      <c r="AL1474" s="246">
        <f>IFERROR(VLOOKUP(J1474,PROGRAMAS[],3,FALSE),0)</f>
        <v>31865326.38096505</v>
      </c>
      <c r="AM1474" s="246">
        <f>IFERROR(VLOOKUP(K1474,PROGRAMAS[],3,FALSE),0)</f>
        <v>118617452.52510804</v>
      </c>
      <c r="AN1474" s="246">
        <f>IFERROR(VLOOKUP(L1474,PROGRAMAS[],3,FALSE),0)</f>
        <v>2406564599.0319901</v>
      </c>
      <c r="AO1474" s="246">
        <f>IFERROR(VLOOKUP(M1474,PROGRAMAS[],3,FALSE),0)</f>
        <v>0</v>
      </c>
      <c r="AP1474" s="246">
        <f>IFERROR(VLOOKUP(N1474,PROGRAMAS[],3,FALSE),0)</f>
        <v>0</v>
      </c>
      <c r="AQ1474" s="246">
        <f>IFERROR(VLOOKUP(O1474,PROGRAMAS[],3,FALSE),0)</f>
        <v>0</v>
      </c>
      <c r="AR1474" s="246">
        <f>IFERROR(VLOOKUP(P1474,PROGRAMAS[],3,FALSE),0)</f>
        <v>0</v>
      </c>
      <c r="AS1474" s="246">
        <f>IFERROR(VLOOKUP(Q1474,PROGRAMAS[],3,FALSE),0)</f>
        <v>0</v>
      </c>
      <c r="AT1474" s="246">
        <f>IFERROR(VLOOKUP(D1474,VOL_REC[],2,FALSE),0)</f>
        <v>0</v>
      </c>
      <c r="AU1474" s="246">
        <f>IFERROR(VLOOKUP(E1474,VOL_REC[],2,FALSE),0)</f>
        <v>0</v>
      </c>
      <c r="AV1474" s="246">
        <f>IFERROR(VLOOKUP(F1474,VOL_REC[],2,FALSE),0)</f>
        <v>11089674.200000001</v>
      </c>
      <c r="AW1474" s="246">
        <f>IFERROR(VLOOKUP(G1474,VOL_REC[],2,FALSE),0)</f>
        <v>3761786</v>
      </c>
      <c r="AX1474" s="246">
        <f>IFERROR(VLOOKUP(H1474,VOL_REC[],2,FALSE),0)</f>
        <v>240696.79238099116</v>
      </c>
      <c r="AY1474" s="246">
        <f>IFERROR(VLOOKUP(I1474,VOL_REC[],2,FALSE),0)</f>
        <v>663244.80000000016</v>
      </c>
      <c r="AZ1474" s="246">
        <f>IFERROR(VLOOKUP(J1474,VOL_REC[],2,FALSE),0)</f>
        <v>17074.045034105649</v>
      </c>
      <c r="BA1474" s="246">
        <f>IFERROR(VLOOKUP(K1474,VOL_REC[],2,FALSE),0)</f>
        <v>105072</v>
      </c>
      <c r="BB1474" s="246">
        <f>IFERROR(VLOOKUP(L1474,VOL_REC[],2,FALSE),0)</f>
        <v>1072354.9981737854</v>
      </c>
      <c r="BC1474" s="246">
        <f>IFERROR(VLOOKUP(M1474,VOL_REC[],2,FALSE),0)</f>
        <v>0</v>
      </c>
      <c r="BD1474" s="246">
        <f>IFERROR(VLOOKUP(N1474,VOL_REC[],2,FALSE),0)</f>
        <v>0</v>
      </c>
      <c r="BE1474" s="246">
        <f>IFERROR(VLOOKUP(O1474,VOL_REC[],2,FALSE),0)</f>
        <v>0</v>
      </c>
      <c r="BF1474" s="246">
        <f>IFERROR(VLOOKUP(P1474,VOL_REC[],2,FALSE),0)</f>
        <v>0</v>
      </c>
      <c r="BG1474" s="246">
        <f>IFERROR(VLOOKUP(Q1474,VOL_REC[],2,FALSE),0)</f>
        <v>0</v>
      </c>
      <c r="BH1474" s="1710">
        <f t="shared" ref="BH1474:BH1537" si="92">SUM(R1474:AE1474)</f>
        <v>21714662855.588322</v>
      </c>
      <c r="BI1474" s="1710">
        <f t="shared" ref="BI1474:BI1537" si="93">SUM(AF1474:AS1474)</f>
        <v>20722186942.988586</v>
      </c>
      <c r="BJ1474" s="1711">
        <f t="shared" ref="BJ1474:BJ1537" si="94">SUM(AT1474:BG1474)</f>
        <v>16949902.835588884</v>
      </c>
      <c r="BK1474" s="1711">
        <f t="shared" ref="BK1474:BK1537" si="95">IFERROR(BH1474/BI1474,0)</f>
        <v>1.0478943615039407</v>
      </c>
      <c r="BL1474">
        <f>BJ1474</f>
        <v>16949902.835588884</v>
      </c>
      <c r="BO1474">
        <f>BL1474</f>
        <v>16949902.835588884</v>
      </c>
    </row>
    <row r="1475" spans="3:67" x14ac:dyDescent="0.25">
      <c r="C1475" s="246" t="s">
        <v>2825</v>
      </c>
      <c r="D1475" s="246">
        <v>1</v>
      </c>
      <c r="E1475" s="246">
        <v>2</v>
      </c>
      <c r="F1475" s="246">
        <v>3</v>
      </c>
      <c r="G1475" s="246">
        <v>9</v>
      </c>
      <c r="H1475" s="246">
        <v>12</v>
      </c>
      <c r="I1475" s="246">
        <v>13</v>
      </c>
      <c r="J1475" s="246">
        <v>14</v>
      </c>
      <c r="K1475" s="246">
        <v>15</v>
      </c>
      <c r="L1475" s="246">
        <v>17</v>
      </c>
      <c r="M1475" s="246"/>
      <c r="N1475" s="246"/>
      <c r="O1475" s="246"/>
      <c r="P1475" s="246"/>
      <c r="Q1475" s="246"/>
      <c r="R1475" s="246">
        <f>IFERROR(VLOOKUP(D1475,PROGRAMAS[],2,FALSE),0)</f>
        <v>97037803.679377079</v>
      </c>
      <c r="S1475" s="246">
        <f>IFERROR(VLOOKUP(E1475,PROGRAMAS[],2,FALSE),0)</f>
        <v>640501509.6821388</v>
      </c>
      <c r="T1475" s="246">
        <f>IFERROR(VLOOKUP(F1475,PROGRAMAS[],2,FALSE),0)</f>
        <v>3062327798.1525245</v>
      </c>
      <c r="U1475" s="246">
        <f>IFERROR(VLOOKUP(G1475,PROGRAMAS[],2,FALSE),0)</f>
        <v>6128579952.1618185</v>
      </c>
      <c r="V1475" s="246">
        <f>IFERROR(VLOOKUP(H1475,PROGRAMAS[],2,FALSE),0)</f>
        <v>764796700.79905891</v>
      </c>
      <c r="W1475" s="246">
        <f>IFERROR(VLOOKUP(I1475,PROGRAMAS[],2,FALSE),0)</f>
        <v>3776538594.4604583</v>
      </c>
      <c r="X1475" s="246">
        <f>IFERROR(VLOOKUP(J1475,PROGRAMAS[],2,FALSE),0)</f>
        <v>54223862.645839565</v>
      </c>
      <c r="Y1475" s="246">
        <f>IFERROR(VLOOKUP(K1475,PROGRAMAS[],2,FALSE),0)</f>
        <v>122159672.96346797</v>
      </c>
      <c r="Z1475" s="246">
        <f>IFERROR(VLOOKUP(L1475,PROGRAMAS[],2,FALSE),0)</f>
        <v>1892779498.5211046</v>
      </c>
      <c r="AA1475" s="246">
        <f>IFERROR(VLOOKUP(M1475,PROGRAMAS[],2,FALSE),0)</f>
        <v>0</v>
      </c>
      <c r="AB1475" s="246">
        <f>IFERROR(VLOOKUP(N1475,PROGRAMAS[],2,FALSE),0)</f>
        <v>0</v>
      </c>
      <c r="AC1475" s="246">
        <f>IFERROR(VLOOKUP(O1475,PROGRAMAS[],2,FALSE),0)</f>
        <v>0</v>
      </c>
      <c r="AD1475" s="246">
        <f>IFERROR(VLOOKUP(P1475,PROGRAMAS[],2,FALSE),0)</f>
        <v>0</v>
      </c>
      <c r="AE1475" s="246">
        <f>IFERROR(VLOOKUP(Q1475,PROGRAMAS[],2,FALSE),0)</f>
        <v>0</v>
      </c>
      <c r="AF1475" s="246">
        <f>IFERROR(VLOOKUP(D1475,PROGRAMAS[],3,FALSE),0)</f>
        <v>841888629.31080008</v>
      </c>
      <c r="AG1475" s="246">
        <f>IFERROR(VLOOKUP(E1475,PROGRAMAS[],3,FALSE),0)</f>
        <v>3848980803.1642323</v>
      </c>
      <c r="AH1475" s="246">
        <f>IFERROR(VLOOKUP(F1475,PROGRAMAS[],3,FALSE),0)</f>
        <v>3394901471.387517</v>
      </c>
      <c r="AI1475" s="246">
        <f>IFERROR(VLOOKUP(G1475,PROGRAMAS[],3,FALSE),0)</f>
        <v>7011279577.519702</v>
      </c>
      <c r="AJ1475" s="246">
        <f>IFERROR(VLOOKUP(H1475,PROGRAMAS[],3,FALSE),0)</f>
        <v>675517840.109828</v>
      </c>
      <c r="AK1475" s="246">
        <f>IFERROR(VLOOKUP(I1475,PROGRAMAS[],3,FALSE),0)</f>
        <v>2392571243.5584412</v>
      </c>
      <c r="AL1475" s="246">
        <f>IFERROR(VLOOKUP(J1475,PROGRAMAS[],3,FALSE),0)</f>
        <v>31865326.38096505</v>
      </c>
      <c r="AM1475" s="246">
        <f>IFERROR(VLOOKUP(K1475,PROGRAMAS[],3,FALSE),0)</f>
        <v>118617452.52510804</v>
      </c>
      <c r="AN1475" s="246">
        <f>IFERROR(VLOOKUP(L1475,PROGRAMAS[],3,FALSE),0)</f>
        <v>948595847.09039903</v>
      </c>
      <c r="AO1475" s="246">
        <f>IFERROR(VLOOKUP(M1475,PROGRAMAS[],3,FALSE),0)</f>
        <v>0</v>
      </c>
      <c r="AP1475" s="246">
        <f>IFERROR(VLOOKUP(N1475,PROGRAMAS[],3,FALSE),0)</f>
        <v>0</v>
      </c>
      <c r="AQ1475" s="246">
        <f>IFERROR(VLOOKUP(O1475,PROGRAMAS[],3,FALSE),0)</f>
        <v>0</v>
      </c>
      <c r="AR1475" s="246">
        <f>IFERROR(VLOOKUP(P1475,PROGRAMAS[],3,FALSE),0)</f>
        <v>0</v>
      </c>
      <c r="AS1475" s="246">
        <f>IFERROR(VLOOKUP(Q1475,PROGRAMAS[],3,FALSE),0)</f>
        <v>0</v>
      </c>
      <c r="AT1475" s="246">
        <f>IFERROR(VLOOKUP(D1475,VOL_REC[],2,FALSE),0)</f>
        <v>0</v>
      </c>
      <c r="AU1475" s="246">
        <f>IFERROR(VLOOKUP(E1475,VOL_REC[],2,FALSE),0)</f>
        <v>0</v>
      </c>
      <c r="AV1475" s="246">
        <f>IFERROR(VLOOKUP(F1475,VOL_REC[],2,FALSE),0)</f>
        <v>11089674.200000001</v>
      </c>
      <c r="AW1475" s="246">
        <f>IFERROR(VLOOKUP(G1475,VOL_REC[],2,FALSE),0)</f>
        <v>3761786</v>
      </c>
      <c r="AX1475" s="246">
        <f>IFERROR(VLOOKUP(H1475,VOL_REC[],2,FALSE),0)</f>
        <v>240696.79238099116</v>
      </c>
      <c r="AY1475" s="246">
        <f>IFERROR(VLOOKUP(I1475,VOL_REC[],2,FALSE),0)</f>
        <v>663244.80000000016</v>
      </c>
      <c r="AZ1475" s="246">
        <f>IFERROR(VLOOKUP(J1475,VOL_REC[],2,FALSE),0)</f>
        <v>17074.045034105649</v>
      </c>
      <c r="BA1475" s="246">
        <f>IFERROR(VLOOKUP(K1475,VOL_REC[],2,FALSE),0)</f>
        <v>105072</v>
      </c>
      <c r="BB1475" s="246">
        <f>IFERROR(VLOOKUP(L1475,VOL_REC[],2,FALSE),0)</f>
        <v>740113.98115702497</v>
      </c>
      <c r="BC1475" s="246">
        <f>IFERROR(VLOOKUP(M1475,VOL_REC[],2,FALSE),0)</f>
        <v>0</v>
      </c>
      <c r="BD1475" s="246">
        <f>IFERROR(VLOOKUP(N1475,VOL_REC[],2,FALSE),0)</f>
        <v>0</v>
      </c>
      <c r="BE1475" s="246">
        <f>IFERROR(VLOOKUP(O1475,VOL_REC[],2,FALSE),0)</f>
        <v>0</v>
      </c>
      <c r="BF1475" s="246">
        <f>IFERROR(VLOOKUP(P1475,VOL_REC[],2,FALSE),0)</f>
        <v>0</v>
      </c>
      <c r="BG1475" s="246">
        <f>IFERROR(VLOOKUP(Q1475,VOL_REC[],2,FALSE),0)</f>
        <v>0</v>
      </c>
      <c r="BH1475" s="1710">
        <f t="shared" si="92"/>
        <v>16538945393.06579</v>
      </c>
      <c r="BI1475" s="1710">
        <f t="shared" si="93"/>
        <v>19264218191.046997</v>
      </c>
      <c r="BJ1475" s="1711">
        <f t="shared" si="94"/>
        <v>16617661.818572123</v>
      </c>
      <c r="BK1475" s="1711">
        <f t="shared" si="95"/>
        <v>0.85853187651042229</v>
      </c>
    </row>
    <row r="1476" spans="3:67" x14ac:dyDescent="0.25">
      <c r="C1476" s="246" t="s">
        <v>2826</v>
      </c>
      <c r="D1476" s="246">
        <v>1</v>
      </c>
      <c r="E1476" s="246">
        <v>2</v>
      </c>
      <c r="F1476" s="246">
        <v>3</v>
      </c>
      <c r="G1476" s="246">
        <v>9</v>
      </c>
      <c r="H1476" s="246">
        <v>12</v>
      </c>
      <c r="I1476" s="246">
        <v>13</v>
      </c>
      <c r="J1476" s="246">
        <v>14</v>
      </c>
      <c r="K1476" s="246">
        <v>16</v>
      </c>
      <c r="L1476" s="246">
        <v>17</v>
      </c>
      <c r="M1476" s="246"/>
      <c r="N1476" s="246"/>
      <c r="O1476" s="246"/>
      <c r="P1476" s="246"/>
      <c r="Q1476" s="246"/>
      <c r="R1476" s="246">
        <f>IFERROR(VLOOKUP(D1476,PROGRAMAS[],2,FALSE),0)</f>
        <v>97037803.679377079</v>
      </c>
      <c r="S1476" s="246">
        <f>IFERROR(VLOOKUP(E1476,PROGRAMAS[],2,FALSE),0)</f>
        <v>640501509.6821388</v>
      </c>
      <c r="T1476" s="246">
        <f>IFERROR(VLOOKUP(F1476,PROGRAMAS[],2,FALSE),0)</f>
        <v>3062327798.1525245</v>
      </c>
      <c r="U1476" s="246">
        <f>IFERROR(VLOOKUP(G1476,PROGRAMAS[],2,FALSE),0)</f>
        <v>6128579952.1618185</v>
      </c>
      <c r="V1476" s="246">
        <f>IFERROR(VLOOKUP(H1476,PROGRAMAS[],2,FALSE),0)</f>
        <v>764796700.79905891</v>
      </c>
      <c r="W1476" s="246">
        <f>IFERROR(VLOOKUP(I1476,PROGRAMAS[],2,FALSE),0)</f>
        <v>3776538594.4604583</v>
      </c>
      <c r="X1476" s="246">
        <f>IFERROR(VLOOKUP(J1476,PROGRAMAS[],2,FALSE),0)</f>
        <v>54223862.645839565</v>
      </c>
      <c r="Y1476" s="246">
        <f>IFERROR(VLOOKUP(K1476,PROGRAMAS[],2,FALSE),0)</f>
        <v>7068496961.0436354</v>
      </c>
      <c r="Z1476" s="246">
        <f>IFERROR(VLOOKUP(L1476,PROGRAMAS[],2,FALSE),0)</f>
        <v>1892779498.5211046</v>
      </c>
      <c r="AA1476" s="246">
        <f>IFERROR(VLOOKUP(M1476,PROGRAMAS[],2,FALSE),0)</f>
        <v>0</v>
      </c>
      <c r="AB1476" s="246">
        <f>IFERROR(VLOOKUP(N1476,PROGRAMAS[],2,FALSE),0)</f>
        <v>0</v>
      </c>
      <c r="AC1476" s="246">
        <f>IFERROR(VLOOKUP(O1476,PROGRAMAS[],2,FALSE),0)</f>
        <v>0</v>
      </c>
      <c r="AD1476" s="246">
        <f>IFERROR(VLOOKUP(P1476,PROGRAMAS[],2,FALSE),0)</f>
        <v>0</v>
      </c>
      <c r="AE1476" s="246">
        <f>IFERROR(VLOOKUP(Q1476,PROGRAMAS[],2,FALSE),0)</f>
        <v>0</v>
      </c>
      <c r="AF1476" s="246">
        <f>IFERROR(VLOOKUP(D1476,PROGRAMAS[],3,FALSE),0)</f>
        <v>841888629.31080008</v>
      </c>
      <c r="AG1476" s="246">
        <f>IFERROR(VLOOKUP(E1476,PROGRAMAS[],3,FALSE),0)</f>
        <v>3848980803.1642323</v>
      </c>
      <c r="AH1476" s="246">
        <f>IFERROR(VLOOKUP(F1476,PROGRAMAS[],3,FALSE),0)</f>
        <v>3394901471.387517</v>
      </c>
      <c r="AI1476" s="246">
        <f>IFERROR(VLOOKUP(G1476,PROGRAMAS[],3,FALSE),0)</f>
        <v>7011279577.519702</v>
      </c>
      <c r="AJ1476" s="246">
        <f>IFERROR(VLOOKUP(H1476,PROGRAMAS[],3,FALSE),0)</f>
        <v>675517840.109828</v>
      </c>
      <c r="AK1476" s="246">
        <f>IFERROR(VLOOKUP(I1476,PROGRAMAS[],3,FALSE),0)</f>
        <v>2392571243.5584412</v>
      </c>
      <c r="AL1476" s="246">
        <f>IFERROR(VLOOKUP(J1476,PROGRAMAS[],3,FALSE),0)</f>
        <v>31865326.38096505</v>
      </c>
      <c r="AM1476" s="246">
        <f>IFERROR(VLOOKUP(K1476,PROGRAMAS[],3,FALSE),0)</f>
        <v>2406564599.0319901</v>
      </c>
      <c r="AN1476" s="246">
        <f>IFERROR(VLOOKUP(L1476,PROGRAMAS[],3,FALSE),0)</f>
        <v>948595847.09039903</v>
      </c>
      <c r="AO1476" s="246">
        <f>IFERROR(VLOOKUP(M1476,PROGRAMAS[],3,FALSE),0)</f>
        <v>0</v>
      </c>
      <c r="AP1476" s="246">
        <f>IFERROR(VLOOKUP(N1476,PROGRAMAS[],3,FALSE),0)</f>
        <v>0</v>
      </c>
      <c r="AQ1476" s="246">
        <f>IFERROR(VLOOKUP(O1476,PROGRAMAS[],3,FALSE),0)</f>
        <v>0</v>
      </c>
      <c r="AR1476" s="246">
        <f>IFERROR(VLOOKUP(P1476,PROGRAMAS[],3,FALSE),0)</f>
        <v>0</v>
      </c>
      <c r="AS1476" s="246">
        <f>IFERROR(VLOOKUP(Q1476,PROGRAMAS[],3,FALSE),0)</f>
        <v>0</v>
      </c>
      <c r="AT1476" s="246">
        <f>IFERROR(VLOOKUP(D1476,VOL_REC[],2,FALSE),0)</f>
        <v>0</v>
      </c>
      <c r="AU1476" s="246">
        <f>IFERROR(VLOOKUP(E1476,VOL_REC[],2,FALSE),0)</f>
        <v>0</v>
      </c>
      <c r="AV1476" s="246">
        <f>IFERROR(VLOOKUP(F1476,VOL_REC[],2,FALSE),0)</f>
        <v>11089674.200000001</v>
      </c>
      <c r="AW1476" s="246">
        <f>IFERROR(VLOOKUP(G1476,VOL_REC[],2,FALSE),0)</f>
        <v>3761786</v>
      </c>
      <c r="AX1476" s="246">
        <f>IFERROR(VLOOKUP(H1476,VOL_REC[],2,FALSE),0)</f>
        <v>240696.79238099116</v>
      </c>
      <c r="AY1476" s="246">
        <f>IFERROR(VLOOKUP(I1476,VOL_REC[],2,FALSE),0)</f>
        <v>663244.80000000016</v>
      </c>
      <c r="AZ1476" s="246">
        <f>IFERROR(VLOOKUP(J1476,VOL_REC[],2,FALSE),0)</f>
        <v>17074.045034105649</v>
      </c>
      <c r="BA1476" s="246">
        <f>IFERROR(VLOOKUP(K1476,VOL_REC[],2,FALSE),0)</f>
        <v>1072354.9981737854</v>
      </c>
      <c r="BB1476" s="246">
        <f>IFERROR(VLOOKUP(L1476,VOL_REC[],2,FALSE),0)</f>
        <v>740113.98115702497</v>
      </c>
      <c r="BC1476" s="246">
        <f>IFERROR(VLOOKUP(M1476,VOL_REC[],2,FALSE),0)</f>
        <v>0</v>
      </c>
      <c r="BD1476" s="246">
        <f>IFERROR(VLOOKUP(N1476,VOL_REC[],2,FALSE),0)</f>
        <v>0</v>
      </c>
      <c r="BE1476" s="246">
        <f>IFERROR(VLOOKUP(O1476,VOL_REC[],2,FALSE),0)</f>
        <v>0</v>
      </c>
      <c r="BF1476" s="246">
        <f>IFERROR(VLOOKUP(P1476,VOL_REC[],2,FALSE),0)</f>
        <v>0</v>
      </c>
      <c r="BG1476" s="246">
        <f>IFERROR(VLOOKUP(Q1476,VOL_REC[],2,FALSE),0)</f>
        <v>0</v>
      </c>
      <c r="BH1476" s="1710">
        <f t="shared" si="92"/>
        <v>23485282681.145954</v>
      </c>
      <c r="BI1476" s="1710">
        <f t="shared" si="93"/>
        <v>21552165337.553879</v>
      </c>
      <c r="BJ1476" s="1711">
        <f t="shared" si="94"/>
        <v>17584944.816745907</v>
      </c>
      <c r="BK1476" s="1711">
        <f t="shared" si="95"/>
        <v>1.0896948085408238</v>
      </c>
      <c r="BL1476">
        <f>BJ1476</f>
        <v>17584944.816745907</v>
      </c>
      <c r="BO1476">
        <f>BL1476</f>
        <v>17584944.816745907</v>
      </c>
    </row>
    <row r="1477" spans="3:67" x14ac:dyDescent="0.25">
      <c r="C1477" s="246" t="s">
        <v>2827</v>
      </c>
      <c r="D1477" s="246">
        <v>1</v>
      </c>
      <c r="E1477" s="246">
        <v>2</v>
      </c>
      <c r="F1477" s="246">
        <v>3</v>
      </c>
      <c r="G1477" s="246">
        <v>9</v>
      </c>
      <c r="H1477" s="246">
        <v>12</v>
      </c>
      <c r="I1477" s="246">
        <v>13</v>
      </c>
      <c r="J1477" s="246">
        <v>15</v>
      </c>
      <c r="K1477" s="246">
        <v>16</v>
      </c>
      <c r="L1477" s="246">
        <v>17</v>
      </c>
      <c r="M1477" s="246"/>
      <c r="N1477" s="246"/>
      <c r="O1477" s="246"/>
      <c r="P1477" s="246"/>
      <c r="Q1477" s="246"/>
      <c r="R1477" s="246">
        <f>IFERROR(VLOOKUP(D1477,PROGRAMAS[],2,FALSE),0)</f>
        <v>97037803.679377079</v>
      </c>
      <c r="S1477" s="246">
        <f>IFERROR(VLOOKUP(E1477,PROGRAMAS[],2,FALSE),0)</f>
        <v>640501509.6821388</v>
      </c>
      <c r="T1477" s="246">
        <f>IFERROR(VLOOKUP(F1477,PROGRAMAS[],2,FALSE),0)</f>
        <v>3062327798.1525245</v>
      </c>
      <c r="U1477" s="246">
        <f>IFERROR(VLOOKUP(G1477,PROGRAMAS[],2,FALSE),0)</f>
        <v>6128579952.1618185</v>
      </c>
      <c r="V1477" s="246">
        <f>IFERROR(VLOOKUP(H1477,PROGRAMAS[],2,FALSE),0)</f>
        <v>764796700.79905891</v>
      </c>
      <c r="W1477" s="246">
        <f>IFERROR(VLOOKUP(I1477,PROGRAMAS[],2,FALSE),0)</f>
        <v>3776538594.4604583</v>
      </c>
      <c r="X1477" s="246">
        <f>IFERROR(VLOOKUP(J1477,PROGRAMAS[],2,FALSE),0)</f>
        <v>122159672.96346797</v>
      </c>
      <c r="Y1477" s="246">
        <f>IFERROR(VLOOKUP(K1477,PROGRAMAS[],2,FALSE),0)</f>
        <v>7068496961.0436354</v>
      </c>
      <c r="Z1477" s="246">
        <f>IFERROR(VLOOKUP(L1477,PROGRAMAS[],2,FALSE),0)</f>
        <v>1892779498.5211046</v>
      </c>
      <c r="AA1477" s="246">
        <f>IFERROR(VLOOKUP(M1477,PROGRAMAS[],2,FALSE),0)</f>
        <v>0</v>
      </c>
      <c r="AB1477" s="246">
        <f>IFERROR(VLOOKUP(N1477,PROGRAMAS[],2,FALSE),0)</f>
        <v>0</v>
      </c>
      <c r="AC1477" s="246">
        <f>IFERROR(VLOOKUP(O1477,PROGRAMAS[],2,FALSE),0)</f>
        <v>0</v>
      </c>
      <c r="AD1477" s="246">
        <f>IFERROR(VLOOKUP(P1477,PROGRAMAS[],2,FALSE),0)</f>
        <v>0</v>
      </c>
      <c r="AE1477" s="246">
        <f>IFERROR(VLOOKUP(Q1477,PROGRAMAS[],2,FALSE),0)</f>
        <v>0</v>
      </c>
      <c r="AF1477" s="246">
        <f>IFERROR(VLOOKUP(D1477,PROGRAMAS[],3,FALSE),0)</f>
        <v>841888629.31080008</v>
      </c>
      <c r="AG1477" s="246">
        <f>IFERROR(VLOOKUP(E1477,PROGRAMAS[],3,FALSE),0)</f>
        <v>3848980803.1642323</v>
      </c>
      <c r="AH1477" s="246">
        <f>IFERROR(VLOOKUP(F1477,PROGRAMAS[],3,FALSE),0)</f>
        <v>3394901471.387517</v>
      </c>
      <c r="AI1477" s="246">
        <f>IFERROR(VLOOKUP(G1477,PROGRAMAS[],3,FALSE),0)</f>
        <v>7011279577.519702</v>
      </c>
      <c r="AJ1477" s="246">
        <f>IFERROR(VLOOKUP(H1477,PROGRAMAS[],3,FALSE),0)</f>
        <v>675517840.109828</v>
      </c>
      <c r="AK1477" s="246">
        <f>IFERROR(VLOOKUP(I1477,PROGRAMAS[],3,FALSE),0)</f>
        <v>2392571243.5584412</v>
      </c>
      <c r="AL1477" s="246">
        <f>IFERROR(VLOOKUP(J1477,PROGRAMAS[],3,FALSE),0)</f>
        <v>118617452.52510804</v>
      </c>
      <c r="AM1477" s="246">
        <f>IFERROR(VLOOKUP(K1477,PROGRAMAS[],3,FALSE),0)</f>
        <v>2406564599.0319901</v>
      </c>
      <c r="AN1477" s="246">
        <f>IFERROR(VLOOKUP(L1477,PROGRAMAS[],3,FALSE),0)</f>
        <v>948595847.09039903</v>
      </c>
      <c r="AO1477" s="246">
        <f>IFERROR(VLOOKUP(M1477,PROGRAMAS[],3,FALSE),0)</f>
        <v>0</v>
      </c>
      <c r="AP1477" s="246">
        <f>IFERROR(VLOOKUP(N1477,PROGRAMAS[],3,FALSE),0)</f>
        <v>0</v>
      </c>
      <c r="AQ1477" s="246">
        <f>IFERROR(VLOOKUP(O1477,PROGRAMAS[],3,FALSE),0)</f>
        <v>0</v>
      </c>
      <c r="AR1477" s="246">
        <f>IFERROR(VLOOKUP(P1477,PROGRAMAS[],3,FALSE),0)</f>
        <v>0</v>
      </c>
      <c r="AS1477" s="246">
        <f>IFERROR(VLOOKUP(Q1477,PROGRAMAS[],3,FALSE),0)</f>
        <v>0</v>
      </c>
      <c r="AT1477" s="246">
        <f>IFERROR(VLOOKUP(D1477,VOL_REC[],2,FALSE),0)</f>
        <v>0</v>
      </c>
      <c r="AU1477" s="246">
        <f>IFERROR(VLOOKUP(E1477,VOL_REC[],2,FALSE),0)</f>
        <v>0</v>
      </c>
      <c r="AV1477" s="246">
        <f>IFERROR(VLOOKUP(F1477,VOL_REC[],2,FALSE),0)</f>
        <v>11089674.200000001</v>
      </c>
      <c r="AW1477" s="246">
        <f>IFERROR(VLOOKUP(G1477,VOL_REC[],2,FALSE),0)</f>
        <v>3761786</v>
      </c>
      <c r="AX1477" s="246">
        <f>IFERROR(VLOOKUP(H1477,VOL_REC[],2,FALSE),0)</f>
        <v>240696.79238099116</v>
      </c>
      <c r="AY1477" s="246">
        <f>IFERROR(VLOOKUP(I1477,VOL_REC[],2,FALSE),0)</f>
        <v>663244.80000000016</v>
      </c>
      <c r="AZ1477" s="246">
        <f>IFERROR(VLOOKUP(J1477,VOL_REC[],2,FALSE),0)</f>
        <v>105072</v>
      </c>
      <c r="BA1477" s="246">
        <f>IFERROR(VLOOKUP(K1477,VOL_REC[],2,FALSE),0)</f>
        <v>1072354.9981737854</v>
      </c>
      <c r="BB1477" s="246">
        <f>IFERROR(VLOOKUP(L1477,VOL_REC[],2,FALSE),0)</f>
        <v>740113.98115702497</v>
      </c>
      <c r="BC1477" s="246">
        <f>IFERROR(VLOOKUP(M1477,VOL_REC[],2,FALSE),0)</f>
        <v>0</v>
      </c>
      <c r="BD1477" s="246">
        <f>IFERROR(VLOOKUP(N1477,VOL_REC[],2,FALSE),0)</f>
        <v>0</v>
      </c>
      <c r="BE1477" s="246">
        <f>IFERROR(VLOOKUP(O1477,VOL_REC[],2,FALSE),0)</f>
        <v>0</v>
      </c>
      <c r="BF1477" s="246">
        <f>IFERROR(VLOOKUP(P1477,VOL_REC[],2,FALSE),0)</f>
        <v>0</v>
      </c>
      <c r="BG1477" s="246">
        <f>IFERROR(VLOOKUP(Q1477,VOL_REC[],2,FALSE),0)</f>
        <v>0</v>
      </c>
      <c r="BH1477" s="1710">
        <f t="shared" si="92"/>
        <v>23553218491.463585</v>
      </c>
      <c r="BI1477" s="1710">
        <f t="shared" si="93"/>
        <v>21638917463.698021</v>
      </c>
      <c r="BJ1477" s="1711">
        <f t="shared" si="94"/>
        <v>17672942.7717118</v>
      </c>
      <c r="BK1477" s="1711">
        <f t="shared" si="95"/>
        <v>1.088465655963476</v>
      </c>
      <c r="BL1477">
        <f>BJ1477</f>
        <v>17672942.7717118</v>
      </c>
      <c r="BO1477">
        <f>BL1477</f>
        <v>17672942.7717118</v>
      </c>
    </row>
    <row r="1478" spans="3:67" x14ac:dyDescent="0.25">
      <c r="C1478" s="246" t="s">
        <v>2828</v>
      </c>
      <c r="D1478" s="246">
        <v>1</v>
      </c>
      <c r="E1478" s="246">
        <v>2</v>
      </c>
      <c r="F1478" s="246">
        <v>3</v>
      </c>
      <c r="G1478" s="246">
        <v>9</v>
      </c>
      <c r="H1478" s="246">
        <v>12</v>
      </c>
      <c r="I1478" s="246">
        <v>14</v>
      </c>
      <c r="J1478" s="246">
        <v>15</v>
      </c>
      <c r="K1478" s="246">
        <v>16</v>
      </c>
      <c r="L1478" s="246">
        <v>17</v>
      </c>
      <c r="M1478" s="246"/>
      <c r="N1478" s="246"/>
      <c r="O1478" s="246"/>
      <c r="P1478" s="246"/>
      <c r="Q1478" s="246"/>
      <c r="R1478" s="246">
        <f>IFERROR(VLOOKUP(D1478,PROGRAMAS[],2,FALSE),0)</f>
        <v>97037803.679377079</v>
      </c>
      <c r="S1478" s="246">
        <f>IFERROR(VLOOKUP(E1478,PROGRAMAS[],2,FALSE),0)</f>
        <v>640501509.6821388</v>
      </c>
      <c r="T1478" s="246">
        <f>IFERROR(VLOOKUP(F1478,PROGRAMAS[],2,FALSE),0)</f>
        <v>3062327798.1525245</v>
      </c>
      <c r="U1478" s="246">
        <f>IFERROR(VLOOKUP(G1478,PROGRAMAS[],2,FALSE),0)</f>
        <v>6128579952.1618185</v>
      </c>
      <c r="V1478" s="246">
        <f>IFERROR(VLOOKUP(H1478,PROGRAMAS[],2,FALSE),0)</f>
        <v>764796700.79905891</v>
      </c>
      <c r="W1478" s="246">
        <f>IFERROR(VLOOKUP(I1478,PROGRAMAS[],2,FALSE),0)</f>
        <v>54223862.645839565</v>
      </c>
      <c r="X1478" s="246">
        <f>IFERROR(VLOOKUP(J1478,PROGRAMAS[],2,FALSE),0)</f>
        <v>122159672.96346797</v>
      </c>
      <c r="Y1478" s="246">
        <f>IFERROR(VLOOKUP(K1478,PROGRAMAS[],2,FALSE),0)</f>
        <v>7068496961.0436354</v>
      </c>
      <c r="Z1478" s="246">
        <f>IFERROR(VLOOKUP(L1478,PROGRAMAS[],2,FALSE),0)</f>
        <v>1892779498.5211046</v>
      </c>
      <c r="AA1478" s="246">
        <f>IFERROR(VLOOKUP(M1478,PROGRAMAS[],2,FALSE),0)</f>
        <v>0</v>
      </c>
      <c r="AB1478" s="246">
        <f>IFERROR(VLOOKUP(N1478,PROGRAMAS[],2,FALSE),0)</f>
        <v>0</v>
      </c>
      <c r="AC1478" s="246">
        <f>IFERROR(VLOOKUP(O1478,PROGRAMAS[],2,FALSE),0)</f>
        <v>0</v>
      </c>
      <c r="AD1478" s="246">
        <f>IFERROR(VLOOKUP(P1478,PROGRAMAS[],2,FALSE),0)</f>
        <v>0</v>
      </c>
      <c r="AE1478" s="246">
        <f>IFERROR(VLOOKUP(Q1478,PROGRAMAS[],2,FALSE),0)</f>
        <v>0</v>
      </c>
      <c r="AF1478" s="246">
        <f>IFERROR(VLOOKUP(D1478,PROGRAMAS[],3,FALSE),0)</f>
        <v>841888629.31080008</v>
      </c>
      <c r="AG1478" s="246">
        <f>IFERROR(VLOOKUP(E1478,PROGRAMAS[],3,FALSE),0)</f>
        <v>3848980803.1642323</v>
      </c>
      <c r="AH1478" s="246">
        <f>IFERROR(VLOOKUP(F1478,PROGRAMAS[],3,FALSE),0)</f>
        <v>3394901471.387517</v>
      </c>
      <c r="AI1478" s="246">
        <f>IFERROR(VLOOKUP(G1478,PROGRAMAS[],3,FALSE),0)</f>
        <v>7011279577.519702</v>
      </c>
      <c r="AJ1478" s="246">
        <f>IFERROR(VLOOKUP(H1478,PROGRAMAS[],3,FALSE),0)</f>
        <v>675517840.109828</v>
      </c>
      <c r="AK1478" s="246">
        <f>IFERROR(VLOOKUP(I1478,PROGRAMAS[],3,FALSE),0)</f>
        <v>31865326.38096505</v>
      </c>
      <c r="AL1478" s="246">
        <f>IFERROR(VLOOKUP(J1478,PROGRAMAS[],3,FALSE),0)</f>
        <v>118617452.52510804</v>
      </c>
      <c r="AM1478" s="246">
        <f>IFERROR(VLOOKUP(K1478,PROGRAMAS[],3,FALSE),0)</f>
        <v>2406564599.0319901</v>
      </c>
      <c r="AN1478" s="246">
        <f>IFERROR(VLOOKUP(L1478,PROGRAMAS[],3,FALSE),0)</f>
        <v>948595847.09039903</v>
      </c>
      <c r="AO1478" s="246">
        <f>IFERROR(VLOOKUP(M1478,PROGRAMAS[],3,FALSE),0)</f>
        <v>0</v>
      </c>
      <c r="AP1478" s="246">
        <f>IFERROR(VLOOKUP(N1478,PROGRAMAS[],3,FALSE),0)</f>
        <v>0</v>
      </c>
      <c r="AQ1478" s="246">
        <f>IFERROR(VLOOKUP(O1478,PROGRAMAS[],3,FALSE),0)</f>
        <v>0</v>
      </c>
      <c r="AR1478" s="246">
        <f>IFERROR(VLOOKUP(P1478,PROGRAMAS[],3,FALSE),0)</f>
        <v>0</v>
      </c>
      <c r="AS1478" s="246">
        <f>IFERROR(VLOOKUP(Q1478,PROGRAMAS[],3,FALSE),0)</f>
        <v>0</v>
      </c>
      <c r="AT1478" s="246">
        <f>IFERROR(VLOOKUP(D1478,VOL_REC[],2,FALSE),0)</f>
        <v>0</v>
      </c>
      <c r="AU1478" s="246">
        <f>IFERROR(VLOOKUP(E1478,VOL_REC[],2,FALSE),0)</f>
        <v>0</v>
      </c>
      <c r="AV1478" s="246">
        <f>IFERROR(VLOOKUP(F1478,VOL_REC[],2,FALSE),0)</f>
        <v>11089674.200000001</v>
      </c>
      <c r="AW1478" s="246">
        <f>IFERROR(VLOOKUP(G1478,VOL_REC[],2,FALSE),0)</f>
        <v>3761786</v>
      </c>
      <c r="AX1478" s="246">
        <f>IFERROR(VLOOKUP(H1478,VOL_REC[],2,FALSE),0)</f>
        <v>240696.79238099116</v>
      </c>
      <c r="AY1478" s="246">
        <f>IFERROR(VLOOKUP(I1478,VOL_REC[],2,FALSE),0)</f>
        <v>17074.045034105649</v>
      </c>
      <c r="AZ1478" s="246">
        <f>IFERROR(VLOOKUP(J1478,VOL_REC[],2,FALSE),0)</f>
        <v>105072</v>
      </c>
      <c r="BA1478" s="246">
        <f>IFERROR(VLOOKUP(K1478,VOL_REC[],2,FALSE),0)</f>
        <v>1072354.9981737854</v>
      </c>
      <c r="BB1478" s="246">
        <f>IFERROR(VLOOKUP(L1478,VOL_REC[],2,FALSE),0)</f>
        <v>740113.98115702497</v>
      </c>
      <c r="BC1478" s="246">
        <f>IFERROR(VLOOKUP(M1478,VOL_REC[],2,FALSE),0)</f>
        <v>0</v>
      </c>
      <c r="BD1478" s="246">
        <f>IFERROR(VLOOKUP(N1478,VOL_REC[],2,FALSE),0)</f>
        <v>0</v>
      </c>
      <c r="BE1478" s="246">
        <f>IFERROR(VLOOKUP(O1478,VOL_REC[],2,FALSE),0)</f>
        <v>0</v>
      </c>
      <c r="BF1478" s="246">
        <f>IFERROR(VLOOKUP(P1478,VOL_REC[],2,FALSE),0)</f>
        <v>0</v>
      </c>
      <c r="BG1478" s="246">
        <f>IFERROR(VLOOKUP(Q1478,VOL_REC[],2,FALSE),0)</f>
        <v>0</v>
      </c>
      <c r="BH1478" s="1710">
        <f t="shared" si="92"/>
        <v>19830903759.648964</v>
      </c>
      <c r="BI1478" s="1710">
        <f t="shared" si="93"/>
        <v>19278211546.520546</v>
      </c>
      <c r="BJ1478" s="1711">
        <f t="shared" si="94"/>
        <v>17026772.016745906</v>
      </c>
      <c r="BK1478" s="1711">
        <f t="shared" si="95"/>
        <v>1.0286692679865406</v>
      </c>
      <c r="BL1478">
        <f>BJ1478</f>
        <v>17026772.016745906</v>
      </c>
      <c r="BO1478">
        <f>BL1478</f>
        <v>17026772.016745906</v>
      </c>
    </row>
    <row r="1479" spans="3:67" x14ac:dyDescent="0.25">
      <c r="C1479" s="246" t="s">
        <v>2829</v>
      </c>
      <c r="D1479" s="246">
        <v>1</v>
      </c>
      <c r="E1479" s="246">
        <v>2</v>
      </c>
      <c r="F1479" s="246">
        <v>3</v>
      </c>
      <c r="G1479" s="246">
        <v>9</v>
      </c>
      <c r="H1479" s="246">
        <v>13</v>
      </c>
      <c r="I1479" s="246">
        <v>14</v>
      </c>
      <c r="J1479" s="246">
        <v>15</v>
      </c>
      <c r="K1479" s="246">
        <v>16</v>
      </c>
      <c r="L1479" s="246">
        <v>17</v>
      </c>
      <c r="M1479" s="246"/>
      <c r="N1479" s="246"/>
      <c r="O1479" s="246"/>
      <c r="P1479" s="246"/>
      <c r="Q1479" s="246"/>
      <c r="R1479" s="246">
        <f>IFERROR(VLOOKUP(D1479,PROGRAMAS[],2,FALSE),0)</f>
        <v>97037803.679377079</v>
      </c>
      <c r="S1479" s="246">
        <f>IFERROR(VLOOKUP(E1479,PROGRAMAS[],2,FALSE),0)</f>
        <v>640501509.6821388</v>
      </c>
      <c r="T1479" s="246">
        <f>IFERROR(VLOOKUP(F1479,PROGRAMAS[],2,FALSE),0)</f>
        <v>3062327798.1525245</v>
      </c>
      <c r="U1479" s="246">
        <f>IFERROR(VLOOKUP(G1479,PROGRAMAS[],2,FALSE),0)</f>
        <v>6128579952.1618185</v>
      </c>
      <c r="V1479" s="246">
        <f>IFERROR(VLOOKUP(H1479,PROGRAMAS[],2,FALSE),0)</f>
        <v>3776538594.4604583</v>
      </c>
      <c r="W1479" s="246">
        <f>IFERROR(VLOOKUP(I1479,PROGRAMAS[],2,FALSE),0)</f>
        <v>54223862.645839565</v>
      </c>
      <c r="X1479" s="246">
        <f>IFERROR(VLOOKUP(J1479,PROGRAMAS[],2,FALSE),0)</f>
        <v>122159672.96346797</v>
      </c>
      <c r="Y1479" s="246">
        <f>IFERROR(VLOOKUP(K1479,PROGRAMAS[],2,FALSE),0)</f>
        <v>7068496961.0436354</v>
      </c>
      <c r="Z1479" s="246">
        <f>IFERROR(VLOOKUP(L1479,PROGRAMAS[],2,FALSE),0)</f>
        <v>1892779498.5211046</v>
      </c>
      <c r="AA1479" s="246">
        <f>IFERROR(VLOOKUP(M1479,PROGRAMAS[],2,FALSE),0)</f>
        <v>0</v>
      </c>
      <c r="AB1479" s="246">
        <f>IFERROR(VLOOKUP(N1479,PROGRAMAS[],2,FALSE),0)</f>
        <v>0</v>
      </c>
      <c r="AC1479" s="246">
        <f>IFERROR(VLOOKUP(O1479,PROGRAMAS[],2,FALSE),0)</f>
        <v>0</v>
      </c>
      <c r="AD1479" s="246">
        <f>IFERROR(VLOOKUP(P1479,PROGRAMAS[],2,FALSE),0)</f>
        <v>0</v>
      </c>
      <c r="AE1479" s="246">
        <f>IFERROR(VLOOKUP(Q1479,PROGRAMAS[],2,FALSE),0)</f>
        <v>0</v>
      </c>
      <c r="AF1479" s="246">
        <f>IFERROR(VLOOKUP(D1479,PROGRAMAS[],3,FALSE),0)</f>
        <v>841888629.31080008</v>
      </c>
      <c r="AG1479" s="246">
        <f>IFERROR(VLOOKUP(E1479,PROGRAMAS[],3,FALSE),0)</f>
        <v>3848980803.1642323</v>
      </c>
      <c r="AH1479" s="246">
        <f>IFERROR(VLOOKUP(F1479,PROGRAMAS[],3,FALSE),0)</f>
        <v>3394901471.387517</v>
      </c>
      <c r="AI1479" s="246">
        <f>IFERROR(VLOOKUP(G1479,PROGRAMAS[],3,FALSE),0)</f>
        <v>7011279577.519702</v>
      </c>
      <c r="AJ1479" s="246">
        <f>IFERROR(VLOOKUP(H1479,PROGRAMAS[],3,FALSE),0)</f>
        <v>2392571243.5584412</v>
      </c>
      <c r="AK1479" s="246">
        <f>IFERROR(VLOOKUP(I1479,PROGRAMAS[],3,FALSE),0)</f>
        <v>31865326.38096505</v>
      </c>
      <c r="AL1479" s="246">
        <f>IFERROR(VLOOKUP(J1479,PROGRAMAS[],3,FALSE),0)</f>
        <v>118617452.52510804</v>
      </c>
      <c r="AM1479" s="246">
        <f>IFERROR(VLOOKUP(K1479,PROGRAMAS[],3,FALSE),0)</f>
        <v>2406564599.0319901</v>
      </c>
      <c r="AN1479" s="246">
        <f>IFERROR(VLOOKUP(L1479,PROGRAMAS[],3,FALSE),0)</f>
        <v>948595847.09039903</v>
      </c>
      <c r="AO1479" s="246">
        <f>IFERROR(VLOOKUP(M1479,PROGRAMAS[],3,FALSE),0)</f>
        <v>0</v>
      </c>
      <c r="AP1479" s="246">
        <f>IFERROR(VLOOKUP(N1479,PROGRAMAS[],3,FALSE),0)</f>
        <v>0</v>
      </c>
      <c r="AQ1479" s="246">
        <f>IFERROR(VLOOKUP(O1479,PROGRAMAS[],3,FALSE),0)</f>
        <v>0</v>
      </c>
      <c r="AR1479" s="246">
        <f>IFERROR(VLOOKUP(P1479,PROGRAMAS[],3,FALSE),0)</f>
        <v>0</v>
      </c>
      <c r="AS1479" s="246">
        <f>IFERROR(VLOOKUP(Q1479,PROGRAMAS[],3,FALSE),0)</f>
        <v>0</v>
      </c>
      <c r="AT1479" s="246">
        <f>IFERROR(VLOOKUP(D1479,VOL_REC[],2,FALSE),0)</f>
        <v>0</v>
      </c>
      <c r="AU1479" s="246">
        <f>IFERROR(VLOOKUP(E1479,VOL_REC[],2,FALSE),0)</f>
        <v>0</v>
      </c>
      <c r="AV1479" s="246">
        <f>IFERROR(VLOOKUP(F1479,VOL_REC[],2,FALSE),0)</f>
        <v>11089674.200000001</v>
      </c>
      <c r="AW1479" s="246">
        <f>IFERROR(VLOOKUP(G1479,VOL_REC[],2,FALSE),0)</f>
        <v>3761786</v>
      </c>
      <c r="AX1479" s="246">
        <f>IFERROR(VLOOKUP(H1479,VOL_REC[],2,FALSE),0)</f>
        <v>663244.80000000016</v>
      </c>
      <c r="AY1479" s="246">
        <f>IFERROR(VLOOKUP(I1479,VOL_REC[],2,FALSE),0)</f>
        <v>17074.045034105649</v>
      </c>
      <c r="AZ1479" s="246">
        <f>IFERROR(VLOOKUP(J1479,VOL_REC[],2,FALSE),0)</f>
        <v>105072</v>
      </c>
      <c r="BA1479" s="246">
        <f>IFERROR(VLOOKUP(K1479,VOL_REC[],2,FALSE),0)</f>
        <v>1072354.9981737854</v>
      </c>
      <c r="BB1479" s="246">
        <f>IFERROR(VLOOKUP(L1479,VOL_REC[],2,FALSE),0)</f>
        <v>740113.98115702497</v>
      </c>
      <c r="BC1479" s="246">
        <f>IFERROR(VLOOKUP(M1479,VOL_REC[],2,FALSE),0)</f>
        <v>0</v>
      </c>
      <c r="BD1479" s="246">
        <f>IFERROR(VLOOKUP(N1479,VOL_REC[],2,FALSE),0)</f>
        <v>0</v>
      </c>
      <c r="BE1479" s="246">
        <f>IFERROR(VLOOKUP(O1479,VOL_REC[],2,FALSE),0)</f>
        <v>0</v>
      </c>
      <c r="BF1479" s="246">
        <f>IFERROR(VLOOKUP(P1479,VOL_REC[],2,FALSE),0)</f>
        <v>0</v>
      </c>
      <c r="BG1479" s="246">
        <f>IFERROR(VLOOKUP(Q1479,VOL_REC[],2,FALSE),0)</f>
        <v>0</v>
      </c>
      <c r="BH1479" s="1710">
        <f t="shared" si="92"/>
        <v>22842645653.310364</v>
      </c>
      <c r="BI1479" s="1710">
        <f t="shared" si="93"/>
        <v>20995264949.969158</v>
      </c>
      <c r="BJ1479" s="1711">
        <f t="shared" si="94"/>
        <v>17449320.024364915</v>
      </c>
      <c r="BK1479" s="1711">
        <f t="shared" si="95"/>
        <v>1.0879903496213759</v>
      </c>
      <c r="BL1479">
        <f>BJ1479</f>
        <v>17449320.024364915</v>
      </c>
      <c r="BO1479">
        <f>BL1479</f>
        <v>17449320.024364915</v>
      </c>
    </row>
    <row r="1480" spans="3:67" x14ac:dyDescent="0.25">
      <c r="C1480" s="246" t="s">
        <v>2830</v>
      </c>
      <c r="D1480" s="246">
        <v>1</v>
      </c>
      <c r="E1480" s="246">
        <v>2</v>
      </c>
      <c r="F1480" s="246">
        <v>3</v>
      </c>
      <c r="G1480" s="246">
        <v>10</v>
      </c>
      <c r="H1480" s="246">
        <v>12</v>
      </c>
      <c r="I1480" s="246">
        <v>13</v>
      </c>
      <c r="J1480" s="246">
        <v>14</v>
      </c>
      <c r="K1480" s="246">
        <v>15</v>
      </c>
      <c r="L1480" s="246">
        <v>16</v>
      </c>
      <c r="M1480" s="246"/>
      <c r="N1480" s="246"/>
      <c r="O1480" s="246"/>
      <c r="P1480" s="246"/>
      <c r="Q1480" s="246"/>
      <c r="R1480" s="246">
        <f>IFERROR(VLOOKUP(D1480,PROGRAMAS[],2,FALSE),0)</f>
        <v>97037803.679377079</v>
      </c>
      <c r="S1480" s="246">
        <f>IFERROR(VLOOKUP(E1480,PROGRAMAS[],2,FALSE),0)</f>
        <v>640501509.6821388</v>
      </c>
      <c r="T1480" s="246">
        <f>IFERROR(VLOOKUP(F1480,PROGRAMAS[],2,FALSE),0)</f>
        <v>3062327798.1525245</v>
      </c>
      <c r="U1480" s="246">
        <f>IFERROR(VLOOKUP(G1480,PROGRAMAS[],2,FALSE),0)</f>
        <v>4635315027.8751087</v>
      </c>
      <c r="V1480" s="246">
        <f>IFERROR(VLOOKUP(H1480,PROGRAMAS[],2,FALSE),0)</f>
        <v>764796700.79905891</v>
      </c>
      <c r="W1480" s="246">
        <f>IFERROR(VLOOKUP(I1480,PROGRAMAS[],2,FALSE),0)</f>
        <v>3776538594.4604583</v>
      </c>
      <c r="X1480" s="246">
        <f>IFERROR(VLOOKUP(J1480,PROGRAMAS[],2,FALSE),0)</f>
        <v>54223862.645839565</v>
      </c>
      <c r="Y1480" s="246">
        <f>IFERROR(VLOOKUP(K1480,PROGRAMAS[],2,FALSE),0)</f>
        <v>122159672.96346797</v>
      </c>
      <c r="Z1480" s="246">
        <f>IFERROR(VLOOKUP(L1480,PROGRAMAS[],2,FALSE),0)</f>
        <v>7068496961.0436354</v>
      </c>
      <c r="AA1480" s="246">
        <f>IFERROR(VLOOKUP(M1480,PROGRAMAS[],2,FALSE),0)</f>
        <v>0</v>
      </c>
      <c r="AB1480" s="246">
        <f>IFERROR(VLOOKUP(N1480,PROGRAMAS[],2,FALSE),0)</f>
        <v>0</v>
      </c>
      <c r="AC1480" s="246">
        <f>IFERROR(VLOOKUP(O1480,PROGRAMAS[],2,FALSE),0)</f>
        <v>0</v>
      </c>
      <c r="AD1480" s="246">
        <f>IFERROR(VLOOKUP(P1480,PROGRAMAS[],2,FALSE),0)</f>
        <v>0</v>
      </c>
      <c r="AE1480" s="246">
        <f>IFERROR(VLOOKUP(Q1480,PROGRAMAS[],2,FALSE),0)</f>
        <v>0</v>
      </c>
      <c r="AF1480" s="246">
        <f>IFERROR(VLOOKUP(D1480,PROGRAMAS[],3,FALSE),0)</f>
        <v>841888629.31080008</v>
      </c>
      <c r="AG1480" s="246">
        <f>IFERROR(VLOOKUP(E1480,PROGRAMAS[],3,FALSE),0)</f>
        <v>3848980803.1642323</v>
      </c>
      <c r="AH1480" s="246">
        <f>IFERROR(VLOOKUP(F1480,PROGRAMAS[],3,FALSE),0)</f>
        <v>3394901471.387517</v>
      </c>
      <c r="AI1480" s="246">
        <f>IFERROR(VLOOKUP(G1480,PROGRAMAS[],3,FALSE),0)</f>
        <v>4099471734.9978786</v>
      </c>
      <c r="AJ1480" s="246">
        <f>IFERROR(VLOOKUP(H1480,PROGRAMAS[],3,FALSE),0)</f>
        <v>675517840.109828</v>
      </c>
      <c r="AK1480" s="246">
        <f>IFERROR(VLOOKUP(I1480,PROGRAMAS[],3,FALSE),0)</f>
        <v>2392571243.5584412</v>
      </c>
      <c r="AL1480" s="246">
        <f>IFERROR(VLOOKUP(J1480,PROGRAMAS[],3,FALSE),0)</f>
        <v>31865326.38096505</v>
      </c>
      <c r="AM1480" s="246">
        <f>IFERROR(VLOOKUP(K1480,PROGRAMAS[],3,FALSE),0)</f>
        <v>118617452.52510804</v>
      </c>
      <c r="AN1480" s="246">
        <f>IFERROR(VLOOKUP(L1480,PROGRAMAS[],3,FALSE),0)</f>
        <v>2406564599.0319901</v>
      </c>
      <c r="AO1480" s="246">
        <f>IFERROR(VLOOKUP(M1480,PROGRAMAS[],3,FALSE),0)</f>
        <v>0</v>
      </c>
      <c r="AP1480" s="246">
        <f>IFERROR(VLOOKUP(N1480,PROGRAMAS[],3,FALSE),0)</f>
        <v>0</v>
      </c>
      <c r="AQ1480" s="246">
        <f>IFERROR(VLOOKUP(O1480,PROGRAMAS[],3,FALSE),0)</f>
        <v>0</v>
      </c>
      <c r="AR1480" s="246">
        <f>IFERROR(VLOOKUP(P1480,PROGRAMAS[],3,FALSE),0)</f>
        <v>0</v>
      </c>
      <c r="AS1480" s="246">
        <f>IFERROR(VLOOKUP(Q1480,PROGRAMAS[],3,FALSE),0)</f>
        <v>0</v>
      </c>
      <c r="AT1480" s="246">
        <f>IFERROR(VLOOKUP(D1480,VOL_REC[],2,FALSE),0)</f>
        <v>0</v>
      </c>
      <c r="AU1480" s="246">
        <f>IFERROR(VLOOKUP(E1480,VOL_REC[],2,FALSE),0)</f>
        <v>0</v>
      </c>
      <c r="AV1480" s="246">
        <f>IFERROR(VLOOKUP(F1480,VOL_REC[],2,FALSE),0)</f>
        <v>11089674.200000001</v>
      </c>
      <c r="AW1480" s="246">
        <f>IFERROR(VLOOKUP(G1480,VOL_REC[],2,FALSE),0)</f>
        <v>1812240</v>
      </c>
      <c r="AX1480" s="246">
        <f>IFERROR(VLOOKUP(H1480,VOL_REC[],2,FALSE),0)</f>
        <v>240696.79238099116</v>
      </c>
      <c r="AY1480" s="246">
        <f>IFERROR(VLOOKUP(I1480,VOL_REC[],2,FALSE),0)</f>
        <v>663244.80000000016</v>
      </c>
      <c r="AZ1480" s="246">
        <f>IFERROR(VLOOKUP(J1480,VOL_REC[],2,FALSE),0)</f>
        <v>17074.045034105649</v>
      </c>
      <c r="BA1480" s="246">
        <f>IFERROR(VLOOKUP(K1480,VOL_REC[],2,FALSE),0)</f>
        <v>105072</v>
      </c>
      <c r="BB1480" s="246">
        <f>IFERROR(VLOOKUP(L1480,VOL_REC[],2,FALSE),0)</f>
        <v>1072354.9981737854</v>
      </c>
      <c r="BC1480" s="246">
        <f>IFERROR(VLOOKUP(M1480,VOL_REC[],2,FALSE),0)</f>
        <v>0</v>
      </c>
      <c r="BD1480" s="246">
        <f>IFERROR(VLOOKUP(N1480,VOL_REC[],2,FALSE),0)</f>
        <v>0</v>
      </c>
      <c r="BE1480" s="246">
        <f>IFERROR(VLOOKUP(O1480,VOL_REC[],2,FALSE),0)</f>
        <v>0</v>
      </c>
      <c r="BF1480" s="246">
        <f>IFERROR(VLOOKUP(P1480,VOL_REC[],2,FALSE),0)</f>
        <v>0</v>
      </c>
      <c r="BG1480" s="246">
        <f>IFERROR(VLOOKUP(Q1480,VOL_REC[],2,FALSE),0)</f>
        <v>0</v>
      </c>
      <c r="BH1480" s="1710">
        <f t="shared" si="92"/>
        <v>20221397931.301609</v>
      </c>
      <c r="BI1480" s="1710">
        <f t="shared" si="93"/>
        <v>17810379100.466759</v>
      </c>
      <c r="BJ1480" s="1711">
        <f t="shared" si="94"/>
        <v>15000356.835588884</v>
      </c>
      <c r="BK1480" s="1711">
        <f t="shared" si="95"/>
        <v>1.1353715615616327</v>
      </c>
      <c r="BL1480">
        <f>BJ1480</f>
        <v>15000356.835588884</v>
      </c>
      <c r="BO1480">
        <f>BL1480</f>
        <v>15000356.835588884</v>
      </c>
    </row>
    <row r="1481" spans="3:67" x14ac:dyDescent="0.25">
      <c r="C1481" s="246" t="s">
        <v>2831</v>
      </c>
      <c r="D1481" s="246">
        <v>1</v>
      </c>
      <c r="E1481" s="246">
        <v>2</v>
      </c>
      <c r="F1481" s="246">
        <v>3</v>
      </c>
      <c r="G1481" s="246">
        <v>10</v>
      </c>
      <c r="H1481" s="246">
        <v>12</v>
      </c>
      <c r="I1481" s="246">
        <v>13</v>
      </c>
      <c r="J1481" s="246">
        <v>14</v>
      </c>
      <c r="K1481" s="246">
        <v>15</v>
      </c>
      <c r="L1481" s="246">
        <v>17</v>
      </c>
      <c r="M1481" s="246"/>
      <c r="N1481" s="246"/>
      <c r="O1481" s="246"/>
      <c r="P1481" s="246"/>
      <c r="Q1481" s="246"/>
      <c r="R1481" s="246">
        <f>IFERROR(VLOOKUP(D1481,PROGRAMAS[],2,FALSE),0)</f>
        <v>97037803.679377079</v>
      </c>
      <c r="S1481" s="246">
        <f>IFERROR(VLOOKUP(E1481,PROGRAMAS[],2,FALSE),0)</f>
        <v>640501509.6821388</v>
      </c>
      <c r="T1481" s="246">
        <f>IFERROR(VLOOKUP(F1481,PROGRAMAS[],2,FALSE),0)</f>
        <v>3062327798.1525245</v>
      </c>
      <c r="U1481" s="246">
        <f>IFERROR(VLOOKUP(G1481,PROGRAMAS[],2,FALSE),0)</f>
        <v>4635315027.8751087</v>
      </c>
      <c r="V1481" s="246">
        <f>IFERROR(VLOOKUP(H1481,PROGRAMAS[],2,FALSE),0)</f>
        <v>764796700.79905891</v>
      </c>
      <c r="W1481" s="246">
        <f>IFERROR(VLOOKUP(I1481,PROGRAMAS[],2,FALSE),0)</f>
        <v>3776538594.4604583</v>
      </c>
      <c r="X1481" s="246">
        <f>IFERROR(VLOOKUP(J1481,PROGRAMAS[],2,FALSE),0)</f>
        <v>54223862.645839565</v>
      </c>
      <c r="Y1481" s="246">
        <f>IFERROR(VLOOKUP(K1481,PROGRAMAS[],2,FALSE),0)</f>
        <v>122159672.96346797</v>
      </c>
      <c r="Z1481" s="246">
        <f>IFERROR(VLOOKUP(L1481,PROGRAMAS[],2,FALSE),0)</f>
        <v>1892779498.5211046</v>
      </c>
      <c r="AA1481" s="246">
        <f>IFERROR(VLOOKUP(M1481,PROGRAMAS[],2,FALSE),0)</f>
        <v>0</v>
      </c>
      <c r="AB1481" s="246">
        <f>IFERROR(VLOOKUP(N1481,PROGRAMAS[],2,FALSE),0)</f>
        <v>0</v>
      </c>
      <c r="AC1481" s="246">
        <f>IFERROR(VLOOKUP(O1481,PROGRAMAS[],2,FALSE),0)</f>
        <v>0</v>
      </c>
      <c r="AD1481" s="246">
        <f>IFERROR(VLOOKUP(P1481,PROGRAMAS[],2,FALSE),0)</f>
        <v>0</v>
      </c>
      <c r="AE1481" s="246">
        <f>IFERROR(VLOOKUP(Q1481,PROGRAMAS[],2,FALSE),0)</f>
        <v>0</v>
      </c>
      <c r="AF1481" s="246">
        <f>IFERROR(VLOOKUP(D1481,PROGRAMAS[],3,FALSE),0)</f>
        <v>841888629.31080008</v>
      </c>
      <c r="AG1481" s="246">
        <f>IFERROR(VLOOKUP(E1481,PROGRAMAS[],3,FALSE),0)</f>
        <v>3848980803.1642323</v>
      </c>
      <c r="AH1481" s="246">
        <f>IFERROR(VLOOKUP(F1481,PROGRAMAS[],3,FALSE),0)</f>
        <v>3394901471.387517</v>
      </c>
      <c r="AI1481" s="246">
        <f>IFERROR(VLOOKUP(G1481,PROGRAMAS[],3,FALSE),0)</f>
        <v>4099471734.9978786</v>
      </c>
      <c r="AJ1481" s="246">
        <f>IFERROR(VLOOKUP(H1481,PROGRAMAS[],3,FALSE),0)</f>
        <v>675517840.109828</v>
      </c>
      <c r="AK1481" s="246">
        <f>IFERROR(VLOOKUP(I1481,PROGRAMAS[],3,FALSE),0)</f>
        <v>2392571243.5584412</v>
      </c>
      <c r="AL1481" s="246">
        <f>IFERROR(VLOOKUP(J1481,PROGRAMAS[],3,FALSE),0)</f>
        <v>31865326.38096505</v>
      </c>
      <c r="AM1481" s="246">
        <f>IFERROR(VLOOKUP(K1481,PROGRAMAS[],3,FALSE),0)</f>
        <v>118617452.52510804</v>
      </c>
      <c r="AN1481" s="246">
        <f>IFERROR(VLOOKUP(L1481,PROGRAMAS[],3,FALSE),0)</f>
        <v>948595847.09039903</v>
      </c>
      <c r="AO1481" s="246">
        <f>IFERROR(VLOOKUP(M1481,PROGRAMAS[],3,FALSE),0)</f>
        <v>0</v>
      </c>
      <c r="AP1481" s="246">
        <f>IFERROR(VLOOKUP(N1481,PROGRAMAS[],3,FALSE),0)</f>
        <v>0</v>
      </c>
      <c r="AQ1481" s="246">
        <f>IFERROR(VLOOKUP(O1481,PROGRAMAS[],3,FALSE),0)</f>
        <v>0</v>
      </c>
      <c r="AR1481" s="246">
        <f>IFERROR(VLOOKUP(P1481,PROGRAMAS[],3,FALSE),0)</f>
        <v>0</v>
      </c>
      <c r="AS1481" s="246">
        <f>IFERROR(VLOOKUP(Q1481,PROGRAMAS[],3,FALSE),0)</f>
        <v>0</v>
      </c>
      <c r="AT1481" s="246">
        <f>IFERROR(VLOOKUP(D1481,VOL_REC[],2,FALSE),0)</f>
        <v>0</v>
      </c>
      <c r="AU1481" s="246">
        <f>IFERROR(VLOOKUP(E1481,VOL_REC[],2,FALSE),0)</f>
        <v>0</v>
      </c>
      <c r="AV1481" s="246">
        <f>IFERROR(VLOOKUP(F1481,VOL_REC[],2,FALSE),0)</f>
        <v>11089674.200000001</v>
      </c>
      <c r="AW1481" s="246">
        <f>IFERROR(VLOOKUP(G1481,VOL_REC[],2,FALSE),0)</f>
        <v>1812240</v>
      </c>
      <c r="AX1481" s="246">
        <f>IFERROR(VLOOKUP(H1481,VOL_REC[],2,FALSE),0)</f>
        <v>240696.79238099116</v>
      </c>
      <c r="AY1481" s="246">
        <f>IFERROR(VLOOKUP(I1481,VOL_REC[],2,FALSE),0)</f>
        <v>663244.80000000016</v>
      </c>
      <c r="AZ1481" s="246">
        <f>IFERROR(VLOOKUP(J1481,VOL_REC[],2,FALSE),0)</f>
        <v>17074.045034105649</v>
      </c>
      <c r="BA1481" s="246">
        <f>IFERROR(VLOOKUP(K1481,VOL_REC[],2,FALSE),0)</f>
        <v>105072</v>
      </c>
      <c r="BB1481" s="246">
        <f>IFERROR(VLOOKUP(L1481,VOL_REC[],2,FALSE),0)</f>
        <v>740113.98115702497</v>
      </c>
      <c r="BC1481" s="246">
        <f>IFERROR(VLOOKUP(M1481,VOL_REC[],2,FALSE),0)</f>
        <v>0</v>
      </c>
      <c r="BD1481" s="246">
        <f>IFERROR(VLOOKUP(N1481,VOL_REC[],2,FALSE),0)</f>
        <v>0</v>
      </c>
      <c r="BE1481" s="246">
        <f>IFERROR(VLOOKUP(O1481,VOL_REC[],2,FALSE),0)</f>
        <v>0</v>
      </c>
      <c r="BF1481" s="246">
        <f>IFERROR(VLOOKUP(P1481,VOL_REC[],2,FALSE),0)</f>
        <v>0</v>
      </c>
      <c r="BG1481" s="246">
        <f>IFERROR(VLOOKUP(Q1481,VOL_REC[],2,FALSE),0)</f>
        <v>0</v>
      </c>
      <c r="BH1481" s="1710">
        <f t="shared" si="92"/>
        <v>15045680468.779079</v>
      </c>
      <c r="BI1481" s="1710">
        <f t="shared" si="93"/>
        <v>16352410348.525169</v>
      </c>
      <c r="BJ1481" s="1711">
        <f t="shared" si="94"/>
        <v>14668115.818572123</v>
      </c>
      <c r="BK1481" s="1711">
        <f t="shared" si="95"/>
        <v>0.92008946376128919</v>
      </c>
    </row>
    <row r="1482" spans="3:67" x14ac:dyDescent="0.25">
      <c r="C1482" s="246" t="s">
        <v>2832</v>
      </c>
      <c r="D1482" s="246">
        <v>1</v>
      </c>
      <c r="E1482" s="246">
        <v>2</v>
      </c>
      <c r="F1482" s="246">
        <v>3</v>
      </c>
      <c r="G1482" s="246">
        <v>10</v>
      </c>
      <c r="H1482" s="246">
        <v>12</v>
      </c>
      <c r="I1482" s="246">
        <v>13</v>
      </c>
      <c r="J1482" s="246">
        <v>14</v>
      </c>
      <c r="K1482" s="246">
        <v>16</v>
      </c>
      <c r="L1482" s="246">
        <v>17</v>
      </c>
      <c r="M1482" s="246"/>
      <c r="N1482" s="246"/>
      <c r="O1482" s="246"/>
      <c r="P1482" s="246"/>
      <c r="Q1482" s="246"/>
      <c r="R1482" s="246">
        <f>IFERROR(VLOOKUP(D1482,PROGRAMAS[],2,FALSE),0)</f>
        <v>97037803.679377079</v>
      </c>
      <c r="S1482" s="246">
        <f>IFERROR(VLOOKUP(E1482,PROGRAMAS[],2,FALSE),0)</f>
        <v>640501509.6821388</v>
      </c>
      <c r="T1482" s="246">
        <f>IFERROR(VLOOKUP(F1482,PROGRAMAS[],2,FALSE),0)</f>
        <v>3062327798.1525245</v>
      </c>
      <c r="U1482" s="246">
        <f>IFERROR(VLOOKUP(G1482,PROGRAMAS[],2,FALSE),0)</f>
        <v>4635315027.8751087</v>
      </c>
      <c r="V1482" s="246">
        <f>IFERROR(VLOOKUP(H1482,PROGRAMAS[],2,FALSE),0)</f>
        <v>764796700.79905891</v>
      </c>
      <c r="W1482" s="246">
        <f>IFERROR(VLOOKUP(I1482,PROGRAMAS[],2,FALSE),0)</f>
        <v>3776538594.4604583</v>
      </c>
      <c r="X1482" s="246">
        <f>IFERROR(VLOOKUP(J1482,PROGRAMAS[],2,FALSE),0)</f>
        <v>54223862.645839565</v>
      </c>
      <c r="Y1482" s="246">
        <f>IFERROR(VLOOKUP(K1482,PROGRAMAS[],2,FALSE),0)</f>
        <v>7068496961.0436354</v>
      </c>
      <c r="Z1482" s="246">
        <f>IFERROR(VLOOKUP(L1482,PROGRAMAS[],2,FALSE),0)</f>
        <v>1892779498.5211046</v>
      </c>
      <c r="AA1482" s="246">
        <f>IFERROR(VLOOKUP(M1482,PROGRAMAS[],2,FALSE),0)</f>
        <v>0</v>
      </c>
      <c r="AB1482" s="246">
        <f>IFERROR(VLOOKUP(N1482,PROGRAMAS[],2,FALSE),0)</f>
        <v>0</v>
      </c>
      <c r="AC1482" s="246">
        <f>IFERROR(VLOOKUP(O1482,PROGRAMAS[],2,FALSE),0)</f>
        <v>0</v>
      </c>
      <c r="AD1482" s="246">
        <f>IFERROR(VLOOKUP(P1482,PROGRAMAS[],2,FALSE),0)</f>
        <v>0</v>
      </c>
      <c r="AE1482" s="246">
        <f>IFERROR(VLOOKUP(Q1482,PROGRAMAS[],2,FALSE),0)</f>
        <v>0</v>
      </c>
      <c r="AF1482" s="246">
        <f>IFERROR(VLOOKUP(D1482,PROGRAMAS[],3,FALSE),0)</f>
        <v>841888629.31080008</v>
      </c>
      <c r="AG1482" s="246">
        <f>IFERROR(VLOOKUP(E1482,PROGRAMAS[],3,FALSE),0)</f>
        <v>3848980803.1642323</v>
      </c>
      <c r="AH1482" s="246">
        <f>IFERROR(VLOOKUP(F1482,PROGRAMAS[],3,FALSE),0)</f>
        <v>3394901471.387517</v>
      </c>
      <c r="AI1482" s="246">
        <f>IFERROR(VLOOKUP(G1482,PROGRAMAS[],3,FALSE),0)</f>
        <v>4099471734.9978786</v>
      </c>
      <c r="AJ1482" s="246">
        <f>IFERROR(VLOOKUP(H1482,PROGRAMAS[],3,FALSE),0)</f>
        <v>675517840.109828</v>
      </c>
      <c r="AK1482" s="246">
        <f>IFERROR(VLOOKUP(I1482,PROGRAMAS[],3,FALSE),0)</f>
        <v>2392571243.5584412</v>
      </c>
      <c r="AL1482" s="246">
        <f>IFERROR(VLOOKUP(J1482,PROGRAMAS[],3,FALSE),0)</f>
        <v>31865326.38096505</v>
      </c>
      <c r="AM1482" s="246">
        <f>IFERROR(VLOOKUP(K1482,PROGRAMAS[],3,FALSE),0)</f>
        <v>2406564599.0319901</v>
      </c>
      <c r="AN1482" s="246">
        <f>IFERROR(VLOOKUP(L1482,PROGRAMAS[],3,FALSE),0)</f>
        <v>948595847.09039903</v>
      </c>
      <c r="AO1482" s="246">
        <f>IFERROR(VLOOKUP(M1482,PROGRAMAS[],3,FALSE),0)</f>
        <v>0</v>
      </c>
      <c r="AP1482" s="246">
        <f>IFERROR(VLOOKUP(N1482,PROGRAMAS[],3,FALSE),0)</f>
        <v>0</v>
      </c>
      <c r="AQ1482" s="246">
        <f>IFERROR(VLOOKUP(O1482,PROGRAMAS[],3,FALSE),0)</f>
        <v>0</v>
      </c>
      <c r="AR1482" s="246">
        <f>IFERROR(VLOOKUP(P1482,PROGRAMAS[],3,FALSE),0)</f>
        <v>0</v>
      </c>
      <c r="AS1482" s="246">
        <f>IFERROR(VLOOKUP(Q1482,PROGRAMAS[],3,FALSE),0)</f>
        <v>0</v>
      </c>
      <c r="AT1482" s="246">
        <f>IFERROR(VLOOKUP(D1482,VOL_REC[],2,FALSE),0)</f>
        <v>0</v>
      </c>
      <c r="AU1482" s="246">
        <f>IFERROR(VLOOKUP(E1482,VOL_REC[],2,FALSE),0)</f>
        <v>0</v>
      </c>
      <c r="AV1482" s="246">
        <f>IFERROR(VLOOKUP(F1482,VOL_REC[],2,FALSE),0)</f>
        <v>11089674.200000001</v>
      </c>
      <c r="AW1482" s="246">
        <f>IFERROR(VLOOKUP(G1482,VOL_REC[],2,FALSE),0)</f>
        <v>1812240</v>
      </c>
      <c r="AX1482" s="246">
        <f>IFERROR(VLOOKUP(H1482,VOL_REC[],2,FALSE),0)</f>
        <v>240696.79238099116</v>
      </c>
      <c r="AY1482" s="246">
        <f>IFERROR(VLOOKUP(I1482,VOL_REC[],2,FALSE),0)</f>
        <v>663244.80000000016</v>
      </c>
      <c r="AZ1482" s="246">
        <f>IFERROR(VLOOKUP(J1482,VOL_REC[],2,FALSE),0)</f>
        <v>17074.045034105649</v>
      </c>
      <c r="BA1482" s="246">
        <f>IFERROR(VLOOKUP(K1482,VOL_REC[],2,FALSE),0)</f>
        <v>1072354.9981737854</v>
      </c>
      <c r="BB1482" s="246">
        <f>IFERROR(VLOOKUP(L1482,VOL_REC[],2,FALSE),0)</f>
        <v>740113.98115702497</v>
      </c>
      <c r="BC1482" s="246">
        <f>IFERROR(VLOOKUP(M1482,VOL_REC[],2,FALSE),0)</f>
        <v>0</v>
      </c>
      <c r="BD1482" s="246">
        <f>IFERROR(VLOOKUP(N1482,VOL_REC[],2,FALSE),0)</f>
        <v>0</v>
      </c>
      <c r="BE1482" s="246">
        <f>IFERROR(VLOOKUP(O1482,VOL_REC[],2,FALSE),0)</f>
        <v>0</v>
      </c>
      <c r="BF1482" s="246">
        <f>IFERROR(VLOOKUP(P1482,VOL_REC[],2,FALSE),0)</f>
        <v>0</v>
      </c>
      <c r="BG1482" s="246">
        <f>IFERROR(VLOOKUP(Q1482,VOL_REC[],2,FALSE),0)</f>
        <v>0</v>
      </c>
      <c r="BH1482" s="1710">
        <f t="shared" si="92"/>
        <v>21992017756.859245</v>
      </c>
      <c r="BI1482" s="1710">
        <f t="shared" si="93"/>
        <v>18640357495.032051</v>
      </c>
      <c r="BJ1482" s="1711">
        <f t="shared" si="94"/>
        <v>15635398.816745909</v>
      </c>
      <c r="BK1482" s="1711">
        <f t="shared" si="95"/>
        <v>1.1798066513864052</v>
      </c>
      <c r="BL1482">
        <f>BJ1482</f>
        <v>15635398.816745909</v>
      </c>
      <c r="BO1482">
        <f>BL1482</f>
        <v>15635398.816745909</v>
      </c>
    </row>
    <row r="1483" spans="3:67" x14ac:dyDescent="0.25">
      <c r="C1483" s="246" t="s">
        <v>2833</v>
      </c>
      <c r="D1483" s="246">
        <v>1</v>
      </c>
      <c r="E1483" s="246">
        <v>2</v>
      </c>
      <c r="F1483" s="246">
        <v>3</v>
      </c>
      <c r="G1483" s="246">
        <v>10</v>
      </c>
      <c r="H1483" s="246">
        <v>12</v>
      </c>
      <c r="I1483" s="246">
        <v>13</v>
      </c>
      <c r="J1483" s="246">
        <v>15</v>
      </c>
      <c r="K1483" s="246">
        <v>16</v>
      </c>
      <c r="L1483" s="246">
        <v>17</v>
      </c>
      <c r="M1483" s="246"/>
      <c r="N1483" s="246"/>
      <c r="O1483" s="246"/>
      <c r="P1483" s="246"/>
      <c r="Q1483" s="246"/>
      <c r="R1483" s="246">
        <f>IFERROR(VLOOKUP(D1483,PROGRAMAS[],2,FALSE),0)</f>
        <v>97037803.679377079</v>
      </c>
      <c r="S1483" s="246">
        <f>IFERROR(VLOOKUP(E1483,PROGRAMAS[],2,FALSE),0)</f>
        <v>640501509.6821388</v>
      </c>
      <c r="T1483" s="246">
        <f>IFERROR(VLOOKUP(F1483,PROGRAMAS[],2,FALSE),0)</f>
        <v>3062327798.1525245</v>
      </c>
      <c r="U1483" s="246">
        <f>IFERROR(VLOOKUP(G1483,PROGRAMAS[],2,FALSE),0)</f>
        <v>4635315027.8751087</v>
      </c>
      <c r="V1483" s="246">
        <f>IFERROR(VLOOKUP(H1483,PROGRAMAS[],2,FALSE),0)</f>
        <v>764796700.79905891</v>
      </c>
      <c r="W1483" s="246">
        <f>IFERROR(VLOOKUP(I1483,PROGRAMAS[],2,FALSE),0)</f>
        <v>3776538594.4604583</v>
      </c>
      <c r="X1483" s="246">
        <f>IFERROR(VLOOKUP(J1483,PROGRAMAS[],2,FALSE),0)</f>
        <v>122159672.96346797</v>
      </c>
      <c r="Y1483" s="246">
        <f>IFERROR(VLOOKUP(K1483,PROGRAMAS[],2,FALSE),0)</f>
        <v>7068496961.0436354</v>
      </c>
      <c r="Z1483" s="246">
        <f>IFERROR(VLOOKUP(L1483,PROGRAMAS[],2,FALSE),0)</f>
        <v>1892779498.5211046</v>
      </c>
      <c r="AA1483" s="246">
        <f>IFERROR(VLOOKUP(M1483,PROGRAMAS[],2,FALSE),0)</f>
        <v>0</v>
      </c>
      <c r="AB1483" s="246">
        <f>IFERROR(VLOOKUP(N1483,PROGRAMAS[],2,FALSE),0)</f>
        <v>0</v>
      </c>
      <c r="AC1483" s="246">
        <f>IFERROR(VLOOKUP(O1483,PROGRAMAS[],2,FALSE),0)</f>
        <v>0</v>
      </c>
      <c r="AD1483" s="246">
        <f>IFERROR(VLOOKUP(P1483,PROGRAMAS[],2,FALSE),0)</f>
        <v>0</v>
      </c>
      <c r="AE1483" s="246">
        <f>IFERROR(VLOOKUP(Q1483,PROGRAMAS[],2,FALSE),0)</f>
        <v>0</v>
      </c>
      <c r="AF1483" s="246">
        <f>IFERROR(VLOOKUP(D1483,PROGRAMAS[],3,FALSE),0)</f>
        <v>841888629.31080008</v>
      </c>
      <c r="AG1483" s="246">
        <f>IFERROR(VLOOKUP(E1483,PROGRAMAS[],3,FALSE),0)</f>
        <v>3848980803.1642323</v>
      </c>
      <c r="AH1483" s="246">
        <f>IFERROR(VLOOKUP(F1483,PROGRAMAS[],3,FALSE),0)</f>
        <v>3394901471.387517</v>
      </c>
      <c r="AI1483" s="246">
        <f>IFERROR(VLOOKUP(G1483,PROGRAMAS[],3,FALSE),0)</f>
        <v>4099471734.9978786</v>
      </c>
      <c r="AJ1483" s="246">
        <f>IFERROR(VLOOKUP(H1483,PROGRAMAS[],3,FALSE),0)</f>
        <v>675517840.109828</v>
      </c>
      <c r="AK1483" s="246">
        <f>IFERROR(VLOOKUP(I1483,PROGRAMAS[],3,FALSE),0)</f>
        <v>2392571243.5584412</v>
      </c>
      <c r="AL1483" s="246">
        <f>IFERROR(VLOOKUP(J1483,PROGRAMAS[],3,FALSE),0)</f>
        <v>118617452.52510804</v>
      </c>
      <c r="AM1483" s="246">
        <f>IFERROR(VLOOKUP(K1483,PROGRAMAS[],3,FALSE),0)</f>
        <v>2406564599.0319901</v>
      </c>
      <c r="AN1483" s="246">
        <f>IFERROR(VLOOKUP(L1483,PROGRAMAS[],3,FALSE),0)</f>
        <v>948595847.09039903</v>
      </c>
      <c r="AO1483" s="246">
        <f>IFERROR(VLOOKUP(M1483,PROGRAMAS[],3,FALSE),0)</f>
        <v>0</v>
      </c>
      <c r="AP1483" s="246">
        <f>IFERROR(VLOOKUP(N1483,PROGRAMAS[],3,FALSE),0)</f>
        <v>0</v>
      </c>
      <c r="AQ1483" s="246">
        <f>IFERROR(VLOOKUP(O1483,PROGRAMAS[],3,FALSE),0)</f>
        <v>0</v>
      </c>
      <c r="AR1483" s="246">
        <f>IFERROR(VLOOKUP(P1483,PROGRAMAS[],3,FALSE),0)</f>
        <v>0</v>
      </c>
      <c r="AS1483" s="246">
        <f>IFERROR(VLOOKUP(Q1483,PROGRAMAS[],3,FALSE),0)</f>
        <v>0</v>
      </c>
      <c r="AT1483" s="246">
        <f>IFERROR(VLOOKUP(D1483,VOL_REC[],2,FALSE),0)</f>
        <v>0</v>
      </c>
      <c r="AU1483" s="246">
        <f>IFERROR(VLOOKUP(E1483,VOL_REC[],2,FALSE),0)</f>
        <v>0</v>
      </c>
      <c r="AV1483" s="246">
        <f>IFERROR(VLOOKUP(F1483,VOL_REC[],2,FALSE),0)</f>
        <v>11089674.200000001</v>
      </c>
      <c r="AW1483" s="246">
        <f>IFERROR(VLOOKUP(G1483,VOL_REC[],2,FALSE),0)</f>
        <v>1812240</v>
      </c>
      <c r="AX1483" s="246">
        <f>IFERROR(VLOOKUP(H1483,VOL_REC[],2,FALSE),0)</f>
        <v>240696.79238099116</v>
      </c>
      <c r="AY1483" s="246">
        <f>IFERROR(VLOOKUP(I1483,VOL_REC[],2,FALSE),0)</f>
        <v>663244.80000000016</v>
      </c>
      <c r="AZ1483" s="246">
        <f>IFERROR(VLOOKUP(J1483,VOL_REC[],2,FALSE),0)</f>
        <v>105072</v>
      </c>
      <c r="BA1483" s="246">
        <f>IFERROR(VLOOKUP(K1483,VOL_REC[],2,FALSE),0)</f>
        <v>1072354.9981737854</v>
      </c>
      <c r="BB1483" s="246">
        <f>IFERROR(VLOOKUP(L1483,VOL_REC[],2,FALSE),0)</f>
        <v>740113.98115702497</v>
      </c>
      <c r="BC1483" s="246">
        <f>IFERROR(VLOOKUP(M1483,VOL_REC[],2,FALSE),0)</f>
        <v>0</v>
      </c>
      <c r="BD1483" s="246">
        <f>IFERROR(VLOOKUP(N1483,VOL_REC[],2,FALSE),0)</f>
        <v>0</v>
      </c>
      <c r="BE1483" s="246">
        <f>IFERROR(VLOOKUP(O1483,VOL_REC[],2,FALSE),0)</f>
        <v>0</v>
      </c>
      <c r="BF1483" s="246">
        <f>IFERROR(VLOOKUP(P1483,VOL_REC[],2,FALSE),0)</f>
        <v>0</v>
      </c>
      <c r="BG1483" s="246">
        <f>IFERROR(VLOOKUP(Q1483,VOL_REC[],2,FALSE),0)</f>
        <v>0</v>
      </c>
      <c r="BH1483" s="1710">
        <f t="shared" si="92"/>
        <v>22059953567.176872</v>
      </c>
      <c r="BI1483" s="1710">
        <f t="shared" si="93"/>
        <v>18727109621.176197</v>
      </c>
      <c r="BJ1483" s="1711">
        <f t="shared" si="94"/>
        <v>15723396.771711802</v>
      </c>
      <c r="BK1483" s="1711">
        <f t="shared" si="95"/>
        <v>1.1779689452040143</v>
      </c>
      <c r="BL1483">
        <f>BJ1483</f>
        <v>15723396.771711802</v>
      </c>
      <c r="BO1483">
        <f>BL1483</f>
        <v>15723396.771711802</v>
      </c>
    </row>
    <row r="1484" spans="3:67" x14ac:dyDescent="0.25">
      <c r="C1484" s="246" t="s">
        <v>2834</v>
      </c>
      <c r="D1484" s="246">
        <v>1</v>
      </c>
      <c r="E1484" s="246">
        <v>2</v>
      </c>
      <c r="F1484" s="246">
        <v>3</v>
      </c>
      <c r="G1484" s="246">
        <v>10</v>
      </c>
      <c r="H1484" s="246">
        <v>12</v>
      </c>
      <c r="I1484" s="246">
        <v>14</v>
      </c>
      <c r="J1484" s="246">
        <v>15</v>
      </c>
      <c r="K1484" s="246">
        <v>16</v>
      </c>
      <c r="L1484" s="246">
        <v>17</v>
      </c>
      <c r="M1484" s="246"/>
      <c r="N1484" s="246"/>
      <c r="O1484" s="246"/>
      <c r="P1484" s="246"/>
      <c r="Q1484" s="246"/>
      <c r="R1484" s="246">
        <f>IFERROR(VLOOKUP(D1484,PROGRAMAS[],2,FALSE),0)</f>
        <v>97037803.679377079</v>
      </c>
      <c r="S1484" s="246">
        <f>IFERROR(VLOOKUP(E1484,PROGRAMAS[],2,FALSE),0)</f>
        <v>640501509.6821388</v>
      </c>
      <c r="T1484" s="246">
        <f>IFERROR(VLOOKUP(F1484,PROGRAMAS[],2,FALSE),0)</f>
        <v>3062327798.1525245</v>
      </c>
      <c r="U1484" s="246">
        <f>IFERROR(VLOOKUP(G1484,PROGRAMAS[],2,FALSE),0)</f>
        <v>4635315027.8751087</v>
      </c>
      <c r="V1484" s="246">
        <f>IFERROR(VLOOKUP(H1484,PROGRAMAS[],2,FALSE),0)</f>
        <v>764796700.79905891</v>
      </c>
      <c r="W1484" s="246">
        <f>IFERROR(VLOOKUP(I1484,PROGRAMAS[],2,FALSE),0)</f>
        <v>54223862.645839565</v>
      </c>
      <c r="X1484" s="246">
        <f>IFERROR(VLOOKUP(J1484,PROGRAMAS[],2,FALSE),0)</f>
        <v>122159672.96346797</v>
      </c>
      <c r="Y1484" s="246">
        <f>IFERROR(VLOOKUP(K1484,PROGRAMAS[],2,FALSE),0)</f>
        <v>7068496961.0436354</v>
      </c>
      <c r="Z1484" s="246">
        <f>IFERROR(VLOOKUP(L1484,PROGRAMAS[],2,FALSE),0)</f>
        <v>1892779498.5211046</v>
      </c>
      <c r="AA1484" s="246">
        <f>IFERROR(VLOOKUP(M1484,PROGRAMAS[],2,FALSE),0)</f>
        <v>0</v>
      </c>
      <c r="AB1484" s="246">
        <f>IFERROR(VLOOKUP(N1484,PROGRAMAS[],2,FALSE),0)</f>
        <v>0</v>
      </c>
      <c r="AC1484" s="246">
        <f>IFERROR(VLOOKUP(O1484,PROGRAMAS[],2,FALSE),0)</f>
        <v>0</v>
      </c>
      <c r="AD1484" s="246">
        <f>IFERROR(VLOOKUP(P1484,PROGRAMAS[],2,FALSE),0)</f>
        <v>0</v>
      </c>
      <c r="AE1484" s="246">
        <f>IFERROR(VLOOKUP(Q1484,PROGRAMAS[],2,FALSE),0)</f>
        <v>0</v>
      </c>
      <c r="AF1484" s="246">
        <f>IFERROR(VLOOKUP(D1484,PROGRAMAS[],3,FALSE),0)</f>
        <v>841888629.31080008</v>
      </c>
      <c r="AG1484" s="246">
        <f>IFERROR(VLOOKUP(E1484,PROGRAMAS[],3,FALSE),0)</f>
        <v>3848980803.1642323</v>
      </c>
      <c r="AH1484" s="246">
        <f>IFERROR(VLOOKUP(F1484,PROGRAMAS[],3,FALSE),0)</f>
        <v>3394901471.387517</v>
      </c>
      <c r="AI1484" s="246">
        <f>IFERROR(VLOOKUP(G1484,PROGRAMAS[],3,FALSE),0)</f>
        <v>4099471734.9978786</v>
      </c>
      <c r="AJ1484" s="246">
        <f>IFERROR(VLOOKUP(H1484,PROGRAMAS[],3,FALSE),0)</f>
        <v>675517840.109828</v>
      </c>
      <c r="AK1484" s="246">
        <f>IFERROR(VLOOKUP(I1484,PROGRAMAS[],3,FALSE),0)</f>
        <v>31865326.38096505</v>
      </c>
      <c r="AL1484" s="246">
        <f>IFERROR(VLOOKUP(J1484,PROGRAMAS[],3,FALSE),0)</f>
        <v>118617452.52510804</v>
      </c>
      <c r="AM1484" s="246">
        <f>IFERROR(VLOOKUP(K1484,PROGRAMAS[],3,FALSE),0)</f>
        <v>2406564599.0319901</v>
      </c>
      <c r="AN1484" s="246">
        <f>IFERROR(VLOOKUP(L1484,PROGRAMAS[],3,FALSE),0)</f>
        <v>948595847.09039903</v>
      </c>
      <c r="AO1484" s="246">
        <f>IFERROR(VLOOKUP(M1484,PROGRAMAS[],3,FALSE),0)</f>
        <v>0</v>
      </c>
      <c r="AP1484" s="246">
        <f>IFERROR(VLOOKUP(N1484,PROGRAMAS[],3,FALSE),0)</f>
        <v>0</v>
      </c>
      <c r="AQ1484" s="246">
        <f>IFERROR(VLOOKUP(O1484,PROGRAMAS[],3,FALSE),0)</f>
        <v>0</v>
      </c>
      <c r="AR1484" s="246">
        <f>IFERROR(VLOOKUP(P1484,PROGRAMAS[],3,FALSE),0)</f>
        <v>0</v>
      </c>
      <c r="AS1484" s="246">
        <f>IFERROR(VLOOKUP(Q1484,PROGRAMAS[],3,FALSE),0)</f>
        <v>0</v>
      </c>
      <c r="AT1484" s="246">
        <f>IFERROR(VLOOKUP(D1484,VOL_REC[],2,FALSE),0)</f>
        <v>0</v>
      </c>
      <c r="AU1484" s="246">
        <f>IFERROR(VLOOKUP(E1484,VOL_REC[],2,FALSE),0)</f>
        <v>0</v>
      </c>
      <c r="AV1484" s="246">
        <f>IFERROR(VLOOKUP(F1484,VOL_REC[],2,FALSE),0)</f>
        <v>11089674.200000001</v>
      </c>
      <c r="AW1484" s="246">
        <f>IFERROR(VLOOKUP(G1484,VOL_REC[],2,FALSE),0)</f>
        <v>1812240</v>
      </c>
      <c r="AX1484" s="246">
        <f>IFERROR(VLOOKUP(H1484,VOL_REC[],2,FALSE),0)</f>
        <v>240696.79238099116</v>
      </c>
      <c r="AY1484" s="246">
        <f>IFERROR(VLOOKUP(I1484,VOL_REC[],2,FALSE),0)</f>
        <v>17074.045034105649</v>
      </c>
      <c r="AZ1484" s="246">
        <f>IFERROR(VLOOKUP(J1484,VOL_REC[],2,FALSE),0)</f>
        <v>105072</v>
      </c>
      <c r="BA1484" s="246">
        <f>IFERROR(VLOOKUP(K1484,VOL_REC[],2,FALSE),0)</f>
        <v>1072354.9981737854</v>
      </c>
      <c r="BB1484" s="246">
        <f>IFERROR(VLOOKUP(L1484,VOL_REC[],2,FALSE),0)</f>
        <v>740113.98115702497</v>
      </c>
      <c r="BC1484" s="246">
        <f>IFERROR(VLOOKUP(M1484,VOL_REC[],2,FALSE),0)</f>
        <v>0</v>
      </c>
      <c r="BD1484" s="246">
        <f>IFERROR(VLOOKUP(N1484,VOL_REC[],2,FALSE),0)</f>
        <v>0</v>
      </c>
      <c r="BE1484" s="246">
        <f>IFERROR(VLOOKUP(O1484,VOL_REC[],2,FALSE),0)</f>
        <v>0</v>
      </c>
      <c r="BF1484" s="246">
        <f>IFERROR(VLOOKUP(P1484,VOL_REC[],2,FALSE),0)</f>
        <v>0</v>
      </c>
      <c r="BG1484" s="246">
        <f>IFERROR(VLOOKUP(Q1484,VOL_REC[],2,FALSE),0)</f>
        <v>0</v>
      </c>
      <c r="BH1484" s="1710">
        <f t="shared" si="92"/>
        <v>18337638835.362255</v>
      </c>
      <c r="BI1484" s="1710">
        <f t="shared" si="93"/>
        <v>16366403703.998718</v>
      </c>
      <c r="BJ1484" s="1711">
        <f t="shared" si="94"/>
        <v>15077226.016745908</v>
      </c>
      <c r="BK1484" s="1711">
        <f t="shared" si="95"/>
        <v>1.1204440002223528</v>
      </c>
      <c r="BL1484">
        <f>BJ1484</f>
        <v>15077226.016745908</v>
      </c>
      <c r="BO1484">
        <f>BL1484</f>
        <v>15077226.016745908</v>
      </c>
    </row>
    <row r="1485" spans="3:67" x14ac:dyDescent="0.25">
      <c r="C1485" s="246" t="s">
        <v>2835</v>
      </c>
      <c r="D1485" s="246">
        <v>1</v>
      </c>
      <c r="E1485" s="246">
        <v>2</v>
      </c>
      <c r="F1485" s="246">
        <v>3</v>
      </c>
      <c r="G1485" s="246">
        <v>10</v>
      </c>
      <c r="H1485" s="246">
        <v>13</v>
      </c>
      <c r="I1485" s="246">
        <v>14</v>
      </c>
      <c r="J1485" s="246">
        <v>15</v>
      </c>
      <c r="K1485" s="246">
        <v>16</v>
      </c>
      <c r="L1485" s="246">
        <v>17</v>
      </c>
      <c r="M1485" s="246"/>
      <c r="N1485" s="246"/>
      <c r="O1485" s="246"/>
      <c r="P1485" s="246"/>
      <c r="Q1485" s="246"/>
      <c r="R1485" s="246">
        <f>IFERROR(VLOOKUP(D1485,PROGRAMAS[],2,FALSE),0)</f>
        <v>97037803.679377079</v>
      </c>
      <c r="S1485" s="246">
        <f>IFERROR(VLOOKUP(E1485,PROGRAMAS[],2,FALSE),0)</f>
        <v>640501509.6821388</v>
      </c>
      <c r="T1485" s="246">
        <f>IFERROR(VLOOKUP(F1485,PROGRAMAS[],2,FALSE),0)</f>
        <v>3062327798.1525245</v>
      </c>
      <c r="U1485" s="246">
        <f>IFERROR(VLOOKUP(G1485,PROGRAMAS[],2,FALSE),0)</f>
        <v>4635315027.8751087</v>
      </c>
      <c r="V1485" s="246">
        <f>IFERROR(VLOOKUP(H1485,PROGRAMAS[],2,FALSE),0)</f>
        <v>3776538594.4604583</v>
      </c>
      <c r="W1485" s="246">
        <f>IFERROR(VLOOKUP(I1485,PROGRAMAS[],2,FALSE),0)</f>
        <v>54223862.645839565</v>
      </c>
      <c r="X1485" s="246">
        <f>IFERROR(VLOOKUP(J1485,PROGRAMAS[],2,FALSE),0)</f>
        <v>122159672.96346797</v>
      </c>
      <c r="Y1485" s="246">
        <f>IFERROR(VLOOKUP(K1485,PROGRAMAS[],2,FALSE),0)</f>
        <v>7068496961.0436354</v>
      </c>
      <c r="Z1485" s="246">
        <f>IFERROR(VLOOKUP(L1485,PROGRAMAS[],2,FALSE),0)</f>
        <v>1892779498.5211046</v>
      </c>
      <c r="AA1485" s="246">
        <f>IFERROR(VLOOKUP(M1485,PROGRAMAS[],2,FALSE),0)</f>
        <v>0</v>
      </c>
      <c r="AB1485" s="246">
        <f>IFERROR(VLOOKUP(N1485,PROGRAMAS[],2,FALSE),0)</f>
        <v>0</v>
      </c>
      <c r="AC1485" s="246">
        <f>IFERROR(VLOOKUP(O1485,PROGRAMAS[],2,FALSE),0)</f>
        <v>0</v>
      </c>
      <c r="AD1485" s="246">
        <f>IFERROR(VLOOKUP(P1485,PROGRAMAS[],2,FALSE),0)</f>
        <v>0</v>
      </c>
      <c r="AE1485" s="246">
        <f>IFERROR(VLOOKUP(Q1485,PROGRAMAS[],2,FALSE),0)</f>
        <v>0</v>
      </c>
      <c r="AF1485" s="246">
        <f>IFERROR(VLOOKUP(D1485,PROGRAMAS[],3,FALSE),0)</f>
        <v>841888629.31080008</v>
      </c>
      <c r="AG1485" s="246">
        <f>IFERROR(VLOOKUP(E1485,PROGRAMAS[],3,FALSE),0)</f>
        <v>3848980803.1642323</v>
      </c>
      <c r="AH1485" s="246">
        <f>IFERROR(VLOOKUP(F1485,PROGRAMAS[],3,FALSE),0)</f>
        <v>3394901471.387517</v>
      </c>
      <c r="AI1485" s="246">
        <f>IFERROR(VLOOKUP(G1485,PROGRAMAS[],3,FALSE),0)</f>
        <v>4099471734.9978786</v>
      </c>
      <c r="AJ1485" s="246">
        <f>IFERROR(VLOOKUP(H1485,PROGRAMAS[],3,FALSE),0)</f>
        <v>2392571243.5584412</v>
      </c>
      <c r="AK1485" s="246">
        <f>IFERROR(VLOOKUP(I1485,PROGRAMAS[],3,FALSE),0)</f>
        <v>31865326.38096505</v>
      </c>
      <c r="AL1485" s="246">
        <f>IFERROR(VLOOKUP(J1485,PROGRAMAS[],3,FALSE),0)</f>
        <v>118617452.52510804</v>
      </c>
      <c r="AM1485" s="246">
        <f>IFERROR(VLOOKUP(K1485,PROGRAMAS[],3,FALSE),0)</f>
        <v>2406564599.0319901</v>
      </c>
      <c r="AN1485" s="246">
        <f>IFERROR(VLOOKUP(L1485,PROGRAMAS[],3,FALSE),0)</f>
        <v>948595847.09039903</v>
      </c>
      <c r="AO1485" s="246">
        <f>IFERROR(VLOOKUP(M1485,PROGRAMAS[],3,FALSE),0)</f>
        <v>0</v>
      </c>
      <c r="AP1485" s="246">
        <f>IFERROR(VLOOKUP(N1485,PROGRAMAS[],3,FALSE),0)</f>
        <v>0</v>
      </c>
      <c r="AQ1485" s="246">
        <f>IFERROR(VLOOKUP(O1485,PROGRAMAS[],3,FALSE),0)</f>
        <v>0</v>
      </c>
      <c r="AR1485" s="246">
        <f>IFERROR(VLOOKUP(P1485,PROGRAMAS[],3,FALSE),0)</f>
        <v>0</v>
      </c>
      <c r="AS1485" s="246">
        <f>IFERROR(VLOOKUP(Q1485,PROGRAMAS[],3,FALSE),0)</f>
        <v>0</v>
      </c>
      <c r="AT1485" s="246">
        <f>IFERROR(VLOOKUP(D1485,VOL_REC[],2,FALSE),0)</f>
        <v>0</v>
      </c>
      <c r="AU1485" s="246">
        <f>IFERROR(VLOOKUP(E1485,VOL_REC[],2,FALSE),0)</f>
        <v>0</v>
      </c>
      <c r="AV1485" s="246">
        <f>IFERROR(VLOOKUP(F1485,VOL_REC[],2,FALSE),0)</f>
        <v>11089674.200000001</v>
      </c>
      <c r="AW1485" s="246">
        <f>IFERROR(VLOOKUP(G1485,VOL_REC[],2,FALSE),0)</f>
        <v>1812240</v>
      </c>
      <c r="AX1485" s="246">
        <f>IFERROR(VLOOKUP(H1485,VOL_REC[],2,FALSE),0)</f>
        <v>663244.80000000016</v>
      </c>
      <c r="AY1485" s="246">
        <f>IFERROR(VLOOKUP(I1485,VOL_REC[],2,FALSE),0)</f>
        <v>17074.045034105649</v>
      </c>
      <c r="AZ1485" s="246">
        <f>IFERROR(VLOOKUP(J1485,VOL_REC[],2,FALSE),0)</f>
        <v>105072</v>
      </c>
      <c r="BA1485" s="246">
        <f>IFERROR(VLOOKUP(K1485,VOL_REC[],2,FALSE),0)</f>
        <v>1072354.9981737854</v>
      </c>
      <c r="BB1485" s="246">
        <f>IFERROR(VLOOKUP(L1485,VOL_REC[],2,FALSE),0)</f>
        <v>740113.98115702497</v>
      </c>
      <c r="BC1485" s="246">
        <f>IFERROR(VLOOKUP(M1485,VOL_REC[],2,FALSE),0)</f>
        <v>0</v>
      </c>
      <c r="BD1485" s="246">
        <f>IFERROR(VLOOKUP(N1485,VOL_REC[],2,FALSE),0)</f>
        <v>0</v>
      </c>
      <c r="BE1485" s="246">
        <f>IFERROR(VLOOKUP(O1485,VOL_REC[],2,FALSE),0)</f>
        <v>0</v>
      </c>
      <c r="BF1485" s="246">
        <f>IFERROR(VLOOKUP(P1485,VOL_REC[],2,FALSE),0)</f>
        <v>0</v>
      </c>
      <c r="BG1485" s="246">
        <f>IFERROR(VLOOKUP(Q1485,VOL_REC[],2,FALSE),0)</f>
        <v>0</v>
      </c>
      <c r="BH1485" s="1710">
        <f t="shared" si="92"/>
        <v>21349380729.023655</v>
      </c>
      <c r="BI1485" s="1710">
        <f t="shared" si="93"/>
        <v>18083457107.44733</v>
      </c>
      <c r="BJ1485" s="1711">
        <f t="shared" si="94"/>
        <v>15499774.024364917</v>
      </c>
      <c r="BK1485" s="1711">
        <f t="shared" si="95"/>
        <v>1.180602835075784</v>
      </c>
      <c r="BL1485">
        <f>BJ1485</f>
        <v>15499774.024364917</v>
      </c>
      <c r="BO1485">
        <f>BL1485</f>
        <v>15499774.024364917</v>
      </c>
    </row>
    <row r="1486" spans="3:67" x14ac:dyDescent="0.25">
      <c r="C1486" s="246" t="s">
        <v>2836</v>
      </c>
      <c r="D1486" s="246">
        <v>1</v>
      </c>
      <c r="E1486" s="246">
        <v>2</v>
      </c>
      <c r="F1486" s="246">
        <v>3</v>
      </c>
      <c r="G1486" s="246">
        <v>12</v>
      </c>
      <c r="H1486" s="246">
        <v>13</v>
      </c>
      <c r="I1486" s="246">
        <v>14</v>
      </c>
      <c r="J1486" s="246">
        <v>15</v>
      </c>
      <c r="K1486" s="246">
        <v>16</v>
      </c>
      <c r="L1486" s="246">
        <v>17</v>
      </c>
      <c r="M1486" s="246"/>
      <c r="N1486" s="246"/>
      <c r="O1486" s="246"/>
      <c r="P1486" s="246"/>
      <c r="Q1486" s="246"/>
      <c r="R1486" s="246">
        <f>IFERROR(VLOOKUP(D1486,PROGRAMAS[],2,FALSE),0)</f>
        <v>97037803.679377079</v>
      </c>
      <c r="S1486" s="246">
        <f>IFERROR(VLOOKUP(E1486,PROGRAMAS[],2,FALSE),0)</f>
        <v>640501509.6821388</v>
      </c>
      <c r="T1486" s="246">
        <f>IFERROR(VLOOKUP(F1486,PROGRAMAS[],2,FALSE),0)</f>
        <v>3062327798.1525245</v>
      </c>
      <c r="U1486" s="246">
        <f>IFERROR(VLOOKUP(G1486,PROGRAMAS[],2,FALSE),0)</f>
        <v>764796700.79905891</v>
      </c>
      <c r="V1486" s="246">
        <f>IFERROR(VLOOKUP(H1486,PROGRAMAS[],2,FALSE),0)</f>
        <v>3776538594.4604583</v>
      </c>
      <c r="W1486" s="246">
        <f>IFERROR(VLOOKUP(I1486,PROGRAMAS[],2,FALSE),0)</f>
        <v>54223862.645839565</v>
      </c>
      <c r="X1486" s="246">
        <f>IFERROR(VLOOKUP(J1486,PROGRAMAS[],2,FALSE),0)</f>
        <v>122159672.96346797</v>
      </c>
      <c r="Y1486" s="246">
        <f>IFERROR(VLOOKUP(K1486,PROGRAMAS[],2,FALSE),0)</f>
        <v>7068496961.0436354</v>
      </c>
      <c r="Z1486" s="246">
        <f>IFERROR(VLOOKUP(L1486,PROGRAMAS[],2,FALSE),0)</f>
        <v>1892779498.5211046</v>
      </c>
      <c r="AA1486" s="246">
        <f>IFERROR(VLOOKUP(M1486,PROGRAMAS[],2,FALSE),0)</f>
        <v>0</v>
      </c>
      <c r="AB1486" s="246">
        <f>IFERROR(VLOOKUP(N1486,PROGRAMAS[],2,FALSE),0)</f>
        <v>0</v>
      </c>
      <c r="AC1486" s="246">
        <f>IFERROR(VLOOKUP(O1486,PROGRAMAS[],2,FALSE),0)</f>
        <v>0</v>
      </c>
      <c r="AD1486" s="246">
        <f>IFERROR(VLOOKUP(P1486,PROGRAMAS[],2,FALSE),0)</f>
        <v>0</v>
      </c>
      <c r="AE1486" s="246">
        <f>IFERROR(VLOOKUP(Q1486,PROGRAMAS[],2,FALSE),0)</f>
        <v>0</v>
      </c>
      <c r="AF1486" s="246">
        <f>IFERROR(VLOOKUP(D1486,PROGRAMAS[],3,FALSE),0)</f>
        <v>841888629.31080008</v>
      </c>
      <c r="AG1486" s="246">
        <f>IFERROR(VLOOKUP(E1486,PROGRAMAS[],3,FALSE),0)</f>
        <v>3848980803.1642323</v>
      </c>
      <c r="AH1486" s="246">
        <f>IFERROR(VLOOKUP(F1486,PROGRAMAS[],3,FALSE),0)</f>
        <v>3394901471.387517</v>
      </c>
      <c r="AI1486" s="246">
        <f>IFERROR(VLOOKUP(G1486,PROGRAMAS[],3,FALSE),0)</f>
        <v>675517840.109828</v>
      </c>
      <c r="AJ1486" s="246">
        <f>IFERROR(VLOOKUP(H1486,PROGRAMAS[],3,FALSE),0)</f>
        <v>2392571243.5584412</v>
      </c>
      <c r="AK1486" s="246">
        <f>IFERROR(VLOOKUP(I1486,PROGRAMAS[],3,FALSE),0)</f>
        <v>31865326.38096505</v>
      </c>
      <c r="AL1486" s="246">
        <f>IFERROR(VLOOKUP(J1486,PROGRAMAS[],3,FALSE),0)</f>
        <v>118617452.52510804</v>
      </c>
      <c r="AM1486" s="246">
        <f>IFERROR(VLOOKUP(K1486,PROGRAMAS[],3,FALSE),0)</f>
        <v>2406564599.0319901</v>
      </c>
      <c r="AN1486" s="246">
        <f>IFERROR(VLOOKUP(L1486,PROGRAMAS[],3,FALSE),0)</f>
        <v>948595847.09039903</v>
      </c>
      <c r="AO1486" s="246">
        <f>IFERROR(VLOOKUP(M1486,PROGRAMAS[],3,FALSE),0)</f>
        <v>0</v>
      </c>
      <c r="AP1486" s="246">
        <f>IFERROR(VLOOKUP(N1486,PROGRAMAS[],3,FALSE),0)</f>
        <v>0</v>
      </c>
      <c r="AQ1486" s="246">
        <f>IFERROR(VLOOKUP(O1486,PROGRAMAS[],3,FALSE),0)</f>
        <v>0</v>
      </c>
      <c r="AR1486" s="246">
        <f>IFERROR(VLOOKUP(P1486,PROGRAMAS[],3,FALSE),0)</f>
        <v>0</v>
      </c>
      <c r="AS1486" s="246">
        <f>IFERROR(VLOOKUP(Q1486,PROGRAMAS[],3,FALSE),0)</f>
        <v>0</v>
      </c>
      <c r="AT1486" s="246">
        <f>IFERROR(VLOOKUP(D1486,VOL_REC[],2,FALSE),0)</f>
        <v>0</v>
      </c>
      <c r="AU1486" s="246">
        <f>IFERROR(VLOOKUP(E1486,VOL_REC[],2,FALSE),0)</f>
        <v>0</v>
      </c>
      <c r="AV1486" s="246">
        <f>IFERROR(VLOOKUP(F1486,VOL_REC[],2,FALSE),0)</f>
        <v>11089674.200000001</v>
      </c>
      <c r="AW1486" s="246">
        <f>IFERROR(VLOOKUP(G1486,VOL_REC[],2,FALSE),0)</f>
        <v>240696.79238099116</v>
      </c>
      <c r="AX1486" s="246">
        <f>IFERROR(VLOOKUP(H1486,VOL_REC[],2,FALSE),0)</f>
        <v>663244.80000000016</v>
      </c>
      <c r="AY1486" s="246">
        <f>IFERROR(VLOOKUP(I1486,VOL_REC[],2,FALSE),0)</f>
        <v>17074.045034105649</v>
      </c>
      <c r="AZ1486" s="246">
        <f>IFERROR(VLOOKUP(J1486,VOL_REC[],2,FALSE),0)</f>
        <v>105072</v>
      </c>
      <c r="BA1486" s="246">
        <f>IFERROR(VLOOKUP(K1486,VOL_REC[],2,FALSE),0)</f>
        <v>1072354.9981737854</v>
      </c>
      <c r="BB1486" s="246">
        <f>IFERROR(VLOOKUP(L1486,VOL_REC[],2,FALSE),0)</f>
        <v>740113.98115702497</v>
      </c>
      <c r="BC1486" s="246">
        <f>IFERROR(VLOOKUP(M1486,VOL_REC[],2,FALSE),0)</f>
        <v>0</v>
      </c>
      <c r="BD1486" s="246">
        <f>IFERROR(VLOOKUP(N1486,VOL_REC[],2,FALSE),0)</f>
        <v>0</v>
      </c>
      <c r="BE1486" s="246">
        <f>IFERROR(VLOOKUP(O1486,VOL_REC[],2,FALSE),0)</f>
        <v>0</v>
      </c>
      <c r="BF1486" s="246">
        <f>IFERROR(VLOOKUP(P1486,VOL_REC[],2,FALSE),0)</f>
        <v>0</v>
      </c>
      <c r="BG1486" s="246">
        <f>IFERROR(VLOOKUP(Q1486,VOL_REC[],2,FALSE),0)</f>
        <v>0</v>
      </c>
      <c r="BH1486" s="1710">
        <f t="shared" si="92"/>
        <v>17478862401.947605</v>
      </c>
      <c r="BI1486" s="1710">
        <f t="shared" si="93"/>
        <v>14659503212.55928</v>
      </c>
      <c r="BJ1486" s="1711">
        <f t="shared" si="94"/>
        <v>13928230.816745909</v>
      </c>
      <c r="BK1486" s="1711">
        <f t="shared" si="95"/>
        <v>1.1923229695105142</v>
      </c>
      <c r="BL1486">
        <f>BJ1486</f>
        <v>13928230.816745909</v>
      </c>
      <c r="BO1486">
        <f>BL1486</f>
        <v>13928230.816745909</v>
      </c>
    </row>
    <row r="1487" spans="3:67" x14ac:dyDescent="0.25">
      <c r="C1487" s="246" t="s">
        <v>2837</v>
      </c>
      <c r="D1487" s="246">
        <v>1</v>
      </c>
      <c r="E1487" s="246">
        <v>2</v>
      </c>
      <c r="F1487" s="246">
        <v>3</v>
      </c>
      <c r="G1487" s="246">
        <v>4</v>
      </c>
      <c r="H1487" s="246">
        <v>5</v>
      </c>
      <c r="I1487" s="246">
        <v>6</v>
      </c>
      <c r="J1487" s="246">
        <v>9</v>
      </c>
      <c r="K1487" s="246">
        <v>10</v>
      </c>
      <c r="L1487" s="246">
        <v>12</v>
      </c>
      <c r="M1487" s="246">
        <v>13</v>
      </c>
      <c r="N1487" s="246"/>
      <c r="O1487" s="246"/>
      <c r="P1487" s="246"/>
      <c r="Q1487" s="246"/>
      <c r="R1487" s="246">
        <f>IFERROR(VLOOKUP(D1487,PROGRAMAS[],2,FALSE),0)</f>
        <v>97037803.679377079</v>
      </c>
      <c r="S1487" s="246">
        <f>IFERROR(VLOOKUP(E1487,PROGRAMAS[],2,FALSE),0)</f>
        <v>640501509.6821388</v>
      </c>
      <c r="T1487" s="246">
        <f>IFERROR(VLOOKUP(F1487,PROGRAMAS[],2,FALSE),0)</f>
        <v>3062327798.1525245</v>
      </c>
      <c r="U1487" s="246">
        <f>IFERROR(VLOOKUP(G1487,PROGRAMAS[],2,FALSE),0)</f>
        <v>67697118.033011258</v>
      </c>
      <c r="V1487" s="246">
        <f>IFERROR(VLOOKUP(H1487,PROGRAMAS[],2,FALSE),0)</f>
        <v>1440941976.2528784</v>
      </c>
      <c r="W1487" s="246">
        <f>IFERROR(VLOOKUP(I1487,PROGRAMAS[],2,FALSE),0)</f>
        <v>6907648435.8447599</v>
      </c>
      <c r="X1487" s="246">
        <f>IFERROR(VLOOKUP(J1487,PROGRAMAS[],2,FALSE),0)</f>
        <v>6128579952.1618185</v>
      </c>
      <c r="Y1487" s="246">
        <f>IFERROR(VLOOKUP(K1487,PROGRAMAS[],2,FALSE),0)</f>
        <v>4635315027.8751087</v>
      </c>
      <c r="Z1487" s="246">
        <f>IFERROR(VLOOKUP(L1487,PROGRAMAS[],2,FALSE),0)</f>
        <v>764796700.79905891</v>
      </c>
      <c r="AA1487" s="246">
        <f>IFERROR(VLOOKUP(M1487,PROGRAMAS[],2,FALSE),0)</f>
        <v>3776538594.4604583</v>
      </c>
      <c r="AB1487" s="246">
        <f>IFERROR(VLOOKUP(N1487,PROGRAMAS[],2,FALSE),0)</f>
        <v>0</v>
      </c>
      <c r="AC1487" s="246">
        <f>IFERROR(VLOOKUP(O1487,PROGRAMAS[],2,FALSE),0)</f>
        <v>0</v>
      </c>
      <c r="AD1487" s="246">
        <f>IFERROR(VLOOKUP(P1487,PROGRAMAS[],2,FALSE),0)</f>
        <v>0</v>
      </c>
      <c r="AE1487" s="246">
        <f>IFERROR(VLOOKUP(Q1487,PROGRAMAS[],2,FALSE),0)</f>
        <v>0</v>
      </c>
      <c r="AF1487" s="246">
        <f>IFERROR(VLOOKUP(D1487,PROGRAMAS[],3,FALSE),0)</f>
        <v>841888629.31080008</v>
      </c>
      <c r="AG1487" s="246">
        <f>IFERROR(VLOOKUP(E1487,PROGRAMAS[],3,FALSE),0)</f>
        <v>3848980803.1642323</v>
      </c>
      <c r="AH1487" s="246">
        <f>IFERROR(VLOOKUP(F1487,PROGRAMAS[],3,FALSE),0)</f>
        <v>3394901471.387517</v>
      </c>
      <c r="AI1487" s="246">
        <f>IFERROR(VLOOKUP(G1487,PROGRAMAS[],3,FALSE),0)</f>
        <v>125317226.95549992</v>
      </c>
      <c r="AJ1487" s="246">
        <f>IFERROR(VLOOKUP(H1487,PROGRAMAS[],3,FALSE),0)</f>
        <v>1233505101.0616004</v>
      </c>
      <c r="AK1487" s="246">
        <f>IFERROR(VLOOKUP(I1487,PROGRAMAS[],3,FALSE),0)</f>
        <v>6129902208.7912121</v>
      </c>
      <c r="AL1487" s="246">
        <f>IFERROR(VLOOKUP(J1487,PROGRAMAS[],3,FALSE),0)</f>
        <v>7011279577.519702</v>
      </c>
      <c r="AM1487" s="246">
        <f>IFERROR(VLOOKUP(K1487,PROGRAMAS[],3,FALSE),0)</f>
        <v>4099471734.9978786</v>
      </c>
      <c r="AN1487" s="246">
        <f>IFERROR(VLOOKUP(L1487,PROGRAMAS[],3,FALSE),0)</f>
        <v>675517840.109828</v>
      </c>
      <c r="AO1487" s="246">
        <f>IFERROR(VLOOKUP(M1487,PROGRAMAS[],3,FALSE),0)</f>
        <v>2392571243.5584412</v>
      </c>
      <c r="AP1487" s="246">
        <f>IFERROR(VLOOKUP(N1487,PROGRAMAS[],3,FALSE),0)</f>
        <v>0</v>
      </c>
      <c r="AQ1487" s="246">
        <f>IFERROR(VLOOKUP(O1487,PROGRAMAS[],3,FALSE),0)</f>
        <v>0</v>
      </c>
      <c r="AR1487" s="246">
        <f>IFERROR(VLOOKUP(P1487,PROGRAMAS[],3,FALSE),0)</f>
        <v>0</v>
      </c>
      <c r="AS1487" s="246">
        <f>IFERROR(VLOOKUP(Q1487,PROGRAMAS[],3,FALSE),0)</f>
        <v>0</v>
      </c>
      <c r="AT1487" s="246">
        <f>IFERROR(VLOOKUP(D1487,VOL_REC[],2,FALSE),0)</f>
        <v>0</v>
      </c>
      <c r="AU1487" s="246">
        <f>IFERROR(VLOOKUP(E1487,VOL_REC[],2,FALSE),0)</f>
        <v>0</v>
      </c>
      <c r="AV1487" s="246">
        <f>IFERROR(VLOOKUP(F1487,VOL_REC[],2,FALSE),0)</f>
        <v>11089674.200000001</v>
      </c>
      <c r="AW1487" s="246">
        <f>IFERROR(VLOOKUP(G1487,VOL_REC[],2,FALSE),0)</f>
        <v>90439.55</v>
      </c>
      <c r="AX1487" s="246">
        <f>IFERROR(VLOOKUP(H1487,VOL_REC[],2,FALSE),0)</f>
        <v>4325103.1812214684</v>
      </c>
      <c r="AY1487" s="246">
        <f>IFERROR(VLOOKUP(I1487,VOL_REC[],2,FALSE),0)</f>
        <v>15540036.397699751</v>
      </c>
      <c r="AZ1487" s="246">
        <f>IFERROR(VLOOKUP(J1487,VOL_REC[],2,FALSE),0)</f>
        <v>3761786</v>
      </c>
      <c r="BA1487" s="246">
        <f>IFERROR(VLOOKUP(K1487,VOL_REC[],2,FALSE),0)</f>
        <v>1812240</v>
      </c>
      <c r="BB1487" s="246">
        <f>IFERROR(VLOOKUP(L1487,VOL_REC[],2,FALSE),0)</f>
        <v>240696.79238099116</v>
      </c>
      <c r="BC1487" s="246">
        <f>IFERROR(VLOOKUP(M1487,VOL_REC[],2,FALSE),0)</f>
        <v>663244.80000000016</v>
      </c>
      <c r="BD1487" s="246">
        <f>IFERROR(VLOOKUP(N1487,VOL_REC[],2,FALSE),0)</f>
        <v>0</v>
      </c>
      <c r="BE1487" s="246">
        <f>IFERROR(VLOOKUP(O1487,VOL_REC[],2,FALSE),0)</f>
        <v>0</v>
      </c>
      <c r="BF1487" s="246">
        <f>IFERROR(VLOOKUP(P1487,VOL_REC[],2,FALSE),0)</f>
        <v>0</v>
      </c>
      <c r="BG1487" s="246">
        <f>IFERROR(VLOOKUP(Q1487,VOL_REC[],2,FALSE),0)</f>
        <v>0</v>
      </c>
      <c r="BH1487" s="1710">
        <f t="shared" si="92"/>
        <v>27521384916.941132</v>
      </c>
      <c r="BI1487" s="1710">
        <f t="shared" si="93"/>
        <v>29753335836.856712</v>
      </c>
      <c r="BJ1487" s="1711">
        <f t="shared" si="94"/>
        <v>37523220.921302207</v>
      </c>
      <c r="BK1487" s="1711">
        <f t="shared" si="95"/>
        <v>0.9249848510380887</v>
      </c>
    </row>
    <row r="1488" spans="3:67" x14ac:dyDescent="0.25">
      <c r="C1488" s="246" t="s">
        <v>2838</v>
      </c>
      <c r="D1488" s="246">
        <v>1</v>
      </c>
      <c r="E1488" s="246">
        <v>2</v>
      </c>
      <c r="F1488" s="246">
        <v>3</v>
      </c>
      <c r="G1488" s="246">
        <v>4</v>
      </c>
      <c r="H1488" s="246">
        <v>5</v>
      </c>
      <c r="I1488" s="246">
        <v>6</v>
      </c>
      <c r="J1488" s="246">
        <v>9</v>
      </c>
      <c r="K1488" s="246">
        <v>10</v>
      </c>
      <c r="L1488" s="246">
        <v>12</v>
      </c>
      <c r="M1488" s="246">
        <v>14</v>
      </c>
      <c r="N1488" s="246"/>
      <c r="O1488" s="246"/>
      <c r="P1488" s="246"/>
      <c r="Q1488" s="246"/>
      <c r="R1488" s="246">
        <f>IFERROR(VLOOKUP(D1488,PROGRAMAS[],2,FALSE),0)</f>
        <v>97037803.679377079</v>
      </c>
      <c r="S1488" s="246">
        <f>IFERROR(VLOOKUP(E1488,PROGRAMAS[],2,FALSE),0)</f>
        <v>640501509.6821388</v>
      </c>
      <c r="T1488" s="246">
        <f>IFERROR(VLOOKUP(F1488,PROGRAMAS[],2,FALSE),0)</f>
        <v>3062327798.1525245</v>
      </c>
      <c r="U1488" s="246">
        <f>IFERROR(VLOOKUP(G1488,PROGRAMAS[],2,FALSE),0)</f>
        <v>67697118.033011258</v>
      </c>
      <c r="V1488" s="246">
        <f>IFERROR(VLOOKUP(H1488,PROGRAMAS[],2,FALSE),0)</f>
        <v>1440941976.2528784</v>
      </c>
      <c r="W1488" s="246">
        <f>IFERROR(VLOOKUP(I1488,PROGRAMAS[],2,FALSE),0)</f>
        <v>6907648435.8447599</v>
      </c>
      <c r="X1488" s="246">
        <f>IFERROR(VLOOKUP(J1488,PROGRAMAS[],2,FALSE),0)</f>
        <v>6128579952.1618185</v>
      </c>
      <c r="Y1488" s="246">
        <f>IFERROR(VLOOKUP(K1488,PROGRAMAS[],2,FALSE),0)</f>
        <v>4635315027.8751087</v>
      </c>
      <c r="Z1488" s="246">
        <f>IFERROR(VLOOKUP(L1488,PROGRAMAS[],2,FALSE),0)</f>
        <v>764796700.79905891</v>
      </c>
      <c r="AA1488" s="246">
        <f>IFERROR(VLOOKUP(M1488,PROGRAMAS[],2,FALSE),0)</f>
        <v>54223862.645839565</v>
      </c>
      <c r="AB1488" s="246">
        <f>IFERROR(VLOOKUP(N1488,PROGRAMAS[],2,FALSE),0)</f>
        <v>0</v>
      </c>
      <c r="AC1488" s="246">
        <f>IFERROR(VLOOKUP(O1488,PROGRAMAS[],2,FALSE),0)</f>
        <v>0</v>
      </c>
      <c r="AD1488" s="246">
        <f>IFERROR(VLOOKUP(P1488,PROGRAMAS[],2,FALSE),0)</f>
        <v>0</v>
      </c>
      <c r="AE1488" s="246">
        <f>IFERROR(VLOOKUP(Q1488,PROGRAMAS[],2,FALSE),0)</f>
        <v>0</v>
      </c>
      <c r="AF1488" s="246">
        <f>IFERROR(VLOOKUP(D1488,PROGRAMAS[],3,FALSE),0)</f>
        <v>841888629.31080008</v>
      </c>
      <c r="AG1488" s="246">
        <f>IFERROR(VLOOKUP(E1488,PROGRAMAS[],3,FALSE),0)</f>
        <v>3848980803.1642323</v>
      </c>
      <c r="AH1488" s="246">
        <f>IFERROR(VLOOKUP(F1488,PROGRAMAS[],3,FALSE),0)</f>
        <v>3394901471.387517</v>
      </c>
      <c r="AI1488" s="246">
        <f>IFERROR(VLOOKUP(G1488,PROGRAMAS[],3,FALSE),0)</f>
        <v>125317226.95549992</v>
      </c>
      <c r="AJ1488" s="246">
        <f>IFERROR(VLOOKUP(H1488,PROGRAMAS[],3,FALSE),0)</f>
        <v>1233505101.0616004</v>
      </c>
      <c r="AK1488" s="246">
        <f>IFERROR(VLOOKUP(I1488,PROGRAMAS[],3,FALSE),0)</f>
        <v>6129902208.7912121</v>
      </c>
      <c r="AL1488" s="246">
        <f>IFERROR(VLOOKUP(J1488,PROGRAMAS[],3,FALSE),0)</f>
        <v>7011279577.519702</v>
      </c>
      <c r="AM1488" s="246">
        <f>IFERROR(VLOOKUP(K1488,PROGRAMAS[],3,FALSE),0)</f>
        <v>4099471734.9978786</v>
      </c>
      <c r="AN1488" s="246">
        <f>IFERROR(VLOOKUP(L1488,PROGRAMAS[],3,FALSE),0)</f>
        <v>675517840.109828</v>
      </c>
      <c r="AO1488" s="246">
        <f>IFERROR(VLOOKUP(M1488,PROGRAMAS[],3,FALSE),0)</f>
        <v>31865326.38096505</v>
      </c>
      <c r="AP1488" s="246">
        <f>IFERROR(VLOOKUP(N1488,PROGRAMAS[],3,FALSE),0)</f>
        <v>0</v>
      </c>
      <c r="AQ1488" s="246">
        <f>IFERROR(VLOOKUP(O1488,PROGRAMAS[],3,FALSE),0)</f>
        <v>0</v>
      </c>
      <c r="AR1488" s="246">
        <f>IFERROR(VLOOKUP(P1488,PROGRAMAS[],3,FALSE),0)</f>
        <v>0</v>
      </c>
      <c r="AS1488" s="246">
        <f>IFERROR(VLOOKUP(Q1488,PROGRAMAS[],3,FALSE),0)</f>
        <v>0</v>
      </c>
      <c r="AT1488" s="246">
        <f>IFERROR(VLOOKUP(D1488,VOL_REC[],2,FALSE),0)</f>
        <v>0</v>
      </c>
      <c r="AU1488" s="246">
        <f>IFERROR(VLOOKUP(E1488,VOL_REC[],2,FALSE),0)</f>
        <v>0</v>
      </c>
      <c r="AV1488" s="246">
        <f>IFERROR(VLOOKUP(F1488,VOL_REC[],2,FALSE),0)</f>
        <v>11089674.200000001</v>
      </c>
      <c r="AW1488" s="246">
        <f>IFERROR(VLOOKUP(G1488,VOL_REC[],2,FALSE),0)</f>
        <v>90439.55</v>
      </c>
      <c r="AX1488" s="246">
        <f>IFERROR(VLOOKUP(H1488,VOL_REC[],2,FALSE),0)</f>
        <v>4325103.1812214684</v>
      </c>
      <c r="AY1488" s="246">
        <f>IFERROR(VLOOKUP(I1488,VOL_REC[],2,FALSE),0)</f>
        <v>15540036.397699751</v>
      </c>
      <c r="AZ1488" s="246">
        <f>IFERROR(VLOOKUP(J1488,VOL_REC[],2,FALSE),0)</f>
        <v>3761786</v>
      </c>
      <c r="BA1488" s="246">
        <f>IFERROR(VLOOKUP(K1488,VOL_REC[],2,FALSE),0)</f>
        <v>1812240</v>
      </c>
      <c r="BB1488" s="246">
        <f>IFERROR(VLOOKUP(L1488,VOL_REC[],2,FALSE),0)</f>
        <v>240696.79238099116</v>
      </c>
      <c r="BC1488" s="246">
        <f>IFERROR(VLOOKUP(M1488,VOL_REC[],2,FALSE),0)</f>
        <v>17074.045034105649</v>
      </c>
      <c r="BD1488" s="246">
        <f>IFERROR(VLOOKUP(N1488,VOL_REC[],2,FALSE),0)</f>
        <v>0</v>
      </c>
      <c r="BE1488" s="246">
        <f>IFERROR(VLOOKUP(O1488,VOL_REC[],2,FALSE),0)</f>
        <v>0</v>
      </c>
      <c r="BF1488" s="246">
        <f>IFERROR(VLOOKUP(P1488,VOL_REC[],2,FALSE),0)</f>
        <v>0</v>
      </c>
      <c r="BG1488" s="246">
        <f>IFERROR(VLOOKUP(Q1488,VOL_REC[],2,FALSE),0)</f>
        <v>0</v>
      </c>
      <c r="BH1488" s="1710">
        <f t="shared" si="92"/>
        <v>23799070185.126514</v>
      </c>
      <c r="BI1488" s="1710">
        <f t="shared" si="93"/>
        <v>27392629919.679237</v>
      </c>
      <c r="BJ1488" s="1711">
        <f t="shared" si="94"/>
        <v>36877050.166336313</v>
      </c>
      <c r="BK1488" s="1711">
        <f t="shared" si="95"/>
        <v>0.86881289802805461</v>
      </c>
    </row>
    <row r="1489" spans="3:67" x14ac:dyDescent="0.25">
      <c r="C1489" s="246" t="s">
        <v>2839</v>
      </c>
      <c r="D1489" s="246">
        <v>1</v>
      </c>
      <c r="E1489" s="246">
        <v>2</v>
      </c>
      <c r="F1489" s="246">
        <v>3</v>
      </c>
      <c r="G1489" s="246">
        <v>4</v>
      </c>
      <c r="H1489" s="246">
        <v>5</v>
      </c>
      <c r="I1489" s="246">
        <v>6</v>
      </c>
      <c r="J1489" s="246">
        <v>9</v>
      </c>
      <c r="K1489" s="246">
        <v>10</v>
      </c>
      <c r="L1489" s="246">
        <v>12</v>
      </c>
      <c r="M1489" s="246">
        <v>15</v>
      </c>
      <c r="N1489" s="246"/>
      <c r="O1489" s="246"/>
      <c r="P1489" s="246"/>
      <c r="Q1489" s="246"/>
      <c r="R1489" s="246">
        <f>IFERROR(VLOOKUP(D1489,PROGRAMAS[],2,FALSE),0)</f>
        <v>97037803.679377079</v>
      </c>
      <c r="S1489" s="246">
        <f>IFERROR(VLOOKUP(E1489,PROGRAMAS[],2,FALSE),0)</f>
        <v>640501509.6821388</v>
      </c>
      <c r="T1489" s="246">
        <f>IFERROR(VLOOKUP(F1489,PROGRAMAS[],2,FALSE),0)</f>
        <v>3062327798.1525245</v>
      </c>
      <c r="U1489" s="246">
        <f>IFERROR(VLOOKUP(G1489,PROGRAMAS[],2,FALSE),0)</f>
        <v>67697118.033011258</v>
      </c>
      <c r="V1489" s="246">
        <f>IFERROR(VLOOKUP(H1489,PROGRAMAS[],2,FALSE),0)</f>
        <v>1440941976.2528784</v>
      </c>
      <c r="W1489" s="246">
        <f>IFERROR(VLOOKUP(I1489,PROGRAMAS[],2,FALSE),0)</f>
        <v>6907648435.8447599</v>
      </c>
      <c r="X1489" s="246">
        <f>IFERROR(VLOOKUP(J1489,PROGRAMAS[],2,FALSE),0)</f>
        <v>6128579952.1618185</v>
      </c>
      <c r="Y1489" s="246">
        <f>IFERROR(VLOOKUP(K1489,PROGRAMAS[],2,FALSE),0)</f>
        <v>4635315027.8751087</v>
      </c>
      <c r="Z1489" s="246">
        <f>IFERROR(VLOOKUP(L1489,PROGRAMAS[],2,FALSE),0)</f>
        <v>764796700.79905891</v>
      </c>
      <c r="AA1489" s="246">
        <f>IFERROR(VLOOKUP(M1489,PROGRAMAS[],2,FALSE),0)</f>
        <v>122159672.96346797</v>
      </c>
      <c r="AB1489" s="246">
        <f>IFERROR(VLOOKUP(N1489,PROGRAMAS[],2,FALSE),0)</f>
        <v>0</v>
      </c>
      <c r="AC1489" s="246">
        <f>IFERROR(VLOOKUP(O1489,PROGRAMAS[],2,FALSE),0)</f>
        <v>0</v>
      </c>
      <c r="AD1489" s="246">
        <f>IFERROR(VLOOKUP(P1489,PROGRAMAS[],2,FALSE),0)</f>
        <v>0</v>
      </c>
      <c r="AE1489" s="246">
        <f>IFERROR(VLOOKUP(Q1489,PROGRAMAS[],2,FALSE),0)</f>
        <v>0</v>
      </c>
      <c r="AF1489" s="246">
        <f>IFERROR(VLOOKUP(D1489,PROGRAMAS[],3,FALSE),0)</f>
        <v>841888629.31080008</v>
      </c>
      <c r="AG1489" s="246">
        <f>IFERROR(VLOOKUP(E1489,PROGRAMAS[],3,FALSE),0)</f>
        <v>3848980803.1642323</v>
      </c>
      <c r="AH1489" s="246">
        <f>IFERROR(VLOOKUP(F1489,PROGRAMAS[],3,FALSE),0)</f>
        <v>3394901471.387517</v>
      </c>
      <c r="AI1489" s="246">
        <f>IFERROR(VLOOKUP(G1489,PROGRAMAS[],3,FALSE),0)</f>
        <v>125317226.95549992</v>
      </c>
      <c r="AJ1489" s="246">
        <f>IFERROR(VLOOKUP(H1489,PROGRAMAS[],3,FALSE),0)</f>
        <v>1233505101.0616004</v>
      </c>
      <c r="AK1489" s="246">
        <f>IFERROR(VLOOKUP(I1489,PROGRAMAS[],3,FALSE),0)</f>
        <v>6129902208.7912121</v>
      </c>
      <c r="AL1489" s="246">
        <f>IFERROR(VLOOKUP(J1489,PROGRAMAS[],3,FALSE),0)</f>
        <v>7011279577.519702</v>
      </c>
      <c r="AM1489" s="246">
        <f>IFERROR(VLOOKUP(K1489,PROGRAMAS[],3,FALSE),0)</f>
        <v>4099471734.9978786</v>
      </c>
      <c r="AN1489" s="246">
        <f>IFERROR(VLOOKUP(L1489,PROGRAMAS[],3,FALSE),0)</f>
        <v>675517840.109828</v>
      </c>
      <c r="AO1489" s="246">
        <f>IFERROR(VLOOKUP(M1489,PROGRAMAS[],3,FALSE),0)</f>
        <v>118617452.52510804</v>
      </c>
      <c r="AP1489" s="246">
        <f>IFERROR(VLOOKUP(N1489,PROGRAMAS[],3,FALSE),0)</f>
        <v>0</v>
      </c>
      <c r="AQ1489" s="246">
        <f>IFERROR(VLOOKUP(O1489,PROGRAMAS[],3,FALSE),0)</f>
        <v>0</v>
      </c>
      <c r="AR1489" s="246">
        <f>IFERROR(VLOOKUP(P1489,PROGRAMAS[],3,FALSE),0)</f>
        <v>0</v>
      </c>
      <c r="AS1489" s="246">
        <f>IFERROR(VLOOKUP(Q1489,PROGRAMAS[],3,FALSE),0)</f>
        <v>0</v>
      </c>
      <c r="AT1489" s="246">
        <f>IFERROR(VLOOKUP(D1489,VOL_REC[],2,FALSE),0)</f>
        <v>0</v>
      </c>
      <c r="AU1489" s="246">
        <f>IFERROR(VLOOKUP(E1489,VOL_REC[],2,FALSE),0)</f>
        <v>0</v>
      </c>
      <c r="AV1489" s="246">
        <f>IFERROR(VLOOKUP(F1489,VOL_REC[],2,FALSE),0)</f>
        <v>11089674.200000001</v>
      </c>
      <c r="AW1489" s="246">
        <f>IFERROR(VLOOKUP(G1489,VOL_REC[],2,FALSE),0)</f>
        <v>90439.55</v>
      </c>
      <c r="AX1489" s="246">
        <f>IFERROR(VLOOKUP(H1489,VOL_REC[],2,FALSE),0)</f>
        <v>4325103.1812214684</v>
      </c>
      <c r="AY1489" s="246">
        <f>IFERROR(VLOOKUP(I1489,VOL_REC[],2,FALSE),0)</f>
        <v>15540036.397699751</v>
      </c>
      <c r="AZ1489" s="246">
        <f>IFERROR(VLOOKUP(J1489,VOL_REC[],2,FALSE),0)</f>
        <v>3761786</v>
      </c>
      <c r="BA1489" s="246">
        <f>IFERROR(VLOOKUP(K1489,VOL_REC[],2,FALSE),0)</f>
        <v>1812240</v>
      </c>
      <c r="BB1489" s="246">
        <f>IFERROR(VLOOKUP(L1489,VOL_REC[],2,FALSE),0)</f>
        <v>240696.79238099116</v>
      </c>
      <c r="BC1489" s="246">
        <f>IFERROR(VLOOKUP(M1489,VOL_REC[],2,FALSE),0)</f>
        <v>105072</v>
      </c>
      <c r="BD1489" s="246">
        <f>IFERROR(VLOOKUP(N1489,VOL_REC[],2,FALSE),0)</f>
        <v>0</v>
      </c>
      <c r="BE1489" s="246">
        <f>IFERROR(VLOOKUP(O1489,VOL_REC[],2,FALSE),0)</f>
        <v>0</v>
      </c>
      <c r="BF1489" s="246">
        <f>IFERROR(VLOOKUP(P1489,VOL_REC[],2,FALSE),0)</f>
        <v>0</v>
      </c>
      <c r="BG1489" s="246">
        <f>IFERROR(VLOOKUP(Q1489,VOL_REC[],2,FALSE),0)</f>
        <v>0</v>
      </c>
      <c r="BH1489" s="1710">
        <f t="shared" si="92"/>
        <v>23867005995.444141</v>
      </c>
      <c r="BI1489" s="1710">
        <f t="shared" si="93"/>
        <v>27479382045.82338</v>
      </c>
      <c r="BJ1489" s="1711">
        <f t="shared" si="94"/>
        <v>36965048.12130221</v>
      </c>
      <c r="BK1489" s="1711">
        <f t="shared" si="95"/>
        <v>0.86854231130978843</v>
      </c>
    </row>
    <row r="1490" spans="3:67" x14ac:dyDescent="0.25">
      <c r="C1490" s="246" t="s">
        <v>2840</v>
      </c>
      <c r="D1490" s="246">
        <v>1</v>
      </c>
      <c r="E1490" s="246">
        <v>2</v>
      </c>
      <c r="F1490" s="246">
        <v>3</v>
      </c>
      <c r="G1490" s="246">
        <v>4</v>
      </c>
      <c r="H1490" s="246">
        <v>5</v>
      </c>
      <c r="I1490" s="246">
        <v>6</v>
      </c>
      <c r="J1490" s="246">
        <v>9</v>
      </c>
      <c r="K1490" s="246">
        <v>10</v>
      </c>
      <c r="L1490" s="246">
        <v>12</v>
      </c>
      <c r="M1490" s="246">
        <v>16</v>
      </c>
      <c r="N1490" s="246"/>
      <c r="O1490" s="246"/>
      <c r="P1490" s="246"/>
      <c r="Q1490" s="246"/>
      <c r="R1490" s="246">
        <f>IFERROR(VLOOKUP(D1490,PROGRAMAS[],2,FALSE),0)</f>
        <v>97037803.679377079</v>
      </c>
      <c r="S1490" s="246">
        <f>IFERROR(VLOOKUP(E1490,PROGRAMAS[],2,FALSE),0)</f>
        <v>640501509.6821388</v>
      </c>
      <c r="T1490" s="246">
        <f>IFERROR(VLOOKUP(F1490,PROGRAMAS[],2,FALSE),0)</f>
        <v>3062327798.1525245</v>
      </c>
      <c r="U1490" s="246">
        <f>IFERROR(VLOOKUP(G1490,PROGRAMAS[],2,FALSE),0)</f>
        <v>67697118.033011258</v>
      </c>
      <c r="V1490" s="246">
        <f>IFERROR(VLOOKUP(H1490,PROGRAMAS[],2,FALSE),0)</f>
        <v>1440941976.2528784</v>
      </c>
      <c r="W1490" s="246">
        <f>IFERROR(VLOOKUP(I1490,PROGRAMAS[],2,FALSE),0)</f>
        <v>6907648435.8447599</v>
      </c>
      <c r="X1490" s="246">
        <f>IFERROR(VLOOKUP(J1490,PROGRAMAS[],2,FALSE),0)</f>
        <v>6128579952.1618185</v>
      </c>
      <c r="Y1490" s="246">
        <f>IFERROR(VLOOKUP(K1490,PROGRAMAS[],2,FALSE),0)</f>
        <v>4635315027.8751087</v>
      </c>
      <c r="Z1490" s="246">
        <f>IFERROR(VLOOKUP(L1490,PROGRAMAS[],2,FALSE),0)</f>
        <v>764796700.79905891</v>
      </c>
      <c r="AA1490" s="246">
        <f>IFERROR(VLOOKUP(M1490,PROGRAMAS[],2,FALSE),0)</f>
        <v>7068496961.0436354</v>
      </c>
      <c r="AB1490" s="246">
        <f>IFERROR(VLOOKUP(N1490,PROGRAMAS[],2,FALSE),0)</f>
        <v>0</v>
      </c>
      <c r="AC1490" s="246">
        <f>IFERROR(VLOOKUP(O1490,PROGRAMAS[],2,FALSE),0)</f>
        <v>0</v>
      </c>
      <c r="AD1490" s="246">
        <f>IFERROR(VLOOKUP(P1490,PROGRAMAS[],2,FALSE),0)</f>
        <v>0</v>
      </c>
      <c r="AE1490" s="246">
        <f>IFERROR(VLOOKUP(Q1490,PROGRAMAS[],2,FALSE),0)</f>
        <v>0</v>
      </c>
      <c r="AF1490" s="246">
        <f>IFERROR(VLOOKUP(D1490,PROGRAMAS[],3,FALSE),0)</f>
        <v>841888629.31080008</v>
      </c>
      <c r="AG1490" s="246">
        <f>IFERROR(VLOOKUP(E1490,PROGRAMAS[],3,FALSE),0)</f>
        <v>3848980803.1642323</v>
      </c>
      <c r="AH1490" s="246">
        <f>IFERROR(VLOOKUP(F1490,PROGRAMAS[],3,FALSE),0)</f>
        <v>3394901471.387517</v>
      </c>
      <c r="AI1490" s="246">
        <f>IFERROR(VLOOKUP(G1490,PROGRAMAS[],3,FALSE),0)</f>
        <v>125317226.95549992</v>
      </c>
      <c r="AJ1490" s="246">
        <f>IFERROR(VLOOKUP(H1490,PROGRAMAS[],3,FALSE),0)</f>
        <v>1233505101.0616004</v>
      </c>
      <c r="AK1490" s="246">
        <f>IFERROR(VLOOKUP(I1490,PROGRAMAS[],3,FALSE),0)</f>
        <v>6129902208.7912121</v>
      </c>
      <c r="AL1490" s="246">
        <f>IFERROR(VLOOKUP(J1490,PROGRAMAS[],3,FALSE),0)</f>
        <v>7011279577.519702</v>
      </c>
      <c r="AM1490" s="246">
        <f>IFERROR(VLOOKUP(K1490,PROGRAMAS[],3,FALSE),0)</f>
        <v>4099471734.9978786</v>
      </c>
      <c r="AN1490" s="246">
        <f>IFERROR(VLOOKUP(L1490,PROGRAMAS[],3,FALSE),0)</f>
        <v>675517840.109828</v>
      </c>
      <c r="AO1490" s="246">
        <f>IFERROR(VLOOKUP(M1490,PROGRAMAS[],3,FALSE),0)</f>
        <v>2406564599.0319901</v>
      </c>
      <c r="AP1490" s="246">
        <f>IFERROR(VLOOKUP(N1490,PROGRAMAS[],3,FALSE),0)</f>
        <v>0</v>
      </c>
      <c r="AQ1490" s="246">
        <f>IFERROR(VLOOKUP(O1490,PROGRAMAS[],3,FALSE),0)</f>
        <v>0</v>
      </c>
      <c r="AR1490" s="246">
        <f>IFERROR(VLOOKUP(P1490,PROGRAMAS[],3,FALSE),0)</f>
        <v>0</v>
      </c>
      <c r="AS1490" s="246">
        <f>IFERROR(VLOOKUP(Q1490,PROGRAMAS[],3,FALSE),0)</f>
        <v>0</v>
      </c>
      <c r="AT1490" s="246">
        <f>IFERROR(VLOOKUP(D1490,VOL_REC[],2,FALSE),0)</f>
        <v>0</v>
      </c>
      <c r="AU1490" s="246">
        <f>IFERROR(VLOOKUP(E1490,VOL_REC[],2,FALSE),0)</f>
        <v>0</v>
      </c>
      <c r="AV1490" s="246">
        <f>IFERROR(VLOOKUP(F1490,VOL_REC[],2,FALSE),0)</f>
        <v>11089674.200000001</v>
      </c>
      <c r="AW1490" s="246">
        <f>IFERROR(VLOOKUP(G1490,VOL_REC[],2,FALSE),0)</f>
        <v>90439.55</v>
      </c>
      <c r="AX1490" s="246">
        <f>IFERROR(VLOOKUP(H1490,VOL_REC[],2,FALSE),0)</f>
        <v>4325103.1812214684</v>
      </c>
      <c r="AY1490" s="246">
        <f>IFERROR(VLOOKUP(I1490,VOL_REC[],2,FALSE),0)</f>
        <v>15540036.397699751</v>
      </c>
      <c r="AZ1490" s="246">
        <f>IFERROR(VLOOKUP(J1490,VOL_REC[],2,FALSE),0)</f>
        <v>3761786</v>
      </c>
      <c r="BA1490" s="246">
        <f>IFERROR(VLOOKUP(K1490,VOL_REC[],2,FALSE),0)</f>
        <v>1812240</v>
      </c>
      <c r="BB1490" s="246">
        <f>IFERROR(VLOOKUP(L1490,VOL_REC[],2,FALSE),0)</f>
        <v>240696.79238099116</v>
      </c>
      <c r="BC1490" s="246">
        <f>IFERROR(VLOOKUP(M1490,VOL_REC[],2,FALSE),0)</f>
        <v>1072354.9981737854</v>
      </c>
      <c r="BD1490" s="246">
        <f>IFERROR(VLOOKUP(N1490,VOL_REC[],2,FALSE),0)</f>
        <v>0</v>
      </c>
      <c r="BE1490" s="246">
        <f>IFERROR(VLOOKUP(O1490,VOL_REC[],2,FALSE),0)</f>
        <v>0</v>
      </c>
      <c r="BF1490" s="246">
        <f>IFERROR(VLOOKUP(P1490,VOL_REC[],2,FALSE),0)</f>
        <v>0</v>
      </c>
      <c r="BG1490" s="246">
        <f>IFERROR(VLOOKUP(Q1490,VOL_REC[],2,FALSE),0)</f>
        <v>0</v>
      </c>
      <c r="BH1490" s="1710">
        <f t="shared" si="92"/>
        <v>30813343283.524311</v>
      </c>
      <c r="BI1490" s="1710">
        <f t="shared" si="93"/>
        <v>29767329192.330261</v>
      </c>
      <c r="BJ1490" s="1711">
        <f t="shared" si="94"/>
        <v>37932331.119475998</v>
      </c>
      <c r="BK1490" s="1711">
        <f t="shared" si="95"/>
        <v>1.0351396688777696</v>
      </c>
      <c r="BL1490">
        <f>BJ1490</f>
        <v>37932331.119475998</v>
      </c>
      <c r="BO1490">
        <f>BL1490</f>
        <v>37932331.119475998</v>
      </c>
    </row>
    <row r="1491" spans="3:67" x14ac:dyDescent="0.25">
      <c r="C1491" s="246" t="s">
        <v>2841</v>
      </c>
      <c r="D1491" s="246">
        <v>1</v>
      </c>
      <c r="E1491" s="246">
        <v>2</v>
      </c>
      <c r="F1491" s="246">
        <v>3</v>
      </c>
      <c r="G1491" s="246">
        <v>4</v>
      </c>
      <c r="H1491" s="246">
        <v>5</v>
      </c>
      <c r="I1491" s="246">
        <v>6</v>
      </c>
      <c r="J1491" s="246">
        <v>9</v>
      </c>
      <c r="K1491" s="246">
        <v>10</v>
      </c>
      <c r="L1491" s="246">
        <v>12</v>
      </c>
      <c r="M1491" s="246">
        <v>17</v>
      </c>
      <c r="N1491" s="246"/>
      <c r="O1491" s="246"/>
      <c r="P1491" s="246"/>
      <c r="Q1491" s="246"/>
      <c r="R1491" s="246">
        <f>IFERROR(VLOOKUP(D1491,PROGRAMAS[],2,FALSE),0)</f>
        <v>97037803.679377079</v>
      </c>
      <c r="S1491" s="246">
        <f>IFERROR(VLOOKUP(E1491,PROGRAMAS[],2,FALSE),0)</f>
        <v>640501509.6821388</v>
      </c>
      <c r="T1491" s="246">
        <f>IFERROR(VLOOKUP(F1491,PROGRAMAS[],2,FALSE),0)</f>
        <v>3062327798.1525245</v>
      </c>
      <c r="U1491" s="246">
        <f>IFERROR(VLOOKUP(G1491,PROGRAMAS[],2,FALSE),0)</f>
        <v>67697118.033011258</v>
      </c>
      <c r="V1491" s="246">
        <f>IFERROR(VLOOKUP(H1491,PROGRAMAS[],2,FALSE),0)</f>
        <v>1440941976.2528784</v>
      </c>
      <c r="W1491" s="246">
        <f>IFERROR(VLOOKUP(I1491,PROGRAMAS[],2,FALSE),0)</f>
        <v>6907648435.8447599</v>
      </c>
      <c r="X1491" s="246">
        <f>IFERROR(VLOOKUP(J1491,PROGRAMAS[],2,FALSE),0)</f>
        <v>6128579952.1618185</v>
      </c>
      <c r="Y1491" s="246">
        <f>IFERROR(VLOOKUP(K1491,PROGRAMAS[],2,FALSE),0)</f>
        <v>4635315027.8751087</v>
      </c>
      <c r="Z1491" s="246">
        <f>IFERROR(VLOOKUP(L1491,PROGRAMAS[],2,FALSE),0)</f>
        <v>764796700.79905891</v>
      </c>
      <c r="AA1491" s="246">
        <f>IFERROR(VLOOKUP(M1491,PROGRAMAS[],2,FALSE),0)</f>
        <v>1892779498.5211046</v>
      </c>
      <c r="AB1491" s="246">
        <f>IFERROR(VLOOKUP(N1491,PROGRAMAS[],2,FALSE),0)</f>
        <v>0</v>
      </c>
      <c r="AC1491" s="246">
        <f>IFERROR(VLOOKUP(O1491,PROGRAMAS[],2,FALSE),0)</f>
        <v>0</v>
      </c>
      <c r="AD1491" s="246">
        <f>IFERROR(VLOOKUP(P1491,PROGRAMAS[],2,FALSE),0)</f>
        <v>0</v>
      </c>
      <c r="AE1491" s="246">
        <f>IFERROR(VLOOKUP(Q1491,PROGRAMAS[],2,FALSE),0)</f>
        <v>0</v>
      </c>
      <c r="AF1491" s="246">
        <f>IFERROR(VLOOKUP(D1491,PROGRAMAS[],3,FALSE),0)</f>
        <v>841888629.31080008</v>
      </c>
      <c r="AG1491" s="246">
        <f>IFERROR(VLOOKUP(E1491,PROGRAMAS[],3,FALSE),0)</f>
        <v>3848980803.1642323</v>
      </c>
      <c r="AH1491" s="246">
        <f>IFERROR(VLOOKUP(F1491,PROGRAMAS[],3,FALSE),0)</f>
        <v>3394901471.387517</v>
      </c>
      <c r="AI1491" s="246">
        <f>IFERROR(VLOOKUP(G1491,PROGRAMAS[],3,FALSE),0)</f>
        <v>125317226.95549992</v>
      </c>
      <c r="AJ1491" s="246">
        <f>IFERROR(VLOOKUP(H1491,PROGRAMAS[],3,FALSE),0)</f>
        <v>1233505101.0616004</v>
      </c>
      <c r="AK1491" s="246">
        <f>IFERROR(VLOOKUP(I1491,PROGRAMAS[],3,FALSE),0)</f>
        <v>6129902208.7912121</v>
      </c>
      <c r="AL1491" s="246">
        <f>IFERROR(VLOOKUP(J1491,PROGRAMAS[],3,FALSE),0)</f>
        <v>7011279577.519702</v>
      </c>
      <c r="AM1491" s="246">
        <f>IFERROR(VLOOKUP(K1491,PROGRAMAS[],3,FALSE),0)</f>
        <v>4099471734.9978786</v>
      </c>
      <c r="AN1491" s="246">
        <f>IFERROR(VLOOKUP(L1491,PROGRAMAS[],3,FALSE),0)</f>
        <v>675517840.109828</v>
      </c>
      <c r="AO1491" s="246">
        <f>IFERROR(VLOOKUP(M1491,PROGRAMAS[],3,FALSE),0)</f>
        <v>948595847.09039903</v>
      </c>
      <c r="AP1491" s="246">
        <f>IFERROR(VLOOKUP(N1491,PROGRAMAS[],3,FALSE),0)</f>
        <v>0</v>
      </c>
      <c r="AQ1491" s="246">
        <f>IFERROR(VLOOKUP(O1491,PROGRAMAS[],3,FALSE),0)</f>
        <v>0</v>
      </c>
      <c r="AR1491" s="246">
        <f>IFERROR(VLOOKUP(P1491,PROGRAMAS[],3,FALSE),0)</f>
        <v>0</v>
      </c>
      <c r="AS1491" s="246">
        <f>IFERROR(VLOOKUP(Q1491,PROGRAMAS[],3,FALSE),0)</f>
        <v>0</v>
      </c>
      <c r="AT1491" s="246">
        <f>IFERROR(VLOOKUP(D1491,VOL_REC[],2,FALSE),0)</f>
        <v>0</v>
      </c>
      <c r="AU1491" s="246">
        <f>IFERROR(VLOOKUP(E1491,VOL_REC[],2,FALSE),0)</f>
        <v>0</v>
      </c>
      <c r="AV1491" s="246">
        <f>IFERROR(VLOOKUP(F1491,VOL_REC[],2,FALSE),0)</f>
        <v>11089674.200000001</v>
      </c>
      <c r="AW1491" s="246">
        <f>IFERROR(VLOOKUP(G1491,VOL_REC[],2,FALSE),0)</f>
        <v>90439.55</v>
      </c>
      <c r="AX1491" s="246">
        <f>IFERROR(VLOOKUP(H1491,VOL_REC[],2,FALSE),0)</f>
        <v>4325103.1812214684</v>
      </c>
      <c r="AY1491" s="246">
        <f>IFERROR(VLOOKUP(I1491,VOL_REC[],2,FALSE),0)</f>
        <v>15540036.397699751</v>
      </c>
      <c r="AZ1491" s="246">
        <f>IFERROR(VLOOKUP(J1491,VOL_REC[],2,FALSE),0)</f>
        <v>3761786</v>
      </c>
      <c r="BA1491" s="246">
        <f>IFERROR(VLOOKUP(K1491,VOL_REC[],2,FALSE),0)</f>
        <v>1812240</v>
      </c>
      <c r="BB1491" s="246">
        <f>IFERROR(VLOOKUP(L1491,VOL_REC[],2,FALSE),0)</f>
        <v>240696.79238099116</v>
      </c>
      <c r="BC1491" s="246">
        <f>IFERROR(VLOOKUP(M1491,VOL_REC[],2,FALSE),0)</f>
        <v>740113.98115702497</v>
      </c>
      <c r="BD1491" s="246">
        <f>IFERROR(VLOOKUP(N1491,VOL_REC[],2,FALSE),0)</f>
        <v>0</v>
      </c>
      <c r="BE1491" s="246">
        <f>IFERROR(VLOOKUP(O1491,VOL_REC[],2,FALSE),0)</f>
        <v>0</v>
      </c>
      <c r="BF1491" s="246">
        <f>IFERROR(VLOOKUP(P1491,VOL_REC[],2,FALSE),0)</f>
        <v>0</v>
      </c>
      <c r="BG1491" s="246">
        <f>IFERROR(VLOOKUP(Q1491,VOL_REC[],2,FALSE),0)</f>
        <v>0</v>
      </c>
      <c r="BH1491" s="1710">
        <f t="shared" si="92"/>
        <v>25637625821.001778</v>
      </c>
      <c r="BI1491" s="1710">
        <f t="shared" si="93"/>
        <v>28309360440.388672</v>
      </c>
      <c r="BJ1491" s="1711">
        <f t="shared" si="94"/>
        <v>37600090.102459237</v>
      </c>
      <c r="BK1491" s="1711">
        <f t="shared" si="95"/>
        <v>0.90562363197809448</v>
      </c>
    </row>
    <row r="1492" spans="3:67" x14ac:dyDescent="0.25">
      <c r="C1492" s="246" t="s">
        <v>2842</v>
      </c>
      <c r="D1492" s="246">
        <v>1</v>
      </c>
      <c r="E1492" s="246">
        <v>2</v>
      </c>
      <c r="F1492" s="246">
        <v>3</v>
      </c>
      <c r="G1492" s="246">
        <v>4</v>
      </c>
      <c r="H1492" s="246">
        <v>5</v>
      </c>
      <c r="I1492" s="246">
        <v>6</v>
      </c>
      <c r="J1492" s="246">
        <v>9</v>
      </c>
      <c r="K1492" s="246">
        <v>10</v>
      </c>
      <c r="L1492" s="246">
        <v>13</v>
      </c>
      <c r="M1492" s="246">
        <v>14</v>
      </c>
      <c r="N1492" s="246"/>
      <c r="O1492" s="246"/>
      <c r="P1492" s="246"/>
      <c r="Q1492" s="246"/>
      <c r="R1492" s="246">
        <f>IFERROR(VLOOKUP(D1492,PROGRAMAS[],2,FALSE),0)</f>
        <v>97037803.679377079</v>
      </c>
      <c r="S1492" s="246">
        <f>IFERROR(VLOOKUP(E1492,PROGRAMAS[],2,FALSE),0)</f>
        <v>640501509.6821388</v>
      </c>
      <c r="T1492" s="246">
        <f>IFERROR(VLOOKUP(F1492,PROGRAMAS[],2,FALSE),0)</f>
        <v>3062327798.1525245</v>
      </c>
      <c r="U1492" s="246">
        <f>IFERROR(VLOOKUP(G1492,PROGRAMAS[],2,FALSE),0)</f>
        <v>67697118.033011258</v>
      </c>
      <c r="V1492" s="246">
        <f>IFERROR(VLOOKUP(H1492,PROGRAMAS[],2,FALSE),0)</f>
        <v>1440941976.2528784</v>
      </c>
      <c r="W1492" s="246">
        <f>IFERROR(VLOOKUP(I1492,PROGRAMAS[],2,FALSE),0)</f>
        <v>6907648435.8447599</v>
      </c>
      <c r="X1492" s="246">
        <f>IFERROR(VLOOKUP(J1492,PROGRAMAS[],2,FALSE),0)</f>
        <v>6128579952.1618185</v>
      </c>
      <c r="Y1492" s="246">
        <f>IFERROR(VLOOKUP(K1492,PROGRAMAS[],2,FALSE),0)</f>
        <v>4635315027.8751087</v>
      </c>
      <c r="Z1492" s="246">
        <f>IFERROR(VLOOKUP(L1492,PROGRAMAS[],2,FALSE),0)</f>
        <v>3776538594.4604583</v>
      </c>
      <c r="AA1492" s="246">
        <f>IFERROR(VLOOKUP(M1492,PROGRAMAS[],2,FALSE),0)</f>
        <v>54223862.645839565</v>
      </c>
      <c r="AB1492" s="246">
        <f>IFERROR(VLOOKUP(N1492,PROGRAMAS[],2,FALSE),0)</f>
        <v>0</v>
      </c>
      <c r="AC1492" s="246">
        <f>IFERROR(VLOOKUP(O1492,PROGRAMAS[],2,FALSE),0)</f>
        <v>0</v>
      </c>
      <c r="AD1492" s="246">
        <f>IFERROR(VLOOKUP(P1492,PROGRAMAS[],2,FALSE),0)</f>
        <v>0</v>
      </c>
      <c r="AE1492" s="246">
        <f>IFERROR(VLOOKUP(Q1492,PROGRAMAS[],2,FALSE),0)</f>
        <v>0</v>
      </c>
      <c r="AF1492" s="246">
        <f>IFERROR(VLOOKUP(D1492,PROGRAMAS[],3,FALSE),0)</f>
        <v>841888629.31080008</v>
      </c>
      <c r="AG1492" s="246">
        <f>IFERROR(VLOOKUP(E1492,PROGRAMAS[],3,FALSE),0)</f>
        <v>3848980803.1642323</v>
      </c>
      <c r="AH1492" s="246">
        <f>IFERROR(VLOOKUP(F1492,PROGRAMAS[],3,FALSE),0)</f>
        <v>3394901471.387517</v>
      </c>
      <c r="AI1492" s="246">
        <f>IFERROR(VLOOKUP(G1492,PROGRAMAS[],3,FALSE),0)</f>
        <v>125317226.95549992</v>
      </c>
      <c r="AJ1492" s="246">
        <f>IFERROR(VLOOKUP(H1492,PROGRAMAS[],3,FALSE),0)</f>
        <v>1233505101.0616004</v>
      </c>
      <c r="AK1492" s="246">
        <f>IFERROR(VLOOKUP(I1492,PROGRAMAS[],3,FALSE),0)</f>
        <v>6129902208.7912121</v>
      </c>
      <c r="AL1492" s="246">
        <f>IFERROR(VLOOKUP(J1492,PROGRAMAS[],3,FALSE),0)</f>
        <v>7011279577.519702</v>
      </c>
      <c r="AM1492" s="246">
        <f>IFERROR(VLOOKUP(K1492,PROGRAMAS[],3,FALSE),0)</f>
        <v>4099471734.9978786</v>
      </c>
      <c r="AN1492" s="246">
        <f>IFERROR(VLOOKUP(L1492,PROGRAMAS[],3,FALSE),0)</f>
        <v>2392571243.5584412</v>
      </c>
      <c r="AO1492" s="246">
        <f>IFERROR(VLOOKUP(M1492,PROGRAMAS[],3,FALSE),0)</f>
        <v>31865326.38096505</v>
      </c>
      <c r="AP1492" s="246">
        <f>IFERROR(VLOOKUP(N1492,PROGRAMAS[],3,FALSE),0)</f>
        <v>0</v>
      </c>
      <c r="AQ1492" s="246">
        <f>IFERROR(VLOOKUP(O1492,PROGRAMAS[],3,FALSE),0)</f>
        <v>0</v>
      </c>
      <c r="AR1492" s="246">
        <f>IFERROR(VLOOKUP(P1492,PROGRAMAS[],3,FALSE),0)</f>
        <v>0</v>
      </c>
      <c r="AS1492" s="246">
        <f>IFERROR(VLOOKUP(Q1492,PROGRAMAS[],3,FALSE),0)</f>
        <v>0</v>
      </c>
      <c r="AT1492" s="246">
        <f>IFERROR(VLOOKUP(D1492,VOL_REC[],2,FALSE),0)</f>
        <v>0</v>
      </c>
      <c r="AU1492" s="246">
        <f>IFERROR(VLOOKUP(E1492,VOL_REC[],2,FALSE),0)</f>
        <v>0</v>
      </c>
      <c r="AV1492" s="246">
        <f>IFERROR(VLOOKUP(F1492,VOL_REC[],2,FALSE),0)</f>
        <v>11089674.200000001</v>
      </c>
      <c r="AW1492" s="246">
        <f>IFERROR(VLOOKUP(G1492,VOL_REC[],2,FALSE),0)</f>
        <v>90439.55</v>
      </c>
      <c r="AX1492" s="246">
        <f>IFERROR(VLOOKUP(H1492,VOL_REC[],2,FALSE),0)</f>
        <v>4325103.1812214684</v>
      </c>
      <c r="AY1492" s="246">
        <f>IFERROR(VLOOKUP(I1492,VOL_REC[],2,FALSE),0)</f>
        <v>15540036.397699751</v>
      </c>
      <c r="AZ1492" s="246">
        <f>IFERROR(VLOOKUP(J1492,VOL_REC[],2,FALSE),0)</f>
        <v>3761786</v>
      </c>
      <c r="BA1492" s="246">
        <f>IFERROR(VLOOKUP(K1492,VOL_REC[],2,FALSE),0)</f>
        <v>1812240</v>
      </c>
      <c r="BB1492" s="246">
        <f>IFERROR(VLOOKUP(L1492,VOL_REC[],2,FALSE),0)</f>
        <v>663244.80000000016</v>
      </c>
      <c r="BC1492" s="246">
        <f>IFERROR(VLOOKUP(M1492,VOL_REC[],2,FALSE),0)</f>
        <v>17074.045034105649</v>
      </c>
      <c r="BD1492" s="246">
        <f>IFERROR(VLOOKUP(N1492,VOL_REC[],2,FALSE),0)</f>
        <v>0</v>
      </c>
      <c r="BE1492" s="246">
        <f>IFERROR(VLOOKUP(O1492,VOL_REC[],2,FALSE),0)</f>
        <v>0</v>
      </c>
      <c r="BF1492" s="246">
        <f>IFERROR(VLOOKUP(P1492,VOL_REC[],2,FALSE),0)</f>
        <v>0</v>
      </c>
      <c r="BG1492" s="246">
        <f>IFERROR(VLOOKUP(Q1492,VOL_REC[],2,FALSE),0)</f>
        <v>0</v>
      </c>
      <c r="BH1492" s="1710">
        <f t="shared" si="92"/>
        <v>26810812078.787914</v>
      </c>
      <c r="BI1492" s="1710">
        <f t="shared" si="93"/>
        <v>29109683323.12785</v>
      </c>
      <c r="BJ1492" s="1711">
        <f t="shared" si="94"/>
        <v>37299598.173955321</v>
      </c>
      <c r="BK1492" s="1711">
        <f t="shared" si="95"/>
        <v>0.92102726715293859</v>
      </c>
    </row>
    <row r="1493" spans="3:67" x14ac:dyDescent="0.25">
      <c r="C1493" s="246" t="s">
        <v>2843</v>
      </c>
      <c r="D1493" s="246">
        <v>1</v>
      </c>
      <c r="E1493" s="246">
        <v>2</v>
      </c>
      <c r="F1493" s="246">
        <v>3</v>
      </c>
      <c r="G1493" s="246">
        <v>4</v>
      </c>
      <c r="H1493" s="246">
        <v>5</v>
      </c>
      <c r="I1493" s="246">
        <v>6</v>
      </c>
      <c r="J1493" s="246">
        <v>9</v>
      </c>
      <c r="K1493" s="246">
        <v>10</v>
      </c>
      <c r="L1493" s="246">
        <v>13</v>
      </c>
      <c r="M1493" s="246">
        <v>15</v>
      </c>
      <c r="N1493" s="246"/>
      <c r="O1493" s="246"/>
      <c r="P1493" s="246"/>
      <c r="Q1493" s="246"/>
      <c r="R1493" s="246">
        <f>IFERROR(VLOOKUP(D1493,PROGRAMAS[],2,FALSE),0)</f>
        <v>97037803.679377079</v>
      </c>
      <c r="S1493" s="246">
        <f>IFERROR(VLOOKUP(E1493,PROGRAMAS[],2,FALSE),0)</f>
        <v>640501509.6821388</v>
      </c>
      <c r="T1493" s="246">
        <f>IFERROR(VLOOKUP(F1493,PROGRAMAS[],2,FALSE),0)</f>
        <v>3062327798.1525245</v>
      </c>
      <c r="U1493" s="246">
        <f>IFERROR(VLOOKUP(G1493,PROGRAMAS[],2,FALSE),0)</f>
        <v>67697118.033011258</v>
      </c>
      <c r="V1493" s="246">
        <f>IFERROR(VLOOKUP(H1493,PROGRAMAS[],2,FALSE),0)</f>
        <v>1440941976.2528784</v>
      </c>
      <c r="W1493" s="246">
        <f>IFERROR(VLOOKUP(I1493,PROGRAMAS[],2,FALSE),0)</f>
        <v>6907648435.8447599</v>
      </c>
      <c r="X1493" s="246">
        <f>IFERROR(VLOOKUP(J1493,PROGRAMAS[],2,FALSE),0)</f>
        <v>6128579952.1618185</v>
      </c>
      <c r="Y1493" s="246">
        <f>IFERROR(VLOOKUP(K1493,PROGRAMAS[],2,FALSE),0)</f>
        <v>4635315027.8751087</v>
      </c>
      <c r="Z1493" s="246">
        <f>IFERROR(VLOOKUP(L1493,PROGRAMAS[],2,FALSE),0)</f>
        <v>3776538594.4604583</v>
      </c>
      <c r="AA1493" s="246">
        <f>IFERROR(VLOOKUP(M1493,PROGRAMAS[],2,FALSE),0)</f>
        <v>122159672.96346797</v>
      </c>
      <c r="AB1493" s="246">
        <f>IFERROR(VLOOKUP(N1493,PROGRAMAS[],2,FALSE),0)</f>
        <v>0</v>
      </c>
      <c r="AC1493" s="246">
        <f>IFERROR(VLOOKUP(O1493,PROGRAMAS[],2,FALSE),0)</f>
        <v>0</v>
      </c>
      <c r="AD1493" s="246">
        <f>IFERROR(VLOOKUP(P1493,PROGRAMAS[],2,FALSE),0)</f>
        <v>0</v>
      </c>
      <c r="AE1493" s="246">
        <f>IFERROR(VLOOKUP(Q1493,PROGRAMAS[],2,FALSE),0)</f>
        <v>0</v>
      </c>
      <c r="AF1493" s="246">
        <f>IFERROR(VLOOKUP(D1493,PROGRAMAS[],3,FALSE),0)</f>
        <v>841888629.31080008</v>
      </c>
      <c r="AG1493" s="246">
        <f>IFERROR(VLOOKUP(E1493,PROGRAMAS[],3,FALSE),0)</f>
        <v>3848980803.1642323</v>
      </c>
      <c r="AH1493" s="246">
        <f>IFERROR(VLOOKUP(F1493,PROGRAMAS[],3,FALSE),0)</f>
        <v>3394901471.387517</v>
      </c>
      <c r="AI1493" s="246">
        <f>IFERROR(VLOOKUP(G1493,PROGRAMAS[],3,FALSE),0)</f>
        <v>125317226.95549992</v>
      </c>
      <c r="AJ1493" s="246">
        <f>IFERROR(VLOOKUP(H1493,PROGRAMAS[],3,FALSE),0)</f>
        <v>1233505101.0616004</v>
      </c>
      <c r="AK1493" s="246">
        <f>IFERROR(VLOOKUP(I1493,PROGRAMAS[],3,FALSE),0)</f>
        <v>6129902208.7912121</v>
      </c>
      <c r="AL1493" s="246">
        <f>IFERROR(VLOOKUP(J1493,PROGRAMAS[],3,FALSE),0)</f>
        <v>7011279577.519702</v>
      </c>
      <c r="AM1493" s="246">
        <f>IFERROR(VLOOKUP(K1493,PROGRAMAS[],3,FALSE),0)</f>
        <v>4099471734.9978786</v>
      </c>
      <c r="AN1493" s="246">
        <f>IFERROR(VLOOKUP(L1493,PROGRAMAS[],3,FALSE),0)</f>
        <v>2392571243.5584412</v>
      </c>
      <c r="AO1493" s="246">
        <f>IFERROR(VLOOKUP(M1493,PROGRAMAS[],3,FALSE),0)</f>
        <v>118617452.52510804</v>
      </c>
      <c r="AP1493" s="246">
        <f>IFERROR(VLOOKUP(N1493,PROGRAMAS[],3,FALSE),0)</f>
        <v>0</v>
      </c>
      <c r="AQ1493" s="246">
        <f>IFERROR(VLOOKUP(O1493,PROGRAMAS[],3,FALSE),0)</f>
        <v>0</v>
      </c>
      <c r="AR1493" s="246">
        <f>IFERROR(VLOOKUP(P1493,PROGRAMAS[],3,FALSE),0)</f>
        <v>0</v>
      </c>
      <c r="AS1493" s="246">
        <f>IFERROR(VLOOKUP(Q1493,PROGRAMAS[],3,FALSE),0)</f>
        <v>0</v>
      </c>
      <c r="AT1493" s="246">
        <f>IFERROR(VLOOKUP(D1493,VOL_REC[],2,FALSE),0)</f>
        <v>0</v>
      </c>
      <c r="AU1493" s="246">
        <f>IFERROR(VLOOKUP(E1493,VOL_REC[],2,FALSE),0)</f>
        <v>0</v>
      </c>
      <c r="AV1493" s="246">
        <f>IFERROR(VLOOKUP(F1493,VOL_REC[],2,FALSE),0)</f>
        <v>11089674.200000001</v>
      </c>
      <c r="AW1493" s="246">
        <f>IFERROR(VLOOKUP(G1493,VOL_REC[],2,FALSE),0)</f>
        <v>90439.55</v>
      </c>
      <c r="AX1493" s="246">
        <f>IFERROR(VLOOKUP(H1493,VOL_REC[],2,FALSE),0)</f>
        <v>4325103.1812214684</v>
      </c>
      <c r="AY1493" s="246">
        <f>IFERROR(VLOOKUP(I1493,VOL_REC[],2,FALSE),0)</f>
        <v>15540036.397699751</v>
      </c>
      <c r="AZ1493" s="246">
        <f>IFERROR(VLOOKUP(J1493,VOL_REC[],2,FALSE),0)</f>
        <v>3761786</v>
      </c>
      <c r="BA1493" s="246">
        <f>IFERROR(VLOOKUP(K1493,VOL_REC[],2,FALSE),0)</f>
        <v>1812240</v>
      </c>
      <c r="BB1493" s="246">
        <f>IFERROR(VLOOKUP(L1493,VOL_REC[],2,FALSE),0)</f>
        <v>663244.80000000016</v>
      </c>
      <c r="BC1493" s="246">
        <f>IFERROR(VLOOKUP(M1493,VOL_REC[],2,FALSE),0)</f>
        <v>105072</v>
      </c>
      <c r="BD1493" s="246">
        <f>IFERROR(VLOOKUP(N1493,VOL_REC[],2,FALSE),0)</f>
        <v>0</v>
      </c>
      <c r="BE1493" s="246">
        <f>IFERROR(VLOOKUP(O1493,VOL_REC[],2,FALSE),0)</f>
        <v>0</v>
      </c>
      <c r="BF1493" s="246">
        <f>IFERROR(VLOOKUP(P1493,VOL_REC[],2,FALSE),0)</f>
        <v>0</v>
      </c>
      <c r="BG1493" s="246">
        <f>IFERROR(VLOOKUP(Q1493,VOL_REC[],2,FALSE),0)</f>
        <v>0</v>
      </c>
      <c r="BH1493" s="1710">
        <f t="shared" si="92"/>
        <v>26878747889.105541</v>
      </c>
      <c r="BI1493" s="1710">
        <f t="shared" si="93"/>
        <v>29196435449.271992</v>
      </c>
      <c r="BJ1493" s="1711">
        <f t="shared" si="94"/>
        <v>37387596.128921218</v>
      </c>
      <c r="BK1493" s="1711">
        <f t="shared" si="95"/>
        <v>0.92061744783217225</v>
      </c>
    </row>
    <row r="1494" spans="3:67" x14ac:dyDescent="0.25">
      <c r="C1494" s="246" t="s">
        <v>2844</v>
      </c>
      <c r="D1494" s="246">
        <v>1</v>
      </c>
      <c r="E1494" s="246">
        <v>2</v>
      </c>
      <c r="F1494" s="246">
        <v>3</v>
      </c>
      <c r="G1494" s="246">
        <v>4</v>
      </c>
      <c r="H1494" s="246">
        <v>5</v>
      </c>
      <c r="I1494" s="246">
        <v>6</v>
      </c>
      <c r="J1494" s="246">
        <v>9</v>
      </c>
      <c r="K1494" s="246">
        <v>10</v>
      </c>
      <c r="L1494" s="246">
        <v>13</v>
      </c>
      <c r="M1494" s="246">
        <v>16</v>
      </c>
      <c r="N1494" s="246"/>
      <c r="O1494" s="246"/>
      <c r="P1494" s="246"/>
      <c r="Q1494" s="246"/>
      <c r="R1494" s="246">
        <f>IFERROR(VLOOKUP(D1494,PROGRAMAS[],2,FALSE),0)</f>
        <v>97037803.679377079</v>
      </c>
      <c r="S1494" s="246">
        <f>IFERROR(VLOOKUP(E1494,PROGRAMAS[],2,FALSE),0)</f>
        <v>640501509.6821388</v>
      </c>
      <c r="T1494" s="246">
        <f>IFERROR(VLOOKUP(F1494,PROGRAMAS[],2,FALSE),0)</f>
        <v>3062327798.1525245</v>
      </c>
      <c r="U1494" s="246">
        <f>IFERROR(VLOOKUP(G1494,PROGRAMAS[],2,FALSE),0)</f>
        <v>67697118.033011258</v>
      </c>
      <c r="V1494" s="246">
        <f>IFERROR(VLOOKUP(H1494,PROGRAMAS[],2,FALSE),0)</f>
        <v>1440941976.2528784</v>
      </c>
      <c r="W1494" s="246">
        <f>IFERROR(VLOOKUP(I1494,PROGRAMAS[],2,FALSE),0)</f>
        <v>6907648435.8447599</v>
      </c>
      <c r="X1494" s="246">
        <f>IFERROR(VLOOKUP(J1494,PROGRAMAS[],2,FALSE),0)</f>
        <v>6128579952.1618185</v>
      </c>
      <c r="Y1494" s="246">
        <f>IFERROR(VLOOKUP(K1494,PROGRAMAS[],2,FALSE),0)</f>
        <v>4635315027.8751087</v>
      </c>
      <c r="Z1494" s="246">
        <f>IFERROR(VLOOKUP(L1494,PROGRAMAS[],2,FALSE),0)</f>
        <v>3776538594.4604583</v>
      </c>
      <c r="AA1494" s="246">
        <f>IFERROR(VLOOKUP(M1494,PROGRAMAS[],2,FALSE),0)</f>
        <v>7068496961.0436354</v>
      </c>
      <c r="AB1494" s="246">
        <f>IFERROR(VLOOKUP(N1494,PROGRAMAS[],2,FALSE),0)</f>
        <v>0</v>
      </c>
      <c r="AC1494" s="246">
        <f>IFERROR(VLOOKUP(O1494,PROGRAMAS[],2,FALSE),0)</f>
        <v>0</v>
      </c>
      <c r="AD1494" s="246">
        <f>IFERROR(VLOOKUP(P1494,PROGRAMAS[],2,FALSE),0)</f>
        <v>0</v>
      </c>
      <c r="AE1494" s="246">
        <f>IFERROR(VLOOKUP(Q1494,PROGRAMAS[],2,FALSE),0)</f>
        <v>0</v>
      </c>
      <c r="AF1494" s="246">
        <f>IFERROR(VLOOKUP(D1494,PROGRAMAS[],3,FALSE),0)</f>
        <v>841888629.31080008</v>
      </c>
      <c r="AG1494" s="246">
        <f>IFERROR(VLOOKUP(E1494,PROGRAMAS[],3,FALSE),0)</f>
        <v>3848980803.1642323</v>
      </c>
      <c r="AH1494" s="246">
        <f>IFERROR(VLOOKUP(F1494,PROGRAMAS[],3,FALSE),0)</f>
        <v>3394901471.387517</v>
      </c>
      <c r="AI1494" s="246">
        <f>IFERROR(VLOOKUP(G1494,PROGRAMAS[],3,FALSE),0)</f>
        <v>125317226.95549992</v>
      </c>
      <c r="AJ1494" s="246">
        <f>IFERROR(VLOOKUP(H1494,PROGRAMAS[],3,FALSE),0)</f>
        <v>1233505101.0616004</v>
      </c>
      <c r="AK1494" s="246">
        <f>IFERROR(VLOOKUP(I1494,PROGRAMAS[],3,FALSE),0)</f>
        <v>6129902208.7912121</v>
      </c>
      <c r="AL1494" s="246">
        <f>IFERROR(VLOOKUP(J1494,PROGRAMAS[],3,FALSE),0)</f>
        <v>7011279577.519702</v>
      </c>
      <c r="AM1494" s="246">
        <f>IFERROR(VLOOKUP(K1494,PROGRAMAS[],3,FALSE),0)</f>
        <v>4099471734.9978786</v>
      </c>
      <c r="AN1494" s="246">
        <f>IFERROR(VLOOKUP(L1494,PROGRAMAS[],3,FALSE),0)</f>
        <v>2392571243.5584412</v>
      </c>
      <c r="AO1494" s="246">
        <f>IFERROR(VLOOKUP(M1494,PROGRAMAS[],3,FALSE),0)</f>
        <v>2406564599.0319901</v>
      </c>
      <c r="AP1494" s="246">
        <f>IFERROR(VLOOKUP(N1494,PROGRAMAS[],3,FALSE),0)</f>
        <v>0</v>
      </c>
      <c r="AQ1494" s="246">
        <f>IFERROR(VLOOKUP(O1494,PROGRAMAS[],3,FALSE),0)</f>
        <v>0</v>
      </c>
      <c r="AR1494" s="246">
        <f>IFERROR(VLOOKUP(P1494,PROGRAMAS[],3,FALSE),0)</f>
        <v>0</v>
      </c>
      <c r="AS1494" s="246">
        <f>IFERROR(VLOOKUP(Q1494,PROGRAMAS[],3,FALSE),0)</f>
        <v>0</v>
      </c>
      <c r="AT1494" s="246">
        <f>IFERROR(VLOOKUP(D1494,VOL_REC[],2,FALSE),0)</f>
        <v>0</v>
      </c>
      <c r="AU1494" s="246">
        <f>IFERROR(VLOOKUP(E1494,VOL_REC[],2,FALSE),0)</f>
        <v>0</v>
      </c>
      <c r="AV1494" s="246">
        <f>IFERROR(VLOOKUP(F1494,VOL_REC[],2,FALSE),0)</f>
        <v>11089674.200000001</v>
      </c>
      <c r="AW1494" s="246">
        <f>IFERROR(VLOOKUP(G1494,VOL_REC[],2,FALSE),0)</f>
        <v>90439.55</v>
      </c>
      <c r="AX1494" s="246">
        <f>IFERROR(VLOOKUP(H1494,VOL_REC[],2,FALSE),0)</f>
        <v>4325103.1812214684</v>
      </c>
      <c r="AY1494" s="246">
        <f>IFERROR(VLOOKUP(I1494,VOL_REC[],2,FALSE),0)</f>
        <v>15540036.397699751</v>
      </c>
      <c r="AZ1494" s="246">
        <f>IFERROR(VLOOKUP(J1494,VOL_REC[],2,FALSE),0)</f>
        <v>3761786</v>
      </c>
      <c r="BA1494" s="246">
        <f>IFERROR(VLOOKUP(K1494,VOL_REC[],2,FALSE),0)</f>
        <v>1812240</v>
      </c>
      <c r="BB1494" s="246">
        <f>IFERROR(VLOOKUP(L1494,VOL_REC[],2,FALSE),0)</f>
        <v>663244.80000000016</v>
      </c>
      <c r="BC1494" s="246">
        <f>IFERROR(VLOOKUP(M1494,VOL_REC[],2,FALSE),0)</f>
        <v>1072354.9981737854</v>
      </c>
      <c r="BD1494" s="246">
        <f>IFERROR(VLOOKUP(N1494,VOL_REC[],2,FALSE),0)</f>
        <v>0</v>
      </c>
      <c r="BE1494" s="246">
        <f>IFERROR(VLOOKUP(O1494,VOL_REC[],2,FALSE),0)</f>
        <v>0</v>
      </c>
      <c r="BF1494" s="246">
        <f>IFERROR(VLOOKUP(P1494,VOL_REC[],2,FALSE),0)</f>
        <v>0</v>
      </c>
      <c r="BG1494" s="246">
        <f>IFERROR(VLOOKUP(Q1494,VOL_REC[],2,FALSE),0)</f>
        <v>0</v>
      </c>
      <c r="BH1494" s="1710">
        <f t="shared" si="92"/>
        <v>33825085177.185711</v>
      </c>
      <c r="BI1494" s="1710">
        <f t="shared" si="93"/>
        <v>31484382595.778873</v>
      </c>
      <c r="BJ1494" s="1711">
        <f t="shared" si="94"/>
        <v>38354879.127095006</v>
      </c>
      <c r="BK1494" s="1711">
        <f t="shared" si="95"/>
        <v>1.0743448779497635</v>
      </c>
      <c r="BL1494">
        <f>BJ1494</f>
        <v>38354879.127095006</v>
      </c>
      <c r="BO1494">
        <f>BL1494</f>
        <v>38354879.127095006</v>
      </c>
    </row>
    <row r="1495" spans="3:67" x14ac:dyDescent="0.25">
      <c r="C1495" s="246" t="s">
        <v>2845</v>
      </c>
      <c r="D1495" s="246">
        <v>1</v>
      </c>
      <c r="E1495" s="246">
        <v>2</v>
      </c>
      <c r="F1495" s="246">
        <v>3</v>
      </c>
      <c r="G1495" s="246">
        <v>4</v>
      </c>
      <c r="H1495" s="246">
        <v>5</v>
      </c>
      <c r="I1495" s="246">
        <v>6</v>
      </c>
      <c r="J1495" s="246">
        <v>9</v>
      </c>
      <c r="K1495" s="246">
        <v>10</v>
      </c>
      <c r="L1495" s="246">
        <v>13</v>
      </c>
      <c r="M1495" s="246">
        <v>17</v>
      </c>
      <c r="N1495" s="246"/>
      <c r="O1495" s="246"/>
      <c r="P1495" s="246"/>
      <c r="Q1495" s="246"/>
      <c r="R1495" s="246">
        <f>IFERROR(VLOOKUP(D1495,PROGRAMAS[],2,FALSE),0)</f>
        <v>97037803.679377079</v>
      </c>
      <c r="S1495" s="246">
        <f>IFERROR(VLOOKUP(E1495,PROGRAMAS[],2,FALSE),0)</f>
        <v>640501509.6821388</v>
      </c>
      <c r="T1495" s="246">
        <f>IFERROR(VLOOKUP(F1495,PROGRAMAS[],2,FALSE),0)</f>
        <v>3062327798.1525245</v>
      </c>
      <c r="U1495" s="246">
        <f>IFERROR(VLOOKUP(G1495,PROGRAMAS[],2,FALSE),0)</f>
        <v>67697118.033011258</v>
      </c>
      <c r="V1495" s="246">
        <f>IFERROR(VLOOKUP(H1495,PROGRAMAS[],2,FALSE),0)</f>
        <v>1440941976.2528784</v>
      </c>
      <c r="W1495" s="246">
        <f>IFERROR(VLOOKUP(I1495,PROGRAMAS[],2,FALSE),0)</f>
        <v>6907648435.8447599</v>
      </c>
      <c r="X1495" s="246">
        <f>IFERROR(VLOOKUP(J1495,PROGRAMAS[],2,FALSE),0)</f>
        <v>6128579952.1618185</v>
      </c>
      <c r="Y1495" s="246">
        <f>IFERROR(VLOOKUP(K1495,PROGRAMAS[],2,FALSE),0)</f>
        <v>4635315027.8751087</v>
      </c>
      <c r="Z1495" s="246">
        <f>IFERROR(VLOOKUP(L1495,PROGRAMAS[],2,FALSE),0)</f>
        <v>3776538594.4604583</v>
      </c>
      <c r="AA1495" s="246">
        <f>IFERROR(VLOOKUP(M1495,PROGRAMAS[],2,FALSE),0)</f>
        <v>1892779498.5211046</v>
      </c>
      <c r="AB1495" s="246">
        <f>IFERROR(VLOOKUP(N1495,PROGRAMAS[],2,FALSE),0)</f>
        <v>0</v>
      </c>
      <c r="AC1495" s="246">
        <f>IFERROR(VLOOKUP(O1495,PROGRAMAS[],2,FALSE),0)</f>
        <v>0</v>
      </c>
      <c r="AD1495" s="246">
        <f>IFERROR(VLOOKUP(P1495,PROGRAMAS[],2,FALSE),0)</f>
        <v>0</v>
      </c>
      <c r="AE1495" s="246">
        <f>IFERROR(VLOOKUP(Q1495,PROGRAMAS[],2,FALSE),0)</f>
        <v>0</v>
      </c>
      <c r="AF1495" s="246">
        <f>IFERROR(VLOOKUP(D1495,PROGRAMAS[],3,FALSE),0)</f>
        <v>841888629.31080008</v>
      </c>
      <c r="AG1495" s="246">
        <f>IFERROR(VLOOKUP(E1495,PROGRAMAS[],3,FALSE),0)</f>
        <v>3848980803.1642323</v>
      </c>
      <c r="AH1495" s="246">
        <f>IFERROR(VLOOKUP(F1495,PROGRAMAS[],3,FALSE),0)</f>
        <v>3394901471.387517</v>
      </c>
      <c r="AI1495" s="246">
        <f>IFERROR(VLOOKUP(G1495,PROGRAMAS[],3,FALSE),0)</f>
        <v>125317226.95549992</v>
      </c>
      <c r="AJ1495" s="246">
        <f>IFERROR(VLOOKUP(H1495,PROGRAMAS[],3,FALSE),0)</f>
        <v>1233505101.0616004</v>
      </c>
      <c r="AK1495" s="246">
        <f>IFERROR(VLOOKUP(I1495,PROGRAMAS[],3,FALSE),0)</f>
        <v>6129902208.7912121</v>
      </c>
      <c r="AL1495" s="246">
        <f>IFERROR(VLOOKUP(J1495,PROGRAMAS[],3,FALSE),0)</f>
        <v>7011279577.519702</v>
      </c>
      <c r="AM1495" s="246">
        <f>IFERROR(VLOOKUP(K1495,PROGRAMAS[],3,FALSE),0)</f>
        <v>4099471734.9978786</v>
      </c>
      <c r="AN1495" s="246">
        <f>IFERROR(VLOOKUP(L1495,PROGRAMAS[],3,FALSE),0)</f>
        <v>2392571243.5584412</v>
      </c>
      <c r="AO1495" s="246">
        <f>IFERROR(VLOOKUP(M1495,PROGRAMAS[],3,FALSE),0)</f>
        <v>948595847.09039903</v>
      </c>
      <c r="AP1495" s="246">
        <f>IFERROR(VLOOKUP(N1495,PROGRAMAS[],3,FALSE),0)</f>
        <v>0</v>
      </c>
      <c r="AQ1495" s="246">
        <f>IFERROR(VLOOKUP(O1495,PROGRAMAS[],3,FALSE),0)</f>
        <v>0</v>
      </c>
      <c r="AR1495" s="246">
        <f>IFERROR(VLOOKUP(P1495,PROGRAMAS[],3,FALSE),0)</f>
        <v>0</v>
      </c>
      <c r="AS1495" s="246">
        <f>IFERROR(VLOOKUP(Q1495,PROGRAMAS[],3,FALSE),0)</f>
        <v>0</v>
      </c>
      <c r="AT1495" s="246">
        <f>IFERROR(VLOOKUP(D1495,VOL_REC[],2,FALSE),0)</f>
        <v>0</v>
      </c>
      <c r="AU1495" s="246">
        <f>IFERROR(VLOOKUP(E1495,VOL_REC[],2,FALSE),0)</f>
        <v>0</v>
      </c>
      <c r="AV1495" s="246">
        <f>IFERROR(VLOOKUP(F1495,VOL_REC[],2,FALSE),0)</f>
        <v>11089674.200000001</v>
      </c>
      <c r="AW1495" s="246">
        <f>IFERROR(VLOOKUP(G1495,VOL_REC[],2,FALSE),0)</f>
        <v>90439.55</v>
      </c>
      <c r="AX1495" s="246">
        <f>IFERROR(VLOOKUP(H1495,VOL_REC[],2,FALSE),0)</f>
        <v>4325103.1812214684</v>
      </c>
      <c r="AY1495" s="246">
        <f>IFERROR(VLOOKUP(I1495,VOL_REC[],2,FALSE),0)</f>
        <v>15540036.397699751</v>
      </c>
      <c r="AZ1495" s="246">
        <f>IFERROR(VLOOKUP(J1495,VOL_REC[],2,FALSE),0)</f>
        <v>3761786</v>
      </c>
      <c r="BA1495" s="246">
        <f>IFERROR(VLOOKUP(K1495,VOL_REC[],2,FALSE),0)</f>
        <v>1812240</v>
      </c>
      <c r="BB1495" s="246">
        <f>IFERROR(VLOOKUP(L1495,VOL_REC[],2,FALSE),0)</f>
        <v>663244.80000000016</v>
      </c>
      <c r="BC1495" s="246">
        <f>IFERROR(VLOOKUP(M1495,VOL_REC[],2,FALSE),0)</f>
        <v>740113.98115702497</v>
      </c>
      <c r="BD1495" s="246">
        <f>IFERROR(VLOOKUP(N1495,VOL_REC[],2,FALSE),0)</f>
        <v>0</v>
      </c>
      <c r="BE1495" s="246">
        <f>IFERROR(VLOOKUP(O1495,VOL_REC[],2,FALSE),0)</f>
        <v>0</v>
      </c>
      <c r="BF1495" s="246">
        <f>IFERROR(VLOOKUP(P1495,VOL_REC[],2,FALSE),0)</f>
        <v>0</v>
      </c>
      <c r="BG1495" s="246">
        <f>IFERROR(VLOOKUP(Q1495,VOL_REC[],2,FALSE),0)</f>
        <v>0</v>
      </c>
      <c r="BH1495" s="1710">
        <f t="shared" si="92"/>
        <v>28649367714.663177</v>
      </c>
      <c r="BI1495" s="1710">
        <f t="shared" si="93"/>
        <v>30026413843.837284</v>
      </c>
      <c r="BJ1495" s="1711">
        <f t="shared" si="94"/>
        <v>38022638.110078245</v>
      </c>
      <c r="BK1495" s="1711">
        <f t="shared" si="95"/>
        <v>0.95413884134362803</v>
      </c>
    </row>
    <row r="1496" spans="3:67" x14ac:dyDescent="0.25">
      <c r="C1496" s="246" t="s">
        <v>2846</v>
      </c>
      <c r="D1496" s="246">
        <v>1</v>
      </c>
      <c r="E1496" s="246">
        <v>2</v>
      </c>
      <c r="F1496" s="246">
        <v>3</v>
      </c>
      <c r="G1496" s="246">
        <v>4</v>
      </c>
      <c r="H1496" s="246">
        <v>5</v>
      </c>
      <c r="I1496" s="246">
        <v>6</v>
      </c>
      <c r="J1496" s="246">
        <v>9</v>
      </c>
      <c r="K1496" s="246">
        <v>10</v>
      </c>
      <c r="L1496" s="246">
        <v>14</v>
      </c>
      <c r="M1496" s="246">
        <v>15</v>
      </c>
      <c r="N1496" s="246"/>
      <c r="O1496" s="246"/>
      <c r="P1496" s="246"/>
      <c r="Q1496" s="246"/>
      <c r="R1496" s="246">
        <f>IFERROR(VLOOKUP(D1496,PROGRAMAS[],2,FALSE),0)</f>
        <v>97037803.679377079</v>
      </c>
      <c r="S1496" s="246">
        <f>IFERROR(VLOOKUP(E1496,PROGRAMAS[],2,FALSE),0)</f>
        <v>640501509.6821388</v>
      </c>
      <c r="T1496" s="246">
        <f>IFERROR(VLOOKUP(F1496,PROGRAMAS[],2,FALSE),0)</f>
        <v>3062327798.1525245</v>
      </c>
      <c r="U1496" s="246">
        <f>IFERROR(VLOOKUP(G1496,PROGRAMAS[],2,FALSE),0)</f>
        <v>67697118.033011258</v>
      </c>
      <c r="V1496" s="246">
        <f>IFERROR(VLOOKUP(H1496,PROGRAMAS[],2,FALSE),0)</f>
        <v>1440941976.2528784</v>
      </c>
      <c r="W1496" s="246">
        <f>IFERROR(VLOOKUP(I1496,PROGRAMAS[],2,FALSE),0)</f>
        <v>6907648435.8447599</v>
      </c>
      <c r="X1496" s="246">
        <f>IFERROR(VLOOKUP(J1496,PROGRAMAS[],2,FALSE),0)</f>
        <v>6128579952.1618185</v>
      </c>
      <c r="Y1496" s="246">
        <f>IFERROR(VLOOKUP(K1496,PROGRAMAS[],2,FALSE),0)</f>
        <v>4635315027.8751087</v>
      </c>
      <c r="Z1496" s="246">
        <f>IFERROR(VLOOKUP(L1496,PROGRAMAS[],2,FALSE),0)</f>
        <v>54223862.645839565</v>
      </c>
      <c r="AA1496" s="246">
        <f>IFERROR(VLOOKUP(M1496,PROGRAMAS[],2,FALSE),0)</f>
        <v>122159672.96346797</v>
      </c>
      <c r="AB1496" s="246">
        <f>IFERROR(VLOOKUP(N1496,PROGRAMAS[],2,FALSE),0)</f>
        <v>0</v>
      </c>
      <c r="AC1496" s="246">
        <f>IFERROR(VLOOKUP(O1496,PROGRAMAS[],2,FALSE),0)</f>
        <v>0</v>
      </c>
      <c r="AD1496" s="246">
        <f>IFERROR(VLOOKUP(P1496,PROGRAMAS[],2,FALSE),0)</f>
        <v>0</v>
      </c>
      <c r="AE1496" s="246">
        <f>IFERROR(VLOOKUP(Q1496,PROGRAMAS[],2,FALSE),0)</f>
        <v>0</v>
      </c>
      <c r="AF1496" s="246">
        <f>IFERROR(VLOOKUP(D1496,PROGRAMAS[],3,FALSE),0)</f>
        <v>841888629.31080008</v>
      </c>
      <c r="AG1496" s="246">
        <f>IFERROR(VLOOKUP(E1496,PROGRAMAS[],3,FALSE),0)</f>
        <v>3848980803.1642323</v>
      </c>
      <c r="AH1496" s="246">
        <f>IFERROR(VLOOKUP(F1496,PROGRAMAS[],3,FALSE),0)</f>
        <v>3394901471.387517</v>
      </c>
      <c r="AI1496" s="246">
        <f>IFERROR(VLOOKUP(G1496,PROGRAMAS[],3,FALSE),0)</f>
        <v>125317226.95549992</v>
      </c>
      <c r="AJ1496" s="246">
        <f>IFERROR(VLOOKUP(H1496,PROGRAMAS[],3,FALSE),0)</f>
        <v>1233505101.0616004</v>
      </c>
      <c r="AK1496" s="246">
        <f>IFERROR(VLOOKUP(I1496,PROGRAMAS[],3,FALSE),0)</f>
        <v>6129902208.7912121</v>
      </c>
      <c r="AL1496" s="246">
        <f>IFERROR(VLOOKUP(J1496,PROGRAMAS[],3,FALSE),0)</f>
        <v>7011279577.519702</v>
      </c>
      <c r="AM1496" s="246">
        <f>IFERROR(VLOOKUP(K1496,PROGRAMAS[],3,FALSE),0)</f>
        <v>4099471734.9978786</v>
      </c>
      <c r="AN1496" s="246">
        <f>IFERROR(VLOOKUP(L1496,PROGRAMAS[],3,FALSE),0)</f>
        <v>31865326.38096505</v>
      </c>
      <c r="AO1496" s="246">
        <f>IFERROR(VLOOKUP(M1496,PROGRAMAS[],3,FALSE),0)</f>
        <v>118617452.52510804</v>
      </c>
      <c r="AP1496" s="246">
        <f>IFERROR(VLOOKUP(N1496,PROGRAMAS[],3,FALSE),0)</f>
        <v>0</v>
      </c>
      <c r="AQ1496" s="246">
        <f>IFERROR(VLOOKUP(O1496,PROGRAMAS[],3,FALSE),0)</f>
        <v>0</v>
      </c>
      <c r="AR1496" s="246">
        <f>IFERROR(VLOOKUP(P1496,PROGRAMAS[],3,FALSE),0)</f>
        <v>0</v>
      </c>
      <c r="AS1496" s="246">
        <f>IFERROR(VLOOKUP(Q1496,PROGRAMAS[],3,FALSE),0)</f>
        <v>0</v>
      </c>
      <c r="AT1496" s="246">
        <f>IFERROR(VLOOKUP(D1496,VOL_REC[],2,FALSE),0)</f>
        <v>0</v>
      </c>
      <c r="AU1496" s="246">
        <f>IFERROR(VLOOKUP(E1496,VOL_REC[],2,FALSE),0)</f>
        <v>0</v>
      </c>
      <c r="AV1496" s="246">
        <f>IFERROR(VLOOKUP(F1496,VOL_REC[],2,FALSE),0)</f>
        <v>11089674.200000001</v>
      </c>
      <c r="AW1496" s="246">
        <f>IFERROR(VLOOKUP(G1496,VOL_REC[],2,FALSE),0)</f>
        <v>90439.55</v>
      </c>
      <c r="AX1496" s="246">
        <f>IFERROR(VLOOKUP(H1496,VOL_REC[],2,FALSE),0)</f>
        <v>4325103.1812214684</v>
      </c>
      <c r="AY1496" s="246">
        <f>IFERROR(VLOOKUP(I1496,VOL_REC[],2,FALSE),0)</f>
        <v>15540036.397699751</v>
      </c>
      <c r="AZ1496" s="246">
        <f>IFERROR(VLOOKUP(J1496,VOL_REC[],2,FALSE),0)</f>
        <v>3761786</v>
      </c>
      <c r="BA1496" s="246">
        <f>IFERROR(VLOOKUP(K1496,VOL_REC[],2,FALSE),0)</f>
        <v>1812240</v>
      </c>
      <c r="BB1496" s="246">
        <f>IFERROR(VLOOKUP(L1496,VOL_REC[],2,FALSE),0)</f>
        <v>17074.045034105649</v>
      </c>
      <c r="BC1496" s="246">
        <f>IFERROR(VLOOKUP(M1496,VOL_REC[],2,FALSE),0)</f>
        <v>105072</v>
      </c>
      <c r="BD1496" s="246">
        <f>IFERROR(VLOOKUP(N1496,VOL_REC[],2,FALSE),0)</f>
        <v>0</v>
      </c>
      <c r="BE1496" s="246">
        <f>IFERROR(VLOOKUP(O1496,VOL_REC[],2,FALSE),0)</f>
        <v>0</v>
      </c>
      <c r="BF1496" s="246">
        <f>IFERROR(VLOOKUP(P1496,VOL_REC[],2,FALSE),0)</f>
        <v>0</v>
      </c>
      <c r="BG1496" s="246">
        <f>IFERROR(VLOOKUP(Q1496,VOL_REC[],2,FALSE),0)</f>
        <v>0</v>
      </c>
      <c r="BH1496" s="1710">
        <f t="shared" si="92"/>
        <v>23156433157.290924</v>
      </c>
      <c r="BI1496" s="1710">
        <f t="shared" si="93"/>
        <v>26835729532.094517</v>
      </c>
      <c r="BJ1496" s="1711">
        <f t="shared" si="94"/>
        <v>36741425.373955324</v>
      </c>
      <c r="BK1496" s="1711">
        <f t="shared" si="95"/>
        <v>0.86289560824484779</v>
      </c>
    </row>
    <row r="1497" spans="3:67" x14ac:dyDescent="0.25">
      <c r="C1497" s="246" t="s">
        <v>2847</v>
      </c>
      <c r="D1497" s="246">
        <v>1</v>
      </c>
      <c r="E1497" s="246">
        <v>2</v>
      </c>
      <c r="F1497" s="246">
        <v>3</v>
      </c>
      <c r="G1497" s="246">
        <v>4</v>
      </c>
      <c r="H1497" s="246">
        <v>5</v>
      </c>
      <c r="I1497" s="246">
        <v>6</v>
      </c>
      <c r="J1497" s="246">
        <v>9</v>
      </c>
      <c r="K1497" s="246">
        <v>10</v>
      </c>
      <c r="L1497" s="246">
        <v>14</v>
      </c>
      <c r="M1497" s="246">
        <v>16</v>
      </c>
      <c r="N1497" s="246"/>
      <c r="O1497" s="246"/>
      <c r="P1497" s="246"/>
      <c r="Q1497" s="246"/>
      <c r="R1497" s="246">
        <f>IFERROR(VLOOKUP(D1497,PROGRAMAS[],2,FALSE),0)</f>
        <v>97037803.679377079</v>
      </c>
      <c r="S1497" s="246">
        <f>IFERROR(VLOOKUP(E1497,PROGRAMAS[],2,FALSE),0)</f>
        <v>640501509.6821388</v>
      </c>
      <c r="T1497" s="246">
        <f>IFERROR(VLOOKUP(F1497,PROGRAMAS[],2,FALSE),0)</f>
        <v>3062327798.1525245</v>
      </c>
      <c r="U1497" s="246">
        <f>IFERROR(VLOOKUP(G1497,PROGRAMAS[],2,FALSE),0)</f>
        <v>67697118.033011258</v>
      </c>
      <c r="V1497" s="246">
        <f>IFERROR(VLOOKUP(H1497,PROGRAMAS[],2,FALSE),0)</f>
        <v>1440941976.2528784</v>
      </c>
      <c r="W1497" s="246">
        <f>IFERROR(VLOOKUP(I1497,PROGRAMAS[],2,FALSE),0)</f>
        <v>6907648435.8447599</v>
      </c>
      <c r="X1497" s="246">
        <f>IFERROR(VLOOKUP(J1497,PROGRAMAS[],2,FALSE),0)</f>
        <v>6128579952.1618185</v>
      </c>
      <c r="Y1497" s="246">
        <f>IFERROR(VLOOKUP(K1497,PROGRAMAS[],2,FALSE),0)</f>
        <v>4635315027.8751087</v>
      </c>
      <c r="Z1497" s="246">
        <f>IFERROR(VLOOKUP(L1497,PROGRAMAS[],2,FALSE),0)</f>
        <v>54223862.645839565</v>
      </c>
      <c r="AA1497" s="246">
        <f>IFERROR(VLOOKUP(M1497,PROGRAMAS[],2,FALSE),0)</f>
        <v>7068496961.0436354</v>
      </c>
      <c r="AB1497" s="246">
        <f>IFERROR(VLOOKUP(N1497,PROGRAMAS[],2,FALSE),0)</f>
        <v>0</v>
      </c>
      <c r="AC1497" s="246">
        <f>IFERROR(VLOOKUP(O1497,PROGRAMAS[],2,FALSE),0)</f>
        <v>0</v>
      </c>
      <c r="AD1497" s="246">
        <f>IFERROR(VLOOKUP(P1497,PROGRAMAS[],2,FALSE),0)</f>
        <v>0</v>
      </c>
      <c r="AE1497" s="246">
        <f>IFERROR(VLOOKUP(Q1497,PROGRAMAS[],2,FALSE),0)</f>
        <v>0</v>
      </c>
      <c r="AF1497" s="246">
        <f>IFERROR(VLOOKUP(D1497,PROGRAMAS[],3,FALSE),0)</f>
        <v>841888629.31080008</v>
      </c>
      <c r="AG1497" s="246">
        <f>IFERROR(VLOOKUP(E1497,PROGRAMAS[],3,FALSE),0)</f>
        <v>3848980803.1642323</v>
      </c>
      <c r="AH1497" s="246">
        <f>IFERROR(VLOOKUP(F1497,PROGRAMAS[],3,FALSE),0)</f>
        <v>3394901471.387517</v>
      </c>
      <c r="AI1497" s="246">
        <f>IFERROR(VLOOKUP(G1497,PROGRAMAS[],3,FALSE),0)</f>
        <v>125317226.95549992</v>
      </c>
      <c r="AJ1497" s="246">
        <f>IFERROR(VLOOKUP(H1497,PROGRAMAS[],3,FALSE),0)</f>
        <v>1233505101.0616004</v>
      </c>
      <c r="AK1497" s="246">
        <f>IFERROR(VLOOKUP(I1497,PROGRAMAS[],3,FALSE),0)</f>
        <v>6129902208.7912121</v>
      </c>
      <c r="AL1497" s="246">
        <f>IFERROR(VLOOKUP(J1497,PROGRAMAS[],3,FALSE),0)</f>
        <v>7011279577.519702</v>
      </c>
      <c r="AM1497" s="246">
        <f>IFERROR(VLOOKUP(K1497,PROGRAMAS[],3,FALSE),0)</f>
        <v>4099471734.9978786</v>
      </c>
      <c r="AN1497" s="246">
        <f>IFERROR(VLOOKUP(L1497,PROGRAMAS[],3,FALSE),0)</f>
        <v>31865326.38096505</v>
      </c>
      <c r="AO1497" s="246">
        <f>IFERROR(VLOOKUP(M1497,PROGRAMAS[],3,FALSE),0)</f>
        <v>2406564599.0319901</v>
      </c>
      <c r="AP1497" s="246">
        <f>IFERROR(VLOOKUP(N1497,PROGRAMAS[],3,FALSE),0)</f>
        <v>0</v>
      </c>
      <c r="AQ1497" s="246">
        <f>IFERROR(VLOOKUP(O1497,PROGRAMAS[],3,FALSE),0)</f>
        <v>0</v>
      </c>
      <c r="AR1497" s="246">
        <f>IFERROR(VLOOKUP(P1497,PROGRAMAS[],3,FALSE),0)</f>
        <v>0</v>
      </c>
      <c r="AS1497" s="246">
        <f>IFERROR(VLOOKUP(Q1497,PROGRAMAS[],3,FALSE),0)</f>
        <v>0</v>
      </c>
      <c r="AT1497" s="246">
        <f>IFERROR(VLOOKUP(D1497,VOL_REC[],2,FALSE),0)</f>
        <v>0</v>
      </c>
      <c r="AU1497" s="246">
        <f>IFERROR(VLOOKUP(E1497,VOL_REC[],2,FALSE),0)</f>
        <v>0</v>
      </c>
      <c r="AV1497" s="246">
        <f>IFERROR(VLOOKUP(F1497,VOL_REC[],2,FALSE),0)</f>
        <v>11089674.200000001</v>
      </c>
      <c r="AW1497" s="246">
        <f>IFERROR(VLOOKUP(G1497,VOL_REC[],2,FALSE),0)</f>
        <v>90439.55</v>
      </c>
      <c r="AX1497" s="246">
        <f>IFERROR(VLOOKUP(H1497,VOL_REC[],2,FALSE),0)</f>
        <v>4325103.1812214684</v>
      </c>
      <c r="AY1497" s="246">
        <f>IFERROR(VLOOKUP(I1497,VOL_REC[],2,FALSE),0)</f>
        <v>15540036.397699751</v>
      </c>
      <c r="AZ1497" s="246">
        <f>IFERROR(VLOOKUP(J1497,VOL_REC[],2,FALSE),0)</f>
        <v>3761786</v>
      </c>
      <c r="BA1497" s="246">
        <f>IFERROR(VLOOKUP(K1497,VOL_REC[],2,FALSE),0)</f>
        <v>1812240</v>
      </c>
      <c r="BB1497" s="246">
        <f>IFERROR(VLOOKUP(L1497,VOL_REC[],2,FALSE),0)</f>
        <v>17074.045034105649</v>
      </c>
      <c r="BC1497" s="246">
        <f>IFERROR(VLOOKUP(M1497,VOL_REC[],2,FALSE),0)</f>
        <v>1072354.9981737854</v>
      </c>
      <c r="BD1497" s="246">
        <f>IFERROR(VLOOKUP(N1497,VOL_REC[],2,FALSE),0)</f>
        <v>0</v>
      </c>
      <c r="BE1497" s="246">
        <f>IFERROR(VLOOKUP(O1497,VOL_REC[],2,FALSE),0)</f>
        <v>0</v>
      </c>
      <c r="BF1497" s="246">
        <f>IFERROR(VLOOKUP(P1497,VOL_REC[],2,FALSE),0)</f>
        <v>0</v>
      </c>
      <c r="BG1497" s="246">
        <f>IFERROR(VLOOKUP(Q1497,VOL_REC[],2,FALSE),0)</f>
        <v>0</v>
      </c>
      <c r="BH1497" s="1710">
        <f t="shared" si="92"/>
        <v>30102770445.371094</v>
      </c>
      <c r="BI1497" s="1710">
        <f t="shared" si="93"/>
        <v>29123676678.601398</v>
      </c>
      <c r="BJ1497" s="1711">
        <f t="shared" si="94"/>
        <v>37708708.372129112</v>
      </c>
      <c r="BK1497" s="1711">
        <f t="shared" si="95"/>
        <v>1.0336184808523534</v>
      </c>
      <c r="BL1497">
        <f>BJ1497</f>
        <v>37708708.372129112</v>
      </c>
      <c r="BO1497">
        <f>BL1497</f>
        <v>37708708.372129112</v>
      </c>
    </row>
    <row r="1498" spans="3:67" x14ac:dyDescent="0.25">
      <c r="C1498" s="246" t="s">
        <v>2848</v>
      </c>
      <c r="D1498" s="246">
        <v>1</v>
      </c>
      <c r="E1498" s="246">
        <v>2</v>
      </c>
      <c r="F1498" s="246">
        <v>3</v>
      </c>
      <c r="G1498" s="246">
        <v>4</v>
      </c>
      <c r="H1498" s="246">
        <v>5</v>
      </c>
      <c r="I1498" s="246">
        <v>6</v>
      </c>
      <c r="J1498" s="246">
        <v>9</v>
      </c>
      <c r="K1498" s="246">
        <v>10</v>
      </c>
      <c r="L1498" s="246">
        <v>14</v>
      </c>
      <c r="M1498" s="246">
        <v>17</v>
      </c>
      <c r="N1498" s="246"/>
      <c r="O1498" s="246"/>
      <c r="P1498" s="246"/>
      <c r="Q1498" s="246"/>
      <c r="R1498" s="246">
        <f>IFERROR(VLOOKUP(D1498,PROGRAMAS[],2,FALSE),0)</f>
        <v>97037803.679377079</v>
      </c>
      <c r="S1498" s="246">
        <f>IFERROR(VLOOKUP(E1498,PROGRAMAS[],2,FALSE),0)</f>
        <v>640501509.6821388</v>
      </c>
      <c r="T1498" s="246">
        <f>IFERROR(VLOOKUP(F1498,PROGRAMAS[],2,FALSE),0)</f>
        <v>3062327798.1525245</v>
      </c>
      <c r="U1498" s="246">
        <f>IFERROR(VLOOKUP(G1498,PROGRAMAS[],2,FALSE),0)</f>
        <v>67697118.033011258</v>
      </c>
      <c r="V1498" s="246">
        <f>IFERROR(VLOOKUP(H1498,PROGRAMAS[],2,FALSE),0)</f>
        <v>1440941976.2528784</v>
      </c>
      <c r="W1498" s="246">
        <f>IFERROR(VLOOKUP(I1498,PROGRAMAS[],2,FALSE),0)</f>
        <v>6907648435.8447599</v>
      </c>
      <c r="X1498" s="246">
        <f>IFERROR(VLOOKUP(J1498,PROGRAMAS[],2,FALSE),0)</f>
        <v>6128579952.1618185</v>
      </c>
      <c r="Y1498" s="246">
        <f>IFERROR(VLOOKUP(K1498,PROGRAMAS[],2,FALSE),0)</f>
        <v>4635315027.8751087</v>
      </c>
      <c r="Z1498" s="246">
        <f>IFERROR(VLOOKUP(L1498,PROGRAMAS[],2,FALSE),0)</f>
        <v>54223862.645839565</v>
      </c>
      <c r="AA1498" s="246">
        <f>IFERROR(VLOOKUP(M1498,PROGRAMAS[],2,FALSE),0)</f>
        <v>1892779498.5211046</v>
      </c>
      <c r="AB1498" s="246">
        <f>IFERROR(VLOOKUP(N1498,PROGRAMAS[],2,FALSE),0)</f>
        <v>0</v>
      </c>
      <c r="AC1498" s="246">
        <f>IFERROR(VLOOKUP(O1498,PROGRAMAS[],2,FALSE),0)</f>
        <v>0</v>
      </c>
      <c r="AD1498" s="246">
        <f>IFERROR(VLOOKUP(P1498,PROGRAMAS[],2,FALSE),0)</f>
        <v>0</v>
      </c>
      <c r="AE1498" s="246">
        <f>IFERROR(VLOOKUP(Q1498,PROGRAMAS[],2,FALSE),0)</f>
        <v>0</v>
      </c>
      <c r="AF1498" s="246">
        <f>IFERROR(VLOOKUP(D1498,PROGRAMAS[],3,FALSE),0)</f>
        <v>841888629.31080008</v>
      </c>
      <c r="AG1498" s="246">
        <f>IFERROR(VLOOKUP(E1498,PROGRAMAS[],3,FALSE),0)</f>
        <v>3848980803.1642323</v>
      </c>
      <c r="AH1498" s="246">
        <f>IFERROR(VLOOKUP(F1498,PROGRAMAS[],3,FALSE),0)</f>
        <v>3394901471.387517</v>
      </c>
      <c r="AI1498" s="246">
        <f>IFERROR(VLOOKUP(G1498,PROGRAMAS[],3,FALSE),0)</f>
        <v>125317226.95549992</v>
      </c>
      <c r="AJ1498" s="246">
        <f>IFERROR(VLOOKUP(H1498,PROGRAMAS[],3,FALSE),0)</f>
        <v>1233505101.0616004</v>
      </c>
      <c r="AK1498" s="246">
        <f>IFERROR(VLOOKUP(I1498,PROGRAMAS[],3,FALSE),0)</f>
        <v>6129902208.7912121</v>
      </c>
      <c r="AL1498" s="246">
        <f>IFERROR(VLOOKUP(J1498,PROGRAMAS[],3,FALSE),0)</f>
        <v>7011279577.519702</v>
      </c>
      <c r="AM1498" s="246">
        <f>IFERROR(VLOOKUP(K1498,PROGRAMAS[],3,FALSE),0)</f>
        <v>4099471734.9978786</v>
      </c>
      <c r="AN1498" s="246">
        <f>IFERROR(VLOOKUP(L1498,PROGRAMAS[],3,FALSE),0)</f>
        <v>31865326.38096505</v>
      </c>
      <c r="AO1498" s="246">
        <f>IFERROR(VLOOKUP(M1498,PROGRAMAS[],3,FALSE),0)</f>
        <v>948595847.09039903</v>
      </c>
      <c r="AP1498" s="246">
        <f>IFERROR(VLOOKUP(N1498,PROGRAMAS[],3,FALSE),0)</f>
        <v>0</v>
      </c>
      <c r="AQ1498" s="246">
        <f>IFERROR(VLOOKUP(O1498,PROGRAMAS[],3,FALSE),0)</f>
        <v>0</v>
      </c>
      <c r="AR1498" s="246">
        <f>IFERROR(VLOOKUP(P1498,PROGRAMAS[],3,FALSE),0)</f>
        <v>0</v>
      </c>
      <c r="AS1498" s="246">
        <f>IFERROR(VLOOKUP(Q1498,PROGRAMAS[],3,FALSE),0)</f>
        <v>0</v>
      </c>
      <c r="AT1498" s="246">
        <f>IFERROR(VLOOKUP(D1498,VOL_REC[],2,FALSE),0)</f>
        <v>0</v>
      </c>
      <c r="AU1498" s="246">
        <f>IFERROR(VLOOKUP(E1498,VOL_REC[],2,FALSE),0)</f>
        <v>0</v>
      </c>
      <c r="AV1498" s="246">
        <f>IFERROR(VLOOKUP(F1498,VOL_REC[],2,FALSE),0)</f>
        <v>11089674.200000001</v>
      </c>
      <c r="AW1498" s="246">
        <f>IFERROR(VLOOKUP(G1498,VOL_REC[],2,FALSE),0)</f>
        <v>90439.55</v>
      </c>
      <c r="AX1498" s="246">
        <f>IFERROR(VLOOKUP(H1498,VOL_REC[],2,FALSE),0)</f>
        <v>4325103.1812214684</v>
      </c>
      <c r="AY1498" s="246">
        <f>IFERROR(VLOOKUP(I1498,VOL_REC[],2,FALSE),0)</f>
        <v>15540036.397699751</v>
      </c>
      <c r="AZ1498" s="246">
        <f>IFERROR(VLOOKUP(J1498,VOL_REC[],2,FALSE),0)</f>
        <v>3761786</v>
      </c>
      <c r="BA1498" s="246">
        <f>IFERROR(VLOOKUP(K1498,VOL_REC[],2,FALSE),0)</f>
        <v>1812240</v>
      </c>
      <c r="BB1498" s="246">
        <f>IFERROR(VLOOKUP(L1498,VOL_REC[],2,FALSE),0)</f>
        <v>17074.045034105649</v>
      </c>
      <c r="BC1498" s="246">
        <f>IFERROR(VLOOKUP(M1498,VOL_REC[],2,FALSE),0)</f>
        <v>740113.98115702497</v>
      </c>
      <c r="BD1498" s="246">
        <f>IFERROR(VLOOKUP(N1498,VOL_REC[],2,FALSE),0)</f>
        <v>0</v>
      </c>
      <c r="BE1498" s="246">
        <f>IFERROR(VLOOKUP(O1498,VOL_REC[],2,FALSE),0)</f>
        <v>0</v>
      </c>
      <c r="BF1498" s="246">
        <f>IFERROR(VLOOKUP(P1498,VOL_REC[],2,FALSE),0)</f>
        <v>0</v>
      </c>
      <c r="BG1498" s="246">
        <f>IFERROR(VLOOKUP(Q1498,VOL_REC[],2,FALSE),0)</f>
        <v>0</v>
      </c>
      <c r="BH1498" s="1710">
        <f t="shared" si="92"/>
        <v>24927052982.84856</v>
      </c>
      <c r="BI1498" s="1710">
        <f t="shared" si="93"/>
        <v>27665707926.659809</v>
      </c>
      <c r="BJ1498" s="1711">
        <f t="shared" si="94"/>
        <v>37376467.355112351</v>
      </c>
      <c r="BK1498" s="1711">
        <f t="shared" si="95"/>
        <v>0.90100904155168327</v>
      </c>
    </row>
    <row r="1499" spans="3:67" x14ac:dyDescent="0.25">
      <c r="C1499" s="246" t="s">
        <v>2849</v>
      </c>
      <c r="D1499" s="246">
        <v>1</v>
      </c>
      <c r="E1499" s="246">
        <v>2</v>
      </c>
      <c r="F1499" s="246">
        <v>3</v>
      </c>
      <c r="G1499" s="246">
        <v>4</v>
      </c>
      <c r="H1499" s="246">
        <v>5</v>
      </c>
      <c r="I1499" s="246">
        <v>6</v>
      </c>
      <c r="J1499" s="246">
        <v>9</v>
      </c>
      <c r="K1499" s="246">
        <v>10</v>
      </c>
      <c r="L1499" s="246">
        <v>15</v>
      </c>
      <c r="M1499" s="246">
        <v>16</v>
      </c>
      <c r="N1499" s="246"/>
      <c r="O1499" s="246"/>
      <c r="P1499" s="246"/>
      <c r="Q1499" s="246"/>
      <c r="R1499" s="246">
        <f>IFERROR(VLOOKUP(D1499,PROGRAMAS[],2,FALSE),0)</f>
        <v>97037803.679377079</v>
      </c>
      <c r="S1499" s="246">
        <f>IFERROR(VLOOKUP(E1499,PROGRAMAS[],2,FALSE),0)</f>
        <v>640501509.6821388</v>
      </c>
      <c r="T1499" s="246">
        <f>IFERROR(VLOOKUP(F1499,PROGRAMAS[],2,FALSE),0)</f>
        <v>3062327798.1525245</v>
      </c>
      <c r="U1499" s="246">
        <f>IFERROR(VLOOKUP(G1499,PROGRAMAS[],2,FALSE),0)</f>
        <v>67697118.033011258</v>
      </c>
      <c r="V1499" s="246">
        <f>IFERROR(VLOOKUP(H1499,PROGRAMAS[],2,FALSE),0)</f>
        <v>1440941976.2528784</v>
      </c>
      <c r="W1499" s="246">
        <f>IFERROR(VLOOKUP(I1499,PROGRAMAS[],2,FALSE),0)</f>
        <v>6907648435.8447599</v>
      </c>
      <c r="X1499" s="246">
        <f>IFERROR(VLOOKUP(J1499,PROGRAMAS[],2,FALSE),0)</f>
        <v>6128579952.1618185</v>
      </c>
      <c r="Y1499" s="246">
        <f>IFERROR(VLOOKUP(K1499,PROGRAMAS[],2,FALSE),0)</f>
        <v>4635315027.8751087</v>
      </c>
      <c r="Z1499" s="246">
        <f>IFERROR(VLOOKUP(L1499,PROGRAMAS[],2,FALSE),0)</f>
        <v>122159672.96346797</v>
      </c>
      <c r="AA1499" s="246">
        <f>IFERROR(VLOOKUP(M1499,PROGRAMAS[],2,FALSE),0)</f>
        <v>7068496961.0436354</v>
      </c>
      <c r="AB1499" s="246">
        <f>IFERROR(VLOOKUP(N1499,PROGRAMAS[],2,FALSE),0)</f>
        <v>0</v>
      </c>
      <c r="AC1499" s="246">
        <f>IFERROR(VLOOKUP(O1499,PROGRAMAS[],2,FALSE),0)</f>
        <v>0</v>
      </c>
      <c r="AD1499" s="246">
        <f>IFERROR(VLOOKUP(P1499,PROGRAMAS[],2,FALSE),0)</f>
        <v>0</v>
      </c>
      <c r="AE1499" s="246">
        <f>IFERROR(VLOOKUP(Q1499,PROGRAMAS[],2,FALSE),0)</f>
        <v>0</v>
      </c>
      <c r="AF1499" s="246">
        <f>IFERROR(VLOOKUP(D1499,PROGRAMAS[],3,FALSE),0)</f>
        <v>841888629.31080008</v>
      </c>
      <c r="AG1499" s="246">
        <f>IFERROR(VLOOKUP(E1499,PROGRAMAS[],3,FALSE),0)</f>
        <v>3848980803.1642323</v>
      </c>
      <c r="AH1499" s="246">
        <f>IFERROR(VLOOKUP(F1499,PROGRAMAS[],3,FALSE),0)</f>
        <v>3394901471.387517</v>
      </c>
      <c r="AI1499" s="246">
        <f>IFERROR(VLOOKUP(G1499,PROGRAMAS[],3,FALSE),0)</f>
        <v>125317226.95549992</v>
      </c>
      <c r="AJ1499" s="246">
        <f>IFERROR(VLOOKUP(H1499,PROGRAMAS[],3,FALSE),0)</f>
        <v>1233505101.0616004</v>
      </c>
      <c r="AK1499" s="246">
        <f>IFERROR(VLOOKUP(I1499,PROGRAMAS[],3,FALSE),0)</f>
        <v>6129902208.7912121</v>
      </c>
      <c r="AL1499" s="246">
        <f>IFERROR(VLOOKUP(J1499,PROGRAMAS[],3,FALSE),0)</f>
        <v>7011279577.519702</v>
      </c>
      <c r="AM1499" s="246">
        <f>IFERROR(VLOOKUP(K1499,PROGRAMAS[],3,FALSE),0)</f>
        <v>4099471734.9978786</v>
      </c>
      <c r="AN1499" s="246">
        <f>IFERROR(VLOOKUP(L1499,PROGRAMAS[],3,FALSE),0)</f>
        <v>118617452.52510804</v>
      </c>
      <c r="AO1499" s="246">
        <f>IFERROR(VLOOKUP(M1499,PROGRAMAS[],3,FALSE),0)</f>
        <v>2406564599.0319901</v>
      </c>
      <c r="AP1499" s="246">
        <f>IFERROR(VLOOKUP(N1499,PROGRAMAS[],3,FALSE),0)</f>
        <v>0</v>
      </c>
      <c r="AQ1499" s="246">
        <f>IFERROR(VLOOKUP(O1499,PROGRAMAS[],3,FALSE),0)</f>
        <v>0</v>
      </c>
      <c r="AR1499" s="246">
        <f>IFERROR(VLOOKUP(P1499,PROGRAMAS[],3,FALSE),0)</f>
        <v>0</v>
      </c>
      <c r="AS1499" s="246">
        <f>IFERROR(VLOOKUP(Q1499,PROGRAMAS[],3,FALSE),0)</f>
        <v>0</v>
      </c>
      <c r="AT1499" s="246">
        <f>IFERROR(VLOOKUP(D1499,VOL_REC[],2,FALSE),0)</f>
        <v>0</v>
      </c>
      <c r="AU1499" s="246">
        <f>IFERROR(VLOOKUP(E1499,VOL_REC[],2,FALSE),0)</f>
        <v>0</v>
      </c>
      <c r="AV1499" s="246">
        <f>IFERROR(VLOOKUP(F1499,VOL_REC[],2,FALSE),0)</f>
        <v>11089674.200000001</v>
      </c>
      <c r="AW1499" s="246">
        <f>IFERROR(VLOOKUP(G1499,VOL_REC[],2,FALSE),0)</f>
        <v>90439.55</v>
      </c>
      <c r="AX1499" s="246">
        <f>IFERROR(VLOOKUP(H1499,VOL_REC[],2,FALSE),0)</f>
        <v>4325103.1812214684</v>
      </c>
      <c r="AY1499" s="246">
        <f>IFERROR(VLOOKUP(I1499,VOL_REC[],2,FALSE),0)</f>
        <v>15540036.397699751</v>
      </c>
      <c r="AZ1499" s="246">
        <f>IFERROR(VLOOKUP(J1499,VOL_REC[],2,FALSE),0)</f>
        <v>3761786</v>
      </c>
      <c r="BA1499" s="246">
        <f>IFERROR(VLOOKUP(K1499,VOL_REC[],2,FALSE),0)</f>
        <v>1812240</v>
      </c>
      <c r="BB1499" s="246">
        <f>IFERROR(VLOOKUP(L1499,VOL_REC[],2,FALSE),0)</f>
        <v>105072</v>
      </c>
      <c r="BC1499" s="246">
        <f>IFERROR(VLOOKUP(M1499,VOL_REC[],2,FALSE),0)</f>
        <v>1072354.9981737854</v>
      </c>
      <c r="BD1499" s="246">
        <f>IFERROR(VLOOKUP(N1499,VOL_REC[],2,FALSE),0)</f>
        <v>0</v>
      </c>
      <c r="BE1499" s="246">
        <f>IFERROR(VLOOKUP(O1499,VOL_REC[],2,FALSE),0)</f>
        <v>0</v>
      </c>
      <c r="BF1499" s="246">
        <f>IFERROR(VLOOKUP(P1499,VOL_REC[],2,FALSE),0)</f>
        <v>0</v>
      </c>
      <c r="BG1499" s="246">
        <f>IFERROR(VLOOKUP(Q1499,VOL_REC[],2,FALSE),0)</f>
        <v>0</v>
      </c>
      <c r="BH1499" s="1710">
        <f t="shared" si="92"/>
        <v>30170706255.688721</v>
      </c>
      <c r="BI1499" s="1710">
        <f t="shared" si="93"/>
        <v>29210428804.745541</v>
      </c>
      <c r="BJ1499" s="1711">
        <f t="shared" si="94"/>
        <v>37796706.327095009</v>
      </c>
      <c r="BK1499" s="1711">
        <f t="shared" si="95"/>
        <v>1.032874472927531</v>
      </c>
      <c r="BL1499">
        <f>BJ1499</f>
        <v>37796706.327095009</v>
      </c>
      <c r="BO1499">
        <f>BL1499</f>
        <v>37796706.327095009</v>
      </c>
    </row>
    <row r="1500" spans="3:67" x14ac:dyDescent="0.25">
      <c r="C1500" s="246" t="s">
        <v>2850</v>
      </c>
      <c r="D1500" s="246">
        <v>1</v>
      </c>
      <c r="E1500" s="246">
        <v>2</v>
      </c>
      <c r="F1500" s="246">
        <v>3</v>
      </c>
      <c r="G1500" s="246">
        <v>4</v>
      </c>
      <c r="H1500" s="246">
        <v>5</v>
      </c>
      <c r="I1500" s="246">
        <v>6</v>
      </c>
      <c r="J1500" s="246">
        <v>9</v>
      </c>
      <c r="K1500" s="246">
        <v>10</v>
      </c>
      <c r="L1500" s="246">
        <v>15</v>
      </c>
      <c r="M1500" s="246">
        <v>17</v>
      </c>
      <c r="N1500" s="246"/>
      <c r="O1500" s="246"/>
      <c r="P1500" s="246"/>
      <c r="Q1500" s="246"/>
      <c r="R1500" s="246">
        <f>IFERROR(VLOOKUP(D1500,PROGRAMAS[],2,FALSE),0)</f>
        <v>97037803.679377079</v>
      </c>
      <c r="S1500" s="246">
        <f>IFERROR(VLOOKUP(E1500,PROGRAMAS[],2,FALSE),0)</f>
        <v>640501509.6821388</v>
      </c>
      <c r="T1500" s="246">
        <f>IFERROR(VLOOKUP(F1500,PROGRAMAS[],2,FALSE),0)</f>
        <v>3062327798.1525245</v>
      </c>
      <c r="U1500" s="246">
        <f>IFERROR(VLOOKUP(G1500,PROGRAMAS[],2,FALSE),0)</f>
        <v>67697118.033011258</v>
      </c>
      <c r="V1500" s="246">
        <f>IFERROR(VLOOKUP(H1500,PROGRAMAS[],2,FALSE),0)</f>
        <v>1440941976.2528784</v>
      </c>
      <c r="W1500" s="246">
        <f>IFERROR(VLOOKUP(I1500,PROGRAMAS[],2,FALSE),0)</f>
        <v>6907648435.8447599</v>
      </c>
      <c r="X1500" s="246">
        <f>IFERROR(VLOOKUP(J1500,PROGRAMAS[],2,FALSE),0)</f>
        <v>6128579952.1618185</v>
      </c>
      <c r="Y1500" s="246">
        <f>IFERROR(VLOOKUP(K1500,PROGRAMAS[],2,FALSE),0)</f>
        <v>4635315027.8751087</v>
      </c>
      <c r="Z1500" s="246">
        <f>IFERROR(VLOOKUP(L1500,PROGRAMAS[],2,FALSE),0)</f>
        <v>122159672.96346797</v>
      </c>
      <c r="AA1500" s="246">
        <f>IFERROR(VLOOKUP(M1500,PROGRAMAS[],2,FALSE),0)</f>
        <v>1892779498.5211046</v>
      </c>
      <c r="AB1500" s="246">
        <f>IFERROR(VLOOKUP(N1500,PROGRAMAS[],2,FALSE),0)</f>
        <v>0</v>
      </c>
      <c r="AC1500" s="246">
        <f>IFERROR(VLOOKUP(O1500,PROGRAMAS[],2,FALSE),0)</f>
        <v>0</v>
      </c>
      <c r="AD1500" s="246">
        <f>IFERROR(VLOOKUP(P1500,PROGRAMAS[],2,FALSE),0)</f>
        <v>0</v>
      </c>
      <c r="AE1500" s="246">
        <f>IFERROR(VLOOKUP(Q1500,PROGRAMAS[],2,FALSE),0)</f>
        <v>0</v>
      </c>
      <c r="AF1500" s="246">
        <f>IFERROR(VLOOKUP(D1500,PROGRAMAS[],3,FALSE),0)</f>
        <v>841888629.31080008</v>
      </c>
      <c r="AG1500" s="246">
        <f>IFERROR(VLOOKUP(E1500,PROGRAMAS[],3,FALSE),0)</f>
        <v>3848980803.1642323</v>
      </c>
      <c r="AH1500" s="246">
        <f>IFERROR(VLOOKUP(F1500,PROGRAMAS[],3,FALSE),0)</f>
        <v>3394901471.387517</v>
      </c>
      <c r="AI1500" s="246">
        <f>IFERROR(VLOOKUP(G1500,PROGRAMAS[],3,FALSE),0)</f>
        <v>125317226.95549992</v>
      </c>
      <c r="AJ1500" s="246">
        <f>IFERROR(VLOOKUP(H1500,PROGRAMAS[],3,FALSE),0)</f>
        <v>1233505101.0616004</v>
      </c>
      <c r="AK1500" s="246">
        <f>IFERROR(VLOOKUP(I1500,PROGRAMAS[],3,FALSE),0)</f>
        <v>6129902208.7912121</v>
      </c>
      <c r="AL1500" s="246">
        <f>IFERROR(VLOOKUP(J1500,PROGRAMAS[],3,FALSE),0)</f>
        <v>7011279577.519702</v>
      </c>
      <c r="AM1500" s="246">
        <f>IFERROR(VLOOKUP(K1500,PROGRAMAS[],3,FALSE),0)</f>
        <v>4099471734.9978786</v>
      </c>
      <c r="AN1500" s="246">
        <f>IFERROR(VLOOKUP(L1500,PROGRAMAS[],3,FALSE),0)</f>
        <v>118617452.52510804</v>
      </c>
      <c r="AO1500" s="246">
        <f>IFERROR(VLOOKUP(M1500,PROGRAMAS[],3,FALSE),0)</f>
        <v>948595847.09039903</v>
      </c>
      <c r="AP1500" s="246">
        <f>IFERROR(VLOOKUP(N1500,PROGRAMAS[],3,FALSE),0)</f>
        <v>0</v>
      </c>
      <c r="AQ1500" s="246">
        <f>IFERROR(VLOOKUP(O1500,PROGRAMAS[],3,FALSE),0)</f>
        <v>0</v>
      </c>
      <c r="AR1500" s="246">
        <f>IFERROR(VLOOKUP(P1500,PROGRAMAS[],3,FALSE),0)</f>
        <v>0</v>
      </c>
      <c r="AS1500" s="246">
        <f>IFERROR(VLOOKUP(Q1500,PROGRAMAS[],3,FALSE),0)</f>
        <v>0</v>
      </c>
      <c r="AT1500" s="246">
        <f>IFERROR(VLOOKUP(D1500,VOL_REC[],2,FALSE),0)</f>
        <v>0</v>
      </c>
      <c r="AU1500" s="246">
        <f>IFERROR(VLOOKUP(E1500,VOL_REC[],2,FALSE),0)</f>
        <v>0</v>
      </c>
      <c r="AV1500" s="246">
        <f>IFERROR(VLOOKUP(F1500,VOL_REC[],2,FALSE),0)</f>
        <v>11089674.200000001</v>
      </c>
      <c r="AW1500" s="246">
        <f>IFERROR(VLOOKUP(G1500,VOL_REC[],2,FALSE),0)</f>
        <v>90439.55</v>
      </c>
      <c r="AX1500" s="246">
        <f>IFERROR(VLOOKUP(H1500,VOL_REC[],2,FALSE),0)</f>
        <v>4325103.1812214684</v>
      </c>
      <c r="AY1500" s="246">
        <f>IFERROR(VLOOKUP(I1500,VOL_REC[],2,FALSE),0)</f>
        <v>15540036.397699751</v>
      </c>
      <c r="AZ1500" s="246">
        <f>IFERROR(VLOOKUP(J1500,VOL_REC[],2,FALSE),0)</f>
        <v>3761786</v>
      </c>
      <c r="BA1500" s="246">
        <f>IFERROR(VLOOKUP(K1500,VOL_REC[],2,FALSE),0)</f>
        <v>1812240</v>
      </c>
      <c r="BB1500" s="246">
        <f>IFERROR(VLOOKUP(L1500,VOL_REC[],2,FALSE),0)</f>
        <v>105072</v>
      </c>
      <c r="BC1500" s="246">
        <f>IFERROR(VLOOKUP(M1500,VOL_REC[],2,FALSE),0)</f>
        <v>740113.98115702497</v>
      </c>
      <c r="BD1500" s="246">
        <f>IFERROR(VLOOKUP(N1500,VOL_REC[],2,FALSE),0)</f>
        <v>0</v>
      </c>
      <c r="BE1500" s="246">
        <f>IFERROR(VLOOKUP(O1500,VOL_REC[],2,FALSE),0)</f>
        <v>0</v>
      </c>
      <c r="BF1500" s="246">
        <f>IFERROR(VLOOKUP(P1500,VOL_REC[],2,FALSE),0)</f>
        <v>0</v>
      </c>
      <c r="BG1500" s="246">
        <f>IFERROR(VLOOKUP(Q1500,VOL_REC[],2,FALSE),0)</f>
        <v>0</v>
      </c>
      <c r="BH1500" s="1710">
        <f t="shared" si="92"/>
        <v>24994988793.166187</v>
      </c>
      <c r="BI1500" s="1710">
        <f t="shared" si="93"/>
        <v>27752460052.803951</v>
      </c>
      <c r="BJ1500" s="1711">
        <f t="shared" si="94"/>
        <v>37464465.310078248</v>
      </c>
      <c r="BK1500" s="1711">
        <f t="shared" si="95"/>
        <v>0.9006404745960831</v>
      </c>
    </row>
    <row r="1501" spans="3:67" x14ac:dyDescent="0.25">
      <c r="C1501" s="246" t="s">
        <v>2851</v>
      </c>
      <c r="D1501" s="246">
        <v>1</v>
      </c>
      <c r="E1501" s="246">
        <v>2</v>
      </c>
      <c r="F1501" s="246">
        <v>3</v>
      </c>
      <c r="G1501" s="246">
        <v>4</v>
      </c>
      <c r="H1501" s="246">
        <v>5</v>
      </c>
      <c r="I1501" s="246">
        <v>6</v>
      </c>
      <c r="J1501" s="246">
        <v>9</v>
      </c>
      <c r="K1501" s="246">
        <v>10</v>
      </c>
      <c r="L1501" s="246">
        <v>16</v>
      </c>
      <c r="M1501" s="246">
        <v>17</v>
      </c>
      <c r="N1501" s="246"/>
      <c r="O1501" s="246"/>
      <c r="P1501" s="246"/>
      <c r="Q1501" s="246"/>
      <c r="R1501" s="246">
        <f>IFERROR(VLOOKUP(D1501,PROGRAMAS[],2,FALSE),0)</f>
        <v>97037803.679377079</v>
      </c>
      <c r="S1501" s="246">
        <f>IFERROR(VLOOKUP(E1501,PROGRAMAS[],2,FALSE),0)</f>
        <v>640501509.6821388</v>
      </c>
      <c r="T1501" s="246">
        <f>IFERROR(VLOOKUP(F1501,PROGRAMAS[],2,FALSE),0)</f>
        <v>3062327798.1525245</v>
      </c>
      <c r="U1501" s="246">
        <f>IFERROR(VLOOKUP(G1501,PROGRAMAS[],2,FALSE),0)</f>
        <v>67697118.033011258</v>
      </c>
      <c r="V1501" s="246">
        <f>IFERROR(VLOOKUP(H1501,PROGRAMAS[],2,FALSE),0)</f>
        <v>1440941976.2528784</v>
      </c>
      <c r="W1501" s="246">
        <f>IFERROR(VLOOKUP(I1501,PROGRAMAS[],2,FALSE),0)</f>
        <v>6907648435.8447599</v>
      </c>
      <c r="X1501" s="246">
        <f>IFERROR(VLOOKUP(J1501,PROGRAMAS[],2,FALSE),0)</f>
        <v>6128579952.1618185</v>
      </c>
      <c r="Y1501" s="246">
        <f>IFERROR(VLOOKUP(K1501,PROGRAMAS[],2,FALSE),0)</f>
        <v>4635315027.8751087</v>
      </c>
      <c r="Z1501" s="246">
        <f>IFERROR(VLOOKUP(L1501,PROGRAMAS[],2,FALSE),0)</f>
        <v>7068496961.0436354</v>
      </c>
      <c r="AA1501" s="246">
        <f>IFERROR(VLOOKUP(M1501,PROGRAMAS[],2,FALSE),0)</f>
        <v>1892779498.5211046</v>
      </c>
      <c r="AB1501" s="246">
        <f>IFERROR(VLOOKUP(N1501,PROGRAMAS[],2,FALSE),0)</f>
        <v>0</v>
      </c>
      <c r="AC1501" s="246">
        <f>IFERROR(VLOOKUP(O1501,PROGRAMAS[],2,FALSE),0)</f>
        <v>0</v>
      </c>
      <c r="AD1501" s="246">
        <f>IFERROR(VLOOKUP(P1501,PROGRAMAS[],2,FALSE),0)</f>
        <v>0</v>
      </c>
      <c r="AE1501" s="246">
        <f>IFERROR(VLOOKUP(Q1501,PROGRAMAS[],2,FALSE),0)</f>
        <v>0</v>
      </c>
      <c r="AF1501" s="246">
        <f>IFERROR(VLOOKUP(D1501,PROGRAMAS[],3,FALSE),0)</f>
        <v>841888629.31080008</v>
      </c>
      <c r="AG1501" s="246">
        <f>IFERROR(VLOOKUP(E1501,PROGRAMAS[],3,FALSE),0)</f>
        <v>3848980803.1642323</v>
      </c>
      <c r="AH1501" s="246">
        <f>IFERROR(VLOOKUP(F1501,PROGRAMAS[],3,FALSE),0)</f>
        <v>3394901471.387517</v>
      </c>
      <c r="AI1501" s="246">
        <f>IFERROR(VLOOKUP(G1501,PROGRAMAS[],3,FALSE),0)</f>
        <v>125317226.95549992</v>
      </c>
      <c r="AJ1501" s="246">
        <f>IFERROR(VLOOKUP(H1501,PROGRAMAS[],3,FALSE),0)</f>
        <v>1233505101.0616004</v>
      </c>
      <c r="AK1501" s="246">
        <f>IFERROR(VLOOKUP(I1501,PROGRAMAS[],3,FALSE),0)</f>
        <v>6129902208.7912121</v>
      </c>
      <c r="AL1501" s="246">
        <f>IFERROR(VLOOKUP(J1501,PROGRAMAS[],3,FALSE),0)</f>
        <v>7011279577.519702</v>
      </c>
      <c r="AM1501" s="246">
        <f>IFERROR(VLOOKUP(K1501,PROGRAMAS[],3,FALSE),0)</f>
        <v>4099471734.9978786</v>
      </c>
      <c r="AN1501" s="246">
        <f>IFERROR(VLOOKUP(L1501,PROGRAMAS[],3,FALSE),0)</f>
        <v>2406564599.0319901</v>
      </c>
      <c r="AO1501" s="246">
        <f>IFERROR(VLOOKUP(M1501,PROGRAMAS[],3,FALSE),0)</f>
        <v>948595847.09039903</v>
      </c>
      <c r="AP1501" s="246">
        <f>IFERROR(VLOOKUP(N1501,PROGRAMAS[],3,FALSE),0)</f>
        <v>0</v>
      </c>
      <c r="AQ1501" s="246">
        <f>IFERROR(VLOOKUP(O1501,PROGRAMAS[],3,FALSE),0)</f>
        <v>0</v>
      </c>
      <c r="AR1501" s="246">
        <f>IFERROR(VLOOKUP(P1501,PROGRAMAS[],3,FALSE),0)</f>
        <v>0</v>
      </c>
      <c r="AS1501" s="246">
        <f>IFERROR(VLOOKUP(Q1501,PROGRAMAS[],3,FALSE),0)</f>
        <v>0</v>
      </c>
      <c r="AT1501" s="246">
        <f>IFERROR(VLOOKUP(D1501,VOL_REC[],2,FALSE),0)</f>
        <v>0</v>
      </c>
      <c r="AU1501" s="246">
        <f>IFERROR(VLOOKUP(E1501,VOL_REC[],2,FALSE),0)</f>
        <v>0</v>
      </c>
      <c r="AV1501" s="246">
        <f>IFERROR(VLOOKUP(F1501,VOL_REC[],2,FALSE),0)</f>
        <v>11089674.200000001</v>
      </c>
      <c r="AW1501" s="246">
        <f>IFERROR(VLOOKUP(G1501,VOL_REC[],2,FALSE),0)</f>
        <v>90439.55</v>
      </c>
      <c r="AX1501" s="246">
        <f>IFERROR(VLOOKUP(H1501,VOL_REC[],2,FALSE),0)</f>
        <v>4325103.1812214684</v>
      </c>
      <c r="AY1501" s="246">
        <f>IFERROR(VLOOKUP(I1501,VOL_REC[],2,FALSE),0)</f>
        <v>15540036.397699751</v>
      </c>
      <c r="AZ1501" s="246">
        <f>IFERROR(VLOOKUP(J1501,VOL_REC[],2,FALSE),0)</f>
        <v>3761786</v>
      </c>
      <c r="BA1501" s="246">
        <f>IFERROR(VLOOKUP(K1501,VOL_REC[],2,FALSE),0)</f>
        <v>1812240</v>
      </c>
      <c r="BB1501" s="246">
        <f>IFERROR(VLOOKUP(L1501,VOL_REC[],2,FALSE),0)</f>
        <v>1072354.9981737854</v>
      </c>
      <c r="BC1501" s="246">
        <f>IFERROR(VLOOKUP(M1501,VOL_REC[],2,FALSE),0)</f>
        <v>740113.98115702497</v>
      </c>
      <c r="BD1501" s="246">
        <f>IFERROR(VLOOKUP(N1501,VOL_REC[],2,FALSE),0)</f>
        <v>0</v>
      </c>
      <c r="BE1501" s="246">
        <f>IFERROR(VLOOKUP(O1501,VOL_REC[],2,FALSE),0)</f>
        <v>0</v>
      </c>
      <c r="BF1501" s="246">
        <f>IFERROR(VLOOKUP(P1501,VOL_REC[],2,FALSE),0)</f>
        <v>0</v>
      </c>
      <c r="BG1501" s="246">
        <f>IFERROR(VLOOKUP(Q1501,VOL_REC[],2,FALSE),0)</f>
        <v>0</v>
      </c>
      <c r="BH1501" s="1710">
        <f t="shared" si="92"/>
        <v>31941326081.246357</v>
      </c>
      <c r="BI1501" s="1710">
        <f t="shared" si="93"/>
        <v>30040407199.310833</v>
      </c>
      <c r="BJ1501" s="1711">
        <f t="shared" si="94"/>
        <v>38431748.308252037</v>
      </c>
      <c r="BK1501" s="1711">
        <f t="shared" si="95"/>
        <v>1.0632787321863977</v>
      </c>
      <c r="BL1501">
        <f>BJ1501</f>
        <v>38431748.308252037</v>
      </c>
      <c r="BO1501">
        <f>BL1501</f>
        <v>38431748.308252037</v>
      </c>
    </row>
    <row r="1502" spans="3:67" x14ac:dyDescent="0.25">
      <c r="C1502" s="246" t="s">
        <v>2852</v>
      </c>
      <c r="D1502" s="246">
        <v>1</v>
      </c>
      <c r="E1502" s="246">
        <v>2</v>
      </c>
      <c r="F1502" s="246">
        <v>3</v>
      </c>
      <c r="G1502" s="246">
        <v>4</v>
      </c>
      <c r="H1502" s="246">
        <v>5</v>
      </c>
      <c r="I1502" s="246">
        <v>6</v>
      </c>
      <c r="J1502" s="246">
        <v>9</v>
      </c>
      <c r="K1502" s="246">
        <v>12</v>
      </c>
      <c r="L1502" s="246">
        <v>13</v>
      </c>
      <c r="M1502" s="246">
        <v>14</v>
      </c>
      <c r="N1502" s="246"/>
      <c r="O1502" s="246"/>
      <c r="P1502" s="246"/>
      <c r="Q1502" s="246"/>
      <c r="R1502" s="246">
        <f>IFERROR(VLOOKUP(D1502,PROGRAMAS[],2,FALSE),0)</f>
        <v>97037803.679377079</v>
      </c>
      <c r="S1502" s="246">
        <f>IFERROR(VLOOKUP(E1502,PROGRAMAS[],2,FALSE),0)</f>
        <v>640501509.6821388</v>
      </c>
      <c r="T1502" s="246">
        <f>IFERROR(VLOOKUP(F1502,PROGRAMAS[],2,FALSE),0)</f>
        <v>3062327798.1525245</v>
      </c>
      <c r="U1502" s="246">
        <f>IFERROR(VLOOKUP(G1502,PROGRAMAS[],2,FALSE),0)</f>
        <v>67697118.033011258</v>
      </c>
      <c r="V1502" s="246">
        <f>IFERROR(VLOOKUP(H1502,PROGRAMAS[],2,FALSE),0)</f>
        <v>1440941976.2528784</v>
      </c>
      <c r="W1502" s="246">
        <f>IFERROR(VLOOKUP(I1502,PROGRAMAS[],2,FALSE),0)</f>
        <v>6907648435.8447599</v>
      </c>
      <c r="X1502" s="246">
        <f>IFERROR(VLOOKUP(J1502,PROGRAMAS[],2,FALSE),0)</f>
        <v>6128579952.1618185</v>
      </c>
      <c r="Y1502" s="246">
        <f>IFERROR(VLOOKUP(K1502,PROGRAMAS[],2,FALSE),0)</f>
        <v>764796700.79905891</v>
      </c>
      <c r="Z1502" s="246">
        <f>IFERROR(VLOOKUP(L1502,PROGRAMAS[],2,FALSE),0)</f>
        <v>3776538594.4604583</v>
      </c>
      <c r="AA1502" s="246">
        <f>IFERROR(VLOOKUP(M1502,PROGRAMAS[],2,FALSE),0)</f>
        <v>54223862.645839565</v>
      </c>
      <c r="AB1502" s="246">
        <f>IFERROR(VLOOKUP(N1502,PROGRAMAS[],2,FALSE),0)</f>
        <v>0</v>
      </c>
      <c r="AC1502" s="246">
        <f>IFERROR(VLOOKUP(O1502,PROGRAMAS[],2,FALSE),0)</f>
        <v>0</v>
      </c>
      <c r="AD1502" s="246">
        <f>IFERROR(VLOOKUP(P1502,PROGRAMAS[],2,FALSE),0)</f>
        <v>0</v>
      </c>
      <c r="AE1502" s="246">
        <f>IFERROR(VLOOKUP(Q1502,PROGRAMAS[],2,FALSE),0)</f>
        <v>0</v>
      </c>
      <c r="AF1502" s="246">
        <f>IFERROR(VLOOKUP(D1502,PROGRAMAS[],3,FALSE),0)</f>
        <v>841888629.31080008</v>
      </c>
      <c r="AG1502" s="246">
        <f>IFERROR(VLOOKUP(E1502,PROGRAMAS[],3,FALSE),0)</f>
        <v>3848980803.1642323</v>
      </c>
      <c r="AH1502" s="246">
        <f>IFERROR(VLOOKUP(F1502,PROGRAMAS[],3,FALSE),0)</f>
        <v>3394901471.387517</v>
      </c>
      <c r="AI1502" s="246">
        <f>IFERROR(VLOOKUP(G1502,PROGRAMAS[],3,FALSE),0)</f>
        <v>125317226.95549992</v>
      </c>
      <c r="AJ1502" s="246">
        <f>IFERROR(VLOOKUP(H1502,PROGRAMAS[],3,FALSE),0)</f>
        <v>1233505101.0616004</v>
      </c>
      <c r="AK1502" s="246">
        <f>IFERROR(VLOOKUP(I1502,PROGRAMAS[],3,FALSE),0)</f>
        <v>6129902208.7912121</v>
      </c>
      <c r="AL1502" s="246">
        <f>IFERROR(VLOOKUP(J1502,PROGRAMAS[],3,FALSE),0)</f>
        <v>7011279577.519702</v>
      </c>
      <c r="AM1502" s="246">
        <f>IFERROR(VLOOKUP(K1502,PROGRAMAS[],3,FALSE),0)</f>
        <v>675517840.109828</v>
      </c>
      <c r="AN1502" s="246">
        <f>IFERROR(VLOOKUP(L1502,PROGRAMAS[],3,FALSE),0)</f>
        <v>2392571243.5584412</v>
      </c>
      <c r="AO1502" s="246">
        <f>IFERROR(VLOOKUP(M1502,PROGRAMAS[],3,FALSE),0)</f>
        <v>31865326.38096505</v>
      </c>
      <c r="AP1502" s="246">
        <f>IFERROR(VLOOKUP(N1502,PROGRAMAS[],3,FALSE),0)</f>
        <v>0</v>
      </c>
      <c r="AQ1502" s="246">
        <f>IFERROR(VLOOKUP(O1502,PROGRAMAS[],3,FALSE),0)</f>
        <v>0</v>
      </c>
      <c r="AR1502" s="246">
        <f>IFERROR(VLOOKUP(P1502,PROGRAMAS[],3,FALSE),0)</f>
        <v>0</v>
      </c>
      <c r="AS1502" s="246">
        <f>IFERROR(VLOOKUP(Q1502,PROGRAMAS[],3,FALSE),0)</f>
        <v>0</v>
      </c>
      <c r="AT1502" s="246">
        <f>IFERROR(VLOOKUP(D1502,VOL_REC[],2,FALSE),0)</f>
        <v>0</v>
      </c>
      <c r="AU1502" s="246">
        <f>IFERROR(VLOOKUP(E1502,VOL_REC[],2,FALSE),0)</f>
        <v>0</v>
      </c>
      <c r="AV1502" s="246">
        <f>IFERROR(VLOOKUP(F1502,VOL_REC[],2,FALSE),0)</f>
        <v>11089674.200000001</v>
      </c>
      <c r="AW1502" s="246">
        <f>IFERROR(VLOOKUP(G1502,VOL_REC[],2,FALSE),0)</f>
        <v>90439.55</v>
      </c>
      <c r="AX1502" s="246">
        <f>IFERROR(VLOOKUP(H1502,VOL_REC[],2,FALSE),0)</f>
        <v>4325103.1812214684</v>
      </c>
      <c r="AY1502" s="246">
        <f>IFERROR(VLOOKUP(I1502,VOL_REC[],2,FALSE),0)</f>
        <v>15540036.397699751</v>
      </c>
      <c r="AZ1502" s="246">
        <f>IFERROR(VLOOKUP(J1502,VOL_REC[],2,FALSE),0)</f>
        <v>3761786</v>
      </c>
      <c r="BA1502" s="246">
        <f>IFERROR(VLOOKUP(K1502,VOL_REC[],2,FALSE),0)</f>
        <v>240696.79238099116</v>
      </c>
      <c r="BB1502" s="246">
        <f>IFERROR(VLOOKUP(L1502,VOL_REC[],2,FALSE),0)</f>
        <v>663244.80000000016</v>
      </c>
      <c r="BC1502" s="246">
        <f>IFERROR(VLOOKUP(M1502,VOL_REC[],2,FALSE),0)</f>
        <v>17074.045034105649</v>
      </c>
      <c r="BD1502" s="246">
        <f>IFERROR(VLOOKUP(N1502,VOL_REC[],2,FALSE),0)</f>
        <v>0</v>
      </c>
      <c r="BE1502" s="246">
        <f>IFERROR(VLOOKUP(O1502,VOL_REC[],2,FALSE),0)</f>
        <v>0</v>
      </c>
      <c r="BF1502" s="246">
        <f>IFERROR(VLOOKUP(P1502,VOL_REC[],2,FALSE),0)</f>
        <v>0</v>
      </c>
      <c r="BG1502" s="246">
        <f>IFERROR(VLOOKUP(Q1502,VOL_REC[],2,FALSE),0)</f>
        <v>0</v>
      </c>
      <c r="BH1502" s="1710">
        <f t="shared" si="92"/>
        <v>22940293751.711864</v>
      </c>
      <c r="BI1502" s="1710">
        <f t="shared" si="93"/>
        <v>25685729428.239799</v>
      </c>
      <c r="BJ1502" s="1711">
        <f t="shared" si="94"/>
        <v>35728054.96633631</v>
      </c>
      <c r="BK1502" s="1711">
        <f t="shared" si="95"/>
        <v>0.89311435814201534</v>
      </c>
    </row>
    <row r="1503" spans="3:67" x14ac:dyDescent="0.25">
      <c r="C1503" s="246" t="s">
        <v>2853</v>
      </c>
      <c r="D1503" s="246">
        <v>1</v>
      </c>
      <c r="E1503" s="246">
        <v>2</v>
      </c>
      <c r="F1503" s="246">
        <v>3</v>
      </c>
      <c r="G1503" s="246">
        <v>4</v>
      </c>
      <c r="H1503" s="246">
        <v>5</v>
      </c>
      <c r="I1503" s="246">
        <v>6</v>
      </c>
      <c r="J1503" s="246">
        <v>9</v>
      </c>
      <c r="K1503" s="246">
        <v>12</v>
      </c>
      <c r="L1503" s="246">
        <v>13</v>
      </c>
      <c r="M1503" s="246">
        <v>15</v>
      </c>
      <c r="N1503" s="246"/>
      <c r="O1503" s="246"/>
      <c r="P1503" s="246"/>
      <c r="Q1503" s="246"/>
      <c r="R1503" s="246">
        <f>IFERROR(VLOOKUP(D1503,PROGRAMAS[],2,FALSE),0)</f>
        <v>97037803.679377079</v>
      </c>
      <c r="S1503" s="246">
        <f>IFERROR(VLOOKUP(E1503,PROGRAMAS[],2,FALSE),0)</f>
        <v>640501509.6821388</v>
      </c>
      <c r="T1503" s="246">
        <f>IFERROR(VLOOKUP(F1503,PROGRAMAS[],2,FALSE),0)</f>
        <v>3062327798.1525245</v>
      </c>
      <c r="U1503" s="246">
        <f>IFERROR(VLOOKUP(G1503,PROGRAMAS[],2,FALSE),0)</f>
        <v>67697118.033011258</v>
      </c>
      <c r="V1503" s="246">
        <f>IFERROR(VLOOKUP(H1503,PROGRAMAS[],2,FALSE),0)</f>
        <v>1440941976.2528784</v>
      </c>
      <c r="W1503" s="246">
        <f>IFERROR(VLOOKUP(I1503,PROGRAMAS[],2,FALSE),0)</f>
        <v>6907648435.8447599</v>
      </c>
      <c r="X1503" s="246">
        <f>IFERROR(VLOOKUP(J1503,PROGRAMAS[],2,FALSE),0)</f>
        <v>6128579952.1618185</v>
      </c>
      <c r="Y1503" s="246">
        <f>IFERROR(VLOOKUP(K1503,PROGRAMAS[],2,FALSE),0)</f>
        <v>764796700.79905891</v>
      </c>
      <c r="Z1503" s="246">
        <f>IFERROR(VLOOKUP(L1503,PROGRAMAS[],2,FALSE),0)</f>
        <v>3776538594.4604583</v>
      </c>
      <c r="AA1503" s="246">
        <f>IFERROR(VLOOKUP(M1503,PROGRAMAS[],2,FALSE),0)</f>
        <v>122159672.96346797</v>
      </c>
      <c r="AB1503" s="246">
        <f>IFERROR(VLOOKUP(N1503,PROGRAMAS[],2,FALSE),0)</f>
        <v>0</v>
      </c>
      <c r="AC1503" s="246">
        <f>IFERROR(VLOOKUP(O1503,PROGRAMAS[],2,FALSE),0)</f>
        <v>0</v>
      </c>
      <c r="AD1503" s="246">
        <f>IFERROR(VLOOKUP(P1503,PROGRAMAS[],2,FALSE),0)</f>
        <v>0</v>
      </c>
      <c r="AE1503" s="246">
        <f>IFERROR(VLOOKUP(Q1503,PROGRAMAS[],2,FALSE),0)</f>
        <v>0</v>
      </c>
      <c r="AF1503" s="246">
        <f>IFERROR(VLOOKUP(D1503,PROGRAMAS[],3,FALSE),0)</f>
        <v>841888629.31080008</v>
      </c>
      <c r="AG1503" s="246">
        <f>IFERROR(VLOOKUP(E1503,PROGRAMAS[],3,FALSE),0)</f>
        <v>3848980803.1642323</v>
      </c>
      <c r="AH1503" s="246">
        <f>IFERROR(VLOOKUP(F1503,PROGRAMAS[],3,FALSE),0)</f>
        <v>3394901471.387517</v>
      </c>
      <c r="AI1503" s="246">
        <f>IFERROR(VLOOKUP(G1503,PROGRAMAS[],3,FALSE),0)</f>
        <v>125317226.95549992</v>
      </c>
      <c r="AJ1503" s="246">
        <f>IFERROR(VLOOKUP(H1503,PROGRAMAS[],3,FALSE),0)</f>
        <v>1233505101.0616004</v>
      </c>
      <c r="AK1503" s="246">
        <f>IFERROR(VLOOKUP(I1503,PROGRAMAS[],3,FALSE),0)</f>
        <v>6129902208.7912121</v>
      </c>
      <c r="AL1503" s="246">
        <f>IFERROR(VLOOKUP(J1503,PROGRAMAS[],3,FALSE),0)</f>
        <v>7011279577.519702</v>
      </c>
      <c r="AM1503" s="246">
        <f>IFERROR(VLOOKUP(K1503,PROGRAMAS[],3,FALSE),0)</f>
        <v>675517840.109828</v>
      </c>
      <c r="AN1503" s="246">
        <f>IFERROR(VLOOKUP(L1503,PROGRAMAS[],3,FALSE),0)</f>
        <v>2392571243.5584412</v>
      </c>
      <c r="AO1503" s="246">
        <f>IFERROR(VLOOKUP(M1503,PROGRAMAS[],3,FALSE),0)</f>
        <v>118617452.52510804</v>
      </c>
      <c r="AP1503" s="246">
        <f>IFERROR(VLOOKUP(N1503,PROGRAMAS[],3,FALSE),0)</f>
        <v>0</v>
      </c>
      <c r="AQ1503" s="246">
        <f>IFERROR(VLOOKUP(O1503,PROGRAMAS[],3,FALSE),0)</f>
        <v>0</v>
      </c>
      <c r="AR1503" s="246">
        <f>IFERROR(VLOOKUP(P1503,PROGRAMAS[],3,FALSE),0)</f>
        <v>0</v>
      </c>
      <c r="AS1503" s="246">
        <f>IFERROR(VLOOKUP(Q1503,PROGRAMAS[],3,FALSE),0)</f>
        <v>0</v>
      </c>
      <c r="AT1503" s="246">
        <f>IFERROR(VLOOKUP(D1503,VOL_REC[],2,FALSE),0)</f>
        <v>0</v>
      </c>
      <c r="AU1503" s="246">
        <f>IFERROR(VLOOKUP(E1503,VOL_REC[],2,FALSE),0)</f>
        <v>0</v>
      </c>
      <c r="AV1503" s="246">
        <f>IFERROR(VLOOKUP(F1503,VOL_REC[],2,FALSE),0)</f>
        <v>11089674.200000001</v>
      </c>
      <c r="AW1503" s="246">
        <f>IFERROR(VLOOKUP(G1503,VOL_REC[],2,FALSE),0)</f>
        <v>90439.55</v>
      </c>
      <c r="AX1503" s="246">
        <f>IFERROR(VLOOKUP(H1503,VOL_REC[],2,FALSE),0)</f>
        <v>4325103.1812214684</v>
      </c>
      <c r="AY1503" s="246">
        <f>IFERROR(VLOOKUP(I1503,VOL_REC[],2,FALSE),0)</f>
        <v>15540036.397699751</v>
      </c>
      <c r="AZ1503" s="246">
        <f>IFERROR(VLOOKUP(J1503,VOL_REC[],2,FALSE),0)</f>
        <v>3761786</v>
      </c>
      <c r="BA1503" s="246">
        <f>IFERROR(VLOOKUP(K1503,VOL_REC[],2,FALSE),0)</f>
        <v>240696.79238099116</v>
      </c>
      <c r="BB1503" s="246">
        <f>IFERROR(VLOOKUP(L1503,VOL_REC[],2,FALSE),0)</f>
        <v>663244.80000000016</v>
      </c>
      <c r="BC1503" s="246">
        <f>IFERROR(VLOOKUP(M1503,VOL_REC[],2,FALSE),0)</f>
        <v>105072</v>
      </c>
      <c r="BD1503" s="246">
        <f>IFERROR(VLOOKUP(N1503,VOL_REC[],2,FALSE),0)</f>
        <v>0</v>
      </c>
      <c r="BE1503" s="246">
        <f>IFERROR(VLOOKUP(O1503,VOL_REC[],2,FALSE),0)</f>
        <v>0</v>
      </c>
      <c r="BF1503" s="246">
        <f>IFERROR(VLOOKUP(P1503,VOL_REC[],2,FALSE),0)</f>
        <v>0</v>
      </c>
      <c r="BG1503" s="246">
        <f>IFERROR(VLOOKUP(Q1503,VOL_REC[],2,FALSE),0)</f>
        <v>0</v>
      </c>
      <c r="BH1503" s="1710">
        <f t="shared" si="92"/>
        <v>23008229562.029491</v>
      </c>
      <c r="BI1503" s="1710">
        <f t="shared" si="93"/>
        <v>25772481554.383942</v>
      </c>
      <c r="BJ1503" s="1711">
        <f t="shared" si="94"/>
        <v>35816052.921302207</v>
      </c>
      <c r="BK1503" s="1711">
        <f t="shared" si="95"/>
        <v>0.89274405002399759</v>
      </c>
    </row>
    <row r="1504" spans="3:67" x14ac:dyDescent="0.25">
      <c r="C1504" s="246" t="s">
        <v>2854</v>
      </c>
      <c r="D1504" s="246">
        <v>1</v>
      </c>
      <c r="E1504" s="246">
        <v>2</v>
      </c>
      <c r="F1504" s="246">
        <v>3</v>
      </c>
      <c r="G1504" s="246">
        <v>4</v>
      </c>
      <c r="H1504" s="246">
        <v>5</v>
      </c>
      <c r="I1504" s="246">
        <v>6</v>
      </c>
      <c r="J1504" s="246">
        <v>9</v>
      </c>
      <c r="K1504" s="246">
        <v>12</v>
      </c>
      <c r="L1504" s="246">
        <v>13</v>
      </c>
      <c r="M1504" s="246">
        <v>16</v>
      </c>
      <c r="N1504" s="246"/>
      <c r="O1504" s="246"/>
      <c r="P1504" s="246"/>
      <c r="Q1504" s="246"/>
      <c r="R1504" s="246">
        <f>IFERROR(VLOOKUP(D1504,PROGRAMAS[],2,FALSE),0)</f>
        <v>97037803.679377079</v>
      </c>
      <c r="S1504" s="246">
        <f>IFERROR(VLOOKUP(E1504,PROGRAMAS[],2,FALSE),0)</f>
        <v>640501509.6821388</v>
      </c>
      <c r="T1504" s="246">
        <f>IFERROR(VLOOKUP(F1504,PROGRAMAS[],2,FALSE),0)</f>
        <v>3062327798.1525245</v>
      </c>
      <c r="U1504" s="246">
        <f>IFERROR(VLOOKUP(G1504,PROGRAMAS[],2,FALSE),0)</f>
        <v>67697118.033011258</v>
      </c>
      <c r="V1504" s="246">
        <f>IFERROR(VLOOKUP(H1504,PROGRAMAS[],2,FALSE),0)</f>
        <v>1440941976.2528784</v>
      </c>
      <c r="W1504" s="246">
        <f>IFERROR(VLOOKUP(I1504,PROGRAMAS[],2,FALSE),0)</f>
        <v>6907648435.8447599</v>
      </c>
      <c r="X1504" s="246">
        <f>IFERROR(VLOOKUP(J1504,PROGRAMAS[],2,FALSE),0)</f>
        <v>6128579952.1618185</v>
      </c>
      <c r="Y1504" s="246">
        <f>IFERROR(VLOOKUP(K1504,PROGRAMAS[],2,FALSE),0)</f>
        <v>764796700.79905891</v>
      </c>
      <c r="Z1504" s="246">
        <f>IFERROR(VLOOKUP(L1504,PROGRAMAS[],2,FALSE),0)</f>
        <v>3776538594.4604583</v>
      </c>
      <c r="AA1504" s="246">
        <f>IFERROR(VLOOKUP(M1504,PROGRAMAS[],2,FALSE),0)</f>
        <v>7068496961.0436354</v>
      </c>
      <c r="AB1504" s="246">
        <f>IFERROR(VLOOKUP(N1504,PROGRAMAS[],2,FALSE),0)</f>
        <v>0</v>
      </c>
      <c r="AC1504" s="246">
        <f>IFERROR(VLOOKUP(O1504,PROGRAMAS[],2,FALSE),0)</f>
        <v>0</v>
      </c>
      <c r="AD1504" s="246">
        <f>IFERROR(VLOOKUP(P1504,PROGRAMAS[],2,FALSE),0)</f>
        <v>0</v>
      </c>
      <c r="AE1504" s="246">
        <f>IFERROR(VLOOKUP(Q1504,PROGRAMAS[],2,FALSE),0)</f>
        <v>0</v>
      </c>
      <c r="AF1504" s="246">
        <f>IFERROR(VLOOKUP(D1504,PROGRAMAS[],3,FALSE),0)</f>
        <v>841888629.31080008</v>
      </c>
      <c r="AG1504" s="246">
        <f>IFERROR(VLOOKUP(E1504,PROGRAMAS[],3,FALSE),0)</f>
        <v>3848980803.1642323</v>
      </c>
      <c r="AH1504" s="246">
        <f>IFERROR(VLOOKUP(F1504,PROGRAMAS[],3,FALSE),0)</f>
        <v>3394901471.387517</v>
      </c>
      <c r="AI1504" s="246">
        <f>IFERROR(VLOOKUP(G1504,PROGRAMAS[],3,FALSE),0)</f>
        <v>125317226.95549992</v>
      </c>
      <c r="AJ1504" s="246">
        <f>IFERROR(VLOOKUP(H1504,PROGRAMAS[],3,FALSE),0)</f>
        <v>1233505101.0616004</v>
      </c>
      <c r="AK1504" s="246">
        <f>IFERROR(VLOOKUP(I1504,PROGRAMAS[],3,FALSE),0)</f>
        <v>6129902208.7912121</v>
      </c>
      <c r="AL1504" s="246">
        <f>IFERROR(VLOOKUP(J1504,PROGRAMAS[],3,FALSE),0)</f>
        <v>7011279577.519702</v>
      </c>
      <c r="AM1504" s="246">
        <f>IFERROR(VLOOKUP(K1504,PROGRAMAS[],3,FALSE),0)</f>
        <v>675517840.109828</v>
      </c>
      <c r="AN1504" s="246">
        <f>IFERROR(VLOOKUP(L1504,PROGRAMAS[],3,FALSE),0)</f>
        <v>2392571243.5584412</v>
      </c>
      <c r="AO1504" s="246">
        <f>IFERROR(VLOOKUP(M1504,PROGRAMAS[],3,FALSE),0)</f>
        <v>2406564599.0319901</v>
      </c>
      <c r="AP1504" s="246">
        <f>IFERROR(VLOOKUP(N1504,PROGRAMAS[],3,FALSE),0)</f>
        <v>0</v>
      </c>
      <c r="AQ1504" s="246">
        <f>IFERROR(VLOOKUP(O1504,PROGRAMAS[],3,FALSE),0)</f>
        <v>0</v>
      </c>
      <c r="AR1504" s="246">
        <f>IFERROR(VLOOKUP(P1504,PROGRAMAS[],3,FALSE),0)</f>
        <v>0</v>
      </c>
      <c r="AS1504" s="246">
        <f>IFERROR(VLOOKUP(Q1504,PROGRAMAS[],3,FALSE),0)</f>
        <v>0</v>
      </c>
      <c r="AT1504" s="246">
        <f>IFERROR(VLOOKUP(D1504,VOL_REC[],2,FALSE),0)</f>
        <v>0</v>
      </c>
      <c r="AU1504" s="246">
        <f>IFERROR(VLOOKUP(E1504,VOL_REC[],2,FALSE),0)</f>
        <v>0</v>
      </c>
      <c r="AV1504" s="246">
        <f>IFERROR(VLOOKUP(F1504,VOL_REC[],2,FALSE),0)</f>
        <v>11089674.200000001</v>
      </c>
      <c r="AW1504" s="246">
        <f>IFERROR(VLOOKUP(G1504,VOL_REC[],2,FALSE),0)</f>
        <v>90439.55</v>
      </c>
      <c r="AX1504" s="246">
        <f>IFERROR(VLOOKUP(H1504,VOL_REC[],2,FALSE),0)</f>
        <v>4325103.1812214684</v>
      </c>
      <c r="AY1504" s="246">
        <f>IFERROR(VLOOKUP(I1504,VOL_REC[],2,FALSE),0)</f>
        <v>15540036.397699751</v>
      </c>
      <c r="AZ1504" s="246">
        <f>IFERROR(VLOOKUP(J1504,VOL_REC[],2,FALSE),0)</f>
        <v>3761786</v>
      </c>
      <c r="BA1504" s="246">
        <f>IFERROR(VLOOKUP(K1504,VOL_REC[],2,FALSE),0)</f>
        <v>240696.79238099116</v>
      </c>
      <c r="BB1504" s="246">
        <f>IFERROR(VLOOKUP(L1504,VOL_REC[],2,FALSE),0)</f>
        <v>663244.80000000016</v>
      </c>
      <c r="BC1504" s="246">
        <f>IFERROR(VLOOKUP(M1504,VOL_REC[],2,FALSE),0)</f>
        <v>1072354.9981737854</v>
      </c>
      <c r="BD1504" s="246">
        <f>IFERROR(VLOOKUP(N1504,VOL_REC[],2,FALSE),0)</f>
        <v>0</v>
      </c>
      <c r="BE1504" s="246">
        <f>IFERROR(VLOOKUP(O1504,VOL_REC[],2,FALSE),0)</f>
        <v>0</v>
      </c>
      <c r="BF1504" s="246">
        <f>IFERROR(VLOOKUP(P1504,VOL_REC[],2,FALSE),0)</f>
        <v>0</v>
      </c>
      <c r="BG1504" s="246">
        <f>IFERROR(VLOOKUP(Q1504,VOL_REC[],2,FALSE),0)</f>
        <v>0</v>
      </c>
      <c r="BH1504" s="1710">
        <f t="shared" si="92"/>
        <v>29954566850.109661</v>
      </c>
      <c r="BI1504" s="1710">
        <f t="shared" si="93"/>
        <v>28060428700.890823</v>
      </c>
      <c r="BJ1504" s="1711">
        <f t="shared" si="94"/>
        <v>36783335.919475995</v>
      </c>
      <c r="BK1504" s="1711">
        <f t="shared" si="95"/>
        <v>1.0675021101569522</v>
      </c>
      <c r="BL1504">
        <f>BJ1504</f>
        <v>36783335.919475995</v>
      </c>
      <c r="BO1504">
        <f>BL1504</f>
        <v>36783335.919475995</v>
      </c>
    </row>
    <row r="1505" spans="3:67" x14ac:dyDescent="0.25">
      <c r="C1505" s="246" t="s">
        <v>2855</v>
      </c>
      <c r="D1505" s="246">
        <v>1</v>
      </c>
      <c r="E1505" s="246">
        <v>2</v>
      </c>
      <c r="F1505" s="246">
        <v>3</v>
      </c>
      <c r="G1505" s="246">
        <v>4</v>
      </c>
      <c r="H1505" s="246">
        <v>5</v>
      </c>
      <c r="I1505" s="246">
        <v>6</v>
      </c>
      <c r="J1505" s="246">
        <v>9</v>
      </c>
      <c r="K1505" s="246">
        <v>12</v>
      </c>
      <c r="L1505" s="246">
        <v>13</v>
      </c>
      <c r="M1505" s="246">
        <v>17</v>
      </c>
      <c r="N1505" s="246"/>
      <c r="O1505" s="246"/>
      <c r="P1505" s="246"/>
      <c r="Q1505" s="246"/>
      <c r="R1505" s="246">
        <f>IFERROR(VLOOKUP(D1505,PROGRAMAS[],2,FALSE),0)</f>
        <v>97037803.679377079</v>
      </c>
      <c r="S1505" s="246">
        <f>IFERROR(VLOOKUP(E1505,PROGRAMAS[],2,FALSE),0)</f>
        <v>640501509.6821388</v>
      </c>
      <c r="T1505" s="246">
        <f>IFERROR(VLOOKUP(F1505,PROGRAMAS[],2,FALSE),0)</f>
        <v>3062327798.1525245</v>
      </c>
      <c r="U1505" s="246">
        <f>IFERROR(VLOOKUP(G1505,PROGRAMAS[],2,FALSE),0)</f>
        <v>67697118.033011258</v>
      </c>
      <c r="V1505" s="246">
        <f>IFERROR(VLOOKUP(H1505,PROGRAMAS[],2,FALSE),0)</f>
        <v>1440941976.2528784</v>
      </c>
      <c r="W1505" s="246">
        <f>IFERROR(VLOOKUP(I1505,PROGRAMAS[],2,FALSE),0)</f>
        <v>6907648435.8447599</v>
      </c>
      <c r="X1505" s="246">
        <f>IFERROR(VLOOKUP(J1505,PROGRAMAS[],2,FALSE),0)</f>
        <v>6128579952.1618185</v>
      </c>
      <c r="Y1505" s="246">
        <f>IFERROR(VLOOKUP(K1505,PROGRAMAS[],2,FALSE),0)</f>
        <v>764796700.79905891</v>
      </c>
      <c r="Z1505" s="246">
        <f>IFERROR(VLOOKUP(L1505,PROGRAMAS[],2,FALSE),0)</f>
        <v>3776538594.4604583</v>
      </c>
      <c r="AA1505" s="246">
        <f>IFERROR(VLOOKUP(M1505,PROGRAMAS[],2,FALSE),0)</f>
        <v>1892779498.5211046</v>
      </c>
      <c r="AB1505" s="246">
        <f>IFERROR(VLOOKUP(N1505,PROGRAMAS[],2,FALSE),0)</f>
        <v>0</v>
      </c>
      <c r="AC1505" s="246">
        <f>IFERROR(VLOOKUP(O1505,PROGRAMAS[],2,FALSE),0)</f>
        <v>0</v>
      </c>
      <c r="AD1505" s="246">
        <f>IFERROR(VLOOKUP(P1505,PROGRAMAS[],2,FALSE),0)</f>
        <v>0</v>
      </c>
      <c r="AE1505" s="246">
        <f>IFERROR(VLOOKUP(Q1505,PROGRAMAS[],2,FALSE),0)</f>
        <v>0</v>
      </c>
      <c r="AF1505" s="246">
        <f>IFERROR(VLOOKUP(D1505,PROGRAMAS[],3,FALSE),0)</f>
        <v>841888629.31080008</v>
      </c>
      <c r="AG1505" s="246">
        <f>IFERROR(VLOOKUP(E1505,PROGRAMAS[],3,FALSE),0)</f>
        <v>3848980803.1642323</v>
      </c>
      <c r="AH1505" s="246">
        <f>IFERROR(VLOOKUP(F1505,PROGRAMAS[],3,FALSE),0)</f>
        <v>3394901471.387517</v>
      </c>
      <c r="AI1505" s="246">
        <f>IFERROR(VLOOKUP(G1505,PROGRAMAS[],3,FALSE),0)</f>
        <v>125317226.95549992</v>
      </c>
      <c r="AJ1505" s="246">
        <f>IFERROR(VLOOKUP(H1505,PROGRAMAS[],3,FALSE),0)</f>
        <v>1233505101.0616004</v>
      </c>
      <c r="AK1505" s="246">
        <f>IFERROR(VLOOKUP(I1505,PROGRAMAS[],3,FALSE),0)</f>
        <v>6129902208.7912121</v>
      </c>
      <c r="AL1505" s="246">
        <f>IFERROR(VLOOKUP(J1505,PROGRAMAS[],3,FALSE),0)</f>
        <v>7011279577.519702</v>
      </c>
      <c r="AM1505" s="246">
        <f>IFERROR(VLOOKUP(K1505,PROGRAMAS[],3,FALSE),0)</f>
        <v>675517840.109828</v>
      </c>
      <c r="AN1505" s="246">
        <f>IFERROR(VLOOKUP(L1505,PROGRAMAS[],3,FALSE),0)</f>
        <v>2392571243.5584412</v>
      </c>
      <c r="AO1505" s="246">
        <f>IFERROR(VLOOKUP(M1505,PROGRAMAS[],3,FALSE),0)</f>
        <v>948595847.09039903</v>
      </c>
      <c r="AP1505" s="246">
        <f>IFERROR(VLOOKUP(N1505,PROGRAMAS[],3,FALSE),0)</f>
        <v>0</v>
      </c>
      <c r="AQ1505" s="246">
        <f>IFERROR(VLOOKUP(O1505,PROGRAMAS[],3,FALSE),0)</f>
        <v>0</v>
      </c>
      <c r="AR1505" s="246">
        <f>IFERROR(VLOOKUP(P1505,PROGRAMAS[],3,FALSE),0)</f>
        <v>0</v>
      </c>
      <c r="AS1505" s="246">
        <f>IFERROR(VLOOKUP(Q1505,PROGRAMAS[],3,FALSE),0)</f>
        <v>0</v>
      </c>
      <c r="AT1505" s="246">
        <f>IFERROR(VLOOKUP(D1505,VOL_REC[],2,FALSE),0)</f>
        <v>0</v>
      </c>
      <c r="AU1505" s="246">
        <f>IFERROR(VLOOKUP(E1505,VOL_REC[],2,FALSE),0)</f>
        <v>0</v>
      </c>
      <c r="AV1505" s="246">
        <f>IFERROR(VLOOKUP(F1505,VOL_REC[],2,FALSE),0)</f>
        <v>11089674.200000001</v>
      </c>
      <c r="AW1505" s="246">
        <f>IFERROR(VLOOKUP(G1505,VOL_REC[],2,FALSE),0)</f>
        <v>90439.55</v>
      </c>
      <c r="AX1505" s="246">
        <f>IFERROR(VLOOKUP(H1505,VOL_REC[],2,FALSE),0)</f>
        <v>4325103.1812214684</v>
      </c>
      <c r="AY1505" s="246">
        <f>IFERROR(VLOOKUP(I1505,VOL_REC[],2,FALSE),0)</f>
        <v>15540036.397699751</v>
      </c>
      <c r="AZ1505" s="246">
        <f>IFERROR(VLOOKUP(J1505,VOL_REC[],2,FALSE),0)</f>
        <v>3761786</v>
      </c>
      <c r="BA1505" s="246">
        <f>IFERROR(VLOOKUP(K1505,VOL_REC[],2,FALSE),0)</f>
        <v>240696.79238099116</v>
      </c>
      <c r="BB1505" s="246">
        <f>IFERROR(VLOOKUP(L1505,VOL_REC[],2,FALSE),0)</f>
        <v>663244.80000000016</v>
      </c>
      <c r="BC1505" s="246">
        <f>IFERROR(VLOOKUP(M1505,VOL_REC[],2,FALSE),0)</f>
        <v>740113.98115702497</v>
      </c>
      <c r="BD1505" s="246">
        <f>IFERROR(VLOOKUP(N1505,VOL_REC[],2,FALSE),0)</f>
        <v>0</v>
      </c>
      <c r="BE1505" s="246">
        <f>IFERROR(VLOOKUP(O1505,VOL_REC[],2,FALSE),0)</f>
        <v>0</v>
      </c>
      <c r="BF1505" s="246">
        <f>IFERROR(VLOOKUP(P1505,VOL_REC[],2,FALSE),0)</f>
        <v>0</v>
      </c>
      <c r="BG1505" s="246">
        <f>IFERROR(VLOOKUP(Q1505,VOL_REC[],2,FALSE),0)</f>
        <v>0</v>
      </c>
      <c r="BH1505" s="1710">
        <f t="shared" si="92"/>
        <v>24778849387.587128</v>
      </c>
      <c r="BI1505" s="1710">
        <f t="shared" si="93"/>
        <v>26602459948.949234</v>
      </c>
      <c r="BJ1505" s="1711">
        <f t="shared" si="94"/>
        <v>36451094.902459234</v>
      </c>
      <c r="BK1505" s="1711">
        <f t="shared" si="95"/>
        <v>0.93144955147525232</v>
      </c>
    </row>
    <row r="1506" spans="3:67" x14ac:dyDescent="0.25">
      <c r="C1506" s="246" t="s">
        <v>2856</v>
      </c>
      <c r="D1506" s="246">
        <v>1</v>
      </c>
      <c r="E1506" s="246">
        <v>2</v>
      </c>
      <c r="F1506" s="246">
        <v>3</v>
      </c>
      <c r="G1506" s="246">
        <v>4</v>
      </c>
      <c r="H1506" s="246">
        <v>5</v>
      </c>
      <c r="I1506" s="246">
        <v>6</v>
      </c>
      <c r="J1506" s="246">
        <v>9</v>
      </c>
      <c r="K1506" s="246">
        <v>12</v>
      </c>
      <c r="L1506" s="246">
        <v>14</v>
      </c>
      <c r="M1506" s="246">
        <v>15</v>
      </c>
      <c r="N1506" s="246"/>
      <c r="O1506" s="246"/>
      <c r="P1506" s="246"/>
      <c r="Q1506" s="246"/>
      <c r="R1506" s="246">
        <f>IFERROR(VLOOKUP(D1506,PROGRAMAS[],2,FALSE),0)</f>
        <v>97037803.679377079</v>
      </c>
      <c r="S1506" s="246">
        <f>IFERROR(VLOOKUP(E1506,PROGRAMAS[],2,FALSE),0)</f>
        <v>640501509.6821388</v>
      </c>
      <c r="T1506" s="246">
        <f>IFERROR(VLOOKUP(F1506,PROGRAMAS[],2,FALSE),0)</f>
        <v>3062327798.1525245</v>
      </c>
      <c r="U1506" s="246">
        <f>IFERROR(VLOOKUP(G1506,PROGRAMAS[],2,FALSE),0)</f>
        <v>67697118.033011258</v>
      </c>
      <c r="V1506" s="246">
        <f>IFERROR(VLOOKUP(H1506,PROGRAMAS[],2,FALSE),0)</f>
        <v>1440941976.2528784</v>
      </c>
      <c r="W1506" s="246">
        <f>IFERROR(VLOOKUP(I1506,PROGRAMAS[],2,FALSE),0)</f>
        <v>6907648435.8447599</v>
      </c>
      <c r="X1506" s="246">
        <f>IFERROR(VLOOKUP(J1506,PROGRAMAS[],2,FALSE),0)</f>
        <v>6128579952.1618185</v>
      </c>
      <c r="Y1506" s="246">
        <f>IFERROR(VLOOKUP(K1506,PROGRAMAS[],2,FALSE),0)</f>
        <v>764796700.79905891</v>
      </c>
      <c r="Z1506" s="246">
        <f>IFERROR(VLOOKUP(L1506,PROGRAMAS[],2,FALSE),0)</f>
        <v>54223862.645839565</v>
      </c>
      <c r="AA1506" s="246">
        <f>IFERROR(VLOOKUP(M1506,PROGRAMAS[],2,FALSE),0)</f>
        <v>122159672.96346797</v>
      </c>
      <c r="AB1506" s="246">
        <f>IFERROR(VLOOKUP(N1506,PROGRAMAS[],2,FALSE),0)</f>
        <v>0</v>
      </c>
      <c r="AC1506" s="246">
        <f>IFERROR(VLOOKUP(O1506,PROGRAMAS[],2,FALSE),0)</f>
        <v>0</v>
      </c>
      <c r="AD1506" s="246">
        <f>IFERROR(VLOOKUP(P1506,PROGRAMAS[],2,FALSE),0)</f>
        <v>0</v>
      </c>
      <c r="AE1506" s="246">
        <f>IFERROR(VLOOKUP(Q1506,PROGRAMAS[],2,FALSE),0)</f>
        <v>0</v>
      </c>
      <c r="AF1506" s="246">
        <f>IFERROR(VLOOKUP(D1506,PROGRAMAS[],3,FALSE),0)</f>
        <v>841888629.31080008</v>
      </c>
      <c r="AG1506" s="246">
        <f>IFERROR(VLOOKUP(E1506,PROGRAMAS[],3,FALSE),0)</f>
        <v>3848980803.1642323</v>
      </c>
      <c r="AH1506" s="246">
        <f>IFERROR(VLOOKUP(F1506,PROGRAMAS[],3,FALSE),0)</f>
        <v>3394901471.387517</v>
      </c>
      <c r="AI1506" s="246">
        <f>IFERROR(VLOOKUP(G1506,PROGRAMAS[],3,FALSE),0)</f>
        <v>125317226.95549992</v>
      </c>
      <c r="AJ1506" s="246">
        <f>IFERROR(VLOOKUP(H1506,PROGRAMAS[],3,FALSE),0)</f>
        <v>1233505101.0616004</v>
      </c>
      <c r="AK1506" s="246">
        <f>IFERROR(VLOOKUP(I1506,PROGRAMAS[],3,FALSE),0)</f>
        <v>6129902208.7912121</v>
      </c>
      <c r="AL1506" s="246">
        <f>IFERROR(VLOOKUP(J1506,PROGRAMAS[],3,FALSE),0)</f>
        <v>7011279577.519702</v>
      </c>
      <c r="AM1506" s="246">
        <f>IFERROR(VLOOKUP(K1506,PROGRAMAS[],3,FALSE),0)</f>
        <v>675517840.109828</v>
      </c>
      <c r="AN1506" s="246">
        <f>IFERROR(VLOOKUP(L1506,PROGRAMAS[],3,FALSE),0)</f>
        <v>31865326.38096505</v>
      </c>
      <c r="AO1506" s="246">
        <f>IFERROR(VLOOKUP(M1506,PROGRAMAS[],3,FALSE),0)</f>
        <v>118617452.52510804</v>
      </c>
      <c r="AP1506" s="246">
        <f>IFERROR(VLOOKUP(N1506,PROGRAMAS[],3,FALSE),0)</f>
        <v>0</v>
      </c>
      <c r="AQ1506" s="246">
        <f>IFERROR(VLOOKUP(O1506,PROGRAMAS[],3,FALSE),0)</f>
        <v>0</v>
      </c>
      <c r="AR1506" s="246">
        <f>IFERROR(VLOOKUP(P1506,PROGRAMAS[],3,FALSE),0)</f>
        <v>0</v>
      </c>
      <c r="AS1506" s="246">
        <f>IFERROR(VLOOKUP(Q1506,PROGRAMAS[],3,FALSE),0)</f>
        <v>0</v>
      </c>
      <c r="AT1506" s="246">
        <f>IFERROR(VLOOKUP(D1506,VOL_REC[],2,FALSE),0)</f>
        <v>0</v>
      </c>
      <c r="AU1506" s="246">
        <f>IFERROR(VLOOKUP(E1506,VOL_REC[],2,FALSE),0)</f>
        <v>0</v>
      </c>
      <c r="AV1506" s="246">
        <f>IFERROR(VLOOKUP(F1506,VOL_REC[],2,FALSE),0)</f>
        <v>11089674.200000001</v>
      </c>
      <c r="AW1506" s="246">
        <f>IFERROR(VLOOKUP(G1506,VOL_REC[],2,FALSE),0)</f>
        <v>90439.55</v>
      </c>
      <c r="AX1506" s="246">
        <f>IFERROR(VLOOKUP(H1506,VOL_REC[],2,FALSE),0)</f>
        <v>4325103.1812214684</v>
      </c>
      <c r="AY1506" s="246">
        <f>IFERROR(VLOOKUP(I1506,VOL_REC[],2,FALSE),0)</f>
        <v>15540036.397699751</v>
      </c>
      <c r="AZ1506" s="246">
        <f>IFERROR(VLOOKUP(J1506,VOL_REC[],2,FALSE),0)</f>
        <v>3761786</v>
      </c>
      <c r="BA1506" s="246">
        <f>IFERROR(VLOOKUP(K1506,VOL_REC[],2,FALSE),0)</f>
        <v>240696.79238099116</v>
      </c>
      <c r="BB1506" s="246">
        <f>IFERROR(VLOOKUP(L1506,VOL_REC[],2,FALSE),0)</f>
        <v>17074.045034105649</v>
      </c>
      <c r="BC1506" s="246">
        <f>IFERROR(VLOOKUP(M1506,VOL_REC[],2,FALSE),0)</f>
        <v>105072</v>
      </c>
      <c r="BD1506" s="246">
        <f>IFERROR(VLOOKUP(N1506,VOL_REC[],2,FALSE),0)</f>
        <v>0</v>
      </c>
      <c r="BE1506" s="246">
        <f>IFERROR(VLOOKUP(O1506,VOL_REC[],2,FALSE),0)</f>
        <v>0</v>
      </c>
      <c r="BF1506" s="246">
        <f>IFERROR(VLOOKUP(P1506,VOL_REC[],2,FALSE),0)</f>
        <v>0</v>
      </c>
      <c r="BG1506" s="246">
        <f>IFERROR(VLOOKUP(Q1506,VOL_REC[],2,FALSE),0)</f>
        <v>0</v>
      </c>
      <c r="BH1506" s="1710">
        <f t="shared" si="92"/>
        <v>19285914830.214874</v>
      </c>
      <c r="BI1506" s="1710">
        <f t="shared" si="93"/>
        <v>23411775637.206467</v>
      </c>
      <c r="BJ1506" s="1711">
        <f t="shared" si="94"/>
        <v>35169882.166336313</v>
      </c>
      <c r="BK1506" s="1711">
        <f t="shared" si="95"/>
        <v>0.82376984681013721</v>
      </c>
    </row>
    <row r="1507" spans="3:67" x14ac:dyDescent="0.25">
      <c r="C1507" s="246" t="s">
        <v>2857</v>
      </c>
      <c r="D1507" s="246">
        <v>1</v>
      </c>
      <c r="E1507" s="246">
        <v>2</v>
      </c>
      <c r="F1507" s="246">
        <v>3</v>
      </c>
      <c r="G1507" s="246">
        <v>4</v>
      </c>
      <c r="H1507" s="246">
        <v>5</v>
      </c>
      <c r="I1507" s="246">
        <v>6</v>
      </c>
      <c r="J1507" s="246">
        <v>9</v>
      </c>
      <c r="K1507" s="246">
        <v>12</v>
      </c>
      <c r="L1507" s="246">
        <v>14</v>
      </c>
      <c r="M1507" s="246">
        <v>16</v>
      </c>
      <c r="N1507" s="246"/>
      <c r="O1507" s="246"/>
      <c r="P1507" s="246"/>
      <c r="Q1507" s="246"/>
      <c r="R1507" s="246">
        <f>IFERROR(VLOOKUP(D1507,PROGRAMAS[],2,FALSE),0)</f>
        <v>97037803.679377079</v>
      </c>
      <c r="S1507" s="246">
        <f>IFERROR(VLOOKUP(E1507,PROGRAMAS[],2,FALSE),0)</f>
        <v>640501509.6821388</v>
      </c>
      <c r="T1507" s="246">
        <f>IFERROR(VLOOKUP(F1507,PROGRAMAS[],2,FALSE),0)</f>
        <v>3062327798.1525245</v>
      </c>
      <c r="U1507" s="246">
        <f>IFERROR(VLOOKUP(G1507,PROGRAMAS[],2,FALSE),0)</f>
        <v>67697118.033011258</v>
      </c>
      <c r="V1507" s="246">
        <f>IFERROR(VLOOKUP(H1507,PROGRAMAS[],2,FALSE),0)</f>
        <v>1440941976.2528784</v>
      </c>
      <c r="W1507" s="246">
        <f>IFERROR(VLOOKUP(I1507,PROGRAMAS[],2,FALSE),0)</f>
        <v>6907648435.8447599</v>
      </c>
      <c r="X1507" s="246">
        <f>IFERROR(VLOOKUP(J1507,PROGRAMAS[],2,FALSE),0)</f>
        <v>6128579952.1618185</v>
      </c>
      <c r="Y1507" s="246">
        <f>IFERROR(VLOOKUP(K1507,PROGRAMAS[],2,FALSE),0)</f>
        <v>764796700.79905891</v>
      </c>
      <c r="Z1507" s="246">
        <f>IFERROR(VLOOKUP(L1507,PROGRAMAS[],2,FALSE),0)</f>
        <v>54223862.645839565</v>
      </c>
      <c r="AA1507" s="246">
        <f>IFERROR(VLOOKUP(M1507,PROGRAMAS[],2,FALSE),0)</f>
        <v>7068496961.0436354</v>
      </c>
      <c r="AB1507" s="246">
        <f>IFERROR(VLOOKUP(N1507,PROGRAMAS[],2,FALSE),0)</f>
        <v>0</v>
      </c>
      <c r="AC1507" s="246">
        <f>IFERROR(VLOOKUP(O1507,PROGRAMAS[],2,FALSE),0)</f>
        <v>0</v>
      </c>
      <c r="AD1507" s="246">
        <f>IFERROR(VLOOKUP(P1507,PROGRAMAS[],2,FALSE),0)</f>
        <v>0</v>
      </c>
      <c r="AE1507" s="246">
        <f>IFERROR(VLOOKUP(Q1507,PROGRAMAS[],2,FALSE),0)</f>
        <v>0</v>
      </c>
      <c r="AF1507" s="246">
        <f>IFERROR(VLOOKUP(D1507,PROGRAMAS[],3,FALSE),0)</f>
        <v>841888629.31080008</v>
      </c>
      <c r="AG1507" s="246">
        <f>IFERROR(VLOOKUP(E1507,PROGRAMAS[],3,FALSE),0)</f>
        <v>3848980803.1642323</v>
      </c>
      <c r="AH1507" s="246">
        <f>IFERROR(VLOOKUP(F1507,PROGRAMAS[],3,FALSE),0)</f>
        <v>3394901471.387517</v>
      </c>
      <c r="AI1507" s="246">
        <f>IFERROR(VLOOKUP(G1507,PROGRAMAS[],3,FALSE),0)</f>
        <v>125317226.95549992</v>
      </c>
      <c r="AJ1507" s="246">
        <f>IFERROR(VLOOKUP(H1507,PROGRAMAS[],3,FALSE),0)</f>
        <v>1233505101.0616004</v>
      </c>
      <c r="AK1507" s="246">
        <f>IFERROR(VLOOKUP(I1507,PROGRAMAS[],3,FALSE),0)</f>
        <v>6129902208.7912121</v>
      </c>
      <c r="AL1507" s="246">
        <f>IFERROR(VLOOKUP(J1507,PROGRAMAS[],3,FALSE),0)</f>
        <v>7011279577.519702</v>
      </c>
      <c r="AM1507" s="246">
        <f>IFERROR(VLOOKUP(K1507,PROGRAMAS[],3,FALSE),0)</f>
        <v>675517840.109828</v>
      </c>
      <c r="AN1507" s="246">
        <f>IFERROR(VLOOKUP(L1507,PROGRAMAS[],3,FALSE),0)</f>
        <v>31865326.38096505</v>
      </c>
      <c r="AO1507" s="246">
        <f>IFERROR(VLOOKUP(M1507,PROGRAMAS[],3,FALSE),0)</f>
        <v>2406564599.0319901</v>
      </c>
      <c r="AP1507" s="246">
        <f>IFERROR(VLOOKUP(N1507,PROGRAMAS[],3,FALSE),0)</f>
        <v>0</v>
      </c>
      <c r="AQ1507" s="246">
        <f>IFERROR(VLOOKUP(O1507,PROGRAMAS[],3,FALSE),0)</f>
        <v>0</v>
      </c>
      <c r="AR1507" s="246">
        <f>IFERROR(VLOOKUP(P1507,PROGRAMAS[],3,FALSE),0)</f>
        <v>0</v>
      </c>
      <c r="AS1507" s="246">
        <f>IFERROR(VLOOKUP(Q1507,PROGRAMAS[],3,FALSE),0)</f>
        <v>0</v>
      </c>
      <c r="AT1507" s="246">
        <f>IFERROR(VLOOKUP(D1507,VOL_REC[],2,FALSE),0)</f>
        <v>0</v>
      </c>
      <c r="AU1507" s="246">
        <f>IFERROR(VLOOKUP(E1507,VOL_REC[],2,FALSE),0)</f>
        <v>0</v>
      </c>
      <c r="AV1507" s="246">
        <f>IFERROR(VLOOKUP(F1507,VOL_REC[],2,FALSE),0)</f>
        <v>11089674.200000001</v>
      </c>
      <c r="AW1507" s="246">
        <f>IFERROR(VLOOKUP(G1507,VOL_REC[],2,FALSE),0)</f>
        <v>90439.55</v>
      </c>
      <c r="AX1507" s="246">
        <f>IFERROR(VLOOKUP(H1507,VOL_REC[],2,FALSE),0)</f>
        <v>4325103.1812214684</v>
      </c>
      <c r="AY1507" s="246">
        <f>IFERROR(VLOOKUP(I1507,VOL_REC[],2,FALSE),0)</f>
        <v>15540036.397699751</v>
      </c>
      <c r="AZ1507" s="246">
        <f>IFERROR(VLOOKUP(J1507,VOL_REC[],2,FALSE),0)</f>
        <v>3761786</v>
      </c>
      <c r="BA1507" s="246">
        <f>IFERROR(VLOOKUP(K1507,VOL_REC[],2,FALSE),0)</f>
        <v>240696.79238099116</v>
      </c>
      <c r="BB1507" s="246">
        <f>IFERROR(VLOOKUP(L1507,VOL_REC[],2,FALSE),0)</f>
        <v>17074.045034105649</v>
      </c>
      <c r="BC1507" s="246">
        <f>IFERROR(VLOOKUP(M1507,VOL_REC[],2,FALSE),0)</f>
        <v>1072354.9981737854</v>
      </c>
      <c r="BD1507" s="246">
        <f>IFERROR(VLOOKUP(N1507,VOL_REC[],2,FALSE),0)</f>
        <v>0</v>
      </c>
      <c r="BE1507" s="246">
        <f>IFERROR(VLOOKUP(O1507,VOL_REC[],2,FALSE),0)</f>
        <v>0</v>
      </c>
      <c r="BF1507" s="246">
        <f>IFERROR(VLOOKUP(P1507,VOL_REC[],2,FALSE),0)</f>
        <v>0</v>
      </c>
      <c r="BG1507" s="246">
        <f>IFERROR(VLOOKUP(Q1507,VOL_REC[],2,FALSE),0)</f>
        <v>0</v>
      </c>
      <c r="BH1507" s="1710">
        <f t="shared" si="92"/>
        <v>26232252118.295044</v>
      </c>
      <c r="BI1507" s="1710">
        <f t="shared" si="93"/>
        <v>25699722783.713348</v>
      </c>
      <c r="BJ1507" s="1711">
        <f t="shared" si="94"/>
        <v>36137165.164510101</v>
      </c>
      <c r="BK1507" s="1711">
        <f t="shared" si="95"/>
        <v>1.0207212092933227</v>
      </c>
      <c r="BL1507">
        <f>BJ1507</f>
        <v>36137165.164510101</v>
      </c>
      <c r="BO1507">
        <f>BL1507</f>
        <v>36137165.164510101</v>
      </c>
    </row>
    <row r="1508" spans="3:67" x14ac:dyDescent="0.25">
      <c r="C1508" s="246" t="s">
        <v>2858</v>
      </c>
      <c r="D1508" s="246">
        <v>1</v>
      </c>
      <c r="E1508" s="246">
        <v>2</v>
      </c>
      <c r="F1508" s="246">
        <v>3</v>
      </c>
      <c r="G1508" s="246">
        <v>4</v>
      </c>
      <c r="H1508" s="246">
        <v>5</v>
      </c>
      <c r="I1508" s="246">
        <v>6</v>
      </c>
      <c r="J1508" s="246">
        <v>9</v>
      </c>
      <c r="K1508" s="246">
        <v>12</v>
      </c>
      <c r="L1508" s="246">
        <v>14</v>
      </c>
      <c r="M1508" s="246">
        <v>17</v>
      </c>
      <c r="N1508" s="246"/>
      <c r="O1508" s="246"/>
      <c r="P1508" s="246"/>
      <c r="Q1508" s="246"/>
      <c r="R1508" s="246">
        <f>IFERROR(VLOOKUP(D1508,PROGRAMAS[],2,FALSE),0)</f>
        <v>97037803.679377079</v>
      </c>
      <c r="S1508" s="246">
        <f>IFERROR(VLOOKUP(E1508,PROGRAMAS[],2,FALSE),0)</f>
        <v>640501509.6821388</v>
      </c>
      <c r="T1508" s="246">
        <f>IFERROR(VLOOKUP(F1508,PROGRAMAS[],2,FALSE),0)</f>
        <v>3062327798.1525245</v>
      </c>
      <c r="U1508" s="246">
        <f>IFERROR(VLOOKUP(G1508,PROGRAMAS[],2,FALSE),0)</f>
        <v>67697118.033011258</v>
      </c>
      <c r="V1508" s="246">
        <f>IFERROR(VLOOKUP(H1508,PROGRAMAS[],2,FALSE),0)</f>
        <v>1440941976.2528784</v>
      </c>
      <c r="W1508" s="246">
        <f>IFERROR(VLOOKUP(I1508,PROGRAMAS[],2,FALSE),0)</f>
        <v>6907648435.8447599</v>
      </c>
      <c r="X1508" s="246">
        <f>IFERROR(VLOOKUP(J1508,PROGRAMAS[],2,FALSE),0)</f>
        <v>6128579952.1618185</v>
      </c>
      <c r="Y1508" s="246">
        <f>IFERROR(VLOOKUP(K1508,PROGRAMAS[],2,FALSE),0)</f>
        <v>764796700.79905891</v>
      </c>
      <c r="Z1508" s="246">
        <f>IFERROR(VLOOKUP(L1508,PROGRAMAS[],2,FALSE),0)</f>
        <v>54223862.645839565</v>
      </c>
      <c r="AA1508" s="246">
        <f>IFERROR(VLOOKUP(M1508,PROGRAMAS[],2,FALSE),0)</f>
        <v>1892779498.5211046</v>
      </c>
      <c r="AB1508" s="246">
        <f>IFERROR(VLOOKUP(N1508,PROGRAMAS[],2,FALSE),0)</f>
        <v>0</v>
      </c>
      <c r="AC1508" s="246">
        <f>IFERROR(VLOOKUP(O1508,PROGRAMAS[],2,FALSE),0)</f>
        <v>0</v>
      </c>
      <c r="AD1508" s="246">
        <f>IFERROR(VLOOKUP(P1508,PROGRAMAS[],2,FALSE),0)</f>
        <v>0</v>
      </c>
      <c r="AE1508" s="246">
        <f>IFERROR(VLOOKUP(Q1508,PROGRAMAS[],2,FALSE),0)</f>
        <v>0</v>
      </c>
      <c r="AF1508" s="246">
        <f>IFERROR(VLOOKUP(D1508,PROGRAMAS[],3,FALSE),0)</f>
        <v>841888629.31080008</v>
      </c>
      <c r="AG1508" s="246">
        <f>IFERROR(VLOOKUP(E1508,PROGRAMAS[],3,FALSE),0)</f>
        <v>3848980803.1642323</v>
      </c>
      <c r="AH1508" s="246">
        <f>IFERROR(VLOOKUP(F1508,PROGRAMAS[],3,FALSE),0)</f>
        <v>3394901471.387517</v>
      </c>
      <c r="AI1508" s="246">
        <f>IFERROR(VLOOKUP(G1508,PROGRAMAS[],3,FALSE),0)</f>
        <v>125317226.95549992</v>
      </c>
      <c r="AJ1508" s="246">
        <f>IFERROR(VLOOKUP(H1508,PROGRAMAS[],3,FALSE),0)</f>
        <v>1233505101.0616004</v>
      </c>
      <c r="AK1508" s="246">
        <f>IFERROR(VLOOKUP(I1508,PROGRAMAS[],3,FALSE),0)</f>
        <v>6129902208.7912121</v>
      </c>
      <c r="AL1508" s="246">
        <f>IFERROR(VLOOKUP(J1508,PROGRAMAS[],3,FALSE),0)</f>
        <v>7011279577.519702</v>
      </c>
      <c r="AM1508" s="246">
        <f>IFERROR(VLOOKUP(K1508,PROGRAMAS[],3,FALSE),0)</f>
        <v>675517840.109828</v>
      </c>
      <c r="AN1508" s="246">
        <f>IFERROR(VLOOKUP(L1508,PROGRAMAS[],3,FALSE),0)</f>
        <v>31865326.38096505</v>
      </c>
      <c r="AO1508" s="246">
        <f>IFERROR(VLOOKUP(M1508,PROGRAMAS[],3,FALSE),0)</f>
        <v>948595847.09039903</v>
      </c>
      <c r="AP1508" s="246">
        <f>IFERROR(VLOOKUP(N1508,PROGRAMAS[],3,FALSE),0)</f>
        <v>0</v>
      </c>
      <c r="AQ1508" s="246">
        <f>IFERROR(VLOOKUP(O1508,PROGRAMAS[],3,FALSE),0)</f>
        <v>0</v>
      </c>
      <c r="AR1508" s="246">
        <f>IFERROR(VLOOKUP(P1508,PROGRAMAS[],3,FALSE),0)</f>
        <v>0</v>
      </c>
      <c r="AS1508" s="246">
        <f>IFERROR(VLOOKUP(Q1508,PROGRAMAS[],3,FALSE),0)</f>
        <v>0</v>
      </c>
      <c r="AT1508" s="246">
        <f>IFERROR(VLOOKUP(D1508,VOL_REC[],2,FALSE),0)</f>
        <v>0</v>
      </c>
      <c r="AU1508" s="246">
        <f>IFERROR(VLOOKUP(E1508,VOL_REC[],2,FALSE),0)</f>
        <v>0</v>
      </c>
      <c r="AV1508" s="246">
        <f>IFERROR(VLOOKUP(F1508,VOL_REC[],2,FALSE),0)</f>
        <v>11089674.200000001</v>
      </c>
      <c r="AW1508" s="246">
        <f>IFERROR(VLOOKUP(G1508,VOL_REC[],2,FALSE),0)</f>
        <v>90439.55</v>
      </c>
      <c r="AX1508" s="246">
        <f>IFERROR(VLOOKUP(H1508,VOL_REC[],2,FALSE),0)</f>
        <v>4325103.1812214684</v>
      </c>
      <c r="AY1508" s="246">
        <f>IFERROR(VLOOKUP(I1508,VOL_REC[],2,FALSE),0)</f>
        <v>15540036.397699751</v>
      </c>
      <c r="AZ1508" s="246">
        <f>IFERROR(VLOOKUP(J1508,VOL_REC[],2,FALSE),0)</f>
        <v>3761786</v>
      </c>
      <c r="BA1508" s="246">
        <f>IFERROR(VLOOKUP(K1508,VOL_REC[],2,FALSE),0)</f>
        <v>240696.79238099116</v>
      </c>
      <c r="BB1508" s="246">
        <f>IFERROR(VLOOKUP(L1508,VOL_REC[],2,FALSE),0)</f>
        <v>17074.045034105649</v>
      </c>
      <c r="BC1508" s="246">
        <f>IFERROR(VLOOKUP(M1508,VOL_REC[],2,FALSE),0)</f>
        <v>740113.98115702497</v>
      </c>
      <c r="BD1508" s="246">
        <f>IFERROR(VLOOKUP(N1508,VOL_REC[],2,FALSE),0)</f>
        <v>0</v>
      </c>
      <c r="BE1508" s="246">
        <f>IFERROR(VLOOKUP(O1508,VOL_REC[],2,FALSE),0)</f>
        <v>0</v>
      </c>
      <c r="BF1508" s="246">
        <f>IFERROR(VLOOKUP(P1508,VOL_REC[],2,FALSE),0)</f>
        <v>0</v>
      </c>
      <c r="BG1508" s="246">
        <f>IFERROR(VLOOKUP(Q1508,VOL_REC[],2,FALSE),0)</f>
        <v>0</v>
      </c>
      <c r="BH1508" s="1710">
        <f t="shared" si="92"/>
        <v>21056534655.772511</v>
      </c>
      <c r="BI1508" s="1710">
        <f t="shared" si="93"/>
        <v>24241754031.771759</v>
      </c>
      <c r="BJ1508" s="1711">
        <f t="shared" si="94"/>
        <v>35804924.14749334</v>
      </c>
      <c r="BK1508" s="1711">
        <f t="shared" si="95"/>
        <v>0.86860606819850439</v>
      </c>
    </row>
    <row r="1509" spans="3:67" x14ac:dyDescent="0.25">
      <c r="C1509" s="246" t="s">
        <v>2859</v>
      </c>
      <c r="D1509" s="246">
        <v>1</v>
      </c>
      <c r="E1509" s="246">
        <v>2</v>
      </c>
      <c r="F1509" s="246">
        <v>3</v>
      </c>
      <c r="G1509" s="246">
        <v>4</v>
      </c>
      <c r="H1509" s="246">
        <v>5</v>
      </c>
      <c r="I1509" s="246">
        <v>6</v>
      </c>
      <c r="J1509" s="246">
        <v>9</v>
      </c>
      <c r="K1509" s="246">
        <v>12</v>
      </c>
      <c r="L1509" s="246">
        <v>15</v>
      </c>
      <c r="M1509" s="246">
        <v>16</v>
      </c>
      <c r="N1509" s="246"/>
      <c r="O1509" s="246"/>
      <c r="P1509" s="246"/>
      <c r="Q1509" s="246"/>
      <c r="R1509" s="246">
        <f>IFERROR(VLOOKUP(D1509,PROGRAMAS[],2,FALSE),0)</f>
        <v>97037803.679377079</v>
      </c>
      <c r="S1509" s="246">
        <f>IFERROR(VLOOKUP(E1509,PROGRAMAS[],2,FALSE),0)</f>
        <v>640501509.6821388</v>
      </c>
      <c r="T1509" s="246">
        <f>IFERROR(VLOOKUP(F1509,PROGRAMAS[],2,FALSE),0)</f>
        <v>3062327798.1525245</v>
      </c>
      <c r="U1509" s="246">
        <f>IFERROR(VLOOKUP(G1509,PROGRAMAS[],2,FALSE),0)</f>
        <v>67697118.033011258</v>
      </c>
      <c r="V1509" s="246">
        <f>IFERROR(VLOOKUP(H1509,PROGRAMAS[],2,FALSE),0)</f>
        <v>1440941976.2528784</v>
      </c>
      <c r="W1509" s="246">
        <f>IFERROR(VLOOKUP(I1509,PROGRAMAS[],2,FALSE),0)</f>
        <v>6907648435.8447599</v>
      </c>
      <c r="X1509" s="246">
        <f>IFERROR(VLOOKUP(J1509,PROGRAMAS[],2,FALSE),0)</f>
        <v>6128579952.1618185</v>
      </c>
      <c r="Y1509" s="246">
        <f>IFERROR(VLOOKUP(K1509,PROGRAMAS[],2,FALSE),0)</f>
        <v>764796700.79905891</v>
      </c>
      <c r="Z1509" s="246">
        <f>IFERROR(VLOOKUP(L1509,PROGRAMAS[],2,FALSE),0)</f>
        <v>122159672.96346797</v>
      </c>
      <c r="AA1509" s="246">
        <f>IFERROR(VLOOKUP(M1509,PROGRAMAS[],2,FALSE),0)</f>
        <v>7068496961.0436354</v>
      </c>
      <c r="AB1509" s="246">
        <f>IFERROR(VLOOKUP(N1509,PROGRAMAS[],2,FALSE),0)</f>
        <v>0</v>
      </c>
      <c r="AC1509" s="246">
        <f>IFERROR(VLOOKUP(O1509,PROGRAMAS[],2,FALSE),0)</f>
        <v>0</v>
      </c>
      <c r="AD1509" s="246">
        <f>IFERROR(VLOOKUP(P1509,PROGRAMAS[],2,FALSE),0)</f>
        <v>0</v>
      </c>
      <c r="AE1509" s="246">
        <f>IFERROR(VLOOKUP(Q1509,PROGRAMAS[],2,FALSE),0)</f>
        <v>0</v>
      </c>
      <c r="AF1509" s="246">
        <f>IFERROR(VLOOKUP(D1509,PROGRAMAS[],3,FALSE),0)</f>
        <v>841888629.31080008</v>
      </c>
      <c r="AG1509" s="246">
        <f>IFERROR(VLOOKUP(E1509,PROGRAMAS[],3,FALSE),0)</f>
        <v>3848980803.1642323</v>
      </c>
      <c r="AH1509" s="246">
        <f>IFERROR(VLOOKUP(F1509,PROGRAMAS[],3,FALSE),0)</f>
        <v>3394901471.387517</v>
      </c>
      <c r="AI1509" s="246">
        <f>IFERROR(VLOOKUP(G1509,PROGRAMAS[],3,FALSE),0)</f>
        <v>125317226.95549992</v>
      </c>
      <c r="AJ1509" s="246">
        <f>IFERROR(VLOOKUP(H1509,PROGRAMAS[],3,FALSE),0)</f>
        <v>1233505101.0616004</v>
      </c>
      <c r="AK1509" s="246">
        <f>IFERROR(VLOOKUP(I1509,PROGRAMAS[],3,FALSE),0)</f>
        <v>6129902208.7912121</v>
      </c>
      <c r="AL1509" s="246">
        <f>IFERROR(VLOOKUP(J1509,PROGRAMAS[],3,FALSE),0)</f>
        <v>7011279577.519702</v>
      </c>
      <c r="AM1509" s="246">
        <f>IFERROR(VLOOKUP(K1509,PROGRAMAS[],3,FALSE),0)</f>
        <v>675517840.109828</v>
      </c>
      <c r="AN1509" s="246">
        <f>IFERROR(VLOOKUP(L1509,PROGRAMAS[],3,FALSE),0)</f>
        <v>118617452.52510804</v>
      </c>
      <c r="AO1509" s="246">
        <f>IFERROR(VLOOKUP(M1509,PROGRAMAS[],3,FALSE),0)</f>
        <v>2406564599.0319901</v>
      </c>
      <c r="AP1509" s="246">
        <f>IFERROR(VLOOKUP(N1509,PROGRAMAS[],3,FALSE),0)</f>
        <v>0</v>
      </c>
      <c r="AQ1509" s="246">
        <f>IFERROR(VLOOKUP(O1509,PROGRAMAS[],3,FALSE),0)</f>
        <v>0</v>
      </c>
      <c r="AR1509" s="246">
        <f>IFERROR(VLOOKUP(P1509,PROGRAMAS[],3,FALSE),0)</f>
        <v>0</v>
      </c>
      <c r="AS1509" s="246">
        <f>IFERROR(VLOOKUP(Q1509,PROGRAMAS[],3,FALSE),0)</f>
        <v>0</v>
      </c>
      <c r="AT1509" s="246">
        <f>IFERROR(VLOOKUP(D1509,VOL_REC[],2,FALSE),0)</f>
        <v>0</v>
      </c>
      <c r="AU1509" s="246">
        <f>IFERROR(VLOOKUP(E1509,VOL_REC[],2,FALSE),0)</f>
        <v>0</v>
      </c>
      <c r="AV1509" s="246">
        <f>IFERROR(VLOOKUP(F1509,VOL_REC[],2,FALSE),0)</f>
        <v>11089674.200000001</v>
      </c>
      <c r="AW1509" s="246">
        <f>IFERROR(VLOOKUP(G1509,VOL_REC[],2,FALSE),0)</f>
        <v>90439.55</v>
      </c>
      <c r="AX1509" s="246">
        <f>IFERROR(VLOOKUP(H1509,VOL_REC[],2,FALSE),0)</f>
        <v>4325103.1812214684</v>
      </c>
      <c r="AY1509" s="246">
        <f>IFERROR(VLOOKUP(I1509,VOL_REC[],2,FALSE),0)</f>
        <v>15540036.397699751</v>
      </c>
      <c r="AZ1509" s="246">
        <f>IFERROR(VLOOKUP(J1509,VOL_REC[],2,FALSE),0)</f>
        <v>3761786</v>
      </c>
      <c r="BA1509" s="246">
        <f>IFERROR(VLOOKUP(K1509,VOL_REC[],2,FALSE),0)</f>
        <v>240696.79238099116</v>
      </c>
      <c r="BB1509" s="246">
        <f>IFERROR(VLOOKUP(L1509,VOL_REC[],2,FALSE),0)</f>
        <v>105072</v>
      </c>
      <c r="BC1509" s="246">
        <f>IFERROR(VLOOKUP(M1509,VOL_REC[],2,FALSE),0)</f>
        <v>1072354.9981737854</v>
      </c>
      <c r="BD1509" s="246">
        <f>IFERROR(VLOOKUP(N1509,VOL_REC[],2,FALSE),0)</f>
        <v>0</v>
      </c>
      <c r="BE1509" s="246">
        <f>IFERROR(VLOOKUP(O1509,VOL_REC[],2,FALSE),0)</f>
        <v>0</v>
      </c>
      <c r="BF1509" s="246">
        <f>IFERROR(VLOOKUP(P1509,VOL_REC[],2,FALSE),0)</f>
        <v>0</v>
      </c>
      <c r="BG1509" s="246">
        <f>IFERROR(VLOOKUP(Q1509,VOL_REC[],2,FALSE),0)</f>
        <v>0</v>
      </c>
      <c r="BH1509" s="1710">
        <f t="shared" si="92"/>
        <v>26300187928.612671</v>
      </c>
      <c r="BI1509" s="1710">
        <f t="shared" si="93"/>
        <v>25786474909.857491</v>
      </c>
      <c r="BJ1509" s="1711">
        <f t="shared" si="94"/>
        <v>36225163.119475998</v>
      </c>
      <c r="BK1509" s="1711">
        <f t="shared" si="95"/>
        <v>1.0199218008879065</v>
      </c>
      <c r="BL1509">
        <f>BJ1509</f>
        <v>36225163.119475998</v>
      </c>
      <c r="BO1509">
        <f>BL1509</f>
        <v>36225163.119475998</v>
      </c>
    </row>
    <row r="1510" spans="3:67" x14ac:dyDescent="0.25">
      <c r="C1510" s="246" t="s">
        <v>2860</v>
      </c>
      <c r="D1510" s="246">
        <v>1</v>
      </c>
      <c r="E1510" s="246">
        <v>2</v>
      </c>
      <c r="F1510" s="246">
        <v>3</v>
      </c>
      <c r="G1510" s="246">
        <v>4</v>
      </c>
      <c r="H1510" s="246">
        <v>5</v>
      </c>
      <c r="I1510" s="246">
        <v>6</v>
      </c>
      <c r="J1510" s="246">
        <v>9</v>
      </c>
      <c r="K1510" s="246">
        <v>12</v>
      </c>
      <c r="L1510" s="246">
        <v>15</v>
      </c>
      <c r="M1510" s="246">
        <v>17</v>
      </c>
      <c r="N1510" s="246"/>
      <c r="O1510" s="246"/>
      <c r="P1510" s="246"/>
      <c r="Q1510" s="246"/>
      <c r="R1510" s="246">
        <f>IFERROR(VLOOKUP(D1510,PROGRAMAS[],2,FALSE),0)</f>
        <v>97037803.679377079</v>
      </c>
      <c r="S1510" s="246">
        <f>IFERROR(VLOOKUP(E1510,PROGRAMAS[],2,FALSE),0)</f>
        <v>640501509.6821388</v>
      </c>
      <c r="T1510" s="246">
        <f>IFERROR(VLOOKUP(F1510,PROGRAMAS[],2,FALSE),0)</f>
        <v>3062327798.1525245</v>
      </c>
      <c r="U1510" s="246">
        <f>IFERROR(VLOOKUP(G1510,PROGRAMAS[],2,FALSE),0)</f>
        <v>67697118.033011258</v>
      </c>
      <c r="V1510" s="246">
        <f>IFERROR(VLOOKUP(H1510,PROGRAMAS[],2,FALSE),0)</f>
        <v>1440941976.2528784</v>
      </c>
      <c r="W1510" s="246">
        <f>IFERROR(VLOOKUP(I1510,PROGRAMAS[],2,FALSE),0)</f>
        <v>6907648435.8447599</v>
      </c>
      <c r="X1510" s="246">
        <f>IFERROR(VLOOKUP(J1510,PROGRAMAS[],2,FALSE),0)</f>
        <v>6128579952.1618185</v>
      </c>
      <c r="Y1510" s="246">
        <f>IFERROR(VLOOKUP(K1510,PROGRAMAS[],2,FALSE),0)</f>
        <v>764796700.79905891</v>
      </c>
      <c r="Z1510" s="246">
        <f>IFERROR(VLOOKUP(L1510,PROGRAMAS[],2,FALSE),0)</f>
        <v>122159672.96346797</v>
      </c>
      <c r="AA1510" s="246">
        <f>IFERROR(VLOOKUP(M1510,PROGRAMAS[],2,FALSE),0)</f>
        <v>1892779498.5211046</v>
      </c>
      <c r="AB1510" s="246">
        <f>IFERROR(VLOOKUP(N1510,PROGRAMAS[],2,FALSE),0)</f>
        <v>0</v>
      </c>
      <c r="AC1510" s="246">
        <f>IFERROR(VLOOKUP(O1510,PROGRAMAS[],2,FALSE),0)</f>
        <v>0</v>
      </c>
      <c r="AD1510" s="246">
        <f>IFERROR(VLOOKUP(P1510,PROGRAMAS[],2,FALSE),0)</f>
        <v>0</v>
      </c>
      <c r="AE1510" s="246">
        <f>IFERROR(VLOOKUP(Q1510,PROGRAMAS[],2,FALSE),0)</f>
        <v>0</v>
      </c>
      <c r="AF1510" s="246">
        <f>IFERROR(VLOOKUP(D1510,PROGRAMAS[],3,FALSE),0)</f>
        <v>841888629.31080008</v>
      </c>
      <c r="AG1510" s="246">
        <f>IFERROR(VLOOKUP(E1510,PROGRAMAS[],3,FALSE),0)</f>
        <v>3848980803.1642323</v>
      </c>
      <c r="AH1510" s="246">
        <f>IFERROR(VLOOKUP(F1510,PROGRAMAS[],3,FALSE),0)</f>
        <v>3394901471.387517</v>
      </c>
      <c r="AI1510" s="246">
        <f>IFERROR(VLOOKUP(G1510,PROGRAMAS[],3,FALSE),0)</f>
        <v>125317226.95549992</v>
      </c>
      <c r="AJ1510" s="246">
        <f>IFERROR(VLOOKUP(H1510,PROGRAMAS[],3,FALSE),0)</f>
        <v>1233505101.0616004</v>
      </c>
      <c r="AK1510" s="246">
        <f>IFERROR(VLOOKUP(I1510,PROGRAMAS[],3,FALSE),0)</f>
        <v>6129902208.7912121</v>
      </c>
      <c r="AL1510" s="246">
        <f>IFERROR(VLOOKUP(J1510,PROGRAMAS[],3,FALSE),0)</f>
        <v>7011279577.519702</v>
      </c>
      <c r="AM1510" s="246">
        <f>IFERROR(VLOOKUP(K1510,PROGRAMAS[],3,FALSE),0)</f>
        <v>675517840.109828</v>
      </c>
      <c r="AN1510" s="246">
        <f>IFERROR(VLOOKUP(L1510,PROGRAMAS[],3,FALSE),0)</f>
        <v>118617452.52510804</v>
      </c>
      <c r="AO1510" s="246">
        <f>IFERROR(VLOOKUP(M1510,PROGRAMAS[],3,FALSE),0)</f>
        <v>948595847.09039903</v>
      </c>
      <c r="AP1510" s="246">
        <f>IFERROR(VLOOKUP(N1510,PROGRAMAS[],3,FALSE),0)</f>
        <v>0</v>
      </c>
      <c r="AQ1510" s="246">
        <f>IFERROR(VLOOKUP(O1510,PROGRAMAS[],3,FALSE),0)</f>
        <v>0</v>
      </c>
      <c r="AR1510" s="246">
        <f>IFERROR(VLOOKUP(P1510,PROGRAMAS[],3,FALSE),0)</f>
        <v>0</v>
      </c>
      <c r="AS1510" s="246">
        <f>IFERROR(VLOOKUP(Q1510,PROGRAMAS[],3,FALSE),0)</f>
        <v>0</v>
      </c>
      <c r="AT1510" s="246">
        <f>IFERROR(VLOOKUP(D1510,VOL_REC[],2,FALSE),0)</f>
        <v>0</v>
      </c>
      <c r="AU1510" s="246">
        <f>IFERROR(VLOOKUP(E1510,VOL_REC[],2,FALSE),0)</f>
        <v>0</v>
      </c>
      <c r="AV1510" s="246">
        <f>IFERROR(VLOOKUP(F1510,VOL_REC[],2,FALSE),0)</f>
        <v>11089674.200000001</v>
      </c>
      <c r="AW1510" s="246">
        <f>IFERROR(VLOOKUP(G1510,VOL_REC[],2,FALSE),0)</f>
        <v>90439.55</v>
      </c>
      <c r="AX1510" s="246">
        <f>IFERROR(VLOOKUP(H1510,VOL_REC[],2,FALSE),0)</f>
        <v>4325103.1812214684</v>
      </c>
      <c r="AY1510" s="246">
        <f>IFERROR(VLOOKUP(I1510,VOL_REC[],2,FALSE),0)</f>
        <v>15540036.397699751</v>
      </c>
      <c r="AZ1510" s="246">
        <f>IFERROR(VLOOKUP(J1510,VOL_REC[],2,FALSE),0)</f>
        <v>3761786</v>
      </c>
      <c r="BA1510" s="246">
        <f>IFERROR(VLOOKUP(K1510,VOL_REC[],2,FALSE),0)</f>
        <v>240696.79238099116</v>
      </c>
      <c r="BB1510" s="246">
        <f>IFERROR(VLOOKUP(L1510,VOL_REC[],2,FALSE),0)</f>
        <v>105072</v>
      </c>
      <c r="BC1510" s="246">
        <f>IFERROR(VLOOKUP(M1510,VOL_REC[],2,FALSE),0)</f>
        <v>740113.98115702497</v>
      </c>
      <c r="BD1510" s="246">
        <f>IFERROR(VLOOKUP(N1510,VOL_REC[],2,FALSE),0)</f>
        <v>0</v>
      </c>
      <c r="BE1510" s="246">
        <f>IFERROR(VLOOKUP(O1510,VOL_REC[],2,FALSE),0)</f>
        <v>0</v>
      </c>
      <c r="BF1510" s="246">
        <f>IFERROR(VLOOKUP(P1510,VOL_REC[],2,FALSE),0)</f>
        <v>0</v>
      </c>
      <c r="BG1510" s="246">
        <f>IFERROR(VLOOKUP(Q1510,VOL_REC[],2,FALSE),0)</f>
        <v>0</v>
      </c>
      <c r="BH1510" s="1710">
        <f t="shared" si="92"/>
        <v>21124470466.090137</v>
      </c>
      <c r="BI1510" s="1710">
        <f t="shared" si="93"/>
        <v>24328506157.915901</v>
      </c>
      <c r="BJ1510" s="1711">
        <f t="shared" si="94"/>
        <v>35892922.102459237</v>
      </c>
      <c r="BK1510" s="1711">
        <f t="shared" si="95"/>
        <v>0.86830117430850773</v>
      </c>
    </row>
    <row r="1511" spans="3:67" x14ac:dyDescent="0.25">
      <c r="C1511" s="246" t="s">
        <v>2861</v>
      </c>
      <c r="D1511" s="246">
        <v>1</v>
      </c>
      <c r="E1511" s="246">
        <v>2</v>
      </c>
      <c r="F1511" s="246">
        <v>3</v>
      </c>
      <c r="G1511" s="246">
        <v>4</v>
      </c>
      <c r="H1511" s="246">
        <v>5</v>
      </c>
      <c r="I1511" s="246">
        <v>6</v>
      </c>
      <c r="J1511" s="246">
        <v>9</v>
      </c>
      <c r="K1511" s="246">
        <v>12</v>
      </c>
      <c r="L1511" s="246">
        <v>16</v>
      </c>
      <c r="M1511" s="246">
        <v>17</v>
      </c>
      <c r="N1511" s="246"/>
      <c r="O1511" s="246"/>
      <c r="P1511" s="246"/>
      <c r="Q1511" s="246"/>
      <c r="R1511" s="246">
        <f>IFERROR(VLOOKUP(D1511,PROGRAMAS[],2,FALSE),0)</f>
        <v>97037803.679377079</v>
      </c>
      <c r="S1511" s="246">
        <f>IFERROR(VLOOKUP(E1511,PROGRAMAS[],2,FALSE),0)</f>
        <v>640501509.6821388</v>
      </c>
      <c r="T1511" s="246">
        <f>IFERROR(VLOOKUP(F1511,PROGRAMAS[],2,FALSE),0)</f>
        <v>3062327798.1525245</v>
      </c>
      <c r="U1511" s="246">
        <f>IFERROR(VLOOKUP(G1511,PROGRAMAS[],2,FALSE),0)</f>
        <v>67697118.033011258</v>
      </c>
      <c r="V1511" s="246">
        <f>IFERROR(VLOOKUP(H1511,PROGRAMAS[],2,FALSE),0)</f>
        <v>1440941976.2528784</v>
      </c>
      <c r="W1511" s="246">
        <f>IFERROR(VLOOKUP(I1511,PROGRAMAS[],2,FALSE),0)</f>
        <v>6907648435.8447599</v>
      </c>
      <c r="X1511" s="246">
        <f>IFERROR(VLOOKUP(J1511,PROGRAMAS[],2,FALSE),0)</f>
        <v>6128579952.1618185</v>
      </c>
      <c r="Y1511" s="246">
        <f>IFERROR(VLOOKUP(K1511,PROGRAMAS[],2,FALSE),0)</f>
        <v>764796700.79905891</v>
      </c>
      <c r="Z1511" s="246">
        <f>IFERROR(VLOOKUP(L1511,PROGRAMAS[],2,FALSE),0)</f>
        <v>7068496961.0436354</v>
      </c>
      <c r="AA1511" s="246">
        <f>IFERROR(VLOOKUP(M1511,PROGRAMAS[],2,FALSE),0)</f>
        <v>1892779498.5211046</v>
      </c>
      <c r="AB1511" s="246">
        <f>IFERROR(VLOOKUP(N1511,PROGRAMAS[],2,FALSE),0)</f>
        <v>0</v>
      </c>
      <c r="AC1511" s="246">
        <f>IFERROR(VLOOKUP(O1511,PROGRAMAS[],2,FALSE),0)</f>
        <v>0</v>
      </c>
      <c r="AD1511" s="246">
        <f>IFERROR(VLOOKUP(P1511,PROGRAMAS[],2,FALSE),0)</f>
        <v>0</v>
      </c>
      <c r="AE1511" s="246">
        <f>IFERROR(VLOOKUP(Q1511,PROGRAMAS[],2,FALSE),0)</f>
        <v>0</v>
      </c>
      <c r="AF1511" s="246">
        <f>IFERROR(VLOOKUP(D1511,PROGRAMAS[],3,FALSE),0)</f>
        <v>841888629.31080008</v>
      </c>
      <c r="AG1511" s="246">
        <f>IFERROR(VLOOKUP(E1511,PROGRAMAS[],3,FALSE),0)</f>
        <v>3848980803.1642323</v>
      </c>
      <c r="AH1511" s="246">
        <f>IFERROR(VLOOKUP(F1511,PROGRAMAS[],3,FALSE),0)</f>
        <v>3394901471.387517</v>
      </c>
      <c r="AI1511" s="246">
        <f>IFERROR(VLOOKUP(G1511,PROGRAMAS[],3,FALSE),0)</f>
        <v>125317226.95549992</v>
      </c>
      <c r="AJ1511" s="246">
        <f>IFERROR(VLOOKUP(H1511,PROGRAMAS[],3,FALSE),0)</f>
        <v>1233505101.0616004</v>
      </c>
      <c r="AK1511" s="246">
        <f>IFERROR(VLOOKUP(I1511,PROGRAMAS[],3,FALSE),0)</f>
        <v>6129902208.7912121</v>
      </c>
      <c r="AL1511" s="246">
        <f>IFERROR(VLOOKUP(J1511,PROGRAMAS[],3,FALSE),0)</f>
        <v>7011279577.519702</v>
      </c>
      <c r="AM1511" s="246">
        <f>IFERROR(VLOOKUP(K1511,PROGRAMAS[],3,FALSE),0)</f>
        <v>675517840.109828</v>
      </c>
      <c r="AN1511" s="246">
        <f>IFERROR(VLOOKUP(L1511,PROGRAMAS[],3,FALSE),0)</f>
        <v>2406564599.0319901</v>
      </c>
      <c r="AO1511" s="246">
        <f>IFERROR(VLOOKUP(M1511,PROGRAMAS[],3,FALSE),0)</f>
        <v>948595847.09039903</v>
      </c>
      <c r="AP1511" s="246">
        <f>IFERROR(VLOOKUP(N1511,PROGRAMAS[],3,FALSE),0)</f>
        <v>0</v>
      </c>
      <c r="AQ1511" s="246">
        <f>IFERROR(VLOOKUP(O1511,PROGRAMAS[],3,FALSE),0)</f>
        <v>0</v>
      </c>
      <c r="AR1511" s="246">
        <f>IFERROR(VLOOKUP(P1511,PROGRAMAS[],3,FALSE),0)</f>
        <v>0</v>
      </c>
      <c r="AS1511" s="246">
        <f>IFERROR(VLOOKUP(Q1511,PROGRAMAS[],3,FALSE),0)</f>
        <v>0</v>
      </c>
      <c r="AT1511" s="246">
        <f>IFERROR(VLOOKUP(D1511,VOL_REC[],2,FALSE),0)</f>
        <v>0</v>
      </c>
      <c r="AU1511" s="246">
        <f>IFERROR(VLOOKUP(E1511,VOL_REC[],2,FALSE),0)</f>
        <v>0</v>
      </c>
      <c r="AV1511" s="246">
        <f>IFERROR(VLOOKUP(F1511,VOL_REC[],2,FALSE),0)</f>
        <v>11089674.200000001</v>
      </c>
      <c r="AW1511" s="246">
        <f>IFERROR(VLOOKUP(G1511,VOL_REC[],2,FALSE),0)</f>
        <v>90439.55</v>
      </c>
      <c r="AX1511" s="246">
        <f>IFERROR(VLOOKUP(H1511,VOL_REC[],2,FALSE),0)</f>
        <v>4325103.1812214684</v>
      </c>
      <c r="AY1511" s="246">
        <f>IFERROR(VLOOKUP(I1511,VOL_REC[],2,FALSE),0)</f>
        <v>15540036.397699751</v>
      </c>
      <c r="AZ1511" s="246">
        <f>IFERROR(VLOOKUP(J1511,VOL_REC[],2,FALSE),0)</f>
        <v>3761786</v>
      </c>
      <c r="BA1511" s="246">
        <f>IFERROR(VLOOKUP(K1511,VOL_REC[],2,FALSE),0)</f>
        <v>240696.79238099116</v>
      </c>
      <c r="BB1511" s="246">
        <f>IFERROR(VLOOKUP(L1511,VOL_REC[],2,FALSE),0)</f>
        <v>1072354.9981737854</v>
      </c>
      <c r="BC1511" s="246">
        <f>IFERROR(VLOOKUP(M1511,VOL_REC[],2,FALSE),0)</f>
        <v>740113.98115702497</v>
      </c>
      <c r="BD1511" s="246">
        <f>IFERROR(VLOOKUP(N1511,VOL_REC[],2,FALSE),0)</f>
        <v>0</v>
      </c>
      <c r="BE1511" s="246">
        <f>IFERROR(VLOOKUP(O1511,VOL_REC[],2,FALSE),0)</f>
        <v>0</v>
      </c>
      <c r="BF1511" s="246">
        <f>IFERROR(VLOOKUP(P1511,VOL_REC[],2,FALSE),0)</f>
        <v>0</v>
      </c>
      <c r="BG1511" s="246">
        <f>IFERROR(VLOOKUP(Q1511,VOL_REC[],2,FALSE),0)</f>
        <v>0</v>
      </c>
      <c r="BH1511" s="1710">
        <f t="shared" si="92"/>
        <v>28070807754.170307</v>
      </c>
      <c r="BI1511" s="1710">
        <f t="shared" si="93"/>
        <v>26616453304.422783</v>
      </c>
      <c r="BJ1511" s="1711">
        <f t="shared" si="94"/>
        <v>36860205.100633025</v>
      </c>
      <c r="BK1511" s="1711">
        <f t="shared" si="95"/>
        <v>1.0546411812691008</v>
      </c>
      <c r="BL1511">
        <f>BJ1511</f>
        <v>36860205.100633025</v>
      </c>
      <c r="BO1511">
        <f>BL1511</f>
        <v>36860205.100633025</v>
      </c>
    </row>
    <row r="1512" spans="3:67" x14ac:dyDescent="0.25">
      <c r="C1512" s="246" t="s">
        <v>2862</v>
      </c>
      <c r="D1512" s="246">
        <v>1</v>
      </c>
      <c r="E1512" s="246">
        <v>2</v>
      </c>
      <c r="F1512" s="246">
        <v>3</v>
      </c>
      <c r="G1512" s="246">
        <v>4</v>
      </c>
      <c r="H1512" s="246">
        <v>5</v>
      </c>
      <c r="I1512" s="246">
        <v>6</v>
      </c>
      <c r="J1512" s="246">
        <v>9</v>
      </c>
      <c r="K1512" s="246">
        <v>13</v>
      </c>
      <c r="L1512" s="246">
        <v>14</v>
      </c>
      <c r="M1512" s="246">
        <v>15</v>
      </c>
      <c r="N1512" s="246"/>
      <c r="O1512" s="246"/>
      <c r="P1512" s="246"/>
      <c r="Q1512" s="246"/>
      <c r="R1512" s="246">
        <f>IFERROR(VLOOKUP(D1512,PROGRAMAS[],2,FALSE),0)</f>
        <v>97037803.679377079</v>
      </c>
      <c r="S1512" s="246">
        <f>IFERROR(VLOOKUP(E1512,PROGRAMAS[],2,FALSE),0)</f>
        <v>640501509.6821388</v>
      </c>
      <c r="T1512" s="246">
        <f>IFERROR(VLOOKUP(F1512,PROGRAMAS[],2,FALSE),0)</f>
        <v>3062327798.1525245</v>
      </c>
      <c r="U1512" s="246">
        <f>IFERROR(VLOOKUP(G1512,PROGRAMAS[],2,FALSE),0)</f>
        <v>67697118.033011258</v>
      </c>
      <c r="V1512" s="246">
        <f>IFERROR(VLOOKUP(H1512,PROGRAMAS[],2,FALSE),0)</f>
        <v>1440941976.2528784</v>
      </c>
      <c r="W1512" s="246">
        <f>IFERROR(VLOOKUP(I1512,PROGRAMAS[],2,FALSE),0)</f>
        <v>6907648435.8447599</v>
      </c>
      <c r="X1512" s="246">
        <f>IFERROR(VLOOKUP(J1512,PROGRAMAS[],2,FALSE),0)</f>
        <v>6128579952.1618185</v>
      </c>
      <c r="Y1512" s="246">
        <f>IFERROR(VLOOKUP(K1512,PROGRAMAS[],2,FALSE),0)</f>
        <v>3776538594.4604583</v>
      </c>
      <c r="Z1512" s="246">
        <f>IFERROR(VLOOKUP(L1512,PROGRAMAS[],2,FALSE),0)</f>
        <v>54223862.645839565</v>
      </c>
      <c r="AA1512" s="246">
        <f>IFERROR(VLOOKUP(M1512,PROGRAMAS[],2,FALSE),0)</f>
        <v>122159672.96346797</v>
      </c>
      <c r="AB1512" s="246">
        <f>IFERROR(VLOOKUP(N1512,PROGRAMAS[],2,FALSE),0)</f>
        <v>0</v>
      </c>
      <c r="AC1512" s="246">
        <f>IFERROR(VLOOKUP(O1512,PROGRAMAS[],2,FALSE),0)</f>
        <v>0</v>
      </c>
      <c r="AD1512" s="246">
        <f>IFERROR(VLOOKUP(P1512,PROGRAMAS[],2,FALSE),0)</f>
        <v>0</v>
      </c>
      <c r="AE1512" s="246">
        <f>IFERROR(VLOOKUP(Q1512,PROGRAMAS[],2,FALSE),0)</f>
        <v>0</v>
      </c>
      <c r="AF1512" s="246">
        <f>IFERROR(VLOOKUP(D1512,PROGRAMAS[],3,FALSE),0)</f>
        <v>841888629.31080008</v>
      </c>
      <c r="AG1512" s="246">
        <f>IFERROR(VLOOKUP(E1512,PROGRAMAS[],3,FALSE),0)</f>
        <v>3848980803.1642323</v>
      </c>
      <c r="AH1512" s="246">
        <f>IFERROR(VLOOKUP(F1512,PROGRAMAS[],3,FALSE),0)</f>
        <v>3394901471.387517</v>
      </c>
      <c r="AI1512" s="246">
        <f>IFERROR(VLOOKUP(G1512,PROGRAMAS[],3,FALSE),0)</f>
        <v>125317226.95549992</v>
      </c>
      <c r="AJ1512" s="246">
        <f>IFERROR(VLOOKUP(H1512,PROGRAMAS[],3,FALSE),0)</f>
        <v>1233505101.0616004</v>
      </c>
      <c r="AK1512" s="246">
        <f>IFERROR(VLOOKUP(I1512,PROGRAMAS[],3,FALSE),0)</f>
        <v>6129902208.7912121</v>
      </c>
      <c r="AL1512" s="246">
        <f>IFERROR(VLOOKUP(J1512,PROGRAMAS[],3,FALSE),0)</f>
        <v>7011279577.519702</v>
      </c>
      <c r="AM1512" s="246">
        <f>IFERROR(VLOOKUP(K1512,PROGRAMAS[],3,FALSE),0)</f>
        <v>2392571243.5584412</v>
      </c>
      <c r="AN1512" s="246">
        <f>IFERROR(VLOOKUP(L1512,PROGRAMAS[],3,FALSE),0)</f>
        <v>31865326.38096505</v>
      </c>
      <c r="AO1512" s="246">
        <f>IFERROR(VLOOKUP(M1512,PROGRAMAS[],3,FALSE),0)</f>
        <v>118617452.52510804</v>
      </c>
      <c r="AP1512" s="246">
        <f>IFERROR(VLOOKUP(N1512,PROGRAMAS[],3,FALSE),0)</f>
        <v>0</v>
      </c>
      <c r="AQ1512" s="246">
        <f>IFERROR(VLOOKUP(O1512,PROGRAMAS[],3,FALSE),0)</f>
        <v>0</v>
      </c>
      <c r="AR1512" s="246">
        <f>IFERROR(VLOOKUP(P1512,PROGRAMAS[],3,FALSE),0)</f>
        <v>0</v>
      </c>
      <c r="AS1512" s="246">
        <f>IFERROR(VLOOKUP(Q1512,PROGRAMAS[],3,FALSE),0)</f>
        <v>0</v>
      </c>
      <c r="AT1512" s="246">
        <f>IFERROR(VLOOKUP(D1512,VOL_REC[],2,FALSE),0)</f>
        <v>0</v>
      </c>
      <c r="AU1512" s="246">
        <f>IFERROR(VLOOKUP(E1512,VOL_REC[],2,FALSE),0)</f>
        <v>0</v>
      </c>
      <c r="AV1512" s="246">
        <f>IFERROR(VLOOKUP(F1512,VOL_REC[],2,FALSE),0)</f>
        <v>11089674.200000001</v>
      </c>
      <c r="AW1512" s="246">
        <f>IFERROR(VLOOKUP(G1512,VOL_REC[],2,FALSE),0)</f>
        <v>90439.55</v>
      </c>
      <c r="AX1512" s="246">
        <f>IFERROR(VLOOKUP(H1512,VOL_REC[],2,FALSE),0)</f>
        <v>4325103.1812214684</v>
      </c>
      <c r="AY1512" s="246">
        <f>IFERROR(VLOOKUP(I1512,VOL_REC[],2,FALSE),0)</f>
        <v>15540036.397699751</v>
      </c>
      <c r="AZ1512" s="246">
        <f>IFERROR(VLOOKUP(J1512,VOL_REC[],2,FALSE),0)</f>
        <v>3761786</v>
      </c>
      <c r="BA1512" s="246">
        <f>IFERROR(VLOOKUP(K1512,VOL_REC[],2,FALSE),0)</f>
        <v>663244.80000000016</v>
      </c>
      <c r="BB1512" s="246">
        <f>IFERROR(VLOOKUP(L1512,VOL_REC[],2,FALSE),0)</f>
        <v>17074.045034105649</v>
      </c>
      <c r="BC1512" s="246">
        <f>IFERROR(VLOOKUP(M1512,VOL_REC[],2,FALSE),0)</f>
        <v>105072</v>
      </c>
      <c r="BD1512" s="246">
        <f>IFERROR(VLOOKUP(N1512,VOL_REC[],2,FALSE),0)</f>
        <v>0</v>
      </c>
      <c r="BE1512" s="246">
        <f>IFERROR(VLOOKUP(O1512,VOL_REC[],2,FALSE),0)</f>
        <v>0</v>
      </c>
      <c r="BF1512" s="246">
        <f>IFERROR(VLOOKUP(P1512,VOL_REC[],2,FALSE),0)</f>
        <v>0</v>
      </c>
      <c r="BG1512" s="246">
        <f>IFERROR(VLOOKUP(Q1512,VOL_REC[],2,FALSE),0)</f>
        <v>0</v>
      </c>
      <c r="BH1512" s="1710">
        <f t="shared" si="92"/>
        <v>22297656723.876274</v>
      </c>
      <c r="BI1512" s="1710">
        <f t="shared" si="93"/>
        <v>25128829040.655079</v>
      </c>
      <c r="BJ1512" s="1711">
        <f t="shared" si="94"/>
        <v>35592430.173955321</v>
      </c>
      <c r="BK1512" s="1711">
        <f t="shared" si="95"/>
        <v>0.88733369500829717</v>
      </c>
    </row>
    <row r="1513" spans="3:67" x14ac:dyDescent="0.25">
      <c r="C1513" s="246" t="s">
        <v>2863</v>
      </c>
      <c r="D1513" s="246">
        <v>1</v>
      </c>
      <c r="E1513" s="246">
        <v>2</v>
      </c>
      <c r="F1513" s="246">
        <v>3</v>
      </c>
      <c r="G1513" s="246">
        <v>4</v>
      </c>
      <c r="H1513" s="246">
        <v>5</v>
      </c>
      <c r="I1513" s="246">
        <v>6</v>
      </c>
      <c r="J1513" s="246">
        <v>9</v>
      </c>
      <c r="K1513" s="246">
        <v>13</v>
      </c>
      <c r="L1513" s="246">
        <v>14</v>
      </c>
      <c r="M1513" s="246">
        <v>16</v>
      </c>
      <c r="N1513" s="246"/>
      <c r="O1513" s="246"/>
      <c r="P1513" s="246"/>
      <c r="Q1513" s="246"/>
      <c r="R1513" s="246">
        <f>IFERROR(VLOOKUP(D1513,PROGRAMAS[],2,FALSE),0)</f>
        <v>97037803.679377079</v>
      </c>
      <c r="S1513" s="246">
        <f>IFERROR(VLOOKUP(E1513,PROGRAMAS[],2,FALSE),0)</f>
        <v>640501509.6821388</v>
      </c>
      <c r="T1513" s="246">
        <f>IFERROR(VLOOKUP(F1513,PROGRAMAS[],2,FALSE),0)</f>
        <v>3062327798.1525245</v>
      </c>
      <c r="U1513" s="246">
        <f>IFERROR(VLOOKUP(G1513,PROGRAMAS[],2,FALSE),0)</f>
        <v>67697118.033011258</v>
      </c>
      <c r="V1513" s="246">
        <f>IFERROR(VLOOKUP(H1513,PROGRAMAS[],2,FALSE),0)</f>
        <v>1440941976.2528784</v>
      </c>
      <c r="W1513" s="246">
        <f>IFERROR(VLOOKUP(I1513,PROGRAMAS[],2,FALSE),0)</f>
        <v>6907648435.8447599</v>
      </c>
      <c r="X1513" s="246">
        <f>IFERROR(VLOOKUP(J1513,PROGRAMAS[],2,FALSE),0)</f>
        <v>6128579952.1618185</v>
      </c>
      <c r="Y1513" s="246">
        <f>IFERROR(VLOOKUP(K1513,PROGRAMAS[],2,FALSE),0)</f>
        <v>3776538594.4604583</v>
      </c>
      <c r="Z1513" s="246">
        <f>IFERROR(VLOOKUP(L1513,PROGRAMAS[],2,FALSE),0)</f>
        <v>54223862.645839565</v>
      </c>
      <c r="AA1513" s="246">
        <f>IFERROR(VLOOKUP(M1513,PROGRAMAS[],2,FALSE),0)</f>
        <v>7068496961.0436354</v>
      </c>
      <c r="AB1513" s="246">
        <f>IFERROR(VLOOKUP(N1513,PROGRAMAS[],2,FALSE),0)</f>
        <v>0</v>
      </c>
      <c r="AC1513" s="246">
        <f>IFERROR(VLOOKUP(O1513,PROGRAMAS[],2,FALSE),0)</f>
        <v>0</v>
      </c>
      <c r="AD1513" s="246">
        <f>IFERROR(VLOOKUP(P1513,PROGRAMAS[],2,FALSE),0)</f>
        <v>0</v>
      </c>
      <c r="AE1513" s="246">
        <f>IFERROR(VLOOKUP(Q1513,PROGRAMAS[],2,FALSE),0)</f>
        <v>0</v>
      </c>
      <c r="AF1513" s="246">
        <f>IFERROR(VLOOKUP(D1513,PROGRAMAS[],3,FALSE),0)</f>
        <v>841888629.31080008</v>
      </c>
      <c r="AG1513" s="246">
        <f>IFERROR(VLOOKUP(E1513,PROGRAMAS[],3,FALSE),0)</f>
        <v>3848980803.1642323</v>
      </c>
      <c r="AH1513" s="246">
        <f>IFERROR(VLOOKUP(F1513,PROGRAMAS[],3,FALSE),0)</f>
        <v>3394901471.387517</v>
      </c>
      <c r="AI1513" s="246">
        <f>IFERROR(VLOOKUP(G1513,PROGRAMAS[],3,FALSE),0)</f>
        <v>125317226.95549992</v>
      </c>
      <c r="AJ1513" s="246">
        <f>IFERROR(VLOOKUP(H1513,PROGRAMAS[],3,FALSE),0)</f>
        <v>1233505101.0616004</v>
      </c>
      <c r="AK1513" s="246">
        <f>IFERROR(VLOOKUP(I1513,PROGRAMAS[],3,FALSE),0)</f>
        <v>6129902208.7912121</v>
      </c>
      <c r="AL1513" s="246">
        <f>IFERROR(VLOOKUP(J1513,PROGRAMAS[],3,FALSE),0)</f>
        <v>7011279577.519702</v>
      </c>
      <c r="AM1513" s="246">
        <f>IFERROR(VLOOKUP(K1513,PROGRAMAS[],3,FALSE),0)</f>
        <v>2392571243.5584412</v>
      </c>
      <c r="AN1513" s="246">
        <f>IFERROR(VLOOKUP(L1513,PROGRAMAS[],3,FALSE),0)</f>
        <v>31865326.38096505</v>
      </c>
      <c r="AO1513" s="246">
        <f>IFERROR(VLOOKUP(M1513,PROGRAMAS[],3,FALSE),0)</f>
        <v>2406564599.0319901</v>
      </c>
      <c r="AP1513" s="246">
        <f>IFERROR(VLOOKUP(N1513,PROGRAMAS[],3,FALSE),0)</f>
        <v>0</v>
      </c>
      <c r="AQ1513" s="246">
        <f>IFERROR(VLOOKUP(O1513,PROGRAMAS[],3,FALSE),0)</f>
        <v>0</v>
      </c>
      <c r="AR1513" s="246">
        <f>IFERROR(VLOOKUP(P1513,PROGRAMAS[],3,FALSE),0)</f>
        <v>0</v>
      </c>
      <c r="AS1513" s="246">
        <f>IFERROR(VLOOKUP(Q1513,PROGRAMAS[],3,FALSE),0)</f>
        <v>0</v>
      </c>
      <c r="AT1513" s="246">
        <f>IFERROR(VLOOKUP(D1513,VOL_REC[],2,FALSE),0)</f>
        <v>0</v>
      </c>
      <c r="AU1513" s="246">
        <f>IFERROR(VLOOKUP(E1513,VOL_REC[],2,FALSE),0)</f>
        <v>0</v>
      </c>
      <c r="AV1513" s="246">
        <f>IFERROR(VLOOKUP(F1513,VOL_REC[],2,FALSE),0)</f>
        <v>11089674.200000001</v>
      </c>
      <c r="AW1513" s="246">
        <f>IFERROR(VLOOKUP(G1513,VOL_REC[],2,FALSE),0)</f>
        <v>90439.55</v>
      </c>
      <c r="AX1513" s="246">
        <f>IFERROR(VLOOKUP(H1513,VOL_REC[],2,FALSE),0)</f>
        <v>4325103.1812214684</v>
      </c>
      <c r="AY1513" s="246">
        <f>IFERROR(VLOOKUP(I1513,VOL_REC[],2,FALSE),0)</f>
        <v>15540036.397699751</v>
      </c>
      <c r="AZ1513" s="246">
        <f>IFERROR(VLOOKUP(J1513,VOL_REC[],2,FALSE),0)</f>
        <v>3761786</v>
      </c>
      <c r="BA1513" s="246">
        <f>IFERROR(VLOOKUP(K1513,VOL_REC[],2,FALSE),0)</f>
        <v>663244.80000000016</v>
      </c>
      <c r="BB1513" s="246">
        <f>IFERROR(VLOOKUP(L1513,VOL_REC[],2,FALSE),0)</f>
        <v>17074.045034105649</v>
      </c>
      <c r="BC1513" s="246">
        <f>IFERROR(VLOOKUP(M1513,VOL_REC[],2,FALSE),0)</f>
        <v>1072354.9981737854</v>
      </c>
      <c r="BD1513" s="246">
        <f>IFERROR(VLOOKUP(N1513,VOL_REC[],2,FALSE),0)</f>
        <v>0</v>
      </c>
      <c r="BE1513" s="246">
        <f>IFERROR(VLOOKUP(O1513,VOL_REC[],2,FALSE),0)</f>
        <v>0</v>
      </c>
      <c r="BF1513" s="246">
        <f>IFERROR(VLOOKUP(P1513,VOL_REC[],2,FALSE),0)</f>
        <v>0</v>
      </c>
      <c r="BG1513" s="246">
        <f>IFERROR(VLOOKUP(Q1513,VOL_REC[],2,FALSE),0)</f>
        <v>0</v>
      </c>
      <c r="BH1513" s="1710">
        <f t="shared" si="92"/>
        <v>29243994011.956444</v>
      </c>
      <c r="BI1513" s="1710">
        <f t="shared" si="93"/>
        <v>27416776187.161961</v>
      </c>
      <c r="BJ1513" s="1711">
        <f t="shared" si="94"/>
        <v>36559713.17212911</v>
      </c>
      <c r="BK1513" s="1711">
        <f t="shared" si="95"/>
        <v>1.0666459766210619</v>
      </c>
      <c r="BL1513">
        <f>BJ1513</f>
        <v>36559713.17212911</v>
      </c>
      <c r="BO1513">
        <f>BL1513</f>
        <v>36559713.17212911</v>
      </c>
    </row>
    <row r="1514" spans="3:67" x14ac:dyDescent="0.25">
      <c r="C1514" s="246" t="s">
        <v>2864</v>
      </c>
      <c r="D1514" s="246">
        <v>1</v>
      </c>
      <c r="E1514" s="246">
        <v>2</v>
      </c>
      <c r="F1514" s="246">
        <v>3</v>
      </c>
      <c r="G1514" s="246">
        <v>4</v>
      </c>
      <c r="H1514" s="246">
        <v>5</v>
      </c>
      <c r="I1514" s="246">
        <v>6</v>
      </c>
      <c r="J1514" s="246">
        <v>9</v>
      </c>
      <c r="K1514" s="246">
        <v>13</v>
      </c>
      <c r="L1514" s="246">
        <v>14</v>
      </c>
      <c r="M1514" s="246">
        <v>17</v>
      </c>
      <c r="N1514" s="246"/>
      <c r="O1514" s="246"/>
      <c r="P1514" s="246"/>
      <c r="Q1514" s="246"/>
      <c r="R1514" s="246">
        <f>IFERROR(VLOOKUP(D1514,PROGRAMAS[],2,FALSE),0)</f>
        <v>97037803.679377079</v>
      </c>
      <c r="S1514" s="246">
        <f>IFERROR(VLOOKUP(E1514,PROGRAMAS[],2,FALSE),0)</f>
        <v>640501509.6821388</v>
      </c>
      <c r="T1514" s="246">
        <f>IFERROR(VLOOKUP(F1514,PROGRAMAS[],2,FALSE),0)</f>
        <v>3062327798.1525245</v>
      </c>
      <c r="U1514" s="246">
        <f>IFERROR(VLOOKUP(G1514,PROGRAMAS[],2,FALSE),0)</f>
        <v>67697118.033011258</v>
      </c>
      <c r="V1514" s="246">
        <f>IFERROR(VLOOKUP(H1514,PROGRAMAS[],2,FALSE),0)</f>
        <v>1440941976.2528784</v>
      </c>
      <c r="W1514" s="246">
        <f>IFERROR(VLOOKUP(I1514,PROGRAMAS[],2,FALSE),0)</f>
        <v>6907648435.8447599</v>
      </c>
      <c r="X1514" s="246">
        <f>IFERROR(VLOOKUP(J1514,PROGRAMAS[],2,FALSE),0)</f>
        <v>6128579952.1618185</v>
      </c>
      <c r="Y1514" s="246">
        <f>IFERROR(VLOOKUP(K1514,PROGRAMAS[],2,FALSE),0)</f>
        <v>3776538594.4604583</v>
      </c>
      <c r="Z1514" s="246">
        <f>IFERROR(VLOOKUP(L1514,PROGRAMAS[],2,FALSE),0)</f>
        <v>54223862.645839565</v>
      </c>
      <c r="AA1514" s="246">
        <f>IFERROR(VLOOKUP(M1514,PROGRAMAS[],2,FALSE),0)</f>
        <v>1892779498.5211046</v>
      </c>
      <c r="AB1514" s="246">
        <f>IFERROR(VLOOKUP(N1514,PROGRAMAS[],2,FALSE),0)</f>
        <v>0</v>
      </c>
      <c r="AC1514" s="246">
        <f>IFERROR(VLOOKUP(O1514,PROGRAMAS[],2,FALSE),0)</f>
        <v>0</v>
      </c>
      <c r="AD1514" s="246">
        <f>IFERROR(VLOOKUP(P1514,PROGRAMAS[],2,FALSE),0)</f>
        <v>0</v>
      </c>
      <c r="AE1514" s="246">
        <f>IFERROR(VLOOKUP(Q1514,PROGRAMAS[],2,FALSE),0)</f>
        <v>0</v>
      </c>
      <c r="AF1514" s="246">
        <f>IFERROR(VLOOKUP(D1514,PROGRAMAS[],3,FALSE),0)</f>
        <v>841888629.31080008</v>
      </c>
      <c r="AG1514" s="246">
        <f>IFERROR(VLOOKUP(E1514,PROGRAMAS[],3,FALSE),0)</f>
        <v>3848980803.1642323</v>
      </c>
      <c r="AH1514" s="246">
        <f>IFERROR(VLOOKUP(F1514,PROGRAMAS[],3,FALSE),0)</f>
        <v>3394901471.387517</v>
      </c>
      <c r="AI1514" s="246">
        <f>IFERROR(VLOOKUP(G1514,PROGRAMAS[],3,FALSE),0)</f>
        <v>125317226.95549992</v>
      </c>
      <c r="AJ1514" s="246">
        <f>IFERROR(VLOOKUP(H1514,PROGRAMAS[],3,FALSE),0)</f>
        <v>1233505101.0616004</v>
      </c>
      <c r="AK1514" s="246">
        <f>IFERROR(VLOOKUP(I1514,PROGRAMAS[],3,FALSE),0)</f>
        <v>6129902208.7912121</v>
      </c>
      <c r="AL1514" s="246">
        <f>IFERROR(VLOOKUP(J1514,PROGRAMAS[],3,FALSE),0)</f>
        <v>7011279577.519702</v>
      </c>
      <c r="AM1514" s="246">
        <f>IFERROR(VLOOKUP(K1514,PROGRAMAS[],3,FALSE),0)</f>
        <v>2392571243.5584412</v>
      </c>
      <c r="AN1514" s="246">
        <f>IFERROR(VLOOKUP(L1514,PROGRAMAS[],3,FALSE),0)</f>
        <v>31865326.38096505</v>
      </c>
      <c r="AO1514" s="246">
        <f>IFERROR(VLOOKUP(M1514,PROGRAMAS[],3,FALSE),0)</f>
        <v>948595847.09039903</v>
      </c>
      <c r="AP1514" s="246">
        <f>IFERROR(VLOOKUP(N1514,PROGRAMAS[],3,FALSE),0)</f>
        <v>0</v>
      </c>
      <c r="AQ1514" s="246">
        <f>IFERROR(VLOOKUP(O1514,PROGRAMAS[],3,FALSE),0)</f>
        <v>0</v>
      </c>
      <c r="AR1514" s="246">
        <f>IFERROR(VLOOKUP(P1514,PROGRAMAS[],3,FALSE),0)</f>
        <v>0</v>
      </c>
      <c r="AS1514" s="246">
        <f>IFERROR(VLOOKUP(Q1514,PROGRAMAS[],3,FALSE),0)</f>
        <v>0</v>
      </c>
      <c r="AT1514" s="246">
        <f>IFERROR(VLOOKUP(D1514,VOL_REC[],2,FALSE),0)</f>
        <v>0</v>
      </c>
      <c r="AU1514" s="246">
        <f>IFERROR(VLOOKUP(E1514,VOL_REC[],2,FALSE),0)</f>
        <v>0</v>
      </c>
      <c r="AV1514" s="246">
        <f>IFERROR(VLOOKUP(F1514,VOL_REC[],2,FALSE),0)</f>
        <v>11089674.200000001</v>
      </c>
      <c r="AW1514" s="246">
        <f>IFERROR(VLOOKUP(G1514,VOL_REC[],2,FALSE),0)</f>
        <v>90439.55</v>
      </c>
      <c r="AX1514" s="246">
        <f>IFERROR(VLOOKUP(H1514,VOL_REC[],2,FALSE),0)</f>
        <v>4325103.1812214684</v>
      </c>
      <c r="AY1514" s="246">
        <f>IFERROR(VLOOKUP(I1514,VOL_REC[],2,FALSE),0)</f>
        <v>15540036.397699751</v>
      </c>
      <c r="AZ1514" s="246">
        <f>IFERROR(VLOOKUP(J1514,VOL_REC[],2,FALSE),0)</f>
        <v>3761786</v>
      </c>
      <c r="BA1514" s="246">
        <f>IFERROR(VLOOKUP(K1514,VOL_REC[],2,FALSE),0)</f>
        <v>663244.80000000016</v>
      </c>
      <c r="BB1514" s="246">
        <f>IFERROR(VLOOKUP(L1514,VOL_REC[],2,FALSE),0)</f>
        <v>17074.045034105649</v>
      </c>
      <c r="BC1514" s="246">
        <f>IFERROR(VLOOKUP(M1514,VOL_REC[],2,FALSE),0)</f>
        <v>740113.98115702497</v>
      </c>
      <c r="BD1514" s="246">
        <f>IFERROR(VLOOKUP(N1514,VOL_REC[],2,FALSE),0)</f>
        <v>0</v>
      </c>
      <c r="BE1514" s="246">
        <f>IFERROR(VLOOKUP(O1514,VOL_REC[],2,FALSE),0)</f>
        <v>0</v>
      </c>
      <c r="BF1514" s="246">
        <f>IFERROR(VLOOKUP(P1514,VOL_REC[],2,FALSE),0)</f>
        <v>0</v>
      </c>
      <c r="BG1514" s="246">
        <f>IFERROR(VLOOKUP(Q1514,VOL_REC[],2,FALSE),0)</f>
        <v>0</v>
      </c>
      <c r="BH1514" s="1710">
        <f t="shared" si="92"/>
        <v>24068276549.43391</v>
      </c>
      <c r="BI1514" s="1710">
        <f t="shared" si="93"/>
        <v>25958807435.220371</v>
      </c>
      <c r="BJ1514" s="1711">
        <f t="shared" si="94"/>
        <v>36227472.155112348</v>
      </c>
      <c r="BK1514" s="1711">
        <f t="shared" si="95"/>
        <v>0.92717188990656685</v>
      </c>
    </row>
    <row r="1515" spans="3:67" x14ac:dyDescent="0.25">
      <c r="C1515" s="246" t="s">
        <v>2865</v>
      </c>
      <c r="D1515" s="246">
        <v>1</v>
      </c>
      <c r="E1515" s="246">
        <v>2</v>
      </c>
      <c r="F1515" s="246">
        <v>3</v>
      </c>
      <c r="G1515" s="246">
        <v>4</v>
      </c>
      <c r="H1515" s="246">
        <v>5</v>
      </c>
      <c r="I1515" s="246">
        <v>6</v>
      </c>
      <c r="J1515" s="246">
        <v>9</v>
      </c>
      <c r="K1515" s="246">
        <v>13</v>
      </c>
      <c r="L1515" s="246">
        <v>15</v>
      </c>
      <c r="M1515" s="246">
        <v>16</v>
      </c>
      <c r="N1515" s="246"/>
      <c r="O1515" s="246"/>
      <c r="P1515" s="246"/>
      <c r="Q1515" s="246"/>
      <c r="R1515" s="246">
        <f>IFERROR(VLOOKUP(D1515,PROGRAMAS[],2,FALSE),0)</f>
        <v>97037803.679377079</v>
      </c>
      <c r="S1515" s="246">
        <f>IFERROR(VLOOKUP(E1515,PROGRAMAS[],2,FALSE),0)</f>
        <v>640501509.6821388</v>
      </c>
      <c r="T1515" s="246">
        <f>IFERROR(VLOOKUP(F1515,PROGRAMAS[],2,FALSE),0)</f>
        <v>3062327798.1525245</v>
      </c>
      <c r="U1515" s="246">
        <f>IFERROR(VLOOKUP(G1515,PROGRAMAS[],2,FALSE),0)</f>
        <v>67697118.033011258</v>
      </c>
      <c r="V1515" s="246">
        <f>IFERROR(VLOOKUP(H1515,PROGRAMAS[],2,FALSE),0)</f>
        <v>1440941976.2528784</v>
      </c>
      <c r="W1515" s="246">
        <f>IFERROR(VLOOKUP(I1515,PROGRAMAS[],2,FALSE),0)</f>
        <v>6907648435.8447599</v>
      </c>
      <c r="X1515" s="246">
        <f>IFERROR(VLOOKUP(J1515,PROGRAMAS[],2,FALSE),0)</f>
        <v>6128579952.1618185</v>
      </c>
      <c r="Y1515" s="246">
        <f>IFERROR(VLOOKUP(K1515,PROGRAMAS[],2,FALSE),0)</f>
        <v>3776538594.4604583</v>
      </c>
      <c r="Z1515" s="246">
        <f>IFERROR(VLOOKUP(L1515,PROGRAMAS[],2,FALSE),0)</f>
        <v>122159672.96346797</v>
      </c>
      <c r="AA1515" s="246">
        <f>IFERROR(VLOOKUP(M1515,PROGRAMAS[],2,FALSE),0)</f>
        <v>7068496961.0436354</v>
      </c>
      <c r="AB1515" s="246">
        <f>IFERROR(VLOOKUP(N1515,PROGRAMAS[],2,FALSE),0)</f>
        <v>0</v>
      </c>
      <c r="AC1515" s="246">
        <f>IFERROR(VLOOKUP(O1515,PROGRAMAS[],2,FALSE),0)</f>
        <v>0</v>
      </c>
      <c r="AD1515" s="246">
        <f>IFERROR(VLOOKUP(P1515,PROGRAMAS[],2,FALSE),0)</f>
        <v>0</v>
      </c>
      <c r="AE1515" s="246">
        <f>IFERROR(VLOOKUP(Q1515,PROGRAMAS[],2,FALSE),0)</f>
        <v>0</v>
      </c>
      <c r="AF1515" s="246">
        <f>IFERROR(VLOOKUP(D1515,PROGRAMAS[],3,FALSE),0)</f>
        <v>841888629.31080008</v>
      </c>
      <c r="AG1515" s="246">
        <f>IFERROR(VLOOKUP(E1515,PROGRAMAS[],3,FALSE),0)</f>
        <v>3848980803.1642323</v>
      </c>
      <c r="AH1515" s="246">
        <f>IFERROR(VLOOKUP(F1515,PROGRAMAS[],3,FALSE),0)</f>
        <v>3394901471.387517</v>
      </c>
      <c r="AI1515" s="246">
        <f>IFERROR(VLOOKUP(G1515,PROGRAMAS[],3,FALSE),0)</f>
        <v>125317226.95549992</v>
      </c>
      <c r="AJ1515" s="246">
        <f>IFERROR(VLOOKUP(H1515,PROGRAMAS[],3,FALSE),0)</f>
        <v>1233505101.0616004</v>
      </c>
      <c r="AK1515" s="246">
        <f>IFERROR(VLOOKUP(I1515,PROGRAMAS[],3,FALSE),0)</f>
        <v>6129902208.7912121</v>
      </c>
      <c r="AL1515" s="246">
        <f>IFERROR(VLOOKUP(J1515,PROGRAMAS[],3,FALSE),0)</f>
        <v>7011279577.519702</v>
      </c>
      <c r="AM1515" s="246">
        <f>IFERROR(VLOOKUP(K1515,PROGRAMAS[],3,FALSE),0)</f>
        <v>2392571243.5584412</v>
      </c>
      <c r="AN1515" s="246">
        <f>IFERROR(VLOOKUP(L1515,PROGRAMAS[],3,FALSE),0)</f>
        <v>118617452.52510804</v>
      </c>
      <c r="AO1515" s="246">
        <f>IFERROR(VLOOKUP(M1515,PROGRAMAS[],3,FALSE),0)</f>
        <v>2406564599.0319901</v>
      </c>
      <c r="AP1515" s="246">
        <f>IFERROR(VLOOKUP(N1515,PROGRAMAS[],3,FALSE),0)</f>
        <v>0</v>
      </c>
      <c r="AQ1515" s="246">
        <f>IFERROR(VLOOKUP(O1515,PROGRAMAS[],3,FALSE),0)</f>
        <v>0</v>
      </c>
      <c r="AR1515" s="246">
        <f>IFERROR(VLOOKUP(P1515,PROGRAMAS[],3,FALSE),0)</f>
        <v>0</v>
      </c>
      <c r="AS1515" s="246">
        <f>IFERROR(VLOOKUP(Q1515,PROGRAMAS[],3,FALSE),0)</f>
        <v>0</v>
      </c>
      <c r="AT1515" s="246">
        <f>IFERROR(VLOOKUP(D1515,VOL_REC[],2,FALSE),0)</f>
        <v>0</v>
      </c>
      <c r="AU1515" s="246">
        <f>IFERROR(VLOOKUP(E1515,VOL_REC[],2,FALSE),0)</f>
        <v>0</v>
      </c>
      <c r="AV1515" s="246">
        <f>IFERROR(VLOOKUP(F1515,VOL_REC[],2,FALSE),0)</f>
        <v>11089674.200000001</v>
      </c>
      <c r="AW1515" s="246">
        <f>IFERROR(VLOOKUP(G1515,VOL_REC[],2,FALSE),0)</f>
        <v>90439.55</v>
      </c>
      <c r="AX1515" s="246">
        <f>IFERROR(VLOOKUP(H1515,VOL_REC[],2,FALSE),0)</f>
        <v>4325103.1812214684</v>
      </c>
      <c r="AY1515" s="246">
        <f>IFERROR(VLOOKUP(I1515,VOL_REC[],2,FALSE),0)</f>
        <v>15540036.397699751</v>
      </c>
      <c r="AZ1515" s="246">
        <f>IFERROR(VLOOKUP(J1515,VOL_REC[],2,FALSE),0)</f>
        <v>3761786</v>
      </c>
      <c r="BA1515" s="246">
        <f>IFERROR(VLOOKUP(K1515,VOL_REC[],2,FALSE),0)</f>
        <v>663244.80000000016</v>
      </c>
      <c r="BB1515" s="246">
        <f>IFERROR(VLOOKUP(L1515,VOL_REC[],2,FALSE),0)</f>
        <v>105072</v>
      </c>
      <c r="BC1515" s="246">
        <f>IFERROR(VLOOKUP(M1515,VOL_REC[],2,FALSE),0)</f>
        <v>1072354.9981737854</v>
      </c>
      <c r="BD1515" s="246">
        <f>IFERROR(VLOOKUP(N1515,VOL_REC[],2,FALSE),0)</f>
        <v>0</v>
      </c>
      <c r="BE1515" s="246">
        <f>IFERROR(VLOOKUP(O1515,VOL_REC[],2,FALSE),0)</f>
        <v>0</v>
      </c>
      <c r="BF1515" s="246">
        <f>IFERROR(VLOOKUP(P1515,VOL_REC[],2,FALSE),0)</f>
        <v>0</v>
      </c>
      <c r="BG1515" s="246">
        <f>IFERROR(VLOOKUP(Q1515,VOL_REC[],2,FALSE),0)</f>
        <v>0</v>
      </c>
      <c r="BH1515" s="1710">
        <f t="shared" si="92"/>
        <v>29311929822.274071</v>
      </c>
      <c r="BI1515" s="1710">
        <f t="shared" si="93"/>
        <v>27503528313.306103</v>
      </c>
      <c r="BJ1515" s="1711">
        <f t="shared" si="94"/>
        <v>36647711.127095006</v>
      </c>
      <c r="BK1515" s="1711">
        <f t="shared" si="95"/>
        <v>1.0657516187875091</v>
      </c>
      <c r="BL1515">
        <f>BJ1515</f>
        <v>36647711.127095006</v>
      </c>
      <c r="BO1515">
        <f>BL1515</f>
        <v>36647711.127095006</v>
      </c>
    </row>
    <row r="1516" spans="3:67" x14ac:dyDescent="0.25">
      <c r="C1516" s="246" t="s">
        <v>2866</v>
      </c>
      <c r="D1516" s="246">
        <v>1</v>
      </c>
      <c r="E1516" s="246">
        <v>2</v>
      </c>
      <c r="F1516" s="246">
        <v>3</v>
      </c>
      <c r="G1516" s="246">
        <v>4</v>
      </c>
      <c r="H1516" s="246">
        <v>5</v>
      </c>
      <c r="I1516" s="246">
        <v>6</v>
      </c>
      <c r="J1516" s="246">
        <v>9</v>
      </c>
      <c r="K1516" s="246">
        <v>13</v>
      </c>
      <c r="L1516" s="246">
        <v>15</v>
      </c>
      <c r="M1516" s="246">
        <v>17</v>
      </c>
      <c r="N1516" s="246"/>
      <c r="O1516" s="246"/>
      <c r="P1516" s="246"/>
      <c r="Q1516" s="246"/>
      <c r="R1516" s="246">
        <f>IFERROR(VLOOKUP(D1516,PROGRAMAS[],2,FALSE),0)</f>
        <v>97037803.679377079</v>
      </c>
      <c r="S1516" s="246">
        <f>IFERROR(VLOOKUP(E1516,PROGRAMAS[],2,FALSE),0)</f>
        <v>640501509.6821388</v>
      </c>
      <c r="T1516" s="246">
        <f>IFERROR(VLOOKUP(F1516,PROGRAMAS[],2,FALSE),0)</f>
        <v>3062327798.1525245</v>
      </c>
      <c r="U1516" s="246">
        <f>IFERROR(VLOOKUP(G1516,PROGRAMAS[],2,FALSE),0)</f>
        <v>67697118.033011258</v>
      </c>
      <c r="V1516" s="246">
        <f>IFERROR(VLOOKUP(H1516,PROGRAMAS[],2,FALSE),0)</f>
        <v>1440941976.2528784</v>
      </c>
      <c r="W1516" s="246">
        <f>IFERROR(VLOOKUP(I1516,PROGRAMAS[],2,FALSE),0)</f>
        <v>6907648435.8447599</v>
      </c>
      <c r="X1516" s="246">
        <f>IFERROR(VLOOKUP(J1516,PROGRAMAS[],2,FALSE),0)</f>
        <v>6128579952.1618185</v>
      </c>
      <c r="Y1516" s="246">
        <f>IFERROR(VLOOKUP(K1516,PROGRAMAS[],2,FALSE),0)</f>
        <v>3776538594.4604583</v>
      </c>
      <c r="Z1516" s="246">
        <f>IFERROR(VLOOKUP(L1516,PROGRAMAS[],2,FALSE),0)</f>
        <v>122159672.96346797</v>
      </c>
      <c r="AA1516" s="246">
        <f>IFERROR(VLOOKUP(M1516,PROGRAMAS[],2,FALSE),0)</f>
        <v>1892779498.5211046</v>
      </c>
      <c r="AB1516" s="246">
        <f>IFERROR(VLOOKUP(N1516,PROGRAMAS[],2,FALSE),0)</f>
        <v>0</v>
      </c>
      <c r="AC1516" s="246">
        <f>IFERROR(VLOOKUP(O1516,PROGRAMAS[],2,FALSE),0)</f>
        <v>0</v>
      </c>
      <c r="AD1516" s="246">
        <f>IFERROR(VLOOKUP(P1516,PROGRAMAS[],2,FALSE),0)</f>
        <v>0</v>
      </c>
      <c r="AE1516" s="246">
        <f>IFERROR(VLOOKUP(Q1516,PROGRAMAS[],2,FALSE),0)</f>
        <v>0</v>
      </c>
      <c r="AF1516" s="246">
        <f>IFERROR(VLOOKUP(D1516,PROGRAMAS[],3,FALSE),0)</f>
        <v>841888629.31080008</v>
      </c>
      <c r="AG1516" s="246">
        <f>IFERROR(VLOOKUP(E1516,PROGRAMAS[],3,FALSE),0)</f>
        <v>3848980803.1642323</v>
      </c>
      <c r="AH1516" s="246">
        <f>IFERROR(VLOOKUP(F1516,PROGRAMAS[],3,FALSE),0)</f>
        <v>3394901471.387517</v>
      </c>
      <c r="AI1516" s="246">
        <f>IFERROR(VLOOKUP(G1516,PROGRAMAS[],3,FALSE),0)</f>
        <v>125317226.95549992</v>
      </c>
      <c r="AJ1516" s="246">
        <f>IFERROR(VLOOKUP(H1516,PROGRAMAS[],3,FALSE),0)</f>
        <v>1233505101.0616004</v>
      </c>
      <c r="AK1516" s="246">
        <f>IFERROR(VLOOKUP(I1516,PROGRAMAS[],3,FALSE),0)</f>
        <v>6129902208.7912121</v>
      </c>
      <c r="AL1516" s="246">
        <f>IFERROR(VLOOKUP(J1516,PROGRAMAS[],3,FALSE),0)</f>
        <v>7011279577.519702</v>
      </c>
      <c r="AM1516" s="246">
        <f>IFERROR(VLOOKUP(K1516,PROGRAMAS[],3,FALSE),0)</f>
        <v>2392571243.5584412</v>
      </c>
      <c r="AN1516" s="246">
        <f>IFERROR(VLOOKUP(L1516,PROGRAMAS[],3,FALSE),0)</f>
        <v>118617452.52510804</v>
      </c>
      <c r="AO1516" s="246">
        <f>IFERROR(VLOOKUP(M1516,PROGRAMAS[],3,FALSE),0)</f>
        <v>948595847.09039903</v>
      </c>
      <c r="AP1516" s="246">
        <f>IFERROR(VLOOKUP(N1516,PROGRAMAS[],3,FALSE),0)</f>
        <v>0</v>
      </c>
      <c r="AQ1516" s="246">
        <f>IFERROR(VLOOKUP(O1516,PROGRAMAS[],3,FALSE),0)</f>
        <v>0</v>
      </c>
      <c r="AR1516" s="246">
        <f>IFERROR(VLOOKUP(P1516,PROGRAMAS[],3,FALSE),0)</f>
        <v>0</v>
      </c>
      <c r="AS1516" s="246">
        <f>IFERROR(VLOOKUP(Q1516,PROGRAMAS[],3,FALSE),0)</f>
        <v>0</v>
      </c>
      <c r="AT1516" s="246">
        <f>IFERROR(VLOOKUP(D1516,VOL_REC[],2,FALSE),0)</f>
        <v>0</v>
      </c>
      <c r="AU1516" s="246">
        <f>IFERROR(VLOOKUP(E1516,VOL_REC[],2,FALSE),0)</f>
        <v>0</v>
      </c>
      <c r="AV1516" s="246">
        <f>IFERROR(VLOOKUP(F1516,VOL_REC[],2,FALSE),0)</f>
        <v>11089674.200000001</v>
      </c>
      <c r="AW1516" s="246">
        <f>IFERROR(VLOOKUP(G1516,VOL_REC[],2,FALSE),0)</f>
        <v>90439.55</v>
      </c>
      <c r="AX1516" s="246">
        <f>IFERROR(VLOOKUP(H1516,VOL_REC[],2,FALSE),0)</f>
        <v>4325103.1812214684</v>
      </c>
      <c r="AY1516" s="246">
        <f>IFERROR(VLOOKUP(I1516,VOL_REC[],2,FALSE),0)</f>
        <v>15540036.397699751</v>
      </c>
      <c r="AZ1516" s="246">
        <f>IFERROR(VLOOKUP(J1516,VOL_REC[],2,FALSE),0)</f>
        <v>3761786</v>
      </c>
      <c r="BA1516" s="246">
        <f>IFERROR(VLOOKUP(K1516,VOL_REC[],2,FALSE),0)</f>
        <v>663244.80000000016</v>
      </c>
      <c r="BB1516" s="246">
        <f>IFERROR(VLOOKUP(L1516,VOL_REC[],2,FALSE),0)</f>
        <v>105072</v>
      </c>
      <c r="BC1516" s="246">
        <f>IFERROR(VLOOKUP(M1516,VOL_REC[],2,FALSE),0)</f>
        <v>740113.98115702497</v>
      </c>
      <c r="BD1516" s="246">
        <f>IFERROR(VLOOKUP(N1516,VOL_REC[],2,FALSE),0)</f>
        <v>0</v>
      </c>
      <c r="BE1516" s="246">
        <f>IFERROR(VLOOKUP(O1516,VOL_REC[],2,FALSE),0)</f>
        <v>0</v>
      </c>
      <c r="BF1516" s="246">
        <f>IFERROR(VLOOKUP(P1516,VOL_REC[],2,FALSE),0)</f>
        <v>0</v>
      </c>
      <c r="BG1516" s="246">
        <f>IFERROR(VLOOKUP(Q1516,VOL_REC[],2,FALSE),0)</f>
        <v>0</v>
      </c>
      <c r="BH1516" s="1710">
        <f t="shared" si="92"/>
        <v>24136212359.751537</v>
      </c>
      <c r="BI1516" s="1710">
        <f t="shared" si="93"/>
        <v>26045559561.364513</v>
      </c>
      <c r="BJ1516" s="1711">
        <f t="shared" si="94"/>
        <v>36315470.110078245</v>
      </c>
      <c r="BK1516" s="1711">
        <f t="shared" si="95"/>
        <v>0.92669202605862744</v>
      </c>
    </row>
    <row r="1517" spans="3:67" x14ac:dyDescent="0.25">
      <c r="C1517" s="246" t="s">
        <v>2867</v>
      </c>
      <c r="D1517" s="246">
        <v>1</v>
      </c>
      <c r="E1517" s="246">
        <v>2</v>
      </c>
      <c r="F1517" s="246">
        <v>3</v>
      </c>
      <c r="G1517" s="246">
        <v>4</v>
      </c>
      <c r="H1517" s="246">
        <v>5</v>
      </c>
      <c r="I1517" s="246">
        <v>6</v>
      </c>
      <c r="J1517" s="246">
        <v>9</v>
      </c>
      <c r="K1517" s="246">
        <v>13</v>
      </c>
      <c r="L1517" s="246">
        <v>16</v>
      </c>
      <c r="M1517" s="246">
        <v>17</v>
      </c>
      <c r="N1517" s="246"/>
      <c r="O1517" s="246"/>
      <c r="P1517" s="246"/>
      <c r="Q1517" s="246"/>
      <c r="R1517" s="246">
        <f>IFERROR(VLOOKUP(D1517,PROGRAMAS[],2,FALSE),0)</f>
        <v>97037803.679377079</v>
      </c>
      <c r="S1517" s="246">
        <f>IFERROR(VLOOKUP(E1517,PROGRAMAS[],2,FALSE),0)</f>
        <v>640501509.6821388</v>
      </c>
      <c r="T1517" s="246">
        <f>IFERROR(VLOOKUP(F1517,PROGRAMAS[],2,FALSE),0)</f>
        <v>3062327798.1525245</v>
      </c>
      <c r="U1517" s="246">
        <f>IFERROR(VLOOKUP(G1517,PROGRAMAS[],2,FALSE),0)</f>
        <v>67697118.033011258</v>
      </c>
      <c r="V1517" s="246">
        <f>IFERROR(VLOOKUP(H1517,PROGRAMAS[],2,FALSE),0)</f>
        <v>1440941976.2528784</v>
      </c>
      <c r="W1517" s="246">
        <f>IFERROR(VLOOKUP(I1517,PROGRAMAS[],2,FALSE),0)</f>
        <v>6907648435.8447599</v>
      </c>
      <c r="X1517" s="246">
        <f>IFERROR(VLOOKUP(J1517,PROGRAMAS[],2,FALSE),0)</f>
        <v>6128579952.1618185</v>
      </c>
      <c r="Y1517" s="246">
        <f>IFERROR(VLOOKUP(K1517,PROGRAMAS[],2,FALSE),0)</f>
        <v>3776538594.4604583</v>
      </c>
      <c r="Z1517" s="246">
        <f>IFERROR(VLOOKUP(L1517,PROGRAMAS[],2,FALSE),0)</f>
        <v>7068496961.0436354</v>
      </c>
      <c r="AA1517" s="246">
        <f>IFERROR(VLOOKUP(M1517,PROGRAMAS[],2,FALSE),0)</f>
        <v>1892779498.5211046</v>
      </c>
      <c r="AB1517" s="246">
        <f>IFERROR(VLOOKUP(N1517,PROGRAMAS[],2,FALSE),0)</f>
        <v>0</v>
      </c>
      <c r="AC1517" s="246">
        <f>IFERROR(VLOOKUP(O1517,PROGRAMAS[],2,FALSE),0)</f>
        <v>0</v>
      </c>
      <c r="AD1517" s="246">
        <f>IFERROR(VLOOKUP(P1517,PROGRAMAS[],2,FALSE),0)</f>
        <v>0</v>
      </c>
      <c r="AE1517" s="246">
        <f>IFERROR(VLOOKUP(Q1517,PROGRAMAS[],2,FALSE),0)</f>
        <v>0</v>
      </c>
      <c r="AF1517" s="246">
        <f>IFERROR(VLOOKUP(D1517,PROGRAMAS[],3,FALSE),0)</f>
        <v>841888629.31080008</v>
      </c>
      <c r="AG1517" s="246">
        <f>IFERROR(VLOOKUP(E1517,PROGRAMAS[],3,FALSE),0)</f>
        <v>3848980803.1642323</v>
      </c>
      <c r="AH1517" s="246">
        <f>IFERROR(VLOOKUP(F1517,PROGRAMAS[],3,FALSE),0)</f>
        <v>3394901471.387517</v>
      </c>
      <c r="AI1517" s="246">
        <f>IFERROR(VLOOKUP(G1517,PROGRAMAS[],3,FALSE),0)</f>
        <v>125317226.95549992</v>
      </c>
      <c r="AJ1517" s="246">
        <f>IFERROR(VLOOKUP(H1517,PROGRAMAS[],3,FALSE),0)</f>
        <v>1233505101.0616004</v>
      </c>
      <c r="AK1517" s="246">
        <f>IFERROR(VLOOKUP(I1517,PROGRAMAS[],3,FALSE),0)</f>
        <v>6129902208.7912121</v>
      </c>
      <c r="AL1517" s="246">
        <f>IFERROR(VLOOKUP(J1517,PROGRAMAS[],3,FALSE),0)</f>
        <v>7011279577.519702</v>
      </c>
      <c r="AM1517" s="246">
        <f>IFERROR(VLOOKUP(K1517,PROGRAMAS[],3,FALSE),0)</f>
        <v>2392571243.5584412</v>
      </c>
      <c r="AN1517" s="246">
        <f>IFERROR(VLOOKUP(L1517,PROGRAMAS[],3,FALSE),0)</f>
        <v>2406564599.0319901</v>
      </c>
      <c r="AO1517" s="246">
        <f>IFERROR(VLOOKUP(M1517,PROGRAMAS[],3,FALSE),0)</f>
        <v>948595847.09039903</v>
      </c>
      <c r="AP1517" s="246">
        <f>IFERROR(VLOOKUP(N1517,PROGRAMAS[],3,FALSE),0)</f>
        <v>0</v>
      </c>
      <c r="AQ1517" s="246">
        <f>IFERROR(VLOOKUP(O1517,PROGRAMAS[],3,FALSE),0)</f>
        <v>0</v>
      </c>
      <c r="AR1517" s="246">
        <f>IFERROR(VLOOKUP(P1517,PROGRAMAS[],3,FALSE),0)</f>
        <v>0</v>
      </c>
      <c r="AS1517" s="246">
        <f>IFERROR(VLOOKUP(Q1517,PROGRAMAS[],3,FALSE),0)</f>
        <v>0</v>
      </c>
      <c r="AT1517" s="246">
        <f>IFERROR(VLOOKUP(D1517,VOL_REC[],2,FALSE),0)</f>
        <v>0</v>
      </c>
      <c r="AU1517" s="246">
        <f>IFERROR(VLOOKUP(E1517,VOL_REC[],2,FALSE),0)</f>
        <v>0</v>
      </c>
      <c r="AV1517" s="246">
        <f>IFERROR(VLOOKUP(F1517,VOL_REC[],2,FALSE),0)</f>
        <v>11089674.200000001</v>
      </c>
      <c r="AW1517" s="246">
        <f>IFERROR(VLOOKUP(G1517,VOL_REC[],2,FALSE),0)</f>
        <v>90439.55</v>
      </c>
      <c r="AX1517" s="246">
        <f>IFERROR(VLOOKUP(H1517,VOL_REC[],2,FALSE),0)</f>
        <v>4325103.1812214684</v>
      </c>
      <c r="AY1517" s="246">
        <f>IFERROR(VLOOKUP(I1517,VOL_REC[],2,FALSE),0)</f>
        <v>15540036.397699751</v>
      </c>
      <c r="AZ1517" s="246">
        <f>IFERROR(VLOOKUP(J1517,VOL_REC[],2,FALSE),0)</f>
        <v>3761786</v>
      </c>
      <c r="BA1517" s="246">
        <f>IFERROR(VLOOKUP(K1517,VOL_REC[],2,FALSE),0)</f>
        <v>663244.80000000016</v>
      </c>
      <c r="BB1517" s="246">
        <f>IFERROR(VLOOKUP(L1517,VOL_REC[],2,FALSE),0)</f>
        <v>1072354.9981737854</v>
      </c>
      <c r="BC1517" s="246">
        <f>IFERROR(VLOOKUP(M1517,VOL_REC[],2,FALSE),0)</f>
        <v>740113.98115702497</v>
      </c>
      <c r="BD1517" s="246">
        <f>IFERROR(VLOOKUP(N1517,VOL_REC[],2,FALSE),0)</f>
        <v>0</v>
      </c>
      <c r="BE1517" s="246">
        <f>IFERROR(VLOOKUP(O1517,VOL_REC[],2,FALSE),0)</f>
        <v>0</v>
      </c>
      <c r="BF1517" s="246">
        <f>IFERROR(VLOOKUP(P1517,VOL_REC[],2,FALSE),0)</f>
        <v>0</v>
      </c>
      <c r="BG1517" s="246">
        <f>IFERROR(VLOOKUP(Q1517,VOL_REC[],2,FALSE),0)</f>
        <v>0</v>
      </c>
      <c r="BH1517" s="1710">
        <f t="shared" si="92"/>
        <v>31082549647.831707</v>
      </c>
      <c r="BI1517" s="1710">
        <f t="shared" si="93"/>
        <v>28333506707.871395</v>
      </c>
      <c r="BJ1517" s="1711">
        <f t="shared" si="94"/>
        <v>37282753.108252034</v>
      </c>
      <c r="BK1517" s="1711">
        <f t="shared" si="95"/>
        <v>1.0970244512373257</v>
      </c>
      <c r="BL1517">
        <f>BJ1517</f>
        <v>37282753.108252034</v>
      </c>
      <c r="BO1517">
        <f>BL1517</f>
        <v>37282753.108252034</v>
      </c>
    </row>
    <row r="1518" spans="3:67" x14ac:dyDescent="0.25">
      <c r="C1518" s="246" t="s">
        <v>2868</v>
      </c>
      <c r="D1518" s="246">
        <v>1</v>
      </c>
      <c r="E1518" s="246">
        <v>2</v>
      </c>
      <c r="F1518" s="246">
        <v>3</v>
      </c>
      <c r="G1518" s="246">
        <v>4</v>
      </c>
      <c r="H1518" s="246">
        <v>5</v>
      </c>
      <c r="I1518" s="246">
        <v>6</v>
      </c>
      <c r="J1518" s="246">
        <v>9</v>
      </c>
      <c r="K1518" s="246">
        <v>14</v>
      </c>
      <c r="L1518" s="246">
        <v>15</v>
      </c>
      <c r="M1518" s="246">
        <v>16</v>
      </c>
      <c r="N1518" s="246"/>
      <c r="O1518" s="246"/>
      <c r="P1518" s="246"/>
      <c r="Q1518" s="246"/>
      <c r="R1518" s="246">
        <f>IFERROR(VLOOKUP(D1518,PROGRAMAS[],2,FALSE),0)</f>
        <v>97037803.679377079</v>
      </c>
      <c r="S1518" s="246">
        <f>IFERROR(VLOOKUP(E1518,PROGRAMAS[],2,FALSE),0)</f>
        <v>640501509.6821388</v>
      </c>
      <c r="T1518" s="246">
        <f>IFERROR(VLOOKUP(F1518,PROGRAMAS[],2,FALSE),0)</f>
        <v>3062327798.1525245</v>
      </c>
      <c r="U1518" s="246">
        <f>IFERROR(VLOOKUP(G1518,PROGRAMAS[],2,FALSE),0)</f>
        <v>67697118.033011258</v>
      </c>
      <c r="V1518" s="246">
        <f>IFERROR(VLOOKUP(H1518,PROGRAMAS[],2,FALSE),0)</f>
        <v>1440941976.2528784</v>
      </c>
      <c r="W1518" s="246">
        <f>IFERROR(VLOOKUP(I1518,PROGRAMAS[],2,FALSE),0)</f>
        <v>6907648435.8447599</v>
      </c>
      <c r="X1518" s="246">
        <f>IFERROR(VLOOKUP(J1518,PROGRAMAS[],2,FALSE),0)</f>
        <v>6128579952.1618185</v>
      </c>
      <c r="Y1518" s="246">
        <f>IFERROR(VLOOKUP(K1518,PROGRAMAS[],2,FALSE),0)</f>
        <v>54223862.645839565</v>
      </c>
      <c r="Z1518" s="246">
        <f>IFERROR(VLOOKUP(L1518,PROGRAMAS[],2,FALSE),0)</f>
        <v>122159672.96346797</v>
      </c>
      <c r="AA1518" s="246">
        <f>IFERROR(VLOOKUP(M1518,PROGRAMAS[],2,FALSE),0)</f>
        <v>7068496961.0436354</v>
      </c>
      <c r="AB1518" s="246">
        <f>IFERROR(VLOOKUP(N1518,PROGRAMAS[],2,FALSE),0)</f>
        <v>0</v>
      </c>
      <c r="AC1518" s="246">
        <f>IFERROR(VLOOKUP(O1518,PROGRAMAS[],2,FALSE),0)</f>
        <v>0</v>
      </c>
      <c r="AD1518" s="246">
        <f>IFERROR(VLOOKUP(P1518,PROGRAMAS[],2,FALSE),0)</f>
        <v>0</v>
      </c>
      <c r="AE1518" s="246">
        <f>IFERROR(VLOOKUP(Q1518,PROGRAMAS[],2,FALSE),0)</f>
        <v>0</v>
      </c>
      <c r="AF1518" s="246">
        <f>IFERROR(VLOOKUP(D1518,PROGRAMAS[],3,FALSE),0)</f>
        <v>841888629.31080008</v>
      </c>
      <c r="AG1518" s="246">
        <f>IFERROR(VLOOKUP(E1518,PROGRAMAS[],3,FALSE),0)</f>
        <v>3848980803.1642323</v>
      </c>
      <c r="AH1518" s="246">
        <f>IFERROR(VLOOKUP(F1518,PROGRAMAS[],3,FALSE),0)</f>
        <v>3394901471.387517</v>
      </c>
      <c r="AI1518" s="246">
        <f>IFERROR(VLOOKUP(G1518,PROGRAMAS[],3,FALSE),0)</f>
        <v>125317226.95549992</v>
      </c>
      <c r="AJ1518" s="246">
        <f>IFERROR(VLOOKUP(H1518,PROGRAMAS[],3,FALSE),0)</f>
        <v>1233505101.0616004</v>
      </c>
      <c r="AK1518" s="246">
        <f>IFERROR(VLOOKUP(I1518,PROGRAMAS[],3,FALSE),0)</f>
        <v>6129902208.7912121</v>
      </c>
      <c r="AL1518" s="246">
        <f>IFERROR(VLOOKUP(J1518,PROGRAMAS[],3,FALSE),0)</f>
        <v>7011279577.519702</v>
      </c>
      <c r="AM1518" s="246">
        <f>IFERROR(VLOOKUP(K1518,PROGRAMAS[],3,FALSE),0)</f>
        <v>31865326.38096505</v>
      </c>
      <c r="AN1518" s="246">
        <f>IFERROR(VLOOKUP(L1518,PROGRAMAS[],3,FALSE),0)</f>
        <v>118617452.52510804</v>
      </c>
      <c r="AO1518" s="246">
        <f>IFERROR(VLOOKUP(M1518,PROGRAMAS[],3,FALSE),0)</f>
        <v>2406564599.0319901</v>
      </c>
      <c r="AP1518" s="246">
        <f>IFERROR(VLOOKUP(N1518,PROGRAMAS[],3,FALSE),0)</f>
        <v>0</v>
      </c>
      <c r="AQ1518" s="246">
        <f>IFERROR(VLOOKUP(O1518,PROGRAMAS[],3,FALSE),0)</f>
        <v>0</v>
      </c>
      <c r="AR1518" s="246">
        <f>IFERROR(VLOOKUP(P1518,PROGRAMAS[],3,FALSE),0)</f>
        <v>0</v>
      </c>
      <c r="AS1518" s="246">
        <f>IFERROR(VLOOKUP(Q1518,PROGRAMAS[],3,FALSE),0)</f>
        <v>0</v>
      </c>
      <c r="AT1518" s="246">
        <f>IFERROR(VLOOKUP(D1518,VOL_REC[],2,FALSE),0)</f>
        <v>0</v>
      </c>
      <c r="AU1518" s="246">
        <f>IFERROR(VLOOKUP(E1518,VOL_REC[],2,FALSE),0)</f>
        <v>0</v>
      </c>
      <c r="AV1518" s="246">
        <f>IFERROR(VLOOKUP(F1518,VOL_REC[],2,FALSE),0)</f>
        <v>11089674.200000001</v>
      </c>
      <c r="AW1518" s="246">
        <f>IFERROR(VLOOKUP(G1518,VOL_REC[],2,FALSE),0)</f>
        <v>90439.55</v>
      </c>
      <c r="AX1518" s="246">
        <f>IFERROR(VLOOKUP(H1518,VOL_REC[],2,FALSE),0)</f>
        <v>4325103.1812214684</v>
      </c>
      <c r="AY1518" s="246">
        <f>IFERROR(VLOOKUP(I1518,VOL_REC[],2,FALSE),0)</f>
        <v>15540036.397699751</v>
      </c>
      <c r="AZ1518" s="246">
        <f>IFERROR(VLOOKUP(J1518,VOL_REC[],2,FALSE),0)</f>
        <v>3761786</v>
      </c>
      <c r="BA1518" s="246">
        <f>IFERROR(VLOOKUP(K1518,VOL_REC[],2,FALSE),0)</f>
        <v>17074.045034105649</v>
      </c>
      <c r="BB1518" s="246">
        <f>IFERROR(VLOOKUP(L1518,VOL_REC[],2,FALSE),0)</f>
        <v>105072</v>
      </c>
      <c r="BC1518" s="246">
        <f>IFERROR(VLOOKUP(M1518,VOL_REC[],2,FALSE),0)</f>
        <v>1072354.9981737854</v>
      </c>
      <c r="BD1518" s="246">
        <f>IFERROR(VLOOKUP(N1518,VOL_REC[],2,FALSE),0)</f>
        <v>0</v>
      </c>
      <c r="BE1518" s="246">
        <f>IFERROR(VLOOKUP(O1518,VOL_REC[],2,FALSE),0)</f>
        <v>0</v>
      </c>
      <c r="BF1518" s="246">
        <f>IFERROR(VLOOKUP(P1518,VOL_REC[],2,FALSE),0)</f>
        <v>0</v>
      </c>
      <c r="BG1518" s="246">
        <f>IFERROR(VLOOKUP(Q1518,VOL_REC[],2,FALSE),0)</f>
        <v>0</v>
      </c>
      <c r="BH1518" s="1710">
        <f t="shared" si="92"/>
        <v>25589615090.459454</v>
      </c>
      <c r="BI1518" s="1710">
        <f t="shared" si="93"/>
        <v>25142822396.128628</v>
      </c>
      <c r="BJ1518" s="1711">
        <f t="shared" si="94"/>
        <v>36001540.372129112</v>
      </c>
      <c r="BK1518" s="1711">
        <f t="shared" si="95"/>
        <v>1.0177701885369728</v>
      </c>
      <c r="BL1518">
        <f>BJ1518</f>
        <v>36001540.372129112</v>
      </c>
      <c r="BO1518">
        <f>BL1518</f>
        <v>36001540.372129112</v>
      </c>
    </row>
    <row r="1519" spans="3:67" x14ac:dyDescent="0.25">
      <c r="C1519" s="246" t="s">
        <v>2869</v>
      </c>
      <c r="D1519" s="246">
        <v>1</v>
      </c>
      <c r="E1519" s="246">
        <v>2</v>
      </c>
      <c r="F1519" s="246">
        <v>3</v>
      </c>
      <c r="G1519" s="246">
        <v>4</v>
      </c>
      <c r="H1519" s="246">
        <v>5</v>
      </c>
      <c r="I1519" s="246">
        <v>6</v>
      </c>
      <c r="J1519" s="246">
        <v>9</v>
      </c>
      <c r="K1519" s="246">
        <v>14</v>
      </c>
      <c r="L1519" s="246">
        <v>15</v>
      </c>
      <c r="M1519" s="246">
        <v>17</v>
      </c>
      <c r="N1519" s="246"/>
      <c r="O1519" s="246"/>
      <c r="P1519" s="246"/>
      <c r="Q1519" s="246"/>
      <c r="R1519" s="246">
        <f>IFERROR(VLOOKUP(D1519,PROGRAMAS[],2,FALSE),0)</f>
        <v>97037803.679377079</v>
      </c>
      <c r="S1519" s="246">
        <f>IFERROR(VLOOKUP(E1519,PROGRAMAS[],2,FALSE),0)</f>
        <v>640501509.6821388</v>
      </c>
      <c r="T1519" s="246">
        <f>IFERROR(VLOOKUP(F1519,PROGRAMAS[],2,FALSE),0)</f>
        <v>3062327798.1525245</v>
      </c>
      <c r="U1519" s="246">
        <f>IFERROR(VLOOKUP(G1519,PROGRAMAS[],2,FALSE),0)</f>
        <v>67697118.033011258</v>
      </c>
      <c r="V1519" s="246">
        <f>IFERROR(VLOOKUP(H1519,PROGRAMAS[],2,FALSE),0)</f>
        <v>1440941976.2528784</v>
      </c>
      <c r="W1519" s="246">
        <f>IFERROR(VLOOKUP(I1519,PROGRAMAS[],2,FALSE),0)</f>
        <v>6907648435.8447599</v>
      </c>
      <c r="X1519" s="246">
        <f>IFERROR(VLOOKUP(J1519,PROGRAMAS[],2,FALSE),0)</f>
        <v>6128579952.1618185</v>
      </c>
      <c r="Y1519" s="246">
        <f>IFERROR(VLOOKUP(K1519,PROGRAMAS[],2,FALSE),0)</f>
        <v>54223862.645839565</v>
      </c>
      <c r="Z1519" s="246">
        <f>IFERROR(VLOOKUP(L1519,PROGRAMAS[],2,FALSE),0)</f>
        <v>122159672.96346797</v>
      </c>
      <c r="AA1519" s="246">
        <f>IFERROR(VLOOKUP(M1519,PROGRAMAS[],2,FALSE),0)</f>
        <v>1892779498.5211046</v>
      </c>
      <c r="AB1519" s="246">
        <f>IFERROR(VLOOKUP(N1519,PROGRAMAS[],2,FALSE),0)</f>
        <v>0</v>
      </c>
      <c r="AC1519" s="246">
        <f>IFERROR(VLOOKUP(O1519,PROGRAMAS[],2,FALSE),0)</f>
        <v>0</v>
      </c>
      <c r="AD1519" s="246">
        <f>IFERROR(VLOOKUP(P1519,PROGRAMAS[],2,FALSE),0)</f>
        <v>0</v>
      </c>
      <c r="AE1519" s="246">
        <f>IFERROR(VLOOKUP(Q1519,PROGRAMAS[],2,FALSE),0)</f>
        <v>0</v>
      </c>
      <c r="AF1519" s="246">
        <f>IFERROR(VLOOKUP(D1519,PROGRAMAS[],3,FALSE),0)</f>
        <v>841888629.31080008</v>
      </c>
      <c r="AG1519" s="246">
        <f>IFERROR(VLOOKUP(E1519,PROGRAMAS[],3,FALSE),0)</f>
        <v>3848980803.1642323</v>
      </c>
      <c r="AH1519" s="246">
        <f>IFERROR(VLOOKUP(F1519,PROGRAMAS[],3,FALSE),0)</f>
        <v>3394901471.387517</v>
      </c>
      <c r="AI1519" s="246">
        <f>IFERROR(VLOOKUP(G1519,PROGRAMAS[],3,FALSE),0)</f>
        <v>125317226.95549992</v>
      </c>
      <c r="AJ1519" s="246">
        <f>IFERROR(VLOOKUP(H1519,PROGRAMAS[],3,FALSE),0)</f>
        <v>1233505101.0616004</v>
      </c>
      <c r="AK1519" s="246">
        <f>IFERROR(VLOOKUP(I1519,PROGRAMAS[],3,FALSE),0)</f>
        <v>6129902208.7912121</v>
      </c>
      <c r="AL1519" s="246">
        <f>IFERROR(VLOOKUP(J1519,PROGRAMAS[],3,FALSE),0)</f>
        <v>7011279577.519702</v>
      </c>
      <c r="AM1519" s="246">
        <f>IFERROR(VLOOKUP(K1519,PROGRAMAS[],3,FALSE),0)</f>
        <v>31865326.38096505</v>
      </c>
      <c r="AN1519" s="246">
        <f>IFERROR(VLOOKUP(L1519,PROGRAMAS[],3,FALSE),0)</f>
        <v>118617452.52510804</v>
      </c>
      <c r="AO1519" s="246">
        <f>IFERROR(VLOOKUP(M1519,PROGRAMAS[],3,FALSE),0)</f>
        <v>948595847.09039903</v>
      </c>
      <c r="AP1519" s="246">
        <f>IFERROR(VLOOKUP(N1519,PROGRAMAS[],3,FALSE),0)</f>
        <v>0</v>
      </c>
      <c r="AQ1519" s="246">
        <f>IFERROR(VLOOKUP(O1519,PROGRAMAS[],3,FALSE),0)</f>
        <v>0</v>
      </c>
      <c r="AR1519" s="246">
        <f>IFERROR(VLOOKUP(P1519,PROGRAMAS[],3,FALSE),0)</f>
        <v>0</v>
      </c>
      <c r="AS1519" s="246">
        <f>IFERROR(VLOOKUP(Q1519,PROGRAMAS[],3,FALSE),0)</f>
        <v>0</v>
      </c>
      <c r="AT1519" s="246">
        <f>IFERROR(VLOOKUP(D1519,VOL_REC[],2,FALSE),0)</f>
        <v>0</v>
      </c>
      <c r="AU1519" s="246">
        <f>IFERROR(VLOOKUP(E1519,VOL_REC[],2,FALSE),0)</f>
        <v>0</v>
      </c>
      <c r="AV1519" s="246">
        <f>IFERROR(VLOOKUP(F1519,VOL_REC[],2,FALSE),0)</f>
        <v>11089674.200000001</v>
      </c>
      <c r="AW1519" s="246">
        <f>IFERROR(VLOOKUP(G1519,VOL_REC[],2,FALSE),0)</f>
        <v>90439.55</v>
      </c>
      <c r="AX1519" s="246">
        <f>IFERROR(VLOOKUP(H1519,VOL_REC[],2,FALSE),0)</f>
        <v>4325103.1812214684</v>
      </c>
      <c r="AY1519" s="246">
        <f>IFERROR(VLOOKUP(I1519,VOL_REC[],2,FALSE),0)</f>
        <v>15540036.397699751</v>
      </c>
      <c r="AZ1519" s="246">
        <f>IFERROR(VLOOKUP(J1519,VOL_REC[],2,FALSE),0)</f>
        <v>3761786</v>
      </c>
      <c r="BA1519" s="246">
        <f>IFERROR(VLOOKUP(K1519,VOL_REC[],2,FALSE),0)</f>
        <v>17074.045034105649</v>
      </c>
      <c r="BB1519" s="246">
        <f>IFERROR(VLOOKUP(L1519,VOL_REC[],2,FALSE),0)</f>
        <v>105072</v>
      </c>
      <c r="BC1519" s="246">
        <f>IFERROR(VLOOKUP(M1519,VOL_REC[],2,FALSE),0)</f>
        <v>740113.98115702497</v>
      </c>
      <c r="BD1519" s="246">
        <f>IFERROR(VLOOKUP(N1519,VOL_REC[],2,FALSE),0)</f>
        <v>0</v>
      </c>
      <c r="BE1519" s="246">
        <f>IFERROR(VLOOKUP(O1519,VOL_REC[],2,FALSE),0)</f>
        <v>0</v>
      </c>
      <c r="BF1519" s="246">
        <f>IFERROR(VLOOKUP(P1519,VOL_REC[],2,FALSE),0)</f>
        <v>0</v>
      </c>
      <c r="BG1519" s="246">
        <f>IFERROR(VLOOKUP(Q1519,VOL_REC[],2,FALSE),0)</f>
        <v>0</v>
      </c>
      <c r="BH1519" s="1710">
        <f t="shared" si="92"/>
        <v>20413897627.93692</v>
      </c>
      <c r="BI1519" s="1710">
        <f t="shared" si="93"/>
        <v>23684853644.187038</v>
      </c>
      <c r="BJ1519" s="1711">
        <f t="shared" si="94"/>
        <v>35669299.355112351</v>
      </c>
      <c r="BK1519" s="1711">
        <f t="shared" si="95"/>
        <v>0.86189671824073499</v>
      </c>
    </row>
    <row r="1520" spans="3:67" x14ac:dyDescent="0.25">
      <c r="C1520" s="246" t="s">
        <v>2870</v>
      </c>
      <c r="D1520" s="246">
        <v>1</v>
      </c>
      <c r="E1520" s="246">
        <v>2</v>
      </c>
      <c r="F1520" s="246">
        <v>3</v>
      </c>
      <c r="G1520" s="246">
        <v>4</v>
      </c>
      <c r="H1520" s="246">
        <v>5</v>
      </c>
      <c r="I1520" s="246">
        <v>6</v>
      </c>
      <c r="J1520" s="246">
        <v>9</v>
      </c>
      <c r="K1520" s="246">
        <v>14</v>
      </c>
      <c r="L1520" s="246">
        <v>16</v>
      </c>
      <c r="M1520" s="246">
        <v>17</v>
      </c>
      <c r="N1520" s="246"/>
      <c r="O1520" s="246"/>
      <c r="P1520" s="246"/>
      <c r="Q1520" s="246"/>
      <c r="R1520" s="246">
        <f>IFERROR(VLOOKUP(D1520,PROGRAMAS[],2,FALSE),0)</f>
        <v>97037803.679377079</v>
      </c>
      <c r="S1520" s="246">
        <f>IFERROR(VLOOKUP(E1520,PROGRAMAS[],2,FALSE),0)</f>
        <v>640501509.6821388</v>
      </c>
      <c r="T1520" s="246">
        <f>IFERROR(VLOOKUP(F1520,PROGRAMAS[],2,FALSE),0)</f>
        <v>3062327798.1525245</v>
      </c>
      <c r="U1520" s="246">
        <f>IFERROR(VLOOKUP(G1520,PROGRAMAS[],2,FALSE),0)</f>
        <v>67697118.033011258</v>
      </c>
      <c r="V1520" s="246">
        <f>IFERROR(VLOOKUP(H1520,PROGRAMAS[],2,FALSE),0)</f>
        <v>1440941976.2528784</v>
      </c>
      <c r="W1520" s="246">
        <f>IFERROR(VLOOKUP(I1520,PROGRAMAS[],2,FALSE),0)</f>
        <v>6907648435.8447599</v>
      </c>
      <c r="X1520" s="246">
        <f>IFERROR(VLOOKUP(J1520,PROGRAMAS[],2,FALSE),0)</f>
        <v>6128579952.1618185</v>
      </c>
      <c r="Y1520" s="246">
        <f>IFERROR(VLOOKUP(K1520,PROGRAMAS[],2,FALSE),0)</f>
        <v>54223862.645839565</v>
      </c>
      <c r="Z1520" s="246">
        <f>IFERROR(VLOOKUP(L1520,PROGRAMAS[],2,FALSE),0)</f>
        <v>7068496961.0436354</v>
      </c>
      <c r="AA1520" s="246">
        <f>IFERROR(VLOOKUP(M1520,PROGRAMAS[],2,FALSE),0)</f>
        <v>1892779498.5211046</v>
      </c>
      <c r="AB1520" s="246">
        <f>IFERROR(VLOOKUP(N1520,PROGRAMAS[],2,FALSE),0)</f>
        <v>0</v>
      </c>
      <c r="AC1520" s="246">
        <f>IFERROR(VLOOKUP(O1520,PROGRAMAS[],2,FALSE),0)</f>
        <v>0</v>
      </c>
      <c r="AD1520" s="246">
        <f>IFERROR(VLOOKUP(P1520,PROGRAMAS[],2,FALSE),0)</f>
        <v>0</v>
      </c>
      <c r="AE1520" s="246">
        <f>IFERROR(VLOOKUP(Q1520,PROGRAMAS[],2,FALSE),0)</f>
        <v>0</v>
      </c>
      <c r="AF1520" s="246">
        <f>IFERROR(VLOOKUP(D1520,PROGRAMAS[],3,FALSE),0)</f>
        <v>841888629.31080008</v>
      </c>
      <c r="AG1520" s="246">
        <f>IFERROR(VLOOKUP(E1520,PROGRAMAS[],3,FALSE),0)</f>
        <v>3848980803.1642323</v>
      </c>
      <c r="AH1520" s="246">
        <f>IFERROR(VLOOKUP(F1520,PROGRAMAS[],3,FALSE),0)</f>
        <v>3394901471.387517</v>
      </c>
      <c r="AI1520" s="246">
        <f>IFERROR(VLOOKUP(G1520,PROGRAMAS[],3,FALSE),0)</f>
        <v>125317226.95549992</v>
      </c>
      <c r="AJ1520" s="246">
        <f>IFERROR(VLOOKUP(H1520,PROGRAMAS[],3,FALSE),0)</f>
        <v>1233505101.0616004</v>
      </c>
      <c r="AK1520" s="246">
        <f>IFERROR(VLOOKUP(I1520,PROGRAMAS[],3,FALSE),0)</f>
        <v>6129902208.7912121</v>
      </c>
      <c r="AL1520" s="246">
        <f>IFERROR(VLOOKUP(J1520,PROGRAMAS[],3,FALSE),0)</f>
        <v>7011279577.519702</v>
      </c>
      <c r="AM1520" s="246">
        <f>IFERROR(VLOOKUP(K1520,PROGRAMAS[],3,FALSE),0)</f>
        <v>31865326.38096505</v>
      </c>
      <c r="AN1520" s="246">
        <f>IFERROR(VLOOKUP(L1520,PROGRAMAS[],3,FALSE),0)</f>
        <v>2406564599.0319901</v>
      </c>
      <c r="AO1520" s="246">
        <f>IFERROR(VLOOKUP(M1520,PROGRAMAS[],3,FALSE),0)</f>
        <v>948595847.09039903</v>
      </c>
      <c r="AP1520" s="246">
        <f>IFERROR(VLOOKUP(N1520,PROGRAMAS[],3,FALSE),0)</f>
        <v>0</v>
      </c>
      <c r="AQ1520" s="246">
        <f>IFERROR(VLOOKUP(O1520,PROGRAMAS[],3,FALSE),0)</f>
        <v>0</v>
      </c>
      <c r="AR1520" s="246">
        <f>IFERROR(VLOOKUP(P1520,PROGRAMAS[],3,FALSE),0)</f>
        <v>0</v>
      </c>
      <c r="AS1520" s="246">
        <f>IFERROR(VLOOKUP(Q1520,PROGRAMAS[],3,FALSE),0)</f>
        <v>0</v>
      </c>
      <c r="AT1520" s="246">
        <f>IFERROR(VLOOKUP(D1520,VOL_REC[],2,FALSE),0)</f>
        <v>0</v>
      </c>
      <c r="AU1520" s="246">
        <f>IFERROR(VLOOKUP(E1520,VOL_REC[],2,FALSE),0)</f>
        <v>0</v>
      </c>
      <c r="AV1520" s="246">
        <f>IFERROR(VLOOKUP(F1520,VOL_REC[],2,FALSE),0)</f>
        <v>11089674.200000001</v>
      </c>
      <c r="AW1520" s="246">
        <f>IFERROR(VLOOKUP(G1520,VOL_REC[],2,FALSE),0)</f>
        <v>90439.55</v>
      </c>
      <c r="AX1520" s="246">
        <f>IFERROR(VLOOKUP(H1520,VOL_REC[],2,FALSE),0)</f>
        <v>4325103.1812214684</v>
      </c>
      <c r="AY1520" s="246">
        <f>IFERROR(VLOOKUP(I1520,VOL_REC[],2,FALSE),0)</f>
        <v>15540036.397699751</v>
      </c>
      <c r="AZ1520" s="246">
        <f>IFERROR(VLOOKUP(J1520,VOL_REC[],2,FALSE),0)</f>
        <v>3761786</v>
      </c>
      <c r="BA1520" s="246">
        <f>IFERROR(VLOOKUP(K1520,VOL_REC[],2,FALSE),0)</f>
        <v>17074.045034105649</v>
      </c>
      <c r="BB1520" s="246">
        <f>IFERROR(VLOOKUP(L1520,VOL_REC[],2,FALSE),0)</f>
        <v>1072354.9981737854</v>
      </c>
      <c r="BC1520" s="246">
        <f>IFERROR(VLOOKUP(M1520,VOL_REC[],2,FALSE),0)</f>
        <v>740113.98115702497</v>
      </c>
      <c r="BD1520" s="246">
        <f>IFERROR(VLOOKUP(N1520,VOL_REC[],2,FALSE),0)</f>
        <v>0</v>
      </c>
      <c r="BE1520" s="246">
        <f>IFERROR(VLOOKUP(O1520,VOL_REC[],2,FALSE),0)</f>
        <v>0</v>
      </c>
      <c r="BF1520" s="246">
        <f>IFERROR(VLOOKUP(P1520,VOL_REC[],2,FALSE),0)</f>
        <v>0</v>
      </c>
      <c r="BG1520" s="246">
        <f>IFERROR(VLOOKUP(Q1520,VOL_REC[],2,FALSE),0)</f>
        <v>0</v>
      </c>
      <c r="BH1520" s="1710">
        <f t="shared" si="92"/>
        <v>27360234916.01709</v>
      </c>
      <c r="BI1520" s="1710">
        <f t="shared" si="93"/>
        <v>25972800790.69392</v>
      </c>
      <c r="BJ1520" s="1711">
        <f t="shared" si="94"/>
        <v>36636582.35328614</v>
      </c>
      <c r="BK1520" s="1711">
        <f t="shared" si="95"/>
        <v>1.0534187335630083</v>
      </c>
      <c r="BL1520">
        <f>BJ1520</f>
        <v>36636582.35328614</v>
      </c>
      <c r="BO1520">
        <f>BL1520</f>
        <v>36636582.35328614</v>
      </c>
    </row>
    <row r="1521" spans="3:67" x14ac:dyDescent="0.25">
      <c r="C1521" s="246" t="s">
        <v>2871</v>
      </c>
      <c r="D1521" s="246">
        <v>1</v>
      </c>
      <c r="E1521" s="246">
        <v>2</v>
      </c>
      <c r="F1521" s="246">
        <v>3</v>
      </c>
      <c r="G1521" s="246">
        <v>4</v>
      </c>
      <c r="H1521" s="246">
        <v>5</v>
      </c>
      <c r="I1521" s="246">
        <v>6</v>
      </c>
      <c r="J1521" s="246">
        <v>9</v>
      </c>
      <c r="K1521" s="246">
        <v>15</v>
      </c>
      <c r="L1521" s="246">
        <v>16</v>
      </c>
      <c r="M1521" s="246">
        <v>17</v>
      </c>
      <c r="N1521" s="246"/>
      <c r="O1521" s="246"/>
      <c r="P1521" s="246"/>
      <c r="Q1521" s="246"/>
      <c r="R1521" s="246">
        <f>IFERROR(VLOOKUP(D1521,PROGRAMAS[],2,FALSE),0)</f>
        <v>97037803.679377079</v>
      </c>
      <c r="S1521" s="246">
        <f>IFERROR(VLOOKUP(E1521,PROGRAMAS[],2,FALSE),0)</f>
        <v>640501509.6821388</v>
      </c>
      <c r="T1521" s="246">
        <f>IFERROR(VLOOKUP(F1521,PROGRAMAS[],2,FALSE),0)</f>
        <v>3062327798.1525245</v>
      </c>
      <c r="U1521" s="246">
        <f>IFERROR(VLOOKUP(G1521,PROGRAMAS[],2,FALSE),0)</f>
        <v>67697118.033011258</v>
      </c>
      <c r="V1521" s="246">
        <f>IFERROR(VLOOKUP(H1521,PROGRAMAS[],2,FALSE),0)</f>
        <v>1440941976.2528784</v>
      </c>
      <c r="W1521" s="246">
        <f>IFERROR(VLOOKUP(I1521,PROGRAMAS[],2,FALSE),0)</f>
        <v>6907648435.8447599</v>
      </c>
      <c r="X1521" s="246">
        <f>IFERROR(VLOOKUP(J1521,PROGRAMAS[],2,FALSE),0)</f>
        <v>6128579952.1618185</v>
      </c>
      <c r="Y1521" s="246">
        <f>IFERROR(VLOOKUP(K1521,PROGRAMAS[],2,FALSE),0)</f>
        <v>122159672.96346797</v>
      </c>
      <c r="Z1521" s="246">
        <f>IFERROR(VLOOKUP(L1521,PROGRAMAS[],2,FALSE),0)</f>
        <v>7068496961.0436354</v>
      </c>
      <c r="AA1521" s="246">
        <f>IFERROR(VLOOKUP(M1521,PROGRAMAS[],2,FALSE),0)</f>
        <v>1892779498.5211046</v>
      </c>
      <c r="AB1521" s="246">
        <f>IFERROR(VLOOKUP(N1521,PROGRAMAS[],2,FALSE),0)</f>
        <v>0</v>
      </c>
      <c r="AC1521" s="246">
        <f>IFERROR(VLOOKUP(O1521,PROGRAMAS[],2,FALSE),0)</f>
        <v>0</v>
      </c>
      <c r="AD1521" s="246">
        <f>IFERROR(VLOOKUP(P1521,PROGRAMAS[],2,FALSE),0)</f>
        <v>0</v>
      </c>
      <c r="AE1521" s="246">
        <f>IFERROR(VLOOKUP(Q1521,PROGRAMAS[],2,FALSE),0)</f>
        <v>0</v>
      </c>
      <c r="AF1521" s="246">
        <f>IFERROR(VLOOKUP(D1521,PROGRAMAS[],3,FALSE),0)</f>
        <v>841888629.31080008</v>
      </c>
      <c r="AG1521" s="246">
        <f>IFERROR(VLOOKUP(E1521,PROGRAMAS[],3,FALSE),0)</f>
        <v>3848980803.1642323</v>
      </c>
      <c r="AH1521" s="246">
        <f>IFERROR(VLOOKUP(F1521,PROGRAMAS[],3,FALSE),0)</f>
        <v>3394901471.387517</v>
      </c>
      <c r="AI1521" s="246">
        <f>IFERROR(VLOOKUP(G1521,PROGRAMAS[],3,FALSE),0)</f>
        <v>125317226.95549992</v>
      </c>
      <c r="AJ1521" s="246">
        <f>IFERROR(VLOOKUP(H1521,PROGRAMAS[],3,FALSE),0)</f>
        <v>1233505101.0616004</v>
      </c>
      <c r="AK1521" s="246">
        <f>IFERROR(VLOOKUP(I1521,PROGRAMAS[],3,FALSE),0)</f>
        <v>6129902208.7912121</v>
      </c>
      <c r="AL1521" s="246">
        <f>IFERROR(VLOOKUP(J1521,PROGRAMAS[],3,FALSE),0)</f>
        <v>7011279577.519702</v>
      </c>
      <c r="AM1521" s="246">
        <f>IFERROR(VLOOKUP(K1521,PROGRAMAS[],3,FALSE),0)</f>
        <v>118617452.52510804</v>
      </c>
      <c r="AN1521" s="246">
        <f>IFERROR(VLOOKUP(L1521,PROGRAMAS[],3,FALSE),0)</f>
        <v>2406564599.0319901</v>
      </c>
      <c r="AO1521" s="246">
        <f>IFERROR(VLOOKUP(M1521,PROGRAMAS[],3,FALSE),0)</f>
        <v>948595847.09039903</v>
      </c>
      <c r="AP1521" s="246">
        <f>IFERROR(VLOOKUP(N1521,PROGRAMAS[],3,FALSE),0)</f>
        <v>0</v>
      </c>
      <c r="AQ1521" s="246">
        <f>IFERROR(VLOOKUP(O1521,PROGRAMAS[],3,FALSE),0)</f>
        <v>0</v>
      </c>
      <c r="AR1521" s="246">
        <f>IFERROR(VLOOKUP(P1521,PROGRAMAS[],3,FALSE),0)</f>
        <v>0</v>
      </c>
      <c r="AS1521" s="246">
        <f>IFERROR(VLOOKUP(Q1521,PROGRAMAS[],3,FALSE),0)</f>
        <v>0</v>
      </c>
      <c r="AT1521" s="246">
        <f>IFERROR(VLOOKUP(D1521,VOL_REC[],2,FALSE),0)</f>
        <v>0</v>
      </c>
      <c r="AU1521" s="246">
        <f>IFERROR(VLOOKUP(E1521,VOL_REC[],2,FALSE),0)</f>
        <v>0</v>
      </c>
      <c r="AV1521" s="246">
        <f>IFERROR(VLOOKUP(F1521,VOL_REC[],2,FALSE),0)</f>
        <v>11089674.200000001</v>
      </c>
      <c r="AW1521" s="246">
        <f>IFERROR(VLOOKUP(G1521,VOL_REC[],2,FALSE),0)</f>
        <v>90439.55</v>
      </c>
      <c r="AX1521" s="246">
        <f>IFERROR(VLOOKUP(H1521,VOL_REC[],2,FALSE),0)</f>
        <v>4325103.1812214684</v>
      </c>
      <c r="AY1521" s="246">
        <f>IFERROR(VLOOKUP(I1521,VOL_REC[],2,FALSE),0)</f>
        <v>15540036.397699751</v>
      </c>
      <c r="AZ1521" s="246">
        <f>IFERROR(VLOOKUP(J1521,VOL_REC[],2,FALSE),0)</f>
        <v>3761786</v>
      </c>
      <c r="BA1521" s="246">
        <f>IFERROR(VLOOKUP(K1521,VOL_REC[],2,FALSE),0)</f>
        <v>105072</v>
      </c>
      <c r="BB1521" s="246">
        <f>IFERROR(VLOOKUP(L1521,VOL_REC[],2,FALSE),0)</f>
        <v>1072354.9981737854</v>
      </c>
      <c r="BC1521" s="246">
        <f>IFERROR(VLOOKUP(M1521,VOL_REC[],2,FALSE),0)</f>
        <v>740113.98115702497</v>
      </c>
      <c r="BD1521" s="246">
        <f>IFERROR(VLOOKUP(N1521,VOL_REC[],2,FALSE),0)</f>
        <v>0</v>
      </c>
      <c r="BE1521" s="246">
        <f>IFERROR(VLOOKUP(O1521,VOL_REC[],2,FALSE),0)</f>
        <v>0</v>
      </c>
      <c r="BF1521" s="246">
        <f>IFERROR(VLOOKUP(P1521,VOL_REC[],2,FALSE),0)</f>
        <v>0</v>
      </c>
      <c r="BG1521" s="246">
        <f>IFERROR(VLOOKUP(Q1521,VOL_REC[],2,FALSE),0)</f>
        <v>0</v>
      </c>
      <c r="BH1521" s="1710">
        <f t="shared" si="92"/>
        <v>27428170726.334717</v>
      </c>
      <c r="BI1521" s="1710">
        <f t="shared" si="93"/>
        <v>26059552916.838062</v>
      </c>
      <c r="BJ1521" s="1711">
        <f t="shared" si="94"/>
        <v>36724580.308252037</v>
      </c>
      <c r="BK1521" s="1711">
        <f t="shared" si="95"/>
        <v>1.0525188522559932</v>
      </c>
      <c r="BL1521">
        <f>BJ1521</f>
        <v>36724580.308252037</v>
      </c>
      <c r="BO1521">
        <f>BL1521</f>
        <v>36724580.308252037</v>
      </c>
    </row>
    <row r="1522" spans="3:67" x14ac:dyDescent="0.25">
      <c r="C1522" s="246" t="s">
        <v>2872</v>
      </c>
      <c r="D1522" s="246">
        <v>1</v>
      </c>
      <c r="E1522" s="246">
        <v>2</v>
      </c>
      <c r="F1522" s="246">
        <v>3</v>
      </c>
      <c r="G1522" s="246">
        <v>4</v>
      </c>
      <c r="H1522" s="246">
        <v>5</v>
      </c>
      <c r="I1522" s="246">
        <v>6</v>
      </c>
      <c r="J1522" s="246">
        <v>10</v>
      </c>
      <c r="K1522" s="246">
        <v>12</v>
      </c>
      <c r="L1522" s="246">
        <v>13</v>
      </c>
      <c r="M1522" s="246">
        <v>14</v>
      </c>
      <c r="N1522" s="246"/>
      <c r="O1522" s="246"/>
      <c r="P1522" s="246"/>
      <c r="Q1522" s="246"/>
      <c r="R1522" s="246">
        <f>IFERROR(VLOOKUP(D1522,PROGRAMAS[],2,FALSE),0)</f>
        <v>97037803.679377079</v>
      </c>
      <c r="S1522" s="246">
        <f>IFERROR(VLOOKUP(E1522,PROGRAMAS[],2,FALSE),0)</f>
        <v>640501509.6821388</v>
      </c>
      <c r="T1522" s="246">
        <f>IFERROR(VLOOKUP(F1522,PROGRAMAS[],2,FALSE),0)</f>
        <v>3062327798.1525245</v>
      </c>
      <c r="U1522" s="246">
        <f>IFERROR(VLOOKUP(G1522,PROGRAMAS[],2,FALSE),0)</f>
        <v>67697118.033011258</v>
      </c>
      <c r="V1522" s="246">
        <f>IFERROR(VLOOKUP(H1522,PROGRAMAS[],2,FALSE),0)</f>
        <v>1440941976.2528784</v>
      </c>
      <c r="W1522" s="246">
        <f>IFERROR(VLOOKUP(I1522,PROGRAMAS[],2,FALSE),0)</f>
        <v>6907648435.8447599</v>
      </c>
      <c r="X1522" s="246">
        <f>IFERROR(VLOOKUP(J1522,PROGRAMAS[],2,FALSE),0)</f>
        <v>4635315027.8751087</v>
      </c>
      <c r="Y1522" s="246">
        <f>IFERROR(VLOOKUP(K1522,PROGRAMAS[],2,FALSE),0)</f>
        <v>764796700.79905891</v>
      </c>
      <c r="Z1522" s="246">
        <f>IFERROR(VLOOKUP(L1522,PROGRAMAS[],2,FALSE),0)</f>
        <v>3776538594.4604583</v>
      </c>
      <c r="AA1522" s="246">
        <f>IFERROR(VLOOKUP(M1522,PROGRAMAS[],2,FALSE),0)</f>
        <v>54223862.645839565</v>
      </c>
      <c r="AB1522" s="246">
        <f>IFERROR(VLOOKUP(N1522,PROGRAMAS[],2,FALSE),0)</f>
        <v>0</v>
      </c>
      <c r="AC1522" s="246">
        <f>IFERROR(VLOOKUP(O1522,PROGRAMAS[],2,FALSE),0)</f>
        <v>0</v>
      </c>
      <c r="AD1522" s="246">
        <f>IFERROR(VLOOKUP(P1522,PROGRAMAS[],2,FALSE),0)</f>
        <v>0</v>
      </c>
      <c r="AE1522" s="246">
        <f>IFERROR(VLOOKUP(Q1522,PROGRAMAS[],2,FALSE),0)</f>
        <v>0</v>
      </c>
      <c r="AF1522" s="246">
        <f>IFERROR(VLOOKUP(D1522,PROGRAMAS[],3,FALSE),0)</f>
        <v>841888629.31080008</v>
      </c>
      <c r="AG1522" s="246">
        <f>IFERROR(VLOOKUP(E1522,PROGRAMAS[],3,FALSE),0)</f>
        <v>3848980803.1642323</v>
      </c>
      <c r="AH1522" s="246">
        <f>IFERROR(VLOOKUP(F1522,PROGRAMAS[],3,FALSE),0)</f>
        <v>3394901471.387517</v>
      </c>
      <c r="AI1522" s="246">
        <f>IFERROR(VLOOKUP(G1522,PROGRAMAS[],3,FALSE),0)</f>
        <v>125317226.95549992</v>
      </c>
      <c r="AJ1522" s="246">
        <f>IFERROR(VLOOKUP(H1522,PROGRAMAS[],3,FALSE),0)</f>
        <v>1233505101.0616004</v>
      </c>
      <c r="AK1522" s="246">
        <f>IFERROR(VLOOKUP(I1522,PROGRAMAS[],3,FALSE),0)</f>
        <v>6129902208.7912121</v>
      </c>
      <c r="AL1522" s="246">
        <f>IFERROR(VLOOKUP(J1522,PROGRAMAS[],3,FALSE),0)</f>
        <v>4099471734.9978786</v>
      </c>
      <c r="AM1522" s="246">
        <f>IFERROR(VLOOKUP(K1522,PROGRAMAS[],3,FALSE),0)</f>
        <v>675517840.109828</v>
      </c>
      <c r="AN1522" s="246">
        <f>IFERROR(VLOOKUP(L1522,PROGRAMAS[],3,FALSE),0)</f>
        <v>2392571243.5584412</v>
      </c>
      <c r="AO1522" s="246">
        <f>IFERROR(VLOOKUP(M1522,PROGRAMAS[],3,FALSE),0)</f>
        <v>31865326.38096505</v>
      </c>
      <c r="AP1522" s="246">
        <f>IFERROR(VLOOKUP(N1522,PROGRAMAS[],3,FALSE),0)</f>
        <v>0</v>
      </c>
      <c r="AQ1522" s="246">
        <f>IFERROR(VLOOKUP(O1522,PROGRAMAS[],3,FALSE),0)</f>
        <v>0</v>
      </c>
      <c r="AR1522" s="246">
        <f>IFERROR(VLOOKUP(P1522,PROGRAMAS[],3,FALSE),0)</f>
        <v>0</v>
      </c>
      <c r="AS1522" s="246">
        <f>IFERROR(VLOOKUP(Q1522,PROGRAMAS[],3,FALSE),0)</f>
        <v>0</v>
      </c>
      <c r="AT1522" s="246">
        <f>IFERROR(VLOOKUP(D1522,VOL_REC[],2,FALSE),0)</f>
        <v>0</v>
      </c>
      <c r="AU1522" s="246">
        <f>IFERROR(VLOOKUP(E1522,VOL_REC[],2,FALSE),0)</f>
        <v>0</v>
      </c>
      <c r="AV1522" s="246">
        <f>IFERROR(VLOOKUP(F1522,VOL_REC[],2,FALSE),0)</f>
        <v>11089674.200000001</v>
      </c>
      <c r="AW1522" s="246">
        <f>IFERROR(VLOOKUP(G1522,VOL_REC[],2,FALSE),0)</f>
        <v>90439.55</v>
      </c>
      <c r="AX1522" s="246">
        <f>IFERROR(VLOOKUP(H1522,VOL_REC[],2,FALSE),0)</f>
        <v>4325103.1812214684</v>
      </c>
      <c r="AY1522" s="246">
        <f>IFERROR(VLOOKUP(I1522,VOL_REC[],2,FALSE),0)</f>
        <v>15540036.397699751</v>
      </c>
      <c r="AZ1522" s="246">
        <f>IFERROR(VLOOKUP(J1522,VOL_REC[],2,FALSE),0)</f>
        <v>1812240</v>
      </c>
      <c r="BA1522" s="246">
        <f>IFERROR(VLOOKUP(K1522,VOL_REC[],2,FALSE),0)</f>
        <v>240696.79238099116</v>
      </c>
      <c r="BB1522" s="246">
        <f>IFERROR(VLOOKUP(L1522,VOL_REC[],2,FALSE),0)</f>
        <v>663244.80000000016</v>
      </c>
      <c r="BC1522" s="246">
        <f>IFERROR(VLOOKUP(M1522,VOL_REC[],2,FALSE),0)</f>
        <v>17074.045034105649</v>
      </c>
      <c r="BD1522" s="246">
        <f>IFERROR(VLOOKUP(N1522,VOL_REC[],2,FALSE),0)</f>
        <v>0</v>
      </c>
      <c r="BE1522" s="246">
        <f>IFERROR(VLOOKUP(O1522,VOL_REC[],2,FALSE),0)</f>
        <v>0</v>
      </c>
      <c r="BF1522" s="246">
        <f>IFERROR(VLOOKUP(P1522,VOL_REC[],2,FALSE),0)</f>
        <v>0</v>
      </c>
      <c r="BG1522" s="246">
        <f>IFERROR(VLOOKUP(Q1522,VOL_REC[],2,FALSE),0)</f>
        <v>0</v>
      </c>
      <c r="BH1522" s="1710">
        <f t="shared" si="92"/>
        <v>21447028827.425156</v>
      </c>
      <c r="BI1522" s="1710">
        <f t="shared" si="93"/>
        <v>22773921585.717976</v>
      </c>
      <c r="BJ1522" s="1711">
        <f t="shared" si="94"/>
        <v>33778508.966336317</v>
      </c>
      <c r="BK1522" s="1711">
        <f t="shared" si="95"/>
        <v>0.94173630776330841</v>
      </c>
    </row>
    <row r="1523" spans="3:67" x14ac:dyDescent="0.25">
      <c r="C1523" s="246" t="s">
        <v>2873</v>
      </c>
      <c r="D1523" s="246">
        <v>1</v>
      </c>
      <c r="E1523" s="246">
        <v>2</v>
      </c>
      <c r="F1523" s="246">
        <v>3</v>
      </c>
      <c r="G1523" s="246">
        <v>4</v>
      </c>
      <c r="H1523" s="246">
        <v>5</v>
      </c>
      <c r="I1523" s="246">
        <v>6</v>
      </c>
      <c r="J1523" s="246">
        <v>10</v>
      </c>
      <c r="K1523" s="246">
        <v>12</v>
      </c>
      <c r="L1523" s="246">
        <v>13</v>
      </c>
      <c r="M1523" s="246">
        <v>15</v>
      </c>
      <c r="N1523" s="246"/>
      <c r="O1523" s="246"/>
      <c r="P1523" s="246"/>
      <c r="Q1523" s="246"/>
      <c r="R1523" s="246">
        <f>IFERROR(VLOOKUP(D1523,PROGRAMAS[],2,FALSE),0)</f>
        <v>97037803.679377079</v>
      </c>
      <c r="S1523" s="246">
        <f>IFERROR(VLOOKUP(E1523,PROGRAMAS[],2,FALSE),0)</f>
        <v>640501509.6821388</v>
      </c>
      <c r="T1523" s="246">
        <f>IFERROR(VLOOKUP(F1523,PROGRAMAS[],2,FALSE),0)</f>
        <v>3062327798.1525245</v>
      </c>
      <c r="U1523" s="246">
        <f>IFERROR(VLOOKUP(G1523,PROGRAMAS[],2,FALSE),0)</f>
        <v>67697118.033011258</v>
      </c>
      <c r="V1523" s="246">
        <f>IFERROR(VLOOKUP(H1523,PROGRAMAS[],2,FALSE),0)</f>
        <v>1440941976.2528784</v>
      </c>
      <c r="W1523" s="246">
        <f>IFERROR(VLOOKUP(I1523,PROGRAMAS[],2,FALSE),0)</f>
        <v>6907648435.8447599</v>
      </c>
      <c r="X1523" s="246">
        <f>IFERROR(VLOOKUP(J1523,PROGRAMAS[],2,FALSE),0)</f>
        <v>4635315027.8751087</v>
      </c>
      <c r="Y1523" s="246">
        <f>IFERROR(VLOOKUP(K1523,PROGRAMAS[],2,FALSE),0)</f>
        <v>764796700.79905891</v>
      </c>
      <c r="Z1523" s="246">
        <f>IFERROR(VLOOKUP(L1523,PROGRAMAS[],2,FALSE),0)</f>
        <v>3776538594.4604583</v>
      </c>
      <c r="AA1523" s="246">
        <f>IFERROR(VLOOKUP(M1523,PROGRAMAS[],2,FALSE),0)</f>
        <v>122159672.96346797</v>
      </c>
      <c r="AB1523" s="246">
        <f>IFERROR(VLOOKUP(N1523,PROGRAMAS[],2,FALSE),0)</f>
        <v>0</v>
      </c>
      <c r="AC1523" s="246">
        <f>IFERROR(VLOOKUP(O1523,PROGRAMAS[],2,FALSE),0)</f>
        <v>0</v>
      </c>
      <c r="AD1523" s="246">
        <f>IFERROR(VLOOKUP(P1523,PROGRAMAS[],2,FALSE),0)</f>
        <v>0</v>
      </c>
      <c r="AE1523" s="246">
        <f>IFERROR(VLOOKUP(Q1523,PROGRAMAS[],2,FALSE),0)</f>
        <v>0</v>
      </c>
      <c r="AF1523" s="246">
        <f>IFERROR(VLOOKUP(D1523,PROGRAMAS[],3,FALSE),0)</f>
        <v>841888629.31080008</v>
      </c>
      <c r="AG1523" s="246">
        <f>IFERROR(VLOOKUP(E1523,PROGRAMAS[],3,FALSE),0)</f>
        <v>3848980803.1642323</v>
      </c>
      <c r="AH1523" s="246">
        <f>IFERROR(VLOOKUP(F1523,PROGRAMAS[],3,FALSE),0)</f>
        <v>3394901471.387517</v>
      </c>
      <c r="AI1523" s="246">
        <f>IFERROR(VLOOKUP(G1523,PROGRAMAS[],3,FALSE),0)</f>
        <v>125317226.95549992</v>
      </c>
      <c r="AJ1523" s="246">
        <f>IFERROR(VLOOKUP(H1523,PROGRAMAS[],3,FALSE),0)</f>
        <v>1233505101.0616004</v>
      </c>
      <c r="AK1523" s="246">
        <f>IFERROR(VLOOKUP(I1523,PROGRAMAS[],3,FALSE),0)</f>
        <v>6129902208.7912121</v>
      </c>
      <c r="AL1523" s="246">
        <f>IFERROR(VLOOKUP(J1523,PROGRAMAS[],3,FALSE),0)</f>
        <v>4099471734.9978786</v>
      </c>
      <c r="AM1523" s="246">
        <f>IFERROR(VLOOKUP(K1523,PROGRAMAS[],3,FALSE),0)</f>
        <v>675517840.109828</v>
      </c>
      <c r="AN1523" s="246">
        <f>IFERROR(VLOOKUP(L1523,PROGRAMAS[],3,FALSE),0)</f>
        <v>2392571243.5584412</v>
      </c>
      <c r="AO1523" s="246">
        <f>IFERROR(VLOOKUP(M1523,PROGRAMAS[],3,FALSE),0)</f>
        <v>118617452.52510804</v>
      </c>
      <c r="AP1523" s="246">
        <f>IFERROR(VLOOKUP(N1523,PROGRAMAS[],3,FALSE),0)</f>
        <v>0</v>
      </c>
      <c r="AQ1523" s="246">
        <f>IFERROR(VLOOKUP(O1523,PROGRAMAS[],3,FALSE),0)</f>
        <v>0</v>
      </c>
      <c r="AR1523" s="246">
        <f>IFERROR(VLOOKUP(P1523,PROGRAMAS[],3,FALSE),0)</f>
        <v>0</v>
      </c>
      <c r="AS1523" s="246">
        <f>IFERROR(VLOOKUP(Q1523,PROGRAMAS[],3,FALSE),0)</f>
        <v>0</v>
      </c>
      <c r="AT1523" s="246">
        <f>IFERROR(VLOOKUP(D1523,VOL_REC[],2,FALSE),0)</f>
        <v>0</v>
      </c>
      <c r="AU1523" s="246">
        <f>IFERROR(VLOOKUP(E1523,VOL_REC[],2,FALSE),0)</f>
        <v>0</v>
      </c>
      <c r="AV1523" s="246">
        <f>IFERROR(VLOOKUP(F1523,VOL_REC[],2,FALSE),0)</f>
        <v>11089674.200000001</v>
      </c>
      <c r="AW1523" s="246">
        <f>IFERROR(VLOOKUP(G1523,VOL_REC[],2,FALSE),0)</f>
        <v>90439.55</v>
      </c>
      <c r="AX1523" s="246">
        <f>IFERROR(VLOOKUP(H1523,VOL_REC[],2,FALSE),0)</f>
        <v>4325103.1812214684</v>
      </c>
      <c r="AY1523" s="246">
        <f>IFERROR(VLOOKUP(I1523,VOL_REC[],2,FALSE),0)</f>
        <v>15540036.397699751</v>
      </c>
      <c r="AZ1523" s="246">
        <f>IFERROR(VLOOKUP(J1523,VOL_REC[],2,FALSE),0)</f>
        <v>1812240</v>
      </c>
      <c r="BA1523" s="246">
        <f>IFERROR(VLOOKUP(K1523,VOL_REC[],2,FALSE),0)</f>
        <v>240696.79238099116</v>
      </c>
      <c r="BB1523" s="246">
        <f>IFERROR(VLOOKUP(L1523,VOL_REC[],2,FALSE),0)</f>
        <v>663244.80000000016</v>
      </c>
      <c r="BC1523" s="246">
        <f>IFERROR(VLOOKUP(M1523,VOL_REC[],2,FALSE),0)</f>
        <v>105072</v>
      </c>
      <c r="BD1523" s="246">
        <f>IFERROR(VLOOKUP(N1523,VOL_REC[],2,FALSE),0)</f>
        <v>0</v>
      </c>
      <c r="BE1523" s="246">
        <f>IFERROR(VLOOKUP(O1523,VOL_REC[],2,FALSE),0)</f>
        <v>0</v>
      </c>
      <c r="BF1523" s="246">
        <f>IFERROR(VLOOKUP(P1523,VOL_REC[],2,FALSE),0)</f>
        <v>0</v>
      </c>
      <c r="BG1523" s="246">
        <f>IFERROR(VLOOKUP(Q1523,VOL_REC[],2,FALSE),0)</f>
        <v>0</v>
      </c>
      <c r="BH1523" s="1710">
        <f t="shared" si="92"/>
        <v>21514964637.742783</v>
      </c>
      <c r="BI1523" s="1710">
        <f t="shared" si="93"/>
        <v>22860673711.862118</v>
      </c>
      <c r="BJ1523" s="1711">
        <f t="shared" si="94"/>
        <v>33866506.921302214</v>
      </c>
      <c r="BK1523" s="1711">
        <f t="shared" si="95"/>
        <v>0.94113432127675822</v>
      </c>
    </row>
    <row r="1524" spans="3:67" x14ac:dyDescent="0.25">
      <c r="C1524" s="246" t="s">
        <v>2874</v>
      </c>
      <c r="D1524" s="246">
        <v>1</v>
      </c>
      <c r="E1524" s="246">
        <v>2</v>
      </c>
      <c r="F1524" s="246">
        <v>3</v>
      </c>
      <c r="G1524" s="246">
        <v>4</v>
      </c>
      <c r="H1524" s="246">
        <v>5</v>
      </c>
      <c r="I1524" s="246">
        <v>6</v>
      </c>
      <c r="J1524" s="246">
        <v>10</v>
      </c>
      <c r="K1524" s="246">
        <v>12</v>
      </c>
      <c r="L1524" s="246">
        <v>13</v>
      </c>
      <c r="M1524" s="246">
        <v>16</v>
      </c>
      <c r="N1524" s="246"/>
      <c r="O1524" s="246"/>
      <c r="P1524" s="246"/>
      <c r="Q1524" s="246"/>
      <c r="R1524" s="246">
        <f>IFERROR(VLOOKUP(D1524,PROGRAMAS[],2,FALSE),0)</f>
        <v>97037803.679377079</v>
      </c>
      <c r="S1524" s="246">
        <f>IFERROR(VLOOKUP(E1524,PROGRAMAS[],2,FALSE),0)</f>
        <v>640501509.6821388</v>
      </c>
      <c r="T1524" s="246">
        <f>IFERROR(VLOOKUP(F1524,PROGRAMAS[],2,FALSE),0)</f>
        <v>3062327798.1525245</v>
      </c>
      <c r="U1524" s="246">
        <f>IFERROR(VLOOKUP(G1524,PROGRAMAS[],2,FALSE),0)</f>
        <v>67697118.033011258</v>
      </c>
      <c r="V1524" s="246">
        <f>IFERROR(VLOOKUP(H1524,PROGRAMAS[],2,FALSE),0)</f>
        <v>1440941976.2528784</v>
      </c>
      <c r="W1524" s="246">
        <f>IFERROR(VLOOKUP(I1524,PROGRAMAS[],2,FALSE),0)</f>
        <v>6907648435.8447599</v>
      </c>
      <c r="X1524" s="246">
        <f>IFERROR(VLOOKUP(J1524,PROGRAMAS[],2,FALSE),0)</f>
        <v>4635315027.8751087</v>
      </c>
      <c r="Y1524" s="246">
        <f>IFERROR(VLOOKUP(K1524,PROGRAMAS[],2,FALSE),0)</f>
        <v>764796700.79905891</v>
      </c>
      <c r="Z1524" s="246">
        <f>IFERROR(VLOOKUP(L1524,PROGRAMAS[],2,FALSE),0)</f>
        <v>3776538594.4604583</v>
      </c>
      <c r="AA1524" s="246">
        <f>IFERROR(VLOOKUP(M1524,PROGRAMAS[],2,FALSE),0)</f>
        <v>7068496961.0436354</v>
      </c>
      <c r="AB1524" s="246">
        <f>IFERROR(VLOOKUP(N1524,PROGRAMAS[],2,FALSE),0)</f>
        <v>0</v>
      </c>
      <c r="AC1524" s="246">
        <f>IFERROR(VLOOKUP(O1524,PROGRAMAS[],2,FALSE),0)</f>
        <v>0</v>
      </c>
      <c r="AD1524" s="246">
        <f>IFERROR(VLOOKUP(P1524,PROGRAMAS[],2,FALSE),0)</f>
        <v>0</v>
      </c>
      <c r="AE1524" s="246">
        <f>IFERROR(VLOOKUP(Q1524,PROGRAMAS[],2,FALSE),0)</f>
        <v>0</v>
      </c>
      <c r="AF1524" s="246">
        <f>IFERROR(VLOOKUP(D1524,PROGRAMAS[],3,FALSE),0)</f>
        <v>841888629.31080008</v>
      </c>
      <c r="AG1524" s="246">
        <f>IFERROR(VLOOKUP(E1524,PROGRAMAS[],3,FALSE),0)</f>
        <v>3848980803.1642323</v>
      </c>
      <c r="AH1524" s="246">
        <f>IFERROR(VLOOKUP(F1524,PROGRAMAS[],3,FALSE),0)</f>
        <v>3394901471.387517</v>
      </c>
      <c r="AI1524" s="246">
        <f>IFERROR(VLOOKUP(G1524,PROGRAMAS[],3,FALSE),0)</f>
        <v>125317226.95549992</v>
      </c>
      <c r="AJ1524" s="246">
        <f>IFERROR(VLOOKUP(H1524,PROGRAMAS[],3,FALSE),0)</f>
        <v>1233505101.0616004</v>
      </c>
      <c r="AK1524" s="246">
        <f>IFERROR(VLOOKUP(I1524,PROGRAMAS[],3,FALSE),0)</f>
        <v>6129902208.7912121</v>
      </c>
      <c r="AL1524" s="246">
        <f>IFERROR(VLOOKUP(J1524,PROGRAMAS[],3,FALSE),0)</f>
        <v>4099471734.9978786</v>
      </c>
      <c r="AM1524" s="246">
        <f>IFERROR(VLOOKUP(K1524,PROGRAMAS[],3,FALSE),0)</f>
        <v>675517840.109828</v>
      </c>
      <c r="AN1524" s="246">
        <f>IFERROR(VLOOKUP(L1524,PROGRAMAS[],3,FALSE),0)</f>
        <v>2392571243.5584412</v>
      </c>
      <c r="AO1524" s="246">
        <f>IFERROR(VLOOKUP(M1524,PROGRAMAS[],3,FALSE),0)</f>
        <v>2406564599.0319901</v>
      </c>
      <c r="AP1524" s="246">
        <f>IFERROR(VLOOKUP(N1524,PROGRAMAS[],3,FALSE),0)</f>
        <v>0</v>
      </c>
      <c r="AQ1524" s="246">
        <f>IFERROR(VLOOKUP(O1524,PROGRAMAS[],3,FALSE),0)</f>
        <v>0</v>
      </c>
      <c r="AR1524" s="246">
        <f>IFERROR(VLOOKUP(P1524,PROGRAMAS[],3,FALSE),0)</f>
        <v>0</v>
      </c>
      <c r="AS1524" s="246">
        <f>IFERROR(VLOOKUP(Q1524,PROGRAMAS[],3,FALSE),0)</f>
        <v>0</v>
      </c>
      <c r="AT1524" s="246">
        <f>IFERROR(VLOOKUP(D1524,VOL_REC[],2,FALSE),0)</f>
        <v>0</v>
      </c>
      <c r="AU1524" s="246">
        <f>IFERROR(VLOOKUP(E1524,VOL_REC[],2,FALSE),0)</f>
        <v>0</v>
      </c>
      <c r="AV1524" s="246">
        <f>IFERROR(VLOOKUP(F1524,VOL_REC[],2,FALSE),0)</f>
        <v>11089674.200000001</v>
      </c>
      <c r="AW1524" s="246">
        <f>IFERROR(VLOOKUP(G1524,VOL_REC[],2,FALSE),0)</f>
        <v>90439.55</v>
      </c>
      <c r="AX1524" s="246">
        <f>IFERROR(VLOOKUP(H1524,VOL_REC[],2,FALSE),0)</f>
        <v>4325103.1812214684</v>
      </c>
      <c r="AY1524" s="246">
        <f>IFERROR(VLOOKUP(I1524,VOL_REC[],2,FALSE),0)</f>
        <v>15540036.397699751</v>
      </c>
      <c r="AZ1524" s="246">
        <f>IFERROR(VLOOKUP(J1524,VOL_REC[],2,FALSE),0)</f>
        <v>1812240</v>
      </c>
      <c r="BA1524" s="246">
        <f>IFERROR(VLOOKUP(K1524,VOL_REC[],2,FALSE),0)</f>
        <v>240696.79238099116</v>
      </c>
      <c r="BB1524" s="246">
        <f>IFERROR(VLOOKUP(L1524,VOL_REC[],2,FALSE),0)</f>
        <v>663244.80000000016</v>
      </c>
      <c r="BC1524" s="246">
        <f>IFERROR(VLOOKUP(M1524,VOL_REC[],2,FALSE),0)</f>
        <v>1072354.9981737854</v>
      </c>
      <c r="BD1524" s="246">
        <f>IFERROR(VLOOKUP(N1524,VOL_REC[],2,FALSE),0)</f>
        <v>0</v>
      </c>
      <c r="BE1524" s="246">
        <f>IFERROR(VLOOKUP(O1524,VOL_REC[],2,FALSE),0)</f>
        <v>0</v>
      </c>
      <c r="BF1524" s="246">
        <f>IFERROR(VLOOKUP(P1524,VOL_REC[],2,FALSE),0)</f>
        <v>0</v>
      </c>
      <c r="BG1524" s="246">
        <f>IFERROR(VLOOKUP(Q1524,VOL_REC[],2,FALSE),0)</f>
        <v>0</v>
      </c>
      <c r="BH1524" s="1710">
        <f t="shared" si="92"/>
        <v>28461301925.822952</v>
      </c>
      <c r="BI1524" s="1710">
        <f t="shared" si="93"/>
        <v>25148620858.368999</v>
      </c>
      <c r="BJ1524" s="1711">
        <f t="shared" si="94"/>
        <v>34833789.919476002</v>
      </c>
      <c r="BK1524" s="1711">
        <f t="shared" si="95"/>
        <v>1.1317241643631346</v>
      </c>
      <c r="BL1524">
        <f>BJ1524</f>
        <v>34833789.919476002</v>
      </c>
      <c r="BO1524">
        <f>BL1524</f>
        <v>34833789.919476002</v>
      </c>
    </row>
    <row r="1525" spans="3:67" x14ac:dyDescent="0.25">
      <c r="C1525" s="246" t="s">
        <v>2875</v>
      </c>
      <c r="D1525" s="246">
        <v>1</v>
      </c>
      <c r="E1525" s="246">
        <v>2</v>
      </c>
      <c r="F1525" s="246">
        <v>3</v>
      </c>
      <c r="G1525" s="246">
        <v>4</v>
      </c>
      <c r="H1525" s="246">
        <v>5</v>
      </c>
      <c r="I1525" s="246">
        <v>6</v>
      </c>
      <c r="J1525" s="246">
        <v>10</v>
      </c>
      <c r="K1525" s="246">
        <v>12</v>
      </c>
      <c r="L1525" s="246">
        <v>13</v>
      </c>
      <c r="M1525" s="246">
        <v>17</v>
      </c>
      <c r="N1525" s="246"/>
      <c r="O1525" s="246"/>
      <c r="P1525" s="246"/>
      <c r="Q1525" s="246"/>
      <c r="R1525" s="246">
        <f>IFERROR(VLOOKUP(D1525,PROGRAMAS[],2,FALSE),0)</f>
        <v>97037803.679377079</v>
      </c>
      <c r="S1525" s="246">
        <f>IFERROR(VLOOKUP(E1525,PROGRAMAS[],2,FALSE),0)</f>
        <v>640501509.6821388</v>
      </c>
      <c r="T1525" s="246">
        <f>IFERROR(VLOOKUP(F1525,PROGRAMAS[],2,FALSE),0)</f>
        <v>3062327798.1525245</v>
      </c>
      <c r="U1525" s="246">
        <f>IFERROR(VLOOKUP(G1525,PROGRAMAS[],2,FALSE),0)</f>
        <v>67697118.033011258</v>
      </c>
      <c r="V1525" s="246">
        <f>IFERROR(VLOOKUP(H1525,PROGRAMAS[],2,FALSE),0)</f>
        <v>1440941976.2528784</v>
      </c>
      <c r="W1525" s="246">
        <f>IFERROR(VLOOKUP(I1525,PROGRAMAS[],2,FALSE),0)</f>
        <v>6907648435.8447599</v>
      </c>
      <c r="X1525" s="246">
        <f>IFERROR(VLOOKUP(J1525,PROGRAMAS[],2,FALSE),0)</f>
        <v>4635315027.8751087</v>
      </c>
      <c r="Y1525" s="246">
        <f>IFERROR(VLOOKUP(K1525,PROGRAMAS[],2,FALSE),0)</f>
        <v>764796700.79905891</v>
      </c>
      <c r="Z1525" s="246">
        <f>IFERROR(VLOOKUP(L1525,PROGRAMAS[],2,FALSE),0)</f>
        <v>3776538594.4604583</v>
      </c>
      <c r="AA1525" s="246">
        <f>IFERROR(VLOOKUP(M1525,PROGRAMAS[],2,FALSE),0)</f>
        <v>1892779498.5211046</v>
      </c>
      <c r="AB1525" s="246">
        <f>IFERROR(VLOOKUP(N1525,PROGRAMAS[],2,FALSE),0)</f>
        <v>0</v>
      </c>
      <c r="AC1525" s="246">
        <f>IFERROR(VLOOKUP(O1525,PROGRAMAS[],2,FALSE),0)</f>
        <v>0</v>
      </c>
      <c r="AD1525" s="246">
        <f>IFERROR(VLOOKUP(P1525,PROGRAMAS[],2,FALSE),0)</f>
        <v>0</v>
      </c>
      <c r="AE1525" s="246">
        <f>IFERROR(VLOOKUP(Q1525,PROGRAMAS[],2,FALSE),0)</f>
        <v>0</v>
      </c>
      <c r="AF1525" s="246">
        <f>IFERROR(VLOOKUP(D1525,PROGRAMAS[],3,FALSE),0)</f>
        <v>841888629.31080008</v>
      </c>
      <c r="AG1525" s="246">
        <f>IFERROR(VLOOKUP(E1525,PROGRAMAS[],3,FALSE),0)</f>
        <v>3848980803.1642323</v>
      </c>
      <c r="AH1525" s="246">
        <f>IFERROR(VLOOKUP(F1525,PROGRAMAS[],3,FALSE),0)</f>
        <v>3394901471.387517</v>
      </c>
      <c r="AI1525" s="246">
        <f>IFERROR(VLOOKUP(G1525,PROGRAMAS[],3,FALSE),0)</f>
        <v>125317226.95549992</v>
      </c>
      <c r="AJ1525" s="246">
        <f>IFERROR(VLOOKUP(H1525,PROGRAMAS[],3,FALSE),0)</f>
        <v>1233505101.0616004</v>
      </c>
      <c r="AK1525" s="246">
        <f>IFERROR(VLOOKUP(I1525,PROGRAMAS[],3,FALSE),0)</f>
        <v>6129902208.7912121</v>
      </c>
      <c r="AL1525" s="246">
        <f>IFERROR(VLOOKUP(J1525,PROGRAMAS[],3,FALSE),0)</f>
        <v>4099471734.9978786</v>
      </c>
      <c r="AM1525" s="246">
        <f>IFERROR(VLOOKUP(K1525,PROGRAMAS[],3,FALSE),0)</f>
        <v>675517840.109828</v>
      </c>
      <c r="AN1525" s="246">
        <f>IFERROR(VLOOKUP(L1525,PROGRAMAS[],3,FALSE),0)</f>
        <v>2392571243.5584412</v>
      </c>
      <c r="AO1525" s="246">
        <f>IFERROR(VLOOKUP(M1525,PROGRAMAS[],3,FALSE),0)</f>
        <v>948595847.09039903</v>
      </c>
      <c r="AP1525" s="246">
        <f>IFERROR(VLOOKUP(N1525,PROGRAMAS[],3,FALSE),0)</f>
        <v>0</v>
      </c>
      <c r="AQ1525" s="246">
        <f>IFERROR(VLOOKUP(O1525,PROGRAMAS[],3,FALSE),0)</f>
        <v>0</v>
      </c>
      <c r="AR1525" s="246">
        <f>IFERROR(VLOOKUP(P1525,PROGRAMAS[],3,FALSE),0)</f>
        <v>0</v>
      </c>
      <c r="AS1525" s="246">
        <f>IFERROR(VLOOKUP(Q1525,PROGRAMAS[],3,FALSE),0)</f>
        <v>0</v>
      </c>
      <c r="AT1525" s="246">
        <f>IFERROR(VLOOKUP(D1525,VOL_REC[],2,FALSE),0)</f>
        <v>0</v>
      </c>
      <c r="AU1525" s="246">
        <f>IFERROR(VLOOKUP(E1525,VOL_REC[],2,FALSE),0)</f>
        <v>0</v>
      </c>
      <c r="AV1525" s="246">
        <f>IFERROR(VLOOKUP(F1525,VOL_REC[],2,FALSE),0)</f>
        <v>11089674.200000001</v>
      </c>
      <c r="AW1525" s="246">
        <f>IFERROR(VLOOKUP(G1525,VOL_REC[],2,FALSE),0)</f>
        <v>90439.55</v>
      </c>
      <c r="AX1525" s="246">
        <f>IFERROR(VLOOKUP(H1525,VOL_REC[],2,FALSE),0)</f>
        <v>4325103.1812214684</v>
      </c>
      <c r="AY1525" s="246">
        <f>IFERROR(VLOOKUP(I1525,VOL_REC[],2,FALSE),0)</f>
        <v>15540036.397699751</v>
      </c>
      <c r="AZ1525" s="246">
        <f>IFERROR(VLOOKUP(J1525,VOL_REC[],2,FALSE),0)</f>
        <v>1812240</v>
      </c>
      <c r="BA1525" s="246">
        <f>IFERROR(VLOOKUP(K1525,VOL_REC[],2,FALSE),0)</f>
        <v>240696.79238099116</v>
      </c>
      <c r="BB1525" s="246">
        <f>IFERROR(VLOOKUP(L1525,VOL_REC[],2,FALSE),0)</f>
        <v>663244.80000000016</v>
      </c>
      <c r="BC1525" s="246">
        <f>IFERROR(VLOOKUP(M1525,VOL_REC[],2,FALSE),0)</f>
        <v>740113.98115702497</v>
      </c>
      <c r="BD1525" s="246">
        <f>IFERROR(VLOOKUP(N1525,VOL_REC[],2,FALSE),0)</f>
        <v>0</v>
      </c>
      <c r="BE1525" s="246">
        <f>IFERROR(VLOOKUP(O1525,VOL_REC[],2,FALSE),0)</f>
        <v>0</v>
      </c>
      <c r="BF1525" s="246">
        <f>IFERROR(VLOOKUP(P1525,VOL_REC[],2,FALSE),0)</f>
        <v>0</v>
      </c>
      <c r="BG1525" s="246">
        <f>IFERROR(VLOOKUP(Q1525,VOL_REC[],2,FALSE),0)</f>
        <v>0</v>
      </c>
      <c r="BH1525" s="1710">
        <f t="shared" si="92"/>
        <v>23285584463.300419</v>
      </c>
      <c r="BI1525" s="1710">
        <f t="shared" si="93"/>
        <v>23690652106.42741</v>
      </c>
      <c r="BJ1525" s="1711">
        <f t="shared" si="94"/>
        <v>34501548.902459241</v>
      </c>
      <c r="BK1525" s="1711">
        <f t="shared" si="95"/>
        <v>0.98290179428969393</v>
      </c>
    </row>
    <row r="1526" spans="3:67" x14ac:dyDescent="0.25">
      <c r="C1526" s="246" t="s">
        <v>2876</v>
      </c>
      <c r="D1526" s="246">
        <v>1</v>
      </c>
      <c r="E1526" s="246">
        <v>2</v>
      </c>
      <c r="F1526" s="246">
        <v>3</v>
      </c>
      <c r="G1526" s="246">
        <v>4</v>
      </c>
      <c r="H1526" s="246">
        <v>5</v>
      </c>
      <c r="I1526" s="246">
        <v>6</v>
      </c>
      <c r="J1526" s="246">
        <v>10</v>
      </c>
      <c r="K1526" s="246">
        <v>12</v>
      </c>
      <c r="L1526" s="246">
        <v>14</v>
      </c>
      <c r="M1526" s="246">
        <v>15</v>
      </c>
      <c r="N1526" s="246"/>
      <c r="O1526" s="246"/>
      <c r="P1526" s="246"/>
      <c r="Q1526" s="246"/>
      <c r="R1526" s="246">
        <f>IFERROR(VLOOKUP(D1526,PROGRAMAS[],2,FALSE),0)</f>
        <v>97037803.679377079</v>
      </c>
      <c r="S1526" s="246">
        <f>IFERROR(VLOOKUP(E1526,PROGRAMAS[],2,FALSE),0)</f>
        <v>640501509.6821388</v>
      </c>
      <c r="T1526" s="246">
        <f>IFERROR(VLOOKUP(F1526,PROGRAMAS[],2,FALSE),0)</f>
        <v>3062327798.1525245</v>
      </c>
      <c r="U1526" s="246">
        <f>IFERROR(VLOOKUP(G1526,PROGRAMAS[],2,FALSE),0)</f>
        <v>67697118.033011258</v>
      </c>
      <c r="V1526" s="246">
        <f>IFERROR(VLOOKUP(H1526,PROGRAMAS[],2,FALSE),0)</f>
        <v>1440941976.2528784</v>
      </c>
      <c r="W1526" s="246">
        <f>IFERROR(VLOOKUP(I1526,PROGRAMAS[],2,FALSE),0)</f>
        <v>6907648435.8447599</v>
      </c>
      <c r="X1526" s="246">
        <f>IFERROR(VLOOKUP(J1526,PROGRAMAS[],2,FALSE),0)</f>
        <v>4635315027.8751087</v>
      </c>
      <c r="Y1526" s="246">
        <f>IFERROR(VLOOKUP(K1526,PROGRAMAS[],2,FALSE),0)</f>
        <v>764796700.79905891</v>
      </c>
      <c r="Z1526" s="246">
        <f>IFERROR(VLOOKUP(L1526,PROGRAMAS[],2,FALSE),0)</f>
        <v>54223862.645839565</v>
      </c>
      <c r="AA1526" s="246">
        <f>IFERROR(VLOOKUP(M1526,PROGRAMAS[],2,FALSE),0)</f>
        <v>122159672.96346797</v>
      </c>
      <c r="AB1526" s="246">
        <f>IFERROR(VLOOKUP(N1526,PROGRAMAS[],2,FALSE),0)</f>
        <v>0</v>
      </c>
      <c r="AC1526" s="246">
        <f>IFERROR(VLOOKUP(O1526,PROGRAMAS[],2,FALSE),0)</f>
        <v>0</v>
      </c>
      <c r="AD1526" s="246">
        <f>IFERROR(VLOOKUP(P1526,PROGRAMAS[],2,FALSE),0)</f>
        <v>0</v>
      </c>
      <c r="AE1526" s="246">
        <f>IFERROR(VLOOKUP(Q1526,PROGRAMAS[],2,FALSE),0)</f>
        <v>0</v>
      </c>
      <c r="AF1526" s="246">
        <f>IFERROR(VLOOKUP(D1526,PROGRAMAS[],3,FALSE),0)</f>
        <v>841888629.31080008</v>
      </c>
      <c r="AG1526" s="246">
        <f>IFERROR(VLOOKUP(E1526,PROGRAMAS[],3,FALSE),0)</f>
        <v>3848980803.1642323</v>
      </c>
      <c r="AH1526" s="246">
        <f>IFERROR(VLOOKUP(F1526,PROGRAMAS[],3,FALSE),0)</f>
        <v>3394901471.387517</v>
      </c>
      <c r="AI1526" s="246">
        <f>IFERROR(VLOOKUP(G1526,PROGRAMAS[],3,FALSE),0)</f>
        <v>125317226.95549992</v>
      </c>
      <c r="AJ1526" s="246">
        <f>IFERROR(VLOOKUP(H1526,PROGRAMAS[],3,FALSE),0)</f>
        <v>1233505101.0616004</v>
      </c>
      <c r="AK1526" s="246">
        <f>IFERROR(VLOOKUP(I1526,PROGRAMAS[],3,FALSE),0)</f>
        <v>6129902208.7912121</v>
      </c>
      <c r="AL1526" s="246">
        <f>IFERROR(VLOOKUP(J1526,PROGRAMAS[],3,FALSE),0)</f>
        <v>4099471734.9978786</v>
      </c>
      <c r="AM1526" s="246">
        <f>IFERROR(VLOOKUP(K1526,PROGRAMAS[],3,FALSE),0)</f>
        <v>675517840.109828</v>
      </c>
      <c r="AN1526" s="246">
        <f>IFERROR(VLOOKUP(L1526,PROGRAMAS[],3,FALSE),0)</f>
        <v>31865326.38096505</v>
      </c>
      <c r="AO1526" s="246">
        <f>IFERROR(VLOOKUP(M1526,PROGRAMAS[],3,FALSE),0)</f>
        <v>118617452.52510804</v>
      </c>
      <c r="AP1526" s="246">
        <f>IFERROR(VLOOKUP(N1526,PROGRAMAS[],3,FALSE),0)</f>
        <v>0</v>
      </c>
      <c r="AQ1526" s="246">
        <f>IFERROR(VLOOKUP(O1526,PROGRAMAS[],3,FALSE),0)</f>
        <v>0</v>
      </c>
      <c r="AR1526" s="246">
        <f>IFERROR(VLOOKUP(P1526,PROGRAMAS[],3,FALSE),0)</f>
        <v>0</v>
      </c>
      <c r="AS1526" s="246">
        <f>IFERROR(VLOOKUP(Q1526,PROGRAMAS[],3,FALSE),0)</f>
        <v>0</v>
      </c>
      <c r="AT1526" s="246">
        <f>IFERROR(VLOOKUP(D1526,VOL_REC[],2,FALSE),0)</f>
        <v>0</v>
      </c>
      <c r="AU1526" s="246">
        <f>IFERROR(VLOOKUP(E1526,VOL_REC[],2,FALSE),0)</f>
        <v>0</v>
      </c>
      <c r="AV1526" s="246">
        <f>IFERROR(VLOOKUP(F1526,VOL_REC[],2,FALSE),0)</f>
        <v>11089674.200000001</v>
      </c>
      <c r="AW1526" s="246">
        <f>IFERROR(VLOOKUP(G1526,VOL_REC[],2,FALSE),0)</f>
        <v>90439.55</v>
      </c>
      <c r="AX1526" s="246">
        <f>IFERROR(VLOOKUP(H1526,VOL_REC[],2,FALSE),0)</f>
        <v>4325103.1812214684</v>
      </c>
      <c r="AY1526" s="246">
        <f>IFERROR(VLOOKUP(I1526,VOL_REC[],2,FALSE),0)</f>
        <v>15540036.397699751</v>
      </c>
      <c r="AZ1526" s="246">
        <f>IFERROR(VLOOKUP(J1526,VOL_REC[],2,FALSE),0)</f>
        <v>1812240</v>
      </c>
      <c r="BA1526" s="246">
        <f>IFERROR(VLOOKUP(K1526,VOL_REC[],2,FALSE),0)</f>
        <v>240696.79238099116</v>
      </c>
      <c r="BB1526" s="246">
        <f>IFERROR(VLOOKUP(L1526,VOL_REC[],2,FALSE),0)</f>
        <v>17074.045034105649</v>
      </c>
      <c r="BC1526" s="246">
        <f>IFERROR(VLOOKUP(M1526,VOL_REC[],2,FALSE),0)</f>
        <v>105072</v>
      </c>
      <c r="BD1526" s="246">
        <f>IFERROR(VLOOKUP(N1526,VOL_REC[],2,FALSE),0)</f>
        <v>0</v>
      </c>
      <c r="BE1526" s="246">
        <f>IFERROR(VLOOKUP(O1526,VOL_REC[],2,FALSE),0)</f>
        <v>0</v>
      </c>
      <c r="BF1526" s="246">
        <f>IFERROR(VLOOKUP(P1526,VOL_REC[],2,FALSE),0)</f>
        <v>0</v>
      </c>
      <c r="BG1526" s="246">
        <f>IFERROR(VLOOKUP(Q1526,VOL_REC[],2,FALSE),0)</f>
        <v>0</v>
      </c>
      <c r="BH1526" s="1710">
        <f t="shared" si="92"/>
        <v>17792649905.928165</v>
      </c>
      <c r="BI1526" s="1710">
        <f t="shared" si="93"/>
        <v>20499967794.684643</v>
      </c>
      <c r="BJ1526" s="1711">
        <f t="shared" si="94"/>
        <v>33220336.16633632</v>
      </c>
      <c r="BK1526" s="1711">
        <f t="shared" si="95"/>
        <v>0.8679355052714548</v>
      </c>
    </row>
    <row r="1527" spans="3:67" x14ac:dyDescent="0.25">
      <c r="C1527" s="246" t="s">
        <v>2877</v>
      </c>
      <c r="D1527" s="246">
        <v>1</v>
      </c>
      <c r="E1527" s="246">
        <v>2</v>
      </c>
      <c r="F1527" s="246">
        <v>3</v>
      </c>
      <c r="G1527" s="246">
        <v>4</v>
      </c>
      <c r="H1527" s="246">
        <v>5</v>
      </c>
      <c r="I1527" s="246">
        <v>6</v>
      </c>
      <c r="J1527" s="246">
        <v>10</v>
      </c>
      <c r="K1527" s="246">
        <v>12</v>
      </c>
      <c r="L1527" s="246">
        <v>14</v>
      </c>
      <c r="M1527" s="246">
        <v>16</v>
      </c>
      <c r="N1527" s="246"/>
      <c r="O1527" s="246"/>
      <c r="P1527" s="246"/>
      <c r="Q1527" s="246"/>
      <c r="R1527" s="246">
        <f>IFERROR(VLOOKUP(D1527,PROGRAMAS[],2,FALSE),0)</f>
        <v>97037803.679377079</v>
      </c>
      <c r="S1527" s="246">
        <f>IFERROR(VLOOKUP(E1527,PROGRAMAS[],2,FALSE),0)</f>
        <v>640501509.6821388</v>
      </c>
      <c r="T1527" s="246">
        <f>IFERROR(VLOOKUP(F1527,PROGRAMAS[],2,FALSE),0)</f>
        <v>3062327798.1525245</v>
      </c>
      <c r="U1527" s="246">
        <f>IFERROR(VLOOKUP(G1527,PROGRAMAS[],2,FALSE),0)</f>
        <v>67697118.033011258</v>
      </c>
      <c r="V1527" s="246">
        <f>IFERROR(VLOOKUP(H1527,PROGRAMAS[],2,FALSE),0)</f>
        <v>1440941976.2528784</v>
      </c>
      <c r="W1527" s="246">
        <f>IFERROR(VLOOKUP(I1527,PROGRAMAS[],2,FALSE),0)</f>
        <v>6907648435.8447599</v>
      </c>
      <c r="X1527" s="246">
        <f>IFERROR(VLOOKUP(J1527,PROGRAMAS[],2,FALSE),0)</f>
        <v>4635315027.8751087</v>
      </c>
      <c r="Y1527" s="246">
        <f>IFERROR(VLOOKUP(K1527,PROGRAMAS[],2,FALSE),0)</f>
        <v>764796700.79905891</v>
      </c>
      <c r="Z1527" s="246">
        <f>IFERROR(VLOOKUP(L1527,PROGRAMAS[],2,FALSE),0)</f>
        <v>54223862.645839565</v>
      </c>
      <c r="AA1527" s="246">
        <f>IFERROR(VLOOKUP(M1527,PROGRAMAS[],2,FALSE),0)</f>
        <v>7068496961.0436354</v>
      </c>
      <c r="AB1527" s="246">
        <f>IFERROR(VLOOKUP(N1527,PROGRAMAS[],2,FALSE),0)</f>
        <v>0</v>
      </c>
      <c r="AC1527" s="246">
        <f>IFERROR(VLOOKUP(O1527,PROGRAMAS[],2,FALSE),0)</f>
        <v>0</v>
      </c>
      <c r="AD1527" s="246">
        <f>IFERROR(VLOOKUP(P1527,PROGRAMAS[],2,FALSE),0)</f>
        <v>0</v>
      </c>
      <c r="AE1527" s="246">
        <f>IFERROR(VLOOKUP(Q1527,PROGRAMAS[],2,FALSE),0)</f>
        <v>0</v>
      </c>
      <c r="AF1527" s="246">
        <f>IFERROR(VLOOKUP(D1527,PROGRAMAS[],3,FALSE),0)</f>
        <v>841888629.31080008</v>
      </c>
      <c r="AG1527" s="246">
        <f>IFERROR(VLOOKUP(E1527,PROGRAMAS[],3,FALSE),0)</f>
        <v>3848980803.1642323</v>
      </c>
      <c r="AH1527" s="246">
        <f>IFERROR(VLOOKUP(F1527,PROGRAMAS[],3,FALSE),0)</f>
        <v>3394901471.387517</v>
      </c>
      <c r="AI1527" s="246">
        <f>IFERROR(VLOOKUP(G1527,PROGRAMAS[],3,FALSE),0)</f>
        <v>125317226.95549992</v>
      </c>
      <c r="AJ1527" s="246">
        <f>IFERROR(VLOOKUP(H1527,PROGRAMAS[],3,FALSE),0)</f>
        <v>1233505101.0616004</v>
      </c>
      <c r="AK1527" s="246">
        <f>IFERROR(VLOOKUP(I1527,PROGRAMAS[],3,FALSE),0)</f>
        <v>6129902208.7912121</v>
      </c>
      <c r="AL1527" s="246">
        <f>IFERROR(VLOOKUP(J1527,PROGRAMAS[],3,FALSE),0)</f>
        <v>4099471734.9978786</v>
      </c>
      <c r="AM1527" s="246">
        <f>IFERROR(VLOOKUP(K1527,PROGRAMAS[],3,FALSE),0)</f>
        <v>675517840.109828</v>
      </c>
      <c r="AN1527" s="246">
        <f>IFERROR(VLOOKUP(L1527,PROGRAMAS[],3,FALSE),0)</f>
        <v>31865326.38096505</v>
      </c>
      <c r="AO1527" s="246">
        <f>IFERROR(VLOOKUP(M1527,PROGRAMAS[],3,FALSE),0)</f>
        <v>2406564599.0319901</v>
      </c>
      <c r="AP1527" s="246">
        <f>IFERROR(VLOOKUP(N1527,PROGRAMAS[],3,FALSE),0)</f>
        <v>0</v>
      </c>
      <c r="AQ1527" s="246">
        <f>IFERROR(VLOOKUP(O1527,PROGRAMAS[],3,FALSE),0)</f>
        <v>0</v>
      </c>
      <c r="AR1527" s="246">
        <f>IFERROR(VLOOKUP(P1527,PROGRAMAS[],3,FALSE),0)</f>
        <v>0</v>
      </c>
      <c r="AS1527" s="246">
        <f>IFERROR(VLOOKUP(Q1527,PROGRAMAS[],3,FALSE),0)</f>
        <v>0</v>
      </c>
      <c r="AT1527" s="246">
        <f>IFERROR(VLOOKUP(D1527,VOL_REC[],2,FALSE),0)</f>
        <v>0</v>
      </c>
      <c r="AU1527" s="246">
        <f>IFERROR(VLOOKUP(E1527,VOL_REC[],2,FALSE),0)</f>
        <v>0</v>
      </c>
      <c r="AV1527" s="246">
        <f>IFERROR(VLOOKUP(F1527,VOL_REC[],2,FALSE),0)</f>
        <v>11089674.200000001</v>
      </c>
      <c r="AW1527" s="246">
        <f>IFERROR(VLOOKUP(G1527,VOL_REC[],2,FALSE),0)</f>
        <v>90439.55</v>
      </c>
      <c r="AX1527" s="246">
        <f>IFERROR(VLOOKUP(H1527,VOL_REC[],2,FALSE),0)</f>
        <v>4325103.1812214684</v>
      </c>
      <c r="AY1527" s="246">
        <f>IFERROR(VLOOKUP(I1527,VOL_REC[],2,FALSE),0)</f>
        <v>15540036.397699751</v>
      </c>
      <c r="AZ1527" s="246">
        <f>IFERROR(VLOOKUP(J1527,VOL_REC[],2,FALSE),0)</f>
        <v>1812240</v>
      </c>
      <c r="BA1527" s="246">
        <f>IFERROR(VLOOKUP(K1527,VOL_REC[],2,FALSE),0)</f>
        <v>240696.79238099116</v>
      </c>
      <c r="BB1527" s="246">
        <f>IFERROR(VLOOKUP(L1527,VOL_REC[],2,FALSE),0)</f>
        <v>17074.045034105649</v>
      </c>
      <c r="BC1527" s="246">
        <f>IFERROR(VLOOKUP(M1527,VOL_REC[],2,FALSE),0)</f>
        <v>1072354.9981737854</v>
      </c>
      <c r="BD1527" s="246">
        <f>IFERROR(VLOOKUP(N1527,VOL_REC[],2,FALSE),0)</f>
        <v>0</v>
      </c>
      <c r="BE1527" s="246">
        <f>IFERROR(VLOOKUP(O1527,VOL_REC[],2,FALSE),0)</f>
        <v>0</v>
      </c>
      <c r="BF1527" s="246">
        <f>IFERROR(VLOOKUP(P1527,VOL_REC[],2,FALSE),0)</f>
        <v>0</v>
      </c>
      <c r="BG1527" s="246">
        <f>IFERROR(VLOOKUP(Q1527,VOL_REC[],2,FALSE),0)</f>
        <v>0</v>
      </c>
      <c r="BH1527" s="1710">
        <f t="shared" si="92"/>
        <v>24738987194.008335</v>
      </c>
      <c r="BI1527" s="1710">
        <f t="shared" si="93"/>
        <v>22787914941.191525</v>
      </c>
      <c r="BJ1527" s="1711">
        <f t="shared" si="94"/>
        <v>34187619.164510109</v>
      </c>
      <c r="BK1527" s="1711">
        <f t="shared" si="95"/>
        <v>1.0856187263227863</v>
      </c>
      <c r="BL1527">
        <f>BJ1527</f>
        <v>34187619.164510109</v>
      </c>
      <c r="BO1527">
        <f>BL1527</f>
        <v>34187619.164510109</v>
      </c>
    </row>
    <row r="1528" spans="3:67" x14ac:dyDescent="0.25">
      <c r="C1528" s="246" t="s">
        <v>2878</v>
      </c>
      <c r="D1528" s="246">
        <v>1</v>
      </c>
      <c r="E1528" s="246">
        <v>2</v>
      </c>
      <c r="F1528" s="246">
        <v>3</v>
      </c>
      <c r="G1528" s="246">
        <v>4</v>
      </c>
      <c r="H1528" s="246">
        <v>5</v>
      </c>
      <c r="I1528" s="246">
        <v>6</v>
      </c>
      <c r="J1528" s="246">
        <v>10</v>
      </c>
      <c r="K1528" s="246">
        <v>12</v>
      </c>
      <c r="L1528" s="246">
        <v>14</v>
      </c>
      <c r="M1528" s="246">
        <v>17</v>
      </c>
      <c r="N1528" s="246"/>
      <c r="O1528" s="246"/>
      <c r="P1528" s="246"/>
      <c r="Q1528" s="246"/>
      <c r="R1528" s="246">
        <f>IFERROR(VLOOKUP(D1528,PROGRAMAS[],2,FALSE),0)</f>
        <v>97037803.679377079</v>
      </c>
      <c r="S1528" s="246">
        <f>IFERROR(VLOOKUP(E1528,PROGRAMAS[],2,FALSE),0)</f>
        <v>640501509.6821388</v>
      </c>
      <c r="T1528" s="246">
        <f>IFERROR(VLOOKUP(F1528,PROGRAMAS[],2,FALSE),0)</f>
        <v>3062327798.1525245</v>
      </c>
      <c r="U1528" s="246">
        <f>IFERROR(VLOOKUP(G1528,PROGRAMAS[],2,FALSE),0)</f>
        <v>67697118.033011258</v>
      </c>
      <c r="V1528" s="246">
        <f>IFERROR(VLOOKUP(H1528,PROGRAMAS[],2,FALSE),0)</f>
        <v>1440941976.2528784</v>
      </c>
      <c r="W1528" s="246">
        <f>IFERROR(VLOOKUP(I1528,PROGRAMAS[],2,FALSE),0)</f>
        <v>6907648435.8447599</v>
      </c>
      <c r="X1528" s="246">
        <f>IFERROR(VLOOKUP(J1528,PROGRAMAS[],2,FALSE),0)</f>
        <v>4635315027.8751087</v>
      </c>
      <c r="Y1528" s="246">
        <f>IFERROR(VLOOKUP(K1528,PROGRAMAS[],2,FALSE),0)</f>
        <v>764796700.79905891</v>
      </c>
      <c r="Z1528" s="246">
        <f>IFERROR(VLOOKUP(L1528,PROGRAMAS[],2,FALSE),0)</f>
        <v>54223862.645839565</v>
      </c>
      <c r="AA1528" s="246">
        <f>IFERROR(VLOOKUP(M1528,PROGRAMAS[],2,FALSE),0)</f>
        <v>1892779498.5211046</v>
      </c>
      <c r="AB1528" s="246">
        <f>IFERROR(VLOOKUP(N1528,PROGRAMAS[],2,FALSE),0)</f>
        <v>0</v>
      </c>
      <c r="AC1528" s="246">
        <f>IFERROR(VLOOKUP(O1528,PROGRAMAS[],2,FALSE),0)</f>
        <v>0</v>
      </c>
      <c r="AD1528" s="246">
        <f>IFERROR(VLOOKUP(P1528,PROGRAMAS[],2,FALSE),0)</f>
        <v>0</v>
      </c>
      <c r="AE1528" s="246">
        <f>IFERROR(VLOOKUP(Q1528,PROGRAMAS[],2,FALSE),0)</f>
        <v>0</v>
      </c>
      <c r="AF1528" s="246">
        <f>IFERROR(VLOOKUP(D1528,PROGRAMAS[],3,FALSE),0)</f>
        <v>841888629.31080008</v>
      </c>
      <c r="AG1528" s="246">
        <f>IFERROR(VLOOKUP(E1528,PROGRAMAS[],3,FALSE),0)</f>
        <v>3848980803.1642323</v>
      </c>
      <c r="AH1528" s="246">
        <f>IFERROR(VLOOKUP(F1528,PROGRAMAS[],3,FALSE),0)</f>
        <v>3394901471.387517</v>
      </c>
      <c r="AI1528" s="246">
        <f>IFERROR(VLOOKUP(G1528,PROGRAMAS[],3,FALSE),0)</f>
        <v>125317226.95549992</v>
      </c>
      <c r="AJ1528" s="246">
        <f>IFERROR(VLOOKUP(H1528,PROGRAMAS[],3,FALSE),0)</f>
        <v>1233505101.0616004</v>
      </c>
      <c r="AK1528" s="246">
        <f>IFERROR(VLOOKUP(I1528,PROGRAMAS[],3,FALSE),0)</f>
        <v>6129902208.7912121</v>
      </c>
      <c r="AL1528" s="246">
        <f>IFERROR(VLOOKUP(J1528,PROGRAMAS[],3,FALSE),0)</f>
        <v>4099471734.9978786</v>
      </c>
      <c r="AM1528" s="246">
        <f>IFERROR(VLOOKUP(K1528,PROGRAMAS[],3,FALSE),0)</f>
        <v>675517840.109828</v>
      </c>
      <c r="AN1528" s="246">
        <f>IFERROR(VLOOKUP(L1528,PROGRAMAS[],3,FALSE),0)</f>
        <v>31865326.38096505</v>
      </c>
      <c r="AO1528" s="246">
        <f>IFERROR(VLOOKUP(M1528,PROGRAMAS[],3,FALSE),0)</f>
        <v>948595847.09039903</v>
      </c>
      <c r="AP1528" s="246">
        <f>IFERROR(VLOOKUP(N1528,PROGRAMAS[],3,FALSE),0)</f>
        <v>0</v>
      </c>
      <c r="AQ1528" s="246">
        <f>IFERROR(VLOOKUP(O1528,PROGRAMAS[],3,FALSE),0)</f>
        <v>0</v>
      </c>
      <c r="AR1528" s="246">
        <f>IFERROR(VLOOKUP(P1528,PROGRAMAS[],3,FALSE),0)</f>
        <v>0</v>
      </c>
      <c r="AS1528" s="246">
        <f>IFERROR(VLOOKUP(Q1528,PROGRAMAS[],3,FALSE),0)</f>
        <v>0</v>
      </c>
      <c r="AT1528" s="246">
        <f>IFERROR(VLOOKUP(D1528,VOL_REC[],2,FALSE),0)</f>
        <v>0</v>
      </c>
      <c r="AU1528" s="246">
        <f>IFERROR(VLOOKUP(E1528,VOL_REC[],2,FALSE),0)</f>
        <v>0</v>
      </c>
      <c r="AV1528" s="246">
        <f>IFERROR(VLOOKUP(F1528,VOL_REC[],2,FALSE),0)</f>
        <v>11089674.200000001</v>
      </c>
      <c r="AW1528" s="246">
        <f>IFERROR(VLOOKUP(G1528,VOL_REC[],2,FALSE),0)</f>
        <v>90439.55</v>
      </c>
      <c r="AX1528" s="246">
        <f>IFERROR(VLOOKUP(H1528,VOL_REC[],2,FALSE),0)</f>
        <v>4325103.1812214684</v>
      </c>
      <c r="AY1528" s="246">
        <f>IFERROR(VLOOKUP(I1528,VOL_REC[],2,FALSE),0)</f>
        <v>15540036.397699751</v>
      </c>
      <c r="AZ1528" s="246">
        <f>IFERROR(VLOOKUP(J1528,VOL_REC[],2,FALSE),0)</f>
        <v>1812240</v>
      </c>
      <c r="BA1528" s="246">
        <f>IFERROR(VLOOKUP(K1528,VOL_REC[],2,FALSE),0)</f>
        <v>240696.79238099116</v>
      </c>
      <c r="BB1528" s="246">
        <f>IFERROR(VLOOKUP(L1528,VOL_REC[],2,FALSE),0)</f>
        <v>17074.045034105649</v>
      </c>
      <c r="BC1528" s="246">
        <f>IFERROR(VLOOKUP(M1528,VOL_REC[],2,FALSE),0)</f>
        <v>740113.98115702497</v>
      </c>
      <c r="BD1528" s="246">
        <f>IFERROR(VLOOKUP(N1528,VOL_REC[],2,FALSE),0)</f>
        <v>0</v>
      </c>
      <c r="BE1528" s="246">
        <f>IFERROR(VLOOKUP(O1528,VOL_REC[],2,FALSE),0)</f>
        <v>0</v>
      </c>
      <c r="BF1528" s="246">
        <f>IFERROR(VLOOKUP(P1528,VOL_REC[],2,FALSE),0)</f>
        <v>0</v>
      </c>
      <c r="BG1528" s="246">
        <f>IFERROR(VLOOKUP(Q1528,VOL_REC[],2,FALSE),0)</f>
        <v>0</v>
      </c>
      <c r="BH1528" s="1710">
        <f t="shared" si="92"/>
        <v>19563269731.485802</v>
      </c>
      <c r="BI1528" s="1710">
        <f t="shared" si="93"/>
        <v>21329946189.249935</v>
      </c>
      <c r="BJ1528" s="1711">
        <f t="shared" si="94"/>
        <v>33855378.147493348</v>
      </c>
      <c r="BK1528" s="1711">
        <f t="shared" si="95"/>
        <v>0.91717389054387211</v>
      </c>
    </row>
    <row r="1529" spans="3:67" x14ac:dyDescent="0.25">
      <c r="C1529" s="246" t="s">
        <v>2879</v>
      </c>
      <c r="D1529" s="246">
        <v>1</v>
      </c>
      <c r="E1529" s="246">
        <v>2</v>
      </c>
      <c r="F1529" s="246">
        <v>3</v>
      </c>
      <c r="G1529" s="246">
        <v>4</v>
      </c>
      <c r="H1529" s="246">
        <v>5</v>
      </c>
      <c r="I1529" s="246">
        <v>6</v>
      </c>
      <c r="J1529" s="246">
        <v>10</v>
      </c>
      <c r="K1529" s="246">
        <v>12</v>
      </c>
      <c r="L1529" s="246">
        <v>15</v>
      </c>
      <c r="M1529" s="246">
        <v>16</v>
      </c>
      <c r="N1529" s="246"/>
      <c r="O1529" s="246"/>
      <c r="P1529" s="246"/>
      <c r="Q1529" s="246"/>
      <c r="R1529" s="246">
        <f>IFERROR(VLOOKUP(D1529,PROGRAMAS[],2,FALSE),0)</f>
        <v>97037803.679377079</v>
      </c>
      <c r="S1529" s="246">
        <f>IFERROR(VLOOKUP(E1529,PROGRAMAS[],2,FALSE),0)</f>
        <v>640501509.6821388</v>
      </c>
      <c r="T1529" s="246">
        <f>IFERROR(VLOOKUP(F1529,PROGRAMAS[],2,FALSE),0)</f>
        <v>3062327798.1525245</v>
      </c>
      <c r="U1529" s="246">
        <f>IFERROR(VLOOKUP(G1529,PROGRAMAS[],2,FALSE),0)</f>
        <v>67697118.033011258</v>
      </c>
      <c r="V1529" s="246">
        <f>IFERROR(VLOOKUP(H1529,PROGRAMAS[],2,FALSE),0)</f>
        <v>1440941976.2528784</v>
      </c>
      <c r="W1529" s="246">
        <f>IFERROR(VLOOKUP(I1529,PROGRAMAS[],2,FALSE),0)</f>
        <v>6907648435.8447599</v>
      </c>
      <c r="X1529" s="246">
        <f>IFERROR(VLOOKUP(J1529,PROGRAMAS[],2,FALSE),0)</f>
        <v>4635315027.8751087</v>
      </c>
      <c r="Y1529" s="246">
        <f>IFERROR(VLOOKUP(K1529,PROGRAMAS[],2,FALSE),0)</f>
        <v>764796700.79905891</v>
      </c>
      <c r="Z1529" s="246">
        <f>IFERROR(VLOOKUP(L1529,PROGRAMAS[],2,FALSE),0)</f>
        <v>122159672.96346797</v>
      </c>
      <c r="AA1529" s="246">
        <f>IFERROR(VLOOKUP(M1529,PROGRAMAS[],2,FALSE),0)</f>
        <v>7068496961.0436354</v>
      </c>
      <c r="AB1529" s="246">
        <f>IFERROR(VLOOKUP(N1529,PROGRAMAS[],2,FALSE),0)</f>
        <v>0</v>
      </c>
      <c r="AC1529" s="246">
        <f>IFERROR(VLOOKUP(O1529,PROGRAMAS[],2,FALSE),0)</f>
        <v>0</v>
      </c>
      <c r="AD1529" s="246">
        <f>IFERROR(VLOOKUP(P1529,PROGRAMAS[],2,FALSE),0)</f>
        <v>0</v>
      </c>
      <c r="AE1529" s="246">
        <f>IFERROR(VLOOKUP(Q1529,PROGRAMAS[],2,FALSE),0)</f>
        <v>0</v>
      </c>
      <c r="AF1529" s="246">
        <f>IFERROR(VLOOKUP(D1529,PROGRAMAS[],3,FALSE),0)</f>
        <v>841888629.31080008</v>
      </c>
      <c r="AG1529" s="246">
        <f>IFERROR(VLOOKUP(E1529,PROGRAMAS[],3,FALSE),0)</f>
        <v>3848980803.1642323</v>
      </c>
      <c r="AH1529" s="246">
        <f>IFERROR(VLOOKUP(F1529,PROGRAMAS[],3,FALSE),0)</f>
        <v>3394901471.387517</v>
      </c>
      <c r="AI1529" s="246">
        <f>IFERROR(VLOOKUP(G1529,PROGRAMAS[],3,FALSE),0)</f>
        <v>125317226.95549992</v>
      </c>
      <c r="AJ1529" s="246">
        <f>IFERROR(VLOOKUP(H1529,PROGRAMAS[],3,FALSE),0)</f>
        <v>1233505101.0616004</v>
      </c>
      <c r="AK1529" s="246">
        <f>IFERROR(VLOOKUP(I1529,PROGRAMAS[],3,FALSE),0)</f>
        <v>6129902208.7912121</v>
      </c>
      <c r="AL1529" s="246">
        <f>IFERROR(VLOOKUP(J1529,PROGRAMAS[],3,FALSE),0)</f>
        <v>4099471734.9978786</v>
      </c>
      <c r="AM1529" s="246">
        <f>IFERROR(VLOOKUP(K1529,PROGRAMAS[],3,FALSE),0)</f>
        <v>675517840.109828</v>
      </c>
      <c r="AN1529" s="246">
        <f>IFERROR(VLOOKUP(L1529,PROGRAMAS[],3,FALSE),0)</f>
        <v>118617452.52510804</v>
      </c>
      <c r="AO1529" s="246">
        <f>IFERROR(VLOOKUP(M1529,PROGRAMAS[],3,FALSE),0)</f>
        <v>2406564599.0319901</v>
      </c>
      <c r="AP1529" s="246">
        <f>IFERROR(VLOOKUP(N1529,PROGRAMAS[],3,FALSE),0)</f>
        <v>0</v>
      </c>
      <c r="AQ1529" s="246">
        <f>IFERROR(VLOOKUP(O1529,PROGRAMAS[],3,FALSE),0)</f>
        <v>0</v>
      </c>
      <c r="AR1529" s="246">
        <f>IFERROR(VLOOKUP(P1529,PROGRAMAS[],3,FALSE),0)</f>
        <v>0</v>
      </c>
      <c r="AS1529" s="246">
        <f>IFERROR(VLOOKUP(Q1529,PROGRAMAS[],3,FALSE),0)</f>
        <v>0</v>
      </c>
      <c r="AT1529" s="246">
        <f>IFERROR(VLOOKUP(D1529,VOL_REC[],2,FALSE),0)</f>
        <v>0</v>
      </c>
      <c r="AU1529" s="246">
        <f>IFERROR(VLOOKUP(E1529,VOL_REC[],2,FALSE),0)</f>
        <v>0</v>
      </c>
      <c r="AV1529" s="246">
        <f>IFERROR(VLOOKUP(F1529,VOL_REC[],2,FALSE),0)</f>
        <v>11089674.200000001</v>
      </c>
      <c r="AW1529" s="246">
        <f>IFERROR(VLOOKUP(G1529,VOL_REC[],2,FALSE),0)</f>
        <v>90439.55</v>
      </c>
      <c r="AX1529" s="246">
        <f>IFERROR(VLOOKUP(H1529,VOL_REC[],2,FALSE),0)</f>
        <v>4325103.1812214684</v>
      </c>
      <c r="AY1529" s="246">
        <f>IFERROR(VLOOKUP(I1529,VOL_REC[],2,FALSE),0)</f>
        <v>15540036.397699751</v>
      </c>
      <c r="AZ1529" s="246">
        <f>IFERROR(VLOOKUP(J1529,VOL_REC[],2,FALSE),0)</f>
        <v>1812240</v>
      </c>
      <c r="BA1529" s="246">
        <f>IFERROR(VLOOKUP(K1529,VOL_REC[],2,FALSE),0)</f>
        <v>240696.79238099116</v>
      </c>
      <c r="BB1529" s="246">
        <f>IFERROR(VLOOKUP(L1529,VOL_REC[],2,FALSE),0)</f>
        <v>105072</v>
      </c>
      <c r="BC1529" s="246">
        <f>IFERROR(VLOOKUP(M1529,VOL_REC[],2,FALSE),0)</f>
        <v>1072354.9981737854</v>
      </c>
      <c r="BD1529" s="246">
        <f>IFERROR(VLOOKUP(N1529,VOL_REC[],2,FALSE),0)</f>
        <v>0</v>
      </c>
      <c r="BE1529" s="246">
        <f>IFERROR(VLOOKUP(O1529,VOL_REC[],2,FALSE),0)</f>
        <v>0</v>
      </c>
      <c r="BF1529" s="246">
        <f>IFERROR(VLOOKUP(P1529,VOL_REC[],2,FALSE),0)</f>
        <v>0</v>
      </c>
      <c r="BG1529" s="246">
        <f>IFERROR(VLOOKUP(Q1529,VOL_REC[],2,FALSE),0)</f>
        <v>0</v>
      </c>
      <c r="BH1529" s="1710">
        <f t="shared" si="92"/>
        <v>24806923004.325962</v>
      </c>
      <c r="BI1529" s="1710">
        <f t="shared" si="93"/>
        <v>22874667067.335667</v>
      </c>
      <c r="BJ1529" s="1711">
        <f t="shared" si="94"/>
        <v>34275617.119475998</v>
      </c>
      <c r="BK1529" s="1711">
        <f t="shared" si="95"/>
        <v>1.0844714343296169</v>
      </c>
      <c r="BL1529">
        <f>BJ1529</f>
        <v>34275617.119475998</v>
      </c>
      <c r="BO1529">
        <f>BL1529</f>
        <v>34275617.119475998</v>
      </c>
    </row>
    <row r="1530" spans="3:67" x14ac:dyDescent="0.25">
      <c r="C1530" s="246" t="s">
        <v>2880</v>
      </c>
      <c r="D1530" s="246">
        <v>1</v>
      </c>
      <c r="E1530" s="246">
        <v>2</v>
      </c>
      <c r="F1530" s="246">
        <v>3</v>
      </c>
      <c r="G1530" s="246">
        <v>4</v>
      </c>
      <c r="H1530" s="246">
        <v>5</v>
      </c>
      <c r="I1530" s="246">
        <v>6</v>
      </c>
      <c r="J1530" s="246">
        <v>10</v>
      </c>
      <c r="K1530" s="246">
        <v>12</v>
      </c>
      <c r="L1530" s="246">
        <v>15</v>
      </c>
      <c r="M1530" s="246">
        <v>17</v>
      </c>
      <c r="N1530" s="246"/>
      <c r="O1530" s="246"/>
      <c r="P1530" s="246"/>
      <c r="Q1530" s="246"/>
      <c r="R1530" s="246">
        <f>IFERROR(VLOOKUP(D1530,PROGRAMAS[],2,FALSE),0)</f>
        <v>97037803.679377079</v>
      </c>
      <c r="S1530" s="246">
        <f>IFERROR(VLOOKUP(E1530,PROGRAMAS[],2,FALSE),0)</f>
        <v>640501509.6821388</v>
      </c>
      <c r="T1530" s="246">
        <f>IFERROR(VLOOKUP(F1530,PROGRAMAS[],2,FALSE),0)</f>
        <v>3062327798.1525245</v>
      </c>
      <c r="U1530" s="246">
        <f>IFERROR(VLOOKUP(G1530,PROGRAMAS[],2,FALSE),0)</f>
        <v>67697118.033011258</v>
      </c>
      <c r="V1530" s="246">
        <f>IFERROR(VLOOKUP(H1530,PROGRAMAS[],2,FALSE),0)</f>
        <v>1440941976.2528784</v>
      </c>
      <c r="W1530" s="246">
        <f>IFERROR(VLOOKUP(I1530,PROGRAMAS[],2,FALSE),0)</f>
        <v>6907648435.8447599</v>
      </c>
      <c r="X1530" s="246">
        <f>IFERROR(VLOOKUP(J1530,PROGRAMAS[],2,FALSE),0)</f>
        <v>4635315027.8751087</v>
      </c>
      <c r="Y1530" s="246">
        <f>IFERROR(VLOOKUP(K1530,PROGRAMAS[],2,FALSE),0)</f>
        <v>764796700.79905891</v>
      </c>
      <c r="Z1530" s="246">
        <f>IFERROR(VLOOKUP(L1530,PROGRAMAS[],2,FALSE),0)</f>
        <v>122159672.96346797</v>
      </c>
      <c r="AA1530" s="246">
        <f>IFERROR(VLOOKUP(M1530,PROGRAMAS[],2,FALSE),0)</f>
        <v>1892779498.5211046</v>
      </c>
      <c r="AB1530" s="246">
        <f>IFERROR(VLOOKUP(N1530,PROGRAMAS[],2,FALSE),0)</f>
        <v>0</v>
      </c>
      <c r="AC1530" s="246">
        <f>IFERROR(VLOOKUP(O1530,PROGRAMAS[],2,FALSE),0)</f>
        <v>0</v>
      </c>
      <c r="AD1530" s="246">
        <f>IFERROR(VLOOKUP(P1530,PROGRAMAS[],2,FALSE),0)</f>
        <v>0</v>
      </c>
      <c r="AE1530" s="246">
        <f>IFERROR(VLOOKUP(Q1530,PROGRAMAS[],2,FALSE),0)</f>
        <v>0</v>
      </c>
      <c r="AF1530" s="246">
        <f>IFERROR(VLOOKUP(D1530,PROGRAMAS[],3,FALSE),0)</f>
        <v>841888629.31080008</v>
      </c>
      <c r="AG1530" s="246">
        <f>IFERROR(VLOOKUP(E1530,PROGRAMAS[],3,FALSE),0)</f>
        <v>3848980803.1642323</v>
      </c>
      <c r="AH1530" s="246">
        <f>IFERROR(VLOOKUP(F1530,PROGRAMAS[],3,FALSE),0)</f>
        <v>3394901471.387517</v>
      </c>
      <c r="AI1530" s="246">
        <f>IFERROR(VLOOKUP(G1530,PROGRAMAS[],3,FALSE),0)</f>
        <v>125317226.95549992</v>
      </c>
      <c r="AJ1530" s="246">
        <f>IFERROR(VLOOKUP(H1530,PROGRAMAS[],3,FALSE),0)</f>
        <v>1233505101.0616004</v>
      </c>
      <c r="AK1530" s="246">
        <f>IFERROR(VLOOKUP(I1530,PROGRAMAS[],3,FALSE),0)</f>
        <v>6129902208.7912121</v>
      </c>
      <c r="AL1530" s="246">
        <f>IFERROR(VLOOKUP(J1530,PROGRAMAS[],3,FALSE),0)</f>
        <v>4099471734.9978786</v>
      </c>
      <c r="AM1530" s="246">
        <f>IFERROR(VLOOKUP(K1530,PROGRAMAS[],3,FALSE),0)</f>
        <v>675517840.109828</v>
      </c>
      <c r="AN1530" s="246">
        <f>IFERROR(VLOOKUP(L1530,PROGRAMAS[],3,FALSE),0)</f>
        <v>118617452.52510804</v>
      </c>
      <c r="AO1530" s="246">
        <f>IFERROR(VLOOKUP(M1530,PROGRAMAS[],3,FALSE),0)</f>
        <v>948595847.09039903</v>
      </c>
      <c r="AP1530" s="246">
        <f>IFERROR(VLOOKUP(N1530,PROGRAMAS[],3,FALSE),0)</f>
        <v>0</v>
      </c>
      <c r="AQ1530" s="246">
        <f>IFERROR(VLOOKUP(O1530,PROGRAMAS[],3,FALSE),0)</f>
        <v>0</v>
      </c>
      <c r="AR1530" s="246">
        <f>IFERROR(VLOOKUP(P1530,PROGRAMAS[],3,FALSE),0)</f>
        <v>0</v>
      </c>
      <c r="AS1530" s="246">
        <f>IFERROR(VLOOKUP(Q1530,PROGRAMAS[],3,FALSE),0)</f>
        <v>0</v>
      </c>
      <c r="AT1530" s="246">
        <f>IFERROR(VLOOKUP(D1530,VOL_REC[],2,FALSE),0)</f>
        <v>0</v>
      </c>
      <c r="AU1530" s="246">
        <f>IFERROR(VLOOKUP(E1530,VOL_REC[],2,FALSE),0)</f>
        <v>0</v>
      </c>
      <c r="AV1530" s="246">
        <f>IFERROR(VLOOKUP(F1530,VOL_REC[],2,FALSE),0)</f>
        <v>11089674.200000001</v>
      </c>
      <c r="AW1530" s="246">
        <f>IFERROR(VLOOKUP(G1530,VOL_REC[],2,FALSE),0)</f>
        <v>90439.55</v>
      </c>
      <c r="AX1530" s="246">
        <f>IFERROR(VLOOKUP(H1530,VOL_REC[],2,FALSE),0)</f>
        <v>4325103.1812214684</v>
      </c>
      <c r="AY1530" s="246">
        <f>IFERROR(VLOOKUP(I1530,VOL_REC[],2,FALSE),0)</f>
        <v>15540036.397699751</v>
      </c>
      <c r="AZ1530" s="246">
        <f>IFERROR(VLOOKUP(J1530,VOL_REC[],2,FALSE),0)</f>
        <v>1812240</v>
      </c>
      <c r="BA1530" s="246">
        <f>IFERROR(VLOOKUP(K1530,VOL_REC[],2,FALSE),0)</f>
        <v>240696.79238099116</v>
      </c>
      <c r="BB1530" s="246">
        <f>IFERROR(VLOOKUP(L1530,VOL_REC[],2,FALSE),0)</f>
        <v>105072</v>
      </c>
      <c r="BC1530" s="246">
        <f>IFERROR(VLOOKUP(M1530,VOL_REC[],2,FALSE),0)</f>
        <v>740113.98115702497</v>
      </c>
      <c r="BD1530" s="246">
        <f>IFERROR(VLOOKUP(N1530,VOL_REC[],2,FALSE),0)</f>
        <v>0</v>
      </c>
      <c r="BE1530" s="246">
        <f>IFERROR(VLOOKUP(O1530,VOL_REC[],2,FALSE),0)</f>
        <v>0</v>
      </c>
      <c r="BF1530" s="246">
        <f>IFERROR(VLOOKUP(P1530,VOL_REC[],2,FALSE),0)</f>
        <v>0</v>
      </c>
      <c r="BG1530" s="246">
        <f>IFERROR(VLOOKUP(Q1530,VOL_REC[],2,FALSE),0)</f>
        <v>0</v>
      </c>
      <c r="BH1530" s="1710">
        <f t="shared" si="92"/>
        <v>19631205541.803429</v>
      </c>
      <c r="BI1530" s="1710">
        <f t="shared" si="93"/>
        <v>21416698315.394077</v>
      </c>
      <c r="BJ1530" s="1711">
        <f t="shared" si="94"/>
        <v>33943376.102459237</v>
      </c>
      <c r="BK1530" s="1711">
        <f t="shared" si="95"/>
        <v>0.91663081081423003</v>
      </c>
    </row>
    <row r="1531" spans="3:67" x14ac:dyDescent="0.25">
      <c r="C1531" s="246" t="s">
        <v>2881</v>
      </c>
      <c r="D1531" s="246">
        <v>1</v>
      </c>
      <c r="E1531" s="246">
        <v>2</v>
      </c>
      <c r="F1531" s="246">
        <v>3</v>
      </c>
      <c r="G1531" s="246">
        <v>4</v>
      </c>
      <c r="H1531" s="246">
        <v>5</v>
      </c>
      <c r="I1531" s="246">
        <v>6</v>
      </c>
      <c r="J1531" s="246">
        <v>10</v>
      </c>
      <c r="K1531" s="246">
        <v>12</v>
      </c>
      <c r="L1531" s="246">
        <v>16</v>
      </c>
      <c r="M1531" s="246">
        <v>17</v>
      </c>
      <c r="N1531" s="246"/>
      <c r="O1531" s="246"/>
      <c r="P1531" s="246"/>
      <c r="Q1531" s="246"/>
      <c r="R1531" s="246">
        <f>IFERROR(VLOOKUP(D1531,PROGRAMAS[],2,FALSE),0)</f>
        <v>97037803.679377079</v>
      </c>
      <c r="S1531" s="246">
        <f>IFERROR(VLOOKUP(E1531,PROGRAMAS[],2,FALSE),0)</f>
        <v>640501509.6821388</v>
      </c>
      <c r="T1531" s="246">
        <f>IFERROR(VLOOKUP(F1531,PROGRAMAS[],2,FALSE),0)</f>
        <v>3062327798.1525245</v>
      </c>
      <c r="U1531" s="246">
        <f>IFERROR(VLOOKUP(G1531,PROGRAMAS[],2,FALSE),0)</f>
        <v>67697118.033011258</v>
      </c>
      <c r="V1531" s="246">
        <f>IFERROR(VLOOKUP(H1531,PROGRAMAS[],2,FALSE),0)</f>
        <v>1440941976.2528784</v>
      </c>
      <c r="W1531" s="246">
        <f>IFERROR(VLOOKUP(I1531,PROGRAMAS[],2,FALSE),0)</f>
        <v>6907648435.8447599</v>
      </c>
      <c r="X1531" s="246">
        <f>IFERROR(VLOOKUP(J1531,PROGRAMAS[],2,FALSE),0)</f>
        <v>4635315027.8751087</v>
      </c>
      <c r="Y1531" s="246">
        <f>IFERROR(VLOOKUP(K1531,PROGRAMAS[],2,FALSE),0)</f>
        <v>764796700.79905891</v>
      </c>
      <c r="Z1531" s="246">
        <f>IFERROR(VLOOKUP(L1531,PROGRAMAS[],2,FALSE),0)</f>
        <v>7068496961.0436354</v>
      </c>
      <c r="AA1531" s="246">
        <f>IFERROR(VLOOKUP(M1531,PROGRAMAS[],2,FALSE),0)</f>
        <v>1892779498.5211046</v>
      </c>
      <c r="AB1531" s="246">
        <f>IFERROR(VLOOKUP(N1531,PROGRAMAS[],2,FALSE),0)</f>
        <v>0</v>
      </c>
      <c r="AC1531" s="246">
        <f>IFERROR(VLOOKUP(O1531,PROGRAMAS[],2,FALSE),0)</f>
        <v>0</v>
      </c>
      <c r="AD1531" s="246">
        <f>IFERROR(VLOOKUP(P1531,PROGRAMAS[],2,FALSE),0)</f>
        <v>0</v>
      </c>
      <c r="AE1531" s="246">
        <f>IFERROR(VLOOKUP(Q1531,PROGRAMAS[],2,FALSE),0)</f>
        <v>0</v>
      </c>
      <c r="AF1531" s="246">
        <f>IFERROR(VLOOKUP(D1531,PROGRAMAS[],3,FALSE),0)</f>
        <v>841888629.31080008</v>
      </c>
      <c r="AG1531" s="246">
        <f>IFERROR(VLOOKUP(E1531,PROGRAMAS[],3,FALSE),0)</f>
        <v>3848980803.1642323</v>
      </c>
      <c r="AH1531" s="246">
        <f>IFERROR(VLOOKUP(F1531,PROGRAMAS[],3,FALSE),0)</f>
        <v>3394901471.387517</v>
      </c>
      <c r="AI1531" s="246">
        <f>IFERROR(VLOOKUP(G1531,PROGRAMAS[],3,FALSE),0)</f>
        <v>125317226.95549992</v>
      </c>
      <c r="AJ1531" s="246">
        <f>IFERROR(VLOOKUP(H1531,PROGRAMAS[],3,FALSE),0)</f>
        <v>1233505101.0616004</v>
      </c>
      <c r="AK1531" s="246">
        <f>IFERROR(VLOOKUP(I1531,PROGRAMAS[],3,FALSE),0)</f>
        <v>6129902208.7912121</v>
      </c>
      <c r="AL1531" s="246">
        <f>IFERROR(VLOOKUP(J1531,PROGRAMAS[],3,FALSE),0)</f>
        <v>4099471734.9978786</v>
      </c>
      <c r="AM1531" s="246">
        <f>IFERROR(VLOOKUP(K1531,PROGRAMAS[],3,FALSE),0)</f>
        <v>675517840.109828</v>
      </c>
      <c r="AN1531" s="246">
        <f>IFERROR(VLOOKUP(L1531,PROGRAMAS[],3,FALSE),0)</f>
        <v>2406564599.0319901</v>
      </c>
      <c r="AO1531" s="246">
        <f>IFERROR(VLOOKUP(M1531,PROGRAMAS[],3,FALSE),0)</f>
        <v>948595847.09039903</v>
      </c>
      <c r="AP1531" s="246">
        <f>IFERROR(VLOOKUP(N1531,PROGRAMAS[],3,FALSE),0)</f>
        <v>0</v>
      </c>
      <c r="AQ1531" s="246">
        <f>IFERROR(VLOOKUP(O1531,PROGRAMAS[],3,FALSE),0)</f>
        <v>0</v>
      </c>
      <c r="AR1531" s="246">
        <f>IFERROR(VLOOKUP(P1531,PROGRAMAS[],3,FALSE),0)</f>
        <v>0</v>
      </c>
      <c r="AS1531" s="246">
        <f>IFERROR(VLOOKUP(Q1531,PROGRAMAS[],3,FALSE),0)</f>
        <v>0</v>
      </c>
      <c r="AT1531" s="246">
        <f>IFERROR(VLOOKUP(D1531,VOL_REC[],2,FALSE),0)</f>
        <v>0</v>
      </c>
      <c r="AU1531" s="246">
        <f>IFERROR(VLOOKUP(E1531,VOL_REC[],2,FALSE),0)</f>
        <v>0</v>
      </c>
      <c r="AV1531" s="246">
        <f>IFERROR(VLOOKUP(F1531,VOL_REC[],2,FALSE),0)</f>
        <v>11089674.200000001</v>
      </c>
      <c r="AW1531" s="246">
        <f>IFERROR(VLOOKUP(G1531,VOL_REC[],2,FALSE),0)</f>
        <v>90439.55</v>
      </c>
      <c r="AX1531" s="246">
        <f>IFERROR(VLOOKUP(H1531,VOL_REC[],2,FALSE),0)</f>
        <v>4325103.1812214684</v>
      </c>
      <c r="AY1531" s="246">
        <f>IFERROR(VLOOKUP(I1531,VOL_REC[],2,FALSE),0)</f>
        <v>15540036.397699751</v>
      </c>
      <c r="AZ1531" s="246">
        <f>IFERROR(VLOOKUP(J1531,VOL_REC[],2,FALSE),0)</f>
        <v>1812240</v>
      </c>
      <c r="BA1531" s="246">
        <f>IFERROR(VLOOKUP(K1531,VOL_REC[],2,FALSE),0)</f>
        <v>240696.79238099116</v>
      </c>
      <c r="BB1531" s="246">
        <f>IFERROR(VLOOKUP(L1531,VOL_REC[],2,FALSE),0)</f>
        <v>1072354.9981737854</v>
      </c>
      <c r="BC1531" s="246">
        <f>IFERROR(VLOOKUP(M1531,VOL_REC[],2,FALSE),0)</f>
        <v>740113.98115702497</v>
      </c>
      <c r="BD1531" s="246">
        <f>IFERROR(VLOOKUP(N1531,VOL_REC[],2,FALSE),0)</f>
        <v>0</v>
      </c>
      <c r="BE1531" s="246">
        <f>IFERROR(VLOOKUP(O1531,VOL_REC[],2,FALSE),0)</f>
        <v>0</v>
      </c>
      <c r="BF1531" s="246">
        <f>IFERROR(VLOOKUP(P1531,VOL_REC[],2,FALSE),0)</f>
        <v>0</v>
      </c>
      <c r="BG1531" s="246">
        <f>IFERROR(VLOOKUP(Q1531,VOL_REC[],2,FALSE),0)</f>
        <v>0</v>
      </c>
      <c r="BH1531" s="1710">
        <f t="shared" si="92"/>
        <v>26577542829.883598</v>
      </c>
      <c r="BI1531" s="1710">
        <f t="shared" si="93"/>
        <v>23704645461.900959</v>
      </c>
      <c r="BJ1531" s="1711">
        <f t="shared" si="94"/>
        <v>34910659.100633025</v>
      </c>
      <c r="BK1531" s="1711">
        <f t="shared" si="95"/>
        <v>1.1211955425614812</v>
      </c>
      <c r="BL1531">
        <f>BJ1531</f>
        <v>34910659.100633025</v>
      </c>
      <c r="BO1531">
        <f>BL1531</f>
        <v>34910659.100633025</v>
      </c>
    </row>
    <row r="1532" spans="3:67" x14ac:dyDescent="0.25">
      <c r="C1532" s="246" t="s">
        <v>2882</v>
      </c>
      <c r="D1532" s="246">
        <v>1</v>
      </c>
      <c r="E1532" s="246">
        <v>2</v>
      </c>
      <c r="F1532" s="246">
        <v>3</v>
      </c>
      <c r="G1532" s="246">
        <v>4</v>
      </c>
      <c r="H1532" s="246">
        <v>5</v>
      </c>
      <c r="I1532" s="246">
        <v>6</v>
      </c>
      <c r="J1532" s="246">
        <v>10</v>
      </c>
      <c r="K1532" s="246">
        <v>13</v>
      </c>
      <c r="L1532" s="246">
        <v>14</v>
      </c>
      <c r="M1532" s="246">
        <v>15</v>
      </c>
      <c r="N1532" s="246"/>
      <c r="O1532" s="246"/>
      <c r="P1532" s="246"/>
      <c r="Q1532" s="246"/>
      <c r="R1532" s="246">
        <f>IFERROR(VLOOKUP(D1532,PROGRAMAS[],2,FALSE),0)</f>
        <v>97037803.679377079</v>
      </c>
      <c r="S1532" s="246">
        <f>IFERROR(VLOOKUP(E1532,PROGRAMAS[],2,FALSE),0)</f>
        <v>640501509.6821388</v>
      </c>
      <c r="T1532" s="246">
        <f>IFERROR(VLOOKUP(F1532,PROGRAMAS[],2,FALSE),0)</f>
        <v>3062327798.1525245</v>
      </c>
      <c r="U1532" s="246">
        <f>IFERROR(VLOOKUP(G1532,PROGRAMAS[],2,FALSE),0)</f>
        <v>67697118.033011258</v>
      </c>
      <c r="V1532" s="246">
        <f>IFERROR(VLOOKUP(H1532,PROGRAMAS[],2,FALSE),0)</f>
        <v>1440941976.2528784</v>
      </c>
      <c r="W1532" s="246">
        <f>IFERROR(VLOOKUP(I1532,PROGRAMAS[],2,FALSE),0)</f>
        <v>6907648435.8447599</v>
      </c>
      <c r="X1532" s="246">
        <f>IFERROR(VLOOKUP(J1532,PROGRAMAS[],2,FALSE),0)</f>
        <v>4635315027.8751087</v>
      </c>
      <c r="Y1532" s="246">
        <f>IFERROR(VLOOKUP(K1532,PROGRAMAS[],2,FALSE),0)</f>
        <v>3776538594.4604583</v>
      </c>
      <c r="Z1532" s="246">
        <f>IFERROR(VLOOKUP(L1532,PROGRAMAS[],2,FALSE),0)</f>
        <v>54223862.645839565</v>
      </c>
      <c r="AA1532" s="246">
        <f>IFERROR(VLOOKUP(M1532,PROGRAMAS[],2,FALSE),0)</f>
        <v>122159672.96346797</v>
      </c>
      <c r="AB1532" s="246">
        <f>IFERROR(VLOOKUP(N1532,PROGRAMAS[],2,FALSE),0)</f>
        <v>0</v>
      </c>
      <c r="AC1532" s="246">
        <f>IFERROR(VLOOKUP(O1532,PROGRAMAS[],2,FALSE),0)</f>
        <v>0</v>
      </c>
      <c r="AD1532" s="246">
        <f>IFERROR(VLOOKUP(P1532,PROGRAMAS[],2,FALSE),0)</f>
        <v>0</v>
      </c>
      <c r="AE1532" s="246">
        <f>IFERROR(VLOOKUP(Q1532,PROGRAMAS[],2,FALSE),0)</f>
        <v>0</v>
      </c>
      <c r="AF1532" s="246">
        <f>IFERROR(VLOOKUP(D1532,PROGRAMAS[],3,FALSE),0)</f>
        <v>841888629.31080008</v>
      </c>
      <c r="AG1532" s="246">
        <f>IFERROR(VLOOKUP(E1532,PROGRAMAS[],3,FALSE),0)</f>
        <v>3848980803.1642323</v>
      </c>
      <c r="AH1532" s="246">
        <f>IFERROR(VLOOKUP(F1532,PROGRAMAS[],3,FALSE),0)</f>
        <v>3394901471.387517</v>
      </c>
      <c r="AI1532" s="246">
        <f>IFERROR(VLOOKUP(G1532,PROGRAMAS[],3,FALSE),0)</f>
        <v>125317226.95549992</v>
      </c>
      <c r="AJ1532" s="246">
        <f>IFERROR(VLOOKUP(H1532,PROGRAMAS[],3,FALSE),0)</f>
        <v>1233505101.0616004</v>
      </c>
      <c r="AK1532" s="246">
        <f>IFERROR(VLOOKUP(I1532,PROGRAMAS[],3,FALSE),0)</f>
        <v>6129902208.7912121</v>
      </c>
      <c r="AL1532" s="246">
        <f>IFERROR(VLOOKUP(J1532,PROGRAMAS[],3,FALSE),0)</f>
        <v>4099471734.9978786</v>
      </c>
      <c r="AM1532" s="246">
        <f>IFERROR(VLOOKUP(K1532,PROGRAMAS[],3,FALSE),0)</f>
        <v>2392571243.5584412</v>
      </c>
      <c r="AN1532" s="246">
        <f>IFERROR(VLOOKUP(L1532,PROGRAMAS[],3,FALSE),0)</f>
        <v>31865326.38096505</v>
      </c>
      <c r="AO1532" s="246">
        <f>IFERROR(VLOOKUP(M1532,PROGRAMAS[],3,FALSE),0)</f>
        <v>118617452.52510804</v>
      </c>
      <c r="AP1532" s="246">
        <f>IFERROR(VLOOKUP(N1532,PROGRAMAS[],3,FALSE),0)</f>
        <v>0</v>
      </c>
      <c r="AQ1532" s="246">
        <f>IFERROR(VLOOKUP(O1532,PROGRAMAS[],3,FALSE),0)</f>
        <v>0</v>
      </c>
      <c r="AR1532" s="246">
        <f>IFERROR(VLOOKUP(P1532,PROGRAMAS[],3,FALSE),0)</f>
        <v>0</v>
      </c>
      <c r="AS1532" s="246">
        <f>IFERROR(VLOOKUP(Q1532,PROGRAMAS[],3,FALSE),0)</f>
        <v>0</v>
      </c>
      <c r="AT1532" s="246">
        <f>IFERROR(VLOOKUP(D1532,VOL_REC[],2,FALSE),0)</f>
        <v>0</v>
      </c>
      <c r="AU1532" s="246">
        <f>IFERROR(VLOOKUP(E1532,VOL_REC[],2,FALSE),0)</f>
        <v>0</v>
      </c>
      <c r="AV1532" s="246">
        <f>IFERROR(VLOOKUP(F1532,VOL_REC[],2,FALSE),0)</f>
        <v>11089674.200000001</v>
      </c>
      <c r="AW1532" s="246">
        <f>IFERROR(VLOOKUP(G1532,VOL_REC[],2,FALSE),0)</f>
        <v>90439.55</v>
      </c>
      <c r="AX1532" s="246">
        <f>IFERROR(VLOOKUP(H1532,VOL_REC[],2,FALSE),0)</f>
        <v>4325103.1812214684</v>
      </c>
      <c r="AY1532" s="246">
        <f>IFERROR(VLOOKUP(I1532,VOL_REC[],2,FALSE),0)</f>
        <v>15540036.397699751</v>
      </c>
      <c r="AZ1532" s="246">
        <f>IFERROR(VLOOKUP(J1532,VOL_REC[],2,FALSE),0)</f>
        <v>1812240</v>
      </c>
      <c r="BA1532" s="246">
        <f>IFERROR(VLOOKUP(K1532,VOL_REC[],2,FALSE),0)</f>
        <v>663244.80000000016</v>
      </c>
      <c r="BB1532" s="246">
        <f>IFERROR(VLOOKUP(L1532,VOL_REC[],2,FALSE),0)</f>
        <v>17074.045034105649</v>
      </c>
      <c r="BC1532" s="246">
        <f>IFERROR(VLOOKUP(M1532,VOL_REC[],2,FALSE),0)</f>
        <v>105072</v>
      </c>
      <c r="BD1532" s="246">
        <f>IFERROR(VLOOKUP(N1532,VOL_REC[],2,FALSE),0)</f>
        <v>0</v>
      </c>
      <c r="BE1532" s="246">
        <f>IFERROR(VLOOKUP(O1532,VOL_REC[],2,FALSE),0)</f>
        <v>0</v>
      </c>
      <c r="BF1532" s="246">
        <f>IFERROR(VLOOKUP(P1532,VOL_REC[],2,FALSE),0)</f>
        <v>0</v>
      </c>
      <c r="BG1532" s="246">
        <f>IFERROR(VLOOKUP(Q1532,VOL_REC[],2,FALSE),0)</f>
        <v>0</v>
      </c>
      <c r="BH1532" s="1710">
        <f t="shared" si="92"/>
        <v>20804391799.589565</v>
      </c>
      <c r="BI1532" s="1710">
        <f t="shared" si="93"/>
        <v>22217021198.133255</v>
      </c>
      <c r="BJ1532" s="1711">
        <f t="shared" si="94"/>
        <v>33642884.173955329</v>
      </c>
      <c r="BK1532" s="1711">
        <f t="shared" si="95"/>
        <v>0.93641679566555114</v>
      </c>
    </row>
    <row r="1533" spans="3:67" x14ac:dyDescent="0.25">
      <c r="C1533" s="246" t="s">
        <v>2883</v>
      </c>
      <c r="D1533" s="246">
        <v>1</v>
      </c>
      <c r="E1533" s="246">
        <v>2</v>
      </c>
      <c r="F1533" s="246">
        <v>3</v>
      </c>
      <c r="G1533" s="246">
        <v>4</v>
      </c>
      <c r="H1533" s="246">
        <v>5</v>
      </c>
      <c r="I1533" s="246">
        <v>6</v>
      </c>
      <c r="J1533" s="246">
        <v>10</v>
      </c>
      <c r="K1533" s="246">
        <v>13</v>
      </c>
      <c r="L1533" s="246">
        <v>14</v>
      </c>
      <c r="M1533" s="246">
        <v>16</v>
      </c>
      <c r="N1533" s="246"/>
      <c r="O1533" s="246"/>
      <c r="P1533" s="246"/>
      <c r="Q1533" s="246"/>
      <c r="R1533" s="246">
        <f>IFERROR(VLOOKUP(D1533,PROGRAMAS[],2,FALSE),0)</f>
        <v>97037803.679377079</v>
      </c>
      <c r="S1533" s="246">
        <f>IFERROR(VLOOKUP(E1533,PROGRAMAS[],2,FALSE),0)</f>
        <v>640501509.6821388</v>
      </c>
      <c r="T1533" s="246">
        <f>IFERROR(VLOOKUP(F1533,PROGRAMAS[],2,FALSE),0)</f>
        <v>3062327798.1525245</v>
      </c>
      <c r="U1533" s="246">
        <f>IFERROR(VLOOKUP(G1533,PROGRAMAS[],2,FALSE),0)</f>
        <v>67697118.033011258</v>
      </c>
      <c r="V1533" s="246">
        <f>IFERROR(VLOOKUP(H1533,PROGRAMAS[],2,FALSE),0)</f>
        <v>1440941976.2528784</v>
      </c>
      <c r="W1533" s="246">
        <f>IFERROR(VLOOKUP(I1533,PROGRAMAS[],2,FALSE),0)</f>
        <v>6907648435.8447599</v>
      </c>
      <c r="X1533" s="246">
        <f>IFERROR(VLOOKUP(J1533,PROGRAMAS[],2,FALSE),0)</f>
        <v>4635315027.8751087</v>
      </c>
      <c r="Y1533" s="246">
        <f>IFERROR(VLOOKUP(K1533,PROGRAMAS[],2,FALSE),0)</f>
        <v>3776538594.4604583</v>
      </c>
      <c r="Z1533" s="246">
        <f>IFERROR(VLOOKUP(L1533,PROGRAMAS[],2,FALSE),0)</f>
        <v>54223862.645839565</v>
      </c>
      <c r="AA1533" s="246">
        <f>IFERROR(VLOOKUP(M1533,PROGRAMAS[],2,FALSE),0)</f>
        <v>7068496961.0436354</v>
      </c>
      <c r="AB1533" s="246">
        <f>IFERROR(VLOOKUP(N1533,PROGRAMAS[],2,FALSE),0)</f>
        <v>0</v>
      </c>
      <c r="AC1533" s="246">
        <f>IFERROR(VLOOKUP(O1533,PROGRAMAS[],2,FALSE),0)</f>
        <v>0</v>
      </c>
      <c r="AD1533" s="246">
        <f>IFERROR(VLOOKUP(P1533,PROGRAMAS[],2,FALSE),0)</f>
        <v>0</v>
      </c>
      <c r="AE1533" s="246">
        <f>IFERROR(VLOOKUP(Q1533,PROGRAMAS[],2,FALSE),0)</f>
        <v>0</v>
      </c>
      <c r="AF1533" s="246">
        <f>IFERROR(VLOOKUP(D1533,PROGRAMAS[],3,FALSE),0)</f>
        <v>841888629.31080008</v>
      </c>
      <c r="AG1533" s="246">
        <f>IFERROR(VLOOKUP(E1533,PROGRAMAS[],3,FALSE),0)</f>
        <v>3848980803.1642323</v>
      </c>
      <c r="AH1533" s="246">
        <f>IFERROR(VLOOKUP(F1533,PROGRAMAS[],3,FALSE),0)</f>
        <v>3394901471.387517</v>
      </c>
      <c r="AI1533" s="246">
        <f>IFERROR(VLOOKUP(G1533,PROGRAMAS[],3,FALSE),0)</f>
        <v>125317226.95549992</v>
      </c>
      <c r="AJ1533" s="246">
        <f>IFERROR(VLOOKUP(H1533,PROGRAMAS[],3,FALSE),0)</f>
        <v>1233505101.0616004</v>
      </c>
      <c r="AK1533" s="246">
        <f>IFERROR(VLOOKUP(I1533,PROGRAMAS[],3,FALSE),0)</f>
        <v>6129902208.7912121</v>
      </c>
      <c r="AL1533" s="246">
        <f>IFERROR(VLOOKUP(J1533,PROGRAMAS[],3,FALSE),0)</f>
        <v>4099471734.9978786</v>
      </c>
      <c r="AM1533" s="246">
        <f>IFERROR(VLOOKUP(K1533,PROGRAMAS[],3,FALSE),0)</f>
        <v>2392571243.5584412</v>
      </c>
      <c r="AN1533" s="246">
        <f>IFERROR(VLOOKUP(L1533,PROGRAMAS[],3,FALSE),0)</f>
        <v>31865326.38096505</v>
      </c>
      <c r="AO1533" s="246">
        <f>IFERROR(VLOOKUP(M1533,PROGRAMAS[],3,FALSE),0)</f>
        <v>2406564599.0319901</v>
      </c>
      <c r="AP1533" s="246">
        <f>IFERROR(VLOOKUP(N1533,PROGRAMAS[],3,FALSE),0)</f>
        <v>0</v>
      </c>
      <c r="AQ1533" s="246">
        <f>IFERROR(VLOOKUP(O1533,PROGRAMAS[],3,FALSE),0)</f>
        <v>0</v>
      </c>
      <c r="AR1533" s="246">
        <f>IFERROR(VLOOKUP(P1533,PROGRAMAS[],3,FALSE),0)</f>
        <v>0</v>
      </c>
      <c r="AS1533" s="246">
        <f>IFERROR(VLOOKUP(Q1533,PROGRAMAS[],3,FALSE),0)</f>
        <v>0</v>
      </c>
      <c r="AT1533" s="246">
        <f>IFERROR(VLOOKUP(D1533,VOL_REC[],2,FALSE),0)</f>
        <v>0</v>
      </c>
      <c r="AU1533" s="246">
        <f>IFERROR(VLOOKUP(E1533,VOL_REC[],2,FALSE),0)</f>
        <v>0</v>
      </c>
      <c r="AV1533" s="246">
        <f>IFERROR(VLOOKUP(F1533,VOL_REC[],2,FALSE),0)</f>
        <v>11089674.200000001</v>
      </c>
      <c r="AW1533" s="246">
        <f>IFERROR(VLOOKUP(G1533,VOL_REC[],2,FALSE),0)</f>
        <v>90439.55</v>
      </c>
      <c r="AX1533" s="246">
        <f>IFERROR(VLOOKUP(H1533,VOL_REC[],2,FALSE),0)</f>
        <v>4325103.1812214684</v>
      </c>
      <c r="AY1533" s="246">
        <f>IFERROR(VLOOKUP(I1533,VOL_REC[],2,FALSE),0)</f>
        <v>15540036.397699751</v>
      </c>
      <c r="AZ1533" s="246">
        <f>IFERROR(VLOOKUP(J1533,VOL_REC[],2,FALSE),0)</f>
        <v>1812240</v>
      </c>
      <c r="BA1533" s="246">
        <f>IFERROR(VLOOKUP(K1533,VOL_REC[],2,FALSE),0)</f>
        <v>663244.80000000016</v>
      </c>
      <c r="BB1533" s="246">
        <f>IFERROR(VLOOKUP(L1533,VOL_REC[],2,FALSE),0)</f>
        <v>17074.045034105649</v>
      </c>
      <c r="BC1533" s="246">
        <f>IFERROR(VLOOKUP(M1533,VOL_REC[],2,FALSE),0)</f>
        <v>1072354.9981737854</v>
      </c>
      <c r="BD1533" s="246">
        <f>IFERROR(VLOOKUP(N1533,VOL_REC[],2,FALSE),0)</f>
        <v>0</v>
      </c>
      <c r="BE1533" s="246">
        <f>IFERROR(VLOOKUP(O1533,VOL_REC[],2,FALSE),0)</f>
        <v>0</v>
      </c>
      <c r="BF1533" s="246">
        <f>IFERROR(VLOOKUP(P1533,VOL_REC[],2,FALSE),0)</f>
        <v>0</v>
      </c>
      <c r="BG1533" s="246">
        <f>IFERROR(VLOOKUP(Q1533,VOL_REC[],2,FALSE),0)</f>
        <v>0</v>
      </c>
      <c r="BH1533" s="1710">
        <f t="shared" si="92"/>
        <v>27750729087.669735</v>
      </c>
      <c r="BI1533" s="1710">
        <f t="shared" si="93"/>
        <v>24504968344.640137</v>
      </c>
      <c r="BJ1533" s="1711">
        <f t="shared" si="94"/>
        <v>34610167.172129117</v>
      </c>
      <c r="BK1533" s="1711">
        <f t="shared" si="95"/>
        <v>1.1324531702053608</v>
      </c>
      <c r="BL1533">
        <f>BJ1533</f>
        <v>34610167.172129117</v>
      </c>
      <c r="BO1533">
        <f>BL1533</f>
        <v>34610167.172129117</v>
      </c>
    </row>
    <row r="1534" spans="3:67" x14ac:dyDescent="0.25">
      <c r="C1534" s="246" t="s">
        <v>2884</v>
      </c>
      <c r="D1534" s="246">
        <v>1</v>
      </c>
      <c r="E1534" s="246">
        <v>2</v>
      </c>
      <c r="F1534" s="246">
        <v>3</v>
      </c>
      <c r="G1534" s="246">
        <v>4</v>
      </c>
      <c r="H1534" s="246">
        <v>5</v>
      </c>
      <c r="I1534" s="246">
        <v>6</v>
      </c>
      <c r="J1534" s="246">
        <v>10</v>
      </c>
      <c r="K1534" s="246">
        <v>13</v>
      </c>
      <c r="L1534" s="246">
        <v>14</v>
      </c>
      <c r="M1534" s="246">
        <v>17</v>
      </c>
      <c r="N1534" s="246"/>
      <c r="O1534" s="246"/>
      <c r="P1534" s="246"/>
      <c r="Q1534" s="246"/>
      <c r="R1534" s="246">
        <f>IFERROR(VLOOKUP(D1534,PROGRAMAS[],2,FALSE),0)</f>
        <v>97037803.679377079</v>
      </c>
      <c r="S1534" s="246">
        <f>IFERROR(VLOOKUP(E1534,PROGRAMAS[],2,FALSE),0)</f>
        <v>640501509.6821388</v>
      </c>
      <c r="T1534" s="246">
        <f>IFERROR(VLOOKUP(F1534,PROGRAMAS[],2,FALSE),0)</f>
        <v>3062327798.1525245</v>
      </c>
      <c r="U1534" s="246">
        <f>IFERROR(VLOOKUP(G1534,PROGRAMAS[],2,FALSE),0)</f>
        <v>67697118.033011258</v>
      </c>
      <c r="V1534" s="246">
        <f>IFERROR(VLOOKUP(H1534,PROGRAMAS[],2,FALSE),0)</f>
        <v>1440941976.2528784</v>
      </c>
      <c r="W1534" s="246">
        <f>IFERROR(VLOOKUP(I1534,PROGRAMAS[],2,FALSE),0)</f>
        <v>6907648435.8447599</v>
      </c>
      <c r="X1534" s="246">
        <f>IFERROR(VLOOKUP(J1534,PROGRAMAS[],2,FALSE),0)</f>
        <v>4635315027.8751087</v>
      </c>
      <c r="Y1534" s="246">
        <f>IFERROR(VLOOKUP(K1534,PROGRAMAS[],2,FALSE),0)</f>
        <v>3776538594.4604583</v>
      </c>
      <c r="Z1534" s="246">
        <f>IFERROR(VLOOKUP(L1534,PROGRAMAS[],2,FALSE),0)</f>
        <v>54223862.645839565</v>
      </c>
      <c r="AA1534" s="246">
        <f>IFERROR(VLOOKUP(M1534,PROGRAMAS[],2,FALSE),0)</f>
        <v>1892779498.5211046</v>
      </c>
      <c r="AB1534" s="246">
        <f>IFERROR(VLOOKUP(N1534,PROGRAMAS[],2,FALSE),0)</f>
        <v>0</v>
      </c>
      <c r="AC1534" s="246">
        <f>IFERROR(VLOOKUP(O1534,PROGRAMAS[],2,FALSE),0)</f>
        <v>0</v>
      </c>
      <c r="AD1534" s="246">
        <f>IFERROR(VLOOKUP(P1534,PROGRAMAS[],2,FALSE),0)</f>
        <v>0</v>
      </c>
      <c r="AE1534" s="246">
        <f>IFERROR(VLOOKUP(Q1534,PROGRAMAS[],2,FALSE),0)</f>
        <v>0</v>
      </c>
      <c r="AF1534" s="246">
        <f>IFERROR(VLOOKUP(D1534,PROGRAMAS[],3,FALSE),0)</f>
        <v>841888629.31080008</v>
      </c>
      <c r="AG1534" s="246">
        <f>IFERROR(VLOOKUP(E1534,PROGRAMAS[],3,FALSE),0)</f>
        <v>3848980803.1642323</v>
      </c>
      <c r="AH1534" s="246">
        <f>IFERROR(VLOOKUP(F1534,PROGRAMAS[],3,FALSE),0)</f>
        <v>3394901471.387517</v>
      </c>
      <c r="AI1534" s="246">
        <f>IFERROR(VLOOKUP(G1534,PROGRAMAS[],3,FALSE),0)</f>
        <v>125317226.95549992</v>
      </c>
      <c r="AJ1534" s="246">
        <f>IFERROR(VLOOKUP(H1534,PROGRAMAS[],3,FALSE),0)</f>
        <v>1233505101.0616004</v>
      </c>
      <c r="AK1534" s="246">
        <f>IFERROR(VLOOKUP(I1534,PROGRAMAS[],3,FALSE),0)</f>
        <v>6129902208.7912121</v>
      </c>
      <c r="AL1534" s="246">
        <f>IFERROR(VLOOKUP(J1534,PROGRAMAS[],3,FALSE),0)</f>
        <v>4099471734.9978786</v>
      </c>
      <c r="AM1534" s="246">
        <f>IFERROR(VLOOKUP(K1534,PROGRAMAS[],3,FALSE),0)</f>
        <v>2392571243.5584412</v>
      </c>
      <c r="AN1534" s="246">
        <f>IFERROR(VLOOKUP(L1534,PROGRAMAS[],3,FALSE),0)</f>
        <v>31865326.38096505</v>
      </c>
      <c r="AO1534" s="246">
        <f>IFERROR(VLOOKUP(M1534,PROGRAMAS[],3,FALSE),0)</f>
        <v>948595847.09039903</v>
      </c>
      <c r="AP1534" s="246">
        <f>IFERROR(VLOOKUP(N1534,PROGRAMAS[],3,FALSE),0)</f>
        <v>0</v>
      </c>
      <c r="AQ1534" s="246">
        <f>IFERROR(VLOOKUP(O1534,PROGRAMAS[],3,FALSE),0)</f>
        <v>0</v>
      </c>
      <c r="AR1534" s="246">
        <f>IFERROR(VLOOKUP(P1534,PROGRAMAS[],3,FALSE),0)</f>
        <v>0</v>
      </c>
      <c r="AS1534" s="246">
        <f>IFERROR(VLOOKUP(Q1534,PROGRAMAS[],3,FALSE),0)</f>
        <v>0</v>
      </c>
      <c r="AT1534" s="246">
        <f>IFERROR(VLOOKUP(D1534,VOL_REC[],2,FALSE),0)</f>
        <v>0</v>
      </c>
      <c r="AU1534" s="246">
        <f>IFERROR(VLOOKUP(E1534,VOL_REC[],2,FALSE),0)</f>
        <v>0</v>
      </c>
      <c r="AV1534" s="246">
        <f>IFERROR(VLOOKUP(F1534,VOL_REC[],2,FALSE),0)</f>
        <v>11089674.200000001</v>
      </c>
      <c r="AW1534" s="246">
        <f>IFERROR(VLOOKUP(G1534,VOL_REC[],2,FALSE),0)</f>
        <v>90439.55</v>
      </c>
      <c r="AX1534" s="246">
        <f>IFERROR(VLOOKUP(H1534,VOL_REC[],2,FALSE),0)</f>
        <v>4325103.1812214684</v>
      </c>
      <c r="AY1534" s="246">
        <f>IFERROR(VLOOKUP(I1534,VOL_REC[],2,FALSE),0)</f>
        <v>15540036.397699751</v>
      </c>
      <c r="AZ1534" s="246">
        <f>IFERROR(VLOOKUP(J1534,VOL_REC[],2,FALSE),0)</f>
        <v>1812240</v>
      </c>
      <c r="BA1534" s="246">
        <f>IFERROR(VLOOKUP(K1534,VOL_REC[],2,FALSE),0)</f>
        <v>663244.80000000016</v>
      </c>
      <c r="BB1534" s="246">
        <f>IFERROR(VLOOKUP(L1534,VOL_REC[],2,FALSE),0)</f>
        <v>17074.045034105649</v>
      </c>
      <c r="BC1534" s="246">
        <f>IFERROR(VLOOKUP(M1534,VOL_REC[],2,FALSE),0)</f>
        <v>740113.98115702497</v>
      </c>
      <c r="BD1534" s="246">
        <f>IFERROR(VLOOKUP(N1534,VOL_REC[],2,FALSE),0)</f>
        <v>0</v>
      </c>
      <c r="BE1534" s="246">
        <f>IFERROR(VLOOKUP(O1534,VOL_REC[],2,FALSE),0)</f>
        <v>0</v>
      </c>
      <c r="BF1534" s="246">
        <f>IFERROR(VLOOKUP(P1534,VOL_REC[],2,FALSE),0)</f>
        <v>0</v>
      </c>
      <c r="BG1534" s="246">
        <f>IFERROR(VLOOKUP(Q1534,VOL_REC[],2,FALSE),0)</f>
        <v>0</v>
      </c>
      <c r="BH1534" s="1710">
        <f t="shared" si="92"/>
        <v>22575011625.147202</v>
      </c>
      <c r="BI1534" s="1710">
        <f t="shared" si="93"/>
        <v>23046999592.698547</v>
      </c>
      <c r="BJ1534" s="1711">
        <f t="shared" si="94"/>
        <v>34277926.155112356</v>
      </c>
      <c r="BK1534" s="1711">
        <f t="shared" si="95"/>
        <v>0.97952063279851509</v>
      </c>
    </row>
    <row r="1535" spans="3:67" x14ac:dyDescent="0.25">
      <c r="C1535" s="246" t="s">
        <v>2885</v>
      </c>
      <c r="D1535" s="246">
        <v>1</v>
      </c>
      <c r="E1535" s="246">
        <v>2</v>
      </c>
      <c r="F1535" s="246">
        <v>3</v>
      </c>
      <c r="G1535" s="246">
        <v>4</v>
      </c>
      <c r="H1535" s="246">
        <v>5</v>
      </c>
      <c r="I1535" s="246">
        <v>6</v>
      </c>
      <c r="J1535" s="246">
        <v>10</v>
      </c>
      <c r="K1535" s="246">
        <v>13</v>
      </c>
      <c r="L1535" s="246">
        <v>15</v>
      </c>
      <c r="M1535" s="246">
        <v>16</v>
      </c>
      <c r="N1535" s="246"/>
      <c r="O1535" s="246"/>
      <c r="P1535" s="246"/>
      <c r="Q1535" s="246"/>
      <c r="R1535" s="246">
        <f>IFERROR(VLOOKUP(D1535,PROGRAMAS[],2,FALSE),0)</f>
        <v>97037803.679377079</v>
      </c>
      <c r="S1535" s="246">
        <f>IFERROR(VLOOKUP(E1535,PROGRAMAS[],2,FALSE),0)</f>
        <v>640501509.6821388</v>
      </c>
      <c r="T1535" s="246">
        <f>IFERROR(VLOOKUP(F1535,PROGRAMAS[],2,FALSE),0)</f>
        <v>3062327798.1525245</v>
      </c>
      <c r="U1535" s="246">
        <f>IFERROR(VLOOKUP(G1535,PROGRAMAS[],2,FALSE),0)</f>
        <v>67697118.033011258</v>
      </c>
      <c r="V1535" s="246">
        <f>IFERROR(VLOOKUP(H1535,PROGRAMAS[],2,FALSE),0)</f>
        <v>1440941976.2528784</v>
      </c>
      <c r="W1535" s="246">
        <f>IFERROR(VLOOKUP(I1535,PROGRAMAS[],2,FALSE),0)</f>
        <v>6907648435.8447599</v>
      </c>
      <c r="X1535" s="246">
        <f>IFERROR(VLOOKUP(J1535,PROGRAMAS[],2,FALSE),0)</f>
        <v>4635315027.8751087</v>
      </c>
      <c r="Y1535" s="246">
        <f>IFERROR(VLOOKUP(K1535,PROGRAMAS[],2,FALSE),0)</f>
        <v>3776538594.4604583</v>
      </c>
      <c r="Z1535" s="246">
        <f>IFERROR(VLOOKUP(L1535,PROGRAMAS[],2,FALSE),0)</f>
        <v>122159672.96346797</v>
      </c>
      <c r="AA1535" s="246">
        <f>IFERROR(VLOOKUP(M1535,PROGRAMAS[],2,FALSE),0)</f>
        <v>7068496961.0436354</v>
      </c>
      <c r="AB1535" s="246">
        <f>IFERROR(VLOOKUP(N1535,PROGRAMAS[],2,FALSE),0)</f>
        <v>0</v>
      </c>
      <c r="AC1535" s="246">
        <f>IFERROR(VLOOKUP(O1535,PROGRAMAS[],2,FALSE),0)</f>
        <v>0</v>
      </c>
      <c r="AD1535" s="246">
        <f>IFERROR(VLOOKUP(P1535,PROGRAMAS[],2,FALSE),0)</f>
        <v>0</v>
      </c>
      <c r="AE1535" s="246">
        <f>IFERROR(VLOOKUP(Q1535,PROGRAMAS[],2,FALSE),0)</f>
        <v>0</v>
      </c>
      <c r="AF1535" s="246">
        <f>IFERROR(VLOOKUP(D1535,PROGRAMAS[],3,FALSE),0)</f>
        <v>841888629.31080008</v>
      </c>
      <c r="AG1535" s="246">
        <f>IFERROR(VLOOKUP(E1535,PROGRAMAS[],3,FALSE),0)</f>
        <v>3848980803.1642323</v>
      </c>
      <c r="AH1535" s="246">
        <f>IFERROR(VLOOKUP(F1535,PROGRAMAS[],3,FALSE),0)</f>
        <v>3394901471.387517</v>
      </c>
      <c r="AI1535" s="246">
        <f>IFERROR(VLOOKUP(G1535,PROGRAMAS[],3,FALSE),0)</f>
        <v>125317226.95549992</v>
      </c>
      <c r="AJ1535" s="246">
        <f>IFERROR(VLOOKUP(H1535,PROGRAMAS[],3,FALSE),0)</f>
        <v>1233505101.0616004</v>
      </c>
      <c r="AK1535" s="246">
        <f>IFERROR(VLOOKUP(I1535,PROGRAMAS[],3,FALSE),0)</f>
        <v>6129902208.7912121</v>
      </c>
      <c r="AL1535" s="246">
        <f>IFERROR(VLOOKUP(J1535,PROGRAMAS[],3,FALSE),0)</f>
        <v>4099471734.9978786</v>
      </c>
      <c r="AM1535" s="246">
        <f>IFERROR(VLOOKUP(K1535,PROGRAMAS[],3,FALSE),0)</f>
        <v>2392571243.5584412</v>
      </c>
      <c r="AN1535" s="246">
        <f>IFERROR(VLOOKUP(L1535,PROGRAMAS[],3,FALSE),0)</f>
        <v>118617452.52510804</v>
      </c>
      <c r="AO1535" s="246">
        <f>IFERROR(VLOOKUP(M1535,PROGRAMAS[],3,FALSE),0)</f>
        <v>2406564599.0319901</v>
      </c>
      <c r="AP1535" s="246">
        <f>IFERROR(VLOOKUP(N1535,PROGRAMAS[],3,FALSE),0)</f>
        <v>0</v>
      </c>
      <c r="AQ1535" s="246">
        <f>IFERROR(VLOOKUP(O1535,PROGRAMAS[],3,FALSE),0)</f>
        <v>0</v>
      </c>
      <c r="AR1535" s="246">
        <f>IFERROR(VLOOKUP(P1535,PROGRAMAS[],3,FALSE),0)</f>
        <v>0</v>
      </c>
      <c r="AS1535" s="246">
        <f>IFERROR(VLOOKUP(Q1535,PROGRAMAS[],3,FALSE),0)</f>
        <v>0</v>
      </c>
      <c r="AT1535" s="246">
        <f>IFERROR(VLOOKUP(D1535,VOL_REC[],2,FALSE),0)</f>
        <v>0</v>
      </c>
      <c r="AU1535" s="246">
        <f>IFERROR(VLOOKUP(E1535,VOL_REC[],2,FALSE),0)</f>
        <v>0</v>
      </c>
      <c r="AV1535" s="246">
        <f>IFERROR(VLOOKUP(F1535,VOL_REC[],2,FALSE),0)</f>
        <v>11089674.200000001</v>
      </c>
      <c r="AW1535" s="246">
        <f>IFERROR(VLOOKUP(G1535,VOL_REC[],2,FALSE),0)</f>
        <v>90439.55</v>
      </c>
      <c r="AX1535" s="246">
        <f>IFERROR(VLOOKUP(H1535,VOL_REC[],2,FALSE),0)</f>
        <v>4325103.1812214684</v>
      </c>
      <c r="AY1535" s="246">
        <f>IFERROR(VLOOKUP(I1535,VOL_REC[],2,FALSE),0)</f>
        <v>15540036.397699751</v>
      </c>
      <c r="AZ1535" s="246">
        <f>IFERROR(VLOOKUP(J1535,VOL_REC[],2,FALSE),0)</f>
        <v>1812240</v>
      </c>
      <c r="BA1535" s="246">
        <f>IFERROR(VLOOKUP(K1535,VOL_REC[],2,FALSE),0)</f>
        <v>663244.80000000016</v>
      </c>
      <c r="BB1535" s="246">
        <f>IFERROR(VLOOKUP(L1535,VOL_REC[],2,FALSE),0)</f>
        <v>105072</v>
      </c>
      <c r="BC1535" s="246">
        <f>IFERROR(VLOOKUP(M1535,VOL_REC[],2,FALSE),0)</f>
        <v>1072354.9981737854</v>
      </c>
      <c r="BD1535" s="246">
        <f>IFERROR(VLOOKUP(N1535,VOL_REC[],2,FALSE),0)</f>
        <v>0</v>
      </c>
      <c r="BE1535" s="246">
        <f>IFERROR(VLOOKUP(O1535,VOL_REC[],2,FALSE),0)</f>
        <v>0</v>
      </c>
      <c r="BF1535" s="246">
        <f>IFERROR(VLOOKUP(P1535,VOL_REC[],2,FALSE),0)</f>
        <v>0</v>
      </c>
      <c r="BG1535" s="246">
        <f>IFERROR(VLOOKUP(Q1535,VOL_REC[],2,FALSE),0)</f>
        <v>0</v>
      </c>
      <c r="BH1535" s="1710">
        <f t="shared" si="92"/>
        <v>27818664897.987362</v>
      </c>
      <c r="BI1535" s="1710">
        <f t="shared" si="93"/>
        <v>24591720470.784279</v>
      </c>
      <c r="BJ1535" s="1711">
        <f t="shared" si="94"/>
        <v>34698165.127095014</v>
      </c>
      <c r="BK1535" s="1711">
        <f t="shared" si="95"/>
        <v>1.1312207672105248</v>
      </c>
      <c r="BL1535">
        <f>BJ1535</f>
        <v>34698165.127095014</v>
      </c>
      <c r="BO1535">
        <f>BL1535</f>
        <v>34698165.127095014</v>
      </c>
    </row>
    <row r="1536" spans="3:67" x14ac:dyDescent="0.25">
      <c r="C1536" s="246" t="s">
        <v>2886</v>
      </c>
      <c r="D1536" s="246">
        <v>1</v>
      </c>
      <c r="E1536" s="246">
        <v>2</v>
      </c>
      <c r="F1536" s="246">
        <v>3</v>
      </c>
      <c r="G1536" s="246">
        <v>4</v>
      </c>
      <c r="H1536" s="246">
        <v>5</v>
      </c>
      <c r="I1536" s="246">
        <v>6</v>
      </c>
      <c r="J1536" s="246">
        <v>10</v>
      </c>
      <c r="K1536" s="246">
        <v>13</v>
      </c>
      <c r="L1536" s="246">
        <v>15</v>
      </c>
      <c r="M1536" s="246">
        <v>17</v>
      </c>
      <c r="N1536" s="246"/>
      <c r="O1536" s="246"/>
      <c r="P1536" s="246"/>
      <c r="Q1536" s="246"/>
      <c r="R1536" s="246">
        <f>IFERROR(VLOOKUP(D1536,PROGRAMAS[],2,FALSE),0)</f>
        <v>97037803.679377079</v>
      </c>
      <c r="S1536" s="246">
        <f>IFERROR(VLOOKUP(E1536,PROGRAMAS[],2,FALSE),0)</f>
        <v>640501509.6821388</v>
      </c>
      <c r="T1536" s="246">
        <f>IFERROR(VLOOKUP(F1536,PROGRAMAS[],2,FALSE),0)</f>
        <v>3062327798.1525245</v>
      </c>
      <c r="U1536" s="246">
        <f>IFERROR(VLOOKUP(G1536,PROGRAMAS[],2,FALSE),0)</f>
        <v>67697118.033011258</v>
      </c>
      <c r="V1536" s="246">
        <f>IFERROR(VLOOKUP(H1536,PROGRAMAS[],2,FALSE),0)</f>
        <v>1440941976.2528784</v>
      </c>
      <c r="W1536" s="246">
        <f>IFERROR(VLOOKUP(I1536,PROGRAMAS[],2,FALSE),0)</f>
        <v>6907648435.8447599</v>
      </c>
      <c r="X1536" s="246">
        <f>IFERROR(VLOOKUP(J1536,PROGRAMAS[],2,FALSE),0)</f>
        <v>4635315027.8751087</v>
      </c>
      <c r="Y1536" s="246">
        <f>IFERROR(VLOOKUP(K1536,PROGRAMAS[],2,FALSE),0)</f>
        <v>3776538594.4604583</v>
      </c>
      <c r="Z1536" s="246">
        <f>IFERROR(VLOOKUP(L1536,PROGRAMAS[],2,FALSE),0)</f>
        <v>122159672.96346797</v>
      </c>
      <c r="AA1536" s="246">
        <f>IFERROR(VLOOKUP(M1536,PROGRAMAS[],2,FALSE),0)</f>
        <v>1892779498.5211046</v>
      </c>
      <c r="AB1536" s="246">
        <f>IFERROR(VLOOKUP(N1536,PROGRAMAS[],2,FALSE),0)</f>
        <v>0</v>
      </c>
      <c r="AC1536" s="246">
        <f>IFERROR(VLOOKUP(O1536,PROGRAMAS[],2,FALSE),0)</f>
        <v>0</v>
      </c>
      <c r="AD1536" s="246">
        <f>IFERROR(VLOOKUP(P1536,PROGRAMAS[],2,FALSE),0)</f>
        <v>0</v>
      </c>
      <c r="AE1536" s="246">
        <f>IFERROR(VLOOKUP(Q1536,PROGRAMAS[],2,FALSE),0)</f>
        <v>0</v>
      </c>
      <c r="AF1536" s="246">
        <f>IFERROR(VLOOKUP(D1536,PROGRAMAS[],3,FALSE),0)</f>
        <v>841888629.31080008</v>
      </c>
      <c r="AG1536" s="246">
        <f>IFERROR(VLOOKUP(E1536,PROGRAMAS[],3,FALSE),0)</f>
        <v>3848980803.1642323</v>
      </c>
      <c r="AH1536" s="246">
        <f>IFERROR(VLOOKUP(F1536,PROGRAMAS[],3,FALSE),0)</f>
        <v>3394901471.387517</v>
      </c>
      <c r="AI1536" s="246">
        <f>IFERROR(VLOOKUP(G1536,PROGRAMAS[],3,FALSE),0)</f>
        <v>125317226.95549992</v>
      </c>
      <c r="AJ1536" s="246">
        <f>IFERROR(VLOOKUP(H1536,PROGRAMAS[],3,FALSE),0)</f>
        <v>1233505101.0616004</v>
      </c>
      <c r="AK1536" s="246">
        <f>IFERROR(VLOOKUP(I1536,PROGRAMAS[],3,FALSE),0)</f>
        <v>6129902208.7912121</v>
      </c>
      <c r="AL1536" s="246">
        <f>IFERROR(VLOOKUP(J1536,PROGRAMAS[],3,FALSE),0)</f>
        <v>4099471734.9978786</v>
      </c>
      <c r="AM1536" s="246">
        <f>IFERROR(VLOOKUP(K1536,PROGRAMAS[],3,FALSE),0)</f>
        <v>2392571243.5584412</v>
      </c>
      <c r="AN1536" s="246">
        <f>IFERROR(VLOOKUP(L1536,PROGRAMAS[],3,FALSE),0)</f>
        <v>118617452.52510804</v>
      </c>
      <c r="AO1536" s="246">
        <f>IFERROR(VLOOKUP(M1536,PROGRAMAS[],3,FALSE),0)</f>
        <v>948595847.09039903</v>
      </c>
      <c r="AP1536" s="246">
        <f>IFERROR(VLOOKUP(N1536,PROGRAMAS[],3,FALSE),0)</f>
        <v>0</v>
      </c>
      <c r="AQ1536" s="246">
        <f>IFERROR(VLOOKUP(O1536,PROGRAMAS[],3,FALSE),0)</f>
        <v>0</v>
      </c>
      <c r="AR1536" s="246">
        <f>IFERROR(VLOOKUP(P1536,PROGRAMAS[],3,FALSE),0)</f>
        <v>0</v>
      </c>
      <c r="AS1536" s="246">
        <f>IFERROR(VLOOKUP(Q1536,PROGRAMAS[],3,FALSE),0)</f>
        <v>0</v>
      </c>
      <c r="AT1536" s="246">
        <f>IFERROR(VLOOKUP(D1536,VOL_REC[],2,FALSE),0)</f>
        <v>0</v>
      </c>
      <c r="AU1536" s="246">
        <f>IFERROR(VLOOKUP(E1536,VOL_REC[],2,FALSE),0)</f>
        <v>0</v>
      </c>
      <c r="AV1536" s="246">
        <f>IFERROR(VLOOKUP(F1536,VOL_REC[],2,FALSE),0)</f>
        <v>11089674.200000001</v>
      </c>
      <c r="AW1536" s="246">
        <f>IFERROR(VLOOKUP(G1536,VOL_REC[],2,FALSE),0)</f>
        <v>90439.55</v>
      </c>
      <c r="AX1536" s="246">
        <f>IFERROR(VLOOKUP(H1536,VOL_REC[],2,FALSE),0)</f>
        <v>4325103.1812214684</v>
      </c>
      <c r="AY1536" s="246">
        <f>IFERROR(VLOOKUP(I1536,VOL_REC[],2,FALSE),0)</f>
        <v>15540036.397699751</v>
      </c>
      <c r="AZ1536" s="246">
        <f>IFERROR(VLOOKUP(J1536,VOL_REC[],2,FALSE),0)</f>
        <v>1812240</v>
      </c>
      <c r="BA1536" s="246">
        <f>IFERROR(VLOOKUP(K1536,VOL_REC[],2,FALSE),0)</f>
        <v>663244.80000000016</v>
      </c>
      <c r="BB1536" s="246">
        <f>IFERROR(VLOOKUP(L1536,VOL_REC[],2,FALSE),0)</f>
        <v>105072</v>
      </c>
      <c r="BC1536" s="246">
        <f>IFERROR(VLOOKUP(M1536,VOL_REC[],2,FALSE),0)</f>
        <v>740113.98115702497</v>
      </c>
      <c r="BD1536" s="246">
        <f>IFERROR(VLOOKUP(N1536,VOL_REC[],2,FALSE),0)</f>
        <v>0</v>
      </c>
      <c r="BE1536" s="246">
        <f>IFERROR(VLOOKUP(O1536,VOL_REC[],2,FALSE),0)</f>
        <v>0</v>
      </c>
      <c r="BF1536" s="246">
        <f>IFERROR(VLOOKUP(P1536,VOL_REC[],2,FALSE),0)</f>
        <v>0</v>
      </c>
      <c r="BG1536" s="246">
        <f>IFERROR(VLOOKUP(Q1536,VOL_REC[],2,FALSE),0)</f>
        <v>0</v>
      </c>
      <c r="BH1536" s="1710">
        <f t="shared" si="92"/>
        <v>22642947435.464828</v>
      </c>
      <c r="BI1536" s="1710">
        <f t="shared" si="93"/>
        <v>23133751718.84269</v>
      </c>
      <c r="BJ1536" s="1711">
        <f t="shared" si="94"/>
        <v>34365924.110078253</v>
      </c>
      <c r="BK1536" s="1711">
        <f t="shared" si="95"/>
        <v>0.97878406021890108</v>
      </c>
    </row>
    <row r="1537" spans="3:67" x14ac:dyDescent="0.25">
      <c r="C1537" s="246" t="s">
        <v>2887</v>
      </c>
      <c r="D1537" s="246">
        <v>1</v>
      </c>
      <c r="E1537" s="246">
        <v>2</v>
      </c>
      <c r="F1537" s="246">
        <v>3</v>
      </c>
      <c r="G1537" s="246">
        <v>4</v>
      </c>
      <c r="H1537" s="246">
        <v>5</v>
      </c>
      <c r="I1537" s="246">
        <v>6</v>
      </c>
      <c r="J1537" s="246">
        <v>10</v>
      </c>
      <c r="K1537" s="246">
        <v>13</v>
      </c>
      <c r="L1537" s="246">
        <v>16</v>
      </c>
      <c r="M1537" s="246">
        <v>17</v>
      </c>
      <c r="N1537" s="246"/>
      <c r="O1537" s="246"/>
      <c r="P1537" s="246"/>
      <c r="Q1537" s="246"/>
      <c r="R1537" s="246">
        <f>IFERROR(VLOOKUP(D1537,PROGRAMAS[],2,FALSE),0)</f>
        <v>97037803.679377079</v>
      </c>
      <c r="S1537" s="246">
        <f>IFERROR(VLOOKUP(E1537,PROGRAMAS[],2,FALSE),0)</f>
        <v>640501509.6821388</v>
      </c>
      <c r="T1537" s="246">
        <f>IFERROR(VLOOKUP(F1537,PROGRAMAS[],2,FALSE),0)</f>
        <v>3062327798.1525245</v>
      </c>
      <c r="U1537" s="246">
        <f>IFERROR(VLOOKUP(G1537,PROGRAMAS[],2,FALSE),0)</f>
        <v>67697118.033011258</v>
      </c>
      <c r="V1537" s="246">
        <f>IFERROR(VLOOKUP(H1537,PROGRAMAS[],2,FALSE),0)</f>
        <v>1440941976.2528784</v>
      </c>
      <c r="W1537" s="246">
        <f>IFERROR(VLOOKUP(I1537,PROGRAMAS[],2,FALSE),0)</f>
        <v>6907648435.8447599</v>
      </c>
      <c r="X1537" s="246">
        <f>IFERROR(VLOOKUP(J1537,PROGRAMAS[],2,FALSE),0)</f>
        <v>4635315027.8751087</v>
      </c>
      <c r="Y1537" s="246">
        <f>IFERROR(VLOOKUP(K1537,PROGRAMAS[],2,FALSE),0)</f>
        <v>3776538594.4604583</v>
      </c>
      <c r="Z1537" s="246">
        <f>IFERROR(VLOOKUP(L1537,PROGRAMAS[],2,FALSE),0)</f>
        <v>7068496961.0436354</v>
      </c>
      <c r="AA1537" s="246">
        <f>IFERROR(VLOOKUP(M1537,PROGRAMAS[],2,FALSE),0)</f>
        <v>1892779498.5211046</v>
      </c>
      <c r="AB1537" s="246">
        <f>IFERROR(VLOOKUP(N1537,PROGRAMAS[],2,FALSE),0)</f>
        <v>0</v>
      </c>
      <c r="AC1537" s="246">
        <f>IFERROR(VLOOKUP(O1537,PROGRAMAS[],2,FALSE),0)</f>
        <v>0</v>
      </c>
      <c r="AD1537" s="246">
        <f>IFERROR(VLOOKUP(P1537,PROGRAMAS[],2,FALSE),0)</f>
        <v>0</v>
      </c>
      <c r="AE1537" s="246">
        <f>IFERROR(VLOOKUP(Q1537,PROGRAMAS[],2,FALSE),0)</f>
        <v>0</v>
      </c>
      <c r="AF1537" s="246">
        <f>IFERROR(VLOOKUP(D1537,PROGRAMAS[],3,FALSE),0)</f>
        <v>841888629.31080008</v>
      </c>
      <c r="AG1537" s="246">
        <f>IFERROR(VLOOKUP(E1537,PROGRAMAS[],3,FALSE),0)</f>
        <v>3848980803.1642323</v>
      </c>
      <c r="AH1537" s="246">
        <f>IFERROR(VLOOKUP(F1537,PROGRAMAS[],3,FALSE),0)</f>
        <v>3394901471.387517</v>
      </c>
      <c r="AI1537" s="246">
        <f>IFERROR(VLOOKUP(G1537,PROGRAMAS[],3,FALSE),0)</f>
        <v>125317226.95549992</v>
      </c>
      <c r="AJ1537" s="246">
        <f>IFERROR(VLOOKUP(H1537,PROGRAMAS[],3,FALSE),0)</f>
        <v>1233505101.0616004</v>
      </c>
      <c r="AK1537" s="246">
        <f>IFERROR(VLOOKUP(I1537,PROGRAMAS[],3,FALSE),0)</f>
        <v>6129902208.7912121</v>
      </c>
      <c r="AL1537" s="246">
        <f>IFERROR(VLOOKUP(J1537,PROGRAMAS[],3,FALSE),0)</f>
        <v>4099471734.9978786</v>
      </c>
      <c r="AM1537" s="246">
        <f>IFERROR(VLOOKUP(K1537,PROGRAMAS[],3,FALSE),0)</f>
        <v>2392571243.5584412</v>
      </c>
      <c r="AN1537" s="246">
        <f>IFERROR(VLOOKUP(L1537,PROGRAMAS[],3,FALSE),0)</f>
        <v>2406564599.0319901</v>
      </c>
      <c r="AO1537" s="246">
        <f>IFERROR(VLOOKUP(M1537,PROGRAMAS[],3,FALSE),0)</f>
        <v>948595847.09039903</v>
      </c>
      <c r="AP1537" s="246">
        <f>IFERROR(VLOOKUP(N1537,PROGRAMAS[],3,FALSE),0)</f>
        <v>0</v>
      </c>
      <c r="AQ1537" s="246">
        <f>IFERROR(VLOOKUP(O1537,PROGRAMAS[],3,FALSE),0)</f>
        <v>0</v>
      </c>
      <c r="AR1537" s="246">
        <f>IFERROR(VLOOKUP(P1537,PROGRAMAS[],3,FALSE),0)</f>
        <v>0</v>
      </c>
      <c r="AS1537" s="246">
        <f>IFERROR(VLOOKUP(Q1537,PROGRAMAS[],3,FALSE),0)</f>
        <v>0</v>
      </c>
      <c r="AT1537" s="246">
        <f>IFERROR(VLOOKUP(D1537,VOL_REC[],2,FALSE),0)</f>
        <v>0</v>
      </c>
      <c r="AU1537" s="246">
        <f>IFERROR(VLOOKUP(E1537,VOL_REC[],2,FALSE),0)</f>
        <v>0</v>
      </c>
      <c r="AV1537" s="246">
        <f>IFERROR(VLOOKUP(F1537,VOL_REC[],2,FALSE),0)</f>
        <v>11089674.200000001</v>
      </c>
      <c r="AW1537" s="246">
        <f>IFERROR(VLOOKUP(G1537,VOL_REC[],2,FALSE),0)</f>
        <v>90439.55</v>
      </c>
      <c r="AX1537" s="246">
        <f>IFERROR(VLOOKUP(H1537,VOL_REC[],2,FALSE),0)</f>
        <v>4325103.1812214684</v>
      </c>
      <c r="AY1537" s="246">
        <f>IFERROR(VLOOKUP(I1537,VOL_REC[],2,FALSE),0)</f>
        <v>15540036.397699751</v>
      </c>
      <c r="AZ1537" s="246">
        <f>IFERROR(VLOOKUP(J1537,VOL_REC[],2,FALSE),0)</f>
        <v>1812240</v>
      </c>
      <c r="BA1537" s="246">
        <f>IFERROR(VLOOKUP(K1537,VOL_REC[],2,FALSE),0)</f>
        <v>663244.80000000016</v>
      </c>
      <c r="BB1537" s="246">
        <f>IFERROR(VLOOKUP(L1537,VOL_REC[],2,FALSE),0)</f>
        <v>1072354.9981737854</v>
      </c>
      <c r="BC1537" s="246">
        <f>IFERROR(VLOOKUP(M1537,VOL_REC[],2,FALSE),0)</f>
        <v>740113.98115702497</v>
      </c>
      <c r="BD1537" s="246">
        <f>IFERROR(VLOOKUP(N1537,VOL_REC[],2,FALSE),0)</f>
        <v>0</v>
      </c>
      <c r="BE1537" s="246">
        <f>IFERROR(VLOOKUP(O1537,VOL_REC[],2,FALSE),0)</f>
        <v>0</v>
      </c>
      <c r="BF1537" s="246">
        <f>IFERROR(VLOOKUP(P1537,VOL_REC[],2,FALSE),0)</f>
        <v>0</v>
      </c>
      <c r="BG1537" s="246">
        <f>IFERROR(VLOOKUP(Q1537,VOL_REC[],2,FALSE),0)</f>
        <v>0</v>
      </c>
      <c r="BH1537" s="1710">
        <f t="shared" si="92"/>
        <v>29589284723.544998</v>
      </c>
      <c r="BI1537" s="1710">
        <f t="shared" si="93"/>
        <v>25421698865.349571</v>
      </c>
      <c r="BJ1537" s="1711">
        <f t="shared" si="94"/>
        <v>35333207.108252034</v>
      </c>
      <c r="BK1537" s="1711">
        <f t="shared" si="95"/>
        <v>1.1639381333352175</v>
      </c>
      <c r="BL1537">
        <f>BJ1537</f>
        <v>35333207.108252034</v>
      </c>
      <c r="BO1537">
        <f>BL1537</f>
        <v>35333207.108252034</v>
      </c>
    </row>
    <row r="1538" spans="3:67" x14ac:dyDescent="0.25">
      <c r="C1538" s="246" t="s">
        <v>2888</v>
      </c>
      <c r="D1538" s="246">
        <v>1</v>
      </c>
      <c r="E1538" s="246">
        <v>2</v>
      </c>
      <c r="F1538" s="246">
        <v>3</v>
      </c>
      <c r="G1538" s="246">
        <v>4</v>
      </c>
      <c r="H1538" s="246">
        <v>5</v>
      </c>
      <c r="I1538" s="246">
        <v>6</v>
      </c>
      <c r="J1538" s="246">
        <v>10</v>
      </c>
      <c r="K1538" s="246">
        <v>14</v>
      </c>
      <c r="L1538" s="246">
        <v>15</v>
      </c>
      <c r="M1538" s="246">
        <v>16</v>
      </c>
      <c r="N1538" s="246"/>
      <c r="O1538" s="246"/>
      <c r="P1538" s="246"/>
      <c r="Q1538" s="246"/>
      <c r="R1538" s="246">
        <f>IFERROR(VLOOKUP(D1538,PROGRAMAS[],2,FALSE),0)</f>
        <v>97037803.679377079</v>
      </c>
      <c r="S1538" s="246">
        <f>IFERROR(VLOOKUP(E1538,PROGRAMAS[],2,FALSE),0)</f>
        <v>640501509.6821388</v>
      </c>
      <c r="T1538" s="246">
        <f>IFERROR(VLOOKUP(F1538,PROGRAMAS[],2,FALSE),0)</f>
        <v>3062327798.1525245</v>
      </c>
      <c r="U1538" s="246">
        <f>IFERROR(VLOOKUP(G1538,PROGRAMAS[],2,FALSE),0)</f>
        <v>67697118.033011258</v>
      </c>
      <c r="V1538" s="246">
        <f>IFERROR(VLOOKUP(H1538,PROGRAMAS[],2,FALSE),0)</f>
        <v>1440941976.2528784</v>
      </c>
      <c r="W1538" s="246">
        <f>IFERROR(VLOOKUP(I1538,PROGRAMAS[],2,FALSE),0)</f>
        <v>6907648435.8447599</v>
      </c>
      <c r="X1538" s="246">
        <f>IFERROR(VLOOKUP(J1538,PROGRAMAS[],2,FALSE),0)</f>
        <v>4635315027.8751087</v>
      </c>
      <c r="Y1538" s="246">
        <f>IFERROR(VLOOKUP(K1538,PROGRAMAS[],2,FALSE),0)</f>
        <v>54223862.645839565</v>
      </c>
      <c r="Z1538" s="246">
        <f>IFERROR(VLOOKUP(L1538,PROGRAMAS[],2,FALSE),0)</f>
        <v>122159672.96346797</v>
      </c>
      <c r="AA1538" s="246">
        <f>IFERROR(VLOOKUP(M1538,PROGRAMAS[],2,FALSE),0)</f>
        <v>7068496961.0436354</v>
      </c>
      <c r="AB1538" s="246">
        <f>IFERROR(VLOOKUP(N1538,PROGRAMAS[],2,FALSE),0)</f>
        <v>0</v>
      </c>
      <c r="AC1538" s="246">
        <f>IFERROR(VLOOKUP(O1538,PROGRAMAS[],2,FALSE),0)</f>
        <v>0</v>
      </c>
      <c r="AD1538" s="246">
        <f>IFERROR(VLOOKUP(P1538,PROGRAMAS[],2,FALSE),0)</f>
        <v>0</v>
      </c>
      <c r="AE1538" s="246">
        <f>IFERROR(VLOOKUP(Q1538,PROGRAMAS[],2,FALSE),0)</f>
        <v>0</v>
      </c>
      <c r="AF1538" s="246">
        <f>IFERROR(VLOOKUP(D1538,PROGRAMAS[],3,FALSE),0)</f>
        <v>841888629.31080008</v>
      </c>
      <c r="AG1538" s="246">
        <f>IFERROR(VLOOKUP(E1538,PROGRAMAS[],3,FALSE),0)</f>
        <v>3848980803.1642323</v>
      </c>
      <c r="AH1538" s="246">
        <f>IFERROR(VLOOKUP(F1538,PROGRAMAS[],3,FALSE),0)</f>
        <v>3394901471.387517</v>
      </c>
      <c r="AI1538" s="246">
        <f>IFERROR(VLOOKUP(G1538,PROGRAMAS[],3,FALSE),0)</f>
        <v>125317226.95549992</v>
      </c>
      <c r="AJ1538" s="246">
        <f>IFERROR(VLOOKUP(H1538,PROGRAMAS[],3,FALSE),0)</f>
        <v>1233505101.0616004</v>
      </c>
      <c r="AK1538" s="246">
        <f>IFERROR(VLOOKUP(I1538,PROGRAMAS[],3,FALSE),0)</f>
        <v>6129902208.7912121</v>
      </c>
      <c r="AL1538" s="246">
        <f>IFERROR(VLOOKUP(J1538,PROGRAMAS[],3,FALSE),0)</f>
        <v>4099471734.9978786</v>
      </c>
      <c r="AM1538" s="246">
        <f>IFERROR(VLOOKUP(K1538,PROGRAMAS[],3,FALSE),0)</f>
        <v>31865326.38096505</v>
      </c>
      <c r="AN1538" s="246">
        <f>IFERROR(VLOOKUP(L1538,PROGRAMAS[],3,FALSE),0)</f>
        <v>118617452.52510804</v>
      </c>
      <c r="AO1538" s="246">
        <f>IFERROR(VLOOKUP(M1538,PROGRAMAS[],3,FALSE),0)</f>
        <v>2406564599.0319901</v>
      </c>
      <c r="AP1538" s="246">
        <f>IFERROR(VLOOKUP(N1538,PROGRAMAS[],3,FALSE),0)</f>
        <v>0</v>
      </c>
      <c r="AQ1538" s="246">
        <f>IFERROR(VLOOKUP(O1538,PROGRAMAS[],3,FALSE),0)</f>
        <v>0</v>
      </c>
      <c r="AR1538" s="246">
        <f>IFERROR(VLOOKUP(P1538,PROGRAMAS[],3,FALSE),0)</f>
        <v>0</v>
      </c>
      <c r="AS1538" s="246">
        <f>IFERROR(VLOOKUP(Q1538,PROGRAMAS[],3,FALSE),0)</f>
        <v>0</v>
      </c>
      <c r="AT1538" s="246">
        <f>IFERROR(VLOOKUP(D1538,VOL_REC[],2,FALSE),0)</f>
        <v>0</v>
      </c>
      <c r="AU1538" s="246">
        <f>IFERROR(VLOOKUP(E1538,VOL_REC[],2,FALSE),0)</f>
        <v>0</v>
      </c>
      <c r="AV1538" s="246">
        <f>IFERROR(VLOOKUP(F1538,VOL_REC[],2,FALSE),0)</f>
        <v>11089674.200000001</v>
      </c>
      <c r="AW1538" s="246">
        <f>IFERROR(VLOOKUP(G1538,VOL_REC[],2,FALSE),0)</f>
        <v>90439.55</v>
      </c>
      <c r="AX1538" s="246">
        <f>IFERROR(VLOOKUP(H1538,VOL_REC[],2,FALSE),0)</f>
        <v>4325103.1812214684</v>
      </c>
      <c r="AY1538" s="246">
        <f>IFERROR(VLOOKUP(I1538,VOL_REC[],2,FALSE),0)</f>
        <v>15540036.397699751</v>
      </c>
      <c r="AZ1538" s="246">
        <f>IFERROR(VLOOKUP(J1538,VOL_REC[],2,FALSE),0)</f>
        <v>1812240</v>
      </c>
      <c r="BA1538" s="246">
        <f>IFERROR(VLOOKUP(K1538,VOL_REC[],2,FALSE),0)</f>
        <v>17074.045034105649</v>
      </c>
      <c r="BB1538" s="246">
        <f>IFERROR(VLOOKUP(L1538,VOL_REC[],2,FALSE),0)</f>
        <v>105072</v>
      </c>
      <c r="BC1538" s="246">
        <f>IFERROR(VLOOKUP(M1538,VOL_REC[],2,FALSE),0)</f>
        <v>1072354.9981737854</v>
      </c>
      <c r="BD1538" s="246">
        <f>IFERROR(VLOOKUP(N1538,VOL_REC[],2,FALSE),0)</f>
        <v>0</v>
      </c>
      <c r="BE1538" s="246">
        <f>IFERROR(VLOOKUP(O1538,VOL_REC[],2,FALSE),0)</f>
        <v>0</v>
      </c>
      <c r="BF1538" s="246">
        <f>IFERROR(VLOOKUP(P1538,VOL_REC[],2,FALSE),0)</f>
        <v>0</v>
      </c>
      <c r="BG1538" s="246">
        <f>IFERROR(VLOOKUP(Q1538,VOL_REC[],2,FALSE),0)</f>
        <v>0</v>
      </c>
      <c r="BH1538" s="1710">
        <f t="shared" ref="BH1538:BH1601" si="96">SUM(R1538:AE1538)</f>
        <v>24096350166.172745</v>
      </c>
      <c r="BI1538" s="1710">
        <f t="shared" ref="BI1538:BI1601" si="97">SUM(AF1538:AS1538)</f>
        <v>22231014553.606804</v>
      </c>
      <c r="BJ1538" s="1711">
        <f t="shared" ref="BJ1538:BJ1601" si="98">SUM(AT1538:BG1538)</f>
        <v>34051994.372129112</v>
      </c>
      <c r="BK1538" s="1711">
        <f t="shared" ref="BK1538:BK1601" si="99">IFERROR(BH1538/BI1538,0)</f>
        <v>1.0839069043865703</v>
      </c>
      <c r="BL1538">
        <f>BJ1538</f>
        <v>34051994.372129112</v>
      </c>
      <c r="BO1538">
        <f>BL1538</f>
        <v>34051994.372129112</v>
      </c>
    </row>
    <row r="1539" spans="3:67" x14ac:dyDescent="0.25">
      <c r="C1539" s="246" t="s">
        <v>2889</v>
      </c>
      <c r="D1539" s="246">
        <v>1</v>
      </c>
      <c r="E1539" s="246">
        <v>2</v>
      </c>
      <c r="F1539" s="246">
        <v>3</v>
      </c>
      <c r="G1539" s="246">
        <v>4</v>
      </c>
      <c r="H1539" s="246">
        <v>5</v>
      </c>
      <c r="I1539" s="246">
        <v>6</v>
      </c>
      <c r="J1539" s="246">
        <v>10</v>
      </c>
      <c r="K1539" s="246">
        <v>14</v>
      </c>
      <c r="L1539" s="246">
        <v>15</v>
      </c>
      <c r="M1539" s="246">
        <v>17</v>
      </c>
      <c r="N1539" s="246"/>
      <c r="O1539" s="246"/>
      <c r="P1539" s="246"/>
      <c r="Q1539" s="246"/>
      <c r="R1539" s="246">
        <f>IFERROR(VLOOKUP(D1539,PROGRAMAS[],2,FALSE),0)</f>
        <v>97037803.679377079</v>
      </c>
      <c r="S1539" s="246">
        <f>IFERROR(VLOOKUP(E1539,PROGRAMAS[],2,FALSE),0)</f>
        <v>640501509.6821388</v>
      </c>
      <c r="T1539" s="246">
        <f>IFERROR(VLOOKUP(F1539,PROGRAMAS[],2,FALSE),0)</f>
        <v>3062327798.1525245</v>
      </c>
      <c r="U1539" s="246">
        <f>IFERROR(VLOOKUP(G1539,PROGRAMAS[],2,FALSE),0)</f>
        <v>67697118.033011258</v>
      </c>
      <c r="V1539" s="246">
        <f>IFERROR(VLOOKUP(H1539,PROGRAMAS[],2,FALSE),0)</f>
        <v>1440941976.2528784</v>
      </c>
      <c r="W1539" s="246">
        <f>IFERROR(VLOOKUP(I1539,PROGRAMAS[],2,FALSE),0)</f>
        <v>6907648435.8447599</v>
      </c>
      <c r="X1539" s="246">
        <f>IFERROR(VLOOKUP(J1539,PROGRAMAS[],2,FALSE),0)</f>
        <v>4635315027.8751087</v>
      </c>
      <c r="Y1539" s="246">
        <f>IFERROR(VLOOKUP(K1539,PROGRAMAS[],2,FALSE),0)</f>
        <v>54223862.645839565</v>
      </c>
      <c r="Z1539" s="246">
        <f>IFERROR(VLOOKUP(L1539,PROGRAMAS[],2,FALSE),0)</f>
        <v>122159672.96346797</v>
      </c>
      <c r="AA1539" s="246">
        <f>IFERROR(VLOOKUP(M1539,PROGRAMAS[],2,FALSE),0)</f>
        <v>1892779498.5211046</v>
      </c>
      <c r="AB1539" s="246">
        <f>IFERROR(VLOOKUP(N1539,PROGRAMAS[],2,FALSE),0)</f>
        <v>0</v>
      </c>
      <c r="AC1539" s="246">
        <f>IFERROR(VLOOKUP(O1539,PROGRAMAS[],2,FALSE),0)</f>
        <v>0</v>
      </c>
      <c r="AD1539" s="246">
        <f>IFERROR(VLOOKUP(P1539,PROGRAMAS[],2,FALSE),0)</f>
        <v>0</v>
      </c>
      <c r="AE1539" s="246">
        <f>IFERROR(VLOOKUP(Q1539,PROGRAMAS[],2,FALSE),0)</f>
        <v>0</v>
      </c>
      <c r="AF1539" s="246">
        <f>IFERROR(VLOOKUP(D1539,PROGRAMAS[],3,FALSE),0)</f>
        <v>841888629.31080008</v>
      </c>
      <c r="AG1539" s="246">
        <f>IFERROR(VLOOKUP(E1539,PROGRAMAS[],3,FALSE),0)</f>
        <v>3848980803.1642323</v>
      </c>
      <c r="AH1539" s="246">
        <f>IFERROR(VLOOKUP(F1539,PROGRAMAS[],3,FALSE),0)</f>
        <v>3394901471.387517</v>
      </c>
      <c r="AI1539" s="246">
        <f>IFERROR(VLOOKUP(G1539,PROGRAMAS[],3,FALSE),0)</f>
        <v>125317226.95549992</v>
      </c>
      <c r="AJ1539" s="246">
        <f>IFERROR(VLOOKUP(H1539,PROGRAMAS[],3,FALSE),0)</f>
        <v>1233505101.0616004</v>
      </c>
      <c r="AK1539" s="246">
        <f>IFERROR(VLOOKUP(I1539,PROGRAMAS[],3,FALSE),0)</f>
        <v>6129902208.7912121</v>
      </c>
      <c r="AL1539" s="246">
        <f>IFERROR(VLOOKUP(J1539,PROGRAMAS[],3,FALSE),0)</f>
        <v>4099471734.9978786</v>
      </c>
      <c r="AM1539" s="246">
        <f>IFERROR(VLOOKUP(K1539,PROGRAMAS[],3,FALSE),0)</f>
        <v>31865326.38096505</v>
      </c>
      <c r="AN1539" s="246">
        <f>IFERROR(VLOOKUP(L1539,PROGRAMAS[],3,FALSE),0)</f>
        <v>118617452.52510804</v>
      </c>
      <c r="AO1539" s="246">
        <f>IFERROR(VLOOKUP(M1539,PROGRAMAS[],3,FALSE),0)</f>
        <v>948595847.09039903</v>
      </c>
      <c r="AP1539" s="246">
        <f>IFERROR(VLOOKUP(N1539,PROGRAMAS[],3,FALSE),0)</f>
        <v>0</v>
      </c>
      <c r="AQ1539" s="246">
        <f>IFERROR(VLOOKUP(O1539,PROGRAMAS[],3,FALSE),0)</f>
        <v>0</v>
      </c>
      <c r="AR1539" s="246">
        <f>IFERROR(VLOOKUP(P1539,PROGRAMAS[],3,FALSE),0)</f>
        <v>0</v>
      </c>
      <c r="AS1539" s="246">
        <f>IFERROR(VLOOKUP(Q1539,PROGRAMAS[],3,FALSE),0)</f>
        <v>0</v>
      </c>
      <c r="AT1539" s="246">
        <f>IFERROR(VLOOKUP(D1539,VOL_REC[],2,FALSE),0)</f>
        <v>0</v>
      </c>
      <c r="AU1539" s="246">
        <f>IFERROR(VLOOKUP(E1539,VOL_REC[],2,FALSE),0)</f>
        <v>0</v>
      </c>
      <c r="AV1539" s="246">
        <f>IFERROR(VLOOKUP(F1539,VOL_REC[],2,FALSE),0)</f>
        <v>11089674.200000001</v>
      </c>
      <c r="AW1539" s="246">
        <f>IFERROR(VLOOKUP(G1539,VOL_REC[],2,FALSE),0)</f>
        <v>90439.55</v>
      </c>
      <c r="AX1539" s="246">
        <f>IFERROR(VLOOKUP(H1539,VOL_REC[],2,FALSE),0)</f>
        <v>4325103.1812214684</v>
      </c>
      <c r="AY1539" s="246">
        <f>IFERROR(VLOOKUP(I1539,VOL_REC[],2,FALSE),0)</f>
        <v>15540036.397699751</v>
      </c>
      <c r="AZ1539" s="246">
        <f>IFERROR(VLOOKUP(J1539,VOL_REC[],2,FALSE),0)</f>
        <v>1812240</v>
      </c>
      <c r="BA1539" s="246">
        <f>IFERROR(VLOOKUP(K1539,VOL_REC[],2,FALSE),0)</f>
        <v>17074.045034105649</v>
      </c>
      <c r="BB1539" s="246">
        <f>IFERROR(VLOOKUP(L1539,VOL_REC[],2,FALSE),0)</f>
        <v>105072</v>
      </c>
      <c r="BC1539" s="246">
        <f>IFERROR(VLOOKUP(M1539,VOL_REC[],2,FALSE),0)</f>
        <v>740113.98115702497</v>
      </c>
      <c r="BD1539" s="246">
        <f>IFERROR(VLOOKUP(N1539,VOL_REC[],2,FALSE),0)</f>
        <v>0</v>
      </c>
      <c r="BE1539" s="246">
        <f>IFERROR(VLOOKUP(O1539,VOL_REC[],2,FALSE),0)</f>
        <v>0</v>
      </c>
      <c r="BF1539" s="246">
        <f>IFERROR(VLOOKUP(P1539,VOL_REC[],2,FALSE),0)</f>
        <v>0</v>
      </c>
      <c r="BG1539" s="246">
        <f>IFERROR(VLOOKUP(Q1539,VOL_REC[],2,FALSE),0)</f>
        <v>0</v>
      </c>
      <c r="BH1539" s="1710">
        <f t="shared" si="96"/>
        <v>18920632703.650211</v>
      </c>
      <c r="BI1539" s="1710">
        <f t="shared" si="97"/>
        <v>20773045801.665215</v>
      </c>
      <c r="BJ1539" s="1711">
        <f t="shared" si="98"/>
        <v>33719753.355112351</v>
      </c>
      <c r="BK1539" s="1711">
        <f t="shared" si="99"/>
        <v>0.91082611978516359</v>
      </c>
    </row>
    <row r="1540" spans="3:67" x14ac:dyDescent="0.25">
      <c r="C1540" s="246" t="s">
        <v>2890</v>
      </c>
      <c r="D1540" s="246">
        <v>1</v>
      </c>
      <c r="E1540" s="246">
        <v>2</v>
      </c>
      <c r="F1540" s="246">
        <v>3</v>
      </c>
      <c r="G1540" s="246">
        <v>4</v>
      </c>
      <c r="H1540" s="246">
        <v>5</v>
      </c>
      <c r="I1540" s="246">
        <v>6</v>
      </c>
      <c r="J1540" s="246">
        <v>10</v>
      </c>
      <c r="K1540" s="246">
        <v>14</v>
      </c>
      <c r="L1540" s="246">
        <v>16</v>
      </c>
      <c r="M1540" s="246">
        <v>17</v>
      </c>
      <c r="N1540" s="246"/>
      <c r="O1540" s="246"/>
      <c r="P1540" s="246"/>
      <c r="Q1540" s="246"/>
      <c r="R1540" s="246">
        <f>IFERROR(VLOOKUP(D1540,PROGRAMAS[],2,FALSE),0)</f>
        <v>97037803.679377079</v>
      </c>
      <c r="S1540" s="246">
        <f>IFERROR(VLOOKUP(E1540,PROGRAMAS[],2,FALSE),0)</f>
        <v>640501509.6821388</v>
      </c>
      <c r="T1540" s="246">
        <f>IFERROR(VLOOKUP(F1540,PROGRAMAS[],2,FALSE),0)</f>
        <v>3062327798.1525245</v>
      </c>
      <c r="U1540" s="246">
        <f>IFERROR(VLOOKUP(G1540,PROGRAMAS[],2,FALSE),0)</f>
        <v>67697118.033011258</v>
      </c>
      <c r="V1540" s="246">
        <f>IFERROR(VLOOKUP(H1540,PROGRAMAS[],2,FALSE),0)</f>
        <v>1440941976.2528784</v>
      </c>
      <c r="W1540" s="246">
        <f>IFERROR(VLOOKUP(I1540,PROGRAMAS[],2,FALSE),0)</f>
        <v>6907648435.8447599</v>
      </c>
      <c r="X1540" s="246">
        <f>IFERROR(VLOOKUP(J1540,PROGRAMAS[],2,FALSE),0)</f>
        <v>4635315027.8751087</v>
      </c>
      <c r="Y1540" s="246">
        <f>IFERROR(VLOOKUP(K1540,PROGRAMAS[],2,FALSE),0)</f>
        <v>54223862.645839565</v>
      </c>
      <c r="Z1540" s="246">
        <f>IFERROR(VLOOKUP(L1540,PROGRAMAS[],2,FALSE),0)</f>
        <v>7068496961.0436354</v>
      </c>
      <c r="AA1540" s="246">
        <f>IFERROR(VLOOKUP(M1540,PROGRAMAS[],2,FALSE),0)</f>
        <v>1892779498.5211046</v>
      </c>
      <c r="AB1540" s="246">
        <f>IFERROR(VLOOKUP(N1540,PROGRAMAS[],2,FALSE),0)</f>
        <v>0</v>
      </c>
      <c r="AC1540" s="246">
        <f>IFERROR(VLOOKUP(O1540,PROGRAMAS[],2,FALSE),0)</f>
        <v>0</v>
      </c>
      <c r="AD1540" s="246">
        <f>IFERROR(VLOOKUP(P1540,PROGRAMAS[],2,FALSE),0)</f>
        <v>0</v>
      </c>
      <c r="AE1540" s="246">
        <f>IFERROR(VLOOKUP(Q1540,PROGRAMAS[],2,FALSE),0)</f>
        <v>0</v>
      </c>
      <c r="AF1540" s="246">
        <f>IFERROR(VLOOKUP(D1540,PROGRAMAS[],3,FALSE),0)</f>
        <v>841888629.31080008</v>
      </c>
      <c r="AG1540" s="246">
        <f>IFERROR(VLOOKUP(E1540,PROGRAMAS[],3,FALSE),0)</f>
        <v>3848980803.1642323</v>
      </c>
      <c r="AH1540" s="246">
        <f>IFERROR(VLOOKUP(F1540,PROGRAMAS[],3,FALSE),0)</f>
        <v>3394901471.387517</v>
      </c>
      <c r="AI1540" s="246">
        <f>IFERROR(VLOOKUP(G1540,PROGRAMAS[],3,FALSE),0)</f>
        <v>125317226.95549992</v>
      </c>
      <c r="AJ1540" s="246">
        <f>IFERROR(VLOOKUP(H1540,PROGRAMAS[],3,FALSE),0)</f>
        <v>1233505101.0616004</v>
      </c>
      <c r="AK1540" s="246">
        <f>IFERROR(VLOOKUP(I1540,PROGRAMAS[],3,FALSE),0)</f>
        <v>6129902208.7912121</v>
      </c>
      <c r="AL1540" s="246">
        <f>IFERROR(VLOOKUP(J1540,PROGRAMAS[],3,FALSE),0)</f>
        <v>4099471734.9978786</v>
      </c>
      <c r="AM1540" s="246">
        <f>IFERROR(VLOOKUP(K1540,PROGRAMAS[],3,FALSE),0)</f>
        <v>31865326.38096505</v>
      </c>
      <c r="AN1540" s="246">
        <f>IFERROR(VLOOKUP(L1540,PROGRAMAS[],3,FALSE),0)</f>
        <v>2406564599.0319901</v>
      </c>
      <c r="AO1540" s="246">
        <f>IFERROR(VLOOKUP(M1540,PROGRAMAS[],3,FALSE),0)</f>
        <v>948595847.09039903</v>
      </c>
      <c r="AP1540" s="246">
        <f>IFERROR(VLOOKUP(N1540,PROGRAMAS[],3,FALSE),0)</f>
        <v>0</v>
      </c>
      <c r="AQ1540" s="246">
        <f>IFERROR(VLOOKUP(O1540,PROGRAMAS[],3,FALSE),0)</f>
        <v>0</v>
      </c>
      <c r="AR1540" s="246">
        <f>IFERROR(VLOOKUP(P1540,PROGRAMAS[],3,FALSE),0)</f>
        <v>0</v>
      </c>
      <c r="AS1540" s="246">
        <f>IFERROR(VLOOKUP(Q1540,PROGRAMAS[],3,FALSE),0)</f>
        <v>0</v>
      </c>
      <c r="AT1540" s="246">
        <f>IFERROR(VLOOKUP(D1540,VOL_REC[],2,FALSE),0)</f>
        <v>0</v>
      </c>
      <c r="AU1540" s="246">
        <f>IFERROR(VLOOKUP(E1540,VOL_REC[],2,FALSE),0)</f>
        <v>0</v>
      </c>
      <c r="AV1540" s="246">
        <f>IFERROR(VLOOKUP(F1540,VOL_REC[],2,FALSE),0)</f>
        <v>11089674.200000001</v>
      </c>
      <c r="AW1540" s="246">
        <f>IFERROR(VLOOKUP(G1540,VOL_REC[],2,FALSE),0)</f>
        <v>90439.55</v>
      </c>
      <c r="AX1540" s="246">
        <f>IFERROR(VLOOKUP(H1540,VOL_REC[],2,FALSE),0)</f>
        <v>4325103.1812214684</v>
      </c>
      <c r="AY1540" s="246">
        <f>IFERROR(VLOOKUP(I1540,VOL_REC[],2,FALSE),0)</f>
        <v>15540036.397699751</v>
      </c>
      <c r="AZ1540" s="246">
        <f>IFERROR(VLOOKUP(J1540,VOL_REC[],2,FALSE),0)</f>
        <v>1812240</v>
      </c>
      <c r="BA1540" s="246">
        <f>IFERROR(VLOOKUP(K1540,VOL_REC[],2,FALSE),0)</f>
        <v>17074.045034105649</v>
      </c>
      <c r="BB1540" s="246">
        <f>IFERROR(VLOOKUP(L1540,VOL_REC[],2,FALSE),0)</f>
        <v>1072354.9981737854</v>
      </c>
      <c r="BC1540" s="246">
        <f>IFERROR(VLOOKUP(M1540,VOL_REC[],2,FALSE),0)</f>
        <v>740113.98115702497</v>
      </c>
      <c r="BD1540" s="246">
        <f>IFERROR(VLOOKUP(N1540,VOL_REC[],2,FALSE),0)</f>
        <v>0</v>
      </c>
      <c r="BE1540" s="246">
        <f>IFERROR(VLOOKUP(O1540,VOL_REC[],2,FALSE),0)</f>
        <v>0</v>
      </c>
      <c r="BF1540" s="246">
        <f>IFERROR(VLOOKUP(P1540,VOL_REC[],2,FALSE),0)</f>
        <v>0</v>
      </c>
      <c r="BG1540" s="246">
        <f>IFERROR(VLOOKUP(Q1540,VOL_REC[],2,FALSE),0)</f>
        <v>0</v>
      </c>
      <c r="BH1540" s="1710">
        <f t="shared" si="96"/>
        <v>25866969991.730377</v>
      </c>
      <c r="BI1540" s="1710">
        <f t="shared" si="97"/>
        <v>23060992948.172096</v>
      </c>
      <c r="BJ1540" s="1711">
        <f t="shared" si="98"/>
        <v>34687036.35328614</v>
      </c>
      <c r="BK1540" s="1711">
        <f t="shared" si="99"/>
        <v>1.1216763324053092</v>
      </c>
      <c r="BL1540">
        <f>BJ1540</f>
        <v>34687036.35328614</v>
      </c>
      <c r="BO1540">
        <f>BL1540</f>
        <v>34687036.35328614</v>
      </c>
    </row>
    <row r="1541" spans="3:67" x14ac:dyDescent="0.25">
      <c r="C1541" s="246" t="s">
        <v>2891</v>
      </c>
      <c r="D1541" s="246">
        <v>1</v>
      </c>
      <c r="E1541" s="246">
        <v>2</v>
      </c>
      <c r="F1541" s="246">
        <v>3</v>
      </c>
      <c r="G1541" s="246">
        <v>4</v>
      </c>
      <c r="H1541" s="246">
        <v>5</v>
      </c>
      <c r="I1541" s="246">
        <v>6</v>
      </c>
      <c r="J1541" s="246">
        <v>10</v>
      </c>
      <c r="K1541" s="246">
        <v>15</v>
      </c>
      <c r="L1541" s="246">
        <v>16</v>
      </c>
      <c r="M1541" s="246">
        <v>17</v>
      </c>
      <c r="N1541" s="246"/>
      <c r="O1541" s="246"/>
      <c r="P1541" s="246"/>
      <c r="Q1541" s="246"/>
      <c r="R1541" s="246">
        <f>IFERROR(VLOOKUP(D1541,PROGRAMAS[],2,FALSE),0)</f>
        <v>97037803.679377079</v>
      </c>
      <c r="S1541" s="246">
        <f>IFERROR(VLOOKUP(E1541,PROGRAMAS[],2,FALSE),0)</f>
        <v>640501509.6821388</v>
      </c>
      <c r="T1541" s="246">
        <f>IFERROR(VLOOKUP(F1541,PROGRAMAS[],2,FALSE),0)</f>
        <v>3062327798.1525245</v>
      </c>
      <c r="U1541" s="246">
        <f>IFERROR(VLOOKUP(G1541,PROGRAMAS[],2,FALSE),0)</f>
        <v>67697118.033011258</v>
      </c>
      <c r="V1541" s="246">
        <f>IFERROR(VLOOKUP(H1541,PROGRAMAS[],2,FALSE),0)</f>
        <v>1440941976.2528784</v>
      </c>
      <c r="W1541" s="246">
        <f>IFERROR(VLOOKUP(I1541,PROGRAMAS[],2,FALSE),0)</f>
        <v>6907648435.8447599</v>
      </c>
      <c r="X1541" s="246">
        <f>IFERROR(VLOOKUP(J1541,PROGRAMAS[],2,FALSE),0)</f>
        <v>4635315027.8751087</v>
      </c>
      <c r="Y1541" s="246">
        <f>IFERROR(VLOOKUP(K1541,PROGRAMAS[],2,FALSE),0)</f>
        <v>122159672.96346797</v>
      </c>
      <c r="Z1541" s="246">
        <f>IFERROR(VLOOKUP(L1541,PROGRAMAS[],2,FALSE),0)</f>
        <v>7068496961.0436354</v>
      </c>
      <c r="AA1541" s="246">
        <f>IFERROR(VLOOKUP(M1541,PROGRAMAS[],2,FALSE),0)</f>
        <v>1892779498.5211046</v>
      </c>
      <c r="AB1541" s="246">
        <f>IFERROR(VLOOKUP(N1541,PROGRAMAS[],2,FALSE),0)</f>
        <v>0</v>
      </c>
      <c r="AC1541" s="246">
        <f>IFERROR(VLOOKUP(O1541,PROGRAMAS[],2,FALSE),0)</f>
        <v>0</v>
      </c>
      <c r="AD1541" s="246">
        <f>IFERROR(VLOOKUP(P1541,PROGRAMAS[],2,FALSE),0)</f>
        <v>0</v>
      </c>
      <c r="AE1541" s="246">
        <f>IFERROR(VLOOKUP(Q1541,PROGRAMAS[],2,FALSE),0)</f>
        <v>0</v>
      </c>
      <c r="AF1541" s="246">
        <f>IFERROR(VLOOKUP(D1541,PROGRAMAS[],3,FALSE),0)</f>
        <v>841888629.31080008</v>
      </c>
      <c r="AG1541" s="246">
        <f>IFERROR(VLOOKUP(E1541,PROGRAMAS[],3,FALSE),0)</f>
        <v>3848980803.1642323</v>
      </c>
      <c r="AH1541" s="246">
        <f>IFERROR(VLOOKUP(F1541,PROGRAMAS[],3,FALSE),0)</f>
        <v>3394901471.387517</v>
      </c>
      <c r="AI1541" s="246">
        <f>IFERROR(VLOOKUP(G1541,PROGRAMAS[],3,FALSE),0)</f>
        <v>125317226.95549992</v>
      </c>
      <c r="AJ1541" s="246">
        <f>IFERROR(VLOOKUP(H1541,PROGRAMAS[],3,FALSE),0)</f>
        <v>1233505101.0616004</v>
      </c>
      <c r="AK1541" s="246">
        <f>IFERROR(VLOOKUP(I1541,PROGRAMAS[],3,FALSE),0)</f>
        <v>6129902208.7912121</v>
      </c>
      <c r="AL1541" s="246">
        <f>IFERROR(VLOOKUP(J1541,PROGRAMAS[],3,FALSE),0)</f>
        <v>4099471734.9978786</v>
      </c>
      <c r="AM1541" s="246">
        <f>IFERROR(VLOOKUP(K1541,PROGRAMAS[],3,FALSE),0)</f>
        <v>118617452.52510804</v>
      </c>
      <c r="AN1541" s="246">
        <f>IFERROR(VLOOKUP(L1541,PROGRAMAS[],3,FALSE),0)</f>
        <v>2406564599.0319901</v>
      </c>
      <c r="AO1541" s="246">
        <f>IFERROR(VLOOKUP(M1541,PROGRAMAS[],3,FALSE),0)</f>
        <v>948595847.09039903</v>
      </c>
      <c r="AP1541" s="246">
        <f>IFERROR(VLOOKUP(N1541,PROGRAMAS[],3,FALSE),0)</f>
        <v>0</v>
      </c>
      <c r="AQ1541" s="246">
        <f>IFERROR(VLOOKUP(O1541,PROGRAMAS[],3,FALSE),0)</f>
        <v>0</v>
      </c>
      <c r="AR1541" s="246">
        <f>IFERROR(VLOOKUP(P1541,PROGRAMAS[],3,FALSE),0)</f>
        <v>0</v>
      </c>
      <c r="AS1541" s="246">
        <f>IFERROR(VLOOKUP(Q1541,PROGRAMAS[],3,FALSE),0)</f>
        <v>0</v>
      </c>
      <c r="AT1541" s="246">
        <f>IFERROR(VLOOKUP(D1541,VOL_REC[],2,FALSE),0)</f>
        <v>0</v>
      </c>
      <c r="AU1541" s="246">
        <f>IFERROR(VLOOKUP(E1541,VOL_REC[],2,FALSE),0)</f>
        <v>0</v>
      </c>
      <c r="AV1541" s="246">
        <f>IFERROR(VLOOKUP(F1541,VOL_REC[],2,FALSE),0)</f>
        <v>11089674.200000001</v>
      </c>
      <c r="AW1541" s="246">
        <f>IFERROR(VLOOKUP(G1541,VOL_REC[],2,FALSE),0)</f>
        <v>90439.55</v>
      </c>
      <c r="AX1541" s="246">
        <f>IFERROR(VLOOKUP(H1541,VOL_REC[],2,FALSE),0)</f>
        <v>4325103.1812214684</v>
      </c>
      <c r="AY1541" s="246">
        <f>IFERROR(VLOOKUP(I1541,VOL_REC[],2,FALSE),0)</f>
        <v>15540036.397699751</v>
      </c>
      <c r="AZ1541" s="246">
        <f>IFERROR(VLOOKUP(J1541,VOL_REC[],2,FALSE),0)</f>
        <v>1812240</v>
      </c>
      <c r="BA1541" s="246">
        <f>IFERROR(VLOOKUP(K1541,VOL_REC[],2,FALSE),0)</f>
        <v>105072</v>
      </c>
      <c r="BB1541" s="246">
        <f>IFERROR(VLOOKUP(L1541,VOL_REC[],2,FALSE),0)</f>
        <v>1072354.9981737854</v>
      </c>
      <c r="BC1541" s="246">
        <f>IFERROR(VLOOKUP(M1541,VOL_REC[],2,FALSE),0)</f>
        <v>740113.98115702497</v>
      </c>
      <c r="BD1541" s="246">
        <f>IFERROR(VLOOKUP(N1541,VOL_REC[],2,FALSE),0)</f>
        <v>0</v>
      </c>
      <c r="BE1541" s="246">
        <f>IFERROR(VLOOKUP(O1541,VOL_REC[],2,FALSE),0)</f>
        <v>0</v>
      </c>
      <c r="BF1541" s="246">
        <f>IFERROR(VLOOKUP(P1541,VOL_REC[],2,FALSE),0)</f>
        <v>0</v>
      </c>
      <c r="BG1541" s="246">
        <f>IFERROR(VLOOKUP(Q1541,VOL_REC[],2,FALSE),0)</f>
        <v>0</v>
      </c>
      <c r="BH1541" s="1710">
        <f t="shared" si="96"/>
        <v>25934905802.048008</v>
      </c>
      <c r="BI1541" s="1710">
        <f t="shared" si="97"/>
        <v>23147745074.316238</v>
      </c>
      <c r="BJ1541" s="1711">
        <f t="shared" si="98"/>
        <v>34775034.308252037</v>
      </c>
      <c r="BK1541" s="1711">
        <f t="shared" si="99"/>
        <v>1.1204074400674253</v>
      </c>
      <c r="BL1541">
        <f>BJ1541</f>
        <v>34775034.308252037</v>
      </c>
      <c r="BO1541">
        <f>BL1541</f>
        <v>34775034.308252037</v>
      </c>
    </row>
    <row r="1542" spans="3:67" x14ac:dyDescent="0.25">
      <c r="C1542" s="246" t="s">
        <v>2892</v>
      </c>
      <c r="D1542" s="246">
        <v>1</v>
      </c>
      <c r="E1542" s="246">
        <v>2</v>
      </c>
      <c r="F1542" s="246">
        <v>3</v>
      </c>
      <c r="G1542" s="246">
        <v>4</v>
      </c>
      <c r="H1542" s="246">
        <v>5</v>
      </c>
      <c r="I1542" s="246">
        <v>6</v>
      </c>
      <c r="J1542" s="246">
        <v>12</v>
      </c>
      <c r="K1542" s="246">
        <v>13</v>
      </c>
      <c r="L1542" s="246">
        <v>14</v>
      </c>
      <c r="M1542" s="246">
        <v>15</v>
      </c>
      <c r="N1542" s="246"/>
      <c r="O1542" s="246"/>
      <c r="P1542" s="246"/>
      <c r="Q1542" s="246"/>
      <c r="R1542" s="246">
        <f>IFERROR(VLOOKUP(D1542,PROGRAMAS[],2,FALSE),0)</f>
        <v>97037803.679377079</v>
      </c>
      <c r="S1542" s="246">
        <f>IFERROR(VLOOKUP(E1542,PROGRAMAS[],2,FALSE),0)</f>
        <v>640501509.6821388</v>
      </c>
      <c r="T1542" s="246">
        <f>IFERROR(VLOOKUP(F1542,PROGRAMAS[],2,FALSE),0)</f>
        <v>3062327798.1525245</v>
      </c>
      <c r="U1542" s="246">
        <f>IFERROR(VLOOKUP(G1542,PROGRAMAS[],2,FALSE),0)</f>
        <v>67697118.033011258</v>
      </c>
      <c r="V1542" s="246">
        <f>IFERROR(VLOOKUP(H1542,PROGRAMAS[],2,FALSE),0)</f>
        <v>1440941976.2528784</v>
      </c>
      <c r="W1542" s="246">
        <f>IFERROR(VLOOKUP(I1542,PROGRAMAS[],2,FALSE),0)</f>
        <v>6907648435.8447599</v>
      </c>
      <c r="X1542" s="246">
        <f>IFERROR(VLOOKUP(J1542,PROGRAMAS[],2,FALSE),0)</f>
        <v>764796700.79905891</v>
      </c>
      <c r="Y1542" s="246">
        <f>IFERROR(VLOOKUP(K1542,PROGRAMAS[],2,FALSE),0)</f>
        <v>3776538594.4604583</v>
      </c>
      <c r="Z1542" s="246">
        <f>IFERROR(VLOOKUP(L1542,PROGRAMAS[],2,FALSE),0)</f>
        <v>54223862.645839565</v>
      </c>
      <c r="AA1542" s="246">
        <f>IFERROR(VLOOKUP(M1542,PROGRAMAS[],2,FALSE),0)</f>
        <v>122159672.96346797</v>
      </c>
      <c r="AB1542" s="246">
        <f>IFERROR(VLOOKUP(N1542,PROGRAMAS[],2,FALSE),0)</f>
        <v>0</v>
      </c>
      <c r="AC1542" s="246">
        <f>IFERROR(VLOOKUP(O1542,PROGRAMAS[],2,FALSE),0)</f>
        <v>0</v>
      </c>
      <c r="AD1542" s="246">
        <f>IFERROR(VLOOKUP(P1542,PROGRAMAS[],2,FALSE),0)</f>
        <v>0</v>
      </c>
      <c r="AE1542" s="246">
        <f>IFERROR(VLOOKUP(Q1542,PROGRAMAS[],2,FALSE),0)</f>
        <v>0</v>
      </c>
      <c r="AF1542" s="246">
        <f>IFERROR(VLOOKUP(D1542,PROGRAMAS[],3,FALSE),0)</f>
        <v>841888629.31080008</v>
      </c>
      <c r="AG1542" s="246">
        <f>IFERROR(VLOOKUP(E1542,PROGRAMAS[],3,FALSE),0)</f>
        <v>3848980803.1642323</v>
      </c>
      <c r="AH1542" s="246">
        <f>IFERROR(VLOOKUP(F1542,PROGRAMAS[],3,FALSE),0)</f>
        <v>3394901471.387517</v>
      </c>
      <c r="AI1542" s="246">
        <f>IFERROR(VLOOKUP(G1542,PROGRAMAS[],3,FALSE),0)</f>
        <v>125317226.95549992</v>
      </c>
      <c r="AJ1542" s="246">
        <f>IFERROR(VLOOKUP(H1542,PROGRAMAS[],3,FALSE),0)</f>
        <v>1233505101.0616004</v>
      </c>
      <c r="AK1542" s="246">
        <f>IFERROR(VLOOKUP(I1542,PROGRAMAS[],3,FALSE),0)</f>
        <v>6129902208.7912121</v>
      </c>
      <c r="AL1542" s="246">
        <f>IFERROR(VLOOKUP(J1542,PROGRAMAS[],3,FALSE),0)</f>
        <v>675517840.109828</v>
      </c>
      <c r="AM1542" s="246">
        <f>IFERROR(VLOOKUP(K1542,PROGRAMAS[],3,FALSE),0)</f>
        <v>2392571243.5584412</v>
      </c>
      <c r="AN1542" s="246">
        <f>IFERROR(VLOOKUP(L1542,PROGRAMAS[],3,FALSE),0)</f>
        <v>31865326.38096505</v>
      </c>
      <c r="AO1542" s="246">
        <f>IFERROR(VLOOKUP(M1542,PROGRAMAS[],3,FALSE),0)</f>
        <v>118617452.52510804</v>
      </c>
      <c r="AP1542" s="246">
        <f>IFERROR(VLOOKUP(N1542,PROGRAMAS[],3,FALSE),0)</f>
        <v>0</v>
      </c>
      <c r="AQ1542" s="246">
        <f>IFERROR(VLOOKUP(O1542,PROGRAMAS[],3,FALSE),0)</f>
        <v>0</v>
      </c>
      <c r="AR1542" s="246">
        <f>IFERROR(VLOOKUP(P1542,PROGRAMAS[],3,FALSE),0)</f>
        <v>0</v>
      </c>
      <c r="AS1542" s="246">
        <f>IFERROR(VLOOKUP(Q1542,PROGRAMAS[],3,FALSE),0)</f>
        <v>0</v>
      </c>
      <c r="AT1542" s="246">
        <f>IFERROR(VLOOKUP(D1542,VOL_REC[],2,FALSE),0)</f>
        <v>0</v>
      </c>
      <c r="AU1542" s="246">
        <f>IFERROR(VLOOKUP(E1542,VOL_REC[],2,FALSE),0)</f>
        <v>0</v>
      </c>
      <c r="AV1542" s="246">
        <f>IFERROR(VLOOKUP(F1542,VOL_REC[],2,FALSE),0)</f>
        <v>11089674.200000001</v>
      </c>
      <c r="AW1542" s="246">
        <f>IFERROR(VLOOKUP(G1542,VOL_REC[],2,FALSE),0)</f>
        <v>90439.55</v>
      </c>
      <c r="AX1542" s="246">
        <f>IFERROR(VLOOKUP(H1542,VOL_REC[],2,FALSE),0)</f>
        <v>4325103.1812214684</v>
      </c>
      <c r="AY1542" s="246">
        <f>IFERROR(VLOOKUP(I1542,VOL_REC[],2,FALSE),0)</f>
        <v>15540036.397699751</v>
      </c>
      <c r="AZ1542" s="246">
        <f>IFERROR(VLOOKUP(J1542,VOL_REC[],2,FALSE),0)</f>
        <v>240696.79238099116</v>
      </c>
      <c r="BA1542" s="246">
        <f>IFERROR(VLOOKUP(K1542,VOL_REC[],2,FALSE),0)</f>
        <v>663244.80000000016</v>
      </c>
      <c r="BB1542" s="246">
        <f>IFERROR(VLOOKUP(L1542,VOL_REC[],2,FALSE),0)</f>
        <v>17074.045034105649</v>
      </c>
      <c r="BC1542" s="246">
        <f>IFERROR(VLOOKUP(M1542,VOL_REC[],2,FALSE),0)</f>
        <v>105072</v>
      </c>
      <c r="BD1542" s="246">
        <f>IFERROR(VLOOKUP(N1542,VOL_REC[],2,FALSE),0)</f>
        <v>0</v>
      </c>
      <c r="BE1542" s="246">
        <f>IFERROR(VLOOKUP(O1542,VOL_REC[],2,FALSE),0)</f>
        <v>0</v>
      </c>
      <c r="BF1542" s="246">
        <f>IFERROR(VLOOKUP(P1542,VOL_REC[],2,FALSE),0)</f>
        <v>0</v>
      </c>
      <c r="BG1542" s="246">
        <f>IFERROR(VLOOKUP(Q1542,VOL_REC[],2,FALSE),0)</f>
        <v>0</v>
      </c>
      <c r="BH1542" s="1710">
        <f t="shared" si="96"/>
        <v>16933873472.513517</v>
      </c>
      <c r="BI1542" s="1710">
        <f t="shared" si="97"/>
        <v>18793067303.245205</v>
      </c>
      <c r="BJ1542" s="1711">
        <f t="shared" si="98"/>
        <v>32071340.966336321</v>
      </c>
      <c r="BK1542" s="1711">
        <f t="shared" si="99"/>
        <v>0.90107022974314366</v>
      </c>
    </row>
    <row r="1543" spans="3:67" x14ac:dyDescent="0.25">
      <c r="C1543" s="246" t="s">
        <v>2893</v>
      </c>
      <c r="D1543" s="246">
        <v>1</v>
      </c>
      <c r="E1543" s="246">
        <v>2</v>
      </c>
      <c r="F1543" s="246">
        <v>3</v>
      </c>
      <c r="G1543" s="246">
        <v>4</v>
      </c>
      <c r="H1543" s="246">
        <v>5</v>
      </c>
      <c r="I1543" s="246">
        <v>6</v>
      </c>
      <c r="J1543" s="246">
        <v>12</v>
      </c>
      <c r="K1543" s="246">
        <v>13</v>
      </c>
      <c r="L1543" s="246">
        <v>14</v>
      </c>
      <c r="M1543" s="246">
        <v>16</v>
      </c>
      <c r="N1543" s="246"/>
      <c r="O1543" s="246"/>
      <c r="P1543" s="246"/>
      <c r="Q1543" s="246"/>
      <c r="R1543" s="246">
        <f>IFERROR(VLOOKUP(D1543,PROGRAMAS[],2,FALSE),0)</f>
        <v>97037803.679377079</v>
      </c>
      <c r="S1543" s="246">
        <f>IFERROR(VLOOKUP(E1543,PROGRAMAS[],2,FALSE),0)</f>
        <v>640501509.6821388</v>
      </c>
      <c r="T1543" s="246">
        <f>IFERROR(VLOOKUP(F1543,PROGRAMAS[],2,FALSE),0)</f>
        <v>3062327798.1525245</v>
      </c>
      <c r="U1543" s="246">
        <f>IFERROR(VLOOKUP(G1543,PROGRAMAS[],2,FALSE),0)</f>
        <v>67697118.033011258</v>
      </c>
      <c r="V1543" s="246">
        <f>IFERROR(VLOOKUP(H1543,PROGRAMAS[],2,FALSE),0)</f>
        <v>1440941976.2528784</v>
      </c>
      <c r="W1543" s="246">
        <f>IFERROR(VLOOKUP(I1543,PROGRAMAS[],2,FALSE),0)</f>
        <v>6907648435.8447599</v>
      </c>
      <c r="X1543" s="246">
        <f>IFERROR(VLOOKUP(J1543,PROGRAMAS[],2,FALSE),0)</f>
        <v>764796700.79905891</v>
      </c>
      <c r="Y1543" s="246">
        <f>IFERROR(VLOOKUP(K1543,PROGRAMAS[],2,FALSE),0)</f>
        <v>3776538594.4604583</v>
      </c>
      <c r="Z1543" s="246">
        <f>IFERROR(VLOOKUP(L1543,PROGRAMAS[],2,FALSE),0)</f>
        <v>54223862.645839565</v>
      </c>
      <c r="AA1543" s="246">
        <f>IFERROR(VLOOKUP(M1543,PROGRAMAS[],2,FALSE),0)</f>
        <v>7068496961.0436354</v>
      </c>
      <c r="AB1543" s="246">
        <f>IFERROR(VLOOKUP(N1543,PROGRAMAS[],2,FALSE),0)</f>
        <v>0</v>
      </c>
      <c r="AC1543" s="246">
        <f>IFERROR(VLOOKUP(O1543,PROGRAMAS[],2,FALSE),0)</f>
        <v>0</v>
      </c>
      <c r="AD1543" s="246">
        <f>IFERROR(VLOOKUP(P1543,PROGRAMAS[],2,FALSE),0)</f>
        <v>0</v>
      </c>
      <c r="AE1543" s="246">
        <f>IFERROR(VLOOKUP(Q1543,PROGRAMAS[],2,FALSE),0)</f>
        <v>0</v>
      </c>
      <c r="AF1543" s="246">
        <f>IFERROR(VLOOKUP(D1543,PROGRAMAS[],3,FALSE),0)</f>
        <v>841888629.31080008</v>
      </c>
      <c r="AG1543" s="246">
        <f>IFERROR(VLOOKUP(E1543,PROGRAMAS[],3,FALSE),0)</f>
        <v>3848980803.1642323</v>
      </c>
      <c r="AH1543" s="246">
        <f>IFERROR(VLOOKUP(F1543,PROGRAMAS[],3,FALSE),0)</f>
        <v>3394901471.387517</v>
      </c>
      <c r="AI1543" s="246">
        <f>IFERROR(VLOOKUP(G1543,PROGRAMAS[],3,FALSE),0)</f>
        <v>125317226.95549992</v>
      </c>
      <c r="AJ1543" s="246">
        <f>IFERROR(VLOOKUP(H1543,PROGRAMAS[],3,FALSE),0)</f>
        <v>1233505101.0616004</v>
      </c>
      <c r="AK1543" s="246">
        <f>IFERROR(VLOOKUP(I1543,PROGRAMAS[],3,FALSE),0)</f>
        <v>6129902208.7912121</v>
      </c>
      <c r="AL1543" s="246">
        <f>IFERROR(VLOOKUP(J1543,PROGRAMAS[],3,FALSE),0)</f>
        <v>675517840.109828</v>
      </c>
      <c r="AM1543" s="246">
        <f>IFERROR(VLOOKUP(K1543,PROGRAMAS[],3,FALSE),0)</f>
        <v>2392571243.5584412</v>
      </c>
      <c r="AN1543" s="246">
        <f>IFERROR(VLOOKUP(L1543,PROGRAMAS[],3,FALSE),0)</f>
        <v>31865326.38096505</v>
      </c>
      <c r="AO1543" s="246">
        <f>IFERROR(VLOOKUP(M1543,PROGRAMAS[],3,FALSE),0)</f>
        <v>2406564599.0319901</v>
      </c>
      <c r="AP1543" s="246">
        <f>IFERROR(VLOOKUP(N1543,PROGRAMAS[],3,FALSE),0)</f>
        <v>0</v>
      </c>
      <c r="AQ1543" s="246">
        <f>IFERROR(VLOOKUP(O1543,PROGRAMAS[],3,FALSE),0)</f>
        <v>0</v>
      </c>
      <c r="AR1543" s="246">
        <f>IFERROR(VLOOKUP(P1543,PROGRAMAS[],3,FALSE),0)</f>
        <v>0</v>
      </c>
      <c r="AS1543" s="246">
        <f>IFERROR(VLOOKUP(Q1543,PROGRAMAS[],3,FALSE),0)</f>
        <v>0</v>
      </c>
      <c r="AT1543" s="246">
        <f>IFERROR(VLOOKUP(D1543,VOL_REC[],2,FALSE),0)</f>
        <v>0</v>
      </c>
      <c r="AU1543" s="246">
        <f>IFERROR(VLOOKUP(E1543,VOL_REC[],2,FALSE),0)</f>
        <v>0</v>
      </c>
      <c r="AV1543" s="246">
        <f>IFERROR(VLOOKUP(F1543,VOL_REC[],2,FALSE),0)</f>
        <v>11089674.200000001</v>
      </c>
      <c r="AW1543" s="246">
        <f>IFERROR(VLOOKUP(G1543,VOL_REC[],2,FALSE),0)</f>
        <v>90439.55</v>
      </c>
      <c r="AX1543" s="246">
        <f>IFERROR(VLOOKUP(H1543,VOL_REC[],2,FALSE),0)</f>
        <v>4325103.1812214684</v>
      </c>
      <c r="AY1543" s="246">
        <f>IFERROR(VLOOKUP(I1543,VOL_REC[],2,FALSE),0)</f>
        <v>15540036.397699751</v>
      </c>
      <c r="AZ1543" s="246">
        <f>IFERROR(VLOOKUP(J1543,VOL_REC[],2,FALSE),0)</f>
        <v>240696.79238099116</v>
      </c>
      <c r="BA1543" s="246">
        <f>IFERROR(VLOOKUP(K1543,VOL_REC[],2,FALSE),0)</f>
        <v>663244.80000000016</v>
      </c>
      <c r="BB1543" s="246">
        <f>IFERROR(VLOOKUP(L1543,VOL_REC[],2,FALSE),0)</f>
        <v>17074.045034105649</v>
      </c>
      <c r="BC1543" s="246">
        <f>IFERROR(VLOOKUP(M1543,VOL_REC[],2,FALSE),0)</f>
        <v>1072354.9981737854</v>
      </c>
      <c r="BD1543" s="246">
        <f>IFERROR(VLOOKUP(N1543,VOL_REC[],2,FALSE),0)</f>
        <v>0</v>
      </c>
      <c r="BE1543" s="246">
        <f>IFERROR(VLOOKUP(O1543,VOL_REC[],2,FALSE),0)</f>
        <v>0</v>
      </c>
      <c r="BF1543" s="246">
        <f>IFERROR(VLOOKUP(P1543,VOL_REC[],2,FALSE),0)</f>
        <v>0</v>
      </c>
      <c r="BG1543" s="246">
        <f>IFERROR(VLOOKUP(Q1543,VOL_REC[],2,FALSE),0)</f>
        <v>0</v>
      </c>
      <c r="BH1543" s="1710">
        <f t="shared" si="96"/>
        <v>23880210760.593685</v>
      </c>
      <c r="BI1543" s="1710">
        <f t="shared" si="97"/>
        <v>21081014449.752087</v>
      </c>
      <c r="BJ1543" s="1711">
        <f t="shared" si="98"/>
        <v>33038623.964510106</v>
      </c>
      <c r="BK1543" s="1711">
        <f t="shared" si="99"/>
        <v>1.1327828087928908</v>
      </c>
      <c r="BL1543">
        <f>BJ1543</f>
        <v>33038623.964510106</v>
      </c>
      <c r="BO1543">
        <f>BL1543</f>
        <v>33038623.964510106</v>
      </c>
    </row>
    <row r="1544" spans="3:67" x14ac:dyDescent="0.25">
      <c r="C1544" s="246" t="s">
        <v>2894</v>
      </c>
      <c r="D1544" s="246">
        <v>1</v>
      </c>
      <c r="E1544" s="246">
        <v>2</v>
      </c>
      <c r="F1544" s="246">
        <v>3</v>
      </c>
      <c r="G1544" s="246">
        <v>4</v>
      </c>
      <c r="H1544" s="246">
        <v>5</v>
      </c>
      <c r="I1544" s="246">
        <v>6</v>
      </c>
      <c r="J1544" s="246">
        <v>12</v>
      </c>
      <c r="K1544" s="246">
        <v>13</v>
      </c>
      <c r="L1544" s="246">
        <v>14</v>
      </c>
      <c r="M1544" s="246">
        <v>17</v>
      </c>
      <c r="N1544" s="246"/>
      <c r="O1544" s="246"/>
      <c r="P1544" s="246"/>
      <c r="Q1544" s="246"/>
      <c r="R1544" s="246">
        <f>IFERROR(VLOOKUP(D1544,PROGRAMAS[],2,FALSE),0)</f>
        <v>97037803.679377079</v>
      </c>
      <c r="S1544" s="246">
        <f>IFERROR(VLOOKUP(E1544,PROGRAMAS[],2,FALSE),0)</f>
        <v>640501509.6821388</v>
      </c>
      <c r="T1544" s="246">
        <f>IFERROR(VLOOKUP(F1544,PROGRAMAS[],2,FALSE),0)</f>
        <v>3062327798.1525245</v>
      </c>
      <c r="U1544" s="246">
        <f>IFERROR(VLOOKUP(G1544,PROGRAMAS[],2,FALSE),0)</f>
        <v>67697118.033011258</v>
      </c>
      <c r="V1544" s="246">
        <f>IFERROR(VLOOKUP(H1544,PROGRAMAS[],2,FALSE),0)</f>
        <v>1440941976.2528784</v>
      </c>
      <c r="W1544" s="246">
        <f>IFERROR(VLOOKUP(I1544,PROGRAMAS[],2,FALSE),0)</f>
        <v>6907648435.8447599</v>
      </c>
      <c r="X1544" s="246">
        <f>IFERROR(VLOOKUP(J1544,PROGRAMAS[],2,FALSE),0)</f>
        <v>764796700.79905891</v>
      </c>
      <c r="Y1544" s="246">
        <f>IFERROR(VLOOKUP(K1544,PROGRAMAS[],2,FALSE),0)</f>
        <v>3776538594.4604583</v>
      </c>
      <c r="Z1544" s="246">
        <f>IFERROR(VLOOKUP(L1544,PROGRAMAS[],2,FALSE),0)</f>
        <v>54223862.645839565</v>
      </c>
      <c r="AA1544" s="246">
        <f>IFERROR(VLOOKUP(M1544,PROGRAMAS[],2,FALSE),0)</f>
        <v>1892779498.5211046</v>
      </c>
      <c r="AB1544" s="246">
        <f>IFERROR(VLOOKUP(N1544,PROGRAMAS[],2,FALSE),0)</f>
        <v>0</v>
      </c>
      <c r="AC1544" s="246">
        <f>IFERROR(VLOOKUP(O1544,PROGRAMAS[],2,FALSE),0)</f>
        <v>0</v>
      </c>
      <c r="AD1544" s="246">
        <f>IFERROR(VLOOKUP(P1544,PROGRAMAS[],2,FALSE),0)</f>
        <v>0</v>
      </c>
      <c r="AE1544" s="246">
        <f>IFERROR(VLOOKUP(Q1544,PROGRAMAS[],2,FALSE),0)</f>
        <v>0</v>
      </c>
      <c r="AF1544" s="246">
        <f>IFERROR(VLOOKUP(D1544,PROGRAMAS[],3,FALSE),0)</f>
        <v>841888629.31080008</v>
      </c>
      <c r="AG1544" s="246">
        <f>IFERROR(VLOOKUP(E1544,PROGRAMAS[],3,FALSE),0)</f>
        <v>3848980803.1642323</v>
      </c>
      <c r="AH1544" s="246">
        <f>IFERROR(VLOOKUP(F1544,PROGRAMAS[],3,FALSE),0)</f>
        <v>3394901471.387517</v>
      </c>
      <c r="AI1544" s="246">
        <f>IFERROR(VLOOKUP(G1544,PROGRAMAS[],3,FALSE),0)</f>
        <v>125317226.95549992</v>
      </c>
      <c r="AJ1544" s="246">
        <f>IFERROR(VLOOKUP(H1544,PROGRAMAS[],3,FALSE),0)</f>
        <v>1233505101.0616004</v>
      </c>
      <c r="AK1544" s="246">
        <f>IFERROR(VLOOKUP(I1544,PROGRAMAS[],3,FALSE),0)</f>
        <v>6129902208.7912121</v>
      </c>
      <c r="AL1544" s="246">
        <f>IFERROR(VLOOKUP(J1544,PROGRAMAS[],3,FALSE),0)</f>
        <v>675517840.109828</v>
      </c>
      <c r="AM1544" s="246">
        <f>IFERROR(VLOOKUP(K1544,PROGRAMAS[],3,FALSE),0)</f>
        <v>2392571243.5584412</v>
      </c>
      <c r="AN1544" s="246">
        <f>IFERROR(VLOOKUP(L1544,PROGRAMAS[],3,FALSE),0)</f>
        <v>31865326.38096505</v>
      </c>
      <c r="AO1544" s="246">
        <f>IFERROR(VLOOKUP(M1544,PROGRAMAS[],3,FALSE),0)</f>
        <v>948595847.09039903</v>
      </c>
      <c r="AP1544" s="246">
        <f>IFERROR(VLOOKUP(N1544,PROGRAMAS[],3,FALSE),0)</f>
        <v>0</v>
      </c>
      <c r="AQ1544" s="246">
        <f>IFERROR(VLOOKUP(O1544,PROGRAMAS[],3,FALSE),0)</f>
        <v>0</v>
      </c>
      <c r="AR1544" s="246">
        <f>IFERROR(VLOOKUP(P1544,PROGRAMAS[],3,FALSE),0)</f>
        <v>0</v>
      </c>
      <c r="AS1544" s="246">
        <f>IFERROR(VLOOKUP(Q1544,PROGRAMAS[],3,FALSE),0)</f>
        <v>0</v>
      </c>
      <c r="AT1544" s="246">
        <f>IFERROR(VLOOKUP(D1544,VOL_REC[],2,FALSE),0)</f>
        <v>0</v>
      </c>
      <c r="AU1544" s="246">
        <f>IFERROR(VLOOKUP(E1544,VOL_REC[],2,FALSE),0)</f>
        <v>0</v>
      </c>
      <c r="AV1544" s="246">
        <f>IFERROR(VLOOKUP(F1544,VOL_REC[],2,FALSE),0)</f>
        <v>11089674.200000001</v>
      </c>
      <c r="AW1544" s="246">
        <f>IFERROR(VLOOKUP(G1544,VOL_REC[],2,FALSE),0)</f>
        <v>90439.55</v>
      </c>
      <c r="AX1544" s="246">
        <f>IFERROR(VLOOKUP(H1544,VOL_REC[],2,FALSE),0)</f>
        <v>4325103.1812214684</v>
      </c>
      <c r="AY1544" s="246">
        <f>IFERROR(VLOOKUP(I1544,VOL_REC[],2,FALSE),0)</f>
        <v>15540036.397699751</v>
      </c>
      <c r="AZ1544" s="246">
        <f>IFERROR(VLOOKUP(J1544,VOL_REC[],2,FALSE),0)</f>
        <v>240696.79238099116</v>
      </c>
      <c r="BA1544" s="246">
        <f>IFERROR(VLOOKUP(K1544,VOL_REC[],2,FALSE),0)</f>
        <v>663244.80000000016</v>
      </c>
      <c r="BB1544" s="246">
        <f>IFERROR(VLOOKUP(L1544,VOL_REC[],2,FALSE),0)</f>
        <v>17074.045034105649</v>
      </c>
      <c r="BC1544" s="246">
        <f>IFERROR(VLOOKUP(M1544,VOL_REC[],2,FALSE),0)</f>
        <v>740113.98115702497</v>
      </c>
      <c r="BD1544" s="246">
        <f>IFERROR(VLOOKUP(N1544,VOL_REC[],2,FALSE),0)</f>
        <v>0</v>
      </c>
      <c r="BE1544" s="246">
        <f>IFERROR(VLOOKUP(O1544,VOL_REC[],2,FALSE),0)</f>
        <v>0</v>
      </c>
      <c r="BF1544" s="246">
        <f>IFERROR(VLOOKUP(P1544,VOL_REC[],2,FALSE),0)</f>
        <v>0</v>
      </c>
      <c r="BG1544" s="246">
        <f>IFERROR(VLOOKUP(Q1544,VOL_REC[],2,FALSE),0)</f>
        <v>0</v>
      </c>
      <c r="BH1544" s="1710">
        <f t="shared" si="96"/>
        <v>18704493298.071152</v>
      </c>
      <c r="BI1544" s="1710">
        <f t="shared" si="97"/>
        <v>19623045697.810497</v>
      </c>
      <c r="BJ1544" s="1711">
        <f t="shared" si="98"/>
        <v>32706382.947493345</v>
      </c>
      <c r="BK1544" s="1711">
        <f t="shared" si="99"/>
        <v>0.95319012074451648</v>
      </c>
    </row>
    <row r="1545" spans="3:67" x14ac:dyDescent="0.25">
      <c r="C1545" s="246" t="s">
        <v>2895</v>
      </c>
      <c r="D1545" s="246">
        <v>1</v>
      </c>
      <c r="E1545" s="246">
        <v>2</v>
      </c>
      <c r="F1545" s="246">
        <v>3</v>
      </c>
      <c r="G1545" s="246">
        <v>4</v>
      </c>
      <c r="H1545" s="246">
        <v>5</v>
      </c>
      <c r="I1545" s="246">
        <v>6</v>
      </c>
      <c r="J1545" s="246">
        <v>12</v>
      </c>
      <c r="K1545" s="246">
        <v>13</v>
      </c>
      <c r="L1545" s="246">
        <v>15</v>
      </c>
      <c r="M1545" s="246">
        <v>16</v>
      </c>
      <c r="N1545" s="246"/>
      <c r="O1545" s="246"/>
      <c r="P1545" s="246"/>
      <c r="Q1545" s="246"/>
      <c r="R1545" s="246">
        <f>IFERROR(VLOOKUP(D1545,PROGRAMAS[],2,FALSE),0)</f>
        <v>97037803.679377079</v>
      </c>
      <c r="S1545" s="246">
        <f>IFERROR(VLOOKUP(E1545,PROGRAMAS[],2,FALSE),0)</f>
        <v>640501509.6821388</v>
      </c>
      <c r="T1545" s="246">
        <f>IFERROR(VLOOKUP(F1545,PROGRAMAS[],2,FALSE),0)</f>
        <v>3062327798.1525245</v>
      </c>
      <c r="U1545" s="246">
        <f>IFERROR(VLOOKUP(G1545,PROGRAMAS[],2,FALSE),0)</f>
        <v>67697118.033011258</v>
      </c>
      <c r="V1545" s="246">
        <f>IFERROR(VLOOKUP(H1545,PROGRAMAS[],2,FALSE),0)</f>
        <v>1440941976.2528784</v>
      </c>
      <c r="W1545" s="246">
        <f>IFERROR(VLOOKUP(I1545,PROGRAMAS[],2,FALSE),0)</f>
        <v>6907648435.8447599</v>
      </c>
      <c r="X1545" s="246">
        <f>IFERROR(VLOOKUP(J1545,PROGRAMAS[],2,FALSE),0)</f>
        <v>764796700.79905891</v>
      </c>
      <c r="Y1545" s="246">
        <f>IFERROR(VLOOKUP(K1545,PROGRAMAS[],2,FALSE),0)</f>
        <v>3776538594.4604583</v>
      </c>
      <c r="Z1545" s="246">
        <f>IFERROR(VLOOKUP(L1545,PROGRAMAS[],2,FALSE),0)</f>
        <v>122159672.96346797</v>
      </c>
      <c r="AA1545" s="246">
        <f>IFERROR(VLOOKUP(M1545,PROGRAMAS[],2,FALSE),0)</f>
        <v>7068496961.0436354</v>
      </c>
      <c r="AB1545" s="246">
        <f>IFERROR(VLOOKUP(N1545,PROGRAMAS[],2,FALSE),0)</f>
        <v>0</v>
      </c>
      <c r="AC1545" s="246">
        <f>IFERROR(VLOOKUP(O1545,PROGRAMAS[],2,FALSE),0)</f>
        <v>0</v>
      </c>
      <c r="AD1545" s="246">
        <f>IFERROR(VLOOKUP(P1545,PROGRAMAS[],2,FALSE),0)</f>
        <v>0</v>
      </c>
      <c r="AE1545" s="246">
        <f>IFERROR(VLOOKUP(Q1545,PROGRAMAS[],2,FALSE),0)</f>
        <v>0</v>
      </c>
      <c r="AF1545" s="246">
        <f>IFERROR(VLOOKUP(D1545,PROGRAMAS[],3,FALSE),0)</f>
        <v>841888629.31080008</v>
      </c>
      <c r="AG1545" s="246">
        <f>IFERROR(VLOOKUP(E1545,PROGRAMAS[],3,FALSE),0)</f>
        <v>3848980803.1642323</v>
      </c>
      <c r="AH1545" s="246">
        <f>IFERROR(VLOOKUP(F1545,PROGRAMAS[],3,FALSE),0)</f>
        <v>3394901471.387517</v>
      </c>
      <c r="AI1545" s="246">
        <f>IFERROR(VLOOKUP(G1545,PROGRAMAS[],3,FALSE),0)</f>
        <v>125317226.95549992</v>
      </c>
      <c r="AJ1545" s="246">
        <f>IFERROR(VLOOKUP(H1545,PROGRAMAS[],3,FALSE),0)</f>
        <v>1233505101.0616004</v>
      </c>
      <c r="AK1545" s="246">
        <f>IFERROR(VLOOKUP(I1545,PROGRAMAS[],3,FALSE),0)</f>
        <v>6129902208.7912121</v>
      </c>
      <c r="AL1545" s="246">
        <f>IFERROR(VLOOKUP(J1545,PROGRAMAS[],3,FALSE),0)</f>
        <v>675517840.109828</v>
      </c>
      <c r="AM1545" s="246">
        <f>IFERROR(VLOOKUP(K1545,PROGRAMAS[],3,FALSE),0)</f>
        <v>2392571243.5584412</v>
      </c>
      <c r="AN1545" s="246">
        <f>IFERROR(VLOOKUP(L1545,PROGRAMAS[],3,FALSE),0)</f>
        <v>118617452.52510804</v>
      </c>
      <c r="AO1545" s="246">
        <f>IFERROR(VLOOKUP(M1545,PROGRAMAS[],3,FALSE),0)</f>
        <v>2406564599.0319901</v>
      </c>
      <c r="AP1545" s="246">
        <f>IFERROR(VLOOKUP(N1545,PROGRAMAS[],3,FALSE),0)</f>
        <v>0</v>
      </c>
      <c r="AQ1545" s="246">
        <f>IFERROR(VLOOKUP(O1545,PROGRAMAS[],3,FALSE),0)</f>
        <v>0</v>
      </c>
      <c r="AR1545" s="246">
        <f>IFERROR(VLOOKUP(P1545,PROGRAMAS[],3,FALSE),0)</f>
        <v>0</v>
      </c>
      <c r="AS1545" s="246">
        <f>IFERROR(VLOOKUP(Q1545,PROGRAMAS[],3,FALSE),0)</f>
        <v>0</v>
      </c>
      <c r="AT1545" s="246">
        <f>IFERROR(VLOOKUP(D1545,VOL_REC[],2,FALSE),0)</f>
        <v>0</v>
      </c>
      <c r="AU1545" s="246">
        <f>IFERROR(VLOOKUP(E1545,VOL_REC[],2,FALSE),0)</f>
        <v>0</v>
      </c>
      <c r="AV1545" s="246">
        <f>IFERROR(VLOOKUP(F1545,VOL_REC[],2,FALSE),0)</f>
        <v>11089674.200000001</v>
      </c>
      <c r="AW1545" s="246">
        <f>IFERROR(VLOOKUP(G1545,VOL_REC[],2,FALSE),0)</f>
        <v>90439.55</v>
      </c>
      <c r="AX1545" s="246">
        <f>IFERROR(VLOOKUP(H1545,VOL_REC[],2,FALSE),0)</f>
        <v>4325103.1812214684</v>
      </c>
      <c r="AY1545" s="246">
        <f>IFERROR(VLOOKUP(I1545,VOL_REC[],2,FALSE),0)</f>
        <v>15540036.397699751</v>
      </c>
      <c r="AZ1545" s="246">
        <f>IFERROR(VLOOKUP(J1545,VOL_REC[],2,FALSE),0)</f>
        <v>240696.79238099116</v>
      </c>
      <c r="BA1545" s="246">
        <f>IFERROR(VLOOKUP(K1545,VOL_REC[],2,FALSE),0)</f>
        <v>663244.80000000016</v>
      </c>
      <c r="BB1545" s="246">
        <f>IFERROR(VLOOKUP(L1545,VOL_REC[],2,FALSE),0)</f>
        <v>105072</v>
      </c>
      <c r="BC1545" s="246">
        <f>IFERROR(VLOOKUP(M1545,VOL_REC[],2,FALSE),0)</f>
        <v>1072354.9981737854</v>
      </c>
      <c r="BD1545" s="246">
        <f>IFERROR(VLOOKUP(N1545,VOL_REC[],2,FALSE),0)</f>
        <v>0</v>
      </c>
      <c r="BE1545" s="246">
        <f>IFERROR(VLOOKUP(O1545,VOL_REC[],2,FALSE),0)</f>
        <v>0</v>
      </c>
      <c r="BF1545" s="246">
        <f>IFERROR(VLOOKUP(P1545,VOL_REC[],2,FALSE),0)</f>
        <v>0</v>
      </c>
      <c r="BG1545" s="246">
        <f>IFERROR(VLOOKUP(Q1545,VOL_REC[],2,FALSE),0)</f>
        <v>0</v>
      </c>
      <c r="BH1545" s="1710">
        <f t="shared" si="96"/>
        <v>23948146570.911312</v>
      </c>
      <c r="BI1545" s="1710">
        <f t="shared" si="97"/>
        <v>21167766575.896229</v>
      </c>
      <c r="BJ1545" s="1711">
        <f t="shared" si="98"/>
        <v>33126621.919475999</v>
      </c>
      <c r="BK1545" s="1711">
        <f t="shared" si="99"/>
        <v>1.1313497097129324</v>
      </c>
      <c r="BL1545">
        <f>BJ1545</f>
        <v>33126621.919475999</v>
      </c>
      <c r="BO1545">
        <f>BL1545</f>
        <v>33126621.919475999</v>
      </c>
    </row>
    <row r="1546" spans="3:67" x14ac:dyDescent="0.25">
      <c r="C1546" s="246" t="s">
        <v>2896</v>
      </c>
      <c r="D1546" s="246">
        <v>1</v>
      </c>
      <c r="E1546" s="246">
        <v>2</v>
      </c>
      <c r="F1546" s="246">
        <v>3</v>
      </c>
      <c r="G1546" s="246">
        <v>4</v>
      </c>
      <c r="H1546" s="246">
        <v>5</v>
      </c>
      <c r="I1546" s="246">
        <v>6</v>
      </c>
      <c r="J1546" s="246">
        <v>12</v>
      </c>
      <c r="K1546" s="246">
        <v>13</v>
      </c>
      <c r="L1546" s="246">
        <v>15</v>
      </c>
      <c r="M1546" s="246">
        <v>17</v>
      </c>
      <c r="N1546" s="246"/>
      <c r="O1546" s="246"/>
      <c r="P1546" s="246"/>
      <c r="Q1546" s="246"/>
      <c r="R1546" s="246">
        <f>IFERROR(VLOOKUP(D1546,PROGRAMAS[],2,FALSE),0)</f>
        <v>97037803.679377079</v>
      </c>
      <c r="S1546" s="246">
        <f>IFERROR(VLOOKUP(E1546,PROGRAMAS[],2,FALSE),0)</f>
        <v>640501509.6821388</v>
      </c>
      <c r="T1546" s="246">
        <f>IFERROR(VLOOKUP(F1546,PROGRAMAS[],2,FALSE),0)</f>
        <v>3062327798.1525245</v>
      </c>
      <c r="U1546" s="246">
        <f>IFERROR(VLOOKUP(G1546,PROGRAMAS[],2,FALSE),0)</f>
        <v>67697118.033011258</v>
      </c>
      <c r="V1546" s="246">
        <f>IFERROR(VLOOKUP(H1546,PROGRAMAS[],2,FALSE),0)</f>
        <v>1440941976.2528784</v>
      </c>
      <c r="W1546" s="246">
        <f>IFERROR(VLOOKUP(I1546,PROGRAMAS[],2,FALSE),0)</f>
        <v>6907648435.8447599</v>
      </c>
      <c r="X1546" s="246">
        <f>IFERROR(VLOOKUP(J1546,PROGRAMAS[],2,FALSE),0)</f>
        <v>764796700.79905891</v>
      </c>
      <c r="Y1546" s="246">
        <f>IFERROR(VLOOKUP(K1546,PROGRAMAS[],2,FALSE),0)</f>
        <v>3776538594.4604583</v>
      </c>
      <c r="Z1546" s="246">
        <f>IFERROR(VLOOKUP(L1546,PROGRAMAS[],2,FALSE),0)</f>
        <v>122159672.96346797</v>
      </c>
      <c r="AA1546" s="246">
        <f>IFERROR(VLOOKUP(M1546,PROGRAMAS[],2,FALSE),0)</f>
        <v>1892779498.5211046</v>
      </c>
      <c r="AB1546" s="246">
        <f>IFERROR(VLOOKUP(N1546,PROGRAMAS[],2,FALSE),0)</f>
        <v>0</v>
      </c>
      <c r="AC1546" s="246">
        <f>IFERROR(VLOOKUP(O1546,PROGRAMAS[],2,FALSE),0)</f>
        <v>0</v>
      </c>
      <c r="AD1546" s="246">
        <f>IFERROR(VLOOKUP(P1546,PROGRAMAS[],2,FALSE),0)</f>
        <v>0</v>
      </c>
      <c r="AE1546" s="246">
        <f>IFERROR(VLOOKUP(Q1546,PROGRAMAS[],2,FALSE),0)</f>
        <v>0</v>
      </c>
      <c r="AF1546" s="246">
        <f>IFERROR(VLOOKUP(D1546,PROGRAMAS[],3,FALSE),0)</f>
        <v>841888629.31080008</v>
      </c>
      <c r="AG1546" s="246">
        <f>IFERROR(VLOOKUP(E1546,PROGRAMAS[],3,FALSE),0)</f>
        <v>3848980803.1642323</v>
      </c>
      <c r="AH1546" s="246">
        <f>IFERROR(VLOOKUP(F1546,PROGRAMAS[],3,FALSE),0)</f>
        <v>3394901471.387517</v>
      </c>
      <c r="AI1546" s="246">
        <f>IFERROR(VLOOKUP(G1546,PROGRAMAS[],3,FALSE),0)</f>
        <v>125317226.95549992</v>
      </c>
      <c r="AJ1546" s="246">
        <f>IFERROR(VLOOKUP(H1546,PROGRAMAS[],3,FALSE),0)</f>
        <v>1233505101.0616004</v>
      </c>
      <c r="AK1546" s="246">
        <f>IFERROR(VLOOKUP(I1546,PROGRAMAS[],3,FALSE),0)</f>
        <v>6129902208.7912121</v>
      </c>
      <c r="AL1546" s="246">
        <f>IFERROR(VLOOKUP(J1546,PROGRAMAS[],3,FALSE),0)</f>
        <v>675517840.109828</v>
      </c>
      <c r="AM1546" s="246">
        <f>IFERROR(VLOOKUP(K1546,PROGRAMAS[],3,FALSE),0)</f>
        <v>2392571243.5584412</v>
      </c>
      <c r="AN1546" s="246">
        <f>IFERROR(VLOOKUP(L1546,PROGRAMAS[],3,FALSE),0)</f>
        <v>118617452.52510804</v>
      </c>
      <c r="AO1546" s="246">
        <f>IFERROR(VLOOKUP(M1546,PROGRAMAS[],3,FALSE),0)</f>
        <v>948595847.09039903</v>
      </c>
      <c r="AP1546" s="246">
        <f>IFERROR(VLOOKUP(N1546,PROGRAMAS[],3,FALSE),0)</f>
        <v>0</v>
      </c>
      <c r="AQ1546" s="246">
        <f>IFERROR(VLOOKUP(O1546,PROGRAMAS[],3,FALSE),0)</f>
        <v>0</v>
      </c>
      <c r="AR1546" s="246">
        <f>IFERROR(VLOOKUP(P1546,PROGRAMAS[],3,FALSE),0)</f>
        <v>0</v>
      </c>
      <c r="AS1546" s="246">
        <f>IFERROR(VLOOKUP(Q1546,PROGRAMAS[],3,FALSE),0)</f>
        <v>0</v>
      </c>
      <c r="AT1546" s="246">
        <f>IFERROR(VLOOKUP(D1546,VOL_REC[],2,FALSE),0)</f>
        <v>0</v>
      </c>
      <c r="AU1546" s="246">
        <f>IFERROR(VLOOKUP(E1546,VOL_REC[],2,FALSE),0)</f>
        <v>0</v>
      </c>
      <c r="AV1546" s="246">
        <f>IFERROR(VLOOKUP(F1546,VOL_REC[],2,FALSE),0)</f>
        <v>11089674.200000001</v>
      </c>
      <c r="AW1546" s="246">
        <f>IFERROR(VLOOKUP(G1546,VOL_REC[],2,FALSE),0)</f>
        <v>90439.55</v>
      </c>
      <c r="AX1546" s="246">
        <f>IFERROR(VLOOKUP(H1546,VOL_REC[],2,FALSE),0)</f>
        <v>4325103.1812214684</v>
      </c>
      <c r="AY1546" s="246">
        <f>IFERROR(VLOOKUP(I1546,VOL_REC[],2,FALSE),0)</f>
        <v>15540036.397699751</v>
      </c>
      <c r="AZ1546" s="246">
        <f>IFERROR(VLOOKUP(J1546,VOL_REC[],2,FALSE),0)</f>
        <v>240696.79238099116</v>
      </c>
      <c r="BA1546" s="246">
        <f>IFERROR(VLOOKUP(K1546,VOL_REC[],2,FALSE),0)</f>
        <v>663244.80000000016</v>
      </c>
      <c r="BB1546" s="246">
        <f>IFERROR(VLOOKUP(L1546,VOL_REC[],2,FALSE),0)</f>
        <v>105072</v>
      </c>
      <c r="BC1546" s="246">
        <f>IFERROR(VLOOKUP(M1546,VOL_REC[],2,FALSE),0)</f>
        <v>740113.98115702497</v>
      </c>
      <c r="BD1546" s="246">
        <f>IFERROR(VLOOKUP(N1546,VOL_REC[],2,FALSE),0)</f>
        <v>0</v>
      </c>
      <c r="BE1546" s="246">
        <f>IFERROR(VLOOKUP(O1546,VOL_REC[],2,FALSE),0)</f>
        <v>0</v>
      </c>
      <c r="BF1546" s="246">
        <f>IFERROR(VLOOKUP(P1546,VOL_REC[],2,FALSE),0)</f>
        <v>0</v>
      </c>
      <c r="BG1546" s="246">
        <f>IFERROR(VLOOKUP(Q1546,VOL_REC[],2,FALSE),0)</f>
        <v>0</v>
      </c>
      <c r="BH1546" s="1710">
        <f t="shared" si="96"/>
        <v>18772429108.388783</v>
      </c>
      <c r="BI1546" s="1710">
        <f t="shared" si="97"/>
        <v>19709797823.954639</v>
      </c>
      <c r="BJ1546" s="1711">
        <f t="shared" si="98"/>
        <v>32794380.902459238</v>
      </c>
      <c r="BK1546" s="1711">
        <f t="shared" si="99"/>
        <v>0.9524414849945031</v>
      </c>
    </row>
    <row r="1547" spans="3:67" x14ac:dyDescent="0.25">
      <c r="C1547" s="246" t="s">
        <v>2897</v>
      </c>
      <c r="D1547" s="246">
        <v>1</v>
      </c>
      <c r="E1547" s="246">
        <v>2</v>
      </c>
      <c r="F1547" s="246">
        <v>3</v>
      </c>
      <c r="G1547" s="246">
        <v>4</v>
      </c>
      <c r="H1547" s="246">
        <v>5</v>
      </c>
      <c r="I1547" s="246">
        <v>6</v>
      </c>
      <c r="J1547" s="246">
        <v>12</v>
      </c>
      <c r="K1547" s="246">
        <v>13</v>
      </c>
      <c r="L1547" s="246">
        <v>16</v>
      </c>
      <c r="M1547" s="246">
        <v>17</v>
      </c>
      <c r="N1547" s="246"/>
      <c r="O1547" s="246"/>
      <c r="P1547" s="246"/>
      <c r="Q1547" s="246"/>
      <c r="R1547" s="246">
        <f>IFERROR(VLOOKUP(D1547,PROGRAMAS[],2,FALSE),0)</f>
        <v>97037803.679377079</v>
      </c>
      <c r="S1547" s="246">
        <f>IFERROR(VLOOKUP(E1547,PROGRAMAS[],2,FALSE),0)</f>
        <v>640501509.6821388</v>
      </c>
      <c r="T1547" s="246">
        <f>IFERROR(VLOOKUP(F1547,PROGRAMAS[],2,FALSE),0)</f>
        <v>3062327798.1525245</v>
      </c>
      <c r="U1547" s="246">
        <f>IFERROR(VLOOKUP(G1547,PROGRAMAS[],2,FALSE),0)</f>
        <v>67697118.033011258</v>
      </c>
      <c r="V1547" s="246">
        <f>IFERROR(VLOOKUP(H1547,PROGRAMAS[],2,FALSE),0)</f>
        <v>1440941976.2528784</v>
      </c>
      <c r="W1547" s="246">
        <f>IFERROR(VLOOKUP(I1547,PROGRAMAS[],2,FALSE),0)</f>
        <v>6907648435.8447599</v>
      </c>
      <c r="X1547" s="246">
        <f>IFERROR(VLOOKUP(J1547,PROGRAMAS[],2,FALSE),0)</f>
        <v>764796700.79905891</v>
      </c>
      <c r="Y1547" s="246">
        <f>IFERROR(VLOOKUP(K1547,PROGRAMAS[],2,FALSE),0)</f>
        <v>3776538594.4604583</v>
      </c>
      <c r="Z1547" s="246">
        <f>IFERROR(VLOOKUP(L1547,PROGRAMAS[],2,FALSE),0)</f>
        <v>7068496961.0436354</v>
      </c>
      <c r="AA1547" s="246">
        <f>IFERROR(VLOOKUP(M1547,PROGRAMAS[],2,FALSE),0)</f>
        <v>1892779498.5211046</v>
      </c>
      <c r="AB1547" s="246">
        <f>IFERROR(VLOOKUP(N1547,PROGRAMAS[],2,FALSE),0)</f>
        <v>0</v>
      </c>
      <c r="AC1547" s="246">
        <f>IFERROR(VLOOKUP(O1547,PROGRAMAS[],2,FALSE),0)</f>
        <v>0</v>
      </c>
      <c r="AD1547" s="246">
        <f>IFERROR(VLOOKUP(P1547,PROGRAMAS[],2,FALSE),0)</f>
        <v>0</v>
      </c>
      <c r="AE1547" s="246">
        <f>IFERROR(VLOOKUP(Q1547,PROGRAMAS[],2,FALSE),0)</f>
        <v>0</v>
      </c>
      <c r="AF1547" s="246">
        <f>IFERROR(VLOOKUP(D1547,PROGRAMAS[],3,FALSE),0)</f>
        <v>841888629.31080008</v>
      </c>
      <c r="AG1547" s="246">
        <f>IFERROR(VLOOKUP(E1547,PROGRAMAS[],3,FALSE),0)</f>
        <v>3848980803.1642323</v>
      </c>
      <c r="AH1547" s="246">
        <f>IFERROR(VLOOKUP(F1547,PROGRAMAS[],3,FALSE),0)</f>
        <v>3394901471.387517</v>
      </c>
      <c r="AI1547" s="246">
        <f>IFERROR(VLOOKUP(G1547,PROGRAMAS[],3,FALSE),0)</f>
        <v>125317226.95549992</v>
      </c>
      <c r="AJ1547" s="246">
        <f>IFERROR(VLOOKUP(H1547,PROGRAMAS[],3,FALSE),0)</f>
        <v>1233505101.0616004</v>
      </c>
      <c r="AK1547" s="246">
        <f>IFERROR(VLOOKUP(I1547,PROGRAMAS[],3,FALSE),0)</f>
        <v>6129902208.7912121</v>
      </c>
      <c r="AL1547" s="246">
        <f>IFERROR(VLOOKUP(J1547,PROGRAMAS[],3,FALSE),0)</f>
        <v>675517840.109828</v>
      </c>
      <c r="AM1547" s="246">
        <f>IFERROR(VLOOKUP(K1547,PROGRAMAS[],3,FALSE),0)</f>
        <v>2392571243.5584412</v>
      </c>
      <c r="AN1547" s="246">
        <f>IFERROR(VLOOKUP(L1547,PROGRAMAS[],3,FALSE),0)</f>
        <v>2406564599.0319901</v>
      </c>
      <c r="AO1547" s="246">
        <f>IFERROR(VLOOKUP(M1547,PROGRAMAS[],3,FALSE),0)</f>
        <v>948595847.09039903</v>
      </c>
      <c r="AP1547" s="246">
        <f>IFERROR(VLOOKUP(N1547,PROGRAMAS[],3,FALSE),0)</f>
        <v>0</v>
      </c>
      <c r="AQ1547" s="246">
        <f>IFERROR(VLOOKUP(O1547,PROGRAMAS[],3,FALSE),0)</f>
        <v>0</v>
      </c>
      <c r="AR1547" s="246">
        <f>IFERROR(VLOOKUP(P1547,PROGRAMAS[],3,FALSE),0)</f>
        <v>0</v>
      </c>
      <c r="AS1547" s="246">
        <f>IFERROR(VLOOKUP(Q1547,PROGRAMAS[],3,FALSE),0)</f>
        <v>0</v>
      </c>
      <c r="AT1547" s="246">
        <f>IFERROR(VLOOKUP(D1547,VOL_REC[],2,FALSE),0)</f>
        <v>0</v>
      </c>
      <c r="AU1547" s="246">
        <f>IFERROR(VLOOKUP(E1547,VOL_REC[],2,FALSE),0)</f>
        <v>0</v>
      </c>
      <c r="AV1547" s="246">
        <f>IFERROR(VLOOKUP(F1547,VOL_REC[],2,FALSE),0)</f>
        <v>11089674.200000001</v>
      </c>
      <c r="AW1547" s="246">
        <f>IFERROR(VLOOKUP(G1547,VOL_REC[],2,FALSE),0)</f>
        <v>90439.55</v>
      </c>
      <c r="AX1547" s="246">
        <f>IFERROR(VLOOKUP(H1547,VOL_REC[],2,FALSE),0)</f>
        <v>4325103.1812214684</v>
      </c>
      <c r="AY1547" s="246">
        <f>IFERROR(VLOOKUP(I1547,VOL_REC[],2,FALSE),0)</f>
        <v>15540036.397699751</v>
      </c>
      <c r="AZ1547" s="246">
        <f>IFERROR(VLOOKUP(J1547,VOL_REC[],2,FALSE),0)</f>
        <v>240696.79238099116</v>
      </c>
      <c r="BA1547" s="246">
        <f>IFERROR(VLOOKUP(K1547,VOL_REC[],2,FALSE),0)</f>
        <v>663244.80000000016</v>
      </c>
      <c r="BB1547" s="246">
        <f>IFERROR(VLOOKUP(L1547,VOL_REC[],2,FALSE),0)</f>
        <v>1072354.9981737854</v>
      </c>
      <c r="BC1547" s="246">
        <f>IFERROR(VLOOKUP(M1547,VOL_REC[],2,FALSE),0)</f>
        <v>740113.98115702497</v>
      </c>
      <c r="BD1547" s="246">
        <f>IFERROR(VLOOKUP(N1547,VOL_REC[],2,FALSE),0)</f>
        <v>0</v>
      </c>
      <c r="BE1547" s="246">
        <f>IFERROR(VLOOKUP(O1547,VOL_REC[],2,FALSE),0)</f>
        <v>0</v>
      </c>
      <c r="BF1547" s="246">
        <f>IFERROR(VLOOKUP(P1547,VOL_REC[],2,FALSE),0)</f>
        <v>0</v>
      </c>
      <c r="BG1547" s="246">
        <f>IFERROR(VLOOKUP(Q1547,VOL_REC[],2,FALSE),0)</f>
        <v>0</v>
      </c>
      <c r="BH1547" s="1710">
        <f t="shared" si="96"/>
        <v>25718766396.468948</v>
      </c>
      <c r="BI1547" s="1710">
        <f t="shared" si="97"/>
        <v>21997744970.461521</v>
      </c>
      <c r="BJ1547" s="1711">
        <f t="shared" si="98"/>
        <v>33761663.900633022</v>
      </c>
      <c r="BK1547" s="1711">
        <f t="shared" si="99"/>
        <v>1.169154676127212</v>
      </c>
      <c r="BL1547">
        <f>BJ1547</f>
        <v>33761663.900633022</v>
      </c>
      <c r="BO1547">
        <f>BL1547</f>
        <v>33761663.900633022</v>
      </c>
    </row>
    <row r="1548" spans="3:67" x14ac:dyDescent="0.25">
      <c r="C1548" s="246" t="s">
        <v>2898</v>
      </c>
      <c r="D1548" s="246">
        <v>1</v>
      </c>
      <c r="E1548" s="246">
        <v>2</v>
      </c>
      <c r="F1548" s="246">
        <v>3</v>
      </c>
      <c r="G1548" s="246">
        <v>4</v>
      </c>
      <c r="H1548" s="246">
        <v>5</v>
      </c>
      <c r="I1548" s="246">
        <v>6</v>
      </c>
      <c r="J1548" s="246">
        <v>12</v>
      </c>
      <c r="K1548" s="246">
        <v>14</v>
      </c>
      <c r="L1548" s="246">
        <v>15</v>
      </c>
      <c r="M1548" s="246">
        <v>16</v>
      </c>
      <c r="N1548" s="246"/>
      <c r="O1548" s="246"/>
      <c r="P1548" s="246"/>
      <c r="Q1548" s="246"/>
      <c r="R1548" s="246">
        <f>IFERROR(VLOOKUP(D1548,PROGRAMAS[],2,FALSE),0)</f>
        <v>97037803.679377079</v>
      </c>
      <c r="S1548" s="246">
        <f>IFERROR(VLOOKUP(E1548,PROGRAMAS[],2,FALSE),0)</f>
        <v>640501509.6821388</v>
      </c>
      <c r="T1548" s="246">
        <f>IFERROR(VLOOKUP(F1548,PROGRAMAS[],2,FALSE),0)</f>
        <v>3062327798.1525245</v>
      </c>
      <c r="U1548" s="246">
        <f>IFERROR(VLOOKUP(G1548,PROGRAMAS[],2,FALSE),0)</f>
        <v>67697118.033011258</v>
      </c>
      <c r="V1548" s="246">
        <f>IFERROR(VLOOKUP(H1548,PROGRAMAS[],2,FALSE),0)</f>
        <v>1440941976.2528784</v>
      </c>
      <c r="W1548" s="246">
        <f>IFERROR(VLOOKUP(I1548,PROGRAMAS[],2,FALSE),0)</f>
        <v>6907648435.8447599</v>
      </c>
      <c r="X1548" s="246">
        <f>IFERROR(VLOOKUP(J1548,PROGRAMAS[],2,FALSE),0)</f>
        <v>764796700.79905891</v>
      </c>
      <c r="Y1548" s="246">
        <f>IFERROR(VLOOKUP(K1548,PROGRAMAS[],2,FALSE),0)</f>
        <v>54223862.645839565</v>
      </c>
      <c r="Z1548" s="246">
        <f>IFERROR(VLOOKUP(L1548,PROGRAMAS[],2,FALSE),0)</f>
        <v>122159672.96346797</v>
      </c>
      <c r="AA1548" s="246">
        <f>IFERROR(VLOOKUP(M1548,PROGRAMAS[],2,FALSE),0)</f>
        <v>7068496961.0436354</v>
      </c>
      <c r="AB1548" s="246">
        <f>IFERROR(VLOOKUP(N1548,PROGRAMAS[],2,FALSE),0)</f>
        <v>0</v>
      </c>
      <c r="AC1548" s="246">
        <f>IFERROR(VLOOKUP(O1548,PROGRAMAS[],2,FALSE),0)</f>
        <v>0</v>
      </c>
      <c r="AD1548" s="246">
        <f>IFERROR(VLOOKUP(P1548,PROGRAMAS[],2,FALSE),0)</f>
        <v>0</v>
      </c>
      <c r="AE1548" s="246">
        <f>IFERROR(VLOOKUP(Q1548,PROGRAMAS[],2,FALSE),0)</f>
        <v>0</v>
      </c>
      <c r="AF1548" s="246">
        <f>IFERROR(VLOOKUP(D1548,PROGRAMAS[],3,FALSE),0)</f>
        <v>841888629.31080008</v>
      </c>
      <c r="AG1548" s="246">
        <f>IFERROR(VLOOKUP(E1548,PROGRAMAS[],3,FALSE),0)</f>
        <v>3848980803.1642323</v>
      </c>
      <c r="AH1548" s="246">
        <f>IFERROR(VLOOKUP(F1548,PROGRAMAS[],3,FALSE),0)</f>
        <v>3394901471.387517</v>
      </c>
      <c r="AI1548" s="246">
        <f>IFERROR(VLOOKUP(G1548,PROGRAMAS[],3,FALSE),0)</f>
        <v>125317226.95549992</v>
      </c>
      <c r="AJ1548" s="246">
        <f>IFERROR(VLOOKUP(H1548,PROGRAMAS[],3,FALSE),0)</f>
        <v>1233505101.0616004</v>
      </c>
      <c r="AK1548" s="246">
        <f>IFERROR(VLOOKUP(I1548,PROGRAMAS[],3,FALSE),0)</f>
        <v>6129902208.7912121</v>
      </c>
      <c r="AL1548" s="246">
        <f>IFERROR(VLOOKUP(J1548,PROGRAMAS[],3,FALSE),0)</f>
        <v>675517840.109828</v>
      </c>
      <c r="AM1548" s="246">
        <f>IFERROR(VLOOKUP(K1548,PROGRAMAS[],3,FALSE),0)</f>
        <v>31865326.38096505</v>
      </c>
      <c r="AN1548" s="246">
        <f>IFERROR(VLOOKUP(L1548,PROGRAMAS[],3,FALSE),0)</f>
        <v>118617452.52510804</v>
      </c>
      <c r="AO1548" s="246">
        <f>IFERROR(VLOOKUP(M1548,PROGRAMAS[],3,FALSE),0)</f>
        <v>2406564599.0319901</v>
      </c>
      <c r="AP1548" s="246">
        <f>IFERROR(VLOOKUP(N1548,PROGRAMAS[],3,FALSE),0)</f>
        <v>0</v>
      </c>
      <c r="AQ1548" s="246">
        <f>IFERROR(VLOOKUP(O1548,PROGRAMAS[],3,FALSE),0)</f>
        <v>0</v>
      </c>
      <c r="AR1548" s="246">
        <f>IFERROR(VLOOKUP(P1548,PROGRAMAS[],3,FALSE),0)</f>
        <v>0</v>
      </c>
      <c r="AS1548" s="246">
        <f>IFERROR(VLOOKUP(Q1548,PROGRAMAS[],3,FALSE),0)</f>
        <v>0</v>
      </c>
      <c r="AT1548" s="246">
        <f>IFERROR(VLOOKUP(D1548,VOL_REC[],2,FALSE),0)</f>
        <v>0</v>
      </c>
      <c r="AU1548" s="246">
        <f>IFERROR(VLOOKUP(E1548,VOL_REC[],2,FALSE),0)</f>
        <v>0</v>
      </c>
      <c r="AV1548" s="246">
        <f>IFERROR(VLOOKUP(F1548,VOL_REC[],2,FALSE),0)</f>
        <v>11089674.200000001</v>
      </c>
      <c r="AW1548" s="246">
        <f>IFERROR(VLOOKUP(G1548,VOL_REC[],2,FALSE),0)</f>
        <v>90439.55</v>
      </c>
      <c r="AX1548" s="246">
        <f>IFERROR(VLOOKUP(H1548,VOL_REC[],2,FALSE),0)</f>
        <v>4325103.1812214684</v>
      </c>
      <c r="AY1548" s="246">
        <f>IFERROR(VLOOKUP(I1548,VOL_REC[],2,FALSE),0)</f>
        <v>15540036.397699751</v>
      </c>
      <c r="AZ1548" s="246">
        <f>IFERROR(VLOOKUP(J1548,VOL_REC[],2,FALSE),0)</f>
        <v>240696.79238099116</v>
      </c>
      <c r="BA1548" s="246">
        <f>IFERROR(VLOOKUP(K1548,VOL_REC[],2,FALSE),0)</f>
        <v>17074.045034105649</v>
      </c>
      <c r="BB1548" s="246">
        <f>IFERROR(VLOOKUP(L1548,VOL_REC[],2,FALSE),0)</f>
        <v>105072</v>
      </c>
      <c r="BC1548" s="246">
        <f>IFERROR(VLOOKUP(M1548,VOL_REC[],2,FALSE),0)</f>
        <v>1072354.9981737854</v>
      </c>
      <c r="BD1548" s="246">
        <f>IFERROR(VLOOKUP(N1548,VOL_REC[],2,FALSE),0)</f>
        <v>0</v>
      </c>
      <c r="BE1548" s="246">
        <f>IFERROR(VLOOKUP(O1548,VOL_REC[],2,FALSE),0)</f>
        <v>0</v>
      </c>
      <c r="BF1548" s="246">
        <f>IFERROR(VLOOKUP(P1548,VOL_REC[],2,FALSE),0)</f>
        <v>0</v>
      </c>
      <c r="BG1548" s="246">
        <f>IFERROR(VLOOKUP(Q1548,VOL_REC[],2,FALSE),0)</f>
        <v>0</v>
      </c>
      <c r="BH1548" s="1710">
        <f t="shared" si="96"/>
        <v>20225831839.096695</v>
      </c>
      <c r="BI1548" s="1710">
        <f t="shared" si="97"/>
        <v>18807060658.71875</v>
      </c>
      <c r="BJ1548" s="1711">
        <f t="shared" si="98"/>
        <v>32480451.164510105</v>
      </c>
      <c r="BK1548" s="1711">
        <f t="shared" si="99"/>
        <v>1.0754382200453114</v>
      </c>
      <c r="BL1548">
        <f>BJ1548</f>
        <v>32480451.164510105</v>
      </c>
      <c r="BO1548">
        <f>BL1548</f>
        <v>32480451.164510105</v>
      </c>
    </row>
    <row r="1549" spans="3:67" x14ac:dyDescent="0.25">
      <c r="C1549" s="246" t="s">
        <v>2899</v>
      </c>
      <c r="D1549" s="246">
        <v>1</v>
      </c>
      <c r="E1549" s="246">
        <v>2</v>
      </c>
      <c r="F1549" s="246">
        <v>3</v>
      </c>
      <c r="G1549" s="246">
        <v>4</v>
      </c>
      <c r="H1549" s="246">
        <v>5</v>
      </c>
      <c r="I1549" s="246">
        <v>6</v>
      </c>
      <c r="J1549" s="246">
        <v>12</v>
      </c>
      <c r="K1549" s="246">
        <v>14</v>
      </c>
      <c r="L1549" s="246">
        <v>15</v>
      </c>
      <c r="M1549" s="246">
        <v>17</v>
      </c>
      <c r="N1549" s="246"/>
      <c r="O1549" s="246"/>
      <c r="P1549" s="246"/>
      <c r="Q1549" s="246"/>
      <c r="R1549" s="246">
        <f>IFERROR(VLOOKUP(D1549,PROGRAMAS[],2,FALSE),0)</f>
        <v>97037803.679377079</v>
      </c>
      <c r="S1549" s="246">
        <f>IFERROR(VLOOKUP(E1549,PROGRAMAS[],2,FALSE),0)</f>
        <v>640501509.6821388</v>
      </c>
      <c r="T1549" s="246">
        <f>IFERROR(VLOOKUP(F1549,PROGRAMAS[],2,FALSE),0)</f>
        <v>3062327798.1525245</v>
      </c>
      <c r="U1549" s="246">
        <f>IFERROR(VLOOKUP(G1549,PROGRAMAS[],2,FALSE),0)</f>
        <v>67697118.033011258</v>
      </c>
      <c r="V1549" s="246">
        <f>IFERROR(VLOOKUP(H1549,PROGRAMAS[],2,FALSE),0)</f>
        <v>1440941976.2528784</v>
      </c>
      <c r="W1549" s="246">
        <f>IFERROR(VLOOKUP(I1549,PROGRAMAS[],2,FALSE),0)</f>
        <v>6907648435.8447599</v>
      </c>
      <c r="X1549" s="246">
        <f>IFERROR(VLOOKUP(J1549,PROGRAMAS[],2,FALSE),0)</f>
        <v>764796700.79905891</v>
      </c>
      <c r="Y1549" s="246">
        <f>IFERROR(VLOOKUP(K1549,PROGRAMAS[],2,FALSE),0)</f>
        <v>54223862.645839565</v>
      </c>
      <c r="Z1549" s="246">
        <f>IFERROR(VLOOKUP(L1549,PROGRAMAS[],2,FALSE),0)</f>
        <v>122159672.96346797</v>
      </c>
      <c r="AA1549" s="246">
        <f>IFERROR(VLOOKUP(M1549,PROGRAMAS[],2,FALSE),0)</f>
        <v>1892779498.5211046</v>
      </c>
      <c r="AB1549" s="246">
        <f>IFERROR(VLOOKUP(N1549,PROGRAMAS[],2,FALSE),0)</f>
        <v>0</v>
      </c>
      <c r="AC1549" s="246">
        <f>IFERROR(VLOOKUP(O1549,PROGRAMAS[],2,FALSE),0)</f>
        <v>0</v>
      </c>
      <c r="AD1549" s="246">
        <f>IFERROR(VLOOKUP(P1549,PROGRAMAS[],2,FALSE),0)</f>
        <v>0</v>
      </c>
      <c r="AE1549" s="246">
        <f>IFERROR(VLOOKUP(Q1549,PROGRAMAS[],2,FALSE),0)</f>
        <v>0</v>
      </c>
      <c r="AF1549" s="246">
        <f>IFERROR(VLOOKUP(D1549,PROGRAMAS[],3,FALSE),0)</f>
        <v>841888629.31080008</v>
      </c>
      <c r="AG1549" s="246">
        <f>IFERROR(VLOOKUP(E1549,PROGRAMAS[],3,FALSE),0)</f>
        <v>3848980803.1642323</v>
      </c>
      <c r="AH1549" s="246">
        <f>IFERROR(VLOOKUP(F1549,PROGRAMAS[],3,FALSE),0)</f>
        <v>3394901471.387517</v>
      </c>
      <c r="AI1549" s="246">
        <f>IFERROR(VLOOKUP(G1549,PROGRAMAS[],3,FALSE),0)</f>
        <v>125317226.95549992</v>
      </c>
      <c r="AJ1549" s="246">
        <f>IFERROR(VLOOKUP(H1549,PROGRAMAS[],3,FALSE),0)</f>
        <v>1233505101.0616004</v>
      </c>
      <c r="AK1549" s="246">
        <f>IFERROR(VLOOKUP(I1549,PROGRAMAS[],3,FALSE),0)</f>
        <v>6129902208.7912121</v>
      </c>
      <c r="AL1549" s="246">
        <f>IFERROR(VLOOKUP(J1549,PROGRAMAS[],3,FALSE),0)</f>
        <v>675517840.109828</v>
      </c>
      <c r="AM1549" s="246">
        <f>IFERROR(VLOOKUP(K1549,PROGRAMAS[],3,FALSE),0)</f>
        <v>31865326.38096505</v>
      </c>
      <c r="AN1549" s="246">
        <f>IFERROR(VLOOKUP(L1549,PROGRAMAS[],3,FALSE),0)</f>
        <v>118617452.52510804</v>
      </c>
      <c r="AO1549" s="246">
        <f>IFERROR(VLOOKUP(M1549,PROGRAMAS[],3,FALSE),0)</f>
        <v>948595847.09039903</v>
      </c>
      <c r="AP1549" s="246">
        <f>IFERROR(VLOOKUP(N1549,PROGRAMAS[],3,FALSE),0)</f>
        <v>0</v>
      </c>
      <c r="AQ1549" s="246">
        <f>IFERROR(VLOOKUP(O1549,PROGRAMAS[],3,FALSE),0)</f>
        <v>0</v>
      </c>
      <c r="AR1549" s="246">
        <f>IFERROR(VLOOKUP(P1549,PROGRAMAS[],3,FALSE),0)</f>
        <v>0</v>
      </c>
      <c r="AS1549" s="246">
        <f>IFERROR(VLOOKUP(Q1549,PROGRAMAS[],3,FALSE),0)</f>
        <v>0</v>
      </c>
      <c r="AT1549" s="246">
        <f>IFERROR(VLOOKUP(D1549,VOL_REC[],2,FALSE),0)</f>
        <v>0</v>
      </c>
      <c r="AU1549" s="246">
        <f>IFERROR(VLOOKUP(E1549,VOL_REC[],2,FALSE),0)</f>
        <v>0</v>
      </c>
      <c r="AV1549" s="246">
        <f>IFERROR(VLOOKUP(F1549,VOL_REC[],2,FALSE),0)</f>
        <v>11089674.200000001</v>
      </c>
      <c r="AW1549" s="246">
        <f>IFERROR(VLOOKUP(G1549,VOL_REC[],2,FALSE),0)</f>
        <v>90439.55</v>
      </c>
      <c r="AX1549" s="246">
        <f>IFERROR(VLOOKUP(H1549,VOL_REC[],2,FALSE),0)</f>
        <v>4325103.1812214684</v>
      </c>
      <c r="AY1549" s="246">
        <f>IFERROR(VLOOKUP(I1549,VOL_REC[],2,FALSE),0)</f>
        <v>15540036.397699751</v>
      </c>
      <c r="AZ1549" s="246">
        <f>IFERROR(VLOOKUP(J1549,VOL_REC[],2,FALSE),0)</f>
        <v>240696.79238099116</v>
      </c>
      <c r="BA1549" s="246">
        <f>IFERROR(VLOOKUP(K1549,VOL_REC[],2,FALSE),0)</f>
        <v>17074.045034105649</v>
      </c>
      <c r="BB1549" s="246">
        <f>IFERROR(VLOOKUP(L1549,VOL_REC[],2,FALSE),0)</f>
        <v>105072</v>
      </c>
      <c r="BC1549" s="246">
        <f>IFERROR(VLOOKUP(M1549,VOL_REC[],2,FALSE),0)</f>
        <v>740113.98115702497</v>
      </c>
      <c r="BD1549" s="246">
        <f>IFERROR(VLOOKUP(N1549,VOL_REC[],2,FALSE),0)</f>
        <v>0</v>
      </c>
      <c r="BE1549" s="246">
        <f>IFERROR(VLOOKUP(O1549,VOL_REC[],2,FALSE),0)</f>
        <v>0</v>
      </c>
      <c r="BF1549" s="246">
        <f>IFERROR(VLOOKUP(P1549,VOL_REC[],2,FALSE),0)</f>
        <v>0</v>
      </c>
      <c r="BG1549" s="246">
        <f>IFERROR(VLOOKUP(Q1549,VOL_REC[],2,FALSE),0)</f>
        <v>0</v>
      </c>
      <c r="BH1549" s="1710">
        <f t="shared" si="96"/>
        <v>15050114376.574163</v>
      </c>
      <c r="BI1549" s="1710">
        <f t="shared" si="97"/>
        <v>17349091906.777161</v>
      </c>
      <c r="BJ1549" s="1711">
        <f t="shared" si="98"/>
        <v>32148210.147493344</v>
      </c>
      <c r="BK1549" s="1711">
        <f t="shared" si="99"/>
        <v>0.86748715480001948</v>
      </c>
    </row>
    <row r="1550" spans="3:67" x14ac:dyDescent="0.25">
      <c r="C1550" s="246" t="s">
        <v>2900</v>
      </c>
      <c r="D1550" s="246">
        <v>1</v>
      </c>
      <c r="E1550" s="246">
        <v>2</v>
      </c>
      <c r="F1550" s="246">
        <v>3</v>
      </c>
      <c r="G1550" s="246">
        <v>4</v>
      </c>
      <c r="H1550" s="246">
        <v>5</v>
      </c>
      <c r="I1550" s="246">
        <v>6</v>
      </c>
      <c r="J1550" s="246">
        <v>12</v>
      </c>
      <c r="K1550" s="246">
        <v>14</v>
      </c>
      <c r="L1550" s="246">
        <v>16</v>
      </c>
      <c r="M1550" s="246">
        <v>17</v>
      </c>
      <c r="N1550" s="246"/>
      <c r="O1550" s="246"/>
      <c r="P1550" s="246"/>
      <c r="Q1550" s="246"/>
      <c r="R1550" s="246">
        <f>IFERROR(VLOOKUP(D1550,PROGRAMAS[],2,FALSE),0)</f>
        <v>97037803.679377079</v>
      </c>
      <c r="S1550" s="246">
        <f>IFERROR(VLOOKUP(E1550,PROGRAMAS[],2,FALSE),0)</f>
        <v>640501509.6821388</v>
      </c>
      <c r="T1550" s="246">
        <f>IFERROR(VLOOKUP(F1550,PROGRAMAS[],2,FALSE),0)</f>
        <v>3062327798.1525245</v>
      </c>
      <c r="U1550" s="246">
        <f>IFERROR(VLOOKUP(G1550,PROGRAMAS[],2,FALSE),0)</f>
        <v>67697118.033011258</v>
      </c>
      <c r="V1550" s="246">
        <f>IFERROR(VLOOKUP(H1550,PROGRAMAS[],2,FALSE),0)</f>
        <v>1440941976.2528784</v>
      </c>
      <c r="W1550" s="246">
        <f>IFERROR(VLOOKUP(I1550,PROGRAMAS[],2,FALSE),0)</f>
        <v>6907648435.8447599</v>
      </c>
      <c r="X1550" s="246">
        <f>IFERROR(VLOOKUP(J1550,PROGRAMAS[],2,FALSE),0)</f>
        <v>764796700.79905891</v>
      </c>
      <c r="Y1550" s="246">
        <f>IFERROR(VLOOKUP(K1550,PROGRAMAS[],2,FALSE),0)</f>
        <v>54223862.645839565</v>
      </c>
      <c r="Z1550" s="246">
        <f>IFERROR(VLOOKUP(L1550,PROGRAMAS[],2,FALSE),0)</f>
        <v>7068496961.0436354</v>
      </c>
      <c r="AA1550" s="246">
        <f>IFERROR(VLOOKUP(M1550,PROGRAMAS[],2,FALSE),0)</f>
        <v>1892779498.5211046</v>
      </c>
      <c r="AB1550" s="246">
        <f>IFERROR(VLOOKUP(N1550,PROGRAMAS[],2,FALSE),0)</f>
        <v>0</v>
      </c>
      <c r="AC1550" s="246">
        <f>IFERROR(VLOOKUP(O1550,PROGRAMAS[],2,FALSE),0)</f>
        <v>0</v>
      </c>
      <c r="AD1550" s="246">
        <f>IFERROR(VLOOKUP(P1550,PROGRAMAS[],2,FALSE),0)</f>
        <v>0</v>
      </c>
      <c r="AE1550" s="246">
        <f>IFERROR(VLOOKUP(Q1550,PROGRAMAS[],2,FALSE),0)</f>
        <v>0</v>
      </c>
      <c r="AF1550" s="246">
        <f>IFERROR(VLOOKUP(D1550,PROGRAMAS[],3,FALSE),0)</f>
        <v>841888629.31080008</v>
      </c>
      <c r="AG1550" s="246">
        <f>IFERROR(VLOOKUP(E1550,PROGRAMAS[],3,FALSE),0)</f>
        <v>3848980803.1642323</v>
      </c>
      <c r="AH1550" s="246">
        <f>IFERROR(VLOOKUP(F1550,PROGRAMAS[],3,FALSE),0)</f>
        <v>3394901471.387517</v>
      </c>
      <c r="AI1550" s="246">
        <f>IFERROR(VLOOKUP(G1550,PROGRAMAS[],3,FALSE),0)</f>
        <v>125317226.95549992</v>
      </c>
      <c r="AJ1550" s="246">
        <f>IFERROR(VLOOKUP(H1550,PROGRAMAS[],3,FALSE),0)</f>
        <v>1233505101.0616004</v>
      </c>
      <c r="AK1550" s="246">
        <f>IFERROR(VLOOKUP(I1550,PROGRAMAS[],3,FALSE),0)</f>
        <v>6129902208.7912121</v>
      </c>
      <c r="AL1550" s="246">
        <f>IFERROR(VLOOKUP(J1550,PROGRAMAS[],3,FALSE),0)</f>
        <v>675517840.109828</v>
      </c>
      <c r="AM1550" s="246">
        <f>IFERROR(VLOOKUP(K1550,PROGRAMAS[],3,FALSE),0)</f>
        <v>31865326.38096505</v>
      </c>
      <c r="AN1550" s="246">
        <f>IFERROR(VLOOKUP(L1550,PROGRAMAS[],3,FALSE),0)</f>
        <v>2406564599.0319901</v>
      </c>
      <c r="AO1550" s="246">
        <f>IFERROR(VLOOKUP(M1550,PROGRAMAS[],3,FALSE),0)</f>
        <v>948595847.09039903</v>
      </c>
      <c r="AP1550" s="246">
        <f>IFERROR(VLOOKUP(N1550,PROGRAMAS[],3,FALSE),0)</f>
        <v>0</v>
      </c>
      <c r="AQ1550" s="246">
        <f>IFERROR(VLOOKUP(O1550,PROGRAMAS[],3,FALSE),0)</f>
        <v>0</v>
      </c>
      <c r="AR1550" s="246">
        <f>IFERROR(VLOOKUP(P1550,PROGRAMAS[],3,FALSE),0)</f>
        <v>0</v>
      </c>
      <c r="AS1550" s="246">
        <f>IFERROR(VLOOKUP(Q1550,PROGRAMAS[],3,FALSE),0)</f>
        <v>0</v>
      </c>
      <c r="AT1550" s="246">
        <f>IFERROR(VLOOKUP(D1550,VOL_REC[],2,FALSE),0)</f>
        <v>0</v>
      </c>
      <c r="AU1550" s="246">
        <f>IFERROR(VLOOKUP(E1550,VOL_REC[],2,FALSE),0)</f>
        <v>0</v>
      </c>
      <c r="AV1550" s="246">
        <f>IFERROR(VLOOKUP(F1550,VOL_REC[],2,FALSE),0)</f>
        <v>11089674.200000001</v>
      </c>
      <c r="AW1550" s="246">
        <f>IFERROR(VLOOKUP(G1550,VOL_REC[],2,FALSE),0)</f>
        <v>90439.55</v>
      </c>
      <c r="AX1550" s="246">
        <f>IFERROR(VLOOKUP(H1550,VOL_REC[],2,FALSE),0)</f>
        <v>4325103.1812214684</v>
      </c>
      <c r="AY1550" s="246">
        <f>IFERROR(VLOOKUP(I1550,VOL_REC[],2,FALSE),0)</f>
        <v>15540036.397699751</v>
      </c>
      <c r="AZ1550" s="246">
        <f>IFERROR(VLOOKUP(J1550,VOL_REC[],2,FALSE),0)</f>
        <v>240696.79238099116</v>
      </c>
      <c r="BA1550" s="246">
        <f>IFERROR(VLOOKUP(K1550,VOL_REC[],2,FALSE),0)</f>
        <v>17074.045034105649</v>
      </c>
      <c r="BB1550" s="246">
        <f>IFERROR(VLOOKUP(L1550,VOL_REC[],2,FALSE),0)</f>
        <v>1072354.9981737854</v>
      </c>
      <c r="BC1550" s="246">
        <f>IFERROR(VLOOKUP(M1550,VOL_REC[],2,FALSE),0)</f>
        <v>740113.98115702497</v>
      </c>
      <c r="BD1550" s="246">
        <f>IFERROR(VLOOKUP(N1550,VOL_REC[],2,FALSE),0)</f>
        <v>0</v>
      </c>
      <c r="BE1550" s="246">
        <f>IFERROR(VLOOKUP(O1550,VOL_REC[],2,FALSE),0)</f>
        <v>0</v>
      </c>
      <c r="BF1550" s="246">
        <f>IFERROR(VLOOKUP(P1550,VOL_REC[],2,FALSE),0)</f>
        <v>0</v>
      </c>
      <c r="BG1550" s="246">
        <f>IFERROR(VLOOKUP(Q1550,VOL_REC[],2,FALSE),0)</f>
        <v>0</v>
      </c>
      <c r="BH1550" s="1710">
        <f t="shared" si="96"/>
        <v>21996451664.654327</v>
      </c>
      <c r="BI1550" s="1710">
        <f t="shared" si="97"/>
        <v>19637039053.284042</v>
      </c>
      <c r="BJ1550" s="1711">
        <f t="shared" si="98"/>
        <v>33115493.145667128</v>
      </c>
      <c r="BK1550" s="1711">
        <f t="shared" si="99"/>
        <v>1.1201511391288752</v>
      </c>
      <c r="BL1550">
        <f>BJ1550</f>
        <v>33115493.145667128</v>
      </c>
      <c r="BO1550">
        <f>BL1550</f>
        <v>33115493.145667128</v>
      </c>
    </row>
    <row r="1551" spans="3:67" x14ac:dyDescent="0.25">
      <c r="C1551" s="246" t="s">
        <v>2901</v>
      </c>
      <c r="D1551" s="246">
        <v>1</v>
      </c>
      <c r="E1551" s="246">
        <v>2</v>
      </c>
      <c r="F1551" s="246">
        <v>3</v>
      </c>
      <c r="G1551" s="246">
        <v>4</v>
      </c>
      <c r="H1551" s="246">
        <v>5</v>
      </c>
      <c r="I1551" s="246">
        <v>6</v>
      </c>
      <c r="J1551" s="246">
        <v>12</v>
      </c>
      <c r="K1551" s="246">
        <v>15</v>
      </c>
      <c r="L1551" s="246">
        <v>16</v>
      </c>
      <c r="M1551" s="246">
        <v>17</v>
      </c>
      <c r="N1551" s="246"/>
      <c r="O1551" s="246"/>
      <c r="P1551" s="246"/>
      <c r="Q1551" s="246"/>
      <c r="R1551" s="246">
        <f>IFERROR(VLOOKUP(D1551,PROGRAMAS[],2,FALSE),0)</f>
        <v>97037803.679377079</v>
      </c>
      <c r="S1551" s="246">
        <f>IFERROR(VLOOKUP(E1551,PROGRAMAS[],2,FALSE),0)</f>
        <v>640501509.6821388</v>
      </c>
      <c r="T1551" s="246">
        <f>IFERROR(VLOOKUP(F1551,PROGRAMAS[],2,FALSE),0)</f>
        <v>3062327798.1525245</v>
      </c>
      <c r="U1551" s="246">
        <f>IFERROR(VLOOKUP(G1551,PROGRAMAS[],2,FALSE),0)</f>
        <v>67697118.033011258</v>
      </c>
      <c r="V1551" s="246">
        <f>IFERROR(VLOOKUP(H1551,PROGRAMAS[],2,FALSE),0)</f>
        <v>1440941976.2528784</v>
      </c>
      <c r="W1551" s="246">
        <f>IFERROR(VLOOKUP(I1551,PROGRAMAS[],2,FALSE),0)</f>
        <v>6907648435.8447599</v>
      </c>
      <c r="X1551" s="246">
        <f>IFERROR(VLOOKUP(J1551,PROGRAMAS[],2,FALSE),0)</f>
        <v>764796700.79905891</v>
      </c>
      <c r="Y1551" s="246">
        <f>IFERROR(VLOOKUP(K1551,PROGRAMAS[],2,FALSE),0)</f>
        <v>122159672.96346797</v>
      </c>
      <c r="Z1551" s="246">
        <f>IFERROR(VLOOKUP(L1551,PROGRAMAS[],2,FALSE),0)</f>
        <v>7068496961.0436354</v>
      </c>
      <c r="AA1551" s="246">
        <f>IFERROR(VLOOKUP(M1551,PROGRAMAS[],2,FALSE),0)</f>
        <v>1892779498.5211046</v>
      </c>
      <c r="AB1551" s="246">
        <f>IFERROR(VLOOKUP(N1551,PROGRAMAS[],2,FALSE),0)</f>
        <v>0</v>
      </c>
      <c r="AC1551" s="246">
        <f>IFERROR(VLOOKUP(O1551,PROGRAMAS[],2,FALSE),0)</f>
        <v>0</v>
      </c>
      <c r="AD1551" s="246">
        <f>IFERROR(VLOOKUP(P1551,PROGRAMAS[],2,FALSE),0)</f>
        <v>0</v>
      </c>
      <c r="AE1551" s="246">
        <f>IFERROR(VLOOKUP(Q1551,PROGRAMAS[],2,FALSE),0)</f>
        <v>0</v>
      </c>
      <c r="AF1551" s="246">
        <f>IFERROR(VLOOKUP(D1551,PROGRAMAS[],3,FALSE),0)</f>
        <v>841888629.31080008</v>
      </c>
      <c r="AG1551" s="246">
        <f>IFERROR(VLOOKUP(E1551,PROGRAMAS[],3,FALSE),0)</f>
        <v>3848980803.1642323</v>
      </c>
      <c r="AH1551" s="246">
        <f>IFERROR(VLOOKUP(F1551,PROGRAMAS[],3,FALSE),0)</f>
        <v>3394901471.387517</v>
      </c>
      <c r="AI1551" s="246">
        <f>IFERROR(VLOOKUP(G1551,PROGRAMAS[],3,FALSE),0)</f>
        <v>125317226.95549992</v>
      </c>
      <c r="AJ1551" s="246">
        <f>IFERROR(VLOOKUP(H1551,PROGRAMAS[],3,FALSE),0)</f>
        <v>1233505101.0616004</v>
      </c>
      <c r="AK1551" s="246">
        <f>IFERROR(VLOOKUP(I1551,PROGRAMAS[],3,FALSE),0)</f>
        <v>6129902208.7912121</v>
      </c>
      <c r="AL1551" s="246">
        <f>IFERROR(VLOOKUP(J1551,PROGRAMAS[],3,FALSE),0)</f>
        <v>675517840.109828</v>
      </c>
      <c r="AM1551" s="246">
        <f>IFERROR(VLOOKUP(K1551,PROGRAMAS[],3,FALSE),0)</f>
        <v>118617452.52510804</v>
      </c>
      <c r="AN1551" s="246">
        <f>IFERROR(VLOOKUP(L1551,PROGRAMAS[],3,FALSE),0)</f>
        <v>2406564599.0319901</v>
      </c>
      <c r="AO1551" s="246">
        <f>IFERROR(VLOOKUP(M1551,PROGRAMAS[],3,FALSE),0)</f>
        <v>948595847.09039903</v>
      </c>
      <c r="AP1551" s="246">
        <f>IFERROR(VLOOKUP(N1551,PROGRAMAS[],3,FALSE),0)</f>
        <v>0</v>
      </c>
      <c r="AQ1551" s="246">
        <f>IFERROR(VLOOKUP(O1551,PROGRAMAS[],3,FALSE),0)</f>
        <v>0</v>
      </c>
      <c r="AR1551" s="246">
        <f>IFERROR(VLOOKUP(P1551,PROGRAMAS[],3,FALSE),0)</f>
        <v>0</v>
      </c>
      <c r="AS1551" s="246">
        <f>IFERROR(VLOOKUP(Q1551,PROGRAMAS[],3,FALSE),0)</f>
        <v>0</v>
      </c>
      <c r="AT1551" s="246">
        <f>IFERROR(VLOOKUP(D1551,VOL_REC[],2,FALSE),0)</f>
        <v>0</v>
      </c>
      <c r="AU1551" s="246">
        <f>IFERROR(VLOOKUP(E1551,VOL_REC[],2,FALSE),0)</f>
        <v>0</v>
      </c>
      <c r="AV1551" s="246">
        <f>IFERROR(VLOOKUP(F1551,VOL_REC[],2,FALSE),0)</f>
        <v>11089674.200000001</v>
      </c>
      <c r="AW1551" s="246">
        <f>IFERROR(VLOOKUP(G1551,VOL_REC[],2,FALSE),0)</f>
        <v>90439.55</v>
      </c>
      <c r="AX1551" s="246">
        <f>IFERROR(VLOOKUP(H1551,VOL_REC[],2,FALSE),0)</f>
        <v>4325103.1812214684</v>
      </c>
      <c r="AY1551" s="246">
        <f>IFERROR(VLOOKUP(I1551,VOL_REC[],2,FALSE),0)</f>
        <v>15540036.397699751</v>
      </c>
      <c r="AZ1551" s="246">
        <f>IFERROR(VLOOKUP(J1551,VOL_REC[],2,FALSE),0)</f>
        <v>240696.79238099116</v>
      </c>
      <c r="BA1551" s="246">
        <f>IFERROR(VLOOKUP(K1551,VOL_REC[],2,FALSE),0)</f>
        <v>105072</v>
      </c>
      <c r="BB1551" s="246">
        <f>IFERROR(VLOOKUP(L1551,VOL_REC[],2,FALSE),0)</f>
        <v>1072354.9981737854</v>
      </c>
      <c r="BC1551" s="246">
        <f>IFERROR(VLOOKUP(M1551,VOL_REC[],2,FALSE),0)</f>
        <v>740113.98115702497</v>
      </c>
      <c r="BD1551" s="246">
        <f>IFERROR(VLOOKUP(N1551,VOL_REC[],2,FALSE),0)</f>
        <v>0</v>
      </c>
      <c r="BE1551" s="246">
        <f>IFERROR(VLOOKUP(O1551,VOL_REC[],2,FALSE),0)</f>
        <v>0</v>
      </c>
      <c r="BF1551" s="246">
        <f>IFERROR(VLOOKUP(P1551,VOL_REC[],2,FALSE),0)</f>
        <v>0</v>
      </c>
      <c r="BG1551" s="246">
        <f>IFERROR(VLOOKUP(Q1551,VOL_REC[],2,FALSE),0)</f>
        <v>0</v>
      </c>
      <c r="BH1551" s="1710">
        <f t="shared" si="96"/>
        <v>22064387474.971958</v>
      </c>
      <c r="BI1551" s="1710">
        <f t="shared" si="97"/>
        <v>19723791179.428188</v>
      </c>
      <c r="BJ1551" s="1711">
        <f t="shared" si="98"/>
        <v>33203491.100633021</v>
      </c>
      <c r="BK1551" s="1711">
        <f t="shared" si="99"/>
        <v>1.1186686816064551</v>
      </c>
      <c r="BL1551">
        <f>BJ1551</f>
        <v>33203491.100633021</v>
      </c>
      <c r="BO1551">
        <f>BL1551</f>
        <v>33203491.100633021</v>
      </c>
    </row>
    <row r="1552" spans="3:67" x14ac:dyDescent="0.25">
      <c r="C1552" s="246" t="s">
        <v>2902</v>
      </c>
      <c r="D1552" s="246">
        <v>1</v>
      </c>
      <c r="E1552" s="246">
        <v>2</v>
      </c>
      <c r="F1552" s="246">
        <v>3</v>
      </c>
      <c r="G1552" s="246">
        <v>4</v>
      </c>
      <c r="H1552" s="246">
        <v>5</v>
      </c>
      <c r="I1552" s="246">
        <v>6</v>
      </c>
      <c r="J1552" s="246">
        <v>13</v>
      </c>
      <c r="K1552" s="246">
        <v>14</v>
      </c>
      <c r="L1552" s="246">
        <v>15</v>
      </c>
      <c r="M1552" s="246">
        <v>16</v>
      </c>
      <c r="N1552" s="246"/>
      <c r="O1552" s="246"/>
      <c r="P1552" s="246"/>
      <c r="Q1552" s="246"/>
      <c r="R1552" s="246">
        <f>IFERROR(VLOOKUP(D1552,PROGRAMAS[],2,FALSE),0)</f>
        <v>97037803.679377079</v>
      </c>
      <c r="S1552" s="246">
        <f>IFERROR(VLOOKUP(E1552,PROGRAMAS[],2,FALSE),0)</f>
        <v>640501509.6821388</v>
      </c>
      <c r="T1552" s="246">
        <f>IFERROR(VLOOKUP(F1552,PROGRAMAS[],2,FALSE),0)</f>
        <v>3062327798.1525245</v>
      </c>
      <c r="U1552" s="246">
        <f>IFERROR(VLOOKUP(G1552,PROGRAMAS[],2,FALSE),0)</f>
        <v>67697118.033011258</v>
      </c>
      <c r="V1552" s="246">
        <f>IFERROR(VLOOKUP(H1552,PROGRAMAS[],2,FALSE),0)</f>
        <v>1440941976.2528784</v>
      </c>
      <c r="W1552" s="246">
        <f>IFERROR(VLOOKUP(I1552,PROGRAMAS[],2,FALSE),0)</f>
        <v>6907648435.8447599</v>
      </c>
      <c r="X1552" s="246">
        <f>IFERROR(VLOOKUP(J1552,PROGRAMAS[],2,FALSE),0)</f>
        <v>3776538594.4604583</v>
      </c>
      <c r="Y1552" s="246">
        <f>IFERROR(VLOOKUP(K1552,PROGRAMAS[],2,FALSE),0)</f>
        <v>54223862.645839565</v>
      </c>
      <c r="Z1552" s="246">
        <f>IFERROR(VLOOKUP(L1552,PROGRAMAS[],2,FALSE),0)</f>
        <v>122159672.96346797</v>
      </c>
      <c r="AA1552" s="246">
        <f>IFERROR(VLOOKUP(M1552,PROGRAMAS[],2,FALSE),0)</f>
        <v>7068496961.0436354</v>
      </c>
      <c r="AB1552" s="246">
        <f>IFERROR(VLOOKUP(N1552,PROGRAMAS[],2,FALSE),0)</f>
        <v>0</v>
      </c>
      <c r="AC1552" s="246">
        <f>IFERROR(VLOOKUP(O1552,PROGRAMAS[],2,FALSE),0)</f>
        <v>0</v>
      </c>
      <c r="AD1552" s="246">
        <f>IFERROR(VLOOKUP(P1552,PROGRAMAS[],2,FALSE),0)</f>
        <v>0</v>
      </c>
      <c r="AE1552" s="246">
        <f>IFERROR(VLOOKUP(Q1552,PROGRAMAS[],2,FALSE),0)</f>
        <v>0</v>
      </c>
      <c r="AF1552" s="246">
        <f>IFERROR(VLOOKUP(D1552,PROGRAMAS[],3,FALSE),0)</f>
        <v>841888629.31080008</v>
      </c>
      <c r="AG1552" s="246">
        <f>IFERROR(VLOOKUP(E1552,PROGRAMAS[],3,FALSE),0)</f>
        <v>3848980803.1642323</v>
      </c>
      <c r="AH1552" s="246">
        <f>IFERROR(VLOOKUP(F1552,PROGRAMAS[],3,FALSE),0)</f>
        <v>3394901471.387517</v>
      </c>
      <c r="AI1552" s="246">
        <f>IFERROR(VLOOKUP(G1552,PROGRAMAS[],3,FALSE),0)</f>
        <v>125317226.95549992</v>
      </c>
      <c r="AJ1552" s="246">
        <f>IFERROR(VLOOKUP(H1552,PROGRAMAS[],3,FALSE),0)</f>
        <v>1233505101.0616004</v>
      </c>
      <c r="AK1552" s="246">
        <f>IFERROR(VLOOKUP(I1552,PROGRAMAS[],3,FALSE),0)</f>
        <v>6129902208.7912121</v>
      </c>
      <c r="AL1552" s="246">
        <f>IFERROR(VLOOKUP(J1552,PROGRAMAS[],3,FALSE),0)</f>
        <v>2392571243.5584412</v>
      </c>
      <c r="AM1552" s="246">
        <f>IFERROR(VLOOKUP(K1552,PROGRAMAS[],3,FALSE),0)</f>
        <v>31865326.38096505</v>
      </c>
      <c r="AN1552" s="246">
        <f>IFERROR(VLOOKUP(L1552,PROGRAMAS[],3,FALSE),0)</f>
        <v>118617452.52510804</v>
      </c>
      <c r="AO1552" s="246">
        <f>IFERROR(VLOOKUP(M1552,PROGRAMAS[],3,FALSE),0)</f>
        <v>2406564599.0319901</v>
      </c>
      <c r="AP1552" s="246">
        <f>IFERROR(VLOOKUP(N1552,PROGRAMAS[],3,FALSE),0)</f>
        <v>0</v>
      </c>
      <c r="AQ1552" s="246">
        <f>IFERROR(VLOOKUP(O1552,PROGRAMAS[],3,FALSE),0)</f>
        <v>0</v>
      </c>
      <c r="AR1552" s="246">
        <f>IFERROR(VLOOKUP(P1552,PROGRAMAS[],3,FALSE),0)</f>
        <v>0</v>
      </c>
      <c r="AS1552" s="246">
        <f>IFERROR(VLOOKUP(Q1552,PROGRAMAS[],3,FALSE),0)</f>
        <v>0</v>
      </c>
      <c r="AT1552" s="246">
        <f>IFERROR(VLOOKUP(D1552,VOL_REC[],2,FALSE),0)</f>
        <v>0</v>
      </c>
      <c r="AU1552" s="246">
        <f>IFERROR(VLOOKUP(E1552,VOL_REC[],2,FALSE),0)</f>
        <v>0</v>
      </c>
      <c r="AV1552" s="246">
        <f>IFERROR(VLOOKUP(F1552,VOL_REC[],2,FALSE),0)</f>
        <v>11089674.200000001</v>
      </c>
      <c r="AW1552" s="246">
        <f>IFERROR(VLOOKUP(G1552,VOL_REC[],2,FALSE),0)</f>
        <v>90439.55</v>
      </c>
      <c r="AX1552" s="246">
        <f>IFERROR(VLOOKUP(H1552,VOL_REC[],2,FALSE),0)</f>
        <v>4325103.1812214684</v>
      </c>
      <c r="AY1552" s="246">
        <f>IFERROR(VLOOKUP(I1552,VOL_REC[],2,FALSE),0)</f>
        <v>15540036.397699751</v>
      </c>
      <c r="AZ1552" s="246">
        <f>IFERROR(VLOOKUP(J1552,VOL_REC[],2,FALSE),0)</f>
        <v>663244.80000000016</v>
      </c>
      <c r="BA1552" s="246">
        <f>IFERROR(VLOOKUP(K1552,VOL_REC[],2,FALSE),0)</f>
        <v>17074.045034105649</v>
      </c>
      <c r="BB1552" s="246">
        <f>IFERROR(VLOOKUP(L1552,VOL_REC[],2,FALSE),0)</f>
        <v>105072</v>
      </c>
      <c r="BC1552" s="246">
        <f>IFERROR(VLOOKUP(M1552,VOL_REC[],2,FALSE),0)</f>
        <v>1072354.9981737854</v>
      </c>
      <c r="BD1552" s="246">
        <f>IFERROR(VLOOKUP(N1552,VOL_REC[],2,FALSE),0)</f>
        <v>0</v>
      </c>
      <c r="BE1552" s="246">
        <f>IFERROR(VLOOKUP(O1552,VOL_REC[],2,FALSE),0)</f>
        <v>0</v>
      </c>
      <c r="BF1552" s="246">
        <f>IFERROR(VLOOKUP(P1552,VOL_REC[],2,FALSE),0)</f>
        <v>0</v>
      </c>
      <c r="BG1552" s="246">
        <f>IFERROR(VLOOKUP(Q1552,VOL_REC[],2,FALSE),0)</f>
        <v>0</v>
      </c>
      <c r="BH1552" s="1710">
        <f t="shared" si="96"/>
        <v>23237573732.758095</v>
      </c>
      <c r="BI1552" s="1710">
        <f t="shared" si="97"/>
        <v>20524114062.167366</v>
      </c>
      <c r="BJ1552" s="1711">
        <f t="shared" si="98"/>
        <v>32902999.172129113</v>
      </c>
      <c r="BK1552" s="1711">
        <f t="shared" si="99"/>
        <v>1.1322083702308261</v>
      </c>
      <c r="BL1552">
        <f>BJ1552</f>
        <v>32902999.172129113</v>
      </c>
      <c r="BO1552">
        <f>BL1552</f>
        <v>32902999.172129113</v>
      </c>
    </row>
    <row r="1553" spans="3:67" x14ac:dyDescent="0.25">
      <c r="C1553" s="246" t="s">
        <v>2903</v>
      </c>
      <c r="D1553" s="246">
        <v>1</v>
      </c>
      <c r="E1553" s="246">
        <v>2</v>
      </c>
      <c r="F1553" s="246">
        <v>3</v>
      </c>
      <c r="G1553" s="246">
        <v>4</v>
      </c>
      <c r="H1553" s="246">
        <v>5</v>
      </c>
      <c r="I1553" s="246">
        <v>6</v>
      </c>
      <c r="J1553" s="246">
        <v>13</v>
      </c>
      <c r="K1553" s="246">
        <v>14</v>
      </c>
      <c r="L1553" s="246">
        <v>15</v>
      </c>
      <c r="M1553" s="246">
        <v>17</v>
      </c>
      <c r="N1553" s="246"/>
      <c r="O1553" s="246"/>
      <c r="P1553" s="246"/>
      <c r="Q1553" s="246"/>
      <c r="R1553" s="246">
        <f>IFERROR(VLOOKUP(D1553,PROGRAMAS[],2,FALSE),0)</f>
        <v>97037803.679377079</v>
      </c>
      <c r="S1553" s="246">
        <f>IFERROR(VLOOKUP(E1553,PROGRAMAS[],2,FALSE),0)</f>
        <v>640501509.6821388</v>
      </c>
      <c r="T1553" s="246">
        <f>IFERROR(VLOOKUP(F1553,PROGRAMAS[],2,FALSE),0)</f>
        <v>3062327798.1525245</v>
      </c>
      <c r="U1553" s="246">
        <f>IFERROR(VLOOKUP(G1553,PROGRAMAS[],2,FALSE),0)</f>
        <v>67697118.033011258</v>
      </c>
      <c r="V1553" s="246">
        <f>IFERROR(VLOOKUP(H1553,PROGRAMAS[],2,FALSE),0)</f>
        <v>1440941976.2528784</v>
      </c>
      <c r="W1553" s="246">
        <f>IFERROR(VLOOKUP(I1553,PROGRAMAS[],2,FALSE),0)</f>
        <v>6907648435.8447599</v>
      </c>
      <c r="X1553" s="246">
        <f>IFERROR(VLOOKUP(J1553,PROGRAMAS[],2,FALSE),0)</f>
        <v>3776538594.4604583</v>
      </c>
      <c r="Y1553" s="246">
        <f>IFERROR(VLOOKUP(K1553,PROGRAMAS[],2,FALSE),0)</f>
        <v>54223862.645839565</v>
      </c>
      <c r="Z1553" s="246">
        <f>IFERROR(VLOOKUP(L1553,PROGRAMAS[],2,FALSE),0)</f>
        <v>122159672.96346797</v>
      </c>
      <c r="AA1553" s="246">
        <f>IFERROR(VLOOKUP(M1553,PROGRAMAS[],2,FALSE),0)</f>
        <v>1892779498.5211046</v>
      </c>
      <c r="AB1553" s="246">
        <f>IFERROR(VLOOKUP(N1553,PROGRAMAS[],2,FALSE),0)</f>
        <v>0</v>
      </c>
      <c r="AC1553" s="246">
        <f>IFERROR(VLOOKUP(O1553,PROGRAMAS[],2,FALSE),0)</f>
        <v>0</v>
      </c>
      <c r="AD1553" s="246">
        <f>IFERROR(VLOOKUP(P1553,PROGRAMAS[],2,FALSE),0)</f>
        <v>0</v>
      </c>
      <c r="AE1553" s="246">
        <f>IFERROR(VLOOKUP(Q1553,PROGRAMAS[],2,FALSE),0)</f>
        <v>0</v>
      </c>
      <c r="AF1553" s="246">
        <f>IFERROR(VLOOKUP(D1553,PROGRAMAS[],3,FALSE),0)</f>
        <v>841888629.31080008</v>
      </c>
      <c r="AG1553" s="246">
        <f>IFERROR(VLOOKUP(E1553,PROGRAMAS[],3,FALSE),0)</f>
        <v>3848980803.1642323</v>
      </c>
      <c r="AH1553" s="246">
        <f>IFERROR(VLOOKUP(F1553,PROGRAMAS[],3,FALSE),0)</f>
        <v>3394901471.387517</v>
      </c>
      <c r="AI1553" s="246">
        <f>IFERROR(VLOOKUP(G1553,PROGRAMAS[],3,FALSE),0)</f>
        <v>125317226.95549992</v>
      </c>
      <c r="AJ1553" s="246">
        <f>IFERROR(VLOOKUP(H1553,PROGRAMAS[],3,FALSE),0)</f>
        <v>1233505101.0616004</v>
      </c>
      <c r="AK1553" s="246">
        <f>IFERROR(VLOOKUP(I1553,PROGRAMAS[],3,FALSE),0)</f>
        <v>6129902208.7912121</v>
      </c>
      <c r="AL1553" s="246">
        <f>IFERROR(VLOOKUP(J1553,PROGRAMAS[],3,FALSE),0)</f>
        <v>2392571243.5584412</v>
      </c>
      <c r="AM1553" s="246">
        <f>IFERROR(VLOOKUP(K1553,PROGRAMAS[],3,FALSE),0)</f>
        <v>31865326.38096505</v>
      </c>
      <c r="AN1553" s="246">
        <f>IFERROR(VLOOKUP(L1553,PROGRAMAS[],3,FALSE),0)</f>
        <v>118617452.52510804</v>
      </c>
      <c r="AO1553" s="246">
        <f>IFERROR(VLOOKUP(M1553,PROGRAMAS[],3,FALSE),0)</f>
        <v>948595847.09039903</v>
      </c>
      <c r="AP1553" s="246">
        <f>IFERROR(VLOOKUP(N1553,PROGRAMAS[],3,FALSE),0)</f>
        <v>0</v>
      </c>
      <c r="AQ1553" s="246">
        <f>IFERROR(VLOOKUP(O1553,PROGRAMAS[],3,FALSE),0)</f>
        <v>0</v>
      </c>
      <c r="AR1553" s="246">
        <f>IFERROR(VLOOKUP(P1553,PROGRAMAS[],3,FALSE),0)</f>
        <v>0</v>
      </c>
      <c r="AS1553" s="246">
        <f>IFERROR(VLOOKUP(Q1553,PROGRAMAS[],3,FALSE),0)</f>
        <v>0</v>
      </c>
      <c r="AT1553" s="246">
        <f>IFERROR(VLOOKUP(D1553,VOL_REC[],2,FALSE),0)</f>
        <v>0</v>
      </c>
      <c r="AU1553" s="246">
        <f>IFERROR(VLOOKUP(E1553,VOL_REC[],2,FALSE),0)</f>
        <v>0</v>
      </c>
      <c r="AV1553" s="246">
        <f>IFERROR(VLOOKUP(F1553,VOL_REC[],2,FALSE),0)</f>
        <v>11089674.200000001</v>
      </c>
      <c r="AW1553" s="246">
        <f>IFERROR(VLOOKUP(G1553,VOL_REC[],2,FALSE),0)</f>
        <v>90439.55</v>
      </c>
      <c r="AX1553" s="246">
        <f>IFERROR(VLOOKUP(H1553,VOL_REC[],2,FALSE),0)</f>
        <v>4325103.1812214684</v>
      </c>
      <c r="AY1553" s="246">
        <f>IFERROR(VLOOKUP(I1553,VOL_REC[],2,FALSE),0)</f>
        <v>15540036.397699751</v>
      </c>
      <c r="AZ1553" s="246">
        <f>IFERROR(VLOOKUP(J1553,VOL_REC[],2,FALSE),0)</f>
        <v>663244.80000000016</v>
      </c>
      <c r="BA1553" s="246">
        <f>IFERROR(VLOOKUP(K1553,VOL_REC[],2,FALSE),0)</f>
        <v>17074.045034105649</v>
      </c>
      <c r="BB1553" s="246">
        <f>IFERROR(VLOOKUP(L1553,VOL_REC[],2,FALSE),0)</f>
        <v>105072</v>
      </c>
      <c r="BC1553" s="246">
        <f>IFERROR(VLOOKUP(M1553,VOL_REC[],2,FALSE),0)</f>
        <v>740113.98115702497</v>
      </c>
      <c r="BD1553" s="246">
        <f>IFERROR(VLOOKUP(N1553,VOL_REC[],2,FALSE),0)</f>
        <v>0</v>
      </c>
      <c r="BE1553" s="246">
        <f>IFERROR(VLOOKUP(O1553,VOL_REC[],2,FALSE),0)</f>
        <v>0</v>
      </c>
      <c r="BF1553" s="246">
        <f>IFERROR(VLOOKUP(P1553,VOL_REC[],2,FALSE),0)</f>
        <v>0</v>
      </c>
      <c r="BG1553" s="246">
        <f>IFERROR(VLOOKUP(Q1553,VOL_REC[],2,FALSE),0)</f>
        <v>0</v>
      </c>
      <c r="BH1553" s="1710">
        <f t="shared" si="96"/>
        <v>18061856270.235561</v>
      </c>
      <c r="BI1553" s="1710">
        <f t="shared" si="97"/>
        <v>19066145310.225777</v>
      </c>
      <c r="BJ1553" s="1711">
        <f t="shared" si="98"/>
        <v>32570758.155112352</v>
      </c>
      <c r="BK1553" s="1711">
        <f t="shared" si="99"/>
        <v>0.94732605759321553</v>
      </c>
    </row>
    <row r="1554" spans="3:67" x14ac:dyDescent="0.25">
      <c r="C1554" s="246" t="s">
        <v>2904</v>
      </c>
      <c r="D1554" s="246">
        <v>1</v>
      </c>
      <c r="E1554" s="246">
        <v>2</v>
      </c>
      <c r="F1554" s="246">
        <v>3</v>
      </c>
      <c r="G1554" s="246">
        <v>4</v>
      </c>
      <c r="H1554" s="246">
        <v>5</v>
      </c>
      <c r="I1554" s="246">
        <v>6</v>
      </c>
      <c r="J1554" s="246">
        <v>13</v>
      </c>
      <c r="K1554" s="246">
        <v>14</v>
      </c>
      <c r="L1554" s="246">
        <v>16</v>
      </c>
      <c r="M1554" s="246">
        <v>17</v>
      </c>
      <c r="N1554" s="246"/>
      <c r="O1554" s="246"/>
      <c r="P1554" s="246"/>
      <c r="Q1554" s="246"/>
      <c r="R1554" s="246">
        <f>IFERROR(VLOOKUP(D1554,PROGRAMAS[],2,FALSE),0)</f>
        <v>97037803.679377079</v>
      </c>
      <c r="S1554" s="246">
        <f>IFERROR(VLOOKUP(E1554,PROGRAMAS[],2,FALSE),0)</f>
        <v>640501509.6821388</v>
      </c>
      <c r="T1554" s="246">
        <f>IFERROR(VLOOKUP(F1554,PROGRAMAS[],2,FALSE),0)</f>
        <v>3062327798.1525245</v>
      </c>
      <c r="U1554" s="246">
        <f>IFERROR(VLOOKUP(G1554,PROGRAMAS[],2,FALSE),0)</f>
        <v>67697118.033011258</v>
      </c>
      <c r="V1554" s="246">
        <f>IFERROR(VLOOKUP(H1554,PROGRAMAS[],2,FALSE),0)</f>
        <v>1440941976.2528784</v>
      </c>
      <c r="W1554" s="246">
        <f>IFERROR(VLOOKUP(I1554,PROGRAMAS[],2,FALSE),0)</f>
        <v>6907648435.8447599</v>
      </c>
      <c r="X1554" s="246">
        <f>IFERROR(VLOOKUP(J1554,PROGRAMAS[],2,FALSE),0)</f>
        <v>3776538594.4604583</v>
      </c>
      <c r="Y1554" s="246">
        <f>IFERROR(VLOOKUP(K1554,PROGRAMAS[],2,FALSE),0)</f>
        <v>54223862.645839565</v>
      </c>
      <c r="Z1554" s="246">
        <f>IFERROR(VLOOKUP(L1554,PROGRAMAS[],2,FALSE),0)</f>
        <v>7068496961.0436354</v>
      </c>
      <c r="AA1554" s="246">
        <f>IFERROR(VLOOKUP(M1554,PROGRAMAS[],2,FALSE),0)</f>
        <v>1892779498.5211046</v>
      </c>
      <c r="AB1554" s="246">
        <f>IFERROR(VLOOKUP(N1554,PROGRAMAS[],2,FALSE),0)</f>
        <v>0</v>
      </c>
      <c r="AC1554" s="246">
        <f>IFERROR(VLOOKUP(O1554,PROGRAMAS[],2,FALSE),0)</f>
        <v>0</v>
      </c>
      <c r="AD1554" s="246">
        <f>IFERROR(VLOOKUP(P1554,PROGRAMAS[],2,FALSE),0)</f>
        <v>0</v>
      </c>
      <c r="AE1554" s="246">
        <f>IFERROR(VLOOKUP(Q1554,PROGRAMAS[],2,FALSE),0)</f>
        <v>0</v>
      </c>
      <c r="AF1554" s="246">
        <f>IFERROR(VLOOKUP(D1554,PROGRAMAS[],3,FALSE),0)</f>
        <v>841888629.31080008</v>
      </c>
      <c r="AG1554" s="246">
        <f>IFERROR(VLOOKUP(E1554,PROGRAMAS[],3,FALSE),0)</f>
        <v>3848980803.1642323</v>
      </c>
      <c r="AH1554" s="246">
        <f>IFERROR(VLOOKUP(F1554,PROGRAMAS[],3,FALSE),0)</f>
        <v>3394901471.387517</v>
      </c>
      <c r="AI1554" s="246">
        <f>IFERROR(VLOOKUP(G1554,PROGRAMAS[],3,FALSE),0)</f>
        <v>125317226.95549992</v>
      </c>
      <c r="AJ1554" s="246">
        <f>IFERROR(VLOOKUP(H1554,PROGRAMAS[],3,FALSE),0)</f>
        <v>1233505101.0616004</v>
      </c>
      <c r="AK1554" s="246">
        <f>IFERROR(VLOOKUP(I1554,PROGRAMAS[],3,FALSE),0)</f>
        <v>6129902208.7912121</v>
      </c>
      <c r="AL1554" s="246">
        <f>IFERROR(VLOOKUP(J1554,PROGRAMAS[],3,FALSE),0)</f>
        <v>2392571243.5584412</v>
      </c>
      <c r="AM1554" s="246">
        <f>IFERROR(VLOOKUP(K1554,PROGRAMAS[],3,FALSE),0)</f>
        <v>31865326.38096505</v>
      </c>
      <c r="AN1554" s="246">
        <f>IFERROR(VLOOKUP(L1554,PROGRAMAS[],3,FALSE),0)</f>
        <v>2406564599.0319901</v>
      </c>
      <c r="AO1554" s="246">
        <f>IFERROR(VLOOKUP(M1554,PROGRAMAS[],3,FALSE),0)</f>
        <v>948595847.09039903</v>
      </c>
      <c r="AP1554" s="246">
        <f>IFERROR(VLOOKUP(N1554,PROGRAMAS[],3,FALSE),0)</f>
        <v>0</v>
      </c>
      <c r="AQ1554" s="246">
        <f>IFERROR(VLOOKUP(O1554,PROGRAMAS[],3,FALSE),0)</f>
        <v>0</v>
      </c>
      <c r="AR1554" s="246">
        <f>IFERROR(VLOOKUP(P1554,PROGRAMAS[],3,FALSE),0)</f>
        <v>0</v>
      </c>
      <c r="AS1554" s="246">
        <f>IFERROR(VLOOKUP(Q1554,PROGRAMAS[],3,FALSE),0)</f>
        <v>0</v>
      </c>
      <c r="AT1554" s="246">
        <f>IFERROR(VLOOKUP(D1554,VOL_REC[],2,FALSE),0)</f>
        <v>0</v>
      </c>
      <c r="AU1554" s="246">
        <f>IFERROR(VLOOKUP(E1554,VOL_REC[],2,FALSE),0)</f>
        <v>0</v>
      </c>
      <c r="AV1554" s="246">
        <f>IFERROR(VLOOKUP(F1554,VOL_REC[],2,FALSE),0)</f>
        <v>11089674.200000001</v>
      </c>
      <c r="AW1554" s="246">
        <f>IFERROR(VLOOKUP(G1554,VOL_REC[],2,FALSE),0)</f>
        <v>90439.55</v>
      </c>
      <c r="AX1554" s="246">
        <f>IFERROR(VLOOKUP(H1554,VOL_REC[],2,FALSE),0)</f>
        <v>4325103.1812214684</v>
      </c>
      <c r="AY1554" s="246">
        <f>IFERROR(VLOOKUP(I1554,VOL_REC[],2,FALSE),0)</f>
        <v>15540036.397699751</v>
      </c>
      <c r="AZ1554" s="246">
        <f>IFERROR(VLOOKUP(J1554,VOL_REC[],2,FALSE),0)</f>
        <v>663244.80000000016</v>
      </c>
      <c r="BA1554" s="246">
        <f>IFERROR(VLOOKUP(K1554,VOL_REC[],2,FALSE),0)</f>
        <v>17074.045034105649</v>
      </c>
      <c r="BB1554" s="246">
        <f>IFERROR(VLOOKUP(L1554,VOL_REC[],2,FALSE),0)</f>
        <v>1072354.9981737854</v>
      </c>
      <c r="BC1554" s="246">
        <f>IFERROR(VLOOKUP(M1554,VOL_REC[],2,FALSE),0)</f>
        <v>740113.98115702497</v>
      </c>
      <c r="BD1554" s="246">
        <f>IFERROR(VLOOKUP(N1554,VOL_REC[],2,FALSE),0)</f>
        <v>0</v>
      </c>
      <c r="BE1554" s="246">
        <f>IFERROR(VLOOKUP(O1554,VOL_REC[],2,FALSE),0)</f>
        <v>0</v>
      </c>
      <c r="BF1554" s="246">
        <f>IFERROR(VLOOKUP(P1554,VOL_REC[],2,FALSE),0)</f>
        <v>0</v>
      </c>
      <c r="BG1554" s="246">
        <f>IFERROR(VLOOKUP(Q1554,VOL_REC[],2,FALSE),0)</f>
        <v>0</v>
      </c>
      <c r="BH1554" s="1710">
        <f t="shared" si="96"/>
        <v>25008193558.315727</v>
      </c>
      <c r="BI1554" s="1710">
        <f t="shared" si="97"/>
        <v>21354092456.732658</v>
      </c>
      <c r="BJ1554" s="1711">
        <f t="shared" si="98"/>
        <v>33538041.153286137</v>
      </c>
      <c r="BK1554" s="1711">
        <f t="shared" si="99"/>
        <v>1.1711194755284944</v>
      </c>
      <c r="BL1554">
        <f>BJ1554</f>
        <v>33538041.153286137</v>
      </c>
      <c r="BO1554">
        <f>BL1554</f>
        <v>33538041.153286137</v>
      </c>
    </row>
    <row r="1555" spans="3:67" x14ac:dyDescent="0.25">
      <c r="C1555" s="246" t="s">
        <v>2905</v>
      </c>
      <c r="D1555" s="246">
        <v>1</v>
      </c>
      <c r="E1555" s="246">
        <v>2</v>
      </c>
      <c r="F1555" s="246">
        <v>3</v>
      </c>
      <c r="G1555" s="246">
        <v>4</v>
      </c>
      <c r="H1555" s="246">
        <v>5</v>
      </c>
      <c r="I1555" s="246">
        <v>6</v>
      </c>
      <c r="J1555" s="246">
        <v>13</v>
      </c>
      <c r="K1555" s="246">
        <v>15</v>
      </c>
      <c r="L1555" s="246">
        <v>16</v>
      </c>
      <c r="M1555" s="246">
        <v>17</v>
      </c>
      <c r="N1555" s="246"/>
      <c r="O1555" s="246"/>
      <c r="P1555" s="246"/>
      <c r="Q1555" s="246"/>
      <c r="R1555" s="246">
        <f>IFERROR(VLOOKUP(D1555,PROGRAMAS[],2,FALSE),0)</f>
        <v>97037803.679377079</v>
      </c>
      <c r="S1555" s="246">
        <f>IFERROR(VLOOKUP(E1555,PROGRAMAS[],2,FALSE),0)</f>
        <v>640501509.6821388</v>
      </c>
      <c r="T1555" s="246">
        <f>IFERROR(VLOOKUP(F1555,PROGRAMAS[],2,FALSE),0)</f>
        <v>3062327798.1525245</v>
      </c>
      <c r="U1555" s="246">
        <f>IFERROR(VLOOKUP(G1555,PROGRAMAS[],2,FALSE),0)</f>
        <v>67697118.033011258</v>
      </c>
      <c r="V1555" s="246">
        <f>IFERROR(VLOOKUP(H1555,PROGRAMAS[],2,FALSE),0)</f>
        <v>1440941976.2528784</v>
      </c>
      <c r="W1555" s="246">
        <f>IFERROR(VLOOKUP(I1555,PROGRAMAS[],2,FALSE),0)</f>
        <v>6907648435.8447599</v>
      </c>
      <c r="X1555" s="246">
        <f>IFERROR(VLOOKUP(J1555,PROGRAMAS[],2,FALSE),0)</f>
        <v>3776538594.4604583</v>
      </c>
      <c r="Y1555" s="246">
        <f>IFERROR(VLOOKUP(K1555,PROGRAMAS[],2,FALSE),0)</f>
        <v>122159672.96346797</v>
      </c>
      <c r="Z1555" s="246">
        <f>IFERROR(VLOOKUP(L1555,PROGRAMAS[],2,FALSE),0)</f>
        <v>7068496961.0436354</v>
      </c>
      <c r="AA1555" s="246">
        <f>IFERROR(VLOOKUP(M1555,PROGRAMAS[],2,FALSE),0)</f>
        <v>1892779498.5211046</v>
      </c>
      <c r="AB1555" s="246">
        <f>IFERROR(VLOOKUP(N1555,PROGRAMAS[],2,FALSE),0)</f>
        <v>0</v>
      </c>
      <c r="AC1555" s="246">
        <f>IFERROR(VLOOKUP(O1555,PROGRAMAS[],2,FALSE),0)</f>
        <v>0</v>
      </c>
      <c r="AD1555" s="246">
        <f>IFERROR(VLOOKUP(P1555,PROGRAMAS[],2,FALSE),0)</f>
        <v>0</v>
      </c>
      <c r="AE1555" s="246">
        <f>IFERROR(VLOOKUP(Q1555,PROGRAMAS[],2,FALSE),0)</f>
        <v>0</v>
      </c>
      <c r="AF1555" s="246">
        <f>IFERROR(VLOOKUP(D1555,PROGRAMAS[],3,FALSE),0)</f>
        <v>841888629.31080008</v>
      </c>
      <c r="AG1555" s="246">
        <f>IFERROR(VLOOKUP(E1555,PROGRAMAS[],3,FALSE),0)</f>
        <v>3848980803.1642323</v>
      </c>
      <c r="AH1555" s="246">
        <f>IFERROR(VLOOKUP(F1555,PROGRAMAS[],3,FALSE),0)</f>
        <v>3394901471.387517</v>
      </c>
      <c r="AI1555" s="246">
        <f>IFERROR(VLOOKUP(G1555,PROGRAMAS[],3,FALSE),0)</f>
        <v>125317226.95549992</v>
      </c>
      <c r="AJ1555" s="246">
        <f>IFERROR(VLOOKUP(H1555,PROGRAMAS[],3,FALSE),0)</f>
        <v>1233505101.0616004</v>
      </c>
      <c r="AK1555" s="246">
        <f>IFERROR(VLOOKUP(I1555,PROGRAMAS[],3,FALSE),0)</f>
        <v>6129902208.7912121</v>
      </c>
      <c r="AL1555" s="246">
        <f>IFERROR(VLOOKUP(J1555,PROGRAMAS[],3,FALSE),0)</f>
        <v>2392571243.5584412</v>
      </c>
      <c r="AM1555" s="246">
        <f>IFERROR(VLOOKUP(K1555,PROGRAMAS[],3,FALSE),0)</f>
        <v>118617452.52510804</v>
      </c>
      <c r="AN1555" s="246">
        <f>IFERROR(VLOOKUP(L1555,PROGRAMAS[],3,FALSE),0)</f>
        <v>2406564599.0319901</v>
      </c>
      <c r="AO1555" s="246">
        <f>IFERROR(VLOOKUP(M1555,PROGRAMAS[],3,FALSE),0)</f>
        <v>948595847.09039903</v>
      </c>
      <c r="AP1555" s="246">
        <f>IFERROR(VLOOKUP(N1555,PROGRAMAS[],3,FALSE),0)</f>
        <v>0</v>
      </c>
      <c r="AQ1555" s="246">
        <f>IFERROR(VLOOKUP(O1555,PROGRAMAS[],3,FALSE),0)</f>
        <v>0</v>
      </c>
      <c r="AR1555" s="246">
        <f>IFERROR(VLOOKUP(P1555,PROGRAMAS[],3,FALSE),0)</f>
        <v>0</v>
      </c>
      <c r="AS1555" s="246">
        <f>IFERROR(VLOOKUP(Q1555,PROGRAMAS[],3,FALSE),0)</f>
        <v>0</v>
      </c>
      <c r="AT1555" s="246">
        <f>IFERROR(VLOOKUP(D1555,VOL_REC[],2,FALSE),0)</f>
        <v>0</v>
      </c>
      <c r="AU1555" s="246">
        <f>IFERROR(VLOOKUP(E1555,VOL_REC[],2,FALSE),0)</f>
        <v>0</v>
      </c>
      <c r="AV1555" s="246">
        <f>IFERROR(VLOOKUP(F1555,VOL_REC[],2,FALSE),0)</f>
        <v>11089674.200000001</v>
      </c>
      <c r="AW1555" s="246">
        <f>IFERROR(VLOOKUP(G1555,VOL_REC[],2,FALSE),0)</f>
        <v>90439.55</v>
      </c>
      <c r="AX1555" s="246">
        <f>IFERROR(VLOOKUP(H1555,VOL_REC[],2,FALSE),0)</f>
        <v>4325103.1812214684</v>
      </c>
      <c r="AY1555" s="246">
        <f>IFERROR(VLOOKUP(I1555,VOL_REC[],2,FALSE),0)</f>
        <v>15540036.397699751</v>
      </c>
      <c r="AZ1555" s="246">
        <f>IFERROR(VLOOKUP(J1555,VOL_REC[],2,FALSE),0)</f>
        <v>663244.80000000016</v>
      </c>
      <c r="BA1555" s="246">
        <f>IFERROR(VLOOKUP(K1555,VOL_REC[],2,FALSE),0)</f>
        <v>105072</v>
      </c>
      <c r="BB1555" s="246">
        <f>IFERROR(VLOOKUP(L1555,VOL_REC[],2,FALSE),0)</f>
        <v>1072354.9981737854</v>
      </c>
      <c r="BC1555" s="246">
        <f>IFERROR(VLOOKUP(M1555,VOL_REC[],2,FALSE),0)</f>
        <v>740113.98115702497</v>
      </c>
      <c r="BD1555" s="246">
        <f>IFERROR(VLOOKUP(N1555,VOL_REC[],2,FALSE),0)</f>
        <v>0</v>
      </c>
      <c r="BE1555" s="246">
        <f>IFERROR(VLOOKUP(O1555,VOL_REC[],2,FALSE),0)</f>
        <v>0</v>
      </c>
      <c r="BF1555" s="246">
        <f>IFERROR(VLOOKUP(P1555,VOL_REC[],2,FALSE),0)</f>
        <v>0</v>
      </c>
      <c r="BG1555" s="246">
        <f>IFERROR(VLOOKUP(Q1555,VOL_REC[],2,FALSE),0)</f>
        <v>0</v>
      </c>
      <c r="BH1555" s="1710">
        <f t="shared" si="96"/>
        <v>25076129368.633358</v>
      </c>
      <c r="BI1555" s="1710">
        <f t="shared" si="97"/>
        <v>21440844582.876801</v>
      </c>
      <c r="BJ1555" s="1711">
        <f t="shared" si="98"/>
        <v>33626039.108252034</v>
      </c>
      <c r="BK1555" s="1711">
        <f t="shared" si="99"/>
        <v>1.1695495143255592</v>
      </c>
      <c r="BL1555">
        <f>BJ1555</f>
        <v>33626039.108252034</v>
      </c>
      <c r="BO1555">
        <f>BL1555</f>
        <v>33626039.108252034</v>
      </c>
    </row>
    <row r="1556" spans="3:67" x14ac:dyDescent="0.25">
      <c r="C1556" s="246" t="s">
        <v>2906</v>
      </c>
      <c r="D1556" s="246">
        <v>1</v>
      </c>
      <c r="E1556" s="246">
        <v>2</v>
      </c>
      <c r="F1556" s="246">
        <v>3</v>
      </c>
      <c r="G1556" s="246">
        <v>4</v>
      </c>
      <c r="H1556" s="246">
        <v>5</v>
      </c>
      <c r="I1556" s="246">
        <v>6</v>
      </c>
      <c r="J1556" s="246">
        <v>14</v>
      </c>
      <c r="K1556" s="246">
        <v>15</v>
      </c>
      <c r="L1556" s="246">
        <v>16</v>
      </c>
      <c r="M1556" s="246">
        <v>17</v>
      </c>
      <c r="N1556" s="246"/>
      <c r="O1556" s="246"/>
      <c r="P1556" s="246"/>
      <c r="Q1556" s="246"/>
      <c r="R1556" s="246">
        <f>IFERROR(VLOOKUP(D1556,PROGRAMAS[],2,FALSE),0)</f>
        <v>97037803.679377079</v>
      </c>
      <c r="S1556" s="246">
        <f>IFERROR(VLOOKUP(E1556,PROGRAMAS[],2,FALSE),0)</f>
        <v>640501509.6821388</v>
      </c>
      <c r="T1556" s="246">
        <f>IFERROR(VLOOKUP(F1556,PROGRAMAS[],2,FALSE),0)</f>
        <v>3062327798.1525245</v>
      </c>
      <c r="U1556" s="246">
        <f>IFERROR(VLOOKUP(G1556,PROGRAMAS[],2,FALSE),0)</f>
        <v>67697118.033011258</v>
      </c>
      <c r="V1556" s="246">
        <f>IFERROR(VLOOKUP(H1556,PROGRAMAS[],2,FALSE),0)</f>
        <v>1440941976.2528784</v>
      </c>
      <c r="W1556" s="246">
        <f>IFERROR(VLOOKUP(I1556,PROGRAMAS[],2,FALSE),0)</f>
        <v>6907648435.8447599</v>
      </c>
      <c r="X1556" s="246">
        <f>IFERROR(VLOOKUP(J1556,PROGRAMAS[],2,FALSE),0)</f>
        <v>54223862.645839565</v>
      </c>
      <c r="Y1556" s="246">
        <f>IFERROR(VLOOKUP(K1556,PROGRAMAS[],2,FALSE),0)</f>
        <v>122159672.96346797</v>
      </c>
      <c r="Z1556" s="246">
        <f>IFERROR(VLOOKUP(L1556,PROGRAMAS[],2,FALSE),0)</f>
        <v>7068496961.0436354</v>
      </c>
      <c r="AA1556" s="246">
        <f>IFERROR(VLOOKUP(M1556,PROGRAMAS[],2,FALSE),0)</f>
        <v>1892779498.5211046</v>
      </c>
      <c r="AB1556" s="246">
        <f>IFERROR(VLOOKUP(N1556,PROGRAMAS[],2,FALSE),0)</f>
        <v>0</v>
      </c>
      <c r="AC1556" s="246">
        <f>IFERROR(VLOOKUP(O1556,PROGRAMAS[],2,FALSE),0)</f>
        <v>0</v>
      </c>
      <c r="AD1556" s="246">
        <f>IFERROR(VLOOKUP(P1556,PROGRAMAS[],2,FALSE),0)</f>
        <v>0</v>
      </c>
      <c r="AE1556" s="246">
        <f>IFERROR(VLOOKUP(Q1556,PROGRAMAS[],2,FALSE),0)</f>
        <v>0</v>
      </c>
      <c r="AF1556" s="246">
        <f>IFERROR(VLOOKUP(D1556,PROGRAMAS[],3,FALSE),0)</f>
        <v>841888629.31080008</v>
      </c>
      <c r="AG1556" s="246">
        <f>IFERROR(VLOOKUP(E1556,PROGRAMAS[],3,FALSE),0)</f>
        <v>3848980803.1642323</v>
      </c>
      <c r="AH1556" s="246">
        <f>IFERROR(VLOOKUP(F1556,PROGRAMAS[],3,FALSE),0)</f>
        <v>3394901471.387517</v>
      </c>
      <c r="AI1556" s="246">
        <f>IFERROR(VLOOKUP(G1556,PROGRAMAS[],3,FALSE),0)</f>
        <v>125317226.95549992</v>
      </c>
      <c r="AJ1556" s="246">
        <f>IFERROR(VLOOKUP(H1556,PROGRAMAS[],3,FALSE),0)</f>
        <v>1233505101.0616004</v>
      </c>
      <c r="AK1556" s="246">
        <f>IFERROR(VLOOKUP(I1556,PROGRAMAS[],3,FALSE),0)</f>
        <v>6129902208.7912121</v>
      </c>
      <c r="AL1556" s="246">
        <f>IFERROR(VLOOKUP(J1556,PROGRAMAS[],3,FALSE),0)</f>
        <v>31865326.38096505</v>
      </c>
      <c r="AM1556" s="246">
        <f>IFERROR(VLOOKUP(K1556,PROGRAMAS[],3,FALSE),0)</f>
        <v>118617452.52510804</v>
      </c>
      <c r="AN1556" s="246">
        <f>IFERROR(VLOOKUP(L1556,PROGRAMAS[],3,FALSE),0)</f>
        <v>2406564599.0319901</v>
      </c>
      <c r="AO1556" s="246">
        <f>IFERROR(VLOOKUP(M1556,PROGRAMAS[],3,FALSE),0)</f>
        <v>948595847.09039903</v>
      </c>
      <c r="AP1556" s="246">
        <f>IFERROR(VLOOKUP(N1556,PROGRAMAS[],3,FALSE),0)</f>
        <v>0</v>
      </c>
      <c r="AQ1556" s="246">
        <f>IFERROR(VLOOKUP(O1556,PROGRAMAS[],3,FALSE),0)</f>
        <v>0</v>
      </c>
      <c r="AR1556" s="246">
        <f>IFERROR(VLOOKUP(P1556,PROGRAMAS[],3,FALSE),0)</f>
        <v>0</v>
      </c>
      <c r="AS1556" s="246">
        <f>IFERROR(VLOOKUP(Q1556,PROGRAMAS[],3,FALSE),0)</f>
        <v>0</v>
      </c>
      <c r="AT1556" s="246">
        <f>IFERROR(VLOOKUP(D1556,VOL_REC[],2,FALSE),0)</f>
        <v>0</v>
      </c>
      <c r="AU1556" s="246">
        <f>IFERROR(VLOOKUP(E1556,VOL_REC[],2,FALSE),0)</f>
        <v>0</v>
      </c>
      <c r="AV1556" s="246">
        <f>IFERROR(VLOOKUP(F1556,VOL_REC[],2,FALSE),0)</f>
        <v>11089674.200000001</v>
      </c>
      <c r="AW1556" s="246">
        <f>IFERROR(VLOOKUP(G1556,VOL_REC[],2,FALSE),0)</f>
        <v>90439.55</v>
      </c>
      <c r="AX1556" s="246">
        <f>IFERROR(VLOOKUP(H1556,VOL_REC[],2,FALSE),0)</f>
        <v>4325103.1812214684</v>
      </c>
      <c r="AY1556" s="246">
        <f>IFERROR(VLOOKUP(I1556,VOL_REC[],2,FALSE),0)</f>
        <v>15540036.397699751</v>
      </c>
      <c r="AZ1556" s="246">
        <f>IFERROR(VLOOKUP(J1556,VOL_REC[],2,FALSE),0)</f>
        <v>17074.045034105649</v>
      </c>
      <c r="BA1556" s="246">
        <f>IFERROR(VLOOKUP(K1556,VOL_REC[],2,FALSE),0)</f>
        <v>105072</v>
      </c>
      <c r="BB1556" s="246">
        <f>IFERROR(VLOOKUP(L1556,VOL_REC[],2,FALSE),0)</f>
        <v>1072354.9981737854</v>
      </c>
      <c r="BC1556" s="246">
        <f>IFERROR(VLOOKUP(M1556,VOL_REC[],2,FALSE),0)</f>
        <v>740113.98115702497</v>
      </c>
      <c r="BD1556" s="246">
        <f>IFERROR(VLOOKUP(N1556,VOL_REC[],2,FALSE),0)</f>
        <v>0</v>
      </c>
      <c r="BE1556" s="246">
        <f>IFERROR(VLOOKUP(O1556,VOL_REC[],2,FALSE),0)</f>
        <v>0</v>
      </c>
      <c r="BF1556" s="246">
        <f>IFERROR(VLOOKUP(P1556,VOL_REC[],2,FALSE),0)</f>
        <v>0</v>
      </c>
      <c r="BG1556" s="246">
        <f>IFERROR(VLOOKUP(Q1556,VOL_REC[],2,FALSE),0)</f>
        <v>0</v>
      </c>
      <c r="BH1556" s="1710">
        <f t="shared" si="96"/>
        <v>21353814636.818737</v>
      </c>
      <c r="BI1556" s="1710">
        <f t="shared" si="97"/>
        <v>19080138665.699326</v>
      </c>
      <c r="BJ1556" s="1711">
        <f t="shared" si="98"/>
        <v>32979868.353286136</v>
      </c>
      <c r="BK1556" s="1711">
        <f t="shared" si="99"/>
        <v>1.1191645412518325</v>
      </c>
      <c r="BL1556">
        <f>BJ1556</f>
        <v>32979868.353286136</v>
      </c>
      <c r="BO1556">
        <f>BL1556</f>
        <v>32979868.353286136</v>
      </c>
    </row>
    <row r="1557" spans="3:67" x14ac:dyDescent="0.25">
      <c r="C1557" s="246" t="s">
        <v>2907</v>
      </c>
      <c r="D1557" s="246">
        <v>1</v>
      </c>
      <c r="E1557" s="246">
        <v>2</v>
      </c>
      <c r="F1557" s="246">
        <v>3</v>
      </c>
      <c r="G1557" s="246">
        <v>4</v>
      </c>
      <c r="H1557" s="246">
        <v>5</v>
      </c>
      <c r="I1557" s="246">
        <v>9</v>
      </c>
      <c r="J1557" s="246">
        <v>10</v>
      </c>
      <c r="K1557" s="246">
        <v>12</v>
      </c>
      <c r="L1557" s="246">
        <v>13</v>
      </c>
      <c r="M1557" s="246">
        <v>14</v>
      </c>
      <c r="N1557" s="246"/>
      <c r="O1557" s="246"/>
      <c r="P1557" s="246"/>
      <c r="Q1557" s="246"/>
      <c r="R1557" s="246">
        <f>IFERROR(VLOOKUP(D1557,PROGRAMAS[],2,FALSE),0)</f>
        <v>97037803.679377079</v>
      </c>
      <c r="S1557" s="246">
        <f>IFERROR(VLOOKUP(E1557,PROGRAMAS[],2,FALSE),0)</f>
        <v>640501509.6821388</v>
      </c>
      <c r="T1557" s="246">
        <f>IFERROR(VLOOKUP(F1557,PROGRAMAS[],2,FALSE),0)</f>
        <v>3062327798.1525245</v>
      </c>
      <c r="U1557" s="246">
        <f>IFERROR(VLOOKUP(G1557,PROGRAMAS[],2,FALSE),0)</f>
        <v>67697118.033011258</v>
      </c>
      <c r="V1557" s="246">
        <f>IFERROR(VLOOKUP(H1557,PROGRAMAS[],2,FALSE),0)</f>
        <v>1440941976.2528784</v>
      </c>
      <c r="W1557" s="246">
        <f>IFERROR(VLOOKUP(I1557,PROGRAMAS[],2,FALSE),0)</f>
        <v>6128579952.1618185</v>
      </c>
      <c r="X1557" s="246">
        <f>IFERROR(VLOOKUP(J1557,PROGRAMAS[],2,FALSE),0)</f>
        <v>4635315027.8751087</v>
      </c>
      <c r="Y1557" s="246">
        <f>IFERROR(VLOOKUP(K1557,PROGRAMAS[],2,FALSE),0)</f>
        <v>764796700.79905891</v>
      </c>
      <c r="Z1557" s="246">
        <f>IFERROR(VLOOKUP(L1557,PROGRAMAS[],2,FALSE),0)</f>
        <v>3776538594.4604583</v>
      </c>
      <c r="AA1557" s="246">
        <f>IFERROR(VLOOKUP(M1557,PROGRAMAS[],2,FALSE),0)</f>
        <v>54223862.645839565</v>
      </c>
      <c r="AB1557" s="246">
        <f>IFERROR(VLOOKUP(N1557,PROGRAMAS[],2,FALSE),0)</f>
        <v>0</v>
      </c>
      <c r="AC1557" s="246">
        <f>IFERROR(VLOOKUP(O1557,PROGRAMAS[],2,FALSE),0)</f>
        <v>0</v>
      </c>
      <c r="AD1557" s="246">
        <f>IFERROR(VLOOKUP(P1557,PROGRAMAS[],2,FALSE),0)</f>
        <v>0</v>
      </c>
      <c r="AE1557" s="246">
        <f>IFERROR(VLOOKUP(Q1557,PROGRAMAS[],2,FALSE),0)</f>
        <v>0</v>
      </c>
      <c r="AF1557" s="246">
        <f>IFERROR(VLOOKUP(D1557,PROGRAMAS[],3,FALSE),0)</f>
        <v>841888629.31080008</v>
      </c>
      <c r="AG1557" s="246">
        <f>IFERROR(VLOOKUP(E1557,PROGRAMAS[],3,FALSE),0)</f>
        <v>3848980803.1642323</v>
      </c>
      <c r="AH1557" s="246">
        <f>IFERROR(VLOOKUP(F1557,PROGRAMAS[],3,FALSE),0)</f>
        <v>3394901471.387517</v>
      </c>
      <c r="AI1557" s="246">
        <f>IFERROR(VLOOKUP(G1557,PROGRAMAS[],3,FALSE),0)</f>
        <v>125317226.95549992</v>
      </c>
      <c r="AJ1557" s="246">
        <f>IFERROR(VLOOKUP(H1557,PROGRAMAS[],3,FALSE),0)</f>
        <v>1233505101.0616004</v>
      </c>
      <c r="AK1557" s="246">
        <f>IFERROR(VLOOKUP(I1557,PROGRAMAS[],3,FALSE),0)</f>
        <v>7011279577.519702</v>
      </c>
      <c r="AL1557" s="246">
        <f>IFERROR(VLOOKUP(J1557,PROGRAMAS[],3,FALSE),0)</f>
        <v>4099471734.9978786</v>
      </c>
      <c r="AM1557" s="246">
        <f>IFERROR(VLOOKUP(K1557,PROGRAMAS[],3,FALSE),0)</f>
        <v>675517840.109828</v>
      </c>
      <c r="AN1557" s="246">
        <f>IFERROR(VLOOKUP(L1557,PROGRAMAS[],3,FALSE),0)</f>
        <v>2392571243.5584412</v>
      </c>
      <c r="AO1557" s="246">
        <f>IFERROR(VLOOKUP(M1557,PROGRAMAS[],3,FALSE),0)</f>
        <v>31865326.38096505</v>
      </c>
      <c r="AP1557" s="246">
        <f>IFERROR(VLOOKUP(N1557,PROGRAMAS[],3,FALSE),0)</f>
        <v>0</v>
      </c>
      <c r="AQ1557" s="246">
        <f>IFERROR(VLOOKUP(O1557,PROGRAMAS[],3,FALSE),0)</f>
        <v>0</v>
      </c>
      <c r="AR1557" s="246">
        <f>IFERROR(VLOOKUP(P1557,PROGRAMAS[],3,FALSE),0)</f>
        <v>0</v>
      </c>
      <c r="AS1557" s="246">
        <f>IFERROR(VLOOKUP(Q1557,PROGRAMAS[],3,FALSE),0)</f>
        <v>0</v>
      </c>
      <c r="AT1557" s="246">
        <f>IFERROR(VLOOKUP(D1557,VOL_REC[],2,FALSE),0)</f>
        <v>0</v>
      </c>
      <c r="AU1557" s="246">
        <f>IFERROR(VLOOKUP(E1557,VOL_REC[],2,FALSE),0)</f>
        <v>0</v>
      </c>
      <c r="AV1557" s="246">
        <f>IFERROR(VLOOKUP(F1557,VOL_REC[],2,FALSE),0)</f>
        <v>11089674.200000001</v>
      </c>
      <c r="AW1557" s="246">
        <f>IFERROR(VLOOKUP(G1557,VOL_REC[],2,FALSE),0)</f>
        <v>90439.55</v>
      </c>
      <c r="AX1557" s="246">
        <f>IFERROR(VLOOKUP(H1557,VOL_REC[],2,FALSE),0)</f>
        <v>4325103.1812214684</v>
      </c>
      <c r="AY1557" s="246">
        <f>IFERROR(VLOOKUP(I1557,VOL_REC[],2,FALSE),0)</f>
        <v>3761786</v>
      </c>
      <c r="AZ1557" s="246">
        <f>IFERROR(VLOOKUP(J1557,VOL_REC[],2,FALSE),0)</f>
        <v>1812240</v>
      </c>
      <c r="BA1557" s="246">
        <f>IFERROR(VLOOKUP(K1557,VOL_REC[],2,FALSE),0)</f>
        <v>240696.79238099116</v>
      </c>
      <c r="BB1557" s="246">
        <f>IFERROR(VLOOKUP(L1557,VOL_REC[],2,FALSE),0)</f>
        <v>663244.80000000016</v>
      </c>
      <c r="BC1557" s="246">
        <f>IFERROR(VLOOKUP(M1557,VOL_REC[],2,FALSE),0)</f>
        <v>17074.045034105649</v>
      </c>
      <c r="BD1557" s="246">
        <f>IFERROR(VLOOKUP(N1557,VOL_REC[],2,FALSE),0)</f>
        <v>0</v>
      </c>
      <c r="BE1557" s="246">
        <f>IFERROR(VLOOKUP(O1557,VOL_REC[],2,FALSE),0)</f>
        <v>0</v>
      </c>
      <c r="BF1557" s="246">
        <f>IFERROR(VLOOKUP(P1557,VOL_REC[],2,FALSE),0)</f>
        <v>0</v>
      </c>
      <c r="BG1557" s="246">
        <f>IFERROR(VLOOKUP(Q1557,VOL_REC[],2,FALSE),0)</f>
        <v>0</v>
      </c>
      <c r="BH1557" s="1710">
        <f t="shared" si="96"/>
        <v>20667960343.742214</v>
      </c>
      <c r="BI1557" s="1710">
        <f t="shared" si="97"/>
        <v>23655298954.446468</v>
      </c>
      <c r="BJ1557" s="1711">
        <f t="shared" si="98"/>
        <v>22000258.56863657</v>
      </c>
      <c r="BK1557" s="1711">
        <f t="shared" si="99"/>
        <v>0.87371376635497022</v>
      </c>
    </row>
    <row r="1558" spans="3:67" x14ac:dyDescent="0.25">
      <c r="C1558" s="246" t="s">
        <v>2908</v>
      </c>
      <c r="D1558" s="246">
        <v>1</v>
      </c>
      <c r="E1558" s="246">
        <v>2</v>
      </c>
      <c r="F1558" s="246">
        <v>3</v>
      </c>
      <c r="G1558" s="246">
        <v>4</v>
      </c>
      <c r="H1558" s="246">
        <v>5</v>
      </c>
      <c r="I1558" s="246">
        <v>9</v>
      </c>
      <c r="J1558" s="246">
        <v>10</v>
      </c>
      <c r="K1558" s="246">
        <v>12</v>
      </c>
      <c r="L1558" s="246">
        <v>13</v>
      </c>
      <c r="M1558" s="246">
        <v>15</v>
      </c>
      <c r="N1558" s="246"/>
      <c r="O1558" s="246"/>
      <c r="P1558" s="246"/>
      <c r="Q1558" s="246"/>
      <c r="R1558" s="246">
        <f>IFERROR(VLOOKUP(D1558,PROGRAMAS[],2,FALSE),0)</f>
        <v>97037803.679377079</v>
      </c>
      <c r="S1558" s="246">
        <f>IFERROR(VLOOKUP(E1558,PROGRAMAS[],2,FALSE),0)</f>
        <v>640501509.6821388</v>
      </c>
      <c r="T1558" s="246">
        <f>IFERROR(VLOOKUP(F1558,PROGRAMAS[],2,FALSE),0)</f>
        <v>3062327798.1525245</v>
      </c>
      <c r="U1558" s="246">
        <f>IFERROR(VLOOKUP(G1558,PROGRAMAS[],2,FALSE),0)</f>
        <v>67697118.033011258</v>
      </c>
      <c r="V1558" s="246">
        <f>IFERROR(VLOOKUP(H1558,PROGRAMAS[],2,FALSE),0)</f>
        <v>1440941976.2528784</v>
      </c>
      <c r="W1558" s="246">
        <f>IFERROR(VLOOKUP(I1558,PROGRAMAS[],2,FALSE),0)</f>
        <v>6128579952.1618185</v>
      </c>
      <c r="X1558" s="246">
        <f>IFERROR(VLOOKUP(J1558,PROGRAMAS[],2,FALSE),0)</f>
        <v>4635315027.8751087</v>
      </c>
      <c r="Y1558" s="246">
        <f>IFERROR(VLOOKUP(K1558,PROGRAMAS[],2,FALSE),0)</f>
        <v>764796700.79905891</v>
      </c>
      <c r="Z1558" s="246">
        <f>IFERROR(VLOOKUP(L1558,PROGRAMAS[],2,FALSE),0)</f>
        <v>3776538594.4604583</v>
      </c>
      <c r="AA1558" s="246">
        <f>IFERROR(VLOOKUP(M1558,PROGRAMAS[],2,FALSE),0)</f>
        <v>122159672.96346797</v>
      </c>
      <c r="AB1558" s="246">
        <f>IFERROR(VLOOKUP(N1558,PROGRAMAS[],2,FALSE),0)</f>
        <v>0</v>
      </c>
      <c r="AC1558" s="246">
        <f>IFERROR(VLOOKUP(O1558,PROGRAMAS[],2,FALSE),0)</f>
        <v>0</v>
      </c>
      <c r="AD1558" s="246">
        <f>IFERROR(VLOOKUP(P1558,PROGRAMAS[],2,FALSE),0)</f>
        <v>0</v>
      </c>
      <c r="AE1558" s="246">
        <f>IFERROR(VLOOKUP(Q1558,PROGRAMAS[],2,FALSE),0)</f>
        <v>0</v>
      </c>
      <c r="AF1558" s="246">
        <f>IFERROR(VLOOKUP(D1558,PROGRAMAS[],3,FALSE),0)</f>
        <v>841888629.31080008</v>
      </c>
      <c r="AG1558" s="246">
        <f>IFERROR(VLOOKUP(E1558,PROGRAMAS[],3,FALSE),0)</f>
        <v>3848980803.1642323</v>
      </c>
      <c r="AH1558" s="246">
        <f>IFERROR(VLOOKUP(F1558,PROGRAMAS[],3,FALSE),0)</f>
        <v>3394901471.387517</v>
      </c>
      <c r="AI1558" s="246">
        <f>IFERROR(VLOOKUP(G1558,PROGRAMAS[],3,FALSE),0)</f>
        <v>125317226.95549992</v>
      </c>
      <c r="AJ1558" s="246">
        <f>IFERROR(VLOOKUP(H1558,PROGRAMAS[],3,FALSE),0)</f>
        <v>1233505101.0616004</v>
      </c>
      <c r="AK1558" s="246">
        <f>IFERROR(VLOOKUP(I1558,PROGRAMAS[],3,FALSE),0)</f>
        <v>7011279577.519702</v>
      </c>
      <c r="AL1558" s="246">
        <f>IFERROR(VLOOKUP(J1558,PROGRAMAS[],3,FALSE),0)</f>
        <v>4099471734.9978786</v>
      </c>
      <c r="AM1558" s="246">
        <f>IFERROR(VLOOKUP(K1558,PROGRAMAS[],3,FALSE),0)</f>
        <v>675517840.109828</v>
      </c>
      <c r="AN1558" s="246">
        <f>IFERROR(VLOOKUP(L1558,PROGRAMAS[],3,FALSE),0)</f>
        <v>2392571243.5584412</v>
      </c>
      <c r="AO1558" s="246">
        <f>IFERROR(VLOOKUP(M1558,PROGRAMAS[],3,FALSE),0)</f>
        <v>118617452.52510804</v>
      </c>
      <c r="AP1558" s="246">
        <f>IFERROR(VLOOKUP(N1558,PROGRAMAS[],3,FALSE),0)</f>
        <v>0</v>
      </c>
      <c r="AQ1558" s="246">
        <f>IFERROR(VLOOKUP(O1558,PROGRAMAS[],3,FALSE),0)</f>
        <v>0</v>
      </c>
      <c r="AR1558" s="246">
        <f>IFERROR(VLOOKUP(P1558,PROGRAMAS[],3,FALSE),0)</f>
        <v>0</v>
      </c>
      <c r="AS1558" s="246">
        <f>IFERROR(VLOOKUP(Q1558,PROGRAMAS[],3,FALSE),0)</f>
        <v>0</v>
      </c>
      <c r="AT1558" s="246">
        <f>IFERROR(VLOOKUP(D1558,VOL_REC[],2,FALSE),0)</f>
        <v>0</v>
      </c>
      <c r="AU1558" s="246">
        <f>IFERROR(VLOOKUP(E1558,VOL_REC[],2,FALSE),0)</f>
        <v>0</v>
      </c>
      <c r="AV1558" s="246">
        <f>IFERROR(VLOOKUP(F1558,VOL_REC[],2,FALSE),0)</f>
        <v>11089674.200000001</v>
      </c>
      <c r="AW1558" s="246">
        <f>IFERROR(VLOOKUP(G1558,VOL_REC[],2,FALSE),0)</f>
        <v>90439.55</v>
      </c>
      <c r="AX1558" s="246">
        <f>IFERROR(VLOOKUP(H1558,VOL_REC[],2,FALSE),0)</f>
        <v>4325103.1812214684</v>
      </c>
      <c r="AY1558" s="246">
        <f>IFERROR(VLOOKUP(I1558,VOL_REC[],2,FALSE),0)</f>
        <v>3761786</v>
      </c>
      <c r="AZ1558" s="246">
        <f>IFERROR(VLOOKUP(J1558,VOL_REC[],2,FALSE),0)</f>
        <v>1812240</v>
      </c>
      <c r="BA1558" s="246">
        <f>IFERROR(VLOOKUP(K1558,VOL_REC[],2,FALSE),0)</f>
        <v>240696.79238099116</v>
      </c>
      <c r="BB1558" s="246">
        <f>IFERROR(VLOOKUP(L1558,VOL_REC[],2,FALSE),0)</f>
        <v>663244.80000000016</v>
      </c>
      <c r="BC1558" s="246">
        <f>IFERROR(VLOOKUP(M1558,VOL_REC[],2,FALSE),0)</f>
        <v>105072</v>
      </c>
      <c r="BD1558" s="246">
        <f>IFERROR(VLOOKUP(N1558,VOL_REC[],2,FALSE),0)</f>
        <v>0</v>
      </c>
      <c r="BE1558" s="246">
        <f>IFERROR(VLOOKUP(O1558,VOL_REC[],2,FALSE),0)</f>
        <v>0</v>
      </c>
      <c r="BF1558" s="246">
        <f>IFERROR(VLOOKUP(P1558,VOL_REC[],2,FALSE),0)</f>
        <v>0</v>
      </c>
      <c r="BG1558" s="246">
        <f>IFERROR(VLOOKUP(Q1558,VOL_REC[],2,FALSE),0)</f>
        <v>0</v>
      </c>
      <c r="BH1558" s="1710">
        <f t="shared" si="96"/>
        <v>20735896154.059841</v>
      </c>
      <c r="BI1558" s="1710">
        <f t="shared" si="97"/>
        <v>23742051080.590611</v>
      </c>
      <c r="BJ1558" s="1711">
        <f t="shared" si="98"/>
        <v>22088256.523602463</v>
      </c>
      <c r="BK1558" s="1711">
        <f t="shared" si="99"/>
        <v>0.87338267800340408</v>
      </c>
    </row>
    <row r="1559" spans="3:67" x14ac:dyDescent="0.25">
      <c r="C1559" s="246" t="s">
        <v>2909</v>
      </c>
      <c r="D1559" s="246">
        <v>1</v>
      </c>
      <c r="E1559" s="246">
        <v>2</v>
      </c>
      <c r="F1559" s="246">
        <v>3</v>
      </c>
      <c r="G1559" s="246">
        <v>4</v>
      </c>
      <c r="H1559" s="246">
        <v>5</v>
      </c>
      <c r="I1559" s="246">
        <v>9</v>
      </c>
      <c r="J1559" s="246">
        <v>10</v>
      </c>
      <c r="K1559" s="246">
        <v>12</v>
      </c>
      <c r="L1559" s="246">
        <v>13</v>
      </c>
      <c r="M1559" s="246">
        <v>16</v>
      </c>
      <c r="N1559" s="246"/>
      <c r="O1559" s="246"/>
      <c r="P1559" s="246"/>
      <c r="Q1559" s="246"/>
      <c r="R1559" s="246">
        <f>IFERROR(VLOOKUP(D1559,PROGRAMAS[],2,FALSE),0)</f>
        <v>97037803.679377079</v>
      </c>
      <c r="S1559" s="246">
        <f>IFERROR(VLOOKUP(E1559,PROGRAMAS[],2,FALSE),0)</f>
        <v>640501509.6821388</v>
      </c>
      <c r="T1559" s="246">
        <f>IFERROR(VLOOKUP(F1559,PROGRAMAS[],2,FALSE),0)</f>
        <v>3062327798.1525245</v>
      </c>
      <c r="U1559" s="246">
        <f>IFERROR(VLOOKUP(G1559,PROGRAMAS[],2,FALSE),0)</f>
        <v>67697118.033011258</v>
      </c>
      <c r="V1559" s="246">
        <f>IFERROR(VLOOKUP(H1559,PROGRAMAS[],2,FALSE),0)</f>
        <v>1440941976.2528784</v>
      </c>
      <c r="W1559" s="246">
        <f>IFERROR(VLOOKUP(I1559,PROGRAMAS[],2,FALSE),0)</f>
        <v>6128579952.1618185</v>
      </c>
      <c r="X1559" s="246">
        <f>IFERROR(VLOOKUP(J1559,PROGRAMAS[],2,FALSE),0)</f>
        <v>4635315027.8751087</v>
      </c>
      <c r="Y1559" s="246">
        <f>IFERROR(VLOOKUP(K1559,PROGRAMAS[],2,FALSE),0)</f>
        <v>764796700.79905891</v>
      </c>
      <c r="Z1559" s="246">
        <f>IFERROR(VLOOKUP(L1559,PROGRAMAS[],2,FALSE),0)</f>
        <v>3776538594.4604583</v>
      </c>
      <c r="AA1559" s="246">
        <f>IFERROR(VLOOKUP(M1559,PROGRAMAS[],2,FALSE),0)</f>
        <v>7068496961.0436354</v>
      </c>
      <c r="AB1559" s="246">
        <f>IFERROR(VLOOKUP(N1559,PROGRAMAS[],2,FALSE),0)</f>
        <v>0</v>
      </c>
      <c r="AC1559" s="246">
        <f>IFERROR(VLOOKUP(O1559,PROGRAMAS[],2,FALSE),0)</f>
        <v>0</v>
      </c>
      <c r="AD1559" s="246">
        <f>IFERROR(VLOOKUP(P1559,PROGRAMAS[],2,FALSE),0)</f>
        <v>0</v>
      </c>
      <c r="AE1559" s="246">
        <f>IFERROR(VLOOKUP(Q1559,PROGRAMAS[],2,FALSE),0)</f>
        <v>0</v>
      </c>
      <c r="AF1559" s="246">
        <f>IFERROR(VLOOKUP(D1559,PROGRAMAS[],3,FALSE),0)</f>
        <v>841888629.31080008</v>
      </c>
      <c r="AG1559" s="246">
        <f>IFERROR(VLOOKUP(E1559,PROGRAMAS[],3,FALSE),0)</f>
        <v>3848980803.1642323</v>
      </c>
      <c r="AH1559" s="246">
        <f>IFERROR(VLOOKUP(F1559,PROGRAMAS[],3,FALSE),0)</f>
        <v>3394901471.387517</v>
      </c>
      <c r="AI1559" s="246">
        <f>IFERROR(VLOOKUP(G1559,PROGRAMAS[],3,FALSE),0)</f>
        <v>125317226.95549992</v>
      </c>
      <c r="AJ1559" s="246">
        <f>IFERROR(VLOOKUP(H1559,PROGRAMAS[],3,FALSE),0)</f>
        <v>1233505101.0616004</v>
      </c>
      <c r="AK1559" s="246">
        <f>IFERROR(VLOOKUP(I1559,PROGRAMAS[],3,FALSE),0)</f>
        <v>7011279577.519702</v>
      </c>
      <c r="AL1559" s="246">
        <f>IFERROR(VLOOKUP(J1559,PROGRAMAS[],3,FALSE),0)</f>
        <v>4099471734.9978786</v>
      </c>
      <c r="AM1559" s="246">
        <f>IFERROR(VLOOKUP(K1559,PROGRAMAS[],3,FALSE),0)</f>
        <v>675517840.109828</v>
      </c>
      <c r="AN1559" s="246">
        <f>IFERROR(VLOOKUP(L1559,PROGRAMAS[],3,FALSE),0)</f>
        <v>2392571243.5584412</v>
      </c>
      <c r="AO1559" s="246">
        <f>IFERROR(VLOOKUP(M1559,PROGRAMAS[],3,FALSE),0)</f>
        <v>2406564599.0319901</v>
      </c>
      <c r="AP1559" s="246">
        <f>IFERROR(VLOOKUP(N1559,PROGRAMAS[],3,FALSE),0)</f>
        <v>0</v>
      </c>
      <c r="AQ1559" s="246">
        <f>IFERROR(VLOOKUP(O1559,PROGRAMAS[],3,FALSE),0)</f>
        <v>0</v>
      </c>
      <c r="AR1559" s="246">
        <f>IFERROR(VLOOKUP(P1559,PROGRAMAS[],3,FALSE),0)</f>
        <v>0</v>
      </c>
      <c r="AS1559" s="246">
        <f>IFERROR(VLOOKUP(Q1559,PROGRAMAS[],3,FALSE),0)</f>
        <v>0</v>
      </c>
      <c r="AT1559" s="246">
        <f>IFERROR(VLOOKUP(D1559,VOL_REC[],2,FALSE),0)</f>
        <v>0</v>
      </c>
      <c r="AU1559" s="246">
        <f>IFERROR(VLOOKUP(E1559,VOL_REC[],2,FALSE),0)</f>
        <v>0</v>
      </c>
      <c r="AV1559" s="246">
        <f>IFERROR(VLOOKUP(F1559,VOL_REC[],2,FALSE),0)</f>
        <v>11089674.200000001</v>
      </c>
      <c r="AW1559" s="246">
        <f>IFERROR(VLOOKUP(G1559,VOL_REC[],2,FALSE),0)</f>
        <v>90439.55</v>
      </c>
      <c r="AX1559" s="246">
        <f>IFERROR(VLOOKUP(H1559,VOL_REC[],2,FALSE),0)</f>
        <v>4325103.1812214684</v>
      </c>
      <c r="AY1559" s="246">
        <f>IFERROR(VLOOKUP(I1559,VOL_REC[],2,FALSE),0)</f>
        <v>3761786</v>
      </c>
      <c r="AZ1559" s="246">
        <f>IFERROR(VLOOKUP(J1559,VOL_REC[],2,FALSE),0)</f>
        <v>1812240</v>
      </c>
      <c r="BA1559" s="246">
        <f>IFERROR(VLOOKUP(K1559,VOL_REC[],2,FALSE),0)</f>
        <v>240696.79238099116</v>
      </c>
      <c r="BB1559" s="246">
        <f>IFERROR(VLOOKUP(L1559,VOL_REC[],2,FALSE),0)</f>
        <v>663244.80000000016</v>
      </c>
      <c r="BC1559" s="246">
        <f>IFERROR(VLOOKUP(M1559,VOL_REC[],2,FALSE),0)</f>
        <v>1072354.9981737854</v>
      </c>
      <c r="BD1559" s="246">
        <f>IFERROR(VLOOKUP(N1559,VOL_REC[],2,FALSE),0)</f>
        <v>0</v>
      </c>
      <c r="BE1559" s="246">
        <f>IFERROR(VLOOKUP(O1559,VOL_REC[],2,FALSE),0)</f>
        <v>0</v>
      </c>
      <c r="BF1559" s="246">
        <f>IFERROR(VLOOKUP(P1559,VOL_REC[],2,FALSE),0)</f>
        <v>0</v>
      </c>
      <c r="BG1559" s="246">
        <f>IFERROR(VLOOKUP(Q1559,VOL_REC[],2,FALSE),0)</f>
        <v>0</v>
      </c>
      <c r="BH1559" s="1710">
        <f t="shared" si="96"/>
        <v>27682233442.140011</v>
      </c>
      <c r="BI1559" s="1710">
        <f t="shared" si="97"/>
        <v>26029998227.097492</v>
      </c>
      <c r="BJ1559" s="1711">
        <f t="shared" si="98"/>
        <v>23055539.521776248</v>
      </c>
      <c r="BK1559" s="1711">
        <f t="shared" si="99"/>
        <v>1.0634742730532545</v>
      </c>
      <c r="BL1559">
        <f>BJ1559</f>
        <v>23055539.521776248</v>
      </c>
      <c r="BO1559">
        <f>BL1559</f>
        <v>23055539.521776248</v>
      </c>
    </row>
    <row r="1560" spans="3:67" x14ac:dyDescent="0.25">
      <c r="C1560" s="246" t="s">
        <v>2910</v>
      </c>
      <c r="D1560" s="246">
        <v>1</v>
      </c>
      <c r="E1560" s="246">
        <v>2</v>
      </c>
      <c r="F1560" s="246">
        <v>3</v>
      </c>
      <c r="G1560" s="246">
        <v>4</v>
      </c>
      <c r="H1560" s="246">
        <v>5</v>
      </c>
      <c r="I1560" s="246">
        <v>9</v>
      </c>
      <c r="J1560" s="246">
        <v>10</v>
      </c>
      <c r="K1560" s="246">
        <v>12</v>
      </c>
      <c r="L1560" s="246">
        <v>13</v>
      </c>
      <c r="M1560" s="246">
        <v>17</v>
      </c>
      <c r="N1560" s="246"/>
      <c r="O1560" s="246"/>
      <c r="P1560" s="246"/>
      <c r="Q1560" s="246"/>
      <c r="R1560" s="246">
        <f>IFERROR(VLOOKUP(D1560,PROGRAMAS[],2,FALSE),0)</f>
        <v>97037803.679377079</v>
      </c>
      <c r="S1560" s="246">
        <f>IFERROR(VLOOKUP(E1560,PROGRAMAS[],2,FALSE),0)</f>
        <v>640501509.6821388</v>
      </c>
      <c r="T1560" s="246">
        <f>IFERROR(VLOOKUP(F1560,PROGRAMAS[],2,FALSE),0)</f>
        <v>3062327798.1525245</v>
      </c>
      <c r="U1560" s="246">
        <f>IFERROR(VLOOKUP(G1560,PROGRAMAS[],2,FALSE),0)</f>
        <v>67697118.033011258</v>
      </c>
      <c r="V1560" s="246">
        <f>IFERROR(VLOOKUP(H1560,PROGRAMAS[],2,FALSE),0)</f>
        <v>1440941976.2528784</v>
      </c>
      <c r="W1560" s="246">
        <f>IFERROR(VLOOKUP(I1560,PROGRAMAS[],2,FALSE),0)</f>
        <v>6128579952.1618185</v>
      </c>
      <c r="X1560" s="246">
        <f>IFERROR(VLOOKUP(J1560,PROGRAMAS[],2,FALSE),0)</f>
        <v>4635315027.8751087</v>
      </c>
      <c r="Y1560" s="246">
        <f>IFERROR(VLOOKUP(K1560,PROGRAMAS[],2,FALSE),0)</f>
        <v>764796700.79905891</v>
      </c>
      <c r="Z1560" s="246">
        <f>IFERROR(VLOOKUP(L1560,PROGRAMAS[],2,FALSE),0)</f>
        <v>3776538594.4604583</v>
      </c>
      <c r="AA1560" s="246">
        <f>IFERROR(VLOOKUP(M1560,PROGRAMAS[],2,FALSE),0)</f>
        <v>1892779498.5211046</v>
      </c>
      <c r="AB1560" s="246">
        <f>IFERROR(VLOOKUP(N1560,PROGRAMAS[],2,FALSE),0)</f>
        <v>0</v>
      </c>
      <c r="AC1560" s="246">
        <f>IFERROR(VLOOKUP(O1560,PROGRAMAS[],2,FALSE),0)</f>
        <v>0</v>
      </c>
      <c r="AD1560" s="246">
        <f>IFERROR(VLOOKUP(P1560,PROGRAMAS[],2,FALSE),0)</f>
        <v>0</v>
      </c>
      <c r="AE1560" s="246">
        <f>IFERROR(VLOOKUP(Q1560,PROGRAMAS[],2,FALSE),0)</f>
        <v>0</v>
      </c>
      <c r="AF1560" s="246">
        <f>IFERROR(VLOOKUP(D1560,PROGRAMAS[],3,FALSE),0)</f>
        <v>841888629.31080008</v>
      </c>
      <c r="AG1560" s="246">
        <f>IFERROR(VLOOKUP(E1560,PROGRAMAS[],3,FALSE),0)</f>
        <v>3848980803.1642323</v>
      </c>
      <c r="AH1560" s="246">
        <f>IFERROR(VLOOKUP(F1560,PROGRAMAS[],3,FALSE),0)</f>
        <v>3394901471.387517</v>
      </c>
      <c r="AI1560" s="246">
        <f>IFERROR(VLOOKUP(G1560,PROGRAMAS[],3,FALSE),0)</f>
        <v>125317226.95549992</v>
      </c>
      <c r="AJ1560" s="246">
        <f>IFERROR(VLOOKUP(H1560,PROGRAMAS[],3,FALSE),0)</f>
        <v>1233505101.0616004</v>
      </c>
      <c r="AK1560" s="246">
        <f>IFERROR(VLOOKUP(I1560,PROGRAMAS[],3,FALSE),0)</f>
        <v>7011279577.519702</v>
      </c>
      <c r="AL1560" s="246">
        <f>IFERROR(VLOOKUP(J1560,PROGRAMAS[],3,FALSE),0)</f>
        <v>4099471734.9978786</v>
      </c>
      <c r="AM1560" s="246">
        <f>IFERROR(VLOOKUP(K1560,PROGRAMAS[],3,FALSE),0)</f>
        <v>675517840.109828</v>
      </c>
      <c r="AN1560" s="246">
        <f>IFERROR(VLOOKUP(L1560,PROGRAMAS[],3,FALSE),0)</f>
        <v>2392571243.5584412</v>
      </c>
      <c r="AO1560" s="246">
        <f>IFERROR(VLOOKUP(M1560,PROGRAMAS[],3,FALSE),0)</f>
        <v>948595847.09039903</v>
      </c>
      <c r="AP1560" s="246">
        <f>IFERROR(VLOOKUP(N1560,PROGRAMAS[],3,FALSE),0)</f>
        <v>0</v>
      </c>
      <c r="AQ1560" s="246">
        <f>IFERROR(VLOOKUP(O1560,PROGRAMAS[],3,FALSE),0)</f>
        <v>0</v>
      </c>
      <c r="AR1560" s="246">
        <f>IFERROR(VLOOKUP(P1560,PROGRAMAS[],3,FALSE),0)</f>
        <v>0</v>
      </c>
      <c r="AS1560" s="246">
        <f>IFERROR(VLOOKUP(Q1560,PROGRAMAS[],3,FALSE),0)</f>
        <v>0</v>
      </c>
      <c r="AT1560" s="246">
        <f>IFERROR(VLOOKUP(D1560,VOL_REC[],2,FALSE),0)</f>
        <v>0</v>
      </c>
      <c r="AU1560" s="246">
        <f>IFERROR(VLOOKUP(E1560,VOL_REC[],2,FALSE),0)</f>
        <v>0</v>
      </c>
      <c r="AV1560" s="246">
        <f>IFERROR(VLOOKUP(F1560,VOL_REC[],2,FALSE),0)</f>
        <v>11089674.200000001</v>
      </c>
      <c r="AW1560" s="246">
        <f>IFERROR(VLOOKUP(G1560,VOL_REC[],2,FALSE),0)</f>
        <v>90439.55</v>
      </c>
      <c r="AX1560" s="246">
        <f>IFERROR(VLOOKUP(H1560,VOL_REC[],2,FALSE),0)</f>
        <v>4325103.1812214684</v>
      </c>
      <c r="AY1560" s="246">
        <f>IFERROR(VLOOKUP(I1560,VOL_REC[],2,FALSE),0)</f>
        <v>3761786</v>
      </c>
      <c r="AZ1560" s="246">
        <f>IFERROR(VLOOKUP(J1560,VOL_REC[],2,FALSE),0)</f>
        <v>1812240</v>
      </c>
      <c r="BA1560" s="246">
        <f>IFERROR(VLOOKUP(K1560,VOL_REC[],2,FALSE),0)</f>
        <v>240696.79238099116</v>
      </c>
      <c r="BB1560" s="246">
        <f>IFERROR(VLOOKUP(L1560,VOL_REC[],2,FALSE),0)</f>
        <v>663244.80000000016</v>
      </c>
      <c r="BC1560" s="246">
        <f>IFERROR(VLOOKUP(M1560,VOL_REC[],2,FALSE),0)</f>
        <v>740113.98115702497</v>
      </c>
      <c r="BD1560" s="246">
        <f>IFERROR(VLOOKUP(N1560,VOL_REC[],2,FALSE),0)</f>
        <v>0</v>
      </c>
      <c r="BE1560" s="246">
        <f>IFERROR(VLOOKUP(O1560,VOL_REC[],2,FALSE),0)</f>
        <v>0</v>
      </c>
      <c r="BF1560" s="246">
        <f>IFERROR(VLOOKUP(P1560,VOL_REC[],2,FALSE),0)</f>
        <v>0</v>
      </c>
      <c r="BG1560" s="246">
        <f>IFERROR(VLOOKUP(Q1560,VOL_REC[],2,FALSE),0)</f>
        <v>0</v>
      </c>
      <c r="BH1560" s="1710">
        <f t="shared" si="96"/>
        <v>22506515979.617477</v>
      </c>
      <c r="BI1560" s="1710">
        <f t="shared" si="97"/>
        <v>24572029475.155903</v>
      </c>
      <c r="BJ1560" s="1711">
        <f t="shared" si="98"/>
        <v>22723298.504759487</v>
      </c>
      <c r="BK1560" s="1711">
        <f t="shared" si="99"/>
        <v>0.91594045995969486</v>
      </c>
    </row>
    <row r="1561" spans="3:67" x14ac:dyDescent="0.25">
      <c r="C1561" s="246" t="s">
        <v>2911</v>
      </c>
      <c r="D1561" s="246">
        <v>1</v>
      </c>
      <c r="E1561" s="246">
        <v>2</v>
      </c>
      <c r="F1561" s="246">
        <v>3</v>
      </c>
      <c r="G1561" s="246">
        <v>4</v>
      </c>
      <c r="H1561" s="246">
        <v>5</v>
      </c>
      <c r="I1561" s="246">
        <v>9</v>
      </c>
      <c r="J1561" s="246">
        <v>10</v>
      </c>
      <c r="K1561" s="246">
        <v>12</v>
      </c>
      <c r="L1561" s="246">
        <v>14</v>
      </c>
      <c r="M1561" s="246">
        <v>15</v>
      </c>
      <c r="N1561" s="246"/>
      <c r="O1561" s="246"/>
      <c r="P1561" s="246"/>
      <c r="Q1561" s="246"/>
      <c r="R1561" s="246">
        <f>IFERROR(VLOOKUP(D1561,PROGRAMAS[],2,FALSE),0)</f>
        <v>97037803.679377079</v>
      </c>
      <c r="S1561" s="246">
        <f>IFERROR(VLOOKUP(E1561,PROGRAMAS[],2,FALSE),0)</f>
        <v>640501509.6821388</v>
      </c>
      <c r="T1561" s="246">
        <f>IFERROR(VLOOKUP(F1561,PROGRAMAS[],2,FALSE),0)</f>
        <v>3062327798.1525245</v>
      </c>
      <c r="U1561" s="246">
        <f>IFERROR(VLOOKUP(G1561,PROGRAMAS[],2,FALSE),0)</f>
        <v>67697118.033011258</v>
      </c>
      <c r="V1561" s="246">
        <f>IFERROR(VLOOKUP(H1561,PROGRAMAS[],2,FALSE),0)</f>
        <v>1440941976.2528784</v>
      </c>
      <c r="W1561" s="246">
        <f>IFERROR(VLOOKUP(I1561,PROGRAMAS[],2,FALSE),0)</f>
        <v>6128579952.1618185</v>
      </c>
      <c r="X1561" s="246">
        <f>IFERROR(VLOOKUP(J1561,PROGRAMAS[],2,FALSE),0)</f>
        <v>4635315027.8751087</v>
      </c>
      <c r="Y1561" s="246">
        <f>IFERROR(VLOOKUP(K1561,PROGRAMAS[],2,FALSE),0)</f>
        <v>764796700.79905891</v>
      </c>
      <c r="Z1561" s="246">
        <f>IFERROR(VLOOKUP(L1561,PROGRAMAS[],2,FALSE),0)</f>
        <v>54223862.645839565</v>
      </c>
      <c r="AA1561" s="246">
        <f>IFERROR(VLOOKUP(M1561,PROGRAMAS[],2,FALSE),0)</f>
        <v>122159672.96346797</v>
      </c>
      <c r="AB1561" s="246">
        <f>IFERROR(VLOOKUP(N1561,PROGRAMAS[],2,FALSE),0)</f>
        <v>0</v>
      </c>
      <c r="AC1561" s="246">
        <f>IFERROR(VLOOKUP(O1561,PROGRAMAS[],2,FALSE),0)</f>
        <v>0</v>
      </c>
      <c r="AD1561" s="246">
        <f>IFERROR(VLOOKUP(P1561,PROGRAMAS[],2,FALSE),0)</f>
        <v>0</v>
      </c>
      <c r="AE1561" s="246">
        <f>IFERROR(VLOOKUP(Q1561,PROGRAMAS[],2,FALSE),0)</f>
        <v>0</v>
      </c>
      <c r="AF1561" s="246">
        <f>IFERROR(VLOOKUP(D1561,PROGRAMAS[],3,FALSE),0)</f>
        <v>841888629.31080008</v>
      </c>
      <c r="AG1561" s="246">
        <f>IFERROR(VLOOKUP(E1561,PROGRAMAS[],3,FALSE),0)</f>
        <v>3848980803.1642323</v>
      </c>
      <c r="AH1561" s="246">
        <f>IFERROR(VLOOKUP(F1561,PROGRAMAS[],3,FALSE),0)</f>
        <v>3394901471.387517</v>
      </c>
      <c r="AI1561" s="246">
        <f>IFERROR(VLOOKUP(G1561,PROGRAMAS[],3,FALSE),0)</f>
        <v>125317226.95549992</v>
      </c>
      <c r="AJ1561" s="246">
        <f>IFERROR(VLOOKUP(H1561,PROGRAMAS[],3,FALSE),0)</f>
        <v>1233505101.0616004</v>
      </c>
      <c r="AK1561" s="246">
        <f>IFERROR(VLOOKUP(I1561,PROGRAMAS[],3,FALSE),0)</f>
        <v>7011279577.519702</v>
      </c>
      <c r="AL1561" s="246">
        <f>IFERROR(VLOOKUP(J1561,PROGRAMAS[],3,FALSE),0)</f>
        <v>4099471734.9978786</v>
      </c>
      <c r="AM1561" s="246">
        <f>IFERROR(VLOOKUP(K1561,PROGRAMAS[],3,FALSE),0)</f>
        <v>675517840.109828</v>
      </c>
      <c r="AN1561" s="246">
        <f>IFERROR(VLOOKUP(L1561,PROGRAMAS[],3,FALSE),0)</f>
        <v>31865326.38096505</v>
      </c>
      <c r="AO1561" s="246">
        <f>IFERROR(VLOOKUP(M1561,PROGRAMAS[],3,FALSE),0)</f>
        <v>118617452.52510804</v>
      </c>
      <c r="AP1561" s="246">
        <f>IFERROR(VLOOKUP(N1561,PROGRAMAS[],3,FALSE),0)</f>
        <v>0</v>
      </c>
      <c r="AQ1561" s="246">
        <f>IFERROR(VLOOKUP(O1561,PROGRAMAS[],3,FALSE),0)</f>
        <v>0</v>
      </c>
      <c r="AR1561" s="246">
        <f>IFERROR(VLOOKUP(P1561,PROGRAMAS[],3,FALSE),0)</f>
        <v>0</v>
      </c>
      <c r="AS1561" s="246">
        <f>IFERROR(VLOOKUP(Q1561,PROGRAMAS[],3,FALSE),0)</f>
        <v>0</v>
      </c>
      <c r="AT1561" s="246">
        <f>IFERROR(VLOOKUP(D1561,VOL_REC[],2,FALSE),0)</f>
        <v>0</v>
      </c>
      <c r="AU1561" s="246">
        <f>IFERROR(VLOOKUP(E1561,VOL_REC[],2,FALSE),0)</f>
        <v>0</v>
      </c>
      <c r="AV1561" s="246">
        <f>IFERROR(VLOOKUP(F1561,VOL_REC[],2,FALSE),0)</f>
        <v>11089674.200000001</v>
      </c>
      <c r="AW1561" s="246">
        <f>IFERROR(VLOOKUP(G1561,VOL_REC[],2,FALSE),0)</f>
        <v>90439.55</v>
      </c>
      <c r="AX1561" s="246">
        <f>IFERROR(VLOOKUP(H1561,VOL_REC[],2,FALSE),0)</f>
        <v>4325103.1812214684</v>
      </c>
      <c r="AY1561" s="246">
        <f>IFERROR(VLOOKUP(I1561,VOL_REC[],2,FALSE),0)</f>
        <v>3761786</v>
      </c>
      <c r="AZ1561" s="246">
        <f>IFERROR(VLOOKUP(J1561,VOL_REC[],2,FALSE),0)</f>
        <v>1812240</v>
      </c>
      <c r="BA1561" s="246">
        <f>IFERROR(VLOOKUP(K1561,VOL_REC[],2,FALSE),0)</f>
        <v>240696.79238099116</v>
      </c>
      <c r="BB1561" s="246">
        <f>IFERROR(VLOOKUP(L1561,VOL_REC[],2,FALSE),0)</f>
        <v>17074.045034105649</v>
      </c>
      <c r="BC1561" s="246">
        <f>IFERROR(VLOOKUP(M1561,VOL_REC[],2,FALSE),0)</f>
        <v>105072</v>
      </c>
      <c r="BD1561" s="246">
        <f>IFERROR(VLOOKUP(N1561,VOL_REC[],2,FALSE),0)</f>
        <v>0</v>
      </c>
      <c r="BE1561" s="246">
        <f>IFERROR(VLOOKUP(O1561,VOL_REC[],2,FALSE),0)</f>
        <v>0</v>
      </c>
      <c r="BF1561" s="246">
        <f>IFERROR(VLOOKUP(P1561,VOL_REC[],2,FALSE),0)</f>
        <v>0</v>
      </c>
      <c r="BG1561" s="246">
        <f>IFERROR(VLOOKUP(Q1561,VOL_REC[],2,FALSE),0)</f>
        <v>0</v>
      </c>
      <c r="BH1561" s="1710">
        <f t="shared" si="96"/>
        <v>17013581422.245226</v>
      </c>
      <c r="BI1561" s="1710">
        <f t="shared" si="97"/>
        <v>21381345163.413136</v>
      </c>
      <c r="BJ1561" s="1711">
        <f t="shared" si="98"/>
        <v>21442085.768636569</v>
      </c>
      <c r="BK1561" s="1711">
        <f t="shared" si="99"/>
        <v>0.79572081607653744</v>
      </c>
    </row>
    <row r="1562" spans="3:67" x14ac:dyDescent="0.25">
      <c r="C1562" s="246" t="s">
        <v>2912</v>
      </c>
      <c r="D1562" s="246">
        <v>1</v>
      </c>
      <c r="E1562" s="246">
        <v>2</v>
      </c>
      <c r="F1562" s="246">
        <v>3</v>
      </c>
      <c r="G1562" s="246">
        <v>4</v>
      </c>
      <c r="H1562" s="246">
        <v>5</v>
      </c>
      <c r="I1562" s="246">
        <v>9</v>
      </c>
      <c r="J1562" s="246">
        <v>10</v>
      </c>
      <c r="K1562" s="246">
        <v>12</v>
      </c>
      <c r="L1562" s="246">
        <v>14</v>
      </c>
      <c r="M1562" s="246">
        <v>16</v>
      </c>
      <c r="N1562" s="246"/>
      <c r="O1562" s="246"/>
      <c r="P1562" s="246"/>
      <c r="Q1562" s="246"/>
      <c r="R1562" s="246">
        <f>IFERROR(VLOOKUP(D1562,PROGRAMAS[],2,FALSE),0)</f>
        <v>97037803.679377079</v>
      </c>
      <c r="S1562" s="246">
        <f>IFERROR(VLOOKUP(E1562,PROGRAMAS[],2,FALSE),0)</f>
        <v>640501509.6821388</v>
      </c>
      <c r="T1562" s="246">
        <f>IFERROR(VLOOKUP(F1562,PROGRAMAS[],2,FALSE),0)</f>
        <v>3062327798.1525245</v>
      </c>
      <c r="U1562" s="246">
        <f>IFERROR(VLOOKUP(G1562,PROGRAMAS[],2,FALSE),0)</f>
        <v>67697118.033011258</v>
      </c>
      <c r="V1562" s="246">
        <f>IFERROR(VLOOKUP(H1562,PROGRAMAS[],2,FALSE),0)</f>
        <v>1440941976.2528784</v>
      </c>
      <c r="W1562" s="246">
        <f>IFERROR(VLOOKUP(I1562,PROGRAMAS[],2,FALSE),0)</f>
        <v>6128579952.1618185</v>
      </c>
      <c r="X1562" s="246">
        <f>IFERROR(VLOOKUP(J1562,PROGRAMAS[],2,FALSE),0)</f>
        <v>4635315027.8751087</v>
      </c>
      <c r="Y1562" s="246">
        <f>IFERROR(VLOOKUP(K1562,PROGRAMAS[],2,FALSE),0)</f>
        <v>764796700.79905891</v>
      </c>
      <c r="Z1562" s="246">
        <f>IFERROR(VLOOKUP(L1562,PROGRAMAS[],2,FALSE),0)</f>
        <v>54223862.645839565</v>
      </c>
      <c r="AA1562" s="246">
        <f>IFERROR(VLOOKUP(M1562,PROGRAMAS[],2,FALSE),0)</f>
        <v>7068496961.0436354</v>
      </c>
      <c r="AB1562" s="246">
        <f>IFERROR(VLOOKUP(N1562,PROGRAMAS[],2,FALSE),0)</f>
        <v>0</v>
      </c>
      <c r="AC1562" s="246">
        <f>IFERROR(VLOOKUP(O1562,PROGRAMAS[],2,FALSE),0)</f>
        <v>0</v>
      </c>
      <c r="AD1562" s="246">
        <f>IFERROR(VLOOKUP(P1562,PROGRAMAS[],2,FALSE),0)</f>
        <v>0</v>
      </c>
      <c r="AE1562" s="246">
        <f>IFERROR(VLOOKUP(Q1562,PROGRAMAS[],2,FALSE),0)</f>
        <v>0</v>
      </c>
      <c r="AF1562" s="246">
        <f>IFERROR(VLOOKUP(D1562,PROGRAMAS[],3,FALSE),0)</f>
        <v>841888629.31080008</v>
      </c>
      <c r="AG1562" s="246">
        <f>IFERROR(VLOOKUP(E1562,PROGRAMAS[],3,FALSE),0)</f>
        <v>3848980803.1642323</v>
      </c>
      <c r="AH1562" s="246">
        <f>IFERROR(VLOOKUP(F1562,PROGRAMAS[],3,FALSE),0)</f>
        <v>3394901471.387517</v>
      </c>
      <c r="AI1562" s="246">
        <f>IFERROR(VLOOKUP(G1562,PROGRAMAS[],3,FALSE),0)</f>
        <v>125317226.95549992</v>
      </c>
      <c r="AJ1562" s="246">
        <f>IFERROR(VLOOKUP(H1562,PROGRAMAS[],3,FALSE),0)</f>
        <v>1233505101.0616004</v>
      </c>
      <c r="AK1562" s="246">
        <f>IFERROR(VLOOKUP(I1562,PROGRAMAS[],3,FALSE),0)</f>
        <v>7011279577.519702</v>
      </c>
      <c r="AL1562" s="246">
        <f>IFERROR(VLOOKUP(J1562,PROGRAMAS[],3,FALSE),0)</f>
        <v>4099471734.9978786</v>
      </c>
      <c r="AM1562" s="246">
        <f>IFERROR(VLOOKUP(K1562,PROGRAMAS[],3,FALSE),0)</f>
        <v>675517840.109828</v>
      </c>
      <c r="AN1562" s="246">
        <f>IFERROR(VLOOKUP(L1562,PROGRAMAS[],3,FALSE),0)</f>
        <v>31865326.38096505</v>
      </c>
      <c r="AO1562" s="246">
        <f>IFERROR(VLOOKUP(M1562,PROGRAMAS[],3,FALSE),0)</f>
        <v>2406564599.0319901</v>
      </c>
      <c r="AP1562" s="246">
        <f>IFERROR(VLOOKUP(N1562,PROGRAMAS[],3,FALSE),0)</f>
        <v>0</v>
      </c>
      <c r="AQ1562" s="246">
        <f>IFERROR(VLOOKUP(O1562,PROGRAMAS[],3,FALSE),0)</f>
        <v>0</v>
      </c>
      <c r="AR1562" s="246">
        <f>IFERROR(VLOOKUP(P1562,PROGRAMAS[],3,FALSE),0)</f>
        <v>0</v>
      </c>
      <c r="AS1562" s="246">
        <f>IFERROR(VLOOKUP(Q1562,PROGRAMAS[],3,FALSE),0)</f>
        <v>0</v>
      </c>
      <c r="AT1562" s="246">
        <f>IFERROR(VLOOKUP(D1562,VOL_REC[],2,FALSE),0)</f>
        <v>0</v>
      </c>
      <c r="AU1562" s="246">
        <f>IFERROR(VLOOKUP(E1562,VOL_REC[],2,FALSE),0)</f>
        <v>0</v>
      </c>
      <c r="AV1562" s="246">
        <f>IFERROR(VLOOKUP(F1562,VOL_REC[],2,FALSE),0)</f>
        <v>11089674.200000001</v>
      </c>
      <c r="AW1562" s="246">
        <f>IFERROR(VLOOKUP(G1562,VOL_REC[],2,FALSE),0)</f>
        <v>90439.55</v>
      </c>
      <c r="AX1562" s="246">
        <f>IFERROR(VLOOKUP(H1562,VOL_REC[],2,FALSE),0)</f>
        <v>4325103.1812214684</v>
      </c>
      <c r="AY1562" s="246">
        <f>IFERROR(VLOOKUP(I1562,VOL_REC[],2,FALSE),0)</f>
        <v>3761786</v>
      </c>
      <c r="AZ1562" s="246">
        <f>IFERROR(VLOOKUP(J1562,VOL_REC[],2,FALSE),0)</f>
        <v>1812240</v>
      </c>
      <c r="BA1562" s="246">
        <f>IFERROR(VLOOKUP(K1562,VOL_REC[],2,FALSE),0)</f>
        <v>240696.79238099116</v>
      </c>
      <c r="BB1562" s="246">
        <f>IFERROR(VLOOKUP(L1562,VOL_REC[],2,FALSE),0)</f>
        <v>17074.045034105649</v>
      </c>
      <c r="BC1562" s="246">
        <f>IFERROR(VLOOKUP(M1562,VOL_REC[],2,FALSE),0)</f>
        <v>1072354.9981737854</v>
      </c>
      <c r="BD1562" s="246">
        <f>IFERROR(VLOOKUP(N1562,VOL_REC[],2,FALSE),0)</f>
        <v>0</v>
      </c>
      <c r="BE1562" s="246">
        <f>IFERROR(VLOOKUP(O1562,VOL_REC[],2,FALSE),0)</f>
        <v>0</v>
      </c>
      <c r="BF1562" s="246">
        <f>IFERROR(VLOOKUP(P1562,VOL_REC[],2,FALSE),0)</f>
        <v>0</v>
      </c>
      <c r="BG1562" s="246">
        <f>IFERROR(VLOOKUP(Q1562,VOL_REC[],2,FALSE),0)</f>
        <v>0</v>
      </c>
      <c r="BH1562" s="1710">
        <f t="shared" si="96"/>
        <v>23959918710.325394</v>
      </c>
      <c r="BI1562" s="1710">
        <f t="shared" si="97"/>
        <v>23669292309.920017</v>
      </c>
      <c r="BJ1562" s="1711">
        <f t="shared" si="98"/>
        <v>22409368.766810354</v>
      </c>
      <c r="BK1562" s="1711">
        <f t="shared" si="99"/>
        <v>1.0122786265258794</v>
      </c>
      <c r="BL1562">
        <f>BJ1562</f>
        <v>22409368.766810354</v>
      </c>
      <c r="BO1562">
        <f>BL1562</f>
        <v>22409368.766810354</v>
      </c>
    </row>
    <row r="1563" spans="3:67" x14ac:dyDescent="0.25">
      <c r="C1563" s="246" t="s">
        <v>2913</v>
      </c>
      <c r="D1563" s="246">
        <v>1</v>
      </c>
      <c r="E1563" s="246">
        <v>2</v>
      </c>
      <c r="F1563" s="246">
        <v>3</v>
      </c>
      <c r="G1563" s="246">
        <v>4</v>
      </c>
      <c r="H1563" s="246">
        <v>5</v>
      </c>
      <c r="I1563" s="246">
        <v>9</v>
      </c>
      <c r="J1563" s="246">
        <v>10</v>
      </c>
      <c r="K1563" s="246">
        <v>12</v>
      </c>
      <c r="L1563" s="246">
        <v>14</v>
      </c>
      <c r="M1563" s="246">
        <v>17</v>
      </c>
      <c r="N1563" s="246"/>
      <c r="O1563" s="246"/>
      <c r="P1563" s="246"/>
      <c r="Q1563" s="246"/>
      <c r="R1563" s="246">
        <f>IFERROR(VLOOKUP(D1563,PROGRAMAS[],2,FALSE),0)</f>
        <v>97037803.679377079</v>
      </c>
      <c r="S1563" s="246">
        <f>IFERROR(VLOOKUP(E1563,PROGRAMAS[],2,FALSE),0)</f>
        <v>640501509.6821388</v>
      </c>
      <c r="T1563" s="246">
        <f>IFERROR(VLOOKUP(F1563,PROGRAMAS[],2,FALSE),0)</f>
        <v>3062327798.1525245</v>
      </c>
      <c r="U1563" s="246">
        <f>IFERROR(VLOOKUP(G1563,PROGRAMAS[],2,FALSE),0)</f>
        <v>67697118.033011258</v>
      </c>
      <c r="V1563" s="246">
        <f>IFERROR(VLOOKUP(H1563,PROGRAMAS[],2,FALSE),0)</f>
        <v>1440941976.2528784</v>
      </c>
      <c r="W1563" s="246">
        <f>IFERROR(VLOOKUP(I1563,PROGRAMAS[],2,FALSE),0)</f>
        <v>6128579952.1618185</v>
      </c>
      <c r="X1563" s="246">
        <f>IFERROR(VLOOKUP(J1563,PROGRAMAS[],2,FALSE),0)</f>
        <v>4635315027.8751087</v>
      </c>
      <c r="Y1563" s="246">
        <f>IFERROR(VLOOKUP(K1563,PROGRAMAS[],2,FALSE),0)</f>
        <v>764796700.79905891</v>
      </c>
      <c r="Z1563" s="246">
        <f>IFERROR(VLOOKUP(L1563,PROGRAMAS[],2,FALSE),0)</f>
        <v>54223862.645839565</v>
      </c>
      <c r="AA1563" s="246">
        <f>IFERROR(VLOOKUP(M1563,PROGRAMAS[],2,FALSE),0)</f>
        <v>1892779498.5211046</v>
      </c>
      <c r="AB1563" s="246">
        <f>IFERROR(VLOOKUP(N1563,PROGRAMAS[],2,FALSE),0)</f>
        <v>0</v>
      </c>
      <c r="AC1563" s="246">
        <f>IFERROR(VLOOKUP(O1563,PROGRAMAS[],2,FALSE),0)</f>
        <v>0</v>
      </c>
      <c r="AD1563" s="246">
        <f>IFERROR(VLOOKUP(P1563,PROGRAMAS[],2,FALSE),0)</f>
        <v>0</v>
      </c>
      <c r="AE1563" s="246">
        <f>IFERROR(VLOOKUP(Q1563,PROGRAMAS[],2,FALSE),0)</f>
        <v>0</v>
      </c>
      <c r="AF1563" s="246">
        <f>IFERROR(VLOOKUP(D1563,PROGRAMAS[],3,FALSE),0)</f>
        <v>841888629.31080008</v>
      </c>
      <c r="AG1563" s="246">
        <f>IFERROR(VLOOKUP(E1563,PROGRAMAS[],3,FALSE),0)</f>
        <v>3848980803.1642323</v>
      </c>
      <c r="AH1563" s="246">
        <f>IFERROR(VLOOKUP(F1563,PROGRAMAS[],3,FALSE),0)</f>
        <v>3394901471.387517</v>
      </c>
      <c r="AI1563" s="246">
        <f>IFERROR(VLOOKUP(G1563,PROGRAMAS[],3,FALSE),0)</f>
        <v>125317226.95549992</v>
      </c>
      <c r="AJ1563" s="246">
        <f>IFERROR(VLOOKUP(H1563,PROGRAMAS[],3,FALSE),0)</f>
        <v>1233505101.0616004</v>
      </c>
      <c r="AK1563" s="246">
        <f>IFERROR(VLOOKUP(I1563,PROGRAMAS[],3,FALSE),0)</f>
        <v>7011279577.519702</v>
      </c>
      <c r="AL1563" s="246">
        <f>IFERROR(VLOOKUP(J1563,PROGRAMAS[],3,FALSE),0)</f>
        <v>4099471734.9978786</v>
      </c>
      <c r="AM1563" s="246">
        <f>IFERROR(VLOOKUP(K1563,PROGRAMAS[],3,FALSE),0)</f>
        <v>675517840.109828</v>
      </c>
      <c r="AN1563" s="246">
        <f>IFERROR(VLOOKUP(L1563,PROGRAMAS[],3,FALSE),0)</f>
        <v>31865326.38096505</v>
      </c>
      <c r="AO1563" s="246">
        <f>IFERROR(VLOOKUP(M1563,PROGRAMAS[],3,FALSE),0)</f>
        <v>948595847.09039903</v>
      </c>
      <c r="AP1563" s="246">
        <f>IFERROR(VLOOKUP(N1563,PROGRAMAS[],3,FALSE),0)</f>
        <v>0</v>
      </c>
      <c r="AQ1563" s="246">
        <f>IFERROR(VLOOKUP(O1563,PROGRAMAS[],3,FALSE),0)</f>
        <v>0</v>
      </c>
      <c r="AR1563" s="246">
        <f>IFERROR(VLOOKUP(P1563,PROGRAMAS[],3,FALSE),0)</f>
        <v>0</v>
      </c>
      <c r="AS1563" s="246">
        <f>IFERROR(VLOOKUP(Q1563,PROGRAMAS[],3,FALSE),0)</f>
        <v>0</v>
      </c>
      <c r="AT1563" s="246">
        <f>IFERROR(VLOOKUP(D1563,VOL_REC[],2,FALSE),0)</f>
        <v>0</v>
      </c>
      <c r="AU1563" s="246">
        <f>IFERROR(VLOOKUP(E1563,VOL_REC[],2,FALSE),0)</f>
        <v>0</v>
      </c>
      <c r="AV1563" s="246">
        <f>IFERROR(VLOOKUP(F1563,VOL_REC[],2,FALSE),0)</f>
        <v>11089674.200000001</v>
      </c>
      <c r="AW1563" s="246">
        <f>IFERROR(VLOOKUP(G1563,VOL_REC[],2,FALSE),0)</f>
        <v>90439.55</v>
      </c>
      <c r="AX1563" s="246">
        <f>IFERROR(VLOOKUP(H1563,VOL_REC[],2,FALSE),0)</f>
        <v>4325103.1812214684</v>
      </c>
      <c r="AY1563" s="246">
        <f>IFERROR(VLOOKUP(I1563,VOL_REC[],2,FALSE),0)</f>
        <v>3761786</v>
      </c>
      <c r="AZ1563" s="246">
        <f>IFERROR(VLOOKUP(J1563,VOL_REC[],2,FALSE),0)</f>
        <v>1812240</v>
      </c>
      <c r="BA1563" s="246">
        <f>IFERROR(VLOOKUP(K1563,VOL_REC[],2,FALSE),0)</f>
        <v>240696.79238099116</v>
      </c>
      <c r="BB1563" s="246">
        <f>IFERROR(VLOOKUP(L1563,VOL_REC[],2,FALSE),0)</f>
        <v>17074.045034105649</v>
      </c>
      <c r="BC1563" s="246">
        <f>IFERROR(VLOOKUP(M1563,VOL_REC[],2,FALSE),0)</f>
        <v>740113.98115702497</v>
      </c>
      <c r="BD1563" s="246">
        <f>IFERROR(VLOOKUP(N1563,VOL_REC[],2,FALSE),0)</f>
        <v>0</v>
      </c>
      <c r="BE1563" s="246">
        <f>IFERROR(VLOOKUP(O1563,VOL_REC[],2,FALSE),0)</f>
        <v>0</v>
      </c>
      <c r="BF1563" s="246">
        <f>IFERROR(VLOOKUP(P1563,VOL_REC[],2,FALSE),0)</f>
        <v>0</v>
      </c>
      <c r="BG1563" s="246">
        <f>IFERROR(VLOOKUP(Q1563,VOL_REC[],2,FALSE),0)</f>
        <v>0</v>
      </c>
      <c r="BH1563" s="1710">
        <f t="shared" si="96"/>
        <v>18784201247.80286</v>
      </c>
      <c r="BI1563" s="1710">
        <f t="shared" si="97"/>
        <v>22211323557.978428</v>
      </c>
      <c r="BJ1563" s="1711">
        <f t="shared" si="98"/>
        <v>22077127.749793593</v>
      </c>
      <c r="BK1563" s="1711">
        <f t="shared" si="99"/>
        <v>0.84570382304189495</v>
      </c>
    </row>
    <row r="1564" spans="3:67" x14ac:dyDescent="0.25">
      <c r="C1564" s="246" t="s">
        <v>2914</v>
      </c>
      <c r="D1564" s="246">
        <v>1</v>
      </c>
      <c r="E1564" s="246">
        <v>2</v>
      </c>
      <c r="F1564" s="246">
        <v>3</v>
      </c>
      <c r="G1564" s="246">
        <v>4</v>
      </c>
      <c r="H1564" s="246">
        <v>5</v>
      </c>
      <c r="I1564" s="246">
        <v>9</v>
      </c>
      <c r="J1564" s="246">
        <v>10</v>
      </c>
      <c r="K1564" s="246">
        <v>12</v>
      </c>
      <c r="L1564" s="246">
        <v>15</v>
      </c>
      <c r="M1564" s="246">
        <v>16</v>
      </c>
      <c r="N1564" s="246"/>
      <c r="O1564" s="246"/>
      <c r="P1564" s="246"/>
      <c r="Q1564" s="246"/>
      <c r="R1564" s="246">
        <f>IFERROR(VLOOKUP(D1564,PROGRAMAS[],2,FALSE),0)</f>
        <v>97037803.679377079</v>
      </c>
      <c r="S1564" s="246">
        <f>IFERROR(VLOOKUP(E1564,PROGRAMAS[],2,FALSE),0)</f>
        <v>640501509.6821388</v>
      </c>
      <c r="T1564" s="246">
        <f>IFERROR(VLOOKUP(F1564,PROGRAMAS[],2,FALSE),0)</f>
        <v>3062327798.1525245</v>
      </c>
      <c r="U1564" s="246">
        <f>IFERROR(VLOOKUP(G1564,PROGRAMAS[],2,FALSE),0)</f>
        <v>67697118.033011258</v>
      </c>
      <c r="V1564" s="246">
        <f>IFERROR(VLOOKUP(H1564,PROGRAMAS[],2,FALSE),0)</f>
        <v>1440941976.2528784</v>
      </c>
      <c r="W1564" s="246">
        <f>IFERROR(VLOOKUP(I1564,PROGRAMAS[],2,FALSE),0)</f>
        <v>6128579952.1618185</v>
      </c>
      <c r="X1564" s="246">
        <f>IFERROR(VLOOKUP(J1564,PROGRAMAS[],2,FALSE),0)</f>
        <v>4635315027.8751087</v>
      </c>
      <c r="Y1564" s="246">
        <f>IFERROR(VLOOKUP(K1564,PROGRAMAS[],2,FALSE),0)</f>
        <v>764796700.79905891</v>
      </c>
      <c r="Z1564" s="246">
        <f>IFERROR(VLOOKUP(L1564,PROGRAMAS[],2,FALSE),0)</f>
        <v>122159672.96346797</v>
      </c>
      <c r="AA1564" s="246">
        <f>IFERROR(VLOOKUP(M1564,PROGRAMAS[],2,FALSE),0)</f>
        <v>7068496961.0436354</v>
      </c>
      <c r="AB1564" s="246">
        <f>IFERROR(VLOOKUP(N1564,PROGRAMAS[],2,FALSE),0)</f>
        <v>0</v>
      </c>
      <c r="AC1564" s="246">
        <f>IFERROR(VLOOKUP(O1564,PROGRAMAS[],2,FALSE),0)</f>
        <v>0</v>
      </c>
      <c r="AD1564" s="246">
        <f>IFERROR(VLOOKUP(P1564,PROGRAMAS[],2,FALSE),0)</f>
        <v>0</v>
      </c>
      <c r="AE1564" s="246">
        <f>IFERROR(VLOOKUP(Q1564,PROGRAMAS[],2,FALSE),0)</f>
        <v>0</v>
      </c>
      <c r="AF1564" s="246">
        <f>IFERROR(VLOOKUP(D1564,PROGRAMAS[],3,FALSE),0)</f>
        <v>841888629.31080008</v>
      </c>
      <c r="AG1564" s="246">
        <f>IFERROR(VLOOKUP(E1564,PROGRAMAS[],3,FALSE),0)</f>
        <v>3848980803.1642323</v>
      </c>
      <c r="AH1564" s="246">
        <f>IFERROR(VLOOKUP(F1564,PROGRAMAS[],3,FALSE),0)</f>
        <v>3394901471.387517</v>
      </c>
      <c r="AI1564" s="246">
        <f>IFERROR(VLOOKUP(G1564,PROGRAMAS[],3,FALSE),0)</f>
        <v>125317226.95549992</v>
      </c>
      <c r="AJ1564" s="246">
        <f>IFERROR(VLOOKUP(H1564,PROGRAMAS[],3,FALSE),0)</f>
        <v>1233505101.0616004</v>
      </c>
      <c r="AK1564" s="246">
        <f>IFERROR(VLOOKUP(I1564,PROGRAMAS[],3,FALSE),0)</f>
        <v>7011279577.519702</v>
      </c>
      <c r="AL1564" s="246">
        <f>IFERROR(VLOOKUP(J1564,PROGRAMAS[],3,FALSE),0)</f>
        <v>4099471734.9978786</v>
      </c>
      <c r="AM1564" s="246">
        <f>IFERROR(VLOOKUP(K1564,PROGRAMAS[],3,FALSE),0)</f>
        <v>675517840.109828</v>
      </c>
      <c r="AN1564" s="246">
        <f>IFERROR(VLOOKUP(L1564,PROGRAMAS[],3,FALSE),0)</f>
        <v>118617452.52510804</v>
      </c>
      <c r="AO1564" s="246">
        <f>IFERROR(VLOOKUP(M1564,PROGRAMAS[],3,FALSE),0)</f>
        <v>2406564599.0319901</v>
      </c>
      <c r="AP1564" s="246">
        <f>IFERROR(VLOOKUP(N1564,PROGRAMAS[],3,FALSE),0)</f>
        <v>0</v>
      </c>
      <c r="AQ1564" s="246">
        <f>IFERROR(VLOOKUP(O1564,PROGRAMAS[],3,FALSE),0)</f>
        <v>0</v>
      </c>
      <c r="AR1564" s="246">
        <f>IFERROR(VLOOKUP(P1564,PROGRAMAS[],3,FALSE),0)</f>
        <v>0</v>
      </c>
      <c r="AS1564" s="246">
        <f>IFERROR(VLOOKUP(Q1564,PROGRAMAS[],3,FALSE),0)</f>
        <v>0</v>
      </c>
      <c r="AT1564" s="246">
        <f>IFERROR(VLOOKUP(D1564,VOL_REC[],2,FALSE),0)</f>
        <v>0</v>
      </c>
      <c r="AU1564" s="246">
        <f>IFERROR(VLOOKUP(E1564,VOL_REC[],2,FALSE),0)</f>
        <v>0</v>
      </c>
      <c r="AV1564" s="246">
        <f>IFERROR(VLOOKUP(F1564,VOL_REC[],2,FALSE),0)</f>
        <v>11089674.200000001</v>
      </c>
      <c r="AW1564" s="246">
        <f>IFERROR(VLOOKUP(G1564,VOL_REC[],2,FALSE),0)</f>
        <v>90439.55</v>
      </c>
      <c r="AX1564" s="246">
        <f>IFERROR(VLOOKUP(H1564,VOL_REC[],2,FALSE),0)</f>
        <v>4325103.1812214684</v>
      </c>
      <c r="AY1564" s="246">
        <f>IFERROR(VLOOKUP(I1564,VOL_REC[],2,FALSE),0)</f>
        <v>3761786</v>
      </c>
      <c r="AZ1564" s="246">
        <f>IFERROR(VLOOKUP(J1564,VOL_REC[],2,FALSE),0)</f>
        <v>1812240</v>
      </c>
      <c r="BA1564" s="246">
        <f>IFERROR(VLOOKUP(K1564,VOL_REC[],2,FALSE),0)</f>
        <v>240696.79238099116</v>
      </c>
      <c r="BB1564" s="246">
        <f>IFERROR(VLOOKUP(L1564,VOL_REC[],2,FALSE),0)</f>
        <v>105072</v>
      </c>
      <c r="BC1564" s="246">
        <f>IFERROR(VLOOKUP(M1564,VOL_REC[],2,FALSE),0)</f>
        <v>1072354.9981737854</v>
      </c>
      <c r="BD1564" s="246">
        <f>IFERROR(VLOOKUP(N1564,VOL_REC[],2,FALSE),0)</f>
        <v>0</v>
      </c>
      <c r="BE1564" s="246">
        <f>IFERROR(VLOOKUP(O1564,VOL_REC[],2,FALSE),0)</f>
        <v>0</v>
      </c>
      <c r="BF1564" s="246">
        <f>IFERROR(VLOOKUP(P1564,VOL_REC[],2,FALSE),0)</f>
        <v>0</v>
      </c>
      <c r="BG1564" s="246">
        <f>IFERROR(VLOOKUP(Q1564,VOL_REC[],2,FALSE),0)</f>
        <v>0</v>
      </c>
      <c r="BH1564" s="1710">
        <f t="shared" si="96"/>
        <v>24027854520.643021</v>
      </c>
      <c r="BI1564" s="1710">
        <f t="shared" si="97"/>
        <v>23756044436.064159</v>
      </c>
      <c r="BJ1564" s="1711">
        <f t="shared" si="98"/>
        <v>22497366.721776247</v>
      </c>
      <c r="BK1564" s="1711">
        <f t="shared" si="99"/>
        <v>1.0114417231921922</v>
      </c>
      <c r="BL1564">
        <f>BJ1564</f>
        <v>22497366.721776247</v>
      </c>
      <c r="BO1564">
        <f>BL1564</f>
        <v>22497366.721776247</v>
      </c>
    </row>
    <row r="1565" spans="3:67" x14ac:dyDescent="0.25">
      <c r="C1565" s="246" t="s">
        <v>2915</v>
      </c>
      <c r="D1565" s="246">
        <v>1</v>
      </c>
      <c r="E1565" s="246">
        <v>2</v>
      </c>
      <c r="F1565" s="246">
        <v>3</v>
      </c>
      <c r="G1565" s="246">
        <v>4</v>
      </c>
      <c r="H1565" s="246">
        <v>5</v>
      </c>
      <c r="I1565" s="246">
        <v>9</v>
      </c>
      <c r="J1565" s="246">
        <v>10</v>
      </c>
      <c r="K1565" s="246">
        <v>12</v>
      </c>
      <c r="L1565" s="246">
        <v>15</v>
      </c>
      <c r="M1565" s="246">
        <v>17</v>
      </c>
      <c r="N1565" s="246"/>
      <c r="O1565" s="246"/>
      <c r="P1565" s="246"/>
      <c r="Q1565" s="246"/>
      <c r="R1565" s="246">
        <f>IFERROR(VLOOKUP(D1565,PROGRAMAS[],2,FALSE),0)</f>
        <v>97037803.679377079</v>
      </c>
      <c r="S1565" s="246">
        <f>IFERROR(VLOOKUP(E1565,PROGRAMAS[],2,FALSE),0)</f>
        <v>640501509.6821388</v>
      </c>
      <c r="T1565" s="246">
        <f>IFERROR(VLOOKUP(F1565,PROGRAMAS[],2,FALSE),0)</f>
        <v>3062327798.1525245</v>
      </c>
      <c r="U1565" s="246">
        <f>IFERROR(VLOOKUP(G1565,PROGRAMAS[],2,FALSE),0)</f>
        <v>67697118.033011258</v>
      </c>
      <c r="V1565" s="246">
        <f>IFERROR(VLOOKUP(H1565,PROGRAMAS[],2,FALSE),0)</f>
        <v>1440941976.2528784</v>
      </c>
      <c r="W1565" s="246">
        <f>IFERROR(VLOOKUP(I1565,PROGRAMAS[],2,FALSE),0)</f>
        <v>6128579952.1618185</v>
      </c>
      <c r="X1565" s="246">
        <f>IFERROR(VLOOKUP(J1565,PROGRAMAS[],2,FALSE),0)</f>
        <v>4635315027.8751087</v>
      </c>
      <c r="Y1565" s="246">
        <f>IFERROR(VLOOKUP(K1565,PROGRAMAS[],2,FALSE),0)</f>
        <v>764796700.79905891</v>
      </c>
      <c r="Z1565" s="246">
        <f>IFERROR(VLOOKUP(L1565,PROGRAMAS[],2,FALSE),0)</f>
        <v>122159672.96346797</v>
      </c>
      <c r="AA1565" s="246">
        <f>IFERROR(VLOOKUP(M1565,PROGRAMAS[],2,FALSE),0)</f>
        <v>1892779498.5211046</v>
      </c>
      <c r="AB1565" s="246">
        <f>IFERROR(VLOOKUP(N1565,PROGRAMAS[],2,FALSE),0)</f>
        <v>0</v>
      </c>
      <c r="AC1565" s="246">
        <f>IFERROR(VLOOKUP(O1565,PROGRAMAS[],2,FALSE),0)</f>
        <v>0</v>
      </c>
      <c r="AD1565" s="246">
        <f>IFERROR(VLOOKUP(P1565,PROGRAMAS[],2,FALSE),0)</f>
        <v>0</v>
      </c>
      <c r="AE1565" s="246">
        <f>IFERROR(VLOOKUP(Q1565,PROGRAMAS[],2,FALSE),0)</f>
        <v>0</v>
      </c>
      <c r="AF1565" s="246">
        <f>IFERROR(VLOOKUP(D1565,PROGRAMAS[],3,FALSE),0)</f>
        <v>841888629.31080008</v>
      </c>
      <c r="AG1565" s="246">
        <f>IFERROR(VLOOKUP(E1565,PROGRAMAS[],3,FALSE),0)</f>
        <v>3848980803.1642323</v>
      </c>
      <c r="AH1565" s="246">
        <f>IFERROR(VLOOKUP(F1565,PROGRAMAS[],3,FALSE),0)</f>
        <v>3394901471.387517</v>
      </c>
      <c r="AI1565" s="246">
        <f>IFERROR(VLOOKUP(G1565,PROGRAMAS[],3,FALSE),0)</f>
        <v>125317226.95549992</v>
      </c>
      <c r="AJ1565" s="246">
        <f>IFERROR(VLOOKUP(H1565,PROGRAMAS[],3,FALSE),0)</f>
        <v>1233505101.0616004</v>
      </c>
      <c r="AK1565" s="246">
        <f>IFERROR(VLOOKUP(I1565,PROGRAMAS[],3,FALSE),0)</f>
        <v>7011279577.519702</v>
      </c>
      <c r="AL1565" s="246">
        <f>IFERROR(VLOOKUP(J1565,PROGRAMAS[],3,FALSE),0)</f>
        <v>4099471734.9978786</v>
      </c>
      <c r="AM1565" s="246">
        <f>IFERROR(VLOOKUP(K1565,PROGRAMAS[],3,FALSE),0)</f>
        <v>675517840.109828</v>
      </c>
      <c r="AN1565" s="246">
        <f>IFERROR(VLOOKUP(L1565,PROGRAMAS[],3,FALSE),0)</f>
        <v>118617452.52510804</v>
      </c>
      <c r="AO1565" s="246">
        <f>IFERROR(VLOOKUP(M1565,PROGRAMAS[],3,FALSE),0)</f>
        <v>948595847.09039903</v>
      </c>
      <c r="AP1565" s="246">
        <f>IFERROR(VLOOKUP(N1565,PROGRAMAS[],3,FALSE),0)</f>
        <v>0</v>
      </c>
      <c r="AQ1565" s="246">
        <f>IFERROR(VLOOKUP(O1565,PROGRAMAS[],3,FALSE),0)</f>
        <v>0</v>
      </c>
      <c r="AR1565" s="246">
        <f>IFERROR(VLOOKUP(P1565,PROGRAMAS[],3,FALSE),0)</f>
        <v>0</v>
      </c>
      <c r="AS1565" s="246">
        <f>IFERROR(VLOOKUP(Q1565,PROGRAMAS[],3,FALSE),0)</f>
        <v>0</v>
      </c>
      <c r="AT1565" s="246">
        <f>IFERROR(VLOOKUP(D1565,VOL_REC[],2,FALSE),0)</f>
        <v>0</v>
      </c>
      <c r="AU1565" s="246">
        <f>IFERROR(VLOOKUP(E1565,VOL_REC[],2,FALSE),0)</f>
        <v>0</v>
      </c>
      <c r="AV1565" s="246">
        <f>IFERROR(VLOOKUP(F1565,VOL_REC[],2,FALSE),0)</f>
        <v>11089674.200000001</v>
      </c>
      <c r="AW1565" s="246">
        <f>IFERROR(VLOOKUP(G1565,VOL_REC[],2,FALSE),0)</f>
        <v>90439.55</v>
      </c>
      <c r="AX1565" s="246">
        <f>IFERROR(VLOOKUP(H1565,VOL_REC[],2,FALSE),0)</f>
        <v>4325103.1812214684</v>
      </c>
      <c r="AY1565" s="246">
        <f>IFERROR(VLOOKUP(I1565,VOL_REC[],2,FALSE),0)</f>
        <v>3761786</v>
      </c>
      <c r="AZ1565" s="246">
        <f>IFERROR(VLOOKUP(J1565,VOL_REC[],2,FALSE),0)</f>
        <v>1812240</v>
      </c>
      <c r="BA1565" s="246">
        <f>IFERROR(VLOOKUP(K1565,VOL_REC[],2,FALSE),0)</f>
        <v>240696.79238099116</v>
      </c>
      <c r="BB1565" s="246">
        <f>IFERROR(VLOOKUP(L1565,VOL_REC[],2,FALSE),0)</f>
        <v>105072</v>
      </c>
      <c r="BC1565" s="246">
        <f>IFERROR(VLOOKUP(M1565,VOL_REC[],2,FALSE),0)</f>
        <v>740113.98115702497</v>
      </c>
      <c r="BD1565" s="246">
        <f>IFERROR(VLOOKUP(N1565,VOL_REC[],2,FALSE),0)</f>
        <v>0</v>
      </c>
      <c r="BE1565" s="246">
        <f>IFERROR(VLOOKUP(O1565,VOL_REC[],2,FALSE),0)</f>
        <v>0</v>
      </c>
      <c r="BF1565" s="246">
        <f>IFERROR(VLOOKUP(P1565,VOL_REC[],2,FALSE),0)</f>
        <v>0</v>
      </c>
      <c r="BG1565" s="246">
        <f>IFERROR(VLOOKUP(Q1565,VOL_REC[],2,FALSE),0)</f>
        <v>0</v>
      </c>
      <c r="BH1565" s="1710">
        <f t="shared" si="96"/>
        <v>18852137058.120491</v>
      </c>
      <c r="BI1565" s="1710">
        <f t="shared" si="97"/>
        <v>22298075684.12257</v>
      </c>
      <c r="BJ1565" s="1711">
        <f t="shared" si="98"/>
        <v>22165125.704759486</v>
      </c>
      <c r="BK1565" s="1711">
        <f t="shared" si="99"/>
        <v>0.84546026864301238</v>
      </c>
    </row>
    <row r="1566" spans="3:67" x14ac:dyDescent="0.25">
      <c r="C1566" s="246" t="s">
        <v>2916</v>
      </c>
      <c r="D1566" s="246">
        <v>1</v>
      </c>
      <c r="E1566" s="246">
        <v>2</v>
      </c>
      <c r="F1566" s="246">
        <v>3</v>
      </c>
      <c r="G1566" s="246">
        <v>4</v>
      </c>
      <c r="H1566" s="246">
        <v>5</v>
      </c>
      <c r="I1566" s="246">
        <v>9</v>
      </c>
      <c r="J1566" s="246">
        <v>10</v>
      </c>
      <c r="K1566" s="246">
        <v>12</v>
      </c>
      <c r="L1566" s="246">
        <v>16</v>
      </c>
      <c r="M1566" s="246">
        <v>17</v>
      </c>
      <c r="N1566" s="246"/>
      <c r="O1566" s="246"/>
      <c r="P1566" s="246"/>
      <c r="Q1566" s="246"/>
      <c r="R1566" s="246">
        <f>IFERROR(VLOOKUP(D1566,PROGRAMAS[],2,FALSE),0)</f>
        <v>97037803.679377079</v>
      </c>
      <c r="S1566" s="246">
        <f>IFERROR(VLOOKUP(E1566,PROGRAMAS[],2,FALSE),0)</f>
        <v>640501509.6821388</v>
      </c>
      <c r="T1566" s="246">
        <f>IFERROR(VLOOKUP(F1566,PROGRAMAS[],2,FALSE),0)</f>
        <v>3062327798.1525245</v>
      </c>
      <c r="U1566" s="246">
        <f>IFERROR(VLOOKUP(G1566,PROGRAMAS[],2,FALSE),0)</f>
        <v>67697118.033011258</v>
      </c>
      <c r="V1566" s="246">
        <f>IFERROR(VLOOKUP(H1566,PROGRAMAS[],2,FALSE),0)</f>
        <v>1440941976.2528784</v>
      </c>
      <c r="W1566" s="246">
        <f>IFERROR(VLOOKUP(I1566,PROGRAMAS[],2,FALSE),0)</f>
        <v>6128579952.1618185</v>
      </c>
      <c r="X1566" s="246">
        <f>IFERROR(VLOOKUP(J1566,PROGRAMAS[],2,FALSE),0)</f>
        <v>4635315027.8751087</v>
      </c>
      <c r="Y1566" s="246">
        <f>IFERROR(VLOOKUP(K1566,PROGRAMAS[],2,FALSE),0)</f>
        <v>764796700.79905891</v>
      </c>
      <c r="Z1566" s="246">
        <f>IFERROR(VLOOKUP(L1566,PROGRAMAS[],2,FALSE),0)</f>
        <v>7068496961.0436354</v>
      </c>
      <c r="AA1566" s="246">
        <f>IFERROR(VLOOKUP(M1566,PROGRAMAS[],2,FALSE),0)</f>
        <v>1892779498.5211046</v>
      </c>
      <c r="AB1566" s="246">
        <f>IFERROR(VLOOKUP(N1566,PROGRAMAS[],2,FALSE),0)</f>
        <v>0</v>
      </c>
      <c r="AC1566" s="246">
        <f>IFERROR(VLOOKUP(O1566,PROGRAMAS[],2,FALSE),0)</f>
        <v>0</v>
      </c>
      <c r="AD1566" s="246">
        <f>IFERROR(VLOOKUP(P1566,PROGRAMAS[],2,FALSE),0)</f>
        <v>0</v>
      </c>
      <c r="AE1566" s="246">
        <f>IFERROR(VLOOKUP(Q1566,PROGRAMAS[],2,FALSE),0)</f>
        <v>0</v>
      </c>
      <c r="AF1566" s="246">
        <f>IFERROR(VLOOKUP(D1566,PROGRAMAS[],3,FALSE),0)</f>
        <v>841888629.31080008</v>
      </c>
      <c r="AG1566" s="246">
        <f>IFERROR(VLOOKUP(E1566,PROGRAMAS[],3,FALSE),0)</f>
        <v>3848980803.1642323</v>
      </c>
      <c r="AH1566" s="246">
        <f>IFERROR(VLOOKUP(F1566,PROGRAMAS[],3,FALSE),0)</f>
        <v>3394901471.387517</v>
      </c>
      <c r="AI1566" s="246">
        <f>IFERROR(VLOOKUP(G1566,PROGRAMAS[],3,FALSE),0)</f>
        <v>125317226.95549992</v>
      </c>
      <c r="AJ1566" s="246">
        <f>IFERROR(VLOOKUP(H1566,PROGRAMAS[],3,FALSE),0)</f>
        <v>1233505101.0616004</v>
      </c>
      <c r="AK1566" s="246">
        <f>IFERROR(VLOOKUP(I1566,PROGRAMAS[],3,FALSE),0)</f>
        <v>7011279577.519702</v>
      </c>
      <c r="AL1566" s="246">
        <f>IFERROR(VLOOKUP(J1566,PROGRAMAS[],3,FALSE),0)</f>
        <v>4099471734.9978786</v>
      </c>
      <c r="AM1566" s="246">
        <f>IFERROR(VLOOKUP(K1566,PROGRAMAS[],3,FALSE),0)</f>
        <v>675517840.109828</v>
      </c>
      <c r="AN1566" s="246">
        <f>IFERROR(VLOOKUP(L1566,PROGRAMAS[],3,FALSE),0)</f>
        <v>2406564599.0319901</v>
      </c>
      <c r="AO1566" s="246">
        <f>IFERROR(VLOOKUP(M1566,PROGRAMAS[],3,FALSE),0)</f>
        <v>948595847.09039903</v>
      </c>
      <c r="AP1566" s="246">
        <f>IFERROR(VLOOKUP(N1566,PROGRAMAS[],3,FALSE),0)</f>
        <v>0</v>
      </c>
      <c r="AQ1566" s="246">
        <f>IFERROR(VLOOKUP(O1566,PROGRAMAS[],3,FALSE),0)</f>
        <v>0</v>
      </c>
      <c r="AR1566" s="246">
        <f>IFERROR(VLOOKUP(P1566,PROGRAMAS[],3,FALSE),0)</f>
        <v>0</v>
      </c>
      <c r="AS1566" s="246">
        <f>IFERROR(VLOOKUP(Q1566,PROGRAMAS[],3,FALSE),0)</f>
        <v>0</v>
      </c>
      <c r="AT1566" s="246">
        <f>IFERROR(VLOOKUP(D1566,VOL_REC[],2,FALSE),0)</f>
        <v>0</v>
      </c>
      <c r="AU1566" s="246">
        <f>IFERROR(VLOOKUP(E1566,VOL_REC[],2,FALSE),0)</f>
        <v>0</v>
      </c>
      <c r="AV1566" s="246">
        <f>IFERROR(VLOOKUP(F1566,VOL_REC[],2,FALSE),0)</f>
        <v>11089674.200000001</v>
      </c>
      <c r="AW1566" s="246">
        <f>IFERROR(VLOOKUP(G1566,VOL_REC[],2,FALSE),0)</f>
        <v>90439.55</v>
      </c>
      <c r="AX1566" s="246">
        <f>IFERROR(VLOOKUP(H1566,VOL_REC[],2,FALSE),0)</f>
        <v>4325103.1812214684</v>
      </c>
      <c r="AY1566" s="246">
        <f>IFERROR(VLOOKUP(I1566,VOL_REC[],2,FALSE),0)</f>
        <v>3761786</v>
      </c>
      <c r="AZ1566" s="246">
        <f>IFERROR(VLOOKUP(J1566,VOL_REC[],2,FALSE),0)</f>
        <v>1812240</v>
      </c>
      <c r="BA1566" s="246">
        <f>IFERROR(VLOOKUP(K1566,VOL_REC[],2,FALSE),0)</f>
        <v>240696.79238099116</v>
      </c>
      <c r="BB1566" s="246">
        <f>IFERROR(VLOOKUP(L1566,VOL_REC[],2,FALSE),0)</f>
        <v>1072354.9981737854</v>
      </c>
      <c r="BC1566" s="246">
        <f>IFERROR(VLOOKUP(M1566,VOL_REC[],2,FALSE),0)</f>
        <v>740113.98115702497</v>
      </c>
      <c r="BD1566" s="246">
        <f>IFERROR(VLOOKUP(N1566,VOL_REC[],2,FALSE),0)</f>
        <v>0</v>
      </c>
      <c r="BE1566" s="246">
        <f>IFERROR(VLOOKUP(O1566,VOL_REC[],2,FALSE),0)</f>
        <v>0</v>
      </c>
      <c r="BF1566" s="246">
        <f>IFERROR(VLOOKUP(P1566,VOL_REC[],2,FALSE),0)</f>
        <v>0</v>
      </c>
      <c r="BG1566" s="246">
        <f>IFERROR(VLOOKUP(Q1566,VOL_REC[],2,FALSE),0)</f>
        <v>0</v>
      </c>
      <c r="BH1566" s="1710">
        <f t="shared" si="96"/>
        <v>25798474346.200657</v>
      </c>
      <c r="BI1566" s="1710">
        <f t="shared" si="97"/>
        <v>24586022830.629452</v>
      </c>
      <c r="BJ1566" s="1711">
        <f t="shared" si="98"/>
        <v>23132408.70293327</v>
      </c>
      <c r="BK1566" s="1711">
        <f t="shared" si="99"/>
        <v>1.0493146664640987</v>
      </c>
      <c r="BL1566">
        <f>BJ1566</f>
        <v>23132408.70293327</v>
      </c>
      <c r="BO1566">
        <f>BL1566</f>
        <v>23132408.70293327</v>
      </c>
    </row>
    <row r="1567" spans="3:67" x14ac:dyDescent="0.25">
      <c r="C1567" s="246" t="s">
        <v>2917</v>
      </c>
      <c r="D1567" s="246">
        <v>1</v>
      </c>
      <c r="E1567" s="246">
        <v>2</v>
      </c>
      <c r="F1567" s="246">
        <v>3</v>
      </c>
      <c r="G1567" s="246">
        <v>4</v>
      </c>
      <c r="H1567" s="246">
        <v>5</v>
      </c>
      <c r="I1567" s="246">
        <v>9</v>
      </c>
      <c r="J1567" s="246">
        <v>10</v>
      </c>
      <c r="K1567" s="246">
        <v>13</v>
      </c>
      <c r="L1567" s="246">
        <v>14</v>
      </c>
      <c r="M1567" s="246">
        <v>15</v>
      </c>
      <c r="N1567" s="246"/>
      <c r="O1567" s="246"/>
      <c r="P1567" s="246"/>
      <c r="Q1567" s="246"/>
      <c r="R1567" s="246">
        <f>IFERROR(VLOOKUP(D1567,PROGRAMAS[],2,FALSE),0)</f>
        <v>97037803.679377079</v>
      </c>
      <c r="S1567" s="246">
        <f>IFERROR(VLOOKUP(E1567,PROGRAMAS[],2,FALSE),0)</f>
        <v>640501509.6821388</v>
      </c>
      <c r="T1567" s="246">
        <f>IFERROR(VLOOKUP(F1567,PROGRAMAS[],2,FALSE),0)</f>
        <v>3062327798.1525245</v>
      </c>
      <c r="U1567" s="246">
        <f>IFERROR(VLOOKUP(G1567,PROGRAMAS[],2,FALSE),0)</f>
        <v>67697118.033011258</v>
      </c>
      <c r="V1567" s="246">
        <f>IFERROR(VLOOKUP(H1567,PROGRAMAS[],2,FALSE),0)</f>
        <v>1440941976.2528784</v>
      </c>
      <c r="W1567" s="246">
        <f>IFERROR(VLOOKUP(I1567,PROGRAMAS[],2,FALSE),0)</f>
        <v>6128579952.1618185</v>
      </c>
      <c r="X1567" s="246">
        <f>IFERROR(VLOOKUP(J1567,PROGRAMAS[],2,FALSE),0)</f>
        <v>4635315027.8751087</v>
      </c>
      <c r="Y1567" s="246">
        <f>IFERROR(VLOOKUP(K1567,PROGRAMAS[],2,FALSE),0)</f>
        <v>3776538594.4604583</v>
      </c>
      <c r="Z1567" s="246">
        <f>IFERROR(VLOOKUP(L1567,PROGRAMAS[],2,FALSE),0)</f>
        <v>54223862.645839565</v>
      </c>
      <c r="AA1567" s="246">
        <f>IFERROR(VLOOKUP(M1567,PROGRAMAS[],2,FALSE),0)</f>
        <v>122159672.96346797</v>
      </c>
      <c r="AB1567" s="246">
        <f>IFERROR(VLOOKUP(N1567,PROGRAMAS[],2,FALSE),0)</f>
        <v>0</v>
      </c>
      <c r="AC1567" s="246">
        <f>IFERROR(VLOOKUP(O1567,PROGRAMAS[],2,FALSE),0)</f>
        <v>0</v>
      </c>
      <c r="AD1567" s="246">
        <f>IFERROR(VLOOKUP(P1567,PROGRAMAS[],2,FALSE),0)</f>
        <v>0</v>
      </c>
      <c r="AE1567" s="246">
        <f>IFERROR(VLOOKUP(Q1567,PROGRAMAS[],2,FALSE),0)</f>
        <v>0</v>
      </c>
      <c r="AF1567" s="246">
        <f>IFERROR(VLOOKUP(D1567,PROGRAMAS[],3,FALSE),0)</f>
        <v>841888629.31080008</v>
      </c>
      <c r="AG1567" s="246">
        <f>IFERROR(VLOOKUP(E1567,PROGRAMAS[],3,FALSE),0)</f>
        <v>3848980803.1642323</v>
      </c>
      <c r="AH1567" s="246">
        <f>IFERROR(VLOOKUP(F1567,PROGRAMAS[],3,FALSE),0)</f>
        <v>3394901471.387517</v>
      </c>
      <c r="AI1567" s="246">
        <f>IFERROR(VLOOKUP(G1567,PROGRAMAS[],3,FALSE),0)</f>
        <v>125317226.95549992</v>
      </c>
      <c r="AJ1567" s="246">
        <f>IFERROR(VLOOKUP(H1567,PROGRAMAS[],3,FALSE),0)</f>
        <v>1233505101.0616004</v>
      </c>
      <c r="AK1567" s="246">
        <f>IFERROR(VLOOKUP(I1567,PROGRAMAS[],3,FALSE),0)</f>
        <v>7011279577.519702</v>
      </c>
      <c r="AL1567" s="246">
        <f>IFERROR(VLOOKUP(J1567,PROGRAMAS[],3,FALSE),0)</f>
        <v>4099471734.9978786</v>
      </c>
      <c r="AM1567" s="246">
        <f>IFERROR(VLOOKUP(K1567,PROGRAMAS[],3,FALSE),0)</f>
        <v>2392571243.5584412</v>
      </c>
      <c r="AN1567" s="246">
        <f>IFERROR(VLOOKUP(L1567,PROGRAMAS[],3,FALSE),0)</f>
        <v>31865326.38096505</v>
      </c>
      <c r="AO1567" s="246">
        <f>IFERROR(VLOOKUP(M1567,PROGRAMAS[],3,FALSE),0)</f>
        <v>118617452.52510804</v>
      </c>
      <c r="AP1567" s="246">
        <f>IFERROR(VLOOKUP(N1567,PROGRAMAS[],3,FALSE),0)</f>
        <v>0</v>
      </c>
      <c r="AQ1567" s="246">
        <f>IFERROR(VLOOKUP(O1567,PROGRAMAS[],3,FALSE),0)</f>
        <v>0</v>
      </c>
      <c r="AR1567" s="246">
        <f>IFERROR(VLOOKUP(P1567,PROGRAMAS[],3,FALSE),0)</f>
        <v>0</v>
      </c>
      <c r="AS1567" s="246">
        <f>IFERROR(VLOOKUP(Q1567,PROGRAMAS[],3,FALSE),0)</f>
        <v>0</v>
      </c>
      <c r="AT1567" s="246">
        <f>IFERROR(VLOOKUP(D1567,VOL_REC[],2,FALSE),0)</f>
        <v>0</v>
      </c>
      <c r="AU1567" s="246">
        <f>IFERROR(VLOOKUP(E1567,VOL_REC[],2,FALSE),0)</f>
        <v>0</v>
      </c>
      <c r="AV1567" s="246">
        <f>IFERROR(VLOOKUP(F1567,VOL_REC[],2,FALSE),0)</f>
        <v>11089674.200000001</v>
      </c>
      <c r="AW1567" s="246">
        <f>IFERROR(VLOOKUP(G1567,VOL_REC[],2,FALSE),0)</f>
        <v>90439.55</v>
      </c>
      <c r="AX1567" s="246">
        <f>IFERROR(VLOOKUP(H1567,VOL_REC[],2,FALSE),0)</f>
        <v>4325103.1812214684</v>
      </c>
      <c r="AY1567" s="246">
        <f>IFERROR(VLOOKUP(I1567,VOL_REC[],2,FALSE),0)</f>
        <v>3761786</v>
      </c>
      <c r="AZ1567" s="246">
        <f>IFERROR(VLOOKUP(J1567,VOL_REC[],2,FALSE),0)</f>
        <v>1812240</v>
      </c>
      <c r="BA1567" s="246">
        <f>IFERROR(VLOOKUP(K1567,VOL_REC[],2,FALSE),0)</f>
        <v>663244.80000000016</v>
      </c>
      <c r="BB1567" s="246">
        <f>IFERROR(VLOOKUP(L1567,VOL_REC[],2,FALSE),0)</f>
        <v>17074.045034105649</v>
      </c>
      <c r="BC1567" s="246">
        <f>IFERROR(VLOOKUP(M1567,VOL_REC[],2,FALSE),0)</f>
        <v>105072</v>
      </c>
      <c r="BD1567" s="246">
        <f>IFERROR(VLOOKUP(N1567,VOL_REC[],2,FALSE),0)</f>
        <v>0</v>
      </c>
      <c r="BE1567" s="246">
        <f>IFERROR(VLOOKUP(O1567,VOL_REC[],2,FALSE),0)</f>
        <v>0</v>
      </c>
      <c r="BF1567" s="246">
        <f>IFERROR(VLOOKUP(P1567,VOL_REC[],2,FALSE),0)</f>
        <v>0</v>
      </c>
      <c r="BG1567" s="246">
        <f>IFERROR(VLOOKUP(Q1567,VOL_REC[],2,FALSE),0)</f>
        <v>0</v>
      </c>
      <c r="BH1567" s="1710">
        <f t="shared" si="96"/>
        <v>20025323315.906624</v>
      </c>
      <c r="BI1567" s="1710">
        <f t="shared" si="97"/>
        <v>23098398566.861748</v>
      </c>
      <c r="BJ1567" s="1711">
        <f t="shared" si="98"/>
        <v>21864633.776255578</v>
      </c>
      <c r="BK1567" s="1711">
        <f t="shared" si="99"/>
        <v>0.8669572160139305</v>
      </c>
    </row>
    <row r="1568" spans="3:67" x14ac:dyDescent="0.25">
      <c r="C1568" s="246" t="s">
        <v>2918</v>
      </c>
      <c r="D1568" s="246">
        <v>1</v>
      </c>
      <c r="E1568" s="246">
        <v>2</v>
      </c>
      <c r="F1568" s="246">
        <v>3</v>
      </c>
      <c r="G1568" s="246">
        <v>4</v>
      </c>
      <c r="H1568" s="246">
        <v>5</v>
      </c>
      <c r="I1568" s="246">
        <v>9</v>
      </c>
      <c r="J1568" s="246">
        <v>10</v>
      </c>
      <c r="K1568" s="246">
        <v>13</v>
      </c>
      <c r="L1568" s="246">
        <v>14</v>
      </c>
      <c r="M1568" s="246">
        <v>16</v>
      </c>
      <c r="N1568" s="246"/>
      <c r="O1568" s="246"/>
      <c r="P1568" s="246"/>
      <c r="Q1568" s="246"/>
      <c r="R1568" s="246">
        <f>IFERROR(VLOOKUP(D1568,PROGRAMAS[],2,FALSE),0)</f>
        <v>97037803.679377079</v>
      </c>
      <c r="S1568" s="246">
        <f>IFERROR(VLOOKUP(E1568,PROGRAMAS[],2,FALSE),0)</f>
        <v>640501509.6821388</v>
      </c>
      <c r="T1568" s="246">
        <f>IFERROR(VLOOKUP(F1568,PROGRAMAS[],2,FALSE),0)</f>
        <v>3062327798.1525245</v>
      </c>
      <c r="U1568" s="246">
        <f>IFERROR(VLOOKUP(G1568,PROGRAMAS[],2,FALSE),0)</f>
        <v>67697118.033011258</v>
      </c>
      <c r="V1568" s="246">
        <f>IFERROR(VLOOKUP(H1568,PROGRAMAS[],2,FALSE),0)</f>
        <v>1440941976.2528784</v>
      </c>
      <c r="W1568" s="246">
        <f>IFERROR(VLOOKUP(I1568,PROGRAMAS[],2,FALSE),0)</f>
        <v>6128579952.1618185</v>
      </c>
      <c r="X1568" s="246">
        <f>IFERROR(VLOOKUP(J1568,PROGRAMAS[],2,FALSE),0)</f>
        <v>4635315027.8751087</v>
      </c>
      <c r="Y1568" s="246">
        <f>IFERROR(VLOOKUP(K1568,PROGRAMAS[],2,FALSE),0)</f>
        <v>3776538594.4604583</v>
      </c>
      <c r="Z1568" s="246">
        <f>IFERROR(VLOOKUP(L1568,PROGRAMAS[],2,FALSE),0)</f>
        <v>54223862.645839565</v>
      </c>
      <c r="AA1568" s="246">
        <f>IFERROR(VLOOKUP(M1568,PROGRAMAS[],2,FALSE),0)</f>
        <v>7068496961.0436354</v>
      </c>
      <c r="AB1568" s="246">
        <f>IFERROR(VLOOKUP(N1568,PROGRAMAS[],2,FALSE),0)</f>
        <v>0</v>
      </c>
      <c r="AC1568" s="246">
        <f>IFERROR(VLOOKUP(O1568,PROGRAMAS[],2,FALSE),0)</f>
        <v>0</v>
      </c>
      <c r="AD1568" s="246">
        <f>IFERROR(VLOOKUP(P1568,PROGRAMAS[],2,FALSE),0)</f>
        <v>0</v>
      </c>
      <c r="AE1568" s="246">
        <f>IFERROR(VLOOKUP(Q1568,PROGRAMAS[],2,FALSE),0)</f>
        <v>0</v>
      </c>
      <c r="AF1568" s="246">
        <f>IFERROR(VLOOKUP(D1568,PROGRAMAS[],3,FALSE),0)</f>
        <v>841888629.31080008</v>
      </c>
      <c r="AG1568" s="246">
        <f>IFERROR(VLOOKUP(E1568,PROGRAMAS[],3,FALSE),0)</f>
        <v>3848980803.1642323</v>
      </c>
      <c r="AH1568" s="246">
        <f>IFERROR(VLOOKUP(F1568,PROGRAMAS[],3,FALSE),0)</f>
        <v>3394901471.387517</v>
      </c>
      <c r="AI1568" s="246">
        <f>IFERROR(VLOOKUP(G1568,PROGRAMAS[],3,FALSE),0)</f>
        <v>125317226.95549992</v>
      </c>
      <c r="AJ1568" s="246">
        <f>IFERROR(VLOOKUP(H1568,PROGRAMAS[],3,FALSE),0)</f>
        <v>1233505101.0616004</v>
      </c>
      <c r="AK1568" s="246">
        <f>IFERROR(VLOOKUP(I1568,PROGRAMAS[],3,FALSE),0)</f>
        <v>7011279577.519702</v>
      </c>
      <c r="AL1568" s="246">
        <f>IFERROR(VLOOKUP(J1568,PROGRAMAS[],3,FALSE),0)</f>
        <v>4099471734.9978786</v>
      </c>
      <c r="AM1568" s="246">
        <f>IFERROR(VLOOKUP(K1568,PROGRAMAS[],3,FALSE),0)</f>
        <v>2392571243.5584412</v>
      </c>
      <c r="AN1568" s="246">
        <f>IFERROR(VLOOKUP(L1568,PROGRAMAS[],3,FALSE),0)</f>
        <v>31865326.38096505</v>
      </c>
      <c r="AO1568" s="246">
        <f>IFERROR(VLOOKUP(M1568,PROGRAMAS[],3,FALSE),0)</f>
        <v>2406564599.0319901</v>
      </c>
      <c r="AP1568" s="246">
        <f>IFERROR(VLOOKUP(N1568,PROGRAMAS[],3,FALSE),0)</f>
        <v>0</v>
      </c>
      <c r="AQ1568" s="246">
        <f>IFERROR(VLOOKUP(O1568,PROGRAMAS[],3,FALSE),0)</f>
        <v>0</v>
      </c>
      <c r="AR1568" s="246">
        <f>IFERROR(VLOOKUP(P1568,PROGRAMAS[],3,FALSE),0)</f>
        <v>0</v>
      </c>
      <c r="AS1568" s="246">
        <f>IFERROR(VLOOKUP(Q1568,PROGRAMAS[],3,FALSE),0)</f>
        <v>0</v>
      </c>
      <c r="AT1568" s="246">
        <f>IFERROR(VLOOKUP(D1568,VOL_REC[],2,FALSE),0)</f>
        <v>0</v>
      </c>
      <c r="AU1568" s="246">
        <f>IFERROR(VLOOKUP(E1568,VOL_REC[],2,FALSE),0)</f>
        <v>0</v>
      </c>
      <c r="AV1568" s="246">
        <f>IFERROR(VLOOKUP(F1568,VOL_REC[],2,FALSE),0)</f>
        <v>11089674.200000001</v>
      </c>
      <c r="AW1568" s="246">
        <f>IFERROR(VLOOKUP(G1568,VOL_REC[],2,FALSE),0)</f>
        <v>90439.55</v>
      </c>
      <c r="AX1568" s="246">
        <f>IFERROR(VLOOKUP(H1568,VOL_REC[],2,FALSE),0)</f>
        <v>4325103.1812214684</v>
      </c>
      <c r="AY1568" s="246">
        <f>IFERROR(VLOOKUP(I1568,VOL_REC[],2,FALSE),0)</f>
        <v>3761786</v>
      </c>
      <c r="AZ1568" s="246">
        <f>IFERROR(VLOOKUP(J1568,VOL_REC[],2,FALSE),0)</f>
        <v>1812240</v>
      </c>
      <c r="BA1568" s="246">
        <f>IFERROR(VLOOKUP(K1568,VOL_REC[],2,FALSE),0)</f>
        <v>663244.80000000016</v>
      </c>
      <c r="BB1568" s="246">
        <f>IFERROR(VLOOKUP(L1568,VOL_REC[],2,FALSE),0)</f>
        <v>17074.045034105649</v>
      </c>
      <c r="BC1568" s="246">
        <f>IFERROR(VLOOKUP(M1568,VOL_REC[],2,FALSE),0)</f>
        <v>1072354.9981737854</v>
      </c>
      <c r="BD1568" s="246">
        <f>IFERROR(VLOOKUP(N1568,VOL_REC[],2,FALSE),0)</f>
        <v>0</v>
      </c>
      <c r="BE1568" s="246">
        <f>IFERROR(VLOOKUP(O1568,VOL_REC[],2,FALSE),0)</f>
        <v>0</v>
      </c>
      <c r="BF1568" s="246">
        <f>IFERROR(VLOOKUP(P1568,VOL_REC[],2,FALSE),0)</f>
        <v>0</v>
      </c>
      <c r="BG1568" s="246">
        <f>IFERROR(VLOOKUP(Q1568,VOL_REC[],2,FALSE),0)</f>
        <v>0</v>
      </c>
      <c r="BH1568" s="1710">
        <f t="shared" si="96"/>
        <v>26971660603.986794</v>
      </c>
      <c r="BI1568" s="1710">
        <f t="shared" si="97"/>
        <v>25386345713.368629</v>
      </c>
      <c r="BJ1568" s="1711">
        <f t="shared" si="98"/>
        <v>22831916.774429362</v>
      </c>
      <c r="BK1568" s="1711">
        <f t="shared" si="99"/>
        <v>1.0624475420179647</v>
      </c>
      <c r="BL1568">
        <f>BJ1568</f>
        <v>22831916.774429362</v>
      </c>
      <c r="BO1568">
        <f>BL1568</f>
        <v>22831916.774429362</v>
      </c>
    </row>
    <row r="1569" spans="3:67" x14ac:dyDescent="0.25">
      <c r="C1569" s="246" t="s">
        <v>2919</v>
      </c>
      <c r="D1569" s="246">
        <v>1</v>
      </c>
      <c r="E1569" s="246">
        <v>2</v>
      </c>
      <c r="F1569" s="246">
        <v>3</v>
      </c>
      <c r="G1569" s="246">
        <v>4</v>
      </c>
      <c r="H1569" s="246">
        <v>5</v>
      </c>
      <c r="I1569" s="246">
        <v>9</v>
      </c>
      <c r="J1569" s="246">
        <v>10</v>
      </c>
      <c r="K1569" s="246">
        <v>13</v>
      </c>
      <c r="L1569" s="246">
        <v>14</v>
      </c>
      <c r="M1569" s="246">
        <v>17</v>
      </c>
      <c r="N1569" s="246"/>
      <c r="O1569" s="246"/>
      <c r="P1569" s="246"/>
      <c r="Q1569" s="246"/>
      <c r="R1569" s="246">
        <f>IFERROR(VLOOKUP(D1569,PROGRAMAS[],2,FALSE),0)</f>
        <v>97037803.679377079</v>
      </c>
      <c r="S1569" s="246">
        <f>IFERROR(VLOOKUP(E1569,PROGRAMAS[],2,FALSE),0)</f>
        <v>640501509.6821388</v>
      </c>
      <c r="T1569" s="246">
        <f>IFERROR(VLOOKUP(F1569,PROGRAMAS[],2,FALSE),0)</f>
        <v>3062327798.1525245</v>
      </c>
      <c r="U1569" s="246">
        <f>IFERROR(VLOOKUP(G1569,PROGRAMAS[],2,FALSE),0)</f>
        <v>67697118.033011258</v>
      </c>
      <c r="V1569" s="246">
        <f>IFERROR(VLOOKUP(H1569,PROGRAMAS[],2,FALSE),0)</f>
        <v>1440941976.2528784</v>
      </c>
      <c r="W1569" s="246">
        <f>IFERROR(VLOOKUP(I1569,PROGRAMAS[],2,FALSE),0)</f>
        <v>6128579952.1618185</v>
      </c>
      <c r="X1569" s="246">
        <f>IFERROR(VLOOKUP(J1569,PROGRAMAS[],2,FALSE),0)</f>
        <v>4635315027.8751087</v>
      </c>
      <c r="Y1569" s="246">
        <f>IFERROR(VLOOKUP(K1569,PROGRAMAS[],2,FALSE),0)</f>
        <v>3776538594.4604583</v>
      </c>
      <c r="Z1569" s="246">
        <f>IFERROR(VLOOKUP(L1569,PROGRAMAS[],2,FALSE),0)</f>
        <v>54223862.645839565</v>
      </c>
      <c r="AA1569" s="246">
        <f>IFERROR(VLOOKUP(M1569,PROGRAMAS[],2,FALSE),0)</f>
        <v>1892779498.5211046</v>
      </c>
      <c r="AB1569" s="246">
        <f>IFERROR(VLOOKUP(N1569,PROGRAMAS[],2,FALSE),0)</f>
        <v>0</v>
      </c>
      <c r="AC1569" s="246">
        <f>IFERROR(VLOOKUP(O1569,PROGRAMAS[],2,FALSE),0)</f>
        <v>0</v>
      </c>
      <c r="AD1569" s="246">
        <f>IFERROR(VLOOKUP(P1569,PROGRAMAS[],2,FALSE),0)</f>
        <v>0</v>
      </c>
      <c r="AE1569" s="246">
        <f>IFERROR(VLOOKUP(Q1569,PROGRAMAS[],2,FALSE),0)</f>
        <v>0</v>
      </c>
      <c r="AF1569" s="246">
        <f>IFERROR(VLOOKUP(D1569,PROGRAMAS[],3,FALSE),0)</f>
        <v>841888629.31080008</v>
      </c>
      <c r="AG1569" s="246">
        <f>IFERROR(VLOOKUP(E1569,PROGRAMAS[],3,FALSE),0)</f>
        <v>3848980803.1642323</v>
      </c>
      <c r="AH1569" s="246">
        <f>IFERROR(VLOOKUP(F1569,PROGRAMAS[],3,FALSE),0)</f>
        <v>3394901471.387517</v>
      </c>
      <c r="AI1569" s="246">
        <f>IFERROR(VLOOKUP(G1569,PROGRAMAS[],3,FALSE),0)</f>
        <v>125317226.95549992</v>
      </c>
      <c r="AJ1569" s="246">
        <f>IFERROR(VLOOKUP(H1569,PROGRAMAS[],3,FALSE),0)</f>
        <v>1233505101.0616004</v>
      </c>
      <c r="AK1569" s="246">
        <f>IFERROR(VLOOKUP(I1569,PROGRAMAS[],3,FALSE),0)</f>
        <v>7011279577.519702</v>
      </c>
      <c r="AL1569" s="246">
        <f>IFERROR(VLOOKUP(J1569,PROGRAMAS[],3,FALSE),0)</f>
        <v>4099471734.9978786</v>
      </c>
      <c r="AM1569" s="246">
        <f>IFERROR(VLOOKUP(K1569,PROGRAMAS[],3,FALSE),0)</f>
        <v>2392571243.5584412</v>
      </c>
      <c r="AN1569" s="246">
        <f>IFERROR(VLOOKUP(L1569,PROGRAMAS[],3,FALSE),0)</f>
        <v>31865326.38096505</v>
      </c>
      <c r="AO1569" s="246">
        <f>IFERROR(VLOOKUP(M1569,PROGRAMAS[],3,FALSE),0)</f>
        <v>948595847.09039903</v>
      </c>
      <c r="AP1569" s="246">
        <f>IFERROR(VLOOKUP(N1569,PROGRAMAS[],3,FALSE),0)</f>
        <v>0</v>
      </c>
      <c r="AQ1569" s="246">
        <f>IFERROR(VLOOKUP(O1569,PROGRAMAS[],3,FALSE),0)</f>
        <v>0</v>
      </c>
      <c r="AR1569" s="246">
        <f>IFERROR(VLOOKUP(P1569,PROGRAMAS[],3,FALSE),0)</f>
        <v>0</v>
      </c>
      <c r="AS1569" s="246">
        <f>IFERROR(VLOOKUP(Q1569,PROGRAMAS[],3,FALSE),0)</f>
        <v>0</v>
      </c>
      <c r="AT1569" s="246">
        <f>IFERROR(VLOOKUP(D1569,VOL_REC[],2,FALSE),0)</f>
        <v>0</v>
      </c>
      <c r="AU1569" s="246">
        <f>IFERROR(VLOOKUP(E1569,VOL_REC[],2,FALSE),0)</f>
        <v>0</v>
      </c>
      <c r="AV1569" s="246">
        <f>IFERROR(VLOOKUP(F1569,VOL_REC[],2,FALSE),0)</f>
        <v>11089674.200000001</v>
      </c>
      <c r="AW1569" s="246">
        <f>IFERROR(VLOOKUP(G1569,VOL_REC[],2,FALSE),0)</f>
        <v>90439.55</v>
      </c>
      <c r="AX1569" s="246">
        <f>IFERROR(VLOOKUP(H1569,VOL_REC[],2,FALSE),0)</f>
        <v>4325103.1812214684</v>
      </c>
      <c r="AY1569" s="246">
        <f>IFERROR(VLOOKUP(I1569,VOL_REC[],2,FALSE),0)</f>
        <v>3761786</v>
      </c>
      <c r="AZ1569" s="246">
        <f>IFERROR(VLOOKUP(J1569,VOL_REC[],2,FALSE),0)</f>
        <v>1812240</v>
      </c>
      <c r="BA1569" s="246">
        <f>IFERROR(VLOOKUP(K1569,VOL_REC[],2,FALSE),0)</f>
        <v>663244.80000000016</v>
      </c>
      <c r="BB1569" s="246">
        <f>IFERROR(VLOOKUP(L1569,VOL_REC[],2,FALSE),0)</f>
        <v>17074.045034105649</v>
      </c>
      <c r="BC1569" s="246">
        <f>IFERROR(VLOOKUP(M1569,VOL_REC[],2,FALSE),0)</f>
        <v>740113.98115702497</v>
      </c>
      <c r="BD1569" s="246">
        <f>IFERROR(VLOOKUP(N1569,VOL_REC[],2,FALSE),0)</f>
        <v>0</v>
      </c>
      <c r="BE1569" s="246">
        <f>IFERROR(VLOOKUP(O1569,VOL_REC[],2,FALSE),0)</f>
        <v>0</v>
      </c>
      <c r="BF1569" s="246">
        <f>IFERROR(VLOOKUP(P1569,VOL_REC[],2,FALSE),0)</f>
        <v>0</v>
      </c>
      <c r="BG1569" s="246">
        <f>IFERROR(VLOOKUP(Q1569,VOL_REC[],2,FALSE),0)</f>
        <v>0</v>
      </c>
      <c r="BH1569" s="1710">
        <f t="shared" si="96"/>
        <v>21795943141.46426</v>
      </c>
      <c r="BI1569" s="1710">
        <f t="shared" si="97"/>
        <v>23928376961.42704</v>
      </c>
      <c r="BJ1569" s="1711">
        <f t="shared" si="98"/>
        <v>22499675.757412601</v>
      </c>
      <c r="BK1569" s="1711">
        <f t="shared" si="99"/>
        <v>0.91088263849235152</v>
      </c>
    </row>
    <row r="1570" spans="3:67" x14ac:dyDescent="0.25">
      <c r="C1570" s="246" t="s">
        <v>2920</v>
      </c>
      <c r="D1570" s="246">
        <v>1</v>
      </c>
      <c r="E1570" s="246">
        <v>2</v>
      </c>
      <c r="F1570" s="246">
        <v>3</v>
      </c>
      <c r="G1570" s="246">
        <v>4</v>
      </c>
      <c r="H1570" s="246">
        <v>5</v>
      </c>
      <c r="I1570" s="246">
        <v>9</v>
      </c>
      <c r="J1570" s="246">
        <v>10</v>
      </c>
      <c r="K1570" s="246">
        <v>13</v>
      </c>
      <c r="L1570" s="246">
        <v>15</v>
      </c>
      <c r="M1570" s="246">
        <v>16</v>
      </c>
      <c r="N1570" s="246"/>
      <c r="O1570" s="246"/>
      <c r="P1570" s="246"/>
      <c r="Q1570" s="246"/>
      <c r="R1570" s="246">
        <f>IFERROR(VLOOKUP(D1570,PROGRAMAS[],2,FALSE),0)</f>
        <v>97037803.679377079</v>
      </c>
      <c r="S1570" s="246">
        <f>IFERROR(VLOOKUP(E1570,PROGRAMAS[],2,FALSE),0)</f>
        <v>640501509.6821388</v>
      </c>
      <c r="T1570" s="246">
        <f>IFERROR(VLOOKUP(F1570,PROGRAMAS[],2,FALSE),0)</f>
        <v>3062327798.1525245</v>
      </c>
      <c r="U1570" s="246">
        <f>IFERROR(VLOOKUP(G1570,PROGRAMAS[],2,FALSE),0)</f>
        <v>67697118.033011258</v>
      </c>
      <c r="V1570" s="246">
        <f>IFERROR(VLOOKUP(H1570,PROGRAMAS[],2,FALSE),0)</f>
        <v>1440941976.2528784</v>
      </c>
      <c r="W1570" s="246">
        <f>IFERROR(VLOOKUP(I1570,PROGRAMAS[],2,FALSE),0)</f>
        <v>6128579952.1618185</v>
      </c>
      <c r="X1570" s="246">
        <f>IFERROR(VLOOKUP(J1570,PROGRAMAS[],2,FALSE),0)</f>
        <v>4635315027.8751087</v>
      </c>
      <c r="Y1570" s="246">
        <f>IFERROR(VLOOKUP(K1570,PROGRAMAS[],2,FALSE),0)</f>
        <v>3776538594.4604583</v>
      </c>
      <c r="Z1570" s="246">
        <f>IFERROR(VLOOKUP(L1570,PROGRAMAS[],2,FALSE),0)</f>
        <v>122159672.96346797</v>
      </c>
      <c r="AA1570" s="246">
        <f>IFERROR(VLOOKUP(M1570,PROGRAMAS[],2,FALSE),0)</f>
        <v>7068496961.0436354</v>
      </c>
      <c r="AB1570" s="246">
        <f>IFERROR(VLOOKUP(N1570,PROGRAMAS[],2,FALSE),0)</f>
        <v>0</v>
      </c>
      <c r="AC1570" s="246">
        <f>IFERROR(VLOOKUP(O1570,PROGRAMAS[],2,FALSE),0)</f>
        <v>0</v>
      </c>
      <c r="AD1570" s="246">
        <f>IFERROR(VLOOKUP(P1570,PROGRAMAS[],2,FALSE),0)</f>
        <v>0</v>
      </c>
      <c r="AE1570" s="246">
        <f>IFERROR(VLOOKUP(Q1570,PROGRAMAS[],2,FALSE),0)</f>
        <v>0</v>
      </c>
      <c r="AF1570" s="246">
        <f>IFERROR(VLOOKUP(D1570,PROGRAMAS[],3,FALSE),0)</f>
        <v>841888629.31080008</v>
      </c>
      <c r="AG1570" s="246">
        <f>IFERROR(VLOOKUP(E1570,PROGRAMAS[],3,FALSE),0)</f>
        <v>3848980803.1642323</v>
      </c>
      <c r="AH1570" s="246">
        <f>IFERROR(VLOOKUP(F1570,PROGRAMAS[],3,FALSE),0)</f>
        <v>3394901471.387517</v>
      </c>
      <c r="AI1570" s="246">
        <f>IFERROR(VLOOKUP(G1570,PROGRAMAS[],3,FALSE),0)</f>
        <v>125317226.95549992</v>
      </c>
      <c r="AJ1570" s="246">
        <f>IFERROR(VLOOKUP(H1570,PROGRAMAS[],3,FALSE),0)</f>
        <v>1233505101.0616004</v>
      </c>
      <c r="AK1570" s="246">
        <f>IFERROR(VLOOKUP(I1570,PROGRAMAS[],3,FALSE),0)</f>
        <v>7011279577.519702</v>
      </c>
      <c r="AL1570" s="246">
        <f>IFERROR(VLOOKUP(J1570,PROGRAMAS[],3,FALSE),0)</f>
        <v>4099471734.9978786</v>
      </c>
      <c r="AM1570" s="246">
        <f>IFERROR(VLOOKUP(K1570,PROGRAMAS[],3,FALSE),0)</f>
        <v>2392571243.5584412</v>
      </c>
      <c r="AN1570" s="246">
        <f>IFERROR(VLOOKUP(L1570,PROGRAMAS[],3,FALSE),0)</f>
        <v>118617452.52510804</v>
      </c>
      <c r="AO1570" s="246">
        <f>IFERROR(VLOOKUP(M1570,PROGRAMAS[],3,FALSE),0)</f>
        <v>2406564599.0319901</v>
      </c>
      <c r="AP1570" s="246">
        <f>IFERROR(VLOOKUP(N1570,PROGRAMAS[],3,FALSE),0)</f>
        <v>0</v>
      </c>
      <c r="AQ1570" s="246">
        <f>IFERROR(VLOOKUP(O1570,PROGRAMAS[],3,FALSE),0)</f>
        <v>0</v>
      </c>
      <c r="AR1570" s="246">
        <f>IFERROR(VLOOKUP(P1570,PROGRAMAS[],3,FALSE),0)</f>
        <v>0</v>
      </c>
      <c r="AS1570" s="246">
        <f>IFERROR(VLOOKUP(Q1570,PROGRAMAS[],3,FALSE),0)</f>
        <v>0</v>
      </c>
      <c r="AT1570" s="246">
        <f>IFERROR(VLOOKUP(D1570,VOL_REC[],2,FALSE),0)</f>
        <v>0</v>
      </c>
      <c r="AU1570" s="246">
        <f>IFERROR(VLOOKUP(E1570,VOL_REC[],2,FALSE),0)</f>
        <v>0</v>
      </c>
      <c r="AV1570" s="246">
        <f>IFERROR(VLOOKUP(F1570,VOL_REC[],2,FALSE),0)</f>
        <v>11089674.200000001</v>
      </c>
      <c r="AW1570" s="246">
        <f>IFERROR(VLOOKUP(G1570,VOL_REC[],2,FALSE),0)</f>
        <v>90439.55</v>
      </c>
      <c r="AX1570" s="246">
        <f>IFERROR(VLOOKUP(H1570,VOL_REC[],2,FALSE),0)</f>
        <v>4325103.1812214684</v>
      </c>
      <c r="AY1570" s="246">
        <f>IFERROR(VLOOKUP(I1570,VOL_REC[],2,FALSE),0)</f>
        <v>3761786</v>
      </c>
      <c r="AZ1570" s="246">
        <f>IFERROR(VLOOKUP(J1570,VOL_REC[],2,FALSE),0)</f>
        <v>1812240</v>
      </c>
      <c r="BA1570" s="246">
        <f>IFERROR(VLOOKUP(K1570,VOL_REC[],2,FALSE),0)</f>
        <v>663244.80000000016</v>
      </c>
      <c r="BB1570" s="246">
        <f>IFERROR(VLOOKUP(L1570,VOL_REC[],2,FALSE),0)</f>
        <v>105072</v>
      </c>
      <c r="BC1570" s="246">
        <f>IFERROR(VLOOKUP(M1570,VOL_REC[],2,FALSE),0)</f>
        <v>1072354.9981737854</v>
      </c>
      <c r="BD1570" s="246">
        <f>IFERROR(VLOOKUP(N1570,VOL_REC[],2,FALSE),0)</f>
        <v>0</v>
      </c>
      <c r="BE1570" s="246">
        <f>IFERROR(VLOOKUP(O1570,VOL_REC[],2,FALSE),0)</f>
        <v>0</v>
      </c>
      <c r="BF1570" s="246">
        <f>IFERROR(VLOOKUP(P1570,VOL_REC[],2,FALSE),0)</f>
        <v>0</v>
      </c>
      <c r="BG1570" s="246">
        <f>IFERROR(VLOOKUP(Q1570,VOL_REC[],2,FALSE),0)</f>
        <v>0</v>
      </c>
      <c r="BH1570" s="1710">
        <f t="shared" si="96"/>
        <v>27039596414.30442</v>
      </c>
      <c r="BI1570" s="1710">
        <f t="shared" si="97"/>
        <v>25473097839.512772</v>
      </c>
      <c r="BJ1570" s="1711">
        <f t="shared" si="98"/>
        <v>22919914.729395255</v>
      </c>
      <c r="BK1570" s="1711">
        <f t="shared" si="99"/>
        <v>1.0614961943247343</v>
      </c>
      <c r="BL1570">
        <f>BJ1570</f>
        <v>22919914.729395255</v>
      </c>
      <c r="BO1570">
        <f>BL1570</f>
        <v>22919914.729395255</v>
      </c>
    </row>
    <row r="1571" spans="3:67" x14ac:dyDescent="0.25">
      <c r="C1571" s="246" t="s">
        <v>2921</v>
      </c>
      <c r="D1571" s="246">
        <v>1</v>
      </c>
      <c r="E1571" s="246">
        <v>2</v>
      </c>
      <c r="F1571" s="246">
        <v>3</v>
      </c>
      <c r="G1571" s="246">
        <v>4</v>
      </c>
      <c r="H1571" s="246">
        <v>5</v>
      </c>
      <c r="I1571" s="246">
        <v>9</v>
      </c>
      <c r="J1571" s="246">
        <v>10</v>
      </c>
      <c r="K1571" s="246">
        <v>13</v>
      </c>
      <c r="L1571" s="246">
        <v>15</v>
      </c>
      <c r="M1571" s="246">
        <v>17</v>
      </c>
      <c r="N1571" s="246"/>
      <c r="O1571" s="246"/>
      <c r="P1571" s="246"/>
      <c r="Q1571" s="246"/>
      <c r="R1571" s="246">
        <f>IFERROR(VLOOKUP(D1571,PROGRAMAS[],2,FALSE),0)</f>
        <v>97037803.679377079</v>
      </c>
      <c r="S1571" s="246">
        <f>IFERROR(VLOOKUP(E1571,PROGRAMAS[],2,FALSE),0)</f>
        <v>640501509.6821388</v>
      </c>
      <c r="T1571" s="246">
        <f>IFERROR(VLOOKUP(F1571,PROGRAMAS[],2,FALSE),0)</f>
        <v>3062327798.1525245</v>
      </c>
      <c r="U1571" s="246">
        <f>IFERROR(VLOOKUP(G1571,PROGRAMAS[],2,FALSE),0)</f>
        <v>67697118.033011258</v>
      </c>
      <c r="V1571" s="246">
        <f>IFERROR(VLOOKUP(H1571,PROGRAMAS[],2,FALSE),0)</f>
        <v>1440941976.2528784</v>
      </c>
      <c r="W1571" s="246">
        <f>IFERROR(VLOOKUP(I1571,PROGRAMAS[],2,FALSE),0)</f>
        <v>6128579952.1618185</v>
      </c>
      <c r="X1571" s="246">
        <f>IFERROR(VLOOKUP(J1571,PROGRAMAS[],2,FALSE),0)</f>
        <v>4635315027.8751087</v>
      </c>
      <c r="Y1571" s="246">
        <f>IFERROR(VLOOKUP(K1571,PROGRAMAS[],2,FALSE),0)</f>
        <v>3776538594.4604583</v>
      </c>
      <c r="Z1571" s="246">
        <f>IFERROR(VLOOKUP(L1571,PROGRAMAS[],2,FALSE),0)</f>
        <v>122159672.96346797</v>
      </c>
      <c r="AA1571" s="246">
        <f>IFERROR(VLOOKUP(M1571,PROGRAMAS[],2,FALSE),0)</f>
        <v>1892779498.5211046</v>
      </c>
      <c r="AB1571" s="246">
        <f>IFERROR(VLOOKUP(N1571,PROGRAMAS[],2,FALSE),0)</f>
        <v>0</v>
      </c>
      <c r="AC1571" s="246">
        <f>IFERROR(VLOOKUP(O1571,PROGRAMAS[],2,FALSE),0)</f>
        <v>0</v>
      </c>
      <c r="AD1571" s="246">
        <f>IFERROR(VLOOKUP(P1571,PROGRAMAS[],2,FALSE),0)</f>
        <v>0</v>
      </c>
      <c r="AE1571" s="246">
        <f>IFERROR(VLOOKUP(Q1571,PROGRAMAS[],2,FALSE),0)</f>
        <v>0</v>
      </c>
      <c r="AF1571" s="246">
        <f>IFERROR(VLOOKUP(D1571,PROGRAMAS[],3,FALSE),0)</f>
        <v>841888629.31080008</v>
      </c>
      <c r="AG1571" s="246">
        <f>IFERROR(VLOOKUP(E1571,PROGRAMAS[],3,FALSE),0)</f>
        <v>3848980803.1642323</v>
      </c>
      <c r="AH1571" s="246">
        <f>IFERROR(VLOOKUP(F1571,PROGRAMAS[],3,FALSE),0)</f>
        <v>3394901471.387517</v>
      </c>
      <c r="AI1571" s="246">
        <f>IFERROR(VLOOKUP(G1571,PROGRAMAS[],3,FALSE),0)</f>
        <v>125317226.95549992</v>
      </c>
      <c r="AJ1571" s="246">
        <f>IFERROR(VLOOKUP(H1571,PROGRAMAS[],3,FALSE),0)</f>
        <v>1233505101.0616004</v>
      </c>
      <c r="AK1571" s="246">
        <f>IFERROR(VLOOKUP(I1571,PROGRAMAS[],3,FALSE),0)</f>
        <v>7011279577.519702</v>
      </c>
      <c r="AL1571" s="246">
        <f>IFERROR(VLOOKUP(J1571,PROGRAMAS[],3,FALSE),0)</f>
        <v>4099471734.9978786</v>
      </c>
      <c r="AM1571" s="246">
        <f>IFERROR(VLOOKUP(K1571,PROGRAMAS[],3,FALSE),0)</f>
        <v>2392571243.5584412</v>
      </c>
      <c r="AN1571" s="246">
        <f>IFERROR(VLOOKUP(L1571,PROGRAMAS[],3,FALSE),0)</f>
        <v>118617452.52510804</v>
      </c>
      <c r="AO1571" s="246">
        <f>IFERROR(VLOOKUP(M1571,PROGRAMAS[],3,FALSE),0)</f>
        <v>948595847.09039903</v>
      </c>
      <c r="AP1571" s="246">
        <f>IFERROR(VLOOKUP(N1571,PROGRAMAS[],3,FALSE),0)</f>
        <v>0</v>
      </c>
      <c r="AQ1571" s="246">
        <f>IFERROR(VLOOKUP(O1571,PROGRAMAS[],3,FALSE),0)</f>
        <v>0</v>
      </c>
      <c r="AR1571" s="246">
        <f>IFERROR(VLOOKUP(P1571,PROGRAMAS[],3,FALSE),0)</f>
        <v>0</v>
      </c>
      <c r="AS1571" s="246">
        <f>IFERROR(VLOOKUP(Q1571,PROGRAMAS[],3,FALSE),0)</f>
        <v>0</v>
      </c>
      <c r="AT1571" s="246">
        <f>IFERROR(VLOOKUP(D1571,VOL_REC[],2,FALSE),0)</f>
        <v>0</v>
      </c>
      <c r="AU1571" s="246">
        <f>IFERROR(VLOOKUP(E1571,VOL_REC[],2,FALSE),0)</f>
        <v>0</v>
      </c>
      <c r="AV1571" s="246">
        <f>IFERROR(VLOOKUP(F1571,VOL_REC[],2,FALSE),0)</f>
        <v>11089674.200000001</v>
      </c>
      <c r="AW1571" s="246">
        <f>IFERROR(VLOOKUP(G1571,VOL_REC[],2,FALSE),0)</f>
        <v>90439.55</v>
      </c>
      <c r="AX1571" s="246">
        <f>IFERROR(VLOOKUP(H1571,VOL_REC[],2,FALSE),0)</f>
        <v>4325103.1812214684</v>
      </c>
      <c r="AY1571" s="246">
        <f>IFERROR(VLOOKUP(I1571,VOL_REC[],2,FALSE),0)</f>
        <v>3761786</v>
      </c>
      <c r="AZ1571" s="246">
        <f>IFERROR(VLOOKUP(J1571,VOL_REC[],2,FALSE),0)</f>
        <v>1812240</v>
      </c>
      <c r="BA1571" s="246">
        <f>IFERROR(VLOOKUP(K1571,VOL_REC[],2,FALSE),0)</f>
        <v>663244.80000000016</v>
      </c>
      <c r="BB1571" s="246">
        <f>IFERROR(VLOOKUP(L1571,VOL_REC[],2,FALSE),0)</f>
        <v>105072</v>
      </c>
      <c r="BC1571" s="246">
        <f>IFERROR(VLOOKUP(M1571,VOL_REC[],2,FALSE),0)</f>
        <v>740113.98115702497</v>
      </c>
      <c r="BD1571" s="246">
        <f>IFERROR(VLOOKUP(N1571,VOL_REC[],2,FALSE),0)</f>
        <v>0</v>
      </c>
      <c r="BE1571" s="246">
        <f>IFERROR(VLOOKUP(O1571,VOL_REC[],2,FALSE),0)</f>
        <v>0</v>
      </c>
      <c r="BF1571" s="246">
        <f>IFERROR(VLOOKUP(P1571,VOL_REC[],2,FALSE),0)</f>
        <v>0</v>
      </c>
      <c r="BG1571" s="246">
        <f>IFERROR(VLOOKUP(Q1571,VOL_REC[],2,FALSE),0)</f>
        <v>0</v>
      </c>
      <c r="BH1571" s="1710">
        <f t="shared" si="96"/>
        <v>21863878951.781887</v>
      </c>
      <c r="BI1571" s="1710">
        <f t="shared" si="97"/>
        <v>24015129087.571182</v>
      </c>
      <c r="BJ1571" s="1711">
        <f t="shared" si="98"/>
        <v>22587673.712378494</v>
      </c>
      <c r="BK1571" s="1711">
        <f t="shared" si="99"/>
        <v>0.91042104633521814</v>
      </c>
    </row>
    <row r="1572" spans="3:67" x14ac:dyDescent="0.25">
      <c r="C1572" s="246" t="s">
        <v>2922</v>
      </c>
      <c r="D1572" s="246">
        <v>1</v>
      </c>
      <c r="E1572" s="246">
        <v>2</v>
      </c>
      <c r="F1572" s="246">
        <v>3</v>
      </c>
      <c r="G1572" s="246">
        <v>4</v>
      </c>
      <c r="H1572" s="246">
        <v>5</v>
      </c>
      <c r="I1572" s="246">
        <v>9</v>
      </c>
      <c r="J1572" s="246">
        <v>10</v>
      </c>
      <c r="K1572" s="246">
        <v>13</v>
      </c>
      <c r="L1572" s="246">
        <v>16</v>
      </c>
      <c r="M1572" s="246">
        <v>17</v>
      </c>
      <c r="N1572" s="246"/>
      <c r="O1572" s="246"/>
      <c r="P1572" s="246"/>
      <c r="Q1572" s="246"/>
      <c r="R1572" s="246">
        <f>IFERROR(VLOOKUP(D1572,PROGRAMAS[],2,FALSE),0)</f>
        <v>97037803.679377079</v>
      </c>
      <c r="S1572" s="246">
        <f>IFERROR(VLOOKUP(E1572,PROGRAMAS[],2,FALSE),0)</f>
        <v>640501509.6821388</v>
      </c>
      <c r="T1572" s="246">
        <f>IFERROR(VLOOKUP(F1572,PROGRAMAS[],2,FALSE),0)</f>
        <v>3062327798.1525245</v>
      </c>
      <c r="U1572" s="246">
        <f>IFERROR(VLOOKUP(G1572,PROGRAMAS[],2,FALSE),0)</f>
        <v>67697118.033011258</v>
      </c>
      <c r="V1572" s="246">
        <f>IFERROR(VLOOKUP(H1572,PROGRAMAS[],2,FALSE),0)</f>
        <v>1440941976.2528784</v>
      </c>
      <c r="W1572" s="246">
        <f>IFERROR(VLOOKUP(I1572,PROGRAMAS[],2,FALSE),0)</f>
        <v>6128579952.1618185</v>
      </c>
      <c r="X1572" s="246">
        <f>IFERROR(VLOOKUP(J1572,PROGRAMAS[],2,FALSE),0)</f>
        <v>4635315027.8751087</v>
      </c>
      <c r="Y1572" s="246">
        <f>IFERROR(VLOOKUP(K1572,PROGRAMAS[],2,FALSE),0)</f>
        <v>3776538594.4604583</v>
      </c>
      <c r="Z1572" s="246">
        <f>IFERROR(VLOOKUP(L1572,PROGRAMAS[],2,FALSE),0)</f>
        <v>7068496961.0436354</v>
      </c>
      <c r="AA1572" s="246">
        <f>IFERROR(VLOOKUP(M1572,PROGRAMAS[],2,FALSE),0)</f>
        <v>1892779498.5211046</v>
      </c>
      <c r="AB1572" s="246">
        <f>IFERROR(VLOOKUP(N1572,PROGRAMAS[],2,FALSE),0)</f>
        <v>0</v>
      </c>
      <c r="AC1572" s="246">
        <f>IFERROR(VLOOKUP(O1572,PROGRAMAS[],2,FALSE),0)</f>
        <v>0</v>
      </c>
      <c r="AD1572" s="246">
        <f>IFERROR(VLOOKUP(P1572,PROGRAMAS[],2,FALSE),0)</f>
        <v>0</v>
      </c>
      <c r="AE1572" s="246">
        <f>IFERROR(VLOOKUP(Q1572,PROGRAMAS[],2,FALSE),0)</f>
        <v>0</v>
      </c>
      <c r="AF1572" s="246">
        <f>IFERROR(VLOOKUP(D1572,PROGRAMAS[],3,FALSE),0)</f>
        <v>841888629.31080008</v>
      </c>
      <c r="AG1572" s="246">
        <f>IFERROR(VLOOKUP(E1572,PROGRAMAS[],3,FALSE),0)</f>
        <v>3848980803.1642323</v>
      </c>
      <c r="AH1572" s="246">
        <f>IFERROR(VLOOKUP(F1572,PROGRAMAS[],3,FALSE),0)</f>
        <v>3394901471.387517</v>
      </c>
      <c r="AI1572" s="246">
        <f>IFERROR(VLOOKUP(G1572,PROGRAMAS[],3,FALSE),0)</f>
        <v>125317226.95549992</v>
      </c>
      <c r="AJ1572" s="246">
        <f>IFERROR(VLOOKUP(H1572,PROGRAMAS[],3,FALSE),0)</f>
        <v>1233505101.0616004</v>
      </c>
      <c r="AK1572" s="246">
        <f>IFERROR(VLOOKUP(I1572,PROGRAMAS[],3,FALSE),0)</f>
        <v>7011279577.519702</v>
      </c>
      <c r="AL1572" s="246">
        <f>IFERROR(VLOOKUP(J1572,PROGRAMAS[],3,FALSE),0)</f>
        <v>4099471734.9978786</v>
      </c>
      <c r="AM1572" s="246">
        <f>IFERROR(VLOOKUP(K1572,PROGRAMAS[],3,FALSE),0)</f>
        <v>2392571243.5584412</v>
      </c>
      <c r="AN1572" s="246">
        <f>IFERROR(VLOOKUP(L1572,PROGRAMAS[],3,FALSE),0)</f>
        <v>2406564599.0319901</v>
      </c>
      <c r="AO1572" s="246">
        <f>IFERROR(VLOOKUP(M1572,PROGRAMAS[],3,FALSE),0)</f>
        <v>948595847.09039903</v>
      </c>
      <c r="AP1572" s="246">
        <f>IFERROR(VLOOKUP(N1572,PROGRAMAS[],3,FALSE),0)</f>
        <v>0</v>
      </c>
      <c r="AQ1572" s="246">
        <f>IFERROR(VLOOKUP(O1572,PROGRAMAS[],3,FALSE),0)</f>
        <v>0</v>
      </c>
      <c r="AR1572" s="246">
        <f>IFERROR(VLOOKUP(P1572,PROGRAMAS[],3,FALSE),0)</f>
        <v>0</v>
      </c>
      <c r="AS1572" s="246">
        <f>IFERROR(VLOOKUP(Q1572,PROGRAMAS[],3,FALSE),0)</f>
        <v>0</v>
      </c>
      <c r="AT1572" s="246">
        <f>IFERROR(VLOOKUP(D1572,VOL_REC[],2,FALSE),0)</f>
        <v>0</v>
      </c>
      <c r="AU1572" s="246">
        <f>IFERROR(VLOOKUP(E1572,VOL_REC[],2,FALSE),0)</f>
        <v>0</v>
      </c>
      <c r="AV1572" s="246">
        <f>IFERROR(VLOOKUP(F1572,VOL_REC[],2,FALSE),0)</f>
        <v>11089674.200000001</v>
      </c>
      <c r="AW1572" s="246">
        <f>IFERROR(VLOOKUP(G1572,VOL_REC[],2,FALSE),0)</f>
        <v>90439.55</v>
      </c>
      <c r="AX1572" s="246">
        <f>IFERROR(VLOOKUP(H1572,VOL_REC[],2,FALSE),0)</f>
        <v>4325103.1812214684</v>
      </c>
      <c r="AY1572" s="246">
        <f>IFERROR(VLOOKUP(I1572,VOL_REC[],2,FALSE),0)</f>
        <v>3761786</v>
      </c>
      <c r="AZ1572" s="246">
        <f>IFERROR(VLOOKUP(J1572,VOL_REC[],2,FALSE),0)</f>
        <v>1812240</v>
      </c>
      <c r="BA1572" s="246">
        <f>IFERROR(VLOOKUP(K1572,VOL_REC[],2,FALSE),0)</f>
        <v>663244.80000000016</v>
      </c>
      <c r="BB1572" s="246">
        <f>IFERROR(VLOOKUP(L1572,VOL_REC[],2,FALSE),0)</f>
        <v>1072354.9981737854</v>
      </c>
      <c r="BC1572" s="246">
        <f>IFERROR(VLOOKUP(M1572,VOL_REC[],2,FALSE),0)</f>
        <v>740113.98115702497</v>
      </c>
      <c r="BD1572" s="246">
        <f>IFERROR(VLOOKUP(N1572,VOL_REC[],2,FALSE),0)</f>
        <v>0</v>
      </c>
      <c r="BE1572" s="246">
        <f>IFERROR(VLOOKUP(O1572,VOL_REC[],2,FALSE),0)</f>
        <v>0</v>
      </c>
      <c r="BF1572" s="246">
        <f>IFERROR(VLOOKUP(P1572,VOL_REC[],2,FALSE),0)</f>
        <v>0</v>
      </c>
      <c r="BG1572" s="246">
        <f>IFERROR(VLOOKUP(Q1572,VOL_REC[],2,FALSE),0)</f>
        <v>0</v>
      </c>
      <c r="BH1572" s="1710">
        <f t="shared" si="96"/>
        <v>28810216239.862057</v>
      </c>
      <c r="BI1572" s="1710">
        <f t="shared" si="97"/>
        <v>26303076234.078064</v>
      </c>
      <c r="BJ1572" s="1711">
        <f t="shared" si="98"/>
        <v>23554956.710552279</v>
      </c>
      <c r="BK1572" s="1711">
        <f t="shared" si="99"/>
        <v>1.0953173683363986</v>
      </c>
      <c r="BL1572">
        <f>BJ1572</f>
        <v>23554956.710552279</v>
      </c>
      <c r="BO1572">
        <f>BL1572</f>
        <v>23554956.710552279</v>
      </c>
    </row>
    <row r="1573" spans="3:67" x14ac:dyDescent="0.25">
      <c r="C1573" s="246" t="s">
        <v>2923</v>
      </c>
      <c r="D1573" s="246">
        <v>1</v>
      </c>
      <c r="E1573" s="246">
        <v>2</v>
      </c>
      <c r="F1573" s="246">
        <v>3</v>
      </c>
      <c r="G1573" s="246">
        <v>4</v>
      </c>
      <c r="H1573" s="246">
        <v>5</v>
      </c>
      <c r="I1573" s="246">
        <v>9</v>
      </c>
      <c r="J1573" s="246">
        <v>10</v>
      </c>
      <c r="K1573" s="246">
        <v>14</v>
      </c>
      <c r="L1573" s="246">
        <v>15</v>
      </c>
      <c r="M1573" s="246">
        <v>16</v>
      </c>
      <c r="N1573" s="246"/>
      <c r="O1573" s="246"/>
      <c r="P1573" s="246"/>
      <c r="Q1573" s="246"/>
      <c r="R1573" s="246">
        <f>IFERROR(VLOOKUP(D1573,PROGRAMAS[],2,FALSE),0)</f>
        <v>97037803.679377079</v>
      </c>
      <c r="S1573" s="246">
        <f>IFERROR(VLOOKUP(E1573,PROGRAMAS[],2,FALSE),0)</f>
        <v>640501509.6821388</v>
      </c>
      <c r="T1573" s="246">
        <f>IFERROR(VLOOKUP(F1573,PROGRAMAS[],2,FALSE),0)</f>
        <v>3062327798.1525245</v>
      </c>
      <c r="U1573" s="246">
        <f>IFERROR(VLOOKUP(G1573,PROGRAMAS[],2,FALSE),0)</f>
        <v>67697118.033011258</v>
      </c>
      <c r="V1573" s="246">
        <f>IFERROR(VLOOKUP(H1573,PROGRAMAS[],2,FALSE),0)</f>
        <v>1440941976.2528784</v>
      </c>
      <c r="W1573" s="246">
        <f>IFERROR(VLOOKUP(I1573,PROGRAMAS[],2,FALSE),0)</f>
        <v>6128579952.1618185</v>
      </c>
      <c r="X1573" s="246">
        <f>IFERROR(VLOOKUP(J1573,PROGRAMAS[],2,FALSE),0)</f>
        <v>4635315027.8751087</v>
      </c>
      <c r="Y1573" s="246">
        <f>IFERROR(VLOOKUP(K1573,PROGRAMAS[],2,FALSE),0)</f>
        <v>54223862.645839565</v>
      </c>
      <c r="Z1573" s="246">
        <f>IFERROR(VLOOKUP(L1573,PROGRAMAS[],2,FALSE),0)</f>
        <v>122159672.96346797</v>
      </c>
      <c r="AA1573" s="246">
        <f>IFERROR(VLOOKUP(M1573,PROGRAMAS[],2,FALSE),0)</f>
        <v>7068496961.0436354</v>
      </c>
      <c r="AB1573" s="246">
        <f>IFERROR(VLOOKUP(N1573,PROGRAMAS[],2,FALSE),0)</f>
        <v>0</v>
      </c>
      <c r="AC1573" s="246">
        <f>IFERROR(VLOOKUP(O1573,PROGRAMAS[],2,FALSE),0)</f>
        <v>0</v>
      </c>
      <c r="AD1573" s="246">
        <f>IFERROR(VLOOKUP(P1573,PROGRAMAS[],2,FALSE),0)</f>
        <v>0</v>
      </c>
      <c r="AE1573" s="246">
        <f>IFERROR(VLOOKUP(Q1573,PROGRAMAS[],2,FALSE),0)</f>
        <v>0</v>
      </c>
      <c r="AF1573" s="246">
        <f>IFERROR(VLOOKUP(D1573,PROGRAMAS[],3,FALSE),0)</f>
        <v>841888629.31080008</v>
      </c>
      <c r="AG1573" s="246">
        <f>IFERROR(VLOOKUP(E1573,PROGRAMAS[],3,FALSE),0)</f>
        <v>3848980803.1642323</v>
      </c>
      <c r="AH1573" s="246">
        <f>IFERROR(VLOOKUP(F1573,PROGRAMAS[],3,FALSE),0)</f>
        <v>3394901471.387517</v>
      </c>
      <c r="AI1573" s="246">
        <f>IFERROR(VLOOKUP(G1573,PROGRAMAS[],3,FALSE),0)</f>
        <v>125317226.95549992</v>
      </c>
      <c r="AJ1573" s="246">
        <f>IFERROR(VLOOKUP(H1573,PROGRAMAS[],3,FALSE),0)</f>
        <v>1233505101.0616004</v>
      </c>
      <c r="AK1573" s="246">
        <f>IFERROR(VLOOKUP(I1573,PROGRAMAS[],3,FALSE),0)</f>
        <v>7011279577.519702</v>
      </c>
      <c r="AL1573" s="246">
        <f>IFERROR(VLOOKUP(J1573,PROGRAMAS[],3,FALSE),0)</f>
        <v>4099471734.9978786</v>
      </c>
      <c r="AM1573" s="246">
        <f>IFERROR(VLOOKUP(K1573,PROGRAMAS[],3,FALSE),0)</f>
        <v>31865326.38096505</v>
      </c>
      <c r="AN1573" s="246">
        <f>IFERROR(VLOOKUP(L1573,PROGRAMAS[],3,FALSE),0)</f>
        <v>118617452.52510804</v>
      </c>
      <c r="AO1573" s="246">
        <f>IFERROR(VLOOKUP(M1573,PROGRAMAS[],3,FALSE),0)</f>
        <v>2406564599.0319901</v>
      </c>
      <c r="AP1573" s="246">
        <f>IFERROR(VLOOKUP(N1573,PROGRAMAS[],3,FALSE),0)</f>
        <v>0</v>
      </c>
      <c r="AQ1573" s="246">
        <f>IFERROR(VLOOKUP(O1573,PROGRAMAS[],3,FALSE),0)</f>
        <v>0</v>
      </c>
      <c r="AR1573" s="246">
        <f>IFERROR(VLOOKUP(P1573,PROGRAMAS[],3,FALSE),0)</f>
        <v>0</v>
      </c>
      <c r="AS1573" s="246">
        <f>IFERROR(VLOOKUP(Q1573,PROGRAMAS[],3,FALSE),0)</f>
        <v>0</v>
      </c>
      <c r="AT1573" s="246">
        <f>IFERROR(VLOOKUP(D1573,VOL_REC[],2,FALSE),0)</f>
        <v>0</v>
      </c>
      <c r="AU1573" s="246">
        <f>IFERROR(VLOOKUP(E1573,VOL_REC[],2,FALSE),0)</f>
        <v>0</v>
      </c>
      <c r="AV1573" s="246">
        <f>IFERROR(VLOOKUP(F1573,VOL_REC[],2,FALSE),0)</f>
        <v>11089674.200000001</v>
      </c>
      <c r="AW1573" s="246">
        <f>IFERROR(VLOOKUP(G1573,VOL_REC[],2,FALSE),0)</f>
        <v>90439.55</v>
      </c>
      <c r="AX1573" s="246">
        <f>IFERROR(VLOOKUP(H1573,VOL_REC[],2,FALSE),0)</f>
        <v>4325103.1812214684</v>
      </c>
      <c r="AY1573" s="246">
        <f>IFERROR(VLOOKUP(I1573,VOL_REC[],2,FALSE),0)</f>
        <v>3761786</v>
      </c>
      <c r="AZ1573" s="246">
        <f>IFERROR(VLOOKUP(J1573,VOL_REC[],2,FALSE),0)</f>
        <v>1812240</v>
      </c>
      <c r="BA1573" s="246">
        <f>IFERROR(VLOOKUP(K1573,VOL_REC[],2,FALSE),0)</f>
        <v>17074.045034105649</v>
      </c>
      <c r="BB1573" s="246">
        <f>IFERROR(VLOOKUP(L1573,VOL_REC[],2,FALSE),0)</f>
        <v>105072</v>
      </c>
      <c r="BC1573" s="246">
        <f>IFERROR(VLOOKUP(M1573,VOL_REC[],2,FALSE),0)</f>
        <v>1072354.9981737854</v>
      </c>
      <c r="BD1573" s="246">
        <f>IFERROR(VLOOKUP(N1573,VOL_REC[],2,FALSE),0)</f>
        <v>0</v>
      </c>
      <c r="BE1573" s="246">
        <f>IFERROR(VLOOKUP(O1573,VOL_REC[],2,FALSE),0)</f>
        <v>0</v>
      </c>
      <c r="BF1573" s="246">
        <f>IFERROR(VLOOKUP(P1573,VOL_REC[],2,FALSE),0)</f>
        <v>0</v>
      </c>
      <c r="BG1573" s="246">
        <f>IFERROR(VLOOKUP(Q1573,VOL_REC[],2,FALSE),0)</f>
        <v>0</v>
      </c>
      <c r="BH1573" s="1710">
        <f t="shared" si="96"/>
        <v>23317281682.489803</v>
      </c>
      <c r="BI1573" s="1710">
        <f t="shared" si="97"/>
        <v>23112391922.335297</v>
      </c>
      <c r="BJ1573" s="1711">
        <f t="shared" si="98"/>
        <v>22273743.974429362</v>
      </c>
      <c r="BK1573" s="1711">
        <f t="shared" si="99"/>
        <v>1.0088649310224143</v>
      </c>
      <c r="BL1573">
        <f>BJ1573</f>
        <v>22273743.974429362</v>
      </c>
      <c r="BO1573">
        <f>BL1573</f>
        <v>22273743.974429362</v>
      </c>
    </row>
    <row r="1574" spans="3:67" x14ac:dyDescent="0.25">
      <c r="C1574" s="246" t="s">
        <v>2924</v>
      </c>
      <c r="D1574" s="246">
        <v>1</v>
      </c>
      <c r="E1574" s="246">
        <v>2</v>
      </c>
      <c r="F1574" s="246">
        <v>3</v>
      </c>
      <c r="G1574" s="246">
        <v>4</v>
      </c>
      <c r="H1574" s="246">
        <v>5</v>
      </c>
      <c r="I1574" s="246">
        <v>9</v>
      </c>
      <c r="J1574" s="246">
        <v>10</v>
      </c>
      <c r="K1574" s="246">
        <v>14</v>
      </c>
      <c r="L1574" s="246">
        <v>15</v>
      </c>
      <c r="M1574" s="246">
        <v>17</v>
      </c>
      <c r="N1574" s="246"/>
      <c r="O1574" s="246"/>
      <c r="P1574" s="246"/>
      <c r="Q1574" s="246"/>
      <c r="R1574" s="246">
        <f>IFERROR(VLOOKUP(D1574,PROGRAMAS[],2,FALSE),0)</f>
        <v>97037803.679377079</v>
      </c>
      <c r="S1574" s="246">
        <f>IFERROR(VLOOKUP(E1574,PROGRAMAS[],2,FALSE),0)</f>
        <v>640501509.6821388</v>
      </c>
      <c r="T1574" s="246">
        <f>IFERROR(VLOOKUP(F1574,PROGRAMAS[],2,FALSE),0)</f>
        <v>3062327798.1525245</v>
      </c>
      <c r="U1574" s="246">
        <f>IFERROR(VLOOKUP(G1574,PROGRAMAS[],2,FALSE),0)</f>
        <v>67697118.033011258</v>
      </c>
      <c r="V1574" s="246">
        <f>IFERROR(VLOOKUP(H1574,PROGRAMAS[],2,FALSE),0)</f>
        <v>1440941976.2528784</v>
      </c>
      <c r="W1574" s="246">
        <f>IFERROR(VLOOKUP(I1574,PROGRAMAS[],2,FALSE),0)</f>
        <v>6128579952.1618185</v>
      </c>
      <c r="X1574" s="246">
        <f>IFERROR(VLOOKUP(J1574,PROGRAMAS[],2,FALSE),0)</f>
        <v>4635315027.8751087</v>
      </c>
      <c r="Y1574" s="246">
        <f>IFERROR(VLOOKUP(K1574,PROGRAMAS[],2,FALSE),0)</f>
        <v>54223862.645839565</v>
      </c>
      <c r="Z1574" s="246">
        <f>IFERROR(VLOOKUP(L1574,PROGRAMAS[],2,FALSE),0)</f>
        <v>122159672.96346797</v>
      </c>
      <c r="AA1574" s="246">
        <f>IFERROR(VLOOKUP(M1574,PROGRAMAS[],2,FALSE),0)</f>
        <v>1892779498.5211046</v>
      </c>
      <c r="AB1574" s="246">
        <f>IFERROR(VLOOKUP(N1574,PROGRAMAS[],2,FALSE),0)</f>
        <v>0</v>
      </c>
      <c r="AC1574" s="246">
        <f>IFERROR(VLOOKUP(O1574,PROGRAMAS[],2,FALSE),0)</f>
        <v>0</v>
      </c>
      <c r="AD1574" s="246">
        <f>IFERROR(VLOOKUP(P1574,PROGRAMAS[],2,FALSE),0)</f>
        <v>0</v>
      </c>
      <c r="AE1574" s="246">
        <f>IFERROR(VLOOKUP(Q1574,PROGRAMAS[],2,FALSE),0)</f>
        <v>0</v>
      </c>
      <c r="AF1574" s="246">
        <f>IFERROR(VLOOKUP(D1574,PROGRAMAS[],3,FALSE),0)</f>
        <v>841888629.31080008</v>
      </c>
      <c r="AG1574" s="246">
        <f>IFERROR(VLOOKUP(E1574,PROGRAMAS[],3,FALSE),0)</f>
        <v>3848980803.1642323</v>
      </c>
      <c r="AH1574" s="246">
        <f>IFERROR(VLOOKUP(F1574,PROGRAMAS[],3,FALSE),0)</f>
        <v>3394901471.387517</v>
      </c>
      <c r="AI1574" s="246">
        <f>IFERROR(VLOOKUP(G1574,PROGRAMAS[],3,FALSE),0)</f>
        <v>125317226.95549992</v>
      </c>
      <c r="AJ1574" s="246">
        <f>IFERROR(VLOOKUP(H1574,PROGRAMAS[],3,FALSE),0)</f>
        <v>1233505101.0616004</v>
      </c>
      <c r="AK1574" s="246">
        <f>IFERROR(VLOOKUP(I1574,PROGRAMAS[],3,FALSE),0)</f>
        <v>7011279577.519702</v>
      </c>
      <c r="AL1574" s="246">
        <f>IFERROR(VLOOKUP(J1574,PROGRAMAS[],3,FALSE),0)</f>
        <v>4099471734.9978786</v>
      </c>
      <c r="AM1574" s="246">
        <f>IFERROR(VLOOKUP(K1574,PROGRAMAS[],3,FALSE),0)</f>
        <v>31865326.38096505</v>
      </c>
      <c r="AN1574" s="246">
        <f>IFERROR(VLOOKUP(L1574,PROGRAMAS[],3,FALSE),0)</f>
        <v>118617452.52510804</v>
      </c>
      <c r="AO1574" s="246">
        <f>IFERROR(VLOOKUP(M1574,PROGRAMAS[],3,FALSE),0)</f>
        <v>948595847.09039903</v>
      </c>
      <c r="AP1574" s="246">
        <f>IFERROR(VLOOKUP(N1574,PROGRAMAS[],3,FALSE),0)</f>
        <v>0</v>
      </c>
      <c r="AQ1574" s="246">
        <f>IFERROR(VLOOKUP(O1574,PROGRAMAS[],3,FALSE),0)</f>
        <v>0</v>
      </c>
      <c r="AR1574" s="246">
        <f>IFERROR(VLOOKUP(P1574,PROGRAMAS[],3,FALSE),0)</f>
        <v>0</v>
      </c>
      <c r="AS1574" s="246">
        <f>IFERROR(VLOOKUP(Q1574,PROGRAMAS[],3,FALSE),0)</f>
        <v>0</v>
      </c>
      <c r="AT1574" s="246">
        <f>IFERROR(VLOOKUP(D1574,VOL_REC[],2,FALSE),0)</f>
        <v>0</v>
      </c>
      <c r="AU1574" s="246">
        <f>IFERROR(VLOOKUP(E1574,VOL_REC[],2,FALSE),0)</f>
        <v>0</v>
      </c>
      <c r="AV1574" s="246">
        <f>IFERROR(VLOOKUP(F1574,VOL_REC[],2,FALSE),0)</f>
        <v>11089674.200000001</v>
      </c>
      <c r="AW1574" s="246">
        <f>IFERROR(VLOOKUP(G1574,VOL_REC[],2,FALSE),0)</f>
        <v>90439.55</v>
      </c>
      <c r="AX1574" s="246">
        <f>IFERROR(VLOOKUP(H1574,VOL_REC[],2,FALSE),0)</f>
        <v>4325103.1812214684</v>
      </c>
      <c r="AY1574" s="246">
        <f>IFERROR(VLOOKUP(I1574,VOL_REC[],2,FALSE),0)</f>
        <v>3761786</v>
      </c>
      <c r="AZ1574" s="246">
        <f>IFERROR(VLOOKUP(J1574,VOL_REC[],2,FALSE),0)</f>
        <v>1812240</v>
      </c>
      <c r="BA1574" s="246">
        <f>IFERROR(VLOOKUP(K1574,VOL_REC[],2,FALSE),0)</f>
        <v>17074.045034105649</v>
      </c>
      <c r="BB1574" s="246">
        <f>IFERROR(VLOOKUP(L1574,VOL_REC[],2,FALSE),0)</f>
        <v>105072</v>
      </c>
      <c r="BC1574" s="246">
        <f>IFERROR(VLOOKUP(M1574,VOL_REC[],2,FALSE),0)</f>
        <v>740113.98115702497</v>
      </c>
      <c r="BD1574" s="246">
        <f>IFERROR(VLOOKUP(N1574,VOL_REC[],2,FALSE),0)</f>
        <v>0</v>
      </c>
      <c r="BE1574" s="246">
        <f>IFERROR(VLOOKUP(O1574,VOL_REC[],2,FALSE),0)</f>
        <v>0</v>
      </c>
      <c r="BF1574" s="246">
        <f>IFERROR(VLOOKUP(P1574,VOL_REC[],2,FALSE),0)</f>
        <v>0</v>
      </c>
      <c r="BG1574" s="246">
        <f>IFERROR(VLOOKUP(Q1574,VOL_REC[],2,FALSE),0)</f>
        <v>0</v>
      </c>
      <c r="BH1574" s="1710">
        <f t="shared" si="96"/>
        <v>18141564219.96727</v>
      </c>
      <c r="BI1574" s="1710">
        <f t="shared" si="97"/>
        <v>21654423170.393707</v>
      </c>
      <c r="BJ1574" s="1711">
        <f t="shared" si="98"/>
        <v>21941502.957412601</v>
      </c>
      <c r="BK1574" s="1711">
        <f t="shared" si="99"/>
        <v>0.83777637839694219</v>
      </c>
    </row>
    <row r="1575" spans="3:67" x14ac:dyDescent="0.25">
      <c r="C1575" s="246" t="s">
        <v>2925</v>
      </c>
      <c r="D1575" s="246">
        <v>1</v>
      </c>
      <c r="E1575" s="246">
        <v>2</v>
      </c>
      <c r="F1575" s="246">
        <v>3</v>
      </c>
      <c r="G1575" s="246">
        <v>4</v>
      </c>
      <c r="H1575" s="246">
        <v>5</v>
      </c>
      <c r="I1575" s="246">
        <v>9</v>
      </c>
      <c r="J1575" s="246">
        <v>10</v>
      </c>
      <c r="K1575" s="246">
        <v>14</v>
      </c>
      <c r="L1575" s="246">
        <v>16</v>
      </c>
      <c r="M1575" s="246">
        <v>17</v>
      </c>
      <c r="N1575" s="246"/>
      <c r="O1575" s="246"/>
      <c r="P1575" s="246"/>
      <c r="Q1575" s="246"/>
      <c r="R1575" s="246">
        <f>IFERROR(VLOOKUP(D1575,PROGRAMAS[],2,FALSE),0)</f>
        <v>97037803.679377079</v>
      </c>
      <c r="S1575" s="246">
        <f>IFERROR(VLOOKUP(E1575,PROGRAMAS[],2,FALSE),0)</f>
        <v>640501509.6821388</v>
      </c>
      <c r="T1575" s="246">
        <f>IFERROR(VLOOKUP(F1575,PROGRAMAS[],2,FALSE),0)</f>
        <v>3062327798.1525245</v>
      </c>
      <c r="U1575" s="246">
        <f>IFERROR(VLOOKUP(G1575,PROGRAMAS[],2,FALSE),0)</f>
        <v>67697118.033011258</v>
      </c>
      <c r="V1575" s="246">
        <f>IFERROR(VLOOKUP(H1575,PROGRAMAS[],2,FALSE),0)</f>
        <v>1440941976.2528784</v>
      </c>
      <c r="W1575" s="246">
        <f>IFERROR(VLOOKUP(I1575,PROGRAMAS[],2,FALSE),0)</f>
        <v>6128579952.1618185</v>
      </c>
      <c r="X1575" s="246">
        <f>IFERROR(VLOOKUP(J1575,PROGRAMAS[],2,FALSE),0)</f>
        <v>4635315027.8751087</v>
      </c>
      <c r="Y1575" s="246">
        <f>IFERROR(VLOOKUP(K1575,PROGRAMAS[],2,FALSE),0)</f>
        <v>54223862.645839565</v>
      </c>
      <c r="Z1575" s="246">
        <f>IFERROR(VLOOKUP(L1575,PROGRAMAS[],2,FALSE),0)</f>
        <v>7068496961.0436354</v>
      </c>
      <c r="AA1575" s="246">
        <f>IFERROR(VLOOKUP(M1575,PROGRAMAS[],2,FALSE),0)</f>
        <v>1892779498.5211046</v>
      </c>
      <c r="AB1575" s="246">
        <f>IFERROR(VLOOKUP(N1575,PROGRAMAS[],2,FALSE),0)</f>
        <v>0</v>
      </c>
      <c r="AC1575" s="246">
        <f>IFERROR(VLOOKUP(O1575,PROGRAMAS[],2,FALSE),0)</f>
        <v>0</v>
      </c>
      <c r="AD1575" s="246">
        <f>IFERROR(VLOOKUP(P1575,PROGRAMAS[],2,FALSE),0)</f>
        <v>0</v>
      </c>
      <c r="AE1575" s="246">
        <f>IFERROR(VLOOKUP(Q1575,PROGRAMAS[],2,FALSE),0)</f>
        <v>0</v>
      </c>
      <c r="AF1575" s="246">
        <f>IFERROR(VLOOKUP(D1575,PROGRAMAS[],3,FALSE),0)</f>
        <v>841888629.31080008</v>
      </c>
      <c r="AG1575" s="246">
        <f>IFERROR(VLOOKUP(E1575,PROGRAMAS[],3,FALSE),0)</f>
        <v>3848980803.1642323</v>
      </c>
      <c r="AH1575" s="246">
        <f>IFERROR(VLOOKUP(F1575,PROGRAMAS[],3,FALSE),0)</f>
        <v>3394901471.387517</v>
      </c>
      <c r="AI1575" s="246">
        <f>IFERROR(VLOOKUP(G1575,PROGRAMAS[],3,FALSE),0)</f>
        <v>125317226.95549992</v>
      </c>
      <c r="AJ1575" s="246">
        <f>IFERROR(VLOOKUP(H1575,PROGRAMAS[],3,FALSE),0)</f>
        <v>1233505101.0616004</v>
      </c>
      <c r="AK1575" s="246">
        <f>IFERROR(VLOOKUP(I1575,PROGRAMAS[],3,FALSE),0)</f>
        <v>7011279577.519702</v>
      </c>
      <c r="AL1575" s="246">
        <f>IFERROR(VLOOKUP(J1575,PROGRAMAS[],3,FALSE),0)</f>
        <v>4099471734.9978786</v>
      </c>
      <c r="AM1575" s="246">
        <f>IFERROR(VLOOKUP(K1575,PROGRAMAS[],3,FALSE),0)</f>
        <v>31865326.38096505</v>
      </c>
      <c r="AN1575" s="246">
        <f>IFERROR(VLOOKUP(L1575,PROGRAMAS[],3,FALSE),0)</f>
        <v>2406564599.0319901</v>
      </c>
      <c r="AO1575" s="246">
        <f>IFERROR(VLOOKUP(M1575,PROGRAMAS[],3,FALSE),0)</f>
        <v>948595847.09039903</v>
      </c>
      <c r="AP1575" s="246">
        <f>IFERROR(VLOOKUP(N1575,PROGRAMAS[],3,FALSE),0)</f>
        <v>0</v>
      </c>
      <c r="AQ1575" s="246">
        <f>IFERROR(VLOOKUP(O1575,PROGRAMAS[],3,FALSE),0)</f>
        <v>0</v>
      </c>
      <c r="AR1575" s="246">
        <f>IFERROR(VLOOKUP(P1575,PROGRAMAS[],3,FALSE),0)</f>
        <v>0</v>
      </c>
      <c r="AS1575" s="246">
        <f>IFERROR(VLOOKUP(Q1575,PROGRAMAS[],3,FALSE),0)</f>
        <v>0</v>
      </c>
      <c r="AT1575" s="246">
        <f>IFERROR(VLOOKUP(D1575,VOL_REC[],2,FALSE),0)</f>
        <v>0</v>
      </c>
      <c r="AU1575" s="246">
        <f>IFERROR(VLOOKUP(E1575,VOL_REC[],2,FALSE),0)</f>
        <v>0</v>
      </c>
      <c r="AV1575" s="246">
        <f>IFERROR(VLOOKUP(F1575,VOL_REC[],2,FALSE),0)</f>
        <v>11089674.200000001</v>
      </c>
      <c r="AW1575" s="246">
        <f>IFERROR(VLOOKUP(G1575,VOL_REC[],2,FALSE),0)</f>
        <v>90439.55</v>
      </c>
      <c r="AX1575" s="246">
        <f>IFERROR(VLOOKUP(H1575,VOL_REC[],2,FALSE),0)</f>
        <v>4325103.1812214684</v>
      </c>
      <c r="AY1575" s="246">
        <f>IFERROR(VLOOKUP(I1575,VOL_REC[],2,FALSE),0)</f>
        <v>3761786</v>
      </c>
      <c r="AZ1575" s="246">
        <f>IFERROR(VLOOKUP(J1575,VOL_REC[],2,FALSE),0)</f>
        <v>1812240</v>
      </c>
      <c r="BA1575" s="246">
        <f>IFERROR(VLOOKUP(K1575,VOL_REC[],2,FALSE),0)</f>
        <v>17074.045034105649</v>
      </c>
      <c r="BB1575" s="246">
        <f>IFERROR(VLOOKUP(L1575,VOL_REC[],2,FALSE),0)</f>
        <v>1072354.9981737854</v>
      </c>
      <c r="BC1575" s="246">
        <f>IFERROR(VLOOKUP(M1575,VOL_REC[],2,FALSE),0)</f>
        <v>740113.98115702497</v>
      </c>
      <c r="BD1575" s="246">
        <f>IFERROR(VLOOKUP(N1575,VOL_REC[],2,FALSE),0)</f>
        <v>0</v>
      </c>
      <c r="BE1575" s="246">
        <f>IFERROR(VLOOKUP(O1575,VOL_REC[],2,FALSE),0)</f>
        <v>0</v>
      </c>
      <c r="BF1575" s="246">
        <f>IFERROR(VLOOKUP(P1575,VOL_REC[],2,FALSE),0)</f>
        <v>0</v>
      </c>
      <c r="BG1575" s="246">
        <f>IFERROR(VLOOKUP(Q1575,VOL_REC[],2,FALSE),0)</f>
        <v>0</v>
      </c>
      <c r="BH1575" s="1710">
        <f t="shared" si="96"/>
        <v>25087901508.047436</v>
      </c>
      <c r="BI1575" s="1710">
        <f t="shared" si="97"/>
        <v>23942370316.900589</v>
      </c>
      <c r="BJ1575" s="1711">
        <f t="shared" si="98"/>
        <v>22908785.955586385</v>
      </c>
      <c r="BK1575" s="1711">
        <f t="shared" si="99"/>
        <v>1.0478453543230943</v>
      </c>
      <c r="BL1575">
        <f>BJ1575</f>
        <v>22908785.955586385</v>
      </c>
      <c r="BO1575">
        <f>BL1575</f>
        <v>22908785.955586385</v>
      </c>
    </row>
    <row r="1576" spans="3:67" x14ac:dyDescent="0.25">
      <c r="C1576" s="246" t="s">
        <v>2926</v>
      </c>
      <c r="D1576" s="246">
        <v>1</v>
      </c>
      <c r="E1576" s="246">
        <v>2</v>
      </c>
      <c r="F1576" s="246">
        <v>3</v>
      </c>
      <c r="G1576" s="246">
        <v>4</v>
      </c>
      <c r="H1576" s="246">
        <v>5</v>
      </c>
      <c r="I1576" s="246">
        <v>9</v>
      </c>
      <c r="J1576" s="246">
        <v>10</v>
      </c>
      <c r="K1576" s="246">
        <v>15</v>
      </c>
      <c r="L1576" s="246">
        <v>16</v>
      </c>
      <c r="M1576" s="246">
        <v>17</v>
      </c>
      <c r="N1576" s="246"/>
      <c r="O1576" s="246"/>
      <c r="P1576" s="246"/>
      <c r="Q1576" s="246"/>
      <c r="R1576" s="246">
        <f>IFERROR(VLOOKUP(D1576,PROGRAMAS[],2,FALSE),0)</f>
        <v>97037803.679377079</v>
      </c>
      <c r="S1576" s="246">
        <f>IFERROR(VLOOKUP(E1576,PROGRAMAS[],2,FALSE),0)</f>
        <v>640501509.6821388</v>
      </c>
      <c r="T1576" s="246">
        <f>IFERROR(VLOOKUP(F1576,PROGRAMAS[],2,FALSE),0)</f>
        <v>3062327798.1525245</v>
      </c>
      <c r="U1576" s="246">
        <f>IFERROR(VLOOKUP(G1576,PROGRAMAS[],2,FALSE),0)</f>
        <v>67697118.033011258</v>
      </c>
      <c r="V1576" s="246">
        <f>IFERROR(VLOOKUP(H1576,PROGRAMAS[],2,FALSE),0)</f>
        <v>1440941976.2528784</v>
      </c>
      <c r="W1576" s="246">
        <f>IFERROR(VLOOKUP(I1576,PROGRAMAS[],2,FALSE),0)</f>
        <v>6128579952.1618185</v>
      </c>
      <c r="X1576" s="246">
        <f>IFERROR(VLOOKUP(J1576,PROGRAMAS[],2,FALSE),0)</f>
        <v>4635315027.8751087</v>
      </c>
      <c r="Y1576" s="246">
        <f>IFERROR(VLOOKUP(K1576,PROGRAMAS[],2,FALSE),0)</f>
        <v>122159672.96346797</v>
      </c>
      <c r="Z1576" s="246">
        <f>IFERROR(VLOOKUP(L1576,PROGRAMAS[],2,FALSE),0)</f>
        <v>7068496961.0436354</v>
      </c>
      <c r="AA1576" s="246">
        <f>IFERROR(VLOOKUP(M1576,PROGRAMAS[],2,FALSE),0)</f>
        <v>1892779498.5211046</v>
      </c>
      <c r="AB1576" s="246">
        <f>IFERROR(VLOOKUP(N1576,PROGRAMAS[],2,FALSE),0)</f>
        <v>0</v>
      </c>
      <c r="AC1576" s="246">
        <f>IFERROR(VLOOKUP(O1576,PROGRAMAS[],2,FALSE),0)</f>
        <v>0</v>
      </c>
      <c r="AD1576" s="246">
        <f>IFERROR(VLOOKUP(P1576,PROGRAMAS[],2,FALSE),0)</f>
        <v>0</v>
      </c>
      <c r="AE1576" s="246">
        <f>IFERROR(VLOOKUP(Q1576,PROGRAMAS[],2,FALSE),0)</f>
        <v>0</v>
      </c>
      <c r="AF1576" s="246">
        <f>IFERROR(VLOOKUP(D1576,PROGRAMAS[],3,FALSE),0)</f>
        <v>841888629.31080008</v>
      </c>
      <c r="AG1576" s="246">
        <f>IFERROR(VLOOKUP(E1576,PROGRAMAS[],3,FALSE),0)</f>
        <v>3848980803.1642323</v>
      </c>
      <c r="AH1576" s="246">
        <f>IFERROR(VLOOKUP(F1576,PROGRAMAS[],3,FALSE),0)</f>
        <v>3394901471.387517</v>
      </c>
      <c r="AI1576" s="246">
        <f>IFERROR(VLOOKUP(G1576,PROGRAMAS[],3,FALSE),0)</f>
        <v>125317226.95549992</v>
      </c>
      <c r="AJ1576" s="246">
        <f>IFERROR(VLOOKUP(H1576,PROGRAMAS[],3,FALSE),0)</f>
        <v>1233505101.0616004</v>
      </c>
      <c r="AK1576" s="246">
        <f>IFERROR(VLOOKUP(I1576,PROGRAMAS[],3,FALSE),0)</f>
        <v>7011279577.519702</v>
      </c>
      <c r="AL1576" s="246">
        <f>IFERROR(VLOOKUP(J1576,PROGRAMAS[],3,FALSE),0)</f>
        <v>4099471734.9978786</v>
      </c>
      <c r="AM1576" s="246">
        <f>IFERROR(VLOOKUP(K1576,PROGRAMAS[],3,FALSE),0)</f>
        <v>118617452.52510804</v>
      </c>
      <c r="AN1576" s="246">
        <f>IFERROR(VLOOKUP(L1576,PROGRAMAS[],3,FALSE),0)</f>
        <v>2406564599.0319901</v>
      </c>
      <c r="AO1576" s="246">
        <f>IFERROR(VLOOKUP(M1576,PROGRAMAS[],3,FALSE),0)</f>
        <v>948595847.09039903</v>
      </c>
      <c r="AP1576" s="246">
        <f>IFERROR(VLOOKUP(N1576,PROGRAMAS[],3,FALSE),0)</f>
        <v>0</v>
      </c>
      <c r="AQ1576" s="246">
        <f>IFERROR(VLOOKUP(O1576,PROGRAMAS[],3,FALSE),0)</f>
        <v>0</v>
      </c>
      <c r="AR1576" s="246">
        <f>IFERROR(VLOOKUP(P1576,PROGRAMAS[],3,FALSE),0)</f>
        <v>0</v>
      </c>
      <c r="AS1576" s="246">
        <f>IFERROR(VLOOKUP(Q1576,PROGRAMAS[],3,FALSE),0)</f>
        <v>0</v>
      </c>
      <c r="AT1576" s="246">
        <f>IFERROR(VLOOKUP(D1576,VOL_REC[],2,FALSE),0)</f>
        <v>0</v>
      </c>
      <c r="AU1576" s="246">
        <f>IFERROR(VLOOKUP(E1576,VOL_REC[],2,FALSE),0)</f>
        <v>0</v>
      </c>
      <c r="AV1576" s="246">
        <f>IFERROR(VLOOKUP(F1576,VOL_REC[],2,FALSE),0)</f>
        <v>11089674.200000001</v>
      </c>
      <c r="AW1576" s="246">
        <f>IFERROR(VLOOKUP(G1576,VOL_REC[],2,FALSE),0)</f>
        <v>90439.55</v>
      </c>
      <c r="AX1576" s="246">
        <f>IFERROR(VLOOKUP(H1576,VOL_REC[],2,FALSE),0)</f>
        <v>4325103.1812214684</v>
      </c>
      <c r="AY1576" s="246">
        <f>IFERROR(VLOOKUP(I1576,VOL_REC[],2,FALSE),0)</f>
        <v>3761786</v>
      </c>
      <c r="AZ1576" s="246">
        <f>IFERROR(VLOOKUP(J1576,VOL_REC[],2,FALSE),0)</f>
        <v>1812240</v>
      </c>
      <c r="BA1576" s="246">
        <f>IFERROR(VLOOKUP(K1576,VOL_REC[],2,FALSE),0)</f>
        <v>105072</v>
      </c>
      <c r="BB1576" s="246">
        <f>IFERROR(VLOOKUP(L1576,VOL_REC[],2,FALSE),0)</f>
        <v>1072354.9981737854</v>
      </c>
      <c r="BC1576" s="246">
        <f>IFERROR(VLOOKUP(M1576,VOL_REC[],2,FALSE),0)</f>
        <v>740113.98115702497</v>
      </c>
      <c r="BD1576" s="246">
        <f>IFERROR(VLOOKUP(N1576,VOL_REC[],2,FALSE),0)</f>
        <v>0</v>
      </c>
      <c r="BE1576" s="246">
        <f>IFERROR(VLOOKUP(O1576,VOL_REC[],2,FALSE),0)</f>
        <v>0</v>
      </c>
      <c r="BF1576" s="246">
        <f>IFERROR(VLOOKUP(P1576,VOL_REC[],2,FALSE),0)</f>
        <v>0</v>
      </c>
      <c r="BG1576" s="246">
        <f>IFERROR(VLOOKUP(Q1576,VOL_REC[],2,FALSE),0)</f>
        <v>0</v>
      </c>
      <c r="BH1576" s="1710">
        <f t="shared" si="96"/>
        <v>25155837318.365067</v>
      </c>
      <c r="BI1576" s="1710">
        <f t="shared" si="97"/>
        <v>24029122443.044731</v>
      </c>
      <c r="BJ1576" s="1711">
        <f t="shared" si="98"/>
        <v>22996783.910552278</v>
      </c>
      <c r="BK1576" s="1711">
        <f t="shared" si="99"/>
        <v>1.0468895557043725</v>
      </c>
      <c r="BL1576">
        <f>BJ1576</f>
        <v>22996783.910552278</v>
      </c>
      <c r="BO1576">
        <f>BL1576</f>
        <v>22996783.910552278</v>
      </c>
    </row>
    <row r="1577" spans="3:67" x14ac:dyDescent="0.25">
      <c r="C1577" s="246" t="s">
        <v>2927</v>
      </c>
      <c r="D1577" s="246">
        <v>1</v>
      </c>
      <c r="E1577" s="246">
        <v>2</v>
      </c>
      <c r="F1577" s="246">
        <v>3</v>
      </c>
      <c r="G1577" s="246">
        <v>4</v>
      </c>
      <c r="H1577" s="246">
        <v>5</v>
      </c>
      <c r="I1577" s="246">
        <v>9</v>
      </c>
      <c r="J1577" s="246">
        <v>12</v>
      </c>
      <c r="K1577" s="246">
        <v>13</v>
      </c>
      <c r="L1577" s="246">
        <v>14</v>
      </c>
      <c r="M1577" s="246">
        <v>15</v>
      </c>
      <c r="N1577" s="246"/>
      <c r="O1577" s="246"/>
      <c r="P1577" s="246"/>
      <c r="Q1577" s="246"/>
      <c r="R1577" s="246">
        <f>IFERROR(VLOOKUP(D1577,PROGRAMAS[],2,FALSE),0)</f>
        <v>97037803.679377079</v>
      </c>
      <c r="S1577" s="246">
        <f>IFERROR(VLOOKUP(E1577,PROGRAMAS[],2,FALSE),0)</f>
        <v>640501509.6821388</v>
      </c>
      <c r="T1577" s="246">
        <f>IFERROR(VLOOKUP(F1577,PROGRAMAS[],2,FALSE),0)</f>
        <v>3062327798.1525245</v>
      </c>
      <c r="U1577" s="246">
        <f>IFERROR(VLOOKUP(G1577,PROGRAMAS[],2,FALSE),0)</f>
        <v>67697118.033011258</v>
      </c>
      <c r="V1577" s="246">
        <f>IFERROR(VLOOKUP(H1577,PROGRAMAS[],2,FALSE),0)</f>
        <v>1440941976.2528784</v>
      </c>
      <c r="W1577" s="246">
        <f>IFERROR(VLOOKUP(I1577,PROGRAMAS[],2,FALSE),0)</f>
        <v>6128579952.1618185</v>
      </c>
      <c r="X1577" s="246">
        <f>IFERROR(VLOOKUP(J1577,PROGRAMAS[],2,FALSE),0)</f>
        <v>764796700.79905891</v>
      </c>
      <c r="Y1577" s="246">
        <f>IFERROR(VLOOKUP(K1577,PROGRAMAS[],2,FALSE),0)</f>
        <v>3776538594.4604583</v>
      </c>
      <c r="Z1577" s="246">
        <f>IFERROR(VLOOKUP(L1577,PROGRAMAS[],2,FALSE),0)</f>
        <v>54223862.645839565</v>
      </c>
      <c r="AA1577" s="246">
        <f>IFERROR(VLOOKUP(M1577,PROGRAMAS[],2,FALSE),0)</f>
        <v>122159672.96346797</v>
      </c>
      <c r="AB1577" s="246">
        <f>IFERROR(VLOOKUP(N1577,PROGRAMAS[],2,FALSE),0)</f>
        <v>0</v>
      </c>
      <c r="AC1577" s="246">
        <f>IFERROR(VLOOKUP(O1577,PROGRAMAS[],2,FALSE),0)</f>
        <v>0</v>
      </c>
      <c r="AD1577" s="246">
        <f>IFERROR(VLOOKUP(P1577,PROGRAMAS[],2,FALSE),0)</f>
        <v>0</v>
      </c>
      <c r="AE1577" s="246">
        <f>IFERROR(VLOOKUP(Q1577,PROGRAMAS[],2,FALSE),0)</f>
        <v>0</v>
      </c>
      <c r="AF1577" s="246">
        <f>IFERROR(VLOOKUP(D1577,PROGRAMAS[],3,FALSE),0)</f>
        <v>841888629.31080008</v>
      </c>
      <c r="AG1577" s="246">
        <f>IFERROR(VLOOKUP(E1577,PROGRAMAS[],3,FALSE),0)</f>
        <v>3848980803.1642323</v>
      </c>
      <c r="AH1577" s="246">
        <f>IFERROR(VLOOKUP(F1577,PROGRAMAS[],3,FALSE),0)</f>
        <v>3394901471.387517</v>
      </c>
      <c r="AI1577" s="246">
        <f>IFERROR(VLOOKUP(G1577,PROGRAMAS[],3,FALSE),0)</f>
        <v>125317226.95549992</v>
      </c>
      <c r="AJ1577" s="246">
        <f>IFERROR(VLOOKUP(H1577,PROGRAMAS[],3,FALSE),0)</f>
        <v>1233505101.0616004</v>
      </c>
      <c r="AK1577" s="246">
        <f>IFERROR(VLOOKUP(I1577,PROGRAMAS[],3,FALSE),0)</f>
        <v>7011279577.519702</v>
      </c>
      <c r="AL1577" s="246">
        <f>IFERROR(VLOOKUP(J1577,PROGRAMAS[],3,FALSE),0)</f>
        <v>675517840.109828</v>
      </c>
      <c r="AM1577" s="246">
        <f>IFERROR(VLOOKUP(K1577,PROGRAMAS[],3,FALSE),0)</f>
        <v>2392571243.5584412</v>
      </c>
      <c r="AN1577" s="246">
        <f>IFERROR(VLOOKUP(L1577,PROGRAMAS[],3,FALSE),0)</f>
        <v>31865326.38096505</v>
      </c>
      <c r="AO1577" s="246">
        <f>IFERROR(VLOOKUP(M1577,PROGRAMAS[],3,FALSE),0)</f>
        <v>118617452.52510804</v>
      </c>
      <c r="AP1577" s="246">
        <f>IFERROR(VLOOKUP(N1577,PROGRAMAS[],3,FALSE),0)</f>
        <v>0</v>
      </c>
      <c r="AQ1577" s="246">
        <f>IFERROR(VLOOKUP(O1577,PROGRAMAS[],3,FALSE),0)</f>
        <v>0</v>
      </c>
      <c r="AR1577" s="246">
        <f>IFERROR(VLOOKUP(P1577,PROGRAMAS[],3,FALSE),0)</f>
        <v>0</v>
      </c>
      <c r="AS1577" s="246">
        <f>IFERROR(VLOOKUP(Q1577,PROGRAMAS[],3,FALSE),0)</f>
        <v>0</v>
      </c>
      <c r="AT1577" s="246">
        <f>IFERROR(VLOOKUP(D1577,VOL_REC[],2,FALSE),0)</f>
        <v>0</v>
      </c>
      <c r="AU1577" s="246">
        <f>IFERROR(VLOOKUP(E1577,VOL_REC[],2,FALSE),0)</f>
        <v>0</v>
      </c>
      <c r="AV1577" s="246">
        <f>IFERROR(VLOOKUP(F1577,VOL_REC[],2,FALSE),0)</f>
        <v>11089674.200000001</v>
      </c>
      <c r="AW1577" s="246">
        <f>IFERROR(VLOOKUP(G1577,VOL_REC[],2,FALSE),0)</f>
        <v>90439.55</v>
      </c>
      <c r="AX1577" s="246">
        <f>IFERROR(VLOOKUP(H1577,VOL_REC[],2,FALSE),0)</f>
        <v>4325103.1812214684</v>
      </c>
      <c r="AY1577" s="246">
        <f>IFERROR(VLOOKUP(I1577,VOL_REC[],2,FALSE),0)</f>
        <v>3761786</v>
      </c>
      <c r="AZ1577" s="246">
        <f>IFERROR(VLOOKUP(J1577,VOL_REC[],2,FALSE),0)</f>
        <v>240696.79238099116</v>
      </c>
      <c r="BA1577" s="246">
        <f>IFERROR(VLOOKUP(K1577,VOL_REC[],2,FALSE),0)</f>
        <v>663244.80000000016</v>
      </c>
      <c r="BB1577" s="246">
        <f>IFERROR(VLOOKUP(L1577,VOL_REC[],2,FALSE),0)</f>
        <v>17074.045034105649</v>
      </c>
      <c r="BC1577" s="246">
        <f>IFERROR(VLOOKUP(M1577,VOL_REC[],2,FALSE),0)</f>
        <v>105072</v>
      </c>
      <c r="BD1577" s="246">
        <f>IFERROR(VLOOKUP(N1577,VOL_REC[],2,FALSE),0)</f>
        <v>0</v>
      </c>
      <c r="BE1577" s="246">
        <f>IFERROR(VLOOKUP(O1577,VOL_REC[],2,FALSE),0)</f>
        <v>0</v>
      </c>
      <c r="BF1577" s="246">
        <f>IFERROR(VLOOKUP(P1577,VOL_REC[],2,FALSE),0)</f>
        <v>0</v>
      </c>
      <c r="BG1577" s="246">
        <f>IFERROR(VLOOKUP(Q1577,VOL_REC[],2,FALSE),0)</f>
        <v>0</v>
      </c>
      <c r="BH1577" s="1710">
        <f t="shared" si="96"/>
        <v>16154804988.830576</v>
      </c>
      <c r="BI1577" s="1710">
        <f t="shared" si="97"/>
        <v>19674444671.973698</v>
      </c>
      <c r="BJ1577" s="1711">
        <f t="shared" si="98"/>
        <v>20293090.56863657</v>
      </c>
      <c r="BK1577" s="1711">
        <f t="shared" si="99"/>
        <v>0.82110602144939526</v>
      </c>
    </row>
    <row r="1578" spans="3:67" x14ac:dyDescent="0.25">
      <c r="C1578" s="246" t="s">
        <v>2928</v>
      </c>
      <c r="D1578" s="246">
        <v>1</v>
      </c>
      <c r="E1578" s="246">
        <v>2</v>
      </c>
      <c r="F1578" s="246">
        <v>3</v>
      </c>
      <c r="G1578" s="246">
        <v>4</v>
      </c>
      <c r="H1578" s="246">
        <v>5</v>
      </c>
      <c r="I1578" s="246">
        <v>9</v>
      </c>
      <c r="J1578" s="246">
        <v>12</v>
      </c>
      <c r="K1578" s="246">
        <v>13</v>
      </c>
      <c r="L1578" s="246">
        <v>14</v>
      </c>
      <c r="M1578" s="246">
        <v>16</v>
      </c>
      <c r="N1578" s="246"/>
      <c r="O1578" s="246"/>
      <c r="P1578" s="246"/>
      <c r="Q1578" s="246"/>
      <c r="R1578" s="246">
        <f>IFERROR(VLOOKUP(D1578,PROGRAMAS[],2,FALSE),0)</f>
        <v>97037803.679377079</v>
      </c>
      <c r="S1578" s="246">
        <f>IFERROR(VLOOKUP(E1578,PROGRAMAS[],2,FALSE),0)</f>
        <v>640501509.6821388</v>
      </c>
      <c r="T1578" s="246">
        <f>IFERROR(VLOOKUP(F1578,PROGRAMAS[],2,FALSE),0)</f>
        <v>3062327798.1525245</v>
      </c>
      <c r="U1578" s="246">
        <f>IFERROR(VLOOKUP(G1578,PROGRAMAS[],2,FALSE),0)</f>
        <v>67697118.033011258</v>
      </c>
      <c r="V1578" s="246">
        <f>IFERROR(VLOOKUP(H1578,PROGRAMAS[],2,FALSE),0)</f>
        <v>1440941976.2528784</v>
      </c>
      <c r="W1578" s="246">
        <f>IFERROR(VLOOKUP(I1578,PROGRAMAS[],2,FALSE),0)</f>
        <v>6128579952.1618185</v>
      </c>
      <c r="X1578" s="246">
        <f>IFERROR(VLOOKUP(J1578,PROGRAMAS[],2,FALSE),0)</f>
        <v>764796700.79905891</v>
      </c>
      <c r="Y1578" s="246">
        <f>IFERROR(VLOOKUP(K1578,PROGRAMAS[],2,FALSE),0)</f>
        <v>3776538594.4604583</v>
      </c>
      <c r="Z1578" s="246">
        <f>IFERROR(VLOOKUP(L1578,PROGRAMAS[],2,FALSE),0)</f>
        <v>54223862.645839565</v>
      </c>
      <c r="AA1578" s="246">
        <f>IFERROR(VLOOKUP(M1578,PROGRAMAS[],2,FALSE),0)</f>
        <v>7068496961.0436354</v>
      </c>
      <c r="AB1578" s="246">
        <f>IFERROR(VLOOKUP(N1578,PROGRAMAS[],2,FALSE),0)</f>
        <v>0</v>
      </c>
      <c r="AC1578" s="246">
        <f>IFERROR(VLOOKUP(O1578,PROGRAMAS[],2,FALSE),0)</f>
        <v>0</v>
      </c>
      <c r="AD1578" s="246">
        <f>IFERROR(VLOOKUP(P1578,PROGRAMAS[],2,FALSE),0)</f>
        <v>0</v>
      </c>
      <c r="AE1578" s="246">
        <f>IFERROR(VLOOKUP(Q1578,PROGRAMAS[],2,FALSE),0)</f>
        <v>0</v>
      </c>
      <c r="AF1578" s="246">
        <f>IFERROR(VLOOKUP(D1578,PROGRAMAS[],3,FALSE),0)</f>
        <v>841888629.31080008</v>
      </c>
      <c r="AG1578" s="246">
        <f>IFERROR(VLOOKUP(E1578,PROGRAMAS[],3,FALSE),0)</f>
        <v>3848980803.1642323</v>
      </c>
      <c r="AH1578" s="246">
        <f>IFERROR(VLOOKUP(F1578,PROGRAMAS[],3,FALSE),0)</f>
        <v>3394901471.387517</v>
      </c>
      <c r="AI1578" s="246">
        <f>IFERROR(VLOOKUP(G1578,PROGRAMAS[],3,FALSE),0)</f>
        <v>125317226.95549992</v>
      </c>
      <c r="AJ1578" s="246">
        <f>IFERROR(VLOOKUP(H1578,PROGRAMAS[],3,FALSE),0)</f>
        <v>1233505101.0616004</v>
      </c>
      <c r="AK1578" s="246">
        <f>IFERROR(VLOOKUP(I1578,PROGRAMAS[],3,FALSE),0)</f>
        <v>7011279577.519702</v>
      </c>
      <c r="AL1578" s="246">
        <f>IFERROR(VLOOKUP(J1578,PROGRAMAS[],3,FALSE),0)</f>
        <v>675517840.109828</v>
      </c>
      <c r="AM1578" s="246">
        <f>IFERROR(VLOOKUP(K1578,PROGRAMAS[],3,FALSE),0)</f>
        <v>2392571243.5584412</v>
      </c>
      <c r="AN1578" s="246">
        <f>IFERROR(VLOOKUP(L1578,PROGRAMAS[],3,FALSE),0)</f>
        <v>31865326.38096505</v>
      </c>
      <c r="AO1578" s="246">
        <f>IFERROR(VLOOKUP(M1578,PROGRAMAS[],3,FALSE),0)</f>
        <v>2406564599.0319901</v>
      </c>
      <c r="AP1578" s="246">
        <f>IFERROR(VLOOKUP(N1578,PROGRAMAS[],3,FALSE),0)</f>
        <v>0</v>
      </c>
      <c r="AQ1578" s="246">
        <f>IFERROR(VLOOKUP(O1578,PROGRAMAS[],3,FALSE),0)</f>
        <v>0</v>
      </c>
      <c r="AR1578" s="246">
        <f>IFERROR(VLOOKUP(P1578,PROGRAMAS[],3,FALSE),0)</f>
        <v>0</v>
      </c>
      <c r="AS1578" s="246">
        <f>IFERROR(VLOOKUP(Q1578,PROGRAMAS[],3,FALSE),0)</f>
        <v>0</v>
      </c>
      <c r="AT1578" s="246">
        <f>IFERROR(VLOOKUP(D1578,VOL_REC[],2,FALSE),0)</f>
        <v>0</v>
      </c>
      <c r="AU1578" s="246">
        <f>IFERROR(VLOOKUP(E1578,VOL_REC[],2,FALSE),0)</f>
        <v>0</v>
      </c>
      <c r="AV1578" s="246">
        <f>IFERROR(VLOOKUP(F1578,VOL_REC[],2,FALSE),0)</f>
        <v>11089674.200000001</v>
      </c>
      <c r="AW1578" s="246">
        <f>IFERROR(VLOOKUP(G1578,VOL_REC[],2,FALSE),0)</f>
        <v>90439.55</v>
      </c>
      <c r="AX1578" s="246">
        <f>IFERROR(VLOOKUP(H1578,VOL_REC[],2,FALSE),0)</f>
        <v>4325103.1812214684</v>
      </c>
      <c r="AY1578" s="246">
        <f>IFERROR(VLOOKUP(I1578,VOL_REC[],2,FALSE),0)</f>
        <v>3761786</v>
      </c>
      <c r="AZ1578" s="246">
        <f>IFERROR(VLOOKUP(J1578,VOL_REC[],2,FALSE),0)</f>
        <v>240696.79238099116</v>
      </c>
      <c r="BA1578" s="246">
        <f>IFERROR(VLOOKUP(K1578,VOL_REC[],2,FALSE),0)</f>
        <v>663244.80000000016</v>
      </c>
      <c r="BB1578" s="246">
        <f>IFERROR(VLOOKUP(L1578,VOL_REC[],2,FALSE),0)</f>
        <v>17074.045034105649</v>
      </c>
      <c r="BC1578" s="246">
        <f>IFERROR(VLOOKUP(M1578,VOL_REC[],2,FALSE),0)</f>
        <v>1072354.9981737854</v>
      </c>
      <c r="BD1578" s="246">
        <f>IFERROR(VLOOKUP(N1578,VOL_REC[],2,FALSE),0)</f>
        <v>0</v>
      </c>
      <c r="BE1578" s="246">
        <f>IFERROR(VLOOKUP(O1578,VOL_REC[],2,FALSE),0)</f>
        <v>0</v>
      </c>
      <c r="BF1578" s="246">
        <f>IFERROR(VLOOKUP(P1578,VOL_REC[],2,FALSE),0)</f>
        <v>0</v>
      </c>
      <c r="BG1578" s="246">
        <f>IFERROR(VLOOKUP(Q1578,VOL_REC[],2,FALSE),0)</f>
        <v>0</v>
      </c>
      <c r="BH1578" s="1710">
        <f t="shared" si="96"/>
        <v>23101142276.910744</v>
      </c>
      <c r="BI1578" s="1710">
        <f t="shared" si="97"/>
        <v>21962391818.480579</v>
      </c>
      <c r="BJ1578" s="1711">
        <f t="shared" si="98"/>
        <v>21260373.566810355</v>
      </c>
      <c r="BK1578" s="1711">
        <f t="shared" si="99"/>
        <v>1.051850020154542</v>
      </c>
      <c r="BL1578">
        <f>BJ1578</f>
        <v>21260373.566810355</v>
      </c>
      <c r="BO1578">
        <f>BL1578</f>
        <v>21260373.566810355</v>
      </c>
    </row>
    <row r="1579" spans="3:67" x14ac:dyDescent="0.25">
      <c r="C1579" s="246" t="s">
        <v>2929</v>
      </c>
      <c r="D1579" s="246">
        <v>1</v>
      </c>
      <c r="E1579" s="246">
        <v>2</v>
      </c>
      <c r="F1579" s="246">
        <v>3</v>
      </c>
      <c r="G1579" s="246">
        <v>4</v>
      </c>
      <c r="H1579" s="246">
        <v>5</v>
      </c>
      <c r="I1579" s="246">
        <v>9</v>
      </c>
      <c r="J1579" s="246">
        <v>12</v>
      </c>
      <c r="K1579" s="246">
        <v>13</v>
      </c>
      <c r="L1579" s="246">
        <v>14</v>
      </c>
      <c r="M1579" s="246">
        <v>17</v>
      </c>
      <c r="N1579" s="246"/>
      <c r="O1579" s="246"/>
      <c r="P1579" s="246"/>
      <c r="Q1579" s="246"/>
      <c r="R1579" s="246">
        <f>IFERROR(VLOOKUP(D1579,PROGRAMAS[],2,FALSE),0)</f>
        <v>97037803.679377079</v>
      </c>
      <c r="S1579" s="246">
        <f>IFERROR(VLOOKUP(E1579,PROGRAMAS[],2,FALSE),0)</f>
        <v>640501509.6821388</v>
      </c>
      <c r="T1579" s="246">
        <f>IFERROR(VLOOKUP(F1579,PROGRAMAS[],2,FALSE),0)</f>
        <v>3062327798.1525245</v>
      </c>
      <c r="U1579" s="246">
        <f>IFERROR(VLOOKUP(G1579,PROGRAMAS[],2,FALSE),0)</f>
        <v>67697118.033011258</v>
      </c>
      <c r="V1579" s="246">
        <f>IFERROR(VLOOKUP(H1579,PROGRAMAS[],2,FALSE),0)</f>
        <v>1440941976.2528784</v>
      </c>
      <c r="W1579" s="246">
        <f>IFERROR(VLOOKUP(I1579,PROGRAMAS[],2,FALSE),0)</f>
        <v>6128579952.1618185</v>
      </c>
      <c r="X1579" s="246">
        <f>IFERROR(VLOOKUP(J1579,PROGRAMAS[],2,FALSE),0)</f>
        <v>764796700.79905891</v>
      </c>
      <c r="Y1579" s="246">
        <f>IFERROR(VLOOKUP(K1579,PROGRAMAS[],2,FALSE),0)</f>
        <v>3776538594.4604583</v>
      </c>
      <c r="Z1579" s="246">
        <f>IFERROR(VLOOKUP(L1579,PROGRAMAS[],2,FALSE),0)</f>
        <v>54223862.645839565</v>
      </c>
      <c r="AA1579" s="246">
        <f>IFERROR(VLOOKUP(M1579,PROGRAMAS[],2,FALSE),0)</f>
        <v>1892779498.5211046</v>
      </c>
      <c r="AB1579" s="246">
        <f>IFERROR(VLOOKUP(N1579,PROGRAMAS[],2,FALSE),0)</f>
        <v>0</v>
      </c>
      <c r="AC1579" s="246">
        <f>IFERROR(VLOOKUP(O1579,PROGRAMAS[],2,FALSE),0)</f>
        <v>0</v>
      </c>
      <c r="AD1579" s="246">
        <f>IFERROR(VLOOKUP(P1579,PROGRAMAS[],2,FALSE),0)</f>
        <v>0</v>
      </c>
      <c r="AE1579" s="246">
        <f>IFERROR(VLOOKUP(Q1579,PROGRAMAS[],2,FALSE),0)</f>
        <v>0</v>
      </c>
      <c r="AF1579" s="246">
        <f>IFERROR(VLOOKUP(D1579,PROGRAMAS[],3,FALSE),0)</f>
        <v>841888629.31080008</v>
      </c>
      <c r="AG1579" s="246">
        <f>IFERROR(VLOOKUP(E1579,PROGRAMAS[],3,FALSE),0)</f>
        <v>3848980803.1642323</v>
      </c>
      <c r="AH1579" s="246">
        <f>IFERROR(VLOOKUP(F1579,PROGRAMAS[],3,FALSE),0)</f>
        <v>3394901471.387517</v>
      </c>
      <c r="AI1579" s="246">
        <f>IFERROR(VLOOKUP(G1579,PROGRAMAS[],3,FALSE),0)</f>
        <v>125317226.95549992</v>
      </c>
      <c r="AJ1579" s="246">
        <f>IFERROR(VLOOKUP(H1579,PROGRAMAS[],3,FALSE),0)</f>
        <v>1233505101.0616004</v>
      </c>
      <c r="AK1579" s="246">
        <f>IFERROR(VLOOKUP(I1579,PROGRAMAS[],3,FALSE),0)</f>
        <v>7011279577.519702</v>
      </c>
      <c r="AL1579" s="246">
        <f>IFERROR(VLOOKUP(J1579,PROGRAMAS[],3,FALSE),0)</f>
        <v>675517840.109828</v>
      </c>
      <c r="AM1579" s="246">
        <f>IFERROR(VLOOKUP(K1579,PROGRAMAS[],3,FALSE),0)</f>
        <v>2392571243.5584412</v>
      </c>
      <c r="AN1579" s="246">
        <f>IFERROR(VLOOKUP(L1579,PROGRAMAS[],3,FALSE),0)</f>
        <v>31865326.38096505</v>
      </c>
      <c r="AO1579" s="246">
        <f>IFERROR(VLOOKUP(M1579,PROGRAMAS[],3,FALSE),0)</f>
        <v>948595847.09039903</v>
      </c>
      <c r="AP1579" s="246">
        <f>IFERROR(VLOOKUP(N1579,PROGRAMAS[],3,FALSE),0)</f>
        <v>0</v>
      </c>
      <c r="AQ1579" s="246">
        <f>IFERROR(VLOOKUP(O1579,PROGRAMAS[],3,FALSE),0)</f>
        <v>0</v>
      </c>
      <c r="AR1579" s="246">
        <f>IFERROR(VLOOKUP(P1579,PROGRAMAS[],3,FALSE),0)</f>
        <v>0</v>
      </c>
      <c r="AS1579" s="246">
        <f>IFERROR(VLOOKUP(Q1579,PROGRAMAS[],3,FALSE),0)</f>
        <v>0</v>
      </c>
      <c r="AT1579" s="246">
        <f>IFERROR(VLOOKUP(D1579,VOL_REC[],2,FALSE),0)</f>
        <v>0</v>
      </c>
      <c r="AU1579" s="246">
        <f>IFERROR(VLOOKUP(E1579,VOL_REC[],2,FALSE),0)</f>
        <v>0</v>
      </c>
      <c r="AV1579" s="246">
        <f>IFERROR(VLOOKUP(F1579,VOL_REC[],2,FALSE),0)</f>
        <v>11089674.200000001</v>
      </c>
      <c r="AW1579" s="246">
        <f>IFERROR(VLOOKUP(G1579,VOL_REC[],2,FALSE),0)</f>
        <v>90439.55</v>
      </c>
      <c r="AX1579" s="246">
        <f>IFERROR(VLOOKUP(H1579,VOL_REC[],2,FALSE),0)</f>
        <v>4325103.1812214684</v>
      </c>
      <c r="AY1579" s="246">
        <f>IFERROR(VLOOKUP(I1579,VOL_REC[],2,FALSE),0)</f>
        <v>3761786</v>
      </c>
      <c r="AZ1579" s="246">
        <f>IFERROR(VLOOKUP(J1579,VOL_REC[],2,FALSE),0)</f>
        <v>240696.79238099116</v>
      </c>
      <c r="BA1579" s="246">
        <f>IFERROR(VLOOKUP(K1579,VOL_REC[],2,FALSE),0)</f>
        <v>663244.80000000016</v>
      </c>
      <c r="BB1579" s="246">
        <f>IFERROR(VLOOKUP(L1579,VOL_REC[],2,FALSE),0)</f>
        <v>17074.045034105649</v>
      </c>
      <c r="BC1579" s="246">
        <f>IFERROR(VLOOKUP(M1579,VOL_REC[],2,FALSE),0)</f>
        <v>740113.98115702497</v>
      </c>
      <c r="BD1579" s="246">
        <f>IFERROR(VLOOKUP(N1579,VOL_REC[],2,FALSE),0)</f>
        <v>0</v>
      </c>
      <c r="BE1579" s="246">
        <f>IFERROR(VLOOKUP(O1579,VOL_REC[],2,FALSE),0)</f>
        <v>0</v>
      </c>
      <c r="BF1579" s="246">
        <f>IFERROR(VLOOKUP(P1579,VOL_REC[],2,FALSE),0)</f>
        <v>0</v>
      </c>
      <c r="BG1579" s="246">
        <f>IFERROR(VLOOKUP(Q1579,VOL_REC[],2,FALSE),0)</f>
        <v>0</v>
      </c>
      <c r="BH1579" s="1710">
        <f t="shared" si="96"/>
        <v>17925424814.38821</v>
      </c>
      <c r="BI1579" s="1710">
        <f t="shared" si="97"/>
        <v>20504423066.53899</v>
      </c>
      <c r="BJ1579" s="1711">
        <f t="shared" si="98"/>
        <v>20928132.549793594</v>
      </c>
      <c r="BK1579" s="1711">
        <f t="shared" si="99"/>
        <v>0.87422234491642792</v>
      </c>
    </row>
    <row r="1580" spans="3:67" x14ac:dyDescent="0.25">
      <c r="C1580" s="246" t="s">
        <v>2930</v>
      </c>
      <c r="D1580" s="246">
        <v>1</v>
      </c>
      <c r="E1580" s="246">
        <v>2</v>
      </c>
      <c r="F1580" s="246">
        <v>3</v>
      </c>
      <c r="G1580" s="246">
        <v>4</v>
      </c>
      <c r="H1580" s="246">
        <v>5</v>
      </c>
      <c r="I1580" s="246">
        <v>9</v>
      </c>
      <c r="J1580" s="246">
        <v>12</v>
      </c>
      <c r="K1580" s="246">
        <v>13</v>
      </c>
      <c r="L1580" s="246">
        <v>15</v>
      </c>
      <c r="M1580" s="246">
        <v>16</v>
      </c>
      <c r="N1580" s="246"/>
      <c r="O1580" s="246"/>
      <c r="P1580" s="246"/>
      <c r="Q1580" s="246"/>
      <c r="R1580" s="246">
        <f>IFERROR(VLOOKUP(D1580,PROGRAMAS[],2,FALSE),0)</f>
        <v>97037803.679377079</v>
      </c>
      <c r="S1580" s="246">
        <f>IFERROR(VLOOKUP(E1580,PROGRAMAS[],2,FALSE),0)</f>
        <v>640501509.6821388</v>
      </c>
      <c r="T1580" s="246">
        <f>IFERROR(VLOOKUP(F1580,PROGRAMAS[],2,FALSE),0)</f>
        <v>3062327798.1525245</v>
      </c>
      <c r="U1580" s="246">
        <f>IFERROR(VLOOKUP(G1580,PROGRAMAS[],2,FALSE),0)</f>
        <v>67697118.033011258</v>
      </c>
      <c r="V1580" s="246">
        <f>IFERROR(VLOOKUP(H1580,PROGRAMAS[],2,FALSE),0)</f>
        <v>1440941976.2528784</v>
      </c>
      <c r="W1580" s="246">
        <f>IFERROR(VLOOKUP(I1580,PROGRAMAS[],2,FALSE),0)</f>
        <v>6128579952.1618185</v>
      </c>
      <c r="X1580" s="246">
        <f>IFERROR(VLOOKUP(J1580,PROGRAMAS[],2,FALSE),0)</f>
        <v>764796700.79905891</v>
      </c>
      <c r="Y1580" s="246">
        <f>IFERROR(VLOOKUP(K1580,PROGRAMAS[],2,FALSE),0)</f>
        <v>3776538594.4604583</v>
      </c>
      <c r="Z1580" s="246">
        <f>IFERROR(VLOOKUP(L1580,PROGRAMAS[],2,FALSE),0)</f>
        <v>122159672.96346797</v>
      </c>
      <c r="AA1580" s="246">
        <f>IFERROR(VLOOKUP(M1580,PROGRAMAS[],2,FALSE),0)</f>
        <v>7068496961.0436354</v>
      </c>
      <c r="AB1580" s="246">
        <f>IFERROR(VLOOKUP(N1580,PROGRAMAS[],2,FALSE),0)</f>
        <v>0</v>
      </c>
      <c r="AC1580" s="246">
        <f>IFERROR(VLOOKUP(O1580,PROGRAMAS[],2,FALSE),0)</f>
        <v>0</v>
      </c>
      <c r="AD1580" s="246">
        <f>IFERROR(VLOOKUP(P1580,PROGRAMAS[],2,FALSE),0)</f>
        <v>0</v>
      </c>
      <c r="AE1580" s="246">
        <f>IFERROR(VLOOKUP(Q1580,PROGRAMAS[],2,FALSE),0)</f>
        <v>0</v>
      </c>
      <c r="AF1580" s="246">
        <f>IFERROR(VLOOKUP(D1580,PROGRAMAS[],3,FALSE),0)</f>
        <v>841888629.31080008</v>
      </c>
      <c r="AG1580" s="246">
        <f>IFERROR(VLOOKUP(E1580,PROGRAMAS[],3,FALSE),0)</f>
        <v>3848980803.1642323</v>
      </c>
      <c r="AH1580" s="246">
        <f>IFERROR(VLOOKUP(F1580,PROGRAMAS[],3,FALSE),0)</f>
        <v>3394901471.387517</v>
      </c>
      <c r="AI1580" s="246">
        <f>IFERROR(VLOOKUP(G1580,PROGRAMAS[],3,FALSE),0)</f>
        <v>125317226.95549992</v>
      </c>
      <c r="AJ1580" s="246">
        <f>IFERROR(VLOOKUP(H1580,PROGRAMAS[],3,FALSE),0)</f>
        <v>1233505101.0616004</v>
      </c>
      <c r="AK1580" s="246">
        <f>IFERROR(VLOOKUP(I1580,PROGRAMAS[],3,FALSE),0)</f>
        <v>7011279577.519702</v>
      </c>
      <c r="AL1580" s="246">
        <f>IFERROR(VLOOKUP(J1580,PROGRAMAS[],3,FALSE),0)</f>
        <v>675517840.109828</v>
      </c>
      <c r="AM1580" s="246">
        <f>IFERROR(VLOOKUP(K1580,PROGRAMAS[],3,FALSE),0)</f>
        <v>2392571243.5584412</v>
      </c>
      <c r="AN1580" s="246">
        <f>IFERROR(VLOOKUP(L1580,PROGRAMAS[],3,FALSE),0)</f>
        <v>118617452.52510804</v>
      </c>
      <c r="AO1580" s="246">
        <f>IFERROR(VLOOKUP(M1580,PROGRAMAS[],3,FALSE),0)</f>
        <v>2406564599.0319901</v>
      </c>
      <c r="AP1580" s="246">
        <f>IFERROR(VLOOKUP(N1580,PROGRAMAS[],3,FALSE),0)</f>
        <v>0</v>
      </c>
      <c r="AQ1580" s="246">
        <f>IFERROR(VLOOKUP(O1580,PROGRAMAS[],3,FALSE),0)</f>
        <v>0</v>
      </c>
      <c r="AR1580" s="246">
        <f>IFERROR(VLOOKUP(P1580,PROGRAMAS[],3,FALSE),0)</f>
        <v>0</v>
      </c>
      <c r="AS1580" s="246">
        <f>IFERROR(VLOOKUP(Q1580,PROGRAMAS[],3,FALSE),0)</f>
        <v>0</v>
      </c>
      <c r="AT1580" s="246">
        <f>IFERROR(VLOOKUP(D1580,VOL_REC[],2,FALSE),0)</f>
        <v>0</v>
      </c>
      <c r="AU1580" s="246">
        <f>IFERROR(VLOOKUP(E1580,VOL_REC[],2,FALSE),0)</f>
        <v>0</v>
      </c>
      <c r="AV1580" s="246">
        <f>IFERROR(VLOOKUP(F1580,VOL_REC[],2,FALSE),0)</f>
        <v>11089674.200000001</v>
      </c>
      <c r="AW1580" s="246">
        <f>IFERROR(VLOOKUP(G1580,VOL_REC[],2,FALSE),0)</f>
        <v>90439.55</v>
      </c>
      <c r="AX1580" s="246">
        <f>IFERROR(VLOOKUP(H1580,VOL_REC[],2,FALSE),0)</f>
        <v>4325103.1812214684</v>
      </c>
      <c r="AY1580" s="246">
        <f>IFERROR(VLOOKUP(I1580,VOL_REC[],2,FALSE),0)</f>
        <v>3761786</v>
      </c>
      <c r="AZ1580" s="246">
        <f>IFERROR(VLOOKUP(J1580,VOL_REC[],2,FALSE),0)</f>
        <v>240696.79238099116</v>
      </c>
      <c r="BA1580" s="246">
        <f>IFERROR(VLOOKUP(K1580,VOL_REC[],2,FALSE),0)</f>
        <v>663244.80000000016</v>
      </c>
      <c r="BB1580" s="246">
        <f>IFERROR(VLOOKUP(L1580,VOL_REC[],2,FALSE),0)</f>
        <v>105072</v>
      </c>
      <c r="BC1580" s="246">
        <f>IFERROR(VLOOKUP(M1580,VOL_REC[],2,FALSE),0)</f>
        <v>1072354.9981737854</v>
      </c>
      <c r="BD1580" s="246">
        <f>IFERROR(VLOOKUP(N1580,VOL_REC[],2,FALSE),0)</f>
        <v>0</v>
      </c>
      <c r="BE1580" s="246">
        <f>IFERROR(VLOOKUP(O1580,VOL_REC[],2,FALSE),0)</f>
        <v>0</v>
      </c>
      <c r="BF1580" s="246">
        <f>IFERROR(VLOOKUP(P1580,VOL_REC[],2,FALSE),0)</f>
        <v>0</v>
      </c>
      <c r="BG1580" s="246">
        <f>IFERROR(VLOOKUP(Q1580,VOL_REC[],2,FALSE),0)</f>
        <v>0</v>
      </c>
      <c r="BH1580" s="1710">
        <f t="shared" si="96"/>
        <v>23169078087.228371</v>
      </c>
      <c r="BI1580" s="1710">
        <f t="shared" si="97"/>
        <v>22049143944.624722</v>
      </c>
      <c r="BJ1580" s="1711">
        <f t="shared" si="98"/>
        <v>21348371.521776248</v>
      </c>
      <c r="BK1580" s="1711">
        <f t="shared" si="99"/>
        <v>1.0507926360051123</v>
      </c>
      <c r="BL1580">
        <f>BJ1580</f>
        <v>21348371.521776248</v>
      </c>
      <c r="BO1580">
        <f>BL1580</f>
        <v>21348371.521776248</v>
      </c>
    </row>
    <row r="1581" spans="3:67" x14ac:dyDescent="0.25">
      <c r="C1581" s="246" t="s">
        <v>2931</v>
      </c>
      <c r="D1581" s="246">
        <v>1</v>
      </c>
      <c r="E1581" s="246">
        <v>2</v>
      </c>
      <c r="F1581" s="246">
        <v>3</v>
      </c>
      <c r="G1581" s="246">
        <v>4</v>
      </c>
      <c r="H1581" s="246">
        <v>5</v>
      </c>
      <c r="I1581" s="246">
        <v>9</v>
      </c>
      <c r="J1581" s="246">
        <v>12</v>
      </c>
      <c r="K1581" s="246">
        <v>13</v>
      </c>
      <c r="L1581" s="246">
        <v>15</v>
      </c>
      <c r="M1581" s="246">
        <v>17</v>
      </c>
      <c r="N1581" s="246"/>
      <c r="O1581" s="246"/>
      <c r="P1581" s="246"/>
      <c r="Q1581" s="246"/>
      <c r="R1581" s="246">
        <f>IFERROR(VLOOKUP(D1581,PROGRAMAS[],2,FALSE),0)</f>
        <v>97037803.679377079</v>
      </c>
      <c r="S1581" s="246">
        <f>IFERROR(VLOOKUP(E1581,PROGRAMAS[],2,FALSE),0)</f>
        <v>640501509.6821388</v>
      </c>
      <c r="T1581" s="246">
        <f>IFERROR(VLOOKUP(F1581,PROGRAMAS[],2,FALSE),0)</f>
        <v>3062327798.1525245</v>
      </c>
      <c r="U1581" s="246">
        <f>IFERROR(VLOOKUP(G1581,PROGRAMAS[],2,FALSE),0)</f>
        <v>67697118.033011258</v>
      </c>
      <c r="V1581" s="246">
        <f>IFERROR(VLOOKUP(H1581,PROGRAMAS[],2,FALSE),0)</f>
        <v>1440941976.2528784</v>
      </c>
      <c r="W1581" s="246">
        <f>IFERROR(VLOOKUP(I1581,PROGRAMAS[],2,FALSE),0)</f>
        <v>6128579952.1618185</v>
      </c>
      <c r="X1581" s="246">
        <f>IFERROR(VLOOKUP(J1581,PROGRAMAS[],2,FALSE),0)</f>
        <v>764796700.79905891</v>
      </c>
      <c r="Y1581" s="246">
        <f>IFERROR(VLOOKUP(K1581,PROGRAMAS[],2,FALSE),0)</f>
        <v>3776538594.4604583</v>
      </c>
      <c r="Z1581" s="246">
        <f>IFERROR(VLOOKUP(L1581,PROGRAMAS[],2,FALSE),0)</f>
        <v>122159672.96346797</v>
      </c>
      <c r="AA1581" s="246">
        <f>IFERROR(VLOOKUP(M1581,PROGRAMAS[],2,FALSE),0)</f>
        <v>1892779498.5211046</v>
      </c>
      <c r="AB1581" s="246">
        <f>IFERROR(VLOOKUP(N1581,PROGRAMAS[],2,FALSE),0)</f>
        <v>0</v>
      </c>
      <c r="AC1581" s="246">
        <f>IFERROR(VLOOKUP(O1581,PROGRAMAS[],2,FALSE),0)</f>
        <v>0</v>
      </c>
      <c r="AD1581" s="246">
        <f>IFERROR(VLOOKUP(P1581,PROGRAMAS[],2,FALSE),0)</f>
        <v>0</v>
      </c>
      <c r="AE1581" s="246">
        <f>IFERROR(VLOOKUP(Q1581,PROGRAMAS[],2,FALSE),0)</f>
        <v>0</v>
      </c>
      <c r="AF1581" s="246">
        <f>IFERROR(VLOOKUP(D1581,PROGRAMAS[],3,FALSE),0)</f>
        <v>841888629.31080008</v>
      </c>
      <c r="AG1581" s="246">
        <f>IFERROR(VLOOKUP(E1581,PROGRAMAS[],3,FALSE),0)</f>
        <v>3848980803.1642323</v>
      </c>
      <c r="AH1581" s="246">
        <f>IFERROR(VLOOKUP(F1581,PROGRAMAS[],3,FALSE),0)</f>
        <v>3394901471.387517</v>
      </c>
      <c r="AI1581" s="246">
        <f>IFERROR(VLOOKUP(G1581,PROGRAMAS[],3,FALSE),0)</f>
        <v>125317226.95549992</v>
      </c>
      <c r="AJ1581" s="246">
        <f>IFERROR(VLOOKUP(H1581,PROGRAMAS[],3,FALSE),0)</f>
        <v>1233505101.0616004</v>
      </c>
      <c r="AK1581" s="246">
        <f>IFERROR(VLOOKUP(I1581,PROGRAMAS[],3,FALSE),0)</f>
        <v>7011279577.519702</v>
      </c>
      <c r="AL1581" s="246">
        <f>IFERROR(VLOOKUP(J1581,PROGRAMAS[],3,FALSE),0)</f>
        <v>675517840.109828</v>
      </c>
      <c r="AM1581" s="246">
        <f>IFERROR(VLOOKUP(K1581,PROGRAMAS[],3,FALSE),0)</f>
        <v>2392571243.5584412</v>
      </c>
      <c r="AN1581" s="246">
        <f>IFERROR(VLOOKUP(L1581,PROGRAMAS[],3,FALSE),0)</f>
        <v>118617452.52510804</v>
      </c>
      <c r="AO1581" s="246">
        <f>IFERROR(VLOOKUP(M1581,PROGRAMAS[],3,FALSE),0)</f>
        <v>948595847.09039903</v>
      </c>
      <c r="AP1581" s="246">
        <f>IFERROR(VLOOKUP(N1581,PROGRAMAS[],3,FALSE),0)</f>
        <v>0</v>
      </c>
      <c r="AQ1581" s="246">
        <f>IFERROR(VLOOKUP(O1581,PROGRAMAS[],3,FALSE),0)</f>
        <v>0</v>
      </c>
      <c r="AR1581" s="246">
        <f>IFERROR(VLOOKUP(P1581,PROGRAMAS[],3,FALSE),0)</f>
        <v>0</v>
      </c>
      <c r="AS1581" s="246">
        <f>IFERROR(VLOOKUP(Q1581,PROGRAMAS[],3,FALSE),0)</f>
        <v>0</v>
      </c>
      <c r="AT1581" s="246">
        <f>IFERROR(VLOOKUP(D1581,VOL_REC[],2,FALSE),0)</f>
        <v>0</v>
      </c>
      <c r="AU1581" s="246">
        <f>IFERROR(VLOOKUP(E1581,VOL_REC[],2,FALSE),0)</f>
        <v>0</v>
      </c>
      <c r="AV1581" s="246">
        <f>IFERROR(VLOOKUP(F1581,VOL_REC[],2,FALSE),0)</f>
        <v>11089674.200000001</v>
      </c>
      <c r="AW1581" s="246">
        <f>IFERROR(VLOOKUP(G1581,VOL_REC[],2,FALSE),0)</f>
        <v>90439.55</v>
      </c>
      <c r="AX1581" s="246">
        <f>IFERROR(VLOOKUP(H1581,VOL_REC[],2,FALSE),0)</f>
        <v>4325103.1812214684</v>
      </c>
      <c r="AY1581" s="246">
        <f>IFERROR(VLOOKUP(I1581,VOL_REC[],2,FALSE),0)</f>
        <v>3761786</v>
      </c>
      <c r="AZ1581" s="246">
        <f>IFERROR(VLOOKUP(J1581,VOL_REC[],2,FALSE),0)</f>
        <v>240696.79238099116</v>
      </c>
      <c r="BA1581" s="246">
        <f>IFERROR(VLOOKUP(K1581,VOL_REC[],2,FALSE),0)</f>
        <v>663244.80000000016</v>
      </c>
      <c r="BB1581" s="246">
        <f>IFERROR(VLOOKUP(L1581,VOL_REC[],2,FALSE),0)</f>
        <v>105072</v>
      </c>
      <c r="BC1581" s="246">
        <f>IFERROR(VLOOKUP(M1581,VOL_REC[],2,FALSE),0)</f>
        <v>740113.98115702497</v>
      </c>
      <c r="BD1581" s="246">
        <f>IFERROR(VLOOKUP(N1581,VOL_REC[],2,FALSE),0)</f>
        <v>0</v>
      </c>
      <c r="BE1581" s="246">
        <f>IFERROR(VLOOKUP(O1581,VOL_REC[],2,FALSE),0)</f>
        <v>0</v>
      </c>
      <c r="BF1581" s="246">
        <f>IFERROR(VLOOKUP(P1581,VOL_REC[],2,FALSE),0)</f>
        <v>0</v>
      </c>
      <c r="BG1581" s="246">
        <f>IFERROR(VLOOKUP(Q1581,VOL_REC[],2,FALSE),0)</f>
        <v>0</v>
      </c>
      <c r="BH1581" s="1710">
        <f t="shared" si="96"/>
        <v>17993360624.705841</v>
      </c>
      <c r="BI1581" s="1710">
        <f t="shared" si="97"/>
        <v>20591175192.683132</v>
      </c>
      <c r="BJ1581" s="1711">
        <f t="shared" si="98"/>
        <v>21016130.504759487</v>
      </c>
      <c r="BK1581" s="1711">
        <f t="shared" si="99"/>
        <v>0.87383845051736542</v>
      </c>
    </row>
    <row r="1582" spans="3:67" x14ac:dyDescent="0.25">
      <c r="C1582" s="246" t="s">
        <v>2932</v>
      </c>
      <c r="D1582" s="246">
        <v>1</v>
      </c>
      <c r="E1582" s="246">
        <v>2</v>
      </c>
      <c r="F1582" s="246">
        <v>3</v>
      </c>
      <c r="G1582" s="246">
        <v>4</v>
      </c>
      <c r="H1582" s="246">
        <v>5</v>
      </c>
      <c r="I1582" s="246">
        <v>9</v>
      </c>
      <c r="J1582" s="246">
        <v>12</v>
      </c>
      <c r="K1582" s="246">
        <v>13</v>
      </c>
      <c r="L1582" s="246">
        <v>16</v>
      </c>
      <c r="M1582" s="246">
        <v>17</v>
      </c>
      <c r="N1582" s="246"/>
      <c r="O1582" s="246"/>
      <c r="P1582" s="246"/>
      <c r="Q1582" s="246"/>
      <c r="R1582" s="246">
        <f>IFERROR(VLOOKUP(D1582,PROGRAMAS[],2,FALSE),0)</f>
        <v>97037803.679377079</v>
      </c>
      <c r="S1582" s="246">
        <f>IFERROR(VLOOKUP(E1582,PROGRAMAS[],2,FALSE),0)</f>
        <v>640501509.6821388</v>
      </c>
      <c r="T1582" s="246">
        <f>IFERROR(VLOOKUP(F1582,PROGRAMAS[],2,FALSE),0)</f>
        <v>3062327798.1525245</v>
      </c>
      <c r="U1582" s="246">
        <f>IFERROR(VLOOKUP(G1582,PROGRAMAS[],2,FALSE),0)</f>
        <v>67697118.033011258</v>
      </c>
      <c r="V1582" s="246">
        <f>IFERROR(VLOOKUP(H1582,PROGRAMAS[],2,FALSE),0)</f>
        <v>1440941976.2528784</v>
      </c>
      <c r="W1582" s="246">
        <f>IFERROR(VLOOKUP(I1582,PROGRAMAS[],2,FALSE),0)</f>
        <v>6128579952.1618185</v>
      </c>
      <c r="X1582" s="246">
        <f>IFERROR(VLOOKUP(J1582,PROGRAMAS[],2,FALSE),0)</f>
        <v>764796700.79905891</v>
      </c>
      <c r="Y1582" s="246">
        <f>IFERROR(VLOOKUP(K1582,PROGRAMAS[],2,FALSE),0)</f>
        <v>3776538594.4604583</v>
      </c>
      <c r="Z1582" s="246">
        <f>IFERROR(VLOOKUP(L1582,PROGRAMAS[],2,FALSE),0)</f>
        <v>7068496961.0436354</v>
      </c>
      <c r="AA1582" s="246">
        <f>IFERROR(VLOOKUP(M1582,PROGRAMAS[],2,FALSE),0)</f>
        <v>1892779498.5211046</v>
      </c>
      <c r="AB1582" s="246">
        <f>IFERROR(VLOOKUP(N1582,PROGRAMAS[],2,FALSE),0)</f>
        <v>0</v>
      </c>
      <c r="AC1582" s="246">
        <f>IFERROR(VLOOKUP(O1582,PROGRAMAS[],2,FALSE),0)</f>
        <v>0</v>
      </c>
      <c r="AD1582" s="246">
        <f>IFERROR(VLOOKUP(P1582,PROGRAMAS[],2,FALSE),0)</f>
        <v>0</v>
      </c>
      <c r="AE1582" s="246">
        <f>IFERROR(VLOOKUP(Q1582,PROGRAMAS[],2,FALSE),0)</f>
        <v>0</v>
      </c>
      <c r="AF1582" s="246">
        <f>IFERROR(VLOOKUP(D1582,PROGRAMAS[],3,FALSE),0)</f>
        <v>841888629.31080008</v>
      </c>
      <c r="AG1582" s="246">
        <f>IFERROR(VLOOKUP(E1582,PROGRAMAS[],3,FALSE),0)</f>
        <v>3848980803.1642323</v>
      </c>
      <c r="AH1582" s="246">
        <f>IFERROR(VLOOKUP(F1582,PROGRAMAS[],3,FALSE),0)</f>
        <v>3394901471.387517</v>
      </c>
      <c r="AI1582" s="246">
        <f>IFERROR(VLOOKUP(G1582,PROGRAMAS[],3,FALSE),0)</f>
        <v>125317226.95549992</v>
      </c>
      <c r="AJ1582" s="246">
        <f>IFERROR(VLOOKUP(H1582,PROGRAMAS[],3,FALSE),0)</f>
        <v>1233505101.0616004</v>
      </c>
      <c r="AK1582" s="246">
        <f>IFERROR(VLOOKUP(I1582,PROGRAMAS[],3,FALSE),0)</f>
        <v>7011279577.519702</v>
      </c>
      <c r="AL1582" s="246">
        <f>IFERROR(VLOOKUP(J1582,PROGRAMAS[],3,FALSE),0)</f>
        <v>675517840.109828</v>
      </c>
      <c r="AM1582" s="246">
        <f>IFERROR(VLOOKUP(K1582,PROGRAMAS[],3,FALSE),0)</f>
        <v>2392571243.5584412</v>
      </c>
      <c r="AN1582" s="246">
        <f>IFERROR(VLOOKUP(L1582,PROGRAMAS[],3,FALSE),0)</f>
        <v>2406564599.0319901</v>
      </c>
      <c r="AO1582" s="246">
        <f>IFERROR(VLOOKUP(M1582,PROGRAMAS[],3,FALSE),0)</f>
        <v>948595847.09039903</v>
      </c>
      <c r="AP1582" s="246">
        <f>IFERROR(VLOOKUP(N1582,PROGRAMAS[],3,FALSE),0)</f>
        <v>0</v>
      </c>
      <c r="AQ1582" s="246">
        <f>IFERROR(VLOOKUP(O1582,PROGRAMAS[],3,FALSE),0)</f>
        <v>0</v>
      </c>
      <c r="AR1582" s="246">
        <f>IFERROR(VLOOKUP(P1582,PROGRAMAS[],3,FALSE),0)</f>
        <v>0</v>
      </c>
      <c r="AS1582" s="246">
        <f>IFERROR(VLOOKUP(Q1582,PROGRAMAS[],3,FALSE),0)</f>
        <v>0</v>
      </c>
      <c r="AT1582" s="246">
        <f>IFERROR(VLOOKUP(D1582,VOL_REC[],2,FALSE),0)</f>
        <v>0</v>
      </c>
      <c r="AU1582" s="246">
        <f>IFERROR(VLOOKUP(E1582,VOL_REC[],2,FALSE),0)</f>
        <v>0</v>
      </c>
      <c r="AV1582" s="246">
        <f>IFERROR(VLOOKUP(F1582,VOL_REC[],2,FALSE),0)</f>
        <v>11089674.200000001</v>
      </c>
      <c r="AW1582" s="246">
        <f>IFERROR(VLOOKUP(G1582,VOL_REC[],2,FALSE),0)</f>
        <v>90439.55</v>
      </c>
      <c r="AX1582" s="246">
        <f>IFERROR(VLOOKUP(H1582,VOL_REC[],2,FALSE),0)</f>
        <v>4325103.1812214684</v>
      </c>
      <c r="AY1582" s="246">
        <f>IFERROR(VLOOKUP(I1582,VOL_REC[],2,FALSE),0)</f>
        <v>3761786</v>
      </c>
      <c r="AZ1582" s="246">
        <f>IFERROR(VLOOKUP(J1582,VOL_REC[],2,FALSE),0)</f>
        <v>240696.79238099116</v>
      </c>
      <c r="BA1582" s="246">
        <f>IFERROR(VLOOKUP(K1582,VOL_REC[],2,FALSE),0)</f>
        <v>663244.80000000016</v>
      </c>
      <c r="BB1582" s="246">
        <f>IFERROR(VLOOKUP(L1582,VOL_REC[],2,FALSE),0)</f>
        <v>1072354.9981737854</v>
      </c>
      <c r="BC1582" s="246">
        <f>IFERROR(VLOOKUP(M1582,VOL_REC[],2,FALSE),0)</f>
        <v>740113.98115702497</v>
      </c>
      <c r="BD1582" s="246">
        <f>IFERROR(VLOOKUP(N1582,VOL_REC[],2,FALSE),0)</f>
        <v>0</v>
      </c>
      <c r="BE1582" s="246">
        <f>IFERROR(VLOOKUP(O1582,VOL_REC[],2,FALSE),0)</f>
        <v>0</v>
      </c>
      <c r="BF1582" s="246">
        <f>IFERROR(VLOOKUP(P1582,VOL_REC[],2,FALSE),0)</f>
        <v>0</v>
      </c>
      <c r="BG1582" s="246">
        <f>IFERROR(VLOOKUP(Q1582,VOL_REC[],2,FALSE),0)</f>
        <v>0</v>
      </c>
      <c r="BH1582" s="1710">
        <f t="shared" si="96"/>
        <v>24939697912.786007</v>
      </c>
      <c r="BI1582" s="1710">
        <f t="shared" si="97"/>
        <v>22879122339.190014</v>
      </c>
      <c r="BJ1582" s="1711">
        <f t="shared" si="98"/>
        <v>21983413.502933271</v>
      </c>
      <c r="BK1582" s="1711">
        <f t="shared" si="99"/>
        <v>1.0900635759994342</v>
      </c>
      <c r="BL1582">
        <f>BJ1582</f>
        <v>21983413.502933271</v>
      </c>
      <c r="BO1582">
        <f>BL1582</f>
        <v>21983413.502933271</v>
      </c>
    </row>
    <row r="1583" spans="3:67" x14ac:dyDescent="0.25">
      <c r="C1583" s="246" t="s">
        <v>2933</v>
      </c>
      <c r="D1583" s="246">
        <v>1</v>
      </c>
      <c r="E1583" s="246">
        <v>2</v>
      </c>
      <c r="F1583" s="246">
        <v>3</v>
      </c>
      <c r="G1583" s="246">
        <v>4</v>
      </c>
      <c r="H1583" s="246">
        <v>5</v>
      </c>
      <c r="I1583" s="246">
        <v>9</v>
      </c>
      <c r="J1583" s="246">
        <v>12</v>
      </c>
      <c r="K1583" s="246">
        <v>14</v>
      </c>
      <c r="L1583" s="246">
        <v>15</v>
      </c>
      <c r="M1583" s="246">
        <v>16</v>
      </c>
      <c r="N1583" s="246"/>
      <c r="O1583" s="246"/>
      <c r="P1583" s="246"/>
      <c r="Q1583" s="246"/>
      <c r="R1583" s="246">
        <f>IFERROR(VLOOKUP(D1583,PROGRAMAS[],2,FALSE),0)</f>
        <v>97037803.679377079</v>
      </c>
      <c r="S1583" s="246">
        <f>IFERROR(VLOOKUP(E1583,PROGRAMAS[],2,FALSE),0)</f>
        <v>640501509.6821388</v>
      </c>
      <c r="T1583" s="246">
        <f>IFERROR(VLOOKUP(F1583,PROGRAMAS[],2,FALSE),0)</f>
        <v>3062327798.1525245</v>
      </c>
      <c r="U1583" s="246">
        <f>IFERROR(VLOOKUP(G1583,PROGRAMAS[],2,FALSE),0)</f>
        <v>67697118.033011258</v>
      </c>
      <c r="V1583" s="246">
        <f>IFERROR(VLOOKUP(H1583,PROGRAMAS[],2,FALSE),0)</f>
        <v>1440941976.2528784</v>
      </c>
      <c r="W1583" s="246">
        <f>IFERROR(VLOOKUP(I1583,PROGRAMAS[],2,FALSE),0)</f>
        <v>6128579952.1618185</v>
      </c>
      <c r="X1583" s="246">
        <f>IFERROR(VLOOKUP(J1583,PROGRAMAS[],2,FALSE),0)</f>
        <v>764796700.79905891</v>
      </c>
      <c r="Y1583" s="246">
        <f>IFERROR(VLOOKUP(K1583,PROGRAMAS[],2,FALSE),0)</f>
        <v>54223862.645839565</v>
      </c>
      <c r="Z1583" s="246">
        <f>IFERROR(VLOOKUP(L1583,PROGRAMAS[],2,FALSE),0)</f>
        <v>122159672.96346797</v>
      </c>
      <c r="AA1583" s="246">
        <f>IFERROR(VLOOKUP(M1583,PROGRAMAS[],2,FALSE),0)</f>
        <v>7068496961.0436354</v>
      </c>
      <c r="AB1583" s="246">
        <f>IFERROR(VLOOKUP(N1583,PROGRAMAS[],2,FALSE),0)</f>
        <v>0</v>
      </c>
      <c r="AC1583" s="246">
        <f>IFERROR(VLOOKUP(O1583,PROGRAMAS[],2,FALSE),0)</f>
        <v>0</v>
      </c>
      <c r="AD1583" s="246">
        <f>IFERROR(VLOOKUP(P1583,PROGRAMAS[],2,FALSE),0)</f>
        <v>0</v>
      </c>
      <c r="AE1583" s="246">
        <f>IFERROR(VLOOKUP(Q1583,PROGRAMAS[],2,FALSE),0)</f>
        <v>0</v>
      </c>
      <c r="AF1583" s="246">
        <f>IFERROR(VLOOKUP(D1583,PROGRAMAS[],3,FALSE),0)</f>
        <v>841888629.31080008</v>
      </c>
      <c r="AG1583" s="246">
        <f>IFERROR(VLOOKUP(E1583,PROGRAMAS[],3,FALSE),0)</f>
        <v>3848980803.1642323</v>
      </c>
      <c r="AH1583" s="246">
        <f>IFERROR(VLOOKUP(F1583,PROGRAMAS[],3,FALSE),0)</f>
        <v>3394901471.387517</v>
      </c>
      <c r="AI1583" s="246">
        <f>IFERROR(VLOOKUP(G1583,PROGRAMAS[],3,FALSE),0)</f>
        <v>125317226.95549992</v>
      </c>
      <c r="AJ1583" s="246">
        <f>IFERROR(VLOOKUP(H1583,PROGRAMAS[],3,FALSE),0)</f>
        <v>1233505101.0616004</v>
      </c>
      <c r="AK1583" s="246">
        <f>IFERROR(VLOOKUP(I1583,PROGRAMAS[],3,FALSE),0)</f>
        <v>7011279577.519702</v>
      </c>
      <c r="AL1583" s="246">
        <f>IFERROR(VLOOKUP(J1583,PROGRAMAS[],3,FALSE),0)</f>
        <v>675517840.109828</v>
      </c>
      <c r="AM1583" s="246">
        <f>IFERROR(VLOOKUP(K1583,PROGRAMAS[],3,FALSE),0)</f>
        <v>31865326.38096505</v>
      </c>
      <c r="AN1583" s="246">
        <f>IFERROR(VLOOKUP(L1583,PROGRAMAS[],3,FALSE),0)</f>
        <v>118617452.52510804</v>
      </c>
      <c r="AO1583" s="246">
        <f>IFERROR(VLOOKUP(M1583,PROGRAMAS[],3,FALSE),0)</f>
        <v>2406564599.0319901</v>
      </c>
      <c r="AP1583" s="246">
        <f>IFERROR(VLOOKUP(N1583,PROGRAMAS[],3,FALSE),0)</f>
        <v>0</v>
      </c>
      <c r="AQ1583" s="246">
        <f>IFERROR(VLOOKUP(O1583,PROGRAMAS[],3,FALSE),0)</f>
        <v>0</v>
      </c>
      <c r="AR1583" s="246">
        <f>IFERROR(VLOOKUP(P1583,PROGRAMAS[],3,FALSE),0)</f>
        <v>0</v>
      </c>
      <c r="AS1583" s="246">
        <f>IFERROR(VLOOKUP(Q1583,PROGRAMAS[],3,FALSE),0)</f>
        <v>0</v>
      </c>
      <c r="AT1583" s="246">
        <f>IFERROR(VLOOKUP(D1583,VOL_REC[],2,FALSE),0)</f>
        <v>0</v>
      </c>
      <c r="AU1583" s="246">
        <f>IFERROR(VLOOKUP(E1583,VOL_REC[],2,FALSE),0)</f>
        <v>0</v>
      </c>
      <c r="AV1583" s="246">
        <f>IFERROR(VLOOKUP(F1583,VOL_REC[],2,FALSE),0)</f>
        <v>11089674.200000001</v>
      </c>
      <c r="AW1583" s="246">
        <f>IFERROR(VLOOKUP(G1583,VOL_REC[],2,FALSE),0)</f>
        <v>90439.55</v>
      </c>
      <c r="AX1583" s="246">
        <f>IFERROR(VLOOKUP(H1583,VOL_REC[],2,FALSE),0)</f>
        <v>4325103.1812214684</v>
      </c>
      <c r="AY1583" s="246">
        <f>IFERROR(VLOOKUP(I1583,VOL_REC[],2,FALSE),0)</f>
        <v>3761786</v>
      </c>
      <c r="AZ1583" s="246">
        <f>IFERROR(VLOOKUP(J1583,VOL_REC[],2,FALSE),0)</f>
        <v>240696.79238099116</v>
      </c>
      <c r="BA1583" s="246">
        <f>IFERROR(VLOOKUP(K1583,VOL_REC[],2,FALSE),0)</f>
        <v>17074.045034105649</v>
      </c>
      <c r="BB1583" s="246">
        <f>IFERROR(VLOOKUP(L1583,VOL_REC[],2,FALSE),0)</f>
        <v>105072</v>
      </c>
      <c r="BC1583" s="246">
        <f>IFERROR(VLOOKUP(M1583,VOL_REC[],2,FALSE),0)</f>
        <v>1072354.9981737854</v>
      </c>
      <c r="BD1583" s="246">
        <f>IFERROR(VLOOKUP(N1583,VOL_REC[],2,FALSE),0)</f>
        <v>0</v>
      </c>
      <c r="BE1583" s="246">
        <f>IFERROR(VLOOKUP(O1583,VOL_REC[],2,FALSE),0)</f>
        <v>0</v>
      </c>
      <c r="BF1583" s="246">
        <f>IFERROR(VLOOKUP(P1583,VOL_REC[],2,FALSE),0)</f>
        <v>0</v>
      </c>
      <c r="BG1583" s="246">
        <f>IFERROR(VLOOKUP(Q1583,VOL_REC[],2,FALSE),0)</f>
        <v>0</v>
      </c>
      <c r="BH1583" s="1710">
        <f t="shared" si="96"/>
        <v>19446763355.413754</v>
      </c>
      <c r="BI1583" s="1710">
        <f t="shared" si="97"/>
        <v>19688438027.447243</v>
      </c>
      <c r="BJ1583" s="1711">
        <f t="shared" si="98"/>
        <v>20702200.766810354</v>
      </c>
      <c r="BK1583" s="1711">
        <f t="shared" si="99"/>
        <v>0.98772504595354005</v>
      </c>
    </row>
    <row r="1584" spans="3:67" x14ac:dyDescent="0.25">
      <c r="C1584" s="246" t="s">
        <v>2934</v>
      </c>
      <c r="D1584" s="246">
        <v>1</v>
      </c>
      <c r="E1584" s="246">
        <v>2</v>
      </c>
      <c r="F1584" s="246">
        <v>3</v>
      </c>
      <c r="G1584" s="246">
        <v>4</v>
      </c>
      <c r="H1584" s="246">
        <v>5</v>
      </c>
      <c r="I1584" s="246">
        <v>9</v>
      </c>
      <c r="J1584" s="246">
        <v>12</v>
      </c>
      <c r="K1584" s="246">
        <v>14</v>
      </c>
      <c r="L1584" s="246">
        <v>15</v>
      </c>
      <c r="M1584" s="246">
        <v>17</v>
      </c>
      <c r="N1584" s="246"/>
      <c r="O1584" s="246"/>
      <c r="P1584" s="246"/>
      <c r="Q1584" s="246"/>
      <c r="R1584" s="246">
        <f>IFERROR(VLOOKUP(D1584,PROGRAMAS[],2,FALSE),0)</f>
        <v>97037803.679377079</v>
      </c>
      <c r="S1584" s="246">
        <f>IFERROR(VLOOKUP(E1584,PROGRAMAS[],2,FALSE),0)</f>
        <v>640501509.6821388</v>
      </c>
      <c r="T1584" s="246">
        <f>IFERROR(VLOOKUP(F1584,PROGRAMAS[],2,FALSE),0)</f>
        <v>3062327798.1525245</v>
      </c>
      <c r="U1584" s="246">
        <f>IFERROR(VLOOKUP(G1584,PROGRAMAS[],2,FALSE),0)</f>
        <v>67697118.033011258</v>
      </c>
      <c r="V1584" s="246">
        <f>IFERROR(VLOOKUP(H1584,PROGRAMAS[],2,FALSE),0)</f>
        <v>1440941976.2528784</v>
      </c>
      <c r="W1584" s="246">
        <f>IFERROR(VLOOKUP(I1584,PROGRAMAS[],2,FALSE),0)</f>
        <v>6128579952.1618185</v>
      </c>
      <c r="X1584" s="246">
        <f>IFERROR(VLOOKUP(J1584,PROGRAMAS[],2,FALSE),0)</f>
        <v>764796700.79905891</v>
      </c>
      <c r="Y1584" s="246">
        <f>IFERROR(VLOOKUP(K1584,PROGRAMAS[],2,FALSE),0)</f>
        <v>54223862.645839565</v>
      </c>
      <c r="Z1584" s="246">
        <f>IFERROR(VLOOKUP(L1584,PROGRAMAS[],2,FALSE),0)</f>
        <v>122159672.96346797</v>
      </c>
      <c r="AA1584" s="246">
        <f>IFERROR(VLOOKUP(M1584,PROGRAMAS[],2,FALSE),0)</f>
        <v>1892779498.5211046</v>
      </c>
      <c r="AB1584" s="246">
        <f>IFERROR(VLOOKUP(N1584,PROGRAMAS[],2,FALSE),0)</f>
        <v>0</v>
      </c>
      <c r="AC1584" s="246">
        <f>IFERROR(VLOOKUP(O1584,PROGRAMAS[],2,FALSE),0)</f>
        <v>0</v>
      </c>
      <c r="AD1584" s="246">
        <f>IFERROR(VLOOKUP(P1584,PROGRAMAS[],2,FALSE),0)</f>
        <v>0</v>
      </c>
      <c r="AE1584" s="246">
        <f>IFERROR(VLOOKUP(Q1584,PROGRAMAS[],2,FALSE),0)</f>
        <v>0</v>
      </c>
      <c r="AF1584" s="246">
        <f>IFERROR(VLOOKUP(D1584,PROGRAMAS[],3,FALSE),0)</f>
        <v>841888629.31080008</v>
      </c>
      <c r="AG1584" s="246">
        <f>IFERROR(VLOOKUP(E1584,PROGRAMAS[],3,FALSE),0)</f>
        <v>3848980803.1642323</v>
      </c>
      <c r="AH1584" s="246">
        <f>IFERROR(VLOOKUP(F1584,PROGRAMAS[],3,FALSE),0)</f>
        <v>3394901471.387517</v>
      </c>
      <c r="AI1584" s="246">
        <f>IFERROR(VLOOKUP(G1584,PROGRAMAS[],3,FALSE),0)</f>
        <v>125317226.95549992</v>
      </c>
      <c r="AJ1584" s="246">
        <f>IFERROR(VLOOKUP(H1584,PROGRAMAS[],3,FALSE),0)</f>
        <v>1233505101.0616004</v>
      </c>
      <c r="AK1584" s="246">
        <f>IFERROR(VLOOKUP(I1584,PROGRAMAS[],3,FALSE),0)</f>
        <v>7011279577.519702</v>
      </c>
      <c r="AL1584" s="246">
        <f>IFERROR(VLOOKUP(J1584,PROGRAMAS[],3,FALSE),0)</f>
        <v>675517840.109828</v>
      </c>
      <c r="AM1584" s="246">
        <f>IFERROR(VLOOKUP(K1584,PROGRAMAS[],3,FALSE),0)</f>
        <v>31865326.38096505</v>
      </c>
      <c r="AN1584" s="246">
        <f>IFERROR(VLOOKUP(L1584,PROGRAMAS[],3,FALSE),0)</f>
        <v>118617452.52510804</v>
      </c>
      <c r="AO1584" s="246">
        <f>IFERROR(VLOOKUP(M1584,PROGRAMAS[],3,FALSE),0)</f>
        <v>948595847.09039903</v>
      </c>
      <c r="AP1584" s="246">
        <f>IFERROR(VLOOKUP(N1584,PROGRAMAS[],3,FALSE),0)</f>
        <v>0</v>
      </c>
      <c r="AQ1584" s="246">
        <f>IFERROR(VLOOKUP(O1584,PROGRAMAS[],3,FALSE),0)</f>
        <v>0</v>
      </c>
      <c r="AR1584" s="246">
        <f>IFERROR(VLOOKUP(P1584,PROGRAMAS[],3,FALSE),0)</f>
        <v>0</v>
      </c>
      <c r="AS1584" s="246">
        <f>IFERROR(VLOOKUP(Q1584,PROGRAMAS[],3,FALSE),0)</f>
        <v>0</v>
      </c>
      <c r="AT1584" s="246">
        <f>IFERROR(VLOOKUP(D1584,VOL_REC[],2,FALSE),0)</f>
        <v>0</v>
      </c>
      <c r="AU1584" s="246">
        <f>IFERROR(VLOOKUP(E1584,VOL_REC[],2,FALSE),0)</f>
        <v>0</v>
      </c>
      <c r="AV1584" s="246">
        <f>IFERROR(VLOOKUP(F1584,VOL_REC[],2,FALSE),0)</f>
        <v>11089674.200000001</v>
      </c>
      <c r="AW1584" s="246">
        <f>IFERROR(VLOOKUP(G1584,VOL_REC[],2,FALSE),0)</f>
        <v>90439.55</v>
      </c>
      <c r="AX1584" s="246">
        <f>IFERROR(VLOOKUP(H1584,VOL_REC[],2,FALSE),0)</f>
        <v>4325103.1812214684</v>
      </c>
      <c r="AY1584" s="246">
        <f>IFERROR(VLOOKUP(I1584,VOL_REC[],2,FALSE),0)</f>
        <v>3761786</v>
      </c>
      <c r="AZ1584" s="246">
        <f>IFERROR(VLOOKUP(J1584,VOL_REC[],2,FALSE),0)</f>
        <v>240696.79238099116</v>
      </c>
      <c r="BA1584" s="246">
        <f>IFERROR(VLOOKUP(K1584,VOL_REC[],2,FALSE),0)</f>
        <v>17074.045034105649</v>
      </c>
      <c r="BB1584" s="246">
        <f>IFERROR(VLOOKUP(L1584,VOL_REC[],2,FALSE),0)</f>
        <v>105072</v>
      </c>
      <c r="BC1584" s="246">
        <f>IFERROR(VLOOKUP(M1584,VOL_REC[],2,FALSE),0)</f>
        <v>740113.98115702497</v>
      </c>
      <c r="BD1584" s="246">
        <f>IFERROR(VLOOKUP(N1584,VOL_REC[],2,FALSE),0)</f>
        <v>0</v>
      </c>
      <c r="BE1584" s="246">
        <f>IFERROR(VLOOKUP(O1584,VOL_REC[],2,FALSE),0)</f>
        <v>0</v>
      </c>
      <c r="BF1584" s="246">
        <f>IFERROR(VLOOKUP(P1584,VOL_REC[],2,FALSE),0)</f>
        <v>0</v>
      </c>
      <c r="BG1584" s="246">
        <f>IFERROR(VLOOKUP(Q1584,VOL_REC[],2,FALSE),0)</f>
        <v>0</v>
      </c>
      <c r="BH1584" s="1710">
        <f t="shared" si="96"/>
        <v>14271045892.891222</v>
      </c>
      <c r="BI1584" s="1710">
        <f t="shared" si="97"/>
        <v>18230469275.505653</v>
      </c>
      <c r="BJ1584" s="1711">
        <f t="shared" si="98"/>
        <v>20369959.749793593</v>
      </c>
      <c r="BK1584" s="1711">
        <f t="shared" si="99"/>
        <v>0.78281286549577256</v>
      </c>
    </row>
    <row r="1585" spans="3:67" x14ac:dyDescent="0.25">
      <c r="C1585" s="246" t="s">
        <v>2935</v>
      </c>
      <c r="D1585" s="246">
        <v>1</v>
      </c>
      <c r="E1585" s="246">
        <v>2</v>
      </c>
      <c r="F1585" s="246">
        <v>3</v>
      </c>
      <c r="G1585" s="246">
        <v>4</v>
      </c>
      <c r="H1585" s="246">
        <v>5</v>
      </c>
      <c r="I1585" s="246">
        <v>9</v>
      </c>
      <c r="J1585" s="246">
        <v>12</v>
      </c>
      <c r="K1585" s="246">
        <v>14</v>
      </c>
      <c r="L1585" s="246">
        <v>16</v>
      </c>
      <c r="M1585" s="246">
        <v>17</v>
      </c>
      <c r="N1585" s="246"/>
      <c r="O1585" s="246"/>
      <c r="P1585" s="246"/>
      <c r="Q1585" s="246"/>
      <c r="R1585" s="246">
        <f>IFERROR(VLOOKUP(D1585,PROGRAMAS[],2,FALSE),0)</f>
        <v>97037803.679377079</v>
      </c>
      <c r="S1585" s="246">
        <f>IFERROR(VLOOKUP(E1585,PROGRAMAS[],2,FALSE),0)</f>
        <v>640501509.6821388</v>
      </c>
      <c r="T1585" s="246">
        <f>IFERROR(VLOOKUP(F1585,PROGRAMAS[],2,FALSE),0)</f>
        <v>3062327798.1525245</v>
      </c>
      <c r="U1585" s="246">
        <f>IFERROR(VLOOKUP(G1585,PROGRAMAS[],2,FALSE),0)</f>
        <v>67697118.033011258</v>
      </c>
      <c r="V1585" s="246">
        <f>IFERROR(VLOOKUP(H1585,PROGRAMAS[],2,FALSE),0)</f>
        <v>1440941976.2528784</v>
      </c>
      <c r="W1585" s="246">
        <f>IFERROR(VLOOKUP(I1585,PROGRAMAS[],2,FALSE),0)</f>
        <v>6128579952.1618185</v>
      </c>
      <c r="X1585" s="246">
        <f>IFERROR(VLOOKUP(J1585,PROGRAMAS[],2,FALSE),0)</f>
        <v>764796700.79905891</v>
      </c>
      <c r="Y1585" s="246">
        <f>IFERROR(VLOOKUP(K1585,PROGRAMAS[],2,FALSE),0)</f>
        <v>54223862.645839565</v>
      </c>
      <c r="Z1585" s="246">
        <f>IFERROR(VLOOKUP(L1585,PROGRAMAS[],2,FALSE),0)</f>
        <v>7068496961.0436354</v>
      </c>
      <c r="AA1585" s="246">
        <f>IFERROR(VLOOKUP(M1585,PROGRAMAS[],2,FALSE),0)</f>
        <v>1892779498.5211046</v>
      </c>
      <c r="AB1585" s="246">
        <f>IFERROR(VLOOKUP(N1585,PROGRAMAS[],2,FALSE),0)</f>
        <v>0</v>
      </c>
      <c r="AC1585" s="246">
        <f>IFERROR(VLOOKUP(O1585,PROGRAMAS[],2,FALSE),0)</f>
        <v>0</v>
      </c>
      <c r="AD1585" s="246">
        <f>IFERROR(VLOOKUP(P1585,PROGRAMAS[],2,FALSE),0)</f>
        <v>0</v>
      </c>
      <c r="AE1585" s="246">
        <f>IFERROR(VLOOKUP(Q1585,PROGRAMAS[],2,FALSE),0)</f>
        <v>0</v>
      </c>
      <c r="AF1585" s="246">
        <f>IFERROR(VLOOKUP(D1585,PROGRAMAS[],3,FALSE),0)</f>
        <v>841888629.31080008</v>
      </c>
      <c r="AG1585" s="246">
        <f>IFERROR(VLOOKUP(E1585,PROGRAMAS[],3,FALSE),0)</f>
        <v>3848980803.1642323</v>
      </c>
      <c r="AH1585" s="246">
        <f>IFERROR(VLOOKUP(F1585,PROGRAMAS[],3,FALSE),0)</f>
        <v>3394901471.387517</v>
      </c>
      <c r="AI1585" s="246">
        <f>IFERROR(VLOOKUP(G1585,PROGRAMAS[],3,FALSE),0)</f>
        <v>125317226.95549992</v>
      </c>
      <c r="AJ1585" s="246">
        <f>IFERROR(VLOOKUP(H1585,PROGRAMAS[],3,FALSE),0)</f>
        <v>1233505101.0616004</v>
      </c>
      <c r="AK1585" s="246">
        <f>IFERROR(VLOOKUP(I1585,PROGRAMAS[],3,FALSE),0)</f>
        <v>7011279577.519702</v>
      </c>
      <c r="AL1585" s="246">
        <f>IFERROR(VLOOKUP(J1585,PROGRAMAS[],3,FALSE),0)</f>
        <v>675517840.109828</v>
      </c>
      <c r="AM1585" s="246">
        <f>IFERROR(VLOOKUP(K1585,PROGRAMAS[],3,FALSE),0)</f>
        <v>31865326.38096505</v>
      </c>
      <c r="AN1585" s="246">
        <f>IFERROR(VLOOKUP(L1585,PROGRAMAS[],3,FALSE),0)</f>
        <v>2406564599.0319901</v>
      </c>
      <c r="AO1585" s="246">
        <f>IFERROR(VLOOKUP(M1585,PROGRAMAS[],3,FALSE),0)</f>
        <v>948595847.09039903</v>
      </c>
      <c r="AP1585" s="246">
        <f>IFERROR(VLOOKUP(N1585,PROGRAMAS[],3,FALSE),0)</f>
        <v>0</v>
      </c>
      <c r="AQ1585" s="246">
        <f>IFERROR(VLOOKUP(O1585,PROGRAMAS[],3,FALSE),0)</f>
        <v>0</v>
      </c>
      <c r="AR1585" s="246">
        <f>IFERROR(VLOOKUP(P1585,PROGRAMAS[],3,FALSE),0)</f>
        <v>0</v>
      </c>
      <c r="AS1585" s="246">
        <f>IFERROR(VLOOKUP(Q1585,PROGRAMAS[],3,FALSE),0)</f>
        <v>0</v>
      </c>
      <c r="AT1585" s="246">
        <f>IFERROR(VLOOKUP(D1585,VOL_REC[],2,FALSE),0)</f>
        <v>0</v>
      </c>
      <c r="AU1585" s="246">
        <f>IFERROR(VLOOKUP(E1585,VOL_REC[],2,FALSE),0)</f>
        <v>0</v>
      </c>
      <c r="AV1585" s="246">
        <f>IFERROR(VLOOKUP(F1585,VOL_REC[],2,FALSE),0)</f>
        <v>11089674.200000001</v>
      </c>
      <c r="AW1585" s="246">
        <f>IFERROR(VLOOKUP(G1585,VOL_REC[],2,FALSE),0)</f>
        <v>90439.55</v>
      </c>
      <c r="AX1585" s="246">
        <f>IFERROR(VLOOKUP(H1585,VOL_REC[],2,FALSE),0)</f>
        <v>4325103.1812214684</v>
      </c>
      <c r="AY1585" s="246">
        <f>IFERROR(VLOOKUP(I1585,VOL_REC[],2,FALSE),0)</f>
        <v>3761786</v>
      </c>
      <c r="AZ1585" s="246">
        <f>IFERROR(VLOOKUP(J1585,VOL_REC[],2,FALSE),0)</f>
        <v>240696.79238099116</v>
      </c>
      <c r="BA1585" s="246">
        <f>IFERROR(VLOOKUP(K1585,VOL_REC[],2,FALSE),0)</f>
        <v>17074.045034105649</v>
      </c>
      <c r="BB1585" s="246">
        <f>IFERROR(VLOOKUP(L1585,VOL_REC[],2,FALSE),0)</f>
        <v>1072354.9981737854</v>
      </c>
      <c r="BC1585" s="246">
        <f>IFERROR(VLOOKUP(M1585,VOL_REC[],2,FALSE),0)</f>
        <v>740113.98115702497</v>
      </c>
      <c r="BD1585" s="246">
        <f>IFERROR(VLOOKUP(N1585,VOL_REC[],2,FALSE),0)</f>
        <v>0</v>
      </c>
      <c r="BE1585" s="246">
        <f>IFERROR(VLOOKUP(O1585,VOL_REC[],2,FALSE),0)</f>
        <v>0</v>
      </c>
      <c r="BF1585" s="246">
        <f>IFERROR(VLOOKUP(P1585,VOL_REC[],2,FALSE),0)</f>
        <v>0</v>
      </c>
      <c r="BG1585" s="246">
        <f>IFERROR(VLOOKUP(Q1585,VOL_REC[],2,FALSE),0)</f>
        <v>0</v>
      </c>
      <c r="BH1585" s="1710">
        <f t="shared" si="96"/>
        <v>21217383180.971386</v>
      </c>
      <c r="BI1585" s="1710">
        <f t="shared" si="97"/>
        <v>20518416422.012535</v>
      </c>
      <c r="BJ1585" s="1711">
        <f t="shared" si="98"/>
        <v>21337242.747967377</v>
      </c>
      <c r="BK1585" s="1711">
        <f t="shared" si="99"/>
        <v>1.0340653364559356</v>
      </c>
      <c r="BL1585">
        <f>BJ1585</f>
        <v>21337242.747967377</v>
      </c>
      <c r="BO1585">
        <f>BL1585</f>
        <v>21337242.747967377</v>
      </c>
    </row>
    <row r="1586" spans="3:67" x14ac:dyDescent="0.25">
      <c r="C1586" s="246" t="s">
        <v>2936</v>
      </c>
      <c r="D1586" s="246">
        <v>1</v>
      </c>
      <c r="E1586" s="246">
        <v>2</v>
      </c>
      <c r="F1586" s="246">
        <v>3</v>
      </c>
      <c r="G1586" s="246">
        <v>4</v>
      </c>
      <c r="H1586" s="246">
        <v>5</v>
      </c>
      <c r="I1586" s="246">
        <v>9</v>
      </c>
      <c r="J1586" s="246">
        <v>12</v>
      </c>
      <c r="K1586" s="246">
        <v>15</v>
      </c>
      <c r="L1586" s="246">
        <v>16</v>
      </c>
      <c r="M1586" s="246">
        <v>17</v>
      </c>
      <c r="N1586" s="246"/>
      <c r="O1586" s="246"/>
      <c r="P1586" s="246"/>
      <c r="Q1586" s="246"/>
      <c r="R1586" s="246">
        <f>IFERROR(VLOOKUP(D1586,PROGRAMAS[],2,FALSE),0)</f>
        <v>97037803.679377079</v>
      </c>
      <c r="S1586" s="246">
        <f>IFERROR(VLOOKUP(E1586,PROGRAMAS[],2,FALSE),0)</f>
        <v>640501509.6821388</v>
      </c>
      <c r="T1586" s="246">
        <f>IFERROR(VLOOKUP(F1586,PROGRAMAS[],2,FALSE),0)</f>
        <v>3062327798.1525245</v>
      </c>
      <c r="U1586" s="246">
        <f>IFERROR(VLOOKUP(G1586,PROGRAMAS[],2,FALSE),0)</f>
        <v>67697118.033011258</v>
      </c>
      <c r="V1586" s="246">
        <f>IFERROR(VLOOKUP(H1586,PROGRAMAS[],2,FALSE),0)</f>
        <v>1440941976.2528784</v>
      </c>
      <c r="W1586" s="246">
        <f>IFERROR(VLOOKUP(I1586,PROGRAMAS[],2,FALSE),0)</f>
        <v>6128579952.1618185</v>
      </c>
      <c r="X1586" s="246">
        <f>IFERROR(VLOOKUP(J1586,PROGRAMAS[],2,FALSE),0)</f>
        <v>764796700.79905891</v>
      </c>
      <c r="Y1586" s="246">
        <f>IFERROR(VLOOKUP(K1586,PROGRAMAS[],2,FALSE),0)</f>
        <v>122159672.96346797</v>
      </c>
      <c r="Z1586" s="246">
        <f>IFERROR(VLOOKUP(L1586,PROGRAMAS[],2,FALSE),0)</f>
        <v>7068496961.0436354</v>
      </c>
      <c r="AA1586" s="246">
        <f>IFERROR(VLOOKUP(M1586,PROGRAMAS[],2,FALSE),0)</f>
        <v>1892779498.5211046</v>
      </c>
      <c r="AB1586" s="246">
        <f>IFERROR(VLOOKUP(N1586,PROGRAMAS[],2,FALSE),0)</f>
        <v>0</v>
      </c>
      <c r="AC1586" s="246">
        <f>IFERROR(VLOOKUP(O1586,PROGRAMAS[],2,FALSE),0)</f>
        <v>0</v>
      </c>
      <c r="AD1586" s="246">
        <f>IFERROR(VLOOKUP(P1586,PROGRAMAS[],2,FALSE),0)</f>
        <v>0</v>
      </c>
      <c r="AE1586" s="246">
        <f>IFERROR(VLOOKUP(Q1586,PROGRAMAS[],2,FALSE),0)</f>
        <v>0</v>
      </c>
      <c r="AF1586" s="246">
        <f>IFERROR(VLOOKUP(D1586,PROGRAMAS[],3,FALSE),0)</f>
        <v>841888629.31080008</v>
      </c>
      <c r="AG1586" s="246">
        <f>IFERROR(VLOOKUP(E1586,PROGRAMAS[],3,FALSE),0)</f>
        <v>3848980803.1642323</v>
      </c>
      <c r="AH1586" s="246">
        <f>IFERROR(VLOOKUP(F1586,PROGRAMAS[],3,FALSE),0)</f>
        <v>3394901471.387517</v>
      </c>
      <c r="AI1586" s="246">
        <f>IFERROR(VLOOKUP(G1586,PROGRAMAS[],3,FALSE),0)</f>
        <v>125317226.95549992</v>
      </c>
      <c r="AJ1586" s="246">
        <f>IFERROR(VLOOKUP(H1586,PROGRAMAS[],3,FALSE),0)</f>
        <v>1233505101.0616004</v>
      </c>
      <c r="AK1586" s="246">
        <f>IFERROR(VLOOKUP(I1586,PROGRAMAS[],3,FALSE),0)</f>
        <v>7011279577.519702</v>
      </c>
      <c r="AL1586" s="246">
        <f>IFERROR(VLOOKUP(J1586,PROGRAMAS[],3,FALSE),0)</f>
        <v>675517840.109828</v>
      </c>
      <c r="AM1586" s="246">
        <f>IFERROR(VLOOKUP(K1586,PROGRAMAS[],3,FALSE),0)</f>
        <v>118617452.52510804</v>
      </c>
      <c r="AN1586" s="246">
        <f>IFERROR(VLOOKUP(L1586,PROGRAMAS[],3,FALSE),0)</f>
        <v>2406564599.0319901</v>
      </c>
      <c r="AO1586" s="246">
        <f>IFERROR(VLOOKUP(M1586,PROGRAMAS[],3,FALSE),0)</f>
        <v>948595847.09039903</v>
      </c>
      <c r="AP1586" s="246">
        <f>IFERROR(VLOOKUP(N1586,PROGRAMAS[],3,FALSE),0)</f>
        <v>0</v>
      </c>
      <c r="AQ1586" s="246">
        <f>IFERROR(VLOOKUP(O1586,PROGRAMAS[],3,FALSE),0)</f>
        <v>0</v>
      </c>
      <c r="AR1586" s="246">
        <f>IFERROR(VLOOKUP(P1586,PROGRAMAS[],3,FALSE),0)</f>
        <v>0</v>
      </c>
      <c r="AS1586" s="246">
        <f>IFERROR(VLOOKUP(Q1586,PROGRAMAS[],3,FALSE),0)</f>
        <v>0</v>
      </c>
      <c r="AT1586" s="246">
        <f>IFERROR(VLOOKUP(D1586,VOL_REC[],2,FALSE),0)</f>
        <v>0</v>
      </c>
      <c r="AU1586" s="246">
        <f>IFERROR(VLOOKUP(E1586,VOL_REC[],2,FALSE),0)</f>
        <v>0</v>
      </c>
      <c r="AV1586" s="246">
        <f>IFERROR(VLOOKUP(F1586,VOL_REC[],2,FALSE),0)</f>
        <v>11089674.200000001</v>
      </c>
      <c r="AW1586" s="246">
        <f>IFERROR(VLOOKUP(G1586,VOL_REC[],2,FALSE),0)</f>
        <v>90439.55</v>
      </c>
      <c r="AX1586" s="246">
        <f>IFERROR(VLOOKUP(H1586,VOL_REC[],2,FALSE),0)</f>
        <v>4325103.1812214684</v>
      </c>
      <c r="AY1586" s="246">
        <f>IFERROR(VLOOKUP(I1586,VOL_REC[],2,FALSE),0)</f>
        <v>3761786</v>
      </c>
      <c r="AZ1586" s="246">
        <f>IFERROR(VLOOKUP(J1586,VOL_REC[],2,FALSE),0)</f>
        <v>240696.79238099116</v>
      </c>
      <c r="BA1586" s="246">
        <f>IFERROR(VLOOKUP(K1586,VOL_REC[],2,FALSE),0)</f>
        <v>105072</v>
      </c>
      <c r="BB1586" s="246">
        <f>IFERROR(VLOOKUP(L1586,VOL_REC[],2,FALSE),0)</f>
        <v>1072354.9981737854</v>
      </c>
      <c r="BC1586" s="246">
        <f>IFERROR(VLOOKUP(M1586,VOL_REC[],2,FALSE),0)</f>
        <v>740113.98115702497</v>
      </c>
      <c r="BD1586" s="246">
        <f>IFERROR(VLOOKUP(N1586,VOL_REC[],2,FALSE),0)</f>
        <v>0</v>
      </c>
      <c r="BE1586" s="246">
        <f>IFERROR(VLOOKUP(O1586,VOL_REC[],2,FALSE),0)</f>
        <v>0</v>
      </c>
      <c r="BF1586" s="246">
        <f>IFERROR(VLOOKUP(P1586,VOL_REC[],2,FALSE),0)</f>
        <v>0</v>
      </c>
      <c r="BG1586" s="246">
        <f>IFERROR(VLOOKUP(Q1586,VOL_REC[],2,FALSE),0)</f>
        <v>0</v>
      </c>
      <c r="BH1586" s="1710">
        <f t="shared" si="96"/>
        <v>21285318991.289017</v>
      </c>
      <c r="BI1586" s="1710">
        <f t="shared" si="97"/>
        <v>20605168548.156681</v>
      </c>
      <c r="BJ1586" s="1711">
        <f t="shared" si="98"/>
        <v>21425240.70293327</v>
      </c>
      <c r="BK1586" s="1711">
        <f t="shared" si="99"/>
        <v>1.0330087298991388</v>
      </c>
      <c r="BL1586">
        <f>BJ1586</f>
        <v>21425240.70293327</v>
      </c>
      <c r="BO1586">
        <f>BL1586</f>
        <v>21425240.70293327</v>
      </c>
    </row>
    <row r="1587" spans="3:67" x14ac:dyDescent="0.25">
      <c r="C1587" s="246" t="s">
        <v>2937</v>
      </c>
      <c r="D1587" s="246">
        <v>1</v>
      </c>
      <c r="E1587" s="246">
        <v>2</v>
      </c>
      <c r="F1587" s="246">
        <v>3</v>
      </c>
      <c r="G1587" s="246">
        <v>4</v>
      </c>
      <c r="H1587" s="246">
        <v>5</v>
      </c>
      <c r="I1587" s="246">
        <v>9</v>
      </c>
      <c r="J1587" s="246">
        <v>13</v>
      </c>
      <c r="K1587" s="246">
        <v>14</v>
      </c>
      <c r="L1587" s="246">
        <v>15</v>
      </c>
      <c r="M1587" s="246">
        <v>16</v>
      </c>
      <c r="N1587" s="246"/>
      <c r="O1587" s="246"/>
      <c r="P1587" s="246"/>
      <c r="Q1587" s="246"/>
      <c r="R1587" s="246">
        <f>IFERROR(VLOOKUP(D1587,PROGRAMAS[],2,FALSE),0)</f>
        <v>97037803.679377079</v>
      </c>
      <c r="S1587" s="246">
        <f>IFERROR(VLOOKUP(E1587,PROGRAMAS[],2,FALSE),0)</f>
        <v>640501509.6821388</v>
      </c>
      <c r="T1587" s="246">
        <f>IFERROR(VLOOKUP(F1587,PROGRAMAS[],2,FALSE),0)</f>
        <v>3062327798.1525245</v>
      </c>
      <c r="U1587" s="246">
        <f>IFERROR(VLOOKUP(G1587,PROGRAMAS[],2,FALSE),0)</f>
        <v>67697118.033011258</v>
      </c>
      <c r="V1587" s="246">
        <f>IFERROR(VLOOKUP(H1587,PROGRAMAS[],2,FALSE),0)</f>
        <v>1440941976.2528784</v>
      </c>
      <c r="W1587" s="246">
        <f>IFERROR(VLOOKUP(I1587,PROGRAMAS[],2,FALSE),0)</f>
        <v>6128579952.1618185</v>
      </c>
      <c r="X1587" s="246">
        <f>IFERROR(VLOOKUP(J1587,PROGRAMAS[],2,FALSE),0)</f>
        <v>3776538594.4604583</v>
      </c>
      <c r="Y1587" s="246">
        <f>IFERROR(VLOOKUP(K1587,PROGRAMAS[],2,FALSE),0)</f>
        <v>54223862.645839565</v>
      </c>
      <c r="Z1587" s="246">
        <f>IFERROR(VLOOKUP(L1587,PROGRAMAS[],2,FALSE),0)</f>
        <v>122159672.96346797</v>
      </c>
      <c r="AA1587" s="246">
        <f>IFERROR(VLOOKUP(M1587,PROGRAMAS[],2,FALSE),0)</f>
        <v>7068496961.0436354</v>
      </c>
      <c r="AB1587" s="246">
        <f>IFERROR(VLOOKUP(N1587,PROGRAMAS[],2,FALSE),0)</f>
        <v>0</v>
      </c>
      <c r="AC1587" s="246">
        <f>IFERROR(VLOOKUP(O1587,PROGRAMAS[],2,FALSE),0)</f>
        <v>0</v>
      </c>
      <c r="AD1587" s="246">
        <f>IFERROR(VLOOKUP(P1587,PROGRAMAS[],2,FALSE),0)</f>
        <v>0</v>
      </c>
      <c r="AE1587" s="246">
        <f>IFERROR(VLOOKUP(Q1587,PROGRAMAS[],2,FALSE),0)</f>
        <v>0</v>
      </c>
      <c r="AF1587" s="246">
        <f>IFERROR(VLOOKUP(D1587,PROGRAMAS[],3,FALSE),0)</f>
        <v>841888629.31080008</v>
      </c>
      <c r="AG1587" s="246">
        <f>IFERROR(VLOOKUP(E1587,PROGRAMAS[],3,FALSE),0)</f>
        <v>3848980803.1642323</v>
      </c>
      <c r="AH1587" s="246">
        <f>IFERROR(VLOOKUP(F1587,PROGRAMAS[],3,FALSE),0)</f>
        <v>3394901471.387517</v>
      </c>
      <c r="AI1587" s="246">
        <f>IFERROR(VLOOKUP(G1587,PROGRAMAS[],3,FALSE),0)</f>
        <v>125317226.95549992</v>
      </c>
      <c r="AJ1587" s="246">
        <f>IFERROR(VLOOKUP(H1587,PROGRAMAS[],3,FALSE),0)</f>
        <v>1233505101.0616004</v>
      </c>
      <c r="AK1587" s="246">
        <f>IFERROR(VLOOKUP(I1587,PROGRAMAS[],3,FALSE),0)</f>
        <v>7011279577.519702</v>
      </c>
      <c r="AL1587" s="246">
        <f>IFERROR(VLOOKUP(J1587,PROGRAMAS[],3,FALSE),0)</f>
        <v>2392571243.5584412</v>
      </c>
      <c r="AM1587" s="246">
        <f>IFERROR(VLOOKUP(K1587,PROGRAMAS[],3,FALSE),0)</f>
        <v>31865326.38096505</v>
      </c>
      <c r="AN1587" s="246">
        <f>IFERROR(VLOOKUP(L1587,PROGRAMAS[],3,FALSE),0)</f>
        <v>118617452.52510804</v>
      </c>
      <c r="AO1587" s="246">
        <f>IFERROR(VLOOKUP(M1587,PROGRAMAS[],3,FALSE),0)</f>
        <v>2406564599.0319901</v>
      </c>
      <c r="AP1587" s="246">
        <f>IFERROR(VLOOKUP(N1587,PROGRAMAS[],3,FALSE),0)</f>
        <v>0</v>
      </c>
      <c r="AQ1587" s="246">
        <f>IFERROR(VLOOKUP(O1587,PROGRAMAS[],3,FALSE),0)</f>
        <v>0</v>
      </c>
      <c r="AR1587" s="246">
        <f>IFERROR(VLOOKUP(P1587,PROGRAMAS[],3,FALSE),0)</f>
        <v>0</v>
      </c>
      <c r="AS1587" s="246">
        <f>IFERROR(VLOOKUP(Q1587,PROGRAMAS[],3,FALSE),0)</f>
        <v>0</v>
      </c>
      <c r="AT1587" s="246">
        <f>IFERROR(VLOOKUP(D1587,VOL_REC[],2,FALSE),0)</f>
        <v>0</v>
      </c>
      <c r="AU1587" s="246">
        <f>IFERROR(VLOOKUP(E1587,VOL_REC[],2,FALSE),0)</f>
        <v>0</v>
      </c>
      <c r="AV1587" s="246">
        <f>IFERROR(VLOOKUP(F1587,VOL_REC[],2,FALSE),0)</f>
        <v>11089674.200000001</v>
      </c>
      <c r="AW1587" s="246">
        <f>IFERROR(VLOOKUP(G1587,VOL_REC[],2,FALSE),0)</f>
        <v>90439.55</v>
      </c>
      <c r="AX1587" s="246">
        <f>IFERROR(VLOOKUP(H1587,VOL_REC[],2,FALSE),0)</f>
        <v>4325103.1812214684</v>
      </c>
      <c r="AY1587" s="246">
        <f>IFERROR(VLOOKUP(I1587,VOL_REC[],2,FALSE),0)</f>
        <v>3761786</v>
      </c>
      <c r="AZ1587" s="246">
        <f>IFERROR(VLOOKUP(J1587,VOL_REC[],2,FALSE),0)</f>
        <v>663244.80000000016</v>
      </c>
      <c r="BA1587" s="246">
        <f>IFERROR(VLOOKUP(K1587,VOL_REC[],2,FALSE),0)</f>
        <v>17074.045034105649</v>
      </c>
      <c r="BB1587" s="246">
        <f>IFERROR(VLOOKUP(L1587,VOL_REC[],2,FALSE),0)</f>
        <v>105072</v>
      </c>
      <c r="BC1587" s="246">
        <f>IFERROR(VLOOKUP(M1587,VOL_REC[],2,FALSE),0)</f>
        <v>1072354.9981737854</v>
      </c>
      <c r="BD1587" s="246">
        <f>IFERROR(VLOOKUP(N1587,VOL_REC[],2,FALSE),0)</f>
        <v>0</v>
      </c>
      <c r="BE1587" s="246">
        <f>IFERROR(VLOOKUP(O1587,VOL_REC[],2,FALSE),0)</f>
        <v>0</v>
      </c>
      <c r="BF1587" s="246">
        <f>IFERROR(VLOOKUP(P1587,VOL_REC[],2,FALSE),0)</f>
        <v>0</v>
      </c>
      <c r="BG1587" s="246">
        <f>IFERROR(VLOOKUP(Q1587,VOL_REC[],2,FALSE),0)</f>
        <v>0</v>
      </c>
      <c r="BH1587" s="1710">
        <f t="shared" si="96"/>
        <v>22458505249.075153</v>
      </c>
      <c r="BI1587" s="1710">
        <f t="shared" si="97"/>
        <v>21405491430.895859</v>
      </c>
      <c r="BJ1587" s="1711">
        <f t="shared" si="98"/>
        <v>21124748.774429362</v>
      </c>
      <c r="BK1587" s="1711">
        <f t="shared" si="99"/>
        <v>1.0491936296617519</v>
      </c>
      <c r="BL1587">
        <f>BJ1587</f>
        <v>21124748.774429362</v>
      </c>
      <c r="BO1587">
        <f>BL1587</f>
        <v>21124748.774429362</v>
      </c>
    </row>
    <row r="1588" spans="3:67" x14ac:dyDescent="0.25">
      <c r="C1588" s="246" t="s">
        <v>2938</v>
      </c>
      <c r="D1588" s="246">
        <v>1</v>
      </c>
      <c r="E1588" s="246">
        <v>2</v>
      </c>
      <c r="F1588" s="246">
        <v>3</v>
      </c>
      <c r="G1588" s="246">
        <v>4</v>
      </c>
      <c r="H1588" s="246">
        <v>5</v>
      </c>
      <c r="I1588" s="246">
        <v>9</v>
      </c>
      <c r="J1588" s="246">
        <v>13</v>
      </c>
      <c r="K1588" s="246">
        <v>14</v>
      </c>
      <c r="L1588" s="246">
        <v>15</v>
      </c>
      <c r="M1588" s="246">
        <v>17</v>
      </c>
      <c r="N1588" s="246"/>
      <c r="O1588" s="246"/>
      <c r="P1588" s="246"/>
      <c r="Q1588" s="246"/>
      <c r="R1588" s="246">
        <f>IFERROR(VLOOKUP(D1588,PROGRAMAS[],2,FALSE),0)</f>
        <v>97037803.679377079</v>
      </c>
      <c r="S1588" s="246">
        <f>IFERROR(VLOOKUP(E1588,PROGRAMAS[],2,FALSE),0)</f>
        <v>640501509.6821388</v>
      </c>
      <c r="T1588" s="246">
        <f>IFERROR(VLOOKUP(F1588,PROGRAMAS[],2,FALSE),0)</f>
        <v>3062327798.1525245</v>
      </c>
      <c r="U1588" s="246">
        <f>IFERROR(VLOOKUP(G1588,PROGRAMAS[],2,FALSE),0)</f>
        <v>67697118.033011258</v>
      </c>
      <c r="V1588" s="246">
        <f>IFERROR(VLOOKUP(H1588,PROGRAMAS[],2,FALSE),0)</f>
        <v>1440941976.2528784</v>
      </c>
      <c r="W1588" s="246">
        <f>IFERROR(VLOOKUP(I1588,PROGRAMAS[],2,FALSE),0)</f>
        <v>6128579952.1618185</v>
      </c>
      <c r="X1588" s="246">
        <f>IFERROR(VLOOKUP(J1588,PROGRAMAS[],2,FALSE),0)</f>
        <v>3776538594.4604583</v>
      </c>
      <c r="Y1588" s="246">
        <f>IFERROR(VLOOKUP(K1588,PROGRAMAS[],2,FALSE),0)</f>
        <v>54223862.645839565</v>
      </c>
      <c r="Z1588" s="246">
        <f>IFERROR(VLOOKUP(L1588,PROGRAMAS[],2,FALSE),0)</f>
        <v>122159672.96346797</v>
      </c>
      <c r="AA1588" s="246">
        <f>IFERROR(VLOOKUP(M1588,PROGRAMAS[],2,FALSE),0)</f>
        <v>1892779498.5211046</v>
      </c>
      <c r="AB1588" s="246">
        <f>IFERROR(VLOOKUP(N1588,PROGRAMAS[],2,FALSE),0)</f>
        <v>0</v>
      </c>
      <c r="AC1588" s="246">
        <f>IFERROR(VLOOKUP(O1588,PROGRAMAS[],2,FALSE),0)</f>
        <v>0</v>
      </c>
      <c r="AD1588" s="246">
        <f>IFERROR(VLOOKUP(P1588,PROGRAMAS[],2,FALSE),0)</f>
        <v>0</v>
      </c>
      <c r="AE1588" s="246">
        <f>IFERROR(VLOOKUP(Q1588,PROGRAMAS[],2,FALSE),0)</f>
        <v>0</v>
      </c>
      <c r="AF1588" s="246">
        <f>IFERROR(VLOOKUP(D1588,PROGRAMAS[],3,FALSE),0)</f>
        <v>841888629.31080008</v>
      </c>
      <c r="AG1588" s="246">
        <f>IFERROR(VLOOKUP(E1588,PROGRAMAS[],3,FALSE),0)</f>
        <v>3848980803.1642323</v>
      </c>
      <c r="AH1588" s="246">
        <f>IFERROR(VLOOKUP(F1588,PROGRAMAS[],3,FALSE),0)</f>
        <v>3394901471.387517</v>
      </c>
      <c r="AI1588" s="246">
        <f>IFERROR(VLOOKUP(G1588,PROGRAMAS[],3,FALSE),0)</f>
        <v>125317226.95549992</v>
      </c>
      <c r="AJ1588" s="246">
        <f>IFERROR(VLOOKUP(H1588,PROGRAMAS[],3,FALSE),0)</f>
        <v>1233505101.0616004</v>
      </c>
      <c r="AK1588" s="246">
        <f>IFERROR(VLOOKUP(I1588,PROGRAMAS[],3,FALSE),0)</f>
        <v>7011279577.519702</v>
      </c>
      <c r="AL1588" s="246">
        <f>IFERROR(VLOOKUP(J1588,PROGRAMAS[],3,FALSE),0)</f>
        <v>2392571243.5584412</v>
      </c>
      <c r="AM1588" s="246">
        <f>IFERROR(VLOOKUP(K1588,PROGRAMAS[],3,FALSE),0)</f>
        <v>31865326.38096505</v>
      </c>
      <c r="AN1588" s="246">
        <f>IFERROR(VLOOKUP(L1588,PROGRAMAS[],3,FALSE),0)</f>
        <v>118617452.52510804</v>
      </c>
      <c r="AO1588" s="246">
        <f>IFERROR(VLOOKUP(M1588,PROGRAMAS[],3,FALSE),0)</f>
        <v>948595847.09039903</v>
      </c>
      <c r="AP1588" s="246">
        <f>IFERROR(VLOOKUP(N1588,PROGRAMAS[],3,FALSE),0)</f>
        <v>0</v>
      </c>
      <c r="AQ1588" s="246">
        <f>IFERROR(VLOOKUP(O1588,PROGRAMAS[],3,FALSE),0)</f>
        <v>0</v>
      </c>
      <c r="AR1588" s="246">
        <f>IFERROR(VLOOKUP(P1588,PROGRAMAS[],3,FALSE),0)</f>
        <v>0</v>
      </c>
      <c r="AS1588" s="246">
        <f>IFERROR(VLOOKUP(Q1588,PROGRAMAS[],3,FALSE),0)</f>
        <v>0</v>
      </c>
      <c r="AT1588" s="246">
        <f>IFERROR(VLOOKUP(D1588,VOL_REC[],2,FALSE),0)</f>
        <v>0</v>
      </c>
      <c r="AU1588" s="246">
        <f>IFERROR(VLOOKUP(E1588,VOL_REC[],2,FALSE),0)</f>
        <v>0</v>
      </c>
      <c r="AV1588" s="246">
        <f>IFERROR(VLOOKUP(F1588,VOL_REC[],2,FALSE),0)</f>
        <v>11089674.200000001</v>
      </c>
      <c r="AW1588" s="246">
        <f>IFERROR(VLOOKUP(G1588,VOL_REC[],2,FALSE),0)</f>
        <v>90439.55</v>
      </c>
      <c r="AX1588" s="246">
        <f>IFERROR(VLOOKUP(H1588,VOL_REC[],2,FALSE),0)</f>
        <v>4325103.1812214684</v>
      </c>
      <c r="AY1588" s="246">
        <f>IFERROR(VLOOKUP(I1588,VOL_REC[],2,FALSE),0)</f>
        <v>3761786</v>
      </c>
      <c r="AZ1588" s="246">
        <f>IFERROR(VLOOKUP(J1588,VOL_REC[],2,FALSE),0)</f>
        <v>663244.80000000016</v>
      </c>
      <c r="BA1588" s="246">
        <f>IFERROR(VLOOKUP(K1588,VOL_REC[],2,FALSE),0)</f>
        <v>17074.045034105649</v>
      </c>
      <c r="BB1588" s="246">
        <f>IFERROR(VLOOKUP(L1588,VOL_REC[],2,FALSE),0)</f>
        <v>105072</v>
      </c>
      <c r="BC1588" s="246">
        <f>IFERROR(VLOOKUP(M1588,VOL_REC[],2,FALSE),0)</f>
        <v>740113.98115702497</v>
      </c>
      <c r="BD1588" s="246">
        <f>IFERROR(VLOOKUP(N1588,VOL_REC[],2,FALSE),0)</f>
        <v>0</v>
      </c>
      <c r="BE1588" s="246">
        <f>IFERROR(VLOOKUP(O1588,VOL_REC[],2,FALSE),0)</f>
        <v>0</v>
      </c>
      <c r="BF1588" s="246">
        <f>IFERROR(VLOOKUP(P1588,VOL_REC[],2,FALSE),0)</f>
        <v>0</v>
      </c>
      <c r="BG1588" s="246">
        <f>IFERROR(VLOOKUP(Q1588,VOL_REC[],2,FALSE),0)</f>
        <v>0</v>
      </c>
      <c r="BH1588" s="1710">
        <f t="shared" si="96"/>
        <v>17282787786.55262</v>
      </c>
      <c r="BI1588" s="1710">
        <f t="shared" si="97"/>
        <v>19947522678.954269</v>
      </c>
      <c r="BJ1588" s="1711">
        <f t="shared" si="98"/>
        <v>20792507.757412601</v>
      </c>
      <c r="BK1588" s="1711">
        <f t="shared" si="99"/>
        <v>0.86641274030418369</v>
      </c>
    </row>
    <row r="1589" spans="3:67" x14ac:dyDescent="0.25">
      <c r="C1589" s="246" t="s">
        <v>2939</v>
      </c>
      <c r="D1589" s="246">
        <v>1</v>
      </c>
      <c r="E1589" s="246">
        <v>2</v>
      </c>
      <c r="F1589" s="246">
        <v>3</v>
      </c>
      <c r="G1589" s="246">
        <v>4</v>
      </c>
      <c r="H1589" s="246">
        <v>5</v>
      </c>
      <c r="I1589" s="246">
        <v>9</v>
      </c>
      <c r="J1589" s="246">
        <v>13</v>
      </c>
      <c r="K1589" s="246">
        <v>14</v>
      </c>
      <c r="L1589" s="246">
        <v>16</v>
      </c>
      <c r="M1589" s="246">
        <v>17</v>
      </c>
      <c r="N1589" s="246"/>
      <c r="O1589" s="246"/>
      <c r="P1589" s="246"/>
      <c r="Q1589" s="246"/>
      <c r="R1589" s="246">
        <f>IFERROR(VLOOKUP(D1589,PROGRAMAS[],2,FALSE),0)</f>
        <v>97037803.679377079</v>
      </c>
      <c r="S1589" s="246">
        <f>IFERROR(VLOOKUP(E1589,PROGRAMAS[],2,FALSE),0)</f>
        <v>640501509.6821388</v>
      </c>
      <c r="T1589" s="246">
        <f>IFERROR(VLOOKUP(F1589,PROGRAMAS[],2,FALSE),0)</f>
        <v>3062327798.1525245</v>
      </c>
      <c r="U1589" s="246">
        <f>IFERROR(VLOOKUP(G1589,PROGRAMAS[],2,FALSE),0)</f>
        <v>67697118.033011258</v>
      </c>
      <c r="V1589" s="246">
        <f>IFERROR(VLOOKUP(H1589,PROGRAMAS[],2,FALSE),0)</f>
        <v>1440941976.2528784</v>
      </c>
      <c r="W1589" s="246">
        <f>IFERROR(VLOOKUP(I1589,PROGRAMAS[],2,FALSE),0)</f>
        <v>6128579952.1618185</v>
      </c>
      <c r="X1589" s="246">
        <f>IFERROR(VLOOKUP(J1589,PROGRAMAS[],2,FALSE),0)</f>
        <v>3776538594.4604583</v>
      </c>
      <c r="Y1589" s="246">
        <f>IFERROR(VLOOKUP(K1589,PROGRAMAS[],2,FALSE),0)</f>
        <v>54223862.645839565</v>
      </c>
      <c r="Z1589" s="246">
        <f>IFERROR(VLOOKUP(L1589,PROGRAMAS[],2,FALSE),0)</f>
        <v>7068496961.0436354</v>
      </c>
      <c r="AA1589" s="246">
        <f>IFERROR(VLOOKUP(M1589,PROGRAMAS[],2,FALSE),0)</f>
        <v>1892779498.5211046</v>
      </c>
      <c r="AB1589" s="246">
        <f>IFERROR(VLOOKUP(N1589,PROGRAMAS[],2,FALSE),0)</f>
        <v>0</v>
      </c>
      <c r="AC1589" s="246">
        <f>IFERROR(VLOOKUP(O1589,PROGRAMAS[],2,FALSE),0)</f>
        <v>0</v>
      </c>
      <c r="AD1589" s="246">
        <f>IFERROR(VLOOKUP(P1589,PROGRAMAS[],2,FALSE),0)</f>
        <v>0</v>
      </c>
      <c r="AE1589" s="246">
        <f>IFERROR(VLOOKUP(Q1589,PROGRAMAS[],2,FALSE),0)</f>
        <v>0</v>
      </c>
      <c r="AF1589" s="246">
        <f>IFERROR(VLOOKUP(D1589,PROGRAMAS[],3,FALSE),0)</f>
        <v>841888629.31080008</v>
      </c>
      <c r="AG1589" s="246">
        <f>IFERROR(VLOOKUP(E1589,PROGRAMAS[],3,FALSE),0)</f>
        <v>3848980803.1642323</v>
      </c>
      <c r="AH1589" s="246">
        <f>IFERROR(VLOOKUP(F1589,PROGRAMAS[],3,FALSE),0)</f>
        <v>3394901471.387517</v>
      </c>
      <c r="AI1589" s="246">
        <f>IFERROR(VLOOKUP(G1589,PROGRAMAS[],3,FALSE),0)</f>
        <v>125317226.95549992</v>
      </c>
      <c r="AJ1589" s="246">
        <f>IFERROR(VLOOKUP(H1589,PROGRAMAS[],3,FALSE),0)</f>
        <v>1233505101.0616004</v>
      </c>
      <c r="AK1589" s="246">
        <f>IFERROR(VLOOKUP(I1589,PROGRAMAS[],3,FALSE),0)</f>
        <v>7011279577.519702</v>
      </c>
      <c r="AL1589" s="246">
        <f>IFERROR(VLOOKUP(J1589,PROGRAMAS[],3,FALSE),0)</f>
        <v>2392571243.5584412</v>
      </c>
      <c r="AM1589" s="246">
        <f>IFERROR(VLOOKUP(K1589,PROGRAMAS[],3,FALSE),0)</f>
        <v>31865326.38096505</v>
      </c>
      <c r="AN1589" s="246">
        <f>IFERROR(VLOOKUP(L1589,PROGRAMAS[],3,FALSE),0)</f>
        <v>2406564599.0319901</v>
      </c>
      <c r="AO1589" s="246">
        <f>IFERROR(VLOOKUP(M1589,PROGRAMAS[],3,FALSE),0)</f>
        <v>948595847.09039903</v>
      </c>
      <c r="AP1589" s="246">
        <f>IFERROR(VLOOKUP(N1589,PROGRAMAS[],3,FALSE),0)</f>
        <v>0</v>
      </c>
      <c r="AQ1589" s="246">
        <f>IFERROR(VLOOKUP(O1589,PROGRAMAS[],3,FALSE),0)</f>
        <v>0</v>
      </c>
      <c r="AR1589" s="246">
        <f>IFERROR(VLOOKUP(P1589,PROGRAMAS[],3,FALSE),0)</f>
        <v>0</v>
      </c>
      <c r="AS1589" s="246">
        <f>IFERROR(VLOOKUP(Q1589,PROGRAMAS[],3,FALSE),0)</f>
        <v>0</v>
      </c>
      <c r="AT1589" s="246">
        <f>IFERROR(VLOOKUP(D1589,VOL_REC[],2,FALSE),0)</f>
        <v>0</v>
      </c>
      <c r="AU1589" s="246">
        <f>IFERROR(VLOOKUP(E1589,VOL_REC[],2,FALSE),0)</f>
        <v>0</v>
      </c>
      <c r="AV1589" s="246">
        <f>IFERROR(VLOOKUP(F1589,VOL_REC[],2,FALSE),0)</f>
        <v>11089674.200000001</v>
      </c>
      <c r="AW1589" s="246">
        <f>IFERROR(VLOOKUP(G1589,VOL_REC[],2,FALSE),0)</f>
        <v>90439.55</v>
      </c>
      <c r="AX1589" s="246">
        <f>IFERROR(VLOOKUP(H1589,VOL_REC[],2,FALSE),0)</f>
        <v>4325103.1812214684</v>
      </c>
      <c r="AY1589" s="246">
        <f>IFERROR(VLOOKUP(I1589,VOL_REC[],2,FALSE),0)</f>
        <v>3761786</v>
      </c>
      <c r="AZ1589" s="246">
        <f>IFERROR(VLOOKUP(J1589,VOL_REC[],2,FALSE),0)</f>
        <v>663244.80000000016</v>
      </c>
      <c r="BA1589" s="246">
        <f>IFERROR(VLOOKUP(K1589,VOL_REC[],2,FALSE),0)</f>
        <v>17074.045034105649</v>
      </c>
      <c r="BB1589" s="246">
        <f>IFERROR(VLOOKUP(L1589,VOL_REC[],2,FALSE),0)</f>
        <v>1072354.9981737854</v>
      </c>
      <c r="BC1589" s="246">
        <f>IFERROR(VLOOKUP(M1589,VOL_REC[],2,FALSE),0)</f>
        <v>740113.98115702497</v>
      </c>
      <c r="BD1589" s="246">
        <f>IFERROR(VLOOKUP(N1589,VOL_REC[],2,FALSE),0)</f>
        <v>0</v>
      </c>
      <c r="BE1589" s="246">
        <f>IFERROR(VLOOKUP(O1589,VOL_REC[],2,FALSE),0)</f>
        <v>0</v>
      </c>
      <c r="BF1589" s="246">
        <f>IFERROR(VLOOKUP(P1589,VOL_REC[],2,FALSE),0)</f>
        <v>0</v>
      </c>
      <c r="BG1589" s="246">
        <f>IFERROR(VLOOKUP(Q1589,VOL_REC[],2,FALSE),0)</f>
        <v>0</v>
      </c>
      <c r="BH1589" s="1710">
        <f t="shared" si="96"/>
        <v>24229125074.632786</v>
      </c>
      <c r="BI1589" s="1710">
        <f t="shared" si="97"/>
        <v>22235469825.461151</v>
      </c>
      <c r="BJ1589" s="1711">
        <f t="shared" si="98"/>
        <v>21759790.755586386</v>
      </c>
      <c r="BK1589" s="1711">
        <f t="shared" si="99"/>
        <v>1.0896610354906358</v>
      </c>
      <c r="BL1589">
        <f>BJ1589</f>
        <v>21759790.755586386</v>
      </c>
      <c r="BO1589">
        <f>BL1589</f>
        <v>21759790.755586386</v>
      </c>
    </row>
    <row r="1590" spans="3:67" x14ac:dyDescent="0.25">
      <c r="C1590" s="246" t="s">
        <v>2940</v>
      </c>
      <c r="D1590" s="246">
        <v>1</v>
      </c>
      <c r="E1590" s="246">
        <v>2</v>
      </c>
      <c r="F1590" s="246">
        <v>3</v>
      </c>
      <c r="G1590" s="246">
        <v>4</v>
      </c>
      <c r="H1590" s="246">
        <v>5</v>
      </c>
      <c r="I1590" s="246">
        <v>9</v>
      </c>
      <c r="J1590" s="246">
        <v>13</v>
      </c>
      <c r="K1590" s="246">
        <v>15</v>
      </c>
      <c r="L1590" s="246">
        <v>16</v>
      </c>
      <c r="M1590" s="246">
        <v>17</v>
      </c>
      <c r="N1590" s="246"/>
      <c r="O1590" s="246"/>
      <c r="P1590" s="246"/>
      <c r="Q1590" s="246"/>
      <c r="R1590" s="246">
        <f>IFERROR(VLOOKUP(D1590,PROGRAMAS[],2,FALSE),0)</f>
        <v>97037803.679377079</v>
      </c>
      <c r="S1590" s="246">
        <f>IFERROR(VLOOKUP(E1590,PROGRAMAS[],2,FALSE),0)</f>
        <v>640501509.6821388</v>
      </c>
      <c r="T1590" s="246">
        <f>IFERROR(VLOOKUP(F1590,PROGRAMAS[],2,FALSE),0)</f>
        <v>3062327798.1525245</v>
      </c>
      <c r="U1590" s="246">
        <f>IFERROR(VLOOKUP(G1590,PROGRAMAS[],2,FALSE),0)</f>
        <v>67697118.033011258</v>
      </c>
      <c r="V1590" s="246">
        <f>IFERROR(VLOOKUP(H1590,PROGRAMAS[],2,FALSE),0)</f>
        <v>1440941976.2528784</v>
      </c>
      <c r="W1590" s="246">
        <f>IFERROR(VLOOKUP(I1590,PROGRAMAS[],2,FALSE),0)</f>
        <v>6128579952.1618185</v>
      </c>
      <c r="X1590" s="246">
        <f>IFERROR(VLOOKUP(J1590,PROGRAMAS[],2,FALSE),0)</f>
        <v>3776538594.4604583</v>
      </c>
      <c r="Y1590" s="246">
        <f>IFERROR(VLOOKUP(K1590,PROGRAMAS[],2,FALSE),0)</f>
        <v>122159672.96346797</v>
      </c>
      <c r="Z1590" s="246">
        <f>IFERROR(VLOOKUP(L1590,PROGRAMAS[],2,FALSE),0)</f>
        <v>7068496961.0436354</v>
      </c>
      <c r="AA1590" s="246">
        <f>IFERROR(VLOOKUP(M1590,PROGRAMAS[],2,FALSE),0)</f>
        <v>1892779498.5211046</v>
      </c>
      <c r="AB1590" s="246">
        <f>IFERROR(VLOOKUP(N1590,PROGRAMAS[],2,FALSE),0)</f>
        <v>0</v>
      </c>
      <c r="AC1590" s="246">
        <f>IFERROR(VLOOKUP(O1590,PROGRAMAS[],2,FALSE),0)</f>
        <v>0</v>
      </c>
      <c r="AD1590" s="246">
        <f>IFERROR(VLOOKUP(P1590,PROGRAMAS[],2,FALSE),0)</f>
        <v>0</v>
      </c>
      <c r="AE1590" s="246">
        <f>IFERROR(VLOOKUP(Q1590,PROGRAMAS[],2,FALSE),0)</f>
        <v>0</v>
      </c>
      <c r="AF1590" s="246">
        <f>IFERROR(VLOOKUP(D1590,PROGRAMAS[],3,FALSE),0)</f>
        <v>841888629.31080008</v>
      </c>
      <c r="AG1590" s="246">
        <f>IFERROR(VLOOKUP(E1590,PROGRAMAS[],3,FALSE),0)</f>
        <v>3848980803.1642323</v>
      </c>
      <c r="AH1590" s="246">
        <f>IFERROR(VLOOKUP(F1590,PROGRAMAS[],3,FALSE),0)</f>
        <v>3394901471.387517</v>
      </c>
      <c r="AI1590" s="246">
        <f>IFERROR(VLOOKUP(G1590,PROGRAMAS[],3,FALSE),0)</f>
        <v>125317226.95549992</v>
      </c>
      <c r="AJ1590" s="246">
        <f>IFERROR(VLOOKUP(H1590,PROGRAMAS[],3,FALSE),0)</f>
        <v>1233505101.0616004</v>
      </c>
      <c r="AK1590" s="246">
        <f>IFERROR(VLOOKUP(I1590,PROGRAMAS[],3,FALSE),0)</f>
        <v>7011279577.519702</v>
      </c>
      <c r="AL1590" s="246">
        <f>IFERROR(VLOOKUP(J1590,PROGRAMAS[],3,FALSE),0)</f>
        <v>2392571243.5584412</v>
      </c>
      <c r="AM1590" s="246">
        <f>IFERROR(VLOOKUP(K1590,PROGRAMAS[],3,FALSE),0)</f>
        <v>118617452.52510804</v>
      </c>
      <c r="AN1590" s="246">
        <f>IFERROR(VLOOKUP(L1590,PROGRAMAS[],3,FALSE),0)</f>
        <v>2406564599.0319901</v>
      </c>
      <c r="AO1590" s="246">
        <f>IFERROR(VLOOKUP(M1590,PROGRAMAS[],3,FALSE),0)</f>
        <v>948595847.09039903</v>
      </c>
      <c r="AP1590" s="246">
        <f>IFERROR(VLOOKUP(N1590,PROGRAMAS[],3,FALSE),0)</f>
        <v>0</v>
      </c>
      <c r="AQ1590" s="246">
        <f>IFERROR(VLOOKUP(O1590,PROGRAMAS[],3,FALSE),0)</f>
        <v>0</v>
      </c>
      <c r="AR1590" s="246">
        <f>IFERROR(VLOOKUP(P1590,PROGRAMAS[],3,FALSE),0)</f>
        <v>0</v>
      </c>
      <c r="AS1590" s="246">
        <f>IFERROR(VLOOKUP(Q1590,PROGRAMAS[],3,FALSE),0)</f>
        <v>0</v>
      </c>
      <c r="AT1590" s="246">
        <f>IFERROR(VLOOKUP(D1590,VOL_REC[],2,FALSE),0)</f>
        <v>0</v>
      </c>
      <c r="AU1590" s="246">
        <f>IFERROR(VLOOKUP(E1590,VOL_REC[],2,FALSE),0)</f>
        <v>0</v>
      </c>
      <c r="AV1590" s="246">
        <f>IFERROR(VLOOKUP(F1590,VOL_REC[],2,FALSE),0)</f>
        <v>11089674.200000001</v>
      </c>
      <c r="AW1590" s="246">
        <f>IFERROR(VLOOKUP(G1590,VOL_REC[],2,FALSE),0)</f>
        <v>90439.55</v>
      </c>
      <c r="AX1590" s="246">
        <f>IFERROR(VLOOKUP(H1590,VOL_REC[],2,FALSE),0)</f>
        <v>4325103.1812214684</v>
      </c>
      <c r="AY1590" s="246">
        <f>IFERROR(VLOOKUP(I1590,VOL_REC[],2,FALSE),0)</f>
        <v>3761786</v>
      </c>
      <c r="AZ1590" s="246">
        <f>IFERROR(VLOOKUP(J1590,VOL_REC[],2,FALSE),0)</f>
        <v>663244.80000000016</v>
      </c>
      <c r="BA1590" s="246">
        <f>IFERROR(VLOOKUP(K1590,VOL_REC[],2,FALSE),0)</f>
        <v>105072</v>
      </c>
      <c r="BB1590" s="246">
        <f>IFERROR(VLOOKUP(L1590,VOL_REC[],2,FALSE),0)</f>
        <v>1072354.9981737854</v>
      </c>
      <c r="BC1590" s="246">
        <f>IFERROR(VLOOKUP(M1590,VOL_REC[],2,FALSE),0)</f>
        <v>740113.98115702497</v>
      </c>
      <c r="BD1590" s="246">
        <f>IFERROR(VLOOKUP(N1590,VOL_REC[],2,FALSE),0)</f>
        <v>0</v>
      </c>
      <c r="BE1590" s="246">
        <f>IFERROR(VLOOKUP(O1590,VOL_REC[],2,FALSE),0)</f>
        <v>0</v>
      </c>
      <c r="BF1590" s="246">
        <f>IFERROR(VLOOKUP(P1590,VOL_REC[],2,FALSE),0)</f>
        <v>0</v>
      </c>
      <c r="BG1590" s="246">
        <f>IFERROR(VLOOKUP(Q1590,VOL_REC[],2,FALSE),0)</f>
        <v>0</v>
      </c>
      <c r="BH1590" s="1710">
        <f t="shared" si="96"/>
        <v>24297060884.950417</v>
      </c>
      <c r="BI1590" s="1710">
        <f t="shared" si="97"/>
        <v>22322221951.605293</v>
      </c>
      <c r="BJ1590" s="1711">
        <f t="shared" si="98"/>
        <v>21847788.710552279</v>
      </c>
      <c r="BK1590" s="1711">
        <f t="shared" si="99"/>
        <v>1.0884696396992461</v>
      </c>
      <c r="BL1590">
        <f>BJ1590</f>
        <v>21847788.710552279</v>
      </c>
      <c r="BO1590">
        <f>BL1590</f>
        <v>21847788.710552279</v>
      </c>
    </row>
    <row r="1591" spans="3:67" x14ac:dyDescent="0.25">
      <c r="C1591" s="246" t="s">
        <v>2941</v>
      </c>
      <c r="D1591" s="246">
        <v>1</v>
      </c>
      <c r="E1591" s="246">
        <v>2</v>
      </c>
      <c r="F1591" s="246">
        <v>3</v>
      </c>
      <c r="G1591" s="246">
        <v>4</v>
      </c>
      <c r="H1591" s="246">
        <v>5</v>
      </c>
      <c r="I1591" s="246">
        <v>9</v>
      </c>
      <c r="J1591" s="246">
        <v>14</v>
      </c>
      <c r="K1591" s="246">
        <v>15</v>
      </c>
      <c r="L1591" s="246">
        <v>16</v>
      </c>
      <c r="M1591" s="246">
        <v>17</v>
      </c>
      <c r="N1591" s="246"/>
      <c r="O1591" s="246"/>
      <c r="P1591" s="246"/>
      <c r="Q1591" s="246"/>
      <c r="R1591" s="246">
        <f>IFERROR(VLOOKUP(D1591,PROGRAMAS[],2,FALSE),0)</f>
        <v>97037803.679377079</v>
      </c>
      <c r="S1591" s="246">
        <f>IFERROR(VLOOKUP(E1591,PROGRAMAS[],2,FALSE),0)</f>
        <v>640501509.6821388</v>
      </c>
      <c r="T1591" s="246">
        <f>IFERROR(VLOOKUP(F1591,PROGRAMAS[],2,FALSE),0)</f>
        <v>3062327798.1525245</v>
      </c>
      <c r="U1591" s="246">
        <f>IFERROR(VLOOKUP(G1591,PROGRAMAS[],2,FALSE),0)</f>
        <v>67697118.033011258</v>
      </c>
      <c r="V1591" s="246">
        <f>IFERROR(VLOOKUP(H1591,PROGRAMAS[],2,FALSE),0)</f>
        <v>1440941976.2528784</v>
      </c>
      <c r="W1591" s="246">
        <f>IFERROR(VLOOKUP(I1591,PROGRAMAS[],2,FALSE),0)</f>
        <v>6128579952.1618185</v>
      </c>
      <c r="X1591" s="246">
        <f>IFERROR(VLOOKUP(J1591,PROGRAMAS[],2,FALSE),0)</f>
        <v>54223862.645839565</v>
      </c>
      <c r="Y1591" s="246">
        <f>IFERROR(VLOOKUP(K1591,PROGRAMAS[],2,FALSE),0)</f>
        <v>122159672.96346797</v>
      </c>
      <c r="Z1591" s="246">
        <f>IFERROR(VLOOKUP(L1591,PROGRAMAS[],2,FALSE),0)</f>
        <v>7068496961.0436354</v>
      </c>
      <c r="AA1591" s="246">
        <f>IFERROR(VLOOKUP(M1591,PROGRAMAS[],2,FALSE),0)</f>
        <v>1892779498.5211046</v>
      </c>
      <c r="AB1591" s="246">
        <f>IFERROR(VLOOKUP(N1591,PROGRAMAS[],2,FALSE),0)</f>
        <v>0</v>
      </c>
      <c r="AC1591" s="246">
        <f>IFERROR(VLOOKUP(O1591,PROGRAMAS[],2,FALSE),0)</f>
        <v>0</v>
      </c>
      <c r="AD1591" s="246">
        <f>IFERROR(VLOOKUP(P1591,PROGRAMAS[],2,FALSE),0)</f>
        <v>0</v>
      </c>
      <c r="AE1591" s="246">
        <f>IFERROR(VLOOKUP(Q1591,PROGRAMAS[],2,FALSE),0)</f>
        <v>0</v>
      </c>
      <c r="AF1591" s="246">
        <f>IFERROR(VLOOKUP(D1591,PROGRAMAS[],3,FALSE),0)</f>
        <v>841888629.31080008</v>
      </c>
      <c r="AG1591" s="246">
        <f>IFERROR(VLOOKUP(E1591,PROGRAMAS[],3,FALSE),0)</f>
        <v>3848980803.1642323</v>
      </c>
      <c r="AH1591" s="246">
        <f>IFERROR(VLOOKUP(F1591,PROGRAMAS[],3,FALSE),0)</f>
        <v>3394901471.387517</v>
      </c>
      <c r="AI1591" s="246">
        <f>IFERROR(VLOOKUP(G1591,PROGRAMAS[],3,FALSE),0)</f>
        <v>125317226.95549992</v>
      </c>
      <c r="AJ1591" s="246">
        <f>IFERROR(VLOOKUP(H1591,PROGRAMAS[],3,FALSE),0)</f>
        <v>1233505101.0616004</v>
      </c>
      <c r="AK1591" s="246">
        <f>IFERROR(VLOOKUP(I1591,PROGRAMAS[],3,FALSE),0)</f>
        <v>7011279577.519702</v>
      </c>
      <c r="AL1591" s="246">
        <f>IFERROR(VLOOKUP(J1591,PROGRAMAS[],3,FALSE),0)</f>
        <v>31865326.38096505</v>
      </c>
      <c r="AM1591" s="246">
        <f>IFERROR(VLOOKUP(K1591,PROGRAMAS[],3,FALSE),0)</f>
        <v>118617452.52510804</v>
      </c>
      <c r="AN1591" s="246">
        <f>IFERROR(VLOOKUP(L1591,PROGRAMAS[],3,FALSE),0)</f>
        <v>2406564599.0319901</v>
      </c>
      <c r="AO1591" s="246">
        <f>IFERROR(VLOOKUP(M1591,PROGRAMAS[],3,FALSE),0)</f>
        <v>948595847.09039903</v>
      </c>
      <c r="AP1591" s="246">
        <f>IFERROR(VLOOKUP(N1591,PROGRAMAS[],3,FALSE),0)</f>
        <v>0</v>
      </c>
      <c r="AQ1591" s="246">
        <f>IFERROR(VLOOKUP(O1591,PROGRAMAS[],3,FALSE),0)</f>
        <v>0</v>
      </c>
      <c r="AR1591" s="246">
        <f>IFERROR(VLOOKUP(P1591,PROGRAMAS[],3,FALSE),0)</f>
        <v>0</v>
      </c>
      <c r="AS1591" s="246">
        <f>IFERROR(VLOOKUP(Q1591,PROGRAMAS[],3,FALSE),0)</f>
        <v>0</v>
      </c>
      <c r="AT1591" s="246">
        <f>IFERROR(VLOOKUP(D1591,VOL_REC[],2,FALSE),0)</f>
        <v>0</v>
      </c>
      <c r="AU1591" s="246">
        <f>IFERROR(VLOOKUP(E1591,VOL_REC[],2,FALSE),0)</f>
        <v>0</v>
      </c>
      <c r="AV1591" s="246">
        <f>IFERROR(VLOOKUP(F1591,VOL_REC[],2,FALSE),0)</f>
        <v>11089674.200000001</v>
      </c>
      <c r="AW1591" s="246">
        <f>IFERROR(VLOOKUP(G1591,VOL_REC[],2,FALSE),0)</f>
        <v>90439.55</v>
      </c>
      <c r="AX1591" s="246">
        <f>IFERROR(VLOOKUP(H1591,VOL_REC[],2,FALSE),0)</f>
        <v>4325103.1812214684</v>
      </c>
      <c r="AY1591" s="246">
        <f>IFERROR(VLOOKUP(I1591,VOL_REC[],2,FALSE),0)</f>
        <v>3761786</v>
      </c>
      <c r="AZ1591" s="246">
        <f>IFERROR(VLOOKUP(J1591,VOL_REC[],2,FALSE),0)</f>
        <v>17074.045034105649</v>
      </c>
      <c r="BA1591" s="246">
        <f>IFERROR(VLOOKUP(K1591,VOL_REC[],2,FALSE),0)</f>
        <v>105072</v>
      </c>
      <c r="BB1591" s="246">
        <f>IFERROR(VLOOKUP(L1591,VOL_REC[],2,FALSE),0)</f>
        <v>1072354.9981737854</v>
      </c>
      <c r="BC1591" s="246">
        <f>IFERROR(VLOOKUP(M1591,VOL_REC[],2,FALSE),0)</f>
        <v>740113.98115702497</v>
      </c>
      <c r="BD1591" s="246">
        <f>IFERROR(VLOOKUP(N1591,VOL_REC[],2,FALSE),0)</f>
        <v>0</v>
      </c>
      <c r="BE1591" s="246">
        <f>IFERROR(VLOOKUP(O1591,VOL_REC[],2,FALSE),0)</f>
        <v>0</v>
      </c>
      <c r="BF1591" s="246">
        <f>IFERROR(VLOOKUP(P1591,VOL_REC[],2,FALSE),0)</f>
        <v>0</v>
      </c>
      <c r="BG1591" s="246">
        <f>IFERROR(VLOOKUP(Q1591,VOL_REC[],2,FALSE),0)</f>
        <v>0</v>
      </c>
      <c r="BH1591" s="1710">
        <f t="shared" si="96"/>
        <v>20574746153.135796</v>
      </c>
      <c r="BI1591" s="1710">
        <f t="shared" si="97"/>
        <v>19961516034.427818</v>
      </c>
      <c r="BJ1591" s="1711">
        <f t="shared" si="98"/>
        <v>21201617.955586385</v>
      </c>
      <c r="BK1591" s="1711">
        <f t="shared" si="99"/>
        <v>1.0307206184966278</v>
      </c>
      <c r="BL1591">
        <f>BJ1591</f>
        <v>21201617.955586385</v>
      </c>
      <c r="BO1591">
        <f>BL1591</f>
        <v>21201617.955586385</v>
      </c>
    </row>
    <row r="1592" spans="3:67" x14ac:dyDescent="0.25">
      <c r="C1592" s="246" t="s">
        <v>2942</v>
      </c>
      <c r="D1592" s="246">
        <v>1</v>
      </c>
      <c r="E1592" s="246">
        <v>2</v>
      </c>
      <c r="F1592" s="246">
        <v>3</v>
      </c>
      <c r="G1592" s="246">
        <v>4</v>
      </c>
      <c r="H1592" s="246">
        <v>5</v>
      </c>
      <c r="I1592" s="246">
        <v>10</v>
      </c>
      <c r="J1592" s="246">
        <v>12</v>
      </c>
      <c r="K1592" s="246">
        <v>13</v>
      </c>
      <c r="L1592" s="246">
        <v>14</v>
      </c>
      <c r="M1592" s="246">
        <v>15</v>
      </c>
      <c r="N1592" s="246"/>
      <c r="O1592" s="246"/>
      <c r="P1592" s="246"/>
      <c r="Q1592" s="246"/>
      <c r="R1592" s="246">
        <f>IFERROR(VLOOKUP(D1592,PROGRAMAS[],2,FALSE),0)</f>
        <v>97037803.679377079</v>
      </c>
      <c r="S1592" s="246">
        <f>IFERROR(VLOOKUP(E1592,PROGRAMAS[],2,FALSE),0)</f>
        <v>640501509.6821388</v>
      </c>
      <c r="T1592" s="246">
        <f>IFERROR(VLOOKUP(F1592,PROGRAMAS[],2,FALSE),0)</f>
        <v>3062327798.1525245</v>
      </c>
      <c r="U1592" s="246">
        <f>IFERROR(VLOOKUP(G1592,PROGRAMAS[],2,FALSE),0)</f>
        <v>67697118.033011258</v>
      </c>
      <c r="V1592" s="246">
        <f>IFERROR(VLOOKUP(H1592,PROGRAMAS[],2,FALSE),0)</f>
        <v>1440941976.2528784</v>
      </c>
      <c r="W1592" s="246">
        <f>IFERROR(VLOOKUP(I1592,PROGRAMAS[],2,FALSE),0)</f>
        <v>4635315027.8751087</v>
      </c>
      <c r="X1592" s="246">
        <f>IFERROR(VLOOKUP(J1592,PROGRAMAS[],2,FALSE),0)</f>
        <v>764796700.79905891</v>
      </c>
      <c r="Y1592" s="246">
        <f>IFERROR(VLOOKUP(K1592,PROGRAMAS[],2,FALSE),0)</f>
        <v>3776538594.4604583</v>
      </c>
      <c r="Z1592" s="246">
        <f>IFERROR(VLOOKUP(L1592,PROGRAMAS[],2,FALSE),0)</f>
        <v>54223862.645839565</v>
      </c>
      <c r="AA1592" s="246">
        <f>IFERROR(VLOOKUP(M1592,PROGRAMAS[],2,FALSE),0)</f>
        <v>122159672.96346797</v>
      </c>
      <c r="AB1592" s="246">
        <f>IFERROR(VLOOKUP(N1592,PROGRAMAS[],2,FALSE),0)</f>
        <v>0</v>
      </c>
      <c r="AC1592" s="246">
        <f>IFERROR(VLOOKUP(O1592,PROGRAMAS[],2,FALSE),0)</f>
        <v>0</v>
      </c>
      <c r="AD1592" s="246">
        <f>IFERROR(VLOOKUP(P1592,PROGRAMAS[],2,FALSE),0)</f>
        <v>0</v>
      </c>
      <c r="AE1592" s="246">
        <f>IFERROR(VLOOKUP(Q1592,PROGRAMAS[],2,FALSE),0)</f>
        <v>0</v>
      </c>
      <c r="AF1592" s="246">
        <f>IFERROR(VLOOKUP(D1592,PROGRAMAS[],3,FALSE),0)</f>
        <v>841888629.31080008</v>
      </c>
      <c r="AG1592" s="246">
        <f>IFERROR(VLOOKUP(E1592,PROGRAMAS[],3,FALSE),0)</f>
        <v>3848980803.1642323</v>
      </c>
      <c r="AH1592" s="246">
        <f>IFERROR(VLOOKUP(F1592,PROGRAMAS[],3,FALSE),0)</f>
        <v>3394901471.387517</v>
      </c>
      <c r="AI1592" s="246">
        <f>IFERROR(VLOOKUP(G1592,PROGRAMAS[],3,FALSE),0)</f>
        <v>125317226.95549992</v>
      </c>
      <c r="AJ1592" s="246">
        <f>IFERROR(VLOOKUP(H1592,PROGRAMAS[],3,FALSE),0)</f>
        <v>1233505101.0616004</v>
      </c>
      <c r="AK1592" s="246">
        <f>IFERROR(VLOOKUP(I1592,PROGRAMAS[],3,FALSE),0)</f>
        <v>4099471734.9978786</v>
      </c>
      <c r="AL1592" s="246">
        <f>IFERROR(VLOOKUP(J1592,PROGRAMAS[],3,FALSE),0)</f>
        <v>675517840.109828</v>
      </c>
      <c r="AM1592" s="246">
        <f>IFERROR(VLOOKUP(K1592,PROGRAMAS[],3,FALSE),0)</f>
        <v>2392571243.5584412</v>
      </c>
      <c r="AN1592" s="246">
        <f>IFERROR(VLOOKUP(L1592,PROGRAMAS[],3,FALSE),0)</f>
        <v>31865326.38096505</v>
      </c>
      <c r="AO1592" s="246">
        <f>IFERROR(VLOOKUP(M1592,PROGRAMAS[],3,FALSE),0)</f>
        <v>118617452.52510804</v>
      </c>
      <c r="AP1592" s="246">
        <f>IFERROR(VLOOKUP(N1592,PROGRAMAS[],3,FALSE),0)</f>
        <v>0</v>
      </c>
      <c r="AQ1592" s="246">
        <f>IFERROR(VLOOKUP(O1592,PROGRAMAS[],3,FALSE),0)</f>
        <v>0</v>
      </c>
      <c r="AR1592" s="246">
        <f>IFERROR(VLOOKUP(P1592,PROGRAMAS[],3,FALSE),0)</f>
        <v>0</v>
      </c>
      <c r="AS1592" s="246">
        <f>IFERROR(VLOOKUP(Q1592,PROGRAMAS[],3,FALSE),0)</f>
        <v>0</v>
      </c>
      <c r="AT1592" s="246">
        <f>IFERROR(VLOOKUP(D1592,VOL_REC[],2,FALSE),0)</f>
        <v>0</v>
      </c>
      <c r="AU1592" s="246">
        <f>IFERROR(VLOOKUP(E1592,VOL_REC[],2,FALSE),0)</f>
        <v>0</v>
      </c>
      <c r="AV1592" s="246">
        <f>IFERROR(VLOOKUP(F1592,VOL_REC[],2,FALSE),0)</f>
        <v>11089674.200000001</v>
      </c>
      <c r="AW1592" s="246">
        <f>IFERROR(VLOOKUP(G1592,VOL_REC[],2,FALSE),0)</f>
        <v>90439.55</v>
      </c>
      <c r="AX1592" s="246">
        <f>IFERROR(VLOOKUP(H1592,VOL_REC[],2,FALSE),0)</f>
        <v>4325103.1812214684</v>
      </c>
      <c r="AY1592" s="246">
        <f>IFERROR(VLOOKUP(I1592,VOL_REC[],2,FALSE),0)</f>
        <v>1812240</v>
      </c>
      <c r="AZ1592" s="246">
        <f>IFERROR(VLOOKUP(J1592,VOL_REC[],2,FALSE),0)</f>
        <v>240696.79238099116</v>
      </c>
      <c r="BA1592" s="246">
        <f>IFERROR(VLOOKUP(K1592,VOL_REC[],2,FALSE),0)</f>
        <v>663244.80000000016</v>
      </c>
      <c r="BB1592" s="246">
        <f>IFERROR(VLOOKUP(L1592,VOL_REC[],2,FALSE),0)</f>
        <v>17074.045034105649</v>
      </c>
      <c r="BC1592" s="246">
        <f>IFERROR(VLOOKUP(M1592,VOL_REC[],2,FALSE),0)</f>
        <v>105072</v>
      </c>
      <c r="BD1592" s="246">
        <f>IFERROR(VLOOKUP(N1592,VOL_REC[],2,FALSE),0)</f>
        <v>0</v>
      </c>
      <c r="BE1592" s="246">
        <f>IFERROR(VLOOKUP(O1592,VOL_REC[],2,FALSE),0)</f>
        <v>0</v>
      </c>
      <c r="BF1592" s="246">
        <f>IFERROR(VLOOKUP(P1592,VOL_REC[],2,FALSE),0)</f>
        <v>0</v>
      </c>
      <c r="BG1592" s="246">
        <f>IFERROR(VLOOKUP(Q1592,VOL_REC[],2,FALSE),0)</f>
        <v>0</v>
      </c>
      <c r="BH1592" s="1710">
        <f t="shared" si="96"/>
        <v>14661540064.543865</v>
      </c>
      <c r="BI1592" s="1710">
        <f t="shared" si="97"/>
        <v>16762636829.451872</v>
      </c>
      <c r="BJ1592" s="1711">
        <f t="shared" si="98"/>
        <v>18343544.56863657</v>
      </c>
      <c r="BK1592" s="1711">
        <f t="shared" si="99"/>
        <v>0.87465595143024333</v>
      </c>
    </row>
    <row r="1593" spans="3:67" x14ac:dyDescent="0.25">
      <c r="C1593" s="246" t="s">
        <v>2943</v>
      </c>
      <c r="D1593" s="246">
        <v>1</v>
      </c>
      <c r="E1593" s="246">
        <v>2</v>
      </c>
      <c r="F1593" s="246">
        <v>3</v>
      </c>
      <c r="G1593" s="246">
        <v>4</v>
      </c>
      <c r="H1593" s="246">
        <v>5</v>
      </c>
      <c r="I1593" s="246">
        <v>10</v>
      </c>
      <c r="J1593" s="246">
        <v>12</v>
      </c>
      <c r="K1593" s="246">
        <v>13</v>
      </c>
      <c r="L1593" s="246">
        <v>14</v>
      </c>
      <c r="M1593" s="246">
        <v>16</v>
      </c>
      <c r="N1593" s="246"/>
      <c r="O1593" s="246"/>
      <c r="P1593" s="246"/>
      <c r="Q1593" s="246"/>
      <c r="R1593" s="246">
        <f>IFERROR(VLOOKUP(D1593,PROGRAMAS[],2,FALSE),0)</f>
        <v>97037803.679377079</v>
      </c>
      <c r="S1593" s="246">
        <f>IFERROR(VLOOKUP(E1593,PROGRAMAS[],2,FALSE),0)</f>
        <v>640501509.6821388</v>
      </c>
      <c r="T1593" s="246">
        <f>IFERROR(VLOOKUP(F1593,PROGRAMAS[],2,FALSE),0)</f>
        <v>3062327798.1525245</v>
      </c>
      <c r="U1593" s="246">
        <f>IFERROR(VLOOKUP(G1593,PROGRAMAS[],2,FALSE),0)</f>
        <v>67697118.033011258</v>
      </c>
      <c r="V1593" s="246">
        <f>IFERROR(VLOOKUP(H1593,PROGRAMAS[],2,FALSE),0)</f>
        <v>1440941976.2528784</v>
      </c>
      <c r="W1593" s="246">
        <f>IFERROR(VLOOKUP(I1593,PROGRAMAS[],2,FALSE),0)</f>
        <v>4635315027.8751087</v>
      </c>
      <c r="X1593" s="246">
        <f>IFERROR(VLOOKUP(J1593,PROGRAMAS[],2,FALSE),0)</f>
        <v>764796700.79905891</v>
      </c>
      <c r="Y1593" s="246">
        <f>IFERROR(VLOOKUP(K1593,PROGRAMAS[],2,FALSE),0)</f>
        <v>3776538594.4604583</v>
      </c>
      <c r="Z1593" s="246">
        <f>IFERROR(VLOOKUP(L1593,PROGRAMAS[],2,FALSE),0)</f>
        <v>54223862.645839565</v>
      </c>
      <c r="AA1593" s="246">
        <f>IFERROR(VLOOKUP(M1593,PROGRAMAS[],2,FALSE),0)</f>
        <v>7068496961.0436354</v>
      </c>
      <c r="AB1593" s="246">
        <f>IFERROR(VLOOKUP(N1593,PROGRAMAS[],2,FALSE),0)</f>
        <v>0</v>
      </c>
      <c r="AC1593" s="246">
        <f>IFERROR(VLOOKUP(O1593,PROGRAMAS[],2,FALSE),0)</f>
        <v>0</v>
      </c>
      <c r="AD1593" s="246">
        <f>IFERROR(VLOOKUP(P1593,PROGRAMAS[],2,FALSE),0)</f>
        <v>0</v>
      </c>
      <c r="AE1593" s="246">
        <f>IFERROR(VLOOKUP(Q1593,PROGRAMAS[],2,FALSE),0)</f>
        <v>0</v>
      </c>
      <c r="AF1593" s="246">
        <f>IFERROR(VLOOKUP(D1593,PROGRAMAS[],3,FALSE),0)</f>
        <v>841888629.31080008</v>
      </c>
      <c r="AG1593" s="246">
        <f>IFERROR(VLOOKUP(E1593,PROGRAMAS[],3,FALSE),0)</f>
        <v>3848980803.1642323</v>
      </c>
      <c r="AH1593" s="246">
        <f>IFERROR(VLOOKUP(F1593,PROGRAMAS[],3,FALSE),0)</f>
        <v>3394901471.387517</v>
      </c>
      <c r="AI1593" s="246">
        <f>IFERROR(VLOOKUP(G1593,PROGRAMAS[],3,FALSE),0)</f>
        <v>125317226.95549992</v>
      </c>
      <c r="AJ1593" s="246">
        <f>IFERROR(VLOOKUP(H1593,PROGRAMAS[],3,FALSE),0)</f>
        <v>1233505101.0616004</v>
      </c>
      <c r="AK1593" s="246">
        <f>IFERROR(VLOOKUP(I1593,PROGRAMAS[],3,FALSE),0)</f>
        <v>4099471734.9978786</v>
      </c>
      <c r="AL1593" s="246">
        <f>IFERROR(VLOOKUP(J1593,PROGRAMAS[],3,FALSE),0)</f>
        <v>675517840.109828</v>
      </c>
      <c r="AM1593" s="246">
        <f>IFERROR(VLOOKUP(K1593,PROGRAMAS[],3,FALSE),0)</f>
        <v>2392571243.5584412</v>
      </c>
      <c r="AN1593" s="246">
        <f>IFERROR(VLOOKUP(L1593,PROGRAMAS[],3,FALSE),0)</f>
        <v>31865326.38096505</v>
      </c>
      <c r="AO1593" s="246">
        <f>IFERROR(VLOOKUP(M1593,PROGRAMAS[],3,FALSE),0)</f>
        <v>2406564599.0319901</v>
      </c>
      <c r="AP1593" s="246">
        <f>IFERROR(VLOOKUP(N1593,PROGRAMAS[],3,FALSE),0)</f>
        <v>0</v>
      </c>
      <c r="AQ1593" s="246">
        <f>IFERROR(VLOOKUP(O1593,PROGRAMAS[],3,FALSE),0)</f>
        <v>0</v>
      </c>
      <c r="AR1593" s="246">
        <f>IFERROR(VLOOKUP(P1593,PROGRAMAS[],3,FALSE),0)</f>
        <v>0</v>
      </c>
      <c r="AS1593" s="246">
        <f>IFERROR(VLOOKUP(Q1593,PROGRAMAS[],3,FALSE),0)</f>
        <v>0</v>
      </c>
      <c r="AT1593" s="246">
        <f>IFERROR(VLOOKUP(D1593,VOL_REC[],2,FALSE),0)</f>
        <v>0</v>
      </c>
      <c r="AU1593" s="246">
        <f>IFERROR(VLOOKUP(E1593,VOL_REC[],2,FALSE),0)</f>
        <v>0</v>
      </c>
      <c r="AV1593" s="246">
        <f>IFERROR(VLOOKUP(F1593,VOL_REC[],2,FALSE),0)</f>
        <v>11089674.200000001</v>
      </c>
      <c r="AW1593" s="246">
        <f>IFERROR(VLOOKUP(G1593,VOL_REC[],2,FALSE),0)</f>
        <v>90439.55</v>
      </c>
      <c r="AX1593" s="246">
        <f>IFERROR(VLOOKUP(H1593,VOL_REC[],2,FALSE),0)</f>
        <v>4325103.1812214684</v>
      </c>
      <c r="AY1593" s="246">
        <f>IFERROR(VLOOKUP(I1593,VOL_REC[],2,FALSE),0)</f>
        <v>1812240</v>
      </c>
      <c r="AZ1593" s="246">
        <f>IFERROR(VLOOKUP(J1593,VOL_REC[],2,FALSE),0)</f>
        <v>240696.79238099116</v>
      </c>
      <c r="BA1593" s="246">
        <f>IFERROR(VLOOKUP(K1593,VOL_REC[],2,FALSE),0)</f>
        <v>663244.80000000016</v>
      </c>
      <c r="BB1593" s="246">
        <f>IFERROR(VLOOKUP(L1593,VOL_REC[],2,FALSE),0)</f>
        <v>17074.045034105649</v>
      </c>
      <c r="BC1593" s="246">
        <f>IFERROR(VLOOKUP(M1593,VOL_REC[],2,FALSE),0)</f>
        <v>1072354.9981737854</v>
      </c>
      <c r="BD1593" s="246">
        <f>IFERROR(VLOOKUP(N1593,VOL_REC[],2,FALSE),0)</f>
        <v>0</v>
      </c>
      <c r="BE1593" s="246">
        <f>IFERROR(VLOOKUP(O1593,VOL_REC[],2,FALSE),0)</f>
        <v>0</v>
      </c>
      <c r="BF1593" s="246">
        <f>IFERROR(VLOOKUP(P1593,VOL_REC[],2,FALSE),0)</f>
        <v>0</v>
      </c>
      <c r="BG1593" s="246">
        <f>IFERROR(VLOOKUP(Q1593,VOL_REC[],2,FALSE),0)</f>
        <v>0</v>
      </c>
      <c r="BH1593" s="1710">
        <f t="shared" si="96"/>
        <v>21607877352.624031</v>
      </c>
      <c r="BI1593" s="1710">
        <f t="shared" si="97"/>
        <v>19050583975.958755</v>
      </c>
      <c r="BJ1593" s="1711">
        <f t="shared" si="98"/>
        <v>19310827.566810355</v>
      </c>
      <c r="BK1593" s="1711">
        <f t="shared" si="99"/>
        <v>1.1342370071118293</v>
      </c>
      <c r="BL1593">
        <f>BJ1593</f>
        <v>19310827.566810355</v>
      </c>
      <c r="BO1593">
        <f>BL1593</f>
        <v>19310827.566810355</v>
      </c>
    </row>
    <row r="1594" spans="3:67" x14ac:dyDescent="0.25">
      <c r="C1594" s="246" t="s">
        <v>2944</v>
      </c>
      <c r="D1594" s="246">
        <v>1</v>
      </c>
      <c r="E1594" s="246">
        <v>2</v>
      </c>
      <c r="F1594" s="246">
        <v>3</v>
      </c>
      <c r="G1594" s="246">
        <v>4</v>
      </c>
      <c r="H1594" s="246">
        <v>5</v>
      </c>
      <c r="I1594" s="246">
        <v>10</v>
      </c>
      <c r="J1594" s="246">
        <v>12</v>
      </c>
      <c r="K1594" s="246">
        <v>13</v>
      </c>
      <c r="L1594" s="246">
        <v>14</v>
      </c>
      <c r="M1594" s="246">
        <v>17</v>
      </c>
      <c r="N1594" s="246"/>
      <c r="O1594" s="246"/>
      <c r="P1594" s="246"/>
      <c r="Q1594" s="246"/>
      <c r="R1594" s="246">
        <f>IFERROR(VLOOKUP(D1594,PROGRAMAS[],2,FALSE),0)</f>
        <v>97037803.679377079</v>
      </c>
      <c r="S1594" s="246">
        <f>IFERROR(VLOOKUP(E1594,PROGRAMAS[],2,FALSE),0)</f>
        <v>640501509.6821388</v>
      </c>
      <c r="T1594" s="246">
        <f>IFERROR(VLOOKUP(F1594,PROGRAMAS[],2,FALSE),0)</f>
        <v>3062327798.1525245</v>
      </c>
      <c r="U1594" s="246">
        <f>IFERROR(VLOOKUP(G1594,PROGRAMAS[],2,FALSE),0)</f>
        <v>67697118.033011258</v>
      </c>
      <c r="V1594" s="246">
        <f>IFERROR(VLOOKUP(H1594,PROGRAMAS[],2,FALSE),0)</f>
        <v>1440941976.2528784</v>
      </c>
      <c r="W1594" s="246">
        <f>IFERROR(VLOOKUP(I1594,PROGRAMAS[],2,FALSE),0)</f>
        <v>4635315027.8751087</v>
      </c>
      <c r="X1594" s="246">
        <f>IFERROR(VLOOKUP(J1594,PROGRAMAS[],2,FALSE),0)</f>
        <v>764796700.79905891</v>
      </c>
      <c r="Y1594" s="246">
        <f>IFERROR(VLOOKUP(K1594,PROGRAMAS[],2,FALSE),0)</f>
        <v>3776538594.4604583</v>
      </c>
      <c r="Z1594" s="246">
        <f>IFERROR(VLOOKUP(L1594,PROGRAMAS[],2,FALSE),0)</f>
        <v>54223862.645839565</v>
      </c>
      <c r="AA1594" s="246">
        <f>IFERROR(VLOOKUP(M1594,PROGRAMAS[],2,FALSE),0)</f>
        <v>1892779498.5211046</v>
      </c>
      <c r="AB1594" s="246">
        <f>IFERROR(VLOOKUP(N1594,PROGRAMAS[],2,FALSE),0)</f>
        <v>0</v>
      </c>
      <c r="AC1594" s="246">
        <f>IFERROR(VLOOKUP(O1594,PROGRAMAS[],2,FALSE),0)</f>
        <v>0</v>
      </c>
      <c r="AD1594" s="246">
        <f>IFERROR(VLOOKUP(P1594,PROGRAMAS[],2,FALSE),0)</f>
        <v>0</v>
      </c>
      <c r="AE1594" s="246">
        <f>IFERROR(VLOOKUP(Q1594,PROGRAMAS[],2,FALSE),0)</f>
        <v>0</v>
      </c>
      <c r="AF1594" s="246">
        <f>IFERROR(VLOOKUP(D1594,PROGRAMAS[],3,FALSE),0)</f>
        <v>841888629.31080008</v>
      </c>
      <c r="AG1594" s="246">
        <f>IFERROR(VLOOKUP(E1594,PROGRAMAS[],3,FALSE),0)</f>
        <v>3848980803.1642323</v>
      </c>
      <c r="AH1594" s="246">
        <f>IFERROR(VLOOKUP(F1594,PROGRAMAS[],3,FALSE),0)</f>
        <v>3394901471.387517</v>
      </c>
      <c r="AI1594" s="246">
        <f>IFERROR(VLOOKUP(G1594,PROGRAMAS[],3,FALSE),0)</f>
        <v>125317226.95549992</v>
      </c>
      <c r="AJ1594" s="246">
        <f>IFERROR(VLOOKUP(H1594,PROGRAMAS[],3,FALSE),0)</f>
        <v>1233505101.0616004</v>
      </c>
      <c r="AK1594" s="246">
        <f>IFERROR(VLOOKUP(I1594,PROGRAMAS[],3,FALSE),0)</f>
        <v>4099471734.9978786</v>
      </c>
      <c r="AL1594" s="246">
        <f>IFERROR(VLOOKUP(J1594,PROGRAMAS[],3,FALSE),0)</f>
        <v>675517840.109828</v>
      </c>
      <c r="AM1594" s="246">
        <f>IFERROR(VLOOKUP(K1594,PROGRAMAS[],3,FALSE),0)</f>
        <v>2392571243.5584412</v>
      </c>
      <c r="AN1594" s="246">
        <f>IFERROR(VLOOKUP(L1594,PROGRAMAS[],3,FALSE),0)</f>
        <v>31865326.38096505</v>
      </c>
      <c r="AO1594" s="246">
        <f>IFERROR(VLOOKUP(M1594,PROGRAMAS[],3,FALSE),0)</f>
        <v>948595847.09039903</v>
      </c>
      <c r="AP1594" s="246">
        <f>IFERROR(VLOOKUP(N1594,PROGRAMAS[],3,FALSE),0)</f>
        <v>0</v>
      </c>
      <c r="AQ1594" s="246">
        <f>IFERROR(VLOOKUP(O1594,PROGRAMAS[],3,FALSE),0)</f>
        <v>0</v>
      </c>
      <c r="AR1594" s="246">
        <f>IFERROR(VLOOKUP(P1594,PROGRAMAS[],3,FALSE),0)</f>
        <v>0</v>
      </c>
      <c r="AS1594" s="246">
        <f>IFERROR(VLOOKUP(Q1594,PROGRAMAS[],3,FALSE),0)</f>
        <v>0</v>
      </c>
      <c r="AT1594" s="246">
        <f>IFERROR(VLOOKUP(D1594,VOL_REC[],2,FALSE),0)</f>
        <v>0</v>
      </c>
      <c r="AU1594" s="246">
        <f>IFERROR(VLOOKUP(E1594,VOL_REC[],2,FALSE),0)</f>
        <v>0</v>
      </c>
      <c r="AV1594" s="246">
        <f>IFERROR(VLOOKUP(F1594,VOL_REC[],2,FALSE),0)</f>
        <v>11089674.200000001</v>
      </c>
      <c r="AW1594" s="246">
        <f>IFERROR(VLOOKUP(G1594,VOL_REC[],2,FALSE),0)</f>
        <v>90439.55</v>
      </c>
      <c r="AX1594" s="246">
        <f>IFERROR(VLOOKUP(H1594,VOL_REC[],2,FALSE),0)</f>
        <v>4325103.1812214684</v>
      </c>
      <c r="AY1594" s="246">
        <f>IFERROR(VLOOKUP(I1594,VOL_REC[],2,FALSE),0)</f>
        <v>1812240</v>
      </c>
      <c r="AZ1594" s="246">
        <f>IFERROR(VLOOKUP(J1594,VOL_REC[],2,FALSE),0)</f>
        <v>240696.79238099116</v>
      </c>
      <c r="BA1594" s="246">
        <f>IFERROR(VLOOKUP(K1594,VOL_REC[],2,FALSE),0)</f>
        <v>663244.80000000016</v>
      </c>
      <c r="BB1594" s="246">
        <f>IFERROR(VLOOKUP(L1594,VOL_REC[],2,FALSE),0)</f>
        <v>17074.045034105649</v>
      </c>
      <c r="BC1594" s="246">
        <f>IFERROR(VLOOKUP(M1594,VOL_REC[],2,FALSE),0)</f>
        <v>740113.98115702497</v>
      </c>
      <c r="BD1594" s="246">
        <f>IFERROR(VLOOKUP(N1594,VOL_REC[],2,FALSE),0)</f>
        <v>0</v>
      </c>
      <c r="BE1594" s="246">
        <f>IFERROR(VLOOKUP(O1594,VOL_REC[],2,FALSE),0)</f>
        <v>0</v>
      </c>
      <c r="BF1594" s="246">
        <f>IFERROR(VLOOKUP(P1594,VOL_REC[],2,FALSE),0)</f>
        <v>0</v>
      </c>
      <c r="BG1594" s="246">
        <f>IFERROR(VLOOKUP(Q1594,VOL_REC[],2,FALSE),0)</f>
        <v>0</v>
      </c>
      <c r="BH1594" s="1710">
        <f t="shared" si="96"/>
        <v>16432159890.101501</v>
      </c>
      <c r="BI1594" s="1710">
        <f t="shared" si="97"/>
        <v>17592615224.017162</v>
      </c>
      <c r="BJ1594" s="1711">
        <f t="shared" si="98"/>
        <v>18978586.549793594</v>
      </c>
      <c r="BK1594" s="1711">
        <f t="shared" si="99"/>
        <v>0.93403736061188758</v>
      </c>
    </row>
    <row r="1595" spans="3:67" x14ac:dyDescent="0.25">
      <c r="C1595" s="246" t="s">
        <v>2945</v>
      </c>
      <c r="D1595" s="246">
        <v>1</v>
      </c>
      <c r="E1595" s="246">
        <v>2</v>
      </c>
      <c r="F1595" s="246">
        <v>3</v>
      </c>
      <c r="G1595" s="246">
        <v>4</v>
      </c>
      <c r="H1595" s="246">
        <v>5</v>
      </c>
      <c r="I1595" s="246">
        <v>10</v>
      </c>
      <c r="J1595" s="246">
        <v>12</v>
      </c>
      <c r="K1595" s="246">
        <v>13</v>
      </c>
      <c r="L1595" s="246">
        <v>15</v>
      </c>
      <c r="M1595" s="246">
        <v>16</v>
      </c>
      <c r="N1595" s="246"/>
      <c r="O1595" s="246"/>
      <c r="P1595" s="246"/>
      <c r="Q1595" s="246"/>
      <c r="R1595" s="246">
        <f>IFERROR(VLOOKUP(D1595,PROGRAMAS[],2,FALSE),0)</f>
        <v>97037803.679377079</v>
      </c>
      <c r="S1595" s="246">
        <f>IFERROR(VLOOKUP(E1595,PROGRAMAS[],2,FALSE),0)</f>
        <v>640501509.6821388</v>
      </c>
      <c r="T1595" s="246">
        <f>IFERROR(VLOOKUP(F1595,PROGRAMAS[],2,FALSE),0)</f>
        <v>3062327798.1525245</v>
      </c>
      <c r="U1595" s="246">
        <f>IFERROR(VLOOKUP(G1595,PROGRAMAS[],2,FALSE),0)</f>
        <v>67697118.033011258</v>
      </c>
      <c r="V1595" s="246">
        <f>IFERROR(VLOOKUP(H1595,PROGRAMAS[],2,FALSE),0)</f>
        <v>1440941976.2528784</v>
      </c>
      <c r="W1595" s="246">
        <f>IFERROR(VLOOKUP(I1595,PROGRAMAS[],2,FALSE),0)</f>
        <v>4635315027.8751087</v>
      </c>
      <c r="X1595" s="246">
        <f>IFERROR(VLOOKUP(J1595,PROGRAMAS[],2,FALSE),0)</f>
        <v>764796700.79905891</v>
      </c>
      <c r="Y1595" s="246">
        <f>IFERROR(VLOOKUP(K1595,PROGRAMAS[],2,FALSE),0)</f>
        <v>3776538594.4604583</v>
      </c>
      <c r="Z1595" s="246">
        <f>IFERROR(VLOOKUP(L1595,PROGRAMAS[],2,FALSE),0)</f>
        <v>122159672.96346797</v>
      </c>
      <c r="AA1595" s="246">
        <f>IFERROR(VLOOKUP(M1595,PROGRAMAS[],2,FALSE),0)</f>
        <v>7068496961.0436354</v>
      </c>
      <c r="AB1595" s="246">
        <f>IFERROR(VLOOKUP(N1595,PROGRAMAS[],2,FALSE),0)</f>
        <v>0</v>
      </c>
      <c r="AC1595" s="246">
        <f>IFERROR(VLOOKUP(O1595,PROGRAMAS[],2,FALSE),0)</f>
        <v>0</v>
      </c>
      <c r="AD1595" s="246">
        <f>IFERROR(VLOOKUP(P1595,PROGRAMAS[],2,FALSE),0)</f>
        <v>0</v>
      </c>
      <c r="AE1595" s="246">
        <f>IFERROR(VLOOKUP(Q1595,PROGRAMAS[],2,FALSE),0)</f>
        <v>0</v>
      </c>
      <c r="AF1595" s="246">
        <f>IFERROR(VLOOKUP(D1595,PROGRAMAS[],3,FALSE),0)</f>
        <v>841888629.31080008</v>
      </c>
      <c r="AG1595" s="246">
        <f>IFERROR(VLOOKUP(E1595,PROGRAMAS[],3,FALSE),0)</f>
        <v>3848980803.1642323</v>
      </c>
      <c r="AH1595" s="246">
        <f>IFERROR(VLOOKUP(F1595,PROGRAMAS[],3,FALSE),0)</f>
        <v>3394901471.387517</v>
      </c>
      <c r="AI1595" s="246">
        <f>IFERROR(VLOOKUP(G1595,PROGRAMAS[],3,FALSE),0)</f>
        <v>125317226.95549992</v>
      </c>
      <c r="AJ1595" s="246">
        <f>IFERROR(VLOOKUP(H1595,PROGRAMAS[],3,FALSE),0)</f>
        <v>1233505101.0616004</v>
      </c>
      <c r="AK1595" s="246">
        <f>IFERROR(VLOOKUP(I1595,PROGRAMAS[],3,FALSE),0)</f>
        <v>4099471734.9978786</v>
      </c>
      <c r="AL1595" s="246">
        <f>IFERROR(VLOOKUP(J1595,PROGRAMAS[],3,FALSE),0)</f>
        <v>675517840.109828</v>
      </c>
      <c r="AM1595" s="246">
        <f>IFERROR(VLOOKUP(K1595,PROGRAMAS[],3,FALSE),0)</f>
        <v>2392571243.5584412</v>
      </c>
      <c r="AN1595" s="246">
        <f>IFERROR(VLOOKUP(L1595,PROGRAMAS[],3,FALSE),0)</f>
        <v>118617452.52510804</v>
      </c>
      <c r="AO1595" s="246">
        <f>IFERROR(VLOOKUP(M1595,PROGRAMAS[],3,FALSE),0)</f>
        <v>2406564599.0319901</v>
      </c>
      <c r="AP1595" s="246">
        <f>IFERROR(VLOOKUP(N1595,PROGRAMAS[],3,FALSE),0)</f>
        <v>0</v>
      </c>
      <c r="AQ1595" s="246">
        <f>IFERROR(VLOOKUP(O1595,PROGRAMAS[],3,FALSE),0)</f>
        <v>0</v>
      </c>
      <c r="AR1595" s="246">
        <f>IFERROR(VLOOKUP(P1595,PROGRAMAS[],3,FALSE),0)</f>
        <v>0</v>
      </c>
      <c r="AS1595" s="246">
        <f>IFERROR(VLOOKUP(Q1595,PROGRAMAS[],3,FALSE),0)</f>
        <v>0</v>
      </c>
      <c r="AT1595" s="246">
        <f>IFERROR(VLOOKUP(D1595,VOL_REC[],2,FALSE),0)</f>
        <v>0</v>
      </c>
      <c r="AU1595" s="246">
        <f>IFERROR(VLOOKUP(E1595,VOL_REC[],2,FALSE),0)</f>
        <v>0</v>
      </c>
      <c r="AV1595" s="246">
        <f>IFERROR(VLOOKUP(F1595,VOL_REC[],2,FALSE),0)</f>
        <v>11089674.200000001</v>
      </c>
      <c r="AW1595" s="246">
        <f>IFERROR(VLOOKUP(G1595,VOL_REC[],2,FALSE),0)</f>
        <v>90439.55</v>
      </c>
      <c r="AX1595" s="246">
        <f>IFERROR(VLOOKUP(H1595,VOL_REC[],2,FALSE),0)</f>
        <v>4325103.1812214684</v>
      </c>
      <c r="AY1595" s="246">
        <f>IFERROR(VLOOKUP(I1595,VOL_REC[],2,FALSE),0)</f>
        <v>1812240</v>
      </c>
      <c r="AZ1595" s="246">
        <f>IFERROR(VLOOKUP(J1595,VOL_REC[],2,FALSE),0)</f>
        <v>240696.79238099116</v>
      </c>
      <c r="BA1595" s="246">
        <f>IFERROR(VLOOKUP(K1595,VOL_REC[],2,FALSE),0)</f>
        <v>663244.80000000016</v>
      </c>
      <c r="BB1595" s="246">
        <f>IFERROR(VLOOKUP(L1595,VOL_REC[],2,FALSE),0)</f>
        <v>105072</v>
      </c>
      <c r="BC1595" s="246">
        <f>IFERROR(VLOOKUP(M1595,VOL_REC[],2,FALSE),0)</f>
        <v>1072354.9981737854</v>
      </c>
      <c r="BD1595" s="246">
        <f>IFERROR(VLOOKUP(N1595,VOL_REC[],2,FALSE),0)</f>
        <v>0</v>
      </c>
      <c r="BE1595" s="246">
        <f>IFERROR(VLOOKUP(O1595,VOL_REC[],2,FALSE),0)</f>
        <v>0</v>
      </c>
      <c r="BF1595" s="246">
        <f>IFERROR(VLOOKUP(P1595,VOL_REC[],2,FALSE),0)</f>
        <v>0</v>
      </c>
      <c r="BG1595" s="246">
        <f>IFERROR(VLOOKUP(Q1595,VOL_REC[],2,FALSE),0)</f>
        <v>0</v>
      </c>
      <c r="BH1595" s="1710">
        <f t="shared" si="96"/>
        <v>21675813162.941662</v>
      </c>
      <c r="BI1595" s="1710">
        <f t="shared" si="97"/>
        <v>19137336102.102898</v>
      </c>
      <c r="BJ1595" s="1711">
        <f t="shared" si="98"/>
        <v>19398825.521776248</v>
      </c>
      <c r="BK1595" s="1711">
        <f t="shared" si="99"/>
        <v>1.1326452672041343</v>
      </c>
      <c r="BL1595">
        <f>BJ1595</f>
        <v>19398825.521776248</v>
      </c>
      <c r="BO1595">
        <f>BL1595</f>
        <v>19398825.521776248</v>
      </c>
    </row>
    <row r="1596" spans="3:67" x14ac:dyDescent="0.25">
      <c r="C1596" s="246" t="s">
        <v>2946</v>
      </c>
      <c r="D1596" s="246">
        <v>1</v>
      </c>
      <c r="E1596" s="246">
        <v>2</v>
      </c>
      <c r="F1596" s="246">
        <v>3</v>
      </c>
      <c r="G1596" s="246">
        <v>4</v>
      </c>
      <c r="H1596" s="246">
        <v>5</v>
      </c>
      <c r="I1596" s="246">
        <v>10</v>
      </c>
      <c r="J1596" s="246">
        <v>12</v>
      </c>
      <c r="K1596" s="246">
        <v>13</v>
      </c>
      <c r="L1596" s="246">
        <v>15</v>
      </c>
      <c r="M1596" s="246">
        <v>17</v>
      </c>
      <c r="N1596" s="246"/>
      <c r="O1596" s="246"/>
      <c r="P1596" s="246"/>
      <c r="Q1596" s="246"/>
      <c r="R1596" s="246">
        <f>IFERROR(VLOOKUP(D1596,PROGRAMAS[],2,FALSE),0)</f>
        <v>97037803.679377079</v>
      </c>
      <c r="S1596" s="246">
        <f>IFERROR(VLOOKUP(E1596,PROGRAMAS[],2,FALSE),0)</f>
        <v>640501509.6821388</v>
      </c>
      <c r="T1596" s="246">
        <f>IFERROR(VLOOKUP(F1596,PROGRAMAS[],2,FALSE),0)</f>
        <v>3062327798.1525245</v>
      </c>
      <c r="U1596" s="246">
        <f>IFERROR(VLOOKUP(G1596,PROGRAMAS[],2,FALSE),0)</f>
        <v>67697118.033011258</v>
      </c>
      <c r="V1596" s="246">
        <f>IFERROR(VLOOKUP(H1596,PROGRAMAS[],2,FALSE),0)</f>
        <v>1440941976.2528784</v>
      </c>
      <c r="W1596" s="246">
        <f>IFERROR(VLOOKUP(I1596,PROGRAMAS[],2,FALSE),0)</f>
        <v>4635315027.8751087</v>
      </c>
      <c r="X1596" s="246">
        <f>IFERROR(VLOOKUP(J1596,PROGRAMAS[],2,FALSE),0)</f>
        <v>764796700.79905891</v>
      </c>
      <c r="Y1596" s="246">
        <f>IFERROR(VLOOKUP(K1596,PROGRAMAS[],2,FALSE),0)</f>
        <v>3776538594.4604583</v>
      </c>
      <c r="Z1596" s="246">
        <f>IFERROR(VLOOKUP(L1596,PROGRAMAS[],2,FALSE),0)</f>
        <v>122159672.96346797</v>
      </c>
      <c r="AA1596" s="246">
        <f>IFERROR(VLOOKUP(M1596,PROGRAMAS[],2,FALSE),0)</f>
        <v>1892779498.5211046</v>
      </c>
      <c r="AB1596" s="246">
        <f>IFERROR(VLOOKUP(N1596,PROGRAMAS[],2,FALSE),0)</f>
        <v>0</v>
      </c>
      <c r="AC1596" s="246">
        <f>IFERROR(VLOOKUP(O1596,PROGRAMAS[],2,FALSE),0)</f>
        <v>0</v>
      </c>
      <c r="AD1596" s="246">
        <f>IFERROR(VLOOKUP(P1596,PROGRAMAS[],2,FALSE),0)</f>
        <v>0</v>
      </c>
      <c r="AE1596" s="246">
        <f>IFERROR(VLOOKUP(Q1596,PROGRAMAS[],2,FALSE),0)</f>
        <v>0</v>
      </c>
      <c r="AF1596" s="246">
        <f>IFERROR(VLOOKUP(D1596,PROGRAMAS[],3,FALSE),0)</f>
        <v>841888629.31080008</v>
      </c>
      <c r="AG1596" s="246">
        <f>IFERROR(VLOOKUP(E1596,PROGRAMAS[],3,FALSE),0)</f>
        <v>3848980803.1642323</v>
      </c>
      <c r="AH1596" s="246">
        <f>IFERROR(VLOOKUP(F1596,PROGRAMAS[],3,FALSE),0)</f>
        <v>3394901471.387517</v>
      </c>
      <c r="AI1596" s="246">
        <f>IFERROR(VLOOKUP(G1596,PROGRAMAS[],3,FALSE),0)</f>
        <v>125317226.95549992</v>
      </c>
      <c r="AJ1596" s="246">
        <f>IFERROR(VLOOKUP(H1596,PROGRAMAS[],3,FALSE),0)</f>
        <v>1233505101.0616004</v>
      </c>
      <c r="AK1596" s="246">
        <f>IFERROR(VLOOKUP(I1596,PROGRAMAS[],3,FALSE),0)</f>
        <v>4099471734.9978786</v>
      </c>
      <c r="AL1596" s="246">
        <f>IFERROR(VLOOKUP(J1596,PROGRAMAS[],3,FALSE),0)</f>
        <v>675517840.109828</v>
      </c>
      <c r="AM1596" s="246">
        <f>IFERROR(VLOOKUP(K1596,PROGRAMAS[],3,FALSE),0)</f>
        <v>2392571243.5584412</v>
      </c>
      <c r="AN1596" s="246">
        <f>IFERROR(VLOOKUP(L1596,PROGRAMAS[],3,FALSE),0)</f>
        <v>118617452.52510804</v>
      </c>
      <c r="AO1596" s="246">
        <f>IFERROR(VLOOKUP(M1596,PROGRAMAS[],3,FALSE),0)</f>
        <v>948595847.09039903</v>
      </c>
      <c r="AP1596" s="246">
        <f>IFERROR(VLOOKUP(N1596,PROGRAMAS[],3,FALSE),0)</f>
        <v>0</v>
      </c>
      <c r="AQ1596" s="246">
        <f>IFERROR(VLOOKUP(O1596,PROGRAMAS[],3,FALSE),0)</f>
        <v>0</v>
      </c>
      <c r="AR1596" s="246">
        <f>IFERROR(VLOOKUP(P1596,PROGRAMAS[],3,FALSE),0)</f>
        <v>0</v>
      </c>
      <c r="AS1596" s="246">
        <f>IFERROR(VLOOKUP(Q1596,PROGRAMAS[],3,FALSE),0)</f>
        <v>0</v>
      </c>
      <c r="AT1596" s="246">
        <f>IFERROR(VLOOKUP(D1596,VOL_REC[],2,FALSE),0)</f>
        <v>0</v>
      </c>
      <c r="AU1596" s="246">
        <f>IFERROR(VLOOKUP(E1596,VOL_REC[],2,FALSE),0)</f>
        <v>0</v>
      </c>
      <c r="AV1596" s="246">
        <f>IFERROR(VLOOKUP(F1596,VOL_REC[],2,FALSE),0)</f>
        <v>11089674.200000001</v>
      </c>
      <c r="AW1596" s="246">
        <f>IFERROR(VLOOKUP(G1596,VOL_REC[],2,FALSE),0)</f>
        <v>90439.55</v>
      </c>
      <c r="AX1596" s="246">
        <f>IFERROR(VLOOKUP(H1596,VOL_REC[],2,FALSE),0)</f>
        <v>4325103.1812214684</v>
      </c>
      <c r="AY1596" s="246">
        <f>IFERROR(VLOOKUP(I1596,VOL_REC[],2,FALSE),0)</f>
        <v>1812240</v>
      </c>
      <c r="AZ1596" s="246">
        <f>IFERROR(VLOOKUP(J1596,VOL_REC[],2,FALSE),0)</f>
        <v>240696.79238099116</v>
      </c>
      <c r="BA1596" s="246">
        <f>IFERROR(VLOOKUP(K1596,VOL_REC[],2,FALSE),0)</f>
        <v>663244.80000000016</v>
      </c>
      <c r="BB1596" s="246">
        <f>IFERROR(VLOOKUP(L1596,VOL_REC[],2,FALSE),0)</f>
        <v>105072</v>
      </c>
      <c r="BC1596" s="246">
        <f>IFERROR(VLOOKUP(M1596,VOL_REC[],2,FALSE),0)</f>
        <v>740113.98115702497</v>
      </c>
      <c r="BD1596" s="246">
        <f>IFERROR(VLOOKUP(N1596,VOL_REC[],2,FALSE),0)</f>
        <v>0</v>
      </c>
      <c r="BE1596" s="246">
        <f>IFERROR(VLOOKUP(O1596,VOL_REC[],2,FALSE),0)</f>
        <v>0</v>
      </c>
      <c r="BF1596" s="246">
        <f>IFERROR(VLOOKUP(P1596,VOL_REC[],2,FALSE),0)</f>
        <v>0</v>
      </c>
      <c r="BG1596" s="246">
        <f>IFERROR(VLOOKUP(Q1596,VOL_REC[],2,FALSE),0)</f>
        <v>0</v>
      </c>
      <c r="BH1596" s="1710">
        <f t="shared" si="96"/>
        <v>16500095700.41913</v>
      </c>
      <c r="BI1596" s="1710">
        <f t="shared" si="97"/>
        <v>17679367350.161308</v>
      </c>
      <c r="BJ1596" s="1711">
        <f t="shared" si="98"/>
        <v>19066584.504759487</v>
      </c>
      <c r="BK1596" s="1711">
        <f t="shared" si="99"/>
        <v>0.93329672796626295</v>
      </c>
    </row>
    <row r="1597" spans="3:67" x14ac:dyDescent="0.25">
      <c r="C1597" s="246" t="s">
        <v>2947</v>
      </c>
      <c r="D1597" s="246">
        <v>1</v>
      </c>
      <c r="E1597" s="246">
        <v>2</v>
      </c>
      <c r="F1597" s="246">
        <v>3</v>
      </c>
      <c r="G1597" s="246">
        <v>4</v>
      </c>
      <c r="H1597" s="246">
        <v>5</v>
      </c>
      <c r="I1597" s="246">
        <v>10</v>
      </c>
      <c r="J1597" s="246">
        <v>12</v>
      </c>
      <c r="K1597" s="246">
        <v>13</v>
      </c>
      <c r="L1597" s="246">
        <v>16</v>
      </c>
      <c r="M1597" s="246">
        <v>17</v>
      </c>
      <c r="N1597" s="246"/>
      <c r="O1597" s="246"/>
      <c r="P1597" s="246"/>
      <c r="Q1597" s="246"/>
      <c r="R1597" s="246">
        <f>IFERROR(VLOOKUP(D1597,PROGRAMAS[],2,FALSE),0)</f>
        <v>97037803.679377079</v>
      </c>
      <c r="S1597" s="246">
        <f>IFERROR(VLOOKUP(E1597,PROGRAMAS[],2,FALSE),0)</f>
        <v>640501509.6821388</v>
      </c>
      <c r="T1597" s="246">
        <f>IFERROR(VLOOKUP(F1597,PROGRAMAS[],2,FALSE),0)</f>
        <v>3062327798.1525245</v>
      </c>
      <c r="U1597" s="246">
        <f>IFERROR(VLOOKUP(G1597,PROGRAMAS[],2,FALSE),0)</f>
        <v>67697118.033011258</v>
      </c>
      <c r="V1597" s="246">
        <f>IFERROR(VLOOKUP(H1597,PROGRAMAS[],2,FALSE),0)</f>
        <v>1440941976.2528784</v>
      </c>
      <c r="W1597" s="246">
        <f>IFERROR(VLOOKUP(I1597,PROGRAMAS[],2,FALSE),0)</f>
        <v>4635315027.8751087</v>
      </c>
      <c r="X1597" s="246">
        <f>IFERROR(VLOOKUP(J1597,PROGRAMAS[],2,FALSE),0)</f>
        <v>764796700.79905891</v>
      </c>
      <c r="Y1597" s="246">
        <f>IFERROR(VLOOKUP(K1597,PROGRAMAS[],2,FALSE),0)</f>
        <v>3776538594.4604583</v>
      </c>
      <c r="Z1597" s="246">
        <f>IFERROR(VLOOKUP(L1597,PROGRAMAS[],2,FALSE),0)</f>
        <v>7068496961.0436354</v>
      </c>
      <c r="AA1597" s="246">
        <f>IFERROR(VLOOKUP(M1597,PROGRAMAS[],2,FALSE),0)</f>
        <v>1892779498.5211046</v>
      </c>
      <c r="AB1597" s="246">
        <f>IFERROR(VLOOKUP(N1597,PROGRAMAS[],2,FALSE),0)</f>
        <v>0</v>
      </c>
      <c r="AC1597" s="246">
        <f>IFERROR(VLOOKUP(O1597,PROGRAMAS[],2,FALSE),0)</f>
        <v>0</v>
      </c>
      <c r="AD1597" s="246">
        <f>IFERROR(VLOOKUP(P1597,PROGRAMAS[],2,FALSE),0)</f>
        <v>0</v>
      </c>
      <c r="AE1597" s="246">
        <f>IFERROR(VLOOKUP(Q1597,PROGRAMAS[],2,FALSE),0)</f>
        <v>0</v>
      </c>
      <c r="AF1597" s="246">
        <f>IFERROR(VLOOKUP(D1597,PROGRAMAS[],3,FALSE),0)</f>
        <v>841888629.31080008</v>
      </c>
      <c r="AG1597" s="246">
        <f>IFERROR(VLOOKUP(E1597,PROGRAMAS[],3,FALSE),0)</f>
        <v>3848980803.1642323</v>
      </c>
      <c r="AH1597" s="246">
        <f>IFERROR(VLOOKUP(F1597,PROGRAMAS[],3,FALSE),0)</f>
        <v>3394901471.387517</v>
      </c>
      <c r="AI1597" s="246">
        <f>IFERROR(VLOOKUP(G1597,PROGRAMAS[],3,FALSE),0)</f>
        <v>125317226.95549992</v>
      </c>
      <c r="AJ1597" s="246">
        <f>IFERROR(VLOOKUP(H1597,PROGRAMAS[],3,FALSE),0)</f>
        <v>1233505101.0616004</v>
      </c>
      <c r="AK1597" s="246">
        <f>IFERROR(VLOOKUP(I1597,PROGRAMAS[],3,FALSE),0)</f>
        <v>4099471734.9978786</v>
      </c>
      <c r="AL1597" s="246">
        <f>IFERROR(VLOOKUP(J1597,PROGRAMAS[],3,FALSE),0)</f>
        <v>675517840.109828</v>
      </c>
      <c r="AM1597" s="246">
        <f>IFERROR(VLOOKUP(K1597,PROGRAMAS[],3,FALSE),0)</f>
        <v>2392571243.5584412</v>
      </c>
      <c r="AN1597" s="246">
        <f>IFERROR(VLOOKUP(L1597,PROGRAMAS[],3,FALSE),0)</f>
        <v>2406564599.0319901</v>
      </c>
      <c r="AO1597" s="246">
        <f>IFERROR(VLOOKUP(M1597,PROGRAMAS[],3,FALSE),0)</f>
        <v>948595847.09039903</v>
      </c>
      <c r="AP1597" s="246">
        <f>IFERROR(VLOOKUP(N1597,PROGRAMAS[],3,FALSE),0)</f>
        <v>0</v>
      </c>
      <c r="AQ1597" s="246">
        <f>IFERROR(VLOOKUP(O1597,PROGRAMAS[],3,FALSE),0)</f>
        <v>0</v>
      </c>
      <c r="AR1597" s="246">
        <f>IFERROR(VLOOKUP(P1597,PROGRAMAS[],3,FALSE),0)</f>
        <v>0</v>
      </c>
      <c r="AS1597" s="246">
        <f>IFERROR(VLOOKUP(Q1597,PROGRAMAS[],3,FALSE),0)</f>
        <v>0</v>
      </c>
      <c r="AT1597" s="246">
        <f>IFERROR(VLOOKUP(D1597,VOL_REC[],2,FALSE),0)</f>
        <v>0</v>
      </c>
      <c r="AU1597" s="246">
        <f>IFERROR(VLOOKUP(E1597,VOL_REC[],2,FALSE),0)</f>
        <v>0</v>
      </c>
      <c r="AV1597" s="246">
        <f>IFERROR(VLOOKUP(F1597,VOL_REC[],2,FALSE),0)</f>
        <v>11089674.200000001</v>
      </c>
      <c r="AW1597" s="246">
        <f>IFERROR(VLOOKUP(G1597,VOL_REC[],2,FALSE),0)</f>
        <v>90439.55</v>
      </c>
      <c r="AX1597" s="246">
        <f>IFERROR(VLOOKUP(H1597,VOL_REC[],2,FALSE),0)</f>
        <v>4325103.1812214684</v>
      </c>
      <c r="AY1597" s="246">
        <f>IFERROR(VLOOKUP(I1597,VOL_REC[],2,FALSE),0)</f>
        <v>1812240</v>
      </c>
      <c r="AZ1597" s="246">
        <f>IFERROR(VLOOKUP(J1597,VOL_REC[],2,FALSE),0)</f>
        <v>240696.79238099116</v>
      </c>
      <c r="BA1597" s="246">
        <f>IFERROR(VLOOKUP(K1597,VOL_REC[],2,FALSE),0)</f>
        <v>663244.80000000016</v>
      </c>
      <c r="BB1597" s="246">
        <f>IFERROR(VLOOKUP(L1597,VOL_REC[],2,FALSE),0)</f>
        <v>1072354.9981737854</v>
      </c>
      <c r="BC1597" s="246">
        <f>IFERROR(VLOOKUP(M1597,VOL_REC[],2,FALSE),0)</f>
        <v>740113.98115702497</v>
      </c>
      <c r="BD1597" s="246">
        <f>IFERROR(VLOOKUP(N1597,VOL_REC[],2,FALSE),0)</f>
        <v>0</v>
      </c>
      <c r="BE1597" s="246">
        <f>IFERROR(VLOOKUP(O1597,VOL_REC[],2,FALSE),0)</f>
        <v>0</v>
      </c>
      <c r="BF1597" s="246">
        <f>IFERROR(VLOOKUP(P1597,VOL_REC[],2,FALSE),0)</f>
        <v>0</v>
      </c>
      <c r="BG1597" s="246">
        <f>IFERROR(VLOOKUP(Q1597,VOL_REC[],2,FALSE),0)</f>
        <v>0</v>
      </c>
      <c r="BH1597" s="1710">
        <f t="shared" si="96"/>
        <v>23446432988.499294</v>
      </c>
      <c r="BI1597" s="1710">
        <f t="shared" si="97"/>
        <v>19967314496.66819</v>
      </c>
      <c r="BJ1597" s="1711">
        <f t="shared" si="98"/>
        <v>20033867.502933271</v>
      </c>
      <c r="BK1597" s="1711">
        <f t="shared" si="99"/>
        <v>1.1742406818108484</v>
      </c>
      <c r="BL1597">
        <f>BJ1597</f>
        <v>20033867.502933271</v>
      </c>
      <c r="BO1597">
        <f>BL1597</f>
        <v>20033867.502933271</v>
      </c>
    </row>
    <row r="1598" spans="3:67" x14ac:dyDescent="0.25">
      <c r="C1598" s="246" t="s">
        <v>2948</v>
      </c>
      <c r="D1598" s="246">
        <v>1</v>
      </c>
      <c r="E1598" s="246">
        <v>2</v>
      </c>
      <c r="F1598" s="246">
        <v>3</v>
      </c>
      <c r="G1598" s="246">
        <v>4</v>
      </c>
      <c r="H1598" s="246">
        <v>5</v>
      </c>
      <c r="I1598" s="246">
        <v>10</v>
      </c>
      <c r="J1598" s="246">
        <v>12</v>
      </c>
      <c r="K1598" s="246">
        <v>14</v>
      </c>
      <c r="L1598" s="246">
        <v>15</v>
      </c>
      <c r="M1598" s="246">
        <v>16</v>
      </c>
      <c r="N1598" s="246"/>
      <c r="O1598" s="246"/>
      <c r="P1598" s="246"/>
      <c r="Q1598" s="246"/>
      <c r="R1598" s="246">
        <f>IFERROR(VLOOKUP(D1598,PROGRAMAS[],2,FALSE),0)</f>
        <v>97037803.679377079</v>
      </c>
      <c r="S1598" s="246">
        <f>IFERROR(VLOOKUP(E1598,PROGRAMAS[],2,FALSE),0)</f>
        <v>640501509.6821388</v>
      </c>
      <c r="T1598" s="246">
        <f>IFERROR(VLOOKUP(F1598,PROGRAMAS[],2,FALSE),0)</f>
        <v>3062327798.1525245</v>
      </c>
      <c r="U1598" s="246">
        <f>IFERROR(VLOOKUP(G1598,PROGRAMAS[],2,FALSE),0)</f>
        <v>67697118.033011258</v>
      </c>
      <c r="V1598" s="246">
        <f>IFERROR(VLOOKUP(H1598,PROGRAMAS[],2,FALSE),0)</f>
        <v>1440941976.2528784</v>
      </c>
      <c r="W1598" s="246">
        <f>IFERROR(VLOOKUP(I1598,PROGRAMAS[],2,FALSE),0)</f>
        <v>4635315027.8751087</v>
      </c>
      <c r="X1598" s="246">
        <f>IFERROR(VLOOKUP(J1598,PROGRAMAS[],2,FALSE),0)</f>
        <v>764796700.79905891</v>
      </c>
      <c r="Y1598" s="246">
        <f>IFERROR(VLOOKUP(K1598,PROGRAMAS[],2,FALSE),0)</f>
        <v>54223862.645839565</v>
      </c>
      <c r="Z1598" s="246">
        <f>IFERROR(VLOOKUP(L1598,PROGRAMAS[],2,FALSE),0)</f>
        <v>122159672.96346797</v>
      </c>
      <c r="AA1598" s="246">
        <f>IFERROR(VLOOKUP(M1598,PROGRAMAS[],2,FALSE),0)</f>
        <v>7068496961.0436354</v>
      </c>
      <c r="AB1598" s="246">
        <f>IFERROR(VLOOKUP(N1598,PROGRAMAS[],2,FALSE),0)</f>
        <v>0</v>
      </c>
      <c r="AC1598" s="246">
        <f>IFERROR(VLOOKUP(O1598,PROGRAMAS[],2,FALSE),0)</f>
        <v>0</v>
      </c>
      <c r="AD1598" s="246">
        <f>IFERROR(VLOOKUP(P1598,PROGRAMAS[],2,FALSE),0)</f>
        <v>0</v>
      </c>
      <c r="AE1598" s="246">
        <f>IFERROR(VLOOKUP(Q1598,PROGRAMAS[],2,FALSE),0)</f>
        <v>0</v>
      </c>
      <c r="AF1598" s="246">
        <f>IFERROR(VLOOKUP(D1598,PROGRAMAS[],3,FALSE),0)</f>
        <v>841888629.31080008</v>
      </c>
      <c r="AG1598" s="246">
        <f>IFERROR(VLOOKUP(E1598,PROGRAMAS[],3,FALSE),0)</f>
        <v>3848980803.1642323</v>
      </c>
      <c r="AH1598" s="246">
        <f>IFERROR(VLOOKUP(F1598,PROGRAMAS[],3,FALSE),0)</f>
        <v>3394901471.387517</v>
      </c>
      <c r="AI1598" s="246">
        <f>IFERROR(VLOOKUP(G1598,PROGRAMAS[],3,FALSE),0)</f>
        <v>125317226.95549992</v>
      </c>
      <c r="AJ1598" s="246">
        <f>IFERROR(VLOOKUP(H1598,PROGRAMAS[],3,FALSE),0)</f>
        <v>1233505101.0616004</v>
      </c>
      <c r="AK1598" s="246">
        <f>IFERROR(VLOOKUP(I1598,PROGRAMAS[],3,FALSE),0)</f>
        <v>4099471734.9978786</v>
      </c>
      <c r="AL1598" s="246">
        <f>IFERROR(VLOOKUP(J1598,PROGRAMAS[],3,FALSE),0)</f>
        <v>675517840.109828</v>
      </c>
      <c r="AM1598" s="246">
        <f>IFERROR(VLOOKUP(K1598,PROGRAMAS[],3,FALSE),0)</f>
        <v>31865326.38096505</v>
      </c>
      <c r="AN1598" s="246">
        <f>IFERROR(VLOOKUP(L1598,PROGRAMAS[],3,FALSE),0)</f>
        <v>118617452.52510804</v>
      </c>
      <c r="AO1598" s="246">
        <f>IFERROR(VLOOKUP(M1598,PROGRAMAS[],3,FALSE),0)</f>
        <v>2406564599.0319901</v>
      </c>
      <c r="AP1598" s="246">
        <f>IFERROR(VLOOKUP(N1598,PROGRAMAS[],3,FALSE),0)</f>
        <v>0</v>
      </c>
      <c r="AQ1598" s="246">
        <f>IFERROR(VLOOKUP(O1598,PROGRAMAS[],3,FALSE),0)</f>
        <v>0</v>
      </c>
      <c r="AR1598" s="246">
        <f>IFERROR(VLOOKUP(P1598,PROGRAMAS[],3,FALSE),0)</f>
        <v>0</v>
      </c>
      <c r="AS1598" s="246">
        <f>IFERROR(VLOOKUP(Q1598,PROGRAMAS[],3,FALSE),0)</f>
        <v>0</v>
      </c>
      <c r="AT1598" s="246">
        <f>IFERROR(VLOOKUP(D1598,VOL_REC[],2,FALSE),0)</f>
        <v>0</v>
      </c>
      <c r="AU1598" s="246">
        <f>IFERROR(VLOOKUP(E1598,VOL_REC[],2,FALSE),0)</f>
        <v>0</v>
      </c>
      <c r="AV1598" s="246">
        <f>IFERROR(VLOOKUP(F1598,VOL_REC[],2,FALSE),0)</f>
        <v>11089674.200000001</v>
      </c>
      <c r="AW1598" s="246">
        <f>IFERROR(VLOOKUP(G1598,VOL_REC[],2,FALSE),0)</f>
        <v>90439.55</v>
      </c>
      <c r="AX1598" s="246">
        <f>IFERROR(VLOOKUP(H1598,VOL_REC[],2,FALSE),0)</f>
        <v>4325103.1812214684</v>
      </c>
      <c r="AY1598" s="246">
        <f>IFERROR(VLOOKUP(I1598,VOL_REC[],2,FALSE),0)</f>
        <v>1812240</v>
      </c>
      <c r="AZ1598" s="246">
        <f>IFERROR(VLOOKUP(J1598,VOL_REC[],2,FALSE),0)</f>
        <v>240696.79238099116</v>
      </c>
      <c r="BA1598" s="246">
        <f>IFERROR(VLOOKUP(K1598,VOL_REC[],2,FALSE),0)</f>
        <v>17074.045034105649</v>
      </c>
      <c r="BB1598" s="246">
        <f>IFERROR(VLOOKUP(L1598,VOL_REC[],2,FALSE),0)</f>
        <v>105072</v>
      </c>
      <c r="BC1598" s="246">
        <f>IFERROR(VLOOKUP(M1598,VOL_REC[],2,FALSE),0)</f>
        <v>1072354.9981737854</v>
      </c>
      <c r="BD1598" s="246">
        <f>IFERROR(VLOOKUP(N1598,VOL_REC[],2,FALSE),0)</f>
        <v>0</v>
      </c>
      <c r="BE1598" s="246">
        <f>IFERROR(VLOOKUP(O1598,VOL_REC[],2,FALSE),0)</f>
        <v>0</v>
      </c>
      <c r="BF1598" s="246">
        <f>IFERROR(VLOOKUP(P1598,VOL_REC[],2,FALSE),0)</f>
        <v>0</v>
      </c>
      <c r="BG1598" s="246">
        <f>IFERROR(VLOOKUP(Q1598,VOL_REC[],2,FALSE),0)</f>
        <v>0</v>
      </c>
      <c r="BH1598" s="1710">
        <f t="shared" si="96"/>
        <v>17953498431.127041</v>
      </c>
      <c r="BI1598" s="1710">
        <f t="shared" si="97"/>
        <v>16776630184.925421</v>
      </c>
      <c r="BJ1598" s="1711">
        <f t="shared" si="98"/>
        <v>18752654.766810354</v>
      </c>
      <c r="BK1598" s="1711">
        <f t="shared" si="99"/>
        <v>1.0701492631851115</v>
      </c>
      <c r="BL1598">
        <f>BJ1598</f>
        <v>18752654.766810354</v>
      </c>
      <c r="BO1598">
        <f>BL1598</f>
        <v>18752654.766810354</v>
      </c>
    </row>
    <row r="1599" spans="3:67" x14ac:dyDescent="0.25">
      <c r="C1599" s="246" t="s">
        <v>2949</v>
      </c>
      <c r="D1599" s="246">
        <v>1</v>
      </c>
      <c r="E1599" s="246">
        <v>2</v>
      </c>
      <c r="F1599" s="246">
        <v>3</v>
      </c>
      <c r="G1599" s="246">
        <v>4</v>
      </c>
      <c r="H1599" s="246">
        <v>5</v>
      </c>
      <c r="I1599" s="246">
        <v>10</v>
      </c>
      <c r="J1599" s="246">
        <v>12</v>
      </c>
      <c r="K1599" s="246">
        <v>14</v>
      </c>
      <c r="L1599" s="246">
        <v>15</v>
      </c>
      <c r="M1599" s="246">
        <v>17</v>
      </c>
      <c r="N1599" s="246"/>
      <c r="O1599" s="246"/>
      <c r="P1599" s="246"/>
      <c r="Q1599" s="246"/>
      <c r="R1599" s="246">
        <f>IFERROR(VLOOKUP(D1599,PROGRAMAS[],2,FALSE),0)</f>
        <v>97037803.679377079</v>
      </c>
      <c r="S1599" s="246">
        <f>IFERROR(VLOOKUP(E1599,PROGRAMAS[],2,FALSE),0)</f>
        <v>640501509.6821388</v>
      </c>
      <c r="T1599" s="246">
        <f>IFERROR(VLOOKUP(F1599,PROGRAMAS[],2,FALSE),0)</f>
        <v>3062327798.1525245</v>
      </c>
      <c r="U1599" s="246">
        <f>IFERROR(VLOOKUP(G1599,PROGRAMAS[],2,FALSE),0)</f>
        <v>67697118.033011258</v>
      </c>
      <c r="V1599" s="246">
        <f>IFERROR(VLOOKUP(H1599,PROGRAMAS[],2,FALSE),0)</f>
        <v>1440941976.2528784</v>
      </c>
      <c r="W1599" s="246">
        <f>IFERROR(VLOOKUP(I1599,PROGRAMAS[],2,FALSE),0)</f>
        <v>4635315027.8751087</v>
      </c>
      <c r="X1599" s="246">
        <f>IFERROR(VLOOKUP(J1599,PROGRAMAS[],2,FALSE),0)</f>
        <v>764796700.79905891</v>
      </c>
      <c r="Y1599" s="246">
        <f>IFERROR(VLOOKUP(K1599,PROGRAMAS[],2,FALSE),0)</f>
        <v>54223862.645839565</v>
      </c>
      <c r="Z1599" s="246">
        <f>IFERROR(VLOOKUP(L1599,PROGRAMAS[],2,FALSE),0)</f>
        <v>122159672.96346797</v>
      </c>
      <c r="AA1599" s="246">
        <f>IFERROR(VLOOKUP(M1599,PROGRAMAS[],2,FALSE),0)</f>
        <v>1892779498.5211046</v>
      </c>
      <c r="AB1599" s="246">
        <f>IFERROR(VLOOKUP(N1599,PROGRAMAS[],2,FALSE),0)</f>
        <v>0</v>
      </c>
      <c r="AC1599" s="246">
        <f>IFERROR(VLOOKUP(O1599,PROGRAMAS[],2,FALSE),0)</f>
        <v>0</v>
      </c>
      <c r="AD1599" s="246">
        <f>IFERROR(VLOOKUP(P1599,PROGRAMAS[],2,FALSE),0)</f>
        <v>0</v>
      </c>
      <c r="AE1599" s="246">
        <f>IFERROR(VLOOKUP(Q1599,PROGRAMAS[],2,FALSE),0)</f>
        <v>0</v>
      </c>
      <c r="AF1599" s="246">
        <f>IFERROR(VLOOKUP(D1599,PROGRAMAS[],3,FALSE),0)</f>
        <v>841888629.31080008</v>
      </c>
      <c r="AG1599" s="246">
        <f>IFERROR(VLOOKUP(E1599,PROGRAMAS[],3,FALSE),0)</f>
        <v>3848980803.1642323</v>
      </c>
      <c r="AH1599" s="246">
        <f>IFERROR(VLOOKUP(F1599,PROGRAMAS[],3,FALSE),0)</f>
        <v>3394901471.387517</v>
      </c>
      <c r="AI1599" s="246">
        <f>IFERROR(VLOOKUP(G1599,PROGRAMAS[],3,FALSE),0)</f>
        <v>125317226.95549992</v>
      </c>
      <c r="AJ1599" s="246">
        <f>IFERROR(VLOOKUP(H1599,PROGRAMAS[],3,FALSE),0)</f>
        <v>1233505101.0616004</v>
      </c>
      <c r="AK1599" s="246">
        <f>IFERROR(VLOOKUP(I1599,PROGRAMAS[],3,FALSE),0)</f>
        <v>4099471734.9978786</v>
      </c>
      <c r="AL1599" s="246">
        <f>IFERROR(VLOOKUP(J1599,PROGRAMAS[],3,FALSE),0)</f>
        <v>675517840.109828</v>
      </c>
      <c r="AM1599" s="246">
        <f>IFERROR(VLOOKUP(K1599,PROGRAMAS[],3,FALSE),0)</f>
        <v>31865326.38096505</v>
      </c>
      <c r="AN1599" s="246">
        <f>IFERROR(VLOOKUP(L1599,PROGRAMAS[],3,FALSE),0)</f>
        <v>118617452.52510804</v>
      </c>
      <c r="AO1599" s="246">
        <f>IFERROR(VLOOKUP(M1599,PROGRAMAS[],3,FALSE),0)</f>
        <v>948595847.09039903</v>
      </c>
      <c r="AP1599" s="246">
        <f>IFERROR(VLOOKUP(N1599,PROGRAMAS[],3,FALSE),0)</f>
        <v>0</v>
      </c>
      <c r="AQ1599" s="246">
        <f>IFERROR(VLOOKUP(O1599,PROGRAMAS[],3,FALSE),0)</f>
        <v>0</v>
      </c>
      <c r="AR1599" s="246">
        <f>IFERROR(VLOOKUP(P1599,PROGRAMAS[],3,FALSE),0)</f>
        <v>0</v>
      </c>
      <c r="AS1599" s="246">
        <f>IFERROR(VLOOKUP(Q1599,PROGRAMAS[],3,FALSE),0)</f>
        <v>0</v>
      </c>
      <c r="AT1599" s="246">
        <f>IFERROR(VLOOKUP(D1599,VOL_REC[],2,FALSE),0)</f>
        <v>0</v>
      </c>
      <c r="AU1599" s="246">
        <f>IFERROR(VLOOKUP(E1599,VOL_REC[],2,FALSE),0)</f>
        <v>0</v>
      </c>
      <c r="AV1599" s="246">
        <f>IFERROR(VLOOKUP(F1599,VOL_REC[],2,FALSE),0)</f>
        <v>11089674.200000001</v>
      </c>
      <c r="AW1599" s="246">
        <f>IFERROR(VLOOKUP(G1599,VOL_REC[],2,FALSE),0)</f>
        <v>90439.55</v>
      </c>
      <c r="AX1599" s="246">
        <f>IFERROR(VLOOKUP(H1599,VOL_REC[],2,FALSE),0)</f>
        <v>4325103.1812214684</v>
      </c>
      <c r="AY1599" s="246">
        <f>IFERROR(VLOOKUP(I1599,VOL_REC[],2,FALSE),0)</f>
        <v>1812240</v>
      </c>
      <c r="AZ1599" s="246">
        <f>IFERROR(VLOOKUP(J1599,VOL_REC[],2,FALSE),0)</f>
        <v>240696.79238099116</v>
      </c>
      <c r="BA1599" s="246">
        <f>IFERROR(VLOOKUP(K1599,VOL_REC[],2,FALSE),0)</f>
        <v>17074.045034105649</v>
      </c>
      <c r="BB1599" s="246">
        <f>IFERROR(VLOOKUP(L1599,VOL_REC[],2,FALSE),0)</f>
        <v>105072</v>
      </c>
      <c r="BC1599" s="246">
        <f>IFERROR(VLOOKUP(M1599,VOL_REC[],2,FALSE),0)</f>
        <v>740113.98115702497</v>
      </c>
      <c r="BD1599" s="246">
        <f>IFERROR(VLOOKUP(N1599,VOL_REC[],2,FALSE),0)</f>
        <v>0</v>
      </c>
      <c r="BE1599" s="246">
        <f>IFERROR(VLOOKUP(O1599,VOL_REC[],2,FALSE),0)</f>
        <v>0</v>
      </c>
      <c r="BF1599" s="246">
        <f>IFERROR(VLOOKUP(P1599,VOL_REC[],2,FALSE),0)</f>
        <v>0</v>
      </c>
      <c r="BG1599" s="246">
        <f>IFERROR(VLOOKUP(Q1599,VOL_REC[],2,FALSE),0)</f>
        <v>0</v>
      </c>
      <c r="BH1599" s="1710">
        <f t="shared" si="96"/>
        <v>12777780968.604511</v>
      </c>
      <c r="BI1599" s="1710">
        <f t="shared" si="97"/>
        <v>15318661432.983829</v>
      </c>
      <c r="BJ1599" s="1711">
        <f t="shared" si="98"/>
        <v>18420413.749793593</v>
      </c>
      <c r="BK1599" s="1711">
        <f t="shared" si="99"/>
        <v>0.83413169123848208</v>
      </c>
    </row>
    <row r="1600" spans="3:67" x14ac:dyDescent="0.25">
      <c r="C1600" s="246" t="s">
        <v>2950</v>
      </c>
      <c r="D1600" s="246">
        <v>1</v>
      </c>
      <c r="E1600" s="246">
        <v>2</v>
      </c>
      <c r="F1600" s="246">
        <v>3</v>
      </c>
      <c r="G1600" s="246">
        <v>4</v>
      </c>
      <c r="H1600" s="246">
        <v>5</v>
      </c>
      <c r="I1600" s="246">
        <v>10</v>
      </c>
      <c r="J1600" s="246">
        <v>12</v>
      </c>
      <c r="K1600" s="246">
        <v>14</v>
      </c>
      <c r="L1600" s="246">
        <v>16</v>
      </c>
      <c r="M1600" s="246">
        <v>17</v>
      </c>
      <c r="N1600" s="246"/>
      <c r="O1600" s="246"/>
      <c r="P1600" s="246"/>
      <c r="Q1600" s="246"/>
      <c r="R1600" s="246">
        <f>IFERROR(VLOOKUP(D1600,PROGRAMAS[],2,FALSE),0)</f>
        <v>97037803.679377079</v>
      </c>
      <c r="S1600" s="246">
        <f>IFERROR(VLOOKUP(E1600,PROGRAMAS[],2,FALSE),0)</f>
        <v>640501509.6821388</v>
      </c>
      <c r="T1600" s="246">
        <f>IFERROR(VLOOKUP(F1600,PROGRAMAS[],2,FALSE),0)</f>
        <v>3062327798.1525245</v>
      </c>
      <c r="U1600" s="246">
        <f>IFERROR(VLOOKUP(G1600,PROGRAMAS[],2,FALSE),0)</f>
        <v>67697118.033011258</v>
      </c>
      <c r="V1600" s="246">
        <f>IFERROR(VLOOKUP(H1600,PROGRAMAS[],2,FALSE),0)</f>
        <v>1440941976.2528784</v>
      </c>
      <c r="W1600" s="246">
        <f>IFERROR(VLOOKUP(I1600,PROGRAMAS[],2,FALSE),0)</f>
        <v>4635315027.8751087</v>
      </c>
      <c r="X1600" s="246">
        <f>IFERROR(VLOOKUP(J1600,PROGRAMAS[],2,FALSE),0)</f>
        <v>764796700.79905891</v>
      </c>
      <c r="Y1600" s="246">
        <f>IFERROR(VLOOKUP(K1600,PROGRAMAS[],2,FALSE),0)</f>
        <v>54223862.645839565</v>
      </c>
      <c r="Z1600" s="246">
        <f>IFERROR(VLOOKUP(L1600,PROGRAMAS[],2,FALSE),0)</f>
        <v>7068496961.0436354</v>
      </c>
      <c r="AA1600" s="246">
        <f>IFERROR(VLOOKUP(M1600,PROGRAMAS[],2,FALSE),0)</f>
        <v>1892779498.5211046</v>
      </c>
      <c r="AB1600" s="246">
        <f>IFERROR(VLOOKUP(N1600,PROGRAMAS[],2,FALSE),0)</f>
        <v>0</v>
      </c>
      <c r="AC1600" s="246">
        <f>IFERROR(VLOOKUP(O1600,PROGRAMAS[],2,FALSE),0)</f>
        <v>0</v>
      </c>
      <c r="AD1600" s="246">
        <f>IFERROR(VLOOKUP(P1600,PROGRAMAS[],2,FALSE),0)</f>
        <v>0</v>
      </c>
      <c r="AE1600" s="246">
        <f>IFERROR(VLOOKUP(Q1600,PROGRAMAS[],2,FALSE),0)</f>
        <v>0</v>
      </c>
      <c r="AF1600" s="246">
        <f>IFERROR(VLOOKUP(D1600,PROGRAMAS[],3,FALSE),0)</f>
        <v>841888629.31080008</v>
      </c>
      <c r="AG1600" s="246">
        <f>IFERROR(VLOOKUP(E1600,PROGRAMAS[],3,FALSE),0)</f>
        <v>3848980803.1642323</v>
      </c>
      <c r="AH1600" s="246">
        <f>IFERROR(VLOOKUP(F1600,PROGRAMAS[],3,FALSE),0)</f>
        <v>3394901471.387517</v>
      </c>
      <c r="AI1600" s="246">
        <f>IFERROR(VLOOKUP(G1600,PROGRAMAS[],3,FALSE),0)</f>
        <v>125317226.95549992</v>
      </c>
      <c r="AJ1600" s="246">
        <f>IFERROR(VLOOKUP(H1600,PROGRAMAS[],3,FALSE),0)</f>
        <v>1233505101.0616004</v>
      </c>
      <c r="AK1600" s="246">
        <f>IFERROR(VLOOKUP(I1600,PROGRAMAS[],3,FALSE),0)</f>
        <v>4099471734.9978786</v>
      </c>
      <c r="AL1600" s="246">
        <f>IFERROR(VLOOKUP(J1600,PROGRAMAS[],3,FALSE),0)</f>
        <v>675517840.109828</v>
      </c>
      <c r="AM1600" s="246">
        <f>IFERROR(VLOOKUP(K1600,PROGRAMAS[],3,FALSE),0)</f>
        <v>31865326.38096505</v>
      </c>
      <c r="AN1600" s="246">
        <f>IFERROR(VLOOKUP(L1600,PROGRAMAS[],3,FALSE),0)</f>
        <v>2406564599.0319901</v>
      </c>
      <c r="AO1600" s="246">
        <f>IFERROR(VLOOKUP(M1600,PROGRAMAS[],3,FALSE),0)</f>
        <v>948595847.09039903</v>
      </c>
      <c r="AP1600" s="246">
        <f>IFERROR(VLOOKUP(N1600,PROGRAMAS[],3,FALSE),0)</f>
        <v>0</v>
      </c>
      <c r="AQ1600" s="246">
        <f>IFERROR(VLOOKUP(O1600,PROGRAMAS[],3,FALSE),0)</f>
        <v>0</v>
      </c>
      <c r="AR1600" s="246">
        <f>IFERROR(VLOOKUP(P1600,PROGRAMAS[],3,FALSE),0)</f>
        <v>0</v>
      </c>
      <c r="AS1600" s="246">
        <f>IFERROR(VLOOKUP(Q1600,PROGRAMAS[],3,FALSE),0)</f>
        <v>0</v>
      </c>
      <c r="AT1600" s="246">
        <f>IFERROR(VLOOKUP(D1600,VOL_REC[],2,FALSE),0)</f>
        <v>0</v>
      </c>
      <c r="AU1600" s="246">
        <f>IFERROR(VLOOKUP(E1600,VOL_REC[],2,FALSE),0)</f>
        <v>0</v>
      </c>
      <c r="AV1600" s="246">
        <f>IFERROR(VLOOKUP(F1600,VOL_REC[],2,FALSE),0)</f>
        <v>11089674.200000001</v>
      </c>
      <c r="AW1600" s="246">
        <f>IFERROR(VLOOKUP(G1600,VOL_REC[],2,FALSE),0)</f>
        <v>90439.55</v>
      </c>
      <c r="AX1600" s="246">
        <f>IFERROR(VLOOKUP(H1600,VOL_REC[],2,FALSE),0)</f>
        <v>4325103.1812214684</v>
      </c>
      <c r="AY1600" s="246">
        <f>IFERROR(VLOOKUP(I1600,VOL_REC[],2,FALSE),0)</f>
        <v>1812240</v>
      </c>
      <c r="AZ1600" s="246">
        <f>IFERROR(VLOOKUP(J1600,VOL_REC[],2,FALSE),0)</f>
        <v>240696.79238099116</v>
      </c>
      <c r="BA1600" s="246">
        <f>IFERROR(VLOOKUP(K1600,VOL_REC[],2,FALSE),0)</f>
        <v>17074.045034105649</v>
      </c>
      <c r="BB1600" s="246">
        <f>IFERROR(VLOOKUP(L1600,VOL_REC[],2,FALSE),0)</f>
        <v>1072354.9981737854</v>
      </c>
      <c r="BC1600" s="246">
        <f>IFERROR(VLOOKUP(M1600,VOL_REC[],2,FALSE),0)</f>
        <v>740113.98115702497</v>
      </c>
      <c r="BD1600" s="246">
        <f>IFERROR(VLOOKUP(N1600,VOL_REC[],2,FALSE),0)</f>
        <v>0</v>
      </c>
      <c r="BE1600" s="246">
        <f>IFERROR(VLOOKUP(O1600,VOL_REC[],2,FALSE),0)</f>
        <v>0</v>
      </c>
      <c r="BF1600" s="246">
        <f>IFERROR(VLOOKUP(P1600,VOL_REC[],2,FALSE),0)</f>
        <v>0</v>
      </c>
      <c r="BG1600" s="246">
        <f>IFERROR(VLOOKUP(Q1600,VOL_REC[],2,FALSE),0)</f>
        <v>0</v>
      </c>
      <c r="BH1600" s="1710">
        <f t="shared" si="96"/>
        <v>19724118256.684677</v>
      </c>
      <c r="BI1600" s="1710">
        <f t="shared" si="97"/>
        <v>17606608579.490711</v>
      </c>
      <c r="BJ1600" s="1711">
        <f t="shared" si="98"/>
        <v>19387696.747967377</v>
      </c>
      <c r="BK1600" s="1711">
        <f t="shared" si="99"/>
        <v>1.1202678907544168</v>
      </c>
      <c r="BL1600">
        <f>BJ1600</f>
        <v>19387696.747967377</v>
      </c>
      <c r="BO1600">
        <f>BL1600</f>
        <v>19387696.747967377</v>
      </c>
    </row>
    <row r="1601" spans="3:67" x14ac:dyDescent="0.25">
      <c r="C1601" s="246" t="s">
        <v>2951</v>
      </c>
      <c r="D1601" s="246">
        <v>1</v>
      </c>
      <c r="E1601" s="246">
        <v>2</v>
      </c>
      <c r="F1601" s="246">
        <v>3</v>
      </c>
      <c r="G1601" s="246">
        <v>4</v>
      </c>
      <c r="H1601" s="246">
        <v>5</v>
      </c>
      <c r="I1601" s="246">
        <v>10</v>
      </c>
      <c r="J1601" s="246">
        <v>12</v>
      </c>
      <c r="K1601" s="246">
        <v>15</v>
      </c>
      <c r="L1601" s="246">
        <v>16</v>
      </c>
      <c r="M1601" s="246">
        <v>17</v>
      </c>
      <c r="N1601" s="246"/>
      <c r="O1601" s="246"/>
      <c r="P1601" s="246"/>
      <c r="Q1601" s="246"/>
      <c r="R1601" s="246">
        <f>IFERROR(VLOOKUP(D1601,PROGRAMAS[],2,FALSE),0)</f>
        <v>97037803.679377079</v>
      </c>
      <c r="S1601" s="246">
        <f>IFERROR(VLOOKUP(E1601,PROGRAMAS[],2,FALSE),0)</f>
        <v>640501509.6821388</v>
      </c>
      <c r="T1601" s="246">
        <f>IFERROR(VLOOKUP(F1601,PROGRAMAS[],2,FALSE),0)</f>
        <v>3062327798.1525245</v>
      </c>
      <c r="U1601" s="246">
        <f>IFERROR(VLOOKUP(G1601,PROGRAMAS[],2,FALSE),0)</f>
        <v>67697118.033011258</v>
      </c>
      <c r="V1601" s="246">
        <f>IFERROR(VLOOKUP(H1601,PROGRAMAS[],2,FALSE),0)</f>
        <v>1440941976.2528784</v>
      </c>
      <c r="W1601" s="246">
        <f>IFERROR(VLOOKUP(I1601,PROGRAMAS[],2,FALSE),0)</f>
        <v>4635315027.8751087</v>
      </c>
      <c r="X1601" s="246">
        <f>IFERROR(VLOOKUP(J1601,PROGRAMAS[],2,FALSE),0)</f>
        <v>764796700.79905891</v>
      </c>
      <c r="Y1601" s="246">
        <f>IFERROR(VLOOKUP(K1601,PROGRAMAS[],2,FALSE),0)</f>
        <v>122159672.96346797</v>
      </c>
      <c r="Z1601" s="246">
        <f>IFERROR(VLOOKUP(L1601,PROGRAMAS[],2,FALSE),0)</f>
        <v>7068496961.0436354</v>
      </c>
      <c r="AA1601" s="246">
        <f>IFERROR(VLOOKUP(M1601,PROGRAMAS[],2,FALSE),0)</f>
        <v>1892779498.5211046</v>
      </c>
      <c r="AB1601" s="246">
        <f>IFERROR(VLOOKUP(N1601,PROGRAMAS[],2,FALSE),0)</f>
        <v>0</v>
      </c>
      <c r="AC1601" s="246">
        <f>IFERROR(VLOOKUP(O1601,PROGRAMAS[],2,FALSE),0)</f>
        <v>0</v>
      </c>
      <c r="AD1601" s="246">
        <f>IFERROR(VLOOKUP(P1601,PROGRAMAS[],2,FALSE),0)</f>
        <v>0</v>
      </c>
      <c r="AE1601" s="246">
        <f>IFERROR(VLOOKUP(Q1601,PROGRAMAS[],2,FALSE),0)</f>
        <v>0</v>
      </c>
      <c r="AF1601" s="246">
        <f>IFERROR(VLOOKUP(D1601,PROGRAMAS[],3,FALSE),0)</f>
        <v>841888629.31080008</v>
      </c>
      <c r="AG1601" s="246">
        <f>IFERROR(VLOOKUP(E1601,PROGRAMAS[],3,FALSE),0)</f>
        <v>3848980803.1642323</v>
      </c>
      <c r="AH1601" s="246">
        <f>IFERROR(VLOOKUP(F1601,PROGRAMAS[],3,FALSE),0)</f>
        <v>3394901471.387517</v>
      </c>
      <c r="AI1601" s="246">
        <f>IFERROR(VLOOKUP(G1601,PROGRAMAS[],3,FALSE),0)</f>
        <v>125317226.95549992</v>
      </c>
      <c r="AJ1601" s="246">
        <f>IFERROR(VLOOKUP(H1601,PROGRAMAS[],3,FALSE),0)</f>
        <v>1233505101.0616004</v>
      </c>
      <c r="AK1601" s="246">
        <f>IFERROR(VLOOKUP(I1601,PROGRAMAS[],3,FALSE),0)</f>
        <v>4099471734.9978786</v>
      </c>
      <c r="AL1601" s="246">
        <f>IFERROR(VLOOKUP(J1601,PROGRAMAS[],3,FALSE),0)</f>
        <v>675517840.109828</v>
      </c>
      <c r="AM1601" s="246">
        <f>IFERROR(VLOOKUP(K1601,PROGRAMAS[],3,FALSE),0)</f>
        <v>118617452.52510804</v>
      </c>
      <c r="AN1601" s="246">
        <f>IFERROR(VLOOKUP(L1601,PROGRAMAS[],3,FALSE),0)</f>
        <v>2406564599.0319901</v>
      </c>
      <c r="AO1601" s="246">
        <f>IFERROR(VLOOKUP(M1601,PROGRAMAS[],3,FALSE),0)</f>
        <v>948595847.09039903</v>
      </c>
      <c r="AP1601" s="246">
        <f>IFERROR(VLOOKUP(N1601,PROGRAMAS[],3,FALSE),0)</f>
        <v>0</v>
      </c>
      <c r="AQ1601" s="246">
        <f>IFERROR(VLOOKUP(O1601,PROGRAMAS[],3,FALSE),0)</f>
        <v>0</v>
      </c>
      <c r="AR1601" s="246">
        <f>IFERROR(VLOOKUP(P1601,PROGRAMAS[],3,FALSE),0)</f>
        <v>0</v>
      </c>
      <c r="AS1601" s="246">
        <f>IFERROR(VLOOKUP(Q1601,PROGRAMAS[],3,FALSE),0)</f>
        <v>0</v>
      </c>
      <c r="AT1601" s="246">
        <f>IFERROR(VLOOKUP(D1601,VOL_REC[],2,FALSE),0)</f>
        <v>0</v>
      </c>
      <c r="AU1601" s="246">
        <f>IFERROR(VLOOKUP(E1601,VOL_REC[],2,FALSE),0)</f>
        <v>0</v>
      </c>
      <c r="AV1601" s="246">
        <f>IFERROR(VLOOKUP(F1601,VOL_REC[],2,FALSE),0)</f>
        <v>11089674.200000001</v>
      </c>
      <c r="AW1601" s="246">
        <f>IFERROR(VLOOKUP(G1601,VOL_REC[],2,FALSE),0)</f>
        <v>90439.55</v>
      </c>
      <c r="AX1601" s="246">
        <f>IFERROR(VLOOKUP(H1601,VOL_REC[],2,FALSE),0)</f>
        <v>4325103.1812214684</v>
      </c>
      <c r="AY1601" s="246">
        <f>IFERROR(VLOOKUP(I1601,VOL_REC[],2,FALSE),0)</f>
        <v>1812240</v>
      </c>
      <c r="AZ1601" s="246">
        <f>IFERROR(VLOOKUP(J1601,VOL_REC[],2,FALSE),0)</f>
        <v>240696.79238099116</v>
      </c>
      <c r="BA1601" s="246">
        <f>IFERROR(VLOOKUP(K1601,VOL_REC[],2,FALSE),0)</f>
        <v>105072</v>
      </c>
      <c r="BB1601" s="246">
        <f>IFERROR(VLOOKUP(L1601,VOL_REC[],2,FALSE),0)</f>
        <v>1072354.9981737854</v>
      </c>
      <c r="BC1601" s="246">
        <f>IFERROR(VLOOKUP(M1601,VOL_REC[],2,FALSE),0)</f>
        <v>740113.98115702497</v>
      </c>
      <c r="BD1601" s="246">
        <f>IFERROR(VLOOKUP(N1601,VOL_REC[],2,FALSE),0)</f>
        <v>0</v>
      </c>
      <c r="BE1601" s="246">
        <f>IFERROR(VLOOKUP(O1601,VOL_REC[],2,FALSE),0)</f>
        <v>0</v>
      </c>
      <c r="BF1601" s="246">
        <f>IFERROR(VLOOKUP(P1601,VOL_REC[],2,FALSE),0)</f>
        <v>0</v>
      </c>
      <c r="BG1601" s="246">
        <f>IFERROR(VLOOKUP(Q1601,VOL_REC[],2,FALSE),0)</f>
        <v>0</v>
      </c>
      <c r="BH1601" s="1710">
        <f t="shared" si="96"/>
        <v>19792054067.002304</v>
      </c>
      <c r="BI1601" s="1710">
        <f t="shared" si="97"/>
        <v>17693360705.634857</v>
      </c>
      <c r="BJ1601" s="1711">
        <f t="shared" si="98"/>
        <v>19475694.70293327</v>
      </c>
      <c r="BK1601" s="1711">
        <f t="shared" si="99"/>
        <v>1.1186147389568037</v>
      </c>
      <c r="BL1601">
        <f>BJ1601</f>
        <v>19475694.70293327</v>
      </c>
      <c r="BO1601">
        <f>BL1601</f>
        <v>19475694.70293327</v>
      </c>
    </row>
    <row r="1602" spans="3:67" x14ac:dyDescent="0.25">
      <c r="C1602" s="246" t="s">
        <v>2952</v>
      </c>
      <c r="D1602" s="246">
        <v>1</v>
      </c>
      <c r="E1602" s="246">
        <v>2</v>
      </c>
      <c r="F1602" s="246">
        <v>3</v>
      </c>
      <c r="G1602" s="246">
        <v>4</v>
      </c>
      <c r="H1602" s="246">
        <v>5</v>
      </c>
      <c r="I1602" s="246">
        <v>10</v>
      </c>
      <c r="J1602" s="246">
        <v>13</v>
      </c>
      <c r="K1602" s="246">
        <v>14</v>
      </c>
      <c r="L1602" s="246">
        <v>15</v>
      </c>
      <c r="M1602" s="246">
        <v>16</v>
      </c>
      <c r="N1602" s="246"/>
      <c r="O1602" s="246"/>
      <c r="P1602" s="246"/>
      <c r="Q1602" s="246"/>
      <c r="R1602" s="246">
        <f>IFERROR(VLOOKUP(D1602,PROGRAMAS[],2,FALSE),0)</f>
        <v>97037803.679377079</v>
      </c>
      <c r="S1602" s="246">
        <f>IFERROR(VLOOKUP(E1602,PROGRAMAS[],2,FALSE),0)</f>
        <v>640501509.6821388</v>
      </c>
      <c r="T1602" s="246">
        <f>IFERROR(VLOOKUP(F1602,PROGRAMAS[],2,FALSE),0)</f>
        <v>3062327798.1525245</v>
      </c>
      <c r="U1602" s="246">
        <f>IFERROR(VLOOKUP(G1602,PROGRAMAS[],2,FALSE),0)</f>
        <v>67697118.033011258</v>
      </c>
      <c r="V1602" s="246">
        <f>IFERROR(VLOOKUP(H1602,PROGRAMAS[],2,FALSE),0)</f>
        <v>1440941976.2528784</v>
      </c>
      <c r="W1602" s="246">
        <f>IFERROR(VLOOKUP(I1602,PROGRAMAS[],2,FALSE),0)</f>
        <v>4635315027.8751087</v>
      </c>
      <c r="X1602" s="246">
        <f>IFERROR(VLOOKUP(J1602,PROGRAMAS[],2,FALSE),0)</f>
        <v>3776538594.4604583</v>
      </c>
      <c r="Y1602" s="246">
        <f>IFERROR(VLOOKUP(K1602,PROGRAMAS[],2,FALSE),0)</f>
        <v>54223862.645839565</v>
      </c>
      <c r="Z1602" s="246">
        <f>IFERROR(VLOOKUP(L1602,PROGRAMAS[],2,FALSE),0)</f>
        <v>122159672.96346797</v>
      </c>
      <c r="AA1602" s="246">
        <f>IFERROR(VLOOKUP(M1602,PROGRAMAS[],2,FALSE),0)</f>
        <v>7068496961.0436354</v>
      </c>
      <c r="AB1602" s="246">
        <f>IFERROR(VLOOKUP(N1602,PROGRAMAS[],2,FALSE),0)</f>
        <v>0</v>
      </c>
      <c r="AC1602" s="246">
        <f>IFERROR(VLOOKUP(O1602,PROGRAMAS[],2,FALSE),0)</f>
        <v>0</v>
      </c>
      <c r="AD1602" s="246">
        <f>IFERROR(VLOOKUP(P1602,PROGRAMAS[],2,FALSE),0)</f>
        <v>0</v>
      </c>
      <c r="AE1602" s="246">
        <f>IFERROR(VLOOKUP(Q1602,PROGRAMAS[],2,FALSE),0)</f>
        <v>0</v>
      </c>
      <c r="AF1602" s="246">
        <f>IFERROR(VLOOKUP(D1602,PROGRAMAS[],3,FALSE),0)</f>
        <v>841888629.31080008</v>
      </c>
      <c r="AG1602" s="246">
        <f>IFERROR(VLOOKUP(E1602,PROGRAMAS[],3,FALSE),0)</f>
        <v>3848980803.1642323</v>
      </c>
      <c r="AH1602" s="246">
        <f>IFERROR(VLOOKUP(F1602,PROGRAMAS[],3,FALSE),0)</f>
        <v>3394901471.387517</v>
      </c>
      <c r="AI1602" s="246">
        <f>IFERROR(VLOOKUP(G1602,PROGRAMAS[],3,FALSE),0)</f>
        <v>125317226.95549992</v>
      </c>
      <c r="AJ1602" s="246">
        <f>IFERROR(VLOOKUP(H1602,PROGRAMAS[],3,FALSE),0)</f>
        <v>1233505101.0616004</v>
      </c>
      <c r="AK1602" s="246">
        <f>IFERROR(VLOOKUP(I1602,PROGRAMAS[],3,FALSE),0)</f>
        <v>4099471734.9978786</v>
      </c>
      <c r="AL1602" s="246">
        <f>IFERROR(VLOOKUP(J1602,PROGRAMAS[],3,FALSE),0)</f>
        <v>2392571243.5584412</v>
      </c>
      <c r="AM1602" s="246">
        <f>IFERROR(VLOOKUP(K1602,PROGRAMAS[],3,FALSE),0)</f>
        <v>31865326.38096505</v>
      </c>
      <c r="AN1602" s="246">
        <f>IFERROR(VLOOKUP(L1602,PROGRAMAS[],3,FALSE),0)</f>
        <v>118617452.52510804</v>
      </c>
      <c r="AO1602" s="246">
        <f>IFERROR(VLOOKUP(M1602,PROGRAMAS[],3,FALSE),0)</f>
        <v>2406564599.0319901</v>
      </c>
      <c r="AP1602" s="246">
        <f>IFERROR(VLOOKUP(N1602,PROGRAMAS[],3,FALSE),0)</f>
        <v>0</v>
      </c>
      <c r="AQ1602" s="246">
        <f>IFERROR(VLOOKUP(O1602,PROGRAMAS[],3,FALSE),0)</f>
        <v>0</v>
      </c>
      <c r="AR1602" s="246">
        <f>IFERROR(VLOOKUP(P1602,PROGRAMAS[],3,FALSE),0)</f>
        <v>0</v>
      </c>
      <c r="AS1602" s="246">
        <f>IFERROR(VLOOKUP(Q1602,PROGRAMAS[],3,FALSE),0)</f>
        <v>0</v>
      </c>
      <c r="AT1602" s="246">
        <f>IFERROR(VLOOKUP(D1602,VOL_REC[],2,FALSE),0)</f>
        <v>0</v>
      </c>
      <c r="AU1602" s="246">
        <f>IFERROR(VLOOKUP(E1602,VOL_REC[],2,FALSE),0)</f>
        <v>0</v>
      </c>
      <c r="AV1602" s="246">
        <f>IFERROR(VLOOKUP(F1602,VOL_REC[],2,FALSE),0)</f>
        <v>11089674.200000001</v>
      </c>
      <c r="AW1602" s="246">
        <f>IFERROR(VLOOKUP(G1602,VOL_REC[],2,FALSE),0)</f>
        <v>90439.55</v>
      </c>
      <c r="AX1602" s="246">
        <f>IFERROR(VLOOKUP(H1602,VOL_REC[],2,FALSE),0)</f>
        <v>4325103.1812214684</v>
      </c>
      <c r="AY1602" s="246">
        <f>IFERROR(VLOOKUP(I1602,VOL_REC[],2,FALSE),0)</f>
        <v>1812240</v>
      </c>
      <c r="AZ1602" s="246">
        <f>IFERROR(VLOOKUP(J1602,VOL_REC[],2,FALSE),0)</f>
        <v>663244.80000000016</v>
      </c>
      <c r="BA1602" s="246">
        <f>IFERROR(VLOOKUP(K1602,VOL_REC[],2,FALSE),0)</f>
        <v>17074.045034105649</v>
      </c>
      <c r="BB1602" s="246">
        <f>IFERROR(VLOOKUP(L1602,VOL_REC[],2,FALSE),0)</f>
        <v>105072</v>
      </c>
      <c r="BC1602" s="246">
        <f>IFERROR(VLOOKUP(M1602,VOL_REC[],2,FALSE),0)</f>
        <v>1072354.9981737854</v>
      </c>
      <c r="BD1602" s="246">
        <f>IFERROR(VLOOKUP(N1602,VOL_REC[],2,FALSE),0)</f>
        <v>0</v>
      </c>
      <c r="BE1602" s="246">
        <f>IFERROR(VLOOKUP(O1602,VOL_REC[],2,FALSE),0)</f>
        <v>0</v>
      </c>
      <c r="BF1602" s="246">
        <f>IFERROR(VLOOKUP(P1602,VOL_REC[],2,FALSE),0)</f>
        <v>0</v>
      </c>
      <c r="BG1602" s="246">
        <f>IFERROR(VLOOKUP(Q1602,VOL_REC[],2,FALSE),0)</f>
        <v>0</v>
      </c>
      <c r="BH1602" s="1710">
        <f t="shared" ref="BH1602:BH1665" si="100">SUM(R1602:AE1602)</f>
        <v>20965240324.788441</v>
      </c>
      <c r="BI1602" s="1710">
        <f t="shared" ref="BI1602:BI1665" si="101">SUM(AF1602:AS1602)</f>
        <v>18493683588.374031</v>
      </c>
      <c r="BJ1602" s="1711">
        <f t="shared" ref="BJ1602:BJ1665" si="102">SUM(AT1602:BG1602)</f>
        <v>19175202.774429362</v>
      </c>
      <c r="BK1602" s="1711">
        <f t="shared" ref="BK1602:BK1665" si="103">IFERROR(BH1602/BI1602,0)</f>
        <v>1.1336432909433003</v>
      </c>
      <c r="BL1602">
        <f>BJ1602</f>
        <v>19175202.774429362</v>
      </c>
      <c r="BO1602">
        <f>BL1602</f>
        <v>19175202.774429362</v>
      </c>
    </row>
    <row r="1603" spans="3:67" x14ac:dyDescent="0.25">
      <c r="C1603" s="246" t="s">
        <v>2953</v>
      </c>
      <c r="D1603" s="246">
        <v>1</v>
      </c>
      <c r="E1603" s="246">
        <v>2</v>
      </c>
      <c r="F1603" s="246">
        <v>3</v>
      </c>
      <c r="G1603" s="246">
        <v>4</v>
      </c>
      <c r="H1603" s="246">
        <v>5</v>
      </c>
      <c r="I1603" s="246">
        <v>10</v>
      </c>
      <c r="J1603" s="246">
        <v>13</v>
      </c>
      <c r="K1603" s="246">
        <v>14</v>
      </c>
      <c r="L1603" s="246">
        <v>15</v>
      </c>
      <c r="M1603" s="246">
        <v>17</v>
      </c>
      <c r="N1603" s="246"/>
      <c r="O1603" s="246"/>
      <c r="P1603" s="246"/>
      <c r="Q1603" s="246"/>
      <c r="R1603" s="246">
        <f>IFERROR(VLOOKUP(D1603,PROGRAMAS[],2,FALSE),0)</f>
        <v>97037803.679377079</v>
      </c>
      <c r="S1603" s="246">
        <f>IFERROR(VLOOKUP(E1603,PROGRAMAS[],2,FALSE),0)</f>
        <v>640501509.6821388</v>
      </c>
      <c r="T1603" s="246">
        <f>IFERROR(VLOOKUP(F1603,PROGRAMAS[],2,FALSE),0)</f>
        <v>3062327798.1525245</v>
      </c>
      <c r="U1603" s="246">
        <f>IFERROR(VLOOKUP(G1603,PROGRAMAS[],2,FALSE),0)</f>
        <v>67697118.033011258</v>
      </c>
      <c r="V1603" s="246">
        <f>IFERROR(VLOOKUP(H1603,PROGRAMAS[],2,FALSE),0)</f>
        <v>1440941976.2528784</v>
      </c>
      <c r="W1603" s="246">
        <f>IFERROR(VLOOKUP(I1603,PROGRAMAS[],2,FALSE),0)</f>
        <v>4635315027.8751087</v>
      </c>
      <c r="X1603" s="246">
        <f>IFERROR(VLOOKUP(J1603,PROGRAMAS[],2,FALSE),0)</f>
        <v>3776538594.4604583</v>
      </c>
      <c r="Y1603" s="246">
        <f>IFERROR(VLOOKUP(K1603,PROGRAMAS[],2,FALSE),0)</f>
        <v>54223862.645839565</v>
      </c>
      <c r="Z1603" s="246">
        <f>IFERROR(VLOOKUP(L1603,PROGRAMAS[],2,FALSE),0)</f>
        <v>122159672.96346797</v>
      </c>
      <c r="AA1603" s="246">
        <f>IFERROR(VLOOKUP(M1603,PROGRAMAS[],2,FALSE),0)</f>
        <v>1892779498.5211046</v>
      </c>
      <c r="AB1603" s="246">
        <f>IFERROR(VLOOKUP(N1603,PROGRAMAS[],2,FALSE),0)</f>
        <v>0</v>
      </c>
      <c r="AC1603" s="246">
        <f>IFERROR(VLOOKUP(O1603,PROGRAMAS[],2,FALSE),0)</f>
        <v>0</v>
      </c>
      <c r="AD1603" s="246">
        <f>IFERROR(VLOOKUP(P1603,PROGRAMAS[],2,FALSE),0)</f>
        <v>0</v>
      </c>
      <c r="AE1603" s="246">
        <f>IFERROR(VLOOKUP(Q1603,PROGRAMAS[],2,FALSE),0)</f>
        <v>0</v>
      </c>
      <c r="AF1603" s="246">
        <f>IFERROR(VLOOKUP(D1603,PROGRAMAS[],3,FALSE),0)</f>
        <v>841888629.31080008</v>
      </c>
      <c r="AG1603" s="246">
        <f>IFERROR(VLOOKUP(E1603,PROGRAMAS[],3,FALSE),0)</f>
        <v>3848980803.1642323</v>
      </c>
      <c r="AH1603" s="246">
        <f>IFERROR(VLOOKUP(F1603,PROGRAMAS[],3,FALSE),0)</f>
        <v>3394901471.387517</v>
      </c>
      <c r="AI1603" s="246">
        <f>IFERROR(VLOOKUP(G1603,PROGRAMAS[],3,FALSE),0)</f>
        <v>125317226.95549992</v>
      </c>
      <c r="AJ1603" s="246">
        <f>IFERROR(VLOOKUP(H1603,PROGRAMAS[],3,FALSE),0)</f>
        <v>1233505101.0616004</v>
      </c>
      <c r="AK1603" s="246">
        <f>IFERROR(VLOOKUP(I1603,PROGRAMAS[],3,FALSE),0)</f>
        <v>4099471734.9978786</v>
      </c>
      <c r="AL1603" s="246">
        <f>IFERROR(VLOOKUP(J1603,PROGRAMAS[],3,FALSE),0)</f>
        <v>2392571243.5584412</v>
      </c>
      <c r="AM1603" s="246">
        <f>IFERROR(VLOOKUP(K1603,PROGRAMAS[],3,FALSE),0)</f>
        <v>31865326.38096505</v>
      </c>
      <c r="AN1603" s="246">
        <f>IFERROR(VLOOKUP(L1603,PROGRAMAS[],3,FALSE),0)</f>
        <v>118617452.52510804</v>
      </c>
      <c r="AO1603" s="246">
        <f>IFERROR(VLOOKUP(M1603,PROGRAMAS[],3,FALSE),0)</f>
        <v>948595847.09039903</v>
      </c>
      <c r="AP1603" s="246">
        <f>IFERROR(VLOOKUP(N1603,PROGRAMAS[],3,FALSE),0)</f>
        <v>0</v>
      </c>
      <c r="AQ1603" s="246">
        <f>IFERROR(VLOOKUP(O1603,PROGRAMAS[],3,FALSE),0)</f>
        <v>0</v>
      </c>
      <c r="AR1603" s="246">
        <f>IFERROR(VLOOKUP(P1603,PROGRAMAS[],3,FALSE),0)</f>
        <v>0</v>
      </c>
      <c r="AS1603" s="246">
        <f>IFERROR(VLOOKUP(Q1603,PROGRAMAS[],3,FALSE),0)</f>
        <v>0</v>
      </c>
      <c r="AT1603" s="246">
        <f>IFERROR(VLOOKUP(D1603,VOL_REC[],2,FALSE),0)</f>
        <v>0</v>
      </c>
      <c r="AU1603" s="246">
        <f>IFERROR(VLOOKUP(E1603,VOL_REC[],2,FALSE),0)</f>
        <v>0</v>
      </c>
      <c r="AV1603" s="246">
        <f>IFERROR(VLOOKUP(F1603,VOL_REC[],2,FALSE),0)</f>
        <v>11089674.200000001</v>
      </c>
      <c r="AW1603" s="246">
        <f>IFERROR(VLOOKUP(G1603,VOL_REC[],2,FALSE),0)</f>
        <v>90439.55</v>
      </c>
      <c r="AX1603" s="246">
        <f>IFERROR(VLOOKUP(H1603,VOL_REC[],2,FALSE),0)</f>
        <v>4325103.1812214684</v>
      </c>
      <c r="AY1603" s="246">
        <f>IFERROR(VLOOKUP(I1603,VOL_REC[],2,FALSE),0)</f>
        <v>1812240</v>
      </c>
      <c r="AZ1603" s="246">
        <f>IFERROR(VLOOKUP(J1603,VOL_REC[],2,FALSE),0)</f>
        <v>663244.80000000016</v>
      </c>
      <c r="BA1603" s="246">
        <f>IFERROR(VLOOKUP(K1603,VOL_REC[],2,FALSE),0)</f>
        <v>17074.045034105649</v>
      </c>
      <c r="BB1603" s="246">
        <f>IFERROR(VLOOKUP(L1603,VOL_REC[],2,FALSE),0)</f>
        <v>105072</v>
      </c>
      <c r="BC1603" s="246">
        <f>IFERROR(VLOOKUP(M1603,VOL_REC[],2,FALSE),0)</f>
        <v>740113.98115702497</v>
      </c>
      <c r="BD1603" s="246">
        <f>IFERROR(VLOOKUP(N1603,VOL_REC[],2,FALSE),0)</f>
        <v>0</v>
      </c>
      <c r="BE1603" s="246">
        <f>IFERROR(VLOOKUP(O1603,VOL_REC[],2,FALSE),0)</f>
        <v>0</v>
      </c>
      <c r="BF1603" s="246">
        <f>IFERROR(VLOOKUP(P1603,VOL_REC[],2,FALSE),0)</f>
        <v>0</v>
      </c>
      <c r="BG1603" s="246">
        <f>IFERROR(VLOOKUP(Q1603,VOL_REC[],2,FALSE),0)</f>
        <v>0</v>
      </c>
      <c r="BH1603" s="1710">
        <f t="shared" si="100"/>
        <v>15789522862.265911</v>
      </c>
      <c r="BI1603" s="1710">
        <f t="shared" si="101"/>
        <v>17035714836.432442</v>
      </c>
      <c r="BJ1603" s="1711">
        <f t="shared" si="102"/>
        <v>18842961.757412601</v>
      </c>
      <c r="BK1603" s="1711">
        <f t="shared" si="103"/>
        <v>0.92684827222504129</v>
      </c>
    </row>
    <row r="1604" spans="3:67" x14ac:dyDescent="0.25">
      <c r="C1604" s="246" t="s">
        <v>2954</v>
      </c>
      <c r="D1604" s="246">
        <v>1</v>
      </c>
      <c r="E1604" s="246">
        <v>2</v>
      </c>
      <c r="F1604" s="246">
        <v>3</v>
      </c>
      <c r="G1604" s="246">
        <v>4</v>
      </c>
      <c r="H1604" s="246">
        <v>5</v>
      </c>
      <c r="I1604" s="246">
        <v>10</v>
      </c>
      <c r="J1604" s="246">
        <v>13</v>
      </c>
      <c r="K1604" s="246">
        <v>14</v>
      </c>
      <c r="L1604" s="246">
        <v>16</v>
      </c>
      <c r="M1604" s="246">
        <v>17</v>
      </c>
      <c r="N1604" s="246"/>
      <c r="O1604" s="246"/>
      <c r="P1604" s="246"/>
      <c r="Q1604" s="246"/>
      <c r="R1604" s="246">
        <f>IFERROR(VLOOKUP(D1604,PROGRAMAS[],2,FALSE),0)</f>
        <v>97037803.679377079</v>
      </c>
      <c r="S1604" s="246">
        <f>IFERROR(VLOOKUP(E1604,PROGRAMAS[],2,FALSE),0)</f>
        <v>640501509.6821388</v>
      </c>
      <c r="T1604" s="246">
        <f>IFERROR(VLOOKUP(F1604,PROGRAMAS[],2,FALSE),0)</f>
        <v>3062327798.1525245</v>
      </c>
      <c r="U1604" s="246">
        <f>IFERROR(VLOOKUP(G1604,PROGRAMAS[],2,FALSE),0)</f>
        <v>67697118.033011258</v>
      </c>
      <c r="V1604" s="246">
        <f>IFERROR(VLOOKUP(H1604,PROGRAMAS[],2,FALSE),0)</f>
        <v>1440941976.2528784</v>
      </c>
      <c r="W1604" s="246">
        <f>IFERROR(VLOOKUP(I1604,PROGRAMAS[],2,FALSE),0)</f>
        <v>4635315027.8751087</v>
      </c>
      <c r="X1604" s="246">
        <f>IFERROR(VLOOKUP(J1604,PROGRAMAS[],2,FALSE),0)</f>
        <v>3776538594.4604583</v>
      </c>
      <c r="Y1604" s="246">
        <f>IFERROR(VLOOKUP(K1604,PROGRAMAS[],2,FALSE),0)</f>
        <v>54223862.645839565</v>
      </c>
      <c r="Z1604" s="246">
        <f>IFERROR(VLOOKUP(L1604,PROGRAMAS[],2,FALSE),0)</f>
        <v>7068496961.0436354</v>
      </c>
      <c r="AA1604" s="246">
        <f>IFERROR(VLOOKUP(M1604,PROGRAMAS[],2,FALSE),0)</f>
        <v>1892779498.5211046</v>
      </c>
      <c r="AB1604" s="246">
        <f>IFERROR(VLOOKUP(N1604,PROGRAMAS[],2,FALSE),0)</f>
        <v>0</v>
      </c>
      <c r="AC1604" s="246">
        <f>IFERROR(VLOOKUP(O1604,PROGRAMAS[],2,FALSE),0)</f>
        <v>0</v>
      </c>
      <c r="AD1604" s="246">
        <f>IFERROR(VLOOKUP(P1604,PROGRAMAS[],2,FALSE),0)</f>
        <v>0</v>
      </c>
      <c r="AE1604" s="246">
        <f>IFERROR(VLOOKUP(Q1604,PROGRAMAS[],2,FALSE),0)</f>
        <v>0</v>
      </c>
      <c r="AF1604" s="246">
        <f>IFERROR(VLOOKUP(D1604,PROGRAMAS[],3,FALSE),0)</f>
        <v>841888629.31080008</v>
      </c>
      <c r="AG1604" s="246">
        <f>IFERROR(VLOOKUP(E1604,PROGRAMAS[],3,FALSE),0)</f>
        <v>3848980803.1642323</v>
      </c>
      <c r="AH1604" s="246">
        <f>IFERROR(VLOOKUP(F1604,PROGRAMAS[],3,FALSE),0)</f>
        <v>3394901471.387517</v>
      </c>
      <c r="AI1604" s="246">
        <f>IFERROR(VLOOKUP(G1604,PROGRAMAS[],3,FALSE),0)</f>
        <v>125317226.95549992</v>
      </c>
      <c r="AJ1604" s="246">
        <f>IFERROR(VLOOKUP(H1604,PROGRAMAS[],3,FALSE),0)</f>
        <v>1233505101.0616004</v>
      </c>
      <c r="AK1604" s="246">
        <f>IFERROR(VLOOKUP(I1604,PROGRAMAS[],3,FALSE),0)</f>
        <v>4099471734.9978786</v>
      </c>
      <c r="AL1604" s="246">
        <f>IFERROR(VLOOKUP(J1604,PROGRAMAS[],3,FALSE),0)</f>
        <v>2392571243.5584412</v>
      </c>
      <c r="AM1604" s="246">
        <f>IFERROR(VLOOKUP(K1604,PROGRAMAS[],3,FALSE),0)</f>
        <v>31865326.38096505</v>
      </c>
      <c r="AN1604" s="246">
        <f>IFERROR(VLOOKUP(L1604,PROGRAMAS[],3,FALSE),0)</f>
        <v>2406564599.0319901</v>
      </c>
      <c r="AO1604" s="246">
        <f>IFERROR(VLOOKUP(M1604,PROGRAMAS[],3,FALSE),0)</f>
        <v>948595847.09039903</v>
      </c>
      <c r="AP1604" s="246">
        <f>IFERROR(VLOOKUP(N1604,PROGRAMAS[],3,FALSE),0)</f>
        <v>0</v>
      </c>
      <c r="AQ1604" s="246">
        <f>IFERROR(VLOOKUP(O1604,PROGRAMAS[],3,FALSE),0)</f>
        <v>0</v>
      </c>
      <c r="AR1604" s="246">
        <f>IFERROR(VLOOKUP(P1604,PROGRAMAS[],3,FALSE),0)</f>
        <v>0</v>
      </c>
      <c r="AS1604" s="246">
        <f>IFERROR(VLOOKUP(Q1604,PROGRAMAS[],3,FALSE),0)</f>
        <v>0</v>
      </c>
      <c r="AT1604" s="246">
        <f>IFERROR(VLOOKUP(D1604,VOL_REC[],2,FALSE),0)</f>
        <v>0</v>
      </c>
      <c r="AU1604" s="246">
        <f>IFERROR(VLOOKUP(E1604,VOL_REC[],2,FALSE),0)</f>
        <v>0</v>
      </c>
      <c r="AV1604" s="246">
        <f>IFERROR(VLOOKUP(F1604,VOL_REC[],2,FALSE),0)</f>
        <v>11089674.200000001</v>
      </c>
      <c r="AW1604" s="246">
        <f>IFERROR(VLOOKUP(G1604,VOL_REC[],2,FALSE),0)</f>
        <v>90439.55</v>
      </c>
      <c r="AX1604" s="246">
        <f>IFERROR(VLOOKUP(H1604,VOL_REC[],2,FALSE),0)</f>
        <v>4325103.1812214684</v>
      </c>
      <c r="AY1604" s="246">
        <f>IFERROR(VLOOKUP(I1604,VOL_REC[],2,FALSE),0)</f>
        <v>1812240</v>
      </c>
      <c r="AZ1604" s="246">
        <f>IFERROR(VLOOKUP(J1604,VOL_REC[],2,FALSE),0)</f>
        <v>663244.80000000016</v>
      </c>
      <c r="BA1604" s="246">
        <f>IFERROR(VLOOKUP(K1604,VOL_REC[],2,FALSE),0)</f>
        <v>17074.045034105649</v>
      </c>
      <c r="BB1604" s="246">
        <f>IFERROR(VLOOKUP(L1604,VOL_REC[],2,FALSE),0)</f>
        <v>1072354.9981737854</v>
      </c>
      <c r="BC1604" s="246">
        <f>IFERROR(VLOOKUP(M1604,VOL_REC[],2,FALSE),0)</f>
        <v>740113.98115702497</v>
      </c>
      <c r="BD1604" s="246">
        <f>IFERROR(VLOOKUP(N1604,VOL_REC[],2,FALSE),0)</f>
        <v>0</v>
      </c>
      <c r="BE1604" s="246">
        <f>IFERROR(VLOOKUP(O1604,VOL_REC[],2,FALSE),0)</f>
        <v>0</v>
      </c>
      <c r="BF1604" s="246">
        <f>IFERROR(VLOOKUP(P1604,VOL_REC[],2,FALSE),0)</f>
        <v>0</v>
      </c>
      <c r="BG1604" s="246">
        <f>IFERROR(VLOOKUP(Q1604,VOL_REC[],2,FALSE),0)</f>
        <v>0</v>
      </c>
      <c r="BH1604" s="1710">
        <f t="shared" si="100"/>
        <v>22735860150.346077</v>
      </c>
      <c r="BI1604" s="1710">
        <f t="shared" si="101"/>
        <v>19323661982.939323</v>
      </c>
      <c r="BJ1604" s="1711">
        <f t="shared" si="102"/>
        <v>19810244.755586386</v>
      </c>
      <c r="BK1604" s="1711">
        <f t="shared" si="103"/>
        <v>1.1765813421089311</v>
      </c>
      <c r="BL1604">
        <f>BJ1604</f>
        <v>19810244.755586386</v>
      </c>
      <c r="BO1604">
        <f>BL1604</f>
        <v>19810244.755586386</v>
      </c>
    </row>
    <row r="1605" spans="3:67" x14ac:dyDescent="0.25">
      <c r="C1605" s="246" t="s">
        <v>2955</v>
      </c>
      <c r="D1605" s="246">
        <v>1</v>
      </c>
      <c r="E1605" s="246">
        <v>2</v>
      </c>
      <c r="F1605" s="246">
        <v>3</v>
      </c>
      <c r="G1605" s="246">
        <v>4</v>
      </c>
      <c r="H1605" s="246">
        <v>5</v>
      </c>
      <c r="I1605" s="246">
        <v>10</v>
      </c>
      <c r="J1605" s="246">
        <v>13</v>
      </c>
      <c r="K1605" s="246">
        <v>15</v>
      </c>
      <c r="L1605" s="246">
        <v>16</v>
      </c>
      <c r="M1605" s="246">
        <v>17</v>
      </c>
      <c r="N1605" s="246"/>
      <c r="O1605" s="246"/>
      <c r="P1605" s="246"/>
      <c r="Q1605" s="246"/>
      <c r="R1605" s="246">
        <f>IFERROR(VLOOKUP(D1605,PROGRAMAS[],2,FALSE),0)</f>
        <v>97037803.679377079</v>
      </c>
      <c r="S1605" s="246">
        <f>IFERROR(VLOOKUP(E1605,PROGRAMAS[],2,FALSE),0)</f>
        <v>640501509.6821388</v>
      </c>
      <c r="T1605" s="246">
        <f>IFERROR(VLOOKUP(F1605,PROGRAMAS[],2,FALSE),0)</f>
        <v>3062327798.1525245</v>
      </c>
      <c r="U1605" s="246">
        <f>IFERROR(VLOOKUP(G1605,PROGRAMAS[],2,FALSE),0)</f>
        <v>67697118.033011258</v>
      </c>
      <c r="V1605" s="246">
        <f>IFERROR(VLOOKUP(H1605,PROGRAMAS[],2,FALSE),0)</f>
        <v>1440941976.2528784</v>
      </c>
      <c r="W1605" s="246">
        <f>IFERROR(VLOOKUP(I1605,PROGRAMAS[],2,FALSE),0)</f>
        <v>4635315027.8751087</v>
      </c>
      <c r="X1605" s="246">
        <f>IFERROR(VLOOKUP(J1605,PROGRAMAS[],2,FALSE),0)</f>
        <v>3776538594.4604583</v>
      </c>
      <c r="Y1605" s="246">
        <f>IFERROR(VLOOKUP(K1605,PROGRAMAS[],2,FALSE),0)</f>
        <v>122159672.96346797</v>
      </c>
      <c r="Z1605" s="246">
        <f>IFERROR(VLOOKUP(L1605,PROGRAMAS[],2,FALSE),0)</f>
        <v>7068496961.0436354</v>
      </c>
      <c r="AA1605" s="246">
        <f>IFERROR(VLOOKUP(M1605,PROGRAMAS[],2,FALSE),0)</f>
        <v>1892779498.5211046</v>
      </c>
      <c r="AB1605" s="246">
        <f>IFERROR(VLOOKUP(N1605,PROGRAMAS[],2,FALSE),0)</f>
        <v>0</v>
      </c>
      <c r="AC1605" s="246">
        <f>IFERROR(VLOOKUP(O1605,PROGRAMAS[],2,FALSE),0)</f>
        <v>0</v>
      </c>
      <c r="AD1605" s="246">
        <f>IFERROR(VLOOKUP(P1605,PROGRAMAS[],2,FALSE),0)</f>
        <v>0</v>
      </c>
      <c r="AE1605" s="246">
        <f>IFERROR(VLOOKUP(Q1605,PROGRAMAS[],2,FALSE),0)</f>
        <v>0</v>
      </c>
      <c r="AF1605" s="246">
        <f>IFERROR(VLOOKUP(D1605,PROGRAMAS[],3,FALSE),0)</f>
        <v>841888629.31080008</v>
      </c>
      <c r="AG1605" s="246">
        <f>IFERROR(VLOOKUP(E1605,PROGRAMAS[],3,FALSE),0)</f>
        <v>3848980803.1642323</v>
      </c>
      <c r="AH1605" s="246">
        <f>IFERROR(VLOOKUP(F1605,PROGRAMAS[],3,FALSE),0)</f>
        <v>3394901471.387517</v>
      </c>
      <c r="AI1605" s="246">
        <f>IFERROR(VLOOKUP(G1605,PROGRAMAS[],3,FALSE),0)</f>
        <v>125317226.95549992</v>
      </c>
      <c r="AJ1605" s="246">
        <f>IFERROR(VLOOKUP(H1605,PROGRAMAS[],3,FALSE),0)</f>
        <v>1233505101.0616004</v>
      </c>
      <c r="AK1605" s="246">
        <f>IFERROR(VLOOKUP(I1605,PROGRAMAS[],3,FALSE),0)</f>
        <v>4099471734.9978786</v>
      </c>
      <c r="AL1605" s="246">
        <f>IFERROR(VLOOKUP(J1605,PROGRAMAS[],3,FALSE),0)</f>
        <v>2392571243.5584412</v>
      </c>
      <c r="AM1605" s="246">
        <f>IFERROR(VLOOKUP(K1605,PROGRAMAS[],3,FALSE),0)</f>
        <v>118617452.52510804</v>
      </c>
      <c r="AN1605" s="246">
        <f>IFERROR(VLOOKUP(L1605,PROGRAMAS[],3,FALSE),0)</f>
        <v>2406564599.0319901</v>
      </c>
      <c r="AO1605" s="246">
        <f>IFERROR(VLOOKUP(M1605,PROGRAMAS[],3,FALSE),0)</f>
        <v>948595847.09039903</v>
      </c>
      <c r="AP1605" s="246">
        <f>IFERROR(VLOOKUP(N1605,PROGRAMAS[],3,FALSE),0)</f>
        <v>0</v>
      </c>
      <c r="AQ1605" s="246">
        <f>IFERROR(VLOOKUP(O1605,PROGRAMAS[],3,FALSE),0)</f>
        <v>0</v>
      </c>
      <c r="AR1605" s="246">
        <f>IFERROR(VLOOKUP(P1605,PROGRAMAS[],3,FALSE),0)</f>
        <v>0</v>
      </c>
      <c r="AS1605" s="246">
        <f>IFERROR(VLOOKUP(Q1605,PROGRAMAS[],3,FALSE),0)</f>
        <v>0</v>
      </c>
      <c r="AT1605" s="246">
        <f>IFERROR(VLOOKUP(D1605,VOL_REC[],2,FALSE),0)</f>
        <v>0</v>
      </c>
      <c r="AU1605" s="246">
        <f>IFERROR(VLOOKUP(E1605,VOL_REC[],2,FALSE),0)</f>
        <v>0</v>
      </c>
      <c r="AV1605" s="246">
        <f>IFERROR(VLOOKUP(F1605,VOL_REC[],2,FALSE),0)</f>
        <v>11089674.200000001</v>
      </c>
      <c r="AW1605" s="246">
        <f>IFERROR(VLOOKUP(G1605,VOL_REC[],2,FALSE),0)</f>
        <v>90439.55</v>
      </c>
      <c r="AX1605" s="246">
        <f>IFERROR(VLOOKUP(H1605,VOL_REC[],2,FALSE),0)</f>
        <v>4325103.1812214684</v>
      </c>
      <c r="AY1605" s="246">
        <f>IFERROR(VLOOKUP(I1605,VOL_REC[],2,FALSE),0)</f>
        <v>1812240</v>
      </c>
      <c r="AZ1605" s="246">
        <f>IFERROR(VLOOKUP(J1605,VOL_REC[],2,FALSE),0)</f>
        <v>663244.80000000016</v>
      </c>
      <c r="BA1605" s="246">
        <f>IFERROR(VLOOKUP(K1605,VOL_REC[],2,FALSE),0)</f>
        <v>105072</v>
      </c>
      <c r="BB1605" s="246">
        <f>IFERROR(VLOOKUP(L1605,VOL_REC[],2,FALSE),0)</f>
        <v>1072354.9981737854</v>
      </c>
      <c r="BC1605" s="246">
        <f>IFERROR(VLOOKUP(M1605,VOL_REC[],2,FALSE),0)</f>
        <v>740113.98115702497</v>
      </c>
      <c r="BD1605" s="246">
        <f>IFERROR(VLOOKUP(N1605,VOL_REC[],2,FALSE),0)</f>
        <v>0</v>
      </c>
      <c r="BE1605" s="246">
        <f>IFERROR(VLOOKUP(O1605,VOL_REC[],2,FALSE),0)</f>
        <v>0</v>
      </c>
      <c r="BF1605" s="246">
        <f>IFERROR(VLOOKUP(P1605,VOL_REC[],2,FALSE),0)</f>
        <v>0</v>
      </c>
      <c r="BG1605" s="246">
        <f>IFERROR(VLOOKUP(Q1605,VOL_REC[],2,FALSE),0)</f>
        <v>0</v>
      </c>
      <c r="BH1605" s="1710">
        <f t="shared" si="100"/>
        <v>22803795960.663704</v>
      </c>
      <c r="BI1605" s="1710">
        <f t="shared" si="101"/>
        <v>19410414109.083469</v>
      </c>
      <c r="BJ1605" s="1711">
        <f t="shared" si="102"/>
        <v>19898242.710552279</v>
      </c>
      <c r="BK1605" s="1711">
        <f t="shared" si="103"/>
        <v>1.1748227437348819</v>
      </c>
      <c r="BL1605">
        <f>BJ1605</f>
        <v>19898242.710552279</v>
      </c>
      <c r="BO1605">
        <f>BL1605</f>
        <v>19898242.710552279</v>
      </c>
    </row>
    <row r="1606" spans="3:67" x14ac:dyDescent="0.25">
      <c r="C1606" s="246" t="s">
        <v>2956</v>
      </c>
      <c r="D1606" s="246">
        <v>1</v>
      </c>
      <c r="E1606" s="246">
        <v>2</v>
      </c>
      <c r="F1606" s="246">
        <v>3</v>
      </c>
      <c r="G1606" s="246">
        <v>4</v>
      </c>
      <c r="H1606" s="246">
        <v>5</v>
      </c>
      <c r="I1606" s="246">
        <v>10</v>
      </c>
      <c r="J1606" s="246">
        <v>14</v>
      </c>
      <c r="K1606" s="246">
        <v>15</v>
      </c>
      <c r="L1606" s="246">
        <v>16</v>
      </c>
      <c r="M1606" s="246">
        <v>17</v>
      </c>
      <c r="N1606" s="246"/>
      <c r="O1606" s="246"/>
      <c r="P1606" s="246"/>
      <c r="Q1606" s="246"/>
      <c r="R1606" s="246">
        <f>IFERROR(VLOOKUP(D1606,PROGRAMAS[],2,FALSE),0)</f>
        <v>97037803.679377079</v>
      </c>
      <c r="S1606" s="246">
        <f>IFERROR(VLOOKUP(E1606,PROGRAMAS[],2,FALSE),0)</f>
        <v>640501509.6821388</v>
      </c>
      <c r="T1606" s="246">
        <f>IFERROR(VLOOKUP(F1606,PROGRAMAS[],2,FALSE),0)</f>
        <v>3062327798.1525245</v>
      </c>
      <c r="U1606" s="246">
        <f>IFERROR(VLOOKUP(G1606,PROGRAMAS[],2,FALSE),0)</f>
        <v>67697118.033011258</v>
      </c>
      <c r="V1606" s="246">
        <f>IFERROR(VLOOKUP(H1606,PROGRAMAS[],2,FALSE),0)</f>
        <v>1440941976.2528784</v>
      </c>
      <c r="W1606" s="246">
        <f>IFERROR(VLOOKUP(I1606,PROGRAMAS[],2,FALSE),0)</f>
        <v>4635315027.8751087</v>
      </c>
      <c r="X1606" s="246">
        <f>IFERROR(VLOOKUP(J1606,PROGRAMAS[],2,FALSE),0)</f>
        <v>54223862.645839565</v>
      </c>
      <c r="Y1606" s="246">
        <f>IFERROR(VLOOKUP(K1606,PROGRAMAS[],2,FALSE),0)</f>
        <v>122159672.96346797</v>
      </c>
      <c r="Z1606" s="246">
        <f>IFERROR(VLOOKUP(L1606,PROGRAMAS[],2,FALSE),0)</f>
        <v>7068496961.0436354</v>
      </c>
      <c r="AA1606" s="246">
        <f>IFERROR(VLOOKUP(M1606,PROGRAMAS[],2,FALSE),0)</f>
        <v>1892779498.5211046</v>
      </c>
      <c r="AB1606" s="246">
        <f>IFERROR(VLOOKUP(N1606,PROGRAMAS[],2,FALSE),0)</f>
        <v>0</v>
      </c>
      <c r="AC1606" s="246">
        <f>IFERROR(VLOOKUP(O1606,PROGRAMAS[],2,FALSE),0)</f>
        <v>0</v>
      </c>
      <c r="AD1606" s="246">
        <f>IFERROR(VLOOKUP(P1606,PROGRAMAS[],2,FALSE),0)</f>
        <v>0</v>
      </c>
      <c r="AE1606" s="246">
        <f>IFERROR(VLOOKUP(Q1606,PROGRAMAS[],2,FALSE),0)</f>
        <v>0</v>
      </c>
      <c r="AF1606" s="246">
        <f>IFERROR(VLOOKUP(D1606,PROGRAMAS[],3,FALSE),0)</f>
        <v>841888629.31080008</v>
      </c>
      <c r="AG1606" s="246">
        <f>IFERROR(VLOOKUP(E1606,PROGRAMAS[],3,FALSE),0)</f>
        <v>3848980803.1642323</v>
      </c>
      <c r="AH1606" s="246">
        <f>IFERROR(VLOOKUP(F1606,PROGRAMAS[],3,FALSE),0)</f>
        <v>3394901471.387517</v>
      </c>
      <c r="AI1606" s="246">
        <f>IFERROR(VLOOKUP(G1606,PROGRAMAS[],3,FALSE),0)</f>
        <v>125317226.95549992</v>
      </c>
      <c r="AJ1606" s="246">
        <f>IFERROR(VLOOKUP(H1606,PROGRAMAS[],3,FALSE),0)</f>
        <v>1233505101.0616004</v>
      </c>
      <c r="AK1606" s="246">
        <f>IFERROR(VLOOKUP(I1606,PROGRAMAS[],3,FALSE),0)</f>
        <v>4099471734.9978786</v>
      </c>
      <c r="AL1606" s="246">
        <f>IFERROR(VLOOKUP(J1606,PROGRAMAS[],3,FALSE),0)</f>
        <v>31865326.38096505</v>
      </c>
      <c r="AM1606" s="246">
        <f>IFERROR(VLOOKUP(K1606,PROGRAMAS[],3,FALSE),0)</f>
        <v>118617452.52510804</v>
      </c>
      <c r="AN1606" s="246">
        <f>IFERROR(VLOOKUP(L1606,PROGRAMAS[],3,FALSE),0)</f>
        <v>2406564599.0319901</v>
      </c>
      <c r="AO1606" s="246">
        <f>IFERROR(VLOOKUP(M1606,PROGRAMAS[],3,FALSE),0)</f>
        <v>948595847.09039903</v>
      </c>
      <c r="AP1606" s="246">
        <f>IFERROR(VLOOKUP(N1606,PROGRAMAS[],3,FALSE),0)</f>
        <v>0</v>
      </c>
      <c r="AQ1606" s="246">
        <f>IFERROR(VLOOKUP(O1606,PROGRAMAS[],3,FALSE),0)</f>
        <v>0</v>
      </c>
      <c r="AR1606" s="246">
        <f>IFERROR(VLOOKUP(P1606,PROGRAMAS[],3,FALSE),0)</f>
        <v>0</v>
      </c>
      <c r="AS1606" s="246">
        <f>IFERROR(VLOOKUP(Q1606,PROGRAMAS[],3,FALSE),0)</f>
        <v>0</v>
      </c>
      <c r="AT1606" s="246">
        <f>IFERROR(VLOOKUP(D1606,VOL_REC[],2,FALSE),0)</f>
        <v>0</v>
      </c>
      <c r="AU1606" s="246">
        <f>IFERROR(VLOOKUP(E1606,VOL_REC[],2,FALSE),0)</f>
        <v>0</v>
      </c>
      <c r="AV1606" s="246">
        <f>IFERROR(VLOOKUP(F1606,VOL_REC[],2,FALSE),0)</f>
        <v>11089674.200000001</v>
      </c>
      <c r="AW1606" s="246">
        <f>IFERROR(VLOOKUP(G1606,VOL_REC[],2,FALSE),0)</f>
        <v>90439.55</v>
      </c>
      <c r="AX1606" s="246">
        <f>IFERROR(VLOOKUP(H1606,VOL_REC[],2,FALSE),0)</f>
        <v>4325103.1812214684</v>
      </c>
      <c r="AY1606" s="246">
        <f>IFERROR(VLOOKUP(I1606,VOL_REC[],2,FALSE),0)</f>
        <v>1812240</v>
      </c>
      <c r="AZ1606" s="246">
        <f>IFERROR(VLOOKUP(J1606,VOL_REC[],2,FALSE),0)</f>
        <v>17074.045034105649</v>
      </c>
      <c r="BA1606" s="246">
        <f>IFERROR(VLOOKUP(K1606,VOL_REC[],2,FALSE),0)</f>
        <v>105072</v>
      </c>
      <c r="BB1606" s="246">
        <f>IFERROR(VLOOKUP(L1606,VOL_REC[],2,FALSE),0)</f>
        <v>1072354.9981737854</v>
      </c>
      <c r="BC1606" s="246">
        <f>IFERROR(VLOOKUP(M1606,VOL_REC[],2,FALSE),0)</f>
        <v>740113.98115702497</v>
      </c>
      <c r="BD1606" s="246">
        <f>IFERROR(VLOOKUP(N1606,VOL_REC[],2,FALSE),0)</f>
        <v>0</v>
      </c>
      <c r="BE1606" s="246">
        <f>IFERROR(VLOOKUP(O1606,VOL_REC[],2,FALSE),0)</f>
        <v>0</v>
      </c>
      <c r="BF1606" s="246">
        <f>IFERROR(VLOOKUP(P1606,VOL_REC[],2,FALSE),0)</f>
        <v>0</v>
      </c>
      <c r="BG1606" s="246">
        <f>IFERROR(VLOOKUP(Q1606,VOL_REC[],2,FALSE),0)</f>
        <v>0</v>
      </c>
      <c r="BH1606" s="1710">
        <f t="shared" si="100"/>
        <v>19081481228.849087</v>
      </c>
      <c r="BI1606" s="1710">
        <f t="shared" si="101"/>
        <v>17049708191.905991</v>
      </c>
      <c r="BJ1606" s="1711">
        <f t="shared" si="102"/>
        <v>19252071.955586385</v>
      </c>
      <c r="BK1606" s="1711">
        <f t="shared" si="103"/>
        <v>1.1191676135494002</v>
      </c>
      <c r="BL1606">
        <f>BJ1606</f>
        <v>19252071.955586385</v>
      </c>
      <c r="BO1606">
        <f>BL1606</f>
        <v>19252071.955586385</v>
      </c>
    </row>
    <row r="1607" spans="3:67" x14ac:dyDescent="0.25">
      <c r="C1607" s="246" t="s">
        <v>2957</v>
      </c>
      <c r="D1607" s="246">
        <v>1</v>
      </c>
      <c r="E1607" s="246">
        <v>2</v>
      </c>
      <c r="F1607" s="246">
        <v>3</v>
      </c>
      <c r="G1607" s="246">
        <v>4</v>
      </c>
      <c r="H1607" s="246">
        <v>5</v>
      </c>
      <c r="I1607" s="246">
        <v>12</v>
      </c>
      <c r="J1607" s="246">
        <v>13</v>
      </c>
      <c r="K1607" s="246">
        <v>14</v>
      </c>
      <c r="L1607" s="246">
        <v>15</v>
      </c>
      <c r="M1607" s="246">
        <v>16</v>
      </c>
      <c r="N1607" s="246"/>
      <c r="O1607" s="246"/>
      <c r="P1607" s="246"/>
      <c r="Q1607" s="246"/>
      <c r="R1607" s="246">
        <f>IFERROR(VLOOKUP(D1607,PROGRAMAS[],2,FALSE),0)</f>
        <v>97037803.679377079</v>
      </c>
      <c r="S1607" s="246">
        <f>IFERROR(VLOOKUP(E1607,PROGRAMAS[],2,FALSE),0)</f>
        <v>640501509.6821388</v>
      </c>
      <c r="T1607" s="246">
        <f>IFERROR(VLOOKUP(F1607,PROGRAMAS[],2,FALSE),0)</f>
        <v>3062327798.1525245</v>
      </c>
      <c r="U1607" s="246">
        <f>IFERROR(VLOOKUP(G1607,PROGRAMAS[],2,FALSE),0)</f>
        <v>67697118.033011258</v>
      </c>
      <c r="V1607" s="246">
        <f>IFERROR(VLOOKUP(H1607,PROGRAMAS[],2,FALSE),0)</f>
        <v>1440941976.2528784</v>
      </c>
      <c r="W1607" s="246">
        <f>IFERROR(VLOOKUP(I1607,PROGRAMAS[],2,FALSE),0)</f>
        <v>764796700.79905891</v>
      </c>
      <c r="X1607" s="246">
        <f>IFERROR(VLOOKUP(J1607,PROGRAMAS[],2,FALSE),0)</f>
        <v>3776538594.4604583</v>
      </c>
      <c r="Y1607" s="246">
        <f>IFERROR(VLOOKUP(K1607,PROGRAMAS[],2,FALSE),0)</f>
        <v>54223862.645839565</v>
      </c>
      <c r="Z1607" s="246">
        <f>IFERROR(VLOOKUP(L1607,PROGRAMAS[],2,FALSE),0)</f>
        <v>122159672.96346797</v>
      </c>
      <c r="AA1607" s="246">
        <f>IFERROR(VLOOKUP(M1607,PROGRAMAS[],2,FALSE),0)</f>
        <v>7068496961.0436354</v>
      </c>
      <c r="AB1607" s="246">
        <f>IFERROR(VLOOKUP(N1607,PROGRAMAS[],2,FALSE),0)</f>
        <v>0</v>
      </c>
      <c r="AC1607" s="246">
        <f>IFERROR(VLOOKUP(O1607,PROGRAMAS[],2,FALSE),0)</f>
        <v>0</v>
      </c>
      <c r="AD1607" s="246">
        <f>IFERROR(VLOOKUP(P1607,PROGRAMAS[],2,FALSE),0)</f>
        <v>0</v>
      </c>
      <c r="AE1607" s="246">
        <f>IFERROR(VLOOKUP(Q1607,PROGRAMAS[],2,FALSE),0)</f>
        <v>0</v>
      </c>
      <c r="AF1607" s="246">
        <f>IFERROR(VLOOKUP(D1607,PROGRAMAS[],3,FALSE),0)</f>
        <v>841888629.31080008</v>
      </c>
      <c r="AG1607" s="246">
        <f>IFERROR(VLOOKUP(E1607,PROGRAMAS[],3,FALSE),0)</f>
        <v>3848980803.1642323</v>
      </c>
      <c r="AH1607" s="246">
        <f>IFERROR(VLOOKUP(F1607,PROGRAMAS[],3,FALSE),0)</f>
        <v>3394901471.387517</v>
      </c>
      <c r="AI1607" s="246">
        <f>IFERROR(VLOOKUP(G1607,PROGRAMAS[],3,FALSE),0)</f>
        <v>125317226.95549992</v>
      </c>
      <c r="AJ1607" s="246">
        <f>IFERROR(VLOOKUP(H1607,PROGRAMAS[],3,FALSE),0)</f>
        <v>1233505101.0616004</v>
      </c>
      <c r="AK1607" s="246">
        <f>IFERROR(VLOOKUP(I1607,PROGRAMAS[],3,FALSE),0)</f>
        <v>675517840.109828</v>
      </c>
      <c r="AL1607" s="246">
        <f>IFERROR(VLOOKUP(J1607,PROGRAMAS[],3,FALSE),0)</f>
        <v>2392571243.5584412</v>
      </c>
      <c r="AM1607" s="246">
        <f>IFERROR(VLOOKUP(K1607,PROGRAMAS[],3,FALSE),0)</f>
        <v>31865326.38096505</v>
      </c>
      <c r="AN1607" s="246">
        <f>IFERROR(VLOOKUP(L1607,PROGRAMAS[],3,FALSE),0)</f>
        <v>118617452.52510804</v>
      </c>
      <c r="AO1607" s="246">
        <f>IFERROR(VLOOKUP(M1607,PROGRAMAS[],3,FALSE),0)</f>
        <v>2406564599.0319901</v>
      </c>
      <c r="AP1607" s="246">
        <f>IFERROR(VLOOKUP(N1607,PROGRAMAS[],3,FALSE),0)</f>
        <v>0</v>
      </c>
      <c r="AQ1607" s="246">
        <f>IFERROR(VLOOKUP(O1607,PROGRAMAS[],3,FALSE),0)</f>
        <v>0</v>
      </c>
      <c r="AR1607" s="246">
        <f>IFERROR(VLOOKUP(P1607,PROGRAMAS[],3,FALSE),0)</f>
        <v>0</v>
      </c>
      <c r="AS1607" s="246">
        <f>IFERROR(VLOOKUP(Q1607,PROGRAMAS[],3,FALSE),0)</f>
        <v>0</v>
      </c>
      <c r="AT1607" s="246">
        <f>IFERROR(VLOOKUP(D1607,VOL_REC[],2,FALSE),0)</f>
        <v>0</v>
      </c>
      <c r="AU1607" s="246">
        <f>IFERROR(VLOOKUP(E1607,VOL_REC[],2,FALSE),0)</f>
        <v>0</v>
      </c>
      <c r="AV1607" s="246">
        <f>IFERROR(VLOOKUP(F1607,VOL_REC[],2,FALSE),0)</f>
        <v>11089674.200000001</v>
      </c>
      <c r="AW1607" s="246">
        <f>IFERROR(VLOOKUP(G1607,VOL_REC[],2,FALSE),0)</f>
        <v>90439.55</v>
      </c>
      <c r="AX1607" s="246">
        <f>IFERROR(VLOOKUP(H1607,VOL_REC[],2,FALSE),0)</f>
        <v>4325103.1812214684</v>
      </c>
      <c r="AY1607" s="246">
        <f>IFERROR(VLOOKUP(I1607,VOL_REC[],2,FALSE),0)</f>
        <v>240696.79238099116</v>
      </c>
      <c r="AZ1607" s="246">
        <f>IFERROR(VLOOKUP(J1607,VOL_REC[],2,FALSE),0)</f>
        <v>663244.80000000016</v>
      </c>
      <c r="BA1607" s="246">
        <f>IFERROR(VLOOKUP(K1607,VOL_REC[],2,FALSE),0)</f>
        <v>17074.045034105649</v>
      </c>
      <c r="BB1607" s="246">
        <f>IFERROR(VLOOKUP(L1607,VOL_REC[],2,FALSE),0)</f>
        <v>105072</v>
      </c>
      <c r="BC1607" s="246">
        <f>IFERROR(VLOOKUP(M1607,VOL_REC[],2,FALSE),0)</f>
        <v>1072354.9981737854</v>
      </c>
      <c r="BD1607" s="246">
        <f>IFERROR(VLOOKUP(N1607,VOL_REC[],2,FALSE),0)</f>
        <v>0</v>
      </c>
      <c r="BE1607" s="246">
        <f>IFERROR(VLOOKUP(O1607,VOL_REC[],2,FALSE),0)</f>
        <v>0</v>
      </c>
      <c r="BF1607" s="246">
        <f>IFERROR(VLOOKUP(P1607,VOL_REC[],2,FALSE),0)</f>
        <v>0</v>
      </c>
      <c r="BG1607" s="246">
        <f>IFERROR(VLOOKUP(Q1607,VOL_REC[],2,FALSE),0)</f>
        <v>0</v>
      </c>
      <c r="BH1607" s="1710">
        <f t="shared" si="100"/>
        <v>17094721997.712391</v>
      </c>
      <c r="BI1607" s="1710">
        <f t="shared" si="101"/>
        <v>15069729693.485983</v>
      </c>
      <c r="BJ1607" s="1711">
        <f t="shared" si="102"/>
        <v>17603659.566810351</v>
      </c>
      <c r="BK1607" s="1711">
        <f t="shared" si="103"/>
        <v>1.134374825920184</v>
      </c>
      <c r="BL1607">
        <f>BJ1607</f>
        <v>17603659.566810351</v>
      </c>
      <c r="BO1607">
        <f>BL1607</f>
        <v>17603659.566810351</v>
      </c>
    </row>
    <row r="1608" spans="3:67" x14ac:dyDescent="0.25">
      <c r="C1608" s="246" t="s">
        <v>2958</v>
      </c>
      <c r="D1608" s="246">
        <v>1</v>
      </c>
      <c r="E1608" s="246">
        <v>2</v>
      </c>
      <c r="F1608" s="246">
        <v>3</v>
      </c>
      <c r="G1608" s="246">
        <v>4</v>
      </c>
      <c r="H1608" s="246">
        <v>5</v>
      </c>
      <c r="I1608" s="246">
        <v>12</v>
      </c>
      <c r="J1608" s="246">
        <v>13</v>
      </c>
      <c r="K1608" s="246">
        <v>14</v>
      </c>
      <c r="L1608" s="246">
        <v>15</v>
      </c>
      <c r="M1608" s="246">
        <v>17</v>
      </c>
      <c r="N1608" s="246"/>
      <c r="O1608" s="246"/>
      <c r="P1608" s="246"/>
      <c r="Q1608" s="246"/>
      <c r="R1608" s="246">
        <f>IFERROR(VLOOKUP(D1608,PROGRAMAS[],2,FALSE),0)</f>
        <v>97037803.679377079</v>
      </c>
      <c r="S1608" s="246">
        <f>IFERROR(VLOOKUP(E1608,PROGRAMAS[],2,FALSE),0)</f>
        <v>640501509.6821388</v>
      </c>
      <c r="T1608" s="246">
        <f>IFERROR(VLOOKUP(F1608,PROGRAMAS[],2,FALSE),0)</f>
        <v>3062327798.1525245</v>
      </c>
      <c r="U1608" s="246">
        <f>IFERROR(VLOOKUP(G1608,PROGRAMAS[],2,FALSE),0)</f>
        <v>67697118.033011258</v>
      </c>
      <c r="V1608" s="246">
        <f>IFERROR(VLOOKUP(H1608,PROGRAMAS[],2,FALSE),0)</f>
        <v>1440941976.2528784</v>
      </c>
      <c r="W1608" s="246">
        <f>IFERROR(VLOOKUP(I1608,PROGRAMAS[],2,FALSE),0)</f>
        <v>764796700.79905891</v>
      </c>
      <c r="X1608" s="246">
        <f>IFERROR(VLOOKUP(J1608,PROGRAMAS[],2,FALSE),0)</f>
        <v>3776538594.4604583</v>
      </c>
      <c r="Y1608" s="246">
        <f>IFERROR(VLOOKUP(K1608,PROGRAMAS[],2,FALSE),0)</f>
        <v>54223862.645839565</v>
      </c>
      <c r="Z1608" s="246">
        <f>IFERROR(VLOOKUP(L1608,PROGRAMAS[],2,FALSE),0)</f>
        <v>122159672.96346797</v>
      </c>
      <c r="AA1608" s="246">
        <f>IFERROR(VLOOKUP(M1608,PROGRAMAS[],2,FALSE),0)</f>
        <v>1892779498.5211046</v>
      </c>
      <c r="AB1608" s="246">
        <f>IFERROR(VLOOKUP(N1608,PROGRAMAS[],2,FALSE),0)</f>
        <v>0</v>
      </c>
      <c r="AC1608" s="246">
        <f>IFERROR(VLOOKUP(O1608,PROGRAMAS[],2,FALSE),0)</f>
        <v>0</v>
      </c>
      <c r="AD1608" s="246">
        <f>IFERROR(VLOOKUP(P1608,PROGRAMAS[],2,FALSE),0)</f>
        <v>0</v>
      </c>
      <c r="AE1608" s="246">
        <f>IFERROR(VLOOKUP(Q1608,PROGRAMAS[],2,FALSE),0)</f>
        <v>0</v>
      </c>
      <c r="AF1608" s="246">
        <f>IFERROR(VLOOKUP(D1608,PROGRAMAS[],3,FALSE),0)</f>
        <v>841888629.31080008</v>
      </c>
      <c r="AG1608" s="246">
        <f>IFERROR(VLOOKUP(E1608,PROGRAMAS[],3,FALSE),0)</f>
        <v>3848980803.1642323</v>
      </c>
      <c r="AH1608" s="246">
        <f>IFERROR(VLOOKUP(F1608,PROGRAMAS[],3,FALSE),0)</f>
        <v>3394901471.387517</v>
      </c>
      <c r="AI1608" s="246">
        <f>IFERROR(VLOOKUP(G1608,PROGRAMAS[],3,FALSE),0)</f>
        <v>125317226.95549992</v>
      </c>
      <c r="AJ1608" s="246">
        <f>IFERROR(VLOOKUP(H1608,PROGRAMAS[],3,FALSE),0)</f>
        <v>1233505101.0616004</v>
      </c>
      <c r="AK1608" s="246">
        <f>IFERROR(VLOOKUP(I1608,PROGRAMAS[],3,FALSE),0)</f>
        <v>675517840.109828</v>
      </c>
      <c r="AL1608" s="246">
        <f>IFERROR(VLOOKUP(J1608,PROGRAMAS[],3,FALSE),0)</f>
        <v>2392571243.5584412</v>
      </c>
      <c r="AM1608" s="246">
        <f>IFERROR(VLOOKUP(K1608,PROGRAMAS[],3,FALSE),0)</f>
        <v>31865326.38096505</v>
      </c>
      <c r="AN1608" s="246">
        <f>IFERROR(VLOOKUP(L1608,PROGRAMAS[],3,FALSE),0)</f>
        <v>118617452.52510804</v>
      </c>
      <c r="AO1608" s="246">
        <f>IFERROR(VLOOKUP(M1608,PROGRAMAS[],3,FALSE),0)</f>
        <v>948595847.09039903</v>
      </c>
      <c r="AP1608" s="246">
        <f>IFERROR(VLOOKUP(N1608,PROGRAMAS[],3,FALSE),0)</f>
        <v>0</v>
      </c>
      <c r="AQ1608" s="246">
        <f>IFERROR(VLOOKUP(O1608,PROGRAMAS[],3,FALSE),0)</f>
        <v>0</v>
      </c>
      <c r="AR1608" s="246">
        <f>IFERROR(VLOOKUP(P1608,PROGRAMAS[],3,FALSE),0)</f>
        <v>0</v>
      </c>
      <c r="AS1608" s="246">
        <f>IFERROR(VLOOKUP(Q1608,PROGRAMAS[],3,FALSE),0)</f>
        <v>0</v>
      </c>
      <c r="AT1608" s="246">
        <f>IFERROR(VLOOKUP(D1608,VOL_REC[],2,FALSE),0)</f>
        <v>0</v>
      </c>
      <c r="AU1608" s="246">
        <f>IFERROR(VLOOKUP(E1608,VOL_REC[],2,FALSE),0)</f>
        <v>0</v>
      </c>
      <c r="AV1608" s="246">
        <f>IFERROR(VLOOKUP(F1608,VOL_REC[],2,FALSE),0)</f>
        <v>11089674.200000001</v>
      </c>
      <c r="AW1608" s="246">
        <f>IFERROR(VLOOKUP(G1608,VOL_REC[],2,FALSE),0)</f>
        <v>90439.55</v>
      </c>
      <c r="AX1608" s="246">
        <f>IFERROR(VLOOKUP(H1608,VOL_REC[],2,FALSE),0)</f>
        <v>4325103.1812214684</v>
      </c>
      <c r="AY1608" s="246">
        <f>IFERROR(VLOOKUP(I1608,VOL_REC[],2,FALSE),0)</f>
        <v>240696.79238099116</v>
      </c>
      <c r="AZ1608" s="246">
        <f>IFERROR(VLOOKUP(J1608,VOL_REC[],2,FALSE),0)</f>
        <v>663244.80000000016</v>
      </c>
      <c r="BA1608" s="246">
        <f>IFERROR(VLOOKUP(K1608,VOL_REC[],2,FALSE),0)</f>
        <v>17074.045034105649</v>
      </c>
      <c r="BB1608" s="246">
        <f>IFERROR(VLOOKUP(L1608,VOL_REC[],2,FALSE),0)</f>
        <v>105072</v>
      </c>
      <c r="BC1608" s="246">
        <f>IFERROR(VLOOKUP(M1608,VOL_REC[],2,FALSE),0)</f>
        <v>740113.98115702497</v>
      </c>
      <c r="BD1608" s="246">
        <f>IFERROR(VLOOKUP(N1608,VOL_REC[],2,FALSE),0)</f>
        <v>0</v>
      </c>
      <c r="BE1608" s="246">
        <f>IFERROR(VLOOKUP(O1608,VOL_REC[],2,FALSE),0)</f>
        <v>0</v>
      </c>
      <c r="BF1608" s="246">
        <f>IFERROR(VLOOKUP(P1608,VOL_REC[],2,FALSE),0)</f>
        <v>0</v>
      </c>
      <c r="BG1608" s="246">
        <f>IFERROR(VLOOKUP(Q1608,VOL_REC[],2,FALSE),0)</f>
        <v>0</v>
      </c>
      <c r="BH1608" s="1710">
        <f t="shared" si="100"/>
        <v>11919004535.189861</v>
      </c>
      <c r="BI1608" s="1710">
        <f t="shared" si="101"/>
        <v>13611760941.544392</v>
      </c>
      <c r="BJ1608" s="1711">
        <f t="shared" si="102"/>
        <v>17271418.54979359</v>
      </c>
      <c r="BK1608" s="1711">
        <f t="shared" si="103"/>
        <v>0.87564016047416193</v>
      </c>
    </row>
    <row r="1609" spans="3:67" x14ac:dyDescent="0.25">
      <c r="C1609" s="246" t="s">
        <v>2959</v>
      </c>
      <c r="D1609" s="246">
        <v>1</v>
      </c>
      <c r="E1609" s="246">
        <v>2</v>
      </c>
      <c r="F1609" s="246">
        <v>3</v>
      </c>
      <c r="G1609" s="246">
        <v>4</v>
      </c>
      <c r="H1609" s="246">
        <v>5</v>
      </c>
      <c r="I1609" s="246">
        <v>12</v>
      </c>
      <c r="J1609" s="246">
        <v>13</v>
      </c>
      <c r="K1609" s="246">
        <v>14</v>
      </c>
      <c r="L1609" s="246">
        <v>16</v>
      </c>
      <c r="M1609" s="246">
        <v>17</v>
      </c>
      <c r="N1609" s="246"/>
      <c r="O1609" s="246"/>
      <c r="P1609" s="246"/>
      <c r="Q1609" s="246"/>
      <c r="R1609" s="246">
        <f>IFERROR(VLOOKUP(D1609,PROGRAMAS[],2,FALSE),0)</f>
        <v>97037803.679377079</v>
      </c>
      <c r="S1609" s="246">
        <f>IFERROR(VLOOKUP(E1609,PROGRAMAS[],2,FALSE),0)</f>
        <v>640501509.6821388</v>
      </c>
      <c r="T1609" s="246">
        <f>IFERROR(VLOOKUP(F1609,PROGRAMAS[],2,FALSE),0)</f>
        <v>3062327798.1525245</v>
      </c>
      <c r="U1609" s="246">
        <f>IFERROR(VLOOKUP(G1609,PROGRAMAS[],2,FALSE),0)</f>
        <v>67697118.033011258</v>
      </c>
      <c r="V1609" s="246">
        <f>IFERROR(VLOOKUP(H1609,PROGRAMAS[],2,FALSE),0)</f>
        <v>1440941976.2528784</v>
      </c>
      <c r="W1609" s="246">
        <f>IFERROR(VLOOKUP(I1609,PROGRAMAS[],2,FALSE),0)</f>
        <v>764796700.79905891</v>
      </c>
      <c r="X1609" s="246">
        <f>IFERROR(VLOOKUP(J1609,PROGRAMAS[],2,FALSE),0)</f>
        <v>3776538594.4604583</v>
      </c>
      <c r="Y1609" s="246">
        <f>IFERROR(VLOOKUP(K1609,PROGRAMAS[],2,FALSE),0)</f>
        <v>54223862.645839565</v>
      </c>
      <c r="Z1609" s="246">
        <f>IFERROR(VLOOKUP(L1609,PROGRAMAS[],2,FALSE),0)</f>
        <v>7068496961.0436354</v>
      </c>
      <c r="AA1609" s="246">
        <f>IFERROR(VLOOKUP(M1609,PROGRAMAS[],2,FALSE),0)</f>
        <v>1892779498.5211046</v>
      </c>
      <c r="AB1609" s="246">
        <f>IFERROR(VLOOKUP(N1609,PROGRAMAS[],2,FALSE),0)</f>
        <v>0</v>
      </c>
      <c r="AC1609" s="246">
        <f>IFERROR(VLOOKUP(O1609,PROGRAMAS[],2,FALSE),0)</f>
        <v>0</v>
      </c>
      <c r="AD1609" s="246">
        <f>IFERROR(VLOOKUP(P1609,PROGRAMAS[],2,FALSE),0)</f>
        <v>0</v>
      </c>
      <c r="AE1609" s="246">
        <f>IFERROR(VLOOKUP(Q1609,PROGRAMAS[],2,FALSE),0)</f>
        <v>0</v>
      </c>
      <c r="AF1609" s="246">
        <f>IFERROR(VLOOKUP(D1609,PROGRAMAS[],3,FALSE),0)</f>
        <v>841888629.31080008</v>
      </c>
      <c r="AG1609" s="246">
        <f>IFERROR(VLOOKUP(E1609,PROGRAMAS[],3,FALSE),0)</f>
        <v>3848980803.1642323</v>
      </c>
      <c r="AH1609" s="246">
        <f>IFERROR(VLOOKUP(F1609,PROGRAMAS[],3,FALSE),0)</f>
        <v>3394901471.387517</v>
      </c>
      <c r="AI1609" s="246">
        <f>IFERROR(VLOOKUP(G1609,PROGRAMAS[],3,FALSE),0)</f>
        <v>125317226.95549992</v>
      </c>
      <c r="AJ1609" s="246">
        <f>IFERROR(VLOOKUP(H1609,PROGRAMAS[],3,FALSE),0)</f>
        <v>1233505101.0616004</v>
      </c>
      <c r="AK1609" s="246">
        <f>IFERROR(VLOOKUP(I1609,PROGRAMAS[],3,FALSE),0)</f>
        <v>675517840.109828</v>
      </c>
      <c r="AL1609" s="246">
        <f>IFERROR(VLOOKUP(J1609,PROGRAMAS[],3,FALSE),0)</f>
        <v>2392571243.5584412</v>
      </c>
      <c r="AM1609" s="246">
        <f>IFERROR(VLOOKUP(K1609,PROGRAMAS[],3,FALSE),0)</f>
        <v>31865326.38096505</v>
      </c>
      <c r="AN1609" s="246">
        <f>IFERROR(VLOOKUP(L1609,PROGRAMAS[],3,FALSE),0)</f>
        <v>2406564599.0319901</v>
      </c>
      <c r="AO1609" s="246">
        <f>IFERROR(VLOOKUP(M1609,PROGRAMAS[],3,FALSE),0)</f>
        <v>948595847.09039903</v>
      </c>
      <c r="AP1609" s="246">
        <f>IFERROR(VLOOKUP(N1609,PROGRAMAS[],3,FALSE),0)</f>
        <v>0</v>
      </c>
      <c r="AQ1609" s="246">
        <f>IFERROR(VLOOKUP(O1609,PROGRAMAS[],3,FALSE),0)</f>
        <v>0</v>
      </c>
      <c r="AR1609" s="246">
        <f>IFERROR(VLOOKUP(P1609,PROGRAMAS[],3,FALSE),0)</f>
        <v>0</v>
      </c>
      <c r="AS1609" s="246">
        <f>IFERROR(VLOOKUP(Q1609,PROGRAMAS[],3,FALSE),0)</f>
        <v>0</v>
      </c>
      <c r="AT1609" s="246">
        <f>IFERROR(VLOOKUP(D1609,VOL_REC[],2,FALSE),0)</f>
        <v>0</v>
      </c>
      <c r="AU1609" s="246">
        <f>IFERROR(VLOOKUP(E1609,VOL_REC[],2,FALSE),0)</f>
        <v>0</v>
      </c>
      <c r="AV1609" s="246">
        <f>IFERROR(VLOOKUP(F1609,VOL_REC[],2,FALSE),0)</f>
        <v>11089674.200000001</v>
      </c>
      <c r="AW1609" s="246">
        <f>IFERROR(VLOOKUP(G1609,VOL_REC[],2,FALSE),0)</f>
        <v>90439.55</v>
      </c>
      <c r="AX1609" s="246">
        <f>IFERROR(VLOOKUP(H1609,VOL_REC[],2,FALSE),0)</f>
        <v>4325103.1812214684</v>
      </c>
      <c r="AY1609" s="246">
        <f>IFERROR(VLOOKUP(I1609,VOL_REC[],2,FALSE),0)</f>
        <v>240696.79238099116</v>
      </c>
      <c r="AZ1609" s="246">
        <f>IFERROR(VLOOKUP(J1609,VOL_REC[],2,FALSE),0)</f>
        <v>663244.80000000016</v>
      </c>
      <c r="BA1609" s="246">
        <f>IFERROR(VLOOKUP(K1609,VOL_REC[],2,FALSE),0)</f>
        <v>17074.045034105649</v>
      </c>
      <c r="BB1609" s="246">
        <f>IFERROR(VLOOKUP(L1609,VOL_REC[],2,FALSE),0)</f>
        <v>1072354.9981737854</v>
      </c>
      <c r="BC1609" s="246">
        <f>IFERROR(VLOOKUP(M1609,VOL_REC[],2,FALSE),0)</f>
        <v>740113.98115702497</v>
      </c>
      <c r="BD1609" s="246">
        <f>IFERROR(VLOOKUP(N1609,VOL_REC[],2,FALSE),0)</f>
        <v>0</v>
      </c>
      <c r="BE1609" s="246">
        <f>IFERROR(VLOOKUP(O1609,VOL_REC[],2,FALSE),0)</f>
        <v>0</v>
      </c>
      <c r="BF1609" s="246">
        <f>IFERROR(VLOOKUP(P1609,VOL_REC[],2,FALSE),0)</f>
        <v>0</v>
      </c>
      <c r="BG1609" s="246">
        <f>IFERROR(VLOOKUP(Q1609,VOL_REC[],2,FALSE),0)</f>
        <v>0</v>
      </c>
      <c r="BH1609" s="1710">
        <f t="shared" si="100"/>
        <v>18865341823.270027</v>
      </c>
      <c r="BI1609" s="1710">
        <f t="shared" si="101"/>
        <v>15899708088.051273</v>
      </c>
      <c r="BJ1609" s="1711">
        <f t="shared" si="102"/>
        <v>18238701.547967374</v>
      </c>
      <c r="BK1609" s="1711">
        <f t="shared" si="103"/>
        <v>1.1865212693714449</v>
      </c>
      <c r="BL1609">
        <f>BJ1609</f>
        <v>18238701.547967374</v>
      </c>
      <c r="BO1609">
        <f>BL1609</f>
        <v>18238701.547967374</v>
      </c>
    </row>
    <row r="1610" spans="3:67" x14ac:dyDescent="0.25">
      <c r="C1610" s="246" t="s">
        <v>2960</v>
      </c>
      <c r="D1610" s="246">
        <v>1</v>
      </c>
      <c r="E1610" s="246">
        <v>2</v>
      </c>
      <c r="F1610" s="246">
        <v>3</v>
      </c>
      <c r="G1610" s="246">
        <v>4</v>
      </c>
      <c r="H1610" s="246">
        <v>5</v>
      </c>
      <c r="I1610" s="246">
        <v>12</v>
      </c>
      <c r="J1610" s="246">
        <v>13</v>
      </c>
      <c r="K1610" s="246">
        <v>15</v>
      </c>
      <c r="L1610" s="246">
        <v>16</v>
      </c>
      <c r="M1610" s="246">
        <v>17</v>
      </c>
      <c r="N1610" s="246"/>
      <c r="O1610" s="246"/>
      <c r="P1610" s="246"/>
      <c r="Q1610" s="246"/>
      <c r="R1610" s="246">
        <f>IFERROR(VLOOKUP(D1610,PROGRAMAS[],2,FALSE),0)</f>
        <v>97037803.679377079</v>
      </c>
      <c r="S1610" s="246">
        <f>IFERROR(VLOOKUP(E1610,PROGRAMAS[],2,FALSE),0)</f>
        <v>640501509.6821388</v>
      </c>
      <c r="T1610" s="246">
        <f>IFERROR(VLOOKUP(F1610,PROGRAMAS[],2,FALSE),0)</f>
        <v>3062327798.1525245</v>
      </c>
      <c r="U1610" s="246">
        <f>IFERROR(VLOOKUP(G1610,PROGRAMAS[],2,FALSE),0)</f>
        <v>67697118.033011258</v>
      </c>
      <c r="V1610" s="246">
        <f>IFERROR(VLOOKUP(H1610,PROGRAMAS[],2,FALSE),0)</f>
        <v>1440941976.2528784</v>
      </c>
      <c r="W1610" s="246">
        <f>IFERROR(VLOOKUP(I1610,PROGRAMAS[],2,FALSE),0)</f>
        <v>764796700.79905891</v>
      </c>
      <c r="X1610" s="246">
        <f>IFERROR(VLOOKUP(J1610,PROGRAMAS[],2,FALSE),0)</f>
        <v>3776538594.4604583</v>
      </c>
      <c r="Y1610" s="246">
        <f>IFERROR(VLOOKUP(K1610,PROGRAMAS[],2,FALSE),0)</f>
        <v>122159672.96346797</v>
      </c>
      <c r="Z1610" s="246">
        <f>IFERROR(VLOOKUP(L1610,PROGRAMAS[],2,FALSE),0)</f>
        <v>7068496961.0436354</v>
      </c>
      <c r="AA1610" s="246">
        <f>IFERROR(VLOOKUP(M1610,PROGRAMAS[],2,FALSE),0)</f>
        <v>1892779498.5211046</v>
      </c>
      <c r="AB1610" s="246">
        <f>IFERROR(VLOOKUP(N1610,PROGRAMAS[],2,FALSE),0)</f>
        <v>0</v>
      </c>
      <c r="AC1610" s="246">
        <f>IFERROR(VLOOKUP(O1610,PROGRAMAS[],2,FALSE),0)</f>
        <v>0</v>
      </c>
      <c r="AD1610" s="246">
        <f>IFERROR(VLOOKUP(P1610,PROGRAMAS[],2,FALSE),0)</f>
        <v>0</v>
      </c>
      <c r="AE1610" s="246">
        <f>IFERROR(VLOOKUP(Q1610,PROGRAMAS[],2,FALSE),0)</f>
        <v>0</v>
      </c>
      <c r="AF1610" s="246">
        <f>IFERROR(VLOOKUP(D1610,PROGRAMAS[],3,FALSE),0)</f>
        <v>841888629.31080008</v>
      </c>
      <c r="AG1610" s="246">
        <f>IFERROR(VLOOKUP(E1610,PROGRAMAS[],3,FALSE),0)</f>
        <v>3848980803.1642323</v>
      </c>
      <c r="AH1610" s="246">
        <f>IFERROR(VLOOKUP(F1610,PROGRAMAS[],3,FALSE),0)</f>
        <v>3394901471.387517</v>
      </c>
      <c r="AI1610" s="246">
        <f>IFERROR(VLOOKUP(G1610,PROGRAMAS[],3,FALSE),0)</f>
        <v>125317226.95549992</v>
      </c>
      <c r="AJ1610" s="246">
        <f>IFERROR(VLOOKUP(H1610,PROGRAMAS[],3,FALSE),0)</f>
        <v>1233505101.0616004</v>
      </c>
      <c r="AK1610" s="246">
        <f>IFERROR(VLOOKUP(I1610,PROGRAMAS[],3,FALSE),0)</f>
        <v>675517840.109828</v>
      </c>
      <c r="AL1610" s="246">
        <f>IFERROR(VLOOKUP(J1610,PROGRAMAS[],3,FALSE),0)</f>
        <v>2392571243.5584412</v>
      </c>
      <c r="AM1610" s="246">
        <f>IFERROR(VLOOKUP(K1610,PROGRAMAS[],3,FALSE),0)</f>
        <v>118617452.52510804</v>
      </c>
      <c r="AN1610" s="246">
        <f>IFERROR(VLOOKUP(L1610,PROGRAMAS[],3,FALSE),0)</f>
        <v>2406564599.0319901</v>
      </c>
      <c r="AO1610" s="246">
        <f>IFERROR(VLOOKUP(M1610,PROGRAMAS[],3,FALSE),0)</f>
        <v>948595847.09039903</v>
      </c>
      <c r="AP1610" s="246">
        <f>IFERROR(VLOOKUP(N1610,PROGRAMAS[],3,FALSE),0)</f>
        <v>0</v>
      </c>
      <c r="AQ1610" s="246">
        <f>IFERROR(VLOOKUP(O1610,PROGRAMAS[],3,FALSE),0)</f>
        <v>0</v>
      </c>
      <c r="AR1610" s="246">
        <f>IFERROR(VLOOKUP(P1610,PROGRAMAS[],3,FALSE),0)</f>
        <v>0</v>
      </c>
      <c r="AS1610" s="246">
        <f>IFERROR(VLOOKUP(Q1610,PROGRAMAS[],3,FALSE),0)</f>
        <v>0</v>
      </c>
      <c r="AT1610" s="246">
        <f>IFERROR(VLOOKUP(D1610,VOL_REC[],2,FALSE),0)</f>
        <v>0</v>
      </c>
      <c r="AU1610" s="246">
        <f>IFERROR(VLOOKUP(E1610,VOL_REC[],2,FALSE),0)</f>
        <v>0</v>
      </c>
      <c r="AV1610" s="246">
        <f>IFERROR(VLOOKUP(F1610,VOL_REC[],2,FALSE),0)</f>
        <v>11089674.200000001</v>
      </c>
      <c r="AW1610" s="246">
        <f>IFERROR(VLOOKUP(G1610,VOL_REC[],2,FALSE),0)</f>
        <v>90439.55</v>
      </c>
      <c r="AX1610" s="246">
        <f>IFERROR(VLOOKUP(H1610,VOL_REC[],2,FALSE),0)</f>
        <v>4325103.1812214684</v>
      </c>
      <c r="AY1610" s="246">
        <f>IFERROR(VLOOKUP(I1610,VOL_REC[],2,FALSE),0)</f>
        <v>240696.79238099116</v>
      </c>
      <c r="AZ1610" s="246">
        <f>IFERROR(VLOOKUP(J1610,VOL_REC[],2,FALSE),0)</f>
        <v>663244.80000000016</v>
      </c>
      <c r="BA1610" s="246">
        <f>IFERROR(VLOOKUP(K1610,VOL_REC[],2,FALSE),0)</f>
        <v>105072</v>
      </c>
      <c r="BB1610" s="246">
        <f>IFERROR(VLOOKUP(L1610,VOL_REC[],2,FALSE),0)</f>
        <v>1072354.9981737854</v>
      </c>
      <c r="BC1610" s="246">
        <f>IFERROR(VLOOKUP(M1610,VOL_REC[],2,FALSE),0)</f>
        <v>740113.98115702497</v>
      </c>
      <c r="BD1610" s="246">
        <f>IFERROR(VLOOKUP(N1610,VOL_REC[],2,FALSE),0)</f>
        <v>0</v>
      </c>
      <c r="BE1610" s="246">
        <f>IFERROR(VLOOKUP(O1610,VOL_REC[],2,FALSE),0)</f>
        <v>0</v>
      </c>
      <c r="BF1610" s="246">
        <f>IFERROR(VLOOKUP(P1610,VOL_REC[],2,FALSE),0)</f>
        <v>0</v>
      </c>
      <c r="BG1610" s="246">
        <f>IFERROR(VLOOKUP(Q1610,VOL_REC[],2,FALSE),0)</f>
        <v>0</v>
      </c>
      <c r="BH1610" s="1710">
        <f t="shared" si="100"/>
        <v>18933277633.587654</v>
      </c>
      <c r="BI1610" s="1710">
        <f t="shared" si="101"/>
        <v>15986460214.195417</v>
      </c>
      <c r="BJ1610" s="1711">
        <f t="shared" si="102"/>
        <v>18326699.502933271</v>
      </c>
      <c r="BK1610" s="1711">
        <f t="shared" si="103"/>
        <v>1.1843320772647072</v>
      </c>
      <c r="BL1610">
        <f>BJ1610</f>
        <v>18326699.502933271</v>
      </c>
      <c r="BO1610">
        <f>BL1610</f>
        <v>18326699.502933271</v>
      </c>
    </row>
    <row r="1611" spans="3:67" x14ac:dyDescent="0.25">
      <c r="C1611" s="246" t="s">
        <v>2961</v>
      </c>
      <c r="D1611" s="246">
        <v>1</v>
      </c>
      <c r="E1611" s="246">
        <v>2</v>
      </c>
      <c r="F1611" s="246">
        <v>3</v>
      </c>
      <c r="G1611" s="246">
        <v>4</v>
      </c>
      <c r="H1611" s="246">
        <v>5</v>
      </c>
      <c r="I1611" s="246">
        <v>12</v>
      </c>
      <c r="J1611" s="246">
        <v>14</v>
      </c>
      <c r="K1611" s="246">
        <v>15</v>
      </c>
      <c r="L1611" s="246">
        <v>16</v>
      </c>
      <c r="M1611" s="246">
        <v>17</v>
      </c>
      <c r="N1611" s="246"/>
      <c r="O1611" s="246"/>
      <c r="P1611" s="246"/>
      <c r="Q1611" s="246"/>
      <c r="R1611" s="246">
        <f>IFERROR(VLOOKUP(D1611,PROGRAMAS[],2,FALSE),0)</f>
        <v>97037803.679377079</v>
      </c>
      <c r="S1611" s="246">
        <f>IFERROR(VLOOKUP(E1611,PROGRAMAS[],2,FALSE),0)</f>
        <v>640501509.6821388</v>
      </c>
      <c r="T1611" s="246">
        <f>IFERROR(VLOOKUP(F1611,PROGRAMAS[],2,FALSE),0)</f>
        <v>3062327798.1525245</v>
      </c>
      <c r="U1611" s="246">
        <f>IFERROR(VLOOKUP(G1611,PROGRAMAS[],2,FALSE),0)</f>
        <v>67697118.033011258</v>
      </c>
      <c r="V1611" s="246">
        <f>IFERROR(VLOOKUP(H1611,PROGRAMAS[],2,FALSE),0)</f>
        <v>1440941976.2528784</v>
      </c>
      <c r="W1611" s="246">
        <f>IFERROR(VLOOKUP(I1611,PROGRAMAS[],2,FALSE),0)</f>
        <v>764796700.79905891</v>
      </c>
      <c r="X1611" s="246">
        <f>IFERROR(VLOOKUP(J1611,PROGRAMAS[],2,FALSE),0)</f>
        <v>54223862.645839565</v>
      </c>
      <c r="Y1611" s="246">
        <f>IFERROR(VLOOKUP(K1611,PROGRAMAS[],2,FALSE),0)</f>
        <v>122159672.96346797</v>
      </c>
      <c r="Z1611" s="246">
        <f>IFERROR(VLOOKUP(L1611,PROGRAMAS[],2,FALSE),0)</f>
        <v>7068496961.0436354</v>
      </c>
      <c r="AA1611" s="246">
        <f>IFERROR(VLOOKUP(M1611,PROGRAMAS[],2,FALSE),0)</f>
        <v>1892779498.5211046</v>
      </c>
      <c r="AB1611" s="246">
        <f>IFERROR(VLOOKUP(N1611,PROGRAMAS[],2,FALSE),0)</f>
        <v>0</v>
      </c>
      <c r="AC1611" s="246">
        <f>IFERROR(VLOOKUP(O1611,PROGRAMAS[],2,FALSE),0)</f>
        <v>0</v>
      </c>
      <c r="AD1611" s="246">
        <f>IFERROR(VLOOKUP(P1611,PROGRAMAS[],2,FALSE),0)</f>
        <v>0</v>
      </c>
      <c r="AE1611" s="246">
        <f>IFERROR(VLOOKUP(Q1611,PROGRAMAS[],2,FALSE),0)</f>
        <v>0</v>
      </c>
      <c r="AF1611" s="246">
        <f>IFERROR(VLOOKUP(D1611,PROGRAMAS[],3,FALSE),0)</f>
        <v>841888629.31080008</v>
      </c>
      <c r="AG1611" s="246">
        <f>IFERROR(VLOOKUP(E1611,PROGRAMAS[],3,FALSE),0)</f>
        <v>3848980803.1642323</v>
      </c>
      <c r="AH1611" s="246">
        <f>IFERROR(VLOOKUP(F1611,PROGRAMAS[],3,FALSE),0)</f>
        <v>3394901471.387517</v>
      </c>
      <c r="AI1611" s="246">
        <f>IFERROR(VLOOKUP(G1611,PROGRAMAS[],3,FALSE),0)</f>
        <v>125317226.95549992</v>
      </c>
      <c r="AJ1611" s="246">
        <f>IFERROR(VLOOKUP(H1611,PROGRAMAS[],3,FALSE),0)</f>
        <v>1233505101.0616004</v>
      </c>
      <c r="AK1611" s="246">
        <f>IFERROR(VLOOKUP(I1611,PROGRAMAS[],3,FALSE),0)</f>
        <v>675517840.109828</v>
      </c>
      <c r="AL1611" s="246">
        <f>IFERROR(VLOOKUP(J1611,PROGRAMAS[],3,FALSE),0)</f>
        <v>31865326.38096505</v>
      </c>
      <c r="AM1611" s="246">
        <f>IFERROR(VLOOKUP(K1611,PROGRAMAS[],3,FALSE),0)</f>
        <v>118617452.52510804</v>
      </c>
      <c r="AN1611" s="246">
        <f>IFERROR(VLOOKUP(L1611,PROGRAMAS[],3,FALSE),0)</f>
        <v>2406564599.0319901</v>
      </c>
      <c r="AO1611" s="246">
        <f>IFERROR(VLOOKUP(M1611,PROGRAMAS[],3,FALSE),0)</f>
        <v>948595847.09039903</v>
      </c>
      <c r="AP1611" s="246">
        <f>IFERROR(VLOOKUP(N1611,PROGRAMAS[],3,FALSE),0)</f>
        <v>0</v>
      </c>
      <c r="AQ1611" s="246">
        <f>IFERROR(VLOOKUP(O1611,PROGRAMAS[],3,FALSE),0)</f>
        <v>0</v>
      </c>
      <c r="AR1611" s="246">
        <f>IFERROR(VLOOKUP(P1611,PROGRAMAS[],3,FALSE),0)</f>
        <v>0</v>
      </c>
      <c r="AS1611" s="246">
        <f>IFERROR(VLOOKUP(Q1611,PROGRAMAS[],3,FALSE),0)</f>
        <v>0</v>
      </c>
      <c r="AT1611" s="246">
        <f>IFERROR(VLOOKUP(D1611,VOL_REC[],2,FALSE),0)</f>
        <v>0</v>
      </c>
      <c r="AU1611" s="246">
        <f>IFERROR(VLOOKUP(E1611,VOL_REC[],2,FALSE),0)</f>
        <v>0</v>
      </c>
      <c r="AV1611" s="246">
        <f>IFERROR(VLOOKUP(F1611,VOL_REC[],2,FALSE),0)</f>
        <v>11089674.200000001</v>
      </c>
      <c r="AW1611" s="246">
        <f>IFERROR(VLOOKUP(G1611,VOL_REC[],2,FALSE),0)</f>
        <v>90439.55</v>
      </c>
      <c r="AX1611" s="246">
        <f>IFERROR(VLOOKUP(H1611,VOL_REC[],2,FALSE),0)</f>
        <v>4325103.1812214684</v>
      </c>
      <c r="AY1611" s="246">
        <f>IFERROR(VLOOKUP(I1611,VOL_REC[],2,FALSE),0)</f>
        <v>240696.79238099116</v>
      </c>
      <c r="AZ1611" s="246">
        <f>IFERROR(VLOOKUP(J1611,VOL_REC[],2,FALSE),0)</f>
        <v>17074.045034105649</v>
      </c>
      <c r="BA1611" s="246">
        <f>IFERROR(VLOOKUP(K1611,VOL_REC[],2,FALSE),0)</f>
        <v>105072</v>
      </c>
      <c r="BB1611" s="246">
        <f>IFERROR(VLOOKUP(L1611,VOL_REC[],2,FALSE),0)</f>
        <v>1072354.9981737854</v>
      </c>
      <c r="BC1611" s="246">
        <f>IFERROR(VLOOKUP(M1611,VOL_REC[],2,FALSE),0)</f>
        <v>740113.98115702497</v>
      </c>
      <c r="BD1611" s="246">
        <f>IFERROR(VLOOKUP(N1611,VOL_REC[],2,FALSE),0)</f>
        <v>0</v>
      </c>
      <c r="BE1611" s="246">
        <f>IFERROR(VLOOKUP(O1611,VOL_REC[],2,FALSE),0)</f>
        <v>0</v>
      </c>
      <c r="BF1611" s="246">
        <f>IFERROR(VLOOKUP(P1611,VOL_REC[],2,FALSE),0)</f>
        <v>0</v>
      </c>
      <c r="BG1611" s="246">
        <f>IFERROR(VLOOKUP(Q1611,VOL_REC[],2,FALSE),0)</f>
        <v>0</v>
      </c>
      <c r="BH1611" s="1710">
        <f t="shared" si="100"/>
        <v>15210962901.773037</v>
      </c>
      <c r="BI1611" s="1710">
        <f t="shared" si="101"/>
        <v>13625754297.017941</v>
      </c>
      <c r="BJ1611" s="1711">
        <f t="shared" si="102"/>
        <v>17680528.747967374</v>
      </c>
      <c r="BK1611" s="1711">
        <f t="shared" si="103"/>
        <v>1.116339144989722</v>
      </c>
      <c r="BL1611">
        <f>BJ1611</f>
        <v>17680528.747967374</v>
      </c>
      <c r="BO1611">
        <f>BL1611</f>
        <v>17680528.747967374</v>
      </c>
    </row>
    <row r="1612" spans="3:67" x14ac:dyDescent="0.25">
      <c r="C1612" s="246" t="s">
        <v>2962</v>
      </c>
      <c r="D1612" s="246">
        <v>1</v>
      </c>
      <c r="E1612" s="246">
        <v>2</v>
      </c>
      <c r="F1612" s="246">
        <v>3</v>
      </c>
      <c r="G1612" s="246">
        <v>4</v>
      </c>
      <c r="H1612" s="246">
        <v>5</v>
      </c>
      <c r="I1612" s="246">
        <v>13</v>
      </c>
      <c r="J1612" s="246">
        <v>14</v>
      </c>
      <c r="K1612" s="246">
        <v>15</v>
      </c>
      <c r="L1612" s="246">
        <v>16</v>
      </c>
      <c r="M1612" s="246">
        <v>17</v>
      </c>
      <c r="N1612" s="246"/>
      <c r="O1612" s="246"/>
      <c r="P1612" s="246"/>
      <c r="Q1612" s="246"/>
      <c r="R1612" s="246">
        <f>IFERROR(VLOOKUP(D1612,PROGRAMAS[],2,FALSE),0)</f>
        <v>97037803.679377079</v>
      </c>
      <c r="S1612" s="246">
        <f>IFERROR(VLOOKUP(E1612,PROGRAMAS[],2,FALSE),0)</f>
        <v>640501509.6821388</v>
      </c>
      <c r="T1612" s="246">
        <f>IFERROR(VLOOKUP(F1612,PROGRAMAS[],2,FALSE),0)</f>
        <v>3062327798.1525245</v>
      </c>
      <c r="U1612" s="246">
        <f>IFERROR(VLOOKUP(G1612,PROGRAMAS[],2,FALSE),0)</f>
        <v>67697118.033011258</v>
      </c>
      <c r="V1612" s="246">
        <f>IFERROR(VLOOKUP(H1612,PROGRAMAS[],2,FALSE),0)</f>
        <v>1440941976.2528784</v>
      </c>
      <c r="W1612" s="246">
        <f>IFERROR(VLOOKUP(I1612,PROGRAMAS[],2,FALSE),0)</f>
        <v>3776538594.4604583</v>
      </c>
      <c r="X1612" s="246">
        <f>IFERROR(VLOOKUP(J1612,PROGRAMAS[],2,FALSE),0)</f>
        <v>54223862.645839565</v>
      </c>
      <c r="Y1612" s="246">
        <f>IFERROR(VLOOKUP(K1612,PROGRAMAS[],2,FALSE),0)</f>
        <v>122159672.96346797</v>
      </c>
      <c r="Z1612" s="246">
        <f>IFERROR(VLOOKUP(L1612,PROGRAMAS[],2,FALSE),0)</f>
        <v>7068496961.0436354</v>
      </c>
      <c r="AA1612" s="246">
        <f>IFERROR(VLOOKUP(M1612,PROGRAMAS[],2,FALSE),0)</f>
        <v>1892779498.5211046</v>
      </c>
      <c r="AB1612" s="246">
        <f>IFERROR(VLOOKUP(N1612,PROGRAMAS[],2,FALSE),0)</f>
        <v>0</v>
      </c>
      <c r="AC1612" s="246">
        <f>IFERROR(VLOOKUP(O1612,PROGRAMAS[],2,FALSE),0)</f>
        <v>0</v>
      </c>
      <c r="AD1612" s="246">
        <f>IFERROR(VLOOKUP(P1612,PROGRAMAS[],2,FALSE),0)</f>
        <v>0</v>
      </c>
      <c r="AE1612" s="246">
        <f>IFERROR(VLOOKUP(Q1612,PROGRAMAS[],2,FALSE),0)</f>
        <v>0</v>
      </c>
      <c r="AF1612" s="246">
        <f>IFERROR(VLOOKUP(D1612,PROGRAMAS[],3,FALSE),0)</f>
        <v>841888629.31080008</v>
      </c>
      <c r="AG1612" s="246">
        <f>IFERROR(VLOOKUP(E1612,PROGRAMAS[],3,FALSE),0)</f>
        <v>3848980803.1642323</v>
      </c>
      <c r="AH1612" s="246">
        <f>IFERROR(VLOOKUP(F1612,PROGRAMAS[],3,FALSE),0)</f>
        <v>3394901471.387517</v>
      </c>
      <c r="AI1612" s="246">
        <f>IFERROR(VLOOKUP(G1612,PROGRAMAS[],3,FALSE),0)</f>
        <v>125317226.95549992</v>
      </c>
      <c r="AJ1612" s="246">
        <f>IFERROR(VLOOKUP(H1612,PROGRAMAS[],3,FALSE),0)</f>
        <v>1233505101.0616004</v>
      </c>
      <c r="AK1612" s="246">
        <f>IFERROR(VLOOKUP(I1612,PROGRAMAS[],3,FALSE),0)</f>
        <v>2392571243.5584412</v>
      </c>
      <c r="AL1612" s="246">
        <f>IFERROR(VLOOKUP(J1612,PROGRAMAS[],3,FALSE),0)</f>
        <v>31865326.38096505</v>
      </c>
      <c r="AM1612" s="246">
        <f>IFERROR(VLOOKUP(K1612,PROGRAMAS[],3,FALSE),0)</f>
        <v>118617452.52510804</v>
      </c>
      <c r="AN1612" s="246">
        <f>IFERROR(VLOOKUP(L1612,PROGRAMAS[],3,FALSE),0)</f>
        <v>2406564599.0319901</v>
      </c>
      <c r="AO1612" s="246">
        <f>IFERROR(VLOOKUP(M1612,PROGRAMAS[],3,FALSE),0)</f>
        <v>948595847.09039903</v>
      </c>
      <c r="AP1612" s="246">
        <f>IFERROR(VLOOKUP(N1612,PROGRAMAS[],3,FALSE),0)</f>
        <v>0</v>
      </c>
      <c r="AQ1612" s="246">
        <f>IFERROR(VLOOKUP(O1612,PROGRAMAS[],3,FALSE),0)</f>
        <v>0</v>
      </c>
      <c r="AR1612" s="246">
        <f>IFERROR(VLOOKUP(P1612,PROGRAMAS[],3,FALSE),0)</f>
        <v>0</v>
      </c>
      <c r="AS1612" s="246">
        <f>IFERROR(VLOOKUP(Q1612,PROGRAMAS[],3,FALSE),0)</f>
        <v>0</v>
      </c>
      <c r="AT1612" s="246">
        <f>IFERROR(VLOOKUP(D1612,VOL_REC[],2,FALSE),0)</f>
        <v>0</v>
      </c>
      <c r="AU1612" s="246">
        <f>IFERROR(VLOOKUP(E1612,VOL_REC[],2,FALSE),0)</f>
        <v>0</v>
      </c>
      <c r="AV1612" s="246">
        <f>IFERROR(VLOOKUP(F1612,VOL_REC[],2,FALSE),0)</f>
        <v>11089674.200000001</v>
      </c>
      <c r="AW1612" s="246">
        <f>IFERROR(VLOOKUP(G1612,VOL_REC[],2,FALSE),0)</f>
        <v>90439.55</v>
      </c>
      <c r="AX1612" s="246">
        <f>IFERROR(VLOOKUP(H1612,VOL_REC[],2,FALSE),0)</f>
        <v>4325103.1812214684</v>
      </c>
      <c r="AY1612" s="246">
        <f>IFERROR(VLOOKUP(I1612,VOL_REC[],2,FALSE),0)</f>
        <v>663244.80000000016</v>
      </c>
      <c r="AZ1612" s="246">
        <f>IFERROR(VLOOKUP(J1612,VOL_REC[],2,FALSE),0)</f>
        <v>17074.045034105649</v>
      </c>
      <c r="BA1612" s="246">
        <f>IFERROR(VLOOKUP(K1612,VOL_REC[],2,FALSE),0)</f>
        <v>105072</v>
      </c>
      <c r="BB1612" s="246">
        <f>IFERROR(VLOOKUP(L1612,VOL_REC[],2,FALSE),0)</f>
        <v>1072354.9981737854</v>
      </c>
      <c r="BC1612" s="246">
        <f>IFERROR(VLOOKUP(M1612,VOL_REC[],2,FALSE),0)</f>
        <v>740113.98115702497</v>
      </c>
      <c r="BD1612" s="246">
        <f>IFERROR(VLOOKUP(N1612,VOL_REC[],2,FALSE),0)</f>
        <v>0</v>
      </c>
      <c r="BE1612" s="246">
        <f>IFERROR(VLOOKUP(O1612,VOL_REC[],2,FALSE),0)</f>
        <v>0</v>
      </c>
      <c r="BF1612" s="246">
        <f>IFERROR(VLOOKUP(P1612,VOL_REC[],2,FALSE),0)</f>
        <v>0</v>
      </c>
      <c r="BG1612" s="246">
        <f>IFERROR(VLOOKUP(Q1612,VOL_REC[],2,FALSE),0)</f>
        <v>0</v>
      </c>
      <c r="BH1612" s="1710">
        <f t="shared" si="100"/>
        <v>18222704795.434437</v>
      </c>
      <c r="BI1612" s="1710">
        <f t="shared" si="101"/>
        <v>15342807700.466553</v>
      </c>
      <c r="BJ1612" s="1711">
        <f t="shared" si="102"/>
        <v>18103076.755586386</v>
      </c>
      <c r="BK1612" s="1711">
        <f t="shared" si="103"/>
        <v>1.1877033950494154</v>
      </c>
      <c r="BL1612">
        <f>BJ1612</f>
        <v>18103076.755586386</v>
      </c>
      <c r="BO1612">
        <f>BL1612</f>
        <v>18103076.755586386</v>
      </c>
    </row>
    <row r="1613" spans="3:67" x14ac:dyDescent="0.25">
      <c r="C1613" s="246" t="s">
        <v>2963</v>
      </c>
      <c r="D1613" s="246">
        <v>1</v>
      </c>
      <c r="E1613" s="246">
        <v>2</v>
      </c>
      <c r="F1613" s="246">
        <v>3</v>
      </c>
      <c r="G1613" s="246">
        <v>4</v>
      </c>
      <c r="H1613" s="246">
        <v>6</v>
      </c>
      <c r="I1613" s="246">
        <v>9</v>
      </c>
      <c r="J1613" s="246">
        <v>10</v>
      </c>
      <c r="K1613" s="246">
        <v>12</v>
      </c>
      <c r="L1613" s="246">
        <v>13</v>
      </c>
      <c r="M1613" s="246">
        <v>14</v>
      </c>
      <c r="N1613" s="246"/>
      <c r="O1613" s="246"/>
      <c r="P1613" s="246"/>
      <c r="Q1613" s="246"/>
      <c r="R1613" s="246">
        <f>IFERROR(VLOOKUP(D1613,PROGRAMAS[],2,FALSE),0)</f>
        <v>97037803.679377079</v>
      </c>
      <c r="S1613" s="246">
        <f>IFERROR(VLOOKUP(E1613,PROGRAMAS[],2,FALSE),0)</f>
        <v>640501509.6821388</v>
      </c>
      <c r="T1613" s="246">
        <f>IFERROR(VLOOKUP(F1613,PROGRAMAS[],2,FALSE),0)</f>
        <v>3062327798.1525245</v>
      </c>
      <c r="U1613" s="246">
        <f>IFERROR(VLOOKUP(G1613,PROGRAMAS[],2,FALSE),0)</f>
        <v>67697118.033011258</v>
      </c>
      <c r="V1613" s="246">
        <f>IFERROR(VLOOKUP(H1613,PROGRAMAS[],2,FALSE),0)</f>
        <v>6907648435.8447599</v>
      </c>
      <c r="W1613" s="246">
        <f>IFERROR(VLOOKUP(I1613,PROGRAMAS[],2,FALSE),0)</f>
        <v>6128579952.1618185</v>
      </c>
      <c r="X1613" s="246">
        <f>IFERROR(VLOOKUP(J1613,PROGRAMAS[],2,FALSE),0)</f>
        <v>4635315027.8751087</v>
      </c>
      <c r="Y1613" s="246">
        <f>IFERROR(VLOOKUP(K1613,PROGRAMAS[],2,FALSE),0)</f>
        <v>764796700.79905891</v>
      </c>
      <c r="Z1613" s="246">
        <f>IFERROR(VLOOKUP(L1613,PROGRAMAS[],2,FALSE),0)</f>
        <v>3776538594.4604583</v>
      </c>
      <c r="AA1613" s="246">
        <f>IFERROR(VLOOKUP(M1613,PROGRAMAS[],2,FALSE),0)</f>
        <v>54223862.645839565</v>
      </c>
      <c r="AB1613" s="246">
        <f>IFERROR(VLOOKUP(N1613,PROGRAMAS[],2,FALSE),0)</f>
        <v>0</v>
      </c>
      <c r="AC1613" s="246">
        <f>IFERROR(VLOOKUP(O1613,PROGRAMAS[],2,FALSE),0)</f>
        <v>0</v>
      </c>
      <c r="AD1613" s="246">
        <f>IFERROR(VLOOKUP(P1613,PROGRAMAS[],2,FALSE),0)</f>
        <v>0</v>
      </c>
      <c r="AE1613" s="246">
        <f>IFERROR(VLOOKUP(Q1613,PROGRAMAS[],2,FALSE),0)</f>
        <v>0</v>
      </c>
      <c r="AF1613" s="246">
        <f>IFERROR(VLOOKUP(D1613,PROGRAMAS[],3,FALSE),0)</f>
        <v>841888629.31080008</v>
      </c>
      <c r="AG1613" s="246">
        <f>IFERROR(VLOOKUP(E1613,PROGRAMAS[],3,FALSE),0)</f>
        <v>3848980803.1642323</v>
      </c>
      <c r="AH1613" s="246">
        <f>IFERROR(VLOOKUP(F1613,PROGRAMAS[],3,FALSE),0)</f>
        <v>3394901471.387517</v>
      </c>
      <c r="AI1613" s="246">
        <f>IFERROR(VLOOKUP(G1613,PROGRAMAS[],3,FALSE),0)</f>
        <v>125317226.95549992</v>
      </c>
      <c r="AJ1613" s="246">
        <f>IFERROR(VLOOKUP(H1613,PROGRAMAS[],3,FALSE),0)</f>
        <v>6129902208.7912121</v>
      </c>
      <c r="AK1613" s="246">
        <f>IFERROR(VLOOKUP(I1613,PROGRAMAS[],3,FALSE),0)</f>
        <v>7011279577.519702</v>
      </c>
      <c r="AL1613" s="246">
        <f>IFERROR(VLOOKUP(J1613,PROGRAMAS[],3,FALSE),0)</f>
        <v>4099471734.9978786</v>
      </c>
      <c r="AM1613" s="246">
        <f>IFERROR(VLOOKUP(K1613,PROGRAMAS[],3,FALSE),0)</f>
        <v>675517840.109828</v>
      </c>
      <c r="AN1613" s="246">
        <f>IFERROR(VLOOKUP(L1613,PROGRAMAS[],3,FALSE),0)</f>
        <v>2392571243.5584412</v>
      </c>
      <c r="AO1613" s="246">
        <f>IFERROR(VLOOKUP(M1613,PROGRAMAS[],3,FALSE),0)</f>
        <v>31865326.38096505</v>
      </c>
      <c r="AP1613" s="246">
        <f>IFERROR(VLOOKUP(N1613,PROGRAMAS[],3,FALSE),0)</f>
        <v>0</v>
      </c>
      <c r="AQ1613" s="246">
        <f>IFERROR(VLOOKUP(O1613,PROGRAMAS[],3,FALSE),0)</f>
        <v>0</v>
      </c>
      <c r="AR1613" s="246">
        <f>IFERROR(VLOOKUP(P1613,PROGRAMAS[],3,FALSE),0)</f>
        <v>0</v>
      </c>
      <c r="AS1613" s="246">
        <f>IFERROR(VLOOKUP(Q1613,PROGRAMAS[],3,FALSE),0)</f>
        <v>0</v>
      </c>
      <c r="AT1613" s="246">
        <f>IFERROR(VLOOKUP(D1613,VOL_REC[],2,FALSE),0)</f>
        <v>0</v>
      </c>
      <c r="AU1613" s="246">
        <f>IFERROR(VLOOKUP(E1613,VOL_REC[],2,FALSE),0)</f>
        <v>0</v>
      </c>
      <c r="AV1613" s="246">
        <f>IFERROR(VLOOKUP(F1613,VOL_REC[],2,FALSE),0)</f>
        <v>11089674.200000001</v>
      </c>
      <c r="AW1613" s="246">
        <f>IFERROR(VLOOKUP(G1613,VOL_REC[],2,FALSE),0)</f>
        <v>90439.55</v>
      </c>
      <c r="AX1613" s="246">
        <f>IFERROR(VLOOKUP(H1613,VOL_REC[],2,FALSE),0)</f>
        <v>15540036.397699751</v>
      </c>
      <c r="AY1613" s="246">
        <f>IFERROR(VLOOKUP(I1613,VOL_REC[],2,FALSE),0)</f>
        <v>3761786</v>
      </c>
      <c r="AZ1613" s="246">
        <f>IFERROR(VLOOKUP(J1613,VOL_REC[],2,FALSE),0)</f>
        <v>1812240</v>
      </c>
      <c r="BA1613" s="246">
        <f>IFERROR(VLOOKUP(K1613,VOL_REC[],2,FALSE),0)</f>
        <v>240696.79238099116</v>
      </c>
      <c r="BB1613" s="246">
        <f>IFERROR(VLOOKUP(L1613,VOL_REC[],2,FALSE),0)</f>
        <v>663244.80000000016</v>
      </c>
      <c r="BC1613" s="246">
        <f>IFERROR(VLOOKUP(M1613,VOL_REC[],2,FALSE),0)</f>
        <v>17074.045034105649</v>
      </c>
      <c r="BD1613" s="246">
        <f>IFERROR(VLOOKUP(N1613,VOL_REC[],2,FALSE),0)</f>
        <v>0</v>
      </c>
      <c r="BE1613" s="246">
        <f>IFERROR(VLOOKUP(O1613,VOL_REC[],2,FALSE),0)</f>
        <v>0</v>
      </c>
      <c r="BF1613" s="246">
        <f>IFERROR(VLOOKUP(P1613,VOL_REC[],2,FALSE),0)</f>
        <v>0</v>
      </c>
      <c r="BG1613" s="246">
        <f>IFERROR(VLOOKUP(Q1613,VOL_REC[],2,FALSE),0)</f>
        <v>0</v>
      </c>
      <c r="BH1613" s="1710">
        <f t="shared" si="100"/>
        <v>26134666803.334095</v>
      </c>
      <c r="BI1613" s="1710">
        <f t="shared" si="101"/>
        <v>28551696062.176079</v>
      </c>
      <c r="BJ1613" s="1711">
        <f t="shared" si="102"/>
        <v>33215191.785114851</v>
      </c>
      <c r="BK1613" s="1711">
        <f t="shared" si="103"/>
        <v>0.91534551034801925</v>
      </c>
    </row>
    <row r="1614" spans="3:67" x14ac:dyDescent="0.25">
      <c r="C1614" s="246" t="s">
        <v>2964</v>
      </c>
      <c r="D1614" s="246">
        <v>1</v>
      </c>
      <c r="E1614" s="246">
        <v>2</v>
      </c>
      <c r="F1614" s="246">
        <v>3</v>
      </c>
      <c r="G1614" s="246">
        <v>4</v>
      </c>
      <c r="H1614" s="246">
        <v>6</v>
      </c>
      <c r="I1614" s="246">
        <v>9</v>
      </c>
      <c r="J1614" s="246">
        <v>10</v>
      </c>
      <c r="K1614" s="246">
        <v>12</v>
      </c>
      <c r="L1614" s="246">
        <v>13</v>
      </c>
      <c r="M1614" s="246">
        <v>15</v>
      </c>
      <c r="N1614" s="246"/>
      <c r="O1614" s="246"/>
      <c r="P1614" s="246"/>
      <c r="Q1614" s="246"/>
      <c r="R1614" s="246">
        <f>IFERROR(VLOOKUP(D1614,PROGRAMAS[],2,FALSE),0)</f>
        <v>97037803.679377079</v>
      </c>
      <c r="S1614" s="246">
        <f>IFERROR(VLOOKUP(E1614,PROGRAMAS[],2,FALSE),0)</f>
        <v>640501509.6821388</v>
      </c>
      <c r="T1614" s="246">
        <f>IFERROR(VLOOKUP(F1614,PROGRAMAS[],2,FALSE),0)</f>
        <v>3062327798.1525245</v>
      </c>
      <c r="U1614" s="246">
        <f>IFERROR(VLOOKUP(G1614,PROGRAMAS[],2,FALSE),0)</f>
        <v>67697118.033011258</v>
      </c>
      <c r="V1614" s="246">
        <f>IFERROR(VLOOKUP(H1614,PROGRAMAS[],2,FALSE),0)</f>
        <v>6907648435.8447599</v>
      </c>
      <c r="W1614" s="246">
        <f>IFERROR(VLOOKUP(I1614,PROGRAMAS[],2,FALSE),0)</f>
        <v>6128579952.1618185</v>
      </c>
      <c r="X1614" s="246">
        <f>IFERROR(VLOOKUP(J1614,PROGRAMAS[],2,FALSE),0)</f>
        <v>4635315027.8751087</v>
      </c>
      <c r="Y1614" s="246">
        <f>IFERROR(VLOOKUP(K1614,PROGRAMAS[],2,FALSE),0)</f>
        <v>764796700.79905891</v>
      </c>
      <c r="Z1614" s="246">
        <f>IFERROR(VLOOKUP(L1614,PROGRAMAS[],2,FALSE),0)</f>
        <v>3776538594.4604583</v>
      </c>
      <c r="AA1614" s="246">
        <f>IFERROR(VLOOKUP(M1614,PROGRAMAS[],2,FALSE),0)</f>
        <v>122159672.96346797</v>
      </c>
      <c r="AB1614" s="246">
        <f>IFERROR(VLOOKUP(N1614,PROGRAMAS[],2,FALSE),0)</f>
        <v>0</v>
      </c>
      <c r="AC1614" s="246">
        <f>IFERROR(VLOOKUP(O1614,PROGRAMAS[],2,FALSE),0)</f>
        <v>0</v>
      </c>
      <c r="AD1614" s="246">
        <f>IFERROR(VLOOKUP(P1614,PROGRAMAS[],2,FALSE),0)</f>
        <v>0</v>
      </c>
      <c r="AE1614" s="246">
        <f>IFERROR(VLOOKUP(Q1614,PROGRAMAS[],2,FALSE),0)</f>
        <v>0</v>
      </c>
      <c r="AF1614" s="246">
        <f>IFERROR(VLOOKUP(D1614,PROGRAMAS[],3,FALSE),0)</f>
        <v>841888629.31080008</v>
      </c>
      <c r="AG1614" s="246">
        <f>IFERROR(VLOOKUP(E1614,PROGRAMAS[],3,FALSE),0)</f>
        <v>3848980803.1642323</v>
      </c>
      <c r="AH1614" s="246">
        <f>IFERROR(VLOOKUP(F1614,PROGRAMAS[],3,FALSE),0)</f>
        <v>3394901471.387517</v>
      </c>
      <c r="AI1614" s="246">
        <f>IFERROR(VLOOKUP(G1614,PROGRAMAS[],3,FALSE),0)</f>
        <v>125317226.95549992</v>
      </c>
      <c r="AJ1614" s="246">
        <f>IFERROR(VLOOKUP(H1614,PROGRAMAS[],3,FALSE),0)</f>
        <v>6129902208.7912121</v>
      </c>
      <c r="AK1614" s="246">
        <f>IFERROR(VLOOKUP(I1614,PROGRAMAS[],3,FALSE),0)</f>
        <v>7011279577.519702</v>
      </c>
      <c r="AL1614" s="246">
        <f>IFERROR(VLOOKUP(J1614,PROGRAMAS[],3,FALSE),0)</f>
        <v>4099471734.9978786</v>
      </c>
      <c r="AM1614" s="246">
        <f>IFERROR(VLOOKUP(K1614,PROGRAMAS[],3,FALSE),0)</f>
        <v>675517840.109828</v>
      </c>
      <c r="AN1614" s="246">
        <f>IFERROR(VLOOKUP(L1614,PROGRAMAS[],3,FALSE),0)</f>
        <v>2392571243.5584412</v>
      </c>
      <c r="AO1614" s="246">
        <f>IFERROR(VLOOKUP(M1614,PROGRAMAS[],3,FALSE),0)</f>
        <v>118617452.52510804</v>
      </c>
      <c r="AP1614" s="246">
        <f>IFERROR(VLOOKUP(N1614,PROGRAMAS[],3,FALSE),0)</f>
        <v>0</v>
      </c>
      <c r="AQ1614" s="246">
        <f>IFERROR(VLOOKUP(O1614,PROGRAMAS[],3,FALSE),0)</f>
        <v>0</v>
      </c>
      <c r="AR1614" s="246">
        <f>IFERROR(VLOOKUP(P1614,PROGRAMAS[],3,FALSE),0)</f>
        <v>0</v>
      </c>
      <c r="AS1614" s="246">
        <f>IFERROR(VLOOKUP(Q1614,PROGRAMAS[],3,FALSE),0)</f>
        <v>0</v>
      </c>
      <c r="AT1614" s="246">
        <f>IFERROR(VLOOKUP(D1614,VOL_REC[],2,FALSE),0)</f>
        <v>0</v>
      </c>
      <c r="AU1614" s="246">
        <f>IFERROR(VLOOKUP(E1614,VOL_REC[],2,FALSE),0)</f>
        <v>0</v>
      </c>
      <c r="AV1614" s="246">
        <f>IFERROR(VLOOKUP(F1614,VOL_REC[],2,FALSE),0)</f>
        <v>11089674.200000001</v>
      </c>
      <c r="AW1614" s="246">
        <f>IFERROR(VLOOKUP(G1614,VOL_REC[],2,FALSE),0)</f>
        <v>90439.55</v>
      </c>
      <c r="AX1614" s="246">
        <f>IFERROR(VLOOKUP(H1614,VOL_REC[],2,FALSE),0)</f>
        <v>15540036.397699751</v>
      </c>
      <c r="AY1614" s="246">
        <f>IFERROR(VLOOKUP(I1614,VOL_REC[],2,FALSE),0)</f>
        <v>3761786</v>
      </c>
      <c r="AZ1614" s="246">
        <f>IFERROR(VLOOKUP(J1614,VOL_REC[],2,FALSE),0)</f>
        <v>1812240</v>
      </c>
      <c r="BA1614" s="246">
        <f>IFERROR(VLOOKUP(K1614,VOL_REC[],2,FALSE),0)</f>
        <v>240696.79238099116</v>
      </c>
      <c r="BB1614" s="246">
        <f>IFERROR(VLOOKUP(L1614,VOL_REC[],2,FALSE),0)</f>
        <v>663244.80000000016</v>
      </c>
      <c r="BC1614" s="246">
        <f>IFERROR(VLOOKUP(M1614,VOL_REC[],2,FALSE),0)</f>
        <v>105072</v>
      </c>
      <c r="BD1614" s="246">
        <f>IFERROR(VLOOKUP(N1614,VOL_REC[],2,FALSE),0)</f>
        <v>0</v>
      </c>
      <c r="BE1614" s="246">
        <f>IFERROR(VLOOKUP(O1614,VOL_REC[],2,FALSE),0)</f>
        <v>0</v>
      </c>
      <c r="BF1614" s="246">
        <f>IFERROR(VLOOKUP(P1614,VOL_REC[],2,FALSE),0)</f>
        <v>0</v>
      </c>
      <c r="BG1614" s="246">
        <f>IFERROR(VLOOKUP(Q1614,VOL_REC[],2,FALSE),0)</f>
        <v>0</v>
      </c>
      <c r="BH1614" s="1710">
        <f t="shared" si="100"/>
        <v>26202602613.651722</v>
      </c>
      <c r="BI1614" s="1710">
        <f t="shared" si="101"/>
        <v>28638448188.320221</v>
      </c>
      <c r="BJ1614" s="1711">
        <f t="shared" si="102"/>
        <v>33303189.740080744</v>
      </c>
      <c r="BK1614" s="1711">
        <f t="shared" si="103"/>
        <v>0.91494491745324658</v>
      </c>
    </row>
    <row r="1615" spans="3:67" x14ac:dyDescent="0.25">
      <c r="C1615" s="246" t="s">
        <v>2965</v>
      </c>
      <c r="D1615" s="246">
        <v>1</v>
      </c>
      <c r="E1615" s="246">
        <v>2</v>
      </c>
      <c r="F1615" s="246">
        <v>3</v>
      </c>
      <c r="G1615" s="246">
        <v>4</v>
      </c>
      <c r="H1615" s="246">
        <v>6</v>
      </c>
      <c r="I1615" s="246">
        <v>9</v>
      </c>
      <c r="J1615" s="246">
        <v>10</v>
      </c>
      <c r="K1615" s="246">
        <v>12</v>
      </c>
      <c r="L1615" s="246">
        <v>13</v>
      </c>
      <c r="M1615" s="246">
        <v>16</v>
      </c>
      <c r="N1615" s="246"/>
      <c r="O1615" s="246"/>
      <c r="P1615" s="246"/>
      <c r="Q1615" s="246"/>
      <c r="R1615" s="246">
        <f>IFERROR(VLOOKUP(D1615,PROGRAMAS[],2,FALSE),0)</f>
        <v>97037803.679377079</v>
      </c>
      <c r="S1615" s="246">
        <f>IFERROR(VLOOKUP(E1615,PROGRAMAS[],2,FALSE),0)</f>
        <v>640501509.6821388</v>
      </c>
      <c r="T1615" s="246">
        <f>IFERROR(VLOOKUP(F1615,PROGRAMAS[],2,FALSE),0)</f>
        <v>3062327798.1525245</v>
      </c>
      <c r="U1615" s="246">
        <f>IFERROR(VLOOKUP(G1615,PROGRAMAS[],2,FALSE),0)</f>
        <v>67697118.033011258</v>
      </c>
      <c r="V1615" s="246">
        <f>IFERROR(VLOOKUP(H1615,PROGRAMAS[],2,FALSE),0)</f>
        <v>6907648435.8447599</v>
      </c>
      <c r="W1615" s="246">
        <f>IFERROR(VLOOKUP(I1615,PROGRAMAS[],2,FALSE),0)</f>
        <v>6128579952.1618185</v>
      </c>
      <c r="X1615" s="246">
        <f>IFERROR(VLOOKUP(J1615,PROGRAMAS[],2,FALSE),0)</f>
        <v>4635315027.8751087</v>
      </c>
      <c r="Y1615" s="246">
        <f>IFERROR(VLOOKUP(K1615,PROGRAMAS[],2,FALSE),0)</f>
        <v>764796700.79905891</v>
      </c>
      <c r="Z1615" s="246">
        <f>IFERROR(VLOOKUP(L1615,PROGRAMAS[],2,FALSE),0)</f>
        <v>3776538594.4604583</v>
      </c>
      <c r="AA1615" s="246">
        <f>IFERROR(VLOOKUP(M1615,PROGRAMAS[],2,FALSE),0)</f>
        <v>7068496961.0436354</v>
      </c>
      <c r="AB1615" s="246">
        <f>IFERROR(VLOOKUP(N1615,PROGRAMAS[],2,FALSE),0)</f>
        <v>0</v>
      </c>
      <c r="AC1615" s="246">
        <f>IFERROR(VLOOKUP(O1615,PROGRAMAS[],2,FALSE),0)</f>
        <v>0</v>
      </c>
      <c r="AD1615" s="246">
        <f>IFERROR(VLOOKUP(P1615,PROGRAMAS[],2,FALSE),0)</f>
        <v>0</v>
      </c>
      <c r="AE1615" s="246">
        <f>IFERROR(VLOOKUP(Q1615,PROGRAMAS[],2,FALSE),0)</f>
        <v>0</v>
      </c>
      <c r="AF1615" s="246">
        <f>IFERROR(VLOOKUP(D1615,PROGRAMAS[],3,FALSE),0)</f>
        <v>841888629.31080008</v>
      </c>
      <c r="AG1615" s="246">
        <f>IFERROR(VLOOKUP(E1615,PROGRAMAS[],3,FALSE),0)</f>
        <v>3848980803.1642323</v>
      </c>
      <c r="AH1615" s="246">
        <f>IFERROR(VLOOKUP(F1615,PROGRAMAS[],3,FALSE),0)</f>
        <v>3394901471.387517</v>
      </c>
      <c r="AI1615" s="246">
        <f>IFERROR(VLOOKUP(G1615,PROGRAMAS[],3,FALSE),0)</f>
        <v>125317226.95549992</v>
      </c>
      <c r="AJ1615" s="246">
        <f>IFERROR(VLOOKUP(H1615,PROGRAMAS[],3,FALSE),0)</f>
        <v>6129902208.7912121</v>
      </c>
      <c r="AK1615" s="246">
        <f>IFERROR(VLOOKUP(I1615,PROGRAMAS[],3,FALSE),0)</f>
        <v>7011279577.519702</v>
      </c>
      <c r="AL1615" s="246">
        <f>IFERROR(VLOOKUP(J1615,PROGRAMAS[],3,FALSE),0)</f>
        <v>4099471734.9978786</v>
      </c>
      <c r="AM1615" s="246">
        <f>IFERROR(VLOOKUP(K1615,PROGRAMAS[],3,FALSE),0)</f>
        <v>675517840.109828</v>
      </c>
      <c r="AN1615" s="246">
        <f>IFERROR(VLOOKUP(L1615,PROGRAMAS[],3,FALSE),0)</f>
        <v>2392571243.5584412</v>
      </c>
      <c r="AO1615" s="246">
        <f>IFERROR(VLOOKUP(M1615,PROGRAMAS[],3,FALSE),0)</f>
        <v>2406564599.0319901</v>
      </c>
      <c r="AP1615" s="246">
        <f>IFERROR(VLOOKUP(N1615,PROGRAMAS[],3,FALSE),0)</f>
        <v>0</v>
      </c>
      <c r="AQ1615" s="246">
        <f>IFERROR(VLOOKUP(O1615,PROGRAMAS[],3,FALSE),0)</f>
        <v>0</v>
      </c>
      <c r="AR1615" s="246">
        <f>IFERROR(VLOOKUP(P1615,PROGRAMAS[],3,FALSE),0)</f>
        <v>0</v>
      </c>
      <c r="AS1615" s="246">
        <f>IFERROR(VLOOKUP(Q1615,PROGRAMAS[],3,FALSE),0)</f>
        <v>0</v>
      </c>
      <c r="AT1615" s="246">
        <f>IFERROR(VLOOKUP(D1615,VOL_REC[],2,FALSE),0)</f>
        <v>0</v>
      </c>
      <c r="AU1615" s="246">
        <f>IFERROR(VLOOKUP(E1615,VOL_REC[],2,FALSE),0)</f>
        <v>0</v>
      </c>
      <c r="AV1615" s="246">
        <f>IFERROR(VLOOKUP(F1615,VOL_REC[],2,FALSE),0)</f>
        <v>11089674.200000001</v>
      </c>
      <c r="AW1615" s="246">
        <f>IFERROR(VLOOKUP(G1615,VOL_REC[],2,FALSE),0)</f>
        <v>90439.55</v>
      </c>
      <c r="AX1615" s="246">
        <f>IFERROR(VLOOKUP(H1615,VOL_REC[],2,FALSE),0)</f>
        <v>15540036.397699751</v>
      </c>
      <c r="AY1615" s="246">
        <f>IFERROR(VLOOKUP(I1615,VOL_REC[],2,FALSE),0)</f>
        <v>3761786</v>
      </c>
      <c r="AZ1615" s="246">
        <f>IFERROR(VLOOKUP(J1615,VOL_REC[],2,FALSE),0)</f>
        <v>1812240</v>
      </c>
      <c r="BA1615" s="246">
        <f>IFERROR(VLOOKUP(K1615,VOL_REC[],2,FALSE),0)</f>
        <v>240696.79238099116</v>
      </c>
      <c r="BB1615" s="246">
        <f>IFERROR(VLOOKUP(L1615,VOL_REC[],2,FALSE),0)</f>
        <v>663244.80000000016</v>
      </c>
      <c r="BC1615" s="246">
        <f>IFERROR(VLOOKUP(M1615,VOL_REC[],2,FALSE),0)</f>
        <v>1072354.9981737854</v>
      </c>
      <c r="BD1615" s="246">
        <f>IFERROR(VLOOKUP(N1615,VOL_REC[],2,FALSE),0)</f>
        <v>0</v>
      </c>
      <c r="BE1615" s="246">
        <f>IFERROR(VLOOKUP(O1615,VOL_REC[],2,FALSE),0)</f>
        <v>0</v>
      </c>
      <c r="BF1615" s="246">
        <f>IFERROR(VLOOKUP(P1615,VOL_REC[],2,FALSE),0)</f>
        <v>0</v>
      </c>
      <c r="BG1615" s="246">
        <f>IFERROR(VLOOKUP(Q1615,VOL_REC[],2,FALSE),0)</f>
        <v>0</v>
      </c>
      <c r="BH1615" s="1710">
        <f t="shared" si="100"/>
        <v>33148939901.731892</v>
      </c>
      <c r="BI1615" s="1710">
        <f t="shared" si="101"/>
        <v>30926395334.827103</v>
      </c>
      <c r="BJ1615" s="1711">
        <f t="shared" si="102"/>
        <v>34270472.738254532</v>
      </c>
      <c r="BK1615" s="1711">
        <f t="shared" si="103"/>
        <v>1.0718656197349297</v>
      </c>
      <c r="BL1615">
        <f>BJ1615</f>
        <v>34270472.738254532</v>
      </c>
      <c r="BO1615">
        <f>BL1615</f>
        <v>34270472.738254532</v>
      </c>
    </row>
    <row r="1616" spans="3:67" x14ac:dyDescent="0.25">
      <c r="C1616" s="246" t="s">
        <v>2966</v>
      </c>
      <c r="D1616" s="246">
        <v>1</v>
      </c>
      <c r="E1616" s="246">
        <v>2</v>
      </c>
      <c r="F1616" s="246">
        <v>3</v>
      </c>
      <c r="G1616" s="246">
        <v>4</v>
      </c>
      <c r="H1616" s="246">
        <v>6</v>
      </c>
      <c r="I1616" s="246">
        <v>9</v>
      </c>
      <c r="J1616" s="246">
        <v>10</v>
      </c>
      <c r="K1616" s="246">
        <v>12</v>
      </c>
      <c r="L1616" s="246">
        <v>13</v>
      </c>
      <c r="M1616" s="246">
        <v>17</v>
      </c>
      <c r="N1616" s="246"/>
      <c r="O1616" s="246"/>
      <c r="P1616" s="246"/>
      <c r="Q1616" s="246"/>
      <c r="R1616" s="246">
        <f>IFERROR(VLOOKUP(D1616,PROGRAMAS[],2,FALSE),0)</f>
        <v>97037803.679377079</v>
      </c>
      <c r="S1616" s="246">
        <f>IFERROR(VLOOKUP(E1616,PROGRAMAS[],2,FALSE),0)</f>
        <v>640501509.6821388</v>
      </c>
      <c r="T1616" s="246">
        <f>IFERROR(VLOOKUP(F1616,PROGRAMAS[],2,FALSE),0)</f>
        <v>3062327798.1525245</v>
      </c>
      <c r="U1616" s="246">
        <f>IFERROR(VLOOKUP(G1616,PROGRAMAS[],2,FALSE),0)</f>
        <v>67697118.033011258</v>
      </c>
      <c r="V1616" s="246">
        <f>IFERROR(VLOOKUP(H1616,PROGRAMAS[],2,FALSE),0)</f>
        <v>6907648435.8447599</v>
      </c>
      <c r="W1616" s="246">
        <f>IFERROR(VLOOKUP(I1616,PROGRAMAS[],2,FALSE),0)</f>
        <v>6128579952.1618185</v>
      </c>
      <c r="X1616" s="246">
        <f>IFERROR(VLOOKUP(J1616,PROGRAMAS[],2,FALSE),0)</f>
        <v>4635315027.8751087</v>
      </c>
      <c r="Y1616" s="246">
        <f>IFERROR(VLOOKUP(K1616,PROGRAMAS[],2,FALSE),0)</f>
        <v>764796700.79905891</v>
      </c>
      <c r="Z1616" s="246">
        <f>IFERROR(VLOOKUP(L1616,PROGRAMAS[],2,FALSE),0)</f>
        <v>3776538594.4604583</v>
      </c>
      <c r="AA1616" s="246">
        <f>IFERROR(VLOOKUP(M1616,PROGRAMAS[],2,FALSE),0)</f>
        <v>1892779498.5211046</v>
      </c>
      <c r="AB1616" s="246">
        <f>IFERROR(VLOOKUP(N1616,PROGRAMAS[],2,FALSE),0)</f>
        <v>0</v>
      </c>
      <c r="AC1616" s="246">
        <f>IFERROR(VLOOKUP(O1616,PROGRAMAS[],2,FALSE),0)</f>
        <v>0</v>
      </c>
      <c r="AD1616" s="246">
        <f>IFERROR(VLOOKUP(P1616,PROGRAMAS[],2,FALSE),0)</f>
        <v>0</v>
      </c>
      <c r="AE1616" s="246">
        <f>IFERROR(VLOOKUP(Q1616,PROGRAMAS[],2,FALSE),0)</f>
        <v>0</v>
      </c>
      <c r="AF1616" s="246">
        <f>IFERROR(VLOOKUP(D1616,PROGRAMAS[],3,FALSE),0)</f>
        <v>841888629.31080008</v>
      </c>
      <c r="AG1616" s="246">
        <f>IFERROR(VLOOKUP(E1616,PROGRAMAS[],3,FALSE),0)</f>
        <v>3848980803.1642323</v>
      </c>
      <c r="AH1616" s="246">
        <f>IFERROR(VLOOKUP(F1616,PROGRAMAS[],3,FALSE),0)</f>
        <v>3394901471.387517</v>
      </c>
      <c r="AI1616" s="246">
        <f>IFERROR(VLOOKUP(G1616,PROGRAMAS[],3,FALSE),0)</f>
        <v>125317226.95549992</v>
      </c>
      <c r="AJ1616" s="246">
        <f>IFERROR(VLOOKUP(H1616,PROGRAMAS[],3,FALSE),0)</f>
        <v>6129902208.7912121</v>
      </c>
      <c r="AK1616" s="246">
        <f>IFERROR(VLOOKUP(I1616,PROGRAMAS[],3,FALSE),0)</f>
        <v>7011279577.519702</v>
      </c>
      <c r="AL1616" s="246">
        <f>IFERROR(VLOOKUP(J1616,PROGRAMAS[],3,FALSE),0)</f>
        <v>4099471734.9978786</v>
      </c>
      <c r="AM1616" s="246">
        <f>IFERROR(VLOOKUP(K1616,PROGRAMAS[],3,FALSE),0)</f>
        <v>675517840.109828</v>
      </c>
      <c r="AN1616" s="246">
        <f>IFERROR(VLOOKUP(L1616,PROGRAMAS[],3,FALSE),0)</f>
        <v>2392571243.5584412</v>
      </c>
      <c r="AO1616" s="246">
        <f>IFERROR(VLOOKUP(M1616,PROGRAMAS[],3,FALSE),0)</f>
        <v>948595847.09039903</v>
      </c>
      <c r="AP1616" s="246">
        <f>IFERROR(VLOOKUP(N1616,PROGRAMAS[],3,FALSE),0)</f>
        <v>0</v>
      </c>
      <c r="AQ1616" s="246">
        <f>IFERROR(VLOOKUP(O1616,PROGRAMAS[],3,FALSE),0)</f>
        <v>0</v>
      </c>
      <c r="AR1616" s="246">
        <f>IFERROR(VLOOKUP(P1616,PROGRAMAS[],3,FALSE),0)</f>
        <v>0</v>
      </c>
      <c r="AS1616" s="246">
        <f>IFERROR(VLOOKUP(Q1616,PROGRAMAS[],3,FALSE),0)</f>
        <v>0</v>
      </c>
      <c r="AT1616" s="246">
        <f>IFERROR(VLOOKUP(D1616,VOL_REC[],2,FALSE),0)</f>
        <v>0</v>
      </c>
      <c r="AU1616" s="246">
        <f>IFERROR(VLOOKUP(E1616,VOL_REC[],2,FALSE),0)</f>
        <v>0</v>
      </c>
      <c r="AV1616" s="246">
        <f>IFERROR(VLOOKUP(F1616,VOL_REC[],2,FALSE),0)</f>
        <v>11089674.200000001</v>
      </c>
      <c r="AW1616" s="246">
        <f>IFERROR(VLOOKUP(G1616,VOL_REC[],2,FALSE),0)</f>
        <v>90439.55</v>
      </c>
      <c r="AX1616" s="246">
        <f>IFERROR(VLOOKUP(H1616,VOL_REC[],2,FALSE),0)</f>
        <v>15540036.397699751</v>
      </c>
      <c r="AY1616" s="246">
        <f>IFERROR(VLOOKUP(I1616,VOL_REC[],2,FALSE),0)</f>
        <v>3761786</v>
      </c>
      <c r="AZ1616" s="246">
        <f>IFERROR(VLOOKUP(J1616,VOL_REC[],2,FALSE),0)</f>
        <v>1812240</v>
      </c>
      <c r="BA1616" s="246">
        <f>IFERROR(VLOOKUP(K1616,VOL_REC[],2,FALSE),0)</f>
        <v>240696.79238099116</v>
      </c>
      <c r="BB1616" s="246">
        <f>IFERROR(VLOOKUP(L1616,VOL_REC[],2,FALSE),0)</f>
        <v>663244.80000000016</v>
      </c>
      <c r="BC1616" s="246">
        <f>IFERROR(VLOOKUP(M1616,VOL_REC[],2,FALSE),0)</f>
        <v>740113.98115702497</v>
      </c>
      <c r="BD1616" s="246">
        <f>IFERROR(VLOOKUP(N1616,VOL_REC[],2,FALSE),0)</f>
        <v>0</v>
      </c>
      <c r="BE1616" s="246">
        <f>IFERROR(VLOOKUP(O1616,VOL_REC[],2,FALSE),0)</f>
        <v>0</v>
      </c>
      <c r="BF1616" s="246">
        <f>IFERROR(VLOOKUP(P1616,VOL_REC[],2,FALSE),0)</f>
        <v>0</v>
      </c>
      <c r="BG1616" s="246">
        <f>IFERROR(VLOOKUP(Q1616,VOL_REC[],2,FALSE),0)</f>
        <v>0</v>
      </c>
      <c r="BH1616" s="1710">
        <f t="shared" si="100"/>
        <v>27973222439.209358</v>
      </c>
      <c r="BI1616" s="1710">
        <f t="shared" si="101"/>
        <v>29468426582.885513</v>
      </c>
      <c r="BJ1616" s="1711">
        <f t="shared" si="102"/>
        <v>33938231.721237771</v>
      </c>
      <c r="BK1616" s="1711">
        <f t="shared" si="103"/>
        <v>0.94926080836143012</v>
      </c>
    </row>
    <row r="1617" spans="3:67" x14ac:dyDescent="0.25">
      <c r="C1617" s="246" t="s">
        <v>2967</v>
      </c>
      <c r="D1617" s="246">
        <v>1</v>
      </c>
      <c r="E1617" s="246">
        <v>2</v>
      </c>
      <c r="F1617" s="246">
        <v>3</v>
      </c>
      <c r="G1617" s="246">
        <v>4</v>
      </c>
      <c r="H1617" s="246">
        <v>6</v>
      </c>
      <c r="I1617" s="246">
        <v>9</v>
      </c>
      <c r="J1617" s="246">
        <v>10</v>
      </c>
      <c r="K1617" s="246">
        <v>12</v>
      </c>
      <c r="L1617" s="246">
        <v>14</v>
      </c>
      <c r="M1617" s="246">
        <v>15</v>
      </c>
      <c r="N1617" s="246"/>
      <c r="O1617" s="246"/>
      <c r="P1617" s="246"/>
      <c r="Q1617" s="246"/>
      <c r="R1617" s="246">
        <f>IFERROR(VLOOKUP(D1617,PROGRAMAS[],2,FALSE),0)</f>
        <v>97037803.679377079</v>
      </c>
      <c r="S1617" s="246">
        <f>IFERROR(VLOOKUP(E1617,PROGRAMAS[],2,FALSE),0)</f>
        <v>640501509.6821388</v>
      </c>
      <c r="T1617" s="246">
        <f>IFERROR(VLOOKUP(F1617,PROGRAMAS[],2,FALSE),0)</f>
        <v>3062327798.1525245</v>
      </c>
      <c r="U1617" s="246">
        <f>IFERROR(VLOOKUP(G1617,PROGRAMAS[],2,FALSE),0)</f>
        <v>67697118.033011258</v>
      </c>
      <c r="V1617" s="246">
        <f>IFERROR(VLOOKUP(H1617,PROGRAMAS[],2,FALSE),0)</f>
        <v>6907648435.8447599</v>
      </c>
      <c r="W1617" s="246">
        <f>IFERROR(VLOOKUP(I1617,PROGRAMAS[],2,FALSE),0)</f>
        <v>6128579952.1618185</v>
      </c>
      <c r="X1617" s="246">
        <f>IFERROR(VLOOKUP(J1617,PROGRAMAS[],2,FALSE),0)</f>
        <v>4635315027.8751087</v>
      </c>
      <c r="Y1617" s="246">
        <f>IFERROR(VLOOKUP(K1617,PROGRAMAS[],2,FALSE),0)</f>
        <v>764796700.79905891</v>
      </c>
      <c r="Z1617" s="246">
        <f>IFERROR(VLOOKUP(L1617,PROGRAMAS[],2,FALSE),0)</f>
        <v>54223862.645839565</v>
      </c>
      <c r="AA1617" s="246">
        <f>IFERROR(VLOOKUP(M1617,PROGRAMAS[],2,FALSE),0)</f>
        <v>122159672.96346797</v>
      </c>
      <c r="AB1617" s="246">
        <f>IFERROR(VLOOKUP(N1617,PROGRAMAS[],2,FALSE),0)</f>
        <v>0</v>
      </c>
      <c r="AC1617" s="246">
        <f>IFERROR(VLOOKUP(O1617,PROGRAMAS[],2,FALSE),0)</f>
        <v>0</v>
      </c>
      <c r="AD1617" s="246">
        <f>IFERROR(VLOOKUP(P1617,PROGRAMAS[],2,FALSE),0)</f>
        <v>0</v>
      </c>
      <c r="AE1617" s="246">
        <f>IFERROR(VLOOKUP(Q1617,PROGRAMAS[],2,FALSE),0)</f>
        <v>0</v>
      </c>
      <c r="AF1617" s="246">
        <f>IFERROR(VLOOKUP(D1617,PROGRAMAS[],3,FALSE),0)</f>
        <v>841888629.31080008</v>
      </c>
      <c r="AG1617" s="246">
        <f>IFERROR(VLOOKUP(E1617,PROGRAMAS[],3,FALSE),0)</f>
        <v>3848980803.1642323</v>
      </c>
      <c r="AH1617" s="246">
        <f>IFERROR(VLOOKUP(F1617,PROGRAMAS[],3,FALSE),0)</f>
        <v>3394901471.387517</v>
      </c>
      <c r="AI1617" s="246">
        <f>IFERROR(VLOOKUP(G1617,PROGRAMAS[],3,FALSE),0)</f>
        <v>125317226.95549992</v>
      </c>
      <c r="AJ1617" s="246">
        <f>IFERROR(VLOOKUP(H1617,PROGRAMAS[],3,FALSE),0)</f>
        <v>6129902208.7912121</v>
      </c>
      <c r="AK1617" s="246">
        <f>IFERROR(VLOOKUP(I1617,PROGRAMAS[],3,FALSE),0)</f>
        <v>7011279577.519702</v>
      </c>
      <c r="AL1617" s="246">
        <f>IFERROR(VLOOKUP(J1617,PROGRAMAS[],3,FALSE),0)</f>
        <v>4099471734.9978786</v>
      </c>
      <c r="AM1617" s="246">
        <f>IFERROR(VLOOKUP(K1617,PROGRAMAS[],3,FALSE),0)</f>
        <v>675517840.109828</v>
      </c>
      <c r="AN1617" s="246">
        <f>IFERROR(VLOOKUP(L1617,PROGRAMAS[],3,FALSE),0)</f>
        <v>31865326.38096505</v>
      </c>
      <c r="AO1617" s="246">
        <f>IFERROR(VLOOKUP(M1617,PROGRAMAS[],3,FALSE),0)</f>
        <v>118617452.52510804</v>
      </c>
      <c r="AP1617" s="246">
        <f>IFERROR(VLOOKUP(N1617,PROGRAMAS[],3,FALSE),0)</f>
        <v>0</v>
      </c>
      <c r="AQ1617" s="246">
        <f>IFERROR(VLOOKUP(O1617,PROGRAMAS[],3,FALSE),0)</f>
        <v>0</v>
      </c>
      <c r="AR1617" s="246">
        <f>IFERROR(VLOOKUP(P1617,PROGRAMAS[],3,FALSE),0)</f>
        <v>0</v>
      </c>
      <c r="AS1617" s="246">
        <f>IFERROR(VLOOKUP(Q1617,PROGRAMAS[],3,FALSE),0)</f>
        <v>0</v>
      </c>
      <c r="AT1617" s="246">
        <f>IFERROR(VLOOKUP(D1617,VOL_REC[],2,FALSE),0)</f>
        <v>0</v>
      </c>
      <c r="AU1617" s="246">
        <f>IFERROR(VLOOKUP(E1617,VOL_REC[],2,FALSE),0)</f>
        <v>0</v>
      </c>
      <c r="AV1617" s="246">
        <f>IFERROR(VLOOKUP(F1617,VOL_REC[],2,FALSE),0)</f>
        <v>11089674.200000001</v>
      </c>
      <c r="AW1617" s="246">
        <f>IFERROR(VLOOKUP(G1617,VOL_REC[],2,FALSE),0)</f>
        <v>90439.55</v>
      </c>
      <c r="AX1617" s="246">
        <f>IFERROR(VLOOKUP(H1617,VOL_REC[],2,FALSE),0)</f>
        <v>15540036.397699751</v>
      </c>
      <c r="AY1617" s="246">
        <f>IFERROR(VLOOKUP(I1617,VOL_REC[],2,FALSE),0)</f>
        <v>3761786</v>
      </c>
      <c r="AZ1617" s="246">
        <f>IFERROR(VLOOKUP(J1617,VOL_REC[],2,FALSE),0)</f>
        <v>1812240</v>
      </c>
      <c r="BA1617" s="246">
        <f>IFERROR(VLOOKUP(K1617,VOL_REC[],2,FALSE),0)</f>
        <v>240696.79238099116</v>
      </c>
      <c r="BB1617" s="246">
        <f>IFERROR(VLOOKUP(L1617,VOL_REC[],2,FALSE),0)</f>
        <v>17074.045034105649</v>
      </c>
      <c r="BC1617" s="246">
        <f>IFERROR(VLOOKUP(M1617,VOL_REC[],2,FALSE),0)</f>
        <v>105072</v>
      </c>
      <c r="BD1617" s="246">
        <f>IFERROR(VLOOKUP(N1617,VOL_REC[],2,FALSE),0)</f>
        <v>0</v>
      </c>
      <c r="BE1617" s="246">
        <f>IFERROR(VLOOKUP(O1617,VOL_REC[],2,FALSE),0)</f>
        <v>0</v>
      </c>
      <c r="BF1617" s="246">
        <f>IFERROR(VLOOKUP(P1617,VOL_REC[],2,FALSE),0)</f>
        <v>0</v>
      </c>
      <c r="BG1617" s="246">
        <f>IFERROR(VLOOKUP(Q1617,VOL_REC[],2,FALSE),0)</f>
        <v>0</v>
      </c>
      <c r="BH1617" s="1710">
        <f t="shared" si="100"/>
        <v>22480287881.837105</v>
      </c>
      <c r="BI1617" s="1710">
        <f t="shared" si="101"/>
        <v>26277742271.142746</v>
      </c>
      <c r="BJ1617" s="1711">
        <f t="shared" si="102"/>
        <v>32657018.98511485</v>
      </c>
      <c r="BK1617" s="1711">
        <f t="shared" si="103"/>
        <v>0.8554877983761997</v>
      </c>
    </row>
    <row r="1618" spans="3:67" x14ac:dyDescent="0.25">
      <c r="C1618" s="246" t="s">
        <v>2968</v>
      </c>
      <c r="D1618" s="246">
        <v>1</v>
      </c>
      <c r="E1618" s="246">
        <v>2</v>
      </c>
      <c r="F1618" s="246">
        <v>3</v>
      </c>
      <c r="G1618" s="246">
        <v>4</v>
      </c>
      <c r="H1618" s="246">
        <v>6</v>
      </c>
      <c r="I1618" s="246">
        <v>9</v>
      </c>
      <c r="J1618" s="246">
        <v>10</v>
      </c>
      <c r="K1618" s="246">
        <v>12</v>
      </c>
      <c r="L1618" s="246">
        <v>14</v>
      </c>
      <c r="M1618" s="246">
        <v>16</v>
      </c>
      <c r="N1618" s="246"/>
      <c r="O1618" s="246"/>
      <c r="P1618" s="246"/>
      <c r="Q1618" s="246"/>
      <c r="R1618" s="246">
        <f>IFERROR(VLOOKUP(D1618,PROGRAMAS[],2,FALSE),0)</f>
        <v>97037803.679377079</v>
      </c>
      <c r="S1618" s="246">
        <f>IFERROR(VLOOKUP(E1618,PROGRAMAS[],2,FALSE),0)</f>
        <v>640501509.6821388</v>
      </c>
      <c r="T1618" s="246">
        <f>IFERROR(VLOOKUP(F1618,PROGRAMAS[],2,FALSE),0)</f>
        <v>3062327798.1525245</v>
      </c>
      <c r="U1618" s="246">
        <f>IFERROR(VLOOKUP(G1618,PROGRAMAS[],2,FALSE),0)</f>
        <v>67697118.033011258</v>
      </c>
      <c r="V1618" s="246">
        <f>IFERROR(VLOOKUP(H1618,PROGRAMAS[],2,FALSE),0)</f>
        <v>6907648435.8447599</v>
      </c>
      <c r="W1618" s="246">
        <f>IFERROR(VLOOKUP(I1618,PROGRAMAS[],2,FALSE),0)</f>
        <v>6128579952.1618185</v>
      </c>
      <c r="X1618" s="246">
        <f>IFERROR(VLOOKUP(J1618,PROGRAMAS[],2,FALSE),0)</f>
        <v>4635315027.8751087</v>
      </c>
      <c r="Y1618" s="246">
        <f>IFERROR(VLOOKUP(K1618,PROGRAMAS[],2,FALSE),0)</f>
        <v>764796700.79905891</v>
      </c>
      <c r="Z1618" s="246">
        <f>IFERROR(VLOOKUP(L1618,PROGRAMAS[],2,FALSE),0)</f>
        <v>54223862.645839565</v>
      </c>
      <c r="AA1618" s="246">
        <f>IFERROR(VLOOKUP(M1618,PROGRAMAS[],2,FALSE),0)</f>
        <v>7068496961.0436354</v>
      </c>
      <c r="AB1618" s="246">
        <f>IFERROR(VLOOKUP(N1618,PROGRAMAS[],2,FALSE),0)</f>
        <v>0</v>
      </c>
      <c r="AC1618" s="246">
        <f>IFERROR(VLOOKUP(O1618,PROGRAMAS[],2,FALSE),0)</f>
        <v>0</v>
      </c>
      <c r="AD1618" s="246">
        <f>IFERROR(VLOOKUP(P1618,PROGRAMAS[],2,FALSE),0)</f>
        <v>0</v>
      </c>
      <c r="AE1618" s="246">
        <f>IFERROR(VLOOKUP(Q1618,PROGRAMAS[],2,FALSE),0)</f>
        <v>0</v>
      </c>
      <c r="AF1618" s="246">
        <f>IFERROR(VLOOKUP(D1618,PROGRAMAS[],3,FALSE),0)</f>
        <v>841888629.31080008</v>
      </c>
      <c r="AG1618" s="246">
        <f>IFERROR(VLOOKUP(E1618,PROGRAMAS[],3,FALSE),0)</f>
        <v>3848980803.1642323</v>
      </c>
      <c r="AH1618" s="246">
        <f>IFERROR(VLOOKUP(F1618,PROGRAMAS[],3,FALSE),0)</f>
        <v>3394901471.387517</v>
      </c>
      <c r="AI1618" s="246">
        <f>IFERROR(VLOOKUP(G1618,PROGRAMAS[],3,FALSE),0)</f>
        <v>125317226.95549992</v>
      </c>
      <c r="AJ1618" s="246">
        <f>IFERROR(VLOOKUP(H1618,PROGRAMAS[],3,FALSE),0)</f>
        <v>6129902208.7912121</v>
      </c>
      <c r="AK1618" s="246">
        <f>IFERROR(VLOOKUP(I1618,PROGRAMAS[],3,FALSE),0)</f>
        <v>7011279577.519702</v>
      </c>
      <c r="AL1618" s="246">
        <f>IFERROR(VLOOKUP(J1618,PROGRAMAS[],3,FALSE),0)</f>
        <v>4099471734.9978786</v>
      </c>
      <c r="AM1618" s="246">
        <f>IFERROR(VLOOKUP(K1618,PROGRAMAS[],3,FALSE),0)</f>
        <v>675517840.109828</v>
      </c>
      <c r="AN1618" s="246">
        <f>IFERROR(VLOOKUP(L1618,PROGRAMAS[],3,FALSE),0)</f>
        <v>31865326.38096505</v>
      </c>
      <c r="AO1618" s="246">
        <f>IFERROR(VLOOKUP(M1618,PROGRAMAS[],3,FALSE),0)</f>
        <v>2406564599.0319901</v>
      </c>
      <c r="AP1618" s="246">
        <f>IFERROR(VLOOKUP(N1618,PROGRAMAS[],3,FALSE),0)</f>
        <v>0</v>
      </c>
      <c r="AQ1618" s="246">
        <f>IFERROR(VLOOKUP(O1618,PROGRAMAS[],3,FALSE),0)</f>
        <v>0</v>
      </c>
      <c r="AR1618" s="246">
        <f>IFERROR(VLOOKUP(P1618,PROGRAMAS[],3,FALSE),0)</f>
        <v>0</v>
      </c>
      <c r="AS1618" s="246">
        <f>IFERROR(VLOOKUP(Q1618,PROGRAMAS[],3,FALSE),0)</f>
        <v>0</v>
      </c>
      <c r="AT1618" s="246">
        <f>IFERROR(VLOOKUP(D1618,VOL_REC[],2,FALSE),0)</f>
        <v>0</v>
      </c>
      <c r="AU1618" s="246">
        <f>IFERROR(VLOOKUP(E1618,VOL_REC[],2,FALSE),0)</f>
        <v>0</v>
      </c>
      <c r="AV1618" s="246">
        <f>IFERROR(VLOOKUP(F1618,VOL_REC[],2,FALSE),0)</f>
        <v>11089674.200000001</v>
      </c>
      <c r="AW1618" s="246">
        <f>IFERROR(VLOOKUP(G1618,VOL_REC[],2,FALSE),0)</f>
        <v>90439.55</v>
      </c>
      <c r="AX1618" s="246">
        <f>IFERROR(VLOOKUP(H1618,VOL_REC[],2,FALSE),0)</f>
        <v>15540036.397699751</v>
      </c>
      <c r="AY1618" s="246">
        <f>IFERROR(VLOOKUP(I1618,VOL_REC[],2,FALSE),0)</f>
        <v>3761786</v>
      </c>
      <c r="AZ1618" s="246">
        <f>IFERROR(VLOOKUP(J1618,VOL_REC[],2,FALSE),0)</f>
        <v>1812240</v>
      </c>
      <c r="BA1618" s="246">
        <f>IFERROR(VLOOKUP(K1618,VOL_REC[],2,FALSE),0)</f>
        <v>240696.79238099116</v>
      </c>
      <c r="BB1618" s="246">
        <f>IFERROR(VLOOKUP(L1618,VOL_REC[],2,FALSE),0)</f>
        <v>17074.045034105649</v>
      </c>
      <c r="BC1618" s="246">
        <f>IFERROR(VLOOKUP(M1618,VOL_REC[],2,FALSE),0)</f>
        <v>1072354.9981737854</v>
      </c>
      <c r="BD1618" s="246">
        <f>IFERROR(VLOOKUP(N1618,VOL_REC[],2,FALSE),0)</f>
        <v>0</v>
      </c>
      <c r="BE1618" s="246">
        <f>IFERROR(VLOOKUP(O1618,VOL_REC[],2,FALSE),0)</f>
        <v>0</v>
      </c>
      <c r="BF1618" s="246">
        <f>IFERROR(VLOOKUP(P1618,VOL_REC[],2,FALSE),0)</f>
        <v>0</v>
      </c>
      <c r="BG1618" s="246">
        <f>IFERROR(VLOOKUP(Q1618,VOL_REC[],2,FALSE),0)</f>
        <v>0</v>
      </c>
      <c r="BH1618" s="1710">
        <f t="shared" si="100"/>
        <v>29426625169.917274</v>
      </c>
      <c r="BI1618" s="1710">
        <f t="shared" si="101"/>
        <v>28565689417.649628</v>
      </c>
      <c r="BJ1618" s="1711">
        <f t="shared" si="102"/>
        <v>33624301.983288638</v>
      </c>
      <c r="BK1618" s="1711">
        <f t="shared" si="103"/>
        <v>1.0301388053227138</v>
      </c>
      <c r="BL1618">
        <f>BJ1618</f>
        <v>33624301.983288638</v>
      </c>
      <c r="BO1618">
        <f>BL1618</f>
        <v>33624301.983288638</v>
      </c>
    </row>
    <row r="1619" spans="3:67" x14ac:dyDescent="0.25">
      <c r="C1619" s="246" t="s">
        <v>2969</v>
      </c>
      <c r="D1619" s="246">
        <v>1</v>
      </c>
      <c r="E1619" s="246">
        <v>2</v>
      </c>
      <c r="F1619" s="246">
        <v>3</v>
      </c>
      <c r="G1619" s="246">
        <v>4</v>
      </c>
      <c r="H1619" s="246">
        <v>6</v>
      </c>
      <c r="I1619" s="246">
        <v>9</v>
      </c>
      <c r="J1619" s="246">
        <v>10</v>
      </c>
      <c r="K1619" s="246">
        <v>12</v>
      </c>
      <c r="L1619" s="246">
        <v>14</v>
      </c>
      <c r="M1619" s="246">
        <v>17</v>
      </c>
      <c r="N1619" s="246"/>
      <c r="O1619" s="246"/>
      <c r="P1619" s="246"/>
      <c r="Q1619" s="246"/>
      <c r="R1619" s="246">
        <f>IFERROR(VLOOKUP(D1619,PROGRAMAS[],2,FALSE),0)</f>
        <v>97037803.679377079</v>
      </c>
      <c r="S1619" s="246">
        <f>IFERROR(VLOOKUP(E1619,PROGRAMAS[],2,FALSE),0)</f>
        <v>640501509.6821388</v>
      </c>
      <c r="T1619" s="246">
        <f>IFERROR(VLOOKUP(F1619,PROGRAMAS[],2,FALSE),0)</f>
        <v>3062327798.1525245</v>
      </c>
      <c r="U1619" s="246">
        <f>IFERROR(VLOOKUP(G1619,PROGRAMAS[],2,FALSE),0)</f>
        <v>67697118.033011258</v>
      </c>
      <c r="V1619" s="246">
        <f>IFERROR(VLOOKUP(H1619,PROGRAMAS[],2,FALSE),0)</f>
        <v>6907648435.8447599</v>
      </c>
      <c r="W1619" s="246">
        <f>IFERROR(VLOOKUP(I1619,PROGRAMAS[],2,FALSE),0)</f>
        <v>6128579952.1618185</v>
      </c>
      <c r="X1619" s="246">
        <f>IFERROR(VLOOKUP(J1619,PROGRAMAS[],2,FALSE),0)</f>
        <v>4635315027.8751087</v>
      </c>
      <c r="Y1619" s="246">
        <f>IFERROR(VLOOKUP(K1619,PROGRAMAS[],2,FALSE),0)</f>
        <v>764796700.79905891</v>
      </c>
      <c r="Z1619" s="246">
        <f>IFERROR(VLOOKUP(L1619,PROGRAMAS[],2,FALSE),0)</f>
        <v>54223862.645839565</v>
      </c>
      <c r="AA1619" s="246">
        <f>IFERROR(VLOOKUP(M1619,PROGRAMAS[],2,FALSE),0)</f>
        <v>1892779498.5211046</v>
      </c>
      <c r="AB1619" s="246">
        <f>IFERROR(VLOOKUP(N1619,PROGRAMAS[],2,FALSE),0)</f>
        <v>0</v>
      </c>
      <c r="AC1619" s="246">
        <f>IFERROR(VLOOKUP(O1619,PROGRAMAS[],2,FALSE),0)</f>
        <v>0</v>
      </c>
      <c r="AD1619" s="246">
        <f>IFERROR(VLOOKUP(P1619,PROGRAMAS[],2,FALSE),0)</f>
        <v>0</v>
      </c>
      <c r="AE1619" s="246">
        <f>IFERROR(VLOOKUP(Q1619,PROGRAMAS[],2,FALSE),0)</f>
        <v>0</v>
      </c>
      <c r="AF1619" s="246">
        <f>IFERROR(VLOOKUP(D1619,PROGRAMAS[],3,FALSE),0)</f>
        <v>841888629.31080008</v>
      </c>
      <c r="AG1619" s="246">
        <f>IFERROR(VLOOKUP(E1619,PROGRAMAS[],3,FALSE),0)</f>
        <v>3848980803.1642323</v>
      </c>
      <c r="AH1619" s="246">
        <f>IFERROR(VLOOKUP(F1619,PROGRAMAS[],3,FALSE),0)</f>
        <v>3394901471.387517</v>
      </c>
      <c r="AI1619" s="246">
        <f>IFERROR(VLOOKUP(G1619,PROGRAMAS[],3,FALSE),0)</f>
        <v>125317226.95549992</v>
      </c>
      <c r="AJ1619" s="246">
        <f>IFERROR(VLOOKUP(H1619,PROGRAMAS[],3,FALSE),0)</f>
        <v>6129902208.7912121</v>
      </c>
      <c r="AK1619" s="246">
        <f>IFERROR(VLOOKUP(I1619,PROGRAMAS[],3,FALSE),0)</f>
        <v>7011279577.519702</v>
      </c>
      <c r="AL1619" s="246">
        <f>IFERROR(VLOOKUP(J1619,PROGRAMAS[],3,FALSE),0)</f>
        <v>4099471734.9978786</v>
      </c>
      <c r="AM1619" s="246">
        <f>IFERROR(VLOOKUP(K1619,PROGRAMAS[],3,FALSE),0)</f>
        <v>675517840.109828</v>
      </c>
      <c r="AN1619" s="246">
        <f>IFERROR(VLOOKUP(L1619,PROGRAMAS[],3,FALSE),0)</f>
        <v>31865326.38096505</v>
      </c>
      <c r="AO1619" s="246">
        <f>IFERROR(VLOOKUP(M1619,PROGRAMAS[],3,FALSE),0)</f>
        <v>948595847.09039903</v>
      </c>
      <c r="AP1619" s="246">
        <f>IFERROR(VLOOKUP(N1619,PROGRAMAS[],3,FALSE),0)</f>
        <v>0</v>
      </c>
      <c r="AQ1619" s="246">
        <f>IFERROR(VLOOKUP(O1619,PROGRAMAS[],3,FALSE),0)</f>
        <v>0</v>
      </c>
      <c r="AR1619" s="246">
        <f>IFERROR(VLOOKUP(P1619,PROGRAMAS[],3,FALSE),0)</f>
        <v>0</v>
      </c>
      <c r="AS1619" s="246">
        <f>IFERROR(VLOOKUP(Q1619,PROGRAMAS[],3,FALSE),0)</f>
        <v>0</v>
      </c>
      <c r="AT1619" s="246">
        <f>IFERROR(VLOOKUP(D1619,VOL_REC[],2,FALSE),0)</f>
        <v>0</v>
      </c>
      <c r="AU1619" s="246">
        <f>IFERROR(VLOOKUP(E1619,VOL_REC[],2,FALSE),0)</f>
        <v>0</v>
      </c>
      <c r="AV1619" s="246">
        <f>IFERROR(VLOOKUP(F1619,VOL_REC[],2,FALSE),0)</f>
        <v>11089674.200000001</v>
      </c>
      <c r="AW1619" s="246">
        <f>IFERROR(VLOOKUP(G1619,VOL_REC[],2,FALSE),0)</f>
        <v>90439.55</v>
      </c>
      <c r="AX1619" s="246">
        <f>IFERROR(VLOOKUP(H1619,VOL_REC[],2,FALSE),0)</f>
        <v>15540036.397699751</v>
      </c>
      <c r="AY1619" s="246">
        <f>IFERROR(VLOOKUP(I1619,VOL_REC[],2,FALSE),0)</f>
        <v>3761786</v>
      </c>
      <c r="AZ1619" s="246">
        <f>IFERROR(VLOOKUP(J1619,VOL_REC[],2,FALSE),0)</f>
        <v>1812240</v>
      </c>
      <c r="BA1619" s="246">
        <f>IFERROR(VLOOKUP(K1619,VOL_REC[],2,FALSE),0)</f>
        <v>240696.79238099116</v>
      </c>
      <c r="BB1619" s="246">
        <f>IFERROR(VLOOKUP(L1619,VOL_REC[],2,FALSE),0)</f>
        <v>17074.045034105649</v>
      </c>
      <c r="BC1619" s="246">
        <f>IFERROR(VLOOKUP(M1619,VOL_REC[],2,FALSE),0)</f>
        <v>740113.98115702497</v>
      </c>
      <c r="BD1619" s="246">
        <f>IFERROR(VLOOKUP(N1619,VOL_REC[],2,FALSE),0)</f>
        <v>0</v>
      </c>
      <c r="BE1619" s="246">
        <f>IFERROR(VLOOKUP(O1619,VOL_REC[],2,FALSE),0)</f>
        <v>0</v>
      </c>
      <c r="BF1619" s="246">
        <f>IFERROR(VLOOKUP(P1619,VOL_REC[],2,FALSE),0)</f>
        <v>0</v>
      </c>
      <c r="BG1619" s="246">
        <f>IFERROR(VLOOKUP(Q1619,VOL_REC[],2,FALSE),0)</f>
        <v>0</v>
      </c>
      <c r="BH1619" s="1710">
        <f t="shared" si="100"/>
        <v>24250907707.394741</v>
      </c>
      <c r="BI1619" s="1710">
        <f t="shared" si="101"/>
        <v>27107720665.708038</v>
      </c>
      <c r="BJ1619" s="1711">
        <f t="shared" si="102"/>
        <v>33292060.966271874</v>
      </c>
      <c r="BK1619" s="1711">
        <f t="shared" si="103"/>
        <v>0.89461257205858558</v>
      </c>
    </row>
    <row r="1620" spans="3:67" x14ac:dyDescent="0.25">
      <c r="C1620" s="246" t="s">
        <v>2970</v>
      </c>
      <c r="D1620" s="246">
        <v>1</v>
      </c>
      <c r="E1620" s="246">
        <v>2</v>
      </c>
      <c r="F1620" s="246">
        <v>3</v>
      </c>
      <c r="G1620" s="246">
        <v>4</v>
      </c>
      <c r="H1620" s="246">
        <v>6</v>
      </c>
      <c r="I1620" s="246">
        <v>9</v>
      </c>
      <c r="J1620" s="246">
        <v>10</v>
      </c>
      <c r="K1620" s="246">
        <v>12</v>
      </c>
      <c r="L1620" s="246">
        <v>15</v>
      </c>
      <c r="M1620" s="246">
        <v>16</v>
      </c>
      <c r="N1620" s="246"/>
      <c r="O1620" s="246"/>
      <c r="P1620" s="246"/>
      <c r="Q1620" s="246"/>
      <c r="R1620" s="246">
        <f>IFERROR(VLOOKUP(D1620,PROGRAMAS[],2,FALSE),0)</f>
        <v>97037803.679377079</v>
      </c>
      <c r="S1620" s="246">
        <f>IFERROR(VLOOKUP(E1620,PROGRAMAS[],2,FALSE),0)</f>
        <v>640501509.6821388</v>
      </c>
      <c r="T1620" s="246">
        <f>IFERROR(VLOOKUP(F1620,PROGRAMAS[],2,FALSE),0)</f>
        <v>3062327798.1525245</v>
      </c>
      <c r="U1620" s="246">
        <f>IFERROR(VLOOKUP(G1620,PROGRAMAS[],2,FALSE),0)</f>
        <v>67697118.033011258</v>
      </c>
      <c r="V1620" s="246">
        <f>IFERROR(VLOOKUP(H1620,PROGRAMAS[],2,FALSE),0)</f>
        <v>6907648435.8447599</v>
      </c>
      <c r="W1620" s="246">
        <f>IFERROR(VLOOKUP(I1620,PROGRAMAS[],2,FALSE),0)</f>
        <v>6128579952.1618185</v>
      </c>
      <c r="X1620" s="246">
        <f>IFERROR(VLOOKUP(J1620,PROGRAMAS[],2,FALSE),0)</f>
        <v>4635315027.8751087</v>
      </c>
      <c r="Y1620" s="246">
        <f>IFERROR(VLOOKUP(K1620,PROGRAMAS[],2,FALSE),0)</f>
        <v>764796700.79905891</v>
      </c>
      <c r="Z1620" s="246">
        <f>IFERROR(VLOOKUP(L1620,PROGRAMAS[],2,FALSE),0)</f>
        <v>122159672.96346797</v>
      </c>
      <c r="AA1620" s="246">
        <f>IFERROR(VLOOKUP(M1620,PROGRAMAS[],2,FALSE),0)</f>
        <v>7068496961.0436354</v>
      </c>
      <c r="AB1620" s="246">
        <f>IFERROR(VLOOKUP(N1620,PROGRAMAS[],2,FALSE),0)</f>
        <v>0</v>
      </c>
      <c r="AC1620" s="246">
        <f>IFERROR(VLOOKUP(O1620,PROGRAMAS[],2,FALSE),0)</f>
        <v>0</v>
      </c>
      <c r="AD1620" s="246">
        <f>IFERROR(VLOOKUP(P1620,PROGRAMAS[],2,FALSE),0)</f>
        <v>0</v>
      </c>
      <c r="AE1620" s="246">
        <f>IFERROR(VLOOKUP(Q1620,PROGRAMAS[],2,FALSE),0)</f>
        <v>0</v>
      </c>
      <c r="AF1620" s="246">
        <f>IFERROR(VLOOKUP(D1620,PROGRAMAS[],3,FALSE),0)</f>
        <v>841888629.31080008</v>
      </c>
      <c r="AG1620" s="246">
        <f>IFERROR(VLOOKUP(E1620,PROGRAMAS[],3,FALSE),0)</f>
        <v>3848980803.1642323</v>
      </c>
      <c r="AH1620" s="246">
        <f>IFERROR(VLOOKUP(F1620,PROGRAMAS[],3,FALSE),0)</f>
        <v>3394901471.387517</v>
      </c>
      <c r="AI1620" s="246">
        <f>IFERROR(VLOOKUP(G1620,PROGRAMAS[],3,FALSE),0)</f>
        <v>125317226.95549992</v>
      </c>
      <c r="AJ1620" s="246">
        <f>IFERROR(VLOOKUP(H1620,PROGRAMAS[],3,FALSE),0)</f>
        <v>6129902208.7912121</v>
      </c>
      <c r="AK1620" s="246">
        <f>IFERROR(VLOOKUP(I1620,PROGRAMAS[],3,FALSE),0)</f>
        <v>7011279577.519702</v>
      </c>
      <c r="AL1620" s="246">
        <f>IFERROR(VLOOKUP(J1620,PROGRAMAS[],3,FALSE),0)</f>
        <v>4099471734.9978786</v>
      </c>
      <c r="AM1620" s="246">
        <f>IFERROR(VLOOKUP(K1620,PROGRAMAS[],3,FALSE),0)</f>
        <v>675517840.109828</v>
      </c>
      <c r="AN1620" s="246">
        <f>IFERROR(VLOOKUP(L1620,PROGRAMAS[],3,FALSE),0)</f>
        <v>118617452.52510804</v>
      </c>
      <c r="AO1620" s="246">
        <f>IFERROR(VLOOKUP(M1620,PROGRAMAS[],3,FALSE),0)</f>
        <v>2406564599.0319901</v>
      </c>
      <c r="AP1620" s="246">
        <f>IFERROR(VLOOKUP(N1620,PROGRAMAS[],3,FALSE),0)</f>
        <v>0</v>
      </c>
      <c r="AQ1620" s="246">
        <f>IFERROR(VLOOKUP(O1620,PROGRAMAS[],3,FALSE),0)</f>
        <v>0</v>
      </c>
      <c r="AR1620" s="246">
        <f>IFERROR(VLOOKUP(P1620,PROGRAMAS[],3,FALSE),0)</f>
        <v>0</v>
      </c>
      <c r="AS1620" s="246">
        <f>IFERROR(VLOOKUP(Q1620,PROGRAMAS[],3,FALSE),0)</f>
        <v>0</v>
      </c>
      <c r="AT1620" s="246">
        <f>IFERROR(VLOOKUP(D1620,VOL_REC[],2,FALSE),0)</f>
        <v>0</v>
      </c>
      <c r="AU1620" s="246">
        <f>IFERROR(VLOOKUP(E1620,VOL_REC[],2,FALSE),0)</f>
        <v>0</v>
      </c>
      <c r="AV1620" s="246">
        <f>IFERROR(VLOOKUP(F1620,VOL_REC[],2,FALSE),0)</f>
        <v>11089674.200000001</v>
      </c>
      <c r="AW1620" s="246">
        <f>IFERROR(VLOOKUP(G1620,VOL_REC[],2,FALSE),0)</f>
        <v>90439.55</v>
      </c>
      <c r="AX1620" s="246">
        <f>IFERROR(VLOOKUP(H1620,VOL_REC[],2,FALSE),0)</f>
        <v>15540036.397699751</v>
      </c>
      <c r="AY1620" s="246">
        <f>IFERROR(VLOOKUP(I1620,VOL_REC[],2,FALSE),0)</f>
        <v>3761786</v>
      </c>
      <c r="AZ1620" s="246">
        <f>IFERROR(VLOOKUP(J1620,VOL_REC[],2,FALSE),0)</f>
        <v>1812240</v>
      </c>
      <c r="BA1620" s="246">
        <f>IFERROR(VLOOKUP(K1620,VOL_REC[],2,FALSE),0)</f>
        <v>240696.79238099116</v>
      </c>
      <c r="BB1620" s="246">
        <f>IFERROR(VLOOKUP(L1620,VOL_REC[],2,FALSE),0)</f>
        <v>105072</v>
      </c>
      <c r="BC1620" s="246">
        <f>IFERROR(VLOOKUP(M1620,VOL_REC[],2,FALSE),0)</f>
        <v>1072354.9981737854</v>
      </c>
      <c r="BD1620" s="246">
        <f>IFERROR(VLOOKUP(N1620,VOL_REC[],2,FALSE),0)</f>
        <v>0</v>
      </c>
      <c r="BE1620" s="246">
        <f>IFERROR(VLOOKUP(O1620,VOL_REC[],2,FALSE),0)</f>
        <v>0</v>
      </c>
      <c r="BF1620" s="246">
        <f>IFERROR(VLOOKUP(P1620,VOL_REC[],2,FALSE),0)</f>
        <v>0</v>
      </c>
      <c r="BG1620" s="246">
        <f>IFERROR(VLOOKUP(Q1620,VOL_REC[],2,FALSE),0)</f>
        <v>0</v>
      </c>
      <c r="BH1620" s="1710">
        <f t="shared" si="100"/>
        <v>29494560980.234901</v>
      </c>
      <c r="BI1620" s="1710">
        <f t="shared" si="101"/>
        <v>28652441543.79377</v>
      </c>
      <c r="BJ1620" s="1711">
        <f t="shared" si="102"/>
        <v>33712299.938254528</v>
      </c>
      <c r="BK1620" s="1711">
        <f t="shared" si="103"/>
        <v>1.0293908438886088</v>
      </c>
      <c r="BL1620">
        <f>BJ1620</f>
        <v>33712299.938254528</v>
      </c>
      <c r="BO1620">
        <f>BL1620</f>
        <v>33712299.938254528</v>
      </c>
    </row>
    <row r="1621" spans="3:67" x14ac:dyDescent="0.25">
      <c r="C1621" s="246" t="s">
        <v>2971</v>
      </c>
      <c r="D1621" s="246">
        <v>1</v>
      </c>
      <c r="E1621" s="246">
        <v>2</v>
      </c>
      <c r="F1621" s="246">
        <v>3</v>
      </c>
      <c r="G1621" s="246">
        <v>4</v>
      </c>
      <c r="H1621" s="246">
        <v>6</v>
      </c>
      <c r="I1621" s="246">
        <v>9</v>
      </c>
      <c r="J1621" s="246">
        <v>10</v>
      </c>
      <c r="K1621" s="246">
        <v>12</v>
      </c>
      <c r="L1621" s="246">
        <v>15</v>
      </c>
      <c r="M1621" s="246">
        <v>17</v>
      </c>
      <c r="N1621" s="246"/>
      <c r="O1621" s="246"/>
      <c r="P1621" s="246"/>
      <c r="Q1621" s="246"/>
      <c r="R1621" s="246">
        <f>IFERROR(VLOOKUP(D1621,PROGRAMAS[],2,FALSE),0)</f>
        <v>97037803.679377079</v>
      </c>
      <c r="S1621" s="246">
        <f>IFERROR(VLOOKUP(E1621,PROGRAMAS[],2,FALSE),0)</f>
        <v>640501509.6821388</v>
      </c>
      <c r="T1621" s="246">
        <f>IFERROR(VLOOKUP(F1621,PROGRAMAS[],2,FALSE),0)</f>
        <v>3062327798.1525245</v>
      </c>
      <c r="U1621" s="246">
        <f>IFERROR(VLOOKUP(G1621,PROGRAMAS[],2,FALSE),0)</f>
        <v>67697118.033011258</v>
      </c>
      <c r="V1621" s="246">
        <f>IFERROR(VLOOKUP(H1621,PROGRAMAS[],2,FALSE),0)</f>
        <v>6907648435.8447599</v>
      </c>
      <c r="W1621" s="246">
        <f>IFERROR(VLOOKUP(I1621,PROGRAMAS[],2,FALSE),0)</f>
        <v>6128579952.1618185</v>
      </c>
      <c r="X1621" s="246">
        <f>IFERROR(VLOOKUP(J1621,PROGRAMAS[],2,FALSE),0)</f>
        <v>4635315027.8751087</v>
      </c>
      <c r="Y1621" s="246">
        <f>IFERROR(VLOOKUP(K1621,PROGRAMAS[],2,FALSE),0)</f>
        <v>764796700.79905891</v>
      </c>
      <c r="Z1621" s="246">
        <f>IFERROR(VLOOKUP(L1621,PROGRAMAS[],2,FALSE),0)</f>
        <v>122159672.96346797</v>
      </c>
      <c r="AA1621" s="246">
        <f>IFERROR(VLOOKUP(M1621,PROGRAMAS[],2,FALSE),0)</f>
        <v>1892779498.5211046</v>
      </c>
      <c r="AB1621" s="246">
        <f>IFERROR(VLOOKUP(N1621,PROGRAMAS[],2,FALSE),0)</f>
        <v>0</v>
      </c>
      <c r="AC1621" s="246">
        <f>IFERROR(VLOOKUP(O1621,PROGRAMAS[],2,FALSE),0)</f>
        <v>0</v>
      </c>
      <c r="AD1621" s="246">
        <f>IFERROR(VLOOKUP(P1621,PROGRAMAS[],2,FALSE),0)</f>
        <v>0</v>
      </c>
      <c r="AE1621" s="246">
        <f>IFERROR(VLOOKUP(Q1621,PROGRAMAS[],2,FALSE),0)</f>
        <v>0</v>
      </c>
      <c r="AF1621" s="246">
        <f>IFERROR(VLOOKUP(D1621,PROGRAMAS[],3,FALSE),0)</f>
        <v>841888629.31080008</v>
      </c>
      <c r="AG1621" s="246">
        <f>IFERROR(VLOOKUP(E1621,PROGRAMAS[],3,FALSE),0)</f>
        <v>3848980803.1642323</v>
      </c>
      <c r="AH1621" s="246">
        <f>IFERROR(VLOOKUP(F1621,PROGRAMAS[],3,FALSE),0)</f>
        <v>3394901471.387517</v>
      </c>
      <c r="AI1621" s="246">
        <f>IFERROR(VLOOKUP(G1621,PROGRAMAS[],3,FALSE),0)</f>
        <v>125317226.95549992</v>
      </c>
      <c r="AJ1621" s="246">
        <f>IFERROR(VLOOKUP(H1621,PROGRAMAS[],3,FALSE),0)</f>
        <v>6129902208.7912121</v>
      </c>
      <c r="AK1621" s="246">
        <f>IFERROR(VLOOKUP(I1621,PROGRAMAS[],3,FALSE),0)</f>
        <v>7011279577.519702</v>
      </c>
      <c r="AL1621" s="246">
        <f>IFERROR(VLOOKUP(J1621,PROGRAMAS[],3,FALSE),0)</f>
        <v>4099471734.9978786</v>
      </c>
      <c r="AM1621" s="246">
        <f>IFERROR(VLOOKUP(K1621,PROGRAMAS[],3,FALSE),0)</f>
        <v>675517840.109828</v>
      </c>
      <c r="AN1621" s="246">
        <f>IFERROR(VLOOKUP(L1621,PROGRAMAS[],3,FALSE),0)</f>
        <v>118617452.52510804</v>
      </c>
      <c r="AO1621" s="246">
        <f>IFERROR(VLOOKUP(M1621,PROGRAMAS[],3,FALSE),0)</f>
        <v>948595847.09039903</v>
      </c>
      <c r="AP1621" s="246">
        <f>IFERROR(VLOOKUP(N1621,PROGRAMAS[],3,FALSE),0)</f>
        <v>0</v>
      </c>
      <c r="AQ1621" s="246">
        <f>IFERROR(VLOOKUP(O1621,PROGRAMAS[],3,FALSE),0)</f>
        <v>0</v>
      </c>
      <c r="AR1621" s="246">
        <f>IFERROR(VLOOKUP(P1621,PROGRAMAS[],3,FALSE),0)</f>
        <v>0</v>
      </c>
      <c r="AS1621" s="246">
        <f>IFERROR(VLOOKUP(Q1621,PROGRAMAS[],3,FALSE),0)</f>
        <v>0</v>
      </c>
      <c r="AT1621" s="246">
        <f>IFERROR(VLOOKUP(D1621,VOL_REC[],2,FALSE),0)</f>
        <v>0</v>
      </c>
      <c r="AU1621" s="246">
        <f>IFERROR(VLOOKUP(E1621,VOL_REC[],2,FALSE),0)</f>
        <v>0</v>
      </c>
      <c r="AV1621" s="246">
        <f>IFERROR(VLOOKUP(F1621,VOL_REC[],2,FALSE),0)</f>
        <v>11089674.200000001</v>
      </c>
      <c r="AW1621" s="246">
        <f>IFERROR(VLOOKUP(G1621,VOL_REC[],2,FALSE),0)</f>
        <v>90439.55</v>
      </c>
      <c r="AX1621" s="246">
        <f>IFERROR(VLOOKUP(H1621,VOL_REC[],2,FALSE),0)</f>
        <v>15540036.397699751</v>
      </c>
      <c r="AY1621" s="246">
        <f>IFERROR(VLOOKUP(I1621,VOL_REC[],2,FALSE),0)</f>
        <v>3761786</v>
      </c>
      <c r="AZ1621" s="246">
        <f>IFERROR(VLOOKUP(J1621,VOL_REC[],2,FALSE),0)</f>
        <v>1812240</v>
      </c>
      <c r="BA1621" s="246">
        <f>IFERROR(VLOOKUP(K1621,VOL_REC[],2,FALSE),0)</f>
        <v>240696.79238099116</v>
      </c>
      <c r="BB1621" s="246">
        <f>IFERROR(VLOOKUP(L1621,VOL_REC[],2,FALSE),0)</f>
        <v>105072</v>
      </c>
      <c r="BC1621" s="246">
        <f>IFERROR(VLOOKUP(M1621,VOL_REC[],2,FALSE),0)</f>
        <v>740113.98115702497</v>
      </c>
      <c r="BD1621" s="246">
        <f>IFERROR(VLOOKUP(N1621,VOL_REC[],2,FALSE),0)</f>
        <v>0</v>
      </c>
      <c r="BE1621" s="246">
        <f>IFERROR(VLOOKUP(O1621,VOL_REC[],2,FALSE),0)</f>
        <v>0</v>
      </c>
      <c r="BF1621" s="246">
        <f>IFERROR(VLOOKUP(P1621,VOL_REC[],2,FALSE),0)</f>
        <v>0</v>
      </c>
      <c r="BG1621" s="246">
        <f>IFERROR(VLOOKUP(Q1621,VOL_REC[],2,FALSE),0)</f>
        <v>0</v>
      </c>
      <c r="BH1621" s="1710">
        <f t="shared" si="100"/>
        <v>24318843517.712368</v>
      </c>
      <c r="BI1621" s="1710">
        <f t="shared" si="101"/>
        <v>27194472791.85218</v>
      </c>
      <c r="BJ1621" s="1711">
        <f t="shared" si="102"/>
        <v>33380058.921237767</v>
      </c>
      <c r="BK1621" s="1711">
        <f t="shared" si="103"/>
        <v>0.89425684784735415</v>
      </c>
    </row>
    <row r="1622" spans="3:67" x14ac:dyDescent="0.25">
      <c r="C1622" s="246" t="s">
        <v>2972</v>
      </c>
      <c r="D1622" s="246">
        <v>1</v>
      </c>
      <c r="E1622" s="246">
        <v>2</v>
      </c>
      <c r="F1622" s="246">
        <v>3</v>
      </c>
      <c r="G1622" s="246">
        <v>4</v>
      </c>
      <c r="H1622" s="246">
        <v>6</v>
      </c>
      <c r="I1622" s="246">
        <v>9</v>
      </c>
      <c r="J1622" s="246">
        <v>10</v>
      </c>
      <c r="K1622" s="246">
        <v>12</v>
      </c>
      <c r="L1622" s="246">
        <v>16</v>
      </c>
      <c r="M1622" s="246">
        <v>17</v>
      </c>
      <c r="N1622" s="246"/>
      <c r="O1622" s="246"/>
      <c r="P1622" s="246"/>
      <c r="Q1622" s="246"/>
      <c r="R1622" s="246">
        <f>IFERROR(VLOOKUP(D1622,PROGRAMAS[],2,FALSE),0)</f>
        <v>97037803.679377079</v>
      </c>
      <c r="S1622" s="246">
        <f>IFERROR(VLOOKUP(E1622,PROGRAMAS[],2,FALSE),0)</f>
        <v>640501509.6821388</v>
      </c>
      <c r="T1622" s="246">
        <f>IFERROR(VLOOKUP(F1622,PROGRAMAS[],2,FALSE),0)</f>
        <v>3062327798.1525245</v>
      </c>
      <c r="U1622" s="246">
        <f>IFERROR(VLOOKUP(G1622,PROGRAMAS[],2,FALSE),0)</f>
        <v>67697118.033011258</v>
      </c>
      <c r="V1622" s="246">
        <f>IFERROR(VLOOKUP(H1622,PROGRAMAS[],2,FALSE),0)</f>
        <v>6907648435.8447599</v>
      </c>
      <c r="W1622" s="246">
        <f>IFERROR(VLOOKUP(I1622,PROGRAMAS[],2,FALSE),0)</f>
        <v>6128579952.1618185</v>
      </c>
      <c r="X1622" s="246">
        <f>IFERROR(VLOOKUP(J1622,PROGRAMAS[],2,FALSE),0)</f>
        <v>4635315027.8751087</v>
      </c>
      <c r="Y1622" s="246">
        <f>IFERROR(VLOOKUP(K1622,PROGRAMAS[],2,FALSE),0)</f>
        <v>764796700.79905891</v>
      </c>
      <c r="Z1622" s="246">
        <f>IFERROR(VLOOKUP(L1622,PROGRAMAS[],2,FALSE),0)</f>
        <v>7068496961.0436354</v>
      </c>
      <c r="AA1622" s="246">
        <f>IFERROR(VLOOKUP(M1622,PROGRAMAS[],2,FALSE),0)</f>
        <v>1892779498.5211046</v>
      </c>
      <c r="AB1622" s="246">
        <f>IFERROR(VLOOKUP(N1622,PROGRAMAS[],2,FALSE),0)</f>
        <v>0</v>
      </c>
      <c r="AC1622" s="246">
        <f>IFERROR(VLOOKUP(O1622,PROGRAMAS[],2,FALSE),0)</f>
        <v>0</v>
      </c>
      <c r="AD1622" s="246">
        <f>IFERROR(VLOOKUP(P1622,PROGRAMAS[],2,FALSE),0)</f>
        <v>0</v>
      </c>
      <c r="AE1622" s="246">
        <f>IFERROR(VLOOKUP(Q1622,PROGRAMAS[],2,FALSE),0)</f>
        <v>0</v>
      </c>
      <c r="AF1622" s="246">
        <f>IFERROR(VLOOKUP(D1622,PROGRAMAS[],3,FALSE),0)</f>
        <v>841888629.31080008</v>
      </c>
      <c r="AG1622" s="246">
        <f>IFERROR(VLOOKUP(E1622,PROGRAMAS[],3,FALSE),0)</f>
        <v>3848980803.1642323</v>
      </c>
      <c r="AH1622" s="246">
        <f>IFERROR(VLOOKUP(F1622,PROGRAMAS[],3,FALSE),0)</f>
        <v>3394901471.387517</v>
      </c>
      <c r="AI1622" s="246">
        <f>IFERROR(VLOOKUP(G1622,PROGRAMAS[],3,FALSE),0)</f>
        <v>125317226.95549992</v>
      </c>
      <c r="AJ1622" s="246">
        <f>IFERROR(VLOOKUP(H1622,PROGRAMAS[],3,FALSE),0)</f>
        <v>6129902208.7912121</v>
      </c>
      <c r="AK1622" s="246">
        <f>IFERROR(VLOOKUP(I1622,PROGRAMAS[],3,FALSE),0)</f>
        <v>7011279577.519702</v>
      </c>
      <c r="AL1622" s="246">
        <f>IFERROR(VLOOKUP(J1622,PROGRAMAS[],3,FALSE),0)</f>
        <v>4099471734.9978786</v>
      </c>
      <c r="AM1622" s="246">
        <f>IFERROR(VLOOKUP(K1622,PROGRAMAS[],3,FALSE),0)</f>
        <v>675517840.109828</v>
      </c>
      <c r="AN1622" s="246">
        <f>IFERROR(VLOOKUP(L1622,PROGRAMAS[],3,FALSE),0)</f>
        <v>2406564599.0319901</v>
      </c>
      <c r="AO1622" s="246">
        <f>IFERROR(VLOOKUP(M1622,PROGRAMAS[],3,FALSE),0)</f>
        <v>948595847.09039903</v>
      </c>
      <c r="AP1622" s="246">
        <f>IFERROR(VLOOKUP(N1622,PROGRAMAS[],3,FALSE),0)</f>
        <v>0</v>
      </c>
      <c r="AQ1622" s="246">
        <f>IFERROR(VLOOKUP(O1622,PROGRAMAS[],3,FALSE),0)</f>
        <v>0</v>
      </c>
      <c r="AR1622" s="246">
        <f>IFERROR(VLOOKUP(P1622,PROGRAMAS[],3,FALSE),0)</f>
        <v>0</v>
      </c>
      <c r="AS1622" s="246">
        <f>IFERROR(VLOOKUP(Q1622,PROGRAMAS[],3,FALSE),0)</f>
        <v>0</v>
      </c>
      <c r="AT1622" s="246">
        <f>IFERROR(VLOOKUP(D1622,VOL_REC[],2,FALSE),0)</f>
        <v>0</v>
      </c>
      <c r="AU1622" s="246">
        <f>IFERROR(VLOOKUP(E1622,VOL_REC[],2,FALSE),0)</f>
        <v>0</v>
      </c>
      <c r="AV1622" s="246">
        <f>IFERROR(VLOOKUP(F1622,VOL_REC[],2,FALSE),0)</f>
        <v>11089674.200000001</v>
      </c>
      <c r="AW1622" s="246">
        <f>IFERROR(VLOOKUP(G1622,VOL_REC[],2,FALSE),0)</f>
        <v>90439.55</v>
      </c>
      <c r="AX1622" s="246">
        <f>IFERROR(VLOOKUP(H1622,VOL_REC[],2,FALSE),0)</f>
        <v>15540036.397699751</v>
      </c>
      <c r="AY1622" s="246">
        <f>IFERROR(VLOOKUP(I1622,VOL_REC[],2,FALSE),0)</f>
        <v>3761786</v>
      </c>
      <c r="AZ1622" s="246">
        <f>IFERROR(VLOOKUP(J1622,VOL_REC[],2,FALSE),0)</f>
        <v>1812240</v>
      </c>
      <c r="BA1622" s="246">
        <f>IFERROR(VLOOKUP(K1622,VOL_REC[],2,FALSE),0)</f>
        <v>240696.79238099116</v>
      </c>
      <c r="BB1622" s="246">
        <f>IFERROR(VLOOKUP(L1622,VOL_REC[],2,FALSE),0)</f>
        <v>1072354.9981737854</v>
      </c>
      <c r="BC1622" s="246">
        <f>IFERROR(VLOOKUP(M1622,VOL_REC[],2,FALSE),0)</f>
        <v>740113.98115702497</v>
      </c>
      <c r="BD1622" s="246">
        <f>IFERROR(VLOOKUP(N1622,VOL_REC[],2,FALSE),0)</f>
        <v>0</v>
      </c>
      <c r="BE1622" s="246">
        <f>IFERROR(VLOOKUP(O1622,VOL_REC[],2,FALSE),0)</f>
        <v>0</v>
      </c>
      <c r="BF1622" s="246">
        <f>IFERROR(VLOOKUP(P1622,VOL_REC[],2,FALSE),0)</f>
        <v>0</v>
      </c>
      <c r="BG1622" s="246">
        <f>IFERROR(VLOOKUP(Q1622,VOL_REC[],2,FALSE),0)</f>
        <v>0</v>
      </c>
      <c r="BH1622" s="1710">
        <f t="shared" si="100"/>
        <v>31265180805.792538</v>
      </c>
      <c r="BI1622" s="1710">
        <f t="shared" si="101"/>
        <v>29482419938.359062</v>
      </c>
      <c r="BJ1622" s="1711">
        <f t="shared" si="102"/>
        <v>34347341.919411555</v>
      </c>
      <c r="BK1622" s="1711">
        <f t="shared" si="103"/>
        <v>1.0604686070940179</v>
      </c>
      <c r="BL1622">
        <f>BJ1622</f>
        <v>34347341.919411555</v>
      </c>
      <c r="BO1622">
        <f>BL1622</f>
        <v>34347341.919411555</v>
      </c>
    </row>
    <row r="1623" spans="3:67" x14ac:dyDescent="0.25">
      <c r="C1623" s="246" t="s">
        <v>2973</v>
      </c>
      <c r="D1623" s="246">
        <v>1</v>
      </c>
      <c r="E1623" s="246">
        <v>2</v>
      </c>
      <c r="F1623" s="246">
        <v>3</v>
      </c>
      <c r="G1623" s="246">
        <v>4</v>
      </c>
      <c r="H1623" s="246">
        <v>6</v>
      </c>
      <c r="I1623" s="246">
        <v>9</v>
      </c>
      <c r="J1623" s="246">
        <v>10</v>
      </c>
      <c r="K1623" s="246">
        <v>13</v>
      </c>
      <c r="L1623" s="246">
        <v>14</v>
      </c>
      <c r="M1623" s="246">
        <v>15</v>
      </c>
      <c r="N1623" s="246"/>
      <c r="O1623" s="246"/>
      <c r="P1623" s="246"/>
      <c r="Q1623" s="246"/>
      <c r="R1623" s="246">
        <f>IFERROR(VLOOKUP(D1623,PROGRAMAS[],2,FALSE),0)</f>
        <v>97037803.679377079</v>
      </c>
      <c r="S1623" s="246">
        <f>IFERROR(VLOOKUP(E1623,PROGRAMAS[],2,FALSE),0)</f>
        <v>640501509.6821388</v>
      </c>
      <c r="T1623" s="246">
        <f>IFERROR(VLOOKUP(F1623,PROGRAMAS[],2,FALSE),0)</f>
        <v>3062327798.1525245</v>
      </c>
      <c r="U1623" s="246">
        <f>IFERROR(VLOOKUP(G1623,PROGRAMAS[],2,FALSE),0)</f>
        <v>67697118.033011258</v>
      </c>
      <c r="V1623" s="246">
        <f>IFERROR(VLOOKUP(H1623,PROGRAMAS[],2,FALSE),0)</f>
        <v>6907648435.8447599</v>
      </c>
      <c r="W1623" s="246">
        <f>IFERROR(VLOOKUP(I1623,PROGRAMAS[],2,FALSE),0)</f>
        <v>6128579952.1618185</v>
      </c>
      <c r="X1623" s="246">
        <f>IFERROR(VLOOKUP(J1623,PROGRAMAS[],2,FALSE),0)</f>
        <v>4635315027.8751087</v>
      </c>
      <c r="Y1623" s="246">
        <f>IFERROR(VLOOKUP(K1623,PROGRAMAS[],2,FALSE),0)</f>
        <v>3776538594.4604583</v>
      </c>
      <c r="Z1623" s="246">
        <f>IFERROR(VLOOKUP(L1623,PROGRAMAS[],2,FALSE),0)</f>
        <v>54223862.645839565</v>
      </c>
      <c r="AA1623" s="246">
        <f>IFERROR(VLOOKUP(M1623,PROGRAMAS[],2,FALSE),0)</f>
        <v>122159672.96346797</v>
      </c>
      <c r="AB1623" s="246">
        <f>IFERROR(VLOOKUP(N1623,PROGRAMAS[],2,FALSE),0)</f>
        <v>0</v>
      </c>
      <c r="AC1623" s="246">
        <f>IFERROR(VLOOKUP(O1623,PROGRAMAS[],2,FALSE),0)</f>
        <v>0</v>
      </c>
      <c r="AD1623" s="246">
        <f>IFERROR(VLOOKUP(P1623,PROGRAMAS[],2,FALSE),0)</f>
        <v>0</v>
      </c>
      <c r="AE1623" s="246">
        <f>IFERROR(VLOOKUP(Q1623,PROGRAMAS[],2,FALSE),0)</f>
        <v>0</v>
      </c>
      <c r="AF1623" s="246">
        <f>IFERROR(VLOOKUP(D1623,PROGRAMAS[],3,FALSE),0)</f>
        <v>841888629.31080008</v>
      </c>
      <c r="AG1623" s="246">
        <f>IFERROR(VLOOKUP(E1623,PROGRAMAS[],3,FALSE),0)</f>
        <v>3848980803.1642323</v>
      </c>
      <c r="AH1623" s="246">
        <f>IFERROR(VLOOKUP(F1623,PROGRAMAS[],3,FALSE),0)</f>
        <v>3394901471.387517</v>
      </c>
      <c r="AI1623" s="246">
        <f>IFERROR(VLOOKUP(G1623,PROGRAMAS[],3,FALSE),0)</f>
        <v>125317226.95549992</v>
      </c>
      <c r="AJ1623" s="246">
        <f>IFERROR(VLOOKUP(H1623,PROGRAMAS[],3,FALSE),0)</f>
        <v>6129902208.7912121</v>
      </c>
      <c r="AK1623" s="246">
        <f>IFERROR(VLOOKUP(I1623,PROGRAMAS[],3,FALSE),0)</f>
        <v>7011279577.519702</v>
      </c>
      <c r="AL1623" s="246">
        <f>IFERROR(VLOOKUP(J1623,PROGRAMAS[],3,FALSE),0)</f>
        <v>4099471734.9978786</v>
      </c>
      <c r="AM1623" s="246">
        <f>IFERROR(VLOOKUP(K1623,PROGRAMAS[],3,FALSE),0)</f>
        <v>2392571243.5584412</v>
      </c>
      <c r="AN1623" s="246">
        <f>IFERROR(VLOOKUP(L1623,PROGRAMAS[],3,FALSE),0)</f>
        <v>31865326.38096505</v>
      </c>
      <c r="AO1623" s="246">
        <f>IFERROR(VLOOKUP(M1623,PROGRAMAS[],3,FALSE),0)</f>
        <v>118617452.52510804</v>
      </c>
      <c r="AP1623" s="246">
        <f>IFERROR(VLOOKUP(N1623,PROGRAMAS[],3,FALSE),0)</f>
        <v>0</v>
      </c>
      <c r="AQ1623" s="246">
        <f>IFERROR(VLOOKUP(O1623,PROGRAMAS[],3,FALSE),0)</f>
        <v>0</v>
      </c>
      <c r="AR1623" s="246">
        <f>IFERROR(VLOOKUP(P1623,PROGRAMAS[],3,FALSE),0)</f>
        <v>0</v>
      </c>
      <c r="AS1623" s="246">
        <f>IFERROR(VLOOKUP(Q1623,PROGRAMAS[],3,FALSE),0)</f>
        <v>0</v>
      </c>
      <c r="AT1623" s="246">
        <f>IFERROR(VLOOKUP(D1623,VOL_REC[],2,FALSE),0)</f>
        <v>0</v>
      </c>
      <c r="AU1623" s="246">
        <f>IFERROR(VLOOKUP(E1623,VOL_REC[],2,FALSE),0)</f>
        <v>0</v>
      </c>
      <c r="AV1623" s="246">
        <f>IFERROR(VLOOKUP(F1623,VOL_REC[],2,FALSE),0)</f>
        <v>11089674.200000001</v>
      </c>
      <c r="AW1623" s="246">
        <f>IFERROR(VLOOKUP(G1623,VOL_REC[],2,FALSE),0)</f>
        <v>90439.55</v>
      </c>
      <c r="AX1623" s="246">
        <f>IFERROR(VLOOKUP(H1623,VOL_REC[],2,FALSE),0)</f>
        <v>15540036.397699751</v>
      </c>
      <c r="AY1623" s="246">
        <f>IFERROR(VLOOKUP(I1623,VOL_REC[],2,FALSE),0)</f>
        <v>3761786</v>
      </c>
      <c r="AZ1623" s="246">
        <f>IFERROR(VLOOKUP(J1623,VOL_REC[],2,FALSE),0)</f>
        <v>1812240</v>
      </c>
      <c r="BA1623" s="246">
        <f>IFERROR(VLOOKUP(K1623,VOL_REC[],2,FALSE),0)</f>
        <v>663244.80000000016</v>
      </c>
      <c r="BB1623" s="246">
        <f>IFERROR(VLOOKUP(L1623,VOL_REC[],2,FALSE),0)</f>
        <v>17074.045034105649</v>
      </c>
      <c r="BC1623" s="246">
        <f>IFERROR(VLOOKUP(M1623,VOL_REC[],2,FALSE),0)</f>
        <v>105072</v>
      </c>
      <c r="BD1623" s="246">
        <f>IFERROR(VLOOKUP(N1623,VOL_REC[],2,FALSE),0)</f>
        <v>0</v>
      </c>
      <c r="BE1623" s="246">
        <f>IFERROR(VLOOKUP(O1623,VOL_REC[],2,FALSE),0)</f>
        <v>0</v>
      </c>
      <c r="BF1623" s="246">
        <f>IFERROR(VLOOKUP(P1623,VOL_REC[],2,FALSE),0)</f>
        <v>0</v>
      </c>
      <c r="BG1623" s="246">
        <f>IFERROR(VLOOKUP(Q1623,VOL_REC[],2,FALSE),0)</f>
        <v>0</v>
      </c>
      <c r="BH1623" s="1710">
        <f t="shared" si="100"/>
        <v>25492029775.498505</v>
      </c>
      <c r="BI1623" s="1710">
        <f t="shared" si="101"/>
        <v>27994795674.591358</v>
      </c>
      <c r="BJ1623" s="1711">
        <f t="shared" si="102"/>
        <v>33079566.992733859</v>
      </c>
      <c r="BK1623" s="1711">
        <f t="shared" si="103"/>
        <v>0.91059888672934963</v>
      </c>
    </row>
    <row r="1624" spans="3:67" x14ac:dyDescent="0.25">
      <c r="C1624" s="246" t="s">
        <v>2974</v>
      </c>
      <c r="D1624" s="246">
        <v>1</v>
      </c>
      <c r="E1624" s="246">
        <v>2</v>
      </c>
      <c r="F1624" s="246">
        <v>3</v>
      </c>
      <c r="G1624" s="246">
        <v>4</v>
      </c>
      <c r="H1624" s="246">
        <v>6</v>
      </c>
      <c r="I1624" s="246">
        <v>9</v>
      </c>
      <c r="J1624" s="246">
        <v>10</v>
      </c>
      <c r="K1624" s="246">
        <v>13</v>
      </c>
      <c r="L1624" s="246">
        <v>14</v>
      </c>
      <c r="M1624" s="246">
        <v>16</v>
      </c>
      <c r="N1624" s="246"/>
      <c r="O1624" s="246"/>
      <c r="P1624" s="246"/>
      <c r="Q1624" s="246"/>
      <c r="R1624" s="246">
        <f>IFERROR(VLOOKUP(D1624,PROGRAMAS[],2,FALSE),0)</f>
        <v>97037803.679377079</v>
      </c>
      <c r="S1624" s="246">
        <f>IFERROR(VLOOKUP(E1624,PROGRAMAS[],2,FALSE),0)</f>
        <v>640501509.6821388</v>
      </c>
      <c r="T1624" s="246">
        <f>IFERROR(VLOOKUP(F1624,PROGRAMAS[],2,FALSE),0)</f>
        <v>3062327798.1525245</v>
      </c>
      <c r="U1624" s="246">
        <f>IFERROR(VLOOKUP(G1624,PROGRAMAS[],2,FALSE),0)</f>
        <v>67697118.033011258</v>
      </c>
      <c r="V1624" s="246">
        <f>IFERROR(VLOOKUP(H1624,PROGRAMAS[],2,FALSE),0)</f>
        <v>6907648435.8447599</v>
      </c>
      <c r="W1624" s="246">
        <f>IFERROR(VLOOKUP(I1624,PROGRAMAS[],2,FALSE),0)</f>
        <v>6128579952.1618185</v>
      </c>
      <c r="X1624" s="246">
        <f>IFERROR(VLOOKUP(J1624,PROGRAMAS[],2,FALSE),0)</f>
        <v>4635315027.8751087</v>
      </c>
      <c r="Y1624" s="246">
        <f>IFERROR(VLOOKUP(K1624,PROGRAMAS[],2,FALSE),0)</f>
        <v>3776538594.4604583</v>
      </c>
      <c r="Z1624" s="246">
        <f>IFERROR(VLOOKUP(L1624,PROGRAMAS[],2,FALSE),0)</f>
        <v>54223862.645839565</v>
      </c>
      <c r="AA1624" s="246">
        <f>IFERROR(VLOOKUP(M1624,PROGRAMAS[],2,FALSE),0)</f>
        <v>7068496961.0436354</v>
      </c>
      <c r="AB1624" s="246">
        <f>IFERROR(VLOOKUP(N1624,PROGRAMAS[],2,FALSE),0)</f>
        <v>0</v>
      </c>
      <c r="AC1624" s="246">
        <f>IFERROR(VLOOKUP(O1624,PROGRAMAS[],2,FALSE),0)</f>
        <v>0</v>
      </c>
      <c r="AD1624" s="246">
        <f>IFERROR(VLOOKUP(P1624,PROGRAMAS[],2,FALSE),0)</f>
        <v>0</v>
      </c>
      <c r="AE1624" s="246">
        <f>IFERROR(VLOOKUP(Q1624,PROGRAMAS[],2,FALSE),0)</f>
        <v>0</v>
      </c>
      <c r="AF1624" s="246">
        <f>IFERROR(VLOOKUP(D1624,PROGRAMAS[],3,FALSE),0)</f>
        <v>841888629.31080008</v>
      </c>
      <c r="AG1624" s="246">
        <f>IFERROR(VLOOKUP(E1624,PROGRAMAS[],3,FALSE),0)</f>
        <v>3848980803.1642323</v>
      </c>
      <c r="AH1624" s="246">
        <f>IFERROR(VLOOKUP(F1624,PROGRAMAS[],3,FALSE),0)</f>
        <v>3394901471.387517</v>
      </c>
      <c r="AI1624" s="246">
        <f>IFERROR(VLOOKUP(G1624,PROGRAMAS[],3,FALSE),0)</f>
        <v>125317226.95549992</v>
      </c>
      <c r="AJ1624" s="246">
        <f>IFERROR(VLOOKUP(H1624,PROGRAMAS[],3,FALSE),0)</f>
        <v>6129902208.7912121</v>
      </c>
      <c r="AK1624" s="246">
        <f>IFERROR(VLOOKUP(I1624,PROGRAMAS[],3,FALSE),0)</f>
        <v>7011279577.519702</v>
      </c>
      <c r="AL1624" s="246">
        <f>IFERROR(VLOOKUP(J1624,PROGRAMAS[],3,FALSE),0)</f>
        <v>4099471734.9978786</v>
      </c>
      <c r="AM1624" s="246">
        <f>IFERROR(VLOOKUP(K1624,PROGRAMAS[],3,FALSE),0)</f>
        <v>2392571243.5584412</v>
      </c>
      <c r="AN1624" s="246">
        <f>IFERROR(VLOOKUP(L1624,PROGRAMAS[],3,FALSE),0)</f>
        <v>31865326.38096505</v>
      </c>
      <c r="AO1624" s="246">
        <f>IFERROR(VLOOKUP(M1624,PROGRAMAS[],3,FALSE),0)</f>
        <v>2406564599.0319901</v>
      </c>
      <c r="AP1624" s="246">
        <f>IFERROR(VLOOKUP(N1624,PROGRAMAS[],3,FALSE),0)</f>
        <v>0</v>
      </c>
      <c r="AQ1624" s="246">
        <f>IFERROR(VLOOKUP(O1624,PROGRAMAS[],3,FALSE),0)</f>
        <v>0</v>
      </c>
      <c r="AR1624" s="246">
        <f>IFERROR(VLOOKUP(P1624,PROGRAMAS[],3,FALSE),0)</f>
        <v>0</v>
      </c>
      <c r="AS1624" s="246">
        <f>IFERROR(VLOOKUP(Q1624,PROGRAMAS[],3,FALSE),0)</f>
        <v>0</v>
      </c>
      <c r="AT1624" s="246">
        <f>IFERROR(VLOOKUP(D1624,VOL_REC[],2,FALSE),0)</f>
        <v>0</v>
      </c>
      <c r="AU1624" s="246">
        <f>IFERROR(VLOOKUP(E1624,VOL_REC[],2,FALSE),0)</f>
        <v>0</v>
      </c>
      <c r="AV1624" s="246">
        <f>IFERROR(VLOOKUP(F1624,VOL_REC[],2,FALSE),0)</f>
        <v>11089674.200000001</v>
      </c>
      <c r="AW1624" s="246">
        <f>IFERROR(VLOOKUP(G1624,VOL_REC[],2,FALSE),0)</f>
        <v>90439.55</v>
      </c>
      <c r="AX1624" s="246">
        <f>IFERROR(VLOOKUP(H1624,VOL_REC[],2,FALSE),0)</f>
        <v>15540036.397699751</v>
      </c>
      <c r="AY1624" s="246">
        <f>IFERROR(VLOOKUP(I1624,VOL_REC[],2,FALSE),0)</f>
        <v>3761786</v>
      </c>
      <c r="AZ1624" s="246">
        <f>IFERROR(VLOOKUP(J1624,VOL_REC[],2,FALSE),0)</f>
        <v>1812240</v>
      </c>
      <c r="BA1624" s="246">
        <f>IFERROR(VLOOKUP(K1624,VOL_REC[],2,FALSE),0)</f>
        <v>663244.80000000016</v>
      </c>
      <c r="BB1624" s="246">
        <f>IFERROR(VLOOKUP(L1624,VOL_REC[],2,FALSE),0)</f>
        <v>17074.045034105649</v>
      </c>
      <c r="BC1624" s="246">
        <f>IFERROR(VLOOKUP(M1624,VOL_REC[],2,FALSE),0)</f>
        <v>1072354.9981737854</v>
      </c>
      <c r="BD1624" s="246">
        <f>IFERROR(VLOOKUP(N1624,VOL_REC[],2,FALSE),0)</f>
        <v>0</v>
      </c>
      <c r="BE1624" s="246">
        <f>IFERROR(VLOOKUP(O1624,VOL_REC[],2,FALSE),0)</f>
        <v>0</v>
      </c>
      <c r="BF1624" s="246">
        <f>IFERROR(VLOOKUP(P1624,VOL_REC[],2,FALSE),0)</f>
        <v>0</v>
      </c>
      <c r="BG1624" s="246">
        <f>IFERROR(VLOOKUP(Q1624,VOL_REC[],2,FALSE),0)</f>
        <v>0</v>
      </c>
      <c r="BH1624" s="1710">
        <f t="shared" si="100"/>
        <v>32438367063.578674</v>
      </c>
      <c r="BI1624" s="1710">
        <f t="shared" si="101"/>
        <v>30282742821.09824</v>
      </c>
      <c r="BJ1624" s="1711">
        <f t="shared" si="102"/>
        <v>34046849.990907647</v>
      </c>
      <c r="BK1624" s="1711">
        <f t="shared" si="103"/>
        <v>1.071183256259687</v>
      </c>
      <c r="BL1624">
        <f>BJ1624</f>
        <v>34046849.990907647</v>
      </c>
      <c r="BO1624">
        <f>BL1624</f>
        <v>34046849.990907647</v>
      </c>
    </row>
    <row r="1625" spans="3:67" x14ac:dyDescent="0.25">
      <c r="C1625" s="246" t="s">
        <v>2975</v>
      </c>
      <c r="D1625" s="246">
        <v>1</v>
      </c>
      <c r="E1625" s="246">
        <v>2</v>
      </c>
      <c r="F1625" s="246">
        <v>3</v>
      </c>
      <c r="G1625" s="246">
        <v>4</v>
      </c>
      <c r="H1625" s="246">
        <v>6</v>
      </c>
      <c r="I1625" s="246">
        <v>9</v>
      </c>
      <c r="J1625" s="246">
        <v>10</v>
      </c>
      <c r="K1625" s="246">
        <v>13</v>
      </c>
      <c r="L1625" s="246">
        <v>14</v>
      </c>
      <c r="M1625" s="246">
        <v>17</v>
      </c>
      <c r="N1625" s="246"/>
      <c r="O1625" s="246"/>
      <c r="P1625" s="246"/>
      <c r="Q1625" s="246"/>
      <c r="R1625" s="246">
        <f>IFERROR(VLOOKUP(D1625,PROGRAMAS[],2,FALSE),0)</f>
        <v>97037803.679377079</v>
      </c>
      <c r="S1625" s="246">
        <f>IFERROR(VLOOKUP(E1625,PROGRAMAS[],2,FALSE),0)</f>
        <v>640501509.6821388</v>
      </c>
      <c r="T1625" s="246">
        <f>IFERROR(VLOOKUP(F1625,PROGRAMAS[],2,FALSE),0)</f>
        <v>3062327798.1525245</v>
      </c>
      <c r="U1625" s="246">
        <f>IFERROR(VLOOKUP(G1625,PROGRAMAS[],2,FALSE),0)</f>
        <v>67697118.033011258</v>
      </c>
      <c r="V1625" s="246">
        <f>IFERROR(VLOOKUP(H1625,PROGRAMAS[],2,FALSE),0)</f>
        <v>6907648435.8447599</v>
      </c>
      <c r="W1625" s="246">
        <f>IFERROR(VLOOKUP(I1625,PROGRAMAS[],2,FALSE),0)</f>
        <v>6128579952.1618185</v>
      </c>
      <c r="X1625" s="246">
        <f>IFERROR(VLOOKUP(J1625,PROGRAMAS[],2,FALSE),0)</f>
        <v>4635315027.8751087</v>
      </c>
      <c r="Y1625" s="246">
        <f>IFERROR(VLOOKUP(K1625,PROGRAMAS[],2,FALSE),0)</f>
        <v>3776538594.4604583</v>
      </c>
      <c r="Z1625" s="246">
        <f>IFERROR(VLOOKUP(L1625,PROGRAMAS[],2,FALSE),0)</f>
        <v>54223862.645839565</v>
      </c>
      <c r="AA1625" s="246">
        <f>IFERROR(VLOOKUP(M1625,PROGRAMAS[],2,FALSE),0)</f>
        <v>1892779498.5211046</v>
      </c>
      <c r="AB1625" s="246">
        <f>IFERROR(VLOOKUP(N1625,PROGRAMAS[],2,FALSE),0)</f>
        <v>0</v>
      </c>
      <c r="AC1625" s="246">
        <f>IFERROR(VLOOKUP(O1625,PROGRAMAS[],2,FALSE),0)</f>
        <v>0</v>
      </c>
      <c r="AD1625" s="246">
        <f>IFERROR(VLOOKUP(P1625,PROGRAMAS[],2,FALSE),0)</f>
        <v>0</v>
      </c>
      <c r="AE1625" s="246">
        <f>IFERROR(VLOOKUP(Q1625,PROGRAMAS[],2,FALSE),0)</f>
        <v>0</v>
      </c>
      <c r="AF1625" s="246">
        <f>IFERROR(VLOOKUP(D1625,PROGRAMAS[],3,FALSE),0)</f>
        <v>841888629.31080008</v>
      </c>
      <c r="AG1625" s="246">
        <f>IFERROR(VLOOKUP(E1625,PROGRAMAS[],3,FALSE),0)</f>
        <v>3848980803.1642323</v>
      </c>
      <c r="AH1625" s="246">
        <f>IFERROR(VLOOKUP(F1625,PROGRAMAS[],3,FALSE),0)</f>
        <v>3394901471.387517</v>
      </c>
      <c r="AI1625" s="246">
        <f>IFERROR(VLOOKUP(G1625,PROGRAMAS[],3,FALSE),0)</f>
        <v>125317226.95549992</v>
      </c>
      <c r="AJ1625" s="246">
        <f>IFERROR(VLOOKUP(H1625,PROGRAMAS[],3,FALSE),0)</f>
        <v>6129902208.7912121</v>
      </c>
      <c r="AK1625" s="246">
        <f>IFERROR(VLOOKUP(I1625,PROGRAMAS[],3,FALSE),0)</f>
        <v>7011279577.519702</v>
      </c>
      <c r="AL1625" s="246">
        <f>IFERROR(VLOOKUP(J1625,PROGRAMAS[],3,FALSE),0)</f>
        <v>4099471734.9978786</v>
      </c>
      <c r="AM1625" s="246">
        <f>IFERROR(VLOOKUP(K1625,PROGRAMAS[],3,FALSE),0)</f>
        <v>2392571243.5584412</v>
      </c>
      <c r="AN1625" s="246">
        <f>IFERROR(VLOOKUP(L1625,PROGRAMAS[],3,FALSE),0)</f>
        <v>31865326.38096505</v>
      </c>
      <c r="AO1625" s="246">
        <f>IFERROR(VLOOKUP(M1625,PROGRAMAS[],3,FALSE),0)</f>
        <v>948595847.09039903</v>
      </c>
      <c r="AP1625" s="246">
        <f>IFERROR(VLOOKUP(N1625,PROGRAMAS[],3,FALSE),0)</f>
        <v>0</v>
      </c>
      <c r="AQ1625" s="246">
        <f>IFERROR(VLOOKUP(O1625,PROGRAMAS[],3,FALSE),0)</f>
        <v>0</v>
      </c>
      <c r="AR1625" s="246">
        <f>IFERROR(VLOOKUP(P1625,PROGRAMAS[],3,FALSE),0)</f>
        <v>0</v>
      </c>
      <c r="AS1625" s="246">
        <f>IFERROR(VLOOKUP(Q1625,PROGRAMAS[],3,FALSE),0)</f>
        <v>0</v>
      </c>
      <c r="AT1625" s="246">
        <f>IFERROR(VLOOKUP(D1625,VOL_REC[],2,FALSE),0)</f>
        <v>0</v>
      </c>
      <c r="AU1625" s="246">
        <f>IFERROR(VLOOKUP(E1625,VOL_REC[],2,FALSE),0)</f>
        <v>0</v>
      </c>
      <c r="AV1625" s="246">
        <f>IFERROR(VLOOKUP(F1625,VOL_REC[],2,FALSE),0)</f>
        <v>11089674.200000001</v>
      </c>
      <c r="AW1625" s="246">
        <f>IFERROR(VLOOKUP(G1625,VOL_REC[],2,FALSE),0)</f>
        <v>90439.55</v>
      </c>
      <c r="AX1625" s="246">
        <f>IFERROR(VLOOKUP(H1625,VOL_REC[],2,FALSE),0)</f>
        <v>15540036.397699751</v>
      </c>
      <c r="AY1625" s="246">
        <f>IFERROR(VLOOKUP(I1625,VOL_REC[],2,FALSE),0)</f>
        <v>3761786</v>
      </c>
      <c r="AZ1625" s="246">
        <f>IFERROR(VLOOKUP(J1625,VOL_REC[],2,FALSE),0)</f>
        <v>1812240</v>
      </c>
      <c r="BA1625" s="246">
        <f>IFERROR(VLOOKUP(K1625,VOL_REC[],2,FALSE),0)</f>
        <v>663244.80000000016</v>
      </c>
      <c r="BB1625" s="246">
        <f>IFERROR(VLOOKUP(L1625,VOL_REC[],2,FALSE),0)</f>
        <v>17074.045034105649</v>
      </c>
      <c r="BC1625" s="246">
        <f>IFERROR(VLOOKUP(M1625,VOL_REC[],2,FALSE),0)</f>
        <v>740113.98115702497</v>
      </c>
      <c r="BD1625" s="246">
        <f>IFERROR(VLOOKUP(N1625,VOL_REC[],2,FALSE),0)</f>
        <v>0</v>
      </c>
      <c r="BE1625" s="246">
        <f>IFERROR(VLOOKUP(O1625,VOL_REC[],2,FALSE),0)</f>
        <v>0</v>
      </c>
      <c r="BF1625" s="246">
        <f>IFERROR(VLOOKUP(P1625,VOL_REC[],2,FALSE),0)</f>
        <v>0</v>
      </c>
      <c r="BG1625" s="246">
        <f>IFERROR(VLOOKUP(Q1625,VOL_REC[],2,FALSE),0)</f>
        <v>0</v>
      </c>
      <c r="BH1625" s="1710">
        <f t="shared" si="100"/>
        <v>27262649601.056141</v>
      </c>
      <c r="BI1625" s="1710">
        <f t="shared" si="101"/>
        <v>28824774069.156651</v>
      </c>
      <c r="BJ1625" s="1711">
        <f t="shared" si="102"/>
        <v>33714608.973890886</v>
      </c>
      <c r="BK1625" s="1711">
        <f t="shared" si="103"/>
        <v>0.94580618518109982</v>
      </c>
    </row>
    <row r="1626" spans="3:67" x14ac:dyDescent="0.25">
      <c r="C1626" s="246" t="s">
        <v>2976</v>
      </c>
      <c r="D1626" s="246">
        <v>1</v>
      </c>
      <c r="E1626" s="246">
        <v>2</v>
      </c>
      <c r="F1626" s="246">
        <v>3</v>
      </c>
      <c r="G1626" s="246">
        <v>4</v>
      </c>
      <c r="H1626" s="246">
        <v>6</v>
      </c>
      <c r="I1626" s="246">
        <v>9</v>
      </c>
      <c r="J1626" s="246">
        <v>10</v>
      </c>
      <c r="K1626" s="246">
        <v>13</v>
      </c>
      <c r="L1626" s="246">
        <v>15</v>
      </c>
      <c r="M1626" s="246">
        <v>16</v>
      </c>
      <c r="N1626" s="246"/>
      <c r="O1626" s="246"/>
      <c r="P1626" s="246"/>
      <c r="Q1626" s="246"/>
      <c r="R1626" s="246">
        <f>IFERROR(VLOOKUP(D1626,PROGRAMAS[],2,FALSE),0)</f>
        <v>97037803.679377079</v>
      </c>
      <c r="S1626" s="246">
        <f>IFERROR(VLOOKUP(E1626,PROGRAMAS[],2,FALSE),0)</f>
        <v>640501509.6821388</v>
      </c>
      <c r="T1626" s="246">
        <f>IFERROR(VLOOKUP(F1626,PROGRAMAS[],2,FALSE),0)</f>
        <v>3062327798.1525245</v>
      </c>
      <c r="U1626" s="246">
        <f>IFERROR(VLOOKUP(G1626,PROGRAMAS[],2,FALSE),0)</f>
        <v>67697118.033011258</v>
      </c>
      <c r="V1626" s="246">
        <f>IFERROR(VLOOKUP(H1626,PROGRAMAS[],2,FALSE),0)</f>
        <v>6907648435.8447599</v>
      </c>
      <c r="W1626" s="246">
        <f>IFERROR(VLOOKUP(I1626,PROGRAMAS[],2,FALSE),0)</f>
        <v>6128579952.1618185</v>
      </c>
      <c r="X1626" s="246">
        <f>IFERROR(VLOOKUP(J1626,PROGRAMAS[],2,FALSE),0)</f>
        <v>4635315027.8751087</v>
      </c>
      <c r="Y1626" s="246">
        <f>IFERROR(VLOOKUP(K1626,PROGRAMAS[],2,FALSE),0)</f>
        <v>3776538594.4604583</v>
      </c>
      <c r="Z1626" s="246">
        <f>IFERROR(VLOOKUP(L1626,PROGRAMAS[],2,FALSE),0)</f>
        <v>122159672.96346797</v>
      </c>
      <c r="AA1626" s="246">
        <f>IFERROR(VLOOKUP(M1626,PROGRAMAS[],2,FALSE),0)</f>
        <v>7068496961.0436354</v>
      </c>
      <c r="AB1626" s="246">
        <f>IFERROR(VLOOKUP(N1626,PROGRAMAS[],2,FALSE),0)</f>
        <v>0</v>
      </c>
      <c r="AC1626" s="246">
        <f>IFERROR(VLOOKUP(O1626,PROGRAMAS[],2,FALSE),0)</f>
        <v>0</v>
      </c>
      <c r="AD1626" s="246">
        <f>IFERROR(VLOOKUP(P1626,PROGRAMAS[],2,FALSE),0)</f>
        <v>0</v>
      </c>
      <c r="AE1626" s="246">
        <f>IFERROR(VLOOKUP(Q1626,PROGRAMAS[],2,FALSE),0)</f>
        <v>0</v>
      </c>
      <c r="AF1626" s="246">
        <f>IFERROR(VLOOKUP(D1626,PROGRAMAS[],3,FALSE),0)</f>
        <v>841888629.31080008</v>
      </c>
      <c r="AG1626" s="246">
        <f>IFERROR(VLOOKUP(E1626,PROGRAMAS[],3,FALSE),0)</f>
        <v>3848980803.1642323</v>
      </c>
      <c r="AH1626" s="246">
        <f>IFERROR(VLOOKUP(F1626,PROGRAMAS[],3,FALSE),0)</f>
        <v>3394901471.387517</v>
      </c>
      <c r="AI1626" s="246">
        <f>IFERROR(VLOOKUP(G1626,PROGRAMAS[],3,FALSE),0)</f>
        <v>125317226.95549992</v>
      </c>
      <c r="AJ1626" s="246">
        <f>IFERROR(VLOOKUP(H1626,PROGRAMAS[],3,FALSE),0)</f>
        <v>6129902208.7912121</v>
      </c>
      <c r="AK1626" s="246">
        <f>IFERROR(VLOOKUP(I1626,PROGRAMAS[],3,FALSE),0)</f>
        <v>7011279577.519702</v>
      </c>
      <c r="AL1626" s="246">
        <f>IFERROR(VLOOKUP(J1626,PROGRAMAS[],3,FALSE),0)</f>
        <v>4099471734.9978786</v>
      </c>
      <c r="AM1626" s="246">
        <f>IFERROR(VLOOKUP(K1626,PROGRAMAS[],3,FALSE),0)</f>
        <v>2392571243.5584412</v>
      </c>
      <c r="AN1626" s="246">
        <f>IFERROR(VLOOKUP(L1626,PROGRAMAS[],3,FALSE),0)</f>
        <v>118617452.52510804</v>
      </c>
      <c r="AO1626" s="246">
        <f>IFERROR(VLOOKUP(M1626,PROGRAMAS[],3,FALSE),0)</f>
        <v>2406564599.0319901</v>
      </c>
      <c r="AP1626" s="246">
        <f>IFERROR(VLOOKUP(N1626,PROGRAMAS[],3,FALSE),0)</f>
        <v>0</v>
      </c>
      <c r="AQ1626" s="246">
        <f>IFERROR(VLOOKUP(O1626,PROGRAMAS[],3,FALSE),0)</f>
        <v>0</v>
      </c>
      <c r="AR1626" s="246">
        <f>IFERROR(VLOOKUP(P1626,PROGRAMAS[],3,FALSE),0)</f>
        <v>0</v>
      </c>
      <c r="AS1626" s="246">
        <f>IFERROR(VLOOKUP(Q1626,PROGRAMAS[],3,FALSE),0)</f>
        <v>0</v>
      </c>
      <c r="AT1626" s="246">
        <f>IFERROR(VLOOKUP(D1626,VOL_REC[],2,FALSE),0)</f>
        <v>0</v>
      </c>
      <c r="AU1626" s="246">
        <f>IFERROR(VLOOKUP(E1626,VOL_REC[],2,FALSE),0)</f>
        <v>0</v>
      </c>
      <c r="AV1626" s="246">
        <f>IFERROR(VLOOKUP(F1626,VOL_REC[],2,FALSE),0)</f>
        <v>11089674.200000001</v>
      </c>
      <c r="AW1626" s="246">
        <f>IFERROR(VLOOKUP(G1626,VOL_REC[],2,FALSE),0)</f>
        <v>90439.55</v>
      </c>
      <c r="AX1626" s="246">
        <f>IFERROR(VLOOKUP(H1626,VOL_REC[],2,FALSE),0)</f>
        <v>15540036.397699751</v>
      </c>
      <c r="AY1626" s="246">
        <f>IFERROR(VLOOKUP(I1626,VOL_REC[],2,FALSE),0)</f>
        <v>3761786</v>
      </c>
      <c r="AZ1626" s="246">
        <f>IFERROR(VLOOKUP(J1626,VOL_REC[],2,FALSE),0)</f>
        <v>1812240</v>
      </c>
      <c r="BA1626" s="246">
        <f>IFERROR(VLOOKUP(K1626,VOL_REC[],2,FALSE),0)</f>
        <v>663244.80000000016</v>
      </c>
      <c r="BB1626" s="246">
        <f>IFERROR(VLOOKUP(L1626,VOL_REC[],2,FALSE),0)</f>
        <v>105072</v>
      </c>
      <c r="BC1626" s="246">
        <f>IFERROR(VLOOKUP(M1626,VOL_REC[],2,FALSE),0)</f>
        <v>1072354.9981737854</v>
      </c>
      <c r="BD1626" s="246">
        <f>IFERROR(VLOOKUP(N1626,VOL_REC[],2,FALSE),0)</f>
        <v>0</v>
      </c>
      <c r="BE1626" s="246">
        <f>IFERROR(VLOOKUP(O1626,VOL_REC[],2,FALSE),0)</f>
        <v>0</v>
      </c>
      <c r="BF1626" s="246">
        <f>IFERROR(VLOOKUP(P1626,VOL_REC[],2,FALSE),0)</f>
        <v>0</v>
      </c>
      <c r="BG1626" s="246">
        <f>IFERROR(VLOOKUP(Q1626,VOL_REC[],2,FALSE),0)</f>
        <v>0</v>
      </c>
      <c r="BH1626" s="1710">
        <f t="shared" si="100"/>
        <v>32506302873.896301</v>
      </c>
      <c r="BI1626" s="1710">
        <f t="shared" si="101"/>
        <v>30369494947.242382</v>
      </c>
      <c r="BJ1626" s="1711">
        <f t="shared" si="102"/>
        <v>34134847.945873536</v>
      </c>
      <c r="BK1626" s="1711">
        <f t="shared" si="103"/>
        <v>1.0703603379103261</v>
      </c>
      <c r="BL1626">
        <f>BJ1626</f>
        <v>34134847.945873536</v>
      </c>
      <c r="BO1626">
        <f>BL1626</f>
        <v>34134847.945873536</v>
      </c>
    </row>
    <row r="1627" spans="3:67" x14ac:dyDescent="0.25">
      <c r="C1627" s="246" t="s">
        <v>2977</v>
      </c>
      <c r="D1627" s="246">
        <v>1</v>
      </c>
      <c r="E1627" s="246">
        <v>2</v>
      </c>
      <c r="F1627" s="246">
        <v>3</v>
      </c>
      <c r="G1627" s="246">
        <v>4</v>
      </c>
      <c r="H1627" s="246">
        <v>6</v>
      </c>
      <c r="I1627" s="246">
        <v>9</v>
      </c>
      <c r="J1627" s="246">
        <v>10</v>
      </c>
      <c r="K1627" s="246">
        <v>13</v>
      </c>
      <c r="L1627" s="246">
        <v>15</v>
      </c>
      <c r="M1627" s="246">
        <v>17</v>
      </c>
      <c r="N1627" s="246"/>
      <c r="O1627" s="246"/>
      <c r="P1627" s="246"/>
      <c r="Q1627" s="246"/>
      <c r="R1627" s="246">
        <f>IFERROR(VLOOKUP(D1627,PROGRAMAS[],2,FALSE),0)</f>
        <v>97037803.679377079</v>
      </c>
      <c r="S1627" s="246">
        <f>IFERROR(VLOOKUP(E1627,PROGRAMAS[],2,FALSE),0)</f>
        <v>640501509.6821388</v>
      </c>
      <c r="T1627" s="246">
        <f>IFERROR(VLOOKUP(F1627,PROGRAMAS[],2,FALSE),0)</f>
        <v>3062327798.1525245</v>
      </c>
      <c r="U1627" s="246">
        <f>IFERROR(VLOOKUP(G1627,PROGRAMAS[],2,FALSE),0)</f>
        <v>67697118.033011258</v>
      </c>
      <c r="V1627" s="246">
        <f>IFERROR(VLOOKUP(H1627,PROGRAMAS[],2,FALSE),0)</f>
        <v>6907648435.8447599</v>
      </c>
      <c r="W1627" s="246">
        <f>IFERROR(VLOOKUP(I1627,PROGRAMAS[],2,FALSE),0)</f>
        <v>6128579952.1618185</v>
      </c>
      <c r="X1627" s="246">
        <f>IFERROR(VLOOKUP(J1627,PROGRAMAS[],2,FALSE),0)</f>
        <v>4635315027.8751087</v>
      </c>
      <c r="Y1627" s="246">
        <f>IFERROR(VLOOKUP(K1627,PROGRAMAS[],2,FALSE),0)</f>
        <v>3776538594.4604583</v>
      </c>
      <c r="Z1627" s="246">
        <f>IFERROR(VLOOKUP(L1627,PROGRAMAS[],2,FALSE),0)</f>
        <v>122159672.96346797</v>
      </c>
      <c r="AA1627" s="246">
        <f>IFERROR(VLOOKUP(M1627,PROGRAMAS[],2,FALSE),0)</f>
        <v>1892779498.5211046</v>
      </c>
      <c r="AB1627" s="246">
        <f>IFERROR(VLOOKUP(N1627,PROGRAMAS[],2,FALSE),0)</f>
        <v>0</v>
      </c>
      <c r="AC1627" s="246">
        <f>IFERROR(VLOOKUP(O1627,PROGRAMAS[],2,FALSE),0)</f>
        <v>0</v>
      </c>
      <c r="AD1627" s="246">
        <f>IFERROR(VLOOKUP(P1627,PROGRAMAS[],2,FALSE),0)</f>
        <v>0</v>
      </c>
      <c r="AE1627" s="246">
        <f>IFERROR(VLOOKUP(Q1627,PROGRAMAS[],2,FALSE),0)</f>
        <v>0</v>
      </c>
      <c r="AF1627" s="246">
        <f>IFERROR(VLOOKUP(D1627,PROGRAMAS[],3,FALSE),0)</f>
        <v>841888629.31080008</v>
      </c>
      <c r="AG1627" s="246">
        <f>IFERROR(VLOOKUP(E1627,PROGRAMAS[],3,FALSE),0)</f>
        <v>3848980803.1642323</v>
      </c>
      <c r="AH1627" s="246">
        <f>IFERROR(VLOOKUP(F1627,PROGRAMAS[],3,FALSE),0)</f>
        <v>3394901471.387517</v>
      </c>
      <c r="AI1627" s="246">
        <f>IFERROR(VLOOKUP(G1627,PROGRAMAS[],3,FALSE),0)</f>
        <v>125317226.95549992</v>
      </c>
      <c r="AJ1627" s="246">
        <f>IFERROR(VLOOKUP(H1627,PROGRAMAS[],3,FALSE),0)</f>
        <v>6129902208.7912121</v>
      </c>
      <c r="AK1627" s="246">
        <f>IFERROR(VLOOKUP(I1627,PROGRAMAS[],3,FALSE),0)</f>
        <v>7011279577.519702</v>
      </c>
      <c r="AL1627" s="246">
        <f>IFERROR(VLOOKUP(J1627,PROGRAMAS[],3,FALSE),0)</f>
        <v>4099471734.9978786</v>
      </c>
      <c r="AM1627" s="246">
        <f>IFERROR(VLOOKUP(K1627,PROGRAMAS[],3,FALSE),0)</f>
        <v>2392571243.5584412</v>
      </c>
      <c r="AN1627" s="246">
        <f>IFERROR(VLOOKUP(L1627,PROGRAMAS[],3,FALSE),0)</f>
        <v>118617452.52510804</v>
      </c>
      <c r="AO1627" s="246">
        <f>IFERROR(VLOOKUP(M1627,PROGRAMAS[],3,FALSE),0)</f>
        <v>948595847.09039903</v>
      </c>
      <c r="AP1627" s="246">
        <f>IFERROR(VLOOKUP(N1627,PROGRAMAS[],3,FALSE),0)</f>
        <v>0</v>
      </c>
      <c r="AQ1627" s="246">
        <f>IFERROR(VLOOKUP(O1627,PROGRAMAS[],3,FALSE),0)</f>
        <v>0</v>
      </c>
      <c r="AR1627" s="246">
        <f>IFERROR(VLOOKUP(P1627,PROGRAMAS[],3,FALSE),0)</f>
        <v>0</v>
      </c>
      <c r="AS1627" s="246">
        <f>IFERROR(VLOOKUP(Q1627,PROGRAMAS[],3,FALSE),0)</f>
        <v>0</v>
      </c>
      <c r="AT1627" s="246">
        <f>IFERROR(VLOOKUP(D1627,VOL_REC[],2,FALSE),0)</f>
        <v>0</v>
      </c>
      <c r="AU1627" s="246">
        <f>IFERROR(VLOOKUP(E1627,VOL_REC[],2,FALSE),0)</f>
        <v>0</v>
      </c>
      <c r="AV1627" s="246">
        <f>IFERROR(VLOOKUP(F1627,VOL_REC[],2,FALSE),0)</f>
        <v>11089674.200000001</v>
      </c>
      <c r="AW1627" s="246">
        <f>IFERROR(VLOOKUP(G1627,VOL_REC[],2,FALSE),0)</f>
        <v>90439.55</v>
      </c>
      <c r="AX1627" s="246">
        <f>IFERROR(VLOOKUP(H1627,VOL_REC[],2,FALSE),0)</f>
        <v>15540036.397699751</v>
      </c>
      <c r="AY1627" s="246">
        <f>IFERROR(VLOOKUP(I1627,VOL_REC[],2,FALSE),0)</f>
        <v>3761786</v>
      </c>
      <c r="AZ1627" s="246">
        <f>IFERROR(VLOOKUP(J1627,VOL_REC[],2,FALSE),0)</f>
        <v>1812240</v>
      </c>
      <c r="BA1627" s="246">
        <f>IFERROR(VLOOKUP(K1627,VOL_REC[],2,FALSE),0)</f>
        <v>663244.80000000016</v>
      </c>
      <c r="BB1627" s="246">
        <f>IFERROR(VLOOKUP(L1627,VOL_REC[],2,FALSE),0)</f>
        <v>105072</v>
      </c>
      <c r="BC1627" s="246">
        <f>IFERROR(VLOOKUP(M1627,VOL_REC[],2,FALSE),0)</f>
        <v>740113.98115702497</v>
      </c>
      <c r="BD1627" s="246">
        <f>IFERROR(VLOOKUP(N1627,VOL_REC[],2,FALSE),0)</f>
        <v>0</v>
      </c>
      <c r="BE1627" s="246">
        <f>IFERROR(VLOOKUP(O1627,VOL_REC[],2,FALSE),0)</f>
        <v>0</v>
      </c>
      <c r="BF1627" s="246">
        <f>IFERROR(VLOOKUP(P1627,VOL_REC[],2,FALSE),0)</f>
        <v>0</v>
      </c>
      <c r="BG1627" s="246">
        <f>IFERROR(VLOOKUP(Q1627,VOL_REC[],2,FALSE),0)</f>
        <v>0</v>
      </c>
      <c r="BH1627" s="1710">
        <f t="shared" si="100"/>
        <v>27330585411.373768</v>
      </c>
      <c r="BI1627" s="1710">
        <f t="shared" si="101"/>
        <v>28911526195.300793</v>
      </c>
      <c r="BJ1627" s="1711">
        <f t="shared" si="102"/>
        <v>33802606.928856775</v>
      </c>
      <c r="BK1627" s="1711">
        <f t="shared" si="103"/>
        <v>0.94531797549366359</v>
      </c>
    </row>
    <row r="1628" spans="3:67" x14ac:dyDescent="0.25">
      <c r="C1628" s="246" t="s">
        <v>2978</v>
      </c>
      <c r="D1628" s="246">
        <v>1</v>
      </c>
      <c r="E1628" s="246">
        <v>2</v>
      </c>
      <c r="F1628" s="246">
        <v>3</v>
      </c>
      <c r="G1628" s="246">
        <v>4</v>
      </c>
      <c r="H1628" s="246">
        <v>6</v>
      </c>
      <c r="I1628" s="246">
        <v>9</v>
      </c>
      <c r="J1628" s="246">
        <v>10</v>
      </c>
      <c r="K1628" s="246">
        <v>13</v>
      </c>
      <c r="L1628" s="246">
        <v>16</v>
      </c>
      <c r="M1628" s="246">
        <v>17</v>
      </c>
      <c r="N1628" s="246"/>
      <c r="O1628" s="246"/>
      <c r="P1628" s="246"/>
      <c r="Q1628" s="246"/>
      <c r="R1628" s="246">
        <f>IFERROR(VLOOKUP(D1628,PROGRAMAS[],2,FALSE),0)</f>
        <v>97037803.679377079</v>
      </c>
      <c r="S1628" s="246">
        <f>IFERROR(VLOOKUP(E1628,PROGRAMAS[],2,FALSE),0)</f>
        <v>640501509.6821388</v>
      </c>
      <c r="T1628" s="246">
        <f>IFERROR(VLOOKUP(F1628,PROGRAMAS[],2,FALSE),0)</f>
        <v>3062327798.1525245</v>
      </c>
      <c r="U1628" s="246">
        <f>IFERROR(VLOOKUP(G1628,PROGRAMAS[],2,FALSE),0)</f>
        <v>67697118.033011258</v>
      </c>
      <c r="V1628" s="246">
        <f>IFERROR(VLOOKUP(H1628,PROGRAMAS[],2,FALSE),0)</f>
        <v>6907648435.8447599</v>
      </c>
      <c r="W1628" s="246">
        <f>IFERROR(VLOOKUP(I1628,PROGRAMAS[],2,FALSE),0)</f>
        <v>6128579952.1618185</v>
      </c>
      <c r="X1628" s="246">
        <f>IFERROR(VLOOKUP(J1628,PROGRAMAS[],2,FALSE),0)</f>
        <v>4635315027.8751087</v>
      </c>
      <c r="Y1628" s="246">
        <f>IFERROR(VLOOKUP(K1628,PROGRAMAS[],2,FALSE),0)</f>
        <v>3776538594.4604583</v>
      </c>
      <c r="Z1628" s="246">
        <f>IFERROR(VLOOKUP(L1628,PROGRAMAS[],2,FALSE),0)</f>
        <v>7068496961.0436354</v>
      </c>
      <c r="AA1628" s="246">
        <f>IFERROR(VLOOKUP(M1628,PROGRAMAS[],2,FALSE),0)</f>
        <v>1892779498.5211046</v>
      </c>
      <c r="AB1628" s="246">
        <f>IFERROR(VLOOKUP(N1628,PROGRAMAS[],2,FALSE),0)</f>
        <v>0</v>
      </c>
      <c r="AC1628" s="246">
        <f>IFERROR(VLOOKUP(O1628,PROGRAMAS[],2,FALSE),0)</f>
        <v>0</v>
      </c>
      <c r="AD1628" s="246">
        <f>IFERROR(VLOOKUP(P1628,PROGRAMAS[],2,FALSE),0)</f>
        <v>0</v>
      </c>
      <c r="AE1628" s="246">
        <f>IFERROR(VLOOKUP(Q1628,PROGRAMAS[],2,FALSE),0)</f>
        <v>0</v>
      </c>
      <c r="AF1628" s="246">
        <f>IFERROR(VLOOKUP(D1628,PROGRAMAS[],3,FALSE),0)</f>
        <v>841888629.31080008</v>
      </c>
      <c r="AG1628" s="246">
        <f>IFERROR(VLOOKUP(E1628,PROGRAMAS[],3,FALSE),0)</f>
        <v>3848980803.1642323</v>
      </c>
      <c r="AH1628" s="246">
        <f>IFERROR(VLOOKUP(F1628,PROGRAMAS[],3,FALSE),0)</f>
        <v>3394901471.387517</v>
      </c>
      <c r="AI1628" s="246">
        <f>IFERROR(VLOOKUP(G1628,PROGRAMAS[],3,FALSE),0)</f>
        <v>125317226.95549992</v>
      </c>
      <c r="AJ1628" s="246">
        <f>IFERROR(VLOOKUP(H1628,PROGRAMAS[],3,FALSE),0)</f>
        <v>6129902208.7912121</v>
      </c>
      <c r="AK1628" s="246">
        <f>IFERROR(VLOOKUP(I1628,PROGRAMAS[],3,FALSE),0)</f>
        <v>7011279577.519702</v>
      </c>
      <c r="AL1628" s="246">
        <f>IFERROR(VLOOKUP(J1628,PROGRAMAS[],3,FALSE),0)</f>
        <v>4099471734.9978786</v>
      </c>
      <c r="AM1628" s="246">
        <f>IFERROR(VLOOKUP(K1628,PROGRAMAS[],3,FALSE),0)</f>
        <v>2392571243.5584412</v>
      </c>
      <c r="AN1628" s="246">
        <f>IFERROR(VLOOKUP(L1628,PROGRAMAS[],3,FALSE),0)</f>
        <v>2406564599.0319901</v>
      </c>
      <c r="AO1628" s="246">
        <f>IFERROR(VLOOKUP(M1628,PROGRAMAS[],3,FALSE),0)</f>
        <v>948595847.09039903</v>
      </c>
      <c r="AP1628" s="246">
        <f>IFERROR(VLOOKUP(N1628,PROGRAMAS[],3,FALSE),0)</f>
        <v>0</v>
      </c>
      <c r="AQ1628" s="246">
        <f>IFERROR(VLOOKUP(O1628,PROGRAMAS[],3,FALSE),0)</f>
        <v>0</v>
      </c>
      <c r="AR1628" s="246">
        <f>IFERROR(VLOOKUP(P1628,PROGRAMAS[],3,FALSE),0)</f>
        <v>0</v>
      </c>
      <c r="AS1628" s="246">
        <f>IFERROR(VLOOKUP(Q1628,PROGRAMAS[],3,FALSE),0)</f>
        <v>0</v>
      </c>
      <c r="AT1628" s="246">
        <f>IFERROR(VLOOKUP(D1628,VOL_REC[],2,FALSE),0)</f>
        <v>0</v>
      </c>
      <c r="AU1628" s="246">
        <f>IFERROR(VLOOKUP(E1628,VOL_REC[],2,FALSE),0)</f>
        <v>0</v>
      </c>
      <c r="AV1628" s="246">
        <f>IFERROR(VLOOKUP(F1628,VOL_REC[],2,FALSE),0)</f>
        <v>11089674.200000001</v>
      </c>
      <c r="AW1628" s="246">
        <f>IFERROR(VLOOKUP(G1628,VOL_REC[],2,FALSE),0)</f>
        <v>90439.55</v>
      </c>
      <c r="AX1628" s="246">
        <f>IFERROR(VLOOKUP(H1628,VOL_REC[],2,FALSE),0)</f>
        <v>15540036.397699751</v>
      </c>
      <c r="AY1628" s="246">
        <f>IFERROR(VLOOKUP(I1628,VOL_REC[],2,FALSE),0)</f>
        <v>3761786</v>
      </c>
      <c r="AZ1628" s="246">
        <f>IFERROR(VLOOKUP(J1628,VOL_REC[],2,FALSE),0)</f>
        <v>1812240</v>
      </c>
      <c r="BA1628" s="246">
        <f>IFERROR(VLOOKUP(K1628,VOL_REC[],2,FALSE),0)</f>
        <v>663244.80000000016</v>
      </c>
      <c r="BB1628" s="246">
        <f>IFERROR(VLOOKUP(L1628,VOL_REC[],2,FALSE),0)</f>
        <v>1072354.9981737854</v>
      </c>
      <c r="BC1628" s="246">
        <f>IFERROR(VLOOKUP(M1628,VOL_REC[],2,FALSE),0)</f>
        <v>740113.98115702497</v>
      </c>
      <c r="BD1628" s="246">
        <f>IFERROR(VLOOKUP(N1628,VOL_REC[],2,FALSE),0)</f>
        <v>0</v>
      </c>
      <c r="BE1628" s="246">
        <f>IFERROR(VLOOKUP(O1628,VOL_REC[],2,FALSE),0)</f>
        <v>0</v>
      </c>
      <c r="BF1628" s="246">
        <f>IFERROR(VLOOKUP(P1628,VOL_REC[],2,FALSE),0)</f>
        <v>0</v>
      </c>
      <c r="BG1628" s="246">
        <f>IFERROR(VLOOKUP(Q1628,VOL_REC[],2,FALSE),0)</f>
        <v>0</v>
      </c>
      <c r="BH1628" s="1710">
        <f t="shared" si="100"/>
        <v>34276922699.453938</v>
      </c>
      <c r="BI1628" s="1710">
        <f t="shared" si="101"/>
        <v>31199473341.807674</v>
      </c>
      <c r="BJ1628" s="1711">
        <f t="shared" si="102"/>
        <v>34769889.927030563</v>
      </c>
      <c r="BK1628" s="1711">
        <f t="shared" si="103"/>
        <v>1.098637862374505</v>
      </c>
      <c r="BL1628">
        <f>BJ1628</f>
        <v>34769889.927030563</v>
      </c>
      <c r="BO1628">
        <f>BL1628</f>
        <v>34769889.927030563</v>
      </c>
    </row>
    <row r="1629" spans="3:67" x14ac:dyDescent="0.25">
      <c r="C1629" s="246" t="s">
        <v>2979</v>
      </c>
      <c r="D1629" s="246">
        <v>1</v>
      </c>
      <c r="E1629" s="246">
        <v>2</v>
      </c>
      <c r="F1629" s="246">
        <v>3</v>
      </c>
      <c r="G1629" s="246">
        <v>4</v>
      </c>
      <c r="H1629" s="246">
        <v>6</v>
      </c>
      <c r="I1629" s="246">
        <v>9</v>
      </c>
      <c r="J1629" s="246">
        <v>10</v>
      </c>
      <c r="K1629" s="246">
        <v>14</v>
      </c>
      <c r="L1629" s="246">
        <v>15</v>
      </c>
      <c r="M1629" s="246">
        <v>16</v>
      </c>
      <c r="N1629" s="246"/>
      <c r="O1629" s="246"/>
      <c r="P1629" s="246"/>
      <c r="Q1629" s="246"/>
      <c r="R1629" s="246">
        <f>IFERROR(VLOOKUP(D1629,PROGRAMAS[],2,FALSE),0)</f>
        <v>97037803.679377079</v>
      </c>
      <c r="S1629" s="246">
        <f>IFERROR(VLOOKUP(E1629,PROGRAMAS[],2,FALSE),0)</f>
        <v>640501509.6821388</v>
      </c>
      <c r="T1629" s="246">
        <f>IFERROR(VLOOKUP(F1629,PROGRAMAS[],2,FALSE),0)</f>
        <v>3062327798.1525245</v>
      </c>
      <c r="U1629" s="246">
        <f>IFERROR(VLOOKUP(G1629,PROGRAMAS[],2,FALSE),0)</f>
        <v>67697118.033011258</v>
      </c>
      <c r="V1629" s="246">
        <f>IFERROR(VLOOKUP(H1629,PROGRAMAS[],2,FALSE),0)</f>
        <v>6907648435.8447599</v>
      </c>
      <c r="W1629" s="246">
        <f>IFERROR(VLOOKUP(I1629,PROGRAMAS[],2,FALSE),0)</f>
        <v>6128579952.1618185</v>
      </c>
      <c r="X1629" s="246">
        <f>IFERROR(VLOOKUP(J1629,PROGRAMAS[],2,FALSE),0)</f>
        <v>4635315027.8751087</v>
      </c>
      <c r="Y1629" s="246">
        <f>IFERROR(VLOOKUP(K1629,PROGRAMAS[],2,FALSE),0)</f>
        <v>54223862.645839565</v>
      </c>
      <c r="Z1629" s="246">
        <f>IFERROR(VLOOKUP(L1629,PROGRAMAS[],2,FALSE),0)</f>
        <v>122159672.96346797</v>
      </c>
      <c r="AA1629" s="246">
        <f>IFERROR(VLOOKUP(M1629,PROGRAMAS[],2,FALSE),0)</f>
        <v>7068496961.0436354</v>
      </c>
      <c r="AB1629" s="246">
        <f>IFERROR(VLOOKUP(N1629,PROGRAMAS[],2,FALSE),0)</f>
        <v>0</v>
      </c>
      <c r="AC1629" s="246">
        <f>IFERROR(VLOOKUP(O1629,PROGRAMAS[],2,FALSE),0)</f>
        <v>0</v>
      </c>
      <c r="AD1629" s="246">
        <f>IFERROR(VLOOKUP(P1629,PROGRAMAS[],2,FALSE),0)</f>
        <v>0</v>
      </c>
      <c r="AE1629" s="246">
        <f>IFERROR(VLOOKUP(Q1629,PROGRAMAS[],2,FALSE),0)</f>
        <v>0</v>
      </c>
      <c r="AF1629" s="246">
        <f>IFERROR(VLOOKUP(D1629,PROGRAMAS[],3,FALSE),0)</f>
        <v>841888629.31080008</v>
      </c>
      <c r="AG1629" s="246">
        <f>IFERROR(VLOOKUP(E1629,PROGRAMAS[],3,FALSE),0)</f>
        <v>3848980803.1642323</v>
      </c>
      <c r="AH1629" s="246">
        <f>IFERROR(VLOOKUP(F1629,PROGRAMAS[],3,FALSE),0)</f>
        <v>3394901471.387517</v>
      </c>
      <c r="AI1629" s="246">
        <f>IFERROR(VLOOKUP(G1629,PROGRAMAS[],3,FALSE),0)</f>
        <v>125317226.95549992</v>
      </c>
      <c r="AJ1629" s="246">
        <f>IFERROR(VLOOKUP(H1629,PROGRAMAS[],3,FALSE),0)</f>
        <v>6129902208.7912121</v>
      </c>
      <c r="AK1629" s="246">
        <f>IFERROR(VLOOKUP(I1629,PROGRAMAS[],3,FALSE),0)</f>
        <v>7011279577.519702</v>
      </c>
      <c r="AL1629" s="246">
        <f>IFERROR(VLOOKUP(J1629,PROGRAMAS[],3,FALSE),0)</f>
        <v>4099471734.9978786</v>
      </c>
      <c r="AM1629" s="246">
        <f>IFERROR(VLOOKUP(K1629,PROGRAMAS[],3,FALSE),0)</f>
        <v>31865326.38096505</v>
      </c>
      <c r="AN1629" s="246">
        <f>IFERROR(VLOOKUP(L1629,PROGRAMAS[],3,FALSE),0)</f>
        <v>118617452.52510804</v>
      </c>
      <c r="AO1629" s="246">
        <f>IFERROR(VLOOKUP(M1629,PROGRAMAS[],3,FALSE),0)</f>
        <v>2406564599.0319901</v>
      </c>
      <c r="AP1629" s="246">
        <f>IFERROR(VLOOKUP(N1629,PROGRAMAS[],3,FALSE),0)</f>
        <v>0</v>
      </c>
      <c r="AQ1629" s="246">
        <f>IFERROR(VLOOKUP(O1629,PROGRAMAS[],3,FALSE),0)</f>
        <v>0</v>
      </c>
      <c r="AR1629" s="246">
        <f>IFERROR(VLOOKUP(P1629,PROGRAMAS[],3,FALSE),0)</f>
        <v>0</v>
      </c>
      <c r="AS1629" s="246">
        <f>IFERROR(VLOOKUP(Q1629,PROGRAMAS[],3,FALSE),0)</f>
        <v>0</v>
      </c>
      <c r="AT1629" s="246">
        <f>IFERROR(VLOOKUP(D1629,VOL_REC[],2,FALSE),0)</f>
        <v>0</v>
      </c>
      <c r="AU1629" s="246">
        <f>IFERROR(VLOOKUP(E1629,VOL_REC[],2,FALSE),0)</f>
        <v>0</v>
      </c>
      <c r="AV1629" s="246">
        <f>IFERROR(VLOOKUP(F1629,VOL_REC[],2,FALSE),0)</f>
        <v>11089674.200000001</v>
      </c>
      <c r="AW1629" s="246">
        <f>IFERROR(VLOOKUP(G1629,VOL_REC[],2,FALSE),0)</f>
        <v>90439.55</v>
      </c>
      <c r="AX1629" s="246">
        <f>IFERROR(VLOOKUP(H1629,VOL_REC[],2,FALSE),0)</f>
        <v>15540036.397699751</v>
      </c>
      <c r="AY1629" s="246">
        <f>IFERROR(VLOOKUP(I1629,VOL_REC[],2,FALSE),0)</f>
        <v>3761786</v>
      </c>
      <c r="AZ1629" s="246">
        <f>IFERROR(VLOOKUP(J1629,VOL_REC[],2,FALSE),0)</f>
        <v>1812240</v>
      </c>
      <c r="BA1629" s="246">
        <f>IFERROR(VLOOKUP(K1629,VOL_REC[],2,FALSE),0)</f>
        <v>17074.045034105649</v>
      </c>
      <c r="BB1629" s="246">
        <f>IFERROR(VLOOKUP(L1629,VOL_REC[],2,FALSE),0)</f>
        <v>105072</v>
      </c>
      <c r="BC1629" s="246">
        <f>IFERROR(VLOOKUP(M1629,VOL_REC[],2,FALSE),0)</f>
        <v>1072354.9981737854</v>
      </c>
      <c r="BD1629" s="246">
        <f>IFERROR(VLOOKUP(N1629,VOL_REC[],2,FALSE),0)</f>
        <v>0</v>
      </c>
      <c r="BE1629" s="246">
        <f>IFERROR(VLOOKUP(O1629,VOL_REC[],2,FALSE),0)</f>
        <v>0</v>
      </c>
      <c r="BF1629" s="246">
        <f>IFERROR(VLOOKUP(P1629,VOL_REC[],2,FALSE),0)</f>
        <v>0</v>
      </c>
      <c r="BG1629" s="246">
        <f>IFERROR(VLOOKUP(Q1629,VOL_REC[],2,FALSE),0)</f>
        <v>0</v>
      </c>
      <c r="BH1629" s="1710">
        <f t="shared" si="100"/>
        <v>28783988142.081684</v>
      </c>
      <c r="BI1629" s="1710">
        <f t="shared" si="101"/>
        <v>28008789030.064907</v>
      </c>
      <c r="BJ1629" s="1711">
        <f t="shared" si="102"/>
        <v>33488677.190907642</v>
      </c>
      <c r="BK1629" s="1711">
        <f t="shared" si="103"/>
        <v>1.0276769949312936</v>
      </c>
      <c r="BL1629">
        <f>BJ1629</f>
        <v>33488677.190907642</v>
      </c>
      <c r="BO1629">
        <f>BL1629</f>
        <v>33488677.190907642</v>
      </c>
    </row>
    <row r="1630" spans="3:67" x14ac:dyDescent="0.25">
      <c r="C1630" s="246" t="s">
        <v>2980</v>
      </c>
      <c r="D1630" s="246">
        <v>1</v>
      </c>
      <c r="E1630" s="246">
        <v>2</v>
      </c>
      <c r="F1630" s="246">
        <v>3</v>
      </c>
      <c r="G1630" s="246">
        <v>4</v>
      </c>
      <c r="H1630" s="246">
        <v>6</v>
      </c>
      <c r="I1630" s="246">
        <v>9</v>
      </c>
      <c r="J1630" s="246">
        <v>10</v>
      </c>
      <c r="K1630" s="246">
        <v>14</v>
      </c>
      <c r="L1630" s="246">
        <v>15</v>
      </c>
      <c r="M1630" s="246">
        <v>17</v>
      </c>
      <c r="N1630" s="246"/>
      <c r="O1630" s="246"/>
      <c r="P1630" s="246"/>
      <c r="Q1630" s="246"/>
      <c r="R1630" s="246">
        <f>IFERROR(VLOOKUP(D1630,PROGRAMAS[],2,FALSE),0)</f>
        <v>97037803.679377079</v>
      </c>
      <c r="S1630" s="246">
        <f>IFERROR(VLOOKUP(E1630,PROGRAMAS[],2,FALSE),0)</f>
        <v>640501509.6821388</v>
      </c>
      <c r="T1630" s="246">
        <f>IFERROR(VLOOKUP(F1630,PROGRAMAS[],2,FALSE),0)</f>
        <v>3062327798.1525245</v>
      </c>
      <c r="U1630" s="246">
        <f>IFERROR(VLOOKUP(G1630,PROGRAMAS[],2,FALSE),0)</f>
        <v>67697118.033011258</v>
      </c>
      <c r="V1630" s="246">
        <f>IFERROR(VLOOKUP(H1630,PROGRAMAS[],2,FALSE),0)</f>
        <v>6907648435.8447599</v>
      </c>
      <c r="W1630" s="246">
        <f>IFERROR(VLOOKUP(I1630,PROGRAMAS[],2,FALSE),0)</f>
        <v>6128579952.1618185</v>
      </c>
      <c r="X1630" s="246">
        <f>IFERROR(VLOOKUP(J1630,PROGRAMAS[],2,FALSE),0)</f>
        <v>4635315027.8751087</v>
      </c>
      <c r="Y1630" s="246">
        <f>IFERROR(VLOOKUP(K1630,PROGRAMAS[],2,FALSE),0)</f>
        <v>54223862.645839565</v>
      </c>
      <c r="Z1630" s="246">
        <f>IFERROR(VLOOKUP(L1630,PROGRAMAS[],2,FALSE),0)</f>
        <v>122159672.96346797</v>
      </c>
      <c r="AA1630" s="246">
        <f>IFERROR(VLOOKUP(M1630,PROGRAMAS[],2,FALSE),0)</f>
        <v>1892779498.5211046</v>
      </c>
      <c r="AB1630" s="246">
        <f>IFERROR(VLOOKUP(N1630,PROGRAMAS[],2,FALSE),0)</f>
        <v>0</v>
      </c>
      <c r="AC1630" s="246">
        <f>IFERROR(VLOOKUP(O1630,PROGRAMAS[],2,FALSE),0)</f>
        <v>0</v>
      </c>
      <c r="AD1630" s="246">
        <f>IFERROR(VLOOKUP(P1630,PROGRAMAS[],2,FALSE),0)</f>
        <v>0</v>
      </c>
      <c r="AE1630" s="246">
        <f>IFERROR(VLOOKUP(Q1630,PROGRAMAS[],2,FALSE),0)</f>
        <v>0</v>
      </c>
      <c r="AF1630" s="246">
        <f>IFERROR(VLOOKUP(D1630,PROGRAMAS[],3,FALSE),0)</f>
        <v>841888629.31080008</v>
      </c>
      <c r="AG1630" s="246">
        <f>IFERROR(VLOOKUP(E1630,PROGRAMAS[],3,FALSE),0)</f>
        <v>3848980803.1642323</v>
      </c>
      <c r="AH1630" s="246">
        <f>IFERROR(VLOOKUP(F1630,PROGRAMAS[],3,FALSE),0)</f>
        <v>3394901471.387517</v>
      </c>
      <c r="AI1630" s="246">
        <f>IFERROR(VLOOKUP(G1630,PROGRAMAS[],3,FALSE),0)</f>
        <v>125317226.95549992</v>
      </c>
      <c r="AJ1630" s="246">
        <f>IFERROR(VLOOKUP(H1630,PROGRAMAS[],3,FALSE),0)</f>
        <v>6129902208.7912121</v>
      </c>
      <c r="AK1630" s="246">
        <f>IFERROR(VLOOKUP(I1630,PROGRAMAS[],3,FALSE),0)</f>
        <v>7011279577.519702</v>
      </c>
      <c r="AL1630" s="246">
        <f>IFERROR(VLOOKUP(J1630,PROGRAMAS[],3,FALSE),0)</f>
        <v>4099471734.9978786</v>
      </c>
      <c r="AM1630" s="246">
        <f>IFERROR(VLOOKUP(K1630,PROGRAMAS[],3,FALSE),0)</f>
        <v>31865326.38096505</v>
      </c>
      <c r="AN1630" s="246">
        <f>IFERROR(VLOOKUP(L1630,PROGRAMAS[],3,FALSE),0)</f>
        <v>118617452.52510804</v>
      </c>
      <c r="AO1630" s="246">
        <f>IFERROR(VLOOKUP(M1630,PROGRAMAS[],3,FALSE),0)</f>
        <v>948595847.09039903</v>
      </c>
      <c r="AP1630" s="246">
        <f>IFERROR(VLOOKUP(N1630,PROGRAMAS[],3,FALSE),0)</f>
        <v>0</v>
      </c>
      <c r="AQ1630" s="246">
        <f>IFERROR(VLOOKUP(O1630,PROGRAMAS[],3,FALSE),0)</f>
        <v>0</v>
      </c>
      <c r="AR1630" s="246">
        <f>IFERROR(VLOOKUP(P1630,PROGRAMAS[],3,FALSE),0)</f>
        <v>0</v>
      </c>
      <c r="AS1630" s="246">
        <f>IFERROR(VLOOKUP(Q1630,PROGRAMAS[],3,FALSE),0)</f>
        <v>0</v>
      </c>
      <c r="AT1630" s="246">
        <f>IFERROR(VLOOKUP(D1630,VOL_REC[],2,FALSE),0)</f>
        <v>0</v>
      </c>
      <c r="AU1630" s="246">
        <f>IFERROR(VLOOKUP(E1630,VOL_REC[],2,FALSE),0)</f>
        <v>0</v>
      </c>
      <c r="AV1630" s="246">
        <f>IFERROR(VLOOKUP(F1630,VOL_REC[],2,FALSE),0)</f>
        <v>11089674.200000001</v>
      </c>
      <c r="AW1630" s="246">
        <f>IFERROR(VLOOKUP(G1630,VOL_REC[],2,FALSE),0)</f>
        <v>90439.55</v>
      </c>
      <c r="AX1630" s="246">
        <f>IFERROR(VLOOKUP(H1630,VOL_REC[],2,FALSE),0)</f>
        <v>15540036.397699751</v>
      </c>
      <c r="AY1630" s="246">
        <f>IFERROR(VLOOKUP(I1630,VOL_REC[],2,FALSE),0)</f>
        <v>3761786</v>
      </c>
      <c r="AZ1630" s="246">
        <f>IFERROR(VLOOKUP(J1630,VOL_REC[],2,FALSE),0)</f>
        <v>1812240</v>
      </c>
      <c r="BA1630" s="246">
        <f>IFERROR(VLOOKUP(K1630,VOL_REC[],2,FALSE),0)</f>
        <v>17074.045034105649</v>
      </c>
      <c r="BB1630" s="246">
        <f>IFERROR(VLOOKUP(L1630,VOL_REC[],2,FALSE),0)</f>
        <v>105072</v>
      </c>
      <c r="BC1630" s="246">
        <f>IFERROR(VLOOKUP(M1630,VOL_REC[],2,FALSE),0)</f>
        <v>740113.98115702497</v>
      </c>
      <c r="BD1630" s="246">
        <f>IFERROR(VLOOKUP(N1630,VOL_REC[],2,FALSE),0)</f>
        <v>0</v>
      </c>
      <c r="BE1630" s="246">
        <f>IFERROR(VLOOKUP(O1630,VOL_REC[],2,FALSE),0)</f>
        <v>0</v>
      </c>
      <c r="BF1630" s="246">
        <f>IFERROR(VLOOKUP(P1630,VOL_REC[],2,FALSE),0)</f>
        <v>0</v>
      </c>
      <c r="BG1630" s="246">
        <f>IFERROR(VLOOKUP(Q1630,VOL_REC[],2,FALSE),0)</f>
        <v>0</v>
      </c>
      <c r="BH1630" s="1710">
        <f t="shared" si="100"/>
        <v>23608270679.559151</v>
      </c>
      <c r="BI1630" s="1710">
        <f t="shared" si="101"/>
        <v>26550820278.123318</v>
      </c>
      <c r="BJ1630" s="1711">
        <f t="shared" si="102"/>
        <v>33156436.173890881</v>
      </c>
      <c r="BK1630" s="1711">
        <f t="shared" si="103"/>
        <v>0.88917293071398262</v>
      </c>
    </row>
    <row r="1631" spans="3:67" x14ac:dyDescent="0.25">
      <c r="C1631" s="246" t="s">
        <v>2981</v>
      </c>
      <c r="D1631" s="246">
        <v>1</v>
      </c>
      <c r="E1631" s="246">
        <v>2</v>
      </c>
      <c r="F1631" s="246">
        <v>3</v>
      </c>
      <c r="G1631" s="246">
        <v>4</v>
      </c>
      <c r="H1631" s="246">
        <v>6</v>
      </c>
      <c r="I1631" s="246">
        <v>9</v>
      </c>
      <c r="J1631" s="246">
        <v>10</v>
      </c>
      <c r="K1631" s="246">
        <v>14</v>
      </c>
      <c r="L1631" s="246">
        <v>16</v>
      </c>
      <c r="M1631" s="246">
        <v>17</v>
      </c>
      <c r="N1631" s="246"/>
      <c r="O1631" s="246"/>
      <c r="P1631" s="246"/>
      <c r="Q1631" s="246"/>
      <c r="R1631" s="246">
        <f>IFERROR(VLOOKUP(D1631,PROGRAMAS[],2,FALSE),0)</f>
        <v>97037803.679377079</v>
      </c>
      <c r="S1631" s="246">
        <f>IFERROR(VLOOKUP(E1631,PROGRAMAS[],2,FALSE),0)</f>
        <v>640501509.6821388</v>
      </c>
      <c r="T1631" s="246">
        <f>IFERROR(VLOOKUP(F1631,PROGRAMAS[],2,FALSE),0)</f>
        <v>3062327798.1525245</v>
      </c>
      <c r="U1631" s="246">
        <f>IFERROR(VLOOKUP(G1631,PROGRAMAS[],2,FALSE),0)</f>
        <v>67697118.033011258</v>
      </c>
      <c r="V1631" s="246">
        <f>IFERROR(VLOOKUP(H1631,PROGRAMAS[],2,FALSE),0)</f>
        <v>6907648435.8447599</v>
      </c>
      <c r="W1631" s="246">
        <f>IFERROR(VLOOKUP(I1631,PROGRAMAS[],2,FALSE),0)</f>
        <v>6128579952.1618185</v>
      </c>
      <c r="X1631" s="246">
        <f>IFERROR(VLOOKUP(J1631,PROGRAMAS[],2,FALSE),0)</f>
        <v>4635315027.8751087</v>
      </c>
      <c r="Y1631" s="246">
        <f>IFERROR(VLOOKUP(K1631,PROGRAMAS[],2,FALSE),0)</f>
        <v>54223862.645839565</v>
      </c>
      <c r="Z1631" s="246">
        <f>IFERROR(VLOOKUP(L1631,PROGRAMAS[],2,FALSE),0)</f>
        <v>7068496961.0436354</v>
      </c>
      <c r="AA1631" s="246">
        <f>IFERROR(VLOOKUP(M1631,PROGRAMAS[],2,FALSE),0)</f>
        <v>1892779498.5211046</v>
      </c>
      <c r="AB1631" s="246">
        <f>IFERROR(VLOOKUP(N1631,PROGRAMAS[],2,FALSE),0)</f>
        <v>0</v>
      </c>
      <c r="AC1631" s="246">
        <f>IFERROR(VLOOKUP(O1631,PROGRAMAS[],2,FALSE),0)</f>
        <v>0</v>
      </c>
      <c r="AD1631" s="246">
        <f>IFERROR(VLOOKUP(P1631,PROGRAMAS[],2,FALSE),0)</f>
        <v>0</v>
      </c>
      <c r="AE1631" s="246">
        <f>IFERROR(VLOOKUP(Q1631,PROGRAMAS[],2,FALSE),0)</f>
        <v>0</v>
      </c>
      <c r="AF1631" s="246">
        <f>IFERROR(VLOOKUP(D1631,PROGRAMAS[],3,FALSE),0)</f>
        <v>841888629.31080008</v>
      </c>
      <c r="AG1631" s="246">
        <f>IFERROR(VLOOKUP(E1631,PROGRAMAS[],3,FALSE),0)</f>
        <v>3848980803.1642323</v>
      </c>
      <c r="AH1631" s="246">
        <f>IFERROR(VLOOKUP(F1631,PROGRAMAS[],3,FALSE),0)</f>
        <v>3394901471.387517</v>
      </c>
      <c r="AI1631" s="246">
        <f>IFERROR(VLOOKUP(G1631,PROGRAMAS[],3,FALSE),0)</f>
        <v>125317226.95549992</v>
      </c>
      <c r="AJ1631" s="246">
        <f>IFERROR(VLOOKUP(H1631,PROGRAMAS[],3,FALSE),0)</f>
        <v>6129902208.7912121</v>
      </c>
      <c r="AK1631" s="246">
        <f>IFERROR(VLOOKUP(I1631,PROGRAMAS[],3,FALSE),0)</f>
        <v>7011279577.519702</v>
      </c>
      <c r="AL1631" s="246">
        <f>IFERROR(VLOOKUP(J1631,PROGRAMAS[],3,FALSE),0)</f>
        <v>4099471734.9978786</v>
      </c>
      <c r="AM1631" s="246">
        <f>IFERROR(VLOOKUP(K1631,PROGRAMAS[],3,FALSE),0)</f>
        <v>31865326.38096505</v>
      </c>
      <c r="AN1631" s="246">
        <f>IFERROR(VLOOKUP(L1631,PROGRAMAS[],3,FALSE),0)</f>
        <v>2406564599.0319901</v>
      </c>
      <c r="AO1631" s="246">
        <f>IFERROR(VLOOKUP(M1631,PROGRAMAS[],3,FALSE),0)</f>
        <v>948595847.09039903</v>
      </c>
      <c r="AP1631" s="246">
        <f>IFERROR(VLOOKUP(N1631,PROGRAMAS[],3,FALSE),0)</f>
        <v>0</v>
      </c>
      <c r="AQ1631" s="246">
        <f>IFERROR(VLOOKUP(O1631,PROGRAMAS[],3,FALSE),0)</f>
        <v>0</v>
      </c>
      <c r="AR1631" s="246">
        <f>IFERROR(VLOOKUP(P1631,PROGRAMAS[],3,FALSE),0)</f>
        <v>0</v>
      </c>
      <c r="AS1631" s="246">
        <f>IFERROR(VLOOKUP(Q1631,PROGRAMAS[],3,FALSE),0)</f>
        <v>0</v>
      </c>
      <c r="AT1631" s="246">
        <f>IFERROR(VLOOKUP(D1631,VOL_REC[],2,FALSE),0)</f>
        <v>0</v>
      </c>
      <c r="AU1631" s="246">
        <f>IFERROR(VLOOKUP(E1631,VOL_REC[],2,FALSE),0)</f>
        <v>0</v>
      </c>
      <c r="AV1631" s="246">
        <f>IFERROR(VLOOKUP(F1631,VOL_REC[],2,FALSE),0)</f>
        <v>11089674.200000001</v>
      </c>
      <c r="AW1631" s="246">
        <f>IFERROR(VLOOKUP(G1631,VOL_REC[],2,FALSE),0)</f>
        <v>90439.55</v>
      </c>
      <c r="AX1631" s="246">
        <f>IFERROR(VLOOKUP(H1631,VOL_REC[],2,FALSE),0)</f>
        <v>15540036.397699751</v>
      </c>
      <c r="AY1631" s="246">
        <f>IFERROR(VLOOKUP(I1631,VOL_REC[],2,FALSE),0)</f>
        <v>3761786</v>
      </c>
      <c r="AZ1631" s="246">
        <f>IFERROR(VLOOKUP(J1631,VOL_REC[],2,FALSE),0)</f>
        <v>1812240</v>
      </c>
      <c r="BA1631" s="246">
        <f>IFERROR(VLOOKUP(K1631,VOL_REC[],2,FALSE),0)</f>
        <v>17074.045034105649</v>
      </c>
      <c r="BB1631" s="246">
        <f>IFERROR(VLOOKUP(L1631,VOL_REC[],2,FALSE),0)</f>
        <v>1072354.9981737854</v>
      </c>
      <c r="BC1631" s="246">
        <f>IFERROR(VLOOKUP(M1631,VOL_REC[],2,FALSE),0)</f>
        <v>740113.98115702497</v>
      </c>
      <c r="BD1631" s="246">
        <f>IFERROR(VLOOKUP(N1631,VOL_REC[],2,FALSE),0)</f>
        <v>0</v>
      </c>
      <c r="BE1631" s="246">
        <f>IFERROR(VLOOKUP(O1631,VOL_REC[],2,FALSE),0)</f>
        <v>0</v>
      </c>
      <c r="BF1631" s="246">
        <f>IFERROR(VLOOKUP(P1631,VOL_REC[],2,FALSE),0)</f>
        <v>0</v>
      </c>
      <c r="BG1631" s="246">
        <f>IFERROR(VLOOKUP(Q1631,VOL_REC[],2,FALSE),0)</f>
        <v>0</v>
      </c>
      <c r="BH1631" s="1710">
        <f t="shared" si="100"/>
        <v>30554607967.63932</v>
      </c>
      <c r="BI1631" s="1710">
        <f t="shared" si="101"/>
        <v>28838767424.630199</v>
      </c>
      <c r="BJ1631" s="1711">
        <f t="shared" si="102"/>
        <v>34123719.172064669</v>
      </c>
      <c r="BK1631" s="1711">
        <f t="shared" si="103"/>
        <v>1.0594977072960365</v>
      </c>
      <c r="BL1631">
        <f>BJ1631</f>
        <v>34123719.172064669</v>
      </c>
      <c r="BO1631">
        <f>BL1631</f>
        <v>34123719.172064669</v>
      </c>
    </row>
    <row r="1632" spans="3:67" x14ac:dyDescent="0.25">
      <c r="C1632" s="246" t="s">
        <v>2982</v>
      </c>
      <c r="D1632" s="246">
        <v>1</v>
      </c>
      <c r="E1632" s="246">
        <v>2</v>
      </c>
      <c r="F1632" s="246">
        <v>3</v>
      </c>
      <c r="G1632" s="246">
        <v>4</v>
      </c>
      <c r="H1632" s="246">
        <v>6</v>
      </c>
      <c r="I1632" s="246">
        <v>9</v>
      </c>
      <c r="J1632" s="246">
        <v>10</v>
      </c>
      <c r="K1632" s="246">
        <v>15</v>
      </c>
      <c r="L1632" s="246">
        <v>16</v>
      </c>
      <c r="M1632" s="246">
        <v>17</v>
      </c>
      <c r="N1632" s="246"/>
      <c r="O1632" s="246"/>
      <c r="P1632" s="246"/>
      <c r="Q1632" s="246"/>
      <c r="R1632" s="246">
        <f>IFERROR(VLOOKUP(D1632,PROGRAMAS[],2,FALSE),0)</f>
        <v>97037803.679377079</v>
      </c>
      <c r="S1632" s="246">
        <f>IFERROR(VLOOKUP(E1632,PROGRAMAS[],2,FALSE),0)</f>
        <v>640501509.6821388</v>
      </c>
      <c r="T1632" s="246">
        <f>IFERROR(VLOOKUP(F1632,PROGRAMAS[],2,FALSE),0)</f>
        <v>3062327798.1525245</v>
      </c>
      <c r="U1632" s="246">
        <f>IFERROR(VLOOKUP(G1632,PROGRAMAS[],2,FALSE),0)</f>
        <v>67697118.033011258</v>
      </c>
      <c r="V1632" s="246">
        <f>IFERROR(VLOOKUP(H1632,PROGRAMAS[],2,FALSE),0)</f>
        <v>6907648435.8447599</v>
      </c>
      <c r="W1632" s="246">
        <f>IFERROR(VLOOKUP(I1632,PROGRAMAS[],2,FALSE),0)</f>
        <v>6128579952.1618185</v>
      </c>
      <c r="X1632" s="246">
        <f>IFERROR(VLOOKUP(J1632,PROGRAMAS[],2,FALSE),0)</f>
        <v>4635315027.8751087</v>
      </c>
      <c r="Y1632" s="246">
        <f>IFERROR(VLOOKUP(K1632,PROGRAMAS[],2,FALSE),0)</f>
        <v>122159672.96346797</v>
      </c>
      <c r="Z1632" s="246">
        <f>IFERROR(VLOOKUP(L1632,PROGRAMAS[],2,FALSE),0)</f>
        <v>7068496961.0436354</v>
      </c>
      <c r="AA1632" s="246">
        <f>IFERROR(VLOOKUP(M1632,PROGRAMAS[],2,FALSE),0)</f>
        <v>1892779498.5211046</v>
      </c>
      <c r="AB1632" s="246">
        <f>IFERROR(VLOOKUP(N1632,PROGRAMAS[],2,FALSE),0)</f>
        <v>0</v>
      </c>
      <c r="AC1632" s="246">
        <f>IFERROR(VLOOKUP(O1632,PROGRAMAS[],2,FALSE),0)</f>
        <v>0</v>
      </c>
      <c r="AD1632" s="246">
        <f>IFERROR(VLOOKUP(P1632,PROGRAMAS[],2,FALSE),0)</f>
        <v>0</v>
      </c>
      <c r="AE1632" s="246">
        <f>IFERROR(VLOOKUP(Q1632,PROGRAMAS[],2,FALSE),0)</f>
        <v>0</v>
      </c>
      <c r="AF1632" s="246">
        <f>IFERROR(VLOOKUP(D1632,PROGRAMAS[],3,FALSE),0)</f>
        <v>841888629.31080008</v>
      </c>
      <c r="AG1632" s="246">
        <f>IFERROR(VLOOKUP(E1632,PROGRAMAS[],3,FALSE),0)</f>
        <v>3848980803.1642323</v>
      </c>
      <c r="AH1632" s="246">
        <f>IFERROR(VLOOKUP(F1632,PROGRAMAS[],3,FALSE),0)</f>
        <v>3394901471.387517</v>
      </c>
      <c r="AI1632" s="246">
        <f>IFERROR(VLOOKUP(G1632,PROGRAMAS[],3,FALSE),0)</f>
        <v>125317226.95549992</v>
      </c>
      <c r="AJ1632" s="246">
        <f>IFERROR(VLOOKUP(H1632,PROGRAMAS[],3,FALSE),0)</f>
        <v>6129902208.7912121</v>
      </c>
      <c r="AK1632" s="246">
        <f>IFERROR(VLOOKUP(I1632,PROGRAMAS[],3,FALSE),0)</f>
        <v>7011279577.519702</v>
      </c>
      <c r="AL1632" s="246">
        <f>IFERROR(VLOOKUP(J1632,PROGRAMAS[],3,FALSE),0)</f>
        <v>4099471734.9978786</v>
      </c>
      <c r="AM1632" s="246">
        <f>IFERROR(VLOOKUP(K1632,PROGRAMAS[],3,FALSE),0)</f>
        <v>118617452.52510804</v>
      </c>
      <c r="AN1632" s="246">
        <f>IFERROR(VLOOKUP(L1632,PROGRAMAS[],3,FALSE),0)</f>
        <v>2406564599.0319901</v>
      </c>
      <c r="AO1632" s="246">
        <f>IFERROR(VLOOKUP(M1632,PROGRAMAS[],3,FALSE),0)</f>
        <v>948595847.09039903</v>
      </c>
      <c r="AP1632" s="246">
        <f>IFERROR(VLOOKUP(N1632,PROGRAMAS[],3,FALSE),0)</f>
        <v>0</v>
      </c>
      <c r="AQ1632" s="246">
        <f>IFERROR(VLOOKUP(O1632,PROGRAMAS[],3,FALSE),0)</f>
        <v>0</v>
      </c>
      <c r="AR1632" s="246">
        <f>IFERROR(VLOOKUP(P1632,PROGRAMAS[],3,FALSE),0)</f>
        <v>0</v>
      </c>
      <c r="AS1632" s="246">
        <f>IFERROR(VLOOKUP(Q1632,PROGRAMAS[],3,FALSE),0)</f>
        <v>0</v>
      </c>
      <c r="AT1632" s="246">
        <f>IFERROR(VLOOKUP(D1632,VOL_REC[],2,FALSE),0)</f>
        <v>0</v>
      </c>
      <c r="AU1632" s="246">
        <f>IFERROR(VLOOKUP(E1632,VOL_REC[],2,FALSE),0)</f>
        <v>0</v>
      </c>
      <c r="AV1632" s="246">
        <f>IFERROR(VLOOKUP(F1632,VOL_REC[],2,FALSE),0)</f>
        <v>11089674.200000001</v>
      </c>
      <c r="AW1632" s="246">
        <f>IFERROR(VLOOKUP(G1632,VOL_REC[],2,FALSE),0)</f>
        <v>90439.55</v>
      </c>
      <c r="AX1632" s="246">
        <f>IFERROR(VLOOKUP(H1632,VOL_REC[],2,FALSE),0)</f>
        <v>15540036.397699751</v>
      </c>
      <c r="AY1632" s="246">
        <f>IFERROR(VLOOKUP(I1632,VOL_REC[],2,FALSE),0)</f>
        <v>3761786</v>
      </c>
      <c r="AZ1632" s="246">
        <f>IFERROR(VLOOKUP(J1632,VOL_REC[],2,FALSE),0)</f>
        <v>1812240</v>
      </c>
      <c r="BA1632" s="246">
        <f>IFERROR(VLOOKUP(K1632,VOL_REC[],2,FALSE),0)</f>
        <v>105072</v>
      </c>
      <c r="BB1632" s="246">
        <f>IFERROR(VLOOKUP(L1632,VOL_REC[],2,FALSE),0)</f>
        <v>1072354.9981737854</v>
      </c>
      <c r="BC1632" s="246">
        <f>IFERROR(VLOOKUP(M1632,VOL_REC[],2,FALSE),0)</f>
        <v>740113.98115702497</v>
      </c>
      <c r="BD1632" s="246">
        <f>IFERROR(VLOOKUP(N1632,VOL_REC[],2,FALSE),0)</f>
        <v>0</v>
      </c>
      <c r="BE1632" s="246">
        <f>IFERROR(VLOOKUP(O1632,VOL_REC[],2,FALSE),0)</f>
        <v>0</v>
      </c>
      <c r="BF1632" s="246">
        <f>IFERROR(VLOOKUP(P1632,VOL_REC[],2,FALSE),0)</f>
        <v>0</v>
      </c>
      <c r="BG1632" s="246">
        <f>IFERROR(VLOOKUP(Q1632,VOL_REC[],2,FALSE),0)</f>
        <v>0</v>
      </c>
      <c r="BH1632" s="1710">
        <f t="shared" si="100"/>
        <v>30622543777.956947</v>
      </c>
      <c r="BI1632" s="1710">
        <f t="shared" si="101"/>
        <v>28925519550.774342</v>
      </c>
      <c r="BJ1632" s="1711">
        <f t="shared" si="102"/>
        <v>34211717.127030559</v>
      </c>
      <c r="BK1632" s="1711">
        <f t="shared" si="103"/>
        <v>1.0586687552561931</v>
      </c>
      <c r="BL1632">
        <f>BJ1632</f>
        <v>34211717.127030559</v>
      </c>
      <c r="BO1632">
        <f>BL1632</f>
        <v>34211717.127030559</v>
      </c>
    </row>
    <row r="1633" spans="3:67" x14ac:dyDescent="0.25">
      <c r="C1633" s="246" t="s">
        <v>2983</v>
      </c>
      <c r="D1633" s="246">
        <v>1</v>
      </c>
      <c r="E1633" s="246">
        <v>2</v>
      </c>
      <c r="F1633" s="246">
        <v>3</v>
      </c>
      <c r="G1633" s="246">
        <v>4</v>
      </c>
      <c r="H1633" s="246">
        <v>6</v>
      </c>
      <c r="I1633" s="246">
        <v>9</v>
      </c>
      <c r="J1633" s="246">
        <v>12</v>
      </c>
      <c r="K1633" s="246">
        <v>13</v>
      </c>
      <c r="L1633" s="246">
        <v>14</v>
      </c>
      <c r="M1633" s="246">
        <v>15</v>
      </c>
      <c r="N1633" s="246"/>
      <c r="O1633" s="246"/>
      <c r="P1633" s="246"/>
      <c r="Q1633" s="246"/>
      <c r="R1633" s="246">
        <f>IFERROR(VLOOKUP(D1633,PROGRAMAS[],2,FALSE),0)</f>
        <v>97037803.679377079</v>
      </c>
      <c r="S1633" s="246">
        <f>IFERROR(VLOOKUP(E1633,PROGRAMAS[],2,FALSE),0)</f>
        <v>640501509.6821388</v>
      </c>
      <c r="T1633" s="246">
        <f>IFERROR(VLOOKUP(F1633,PROGRAMAS[],2,FALSE),0)</f>
        <v>3062327798.1525245</v>
      </c>
      <c r="U1633" s="246">
        <f>IFERROR(VLOOKUP(G1633,PROGRAMAS[],2,FALSE),0)</f>
        <v>67697118.033011258</v>
      </c>
      <c r="V1633" s="246">
        <f>IFERROR(VLOOKUP(H1633,PROGRAMAS[],2,FALSE),0)</f>
        <v>6907648435.8447599</v>
      </c>
      <c r="W1633" s="246">
        <f>IFERROR(VLOOKUP(I1633,PROGRAMAS[],2,FALSE),0)</f>
        <v>6128579952.1618185</v>
      </c>
      <c r="X1633" s="246">
        <f>IFERROR(VLOOKUP(J1633,PROGRAMAS[],2,FALSE),0)</f>
        <v>764796700.79905891</v>
      </c>
      <c r="Y1633" s="246">
        <f>IFERROR(VLOOKUP(K1633,PROGRAMAS[],2,FALSE),0)</f>
        <v>3776538594.4604583</v>
      </c>
      <c r="Z1633" s="246">
        <f>IFERROR(VLOOKUP(L1633,PROGRAMAS[],2,FALSE),0)</f>
        <v>54223862.645839565</v>
      </c>
      <c r="AA1633" s="246">
        <f>IFERROR(VLOOKUP(M1633,PROGRAMAS[],2,FALSE),0)</f>
        <v>122159672.96346797</v>
      </c>
      <c r="AB1633" s="246">
        <f>IFERROR(VLOOKUP(N1633,PROGRAMAS[],2,FALSE),0)</f>
        <v>0</v>
      </c>
      <c r="AC1633" s="246">
        <f>IFERROR(VLOOKUP(O1633,PROGRAMAS[],2,FALSE),0)</f>
        <v>0</v>
      </c>
      <c r="AD1633" s="246">
        <f>IFERROR(VLOOKUP(P1633,PROGRAMAS[],2,FALSE),0)</f>
        <v>0</v>
      </c>
      <c r="AE1633" s="246">
        <f>IFERROR(VLOOKUP(Q1633,PROGRAMAS[],2,FALSE),0)</f>
        <v>0</v>
      </c>
      <c r="AF1633" s="246">
        <f>IFERROR(VLOOKUP(D1633,PROGRAMAS[],3,FALSE),0)</f>
        <v>841888629.31080008</v>
      </c>
      <c r="AG1633" s="246">
        <f>IFERROR(VLOOKUP(E1633,PROGRAMAS[],3,FALSE),0)</f>
        <v>3848980803.1642323</v>
      </c>
      <c r="AH1633" s="246">
        <f>IFERROR(VLOOKUP(F1633,PROGRAMAS[],3,FALSE),0)</f>
        <v>3394901471.387517</v>
      </c>
      <c r="AI1633" s="246">
        <f>IFERROR(VLOOKUP(G1633,PROGRAMAS[],3,FALSE),0)</f>
        <v>125317226.95549992</v>
      </c>
      <c r="AJ1633" s="246">
        <f>IFERROR(VLOOKUP(H1633,PROGRAMAS[],3,FALSE),0)</f>
        <v>6129902208.7912121</v>
      </c>
      <c r="AK1633" s="246">
        <f>IFERROR(VLOOKUP(I1633,PROGRAMAS[],3,FALSE),0)</f>
        <v>7011279577.519702</v>
      </c>
      <c r="AL1633" s="246">
        <f>IFERROR(VLOOKUP(J1633,PROGRAMAS[],3,FALSE),0)</f>
        <v>675517840.109828</v>
      </c>
      <c r="AM1633" s="246">
        <f>IFERROR(VLOOKUP(K1633,PROGRAMAS[],3,FALSE),0)</f>
        <v>2392571243.5584412</v>
      </c>
      <c r="AN1633" s="246">
        <f>IFERROR(VLOOKUP(L1633,PROGRAMAS[],3,FALSE),0)</f>
        <v>31865326.38096505</v>
      </c>
      <c r="AO1633" s="246">
        <f>IFERROR(VLOOKUP(M1633,PROGRAMAS[],3,FALSE),0)</f>
        <v>118617452.52510804</v>
      </c>
      <c r="AP1633" s="246">
        <f>IFERROR(VLOOKUP(N1633,PROGRAMAS[],3,FALSE),0)</f>
        <v>0</v>
      </c>
      <c r="AQ1633" s="246">
        <f>IFERROR(VLOOKUP(O1633,PROGRAMAS[],3,FALSE),0)</f>
        <v>0</v>
      </c>
      <c r="AR1633" s="246">
        <f>IFERROR(VLOOKUP(P1633,PROGRAMAS[],3,FALSE),0)</f>
        <v>0</v>
      </c>
      <c r="AS1633" s="246">
        <f>IFERROR(VLOOKUP(Q1633,PROGRAMAS[],3,FALSE),0)</f>
        <v>0</v>
      </c>
      <c r="AT1633" s="246">
        <f>IFERROR(VLOOKUP(D1633,VOL_REC[],2,FALSE),0)</f>
        <v>0</v>
      </c>
      <c r="AU1633" s="246">
        <f>IFERROR(VLOOKUP(E1633,VOL_REC[],2,FALSE),0)</f>
        <v>0</v>
      </c>
      <c r="AV1633" s="246">
        <f>IFERROR(VLOOKUP(F1633,VOL_REC[],2,FALSE),0)</f>
        <v>11089674.200000001</v>
      </c>
      <c r="AW1633" s="246">
        <f>IFERROR(VLOOKUP(G1633,VOL_REC[],2,FALSE),0)</f>
        <v>90439.55</v>
      </c>
      <c r="AX1633" s="246">
        <f>IFERROR(VLOOKUP(H1633,VOL_REC[],2,FALSE),0)</f>
        <v>15540036.397699751</v>
      </c>
      <c r="AY1633" s="246">
        <f>IFERROR(VLOOKUP(I1633,VOL_REC[],2,FALSE),0)</f>
        <v>3761786</v>
      </c>
      <c r="AZ1633" s="246">
        <f>IFERROR(VLOOKUP(J1633,VOL_REC[],2,FALSE),0)</f>
        <v>240696.79238099116</v>
      </c>
      <c r="BA1633" s="246">
        <f>IFERROR(VLOOKUP(K1633,VOL_REC[],2,FALSE),0)</f>
        <v>663244.80000000016</v>
      </c>
      <c r="BB1633" s="246">
        <f>IFERROR(VLOOKUP(L1633,VOL_REC[],2,FALSE),0)</f>
        <v>17074.045034105649</v>
      </c>
      <c r="BC1633" s="246">
        <f>IFERROR(VLOOKUP(M1633,VOL_REC[],2,FALSE),0)</f>
        <v>105072</v>
      </c>
      <c r="BD1633" s="246">
        <f>IFERROR(VLOOKUP(N1633,VOL_REC[],2,FALSE),0)</f>
        <v>0</v>
      </c>
      <c r="BE1633" s="246">
        <f>IFERROR(VLOOKUP(O1633,VOL_REC[],2,FALSE),0)</f>
        <v>0</v>
      </c>
      <c r="BF1633" s="246">
        <f>IFERROR(VLOOKUP(P1633,VOL_REC[],2,FALSE),0)</f>
        <v>0</v>
      </c>
      <c r="BG1633" s="246">
        <f>IFERROR(VLOOKUP(Q1633,VOL_REC[],2,FALSE),0)</f>
        <v>0</v>
      </c>
      <c r="BH1633" s="1710">
        <f t="shared" si="100"/>
        <v>21621511448.422455</v>
      </c>
      <c r="BI1633" s="1710">
        <f t="shared" si="101"/>
        <v>24570841779.703308</v>
      </c>
      <c r="BJ1633" s="1711">
        <f t="shared" si="102"/>
        <v>31508023.785114851</v>
      </c>
      <c r="BK1633" s="1711">
        <f t="shared" si="103"/>
        <v>0.87996624789154998</v>
      </c>
    </row>
    <row r="1634" spans="3:67" x14ac:dyDescent="0.25">
      <c r="C1634" s="246" t="s">
        <v>2984</v>
      </c>
      <c r="D1634" s="246">
        <v>1</v>
      </c>
      <c r="E1634" s="246">
        <v>2</v>
      </c>
      <c r="F1634" s="246">
        <v>3</v>
      </c>
      <c r="G1634" s="246">
        <v>4</v>
      </c>
      <c r="H1634" s="246">
        <v>6</v>
      </c>
      <c r="I1634" s="246">
        <v>9</v>
      </c>
      <c r="J1634" s="246">
        <v>12</v>
      </c>
      <c r="K1634" s="246">
        <v>13</v>
      </c>
      <c r="L1634" s="246">
        <v>14</v>
      </c>
      <c r="M1634" s="246">
        <v>16</v>
      </c>
      <c r="N1634" s="246"/>
      <c r="O1634" s="246"/>
      <c r="P1634" s="246"/>
      <c r="Q1634" s="246"/>
      <c r="R1634" s="246">
        <f>IFERROR(VLOOKUP(D1634,PROGRAMAS[],2,FALSE),0)</f>
        <v>97037803.679377079</v>
      </c>
      <c r="S1634" s="246">
        <f>IFERROR(VLOOKUP(E1634,PROGRAMAS[],2,FALSE),0)</f>
        <v>640501509.6821388</v>
      </c>
      <c r="T1634" s="246">
        <f>IFERROR(VLOOKUP(F1634,PROGRAMAS[],2,FALSE),0)</f>
        <v>3062327798.1525245</v>
      </c>
      <c r="U1634" s="246">
        <f>IFERROR(VLOOKUP(G1634,PROGRAMAS[],2,FALSE),0)</f>
        <v>67697118.033011258</v>
      </c>
      <c r="V1634" s="246">
        <f>IFERROR(VLOOKUP(H1634,PROGRAMAS[],2,FALSE),0)</f>
        <v>6907648435.8447599</v>
      </c>
      <c r="W1634" s="246">
        <f>IFERROR(VLOOKUP(I1634,PROGRAMAS[],2,FALSE),0)</f>
        <v>6128579952.1618185</v>
      </c>
      <c r="X1634" s="246">
        <f>IFERROR(VLOOKUP(J1634,PROGRAMAS[],2,FALSE),0)</f>
        <v>764796700.79905891</v>
      </c>
      <c r="Y1634" s="246">
        <f>IFERROR(VLOOKUP(K1634,PROGRAMAS[],2,FALSE),0)</f>
        <v>3776538594.4604583</v>
      </c>
      <c r="Z1634" s="246">
        <f>IFERROR(VLOOKUP(L1634,PROGRAMAS[],2,FALSE),0)</f>
        <v>54223862.645839565</v>
      </c>
      <c r="AA1634" s="246">
        <f>IFERROR(VLOOKUP(M1634,PROGRAMAS[],2,FALSE),0)</f>
        <v>7068496961.0436354</v>
      </c>
      <c r="AB1634" s="246">
        <f>IFERROR(VLOOKUP(N1634,PROGRAMAS[],2,FALSE),0)</f>
        <v>0</v>
      </c>
      <c r="AC1634" s="246">
        <f>IFERROR(VLOOKUP(O1634,PROGRAMAS[],2,FALSE),0)</f>
        <v>0</v>
      </c>
      <c r="AD1634" s="246">
        <f>IFERROR(VLOOKUP(P1634,PROGRAMAS[],2,FALSE),0)</f>
        <v>0</v>
      </c>
      <c r="AE1634" s="246">
        <f>IFERROR(VLOOKUP(Q1634,PROGRAMAS[],2,FALSE),0)</f>
        <v>0</v>
      </c>
      <c r="AF1634" s="246">
        <f>IFERROR(VLOOKUP(D1634,PROGRAMAS[],3,FALSE),0)</f>
        <v>841888629.31080008</v>
      </c>
      <c r="AG1634" s="246">
        <f>IFERROR(VLOOKUP(E1634,PROGRAMAS[],3,FALSE),0)</f>
        <v>3848980803.1642323</v>
      </c>
      <c r="AH1634" s="246">
        <f>IFERROR(VLOOKUP(F1634,PROGRAMAS[],3,FALSE),0)</f>
        <v>3394901471.387517</v>
      </c>
      <c r="AI1634" s="246">
        <f>IFERROR(VLOOKUP(G1634,PROGRAMAS[],3,FALSE),0)</f>
        <v>125317226.95549992</v>
      </c>
      <c r="AJ1634" s="246">
        <f>IFERROR(VLOOKUP(H1634,PROGRAMAS[],3,FALSE),0)</f>
        <v>6129902208.7912121</v>
      </c>
      <c r="AK1634" s="246">
        <f>IFERROR(VLOOKUP(I1634,PROGRAMAS[],3,FALSE),0)</f>
        <v>7011279577.519702</v>
      </c>
      <c r="AL1634" s="246">
        <f>IFERROR(VLOOKUP(J1634,PROGRAMAS[],3,FALSE),0)</f>
        <v>675517840.109828</v>
      </c>
      <c r="AM1634" s="246">
        <f>IFERROR(VLOOKUP(K1634,PROGRAMAS[],3,FALSE),0)</f>
        <v>2392571243.5584412</v>
      </c>
      <c r="AN1634" s="246">
        <f>IFERROR(VLOOKUP(L1634,PROGRAMAS[],3,FALSE),0)</f>
        <v>31865326.38096505</v>
      </c>
      <c r="AO1634" s="246">
        <f>IFERROR(VLOOKUP(M1634,PROGRAMAS[],3,FALSE),0)</f>
        <v>2406564599.0319901</v>
      </c>
      <c r="AP1634" s="246">
        <f>IFERROR(VLOOKUP(N1634,PROGRAMAS[],3,FALSE),0)</f>
        <v>0</v>
      </c>
      <c r="AQ1634" s="246">
        <f>IFERROR(VLOOKUP(O1634,PROGRAMAS[],3,FALSE),0)</f>
        <v>0</v>
      </c>
      <c r="AR1634" s="246">
        <f>IFERROR(VLOOKUP(P1634,PROGRAMAS[],3,FALSE),0)</f>
        <v>0</v>
      </c>
      <c r="AS1634" s="246">
        <f>IFERROR(VLOOKUP(Q1634,PROGRAMAS[],3,FALSE),0)</f>
        <v>0</v>
      </c>
      <c r="AT1634" s="246">
        <f>IFERROR(VLOOKUP(D1634,VOL_REC[],2,FALSE),0)</f>
        <v>0</v>
      </c>
      <c r="AU1634" s="246">
        <f>IFERROR(VLOOKUP(E1634,VOL_REC[],2,FALSE),0)</f>
        <v>0</v>
      </c>
      <c r="AV1634" s="246">
        <f>IFERROR(VLOOKUP(F1634,VOL_REC[],2,FALSE),0)</f>
        <v>11089674.200000001</v>
      </c>
      <c r="AW1634" s="246">
        <f>IFERROR(VLOOKUP(G1634,VOL_REC[],2,FALSE),0)</f>
        <v>90439.55</v>
      </c>
      <c r="AX1634" s="246">
        <f>IFERROR(VLOOKUP(H1634,VOL_REC[],2,FALSE),0)</f>
        <v>15540036.397699751</v>
      </c>
      <c r="AY1634" s="246">
        <f>IFERROR(VLOOKUP(I1634,VOL_REC[],2,FALSE),0)</f>
        <v>3761786</v>
      </c>
      <c r="AZ1634" s="246">
        <f>IFERROR(VLOOKUP(J1634,VOL_REC[],2,FALSE),0)</f>
        <v>240696.79238099116</v>
      </c>
      <c r="BA1634" s="246">
        <f>IFERROR(VLOOKUP(K1634,VOL_REC[],2,FALSE),0)</f>
        <v>663244.80000000016</v>
      </c>
      <c r="BB1634" s="246">
        <f>IFERROR(VLOOKUP(L1634,VOL_REC[],2,FALSE),0)</f>
        <v>17074.045034105649</v>
      </c>
      <c r="BC1634" s="246">
        <f>IFERROR(VLOOKUP(M1634,VOL_REC[],2,FALSE),0)</f>
        <v>1072354.9981737854</v>
      </c>
      <c r="BD1634" s="246">
        <f>IFERROR(VLOOKUP(N1634,VOL_REC[],2,FALSE),0)</f>
        <v>0</v>
      </c>
      <c r="BE1634" s="246">
        <f>IFERROR(VLOOKUP(O1634,VOL_REC[],2,FALSE),0)</f>
        <v>0</v>
      </c>
      <c r="BF1634" s="246">
        <f>IFERROR(VLOOKUP(P1634,VOL_REC[],2,FALSE),0)</f>
        <v>0</v>
      </c>
      <c r="BG1634" s="246">
        <f>IFERROR(VLOOKUP(Q1634,VOL_REC[],2,FALSE),0)</f>
        <v>0</v>
      </c>
      <c r="BH1634" s="1710">
        <f t="shared" si="100"/>
        <v>28567848736.502625</v>
      </c>
      <c r="BI1634" s="1710">
        <f t="shared" si="101"/>
        <v>26858788926.21019</v>
      </c>
      <c r="BJ1634" s="1711">
        <f t="shared" si="102"/>
        <v>32475306.783288635</v>
      </c>
      <c r="BK1634" s="1711">
        <f t="shared" si="103"/>
        <v>1.0636313057520119</v>
      </c>
      <c r="BL1634">
        <f>BJ1634</f>
        <v>32475306.783288635</v>
      </c>
      <c r="BO1634">
        <f>BL1634</f>
        <v>32475306.783288635</v>
      </c>
    </row>
    <row r="1635" spans="3:67" x14ac:dyDescent="0.25">
      <c r="C1635" s="246" t="s">
        <v>2985</v>
      </c>
      <c r="D1635" s="246">
        <v>1</v>
      </c>
      <c r="E1635" s="246">
        <v>2</v>
      </c>
      <c r="F1635" s="246">
        <v>3</v>
      </c>
      <c r="G1635" s="246">
        <v>4</v>
      </c>
      <c r="H1635" s="246">
        <v>6</v>
      </c>
      <c r="I1635" s="246">
        <v>9</v>
      </c>
      <c r="J1635" s="246">
        <v>12</v>
      </c>
      <c r="K1635" s="246">
        <v>13</v>
      </c>
      <c r="L1635" s="246">
        <v>14</v>
      </c>
      <c r="M1635" s="246">
        <v>17</v>
      </c>
      <c r="N1635" s="246"/>
      <c r="O1635" s="246"/>
      <c r="P1635" s="246"/>
      <c r="Q1635" s="246"/>
      <c r="R1635" s="246">
        <f>IFERROR(VLOOKUP(D1635,PROGRAMAS[],2,FALSE),0)</f>
        <v>97037803.679377079</v>
      </c>
      <c r="S1635" s="246">
        <f>IFERROR(VLOOKUP(E1635,PROGRAMAS[],2,FALSE),0)</f>
        <v>640501509.6821388</v>
      </c>
      <c r="T1635" s="246">
        <f>IFERROR(VLOOKUP(F1635,PROGRAMAS[],2,FALSE),0)</f>
        <v>3062327798.1525245</v>
      </c>
      <c r="U1635" s="246">
        <f>IFERROR(VLOOKUP(G1635,PROGRAMAS[],2,FALSE),0)</f>
        <v>67697118.033011258</v>
      </c>
      <c r="V1635" s="246">
        <f>IFERROR(VLOOKUP(H1635,PROGRAMAS[],2,FALSE),0)</f>
        <v>6907648435.8447599</v>
      </c>
      <c r="W1635" s="246">
        <f>IFERROR(VLOOKUP(I1635,PROGRAMAS[],2,FALSE),0)</f>
        <v>6128579952.1618185</v>
      </c>
      <c r="X1635" s="246">
        <f>IFERROR(VLOOKUP(J1635,PROGRAMAS[],2,FALSE),0)</f>
        <v>764796700.79905891</v>
      </c>
      <c r="Y1635" s="246">
        <f>IFERROR(VLOOKUP(K1635,PROGRAMAS[],2,FALSE),0)</f>
        <v>3776538594.4604583</v>
      </c>
      <c r="Z1635" s="246">
        <f>IFERROR(VLOOKUP(L1635,PROGRAMAS[],2,FALSE),0)</f>
        <v>54223862.645839565</v>
      </c>
      <c r="AA1635" s="246">
        <f>IFERROR(VLOOKUP(M1635,PROGRAMAS[],2,FALSE),0)</f>
        <v>1892779498.5211046</v>
      </c>
      <c r="AB1635" s="246">
        <f>IFERROR(VLOOKUP(N1635,PROGRAMAS[],2,FALSE),0)</f>
        <v>0</v>
      </c>
      <c r="AC1635" s="246">
        <f>IFERROR(VLOOKUP(O1635,PROGRAMAS[],2,FALSE),0)</f>
        <v>0</v>
      </c>
      <c r="AD1635" s="246">
        <f>IFERROR(VLOOKUP(P1635,PROGRAMAS[],2,FALSE),0)</f>
        <v>0</v>
      </c>
      <c r="AE1635" s="246">
        <f>IFERROR(VLOOKUP(Q1635,PROGRAMAS[],2,FALSE),0)</f>
        <v>0</v>
      </c>
      <c r="AF1635" s="246">
        <f>IFERROR(VLOOKUP(D1635,PROGRAMAS[],3,FALSE),0)</f>
        <v>841888629.31080008</v>
      </c>
      <c r="AG1635" s="246">
        <f>IFERROR(VLOOKUP(E1635,PROGRAMAS[],3,FALSE),0)</f>
        <v>3848980803.1642323</v>
      </c>
      <c r="AH1635" s="246">
        <f>IFERROR(VLOOKUP(F1635,PROGRAMAS[],3,FALSE),0)</f>
        <v>3394901471.387517</v>
      </c>
      <c r="AI1635" s="246">
        <f>IFERROR(VLOOKUP(G1635,PROGRAMAS[],3,FALSE),0)</f>
        <v>125317226.95549992</v>
      </c>
      <c r="AJ1635" s="246">
        <f>IFERROR(VLOOKUP(H1635,PROGRAMAS[],3,FALSE),0)</f>
        <v>6129902208.7912121</v>
      </c>
      <c r="AK1635" s="246">
        <f>IFERROR(VLOOKUP(I1635,PROGRAMAS[],3,FALSE),0)</f>
        <v>7011279577.519702</v>
      </c>
      <c r="AL1635" s="246">
        <f>IFERROR(VLOOKUP(J1635,PROGRAMAS[],3,FALSE),0)</f>
        <v>675517840.109828</v>
      </c>
      <c r="AM1635" s="246">
        <f>IFERROR(VLOOKUP(K1635,PROGRAMAS[],3,FALSE),0)</f>
        <v>2392571243.5584412</v>
      </c>
      <c r="AN1635" s="246">
        <f>IFERROR(VLOOKUP(L1635,PROGRAMAS[],3,FALSE),0)</f>
        <v>31865326.38096505</v>
      </c>
      <c r="AO1635" s="246">
        <f>IFERROR(VLOOKUP(M1635,PROGRAMAS[],3,FALSE),0)</f>
        <v>948595847.09039903</v>
      </c>
      <c r="AP1635" s="246">
        <f>IFERROR(VLOOKUP(N1635,PROGRAMAS[],3,FALSE),0)</f>
        <v>0</v>
      </c>
      <c r="AQ1635" s="246">
        <f>IFERROR(VLOOKUP(O1635,PROGRAMAS[],3,FALSE),0)</f>
        <v>0</v>
      </c>
      <c r="AR1635" s="246">
        <f>IFERROR(VLOOKUP(P1635,PROGRAMAS[],3,FALSE),0)</f>
        <v>0</v>
      </c>
      <c r="AS1635" s="246">
        <f>IFERROR(VLOOKUP(Q1635,PROGRAMAS[],3,FALSE),0)</f>
        <v>0</v>
      </c>
      <c r="AT1635" s="246">
        <f>IFERROR(VLOOKUP(D1635,VOL_REC[],2,FALSE),0)</f>
        <v>0</v>
      </c>
      <c r="AU1635" s="246">
        <f>IFERROR(VLOOKUP(E1635,VOL_REC[],2,FALSE),0)</f>
        <v>0</v>
      </c>
      <c r="AV1635" s="246">
        <f>IFERROR(VLOOKUP(F1635,VOL_REC[],2,FALSE),0)</f>
        <v>11089674.200000001</v>
      </c>
      <c r="AW1635" s="246">
        <f>IFERROR(VLOOKUP(G1635,VOL_REC[],2,FALSE),0)</f>
        <v>90439.55</v>
      </c>
      <c r="AX1635" s="246">
        <f>IFERROR(VLOOKUP(H1635,VOL_REC[],2,FALSE),0)</f>
        <v>15540036.397699751</v>
      </c>
      <c r="AY1635" s="246">
        <f>IFERROR(VLOOKUP(I1635,VOL_REC[],2,FALSE),0)</f>
        <v>3761786</v>
      </c>
      <c r="AZ1635" s="246">
        <f>IFERROR(VLOOKUP(J1635,VOL_REC[],2,FALSE),0)</f>
        <v>240696.79238099116</v>
      </c>
      <c r="BA1635" s="246">
        <f>IFERROR(VLOOKUP(K1635,VOL_REC[],2,FALSE),0)</f>
        <v>663244.80000000016</v>
      </c>
      <c r="BB1635" s="246">
        <f>IFERROR(VLOOKUP(L1635,VOL_REC[],2,FALSE),0)</f>
        <v>17074.045034105649</v>
      </c>
      <c r="BC1635" s="246">
        <f>IFERROR(VLOOKUP(M1635,VOL_REC[],2,FALSE),0)</f>
        <v>740113.98115702497</v>
      </c>
      <c r="BD1635" s="246">
        <f>IFERROR(VLOOKUP(N1635,VOL_REC[],2,FALSE),0)</f>
        <v>0</v>
      </c>
      <c r="BE1635" s="246">
        <f>IFERROR(VLOOKUP(O1635,VOL_REC[],2,FALSE),0)</f>
        <v>0</v>
      </c>
      <c r="BF1635" s="246">
        <f>IFERROR(VLOOKUP(P1635,VOL_REC[],2,FALSE),0)</f>
        <v>0</v>
      </c>
      <c r="BG1635" s="246">
        <f>IFERROR(VLOOKUP(Q1635,VOL_REC[],2,FALSE),0)</f>
        <v>0</v>
      </c>
      <c r="BH1635" s="1710">
        <f t="shared" si="100"/>
        <v>23392131273.980091</v>
      </c>
      <c r="BI1635" s="1710">
        <f t="shared" si="101"/>
        <v>25400820174.2686</v>
      </c>
      <c r="BJ1635" s="1711">
        <f t="shared" si="102"/>
        <v>32143065.766271874</v>
      </c>
      <c r="BK1635" s="1711">
        <f t="shared" si="103"/>
        <v>0.92092031333998658</v>
      </c>
    </row>
    <row r="1636" spans="3:67" x14ac:dyDescent="0.25">
      <c r="C1636" s="246" t="s">
        <v>2986</v>
      </c>
      <c r="D1636" s="246">
        <v>1</v>
      </c>
      <c r="E1636" s="246">
        <v>2</v>
      </c>
      <c r="F1636" s="246">
        <v>3</v>
      </c>
      <c r="G1636" s="246">
        <v>4</v>
      </c>
      <c r="H1636" s="246">
        <v>6</v>
      </c>
      <c r="I1636" s="246">
        <v>9</v>
      </c>
      <c r="J1636" s="246">
        <v>12</v>
      </c>
      <c r="K1636" s="246">
        <v>13</v>
      </c>
      <c r="L1636" s="246">
        <v>15</v>
      </c>
      <c r="M1636" s="246">
        <v>16</v>
      </c>
      <c r="N1636" s="246"/>
      <c r="O1636" s="246"/>
      <c r="P1636" s="246"/>
      <c r="Q1636" s="246"/>
      <c r="R1636" s="246">
        <f>IFERROR(VLOOKUP(D1636,PROGRAMAS[],2,FALSE),0)</f>
        <v>97037803.679377079</v>
      </c>
      <c r="S1636" s="246">
        <f>IFERROR(VLOOKUP(E1636,PROGRAMAS[],2,FALSE),0)</f>
        <v>640501509.6821388</v>
      </c>
      <c r="T1636" s="246">
        <f>IFERROR(VLOOKUP(F1636,PROGRAMAS[],2,FALSE),0)</f>
        <v>3062327798.1525245</v>
      </c>
      <c r="U1636" s="246">
        <f>IFERROR(VLOOKUP(G1636,PROGRAMAS[],2,FALSE),0)</f>
        <v>67697118.033011258</v>
      </c>
      <c r="V1636" s="246">
        <f>IFERROR(VLOOKUP(H1636,PROGRAMAS[],2,FALSE),0)</f>
        <v>6907648435.8447599</v>
      </c>
      <c r="W1636" s="246">
        <f>IFERROR(VLOOKUP(I1636,PROGRAMAS[],2,FALSE),0)</f>
        <v>6128579952.1618185</v>
      </c>
      <c r="X1636" s="246">
        <f>IFERROR(VLOOKUP(J1636,PROGRAMAS[],2,FALSE),0)</f>
        <v>764796700.79905891</v>
      </c>
      <c r="Y1636" s="246">
        <f>IFERROR(VLOOKUP(K1636,PROGRAMAS[],2,FALSE),0)</f>
        <v>3776538594.4604583</v>
      </c>
      <c r="Z1636" s="246">
        <f>IFERROR(VLOOKUP(L1636,PROGRAMAS[],2,FALSE),0)</f>
        <v>122159672.96346797</v>
      </c>
      <c r="AA1636" s="246">
        <f>IFERROR(VLOOKUP(M1636,PROGRAMAS[],2,FALSE),0)</f>
        <v>7068496961.0436354</v>
      </c>
      <c r="AB1636" s="246">
        <f>IFERROR(VLOOKUP(N1636,PROGRAMAS[],2,FALSE),0)</f>
        <v>0</v>
      </c>
      <c r="AC1636" s="246">
        <f>IFERROR(VLOOKUP(O1636,PROGRAMAS[],2,FALSE),0)</f>
        <v>0</v>
      </c>
      <c r="AD1636" s="246">
        <f>IFERROR(VLOOKUP(P1636,PROGRAMAS[],2,FALSE),0)</f>
        <v>0</v>
      </c>
      <c r="AE1636" s="246">
        <f>IFERROR(VLOOKUP(Q1636,PROGRAMAS[],2,FALSE),0)</f>
        <v>0</v>
      </c>
      <c r="AF1636" s="246">
        <f>IFERROR(VLOOKUP(D1636,PROGRAMAS[],3,FALSE),0)</f>
        <v>841888629.31080008</v>
      </c>
      <c r="AG1636" s="246">
        <f>IFERROR(VLOOKUP(E1636,PROGRAMAS[],3,FALSE),0)</f>
        <v>3848980803.1642323</v>
      </c>
      <c r="AH1636" s="246">
        <f>IFERROR(VLOOKUP(F1636,PROGRAMAS[],3,FALSE),0)</f>
        <v>3394901471.387517</v>
      </c>
      <c r="AI1636" s="246">
        <f>IFERROR(VLOOKUP(G1636,PROGRAMAS[],3,FALSE),0)</f>
        <v>125317226.95549992</v>
      </c>
      <c r="AJ1636" s="246">
        <f>IFERROR(VLOOKUP(H1636,PROGRAMAS[],3,FALSE),0)</f>
        <v>6129902208.7912121</v>
      </c>
      <c r="AK1636" s="246">
        <f>IFERROR(VLOOKUP(I1636,PROGRAMAS[],3,FALSE),0)</f>
        <v>7011279577.519702</v>
      </c>
      <c r="AL1636" s="246">
        <f>IFERROR(VLOOKUP(J1636,PROGRAMAS[],3,FALSE),0)</f>
        <v>675517840.109828</v>
      </c>
      <c r="AM1636" s="246">
        <f>IFERROR(VLOOKUP(K1636,PROGRAMAS[],3,FALSE),0)</f>
        <v>2392571243.5584412</v>
      </c>
      <c r="AN1636" s="246">
        <f>IFERROR(VLOOKUP(L1636,PROGRAMAS[],3,FALSE),0)</f>
        <v>118617452.52510804</v>
      </c>
      <c r="AO1636" s="246">
        <f>IFERROR(VLOOKUP(M1636,PROGRAMAS[],3,FALSE),0)</f>
        <v>2406564599.0319901</v>
      </c>
      <c r="AP1636" s="246">
        <f>IFERROR(VLOOKUP(N1636,PROGRAMAS[],3,FALSE),0)</f>
        <v>0</v>
      </c>
      <c r="AQ1636" s="246">
        <f>IFERROR(VLOOKUP(O1636,PROGRAMAS[],3,FALSE),0)</f>
        <v>0</v>
      </c>
      <c r="AR1636" s="246">
        <f>IFERROR(VLOOKUP(P1636,PROGRAMAS[],3,FALSE),0)</f>
        <v>0</v>
      </c>
      <c r="AS1636" s="246">
        <f>IFERROR(VLOOKUP(Q1636,PROGRAMAS[],3,FALSE),0)</f>
        <v>0</v>
      </c>
      <c r="AT1636" s="246">
        <f>IFERROR(VLOOKUP(D1636,VOL_REC[],2,FALSE),0)</f>
        <v>0</v>
      </c>
      <c r="AU1636" s="246">
        <f>IFERROR(VLOOKUP(E1636,VOL_REC[],2,FALSE),0)</f>
        <v>0</v>
      </c>
      <c r="AV1636" s="246">
        <f>IFERROR(VLOOKUP(F1636,VOL_REC[],2,FALSE),0)</f>
        <v>11089674.200000001</v>
      </c>
      <c r="AW1636" s="246">
        <f>IFERROR(VLOOKUP(G1636,VOL_REC[],2,FALSE),0)</f>
        <v>90439.55</v>
      </c>
      <c r="AX1636" s="246">
        <f>IFERROR(VLOOKUP(H1636,VOL_REC[],2,FALSE),0)</f>
        <v>15540036.397699751</v>
      </c>
      <c r="AY1636" s="246">
        <f>IFERROR(VLOOKUP(I1636,VOL_REC[],2,FALSE),0)</f>
        <v>3761786</v>
      </c>
      <c r="AZ1636" s="246">
        <f>IFERROR(VLOOKUP(J1636,VOL_REC[],2,FALSE),0)</f>
        <v>240696.79238099116</v>
      </c>
      <c r="BA1636" s="246">
        <f>IFERROR(VLOOKUP(K1636,VOL_REC[],2,FALSE),0)</f>
        <v>663244.80000000016</v>
      </c>
      <c r="BB1636" s="246">
        <f>IFERROR(VLOOKUP(L1636,VOL_REC[],2,FALSE),0)</f>
        <v>105072</v>
      </c>
      <c r="BC1636" s="246">
        <f>IFERROR(VLOOKUP(M1636,VOL_REC[],2,FALSE),0)</f>
        <v>1072354.9981737854</v>
      </c>
      <c r="BD1636" s="246">
        <f>IFERROR(VLOOKUP(N1636,VOL_REC[],2,FALSE),0)</f>
        <v>0</v>
      </c>
      <c r="BE1636" s="246">
        <f>IFERROR(VLOOKUP(O1636,VOL_REC[],2,FALSE),0)</f>
        <v>0</v>
      </c>
      <c r="BF1636" s="246">
        <f>IFERROR(VLOOKUP(P1636,VOL_REC[],2,FALSE),0)</f>
        <v>0</v>
      </c>
      <c r="BG1636" s="246">
        <f>IFERROR(VLOOKUP(Q1636,VOL_REC[],2,FALSE),0)</f>
        <v>0</v>
      </c>
      <c r="BH1636" s="1710">
        <f t="shared" si="100"/>
        <v>28635784546.820251</v>
      </c>
      <c r="BI1636" s="1710">
        <f t="shared" si="101"/>
        <v>26945541052.354332</v>
      </c>
      <c r="BJ1636" s="1711">
        <f t="shared" si="102"/>
        <v>32563304.738254528</v>
      </c>
      <c r="BK1636" s="1711">
        <f t="shared" si="103"/>
        <v>1.0627281334296399</v>
      </c>
      <c r="BL1636">
        <f>BJ1636</f>
        <v>32563304.738254528</v>
      </c>
      <c r="BO1636">
        <f>BL1636</f>
        <v>32563304.738254528</v>
      </c>
    </row>
    <row r="1637" spans="3:67" x14ac:dyDescent="0.25">
      <c r="C1637" s="246" t="s">
        <v>2987</v>
      </c>
      <c r="D1637" s="246">
        <v>1</v>
      </c>
      <c r="E1637" s="246">
        <v>2</v>
      </c>
      <c r="F1637" s="246">
        <v>3</v>
      </c>
      <c r="G1637" s="246">
        <v>4</v>
      </c>
      <c r="H1637" s="246">
        <v>6</v>
      </c>
      <c r="I1637" s="246">
        <v>9</v>
      </c>
      <c r="J1637" s="246">
        <v>12</v>
      </c>
      <c r="K1637" s="246">
        <v>13</v>
      </c>
      <c r="L1637" s="246">
        <v>15</v>
      </c>
      <c r="M1637" s="246">
        <v>17</v>
      </c>
      <c r="N1637" s="246"/>
      <c r="O1637" s="246"/>
      <c r="P1637" s="246"/>
      <c r="Q1637" s="246"/>
      <c r="R1637" s="246">
        <f>IFERROR(VLOOKUP(D1637,PROGRAMAS[],2,FALSE),0)</f>
        <v>97037803.679377079</v>
      </c>
      <c r="S1637" s="246">
        <f>IFERROR(VLOOKUP(E1637,PROGRAMAS[],2,FALSE),0)</f>
        <v>640501509.6821388</v>
      </c>
      <c r="T1637" s="246">
        <f>IFERROR(VLOOKUP(F1637,PROGRAMAS[],2,FALSE),0)</f>
        <v>3062327798.1525245</v>
      </c>
      <c r="U1637" s="246">
        <f>IFERROR(VLOOKUP(G1637,PROGRAMAS[],2,FALSE),0)</f>
        <v>67697118.033011258</v>
      </c>
      <c r="V1637" s="246">
        <f>IFERROR(VLOOKUP(H1637,PROGRAMAS[],2,FALSE),0)</f>
        <v>6907648435.8447599</v>
      </c>
      <c r="W1637" s="246">
        <f>IFERROR(VLOOKUP(I1637,PROGRAMAS[],2,FALSE),0)</f>
        <v>6128579952.1618185</v>
      </c>
      <c r="X1637" s="246">
        <f>IFERROR(VLOOKUP(J1637,PROGRAMAS[],2,FALSE),0)</f>
        <v>764796700.79905891</v>
      </c>
      <c r="Y1637" s="246">
        <f>IFERROR(VLOOKUP(K1637,PROGRAMAS[],2,FALSE),0)</f>
        <v>3776538594.4604583</v>
      </c>
      <c r="Z1637" s="246">
        <f>IFERROR(VLOOKUP(L1637,PROGRAMAS[],2,FALSE),0)</f>
        <v>122159672.96346797</v>
      </c>
      <c r="AA1637" s="246">
        <f>IFERROR(VLOOKUP(M1637,PROGRAMAS[],2,FALSE),0)</f>
        <v>1892779498.5211046</v>
      </c>
      <c r="AB1637" s="246">
        <f>IFERROR(VLOOKUP(N1637,PROGRAMAS[],2,FALSE),0)</f>
        <v>0</v>
      </c>
      <c r="AC1637" s="246">
        <f>IFERROR(VLOOKUP(O1637,PROGRAMAS[],2,FALSE),0)</f>
        <v>0</v>
      </c>
      <c r="AD1637" s="246">
        <f>IFERROR(VLOOKUP(P1637,PROGRAMAS[],2,FALSE),0)</f>
        <v>0</v>
      </c>
      <c r="AE1637" s="246">
        <f>IFERROR(VLOOKUP(Q1637,PROGRAMAS[],2,FALSE),0)</f>
        <v>0</v>
      </c>
      <c r="AF1637" s="246">
        <f>IFERROR(VLOOKUP(D1637,PROGRAMAS[],3,FALSE),0)</f>
        <v>841888629.31080008</v>
      </c>
      <c r="AG1637" s="246">
        <f>IFERROR(VLOOKUP(E1637,PROGRAMAS[],3,FALSE),0)</f>
        <v>3848980803.1642323</v>
      </c>
      <c r="AH1637" s="246">
        <f>IFERROR(VLOOKUP(F1637,PROGRAMAS[],3,FALSE),0)</f>
        <v>3394901471.387517</v>
      </c>
      <c r="AI1637" s="246">
        <f>IFERROR(VLOOKUP(G1637,PROGRAMAS[],3,FALSE),0)</f>
        <v>125317226.95549992</v>
      </c>
      <c r="AJ1637" s="246">
        <f>IFERROR(VLOOKUP(H1637,PROGRAMAS[],3,FALSE),0)</f>
        <v>6129902208.7912121</v>
      </c>
      <c r="AK1637" s="246">
        <f>IFERROR(VLOOKUP(I1637,PROGRAMAS[],3,FALSE),0)</f>
        <v>7011279577.519702</v>
      </c>
      <c r="AL1637" s="246">
        <f>IFERROR(VLOOKUP(J1637,PROGRAMAS[],3,FALSE),0)</f>
        <v>675517840.109828</v>
      </c>
      <c r="AM1637" s="246">
        <f>IFERROR(VLOOKUP(K1637,PROGRAMAS[],3,FALSE),0)</f>
        <v>2392571243.5584412</v>
      </c>
      <c r="AN1637" s="246">
        <f>IFERROR(VLOOKUP(L1637,PROGRAMAS[],3,FALSE),0)</f>
        <v>118617452.52510804</v>
      </c>
      <c r="AO1637" s="246">
        <f>IFERROR(VLOOKUP(M1637,PROGRAMAS[],3,FALSE),0)</f>
        <v>948595847.09039903</v>
      </c>
      <c r="AP1637" s="246">
        <f>IFERROR(VLOOKUP(N1637,PROGRAMAS[],3,FALSE),0)</f>
        <v>0</v>
      </c>
      <c r="AQ1637" s="246">
        <f>IFERROR(VLOOKUP(O1637,PROGRAMAS[],3,FALSE),0)</f>
        <v>0</v>
      </c>
      <c r="AR1637" s="246">
        <f>IFERROR(VLOOKUP(P1637,PROGRAMAS[],3,FALSE),0)</f>
        <v>0</v>
      </c>
      <c r="AS1637" s="246">
        <f>IFERROR(VLOOKUP(Q1637,PROGRAMAS[],3,FALSE),0)</f>
        <v>0</v>
      </c>
      <c r="AT1637" s="246">
        <f>IFERROR(VLOOKUP(D1637,VOL_REC[],2,FALSE),0)</f>
        <v>0</v>
      </c>
      <c r="AU1637" s="246">
        <f>IFERROR(VLOOKUP(E1637,VOL_REC[],2,FALSE),0)</f>
        <v>0</v>
      </c>
      <c r="AV1637" s="246">
        <f>IFERROR(VLOOKUP(F1637,VOL_REC[],2,FALSE),0)</f>
        <v>11089674.200000001</v>
      </c>
      <c r="AW1637" s="246">
        <f>IFERROR(VLOOKUP(G1637,VOL_REC[],2,FALSE),0)</f>
        <v>90439.55</v>
      </c>
      <c r="AX1637" s="246">
        <f>IFERROR(VLOOKUP(H1637,VOL_REC[],2,FALSE),0)</f>
        <v>15540036.397699751</v>
      </c>
      <c r="AY1637" s="246">
        <f>IFERROR(VLOOKUP(I1637,VOL_REC[],2,FALSE),0)</f>
        <v>3761786</v>
      </c>
      <c r="AZ1637" s="246">
        <f>IFERROR(VLOOKUP(J1637,VOL_REC[],2,FALSE),0)</f>
        <v>240696.79238099116</v>
      </c>
      <c r="BA1637" s="246">
        <f>IFERROR(VLOOKUP(K1637,VOL_REC[],2,FALSE),0)</f>
        <v>663244.80000000016</v>
      </c>
      <c r="BB1637" s="246">
        <f>IFERROR(VLOOKUP(L1637,VOL_REC[],2,FALSE),0)</f>
        <v>105072</v>
      </c>
      <c r="BC1637" s="246">
        <f>IFERROR(VLOOKUP(M1637,VOL_REC[],2,FALSE),0)</f>
        <v>740113.98115702497</v>
      </c>
      <c r="BD1637" s="246">
        <f>IFERROR(VLOOKUP(N1637,VOL_REC[],2,FALSE),0)</f>
        <v>0</v>
      </c>
      <c r="BE1637" s="246">
        <f>IFERROR(VLOOKUP(O1637,VOL_REC[],2,FALSE),0)</f>
        <v>0</v>
      </c>
      <c r="BF1637" s="246">
        <f>IFERROR(VLOOKUP(P1637,VOL_REC[],2,FALSE),0)</f>
        <v>0</v>
      </c>
      <c r="BG1637" s="246">
        <f>IFERROR(VLOOKUP(Q1637,VOL_REC[],2,FALSE),0)</f>
        <v>0</v>
      </c>
      <c r="BH1637" s="1710">
        <f t="shared" si="100"/>
        <v>23460067084.297718</v>
      </c>
      <c r="BI1637" s="1710">
        <f t="shared" si="101"/>
        <v>25487572300.412743</v>
      </c>
      <c r="BJ1637" s="1711">
        <f t="shared" si="102"/>
        <v>32231063.721237767</v>
      </c>
      <c r="BK1637" s="1711">
        <f t="shared" si="103"/>
        <v>0.92045122257162992</v>
      </c>
    </row>
    <row r="1638" spans="3:67" x14ac:dyDescent="0.25">
      <c r="C1638" s="246" t="s">
        <v>2988</v>
      </c>
      <c r="D1638" s="246">
        <v>1</v>
      </c>
      <c r="E1638" s="246">
        <v>2</v>
      </c>
      <c r="F1638" s="246">
        <v>3</v>
      </c>
      <c r="G1638" s="246">
        <v>4</v>
      </c>
      <c r="H1638" s="246">
        <v>6</v>
      </c>
      <c r="I1638" s="246">
        <v>9</v>
      </c>
      <c r="J1638" s="246">
        <v>12</v>
      </c>
      <c r="K1638" s="246">
        <v>13</v>
      </c>
      <c r="L1638" s="246">
        <v>16</v>
      </c>
      <c r="M1638" s="246">
        <v>17</v>
      </c>
      <c r="N1638" s="246"/>
      <c r="O1638" s="246"/>
      <c r="P1638" s="246"/>
      <c r="Q1638" s="246"/>
      <c r="R1638" s="246">
        <f>IFERROR(VLOOKUP(D1638,PROGRAMAS[],2,FALSE),0)</f>
        <v>97037803.679377079</v>
      </c>
      <c r="S1638" s="246">
        <f>IFERROR(VLOOKUP(E1638,PROGRAMAS[],2,FALSE),0)</f>
        <v>640501509.6821388</v>
      </c>
      <c r="T1638" s="246">
        <f>IFERROR(VLOOKUP(F1638,PROGRAMAS[],2,FALSE),0)</f>
        <v>3062327798.1525245</v>
      </c>
      <c r="U1638" s="246">
        <f>IFERROR(VLOOKUP(G1638,PROGRAMAS[],2,FALSE),0)</f>
        <v>67697118.033011258</v>
      </c>
      <c r="V1638" s="246">
        <f>IFERROR(VLOOKUP(H1638,PROGRAMAS[],2,FALSE),0)</f>
        <v>6907648435.8447599</v>
      </c>
      <c r="W1638" s="246">
        <f>IFERROR(VLOOKUP(I1638,PROGRAMAS[],2,FALSE),0)</f>
        <v>6128579952.1618185</v>
      </c>
      <c r="X1638" s="246">
        <f>IFERROR(VLOOKUP(J1638,PROGRAMAS[],2,FALSE),0)</f>
        <v>764796700.79905891</v>
      </c>
      <c r="Y1638" s="246">
        <f>IFERROR(VLOOKUP(K1638,PROGRAMAS[],2,FALSE),0)</f>
        <v>3776538594.4604583</v>
      </c>
      <c r="Z1638" s="246">
        <f>IFERROR(VLOOKUP(L1638,PROGRAMAS[],2,FALSE),0)</f>
        <v>7068496961.0436354</v>
      </c>
      <c r="AA1638" s="246">
        <f>IFERROR(VLOOKUP(M1638,PROGRAMAS[],2,FALSE),0)</f>
        <v>1892779498.5211046</v>
      </c>
      <c r="AB1638" s="246">
        <f>IFERROR(VLOOKUP(N1638,PROGRAMAS[],2,FALSE),0)</f>
        <v>0</v>
      </c>
      <c r="AC1638" s="246">
        <f>IFERROR(VLOOKUP(O1638,PROGRAMAS[],2,FALSE),0)</f>
        <v>0</v>
      </c>
      <c r="AD1638" s="246">
        <f>IFERROR(VLOOKUP(P1638,PROGRAMAS[],2,FALSE),0)</f>
        <v>0</v>
      </c>
      <c r="AE1638" s="246">
        <f>IFERROR(VLOOKUP(Q1638,PROGRAMAS[],2,FALSE),0)</f>
        <v>0</v>
      </c>
      <c r="AF1638" s="246">
        <f>IFERROR(VLOOKUP(D1638,PROGRAMAS[],3,FALSE),0)</f>
        <v>841888629.31080008</v>
      </c>
      <c r="AG1638" s="246">
        <f>IFERROR(VLOOKUP(E1638,PROGRAMAS[],3,FALSE),0)</f>
        <v>3848980803.1642323</v>
      </c>
      <c r="AH1638" s="246">
        <f>IFERROR(VLOOKUP(F1638,PROGRAMAS[],3,FALSE),0)</f>
        <v>3394901471.387517</v>
      </c>
      <c r="AI1638" s="246">
        <f>IFERROR(VLOOKUP(G1638,PROGRAMAS[],3,FALSE),0)</f>
        <v>125317226.95549992</v>
      </c>
      <c r="AJ1638" s="246">
        <f>IFERROR(VLOOKUP(H1638,PROGRAMAS[],3,FALSE),0)</f>
        <v>6129902208.7912121</v>
      </c>
      <c r="AK1638" s="246">
        <f>IFERROR(VLOOKUP(I1638,PROGRAMAS[],3,FALSE),0)</f>
        <v>7011279577.519702</v>
      </c>
      <c r="AL1638" s="246">
        <f>IFERROR(VLOOKUP(J1638,PROGRAMAS[],3,FALSE),0)</f>
        <v>675517840.109828</v>
      </c>
      <c r="AM1638" s="246">
        <f>IFERROR(VLOOKUP(K1638,PROGRAMAS[],3,FALSE),0)</f>
        <v>2392571243.5584412</v>
      </c>
      <c r="AN1638" s="246">
        <f>IFERROR(VLOOKUP(L1638,PROGRAMAS[],3,FALSE),0)</f>
        <v>2406564599.0319901</v>
      </c>
      <c r="AO1638" s="246">
        <f>IFERROR(VLOOKUP(M1638,PROGRAMAS[],3,FALSE),0)</f>
        <v>948595847.09039903</v>
      </c>
      <c r="AP1638" s="246">
        <f>IFERROR(VLOOKUP(N1638,PROGRAMAS[],3,FALSE),0)</f>
        <v>0</v>
      </c>
      <c r="AQ1638" s="246">
        <f>IFERROR(VLOOKUP(O1638,PROGRAMAS[],3,FALSE),0)</f>
        <v>0</v>
      </c>
      <c r="AR1638" s="246">
        <f>IFERROR(VLOOKUP(P1638,PROGRAMAS[],3,FALSE),0)</f>
        <v>0</v>
      </c>
      <c r="AS1638" s="246">
        <f>IFERROR(VLOOKUP(Q1638,PROGRAMAS[],3,FALSE),0)</f>
        <v>0</v>
      </c>
      <c r="AT1638" s="246">
        <f>IFERROR(VLOOKUP(D1638,VOL_REC[],2,FALSE),0)</f>
        <v>0</v>
      </c>
      <c r="AU1638" s="246">
        <f>IFERROR(VLOOKUP(E1638,VOL_REC[],2,FALSE),0)</f>
        <v>0</v>
      </c>
      <c r="AV1638" s="246">
        <f>IFERROR(VLOOKUP(F1638,VOL_REC[],2,FALSE),0)</f>
        <v>11089674.200000001</v>
      </c>
      <c r="AW1638" s="246">
        <f>IFERROR(VLOOKUP(G1638,VOL_REC[],2,FALSE),0)</f>
        <v>90439.55</v>
      </c>
      <c r="AX1638" s="246">
        <f>IFERROR(VLOOKUP(H1638,VOL_REC[],2,FALSE),0)</f>
        <v>15540036.397699751</v>
      </c>
      <c r="AY1638" s="246">
        <f>IFERROR(VLOOKUP(I1638,VOL_REC[],2,FALSE),0)</f>
        <v>3761786</v>
      </c>
      <c r="AZ1638" s="246">
        <f>IFERROR(VLOOKUP(J1638,VOL_REC[],2,FALSE),0)</f>
        <v>240696.79238099116</v>
      </c>
      <c r="BA1638" s="246">
        <f>IFERROR(VLOOKUP(K1638,VOL_REC[],2,FALSE),0)</f>
        <v>663244.80000000016</v>
      </c>
      <c r="BB1638" s="246">
        <f>IFERROR(VLOOKUP(L1638,VOL_REC[],2,FALSE),0)</f>
        <v>1072354.9981737854</v>
      </c>
      <c r="BC1638" s="246">
        <f>IFERROR(VLOOKUP(M1638,VOL_REC[],2,FALSE),0)</f>
        <v>740113.98115702497</v>
      </c>
      <c r="BD1638" s="246">
        <f>IFERROR(VLOOKUP(N1638,VOL_REC[],2,FALSE),0)</f>
        <v>0</v>
      </c>
      <c r="BE1638" s="246">
        <f>IFERROR(VLOOKUP(O1638,VOL_REC[],2,FALSE),0)</f>
        <v>0</v>
      </c>
      <c r="BF1638" s="246">
        <f>IFERROR(VLOOKUP(P1638,VOL_REC[],2,FALSE),0)</f>
        <v>0</v>
      </c>
      <c r="BG1638" s="246">
        <f>IFERROR(VLOOKUP(Q1638,VOL_REC[],2,FALSE),0)</f>
        <v>0</v>
      </c>
      <c r="BH1638" s="1710">
        <f t="shared" si="100"/>
        <v>30406404372.377888</v>
      </c>
      <c r="BI1638" s="1710">
        <f t="shared" si="101"/>
        <v>27775519446.919624</v>
      </c>
      <c r="BJ1638" s="1711">
        <f t="shared" si="102"/>
        <v>33198346.719411552</v>
      </c>
      <c r="BK1638" s="1711">
        <f t="shared" si="103"/>
        <v>1.0947195580081235</v>
      </c>
      <c r="BL1638">
        <f>BJ1638</f>
        <v>33198346.719411552</v>
      </c>
      <c r="BO1638">
        <f>BL1638</f>
        <v>33198346.719411552</v>
      </c>
    </row>
    <row r="1639" spans="3:67" x14ac:dyDescent="0.25">
      <c r="C1639" s="246" t="s">
        <v>2989</v>
      </c>
      <c r="D1639" s="246">
        <v>1</v>
      </c>
      <c r="E1639" s="246">
        <v>2</v>
      </c>
      <c r="F1639" s="246">
        <v>3</v>
      </c>
      <c r="G1639" s="246">
        <v>4</v>
      </c>
      <c r="H1639" s="246">
        <v>6</v>
      </c>
      <c r="I1639" s="246">
        <v>9</v>
      </c>
      <c r="J1639" s="246">
        <v>12</v>
      </c>
      <c r="K1639" s="246">
        <v>14</v>
      </c>
      <c r="L1639" s="246">
        <v>15</v>
      </c>
      <c r="M1639" s="246">
        <v>16</v>
      </c>
      <c r="N1639" s="246"/>
      <c r="O1639" s="246"/>
      <c r="P1639" s="246"/>
      <c r="Q1639" s="246"/>
      <c r="R1639" s="246">
        <f>IFERROR(VLOOKUP(D1639,PROGRAMAS[],2,FALSE),0)</f>
        <v>97037803.679377079</v>
      </c>
      <c r="S1639" s="246">
        <f>IFERROR(VLOOKUP(E1639,PROGRAMAS[],2,FALSE),0)</f>
        <v>640501509.6821388</v>
      </c>
      <c r="T1639" s="246">
        <f>IFERROR(VLOOKUP(F1639,PROGRAMAS[],2,FALSE),0)</f>
        <v>3062327798.1525245</v>
      </c>
      <c r="U1639" s="246">
        <f>IFERROR(VLOOKUP(G1639,PROGRAMAS[],2,FALSE),0)</f>
        <v>67697118.033011258</v>
      </c>
      <c r="V1639" s="246">
        <f>IFERROR(VLOOKUP(H1639,PROGRAMAS[],2,FALSE),0)</f>
        <v>6907648435.8447599</v>
      </c>
      <c r="W1639" s="246">
        <f>IFERROR(VLOOKUP(I1639,PROGRAMAS[],2,FALSE),0)</f>
        <v>6128579952.1618185</v>
      </c>
      <c r="X1639" s="246">
        <f>IFERROR(VLOOKUP(J1639,PROGRAMAS[],2,FALSE),0)</f>
        <v>764796700.79905891</v>
      </c>
      <c r="Y1639" s="246">
        <f>IFERROR(VLOOKUP(K1639,PROGRAMAS[],2,FALSE),0)</f>
        <v>54223862.645839565</v>
      </c>
      <c r="Z1639" s="246">
        <f>IFERROR(VLOOKUP(L1639,PROGRAMAS[],2,FALSE),0)</f>
        <v>122159672.96346797</v>
      </c>
      <c r="AA1639" s="246">
        <f>IFERROR(VLOOKUP(M1639,PROGRAMAS[],2,FALSE),0)</f>
        <v>7068496961.0436354</v>
      </c>
      <c r="AB1639" s="246">
        <f>IFERROR(VLOOKUP(N1639,PROGRAMAS[],2,FALSE),0)</f>
        <v>0</v>
      </c>
      <c r="AC1639" s="246">
        <f>IFERROR(VLOOKUP(O1639,PROGRAMAS[],2,FALSE),0)</f>
        <v>0</v>
      </c>
      <c r="AD1639" s="246">
        <f>IFERROR(VLOOKUP(P1639,PROGRAMAS[],2,FALSE),0)</f>
        <v>0</v>
      </c>
      <c r="AE1639" s="246">
        <f>IFERROR(VLOOKUP(Q1639,PROGRAMAS[],2,FALSE),0)</f>
        <v>0</v>
      </c>
      <c r="AF1639" s="246">
        <f>IFERROR(VLOOKUP(D1639,PROGRAMAS[],3,FALSE),0)</f>
        <v>841888629.31080008</v>
      </c>
      <c r="AG1639" s="246">
        <f>IFERROR(VLOOKUP(E1639,PROGRAMAS[],3,FALSE),0)</f>
        <v>3848980803.1642323</v>
      </c>
      <c r="AH1639" s="246">
        <f>IFERROR(VLOOKUP(F1639,PROGRAMAS[],3,FALSE),0)</f>
        <v>3394901471.387517</v>
      </c>
      <c r="AI1639" s="246">
        <f>IFERROR(VLOOKUP(G1639,PROGRAMAS[],3,FALSE),0)</f>
        <v>125317226.95549992</v>
      </c>
      <c r="AJ1639" s="246">
        <f>IFERROR(VLOOKUP(H1639,PROGRAMAS[],3,FALSE),0)</f>
        <v>6129902208.7912121</v>
      </c>
      <c r="AK1639" s="246">
        <f>IFERROR(VLOOKUP(I1639,PROGRAMAS[],3,FALSE),0)</f>
        <v>7011279577.519702</v>
      </c>
      <c r="AL1639" s="246">
        <f>IFERROR(VLOOKUP(J1639,PROGRAMAS[],3,FALSE),0)</f>
        <v>675517840.109828</v>
      </c>
      <c r="AM1639" s="246">
        <f>IFERROR(VLOOKUP(K1639,PROGRAMAS[],3,FALSE),0)</f>
        <v>31865326.38096505</v>
      </c>
      <c r="AN1639" s="246">
        <f>IFERROR(VLOOKUP(L1639,PROGRAMAS[],3,FALSE),0)</f>
        <v>118617452.52510804</v>
      </c>
      <c r="AO1639" s="246">
        <f>IFERROR(VLOOKUP(M1639,PROGRAMAS[],3,FALSE),0)</f>
        <v>2406564599.0319901</v>
      </c>
      <c r="AP1639" s="246">
        <f>IFERROR(VLOOKUP(N1639,PROGRAMAS[],3,FALSE),0)</f>
        <v>0</v>
      </c>
      <c r="AQ1639" s="246">
        <f>IFERROR(VLOOKUP(O1639,PROGRAMAS[],3,FALSE),0)</f>
        <v>0</v>
      </c>
      <c r="AR1639" s="246">
        <f>IFERROR(VLOOKUP(P1639,PROGRAMAS[],3,FALSE),0)</f>
        <v>0</v>
      </c>
      <c r="AS1639" s="246">
        <f>IFERROR(VLOOKUP(Q1639,PROGRAMAS[],3,FALSE),0)</f>
        <v>0</v>
      </c>
      <c r="AT1639" s="246">
        <f>IFERROR(VLOOKUP(D1639,VOL_REC[],2,FALSE),0)</f>
        <v>0</v>
      </c>
      <c r="AU1639" s="246">
        <f>IFERROR(VLOOKUP(E1639,VOL_REC[],2,FALSE),0)</f>
        <v>0</v>
      </c>
      <c r="AV1639" s="246">
        <f>IFERROR(VLOOKUP(F1639,VOL_REC[],2,FALSE),0)</f>
        <v>11089674.200000001</v>
      </c>
      <c r="AW1639" s="246">
        <f>IFERROR(VLOOKUP(G1639,VOL_REC[],2,FALSE),0)</f>
        <v>90439.55</v>
      </c>
      <c r="AX1639" s="246">
        <f>IFERROR(VLOOKUP(H1639,VOL_REC[],2,FALSE),0)</f>
        <v>15540036.397699751</v>
      </c>
      <c r="AY1639" s="246">
        <f>IFERROR(VLOOKUP(I1639,VOL_REC[],2,FALSE),0)</f>
        <v>3761786</v>
      </c>
      <c r="AZ1639" s="246">
        <f>IFERROR(VLOOKUP(J1639,VOL_REC[],2,FALSE),0)</f>
        <v>240696.79238099116</v>
      </c>
      <c r="BA1639" s="246">
        <f>IFERROR(VLOOKUP(K1639,VOL_REC[],2,FALSE),0)</f>
        <v>17074.045034105649</v>
      </c>
      <c r="BB1639" s="246">
        <f>IFERROR(VLOOKUP(L1639,VOL_REC[],2,FALSE),0)</f>
        <v>105072</v>
      </c>
      <c r="BC1639" s="246">
        <f>IFERROR(VLOOKUP(M1639,VOL_REC[],2,FALSE),0)</f>
        <v>1072354.9981737854</v>
      </c>
      <c r="BD1639" s="246">
        <f>IFERROR(VLOOKUP(N1639,VOL_REC[],2,FALSE),0)</f>
        <v>0</v>
      </c>
      <c r="BE1639" s="246">
        <f>IFERROR(VLOOKUP(O1639,VOL_REC[],2,FALSE),0)</f>
        <v>0</v>
      </c>
      <c r="BF1639" s="246">
        <f>IFERROR(VLOOKUP(P1639,VOL_REC[],2,FALSE),0)</f>
        <v>0</v>
      </c>
      <c r="BG1639" s="246">
        <f>IFERROR(VLOOKUP(Q1639,VOL_REC[],2,FALSE),0)</f>
        <v>0</v>
      </c>
      <c r="BH1639" s="1710">
        <f t="shared" si="100"/>
        <v>24913469815.005634</v>
      </c>
      <c r="BI1639" s="1710">
        <f t="shared" si="101"/>
        <v>24584835135.176857</v>
      </c>
      <c r="BJ1639" s="1711">
        <f t="shared" si="102"/>
        <v>31917133.983288635</v>
      </c>
      <c r="BK1639" s="1711">
        <f t="shared" si="103"/>
        <v>1.0133673737497859</v>
      </c>
      <c r="BL1639">
        <f>BJ1639</f>
        <v>31917133.983288635</v>
      </c>
      <c r="BO1639">
        <f>BL1639</f>
        <v>31917133.983288635</v>
      </c>
    </row>
    <row r="1640" spans="3:67" x14ac:dyDescent="0.25">
      <c r="C1640" s="246" t="s">
        <v>2990</v>
      </c>
      <c r="D1640" s="246">
        <v>1</v>
      </c>
      <c r="E1640" s="246">
        <v>2</v>
      </c>
      <c r="F1640" s="246">
        <v>3</v>
      </c>
      <c r="G1640" s="246">
        <v>4</v>
      </c>
      <c r="H1640" s="246">
        <v>6</v>
      </c>
      <c r="I1640" s="246">
        <v>9</v>
      </c>
      <c r="J1640" s="246">
        <v>12</v>
      </c>
      <c r="K1640" s="246">
        <v>14</v>
      </c>
      <c r="L1640" s="246">
        <v>15</v>
      </c>
      <c r="M1640" s="246">
        <v>17</v>
      </c>
      <c r="N1640" s="246"/>
      <c r="O1640" s="246"/>
      <c r="P1640" s="246"/>
      <c r="Q1640" s="246"/>
      <c r="R1640" s="246">
        <f>IFERROR(VLOOKUP(D1640,PROGRAMAS[],2,FALSE),0)</f>
        <v>97037803.679377079</v>
      </c>
      <c r="S1640" s="246">
        <f>IFERROR(VLOOKUP(E1640,PROGRAMAS[],2,FALSE),0)</f>
        <v>640501509.6821388</v>
      </c>
      <c r="T1640" s="246">
        <f>IFERROR(VLOOKUP(F1640,PROGRAMAS[],2,FALSE),0)</f>
        <v>3062327798.1525245</v>
      </c>
      <c r="U1640" s="246">
        <f>IFERROR(VLOOKUP(G1640,PROGRAMAS[],2,FALSE),0)</f>
        <v>67697118.033011258</v>
      </c>
      <c r="V1640" s="246">
        <f>IFERROR(VLOOKUP(H1640,PROGRAMAS[],2,FALSE),0)</f>
        <v>6907648435.8447599</v>
      </c>
      <c r="W1640" s="246">
        <f>IFERROR(VLOOKUP(I1640,PROGRAMAS[],2,FALSE),0)</f>
        <v>6128579952.1618185</v>
      </c>
      <c r="X1640" s="246">
        <f>IFERROR(VLOOKUP(J1640,PROGRAMAS[],2,FALSE),0)</f>
        <v>764796700.79905891</v>
      </c>
      <c r="Y1640" s="246">
        <f>IFERROR(VLOOKUP(K1640,PROGRAMAS[],2,FALSE),0)</f>
        <v>54223862.645839565</v>
      </c>
      <c r="Z1640" s="246">
        <f>IFERROR(VLOOKUP(L1640,PROGRAMAS[],2,FALSE),0)</f>
        <v>122159672.96346797</v>
      </c>
      <c r="AA1640" s="246">
        <f>IFERROR(VLOOKUP(M1640,PROGRAMAS[],2,FALSE),0)</f>
        <v>1892779498.5211046</v>
      </c>
      <c r="AB1640" s="246">
        <f>IFERROR(VLOOKUP(N1640,PROGRAMAS[],2,FALSE),0)</f>
        <v>0</v>
      </c>
      <c r="AC1640" s="246">
        <f>IFERROR(VLOOKUP(O1640,PROGRAMAS[],2,FALSE),0)</f>
        <v>0</v>
      </c>
      <c r="AD1640" s="246">
        <f>IFERROR(VLOOKUP(P1640,PROGRAMAS[],2,FALSE),0)</f>
        <v>0</v>
      </c>
      <c r="AE1640" s="246">
        <f>IFERROR(VLOOKUP(Q1640,PROGRAMAS[],2,FALSE),0)</f>
        <v>0</v>
      </c>
      <c r="AF1640" s="246">
        <f>IFERROR(VLOOKUP(D1640,PROGRAMAS[],3,FALSE),0)</f>
        <v>841888629.31080008</v>
      </c>
      <c r="AG1640" s="246">
        <f>IFERROR(VLOOKUP(E1640,PROGRAMAS[],3,FALSE),0)</f>
        <v>3848980803.1642323</v>
      </c>
      <c r="AH1640" s="246">
        <f>IFERROR(VLOOKUP(F1640,PROGRAMAS[],3,FALSE),0)</f>
        <v>3394901471.387517</v>
      </c>
      <c r="AI1640" s="246">
        <f>IFERROR(VLOOKUP(G1640,PROGRAMAS[],3,FALSE),0)</f>
        <v>125317226.95549992</v>
      </c>
      <c r="AJ1640" s="246">
        <f>IFERROR(VLOOKUP(H1640,PROGRAMAS[],3,FALSE),0)</f>
        <v>6129902208.7912121</v>
      </c>
      <c r="AK1640" s="246">
        <f>IFERROR(VLOOKUP(I1640,PROGRAMAS[],3,FALSE),0)</f>
        <v>7011279577.519702</v>
      </c>
      <c r="AL1640" s="246">
        <f>IFERROR(VLOOKUP(J1640,PROGRAMAS[],3,FALSE),0)</f>
        <v>675517840.109828</v>
      </c>
      <c r="AM1640" s="246">
        <f>IFERROR(VLOOKUP(K1640,PROGRAMAS[],3,FALSE),0)</f>
        <v>31865326.38096505</v>
      </c>
      <c r="AN1640" s="246">
        <f>IFERROR(VLOOKUP(L1640,PROGRAMAS[],3,FALSE),0)</f>
        <v>118617452.52510804</v>
      </c>
      <c r="AO1640" s="246">
        <f>IFERROR(VLOOKUP(M1640,PROGRAMAS[],3,FALSE),0)</f>
        <v>948595847.09039903</v>
      </c>
      <c r="AP1640" s="246">
        <f>IFERROR(VLOOKUP(N1640,PROGRAMAS[],3,FALSE),0)</f>
        <v>0</v>
      </c>
      <c r="AQ1640" s="246">
        <f>IFERROR(VLOOKUP(O1640,PROGRAMAS[],3,FALSE),0)</f>
        <v>0</v>
      </c>
      <c r="AR1640" s="246">
        <f>IFERROR(VLOOKUP(P1640,PROGRAMAS[],3,FALSE),0)</f>
        <v>0</v>
      </c>
      <c r="AS1640" s="246">
        <f>IFERROR(VLOOKUP(Q1640,PROGRAMAS[],3,FALSE),0)</f>
        <v>0</v>
      </c>
      <c r="AT1640" s="246">
        <f>IFERROR(VLOOKUP(D1640,VOL_REC[],2,FALSE),0)</f>
        <v>0</v>
      </c>
      <c r="AU1640" s="246">
        <f>IFERROR(VLOOKUP(E1640,VOL_REC[],2,FALSE),0)</f>
        <v>0</v>
      </c>
      <c r="AV1640" s="246">
        <f>IFERROR(VLOOKUP(F1640,VOL_REC[],2,FALSE),0)</f>
        <v>11089674.200000001</v>
      </c>
      <c r="AW1640" s="246">
        <f>IFERROR(VLOOKUP(G1640,VOL_REC[],2,FALSE),0)</f>
        <v>90439.55</v>
      </c>
      <c r="AX1640" s="246">
        <f>IFERROR(VLOOKUP(H1640,VOL_REC[],2,FALSE),0)</f>
        <v>15540036.397699751</v>
      </c>
      <c r="AY1640" s="246">
        <f>IFERROR(VLOOKUP(I1640,VOL_REC[],2,FALSE),0)</f>
        <v>3761786</v>
      </c>
      <c r="AZ1640" s="246">
        <f>IFERROR(VLOOKUP(J1640,VOL_REC[],2,FALSE),0)</f>
        <v>240696.79238099116</v>
      </c>
      <c r="BA1640" s="246">
        <f>IFERROR(VLOOKUP(K1640,VOL_REC[],2,FALSE),0)</f>
        <v>17074.045034105649</v>
      </c>
      <c r="BB1640" s="246">
        <f>IFERROR(VLOOKUP(L1640,VOL_REC[],2,FALSE),0)</f>
        <v>105072</v>
      </c>
      <c r="BC1640" s="246">
        <f>IFERROR(VLOOKUP(M1640,VOL_REC[],2,FALSE),0)</f>
        <v>740113.98115702497</v>
      </c>
      <c r="BD1640" s="246">
        <f>IFERROR(VLOOKUP(N1640,VOL_REC[],2,FALSE),0)</f>
        <v>0</v>
      </c>
      <c r="BE1640" s="246">
        <f>IFERROR(VLOOKUP(O1640,VOL_REC[],2,FALSE),0)</f>
        <v>0</v>
      </c>
      <c r="BF1640" s="246">
        <f>IFERROR(VLOOKUP(P1640,VOL_REC[],2,FALSE),0)</f>
        <v>0</v>
      </c>
      <c r="BG1640" s="246">
        <f>IFERROR(VLOOKUP(Q1640,VOL_REC[],2,FALSE),0)</f>
        <v>0</v>
      </c>
      <c r="BH1640" s="1710">
        <f t="shared" si="100"/>
        <v>19737752352.483101</v>
      </c>
      <c r="BI1640" s="1710">
        <f t="shared" si="101"/>
        <v>23126866383.235268</v>
      </c>
      <c r="BJ1640" s="1711">
        <f t="shared" si="102"/>
        <v>31584892.966271874</v>
      </c>
      <c r="BK1640" s="1711">
        <f t="shared" si="103"/>
        <v>0.85345554496700227</v>
      </c>
    </row>
    <row r="1641" spans="3:67" x14ac:dyDescent="0.25">
      <c r="C1641" s="246" t="s">
        <v>2991</v>
      </c>
      <c r="D1641" s="246">
        <v>1</v>
      </c>
      <c r="E1641" s="246">
        <v>2</v>
      </c>
      <c r="F1641" s="246">
        <v>3</v>
      </c>
      <c r="G1641" s="246">
        <v>4</v>
      </c>
      <c r="H1641" s="246">
        <v>6</v>
      </c>
      <c r="I1641" s="246">
        <v>9</v>
      </c>
      <c r="J1641" s="246">
        <v>12</v>
      </c>
      <c r="K1641" s="246">
        <v>14</v>
      </c>
      <c r="L1641" s="246">
        <v>16</v>
      </c>
      <c r="M1641" s="246">
        <v>17</v>
      </c>
      <c r="N1641" s="246"/>
      <c r="O1641" s="246"/>
      <c r="P1641" s="246"/>
      <c r="Q1641" s="246"/>
      <c r="R1641" s="246">
        <f>IFERROR(VLOOKUP(D1641,PROGRAMAS[],2,FALSE),0)</f>
        <v>97037803.679377079</v>
      </c>
      <c r="S1641" s="246">
        <f>IFERROR(VLOOKUP(E1641,PROGRAMAS[],2,FALSE),0)</f>
        <v>640501509.6821388</v>
      </c>
      <c r="T1641" s="246">
        <f>IFERROR(VLOOKUP(F1641,PROGRAMAS[],2,FALSE),0)</f>
        <v>3062327798.1525245</v>
      </c>
      <c r="U1641" s="246">
        <f>IFERROR(VLOOKUP(G1641,PROGRAMAS[],2,FALSE),0)</f>
        <v>67697118.033011258</v>
      </c>
      <c r="V1641" s="246">
        <f>IFERROR(VLOOKUP(H1641,PROGRAMAS[],2,FALSE),0)</f>
        <v>6907648435.8447599</v>
      </c>
      <c r="W1641" s="246">
        <f>IFERROR(VLOOKUP(I1641,PROGRAMAS[],2,FALSE),0)</f>
        <v>6128579952.1618185</v>
      </c>
      <c r="X1641" s="246">
        <f>IFERROR(VLOOKUP(J1641,PROGRAMAS[],2,FALSE),0)</f>
        <v>764796700.79905891</v>
      </c>
      <c r="Y1641" s="246">
        <f>IFERROR(VLOOKUP(K1641,PROGRAMAS[],2,FALSE),0)</f>
        <v>54223862.645839565</v>
      </c>
      <c r="Z1641" s="246">
        <f>IFERROR(VLOOKUP(L1641,PROGRAMAS[],2,FALSE),0)</f>
        <v>7068496961.0436354</v>
      </c>
      <c r="AA1641" s="246">
        <f>IFERROR(VLOOKUP(M1641,PROGRAMAS[],2,FALSE),0)</f>
        <v>1892779498.5211046</v>
      </c>
      <c r="AB1641" s="246">
        <f>IFERROR(VLOOKUP(N1641,PROGRAMAS[],2,FALSE),0)</f>
        <v>0</v>
      </c>
      <c r="AC1641" s="246">
        <f>IFERROR(VLOOKUP(O1641,PROGRAMAS[],2,FALSE),0)</f>
        <v>0</v>
      </c>
      <c r="AD1641" s="246">
        <f>IFERROR(VLOOKUP(P1641,PROGRAMAS[],2,FALSE),0)</f>
        <v>0</v>
      </c>
      <c r="AE1641" s="246">
        <f>IFERROR(VLOOKUP(Q1641,PROGRAMAS[],2,FALSE),0)</f>
        <v>0</v>
      </c>
      <c r="AF1641" s="246">
        <f>IFERROR(VLOOKUP(D1641,PROGRAMAS[],3,FALSE),0)</f>
        <v>841888629.31080008</v>
      </c>
      <c r="AG1641" s="246">
        <f>IFERROR(VLOOKUP(E1641,PROGRAMAS[],3,FALSE),0)</f>
        <v>3848980803.1642323</v>
      </c>
      <c r="AH1641" s="246">
        <f>IFERROR(VLOOKUP(F1641,PROGRAMAS[],3,FALSE),0)</f>
        <v>3394901471.387517</v>
      </c>
      <c r="AI1641" s="246">
        <f>IFERROR(VLOOKUP(G1641,PROGRAMAS[],3,FALSE),0)</f>
        <v>125317226.95549992</v>
      </c>
      <c r="AJ1641" s="246">
        <f>IFERROR(VLOOKUP(H1641,PROGRAMAS[],3,FALSE),0)</f>
        <v>6129902208.7912121</v>
      </c>
      <c r="AK1641" s="246">
        <f>IFERROR(VLOOKUP(I1641,PROGRAMAS[],3,FALSE),0)</f>
        <v>7011279577.519702</v>
      </c>
      <c r="AL1641" s="246">
        <f>IFERROR(VLOOKUP(J1641,PROGRAMAS[],3,FALSE),0)</f>
        <v>675517840.109828</v>
      </c>
      <c r="AM1641" s="246">
        <f>IFERROR(VLOOKUP(K1641,PROGRAMAS[],3,FALSE),0)</f>
        <v>31865326.38096505</v>
      </c>
      <c r="AN1641" s="246">
        <f>IFERROR(VLOOKUP(L1641,PROGRAMAS[],3,FALSE),0)</f>
        <v>2406564599.0319901</v>
      </c>
      <c r="AO1641" s="246">
        <f>IFERROR(VLOOKUP(M1641,PROGRAMAS[],3,FALSE),0)</f>
        <v>948595847.09039903</v>
      </c>
      <c r="AP1641" s="246">
        <f>IFERROR(VLOOKUP(N1641,PROGRAMAS[],3,FALSE),0)</f>
        <v>0</v>
      </c>
      <c r="AQ1641" s="246">
        <f>IFERROR(VLOOKUP(O1641,PROGRAMAS[],3,FALSE),0)</f>
        <v>0</v>
      </c>
      <c r="AR1641" s="246">
        <f>IFERROR(VLOOKUP(P1641,PROGRAMAS[],3,FALSE),0)</f>
        <v>0</v>
      </c>
      <c r="AS1641" s="246">
        <f>IFERROR(VLOOKUP(Q1641,PROGRAMAS[],3,FALSE),0)</f>
        <v>0</v>
      </c>
      <c r="AT1641" s="246">
        <f>IFERROR(VLOOKUP(D1641,VOL_REC[],2,FALSE),0)</f>
        <v>0</v>
      </c>
      <c r="AU1641" s="246">
        <f>IFERROR(VLOOKUP(E1641,VOL_REC[],2,FALSE),0)</f>
        <v>0</v>
      </c>
      <c r="AV1641" s="246">
        <f>IFERROR(VLOOKUP(F1641,VOL_REC[],2,FALSE),0)</f>
        <v>11089674.200000001</v>
      </c>
      <c r="AW1641" s="246">
        <f>IFERROR(VLOOKUP(G1641,VOL_REC[],2,FALSE),0)</f>
        <v>90439.55</v>
      </c>
      <c r="AX1641" s="246">
        <f>IFERROR(VLOOKUP(H1641,VOL_REC[],2,FALSE),0)</f>
        <v>15540036.397699751</v>
      </c>
      <c r="AY1641" s="246">
        <f>IFERROR(VLOOKUP(I1641,VOL_REC[],2,FALSE),0)</f>
        <v>3761786</v>
      </c>
      <c r="AZ1641" s="246">
        <f>IFERROR(VLOOKUP(J1641,VOL_REC[],2,FALSE),0)</f>
        <v>240696.79238099116</v>
      </c>
      <c r="BA1641" s="246">
        <f>IFERROR(VLOOKUP(K1641,VOL_REC[],2,FALSE),0)</f>
        <v>17074.045034105649</v>
      </c>
      <c r="BB1641" s="246">
        <f>IFERROR(VLOOKUP(L1641,VOL_REC[],2,FALSE),0)</f>
        <v>1072354.9981737854</v>
      </c>
      <c r="BC1641" s="246">
        <f>IFERROR(VLOOKUP(M1641,VOL_REC[],2,FALSE),0)</f>
        <v>740113.98115702497</v>
      </c>
      <c r="BD1641" s="246">
        <f>IFERROR(VLOOKUP(N1641,VOL_REC[],2,FALSE),0)</f>
        <v>0</v>
      </c>
      <c r="BE1641" s="246">
        <f>IFERROR(VLOOKUP(O1641,VOL_REC[],2,FALSE),0)</f>
        <v>0</v>
      </c>
      <c r="BF1641" s="246">
        <f>IFERROR(VLOOKUP(P1641,VOL_REC[],2,FALSE),0)</f>
        <v>0</v>
      </c>
      <c r="BG1641" s="246">
        <f>IFERROR(VLOOKUP(Q1641,VOL_REC[],2,FALSE),0)</f>
        <v>0</v>
      </c>
      <c r="BH1641" s="1710">
        <f t="shared" si="100"/>
        <v>26684089640.563271</v>
      </c>
      <c r="BI1641" s="1710">
        <f t="shared" si="101"/>
        <v>25414813529.742149</v>
      </c>
      <c r="BJ1641" s="1711">
        <f t="shared" si="102"/>
        <v>32552175.964445658</v>
      </c>
      <c r="BK1641" s="1711">
        <f t="shared" si="103"/>
        <v>1.0499423735427265</v>
      </c>
      <c r="BL1641">
        <f>BJ1641</f>
        <v>32552175.964445658</v>
      </c>
      <c r="BO1641">
        <f>BL1641</f>
        <v>32552175.964445658</v>
      </c>
    </row>
    <row r="1642" spans="3:67" x14ac:dyDescent="0.25">
      <c r="C1642" s="246" t="s">
        <v>2992</v>
      </c>
      <c r="D1642" s="246">
        <v>1</v>
      </c>
      <c r="E1642" s="246">
        <v>2</v>
      </c>
      <c r="F1642" s="246">
        <v>3</v>
      </c>
      <c r="G1642" s="246">
        <v>4</v>
      </c>
      <c r="H1642" s="246">
        <v>6</v>
      </c>
      <c r="I1642" s="246">
        <v>9</v>
      </c>
      <c r="J1642" s="246">
        <v>12</v>
      </c>
      <c r="K1642" s="246">
        <v>15</v>
      </c>
      <c r="L1642" s="246">
        <v>16</v>
      </c>
      <c r="M1642" s="246">
        <v>17</v>
      </c>
      <c r="N1642" s="246"/>
      <c r="O1642" s="246"/>
      <c r="P1642" s="246"/>
      <c r="Q1642" s="246"/>
      <c r="R1642" s="246">
        <f>IFERROR(VLOOKUP(D1642,PROGRAMAS[],2,FALSE),0)</f>
        <v>97037803.679377079</v>
      </c>
      <c r="S1642" s="246">
        <f>IFERROR(VLOOKUP(E1642,PROGRAMAS[],2,FALSE),0)</f>
        <v>640501509.6821388</v>
      </c>
      <c r="T1642" s="246">
        <f>IFERROR(VLOOKUP(F1642,PROGRAMAS[],2,FALSE),0)</f>
        <v>3062327798.1525245</v>
      </c>
      <c r="U1642" s="246">
        <f>IFERROR(VLOOKUP(G1642,PROGRAMAS[],2,FALSE),0)</f>
        <v>67697118.033011258</v>
      </c>
      <c r="V1642" s="246">
        <f>IFERROR(VLOOKUP(H1642,PROGRAMAS[],2,FALSE),0)</f>
        <v>6907648435.8447599</v>
      </c>
      <c r="W1642" s="246">
        <f>IFERROR(VLOOKUP(I1642,PROGRAMAS[],2,FALSE),0)</f>
        <v>6128579952.1618185</v>
      </c>
      <c r="X1642" s="246">
        <f>IFERROR(VLOOKUP(J1642,PROGRAMAS[],2,FALSE),0)</f>
        <v>764796700.79905891</v>
      </c>
      <c r="Y1642" s="246">
        <f>IFERROR(VLOOKUP(K1642,PROGRAMAS[],2,FALSE),0)</f>
        <v>122159672.96346797</v>
      </c>
      <c r="Z1642" s="246">
        <f>IFERROR(VLOOKUP(L1642,PROGRAMAS[],2,FALSE),0)</f>
        <v>7068496961.0436354</v>
      </c>
      <c r="AA1642" s="246">
        <f>IFERROR(VLOOKUP(M1642,PROGRAMAS[],2,FALSE),0)</f>
        <v>1892779498.5211046</v>
      </c>
      <c r="AB1642" s="246">
        <f>IFERROR(VLOOKUP(N1642,PROGRAMAS[],2,FALSE),0)</f>
        <v>0</v>
      </c>
      <c r="AC1642" s="246">
        <f>IFERROR(VLOOKUP(O1642,PROGRAMAS[],2,FALSE),0)</f>
        <v>0</v>
      </c>
      <c r="AD1642" s="246">
        <f>IFERROR(VLOOKUP(P1642,PROGRAMAS[],2,FALSE),0)</f>
        <v>0</v>
      </c>
      <c r="AE1642" s="246">
        <f>IFERROR(VLOOKUP(Q1642,PROGRAMAS[],2,FALSE),0)</f>
        <v>0</v>
      </c>
      <c r="AF1642" s="246">
        <f>IFERROR(VLOOKUP(D1642,PROGRAMAS[],3,FALSE),0)</f>
        <v>841888629.31080008</v>
      </c>
      <c r="AG1642" s="246">
        <f>IFERROR(VLOOKUP(E1642,PROGRAMAS[],3,FALSE),0)</f>
        <v>3848980803.1642323</v>
      </c>
      <c r="AH1642" s="246">
        <f>IFERROR(VLOOKUP(F1642,PROGRAMAS[],3,FALSE),0)</f>
        <v>3394901471.387517</v>
      </c>
      <c r="AI1642" s="246">
        <f>IFERROR(VLOOKUP(G1642,PROGRAMAS[],3,FALSE),0)</f>
        <v>125317226.95549992</v>
      </c>
      <c r="AJ1642" s="246">
        <f>IFERROR(VLOOKUP(H1642,PROGRAMAS[],3,FALSE),0)</f>
        <v>6129902208.7912121</v>
      </c>
      <c r="AK1642" s="246">
        <f>IFERROR(VLOOKUP(I1642,PROGRAMAS[],3,FALSE),0)</f>
        <v>7011279577.519702</v>
      </c>
      <c r="AL1642" s="246">
        <f>IFERROR(VLOOKUP(J1642,PROGRAMAS[],3,FALSE),0)</f>
        <v>675517840.109828</v>
      </c>
      <c r="AM1642" s="246">
        <f>IFERROR(VLOOKUP(K1642,PROGRAMAS[],3,FALSE),0)</f>
        <v>118617452.52510804</v>
      </c>
      <c r="AN1642" s="246">
        <f>IFERROR(VLOOKUP(L1642,PROGRAMAS[],3,FALSE),0)</f>
        <v>2406564599.0319901</v>
      </c>
      <c r="AO1642" s="246">
        <f>IFERROR(VLOOKUP(M1642,PROGRAMAS[],3,FALSE),0)</f>
        <v>948595847.09039903</v>
      </c>
      <c r="AP1642" s="246">
        <f>IFERROR(VLOOKUP(N1642,PROGRAMAS[],3,FALSE),0)</f>
        <v>0</v>
      </c>
      <c r="AQ1642" s="246">
        <f>IFERROR(VLOOKUP(O1642,PROGRAMAS[],3,FALSE),0)</f>
        <v>0</v>
      </c>
      <c r="AR1642" s="246">
        <f>IFERROR(VLOOKUP(P1642,PROGRAMAS[],3,FALSE),0)</f>
        <v>0</v>
      </c>
      <c r="AS1642" s="246">
        <f>IFERROR(VLOOKUP(Q1642,PROGRAMAS[],3,FALSE),0)</f>
        <v>0</v>
      </c>
      <c r="AT1642" s="246">
        <f>IFERROR(VLOOKUP(D1642,VOL_REC[],2,FALSE),0)</f>
        <v>0</v>
      </c>
      <c r="AU1642" s="246">
        <f>IFERROR(VLOOKUP(E1642,VOL_REC[],2,FALSE),0)</f>
        <v>0</v>
      </c>
      <c r="AV1642" s="246">
        <f>IFERROR(VLOOKUP(F1642,VOL_REC[],2,FALSE),0)</f>
        <v>11089674.200000001</v>
      </c>
      <c r="AW1642" s="246">
        <f>IFERROR(VLOOKUP(G1642,VOL_REC[],2,FALSE),0)</f>
        <v>90439.55</v>
      </c>
      <c r="AX1642" s="246">
        <f>IFERROR(VLOOKUP(H1642,VOL_REC[],2,FALSE),0)</f>
        <v>15540036.397699751</v>
      </c>
      <c r="AY1642" s="246">
        <f>IFERROR(VLOOKUP(I1642,VOL_REC[],2,FALSE),0)</f>
        <v>3761786</v>
      </c>
      <c r="AZ1642" s="246">
        <f>IFERROR(VLOOKUP(J1642,VOL_REC[],2,FALSE),0)</f>
        <v>240696.79238099116</v>
      </c>
      <c r="BA1642" s="246">
        <f>IFERROR(VLOOKUP(K1642,VOL_REC[],2,FALSE),0)</f>
        <v>105072</v>
      </c>
      <c r="BB1642" s="246">
        <f>IFERROR(VLOOKUP(L1642,VOL_REC[],2,FALSE),0)</f>
        <v>1072354.9981737854</v>
      </c>
      <c r="BC1642" s="246">
        <f>IFERROR(VLOOKUP(M1642,VOL_REC[],2,FALSE),0)</f>
        <v>740113.98115702497</v>
      </c>
      <c r="BD1642" s="246">
        <f>IFERROR(VLOOKUP(N1642,VOL_REC[],2,FALSE),0)</f>
        <v>0</v>
      </c>
      <c r="BE1642" s="246">
        <f>IFERROR(VLOOKUP(O1642,VOL_REC[],2,FALSE),0)</f>
        <v>0</v>
      </c>
      <c r="BF1642" s="246">
        <f>IFERROR(VLOOKUP(P1642,VOL_REC[],2,FALSE),0)</f>
        <v>0</v>
      </c>
      <c r="BG1642" s="246">
        <f>IFERROR(VLOOKUP(Q1642,VOL_REC[],2,FALSE),0)</f>
        <v>0</v>
      </c>
      <c r="BH1642" s="1710">
        <f t="shared" si="100"/>
        <v>26752025450.880898</v>
      </c>
      <c r="BI1642" s="1710">
        <f t="shared" si="101"/>
        <v>25501565655.886292</v>
      </c>
      <c r="BJ1642" s="1711">
        <f t="shared" si="102"/>
        <v>32640173.919411551</v>
      </c>
      <c r="BK1642" s="1711">
        <f t="shared" si="103"/>
        <v>1.0490346283780414</v>
      </c>
      <c r="BL1642">
        <f>BJ1642</f>
        <v>32640173.919411551</v>
      </c>
      <c r="BO1642">
        <f>BL1642</f>
        <v>32640173.919411551</v>
      </c>
    </row>
    <row r="1643" spans="3:67" x14ac:dyDescent="0.25">
      <c r="C1643" s="246" t="s">
        <v>2993</v>
      </c>
      <c r="D1643" s="246">
        <v>1</v>
      </c>
      <c r="E1643" s="246">
        <v>2</v>
      </c>
      <c r="F1643" s="246">
        <v>3</v>
      </c>
      <c r="G1643" s="246">
        <v>4</v>
      </c>
      <c r="H1643" s="246">
        <v>6</v>
      </c>
      <c r="I1643" s="246">
        <v>9</v>
      </c>
      <c r="J1643" s="246">
        <v>13</v>
      </c>
      <c r="K1643" s="246">
        <v>14</v>
      </c>
      <c r="L1643" s="246">
        <v>15</v>
      </c>
      <c r="M1643" s="246">
        <v>16</v>
      </c>
      <c r="N1643" s="246"/>
      <c r="O1643" s="246"/>
      <c r="P1643" s="246"/>
      <c r="Q1643" s="246"/>
      <c r="R1643" s="246">
        <f>IFERROR(VLOOKUP(D1643,PROGRAMAS[],2,FALSE),0)</f>
        <v>97037803.679377079</v>
      </c>
      <c r="S1643" s="246">
        <f>IFERROR(VLOOKUP(E1643,PROGRAMAS[],2,FALSE),0)</f>
        <v>640501509.6821388</v>
      </c>
      <c r="T1643" s="246">
        <f>IFERROR(VLOOKUP(F1643,PROGRAMAS[],2,FALSE),0)</f>
        <v>3062327798.1525245</v>
      </c>
      <c r="U1643" s="246">
        <f>IFERROR(VLOOKUP(G1643,PROGRAMAS[],2,FALSE),0)</f>
        <v>67697118.033011258</v>
      </c>
      <c r="V1643" s="246">
        <f>IFERROR(VLOOKUP(H1643,PROGRAMAS[],2,FALSE),0)</f>
        <v>6907648435.8447599</v>
      </c>
      <c r="W1643" s="246">
        <f>IFERROR(VLOOKUP(I1643,PROGRAMAS[],2,FALSE),0)</f>
        <v>6128579952.1618185</v>
      </c>
      <c r="X1643" s="246">
        <f>IFERROR(VLOOKUP(J1643,PROGRAMAS[],2,FALSE),0)</f>
        <v>3776538594.4604583</v>
      </c>
      <c r="Y1643" s="246">
        <f>IFERROR(VLOOKUP(K1643,PROGRAMAS[],2,FALSE),0)</f>
        <v>54223862.645839565</v>
      </c>
      <c r="Z1643" s="246">
        <f>IFERROR(VLOOKUP(L1643,PROGRAMAS[],2,FALSE),0)</f>
        <v>122159672.96346797</v>
      </c>
      <c r="AA1643" s="246">
        <f>IFERROR(VLOOKUP(M1643,PROGRAMAS[],2,FALSE),0)</f>
        <v>7068496961.0436354</v>
      </c>
      <c r="AB1643" s="246">
        <f>IFERROR(VLOOKUP(N1643,PROGRAMAS[],2,FALSE),0)</f>
        <v>0</v>
      </c>
      <c r="AC1643" s="246">
        <f>IFERROR(VLOOKUP(O1643,PROGRAMAS[],2,FALSE),0)</f>
        <v>0</v>
      </c>
      <c r="AD1643" s="246">
        <f>IFERROR(VLOOKUP(P1643,PROGRAMAS[],2,FALSE),0)</f>
        <v>0</v>
      </c>
      <c r="AE1643" s="246">
        <f>IFERROR(VLOOKUP(Q1643,PROGRAMAS[],2,FALSE),0)</f>
        <v>0</v>
      </c>
      <c r="AF1643" s="246">
        <f>IFERROR(VLOOKUP(D1643,PROGRAMAS[],3,FALSE),0)</f>
        <v>841888629.31080008</v>
      </c>
      <c r="AG1643" s="246">
        <f>IFERROR(VLOOKUP(E1643,PROGRAMAS[],3,FALSE),0)</f>
        <v>3848980803.1642323</v>
      </c>
      <c r="AH1643" s="246">
        <f>IFERROR(VLOOKUP(F1643,PROGRAMAS[],3,FALSE),0)</f>
        <v>3394901471.387517</v>
      </c>
      <c r="AI1643" s="246">
        <f>IFERROR(VLOOKUP(G1643,PROGRAMAS[],3,FALSE),0)</f>
        <v>125317226.95549992</v>
      </c>
      <c r="AJ1643" s="246">
        <f>IFERROR(VLOOKUP(H1643,PROGRAMAS[],3,FALSE),0)</f>
        <v>6129902208.7912121</v>
      </c>
      <c r="AK1643" s="246">
        <f>IFERROR(VLOOKUP(I1643,PROGRAMAS[],3,FALSE),0)</f>
        <v>7011279577.519702</v>
      </c>
      <c r="AL1643" s="246">
        <f>IFERROR(VLOOKUP(J1643,PROGRAMAS[],3,FALSE),0)</f>
        <v>2392571243.5584412</v>
      </c>
      <c r="AM1643" s="246">
        <f>IFERROR(VLOOKUP(K1643,PROGRAMAS[],3,FALSE),0)</f>
        <v>31865326.38096505</v>
      </c>
      <c r="AN1643" s="246">
        <f>IFERROR(VLOOKUP(L1643,PROGRAMAS[],3,FALSE),0)</f>
        <v>118617452.52510804</v>
      </c>
      <c r="AO1643" s="246">
        <f>IFERROR(VLOOKUP(M1643,PROGRAMAS[],3,FALSE),0)</f>
        <v>2406564599.0319901</v>
      </c>
      <c r="AP1643" s="246">
        <f>IFERROR(VLOOKUP(N1643,PROGRAMAS[],3,FALSE),0)</f>
        <v>0</v>
      </c>
      <c r="AQ1643" s="246">
        <f>IFERROR(VLOOKUP(O1643,PROGRAMAS[],3,FALSE),0)</f>
        <v>0</v>
      </c>
      <c r="AR1643" s="246">
        <f>IFERROR(VLOOKUP(P1643,PROGRAMAS[],3,FALSE),0)</f>
        <v>0</v>
      </c>
      <c r="AS1643" s="246">
        <f>IFERROR(VLOOKUP(Q1643,PROGRAMAS[],3,FALSE),0)</f>
        <v>0</v>
      </c>
      <c r="AT1643" s="246">
        <f>IFERROR(VLOOKUP(D1643,VOL_REC[],2,FALSE),0)</f>
        <v>0</v>
      </c>
      <c r="AU1643" s="246">
        <f>IFERROR(VLOOKUP(E1643,VOL_REC[],2,FALSE),0)</f>
        <v>0</v>
      </c>
      <c r="AV1643" s="246">
        <f>IFERROR(VLOOKUP(F1643,VOL_REC[],2,FALSE),0)</f>
        <v>11089674.200000001</v>
      </c>
      <c r="AW1643" s="246">
        <f>IFERROR(VLOOKUP(G1643,VOL_REC[],2,FALSE),0)</f>
        <v>90439.55</v>
      </c>
      <c r="AX1643" s="246">
        <f>IFERROR(VLOOKUP(H1643,VOL_REC[],2,FALSE),0)</f>
        <v>15540036.397699751</v>
      </c>
      <c r="AY1643" s="246">
        <f>IFERROR(VLOOKUP(I1643,VOL_REC[],2,FALSE),0)</f>
        <v>3761786</v>
      </c>
      <c r="AZ1643" s="246">
        <f>IFERROR(VLOOKUP(J1643,VOL_REC[],2,FALSE),0)</f>
        <v>663244.80000000016</v>
      </c>
      <c r="BA1643" s="246">
        <f>IFERROR(VLOOKUP(K1643,VOL_REC[],2,FALSE),0)</f>
        <v>17074.045034105649</v>
      </c>
      <c r="BB1643" s="246">
        <f>IFERROR(VLOOKUP(L1643,VOL_REC[],2,FALSE),0)</f>
        <v>105072</v>
      </c>
      <c r="BC1643" s="246">
        <f>IFERROR(VLOOKUP(M1643,VOL_REC[],2,FALSE),0)</f>
        <v>1072354.9981737854</v>
      </c>
      <c r="BD1643" s="246">
        <f>IFERROR(VLOOKUP(N1643,VOL_REC[],2,FALSE),0)</f>
        <v>0</v>
      </c>
      <c r="BE1643" s="246">
        <f>IFERROR(VLOOKUP(O1643,VOL_REC[],2,FALSE),0)</f>
        <v>0</v>
      </c>
      <c r="BF1643" s="246">
        <f>IFERROR(VLOOKUP(P1643,VOL_REC[],2,FALSE),0)</f>
        <v>0</v>
      </c>
      <c r="BG1643" s="246">
        <f>IFERROR(VLOOKUP(Q1643,VOL_REC[],2,FALSE),0)</f>
        <v>0</v>
      </c>
      <c r="BH1643" s="1710">
        <f t="shared" si="100"/>
        <v>27925211708.66703</v>
      </c>
      <c r="BI1643" s="1710">
        <f t="shared" si="101"/>
        <v>26301888538.625469</v>
      </c>
      <c r="BJ1643" s="1711">
        <f t="shared" si="102"/>
        <v>32339681.990907643</v>
      </c>
      <c r="BK1643" s="1711">
        <f t="shared" si="103"/>
        <v>1.0617188825683617</v>
      </c>
      <c r="BL1643">
        <f>BJ1643</f>
        <v>32339681.990907643</v>
      </c>
      <c r="BO1643">
        <f>BL1643</f>
        <v>32339681.990907643</v>
      </c>
    </row>
    <row r="1644" spans="3:67" x14ac:dyDescent="0.25">
      <c r="C1644" s="246" t="s">
        <v>2994</v>
      </c>
      <c r="D1644" s="246">
        <v>1</v>
      </c>
      <c r="E1644" s="246">
        <v>2</v>
      </c>
      <c r="F1644" s="246">
        <v>3</v>
      </c>
      <c r="G1644" s="246">
        <v>4</v>
      </c>
      <c r="H1644" s="246">
        <v>6</v>
      </c>
      <c r="I1644" s="246">
        <v>9</v>
      </c>
      <c r="J1644" s="246">
        <v>13</v>
      </c>
      <c r="K1644" s="246">
        <v>14</v>
      </c>
      <c r="L1644" s="246">
        <v>15</v>
      </c>
      <c r="M1644" s="246">
        <v>17</v>
      </c>
      <c r="N1644" s="246"/>
      <c r="O1644" s="246"/>
      <c r="P1644" s="246"/>
      <c r="Q1644" s="246"/>
      <c r="R1644" s="246">
        <f>IFERROR(VLOOKUP(D1644,PROGRAMAS[],2,FALSE),0)</f>
        <v>97037803.679377079</v>
      </c>
      <c r="S1644" s="246">
        <f>IFERROR(VLOOKUP(E1644,PROGRAMAS[],2,FALSE),0)</f>
        <v>640501509.6821388</v>
      </c>
      <c r="T1644" s="246">
        <f>IFERROR(VLOOKUP(F1644,PROGRAMAS[],2,FALSE),0)</f>
        <v>3062327798.1525245</v>
      </c>
      <c r="U1644" s="246">
        <f>IFERROR(VLOOKUP(G1644,PROGRAMAS[],2,FALSE),0)</f>
        <v>67697118.033011258</v>
      </c>
      <c r="V1644" s="246">
        <f>IFERROR(VLOOKUP(H1644,PROGRAMAS[],2,FALSE),0)</f>
        <v>6907648435.8447599</v>
      </c>
      <c r="W1644" s="246">
        <f>IFERROR(VLOOKUP(I1644,PROGRAMAS[],2,FALSE),0)</f>
        <v>6128579952.1618185</v>
      </c>
      <c r="X1644" s="246">
        <f>IFERROR(VLOOKUP(J1644,PROGRAMAS[],2,FALSE),0)</f>
        <v>3776538594.4604583</v>
      </c>
      <c r="Y1644" s="246">
        <f>IFERROR(VLOOKUP(K1644,PROGRAMAS[],2,FALSE),0)</f>
        <v>54223862.645839565</v>
      </c>
      <c r="Z1644" s="246">
        <f>IFERROR(VLOOKUP(L1644,PROGRAMAS[],2,FALSE),0)</f>
        <v>122159672.96346797</v>
      </c>
      <c r="AA1644" s="246">
        <f>IFERROR(VLOOKUP(M1644,PROGRAMAS[],2,FALSE),0)</f>
        <v>1892779498.5211046</v>
      </c>
      <c r="AB1644" s="246">
        <f>IFERROR(VLOOKUP(N1644,PROGRAMAS[],2,FALSE),0)</f>
        <v>0</v>
      </c>
      <c r="AC1644" s="246">
        <f>IFERROR(VLOOKUP(O1644,PROGRAMAS[],2,FALSE),0)</f>
        <v>0</v>
      </c>
      <c r="AD1644" s="246">
        <f>IFERROR(VLOOKUP(P1644,PROGRAMAS[],2,FALSE),0)</f>
        <v>0</v>
      </c>
      <c r="AE1644" s="246">
        <f>IFERROR(VLOOKUP(Q1644,PROGRAMAS[],2,FALSE),0)</f>
        <v>0</v>
      </c>
      <c r="AF1644" s="246">
        <f>IFERROR(VLOOKUP(D1644,PROGRAMAS[],3,FALSE),0)</f>
        <v>841888629.31080008</v>
      </c>
      <c r="AG1644" s="246">
        <f>IFERROR(VLOOKUP(E1644,PROGRAMAS[],3,FALSE),0)</f>
        <v>3848980803.1642323</v>
      </c>
      <c r="AH1644" s="246">
        <f>IFERROR(VLOOKUP(F1644,PROGRAMAS[],3,FALSE),0)</f>
        <v>3394901471.387517</v>
      </c>
      <c r="AI1644" s="246">
        <f>IFERROR(VLOOKUP(G1644,PROGRAMAS[],3,FALSE),0)</f>
        <v>125317226.95549992</v>
      </c>
      <c r="AJ1644" s="246">
        <f>IFERROR(VLOOKUP(H1644,PROGRAMAS[],3,FALSE),0)</f>
        <v>6129902208.7912121</v>
      </c>
      <c r="AK1644" s="246">
        <f>IFERROR(VLOOKUP(I1644,PROGRAMAS[],3,FALSE),0)</f>
        <v>7011279577.519702</v>
      </c>
      <c r="AL1644" s="246">
        <f>IFERROR(VLOOKUP(J1644,PROGRAMAS[],3,FALSE),0)</f>
        <v>2392571243.5584412</v>
      </c>
      <c r="AM1644" s="246">
        <f>IFERROR(VLOOKUP(K1644,PROGRAMAS[],3,FALSE),0)</f>
        <v>31865326.38096505</v>
      </c>
      <c r="AN1644" s="246">
        <f>IFERROR(VLOOKUP(L1644,PROGRAMAS[],3,FALSE),0)</f>
        <v>118617452.52510804</v>
      </c>
      <c r="AO1644" s="246">
        <f>IFERROR(VLOOKUP(M1644,PROGRAMAS[],3,FALSE),0)</f>
        <v>948595847.09039903</v>
      </c>
      <c r="AP1644" s="246">
        <f>IFERROR(VLOOKUP(N1644,PROGRAMAS[],3,FALSE),0)</f>
        <v>0</v>
      </c>
      <c r="AQ1644" s="246">
        <f>IFERROR(VLOOKUP(O1644,PROGRAMAS[],3,FALSE),0)</f>
        <v>0</v>
      </c>
      <c r="AR1644" s="246">
        <f>IFERROR(VLOOKUP(P1644,PROGRAMAS[],3,FALSE),0)</f>
        <v>0</v>
      </c>
      <c r="AS1644" s="246">
        <f>IFERROR(VLOOKUP(Q1644,PROGRAMAS[],3,FALSE),0)</f>
        <v>0</v>
      </c>
      <c r="AT1644" s="246">
        <f>IFERROR(VLOOKUP(D1644,VOL_REC[],2,FALSE),0)</f>
        <v>0</v>
      </c>
      <c r="AU1644" s="246">
        <f>IFERROR(VLOOKUP(E1644,VOL_REC[],2,FALSE),0)</f>
        <v>0</v>
      </c>
      <c r="AV1644" s="246">
        <f>IFERROR(VLOOKUP(F1644,VOL_REC[],2,FALSE),0)</f>
        <v>11089674.200000001</v>
      </c>
      <c r="AW1644" s="246">
        <f>IFERROR(VLOOKUP(G1644,VOL_REC[],2,FALSE),0)</f>
        <v>90439.55</v>
      </c>
      <c r="AX1644" s="246">
        <f>IFERROR(VLOOKUP(H1644,VOL_REC[],2,FALSE),0)</f>
        <v>15540036.397699751</v>
      </c>
      <c r="AY1644" s="246">
        <f>IFERROR(VLOOKUP(I1644,VOL_REC[],2,FALSE),0)</f>
        <v>3761786</v>
      </c>
      <c r="AZ1644" s="246">
        <f>IFERROR(VLOOKUP(J1644,VOL_REC[],2,FALSE),0)</f>
        <v>663244.80000000016</v>
      </c>
      <c r="BA1644" s="246">
        <f>IFERROR(VLOOKUP(K1644,VOL_REC[],2,FALSE),0)</f>
        <v>17074.045034105649</v>
      </c>
      <c r="BB1644" s="246">
        <f>IFERROR(VLOOKUP(L1644,VOL_REC[],2,FALSE),0)</f>
        <v>105072</v>
      </c>
      <c r="BC1644" s="246">
        <f>IFERROR(VLOOKUP(M1644,VOL_REC[],2,FALSE),0)</f>
        <v>740113.98115702497</v>
      </c>
      <c r="BD1644" s="246">
        <f>IFERROR(VLOOKUP(N1644,VOL_REC[],2,FALSE),0)</f>
        <v>0</v>
      </c>
      <c r="BE1644" s="246">
        <f>IFERROR(VLOOKUP(O1644,VOL_REC[],2,FALSE),0)</f>
        <v>0</v>
      </c>
      <c r="BF1644" s="246">
        <f>IFERROR(VLOOKUP(P1644,VOL_REC[],2,FALSE),0)</f>
        <v>0</v>
      </c>
      <c r="BG1644" s="246">
        <f>IFERROR(VLOOKUP(Q1644,VOL_REC[],2,FALSE),0)</f>
        <v>0</v>
      </c>
      <c r="BH1644" s="1710">
        <f t="shared" si="100"/>
        <v>22749494246.144497</v>
      </c>
      <c r="BI1644" s="1710">
        <f t="shared" si="101"/>
        <v>24843919786.68388</v>
      </c>
      <c r="BJ1644" s="1711">
        <f t="shared" si="102"/>
        <v>32007440.973890882</v>
      </c>
      <c r="BK1644" s="1711">
        <f t="shared" si="103"/>
        <v>0.91569665501568809</v>
      </c>
    </row>
    <row r="1645" spans="3:67" x14ac:dyDescent="0.25">
      <c r="C1645" s="246" t="s">
        <v>2995</v>
      </c>
      <c r="D1645" s="246">
        <v>1</v>
      </c>
      <c r="E1645" s="246">
        <v>2</v>
      </c>
      <c r="F1645" s="246">
        <v>3</v>
      </c>
      <c r="G1645" s="246">
        <v>4</v>
      </c>
      <c r="H1645" s="246">
        <v>6</v>
      </c>
      <c r="I1645" s="246">
        <v>9</v>
      </c>
      <c r="J1645" s="246">
        <v>13</v>
      </c>
      <c r="K1645" s="246">
        <v>14</v>
      </c>
      <c r="L1645" s="246">
        <v>16</v>
      </c>
      <c r="M1645" s="246">
        <v>17</v>
      </c>
      <c r="N1645" s="246"/>
      <c r="O1645" s="246"/>
      <c r="P1645" s="246"/>
      <c r="Q1645" s="246"/>
      <c r="R1645" s="246">
        <f>IFERROR(VLOOKUP(D1645,PROGRAMAS[],2,FALSE),0)</f>
        <v>97037803.679377079</v>
      </c>
      <c r="S1645" s="246">
        <f>IFERROR(VLOOKUP(E1645,PROGRAMAS[],2,FALSE),0)</f>
        <v>640501509.6821388</v>
      </c>
      <c r="T1645" s="246">
        <f>IFERROR(VLOOKUP(F1645,PROGRAMAS[],2,FALSE),0)</f>
        <v>3062327798.1525245</v>
      </c>
      <c r="U1645" s="246">
        <f>IFERROR(VLOOKUP(G1645,PROGRAMAS[],2,FALSE),0)</f>
        <v>67697118.033011258</v>
      </c>
      <c r="V1645" s="246">
        <f>IFERROR(VLOOKUP(H1645,PROGRAMAS[],2,FALSE),0)</f>
        <v>6907648435.8447599</v>
      </c>
      <c r="W1645" s="246">
        <f>IFERROR(VLOOKUP(I1645,PROGRAMAS[],2,FALSE),0)</f>
        <v>6128579952.1618185</v>
      </c>
      <c r="X1645" s="246">
        <f>IFERROR(VLOOKUP(J1645,PROGRAMAS[],2,FALSE),0)</f>
        <v>3776538594.4604583</v>
      </c>
      <c r="Y1645" s="246">
        <f>IFERROR(VLOOKUP(K1645,PROGRAMAS[],2,FALSE),0)</f>
        <v>54223862.645839565</v>
      </c>
      <c r="Z1645" s="246">
        <f>IFERROR(VLOOKUP(L1645,PROGRAMAS[],2,FALSE),0)</f>
        <v>7068496961.0436354</v>
      </c>
      <c r="AA1645" s="246">
        <f>IFERROR(VLOOKUP(M1645,PROGRAMAS[],2,FALSE),0)</f>
        <v>1892779498.5211046</v>
      </c>
      <c r="AB1645" s="246">
        <f>IFERROR(VLOOKUP(N1645,PROGRAMAS[],2,FALSE),0)</f>
        <v>0</v>
      </c>
      <c r="AC1645" s="246">
        <f>IFERROR(VLOOKUP(O1645,PROGRAMAS[],2,FALSE),0)</f>
        <v>0</v>
      </c>
      <c r="AD1645" s="246">
        <f>IFERROR(VLOOKUP(P1645,PROGRAMAS[],2,FALSE),0)</f>
        <v>0</v>
      </c>
      <c r="AE1645" s="246">
        <f>IFERROR(VLOOKUP(Q1645,PROGRAMAS[],2,FALSE),0)</f>
        <v>0</v>
      </c>
      <c r="AF1645" s="246">
        <f>IFERROR(VLOOKUP(D1645,PROGRAMAS[],3,FALSE),0)</f>
        <v>841888629.31080008</v>
      </c>
      <c r="AG1645" s="246">
        <f>IFERROR(VLOOKUP(E1645,PROGRAMAS[],3,FALSE),0)</f>
        <v>3848980803.1642323</v>
      </c>
      <c r="AH1645" s="246">
        <f>IFERROR(VLOOKUP(F1645,PROGRAMAS[],3,FALSE),0)</f>
        <v>3394901471.387517</v>
      </c>
      <c r="AI1645" s="246">
        <f>IFERROR(VLOOKUP(G1645,PROGRAMAS[],3,FALSE),0)</f>
        <v>125317226.95549992</v>
      </c>
      <c r="AJ1645" s="246">
        <f>IFERROR(VLOOKUP(H1645,PROGRAMAS[],3,FALSE),0)</f>
        <v>6129902208.7912121</v>
      </c>
      <c r="AK1645" s="246">
        <f>IFERROR(VLOOKUP(I1645,PROGRAMAS[],3,FALSE),0)</f>
        <v>7011279577.519702</v>
      </c>
      <c r="AL1645" s="246">
        <f>IFERROR(VLOOKUP(J1645,PROGRAMAS[],3,FALSE),0)</f>
        <v>2392571243.5584412</v>
      </c>
      <c r="AM1645" s="246">
        <f>IFERROR(VLOOKUP(K1645,PROGRAMAS[],3,FALSE),0)</f>
        <v>31865326.38096505</v>
      </c>
      <c r="AN1645" s="246">
        <f>IFERROR(VLOOKUP(L1645,PROGRAMAS[],3,FALSE),0)</f>
        <v>2406564599.0319901</v>
      </c>
      <c r="AO1645" s="246">
        <f>IFERROR(VLOOKUP(M1645,PROGRAMAS[],3,FALSE),0)</f>
        <v>948595847.09039903</v>
      </c>
      <c r="AP1645" s="246">
        <f>IFERROR(VLOOKUP(N1645,PROGRAMAS[],3,FALSE),0)</f>
        <v>0</v>
      </c>
      <c r="AQ1645" s="246">
        <f>IFERROR(VLOOKUP(O1645,PROGRAMAS[],3,FALSE),0)</f>
        <v>0</v>
      </c>
      <c r="AR1645" s="246">
        <f>IFERROR(VLOOKUP(P1645,PROGRAMAS[],3,FALSE),0)</f>
        <v>0</v>
      </c>
      <c r="AS1645" s="246">
        <f>IFERROR(VLOOKUP(Q1645,PROGRAMAS[],3,FALSE),0)</f>
        <v>0</v>
      </c>
      <c r="AT1645" s="246">
        <f>IFERROR(VLOOKUP(D1645,VOL_REC[],2,FALSE),0)</f>
        <v>0</v>
      </c>
      <c r="AU1645" s="246">
        <f>IFERROR(VLOOKUP(E1645,VOL_REC[],2,FALSE),0)</f>
        <v>0</v>
      </c>
      <c r="AV1645" s="246">
        <f>IFERROR(VLOOKUP(F1645,VOL_REC[],2,FALSE),0)</f>
        <v>11089674.200000001</v>
      </c>
      <c r="AW1645" s="246">
        <f>IFERROR(VLOOKUP(G1645,VOL_REC[],2,FALSE),0)</f>
        <v>90439.55</v>
      </c>
      <c r="AX1645" s="246">
        <f>IFERROR(VLOOKUP(H1645,VOL_REC[],2,FALSE),0)</f>
        <v>15540036.397699751</v>
      </c>
      <c r="AY1645" s="246">
        <f>IFERROR(VLOOKUP(I1645,VOL_REC[],2,FALSE),0)</f>
        <v>3761786</v>
      </c>
      <c r="AZ1645" s="246">
        <f>IFERROR(VLOOKUP(J1645,VOL_REC[],2,FALSE),0)</f>
        <v>663244.80000000016</v>
      </c>
      <c r="BA1645" s="246">
        <f>IFERROR(VLOOKUP(K1645,VOL_REC[],2,FALSE),0)</f>
        <v>17074.045034105649</v>
      </c>
      <c r="BB1645" s="246">
        <f>IFERROR(VLOOKUP(L1645,VOL_REC[],2,FALSE),0)</f>
        <v>1072354.9981737854</v>
      </c>
      <c r="BC1645" s="246">
        <f>IFERROR(VLOOKUP(M1645,VOL_REC[],2,FALSE),0)</f>
        <v>740113.98115702497</v>
      </c>
      <c r="BD1645" s="246">
        <f>IFERROR(VLOOKUP(N1645,VOL_REC[],2,FALSE),0)</f>
        <v>0</v>
      </c>
      <c r="BE1645" s="246">
        <f>IFERROR(VLOOKUP(O1645,VOL_REC[],2,FALSE),0)</f>
        <v>0</v>
      </c>
      <c r="BF1645" s="246">
        <f>IFERROR(VLOOKUP(P1645,VOL_REC[],2,FALSE),0)</f>
        <v>0</v>
      </c>
      <c r="BG1645" s="246">
        <f>IFERROR(VLOOKUP(Q1645,VOL_REC[],2,FALSE),0)</f>
        <v>0</v>
      </c>
      <c r="BH1645" s="1710">
        <f t="shared" si="100"/>
        <v>29695831534.224667</v>
      </c>
      <c r="BI1645" s="1710">
        <f t="shared" si="101"/>
        <v>27131866933.190762</v>
      </c>
      <c r="BJ1645" s="1711">
        <f t="shared" si="102"/>
        <v>32974723.972064666</v>
      </c>
      <c r="BK1645" s="1711">
        <f t="shared" si="103"/>
        <v>1.0945001170522981</v>
      </c>
      <c r="BL1645">
        <f>BJ1645</f>
        <v>32974723.972064666</v>
      </c>
      <c r="BO1645">
        <f>BL1645</f>
        <v>32974723.972064666</v>
      </c>
    </row>
    <row r="1646" spans="3:67" x14ac:dyDescent="0.25">
      <c r="C1646" s="246" t="s">
        <v>2996</v>
      </c>
      <c r="D1646" s="246">
        <v>1</v>
      </c>
      <c r="E1646" s="246">
        <v>2</v>
      </c>
      <c r="F1646" s="246">
        <v>3</v>
      </c>
      <c r="G1646" s="246">
        <v>4</v>
      </c>
      <c r="H1646" s="246">
        <v>6</v>
      </c>
      <c r="I1646" s="246">
        <v>9</v>
      </c>
      <c r="J1646" s="246">
        <v>13</v>
      </c>
      <c r="K1646" s="246">
        <v>15</v>
      </c>
      <c r="L1646" s="246">
        <v>16</v>
      </c>
      <c r="M1646" s="246">
        <v>17</v>
      </c>
      <c r="N1646" s="246"/>
      <c r="O1646" s="246"/>
      <c r="P1646" s="246"/>
      <c r="Q1646" s="246"/>
      <c r="R1646" s="246">
        <f>IFERROR(VLOOKUP(D1646,PROGRAMAS[],2,FALSE),0)</f>
        <v>97037803.679377079</v>
      </c>
      <c r="S1646" s="246">
        <f>IFERROR(VLOOKUP(E1646,PROGRAMAS[],2,FALSE),0)</f>
        <v>640501509.6821388</v>
      </c>
      <c r="T1646" s="246">
        <f>IFERROR(VLOOKUP(F1646,PROGRAMAS[],2,FALSE),0)</f>
        <v>3062327798.1525245</v>
      </c>
      <c r="U1646" s="246">
        <f>IFERROR(VLOOKUP(G1646,PROGRAMAS[],2,FALSE),0)</f>
        <v>67697118.033011258</v>
      </c>
      <c r="V1646" s="246">
        <f>IFERROR(VLOOKUP(H1646,PROGRAMAS[],2,FALSE),0)</f>
        <v>6907648435.8447599</v>
      </c>
      <c r="W1646" s="246">
        <f>IFERROR(VLOOKUP(I1646,PROGRAMAS[],2,FALSE),0)</f>
        <v>6128579952.1618185</v>
      </c>
      <c r="X1646" s="246">
        <f>IFERROR(VLOOKUP(J1646,PROGRAMAS[],2,FALSE),0)</f>
        <v>3776538594.4604583</v>
      </c>
      <c r="Y1646" s="246">
        <f>IFERROR(VLOOKUP(K1646,PROGRAMAS[],2,FALSE),0)</f>
        <v>122159672.96346797</v>
      </c>
      <c r="Z1646" s="246">
        <f>IFERROR(VLOOKUP(L1646,PROGRAMAS[],2,FALSE),0)</f>
        <v>7068496961.0436354</v>
      </c>
      <c r="AA1646" s="246">
        <f>IFERROR(VLOOKUP(M1646,PROGRAMAS[],2,FALSE),0)</f>
        <v>1892779498.5211046</v>
      </c>
      <c r="AB1646" s="246">
        <f>IFERROR(VLOOKUP(N1646,PROGRAMAS[],2,FALSE),0)</f>
        <v>0</v>
      </c>
      <c r="AC1646" s="246">
        <f>IFERROR(VLOOKUP(O1646,PROGRAMAS[],2,FALSE),0)</f>
        <v>0</v>
      </c>
      <c r="AD1646" s="246">
        <f>IFERROR(VLOOKUP(P1646,PROGRAMAS[],2,FALSE),0)</f>
        <v>0</v>
      </c>
      <c r="AE1646" s="246">
        <f>IFERROR(VLOOKUP(Q1646,PROGRAMAS[],2,FALSE),0)</f>
        <v>0</v>
      </c>
      <c r="AF1646" s="246">
        <f>IFERROR(VLOOKUP(D1646,PROGRAMAS[],3,FALSE),0)</f>
        <v>841888629.31080008</v>
      </c>
      <c r="AG1646" s="246">
        <f>IFERROR(VLOOKUP(E1646,PROGRAMAS[],3,FALSE),0)</f>
        <v>3848980803.1642323</v>
      </c>
      <c r="AH1646" s="246">
        <f>IFERROR(VLOOKUP(F1646,PROGRAMAS[],3,FALSE),0)</f>
        <v>3394901471.387517</v>
      </c>
      <c r="AI1646" s="246">
        <f>IFERROR(VLOOKUP(G1646,PROGRAMAS[],3,FALSE),0)</f>
        <v>125317226.95549992</v>
      </c>
      <c r="AJ1646" s="246">
        <f>IFERROR(VLOOKUP(H1646,PROGRAMAS[],3,FALSE),0)</f>
        <v>6129902208.7912121</v>
      </c>
      <c r="AK1646" s="246">
        <f>IFERROR(VLOOKUP(I1646,PROGRAMAS[],3,FALSE),0)</f>
        <v>7011279577.519702</v>
      </c>
      <c r="AL1646" s="246">
        <f>IFERROR(VLOOKUP(J1646,PROGRAMAS[],3,FALSE),0)</f>
        <v>2392571243.5584412</v>
      </c>
      <c r="AM1646" s="246">
        <f>IFERROR(VLOOKUP(K1646,PROGRAMAS[],3,FALSE),0)</f>
        <v>118617452.52510804</v>
      </c>
      <c r="AN1646" s="246">
        <f>IFERROR(VLOOKUP(L1646,PROGRAMAS[],3,FALSE),0)</f>
        <v>2406564599.0319901</v>
      </c>
      <c r="AO1646" s="246">
        <f>IFERROR(VLOOKUP(M1646,PROGRAMAS[],3,FALSE),0)</f>
        <v>948595847.09039903</v>
      </c>
      <c r="AP1646" s="246">
        <f>IFERROR(VLOOKUP(N1646,PROGRAMAS[],3,FALSE),0)</f>
        <v>0</v>
      </c>
      <c r="AQ1646" s="246">
        <f>IFERROR(VLOOKUP(O1646,PROGRAMAS[],3,FALSE),0)</f>
        <v>0</v>
      </c>
      <c r="AR1646" s="246">
        <f>IFERROR(VLOOKUP(P1646,PROGRAMAS[],3,FALSE),0)</f>
        <v>0</v>
      </c>
      <c r="AS1646" s="246">
        <f>IFERROR(VLOOKUP(Q1646,PROGRAMAS[],3,FALSE),0)</f>
        <v>0</v>
      </c>
      <c r="AT1646" s="246">
        <f>IFERROR(VLOOKUP(D1646,VOL_REC[],2,FALSE),0)</f>
        <v>0</v>
      </c>
      <c r="AU1646" s="246">
        <f>IFERROR(VLOOKUP(E1646,VOL_REC[],2,FALSE),0)</f>
        <v>0</v>
      </c>
      <c r="AV1646" s="246">
        <f>IFERROR(VLOOKUP(F1646,VOL_REC[],2,FALSE),0)</f>
        <v>11089674.200000001</v>
      </c>
      <c r="AW1646" s="246">
        <f>IFERROR(VLOOKUP(G1646,VOL_REC[],2,FALSE),0)</f>
        <v>90439.55</v>
      </c>
      <c r="AX1646" s="246">
        <f>IFERROR(VLOOKUP(H1646,VOL_REC[],2,FALSE),0)</f>
        <v>15540036.397699751</v>
      </c>
      <c r="AY1646" s="246">
        <f>IFERROR(VLOOKUP(I1646,VOL_REC[],2,FALSE),0)</f>
        <v>3761786</v>
      </c>
      <c r="AZ1646" s="246">
        <f>IFERROR(VLOOKUP(J1646,VOL_REC[],2,FALSE),0)</f>
        <v>663244.80000000016</v>
      </c>
      <c r="BA1646" s="246">
        <f>IFERROR(VLOOKUP(K1646,VOL_REC[],2,FALSE),0)</f>
        <v>105072</v>
      </c>
      <c r="BB1646" s="246">
        <f>IFERROR(VLOOKUP(L1646,VOL_REC[],2,FALSE),0)</f>
        <v>1072354.9981737854</v>
      </c>
      <c r="BC1646" s="246">
        <f>IFERROR(VLOOKUP(M1646,VOL_REC[],2,FALSE),0)</f>
        <v>740113.98115702497</v>
      </c>
      <c r="BD1646" s="246">
        <f>IFERROR(VLOOKUP(N1646,VOL_REC[],2,FALSE),0)</f>
        <v>0</v>
      </c>
      <c r="BE1646" s="246">
        <f>IFERROR(VLOOKUP(O1646,VOL_REC[],2,FALSE),0)</f>
        <v>0</v>
      </c>
      <c r="BF1646" s="246">
        <f>IFERROR(VLOOKUP(P1646,VOL_REC[],2,FALSE),0)</f>
        <v>0</v>
      </c>
      <c r="BG1646" s="246">
        <f>IFERROR(VLOOKUP(Q1646,VOL_REC[],2,FALSE),0)</f>
        <v>0</v>
      </c>
      <c r="BH1646" s="1710">
        <f t="shared" si="100"/>
        <v>29763767344.542294</v>
      </c>
      <c r="BI1646" s="1710">
        <f t="shared" si="101"/>
        <v>27218619059.334904</v>
      </c>
      <c r="BJ1646" s="1711">
        <f t="shared" si="102"/>
        <v>33062721.92703056</v>
      </c>
      <c r="BK1646" s="1711">
        <f t="shared" si="103"/>
        <v>1.0935076199001545</v>
      </c>
      <c r="BL1646">
        <f>BJ1646</f>
        <v>33062721.92703056</v>
      </c>
      <c r="BO1646">
        <f>BL1646</f>
        <v>33062721.92703056</v>
      </c>
    </row>
    <row r="1647" spans="3:67" x14ac:dyDescent="0.25">
      <c r="C1647" s="246" t="s">
        <v>2997</v>
      </c>
      <c r="D1647" s="246">
        <v>1</v>
      </c>
      <c r="E1647" s="246">
        <v>2</v>
      </c>
      <c r="F1647" s="246">
        <v>3</v>
      </c>
      <c r="G1647" s="246">
        <v>4</v>
      </c>
      <c r="H1647" s="246">
        <v>6</v>
      </c>
      <c r="I1647" s="246">
        <v>9</v>
      </c>
      <c r="J1647" s="246">
        <v>14</v>
      </c>
      <c r="K1647" s="246">
        <v>15</v>
      </c>
      <c r="L1647" s="246">
        <v>16</v>
      </c>
      <c r="M1647" s="246">
        <v>17</v>
      </c>
      <c r="N1647" s="246"/>
      <c r="O1647" s="246"/>
      <c r="P1647" s="246"/>
      <c r="Q1647" s="246"/>
      <c r="R1647" s="246">
        <f>IFERROR(VLOOKUP(D1647,PROGRAMAS[],2,FALSE),0)</f>
        <v>97037803.679377079</v>
      </c>
      <c r="S1647" s="246">
        <f>IFERROR(VLOOKUP(E1647,PROGRAMAS[],2,FALSE),0)</f>
        <v>640501509.6821388</v>
      </c>
      <c r="T1647" s="246">
        <f>IFERROR(VLOOKUP(F1647,PROGRAMAS[],2,FALSE),0)</f>
        <v>3062327798.1525245</v>
      </c>
      <c r="U1647" s="246">
        <f>IFERROR(VLOOKUP(G1647,PROGRAMAS[],2,FALSE),0)</f>
        <v>67697118.033011258</v>
      </c>
      <c r="V1647" s="246">
        <f>IFERROR(VLOOKUP(H1647,PROGRAMAS[],2,FALSE),0)</f>
        <v>6907648435.8447599</v>
      </c>
      <c r="W1647" s="246">
        <f>IFERROR(VLOOKUP(I1647,PROGRAMAS[],2,FALSE),0)</f>
        <v>6128579952.1618185</v>
      </c>
      <c r="X1647" s="246">
        <f>IFERROR(VLOOKUP(J1647,PROGRAMAS[],2,FALSE),0)</f>
        <v>54223862.645839565</v>
      </c>
      <c r="Y1647" s="246">
        <f>IFERROR(VLOOKUP(K1647,PROGRAMAS[],2,FALSE),0)</f>
        <v>122159672.96346797</v>
      </c>
      <c r="Z1647" s="246">
        <f>IFERROR(VLOOKUP(L1647,PROGRAMAS[],2,FALSE),0)</f>
        <v>7068496961.0436354</v>
      </c>
      <c r="AA1647" s="246">
        <f>IFERROR(VLOOKUP(M1647,PROGRAMAS[],2,FALSE),0)</f>
        <v>1892779498.5211046</v>
      </c>
      <c r="AB1647" s="246">
        <f>IFERROR(VLOOKUP(N1647,PROGRAMAS[],2,FALSE),0)</f>
        <v>0</v>
      </c>
      <c r="AC1647" s="246">
        <f>IFERROR(VLOOKUP(O1647,PROGRAMAS[],2,FALSE),0)</f>
        <v>0</v>
      </c>
      <c r="AD1647" s="246">
        <f>IFERROR(VLOOKUP(P1647,PROGRAMAS[],2,FALSE),0)</f>
        <v>0</v>
      </c>
      <c r="AE1647" s="246">
        <f>IFERROR(VLOOKUP(Q1647,PROGRAMAS[],2,FALSE),0)</f>
        <v>0</v>
      </c>
      <c r="AF1647" s="246">
        <f>IFERROR(VLOOKUP(D1647,PROGRAMAS[],3,FALSE),0)</f>
        <v>841888629.31080008</v>
      </c>
      <c r="AG1647" s="246">
        <f>IFERROR(VLOOKUP(E1647,PROGRAMAS[],3,FALSE),0)</f>
        <v>3848980803.1642323</v>
      </c>
      <c r="AH1647" s="246">
        <f>IFERROR(VLOOKUP(F1647,PROGRAMAS[],3,FALSE),0)</f>
        <v>3394901471.387517</v>
      </c>
      <c r="AI1647" s="246">
        <f>IFERROR(VLOOKUP(G1647,PROGRAMAS[],3,FALSE),0)</f>
        <v>125317226.95549992</v>
      </c>
      <c r="AJ1647" s="246">
        <f>IFERROR(VLOOKUP(H1647,PROGRAMAS[],3,FALSE),0)</f>
        <v>6129902208.7912121</v>
      </c>
      <c r="AK1647" s="246">
        <f>IFERROR(VLOOKUP(I1647,PROGRAMAS[],3,FALSE),0)</f>
        <v>7011279577.519702</v>
      </c>
      <c r="AL1647" s="246">
        <f>IFERROR(VLOOKUP(J1647,PROGRAMAS[],3,FALSE),0)</f>
        <v>31865326.38096505</v>
      </c>
      <c r="AM1647" s="246">
        <f>IFERROR(VLOOKUP(K1647,PROGRAMAS[],3,FALSE),0)</f>
        <v>118617452.52510804</v>
      </c>
      <c r="AN1647" s="246">
        <f>IFERROR(VLOOKUP(L1647,PROGRAMAS[],3,FALSE),0)</f>
        <v>2406564599.0319901</v>
      </c>
      <c r="AO1647" s="246">
        <f>IFERROR(VLOOKUP(M1647,PROGRAMAS[],3,FALSE),0)</f>
        <v>948595847.09039903</v>
      </c>
      <c r="AP1647" s="246">
        <f>IFERROR(VLOOKUP(N1647,PROGRAMAS[],3,FALSE),0)</f>
        <v>0</v>
      </c>
      <c r="AQ1647" s="246">
        <f>IFERROR(VLOOKUP(O1647,PROGRAMAS[],3,FALSE),0)</f>
        <v>0</v>
      </c>
      <c r="AR1647" s="246">
        <f>IFERROR(VLOOKUP(P1647,PROGRAMAS[],3,FALSE),0)</f>
        <v>0</v>
      </c>
      <c r="AS1647" s="246">
        <f>IFERROR(VLOOKUP(Q1647,PROGRAMAS[],3,FALSE),0)</f>
        <v>0</v>
      </c>
      <c r="AT1647" s="246">
        <f>IFERROR(VLOOKUP(D1647,VOL_REC[],2,FALSE),0)</f>
        <v>0</v>
      </c>
      <c r="AU1647" s="246">
        <f>IFERROR(VLOOKUP(E1647,VOL_REC[],2,FALSE),0)</f>
        <v>0</v>
      </c>
      <c r="AV1647" s="246">
        <f>IFERROR(VLOOKUP(F1647,VOL_REC[],2,FALSE),0)</f>
        <v>11089674.200000001</v>
      </c>
      <c r="AW1647" s="246">
        <f>IFERROR(VLOOKUP(G1647,VOL_REC[],2,FALSE),0)</f>
        <v>90439.55</v>
      </c>
      <c r="AX1647" s="246">
        <f>IFERROR(VLOOKUP(H1647,VOL_REC[],2,FALSE),0)</f>
        <v>15540036.397699751</v>
      </c>
      <c r="AY1647" s="246">
        <f>IFERROR(VLOOKUP(I1647,VOL_REC[],2,FALSE),0)</f>
        <v>3761786</v>
      </c>
      <c r="AZ1647" s="246">
        <f>IFERROR(VLOOKUP(J1647,VOL_REC[],2,FALSE),0)</f>
        <v>17074.045034105649</v>
      </c>
      <c r="BA1647" s="246">
        <f>IFERROR(VLOOKUP(K1647,VOL_REC[],2,FALSE),0)</f>
        <v>105072</v>
      </c>
      <c r="BB1647" s="246">
        <f>IFERROR(VLOOKUP(L1647,VOL_REC[],2,FALSE),0)</f>
        <v>1072354.9981737854</v>
      </c>
      <c r="BC1647" s="246">
        <f>IFERROR(VLOOKUP(M1647,VOL_REC[],2,FALSE),0)</f>
        <v>740113.98115702497</v>
      </c>
      <c r="BD1647" s="246">
        <f>IFERROR(VLOOKUP(N1647,VOL_REC[],2,FALSE),0)</f>
        <v>0</v>
      </c>
      <c r="BE1647" s="246">
        <f>IFERROR(VLOOKUP(O1647,VOL_REC[],2,FALSE),0)</f>
        <v>0</v>
      </c>
      <c r="BF1647" s="246">
        <f>IFERROR(VLOOKUP(P1647,VOL_REC[],2,FALSE),0)</f>
        <v>0</v>
      </c>
      <c r="BG1647" s="246">
        <f>IFERROR(VLOOKUP(Q1647,VOL_REC[],2,FALSE),0)</f>
        <v>0</v>
      </c>
      <c r="BH1647" s="1710">
        <f t="shared" si="100"/>
        <v>26041452612.727676</v>
      </c>
      <c r="BI1647" s="1710">
        <f t="shared" si="101"/>
        <v>24857913142.157429</v>
      </c>
      <c r="BJ1647" s="1711">
        <f t="shared" si="102"/>
        <v>32416551.172064666</v>
      </c>
      <c r="BK1647" s="1711">
        <f t="shared" si="103"/>
        <v>1.0476121814330037</v>
      </c>
      <c r="BL1647">
        <f>BJ1647</f>
        <v>32416551.172064666</v>
      </c>
      <c r="BO1647">
        <f>BL1647</f>
        <v>32416551.172064666</v>
      </c>
    </row>
    <row r="1648" spans="3:67" x14ac:dyDescent="0.25">
      <c r="C1648" s="246" t="s">
        <v>2998</v>
      </c>
      <c r="D1648" s="246">
        <v>1</v>
      </c>
      <c r="E1648" s="246">
        <v>2</v>
      </c>
      <c r="F1648" s="246">
        <v>3</v>
      </c>
      <c r="G1648" s="246">
        <v>4</v>
      </c>
      <c r="H1648" s="246">
        <v>6</v>
      </c>
      <c r="I1648" s="246">
        <v>10</v>
      </c>
      <c r="J1648" s="246">
        <v>12</v>
      </c>
      <c r="K1648" s="246">
        <v>13</v>
      </c>
      <c r="L1648" s="246">
        <v>14</v>
      </c>
      <c r="M1648" s="246">
        <v>15</v>
      </c>
      <c r="N1648" s="246"/>
      <c r="O1648" s="246"/>
      <c r="P1648" s="246"/>
      <c r="Q1648" s="246"/>
      <c r="R1648" s="246">
        <f>IFERROR(VLOOKUP(D1648,PROGRAMAS[],2,FALSE),0)</f>
        <v>97037803.679377079</v>
      </c>
      <c r="S1648" s="246">
        <f>IFERROR(VLOOKUP(E1648,PROGRAMAS[],2,FALSE),0)</f>
        <v>640501509.6821388</v>
      </c>
      <c r="T1648" s="246">
        <f>IFERROR(VLOOKUP(F1648,PROGRAMAS[],2,FALSE),0)</f>
        <v>3062327798.1525245</v>
      </c>
      <c r="U1648" s="246">
        <f>IFERROR(VLOOKUP(G1648,PROGRAMAS[],2,FALSE),0)</f>
        <v>67697118.033011258</v>
      </c>
      <c r="V1648" s="246">
        <f>IFERROR(VLOOKUP(H1648,PROGRAMAS[],2,FALSE),0)</f>
        <v>6907648435.8447599</v>
      </c>
      <c r="W1648" s="246">
        <f>IFERROR(VLOOKUP(I1648,PROGRAMAS[],2,FALSE),0)</f>
        <v>4635315027.8751087</v>
      </c>
      <c r="X1648" s="246">
        <f>IFERROR(VLOOKUP(J1648,PROGRAMAS[],2,FALSE),0)</f>
        <v>764796700.79905891</v>
      </c>
      <c r="Y1648" s="246">
        <f>IFERROR(VLOOKUP(K1648,PROGRAMAS[],2,FALSE),0)</f>
        <v>3776538594.4604583</v>
      </c>
      <c r="Z1648" s="246">
        <f>IFERROR(VLOOKUP(L1648,PROGRAMAS[],2,FALSE),0)</f>
        <v>54223862.645839565</v>
      </c>
      <c r="AA1648" s="246">
        <f>IFERROR(VLOOKUP(M1648,PROGRAMAS[],2,FALSE),0)</f>
        <v>122159672.96346797</v>
      </c>
      <c r="AB1648" s="246">
        <f>IFERROR(VLOOKUP(N1648,PROGRAMAS[],2,FALSE),0)</f>
        <v>0</v>
      </c>
      <c r="AC1648" s="246">
        <f>IFERROR(VLOOKUP(O1648,PROGRAMAS[],2,FALSE),0)</f>
        <v>0</v>
      </c>
      <c r="AD1648" s="246">
        <f>IFERROR(VLOOKUP(P1648,PROGRAMAS[],2,FALSE),0)</f>
        <v>0</v>
      </c>
      <c r="AE1648" s="246">
        <f>IFERROR(VLOOKUP(Q1648,PROGRAMAS[],2,FALSE),0)</f>
        <v>0</v>
      </c>
      <c r="AF1648" s="246">
        <f>IFERROR(VLOOKUP(D1648,PROGRAMAS[],3,FALSE),0)</f>
        <v>841888629.31080008</v>
      </c>
      <c r="AG1648" s="246">
        <f>IFERROR(VLOOKUP(E1648,PROGRAMAS[],3,FALSE),0)</f>
        <v>3848980803.1642323</v>
      </c>
      <c r="AH1648" s="246">
        <f>IFERROR(VLOOKUP(F1648,PROGRAMAS[],3,FALSE),0)</f>
        <v>3394901471.387517</v>
      </c>
      <c r="AI1648" s="246">
        <f>IFERROR(VLOOKUP(G1648,PROGRAMAS[],3,FALSE),0)</f>
        <v>125317226.95549992</v>
      </c>
      <c r="AJ1648" s="246">
        <f>IFERROR(VLOOKUP(H1648,PROGRAMAS[],3,FALSE),0)</f>
        <v>6129902208.7912121</v>
      </c>
      <c r="AK1648" s="246">
        <f>IFERROR(VLOOKUP(I1648,PROGRAMAS[],3,FALSE),0)</f>
        <v>4099471734.9978786</v>
      </c>
      <c r="AL1648" s="246">
        <f>IFERROR(VLOOKUP(J1648,PROGRAMAS[],3,FALSE),0)</f>
        <v>675517840.109828</v>
      </c>
      <c r="AM1648" s="246">
        <f>IFERROR(VLOOKUP(K1648,PROGRAMAS[],3,FALSE),0)</f>
        <v>2392571243.5584412</v>
      </c>
      <c r="AN1648" s="246">
        <f>IFERROR(VLOOKUP(L1648,PROGRAMAS[],3,FALSE),0)</f>
        <v>31865326.38096505</v>
      </c>
      <c r="AO1648" s="246">
        <f>IFERROR(VLOOKUP(M1648,PROGRAMAS[],3,FALSE),0)</f>
        <v>118617452.52510804</v>
      </c>
      <c r="AP1648" s="246">
        <f>IFERROR(VLOOKUP(N1648,PROGRAMAS[],3,FALSE),0)</f>
        <v>0</v>
      </c>
      <c r="AQ1648" s="246">
        <f>IFERROR(VLOOKUP(O1648,PROGRAMAS[],3,FALSE),0)</f>
        <v>0</v>
      </c>
      <c r="AR1648" s="246">
        <f>IFERROR(VLOOKUP(P1648,PROGRAMAS[],3,FALSE),0)</f>
        <v>0</v>
      </c>
      <c r="AS1648" s="246">
        <f>IFERROR(VLOOKUP(Q1648,PROGRAMAS[],3,FALSE),0)</f>
        <v>0</v>
      </c>
      <c r="AT1648" s="246">
        <f>IFERROR(VLOOKUP(D1648,VOL_REC[],2,FALSE),0)</f>
        <v>0</v>
      </c>
      <c r="AU1648" s="246">
        <f>IFERROR(VLOOKUP(E1648,VOL_REC[],2,FALSE),0)</f>
        <v>0</v>
      </c>
      <c r="AV1648" s="246">
        <f>IFERROR(VLOOKUP(F1648,VOL_REC[],2,FALSE),0)</f>
        <v>11089674.200000001</v>
      </c>
      <c r="AW1648" s="246">
        <f>IFERROR(VLOOKUP(G1648,VOL_REC[],2,FALSE),0)</f>
        <v>90439.55</v>
      </c>
      <c r="AX1648" s="246">
        <f>IFERROR(VLOOKUP(H1648,VOL_REC[],2,FALSE),0)</f>
        <v>15540036.397699751</v>
      </c>
      <c r="AY1648" s="246">
        <f>IFERROR(VLOOKUP(I1648,VOL_REC[],2,FALSE),0)</f>
        <v>1812240</v>
      </c>
      <c r="AZ1648" s="246">
        <f>IFERROR(VLOOKUP(J1648,VOL_REC[],2,FALSE),0)</f>
        <v>240696.79238099116</v>
      </c>
      <c r="BA1648" s="246">
        <f>IFERROR(VLOOKUP(K1648,VOL_REC[],2,FALSE),0)</f>
        <v>663244.80000000016</v>
      </c>
      <c r="BB1648" s="246">
        <f>IFERROR(VLOOKUP(L1648,VOL_REC[],2,FALSE),0)</f>
        <v>17074.045034105649</v>
      </c>
      <c r="BC1648" s="246">
        <f>IFERROR(VLOOKUP(M1648,VOL_REC[],2,FALSE),0)</f>
        <v>105072</v>
      </c>
      <c r="BD1648" s="246">
        <f>IFERROR(VLOOKUP(N1648,VOL_REC[],2,FALSE),0)</f>
        <v>0</v>
      </c>
      <c r="BE1648" s="246">
        <f>IFERROR(VLOOKUP(O1648,VOL_REC[],2,FALSE),0)</f>
        <v>0</v>
      </c>
      <c r="BF1648" s="246">
        <f>IFERROR(VLOOKUP(P1648,VOL_REC[],2,FALSE),0)</f>
        <v>0</v>
      </c>
      <c r="BG1648" s="246">
        <f>IFERROR(VLOOKUP(Q1648,VOL_REC[],2,FALSE),0)</f>
        <v>0</v>
      </c>
      <c r="BH1648" s="1710">
        <f t="shared" si="100"/>
        <v>20128246524.135742</v>
      </c>
      <c r="BI1648" s="1710">
        <f t="shared" si="101"/>
        <v>21659033937.181484</v>
      </c>
      <c r="BJ1648" s="1711">
        <f t="shared" si="102"/>
        <v>29558477.785114851</v>
      </c>
      <c r="BK1648" s="1711">
        <f t="shared" si="103"/>
        <v>0.92932337529524434</v>
      </c>
    </row>
    <row r="1649" spans="3:67" x14ac:dyDescent="0.25">
      <c r="C1649" s="246" t="s">
        <v>2999</v>
      </c>
      <c r="D1649" s="246">
        <v>1</v>
      </c>
      <c r="E1649" s="246">
        <v>2</v>
      </c>
      <c r="F1649" s="246">
        <v>3</v>
      </c>
      <c r="G1649" s="246">
        <v>4</v>
      </c>
      <c r="H1649" s="246">
        <v>6</v>
      </c>
      <c r="I1649" s="246">
        <v>10</v>
      </c>
      <c r="J1649" s="246">
        <v>12</v>
      </c>
      <c r="K1649" s="246">
        <v>13</v>
      </c>
      <c r="L1649" s="246">
        <v>14</v>
      </c>
      <c r="M1649" s="246">
        <v>16</v>
      </c>
      <c r="N1649" s="246"/>
      <c r="O1649" s="246"/>
      <c r="P1649" s="246"/>
      <c r="Q1649" s="246"/>
      <c r="R1649" s="246">
        <f>IFERROR(VLOOKUP(D1649,PROGRAMAS[],2,FALSE),0)</f>
        <v>97037803.679377079</v>
      </c>
      <c r="S1649" s="246">
        <f>IFERROR(VLOOKUP(E1649,PROGRAMAS[],2,FALSE),0)</f>
        <v>640501509.6821388</v>
      </c>
      <c r="T1649" s="246">
        <f>IFERROR(VLOOKUP(F1649,PROGRAMAS[],2,FALSE),0)</f>
        <v>3062327798.1525245</v>
      </c>
      <c r="U1649" s="246">
        <f>IFERROR(VLOOKUP(G1649,PROGRAMAS[],2,FALSE),0)</f>
        <v>67697118.033011258</v>
      </c>
      <c r="V1649" s="246">
        <f>IFERROR(VLOOKUP(H1649,PROGRAMAS[],2,FALSE),0)</f>
        <v>6907648435.8447599</v>
      </c>
      <c r="W1649" s="246">
        <f>IFERROR(VLOOKUP(I1649,PROGRAMAS[],2,FALSE),0)</f>
        <v>4635315027.8751087</v>
      </c>
      <c r="X1649" s="246">
        <f>IFERROR(VLOOKUP(J1649,PROGRAMAS[],2,FALSE),0)</f>
        <v>764796700.79905891</v>
      </c>
      <c r="Y1649" s="246">
        <f>IFERROR(VLOOKUP(K1649,PROGRAMAS[],2,FALSE),0)</f>
        <v>3776538594.4604583</v>
      </c>
      <c r="Z1649" s="246">
        <f>IFERROR(VLOOKUP(L1649,PROGRAMAS[],2,FALSE),0)</f>
        <v>54223862.645839565</v>
      </c>
      <c r="AA1649" s="246">
        <f>IFERROR(VLOOKUP(M1649,PROGRAMAS[],2,FALSE),0)</f>
        <v>7068496961.0436354</v>
      </c>
      <c r="AB1649" s="246">
        <f>IFERROR(VLOOKUP(N1649,PROGRAMAS[],2,FALSE),0)</f>
        <v>0</v>
      </c>
      <c r="AC1649" s="246">
        <f>IFERROR(VLOOKUP(O1649,PROGRAMAS[],2,FALSE),0)</f>
        <v>0</v>
      </c>
      <c r="AD1649" s="246">
        <f>IFERROR(VLOOKUP(P1649,PROGRAMAS[],2,FALSE),0)</f>
        <v>0</v>
      </c>
      <c r="AE1649" s="246">
        <f>IFERROR(VLOOKUP(Q1649,PROGRAMAS[],2,FALSE),0)</f>
        <v>0</v>
      </c>
      <c r="AF1649" s="246">
        <f>IFERROR(VLOOKUP(D1649,PROGRAMAS[],3,FALSE),0)</f>
        <v>841888629.31080008</v>
      </c>
      <c r="AG1649" s="246">
        <f>IFERROR(VLOOKUP(E1649,PROGRAMAS[],3,FALSE),0)</f>
        <v>3848980803.1642323</v>
      </c>
      <c r="AH1649" s="246">
        <f>IFERROR(VLOOKUP(F1649,PROGRAMAS[],3,FALSE),0)</f>
        <v>3394901471.387517</v>
      </c>
      <c r="AI1649" s="246">
        <f>IFERROR(VLOOKUP(G1649,PROGRAMAS[],3,FALSE),0)</f>
        <v>125317226.95549992</v>
      </c>
      <c r="AJ1649" s="246">
        <f>IFERROR(VLOOKUP(H1649,PROGRAMAS[],3,FALSE),0)</f>
        <v>6129902208.7912121</v>
      </c>
      <c r="AK1649" s="246">
        <f>IFERROR(VLOOKUP(I1649,PROGRAMAS[],3,FALSE),0)</f>
        <v>4099471734.9978786</v>
      </c>
      <c r="AL1649" s="246">
        <f>IFERROR(VLOOKUP(J1649,PROGRAMAS[],3,FALSE),0)</f>
        <v>675517840.109828</v>
      </c>
      <c r="AM1649" s="246">
        <f>IFERROR(VLOOKUP(K1649,PROGRAMAS[],3,FALSE),0)</f>
        <v>2392571243.5584412</v>
      </c>
      <c r="AN1649" s="246">
        <f>IFERROR(VLOOKUP(L1649,PROGRAMAS[],3,FALSE),0)</f>
        <v>31865326.38096505</v>
      </c>
      <c r="AO1649" s="246">
        <f>IFERROR(VLOOKUP(M1649,PROGRAMAS[],3,FALSE),0)</f>
        <v>2406564599.0319901</v>
      </c>
      <c r="AP1649" s="246">
        <f>IFERROR(VLOOKUP(N1649,PROGRAMAS[],3,FALSE),0)</f>
        <v>0</v>
      </c>
      <c r="AQ1649" s="246">
        <f>IFERROR(VLOOKUP(O1649,PROGRAMAS[],3,FALSE),0)</f>
        <v>0</v>
      </c>
      <c r="AR1649" s="246">
        <f>IFERROR(VLOOKUP(P1649,PROGRAMAS[],3,FALSE),0)</f>
        <v>0</v>
      </c>
      <c r="AS1649" s="246">
        <f>IFERROR(VLOOKUP(Q1649,PROGRAMAS[],3,FALSE),0)</f>
        <v>0</v>
      </c>
      <c r="AT1649" s="246">
        <f>IFERROR(VLOOKUP(D1649,VOL_REC[],2,FALSE),0)</f>
        <v>0</v>
      </c>
      <c r="AU1649" s="246">
        <f>IFERROR(VLOOKUP(E1649,VOL_REC[],2,FALSE),0)</f>
        <v>0</v>
      </c>
      <c r="AV1649" s="246">
        <f>IFERROR(VLOOKUP(F1649,VOL_REC[],2,FALSE),0)</f>
        <v>11089674.200000001</v>
      </c>
      <c r="AW1649" s="246">
        <f>IFERROR(VLOOKUP(G1649,VOL_REC[],2,FALSE),0)</f>
        <v>90439.55</v>
      </c>
      <c r="AX1649" s="246">
        <f>IFERROR(VLOOKUP(H1649,VOL_REC[],2,FALSE),0)</f>
        <v>15540036.397699751</v>
      </c>
      <c r="AY1649" s="246">
        <f>IFERROR(VLOOKUP(I1649,VOL_REC[],2,FALSE),0)</f>
        <v>1812240</v>
      </c>
      <c r="AZ1649" s="246">
        <f>IFERROR(VLOOKUP(J1649,VOL_REC[],2,FALSE),0)</f>
        <v>240696.79238099116</v>
      </c>
      <c r="BA1649" s="246">
        <f>IFERROR(VLOOKUP(K1649,VOL_REC[],2,FALSE),0)</f>
        <v>663244.80000000016</v>
      </c>
      <c r="BB1649" s="246">
        <f>IFERROR(VLOOKUP(L1649,VOL_REC[],2,FALSE),0)</f>
        <v>17074.045034105649</v>
      </c>
      <c r="BC1649" s="246">
        <f>IFERROR(VLOOKUP(M1649,VOL_REC[],2,FALSE),0)</f>
        <v>1072354.9981737854</v>
      </c>
      <c r="BD1649" s="246">
        <f>IFERROR(VLOOKUP(N1649,VOL_REC[],2,FALSE),0)</f>
        <v>0</v>
      </c>
      <c r="BE1649" s="246">
        <f>IFERROR(VLOOKUP(O1649,VOL_REC[],2,FALSE),0)</f>
        <v>0</v>
      </c>
      <c r="BF1649" s="246">
        <f>IFERROR(VLOOKUP(P1649,VOL_REC[],2,FALSE),0)</f>
        <v>0</v>
      </c>
      <c r="BG1649" s="246">
        <f>IFERROR(VLOOKUP(Q1649,VOL_REC[],2,FALSE),0)</f>
        <v>0</v>
      </c>
      <c r="BH1649" s="1710">
        <f t="shared" si="100"/>
        <v>27074583812.215912</v>
      </c>
      <c r="BI1649" s="1710">
        <f t="shared" si="101"/>
        <v>23946981083.688366</v>
      </c>
      <c r="BJ1649" s="1711">
        <f t="shared" si="102"/>
        <v>30525760.783288635</v>
      </c>
      <c r="BK1649" s="1711">
        <f t="shared" si="103"/>
        <v>1.130605303340634</v>
      </c>
      <c r="BL1649">
        <f>BJ1649</f>
        <v>30525760.783288635</v>
      </c>
      <c r="BO1649">
        <f>BL1649</f>
        <v>30525760.783288635</v>
      </c>
    </row>
    <row r="1650" spans="3:67" x14ac:dyDescent="0.25">
      <c r="C1650" s="246" t="s">
        <v>3000</v>
      </c>
      <c r="D1650" s="246">
        <v>1</v>
      </c>
      <c r="E1650" s="246">
        <v>2</v>
      </c>
      <c r="F1650" s="246">
        <v>3</v>
      </c>
      <c r="G1650" s="246">
        <v>4</v>
      </c>
      <c r="H1650" s="246">
        <v>6</v>
      </c>
      <c r="I1650" s="246">
        <v>10</v>
      </c>
      <c r="J1650" s="246">
        <v>12</v>
      </c>
      <c r="K1650" s="246">
        <v>13</v>
      </c>
      <c r="L1650" s="246">
        <v>14</v>
      </c>
      <c r="M1650" s="246">
        <v>17</v>
      </c>
      <c r="N1650" s="246"/>
      <c r="O1650" s="246"/>
      <c r="P1650" s="246"/>
      <c r="Q1650" s="246"/>
      <c r="R1650" s="246">
        <f>IFERROR(VLOOKUP(D1650,PROGRAMAS[],2,FALSE),0)</f>
        <v>97037803.679377079</v>
      </c>
      <c r="S1650" s="246">
        <f>IFERROR(VLOOKUP(E1650,PROGRAMAS[],2,FALSE),0)</f>
        <v>640501509.6821388</v>
      </c>
      <c r="T1650" s="246">
        <f>IFERROR(VLOOKUP(F1650,PROGRAMAS[],2,FALSE),0)</f>
        <v>3062327798.1525245</v>
      </c>
      <c r="U1650" s="246">
        <f>IFERROR(VLOOKUP(G1650,PROGRAMAS[],2,FALSE),0)</f>
        <v>67697118.033011258</v>
      </c>
      <c r="V1650" s="246">
        <f>IFERROR(VLOOKUP(H1650,PROGRAMAS[],2,FALSE),0)</f>
        <v>6907648435.8447599</v>
      </c>
      <c r="W1650" s="246">
        <f>IFERROR(VLOOKUP(I1650,PROGRAMAS[],2,FALSE),0)</f>
        <v>4635315027.8751087</v>
      </c>
      <c r="X1650" s="246">
        <f>IFERROR(VLOOKUP(J1650,PROGRAMAS[],2,FALSE),0)</f>
        <v>764796700.79905891</v>
      </c>
      <c r="Y1650" s="246">
        <f>IFERROR(VLOOKUP(K1650,PROGRAMAS[],2,FALSE),0)</f>
        <v>3776538594.4604583</v>
      </c>
      <c r="Z1650" s="246">
        <f>IFERROR(VLOOKUP(L1650,PROGRAMAS[],2,FALSE),0)</f>
        <v>54223862.645839565</v>
      </c>
      <c r="AA1650" s="246">
        <f>IFERROR(VLOOKUP(M1650,PROGRAMAS[],2,FALSE),0)</f>
        <v>1892779498.5211046</v>
      </c>
      <c r="AB1650" s="246">
        <f>IFERROR(VLOOKUP(N1650,PROGRAMAS[],2,FALSE),0)</f>
        <v>0</v>
      </c>
      <c r="AC1650" s="246">
        <f>IFERROR(VLOOKUP(O1650,PROGRAMAS[],2,FALSE),0)</f>
        <v>0</v>
      </c>
      <c r="AD1650" s="246">
        <f>IFERROR(VLOOKUP(P1650,PROGRAMAS[],2,FALSE),0)</f>
        <v>0</v>
      </c>
      <c r="AE1650" s="246">
        <f>IFERROR(VLOOKUP(Q1650,PROGRAMAS[],2,FALSE),0)</f>
        <v>0</v>
      </c>
      <c r="AF1650" s="246">
        <f>IFERROR(VLOOKUP(D1650,PROGRAMAS[],3,FALSE),0)</f>
        <v>841888629.31080008</v>
      </c>
      <c r="AG1650" s="246">
        <f>IFERROR(VLOOKUP(E1650,PROGRAMAS[],3,FALSE),0)</f>
        <v>3848980803.1642323</v>
      </c>
      <c r="AH1650" s="246">
        <f>IFERROR(VLOOKUP(F1650,PROGRAMAS[],3,FALSE),0)</f>
        <v>3394901471.387517</v>
      </c>
      <c r="AI1650" s="246">
        <f>IFERROR(VLOOKUP(G1650,PROGRAMAS[],3,FALSE),0)</f>
        <v>125317226.95549992</v>
      </c>
      <c r="AJ1650" s="246">
        <f>IFERROR(VLOOKUP(H1650,PROGRAMAS[],3,FALSE),0)</f>
        <v>6129902208.7912121</v>
      </c>
      <c r="AK1650" s="246">
        <f>IFERROR(VLOOKUP(I1650,PROGRAMAS[],3,FALSE),0)</f>
        <v>4099471734.9978786</v>
      </c>
      <c r="AL1650" s="246">
        <f>IFERROR(VLOOKUP(J1650,PROGRAMAS[],3,FALSE),0)</f>
        <v>675517840.109828</v>
      </c>
      <c r="AM1650" s="246">
        <f>IFERROR(VLOOKUP(K1650,PROGRAMAS[],3,FALSE),0)</f>
        <v>2392571243.5584412</v>
      </c>
      <c r="AN1650" s="246">
        <f>IFERROR(VLOOKUP(L1650,PROGRAMAS[],3,FALSE),0)</f>
        <v>31865326.38096505</v>
      </c>
      <c r="AO1650" s="246">
        <f>IFERROR(VLOOKUP(M1650,PROGRAMAS[],3,FALSE),0)</f>
        <v>948595847.09039903</v>
      </c>
      <c r="AP1650" s="246">
        <f>IFERROR(VLOOKUP(N1650,PROGRAMAS[],3,FALSE),0)</f>
        <v>0</v>
      </c>
      <c r="AQ1650" s="246">
        <f>IFERROR(VLOOKUP(O1650,PROGRAMAS[],3,FALSE),0)</f>
        <v>0</v>
      </c>
      <c r="AR1650" s="246">
        <f>IFERROR(VLOOKUP(P1650,PROGRAMAS[],3,FALSE),0)</f>
        <v>0</v>
      </c>
      <c r="AS1650" s="246">
        <f>IFERROR(VLOOKUP(Q1650,PROGRAMAS[],3,FALSE),0)</f>
        <v>0</v>
      </c>
      <c r="AT1650" s="246">
        <f>IFERROR(VLOOKUP(D1650,VOL_REC[],2,FALSE),0)</f>
        <v>0</v>
      </c>
      <c r="AU1650" s="246">
        <f>IFERROR(VLOOKUP(E1650,VOL_REC[],2,FALSE),0)</f>
        <v>0</v>
      </c>
      <c r="AV1650" s="246">
        <f>IFERROR(VLOOKUP(F1650,VOL_REC[],2,FALSE),0)</f>
        <v>11089674.200000001</v>
      </c>
      <c r="AW1650" s="246">
        <f>IFERROR(VLOOKUP(G1650,VOL_REC[],2,FALSE),0)</f>
        <v>90439.55</v>
      </c>
      <c r="AX1650" s="246">
        <f>IFERROR(VLOOKUP(H1650,VOL_REC[],2,FALSE),0)</f>
        <v>15540036.397699751</v>
      </c>
      <c r="AY1650" s="246">
        <f>IFERROR(VLOOKUP(I1650,VOL_REC[],2,FALSE),0)</f>
        <v>1812240</v>
      </c>
      <c r="AZ1650" s="246">
        <f>IFERROR(VLOOKUP(J1650,VOL_REC[],2,FALSE),0)</f>
        <v>240696.79238099116</v>
      </c>
      <c r="BA1650" s="246">
        <f>IFERROR(VLOOKUP(K1650,VOL_REC[],2,FALSE),0)</f>
        <v>663244.80000000016</v>
      </c>
      <c r="BB1650" s="246">
        <f>IFERROR(VLOOKUP(L1650,VOL_REC[],2,FALSE),0)</f>
        <v>17074.045034105649</v>
      </c>
      <c r="BC1650" s="246">
        <f>IFERROR(VLOOKUP(M1650,VOL_REC[],2,FALSE),0)</f>
        <v>740113.98115702497</v>
      </c>
      <c r="BD1650" s="246">
        <f>IFERROR(VLOOKUP(N1650,VOL_REC[],2,FALSE),0)</f>
        <v>0</v>
      </c>
      <c r="BE1650" s="246">
        <f>IFERROR(VLOOKUP(O1650,VOL_REC[],2,FALSE),0)</f>
        <v>0</v>
      </c>
      <c r="BF1650" s="246">
        <f>IFERROR(VLOOKUP(P1650,VOL_REC[],2,FALSE),0)</f>
        <v>0</v>
      </c>
      <c r="BG1650" s="246">
        <f>IFERROR(VLOOKUP(Q1650,VOL_REC[],2,FALSE),0)</f>
        <v>0</v>
      </c>
      <c r="BH1650" s="1710">
        <f t="shared" si="100"/>
        <v>21898866349.693378</v>
      </c>
      <c r="BI1650" s="1710">
        <f t="shared" si="101"/>
        <v>22489012331.746777</v>
      </c>
      <c r="BJ1650" s="1711">
        <f t="shared" si="102"/>
        <v>30193519.766271874</v>
      </c>
      <c r="BK1650" s="1711">
        <f t="shared" si="103"/>
        <v>0.97375847487884948</v>
      </c>
    </row>
    <row r="1651" spans="3:67" x14ac:dyDescent="0.25">
      <c r="C1651" s="246" t="s">
        <v>3001</v>
      </c>
      <c r="D1651" s="246">
        <v>1</v>
      </c>
      <c r="E1651" s="246">
        <v>2</v>
      </c>
      <c r="F1651" s="246">
        <v>3</v>
      </c>
      <c r="G1651" s="246">
        <v>4</v>
      </c>
      <c r="H1651" s="246">
        <v>6</v>
      </c>
      <c r="I1651" s="246">
        <v>10</v>
      </c>
      <c r="J1651" s="246">
        <v>12</v>
      </c>
      <c r="K1651" s="246">
        <v>13</v>
      </c>
      <c r="L1651" s="246">
        <v>15</v>
      </c>
      <c r="M1651" s="246">
        <v>16</v>
      </c>
      <c r="N1651" s="246"/>
      <c r="O1651" s="246"/>
      <c r="P1651" s="246"/>
      <c r="Q1651" s="246"/>
      <c r="R1651" s="246">
        <f>IFERROR(VLOOKUP(D1651,PROGRAMAS[],2,FALSE),0)</f>
        <v>97037803.679377079</v>
      </c>
      <c r="S1651" s="246">
        <f>IFERROR(VLOOKUP(E1651,PROGRAMAS[],2,FALSE),0)</f>
        <v>640501509.6821388</v>
      </c>
      <c r="T1651" s="246">
        <f>IFERROR(VLOOKUP(F1651,PROGRAMAS[],2,FALSE),0)</f>
        <v>3062327798.1525245</v>
      </c>
      <c r="U1651" s="246">
        <f>IFERROR(VLOOKUP(G1651,PROGRAMAS[],2,FALSE),0)</f>
        <v>67697118.033011258</v>
      </c>
      <c r="V1651" s="246">
        <f>IFERROR(VLOOKUP(H1651,PROGRAMAS[],2,FALSE),0)</f>
        <v>6907648435.8447599</v>
      </c>
      <c r="W1651" s="246">
        <f>IFERROR(VLOOKUP(I1651,PROGRAMAS[],2,FALSE),0)</f>
        <v>4635315027.8751087</v>
      </c>
      <c r="X1651" s="246">
        <f>IFERROR(VLOOKUP(J1651,PROGRAMAS[],2,FALSE),0)</f>
        <v>764796700.79905891</v>
      </c>
      <c r="Y1651" s="246">
        <f>IFERROR(VLOOKUP(K1651,PROGRAMAS[],2,FALSE),0)</f>
        <v>3776538594.4604583</v>
      </c>
      <c r="Z1651" s="246">
        <f>IFERROR(VLOOKUP(L1651,PROGRAMAS[],2,FALSE),0)</f>
        <v>122159672.96346797</v>
      </c>
      <c r="AA1651" s="246">
        <f>IFERROR(VLOOKUP(M1651,PROGRAMAS[],2,FALSE),0)</f>
        <v>7068496961.0436354</v>
      </c>
      <c r="AB1651" s="246">
        <f>IFERROR(VLOOKUP(N1651,PROGRAMAS[],2,FALSE),0)</f>
        <v>0</v>
      </c>
      <c r="AC1651" s="246">
        <f>IFERROR(VLOOKUP(O1651,PROGRAMAS[],2,FALSE),0)</f>
        <v>0</v>
      </c>
      <c r="AD1651" s="246">
        <f>IFERROR(VLOOKUP(P1651,PROGRAMAS[],2,FALSE),0)</f>
        <v>0</v>
      </c>
      <c r="AE1651" s="246">
        <f>IFERROR(VLOOKUP(Q1651,PROGRAMAS[],2,FALSE),0)</f>
        <v>0</v>
      </c>
      <c r="AF1651" s="246">
        <f>IFERROR(VLOOKUP(D1651,PROGRAMAS[],3,FALSE),0)</f>
        <v>841888629.31080008</v>
      </c>
      <c r="AG1651" s="246">
        <f>IFERROR(VLOOKUP(E1651,PROGRAMAS[],3,FALSE),0)</f>
        <v>3848980803.1642323</v>
      </c>
      <c r="AH1651" s="246">
        <f>IFERROR(VLOOKUP(F1651,PROGRAMAS[],3,FALSE),0)</f>
        <v>3394901471.387517</v>
      </c>
      <c r="AI1651" s="246">
        <f>IFERROR(VLOOKUP(G1651,PROGRAMAS[],3,FALSE),0)</f>
        <v>125317226.95549992</v>
      </c>
      <c r="AJ1651" s="246">
        <f>IFERROR(VLOOKUP(H1651,PROGRAMAS[],3,FALSE),0)</f>
        <v>6129902208.7912121</v>
      </c>
      <c r="AK1651" s="246">
        <f>IFERROR(VLOOKUP(I1651,PROGRAMAS[],3,FALSE),0)</f>
        <v>4099471734.9978786</v>
      </c>
      <c r="AL1651" s="246">
        <f>IFERROR(VLOOKUP(J1651,PROGRAMAS[],3,FALSE),0)</f>
        <v>675517840.109828</v>
      </c>
      <c r="AM1651" s="246">
        <f>IFERROR(VLOOKUP(K1651,PROGRAMAS[],3,FALSE),0)</f>
        <v>2392571243.5584412</v>
      </c>
      <c r="AN1651" s="246">
        <f>IFERROR(VLOOKUP(L1651,PROGRAMAS[],3,FALSE),0)</f>
        <v>118617452.52510804</v>
      </c>
      <c r="AO1651" s="246">
        <f>IFERROR(VLOOKUP(M1651,PROGRAMAS[],3,FALSE),0)</f>
        <v>2406564599.0319901</v>
      </c>
      <c r="AP1651" s="246">
        <f>IFERROR(VLOOKUP(N1651,PROGRAMAS[],3,FALSE),0)</f>
        <v>0</v>
      </c>
      <c r="AQ1651" s="246">
        <f>IFERROR(VLOOKUP(O1651,PROGRAMAS[],3,FALSE),0)</f>
        <v>0</v>
      </c>
      <c r="AR1651" s="246">
        <f>IFERROR(VLOOKUP(P1651,PROGRAMAS[],3,FALSE),0)</f>
        <v>0</v>
      </c>
      <c r="AS1651" s="246">
        <f>IFERROR(VLOOKUP(Q1651,PROGRAMAS[],3,FALSE),0)</f>
        <v>0</v>
      </c>
      <c r="AT1651" s="246">
        <f>IFERROR(VLOOKUP(D1651,VOL_REC[],2,FALSE),0)</f>
        <v>0</v>
      </c>
      <c r="AU1651" s="246">
        <f>IFERROR(VLOOKUP(E1651,VOL_REC[],2,FALSE),0)</f>
        <v>0</v>
      </c>
      <c r="AV1651" s="246">
        <f>IFERROR(VLOOKUP(F1651,VOL_REC[],2,FALSE),0)</f>
        <v>11089674.200000001</v>
      </c>
      <c r="AW1651" s="246">
        <f>IFERROR(VLOOKUP(G1651,VOL_REC[],2,FALSE),0)</f>
        <v>90439.55</v>
      </c>
      <c r="AX1651" s="246">
        <f>IFERROR(VLOOKUP(H1651,VOL_REC[],2,FALSE),0)</f>
        <v>15540036.397699751</v>
      </c>
      <c r="AY1651" s="246">
        <f>IFERROR(VLOOKUP(I1651,VOL_REC[],2,FALSE),0)</f>
        <v>1812240</v>
      </c>
      <c r="AZ1651" s="246">
        <f>IFERROR(VLOOKUP(J1651,VOL_REC[],2,FALSE),0)</f>
        <v>240696.79238099116</v>
      </c>
      <c r="BA1651" s="246">
        <f>IFERROR(VLOOKUP(K1651,VOL_REC[],2,FALSE),0)</f>
        <v>663244.80000000016</v>
      </c>
      <c r="BB1651" s="246">
        <f>IFERROR(VLOOKUP(L1651,VOL_REC[],2,FALSE),0)</f>
        <v>105072</v>
      </c>
      <c r="BC1651" s="246">
        <f>IFERROR(VLOOKUP(M1651,VOL_REC[],2,FALSE),0)</f>
        <v>1072354.9981737854</v>
      </c>
      <c r="BD1651" s="246">
        <f>IFERROR(VLOOKUP(N1651,VOL_REC[],2,FALSE),0)</f>
        <v>0</v>
      </c>
      <c r="BE1651" s="246">
        <f>IFERROR(VLOOKUP(O1651,VOL_REC[],2,FALSE),0)</f>
        <v>0</v>
      </c>
      <c r="BF1651" s="246">
        <f>IFERROR(VLOOKUP(P1651,VOL_REC[],2,FALSE),0)</f>
        <v>0</v>
      </c>
      <c r="BG1651" s="246">
        <f>IFERROR(VLOOKUP(Q1651,VOL_REC[],2,FALSE),0)</f>
        <v>0</v>
      </c>
      <c r="BH1651" s="1710">
        <f t="shared" si="100"/>
        <v>27142519622.533539</v>
      </c>
      <c r="BI1651" s="1710">
        <f t="shared" si="101"/>
        <v>24033733209.832508</v>
      </c>
      <c r="BJ1651" s="1711">
        <f t="shared" si="102"/>
        <v>30613758.738254528</v>
      </c>
      <c r="BK1651" s="1711">
        <f t="shared" si="103"/>
        <v>1.1293509579040009</v>
      </c>
      <c r="BL1651">
        <f>BJ1651</f>
        <v>30613758.738254528</v>
      </c>
      <c r="BO1651">
        <f>BL1651</f>
        <v>30613758.738254528</v>
      </c>
    </row>
    <row r="1652" spans="3:67" x14ac:dyDescent="0.25">
      <c r="C1652" s="246" t="s">
        <v>3002</v>
      </c>
      <c r="D1652" s="246">
        <v>1</v>
      </c>
      <c r="E1652" s="246">
        <v>2</v>
      </c>
      <c r="F1652" s="246">
        <v>3</v>
      </c>
      <c r="G1652" s="246">
        <v>4</v>
      </c>
      <c r="H1652" s="246">
        <v>6</v>
      </c>
      <c r="I1652" s="246">
        <v>10</v>
      </c>
      <c r="J1652" s="246">
        <v>12</v>
      </c>
      <c r="K1652" s="246">
        <v>13</v>
      </c>
      <c r="L1652" s="246">
        <v>15</v>
      </c>
      <c r="M1652" s="246">
        <v>17</v>
      </c>
      <c r="N1652" s="246"/>
      <c r="O1652" s="246"/>
      <c r="P1652" s="246"/>
      <c r="Q1652" s="246"/>
      <c r="R1652" s="246">
        <f>IFERROR(VLOOKUP(D1652,PROGRAMAS[],2,FALSE),0)</f>
        <v>97037803.679377079</v>
      </c>
      <c r="S1652" s="246">
        <f>IFERROR(VLOOKUP(E1652,PROGRAMAS[],2,FALSE),0)</f>
        <v>640501509.6821388</v>
      </c>
      <c r="T1652" s="246">
        <f>IFERROR(VLOOKUP(F1652,PROGRAMAS[],2,FALSE),0)</f>
        <v>3062327798.1525245</v>
      </c>
      <c r="U1652" s="246">
        <f>IFERROR(VLOOKUP(G1652,PROGRAMAS[],2,FALSE),0)</f>
        <v>67697118.033011258</v>
      </c>
      <c r="V1652" s="246">
        <f>IFERROR(VLOOKUP(H1652,PROGRAMAS[],2,FALSE),0)</f>
        <v>6907648435.8447599</v>
      </c>
      <c r="W1652" s="246">
        <f>IFERROR(VLOOKUP(I1652,PROGRAMAS[],2,FALSE),0)</f>
        <v>4635315027.8751087</v>
      </c>
      <c r="X1652" s="246">
        <f>IFERROR(VLOOKUP(J1652,PROGRAMAS[],2,FALSE),0)</f>
        <v>764796700.79905891</v>
      </c>
      <c r="Y1652" s="246">
        <f>IFERROR(VLOOKUP(K1652,PROGRAMAS[],2,FALSE),0)</f>
        <v>3776538594.4604583</v>
      </c>
      <c r="Z1652" s="246">
        <f>IFERROR(VLOOKUP(L1652,PROGRAMAS[],2,FALSE),0)</f>
        <v>122159672.96346797</v>
      </c>
      <c r="AA1652" s="246">
        <f>IFERROR(VLOOKUP(M1652,PROGRAMAS[],2,FALSE),0)</f>
        <v>1892779498.5211046</v>
      </c>
      <c r="AB1652" s="246">
        <f>IFERROR(VLOOKUP(N1652,PROGRAMAS[],2,FALSE),0)</f>
        <v>0</v>
      </c>
      <c r="AC1652" s="246">
        <f>IFERROR(VLOOKUP(O1652,PROGRAMAS[],2,FALSE),0)</f>
        <v>0</v>
      </c>
      <c r="AD1652" s="246">
        <f>IFERROR(VLOOKUP(P1652,PROGRAMAS[],2,FALSE),0)</f>
        <v>0</v>
      </c>
      <c r="AE1652" s="246">
        <f>IFERROR(VLOOKUP(Q1652,PROGRAMAS[],2,FALSE),0)</f>
        <v>0</v>
      </c>
      <c r="AF1652" s="246">
        <f>IFERROR(VLOOKUP(D1652,PROGRAMAS[],3,FALSE),0)</f>
        <v>841888629.31080008</v>
      </c>
      <c r="AG1652" s="246">
        <f>IFERROR(VLOOKUP(E1652,PROGRAMAS[],3,FALSE),0)</f>
        <v>3848980803.1642323</v>
      </c>
      <c r="AH1652" s="246">
        <f>IFERROR(VLOOKUP(F1652,PROGRAMAS[],3,FALSE),0)</f>
        <v>3394901471.387517</v>
      </c>
      <c r="AI1652" s="246">
        <f>IFERROR(VLOOKUP(G1652,PROGRAMAS[],3,FALSE),0)</f>
        <v>125317226.95549992</v>
      </c>
      <c r="AJ1652" s="246">
        <f>IFERROR(VLOOKUP(H1652,PROGRAMAS[],3,FALSE),0)</f>
        <v>6129902208.7912121</v>
      </c>
      <c r="AK1652" s="246">
        <f>IFERROR(VLOOKUP(I1652,PROGRAMAS[],3,FALSE),0)</f>
        <v>4099471734.9978786</v>
      </c>
      <c r="AL1652" s="246">
        <f>IFERROR(VLOOKUP(J1652,PROGRAMAS[],3,FALSE),0)</f>
        <v>675517840.109828</v>
      </c>
      <c r="AM1652" s="246">
        <f>IFERROR(VLOOKUP(K1652,PROGRAMAS[],3,FALSE),0)</f>
        <v>2392571243.5584412</v>
      </c>
      <c r="AN1652" s="246">
        <f>IFERROR(VLOOKUP(L1652,PROGRAMAS[],3,FALSE),0)</f>
        <v>118617452.52510804</v>
      </c>
      <c r="AO1652" s="246">
        <f>IFERROR(VLOOKUP(M1652,PROGRAMAS[],3,FALSE),0)</f>
        <v>948595847.09039903</v>
      </c>
      <c r="AP1652" s="246">
        <f>IFERROR(VLOOKUP(N1652,PROGRAMAS[],3,FALSE),0)</f>
        <v>0</v>
      </c>
      <c r="AQ1652" s="246">
        <f>IFERROR(VLOOKUP(O1652,PROGRAMAS[],3,FALSE),0)</f>
        <v>0</v>
      </c>
      <c r="AR1652" s="246">
        <f>IFERROR(VLOOKUP(P1652,PROGRAMAS[],3,FALSE),0)</f>
        <v>0</v>
      </c>
      <c r="AS1652" s="246">
        <f>IFERROR(VLOOKUP(Q1652,PROGRAMAS[],3,FALSE),0)</f>
        <v>0</v>
      </c>
      <c r="AT1652" s="246">
        <f>IFERROR(VLOOKUP(D1652,VOL_REC[],2,FALSE),0)</f>
        <v>0</v>
      </c>
      <c r="AU1652" s="246">
        <f>IFERROR(VLOOKUP(E1652,VOL_REC[],2,FALSE),0)</f>
        <v>0</v>
      </c>
      <c r="AV1652" s="246">
        <f>IFERROR(VLOOKUP(F1652,VOL_REC[],2,FALSE),0)</f>
        <v>11089674.200000001</v>
      </c>
      <c r="AW1652" s="246">
        <f>IFERROR(VLOOKUP(G1652,VOL_REC[],2,FALSE),0)</f>
        <v>90439.55</v>
      </c>
      <c r="AX1652" s="246">
        <f>IFERROR(VLOOKUP(H1652,VOL_REC[],2,FALSE),0)</f>
        <v>15540036.397699751</v>
      </c>
      <c r="AY1652" s="246">
        <f>IFERROR(VLOOKUP(I1652,VOL_REC[],2,FALSE),0)</f>
        <v>1812240</v>
      </c>
      <c r="AZ1652" s="246">
        <f>IFERROR(VLOOKUP(J1652,VOL_REC[],2,FALSE),0)</f>
        <v>240696.79238099116</v>
      </c>
      <c r="BA1652" s="246">
        <f>IFERROR(VLOOKUP(K1652,VOL_REC[],2,FALSE),0)</f>
        <v>663244.80000000016</v>
      </c>
      <c r="BB1652" s="246">
        <f>IFERROR(VLOOKUP(L1652,VOL_REC[],2,FALSE),0)</f>
        <v>105072</v>
      </c>
      <c r="BC1652" s="246">
        <f>IFERROR(VLOOKUP(M1652,VOL_REC[],2,FALSE),0)</f>
        <v>740113.98115702497</v>
      </c>
      <c r="BD1652" s="246">
        <f>IFERROR(VLOOKUP(N1652,VOL_REC[],2,FALSE),0)</f>
        <v>0</v>
      </c>
      <c r="BE1652" s="246">
        <f>IFERROR(VLOOKUP(O1652,VOL_REC[],2,FALSE),0)</f>
        <v>0</v>
      </c>
      <c r="BF1652" s="246">
        <f>IFERROR(VLOOKUP(P1652,VOL_REC[],2,FALSE),0)</f>
        <v>0</v>
      </c>
      <c r="BG1652" s="246">
        <f>IFERROR(VLOOKUP(Q1652,VOL_REC[],2,FALSE),0)</f>
        <v>0</v>
      </c>
      <c r="BH1652" s="1710">
        <f t="shared" si="100"/>
        <v>21966802160.011005</v>
      </c>
      <c r="BI1652" s="1710">
        <f t="shared" si="101"/>
        <v>22575764457.890919</v>
      </c>
      <c r="BJ1652" s="1711">
        <f t="shared" si="102"/>
        <v>30281517.721237767</v>
      </c>
      <c r="BK1652" s="1711">
        <f t="shared" si="103"/>
        <v>0.97302583932359099</v>
      </c>
    </row>
    <row r="1653" spans="3:67" x14ac:dyDescent="0.25">
      <c r="C1653" s="246" t="s">
        <v>3003</v>
      </c>
      <c r="D1653" s="246">
        <v>1</v>
      </c>
      <c r="E1653" s="246">
        <v>2</v>
      </c>
      <c r="F1653" s="246">
        <v>3</v>
      </c>
      <c r="G1653" s="246">
        <v>4</v>
      </c>
      <c r="H1653" s="246">
        <v>6</v>
      </c>
      <c r="I1653" s="246">
        <v>10</v>
      </c>
      <c r="J1653" s="246">
        <v>12</v>
      </c>
      <c r="K1653" s="246">
        <v>13</v>
      </c>
      <c r="L1653" s="246">
        <v>16</v>
      </c>
      <c r="M1653" s="246">
        <v>17</v>
      </c>
      <c r="N1653" s="246"/>
      <c r="O1653" s="246"/>
      <c r="P1653" s="246"/>
      <c r="Q1653" s="246"/>
      <c r="R1653" s="246">
        <f>IFERROR(VLOOKUP(D1653,PROGRAMAS[],2,FALSE),0)</f>
        <v>97037803.679377079</v>
      </c>
      <c r="S1653" s="246">
        <f>IFERROR(VLOOKUP(E1653,PROGRAMAS[],2,FALSE),0)</f>
        <v>640501509.6821388</v>
      </c>
      <c r="T1653" s="246">
        <f>IFERROR(VLOOKUP(F1653,PROGRAMAS[],2,FALSE),0)</f>
        <v>3062327798.1525245</v>
      </c>
      <c r="U1653" s="246">
        <f>IFERROR(VLOOKUP(G1653,PROGRAMAS[],2,FALSE),0)</f>
        <v>67697118.033011258</v>
      </c>
      <c r="V1653" s="246">
        <f>IFERROR(VLOOKUP(H1653,PROGRAMAS[],2,FALSE),0)</f>
        <v>6907648435.8447599</v>
      </c>
      <c r="W1653" s="246">
        <f>IFERROR(VLOOKUP(I1653,PROGRAMAS[],2,FALSE),0)</f>
        <v>4635315027.8751087</v>
      </c>
      <c r="X1653" s="246">
        <f>IFERROR(VLOOKUP(J1653,PROGRAMAS[],2,FALSE),0)</f>
        <v>764796700.79905891</v>
      </c>
      <c r="Y1653" s="246">
        <f>IFERROR(VLOOKUP(K1653,PROGRAMAS[],2,FALSE),0)</f>
        <v>3776538594.4604583</v>
      </c>
      <c r="Z1653" s="246">
        <f>IFERROR(VLOOKUP(L1653,PROGRAMAS[],2,FALSE),0)</f>
        <v>7068496961.0436354</v>
      </c>
      <c r="AA1653" s="246">
        <f>IFERROR(VLOOKUP(M1653,PROGRAMAS[],2,FALSE),0)</f>
        <v>1892779498.5211046</v>
      </c>
      <c r="AB1653" s="246">
        <f>IFERROR(VLOOKUP(N1653,PROGRAMAS[],2,FALSE),0)</f>
        <v>0</v>
      </c>
      <c r="AC1653" s="246">
        <f>IFERROR(VLOOKUP(O1653,PROGRAMAS[],2,FALSE),0)</f>
        <v>0</v>
      </c>
      <c r="AD1653" s="246">
        <f>IFERROR(VLOOKUP(P1653,PROGRAMAS[],2,FALSE),0)</f>
        <v>0</v>
      </c>
      <c r="AE1653" s="246">
        <f>IFERROR(VLOOKUP(Q1653,PROGRAMAS[],2,FALSE),0)</f>
        <v>0</v>
      </c>
      <c r="AF1653" s="246">
        <f>IFERROR(VLOOKUP(D1653,PROGRAMAS[],3,FALSE),0)</f>
        <v>841888629.31080008</v>
      </c>
      <c r="AG1653" s="246">
        <f>IFERROR(VLOOKUP(E1653,PROGRAMAS[],3,FALSE),0)</f>
        <v>3848980803.1642323</v>
      </c>
      <c r="AH1653" s="246">
        <f>IFERROR(VLOOKUP(F1653,PROGRAMAS[],3,FALSE),0)</f>
        <v>3394901471.387517</v>
      </c>
      <c r="AI1653" s="246">
        <f>IFERROR(VLOOKUP(G1653,PROGRAMAS[],3,FALSE),0)</f>
        <v>125317226.95549992</v>
      </c>
      <c r="AJ1653" s="246">
        <f>IFERROR(VLOOKUP(H1653,PROGRAMAS[],3,FALSE),0)</f>
        <v>6129902208.7912121</v>
      </c>
      <c r="AK1653" s="246">
        <f>IFERROR(VLOOKUP(I1653,PROGRAMAS[],3,FALSE),0)</f>
        <v>4099471734.9978786</v>
      </c>
      <c r="AL1653" s="246">
        <f>IFERROR(VLOOKUP(J1653,PROGRAMAS[],3,FALSE),0)</f>
        <v>675517840.109828</v>
      </c>
      <c r="AM1653" s="246">
        <f>IFERROR(VLOOKUP(K1653,PROGRAMAS[],3,FALSE),0)</f>
        <v>2392571243.5584412</v>
      </c>
      <c r="AN1653" s="246">
        <f>IFERROR(VLOOKUP(L1653,PROGRAMAS[],3,FALSE),0)</f>
        <v>2406564599.0319901</v>
      </c>
      <c r="AO1653" s="246">
        <f>IFERROR(VLOOKUP(M1653,PROGRAMAS[],3,FALSE),0)</f>
        <v>948595847.09039903</v>
      </c>
      <c r="AP1653" s="246">
        <f>IFERROR(VLOOKUP(N1653,PROGRAMAS[],3,FALSE),0)</f>
        <v>0</v>
      </c>
      <c r="AQ1653" s="246">
        <f>IFERROR(VLOOKUP(O1653,PROGRAMAS[],3,FALSE),0)</f>
        <v>0</v>
      </c>
      <c r="AR1653" s="246">
        <f>IFERROR(VLOOKUP(P1653,PROGRAMAS[],3,FALSE),0)</f>
        <v>0</v>
      </c>
      <c r="AS1653" s="246">
        <f>IFERROR(VLOOKUP(Q1653,PROGRAMAS[],3,FALSE),0)</f>
        <v>0</v>
      </c>
      <c r="AT1653" s="246">
        <f>IFERROR(VLOOKUP(D1653,VOL_REC[],2,FALSE),0)</f>
        <v>0</v>
      </c>
      <c r="AU1653" s="246">
        <f>IFERROR(VLOOKUP(E1653,VOL_REC[],2,FALSE),0)</f>
        <v>0</v>
      </c>
      <c r="AV1653" s="246">
        <f>IFERROR(VLOOKUP(F1653,VOL_REC[],2,FALSE),0)</f>
        <v>11089674.200000001</v>
      </c>
      <c r="AW1653" s="246">
        <f>IFERROR(VLOOKUP(G1653,VOL_REC[],2,FALSE),0)</f>
        <v>90439.55</v>
      </c>
      <c r="AX1653" s="246">
        <f>IFERROR(VLOOKUP(H1653,VOL_REC[],2,FALSE),0)</f>
        <v>15540036.397699751</v>
      </c>
      <c r="AY1653" s="246">
        <f>IFERROR(VLOOKUP(I1653,VOL_REC[],2,FALSE),0)</f>
        <v>1812240</v>
      </c>
      <c r="AZ1653" s="246">
        <f>IFERROR(VLOOKUP(J1653,VOL_REC[],2,FALSE),0)</f>
        <v>240696.79238099116</v>
      </c>
      <c r="BA1653" s="246">
        <f>IFERROR(VLOOKUP(K1653,VOL_REC[],2,FALSE),0)</f>
        <v>663244.80000000016</v>
      </c>
      <c r="BB1653" s="246">
        <f>IFERROR(VLOOKUP(L1653,VOL_REC[],2,FALSE),0)</f>
        <v>1072354.9981737854</v>
      </c>
      <c r="BC1653" s="246">
        <f>IFERROR(VLOOKUP(M1653,VOL_REC[],2,FALSE),0)</f>
        <v>740113.98115702497</v>
      </c>
      <c r="BD1653" s="246">
        <f>IFERROR(VLOOKUP(N1653,VOL_REC[],2,FALSE),0)</f>
        <v>0</v>
      </c>
      <c r="BE1653" s="246">
        <f>IFERROR(VLOOKUP(O1653,VOL_REC[],2,FALSE),0)</f>
        <v>0</v>
      </c>
      <c r="BF1653" s="246">
        <f>IFERROR(VLOOKUP(P1653,VOL_REC[],2,FALSE),0)</f>
        <v>0</v>
      </c>
      <c r="BG1653" s="246">
        <f>IFERROR(VLOOKUP(Q1653,VOL_REC[],2,FALSE),0)</f>
        <v>0</v>
      </c>
      <c r="BH1653" s="1710">
        <f t="shared" si="100"/>
        <v>28913139448.091175</v>
      </c>
      <c r="BI1653" s="1710">
        <f t="shared" si="101"/>
        <v>24863711604.3978</v>
      </c>
      <c r="BJ1653" s="1711">
        <f t="shared" si="102"/>
        <v>31248800.719411552</v>
      </c>
      <c r="BK1653" s="1711">
        <f t="shared" si="103"/>
        <v>1.162864978009845</v>
      </c>
      <c r="BL1653">
        <f>BJ1653</f>
        <v>31248800.719411552</v>
      </c>
      <c r="BO1653">
        <f>BL1653</f>
        <v>31248800.719411552</v>
      </c>
    </row>
    <row r="1654" spans="3:67" x14ac:dyDescent="0.25">
      <c r="C1654" s="246" t="s">
        <v>3004</v>
      </c>
      <c r="D1654" s="246">
        <v>1</v>
      </c>
      <c r="E1654" s="246">
        <v>2</v>
      </c>
      <c r="F1654" s="246">
        <v>3</v>
      </c>
      <c r="G1654" s="246">
        <v>4</v>
      </c>
      <c r="H1654" s="246">
        <v>6</v>
      </c>
      <c r="I1654" s="246">
        <v>10</v>
      </c>
      <c r="J1654" s="246">
        <v>12</v>
      </c>
      <c r="K1654" s="246">
        <v>14</v>
      </c>
      <c r="L1654" s="246">
        <v>15</v>
      </c>
      <c r="M1654" s="246">
        <v>16</v>
      </c>
      <c r="N1654" s="246"/>
      <c r="O1654" s="246"/>
      <c r="P1654" s="246"/>
      <c r="Q1654" s="246"/>
      <c r="R1654" s="246">
        <f>IFERROR(VLOOKUP(D1654,PROGRAMAS[],2,FALSE),0)</f>
        <v>97037803.679377079</v>
      </c>
      <c r="S1654" s="246">
        <f>IFERROR(VLOOKUP(E1654,PROGRAMAS[],2,FALSE),0)</f>
        <v>640501509.6821388</v>
      </c>
      <c r="T1654" s="246">
        <f>IFERROR(VLOOKUP(F1654,PROGRAMAS[],2,FALSE),0)</f>
        <v>3062327798.1525245</v>
      </c>
      <c r="U1654" s="246">
        <f>IFERROR(VLOOKUP(G1654,PROGRAMAS[],2,FALSE),0)</f>
        <v>67697118.033011258</v>
      </c>
      <c r="V1654" s="246">
        <f>IFERROR(VLOOKUP(H1654,PROGRAMAS[],2,FALSE),0)</f>
        <v>6907648435.8447599</v>
      </c>
      <c r="W1654" s="246">
        <f>IFERROR(VLOOKUP(I1654,PROGRAMAS[],2,FALSE),0)</f>
        <v>4635315027.8751087</v>
      </c>
      <c r="X1654" s="246">
        <f>IFERROR(VLOOKUP(J1654,PROGRAMAS[],2,FALSE),0)</f>
        <v>764796700.79905891</v>
      </c>
      <c r="Y1654" s="246">
        <f>IFERROR(VLOOKUP(K1654,PROGRAMAS[],2,FALSE),0)</f>
        <v>54223862.645839565</v>
      </c>
      <c r="Z1654" s="246">
        <f>IFERROR(VLOOKUP(L1654,PROGRAMAS[],2,FALSE),0)</f>
        <v>122159672.96346797</v>
      </c>
      <c r="AA1654" s="246">
        <f>IFERROR(VLOOKUP(M1654,PROGRAMAS[],2,FALSE),0)</f>
        <v>7068496961.0436354</v>
      </c>
      <c r="AB1654" s="246">
        <f>IFERROR(VLOOKUP(N1654,PROGRAMAS[],2,FALSE),0)</f>
        <v>0</v>
      </c>
      <c r="AC1654" s="246">
        <f>IFERROR(VLOOKUP(O1654,PROGRAMAS[],2,FALSE),0)</f>
        <v>0</v>
      </c>
      <c r="AD1654" s="246">
        <f>IFERROR(VLOOKUP(P1654,PROGRAMAS[],2,FALSE),0)</f>
        <v>0</v>
      </c>
      <c r="AE1654" s="246">
        <f>IFERROR(VLOOKUP(Q1654,PROGRAMAS[],2,FALSE),0)</f>
        <v>0</v>
      </c>
      <c r="AF1654" s="246">
        <f>IFERROR(VLOOKUP(D1654,PROGRAMAS[],3,FALSE),0)</f>
        <v>841888629.31080008</v>
      </c>
      <c r="AG1654" s="246">
        <f>IFERROR(VLOOKUP(E1654,PROGRAMAS[],3,FALSE),0)</f>
        <v>3848980803.1642323</v>
      </c>
      <c r="AH1654" s="246">
        <f>IFERROR(VLOOKUP(F1654,PROGRAMAS[],3,FALSE),0)</f>
        <v>3394901471.387517</v>
      </c>
      <c r="AI1654" s="246">
        <f>IFERROR(VLOOKUP(G1654,PROGRAMAS[],3,FALSE),0)</f>
        <v>125317226.95549992</v>
      </c>
      <c r="AJ1654" s="246">
        <f>IFERROR(VLOOKUP(H1654,PROGRAMAS[],3,FALSE),0)</f>
        <v>6129902208.7912121</v>
      </c>
      <c r="AK1654" s="246">
        <f>IFERROR(VLOOKUP(I1654,PROGRAMAS[],3,FALSE),0)</f>
        <v>4099471734.9978786</v>
      </c>
      <c r="AL1654" s="246">
        <f>IFERROR(VLOOKUP(J1654,PROGRAMAS[],3,FALSE),0)</f>
        <v>675517840.109828</v>
      </c>
      <c r="AM1654" s="246">
        <f>IFERROR(VLOOKUP(K1654,PROGRAMAS[],3,FALSE),0)</f>
        <v>31865326.38096505</v>
      </c>
      <c r="AN1654" s="246">
        <f>IFERROR(VLOOKUP(L1654,PROGRAMAS[],3,FALSE),0)</f>
        <v>118617452.52510804</v>
      </c>
      <c r="AO1654" s="246">
        <f>IFERROR(VLOOKUP(M1654,PROGRAMAS[],3,FALSE),0)</f>
        <v>2406564599.0319901</v>
      </c>
      <c r="AP1654" s="246">
        <f>IFERROR(VLOOKUP(N1654,PROGRAMAS[],3,FALSE),0)</f>
        <v>0</v>
      </c>
      <c r="AQ1654" s="246">
        <f>IFERROR(VLOOKUP(O1654,PROGRAMAS[],3,FALSE),0)</f>
        <v>0</v>
      </c>
      <c r="AR1654" s="246">
        <f>IFERROR(VLOOKUP(P1654,PROGRAMAS[],3,FALSE),0)</f>
        <v>0</v>
      </c>
      <c r="AS1654" s="246">
        <f>IFERROR(VLOOKUP(Q1654,PROGRAMAS[],3,FALSE),0)</f>
        <v>0</v>
      </c>
      <c r="AT1654" s="246">
        <f>IFERROR(VLOOKUP(D1654,VOL_REC[],2,FALSE),0)</f>
        <v>0</v>
      </c>
      <c r="AU1654" s="246">
        <f>IFERROR(VLOOKUP(E1654,VOL_REC[],2,FALSE),0)</f>
        <v>0</v>
      </c>
      <c r="AV1654" s="246">
        <f>IFERROR(VLOOKUP(F1654,VOL_REC[],2,FALSE),0)</f>
        <v>11089674.200000001</v>
      </c>
      <c r="AW1654" s="246">
        <f>IFERROR(VLOOKUP(G1654,VOL_REC[],2,FALSE),0)</f>
        <v>90439.55</v>
      </c>
      <c r="AX1654" s="246">
        <f>IFERROR(VLOOKUP(H1654,VOL_REC[],2,FALSE),0)</f>
        <v>15540036.397699751</v>
      </c>
      <c r="AY1654" s="246">
        <f>IFERROR(VLOOKUP(I1654,VOL_REC[],2,FALSE),0)</f>
        <v>1812240</v>
      </c>
      <c r="AZ1654" s="246">
        <f>IFERROR(VLOOKUP(J1654,VOL_REC[],2,FALSE),0)</f>
        <v>240696.79238099116</v>
      </c>
      <c r="BA1654" s="246">
        <f>IFERROR(VLOOKUP(K1654,VOL_REC[],2,FALSE),0)</f>
        <v>17074.045034105649</v>
      </c>
      <c r="BB1654" s="246">
        <f>IFERROR(VLOOKUP(L1654,VOL_REC[],2,FALSE),0)</f>
        <v>105072</v>
      </c>
      <c r="BC1654" s="246">
        <f>IFERROR(VLOOKUP(M1654,VOL_REC[],2,FALSE),0)</f>
        <v>1072354.9981737854</v>
      </c>
      <c r="BD1654" s="246">
        <f>IFERROR(VLOOKUP(N1654,VOL_REC[],2,FALSE),0)</f>
        <v>0</v>
      </c>
      <c r="BE1654" s="246">
        <f>IFERROR(VLOOKUP(O1654,VOL_REC[],2,FALSE),0)</f>
        <v>0</v>
      </c>
      <c r="BF1654" s="246">
        <f>IFERROR(VLOOKUP(P1654,VOL_REC[],2,FALSE),0)</f>
        <v>0</v>
      </c>
      <c r="BG1654" s="246">
        <f>IFERROR(VLOOKUP(Q1654,VOL_REC[],2,FALSE),0)</f>
        <v>0</v>
      </c>
      <c r="BH1654" s="1710">
        <f t="shared" si="100"/>
        <v>23420204890.718922</v>
      </c>
      <c r="BI1654" s="1710">
        <f t="shared" si="101"/>
        <v>21673027292.655033</v>
      </c>
      <c r="BJ1654" s="1711">
        <f t="shared" si="102"/>
        <v>29967587.983288635</v>
      </c>
      <c r="BK1654" s="1711">
        <f t="shared" si="103"/>
        <v>1.0806153000442169</v>
      </c>
      <c r="BL1654">
        <f>BJ1654</f>
        <v>29967587.983288635</v>
      </c>
      <c r="BO1654">
        <f>BL1654</f>
        <v>29967587.983288635</v>
      </c>
    </row>
    <row r="1655" spans="3:67" x14ac:dyDescent="0.25">
      <c r="C1655" s="246" t="s">
        <v>3005</v>
      </c>
      <c r="D1655" s="246">
        <v>1</v>
      </c>
      <c r="E1655" s="246">
        <v>2</v>
      </c>
      <c r="F1655" s="246">
        <v>3</v>
      </c>
      <c r="G1655" s="246">
        <v>4</v>
      </c>
      <c r="H1655" s="246">
        <v>6</v>
      </c>
      <c r="I1655" s="246">
        <v>10</v>
      </c>
      <c r="J1655" s="246">
        <v>12</v>
      </c>
      <c r="K1655" s="246">
        <v>14</v>
      </c>
      <c r="L1655" s="246">
        <v>15</v>
      </c>
      <c r="M1655" s="246">
        <v>17</v>
      </c>
      <c r="N1655" s="246"/>
      <c r="O1655" s="246"/>
      <c r="P1655" s="246"/>
      <c r="Q1655" s="246"/>
      <c r="R1655" s="246">
        <f>IFERROR(VLOOKUP(D1655,PROGRAMAS[],2,FALSE),0)</f>
        <v>97037803.679377079</v>
      </c>
      <c r="S1655" s="246">
        <f>IFERROR(VLOOKUP(E1655,PROGRAMAS[],2,FALSE),0)</f>
        <v>640501509.6821388</v>
      </c>
      <c r="T1655" s="246">
        <f>IFERROR(VLOOKUP(F1655,PROGRAMAS[],2,FALSE),0)</f>
        <v>3062327798.1525245</v>
      </c>
      <c r="U1655" s="246">
        <f>IFERROR(VLOOKUP(G1655,PROGRAMAS[],2,FALSE),0)</f>
        <v>67697118.033011258</v>
      </c>
      <c r="V1655" s="246">
        <f>IFERROR(VLOOKUP(H1655,PROGRAMAS[],2,FALSE),0)</f>
        <v>6907648435.8447599</v>
      </c>
      <c r="W1655" s="246">
        <f>IFERROR(VLOOKUP(I1655,PROGRAMAS[],2,FALSE),0)</f>
        <v>4635315027.8751087</v>
      </c>
      <c r="X1655" s="246">
        <f>IFERROR(VLOOKUP(J1655,PROGRAMAS[],2,FALSE),0)</f>
        <v>764796700.79905891</v>
      </c>
      <c r="Y1655" s="246">
        <f>IFERROR(VLOOKUP(K1655,PROGRAMAS[],2,FALSE),0)</f>
        <v>54223862.645839565</v>
      </c>
      <c r="Z1655" s="246">
        <f>IFERROR(VLOOKUP(L1655,PROGRAMAS[],2,FALSE),0)</f>
        <v>122159672.96346797</v>
      </c>
      <c r="AA1655" s="246">
        <f>IFERROR(VLOOKUP(M1655,PROGRAMAS[],2,FALSE),0)</f>
        <v>1892779498.5211046</v>
      </c>
      <c r="AB1655" s="246">
        <f>IFERROR(VLOOKUP(N1655,PROGRAMAS[],2,FALSE),0)</f>
        <v>0</v>
      </c>
      <c r="AC1655" s="246">
        <f>IFERROR(VLOOKUP(O1655,PROGRAMAS[],2,FALSE),0)</f>
        <v>0</v>
      </c>
      <c r="AD1655" s="246">
        <f>IFERROR(VLOOKUP(P1655,PROGRAMAS[],2,FALSE),0)</f>
        <v>0</v>
      </c>
      <c r="AE1655" s="246">
        <f>IFERROR(VLOOKUP(Q1655,PROGRAMAS[],2,FALSE),0)</f>
        <v>0</v>
      </c>
      <c r="AF1655" s="246">
        <f>IFERROR(VLOOKUP(D1655,PROGRAMAS[],3,FALSE),0)</f>
        <v>841888629.31080008</v>
      </c>
      <c r="AG1655" s="246">
        <f>IFERROR(VLOOKUP(E1655,PROGRAMAS[],3,FALSE),0)</f>
        <v>3848980803.1642323</v>
      </c>
      <c r="AH1655" s="246">
        <f>IFERROR(VLOOKUP(F1655,PROGRAMAS[],3,FALSE),0)</f>
        <v>3394901471.387517</v>
      </c>
      <c r="AI1655" s="246">
        <f>IFERROR(VLOOKUP(G1655,PROGRAMAS[],3,FALSE),0)</f>
        <v>125317226.95549992</v>
      </c>
      <c r="AJ1655" s="246">
        <f>IFERROR(VLOOKUP(H1655,PROGRAMAS[],3,FALSE),0)</f>
        <v>6129902208.7912121</v>
      </c>
      <c r="AK1655" s="246">
        <f>IFERROR(VLOOKUP(I1655,PROGRAMAS[],3,FALSE),0)</f>
        <v>4099471734.9978786</v>
      </c>
      <c r="AL1655" s="246">
        <f>IFERROR(VLOOKUP(J1655,PROGRAMAS[],3,FALSE),0)</f>
        <v>675517840.109828</v>
      </c>
      <c r="AM1655" s="246">
        <f>IFERROR(VLOOKUP(K1655,PROGRAMAS[],3,FALSE),0)</f>
        <v>31865326.38096505</v>
      </c>
      <c r="AN1655" s="246">
        <f>IFERROR(VLOOKUP(L1655,PROGRAMAS[],3,FALSE),0)</f>
        <v>118617452.52510804</v>
      </c>
      <c r="AO1655" s="246">
        <f>IFERROR(VLOOKUP(M1655,PROGRAMAS[],3,FALSE),0)</f>
        <v>948595847.09039903</v>
      </c>
      <c r="AP1655" s="246">
        <f>IFERROR(VLOOKUP(N1655,PROGRAMAS[],3,FALSE),0)</f>
        <v>0</v>
      </c>
      <c r="AQ1655" s="246">
        <f>IFERROR(VLOOKUP(O1655,PROGRAMAS[],3,FALSE),0)</f>
        <v>0</v>
      </c>
      <c r="AR1655" s="246">
        <f>IFERROR(VLOOKUP(P1655,PROGRAMAS[],3,FALSE),0)</f>
        <v>0</v>
      </c>
      <c r="AS1655" s="246">
        <f>IFERROR(VLOOKUP(Q1655,PROGRAMAS[],3,FALSE),0)</f>
        <v>0</v>
      </c>
      <c r="AT1655" s="246">
        <f>IFERROR(VLOOKUP(D1655,VOL_REC[],2,FALSE),0)</f>
        <v>0</v>
      </c>
      <c r="AU1655" s="246">
        <f>IFERROR(VLOOKUP(E1655,VOL_REC[],2,FALSE),0)</f>
        <v>0</v>
      </c>
      <c r="AV1655" s="246">
        <f>IFERROR(VLOOKUP(F1655,VOL_REC[],2,FALSE),0)</f>
        <v>11089674.200000001</v>
      </c>
      <c r="AW1655" s="246">
        <f>IFERROR(VLOOKUP(G1655,VOL_REC[],2,FALSE),0)</f>
        <v>90439.55</v>
      </c>
      <c r="AX1655" s="246">
        <f>IFERROR(VLOOKUP(H1655,VOL_REC[],2,FALSE),0)</f>
        <v>15540036.397699751</v>
      </c>
      <c r="AY1655" s="246">
        <f>IFERROR(VLOOKUP(I1655,VOL_REC[],2,FALSE),0)</f>
        <v>1812240</v>
      </c>
      <c r="AZ1655" s="246">
        <f>IFERROR(VLOOKUP(J1655,VOL_REC[],2,FALSE),0)</f>
        <v>240696.79238099116</v>
      </c>
      <c r="BA1655" s="246">
        <f>IFERROR(VLOOKUP(K1655,VOL_REC[],2,FALSE),0)</f>
        <v>17074.045034105649</v>
      </c>
      <c r="BB1655" s="246">
        <f>IFERROR(VLOOKUP(L1655,VOL_REC[],2,FALSE),0)</f>
        <v>105072</v>
      </c>
      <c r="BC1655" s="246">
        <f>IFERROR(VLOOKUP(M1655,VOL_REC[],2,FALSE),0)</f>
        <v>740113.98115702497</v>
      </c>
      <c r="BD1655" s="246">
        <f>IFERROR(VLOOKUP(N1655,VOL_REC[],2,FALSE),0)</f>
        <v>0</v>
      </c>
      <c r="BE1655" s="246">
        <f>IFERROR(VLOOKUP(O1655,VOL_REC[],2,FALSE),0)</f>
        <v>0</v>
      </c>
      <c r="BF1655" s="246">
        <f>IFERROR(VLOOKUP(P1655,VOL_REC[],2,FALSE),0)</f>
        <v>0</v>
      </c>
      <c r="BG1655" s="246">
        <f>IFERROR(VLOOKUP(Q1655,VOL_REC[],2,FALSE),0)</f>
        <v>0</v>
      </c>
      <c r="BH1655" s="1710">
        <f t="shared" si="100"/>
        <v>18244487428.196392</v>
      </c>
      <c r="BI1655" s="1710">
        <f t="shared" si="101"/>
        <v>20215058540.713444</v>
      </c>
      <c r="BJ1655" s="1711">
        <f t="shared" si="102"/>
        <v>29635346.966271874</v>
      </c>
      <c r="BK1655" s="1711">
        <f t="shared" si="103"/>
        <v>0.90251964353463088</v>
      </c>
    </row>
    <row r="1656" spans="3:67" x14ac:dyDescent="0.25">
      <c r="C1656" s="246" t="s">
        <v>3006</v>
      </c>
      <c r="D1656" s="246">
        <v>1</v>
      </c>
      <c r="E1656" s="246">
        <v>2</v>
      </c>
      <c r="F1656" s="246">
        <v>3</v>
      </c>
      <c r="G1656" s="246">
        <v>4</v>
      </c>
      <c r="H1656" s="246">
        <v>6</v>
      </c>
      <c r="I1656" s="246">
        <v>10</v>
      </c>
      <c r="J1656" s="246">
        <v>12</v>
      </c>
      <c r="K1656" s="246">
        <v>14</v>
      </c>
      <c r="L1656" s="246">
        <v>16</v>
      </c>
      <c r="M1656" s="246">
        <v>17</v>
      </c>
      <c r="N1656" s="246"/>
      <c r="O1656" s="246"/>
      <c r="P1656" s="246"/>
      <c r="Q1656" s="246"/>
      <c r="R1656" s="246">
        <f>IFERROR(VLOOKUP(D1656,PROGRAMAS[],2,FALSE),0)</f>
        <v>97037803.679377079</v>
      </c>
      <c r="S1656" s="246">
        <f>IFERROR(VLOOKUP(E1656,PROGRAMAS[],2,FALSE),0)</f>
        <v>640501509.6821388</v>
      </c>
      <c r="T1656" s="246">
        <f>IFERROR(VLOOKUP(F1656,PROGRAMAS[],2,FALSE),0)</f>
        <v>3062327798.1525245</v>
      </c>
      <c r="U1656" s="246">
        <f>IFERROR(VLOOKUP(G1656,PROGRAMAS[],2,FALSE),0)</f>
        <v>67697118.033011258</v>
      </c>
      <c r="V1656" s="246">
        <f>IFERROR(VLOOKUP(H1656,PROGRAMAS[],2,FALSE),0)</f>
        <v>6907648435.8447599</v>
      </c>
      <c r="W1656" s="246">
        <f>IFERROR(VLOOKUP(I1656,PROGRAMAS[],2,FALSE),0)</f>
        <v>4635315027.8751087</v>
      </c>
      <c r="X1656" s="246">
        <f>IFERROR(VLOOKUP(J1656,PROGRAMAS[],2,FALSE),0)</f>
        <v>764796700.79905891</v>
      </c>
      <c r="Y1656" s="246">
        <f>IFERROR(VLOOKUP(K1656,PROGRAMAS[],2,FALSE),0)</f>
        <v>54223862.645839565</v>
      </c>
      <c r="Z1656" s="246">
        <f>IFERROR(VLOOKUP(L1656,PROGRAMAS[],2,FALSE),0)</f>
        <v>7068496961.0436354</v>
      </c>
      <c r="AA1656" s="246">
        <f>IFERROR(VLOOKUP(M1656,PROGRAMAS[],2,FALSE),0)</f>
        <v>1892779498.5211046</v>
      </c>
      <c r="AB1656" s="246">
        <f>IFERROR(VLOOKUP(N1656,PROGRAMAS[],2,FALSE),0)</f>
        <v>0</v>
      </c>
      <c r="AC1656" s="246">
        <f>IFERROR(VLOOKUP(O1656,PROGRAMAS[],2,FALSE),0)</f>
        <v>0</v>
      </c>
      <c r="AD1656" s="246">
        <f>IFERROR(VLOOKUP(P1656,PROGRAMAS[],2,FALSE),0)</f>
        <v>0</v>
      </c>
      <c r="AE1656" s="246">
        <f>IFERROR(VLOOKUP(Q1656,PROGRAMAS[],2,FALSE),0)</f>
        <v>0</v>
      </c>
      <c r="AF1656" s="246">
        <f>IFERROR(VLOOKUP(D1656,PROGRAMAS[],3,FALSE),0)</f>
        <v>841888629.31080008</v>
      </c>
      <c r="AG1656" s="246">
        <f>IFERROR(VLOOKUP(E1656,PROGRAMAS[],3,FALSE),0)</f>
        <v>3848980803.1642323</v>
      </c>
      <c r="AH1656" s="246">
        <f>IFERROR(VLOOKUP(F1656,PROGRAMAS[],3,FALSE),0)</f>
        <v>3394901471.387517</v>
      </c>
      <c r="AI1656" s="246">
        <f>IFERROR(VLOOKUP(G1656,PROGRAMAS[],3,FALSE),0)</f>
        <v>125317226.95549992</v>
      </c>
      <c r="AJ1656" s="246">
        <f>IFERROR(VLOOKUP(H1656,PROGRAMAS[],3,FALSE),0)</f>
        <v>6129902208.7912121</v>
      </c>
      <c r="AK1656" s="246">
        <f>IFERROR(VLOOKUP(I1656,PROGRAMAS[],3,FALSE),0)</f>
        <v>4099471734.9978786</v>
      </c>
      <c r="AL1656" s="246">
        <f>IFERROR(VLOOKUP(J1656,PROGRAMAS[],3,FALSE),0)</f>
        <v>675517840.109828</v>
      </c>
      <c r="AM1656" s="246">
        <f>IFERROR(VLOOKUP(K1656,PROGRAMAS[],3,FALSE),0)</f>
        <v>31865326.38096505</v>
      </c>
      <c r="AN1656" s="246">
        <f>IFERROR(VLOOKUP(L1656,PROGRAMAS[],3,FALSE),0)</f>
        <v>2406564599.0319901</v>
      </c>
      <c r="AO1656" s="246">
        <f>IFERROR(VLOOKUP(M1656,PROGRAMAS[],3,FALSE),0)</f>
        <v>948595847.09039903</v>
      </c>
      <c r="AP1656" s="246">
        <f>IFERROR(VLOOKUP(N1656,PROGRAMAS[],3,FALSE),0)</f>
        <v>0</v>
      </c>
      <c r="AQ1656" s="246">
        <f>IFERROR(VLOOKUP(O1656,PROGRAMAS[],3,FALSE),0)</f>
        <v>0</v>
      </c>
      <c r="AR1656" s="246">
        <f>IFERROR(VLOOKUP(P1656,PROGRAMAS[],3,FALSE),0)</f>
        <v>0</v>
      </c>
      <c r="AS1656" s="246">
        <f>IFERROR(VLOOKUP(Q1656,PROGRAMAS[],3,FALSE),0)</f>
        <v>0</v>
      </c>
      <c r="AT1656" s="246">
        <f>IFERROR(VLOOKUP(D1656,VOL_REC[],2,FALSE),0)</f>
        <v>0</v>
      </c>
      <c r="AU1656" s="246">
        <f>IFERROR(VLOOKUP(E1656,VOL_REC[],2,FALSE),0)</f>
        <v>0</v>
      </c>
      <c r="AV1656" s="246">
        <f>IFERROR(VLOOKUP(F1656,VOL_REC[],2,FALSE),0)</f>
        <v>11089674.200000001</v>
      </c>
      <c r="AW1656" s="246">
        <f>IFERROR(VLOOKUP(G1656,VOL_REC[],2,FALSE),0)</f>
        <v>90439.55</v>
      </c>
      <c r="AX1656" s="246">
        <f>IFERROR(VLOOKUP(H1656,VOL_REC[],2,FALSE),0)</f>
        <v>15540036.397699751</v>
      </c>
      <c r="AY1656" s="246">
        <f>IFERROR(VLOOKUP(I1656,VOL_REC[],2,FALSE),0)</f>
        <v>1812240</v>
      </c>
      <c r="AZ1656" s="246">
        <f>IFERROR(VLOOKUP(J1656,VOL_REC[],2,FALSE),0)</f>
        <v>240696.79238099116</v>
      </c>
      <c r="BA1656" s="246">
        <f>IFERROR(VLOOKUP(K1656,VOL_REC[],2,FALSE),0)</f>
        <v>17074.045034105649</v>
      </c>
      <c r="BB1656" s="246">
        <f>IFERROR(VLOOKUP(L1656,VOL_REC[],2,FALSE),0)</f>
        <v>1072354.9981737854</v>
      </c>
      <c r="BC1656" s="246">
        <f>IFERROR(VLOOKUP(M1656,VOL_REC[],2,FALSE),0)</f>
        <v>740113.98115702497</v>
      </c>
      <c r="BD1656" s="246">
        <f>IFERROR(VLOOKUP(N1656,VOL_REC[],2,FALSE),0)</f>
        <v>0</v>
      </c>
      <c r="BE1656" s="246">
        <f>IFERROR(VLOOKUP(O1656,VOL_REC[],2,FALSE),0)</f>
        <v>0</v>
      </c>
      <c r="BF1656" s="246">
        <f>IFERROR(VLOOKUP(P1656,VOL_REC[],2,FALSE),0)</f>
        <v>0</v>
      </c>
      <c r="BG1656" s="246">
        <f>IFERROR(VLOOKUP(Q1656,VOL_REC[],2,FALSE),0)</f>
        <v>0</v>
      </c>
      <c r="BH1656" s="1710">
        <f t="shared" si="100"/>
        <v>25190824716.276558</v>
      </c>
      <c r="BI1656" s="1710">
        <f t="shared" si="101"/>
        <v>22503005687.220325</v>
      </c>
      <c r="BJ1656" s="1711">
        <f t="shared" si="102"/>
        <v>30602629.964445658</v>
      </c>
      <c r="BK1656" s="1711">
        <f t="shared" si="103"/>
        <v>1.1194426676336251</v>
      </c>
      <c r="BL1656">
        <f>BJ1656</f>
        <v>30602629.964445658</v>
      </c>
      <c r="BO1656">
        <f>BL1656</f>
        <v>30602629.964445658</v>
      </c>
    </row>
    <row r="1657" spans="3:67" x14ac:dyDescent="0.25">
      <c r="C1657" s="246" t="s">
        <v>3007</v>
      </c>
      <c r="D1657" s="246">
        <v>1</v>
      </c>
      <c r="E1657" s="246">
        <v>2</v>
      </c>
      <c r="F1657" s="246">
        <v>3</v>
      </c>
      <c r="G1657" s="246">
        <v>4</v>
      </c>
      <c r="H1657" s="246">
        <v>6</v>
      </c>
      <c r="I1657" s="246">
        <v>10</v>
      </c>
      <c r="J1657" s="246">
        <v>12</v>
      </c>
      <c r="K1657" s="246">
        <v>15</v>
      </c>
      <c r="L1657" s="246">
        <v>16</v>
      </c>
      <c r="M1657" s="246">
        <v>17</v>
      </c>
      <c r="N1657" s="246"/>
      <c r="O1657" s="246"/>
      <c r="P1657" s="246"/>
      <c r="Q1657" s="246"/>
      <c r="R1657" s="246">
        <f>IFERROR(VLOOKUP(D1657,PROGRAMAS[],2,FALSE),0)</f>
        <v>97037803.679377079</v>
      </c>
      <c r="S1657" s="246">
        <f>IFERROR(VLOOKUP(E1657,PROGRAMAS[],2,FALSE),0)</f>
        <v>640501509.6821388</v>
      </c>
      <c r="T1657" s="246">
        <f>IFERROR(VLOOKUP(F1657,PROGRAMAS[],2,FALSE),0)</f>
        <v>3062327798.1525245</v>
      </c>
      <c r="U1657" s="246">
        <f>IFERROR(VLOOKUP(G1657,PROGRAMAS[],2,FALSE),0)</f>
        <v>67697118.033011258</v>
      </c>
      <c r="V1657" s="246">
        <f>IFERROR(VLOOKUP(H1657,PROGRAMAS[],2,FALSE),0)</f>
        <v>6907648435.8447599</v>
      </c>
      <c r="W1657" s="246">
        <f>IFERROR(VLOOKUP(I1657,PROGRAMAS[],2,FALSE),0)</f>
        <v>4635315027.8751087</v>
      </c>
      <c r="X1657" s="246">
        <f>IFERROR(VLOOKUP(J1657,PROGRAMAS[],2,FALSE),0)</f>
        <v>764796700.79905891</v>
      </c>
      <c r="Y1657" s="246">
        <f>IFERROR(VLOOKUP(K1657,PROGRAMAS[],2,FALSE),0)</f>
        <v>122159672.96346797</v>
      </c>
      <c r="Z1657" s="246">
        <f>IFERROR(VLOOKUP(L1657,PROGRAMAS[],2,FALSE),0)</f>
        <v>7068496961.0436354</v>
      </c>
      <c r="AA1657" s="246">
        <f>IFERROR(VLOOKUP(M1657,PROGRAMAS[],2,FALSE),0)</f>
        <v>1892779498.5211046</v>
      </c>
      <c r="AB1657" s="246">
        <f>IFERROR(VLOOKUP(N1657,PROGRAMAS[],2,FALSE),0)</f>
        <v>0</v>
      </c>
      <c r="AC1657" s="246">
        <f>IFERROR(VLOOKUP(O1657,PROGRAMAS[],2,FALSE),0)</f>
        <v>0</v>
      </c>
      <c r="AD1657" s="246">
        <f>IFERROR(VLOOKUP(P1657,PROGRAMAS[],2,FALSE),0)</f>
        <v>0</v>
      </c>
      <c r="AE1657" s="246">
        <f>IFERROR(VLOOKUP(Q1657,PROGRAMAS[],2,FALSE),0)</f>
        <v>0</v>
      </c>
      <c r="AF1657" s="246">
        <f>IFERROR(VLOOKUP(D1657,PROGRAMAS[],3,FALSE),0)</f>
        <v>841888629.31080008</v>
      </c>
      <c r="AG1657" s="246">
        <f>IFERROR(VLOOKUP(E1657,PROGRAMAS[],3,FALSE),0)</f>
        <v>3848980803.1642323</v>
      </c>
      <c r="AH1657" s="246">
        <f>IFERROR(VLOOKUP(F1657,PROGRAMAS[],3,FALSE),0)</f>
        <v>3394901471.387517</v>
      </c>
      <c r="AI1657" s="246">
        <f>IFERROR(VLOOKUP(G1657,PROGRAMAS[],3,FALSE),0)</f>
        <v>125317226.95549992</v>
      </c>
      <c r="AJ1657" s="246">
        <f>IFERROR(VLOOKUP(H1657,PROGRAMAS[],3,FALSE),0)</f>
        <v>6129902208.7912121</v>
      </c>
      <c r="AK1657" s="246">
        <f>IFERROR(VLOOKUP(I1657,PROGRAMAS[],3,FALSE),0)</f>
        <v>4099471734.9978786</v>
      </c>
      <c r="AL1657" s="246">
        <f>IFERROR(VLOOKUP(J1657,PROGRAMAS[],3,FALSE),0)</f>
        <v>675517840.109828</v>
      </c>
      <c r="AM1657" s="246">
        <f>IFERROR(VLOOKUP(K1657,PROGRAMAS[],3,FALSE),0)</f>
        <v>118617452.52510804</v>
      </c>
      <c r="AN1657" s="246">
        <f>IFERROR(VLOOKUP(L1657,PROGRAMAS[],3,FALSE),0)</f>
        <v>2406564599.0319901</v>
      </c>
      <c r="AO1657" s="246">
        <f>IFERROR(VLOOKUP(M1657,PROGRAMAS[],3,FALSE),0)</f>
        <v>948595847.09039903</v>
      </c>
      <c r="AP1657" s="246">
        <f>IFERROR(VLOOKUP(N1657,PROGRAMAS[],3,FALSE),0)</f>
        <v>0</v>
      </c>
      <c r="AQ1657" s="246">
        <f>IFERROR(VLOOKUP(O1657,PROGRAMAS[],3,FALSE),0)</f>
        <v>0</v>
      </c>
      <c r="AR1657" s="246">
        <f>IFERROR(VLOOKUP(P1657,PROGRAMAS[],3,FALSE),0)</f>
        <v>0</v>
      </c>
      <c r="AS1657" s="246">
        <f>IFERROR(VLOOKUP(Q1657,PROGRAMAS[],3,FALSE),0)</f>
        <v>0</v>
      </c>
      <c r="AT1657" s="246">
        <f>IFERROR(VLOOKUP(D1657,VOL_REC[],2,FALSE),0)</f>
        <v>0</v>
      </c>
      <c r="AU1657" s="246">
        <f>IFERROR(VLOOKUP(E1657,VOL_REC[],2,FALSE),0)</f>
        <v>0</v>
      </c>
      <c r="AV1657" s="246">
        <f>IFERROR(VLOOKUP(F1657,VOL_REC[],2,FALSE),0)</f>
        <v>11089674.200000001</v>
      </c>
      <c r="AW1657" s="246">
        <f>IFERROR(VLOOKUP(G1657,VOL_REC[],2,FALSE),0)</f>
        <v>90439.55</v>
      </c>
      <c r="AX1657" s="246">
        <f>IFERROR(VLOOKUP(H1657,VOL_REC[],2,FALSE),0)</f>
        <v>15540036.397699751</v>
      </c>
      <c r="AY1657" s="246">
        <f>IFERROR(VLOOKUP(I1657,VOL_REC[],2,FALSE),0)</f>
        <v>1812240</v>
      </c>
      <c r="AZ1657" s="246">
        <f>IFERROR(VLOOKUP(J1657,VOL_REC[],2,FALSE),0)</f>
        <v>240696.79238099116</v>
      </c>
      <c r="BA1657" s="246">
        <f>IFERROR(VLOOKUP(K1657,VOL_REC[],2,FALSE),0)</f>
        <v>105072</v>
      </c>
      <c r="BB1657" s="246">
        <f>IFERROR(VLOOKUP(L1657,VOL_REC[],2,FALSE),0)</f>
        <v>1072354.9981737854</v>
      </c>
      <c r="BC1657" s="246">
        <f>IFERROR(VLOOKUP(M1657,VOL_REC[],2,FALSE),0)</f>
        <v>740113.98115702497</v>
      </c>
      <c r="BD1657" s="246">
        <f>IFERROR(VLOOKUP(N1657,VOL_REC[],2,FALSE),0)</f>
        <v>0</v>
      </c>
      <c r="BE1657" s="246">
        <f>IFERROR(VLOOKUP(O1657,VOL_REC[],2,FALSE),0)</f>
        <v>0</v>
      </c>
      <c r="BF1657" s="246">
        <f>IFERROR(VLOOKUP(P1657,VOL_REC[],2,FALSE),0)</f>
        <v>0</v>
      </c>
      <c r="BG1657" s="246">
        <f>IFERROR(VLOOKUP(Q1657,VOL_REC[],2,FALSE),0)</f>
        <v>0</v>
      </c>
      <c r="BH1657" s="1710">
        <f t="shared" si="100"/>
        <v>25258760526.594185</v>
      </c>
      <c r="BI1657" s="1710">
        <f t="shared" si="101"/>
        <v>22589757813.364468</v>
      </c>
      <c r="BJ1657" s="1711">
        <f t="shared" si="102"/>
        <v>30690627.919411551</v>
      </c>
      <c r="BK1657" s="1711">
        <f t="shared" si="103"/>
        <v>1.118151010527908</v>
      </c>
      <c r="BL1657">
        <f>BJ1657</f>
        <v>30690627.919411551</v>
      </c>
      <c r="BO1657">
        <f>BL1657</f>
        <v>30690627.919411551</v>
      </c>
    </row>
    <row r="1658" spans="3:67" x14ac:dyDescent="0.25">
      <c r="C1658" s="246" t="s">
        <v>3008</v>
      </c>
      <c r="D1658" s="246">
        <v>1</v>
      </c>
      <c r="E1658" s="246">
        <v>2</v>
      </c>
      <c r="F1658" s="246">
        <v>3</v>
      </c>
      <c r="G1658" s="246">
        <v>4</v>
      </c>
      <c r="H1658" s="246">
        <v>6</v>
      </c>
      <c r="I1658" s="246">
        <v>10</v>
      </c>
      <c r="J1658" s="246">
        <v>13</v>
      </c>
      <c r="K1658" s="246">
        <v>14</v>
      </c>
      <c r="L1658" s="246">
        <v>15</v>
      </c>
      <c r="M1658" s="246">
        <v>16</v>
      </c>
      <c r="N1658" s="246"/>
      <c r="O1658" s="246"/>
      <c r="P1658" s="246"/>
      <c r="Q1658" s="246"/>
      <c r="R1658" s="246">
        <f>IFERROR(VLOOKUP(D1658,PROGRAMAS[],2,FALSE),0)</f>
        <v>97037803.679377079</v>
      </c>
      <c r="S1658" s="246">
        <f>IFERROR(VLOOKUP(E1658,PROGRAMAS[],2,FALSE),0)</f>
        <v>640501509.6821388</v>
      </c>
      <c r="T1658" s="246">
        <f>IFERROR(VLOOKUP(F1658,PROGRAMAS[],2,FALSE),0)</f>
        <v>3062327798.1525245</v>
      </c>
      <c r="U1658" s="246">
        <f>IFERROR(VLOOKUP(G1658,PROGRAMAS[],2,FALSE),0)</f>
        <v>67697118.033011258</v>
      </c>
      <c r="V1658" s="246">
        <f>IFERROR(VLOOKUP(H1658,PROGRAMAS[],2,FALSE),0)</f>
        <v>6907648435.8447599</v>
      </c>
      <c r="W1658" s="246">
        <f>IFERROR(VLOOKUP(I1658,PROGRAMAS[],2,FALSE),0)</f>
        <v>4635315027.8751087</v>
      </c>
      <c r="X1658" s="246">
        <f>IFERROR(VLOOKUP(J1658,PROGRAMAS[],2,FALSE),0)</f>
        <v>3776538594.4604583</v>
      </c>
      <c r="Y1658" s="246">
        <f>IFERROR(VLOOKUP(K1658,PROGRAMAS[],2,FALSE),0)</f>
        <v>54223862.645839565</v>
      </c>
      <c r="Z1658" s="246">
        <f>IFERROR(VLOOKUP(L1658,PROGRAMAS[],2,FALSE),0)</f>
        <v>122159672.96346797</v>
      </c>
      <c r="AA1658" s="246">
        <f>IFERROR(VLOOKUP(M1658,PROGRAMAS[],2,FALSE),0)</f>
        <v>7068496961.0436354</v>
      </c>
      <c r="AB1658" s="246">
        <f>IFERROR(VLOOKUP(N1658,PROGRAMAS[],2,FALSE),0)</f>
        <v>0</v>
      </c>
      <c r="AC1658" s="246">
        <f>IFERROR(VLOOKUP(O1658,PROGRAMAS[],2,FALSE),0)</f>
        <v>0</v>
      </c>
      <c r="AD1658" s="246">
        <f>IFERROR(VLOOKUP(P1658,PROGRAMAS[],2,FALSE),0)</f>
        <v>0</v>
      </c>
      <c r="AE1658" s="246">
        <f>IFERROR(VLOOKUP(Q1658,PROGRAMAS[],2,FALSE),0)</f>
        <v>0</v>
      </c>
      <c r="AF1658" s="246">
        <f>IFERROR(VLOOKUP(D1658,PROGRAMAS[],3,FALSE),0)</f>
        <v>841888629.31080008</v>
      </c>
      <c r="AG1658" s="246">
        <f>IFERROR(VLOOKUP(E1658,PROGRAMAS[],3,FALSE),0)</f>
        <v>3848980803.1642323</v>
      </c>
      <c r="AH1658" s="246">
        <f>IFERROR(VLOOKUP(F1658,PROGRAMAS[],3,FALSE),0)</f>
        <v>3394901471.387517</v>
      </c>
      <c r="AI1658" s="246">
        <f>IFERROR(VLOOKUP(G1658,PROGRAMAS[],3,FALSE),0)</f>
        <v>125317226.95549992</v>
      </c>
      <c r="AJ1658" s="246">
        <f>IFERROR(VLOOKUP(H1658,PROGRAMAS[],3,FALSE),0)</f>
        <v>6129902208.7912121</v>
      </c>
      <c r="AK1658" s="246">
        <f>IFERROR(VLOOKUP(I1658,PROGRAMAS[],3,FALSE),0)</f>
        <v>4099471734.9978786</v>
      </c>
      <c r="AL1658" s="246">
        <f>IFERROR(VLOOKUP(J1658,PROGRAMAS[],3,FALSE),0)</f>
        <v>2392571243.5584412</v>
      </c>
      <c r="AM1658" s="246">
        <f>IFERROR(VLOOKUP(K1658,PROGRAMAS[],3,FALSE),0)</f>
        <v>31865326.38096505</v>
      </c>
      <c r="AN1658" s="246">
        <f>IFERROR(VLOOKUP(L1658,PROGRAMAS[],3,FALSE),0)</f>
        <v>118617452.52510804</v>
      </c>
      <c r="AO1658" s="246">
        <f>IFERROR(VLOOKUP(M1658,PROGRAMAS[],3,FALSE),0)</f>
        <v>2406564599.0319901</v>
      </c>
      <c r="AP1658" s="246">
        <f>IFERROR(VLOOKUP(N1658,PROGRAMAS[],3,FALSE),0)</f>
        <v>0</v>
      </c>
      <c r="AQ1658" s="246">
        <f>IFERROR(VLOOKUP(O1658,PROGRAMAS[],3,FALSE),0)</f>
        <v>0</v>
      </c>
      <c r="AR1658" s="246">
        <f>IFERROR(VLOOKUP(P1658,PROGRAMAS[],3,FALSE),0)</f>
        <v>0</v>
      </c>
      <c r="AS1658" s="246">
        <f>IFERROR(VLOOKUP(Q1658,PROGRAMAS[],3,FALSE),0)</f>
        <v>0</v>
      </c>
      <c r="AT1658" s="246">
        <f>IFERROR(VLOOKUP(D1658,VOL_REC[],2,FALSE),0)</f>
        <v>0</v>
      </c>
      <c r="AU1658" s="246">
        <f>IFERROR(VLOOKUP(E1658,VOL_REC[],2,FALSE),0)</f>
        <v>0</v>
      </c>
      <c r="AV1658" s="246">
        <f>IFERROR(VLOOKUP(F1658,VOL_REC[],2,FALSE),0)</f>
        <v>11089674.200000001</v>
      </c>
      <c r="AW1658" s="246">
        <f>IFERROR(VLOOKUP(G1658,VOL_REC[],2,FALSE),0)</f>
        <v>90439.55</v>
      </c>
      <c r="AX1658" s="246">
        <f>IFERROR(VLOOKUP(H1658,VOL_REC[],2,FALSE),0)</f>
        <v>15540036.397699751</v>
      </c>
      <c r="AY1658" s="246">
        <f>IFERROR(VLOOKUP(I1658,VOL_REC[],2,FALSE),0)</f>
        <v>1812240</v>
      </c>
      <c r="AZ1658" s="246">
        <f>IFERROR(VLOOKUP(J1658,VOL_REC[],2,FALSE),0)</f>
        <v>663244.80000000016</v>
      </c>
      <c r="BA1658" s="246">
        <f>IFERROR(VLOOKUP(K1658,VOL_REC[],2,FALSE),0)</f>
        <v>17074.045034105649</v>
      </c>
      <c r="BB1658" s="246">
        <f>IFERROR(VLOOKUP(L1658,VOL_REC[],2,FALSE),0)</f>
        <v>105072</v>
      </c>
      <c r="BC1658" s="246">
        <f>IFERROR(VLOOKUP(M1658,VOL_REC[],2,FALSE),0)</f>
        <v>1072354.9981737854</v>
      </c>
      <c r="BD1658" s="246">
        <f>IFERROR(VLOOKUP(N1658,VOL_REC[],2,FALSE),0)</f>
        <v>0</v>
      </c>
      <c r="BE1658" s="246">
        <f>IFERROR(VLOOKUP(O1658,VOL_REC[],2,FALSE),0)</f>
        <v>0</v>
      </c>
      <c r="BF1658" s="246">
        <f>IFERROR(VLOOKUP(P1658,VOL_REC[],2,FALSE),0)</f>
        <v>0</v>
      </c>
      <c r="BG1658" s="246">
        <f>IFERROR(VLOOKUP(Q1658,VOL_REC[],2,FALSE),0)</f>
        <v>0</v>
      </c>
      <c r="BH1658" s="1710">
        <f t="shared" si="100"/>
        <v>26431946784.380322</v>
      </c>
      <c r="BI1658" s="1710">
        <f t="shared" si="101"/>
        <v>23390080696.103645</v>
      </c>
      <c r="BJ1658" s="1711">
        <f t="shared" si="102"/>
        <v>30390135.990907643</v>
      </c>
      <c r="BK1658" s="1711">
        <f t="shared" si="103"/>
        <v>1.1300494054637185</v>
      </c>
      <c r="BL1658">
        <f>BJ1658</f>
        <v>30390135.990907643</v>
      </c>
      <c r="BO1658">
        <f>BL1658</f>
        <v>30390135.990907643</v>
      </c>
    </row>
    <row r="1659" spans="3:67" x14ac:dyDescent="0.25">
      <c r="C1659" s="246" t="s">
        <v>3009</v>
      </c>
      <c r="D1659" s="246">
        <v>1</v>
      </c>
      <c r="E1659" s="246">
        <v>2</v>
      </c>
      <c r="F1659" s="246">
        <v>3</v>
      </c>
      <c r="G1659" s="246">
        <v>4</v>
      </c>
      <c r="H1659" s="246">
        <v>6</v>
      </c>
      <c r="I1659" s="246">
        <v>10</v>
      </c>
      <c r="J1659" s="246">
        <v>13</v>
      </c>
      <c r="K1659" s="246">
        <v>14</v>
      </c>
      <c r="L1659" s="246">
        <v>15</v>
      </c>
      <c r="M1659" s="246">
        <v>17</v>
      </c>
      <c r="N1659" s="246"/>
      <c r="O1659" s="246"/>
      <c r="P1659" s="246"/>
      <c r="Q1659" s="246"/>
      <c r="R1659" s="246">
        <f>IFERROR(VLOOKUP(D1659,PROGRAMAS[],2,FALSE),0)</f>
        <v>97037803.679377079</v>
      </c>
      <c r="S1659" s="246">
        <f>IFERROR(VLOOKUP(E1659,PROGRAMAS[],2,FALSE),0)</f>
        <v>640501509.6821388</v>
      </c>
      <c r="T1659" s="246">
        <f>IFERROR(VLOOKUP(F1659,PROGRAMAS[],2,FALSE),0)</f>
        <v>3062327798.1525245</v>
      </c>
      <c r="U1659" s="246">
        <f>IFERROR(VLOOKUP(G1659,PROGRAMAS[],2,FALSE),0)</f>
        <v>67697118.033011258</v>
      </c>
      <c r="V1659" s="246">
        <f>IFERROR(VLOOKUP(H1659,PROGRAMAS[],2,FALSE),0)</f>
        <v>6907648435.8447599</v>
      </c>
      <c r="W1659" s="246">
        <f>IFERROR(VLOOKUP(I1659,PROGRAMAS[],2,FALSE),0)</f>
        <v>4635315027.8751087</v>
      </c>
      <c r="X1659" s="246">
        <f>IFERROR(VLOOKUP(J1659,PROGRAMAS[],2,FALSE),0)</f>
        <v>3776538594.4604583</v>
      </c>
      <c r="Y1659" s="246">
        <f>IFERROR(VLOOKUP(K1659,PROGRAMAS[],2,FALSE),0)</f>
        <v>54223862.645839565</v>
      </c>
      <c r="Z1659" s="246">
        <f>IFERROR(VLOOKUP(L1659,PROGRAMAS[],2,FALSE),0)</f>
        <v>122159672.96346797</v>
      </c>
      <c r="AA1659" s="246">
        <f>IFERROR(VLOOKUP(M1659,PROGRAMAS[],2,FALSE),0)</f>
        <v>1892779498.5211046</v>
      </c>
      <c r="AB1659" s="246">
        <f>IFERROR(VLOOKUP(N1659,PROGRAMAS[],2,FALSE),0)</f>
        <v>0</v>
      </c>
      <c r="AC1659" s="246">
        <f>IFERROR(VLOOKUP(O1659,PROGRAMAS[],2,FALSE),0)</f>
        <v>0</v>
      </c>
      <c r="AD1659" s="246">
        <f>IFERROR(VLOOKUP(P1659,PROGRAMAS[],2,FALSE),0)</f>
        <v>0</v>
      </c>
      <c r="AE1659" s="246">
        <f>IFERROR(VLOOKUP(Q1659,PROGRAMAS[],2,FALSE),0)</f>
        <v>0</v>
      </c>
      <c r="AF1659" s="246">
        <f>IFERROR(VLOOKUP(D1659,PROGRAMAS[],3,FALSE),0)</f>
        <v>841888629.31080008</v>
      </c>
      <c r="AG1659" s="246">
        <f>IFERROR(VLOOKUP(E1659,PROGRAMAS[],3,FALSE),0)</f>
        <v>3848980803.1642323</v>
      </c>
      <c r="AH1659" s="246">
        <f>IFERROR(VLOOKUP(F1659,PROGRAMAS[],3,FALSE),0)</f>
        <v>3394901471.387517</v>
      </c>
      <c r="AI1659" s="246">
        <f>IFERROR(VLOOKUP(G1659,PROGRAMAS[],3,FALSE),0)</f>
        <v>125317226.95549992</v>
      </c>
      <c r="AJ1659" s="246">
        <f>IFERROR(VLOOKUP(H1659,PROGRAMAS[],3,FALSE),0)</f>
        <v>6129902208.7912121</v>
      </c>
      <c r="AK1659" s="246">
        <f>IFERROR(VLOOKUP(I1659,PROGRAMAS[],3,FALSE),0)</f>
        <v>4099471734.9978786</v>
      </c>
      <c r="AL1659" s="246">
        <f>IFERROR(VLOOKUP(J1659,PROGRAMAS[],3,FALSE),0)</f>
        <v>2392571243.5584412</v>
      </c>
      <c r="AM1659" s="246">
        <f>IFERROR(VLOOKUP(K1659,PROGRAMAS[],3,FALSE),0)</f>
        <v>31865326.38096505</v>
      </c>
      <c r="AN1659" s="246">
        <f>IFERROR(VLOOKUP(L1659,PROGRAMAS[],3,FALSE),0)</f>
        <v>118617452.52510804</v>
      </c>
      <c r="AO1659" s="246">
        <f>IFERROR(VLOOKUP(M1659,PROGRAMAS[],3,FALSE),0)</f>
        <v>948595847.09039903</v>
      </c>
      <c r="AP1659" s="246">
        <f>IFERROR(VLOOKUP(N1659,PROGRAMAS[],3,FALSE),0)</f>
        <v>0</v>
      </c>
      <c r="AQ1659" s="246">
        <f>IFERROR(VLOOKUP(O1659,PROGRAMAS[],3,FALSE),0)</f>
        <v>0</v>
      </c>
      <c r="AR1659" s="246">
        <f>IFERROR(VLOOKUP(P1659,PROGRAMAS[],3,FALSE),0)</f>
        <v>0</v>
      </c>
      <c r="AS1659" s="246">
        <f>IFERROR(VLOOKUP(Q1659,PROGRAMAS[],3,FALSE),0)</f>
        <v>0</v>
      </c>
      <c r="AT1659" s="246">
        <f>IFERROR(VLOOKUP(D1659,VOL_REC[],2,FALSE),0)</f>
        <v>0</v>
      </c>
      <c r="AU1659" s="246">
        <f>IFERROR(VLOOKUP(E1659,VOL_REC[],2,FALSE),0)</f>
        <v>0</v>
      </c>
      <c r="AV1659" s="246">
        <f>IFERROR(VLOOKUP(F1659,VOL_REC[],2,FALSE),0)</f>
        <v>11089674.200000001</v>
      </c>
      <c r="AW1659" s="246">
        <f>IFERROR(VLOOKUP(G1659,VOL_REC[],2,FALSE),0)</f>
        <v>90439.55</v>
      </c>
      <c r="AX1659" s="246">
        <f>IFERROR(VLOOKUP(H1659,VOL_REC[],2,FALSE),0)</f>
        <v>15540036.397699751</v>
      </c>
      <c r="AY1659" s="246">
        <f>IFERROR(VLOOKUP(I1659,VOL_REC[],2,FALSE),0)</f>
        <v>1812240</v>
      </c>
      <c r="AZ1659" s="246">
        <f>IFERROR(VLOOKUP(J1659,VOL_REC[],2,FALSE),0)</f>
        <v>663244.80000000016</v>
      </c>
      <c r="BA1659" s="246">
        <f>IFERROR(VLOOKUP(K1659,VOL_REC[],2,FALSE),0)</f>
        <v>17074.045034105649</v>
      </c>
      <c r="BB1659" s="246">
        <f>IFERROR(VLOOKUP(L1659,VOL_REC[],2,FALSE),0)</f>
        <v>105072</v>
      </c>
      <c r="BC1659" s="246">
        <f>IFERROR(VLOOKUP(M1659,VOL_REC[],2,FALSE),0)</f>
        <v>740113.98115702497</v>
      </c>
      <c r="BD1659" s="246">
        <f>IFERROR(VLOOKUP(N1659,VOL_REC[],2,FALSE),0)</f>
        <v>0</v>
      </c>
      <c r="BE1659" s="246">
        <f>IFERROR(VLOOKUP(O1659,VOL_REC[],2,FALSE),0)</f>
        <v>0</v>
      </c>
      <c r="BF1659" s="246">
        <f>IFERROR(VLOOKUP(P1659,VOL_REC[],2,FALSE),0)</f>
        <v>0</v>
      </c>
      <c r="BG1659" s="246">
        <f>IFERROR(VLOOKUP(Q1659,VOL_REC[],2,FALSE),0)</f>
        <v>0</v>
      </c>
      <c r="BH1659" s="1710">
        <f t="shared" si="100"/>
        <v>21256229321.857788</v>
      </c>
      <c r="BI1659" s="1710">
        <f t="shared" si="101"/>
        <v>21932111944.162056</v>
      </c>
      <c r="BJ1659" s="1711">
        <f t="shared" si="102"/>
        <v>30057894.973890882</v>
      </c>
      <c r="BK1659" s="1711">
        <f t="shared" si="103"/>
        <v>0.96918296678290594</v>
      </c>
    </row>
    <row r="1660" spans="3:67" x14ac:dyDescent="0.25">
      <c r="C1660" s="246" t="s">
        <v>3010</v>
      </c>
      <c r="D1660" s="246">
        <v>1</v>
      </c>
      <c r="E1660" s="246">
        <v>2</v>
      </c>
      <c r="F1660" s="246">
        <v>3</v>
      </c>
      <c r="G1660" s="246">
        <v>4</v>
      </c>
      <c r="H1660" s="246">
        <v>6</v>
      </c>
      <c r="I1660" s="246">
        <v>10</v>
      </c>
      <c r="J1660" s="246">
        <v>13</v>
      </c>
      <c r="K1660" s="246">
        <v>14</v>
      </c>
      <c r="L1660" s="246">
        <v>16</v>
      </c>
      <c r="M1660" s="246">
        <v>17</v>
      </c>
      <c r="N1660" s="246"/>
      <c r="O1660" s="246"/>
      <c r="P1660" s="246"/>
      <c r="Q1660" s="246"/>
      <c r="R1660" s="246">
        <f>IFERROR(VLOOKUP(D1660,PROGRAMAS[],2,FALSE),0)</f>
        <v>97037803.679377079</v>
      </c>
      <c r="S1660" s="246">
        <f>IFERROR(VLOOKUP(E1660,PROGRAMAS[],2,FALSE),0)</f>
        <v>640501509.6821388</v>
      </c>
      <c r="T1660" s="246">
        <f>IFERROR(VLOOKUP(F1660,PROGRAMAS[],2,FALSE),0)</f>
        <v>3062327798.1525245</v>
      </c>
      <c r="U1660" s="246">
        <f>IFERROR(VLOOKUP(G1660,PROGRAMAS[],2,FALSE),0)</f>
        <v>67697118.033011258</v>
      </c>
      <c r="V1660" s="246">
        <f>IFERROR(VLOOKUP(H1660,PROGRAMAS[],2,FALSE),0)</f>
        <v>6907648435.8447599</v>
      </c>
      <c r="W1660" s="246">
        <f>IFERROR(VLOOKUP(I1660,PROGRAMAS[],2,FALSE),0)</f>
        <v>4635315027.8751087</v>
      </c>
      <c r="X1660" s="246">
        <f>IFERROR(VLOOKUP(J1660,PROGRAMAS[],2,FALSE),0)</f>
        <v>3776538594.4604583</v>
      </c>
      <c r="Y1660" s="246">
        <f>IFERROR(VLOOKUP(K1660,PROGRAMAS[],2,FALSE),0)</f>
        <v>54223862.645839565</v>
      </c>
      <c r="Z1660" s="246">
        <f>IFERROR(VLOOKUP(L1660,PROGRAMAS[],2,FALSE),0)</f>
        <v>7068496961.0436354</v>
      </c>
      <c r="AA1660" s="246">
        <f>IFERROR(VLOOKUP(M1660,PROGRAMAS[],2,FALSE),0)</f>
        <v>1892779498.5211046</v>
      </c>
      <c r="AB1660" s="246">
        <f>IFERROR(VLOOKUP(N1660,PROGRAMAS[],2,FALSE),0)</f>
        <v>0</v>
      </c>
      <c r="AC1660" s="246">
        <f>IFERROR(VLOOKUP(O1660,PROGRAMAS[],2,FALSE),0)</f>
        <v>0</v>
      </c>
      <c r="AD1660" s="246">
        <f>IFERROR(VLOOKUP(P1660,PROGRAMAS[],2,FALSE),0)</f>
        <v>0</v>
      </c>
      <c r="AE1660" s="246">
        <f>IFERROR(VLOOKUP(Q1660,PROGRAMAS[],2,FALSE),0)</f>
        <v>0</v>
      </c>
      <c r="AF1660" s="246">
        <f>IFERROR(VLOOKUP(D1660,PROGRAMAS[],3,FALSE),0)</f>
        <v>841888629.31080008</v>
      </c>
      <c r="AG1660" s="246">
        <f>IFERROR(VLOOKUP(E1660,PROGRAMAS[],3,FALSE),0)</f>
        <v>3848980803.1642323</v>
      </c>
      <c r="AH1660" s="246">
        <f>IFERROR(VLOOKUP(F1660,PROGRAMAS[],3,FALSE),0)</f>
        <v>3394901471.387517</v>
      </c>
      <c r="AI1660" s="246">
        <f>IFERROR(VLOOKUP(G1660,PROGRAMAS[],3,FALSE),0)</f>
        <v>125317226.95549992</v>
      </c>
      <c r="AJ1660" s="246">
        <f>IFERROR(VLOOKUP(H1660,PROGRAMAS[],3,FALSE),0)</f>
        <v>6129902208.7912121</v>
      </c>
      <c r="AK1660" s="246">
        <f>IFERROR(VLOOKUP(I1660,PROGRAMAS[],3,FALSE),0)</f>
        <v>4099471734.9978786</v>
      </c>
      <c r="AL1660" s="246">
        <f>IFERROR(VLOOKUP(J1660,PROGRAMAS[],3,FALSE),0)</f>
        <v>2392571243.5584412</v>
      </c>
      <c r="AM1660" s="246">
        <f>IFERROR(VLOOKUP(K1660,PROGRAMAS[],3,FALSE),0)</f>
        <v>31865326.38096505</v>
      </c>
      <c r="AN1660" s="246">
        <f>IFERROR(VLOOKUP(L1660,PROGRAMAS[],3,FALSE),0)</f>
        <v>2406564599.0319901</v>
      </c>
      <c r="AO1660" s="246">
        <f>IFERROR(VLOOKUP(M1660,PROGRAMAS[],3,FALSE),0)</f>
        <v>948595847.09039903</v>
      </c>
      <c r="AP1660" s="246">
        <f>IFERROR(VLOOKUP(N1660,PROGRAMAS[],3,FALSE),0)</f>
        <v>0</v>
      </c>
      <c r="AQ1660" s="246">
        <f>IFERROR(VLOOKUP(O1660,PROGRAMAS[],3,FALSE),0)</f>
        <v>0</v>
      </c>
      <c r="AR1660" s="246">
        <f>IFERROR(VLOOKUP(P1660,PROGRAMAS[],3,FALSE),0)</f>
        <v>0</v>
      </c>
      <c r="AS1660" s="246">
        <f>IFERROR(VLOOKUP(Q1660,PROGRAMAS[],3,FALSE),0)</f>
        <v>0</v>
      </c>
      <c r="AT1660" s="246">
        <f>IFERROR(VLOOKUP(D1660,VOL_REC[],2,FALSE),0)</f>
        <v>0</v>
      </c>
      <c r="AU1660" s="246">
        <f>IFERROR(VLOOKUP(E1660,VOL_REC[],2,FALSE),0)</f>
        <v>0</v>
      </c>
      <c r="AV1660" s="246">
        <f>IFERROR(VLOOKUP(F1660,VOL_REC[],2,FALSE),0)</f>
        <v>11089674.200000001</v>
      </c>
      <c r="AW1660" s="246">
        <f>IFERROR(VLOOKUP(G1660,VOL_REC[],2,FALSE),0)</f>
        <v>90439.55</v>
      </c>
      <c r="AX1660" s="246">
        <f>IFERROR(VLOOKUP(H1660,VOL_REC[],2,FALSE),0)</f>
        <v>15540036.397699751</v>
      </c>
      <c r="AY1660" s="246">
        <f>IFERROR(VLOOKUP(I1660,VOL_REC[],2,FALSE),0)</f>
        <v>1812240</v>
      </c>
      <c r="AZ1660" s="246">
        <f>IFERROR(VLOOKUP(J1660,VOL_REC[],2,FALSE),0)</f>
        <v>663244.80000000016</v>
      </c>
      <c r="BA1660" s="246">
        <f>IFERROR(VLOOKUP(K1660,VOL_REC[],2,FALSE),0)</f>
        <v>17074.045034105649</v>
      </c>
      <c r="BB1660" s="246">
        <f>IFERROR(VLOOKUP(L1660,VOL_REC[],2,FALSE),0)</f>
        <v>1072354.9981737854</v>
      </c>
      <c r="BC1660" s="246">
        <f>IFERROR(VLOOKUP(M1660,VOL_REC[],2,FALSE),0)</f>
        <v>740113.98115702497</v>
      </c>
      <c r="BD1660" s="246">
        <f>IFERROR(VLOOKUP(N1660,VOL_REC[],2,FALSE),0)</f>
        <v>0</v>
      </c>
      <c r="BE1660" s="246">
        <f>IFERROR(VLOOKUP(O1660,VOL_REC[],2,FALSE),0)</f>
        <v>0</v>
      </c>
      <c r="BF1660" s="246">
        <f>IFERROR(VLOOKUP(P1660,VOL_REC[],2,FALSE),0)</f>
        <v>0</v>
      </c>
      <c r="BG1660" s="246">
        <f>IFERROR(VLOOKUP(Q1660,VOL_REC[],2,FALSE),0)</f>
        <v>0</v>
      </c>
      <c r="BH1660" s="1710">
        <f t="shared" si="100"/>
        <v>28202566609.937958</v>
      </c>
      <c r="BI1660" s="1710">
        <f t="shared" si="101"/>
        <v>24220059090.668938</v>
      </c>
      <c r="BJ1660" s="1711">
        <f t="shared" si="102"/>
        <v>31025177.972064666</v>
      </c>
      <c r="BK1660" s="1711">
        <f t="shared" si="103"/>
        <v>1.1644301322453556</v>
      </c>
      <c r="BL1660">
        <f>BJ1660</f>
        <v>31025177.972064666</v>
      </c>
      <c r="BO1660">
        <f>BL1660</f>
        <v>31025177.972064666</v>
      </c>
    </row>
    <row r="1661" spans="3:67" x14ac:dyDescent="0.25">
      <c r="C1661" s="246" t="s">
        <v>3011</v>
      </c>
      <c r="D1661" s="246">
        <v>1</v>
      </c>
      <c r="E1661" s="246">
        <v>2</v>
      </c>
      <c r="F1661" s="246">
        <v>3</v>
      </c>
      <c r="G1661" s="246">
        <v>4</v>
      </c>
      <c r="H1661" s="246">
        <v>6</v>
      </c>
      <c r="I1661" s="246">
        <v>10</v>
      </c>
      <c r="J1661" s="246">
        <v>13</v>
      </c>
      <c r="K1661" s="246">
        <v>15</v>
      </c>
      <c r="L1661" s="246">
        <v>16</v>
      </c>
      <c r="M1661" s="246">
        <v>17</v>
      </c>
      <c r="N1661" s="246"/>
      <c r="O1661" s="246"/>
      <c r="P1661" s="246"/>
      <c r="Q1661" s="246"/>
      <c r="R1661" s="246">
        <f>IFERROR(VLOOKUP(D1661,PROGRAMAS[],2,FALSE),0)</f>
        <v>97037803.679377079</v>
      </c>
      <c r="S1661" s="246">
        <f>IFERROR(VLOOKUP(E1661,PROGRAMAS[],2,FALSE),0)</f>
        <v>640501509.6821388</v>
      </c>
      <c r="T1661" s="246">
        <f>IFERROR(VLOOKUP(F1661,PROGRAMAS[],2,FALSE),0)</f>
        <v>3062327798.1525245</v>
      </c>
      <c r="U1661" s="246">
        <f>IFERROR(VLOOKUP(G1661,PROGRAMAS[],2,FALSE),0)</f>
        <v>67697118.033011258</v>
      </c>
      <c r="V1661" s="246">
        <f>IFERROR(VLOOKUP(H1661,PROGRAMAS[],2,FALSE),0)</f>
        <v>6907648435.8447599</v>
      </c>
      <c r="W1661" s="246">
        <f>IFERROR(VLOOKUP(I1661,PROGRAMAS[],2,FALSE),0)</f>
        <v>4635315027.8751087</v>
      </c>
      <c r="X1661" s="246">
        <f>IFERROR(VLOOKUP(J1661,PROGRAMAS[],2,FALSE),0)</f>
        <v>3776538594.4604583</v>
      </c>
      <c r="Y1661" s="246">
        <f>IFERROR(VLOOKUP(K1661,PROGRAMAS[],2,FALSE),0)</f>
        <v>122159672.96346797</v>
      </c>
      <c r="Z1661" s="246">
        <f>IFERROR(VLOOKUP(L1661,PROGRAMAS[],2,FALSE),0)</f>
        <v>7068496961.0436354</v>
      </c>
      <c r="AA1661" s="246">
        <f>IFERROR(VLOOKUP(M1661,PROGRAMAS[],2,FALSE),0)</f>
        <v>1892779498.5211046</v>
      </c>
      <c r="AB1661" s="246">
        <f>IFERROR(VLOOKUP(N1661,PROGRAMAS[],2,FALSE),0)</f>
        <v>0</v>
      </c>
      <c r="AC1661" s="246">
        <f>IFERROR(VLOOKUP(O1661,PROGRAMAS[],2,FALSE),0)</f>
        <v>0</v>
      </c>
      <c r="AD1661" s="246">
        <f>IFERROR(VLOOKUP(P1661,PROGRAMAS[],2,FALSE),0)</f>
        <v>0</v>
      </c>
      <c r="AE1661" s="246">
        <f>IFERROR(VLOOKUP(Q1661,PROGRAMAS[],2,FALSE),0)</f>
        <v>0</v>
      </c>
      <c r="AF1661" s="246">
        <f>IFERROR(VLOOKUP(D1661,PROGRAMAS[],3,FALSE),0)</f>
        <v>841888629.31080008</v>
      </c>
      <c r="AG1661" s="246">
        <f>IFERROR(VLOOKUP(E1661,PROGRAMAS[],3,FALSE),0)</f>
        <v>3848980803.1642323</v>
      </c>
      <c r="AH1661" s="246">
        <f>IFERROR(VLOOKUP(F1661,PROGRAMAS[],3,FALSE),0)</f>
        <v>3394901471.387517</v>
      </c>
      <c r="AI1661" s="246">
        <f>IFERROR(VLOOKUP(G1661,PROGRAMAS[],3,FALSE),0)</f>
        <v>125317226.95549992</v>
      </c>
      <c r="AJ1661" s="246">
        <f>IFERROR(VLOOKUP(H1661,PROGRAMAS[],3,FALSE),0)</f>
        <v>6129902208.7912121</v>
      </c>
      <c r="AK1661" s="246">
        <f>IFERROR(VLOOKUP(I1661,PROGRAMAS[],3,FALSE),0)</f>
        <v>4099471734.9978786</v>
      </c>
      <c r="AL1661" s="246">
        <f>IFERROR(VLOOKUP(J1661,PROGRAMAS[],3,FALSE),0)</f>
        <v>2392571243.5584412</v>
      </c>
      <c r="AM1661" s="246">
        <f>IFERROR(VLOOKUP(K1661,PROGRAMAS[],3,FALSE),0)</f>
        <v>118617452.52510804</v>
      </c>
      <c r="AN1661" s="246">
        <f>IFERROR(VLOOKUP(L1661,PROGRAMAS[],3,FALSE),0)</f>
        <v>2406564599.0319901</v>
      </c>
      <c r="AO1661" s="246">
        <f>IFERROR(VLOOKUP(M1661,PROGRAMAS[],3,FALSE),0)</f>
        <v>948595847.09039903</v>
      </c>
      <c r="AP1661" s="246">
        <f>IFERROR(VLOOKUP(N1661,PROGRAMAS[],3,FALSE),0)</f>
        <v>0</v>
      </c>
      <c r="AQ1661" s="246">
        <f>IFERROR(VLOOKUP(O1661,PROGRAMAS[],3,FALSE),0)</f>
        <v>0</v>
      </c>
      <c r="AR1661" s="246">
        <f>IFERROR(VLOOKUP(P1661,PROGRAMAS[],3,FALSE),0)</f>
        <v>0</v>
      </c>
      <c r="AS1661" s="246">
        <f>IFERROR(VLOOKUP(Q1661,PROGRAMAS[],3,FALSE),0)</f>
        <v>0</v>
      </c>
      <c r="AT1661" s="246">
        <f>IFERROR(VLOOKUP(D1661,VOL_REC[],2,FALSE),0)</f>
        <v>0</v>
      </c>
      <c r="AU1661" s="246">
        <f>IFERROR(VLOOKUP(E1661,VOL_REC[],2,FALSE),0)</f>
        <v>0</v>
      </c>
      <c r="AV1661" s="246">
        <f>IFERROR(VLOOKUP(F1661,VOL_REC[],2,FALSE),0)</f>
        <v>11089674.200000001</v>
      </c>
      <c r="AW1661" s="246">
        <f>IFERROR(VLOOKUP(G1661,VOL_REC[],2,FALSE),0)</f>
        <v>90439.55</v>
      </c>
      <c r="AX1661" s="246">
        <f>IFERROR(VLOOKUP(H1661,VOL_REC[],2,FALSE),0)</f>
        <v>15540036.397699751</v>
      </c>
      <c r="AY1661" s="246">
        <f>IFERROR(VLOOKUP(I1661,VOL_REC[],2,FALSE),0)</f>
        <v>1812240</v>
      </c>
      <c r="AZ1661" s="246">
        <f>IFERROR(VLOOKUP(J1661,VOL_REC[],2,FALSE),0)</f>
        <v>663244.80000000016</v>
      </c>
      <c r="BA1661" s="246">
        <f>IFERROR(VLOOKUP(K1661,VOL_REC[],2,FALSE),0)</f>
        <v>105072</v>
      </c>
      <c r="BB1661" s="246">
        <f>IFERROR(VLOOKUP(L1661,VOL_REC[],2,FALSE),0)</f>
        <v>1072354.9981737854</v>
      </c>
      <c r="BC1661" s="246">
        <f>IFERROR(VLOOKUP(M1661,VOL_REC[],2,FALSE),0)</f>
        <v>740113.98115702497</v>
      </c>
      <c r="BD1661" s="246">
        <f>IFERROR(VLOOKUP(N1661,VOL_REC[],2,FALSE),0)</f>
        <v>0</v>
      </c>
      <c r="BE1661" s="246">
        <f>IFERROR(VLOOKUP(O1661,VOL_REC[],2,FALSE),0)</f>
        <v>0</v>
      </c>
      <c r="BF1661" s="246">
        <f>IFERROR(VLOOKUP(P1661,VOL_REC[],2,FALSE),0)</f>
        <v>0</v>
      </c>
      <c r="BG1661" s="246">
        <f>IFERROR(VLOOKUP(Q1661,VOL_REC[],2,FALSE),0)</f>
        <v>0</v>
      </c>
      <c r="BH1661" s="1710">
        <f t="shared" si="100"/>
        <v>28270502420.255585</v>
      </c>
      <c r="BI1661" s="1710">
        <f t="shared" si="101"/>
        <v>24306811216.81308</v>
      </c>
      <c r="BJ1661" s="1711">
        <f t="shared" si="102"/>
        <v>31113175.92703056</v>
      </c>
      <c r="BK1661" s="1711">
        <f t="shared" si="103"/>
        <v>1.1630691565457509</v>
      </c>
      <c r="BL1661">
        <f>BJ1661</f>
        <v>31113175.92703056</v>
      </c>
      <c r="BO1661">
        <f>BL1661</f>
        <v>31113175.92703056</v>
      </c>
    </row>
    <row r="1662" spans="3:67" x14ac:dyDescent="0.25">
      <c r="C1662" s="246" t="s">
        <v>3012</v>
      </c>
      <c r="D1662" s="246">
        <v>1</v>
      </c>
      <c r="E1662" s="246">
        <v>2</v>
      </c>
      <c r="F1662" s="246">
        <v>3</v>
      </c>
      <c r="G1662" s="246">
        <v>4</v>
      </c>
      <c r="H1662" s="246">
        <v>6</v>
      </c>
      <c r="I1662" s="246">
        <v>10</v>
      </c>
      <c r="J1662" s="246">
        <v>14</v>
      </c>
      <c r="K1662" s="246">
        <v>15</v>
      </c>
      <c r="L1662" s="246">
        <v>16</v>
      </c>
      <c r="M1662" s="246">
        <v>17</v>
      </c>
      <c r="N1662" s="246"/>
      <c r="O1662" s="246"/>
      <c r="P1662" s="246"/>
      <c r="Q1662" s="246"/>
      <c r="R1662" s="246">
        <f>IFERROR(VLOOKUP(D1662,PROGRAMAS[],2,FALSE),0)</f>
        <v>97037803.679377079</v>
      </c>
      <c r="S1662" s="246">
        <f>IFERROR(VLOOKUP(E1662,PROGRAMAS[],2,FALSE),0)</f>
        <v>640501509.6821388</v>
      </c>
      <c r="T1662" s="246">
        <f>IFERROR(VLOOKUP(F1662,PROGRAMAS[],2,FALSE),0)</f>
        <v>3062327798.1525245</v>
      </c>
      <c r="U1662" s="246">
        <f>IFERROR(VLOOKUP(G1662,PROGRAMAS[],2,FALSE),0)</f>
        <v>67697118.033011258</v>
      </c>
      <c r="V1662" s="246">
        <f>IFERROR(VLOOKUP(H1662,PROGRAMAS[],2,FALSE),0)</f>
        <v>6907648435.8447599</v>
      </c>
      <c r="W1662" s="246">
        <f>IFERROR(VLOOKUP(I1662,PROGRAMAS[],2,FALSE),0)</f>
        <v>4635315027.8751087</v>
      </c>
      <c r="X1662" s="246">
        <f>IFERROR(VLOOKUP(J1662,PROGRAMAS[],2,FALSE),0)</f>
        <v>54223862.645839565</v>
      </c>
      <c r="Y1662" s="246">
        <f>IFERROR(VLOOKUP(K1662,PROGRAMAS[],2,FALSE),0)</f>
        <v>122159672.96346797</v>
      </c>
      <c r="Z1662" s="246">
        <f>IFERROR(VLOOKUP(L1662,PROGRAMAS[],2,FALSE),0)</f>
        <v>7068496961.0436354</v>
      </c>
      <c r="AA1662" s="246">
        <f>IFERROR(VLOOKUP(M1662,PROGRAMAS[],2,FALSE),0)</f>
        <v>1892779498.5211046</v>
      </c>
      <c r="AB1662" s="246">
        <f>IFERROR(VLOOKUP(N1662,PROGRAMAS[],2,FALSE),0)</f>
        <v>0</v>
      </c>
      <c r="AC1662" s="246">
        <f>IFERROR(VLOOKUP(O1662,PROGRAMAS[],2,FALSE),0)</f>
        <v>0</v>
      </c>
      <c r="AD1662" s="246">
        <f>IFERROR(VLOOKUP(P1662,PROGRAMAS[],2,FALSE),0)</f>
        <v>0</v>
      </c>
      <c r="AE1662" s="246">
        <f>IFERROR(VLOOKUP(Q1662,PROGRAMAS[],2,FALSE),0)</f>
        <v>0</v>
      </c>
      <c r="AF1662" s="246">
        <f>IFERROR(VLOOKUP(D1662,PROGRAMAS[],3,FALSE),0)</f>
        <v>841888629.31080008</v>
      </c>
      <c r="AG1662" s="246">
        <f>IFERROR(VLOOKUP(E1662,PROGRAMAS[],3,FALSE),0)</f>
        <v>3848980803.1642323</v>
      </c>
      <c r="AH1662" s="246">
        <f>IFERROR(VLOOKUP(F1662,PROGRAMAS[],3,FALSE),0)</f>
        <v>3394901471.387517</v>
      </c>
      <c r="AI1662" s="246">
        <f>IFERROR(VLOOKUP(G1662,PROGRAMAS[],3,FALSE),0)</f>
        <v>125317226.95549992</v>
      </c>
      <c r="AJ1662" s="246">
        <f>IFERROR(VLOOKUP(H1662,PROGRAMAS[],3,FALSE),0)</f>
        <v>6129902208.7912121</v>
      </c>
      <c r="AK1662" s="246">
        <f>IFERROR(VLOOKUP(I1662,PROGRAMAS[],3,FALSE),0)</f>
        <v>4099471734.9978786</v>
      </c>
      <c r="AL1662" s="246">
        <f>IFERROR(VLOOKUP(J1662,PROGRAMAS[],3,FALSE),0)</f>
        <v>31865326.38096505</v>
      </c>
      <c r="AM1662" s="246">
        <f>IFERROR(VLOOKUP(K1662,PROGRAMAS[],3,FALSE),0)</f>
        <v>118617452.52510804</v>
      </c>
      <c r="AN1662" s="246">
        <f>IFERROR(VLOOKUP(L1662,PROGRAMAS[],3,FALSE),0)</f>
        <v>2406564599.0319901</v>
      </c>
      <c r="AO1662" s="246">
        <f>IFERROR(VLOOKUP(M1662,PROGRAMAS[],3,FALSE),0)</f>
        <v>948595847.09039903</v>
      </c>
      <c r="AP1662" s="246">
        <f>IFERROR(VLOOKUP(N1662,PROGRAMAS[],3,FALSE),0)</f>
        <v>0</v>
      </c>
      <c r="AQ1662" s="246">
        <f>IFERROR(VLOOKUP(O1662,PROGRAMAS[],3,FALSE),0)</f>
        <v>0</v>
      </c>
      <c r="AR1662" s="246">
        <f>IFERROR(VLOOKUP(P1662,PROGRAMAS[],3,FALSE),0)</f>
        <v>0</v>
      </c>
      <c r="AS1662" s="246">
        <f>IFERROR(VLOOKUP(Q1662,PROGRAMAS[],3,FALSE),0)</f>
        <v>0</v>
      </c>
      <c r="AT1662" s="246">
        <f>IFERROR(VLOOKUP(D1662,VOL_REC[],2,FALSE),0)</f>
        <v>0</v>
      </c>
      <c r="AU1662" s="246">
        <f>IFERROR(VLOOKUP(E1662,VOL_REC[],2,FALSE),0)</f>
        <v>0</v>
      </c>
      <c r="AV1662" s="246">
        <f>IFERROR(VLOOKUP(F1662,VOL_REC[],2,FALSE),0)</f>
        <v>11089674.200000001</v>
      </c>
      <c r="AW1662" s="246">
        <f>IFERROR(VLOOKUP(G1662,VOL_REC[],2,FALSE),0)</f>
        <v>90439.55</v>
      </c>
      <c r="AX1662" s="246">
        <f>IFERROR(VLOOKUP(H1662,VOL_REC[],2,FALSE),0)</f>
        <v>15540036.397699751</v>
      </c>
      <c r="AY1662" s="246">
        <f>IFERROR(VLOOKUP(I1662,VOL_REC[],2,FALSE),0)</f>
        <v>1812240</v>
      </c>
      <c r="AZ1662" s="246">
        <f>IFERROR(VLOOKUP(J1662,VOL_REC[],2,FALSE),0)</f>
        <v>17074.045034105649</v>
      </c>
      <c r="BA1662" s="246">
        <f>IFERROR(VLOOKUP(K1662,VOL_REC[],2,FALSE),0)</f>
        <v>105072</v>
      </c>
      <c r="BB1662" s="246">
        <f>IFERROR(VLOOKUP(L1662,VOL_REC[],2,FALSE),0)</f>
        <v>1072354.9981737854</v>
      </c>
      <c r="BC1662" s="246">
        <f>IFERROR(VLOOKUP(M1662,VOL_REC[],2,FALSE),0)</f>
        <v>740113.98115702497</v>
      </c>
      <c r="BD1662" s="246">
        <f>IFERROR(VLOOKUP(N1662,VOL_REC[],2,FALSE),0)</f>
        <v>0</v>
      </c>
      <c r="BE1662" s="246">
        <f>IFERROR(VLOOKUP(O1662,VOL_REC[],2,FALSE),0)</f>
        <v>0</v>
      </c>
      <c r="BF1662" s="246">
        <f>IFERROR(VLOOKUP(P1662,VOL_REC[],2,FALSE),0)</f>
        <v>0</v>
      </c>
      <c r="BG1662" s="246">
        <f>IFERROR(VLOOKUP(Q1662,VOL_REC[],2,FALSE),0)</f>
        <v>0</v>
      </c>
      <c r="BH1662" s="1710">
        <f t="shared" si="100"/>
        <v>24548187688.440968</v>
      </c>
      <c r="BI1662" s="1710">
        <f t="shared" si="101"/>
        <v>21946105299.635605</v>
      </c>
      <c r="BJ1662" s="1711">
        <f t="shared" si="102"/>
        <v>30467005.172064666</v>
      </c>
      <c r="BK1662" s="1711">
        <f t="shared" si="103"/>
        <v>1.1185669326415093</v>
      </c>
      <c r="BL1662">
        <f>BJ1662</f>
        <v>30467005.172064666</v>
      </c>
      <c r="BO1662">
        <f>BL1662</f>
        <v>30467005.172064666</v>
      </c>
    </row>
    <row r="1663" spans="3:67" x14ac:dyDescent="0.25">
      <c r="C1663" s="246" t="s">
        <v>3013</v>
      </c>
      <c r="D1663" s="246">
        <v>1</v>
      </c>
      <c r="E1663" s="246">
        <v>2</v>
      </c>
      <c r="F1663" s="246">
        <v>3</v>
      </c>
      <c r="G1663" s="246">
        <v>4</v>
      </c>
      <c r="H1663" s="246">
        <v>6</v>
      </c>
      <c r="I1663" s="246">
        <v>12</v>
      </c>
      <c r="J1663" s="246">
        <v>13</v>
      </c>
      <c r="K1663" s="246">
        <v>14</v>
      </c>
      <c r="L1663" s="246">
        <v>15</v>
      </c>
      <c r="M1663" s="246">
        <v>16</v>
      </c>
      <c r="N1663" s="246"/>
      <c r="O1663" s="246"/>
      <c r="P1663" s="246"/>
      <c r="Q1663" s="246"/>
      <c r="R1663" s="246">
        <f>IFERROR(VLOOKUP(D1663,PROGRAMAS[],2,FALSE),0)</f>
        <v>97037803.679377079</v>
      </c>
      <c r="S1663" s="246">
        <f>IFERROR(VLOOKUP(E1663,PROGRAMAS[],2,FALSE),0)</f>
        <v>640501509.6821388</v>
      </c>
      <c r="T1663" s="246">
        <f>IFERROR(VLOOKUP(F1663,PROGRAMAS[],2,FALSE),0)</f>
        <v>3062327798.1525245</v>
      </c>
      <c r="U1663" s="246">
        <f>IFERROR(VLOOKUP(G1663,PROGRAMAS[],2,FALSE),0)</f>
        <v>67697118.033011258</v>
      </c>
      <c r="V1663" s="246">
        <f>IFERROR(VLOOKUP(H1663,PROGRAMAS[],2,FALSE),0)</f>
        <v>6907648435.8447599</v>
      </c>
      <c r="W1663" s="246">
        <f>IFERROR(VLOOKUP(I1663,PROGRAMAS[],2,FALSE),0)</f>
        <v>764796700.79905891</v>
      </c>
      <c r="X1663" s="246">
        <f>IFERROR(VLOOKUP(J1663,PROGRAMAS[],2,FALSE),0)</f>
        <v>3776538594.4604583</v>
      </c>
      <c r="Y1663" s="246">
        <f>IFERROR(VLOOKUP(K1663,PROGRAMAS[],2,FALSE),0)</f>
        <v>54223862.645839565</v>
      </c>
      <c r="Z1663" s="246">
        <f>IFERROR(VLOOKUP(L1663,PROGRAMAS[],2,FALSE),0)</f>
        <v>122159672.96346797</v>
      </c>
      <c r="AA1663" s="246">
        <f>IFERROR(VLOOKUP(M1663,PROGRAMAS[],2,FALSE),0)</f>
        <v>7068496961.0436354</v>
      </c>
      <c r="AB1663" s="246">
        <f>IFERROR(VLOOKUP(N1663,PROGRAMAS[],2,FALSE),0)</f>
        <v>0</v>
      </c>
      <c r="AC1663" s="246">
        <f>IFERROR(VLOOKUP(O1663,PROGRAMAS[],2,FALSE),0)</f>
        <v>0</v>
      </c>
      <c r="AD1663" s="246">
        <f>IFERROR(VLOOKUP(P1663,PROGRAMAS[],2,FALSE),0)</f>
        <v>0</v>
      </c>
      <c r="AE1663" s="246">
        <f>IFERROR(VLOOKUP(Q1663,PROGRAMAS[],2,FALSE),0)</f>
        <v>0</v>
      </c>
      <c r="AF1663" s="246">
        <f>IFERROR(VLOOKUP(D1663,PROGRAMAS[],3,FALSE),0)</f>
        <v>841888629.31080008</v>
      </c>
      <c r="AG1663" s="246">
        <f>IFERROR(VLOOKUP(E1663,PROGRAMAS[],3,FALSE),0)</f>
        <v>3848980803.1642323</v>
      </c>
      <c r="AH1663" s="246">
        <f>IFERROR(VLOOKUP(F1663,PROGRAMAS[],3,FALSE),0)</f>
        <v>3394901471.387517</v>
      </c>
      <c r="AI1663" s="246">
        <f>IFERROR(VLOOKUP(G1663,PROGRAMAS[],3,FALSE),0)</f>
        <v>125317226.95549992</v>
      </c>
      <c r="AJ1663" s="246">
        <f>IFERROR(VLOOKUP(H1663,PROGRAMAS[],3,FALSE),0)</f>
        <v>6129902208.7912121</v>
      </c>
      <c r="AK1663" s="246">
        <f>IFERROR(VLOOKUP(I1663,PROGRAMAS[],3,FALSE),0)</f>
        <v>675517840.109828</v>
      </c>
      <c r="AL1663" s="246">
        <f>IFERROR(VLOOKUP(J1663,PROGRAMAS[],3,FALSE),0)</f>
        <v>2392571243.5584412</v>
      </c>
      <c r="AM1663" s="246">
        <f>IFERROR(VLOOKUP(K1663,PROGRAMAS[],3,FALSE),0)</f>
        <v>31865326.38096505</v>
      </c>
      <c r="AN1663" s="246">
        <f>IFERROR(VLOOKUP(L1663,PROGRAMAS[],3,FALSE),0)</f>
        <v>118617452.52510804</v>
      </c>
      <c r="AO1663" s="246">
        <f>IFERROR(VLOOKUP(M1663,PROGRAMAS[],3,FALSE),0)</f>
        <v>2406564599.0319901</v>
      </c>
      <c r="AP1663" s="246">
        <f>IFERROR(VLOOKUP(N1663,PROGRAMAS[],3,FALSE),0)</f>
        <v>0</v>
      </c>
      <c r="AQ1663" s="246">
        <f>IFERROR(VLOOKUP(O1663,PROGRAMAS[],3,FALSE),0)</f>
        <v>0</v>
      </c>
      <c r="AR1663" s="246">
        <f>IFERROR(VLOOKUP(P1663,PROGRAMAS[],3,FALSE),0)</f>
        <v>0</v>
      </c>
      <c r="AS1663" s="246">
        <f>IFERROR(VLOOKUP(Q1663,PROGRAMAS[],3,FALSE),0)</f>
        <v>0</v>
      </c>
      <c r="AT1663" s="246">
        <f>IFERROR(VLOOKUP(D1663,VOL_REC[],2,FALSE),0)</f>
        <v>0</v>
      </c>
      <c r="AU1663" s="246">
        <f>IFERROR(VLOOKUP(E1663,VOL_REC[],2,FALSE),0)</f>
        <v>0</v>
      </c>
      <c r="AV1663" s="246">
        <f>IFERROR(VLOOKUP(F1663,VOL_REC[],2,FALSE),0)</f>
        <v>11089674.200000001</v>
      </c>
      <c r="AW1663" s="246">
        <f>IFERROR(VLOOKUP(G1663,VOL_REC[],2,FALSE),0)</f>
        <v>90439.55</v>
      </c>
      <c r="AX1663" s="246">
        <f>IFERROR(VLOOKUP(H1663,VOL_REC[],2,FALSE),0)</f>
        <v>15540036.397699751</v>
      </c>
      <c r="AY1663" s="246">
        <f>IFERROR(VLOOKUP(I1663,VOL_REC[],2,FALSE),0)</f>
        <v>240696.79238099116</v>
      </c>
      <c r="AZ1663" s="246">
        <f>IFERROR(VLOOKUP(J1663,VOL_REC[],2,FALSE),0)</f>
        <v>663244.80000000016</v>
      </c>
      <c r="BA1663" s="246">
        <f>IFERROR(VLOOKUP(K1663,VOL_REC[],2,FALSE),0)</f>
        <v>17074.045034105649</v>
      </c>
      <c r="BB1663" s="246">
        <f>IFERROR(VLOOKUP(L1663,VOL_REC[],2,FALSE),0)</f>
        <v>105072</v>
      </c>
      <c r="BC1663" s="246">
        <f>IFERROR(VLOOKUP(M1663,VOL_REC[],2,FALSE),0)</f>
        <v>1072354.9981737854</v>
      </c>
      <c r="BD1663" s="246">
        <f>IFERROR(VLOOKUP(N1663,VOL_REC[],2,FALSE),0)</f>
        <v>0</v>
      </c>
      <c r="BE1663" s="246">
        <f>IFERROR(VLOOKUP(O1663,VOL_REC[],2,FALSE),0)</f>
        <v>0</v>
      </c>
      <c r="BF1663" s="246">
        <f>IFERROR(VLOOKUP(P1663,VOL_REC[],2,FALSE),0)</f>
        <v>0</v>
      </c>
      <c r="BG1663" s="246">
        <f>IFERROR(VLOOKUP(Q1663,VOL_REC[],2,FALSE),0)</f>
        <v>0</v>
      </c>
      <c r="BH1663" s="1710">
        <f t="shared" si="100"/>
        <v>22561428457.304272</v>
      </c>
      <c r="BI1663" s="1710">
        <f t="shared" si="101"/>
        <v>19966126801.215595</v>
      </c>
      <c r="BJ1663" s="1711">
        <f t="shared" si="102"/>
        <v>28818592.783288635</v>
      </c>
      <c r="BK1663" s="1711">
        <f t="shared" si="103"/>
        <v>1.1299852335872507</v>
      </c>
      <c r="BL1663">
        <f>BJ1663</f>
        <v>28818592.783288635</v>
      </c>
      <c r="BO1663">
        <f>BL1663</f>
        <v>28818592.783288635</v>
      </c>
    </row>
    <row r="1664" spans="3:67" x14ac:dyDescent="0.25">
      <c r="C1664" s="246" t="s">
        <v>3014</v>
      </c>
      <c r="D1664" s="246">
        <v>1</v>
      </c>
      <c r="E1664" s="246">
        <v>2</v>
      </c>
      <c r="F1664" s="246">
        <v>3</v>
      </c>
      <c r="G1664" s="246">
        <v>4</v>
      </c>
      <c r="H1664" s="246">
        <v>6</v>
      </c>
      <c r="I1664" s="246">
        <v>12</v>
      </c>
      <c r="J1664" s="246">
        <v>13</v>
      </c>
      <c r="K1664" s="246">
        <v>14</v>
      </c>
      <c r="L1664" s="246">
        <v>15</v>
      </c>
      <c r="M1664" s="246">
        <v>17</v>
      </c>
      <c r="N1664" s="246"/>
      <c r="O1664" s="246"/>
      <c r="P1664" s="246"/>
      <c r="Q1664" s="246"/>
      <c r="R1664" s="246">
        <f>IFERROR(VLOOKUP(D1664,PROGRAMAS[],2,FALSE),0)</f>
        <v>97037803.679377079</v>
      </c>
      <c r="S1664" s="246">
        <f>IFERROR(VLOOKUP(E1664,PROGRAMAS[],2,FALSE),0)</f>
        <v>640501509.6821388</v>
      </c>
      <c r="T1664" s="246">
        <f>IFERROR(VLOOKUP(F1664,PROGRAMAS[],2,FALSE),0)</f>
        <v>3062327798.1525245</v>
      </c>
      <c r="U1664" s="246">
        <f>IFERROR(VLOOKUP(G1664,PROGRAMAS[],2,FALSE),0)</f>
        <v>67697118.033011258</v>
      </c>
      <c r="V1664" s="246">
        <f>IFERROR(VLOOKUP(H1664,PROGRAMAS[],2,FALSE),0)</f>
        <v>6907648435.8447599</v>
      </c>
      <c r="W1664" s="246">
        <f>IFERROR(VLOOKUP(I1664,PROGRAMAS[],2,FALSE),0)</f>
        <v>764796700.79905891</v>
      </c>
      <c r="X1664" s="246">
        <f>IFERROR(VLOOKUP(J1664,PROGRAMAS[],2,FALSE),0)</f>
        <v>3776538594.4604583</v>
      </c>
      <c r="Y1664" s="246">
        <f>IFERROR(VLOOKUP(K1664,PROGRAMAS[],2,FALSE),0)</f>
        <v>54223862.645839565</v>
      </c>
      <c r="Z1664" s="246">
        <f>IFERROR(VLOOKUP(L1664,PROGRAMAS[],2,FALSE),0)</f>
        <v>122159672.96346797</v>
      </c>
      <c r="AA1664" s="246">
        <f>IFERROR(VLOOKUP(M1664,PROGRAMAS[],2,FALSE),0)</f>
        <v>1892779498.5211046</v>
      </c>
      <c r="AB1664" s="246">
        <f>IFERROR(VLOOKUP(N1664,PROGRAMAS[],2,FALSE),0)</f>
        <v>0</v>
      </c>
      <c r="AC1664" s="246">
        <f>IFERROR(VLOOKUP(O1664,PROGRAMAS[],2,FALSE),0)</f>
        <v>0</v>
      </c>
      <c r="AD1664" s="246">
        <f>IFERROR(VLOOKUP(P1664,PROGRAMAS[],2,FALSE),0)</f>
        <v>0</v>
      </c>
      <c r="AE1664" s="246">
        <f>IFERROR(VLOOKUP(Q1664,PROGRAMAS[],2,FALSE),0)</f>
        <v>0</v>
      </c>
      <c r="AF1664" s="246">
        <f>IFERROR(VLOOKUP(D1664,PROGRAMAS[],3,FALSE),0)</f>
        <v>841888629.31080008</v>
      </c>
      <c r="AG1664" s="246">
        <f>IFERROR(VLOOKUP(E1664,PROGRAMAS[],3,FALSE),0)</f>
        <v>3848980803.1642323</v>
      </c>
      <c r="AH1664" s="246">
        <f>IFERROR(VLOOKUP(F1664,PROGRAMAS[],3,FALSE),0)</f>
        <v>3394901471.387517</v>
      </c>
      <c r="AI1664" s="246">
        <f>IFERROR(VLOOKUP(G1664,PROGRAMAS[],3,FALSE),0)</f>
        <v>125317226.95549992</v>
      </c>
      <c r="AJ1664" s="246">
        <f>IFERROR(VLOOKUP(H1664,PROGRAMAS[],3,FALSE),0)</f>
        <v>6129902208.7912121</v>
      </c>
      <c r="AK1664" s="246">
        <f>IFERROR(VLOOKUP(I1664,PROGRAMAS[],3,FALSE),0)</f>
        <v>675517840.109828</v>
      </c>
      <c r="AL1664" s="246">
        <f>IFERROR(VLOOKUP(J1664,PROGRAMAS[],3,FALSE),0)</f>
        <v>2392571243.5584412</v>
      </c>
      <c r="AM1664" s="246">
        <f>IFERROR(VLOOKUP(K1664,PROGRAMAS[],3,FALSE),0)</f>
        <v>31865326.38096505</v>
      </c>
      <c r="AN1664" s="246">
        <f>IFERROR(VLOOKUP(L1664,PROGRAMAS[],3,FALSE),0)</f>
        <v>118617452.52510804</v>
      </c>
      <c r="AO1664" s="246">
        <f>IFERROR(VLOOKUP(M1664,PROGRAMAS[],3,FALSE),0)</f>
        <v>948595847.09039903</v>
      </c>
      <c r="AP1664" s="246">
        <f>IFERROR(VLOOKUP(N1664,PROGRAMAS[],3,FALSE),0)</f>
        <v>0</v>
      </c>
      <c r="AQ1664" s="246">
        <f>IFERROR(VLOOKUP(O1664,PROGRAMAS[],3,FALSE),0)</f>
        <v>0</v>
      </c>
      <c r="AR1664" s="246">
        <f>IFERROR(VLOOKUP(P1664,PROGRAMAS[],3,FALSE),0)</f>
        <v>0</v>
      </c>
      <c r="AS1664" s="246">
        <f>IFERROR(VLOOKUP(Q1664,PROGRAMAS[],3,FALSE),0)</f>
        <v>0</v>
      </c>
      <c r="AT1664" s="246">
        <f>IFERROR(VLOOKUP(D1664,VOL_REC[],2,FALSE),0)</f>
        <v>0</v>
      </c>
      <c r="AU1664" s="246">
        <f>IFERROR(VLOOKUP(E1664,VOL_REC[],2,FALSE),0)</f>
        <v>0</v>
      </c>
      <c r="AV1664" s="246">
        <f>IFERROR(VLOOKUP(F1664,VOL_REC[],2,FALSE),0)</f>
        <v>11089674.200000001</v>
      </c>
      <c r="AW1664" s="246">
        <f>IFERROR(VLOOKUP(G1664,VOL_REC[],2,FALSE),0)</f>
        <v>90439.55</v>
      </c>
      <c r="AX1664" s="246">
        <f>IFERROR(VLOOKUP(H1664,VOL_REC[],2,FALSE),0)</f>
        <v>15540036.397699751</v>
      </c>
      <c r="AY1664" s="246">
        <f>IFERROR(VLOOKUP(I1664,VOL_REC[],2,FALSE),0)</f>
        <v>240696.79238099116</v>
      </c>
      <c r="AZ1664" s="246">
        <f>IFERROR(VLOOKUP(J1664,VOL_REC[],2,FALSE),0)</f>
        <v>663244.80000000016</v>
      </c>
      <c r="BA1664" s="246">
        <f>IFERROR(VLOOKUP(K1664,VOL_REC[],2,FALSE),0)</f>
        <v>17074.045034105649</v>
      </c>
      <c r="BB1664" s="246">
        <f>IFERROR(VLOOKUP(L1664,VOL_REC[],2,FALSE),0)</f>
        <v>105072</v>
      </c>
      <c r="BC1664" s="246">
        <f>IFERROR(VLOOKUP(M1664,VOL_REC[],2,FALSE),0)</f>
        <v>740113.98115702497</v>
      </c>
      <c r="BD1664" s="246">
        <f>IFERROR(VLOOKUP(N1664,VOL_REC[],2,FALSE),0)</f>
        <v>0</v>
      </c>
      <c r="BE1664" s="246">
        <f>IFERROR(VLOOKUP(O1664,VOL_REC[],2,FALSE),0)</f>
        <v>0</v>
      </c>
      <c r="BF1664" s="246">
        <f>IFERROR(VLOOKUP(P1664,VOL_REC[],2,FALSE),0)</f>
        <v>0</v>
      </c>
      <c r="BG1664" s="246">
        <f>IFERROR(VLOOKUP(Q1664,VOL_REC[],2,FALSE),0)</f>
        <v>0</v>
      </c>
      <c r="BH1664" s="1710">
        <f t="shared" si="100"/>
        <v>17385710994.781742</v>
      </c>
      <c r="BI1664" s="1710">
        <f t="shared" si="101"/>
        <v>18508158049.274006</v>
      </c>
      <c r="BJ1664" s="1711">
        <f t="shared" si="102"/>
        <v>28486351.766271874</v>
      </c>
      <c r="BK1664" s="1711">
        <f t="shared" si="103"/>
        <v>0.9393539296831166</v>
      </c>
    </row>
    <row r="1665" spans="3:67" x14ac:dyDescent="0.25">
      <c r="C1665" s="246" t="s">
        <v>3015</v>
      </c>
      <c r="D1665" s="246">
        <v>1</v>
      </c>
      <c r="E1665" s="246">
        <v>2</v>
      </c>
      <c r="F1665" s="246">
        <v>3</v>
      </c>
      <c r="G1665" s="246">
        <v>4</v>
      </c>
      <c r="H1665" s="246">
        <v>6</v>
      </c>
      <c r="I1665" s="246">
        <v>12</v>
      </c>
      <c r="J1665" s="246">
        <v>13</v>
      </c>
      <c r="K1665" s="246">
        <v>14</v>
      </c>
      <c r="L1665" s="246">
        <v>16</v>
      </c>
      <c r="M1665" s="246">
        <v>17</v>
      </c>
      <c r="N1665" s="246"/>
      <c r="O1665" s="246"/>
      <c r="P1665" s="246"/>
      <c r="Q1665" s="246"/>
      <c r="R1665" s="246">
        <f>IFERROR(VLOOKUP(D1665,PROGRAMAS[],2,FALSE),0)</f>
        <v>97037803.679377079</v>
      </c>
      <c r="S1665" s="246">
        <f>IFERROR(VLOOKUP(E1665,PROGRAMAS[],2,FALSE),0)</f>
        <v>640501509.6821388</v>
      </c>
      <c r="T1665" s="246">
        <f>IFERROR(VLOOKUP(F1665,PROGRAMAS[],2,FALSE),0)</f>
        <v>3062327798.1525245</v>
      </c>
      <c r="U1665" s="246">
        <f>IFERROR(VLOOKUP(G1665,PROGRAMAS[],2,FALSE),0)</f>
        <v>67697118.033011258</v>
      </c>
      <c r="V1665" s="246">
        <f>IFERROR(VLOOKUP(H1665,PROGRAMAS[],2,FALSE),0)</f>
        <v>6907648435.8447599</v>
      </c>
      <c r="W1665" s="246">
        <f>IFERROR(VLOOKUP(I1665,PROGRAMAS[],2,FALSE),0)</f>
        <v>764796700.79905891</v>
      </c>
      <c r="X1665" s="246">
        <f>IFERROR(VLOOKUP(J1665,PROGRAMAS[],2,FALSE),0)</f>
        <v>3776538594.4604583</v>
      </c>
      <c r="Y1665" s="246">
        <f>IFERROR(VLOOKUP(K1665,PROGRAMAS[],2,FALSE),0)</f>
        <v>54223862.645839565</v>
      </c>
      <c r="Z1665" s="246">
        <f>IFERROR(VLOOKUP(L1665,PROGRAMAS[],2,FALSE),0)</f>
        <v>7068496961.0436354</v>
      </c>
      <c r="AA1665" s="246">
        <f>IFERROR(VLOOKUP(M1665,PROGRAMAS[],2,FALSE),0)</f>
        <v>1892779498.5211046</v>
      </c>
      <c r="AB1665" s="246">
        <f>IFERROR(VLOOKUP(N1665,PROGRAMAS[],2,FALSE),0)</f>
        <v>0</v>
      </c>
      <c r="AC1665" s="246">
        <f>IFERROR(VLOOKUP(O1665,PROGRAMAS[],2,FALSE),0)</f>
        <v>0</v>
      </c>
      <c r="AD1665" s="246">
        <f>IFERROR(VLOOKUP(P1665,PROGRAMAS[],2,FALSE),0)</f>
        <v>0</v>
      </c>
      <c r="AE1665" s="246">
        <f>IFERROR(VLOOKUP(Q1665,PROGRAMAS[],2,FALSE),0)</f>
        <v>0</v>
      </c>
      <c r="AF1665" s="246">
        <f>IFERROR(VLOOKUP(D1665,PROGRAMAS[],3,FALSE),0)</f>
        <v>841888629.31080008</v>
      </c>
      <c r="AG1665" s="246">
        <f>IFERROR(VLOOKUP(E1665,PROGRAMAS[],3,FALSE),0)</f>
        <v>3848980803.1642323</v>
      </c>
      <c r="AH1665" s="246">
        <f>IFERROR(VLOOKUP(F1665,PROGRAMAS[],3,FALSE),0)</f>
        <v>3394901471.387517</v>
      </c>
      <c r="AI1665" s="246">
        <f>IFERROR(VLOOKUP(G1665,PROGRAMAS[],3,FALSE),0)</f>
        <v>125317226.95549992</v>
      </c>
      <c r="AJ1665" s="246">
        <f>IFERROR(VLOOKUP(H1665,PROGRAMAS[],3,FALSE),0)</f>
        <v>6129902208.7912121</v>
      </c>
      <c r="AK1665" s="246">
        <f>IFERROR(VLOOKUP(I1665,PROGRAMAS[],3,FALSE),0)</f>
        <v>675517840.109828</v>
      </c>
      <c r="AL1665" s="246">
        <f>IFERROR(VLOOKUP(J1665,PROGRAMAS[],3,FALSE),0)</f>
        <v>2392571243.5584412</v>
      </c>
      <c r="AM1665" s="246">
        <f>IFERROR(VLOOKUP(K1665,PROGRAMAS[],3,FALSE),0)</f>
        <v>31865326.38096505</v>
      </c>
      <c r="AN1665" s="246">
        <f>IFERROR(VLOOKUP(L1665,PROGRAMAS[],3,FALSE),0)</f>
        <v>2406564599.0319901</v>
      </c>
      <c r="AO1665" s="246">
        <f>IFERROR(VLOOKUP(M1665,PROGRAMAS[],3,FALSE),0)</f>
        <v>948595847.09039903</v>
      </c>
      <c r="AP1665" s="246">
        <f>IFERROR(VLOOKUP(N1665,PROGRAMAS[],3,FALSE),0)</f>
        <v>0</v>
      </c>
      <c r="AQ1665" s="246">
        <f>IFERROR(VLOOKUP(O1665,PROGRAMAS[],3,FALSE),0)</f>
        <v>0</v>
      </c>
      <c r="AR1665" s="246">
        <f>IFERROR(VLOOKUP(P1665,PROGRAMAS[],3,FALSE),0)</f>
        <v>0</v>
      </c>
      <c r="AS1665" s="246">
        <f>IFERROR(VLOOKUP(Q1665,PROGRAMAS[],3,FALSE),0)</f>
        <v>0</v>
      </c>
      <c r="AT1665" s="246">
        <f>IFERROR(VLOOKUP(D1665,VOL_REC[],2,FALSE),0)</f>
        <v>0</v>
      </c>
      <c r="AU1665" s="246">
        <f>IFERROR(VLOOKUP(E1665,VOL_REC[],2,FALSE),0)</f>
        <v>0</v>
      </c>
      <c r="AV1665" s="246">
        <f>IFERROR(VLOOKUP(F1665,VOL_REC[],2,FALSE),0)</f>
        <v>11089674.200000001</v>
      </c>
      <c r="AW1665" s="246">
        <f>IFERROR(VLOOKUP(G1665,VOL_REC[],2,FALSE),0)</f>
        <v>90439.55</v>
      </c>
      <c r="AX1665" s="246">
        <f>IFERROR(VLOOKUP(H1665,VOL_REC[],2,FALSE),0)</f>
        <v>15540036.397699751</v>
      </c>
      <c r="AY1665" s="246">
        <f>IFERROR(VLOOKUP(I1665,VOL_REC[],2,FALSE),0)</f>
        <v>240696.79238099116</v>
      </c>
      <c r="AZ1665" s="246">
        <f>IFERROR(VLOOKUP(J1665,VOL_REC[],2,FALSE),0)</f>
        <v>663244.80000000016</v>
      </c>
      <c r="BA1665" s="246">
        <f>IFERROR(VLOOKUP(K1665,VOL_REC[],2,FALSE),0)</f>
        <v>17074.045034105649</v>
      </c>
      <c r="BB1665" s="246">
        <f>IFERROR(VLOOKUP(L1665,VOL_REC[],2,FALSE),0)</f>
        <v>1072354.9981737854</v>
      </c>
      <c r="BC1665" s="246">
        <f>IFERROR(VLOOKUP(M1665,VOL_REC[],2,FALSE),0)</f>
        <v>740113.98115702497</v>
      </c>
      <c r="BD1665" s="246">
        <f>IFERROR(VLOOKUP(N1665,VOL_REC[],2,FALSE),0)</f>
        <v>0</v>
      </c>
      <c r="BE1665" s="246">
        <f>IFERROR(VLOOKUP(O1665,VOL_REC[],2,FALSE),0)</f>
        <v>0</v>
      </c>
      <c r="BF1665" s="246">
        <f>IFERROR(VLOOKUP(P1665,VOL_REC[],2,FALSE),0)</f>
        <v>0</v>
      </c>
      <c r="BG1665" s="246">
        <f>IFERROR(VLOOKUP(Q1665,VOL_REC[],2,FALSE),0)</f>
        <v>0</v>
      </c>
      <c r="BH1665" s="1710">
        <f t="shared" si="100"/>
        <v>24332048282.861908</v>
      </c>
      <c r="BI1665" s="1710">
        <f t="shared" si="101"/>
        <v>20796105195.780888</v>
      </c>
      <c r="BJ1665" s="1711">
        <f t="shared" si="102"/>
        <v>29453634.764445659</v>
      </c>
      <c r="BK1665" s="1711">
        <f t="shared" si="103"/>
        <v>1.1700291017857705</v>
      </c>
      <c r="BL1665">
        <f>BJ1665</f>
        <v>29453634.764445659</v>
      </c>
      <c r="BO1665">
        <f>BL1665</f>
        <v>29453634.764445659</v>
      </c>
    </row>
    <row r="1666" spans="3:67" x14ac:dyDescent="0.25">
      <c r="C1666" s="246" t="s">
        <v>3016</v>
      </c>
      <c r="D1666" s="246">
        <v>1</v>
      </c>
      <c r="E1666" s="246">
        <v>2</v>
      </c>
      <c r="F1666" s="246">
        <v>3</v>
      </c>
      <c r="G1666" s="246">
        <v>4</v>
      </c>
      <c r="H1666" s="246">
        <v>6</v>
      </c>
      <c r="I1666" s="246">
        <v>12</v>
      </c>
      <c r="J1666" s="246">
        <v>13</v>
      </c>
      <c r="K1666" s="246">
        <v>15</v>
      </c>
      <c r="L1666" s="246">
        <v>16</v>
      </c>
      <c r="M1666" s="246">
        <v>17</v>
      </c>
      <c r="N1666" s="246"/>
      <c r="O1666" s="246"/>
      <c r="P1666" s="246"/>
      <c r="Q1666" s="246"/>
      <c r="R1666" s="246">
        <f>IFERROR(VLOOKUP(D1666,PROGRAMAS[],2,FALSE),0)</f>
        <v>97037803.679377079</v>
      </c>
      <c r="S1666" s="246">
        <f>IFERROR(VLOOKUP(E1666,PROGRAMAS[],2,FALSE),0)</f>
        <v>640501509.6821388</v>
      </c>
      <c r="T1666" s="246">
        <f>IFERROR(VLOOKUP(F1666,PROGRAMAS[],2,FALSE),0)</f>
        <v>3062327798.1525245</v>
      </c>
      <c r="U1666" s="246">
        <f>IFERROR(VLOOKUP(G1666,PROGRAMAS[],2,FALSE),0)</f>
        <v>67697118.033011258</v>
      </c>
      <c r="V1666" s="246">
        <f>IFERROR(VLOOKUP(H1666,PROGRAMAS[],2,FALSE),0)</f>
        <v>6907648435.8447599</v>
      </c>
      <c r="W1666" s="246">
        <f>IFERROR(VLOOKUP(I1666,PROGRAMAS[],2,FALSE),0)</f>
        <v>764796700.79905891</v>
      </c>
      <c r="X1666" s="246">
        <f>IFERROR(VLOOKUP(J1666,PROGRAMAS[],2,FALSE),0)</f>
        <v>3776538594.4604583</v>
      </c>
      <c r="Y1666" s="246">
        <f>IFERROR(VLOOKUP(K1666,PROGRAMAS[],2,FALSE),0)</f>
        <v>122159672.96346797</v>
      </c>
      <c r="Z1666" s="246">
        <f>IFERROR(VLOOKUP(L1666,PROGRAMAS[],2,FALSE),0)</f>
        <v>7068496961.0436354</v>
      </c>
      <c r="AA1666" s="246">
        <f>IFERROR(VLOOKUP(M1666,PROGRAMAS[],2,FALSE),0)</f>
        <v>1892779498.5211046</v>
      </c>
      <c r="AB1666" s="246">
        <f>IFERROR(VLOOKUP(N1666,PROGRAMAS[],2,FALSE),0)</f>
        <v>0</v>
      </c>
      <c r="AC1666" s="246">
        <f>IFERROR(VLOOKUP(O1666,PROGRAMAS[],2,FALSE),0)</f>
        <v>0</v>
      </c>
      <c r="AD1666" s="246">
        <f>IFERROR(VLOOKUP(P1666,PROGRAMAS[],2,FALSE),0)</f>
        <v>0</v>
      </c>
      <c r="AE1666" s="246">
        <f>IFERROR(VLOOKUP(Q1666,PROGRAMAS[],2,FALSE),0)</f>
        <v>0</v>
      </c>
      <c r="AF1666" s="246">
        <f>IFERROR(VLOOKUP(D1666,PROGRAMAS[],3,FALSE),0)</f>
        <v>841888629.31080008</v>
      </c>
      <c r="AG1666" s="246">
        <f>IFERROR(VLOOKUP(E1666,PROGRAMAS[],3,FALSE),0)</f>
        <v>3848980803.1642323</v>
      </c>
      <c r="AH1666" s="246">
        <f>IFERROR(VLOOKUP(F1666,PROGRAMAS[],3,FALSE),0)</f>
        <v>3394901471.387517</v>
      </c>
      <c r="AI1666" s="246">
        <f>IFERROR(VLOOKUP(G1666,PROGRAMAS[],3,FALSE),0)</f>
        <v>125317226.95549992</v>
      </c>
      <c r="AJ1666" s="246">
        <f>IFERROR(VLOOKUP(H1666,PROGRAMAS[],3,FALSE),0)</f>
        <v>6129902208.7912121</v>
      </c>
      <c r="AK1666" s="246">
        <f>IFERROR(VLOOKUP(I1666,PROGRAMAS[],3,FALSE),0)</f>
        <v>675517840.109828</v>
      </c>
      <c r="AL1666" s="246">
        <f>IFERROR(VLOOKUP(J1666,PROGRAMAS[],3,FALSE),0)</f>
        <v>2392571243.5584412</v>
      </c>
      <c r="AM1666" s="246">
        <f>IFERROR(VLOOKUP(K1666,PROGRAMAS[],3,FALSE),0)</f>
        <v>118617452.52510804</v>
      </c>
      <c r="AN1666" s="246">
        <f>IFERROR(VLOOKUP(L1666,PROGRAMAS[],3,FALSE),0)</f>
        <v>2406564599.0319901</v>
      </c>
      <c r="AO1666" s="246">
        <f>IFERROR(VLOOKUP(M1666,PROGRAMAS[],3,FALSE),0)</f>
        <v>948595847.09039903</v>
      </c>
      <c r="AP1666" s="246">
        <f>IFERROR(VLOOKUP(N1666,PROGRAMAS[],3,FALSE),0)</f>
        <v>0</v>
      </c>
      <c r="AQ1666" s="246">
        <f>IFERROR(VLOOKUP(O1666,PROGRAMAS[],3,FALSE),0)</f>
        <v>0</v>
      </c>
      <c r="AR1666" s="246">
        <f>IFERROR(VLOOKUP(P1666,PROGRAMAS[],3,FALSE),0)</f>
        <v>0</v>
      </c>
      <c r="AS1666" s="246">
        <f>IFERROR(VLOOKUP(Q1666,PROGRAMAS[],3,FALSE),0)</f>
        <v>0</v>
      </c>
      <c r="AT1666" s="246">
        <f>IFERROR(VLOOKUP(D1666,VOL_REC[],2,FALSE),0)</f>
        <v>0</v>
      </c>
      <c r="AU1666" s="246">
        <f>IFERROR(VLOOKUP(E1666,VOL_REC[],2,FALSE),0)</f>
        <v>0</v>
      </c>
      <c r="AV1666" s="246">
        <f>IFERROR(VLOOKUP(F1666,VOL_REC[],2,FALSE),0)</f>
        <v>11089674.200000001</v>
      </c>
      <c r="AW1666" s="246">
        <f>IFERROR(VLOOKUP(G1666,VOL_REC[],2,FALSE),0)</f>
        <v>90439.55</v>
      </c>
      <c r="AX1666" s="246">
        <f>IFERROR(VLOOKUP(H1666,VOL_REC[],2,FALSE),0)</f>
        <v>15540036.397699751</v>
      </c>
      <c r="AY1666" s="246">
        <f>IFERROR(VLOOKUP(I1666,VOL_REC[],2,FALSE),0)</f>
        <v>240696.79238099116</v>
      </c>
      <c r="AZ1666" s="246">
        <f>IFERROR(VLOOKUP(J1666,VOL_REC[],2,FALSE),0)</f>
        <v>663244.80000000016</v>
      </c>
      <c r="BA1666" s="246">
        <f>IFERROR(VLOOKUP(K1666,VOL_REC[],2,FALSE),0)</f>
        <v>105072</v>
      </c>
      <c r="BB1666" s="246">
        <f>IFERROR(VLOOKUP(L1666,VOL_REC[],2,FALSE),0)</f>
        <v>1072354.9981737854</v>
      </c>
      <c r="BC1666" s="246">
        <f>IFERROR(VLOOKUP(M1666,VOL_REC[],2,FALSE),0)</f>
        <v>740113.98115702497</v>
      </c>
      <c r="BD1666" s="246">
        <f>IFERROR(VLOOKUP(N1666,VOL_REC[],2,FALSE),0)</f>
        <v>0</v>
      </c>
      <c r="BE1666" s="246">
        <f>IFERROR(VLOOKUP(O1666,VOL_REC[],2,FALSE),0)</f>
        <v>0</v>
      </c>
      <c r="BF1666" s="246">
        <f>IFERROR(VLOOKUP(P1666,VOL_REC[],2,FALSE),0)</f>
        <v>0</v>
      </c>
      <c r="BG1666" s="246">
        <f>IFERROR(VLOOKUP(Q1666,VOL_REC[],2,FALSE),0)</f>
        <v>0</v>
      </c>
      <c r="BH1666" s="1710">
        <f t="shared" ref="BH1666:BH1729" si="104">SUM(R1666:AE1666)</f>
        <v>24399984093.179535</v>
      </c>
      <c r="BI1666" s="1710">
        <f t="shared" ref="BI1666:BI1729" si="105">SUM(AF1666:AS1666)</f>
        <v>20882857321.92503</v>
      </c>
      <c r="BJ1666" s="1711">
        <f t="shared" ref="BJ1666:BJ1729" si="106">SUM(AT1666:BG1666)</f>
        <v>29541632.719411552</v>
      </c>
      <c r="BK1666" s="1711">
        <f t="shared" ref="BK1666:BK1729" si="107">IFERROR(BH1666/BI1666,0)</f>
        <v>1.1684217210813319</v>
      </c>
      <c r="BL1666">
        <f>BJ1666</f>
        <v>29541632.719411552</v>
      </c>
      <c r="BO1666">
        <f>BL1666</f>
        <v>29541632.719411552</v>
      </c>
    </row>
    <row r="1667" spans="3:67" x14ac:dyDescent="0.25">
      <c r="C1667" s="246" t="s">
        <v>3017</v>
      </c>
      <c r="D1667" s="246">
        <v>1</v>
      </c>
      <c r="E1667" s="246">
        <v>2</v>
      </c>
      <c r="F1667" s="246">
        <v>3</v>
      </c>
      <c r="G1667" s="246">
        <v>4</v>
      </c>
      <c r="H1667" s="246">
        <v>6</v>
      </c>
      <c r="I1667" s="246">
        <v>12</v>
      </c>
      <c r="J1667" s="246">
        <v>14</v>
      </c>
      <c r="K1667" s="246">
        <v>15</v>
      </c>
      <c r="L1667" s="246">
        <v>16</v>
      </c>
      <c r="M1667" s="246">
        <v>17</v>
      </c>
      <c r="N1667" s="246"/>
      <c r="O1667" s="246"/>
      <c r="P1667" s="246"/>
      <c r="Q1667" s="246"/>
      <c r="R1667" s="246">
        <f>IFERROR(VLOOKUP(D1667,PROGRAMAS[],2,FALSE),0)</f>
        <v>97037803.679377079</v>
      </c>
      <c r="S1667" s="246">
        <f>IFERROR(VLOOKUP(E1667,PROGRAMAS[],2,FALSE),0)</f>
        <v>640501509.6821388</v>
      </c>
      <c r="T1667" s="246">
        <f>IFERROR(VLOOKUP(F1667,PROGRAMAS[],2,FALSE),0)</f>
        <v>3062327798.1525245</v>
      </c>
      <c r="U1667" s="246">
        <f>IFERROR(VLOOKUP(G1667,PROGRAMAS[],2,FALSE),0)</f>
        <v>67697118.033011258</v>
      </c>
      <c r="V1667" s="246">
        <f>IFERROR(VLOOKUP(H1667,PROGRAMAS[],2,FALSE),0)</f>
        <v>6907648435.8447599</v>
      </c>
      <c r="W1667" s="246">
        <f>IFERROR(VLOOKUP(I1667,PROGRAMAS[],2,FALSE),0)</f>
        <v>764796700.79905891</v>
      </c>
      <c r="X1667" s="246">
        <f>IFERROR(VLOOKUP(J1667,PROGRAMAS[],2,FALSE),0)</f>
        <v>54223862.645839565</v>
      </c>
      <c r="Y1667" s="246">
        <f>IFERROR(VLOOKUP(K1667,PROGRAMAS[],2,FALSE),0)</f>
        <v>122159672.96346797</v>
      </c>
      <c r="Z1667" s="246">
        <f>IFERROR(VLOOKUP(L1667,PROGRAMAS[],2,FALSE),0)</f>
        <v>7068496961.0436354</v>
      </c>
      <c r="AA1667" s="246">
        <f>IFERROR(VLOOKUP(M1667,PROGRAMAS[],2,FALSE),0)</f>
        <v>1892779498.5211046</v>
      </c>
      <c r="AB1667" s="246">
        <f>IFERROR(VLOOKUP(N1667,PROGRAMAS[],2,FALSE),0)</f>
        <v>0</v>
      </c>
      <c r="AC1667" s="246">
        <f>IFERROR(VLOOKUP(O1667,PROGRAMAS[],2,FALSE),0)</f>
        <v>0</v>
      </c>
      <c r="AD1667" s="246">
        <f>IFERROR(VLOOKUP(P1667,PROGRAMAS[],2,FALSE),0)</f>
        <v>0</v>
      </c>
      <c r="AE1667" s="246">
        <f>IFERROR(VLOOKUP(Q1667,PROGRAMAS[],2,FALSE),0)</f>
        <v>0</v>
      </c>
      <c r="AF1667" s="246">
        <f>IFERROR(VLOOKUP(D1667,PROGRAMAS[],3,FALSE),0)</f>
        <v>841888629.31080008</v>
      </c>
      <c r="AG1667" s="246">
        <f>IFERROR(VLOOKUP(E1667,PROGRAMAS[],3,FALSE),0)</f>
        <v>3848980803.1642323</v>
      </c>
      <c r="AH1667" s="246">
        <f>IFERROR(VLOOKUP(F1667,PROGRAMAS[],3,FALSE),0)</f>
        <v>3394901471.387517</v>
      </c>
      <c r="AI1667" s="246">
        <f>IFERROR(VLOOKUP(G1667,PROGRAMAS[],3,FALSE),0)</f>
        <v>125317226.95549992</v>
      </c>
      <c r="AJ1667" s="246">
        <f>IFERROR(VLOOKUP(H1667,PROGRAMAS[],3,FALSE),0)</f>
        <v>6129902208.7912121</v>
      </c>
      <c r="AK1667" s="246">
        <f>IFERROR(VLOOKUP(I1667,PROGRAMAS[],3,FALSE),0)</f>
        <v>675517840.109828</v>
      </c>
      <c r="AL1667" s="246">
        <f>IFERROR(VLOOKUP(J1667,PROGRAMAS[],3,FALSE),0)</f>
        <v>31865326.38096505</v>
      </c>
      <c r="AM1667" s="246">
        <f>IFERROR(VLOOKUP(K1667,PROGRAMAS[],3,FALSE),0)</f>
        <v>118617452.52510804</v>
      </c>
      <c r="AN1667" s="246">
        <f>IFERROR(VLOOKUP(L1667,PROGRAMAS[],3,FALSE),0)</f>
        <v>2406564599.0319901</v>
      </c>
      <c r="AO1667" s="246">
        <f>IFERROR(VLOOKUP(M1667,PROGRAMAS[],3,FALSE),0)</f>
        <v>948595847.09039903</v>
      </c>
      <c r="AP1667" s="246">
        <f>IFERROR(VLOOKUP(N1667,PROGRAMAS[],3,FALSE),0)</f>
        <v>0</v>
      </c>
      <c r="AQ1667" s="246">
        <f>IFERROR(VLOOKUP(O1667,PROGRAMAS[],3,FALSE),0)</f>
        <v>0</v>
      </c>
      <c r="AR1667" s="246">
        <f>IFERROR(VLOOKUP(P1667,PROGRAMAS[],3,FALSE),0)</f>
        <v>0</v>
      </c>
      <c r="AS1667" s="246">
        <f>IFERROR(VLOOKUP(Q1667,PROGRAMAS[],3,FALSE),0)</f>
        <v>0</v>
      </c>
      <c r="AT1667" s="246">
        <f>IFERROR(VLOOKUP(D1667,VOL_REC[],2,FALSE),0)</f>
        <v>0</v>
      </c>
      <c r="AU1667" s="246">
        <f>IFERROR(VLOOKUP(E1667,VOL_REC[],2,FALSE),0)</f>
        <v>0</v>
      </c>
      <c r="AV1667" s="246">
        <f>IFERROR(VLOOKUP(F1667,VOL_REC[],2,FALSE),0)</f>
        <v>11089674.200000001</v>
      </c>
      <c r="AW1667" s="246">
        <f>IFERROR(VLOOKUP(G1667,VOL_REC[],2,FALSE),0)</f>
        <v>90439.55</v>
      </c>
      <c r="AX1667" s="246">
        <f>IFERROR(VLOOKUP(H1667,VOL_REC[],2,FALSE),0)</f>
        <v>15540036.397699751</v>
      </c>
      <c r="AY1667" s="246">
        <f>IFERROR(VLOOKUP(I1667,VOL_REC[],2,FALSE),0)</f>
        <v>240696.79238099116</v>
      </c>
      <c r="AZ1667" s="246">
        <f>IFERROR(VLOOKUP(J1667,VOL_REC[],2,FALSE),0)</f>
        <v>17074.045034105649</v>
      </c>
      <c r="BA1667" s="246">
        <f>IFERROR(VLOOKUP(K1667,VOL_REC[],2,FALSE),0)</f>
        <v>105072</v>
      </c>
      <c r="BB1667" s="246">
        <f>IFERROR(VLOOKUP(L1667,VOL_REC[],2,FALSE),0)</f>
        <v>1072354.9981737854</v>
      </c>
      <c r="BC1667" s="246">
        <f>IFERROR(VLOOKUP(M1667,VOL_REC[],2,FALSE),0)</f>
        <v>740113.98115702497</v>
      </c>
      <c r="BD1667" s="246">
        <f>IFERROR(VLOOKUP(N1667,VOL_REC[],2,FALSE),0)</f>
        <v>0</v>
      </c>
      <c r="BE1667" s="246">
        <f>IFERROR(VLOOKUP(O1667,VOL_REC[],2,FALSE),0)</f>
        <v>0</v>
      </c>
      <c r="BF1667" s="246">
        <f>IFERROR(VLOOKUP(P1667,VOL_REC[],2,FALSE),0)</f>
        <v>0</v>
      </c>
      <c r="BG1667" s="246">
        <f>IFERROR(VLOOKUP(Q1667,VOL_REC[],2,FALSE),0)</f>
        <v>0</v>
      </c>
      <c r="BH1667" s="1710">
        <f t="shared" si="104"/>
        <v>20677669361.364918</v>
      </c>
      <c r="BI1667" s="1710">
        <f t="shared" si="105"/>
        <v>18522151404.747551</v>
      </c>
      <c r="BJ1667" s="1711">
        <f t="shared" si="106"/>
        <v>28895461.964445658</v>
      </c>
      <c r="BK1667" s="1711">
        <f t="shared" si="107"/>
        <v>1.1163751396646542</v>
      </c>
      <c r="BL1667">
        <f>BJ1667</f>
        <v>28895461.964445658</v>
      </c>
      <c r="BO1667">
        <f>BL1667</f>
        <v>28895461.964445658</v>
      </c>
    </row>
    <row r="1668" spans="3:67" x14ac:dyDescent="0.25">
      <c r="C1668" s="246" t="s">
        <v>3018</v>
      </c>
      <c r="D1668" s="246">
        <v>1</v>
      </c>
      <c r="E1668" s="246">
        <v>2</v>
      </c>
      <c r="F1668" s="246">
        <v>3</v>
      </c>
      <c r="G1668" s="246">
        <v>4</v>
      </c>
      <c r="H1668" s="246">
        <v>6</v>
      </c>
      <c r="I1668" s="246">
        <v>13</v>
      </c>
      <c r="J1668" s="246">
        <v>14</v>
      </c>
      <c r="K1668" s="246">
        <v>15</v>
      </c>
      <c r="L1668" s="246">
        <v>16</v>
      </c>
      <c r="M1668" s="246">
        <v>17</v>
      </c>
      <c r="N1668" s="246"/>
      <c r="O1668" s="246"/>
      <c r="P1668" s="246"/>
      <c r="Q1668" s="246"/>
      <c r="R1668" s="246">
        <f>IFERROR(VLOOKUP(D1668,PROGRAMAS[],2,FALSE),0)</f>
        <v>97037803.679377079</v>
      </c>
      <c r="S1668" s="246">
        <f>IFERROR(VLOOKUP(E1668,PROGRAMAS[],2,FALSE),0)</f>
        <v>640501509.6821388</v>
      </c>
      <c r="T1668" s="246">
        <f>IFERROR(VLOOKUP(F1668,PROGRAMAS[],2,FALSE),0)</f>
        <v>3062327798.1525245</v>
      </c>
      <c r="U1668" s="246">
        <f>IFERROR(VLOOKUP(G1668,PROGRAMAS[],2,FALSE),0)</f>
        <v>67697118.033011258</v>
      </c>
      <c r="V1668" s="246">
        <f>IFERROR(VLOOKUP(H1668,PROGRAMAS[],2,FALSE),0)</f>
        <v>6907648435.8447599</v>
      </c>
      <c r="W1668" s="246">
        <f>IFERROR(VLOOKUP(I1668,PROGRAMAS[],2,FALSE),0)</f>
        <v>3776538594.4604583</v>
      </c>
      <c r="X1668" s="246">
        <f>IFERROR(VLOOKUP(J1668,PROGRAMAS[],2,FALSE),0)</f>
        <v>54223862.645839565</v>
      </c>
      <c r="Y1668" s="246">
        <f>IFERROR(VLOOKUP(K1668,PROGRAMAS[],2,FALSE),0)</f>
        <v>122159672.96346797</v>
      </c>
      <c r="Z1668" s="246">
        <f>IFERROR(VLOOKUP(L1668,PROGRAMAS[],2,FALSE),0)</f>
        <v>7068496961.0436354</v>
      </c>
      <c r="AA1668" s="246">
        <f>IFERROR(VLOOKUP(M1668,PROGRAMAS[],2,FALSE),0)</f>
        <v>1892779498.5211046</v>
      </c>
      <c r="AB1668" s="246">
        <f>IFERROR(VLOOKUP(N1668,PROGRAMAS[],2,FALSE),0)</f>
        <v>0</v>
      </c>
      <c r="AC1668" s="246">
        <f>IFERROR(VLOOKUP(O1668,PROGRAMAS[],2,FALSE),0)</f>
        <v>0</v>
      </c>
      <c r="AD1668" s="246">
        <f>IFERROR(VLOOKUP(P1668,PROGRAMAS[],2,FALSE),0)</f>
        <v>0</v>
      </c>
      <c r="AE1668" s="246">
        <f>IFERROR(VLOOKUP(Q1668,PROGRAMAS[],2,FALSE),0)</f>
        <v>0</v>
      </c>
      <c r="AF1668" s="246">
        <f>IFERROR(VLOOKUP(D1668,PROGRAMAS[],3,FALSE),0)</f>
        <v>841888629.31080008</v>
      </c>
      <c r="AG1668" s="246">
        <f>IFERROR(VLOOKUP(E1668,PROGRAMAS[],3,FALSE),0)</f>
        <v>3848980803.1642323</v>
      </c>
      <c r="AH1668" s="246">
        <f>IFERROR(VLOOKUP(F1668,PROGRAMAS[],3,FALSE),0)</f>
        <v>3394901471.387517</v>
      </c>
      <c r="AI1668" s="246">
        <f>IFERROR(VLOOKUP(G1668,PROGRAMAS[],3,FALSE),0)</f>
        <v>125317226.95549992</v>
      </c>
      <c r="AJ1668" s="246">
        <f>IFERROR(VLOOKUP(H1668,PROGRAMAS[],3,FALSE),0)</f>
        <v>6129902208.7912121</v>
      </c>
      <c r="AK1668" s="246">
        <f>IFERROR(VLOOKUP(I1668,PROGRAMAS[],3,FALSE),0)</f>
        <v>2392571243.5584412</v>
      </c>
      <c r="AL1668" s="246">
        <f>IFERROR(VLOOKUP(J1668,PROGRAMAS[],3,FALSE),0)</f>
        <v>31865326.38096505</v>
      </c>
      <c r="AM1668" s="246">
        <f>IFERROR(VLOOKUP(K1668,PROGRAMAS[],3,FALSE),0)</f>
        <v>118617452.52510804</v>
      </c>
      <c r="AN1668" s="246">
        <f>IFERROR(VLOOKUP(L1668,PROGRAMAS[],3,FALSE),0)</f>
        <v>2406564599.0319901</v>
      </c>
      <c r="AO1668" s="246">
        <f>IFERROR(VLOOKUP(M1668,PROGRAMAS[],3,FALSE),0)</f>
        <v>948595847.09039903</v>
      </c>
      <c r="AP1668" s="246">
        <f>IFERROR(VLOOKUP(N1668,PROGRAMAS[],3,FALSE),0)</f>
        <v>0</v>
      </c>
      <c r="AQ1668" s="246">
        <f>IFERROR(VLOOKUP(O1668,PROGRAMAS[],3,FALSE),0)</f>
        <v>0</v>
      </c>
      <c r="AR1668" s="246">
        <f>IFERROR(VLOOKUP(P1668,PROGRAMAS[],3,FALSE),0)</f>
        <v>0</v>
      </c>
      <c r="AS1668" s="246">
        <f>IFERROR(VLOOKUP(Q1668,PROGRAMAS[],3,FALSE),0)</f>
        <v>0</v>
      </c>
      <c r="AT1668" s="246">
        <f>IFERROR(VLOOKUP(D1668,VOL_REC[],2,FALSE),0)</f>
        <v>0</v>
      </c>
      <c r="AU1668" s="246">
        <f>IFERROR(VLOOKUP(E1668,VOL_REC[],2,FALSE),0)</f>
        <v>0</v>
      </c>
      <c r="AV1668" s="246">
        <f>IFERROR(VLOOKUP(F1668,VOL_REC[],2,FALSE),0)</f>
        <v>11089674.200000001</v>
      </c>
      <c r="AW1668" s="246">
        <f>IFERROR(VLOOKUP(G1668,VOL_REC[],2,FALSE),0)</f>
        <v>90439.55</v>
      </c>
      <c r="AX1668" s="246">
        <f>IFERROR(VLOOKUP(H1668,VOL_REC[],2,FALSE),0)</f>
        <v>15540036.397699751</v>
      </c>
      <c r="AY1668" s="246">
        <f>IFERROR(VLOOKUP(I1668,VOL_REC[],2,FALSE),0)</f>
        <v>663244.80000000016</v>
      </c>
      <c r="AZ1668" s="246">
        <f>IFERROR(VLOOKUP(J1668,VOL_REC[],2,FALSE),0)</f>
        <v>17074.045034105649</v>
      </c>
      <c r="BA1668" s="246">
        <f>IFERROR(VLOOKUP(K1668,VOL_REC[],2,FALSE),0)</f>
        <v>105072</v>
      </c>
      <c r="BB1668" s="246">
        <f>IFERROR(VLOOKUP(L1668,VOL_REC[],2,FALSE),0)</f>
        <v>1072354.9981737854</v>
      </c>
      <c r="BC1668" s="246">
        <f>IFERROR(VLOOKUP(M1668,VOL_REC[],2,FALSE),0)</f>
        <v>740113.98115702497</v>
      </c>
      <c r="BD1668" s="246">
        <f>IFERROR(VLOOKUP(N1668,VOL_REC[],2,FALSE),0)</f>
        <v>0</v>
      </c>
      <c r="BE1668" s="246">
        <f>IFERROR(VLOOKUP(O1668,VOL_REC[],2,FALSE),0)</f>
        <v>0</v>
      </c>
      <c r="BF1668" s="246">
        <f>IFERROR(VLOOKUP(P1668,VOL_REC[],2,FALSE),0)</f>
        <v>0</v>
      </c>
      <c r="BG1668" s="246">
        <f>IFERROR(VLOOKUP(Q1668,VOL_REC[],2,FALSE),0)</f>
        <v>0</v>
      </c>
      <c r="BH1668" s="1710">
        <f t="shared" si="104"/>
        <v>23689411255.026318</v>
      </c>
      <c r="BI1668" s="1710">
        <f t="shared" si="105"/>
        <v>20239204808.196167</v>
      </c>
      <c r="BJ1668" s="1711">
        <f t="shared" si="106"/>
        <v>29318009.972064666</v>
      </c>
      <c r="BK1668" s="1711">
        <f t="shared" si="107"/>
        <v>1.1704714429013998</v>
      </c>
      <c r="BL1668">
        <f>BJ1668</f>
        <v>29318009.972064666</v>
      </c>
      <c r="BO1668">
        <f>BL1668</f>
        <v>29318009.972064666</v>
      </c>
    </row>
    <row r="1669" spans="3:67" x14ac:dyDescent="0.25">
      <c r="C1669" s="246" t="s">
        <v>3019</v>
      </c>
      <c r="D1669" s="246">
        <v>1</v>
      </c>
      <c r="E1669" s="246">
        <v>2</v>
      </c>
      <c r="F1669" s="246">
        <v>3</v>
      </c>
      <c r="G1669" s="246">
        <v>4</v>
      </c>
      <c r="H1669" s="246">
        <v>9</v>
      </c>
      <c r="I1669" s="246">
        <v>10</v>
      </c>
      <c r="J1669" s="246">
        <v>12</v>
      </c>
      <c r="K1669" s="246">
        <v>13</v>
      </c>
      <c r="L1669" s="246">
        <v>14</v>
      </c>
      <c r="M1669" s="246">
        <v>15</v>
      </c>
      <c r="N1669" s="246"/>
      <c r="O1669" s="246"/>
      <c r="P1669" s="246"/>
      <c r="Q1669" s="246"/>
      <c r="R1669" s="246">
        <f>IFERROR(VLOOKUP(D1669,PROGRAMAS[],2,FALSE),0)</f>
        <v>97037803.679377079</v>
      </c>
      <c r="S1669" s="246">
        <f>IFERROR(VLOOKUP(E1669,PROGRAMAS[],2,FALSE),0)</f>
        <v>640501509.6821388</v>
      </c>
      <c r="T1669" s="246">
        <f>IFERROR(VLOOKUP(F1669,PROGRAMAS[],2,FALSE),0)</f>
        <v>3062327798.1525245</v>
      </c>
      <c r="U1669" s="246">
        <f>IFERROR(VLOOKUP(G1669,PROGRAMAS[],2,FALSE),0)</f>
        <v>67697118.033011258</v>
      </c>
      <c r="V1669" s="246">
        <f>IFERROR(VLOOKUP(H1669,PROGRAMAS[],2,FALSE),0)</f>
        <v>6128579952.1618185</v>
      </c>
      <c r="W1669" s="246">
        <f>IFERROR(VLOOKUP(I1669,PROGRAMAS[],2,FALSE),0)</f>
        <v>4635315027.8751087</v>
      </c>
      <c r="X1669" s="246">
        <f>IFERROR(VLOOKUP(J1669,PROGRAMAS[],2,FALSE),0)</f>
        <v>764796700.79905891</v>
      </c>
      <c r="Y1669" s="246">
        <f>IFERROR(VLOOKUP(K1669,PROGRAMAS[],2,FALSE),0)</f>
        <v>3776538594.4604583</v>
      </c>
      <c r="Z1669" s="246">
        <f>IFERROR(VLOOKUP(L1669,PROGRAMAS[],2,FALSE),0)</f>
        <v>54223862.645839565</v>
      </c>
      <c r="AA1669" s="246">
        <f>IFERROR(VLOOKUP(M1669,PROGRAMAS[],2,FALSE),0)</f>
        <v>122159672.96346797</v>
      </c>
      <c r="AB1669" s="246">
        <f>IFERROR(VLOOKUP(N1669,PROGRAMAS[],2,FALSE),0)</f>
        <v>0</v>
      </c>
      <c r="AC1669" s="246">
        <f>IFERROR(VLOOKUP(O1669,PROGRAMAS[],2,FALSE),0)</f>
        <v>0</v>
      </c>
      <c r="AD1669" s="246">
        <f>IFERROR(VLOOKUP(P1669,PROGRAMAS[],2,FALSE),0)</f>
        <v>0</v>
      </c>
      <c r="AE1669" s="246">
        <f>IFERROR(VLOOKUP(Q1669,PROGRAMAS[],2,FALSE),0)</f>
        <v>0</v>
      </c>
      <c r="AF1669" s="246">
        <f>IFERROR(VLOOKUP(D1669,PROGRAMAS[],3,FALSE),0)</f>
        <v>841888629.31080008</v>
      </c>
      <c r="AG1669" s="246">
        <f>IFERROR(VLOOKUP(E1669,PROGRAMAS[],3,FALSE),0)</f>
        <v>3848980803.1642323</v>
      </c>
      <c r="AH1669" s="246">
        <f>IFERROR(VLOOKUP(F1669,PROGRAMAS[],3,FALSE),0)</f>
        <v>3394901471.387517</v>
      </c>
      <c r="AI1669" s="246">
        <f>IFERROR(VLOOKUP(G1669,PROGRAMAS[],3,FALSE),0)</f>
        <v>125317226.95549992</v>
      </c>
      <c r="AJ1669" s="246">
        <f>IFERROR(VLOOKUP(H1669,PROGRAMAS[],3,FALSE),0)</f>
        <v>7011279577.519702</v>
      </c>
      <c r="AK1669" s="246">
        <f>IFERROR(VLOOKUP(I1669,PROGRAMAS[],3,FALSE),0)</f>
        <v>4099471734.9978786</v>
      </c>
      <c r="AL1669" s="246">
        <f>IFERROR(VLOOKUP(J1669,PROGRAMAS[],3,FALSE),0)</f>
        <v>675517840.109828</v>
      </c>
      <c r="AM1669" s="246">
        <f>IFERROR(VLOOKUP(K1669,PROGRAMAS[],3,FALSE),0)</f>
        <v>2392571243.5584412</v>
      </c>
      <c r="AN1669" s="246">
        <f>IFERROR(VLOOKUP(L1669,PROGRAMAS[],3,FALSE),0)</f>
        <v>31865326.38096505</v>
      </c>
      <c r="AO1669" s="246">
        <f>IFERROR(VLOOKUP(M1669,PROGRAMAS[],3,FALSE),0)</f>
        <v>118617452.52510804</v>
      </c>
      <c r="AP1669" s="246">
        <f>IFERROR(VLOOKUP(N1669,PROGRAMAS[],3,FALSE),0)</f>
        <v>0</v>
      </c>
      <c r="AQ1669" s="246">
        <f>IFERROR(VLOOKUP(O1669,PROGRAMAS[],3,FALSE),0)</f>
        <v>0</v>
      </c>
      <c r="AR1669" s="246">
        <f>IFERROR(VLOOKUP(P1669,PROGRAMAS[],3,FALSE),0)</f>
        <v>0</v>
      </c>
      <c r="AS1669" s="246">
        <f>IFERROR(VLOOKUP(Q1669,PROGRAMAS[],3,FALSE),0)</f>
        <v>0</v>
      </c>
      <c r="AT1669" s="246">
        <f>IFERROR(VLOOKUP(D1669,VOL_REC[],2,FALSE),0)</f>
        <v>0</v>
      </c>
      <c r="AU1669" s="246">
        <f>IFERROR(VLOOKUP(E1669,VOL_REC[],2,FALSE),0)</f>
        <v>0</v>
      </c>
      <c r="AV1669" s="246">
        <f>IFERROR(VLOOKUP(F1669,VOL_REC[],2,FALSE),0)</f>
        <v>11089674.200000001</v>
      </c>
      <c r="AW1669" s="246">
        <f>IFERROR(VLOOKUP(G1669,VOL_REC[],2,FALSE),0)</f>
        <v>90439.55</v>
      </c>
      <c r="AX1669" s="246">
        <f>IFERROR(VLOOKUP(H1669,VOL_REC[],2,FALSE),0)</f>
        <v>3761786</v>
      </c>
      <c r="AY1669" s="246">
        <f>IFERROR(VLOOKUP(I1669,VOL_REC[],2,FALSE),0)</f>
        <v>1812240</v>
      </c>
      <c r="AZ1669" s="246">
        <f>IFERROR(VLOOKUP(J1669,VOL_REC[],2,FALSE),0)</f>
        <v>240696.79238099116</v>
      </c>
      <c r="BA1669" s="246">
        <f>IFERROR(VLOOKUP(K1669,VOL_REC[],2,FALSE),0)</f>
        <v>663244.80000000016</v>
      </c>
      <c r="BB1669" s="246">
        <f>IFERROR(VLOOKUP(L1669,VOL_REC[],2,FALSE),0)</f>
        <v>17074.045034105649</v>
      </c>
      <c r="BC1669" s="246">
        <f>IFERROR(VLOOKUP(M1669,VOL_REC[],2,FALSE),0)</f>
        <v>105072</v>
      </c>
      <c r="BD1669" s="246">
        <f>IFERROR(VLOOKUP(N1669,VOL_REC[],2,FALSE),0)</f>
        <v>0</v>
      </c>
      <c r="BE1669" s="246">
        <f>IFERROR(VLOOKUP(O1669,VOL_REC[],2,FALSE),0)</f>
        <v>0</v>
      </c>
      <c r="BF1669" s="246">
        <f>IFERROR(VLOOKUP(P1669,VOL_REC[],2,FALSE),0)</f>
        <v>0</v>
      </c>
      <c r="BG1669" s="246">
        <f>IFERROR(VLOOKUP(Q1669,VOL_REC[],2,FALSE),0)</f>
        <v>0</v>
      </c>
      <c r="BH1669" s="1710">
        <f t="shared" si="104"/>
        <v>19349178040.452801</v>
      </c>
      <c r="BI1669" s="1710">
        <f t="shared" si="105"/>
        <v>22540411305.909973</v>
      </c>
      <c r="BJ1669" s="1711">
        <f t="shared" si="106"/>
        <v>17780227.3874151</v>
      </c>
      <c r="BK1669" s="1711">
        <f t="shared" si="107"/>
        <v>0.85842169328026197</v>
      </c>
    </row>
    <row r="1670" spans="3:67" x14ac:dyDescent="0.25">
      <c r="C1670" s="246" t="s">
        <v>3020</v>
      </c>
      <c r="D1670" s="246">
        <v>1</v>
      </c>
      <c r="E1670" s="246">
        <v>2</v>
      </c>
      <c r="F1670" s="246">
        <v>3</v>
      </c>
      <c r="G1670" s="246">
        <v>4</v>
      </c>
      <c r="H1670" s="246">
        <v>9</v>
      </c>
      <c r="I1670" s="246">
        <v>10</v>
      </c>
      <c r="J1670" s="246">
        <v>12</v>
      </c>
      <c r="K1670" s="246">
        <v>13</v>
      </c>
      <c r="L1670" s="246">
        <v>14</v>
      </c>
      <c r="M1670" s="246">
        <v>16</v>
      </c>
      <c r="N1670" s="246"/>
      <c r="O1670" s="246"/>
      <c r="P1670" s="246"/>
      <c r="Q1670" s="246"/>
      <c r="R1670" s="246">
        <f>IFERROR(VLOOKUP(D1670,PROGRAMAS[],2,FALSE),0)</f>
        <v>97037803.679377079</v>
      </c>
      <c r="S1670" s="246">
        <f>IFERROR(VLOOKUP(E1670,PROGRAMAS[],2,FALSE),0)</f>
        <v>640501509.6821388</v>
      </c>
      <c r="T1670" s="246">
        <f>IFERROR(VLOOKUP(F1670,PROGRAMAS[],2,FALSE),0)</f>
        <v>3062327798.1525245</v>
      </c>
      <c r="U1670" s="246">
        <f>IFERROR(VLOOKUP(G1670,PROGRAMAS[],2,FALSE),0)</f>
        <v>67697118.033011258</v>
      </c>
      <c r="V1670" s="246">
        <f>IFERROR(VLOOKUP(H1670,PROGRAMAS[],2,FALSE),0)</f>
        <v>6128579952.1618185</v>
      </c>
      <c r="W1670" s="246">
        <f>IFERROR(VLOOKUP(I1670,PROGRAMAS[],2,FALSE),0)</f>
        <v>4635315027.8751087</v>
      </c>
      <c r="X1670" s="246">
        <f>IFERROR(VLOOKUP(J1670,PROGRAMAS[],2,FALSE),0)</f>
        <v>764796700.79905891</v>
      </c>
      <c r="Y1670" s="246">
        <f>IFERROR(VLOOKUP(K1670,PROGRAMAS[],2,FALSE),0)</f>
        <v>3776538594.4604583</v>
      </c>
      <c r="Z1670" s="246">
        <f>IFERROR(VLOOKUP(L1670,PROGRAMAS[],2,FALSE),0)</f>
        <v>54223862.645839565</v>
      </c>
      <c r="AA1670" s="246">
        <f>IFERROR(VLOOKUP(M1670,PROGRAMAS[],2,FALSE),0)</f>
        <v>7068496961.0436354</v>
      </c>
      <c r="AB1670" s="246">
        <f>IFERROR(VLOOKUP(N1670,PROGRAMAS[],2,FALSE),0)</f>
        <v>0</v>
      </c>
      <c r="AC1670" s="246">
        <f>IFERROR(VLOOKUP(O1670,PROGRAMAS[],2,FALSE),0)</f>
        <v>0</v>
      </c>
      <c r="AD1670" s="246">
        <f>IFERROR(VLOOKUP(P1670,PROGRAMAS[],2,FALSE),0)</f>
        <v>0</v>
      </c>
      <c r="AE1670" s="246">
        <f>IFERROR(VLOOKUP(Q1670,PROGRAMAS[],2,FALSE),0)</f>
        <v>0</v>
      </c>
      <c r="AF1670" s="246">
        <f>IFERROR(VLOOKUP(D1670,PROGRAMAS[],3,FALSE),0)</f>
        <v>841888629.31080008</v>
      </c>
      <c r="AG1670" s="246">
        <f>IFERROR(VLOOKUP(E1670,PROGRAMAS[],3,FALSE),0)</f>
        <v>3848980803.1642323</v>
      </c>
      <c r="AH1670" s="246">
        <f>IFERROR(VLOOKUP(F1670,PROGRAMAS[],3,FALSE),0)</f>
        <v>3394901471.387517</v>
      </c>
      <c r="AI1670" s="246">
        <f>IFERROR(VLOOKUP(G1670,PROGRAMAS[],3,FALSE),0)</f>
        <v>125317226.95549992</v>
      </c>
      <c r="AJ1670" s="246">
        <f>IFERROR(VLOOKUP(H1670,PROGRAMAS[],3,FALSE),0)</f>
        <v>7011279577.519702</v>
      </c>
      <c r="AK1670" s="246">
        <f>IFERROR(VLOOKUP(I1670,PROGRAMAS[],3,FALSE),0)</f>
        <v>4099471734.9978786</v>
      </c>
      <c r="AL1670" s="246">
        <f>IFERROR(VLOOKUP(J1670,PROGRAMAS[],3,FALSE),0)</f>
        <v>675517840.109828</v>
      </c>
      <c r="AM1670" s="246">
        <f>IFERROR(VLOOKUP(K1670,PROGRAMAS[],3,FALSE),0)</f>
        <v>2392571243.5584412</v>
      </c>
      <c r="AN1670" s="246">
        <f>IFERROR(VLOOKUP(L1670,PROGRAMAS[],3,FALSE),0)</f>
        <v>31865326.38096505</v>
      </c>
      <c r="AO1670" s="246">
        <f>IFERROR(VLOOKUP(M1670,PROGRAMAS[],3,FALSE),0)</f>
        <v>2406564599.0319901</v>
      </c>
      <c r="AP1670" s="246">
        <f>IFERROR(VLOOKUP(N1670,PROGRAMAS[],3,FALSE),0)</f>
        <v>0</v>
      </c>
      <c r="AQ1670" s="246">
        <f>IFERROR(VLOOKUP(O1670,PROGRAMAS[],3,FALSE),0)</f>
        <v>0</v>
      </c>
      <c r="AR1670" s="246">
        <f>IFERROR(VLOOKUP(P1670,PROGRAMAS[],3,FALSE),0)</f>
        <v>0</v>
      </c>
      <c r="AS1670" s="246">
        <f>IFERROR(VLOOKUP(Q1670,PROGRAMAS[],3,FALSE),0)</f>
        <v>0</v>
      </c>
      <c r="AT1670" s="246">
        <f>IFERROR(VLOOKUP(D1670,VOL_REC[],2,FALSE),0)</f>
        <v>0</v>
      </c>
      <c r="AU1670" s="246">
        <f>IFERROR(VLOOKUP(E1670,VOL_REC[],2,FALSE),0)</f>
        <v>0</v>
      </c>
      <c r="AV1670" s="246">
        <f>IFERROR(VLOOKUP(F1670,VOL_REC[],2,FALSE),0)</f>
        <v>11089674.200000001</v>
      </c>
      <c r="AW1670" s="246">
        <f>IFERROR(VLOOKUP(G1670,VOL_REC[],2,FALSE),0)</f>
        <v>90439.55</v>
      </c>
      <c r="AX1670" s="246">
        <f>IFERROR(VLOOKUP(H1670,VOL_REC[],2,FALSE),0)</f>
        <v>3761786</v>
      </c>
      <c r="AY1670" s="246">
        <f>IFERROR(VLOOKUP(I1670,VOL_REC[],2,FALSE),0)</f>
        <v>1812240</v>
      </c>
      <c r="AZ1670" s="246">
        <f>IFERROR(VLOOKUP(J1670,VOL_REC[],2,FALSE),0)</f>
        <v>240696.79238099116</v>
      </c>
      <c r="BA1670" s="246">
        <f>IFERROR(VLOOKUP(K1670,VOL_REC[],2,FALSE),0)</f>
        <v>663244.80000000016</v>
      </c>
      <c r="BB1670" s="246">
        <f>IFERROR(VLOOKUP(L1670,VOL_REC[],2,FALSE),0)</f>
        <v>17074.045034105649</v>
      </c>
      <c r="BC1670" s="246">
        <f>IFERROR(VLOOKUP(M1670,VOL_REC[],2,FALSE),0)</f>
        <v>1072354.9981737854</v>
      </c>
      <c r="BD1670" s="246">
        <f>IFERROR(VLOOKUP(N1670,VOL_REC[],2,FALSE),0)</f>
        <v>0</v>
      </c>
      <c r="BE1670" s="246">
        <f>IFERROR(VLOOKUP(O1670,VOL_REC[],2,FALSE),0)</f>
        <v>0</v>
      </c>
      <c r="BF1670" s="246">
        <f>IFERROR(VLOOKUP(P1670,VOL_REC[],2,FALSE),0)</f>
        <v>0</v>
      </c>
      <c r="BG1670" s="246">
        <f>IFERROR(VLOOKUP(Q1670,VOL_REC[],2,FALSE),0)</f>
        <v>0</v>
      </c>
      <c r="BH1670" s="1710">
        <f t="shared" si="104"/>
        <v>26295515328.53297</v>
      </c>
      <c r="BI1670" s="1710">
        <f t="shared" si="105"/>
        <v>24828358452.416855</v>
      </c>
      <c r="BJ1670" s="1711">
        <f t="shared" si="106"/>
        <v>18747510.385588884</v>
      </c>
      <c r="BK1670" s="1711">
        <f t="shared" si="107"/>
        <v>1.0590919806046741</v>
      </c>
      <c r="BL1670">
        <f>BJ1670</f>
        <v>18747510.385588884</v>
      </c>
      <c r="BO1670">
        <f>BL1670</f>
        <v>18747510.385588884</v>
      </c>
    </row>
    <row r="1671" spans="3:67" x14ac:dyDescent="0.25">
      <c r="C1671" s="246" t="s">
        <v>3021</v>
      </c>
      <c r="D1671" s="246">
        <v>1</v>
      </c>
      <c r="E1671" s="246">
        <v>2</v>
      </c>
      <c r="F1671" s="246">
        <v>3</v>
      </c>
      <c r="G1671" s="246">
        <v>4</v>
      </c>
      <c r="H1671" s="246">
        <v>9</v>
      </c>
      <c r="I1671" s="246">
        <v>10</v>
      </c>
      <c r="J1671" s="246">
        <v>12</v>
      </c>
      <c r="K1671" s="246">
        <v>13</v>
      </c>
      <c r="L1671" s="246">
        <v>14</v>
      </c>
      <c r="M1671" s="246">
        <v>17</v>
      </c>
      <c r="N1671" s="246"/>
      <c r="O1671" s="246"/>
      <c r="P1671" s="246"/>
      <c r="Q1671" s="246"/>
      <c r="R1671" s="246">
        <f>IFERROR(VLOOKUP(D1671,PROGRAMAS[],2,FALSE),0)</f>
        <v>97037803.679377079</v>
      </c>
      <c r="S1671" s="246">
        <f>IFERROR(VLOOKUP(E1671,PROGRAMAS[],2,FALSE),0)</f>
        <v>640501509.6821388</v>
      </c>
      <c r="T1671" s="246">
        <f>IFERROR(VLOOKUP(F1671,PROGRAMAS[],2,FALSE),0)</f>
        <v>3062327798.1525245</v>
      </c>
      <c r="U1671" s="246">
        <f>IFERROR(VLOOKUP(G1671,PROGRAMAS[],2,FALSE),0)</f>
        <v>67697118.033011258</v>
      </c>
      <c r="V1671" s="246">
        <f>IFERROR(VLOOKUP(H1671,PROGRAMAS[],2,FALSE),0)</f>
        <v>6128579952.1618185</v>
      </c>
      <c r="W1671" s="246">
        <f>IFERROR(VLOOKUP(I1671,PROGRAMAS[],2,FALSE),0)</f>
        <v>4635315027.8751087</v>
      </c>
      <c r="X1671" s="246">
        <f>IFERROR(VLOOKUP(J1671,PROGRAMAS[],2,FALSE),0)</f>
        <v>764796700.79905891</v>
      </c>
      <c r="Y1671" s="246">
        <f>IFERROR(VLOOKUP(K1671,PROGRAMAS[],2,FALSE),0)</f>
        <v>3776538594.4604583</v>
      </c>
      <c r="Z1671" s="246">
        <f>IFERROR(VLOOKUP(L1671,PROGRAMAS[],2,FALSE),0)</f>
        <v>54223862.645839565</v>
      </c>
      <c r="AA1671" s="246">
        <f>IFERROR(VLOOKUP(M1671,PROGRAMAS[],2,FALSE),0)</f>
        <v>1892779498.5211046</v>
      </c>
      <c r="AB1671" s="246">
        <f>IFERROR(VLOOKUP(N1671,PROGRAMAS[],2,FALSE),0)</f>
        <v>0</v>
      </c>
      <c r="AC1671" s="246">
        <f>IFERROR(VLOOKUP(O1671,PROGRAMAS[],2,FALSE),0)</f>
        <v>0</v>
      </c>
      <c r="AD1671" s="246">
        <f>IFERROR(VLOOKUP(P1671,PROGRAMAS[],2,FALSE),0)</f>
        <v>0</v>
      </c>
      <c r="AE1671" s="246">
        <f>IFERROR(VLOOKUP(Q1671,PROGRAMAS[],2,FALSE),0)</f>
        <v>0</v>
      </c>
      <c r="AF1671" s="246">
        <f>IFERROR(VLOOKUP(D1671,PROGRAMAS[],3,FALSE),0)</f>
        <v>841888629.31080008</v>
      </c>
      <c r="AG1671" s="246">
        <f>IFERROR(VLOOKUP(E1671,PROGRAMAS[],3,FALSE),0)</f>
        <v>3848980803.1642323</v>
      </c>
      <c r="AH1671" s="246">
        <f>IFERROR(VLOOKUP(F1671,PROGRAMAS[],3,FALSE),0)</f>
        <v>3394901471.387517</v>
      </c>
      <c r="AI1671" s="246">
        <f>IFERROR(VLOOKUP(G1671,PROGRAMAS[],3,FALSE),0)</f>
        <v>125317226.95549992</v>
      </c>
      <c r="AJ1671" s="246">
        <f>IFERROR(VLOOKUP(H1671,PROGRAMAS[],3,FALSE),0)</f>
        <v>7011279577.519702</v>
      </c>
      <c r="AK1671" s="246">
        <f>IFERROR(VLOOKUP(I1671,PROGRAMAS[],3,FALSE),0)</f>
        <v>4099471734.9978786</v>
      </c>
      <c r="AL1671" s="246">
        <f>IFERROR(VLOOKUP(J1671,PROGRAMAS[],3,FALSE),0)</f>
        <v>675517840.109828</v>
      </c>
      <c r="AM1671" s="246">
        <f>IFERROR(VLOOKUP(K1671,PROGRAMAS[],3,FALSE),0)</f>
        <v>2392571243.5584412</v>
      </c>
      <c r="AN1671" s="246">
        <f>IFERROR(VLOOKUP(L1671,PROGRAMAS[],3,FALSE),0)</f>
        <v>31865326.38096505</v>
      </c>
      <c r="AO1671" s="246">
        <f>IFERROR(VLOOKUP(M1671,PROGRAMAS[],3,FALSE),0)</f>
        <v>948595847.09039903</v>
      </c>
      <c r="AP1671" s="246">
        <f>IFERROR(VLOOKUP(N1671,PROGRAMAS[],3,FALSE),0)</f>
        <v>0</v>
      </c>
      <c r="AQ1671" s="246">
        <f>IFERROR(VLOOKUP(O1671,PROGRAMAS[],3,FALSE),0)</f>
        <v>0</v>
      </c>
      <c r="AR1671" s="246">
        <f>IFERROR(VLOOKUP(P1671,PROGRAMAS[],3,FALSE),0)</f>
        <v>0</v>
      </c>
      <c r="AS1671" s="246">
        <f>IFERROR(VLOOKUP(Q1671,PROGRAMAS[],3,FALSE),0)</f>
        <v>0</v>
      </c>
      <c r="AT1671" s="246">
        <f>IFERROR(VLOOKUP(D1671,VOL_REC[],2,FALSE),0)</f>
        <v>0</v>
      </c>
      <c r="AU1671" s="246">
        <f>IFERROR(VLOOKUP(E1671,VOL_REC[],2,FALSE),0)</f>
        <v>0</v>
      </c>
      <c r="AV1671" s="246">
        <f>IFERROR(VLOOKUP(F1671,VOL_REC[],2,FALSE),0)</f>
        <v>11089674.200000001</v>
      </c>
      <c r="AW1671" s="246">
        <f>IFERROR(VLOOKUP(G1671,VOL_REC[],2,FALSE),0)</f>
        <v>90439.55</v>
      </c>
      <c r="AX1671" s="246">
        <f>IFERROR(VLOOKUP(H1671,VOL_REC[],2,FALSE),0)</f>
        <v>3761786</v>
      </c>
      <c r="AY1671" s="246">
        <f>IFERROR(VLOOKUP(I1671,VOL_REC[],2,FALSE),0)</f>
        <v>1812240</v>
      </c>
      <c r="AZ1671" s="246">
        <f>IFERROR(VLOOKUP(J1671,VOL_REC[],2,FALSE),0)</f>
        <v>240696.79238099116</v>
      </c>
      <c r="BA1671" s="246">
        <f>IFERROR(VLOOKUP(K1671,VOL_REC[],2,FALSE),0)</f>
        <v>663244.80000000016</v>
      </c>
      <c r="BB1671" s="246">
        <f>IFERROR(VLOOKUP(L1671,VOL_REC[],2,FALSE),0)</f>
        <v>17074.045034105649</v>
      </c>
      <c r="BC1671" s="246">
        <f>IFERROR(VLOOKUP(M1671,VOL_REC[],2,FALSE),0)</f>
        <v>740113.98115702497</v>
      </c>
      <c r="BD1671" s="246">
        <f>IFERROR(VLOOKUP(N1671,VOL_REC[],2,FALSE),0)</f>
        <v>0</v>
      </c>
      <c r="BE1671" s="246">
        <f>IFERROR(VLOOKUP(O1671,VOL_REC[],2,FALSE),0)</f>
        <v>0</v>
      </c>
      <c r="BF1671" s="246">
        <f>IFERROR(VLOOKUP(P1671,VOL_REC[],2,FALSE),0)</f>
        <v>0</v>
      </c>
      <c r="BG1671" s="246">
        <f>IFERROR(VLOOKUP(Q1671,VOL_REC[],2,FALSE),0)</f>
        <v>0</v>
      </c>
      <c r="BH1671" s="1710">
        <f t="shared" si="104"/>
        <v>21119797866.010437</v>
      </c>
      <c r="BI1671" s="1710">
        <f t="shared" si="105"/>
        <v>23370389700.475266</v>
      </c>
      <c r="BJ1671" s="1711">
        <f t="shared" si="106"/>
        <v>18415269.368572123</v>
      </c>
      <c r="BK1671" s="1711">
        <f t="shared" si="107"/>
        <v>0.90369900274195858</v>
      </c>
    </row>
    <row r="1672" spans="3:67" x14ac:dyDescent="0.25">
      <c r="C1672" s="246" t="s">
        <v>3022</v>
      </c>
      <c r="D1672" s="246">
        <v>1</v>
      </c>
      <c r="E1672" s="246">
        <v>2</v>
      </c>
      <c r="F1672" s="246">
        <v>3</v>
      </c>
      <c r="G1672" s="246">
        <v>4</v>
      </c>
      <c r="H1672" s="246">
        <v>9</v>
      </c>
      <c r="I1672" s="246">
        <v>10</v>
      </c>
      <c r="J1672" s="246">
        <v>12</v>
      </c>
      <c r="K1672" s="246">
        <v>13</v>
      </c>
      <c r="L1672" s="246">
        <v>15</v>
      </c>
      <c r="M1672" s="246">
        <v>16</v>
      </c>
      <c r="N1672" s="246"/>
      <c r="O1672" s="246"/>
      <c r="P1672" s="246"/>
      <c r="Q1672" s="246"/>
      <c r="R1672" s="246">
        <f>IFERROR(VLOOKUP(D1672,PROGRAMAS[],2,FALSE),0)</f>
        <v>97037803.679377079</v>
      </c>
      <c r="S1672" s="246">
        <f>IFERROR(VLOOKUP(E1672,PROGRAMAS[],2,FALSE),0)</f>
        <v>640501509.6821388</v>
      </c>
      <c r="T1672" s="246">
        <f>IFERROR(VLOOKUP(F1672,PROGRAMAS[],2,FALSE),0)</f>
        <v>3062327798.1525245</v>
      </c>
      <c r="U1672" s="246">
        <f>IFERROR(VLOOKUP(G1672,PROGRAMAS[],2,FALSE),0)</f>
        <v>67697118.033011258</v>
      </c>
      <c r="V1672" s="246">
        <f>IFERROR(VLOOKUP(H1672,PROGRAMAS[],2,FALSE),0)</f>
        <v>6128579952.1618185</v>
      </c>
      <c r="W1672" s="246">
        <f>IFERROR(VLOOKUP(I1672,PROGRAMAS[],2,FALSE),0)</f>
        <v>4635315027.8751087</v>
      </c>
      <c r="X1672" s="246">
        <f>IFERROR(VLOOKUP(J1672,PROGRAMAS[],2,FALSE),0)</f>
        <v>764796700.79905891</v>
      </c>
      <c r="Y1672" s="246">
        <f>IFERROR(VLOOKUP(K1672,PROGRAMAS[],2,FALSE),0)</f>
        <v>3776538594.4604583</v>
      </c>
      <c r="Z1672" s="246">
        <f>IFERROR(VLOOKUP(L1672,PROGRAMAS[],2,FALSE),0)</f>
        <v>122159672.96346797</v>
      </c>
      <c r="AA1672" s="246">
        <f>IFERROR(VLOOKUP(M1672,PROGRAMAS[],2,FALSE),0)</f>
        <v>7068496961.0436354</v>
      </c>
      <c r="AB1672" s="246">
        <f>IFERROR(VLOOKUP(N1672,PROGRAMAS[],2,FALSE),0)</f>
        <v>0</v>
      </c>
      <c r="AC1672" s="246">
        <f>IFERROR(VLOOKUP(O1672,PROGRAMAS[],2,FALSE),0)</f>
        <v>0</v>
      </c>
      <c r="AD1672" s="246">
        <f>IFERROR(VLOOKUP(P1672,PROGRAMAS[],2,FALSE),0)</f>
        <v>0</v>
      </c>
      <c r="AE1672" s="246">
        <f>IFERROR(VLOOKUP(Q1672,PROGRAMAS[],2,FALSE),0)</f>
        <v>0</v>
      </c>
      <c r="AF1672" s="246">
        <f>IFERROR(VLOOKUP(D1672,PROGRAMAS[],3,FALSE),0)</f>
        <v>841888629.31080008</v>
      </c>
      <c r="AG1672" s="246">
        <f>IFERROR(VLOOKUP(E1672,PROGRAMAS[],3,FALSE),0)</f>
        <v>3848980803.1642323</v>
      </c>
      <c r="AH1672" s="246">
        <f>IFERROR(VLOOKUP(F1672,PROGRAMAS[],3,FALSE),0)</f>
        <v>3394901471.387517</v>
      </c>
      <c r="AI1672" s="246">
        <f>IFERROR(VLOOKUP(G1672,PROGRAMAS[],3,FALSE),0)</f>
        <v>125317226.95549992</v>
      </c>
      <c r="AJ1672" s="246">
        <f>IFERROR(VLOOKUP(H1672,PROGRAMAS[],3,FALSE),0)</f>
        <v>7011279577.519702</v>
      </c>
      <c r="AK1672" s="246">
        <f>IFERROR(VLOOKUP(I1672,PROGRAMAS[],3,FALSE),0)</f>
        <v>4099471734.9978786</v>
      </c>
      <c r="AL1672" s="246">
        <f>IFERROR(VLOOKUP(J1672,PROGRAMAS[],3,FALSE),0)</f>
        <v>675517840.109828</v>
      </c>
      <c r="AM1672" s="246">
        <f>IFERROR(VLOOKUP(K1672,PROGRAMAS[],3,FALSE),0)</f>
        <v>2392571243.5584412</v>
      </c>
      <c r="AN1672" s="246">
        <f>IFERROR(VLOOKUP(L1672,PROGRAMAS[],3,FALSE),0)</f>
        <v>118617452.52510804</v>
      </c>
      <c r="AO1672" s="246">
        <f>IFERROR(VLOOKUP(M1672,PROGRAMAS[],3,FALSE),0)</f>
        <v>2406564599.0319901</v>
      </c>
      <c r="AP1672" s="246">
        <f>IFERROR(VLOOKUP(N1672,PROGRAMAS[],3,FALSE),0)</f>
        <v>0</v>
      </c>
      <c r="AQ1672" s="246">
        <f>IFERROR(VLOOKUP(O1672,PROGRAMAS[],3,FALSE),0)</f>
        <v>0</v>
      </c>
      <c r="AR1672" s="246">
        <f>IFERROR(VLOOKUP(P1672,PROGRAMAS[],3,FALSE),0)</f>
        <v>0</v>
      </c>
      <c r="AS1672" s="246">
        <f>IFERROR(VLOOKUP(Q1672,PROGRAMAS[],3,FALSE),0)</f>
        <v>0</v>
      </c>
      <c r="AT1672" s="246">
        <f>IFERROR(VLOOKUP(D1672,VOL_REC[],2,FALSE),0)</f>
        <v>0</v>
      </c>
      <c r="AU1672" s="246">
        <f>IFERROR(VLOOKUP(E1672,VOL_REC[],2,FALSE),0)</f>
        <v>0</v>
      </c>
      <c r="AV1672" s="246">
        <f>IFERROR(VLOOKUP(F1672,VOL_REC[],2,FALSE),0)</f>
        <v>11089674.200000001</v>
      </c>
      <c r="AW1672" s="246">
        <f>IFERROR(VLOOKUP(G1672,VOL_REC[],2,FALSE),0)</f>
        <v>90439.55</v>
      </c>
      <c r="AX1672" s="246">
        <f>IFERROR(VLOOKUP(H1672,VOL_REC[],2,FALSE),0)</f>
        <v>3761786</v>
      </c>
      <c r="AY1672" s="246">
        <f>IFERROR(VLOOKUP(I1672,VOL_REC[],2,FALSE),0)</f>
        <v>1812240</v>
      </c>
      <c r="AZ1672" s="246">
        <f>IFERROR(VLOOKUP(J1672,VOL_REC[],2,FALSE),0)</f>
        <v>240696.79238099116</v>
      </c>
      <c r="BA1672" s="246">
        <f>IFERROR(VLOOKUP(K1672,VOL_REC[],2,FALSE),0)</f>
        <v>663244.80000000016</v>
      </c>
      <c r="BB1672" s="246">
        <f>IFERROR(VLOOKUP(L1672,VOL_REC[],2,FALSE),0)</f>
        <v>105072</v>
      </c>
      <c r="BC1672" s="246">
        <f>IFERROR(VLOOKUP(M1672,VOL_REC[],2,FALSE),0)</f>
        <v>1072354.9981737854</v>
      </c>
      <c r="BD1672" s="246">
        <f>IFERROR(VLOOKUP(N1672,VOL_REC[],2,FALSE),0)</f>
        <v>0</v>
      </c>
      <c r="BE1672" s="246">
        <f>IFERROR(VLOOKUP(O1672,VOL_REC[],2,FALSE),0)</f>
        <v>0</v>
      </c>
      <c r="BF1672" s="246">
        <f>IFERROR(VLOOKUP(P1672,VOL_REC[],2,FALSE),0)</f>
        <v>0</v>
      </c>
      <c r="BG1672" s="246">
        <f>IFERROR(VLOOKUP(Q1672,VOL_REC[],2,FALSE),0)</f>
        <v>0</v>
      </c>
      <c r="BH1672" s="1710">
        <f t="shared" si="104"/>
        <v>26363451138.850597</v>
      </c>
      <c r="BI1672" s="1710">
        <f t="shared" si="105"/>
        <v>24915110578.560997</v>
      </c>
      <c r="BJ1672" s="1711">
        <f t="shared" si="106"/>
        <v>18835508.340554778</v>
      </c>
      <c r="BK1672" s="1711">
        <f t="shared" si="107"/>
        <v>1.0581310107263129</v>
      </c>
      <c r="BL1672">
        <f>BJ1672</f>
        <v>18835508.340554778</v>
      </c>
      <c r="BO1672">
        <f>BL1672</f>
        <v>18835508.340554778</v>
      </c>
    </row>
    <row r="1673" spans="3:67" x14ac:dyDescent="0.25">
      <c r="C1673" s="246" t="s">
        <v>3023</v>
      </c>
      <c r="D1673" s="246">
        <v>1</v>
      </c>
      <c r="E1673" s="246">
        <v>2</v>
      </c>
      <c r="F1673" s="246">
        <v>3</v>
      </c>
      <c r="G1673" s="246">
        <v>4</v>
      </c>
      <c r="H1673" s="246">
        <v>9</v>
      </c>
      <c r="I1673" s="246">
        <v>10</v>
      </c>
      <c r="J1673" s="246">
        <v>12</v>
      </c>
      <c r="K1673" s="246">
        <v>13</v>
      </c>
      <c r="L1673" s="246">
        <v>15</v>
      </c>
      <c r="M1673" s="246">
        <v>17</v>
      </c>
      <c r="N1673" s="246"/>
      <c r="O1673" s="246"/>
      <c r="P1673" s="246"/>
      <c r="Q1673" s="246"/>
      <c r="R1673" s="246">
        <f>IFERROR(VLOOKUP(D1673,PROGRAMAS[],2,FALSE),0)</f>
        <v>97037803.679377079</v>
      </c>
      <c r="S1673" s="246">
        <f>IFERROR(VLOOKUP(E1673,PROGRAMAS[],2,FALSE),0)</f>
        <v>640501509.6821388</v>
      </c>
      <c r="T1673" s="246">
        <f>IFERROR(VLOOKUP(F1673,PROGRAMAS[],2,FALSE),0)</f>
        <v>3062327798.1525245</v>
      </c>
      <c r="U1673" s="246">
        <f>IFERROR(VLOOKUP(G1673,PROGRAMAS[],2,FALSE),0)</f>
        <v>67697118.033011258</v>
      </c>
      <c r="V1673" s="246">
        <f>IFERROR(VLOOKUP(H1673,PROGRAMAS[],2,FALSE),0)</f>
        <v>6128579952.1618185</v>
      </c>
      <c r="W1673" s="246">
        <f>IFERROR(VLOOKUP(I1673,PROGRAMAS[],2,FALSE),0)</f>
        <v>4635315027.8751087</v>
      </c>
      <c r="X1673" s="246">
        <f>IFERROR(VLOOKUP(J1673,PROGRAMAS[],2,FALSE),0)</f>
        <v>764796700.79905891</v>
      </c>
      <c r="Y1673" s="246">
        <f>IFERROR(VLOOKUP(K1673,PROGRAMAS[],2,FALSE),0)</f>
        <v>3776538594.4604583</v>
      </c>
      <c r="Z1673" s="246">
        <f>IFERROR(VLOOKUP(L1673,PROGRAMAS[],2,FALSE),0)</f>
        <v>122159672.96346797</v>
      </c>
      <c r="AA1673" s="246">
        <f>IFERROR(VLOOKUP(M1673,PROGRAMAS[],2,FALSE),0)</f>
        <v>1892779498.5211046</v>
      </c>
      <c r="AB1673" s="246">
        <f>IFERROR(VLOOKUP(N1673,PROGRAMAS[],2,FALSE),0)</f>
        <v>0</v>
      </c>
      <c r="AC1673" s="246">
        <f>IFERROR(VLOOKUP(O1673,PROGRAMAS[],2,FALSE),0)</f>
        <v>0</v>
      </c>
      <c r="AD1673" s="246">
        <f>IFERROR(VLOOKUP(P1673,PROGRAMAS[],2,FALSE),0)</f>
        <v>0</v>
      </c>
      <c r="AE1673" s="246">
        <f>IFERROR(VLOOKUP(Q1673,PROGRAMAS[],2,FALSE),0)</f>
        <v>0</v>
      </c>
      <c r="AF1673" s="246">
        <f>IFERROR(VLOOKUP(D1673,PROGRAMAS[],3,FALSE),0)</f>
        <v>841888629.31080008</v>
      </c>
      <c r="AG1673" s="246">
        <f>IFERROR(VLOOKUP(E1673,PROGRAMAS[],3,FALSE),0)</f>
        <v>3848980803.1642323</v>
      </c>
      <c r="AH1673" s="246">
        <f>IFERROR(VLOOKUP(F1673,PROGRAMAS[],3,FALSE),0)</f>
        <v>3394901471.387517</v>
      </c>
      <c r="AI1673" s="246">
        <f>IFERROR(VLOOKUP(G1673,PROGRAMAS[],3,FALSE),0)</f>
        <v>125317226.95549992</v>
      </c>
      <c r="AJ1673" s="246">
        <f>IFERROR(VLOOKUP(H1673,PROGRAMAS[],3,FALSE),0)</f>
        <v>7011279577.519702</v>
      </c>
      <c r="AK1673" s="246">
        <f>IFERROR(VLOOKUP(I1673,PROGRAMAS[],3,FALSE),0)</f>
        <v>4099471734.9978786</v>
      </c>
      <c r="AL1673" s="246">
        <f>IFERROR(VLOOKUP(J1673,PROGRAMAS[],3,FALSE),0)</f>
        <v>675517840.109828</v>
      </c>
      <c r="AM1673" s="246">
        <f>IFERROR(VLOOKUP(K1673,PROGRAMAS[],3,FALSE),0)</f>
        <v>2392571243.5584412</v>
      </c>
      <c r="AN1673" s="246">
        <f>IFERROR(VLOOKUP(L1673,PROGRAMAS[],3,FALSE),0)</f>
        <v>118617452.52510804</v>
      </c>
      <c r="AO1673" s="246">
        <f>IFERROR(VLOOKUP(M1673,PROGRAMAS[],3,FALSE),0)</f>
        <v>948595847.09039903</v>
      </c>
      <c r="AP1673" s="246">
        <f>IFERROR(VLOOKUP(N1673,PROGRAMAS[],3,FALSE),0)</f>
        <v>0</v>
      </c>
      <c r="AQ1673" s="246">
        <f>IFERROR(VLOOKUP(O1673,PROGRAMAS[],3,FALSE),0)</f>
        <v>0</v>
      </c>
      <c r="AR1673" s="246">
        <f>IFERROR(VLOOKUP(P1673,PROGRAMAS[],3,FALSE),0)</f>
        <v>0</v>
      </c>
      <c r="AS1673" s="246">
        <f>IFERROR(VLOOKUP(Q1673,PROGRAMAS[],3,FALSE),0)</f>
        <v>0</v>
      </c>
      <c r="AT1673" s="246">
        <f>IFERROR(VLOOKUP(D1673,VOL_REC[],2,FALSE),0)</f>
        <v>0</v>
      </c>
      <c r="AU1673" s="246">
        <f>IFERROR(VLOOKUP(E1673,VOL_REC[],2,FALSE),0)</f>
        <v>0</v>
      </c>
      <c r="AV1673" s="246">
        <f>IFERROR(VLOOKUP(F1673,VOL_REC[],2,FALSE),0)</f>
        <v>11089674.200000001</v>
      </c>
      <c r="AW1673" s="246">
        <f>IFERROR(VLOOKUP(G1673,VOL_REC[],2,FALSE),0)</f>
        <v>90439.55</v>
      </c>
      <c r="AX1673" s="246">
        <f>IFERROR(VLOOKUP(H1673,VOL_REC[],2,FALSE),0)</f>
        <v>3761786</v>
      </c>
      <c r="AY1673" s="246">
        <f>IFERROR(VLOOKUP(I1673,VOL_REC[],2,FALSE),0)</f>
        <v>1812240</v>
      </c>
      <c r="AZ1673" s="246">
        <f>IFERROR(VLOOKUP(J1673,VOL_REC[],2,FALSE),0)</f>
        <v>240696.79238099116</v>
      </c>
      <c r="BA1673" s="246">
        <f>IFERROR(VLOOKUP(K1673,VOL_REC[],2,FALSE),0)</f>
        <v>663244.80000000016</v>
      </c>
      <c r="BB1673" s="246">
        <f>IFERROR(VLOOKUP(L1673,VOL_REC[],2,FALSE),0)</f>
        <v>105072</v>
      </c>
      <c r="BC1673" s="246">
        <f>IFERROR(VLOOKUP(M1673,VOL_REC[],2,FALSE),0)</f>
        <v>740113.98115702497</v>
      </c>
      <c r="BD1673" s="246">
        <f>IFERROR(VLOOKUP(N1673,VOL_REC[],2,FALSE),0)</f>
        <v>0</v>
      </c>
      <c r="BE1673" s="246">
        <f>IFERROR(VLOOKUP(O1673,VOL_REC[],2,FALSE),0)</f>
        <v>0</v>
      </c>
      <c r="BF1673" s="246">
        <f>IFERROR(VLOOKUP(P1673,VOL_REC[],2,FALSE),0)</f>
        <v>0</v>
      </c>
      <c r="BG1673" s="246">
        <f>IFERROR(VLOOKUP(Q1673,VOL_REC[],2,FALSE),0)</f>
        <v>0</v>
      </c>
      <c r="BH1673" s="1710">
        <f t="shared" si="104"/>
        <v>21187733676.328064</v>
      </c>
      <c r="BI1673" s="1710">
        <f t="shared" si="105"/>
        <v>23457141826.619408</v>
      </c>
      <c r="BJ1673" s="1711">
        <f t="shared" si="106"/>
        <v>18503267.323538017</v>
      </c>
      <c r="BK1673" s="1711">
        <f t="shared" si="107"/>
        <v>0.90325299786881985</v>
      </c>
    </row>
    <row r="1674" spans="3:67" x14ac:dyDescent="0.25">
      <c r="C1674" s="246" t="s">
        <v>3024</v>
      </c>
      <c r="D1674" s="246">
        <v>1</v>
      </c>
      <c r="E1674" s="246">
        <v>2</v>
      </c>
      <c r="F1674" s="246">
        <v>3</v>
      </c>
      <c r="G1674" s="246">
        <v>4</v>
      </c>
      <c r="H1674" s="246">
        <v>9</v>
      </c>
      <c r="I1674" s="246">
        <v>10</v>
      </c>
      <c r="J1674" s="246">
        <v>12</v>
      </c>
      <c r="K1674" s="246">
        <v>13</v>
      </c>
      <c r="L1674" s="246">
        <v>16</v>
      </c>
      <c r="M1674" s="246">
        <v>17</v>
      </c>
      <c r="N1674" s="246"/>
      <c r="O1674" s="246"/>
      <c r="P1674" s="246"/>
      <c r="Q1674" s="246"/>
      <c r="R1674" s="246">
        <f>IFERROR(VLOOKUP(D1674,PROGRAMAS[],2,FALSE),0)</f>
        <v>97037803.679377079</v>
      </c>
      <c r="S1674" s="246">
        <f>IFERROR(VLOOKUP(E1674,PROGRAMAS[],2,FALSE),0)</f>
        <v>640501509.6821388</v>
      </c>
      <c r="T1674" s="246">
        <f>IFERROR(VLOOKUP(F1674,PROGRAMAS[],2,FALSE),0)</f>
        <v>3062327798.1525245</v>
      </c>
      <c r="U1674" s="246">
        <f>IFERROR(VLOOKUP(G1674,PROGRAMAS[],2,FALSE),0)</f>
        <v>67697118.033011258</v>
      </c>
      <c r="V1674" s="246">
        <f>IFERROR(VLOOKUP(H1674,PROGRAMAS[],2,FALSE),0)</f>
        <v>6128579952.1618185</v>
      </c>
      <c r="W1674" s="246">
        <f>IFERROR(VLOOKUP(I1674,PROGRAMAS[],2,FALSE),0)</f>
        <v>4635315027.8751087</v>
      </c>
      <c r="X1674" s="246">
        <f>IFERROR(VLOOKUP(J1674,PROGRAMAS[],2,FALSE),0)</f>
        <v>764796700.79905891</v>
      </c>
      <c r="Y1674" s="246">
        <f>IFERROR(VLOOKUP(K1674,PROGRAMAS[],2,FALSE),0)</f>
        <v>3776538594.4604583</v>
      </c>
      <c r="Z1674" s="246">
        <f>IFERROR(VLOOKUP(L1674,PROGRAMAS[],2,FALSE),0)</f>
        <v>7068496961.0436354</v>
      </c>
      <c r="AA1674" s="246">
        <f>IFERROR(VLOOKUP(M1674,PROGRAMAS[],2,FALSE),0)</f>
        <v>1892779498.5211046</v>
      </c>
      <c r="AB1674" s="246">
        <f>IFERROR(VLOOKUP(N1674,PROGRAMAS[],2,FALSE),0)</f>
        <v>0</v>
      </c>
      <c r="AC1674" s="246">
        <f>IFERROR(VLOOKUP(O1674,PROGRAMAS[],2,FALSE),0)</f>
        <v>0</v>
      </c>
      <c r="AD1674" s="246">
        <f>IFERROR(VLOOKUP(P1674,PROGRAMAS[],2,FALSE),0)</f>
        <v>0</v>
      </c>
      <c r="AE1674" s="246">
        <f>IFERROR(VLOOKUP(Q1674,PROGRAMAS[],2,FALSE),0)</f>
        <v>0</v>
      </c>
      <c r="AF1674" s="246">
        <f>IFERROR(VLOOKUP(D1674,PROGRAMAS[],3,FALSE),0)</f>
        <v>841888629.31080008</v>
      </c>
      <c r="AG1674" s="246">
        <f>IFERROR(VLOOKUP(E1674,PROGRAMAS[],3,FALSE),0)</f>
        <v>3848980803.1642323</v>
      </c>
      <c r="AH1674" s="246">
        <f>IFERROR(VLOOKUP(F1674,PROGRAMAS[],3,FALSE),0)</f>
        <v>3394901471.387517</v>
      </c>
      <c r="AI1674" s="246">
        <f>IFERROR(VLOOKUP(G1674,PROGRAMAS[],3,FALSE),0)</f>
        <v>125317226.95549992</v>
      </c>
      <c r="AJ1674" s="246">
        <f>IFERROR(VLOOKUP(H1674,PROGRAMAS[],3,FALSE),0)</f>
        <v>7011279577.519702</v>
      </c>
      <c r="AK1674" s="246">
        <f>IFERROR(VLOOKUP(I1674,PROGRAMAS[],3,FALSE),0)</f>
        <v>4099471734.9978786</v>
      </c>
      <c r="AL1674" s="246">
        <f>IFERROR(VLOOKUP(J1674,PROGRAMAS[],3,FALSE),0)</f>
        <v>675517840.109828</v>
      </c>
      <c r="AM1674" s="246">
        <f>IFERROR(VLOOKUP(K1674,PROGRAMAS[],3,FALSE),0)</f>
        <v>2392571243.5584412</v>
      </c>
      <c r="AN1674" s="246">
        <f>IFERROR(VLOOKUP(L1674,PROGRAMAS[],3,FALSE),0)</f>
        <v>2406564599.0319901</v>
      </c>
      <c r="AO1674" s="246">
        <f>IFERROR(VLOOKUP(M1674,PROGRAMAS[],3,FALSE),0)</f>
        <v>948595847.09039903</v>
      </c>
      <c r="AP1674" s="246">
        <f>IFERROR(VLOOKUP(N1674,PROGRAMAS[],3,FALSE),0)</f>
        <v>0</v>
      </c>
      <c r="AQ1674" s="246">
        <f>IFERROR(VLOOKUP(O1674,PROGRAMAS[],3,FALSE),0)</f>
        <v>0</v>
      </c>
      <c r="AR1674" s="246">
        <f>IFERROR(VLOOKUP(P1674,PROGRAMAS[],3,FALSE),0)</f>
        <v>0</v>
      </c>
      <c r="AS1674" s="246">
        <f>IFERROR(VLOOKUP(Q1674,PROGRAMAS[],3,FALSE),0)</f>
        <v>0</v>
      </c>
      <c r="AT1674" s="246">
        <f>IFERROR(VLOOKUP(D1674,VOL_REC[],2,FALSE),0)</f>
        <v>0</v>
      </c>
      <c r="AU1674" s="246">
        <f>IFERROR(VLOOKUP(E1674,VOL_REC[],2,FALSE),0)</f>
        <v>0</v>
      </c>
      <c r="AV1674" s="246">
        <f>IFERROR(VLOOKUP(F1674,VOL_REC[],2,FALSE),0)</f>
        <v>11089674.200000001</v>
      </c>
      <c r="AW1674" s="246">
        <f>IFERROR(VLOOKUP(G1674,VOL_REC[],2,FALSE),0)</f>
        <v>90439.55</v>
      </c>
      <c r="AX1674" s="246">
        <f>IFERROR(VLOOKUP(H1674,VOL_REC[],2,FALSE),0)</f>
        <v>3761786</v>
      </c>
      <c r="AY1674" s="246">
        <f>IFERROR(VLOOKUP(I1674,VOL_REC[],2,FALSE),0)</f>
        <v>1812240</v>
      </c>
      <c r="AZ1674" s="246">
        <f>IFERROR(VLOOKUP(J1674,VOL_REC[],2,FALSE),0)</f>
        <v>240696.79238099116</v>
      </c>
      <c r="BA1674" s="246">
        <f>IFERROR(VLOOKUP(K1674,VOL_REC[],2,FALSE),0)</f>
        <v>663244.80000000016</v>
      </c>
      <c r="BB1674" s="246">
        <f>IFERROR(VLOOKUP(L1674,VOL_REC[],2,FALSE),0)</f>
        <v>1072354.9981737854</v>
      </c>
      <c r="BC1674" s="246">
        <f>IFERROR(VLOOKUP(M1674,VOL_REC[],2,FALSE),0)</f>
        <v>740113.98115702497</v>
      </c>
      <c r="BD1674" s="246">
        <f>IFERROR(VLOOKUP(N1674,VOL_REC[],2,FALSE),0)</f>
        <v>0</v>
      </c>
      <c r="BE1674" s="246">
        <f>IFERROR(VLOOKUP(O1674,VOL_REC[],2,FALSE),0)</f>
        <v>0</v>
      </c>
      <c r="BF1674" s="246">
        <f>IFERROR(VLOOKUP(P1674,VOL_REC[],2,FALSE),0)</f>
        <v>0</v>
      </c>
      <c r="BG1674" s="246">
        <f>IFERROR(VLOOKUP(Q1674,VOL_REC[],2,FALSE),0)</f>
        <v>0</v>
      </c>
      <c r="BH1674" s="1710">
        <f t="shared" si="104"/>
        <v>28134070964.408234</v>
      </c>
      <c r="BI1674" s="1710">
        <f t="shared" si="105"/>
        <v>25745088973.126289</v>
      </c>
      <c r="BJ1674" s="1711">
        <f t="shared" si="106"/>
        <v>19470550.321711801</v>
      </c>
      <c r="BK1674" s="1711">
        <f t="shared" si="107"/>
        <v>1.0927936972280676</v>
      </c>
      <c r="BL1674">
        <f>BJ1674</f>
        <v>19470550.321711801</v>
      </c>
      <c r="BO1674">
        <f>BL1674</f>
        <v>19470550.321711801</v>
      </c>
    </row>
    <row r="1675" spans="3:67" x14ac:dyDescent="0.25">
      <c r="C1675" s="246" t="s">
        <v>3025</v>
      </c>
      <c r="D1675" s="246">
        <v>1</v>
      </c>
      <c r="E1675" s="246">
        <v>2</v>
      </c>
      <c r="F1675" s="246">
        <v>3</v>
      </c>
      <c r="G1675" s="246">
        <v>4</v>
      </c>
      <c r="H1675" s="246">
        <v>9</v>
      </c>
      <c r="I1675" s="246">
        <v>10</v>
      </c>
      <c r="J1675" s="246">
        <v>12</v>
      </c>
      <c r="K1675" s="246">
        <v>14</v>
      </c>
      <c r="L1675" s="246">
        <v>15</v>
      </c>
      <c r="M1675" s="246">
        <v>16</v>
      </c>
      <c r="N1675" s="246"/>
      <c r="O1675" s="246"/>
      <c r="P1675" s="246"/>
      <c r="Q1675" s="246"/>
      <c r="R1675" s="246">
        <f>IFERROR(VLOOKUP(D1675,PROGRAMAS[],2,FALSE),0)</f>
        <v>97037803.679377079</v>
      </c>
      <c r="S1675" s="246">
        <f>IFERROR(VLOOKUP(E1675,PROGRAMAS[],2,FALSE),0)</f>
        <v>640501509.6821388</v>
      </c>
      <c r="T1675" s="246">
        <f>IFERROR(VLOOKUP(F1675,PROGRAMAS[],2,FALSE),0)</f>
        <v>3062327798.1525245</v>
      </c>
      <c r="U1675" s="246">
        <f>IFERROR(VLOOKUP(G1675,PROGRAMAS[],2,FALSE),0)</f>
        <v>67697118.033011258</v>
      </c>
      <c r="V1675" s="246">
        <f>IFERROR(VLOOKUP(H1675,PROGRAMAS[],2,FALSE),0)</f>
        <v>6128579952.1618185</v>
      </c>
      <c r="W1675" s="246">
        <f>IFERROR(VLOOKUP(I1675,PROGRAMAS[],2,FALSE),0)</f>
        <v>4635315027.8751087</v>
      </c>
      <c r="X1675" s="246">
        <f>IFERROR(VLOOKUP(J1675,PROGRAMAS[],2,FALSE),0)</f>
        <v>764796700.79905891</v>
      </c>
      <c r="Y1675" s="246">
        <f>IFERROR(VLOOKUP(K1675,PROGRAMAS[],2,FALSE),0)</f>
        <v>54223862.645839565</v>
      </c>
      <c r="Z1675" s="246">
        <f>IFERROR(VLOOKUP(L1675,PROGRAMAS[],2,FALSE),0)</f>
        <v>122159672.96346797</v>
      </c>
      <c r="AA1675" s="246">
        <f>IFERROR(VLOOKUP(M1675,PROGRAMAS[],2,FALSE),0)</f>
        <v>7068496961.0436354</v>
      </c>
      <c r="AB1675" s="246">
        <f>IFERROR(VLOOKUP(N1675,PROGRAMAS[],2,FALSE),0)</f>
        <v>0</v>
      </c>
      <c r="AC1675" s="246">
        <f>IFERROR(VLOOKUP(O1675,PROGRAMAS[],2,FALSE),0)</f>
        <v>0</v>
      </c>
      <c r="AD1675" s="246">
        <f>IFERROR(VLOOKUP(P1675,PROGRAMAS[],2,FALSE),0)</f>
        <v>0</v>
      </c>
      <c r="AE1675" s="246">
        <f>IFERROR(VLOOKUP(Q1675,PROGRAMAS[],2,FALSE),0)</f>
        <v>0</v>
      </c>
      <c r="AF1675" s="246">
        <f>IFERROR(VLOOKUP(D1675,PROGRAMAS[],3,FALSE),0)</f>
        <v>841888629.31080008</v>
      </c>
      <c r="AG1675" s="246">
        <f>IFERROR(VLOOKUP(E1675,PROGRAMAS[],3,FALSE),0)</f>
        <v>3848980803.1642323</v>
      </c>
      <c r="AH1675" s="246">
        <f>IFERROR(VLOOKUP(F1675,PROGRAMAS[],3,FALSE),0)</f>
        <v>3394901471.387517</v>
      </c>
      <c r="AI1675" s="246">
        <f>IFERROR(VLOOKUP(G1675,PROGRAMAS[],3,FALSE),0)</f>
        <v>125317226.95549992</v>
      </c>
      <c r="AJ1675" s="246">
        <f>IFERROR(VLOOKUP(H1675,PROGRAMAS[],3,FALSE),0)</f>
        <v>7011279577.519702</v>
      </c>
      <c r="AK1675" s="246">
        <f>IFERROR(VLOOKUP(I1675,PROGRAMAS[],3,FALSE),0)</f>
        <v>4099471734.9978786</v>
      </c>
      <c r="AL1675" s="246">
        <f>IFERROR(VLOOKUP(J1675,PROGRAMAS[],3,FALSE),0)</f>
        <v>675517840.109828</v>
      </c>
      <c r="AM1675" s="246">
        <f>IFERROR(VLOOKUP(K1675,PROGRAMAS[],3,FALSE),0)</f>
        <v>31865326.38096505</v>
      </c>
      <c r="AN1675" s="246">
        <f>IFERROR(VLOOKUP(L1675,PROGRAMAS[],3,FALSE),0)</f>
        <v>118617452.52510804</v>
      </c>
      <c r="AO1675" s="246">
        <f>IFERROR(VLOOKUP(M1675,PROGRAMAS[],3,FALSE),0)</f>
        <v>2406564599.0319901</v>
      </c>
      <c r="AP1675" s="246">
        <f>IFERROR(VLOOKUP(N1675,PROGRAMAS[],3,FALSE),0)</f>
        <v>0</v>
      </c>
      <c r="AQ1675" s="246">
        <f>IFERROR(VLOOKUP(O1675,PROGRAMAS[],3,FALSE),0)</f>
        <v>0</v>
      </c>
      <c r="AR1675" s="246">
        <f>IFERROR(VLOOKUP(P1675,PROGRAMAS[],3,FALSE),0)</f>
        <v>0</v>
      </c>
      <c r="AS1675" s="246">
        <f>IFERROR(VLOOKUP(Q1675,PROGRAMAS[],3,FALSE),0)</f>
        <v>0</v>
      </c>
      <c r="AT1675" s="246">
        <f>IFERROR(VLOOKUP(D1675,VOL_REC[],2,FALSE),0)</f>
        <v>0</v>
      </c>
      <c r="AU1675" s="246">
        <f>IFERROR(VLOOKUP(E1675,VOL_REC[],2,FALSE),0)</f>
        <v>0</v>
      </c>
      <c r="AV1675" s="246">
        <f>IFERROR(VLOOKUP(F1675,VOL_REC[],2,FALSE),0)</f>
        <v>11089674.200000001</v>
      </c>
      <c r="AW1675" s="246">
        <f>IFERROR(VLOOKUP(G1675,VOL_REC[],2,FALSE),0)</f>
        <v>90439.55</v>
      </c>
      <c r="AX1675" s="246">
        <f>IFERROR(VLOOKUP(H1675,VOL_REC[],2,FALSE),0)</f>
        <v>3761786</v>
      </c>
      <c r="AY1675" s="246">
        <f>IFERROR(VLOOKUP(I1675,VOL_REC[],2,FALSE),0)</f>
        <v>1812240</v>
      </c>
      <c r="AZ1675" s="246">
        <f>IFERROR(VLOOKUP(J1675,VOL_REC[],2,FALSE),0)</f>
        <v>240696.79238099116</v>
      </c>
      <c r="BA1675" s="246">
        <f>IFERROR(VLOOKUP(K1675,VOL_REC[],2,FALSE),0)</f>
        <v>17074.045034105649</v>
      </c>
      <c r="BB1675" s="246">
        <f>IFERROR(VLOOKUP(L1675,VOL_REC[],2,FALSE),0)</f>
        <v>105072</v>
      </c>
      <c r="BC1675" s="246">
        <f>IFERROR(VLOOKUP(M1675,VOL_REC[],2,FALSE),0)</f>
        <v>1072354.9981737854</v>
      </c>
      <c r="BD1675" s="246">
        <f>IFERROR(VLOOKUP(N1675,VOL_REC[],2,FALSE),0)</f>
        <v>0</v>
      </c>
      <c r="BE1675" s="246">
        <f>IFERROR(VLOOKUP(O1675,VOL_REC[],2,FALSE),0)</f>
        <v>0</v>
      </c>
      <c r="BF1675" s="246">
        <f>IFERROR(VLOOKUP(P1675,VOL_REC[],2,FALSE),0)</f>
        <v>0</v>
      </c>
      <c r="BG1675" s="246">
        <f>IFERROR(VLOOKUP(Q1675,VOL_REC[],2,FALSE),0)</f>
        <v>0</v>
      </c>
      <c r="BH1675" s="1710">
        <f t="shared" si="104"/>
        <v>22641136407.03598</v>
      </c>
      <c r="BI1675" s="1710">
        <f t="shared" si="105"/>
        <v>22554404661.383522</v>
      </c>
      <c r="BJ1675" s="1711">
        <f t="shared" si="106"/>
        <v>18189337.585588884</v>
      </c>
      <c r="BK1675" s="1711">
        <f t="shared" si="107"/>
        <v>1.003845446020615</v>
      </c>
      <c r="BL1675">
        <f>BJ1675</f>
        <v>18189337.585588884</v>
      </c>
      <c r="BO1675">
        <f>BL1675</f>
        <v>18189337.585588884</v>
      </c>
    </row>
    <row r="1676" spans="3:67" x14ac:dyDescent="0.25">
      <c r="C1676" s="246" t="s">
        <v>3026</v>
      </c>
      <c r="D1676" s="246">
        <v>1</v>
      </c>
      <c r="E1676" s="246">
        <v>2</v>
      </c>
      <c r="F1676" s="246">
        <v>3</v>
      </c>
      <c r="G1676" s="246">
        <v>4</v>
      </c>
      <c r="H1676" s="246">
        <v>9</v>
      </c>
      <c r="I1676" s="246">
        <v>10</v>
      </c>
      <c r="J1676" s="246">
        <v>12</v>
      </c>
      <c r="K1676" s="246">
        <v>14</v>
      </c>
      <c r="L1676" s="246">
        <v>15</v>
      </c>
      <c r="M1676" s="246">
        <v>17</v>
      </c>
      <c r="N1676" s="246"/>
      <c r="O1676" s="246"/>
      <c r="P1676" s="246"/>
      <c r="Q1676" s="246"/>
      <c r="R1676" s="246">
        <f>IFERROR(VLOOKUP(D1676,PROGRAMAS[],2,FALSE),0)</f>
        <v>97037803.679377079</v>
      </c>
      <c r="S1676" s="246">
        <f>IFERROR(VLOOKUP(E1676,PROGRAMAS[],2,FALSE),0)</f>
        <v>640501509.6821388</v>
      </c>
      <c r="T1676" s="246">
        <f>IFERROR(VLOOKUP(F1676,PROGRAMAS[],2,FALSE),0)</f>
        <v>3062327798.1525245</v>
      </c>
      <c r="U1676" s="246">
        <f>IFERROR(VLOOKUP(G1676,PROGRAMAS[],2,FALSE),0)</f>
        <v>67697118.033011258</v>
      </c>
      <c r="V1676" s="246">
        <f>IFERROR(VLOOKUP(H1676,PROGRAMAS[],2,FALSE),0)</f>
        <v>6128579952.1618185</v>
      </c>
      <c r="W1676" s="246">
        <f>IFERROR(VLOOKUP(I1676,PROGRAMAS[],2,FALSE),0)</f>
        <v>4635315027.8751087</v>
      </c>
      <c r="X1676" s="246">
        <f>IFERROR(VLOOKUP(J1676,PROGRAMAS[],2,FALSE),0)</f>
        <v>764796700.79905891</v>
      </c>
      <c r="Y1676" s="246">
        <f>IFERROR(VLOOKUP(K1676,PROGRAMAS[],2,FALSE),0)</f>
        <v>54223862.645839565</v>
      </c>
      <c r="Z1676" s="246">
        <f>IFERROR(VLOOKUP(L1676,PROGRAMAS[],2,FALSE),0)</f>
        <v>122159672.96346797</v>
      </c>
      <c r="AA1676" s="246">
        <f>IFERROR(VLOOKUP(M1676,PROGRAMAS[],2,FALSE),0)</f>
        <v>1892779498.5211046</v>
      </c>
      <c r="AB1676" s="246">
        <f>IFERROR(VLOOKUP(N1676,PROGRAMAS[],2,FALSE),0)</f>
        <v>0</v>
      </c>
      <c r="AC1676" s="246">
        <f>IFERROR(VLOOKUP(O1676,PROGRAMAS[],2,FALSE),0)</f>
        <v>0</v>
      </c>
      <c r="AD1676" s="246">
        <f>IFERROR(VLOOKUP(P1676,PROGRAMAS[],2,FALSE),0)</f>
        <v>0</v>
      </c>
      <c r="AE1676" s="246">
        <f>IFERROR(VLOOKUP(Q1676,PROGRAMAS[],2,FALSE),0)</f>
        <v>0</v>
      </c>
      <c r="AF1676" s="246">
        <f>IFERROR(VLOOKUP(D1676,PROGRAMAS[],3,FALSE),0)</f>
        <v>841888629.31080008</v>
      </c>
      <c r="AG1676" s="246">
        <f>IFERROR(VLOOKUP(E1676,PROGRAMAS[],3,FALSE),0)</f>
        <v>3848980803.1642323</v>
      </c>
      <c r="AH1676" s="246">
        <f>IFERROR(VLOOKUP(F1676,PROGRAMAS[],3,FALSE),0)</f>
        <v>3394901471.387517</v>
      </c>
      <c r="AI1676" s="246">
        <f>IFERROR(VLOOKUP(G1676,PROGRAMAS[],3,FALSE),0)</f>
        <v>125317226.95549992</v>
      </c>
      <c r="AJ1676" s="246">
        <f>IFERROR(VLOOKUP(H1676,PROGRAMAS[],3,FALSE),0)</f>
        <v>7011279577.519702</v>
      </c>
      <c r="AK1676" s="246">
        <f>IFERROR(VLOOKUP(I1676,PROGRAMAS[],3,FALSE),0)</f>
        <v>4099471734.9978786</v>
      </c>
      <c r="AL1676" s="246">
        <f>IFERROR(VLOOKUP(J1676,PROGRAMAS[],3,FALSE),0)</f>
        <v>675517840.109828</v>
      </c>
      <c r="AM1676" s="246">
        <f>IFERROR(VLOOKUP(K1676,PROGRAMAS[],3,FALSE),0)</f>
        <v>31865326.38096505</v>
      </c>
      <c r="AN1676" s="246">
        <f>IFERROR(VLOOKUP(L1676,PROGRAMAS[],3,FALSE),0)</f>
        <v>118617452.52510804</v>
      </c>
      <c r="AO1676" s="246">
        <f>IFERROR(VLOOKUP(M1676,PROGRAMAS[],3,FALSE),0)</f>
        <v>948595847.09039903</v>
      </c>
      <c r="AP1676" s="246">
        <f>IFERROR(VLOOKUP(N1676,PROGRAMAS[],3,FALSE),0)</f>
        <v>0</v>
      </c>
      <c r="AQ1676" s="246">
        <f>IFERROR(VLOOKUP(O1676,PROGRAMAS[],3,FALSE),0)</f>
        <v>0</v>
      </c>
      <c r="AR1676" s="246">
        <f>IFERROR(VLOOKUP(P1676,PROGRAMAS[],3,FALSE),0)</f>
        <v>0</v>
      </c>
      <c r="AS1676" s="246">
        <f>IFERROR(VLOOKUP(Q1676,PROGRAMAS[],3,FALSE),0)</f>
        <v>0</v>
      </c>
      <c r="AT1676" s="246">
        <f>IFERROR(VLOOKUP(D1676,VOL_REC[],2,FALSE),0)</f>
        <v>0</v>
      </c>
      <c r="AU1676" s="246">
        <f>IFERROR(VLOOKUP(E1676,VOL_REC[],2,FALSE),0)</f>
        <v>0</v>
      </c>
      <c r="AV1676" s="246">
        <f>IFERROR(VLOOKUP(F1676,VOL_REC[],2,FALSE),0)</f>
        <v>11089674.200000001</v>
      </c>
      <c r="AW1676" s="246">
        <f>IFERROR(VLOOKUP(G1676,VOL_REC[],2,FALSE),0)</f>
        <v>90439.55</v>
      </c>
      <c r="AX1676" s="246">
        <f>IFERROR(VLOOKUP(H1676,VOL_REC[],2,FALSE),0)</f>
        <v>3761786</v>
      </c>
      <c r="AY1676" s="246">
        <f>IFERROR(VLOOKUP(I1676,VOL_REC[],2,FALSE),0)</f>
        <v>1812240</v>
      </c>
      <c r="AZ1676" s="246">
        <f>IFERROR(VLOOKUP(J1676,VOL_REC[],2,FALSE),0)</f>
        <v>240696.79238099116</v>
      </c>
      <c r="BA1676" s="246">
        <f>IFERROR(VLOOKUP(K1676,VOL_REC[],2,FALSE),0)</f>
        <v>17074.045034105649</v>
      </c>
      <c r="BB1676" s="246">
        <f>IFERROR(VLOOKUP(L1676,VOL_REC[],2,FALSE),0)</f>
        <v>105072</v>
      </c>
      <c r="BC1676" s="246">
        <f>IFERROR(VLOOKUP(M1676,VOL_REC[],2,FALSE),0)</f>
        <v>740113.98115702497</v>
      </c>
      <c r="BD1676" s="246">
        <f>IFERROR(VLOOKUP(N1676,VOL_REC[],2,FALSE),0)</f>
        <v>0</v>
      </c>
      <c r="BE1676" s="246">
        <f>IFERROR(VLOOKUP(O1676,VOL_REC[],2,FALSE),0)</f>
        <v>0</v>
      </c>
      <c r="BF1676" s="246">
        <f>IFERROR(VLOOKUP(P1676,VOL_REC[],2,FALSE),0)</f>
        <v>0</v>
      </c>
      <c r="BG1676" s="246">
        <f>IFERROR(VLOOKUP(Q1676,VOL_REC[],2,FALSE),0)</f>
        <v>0</v>
      </c>
      <c r="BH1676" s="1710">
        <f t="shared" si="104"/>
        <v>17465418944.513451</v>
      </c>
      <c r="BI1676" s="1710">
        <f t="shared" si="105"/>
        <v>21096435909.441933</v>
      </c>
      <c r="BJ1676" s="1711">
        <f t="shared" si="106"/>
        <v>17857096.568572123</v>
      </c>
      <c r="BK1676" s="1711">
        <f t="shared" si="107"/>
        <v>0.82788481521168311</v>
      </c>
    </row>
    <row r="1677" spans="3:67" x14ac:dyDescent="0.25">
      <c r="C1677" s="246" t="s">
        <v>3027</v>
      </c>
      <c r="D1677" s="246">
        <v>1</v>
      </c>
      <c r="E1677" s="246">
        <v>2</v>
      </c>
      <c r="F1677" s="246">
        <v>3</v>
      </c>
      <c r="G1677" s="246">
        <v>4</v>
      </c>
      <c r="H1677" s="246">
        <v>9</v>
      </c>
      <c r="I1677" s="246">
        <v>10</v>
      </c>
      <c r="J1677" s="246">
        <v>12</v>
      </c>
      <c r="K1677" s="246">
        <v>14</v>
      </c>
      <c r="L1677" s="246">
        <v>16</v>
      </c>
      <c r="M1677" s="246">
        <v>17</v>
      </c>
      <c r="N1677" s="246"/>
      <c r="O1677" s="246"/>
      <c r="P1677" s="246"/>
      <c r="Q1677" s="246"/>
      <c r="R1677" s="246">
        <f>IFERROR(VLOOKUP(D1677,PROGRAMAS[],2,FALSE),0)</f>
        <v>97037803.679377079</v>
      </c>
      <c r="S1677" s="246">
        <f>IFERROR(VLOOKUP(E1677,PROGRAMAS[],2,FALSE),0)</f>
        <v>640501509.6821388</v>
      </c>
      <c r="T1677" s="246">
        <f>IFERROR(VLOOKUP(F1677,PROGRAMAS[],2,FALSE),0)</f>
        <v>3062327798.1525245</v>
      </c>
      <c r="U1677" s="246">
        <f>IFERROR(VLOOKUP(G1677,PROGRAMAS[],2,FALSE),0)</f>
        <v>67697118.033011258</v>
      </c>
      <c r="V1677" s="246">
        <f>IFERROR(VLOOKUP(H1677,PROGRAMAS[],2,FALSE),0)</f>
        <v>6128579952.1618185</v>
      </c>
      <c r="W1677" s="246">
        <f>IFERROR(VLOOKUP(I1677,PROGRAMAS[],2,FALSE),0)</f>
        <v>4635315027.8751087</v>
      </c>
      <c r="X1677" s="246">
        <f>IFERROR(VLOOKUP(J1677,PROGRAMAS[],2,FALSE),0)</f>
        <v>764796700.79905891</v>
      </c>
      <c r="Y1677" s="246">
        <f>IFERROR(VLOOKUP(K1677,PROGRAMAS[],2,FALSE),0)</f>
        <v>54223862.645839565</v>
      </c>
      <c r="Z1677" s="246">
        <f>IFERROR(VLOOKUP(L1677,PROGRAMAS[],2,FALSE),0)</f>
        <v>7068496961.0436354</v>
      </c>
      <c r="AA1677" s="246">
        <f>IFERROR(VLOOKUP(M1677,PROGRAMAS[],2,FALSE),0)</f>
        <v>1892779498.5211046</v>
      </c>
      <c r="AB1677" s="246">
        <f>IFERROR(VLOOKUP(N1677,PROGRAMAS[],2,FALSE),0)</f>
        <v>0</v>
      </c>
      <c r="AC1677" s="246">
        <f>IFERROR(VLOOKUP(O1677,PROGRAMAS[],2,FALSE),0)</f>
        <v>0</v>
      </c>
      <c r="AD1677" s="246">
        <f>IFERROR(VLOOKUP(P1677,PROGRAMAS[],2,FALSE),0)</f>
        <v>0</v>
      </c>
      <c r="AE1677" s="246">
        <f>IFERROR(VLOOKUP(Q1677,PROGRAMAS[],2,FALSE),0)</f>
        <v>0</v>
      </c>
      <c r="AF1677" s="246">
        <f>IFERROR(VLOOKUP(D1677,PROGRAMAS[],3,FALSE),0)</f>
        <v>841888629.31080008</v>
      </c>
      <c r="AG1677" s="246">
        <f>IFERROR(VLOOKUP(E1677,PROGRAMAS[],3,FALSE),0)</f>
        <v>3848980803.1642323</v>
      </c>
      <c r="AH1677" s="246">
        <f>IFERROR(VLOOKUP(F1677,PROGRAMAS[],3,FALSE),0)</f>
        <v>3394901471.387517</v>
      </c>
      <c r="AI1677" s="246">
        <f>IFERROR(VLOOKUP(G1677,PROGRAMAS[],3,FALSE),0)</f>
        <v>125317226.95549992</v>
      </c>
      <c r="AJ1677" s="246">
        <f>IFERROR(VLOOKUP(H1677,PROGRAMAS[],3,FALSE),0)</f>
        <v>7011279577.519702</v>
      </c>
      <c r="AK1677" s="246">
        <f>IFERROR(VLOOKUP(I1677,PROGRAMAS[],3,FALSE),0)</f>
        <v>4099471734.9978786</v>
      </c>
      <c r="AL1677" s="246">
        <f>IFERROR(VLOOKUP(J1677,PROGRAMAS[],3,FALSE),0)</f>
        <v>675517840.109828</v>
      </c>
      <c r="AM1677" s="246">
        <f>IFERROR(VLOOKUP(K1677,PROGRAMAS[],3,FALSE),0)</f>
        <v>31865326.38096505</v>
      </c>
      <c r="AN1677" s="246">
        <f>IFERROR(VLOOKUP(L1677,PROGRAMAS[],3,FALSE),0)</f>
        <v>2406564599.0319901</v>
      </c>
      <c r="AO1677" s="246">
        <f>IFERROR(VLOOKUP(M1677,PROGRAMAS[],3,FALSE),0)</f>
        <v>948595847.09039903</v>
      </c>
      <c r="AP1677" s="246">
        <f>IFERROR(VLOOKUP(N1677,PROGRAMAS[],3,FALSE),0)</f>
        <v>0</v>
      </c>
      <c r="AQ1677" s="246">
        <f>IFERROR(VLOOKUP(O1677,PROGRAMAS[],3,FALSE),0)</f>
        <v>0</v>
      </c>
      <c r="AR1677" s="246">
        <f>IFERROR(VLOOKUP(P1677,PROGRAMAS[],3,FALSE),0)</f>
        <v>0</v>
      </c>
      <c r="AS1677" s="246">
        <f>IFERROR(VLOOKUP(Q1677,PROGRAMAS[],3,FALSE),0)</f>
        <v>0</v>
      </c>
      <c r="AT1677" s="246">
        <f>IFERROR(VLOOKUP(D1677,VOL_REC[],2,FALSE),0)</f>
        <v>0</v>
      </c>
      <c r="AU1677" s="246">
        <f>IFERROR(VLOOKUP(E1677,VOL_REC[],2,FALSE),0)</f>
        <v>0</v>
      </c>
      <c r="AV1677" s="246">
        <f>IFERROR(VLOOKUP(F1677,VOL_REC[],2,FALSE),0)</f>
        <v>11089674.200000001</v>
      </c>
      <c r="AW1677" s="246">
        <f>IFERROR(VLOOKUP(G1677,VOL_REC[],2,FALSE),0)</f>
        <v>90439.55</v>
      </c>
      <c r="AX1677" s="246">
        <f>IFERROR(VLOOKUP(H1677,VOL_REC[],2,FALSE),0)</f>
        <v>3761786</v>
      </c>
      <c r="AY1677" s="246">
        <f>IFERROR(VLOOKUP(I1677,VOL_REC[],2,FALSE),0)</f>
        <v>1812240</v>
      </c>
      <c r="AZ1677" s="246">
        <f>IFERROR(VLOOKUP(J1677,VOL_REC[],2,FALSE),0)</f>
        <v>240696.79238099116</v>
      </c>
      <c r="BA1677" s="246">
        <f>IFERROR(VLOOKUP(K1677,VOL_REC[],2,FALSE),0)</f>
        <v>17074.045034105649</v>
      </c>
      <c r="BB1677" s="246">
        <f>IFERROR(VLOOKUP(L1677,VOL_REC[],2,FALSE),0)</f>
        <v>1072354.9981737854</v>
      </c>
      <c r="BC1677" s="246">
        <f>IFERROR(VLOOKUP(M1677,VOL_REC[],2,FALSE),0)</f>
        <v>740113.98115702497</v>
      </c>
      <c r="BD1677" s="246">
        <f>IFERROR(VLOOKUP(N1677,VOL_REC[],2,FALSE),0)</f>
        <v>0</v>
      </c>
      <c r="BE1677" s="246">
        <f>IFERROR(VLOOKUP(O1677,VOL_REC[],2,FALSE),0)</f>
        <v>0</v>
      </c>
      <c r="BF1677" s="246">
        <f>IFERROR(VLOOKUP(P1677,VOL_REC[],2,FALSE),0)</f>
        <v>0</v>
      </c>
      <c r="BG1677" s="246">
        <f>IFERROR(VLOOKUP(Q1677,VOL_REC[],2,FALSE),0)</f>
        <v>0</v>
      </c>
      <c r="BH1677" s="1710">
        <f t="shared" si="104"/>
        <v>24411756232.593616</v>
      </c>
      <c r="BI1677" s="1710">
        <f t="shared" si="105"/>
        <v>23384383055.948814</v>
      </c>
      <c r="BJ1677" s="1711">
        <f t="shared" si="106"/>
        <v>18824379.566745907</v>
      </c>
      <c r="BK1677" s="1711">
        <f t="shared" si="107"/>
        <v>1.0439341578602581</v>
      </c>
      <c r="BL1677">
        <f>BJ1677</f>
        <v>18824379.566745907</v>
      </c>
      <c r="BO1677">
        <f>BL1677</f>
        <v>18824379.566745907</v>
      </c>
    </row>
    <row r="1678" spans="3:67" x14ac:dyDescent="0.25">
      <c r="C1678" s="246" t="s">
        <v>3028</v>
      </c>
      <c r="D1678" s="246">
        <v>1</v>
      </c>
      <c r="E1678" s="246">
        <v>2</v>
      </c>
      <c r="F1678" s="246">
        <v>3</v>
      </c>
      <c r="G1678" s="246">
        <v>4</v>
      </c>
      <c r="H1678" s="246">
        <v>9</v>
      </c>
      <c r="I1678" s="246">
        <v>10</v>
      </c>
      <c r="J1678" s="246">
        <v>12</v>
      </c>
      <c r="K1678" s="246">
        <v>15</v>
      </c>
      <c r="L1678" s="246">
        <v>16</v>
      </c>
      <c r="M1678" s="246">
        <v>17</v>
      </c>
      <c r="N1678" s="246"/>
      <c r="O1678" s="246"/>
      <c r="P1678" s="246"/>
      <c r="Q1678" s="246"/>
      <c r="R1678" s="246">
        <f>IFERROR(VLOOKUP(D1678,PROGRAMAS[],2,FALSE),0)</f>
        <v>97037803.679377079</v>
      </c>
      <c r="S1678" s="246">
        <f>IFERROR(VLOOKUP(E1678,PROGRAMAS[],2,FALSE),0)</f>
        <v>640501509.6821388</v>
      </c>
      <c r="T1678" s="246">
        <f>IFERROR(VLOOKUP(F1678,PROGRAMAS[],2,FALSE),0)</f>
        <v>3062327798.1525245</v>
      </c>
      <c r="U1678" s="246">
        <f>IFERROR(VLOOKUP(G1678,PROGRAMAS[],2,FALSE),0)</f>
        <v>67697118.033011258</v>
      </c>
      <c r="V1678" s="246">
        <f>IFERROR(VLOOKUP(H1678,PROGRAMAS[],2,FALSE),0)</f>
        <v>6128579952.1618185</v>
      </c>
      <c r="W1678" s="246">
        <f>IFERROR(VLOOKUP(I1678,PROGRAMAS[],2,FALSE),0)</f>
        <v>4635315027.8751087</v>
      </c>
      <c r="X1678" s="246">
        <f>IFERROR(VLOOKUP(J1678,PROGRAMAS[],2,FALSE),0)</f>
        <v>764796700.79905891</v>
      </c>
      <c r="Y1678" s="246">
        <f>IFERROR(VLOOKUP(K1678,PROGRAMAS[],2,FALSE),0)</f>
        <v>122159672.96346797</v>
      </c>
      <c r="Z1678" s="246">
        <f>IFERROR(VLOOKUP(L1678,PROGRAMAS[],2,FALSE),0)</f>
        <v>7068496961.0436354</v>
      </c>
      <c r="AA1678" s="246">
        <f>IFERROR(VLOOKUP(M1678,PROGRAMAS[],2,FALSE),0)</f>
        <v>1892779498.5211046</v>
      </c>
      <c r="AB1678" s="246">
        <f>IFERROR(VLOOKUP(N1678,PROGRAMAS[],2,FALSE),0)</f>
        <v>0</v>
      </c>
      <c r="AC1678" s="246">
        <f>IFERROR(VLOOKUP(O1678,PROGRAMAS[],2,FALSE),0)</f>
        <v>0</v>
      </c>
      <c r="AD1678" s="246">
        <f>IFERROR(VLOOKUP(P1678,PROGRAMAS[],2,FALSE),0)</f>
        <v>0</v>
      </c>
      <c r="AE1678" s="246">
        <f>IFERROR(VLOOKUP(Q1678,PROGRAMAS[],2,FALSE),0)</f>
        <v>0</v>
      </c>
      <c r="AF1678" s="246">
        <f>IFERROR(VLOOKUP(D1678,PROGRAMAS[],3,FALSE),0)</f>
        <v>841888629.31080008</v>
      </c>
      <c r="AG1678" s="246">
        <f>IFERROR(VLOOKUP(E1678,PROGRAMAS[],3,FALSE),0)</f>
        <v>3848980803.1642323</v>
      </c>
      <c r="AH1678" s="246">
        <f>IFERROR(VLOOKUP(F1678,PROGRAMAS[],3,FALSE),0)</f>
        <v>3394901471.387517</v>
      </c>
      <c r="AI1678" s="246">
        <f>IFERROR(VLOOKUP(G1678,PROGRAMAS[],3,FALSE),0)</f>
        <v>125317226.95549992</v>
      </c>
      <c r="AJ1678" s="246">
        <f>IFERROR(VLOOKUP(H1678,PROGRAMAS[],3,FALSE),0)</f>
        <v>7011279577.519702</v>
      </c>
      <c r="AK1678" s="246">
        <f>IFERROR(VLOOKUP(I1678,PROGRAMAS[],3,FALSE),0)</f>
        <v>4099471734.9978786</v>
      </c>
      <c r="AL1678" s="246">
        <f>IFERROR(VLOOKUP(J1678,PROGRAMAS[],3,FALSE),0)</f>
        <v>675517840.109828</v>
      </c>
      <c r="AM1678" s="246">
        <f>IFERROR(VLOOKUP(K1678,PROGRAMAS[],3,FALSE),0)</f>
        <v>118617452.52510804</v>
      </c>
      <c r="AN1678" s="246">
        <f>IFERROR(VLOOKUP(L1678,PROGRAMAS[],3,FALSE),0)</f>
        <v>2406564599.0319901</v>
      </c>
      <c r="AO1678" s="246">
        <f>IFERROR(VLOOKUP(M1678,PROGRAMAS[],3,FALSE),0)</f>
        <v>948595847.09039903</v>
      </c>
      <c r="AP1678" s="246">
        <f>IFERROR(VLOOKUP(N1678,PROGRAMAS[],3,FALSE),0)</f>
        <v>0</v>
      </c>
      <c r="AQ1678" s="246">
        <f>IFERROR(VLOOKUP(O1678,PROGRAMAS[],3,FALSE),0)</f>
        <v>0</v>
      </c>
      <c r="AR1678" s="246">
        <f>IFERROR(VLOOKUP(P1678,PROGRAMAS[],3,FALSE),0)</f>
        <v>0</v>
      </c>
      <c r="AS1678" s="246">
        <f>IFERROR(VLOOKUP(Q1678,PROGRAMAS[],3,FALSE),0)</f>
        <v>0</v>
      </c>
      <c r="AT1678" s="246">
        <f>IFERROR(VLOOKUP(D1678,VOL_REC[],2,FALSE),0)</f>
        <v>0</v>
      </c>
      <c r="AU1678" s="246">
        <f>IFERROR(VLOOKUP(E1678,VOL_REC[],2,FALSE),0)</f>
        <v>0</v>
      </c>
      <c r="AV1678" s="246">
        <f>IFERROR(VLOOKUP(F1678,VOL_REC[],2,FALSE),0)</f>
        <v>11089674.200000001</v>
      </c>
      <c r="AW1678" s="246">
        <f>IFERROR(VLOOKUP(G1678,VOL_REC[],2,FALSE),0)</f>
        <v>90439.55</v>
      </c>
      <c r="AX1678" s="246">
        <f>IFERROR(VLOOKUP(H1678,VOL_REC[],2,FALSE),0)</f>
        <v>3761786</v>
      </c>
      <c r="AY1678" s="246">
        <f>IFERROR(VLOOKUP(I1678,VOL_REC[],2,FALSE),0)</f>
        <v>1812240</v>
      </c>
      <c r="AZ1678" s="246">
        <f>IFERROR(VLOOKUP(J1678,VOL_REC[],2,FALSE),0)</f>
        <v>240696.79238099116</v>
      </c>
      <c r="BA1678" s="246">
        <f>IFERROR(VLOOKUP(K1678,VOL_REC[],2,FALSE),0)</f>
        <v>105072</v>
      </c>
      <c r="BB1678" s="246">
        <f>IFERROR(VLOOKUP(L1678,VOL_REC[],2,FALSE),0)</f>
        <v>1072354.9981737854</v>
      </c>
      <c r="BC1678" s="246">
        <f>IFERROR(VLOOKUP(M1678,VOL_REC[],2,FALSE),0)</f>
        <v>740113.98115702497</v>
      </c>
      <c r="BD1678" s="246">
        <f>IFERROR(VLOOKUP(N1678,VOL_REC[],2,FALSE),0)</f>
        <v>0</v>
      </c>
      <c r="BE1678" s="246">
        <f>IFERROR(VLOOKUP(O1678,VOL_REC[],2,FALSE),0)</f>
        <v>0</v>
      </c>
      <c r="BF1678" s="246">
        <f>IFERROR(VLOOKUP(P1678,VOL_REC[],2,FALSE),0)</f>
        <v>0</v>
      </c>
      <c r="BG1678" s="246">
        <f>IFERROR(VLOOKUP(Q1678,VOL_REC[],2,FALSE),0)</f>
        <v>0</v>
      </c>
      <c r="BH1678" s="1710">
        <f t="shared" si="104"/>
        <v>24479692042.911243</v>
      </c>
      <c r="BI1678" s="1710">
        <f t="shared" si="105"/>
        <v>23471135182.092957</v>
      </c>
      <c r="BJ1678" s="1711">
        <f t="shared" si="106"/>
        <v>18912377.5217118</v>
      </c>
      <c r="BK1678" s="1711">
        <f t="shared" si="107"/>
        <v>1.0429700929671162</v>
      </c>
      <c r="BL1678">
        <f>BJ1678</f>
        <v>18912377.5217118</v>
      </c>
      <c r="BO1678">
        <f>BL1678</f>
        <v>18912377.5217118</v>
      </c>
    </row>
    <row r="1679" spans="3:67" x14ac:dyDescent="0.25">
      <c r="C1679" s="246" t="s">
        <v>3029</v>
      </c>
      <c r="D1679" s="246">
        <v>1</v>
      </c>
      <c r="E1679" s="246">
        <v>2</v>
      </c>
      <c r="F1679" s="246">
        <v>3</v>
      </c>
      <c r="G1679" s="246">
        <v>4</v>
      </c>
      <c r="H1679" s="246">
        <v>9</v>
      </c>
      <c r="I1679" s="246">
        <v>10</v>
      </c>
      <c r="J1679" s="246">
        <v>13</v>
      </c>
      <c r="K1679" s="246">
        <v>14</v>
      </c>
      <c r="L1679" s="246">
        <v>15</v>
      </c>
      <c r="M1679" s="246">
        <v>16</v>
      </c>
      <c r="N1679" s="246"/>
      <c r="O1679" s="246"/>
      <c r="P1679" s="246"/>
      <c r="Q1679" s="246"/>
      <c r="R1679" s="246">
        <f>IFERROR(VLOOKUP(D1679,PROGRAMAS[],2,FALSE),0)</f>
        <v>97037803.679377079</v>
      </c>
      <c r="S1679" s="246">
        <f>IFERROR(VLOOKUP(E1679,PROGRAMAS[],2,FALSE),0)</f>
        <v>640501509.6821388</v>
      </c>
      <c r="T1679" s="246">
        <f>IFERROR(VLOOKUP(F1679,PROGRAMAS[],2,FALSE),0)</f>
        <v>3062327798.1525245</v>
      </c>
      <c r="U1679" s="246">
        <f>IFERROR(VLOOKUP(G1679,PROGRAMAS[],2,FALSE),0)</f>
        <v>67697118.033011258</v>
      </c>
      <c r="V1679" s="246">
        <f>IFERROR(VLOOKUP(H1679,PROGRAMAS[],2,FALSE),0)</f>
        <v>6128579952.1618185</v>
      </c>
      <c r="W1679" s="246">
        <f>IFERROR(VLOOKUP(I1679,PROGRAMAS[],2,FALSE),0)</f>
        <v>4635315027.8751087</v>
      </c>
      <c r="X1679" s="246">
        <f>IFERROR(VLOOKUP(J1679,PROGRAMAS[],2,FALSE),0)</f>
        <v>3776538594.4604583</v>
      </c>
      <c r="Y1679" s="246">
        <f>IFERROR(VLOOKUP(K1679,PROGRAMAS[],2,FALSE),0)</f>
        <v>54223862.645839565</v>
      </c>
      <c r="Z1679" s="246">
        <f>IFERROR(VLOOKUP(L1679,PROGRAMAS[],2,FALSE),0)</f>
        <v>122159672.96346797</v>
      </c>
      <c r="AA1679" s="246">
        <f>IFERROR(VLOOKUP(M1679,PROGRAMAS[],2,FALSE),0)</f>
        <v>7068496961.0436354</v>
      </c>
      <c r="AB1679" s="246">
        <f>IFERROR(VLOOKUP(N1679,PROGRAMAS[],2,FALSE),0)</f>
        <v>0</v>
      </c>
      <c r="AC1679" s="246">
        <f>IFERROR(VLOOKUP(O1679,PROGRAMAS[],2,FALSE),0)</f>
        <v>0</v>
      </c>
      <c r="AD1679" s="246">
        <f>IFERROR(VLOOKUP(P1679,PROGRAMAS[],2,FALSE),0)</f>
        <v>0</v>
      </c>
      <c r="AE1679" s="246">
        <f>IFERROR(VLOOKUP(Q1679,PROGRAMAS[],2,FALSE),0)</f>
        <v>0</v>
      </c>
      <c r="AF1679" s="246">
        <f>IFERROR(VLOOKUP(D1679,PROGRAMAS[],3,FALSE),0)</f>
        <v>841888629.31080008</v>
      </c>
      <c r="AG1679" s="246">
        <f>IFERROR(VLOOKUP(E1679,PROGRAMAS[],3,FALSE),0)</f>
        <v>3848980803.1642323</v>
      </c>
      <c r="AH1679" s="246">
        <f>IFERROR(VLOOKUP(F1679,PROGRAMAS[],3,FALSE),0)</f>
        <v>3394901471.387517</v>
      </c>
      <c r="AI1679" s="246">
        <f>IFERROR(VLOOKUP(G1679,PROGRAMAS[],3,FALSE),0)</f>
        <v>125317226.95549992</v>
      </c>
      <c r="AJ1679" s="246">
        <f>IFERROR(VLOOKUP(H1679,PROGRAMAS[],3,FALSE),0)</f>
        <v>7011279577.519702</v>
      </c>
      <c r="AK1679" s="246">
        <f>IFERROR(VLOOKUP(I1679,PROGRAMAS[],3,FALSE),0)</f>
        <v>4099471734.9978786</v>
      </c>
      <c r="AL1679" s="246">
        <f>IFERROR(VLOOKUP(J1679,PROGRAMAS[],3,FALSE),0)</f>
        <v>2392571243.5584412</v>
      </c>
      <c r="AM1679" s="246">
        <f>IFERROR(VLOOKUP(K1679,PROGRAMAS[],3,FALSE),0)</f>
        <v>31865326.38096505</v>
      </c>
      <c r="AN1679" s="246">
        <f>IFERROR(VLOOKUP(L1679,PROGRAMAS[],3,FALSE),0)</f>
        <v>118617452.52510804</v>
      </c>
      <c r="AO1679" s="246">
        <f>IFERROR(VLOOKUP(M1679,PROGRAMAS[],3,FALSE),0)</f>
        <v>2406564599.0319901</v>
      </c>
      <c r="AP1679" s="246">
        <f>IFERROR(VLOOKUP(N1679,PROGRAMAS[],3,FALSE),0)</f>
        <v>0</v>
      </c>
      <c r="AQ1679" s="246">
        <f>IFERROR(VLOOKUP(O1679,PROGRAMAS[],3,FALSE),0)</f>
        <v>0</v>
      </c>
      <c r="AR1679" s="246">
        <f>IFERROR(VLOOKUP(P1679,PROGRAMAS[],3,FALSE),0)</f>
        <v>0</v>
      </c>
      <c r="AS1679" s="246">
        <f>IFERROR(VLOOKUP(Q1679,PROGRAMAS[],3,FALSE),0)</f>
        <v>0</v>
      </c>
      <c r="AT1679" s="246">
        <f>IFERROR(VLOOKUP(D1679,VOL_REC[],2,FALSE),0)</f>
        <v>0</v>
      </c>
      <c r="AU1679" s="246">
        <f>IFERROR(VLOOKUP(E1679,VOL_REC[],2,FALSE),0)</f>
        <v>0</v>
      </c>
      <c r="AV1679" s="246">
        <f>IFERROR(VLOOKUP(F1679,VOL_REC[],2,FALSE),0)</f>
        <v>11089674.200000001</v>
      </c>
      <c r="AW1679" s="246">
        <f>IFERROR(VLOOKUP(G1679,VOL_REC[],2,FALSE),0)</f>
        <v>90439.55</v>
      </c>
      <c r="AX1679" s="246">
        <f>IFERROR(VLOOKUP(H1679,VOL_REC[],2,FALSE),0)</f>
        <v>3761786</v>
      </c>
      <c r="AY1679" s="246">
        <f>IFERROR(VLOOKUP(I1679,VOL_REC[],2,FALSE),0)</f>
        <v>1812240</v>
      </c>
      <c r="AZ1679" s="246">
        <f>IFERROR(VLOOKUP(J1679,VOL_REC[],2,FALSE),0)</f>
        <v>663244.80000000016</v>
      </c>
      <c r="BA1679" s="246">
        <f>IFERROR(VLOOKUP(K1679,VOL_REC[],2,FALSE),0)</f>
        <v>17074.045034105649</v>
      </c>
      <c r="BB1679" s="246">
        <f>IFERROR(VLOOKUP(L1679,VOL_REC[],2,FALSE),0)</f>
        <v>105072</v>
      </c>
      <c r="BC1679" s="246">
        <f>IFERROR(VLOOKUP(M1679,VOL_REC[],2,FALSE),0)</f>
        <v>1072354.9981737854</v>
      </c>
      <c r="BD1679" s="246">
        <f>IFERROR(VLOOKUP(N1679,VOL_REC[],2,FALSE),0)</f>
        <v>0</v>
      </c>
      <c r="BE1679" s="246">
        <f>IFERROR(VLOOKUP(O1679,VOL_REC[],2,FALSE),0)</f>
        <v>0</v>
      </c>
      <c r="BF1679" s="246">
        <f>IFERROR(VLOOKUP(P1679,VOL_REC[],2,FALSE),0)</f>
        <v>0</v>
      </c>
      <c r="BG1679" s="246">
        <f>IFERROR(VLOOKUP(Q1679,VOL_REC[],2,FALSE),0)</f>
        <v>0</v>
      </c>
      <c r="BH1679" s="1710">
        <f t="shared" si="104"/>
        <v>25652878300.69738</v>
      </c>
      <c r="BI1679" s="1710">
        <f t="shared" si="105"/>
        <v>24271458064.832134</v>
      </c>
      <c r="BJ1679" s="1711">
        <f t="shared" si="106"/>
        <v>18611885.593207892</v>
      </c>
      <c r="BK1679" s="1711">
        <f t="shared" si="107"/>
        <v>1.0569154202510331</v>
      </c>
      <c r="BL1679">
        <f>BJ1679</f>
        <v>18611885.593207892</v>
      </c>
      <c r="BO1679">
        <f>BL1679</f>
        <v>18611885.593207892</v>
      </c>
    </row>
    <row r="1680" spans="3:67" x14ac:dyDescent="0.25">
      <c r="C1680" s="246" t="s">
        <v>3030</v>
      </c>
      <c r="D1680" s="246">
        <v>1</v>
      </c>
      <c r="E1680" s="246">
        <v>2</v>
      </c>
      <c r="F1680" s="246">
        <v>3</v>
      </c>
      <c r="G1680" s="246">
        <v>4</v>
      </c>
      <c r="H1680" s="246">
        <v>9</v>
      </c>
      <c r="I1680" s="246">
        <v>10</v>
      </c>
      <c r="J1680" s="246">
        <v>13</v>
      </c>
      <c r="K1680" s="246">
        <v>14</v>
      </c>
      <c r="L1680" s="246">
        <v>15</v>
      </c>
      <c r="M1680" s="246">
        <v>17</v>
      </c>
      <c r="N1680" s="246"/>
      <c r="O1680" s="246"/>
      <c r="P1680" s="246"/>
      <c r="Q1680" s="246"/>
      <c r="R1680" s="246">
        <f>IFERROR(VLOOKUP(D1680,PROGRAMAS[],2,FALSE),0)</f>
        <v>97037803.679377079</v>
      </c>
      <c r="S1680" s="246">
        <f>IFERROR(VLOOKUP(E1680,PROGRAMAS[],2,FALSE),0)</f>
        <v>640501509.6821388</v>
      </c>
      <c r="T1680" s="246">
        <f>IFERROR(VLOOKUP(F1680,PROGRAMAS[],2,FALSE),0)</f>
        <v>3062327798.1525245</v>
      </c>
      <c r="U1680" s="246">
        <f>IFERROR(VLOOKUP(G1680,PROGRAMAS[],2,FALSE),0)</f>
        <v>67697118.033011258</v>
      </c>
      <c r="V1680" s="246">
        <f>IFERROR(VLOOKUP(H1680,PROGRAMAS[],2,FALSE),0)</f>
        <v>6128579952.1618185</v>
      </c>
      <c r="W1680" s="246">
        <f>IFERROR(VLOOKUP(I1680,PROGRAMAS[],2,FALSE),0)</f>
        <v>4635315027.8751087</v>
      </c>
      <c r="X1680" s="246">
        <f>IFERROR(VLOOKUP(J1680,PROGRAMAS[],2,FALSE),0)</f>
        <v>3776538594.4604583</v>
      </c>
      <c r="Y1680" s="246">
        <f>IFERROR(VLOOKUP(K1680,PROGRAMAS[],2,FALSE),0)</f>
        <v>54223862.645839565</v>
      </c>
      <c r="Z1680" s="246">
        <f>IFERROR(VLOOKUP(L1680,PROGRAMAS[],2,FALSE),0)</f>
        <v>122159672.96346797</v>
      </c>
      <c r="AA1680" s="246">
        <f>IFERROR(VLOOKUP(M1680,PROGRAMAS[],2,FALSE),0)</f>
        <v>1892779498.5211046</v>
      </c>
      <c r="AB1680" s="246">
        <f>IFERROR(VLOOKUP(N1680,PROGRAMAS[],2,FALSE),0)</f>
        <v>0</v>
      </c>
      <c r="AC1680" s="246">
        <f>IFERROR(VLOOKUP(O1680,PROGRAMAS[],2,FALSE),0)</f>
        <v>0</v>
      </c>
      <c r="AD1680" s="246">
        <f>IFERROR(VLOOKUP(P1680,PROGRAMAS[],2,FALSE),0)</f>
        <v>0</v>
      </c>
      <c r="AE1680" s="246">
        <f>IFERROR(VLOOKUP(Q1680,PROGRAMAS[],2,FALSE),0)</f>
        <v>0</v>
      </c>
      <c r="AF1680" s="246">
        <f>IFERROR(VLOOKUP(D1680,PROGRAMAS[],3,FALSE),0)</f>
        <v>841888629.31080008</v>
      </c>
      <c r="AG1680" s="246">
        <f>IFERROR(VLOOKUP(E1680,PROGRAMAS[],3,FALSE),0)</f>
        <v>3848980803.1642323</v>
      </c>
      <c r="AH1680" s="246">
        <f>IFERROR(VLOOKUP(F1680,PROGRAMAS[],3,FALSE),0)</f>
        <v>3394901471.387517</v>
      </c>
      <c r="AI1680" s="246">
        <f>IFERROR(VLOOKUP(G1680,PROGRAMAS[],3,FALSE),0)</f>
        <v>125317226.95549992</v>
      </c>
      <c r="AJ1680" s="246">
        <f>IFERROR(VLOOKUP(H1680,PROGRAMAS[],3,FALSE),0)</f>
        <v>7011279577.519702</v>
      </c>
      <c r="AK1680" s="246">
        <f>IFERROR(VLOOKUP(I1680,PROGRAMAS[],3,FALSE),0)</f>
        <v>4099471734.9978786</v>
      </c>
      <c r="AL1680" s="246">
        <f>IFERROR(VLOOKUP(J1680,PROGRAMAS[],3,FALSE),0)</f>
        <v>2392571243.5584412</v>
      </c>
      <c r="AM1680" s="246">
        <f>IFERROR(VLOOKUP(K1680,PROGRAMAS[],3,FALSE),0)</f>
        <v>31865326.38096505</v>
      </c>
      <c r="AN1680" s="246">
        <f>IFERROR(VLOOKUP(L1680,PROGRAMAS[],3,FALSE),0)</f>
        <v>118617452.52510804</v>
      </c>
      <c r="AO1680" s="246">
        <f>IFERROR(VLOOKUP(M1680,PROGRAMAS[],3,FALSE),0)</f>
        <v>948595847.09039903</v>
      </c>
      <c r="AP1680" s="246">
        <f>IFERROR(VLOOKUP(N1680,PROGRAMAS[],3,FALSE),0)</f>
        <v>0</v>
      </c>
      <c r="AQ1680" s="246">
        <f>IFERROR(VLOOKUP(O1680,PROGRAMAS[],3,FALSE),0)</f>
        <v>0</v>
      </c>
      <c r="AR1680" s="246">
        <f>IFERROR(VLOOKUP(P1680,PROGRAMAS[],3,FALSE),0)</f>
        <v>0</v>
      </c>
      <c r="AS1680" s="246">
        <f>IFERROR(VLOOKUP(Q1680,PROGRAMAS[],3,FALSE),0)</f>
        <v>0</v>
      </c>
      <c r="AT1680" s="246">
        <f>IFERROR(VLOOKUP(D1680,VOL_REC[],2,FALSE),0)</f>
        <v>0</v>
      </c>
      <c r="AU1680" s="246">
        <f>IFERROR(VLOOKUP(E1680,VOL_REC[],2,FALSE),0)</f>
        <v>0</v>
      </c>
      <c r="AV1680" s="246">
        <f>IFERROR(VLOOKUP(F1680,VOL_REC[],2,FALSE),0)</f>
        <v>11089674.200000001</v>
      </c>
      <c r="AW1680" s="246">
        <f>IFERROR(VLOOKUP(G1680,VOL_REC[],2,FALSE),0)</f>
        <v>90439.55</v>
      </c>
      <c r="AX1680" s="246">
        <f>IFERROR(VLOOKUP(H1680,VOL_REC[],2,FALSE),0)</f>
        <v>3761786</v>
      </c>
      <c r="AY1680" s="246">
        <f>IFERROR(VLOOKUP(I1680,VOL_REC[],2,FALSE),0)</f>
        <v>1812240</v>
      </c>
      <c r="AZ1680" s="246">
        <f>IFERROR(VLOOKUP(J1680,VOL_REC[],2,FALSE),0)</f>
        <v>663244.80000000016</v>
      </c>
      <c r="BA1680" s="246">
        <f>IFERROR(VLOOKUP(K1680,VOL_REC[],2,FALSE),0)</f>
        <v>17074.045034105649</v>
      </c>
      <c r="BB1680" s="246">
        <f>IFERROR(VLOOKUP(L1680,VOL_REC[],2,FALSE),0)</f>
        <v>105072</v>
      </c>
      <c r="BC1680" s="246">
        <f>IFERROR(VLOOKUP(M1680,VOL_REC[],2,FALSE),0)</f>
        <v>740113.98115702497</v>
      </c>
      <c r="BD1680" s="246">
        <f>IFERROR(VLOOKUP(N1680,VOL_REC[],2,FALSE),0)</f>
        <v>0</v>
      </c>
      <c r="BE1680" s="246">
        <f>IFERROR(VLOOKUP(O1680,VOL_REC[],2,FALSE),0)</f>
        <v>0</v>
      </c>
      <c r="BF1680" s="246">
        <f>IFERROR(VLOOKUP(P1680,VOL_REC[],2,FALSE),0)</f>
        <v>0</v>
      </c>
      <c r="BG1680" s="246">
        <f>IFERROR(VLOOKUP(Q1680,VOL_REC[],2,FALSE),0)</f>
        <v>0</v>
      </c>
      <c r="BH1680" s="1710">
        <f t="shared" si="104"/>
        <v>20477160838.174847</v>
      </c>
      <c r="BI1680" s="1710">
        <f t="shared" si="105"/>
        <v>22813489312.890545</v>
      </c>
      <c r="BJ1680" s="1711">
        <f t="shared" si="106"/>
        <v>18279644.576191131</v>
      </c>
      <c r="BK1680" s="1711">
        <f t="shared" si="107"/>
        <v>0.8975900423353661</v>
      </c>
    </row>
    <row r="1681" spans="3:67" x14ac:dyDescent="0.25">
      <c r="C1681" s="246" t="s">
        <v>3031</v>
      </c>
      <c r="D1681" s="246">
        <v>1</v>
      </c>
      <c r="E1681" s="246">
        <v>2</v>
      </c>
      <c r="F1681" s="246">
        <v>3</v>
      </c>
      <c r="G1681" s="246">
        <v>4</v>
      </c>
      <c r="H1681" s="246">
        <v>9</v>
      </c>
      <c r="I1681" s="246">
        <v>10</v>
      </c>
      <c r="J1681" s="246">
        <v>13</v>
      </c>
      <c r="K1681" s="246">
        <v>14</v>
      </c>
      <c r="L1681" s="246">
        <v>16</v>
      </c>
      <c r="M1681" s="246">
        <v>17</v>
      </c>
      <c r="N1681" s="246"/>
      <c r="O1681" s="246"/>
      <c r="P1681" s="246"/>
      <c r="Q1681" s="246"/>
      <c r="R1681" s="246">
        <f>IFERROR(VLOOKUP(D1681,PROGRAMAS[],2,FALSE),0)</f>
        <v>97037803.679377079</v>
      </c>
      <c r="S1681" s="246">
        <f>IFERROR(VLOOKUP(E1681,PROGRAMAS[],2,FALSE),0)</f>
        <v>640501509.6821388</v>
      </c>
      <c r="T1681" s="246">
        <f>IFERROR(VLOOKUP(F1681,PROGRAMAS[],2,FALSE),0)</f>
        <v>3062327798.1525245</v>
      </c>
      <c r="U1681" s="246">
        <f>IFERROR(VLOOKUP(G1681,PROGRAMAS[],2,FALSE),0)</f>
        <v>67697118.033011258</v>
      </c>
      <c r="V1681" s="246">
        <f>IFERROR(VLOOKUP(H1681,PROGRAMAS[],2,FALSE),0)</f>
        <v>6128579952.1618185</v>
      </c>
      <c r="W1681" s="246">
        <f>IFERROR(VLOOKUP(I1681,PROGRAMAS[],2,FALSE),0)</f>
        <v>4635315027.8751087</v>
      </c>
      <c r="X1681" s="246">
        <f>IFERROR(VLOOKUP(J1681,PROGRAMAS[],2,FALSE),0)</f>
        <v>3776538594.4604583</v>
      </c>
      <c r="Y1681" s="246">
        <f>IFERROR(VLOOKUP(K1681,PROGRAMAS[],2,FALSE),0)</f>
        <v>54223862.645839565</v>
      </c>
      <c r="Z1681" s="246">
        <f>IFERROR(VLOOKUP(L1681,PROGRAMAS[],2,FALSE),0)</f>
        <v>7068496961.0436354</v>
      </c>
      <c r="AA1681" s="246">
        <f>IFERROR(VLOOKUP(M1681,PROGRAMAS[],2,FALSE),0)</f>
        <v>1892779498.5211046</v>
      </c>
      <c r="AB1681" s="246">
        <f>IFERROR(VLOOKUP(N1681,PROGRAMAS[],2,FALSE),0)</f>
        <v>0</v>
      </c>
      <c r="AC1681" s="246">
        <f>IFERROR(VLOOKUP(O1681,PROGRAMAS[],2,FALSE),0)</f>
        <v>0</v>
      </c>
      <c r="AD1681" s="246">
        <f>IFERROR(VLOOKUP(P1681,PROGRAMAS[],2,FALSE),0)</f>
        <v>0</v>
      </c>
      <c r="AE1681" s="246">
        <f>IFERROR(VLOOKUP(Q1681,PROGRAMAS[],2,FALSE),0)</f>
        <v>0</v>
      </c>
      <c r="AF1681" s="246">
        <f>IFERROR(VLOOKUP(D1681,PROGRAMAS[],3,FALSE),0)</f>
        <v>841888629.31080008</v>
      </c>
      <c r="AG1681" s="246">
        <f>IFERROR(VLOOKUP(E1681,PROGRAMAS[],3,FALSE),0)</f>
        <v>3848980803.1642323</v>
      </c>
      <c r="AH1681" s="246">
        <f>IFERROR(VLOOKUP(F1681,PROGRAMAS[],3,FALSE),0)</f>
        <v>3394901471.387517</v>
      </c>
      <c r="AI1681" s="246">
        <f>IFERROR(VLOOKUP(G1681,PROGRAMAS[],3,FALSE),0)</f>
        <v>125317226.95549992</v>
      </c>
      <c r="AJ1681" s="246">
        <f>IFERROR(VLOOKUP(H1681,PROGRAMAS[],3,FALSE),0)</f>
        <v>7011279577.519702</v>
      </c>
      <c r="AK1681" s="246">
        <f>IFERROR(VLOOKUP(I1681,PROGRAMAS[],3,FALSE),0)</f>
        <v>4099471734.9978786</v>
      </c>
      <c r="AL1681" s="246">
        <f>IFERROR(VLOOKUP(J1681,PROGRAMAS[],3,FALSE),0)</f>
        <v>2392571243.5584412</v>
      </c>
      <c r="AM1681" s="246">
        <f>IFERROR(VLOOKUP(K1681,PROGRAMAS[],3,FALSE),0)</f>
        <v>31865326.38096505</v>
      </c>
      <c r="AN1681" s="246">
        <f>IFERROR(VLOOKUP(L1681,PROGRAMAS[],3,FALSE),0)</f>
        <v>2406564599.0319901</v>
      </c>
      <c r="AO1681" s="246">
        <f>IFERROR(VLOOKUP(M1681,PROGRAMAS[],3,FALSE),0)</f>
        <v>948595847.09039903</v>
      </c>
      <c r="AP1681" s="246">
        <f>IFERROR(VLOOKUP(N1681,PROGRAMAS[],3,FALSE),0)</f>
        <v>0</v>
      </c>
      <c r="AQ1681" s="246">
        <f>IFERROR(VLOOKUP(O1681,PROGRAMAS[],3,FALSE),0)</f>
        <v>0</v>
      </c>
      <c r="AR1681" s="246">
        <f>IFERROR(VLOOKUP(P1681,PROGRAMAS[],3,FALSE),0)</f>
        <v>0</v>
      </c>
      <c r="AS1681" s="246">
        <f>IFERROR(VLOOKUP(Q1681,PROGRAMAS[],3,FALSE),0)</f>
        <v>0</v>
      </c>
      <c r="AT1681" s="246">
        <f>IFERROR(VLOOKUP(D1681,VOL_REC[],2,FALSE),0)</f>
        <v>0</v>
      </c>
      <c r="AU1681" s="246">
        <f>IFERROR(VLOOKUP(E1681,VOL_REC[],2,FALSE),0)</f>
        <v>0</v>
      </c>
      <c r="AV1681" s="246">
        <f>IFERROR(VLOOKUP(F1681,VOL_REC[],2,FALSE),0)</f>
        <v>11089674.200000001</v>
      </c>
      <c r="AW1681" s="246">
        <f>IFERROR(VLOOKUP(G1681,VOL_REC[],2,FALSE),0)</f>
        <v>90439.55</v>
      </c>
      <c r="AX1681" s="246">
        <f>IFERROR(VLOOKUP(H1681,VOL_REC[],2,FALSE),0)</f>
        <v>3761786</v>
      </c>
      <c r="AY1681" s="246">
        <f>IFERROR(VLOOKUP(I1681,VOL_REC[],2,FALSE),0)</f>
        <v>1812240</v>
      </c>
      <c r="AZ1681" s="246">
        <f>IFERROR(VLOOKUP(J1681,VOL_REC[],2,FALSE),0)</f>
        <v>663244.80000000016</v>
      </c>
      <c r="BA1681" s="246">
        <f>IFERROR(VLOOKUP(K1681,VOL_REC[],2,FALSE),0)</f>
        <v>17074.045034105649</v>
      </c>
      <c r="BB1681" s="246">
        <f>IFERROR(VLOOKUP(L1681,VOL_REC[],2,FALSE),0)</f>
        <v>1072354.9981737854</v>
      </c>
      <c r="BC1681" s="246">
        <f>IFERROR(VLOOKUP(M1681,VOL_REC[],2,FALSE),0)</f>
        <v>740113.98115702497</v>
      </c>
      <c r="BD1681" s="246">
        <f>IFERROR(VLOOKUP(N1681,VOL_REC[],2,FALSE),0)</f>
        <v>0</v>
      </c>
      <c r="BE1681" s="246">
        <f>IFERROR(VLOOKUP(O1681,VOL_REC[],2,FALSE),0)</f>
        <v>0</v>
      </c>
      <c r="BF1681" s="246">
        <f>IFERROR(VLOOKUP(P1681,VOL_REC[],2,FALSE),0)</f>
        <v>0</v>
      </c>
      <c r="BG1681" s="246">
        <f>IFERROR(VLOOKUP(Q1681,VOL_REC[],2,FALSE),0)</f>
        <v>0</v>
      </c>
      <c r="BH1681" s="1710">
        <f t="shared" si="104"/>
        <v>27423498126.255016</v>
      </c>
      <c r="BI1681" s="1710">
        <f t="shared" si="105"/>
        <v>25101436459.397427</v>
      </c>
      <c r="BJ1681" s="1711">
        <f t="shared" si="106"/>
        <v>19246927.574364915</v>
      </c>
      <c r="BK1681" s="1711">
        <f t="shared" si="107"/>
        <v>1.0925071228737693</v>
      </c>
      <c r="BL1681">
        <f>BJ1681</f>
        <v>19246927.574364915</v>
      </c>
      <c r="BO1681">
        <f>BL1681</f>
        <v>19246927.574364915</v>
      </c>
    </row>
    <row r="1682" spans="3:67" x14ac:dyDescent="0.25">
      <c r="C1682" s="246" t="s">
        <v>3032</v>
      </c>
      <c r="D1682" s="246">
        <v>1</v>
      </c>
      <c r="E1682" s="246">
        <v>2</v>
      </c>
      <c r="F1682" s="246">
        <v>3</v>
      </c>
      <c r="G1682" s="246">
        <v>4</v>
      </c>
      <c r="H1682" s="246">
        <v>9</v>
      </c>
      <c r="I1682" s="246">
        <v>10</v>
      </c>
      <c r="J1682" s="246">
        <v>13</v>
      </c>
      <c r="K1682" s="246">
        <v>15</v>
      </c>
      <c r="L1682" s="246">
        <v>16</v>
      </c>
      <c r="M1682" s="246">
        <v>17</v>
      </c>
      <c r="N1682" s="246"/>
      <c r="O1682" s="246"/>
      <c r="P1682" s="246"/>
      <c r="Q1682" s="246"/>
      <c r="R1682" s="246">
        <f>IFERROR(VLOOKUP(D1682,PROGRAMAS[],2,FALSE),0)</f>
        <v>97037803.679377079</v>
      </c>
      <c r="S1682" s="246">
        <f>IFERROR(VLOOKUP(E1682,PROGRAMAS[],2,FALSE),0)</f>
        <v>640501509.6821388</v>
      </c>
      <c r="T1682" s="246">
        <f>IFERROR(VLOOKUP(F1682,PROGRAMAS[],2,FALSE),0)</f>
        <v>3062327798.1525245</v>
      </c>
      <c r="U1682" s="246">
        <f>IFERROR(VLOOKUP(G1682,PROGRAMAS[],2,FALSE),0)</f>
        <v>67697118.033011258</v>
      </c>
      <c r="V1682" s="246">
        <f>IFERROR(VLOOKUP(H1682,PROGRAMAS[],2,FALSE),0)</f>
        <v>6128579952.1618185</v>
      </c>
      <c r="W1682" s="246">
        <f>IFERROR(VLOOKUP(I1682,PROGRAMAS[],2,FALSE),0)</f>
        <v>4635315027.8751087</v>
      </c>
      <c r="X1682" s="246">
        <f>IFERROR(VLOOKUP(J1682,PROGRAMAS[],2,FALSE),0)</f>
        <v>3776538594.4604583</v>
      </c>
      <c r="Y1682" s="246">
        <f>IFERROR(VLOOKUP(K1682,PROGRAMAS[],2,FALSE),0)</f>
        <v>122159672.96346797</v>
      </c>
      <c r="Z1682" s="246">
        <f>IFERROR(VLOOKUP(L1682,PROGRAMAS[],2,FALSE),0)</f>
        <v>7068496961.0436354</v>
      </c>
      <c r="AA1682" s="246">
        <f>IFERROR(VLOOKUP(M1682,PROGRAMAS[],2,FALSE),0)</f>
        <v>1892779498.5211046</v>
      </c>
      <c r="AB1682" s="246">
        <f>IFERROR(VLOOKUP(N1682,PROGRAMAS[],2,FALSE),0)</f>
        <v>0</v>
      </c>
      <c r="AC1682" s="246">
        <f>IFERROR(VLOOKUP(O1682,PROGRAMAS[],2,FALSE),0)</f>
        <v>0</v>
      </c>
      <c r="AD1682" s="246">
        <f>IFERROR(VLOOKUP(P1682,PROGRAMAS[],2,FALSE),0)</f>
        <v>0</v>
      </c>
      <c r="AE1682" s="246">
        <f>IFERROR(VLOOKUP(Q1682,PROGRAMAS[],2,FALSE),0)</f>
        <v>0</v>
      </c>
      <c r="AF1682" s="246">
        <f>IFERROR(VLOOKUP(D1682,PROGRAMAS[],3,FALSE),0)</f>
        <v>841888629.31080008</v>
      </c>
      <c r="AG1682" s="246">
        <f>IFERROR(VLOOKUP(E1682,PROGRAMAS[],3,FALSE),0)</f>
        <v>3848980803.1642323</v>
      </c>
      <c r="AH1682" s="246">
        <f>IFERROR(VLOOKUP(F1682,PROGRAMAS[],3,FALSE),0)</f>
        <v>3394901471.387517</v>
      </c>
      <c r="AI1682" s="246">
        <f>IFERROR(VLOOKUP(G1682,PROGRAMAS[],3,FALSE),0)</f>
        <v>125317226.95549992</v>
      </c>
      <c r="AJ1682" s="246">
        <f>IFERROR(VLOOKUP(H1682,PROGRAMAS[],3,FALSE),0)</f>
        <v>7011279577.519702</v>
      </c>
      <c r="AK1682" s="246">
        <f>IFERROR(VLOOKUP(I1682,PROGRAMAS[],3,FALSE),0)</f>
        <v>4099471734.9978786</v>
      </c>
      <c r="AL1682" s="246">
        <f>IFERROR(VLOOKUP(J1682,PROGRAMAS[],3,FALSE),0)</f>
        <v>2392571243.5584412</v>
      </c>
      <c r="AM1682" s="246">
        <f>IFERROR(VLOOKUP(K1682,PROGRAMAS[],3,FALSE),0)</f>
        <v>118617452.52510804</v>
      </c>
      <c r="AN1682" s="246">
        <f>IFERROR(VLOOKUP(L1682,PROGRAMAS[],3,FALSE),0)</f>
        <v>2406564599.0319901</v>
      </c>
      <c r="AO1682" s="246">
        <f>IFERROR(VLOOKUP(M1682,PROGRAMAS[],3,FALSE),0)</f>
        <v>948595847.09039903</v>
      </c>
      <c r="AP1682" s="246">
        <f>IFERROR(VLOOKUP(N1682,PROGRAMAS[],3,FALSE),0)</f>
        <v>0</v>
      </c>
      <c r="AQ1682" s="246">
        <f>IFERROR(VLOOKUP(O1682,PROGRAMAS[],3,FALSE),0)</f>
        <v>0</v>
      </c>
      <c r="AR1682" s="246">
        <f>IFERROR(VLOOKUP(P1682,PROGRAMAS[],3,FALSE),0)</f>
        <v>0</v>
      </c>
      <c r="AS1682" s="246">
        <f>IFERROR(VLOOKUP(Q1682,PROGRAMAS[],3,FALSE),0)</f>
        <v>0</v>
      </c>
      <c r="AT1682" s="246">
        <f>IFERROR(VLOOKUP(D1682,VOL_REC[],2,FALSE),0)</f>
        <v>0</v>
      </c>
      <c r="AU1682" s="246">
        <f>IFERROR(VLOOKUP(E1682,VOL_REC[],2,FALSE),0)</f>
        <v>0</v>
      </c>
      <c r="AV1682" s="246">
        <f>IFERROR(VLOOKUP(F1682,VOL_REC[],2,FALSE),0)</f>
        <v>11089674.200000001</v>
      </c>
      <c r="AW1682" s="246">
        <f>IFERROR(VLOOKUP(G1682,VOL_REC[],2,FALSE),0)</f>
        <v>90439.55</v>
      </c>
      <c r="AX1682" s="246">
        <f>IFERROR(VLOOKUP(H1682,VOL_REC[],2,FALSE),0)</f>
        <v>3761786</v>
      </c>
      <c r="AY1682" s="246">
        <f>IFERROR(VLOOKUP(I1682,VOL_REC[],2,FALSE),0)</f>
        <v>1812240</v>
      </c>
      <c r="AZ1682" s="246">
        <f>IFERROR(VLOOKUP(J1682,VOL_REC[],2,FALSE),0)</f>
        <v>663244.80000000016</v>
      </c>
      <c r="BA1682" s="246">
        <f>IFERROR(VLOOKUP(K1682,VOL_REC[],2,FALSE),0)</f>
        <v>105072</v>
      </c>
      <c r="BB1682" s="246">
        <f>IFERROR(VLOOKUP(L1682,VOL_REC[],2,FALSE),0)</f>
        <v>1072354.9981737854</v>
      </c>
      <c r="BC1682" s="246">
        <f>IFERROR(VLOOKUP(M1682,VOL_REC[],2,FALSE),0)</f>
        <v>740113.98115702497</v>
      </c>
      <c r="BD1682" s="246">
        <f>IFERROR(VLOOKUP(N1682,VOL_REC[],2,FALSE),0)</f>
        <v>0</v>
      </c>
      <c r="BE1682" s="246">
        <f>IFERROR(VLOOKUP(O1682,VOL_REC[],2,FALSE),0)</f>
        <v>0</v>
      </c>
      <c r="BF1682" s="246">
        <f>IFERROR(VLOOKUP(P1682,VOL_REC[],2,FALSE),0)</f>
        <v>0</v>
      </c>
      <c r="BG1682" s="246">
        <f>IFERROR(VLOOKUP(Q1682,VOL_REC[],2,FALSE),0)</f>
        <v>0</v>
      </c>
      <c r="BH1682" s="1710">
        <f t="shared" si="104"/>
        <v>27491433936.572643</v>
      </c>
      <c r="BI1682" s="1710">
        <f t="shared" si="105"/>
        <v>25188188585.541569</v>
      </c>
      <c r="BJ1682" s="1711">
        <f t="shared" si="106"/>
        <v>19334925.529330809</v>
      </c>
      <c r="BK1682" s="1711">
        <f t="shared" si="107"/>
        <v>1.0914414842976512</v>
      </c>
      <c r="BL1682">
        <f>BJ1682</f>
        <v>19334925.529330809</v>
      </c>
      <c r="BO1682">
        <f>BL1682</f>
        <v>19334925.529330809</v>
      </c>
    </row>
    <row r="1683" spans="3:67" x14ac:dyDescent="0.25">
      <c r="C1683" s="246" t="s">
        <v>3033</v>
      </c>
      <c r="D1683" s="246">
        <v>1</v>
      </c>
      <c r="E1683" s="246">
        <v>2</v>
      </c>
      <c r="F1683" s="246">
        <v>3</v>
      </c>
      <c r="G1683" s="246">
        <v>4</v>
      </c>
      <c r="H1683" s="246">
        <v>9</v>
      </c>
      <c r="I1683" s="246">
        <v>10</v>
      </c>
      <c r="J1683" s="246">
        <v>14</v>
      </c>
      <c r="K1683" s="246">
        <v>15</v>
      </c>
      <c r="L1683" s="246">
        <v>16</v>
      </c>
      <c r="M1683" s="246">
        <v>17</v>
      </c>
      <c r="N1683" s="246"/>
      <c r="O1683" s="246"/>
      <c r="P1683" s="246"/>
      <c r="Q1683" s="246"/>
      <c r="R1683" s="246">
        <f>IFERROR(VLOOKUP(D1683,PROGRAMAS[],2,FALSE),0)</f>
        <v>97037803.679377079</v>
      </c>
      <c r="S1683" s="246">
        <f>IFERROR(VLOOKUP(E1683,PROGRAMAS[],2,FALSE),0)</f>
        <v>640501509.6821388</v>
      </c>
      <c r="T1683" s="246">
        <f>IFERROR(VLOOKUP(F1683,PROGRAMAS[],2,FALSE),0)</f>
        <v>3062327798.1525245</v>
      </c>
      <c r="U1683" s="246">
        <f>IFERROR(VLOOKUP(G1683,PROGRAMAS[],2,FALSE),0)</f>
        <v>67697118.033011258</v>
      </c>
      <c r="V1683" s="246">
        <f>IFERROR(VLOOKUP(H1683,PROGRAMAS[],2,FALSE),0)</f>
        <v>6128579952.1618185</v>
      </c>
      <c r="W1683" s="246">
        <f>IFERROR(VLOOKUP(I1683,PROGRAMAS[],2,FALSE),0)</f>
        <v>4635315027.8751087</v>
      </c>
      <c r="X1683" s="246">
        <f>IFERROR(VLOOKUP(J1683,PROGRAMAS[],2,FALSE),0)</f>
        <v>54223862.645839565</v>
      </c>
      <c r="Y1683" s="246">
        <f>IFERROR(VLOOKUP(K1683,PROGRAMAS[],2,FALSE),0)</f>
        <v>122159672.96346797</v>
      </c>
      <c r="Z1683" s="246">
        <f>IFERROR(VLOOKUP(L1683,PROGRAMAS[],2,FALSE),0)</f>
        <v>7068496961.0436354</v>
      </c>
      <c r="AA1683" s="246">
        <f>IFERROR(VLOOKUP(M1683,PROGRAMAS[],2,FALSE),0)</f>
        <v>1892779498.5211046</v>
      </c>
      <c r="AB1683" s="246">
        <f>IFERROR(VLOOKUP(N1683,PROGRAMAS[],2,FALSE),0)</f>
        <v>0</v>
      </c>
      <c r="AC1683" s="246">
        <f>IFERROR(VLOOKUP(O1683,PROGRAMAS[],2,FALSE),0)</f>
        <v>0</v>
      </c>
      <c r="AD1683" s="246">
        <f>IFERROR(VLOOKUP(P1683,PROGRAMAS[],2,FALSE),0)</f>
        <v>0</v>
      </c>
      <c r="AE1683" s="246">
        <f>IFERROR(VLOOKUP(Q1683,PROGRAMAS[],2,FALSE),0)</f>
        <v>0</v>
      </c>
      <c r="AF1683" s="246">
        <f>IFERROR(VLOOKUP(D1683,PROGRAMAS[],3,FALSE),0)</f>
        <v>841888629.31080008</v>
      </c>
      <c r="AG1683" s="246">
        <f>IFERROR(VLOOKUP(E1683,PROGRAMAS[],3,FALSE),0)</f>
        <v>3848980803.1642323</v>
      </c>
      <c r="AH1683" s="246">
        <f>IFERROR(VLOOKUP(F1683,PROGRAMAS[],3,FALSE),0)</f>
        <v>3394901471.387517</v>
      </c>
      <c r="AI1683" s="246">
        <f>IFERROR(VLOOKUP(G1683,PROGRAMAS[],3,FALSE),0)</f>
        <v>125317226.95549992</v>
      </c>
      <c r="AJ1683" s="246">
        <f>IFERROR(VLOOKUP(H1683,PROGRAMAS[],3,FALSE),0)</f>
        <v>7011279577.519702</v>
      </c>
      <c r="AK1683" s="246">
        <f>IFERROR(VLOOKUP(I1683,PROGRAMAS[],3,FALSE),0)</f>
        <v>4099471734.9978786</v>
      </c>
      <c r="AL1683" s="246">
        <f>IFERROR(VLOOKUP(J1683,PROGRAMAS[],3,FALSE),0)</f>
        <v>31865326.38096505</v>
      </c>
      <c r="AM1683" s="246">
        <f>IFERROR(VLOOKUP(K1683,PROGRAMAS[],3,FALSE),0)</f>
        <v>118617452.52510804</v>
      </c>
      <c r="AN1683" s="246">
        <f>IFERROR(VLOOKUP(L1683,PROGRAMAS[],3,FALSE),0)</f>
        <v>2406564599.0319901</v>
      </c>
      <c r="AO1683" s="246">
        <f>IFERROR(VLOOKUP(M1683,PROGRAMAS[],3,FALSE),0)</f>
        <v>948595847.09039903</v>
      </c>
      <c r="AP1683" s="246">
        <f>IFERROR(VLOOKUP(N1683,PROGRAMAS[],3,FALSE),0)</f>
        <v>0</v>
      </c>
      <c r="AQ1683" s="246">
        <f>IFERROR(VLOOKUP(O1683,PROGRAMAS[],3,FALSE),0)</f>
        <v>0</v>
      </c>
      <c r="AR1683" s="246">
        <f>IFERROR(VLOOKUP(P1683,PROGRAMAS[],3,FALSE),0)</f>
        <v>0</v>
      </c>
      <c r="AS1683" s="246">
        <f>IFERROR(VLOOKUP(Q1683,PROGRAMAS[],3,FALSE),0)</f>
        <v>0</v>
      </c>
      <c r="AT1683" s="246">
        <f>IFERROR(VLOOKUP(D1683,VOL_REC[],2,FALSE),0)</f>
        <v>0</v>
      </c>
      <c r="AU1683" s="246">
        <f>IFERROR(VLOOKUP(E1683,VOL_REC[],2,FALSE),0)</f>
        <v>0</v>
      </c>
      <c r="AV1683" s="246">
        <f>IFERROR(VLOOKUP(F1683,VOL_REC[],2,FALSE),0)</f>
        <v>11089674.200000001</v>
      </c>
      <c r="AW1683" s="246">
        <f>IFERROR(VLOOKUP(G1683,VOL_REC[],2,FALSE),0)</f>
        <v>90439.55</v>
      </c>
      <c r="AX1683" s="246">
        <f>IFERROR(VLOOKUP(H1683,VOL_REC[],2,FALSE),0)</f>
        <v>3761786</v>
      </c>
      <c r="AY1683" s="246">
        <f>IFERROR(VLOOKUP(I1683,VOL_REC[],2,FALSE),0)</f>
        <v>1812240</v>
      </c>
      <c r="AZ1683" s="246">
        <f>IFERROR(VLOOKUP(J1683,VOL_REC[],2,FALSE),0)</f>
        <v>17074.045034105649</v>
      </c>
      <c r="BA1683" s="246">
        <f>IFERROR(VLOOKUP(K1683,VOL_REC[],2,FALSE),0)</f>
        <v>105072</v>
      </c>
      <c r="BB1683" s="246">
        <f>IFERROR(VLOOKUP(L1683,VOL_REC[],2,FALSE),0)</f>
        <v>1072354.9981737854</v>
      </c>
      <c r="BC1683" s="246">
        <f>IFERROR(VLOOKUP(M1683,VOL_REC[],2,FALSE),0)</f>
        <v>740113.98115702497</v>
      </c>
      <c r="BD1683" s="246">
        <f>IFERROR(VLOOKUP(N1683,VOL_REC[],2,FALSE),0)</f>
        <v>0</v>
      </c>
      <c r="BE1683" s="246">
        <f>IFERROR(VLOOKUP(O1683,VOL_REC[],2,FALSE),0)</f>
        <v>0</v>
      </c>
      <c r="BF1683" s="246">
        <f>IFERROR(VLOOKUP(P1683,VOL_REC[],2,FALSE),0)</f>
        <v>0</v>
      </c>
      <c r="BG1683" s="246">
        <f>IFERROR(VLOOKUP(Q1683,VOL_REC[],2,FALSE),0)</f>
        <v>0</v>
      </c>
      <c r="BH1683" s="1710">
        <f t="shared" si="104"/>
        <v>23769119204.758026</v>
      </c>
      <c r="BI1683" s="1710">
        <f t="shared" si="105"/>
        <v>22827482668.364094</v>
      </c>
      <c r="BJ1683" s="1711">
        <f t="shared" si="106"/>
        <v>18688754.774364915</v>
      </c>
      <c r="BK1683" s="1711">
        <f t="shared" si="107"/>
        <v>1.0412501260026765</v>
      </c>
      <c r="BL1683">
        <f>BJ1683</f>
        <v>18688754.774364915</v>
      </c>
      <c r="BO1683">
        <f>BL1683</f>
        <v>18688754.774364915</v>
      </c>
    </row>
    <row r="1684" spans="3:67" x14ac:dyDescent="0.25">
      <c r="C1684" s="246" t="s">
        <v>3034</v>
      </c>
      <c r="D1684" s="246">
        <v>1</v>
      </c>
      <c r="E1684" s="246">
        <v>2</v>
      </c>
      <c r="F1684" s="246">
        <v>3</v>
      </c>
      <c r="G1684" s="246">
        <v>4</v>
      </c>
      <c r="H1684" s="246">
        <v>9</v>
      </c>
      <c r="I1684" s="246">
        <v>12</v>
      </c>
      <c r="J1684" s="246">
        <v>13</v>
      </c>
      <c r="K1684" s="246">
        <v>14</v>
      </c>
      <c r="L1684" s="246">
        <v>15</v>
      </c>
      <c r="M1684" s="246">
        <v>16</v>
      </c>
      <c r="N1684" s="246"/>
      <c r="O1684" s="246"/>
      <c r="P1684" s="246"/>
      <c r="Q1684" s="246"/>
      <c r="R1684" s="246">
        <f>IFERROR(VLOOKUP(D1684,PROGRAMAS[],2,FALSE),0)</f>
        <v>97037803.679377079</v>
      </c>
      <c r="S1684" s="246">
        <f>IFERROR(VLOOKUP(E1684,PROGRAMAS[],2,FALSE),0)</f>
        <v>640501509.6821388</v>
      </c>
      <c r="T1684" s="246">
        <f>IFERROR(VLOOKUP(F1684,PROGRAMAS[],2,FALSE),0)</f>
        <v>3062327798.1525245</v>
      </c>
      <c r="U1684" s="246">
        <f>IFERROR(VLOOKUP(G1684,PROGRAMAS[],2,FALSE),0)</f>
        <v>67697118.033011258</v>
      </c>
      <c r="V1684" s="246">
        <f>IFERROR(VLOOKUP(H1684,PROGRAMAS[],2,FALSE),0)</f>
        <v>6128579952.1618185</v>
      </c>
      <c r="W1684" s="246">
        <f>IFERROR(VLOOKUP(I1684,PROGRAMAS[],2,FALSE),0)</f>
        <v>764796700.79905891</v>
      </c>
      <c r="X1684" s="246">
        <f>IFERROR(VLOOKUP(J1684,PROGRAMAS[],2,FALSE),0)</f>
        <v>3776538594.4604583</v>
      </c>
      <c r="Y1684" s="246">
        <f>IFERROR(VLOOKUP(K1684,PROGRAMAS[],2,FALSE),0)</f>
        <v>54223862.645839565</v>
      </c>
      <c r="Z1684" s="246">
        <f>IFERROR(VLOOKUP(L1684,PROGRAMAS[],2,FALSE),0)</f>
        <v>122159672.96346797</v>
      </c>
      <c r="AA1684" s="246">
        <f>IFERROR(VLOOKUP(M1684,PROGRAMAS[],2,FALSE),0)</f>
        <v>7068496961.0436354</v>
      </c>
      <c r="AB1684" s="246">
        <f>IFERROR(VLOOKUP(N1684,PROGRAMAS[],2,FALSE),0)</f>
        <v>0</v>
      </c>
      <c r="AC1684" s="246">
        <f>IFERROR(VLOOKUP(O1684,PROGRAMAS[],2,FALSE),0)</f>
        <v>0</v>
      </c>
      <c r="AD1684" s="246">
        <f>IFERROR(VLOOKUP(P1684,PROGRAMAS[],2,FALSE),0)</f>
        <v>0</v>
      </c>
      <c r="AE1684" s="246">
        <f>IFERROR(VLOOKUP(Q1684,PROGRAMAS[],2,FALSE),0)</f>
        <v>0</v>
      </c>
      <c r="AF1684" s="246">
        <f>IFERROR(VLOOKUP(D1684,PROGRAMAS[],3,FALSE),0)</f>
        <v>841888629.31080008</v>
      </c>
      <c r="AG1684" s="246">
        <f>IFERROR(VLOOKUP(E1684,PROGRAMAS[],3,FALSE),0)</f>
        <v>3848980803.1642323</v>
      </c>
      <c r="AH1684" s="246">
        <f>IFERROR(VLOOKUP(F1684,PROGRAMAS[],3,FALSE),0)</f>
        <v>3394901471.387517</v>
      </c>
      <c r="AI1684" s="246">
        <f>IFERROR(VLOOKUP(G1684,PROGRAMAS[],3,FALSE),0)</f>
        <v>125317226.95549992</v>
      </c>
      <c r="AJ1684" s="246">
        <f>IFERROR(VLOOKUP(H1684,PROGRAMAS[],3,FALSE),0)</f>
        <v>7011279577.519702</v>
      </c>
      <c r="AK1684" s="246">
        <f>IFERROR(VLOOKUP(I1684,PROGRAMAS[],3,FALSE),0)</f>
        <v>675517840.109828</v>
      </c>
      <c r="AL1684" s="246">
        <f>IFERROR(VLOOKUP(J1684,PROGRAMAS[],3,FALSE),0)</f>
        <v>2392571243.5584412</v>
      </c>
      <c r="AM1684" s="246">
        <f>IFERROR(VLOOKUP(K1684,PROGRAMAS[],3,FALSE),0)</f>
        <v>31865326.38096505</v>
      </c>
      <c r="AN1684" s="246">
        <f>IFERROR(VLOOKUP(L1684,PROGRAMAS[],3,FALSE),0)</f>
        <v>118617452.52510804</v>
      </c>
      <c r="AO1684" s="246">
        <f>IFERROR(VLOOKUP(M1684,PROGRAMAS[],3,FALSE),0)</f>
        <v>2406564599.0319901</v>
      </c>
      <c r="AP1684" s="246">
        <f>IFERROR(VLOOKUP(N1684,PROGRAMAS[],3,FALSE),0)</f>
        <v>0</v>
      </c>
      <c r="AQ1684" s="246">
        <f>IFERROR(VLOOKUP(O1684,PROGRAMAS[],3,FALSE),0)</f>
        <v>0</v>
      </c>
      <c r="AR1684" s="246">
        <f>IFERROR(VLOOKUP(P1684,PROGRAMAS[],3,FALSE),0)</f>
        <v>0</v>
      </c>
      <c r="AS1684" s="246">
        <f>IFERROR(VLOOKUP(Q1684,PROGRAMAS[],3,FALSE),0)</f>
        <v>0</v>
      </c>
      <c r="AT1684" s="246">
        <f>IFERROR(VLOOKUP(D1684,VOL_REC[],2,FALSE),0)</f>
        <v>0</v>
      </c>
      <c r="AU1684" s="246">
        <f>IFERROR(VLOOKUP(E1684,VOL_REC[],2,FALSE),0)</f>
        <v>0</v>
      </c>
      <c r="AV1684" s="246">
        <f>IFERROR(VLOOKUP(F1684,VOL_REC[],2,FALSE),0)</f>
        <v>11089674.200000001</v>
      </c>
      <c r="AW1684" s="246">
        <f>IFERROR(VLOOKUP(G1684,VOL_REC[],2,FALSE),0)</f>
        <v>90439.55</v>
      </c>
      <c r="AX1684" s="246">
        <f>IFERROR(VLOOKUP(H1684,VOL_REC[],2,FALSE),0)</f>
        <v>3761786</v>
      </c>
      <c r="AY1684" s="246">
        <f>IFERROR(VLOOKUP(I1684,VOL_REC[],2,FALSE),0)</f>
        <v>240696.79238099116</v>
      </c>
      <c r="AZ1684" s="246">
        <f>IFERROR(VLOOKUP(J1684,VOL_REC[],2,FALSE),0)</f>
        <v>663244.80000000016</v>
      </c>
      <c r="BA1684" s="246">
        <f>IFERROR(VLOOKUP(K1684,VOL_REC[],2,FALSE),0)</f>
        <v>17074.045034105649</v>
      </c>
      <c r="BB1684" s="246">
        <f>IFERROR(VLOOKUP(L1684,VOL_REC[],2,FALSE),0)</f>
        <v>105072</v>
      </c>
      <c r="BC1684" s="246">
        <f>IFERROR(VLOOKUP(M1684,VOL_REC[],2,FALSE),0)</f>
        <v>1072354.9981737854</v>
      </c>
      <c r="BD1684" s="246">
        <f>IFERROR(VLOOKUP(N1684,VOL_REC[],2,FALSE),0)</f>
        <v>0</v>
      </c>
      <c r="BE1684" s="246">
        <f>IFERROR(VLOOKUP(O1684,VOL_REC[],2,FALSE),0)</f>
        <v>0</v>
      </c>
      <c r="BF1684" s="246">
        <f>IFERROR(VLOOKUP(P1684,VOL_REC[],2,FALSE),0)</f>
        <v>0</v>
      </c>
      <c r="BG1684" s="246">
        <f>IFERROR(VLOOKUP(Q1684,VOL_REC[],2,FALSE),0)</f>
        <v>0</v>
      </c>
      <c r="BH1684" s="1710">
        <f t="shared" si="104"/>
        <v>21782359973.62133</v>
      </c>
      <c r="BI1684" s="1710">
        <f t="shared" si="105"/>
        <v>20847504169.944084</v>
      </c>
      <c r="BJ1684" s="1711">
        <f t="shared" si="106"/>
        <v>17040342.385588884</v>
      </c>
      <c r="BK1684" s="1711">
        <f t="shared" si="107"/>
        <v>1.0448425766488167</v>
      </c>
      <c r="BL1684">
        <f>BJ1684</f>
        <v>17040342.385588884</v>
      </c>
      <c r="BO1684">
        <f>BL1684</f>
        <v>17040342.385588884</v>
      </c>
    </row>
    <row r="1685" spans="3:67" x14ac:dyDescent="0.25">
      <c r="C1685" s="246" t="s">
        <v>3035</v>
      </c>
      <c r="D1685" s="246">
        <v>1</v>
      </c>
      <c r="E1685" s="246">
        <v>2</v>
      </c>
      <c r="F1685" s="246">
        <v>3</v>
      </c>
      <c r="G1685" s="246">
        <v>4</v>
      </c>
      <c r="H1685" s="246">
        <v>9</v>
      </c>
      <c r="I1685" s="246">
        <v>12</v>
      </c>
      <c r="J1685" s="246">
        <v>13</v>
      </c>
      <c r="K1685" s="246">
        <v>14</v>
      </c>
      <c r="L1685" s="246">
        <v>15</v>
      </c>
      <c r="M1685" s="246">
        <v>17</v>
      </c>
      <c r="N1685" s="246"/>
      <c r="O1685" s="246"/>
      <c r="P1685" s="246"/>
      <c r="Q1685" s="246"/>
      <c r="R1685" s="246">
        <f>IFERROR(VLOOKUP(D1685,PROGRAMAS[],2,FALSE),0)</f>
        <v>97037803.679377079</v>
      </c>
      <c r="S1685" s="246">
        <f>IFERROR(VLOOKUP(E1685,PROGRAMAS[],2,FALSE),0)</f>
        <v>640501509.6821388</v>
      </c>
      <c r="T1685" s="246">
        <f>IFERROR(VLOOKUP(F1685,PROGRAMAS[],2,FALSE),0)</f>
        <v>3062327798.1525245</v>
      </c>
      <c r="U1685" s="246">
        <f>IFERROR(VLOOKUP(G1685,PROGRAMAS[],2,FALSE),0)</f>
        <v>67697118.033011258</v>
      </c>
      <c r="V1685" s="246">
        <f>IFERROR(VLOOKUP(H1685,PROGRAMAS[],2,FALSE),0)</f>
        <v>6128579952.1618185</v>
      </c>
      <c r="W1685" s="246">
        <f>IFERROR(VLOOKUP(I1685,PROGRAMAS[],2,FALSE),0)</f>
        <v>764796700.79905891</v>
      </c>
      <c r="X1685" s="246">
        <f>IFERROR(VLOOKUP(J1685,PROGRAMAS[],2,FALSE),0)</f>
        <v>3776538594.4604583</v>
      </c>
      <c r="Y1685" s="246">
        <f>IFERROR(VLOOKUP(K1685,PROGRAMAS[],2,FALSE),0)</f>
        <v>54223862.645839565</v>
      </c>
      <c r="Z1685" s="246">
        <f>IFERROR(VLOOKUP(L1685,PROGRAMAS[],2,FALSE),0)</f>
        <v>122159672.96346797</v>
      </c>
      <c r="AA1685" s="246">
        <f>IFERROR(VLOOKUP(M1685,PROGRAMAS[],2,FALSE),0)</f>
        <v>1892779498.5211046</v>
      </c>
      <c r="AB1685" s="246">
        <f>IFERROR(VLOOKUP(N1685,PROGRAMAS[],2,FALSE),0)</f>
        <v>0</v>
      </c>
      <c r="AC1685" s="246">
        <f>IFERROR(VLOOKUP(O1685,PROGRAMAS[],2,FALSE),0)</f>
        <v>0</v>
      </c>
      <c r="AD1685" s="246">
        <f>IFERROR(VLOOKUP(P1685,PROGRAMAS[],2,FALSE),0)</f>
        <v>0</v>
      </c>
      <c r="AE1685" s="246">
        <f>IFERROR(VLOOKUP(Q1685,PROGRAMAS[],2,FALSE),0)</f>
        <v>0</v>
      </c>
      <c r="AF1685" s="246">
        <f>IFERROR(VLOOKUP(D1685,PROGRAMAS[],3,FALSE),0)</f>
        <v>841888629.31080008</v>
      </c>
      <c r="AG1685" s="246">
        <f>IFERROR(VLOOKUP(E1685,PROGRAMAS[],3,FALSE),0)</f>
        <v>3848980803.1642323</v>
      </c>
      <c r="AH1685" s="246">
        <f>IFERROR(VLOOKUP(F1685,PROGRAMAS[],3,FALSE),0)</f>
        <v>3394901471.387517</v>
      </c>
      <c r="AI1685" s="246">
        <f>IFERROR(VLOOKUP(G1685,PROGRAMAS[],3,FALSE),0)</f>
        <v>125317226.95549992</v>
      </c>
      <c r="AJ1685" s="246">
        <f>IFERROR(VLOOKUP(H1685,PROGRAMAS[],3,FALSE),0)</f>
        <v>7011279577.519702</v>
      </c>
      <c r="AK1685" s="246">
        <f>IFERROR(VLOOKUP(I1685,PROGRAMAS[],3,FALSE),0)</f>
        <v>675517840.109828</v>
      </c>
      <c r="AL1685" s="246">
        <f>IFERROR(VLOOKUP(J1685,PROGRAMAS[],3,FALSE),0)</f>
        <v>2392571243.5584412</v>
      </c>
      <c r="AM1685" s="246">
        <f>IFERROR(VLOOKUP(K1685,PROGRAMAS[],3,FALSE),0)</f>
        <v>31865326.38096505</v>
      </c>
      <c r="AN1685" s="246">
        <f>IFERROR(VLOOKUP(L1685,PROGRAMAS[],3,FALSE),0)</f>
        <v>118617452.52510804</v>
      </c>
      <c r="AO1685" s="246">
        <f>IFERROR(VLOOKUP(M1685,PROGRAMAS[],3,FALSE),0)</f>
        <v>948595847.09039903</v>
      </c>
      <c r="AP1685" s="246">
        <f>IFERROR(VLOOKUP(N1685,PROGRAMAS[],3,FALSE),0)</f>
        <v>0</v>
      </c>
      <c r="AQ1685" s="246">
        <f>IFERROR(VLOOKUP(O1685,PROGRAMAS[],3,FALSE),0)</f>
        <v>0</v>
      </c>
      <c r="AR1685" s="246">
        <f>IFERROR(VLOOKUP(P1685,PROGRAMAS[],3,FALSE),0)</f>
        <v>0</v>
      </c>
      <c r="AS1685" s="246">
        <f>IFERROR(VLOOKUP(Q1685,PROGRAMAS[],3,FALSE),0)</f>
        <v>0</v>
      </c>
      <c r="AT1685" s="246">
        <f>IFERROR(VLOOKUP(D1685,VOL_REC[],2,FALSE),0)</f>
        <v>0</v>
      </c>
      <c r="AU1685" s="246">
        <f>IFERROR(VLOOKUP(E1685,VOL_REC[],2,FALSE),0)</f>
        <v>0</v>
      </c>
      <c r="AV1685" s="246">
        <f>IFERROR(VLOOKUP(F1685,VOL_REC[],2,FALSE),0)</f>
        <v>11089674.200000001</v>
      </c>
      <c r="AW1685" s="246">
        <f>IFERROR(VLOOKUP(G1685,VOL_REC[],2,FALSE),0)</f>
        <v>90439.55</v>
      </c>
      <c r="AX1685" s="246">
        <f>IFERROR(VLOOKUP(H1685,VOL_REC[],2,FALSE),0)</f>
        <v>3761786</v>
      </c>
      <c r="AY1685" s="246">
        <f>IFERROR(VLOOKUP(I1685,VOL_REC[],2,FALSE),0)</f>
        <v>240696.79238099116</v>
      </c>
      <c r="AZ1685" s="246">
        <f>IFERROR(VLOOKUP(J1685,VOL_REC[],2,FALSE),0)</f>
        <v>663244.80000000016</v>
      </c>
      <c r="BA1685" s="246">
        <f>IFERROR(VLOOKUP(K1685,VOL_REC[],2,FALSE),0)</f>
        <v>17074.045034105649</v>
      </c>
      <c r="BB1685" s="246">
        <f>IFERROR(VLOOKUP(L1685,VOL_REC[],2,FALSE),0)</f>
        <v>105072</v>
      </c>
      <c r="BC1685" s="246">
        <f>IFERROR(VLOOKUP(M1685,VOL_REC[],2,FALSE),0)</f>
        <v>740113.98115702497</v>
      </c>
      <c r="BD1685" s="246">
        <f>IFERROR(VLOOKUP(N1685,VOL_REC[],2,FALSE),0)</f>
        <v>0</v>
      </c>
      <c r="BE1685" s="246">
        <f>IFERROR(VLOOKUP(O1685,VOL_REC[],2,FALSE),0)</f>
        <v>0</v>
      </c>
      <c r="BF1685" s="246">
        <f>IFERROR(VLOOKUP(P1685,VOL_REC[],2,FALSE),0)</f>
        <v>0</v>
      </c>
      <c r="BG1685" s="246">
        <f>IFERROR(VLOOKUP(Q1685,VOL_REC[],2,FALSE),0)</f>
        <v>0</v>
      </c>
      <c r="BH1685" s="1710">
        <f t="shared" si="104"/>
        <v>16606642511.098801</v>
      </c>
      <c r="BI1685" s="1710">
        <f t="shared" si="105"/>
        <v>19389535418.002495</v>
      </c>
      <c r="BJ1685" s="1711">
        <f t="shared" si="106"/>
        <v>16708101.368572123</v>
      </c>
      <c r="BK1685" s="1711">
        <f t="shared" si="107"/>
        <v>0.85647449271425669</v>
      </c>
    </row>
    <row r="1686" spans="3:67" x14ac:dyDescent="0.25">
      <c r="C1686" s="246" t="s">
        <v>3036</v>
      </c>
      <c r="D1686" s="246">
        <v>1</v>
      </c>
      <c r="E1686" s="246">
        <v>2</v>
      </c>
      <c r="F1686" s="246">
        <v>3</v>
      </c>
      <c r="G1686" s="246">
        <v>4</v>
      </c>
      <c r="H1686" s="246">
        <v>9</v>
      </c>
      <c r="I1686" s="246">
        <v>12</v>
      </c>
      <c r="J1686" s="246">
        <v>13</v>
      </c>
      <c r="K1686" s="246">
        <v>14</v>
      </c>
      <c r="L1686" s="246">
        <v>16</v>
      </c>
      <c r="M1686" s="246">
        <v>17</v>
      </c>
      <c r="N1686" s="246"/>
      <c r="O1686" s="246"/>
      <c r="P1686" s="246"/>
      <c r="Q1686" s="246"/>
      <c r="R1686" s="246">
        <f>IFERROR(VLOOKUP(D1686,PROGRAMAS[],2,FALSE),0)</f>
        <v>97037803.679377079</v>
      </c>
      <c r="S1686" s="246">
        <f>IFERROR(VLOOKUP(E1686,PROGRAMAS[],2,FALSE),0)</f>
        <v>640501509.6821388</v>
      </c>
      <c r="T1686" s="246">
        <f>IFERROR(VLOOKUP(F1686,PROGRAMAS[],2,FALSE),0)</f>
        <v>3062327798.1525245</v>
      </c>
      <c r="U1686" s="246">
        <f>IFERROR(VLOOKUP(G1686,PROGRAMAS[],2,FALSE),0)</f>
        <v>67697118.033011258</v>
      </c>
      <c r="V1686" s="246">
        <f>IFERROR(VLOOKUP(H1686,PROGRAMAS[],2,FALSE),0)</f>
        <v>6128579952.1618185</v>
      </c>
      <c r="W1686" s="246">
        <f>IFERROR(VLOOKUP(I1686,PROGRAMAS[],2,FALSE),0)</f>
        <v>764796700.79905891</v>
      </c>
      <c r="X1686" s="246">
        <f>IFERROR(VLOOKUP(J1686,PROGRAMAS[],2,FALSE),0)</f>
        <v>3776538594.4604583</v>
      </c>
      <c r="Y1686" s="246">
        <f>IFERROR(VLOOKUP(K1686,PROGRAMAS[],2,FALSE),0)</f>
        <v>54223862.645839565</v>
      </c>
      <c r="Z1686" s="246">
        <f>IFERROR(VLOOKUP(L1686,PROGRAMAS[],2,FALSE),0)</f>
        <v>7068496961.0436354</v>
      </c>
      <c r="AA1686" s="246">
        <f>IFERROR(VLOOKUP(M1686,PROGRAMAS[],2,FALSE),0)</f>
        <v>1892779498.5211046</v>
      </c>
      <c r="AB1686" s="246">
        <f>IFERROR(VLOOKUP(N1686,PROGRAMAS[],2,FALSE),0)</f>
        <v>0</v>
      </c>
      <c r="AC1686" s="246">
        <f>IFERROR(VLOOKUP(O1686,PROGRAMAS[],2,FALSE),0)</f>
        <v>0</v>
      </c>
      <c r="AD1686" s="246">
        <f>IFERROR(VLOOKUP(P1686,PROGRAMAS[],2,FALSE),0)</f>
        <v>0</v>
      </c>
      <c r="AE1686" s="246">
        <f>IFERROR(VLOOKUP(Q1686,PROGRAMAS[],2,FALSE),0)</f>
        <v>0</v>
      </c>
      <c r="AF1686" s="246">
        <f>IFERROR(VLOOKUP(D1686,PROGRAMAS[],3,FALSE),0)</f>
        <v>841888629.31080008</v>
      </c>
      <c r="AG1686" s="246">
        <f>IFERROR(VLOOKUP(E1686,PROGRAMAS[],3,FALSE),0)</f>
        <v>3848980803.1642323</v>
      </c>
      <c r="AH1686" s="246">
        <f>IFERROR(VLOOKUP(F1686,PROGRAMAS[],3,FALSE),0)</f>
        <v>3394901471.387517</v>
      </c>
      <c r="AI1686" s="246">
        <f>IFERROR(VLOOKUP(G1686,PROGRAMAS[],3,FALSE),0)</f>
        <v>125317226.95549992</v>
      </c>
      <c r="AJ1686" s="246">
        <f>IFERROR(VLOOKUP(H1686,PROGRAMAS[],3,FALSE),0)</f>
        <v>7011279577.519702</v>
      </c>
      <c r="AK1686" s="246">
        <f>IFERROR(VLOOKUP(I1686,PROGRAMAS[],3,FALSE),0)</f>
        <v>675517840.109828</v>
      </c>
      <c r="AL1686" s="246">
        <f>IFERROR(VLOOKUP(J1686,PROGRAMAS[],3,FALSE),0)</f>
        <v>2392571243.5584412</v>
      </c>
      <c r="AM1686" s="246">
        <f>IFERROR(VLOOKUP(K1686,PROGRAMAS[],3,FALSE),0)</f>
        <v>31865326.38096505</v>
      </c>
      <c r="AN1686" s="246">
        <f>IFERROR(VLOOKUP(L1686,PROGRAMAS[],3,FALSE),0)</f>
        <v>2406564599.0319901</v>
      </c>
      <c r="AO1686" s="246">
        <f>IFERROR(VLOOKUP(M1686,PROGRAMAS[],3,FALSE),0)</f>
        <v>948595847.09039903</v>
      </c>
      <c r="AP1686" s="246">
        <f>IFERROR(VLOOKUP(N1686,PROGRAMAS[],3,FALSE),0)</f>
        <v>0</v>
      </c>
      <c r="AQ1686" s="246">
        <f>IFERROR(VLOOKUP(O1686,PROGRAMAS[],3,FALSE),0)</f>
        <v>0</v>
      </c>
      <c r="AR1686" s="246">
        <f>IFERROR(VLOOKUP(P1686,PROGRAMAS[],3,FALSE),0)</f>
        <v>0</v>
      </c>
      <c r="AS1686" s="246">
        <f>IFERROR(VLOOKUP(Q1686,PROGRAMAS[],3,FALSE),0)</f>
        <v>0</v>
      </c>
      <c r="AT1686" s="246">
        <f>IFERROR(VLOOKUP(D1686,VOL_REC[],2,FALSE),0)</f>
        <v>0</v>
      </c>
      <c r="AU1686" s="246">
        <f>IFERROR(VLOOKUP(E1686,VOL_REC[],2,FALSE),0)</f>
        <v>0</v>
      </c>
      <c r="AV1686" s="246">
        <f>IFERROR(VLOOKUP(F1686,VOL_REC[],2,FALSE),0)</f>
        <v>11089674.200000001</v>
      </c>
      <c r="AW1686" s="246">
        <f>IFERROR(VLOOKUP(G1686,VOL_REC[],2,FALSE),0)</f>
        <v>90439.55</v>
      </c>
      <c r="AX1686" s="246">
        <f>IFERROR(VLOOKUP(H1686,VOL_REC[],2,FALSE),0)</f>
        <v>3761786</v>
      </c>
      <c r="AY1686" s="246">
        <f>IFERROR(VLOOKUP(I1686,VOL_REC[],2,FALSE),0)</f>
        <v>240696.79238099116</v>
      </c>
      <c r="AZ1686" s="246">
        <f>IFERROR(VLOOKUP(J1686,VOL_REC[],2,FALSE),0)</f>
        <v>663244.80000000016</v>
      </c>
      <c r="BA1686" s="246">
        <f>IFERROR(VLOOKUP(K1686,VOL_REC[],2,FALSE),0)</f>
        <v>17074.045034105649</v>
      </c>
      <c r="BB1686" s="246">
        <f>IFERROR(VLOOKUP(L1686,VOL_REC[],2,FALSE),0)</f>
        <v>1072354.9981737854</v>
      </c>
      <c r="BC1686" s="246">
        <f>IFERROR(VLOOKUP(M1686,VOL_REC[],2,FALSE),0)</f>
        <v>740113.98115702497</v>
      </c>
      <c r="BD1686" s="246">
        <f>IFERROR(VLOOKUP(N1686,VOL_REC[],2,FALSE),0)</f>
        <v>0</v>
      </c>
      <c r="BE1686" s="246">
        <f>IFERROR(VLOOKUP(O1686,VOL_REC[],2,FALSE),0)</f>
        <v>0</v>
      </c>
      <c r="BF1686" s="246">
        <f>IFERROR(VLOOKUP(P1686,VOL_REC[],2,FALSE),0)</f>
        <v>0</v>
      </c>
      <c r="BG1686" s="246">
        <f>IFERROR(VLOOKUP(Q1686,VOL_REC[],2,FALSE),0)</f>
        <v>0</v>
      </c>
      <c r="BH1686" s="1710">
        <f t="shared" si="104"/>
        <v>23552979799.178967</v>
      </c>
      <c r="BI1686" s="1710">
        <f t="shared" si="105"/>
        <v>21677482564.509377</v>
      </c>
      <c r="BJ1686" s="1711">
        <f t="shared" si="106"/>
        <v>17675384.366745908</v>
      </c>
      <c r="BK1686" s="1711">
        <f t="shared" si="107"/>
        <v>1.0865182213427391</v>
      </c>
      <c r="BL1686">
        <f>BJ1686</f>
        <v>17675384.366745908</v>
      </c>
      <c r="BO1686">
        <f>BL1686</f>
        <v>17675384.366745908</v>
      </c>
    </row>
    <row r="1687" spans="3:67" x14ac:dyDescent="0.25">
      <c r="C1687" s="246" t="s">
        <v>3037</v>
      </c>
      <c r="D1687" s="246">
        <v>1</v>
      </c>
      <c r="E1687" s="246">
        <v>2</v>
      </c>
      <c r="F1687" s="246">
        <v>3</v>
      </c>
      <c r="G1687" s="246">
        <v>4</v>
      </c>
      <c r="H1687" s="246">
        <v>9</v>
      </c>
      <c r="I1687" s="246">
        <v>12</v>
      </c>
      <c r="J1687" s="246">
        <v>13</v>
      </c>
      <c r="K1687" s="246">
        <v>15</v>
      </c>
      <c r="L1687" s="246">
        <v>16</v>
      </c>
      <c r="M1687" s="246">
        <v>17</v>
      </c>
      <c r="N1687" s="246"/>
      <c r="O1687" s="246"/>
      <c r="P1687" s="246"/>
      <c r="Q1687" s="246"/>
      <c r="R1687" s="246">
        <f>IFERROR(VLOOKUP(D1687,PROGRAMAS[],2,FALSE),0)</f>
        <v>97037803.679377079</v>
      </c>
      <c r="S1687" s="246">
        <f>IFERROR(VLOOKUP(E1687,PROGRAMAS[],2,FALSE),0)</f>
        <v>640501509.6821388</v>
      </c>
      <c r="T1687" s="246">
        <f>IFERROR(VLOOKUP(F1687,PROGRAMAS[],2,FALSE),0)</f>
        <v>3062327798.1525245</v>
      </c>
      <c r="U1687" s="246">
        <f>IFERROR(VLOOKUP(G1687,PROGRAMAS[],2,FALSE),0)</f>
        <v>67697118.033011258</v>
      </c>
      <c r="V1687" s="246">
        <f>IFERROR(VLOOKUP(H1687,PROGRAMAS[],2,FALSE),0)</f>
        <v>6128579952.1618185</v>
      </c>
      <c r="W1687" s="246">
        <f>IFERROR(VLOOKUP(I1687,PROGRAMAS[],2,FALSE),0)</f>
        <v>764796700.79905891</v>
      </c>
      <c r="X1687" s="246">
        <f>IFERROR(VLOOKUP(J1687,PROGRAMAS[],2,FALSE),0)</f>
        <v>3776538594.4604583</v>
      </c>
      <c r="Y1687" s="246">
        <f>IFERROR(VLOOKUP(K1687,PROGRAMAS[],2,FALSE),0)</f>
        <v>122159672.96346797</v>
      </c>
      <c r="Z1687" s="246">
        <f>IFERROR(VLOOKUP(L1687,PROGRAMAS[],2,FALSE),0)</f>
        <v>7068496961.0436354</v>
      </c>
      <c r="AA1687" s="246">
        <f>IFERROR(VLOOKUP(M1687,PROGRAMAS[],2,FALSE),0)</f>
        <v>1892779498.5211046</v>
      </c>
      <c r="AB1687" s="246">
        <f>IFERROR(VLOOKUP(N1687,PROGRAMAS[],2,FALSE),0)</f>
        <v>0</v>
      </c>
      <c r="AC1687" s="246">
        <f>IFERROR(VLOOKUP(O1687,PROGRAMAS[],2,FALSE),0)</f>
        <v>0</v>
      </c>
      <c r="AD1687" s="246">
        <f>IFERROR(VLOOKUP(P1687,PROGRAMAS[],2,FALSE),0)</f>
        <v>0</v>
      </c>
      <c r="AE1687" s="246">
        <f>IFERROR(VLOOKUP(Q1687,PROGRAMAS[],2,FALSE),0)</f>
        <v>0</v>
      </c>
      <c r="AF1687" s="246">
        <f>IFERROR(VLOOKUP(D1687,PROGRAMAS[],3,FALSE),0)</f>
        <v>841888629.31080008</v>
      </c>
      <c r="AG1687" s="246">
        <f>IFERROR(VLOOKUP(E1687,PROGRAMAS[],3,FALSE),0)</f>
        <v>3848980803.1642323</v>
      </c>
      <c r="AH1687" s="246">
        <f>IFERROR(VLOOKUP(F1687,PROGRAMAS[],3,FALSE),0)</f>
        <v>3394901471.387517</v>
      </c>
      <c r="AI1687" s="246">
        <f>IFERROR(VLOOKUP(G1687,PROGRAMAS[],3,FALSE),0)</f>
        <v>125317226.95549992</v>
      </c>
      <c r="AJ1687" s="246">
        <f>IFERROR(VLOOKUP(H1687,PROGRAMAS[],3,FALSE),0)</f>
        <v>7011279577.519702</v>
      </c>
      <c r="AK1687" s="246">
        <f>IFERROR(VLOOKUP(I1687,PROGRAMAS[],3,FALSE),0)</f>
        <v>675517840.109828</v>
      </c>
      <c r="AL1687" s="246">
        <f>IFERROR(VLOOKUP(J1687,PROGRAMAS[],3,FALSE),0)</f>
        <v>2392571243.5584412</v>
      </c>
      <c r="AM1687" s="246">
        <f>IFERROR(VLOOKUP(K1687,PROGRAMAS[],3,FALSE),0)</f>
        <v>118617452.52510804</v>
      </c>
      <c r="AN1687" s="246">
        <f>IFERROR(VLOOKUP(L1687,PROGRAMAS[],3,FALSE),0)</f>
        <v>2406564599.0319901</v>
      </c>
      <c r="AO1687" s="246">
        <f>IFERROR(VLOOKUP(M1687,PROGRAMAS[],3,FALSE),0)</f>
        <v>948595847.09039903</v>
      </c>
      <c r="AP1687" s="246">
        <f>IFERROR(VLOOKUP(N1687,PROGRAMAS[],3,FALSE),0)</f>
        <v>0</v>
      </c>
      <c r="AQ1687" s="246">
        <f>IFERROR(VLOOKUP(O1687,PROGRAMAS[],3,FALSE),0)</f>
        <v>0</v>
      </c>
      <c r="AR1687" s="246">
        <f>IFERROR(VLOOKUP(P1687,PROGRAMAS[],3,FALSE),0)</f>
        <v>0</v>
      </c>
      <c r="AS1687" s="246">
        <f>IFERROR(VLOOKUP(Q1687,PROGRAMAS[],3,FALSE),0)</f>
        <v>0</v>
      </c>
      <c r="AT1687" s="246">
        <f>IFERROR(VLOOKUP(D1687,VOL_REC[],2,FALSE),0)</f>
        <v>0</v>
      </c>
      <c r="AU1687" s="246">
        <f>IFERROR(VLOOKUP(E1687,VOL_REC[],2,FALSE),0)</f>
        <v>0</v>
      </c>
      <c r="AV1687" s="246">
        <f>IFERROR(VLOOKUP(F1687,VOL_REC[],2,FALSE),0)</f>
        <v>11089674.200000001</v>
      </c>
      <c r="AW1687" s="246">
        <f>IFERROR(VLOOKUP(G1687,VOL_REC[],2,FALSE),0)</f>
        <v>90439.55</v>
      </c>
      <c r="AX1687" s="246">
        <f>IFERROR(VLOOKUP(H1687,VOL_REC[],2,FALSE),0)</f>
        <v>3761786</v>
      </c>
      <c r="AY1687" s="246">
        <f>IFERROR(VLOOKUP(I1687,VOL_REC[],2,FALSE),0)</f>
        <v>240696.79238099116</v>
      </c>
      <c r="AZ1687" s="246">
        <f>IFERROR(VLOOKUP(J1687,VOL_REC[],2,FALSE),0)</f>
        <v>663244.80000000016</v>
      </c>
      <c r="BA1687" s="246">
        <f>IFERROR(VLOOKUP(K1687,VOL_REC[],2,FALSE),0)</f>
        <v>105072</v>
      </c>
      <c r="BB1687" s="246">
        <f>IFERROR(VLOOKUP(L1687,VOL_REC[],2,FALSE),0)</f>
        <v>1072354.9981737854</v>
      </c>
      <c r="BC1687" s="246">
        <f>IFERROR(VLOOKUP(M1687,VOL_REC[],2,FALSE),0)</f>
        <v>740113.98115702497</v>
      </c>
      <c r="BD1687" s="246">
        <f>IFERROR(VLOOKUP(N1687,VOL_REC[],2,FALSE),0)</f>
        <v>0</v>
      </c>
      <c r="BE1687" s="246">
        <f>IFERROR(VLOOKUP(O1687,VOL_REC[],2,FALSE),0)</f>
        <v>0</v>
      </c>
      <c r="BF1687" s="246">
        <f>IFERROR(VLOOKUP(P1687,VOL_REC[],2,FALSE),0)</f>
        <v>0</v>
      </c>
      <c r="BG1687" s="246">
        <f>IFERROR(VLOOKUP(Q1687,VOL_REC[],2,FALSE),0)</f>
        <v>0</v>
      </c>
      <c r="BH1687" s="1710">
        <f t="shared" si="104"/>
        <v>23620915609.496593</v>
      </c>
      <c r="BI1687" s="1710">
        <f t="shared" si="105"/>
        <v>21764234690.653519</v>
      </c>
      <c r="BJ1687" s="1711">
        <f t="shared" si="106"/>
        <v>17763382.321711801</v>
      </c>
      <c r="BK1687" s="1711">
        <f t="shared" si="107"/>
        <v>1.0853088080161355</v>
      </c>
      <c r="BL1687">
        <f>BJ1687</f>
        <v>17763382.321711801</v>
      </c>
      <c r="BO1687">
        <f>BL1687</f>
        <v>17763382.321711801</v>
      </c>
    </row>
    <row r="1688" spans="3:67" x14ac:dyDescent="0.25">
      <c r="C1688" s="246" t="s">
        <v>3038</v>
      </c>
      <c r="D1688" s="246">
        <v>1</v>
      </c>
      <c r="E1688" s="246">
        <v>2</v>
      </c>
      <c r="F1688" s="246">
        <v>3</v>
      </c>
      <c r="G1688" s="246">
        <v>4</v>
      </c>
      <c r="H1688" s="246">
        <v>9</v>
      </c>
      <c r="I1688" s="246">
        <v>12</v>
      </c>
      <c r="J1688" s="246">
        <v>14</v>
      </c>
      <c r="K1688" s="246">
        <v>15</v>
      </c>
      <c r="L1688" s="246">
        <v>16</v>
      </c>
      <c r="M1688" s="246">
        <v>17</v>
      </c>
      <c r="N1688" s="246"/>
      <c r="O1688" s="246"/>
      <c r="P1688" s="246"/>
      <c r="Q1688" s="246"/>
      <c r="R1688" s="246">
        <f>IFERROR(VLOOKUP(D1688,PROGRAMAS[],2,FALSE),0)</f>
        <v>97037803.679377079</v>
      </c>
      <c r="S1688" s="246">
        <f>IFERROR(VLOOKUP(E1688,PROGRAMAS[],2,FALSE),0)</f>
        <v>640501509.6821388</v>
      </c>
      <c r="T1688" s="246">
        <f>IFERROR(VLOOKUP(F1688,PROGRAMAS[],2,FALSE),0)</f>
        <v>3062327798.1525245</v>
      </c>
      <c r="U1688" s="246">
        <f>IFERROR(VLOOKUP(G1688,PROGRAMAS[],2,FALSE),0)</f>
        <v>67697118.033011258</v>
      </c>
      <c r="V1688" s="246">
        <f>IFERROR(VLOOKUP(H1688,PROGRAMAS[],2,FALSE),0)</f>
        <v>6128579952.1618185</v>
      </c>
      <c r="W1688" s="246">
        <f>IFERROR(VLOOKUP(I1688,PROGRAMAS[],2,FALSE),0)</f>
        <v>764796700.79905891</v>
      </c>
      <c r="X1688" s="246">
        <f>IFERROR(VLOOKUP(J1688,PROGRAMAS[],2,FALSE),0)</f>
        <v>54223862.645839565</v>
      </c>
      <c r="Y1688" s="246">
        <f>IFERROR(VLOOKUP(K1688,PROGRAMAS[],2,FALSE),0)</f>
        <v>122159672.96346797</v>
      </c>
      <c r="Z1688" s="246">
        <f>IFERROR(VLOOKUP(L1688,PROGRAMAS[],2,FALSE),0)</f>
        <v>7068496961.0436354</v>
      </c>
      <c r="AA1688" s="246">
        <f>IFERROR(VLOOKUP(M1688,PROGRAMAS[],2,FALSE),0)</f>
        <v>1892779498.5211046</v>
      </c>
      <c r="AB1688" s="246">
        <f>IFERROR(VLOOKUP(N1688,PROGRAMAS[],2,FALSE),0)</f>
        <v>0</v>
      </c>
      <c r="AC1688" s="246">
        <f>IFERROR(VLOOKUP(O1688,PROGRAMAS[],2,FALSE),0)</f>
        <v>0</v>
      </c>
      <c r="AD1688" s="246">
        <f>IFERROR(VLOOKUP(P1688,PROGRAMAS[],2,FALSE),0)</f>
        <v>0</v>
      </c>
      <c r="AE1688" s="246">
        <f>IFERROR(VLOOKUP(Q1688,PROGRAMAS[],2,FALSE),0)</f>
        <v>0</v>
      </c>
      <c r="AF1688" s="246">
        <f>IFERROR(VLOOKUP(D1688,PROGRAMAS[],3,FALSE),0)</f>
        <v>841888629.31080008</v>
      </c>
      <c r="AG1688" s="246">
        <f>IFERROR(VLOOKUP(E1688,PROGRAMAS[],3,FALSE),0)</f>
        <v>3848980803.1642323</v>
      </c>
      <c r="AH1688" s="246">
        <f>IFERROR(VLOOKUP(F1688,PROGRAMAS[],3,FALSE),0)</f>
        <v>3394901471.387517</v>
      </c>
      <c r="AI1688" s="246">
        <f>IFERROR(VLOOKUP(G1688,PROGRAMAS[],3,FALSE),0)</f>
        <v>125317226.95549992</v>
      </c>
      <c r="AJ1688" s="246">
        <f>IFERROR(VLOOKUP(H1688,PROGRAMAS[],3,FALSE),0)</f>
        <v>7011279577.519702</v>
      </c>
      <c r="AK1688" s="246">
        <f>IFERROR(VLOOKUP(I1688,PROGRAMAS[],3,FALSE),0)</f>
        <v>675517840.109828</v>
      </c>
      <c r="AL1688" s="246">
        <f>IFERROR(VLOOKUP(J1688,PROGRAMAS[],3,FALSE),0)</f>
        <v>31865326.38096505</v>
      </c>
      <c r="AM1688" s="246">
        <f>IFERROR(VLOOKUP(K1688,PROGRAMAS[],3,FALSE),0)</f>
        <v>118617452.52510804</v>
      </c>
      <c r="AN1688" s="246">
        <f>IFERROR(VLOOKUP(L1688,PROGRAMAS[],3,FALSE),0)</f>
        <v>2406564599.0319901</v>
      </c>
      <c r="AO1688" s="246">
        <f>IFERROR(VLOOKUP(M1688,PROGRAMAS[],3,FALSE),0)</f>
        <v>948595847.09039903</v>
      </c>
      <c r="AP1688" s="246">
        <f>IFERROR(VLOOKUP(N1688,PROGRAMAS[],3,FALSE),0)</f>
        <v>0</v>
      </c>
      <c r="AQ1688" s="246">
        <f>IFERROR(VLOOKUP(O1688,PROGRAMAS[],3,FALSE),0)</f>
        <v>0</v>
      </c>
      <c r="AR1688" s="246">
        <f>IFERROR(VLOOKUP(P1688,PROGRAMAS[],3,FALSE),0)</f>
        <v>0</v>
      </c>
      <c r="AS1688" s="246">
        <f>IFERROR(VLOOKUP(Q1688,PROGRAMAS[],3,FALSE),0)</f>
        <v>0</v>
      </c>
      <c r="AT1688" s="246">
        <f>IFERROR(VLOOKUP(D1688,VOL_REC[],2,FALSE),0)</f>
        <v>0</v>
      </c>
      <c r="AU1688" s="246">
        <f>IFERROR(VLOOKUP(E1688,VOL_REC[],2,FALSE),0)</f>
        <v>0</v>
      </c>
      <c r="AV1688" s="246">
        <f>IFERROR(VLOOKUP(F1688,VOL_REC[],2,FALSE),0)</f>
        <v>11089674.200000001</v>
      </c>
      <c r="AW1688" s="246">
        <f>IFERROR(VLOOKUP(G1688,VOL_REC[],2,FALSE),0)</f>
        <v>90439.55</v>
      </c>
      <c r="AX1688" s="246">
        <f>IFERROR(VLOOKUP(H1688,VOL_REC[],2,FALSE),0)</f>
        <v>3761786</v>
      </c>
      <c r="AY1688" s="246">
        <f>IFERROR(VLOOKUP(I1688,VOL_REC[],2,FALSE),0)</f>
        <v>240696.79238099116</v>
      </c>
      <c r="AZ1688" s="246">
        <f>IFERROR(VLOOKUP(J1688,VOL_REC[],2,FALSE),0)</f>
        <v>17074.045034105649</v>
      </c>
      <c r="BA1688" s="246">
        <f>IFERROR(VLOOKUP(K1688,VOL_REC[],2,FALSE),0)</f>
        <v>105072</v>
      </c>
      <c r="BB1688" s="246">
        <f>IFERROR(VLOOKUP(L1688,VOL_REC[],2,FALSE),0)</f>
        <v>1072354.9981737854</v>
      </c>
      <c r="BC1688" s="246">
        <f>IFERROR(VLOOKUP(M1688,VOL_REC[],2,FALSE),0)</f>
        <v>740113.98115702497</v>
      </c>
      <c r="BD1688" s="246">
        <f>IFERROR(VLOOKUP(N1688,VOL_REC[],2,FALSE),0)</f>
        <v>0</v>
      </c>
      <c r="BE1688" s="246">
        <f>IFERROR(VLOOKUP(O1688,VOL_REC[],2,FALSE),0)</f>
        <v>0</v>
      </c>
      <c r="BF1688" s="246">
        <f>IFERROR(VLOOKUP(P1688,VOL_REC[],2,FALSE),0)</f>
        <v>0</v>
      </c>
      <c r="BG1688" s="246">
        <f>IFERROR(VLOOKUP(Q1688,VOL_REC[],2,FALSE),0)</f>
        <v>0</v>
      </c>
      <c r="BH1688" s="1710">
        <f t="shared" si="104"/>
        <v>19898600877.681976</v>
      </c>
      <c r="BI1688" s="1710">
        <f t="shared" si="105"/>
        <v>19403528773.476044</v>
      </c>
      <c r="BJ1688" s="1711">
        <f t="shared" si="106"/>
        <v>17117211.566745907</v>
      </c>
      <c r="BK1688" s="1711">
        <f t="shared" si="107"/>
        <v>1.0255145396482046</v>
      </c>
      <c r="BL1688">
        <f>BJ1688</f>
        <v>17117211.566745907</v>
      </c>
      <c r="BO1688">
        <f>BL1688</f>
        <v>17117211.566745907</v>
      </c>
    </row>
    <row r="1689" spans="3:67" x14ac:dyDescent="0.25">
      <c r="C1689" s="246" t="s">
        <v>3039</v>
      </c>
      <c r="D1689" s="246">
        <v>1</v>
      </c>
      <c r="E1689" s="246">
        <v>2</v>
      </c>
      <c r="F1689" s="246">
        <v>3</v>
      </c>
      <c r="G1689" s="246">
        <v>4</v>
      </c>
      <c r="H1689" s="246">
        <v>9</v>
      </c>
      <c r="I1689" s="246">
        <v>13</v>
      </c>
      <c r="J1689" s="246">
        <v>14</v>
      </c>
      <c r="K1689" s="246">
        <v>15</v>
      </c>
      <c r="L1689" s="246">
        <v>16</v>
      </c>
      <c r="M1689" s="246">
        <v>17</v>
      </c>
      <c r="N1689" s="246"/>
      <c r="O1689" s="246"/>
      <c r="P1689" s="246"/>
      <c r="Q1689" s="246"/>
      <c r="R1689" s="246">
        <f>IFERROR(VLOOKUP(D1689,PROGRAMAS[],2,FALSE),0)</f>
        <v>97037803.679377079</v>
      </c>
      <c r="S1689" s="246">
        <f>IFERROR(VLOOKUP(E1689,PROGRAMAS[],2,FALSE),0)</f>
        <v>640501509.6821388</v>
      </c>
      <c r="T1689" s="246">
        <f>IFERROR(VLOOKUP(F1689,PROGRAMAS[],2,FALSE),0)</f>
        <v>3062327798.1525245</v>
      </c>
      <c r="U1689" s="246">
        <f>IFERROR(VLOOKUP(G1689,PROGRAMAS[],2,FALSE),0)</f>
        <v>67697118.033011258</v>
      </c>
      <c r="V1689" s="246">
        <f>IFERROR(VLOOKUP(H1689,PROGRAMAS[],2,FALSE),0)</f>
        <v>6128579952.1618185</v>
      </c>
      <c r="W1689" s="246">
        <f>IFERROR(VLOOKUP(I1689,PROGRAMAS[],2,FALSE),0)</f>
        <v>3776538594.4604583</v>
      </c>
      <c r="X1689" s="246">
        <f>IFERROR(VLOOKUP(J1689,PROGRAMAS[],2,FALSE),0)</f>
        <v>54223862.645839565</v>
      </c>
      <c r="Y1689" s="246">
        <f>IFERROR(VLOOKUP(K1689,PROGRAMAS[],2,FALSE),0)</f>
        <v>122159672.96346797</v>
      </c>
      <c r="Z1689" s="246">
        <f>IFERROR(VLOOKUP(L1689,PROGRAMAS[],2,FALSE),0)</f>
        <v>7068496961.0436354</v>
      </c>
      <c r="AA1689" s="246">
        <f>IFERROR(VLOOKUP(M1689,PROGRAMAS[],2,FALSE),0)</f>
        <v>1892779498.5211046</v>
      </c>
      <c r="AB1689" s="246">
        <f>IFERROR(VLOOKUP(N1689,PROGRAMAS[],2,FALSE),0)</f>
        <v>0</v>
      </c>
      <c r="AC1689" s="246">
        <f>IFERROR(VLOOKUP(O1689,PROGRAMAS[],2,FALSE),0)</f>
        <v>0</v>
      </c>
      <c r="AD1689" s="246">
        <f>IFERROR(VLOOKUP(P1689,PROGRAMAS[],2,FALSE),0)</f>
        <v>0</v>
      </c>
      <c r="AE1689" s="246">
        <f>IFERROR(VLOOKUP(Q1689,PROGRAMAS[],2,FALSE),0)</f>
        <v>0</v>
      </c>
      <c r="AF1689" s="246">
        <f>IFERROR(VLOOKUP(D1689,PROGRAMAS[],3,FALSE),0)</f>
        <v>841888629.31080008</v>
      </c>
      <c r="AG1689" s="246">
        <f>IFERROR(VLOOKUP(E1689,PROGRAMAS[],3,FALSE),0)</f>
        <v>3848980803.1642323</v>
      </c>
      <c r="AH1689" s="246">
        <f>IFERROR(VLOOKUP(F1689,PROGRAMAS[],3,FALSE),0)</f>
        <v>3394901471.387517</v>
      </c>
      <c r="AI1689" s="246">
        <f>IFERROR(VLOOKUP(G1689,PROGRAMAS[],3,FALSE),0)</f>
        <v>125317226.95549992</v>
      </c>
      <c r="AJ1689" s="246">
        <f>IFERROR(VLOOKUP(H1689,PROGRAMAS[],3,FALSE),0)</f>
        <v>7011279577.519702</v>
      </c>
      <c r="AK1689" s="246">
        <f>IFERROR(VLOOKUP(I1689,PROGRAMAS[],3,FALSE),0)</f>
        <v>2392571243.5584412</v>
      </c>
      <c r="AL1689" s="246">
        <f>IFERROR(VLOOKUP(J1689,PROGRAMAS[],3,FALSE),0)</f>
        <v>31865326.38096505</v>
      </c>
      <c r="AM1689" s="246">
        <f>IFERROR(VLOOKUP(K1689,PROGRAMAS[],3,FALSE),0)</f>
        <v>118617452.52510804</v>
      </c>
      <c r="AN1689" s="246">
        <f>IFERROR(VLOOKUP(L1689,PROGRAMAS[],3,FALSE),0)</f>
        <v>2406564599.0319901</v>
      </c>
      <c r="AO1689" s="246">
        <f>IFERROR(VLOOKUP(M1689,PROGRAMAS[],3,FALSE),0)</f>
        <v>948595847.09039903</v>
      </c>
      <c r="AP1689" s="246">
        <f>IFERROR(VLOOKUP(N1689,PROGRAMAS[],3,FALSE),0)</f>
        <v>0</v>
      </c>
      <c r="AQ1689" s="246">
        <f>IFERROR(VLOOKUP(O1689,PROGRAMAS[],3,FALSE),0)</f>
        <v>0</v>
      </c>
      <c r="AR1689" s="246">
        <f>IFERROR(VLOOKUP(P1689,PROGRAMAS[],3,FALSE),0)</f>
        <v>0</v>
      </c>
      <c r="AS1689" s="246">
        <f>IFERROR(VLOOKUP(Q1689,PROGRAMAS[],3,FALSE),0)</f>
        <v>0</v>
      </c>
      <c r="AT1689" s="246">
        <f>IFERROR(VLOOKUP(D1689,VOL_REC[],2,FALSE),0)</f>
        <v>0</v>
      </c>
      <c r="AU1689" s="246">
        <f>IFERROR(VLOOKUP(E1689,VOL_REC[],2,FALSE),0)</f>
        <v>0</v>
      </c>
      <c r="AV1689" s="246">
        <f>IFERROR(VLOOKUP(F1689,VOL_REC[],2,FALSE),0)</f>
        <v>11089674.200000001</v>
      </c>
      <c r="AW1689" s="246">
        <f>IFERROR(VLOOKUP(G1689,VOL_REC[],2,FALSE),0)</f>
        <v>90439.55</v>
      </c>
      <c r="AX1689" s="246">
        <f>IFERROR(VLOOKUP(H1689,VOL_REC[],2,FALSE),0)</f>
        <v>3761786</v>
      </c>
      <c r="AY1689" s="246">
        <f>IFERROR(VLOOKUP(I1689,VOL_REC[],2,FALSE),0)</f>
        <v>663244.80000000016</v>
      </c>
      <c r="AZ1689" s="246">
        <f>IFERROR(VLOOKUP(J1689,VOL_REC[],2,FALSE),0)</f>
        <v>17074.045034105649</v>
      </c>
      <c r="BA1689" s="246">
        <f>IFERROR(VLOOKUP(K1689,VOL_REC[],2,FALSE),0)</f>
        <v>105072</v>
      </c>
      <c r="BB1689" s="246">
        <f>IFERROR(VLOOKUP(L1689,VOL_REC[],2,FALSE),0)</f>
        <v>1072354.9981737854</v>
      </c>
      <c r="BC1689" s="246">
        <f>IFERROR(VLOOKUP(M1689,VOL_REC[],2,FALSE),0)</f>
        <v>740113.98115702497</v>
      </c>
      <c r="BD1689" s="246">
        <f>IFERROR(VLOOKUP(N1689,VOL_REC[],2,FALSE),0)</f>
        <v>0</v>
      </c>
      <c r="BE1689" s="246">
        <f>IFERROR(VLOOKUP(O1689,VOL_REC[],2,FALSE),0)</f>
        <v>0</v>
      </c>
      <c r="BF1689" s="246">
        <f>IFERROR(VLOOKUP(P1689,VOL_REC[],2,FALSE),0)</f>
        <v>0</v>
      </c>
      <c r="BG1689" s="246">
        <f>IFERROR(VLOOKUP(Q1689,VOL_REC[],2,FALSE),0)</f>
        <v>0</v>
      </c>
      <c r="BH1689" s="1710">
        <f t="shared" si="104"/>
        <v>22910342771.343376</v>
      </c>
      <c r="BI1689" s="1710">
        <f t="shared" si="105"/>
        <v>21120582176.92466</v>
      </c>
      <c r="BJ1689" s="1711">
        <f t="shared" si="106"/>
        <v>17539759.574364915</v>
      </c>
      <c r="BK1689" s="1711">
        <f t="shared" si="107"/>
        <v>1.0847401165093888</v>
      </c>
      <c r="BL1689">
        <f>BJ1689</f>
        <v>17539759.574364915</v>
      </c>
      <c r="BO1689">
        <f>BL1689</f>
        <v>17539759.574364915</v>
      </c>
    </row>
    <row r="1690" spans="3:67" x14ac:dyDescent="0.25">
      <c r="C1690" s="246" t="s">
        <v>3040</v>
      </c>
      <c r="D1690" s="246">
        <v>1</v>
      </c>
      <c r="E1690" s="246">
        <v>2</v>
      </c>
      <c r="F1690" s="246">
        <v>3</v>
      </c>
      <c r="G1690" s="246">
        <v>4</v>
      </c>
      <c r="H1690" s="246">
        <v>10</v>
      </c>
      <c r="I1690" s="246">
        <v>12</v>
      </c>
      <c r="J1690" s="246">
        <v>13</v>
      </c>
      <c r="K1690" s="246">
        <v>14</v>
      </c>
      <c r="L1690" s="246">
        <v>15</v>
      </c>
      <c r="M1690" s="246">
        <v>16</v>
      </c>
      <c r="N1690" s="246"/>
      <c r="O1690" s="246"/>
      <c r="P1690" s="246"/>
      <c r="Q1690" s="246"/>
      <c r="R1690" s="246">
        <f>IFERROR(VLOOKUP(D1690,PROGRAMAS[],2,FALSE),0)</f>
        <v>97037803.679377079</v>
      </c>
      <c r="S1690" s="246">
        <f>IFERROR(VLOOKUP(E1690,PROGRAMAS[],2,FALSE),0)</f>
        <v>640501509.6821388</v>
      </c>
      <c r="T1690" s="246">
        <f>IFERROR(VLOOKUP(F1690,PROGRAMAS[],2,FALSE),0)</f>
        <v>3062327798.1525245</v>
      </c>
      <c r="U1690" s="246">
        <f>IFERROR(VLOOKUP(G1690,PROGRAMAS[],2,FALSE),0)</f>
        <v>67697118.033011258</v>
      </c>
      <c r="V1690" s="246">
        <f>IFERROR(VLOOKUP(H1690,PROGRAMAS[],2,FALSE),0)</f>
        <v>4635315027.8751087</v>
      </c>
      <c r="W1690" s="246">
        <f>IFERROR(VLOOKUP(I1690,PROGRAMAS[],2,FALSE),0)</f>
        <v>764796700.79905891</v>
      </c>
      <c r="X1690" s="246">
        <f>IFERROR(VLOOKUP(J1690,PROGRAMAS[],2,FALSE),0)</f>
        <v>3776538594.4604583</v>
      </c>
      <c r="Y1690" s="246">
        <f>IFERROR(VLOOKUP(K1690,PROGRAMAS[],2,FALSE),0)</f>
        <v>54223862.645839565</v>
      </c>
      <c r="Z1690" s="246">
        <f>IFERROR(VLOOKUP(L1690,PROGRAMAS[],2,FALSE),0)</f>
        <v>122159672.96346797</v>
      </c>
      <c r="AA1690" s="246">
        <f>IFERROR(VLOOKUP(M1690,PROGRAMAS[],2,FALSE),0)</f>
        <v>7068496961.0436354</v>
      </c>
      <c r="AB1690" s="246">
        <f>IFERROR(VLOOKUP(N1690,PROGRAMAS[],2,FALSE),0)</f>
        <v>0</v>
      </c>
      <c r="AC1690" s="246">
        <f>IFERROR(VLOOKUP(O1690,PROGRAMAS[],2,FALSE),0)</f>
        <v>0</v>
      </c>
      <c r="AD1690" s="246">
        <f>IFERROR(VLOOKUP(P1690,PROGRAMAS[],2,FALSE),0)</f>
        <v>0</v>
      </c>
      <c r="AE1690" s="246">
        <f>IFERROR(VLOOKUP(Q1690,PROGRAMAS[],2,FALSE),0)</f>
        <v>0</v>
      </c>
      <c r="AF1690" s="246">
        <f>IFERROR(VLOOKUP(D1690,PROGRAMAS[],3,FALSE),0)</f>
        <v>841888629.31080008</v>
      </c>
      <c r="AG1690" s="246">
        <f>IFERROR(VLOOKUP(E1690,PROGRAMAS[],3,FALSE),0)</f>
        <v>3848980803.1642323</v>
      </c>
      <c r="AH1690" s="246">
        <f>IFERROR(VLOOKUP(F1690,PROGRAMAS[],3,FALSE),0)</f>
        <v>3394901471.387517</v>
      </c>
      <c r="AI1690" s="246">
        <f>IFERROR(VLOOKUP(G1690,PROGRAMAS[],3,FALSE),0)</f>
        <v>125317226.95549992</v>
      </c>
      <c r="AJ1690" s="246">
        <f>IFERROR(VLOOKUP(H1690,PROGRAMAS[],3,FALSE),0)</f>
        <v>4099471734.9978786</v>
      </c>
      <c r="AK1690" s="246">
        <f>IFERROR(VLOOKUP(I1690,PROGRAMAS[],3,FALSE),0)</f>
        <v>675517840.109828</v>
      </c>
      <c r="AL1690" s="246">
        <f>IFERROR(VLOOKUP(J1690,PROGRAMAS[],3,FALSE),0)</f>
        <v>2392571243.5584412</v>
      </c>
      <c r="AM1690" s="246">
        <f>IFERROR(VLOOKUP(K1690,PROGRAMAS[],3,FALSE),0)</f>
        <v>31865326.38096505</v>
      </c>
      <c r="AN1690" s="246">
        <f>IFERROR(VLOOKUP(L1690,PROGRAMAS[],3,FALSE),0)</f>
        <v>118617452.52510804</v>
      </c>
      <c r="AO1690" s="246">
        <f>IFERROR(VLOOKUP(M1690,PROGRAMAS[],3,FALSE),0)</f>
        <v>2406564599.0319901</v>
      </c>
      <c r="AP1690" s="246">
        <f>IFERROR(VLOOKUP(N1690,PROGRAMAS[],3,FALSE),0)</f>
        <v>0</v>
      </c>
      <c r="AQ1690" s="246">
        <f>IFERROR(VLOOKUP(O1690,PROGRAMAS[],3,FALSE),0)</f>
        <v>0</v>
      </c>
      <c r="AR1690" s="246">
        <f>IFERROR(VLOOKUP(P1690,PROGRAMAS[],3,FALSE),0)</f>
        <v>0</v>
      </c>
      <c r="AS1690" s="246">
        <f>IFERROR(VLOOKUP(Q1690,PROGRAMAS[],3,FALSE),0)</f>
        <v>0</v>
      </c>
      <c r="AT1690" s="246">
        <f>IFERROR(VLOOKUP(D1690,VOL_REC[],2,FALSE),0)</f>
        <v>0</v>
      </c>
      <c r="AU1690" s="246">
        <f>IFERROR(VLOOKUP(E1690,VOL_REC[],2,FALSE),0)</f>
        <v>0</v>
      </c>
      <c r="AV1690" s="246">
        <f>IFERROR(VLOOKUP(F1690,VOL_REC[],2,FALSE),0)</f>
        <v>11089674.200000001</v>
      </c>
      <c r="AW1690" s="246">
        <f>IFERROR(VLOOKUP(G1690,VOL_REC[],2,FALSE),0)</f>
        <v>90439.55</v>
      </c>
      <c r="AX1690" s="246">
        <f>IFERROR(VLOOKUP(H1690,VOL_REC[],2,FALSE),0)</f>
        <v>1812240</v>
      </c>
      <c r="AY1690" s="246">
        <f>IFERROR(VLOOKUP(I1690,VOL_REC[],2,FALSE),0)</f>
        <v>240696.79238099116</v>
      </c>
      <c r="AZ1690" s="246">
        <f>IFERROR(VLOOKUP(J1690,VOL_REC[],2,FALSE),0)</f>
        <v>663244.80000000016</v>
      </c>
      <c r="BA1690" s="246">
        <f>IFERROR(VLOOKUP(K1690,VOL_REC[],2,FALSE),0)</f>
        <v>17074.045034105649</v>
      </c>
      <c r="BB1690" s="246">
        <f>IFERROR(VLOOKUP(L1690,VOL_REC[],2,FALSE),0)</f>
        <v>105072</v>
      </c>
      <c r="BC1690" s="246">
        <f>IFERROR(VLOOKUP(M1690,VOL_REC[],2,FALSE),0)</f>
        <v>1072354.9981737854</v>
      </c>
      <c r="BD1690" s="246">
        <f>IFERROR(VLOOKUP(N1690,VOL_REC[],2,FALSE),0)</f>
        <v>0</v>
      </c>
      <c r="BE1690" s="246">
        <f>IFERROR(VLOOKUP(O1690,VOL_REC[],2,FALSE),0)</f>
        <v>0</v>
      </c>
      <c r="BF1690" s="246">
        <f>IFERROR(VLOOKUP(P1690,VOL_REC[],2,FALSE),0)</f>
        <v>0</v>
      </c>
      <c r="BG1690" s="246">
        <f>IFERROR(VLOOKUP(Q1690,VOL_REC[],2,FALSE),0)</f>
        <v>0</v>
      </c>
      <c r="BH1690" s="1710">
        <f t="shared" si="104"/>
        <v>20289095049.334621</v>
      </c>
      <c r="BI1690" s="1710">
        <f t="shared" si="105"/>
        <v>17935696327.422256</v>
      </c>
      <c r="BJ1690" s="1711">
        <f t="shared" si="106"/>
        <v>15090796.385588884</v>
      </c>
      <c r="BK1690" s="1711">
        <f t="shared" si="107"/>
        <v>1.1312131226438198</v>
      </c>
      <c r="BL1690">
        <f>BJ1690</f>
        <v>15090796.385588884</v>
      </c>
      <c r="BO1690">
        <f>BL1690</f>
        <v>15090796.385588884</v>
      </c>
    </row>
    <row r="1691" spans="3:67" x14ac:dyDescent="0.25">
      <c r="C1691" s="246" t="s">
        <v>3041</v>
      </c>
      <c r="D1691" s="246">
        <v>1</v>
      </c>
      <c r="E1691" s="246">
        <v>2</v>
      </c>
      <c r="F1691" s="246">
        <v>3</v>
      </c>
      <c r="G1691" s="246">
        <v>4</v>
      </c>
      <c r="H1691" s="246">
        <v>10</v>
      </c>
      <c r="I1691" s="246">
        <v>12</v>
      </c>
      <c r="J1691" s="246">
        <v>13</v>
      </c>
      <c r="K1691" s="246">
        <v>14</v>
      </c>
      <c r="L1691" s="246">
        <v>15</v>
      </c>
      <c r="M1691" s="246">
        <v>17</v>
      </c>
      <c r="N1691" s="246"/>
      <c r="O1691" s="246"/>
      <c r="P1691" s="246"/>
      <c r="Q1691" s="246"/>
      <c r="R1691" s="246">
        <f>IFERROR(VLOOKUP(D1691,PROGRAMAS[],2,FALSE),0)</f>
        <v>97037803.679377079</v>
      </c>
      <c r="S1691" s="246">
        <f>IFERROR(VLOOKUP(E1691,PROGRAMAS[],2,FALSE),0)</f>
        <v>640501509.6821388</v>
      </c>
      <c r="T1691" s="246">
        <f>IFERROR(VLOOKUP(F1691,PROGRAMAS[],2,FALSE),0)</f>
        <v>3062327798.1525245</v>
      </c>
      <c r="U1691" s="246">
        <f>IFERROR(VLOOKUP(G1691,PROGRAMAS[],2,FALSE),0)</f>
        <v>67697118.033011258</v>
      </c>
      <c r="V1691" s="246">
        <f>IFERROR(VLOOKUP(H1691,PROGRAMAS[],2,FALSE),0)</f>
        <v>4635315027.8751087</v>
      </c>
      <c r="W1691" s="246">
        <f>IFERROR(VLOOKUP(I1691,PROGRAMAS[],2,FALSE),0)</f>
        <v>764796700.79905891</v>
      </c>
      <c r="X1691" s="246">
        <f>IFERROR(VLOOKUP(J1691,PROGRAMAS[],2,FALSE),0)</f>
        <v>3776538594.4604583</v>
      </c>
      <c r="Y1691" s="246">
        <f>IFERROR(VLOOKUP(K1691,PROGRAMAS[],2,FALSE),0)</f>
        <v>54223862.645839565</v>
      </c>
      <c r="Z1691" s="246">
        <f>IFERROR(VLOOKUP(L1691,PROGRAMAS[],2,FALSE),0)</f>
        <v>122159672.96346797</v>
      </c>
      <c r="AA1691" s="246">
        <f>IFERROR(VLOOKUP(M1691,PROGRAMAS[],2,FALSE),0)</f>
        <v>1892779498.5211046</v>
      </c>
      <c r="AB1691" s="246">
        <f>IFERROR(VLOOKUP(N1691,PROGRAMAS[],2,FALSE),0)</f>
        <v>0</v>
      </c>
      <c r="AC1691" s="246">
        <f>IFERROR(VLOOKUP(O1691,PROGRAMAS[],2,FALSE),0)</f>
        <v>0</v>
      </c>
      <c r="AD1691" s="246">
        <f>IFERROR(VLOOKUP(P1691,PROGRAMAS[],2,FALSE),0)</f>
        <v>0</v>
      </c>
      <c r="AE1691" s="246">
        <f>IFERROR(VLOOKUP(Q1691,PROGRAMAS[],2,FALSE),0)</f>
        <v>0</v>
      </c>
      <c r="AF1691" s="246">
        <f>IFERROR(VLOOKUP(D1691,PROGRAMAS[],3,FALSE),0)</f>
        <v>841888629.31080008</v>
      </c>
      <c r="AG1691" s="246">
        <f>IFERROR(VLOOKUP(E1691,PROGRAMAS[],3,FALSE),0)</f>
        <v>3848980803.1642323</v>
      </c>
      <c r="AH1691" s="246">
        <f>IFERROR(VLOOKUP(F1691,PROGRAMAS[],3,FALSE),0)</f>
        <v>3394901471.387517</v>
      </c>
      <c r="AI1691" s="246">
        <f>IFERROR(VLOOKUP(G1691,PROGRAMAS[],3,FALSE),0)</f>
        <v>125317226.95549992</v>
      </c>
      <c r="AJ1691" s="246">
        <f>IFERROR(VLOOKUP(H1691,PROGRAMAS[],3,FALSE),0)</f>
        <v>4099471734.9978786</v>
      </c>
      <c r="AK1691" s="246">
        <f>IFERROR(VLOOKUP(I1691,PROGRAMAS[],3,FALSE),0)</f>
        <v>675517840.109828</v>
      </c>
      <c r="AL1691" s="246">
        <f>IFERROR(VLOOKUP(J1691,PROGRAMAS[],3,FALSE),0)</f>
        <v>2392571243.5584412</v>
      </c>
      <c r="AM1691" s="246">
        <f>IFERROR(VLOOKUP(K1691,PROGRAMAS[],3,FALSE),0)</f>
        <v>31865326.38096505</v>
      </c>
      <c r="AN1691" s="246">
        <f>IFERROR(VLOOKUP(L1691,PROGRAMAS[],3,FALSE),0)</f>
        <v>118617452.52510804</v>
      </c>
      <c r="AO1691" s="246">
        <f>IFERROR(VLOOKUP(M1691,PROGRAMAS[],3,FALSE),0)</f>
        <v>948595847.09039903</v>
      </c>
      <c r="AP1691" s="246">
        <f>IFERROR(VLOOKUP(N1691,PROGRAMAS[],3,FALSE),0)</f>
        <v>0</v>
      </c>
      <c r="AQ1691" s="246">
        <f>IFERROR(VLOOKUP(O1691,PROGRAMAS[],3,FALSE),0)</f>
        <v>0</v>
      </c>
      <c r="AR1691" s="246">
        <f>IFERROR(VLOOKUP(P1691,PROGRAMAS[],3,FALSE),0)</f>
        <v>0</v>
      </c>
      <c r="AS1691" s="246">
        <f>IFERROR(VLOOKUP(Q1691,PROGRAMAS[],3,FALSE),0)</f>
        <v>0</v>
      </c>
      <c r="AT1691" s="246">
        <f>IFERROR(VLOOKUP(D1691,VOL_REC[],2,FALSE),0)</f>
        <v>0</v>
      </c>
      <c r="AU1691" s="246">
        <f>IFERROR(VLOOKUP(E1691,VOL_REC[],2,FALSE),0)</f>
        <v>0</v>
      </c>
      <c r="AV1691" s="246">
        <f>IFERROR(VLOOKUP(F1691,VOL_REC[],2,FALSE),0)</f>
        <v>11089674.200000001</v>
      </c>
      <c r="AW1691" s="246">
        <f>IFERROR(VLOOKUP(G1691,VOL_REC[],2,FALSE),0)</f>
        <v>90439.55</v>
      </c>
      <c r="AX1691" s="246">
        <f>IFERROR(VLOOKUP(H1691,VOL_REC[],2,FALSE),0)</f>
        <v>1812240</v>
      </c>
      <c r="AY1691" s="246">
        <f>IFERROR(VLOOKUP(I1691,VOL_REC[],2,FALSE),0)</f>
        <v>240696.79238099116</v>
      </c>
      <c r="AZ1691" s="246">
        <f>IFERROR(VLOOKUP(J1691,VOL_REC[],2,FALSE),0)</f>
        <v>663244.80000000016</v>
      </c>
      <c r="BA1691" s="246">
        <f>IFERROR(VLOOKUP(K1691,VOL_REC[],2,FALSE),0)</f>
        <v>17074.045034105649</v>
      </c>
      <c r="BB1691" s="246">
        <f>IFERROR(VLOOKUP(L1691,VOL_REC[],2,FALSE),0)</f>
        <v>105072</v>
      </c>
      <c r="BC1691" s="246">
        <f>IFERROR(VLOOKUP(M1691,VOL_REC[],2,FALSE),0)</f>
        <v>740113.98115702497</v>
      </c>
      <c r="BD1691" s="246">
        <f>IFERROR(VLOOKUP(N1691,VOL_REC[],2,FALSE),0)</f>
        <v>0</v>
      </c>
      <c r="BE1691" s="246">
        <f>IFERROR(VLOOKUP(O1691,VOL_REC[],2,FALSE),0)</f>
        <v>0</v>
      </c>
      <c r="BF1691" s="246">
        <f>IFERROR(VLOOKUP(P1691,VOL_REC[],2,FALSE),0)</f>
        <v>0</v>
      </c>
      <c r="BG1691" s="246">
        <f>IFERROR(VLOOKUP(Q1691,VOL_REC[],2,FALSE),0)</f>
        <v>0</v>
      </c>
      <c r="BH1691" s="1710">
        <f t="shared" si="104"/>
        <v>15113377586.812092</v>
      </c>
      <c r="BI1691" s="1710">
        <f t="shared" si="105"/>
        <v>16477727575.480667</v>
      </c>
      <c r="BJ1691" s="1711">
        <f t="shared" si="106"/>
        <v>14758555.368572123</v>
      </c>
      <c r="BK1691" s="1711">
        <f t="shared" si="107"/>
        <v>0.91720035530270771</v>
      </c>
    </row>
    <row r="1692" spans="3:67" x14ac:dyDescent="0.25">
      <c r="C1692" s="246" t="s">
        <v>3042</v>
      </c>
      <c r="D1692" s="246">
        <v>1</v>
      </c>
      <c r="E1692" s="246">
        <v>2</v>
      </c>
      <c r="F1692" s="246">
        <v>3</v>
      </c>
      <c r="G1692" s="246">
        <v>4</v>
      </c>
      <c r="H1692" s="246">
        <v>10</v>
      </c>
      <c r="I1692" s="246">
        <v>12</v>
      </c>
      <c r="J1692" s="246">
        <v>13</v>
      </c>
      <c r="K1692" s="246">
        <v>14</v>
      </c>
      <c r="L1692" s="246">
        <v>16</v>
      </c>
      <c r="M1692" s="246">
        <v>17</v>
      </c>
      <c r="N1692" s="246"/>
      <c r="O1692" s="246"/>
      <c r="P1692" s="246"/>
      <c r="Q1692" s="246"/>
      <c r="R1692" s="246">
        <f>IFERROR(VLOOKUP(D1692,PROGRAMAS[],2,FALSE),0)</f>
        <v>97037803.679377079</v>
      </c>
      <c r="S1692" s="246">
        <f>IFERROR(VLOOKUP(E1692,PROGRAMAS[],2,FALSE),0)</f>
        <v>640501509.6821388</v>
      </c>
      <c r="T1692" s="246">
        <f>IFERROR(VLOOKUP(F1692,PROGRAMAS[],2,FALSE),0)</f>
        <v>3062327798.1525245</v>
      </c>
      <c r="U1692" s="246">
        <f>IFERROR(VLOOKUP(G1692,PROGRAMAS[],2,FALSE),0)</f>
        <v>67697118.033011258</v>
      </c>
      <c r="V1692" s="246">
        <f>IFERROR(VLOOKUP(H1692,PROGRAMAS[],2,FALSE),0)</f>
        <v>4635315027.8751087</v>
      </c>
      <c r="W1692" s="246">
        <f>IFERROR(VLOOKUP(I1692,PROGRAMAS[],2,FALSE),0)</f>
        <v>764796700.79905891</v>
      </c>
      <c r="X1692" s="246">
        <f>IFERROR(VLOOKUP(J1692,PROGRAMAS[],2,FALSE),0)</f>
        <v>3776538594.4604583</v>
      </c>
      <c r="Y1692" s="246">
        <f>IFERROR(VLOOKUP(K1692,PROGRAMAS[],2,FALSE),0)</f>
        <v>54223862.645839565</v>
      </c>
      <c r="Z1692" s="246">
        <f>IFERROR(VLOOKUP(L1692,PROGRAMAS[],2,FALSE),0)</f>
        <v>7068496961.0436354</v>
      </c>
      <c r="AA1692" s="246">
        <f>IFERROR(VLOOKUP(M1692,PROGRAMAS[],2,FALSE),0)</f>
        <v>1892779498.5211046</v>
      </c>
      <c r="AB1692" s="246">
        <f>IFERROR(VLOOKUP(N1692,PROGRAMAS[],2,FALSE),0)</f>
        <v>0</v>
      </c>
      <c r="AC1692" s="246">
        <f>IFERROR(VLOOKUP(O1692,PROGRAMAS[],2,FALSE),0)</f>
        <v>0</v>
      </c>
      <c r="AD1692" s="246">
        <f>IFERROR(VLOOKUP(P1692,PROGRAMAS[],2,FALSE),0)</f>
        <v>0</v>
      </c>
      <c r="AE1692" s="246">
        <f>IFERROR(VLOOKUP(Q1692,PROGRAMAS[],2,FALSE),0)</f>
        <v>0</v>
      </c>
      <c r="AF1692" s="246">
        <f>IFERROR(VLOOKUP(D1692,PROGRAMAS[],3,FALSE),0)</f>
        <v>841888629.31080008</v>
      </c>
      <c r="AG1692" s="246">
        <f>IFERROR(VLOOKUP(E1692,PROGRAMAS[],3,FALSE),0)</f>
        <v>3848980803.1642323</v>
      </c>
      <c r="AH1692" s="246">
        <f>IFERROR(VLOOKUP(F1692,PROGRAMAS[],3,FALSE),0)</f>
        <v>3394901471.387517</v>
      </c>
      <c r="AI1692" s="246">
        <f>IFERROR(VLOOKUP(G1692,PROGRAMAS[],3,FALSE),0)</f>
        <v>125317226.95549992</v>
      </c>
      <c r="AJ1692" s="246">
        <f>IFERROR(VLOOKUP(H1692,PROGRAMAS[],3,FALSE),0)</f>
        <v>4099471734.9978786</v>
      </c>
      <c r="AK1692" s="246">
        <f>IFERROR(VLOOKUP(I1692,PROGRAMAS[],3,FALSE),0)</f>
        <v>675517840.109828</v>
      </c>
      <c r="AL1692" s="246">
        <f>IFERROR(VLOOKUP(J1692,PROGRAMAS[],3,FALSE),0)</f>
        <v>2392571243.5584412</v>
      </c>
      <c r="AM1692" s="246">
        <f>IFERROR(VLOOKUP(K1692,PROGRAMAS[],3,FALSE),0)</f>
        <v>31865326.38096505</v>
      </c>
      <c r="AN1692" s="246">
        <f>IFERROR(VLOOKUP(L1692,PROGRAMAS[],3,FALSE),0)</f>
        <v>2406564599.0319901</v>
      </c>
      <c r="AO1692" s="246">
        <f>IFERROR(VLOOKUP(M1692,PROGRAMAS[],3,FALSE),0)</f>
        <v>948595847.09039903</v>
      </c>
      <c r="AP1692" s="246">
        <f>IFERROR(VLOOKUP(N1692,PROGRAMAS[],3,FALSE),0)</f>
        <v>0</v>
      </c>
      <c r="AQ1692" s="246">
        <f>IFERROR(VLOOKUP(O1692,PROGRAMAS[],3,FALSE),0)</f>
        <v>0</v>
      </c>
      <c r="AR1692" s="246">
        <f>IFERROR(VLOOKUP(P1692,PROGRAMAS[],3,FALSE),0)</f>
        <v>0</v>
      </c>
      <c r="AS1692" s="246">
        <f>IFERROR(VLOOKUP(Q1692,PROGRAMAS[],3,FALSE),0)</f>
        <v>0</v>
      </c>
      <c r="AT1692" s="246">
        <f>IFERROR(VLOOKUP(D1692,VOL_REC[],2,FALSE),0)</f>
        <v>0</v>
      </c>
      <c r="AU1692" s="246">
        <f>IFERROR(VLOOKUP(E1692,VOL_REC[],2,FALSE),0)</f>
        <v>0</v>
      </c>
      <c r="AV1692" s="246">
        <f>IFERROR(VLOOKUP(F1692,VOL_REC[],2,FALSE),0)</f>
        <v>11089674.200000001</v>
      </c>
      <c r="AW1692" s="246">
        <f>IFERROR(VLOOKUP(G1692,VOL_REC[],2,FALSE),0)</f>
        <v>90439.55</v>
      </c>
      <c r="AX1692" s="246">
        <f>IFERROR(VLOOKUP(H1692,VOL_REC[],2,FALSE),0)</f>
        <v>1812240</v>
      </c>
      <c r="AY1692" s="246">
        <f>IFERROR(VLOOKUP(I1692,VOL_REC[],2,FALSE),0)</f>
        <v>240696.79238099116</v>
      </c>
      <c r="AZ1692" s="246">
        <f>IFERROR(VLOOKUP(J1692,VOL_REC[],2,FALSE),0)</f>
        <v>663244.80000000016</v>
      </c>
      <c r="BA1692" s="246">
        <f>IFERROR(VLOOKUP(K1692,VOL_REC[],2,FALSE),0)</f>
        <v>17074.045034105649</v>
      </c>
      <c r="BB1692" s="246">
        <f>IFERROR(VLOOKUP(L1692,VOL_REC[],2,FALSE),0)</f>
        <v>1072354.9981737854</v>
      </c>
      <c r="BC1692" s="246">
        <f>IFERROR(VLOOKUP(M1692,VOL_REC[],2,FALSE),0)</f>
        <v>740113.98115702497</v>
      </c>
      <c r="BD1692" s="246">
        <f>IFERROR(VLOOKUP(N1692,VOL_REC[],2,FALSE),0)</f>
        <v>0</v>
      </c>
      <c r="BE1692" s="246">
        <f>IFERROR(VLOOKUP(O1692,VOL_REC[],2,FALSE),0)</f>
        <v>0</v>
      </c>
      <c r="BF1692" s="246">
        <f>IFERROR(VLOOKUP(P1692,VOL_REC[],2,FALSE),0)</f>
        <v>0</v>
      </c>
      <c r="BG1692" s="246">
        <f>IFERROR(VLOOKUP(Q1692,VOL_REC[],2,FALSE),0)</f>
        <v>0</v>
      </c>
      <c r="BH1692" s="1710">
        <f t="shared" si="104"/>
        <v>22059714874.892258</v>
      </c>
      <c r="BI1692" s="1710">
        <f t="shared" si="105"/>
        <v>18765674721.987549</v>
      </c>
      <c r="BJ1692" s="1711">
        <f t="shared" si="106"/>
        <v>15725838.36674591</v>
      </c>
      <c r="BK1692" s="1711">
        <f t="shared" si="107"/>
        <v>1.175535396499499</v>
      </c>
      <c r="BL1692">
        <f>BJ1692</f>
        <v>15725838.36674591</v>
      </c>
      <c r="BO1692">
        <f>BL1692</f>
        <v>15725838.36674591</v>
      </c>
    </row>
    <row r="1693" spans="3:67" x14ac:dyDescent="0.25">
      <c r="C1693" s="246" t="s">
        <v>3043</v>
      </c>
      <c r="D1693" s="246">
        <v>1</v>
      </c>
      <c r="E1693" s="246">
        <v>2</v>
      </c>
      <c r="F1693" s="246">
        <v>3</v>
      </c>
      <c r="G1693" s="246">
        <v>4</v>
      </c>
      <c r="H1693" s="246">
        <v>10</v>
      </c>
      <c r="I1693" s="246">
        <v>12</v>
      </c>
      <c r="J1693" s="246">
        <v>13</v>
      </c>
      <c r="K1693" s="246">
        <v>15</v>
      </c>
      <c r="L1693" s="246">
        <v>16</v>
      </c>
      <c r="M1693" s="246">
        <v>17</v>
      </c>
      <c r="N1693" s="246"/>
      <c r="O1693" s="246"/>
      <c r="P1693" s="246"/>
      <c r="Q1693" s="246"/>
      <c r="R1693" s="246">
        <f>IFERROR(VLOOKUP(D1693,PROGRAMAS[],2,FALSE),0)</f>
        <v>97037803.679377079</v>
      </c>
      <c r="S1693" s="246">
        <f>IFERROR(VLOOKUP(E1693,PROGRAMAS[],2,FALSE),0)</f>
        <v>640501509.6821388</v>
      </c>
      <c r="T1693" s="246">
        <f>IFERROR(VLOOKUP(F1693,PROGRAMAS[],2,FALSE),0)</f>
        <v>3062327798.1525245</v>
      </c>
      <c r="U1693" s="246">
        <f>IFERROR(VLOOKUP(G1693,PROGRAMAS[],2,FALSE),0)</f>
        <v>67697118.033011258</v>
      </c>
      <c r="V1693" s="246">
        <f>IFERROR(VLOOKUP(H1693,PROGRAMAS[],2,FALSE),0)</f>
        <v>4635315027.8751087</v>
      </c>
      <c r="W1693" s="246">
        <f>IFERROR(VLOOKUP(I1693,PROGRAMAS[],2,FALSE),0)</f>
        <v>764796700.79905891</v>
      </c>
      <c r="X1693" s="246">
        <f>IFERROR(VLOOKUP(J1693,PROGRAMAS[],2,FALSE),0)</f>
        <v>3776538594.4604583</v>
      </c>
      <c r="Y1693" s="246">
        <f>IFERROR(VLOOKUP(K1693,PROGRAMAS[],2,FALSE),0)</f>
        <v>122159672.96346797</v>
      </c>
      <c r="Z1693" s="246">
        <f>IFERROR(VLOOKUP(L1693,PROGRAMAS[],2,FALSE),0)</f>
        <v>7068496961.0436354</v>
      </c>
      <c r="AA1693" s="246">
        <f>IFERROR(VLOOKUP(M1693,PROGRAMAS[],2,FALSE),0)</f>
        <v>1892779498.5211046</v>
      </c>
      <c r="AB1693" s="246">
        <f>IFERROR(VLOOKUP(N1693,PROGRAMAS[],2,FALSE),0)</f>
        <v>0</v>
      </c>
      <c r="AC1693" s="246">
        <f>IFERROR(VLOOKUP(O1693,PROGRAMAS[],2,FALSE),0)</f>
        <v>0</v>
      </c>
      <c r="AD1693" s="246">
        <f>IFERROR(VLOOKUP(P1693,PROGRAMAS[],2,FALSE),0)</f>
        <v>0</v>
      </c>
      <c r="AE1693" s="246">
        <f>IFERROR(VLOOKUP(Q1693,PROGRAMAS[],2,FALSE),0)</f>
        <v>0</v>
      </c>
      <c r="AF1693" s="246">
        <f>IFERROR(VLOOKUP(D1693,PROGRAMAS[],3,FALSE),0)</f>
        <v>841888629.31080008</v>
      </c>
      <c r="AG1693" s="246">
        <f>IFERROR(VLOOKUP(E1693,PROGRAMAS[],3,FALSE),0)</f>
        <v>3848980803.1642323</v>
      </c>
      <c r="AH1693" s="246">
        <f>IFERROR(VLOOKUP(F1693,PROGRAMAS[],3,FALSE),0)</f>
        <v>3394901471.387517</v>
      </c>
      <c r="AI1693" s="246">
        <f>IFERROR(VLOOKUP(G1693,PROGRAMAS[],3,FALSE),0)</f>
        <v>125317226.95549992</v>
      </c>
      <c r="AJ1693" s="246">
        <f>IFERROR(VLOOKUP(H1693,PROGRAMAS[],3,FALSE),0)</f>
        <v>4099471734.9978786</v>
      </c>
      <c r="AK1693" s="246">
        <f>IFERROR(VLOOKUP(I1693,PROGRAMAS[],3,FALSE),0)</f>
        <v>675517840.109828</v>
      </c>
      <c r="AL1693" s="246">
        <f>IFERROR(VLOOKUP(J1693,PROGRAMAS[],3,FALSE),0)</f>
        <v>2392571243.5584412</v>
      </c>
      <c r="AM1693" s="246">
        <f>IFERROR(VLOOKUP(K1693,PROGRAMAS[],3,FALSE),0)</f>
        <v>118617452.52510804</v>
      </c>
      <c r="AN1693" s="246">
        <f>IFERROR(VLOOKUP(L1693,PROGRAMAS[],3,FALSE),0)</f>
        <v>2406564599.0319901</v>
      </c>
      <c r="AO1693" s="246">
        <f>IFERROR(VLOOKUP(M1693,PROGRAMAS[],3,FALSE),0)</f>
        <v>948595847.09039903</v>
      </c>
      <c r="AP1693" s="246">
        <f>IFERROR(VLOOKUP(N1693,PROGRAMAS[],3,FALSE),0)</f>
        <v>0</v>
      </c>
      <c r="AQ1693" s="246">
        <f>IFERROR(VLOOKUP(O1693,PROGRAMAS[],3,FALSE),0)</f>
        <v>0</v>
      </c>
      <c r="AR1693" s="246">
        <f>IFERROR(VLOOKUP(P1693,PROGRAMAS[],3,FALSE),0)</f>
        <v>0</v>
      </c>
      <c r="AS1693" s="246">
        <f>IFERROR(VLOOKUP(Q1693,PROGRAMAS[],3,FALSE),0)</f>
        <v>0</v>
      </c>
      <c r="AT1693" s="246">
        <f>IFERROR(VLOOKUP(D1693,VOL_REC[],2,FALSE),0)</f>
        <v>0</v>
      </c>
      <c r="AU1693" s="246">
        <f>IFERROR(VLOOKUP(E1693,VOL_REC[],2,FALSE),0)</f>
        <v>0</v>
      </c>
      <c r="AV1693" s="246">
        <f>IFERROR(VLOOKUP(F1693,VOL_REC[],2,FALSE),0)</f>
        <v>11089674.200000001</v>
      </c>
      <c r="AW1693" s="246">
        <f>IFERROR(VLOOKUP(G1693,VOL_REC[],2,FALSE),0)</f>
        <v>90439.55</v>
      </c>
      <c r="AX1693" s="246">
        <f>IFERROR(VLOOKUP(H1693,VOL_REC[],2,FALSE),0)</f>
        <v>1812240</v>
      </c>
      <c r="AY1693" s="246">
        <f>IFERROR(VLOOKUP(I1693,VOL_REC[],2,FALSE),0)</f>
        <v>240696.79238099116</v>
      </c>
      <c r="AZ1693" s="246">
        <f>IFERROR(VLOOKUP(J1693,VOL_REC[],2,FALSE),0)</f>
        <v>663244.80000000016</v>
      </c>
      <c r="BA1693" s="246">
        <f>IFERROR(VLOOKUP(K1693,VOL_REC[],2,FALSE),0)</f>
        <v>105072</v>
      </c>
      <c r="BB1693" s="246">
        <f>IFERROR(VLOOKUP(L1693,VOL_REC[],2,FALSE),0)</f>
        <v>1072354.9981737854</v>
      </c>
      <c r="BC1693" s="246">
        <f>IFERROR(VLOOKUP(M1693,VOL_REC[],2,FALSE),0)</f>
        <v>740113.98115702497</v>
      </c>
      <c r="BD1693" s="246">
        <f>IFERROR(VLOOKUP(N1693,VOL_REC[],2,FALSE),0)</f>
        <v>0</v>
      </c>
      <c r="BE1693" s="246">
        <f>IFERROR(VLOOKUP(O1693,VOL_REC[],2,FALSE),0)</f>
        <v>0</v>
      </c>
      <c r="BF1693" s="246">
        <f>IFERROR(VLOOKUP(P1693,VOL_REC[],2,FALSE),0)</f>
        <v>0</v>
      </c>
      <c r="BG1693" s="246">
        <f>IFERROR(VLOOKUP(Q1693,VOL_REC[],2,FALSE),0)</f>
        <v>0</v>
      </c>
      <c r="BH1693" s="1710">
        <f t="shared" si="104"/>
        <v>22127650685.209885</v>
      </c>
      <c r="BI1693" s="1710">
        <f t="shared" si="105"/>
        <v>18852426848.131695</v>
      </c>
      <c r="BJ1693" s="1711">
        <f t="shared" si="106"/>
        <v>15813836.321711803</v>
      </c>
      <c r="BK1693" s="1711">
        <f t="shared" si="107"/>
        <v>1.1737295608391538</v>
      </c>
      <c r="BL1693">
        <f>BJ1693</f>
        <v>15813836.321711803</v>
      </c>
      <c r="BO1693">
        <f>BL1693</f>
        <v>15813836.321711803</v>
      </c>
    </row>
    <row r="1694" spans="3:67" x14ac:dyDescent="0.25">
      <c r="C1694" s="246" t="s">
        <v>3044</v>
      </c>
      <c r="D1694" s="246">
        <v>1</v>
      </c>
      <c r="E1694" s="246">
        <v>2</v>
      </c>
      <c r="F1694" s="246">
        <v>3</v>
      </c>
      <c r="G1694" s="246">
        <v>4</v>
      </c>
      <c r="H1694" s="246">
        <v>10</v>
      </c>
      <c r="I1694" s="246">
        <v>12</v>
      </c>
      <c r="J1694" s="246">
        <v>14</v>
      </c>
      <c r="K1694" s="246">
        <v>15</v>
      </c>
      <c r="L1694" s="246">
        <v>16</v>
      </c>
      <c r="M1694" s="246">
        <v>17</v>
      </c>
      <c r="N1694" s="246"/>
      <c r="O1694" s="246"/>
      <c r="P1694" s="246"/>
      <c r="Q1694" s="246"/>
      <c r="R1694" s="246">
        <f>IFERROR(VLOOKUP(D1694,PROGRAMAS[],2,FALSE),0)</f>
        <v>97037803.679377079</v>
      </c>
      <c r="S1694" s="246">
        <f>IFERROR(VLOOKUP(E1694,PROGRAMAS[],2,FALSE),0)</f>
        <v>640501509.6821388</v>
      </c>
      <c r="T1694" s="246">
        <f>IFERROR(VLOOKUP(F1694,PROGRAMAS[],2,FALSE),0)</f>
        <v>3062327798.1525245</v>
      </c>
      <c r="U1694" s="246">
        <f>IFERROR(VLOOKUP(G1694,PROGRAMAS[],2,FALSE),0)</f>
        <v>67697118.033011258</v>
      </c>
      <c r="V1694" s="246">
        <f>IFERROR(VLOOKUP(H1694,PROGRAMAS[],2,FALSE),0)</f>
        <v>4635315027.8751087</v>
      </c>
      <c r="W1694" s="246">
        <f>IFERROR(VLOOKUP(I1694,PROGRAMAS[],2,FALSE),0)</f>
        <v>764796700.79905891</v>
      </c>
      <c r="X1694" s="246">
        <f>IFERROR(VLOOKUP(J1694,PROGRAMAS[],2,FALSE),0)</f>
        <v>54223862.645839565</v>
      </c>
      <c r="Y1694" s="246">
        <f>IFERROR(VLOOKUP(K1694,PROGRAMAS[],2,FALSE),0)</f>
        <v>122159672.96346797</v>
      </c>
      <c r="Z1694" s="246">
        <f>IFERROR(VLOOKUP(L1694,PROGRAMAS[],2,FALSE),0)</f>
        <v>7068496961.0436354</v>
      </c>
      <c r="AA1694" s="246">
        <f>IFERROR(VLOOKUP(M1694,PROGRAMAS[],2,FALSE),0)</f>
        <v>1892779498.5211046</v>
      </c>
      <c r="AB1694" s="246">
        <f>IFERROR(VLOOKUP(N1694,PROGRAMAS[],2,FALSE),0)</f>
        <v>0</v>
      </c>
      <c r="AC1694" s="246">
        <f>IFERROR(VLOOKUP(O1694,PROGRAMAS[],2,FALSE),0)</f>
        <v>0</v>
      </c>
      <c r="AD1694" s="246">
        <f>IFERROR(VLOOKUP(P1694,PROGRAMAS[],2,FALSE),0)</f>
        <v>0</v>
      </c>
      <c r="AE1694" s="246">
        <f>IFERROR(VLOOKUP(Q1694,PROGRAMAS[],2,FALSE),0)</f>
        <v>0</v>
      </c>
      <c r="AF1694" s="246">
        <f>IFERROR(VLOOKUP(D1694,PROGRAMAS[],3,FALSE),0)</f>
        <v>841888629.31080008</v>
      </c>
      <c r="AG1694" s="246">
        <f>IFERROR(VLOOKUP(E1694,PROGRAMAS[],3,FALSE),0)</f>
        <v>3848980803.1642323</v>
      </c>
      <c r="AH1694" s="246">
        <f>IFERROR(VLOOKUP(F1694,PROGRAMAS[],3,FALSE),0)</f>
        <v>3394901471.387517</v>
      </c>
      <c r="AI1694" s="246">
        <f>IFERROR(VLOOKUP(G1694,PROGRAMAS[],3,FALSE),0)</f>
        <v>125317226.95549992</v>
      </c>
      <c r="AJ1694" s="246">
        <f>IFERROR(VLOOKUP(H1694,PROGRAMAS[],3,FALSE),0)</f>
        <v>4099471734.9978786</v>
      </c>
      <c r="AK1694" s="246">
        <f>IFERROR(VLOOKUP(I1694,PROGRAMAS[],3,FALSE),0)</f>
        <v>675517840.109828</v>
      </c>
      <c r="AL1694" s="246">
        <f>IFERROR(VLOOKUP(J1694,PROGRAMAS[],3,FALSE),0)</f>
        <v>31865326.38096505</v>
      </c>
      <c r="AM1694" s="246">
        <f>IFERROR(VLOOKUP(K1694,PROGRAMAS[],3,FALSE),0)</f>
        <v>118617452.52510804</v>
      </c>
      <c r="AN1694" s="246">
        <f>IFERROR(VLOOKUP(L1694,PROGRAMAS[],3,FALSE),0)</f>
        <v>2406564599.0319901</v>
      </c>
      <c r="AO1694" s="246">
        <f>IFERROR(VLOOKUP(M1694,PROGRAMAS[],3,FALSE),0)</f>
        <v>948595847.09039903</v>
      </c>
      <c r="AP1694" s="246">
        <f>IFERROR(VLOOKUP(N1694,PROGRAMAS[],3,FALSE),0)</f>
        <v>0</v>
      </c>
      <c r="AQ1694" s="246">
        <f>IFERROR(VLOOKUP(O1694,PROGRAMAS[],3,FALSE),0)</f>
        <v>0</v>
      </c>
      <c r="AR1694" s="246">
        <f>IFERROR(VLOOKUP(P1694,PROGRAMAS[],3,FALSE),0)</f>
        <v>0</v>
      </c>
      <c r="AS1694" s="246">
        <f>IFERROR(VLOOKUP(Q1694,PROGRAMAS[],3,FALSE),0)</f>
        <v>0</v>
      </c>
      <c r="AT1694" s="246">
        <f>IFERROR(VLOOKUP(D1694,VOL_REC[],2,FALSE),0)</f>
        <v>0</v>
      </c>
      <c r="AU1694" s="246">
        <f>IFERROR(VLOOKUP(E1694,VOL_REC[],2,FALSE),0)</f>
        <v>0</v>
      </c>
      <c r="AV1694" s="246">
        <f>IFERROR(VLOOKUP(F1694,VOL_REC[],2,FALSE),0)</f>
        <v>11089674.200000001</v>
      </c>
      <c r="AW1694" s="246">
        <f>IFERROR(VLOOKUP(G1694,VOL_REC[],2,FALSE),0)</f>
        <v>90439.55</v>
      </c>
      <c r="AX1694" s="246">
        <f>IFERROR(VLOOKUP(H1694,VOL_REC[],2,FALSE),0)</f>
        <v>1812240</v>
      </c>
      <c r="AY1694" s="246">
        <f>IFERROR(VLOOKUP(I1694,VOL_REC[],2,FALSE),0)</f>
        <v>240696.79238099116</v>
      </c>
      <c r="AZ1694" s="246">
        <f>IFERROR(VLOOKUP(J1694,VOL_REC[],2,FALSE),0)</f>
        <v>17074.045034105649</v>
      </c>
      <c r="BA1694" s="246">
        <f>IFERROR(VLOOKUP(K1694,VOL_REC[],2,FALSE),0)</f>
        <v>105072</v>
      </c>
      <c r="BB1694" s="246">
        <f>IFERROR(VLOOKUP(L1694,VOL_REC[],2,FALSE),0)</f>
        <v>1072354.9981737854</v>
      </c>
      <c r="BC1694" s="246">
        <f>IFERROR(VLOOKUP(M1694,VOL_REC[],2,FALSE),0)</f>
        <v>740113.98115702497</v>
      </c>
      <c r="BD1694" s="246">
        <f>IFERROR(VLOOKUP(N1694,VOL_REC[],2,FALSE),0)</f>
        <v>0</v>
      </c>
      <c r="BE1694" s="246">
        <f>IFERROR(VLOOKUP(O1694,VOL_REC[],2,FALSE),0)</f>
        <v>0</v>
      </c>
      <c r="BF1694" s="246">
        <f>IFERROR(VLOOKUP(P1694,VOL_REC[],2,FALSE),0)</f>
        <v>0</v>
      </c>
      <c r="BG1694" s="246">
        <f>IFERROR(VLOOKUP(Q1694,VOL_REC[],2,FALSE),0)</f>
        <v>0</v>
      </c>
      <c r="BH1694" s="1710">
        <f t="shared" si="104"/>
        <v>18405335953.395267</v>
      </c>
      <c r="BI1694" s="1710">
        <f t="shared" si="105"/>
        <v>16491720930.954216</v>
      </c>
      <c r="BJ1694" s="1711">
        <f t="shared" si="106"/>
        <v>15167665.566745909</v>
      </c>
      <c r="BK1694" s="1711">
        <f t="shared" si="107"/>
        <v>1.1160348898973473</v>
      </c>
      <c r="BL1694">
        <f>BJ1694</f>
        <v>15167665.566745909</v>
      </c>
      <c r="BO1694">
        <f>BL1694</f>
        <v>15167665.566745909</v>
      </c>
    </row>
    <row r="1695" spans="3:67" x14ac:dyDescent="0.25">
      <c r="C1695" s="246" t="s">
        <v>3045</v>
      </c>
      <c r="D1695" s="246">
        <v>1</v>
      </c>
      <c r="E1695" s="246">
        <v>2</v>
      </c>
      <c r="F1695" s="246">
        <v>3</v>
      </c>
      <c r="G1695" s="246">
        <v>4</v>
      </c>
      <c r="H1695" s="246">
        <v>10</v>
      </c>
      <c r="I1695" s="246">
        <v>13</v>
      </c>
      <c r="J1695" s="246">
        <v>14</v>
      </c>
      <c r="K1695" s="246">
        <v>15</v>
      </c>
      <c r="L1695" s="246">
        <v>16</v>
      </c>
      <c r="M1695" s="246">
        <v>17</v>
      </c>
      <c r="N1695" s="246"/>
      <c r="O1695" s="246"/>
      <c r="P1695" s="246"/>
      <c r="Q1695" s="246"/>
      <c r="R1695" s="246">
        <f>IFERROR(VLOOKUP(D1695,PROGRAMAS[],2,FALSE),0)</f>
        <v>97037803.679377079</v>
      </c>
      <c r="S1695" s="246">
        <f>IFERROR(VLOOKUP(E1695,PROGRAMAS[],2,FALSE),0)</f>
        <v>640501509.6821388</v>
      </c>
      <c r="T1695" s="246">
        <f>IFERROR(VLOOKUP(F1695,PROGRAMAS[],2,FALSE),0)</f>
        <v>3062327798.1525245</v>
      </c>
      <c r="U1695" s="246">
        <f>IFERROR(VLOOKUP(G1695,PROGRAMAS[],2,FALSE),0)</f>
        <v>67697118.033011258</v>
      </c>
      <c r="V1695" s="246">
        <f>IFERROR(VLOOKUP(H1695,PROGRAMAS[],2,FALSE),0)</f>
        <v>4635315027.8751087</v>
      </c>
      <c r="W1695" s="246">
        <f>IFERROR(VLOOKUP(I1695,PROGRAMAS[],2,FALSE),0)</f>
        <v>3776538594.4604583</v>
      </c>
      <c r="X1695" s="246">
        <f>IFERROR(VLOOKUP(J1695,PROGRAMAS[],2,FALSE),0)</f>
        <v>54223862.645839565</v>
      </c>
      <c r="Y1695" s="246">
        <f>IFERROR(VLOOKUP(K1695,PROGRAMAS[],2,FALSE),0)</f>
        <v>122159672.96346797</v>
      </c>
      <c r="Z1695" s="246">
        <f>IFERROR(VLOOKUP(L1695,PROGRAMAS[],2,FALSE),0)</f>
        <v>7068496961.0436354</v>
      </c>
      <c r="AA1695" s="246">
        <f>IFERROR(VLOOKUP(M1695,PROGRAMAS[],2,FALSE),0)</f>
        <v>1892779498.5211046</v>
      </c>
      <c r="AB1695" s="246">
        <f>IFERROR(VLOOKUP(N1695,PROGRAMAS[],2,FALSE),0)</f>
        <v>0</v>
      </c>
      <c r="AC1695" s="246">
        <f>IFERROR(VLOOKUP(O1695,PROGRAMAS[],2,FALSE),0)</f>
        <v>0</v>
      </c>
      <c r="AD1695" s="246">
        <f>IFERROR(VLOOKUP(P1695,PROGRAMAS[],2,FALSE),0)</f>
        <v>0</v>
      </c>
      <c r="AE1695" s="246">
        <f>IFERROR(VLOOKUP(Q1695,PROGRAMAS[],2,FALSE),0)</f>
        <v>0</v>
      </c>
      <c r="AF1695" s="246">
        <f>IFERROR(VLOOKUP(D1695,PROGRAMAS[],3,FALSE),0)</f>
        <v>841888629.31080008</v>
      </c>
      <c r="AG1695" s="246">
        <f>IFERROR(VLOOKUP(E1695,PROGRAMAS[],3,FALSE),0)</f>
        <v>3848980803.1642323</v>
      </c>
      <c r="AH1695" s="246">
        <f>IFERROR(VLOOKUP(F1695,PROGRAMAS[],3,FALSE),0)</f>
        <v>3394901471.387517</v>
      </c>
      <c r="AI1695" s="246">
        <f>IFERROR(VLOOKUP(G1695,PROGRAMAS[],3,FALSE),0)</f>
        <v>125317226.95549992</v>
      </c>
      <c r="AJ1695" s="246">
        <f>IFERROR(VLOOKUP(H1695,PROGRAMAS[],3,FALSE),0)</f>
        <v>4099471734.9978786</v>
      </c>
      <c r="AK1695" s="246">
        <f>IFERROR(VLOOKUP(I1695,PROGRAMAS[],3,FALSE),0)</f>
        <v>2392571243.5584412</v>
      </c>
      <c r="AL1695" s="246">
        <f>IFERROR(VLOOKUP(J1695,PROGRAMAS[],3,FALSE),0)</f>
        <v>31865326.38096505</v>
      </c>
      <c r="AM1695" s="246">
        <f>IFERROR(VLOOKUP(K1695,PROGRAMAS[],3,FALSE),0)</f>
        <v>118617452.52510804</v>
      </c>
      <c r="AN1695" s="246">
        <f>IFERROR(VLOOKUP(L1695,PROGRAMAS[],3,FALSE),0)</f>
        <v>2406564599.0319901</v>
      </c>
      <c r="AO1695" s="246">
        <f>IFERROR(VLOOKUP(M1695,PROGRAMAS[],3,FALSE),0)</f>
        <v>948595847.09039903</v>
      </c>
      <c r="AP1695" s="246">
        <f>IFERROR(VLOOKUP(N1695,PROGRAMAS[],3,FALSE),0)</f>
        <v>0</v>
      </c>
      <c r="AQ1695" s="246">
        <f>IFERROR(VLOOKUP(O1695,PROGRAMAS[],3,FALSE),0)</f>
        <v>0</v>
      </c>
      <c r="AR1695" s="246">
        <f>IFERROR(VLOOKUP(P1695,PROGRAMAS[],3,FALSE),0)</f>
        <v>0</v>
      </c>
      <c r="AS1695" s="246">
        <f>IFERROR(VLOOKUP(Q1695,PROGRAMAS[],3,FALSE),0)</f>
        <v>0</v>
      </c>
      <c r="AT1695" s="246">
        <f>IFERROR(VLOOKUP(D1695,VOL_REC[],2,FALSE),0)</f>
        <v>0</v>
      </c>
      <c r="AU1695" s="246">
        <f>IFERROR(VLOOKUP(E1695,VOL_REC[],2,FALSE),0)</f>
        <v>0</v>
      </c>
      <c r="AV1695" s="246">
        <f>IFERROR(VLOOKUP(F1695,VOL_REC[],2,FALSE),0)</f>
        <v>11089674.200000001</v>
      </c>
      <c r="AW1695" s="246">
        <f>IFERROR(VLOOKUP(G1695,VOL_REC[],2,FALSE),0)</f>
        <v>90439.55</v>
      </c>
      <c r="AX1695" s="246">
        <f>IFERROR(VLOOKUP(H1695,VOL_REC[],2,FALSE),0)</f>
        <v>1812240</v>
      </c>
      <c r="AY1695" s="246">
        <f>IFERROR(VLOOKUP(I1695,VOL_REC[],2,FALSE),0)</f>
        <v>663244.80000000016</v>
      </c>
      <c r="AZ1695" s="246">
        <f>IFERROR(VLOOKUP(J1695,VOL_REC[],2,FALSE),0)</f>
        <v>17074.045034105649</v>
      </c>
      <c r="BA1695" s="246">
        <f>IFERROR(VLOOKUP(K1695,VOL_REC[],2,FALSE),0)</f>
        <v>105072</v>
      </c>
      <c r="BB1695" s="246">
        <f>IFERROR(VLOOKUP(L1695,VOL_REC[],2,FALSE),0)</f>
        <v>1072354.9981737854</v>
      </c>
      <c r="BC1695" s="246">
        <f>IFERROR(VLOOKUP(M1695,VOL_REC[],2,FALSE),0)</f>
        <v>740113.98115702497</v>
      </c>
      <c r="BD1695" s="246">
        <f>IFERROR(VLOOKUP(N1695,VOL_REC[],2,FALSE),0)</f>
        <v>0</v>
      </c>
      <c r="BE1695" s="246">
        <f>IFERROR(VLOOKUP(O1695,VOL_REC[],2,FALSE),0)</f>
        <v>0</v>
      </c>
      <c r="BF1695" s="246">
        <f>IFERROR(VLOOKUP(P1695,VOL_REC[],2,FALSE),0)</f>
        <v>0</v>
      </c>
      <c r="BG1695" s="246">
        <f>IFERROR(VLOOKUP(Q1695,VOL_REC[],2,FALSE),0)</f>
        <v>0</v>
      </c>
      <c r="BH1695" s="1710">
        <f t="shared" si="104"/>
        <v>21417077847.056667</v>
      </c>
      <c r="BI1695" s="1710">
        <f t="shared" si="105"/>
        <v>18208774334.402832</v>
      </c>
      <c r="BJ1695" s="1711">
        <f t="shared" si="106"/>
        <v>15590213.574364917</v>
      </c>
      <c r="BK1695" s="1711">
        <f t="shared" si="107"/>
        <v>1.1761954678405899</v>
      </c>
      <c r="BL1695">
        <f>BJ1695</f>
        <v>15590213.574364917</v>
      </c>
      <c r="BO1695">
        <f>BL1695</f>
        <v>15590213.574364917</v>
      </c>
    </row>
    <row r="1696" spans="3:67" x14ac:dyDescent="0.25">
      <c r="C1696" s="246" t="s">
        <v>3046</v>
      </c>
      <c r="D1696" s="246">
        <v>1</v>
      </c>
      <c r="E1696" s="246">
        <v>2</v>
      </c>
      <c r="F1696" s="246">
        <v>3</v>
      </c>
      <c r="G1696" s="246">
        <v>4</v>
      </c>
      <c r="H1696" s="246">
        <v>12</v>
      </c>
      <c r="I1696" s="246">
        <v>13</v>
      </c>
      <c r="J1696" s="246">
        <v>14</v>
      </c>
      <c r="K1696" s="246">
        <v>15</v>
      </c>
      <c r="L1696" s="246">
        <v>16</v>
      </c>
      <c r="M1696" s="246">
        <v>17</v>
      </c>
      <c r="N1696" s="246"/>
      <c r="O1696" s="246"/>
      <c r="P1696" s="246"/>
      <c r="Q1696" s="246"/>
      <c r="R1696" s="246">
        <f>IFERROR(VLOOKUP(D1696,PROGRAMAS[],2,FALSE),0)</f>
        <v>97037803.679377079</v>
      </c>
      <c r="S1696" s="246">
        <f>IFERROR(VLOOKUP(E1696,PROGRAMAS[],2,FALSE),0)</f>
        <v>640501509.6821388</v>
      </c>
      <c r="T1696" s="246">
        <f>IFERROR(VLOOKUP(F1696,PROGRAMAS[],2,FALSE),0)</f>
        <v>3062327798.1525245</v>
      </c>
      <c r="U1696" s="246">
        <f>IFERROR(VLOOKUP(G1696,PROGRAMAS[],2,FALSE),0)</f>
        <v>67697118.033011258</v>
      </c>
      <c r="V1696" s="246">
        <f>IFERROR(VLOOKUP(H1696,PROGRAMAS[],2,FALSE),0)</f>
        <v>764796700.79905891</v>
      </c>
      <c r="W1696" s="246">
        <f>IFERROR(VLOOKUP(I1696,PROGRAMAS[],2,FALSE),0)</f>
        <v>3776538594.4604583</v>
      </c>
      <c r="X1696" s="246">
        <f>IFERROR(VLOOKUP(J1696,PROGRAMAS[],2,FALSE),0)</f>
        <v>54223862.645839565</v>
      </c>
      <c r="Y1696" s="246">
        <f>IFERROR(VLOOKUP(K1696,PROGRAMAS[],2,FALSE),0)</f>
        <v>122159672.96346797</v>
      </c>
      <c r="Z1696" s="246">
        <f>IFERROR(VLOOKUP(L1696,PROGRAMAS[],2,FALSE),0)</f>
        <v>7068496961.0436354</v>
      </c>
      <c r="AA1696" s="246">
        <f>IFERROR(VLOOKUP(M1696,PROGRAMAS[],2,FALSE),0)</f>
        <v>1892779498.5211046</v>
      </c>
      <c r="AB1696" s="246">
        <f>IFERROR(VLOOKUP(N1696,PROGRAMAS[],2,FALSE),0)</f>
        <v>0</v>
      </c>
      <c r="AC1696" s="246">
        <f>IFERROR(VLOOKUP(O1696,PROGRAMAS[],2,FALSE),0)</f>
        <v>0</v>
      </c>
      <c r="AD1696" s="246">
        <f>IFERROR(VLOOKUP(P1696,PROGRAMAS[],2,FALSE),0)</f>
        <v>0</v>
      </c>
      <c r="AE1696" s="246">
        <f>IFERROR(VLOOKUP(Q1696,PROGRAMAS[],2,FALSE),0)</f>
        <v>0</v>
      </c>
      <c r="AF1696" s="246">
        <f>IFERROR(VLOOKUP(D1696,PROGRAMAS[],3,FALSE),0)</f>
        <v>841888629.31080008</v>
      </c>
      <c r="AG1696" s="246">
        <f>IFERROR(VLOOKUP(E1696,PROGRAMAS[],3,FALSE),0)</f>
        <v>3848980803.1642323</v>
      </c>
      <c r="AH1696" s="246">
        <f>IFERROR(VLOOKUP(F1696,PROGRAMAS[],3,FALSE),0)</f>
        <v>3394901471.387517</v>
      </c>
      <c r="AI1696" s="246">
        <f>IFERROR(VLOOKUP(G1696,PROGRAMAS[],3,FALSE),0)</f>
        <v>125317226.95549992</v>
      </c>
      <c r="AJ1696" s="246">
        <f>IFERROR(VLOOKUP(H1696,PROGRAMAS[],3,FALSE),0)</f>
        <v>675517840.109828</v>
      </c>
      <c r="AK1696" s="246">
        <f>IFERROR(VLOOKUP(I1696,PROGRAMAS[],3,FALSE),0)</f>
        <v>2392571243.5584412</v>
      </c>
      <c r="AL1696" s="246">
        <f>IFERROR(VLOOKUP(J1696,PROGRAMAS[],3,FALSE),0)</f>
        <v>31865326.38096505</v>
      </c>
      <c r="AM1696" s="246">
        <f>IFERROR(VLOOKUP(K1696,PROGRAMAS[],3,FALSE),0)</f>
        <v>118617452.52510804</v>
      </c>
      <c r="AN1696" s="246">
        <f>IFERROR(VLOOKUP(L1696,PROGRAMAS[],3,FALSE),0)</f>
        <v>2406564599.0319901</v>
      </c>
      <c r="AO1696" s="246">
        <f>IFERROR(VLOOKUP(M1696,PROGRAMAS[],3,FALSE),0)</f>
        <v>948595847.09039903</v>
      </c>
      <c r="AP1696" s="246">
        <f>IFERROR(VLOOKUP(N1696,PROGRAMAS[],3,FALSE),0)</f>
        <v>0</v>
      </c>
      <c r="AQ1696" s="246">
        <f>IFERROR(VLOOKUP(O1696,PROGRAMAS[],3,FALSE),0)</f>
        <v>0</v>
      </c>
      <c r="AR1696" s="246">
        <f>IFERROR(VLOOKUP(P1696,PROGRAMAS[],3,FALSE),0)</f>
        <v>0</v>
      </c>
      <c r="AS1696" s="246">
        <f>IFERROR(VLOOKUP(Q1696,PROGRAMAS[],3,FALSE),0)</f>
        <v>0</v>
      </c>
      <c r="AT1696" s="246">
        <f>IFERROR(VLOOKUP(D1696,VOL_REC[],2,FALSE),0)</f>
        <v>0</v>
      </c>
      <c r="AU1696" s="246">
        <f>IFERROR(VLOOKUP(E1696,VOL_REC[],2,FALSE),0)</f>
        <v>0</v>
      </c>
      <c r="AV1696" s="246">
        <f>IFERROR(VLOOKUP(F1696,VOL_REC[],2,FALSE),0)</f>
        <v>11089674.200000001</v>
      </c>
      <c r="AW1696" s="246">
        <f>IFERROR(VLOOKUP(G1696,VOL_REC[],2,FALSE),0)</f>
        <v>90439.55</v>
      </c>
      <c r="AX1696" s="246">
        <f>IFERROR(VLOOKUP(H1696,VOL_REC[],2,FALSE),0)</f>
        <v>240696.79238099116</v>
      </c>
      <c r="AY1696" s="246">
        <f>IFERROR(VLOOKUP(I1696,VOL_REC[],2,FALSE),0)</f>
        <v>663244.80000000016</v>
      </c>
      <c r="AZ1696" s="246">
        <f>IFERROR(VLOOKUP(J1696,VOL_REC[],2,FALSE),0)</f>
        <v>17074.045034105649</v>
      </c>
      <c r="BA1696" s="246">
        <f>IFERROR(VLOOKUP(K1696,VOL_REC[],2,FALSE),0)</f>
        <v>105072</v>
      </c>
      <c r="BB1696" s="246">
        <f>IFERROR(VLOOKUP(L1696,VOL_REC[],2,FALSE),0)</f>
        <v>1072354.9981737854</v>
      </c>
      <c r="BC1696" s="246">
        <f>IFERROR(VLOOKUP(M1696,VOL_REC[],2,FALSE),0)</f>
        <v>740113.98115702497</v>
      </c>
      <c r="BD1696" s="246">
        <f>IFERROR(VLOOKUP(N1696,VOL_REC[],2,FALSE),0)</f>
        <v>0</v>
      </c>
      <c r="BE1696" s="246">
        <f>IFERROR(VLOOKUP(O1696,VOL_REC[],2,FALSE),0)</f>
        <v>0</v>
      </c>
      <c r="BF1696" s="246">
        <f>IFERROR(VLOOKUP(P1696,VOL_REC[],2,FALSE),0)</f>
        <v>0</v>
      </c>
      <c r="BG1696" s="246">
        <f>IFERROR(VLOOKUP(Q1696,VOL_REC[],2,FALSE),0)</f>
        <v>0</v>
      </c>
      <c r="BH1696" s="1710">
        <f t="shared" si="104"/>
        <v>17546559519.980618</v>
      </c>
      <c r="BI1696" s="1710">
        <f t="shared" si="105"/>
        <v>14784820439.51478</v>
      </c>
      <c r="BJ1696" s="1711">
        <f t="shared" si="106"/>
        <v>14018670.36674591</v>
      </c>
      <c r="BK1696" s="1711">
        <f t="shared" si="107"/>
        <v>1.1867955780568462</v>
      </c>
      <c r="BL1696">
        <f>BJ1696</f>
        <v>14018670.36674591</v>
      </c>
      <c r="BO1696">
        <f>BL1696</f>
        <v>14018670.36674591</v>
      </c>
    </row>
    <row r="1697" spans="3:67" x14ac:dyDescent="0.25">
      <c r="C1697" s="246" t="s">
        <v>3047</v>
      </c>
      <c r="D1697" s="246">
        <v>1</v>
      </c>
      <c r="E1697" s="246">
        <v>2</v>
      </c>
      <c r="F1697" s="246">
        <v>3</v>
      </c>
      <c r="G1697" s="246">
        <v>5</v>
      </c>
      <c r="H1697" s="246">
        <v>6</v>
      </c>
      <c r="I1697" s="246">
        <v>9</v>
      </c>
      <c r="J1697" s="246">
        <v>10</v>
      </c>
      <c r="K1697" s="246">
        <v>12</v>
      </c>
      <c r="L1697" s="246">
        <v>13</v>
      </c>
      <c r="M1697" s="246">
        <v>14</v>
      </c>
      <c r="N1697" s="246"/>
      <c r="O1697" s="246"/>
      <c r="P1697" s="246"/>
      <c r="Q1697" s="246"/>
      <c r="R1697" s="246">
        <f>IFERROR(VLOOKUP(D1697,PROGRAMAS[],2,FALSE),0)</f>
        <v>97037803.679377079</v>
      </c>
      <c r="S1697" s="246">
        <f>IFERROR(VLOOKUP(E1697,PROGRAMAS[],2,FALSE),0)</f>
        <v>640501509.6821388</v>
      </c>
      <c r="T1697" s="246">
        <f>IFERROR(VLOOKUP(F1697,PROGRAMAS[],2,FALSE),0)</f>
        <v>3062327798.1525245</v>
      </c>
      <c r="U1697" s="246">
        <f>IFERROR(VLOOKUP(G1697,PROGRAMAS[],2,FALSE),0)</f>
        <v>1440941976.2528784</v>
      </c>
      <c r="V1697" s="246">
        <f>IFERROR(VLOOKUP(H1697,PROGRAMAS[],2,FALSE),0)</f>
        <v>6907648435.8447599</v>
      </c>
      <c r="W1697" s="246">
        <f>IFERROR(VLOOKUP(I1697,PROGRAMAS[],2,FALSE),0)</f>
        <v>6128579952.1618185</v>
      </c>
      <c r="X1697" s="246">
        <f>IFERROR(VLOOKUP(J1697,PROGRAMAS[],2,FALSE),0)</f>
        <v>4635315027.8751087</v>
      </c>
      <c r="Y1697" s="246">
        <f>IFERROR(VLOOKUP(K1697,PROGRAMAS[],2,FALSE),0)</f>
        <v>764796700.79905891</v>
      </c>
      <c r="Z1697" s="246">
        <f>IFERROR(VLOOKUP(L1697,PROGRAMAS[],2,FALSE),0)</f>
        <v>3776538594.4604583</v>
      </c>
      <c r="AA1697" s="246">
        <f>IFERROR(VLOOKUP(M1697,PROGRAMAS[],2,FALSE),0)</f>
        <v>54223862.645839565</v>
      </c>
      <c r="AB1697" s="246">
        <f>IFERROR(VLOOKUP(N1697,PROGRAMAS[],2,FALSE),0)</f>
        <v>0</v>
      </c>
      <c r="AC1697" s="246">
        <f>IFERROR(VLOOKUP(O1697,PROGRAMAS[],2,FALSE),0)</f>
        <v>0</v>
      </c>
      <c r="AD1697" s="246">
        <f>IFERROR(VLOOKUP(P1697,PROGRAMAS[],2,FALSE),0)</f>
        <v>0</v>
      </c>
      <c r="AE1697" s="246">
        <f>IFERROR(VLOOKUP(Q1697,PROGRAMAS[],2,FALSE),0)</f>
        <v>0</v>
      </c>
      <c r="AF1697" s="246">
        <f>IFERROR(VLOOKUP(D1697,PROGRAMAS[],3,FALSE),0)</f>
        <v>841888629.31080008</v>
      </c>
      <c r="AG1697" s="246">
        <f>IFERROR(VLOOKUP(E1697,PROGRAMAS[],3,FALSE),0)</f>
        <v>3848980803.1642323</v>
      </c>
      <c r="AH1697" s="246">
        <f>IFERROR(VLOOKUP(F1697,PROGRAMAS[],3,FALSE),0)</f>
        <v>3394901471.387517</v>
      </c>
      <c r="AI1697" s="246">
        <f>IFERROR(VLOOKUP(G1697,PROGRAMAS[],3,FALSE),0)</f>
        <v>1233505101.0616004</v>
      </c>
      <c r="AJ1697" s="246">
        <f>IFERROR(VLOOKUP(H1697,PROGRAMAS[],3,FALSE),0)</f>
        <v>6129902208.7912121</v>
      </c>
      <c r="AK1697" s="246">
        <f>IFERROR(VLOOKUP(I1697,PROGRAMAS[],3,FALSE),0)</f>
        <v>7011279577.519702</v>
      </c>
      <c r="AL1697" s="246">
        <f>IFERROR(VLOOKUP(J1697,PROGRAMAS[],3,FALSE),0)</f>
        <v>4099471734.9978786</v>
      </c>
      <c r="AM1697" s="246">
        <f>IFERROR(VLOOKUP(K1697,PROGRAMAS[],3,FALSE),0)</f>
        <v>675517840.109828</v>
      </c>
      <c r="AN1697" s="246">
        <f>IFERROR(VLOOKUP(L1697,PROGRAMAS[],3,FALSE),0)</f>
        <v>2392571243.5584412</v>
      </c>
      <c r="AO1697" s="246">
        <f>IFERROR(VLOOKUP(M1697,PROGRAMAS[],3,FALSE),0)</f>
        <v>31865326.38096505</v>
      </c>
      <c r="AP1697" s="246">
        <f>IFERROR(VLOOKUP(N1697,PROGRAMAS[],3,FALSE),0)</f>
        <v>0</v>
      </c>
      <c r="AQ1697" s="246">
        <f>IFERROR(VLOOKUP(O1697,PROGRAMAS[],3,FALSE),0)</f>
        <v>0</v>
      </c>
      <c r="AR1697" s="246">
        <f>IFERROR(VLOOKUP(P1697,PROGRAMAS[],3,FALSE),0)</f>
        <v>0</v>
      </c>
      <c r="AS1697" s="246">
        <f>IFERROR(VLOOKUP(Q1697,PROGRAMAS[],3,FALSE),0)</f>
        <v>0</v>
      </c>
      <c r="AT1697" s="246">
        <f>IFERROR(VLOOKUP(D1697,VOL_REC[],2,FALSE),0)</f>
        <v>0</v>
      </c>
      <c r="AU1697" s="246">
        <f>IFERROR(VLOOKUP(E1697,VOL_REC[],2,FALSE),0)</f>
        <v>0</v>
      </c>
      <c r="AV1697" s="246">
        <f>IFERROR(VLOOKUP(F1697,VOL_REC[],2,FALSE),0)</f>
        <v>11089674.200000001</v>
      </c>
      <c r="AW1697" s="246">
        <f>IFERROR(VLOOKUP(G1697,VOL_REC[],2,FALSE),0)</f>
        <v>4325103.1812214684</v>
      </c>
      <c r="AX1697" s="246">
        <f>IFERROR(VLOOKUP(H1697,VOL_REC[],2,FALSE),0)</f>
        <v>15540036.397699751</v>
      </c>
      <c r="AY1697" s="246">
        <f>IFERROR(VLOOKUP(I1697,VOL_REC[],2,FALSE),0)</f>
        <v>3761786</v>
      </c>
      <c r="AZ1697" s="246">
        <f>IFERROR(VLOOKUP(J1697,VOL_REC[],2,FALSE),0)</f>
        <v>1812240</v>
      </c>
      <c r="BA1697" s="246">
        <f>IFERROR(VLOOKUP(K1697,VOL_REC[],2,FALSE),0)</f>
        <v>240696.79238099116</v>
      </c>
      <c r="BB1697" s="246">
        <f>IFERROR(VLOOKUP(L1697,VOL_REC[],2,FALSE),0)</f>
        <v>663244.80000000016</v>
      </c>
      <c r="BC1697" s="246">
        <f>IFERROR(VLOOKUP(M1697,VOL_REC[],2,FALSE),0)</f>
        <v>17074.045034105649</v>
      </c>
      <c r="BD1697" s="246">
        <f>IFERROR(VLOOKUP(N1697,VOL_REC[],2,FALSE),0)</f>
        <v>0</v>
      </c>
      <c r="BE1697" s="246">
        <f>IFERROR(VLOOKUP(O1697,VOL_REC[],2,FALSE),0)</f>
        <v>0</v>
      </c>
      <c r="BF1697" s="246">
        <f>IFERROR(VLOOKUP(P1697,VOL_REC[],2,FALSE),0)</f>
        <v>0</v>
      </c>
      <c r="BG1697" s="246">
        <f>IFERROR(VLOOKUP(Q1697,VOL_REC[],2,FALSE),0)</f>
        <v>0</v>
      </c>
      <c r="BH1697" s="1710">
        <f t="shared" si="104"/>
        <v>27507911661.553959</v>
      </c>
      <c r="BI1697" s="1710">
        <f t="shared" si="105"/>
        <v>29659883936.282181</v>
      </c>
      <c r="BJ1697" s="1711">
        <f t="shared" si="106"/>
        <v>37449855.416336305</v>
      </c>
      <c r="BK1697" s="1711">
        <f t="shared" si="107"/>
        <v>0.92744502037326693</v>
      </c>
    </row>
    <row r="1698" spans="3:67" x14ac:dyDescent="0.25">
      <c r="C1698" s="246" t="s">
        <v>3048</v>
      </c>
      <c r="D1698" s="246">
        <v>1</v>
      </c>
      <c r="E1698" s="246">
        <v>2</v>
      </c>
      <c r="F1698" s="246">
        <v>3</v>
      </c>
      <c r="G1698" s="246">
        <v>5</v>
      </c>
      <c r="H1698" s="246">
        <v>6</v>
      </c>
      <c r="I1698" s="246">
        <v>9</v>
      </c>
      <c r="J1698" s="246">
        <v>10</v>
      </c>
      <c r="K1698" s="246">
        <v>12</v>
      </c>
      <c r="L1698" s="246">
        <v>13</v>
      </c>
      <c r="M1698" s="246">
        <v>15</v>
      </c>
      <c r="N1698" s="246"/>
      <c r="O1698" s="246"/>
      <c r="P1698" s="246"/>
      <c r="Q1698" s="246"/>
      <c r="R1698" s="246">
        <f>IFERROR(VLOOKUP(D1698,PROGRAMAS[],2,FALSE),0)</f>
        <v>97037803.679377079</v>
      </c>
      <c r="S1698" s="246">
        <f>IFERROR(VLOOKUP(E1698,PROGRAMAS[],2,FALSE),0)</f>
        <v>640501509.6821388</v>
      </c>
      <c r="T1698" s="246">
        <f>IFERROR(VLOOKUP(F1698,PROGRAMAS[],2,FALSE),0)</f>
        <v>3062327798.1525245</v>
      </c>
      <c r="U1698" s="246">
        <f>IFERROR(VLOOKUP(G1698,PROGRAMAS[],2,FALSE),0)</f>
        <v>1440941976.2528784</v>
      </c>
      <c r="V1698" s="246">
        <f>IFERROR(VLOOKUP(H1698,PROGRAMAS[],2,FALSE),0)</f>
        <v>6907648435.8447599</v>
      </c>
      <c r="W1698" s="246">
        <f>IFERROR(VLOOKUP(I1698,PROGRAMAS[],2,FALSE),0)</f>
        <v>6128579952.1618185</v>
      </c>
      <c r="X1698" s="246">
        <f>IFERROR(VLOOKUP(J1698,PROGRAMAS[],2,FALSE),0)</f>
        <v>4635315027.8751087</v>
      </c>
      <c r="Y1698" s="246">
        <f>IFERROR(VLOOKUP(K1698,PROGRAMAS[],2,FALSE),0)</f>
        <v>764796700.79905891</v>
      </c>
      <c r="Z1698" s="246">
        <f>IFERROR(VLOOKUP(L1698,PROGRAMAS[],2,FALSE),0)</f>
        <v>3776538594.4604583</v>
      </c>
      <c r="AA1698" s="246">
        <f>IFERROR(VLOOKUP(M1698,PROGRAMAS[],2,FALSE),0)</f>
        <v>122159672.96346797</v>
      </c>
      <c r="AB1698" s="246">
        <f>IFERROR(VLOOKUP(N1698,PROGRAMAS[],2,FALSE),0)</f>
        <v>0</v>
      </c>
      <c r="AC1698" s="246">
        <f>IFERROR(VLOOKUP(O1698,PROGRAMAS[],2,FALSE),0)</f>
        <v>0</v>
      </c>
      <c r="AD1698" s="246">
        <f>IFERROR(VLOOKUP(P1698,PROGRAMAS[],2,FALSE),0)</f>
        <v>0</v>
      </c>
      <c r="AE1698" s="246">
        <f>IFERROR(VLOOKUP(Q1698,PROGRAMAS[],2,FALSE),0)</f>
        <v>0</v>
      </c>
      <c r="AF1698" s="246">
        <f>IFERROR(VLOOKUP(D1698,PROGRAMAS[],3,FALSE),0)</f>
        <v>841888629.31080008</v>
      </c>
      <c r="AG1698" s="246">
        <f>IFERROR(VLOOKUP(E1698,PROGRAMAS[],3,FALSE),0)</f>
        <v>3848980803.1642323</v>
      </c>
      <c r="AH1698" s="246">
        <f>IFERROR(VLOOKUP(F1698,PROGRAMAS[],3,FALSE),0)</f>
        <v>3394901471.387517</v>
      </c>
      <c r="AI1698" s="246">
        <f>IFERROR(VLOOKUP(G1698,PROGRAMAS[],3,FALSE),0)</f>
        <v>1233505101.0616004</v>
      </c>
      <c r="AJ1698" s="246">
        <f>IFERROR(VLOOKUP(H1698,PROGRAMAS[],3,FALSE),0)</f>
        <v>6129902208.7912121</v>
      </c>
      <c r="AK1698" s="246">
        <f>IFERROR(VLOOKUP(I1698,PROGRAMAS[],3,FALSE),0)</f>
        <v>7011279577.519702</v>
      </c>
      <c r="AL1698" s="246">
        <f>IFERROR(VLOOKUP(J1698,PROGRAMAS[],3,FALSE),0)</f>
        <v>4099471734.9978786</v>
      </c>
      <c r="AM1698" s="246">
        <f>IFERROR(VLOOKUP(K1698,PROGRAMAS[],3,FALSE),0)</f>
        <v>675517840.109828</v>
      </c>
      <c r="AN1698" s="246">
        <f>IFERROR(VLOOKUP(L1698,PROGRAMAS[],3,FALSE),0)</f>
        <v>2392571243.5584412</v>
      </c>
      <c r="AO1698" s="246">
        <f>IFERROR(VLOOKUP(M1698,PROGRAMAS[],3,FALSE),0)</f>
        <v>118617452.52510804</v>
      </c>
      <c r="AP1698" s="246">
        <f>IFERROR(VLOOKUP(N1698,PROGRAMAS[],3,FALSE),0)</f>
        <v>0</v>
      </c>
      <c r="AQ1698" s="246">
        <f>IFERROR(VLOOKUP(O1698,PROGRAMAS[],3,FALSE),0)</f>
        <v>0</v>
      </c>
      <c r="AR1698" s="246">
        <f>IFERROR(VLOOKUP(P1698,PROGRAMAS[],3,FALSE),0)</f>
        <v>0</v>
      </c>
      <c r="AS1698" s="246">
        <f>IFERROR(VLOOKUP(Q1698,PROGRAMAS[],3,FALSE),0)</f>
        <v>0</v>
      </c>
      <c r="AT1698" s="246">
        <f>IFERROR(VLOOKUP(D1698,VOL_REC[],2,FALSE),0)</f>
        <v>0</v>
      </c>
      <c r="AU1698" s="246">
        <f>IFERROR(VLOOKUP(E1698,VOL_REC[],2,FALSE),0)</f>
        <v>0</v>
      </c>
      <c r="AV1698" s="246">
        <f>IFERROR(VLOOKUP(F1698,VOL_REC[],2,FALSE),0)</f>
        <v>11089674.200000001</v>
      </c>
      <c r="AW1698" s="246">
        <f>IFERROR(VLOOKUP(G1698,VOL_REC[],2,FALSE),0)</f>
        <v>4325103.1812214684</v>
      </c>
      <c r="AX1698" s="246">
        <f>IFERROR(VLOOKUP(H1698,VOL_REC[],2,FALSE),0)</f>
        <v>15540036.397699751</v>
      </c>
      <c r="AY1698" s="246">
        <f>IFERROR(VLOOKUP(I1698,VOL_REC[],2,FALSE),0)</f>
        <v>3761786</v>
      </c>
      <c r="AZ1698" s="246">
        <f>IFERROR(VLOOKUP(J1698,VOL_REC[],2,FALSE),0)</f>
        <v>1812240</v>
      </c>
      <c r="BA1698" s="246">
        <f>IFERROR(VLOOKUP(K1698,VOL_REC[],2,FALSE),0)</f>
        <v>240696.79238099116</v>
      </c>
      <c r="BB1698" s="246">
        <f>IFERROR(VLOOKUP(L1698,VOL_REC[],2,FALSE),0)</f>
        <v>663244.80000000016</v>
      </c>
      <c r="BC1698" s="246">
        <f>IFERROR(VLOOKUP(M1698,VOL_REC[],2,FALSE),0)</f>
        <v>105072</v>
      </c>
      <c r="BD1698" s="246">
        <f>IFERROR(VLOOKUP(N1698,VOL_REC[],2,FALSE),0)</f>
        <v>0</v>
      </c>
      <c r="BE1698" s="246">
        <f>IFERROR(VLOOKUP(O1698,VOL_REC[],2,FALSE),0)</f>
        <v>0</v>
      </c>
      <c r="BF1698" s="246">
        <f>IFERROR(VLOOKUP(P1698,VOL_REC[],2,FALSE),0)</f>
        <v>0</v>
      </c>
      <c r="BG1698" s="246">
        <f>IFERROR(VLOOKUP(Q1698,VOL_REC[],2,FALSE),0)</f>
        <v>0</v>
      </c>
      <c r="BH1698" s="1710">
        <f t="shared" si="104"/>
        <v>27575847471.871586</v>
      </c>
      <c r="BI1698" s="1710">
        <f t="shared" si="105"/>
        <v>29746636062.426323</v>
      </c>
      <c r="BJ1698" s="1711">
        <f t="shared" si="106"/>
        <v>37537853.371302202</v>
      </c>
      <c r="BK1698" s="1711">
        <f t="shared" si="107"/>
        <v>0.92702406463712006</v>
      </c>
    </row>
    <row r="1699" spans="3:67" x14ac:dyDescent="0.25">
      <c r="C1699" s="246" t="s">
        <v>3049</v>
      </c>
      <c r="D1699" s="246">
        <v>1</v>
      </c>
      <c r="E1699" s="246">
        <v>2</v>
      </c>
      <c r="F1699" s="246">
        <v>3</v>
      </c>
      <c r="G1699" s="246">
        <v>5</v>
      </c>
      <c r="H1699" s="246">
        <v>6</v>
      </c>
      <c r="I1699" s="246">
        <v>9</v>
      </c>
      <c r="J1699" s="246">
        <v>10</v>
      </c>
      <c r="K1699" s="246">
        <v>12</v>
      </c>
      <c r="L1699" s="246">
        <v>13</v>
      </c>
      <c r="M1699" s="246">
        <v>16</v>
      </c>
      <c r="N1699" s="246"/>
      <c r="O1699" s="246"/>
      <c r="P1699" s="246"/>
      <c r="Q1699" s="246"/>
      <c r="R1699" s="246">
        <f>IFERROR(VLOOKUP(D1699,PROGRAMAS[],2,FALSE),0)</f>
        <v>97037803.679377079</v>
      </c>
      <c r="S1699" s="246">
        <f>IFERROR(VLOOKUP(E1699,PROGRAMAS[],2,FALSE),0)</f>
        <v>640501509.6821388</v>
      </c>
      <c r="T1699" s="246">
        <f>IFERROR(VLOOKUP(F1699,PROGRAMAS[],2,FALSE),0)</f>
        <v>3062327798.1525245</v>
      </c>
      <c r="U1699" s="246">
        <f>IFERROR(VLOOKUP(G1699,PROGRAMAS[],2,FALSE),0)</f>
        <v>1440941976.2528784</v>
      </c>
      <c r="V1699" s="246">
        <f>IFERROR(VLOOKUP(H1699,PROGRAMAS[],2,FALSE),0)</f>
        <v>6907648435.8447599</v>
      </c>
      <c r="W1699" s="246">
        <f>IFERROR(VLOOKUP(I1699,PROGRAMAS[],2,FALSE),0)</f>
        <v>6128579952.1618185</v>
      </c>
      <c r="X1699" s="246">
        <f>IFERROR(VLOOKUP(J1699,PROGRAMAS[],2,FALSE),0)</f>
        <v>4635315027.8751087</v>
      </c>
      <c r="Y1699" s="246">
        <f>IFERROR(VLOOKUP(K1699,PROGRAMAS[],2,FALSE),0)</f>
        <v>764796700.79905891</v>
      </c>
      <c r="Z1699" s="246">
        <f>IFERROR(VLOOKUP(L1699,PROGRAMAS[],2,FALSE),0)</f>
        <v>3776538594.4604583</v>
      </c>
      <c r="AA1699" s="246">
        <f>IFERROR(VLOOKUP(M1699,PROGRAMAS[],2,FALSE),0)</f>
        <v>7068496961.0436354</v>
      </c>
      <c r="AB1699" s="246">
        <f>IFERROR(VLOOKUP(N1699,PROGRAMAS[],2,FALSE),0)</f>
        <v>0</v>
      </c>
      <c r="AC1699" s="246">
        <f>IFERROR(VLOOKUP(O1699,PROGRAMAS[],2,FALSE),0)</f>
        <v>0</v>
      </c>
      <c r="AD1699" s="246">
        <f>IFERROR(VLOOKUP(P1699,PROGRAMAS[],2,FALSE),0)</f>
        <v>0</v>
      </c>
      <c r="AE1699" s="246">
        <f>IFERROR(VLOOKUP(Q1699,PROGRAMAS[],2,FALSE),0)</f>
        <v>0</v>
      </c>
      <c r="AF1699" s="246">
        <f>IFERROR(VLOOKUP(D1699,PROGRAMAS[],3,FALSE),0)</f>
        <v>841888629.31080008</v>
      </c>
      <c r="AG1699" s="246">
        <f>IFERROR(VLOOKUP(E1699,PROGRAMAS[],3,FALSE),0)</f>
        <v>3848980803.1642323</v>
      </c>
      <c r="AH1699" s="246">
        <f>IFERROR(VLOOKUP(F1699,PROGRAMAS[],3,FALSE),0)</f>
        <v>3394901471.387517</v>
      </c>
      <c r="AI1699" s="246">
        <f>IFERROR(VLOOKUP(G1699,PROGRAMAS[],3,FALSE),0)</f>
        <v>1233505101.0616004</v>
      </c>
      <c r="AJ1699" s="246">
        <f>IFERROR(VLOOKUP(H1699,PROGRAMAS[],3,FALSE),0)</f>
        <v>6129902208.7912121</v>
      </c>
      <c r="AK1699" s="246">
        <f>IFERROR(VLOOKUP(I1699,PROGRAMAS[],3,FALSE),0)</f>
        <v>7011279577.519702</v>
      </c>
      <c r="AL1699" s="246">
        <f>IFERROR(VLOOKUP(J1699,PROGRAMAS[],3,FALSE),0)</f>
        <v>4099471734.9978786</v>
      </c>
      <c r="AM1699" s="246">
        <f>IFERROR(VLOOKUP(K1699,PROGRAMAS[],3,FALSE),0)</f>
        <v>675517840.109828</v>
      </c>
      <c r="AN1699" s="246">
        <f>IFERROR(VLOOKUP(L1699,PROGRAMAS[],3,FALSE),0)</f>
        <v>2392571243.5584412</v>
      </c>
      <c r="AO1699" s="246">
        <f>IFERROR(VLOOKUP(M1699,PROGRAMAS[],3,FALSE),0)</f>
        <v>2406564599.0319901</v>
      </c>
      <c r="AP1699" s="246">
        <f>IFERROR(VLOOKUP(N1699,PROGRAMAS[],3,FALSE),0)</f>
        <v>0</v>
      </c>
      <c r="AQ1699" s="246">
        <f>IFERROR(VLOOKUP(O1699,PROGRAMAS[],3,FALSE),0)</f>
        <v>0</v>
      </c>
      <c r="AR1699" s="246">
        <f>IFERROR(VLOOKUP(P1699,PROGRAMAS[],3,FALSE),0)</f>
        <v>0</v>
      </c>
      <c r="AS1699" s="246">
        <f>IFERROR(VLOOKUP(Q1699,PROGRAMAS[],3,FALSE),0)</f>
        <v>0</v>
      </c>
      <c r="AT1699" s="246">
        <f>IFERROR(VLOOKUP(D1699,VOL_REC[],2,FALSE),0)</f>
        <v>0</v>
      </c>
      <c r="AU1699" s="246">
        <f>IFERROR(VLOOKUP(E1699,VOL_REC[],2,FALSE),0)</f>
        <v>0</v>
      </c>
      <c r="AV1699" s="246">
        <f>IFERROR(VLOOKUP(F1699,VOL_REC[],2,FALSE),0)</f>
        <v>11089674.200000001</v>
      </c>
      <c r="AW1699" s="246">
        <f>IFERROR(VLOOKUP(G1699,VOL_REC[],2,FALSE),0)</f>
        <v>4325103.1812214684</v>
      </c>
      <c r="AX1699" s="246">
        <f>IFERROR(VLOOKUP(H1699,VOL_REC[],2,FALSE),0)</f>
        <v>15540036.397699751</v>
      </c>
      <c r="AY1699" s="246">
        <f>IFERROR(VLOOKUP(I1699,VOL_REC[],2,FALSE),0)</f>
        <v>3761786</v>
      </c>
      <c r="AZ1699" s="246">
        <f>IFERROR(VLOOKUP(J1699,VOL_REC[],2,FALSE),0)</f>
        <v>1812240</v>
      </c>
      <c r="BA1699" s="246">
        <f>IFERROR(VLOOKUP(K1699,VOL_REC[],2,FALSE),0)</f>
        <v>240696.79238099116</v>
      </c>
      <c r="BB1699" s="246">
        <f>IFERROR(VLOOKUP(L1699,VOL_REC[],2,FALSE),0)</f>
        <v>663244.80000000016</v>
      </c>
      <c r="BC1699" s="246">
        <f>IFERROR(VLOOKUP(M1699,VOL_REC[],2,FALSE),0)</f>
        <v>1072354.9981737854</v>
      </c>
      <c r="BD1699" s="246">
        <f>IFERROR(VLOOKUP(N1699,VOL_REC[],2,FALSE),0)</f>
        <v>0</v>
      </c>
      <c r="BE1699" s="246">
        <f>IFERROR(VLOOKUP(O1699,VOL_REC[],2,FALSE),0)</f>
        <v>0</v>
      </c>
      <c r="BF1699" s="246">
        <f>IFERROR(VLOOKUP(P1699,VOL_REC[],2,FALSE),0)</f>
        <v>0</v>
      </c>
      <c r="BG1699" s="246">
        <f>IFERROR(VLOOKUP(Q1699,VOL_REC[],2,FALSE),0)</f>
        <v>0</v>
      </c>
      <c r="BH1699" s="1710">
        <f t="shared" si="104"/>
        <v>34522184759.951752</v>
      </c>
      <c r="BI1699" s="1710">
        <f t="shared" si="105"/>
        <v>32034583208.933205</v>
      </c>
      <c r="BJ1699" s="1711">
        <f t="shared" si="106"/>
        <v>38505136.369475991</v>
      </c>
      <c r="BK1699" s="1711">
        <f t="shared" si="107"/>
        <v>1.0776536262324417</v>
      </c>
      <c r="BL1699">
        <f>BJ1699</f>
        <v>38505136.369475991</v>
      </c>
      <c r="BO1699">
        <f>BL1699</f>
        <v>38505136.369475991</v>
      </c>
    </row>
    <row r="1700" spans="3:67" x14ac:dyDescent="0.25">
      <c r="C1700" s="246" t="s">
        <v>3050</v>
      </c>
      <c r="D1700" s="246">
        <v>1</v>
      </c>
      <c r="E1700" s="246">
        <v>2</v>
      </c>
      <c r="F1700" s="246">
        <v>3</v>
      </c>
      <c r="G1700" s="246">
        <v>5</v>
      </c>
      <c r="H1700" s="246">
        <v>6</v>
      </c>
      <c r="I1700" s="246">
        <v>9</v>
      </c>
      <c r="J1700" s="246">
        <v>10</v>
      </c>
      <c r="K1700" s="246">
        <v>12</v>
      </c>
      <c r="L1700" s="246">
        <v>13</v>
      </c>
      <c r="M1700" s="246">
        <v>17</v>
      </c>
      <c r="N1700" s="246"/>
      <c r="O1700" s="246"/>
      <c r="P1700" s="246"/>
      <c r="Q1700" s="246"/>
      <c r="R1700" s="246">
        <f>IFERROR(VLOOKUP(D1700,PROGRAMAS[],2,FALSE),0)</f>
        <v>97037803.679377079</v>
      </c>
      <c r="S1700" s="246">
        <f>IFERROR(VLOOKUP(E1700,PROGRAMAS[],2,FALSE),0)</f>
        <v>640501509.6821388</v>
      </c>
      <c r="T1700" s="246">
        <f>IFERROR(VLOOKUP(F1700,PROGRAMAS[],2,FALSE),0)</f>
        <v>3062327798.1525245</v>
      </c>
      <c r="U1700" s="246">
        <f>IFERROR(VLOOKUP(G1700,PROGRAMAS[],2,FALSE),0)</f>
        <v>1440941976.2528784</v>
      </c>
      <c r="V1700" s="246">
        <f>IFERROR(VLOOKUP(H1700,PROGRAMAS[],2,FALSE),0)</f>
        <v>6907648435.8447599</v>
      </c>
      <c r="W1700" s="246">
        <f>IFERROR(VLOOKUP(I1700,PROGRAMAS[],2,FALSE),0)</f>
        <v>6128579952.1618185</v>
      </c>
      <c r="X1700" s="246">
        <f>IFERROR(VLOOKUP(J1700,PROGRAMAS[],2,FALSE),0)</f>
        <v>4635315027.8751087</v>
      </c>
      <c r="Y1700" s="246">
        <f>IFERROR(VLOOKUP(K1700,PROGRAMAS[],2,FALSE),0)</f>
        <v>764796700.79905891</v>
      </c>
      <c r="Z1700" s="246">
        <f>IFERROR(VLOOKUP(L1700,PROGRAMAS[],2,FALSE),0)</f>
        <v>3776538594.4604583</v>
      </c>
      <c r="AA1700" s="246">
        <f>IFERROR(VLOOKUP(M1700,PROGRAMAS[],2,FALSE),0)</f>
        <v>1892779498.5211046</v>
      </c>
      <c r="AB1700" s="246">
        <f>IFERROR(VLOOKUP(N1700,PROGRAMAS[],2,FALSE),0)</f>
        <v>0</v>
      </c>
      <c r="AC1700" s="246">
        <f>IFERROR(VLOOKUP(O1700,PROGRAMAS[],2,FALSE),0)</f>
        <v>0</v>
      </c>
      <c r="AD1700" s="246">
        <f>IFERROR(VLOOKUP(P1700,PROGRAMAS[],2,FALSE),0)</f>
        <v>0</v>
      </c>
      <c r="AE1700" s="246">
        <f>IFERROR(VLOOKUP(Q1700,PROGRAMAS[],2,FALSE),0)</f>
        <v>0</v>
      </c>
      <c r="AF1700" s="246">
        <f>IFERROR(VLOOKUP(D1700,PROGRAMAS[],3,FALSE),0)</f>
        <v>841888629.31080008</v>
      </c>
      <c r="AG1700" s="246">
        <f>IFERROR(VLOOKUP(E1700,PROGRAMAS[],3,FALSE),0)</f>
        <v>3848980803.1642323</v>
      </c>
      <c r="AH1700" s="246">
        <f>IFERROR(VLOOKUP(F1700,PROGRAMAS[],3,FALSE),0)</f>
        <v>3394901471.387517</v>
      </c>
      <c r="AI1700" s="246">
        <f>IFERROR(VLOOKUP(G1700,PROGRAMAS[],3,FALSE),0)</f>
        <v>1233505101.0616004</v>
      </c>
      <c r="AJ1700" s="246">
        <f>IFERROR(VLOOKUP(H1700,PROGRAMAS[],3,FALSE),0)</f>
        <v>6129902208.7912121</v>
      </c>
      <c r="AK1700" s="246">
        <f>IFERROR(VLOOKUP(I1700,PROGRAMAS[],3,FALSE),0)</f>
        <v>7011279577.519702</v>
      </c>
      <c r="AL1700" s="246">
        <f>IFERROR(VLOOKUP(J1700,PROGRAMAS[],3,FALSE),0)</f>
        <v>4099471734.9978786</v>
      </c>
      <c r="AM1700" s="246">
        <f>IFERROR(VLOOKUP(K1700,PROGRAMAS[],3,FALSE),0)</f>
        <v>675517840.109828</v>
      </c>
      <c r="AN1700" s="246">
        <f>IFERROR(VLOOKUP(L1700,PROGRAMAS[],3,FALSE),0)</f>
        <v>2392571243.5584412</v>
      </c>
      <c r="AO1700" s="246">
        <f>IFERROR(VLOOKUP(M1700,PROGRAMAS[],3,FALSE),0)</f>
        <v>948595847.09039903</v>
      </c>
      <c r="AP1700" s="246">
        <f>IFERROR(VLOOKUP(N1700,PROGRAMAS[],3,FALSE),0)</f>
        <v>0</v>
      </c>
      <c r="AQ1700" s="246">
        <f>IFERROR(VLOOKUP(O1700,PROGRAMAS[],3,FALSE),0)</f>
        <v>0</v>
      </c>
      <c r="AR1700" s="246">
        <f>IFERROR(VLOOKUP(P1700,PROGRAMAS[],3,FALSE),0)</f>
        <v>0</v>
      </c>
      <c r="AS1700" s="246">
        <f>IFERROR(VLOOKUP(Q1700,PROGRAMAS[],3,FALSE),0)</f>
        <v>0</v>
      </c>
      <c r="AT1700" s="246">
        <f>IFERROR(VLOOKUP(D1700,VOL_REC[],2,FALSE),0)</f>
        <v>0</v>
      </c>
      <c r="AU1700" s="246">
        <f>IFERROR(VLOOKUP(E1700,VOL_REC[],2,FALSE),0)</f>
        <v>0</v>
      </c>
      <c r="AV1700" s="246">
        <f>IFERROR(VLOOKUP(F1700,VOL_REC[],2,FALSE),0)</f>
        <v>11089674.200000001</v>
      </c>
      <c r="AW1700" s="246">
        <f>IFERROR(VLOOKUP(G1700,VOL_REC[],2,FALSE),0)</f>
        <v>4325103.1812214684</v>
      </c>
      <c r="AX1700" s="246">
        <f>IFERROR(VLOOKUP(H1700,VOL_REC[],2,FALSE),0)</f>
        <v>15540036.397699751</v>
      </c>
      <c r="AY1700" s="246">
        <f>IFERROR(VLOOKUP(I1700,VOL_REC[],2,FALSE),0)</f>
        <v>3761786</v>
      </c>
      <c r="AZ1700" s="246">
        <f>IFERROR(VLOOKUP(J1700,VOL_REC[],2,FALSE),0)</f>
        <v>1812240</v>
      </c>
      <c r="BA1700" s="246">
        <f>IFERROR(VLOOKUP(K1700,VOL_REC[],2,FALSE),0)</f>
        <v>240696.79238099116</v>
      </c>
      <c r="BB1700" s="246">
        <f>IFERROR(VLOOKUP(L1700,VOL_REC[],2,FALSE),0)</f>
        <v>663244.80000000016</v>
      </c>
      <c r="BC1700" s="246">
        <f>IFERROR(VLOOKUP(M1700,VOL_REC[],2,FALSE),0)</f>
        <v>740113.98115702497</v>
      </c>
      <c r="BD1700" s="246">
        <f>IFERROR(VLOOKUP(N1700,VOL_REC[],2,FALSE),0)</f>
        <v>0</v>
      </c>
      <c r="BE1700" s="246">
        <f>IFERROR(VLOOKUP(O1700,VOL_REC[],2,FALSE),0)</f>
        <v>0</v>
      </c>
      <c r="BF1700" s="246">
        <f>IFERROR(VLOOKUP(P1700,VOL_REC[],2,FALSE),0)</f>
        <v>0</v>
      </c>
      <c r="BG1700" s="246">
        <f>IFERROR(VLOOKUP(Q1700,VOL_REC[],2,FALSE),0)</f>
        <v>0</v>
      </c>
      <c r="BH1700" s="1710">
        <f t="shared" si="104"/>
        <v>29346467297.429222</v>
      </c>
      <c r="BI1700" s="1710">
        <f t="shared" si="105"/>
        <v>30576614456.991615</v>
      </c>
      <c r="BJ1700" s="1711">
        <f t="shared" si="106"/>
        <v>38172895.35245923</v>
      </c>
      <c r="BK1700" s="1711">
        <f t="shared" si="107"/>
        <v>0.95976836607294469</v>
      </c>
    </row>
    <row r="1701" spans="3:67" x14ac:dyDescent="0.25">
      <c r="C1701" s="246" t="s">
        <v>3051</v>
      </c>
      <c r="D1701" s="246">
        <v>1</v>
      </c>
      <c r="E1701" s="246">
        <v>2</v>
      </c>
      <c r="F1701" s="246">
        <v>3</v>
      </c>
      <c r="G1701" s="246">
        <v>5</v>
      </c>
      <c r="H1701" s="246">
        <v>6</v>
      </c>
      <c r="I1701" s="246">
        <v>9</v>
      </c>
      <c r="J1701" s="246">
        <v>10</v>
      </c>
      <c r="K1701" s="246">
        <v>12</v>
      </c>
      <c r="L1701" s="246">
        <v>14</v>
      </c>
      <c r="M1701" s="246">
        <v>15</v>
      </c>
      <c r="N1701" s="246"/>
      <c r="O1701" s="246"/>
      <c r="P1701" s="246"/>
      <c r="Q1701" s="246"/>
      <c r="R1701" s="246">
        <f>IFERROR(VLOOKUP(D1701,PROGRAMAS[],2,FALSE),0)</f>
        <v>97037803.679377079</v>
      </c>
      <c r="S1701" s="246">
        <f>IFERROR(VLOOKUP(E1701,PROGRAMAS[],2,FALSE),0)</f>
        <v>640501509.6821388</v>
      </c>
      <c r="T1701" s="246">
        <f>IFERROR(VLOOKUP(F1701,PROGRAMAS[],2,FALSE),0)</f>
        <v>3062327798.1525245</v>
      </c>
      <c r="U1701" s="246">
        <f>IFERROR(VLOOKUP(G1701,PROGRAMAS[],2,FALSE),0)</f>
        <v>1440941976.2528784</v>
      </c>
      <c r="V1701" s="246">
        <f>IFERROR(VLOOKUP(H1701,PROGRAMAS[],2,FALSE),0)</f>
        <v>6907648435.8447599</v>
      </c>
      <c r="W1701" s="246">
        <f>IFERROR(VLOOKUP(I1701,PROGRAMAS[],2,FALSE),0)</f>
        <v>6128579952.1618185</v>
      </c>
      <c r="X1701" s="246">
        <f>IFERROR(VLOOKUP(J1701,PROGRAMAS[],2,FALSE),0)</f>
        <v>4635315027.8751087</v>
      </c>
      <c r="Y1701" s="246">
        <f>IFERROR(VLOOKUP(K1701,PROGRAMAS[],2,FALSE),0)</f>
        <v>764796700.79905891</v>
      </c>
      <c r="Z1701" s="246">
        <f>IFERROR(VLOOKUP(L1701,PROGRAMAS[],2,FALSE),0)</f>
        <v>54223862.645839565</v>
      </c>
      <c r="AA1701" s="246">
        <f>IFERROR(VLOOKUP(M1701,PROGRAMAS[],2,FALSE),0)</f>
        <v>122159672.96346797</v>
      </c>
      <c r="AB1701" s="246">
        <f>IFERROR(VLOOKUP(N1701,PROGRAMAS[],2,FALSE),0)</f>
        <v>0</v>
      </c>
      <c r="AC1701" s="246">
        <f>IFERROR(VLOOKUP(O1701,PROGRAMAS[],2,FALSE),0)</f>
        <v>0</v>
      </c>
      <c r="AD1701" s="246">
        <f>IFERROR(VLOOKUP(P1701,PROGRAMAS[],2,FALSE),0)</f>
        <v>0</v>
      </c>
      <c r="AE1701" s="246">
        <f>IFERROR(VLOOKUP(Q1701,PROGRAMAS[],2,FALSE),0)</f>
        <v>0</v>
      </c>
      <c r="AF1701" s="246">
        <f>IFERROR(VLOOKUP(D1701,PROGRAMAS[],3,FALSE),0)</f>
        <v>841888629.31080008</v>
      </c>
      <c r="AG1701" s="246">
        <f>IFERROR(VLOOKUP(E1701,PROGRAMAS[],3,FALSE),0)</f>
        <v>3848980803.1642323</v>
      </c>
      <c r="AH1701" s="246">
        <f>IFERROR(VLOOKUP(F1701,PROGRAMAS[],3,FALSE),0)</f>
        <v>3394901471.387517</v>
      </c>
      <c r="AI1701" s="246">
        <f>IFERROR(VLOOKUP(G1701,PROGRAMAS[],3,FALSE),0)</f>
        <v>1233505101.0616004</v>
      </c>
      <c r="AJ1701" s="246">
        <f>IFERROR(VLOOKUP(H1701,PROGRAMAS[],3,FALSE),0)</f>
        <v>6129902208.7912121</v>
      </c>
      <c r="AK1701" s="246">
        <f>IFERROR(VLOOKUP(I1701,PROGRAMAS[],3,FALSE),0)</f>
        <v>7011279577.519702</v>
      </c>
      <c r="AL1701" s="246">
        <f>IFERROR(VLOOKUP(J1701,PROGRAMAS[],3,FALSE),0)</f>
        <v>4099471734.9978786</v>
      </c>
      <c r="AM1701" s="246">
        <f>IFERROR(VLOOKUP(K1701,PROGRAMAS[],3,FALSE),0)</f>
        <v>675517840.109828</v>
      </c>
      <c r="AN1701" s="246">
        <f>IFERROR(VLOOKUP(L1701,PROGRAMAS[],3,FALSE),0)</f>
        <v>31865326.38096505</v>
      </c>
      <c r="AO1701" s="246">
        <f>IFERROR(VLOOKUP(M1701,PROGRAMAS[],3,FALSE),0)</f>
        <v>118617452.52510804</v>
      </c>
      <c r="AP1701" s="246">
        <f>IFERROR(VLOOKUP(N1701,PROGRAMAS[],3,FALSE),0)</f>
        <v>0</v>
      </c>
      <c r="AQ1701" s="246">
        <f>IFERROR(VLOOKUP(O1701,PROGRAMAS[],3,FALSE),0)</f>
        <v>0</v>
      </c>
      <c r="AR1701" s="246">
        <f>IFERROR(VLOOKUP(P1701,PROGRAMAS[],3,FALSE),0)</f>
        <v>0</v>
      </c>
      <c r="AS1701" s="246">
        <f>IFERROR(VLOOKUP(Q1701,PROGRAMAS[],3,FALSE),0)</f>
        <v>0</v>
      </c>
      <c r="AT1701" s="246">
        <f>IFERROR(VLOOKUP(D1701,VOL_REC[],2,FALSE),0)</f>
        <v>0</v>
      </c>
      <c r="AU1701" s="246">
        <f>IFERROR(VLOOKUP(E1701,VOL_REC[],2,FALSE),0)</f>
        <v>0</v>
      </c>
      <c r="AV1701" s="246">
        <f>IFERROR(VLOOKUP(F1701,VOL_REC[],2,FALSE),0)</f>
        <v>11089674.200000001</v>
      </c>
      <c r="AW1701" s="246">
        <f>IFERROR(VLOOKUP(G1701,VOL_REC[],2,FALSE),0)</f>
        <v>4325103.1812214684</v>
      </c>
      <c r="AX1701" s="246">
        <f>IFERROR(VLOOKUP(H1701,VOL_REC[],2,FALSE),0)</f>
        <v>15540036.397699751</v>
      </c>
      <c r="AY1701" s="246">
        <f>IFERROR(VLOOKUP(I1701,VOL_REC[],2,FALSE),0)</f>
        <v>3761786</v>
      </c>
      <c r="AZ1701" s="246">
        <f>IFERROR(VLOOKUP(J1701,VOL_REC[],2,FALSE),0)</f>
        <v>1812240</v>
      </c>
      <c r="BA1701" s="246">
        <f>IFERROR(VLOOKUP(K1701,VOL_REC[],2,FALSE),0)</f>
        <v>240696.79238099116</v>
      </c>
      <c r="BB1701" s="246">
        <f>IFERROR(VLOOKUP(L1701,VOL_REC[],2,FALSE),0)</f>
        <v>17074.045034105649</v>
      </c>
      <c r="BC1701" s="246">
        <f>IFERROR(VLOOKUP(M1701,VOL_REC[],2,FALSE),0)</f>
        <v>105072</v>
      </c>
      <c r="BD1701" s="246">
        <f>IFERROR(VLOOKUP(N1701,VOL_REC[],2,FALSE),0)</f>
        <v>0</v>
      </c>
      <c r="BE1701" s="246">
        <f>IFERROR(VLOOKUP(O1701,VOL_REC[],2,FALSE),0)</f>
        <v>0</v>
      </c>
      <c r="BF1701" s="246">
        <f>IFERROR(VLOOKUP(P1701,VOL_REC[],2,FALSE),0)</f>
        <v>0</v>
      </c>
      <c r="BG1701" s="246">
        <f>IFERROR(VLOOKUP(Q1701,VOL_REC[],2,FALSE),0)</f>
        <v>0</v>
      </c>
      <c r="BH1701" s="1710">
        <f t="shared" si="104"/>
        <v>23853532740.056969</v>
      </c>
      <c r="BI1701" s="1710">
        <f t="shared" si="105"/>
        <v>27385930145.248848</v>
      </c>
      <c r="BJ1701" s="1711">
        <f t="shared" si="106"/>
        <v>36891682.616336308</v>
      </c>
      <c r="BK1701" s="1711">
        <f t="shared" si="107"/>
        <v>0.8710141526522257</v>
      </c>
    </row>
    <row r="1702" spans="3:67" x14ac:dyDescent="0.25">
      <c r="C1702" s="246" t="s">
        <v>3052</v>
      </c>
      <c r="D1702" s="246">
        <v>1</v>
      </c>
      <c r="E1702" s="246">
        <v>2</v>
      </c>
      <c r="F1702" s="246">
        <v>3</v>
      </c>
      <c r="G1702" s="246">
        <v>5</v>
      </c>
      <c r="H1702" s="246">
        <v>6</v>
      </c>
      <c r="I1702" s="246">
        <v>9</v>
      </c>
      <c r="J1702" s="246">
        <v>10</v>
      </c>
      <c r="K1702" s="246">
        <v>12</v>
      </c>
      <c r="L1702" s="246">
        <v>14</v>
      </c>
      <c r="M1702" s="246">
        <v>16</v>
      </c>
      <c r="N1702" s="246"/>
      <c r="O1702" s="246"/>
      <c r="P1702" s="246"/>
      <c r="Q1702" s="246"/>
      <c r="R1702" s="246">
        <f>IFERROR(VLOOKUP(D1702,PROGRAMAS[],2,FALSE),0)</f>
        <v>97037803.679377079</v>
      </c>
      <c r="S1702" s="246">
        <f>IFERROR(VLOOKUP(E1702,PROGRAMAS[],2,FALSE),0)</f>
        <v>640501509.6821388</v>
      </c>
      <c r="T1702" s="246">
        <f>IFERROR(VLOOKUP(F1702,PROGRAMAS[],2,FALSE),0)</f>
        <v>3062327798.1525245</v>
      </c>
      <c r="U1702" s="246">
        <f>IFERROR(VLOOKUP(G1702,PROGRAMAS[],2,FALSE),0)</f>
        <v>1440941976.2528784</v>
      </c>
      <c r="V1702" s="246">
        <f>IFERROR(VLOOKUP(H1702,PROGRAMAS[],2,FALSE),0)</f>
        <v>6907648435.8447599</v>
      </c>
      <c r="W1702" s="246">
        <f>IFERROR(VLOOKUP(I1702,PROGRAMAS[],2,FALSE),0)</f>
        <v>6128579952.1618185</v>
      </c>
      <c r="X1702" s="246">
        <f>IFERROR(VLOOKUP(J1702,PROGRAMAS[],2,FALSE),0)</f>
        <v>4635315027.8751087</v>
      </c>
      <c r="Y1702" s="246">
        <f>IFERROR(VLOOKUP(K1702,PROGRAMAS[],2,FALSE),0)</f>
        <v>764796700.79905891</v>
      </c>
      <c r="Z1702" s="246">
        <f>IFERROR(VLOOKUP(L1702,PROGRAMAS[],2,FALSE),0)</f>
        <v>54223862.645839565</v>
      </c>
      <c r="AA1702" s="246">
        <f>IFERROR(VLOOKUP(M1702,PROGRAMAS[],2,FALSE),0)</f>
        <v>7068496961.0436354</v>
      </c>
      <c r="AB1702" s="246">
        <f>IFERROR(VLOOKUP(N1702,PROGRAMAS[],2,FALSE),0)</f>
        <v>0</v>
      </c>
      <c r="AC1702" s="246">
        <f>IFERROR(VLOOKUP(O1702,PROGRAMAS[],2,FALSE),0)</f>
        <v>0</v>
      </c>
      <c r="AD1702" s="246">
        <f>IFERROR(VLOOKUP(P1702,PROGRAMAS[],2,FALSE),0)</f>
        <v>0</v>
      </c>
      <c r="AE1702" s="246">
        <f>IFERROR(VLOOKUP(Q1702,PROGRAMAS[],2,FALSE),0)</f>
        <v>0</v>
      </c>
      <c r="AF1702" s="246">
        <f>IFERROR(VLOOKUP(D1702,PROGRAMAS[],3,FALSE),0)</f>
        <v>841888629.31080008</v>
      </c>
      <c r="AG1702" s="246">
        <f>IFERROR(VLOOKUP(E1702,PROGRAMAS[],3,FALSE),0)</f>
        <v>3848980803.1642323</v>
      </c>
      <c r="AH1702" s="246">
        <f>IFERROR(VLOOKUP(F1702,PROGRAMAS[],3,FALSE),0)</f>
        <v>3394901471.387517</v>
      </c>
      <c r="AI1702" s="246">
        <f>IFERROR(VLOOKUP(G1702,PROGRAMAS[],3,FALSE),0)</f>
        <v>1233505101.0616004</v>
      </c>
      <c r="AJ1702" s="246">
        <f>IFERROR(VLOOKUP(H1702,PROGRAMAS[],3,FALSE),0)</f>
        <v>6129902208.7912121</v>
      </c>
      <c r="AK1702" s="246">
        <f>IFERROR(VLOOKUP(I1702,PROGRAMAS[],3,FALSE),0)</f>
        <v>7011279577.519702</v>
      </c>
      <c r="AL1702" s="246">
        <f>IFERROR(VLOOKUP(J1702,PROGRAMAS[],3,FALSE),0)</f>
        <v>4099471734.9978786</v>
      </c>
      <c r="AM1702" s="246">
        <f>IFERROR(VLOOKUP(K1702,PROGRAMAS[],3,FALSE),0)</f>
        <v>675517840.109828</v>
      </c>
      <c r="AN1702" s="246">
        <f>IFERROR(VLOOKUP(L1702,PROGRAMAS[],3,FALSE),0)</f>
        <v>31865326.38096505</v>
      </c>
      <c r="AO1702" s="246">
        <f>IFERROR(VLOOKUP(M1702,PROGRAMAS[],3,FALSE),0)</f>
        <v>2406564599.0319901</v>
      </c>
      <c r="AP1702" s="246">
        <f>IFERROR(VLOOKUP(N1702,PROGRAMAS[],3,FALSE),0)</f>
        <v>0</v>
      </c>
      <c r="AQ1702" s="246">
        <f>IFERROR(VLOOKUP(O1702,PROGRAMAS[],3,FALSE),0)</f>
        <v>0</v>
      </c>
      <c r="AR1702" s="246">
        <f>IFERROR(VLOOKUP(P1702,PROGRAMAS[],3,FALSE),0)</f>
        <v>0</v>
      </c>
      <c r="AS1702" s="246">
        <f>IFERROR(VLOOKUP(Q1702,PROGRAMAS[],3,FALSE),0)</f>
        <v>0</v>
      </c>
      <c r="AT1702" s="246">
        <f>IFERROR(VLOOKUP(D1702,VOL_REC[],2,FALSE),0)</f>
        <v>0</v>
      </c>
      <c r="AU1702" s="246">
        <f>IFERROR(VLOOKUP(E1702,VOL_REC[],2,FALSE),0)</f>
        <v>0</v>
      </c>
      <c r="AV1702" s="246">
        <f>IFERROR(VLOOKUP(F1702,VOL_REC[],2,FALSE),0)</f>
        <v>11089674.200000001</v>
      </c>
      <c r="AW1702" s="246">
        <f>IFERROR(VLOOKUP(G1702,VOL_REC[],2,FALSE),0)</f>
        <v>4325103.1812214684</v>
      </c>
      <c r="AX1702" s="246">
        <f>IFERROR(VLOOKUP(H1702,VOL_REC[],2,FALSE),0)</f>
        <v>15540036.397699751</v>
      </c>
      <c r="AY1702" s="246">
        <f>IFERROR(VLOOKUP(I1702,VOL_REC[],2,FALSE),0)</f>
        <v>3761786</v>
      </c>
      <c r="AZ1702" s="246">
        <f>IFERROR(VLOOKUP(J1702,VOL_REC[],2,FALSE),0)</f>
        <v>1812240</v>
      </c>
      <c r="BA1702" s="246">
        <f>IFERROR(VLOOKUP(K1702,VOL_REC[],2,FALSE),0)</f>
        <v>240696.79238099116</v>
      </c>
      <c r="BB1702" s="246">
        <f>IFERROR(VLOOKUP(L1702,VOL_REC[],2,FALSE),0)</f>
        <v>17074.045034105649</v>
      </c>
      <c r="BC1702" s="246">
        <f>IFERROR(VLOOKUP(M1702,VOL_REC[],2,FALSE),0)</f>
        <v>1072354.9981737854</v>
      </c>
      <c r="BD1702" s="246">
        <f>IFERROR(VLOOKUP(N1702,VOL_REC[],2,FALSE),0)</f>
        <v>0</v>
      </c>
      <c r="BE1702" s="246">
        <f>IFERROR(VLOOKUP(O1702,VOL_REC[],2,FALSE),0)</f>
        <v>0</v>
      </c>
      <c r="BF1702" s="246">
        <f>IFERROR(VLOOKUP(P1702,VOL_REC[],2,FALSE),0)</f>
        <v>0</v>
      </c>
      <c r="BG1702" s="246">
        <f>IFERROR(VLOOKUP(Q1702,VOL_REC[],2,FALSE),0)</f>
        <v>0</v>
      </c>
      <c r="BH1702" s="1710">
        <f t="shared" si="104"/>
        <v>30799870028.137138</v>
      </c>
      <c r="BI1702" s="1710">
        <f t="shared" si="105"/>
        <v>29673877291.75573</v>
      </c>
      <c r="BJ1702" s="1711">
        <f t="shared" si="106"/>
        <v>37858965.614510097</v>
      </c>
      <c r="BK1702" s="1711">
        <f t="shared" si="107"/>
        <v>1.0379455884821038</v>
      </c>
      <c r="BL1702">
        <f>BJ1702</f>
        <v>37858965.614510097</v>
      </c>
      <c r="BO1702">
        <f>BL1702</f>
        <v>37858965.614510097</v>
      </c>
    </row>
    <row r="1703" spans="3:67" x14ac:dyDescent="0.25">
      <c r="C1703" s="246" t="s">
        <v>3053</v>
      </c>
      <c r="D1703" s="246">
        <v>1</v>
      </c>
      <c r="E1703" s="246">
        <v>2</v>
      </c>
      <c r="F1703" s="246">
        <v>3</v>
      </c>
      <c r="G1703" s="246">
        <v>5</v>
      </c>
      <c r="H1703" s="246">
        <v>6</v>
      </c>
      <c r="I1703" s="246">
        <v>9</v>
      </c>
      <c r="J1703" s="246">
        <v>10</v>
      </c>
      <c r="K1703" s="246">
        <v>12</v>
      </c>
      <c r="L1703" s="246">
        <v>14</v>
      </c>
      <c r="M1703" s="246">
        <v>17</v>
      </c>
      <c r="N1703" s="246"/>
      <c r="O1703" s="246"/>
      <c r="P1703" s="246"/>
      <c r="Q1703" s="246"/>
      <c r="R1703" s="246">
        <f>IFERROR(VLOOKUP(D1703,PROGRAMAS[],2,FALSE),0)</f>
        <v>97037803.679377079</v>
      </c>
      <c r="S1703" s="246">
        <f>IFERROR(VLOOKUP(E1703,PROGRAMAS[],2,FALSE),0)</f>
        <v>640501509.6821388</v>
      </c>
      <c r="T1703" s="246">
        <f>IFERROR(VLOOKUP(F1703,PROGRAMAS[],2,FALSE),0)</f>
        <v>3062327798.1525245</v>
      </c>
      <c r="U1703" s="246">
        <f>IFERROR(VLOOKUP(G1703,PROGRAMAS[],2,FALSE),0)</f>
        <v>1440941976.2528784</v>
      </c>
      <c r="V1703" s="246">
        <f>IFERROR(VLOOKUP(H1703,PROGRAMAS[],2,FALSE),0)</f>
        <v>6907648435.8447599</v>
      </c>
      <c r="W1703" s="246">
        <f>IFERROR(VLOOKUP(I1703,PROGRAMAS[],2,FALSE),0)</f>
        <v>6128579952.1618185</v>
      </c>
      <c r="X1703" s="246">
        <f>IFERROR(VLOOKUP(J1703,PROGRAMAS[],2,FALSE),0)</f>
        <v>4635315027.8751087</v>
      </c>
      <c r="Y1703" s="246">
        <f>IFERROR(VLOOKUP(K1703,PROGRAMAS[],2,FALSE),0)</f>
        <v>764796700.79905891</v>
      </c>
      <c r="Z1703" s="246">
        <f>IFERROR(VLOOKUP(L1703,PROGRAMAS[],2,FALSE),0)</f>
        <v>54223862.645839565</v>
      </c>
      <c r="AA1703" s="246">
        <f>IFERROR(VLOOKUP(M1703,PROGRAMAS[],2,FALSE),0)</f>
        <v>1892779498.5211046</v>
      </c>
      <c r="AB1703" s="246">
        <f>IFERROR(VLOOKUP(N1703,PROGRAMAS[],2,FALSE),0)</f>
        <v>0</v>
      </c>
      <c r="AC1703" s="246">
        <f>IFERROR(VLOOKUP(O1703,PROGRAMAS[],2,FALSE),0)</f>
        <v>0</v>
      </c>
      <c r="AD1703" s="246">
        <f>IFERROR(VLOOKUP(P1703,PROGRAMAS[],2,FALSE),0)</f>
        <v>0</v>
      </c>
      <c r="AE1703" s="246">
        <f>IFERROR(VLOOKUP(Q1703,PROGRAMAS[],2,FALSE),0)</f>
        <v>0</v>
      </c>
      <c r="AF1703" s="246">
        <f>IFERROR(VLOOKUP(D1703,PROGRAMAS[],3,FALSE),0)</f>
        <v>841888629.31080008</v>
      </c>
      <c r="AG1703" s="246">
        <f>IFERROR(VLOOKUP(E1703,PROGRAMAS[],3,FALSE),0)</f>
        <v>3848980803.1642323</v>
      </c>
      <c r="AH1703" s="246">
        <f>IFERROR(VLOOKUP(F1703,PROGRAMAS[],3,FALSE),0)</f>
        <v>3394901471.387517</v>
      </c>
      <c r="AI1703" s="246">
        <f>IFERROR(VLOOKUP(G1703,PROGRAMAS[],3,FALSE),0)</f>
        <v>1233505101.0616004</v>
      </c>
      <c r="AJ1703" s="246">
        <f>IFERROR(VLOOKUP(H1703,PROGRAMAS[],3,FALSE),0)</f>
        <v>6129902208.7912121</v>
      </c>
      <c r="AK1703" s="246">
        <f>IFERROR(VLOOKUP(I1703,PROGRAMAS[],3,FALSE),0)</f>
        <v>7011279577.519702</v>
      </c>
      <c r="AL1703" s="246">
        <f>IFERROR(VLOOKUP(J1703,PROGRAMAS[],3,FALSE),0)</f>
        <v>4099471734.9978786</v>
      </c>
      <c r="AM1703" s="246">
        <f>IFERROR(VLOOKUP(K1703,PROGRAMAS[],3,FALSE),0)</f>
        <v>675517840.109828</v>
      </c>
      <c r="AN1703" s="246">
        <f>IFERROR(VLOOKUP(L1703,PROGRAMAS[],3,FALSE),0)</f>
        <v>31865326.38096505</v>
      </c>
      <c r="AO1703" s="246">
        <f>IFERROR(VLOOKUP(M1703,PROGRAMAS[],3,FALSE),0)</f>
        <v>948595847.09039903</v>
      </c>
      <c r="AP1703" s="246">
        <f>IFERROR(VLOOKUP(N1703,PROGRAMAS[],3,FALSE),0)</f>
        <v>0</v>
      </c>
      <c r="AQ1703" s="246">
        <f>IFERROR(VLOOKUP(O1703,PROGRAMAS[],3,FALSE),0)</f>
        <v>0</v>
      </c>
      <c r="AR1703" s="246">
        <f>IFERROR(VLOOKUP(P1703,PROGRAMAS[],3,FALSE),0)</f>
        <v>0</v>
      </c>
      <c r="AS1703" s="246">
        <f>IFERROR(VLOOKUP(Q1703,PROGRAMAS[],3,FALSE),0)</f>
        <v>0</v>
      </c>
      <c r="AT1703" s="246">
        <f>IFERROR(VLOOKUP(D1703,VOL_REC[],2,FALSE),0)</f>
        <v>0</v>
      </c>
      <c r="AU1703" s="246">
        <f>IFERROR(VLOOKUP(E1703,VOL_REC[],2,FALSE),0)</f>
        <v>0</v>
      </c>
      <c r="AV1703" s="246">
        <f>IFERROR(VLOOKUP(F1703,VOL_REC[],2,FALSE),0)</f>
        <v>11089674.200000001</v>
      </c>
      <c r="AW1703" s="246">
        <f>IFERROR(VLOOKUP(G1703,VOL_REC[],2,FALSE),0)</f>
        <v>4325103.1812214684</v>
      </c>
      <c r="AX1703" s="246">
        <f>IFERROR(VLOOKUP(H1703,VOL_REC[],2,FALSE),0)</f>
        <v>15540036.397699751</v>
      </c>
      <c r="AY1703" s="246">
        <f>IFERROR(VLOOKUP(I1703,VOL_REC[],2,FALSE),0)</f>
        <v>3761786</v>
      </c>
      <c r="AZ1703" s="246">
        <f>IFERROR(VLOOKUP(J1703,VOL_REC[],2,FALSE),0)</f>
        <v>1812240</v>
      </c>
      <c r="BA1703" s="246">
        <f>IFERROR(VLOOKUP(K1703,VOL_REC[],2,FALSE),0)</f>
        <v>240696.79238099116</v>
      </c>
      <c r="BB1703" s="246">
        <f>IFERROR(VLOOKUP(L1703,VOL_REC[],2,FALSE),0)</f>
        <v>17074.045034105649</v>
      </c>
      <c r="BC1703" s="246">
        <f>IFERROR(VLOOKUP(M1703,VOL_REC[],2,FALSE),0)</f>
        <v>740113.98115702497</v>
      </c>
      <c r="BD1703" s="246">
        <f>IFERROR(VLOOKUP(N1703,VOL_REC[],2,FALSE),0)</f>
        <v>0</v>
      </c>
      <c r="BE1703" s="246">
        <f>IFERROR(VLOOKUP(O1703,VOL_REC[],2,FALSE),0)</f>
        <v>0</v>
      </c>
      <c r="BF1703" s="246">
        <f>IFERROR(VLOOKUP(P1703,VOL_REC[],2,FALSE),0)</f>
        <v>0</v>
      </c>
      <c r="BG1703" s="246">
        <f>IFERROR(VLOOKUP(Q1703,VOL_REC[],2,FALSE),0)</f>
        <v>0</v>
      </c>
      <c r="BH1703" s="1710">
        <f t="shared" si="104"/>
        <v>25624152565.614605</v>
      </c>
      <c r="BI1703" s="1710">
        <f t="shared" si="105"/>
        <v>28215908539.81414</v>
      </c>
      <c r="BJ1703" s="1711">
        <f t="shared" si="106"/>
        <v>37526724.597493336</v>
      </c>
      <c r="BK1703" s="1711">
        <f t="shared" si="107"/>
        <v>0.90814557785575356</v>
      </c>
    </row>
    <row r="1704" spans="3:67" x14ac:dyDescent="0.25">
      <c r="C1704" s="246" t="s">
        <v>3054</v>
      </c>
      <c r="D1704" s="246">
        <v>1</v>
      </c>
      <c r="E1704" s="246">
        <v>2</v>
      </c>
      <c r="F1704" s="246">
        <v>3</v>
      </c>
      <c r="G1704" s="246">
        <v>5</v>
      </c>
      <c r="H1704" s="246">
        <v>6</v>
      </c>
      <c r="I1704" s="246">
        <v>9</v>
      </c>
      <c r="J1704" s="246">
        <v>10</v>
      </c>
      <c r="K1704" s="246">
        <v>12</v>
      </c>
      <c r="L1704" s="246">
        <v>15</v>
      </c>
      <c r="M1704" s="246">
        <v>16</v>
      </c>
      <c r="N1704" s="246"/>
      <c r="O1704" s="246"/>
      <c r="P1704" s="246"/>
      <c r="Q1704" s="246"/>
      <c r="R1704" s="246">
        <f>IFERROR(VLOOKUP(D1704,PROGRAMAS[],2,FALSE),0)</f>
        <v>97037803.679377079</v>
      </c>
      <c r="S1704" s="246">
        <f>IFERROR(VLOOKUP(E1704,PROGRAMAS[],2,FALSE),0)</f>
        <v>640501509.6821388</v>
      </c>
      <c r="T1704" s="246">
        <f>IFERROR(VLOOKUP(F1704,PROGRAMAS[],2,FALSE),0)</f>
        <v>3062327798.1525245</v>
      </c>
      <c r="U1704" s="246">
        <f>IFERROR(VLOOKUP(G1704,PROGRAMAS[],2,FALSE),0)</f>
        <v>1440941976.2528784</v>
      </c>
      <c r="V1704" s="246">
        <f>IFERROR(VLOOKUP(H1704,PROGRAMAS[],2,FALSE),0)</f>
        <v>6907648435.8447599</v>
      </c>
      <c r="W1704" s="246">
        <f>IFERROR(VLOOKUP(I1704,PROGRAMAS[],2,FALSE),0)</f>
        <v>6128579952.1618185</v>
      </c>
      <c r="X1704" s="246">
        <f>IFERROR(VLOOKUP(J1704,PROGRAMAS[],2,FALSE),0)</f>
        <v>4635315027.8751087</v>
      </c>
      <c r="Y1704" s="246">
        <f>IFERROR(VLOOKUP(K1704,PROGRAMAS[],2,FALSE),0)</f>
        <v>764796700.79905891</v>
      </c>
      <c r="Z1704" s="246">
        <f>IFERROR(VLOOKUP(L1704,PROGRAMAS[],2,FALSE),0)</f>
        <v>122159672.96346797</v>
      </c>
      <c r="AA1704" s="246">
        <f>IFERROR(VLOOKUP(M1704,PROGRAMAS[],2,FALSE),0)</f>
        <v>7068496961.0436354</v>
      </c>
      <c r="AB1704" s="246">
        <f>IFERROR(VLOOKUP(N1704,PROGRAMAS[],2,FALSE),0)</f>
        <v>0</v>
      </c>
      <c r="AC1704" s="246">
        <f>IFERROR(VLOOKUP(O1704,PROGRAMAS[],2,FALSE),0)</f>
        <v>0</v>
      </c>
      <c r="AD1704" s="246">
        <f>IFERROR(VLOOKUP(P1704,PROGRAMAS[],2,FALSE),0)</f>
        <v>0</v>
      </c>
      <c r="AE1704" s="246">
        <f>IFERROR(VLOOKUP(Q1704,PROGRAMAS[],2,FALSE),0)</f>
        <v>0</v>
      </c>
      <c r="AF1704" s="246">
        <f>IFERROR(VLOOKUP(D1704,PROGRAMAS[],3,FALSE),0)</f>
        <v>841888629.31080008</v>
      </c>
      <c r="AG1704" s="246">
        <f>IFERROR(VLOOKUP(E1704,PROGRAMAS[],3,FALSE),0)</f>
        <v>3848980803.1642323</v>
      </c>
      <c r="AH1704" s="246">
        <f>IFERROR(VLOOKUP(F1704,PROGRAMAS[],3,FALSE),0)</f>
        <v>3394901471.387517</v>
      </c>
      <c r="AI1704" s="246">
        <f>IFERROR(VLOOKUP(G1704,PROGRAMAS[],3,FALSE),0)</f>
        <v>1233505101.0616004</v>
      </c>
      <c r="AJ1704" s="246">
        <f>IFERROR(VLOOKUP(H1704,PROGRAMAS[],3,FALSE),0)</f>
        <v>6129902208.7912121</v>
      </c>
      <c r="AK1704" s="246">
        <f>IFERROR(VLOOKUP(I1704,PROGRAMAS[],3,FALSE),0)</f>
        <v>7011279577.519702</v>
      </c>
      <c r="AL1704" s="246">
        <f>IFERROR(VLOOKUP(J1704,PROGRAMAS[],3,FALSE),0)</f>
        <v>4099471734.9978786</v>
      </c>
      <c r="AM1704" s="246">
        <f>IFERROR(VLOOKUP(K1704,PROGRAMAS[],3,FALSE),0)</f>
        <v>675517840.109828</v>
      </c>
      <c r="AN1704" s="246">
        <f>IFERROR(VLOOKUP(L1704,PROGRAMAS[],3,FALSE),0)</f>
        <v>118617452.52510804</v>
      </c>
      <c r="AO1704" s="246">
        <f>IFERROR(VLOOKUP(M1704,PROGRAMAS[],3,FALSE),0)</f>
        <v>2406564599.0319901</v>
      </c>
      <c r="AP1704" s="246">
        <f>IFERROR(VLOOKUP(N1704,PROGRAMAS[],3,FALSE),0)</f>
        <v>0</v>
      </c>
      <c r="AQ1704" s="246">
        <f>IFERROR(VLOOKUP(O1704,PROGRAMAS[],3,FALSE),0)</f>
        <v>0</v>
      </c>
      <c r="AR1704" s="246">
        <f>IFERROR(VLOOKUP(P1704,PROGRAMAS[],3,FALSE),0)</f>
        <v>0</v>
      </c>
      <c r="AS1704" s="246">
        <f>IFERROR(VLOOKUP(Q1704,PROGRAMAS[],3,FALSE),0)</f>
        <v>0</v>
      </c>
      <c r="AT1704" s="246">
        <f>IFERROR(VLOOKUP(D1704,VOL_REC[],2,FALSE),0)</f>
        <v>0</v>
      </c>
      <c r="AU1704" s="246">
        <f>IFERROR(VLOOKUP(E1704,VOL_REC[],2,FALSE),0)</f>
        <v>0</v>
      </c>
      <c r="AV1704" s="246">
        <f>IFERROR(VLOOKUP(F1704,VOL_REC[],2,FALSE),0)</f>
        <v>11089674.200000001</v>
      </c>
      <c r="AW1704" s="246">
        <f>IFERROR(VLOOKUP(G1704,VOL_REC[],2,FALSE),0)</f>
        <v>4325103.1812214684</v>
      </c>
      <c r="AX1704" s="246">
        <f>IFERROR(VLOOKUP(H1704,VOL_REC[],2,FALSE),0)</f>
        <v>15540036.397699751</v>
      </c>
      <c r="AY1704" s="246">
        <f>IFERROR(VLOOKUP(I1704,VOL_REC[],2,FALSE),0)</f>
        <v>3761786</v>
      </c>
      <c r="AZ1704" s="246">
        <f>IFERROR(VLOOKUP(J1704,VOL_REC[],2,FALSE),0)</f>
        <v>1812240</v>
      </c>
      <c r="BA1704" s="246">
        <f>IFERROR(VLOOKUP(K1704,VOL_REC[],2,FALSE),0)</f>
        <v>240696.79238099116</v>
      </c>
      <c r="BB1704" s="246">
        <f>IFERROR(VLOOKUP(L1704,VOL_REC[],2,FALSE),0)</f>
        <v>105072</v>
      </c>
      <c r="BC1704" s="246">
        <f>IFERROR(VLOOKUP(M1704,VOL_REC[],2,FALSE),0)</f>
        <v>1072354.9981737854</v>
      </c>
      <c r="BD1704" s="246">
        <f>IFERROR(VLOOKUP(N1704,VOL_REC[],2,FALSE),0)</f>
        <v>0</v>
      </c>
      <c r="BE1704" s="246">
        <f>IFERROR(VLOOKUP(O1704,VOL_REC[],2,FALSE),0)</f>
        <v>0</v>
      </c>
      <c r="BF1704" s="246">
        <f>IFERROR(VLOOKUP(P1704,VOL_REC[],2,FALSE),0)</f>
        <v>0</v>
      </c>
      <c r="BG1704" s="246">
        <f>IFERROR(VLOOKUP(Q1704,VOL_REC[],2,FALSE),0)</f>
        <v>0</v>
      </c>
      <c r="BH1704" s="1710">
        <f t="shared" si="104"/>
        <v>30867805838.454765</v>
      </c>
      <c r="BI1704" s="1710">
        <f t="shared" si="105"/>
        <v>29760629417.899872</v>
      </c>
      <c r="BJ1704" s="1711">
        <f t="shared" si="106"/>
        <v>37946963.569475994</v>
      </c>
      <c r="BK1704" s="1711">
        <f t="shared" si="107"/>
        <v>1.0372027219252618</v>
      </c>
      <c r="BL1704">
        <f>BJ1704</f>
        <v>37946963.569475994</v>
      </c>
      <c r="BO1704">
        <f>BL1704</f>
        <v>37946963.569475994</v>
      </c>
    </row>
    <row r="1705" spans="3:67" x14ac:dyDescent="0.25">
      <c r="C1705" s="246" t="s">
        <v>3055</v>
      </c>
      <c r="D1705" s="246">
        <v>1</v>
      </c>
      <c r="E1705" s="246">
        <v>2</v>
      </c>
      <c r="F1705" s="246">
        <v>3</v>
      </c>
      <c r="G1705" s="246">
        <v>5</v>
      </c>
      <c r="H1705" s="246">
        <v>6</v>
      </c>
      <c r="I1705" s="246">
        <v>9</v>
      </c>
      <c r="J1705" s="246">
        <v>10</v>
      </c>
      <c r="K1705" s="246">
        <v>12</v>
      </c>
      <c r="L1705" s="246">
        <v>15</v>
      </c>
      <c r="M1705" s="246">
        <v>17</v>
      </c>
      <c r="N1705" s="246"/>
      <c r="O1705" s="246"/>
      <c r="P1705" s="246"/>
      <c r="Q1705" s="246"/>
      <c r="R1705" s="246">
        <f>IFERROR(VLOOKUP(D1705,PROGRAMAS[],2,FALSE),0)</f>
        <v>97037803.679377079</v>
      </c>
      <c r="S1705" s="246">
        <f>IFERROR(VLOOKUP(E1705,PROGRAMAS[],2,FALSE),0)</f>
        <v>640501509.6821388</v>
      </c>
      <c r="T1705" s="246">
        <f>IFERROR(VLOOKUP(F1705,PROGRAMAS[],2,FALSE),0)</f>
        <v>3062327798.1525245</v>
      </c>
      <c r="U1705" s="246">
        <f>IFERROR(VLOOKUP(G1705,PROGRAMAS[],2,FALSE),0)</f>
        <v>1440941976.2528784</v>
      </c>
      <c r="V1705" s="246">
        <f>IFERROR(VLOOKUP(H1705,PROGRAMAS[],2,FALSE),0)</f>
        <v>6907648435.8447599</v>
      </c>
      <c r="W1705" s="246">
        <f>IFERROR(VLOOKUP(I1705,PROGRAMAS[],2,FALSE),0)</f>
        <v>6128579952.1618185</v>
      </c>
      <c r="X1705" s="246">
        <f>IFERROR(VLOOKUP(J1705,PROGRAMAS[],2,FALSE),0)</f>
        <v>4635315027.8751087</v>
      </c>
      <c r="Y1705" s="246">
        <f>IFERROR(VLOOKUP(K1705,PROGRAMAS[],2,FALSE),0)</f>
        <v>764796700.79905891</v>
      </c>
      <c r="Z1705" s="246">
        <f>IFERROR(VLOOKUP(L1705,PROGRAMAS[],2,FALSE),0)</f>
        <v>122159672.96346797</v>
      </c>
      <c r="AA1705" s="246">
        <f>IFERROR(VLOOKUP(M1705,PROGRAMAS[],2,FALSE),0)</f>
        <v>1892779498.5211046</v>
      </c>
      <c r="AB1705" s="246">
        <f>IFERROR(VLOOKUP(N1705,PROGRAMAS[],2,FALSE),0)</f>
        <v>0</v>
      </c>
      <c r="AC1705" s="246">
        <f>IFERROR(VLOOKUP(O1705,PROGRAMAS[],2,FALSE),0)</f>
        <v>0</v>
      </c>
      <c r="AD1705" s="246">
        <f>IFERROR(VLOOKUP(P1705,PROGRAMAS[],2,FALSE),0)</f>
        <v>0</v>
      </c>
      <c r="AE1705" s="246">
        <f>IFERROR(VLOOKUP(Q1705,PROGRAMAS[],2,FALSE),0)</f>
        <v>0</v>
      </c>
      <c r="AF1705" s="246">
        <f>IFERROR(VLOOKUP(D1705,PROGRAMAS[],3,FALSE),0)</f>
        <v>841888629.31080008</v>
      </c>
      <c r="AG1705" s="246">
        <f>IFERROR(VLOOKUP(E1705,PROGRAMAS[],3,FALSE),0)</f>
        <v>3848980803.1642323</v>
      </c>
      <c r="AH1705" s="246">
        <f>IFERROR(VLOOKUP(F1705,PROGRAMAS[],3,FALSE),0)</f>
        <v>3394901471.387517</v>
      </c>
      <c r="AI1705" s="246">
        <f>IFERROR(VLOOKUP(G1705,PROGRAMAS[],3,FALSE),0)</f>
        <v>1233505101.0616004</v>
      </c>
      <c r="AJ1705" s="246">
        <f>IFERROR(VLOOKUP(H1705,PROGRAMAS[],3,FALSE),0)</f>
        <v>6129902208.7912121</v>
      </c>
      <c r="AK1705" s="246">
        <f>IFERROR(VLOOKUP(I1705,PROGRAMAS[],3,FALSE),0)</f>
        <v>7011279577.519702</v>
      </c>
      <c r="AL1705" s="246">
        <f>IFERROR(VLOOKUP(J1705,PROGRAMAS[],3,FALSE),0)</f>
        <v>4099471734.9978786</v>
      </c>
      <c r="AM1705" s="246">
        <f>IFERROR(VLOOKUP(K1705,PROGRAMAS[],3,FALSE),0)</f>
        <v>675517840.109828</v>
      </c>
      <c r="AN1705" s="246">
        <f>IFERROR(VLOOKUP(L1705,PROGRAMAS[],3,FALSE),0)</f>
        <v>118617452.52510804</v>
      </c>
      <c r="AO1705" s="246">
        <f>IFERROR(VLOOKUP(M1705,PROGRAMAS[],3,FALSE),0)</f>
        <v>948595847.09039903</v>
      </c>
      <c r="AP1705" s="246">
        <f>IFERROR(VLOOKUP(N1705,PROGRAMAS[],3,FALSE),0)</f>
        <v>0</v>
      </c>
      <c r="AQ1705" s="246">
        <f>IFERROR(VLOOKUP(O1705,PROGRAMAS[],3,FALSE),0)</f>
        <v>0</v>
      </c>
      <c r="AR1705" s="246">
        <f>IFERROR(VLOOKUP(P1705,PROGRAMAS[],3,FALSE),0)</f>
        <v>0</v>
      </c>
      <c r="AS1705" s="246">
        <f>IFERROR(VLOOKUP(Q1705,PROGRAMAS[],3,FALSE),0)</f>
        <v>0</v>
      </c>
      <c r="AT1705" s="246">
        <f>IFERROR(VLOOKUP(D1705,VOL_REC[],2,FALSE),0)</f>
        <v>0</v>
      </c>
      <c r="AU1705" s="246">
        <f>IFERROR(VLOOKUP(E1705,VOL_REC[],2,FALSE),0)</f>
        <v>0</v>
      </c>
      <c r="AV1705" s="246">
        <f>IFERROR(VLOOKUP(F1705,VOL_REC[],2,FALSE),0)</f>
        <v>11089674.200000001</v>
      </c>
      <c r="AW1705" s="246">
        <f>IFERROR(VLOOKUP(G1705,VOL_REC[],2,FALSE),0)</f>
        <v>4325103.1812214684</v>
      </c>
      <c r="AX1705" s="246">
        <f>IFERROR(VLOOKUP(H1705,VOL_REC[],2,FALSE),0)</f>
        <v>15540036.397699751</v>
      </c>
      <c r="AY1705" s="246">
        <f>IFERROR(VLOOKUP(I1705,VOL_REC[],2,FALSE),0)</f>
        <v>3761786</v>
      </c>
      <c r="AZ1705" s="246">
        <f>IFERROR(VLOOKUP(J1705,VOL_REC[],2,FALSE),0)</f>
        <v>1812240</v>
      </c>
      <c r="BA1705" s="246">
        <f>IFERROR(VLOOKUP(K1705,VOL_REC[],2,FALSE),0)</f>
        <v>240696.79238099116</v>
      </c>
      <c r="BB1705" s="246">
        <f>IFERROR(VLOOKUP(L1705,VOL_REC[],2,FALSE),0)</f>
        <v>105072</v>
      </c>
      <c r="BC1705" s="246">
        <f>IFERROR(VLOOKUP(M1705,VOL_REC[],2,FALSE),0)</f>
        <v>740113.98115702497</v>
      </c>
      <c r="BD1705" s="246">
        <f>IFERROR(VLOOKUP(N1705,VOL_REC[],2,FALSE),0)</f>
        <v>0</v>
      </c>
      <c r="BE1705" s="246">
        <f>IFERROR(VLOOKUP(O1705,VOL_REC[],2,FALSE),0)</f>
        <v>0</v>
      </c>
      <c r="BF1705" s="246">
        <f>IFERROR(VLOOKUP(P1705,VOL_REC[],2,FALSE),0)</f>
        <v>0</v>
      </c>
      <c r="BG1705" s="246">
        <f>IFERROR(VLOOKUP(Q1705,VOL_REC[],2,FALSE),0)</f>
        <v>0</v>
      </c>
      <c r="BH1705" s="1710">
        <f t="shared" si="104"/>
        <v>25692088375.932232</v>
      </c>
      <c r="BI1705" s="1710">
        <f t="shared" si="105"/>
        <v>28302660665.958282</v>
      </c>
      <c r="BJ1705" s="1711">
        <f t="shared" si="106"/>
        <v>37614722.552459233</v>
      </c>
      <c r="BK1705" s="1711">
        <f t="shared" si="107"/>
        <v>0.90776230119007928</v>
      </c>
    </row>
    <row r="1706" spans="3:67" x14ac:dyDescent="0.25">
      <c r="C1706" s="246" t="s">
        <v>3056</v>
      </c>
      <c r="D1706" s="246">
        <v>1</v>
      </c>
      <c r="E1706" s="246">
        <v>2</v>
      </c>
      <c r="F1706" s="246">
        <v>3</v>
      </c>
      <c r="G1706" s="246">
        <v>5</v>
      </c>
      <c r="H1706" s="246">
        <v>6</v>
      </c>
      <c r="I1706" s="246">
        <v>9</v>
      </c>
      <c r="J1706" s="246">
        <v>10</v>
      </c>
      <c r="K1706" s="246">
        <v>12</v>
      </c>
      <c r="L1706" s="246">
        <v>16</v>
      </c>
      <c r="M1706" s="246">
        <v>17</v>
      </c>
      <c r="N1706" s="246"/>
      <c r="O1706" s="246"/>
      <c r="P1706" s="246"/>
      <c r="Q1706" s="246"/>
      <c r="R1706" s="246">
        <f>IFERROR(VLOOKUP(D1706,PROGRAMAS[],2,FALSE),0)</f>
        <v>97037803.679377079</v>
      </c>
      <c r="S1706" s="246">
        <f>IFERROR(VLOOKUP(E1706,PROGRAMAS[],2,FALSE),0)</f>
        <v>640501509.6821388</v>
      </c>
      <c r="T1706" s="246">
        <f>IFERROR(VLOOKUP(F1706,PROGRAMAS[],2,FALSE),0)</f>
        <v>3062327798.1525245</v>
      </c>
      <c r="U1706" s="246">
        <f>IFERROR(VLOOKUP(G1706,PROGRAMAS[],2,FALSE),0)</f>
        <v>1440941976.2528784</v>
      </c>
      <c r="V1706" s="246">
        <f>IFERROR(VLOOKUP(H1706,PROGRAMAS[],2,FALSE),0)</f>
        <v>6907648435.8447599</v>
      </c>
      <c r="W1706" s="246">
        <f>IFERROR(VLOOKUP(I1706,PROGRAMAS[],2,FALSE),0)</f>
        <v>6128579952.1618185</v>
      </c>
      <c r="X1706" s="246">
        <f>IFERROR(VLOOKUP(J1706,PROGRAMAS[],2,FALSE),0)</f>
        <v>4635315027.8751087</v>
      </c>
      <c r="Y1706" s="246">
        <f>IFERROR(VLOOKUP(K1706,PROGRAMAS[],2,FALSE),0)</f>
        <v>764796700.79905891</v>
      </c>
      <c r="Z1706" s="246">
        <f>IFERROR(VLOOKUP(L1706,PROGRAMAS[],2,FALSE),0)</f>
        <v>7068496961.0436354</v>
      </c>
      <c r="AA1706" s="246">
        <f>IFERROR(VLOOKUP(M1706,PROGRAMAS[],2,FALSE),0)</f>
        <v>1892779498.5211046</v>
      </c>
      <c r="AB1706" s="246">
        <f>IFERROR(VLOOKUP(N1706,PROGRAMAS[],2,FALSE),0)</f>
        <v>0</v>
      </c>
      <c r="AC1706" s="246">
        <f>IFERROR(VLOOKUP(O1706,PROGRAMAS[],2,FALSE),0)</f>
        <v>0</v>
      </c>
      <c r="AD1706" s="246">
        <f>IFERROR(VLOOKUP(P1706,PROGRAMAS[],2,FALSE),0)</f>
        <v>0</v>
      </c>
      <c r="AE1706" s="246">
        <f>IFERROR(VLOOKUP(Q1706,PROGRAMAS[],2,FALSE),0)</f>
        <v>0</v>
      </c>
      <c r="AF1706" s="246">
        <f>IFERROR(VLOOKUP(D1706,PROGRAMAS[],3,FALSE),0)</f>
        <v>841888629.31080008</v>
      </c>
      <c r="AG1706" s="246">
        <f>IFERROR(VLOOKUP(E1706,PROGRAMAS[],3,FALSE),0)</f>
        <v>3848980803.1642323</v>
      </c>
      <c r="AH1706" s="246">
        <f>IFERROR(VLOOKUP(F1706,PROGRAMAS[],3,FALSE),0)</f>
        <v>3394901471.387517</v>
      </c>
      <c r="AI1706" s="246">
        <f>IFERROR(VLOOKUP(G1706,PROGRAMAS[],3,FALSE),0)</f>
        <v>1233505101.0616004</v>
      </c>
      <c r="AJ1706" s="246">
        <f>IFERROR(VLOOKUP(H1706,PROGRAMAS[],3,FALSE),0)</f>
        <v>6129902208.7912121</v>
      </c>
      <c r="AK1706" s="246">
        <f>IFERROR(VLOOKUP(I1706,PROGRAMAS[],3,FALSE),0)</f>
        <v>7011279577.519702</v>
      </c>
      <c r="AL1706" s="246">
        <f>IFERROR(VLOOKUP(J1706,PROGRAMAS[],3,FALSE),0)</f>
        <v>4099471734.9978786</v>
      </c>
      <c r="AM1706" s="246">
        <f>IFERROR(VLOOKUP(K1706,PROGRAMAS[],3,FALSE),0)</f>
        <v>675517840.109828</v>
      </c>
      <c r="AN1706" s="246">
        <f>IFERROR(VLOOKUP(L1706,PROGRAMAS[],3,FALSE),0)</f>
        <v>2406564599.0319901</v>
      </c>
      <c r="AO1706" s="246">
        <f>IFERROR(VLOOKUP(M1706,PROGRAMAS[],3,FALSE),0)</f>
        <v>948595847.09039903</v>
      </c>
      <c r="AP1706" s="246">
        <f>IFERROR(VLOOKUP(N1706,PROGRAMAS[],3,FALSE),0)</f>
        <v>0</v>
      </c>
      <c r="AQ1706" s="246">
        <f>IFERROR(VLOOKUP(O1706,PROGRAMAS[],3,FALSE),0)</f>
        <v>0</v>
      </c>
      <c r="AR1706" s="246">
        <f>IFERROR(VLOOKUP(P1706,PROGRAMAS[],3,FALSE),0)</f>
        <v>0</v>
      </c>
      <c r="AS1706" s="246">
        <f>IFERROR(VLOOKUP(Q1706,PROGRAMAS[],3,FALSE),0)</f>
        <v>0</v>
      </c>
      <c r="AT1706" s="246">
        <f>IFERROR(VLOOKUP(D1706,VOL_REC[],2,FALSE),0)</f>
        <v>0</v>
      </c>
      <c r="AU1706" s="246">
        <f>IFERROR(VLOOKUP(E1706,VOL_REC[],2,FALSE),0)</f>
        <v>0</v>
      </c>
      <c r="AV1706" s="246">
        <f>IFERROR(VLOOKUP(F1706,VOL_REC[],2,FALSE),0)</f>
        <v>11089674.200000001</v>
      </c>
      <c r="AW1706" s="246">
        <f>IFERROR(VLOOKUP(G1706,VOL_REC[],2,FALSE),0)</f>
        <v>4325103.1812214684</v>
      </c>
      <c r="AX1706" s="246">
        <f>IFERROR(VLOOKUP(H1706,VOL_REC[],2,FALSE),0)</f>
        <v>15540036.397699751</v>
      </c>
      <c r="AY1706" s="246">
        <f>IFERROR(VLOOKUP(I1706,VOL_REC[],2,FALSE),0)</f>
        <v>3761786</v>
      </c>
      <c r="AZ1706" s="246">
        <f>IFERROR(VLOOKUP(J1706,VOL_REC[],2,FALSE),0)</f>
        <v>1812240</v>
      </c>
      <c r="BA1706" s="246">
        <f>IFERROR(VLOOKUP(K1706,VOL_REC[],2,FALSE),0)</f>
        <v>240696.79238099116</v>
      </c>
      <c r="BB1706" s="246">
        <f>IFERROR(VLOOKUP(L1706,VOL_REC[],2,FALSE),0)</f>
        <v>1072354.9981737854</v>
      </c>
      <c r="BC1706" s="246">
        <f>IFERROR(VLOOKUP(M1706,VOL_REC[],2,FALSE),0)</f>
        <v>740113.98115702497</v>
      </c>
      <c r="BD1706" s="246">
        <f>IFERROR(VLOOKUP(N1706,VOL_REC[],2,FALSE),0)</f>
        <v>0</v>
      </c>
      <c r="BE1706" s="246">
        <f>IFERROR(VLOOKUP(O1706,VOL_REC[],2,FALSE),0)</f>
        <v>0</v>
      </c>
      <c r="BF1706" s="246">
        <f>IFERROR(VLOOKUP(P1706,VOL_REC[],2,FALSE),0)</f>
        <v>0</v>
      </c>
      <c r="BG1706" s="246">
        <f>IFERROR(VLOOKUP(Q1706,VOL_REC[],2,FALSE),0)</f>
        <v>0</v>
      </c>
      <c r="BH1706" s="1710">
        <f t="shared" si="104"/>
        <v>32638425664.012402</v>
      </c>
      <c r="BI1706" s="1710">
        <f t="shared" si="105"/>
        <v>30590607812.465164</v>
      </c>
      <c r="BJ1706" s="1711">
        <f t="shared" si="106"/>
        <v>38582005.550633021</v>
      </c>
      <c r="BK1706" s="1711">
        <f t="shared" si="107"/>
        <v>1.0669426990173365</v>
      </c>
      <c r="BL1706">
        <f>BJ1706</f>
        <v>38582005.550633021</v>
      </c>
      <c r="BO1706">
        <f>BL1706</f>
        <v>38582005.550633021</v>
      </c>
    </row>
    <row r="1707" spans="3:67" x14ac:dyDescent="0.25">
      <c r="C1707" s="246" t="s">
        <v>3057</v>
      </c>
      <c r="D1707" s="246">
        <v>1</v>
      </c>
      <c r="E1707" s="246">
        <v>2</v>
      </c>
      <c r="F1707" s="246">
        <v>3</v>
      </c>
      <c r="G1707" s="246">
        <v>5</v>
      </c>
      <c r="H1707" s="246">
        <v>6</v>
      </c>
      <c r="I1707" s="246">
        <v>9</v>
      </c>
      <c r="J1707" s="246">
        <v>10</v>
      </c>
      <c r="K1707" s="246">
        <v>13</v>
      </c>
      <c r="L1707" s="246">
        <v>14</v>
      </c>
      <c r="M1707" s="246">
        <v>15</v>
      </c>
      <c r="N1707" s="246"/>
      <c r="O1707" s="246"/>
      <c r="P1707" s="246"/>
      <c r="Q1707" s="246"/>
      <c r="R1707" s="246">
        <f>IFERROR(VLOOKUP(D1707,PROGRAMAS[],2,FALSE),0)</f>
        <v>97037803.679377079</v>
      </c>
      <c r="S1707" s="246">
        <f>IFERROR(VLOOKUP(E1707,PROGRAMAS[],2,FALSE),0)</f>
        <v>640501509.6821388</v>
      </c>
      <c r="T1707" s="246">
        <f>IFERROR(VLOOKUP(F1707,PROGRAMAS[],2,FALSE),0)</f>
        <v>3062327798.1525245</v>
      </c>
      <c r="U1707" s="246">
        <f>IFERROR(VLOOKUP(G1707,PROGRAMAS[],2,FALSE),0)</f>
        <v>1440941976.2528784</v>
      </c>
      <c r="V1707" s="246">
        <f>IFERROR(VLOOKUP(H1707,PROGRAMAS[],2,FALSE),0)</f>
        <v>6907648435.8447599</v>
      </c>
      <c r="W1707" s="246">
        <f>IFERROR(VLOOKUP(I1707,PROGRAMAS[],2,FALSE),0)</f>
        <v>6128579952.1618185</v>
      </c>
      <c r="X1707" s="246">
        <f>IFERROR(VLOOKUP(J1707,PROGRAMAS[],2,FALSE),0)</f>
        <v>4635315027.8751087</v>
      </c>
      <c r="Y1707" s="246">
        <f>IFERROR(VLOOKUP(K1707,PROGRAMAS[],2,FALSE),0)</f>
        <v>3776538594.4604583</v>
      </c>
      <c r="Z1707" s="246">
        <f>IFERROR(VLOOKUP(L1707,PROGRAMAS[],2,FALSE),0)</f>
        <v>54223862.645839565</v>
      </c>
      <c r="AA1707" s="246">
        <f>IFERROR(VLOOKUP(M1707,PROGRAMAS[],2,FALSE),0)</f>
        <v>122159672.96346797</v>
      </c>
      <c r="AB1707" s="246">
        <f>IFERROR(VLOOKUP(N1707,PROGRAMAS[],2,FALSE),0)</f>
        <v>0</v>
      </c>
      <c r="AC1707" s="246">
        <f>IFERROR(VLOOKUP(O1707,PROGRAMAS[],2,FALSE),0)</f>
        <v>0</v>
      </c>
      <c r="AD1707" s="246">
        <f>IFERROR(VLOOKUP(P1707,PROGRAMAS[],2,FALSE),0)</f>
        <v>0</v>
      </c>
      <c r="AE1707" s="246">
        <f>IFERROR(VLOOKUP(Q1707,PROGRAMAS[],2,FALSE),0)</f>
        <v>0</v>
      </c>
      <c r="AF1707" s="246">
        <f>IFERROR(VLOOKUP(D1707,PROGRAMAS[],3,FALSE),0)</f>
        <v>841888629.31080008</v>
      </c>
      <c r="AG1707" s="246">
        <f>IFERROR(VLOOKUP(E1707,PROGRAMAS[],3,FALSE),0)</f>
        <v>3848980803.1642323</v>
      </c>
      <c r="AH1707" s="246">
        <f>IFERROR(VLOOKUP(F1707,PROGRAMAS[],3,FALSE),0)</f>
        <v>3394901471.387517</v>
      </c>
      <c r="AI1707" s="246">
        <f>IFERROR(VLOOKUP(G1707,PROGRAMAS[],3,FALSE),0)</f>
        <v>1233505101.0616004</v>
      </c>
      <c r="AJ1707" s="246">
        <f>IFERROR(VLOOKUP(H1707,PROGRAMAS[],3,FALSE),0)</f>
        <v>6129902208.7912121</v>
      </c>
      <c r="AK1707" s="246">
        <f>IFERROR(VLOOKUP(I1707,PROGRAMAS[],3,FALSE),0)</f>
        <v>7011279577.519702</v>
      </c>
      <c r="AL1707" s="246">
        <f>IFERROR(VLOOKUP(J1707,PROGRAMAS[],3,FALSE),0)</f>
        <v>4099471734.9978786</v>
      </c>
      <c r="AM1707" s="246">
        <f>IFERROR(VLOOKUP(K1707,PROGRAMAS[],3,FALSE),0)</f>
        <v>2392571243.5584412</v>
      </c>
      <c r="AN1707" s="246">
        <f>IFERROR(VLOOKUP(L1707,PROGRAMAS[],3,FALSE),0)</f>
        <v>31865326.38096505</v>
      </c>
      <c r="AO1707" s="246">
        <f>IFERROR(VLOOKUP(M1707,PROGRAMAS[],3,FALSE),0)</f>
        <v>118617452.52510804</v>
      </c>
      <c r="AP1707" s="246">
        <f>IFERROR(VLOOKUP(N1707,PROGRAMAS[],3,FALSE),0)</f>
        <v>0</v>
      </c>
      <c r="AQ1707" s="246">
        <f>IFERROR(VLOOKUP(O1707,PROGRAMAS[],3,FALSE),0)</f>
        <v>0</v>
      </c>
      <c r="AR1707" s="246">
        <f>IFERROR(VLOOKUP(P1707,PROGRAMAS[],3,FALSE),0)</f>
        <v>0</v>
      </c>
      <c r="AS1707" s="246">
        <f>IFERROR(VLOOKUP(Q1707,PROGRAMAS[],3,FALSE),0)</f>
        <v>0</v>
      </c>
      <c r="AT1707" s="246">
        <f>IFERROR(VLOOKUP(D1707,VOL_REC[],2,FALSE),0)</f>
        <v>0</v>
      </c>
      <c r="AU1707" s="246">
        <f>IFERROR(VLOOKUP(E1707,VOL_REC[],2,FALSE),0)</f>
        <v>0</v>
      </c>
      <c r="AV1707" s="246">
        <f>IFERROR(VLOOKUP(F1707,VOL_REC[],2,FALSE),0)</f>
        <v>11089674.200000001</v>
      </c>
      <c r="AW1707" s="246">
        <f>IFERROR(VLOOKUP(G1707,VOL_REC[],2,FALSE),0)</f>
        <v>4325103.1812214684</v>
      </c>
      <c r="AX1707" s="246">
        <f>IFERROR(VLOOKUP(H1707,VOL_REC[],2,FALSE),0)</f>
        <v>15540036.397699751</v>
      </c>
      <c r="AY1707" s="246">
        <f>IFERROR(VLOOKUP(I1707,VOL_REC[],2,FALSE),0)</f>
        <v>3761786</v>
      </c>
      <c r="AZ1707" s="246">
        <f>IFERROR(VLOOKUP(J1707,VOL_REC[],2,FALSE),0)</f>
        <v>1812240</v>
      </c>
      <c r="BA1707" s="246">
        <f>IFERROR(VLOOKUP(K1707,VOL_REC[],2,FALSE),0)</f>
        <v>663244.80000000016</v>
      </c>
      <c r="BB1707" s="246">
        <f>IFERROR(VLOOKUP(L1707,VOL_REC[],2,FALSE),0)</f>
        <v>17074.045034105649</v>
      </c>
      <c r="BC1707" s="246">
        <f>IFERROR(VLOOKUP(M1707,VOL_REC[],2,FALSE),0)</f>
        <v>105072</v>
      </c>
      <c r="BD1707" s="246">
        <f>IFERROR(VLOOKUP(N1707,VOL_REC[],2,FALSE),0)</f>
        <v>0</v>
      </c>
      <c r="BE1707" s="246">
        <f>IFERROR(VLOOKUP(O1707,VOL_REC[],2,FALSE),0)</f>
        <v>0</v>
      </c>
      <c r="BF1707" s="246">
        <f>IFERROR(VLOOKUP(P1707,VOL_REC[],2,FALSE),0)</f>
        <v>0</v>
      </c>
      <c r="BG1707" s="246">
        <f>IFERROR(VLOOKUP(Q1707,VOL_REC[],2,FALSE),0)</f>
        <v>0</v>
      </c>
      <c r="BH1707" s="1710">
        <f t="shared" si="104"/>
        <v>26865274633.718369</v>
      </c>
      <c r="BI1707" s="1710">
        <f t="shared" si="105"/>
        <v>29102983548.69746</v>
      </c>
      <c r="BJ1707" s="1711">
        <f t="shared" si="106"/>
        <v>37314230.623955317</v>
      </c>
      <c r="BK1707" s="1711">
        <f t="shared" si="107"/>
        <v>0.92311066969354616</v>
      </c>
    </row>
    <row r="1708" spans="3:67" x14ac:dyDescent="0.25">
      <c r="C1708" s="246" t="s">
        <v>3058</v>
      </c>
      <c r="D1708" s="246">
        <v>1</v>
      </c>
      <c r="E1708" s="246">
        <v>2</v>
      </c>
      <c r="F1708" s="246">
        <v>3</v>
      </c>
      <c r="G1708" s="246">
        <v>5</v>
      </c>
      <c r="H1708" s="246">
        <v>6</v>
      </c>
      <c r="I1708" s="246">
        <v>9</v>
      </c>
      <c r="J1708" s="246">
        <v>10</v>
      </c>
      <c r="K1708" s="246">
        <v>13</v>
      </c>
      <c r="L1708" s="246">
        <v>14</v>
      </c>
      <c r="M1708" s="246">
        <v>16</v>
      </c>
      <c r="N1708" s="246"/>
      <c r="O1708" s="246"/>
      <c r="P1708" s="246"/>
      <c r="Q1708" s="246"/>
      <c r="R1708" s="246">
        <f>IFERROR(VLOOKUP(D1708,PROGRAMAS[],2,FALSE),0)</f>
        <v>97037803.679377079</v>
      </c>
      <c r="S1708" s="246">
        <f>IFERROR(VLOOKUP(E1708,PROGRAMAS[],2,FALSE),0)</f>
        <v>640501509.6821388</v>
      </c>
      <c r="T1708" s="246">
        <f>IFERROR(VLOOKUP(F1708,PROGRAMAS[],2,FALSE),0)</f>
        <v>3062327798.1525245</v>
      </c>
      <c r="U1708" s="246">
        <f>IFERROR(VLOOKUP(G1708,PROGRAMAS[],2,FALSE),0)</f>
        <v>1440941976.2528784</v>
      </c>
      <c r="V1708" s="246">
        <f>IFERROR(VLOOKUP(H1708,PROGRAMAS[],2,FALSE),0)</f>
        <v>6907648435.8447599</v>
      </c>
      <c r="W1708" s="246">
        <f>IFERROR(VLOOKUP(I1708,PROGRAMAS[],2,FALSE),0)</f>
        <v>6128579952.1618185</v>
      </c>
      <c r="X1708" s="246">
        <f>IFERROR(VLOOKUP(J1708,PROGRAMAS[],2,FALSE),0)</f>
        <v>4635315027.8751087</v>
      </c>
      <c r="Y1708" s="246">
        <f>IFERROR(VLOOKUP(K1708,PROGRAMAS[],2,FALSE),0)</f>
        <v>3776538594.4604583</v>
      </c>
      <c r="Z1708" s="246">
        <f>IFERROR(VLOOKUP(L1708,PROGRAMAS[],2,FALSE),0)</f>
        <v>54223862.645839565</v>
      </c>
      <c r="AA1708" s="246">
        <f>IFERROR(VLOOKUP(M1708,PROGRAMAS[],2,FALSE),0)</f>
        <v>7068496961.0436354</v>
      </c>
      <c r="AB1708" s="246">
        <f>IFERROR(VLOOKUP(N1708,PROGRAMAS[],2,FALSE),0)</f>
        <v>0</v>
      </c>
      <c r="AC1708" s="246">
        <f>IFERROR(VLOOKUP(O1708,PROGRAMAS[],2,FALSE),0)</f>
        <v>0</v>
      </c>
      <c r="AD1708" s="246">
        <f>IFERROR(VLOOKUP(P1708,PROGRAMAS[],2,FALSE),0)</f>
        <v>0</v>
      </c>
      <c r="AE1708" s="246">
        <f>IFERROR(VLOOKUP(Q1708,PROGRAMAS[],2,FALSE),0)</f>
        <v>0</v>
      </c>
      <c r="AF1708" s="246">
        <f>IFERROR(VLOOKUP(D1708,PROGRAMAS[],3,FALSE),0)</f>
        <v>841888629.31080008</v>
      </c>
      <c r="AG1708" s="246">
        <f>IFERROR(VLOOKUP(E1708,PROGRAMAS[],3,FALSE),0)</f>
        <v>3848980803.1642323</v>
      </c>
      <c r="AH1708" s="246">
        <f>IFERROR(VLOOKUP(F1708,PROGRAMAS[],3,FALSE),0)</f>
        <v>3394901471.387517</v>
      </c>
      <c r="AI1708" s="246">
        <f>IFERROR(VLOOKUP(G1708,PROGRAMAS[],3,FALSE),0)</f>
        <v>1233505101.0616004</v>
      </c>
      <c r="AJ1708" s="246">
        <f>IFERROR(VLOOKUP(H1708,PROGRAMAS[],3,FALSE),0)</f>
        <v>6129902208.7912121</v>
      </c>
      <c r="AK1708" s="246">
        <f>IFERROR(VLOOKUP(I1708,PROGRAMAS[],3,FALSE),0)</f>
        <v>7011279577.519702</v>
      </c>
      <c r="AL1708" s="246">
        <f>IFERROR(VLOOKUP(J1708,PROGRAMAS[],3,FALSE),0)</f>
        <v>4099471734.9978786</v>
      </c>
      <c r="AM1708" s="246">
        <f>IFERROR(VLOOKUP(K1708,PROGRAMAS[],3,FALSE),0)</f>
        <v>2392571243.5584412</v>
      </c>
      <c r="AN1708" s="246">
        <f>IFERROR(VLOOKUP(L1708,PROGRAMAS[],3,FALSE),0)</f>
        <v>31865326.38096505</v>
      </c>
      <c r="AO1708" s="246">
        <f>IFERROR(VLOOKUP(M1708,PROGRAMAS[],3,FALSE),0)</f>
        <v>2406564599.0319901</v>
      </c>
      <c r="AP1708" s="246">
        <f>IFERROR(VLOOKUP(N1708,PROGRAMAS[],3,FALSE),0)</f>
        <v>0</v>
      </c>
      <c r="AQ1708" s="246">
        <f>IFERROR(VLOOKUP(O1708,PROGRAMAS[],3,FALSE),0)</f>
        <v>0</v>
      </c>
      <c r="AR1708" s="246">
        <f>IFERROR(VLOOKUP(P1708,PROGRAMAS[],3,FALSE),0)</f>
        <v>0</v>
      </c>
      <c r="AS1708" s="246">
        <f>IFERROR(VLOOKUP(Q1708,PROGRAMAS[],3,FALSE),0)</f>
        <v>0</v>
      </c>
      <c r="AT1708" s="246">
        <f>IFERROR(VLOOKUP(D1708,VOL_REC[],2,FALSE),0)</f>
        <v>0</v>
      </c>
      <c r="AU1708" s="246">
        <f>IFERROR(VLOOKUP(E1708,VOL_REC[],2,FALSE),0)</f>
        <v>0</v>
      </c>
      <c r="AV1708" s="246">
        <f>IFERROR(VLOOKUP(F1708,VOL_REC[],2,FALSE),0)</f>
        <v>11089674.200000001</v>
      </c>
      <c r="AW1708" s="246">
        <f>IFERROR(VLOOKUP(G1708,VOL_REC[],2,FALSE),0)</f>
        <v>4325103.1812214684</v>
      </c>
      <c r="AX1708" s="246">
        <f>IFERROR(VLOOKUP(H1708,VOL_REC[],2,FALSE),0)</f>
        <v>15540036.397699751</v>
      </c>
      <c r="AY1708" s="246">
        <f>IFERROR(VLOOKUP(I1708,VOL_REC[],2,FALSE),0)</f>
        <v>3761786</v>
      </c>
      <c r="AZ1708" s="246">
        <f>IFERROR(VLOOKUP(J1708,VOL_REC[],2,FALSE),0)</f>
        <v>1812240</v>
      </c>
      <c r="BA1708" s="246">
        <f>IFERROR(VLOOKUP(K1708,VOL_REC[],2,FALSE),0)</f>
        <v>663244.80000000016</v>
      </c>
      <c r="BB1708" s="246">
        <f>IFERROR(VLOOKUP(L1708,VOL_REC[],2,FALSE),0)</f>
        <v>17074.045034105649</v>
      </c>
      <c r="BC1708" s="246">
        <f>IFERROR(VLOOKUP(M1708,VOL_REC[],2,FALSE),0)</f>
        <v>1072354.9981737854</v>
      </c>
      <c r="BD1708" s="246">
        <f>IFERROR(VLOOKUP(N1708,VOL_REC[],2,FALSE),0)</f>
        <v>0</v>
      </c>
      <c r="BE1708" s="246">
        <f>IFERROR(VLOOKUP(O1708,VOL_REC[],2,FALSE),0)</f>
        <v>0</v>
      </c>
      <c r="BF1708" s="246">
        <f>IFERROR(VLOOKUP(P1708,VOL_REC[],2,FALSE),0)</f>
        <v>0</v>
      </c>
      <c r="BG1708" s="246">
        <f>IFERROR(VLOOKUP(Q1708,VOL_REC[],2,FALSE),0)</f>
        <v>0</v>
      </c>
      <c r="BH1708" s="1710">
        <f t="shared" si="104"/>
        <v>33811611921.798538</v>
      </c>
      <c r="BI1708" s="1710">
        <f t="shared" si="105"/>
        <v>31390930695.204342</v>
      </c>
      <c r="BJ1708" s="1711">
        <f t="shared" si="106"/>
        <v>38281513.622129105</v>
      </c>
      <c r="BK1708" s="1711">
        <f t="shared" si="107"/>
        <v>1.0771140317596257</v>
      </c>
      <c r="BL1708">
        <f>BJ1708</f>
        <v>38281513.622129105</v>
      </c>
      <c r="BO1708">
        <f>BL1708</f>
        <v>38281513.622129105</v>
      </c>
    </row>
    <row r="1709" spans="3:67" x14ac:dyDescent="0.25">
      <c r="C1709" s="246" t="s">
        <v>3059</v>
      </c>
      <c r="D1709" s="246">
        <v>1</v>
      </c>
      <c r="E1709" s="246">
        <v>2</v>
      </c>
      <c r="F1709" s="246">
        <v>3</v>
      </c>
      <c r="G1709" s="246">
        <v>5</v>
      </c>
      <c r="H1709" s="246">
        <v>6</v>
      </c>
      <c r="I1709" s="246">
        <v>9</v>
      </c>
      <c r="J1709" s="246">
        <v>10</v>
      </c>
      <c r="K1709" s="246">
        <v>13</v>
      </c>
      <c r="L1709" s="246">
        <v>14</v>
      </c>
      <c r="M1709" s="246">
        <v>17</v>
      </c>
      <c r="N1709" s="246"/>
      <c r="O1709" s="246"/>
      <c r="P1709" s="246"/>
      <c r="Q1709" s="246"/>
      <c r="R1709" s="246">
        <f>IFERROR(VLOOKUP(D1709,PROGRAMAS[],2,FALSE),0)</f>
        <v>97037803.679377079</v>
      </c>
      <c r="S1709" s="246">
        <f>IFERROR(VLOOKUP(E1709,PROGRAMAS[],2,FALSE),0)</f>
        <v>640501509.6821388</v>
      </c>
      <c r="T1709" s="246">
        <f>IFERROR(VLOOKUP(F1709,PROGRAMAS[],2,FALSE),0)</f>
        <v>3062327798.1525245</v>
      </c>
      <c r="U1709" s="246">
        <f>IFERROR(VLOOKUP(G1709,PROGRAMAS[],2,FALSE),0)</f>
        <v>1440941976.2528784</v>
      </c>
      <c r="V1709" s="246">
        <f>IFERROR(VLOOKUP(H1709,PROGRAMAS[],2,FALSE),0)</f>
        <v>6907648435.8447599</v>
      </c>
      <c r="W1709" s="246">
        <f>IFERROR(VLOOKUP(I1709,PROGRAMAS[],2,FALSE),0)</f>
        <v>6128579952.1618185</v>
      </c>
      <c r="X1709" s="246">
        <f>IFERROR(VLOOKUP(J1709,PROGRAMAS[],2,FALSE),0)</f>
        <v>4635315027.8751087</v>
      </c>
      <c r="Y1709" s="246">
        <f>IFERROR(VLOOKUP(K1709,PROGRAMAS[],2,FALSE),0)</f>
        <v>3776538594.4604583</v>
      </c>
      <c r="Z1709" s="246">
        <f>IFERROR(VLOOKUP(L1709,PROGRAMAS[],2,FALSE),0)</f>
        <v>54223862.645839565</v>
      </c>
      <c r="AA1709" s="246">
        <f>IFERROR(VLOOKUP(M1709,PROGRAMAS[],2,FALSE),0)</f>
        <v>1892779498.5211046</v>
      </c>
      <c r="AB1709" s="246">
        <f>IFERROR(VLOOKUP(N1709,PROGRAMAS[],2,FALSE),0)</f>
        <v>0</v>
      </c>
      <c r="AC1709" s="246">
        <f>IFERROR(VLOOKUP(O1709,PROGRAMAS[],2,FALSE),0)</f>
        <v>0</v>
      </c>
      <c r="AD1709" s="246">
        <f>IFERROR(VLOOKUP(P1709,PROGRAMAS[],2,FALSE),0)</f>
        <v>0</v>
      </c>
      <c r="AE1709" s="246">
        <f>IFERROR(VLOOKUP(Q1709,PROGRAMAS[],2,FALSE),0)</f>
        <v>0</v>
      </c>
      <c r="AF1709" s="246">
        <f>IFERROR(VLOOKUP(D1709,PROGRAMAS[],3,FALSE),0)</f>
        <v>841888629.31080008</v>
      </c>
      <c r="AG1709" s="246">
        <f>IFERROR(VLOOKUP(E1709,PROGRAMAS[],3,FALSE),0)</f>
        <v>3848980803.1642323</v>
      </c>
      <c r="AH1709" s="246">
        <f>IFERROR(VLOOKUP(F1709,PROGRAMAS[],3,FALSE),0)</f>
        <v>3394901471.387517</v>
      </c>
      <c r="AI1709" s="246">
        <f>IFERROR(VLOOKUP(G1709,PROGRAMAS[],3,FALSE),0)</f>
        <v>1233505101.0616004</v>
      </c>
      <c r="AJ1709" s="246">
        <f>IFERROR(VLOOKUP(H1709,PROGRAMAS[],3,FALSE),0)</f>
        <v>6129902208.7912121</v>
      </c>
      <c r="AK1709" s="246">
        <f>IFERROR(VLOOKUP(I1709,PROGRAMAS[],3,FALSE),0)</f>
        <v>7011279577.519702</v>
      </c>
      <c r="AL1709" s="246">
        <f>IFERROR(VLOOKUP(J1709,PROGRAMAS[],3,FALSE),0)</f>
        <v>4099471734.9978786</v>
      </c>
      <c r="AM1709" s="246">
        <f>IFERROR(VLOOKUP(K1709,PROGRAMAS[],3,FALSE),0)</f>
        <v>2392571243.5584412</v>
      </c>
      <c r="AN1709" s="246">
        <f>IFERROR(VLOOKUP(L1709,PROGRAMAS[],3,FALSE),0)</f>
        <v>31865326.38096505</v>
      </c>
      <c r="AO1709" s="246">
        <f>IFERROR(VLOOKUP(M1709,PROGRAMAS[],3,FALSE),0)</f>
        <v>948595847.09039903</v>
      </c>
      <c r="AP1709" s="246">
        <f>IFERROR(VLOOKUP(N1709,PROGRAMAS[],3,FALSE),0)</f>
        <v>0</v>
      </c>
      <c r="AQ1709" s="246">
        <f>IFERROR(VLOOKUP(O1709,PROGRAMAS[],3,FALSE),0)</f>
        <v>0</v>
      </c>
      <c r="AR1709" s="246">
        <f>IFERROR(VLOOKUP(P1709,PROGRAMAS[],3,FALSE),0)</f>
        <v>0</v>
      </c>
      <c r="AS1709" s="246">
        <f>IFERROR(VLOOKUP(Q1709,PROGRAMAS[],3,FALSE),0)</f>
        <v>0</v>
      </c>
      <c r="AT1709" s="246">
        <f>IFERROR(VLOOKUP(D1709,VOL_REC[],2,FALSE),0)</f>
        <v>0</v>
      </c>
      <c r="AU1709" s="246">
        <f>IFERROR(VLOOKUP(E1709,VOL_REC[],2,FALSE),0)</f>
        <v>0</v>
      </c>
      <c r="AV1709" s="246">
        <f>IFERROR(VLOOKUP(F1709,VOL_REC[],2,FALSE),0)</f>
        <v>11089674.200000001</v>
      </c>
      <c r="AW1709" s="246">
        <f>IFERROR(VLOOKUP(G1709,VOL_REC[],2,FALSE),0)</f>
        <v>4325103.1812214684</v>
      </c>
      <c r="AX1709" s="246">
        <f>IFERROR(VLOOKUP(H1709,VOL_REC[],2,FALSE),0)</f>
        <v>15540036.397699751</v>
      </c>
      <c r="AY1709" s="246">
        <f>IFERROR(VLOOKUP(I1709,VOL_REC[],2,FALSE),0)</f>
        <v>3761786</v>
      </c>
      <c r="AZ1709" s="246">
        <f>IFERROR(VLOOKUP(J1709,VOL_REC[],2,FALSE),0)</f>
        <v>1812240</v>
      </c>
      <c r="BA1709" s="246">
        <f>IFERROR(VLOOKUP(K1709,VOL_REC[],2,FALSE),0)</f>
        <v>663244.80000000016</v>
      </c>
      <c r="BB1709" s="246">
        <f>IFERROR(VLOOKUP(L1709,VOL_REC[],2,FALSE),0)</f>
        <v>17074.045034105649</v>
      </c>
      <c r="BC1709" s="246">
        <f>IFERROR(VLOOKUP(M1709,VOL_REC[],2,FALSE),0)</f>
        <v>740113.98115702497</v>
      </c>
      <c r="BD1709" s="246">
        <f>IFERROR(VLOOKUP(N1709,VOL_REC[],2,FALSE),0)</f>
        <v>0</v>
      </c>
      <c r="BE1709" s="246">
        <f>IFERROR(VLOOKUP(O1709,VOL_REC[],2,FALSE),0)</f>
        <v>0</v>
      </c>
      <c r="BF1709" s="246">
        <f>IFERROR(VLOOKUP(P1709,VOL_REC[],2,FALSE),0)</f>
        <v>0</v>
      </c>
      <c r="BG1709" s="246">
        <f>IFERROR(VLOOKUP(Q1709,VOL_REC[],2,FALSE),0)</f>
        <v>0</v>
      </c>
      <c r="BH1709" s="1710">
        <f t="shared" si="104"/>
        <v>28635894459.276005</v>
      </c>
      <c r="BI1709" s="1710">
        <f t="shared" si="105"/>
        <v>29932961943.262753</v>
      </c>
      <c r="BJ1709" s="1711">
        <f t="shared" si="106"/>
        <v>37949272.605112344</v>
      </c>
      <c r="BK1709" s="1711">
        <f t="shared" si="107"/>
        <v>0.95666758650729888</v>
      </c>
    </row>
    <row r="1710" spans="3:67" x14ac:dyDescent="0.25">
      <c r="C1710" s="246" t="s">
        <v>3060</v>
      </c>
      <c r="D1710" s="246">
        <v>1</v>
      </c>
      <c r="E1710" s="246">
        <v>2</v>
      </c>
      <c r="F1710" s="246">
        <v>3</v>
      </c>
      <c r="G1710" s="246">
        <v>5</v>
      </c>
      <c r="H1710" s="246">
        <v>6</v>
      </c>
      <c r="I1710" s="246">
        <v>9</v>
      </c>
      <c r="J1710" s="246">
        <v>10</v>
      </c>
      <c r="K1710" s="246">
        <v>13</v>
      </c>
      <c r="L1710" s="246">
        <v>15</v>
      </c>
      <c r="M1710" s="246">
        <v>16</v>
      </c>
      <c r="N1710" s="246"/>
      <c r="O1710" s="246"/>
      <c r="P1710" s="246"/>
      <c r="Q1710" s="246"/>
      <c r="R1710" s="246">
        <f>IFERROR(VLOOKUP(D1710,PROGRAMAS[],2,FALSE),0)</f>
        <v>97037803.679377079</v>
      </c>
      <c r="S1710" s="246">
        <f>IFERROR(VLOOKUP(E1710,PROGRAMAS[],2,FALSE),0)</f>
        <v>640501509.6821388</v>
      </c>
      <c r="T1710" s="246">
        <f>IFERROR(VLOOKUP(F1710,PROGRAMAS[],2,FALSE),0)</f>
        <v>3062327798.1525245</v>
      </c>
      <c r="U1710" s="246">
        <f>IFERROR(VLOOKUP(G1710,PROGRAMAS[],2,FALSE),0)</f>
        <v>1440941976.2528784</v>
      </c>
      <c r="V1710" s="246">
        <f>IFERROR(VLOOKUP(H1710,PROGRAMAS[],2,FALSE),0)</f>
        <v>6907648435.8447599</v>
      </c>
      <c r="W1710" s="246">
        <f>IFERROR(VLOOKUP(I1710,PROGRAMAS[],2,FALSE),0)</f>
        <v>6128579952.1618185</v>
      </c>
      <c r="X1710" s="246">
        <f>IFERROR(VLOOKUP(J1710,PROGRAMAS[],2,FALSE),0)</f>
        <v>4635315027.8751087</v>
      </c>
      <c r="Y1710" s="246">
        <f>IFERROR(VLOOKUP(K1710,PROGRAMAS[],2,FALSE),0)</f>
        <v>3776538594.4604583</v>
      </c>
      <c r="Z1710" s="246">
        <f>IFERROR(VLOOKUP(L1710,PROGRAMAS[],2,FALSE),0)</f>
        <v>122159672.96346797</v>
      </c>
      <c r="AA1710" s="246">
        <f>IFERROR(VLOOKUP(M1710,PROGRAMAS[],2,FALSE),0)</f>
        <v>7068496961.0436354</v>
      </c>
      <c r="AB1710" s="246">
        <f>IFERROR(VLOOKUP(N1710,PROGRAMAS[],2,FALSE),0)</f>
        <v>0</v>
      </c>
      <c r="AC1710" s="246">
        <f>IFERROR(VLOOKUP(O1710,PROGRAMAS[],2,FALSE),0)</f>
        <v>0</v>
      </c>
      <c r="AD1710" s="246">
        <f>IFERROR(VLOOKUP(P1710,PROGRAMAS[],2,FALSE),0)</f>
        <v>0</v>
      </c>
      <c r="AE1710" s="246">
        <f>IFERROR(VLOOKUP(Q1710,PROGRAMAS[],2,FALSE),0)</f>
        <v>0</v>
      </c>
      <c r="AF1710" s="246">
        <f>IFERROR(VLOOKUP(D1710,PROGRAMAS[],3,FALSE),0)</f>
        <v>841888629.31080008</v>
      </c>
      <c r="AG1710" s="246">
        <f>IFERROR(VLOOKUP(E1710,PROGRAMAS[],3,FALSE),0)</f>
        <v>3848980803.1642323</v>
      </c>
      <c r="AH1710" s="246">
        <f>IFERROR(VLOOKUP(F1710,PROGRAMAS[],3,FALSE),0)</f>
        <v>3394901471.387517</v>
      </c>
      <c r="AI1710" s="246">
        <f>IFERROR(VLOOKUP(G1710,PROGRAMAS[],3,FALSE),0)</f>
        <v>1233505101.0616004</v>
      </c>
      <c r="AJ1710" s="246">
        <f>IFERROR(VLOOKUP(H1710,PROGRAMAS[],3,FALSE),0)</f>
        <v>6129902208.7912121</v>
      </c>
      <c r="AK1710" s="246">
        <f>IFERROR(VLOOKUP(I1710,PROGRAMAS[],3,FALSE),0)</f>
        <v>7011279577.519702</v>
      </c>
      <c r="AL1710" s="246">
        <f>IFERROR(VLOOKUP(J1710,PROGRAMAS[],3,FALSE),0)</f>
        <v>4099471734.9978786</v>
      </c>
      <c r="AM1710" s="246">
        <f>IFERROR(VLOOKUP(K1710,PROGRAMAS[],3,FALSE),0)</f>
        <v>2392571243.5584412</v>
      </c>
      <c r="AN1710" s="246">
        <f>IFERROR(VLOOKUP(L1710,PROGRAMAS[],3,FALSE),0)</f>
        <v>118617452.52510804</v>
      </c>
      <c r="AO1710" s="246">
        <f>IFERROR(VLOOKUP(M1710,PROGRAMAS[],3,FALSE),0)</f>
        <v>2406564599.0319901</v>
      </c>
      <c r="AP1710" s="246">
        <f>IFERROR(VLOOKUP(N1710,PROGRAMAS[],3,FALSE),0)</f>
        <v>0</v>
      </c>
      <c r="AQ1710" s="246">
        <f>IFERROR(VLOOKUP(O1710,PROGRAMAS[],3,FALSE),0)</f>
        <v>0</v>
      </c>
      <c r="AR1710" s="246">
        <f>IFERROR(VLOOKUP(P1710,PROGRAMAS[],3,FALSE),0)</f>
        <v>0</v>
      </c>
      <c r="AS1710" s="246">
        <f>IFERROR(VLOOKUP(Q1710,PROGRAMAS[],3,FALSE),0)</f>
        <v>0</v>
      </c>
      <c r="AT1710" s="246">
        <f>IFERROR(VLOOKUP(D1710,VOL_REC[],2,FALSE),0)</f>
        <v>0</v>
      </c>
      <c r="AU1710" s="246">
        <f>IFERROR(VLOOKUP(E1710,VOL_REC[],2,FALSE),0)</f>
        <v>0</v>
      </c>
      <c r="AV1710" s="246">
        <f>IFERROR(VLOOKUP(F1710,VOL_REC[],2,FALSE),0)</f>
        <v>11089674.200000001</v>
      </c>
      <c r="AW1710" s="246">
        <f>IFERROR(VLOOKUP(G1710,VOL_REC[],2,FALSE),0)</f>
        <v>4325103.1812214684</v>
      </c>
      <c r="AX1710" s="246">
        <f>IFERROR(VLOOKUP(H1710,VOL_REC[],2,FALSE),0)</f>
        <v>15540036.397699751</v>
      </c>
      <c r="AY1710" s="246">
        <f>IFERROR(VLOOKUP(I1710,VOL_REC[],2,FALSE),0)</f>
        <v>3761786</v>
      </c>
      <c r="AZ1710" s="246">
        <f>IFERROR(VLOOKUP(J1710,VOL_REC[],2,FALSE),0)</f>
        <v>1812240</v>
      </c>
      <c r="BA1710" s="246">
        <f>IFERROR(VLOOKUP(K1710,VOL_REC[],2,FALSE),0)</f>
        <v>663244.80000000016</v>
      </c>
      <c r="BB1710" s="246">
        <f>IFERROR(VLOOKUP(L1710,VOL_REC[],2,FALSE),0)</f>
        <v>105072</v>
      </c>
      <c r="BC1710" s="246">
        <f>IFERROR(VLOOKUP(M1710,VOL_REC[],2,FALSE),0)</f>
        <v>1072354.9981737854</v>
      </c>
      <c r="BD1710" s="246">
        <f>IFERROR(VLOOKUP(N1710,VOL_REC[],2,FALSE),0)</f>
        <v>0</v>
      </c>
      <c r="BE1710" s="246">
        <f>IFERROR(VLOOKUP(O1710,VOL_REC[],2,FALSE),0)</f>
        <v>0</v>
      </c>
      <c r="BF1710" s="246">
        <f>IFERROR(VLOOKUP(P1710,VOL_REC[],2,FALSE),0)</f>
        <v>0</v>
      </c>
      <c r="BG1710" s="246">
        <f>IFERROR(VLOOKUP(Q1710,VOL_REC[],2,FALSE),0)</f>
        <v>0</v>
      </c>
      <c r="BH1710" s="1710">
        <f t="shared" si="104"/>
        <v>33879547732.116165</v>
      </c>
      <c r="BI1710" s="1710">
        <f t="shared" si="105"/>
        <v>31477682821.348484</v>
      </c>
      <c r="BJ1710" s="1711">
        <f t="shared" si="106"/>
        <v>38369511.577095002</v>
      </c>
      <c r="BK1710" s="1711">
        <f t="shared" si="107"/>
        <v>1.0763037395223614</v>
      </c>
      <c r="BL1710">
        <f>BJ1710</f>
        <v>38369511.577095002</v>
      </c>
      <c r="BO1710">
        <f>BL1710</f>
        <v>38369511.577095002</v>
      </c>
    </row>
    <row r="1711" spans="3:67" x14ac:dyDescent="0.25">
      <c r="C1711" s="246" t="s">
        <v>3061</v>
      </c>
      <c r="D1711" s="246">
        <v>1</v>
      </c>
      <c r="E1711" s="246">
        <v>2</v>
      </c>
      <c r="F1711" s="246">
        <v>3</v>
      </c>
      <c r="G1711" s="246">
        <v>5</v>
      </c>
      <c r="H1711" s="246">
        <v>6</v>
      </c>
      <c r="I1711" s="246">
        <v>9</v>
      </c>
      <c r="J1711" s="246">
        <v>10</v>
      </c>
      <c r="K1711" s="246">
        <v>13</v>
      </c>
      <c r="L1711" s="246">
        <v>15</v>
      </c>
      <c r="M1711" s="246">
        <v>17</v>
      </c>
      <c r="N1711" s="246"/>
      <c r="O1711" s="246"/>
      <c r="P1711" s="246"/>
      <c r="Q1711" s="246"/>
      <c r="R1711" s="246">
        <f>IFERROR(VLOOKUP(D1711,PROGRAMAS[],2,FALSE),0)</f>
        <v>97037803.679377079</v>
      </c>
      <c r="S1711" s="246">
        <f>IFERROR(VLOOKUP(E1711,PROGRAMAS[],2,FALSE),0)</f>
        <v>640501509.6821388</v>
      </c>
      <c r="T1711" s="246">
        <f>IFERROR(VLOOKUP(F1711,PROGRAMAS[],2,FALSE),0)</f>
        <v>3062327798.1525245</v>
      </c>
      <c r="U1711" s="246">
        <f>IFERROR(VLOOKUP(G1711,PROGRAMAS[],2,FALSE),0)</f>
        <v>1440941976.2528784</v>
      </c>
      <c r="V1711" s="246">
        <f>IFERROR(VLOOKUP(H1711,PROGRAMAS[],2,FALSE),0)</f>
        <v>6907648435.8447599</v>
      </c>
      <c r="W1711" s="246">
        <f>IFERROR(VLOOKUP(I1711,PROGRAMAS[],2,FALSE),0)</f>
        <v>6128579952.1618185</v>
      </c>
      <c r="X1711" s="246">
        <f>IFERROR(VLOOKUP(J1711,PROGRAMAS[],2,FALSE),0)</f>
        <v>4635315027.8751087</v>
      </c>
      <c r="Y1711" s="246">
        <f>IFERROR(VLOOKUP(K1711,PROGRAMAS[],2,FALSE),0)</f>
        <v>3776538594.4604583</v>
      </c>
      <c r="Z1711" s="246">
        <f>IFERROR(VLOOKUP(L1711,PROGRAMAS[],2,FALSE),0)</f>
        <v>122159672.96346797</v>
      </c>
      <c r="AA1711" s="246">
        <f>IFERROR(VLOOKUP(M1711,PROGRAMAS[],2,FALSE),0)</f>
        <v>1892779498.5211046</v>
      </c>
      <c r="AB1711" s="246">
        <f>IFERROR(VLOOKUP(N1711,PROGRAMAS[],2,FALSE),0)</f>
        <v>0</v>
      </c>
      <c r="AC1711" s="246">
        <f>IFERROR(VLOOKUP(O1711,PROGRAMAS[],2,FALSE),0)</f>
        <v>0</v>
      </c>
      <c r="AD1711" s="246">
        <f>IFERROR(VLOOKUP(P1711,PROGRAMAS[],2,FALSE),0)</f>
        <v>0</v>
      </c>
      <c r="AE1711" s="246">
        <f>IFERROR(VLOOKUP(Q1711,PROGRAMAS[],2,FALSE),0)</f>
        <v>0</v>
      </c>
      <c r="AF1711" s="246">
        <f>IFERROR(VLOOKUP(D1711,PROGRAMAS[],3,FALSE),0)</f>
        <v>841888629.31080008</v>
      </c>
      <c r="AG1711" s="246">
        <f>IFERROR(VLOOKUP(E1711,PROGRAMAS[],3,FALSE),0)</f>
        <v>3848980803.1642323</v>
      </c>
      <c r="AH1711" s="246">
        <f>IFERROR(VLOOKUP(F1711,PROGRAMAS[],3,FALSE),0)</f>
        <v>3394901471.387517</v>
      </c>
      <c r="AI1711" s="246">
        <f>IFERROR(VLOOKUP(G1711,PROGRAMAS[],3,FALSE),0)</f>
        <v>1233505101.0616004</v>
      </c>
      <c r="AJ1711" s="246">
        <f>IFERROR(VLOOKUP(H1711,PROGRAMAS[],3,FALSE),0)</f>
        <v>6129902208.7912121</v>
      </c>
      <c r="AK1711" s="246">
        <f>IFERROR(VLOOKUP(I1711,PROGRAMAS[],3,FALSE),0)</f>
        <v>7011279577.519702</v>
      </c>
      <c r="AL1711" s="246">
        <f>IFERROR(VLOOKUP(J1711,PROGRAMAS[],3,FALSE),0)</f>
        <v>4099471734.9978786</v>
      </c>
      <c r="AM1711" s="246">
        <f>IFERROR(VLOOKUP(K1711,PROGRAMAS[],3,FALSE),0)</f>
        <v>2392571243.5584412</v>
      </c>
      <c r="AN1711" s="246">
        <f>IFERROR(VLOOKUP(L1711,PROGRAMAS[],3,FALSE),0)</f>
        <v>118617452.52510804</v>
      </c>
      <c r="AO1711" s="246">
        <f>IFERROR(VLOOKUP(M1711,PROGRAMAS[],3,FALSE),0)</f>
        <v>948595847.09039903</v>
      </c>
      <c r="AP1711" s="246">
        <f>IFERROR(VLOOKUP(N1711,PROGRAMAS[],3,FALSE),0)</f>
        <v>0</v>
      </c>
      <c r="AQ1711" s="246">
        <f>IFERROR(VLOOKUP(O1711,PROGRAMAS[],3,FALSE),0)</f>
        <v>0</v>
      </c>
      <c r="AR1711" s="246">
        <f>IFERROR(VLOOKUP(P1711,PROGRAMAS[],3,FALSE),0)</f>
        <v>0</v>
      </c>
      <c r="AS1711" s="246">
        <f>IFERROR(VLOOKUP(Q1711,PROGRAMAS[],3,FALSE),0)</f>
        <v>0</v>
      </c>
      <c r="AT1711" s="246">
        <f>IFERROR(VLOOKUP(D1711,VOL_REC[],2,FALSE),0)</f>
        <v>0</v>
      </c>
      <c r="AU1711" s="246">
        <f>IFERROR(VLOOKUP(E1711,VOL_REC[],2,FALSE),0)</f>
        <v>0</v>
      </c>
      <c r="AV1711" s="246">
        <f>IFERROR(VLOOKUP(F1711,VOL_REC[],2,FALSE),0)</f>
        <v>11089674.200000001</v>
      </c>
      <c r="AW1711" s="246">
        <f>IFERROR(VLOOKUP(G1711,VOL_REC[],2,FALSE),0)</f>
        <v>4325103.1812214684</v>
      </c>
      <c r="AX1711" s="246">
        <f>IFERROR(VLOOKUP(H1711,VOL_REC[],2,FALSE),0)</f>
        <v>15540036.397699751</v>
      </c>
      <c r="AY1711" s="246">
        <f>IFERROR(VLOOKUP(I1711,VOL_REC[],2,FALSE),0)</f>
        <v>3761786</v>
      </c>
      <c r="AZ1711" s="246">
        <f>IFERROR(VLOOKUP(J1711,VOL_REC[],2,FALSE),0)</f>
        <v>1812240</v>
      </c>
      <c r="BA1711" s="246">
        <f>IFERROR(VLOOKUP(K1711,VOL_REC[],2,FALSE),0)</f>
        <v>663244.80000000016</v>
      </c>
      <c r="BB1711" s="246">
        <f>IFERROR(VLOOKUP(L1711,VOL_REC[],2,FALSE),0)</f>
        <v>105072</v>
      </c>
      <c r="BC1711" s="246">
        <f>IFERROR(VLOOKUP(M1711,VOL_REC[],2,FALSE),0)</f>
        <v>740113.98115702497</v>
      </c>
      <c r="BD1711" s="246">
        <f>IFERROR(VLOOKUP(N1711,VOL_REC[],2,FALSE),0)</f>
        <v>0</v>
      </c>
      <c r="BE1711" s="246">
        <f>IFERROR(VLOOKUP(O1711,VOL_REC[],2,FALSE),0)</f>
        <v>0</v>
      </c>
      <c r="BF1711" s="246">
        <f>IFERROR(VLOOKUP(P1711,VOL_REC[],2,FALSE),0)</f>
        <v>0</v>
      </c>
      <c r="BG1711" s="246">
        <f>IFERROR(VLOOKUP(Q1711,VOL_REC[],2,FALSE),0)</f>
        <v>0</v>
      </c>
      <c r="BH1711" s="1710">
        <f t="shared" si="104"/>
        <v>28703830269.593632</v>
      </c>
      <c r="BI1711" s="1710">
        <f t="shared" si="105"/>
        <v>30019714069.406895</v>
      </c>
      <c r="BJ1711" s="1711">
        <f t="shared" si="106"/>
        <v>38037270.560078241</v>
      </c>
      <c r="BK1711" s="1711">
        <f t="shared" si="107"/>
        <v>0.95616601154924785</v>
      </c>
    </row>
    <row r="1712" spans="3:67" x14ac:dyDescent="0.25">
      <c r="C1712" s="246" t="s">
        <v>3062</v>
      </c>
      <c r="D1712" s="246">
        <v>1</v>
      </c>
      <c r="E1712" s="246">
        <v>2</v>
      </c>
      <c r="F1712" s="246">
        <v>3</v>
      </c>
      <c r="G1712" s="246">
        <v>5</v>
      </c>
      <c r="H1712" s="246">
        <v>6</v>
      </c>
      <c r="I1712" s="246">
        <v>9</v>
      </c>
      <c r="J1712" s="246">
        <v>10</v>
      </c>
      <c r="K1712" s="246">
        <v>13</v>
      </c>
      <c r="L1712" s="246">
        <v>16</v>
      </c>
      <c r="M1712" s="246">
        <v>17</v>
      </c>
      <c r="N1712" s="246"/>
      <c r="O1712" s="246"/>
      <c r="P1712" s="246"/>
      <c r="Q1712" s="246"/>
      <c r="R1712" s="246">
        <f>IFERROR(VLOOKUP(D1712,PROGRAMAS[],2,FALSE),0)</f>
        <v>97037803.679377079</v>
      </c>
      <c r="S1712" s="246">
        <f>IFERROR(VLOOKUP(E1712,PROGRAMAS[],2,FALSE),0)</f>
        <v>640501509.6821388</v>
      </c>
      <c r="T1712" s="246">
        <f>IFERROR(VLOOKUP(F1712,PROGRAMAS[],2,FALSE),0)</f>
        <v>3062327798.1525245</v>
      </c>
      <c r="U1712" s="246">
        <f>IFERROR(VLOOKUP(G1712,PROGRAMAS[],2,FALSE),0)</f>
        <v>1440941976.2528784</v>
      </c>
      <c r="V1712" s="246">
        <f>IFERROR(VLOOKUP(H1712,PROGRAMAS[],2,FALSE),0)</f>
        <v>6907648435.8447599</v>
      </c>
      <c r="W1712" s="246">
        <f>IFERROR(VLOOKUP(I1712,PROGRAMAS[],2,FALSE),0)</f>
        <v>6128579952.1618185</v>
      </c>
      <c r="X1712" s="246">
        <f>IFERROR(VLOOKUP(J1712,PROGRAMAS[],2,FALSE),0)</f>
        <v>4635315027.8751087</v>
      </c>
      <c r="Y1712" s="246">
        <f>IFERROR(VLOOKUP(K1712,PROGRAMAS[],2,FALSE),0)</f>
        <v>3776538594.4604583</v>
      </c>
      <c r="Z1712" s="246">
        <f>IFERROR(VLOOKUP(L1712,PROGRAMAS[],2,FALSE),0)</f>
        <v>7068496961.0436354</v>
      </c>
      <c r="AA1712" s="246">
        <f>IFERROR(VLOOKUP(M1712,PROGRAMAS[],2,FALSE),0)</f>
        <v>1892779498.5211046</v>
      </c>
      <c r="AB1712" s="246">
        <f>IFERROR(VLOOKUP(N1712,PROGRAMAS[],2,FALSE),0)</f>
        <v>0</v>
      </c>
      <c r="AC1712" s="246">
        <f>IFERROR(VLOOKUP(O1712,PROGRAMAS[],2,FALSE),0)</f>
        <v>0</v>
      </c>
      <c r="AD1712" s="246">
        <f>IFERROR(VLOOKUP(P1712,PROGRAMAS[],2,FALSE),0)</f>
        <v>0</v>
      </c>
      <c r="AE1712" s="246">
        <f>IFERROR(VLOOKUP(Q1712,PROGRAMAS[],2,FALSE),0)</f>
        <v>0</v>
      </c>
      <c r="AF1712" s="246">
        <f>IFERROR(VLOOKUP(D1712,PROGRAMAS[],3,FALSE),0)</f>
        <v>841888629.31080008</v>
      </c>
      <c r="AG1712" s="246">
        <f>IFERROR(VLOOKUP(E1712,PROGRAMAS[],3,FALSE),0)</f>
        <v>3848980803.1642323</v>
      </c>
      <c r="AH1712" s="246">
        <f>IFERROR(VLOOKUP(F1712,PROGRAMAS[],3,FALSE),0)</f>
        <v>3394901471.387517</v>
      </c>
      <c r="AI1712" s="246">
        <f>IFERROR(VLOOKUP(G1712,PROGRAMAS[],3,FALSE),0)</f>
        <v>1233505101.0616004</v>
      </c>
      <c r="AJ1712" s="246">
        <f>IFERROR(VLOOKUP(H1712,PROGRAMAS[],3,FALSE),0)</f>
        <v>6129902208.7912121</v>
      </c>
      <c r="AK1712" s="246">
        <f>IFERROR(VLOOKUP(I1712,PROGRAMAS[],3,FALSE),0)</f>
        <v>7011279577.519702</v>
      </c>
      <c r="AL1712" s="246">
        <f>IFERROR(VLOOKUP(J1712,PROGRAMAS[],3,FALSE),0)</f>
        <v>4099471734.9978786</v>
      </c>
      <c r="AM1712" s="246">
        <f>IFERROR(VLOOKUP(K1712,PROGRAMAS[],3,FALSE),0)</f>
        <v>2392571243.5584412</v>
      </c>
      <c r="AN1712" s="246">
        <f>IFERROR(VLOOKUP(L1712,PROGRAMAS[],3,FALSE),0)</f>
        <v>2406564599.0319901</v>
      </c>
      <c r="AO1712" s="246">
        <f>IFERROR(VLOOKUP(M1712,PROGRAMAS[],3,FALSE),0)</f>
        <v>948595847.09039903</v>
      </c>
      <c r="AP1712" s="246">
        <f>IFERROR(VLOOKUP(N1712,PROGRAMAS[],3,FALSE),0)</f>
        <v>0</v>
      </c>
      <c r="AQ1712" s="246">
        <f>IFERROR(VLOOKUP(O1712,PROGRAMAS[],3,FALSE),0)</f>
        <v>0</v>
      </c>
      <c r="AR1712" s="246">
        <f>IFERROR(VLOOKUP(P1712,PROGRAMAS[],3,FALSE),0)</f>
        <v>0</v>
      </c>
      <c r="AS1712" s="246">
        <f>IFERROR(VLOOKUP(Q1712,PROGRAMAS[],3,FALSE),0)</f>
        <v>0</v>
      </c>
      <c r="AT1712" s="246">
        <f>IFERROR(VLOOKUP(D1712,VOL_REC[],2,FALSE),0)</f>
        <v>0</v>
      </c>
      <c r="AU1712" s="246">
        <f>IFERROR(VLOOKUP(E1712,VOL_REC[],2,FALSE),0)</f>
        <v>0</v>
      </c>
      <c r="AV1712" s="246">
        <f>IFERROR(VLOOKUP(F1712,VOL_REC[],2,FALSE),0)</f>
        <v>11089674.200000001</v>
      </c>
      <c r="AW1712" s="246">
        <f>IFERROR(VLOOKUP(G1712,VOL_REC[],2,FALSE),0)</f>
        <v>4325103.1812214684</v>
      </c>
      <c r="AX1712" s="246">
        <f>IFERROR(VLOOKUP(H1712,VOL_REC[],2,FALSE),0)</f>
        <v>15540036.397699751</v>
      </c>
      <c r="AY1712" s="246">
        <f>IFERROR(VLOOKUP(I1712,VOL_REC[],2,FALSE),0)</f>
        <v>3761786</v>
      </c>
      <c r="AZ1712" s="246">
        <f>IFERROR(VLOOKUP(J1712,VOL_REC[],2,FALSE),0)</f>
        <v>1812240</v>
      </c>
      <c r="BA1712" s="246">
        <f>IFERROR(VLOOKUP(K1712,VOL_REC[],2,FALSE),0)</f>
        <v>663244.80000000016</v>
      </c>
      <c r="BB1712" s="246">
        <f>IFERROR(VLOOKUP(L1712,VOL_REC[],2,FALSE),0)</f>
        <v>1072354.9981737854</v>
      </c>
      <c r="BC1712" s="246">
        <f>IFERROR(VLOOKUP(M1712,VOL_REC[],2,FALSE),0)</f>
        <v>740113.98115702497</v>
      </c>
      <c r="BD1712" s="246">
        <f>IFERROR(VLOOKUP(N1712,VOL_REC[],2,FALSE),0)</f>
        <v>0</v>
      </c>
      <c r="BE1712" s="246">
        <f>IFERROR(VLOOKUP(O1712,VOL_REC[],2,FALSE),0)</f>
        <v>0</v>
      </c>
      <c r="BF1712" s="246">
        <f>IFERROR(VLOOKUP(P1712,VOL_REC[],2,FALSE),0)</f>
        <v>0</v>
      </c>
      <c r="BG1712" s="246">
        <f>IFERROR(VLOOKUP(Q1712,VOL_REC[],2,FALSE),0)</f>
        <v>0</v>
      </c>
      <c r="BH1712" s="1710">
        <f t="shared" si="104"/>
        <v>35650167557.673805</v>
      </c>
      <c r="BI1712" s="1710">
        <f t="shared" si="105"/>
        <v>32307661215.913776</v>
      </c>
      <c r="BJ1712" s="1711">
        <f t="shared" si="106"/>
        <v>39004553.558252029</v>
      </c>
      <c r="BK1712" s="1711">
        <f t="shared" si="107"/>
        <v>1.1034586291908253</v>
      </c>
      <c r="BL1712">
        <f>BJ1712</f>
        <v>39004553.558252029</v>
      </c>
      <c r="BO1712">
        <f>BL1712</f>
        <v>39004553.558252029</v>
      </c>
    </row>
    <row r="1713" spans="3:67" x14ac:dyDescent="0.25">
      <c r="C1713" s="246" t="s">
        <v>3063</v>
      </c>
      <c r="D1713" s="246">
        <v>1</v>
      </c>
      <c r="E1713" s="246">
        <v>2</v>
      </c>
      <c r="F1713" s="246">
        <v>3</v>
      </c>
      <c r="G1713" s="246">
        <v>5</v>
      </c>
      <c r="H1713" s="246">
        <v>6</v>
      </c>
      <c r="I1713" s="246">
        <v>9</v>
      </c>
      <c r="J1713" s="246">
        <v>10</v>
      </c>
      <c r="K1713" s="246">
        <v>14</v>
      </c>
      <c r="L1713" s="246">
        <v>15</v>
      </c>
      <c r="M1713" s="246">
        <v>16</v>
      </c>
      <c r="N1713" s="246"/>
      <c r="O1713" s="246"/>
      <c r="P1713" s="246"/>
      <c r="Q1713" s="246"/>
      <c r="R1713" s="246">
        <f>IFERROR(VLOOKUP(D1713,PROGRAMAS[],2,FALSE),0)</f>
        <v>97037803.679377079</v>
      </c>
      <c r="S1713" s="246">
        <f>IFERROR(VLOOKUP(E1713,PROGRAMAS[],2,FALSE),0)</f>
        <v>640501509.6821388</v>
      </c>
      <c r="T1713" s="246">
        <f>IFERROR(VLOOKUP(F1713,PROGRAMAS[],2,FALSE),0)</f>
        <v>3062327798.1525245</v>
      </c>
      <c r="U1713" s="246">
        <f>IFERROR(VLOOKUP(G1713,PROGRAMAS[],2,FALSE),0)</f>
        <v>1440941976.2528784</v>
      </c>
      <c r="V1713" s="246">
        <f>IFERROR(VLOOKUP(H1713,PROGRAMAS[],2,FALSE),0)</f>
        <v>6907648435.8447599</v>
      </c>
      <c r="W1713" s="246">
        <f>IFERROR(VLOOKUP(I1713,PROGRAMAS[],2,FALSE),0)</f>
        <v>6128579952.1618185</v>
      </c>
      <c r="X1713" s="246">
        <f>IFERROR(VLOOKUP(J1713,PROGRAMAS[],2,FALSE),0)</f>
        <v>4635315027.8751087</v>
      </c>
      <c r="Y1713" s="246">
        <f>IFERROR(VLOOKUP(K1713,PROGRAMAS[],2,FALSE),0)</f>
        <v>54223862.645839565</v>
      </c>
      <c r="Z1713" s="246">
        <f>IFERROR(VLOOKUP(L1713,PROGRAMAS[],2,FALSE),0)</f>
        <v>122159672.96346797</v>
      </c>
      <c r="AA1713" s="246">
        <f>IFERROR(VLOOKUP(M1713,PROGRAMAS[],2,FALSE),0)</f>
        <v>7068496961.0436354</v>
      </c>
      <c r="AB1713" s="246">
        <f>IFERROR(VLOOKUP(N1713,PROGRAMAS[],2,FALSE),0)</f>
        <v>0</v>
      </c>
      <c r="AC1713" s="246">
        <f>IFERROR(VLOOKUP(O1713,PROGRAMAS[],2,FALSE),0)</f>
        <v>0</v>
      </c>
      <c r="AD1713" s="246">
        <f>IFERROR(VLOOKUP(P1713,PROGRAMAS[],2,FALSE),0)</f>
        <v>0</v>
      </c>
      <c r="AE1713" s="246">
        <f>IFERROR(VLOOKUP(Q1713,PROGRAMAS[],2,FALSE),0)</f>
        <v>0</v>
      </c>
      <c r="AF1713" s="246">
        <f>IFERROR(VLOOKUP(D1713,PROGRAMAS[],3,FALSE),0)</f>
        <v>841888629.31080008</v>
      </c>
      <c r="AG1713" s="246">
        <f>IFERROR(VLOOKUP(E1713,PROGRAMAS[],3,FALSE),0)</f>
        <v>3848980803.1642323</v>
      </c>
      <c r="AH1713" s="246">
        <f>IFERROR(VLOOKUP(F1713,PROGRAMAS[],3,FALSE),0)</f>
        <v>3394901471.387517</v>
      </c>
      <c r="AI1713" s="246">
        <f>IFERROR(VLOOKUP(G1713,PROGRAMAS[],3,FALSE),0)</f>
        <v>1233505101.0616004</v>
      </c>
      <c r="AJ1713" s="246">
        <f>IFERROR(VLOOKUP(H1713,PROGRAMAS[],3,FALSE),0)</f>
        <v>6129902208.7912121</v>
      </c>
      <c r="AK1713" s="246">
        <f>IFERROR(VLOOKUP(I1713,PROGRAMAS[],3,FALSE),0)</f>
        <v>7011279577.519702</v>
      </c>
      <c r="AL1713" s="246">
        <f>IFERROR(VLOOKUP(J1713,PROGRAMAS[],3,FALSE),0)</f>
        <v>4099471734.9978786</v>
      </c>
      <c r="AM1713" s="246">
        <f>IFERROR(VLOOKUP(K1713,PROGRAMAS[],3,FALSE),0)</f>
        <v>31865326.38096505</v>
      </c>
      <c r="AN1713" s="246">
        <f>IFERROR(VLOOKUP(L1713,PROGRAMAS[],3,FALSE),0)</f>
        <v>118617452.52510804</v>
      </c>
      <c r="AO1713" s="246">
        <f>IFERROR(VLOOKUP(M1713,PROGRAMAS[],3,FALSE),0)</f>
        <v>2406564599.0319901</v>
      </c>
      <c r="AP1713" s="246">
        <f>IFERROR(VLOOKUP(N1713,PROGRAMAS[],3,FALSE),0)</f>
        <v>0</v>
      </c>
      <c r="AQ1713" s="246">
        <f>IFERROR(VLOOKUP(O1713,PROGRAMAS[],3,FALSE),0)</f>
        <v>0</v>
      </c>
      <c r="AR1713" s="246">
        <f>IFERROR(VLOOKUP(P1713,PROGRAMAS[],3,FALSE),0)</f>
        <v>0</v>
      </c>
      <c r="AS1713" s="246">
        <f>IFERROR(VLOOKUP(Q1713,PROGRAMAS[],3,FALSE),0)</f>
        <v>0</v>
      </c>
      <c r="AT1713" s="246">
        <f>IFERROR(VLOOKUP(D1713,VOL_REC[],2,FALSE),0)</f>
        <v>0</v>
      </c>
      <c r="AU1713" s="246">
        <f>IFERROR(VLOOKUP(E1713,VOL_REC[],2,FALSE),0)</f>
        <v>0</v>
      </c>
      <c r="AV1713" s="246">
        <f>IFERROR(VLOOKUP(F1713,VOL_REC[],2,FALSE),0)</f>
        <v>11089674.200000001</v>
      </c>
      <c r="AW1713" s="246">
        <f>IFERROR(VLOOKUP(G1713,VOL_REC[],2,FALSE),0)</f>
        <v>4325103.1812214684</v>
      </c>
      <c r="AX1713" s="246">
        <f>IFERROR(VLOOKUP(H1713,VOL_REC[],2,FALSE),0)</f>
        <v>15540036.397699751</v>
      </c>
      <c r="AY1713" s="246">
        <f>IFERROR(VLOOKUP(I1713,VOL_REC[],2,FALSE),0)</f>
        <v>3761786</v>
      </c>
      <c r="AZ1713" s="246">
        <f>IFERROR(VLOOKUP(J1713,VOL_REC[],2,FALSE),0)</f>
        <v>1812240</v>
      </c>
      <c r="BA1713" s="246">
        <f>IFERROR(VLOOKUP(K1713,VOL_REC[],2,FALSE),0)</f>
        <v>17074.045034105649</v>
      </c>
      <c r="BB1713" s="246">
        <f>IFERROR(VLOOKUP(L1713,VOL_REC[],2,FALSE),0)</f>
        <v>105072</v>
      </c>
      <c r="BC1713" s="246">
        <f>IFERROR(VLOOKUP(M1713,VOL_REC[],2,FALSE),0)</f>
        <v>1072354.9981737854</v>
      </c>
      <c r="BD1713" s="246">
        <f>IFERROR(VLOOKUP(N1713,VOL_REC[],2,FALSE),0)</f>
        <v>0</v>
      </c>
      <c r="BE1713" s="246">
        <f>IFERROR(VLOOKUP(O1713,VOL_REC[],2,FALSE),0)</f>
        <v>0</v>
      </c>
      <c r="BF1713" s="246">
        <f>IFERROR(VLOOKUP(P1713,VOL_REC[],2,FALSE),0)</f>
        <v>0</v>
      </c>
      <c r="BG1713" s="246">
        <f>IFERROR(VLOOKUP(Q1713,VOL_REC[],2,FALSE),0)</f>
        <v>0</v>
      </c>
      <c r="BH1713" s="1710">
        <f t="shared" si="104"/>
        <v>30157233000.301548</v>
      </c>
      <c r="BI1713" s="1710">
        <f t="shared" si="105"/>
        <v>29116976904.171009</v>
      </c>
      <c r="BJ1713" s="1711">
        <f t="shared" si="106"/>
        <v>37723340.822129108</v>
      </c>
      <c r="BK1713" s="1711">
        <f t="shared" si="107"/>
        <v>1.0357267892046005</v>
      </c>
      <c r="BL1713">
        <f>BJ1713</f>
        <v>37723340.822129108</v>
      </c>
      <c r="BO1713">
        <f>BL1713</f>
        <v>37723340.822129108</v>
      </c>
    </row>
    <row r="1714" spans="3:67" x14ac:dyDescent="0.25">
      <c r="C1714" s="246" t="s">
        <v>3064</v>
      </c>
      <c r="D1714" s="246">
        <v>1</v>
      </c>
      <c r="E1714" s="246">
        <v>2</v>
      </c>
      <c r="F1714" s="246">
        <v>3</v>
      </c>
      <c r="G1714" s="246">
        <v>5</v>
      </c>
      <c r="H1714" s="246">
        <v>6</v>
      </c>
      <c r="I1714" s="246">
        <v>9</v>
      </c>
      <c r="J1714" s="246">
        <v>10</v>
      </c>
      <c r="K1714" s="246">
        <v>14</v>
      </c>
      <c r="L1714" s="246">
        <v>15</v>
      </c>
      <c r="M1714" s="246">
        <v>17</v>
      </c>
      <c r="N1714" s="246"/>
      <c r="O1714" s="246"/>
      <c r="P1714" s="246"/>
      <c r="Q1714" s="246"/>
      <c r="R1714" s="246">
        <f>IFERROR(VLOOKUP(D1714,PROGRAMAS[],2,FALSE),0)</f>
        <v>97037803.679377079</v>
      </c>
      <c r="S1714" s="246">
        <f>IFERROR(VLOOKUP(E1714,PROGRAMAS[],2,FALSE),0)</f>
        <v>640501509.6821388</v>
      </c>
      <c r="T1714" s="246">
        <f>IFERROR(VLOOKUP(F1714,PROGRAMAS[],2,FALSE),0)</f>
        <v>3062327798.1525245</v>
      </c>
      <c r="U1714" s="246">
        <f>IFERROR(VLOOKUP(G1714,PROGRAMAS[],2,FALSE),0)</f>
        <v>1440941976.2528784</v>
      </c>
      <c r="V1714" s="246">
        <f>IFERROR(VLOOKUP(H1714,PROGRAMAS[],2,FALSE),0)</f>
        <v>6907648435.8447599</v>
      </c>
      <c r="W1714" s="246">
        <f>IFERROR(VLOOKUP(I1714,PROGRAMAS[],2,FALSE),0)</f>
        <v>6128579952.1618185</v>
      </c>
      <c r="X1714" s="246">
        <f>IFERROR(VLOOKUP(J1714,PROGRAMAS[],2,FALSE),0)</f>
        <v>4635315027.8751087</v>
      </c>
      <c r="Y1714" s="246">
        <f>IFERROR(VLOOKUP(K1714,PROGRAMAS[],2,FALSE),0)</f>
        <v>54223862.645839565</v>
      </c>
      <c r="Z1714" s="246">
        <f>IFERROR(VLOOKUP(L1714,PROGRAMAS[],2,FALSE),0)</f>
        <v>122159672.96346797</v>
      </c>
      <c r="AA1714" s="246">
        <f>IFERROR(VLOOKUP(M1714,PROGRAMAS[],2,FALSE),0)</f>
        <v>1892779498.5211046</v>
      </c>
      <c r="AB1714" s="246">
        <f>IFERROR(VLOOKUP(N1714,PROGRAMAS[],2,FALSE),0)</f>
        <v>0</v>
      </c>
      <c r="AC1714" s="246">
        <f>IFERROR(VLOOKUP(O1714,PROGRAMAS[],2,FALSE),0)</f>
        <v>0</v>
      </c>
      <c r="AD1714" s="246">
        <f>IFERROR(VLOOKUP(P1714,PROGRAMAS[],2,FALSE),0)</f>
        <v>0</v>
      </c>
      <c r="AE1714" s="246">
        <f>IFERROR(VLOOKUP(Q1714,PROGRAMAS[],2,FALSE),0)</f>
        <v>0</v>
      </c>
      <c r="AF1714" s="246">
        <f>IFERROR(VLOOKUP(D1714,PROGRAMAS[],3,FALSE),0)</f>
        <v>841888629.31080008</v>
      </c>
      <c r="AG1714" s="246">
        <f>IFERROR(VLOOKUP(E1714,PROGRAMAS[],3,FALSE),0)</f>
        <v>3848980803.1642323</v>
      </c>
      <c r="AH1714" s="246">
        <f>IFERROR(VLOOKUP(F1714,PROGRAMAS[],3,FALSE),0)</f>
        <v>3394901471.387517</v>
      </c>
      <c r="AI1714" s="246">
        <f>IFERROR(VLOOKUP(G1714,PROGRAMAS[],3,FALSE),0)</f>
        <v>1233505101.0616004</v>
      </c>
      <c r="AJ1714" s="246">
        <f>IFERROR(VLOOKUP(H1714,PROGRAMAS[],3,FALSE),0)</f>
        <v>6129902208.7912121</v>
      </c>
      <c r="AK1714" s="246">
        <f>IFERROR(VLOOKUP(I1714,PROGRAMAS[],3,FALSE),0)</f>
        <v>7011279577.519702</v>
      </c>
      <c r="AL1714" s="246">
        <f>IFERROR(VLOOKUP(J1714,PROGRAMAS[],3,FALSE),0)</f>
        <v>4099471734.9978786</v>
      </c>
      <c r="AM1714" s="246">
        <f>IFERROR(VLOOKUP(K1714,PROGRAMAS[],3,FALSE),0)</f>
        <v>31865326.38096505</v>
      </c>
      <c r="AN1714" s="246">
        <f>IFERROR(VLOOKUP(L1714,PROGRAMAS[],3,FALSE),0)</f>
        <v>118617452.52510804</v>
      </c>
      <c r="AO1714" s="246">
        <f>IFERROR(VLOOKUP(M1714,PROGRAMAS[],3,FALSE),0)</f>
        <v>948595847.09039903</v>
      </c>
      <c r="AP1714" s="246">
        <f>IFERROR(VLOOKUP(N1714,PROGRAMAS[],3,FALSE),0)</f>
        <v>0</v>
      </c>
      <c r="AQ1714" s="246">
        <f>IFERROR(VLOOKUP(O1714,PROGRAMAS[],3,FALSE),0)</f>
        <v>0</v>
      </c>
      <c r="AR1714" s="246">
        <f>IFERROR(VLOOKUP(P1714,PROGRAMAS[],3,FALSE),0)</f>
        <v>0</v>
      </c>
      <c r="AS1714" s="246">
        <f>IFERROR(VLOOKUP(Q1714,PROGRAMAS[],3,FALSE),0)</f>
        <v>0</v>
      </c>
      <c r="AT1714" s="246">
        <f>IFERROR(VLOOKUP(D1714,VOL_REC[],2,FALSE),0)</f>
        <v>0</v>
      </c>
      <c r="AU1714" s="246">
        <f>IFERROR(VLOOKUP(E1714,VOL_REC[],2,FALSE),0)</f>
        <v>0</v>
      </c>
      <c r="AV1714" s="246">
        <f>IFERROR(VLOOKUP(F1714,VOL_REC[],2,FALSE),0)</f>
        <v>11089674.200000001</v>
      </c>
      <c r="AW1714" s="246">
        <f>IFERROR(VLOOKUP(G1714,VOL_REC[],2,FALSE),0)</f>
        <v>4325103.1812214684</v>
      </c>
      <c r="AX1714" s="246">
        <f>IFERROR(VLOOKUP(H1714,VOL_REC[],2,FALSE),0)</f>
        <v>15540036.397699751</v>
      </c>
      <c r="AY1714" s="246">
        <f>IFERROR(VLOOKUP(I1714,VOL_REC[],2,FALSE),0)</f>
        <v>3761786</v>
      </c>
      <c r="AZ1714" s="246">
        <f>IFERROR(VLOOKUP(J1714,VOL_REC[],2,FALSE),0)</f>
        <v>1812240</v>
      </c>
      <c r="BA1714" s="246">
        <f>IFERROR(VLOOKUP(K1714,VOL_REC[],2,FALSE),0)</f>
        <v>17074.045034105649</v>
      </c>
      <c r="BB1714" s="246">
        <f>IFERROR(VLOOKUP(L1714,VOL_REC[],2,FALSE),0)</f>
        <v>105072</v>
      </c>
      <c r="BC1714" s="246">
        <f>IFERROR(VLOOKUP(M1714,VOL_REC[],2,FALSE),0)</f>
        <v>740113.98115702497</v>
      </c>
      <c r="BD1714" s="246">
        <f>IFERROR(VLOOKUP(N1714,VOL_REC[],2,FALSE),0)</f>
        <v>0</v>
      </c>
      <c r="BE1714" s="246">
        <f>IFERROR(VLOOKUP(O1714,VOL_REC[],2,FALSE),0)</f>
        <v>0</v>
      </c>
      <c r="BF1714" s="246">
        <f>IFERROR(VLOOKUP(P1714,VOL_REC[],2,FALSE),0)</f>
        <v>0</v>
      </c>
      <c r="BG1714" s="246">
        <f>IFERROR(VLOOKUP(Q1714,VOL_REC[],2,FALSE),0)</f>
        <v>0</v>
      </c>
      <c r="BH1714" s="1710">
        <f t="shared" si="104"/>
        <v>24981515537.779015</v>
      </c>
      <c r="BI1714" s="1710">
        <f t="shared" si="105"/>
        <v>27659008152.22942</v>
      </c>
      <c r="BJ1714" s="1711">
        <f t="shared" si="106"/>
        <v>37391099.805112347</v>
      </c>
      <c r="BK1714" s="1711">
        <f t="shared" si="107"/>
        <v>0.90319636193336927</v>
      </c>
    </row>
    <row r="1715" spans="3:67" x14ac:dyDescent="0.25">
      <c r="C1715" s="246" t="s">
        <v>3065</v>
      </c>
      <c r="D1715" s="246">
        <v>1</v>
      </c>
      <c r="E1715" s="246">
        <v>2</v>
      </c>
      <c r="F1715" s="246">
        <v>3</v>
      </c>
      <c r="G1715" s="246">
        <v>5</v>
      </c>
      <c r="H1715" s="246">
        <v>6</v>
      </c>
      <c r="I1715" s="246">
        <v>9</v>
      </c>
      <c r="J1715" s="246">
        <v>10</v>
      </c>
      <c r="K1715" s="246">
        <v>14</v>
      </c>
      <c r="L1715" s="246">
        <v>16</v>
      </c>
      <c r="M1715" s="246">
        <v>17</v>
      </c>
      <c r="N1715" s="246"/>
      <c r="O1715" s="246"/>
      <c r="P1715" s="246"/>
      <c r="Q1715" s="246"/>
      <c r="R1715" s="246">
        <f>IFERROR(VLOOKUP(D1715,PROGRAMAS[],2,FALSE),0)</f>
        <v>97037803.679377079</v>
      </c>
      <c r="S1715" s="246">
        <f>IFERROR(VLOOKUP(E1715,PROGRAMAS[],2,FALSE),0)</f>
        <v>640501509.6821388</v>
      </c>
      <c r="T1715" s="246">
        <f>IFERROR(VLOOKUP(F1715,PROGRAMAS[],2,FALSE),0)</f>
        <v>3062327798.1525245</v>
      </c>
      <c r="U1715" s="246">
        <f>IFERROR(VLOOKUP(G1715,PROGRAMAS[],2,FALSE),0)</f>
        <v>1440941976.2528784</v>
      </c>
      <c r="V1715" s="246">
        <f>IFERROR(VLOOKUP(H1715,PROGRAMAS[],2,FALSE),0)</f>
        <v>6907648435.8447599</v>
      </c>
      <c r="W1715" s="246">
        <f>IFERROR(VLOOKUP(I1715,PROGRAMAS[],2,FALSE),0)</f>
        <v>6128579952.1618185</v>
      </c>
      <c r="X1715" s="246">
        <f>IFERROR(VLOOKUP(J1715,PROGRAMAS[],2,FALSE),0)</f>
        <v>4635315027.8751087</v>
      </c>
      <c r="Y1715" s="246">
        <f>IFERROR(VLOOKUP(K1715,PROGRAMAS[],2,FALSE),0)</f>
        <v>54223862.645839565</v>
      </c>
      <c r="Z1715" s="246">
        <f>IFERROR(VLOOKUP(L1715,PROGRAMAS[],2,FALSE),0)</f>
        <v>7068496961.0436354</v>
      </c>
      <c r="AA1715" s="246">
        <f>IFERROR(VLOOKUP(M1715,PROGRAMAS[],2,FALSE),0)</f>
        <v>1892779498.5211046</v>
      </c>
      <c r="AB1715" s="246">
        <f>IFERROR(VLOOKUP(N1715,PROGRAMAS[],2,FALSE),0)</f>
        <v>0</v>
      </c>
      <c r="AC1715" s="246">
        <f>IFERROR(VLOOKUP(O1715,PROGRAMAS[],2,FALSE),0)</f>
        <v>0</v>
      </c>
      <c r="AD1715" s="246">
        <f>IFERROR(VLOOKUP(P1715,PROGRAMAS[],2,FALSE),0)</f>
        <v>0</v>
      </c>
      <c r="AE1715" s="246">
        <f>IFERROR(VLOOKUP(Q1715,PROGRAMAS[],2,FALSE),0)</f>
        <v>0</v>
      </c>
      <c r="AF1715" s="246">
        <f>IFERROR(VLOOKUP(D1715,PROGRAMAS[],3,FALSE),0)</f>
        <v>841888629.31080008</v>
      </c>
      <c r="AG1715" s="246">
        <f>IFERROR(VLOOKUP(E1715,PROGRAMAS[],3,FALSE),0)</f>
        <v>3848980803.1642323</v>
      </c>
      <c r="AH1715" s="246">
        <f>IFERROR(VLOOKUP(F1715,PROGRAMAS[],3,FALSE),0)</f>
        <v>3394901471.387517</v>
      </c>
      <c r="AI1715" s="246">
        <f>IFERROR(VLOOKUP(G1715,PROGRAMAS[],3,FALSE),0)</f>
        <v>1233505101.0616004</v>
      </c>
      <c r="AJ1715" s="246">
        <f>IFERROR(VLOOKUP(H1715,PROGRAMAS[],3,FALSE),0)</f>
        <v>6129902208.7912121</v>
      </c>
      <c r="AK1715" s="246">
        <f>IFERROR(VLOOKUP(I1715,PROGRAMAS[],3,FALSE),0)</f>
        <v>7011279577.519702</v>
      </c>
      <c r="AL1715" s="246">
        <f>IFERROR(VLOOKUP(J1715,PROGRAMAS[],3,FALSE),0)</f>
        <v>4099471734.9978786</v>
      </c>
      <c r="AM1715" s="246">
        <f>IFERROR(VLOOKUP(K1715,PROGRAMAS[],3,FALSE),0)</f>
        <v>31865326.38096505</v>
      </c>
      <c r="AN1715" s="246">
        <f>IFERROR(VLOOKUP(L1715,PROGRAMAS[],3,FALSE),0)</f>
        <v>2406564599.0319901</v>
      </c>
      <c r="AO1715" s="246">
        <f>IFERROR(VLOOKUP(M1715,PROGRAMAS[],3,FALSE),0)</f>
        <v>948595847.09039903</v>
      </c>
      <c r="AP1715" s="246">
        <f>IFERROR(VLOOKUP(N1715,PROGRAMAS[],3,FALSE),0)</f>
        <v>0</v>
      </c>
      <c r="AQ1715" s="246">
        <f>IFERROR(VLOOKUP(O1715,PROGRAMAS[],3,FALSE),0)</f>
        <v>0</v>
      </c>
      <c r="AR1715" s="246">
        <f>IFERROR(VLOOKUP(P1715,PROGRAMAS[],3,FALSE),0)</f>
        <v>0</v>
      </c>
      <c r="AS1715" s="246">
        <f>IFERROR(VLOOKUP(Q1715,PROGRAMAS[],3,FALSE),0)</f>
        <v>0</v>
      </c>
      <c r="AT1715" s="246">
        <f>IFERROR(VLOOKUP(D1715,VOL_REC[],2,FALSE),0)</f>
        <v>0</v>
      </c>
      <c r="AU1715" s="246">
        <f>IFERROR(VLOOKUP(E1715,VOL_REC[],2,FALSE),0)</f>
        <v>0</v>
      </c>
      <c r="AV1715" s="246">
        <f>IFERROR(VLOOKUP(F1715,VOL_REC[],2,FALSE),0)</f>
        <v>11089674.200000001</v>
      </c>
      <c r="AW1715" s="246">
        <f>IFERROR(VLOOKUP(G1715,VOL_REC[],2,FALSE),0)</f>
        <v>4325103.1812214684</v>
      </c>
      <c r="AX1715" s="246">
        <f>IFERROR(VLOOKUP(H1715,VOL_REC[],2,FALSE),0)</f>
        <v>15540036.397699751</v>
      </c>
      <c r="AY1715" s="246">
        <f>IFERROR(VLOOKUP(I1715,VOL_REC[],2,FALSE),0)</f>
        <v>3761786</v>
      </c>
      <c r="AZ1715" s="246">
        <f>IFERROR(VLOOKUP(J1715,VOL_REC[],2,FALSE),0)</f>
        <v>1812240</v>
      </c>
      <c r="BA1715" s="246">
        <f>IFERROR(VLOOKUP(K1715,VOL_REC[],2,FALSE),0)</f>
        <v>17074.045034105649</v>
      </c>
      <c r="BB1715" s="246">
        <f>IFERROR(VLOOKUP(L1715,VOL_REC[],2,FALSE),0)</f>
        <v>1072354.9981737854</v>
      </c>
      <c r="BC1715" s="246">
        <f>IFERROR(VLOOKUP(M1715,VOL_REC[],2,FALSE),0)</f>
        <v>740113.98115702497</v>
      </c>
      <c r="BD1715" s="246">
        <f>IFERROR(VLOOKUP(N1715,VOL_REC[],2,FALSE),0)</f>
        <v>0</v>
      </c>
      <c r="BE1715" s="246">
        <f>IFERROR(VLOOKUP(O1715,VOL_REC[],2,FALSE),0)</f>
        <v>0</v>
      </c>
      <c r="BF1715" s="246">
        <f>IFERROR(VLOOKUP(P1715,VOL_REC[],2,FALSE),0)</f>
        <v>0</v>
      </c>
      <c r="BG1715" s="246">
        <f>IFERROR(VLOOKUP(Q1715,VOL_REC[],2,FALSE),0)</f>
        <v>0</v>
      </c>
      <c r="BH1715" s="1710">
        <f t="shared" si="104"/>
        <v>31927852825.859184</v>
      </c>
      <c r="BI1715" s="1710">
        <f t="shared" si="105"/>
        <v>29946955298.736301</v>
      </c>
      <c r="BJ1715" s="1711">
        <f t="shared" si="106"/>
        <v>38358382.803286135</v>
      </c>
      <c r="BK1715" s="1711">
        <f t="shared" si="107"/>
        <v>1.0661468756126427</v>
      </c>
      <c r="BL1715">
        <f>BJ1715</f>
        <v>38358382.803286135</v>
      </c>
      <c r="BO1715">
        <f>BL1715</f>
        <v>38358382.803286135</v>
      </c>
    </row>
    <row r="1716" spans="3:67" x14ac:dyDescent="0.25">
      <c r="C1716" s="246" t="s">
        <v>3066</v>
      </c>
      <c r="D1716" s="246">
        <v>1</v>
      </c>
      <c r="E1716" s="246">
        <v>2</v>
      </c>
      <c r="F1716" s="246">
        <v>3</v>
      </c>
      <c r="G1716" s="246">
        <v>5</v>
      </c>
      <c r="H1716" s="246">
        <v>6</v>
      </c>
      <c r="I1716" s="246">
        <v>9</v>
      </c>
      <c r="J1716" s="246">
        <v>10</v>
      </c>
      <c r="K1716" s="246">
        <v>15</v>
      </c>
      <c r="L1716" s="246">
        <v>16</v>
      </c>
      <c r="M1716" s="246">
        <v>17</v>
      </c>
      <c r="N1716" s="246"/>
      <c r="O1716" s="246"/>
      <c r="P1716" s="246"/>
      <c r="Q1716" s="246"/>
      <c r="R1716" s="246">
        <f>IFERROR(VLOOKUP(D1716,PROGRAMAS[],2,FALSE),0)</f>
        <v>97037803.679377079</v>
      </c>
      <c r="S1716" s="246">
        <f>IFERROR(VLOOKUP(E1716,PROGRAMAS[],2,FALSE),0)</f>
        <v>640501509.6821388</v>
      </c>
      <c r="T1716" s="246">
        <f>IFERROR(VLOOKUP(F1716,PROGRAMAS[],2,FALSE),0)</f>
        <v>3062327798.1525245</v>
      </c>
      <c r="U1716" s="246">
        <f>IFERROR(VLOOKUP(G1716,PROGRAMAS[],2,FALSE),0)</f>
        <v>1440941976.2528784</v>
      </c>
      <c r="V1716" s="246">
        <f>IFERROR(VLOOKUP(H1716,PROGRAMAS[],2,FALSE),0)</f>
        <v>6907648435.8447599</v>
      </c>
      <c r="W1716" s="246">
        <f>IFERROR(VLOOKUP(I1716,PROGRAMAS[],2,FALSE),0)</f>
        <v>6128579952.1618185</v>
      </c>
      <c r="X1716" s="246">
        <f>IFERROR(VLOOKUP(J1716,PROGRAMAS[],2,FALSE),0)</f>
        <v>4635315027.8751087</v>
      </c>
      <c r="Y1716" s="246">
        <f>IFERROR(VLOOKUP(K1716,PROGRAMAS[],2,FALSE),0)</f>
        <v>122159672.96346797</v>
      </c>
      <c r="Z1716" s="246">
        <f>IFERROR(VLOOKUP(L1716,PROGRAMAS[],2,FALSE),0)</f>
        <v>7068496961.0436354</v>
      </c>
      <c r="AA1716" s="246">
        <f>IFERROR(VLOOKUP(M1716,PROGRAMAS[],2,FALSE),0)</f>
        <v>1892779498.5211046</v>
      </c>
      <c r="AB1716" s="246">
        <f>IFERROR(VLOOKUP(N1716,PROGRAMAS[],2,FALSE),0)</f>
        <v>0</v>
      </c>
      <c r="AC1716" s="246">
        <f>IFERROR(VLOOKUP(O1716,PROGRAMAS[],2,FALSE),0)</f>
        <v>0</v>
      </c>
      <c r="AD1716" s="246">
        <f>IFERROR(VLOOKUP(P1716,PROGRAMAS[],2,FALSE),0)</f>
        <v>0</v>
      </c>
      <c r="AE1716" s="246">
        <f>IFERROR(VLOOKUP(Q1716,PROGRAMAS[],2,FALSE),0)</f>
        <v>0</v>
      </c>
      <c r="AF1716" s="246">
        <f>IFERROR(VLOOKUP(D1716,PROGRAMAS[],3,FALSE),0)</f>
        <v>841888629.31080008</v>
      </c>
      <c r="AG1716" s="246">
        <f>IFERROR(VLOOKUP(E1716,PROGRAMAS[],3,FALSE),0)</f>
        <v>3848980803.1642323</v>
      </c>
      <c r="AH1716" s="246">
        <f>IFERROR(VLOOKUP(F1716,PROGRAMAS[],3,FALSE),0)</f>
        <v>3394901471.387517</v>
      </c>
      <c r="AI1716" s="246">
        <f>IFERROR(VLOOKUP(G1716,PROGRAMAS[],3,FALSE),0)</f>
        <v>1233505101.0616004</v>
      </c>
      <c r="AJ1716" s="246">
        <f>IFERROR(VLOOKUP(H1716,PROGRAMAS[],3,FALSE),0)</f>
        <v>6129902208.7912121</v>
      </c>
      <c r="AK1716" s="246">
        <f>IFERROR(VLOOKUP(I1716,PROGRAMAS[],3,FALSE),0)</f>
        <v>7011279577.519702</v>
      </c>
      <c r="AL1716" s="246">
        <f>IFERROR(VLOOKUP(J1716,PROGRAMAS[],3,FALSE),0)</f>
        <v>4099471734.9978786</v>
      </c>
      <c r="AM1716" s="246">
        <f>IFERROR(VLOOKUP(K1716,PROGRAMAS[],3,FALSE),0)</f>
        <v>118617452.52510804</v>
      </c>
      <c r="AN1716" s="246">
        <f>IFERROR(VLOOKUP(L1716,PROGRAMAS[],3,FALSE),0)</f>
        <v>2406564599.0319901</v>
      </c>
      <c r="AO1716" s="246">
        <f>IFERROR(VLOOKUP(M1716,PROGRAMAS[],3,FALSE),0)</f>
        <v>948595847.09039903</v>
      </c>
      <c r="AP1716" s="246">
        <f>IFERROR(VLOOKUP(N1716,PROGRAMAS[],3,FALSE),0)</f>
        <v>0</v>
      </c>
      <c r="AQ1716" s="246">
        <f>IFERROR(VLOOKUP(O1716,PROGRAMAS[],3,FALSE),0)</f>
        <v>0</v>
      </c>
      <c r="AR1716" s="246">
        <f>IFERROR(VLOOKUP(P1716,PROGRAMAS[],3,FALSE),0)</f>
        <v>0</v>
      </c>
      <c r="AS1716" s="246">
        <f>IFERROR(VLOOKUP(Q1716,PROGRAMAS[],3,FALSE),0)</f>
        <v>0</v>
      </c>
      <c r="AT1716" s="246">
        <f>IFERROR(VLOOKUP(D1716,VOL_REC[],2,FALSE),0)</f>
        <v>0</v>
      </c>
      <c r="AU1716" s="246">
        <f>IFERROR(VLOOKUP(E1716,VOL_REC[],2,FALSE),0)</f>
        <v>0</v>
      </c>
      <c r="AV1716" s="246">
        <f>IFERROR(VLOOKUP(F1716,VOL_REC[],2,FALSE),0)</f>
        <v>11089674.200000001</v>
      </c>
      <c r="AW1716" s="246">
        <f>IFERROR(VLOOKUP(G1716,VOL_REC[],2,FALSE),0)</f>
        <v>4325103.1812214684</v>
      </c>
      <c r="AX1716" s="246">
        <f>IFERROR(VLOOKUP(H1716,VOL_REC[],2,FALSE),0)</f>
        <v>15540036.397699751</v>
      </c>
      <c r="AY1716" s="246">
        <f>IFERROR(VLOOKUP(I1716,VOL_REC[],2,FALSE),0)</f>
        <v>3761786</v>
      </c>
      <c r="AZ1716" s="246">
        <f>IFERROR(VLOOKUP(J1716,VOL_REC[],2,FALSE),0)</f>
        <v>1812240</v>
      </c>
      <c r="BA1716" s="246">
        <f>IFERROR(VLOOKUP(K1716,VOL_REC[],2,FALSE),0)</f>
        <v>105072</v>
      </c>
      <c r="BB1716" s="246">
        <f>IFERROR(VLOOKUP(L1716,VOL_REC[],2,FALSE),0)</f>
        <v>1072354.9981737854</v>
      </c>
      <c r="BC1716" s="246">
        <f>IFERROR(VLOOKUP(M1716,VOL_REC[],2,FALSE),0)</f>
        <v>740113.98115702497</v>
      </c>
      <c r="BD1716" s="246">
        <f>IFERROR(VLOOKUP(N1716,VOL_REC[],2,FALSE),0)</f>
        <v>0</v>
      </c>
      <c r="BE1716" s="246">
        <f>IFERROR(VLOOKUP(O1716,VOL_REC[],2,FALSE),0)</f>
        <v>0</v>
      </c>
      <c r="BF1716" s="246">
        <f>IFERROR(VLOOKUP(P1716,VOL_REC[],2,FALSE),0)</f>
        <v>0</v>
      </c>
      <c r="BG1716" s="246">
        <f>IFERROR(VLOOKUP(Q1716,VOL_REC[],2,FALSE),0)</f>
        <v>0</v>
      </c>
      <c r="BH1716" s="1710">
        <f t="shared" si="104"/>
        <v>31995788636.176811</v>
      </c>
      <c r="BI1716" s="1710">
        <f t="shared" si="105"/>
        <v>30033707424.880444</v>
      </c>
      <c r="BJ1716" s="1711">
        <f t="shared" si="106"/>
        <v>38446380.758252032</v>
      </c>
      <c r="BK1716" s="1711">
        <f t="shared" si="107"/>
        <v>1.0653293042893182</v>
      </c>
      <c r="BL1716">
        <f>BJ1716</f>
        <v>38446380.758252032</v>
      </c>
      <c r="BO1716">
        <f>BL1716</f>
        <v>38446380.758252032</v>
      </c>
    </row>
    <row r="1717" spans="3:67" x14ac:dyDescent="0.25">
      <c r="C1717" s="246" t="s">
        <v>3067</v>
      </c>
      <c r="D1717" s="246">
        <v>1</v>
      </c>
      <c r="E1717" s="246">
        <v>2</v>
      </c>
      <c r="F1717" s="246">
        <v>3</v>
      </c>
      <c r="G1717" s="246">
        <v>5</v>
      </c>
      <c r="H1717" s="246">
        <v>6</v>
      </c>
      <c r="I1717" s="246">
        <v>9</v>
      </c>
      <c r="J1717" s="246">
        <v>12</v>
      </c>
      <c r="K1717" s="246">
        <v>13</v>
      </c>
      <c r="L1717" s="246">
        <v>14</v>
      </c>
      <c r="M1717" s="246">
        <v>15</v>
      </c>
      <c r="N1717" s="246"/>
      <c r="O1717" s="246"/>
      <c r="P1717" s="246"/>
      <c r="Q1717" s="246"/>
      <c r="R1717" s="246">
        <f>IFERROR(VLOOKUP(D1717,PROGRAMAS[],2,FALSE),0)</f>
        <v>97037803.679377079</v>
      </c>
      <c r="S1717" s="246">
        <f>IFERROR(VLOOKUP(E1717,PROGRAMAS[],2,FALSE),0)</f>
        <v>640501509.6821388</v>
      </c>
      <c r="T1717" s="246">
        <f>IFERROR(VLOOKUP(F1717,PROGRAMAS[],2,FALSE),0)</f>
        <v>3062327798.1525245</v>
      </c>
      <c r="U1717" s="246">
        <f>IFERROR(VLOOKUP(G1717,PROGRAMAS[],2,FALSE),0)</f>
        <v>1440941976.2528784</v>
      </c>
      <c r="V1717" s="246">
        <f>IFERROR(VLOOKUP(H1717,PROGRAMAS[],2,FALSE),0)</f>
        <v>6907648435.8447599</v>
      </c>
      <c r="W1717" s="246">
        <f>IFERROR(VLOOKUP(I1717,PROGRAMAS[],2,FALSE),0)</f>
        <v>6128579952.1618185</v>
      </c>
      <c r="X1717" s="246">
        <f>IFERROR(VLOOKUP(J1717,PROGRAMAS[],2,FALSE),0)</f>
        <v>764796700.79905891</v>
      </c>
      <c r="Y1717" s="246">
        <f>IFERROR(VLOOKUP(K1717,PROGRAMAS[],2,FALSE),0)</f>
        <v>3776538594.4604583</v>
      </c>
      <c r="Z1717" s="246">
        <f>IFERROR(VLOOKUP(L1717,PROGRAMAS[],2,FALSE),0)</f>
        <v>54223862.645839565</v>
      </c>
      <c r="AA1717" s="246">
        <f>IFERROR(VLOOKUP(M1717,PROGRAMAS[],2,FALSE),0)</f>
        <v>122159672.96346797</v>
      </c>
      <c r="AB1717" s="246">
        <f>IFERROR(VLOOKUP(N1717,PROGRAMAS[],2,FALSE),0)</f>
        <v>0</v>
      </c>
      <c r="AC1717" s="246">
        <f>IFERROR(VLOOKUP(O1717,PROGRAMAS[],2,FALSE),0)</f>
        <v>0</v>
      </c>
      <c r="AD1717" s="246">
        <f>IFERROR(VLOOKUP(P1717,PROGRAMAS[],2,FALSE),0)</f>
        <v>0</v>
      </c>
      <c r="AE1717" s="246">
        <f>IFERROR(VLOOKUP(Q1717,PROGRAMAS[],2,FALSE),0)</f>
        <v>0</v>
      </c>
      <c r="AF1717" s="246">
        <f>IFERROR(VLOOKUP(D1717,PROGRAMAS[],3,FALSE),0)</f>
        <v>841888629.31080008</v>
      </c>
      <c r="AG1717" s="246">
        <f>IFERROR(VLOOKUP(E1717,PROGRAMAS[],3,FALSE),0)</f>
        <v>3848980803.1642323</v>
      </c>
      <c r="AH1717" s="246">
        <f>IFERROR(VLOOKUP(F1717,PROGRAMAS[],3,FALSE),0)</f>
        <v>3394901471.387517</v>
      </c>
      <c r="AI1717" s="246">
        <f>IFERROR(VLOOKUP(G1717,PROGRAMAS[],3,FALSE),0)</f>
        <v>1233505101.0616004</v>
      </c>
      <c r="AJ1717" s="246">
        <f>IFERROR(VLOOKUP(H1717,PROGRAMAS[],3,FALSE),0)</f>
        <v>6129902208.7912121</v>
      </c>
      <c r="AK1717" s="246">
        <f>IFERROR(VLOOKUP(I1717,PROGRAMAS[],3,FALSE),0)</f>
        <v>7011279577.519702</v>
      </c>
      <c r="AL1717" s="246">
        <f>IFERROR(VLOOKUP(J1717,PROGRAMAS[],3,FALSE),0)</f>
        <v>675517840.109828</v>
      </c>
      <c r="AM1717" s="246">
        <f>IFERROR(VLOOKUP(K1717,PROGRAMAS[],3,FALSE),0)</f>
        <v>2392571243.5584412</v>
      </c>
      <c r="AN1717" s="246">
        <f>IFERROR(VLOOKUP(L1717,PROGRAMAS[],3,FALSE),0)</f>
        <v>31865326.38096505</v>
      </c>
      <c r="AO1717" s="246">
        <f>IFERROR(VLOOKUP(M1717,PROGRAMAS[],3,FALSE),0)</f>
        <v>118617452.52510804</v>
      </c>
      <c r="AP1717" s="246">
        <f>IFERROR(VLOOKUP(N1717,PROGRAMAS[],3,FALSE),0)</f>
        <v>0</v>
      </c>
      <c r="AQ1717" s="246">
        <f>IFERROR(VLOOKUP(O1717,PROGRAMAS[],3,FALSE),0)</f>
        <v>0</v>
      </c>
      <c r="AR1717" s="246">
        <f>IFERROR(VLOOKUP(P1717,PROGRAMAS[],3,FALSE),0)</f>
        <v>0</v>
      </c>
      <c r="AS1717" s="246">
        <f>IFERROR(VLOOKUP(Q1717,PROGRAMAS[],3,FALSE),0)</f>
        <v>0</v>
      </c>
      <c r="AT1717" s="246">
        <f>IFERROR(VLOOKUP(D1717,VOL_REC[],2,FALSE),0)</f>
        <v>0</v>
      </c>
      <c r="AU1717" s="246">
        <f>IFERROR(VLOOKUP(E1717,VOL_REC[],2,FALSE),0)</f>
        <v>0</v>
      </c>
      <c r="AV1717" s="246">
        <f>IFERROR(VLOOKUP(F1717,VOL_REC[],2,FALSE),0)</f>
        <v>11089674.200000001</v>
      </c>
      <c r="AW1717" s="246">
        <f>IFERROR(VLOOKUP(G1717,VOL_REC[],2,FALSE),0)</f>
        <v>4325103.1812214684</v>
      </c>
      <c r="AX1717" s="246">
        <f>IFERROR(VLOOKUP(H1717,VOL_REC[],2,FALSE),0)</f>
        <v>15540036.397699751</v>
      </c>
      <c r="AY1717" s="246">
        <f>IFERROR(VLOOKUP(I1717,VOL_REC[],2,FALSE),0)</f>
        <v>3761786</v>
      </c>
      <c r="AZ1717" s="246">
        <f>IFERROR(VLOOKUP(J1717,VOL_REC[],2,FALSE),0)</f>
        <v>240696.79238099116</v>
      </c>
      <c r="BA1717" s="246">
        <f>IFERROR(VLOOKUP(K1717,VOL_REC[],2,FALSE),0)</f>
        <v>663244.80000000016</v>
      </c>
      <c r="BB1717" s="246">
        <f>IFERROR(VLOOKUP(L1717,VOL_REC[],2,FALSE),0)</f>
        <v>17074.045034105649</v>
      </c>
      <c r="BC1717" s="246">
        <f>IFERROR(VLOOKUP(M1717,VOL_REC[],2,FALSE),0)</f>
        <v>105072</v>
      </c>
      <c r="BD1717" s="246">
        <f>IFERROR(VLOOKUP(N1717,VOL_REC[],2,FALSE),0)</f>
        <v>0</v>
      </c>
      <c r="BE1717" s="246">
        <f>IFERROR(VLOOKUP(O1717,VOL_REC[],2,FALSE),0)</f>
        <v>0</v>
      </c>
      <c r="BF1717" s="246">
        <f>IFERROR(VLOOKUP(P1717,VOL_REC[],2,FALSE),0)</f>
        <v>0</v>
      </c>
      <c r="BG1717" s="246">
        <f>IFERROR(VLOOKUP(Q1717,VOL_REC[],2,FALSE),0)</f>
        <v>0</v>
      </c>
      <c r="BH1717" s="1710">
        <f t="shared" si="104"/>
        <v>22994756306.642319</v>
      </c>
      <c r="BI1717" s="1710">
        <f t="shared" si="105"/>
        <v>25679029653.80941</v>
      </c>
      <c r="BJ1717" s="1711">
        <f t="shared" si="106"/>
        <v>35742687.416336305</v>
      </c>
      <c r="BK1717" s="1711">
        <f t="shared" si="107"/>
        <v>0.89546827184068123</v>
      </c>
    </row>
    <row r="1718" spans="3:67" x14ac:dyDescent="0.25">
      <c r="C1718" s="246" t="s">
        <v>3068</v>
      </c>
      <c r="D1718" s="246">
        <v>1</v>
      </c>
      <c r="E1718" s="246">
        <v>2</v>
      </c>
      <c r="F1718" s="246">
        <v>3</v>
      </c>
      <c r="G1718" s="246">
        <v>5</v>
      </c>
      <c r="H1718" s="246">
        <v>6</v>
      </c>
      <c r="I1718" s="246">
        <v>9</v>
      </c>
      <c r="J1718" s="246">
        <v>12</v>
      </c>
      <c r="K1718" s="246">
        <v>13</v>
      </c>
      <c r="L1718" s="246">
        <v>14</v>
      </c>
      <c r="M1718" s="246">
        <v>16</v>
      </c>
      <c r="N1718" s="246"/>
      <c r="O1718" s="246"/>
      <c r="P1718" s="246"/>
      <c r="Q1718" s="246"/>
      <c r="R1718" s="246">
        <f>IFERROR(VLOOKUP(D1718,PROGRAMAS[],2,FALSE),0)</f>
        <v>97037803.679377079</v>
      </c>
      <c r="S1718" s="246">
        <f>IFERROR(VLOOKUP(E1718,PROGRAMAS[],2,FALSE),0)</f>
        <v>640501509.6821388</v>
      </c>
      <c r="T1718" s="246">
        <f>IFERROR(VLOOKUP(F1718,PROGRAMAS[],2,FALSE),0)</f>
        <v>3062327798.1525245</v>
      </c>
      <c r="U1718" s="246">
        <f>IFERROR(VLOOKUP(G1718,PROGRAMAS[],2,FALSE),0)</f>
        <v>1440941976.2528784</v>
      </c>
      <c r="V1718" s="246">
        <f>IFERROR(VLOOKUP(H1718,PROGRAMAS[],2,FALSE),0)</f>
        <v>6907648435.8447599</v>
      </c>
      <c r="W1718" s="246">
        <f>IFERROR(VLOOKUP(I1718,PROGRAMAS[],2,FALSE),0)</f>
        <v>6128579952.1618185</v>
      </c>
      <c r="X1718" s="246">
        <f>IFERROR(VLOOKUP(J1718,PROGRAMAS[],2,FALSE),0)</f>
        <v>764796700.79905891</v>
      </c>
      <c r="Y1718" s="246">
        <f>IFERROR(VLOOKUP(K1718,PROGRAMAS[],2,FALSE),0)</f>
        <v>3776538594.4604583</v>
      </c>
      <c r="Z1718" s="246">
        <f>IFERROR(VLOOKUP(L1718,PROGRAMAS[],2,FALSE),0)</f>
        <v>54223862.645839565</v>
      </c>
      <c r="AA1718" s="246">
        <f>IFERROR(VLOOKUP(M1718,PROGRAMAS[],2,FALSE),0)</f>
        <v>7068496961.0436354</v>
      </c>
      <c r="AB1718" s="246">
        <f>IFERROR(VLOOKUP(N1718,PROGRAMAS[],2,FALSE),0)</f>
        <v>0</v>
      </c>
      <c r="AC1718" s="246">
        <f>IFERROR(VLOOKUP(O1718,PROGRAMAS[],2,FALSE),0)</f>
        <v>0</v>
      </c>
      <c r="AD1718" s="246">
        <f>IFERROR(VLOOKUP(P1718,PROGRAMAS[],2,FALSE),0)</f>
        <v>0</v>
      </c>
      <c r="AE1718" s="246">
        <f>IFERROR(VLOOKUP(Q1718,PROGRAMAS[],2,FALSE),0)</f>
        <v>0</v>
      </c>
      <c r="AF1718" s="246">
        <f>IFERROR(VLOOKUP(D1718,PROGRAMAS[],3,FALSE),0)</f>
        <v>841888629.31080008</v>
      </c>
      <c r="AG1718" s="246">
        <f>IFERROR(VLOOKUP(E1718,PROGRAMAS[],3,FALSE),0)</f>
        <v>3848980803.1642323</v>
      </c>
      <c r="AH1718" s="246">
        <f>IFERROR(VLOOKUP(F1718,PROGRAMAS[],3,FALSE),0)</f>
        <v>3394901471.387517</v>
      </c>
      <c r="AI1718" s="246">
        <f>IFERROR(VLOOKUP(G1718,PROGRAMAS[],3,FALSE),0)</f>
        <v>1233505101.0616004</v>
      </c>
      <c r="AJ1718" s="246">
        <f>IFERROR(VLOOKUP(H1718,PROGRAMAS[],3,FALSE),0)</f>
        <v>6129902208.7912121</v>
      </c>
      <c r="AK1718" s="246">
        <f>IFERROR(VLOOKUP(I1718,PROGRAMAS[],3,FALSE),0)</f>
        <v>7011279577.519702</v>
      </c>
      <c r="AL1718" s="246">
        <f>IFERROR(VLOOKUP(J1718,PROGRAMAS[],3,FALSE),0)</f>
        <v>675517840.109828</v>
      </c>
      <c r="AM1718" s="246">
        <f>IFERROR(VLOOKUP(K1718,PROGRAMAS[],3,FALSE),0)</f>
        <v>2392571243.5584412</v>
      </c>
      <c r="AN1718" s="246">
        <f>IFERROR(VLOOKUP(L1718,PROGRAMAS[],3,FALSE),0)</f>
        <v>31865326.38096505</v>
      </c>
      <c r="AO1718" s="246">
        <f>IFERROR(VLOOKUP(M1718,PROGRAMAS[],3,FALSE),0)</f>
        <v>2406564599.0319901</v>
      </c>
      <c r="AP1718" s="246">
        <f>IFERROR(VLOOKUP(N1718,PROGRAMAS[],3,FALSE),0)</f>
        <v>0</v>
      </c>
      <c r="AQ1718" s="246">
        <f>IFERROR(VLOOKUP(O1718,PROGRAMAS[],3,FALSE),0)</f>
        <v>0</v>
      </c>
      <c r="AR1718" s="246">
        <f>IFERROR(VLOOKUP(P1718,PROGRAMAS[],3,FALSE),0)</f>
        <v>0</v>
      </c>
      <c r="AS1718" s="246">
        <f>IFERROR(VLOOKUP(Q1718,PROGRAMAS[],3,FALSE),0)</f>
        <v>0</v>
      </c>
      <c r="AT1718" s="246">
        <f>IFERROR(VLOOKUP(D1718,VOL_REC[],2,FALSE),0)</f>
        <v>0</v>
      </c>
      <c r="AU1718" s="246">
        <f>IFERROR(VLOOKUP(E1718,VOL_REC[],2,FALSE),0)</f>
        <v>0</v>
      </c>
      <c r="AV1718" s="246">
        <f>IFERROR(VLOOKUP(F1718,VOL_REC[],2,FALSE),0)</f>
        <v>11089674.200000001</v>
      </c>
      <c r="AW1718" s="246">
        <f>IFERROR(VLOOKUP(G1718,VOL_REC[],2,FALSE),0)</f>
        <v>4325103.1812214684</v>
      </c>
      <c r="AX1718" s="246">
        <f>IFERROR(VLOOKUP(H1718,VOL_REC[],2,FALSE),0)</f>
        <v>15540036.397699751</v>
      </c>
      <c r="AY1718" s="246">
        <f>IFERROR(VLOOKUP(I1718,VOL_REC[],2,FALSE),0)</f>
        <v>3761786</v>
      </c>
      <c r="AZ1718" s="246">
        <f>IFERROR(VLOOKUP(J1718,VOL_REC[],2,FALSE),0)</f>
        <v>240696.79238099116</v>
      </c>
      <c r="BA1718" s="246">
        <f>IFERROR(VLOOKUP(K1718,VOL_REC[],2,FALSE),0)</f>
        <v>663244.80000000016</v>
      </c>
      <c r="BB1718" s="246">
        <f>IFERROR(VLOOKUP(L1718,VOL_REC[],2,FALSE),0)</f>
        <v>17074.045034105649</v>
      </c>
      <c r="BC1718" s="246">
        <f>IFERROR(VLOOKUP(M1718,VOL_REC[],2,FALSE),0)</f>
        <v>1072354.9981737854</v>
      </c>
      <c r="BD1718" s="246">
        <f>IFERROR(VLOOKUP(N1718,VOL_REC[],2,FALSE),0)</f>
        <v>0</v>
      </c>
      <c r="BE1718" s="246">
        <f>IFERROR(VLOOKUP(O1718,VOL_REC[],2,FALSE),0)</f>
        <v>0</v>
      </c>
      <c r="BF1718" s="246">
        <f>IFERROR(VLOOKUP(P1718,VOL_REC[],2,FALSE),0)</f>
        <v>0</v>
      </c>
      <c r="BG1718" s="246">
        <f>IFERROR(VLOOKUP(Q1718,VOL_REC[],2,FALSE),0)</f>
        <v>0</v>
      </c>
      <c r="BH1718" s="1710">
        <f t="shared" si="104"/>
        <v>29941093594.722488</v>
      </c>
      <c r="BI1718" s="1710">
        <f t="shared" si="105"/>
        <v>27966976800.316292</v>
      </c>
      <c r="BJ1718" s="1711">
        <f t="shared" si="106"/>
        <v>36709970.414510094</v>
      </c>
      <c r="BK1718" s="1711">
        <f t="shared" si="107"/>
        <v>1.0705874220335416</v>
      </c>
      <c r="BL1718">
        <f>BJ1718</f>
        <v>36709970.414510094</v>
      </c>
      <c r="BO1718">
        <f>BL1718</f>
        <v>36709970.414510094</v>
      </c>
    </row>
    <row r="1719" spans="3:67" x14ac:dyDescent="0.25">
      <c r="C1719" s="246" t="s">
        <v>3069</v>
      </c>
      <c r="D1719" s="246">
        <v>1</v>
      </c>
      <c r="E1719" s="246">
        <v>2</v>
      </c>
      <c r="F1719" s="246">
        <v>3</v>
      </c>
      <c r="G1719" s="246">
        <v>5</v>
      </c>
      <c r="H1719" s="246">
        <v>6</v>
      </c>
      <c r="I1719" s="246">
        <v>9</v>
      </c>
      <c r="J1719" s="246">
        <v>12</v>
      </c>
      <c r="K1719" s="246">
        <v>13</v>
      </c>
      <c r="L1719" s="246">
        <v>14</v>
      </c>
      <c r="M1719" s="246">
        <v>17</v>
      </c>
      <c r="N1719" s="246"/>
      <c r="O1719" s="246"/>
      <c r="P1719" s="246"/>
      <c r="Q1719" s="246"/>
      <c r="R1719" s="246">
        <f>IFERROR(VLOOKUP(D1719,PROGRAMAS[],2,FALSE),0)</f>
        <v>97037803.679377079</v>
      </c>
      <c r="S1719" s="246">
        <f>IFERROR(VLOOKUP(E1719,PROGRAMAS[],2,FALSE),0)</f>
        <v>640501509.6821388</v>
      </c>
      <c r="T1719" s="246">
        <f>IFERROR(VLOOKUP(F1719,PROGRAMAS[],2,FALSE),0)</f>
        <v>3062327798.1525245</v>
      </c>
      <c r="U1719" s="246">
        <f>IFERROR(VLOOKUP(G1719,PROGRAMAS[],2,FALSE),0)</f>
        <v>1440941976.2528784</v>
      </c>
      <c r="V1719" s="246">
        <f>IFERROR(VLOOKUP(H1719,PROGRAMAS[],2,FALSE),0)</f>
        <v>6907648435.8447599</v>
      </c>
      <c r="W1719" s="246">
        <f>IFERROR(VLOOKUP(I1719,PROGRAMAS[],2,FALSE),0)</f>
        <v>6128579952.1618185</v>
      </c>
      <c r="X1719" s="246">
        <f>IFERROR(VLOOKUP(J1719,PROGRAMAS[],2,FALSE),0)</f>
        <v>764796700.79905891</v>
      </c>
      <c r="Y1719" s="246">
        <f>IFERROR(VLOOKUP(K1719,PROGRAMAS[],2,FALSE),0)</f>
        <v>3776538594.4604583</v>
      </c>
      <c r="Z1719" s="246">
        <f>IFERROR(VLOOKUP(L1719,PROGRAMAS[],2,FALSE),0)</f>
        <v>54223862.645839565</v>
      </c>
      <c r="AA1719" s="246">
        <f>IFERROR(VLOOKUP(M1719,PROGRAMAS[],2,FALSE),0)</f>
        <v>1892779498.5211046</v>
      </c>
      <c r="AB1719" s="246">
        <f>IFERROR(VLOOKUP(N1719,PROGRAMAS[],2,FALSE),0)</f>
        <v>0</v>
      </c>
      <c r="AC1719" s="246">
        <f>IFERROR(VLOOKUP(O1719,PROGRAMAS[],2,FALSE),0)</f>
        <v>0</v>
      </c>
      <c r="AD1719" s="246">
        <f>IFERROR(VLOOKUP(P1719,PROGRAMAS[],2,FALSE),0)</f>
        <v>0</v>
      </c>
      <c r="AE1719" s="246">
        <f>IFERROR(VLOOKUP(Q1719,PROGRAMAS[],2,FALSE),0)</f>
        <v>0</v>
      </c>
      <c r="AF1719" s="246">
        <f>IFERROR(VLOOKUP(D1719,PROGRAMAS[],3,FALSE),0)</f>
        <v>841888629.31080008</v>
      </c>
      <c r="AG1719" s="246">
        <f>IFERROR(VLOOKUP(E1719,PROGRAMAS[],3,FALSE),0)</f>
        <v>3848980803.1642323</v>
      </c>
      <c r="AH1719" s="246">
        <f>IFERROR(VLOOKUP(F1719,PROGRAMAS[],3,FALSE),0)</f>
        <v>3394901471.387517</v>
      </c>
      <c r="AI1719" s="246">
        <f>IFERROR(VLOOKUP(G1719,PROGRAMAS[],3,FALSE),0)</f>
        <v>1233505101.0616004</v>
      </c>
      <c r="AJ1719" s="246">
        <f>IFERROR(VLOOKUP(H1719,PROGRAMAS[],3,FALSE),0)</f>
        <v>6129902208.7912121</v>
      </c>
      <c r="AK1719" s="246">
        <f>IFERROR(VLOOKUP(I1719,PROGRAMAS[],3,FALSE),0)</f>
        <v>7011279577.519702</v>
      </c>
      <c r="AL1719" s="246">
        <f>IFERROR(VLOOKUP(J1719,PROGRAMAS[],3,FALSE),0)</f>
        <v>675517840.109828</v>
      </c>
      <c r="AM1719" s="246">
        <f>IFERROR(VLOOKUP(K1719,PROGRAMAS[],3,FALSE),0)</f>
        <v>2392571243.5584412</v>
      </c>
      <c r="AN1719" s="246">
        <f>IFERROR(VLOOKUP(L1719,PROGRAMAS[],3,FALSE),0)</f>
        <v>31865326.38096505</v>
      </c>
      <c r="AO1719" s="246">
        <f>IFERROR(VLOOKUP(M1719,PROGRAMAS[],3,FALSE),0)</f>
        <v>948595847.09039903</v>
      </c>
      <c r="AP1719" s="246">
        <f>IFERROR(VLOOKUP(N1719,PROGRAMAS[],3,FALSE),0)</f>
        <v>0</v>
      </c>
      <c r="AQ1719" s="246">
        <f>IFERROR(VLOOKUP(O1719,PROGRAMAS[],3,FALSE),0)</f>
        <v>0</v>
      </c>
      <c r="AR1719" s="246">
        <f>IFERROR(VLOOKUP(P1719,PROGRAMAS[],3,FALSE),0)</f>
        <v>0</v>
      </c>
      <c r="AS1719" s="246">
        <f>IFERROR(VLOOKUP(Q1719,PROGRAMAS[],3,FALSE),0)</f>
        <v>0</v>
      </c>
      <c r="AT1719" s="246">
        <f>IFERROR(VLOOKUP(D1719,VOL_REC[],2,FALSE),0)</f>
        <v>0</v>
      </c>
      <c r="AU1719" s="246">
        <f>IFERROR(VLOOKUP(E1719,VOL_REC[],2,FALSE),0)</f>
        <v>0</v>
      </c>
      <c r="AV1719" s="246">
        <f>IFERROR(VLOOKUP(F1719,VOL_REC[],2,FALSE),0)</f>
        <v>11089674.200000001</v>
      </c>
      <c r="AW1719" s="246">
        <f>IFERROR(VLOOKUP(G1719,VOL_REC[],2,FALSE),0)</f>
        <v>4325103.1812214684</v>
      </c>
      <c r="AX1719" s="246">
        <f>IFERROR(VLOOKUP(H1719,VOL_REC[],2,FALSE),0)</f>
        <v>15540036.397699751</v>
      </c>
      <c r="AY1719" s="246">
        <f>IFERROR(VLOOKUP(I1719,VOL_REC[],2,FALSE),0)</f>
        <v>3761786</v>
      </c>
      <c r="AZ1719" s="246">
        <f>IFERROR(VLOOKUP(J1719,VOL_REC[],2,FALSE),0)</f>
        <v>240696.79238099116</v>
      </c>
      <c r="BA1719" s="246">
        <f>IFERROR(VLOOKUP(K1719,VOL_REC[],2,FALSE),0)</f>
        <v>663244.80000000016</v>
      </c>
      <c r="BB1719" s="246">
        <f>IFERROR(VLOOKUP(L1719,VOL_REC[],2,FALSE),0)</f>
        <v>17074.045034105649</v>
      </c>
      <c r="BC1719" s="246">
        <f>IFERROR(VLOOKUP(M1719,VOL_REC[],2,FALSE),0)</f>
        <v>740113.98115702497</v>
      </c>
      <c r="BD1719" s="246">
        <f>IFERROR(VLOOKUP(N1719,VOL_REC[],2,FALSE),0)</f>
        <v>0</v>
      </c>
      <c r="BE1719" s="246">
        <f>IFERROR(VLOOKUP(O1719,VOL_REC[],2,FALSE),0)</f>
        <v>0</v>
      </c>
      <c r="BF1719" s="246">
        <f>IFERROR(VLOOKUP(P1719,VOL_REC[],2,FALSE),0)</f>
        <v>0</v>
      </c>
      <c r="BG1719" s="246">
        <f>IFERROR(VLOOKUP(Q1719,VOL_REC[],2,FALSE),0)</f>
        <v>0</v>
      </c>
      <c r="BH1719" s="1710">
        <f t="shared" si="104"/>
        <v>24765376132.199955</v>
      </c>
      <c r="BI1719" s="1710">
        <f t="shared" si="105"/>
        <v>26509008048.374702</v>
      </c>
      <c r="BJ1719" s="1711">
        <f t="shared" si="106"/>
        <v>36377729.397493333</v>
      </c>
      <c r="BK1719" s="1711">
        <f t="shared" si="107"/>
        <v>0.93422492788138667</v>
      </c>
    </row>
    <row r="1720" spans="3:67" x14ac:dyDescent="0.25">
      <c r="C1720" s="246" t="s">
        <v>3070</v>
      </c>
      <c r="D1720" s="246">
        <v>1</v>
      </c>
      <c r="E1720" s="246">
        <v>2</v>
      </c>
      <c r="F1720" s="246">
        <v>3</v>
      </c>
      <c r="G1720" s="246">
        <v>5</v>
      </c>
      <c r="H1720" s="246">
        <v>6</v>
      </c>
      <c r="I1720" s="246">
        <v>9</v>
      </c>
      <c r="J1720" s="246">
        <v>12</v>
      </c>
      <c r="K1720" s="246">
        <v>13</v>
      </c>
      <c r="L1720" s="246">
        <v>15</v>
      </c>
      <c r="M1720" s="246">
        <v>16</v>
      </c>
      <c r="N1720" s="246"/>
      <c r="O1720" s="246"/>
      <c r="P1720" s="246"/>
      <c r="Q1720" s="246"/>
      <c r="R1720" s="246">
        <f>IFERROR(VLOOKUP(D1720,PROGRAMAS[],2,FALSE),0)</f>
        <v>97037803.679377079</v>
      </c>
      <c r="S1720" s="246">
        <f>IFERROR(VLOOKUP(E1720,PROGRAMAS[],2,FALSE),0)</f>
        <v>640501509.6821388</v>
      </c>
      <c r="T1720" s="246">
        <f>IFERROR(VLOOKUP(F1720,PROGRAMAS[],2,FALSE),0)</f>
        <v>3062327798.1525245</v>
      </c>
      <c r="U1720" s="246">
        <f>IFERROR(VLOOKUP(G1720,PROGRAMAS[],2,FALSE),0)</f>
        <v>1440941976.2528784</v>
      </c>
      <c r="V1720" s="246">
        <f>IFERROR(VLOOKUP(H1720,PROGRAMAS[],2,FALSE),0)</f>
        <v>6907648435.8447599</v>
      </c>
      <c r="W1720" s="246">
        <f>IFERROR(VLOOKUP(I1720,PROGRAMAS[],2,FALSE),0)</f>
        <v>6128579952.1618185</v>
      </c>
      <c r="X1720" s="246">
        <f>IFERROR(VLOOKUP(J1720,PROGRAMAS[],2,FALSE),0)</f>
        <v>764796700.79905891</v>
      </c>
      <c r="Y1720" s="246">
        <f>IFERROR(VLOOKUP(K1720,PROGRAMAS[],2,FALSE),0)</f>
        <v>3776538594.4604583</v>
      </c>
      <c r="Z1720" s="246">
        <f>IFERROR(VLOOKUP(L1720,PROGRAMAS[],2,FALSE),0)</f>
        <v>122159672.96346797</v>
      </c>
      <c r="AA1720" s="246">
        <f>IFERROR(VLOOKUP(M1720,PROGRAMAS[],2,FALSE),0)</f>
        <v>7068496961.0436354</v>
      </c>
      <c r="AB1720" s="246">
        <f>IFERROR(VLOOKUP(N1720,PROGRAMAS[],2,FALSE),0)</f>
        <v>0</v>
      </c>
      <c r="AC1720" s="246">
        <f>IFERROR(VLOOKUP(O1720,PROGRAMAS[],2,FALSE),0)</f>
        <v>0</v>
      </c>
      <c r="AD1720" s="246">
        <f>IFERROR(VLOOKUP(P1720,PROGRAMAS[],2,FALSE),0)</f>
        <v>0</v>
      </c>
      <c r="AE1720" s="246">
        <f>IFERROR(VLOOKUP(Q1720,PROGRAMAS[],2,FALSE),0)</f>
        <v>0</v>
      </c>
      <c r="AF1720" s="246">
        <f>IFERROR(VLOOKUP(D1720,PROGRAMAS[],3,FALSE),0)</f>
        <v>841888629.31080008</v>
      </c>
      <c r="AG1720" s="246">
        <f>IFERROR(VLOOKUP(E1720,PROGRAMAS[],3,FALSE),0)</f>
        <v>3848980803.1642323</v>
      </c>
      <c r="AH1720" s="246">
        <f>IFERROR(VLOOKUP(F1720,PROGRAMAS[],3,FALSE),0)</f>
        <v>3394901471.387517</v>
      </c>
      <c r="AI1720" s="246">
        <f>IFERROR(VLOOKUP(G1720,PROGRAMAS[],3,FALSE),0)</f>
        <v>1233505101.0616004</v>
      </c>
      <c r="AJ1720" s="246">
        <f>IFERROR(VLOOKUP(H1720,PROGRAMAS[],3,FALSE),0)</f>
        <v>6129902208.7912121</v>
      </c>
      <c r="AK1720" s="246">
        <f>IFERROR(VLOOKUP(I1720,PROGRAMAS[],3,FALSE),0)</f>
        <v>7011279577.519702</v>
      </c>
      <c r="AL1720" s="246">
        <f>IFERROR(VLOOKUP(J1720,PROGRAMAS[],3,FALSE),0)</f>
        <v>675517840.109828</v>
      </c>
      <c r="AM1720" s="246">
        <f>IFERROR(VLOOKUP(K1720,PROGRAMAS[],3,FALSE),0)</f>
        <v>2392571243.5584412</v>
      </c>
      <c r="AN1720" s="246">
        <f>IFERROR(VLOOKUP(L1720,PROGRAMAS[],3,FALSE),0)</f>
        <v>118617452.52510804</v>
      </c>
      <c r="AO1720" s="246">
        <f>IFERROR(VLOOKUP(M1720,PROGRAMAS[],3,FALSE),0)</f>
        <v>2406564599.0319901</v>
      </c>
      <c r="AP1720" s="246">
        <f>IFERROR(VLOOKUP(N1720,PROGRAMAS[],3,FALSE),0)</f>
        <v>0</v>
      </c>
      <c r="AQ1720" s="246">
        <f>IFERROR(VLOOKUP(O1720,PROGRAMAS[],3,FALSE),0)</f>
        <v>0</v>
      </c>
      <c r="AR1720" s="246">
        <f>IFERROR(VLOOKUP(P1720,PROGRAMAS[],3,FALSE),0)</f>
        <v>0</v>
      </c>
      <c r="AS1720" s="246">
        <f>IFERROR(VLOOKUP(Q1720,PROGRAMAS[],3,FALSE),0)</f>
        <v>0</v>
      </c>
      <c r="AT1720" s="246">
        <f>IFERROR(VLOOKUP(D1720,VOL_REC[],2,FALSE),0)</f>
        <v>0</v>
      </c>
      <c r="AU1720" s="246">
        <f>IFERROR(VLOOKUP(E1720,VOL_REC[],2,FALSE),0)</f>
        <v>0</v>
      </c>
      <c r="AV1720" s="246">
        <f>IFERROR(VLOOKUP(F1720,VOL_REC[],2,FALSE),0)</f>
        <v>11089674.200000001</v>
      </c>
      <c r="AW1720" s="246">
        <f>IFERROR(VLOOKUP(G1720,VOL_REC[],2,FALSE),0)</f>
        <v>4325103.1812214684</v>
      </c>
      <c r="AX1720" s="246">
        <f>IFERROR(VLOOKUP(H1720,VOL_REC[],2,FALSE),0)</f>
        <v>15540036.397699751</v>
      </c>
      <c r="AY1720" s="246">
        <f>IFERROR(VLOOKUP(I1720,VOL_REC[],2,FALSE),0)</f>
        <v>3761786</v>
      </c>
      <c r="AZ1720" s="246">
        <f>IFERROR(VLOOKUP(J1720,VOL_REC[],2,FALSE),0)</f>
        <v>240696.79238099116</v>
      </c>
      <c r="BA1720" s="246">
        <f>IFERROR(VLOOKUP(K1720,VOL_REC[],2,FALSE),0)</f>
        <v>663244.80000000016</v>
      </c>
      <c r="BB1720" s="246">
        <f>IFERROR(VLOOKUP(L1720,VOL_REC[],2,FALSE),0)</f>
        <v>105072</v>
      </c>
      <c r="BC1720" s="246">
        <f>IFERROR(VLOOKUP(M1720,VOL_REC[],2,FALSE),0)</f>
        <v>1072354.9981737854</v>
      </c>
      <c r="BD1720" s="246">
        <f>IFERROR(VLOOKUP(N1720,VOL_REC[],2,FALSE),0)</f>
        <v>0</v>
      </c>
      <c r="BE1720" s="246">
        <f>IFERROR(VLOOKUP(O1720,VOL_REC[],2,FALSE),0)</f>
        <v>0</v>
      </c>
      <c r="BF1720" s="246">
        <f>IFERROR(VLOOKUP(P1720,VOL_REC[],2,FALSE),0)</f>
        <v>0</v>
      </c>
      <c r="BG1720" s="246">
        <f>IFERROR(VLOOKUP(Q1720,VOL_REC[],2,FALSE),0)</f>
        <v>0</v>
      </c>
      <c r="BH1720" s="1710">
        <f t="shared" si="104"/>
        <v>30009029405.040115</v>
      </c>
      <c r="BI1720" s="1710">
        <f t="shared" si="105"/>
        <v>28053728926.460434</v>
      </c>
      <c r="BJ1720" s="1711">
        <f t="shared" si="106"/>
        <v>36797968.369475991</v>
      </c>
      <c r="BK1720" s="1711">
        <f t="shared" si="107"/>
        <v>1.0696984163390639</v>
      </c>
      <c r="BL1720">
        <f>BJ1720</f>
        <v>36797968.369475991</v>
      </c>
      <c r="BO1720">
        <f>BL1720</f>
        <v>36797968.369475991</v>
      </c>
    </row>
    <row r="1721" spans="3:67" x14ac:dyDescent="0.25">
      <c r="C1721" s="246" t="s">
        <v>3071</v>
      </c>
      <c r="D1721" s="246">
        <v>1</v>
      </c>
      <c r="E1721" s="246">
        <v>2</v>
      </c>
      <c r="F1721" s="246">
        <v>3</v>
      </c>
      <c r="G1721" s="246">
        <v>5</v>
      </c>
      <c r="H1721" s="246">
        <v>6</v>
      </c>
      <c r="I1721" s="246">
        <v>9</v>
      </c>
      <c r="J1721" s="246">
        <v>12</v>
      </c>
      <c r="K1721" s="246">
        <v>13</v>
      </c>
      <c r="L1721" s="246">
        <v>15</v>
      </c>
      <c r="M1721" s="246">
        <v>17</v>
      </c>
      <c r="N1721" s="246"/>
      <c r="O1721" s="246"/>
      <c r="P1721" s="246"/>
      <c r="Q1721" s="246"/>
      <c r="R1721" s="246">
        <f>IFERROR(VLOOKUP(D1721,PROGRAMAS[],2,FALSE),0)</f>
        <v>97037803.679377079</v>
      </c>
      <c r="S1721" s="246">
        <f>IFERROR(VLOOKUP(E1721,PROGRAMAS[],2,FALSE),0)</f>
        <v>640501509.6821388</v>
      </c>
      <c r="T1721" s="246">
        <f>IFERROR(VLOOKUP(F1721,PROGRAMAS[],2,FALSE),0)</f>
        <v>3062327798.1525245</v>
      </c>
      <c r="U1721" s="246">
        <f>IFERROR(VLOOKUP(G1721,PROGRAMAS[],2,FALSE),0)</f>
        <v>1440941976.2528784</v>
      </c>
      <c r="V1721" s="246">
        <f>IFERROR(VLOOKUP(H1721,PROGRAMAS[],2,FALSE),0)</f>
        <v>6907648435.8447599</v>
      </c>
      <c r="W1721" s="246">
        <f>IFERROR(VLOOKUP(I1721,PROGRAMAS[],2,FALSE),0)</f>
        <v>6128579952.1618185</v>
      </c>
      <c r="X1721" s="246">
        <f>IFERROR(VLOOKUP(J1721,PROGRAMAS[],2,FALSE),0)</f>
        <v>764796700.79905891</v>
      </c>
      <c r="Y1721" s="246">
        <f>IFERROR(VLOOKUP(K1721,PROGRAMAS[],2,FALSE),0)</f>
        <v>3776538594.4604583</v>
      </c>
      <c r="Z1721" s="246">
        <f>IFERROR(VLOOKUP(L1721,PROGRAMAS[],2,FALSE),0)</f>
        <v>122159672.96346797</v>
      </c>
      <c r="AA1721" s="246">
        <f>IFERROR(VLOOKUP(M1721,PROGRAMAS[],2,FALSE),0)</f>
        <v>1892779498.5211046</v>
      </c>
      <c r="AB1721" s="246">
        <f>IFERROR(VLOOKUP(N1721,PROGRAMAS[],2,FALSE),0)</f>
        <v>0</v>
      </c>
      <c r="AC1721" s="246">
        <f>IFERROR(VLOOKUP(O1721,PROGRAMAS[],2,FALSE),0)</f>
        <v>0</v>
      </c>
      <c r="AD1721" s="246">
        <f>IFERROR(VLOOKUP(P1721,PROGRAMAS[],2,FALSE),0)</f>
        <v>0</v>
      </c>
      <c r="AE1721" s="246">
        <f>IFERROR(VLOOKUP(Q1721,PROGRAMAS[],2,FALSE),0)</f>
        <v>0</v>
      </c>
      <c r="AF1721" s="246">
        <f>IFERROR(VLOOKUP(D1721,PROGRAMAS[],3,FALSE),0)</f>
        <v>841888629.31080008</v>
      </c>
      <c r="AG1721" s="246">
        <f>IFERROR(VLOOKUP(E1721,PROGRAMAS[],3,FALSE),0)</f>
        <v>3848980803.1642323</v>
      </c>
      <c r="AH1721" s="246">
        <f>IFERROR(VLOOKUP(F1721,PROGRAMAS[],3,FALSE),0)</f>
        <v>3394901471.387517</v>
      </c>
      <c r="AI1721" s="246">
        <f>IFERROR(VLOOKUP(G1721,PROGRAMAS[],3,FALSE),0)</f>
        <v>1233505101.0616004</v>
      </c>
      <c r="AJ1721" s="246">
        <f>IFERROR(VLOOKUP(H1721,PROGRAMAS[],3,FALSE),0)</f>
        <v>6129902208.7912121</v>
      </c>
      <c r="AK1721" s="246">
        <f>IFERROR(VLOOKUP(I1721,PROGRAMAS[],3,FALSE),0)</f>
        <v>7011279577.519702</v>
      </c>
      <c r="AL1721" s="246">
        <f>IFERROR(VLOOKUP(J1721,PROGRAMAS[],3,FALSE),0)</f>
        <v>675517840.109828</v>
      </c>
      <c r="AM1721" s="246">
        <f>IFERROR(VLOOKUP(K1721,PROGRAMAS[],3,FALSE),0)</f>
        <v>2392571243.5584412</v>
      </c>
      <c r="AN1721" s="246">
        <f>IFERROR(VLOOKUP(L1721,PROGRAMAS[],3,FALSE),0)</f>
        <v>118617452.52510804</v>
      </c>
      <c r="AO1721" s="246">
        <f>IFERROR(VLOOKUP(M1721,PROGRAMAS[],3,FALSE),0)</f>
        <v>948595847.09039903</v>
      </c>
      <c r="AP1721" s="246">
        <f>IFERROR(VLOOKUP(N1721,PROGRAMAS[],3,FALSE),0)</f>
        <v>0</v>
      </c>
      <c r="AQ1721" s="246">
        <f>IFERROR(VLOOKUP(O1721,PROGRAMAS[],3,FALSE),0)</f>
        <v>0</v>
      </c>
      <c r="AR1721" s="246">
        <f>IFERROR(VLOOKUP(P1721,PROGRAMAS[],3,FALSE),0)</f>
        <v>0</v>
      </c>
      <c r="AS1721" s="246">
        <f>IFERROR(VLOOKUP(Q1721,PROGRAMAS[],3,FALSE),0)</f>
        <v>0</v>
      </c>
      <c r="AT1721" s="246">
        <f>IFERROR(VLOOKUP(D1721,VOL_REC[],2,FALSE),0)</f>
        <v>0</v>
      </c>
      <c r="AU1721" s="246">
        <f>IFERROR(VLOOKUP(E1721,VOL_REC[],2,FALSE),0)</f>
        <v>0</v>
      </c>
      <c r="AV1721" s="246">
        <f>IFERROR(VLOOKUP(F1721,VOL_REC[],2,FALSE),0)</f>
        <v>11089674.200000001</v>
      </c>
      <c r="AW1721" s="246">
        <f>IFERROR(VLOOKUP(G1721,VOL_REC[],2,FALSE),0)</f>
        <v>4325103.1812214684</v>
      </c>
      <c r="AX1721" s="246">
        <f>IFERROR(VLOOKUP(H1721,VOL_REC[],2,FALSE),0)</f>
        <v>15540036.397699751</v>
      </c>
      <c r="AY1721" s="246">
        <f>IFERROR(VLOOKUP(I1721,VOL_REC[],2,FALSE),0)</f>
        <v>3761786</v>
      </c>
      <c r="AZ1721" s="246">
        <f>IFERROR(VLOOKUP(J1721,VOL_REC[],2,FALSE),0)</f>
        <v>240696.79238099116</v>
      </c>
      <c r="BA1721" s="246">
        <f>IFERROR(VLOOKUP(K1721,VOL_REC[],2,FALSE),0)</f>
        <v>663244.80000000016</v>
      </c>
      <c r="BB1721" s="246">
        <f>IFERROR(VLOOKUP(L1721,VOL_REC[],2,FALSE),0)</f>
        <v>105072</v>
      </c>
      <c r="BC1721" s="246">
        <f>IFERROR(VLOOKUP(M1721,VOL_REC[],2,FALSE),0)</f>
        <v>740113.98115702497</v>
      </c>
      <c r="BD1721" s="246">
        <f>IFERROR(VLOOKUP(N1721,VOL_REC[],2,FALSE),0)</f>
        <v>0</v>
      </c>
      <c r="BE1721" s="246">
        <f>IFERROR(VLOOKUP(O1721,VOL_REC[],2,FALSE),0)</f>
        <v>0</v>
      </c>
      <c r="BF1721" s="246">
        <f>IFERROR(VLOOKUP(P1721,VOL_REC[],2,FALSE),0)</f>
        <v>0</v>
      </c>
      <c r="BG1721" s="246">
        <f>IFERROR(VLOOKUP(Q1721,VOL_REC[],2,FALSE),0)</f>
        <v>0</v>
      </c>
      <c r="BH1721" s="1710">
        <f t="shared" si="104"/>
        <v>24833311942.517582</v>
      </c>
      <c r="BI1721" s="1710">
        <f t="shared" si="105"/>
        <v>26595760174.518845</v>
      </c>
      <c r="BJ1721" s="1711">
        <f t="shared" si="106"/>
        <v>36465727.35245923</v>
      </c>
      <c r="BK1721" s="1711">
        <f t="shared" si="107"/>
        <v>0.93373198508197375</v>
      </c>
    </row>
    <row r="1722" spans="3:67" x14ac:dyDescent="0.25">
      <c r="C1722" s="246" t="s">
        <v>3072</v>
      </c>
      <c r="D1722" s="246">
        <v>1</v>
      </c>
      <c r="E1722" s="246">
        <v>2</v>
      </c>
      <c r="F1722" s="246">
        <v>3</v>
      </c>
      <c r="G1722" s="246">
        <v>5</v>
      </c>
      <c r="H1722" s="246">
        <v>6</v>
      </c>
      <c r="I1722" s="246">
        <v>9</v>
      </c>
      <c r="J1722" s="246">
        <v>12</v>
      </c>
      <c r="K1722" s="246">
        <v>13</v>
      </c>
      <c r="L1722" s="246">
        <v>16</v>
      </c>
      <c r="M1722" s="246">
        <v>17</v>
      </c>
      <c r="N1722" s="246"/>
      <c r="O1722" s="246"/>
      <c r="P1722" s="246"/>
      <c r="Q1722" s="246"/>
      <c r="R1722" s="246">
        <f>IFERROR(VLOOKUP(D1722,PROGRAMAS[],2,FALSE),0)</f>
        <v>97037803.679377079</v>
      </c>
      <c r="S1722" s="246">
        <f>IFERROR(VLOOKUP(E1722,PROGRAMAS[],2,FALSE),0)</f>
        <v>640501509.6821388</v>
      </c>
      <c r="T1722" s="246">
        <f>IFERROR(VLOOKUP(F1722,PROGRAMAS[],2,FALSE),0)</f>
        <v>3062327798.1525245</v>
      </c>
      <c r="U1722" s="246">
        <f>IFERROR(VLOOKUP(G1722,PROGRAMAS[],2,FALSE),0)</f>
        <v>1440941976.2528784</v>
      </c>
      <c r="V1722" s="246">
        <f>IFERROR(VLOOKUP(H1722,PROGRAMAS[],2,FALSE),0)</f>
        <v>6907648435.8447599</v>
      </c>
      <c r="W1722" s="246">
        <f>IFERROR(VLOOKUP(I1722,PROGRAMAS[],2,FALSE),0)</f>
        <v>6128579952.1618185</v>
      </c>
      <c r="X1722" s="246">
        <f>IFERROR(VLOOKUP(J1722,PROGRAMAS[],2,FALSE),0)</f>
        <v>764796700.79905891</v>
      </c>
      <c r="Y1722" s="246">
        <f>IFERROR(VLOOKUP(K1722,PROGRAMAS[],2,FALSE),0)</f>
        <v>3776538594.4604583</v>
      </c>
      <c r="Z1722" s="246">
        <f>IFERROR(VLOOKUP(L1722,PROGRAMAS[],2,FALSE),0)</f>
        <v>7068496961.0436354</v>
      </c>
      <c r="AA1722" s="246">
        <f>IFERROR(VLOOKUP(M1722,PROGRAMAS[],2,FALSE),0)</f>
        <v>1892779498.5211046</v>
      </c>
      <c r="AB1722" s="246">
        <f>IFERROR(VLOOKUP(N1722,PROGRAMAS[],2,FALSE),0)</f>
        <v>0</v>
      </c>
      <c r="AC1722" s="246">
        <f>IFERROR(VLOOKUP(O1722,PROGRAMAS[],2,FALSE),0)</f>
        <v>0</v>
      </c>
      <c r="AD1722" s="246">
        <f>IFERROR(VLOOKUP(P1722,PROGRAMAS[],2,FALSE),0)</f>
        <v>0</v>
      </c>
      <c r="AE1722" s="246">
        <f>IFERROR(VLOOKUP(Q1722,PROGRAMAS[],2,FALSE),0)</f>
        <v>0</v>
      </c>
      <c r="AF1722" s="246">
        <f>IFERROR(VLOOKUP(D1722,PROGRAMAS[],3,FALSE),0)</f>
        <v>841888629.31080008</v>
      </c>
      <c r="AG1722" s="246">
        <f>IFERROR(VLOOKUP(E1722,PROGRAMAS[],3,FALSE),0)</f>
        <v>3848980803.1642323</v>
      </c>
      <c r="AH1722" s="246">
        <f>IFERROR(VLOOKUP(F1722,PROGRAMAS[],3,FALSE),0)</f>
        <v>3394901471.387517</v>
      </c>
      <c r="AI1722" s="246">
        <f>IFERROR(VLOOKUP(G1722,PROGRAMAS[],3,FALSE),0)</f>
        <v>1233505101.0616004</v>
      </c>
      <c r="AJ1722" s="246">
        <f>IFERROR(VLOOKUP(H1722,PROGRAMAS[],3,FALSE),0)</f>
        <v>6129902208.7912121</v>
      </c>
      <c r="AK1722" s="246">
        <f>IFERROR(VLOOKUP(I1722,PROGRAMAS[],3,FALSE),0)</f>
        <v>7011279577.519702</v>
      </c>
      <c r="AL1722" s="246">
        <f>IFERROR(VLOOKUP(J1722,PROGRAMAS[],3,FALSE),0)</f>
        <v>675517840.109828</v>
      </c>
      <c r="AM1722" s="246">
        <f>IFERROR(VLOOKUP(K1722,PROGRAMAS[],3,FALSE),0)</f>
        <v>2392571243.5584412</v>
      </c>
      <c r="AN1722" s="246">
        <f>IFERROR(VLOOKUP(L1722,PROGRAMAS[],3,FALSE),0)</f>
        <v>2406564599.0319901</v>
      </c>
      <c r="AO1722" s="246">
        <f>IFERROR(VLOOKUP(M1722,PROGRAMAS[],3,FALSE),0)</f>
        <v>948595847.09039903</v>
      </c>
      <c r="AP1722" s="246">
        <f>IFERROR(VLOOKUP(N1722,PROGRAMAS[],3,FALSE),0)</f>
        <v>0</v>
      </c>
      <c r="AQ1722" s="246">
        <f>IFERROR(VLOOKUP(O1722,PROGRAMAS[],3,FALSE),0)</f>
        <v>0</v>
      </c>
      <c r="AR1722" s="246">
        <f>IFERROR(VLOOKUP(P1722,PROGRAMAS[],3,FALSE),0)</f>
        <v>0</v>
      </c>
      <c r="AS1722" s="246">
        <f>IFERROR(VLOOKUP(Q1722,PROGRAMAS[],3,FALSE),0)</f>
        <v>0</v>
      </c>
      <c r="AT1722" s="246">
        <f>IFERROR(VLOOKUP(D1722,VOL_REC[],2,FALSE),0)</f>
        <v>0</v>
      </c>
      <c r="AU1722" s="246">
        <f>IFERROR(VLOOKUP(E1722,VOL_REC[],2,FALSE),0)</f>
        <v>0</v>
      </c>
      <c r="AV1722" s="246">
        <f>IFERROR(VLOOKUP(F1722,VOL_REC[],2,FALSE),0)</f>
        <v>11089674.200000001</v>
      </c>
      <c r="AW1722" s="246">
        <f>IFERROR(VLOOKUP(G1722,VOL_REC[],2,FALSE),0)</f>
        <v>4325103.1812214684</v>
      </c>
      <c r="AX1722" s="246">
        <f>IFERROR(VLOOKUP(H1722,VOL_REC[],2,FALSE),0)</f>
        <v>15540036.397699751</v>
      </c>
      <c r="AY1722" s="246">
        <f>IFERROR(VLOOKUP(I1722,VOL_REC[],2,FALSE),0)</f>
        <v>3761786</v>
      </c>
      <c r="AZ1722" s="246">
        <f>IFERROR(VLOOKUP(J1722,VOL_REC[],2,FALSE),0)</f>
        <v>240696.79238099116</v>
      </c>
      <c r="BA1722" s="246">
        <f>IFERROR(VLOOKUP(K1722,VOL_REC[],2,FALSE),0)</f>
        <v>663244.80000000016</v>
      </c>
      <c r="BB1722" s="246">
        <f>IFERROR(VLOOKUP(L1722,VOL_REC[],2,FALSE),0)</f>
        <v>1072354.9981737854</v>
      </c>
      <c r="BC1722" s="246">
        <f>IFERROR(VLOOKUP(M1722,VOL_REC[],2,FALSE),0)</f>
        <v>740113.98115702497</v>
      </c>
      <c r="BD1722" s="246">
        <f>IFERROR(VLOOKUP(N1722,VOL_REC[],2,FALSE),0)</f>
        <v>0</v>
      </c>
      <c r="BE1722" s="246">
        <f>IFERROR(VLOOKUP(O1722,VOL_REC[],2,FALSE),0)</f>
        <v>0</v>
      </c>
      <c r="BF1722" s="246">
        <f>IFERROR(VLOOKUP(P1722,VOL_REC[],2,FALSE),0)</f>
        <v>0</v>
      </c>
      <c r="BG1722" s="246">
        <f>IFERROR(VLOOKUP(Q1722,VOL_REC[],2,FALSE),0)</f>
        <v>0</v>
      </c>
      <c r="BH1722" s="1710">
        <f t="shared" si="104"/>
        <v>31779649230.597752</v>
      </c>
      <c r="BI1722" s="1710">
        <f t="shared" si="105"/>
        <v>28883707321.025726</v>
      </c>
      <c r="BJ1722" s="1711">
        <f t="shared" si="106"/>
        <v>37433010.350633018</v>
      </c>
      <c r="BK1722" s="1711">
        <f t="shared" si="107"/>
        <v>1.100262126235573</v>
      </c>
      <c r="BL1722">
        <f>BJ1722</f>
        <v>37433010.350633018</v>
      </c>
      <c r="BO1722">
        <f>BL1722</f>
        <v>37433010.350633018</v>
      </c>
    </row>
    <row r="1723" spans="3:67" x14ac:dyDescent="0.25">
      <c r="C1723" s="246" t="s">
        <v>3073</v>
      </c>
      <c r="D1723" s="246">
        <v>1</v>
      </c>
      <c r="E1723" s="246">
        <v>2</v>
      </c>
      <c r="F1723" s="246">
        <v>3</v>
      </c>
      <c r="G1723" s="246">
        <v>5</v>
      </c>
      <c r="H1723" s="246">
        <v>6</v>
      </c>
      <c r="I1723" s="246">
        <v>9</v>
      </c>
      <c r="J1723" s="246">
        <v>12</v>
      </c>
      <c r="K1723" s="246">
        <v>14</v>
      </c>
      <c r="L1723" s="246">
        <v>15</v>
      </c>
      <c r="M1723" s="246">
        <v>16</v>
      </c>
      <c r="N1723" s="246"/>
      <c r="O1723" s="246"/>
      <c r="P1723" s="246"/>
      <c r="Q1723" s="246"/>
      <c r="R1723" s="246">
        <f>IFERROR(VLOOKUP(D1723,PROGRAMAS[],2,FALSE),0)</f>
        <v>97037803.679377079</v>
      </c>
      <c r="S1723" s="246">
        <f>IFERROR(VLOOKUP(E1723,PROGRAMAS[],2,FALSE),0)</f>
        <v>640501509.6821388</v>
      </c>
      <c r="T1723" s="246">
        <f>IFERROR(VLOOKUP(F1723,PROGRAMAS[],2,FALSE),0)</f>
        <v>3062327798.1525245</v>
      </c>
      <c r="U1723" s="246">
        <f>IFERROR(VLOOKUP(G1723,PROGRAMAS[],2,FALSE),0)</f>
        <v>1440941976.2528784</v>
      </c>
      <c r="V1723" s="246">
        <f>IFERROR(VLOOKUP(H1723,PROGRAMAS[],2,FALSE),0)</f>
        <v>6907648435.8447599</v>
      </c>
      <c r="W1723" s="246">
        <f>IFERROR(VLOOKUP(I1723,PROGRAMAS[],2,FALSE),0)</f>
        <v>6128579952.1618185</v>
      </c>
      <c r="X1723" s="246">
        <f>IFERROR(VLOOKUP(J1723,PROGRAMAS[],2,FALSE),0)</f>
        <v>764796700.79905891</v>
      </c>
      <c r="Y1723" s="246">
        <f>IFERROR(VLOOKUP(K1723,PROGRAMAS[],2,FALSE),0)</f>
        <v>54223862.645839565</v>
      </c>
      <c r="Z1723" s="246">
        <f>IFERROR(VLOOKUP(L1723,PROGRAMAS[],2,FALSE),0)</f>
        <v>122159672.96346797</v>
      </c>
      <c r="AA1723" s="246">
        <f>IFERROR(VLOOKUP(M1723,PROGRAMAS[],2,FALSE),0)</f>
        <v>7068496961.0436354</v>
      </c>
      <c r="AB1723" s="246">
        <f>IFERROR(VLOOKUP(N1723,PROGRAMAS[],2,FALSE),0)</f>
        <v>0</v>
      </c>
      <c r="AC1723" s="246">
        <f>IFERROR(VLOOKUP(O1723,PROGRAMAS[],2,FALSE),0)</f>
        <v>0</v>
      </c>
      <c r="AD1723" s="246">
        <f>IFERROR(VLOOKUP(P1723,PROGRAMAS[],2,FALSE),0)</f>
        <v>0</v>
      </c>
      <c r="AE1723" s="246">
        <f>IFERROR(VLOOKUP(Q1723,PROGRAMAS[],2,FALSE),0)</f>
        <v>0</v>
      </c>
      <c r="AF1723" s="246">
        <f>IFERROR(VLOOKUP(D1723,PROGRAMAS[],3,FALSE),0)</f>
        <v>841888629.31080008</v>
      </c>
      <c r="AG1723" s="246">
        <f>IFERROR(VLOOKUP(E1723,PROGRAMAS[],3,FALSE),0)</f>
        <v>3848980803.1642323</v>
      </c>
      <c r="AH1723" s="246">
        <f>IFERROR(VLOOKUP(F1723,PROGRAMAS[],3,FALSE),0)</f>
        <v>3394901471.387517</v>
      </c>
      <c r="AI1723" s="246">
        <f>IFERROR(VLOOKUP(G1723,PROGRAMAS[],3,FALSE),0)</f>
        <v>1233505101.0616004</v>
      </c>
      <c r="AJ1723" s="246">
        <f>IFERROR(VLOOKUP(H1723,PROGRAMAS[],3,FALSE),0)</f>
        <v>6129902208.7912121</v>
      </c>
      <c r="AK1723" s="246">
        <f>IFERROR(VLOOKUP(I1723,PROGRAMAS[],3,FALSE),0)</f>
        <v>7011279577.519702</v>
      </c>
      <c r="AL1723" s="246">
        <f>IFERROR(VLOOKUP(J1723,PROGRAMAS[],3,FALSE),0)</f>
        <v>675517840.109828</v>
      </c>
      <c r="AM1723" s="246">
        <f>IFERROR(VLOOKUP(K1723,PROGRAMAS[],3,FALSE),0)</f>
        <v>31865326.38096505</v>
      </c>
      <c r="AN1723" s="246">
        <f>IFERROR(VLOOKUP(L1723,PROGRAMAS[],3,FALSE),0)</f>
        <v>118617452.52510804</v>
      </c>
      <c r="AO1723" s="246">
        <f>IFERROR(VLOOKUP(M1723,PROGRAMAS[],3,FALSE),0)</f>
        <v>2406564599.0319901</v>
      </c>
      <c r="AP1723" s="246">
        <f>IFERROR(VLOOKUP(N1723,PROGRAMAS[],3,FALSE),0)</f>
        <v>0</v>
      </c>
      <c r="AQ1723" s="246">
        <f>IFERROR(VLOOKUP(O1723,PROGRAMAS[],3,FALSE),0)</f>
        <v>0</v>
      </c>
      <c r="AR1723" s="246">
        <f>IFERROR(VLOOKUP(P1723,PROGRAMAS[],3,FALSE),0)</f>
        <v>0</v>
      </c>
      <c r="AS1723" s="246">
        <f>IFERROR(VLOOKUP(Q1723,PROGRAMAS[],3,FALSE),0)</f>
        <v>0</v>
      </c>
      <c r="AT1723" s="246">
        <f>IFERROR(VLOOKUP(D1723,VOL_REC[],2,FALSE),0)</f>
        <v>0</v>
      </c>
      <c r="AU1723" s="246">
        <f>IFERROR(VLOOKUP(E1723,VOL_REC[],2,FALSE),0)</f>
        <v>0</v>
      </c>
      <c r="AV1723" s="246">
        <f>IFERROR(VLOOKUP(F1723,VOL_REC[],2,FALSE),0)</f>
        <v>11089674.200000001</v>
      </c>
      <c r="AW1723" s="246">
        <f>IFERROR(VLOOKUP(G1723,VOL_REC[],2,FALSE),0)</f>
        <v>4325103.1812214684</v>
      </c>
      <c r="AX1723" s="246">
        <f>IFERROR(VLOOKUP(H1723,VOL_REC[],2,FALSE),0)</f>
        <v>15540036.397699751</v>
      </c>
      <c r="AY1723" s="246">
        <f>IFERROR(VLOOKUP(I1723,VOL_REC[],2,FALSE),0)</f>
        <v>3761786</v>
      </c>
      <c r="AZ1723" s="246">
        <f>IFERROR(VLOOKUP(J1723,VOL_REC[],2,FALSE),0)</f>
        <v>240696.79238099116</v>
      </c>
      <c r="BA1723" s="246">
        <f>IFERROR(VLOOKUP(K1723,VOL_REC[],2,FALSE),0)</f>
        <v>17074.045034105649</v>
      </c>
      <c r="BB1723" s="246">
        <f>IFERROR(VLOOKUP(L1723,VOL_REC[],2,FALSE),0)</f>
        <v>105072</v>
      </c>
      <c r="BC1723" s="246">
        <f>IFERROR(VLOOKUP(M1723,VOL_REC[],2,FALSE),0)</f>
        <v>1072354.9981737854</v>
      </c>
      <c r="BD1723" s="246">
        <f>IFERROR(VLOOKUP(N1723,VOL_REC[],2,FALSE),0)</f>
        <v>0</v>
      </c>
      <c r="BE1723" s="246">
        <f>IFERROR(VLOOKUP(O1723,VOL_REC[],2,FALSE),0)</f>
        <v>0</v>
      </c>
      <c r="BF1723" s="246">
        <f>IFERROR(VLOOKUP(P1723,VOL_REC[],2,FALSE),0)</f>
        <v>0</v>
      </c>
      <c r="BG1723" s="246">
        <f>IFERROR(VLOOKUP(Q1723,VOL_REC[],2,FALSE),0)</f>
        <v>0</v>
      </c>
      <c r="BH1723" s="1710">
        <f t="shared" si="104"/>
        <v>26286714673.225498</v>
      </c>
      <c r="BI1723" s="1710">
        <f t="shared" si="105"/>
        <v>25693023009.282959</v>
      </c>
      <c r="BJ1723" s="1711">
        <f t="shared" si="106"/>
        <v>36151797.614510097</v>
      </c>
      <c r="BK1723" s="1711">
        <f t="shared" si="107"/>
        <v>1.0231071160341092</v>
      </c>
      <c r="BL1723">
        <f>BJ1723</f>
        <v>36151797.614510097</v>
      </c>
      <c r="BO1723">
        <f>BL1723</f>
        <v>36151797.614510097</v>
      </c>
    </row>
    <row r="1724" spans="3:67" x14ac:dyDescent="0.25">
      <c r="C1724" s="246" t="s">
        <v>3074</v>
      </c>
      <c r="D1724" s="246">
        <v>1</v>
      </c>
      <c r="E1724" s="246">
        <v>2</v>
      </c>
      <c r="F1724" s="246">
        <v>3</v>
      </c>
      <c r="G1724" s="246">
        <v>5</v>
      </c>
      <c r="H1724" s="246">
        <v>6</v>
      </c>
      <c r="I1724" s="246">
        <v>9</v>
      </c>
      <c r="J1724" s="246">
        <v>12</v>
      </c>
      <c r="K1724" s="246">
        <v>14</v>
      </c>
      <c r="L1724" s="246">
        <v>15</v>
      </c>
      <c r="M1724" s="246">
        <v>17</v>
      </c>
      <c r="N1724" s="246"/>
      <c r="O1724" s="246"/>
      <c r="P1724" s="246"/>
      <c r="Q1724" s="246"/>
      <c r="R1724" s="246">
        <f>IFERROR(VLOOKUP(D1724,PROGRAMAS[],2,FALSE),0)</f>
        <v>97037803.679377079</v>
      </c>
      <c r="S1724" s="246">
        <f>IFERROR(VLOOKUP(E1724,PROGRAMAS[],2,FALSE),0)</f>
        <v>640501509.6821388</v>
      </c>
      <c r="T1724" s="246">
        <f>IFERROR(VLOOKUP(F1724,PROGRAMAS[],2,FALSE),0)</f>
        <v>3062327798.1525245</v>
      </c>
      <c r="U1724" s="246">
        <f>IFERROR(VLOOKUP(G1724,PROGRAMAS[],2,FALSE),0)</f>
        <v>1440941976.2528784</v>
      </c>
      <c r="V1724" s="246">
        <f>IFERROR(VLOOKUP(H1724,PROGRAMAS[],2,FALSE),0)</f>
        <v>6907648435.8447599</v>
      </c>
      <c r="W1724" s="246">
        <f>IFERROR(VLOOKUP(I1724,PROGRAMAS[],2,FALSE),0)</f>
        <v>6128579952.1618185</v>
      </c>
      <c r="X1724" s="246">
        <f>IFERROR(VLOOKUP(J1724,PROGRAMAS[],2,FALSE),0)</f>
        <v>764796700.79905891</v>
      </c>
      <c r="Y1724" s="246">
        <f>IFERROR(VLOOKUP(K1724,PROGRAMAS[],2,FALSE),0)</f>
        <v>54223862.645839565</v>
      </c>
      <c r="Z1724" s="246">
        <f>IFERROR(VLOOKUP(L1724,PROGRAMAS[],2,FALSE),0)</f>
        <v>122159672.96346797</v>
      </c>
      <c r="AA1724" s="246">
        <f>IFERROR(VLOOKUP(M1724,PROGRAMAS[],2,FALSE),0)</f>
        <v>1892779498.5211046</v>
      </c>
      <c r="AB1724" s="246">
        <f>IFERROR(VLOOKUP(N1724,PROGRAMAS[],2,FALSE),0)</f>
        <v>0</v>
      </c>
      <c r="AC1724" s="246">
        <f>IFERROR(VLOOKUP(O1724,PROGRAMAS[],2,FALSE),0)</f>
        <v>0</v>
      </c>
      <c r="AD1724" s="246">
        <f>IFERROR(VLOOKUP(P1724,PROGRAMAS[],2,FALSE),0)</f>
        <v>0</v>
      </c>
      <c r="AE1724" s="246">
        <f>IFERROR(VLOOKUP(Q1724,PROGRAMAS[],2,FALSE),0)</f>
        <v>0</v>
      </c>
      <c r="AF1724" s="246">
        <f>IFERROR(VLOOKUP(D1724,PROGRAMAS[],3,FALSE),0)</f>
        <v>841888629.31080008</v>
      </c>
      <c r="AG1724" s="246">
        <f>IFERROR(VLOOKUP(E1724,PROGRAMAS[],3,FALSE),0)</f>
        <v>3848980803.1642323</v>
      </c>
      <c r="AH1724" s="246">
        <f>IFERROR(VLOOKUP(F1724,PROGRAMAS[],3,FALSE),0)</f>
        <v>3394901471.387517</v>
      </c>
      <c r="AI1724" s="246">
        <f>IFERROR(VLOOKUP(G1724,PROGRAMAS[],3,FALSE),0)</f>
        <v>1233505101.0616004</v>
      </c>
      <c r="AJ1724" s="246">
        <f>IFERROR(VLOOKUP(H1724,PROGRAMAS[],3,FALSE),0)</f>
        <v>6129902208.7912121</v>
      </c>
      <c r="AK1724" s="246">
        <f>IFERROR(VLOOKUP(I1724,PROGRAMAS[],3,FALSE),0)</f>
        <v>7011279577.519702</v>
      </c>
      <c r="AL1724" s="246">
        <f>IFERROR(VLOOKUP(J1724,PROGRAMAS[],3,FALSE),0)</f>
        <v>675517840.109828</v>
      </c>
      <c r="AM1724" s="246">
        <f>IFERROR(VLOOKUP(K1724,PROGRAMAS[],3,FALSE),0)</f>
        <v>31865326.38096505</v>
      </c>
      <c r="AN1724" s="246">
        <f>IFERROR(VLOOKUP(L1724,PROGRAMAS[],3,FALSE),0)</f>
        <v>118617452.52510804</v>
      </c>
      <c r="AO1724" s="246">
        <f>IFERROR(VLOOKUP(M1724,PROGRAMAS[],3,FALSE),0)</f>
        <v>948595847.09039903</v>
      </c>
      <c r="AP1724" s="246">
        <f>IFERROR(VLOOKUP(N1724,PROGRAMAS[],3,FALSE),0)</f>
        <v>0</v>
      </c>
      <c r="AQ1724" s="246">
        <f>IFERROR(VLOOKUP(O1724,PROGRAMAS[],3,FALSE),0)</f>
        <v>0</v>
      </c>
      <c r="AR1724" s="246">
        <f>IFERROR(VLOOKUP(P1724,PROGRAMAS[],3,FALSE),0)</f>
        <v>0</v>
      </c>
      <c r="AS1724" s="246">
        <f>IFERROR(VLOOKUP(Q1724,PROGRAMAS[],3,FALSE),0)</f>
        <v>0</v>
      </c>
      <c r="AT1724" s="246">
        <f>IFERROR(VLOOKUP(D1724,VOL_REC[],2,FALSE),0)</f>
        <v>0</v>
      </c>
      <c r="AU1724" s="246">
        <f>IFERROR(VLOOKUP(E1724,VOL_REC[],2,FALSE),0)</f>
        <v>0</v>
      </c>
      <c r="AV1724" s="246">
        <f>IFERROR(VLOOKUP(F1724,VOL_REC[],2,FALSE),0)</f>
        <v>11089674.200000001</v>
      </c>
      <c r="AW1724" s="246">
        <f>IFERROR(VLOOKUP(G1724,VOL_REC[],2,FALSE),0)</f>
        <v>4325103.1812214684</v>
      </c>
      <c r="AX1724" s="246">
        <f>IFERROR(VLOOKUP(H1724,VOL_REC[],2,FALSE),0)</f>
        <v>15540036.397699751</v>
      </c>
      <c r="AY1724" s="246">
        <f>IFERROR(VLOOKUP(I1724,VOL_REC[],2,FALSE),0)</f>
        <v>3761786</v>
      </c>
      <c r="AZ1724" s="246">
        <f>IFERROR(VLOOKUP(J1724,VOL_REC[],2,FALSE),0)</f>
        <v>240696.79238099116</v>
      </c>
      <c r="BA1724" s="246">
        <f>IFERROR(VLOOKUP(K1724,VOL_REC[],2,FALSE),0)</f>
        <v>17074.045034105649</v>
      </c>
      <c r="BB1724" s="246">
        <f>IFERROR(VLOOKUP(L1724,VOL_REC[],2,FALSE),0)</f>
        <v>105072</v>
      </c>
      <c r="BC1724" s="246">
        <f>IFERROR(VLOOKUP(M1724,VOL_REC[],2,FALSE),0)</f>
        <v>740113.98115702497</v>
      </c>
      <c r="BD1724" s="246">
        <f>IFERROR(VLOOKUP(N1724,VOL_REC[],2,FALSE),0)</f>
        <v>0</v>
      </c>
      <c r="BE1724" s="246">
        <f>IFERROR(VLOOKUP(O1724,VOL_REC[],2,FALSE),0)</f>
        <v>0</v>
      </c>
      <c r="BF1724" s="246">
        <f>IFERROR(VLOOKUP(P1724,VOL_REC[],2,FALSE),0)</f>
        <v>0</v>
      </c>
      <c r="BG1724" s="246">
        <f>IFERROR(VLOOKUP(Q1724,VOL_REC[],2,FALSE),0)</f>
        <v>0</v>
      </c>
      <c r="BH1724" s="1710">
        <f t="shared" si="104"/>
        <v>21110997210.702965</v>
      </c>
      <c r="BI1724" s="1710">
        <f t="shared" si="105"/>
        <v>24235054257.34137</v>
      </c>
      <c r="BJ1724" s="1711">
        <f t="shared" si="106"/>
        <v>35819556.597493336</v>
      </c>
      <c r="BK1724" s="1711">
        <f t="shared" si="107"/>
        <v>0.87109345770529667</v>
      </c>
    </row>
    <row r="1725" spans="3:67" x14ac:dyDescent="0.25">
      <c r="C1725" s="246" t="s">
        <v>3075</v>
      </c>
      <c r="D1725" s="246">
        <v>1</v>
      </c>
      <c r="E1725" s="246">
        <v>2</v>
      </c>
      <c r="F1725" s="246">
        <v>3</v>
      </c>
      <c r="G1725" s="246">
        <v>5</v>
      </c>
      <c r="H1725" s="246">
        <v>6</v>
      </c>
      <c r="I1725" s="246">
        <v>9</v>
      </c>
      <c r="J1725" s="246">
        <v>12</v>
      </c>
      <c r="K1725" s="246">
        <v>14</v>
      </c>
      <c r="L1725" s="246">
        <v>16</v>
      </c>
      <c r="M1725" s="246">
        <v>17</v>
      </c>
      <c r="N1725" s="246"/>
      <c r="O1725" s="246"/>
      <c r="P1725" s="246"/>
      <c r="Q1725" s="246"/>
      <c r="R1725" s="246">
        <f>IFERROR(VLOOKUP(D1725,PROGRAMAS[],2,FALSE),0)</f>
        <v>97037803.679377079</v>
      </c>
      <c r="S1725" s="246">
        <f>IFERROR(VLOOKUP(E1725,PROGRAMAS[],2,FALSE),0)</f>
        <v>640501509.6821388</v>
      </c>
      <c r="T1725" s="246">
        <f>IFERROR(VLOOKUP(F1725,PROGRAMAS[],2,FALSE),0)</f>
        <v>3062327798.1525245</v>
      </c>
      <c r="U1725" s="246">
        <f>IFERROR(VLOOKUP(G1725,PROGRAMAS[],2,FALSE),0)</f>
        <v>1440941976.2528784</v>
      </c>
      <c r="V1725" s="246">
        <f>IFERROR(VLOOKUP(H1725,PROGRAMAS[],2,FALSE),0)</f>
        <v>6907648435.8447599</v>
      </c>
      <c r="W1725" s="246">
        <f>IFERROR(VLOOKUP(I1725,PROGRAMAS[],2,FALSE),0)</f>
        <v>6128579952.1618185</v>
      </c>
      <c r="X1725" s="246">
        <f>IFERROR(VLOOKUP(J1725,PROGRAMAS[],2,FALSE),0)</f>
        <v>764796700.79905891</v>
      </c>
      <c r="Y1725" s="246">
        <f>IFERROR(VLOOKUP(K1725,PROGRAMAS[],2,FALSE),0)</f>
        <v>54223862.645839565</v>
      </c>
      <c r="Z1725" s="246">
        <f>IFERROR(VLOOKUP(L1725,PROGRAMAS[],2,FALSE),0)</f>
        <v>7068496961.0436354</v>
      </c>
      <c r="AA1725" s="246">
        <f>IFERROR(VLOOKUP(M1725,PROGRAMAS[],2,FALSE),0)</f>
        <v>1892779498.5211046</v>
      </c>
      <c r="AB1725" s="246">
        <f>IFERROR(VLOOKUP(N1725,PROGRAMAS[],2,FALSE),0)</f>
        <v>0</v>
      </c>
      <c r="AC1725" s="246">
        <f>IFERROR(VLOOKUP(O1725,PROGRAMAS[],2,FALSE),0)</f>
        <v>0</v>
      </c>
      <c r="AD1725" s="246">
        <f>IFERROR(VLOOKUP(P1725,PROGRAMAS[],2,FALSE),0)</f>
        <v>0</v>
      </c>
      <c r="AE1725" s="246">
        <f>IFERROR(VLOOKUP(Q1725,PROGRAMAS[],2,FALSE),0)</f>
        <v>0</v>
      </c>
      <c r="AF1725" s="246">
        <f>IFERROR(VLOOKUP(D1725,PROGRAMAS[],3,FALSE),0)</f>
        <v>841888629.31080008</v>
      </c>
      <c r="AG1725" s="246">
        <f>IFERROR(VLOOKUP(E1725,PROGRAMAS[],3,FALSE),0)</f>
        <v>3848980803.1642323</v>
      </c>
      <c r="AH1725" s="246">
        <f>IFERROR(VLOOKUP(F1725,PROGRAMAS[],3,FALSE),0)</f>
        <v>3394901471.387517</v>
      </c>
      <c r="AI1725" s="246">
        <f>IFERROR(VLOOKUP(G1725,PROGRAMAS[],3,FALSE),0)</f>
        <v>1233505101.0616004</v>
      </c>
      <c r="AJ1725" s="246">
        <f>IFERROR(VLOOKUP(H1725,PROGRAMAS[],3,FALSE),0)</f>
        <v>6129902208.7912121</v>
      </c>
      <c r="AK1725" s="246">
        <f>IFERROR(VLOOKUP(I1725,PROGRAMAS[],3,FALSE),0)</f>
        <v>7011279577.519702</v>
      </c>
      <c r="AL1725" s="246">
        <f>IFERROR(VLOOKUP(J1725,PROGRAMAS[],3,FALSE),0)</f>
        <v>675517840.109828</v>
      </c>
      <c r="AM1725" s="246">
        <f>IFERROR(VLOOKUP(K1725,PROGRAMAS[],3,FALSE),0)</f>
        <v>31865326.38096505</v>
      </c>
      <c r="AN1725" s="246">
        <f>IFERROR(VLOOKUP(L1725,PROGRAMAS[],3,FALSE),0)</f>
        <v>2406564599.0319901</v>
      </c>
      <c r="AO1725" s="246">
        <f>IFERROR(VLOOKUP(M1725,PROGRAMAS[],3,FALSE),0)</f>
        <v>948595847.09039903</v>
      </c>
      <c r="AP1725" s="246">
        <f>IFERROR(VLOOKUP(N1725,PROGRAMAS[],3,FALSE),0)</f>
        <v>0</v>
      </c>
      <c r="AQ1725" s="246">
        <f>IFERROR(VLOOKUP(O1725,PROGRAMAS[],3,FALSE),0)</f>
        <v>0</v>
      </c>
      <c r="AR1725" s="246">
        <f>IFERROR(VLOOKUP(P1725,PROGRAMAS[],3,FALSE),0)</f>
        <v>0</v>
      </c>
      <c r="AS1725" s="246">
        <f>IFERROR(VLOOKUP(Q1725,PROGRAMAS[],3,FALSE),0)</f>
        <v>0</v>
      </c>
      <c r="AT1725" s="246">
        <f>IFERROR(VLOOKUP(D1725,VOL_REC[],2,FALSE),0)</f>
        <v>0</v>
      </c>
      <c r="AU1725" s="246">
        <f>IFERROR(VLOOKUP(E1725,VOL_REC[],2,FALSE),0)</f>
        <v>0</v>
      </c>
      <c r="AV1725" s="246">
        <f>IFERROR(VLOOKUP(F1725,VOL_REC[],2,FALSE),0)</f>
        <v>11089674.200000001</v>
      </c>
      <c r="AW1725" s="246">
        <f>IFERROR(VLOOKUP(G1725,VOL_REC[],2,FALSE),0)</f>
        <v>4325103.1812214684</v>
      </c>
      <c r="AX1725" s="246">
        <f>IFERROR(VLOOKUP(H1725,VOL_REC[],2,FALSE),0)</f>
        <v>15540036.397699751</v>
      </c>
      <c r="AY1725" s="246">
        <f>IFERROR(VLOOKUP(I1725,VOL_REC[],2,FALSE),0)</f>
        <v>3761786</v>
      </c>
      <c r="AZ1725" s="246">
        <f>IFERROR(VLOOKUP(J1725,VOL_REC[],2,FALSE),0)</f>
        <v>240696.79238099116</v>
      </c>
      <c r="BA1725" s="246">
        <f>IFERROR(VLOOKUP(K1725,VOL_REC[],2,FALSE),0)</f>
        <v>17074.045034105649</v>
      </c>
      <c r="BB1725" s="246">
        <f>IFERROR(VLOOKUP(L1725,VOL_REC[],2,FALSE),0)</f>
        <v>1072354.9981737854</v>
      </c>
      <c r="BC1725" s="246">
        <f>IFERROR(VLOOKUP(M1725,VOL_REC[],2,FALSE),0)</f>
        <v>740113.98115702497</v>
      </c>
      <c r="BD1725" s="246">
        <f>IFERROR(VLOOKUP(N1725,VOL_REC[],2,FALSE),0)</f>
        <v>0</v>
      </c>
      <c r="BE1725" s="246">
        <f>IFERROR(VLOOKUP(O1725,VOL_REC[],2,FALSE),0)</f>
        <v>0</v>
      </c>
      <c r="BF1725" s="246">
        <f>IFERROR(VLOOKUP(P1725,VOL_REC[],2,FALSE),0)</f>
        <v>0</v>
      </c>
      <c r="BG1725" s="246">
        <f>IFERROR(VLOOKUP(Q1725,VOL_REC[],2,FALSE),0)</f>
        <v>0</v>
      </c>
      <c r="BH1725" s="1710">
        <f t="shared" si="104"/>
        <v>28057334498.783134</v>
      </c>
      <c r="BI1725" s="1710">
        <f t="shared" si="105"/>
        <v>26523001403.848251</v>
      </c>
      <c r="BJ1725" s="1711">
        <f t="shared" si="106"/>
        <v>36786839.595667124</v>
      </c>
      <c r="BK1725" s="1711">
        <f t="shared" si="107"/>
        <v>1.0578491503119352</v>
      </c>
      <c r="BL1725">
        <f>BJ1725</f>
        <v>36786839.595667124</v>
      </c>
      <c r="BO1725">
        <f>BL1725</f>
        <v>36786839.595667124</v>
      </c>
    </row>
    <row r="1726" spans="3:67" x14ac:dyDescent="0.25">
      <c r="C1726" s="246" t="s">
        <v>3076</v>
      </c>
      <c r="D1726" s="246">
        <v>1</v>
      </c>
      <c r="E1726" s="246">
        <v>2</v>
      </c>
      <c r="F1726" s="246">
        <v>3</v>
      </c>
      <c r="G1726" s="246">
        <v>5</v>
      </c>
      <c r="H1726" s="246">
        <v>6</v>
      </c>
      <c r="I1726" s="246">
        <v>9</v>
      </c>
      <c r="J1726" s="246">
        <v>12</v>
      </c>
      <c r="K1726" s="246">
        <v>15</v>
      </c>
      <c r="L1726" s="246">
        <v>16</v>
      </c>
      <c r="M1726" s="246">
        <v>17</v>
      </c>
      <c r="N1726" s="246"/>
      <c r="O1726" s="246"/>
      <c r="P1726" s="246"/>
      <c r="Q1726" s="246"/>
      <c r="R1726" s="246">
        <f>IFERROR(VLOOKUP(D1726,PROGRAMAS[],2,FALSE),0)</f>
        <v>97037803.679377079</v>
      </c>
      <c r="S1726" s="246">
        <f>IFERROR(VLOOKUP(E1726,PROGRAMAS[],2,FALSE),0)</f>
        <v>640501509.6821388</v>
      </c>
      <c r="T1726" s="246">
        <f>IFERROR(VLOOKUP(F1726,PROGRAMAS[],2,FALSE),0)</f>
        <v>3062327798.1525245</v>
      </c>
      <c r="U1726" s="246">
        <f>IFERROR(VLOOKUP(G1726,PROGRAMAS[],2,FALSE),0)</f>
        <v>1440941976.2528784</v>
      </c>
      <c r="V1726" s="246">
        <f>IFERROR(VLOOKUP(H1726,PROGRAMAS[],2,FALSE),0)</f>
        <v>6907648435.8447599</v>
      </c>
      <c r="W1726" s="246">
        <f>IFERROR(VLOOKUP(I1726,PROGRAMAS[],2,FALSE),0)</f>
        <v>6128579952.1618185</v>
      </c>
      <c r="X1726" s="246">
        <f>IFERROR(VLOOKUP(J1726,PROGRAMAS[],2,FALSE),0)</f>
        <v>764796700.79905891</v>
      </c>
      <c r="Y1726" s="246">
        <f>IFERROR(VLOOKUP(K1726,PROGRAMAS[],2,FALSE),0)</f>
        <v>122159672.96346797</v>
      </c>
      <c r="Z1726" s="246">
        <f>IFERROR(VLOOKUP(L1726,PROGRAMAS[],2,FALSE),0)</f>
        <v>7068496961.0436354</v>
      </c>
      <c r="AA1726" s="246">
        <f>IFERROR(VLOOKUP(M1726,PROGRAMAS[],2,FALSE),0)</f>
        <v>1892779498.5211046</v>
      </c>
      <c r="AB1726" s="246">
        <f>IFERROR(VLOOKUP(N1726,PROGRAMAS[],2,FALSE),0)</f>
        <v>0</v>
      </c>
      <c r="AC1726" s="246">
        <f>IFERROR(VLOOKUP(O1726,PROGRAMAS[],2,FALSE),0)</f>
        <v>0</v>
      </c>
      <c r="AD1726" s="246">
        <f>IFERROR(VLOOKUP(P1726,PROGRAMAS[],2,FALSE),0)</f>
        <v>0</v>
      </c>
      <c r="AE1726" s="246">
        <f>IFERROR(VLOOKUP(Q1726,PROGRAMAS[],2,FALSE),0)</f>
        <v>0</v>
      </c>
      <c r="AF1726" s="246">
        <f>IFERROR(VLOOKUP(D1726,PROGRAMAS[],3,FALSE),0)</f>
        <v>841888629.31080008</v>
      </c>
      <c r="AG1726" s="246">
        <f>IFERROR(VLOOKUP(E1726,PROGRAMAS[],3,FALSE),0)</f>
        <v>3848980803.1642323</v>
      </c>
      <c r="AH1726" s="246">
        <f>IFERROR(VLOOKUP(F1726,PROGRAMAS[],3,FALSE),0)</f>
        <v>3394901471.387517</v>
      </c>
      <c r="AI1726" s="246">
        <f>IFERROR(VLOOKUP(G1726,PROGRAMAS[],3,FALSE),0)</f>
        <v>1233505101.0616004</v>
      </c>
      <c r="AJ1726" s="246">
        <f>IFERROR(VLOOKUP(H1726,PROGRAMAS[],3,FALSE),0)</f>
        <v>6129902208.7912121</v>
      </c>
      <c r="AK1726" s="246">
        <f>IFERROR(VLOOKUP(I1726,PROGRAMAS[],3,FALSE),0)</f>
        <v>7011279577.519702</v>
      </c>
      <c r="AL1726" s="246">
        <f>IFERROR(VLOOKUP(J1726,PROGRAMAS[],3,FALSE),0)</f>
        <v>675517840.109828</v>
      </c>
      <c r="AM1726" s="246">
        <f>IFERROR(VLOOKUP(K1726,PROGRAMAS[],3,FALSE),0)</f>
        <v>118617452.52510804</v>
      </c>
      <c r="AN1726" s="246">
        <f>IFERROR(VLOOKUP(L1726,PROGRAMAS[],3,FALSE),0)</f>
        <v>2406564599.0319901</v>
      </c>
      <c r="AO1726" s="246">
        <f>IFERROR(VLOOKUP(M1726,PROGRAMAS[],3,FALSE),0)</f>
        <v>948595847.09039903</v>
      </c>
      <c r="AP1726" s="246">
        <f>IFERROR(VLOOKUP(N1726,PROGRAMAS[],3,FALSE),0)</f>
        <v>0</v>
      </c>
      <c r="AQ1726" s="246">
        <f>IFERROR(VLOOKUP(O1726,PROGRAMAS[],3,FALSE),0)</f>
        <v>0</v>
      </c>
      <c r="AR1726" s="246">
        <f>IFERROR(VLOOKUP(P1726,PROGRAMAS[],3,FALSE),0)</f>
        <v>0</v>
      </c>
      <c r="AS1726" s="246">
        <f>IFERROR(VLOOKUP(Q1726,PROGRAMAS[],3,FALSE),0)</f>
        <v>0</v>
      </c>
      <c r="AT1726" s="246">
        <f>IFERROR(VLOOKUP(D1726,VOL_REC[],2,FALSE),0)</f>
        <v>0</v>
      </c>
      <c r="AU1726" s="246">
        <f>IFERROR(VLOOKUP(E1726,VOL_REC[],2,FALSE),0)</f>
        <v>0</v>
      </c>
      <c r="AV1726" s="246">
        <f>IFERROR(VLOOKUP(F1726,VOL_REC[],2,FALSE),0)</f>
        <v>11089674.200000001</v>
      </c>
      <c r="AW1726" s="246">
        <f>IFERROR(VLOOKUP(G1726,VOL_REC[],2,FALSE),0)</f>
        <v>4325103.1812214684</v>
      </c>
      <c r="AX1726" s="246">
        <f>IFERROR(VLOOKUP(H1726,VOL_REC[],2,FALSE),0)</f>
        <v>15540036.397699751</v>
      </c>
      <c r="AY1726" s="246">
        <f>IFERROR(VLOOKUP(I1726,VOL_REC[],2,FALSE),0)</f>
        <v>3761786</v>
      </c>
      <c r="AZ1726" s="246">
        <f>IFERROR(VLOOKUP(J1726,VOL_REC[],2,FALSE),0)</f>
        <v>240696.79238099116</v>
      </c>
      <c r="BA1726" s="246">
        <f>IFERROR(VLOOKUP(K1726,VOL_REC[],2,FALSE),0)</f>
        <v>105072</v>
      </c>
      <c r="BB1726" s="246">
        <f>IFERROR(VLOOKUP(L1726,VOL_REC[],2,FALSE),0)</f>
        <v>1072354.9981737854</v>
      </c>
      <c r="BC1726" s="246">
        <f>IFERROR(VLOOKUP(M1726,VOL_REC[],2,FALSE),0)</f>
        <v>740113.98115702497</v>
      </c>
      <c r="BD1726" s="246">
        <f>IFERROR(VLOOKUP(N1726,VOL_REC[],2,FALSE),0)</f>
        <v>0</v>
      </c>
      <c r="BE1726" s="246">
        <f>IFERROR(VLOOKUP(O1726,VOL_REC[],2,FALSE),0)</f>
        <v>0</v>
      </c>
      <c r="BF1726" s="246">
        <f>IFERROR(VLOOKUP(P1726,VOL_REC[],2,FALSE),0)</f>
        <v>0</v>
      </c>
      <c r="BG1726" s="246">
        <f>IFERROR(VLOOKUP(Q1726,VOL_REC[],2,FALSE),0)</f>
        <v>0</v>
      </c>
      <c r="BH1726" s="1710">
        <f t="shared" si="104"/>
        <v>28125270309.100761</v>
      </c>
      <c r="BI1726" s="1710">
        <f t="shared" si="105"/>
        <v>26609753529.992393</v>
      </c>
      <c r="BJ1726" s="1711">
        <f t="shared" si="106"/>
        <v>36874837.550633021</v>
      </c>
      <c r="BK1726" s="1711">
        <f t="shared" si="107"/>
        <v>1.0569534316580647</v>
      </c>
      <c r="BL1726">
        <f>BJ1726</f>
        <v>36874837.550633021</v>
      </c>
      <c r="BO1726">
        <f>BL1726</f>
        <v>36874837.550633021</v>
      </c>
    </row>
    <row r="1727" spans="3:67" x14ac:dyDescent="0.25">
      <c r="C1727" s="246" t="s">
        <v>3077</v>
      </c>
      <c r="D1727" s="246">
        <v>1</v>
      </c>
      <c r="E1727" s="246">
        <v>2</v>
      </c>
      <c r="F1727" s="246">
        <v>3</v>
      </c>
      <c r="G1727" s="246">
        <v>5</v>
      </c>
      <c r="H1727" s="246">
        <v>6</v>
      </c>
      <c r="I1727" s="246">
        <v>9</v>
      </c>
      <c r="J1727" s="246">
        <v>13</v>
      </c>
      <c r="K1727" s="246">
        <v>14</v>
      </c>
      <c r="L1727" s="246">
        <v>15</v>
      </c>
      <c r="M1727" s="246">
        <v>16</v>
      </c>
      <c r="N1727" s="246"/>
      <c r="O1727" s="246"/>
      <c r="P1727" s="246"/>
      <c r="Q1727" s="246"/>
      <c r="R1727" s="246">
        <f>IFERROR(VLOOKUP(D1727,PROGRAMAS[],2,FALSE),0)</f>
        <v>97037803.679377079</v>
      </c>
      <c r="S1727" s="246">
        <f>IFERROR(VLOOKUP(E1727,PROGRAMAS[],2,FALSE),0)</f>
        <v>640501509.6821388</v>
      </c>
      <c r="T1727" s="246">
        <f>IFERROR(VLOOKUP(F1727,PROGRAMAS[],2,FALSE),0)</f>
        <v>3062327798.1525245</v>
      </c>
      <c r="U1727" s="246">
        <f>IFERROR(VLOOKUP(G1727,PROGRAMAS[],2,FALSE),0)</f>
        <v>1440941976.2528784</v>
      </c>
      <c r="V1727" s="246">
        <f>IFERROR(VLOOKUP(H1727,PROGRAMAS[],2,FALSE),0)</f>
        <v>6907648435.8447599</v>
      </c>
      <c r="W1727" s="246">
        <f>IFERROR(VLOOKUP(I1727,PROGRAMAS[],2,FALSE),0)</f>
        <v>6128579952.1618185</v>
      </c>
      <c r="X1727" s="246">
        <f>IFERROR(VLOOKUP(J1727,PROGRAMAS[],2,FALSE),0)</f>
        <v>3776538594.4604583</v>
      </c>
      <c r="Y1727" s="246">
        <f>IFERROR(VLOOKUP(K1727,PROGRAMAS[],2,FALSE),0)</f>
        <v>54223862.645839565</v>
      </c>
      <c r="Z1727" s="246">
        <f>IFERROR(VLOOKUP(L1727,PROGRAMAS[],2,FALSE),0)</f>
        <v>122159672.96346797</v>
      </c>
      <c r="AA1727" s="246">
        <f>IFERROR(VLOOKUP(M1727,PROGRAMAS[],2,FALSE),0)</f>
        <v>7068496961.0436354</v>
      </c>
      <c r="AB1727" s="246">
        <f>IFERROR(VLOOKUP(N1727,PROGRAMAS[],2,FALSE),0)</f>
        <v>0</v>
      </c>
      <c r="AC1727" s="246">
        <f>IFERROR(VLOOKUP(O1727,PROGRAMAS[],2,FALSE),0)</f>
        <v>0</v>
      </c>
      <c r="AD1727" s="246">
        <f>IFERROR(VLOOKUP(P1727,PROGRAMAS[],2,FALSE),0)</f>
        <v>0</v>
      </c>
      <c r="AE1727" s="246">
        <f>IFERROR(VLOOKUP(Q1727,PROGRAMAS[],2,FALSE),0)</f>
        <v>0</v>
      </c>
      <c r="AF1727" s="246">
        <f>IFERROR(VLOOKUP(D1727,PROGRAMAS[],3,FALSE),0)</f>
        <v>841888629.31080008</v>
      </c>
      <c r="AG1727" s="246">
        <f>IFERROR(VLOOKUP(E1727,PROGRAMAS[],3,FALSE),0)</f>
        <v>3848980803.1642323</v>
      </c>
      <c r="AH1727" s="246">
        <f>IFERROR(VLOOKUP(F1727,PROGRAMAS[],3,FALSE),0)</f>
        <v>3394901471.387517</v>
      </c>
      <c r="AI1727" s="246">
        <f>IFERROR(VLOOKUP(G1727,PROGRAMAS[],3,FALSE),0)</f>
        <v>1233505101.0616004</v>
      </c>
      <c r="AJ1727" s="246">
        <f>IFERROR(VLOOKUP(H1727,PROGRAMAS[],3,FALSE),0)</f>
        <v>6129902208.7912121</v>
      </c>
      <c r="AK1727" s="246">
        <f>IFERROR(VLOOKUP(I1727,PROGRAMAS[],3,FALSE),0)</f>
        <v>7011279577.519702</v>
      </c>
      <c r="AL1727" s="246">
        <f>IFERROR(VLOOKUP(J1727,PROGRAMAS[],3,FALSE),0)</f>
        <v>2392571243.5584412</v>
      </c>
      <c r="AM1727" s="246">
        <f>IFERROR(VLOOKUP(K1727,PROGRAMAS[],3,FALSE),0)</f>
        <v>31865326.38096505</v>
      </c>
      <c r="AN1727" s="246">
        <f>IFERROR(VLOOKUP(L1727,PROGRAMAS[],3,FALSE),0)</f>
        <v>118617452.52510804</v>
      </c>
      <c r="AO1727" s="246">
        <f>IFERROR(VLOOKUP(M1727,PROGRAMAS[],3,FALSE),0)</f>
        <v>2406564599.0319901</v>
      </c>
      <c r="AP1727" s="246">
        <f>IFERROR(VLOOKUP(N1727,PROGRAMAS[],3,FALSE),0)</f>
        <v>0</v>
      </c>
      <c r="AQ1727" s="246">
        <f>IFERROR(VLOOKUP(O1727,PROGRAMAS[],3,FALSE),0)</f>
        <v>0</v>
      </c>
      <c r="AR1727" s="246">
        <f>IFERROR(VLOOKUP(P1727,PROGRAMAS[],3,FALSE),0)</f>
        <v>0</v>
      </c>
      <c r="AS1727" s="246">
        <f>IFERROR(VLOOKUP(Q1727,PROGRAMAS[],3,FALSE),0)</f>
        <v>0</v>
      </c>
      <c r="AT1727" s="246">
        <f>IFERROR(VLOOKUP(D1727,VOL_REC[],2,FALSE),0)</f>
        <v>0</v>
      </c>
      <c r="AU1727" s="246">
        <f>IFERROR(VLOOKUP(E1727,VOL_REC[],2,FALSE),0)</f>
        <v>0</v>
      </c>
      <c r="AV1727" s="246">
        <f>IFERROR(VLOOKUP(F1727,VOL_REC[],2,FALSE),0)</f>
        <v>11089674.200000001</v>
      </c>
      <c r="AW1727" s="246">
        <f>IFERROR(VLOOKUP(G1727,VOL_REC[],2,FALSE),0)</f>
        <v>4325103.1812214684</v>
      </c>
      <c r="AX1727" s="246">
        <f>IFERROR(VLOOKUP(H1727,VOL_REC[],2,FALSE),0)</f>
        <v>15540036.397699751</v>
      </c>
      <c r="AY1727" s="246">
        <f>IFERROR(VLOOKUP(I1727,VOL_REC[],2,FALSE),0)</f>
        <v>3761786</v>
      </c>
      <c r="AZ1727" s="246">
        <f>IFERROR(VLOOKUP(J1727,VOL_REC[],2,FALSE),0)</f>
        <v>663244.80000000016</v>
      </c>
      <c r="BA1727" s="246">
        <f>IFERROR(VLOOKUP(K1727,VOL_REC[],2,FALSE),0)</f>
        <v>17074.045034105649</v>
      </c>
      <c r="BB1727" s="246">
        <f>IFERROR(VLOOKUP(L1727,VOL_REC[],2,FALSE),0)</f>
        <v>105072</v>
      </c>
      <c r="BC1727" s="246">
        <f>IFERROR(VLOOKUP(M1727,VOL_REC[],2,FALSE),0)</f>
        <v>1072354.9981737854</v>
      </c>
      <c r="BD1727" s="246">
        <f>IFERROR(VLOOKUP(N1727,VOL_REC[],2,FALSE),0)</f>
        <v>0</v>
      </c>
      <c r="BE1727" s="246">
        <f>IFERROR(VLOOKUP(O1727,VOL_REC[],2,FALSE),0)</f>
        <v>0</v>
      </c>
      <c r="BF1727" s="246">
        <f>IFERROR(VLOOKUP(P1727,VOL_REC[],2,FALSE),0)</f>
        <v>0</v>
      </c>
      <c r="BG1727" s="246">
        <f>IFERROR(VLOOKUP(Q1727,VOL_REC[],2,FALSE),0)</f>
        <v>0</v>
      </c>
      <c r="BH1727" s="1710">
        <f t="shared" si="104"/>
        <v>29298456566.886898</v>
      </c>
      <c r="BI1727" s="1710">
        <f t="shared" si="105"/>
        <v>27410076412.731571</v>
      </c>
      <c r="BJ1727" s="1711">
        <f t="shared" si="106"/>
        <v>36574345.622129105</v>
      </c>
      <c r="BK1727" s="1711">
        <f t="shared" si="107"/>
        <v>1.0688936479315396</v>
      </c>
      <c r="BL1727">
        <f>BJ1727</f>
        <v>36574345.622129105</v>
      </c>
      <c r="BO1727">
        <f>BL1727</f>
        <v>36574345.622129105</v>
      </c>
    </row>
    <row r="1728" spans="3:67" x14ac:dyDescent="0.25">
      <c r="C1728" s="246" t="s">
        <v>3078</v>
      </c>
      <c r="D1728" s="246">
        <v>1</v>
      </c>
      <c r="E1728" s="246">
        <v>2</v>
      </c>
      <c r="F1728" s="246">
        <v>3</v>
      </c>
      <c r="G1728" s="246">
        <v>5</v>
      </c>
      <c r="H1728" s="246">
        <v>6</v>
      </c>
      <c r="I1728" s="246">
        <v>9</v>
      </c>
      <c r="J1728" s="246">
        <v>13</v>
      </c>
      <c r="K1728" s="246">
        <v>14</v>
      </c>
      <c r="L1728" s="246">
        <v>15</v>
      </c>
      <c r="M1728" s="246">
        <v>17</v>
      </c>
      <c r="N1728" s="246"/>
      <c r="O1728" s="246"/>
      <c r="P1728" s="246"/>
      <c r="Q1728" s="246"/>
      <c r="R1728" s="246">
        <f>IFERROR(VLOOKUP(D1728,PROGRAMAS[],2,FALSE),0)</f>
        <v>97037803.679377079</v>
      </c>
      <c r="S1728" s="246">
        <f>IFERROR(VLOOKUP(E1728,PROGRAMAS[],2,FALSE),0)</f>
        <v>640501509.6821388</v>
      </c>
      <c r="T1728" s="246">
        <f>IFERROR(VLOOKUP(F1728,PROGRAMAS[],2,FALSE),0)</f>
        <v>3062327798.1525245</v>
      </c>
      <c r="U1728" s="246">
        <f>IFERROR(VLOOKUP(G1728,PROGRAMAS[],2,FALSE),0)</f>
        <v>1440941976.2528784</v>
      </c>
      <c r="V1728" s="246">
        <f>IFERROR(VLOOKUP(H1728,PROGRAMAS[],2,FALSE),0)</f>
        <v>6907648435.8447599</v>
      </c>
      <c r="W1728" s="246">
        <f>IFERROR(VLOOKUP(I1728,PROGRAMAS[],2,FALSE),0)</f>
        <v>6128579952.1618185</v>
      </c>
      <c r="X1728" s="246">
        <f>IFERROR(VLOOKUP(J1728,PROGRAMAS[],2,FALSE),0)</f>
        <v>3776538594.4604583</v>
      </c>
      <c r="Y1728" s="246">
        <f>IFERROR(VLOOKUP(K1728,PROGRAMAS[],2,FALSE),0)</f>
        <v>54223862.645839565</v>
      </c>
      <c r="Z1728" s="246">
        <f>IFERROR(VLOOKUP(L1728,PROGRAMAS[],2,FALSE),0)</f>
        <v>122159672.96346797</v>
      </c>
      <c r="AA1728" s="246">
        <f>IFERROR(VLOOKUP(M1728,PROGRAMAS[],2,FALSE),0)</f>
        <v>1892779498.5211046</v>
      </c>
      <c r="AB1728" s="246">
        <f>IFERROR(VLOOKUP(N1728,PROGRAMAS[],2,FALSE),0)</f>
        <v>0</v>
      </c>
      <c r="AC1728" s="246">
        <f>IFERROR(VLOOKUP(O1728,PROGRAMAS[],2,FALSE),0)</f>
        <v>0</v>
      </c>
      <c r="AD1728" s="246">
        <f>IFERROR(VLOOKUP(P1728,PROGRAMAS[],2,FALSE),0)</f>
        <v>0</v>
      </c>
      <c r="AE1728" s="246">
        <f>IFERROR(VLOOKUP(Q1728,PROGRAMAS[],2,FALSE),0)</f>
        <v>0</v>
      </c>
      <c r="AF1728" s="246">
        <f>IFERROR(VLOOKUP(D1728,PROGRAMAS[],3,FALSE),0)</f>
        <v>841888629.31080008</v>
      </c>
      <c r="AG1728" s="246">
        <f>IFERROR(VLOOKUP(E1728,PROGRAMAS[],3,FALSE),0)</f>
        <v>3848980803.1642323</v>
      </c>
      <c r="AH1728" s="246">
        <f>IFERROR(VLOOKUP(F1728,PROGRAMAS[],3,FALSE),0)</f>
        <v>3394901471.387517</v>
      </c>
      <c r="AI1728" s="246">
        <f>IFERROR(VLOOKUP(G1728,PROGRAMAS[],3,FALSE),0)</f>
        <v>1233505101.0616004</v>
      </c>
      <c r="AJ1728" s="246">
        <f>IFERROR(VLOOKUP(H1728,PROGRAMAS[],3,FALSE),0)</f>
        <v>6129902208.7912121</v>
      </c>
      <c r="AK1728" s="246">
        <f>IFERROR(VLOOKUP(I1728,PROGRAMAS[],3,FALSE),0)</f>
        <v>7011279577.519702</v>
      </c>
      <c r="AL1728" s="246">
        <f>IFERROR(VLOOKUP(J1728,PROGRAMAS[],3,FALSE),0)</f>
        <v>2392571243.5584412</v>
      </c>
      <c r="AM1728" s="246">
        <f>IFERROR(VLOOKUP(K1728,PROGRAMAS[],3,FALSE),0)</f>
        <v>31865326.38096505</v>
      </c>
      <c r="AN1728" s="246">
        <f>IFERROR(VLOOKUP(L1728,PROGRAMAS[],3,FALSE),0)</f>
        <v>118617452.52510804</v>
      </c>
      <c r="AO1728" s="246">
        <f>IFERROR(VLOOKUP(M1728,PROGRAMAS[],3,FALSE),0)</f>
        <v>948595847.09039903</v>
      </c>
      <c r="AP1728" s="246">
        <f>IFERROR(VLOOKUP(N1728,PROGRAMAS[],3,FALSE),0)</f>
        <v>0</v>
      </c>
      <c r="AQ1728" s="246">
        <f>IFERROR(VLOOKUP(O1728,PROGRAMAS[],3,FALSE),0)</f>
        <v>0</v>
      </c>
      <c r="AR1728" s="246">
        <f>IFERROR(VLOOKUP(P1728,PROGRAMAS[],3,FALSE),0)</f>
        <v>0</v>
      </c>
      <c r="AS1728" s="246">
        <f>IFERROR(VLOOKUP(Q1728,PROGRAMAS[],3,FALSE),0)</f>
        <v>0</v>
      </c>
      <c r="AT1728" s="246">
        <f>IFERROR(VLOOKUP(D1728,VOL_REC[],2,FALSE),0)</f>
        <v>0</v>
      </c>
      <c r="AU1728" s="246">
        <f>IFERROR(VLOOKUP(E1728,VOL_REC[],2,FALSE),0)</f>
        <v>0</v>
      </c>
      <c r="AV1728" s="246">
        <f>IFERROR(VLOOKUP(F1728,VOL_REC[],2,FALSE),0)</f>
        <v>11089674.200000001</v>
      </c>
      <c r="AW1728" s="246">
        <f>IFERROR(VLOOKUP(G1728,VOL_REC[],2,FALSE),0)</f>
        <v>4325103.1812214684</v>
      </c>
      <c r="AX1728" s="246">
        <f>IFERROR(VLOOKUP(H1728,VOL_REC[],2,FALSE),0)</f>
        <v>15540036.397699751</v>
      </c>
      <c r="AY1728" s="246">
        <f>IFERROR(VLOOKUP(I1728,VOL_REC[],2,FALSE),0)</f>
        <v>3761786</v>
      </c>
      <c r="AZ1728" s="246">
        <f>IFERROR(VLOOKUP(J1728,VOL_REC[],2,FALSE),0)</f>
        <v>663244.80000000016</v>
      </c>
      <c r="BA1728" s="246">
        <f>IFERROR(VLOOKUP(K1728,VOL_REC[],2,FALSE),0)</f>
        <v>17074.045034105649</v>
      </c>
      <c r="BB1728" s="246">
        <f>IFERROR(VLOOKUP(L1728,VOL_REC[],2,FALSE),0)</f>
        <v>105072</v>
      </c>
      <c r="BC1728" s="246">
        <f>IFERROR(VLOOKUP(M1728,VOL_REC[],2,FALSE),0)</f>
        <v>740113.98115702497</v>
      </c>
      <c r="BD1728" s="246">
        <f>IFERROR(VLOOKUP(N1728,VOL_REC[],2,FALSE),0)</f>
        <v>0</v>
      </c>
      <c r="BE1728" s="246">
        <f>IFERROR(VLOOKUP(O1728,VOL_REC[],2,FALSE),0)</f>
        <v>0</v>
      </c>
      <c r="BF1728" s="246">
        <f>IFERROR(VLOOKUP(P1728,VOL_REC[],2,FALSE),0)</f>
        <v>0</v>
      </c>
      <c r="BG1728" s="246">
        <f>IFERROR(VLOOKUP(Q1728,VOL_REC[],2,FALSE),0)</f>
        <v>0</v>
      </c>
      <c r="BH1728" s="1710">
        <f t="shared" si="104"/>
        <v>24122739104.364365</v>
      </c>
      <c r="BI1728" s="1710">
        <f t="shared" si="105"/>
        <v>25952107660.789982</v>
      </c>
      <c r="BJ1728" s="1711">
        <f t="shared" si="106"/>
        <v>36242104.605112344</v>
      </c>
      <c r="BK1728" s="1711">
        <f t="shared" si="107"/>
        <v>0.92950982708855134</v>
      </c>
    </row>
    <row r="1729" spans="3:67" x14ac:dyDescent="0.25">
      <c r="C1729" s="246" t="s">
        <v>3079</v>
      </c>
      <c r="D1729" s="246">
        <v>1</v>
      </c>
      <c r="E1729" s="246">
        <v>2</v>
      </c>
      <c r="F1729" s="246">
        <v>3</v>
      </c>
      <c r="G1729" s="246">
        <v>5</v>
      </c>
      <c r="H1729" s="246">
        <v>6</v>
      </c>
      <c r="I1729" s="246">
        <v>9</v>
      </c>
      <c r="J1729" s="246">
        <v>13</v>
      </c>
      <c r="K1729" s="246">
        <v>14</v>
      </c>
      <c r="L1729" s="246">
        <v>16</v>
      </c>
      <c r="M1729" s="246">
        <v>17</v>
      </c>
      <c r="N1729" s="246"/>
      <c r="O1729" s="246"/>
      <c r="P1729" s="246"/>
      <c r="Q1729" s="246"/>
      <c r="R1729" s="246">
        <f>IFERROR(VLOOKUP(D1729,PROGRAMAS[],2,FALSE),0)</f>
        <v>97037803.679377079</v>
      </c>
      <c r="S1729" s="246">
        <f>IFERROR(VLOOKUP(E1729,PROGRAMAS[],2,FALSE),0)</f>
        <v>640501509.6821388</v>
      </c>
      <c r="T1729" s="246">
        <f>IFERROR(VLOOKUP(F1729,PROGRAMAS[],2,FALSE),0)</f>
        <v>3062327798.1525245</v>
      </c>
      <c r="U1729" s="246">
        <f>IFERROR(VLOOKUP(G1729,PROGRAMAS[],2,FALSE),0)</f>
        <v>1440941976.2528784</v>
      </c>
      <c r="V1729" s="246">
        <f>IFERROR(VLOOKUP(H1729,PROGRAMAS[],2,FALSE),0)</f>
        <v>6907648435.8447599</v>
      </c>
      <c r="W1729" s="246">
        <f>IFERROR(VLOOKUP(I1729,PROGRAMAS[],2,FALSE),0)</f>
        <v>6128579952.1618185</v>
      </c>
      <c r="X1729" s="246">
        <f>IFERROR(VLOOKUP(J1729,PROGRAMAS[],2,FALSE),0)</f>
        <v>3776538594.4604583</v>
      </c>
      <c r="Y1729" s="246">
        <f>IFERROR(VLOOKUP(K1729,PROGRAMAS[],2,FALSE),0)</f>
        <v>54223862.645839565</v>
      </c>
      <c r="Z1729" s="246">
        <f>IFERROR(VLOOKUP(L1729,PROGRAMAS[],2,FALSE),0)</f>
        <v>7068496961.0436354</v>
      </c>
      <c r="AA1729" s="246">
        <f>IFERROR(VLOOKUP(M1729,PROGRAMAS[],2,FALSE),0)</f>
        <v>1892779498.5211046</v>
      </c>
      <c r="AB1729" s="246">
        <f>IFERROR(VLOOKUP(N1729,PROGRAMAS[],2,FALSE),0)</f>
        <v>0</v>
      </c>
      <c r="AC1729" s="246">
        <f>IFERROR(VLOOKUP(O1729,PROGRAMAS[],2,FALSE),0)</f>
        <v>0</v>
      </c>
      <c r="AD1729" s="246">
        <f>IFERROR(VLOOKUP(P1729,PROGRAMAS[],2,FALSE),0)</f>
        <v>0</v>
      </c>
      <c r="AE1729" s="246">
        <f>IFERROR(VLOOKUP(Q1729,PROGRAMAS[],2,FALSE),0)</f>
        <v>0</v>
      </c>
      <c r="AF1729" s="246">
        <f>IFERROR(VLOOKUP(D1729,PROGRAMAS[],3,FALSE),0)</f>
        <v>841888629.31080008</v>
      </c>
      <c r="AG1729" s="246">
        <f>IFERROR(VLOOKUP(E1729,PROGRAMAS[],3,FALSE),0)</f>
        <v>3848980803.1642323</v>
      </c>
      <c r="AH1729" s="246">
        <f>IFERROR(VLOOKUP(F1729,PROGRAMAS[],3,FALSE),0)</f>
        <v>3394901471.387517</v>
      </c>
      <c r="AI1729" s="246">
        <f>IFERROR(VLOOKUP(G1729,PROGRAMAS[],3,FALSE),0)</f>
        <v>1233505101.0616004</v>
      </c>
      <c r="AJ1729" s="246">
        <f>IFERROR(VLOOKUP(H1729,PROGRAMAS[],3,FALSE),0)</f>
        <v>6129902208.7912121</v>
      </c>
      <c r="AK1729" s="246">
        <f>IFERROR(VLOOKUP(I1729,PROGRAMAS[],3,FALSE),0)</f>
        <v>7011279577.519702</v>
      </c>
      <c r="AL1729" s="246">
        <f>IFERROR(VLOOKUP(J1729,PROGRAMAS[],3,FALSE),0)</f>
        <v>2392571243.5584412</v>
      </c>
      <c r="AM1729" s="246">
        <f>IFERROR(VLOOKUP(K1729,PROGRAMAS[],3,FALSE),0)</f>
        <v>31865326.38096505</v>
      </c>
      <c r="AN1729" s="246">
        <f>IFERROR(VLOOKUP(L1729,PROGRAMAS[],3,FALSE),0)</f>
        <v>2406564599.0319901</v>
      </c>
      <c r="AO1729" s="246">
        <f>IFERROR(VLOOKUP(M1729,PROGRAMAS[],3,FALSE),0)</f>
        <v>948595847.09039903</v>
      </c>
      <c r="AP1729" s="246">
        <f>IFERROR(VLOOKUP(N1729,PROGRAMAS[],3,FALSE),0)</f>
        <v>0</v>
      </c>
      <c r="AQ1729" s="246">
        <f>IFERROR(VLOOKUP(O1729,PROGRAMAS[],3,FALSE),0)</f>
        <v>0</v>
      </c>
      <c r="AR1729" s="246">
        <f>IFERROR(VLOOKUP(P1729,PROGRAMAS[],3,FALSE),0)</f>
        <v>0</v>
      </c>
      <c r="AS1729" s="246">
        <f>IFERROR(VLOOKUP(Q1729,PROGRAMAS[],3,FALSE),0)</f>
        <v>0</v>
      </c>
      <c r="AT1729" s="246">
        <f>IFERROR(VLOOKUP(D1729,VOL_REC[],2,FALSE),0)</f>
        <v>0</v>
      </c>
      <c r="AU1729" s="246">
        <f>IFERROR(VLOOKUP(E1729,VOL_REC[],2,FALSE),0)</f>
        <v>0</v>
      </c>
      <c r="AV1729" s="246">
        <f>IFERROR(VLOOKUP(F1729,VOL_REC[],2,FALSE),0)</f>
        <v>11089674.200000001</v>
      </c>
      <c r="AW1729" s="246">
        <f>IFERROR(VLOOKUP(G1729,VOL_REC[],2,FALSE),0)</f>
        <v>4325103.1812214684</v>
      </c>
      <c r="AX1729" s="246">
        <f>IFERROR(VLOOKUP(H1729,VOL_REC[],2,FALSE),0)</f>
        <v>15540036.397699751</v>
      </c>
      <c r="AY1729" s="246">
        <f>IFERROR(VLOOKUP(I1729,VOL_REC[],2,FALSE),0)</f>
        <v>3761786</v>
      </c>
      <c r="AZ1729" s="246">
        <f>IFERROR(VLOOKUP(J1729,VOL_REC[],2,FALSE),0)</f>
        <v>663244.80000000016</v>
      </c>
      <c r="BA1729" s="246">
        <f>IFERROR(VLOOKUP(K1729,VOL_REC[],2,FALSE),0)</f>
        <v>17074.045034105649</v>
      </c>
      <c r="BB1729" s="246">
        <f>IFERROR(VLOOKUP(L1729,VOL_REC[],2,FALSE),0)</f>
        <v>1072354.9981737854</v>
      </c>
      <c r="BC1729" s="246">
        <f>IFERROR(VLOOKUP(M1729,VOL_REC[],2,FALSE),0)</f>
        <v>740113.98115702497</v>
      </c>
      <c r="BD1729" s="246">
        <f>IFERROR(VLOOKUP(N1729,VOL_REC[],2,FALSE),0)</f>
        <v>0</v>
      </c>
      <c r="BE1729" s="246">
        <f>IFERROR(VLOOKUP(O1729,VOL_REC[],2,FALSE),0)</f>
        <v>0</v>
      </c>
      <c r="BF1729" s="246">
        <f>IFERROR(VLOOKUP(P1729,VOL_REC[],2,FALSE),0)</f>
        <v>0</v>
      </c>
      <c r="BG1729" s="246">
        <f>IFERROR(VLOOKUP(Q1729,VOL_REC[],2,FALSE),0)</f>
        <v>0</v>
      </c>
      <c r="BH1729" s="1710">
        <f t="shared" si="104"/>
        <v>31069076392.444534</v>
      </c>
      <c r="BI1729" s="1710">
        <f t="shared" si="105"/>
        <v>28240054807.296864</v>
      </c>
      <c r="BJ1729" s="1711">
        <f t="shared" si="106"/>
        <v>37209387.603286132</v>
      </c>
      <c r="BK1729" s="1711">
        <f t="shared" si="107"/>
        <v>1.1001776237493948</v>
      </c>
      <c r="BL1729">
        <f>BJ1729</f>
        <v>37209387.603286132</v>
      </c>
      <c r="BO1729">
        <f>BL1729</f>
        <v>37209387.603286132</v>
      </c>
    </row>
    <row r="1730" spans="3:67" x14ac:dyDescent="0.25">
      <c r="C1730" s="246" t="s">
        <v>3080</v>
      </c>
      <c r="D1730" s="246">
        <v>1</v>
      </c>
      <c r="E1730" s="246">
        <v>2</v>
      </c>
      <c r="F1730" s="246">
        <v>3</v>
      </c>
      <c r="G1730" s="246">
        <v>5</v>
      </c>
      <c r="H1730" s="246">
        <v>6</v>
      </c>
      <c r="I1730" s="246">
        <v>9</v>
      </c>
      <c r="J1730" s="246">
        <v>13</v>
      </c>
      <c r="K1730" s="246">
        <v>15</v>
      </c>
      <c r="L1730" s="246">
        <v>16</v>
      </c>
      <c r="M1730" s="246">
        <v>17</v>
      </c>
      <c r="N1730" s="246"/>
      <c r="O1730" s="246"/>
      <c r="P1730" s="246"/>
      <c r="Q1730" s="246"/>
      <c r="R1730" s="246">
        <f>IFERROR(VLOOKUP(D1730,PROGRAMAS[],2,FALSE),0)</f>
        <v>97037803.679377079</v>
      </c>
      <c r="S1730" s="246">
        <f>IFERROR(VLOOKUP(E1730,PROGRAMAS[],2,FALSE),0)</f>
        <v>640501509.6821388</v>
      </c>
      <c r="T1730" s="246">
        <f>IFERROR(VLOOKUP(F1730,PROGRAMAS[],2,FALSE),0)</f>
        <v>3062327798.1525245</v>
      </c>
      <c r="U1730" s="246">
        <f>IFERROR(VLOOKUP(G1730,PROGRAMAS[],2,FALSE),0)</f>
        <v>1440941976.2528784</v>
      </c>
      <c r="V1730" s="246">
        <f>IFERROR(VLOOKUP(H1730,PROGRAMAS[],2,FALSE),0)</f>
        <v>6907648435.8447599</v>
      </c>
      <c r="W1730" s="246">
        <f>IFERROR(VLOOKUP(I1730,PROGRAMAS[],2,FALSE),0)</f>
        <v>6128579952.1618185</v>
      </c>
      <c r="X1730" s="246">
        <f>IFERROR(VLOOKUP(J1730,PROGRAMAS[],2,FALSE),0)</f>
        <v>3776538594.4604583</v>
      </c>
      <c r="Y1730" s="246">
        <f>IFERROR(VLOOKUP(K1730,PROGRAMAS[],2,FALSE),0)</f>
        <v>122159672.96346797</v>
      </c>
      <c r="Z1730" s="246">
        <f>IFERROR(VLOOKUP(L1730,PROGRAMAS[],2,FALSE),0)</f>
        <v>7068496961.0436354</v>
      </c>
      <c r="AA1730" s="246">
        <f>IFERROR(VLOOKUP(M1730,PROGRAMAS[],2,FALSE),0)</f>
        <v>1892779498.5211046</v>
      </c>
      <c r="AB1730" s="246">
        <f>IFERROR(VLOOKUP(N1730,PROGRAMAS[],2,FALSE),0)</f>
        <v>0</v>
      </c>
      <c r="AC1730" s="246">
        <f>IFERROR(VLOOKUP(O1730,PROGRAMAS[],2,FALSE),0)</f>
        <v>0</v>
      </c>
      <c r="AD1730" s="246">
        <f>IFERROR(VLOOKUP(P1730,PROGRAMAS[],2,FALSE),0)</f>
        <v>0</v>
      </c>
      <c r="AE1730" s="246">
        <f>IFERROR(VLOOKUP(Q1730,PROGRAMAS[],2,FALSE),0)</f>
        <v>0</v>
      </c>
      <c r="AF1730" s="246">
        <f>IFERROR(VLOOKUP(D1730,PROGRAMAS[],3,FALSE),0)</f>
        <v>841888629.31080008</v>
      </c>
      <c r="AG1730" s="246">
        <f>IFERROR(VLOOKUP(E1730,PROGRAMAS[],3,FALSE),0)</f>
        <v>3848980803.1642323</v>
      </c>
      <c r="AH1730" s="246">
        <f>IFERROR(VLOOKUP(F1730,PROGRAMAS[],3,FALSE),0)</f>
        <v>3394901471.387517</v>
      </c>
      <c r="AI1730" s="246">
        <f>IFERROR(VLOOKUP(G1730,PROGRAMAS[],3,FALSE),0)</f>
        <v>1233505101.0616004</v>
      </c>
      <c r="AJ1730" s="246">
        <f>IFERROR(VLOOKUP(H1730,PROGRAMAS[],3,FALSE),0)</f>
        <v>6129902208.7912121</v>
      </c>
      <c r="AK1730" s="246">
        <f>IFERROR(VLOOKUP(I1730,PROGRAMAS[],3,FALSE),0)</f>
        <v>7011279577.519702</v>
      </c>
      <c r="AL1730" s="246">
        <f>IFERROR(VLOOKUP(J1730,PROGRAMAS[],3,FALSE),0)</f>
        <v>2392571243.5584412</v>
      </c>
      <c r="AM1730" s="246">
        <f>IFERROR(VLOOKUP(K1730,PROGRAMAS[],3,FALSE),0)</f>
        <v>118617452.52510804</v>
      </c>
      <c r="AN1730" s="246">
        <f>IFERROR(VLOOKUP(L1730,PROGRAMAS[],3,FALSE),0)</f>
        <v>2406564599.0319901</v>
      </c>
      <c r="AO1730" s="246">
        <f>IFERROR(VLOOKUP(M1730,PROGRAMAS[],3,FALSE),0)</f>
        <v>948595847.09039903</v>
      </c>
      <c r="AP1730" s="246">
        <f>IFERROR(VLOOKUP(N1730,PROGRAMAS[],3,FALSE),0)</f>
        <v>0</v>
      </c>
      <c r="AQ1730" s="246">
        <f>IFERROR(VLOOKUP(O1730,PROGRAMAS[],3,FALSE),0)</f>
        <v>0</v>
      </c>
      <c r="AR1730" s="246">
        <f>IFERROR(VLOOKUP(P1730,PROGRAMAS[],3,FALSE),0)</f>
        <v>0</v>
      </c>
      <c r="AS1730" s="246">
        <f>IFERROR(VLOOKUP(Q1730,PROGRAMAS[],3,FALSE),0)</f>
        <v>0</v>
      </c>
      <c r="AT1730" s="246">
        <f>IFERROR(VLOOKUP(D1730,VOL_REC[],2,FALSE),0)</f>
        <v>0</v>
      </c>
      <c r="AU1730" s="246">
        <f>IFERROR(VLOOKUP(E1730,VOL_REC[],2,FALSE),0)</f>
        <v>0</v>
      </c>
      <c r="AV1730" s="246">
        <f>IFERROR(VLOOKUP(F1730,VOL_REC[],2,FALSE),0)</f>
        <v>11089674.200000001</v>
      </c>
      <c r="AW1730" s="246">
        <f>IFERROR(VLOOKUP(G1730,VOL_REC[],2,FALSE),0)</f>
        <v>4325103.1812214684</v>
      </c>
      <c r="AX1730" s="246">
        <f>IFERROR(VLOOKUP(H1730,VOL_REC[],2,FALSE),0)</f>
        <v>15540036.397699751</v>
      </c>
      <c r="AY1730" s="246">
        <f>IFERROR(VLOOKUP(I1730,VOL_REC[],2,FALSE),0)</f>
        <v>3761786</v>
      </c>
      <c r="AZ1730" s="246">
        <f>IFERROR(VLOOKUP(J1730,VOL_REC[],2,FALSE),0)</f>
        <v>663244.80000000016</v>
      </c>
      <c r="BA1730" s="246">
        <f>IFERROR(VLOOKUP(K1730,VOL_REC[],2,FALSE),0)</f>
        <v>105072</v>
      </c>
      <c r="BB1730" s="246">
        <f>IFERROR(VLOOKUP(L1730,VOL_REC[],2,FALSE),0)</f>
        <v>1072354.9981737854</v>
      </c>
      <c r="BC1730" s="246">
        <f>IFERROR(VLOOKUP(M1730,VOL_REC[],2,FALSE),0)</f>
        <v>740113.98115702497</v>
      </c>
      <c r="BD1730" s="246">
        <f>IFERROR(VLOOKUP(N1730,VOL_REC[],2,FALSE),0)</f>
        <v>0</v>
      </c>
      <c r="BE1730" s="246">
        <f>IFERROR(VLOOKUP(O1730,VOL_REC[],2,FALSE),0)</f>
        <v>0</v>
      </c>
      <c r="BF1730" s="246">
        <f>IFERROR(VLOOKUP(P1730,VOL_REC[],2,FALSE),0)</f>
        <v>0</v>
      </c>
      <c r="BG1730" s="246">
        <f>IFERROR(VLOOKUP(Q1730,VOL_REC[],2,FALSE),0)</f>
        <v>0</v>
      </c>
      <c r="BH1730" s="1710">
        <f t="shared" ref="BH1730:BH1793" si="108">SUM(R1730:AE1730)</f>
        <v>31137012202.762161</v>
      </c>
      <c r="BI1730" s="1710">
        <f t="shared" ref="BI1730:BI1793" si="109">SUM(AF1730:AS1730)</f>
        <v>28326806933.441006</v>
      </c>
      <c r="BJ1730" s="1711">
        <f t="shared" ref="BJ1730:BJ1793" si="110">SUM(AT1730:BG1730)</f>
        <v>37297385.558252029</v>
      </c>
      <c r="BK1730" s="1711">
        <f t="shared" ref="BK1730:BK1793" si="111">IFERROR(BH1730/BI1730,0)</f>
        <v>1.0992065669782072</v>
      </c>
      <c r="BL1730">
        <f>BJ1730</f>
        <v>37297385.558252029</v>
      </c>
      <c r="BO1730">
        <f>BL1730</f>
        <v>37297385.558252029</v>
      </c>
    </row>
    <row r="1731" spans="3:67" x14ac:dyDescent="0.25">
      <c r="C1731" s="246" t="s">
        <v>3081</v>
      </c>
      <c r="D1731" s="246">
        <v>1</v>
      </c>
      <c r="E1731" s="246">
        <v>2</v>
      </c>
      <c r="F1731" s="246">
        <v>3</v>
      </c>
      <c r="G1731" s="246">
        <v>5</v>
      </c>
      <c r="H1731" s="246">
        <v>6</v>
      </c>
      <c r="I1731" s="246">
        <v>9</v>
      </c>
      <c r="J1731" s="246">
        <v>14</v>
      </c>
      <c r="K1731" s="246">
        <v>15</v>
      </c>
      <c r="L1731" s="246">
        <v>16</v>
      </c>
      <c r="M1731" s="246">
        <v>17</v>
      </c>
      <c r="N1731" s="246"/>
      <c r="O1731" s="246"/>
      <c r="P1731" s="246"/>
      <c r="Q1731" s="246"/>
      <c r="R1731" s="246">
        <f>IFERROR(VLOOKUP(D1731,PROGRAMAS[],2,FALSE),0)</f>
        <v>97037803.679377079</v>
      </c>
      <c r="S1731" s="246">
        <f>IFERROR(VLOOKUP(E1731,PROGRAMAS[],2,FALSE),0)</f>
        <v>640501509.6821388</v>
      </c>
      <c r="T1731" s="246">
        <f>IFERROR(VLOOKUP(F1731,PROGRAMAS[],2,FALSE),0)</f>
        <v>3062327798.1525245</v>
      </c>
      <c r="U1731" s="246">
        <f>IFERROR(VLOOKUP(G1731,PROGRAMAS[],2,FALSE),0)</f>
        <v>1440941976.2528784</v>
      </c>
      <c r="V1731" s="246">
        <f>IFERROR(VLOOKUP(H1731,PROGRAMAS[],2,FALSE),0)</f>
        <v>6907648435.8447599</v>
      </c>
      <c r="W1731" s="246">
        <f>IFERROR(VLOOKUP(I1731,PROGRAMAS[],2,FALSE),0)</f>
        <v>6128579952.1618185</v>
      </c>
      <c r="X1731" s="246">
        <f>IFERROR(VLOOKUP(J1731,PROGRAMAS[],2,FALSE),0)</f>
        <v>54223862.645839565</v>
      </c>
      <c r="Y1731" s="246">
        <f>IFERROR(VLOOKUP(K1731,PROGRAMAS[],2,FALSE),0)</f>
        <v>122159672.96346797</v>
      </c>
      <c r="Z1731" s="246">
        <f>IFERROR(VLOOKUP(L1731,PROGRAMAS[],2,FALSE),0)</f>
        <v>7068496961.0436354</v>
      </c>
      <c r="AA1731" s="246">
        <f>IFERROR(VLOOKUP(M1731,PROGRAMAS[],2,FALSE),0)</f>
        <v>1892779498.5211046</v>
      </c>
      <c r="AB1731" s="246">
        <f>IFERROR(VLOOKUP(N1731,PROGRAMAS[],2,FALSE),0)</f>
        <v>0</v>
      </c>
      <c r="AC1731" s="246">
        <f>IFERROR(VLOOKUP(O1731,PROGRAMAS[],2,FALSE),0)</f>
        <v>0</v>
      </c>
      <c r="AD1731" s="246">
        <f>IFERROR(VLOOKUP(P1731,PROGRAMAS[],2,FALSE),0)</f>
        <v>0</v>
      </c>
      <c r="AE1731" s="246">
        <f>IFERROR(VLOOKUP(Q1731,PROGRAMAS[],2,FALSE),0)</f>
        <v>0</v>
      </c>
      <c r="AF1731" s="246">
        <f>IFERROR(VLOOKUP(D1731,PROGRAMAS[],3,FALSE),0)</f>
        <v>841888629.31080008</v>
      </c>
      <c r="AG1731" s="246">
        <f>IFERROR(VLOOKUP(E1731,PROGRAMAS[],3,FALSE),0)</f>
        <v>3848980803.1642323</v>
      </c>
      <c r="AH1731" s="246">
        <f>IFERROR(VLOOKUP(F1731,PROGRAMAS[],3,FALSE),0)</f>
        <v>3394901471.387517</v>
      </c>
      <c r="AI1731" s="246">
        <f>IFERROR(VLOOKUP(G1731,PROGRAMAS[],3,FALSE),0)</f>
        <v>1233505101.0616004</v>
      </c>
      <c r="AJ1731" s="246">
        <f>IFERROR(VLOOKUP(H1731,PROGRAMAS[],3,FALSE),0)</f>
        <v>6129902208.7912121</v>
      </c>
      <c r="AK1731" s="246">
        <f>IFERROR(VLOOKUP(I1731,PROGRAMAS[],3,FALSE),0)</f>
        <v>7011279577.519702</v>
      </c>
      <c r="AL1731" s="246">
        <f>IFERROR(VLOOKUP(J1731,PROGRAMAS[],3,FALSE),0)</f>
        <v>31865326.38096505</v>
      </c>
      <c r="AM1731" s="246">
        <f>IFERROR(VLOOKUP(K1731,PROGRAMAS[],3,FALSE),0)</f>
        <v>118617452.52510804</v>
      </c>
      <c r="AN1731" s="246">
        <f>IFERROR(VLOOKUP(L1731,PROGRAMAS[],3,FALSE),0)</f>
        <v>2406564599.0319901</v>
      </c>
      <c r="AO1731" s="246">
        <f>IFERROR(VLOOKUP(M1731,PROGRAMAS[],3,FALSE),0)</f>
        <v>948595847.09039903</v>
      </c>
      <c r="AP1731" s="246">
        <f>IFERROR(VLOOKUP(N1731,PROGRAMAS[],3,FALSE),0)</f>
        <v>0</v>
      </c>
      <c r="AQ1731" s="246">
        <f>IFERROR(VLOOKUP(O1731,PROGRAMAS[],3,FALSE),0)</f>
        <v>0</v>
      </c>
      <c r="AR1731" s="246">
        <f>IFERROR(VLOOKUP(P1731,PROGRAMAS[],3,FALSE),0)</f>
        <v>0</v>
      </c>
      <c r="AS1731" s="246">
        <f>IFERROR(VLOOKUP(Q1731,PROGRAMAS[],3,FALSE),0)</f>
        <v>0</v>
      </c>
      <c r="AT1731" s="246">
        <f>IFERROR(VLOOKUP(D1731,VOL_REC[],2,FALSE),0)</f>
        <v>0</v>
      </c>
      <c r="AU1731" s="246">
        <f>IFERROR(VLOOKUP(E1731,VOL_REC[],2,FALSE),0)</f>
        <v>0</v>
      </c>
      <c r="AV1731" s="246">
        <f>IFERROR(VLOOKUP(F1731,VOL_REC[],2,FALSE),0)</f>
        <v>11089674.200000001</v>
      </c>
      <c r="AW1731" s="246">
        <f>IFERROR(VLOOKUP(G1731,VOL_REC[],2,FALSE),0)</f>
        <v>4325103.1812214684</v>
      </c>
      <c r="AX1731" s="246">
        <f>IFERROR(VLOOKUP(H1731,VOL_REC[],2,FALSE),0)</f>
        <v>15540036.397699751</v>
      </c>
      <c r="AY1731" s="246">
        <f>IFERROR(VLOOKUP(I1731,VOL_REC[],2,FALSE),0)</f>
        <v>3761786</v>
      </c>
      <c r="AZ1731" s="246">
        <f>IFERROR(VLOOKUP(J1731,VOL_REC[],2,FALSE),0)</f>
        <v>17074.045034105649</v>
      </c>
      <c r="BA1731" s="246">
        <f>IFERROR(VLOOKUP(K1731,VOL_REC[],2,FALSE),0)</f>
        <v>105072</v>
      </c>
      <c r="BB1731" s="246">
        <f>IFERROR(VLOOKUP(L1731,VOL_REC[],2,FALSE),0)</f>
        <v>1072354.9981737854</v>
      </c>
      <c r="BC1731" s="246">
        <f>IFERROR(VLOOKUP(M1731,VOL_REC[],2,FALSE),0)</f>
        <v>740113.98115702497</v>
      </c>
      <c r="BD1731" s="246">
        <f>IFERROR(VLOOKUP(N1731,VOL_REC[],2,FALSE),0)</f>
        <v>0</v>
      </c>
      <c r="BE1731" s="246">
        <f>IFERROR(VLOOKUP(O1731,VOL_REC[],2,FALSE),0)</f>
        <v>0</v>
      </c>
      <c r="BF1731" s="246">
        <f>IFERROR(VLOOKUP(P1731,VOL_REC[],2,FALSE),0)</f>
        <v>0</v>
      </c>
      <c r="BG1731" s="246">
        <f>IFERROR(VLOOKUP(Q1731,VOL_REC[],2,FALSE),0)</f>
        <v>0</v>
      </c>
      <c r="BH1731" s="1710">
        <f t="shared" si="108"/>
        <v>27414697470.947544</v>
      </c>
      <c r="BI1731" s="1710">
        <f t="shared" si="109"/>
        <v>25966101016.263531</v>
      </c>
      <c r="BJ1731" s="1711">
        <f t="shared" si="110"/>
        <v>36651214.803286135</v>
      </c>
      <c r="BK1731" s="1711">
        <f t="shared" si="111"/>
        <v>1.0557879850261964</v>
      </c>
      <c r="BL1731">
        <f>BJ1731</f>
        <v>36651214.803286135</v>
      </c>
      <c r="BO1731">
        <f>BL1731</f>
        <v>36651214.803286135</v>
      </c>
    </row>
    <row r="1732" spans="3:67" x14ac:dyDescent="0.25">
      <c r="C1732" s="246" t="s">
        <v>3082</v>
      </c>
      <c r="D1732" s="246">
        <v>1</v>
      </c>
      <c r="E1732" s="246">
        <v>2</v>
      </c>
      <c r="F1732" s="246">
        <v>3</v>
      </c>
      <c r="G1732" s="246">
        <v>5</v>
      </c>
      <c r="H1732" s="246">
        <v>6</v>
      </c>
      <c r="I1732" s="246">
        <v>10</v>
      </c>
      <c r="J1732" s="246">
        <v>12</v>
      </c>
      <c r="K1732" s="246">
        <v>13</v>
      </c>
      <c r="L1732" s="246">
        <v>14</v>
      </c>
      <c r="M1732" s="246">
        <v>15</v>
      </c>
      <c r="N1732" s="246"/>
      <c r="O1732" s="246"/>
      <c r="P1732" s="246"/>
      <c r="Q1732" s="246"/>
      <c r="R1732" s="246">
        <f>IFERROR(VLOOKUP(D1732,PROGRAMAS[],2,FALSE),0)</f>
        <v>97037803.679377079</v>
      </c>
      <c r="S1732" s="246">
        <f>IFERROR(VLOOKUP(E1732,PROGRAMAS[],2,FALSE),0)</f>
        <v>640501509.6821388</v>
      </c>
      <c r="T1732" s="246">
        <f>IFERROR(VLOOKUP(F1732,PROGRAMAS[],2,FALSE),0)</f>
        <v>3062327798.1525245</v>
      </c>
      <c r="U1732" s="246">
        <f>IFERROR(VLOOKUP(G1732,PROGRAMAS[],2,FALSE),0)</f>
        <v>1440941976.2528784</v>
      </c>
      <c r="V1732" s="246">
        <f>IFERROR(VLOOKUP(H1732,PROGRAMAS[],2,FALSE),0)</f>
        <v>6907648435.8447599</v>
      </c>
      <c r="W1732" s="246">
        <f>IFERROR(VLOOKUP(I1732,PROGRAMAS[],2,FALSE),0)</f>
        <v>4635315027.8751087</v>
      </c>
      <c r="X1732" s="246">
        <f>IFERROR(VLOOKUP(J1732,PROGRAMAS[],2,FALSE),0)</f>
        <v>764796700.79905891</v>
      </c>
      <c r="Y1732" s="246">
        <f>IFERROR(VLOOKUP(K1732,PROGRAMAS[],2,FALSE),0)</f>
        <v>3776538594.4604583</v>
      </c>
      <c r="Z1732" s="246">
        <f>IFERROR(VLOOKUP(L1732,PROGRAMAS[],2,FALSE),0)</f>
        <v>54223862.645839565</v>
      </c>
      <c r="AA1732" s="246">
        <f>IFERROR(VLOOKUP(M1732,PROGRAMAS[],2,FALSE),0)</f>
        <v>122159672.96346797</v>
      </c>
      <c r="AB1732" s="246">
        <f>IFERROR(VLOOKUP(N1732,PROGRAMAS[],2,FALSE),0)</f>
        <v>0</v>
      </c>
      <c r="AC1732" s="246">
        <f>IFERROR(VLOOKUP(O1732,PROGRAMAS[],2,FALSE),0)</f>
        <v>0</v>
      </c>
      <c r="AD1732" s="246">
        <f>IFERROR(VLOOKUP(P1732,PROGRAMAS[],2,FALSE),0)</f>
        <v>0</v>
      </c>
      <c r="AE1732" s="246">
        <f>IFERROR(VLOOKUP(Q1732,PROGRAMAS[],2,FALSE),0)</f>
        <v>0</v>
      </c>
      <c r="AF1732" s="246">
        <f>IFERROR(VLOOKUP(D1732,PROGRAMAS[],3,FALSE),0)</f>
        <v>841888629.31080008</v>
      </c>
      <c r="AG1732" s="246">
        <f>IFERROR(VLOOKUP(E1732,PROGRAMAS[],3,FALSE),0)</f>
        <v>3848980803.1642323</v>
      </c>
      <c r="AH1732" s="246">
        <f>IFERROR(VLOOKUP(F1732,PROGRAMAS[],3,FALSE),0)</f>
        <v>3394901471.387517</v>
      </c>
      <c r="AI1732" s="246">
        <f>IFERROR(VLOOKUP(G1732,PROGRAMAS[],3,FALSE),0)</f>
        <v>1233505101.0616004</v>
      </c>
      <c r="AJ1732" s="246">
        <f>IFERROR(VLOOKUP(H1732,PROGRAMAS[],3,FALSE),0)</f>
        <v>6129902208.7912121</v>
      </c>
      <c r="AK1732" s="246">
        <f>IFERROR(VLOOKUP(I1732,PROGRAMAS[],3,FALSE),0)</f>
        <v>4099471734.9978786</v>
      </c>
      <c r="AL1732" s="246">
        <f>IFERROR(VLOOKUP(J1732,PROGRAMAS[],3,FALSE),0)</f>
        <v>675517840.109828</v>
      </c>
      <c r="AM1732" s="246">
        <f>IFERROR(VLOOKUP(K1732,PROGRAMAS[],3,FALSE),0)</f>
        <v>2392571243.5584412</v>
      </c>
      <c r="AN1732" s="246">
        <f>IFERROR(VLOOKUP(L1732,PROGRAMAS[],3,FALSE),0)</f>
        <v>31865326.38096505</v>
      </c>
      <c r="AO1732" s="246">
        <f>IFERROR(VLOOKUP(M1732,PROGRAMAS[],3,FALSE),0)</f>
        <v>118617452.52510804</v>
      </c>
      <c r="AP1732" s="246">
        <f>IFERROR(VLOOKUP(N1732,PROGRAMAS[],3,FALSE),0)</f>
        <v>0</v>
      </c>
      <c r="AQ1732" s="246">
        <f>IFERROR(VLOOKUP(O1732,PROGRAMAS[],3,FALSE),0)</f>
        <v>0</v>
      </c>
      <c r="AR1732" s="246">
        <f>IFERROR(VLOOKUP(P1732,PROGRAMAS[],3,FALSE),0)</f>
        <v>0</v>
      </c>
      <c r="AS1732" s="246">
        <f>IFERROR(VLOOKUP(Q1732,PROGRAMAS[],3,FALSE),0)</f>
        <v>0</v>
      </c>
      <c r="AT1732" s="246">
        <f>IFERROR(VLOOKUP(D1732,VOL_REC[],2,FALSE),0)</f>
        <v>0</v>
      </c>
      <c r="AU1732" s="246">
        <f>IFERROR(VLOOKUP(E1732,VOL_REC[],2,FALSE),0)</f>
        <v>0</v>
      </c>
      <c r="AV1732" s="246">
        <f>IFERROR(VLOOKUP(F1732,VOL_REC[],2,FALSE),0)</f>
        <v>11089674.200000001</v>
      </c>
      <c r="AW1732" s="246">
        <f>IFERROR(VLOOKUP(G1732,VOL_REC[],2,FALSE),0)</f>
        <v>4325103.1812214684</v>
      </c>
      <c r="AX1732" s="246">
        <f>IFERROR(VLOOKUP(H1732,VOL_REC[],2,FALSE),0)</f>
        <v>15540036.397699751</v>
      </c>
      <c r="AY1732" s="246">
        <f>IFERROR(VLOOKUP(I1732,VOL_REC[],2,FALSE),0)</f>
        <v>1812240</v>
      </c>
      <c r="AZ1732" s="246">
        <f>IFERROR(VLOOKUP(J1732,VOL_REC[],2,FALSE),0)</f>
        <v>240696.79238099116</v>
      </c>
      <c r="BA1732" s="246">
        <f>IFERROR(VLOOKUP(K1732,VOL_REC[],2,FALSE),0)</f>
        <v>663244.80000000016</v>
      </c>
      <c r="BB1732" s="246">
        <f>IFERROR(VLOOKUP(L1732,VOL_REC[],2,FALSE),0)</f>
        <v>17074.045034105649</v>
      </c>
      <c r="BC1732" s="246">
        <f>IFERROR(VLOOKUP(M1732,VOL_REC[],2,FALSE),0)</f>
        <v>105072</v>
      </c>
      <c r="BD1732" s="246">
        <f>IFERROR(VLOOKUP(N1732,VOL_REC[],2,FALSE),0)</f>
        <v>0</v>
      </c>
      <c r="BE1732" s="246">
        <f>IFERROR(VLOOKUP(O1732,VOL_REC[],2,FALSE),0)</f>
        <v>0</v>
      </c>
      <c r="BF1732" s="246">
        <f>IFERROR(VLOOKUP(P1732,VOL_REC[],2,FALSE),0)</f>
        <v>0</v>
      </c>
      <c r="BG1732" s="246">
        <f>IFERROR(VLOOKUP(Q1732,VOL_REC[],2,FALSE),0)</f>
        <v>0</v>
      </c>
      <c r="BH1732" s="1710">
        <f t="shared" si="108"/>
        <v>21501491382.35561</v>
      </c>
      <c r="BI1732" s="1710">
        <f t="shared" si="109"/>
        <v>22767221811.287586</v>
      </c>
      <c r="BJ1732" s="1711">
        <f t="shared" si="110"/>
        <v>33793141.416336313</v>
      </c>
      <c r="BK1732" s="1711">
        <f t="shared" si="111"/>
        <v>0.9444055827529888</v>
      </c>
    </row>
    <row r="1733" spans="3:67" x14ac:dyDescent="0.25">
      <c r="C1733" s="246" t="s">
        <v>3083</v>
      </c>
      <c r="D1733" s="246">
        <v>1</v>
      </c>
      <c r="E1733" s="246">
        <v>2</v>
      </c>
      <c r="F1733" s="246">
        <v>3</v>
      </c>
      <c r="G1733" s="246">
        <v>5</v>
      </c>
      <c r="H1733" s="246">
        <v>6</v>
      </c>
      <c r="I1733" s="246">
        <v>10</v>
      </c>
      <c r="J1733" s="246">
        <v>12</v>
      </c>
      <c r="K1733" s="246">
        <v>13</v>
      </c>
      <c r="L1733" s="246">
        <v>14</v>
      </c>
      <c r="M1733" s="246">
        <v>16</v>
      </c>
      <c r="N1733" s="246"/>
      <c r="O1733" s="246"/>
      <c r="P1733" s="246"/>
      <c r="Q1733" s="246"/>
      <c r="R1733" s="246">
        <f>IFERROR(VLOOKUP(D1733,PROGRAMAS[],2,FALSE),0)</f>
        <v>97037803.679377079</v>
      </c>
      <c r="S1733" s="246">
        <f>IFERROR(VLOOKUP(E1733,PROGRAMAS[],2,FALSE),0)</f>
        <v>640501509.6821388</v>
      </c>
      <c r="T1733" s="246">
        <f>IFERROR(VLOOKUP(F1733,PROGRAMAS[],2,FALSE),0)</f>
        <v>3062327798.1525245</v>
      </c>
      <c r="U1733" s="246">
        <f>IFERROR(VLOOKUP(G1733,PROGRAMAS[],2,FALSE),0)</f>
        <v>1440941976.2528784</v>
      </c>
      <c r="V1733" s="246">
        <f>IFERROR(VLOOKUP(H1733,PROGRAMAS[],2,FALSE),0)</f>
        <v>6907648435.8447599</v>
      </c>
      <c r="W1733" s="246">
        <f>IFERROR(VLOOKUP(I1733,PROGRAMAS[],2,FALSE),0)</f>
        <v>4635315027.8751087</v>
      </c>
      <c r="X1733" s="246">
        <f>IFERROR(VLOOKUP(J1733,PROGRAMAS[],2,FALSE),0)</f>
        <v>764796700.79905891</v>
      </c>
      <c r="Y1733" s="246">
        <f>IFERROR(VLOOKUP(K1733,PROGRAMAS[],2,FALSE),0)</f>
        <v>3776538594.4604583</v>
      </c>
      <c r="Z1733" s="246">
        <f>IFERROR(VLOOKUP(L1733,PROGRAMAS[],2,FALSE),0)</f>
        <v>54223862.645839565</v>
      </c>
      <c r="AA1733" s="246">
        <f>IFERROR(VLOOKUP(M1733,PROGRAMAS[],2,FALSE),0)</f>
        <v>7068496961.0436354</v>
      </c>
      <c r="AB1733" s="246">
        <f>IFERROR(VLOOKUP(N1733,PROGRAMAS[],2,FALSE),0)</f>
        <v>0</v>
      </c>
      <c r="AC1733" s="246">
        <f>IFERROR(VLOOKUP(O1733,PROGRAMAS[],2,FALSE),0)</f>
        <v>0</v>
      </c>
      <c r="AD1733" s="246">
        <f>IFERROR(VLOOKUP(P1733,PROGRAMAS[],2,FALSE),0)</f>
        <v>0</v>
      </c>
      <c r="AE1733" s="246">
        <f>IFERROR(VLOOKUP(Q1733,PROGRAMAS[],2,FALSE),0)</f>
        <v>0</v>
      </c>
      <c r="AF1733" s="246">
        <f>IFERROR(VLOOKUP(D1733,PROGRAMAS[],3,FALSE),0)</f>
        <v>841888629.31080008</v>
      </c>
      <c r="AG1733" s="246">
        <f>IFERROR(VLOOKUP(E1733,PROGRAMAS[],3,FALSE),0)</f>
        <v>3848980803.1642323</v>
      </c>
      <c r="AH1733" s="246">
        <f>IFERROR(VLOOKUP(F1733,PROGRAMAS[],3,FALSE),0)</f>
        <v>3394901471.387517</v>
      </c>
      <c r="AI1733" s="246">
        <f>IFERROR(VLOOKUP(G1733,PROGRAMAS[],3,FALSE),0)</f>
        <v>1233505101.0616004</v>
      </c>
      <c r="AJ1733" s="246">
        <f>IFERROR(VLOOKUP(H1733,PROGRAMAS[],3,FALSE),0)</f>
        <v>6129902208.7912121</v>
      </c>
      <c r="AK1733" s="246">
        <f>IFERROR(VLOOKUP(I1733,PROGRAMAS[],3,FALSE),0)</f>
        <v>4099471734.9978786</v>
      </c>
      <c r="AL1733" s="246">
        <f>IFERROR(VLOOKUP(J1733,PROGRAMAS[],3,FALSE),0)</f>
        <v>675517840.109828</v>
      </c>
      <c r="AM1733" s="246">
        <f>IFERROR(VLOOKUP(K1733,PROGRAMAS[],3,FALSE),0)</f>
        <v>2392571243.5584412</v>
      </c>
      <c r="AN1733" s="246">
        <f>IFERROR(VLOOKUP(L1733,PROGRAMAS[],3,FALSE),0)</f>
        <v>31865326.38096505</v>
      </c>
      <c r="AO1733" s="246">
        <f>IFERROR(VLOOKUP(M1733,PROGRAMAS[],3,FALSE),0)</f>
        <v>2406564599.0319901</v>
      </c>
      <c r="AP1733" s="246">
        <f>IFERROR(VLOOKUP(N1733,PROGRAMAS[],3,FALSE),0)</f>
        <v>0</v>
      </c>
      <c r="AQ1733" s="246">
        <f>IFERROR(VLOOKUP(O1733,PROGRAMAS[],3,FALSE),0)</f>
        <v>0</v>
      </c>
      <c r="AR1733" s="246">
        <f>IFERROR(VLOOKUP(P1733,PROGRAMAS[],3,FALSE),0)</f>
        <v>0</v>
      </c>
      <c r="AS1733" s="246">
        <f>IFERROR(VLOOKUP(Q1733,PROGRAMAS[],3,FALSE),0)</f>
        <v>0</v>
      </c>
      <c r="AT1733" s="246">
        <f>IFERROR(VLOOKUP(D1733,VOL_REC[],2,FALSE),0)</f>
        <v>0</v>
      </c>
      <c r="AU1733" s="246">
        <f>IFERROR(VLOOKUP(E1733,VOL_REC[],2,FALSE),0)</f>
        <v>0</v>
      </c>
      <c r="AV1733" s="246">
        <f>IFERROR(VLOOKUP(F1733,VOL_REC[],2,FALSE),0)</f>
        <v>11089674.200000001</v>
      </c>
      <c r="AW1733" s="246">
        <f>IFERROR(VLOOKUP(G1733,VOL_REC[],2,FALSE),0)</f>
        <v>4325103.1812214684</v>
      </c>
      <c r="AX1733" s="246">
        <f>IFERROR(VLOOKUP(H1733,VOL_REC[],2,FALSE),0)</f>
        <v>15540036.397699751</v>
      </c>
      <c r="AY1733" s="246">
        <f>IFERROR(VLOOKUP(I1733,VOL_REC[],2,FALSE),0)</f>
        <v>1812240</v>
      </c>
      <c r="AZ1733" s="246">
        <f>IFERROR(VLOOKUP(J1733,VOL_REC[],2,FALSE),0)</f>
        <v>240696.79238099116</v>
      </c>
      <c r="BA1733" s="246">
        <f>IFERROR(VLOOKUP(K1733,VOL_REC[],2,FALSE),0)</f>
        <v>663244.80000000016</v>
      </c>
      <c r="BB1733" s="246">
        <f>IFERROR(VLOOKUP(L1733,VOL_REC[],2,FALSE),0)</f>
        <v>17074.045034105649</v>
      </c>
      <c r="BC1733" s="246">
        <f>IFERROR(VLOOKUP(M1733,VOL_REC[],2,FALSE),0)</f>
        <v>1072354.9981737854</v>
      </c>
      <c r="BD1733" s="246">
        <f>IFERROR(VLOOKUP(N1733,VOL_REC[],2,FALSE),0)</f>
        <v>0</v>
      </c>
      <c r="BE1733" s="246">
        <f>IFERROR(VLOOKUP(O1733,VOL_REC[],2,FALSE),0)</f>
        <v>0</v>
      </c>
      <c r="BF1733" s="246">
        <f>IFERROR(VLOOKUP(P1733,VOL_REC[],2,FALSE),0)</f>
        <v>0</v>
      </c>
      <c r="BG1733" s="246">
        <f>IFERROR(VLOOKUP(Q1733,VOL_REC[],2,FALSE),0)</f>
        <v>0</v>
      </c>
      <c r="BH1733" s="1710">
        <f t="shared" si="108"/>
        <v>28447828670.43578</v>
      </c>
      <c r="BI1733" s="1710">
        <f t="shared" si="109"/>
        <v>25055168957.794468</v>
      </c>
      <c r="BJ1733" s="1711">
        <f t="shared" si="110"/>
        <v>34760424.414510101</v>
      </c>
      <c r="BK1733" s="1711">
        <f t="shared" si="111"/>
        <v>1.1354075767102694</v>
      </c>
      <c r="BL1733">
        <f>BJ1733</f>
        <v>34760424.414510101</v>
      </c>
      <c r="BO1733">
        <f>BL1733</f>
        <v>34760424.414510101</v>
      </c>
    </row>
    <row r="1734" spans="3:67" x14ac:dyDescent="0.25">
      <c r="C1734" s="246" t="s">
        <v>3084</v>
      </c>
      <c r="D1734" s="246">
        <v>1</v>
      </c>
      <c r="E1734" s="246">
        <v>2</v>
      </c>
      <c r="F1734" s="246">
        <v>3</v>
      </c>
      <c r="G1734" s="246">
        <v>5</v>
      </c>
      <c r="H1734" s="246">
        <v>6</v>
      </c>
      <c r="I1734" s="246">
        <v>10</v>
      </c>
      <c r="J1734" s="246">
        <v>12</v>
      </c>
      <c r="K1734" s="246">
        <v>13</v>
      </c>
      <c r="L1734" s="246">
        <v>14</v>
      </c>
      <c r="M1734" s="246">
        <v>17</v>
      </c>
      <c r="N1734" s="246"/>
      <c r="O1734" s="246"/>
      <c r="P1734" s="246"/>
      <c r="Q1734" s="246"/>
      <c r="R1734" s="246">
        <f>IFERROR(VLOOKUP(D1734,PROGRAMAS[],2,FALSE),0)</f>
        <v>97037803.679377079</v>
      </c>
      <c r="S1734" s="246">
        <f>IFERROR(VLOOKUP(E1734,PROGRAMAS[],2,FALSE),0)</f>
        <v>640501509.6821388</v>
      </c>
      <c r="T1734" s="246">
        <f>IFERROR(VLOOKUP(F1734,PROGRAMAS[],2,FALSE),0)</f>
        <v>3062327798.1525245</v>
      </c>
      <c r="U1734" s="246">
        <f>IFERROR(VLOOKUP(G1734,PROGRAMAS[],2,FALSE),0)</f>
        <v>1440941976.2528784</v>
      </c>
      <c r="V1734" s="246">
        <f>IFERROR(VLOOKUP(H1734,PROGRAMAS[],2,FALSE),0)</f>
        <v>6907648435.8447599</v>
      </c>
      <c r="W1734" s="246">
        <f>IFERROR(VLOOKUP(I1734,PROGRAMAS[],2,FALSE),0)</f>
        <v>4635315027.8751087</v>
      </c>
      <c r="X1734" s="246">
        <f>IFERROR(VLOOKUP(J1734,PROGRAMAS[],2,FALSE),0)</f>
        <v>764796700.79905891</v>
      </c>
      <c r="Y1734" s="246">
        <f>IFERROR(VLOOKUP(K1734,PROGRAMAS[],2,FALSE),0)</f>
        <v>3776538594.4604583</v>
      </c>
      <c r="Z1734" s="246">
        <f>IFERROR(VLOOKUP(L1734,PROGRAMAS[],2,FALSE),0)</f>
        <v>54223862.645839565</v>
      </c>
      <c r="AA1734" s="246">
        <f>IFERROR(VLOOKUP(M1734,PROGRAMAS[],2,FALSE),0)</f>
        <v>1892779498.5211046</v>
      </c>
      <c r="AB1734" s="246">
        <f>IFERROR(VLOOKUP(N1734,PROGRAMAS[],2,FALSE),0)</f>
        <v>0</v>
      </c>
      <c r="AC1734" s="246">
        <f>IFERROR(VLOOKUP(O1734,PROGRAMAS[],2,FALSE),0)</f>
        <v>0</v>
      </c>
      <c r="AD1734" s="246">
        <f>IFERROR(VLOOKUP(P1734,PROGRAMAS[],2,FALSE),0)</f>
        <v>0</v>
      </c>
      <c r="AE1734" s="246">
        <f>IFERROR(VLOOKUP(Q1734,PROGRAMAS[],2,FALSE),0)</f>
        <v>0</v>
      </c>
      <c r="AF1734" s="246">
        <f>IFERROR(VLOOKUP(D1734,PROGRAMAS[],3,FALSE),0)</f>
        <v>841888629.31080008</v>
      </c>
      <c r="AG1734" s="246">
        <f>IFERROR(VLOOKUP(E1734,PROGRAMAS[],3,FALSE),0)</f>
        <v>3848980803.1642323</v>
      </c>
      <c r="AH1734" s="246">
        <f>IFERROR(VLOOKUP(F1734,PROGRAMAS[],3,FALSE),0)</f>
        <v>3394901471.387517</v>
      </c>
      <c r="AI1734" s="246">
        <f>IFERROR(VLOOKUP(G1734,PROGRAMAS[],3,FALSE),0)</f>
        <v>1233505101.0616004</v>
      </c>
      <c r="AJ1734" s="246">
        <f>IFERROR(VLOOKUP(H1734,PROGRAMAS[],3,FALSE),0)</f>
        <v>6129902208.7912121</v>
      </c>
      <c r="AK1734" s="246">
        <f>IFERROR(VLOOKUP(I1734,PROGRAMAS[],3,FALSE),0)</f>
        <v>4099471734.9978786</v>
      </c>
      <c r="AL1734" s="246">
        <f>IFERROR(VLOOKUP(J1734,PROGRAMAS[],3,FALSE),0)</f>
        <v>675517840.109828</v>
      </c>
      <c r="AM1734" s="246">
        <f>IFERROR(VLOOKUP(K1734,PROGRAMAS[],3,FALSE),0)</f>
        <v>2392571243.5584412</v>
      </c>
      <c r="AN1734" s="246">
        <f>IFERROR(VLOOKUP(L1734,PROGRAMAS[],3,FALSE),0)</f>
        <v>31865326.38096505</v>
      </c>
      <c r="AO1734" s="246">
        <f>IFERROR(VLOOKUP(M1734,PROGRAMAS[],3,FALSE),0)</f>
        <v>948595847.09039903</v>
      </c>
      <c r="AP1734" s="246">
        <f>IFERROR(VLOOKUP(N1734,PROGRAMAS[],3,FALSE),0)</f>
        <v>0</v>
      </c>
      <c r="AQ1734" s="246">
        <f>IFERROR(VLOOKUP(O1734,PROGRAMAS[],3,FALSE),0)</f>
        <v>0</v>
      </c>
      <c r="AR1734" s="246">
        <f>IFERROR(VLOOKUP(P1734,PROGRAMAS[],3,FALSE),0)</f>
        <v>0</v>
      </c>
      <c r="AS1734" s="246">
        <f>IFERROR(VLOOKUP(Q1734,PROGRAMAS[],3,FALSE),0)</f>
        <v>0</v>
      </c>
      <c r="AT1734" s="246">
        <f>IFERROR(VLOOKUP(D1734,VOL_REC[],2,FALSE),0)</f>
        <v>0</v>
      </c>
      <c r="AU1734" s="246">
        <f>IFERROR(VLOOKUP(E1734,VOL_REC[],2,FALSE),0)</f>
        <v>0</v>
      </c>
      <c r="AV1734" s="246">
        <f>IFERROR(VLOOKUP(F1734,VOL_REC[],2,FALSE),0)</f>
        <v>11089674.200000001</v>
      </c>
      <c r="AW1734" s="246">
        <f>IFERROR(VLOOKUP(G1734,VOL_REC[],2,FALSE),0)</f>
        <v>4325103.1812214684</v>
      </c>
      <c r="AX1734" s="246">
        <f>IFERROR(VLOOKUP(H1734,VOL_REC[],2,FALSE),0)</f>
        <v>15540036.397699751</v>
      </c>
      <c r="AY1734" s="246">
        <f>IFERROR(VLOOKUP(I1734,VOL_REC[],2,FALSE),0)</f>
        <v>1812240</v>
      </c>
      <c r="AZ1734" s="246">
        <f>IFERROR(VLOOKUP(J1734,VOL_REC[],2,FALSE),0)</f>
        <v>240696.79238099116</v>
      </c>
      <c r="BA1734" s="246">
        <f>IFERROR(VLOOKUP(K1734,VOL_REC[],2,FALSE),0)</f>
        <v>663244.80000000016</v>
      </c>
      <c r="BB1734" s="246">
        <f>IFERROR(VLOOKUP(L1734,VOL_REC[],2,FALSE),0)</f>
        <v>17074.045034105649</v>
      </c>
      <c r="BC1734" s="246">
        <f>IFERROR(VLOOKUP(M1734,VOL_REC[],2,FALSE),0)</f>
        <v>740113.98115702497</v>
      </c>
      <c r="BD1734" s="246">
        <f>IFERROR(VLOOKUP(N1734,VOL_REC[],2,FALSE),0)</f>
        <v>0</v>
      </c>
      <c r="BE1734" s="246">
        <f>IFERROR(VLOOKUP(O1734,VOL_REC[],2,FALSE),0)</f>
        <v>0</v>
      </c>
      <c r="BF1734" s="246">
        <f>IFERROR(VLOOKUP(P1734,VOL_REC[],2,FALSE),0)</f>
        <v>0</v>
      </c>
      <c r="BG1734" s="246">
        <f>IFERROR(VLOOKUP(Q1734,VOL_REC[],2,FALSE),0)</f>
        <v>0</v>
      </c>
      <c r="BH1734" s="1710">
        <f t="shared" si="108"/>
        <v>23272111207.913246</v>
      </c>
      <c r="BI1734" s="1710">
        <f t="shared" si="109"/>
        <v>23597200205.852879</v>
      </c>
      <c r="BJ1734" s="1711">
        <f t="shared" si="110"/>
        <v>34428183.39749334</v>
      </c>
      <c r="BK1734" s="1711">
        <f t="shared" si="111"/>
        <v>0.98622340806944542</v>
      </c>
    </row>
    <row r="1735" spans="3:67" x14ac:dyDescent="0.25">
      <c r="C1735" s="246" t="s">
        <v>3085</v>
      </c>
      <c r="D1735" s="246">
        <v>1</v>
      </c>
      <c r="E1735" s="246">
        <v>2</v>
      </c>
      <c r="F1735" s="246">
        <v>3</v>
      </c>
      <c r="G1735" s="246">
        <v>5</v>
      </c>
      <c r="H1735" s="246">
        <v>6</v>
      </c>
      <c r="I1735" s="246">
        <v>10</v>
      </c>
      <c r="J1735" s="246">
        <v>12</v>
      </c>
      <c r="K1735" s="246">
        <v>13</v>
      </c>
      <c r="L1735" s="246">
        <v>15</v>
      </c>
      <c r="M1735" s="246">
        <v>16</v>
      </c>
      <c r="N1735" s="246"/>
      <c r="O1735" s="246"/>
      <c r="P1735" s="246"/>
      <c r="Q1735" s="246"/>
      <c r="R1735" s="246">
        <f>IFERROR(VLOOKUP(D1735,PROGRAMAS[],2,FALSE),0)</f>
        <v>97037803.679377079</v>
      </c>
      <c r="S1735" s="246">
        <f>IFERROR(VLOOKUP(E1735,PROGRAMAS[],2,FALSE),0)</f>
        <v>640501509.6821388</v>
      </c>
      <c r="T1735" s="246">
        <f>IFERROR(VLOOKUP(F1735,PROGRAMAS[],2,FALSE),0)</f>
        <v>3062327798.1525245</v>
      </c>
      <c r="U1735" s="246">
        <f>IFERROR(VLOOKUP(G1735,PROGRAMAS[],2,FALSE),0)</f>
        <v>1440941976.2528784</v>
      </c>
      <c r="V1735" s="246">
        <f>IFERROR(VLOOKUP(H1735,PROGRAMAS[],2,FALSE),0)</f>
        <v>6907648435.8447599</v>
      </c>
      <c r="W1735" s="246">
        <f>IFERROR(VLOOKUP(I1735,PROGRAMAS[],2,FALSE),0)</f>
        <v>4635315027.8751087</v>
      </c>
      <c r="X1735" s="246">
        <f>IFERROR(VLOOKUP(J1735,PROGRAMAS[],2,FALSE),0)</f>
        <v>764796700.79905891</v>
      </c>
      <c r="Y1735" s="246">
        <f>IFERROR(VLOOKUP(K1735,PROGRAMAS[],2,FALSE),0)</f>
        <v>3776538594.4604583</v>
      </c>
      <c r="Z1735" s="246">
        <f>IFERROR(VLOOKUP(L1735,PROGRAMAS[],2,FALSE),0)</f>
        <v>122159672.96346797</v>
      </c>
      <c r="AA1735" s="246">
        <f>IFERROR(VLOOKUP(M1735,PROGRAMAS[],2,FALSE),0)</f>
        <v>7068496961.0436354</v>
      </c>
      <c r="AB1735" s="246">
        <f>IFERROR(VLOOKUP(N1735,PROGRAMAS[],2,FALSE),0)</f>
        <v>0</v>
      </c>
      <c r="AC1735" s="246">
        <f>IFERROR(VLOOKUP(O1735,PROGRAMAS[],2,FALSE),0)</f>
        <v>0</v>
      </c>
      <c r="AD1735" s="246">
        <f>IFERROR(VLOOKUP(P1735,PROGRAMAS[],2,FALSE),0)</f>
        <v>0</v>
      </c>
      <c r="AE1735" s="246">
        <f>IFERROR(VLOOKUP(Q1735,PROGRAMAS[],2,FALSE),0)</f>
        <v>0</v>
      </c>
      <c r="AF1735" s="246">
        <f>IFERROR(VLOOKUP(D1735,PROGRAMAS[],3,FALSE),0)</f>
        <v>841888629.31080008</v>
      </c>
      <c r="AG1735" s="246">
        <f>IFERROR(VLOOKUP(E1735,PROGRAMAS[],3,FALSE),0)</f>
        <v>3848980803.1642323</v>
      </c>
      <c r="AH1735" s="246">
        <f>IFERROR(VLOOKUP(F1735,PROGRAMAS[],3,FALSE),0)</f>
        <v>3394901471.387517</v>
      </c>
      <c r="AI1735" s="246">
        <f>IFERROR(VLOOKUP(G1735,PROGRAMAS[],3,FALSE),0)</f>
        <v>1233505101.0616004</v>
      </c>
      <c r="AJ1735" s="246">
        <f>IFERROR(VLOOKUP(H1735,PROGRAMAS[],3,FALSE),0)</f>
        <v>6129902208.7912121</v>
      </c>
      <c r="AK1735" s="246">
        <f>IFERROR(VLOOKUP(I1735,PROGRAMAS[],3,FALSE),0)</f>
        <v>4099471734.9978786</v>
      </c>
      <c r="AL1735" s="246">
        <f>IFERROR(VLOOKUP(J1735,PROGRAMAS[],3,FALSE),0)</f>
        <v>675517840.109828</v>
      </c>
      <c r="AM1735" s="246">
        <f>IFERROR(VLOOKUP(K1735,PROGRAMAS[],3,FALSE),0)</f>
        <v>2392571243.5584412</v>
      </c>
      <c r="AN1735" s="246">
        <f>IFERROR(VLOOKUP(L1735,PROGRAMAS[],3,FALSE),0)</f>
        <v>118617452.52510804</v>
      </c>
      <c r="AO1735" s="246">
        <f>IFERROR(VLOOKUP(M1735,PROGRAMAS[],3,FALSE),0)</f>
        <v>2406564599.0319901</v>
      </c>
      <c r="AP1735" s="246">
        <f>IFERROR(VLOOKUP(N1735,PROGRAMAS[],3,FALSE),0)</f>
        <v>0</v>
      </c>
      <c r="AQ1735" s="246">
        <f>IFERROR(VLOOKUP(O1735,PROGRAMAS[],3,FALSE),0)</f>
        <v>0</v>
      </c>
      <c r="AR1735" s="246">
        <f>IFERROR(VLOOKUP(P1735,PROGRAMAS[],3,FALSE),0)</f>
        <v>0</v>
      </c>
      <c r="AS1735" s="246">
        <f>IFERROR(VLOOKUP(Q1735,PROGRAMAS[],3,FALSE),0)</f>
        <v>0</v>
      </c>
      <c r="AT1735" s="246">
        <f>IFERROR(VLOOKUP(D1735,VOL_REC[],2,FALSE),0)</f>
        <v>0</v>
      </c>
      <c r="AU1735" s="246">
        <f>IFERROR(VLOOKUP(E1735,VOL_REC[],2,FALSE),0)</f>
        <v>0</v>
      </c>
      <c r="AV1735" s="246">
        <f>IFERROR(VLOOKUP(F1735,VOL_REC[],2,FALSE),0)</f>
        <v>11089674.200000001</v>
      </c>
      <c r="AW1735" s="246">
        <f>IFERROR(VLOOKUP(G1735,VOL_REC[],2,FALSE),0)</f>
        <v>4325103.1812214684</v>
      </c>
      <c r="AX1735" s="246">
        <f>IFERROR(VLOOKUP(H1735,VOL_REC[],2,FALSE),0)</f>
        <v>15540036.397699751</v>
      </c>
      <c r="AY1735" s="246">
        <f>IFERROR(VLOOKUP(I1735,VOL_REC[],2,FALSE),0)</f>
        <v>1812240</v>
      </c>
      <c r="AZ1735" s="246">
        <f>IFERROR(VLOOKUP(J1735,VOL_REC[],2,FALSE),0)</f>
        <v>240696.79238099116</v>
      </c>
      <c r="BA1735" s="246">
        <f>IFERROR(VLOOKUP(K1735,VOL_REC[],2,FALSE),0)</f>
        <v>663244.80000000016</v>
      </c>
      <c r="BB1735" s="246">
        <f>IFERROR(VLOOKUP(L1735,VOL_REC[],2,FALSE),0)</f>
        <v>105072</v>
      </c>
      <c r="BC1735" s="246">
        <f>IFERROR(VLOOKUP(M1735,VOL_REC[],2,FALSE),0)</f>
        <v>1072354.9981737854</v>
      </c>
      <c r="BD1735" s="246">
        <f>IFERROR(VLOOKUP(N1735,VOL_REC[],2,FALSE),0)</f>
        <v>0</v>
      </c>
      <c r="BE1735" s="246">
        <f>IFERROR(VLOOKUP(O1735,VOL_REC[],2,FALSE),0)</f>
        <v>0</v>
      </c>
      <c r="BF1735" s="246">
        <f>IFERROR(VLOOKUP(P1735,VOL_REC[],2,FALSE),0)</f>
        <v>0</v>
      </c>
      <c r="BG1735" s="246">
        <f>IFERROR(VLOOKUP(Q1735,VOL_REC[],2,FALSE),0)</f>
        <v>0</v>
      </c>
      <c r="BH1735" s="1710">
        <f t="shared" si="108"/>
        <v>28515764480.753407</v>
      </c>
      <c r="BI1735" s="1710">
        <f t="shared" si="109"/>
        <v>25141921083.93861</v>
      </c>
      <c r="BJ1735" s="1711">
        <f t="shared" si="110"/>
        <v>34848422.369475998</v>
      </c>
      <c r="BK1735" s="1711">
        <f t="shared" si="111"/>
        <v>1.1341919491971562</v>
      </c>
      <c r="BL1735">
        <f>BJ1735</f>
        <v>34848422.369475998</v>
      </c>
      <c r="BO1735">
        <f>BL1735</f>
        <v>34848422.369475998</v>
      </c>
    </row>
    <row r="1736" spans="3:67" x14ac:dyDescent="0.25">
      <c r="C1736" s="246" t="s">
        <v>3086</v>
      </c>
      <c r="D1736" s="246">
        <v>1</v>
      </c>
      <c r="E1736" s="246">
        <v>2</v>
      </c>
      <c r="F1736" s="246">
        <v>3</v>
      </c>
      <c r="G1736" s="246">
        <v>5</v>
      </c>
      <c r="H1736" s="246">
        <v>6</v>
      </c>
      <c r="I1736" s="246">
        <v>10</v>
      </c>
      <c r="J1736" s="246">
        <v>12</v>
      </c>
      <c r="K1736" s="246">
        <v>13</v>
      </c>
      <c r="L1736" s="246">
        <v>15</v>
      </c>
      <c r="M1736" s="246">
        <v>17</v>
      </c>
      <c r="N1736" s="246"/>
      <c r="O1736" s="246"/>
      <c r="P1736" s="246"/>
      <c r="Q1736" s="246"/>
      <c r="R1736" s="246">
        <f>IFERROR(VLOOKUP(D1736,PROGRAMAS[],2,FALSE),0)</f>
        <v>97037803.679377079</v>
      </c>
      <c r="S1736" s="246">
        <f>IFERROR(VLOOKUP(E1736,PROGRAMAS[],2,FALSE),0)</f>
        <v>640501509.6821388</v>
      </c>
      <c r="T1736" s="246">
        <f>IFERROR(VLOOKUP(F1736,PROGRAMAS[],2,FALSE),0)</f>
        <v>3062327798.1525245</v>
      </c>
      <c r="U1736" s="246">
        <f>IFERROR(VLOOKUP(G1736,PROGRAMAS[],2,FALSE),0)</f>
        <v>1440941976.2528784</v>
      </c>
      <c r="V1736" s="246">
        <f>IFERROR(VLOOKUP(H1736,PROGRAMAS[],2,FALSE),0)</f>
        <v>6907648435.8447599</v>
      </c>
      <c r="W1736" s="246">
        <f>IFERROR(VLOOKUP(I1736,PROGRAMAS[],2,FALSE),0)</f>
        <v>4635315027.8751087</v>
      </c>
      <c r="X1736" s="246">
        <f>IFERROR(VLOOKUP(J1736,PROGRAMAS[],2,FALSE),0)</f>
        <v>764796700.79905891</v>
      </c>
      <c r="Y1736" s="246">
        <f>IFERROR(VLOOKUP(K1736,PROGRAMAS[],2,FALSE),0)</f>
        <v>3776538594.4604583</v>
      </c>
      <c r="Z1736" s="246">
        <f>IFERROR(VLOOKUP(L1736,PROGRAMAS[],2,FALSE),0)</f>
        <v>122159672.96346797</v>
      </c>
      <c r="AA1736" s="246">
        <f>IFERROR(VLOOKUP(M1736,PROGRAMAS[],2,FALSE),0)</f>
        <v>1892779498.5211046</v>
      </c>
      <c r="AB1736" s="246">
        <f>IFERROR(VLOOKUP(N1736,PROGRAMAS[],2,FALSE),0)</f>
        <v>0</v>
      </c>
      <c r="AC1736" s="246">
        <f>IFERROR(VLOOKUP(O1736,PROGRAMAS[],2,FALSE),0)</f>
        <v>0</v>
      </c>
      <c r="AD1736" s="246">
        <f>IFERROR(VLOOKUP(P1736,PROGRAMAS[],2,FALSE),0)</f>
        <v>0</v>
      </c>
      <c r="AE1736" s="246">
        <f>IFERROR(VLOOKUP(Q1736,PROGRAMAS[],2,FALSE),0)</f>
        <v>0</v>
      </c>
      <c r="AF1736" s="246">
        <f>IFERROR(VLOOKUP(D1736,PROGRAMAS[],3,FALSE),0)</f>
        <v>841888629.31080008</v>
      </c>
      <c r="AG1736" s="246">
        <f>IFERROR(VLOOKUP(E1736,PROGRAMAS[],3,FALSE),0)</f>
        <v>3848980803.1642323</v>
      </c>
      <c r="AH1736" s="246">
        <f>IFERROR(VLOOKUP(F1736,PROGRAMAS[],3,FALSE),0)</f>
        <v>3394901471.387517</v>
      </c>
      <c r="AI1736" s="246">
        <f>IFERROR(VLOOKUP(G1736,PROGRAMAS[],3,FALSE),0)</f>
        <v>1233505101.0616004</v>
      </c>
      <c r="AJ1736" s="246">
        <f>IFERROR(VLOOKUP(H1736,PROGRAMAS[],3,FALSE),0)</f>
        <v>6129902208.7912121</v>
      </c>
      <c r="AK1736" s="246">
        <f>IFERROR(VLOOKUP(I1736,PROGRAMAS[],3,FALSE),0)</f>
        <v>4099471734.9978786</v>
      </c>
      <c r="AL1736" s="246">
        <f>IFERROR(VLOOKUP(J1736,PROGRAMAS[],3,FALSE),0)</f>
        <v>675517840.109828</v>
      </c>
      <c r="AM1736" s="246">
        <f>IFERROR(VLOOKUP(K1736,PROGRAMAS[],3,FALSE),0)</f>
        <v>2392571243.5584412</v>
      </c>
      <c r="AN1736" s="246">
        <f>IFERROR(VLOOKUP(L1736,PROGRAMAS[],3,FALSE),0)</f>
        <v>118617452.52510804</v>
      </c>
      <c r="AO1736" s="246">
        <f>IFERROR(VLOOKUP(M1736,PROGRAMAS[],3,FALSE),0)</f>
        <v>948595847.09039903</v>
      </c>
      <c r="AP1736" s="246">
        <f>IFERROR(VLOOKUP(N1736,PROGRAMAS[],3,FALSE),0)</f>
        <v>0</v>
      </c>
      <c r="AQ1736" s="246">
        <f>IFERROR(VLOOKUP(O1736,PROGRAMAS[],3,FALSE),0)</f>
        <v>0</v>
      </c>
      <c r="AR1736" s="246">
        <f>IFERROR(VLOOKUP(P1736,PROGRAMAS[],3,FALSE),0)</f>
        <v>0</v>
      </c>
      <c r="AS1736" s="246">
        <f>IFERROR(VLOOKUP(Q1736,PROGRAMAS[],3,FALSE),0)</f>
        <v>0</v>
      </c>
      <c r="AT1736" s="246">
        <f>IFERROR(VLOOKUP(D1736,VOL_REC[],2,FALSE),0)</f>
        <v>0</v>
      </c>
      <c r="AU1736" s="246">
        <f>IFERROR(VLOOKUP(E1736,VOL_REC[],2,FALSE),0)</f>
        <v>0</v>
      </c>
      <c r="AV1736" s="246">
        <f>IFERROR(VLOOKUP(F1736,VOL_REC[],2,FALSE),0)</f>
        <v>11089674.200000001</v>
      </c>
      <c r="AW1736" s="246">
        <f>IFERROR(VLOOKUP(G1736,VOL_REC[],2,FALSE),0)</f>
        <v>4325103.1812214684</v>
      </c>
      <c r="AX1736" s="246">
        <f>IFERROR(VLOOKUP(H1736,VOL_REC[],2,FALSE),0)</f>
        <v>15540036.397699751</v>
      </c>
      <c r="AY1736" s="246">
        <f>IFERROR(VLOOKUP(I1736,VOL_REC[],2,FALSE),0)</f>
        <v>1812240</v>
      </c>
      <c r="AZ1736" s="246">
        <f>IFERROR(VLOOKUP(J1736,VOL_REC[],2,FALSE),0)</f>
        <v>240696.79238099116</v>
      </c>
      <c r="BA1736" s="246">
        <f>IFERROR(VLOOKUP(K1736,VOL_REC[],2,FALSE),0)</f>
        <v>663244.80000000016</v>
      </c>
      <c r="BB1736" s="246">
        <f>IFERROR(VLOOKUP(L1736,VOL_REC[],2,FALSE),0)</f>
        <v>105072</v>
      </c>
      <c r="BC1736" s="246">
        <f>IFERROR(VLOOKUP(M1736,VOL_REC[],2,FALSE),0)</f>
        <v>740113.98115702497</v>
      </c>
      <c r="BD1736" s="246">
        <f>IFERROR(VLOOKUP(N1736,VOL_REC[],2,FALSE),0)</f>
        <v>0</v>
      </c>
      <c r="BE1736" s="246">
        <f>IFERROR(VLOOKUP(O1736,VOL_REC[],2,FALSE),0)</f>
        <v>0</v>
      </c>
      <c r="BF1736" s="246">
        <f>IFERROR(VLOOKUP(P1736,VOL_REC[],2,FALSE),0)</f>
        <v>0</v>
      </c>
      <c r="BG1736" s="246">
        <f>IFERROR(VLOOKUP(Q1736,VOL_REC[],2,FALSE),0)</f>
        <v>0</v>
      </c>
      <c r="BH1736" s="1710">
        <f t="shared" si="108"/>
        <v>23340047018.230873</v>
      </c>
      <c r="BI1736" s="1710">
        <f t="shared" si="109"/>
        <v>23683952331.997021</v>
      </c>
      <c r="BJ1736" s="1711">
        <f t="shared" si="110"/>
        <v>34516181.352459237</v>
      </c>
      <c r="BK1736" s="1711">
        <f t="shared" si="111"/>
        <v>0.98547939512183824</v>
      </c>
    </row>
    <row r="1737" spans="3:67" x14ac:dyDescent="0.25">
      <c r="C1737" s="246" t="s">
        <v>3087</v>
      </c>
      <c r="D1737" s="246">
        <v>1</v>
      </c>
      <c r="E1737" s="246">
        <v>2</v>
      </c>
      <c r="F1737" s="246">
        <v>3</v>
      </c>
      <c r="G1737" s="246">
        <v>5</v>
      </c>
      <c r="H1737" s="246">
        <v>6</v>
      </c>
      <c r="I1737" s="246">
        <v>10</v>
      </c>
      <c r="J1737" s="246">
        <v>12</v>
      </c>
      <c r="K1737" s="246">
        <v>13</v>
      </c>
      <c r="L1737" s="246">
        <v>16</v>
      </c>
      <c r="M1737" s="246">
        <v>17</v>
      </c>
      <c r="N1737" s="246"/>
      <c r="O1737" s="246"/>
      <c r="P1737" s="246"/>
      <c r="Q1737" s="246"/>
      <c r="R1737" s="246">
        <f>IFERROR(VLOOKUP(D1737,PROGRAMAS[],2,FALSE),0)</f>
        <v>97037803.679377079</v>
      </c>
      <c r="S1737" s="246">
        <f>IFERROR(VLOOKUP(E1737,PROGRAMAS[],2,FALSE),0)</f>
        <v>640501509.6821388</v>
      </c>
      <c r="T1737" s="246">
        <f>IFERROR(VLOOKUP(F1737,PROGRAMAS[],2,FALSE),0)</f>
        <v>3062327798.1525245</v>
      </c>
      <c r="U1737" s="246">
        <f>IFERROR(VLOOKUP(G1737,PROGRAMAS[],2,FALSE),0)</f>
        <v>1440941976.2528784</v>
      </c>
      <c r="V1737" s="246">
        <f>IFERROR(VLOOKUP(H1737,PROGRAMAS[],2,FALSE),0)</f>
        <v>6907648435.8447599</v>
      </c>
      <c r="W1737" s="246">
        <f>IFERROR(VLOOKUP(I1737,PROGRAMAS[],2,FALSE),0)</f>
        <v>4635315027.8751087</v>
      </c>
      <c r="X1737" s="246">
        <f>IFERROR(VLOOKUP(J1737,PROGRAMAS[],2,FALSE),0)</f>
        <v>764796700.79905891</v>
      </c>
      <c r="Y1737" s="246">
        <f>IFERROR(VLOOKUP(K1737,PROGRAMAS[],2,FALSE),0)</f>
        <v>3776538594.4604583</v>
      </c>
      <c r="Z1737" s="246">
        <f>IFERROR(VLOOKUP(L1737,PROGRAMAS[],2,FALSE),0)</f>
        <v>7068496961.0436354</v>
      </c>
      <c r="AA1737" s="246">
        <f>IFERROR(VLOOKUP(M1737,PROGRAMAS[],2,FALSE),0)</f>
        <v>1892779498.5211046</v>
      </c>
      <c r="AB1737" s="246">
        <f>IFERROR(VLOOKUP(N1737,PROGRAMAS[],2,FALSE),0)</f>
        <v>0</v>
      </c>
      <c r="AC1737" s="246">
        <f>IFERROR(VLOOKUP(O1737,PROGRAMAS[],2,FALSE),0)</f>
        <v>0</v>
      </c>
      <c r="AD1737" s="246">
        <f>IFERROR(VLOOKUP(P1737,PROGRAMAS[],2,FALSE),0)</f>
        <v>0</v>
      </c>
      <c r="AE1737" s="246">
        <f>IFERROR(VLOOKUP(Q1737,PROGRAMAS[],2,FALSE),0)</f>
        <v>0</v>
      </c>
      <c r="AF1737" s="246">
        <f>IFERROR(VLOOKUP(D1737,PROGRAMAS[],3,FALSE),0)</f>
        <v>841888629.31080008</v>
      </c>
      <c r="AG1737" s="246">
        <f>IFERROR(VLOOKUP(E1737,PROGRAMAS[],3,FALSE),0)</f>
        <v>3848980803.1642323</v>
      </c>
      <c r="AH1737" s="246">
        <f>IFERROR(VLOOKUP(F1737,PROGRAMAS[],3,FALSE),0)</f>
        <v>3394901471.387517</v>
      </c>
      <c r="AI1737" s="246">
        <f>IFERROR(VLOOKUP(G1737,PROGRAMAS[],3,FALSE),0)</f>
        <v>1233505101.0616004</v>
      </c>
      <c r="AJ1737" s="246">
        <f>IFERROR(VLOOKUP(H1737,PROGRAMAS[],3,FALSE),0)</f>
        <v>6129902208.7912121</v>
      </c>
      <c r="AK1737" s="246">
        <f>IFERROR(VLOOKUP(I1737,PROGRAMAS[],3,FALSE),0)</f>
        <v>4099471734.9978786</v>
      </c>
      <c r="AL1737" s="246">
        <f>IFERROR(VLOOKUP(J1737,PROGRAMAS[],3,FALSE),0)</f>
        <v>675517840.109828</v>
      </c>
      <c r="AM1737" s="246">
        <f>IFERROR(VLOOKUP(K1737,PROGRAMAS[],3,FALSE),0)</f>
        <v>2392571243.5584412</v>
      </c>
      <c r="AN1737" s="246">
        <f>IFERROR(VLOOKUP(L1737,PROGRAMAS[],3,FALSE),0)</f>
        <v>2406564599.0319901</v>
      </c>
      <c r="AO1737" s="246">
        <f>IFERROR(VLOOKUP(M1737,PROGRAMAS[],3,FALSE),0)</f>
        <v>948595847.09039903</v>
      </c>
      <c r="AP1737" s="246">
        <f>IFERROR(VLOOKUP(N1737,PROGRAMAS[],3,FALSE),0)</f>
        <v>0</v>
      </c>
      <c r="AQ1737" s="246">
        <f>IFERROR(VLOOKUP(O1737,PROGRAMAS[],3,FALSE),0)</f>
        <v>0</v>
      </c>
      <c r="AR1737" s="246">
        <f>IFERROR(VLOOKUP(P1737,PROGRAMAS[],3,FALSE),0)</f>
        <v>0</v>
      </c>
      <c r="AS1737" s="246">
        <f>IFERROR(VLOOKUP(Q1737,PROGRAMAS[],3,FALSE),0)</f>
        <v>0</v>
      </c>
      <c r="AT1737" s="246">
        <f>IFERROR(VLOOKUP(D1737,VOL_REC[],2,FALSE),0)</f>
        <v>0</v>
      </c>
      <c r="AU1737" s="246">
        <f>IFERROR(VLOOKUP(E1737,VOL_REC[],2,FALSE),0)</f>
        <v>0</v>
      </c>
      <c r="AV1737" s="246">
        <f>IFERROR(VLOOKUP(F1737,VOL_REC[],2,FALSE),0)</f>
        <v>11089674.200000001</v>
      </c>
      <c r="AW1737" s="246">
        <f>IFERROR(VLOOKUP(G1737,VOL_REC[],2,FALSE),0)</f>
        <v>4325103.1812214684</v>
      </c>
      <c r="AX1737" s="246">
        <f>IFERROR(VLOOKUP(H1737,VOL_REC[],2,FALSE),0)</f>
        <v>15540036.397699751</v>
      </c>
      <c r="AY1737" s="246">
        <f>IFERROR(VLOOKUP(I1737,VOL_REC[],2,FALSE),0)</f>
        <v>1812240</v>
      </c>
      <c r="AZ1737" s="246">
        <f>IFERROR(VLOOKUP(J1737,VOL_REC[],2,FALSE),0)</f>
        <v>240696.79238099116</v>
      </c>
      <c r="BA1737" s="246">
        <f>IFERROR(VLOOKUP(K1737,VOL_REC[],2,FALSE),0)</f>
        <v>663244.80000000016</v>
      </c>
      <c r="BB1737" s="246">
        <f>IFERROR(VLOOKUP(L1737,VOL_REC[],2,FALSE),0)</f>
        <v>1072354.9981737854</v>
      </c>
      <c r="BC1737" s="246">
        <f>IFERROR(VLOOKUP(M1737,VOL_REC[],2,FALSE),0)</f>
        <v>740113.98115702497</v>
      </c>
      <c r="BD1737" s="246">
        <f>IFERROR(VLOOKUP(N1737,VOL_REC[],2,FALSE),0)</f>
        <v>0</v>
      </c>
      <c r="BE1737" s="246">
        <f>IFERROR(VLOOKUP(O1737,VOL_REC[],2,FALSE),0)</f>
        <v>0</v>
      </c>
      <c r="BF1737" s="246">
        <f>IFERROR(VLOOKUP(P1737,VOL_REC[],2,FALSE),0)</f>
        <v>0</v>
      </c>
      <c r="BG1737" s="246">
        <f>IFERROR(VLOOKUP(Q1737,VOL_REC[],2,FALSE),0)</f>
        <v>0</v>
      </c>
      <c r="BH1737" s="1710">
        <f t="shared" si="108"/>
        <v>30286384306.311043</v>
      </c>
      <c r="BI1737" s="1710">
        <f t="shared" si="109"/>
        <v>25971899478.503902</v>
      </c>
      <c r="BJ1737" s="1711">
        <f t="shared" si="110"/>
        <v>35483464.350633025</v>
      </c>
      <c r="BK1737" s="1711">
        <f t="shared" si="111"/>
        <v>1.1661212662315323</v>
      </c>
      <c r="BL1737">
        <f>BJ1737</f>
        <v>35483464.350633025</v>
      </c>
      <c r="BO1737">
        <f>BL1737</f>
        <v>35483464.350633025</v>
      </c>
    </row>
    <row r="1738" spans="3:67" x14ac:dyDescent="0.25">
      <c r="C1738" s="246" t="s">
        <v>3088</v>
      </c>
      <c r="D1738" s="246">
        <v>1</v>
      </c>
      <c r="E1738" s="246">
        <v>2</v>
      </c>
      <c r="F1738" s="246">
        <v>3</v>
      </c>
      <c r="G1738" s="246">
        <v>5</v>
      </c>
      <c r="H1738" s="246">
        <v>6</v>
      </c>
      <c r="I1738" s="246">
        <v>10</v>
      </c>
      <c r="J1738" s="246">
        <v>12</v>
      </c>
      <c r="K1738" s="246">
        <v>14</v>
      </c>
      <c r="L1738" s="246">
        <v>15</v>
      </c>
      <c r="M1738" s="246">
        <v>16</v>
      </c>
      <c r="N1738" s="246"/>
      <c r="O1738" s="246"/>
      <c r="P1738" s="246"/>
      <c r="Q1738" s="246"/>
      <c r="R1738" s="246">
        <f>IFERROR(VLOOKUP(D1738,PROGRAMAS[],2,FALSE),0)</f>
        <v>97037803.679377079</v>
      </c>
      <c r="S1738" s="246">
        <f>IFERROR(VLOOKUP(E1738,PROGRAMAS[],2,FALSE),0)</f>
        <v>640501509.6821388</v>
      </c>
      <c r="T1738" s="246">
        <f>IFERROR(VLOOKUP(F1738,PROGRAMAS[],2,FALSE),0)</f>
        <v>3062327798.1525245</v>
      </c>
      <c r="U1738" s="246">
        <f>IFERROR(VLOOKUP(G1738,PROGRAMAS[],2,FALSE),0)</f>
        <v>1440941976.2528784</v>
      </c>
      <c r="V1738" s="246">
        <f>IFERROR(VLOOKUP(H1738,PROGRAMAS[],2,FALSE),0)</f>
        <v>6907648435.8447599</v>
      </c>
      <c r="W1738" s="246">
        <f>IFERROR(VLOOKUP(I1738,PROGRAMAS[],2,FALSE),0)</f>
        <v>4635315027.8751087</v>
      </c>
      <c r="X1738" s="246">
        <f>IFERROR(VLOOKUP(J1738,PROGRAMAS[],2,FALSE),0)</f>
        <v>764796700.79905891</v>
      </c>
      <c r="Y1738" s="246">
        <f>IFERROR(VLOOKUP(K1738,PROGRAMAS[],2,FALSE),0)</f>
        <v>54223862.645839565</v>
      </c>
      <c r="Z1738" s="246">
        <f>IFERROR(VLOOKUP(L1738,PROGRAMAS[],2,FALSE),0)</f>
        <v>122159672.96346797</v>
      </c>
      <c r="AA1738" s="246">
        <f>IFERROR(VLOOKUP(M1738,PROGRAMAS[],2,FALSE),0)</f>
        <v>7068496961.0436354</v>
      </c>
      <c r="AB1738" s="246">
        <f>IFERROR(VLOOKUP(N1738,PROGRAMAS[],2,FALSE),0)</f>
        <v>0</v>
      </c>
      <c r="AC1738" s="246">
        <f>IFERROR(VLOOKUP(O1738,PROGRAMAS[],2,FALSE),0)</f>
        <v>0</v>
      </c>
      <c r="AD1738" s="246">
        <f>IFERROR(VLOOKUP(P1738,PROGRAMAS[],2,FALSE),0)</f>
        <v>0</v>
      </c>
      <c r="AE1738" s="246">
        <f>IFERROR(VLOOKUP(Q1738,PROGRAMAS[],2,FALSE),0)</f>
        <v>0</v>
      </c>
      <c r="AF1738" s="246">
        <f>IFERROR(VLOOKUP(D1738,PROGRAMAS[],3,FALSE),0)</f>
        <v>841888629.31080008</v>
      </c>
      <c r="AG1738" s="246">
        <f>IFERROR(VLOOKUP(E1738,PROGRAMAS[],3,FALSE),0)</f>
        <v>3848980803.1642323</v>
      </c>
      <c r="AH1738" s="246">
        <f>IFERROR(VLOOKUP(F1738,PROGRAMAS[],3,FALSE),0)</f>
        <v>3394901471.387517</v>
      </c>
      <c r="AI1738" s="246">
        <f>IFERROR(VLOOKUP(G1738,PROGRAMAS[],3,FALSE),0)</f>
        <v>1233505101.0616004</v>
      </c>
      <c r="AJ1738" s="246">
        <f>IFERROR(VLOOKUP(H1738,PROGRAMAS[],3,FALSE),0)</f>
        <v>6129902208.7912121</v>
      </c>
      <c r="AK1738" s="246">
        <f>IFERROR(VLOOKUP(I1738,PROGRAMAS[],3,FALSE),0)</f>
        <v>4099471734.9978786</v>
      </c>
      <c r="AL1738" s="246">
        <f>IFERROR(VLOOKUP(J1738,PROGRAMAS[],3,FALSE),0)</f>
        <v>675517840.109828</v>
      </c>
      <c r="AM1738" s="246">
        <f>IFERROR(VLOOKUP(K1738,PROGRAMAS[],3,FALSE),0)</f>
        <v>31865326.38096505</v>
      </c>
      <c r="AN1738" s="246">
        <f>IFERROR(VLOOKUP(L1738,PROGRAMAS[],3,FALSE),0)</f>
        <v>118617452.52510804</v>
      </c>
      <c r="AO1738" s="246">
        <f>IFERROR(VLOOKUP(M1738,PROGRAMAS[],3,FALSE),0)</f>
        <v>2406564599.0319901</v>
      </c>
      <c r="AP1738" s="246">
        <f>IFERROR(VLOOKUP(N1738,PROGRAMAS[],3,FALSE),0)</f>
        <v>0</v>
      </c>
      <c r="AQ1738" s="246">
        <f>IFERROR(VLOOKUP(O1738,PROGRAMAS[],3,FALSE),0)</f>
        <v>0</v>
      </c>
      <c r="AR1738" s="246">
        <f>IFERROR(VLOOKUP(P1738,PROGRAMAS[],3,FALSE),0)</f>
        <v>0</v>
      </c>
      <c r="AS1738" s="246">
        <f>IFERROR(VLOOKUP(Q1738,PROGRAMAS[],3,FALSE),0)</f>
        <v>0</v>
      </c>
      <c r="AT1738" s="246">
        <f>IFERROR(VLOOKUP(D1738,VOL_REC[],2,FALSE),0)</f>
        <v>0</v>
      </c>
      <c r="AU1738" s="246">
        <f>IFERROR(VLOOKUP(E1738,VOL_REC[],2,FALSE),0)</f>
        <v>0</v>
      </c>
      <c r="AV1738" s="246">
        <f>IFERROR(VLOOKUP(F1738,VOL_REC[],2,FALSE),0)</f>
        <v>11089674.200000001</v>
      </c>
      <c r="AW1738" s="246">
        <f>IFERROR(VLOOKUP(G1738,VOL_REC[],2,FALSE),0)</f>
        <v>4325103.1812214684</v>
      </c>
      <c r="AX1738" s="246">
        <f>IFERROR(VLOOKUP(H1738,VOL_REC[],2,FALSE),0)</f>
        <v>15540036.397699751</v>
      </c>
      <c r="AY1738" s="246">
        <f>IFERROR(VLOOKUP(I1738,VOL_REC[],2,FALSE),0)</f>
        <v>1812240</v>
      </c>
      <c r="AZ1738" s="246">
        <f>IFERROR(VLOOKUP(J1738,VOL_REC[],2,FALSE),0)</f>
        <v>240696.79238099116</v>
      </c>
      <c r="BA1738" s="246">
        <f>IFERROR(VLOOKUP(K1738,VOL_REC[],2,FALSE),0)</f>
        <v>17074.045034105649</v>
      </c>
      <c r="BB1738" s="246">
        <f>IFERROR(VLOOKUP(L1738,VOL_REC[],2,FALSE),0)</f>
        <v>105072</v>
      </c>
      <c r="BC1738" s="246">
        <f>IFERROR(VLOOKUP(M1738,VOL_REC[],2,FALSE),0)</f>
        <v>1072354.9981737854</v>
      </c>
      <c r="BD1738" s="246">
        <f>IFERROR(VLOOKUP(N1738,VOL_REC[],2,FALSE),0)</f>
        <v>0</v>
      </c>
      <c r="BE1738" s="246">
        <f>IFERROR(VLOOKUP(O1738,VOL_REC[],2,FALSE),0)</f>
        <v>0</v>
      </c>
      <c r="BF1738" s="246">
        <f>IFERROR(VLOOKUP(P1738,VOL_REC[],2,FALSE),0)</f>
        <v>0</v>
      </c>
      <c r="BG1738" s="246">
        <f>IFERROR(VLOOKUP(Q1738,VOL_REC[],2,FALSE),0)</f>
        <v>0</v>
      </c>
      <c r="BH1738" s="1710">
        <f t="shared" si="108"/>
        <v>24793449748.938789</v>
      </c>
      <c r="BI1738" s="1710">
        <f t="shared" si="109"/>
        <v>22781215166.761135</v>
      </c>
      <c r="BJ1738" s="1711">
        <f t="shared" si="110"/>
        <v>34202251.614510104</v>
      </c>
      <c r="BK1738" s="1711">
        <f t="shared" si="111"/>
        <v>1.0883286763874476</v>
      </c>
      <c r="BL1738">
        <f>BJ1738</f>
        <v>34202251.614510104</v>
      </c>
      <c r="BO1738">
        <f>BL1738</f>
        <v>34202251.614510104</v>
      </c>
    </row>
    <row r="1739" spans="3:67" x14ac:dyDescent="0.25">
      <c r="C1739" s="246" t="s">
        <v>3089</v>
      </c>
      <c r="D1739" s="246">
        <v>1</v>
      </c>
      <c r="E1739" s="246">
        <v>2</v>
      </c>
      <c r="F1739" s="246">
        <v>3</v>
      </c>
      <c r="G1739" s="246">
        <v>5</v>
      </c>
      <c r="H1739" s="246">
        <v>6</v>
      </c>
      <c r="I1739" s="246">
        <v>10</v>
      </c>
      <c r="J1739" s="246">
        <v>12</v>
      </c>
      <c r="K1739" s="246">
        <v>14</v>
      </c>
      <c r="L1739" s="246">
        <v>15</v>
      </c>
      <c r="M1739" s="246">
        <v>17</v>
      </c>
      <c r="N1739" s="246"/>
      <c r="O1739" s="246"/>
      <c r="P1739" s="246"/>
      <c r="Q1739" s="246"/>
      <c r="R1739" s="246">
        <f>IFERROR(VLOOKUP(D1739,PROGRAMAS[],2,FALSE),0)</f>
        <v>97037803.679377079</v>
      </c>
      <c r="S1739" s="246">
        <f>IFERROR(VLOOKUP(E1739,PROGRAMAS[],2,FALSE),0)</f>
        <v>640501509.6821388</v>
      </c>
      <c r="T1739" s="246">
        <f>IFERROR(VLOOKUP(F1739,PROGRAMAS[],2,FALSE),0)</f>
        <v>3062327798.1525245</v>
      </c>
      <c r="U1739" s="246">
        <f>IFERROR(VLOOKUP(G1739,PROGRAMAS[],2,FALSE),0)</f>
        <v>1440941976.2528784</v>
      </c>
      <c r="V1739" s="246">
        <f>IFERROR(VLOOKUP(H1739,PROGRAMAS[],2,FALSE),0)</f>
        <v>6907648435.8447599</v>
      </c>
      <c r="W1739" s="246">
        <f>IFERROR(VLOOKUP(I1739,PROGRAMAS[],2,FALSE),0)</f>
        <v>4635315027.8751087</v>
      </c>
      <c r="X1739" s="246">
        <f>IFERROR(VLOOKUP(J1739,PROGRAMAS[],2,FALSE),0)</f>
        <v>764796700.79905891</v>
      </c>
      <c r="Y1739" s="246">
        <f>IFERROR(VLOOKUP(K1739,PROGRAMAS[],2,FALSE),0)</f>
        <v>54223862.645839565</v>
      </c>
      <c r="Z1739" s="246">
        <f>IFERROR(VLOOKUP(L1739,PROGRAMAS[],2,FALSE),0)</f>
        <v>122159672.96346797</v>
      </c>
      <c r="AA1739" s="246">
        <f>IFERROR(VLOOKUP(M1739,PROGRAMAS[],2,FALSE),0)</f>
        <v>1892779498.5211046</v>
      </c>
      <c r="AB1739" s="246">
        <f>IFERROR(VLOOKUP(N1739,PROGRAMAS[],2,FALSE),0)</f>
        <v>0</v>
      </c>
      <c r="AC1739" s="246">
        <f>IFERROR(VLOOKUP(O1739,PROGRAMAS[],2,FALSE),0)</f>
        <v>0</v>
      </c>
      <c r="AD1739" s="246">
        <f>IFERROR(VLOOKUP(P1739,PROGRAMAS[],2,FALSE),0)</f>
        <v>0</v>
      </c>
      <c r="AE1739" s="246">
        <f>IFERROR(VLOOKUP(Q1739,PROGRAMAS[],2,FALSE),0)</f>
        <v>0</v>
      </c>
      <c r="AF1739" s="246">
        <f>IFERROR(VLOOKUP(D1739,PROGRAMAS[],3,FALSE),0)</f>
        <v>841888629.31080008</v>
      </c>
      <c r="AG1739" s="246">
        <f>IFERROR(VLOOKUP(E1739,PROGRAMAS[],3,FALSE),0)</f>
        <v>3848980803.1642323</v>
      </c>
      <c r="AH1739" s="246">
        <f>IFERROR(VLOOKUP(F1739,PROGRAMAS[],3,FALSE),0)</f>
        <v>3394901471.387517</v>
      </c>
      <c r="AI1739" s="246">
        <f>IFERROR(VLOOKUP(G1739,PROGRAMAS[],3,FALSE),0)</f>
        <v>1233505101.0616004</v>
      </c>
      <c r="AJ1739" s="246">
        <f>IFERROR(VLOOKUP(H1739,PROGRAMAS[],3,FALSE),0)</f>
        <v>6129902208.7912121</v>
      </c>
      <c r="AK1739" s="246">
        <f>IFERROR(VLOOKUP(I1739,PROGRAMAS[],3,FALSE),0)</f>
        <v>4099471734.9978786</v>
      </c>
      <c r="AL1739" s="246">
        <f>IFERROR(VLOOKUP(J1739,PROGRAMAS[],3,FALSE),0)</f>
        <v>675517840.109828</v>
      </c>
      <c r="AM1739" s="246">
        <f>IFERROR(VLOOKUP(K1739,PROGRAMAS[],3,FALSE),0)</f>
        <v>31865326.38096505</v>
      </c>
      <c r="AN1739" s="246">
        <f>IFERROR(VLOOKUP(L1739,PROGRAMAS[],3,FALSE),0)</f>
        <v>118617452.52510804</v>
      </c>
      <c r="AO1739" s="246">
        <f>IFERROR(VLOOKUP(M1739,PROGRAMAS[],3,FALSE),0)</f>
        <v>948595847.09039903</v>
      </c>
      <c r="AP1739" s="246">
        <f>IFERROR(VLOOKUP(N1739,PROGRAMAS[],3,FALSE),0)</f>
        <v>0</v>
      </c>
      <c r="AQ1739" s="246">
        <f>IFERROR(VLOOKUP(O1739,PROGRAMAS[],3,FALSE),0)</f>
        <v>0</v>
      </c>
      <c r="AR1739" s="246">
        <f>IFERROR(VLOOKUP(P1739,PROGRAMAS[],3,FALSE),0)</f>
        <v>0</v>
      </c>
      <c r="AS1739" s="246">
        <f>IFERROR(VLOOKUP(Q1739,PROGRAMAS[],3,FALSE),0)</f>
        <v>0</v>
      </c>
      <c r="AT1739" s="246">
        <f>IFERROR(VLOOKUP(D1739,VOL_REC[],2,FALSE),0)</f>
        <v>0</v>
      </c>
      <c r="AU1739" s="246">
        <f>IFERROR(VLOOKUP(E1739,VOL_REC[],2,FALSE),0)</f>
        <v>0</v>
      </c>
      <c r="AV1739" s="246">
        <f>IFERROR(VLOOKUP(F1739,VOL_REC[],2,FALSE),0)</f>
        <v>11089674.200000001</v>
      </c>
      <c r="AW1739" s="246">
        <f>IFERROR(VLOOKUP(G1739,VOL_REC[],2,FALSE),0)</f>
        <v>4325103.1812214684</v>
      </c>
      <c r="AX1739" s="246">
        <f>IFERROR(VLOOKUP(H1739,VOL_REC[],2,FALSE),0)</f>
        <v>15540036.397699751</v>
      </c>
      <c r="AY1739" s="246">
        <f>IFERROR(VLOOKUP(I1739,VOL_REC[],2,FALSE),0)</f>
        <v>1812240</v>
      </c>
      <c r="AZ1739" s="246">
        <f>IFERROR(VLOOKUP(J1739,VOL_REC[],2,FALSE),0)</f>
        <v>240696.79238099116</v>
      </c>
      <c r="BA1739" s="246">
        <f>IFERROR(VLOOKUP(K1739,VOL_REC[],2,FALSE),0)</f>
        <v>17074.045034105649</v>
      </c>
      <c r="BB1739" s="246">
        <f>IFERROR(VLOOKUP(L1739,VOL_REC[],2,FALSE),0)</f>
        <v>105072</v>
      </c>
      <c r="BC1739" s="246">
        <f>IFERROR(VLOOKUP(M1739,VOL_REC[],2,FALSE),0)</f>
        <v>740113.98115702497</v>
      </c>
      <c r="BD1739" s="246">
        <f>IFERROR(VLOOKUP(N1739,VOL_REC[],2,FALSE),0)</f>
        <v>0</v>
      </c>
      <c r="BE1739" s="246">
        <f>IFERROR(VLOOKUP(O1739,VOL_REC[],2,FALSE),0)</f>
        <v>0</v>
      </c>
      <c r="BF1739" s="246">
        <f>IFERROR(VLOOKUP(P1739,VOL_REC[],2,FALSE),0)</f>
        <v>0</v>
      </c>
      <c r="BG1739" s="246">
        <f>IFERROR(VLOOKUP(Q1739,VOL_REC[],2,FALSE),0)</f>
        <v>0</v>
      </c>
      <c r="BH1739" s="1710">
        <f t="shared" si="108"/>
        <v>19617732286.416256</v>
      </c>
      <c r="BI1739" s="1710">
        <f t="shared" si="109"/>
        <v>21323246414.819546</v>
      </c>
      <c r="BJ1739" s="1711">
        <f t="shared" si="110"/>
        <v>33870010.597493343</v>
      </c>
      <c r="BK1739" s="1711">
        <f t="shared" si="111"/>
        <v>0.92001620694970887</v>
      </c>
    </row>
    <row r="1740" spans="3:67" x14ac:dyDescent="0.25">
      <c r="C1740" s="246" t="s">
        <v>3090</v>
      </c>
      <c r="D1740" s="246">
        <v>1</v>
      </c>
      <c r="E1740" s="246">
        <v>2</v>
      </c>
      <c r="F1740" s="246">
        <v>3</v>
      </c>
      <c r="G1740" s="246">
        <v>5</v>
      </c>
      <c r="H1740" s="246">
        <v>6</v>
      </c>
      <c r="I1740" s="246">
        <v>10</v>
      </c>
      <c r="J1740" s="246">
        <v>12</v>
      </c>
      <c r="K1740" s="246">
        <v>14</v>
      </c>
      <c r="L1740" s="246">
        <v>16</v>
      </c>
      <c r="M1740" s="246">
        <v>17</v>
      </c>
      <c r="N1740" s="246"/>
      <c r="O1740" s="246"/>
      <c r="P1740" s="246"/>
      <c r="Q1740" s="246"/>
      <c r="R1740" s="246">
        <f>IFERROR(VLOOKUP(D1740,PROGRAMAS[],2,FALSE),0)</f>
        <v>97037803.679377079</v>
      </c>
      <c r="S1740" s="246">
        <f>IFERROR(VLOOKUP(E1740,PROGRAMAS[],2,FALSE),0)</f>
        <v>640501509.6821388</v>
      </c>
      <c r="T1740" s="246">
        <f>IFERROR(VLOOKUP(F1740,PROGRAMAS[],2,FALSE),0)</f>
        <v>3062327798.1525245</v>
      </c>
      <c r="U1740" s="246">
        <f>IFERROR(VLOOKUP(G1740,PROGRAMAS[],2,FALSE),0)</f>
        <v>1440941976.2528784</v>
      </c>
      <c r="V1740" s="246">
        <f>IFERROR(VLOOKUP(H1740,PROGRAMAS[],2,FALSE),0)</f>
        <v>6907648435.8447599</v>
      </c>
      <c r="W1740" s="246">
        <f>IFERROR(VLOOKUP(I1740,PROGRAMAS[],2,FALSE),0)</f>
        <v>4635315027.8751087</v>
      </c>
      <c r="X1740" s="246">
        <f>IFERROR(VLOOKUP(J1740,PROGRAMAS[],2,FALSE),0)</f>
        <v>764796700.79905891</v>
      </c>
      <c r="Y1740" s="246">
        <f>IFERROR(VLOOKUP(K1740,PROGRAMAS[],2,FALSE),0)</f>
        <v>54223862.645839565</v>
      </c>
      <c r="Z1740" s="246">
        <f>IFERROR(VLOOKUP(L1740,PROGRAMAS[],2,FALSE),0)</f>
        <v>7068496961.0436354</v>
      </c>
      <c r="AA1740" s="246">
        <f>IFERROR(VLOOKUP(M1740,PROGRAMAS[],2,FALSE),0)</f>
        <v>1892779498.5211046</v>
      </c>
      <c r="AB1740" s="246">
        <f>IFERROR(VLOOKUP(N1740,PROGRAMAS[],2,FALSE),0)</f>
        <v>0</v>
      </c>
      <c r="AC1740" s="246">
        <f>IFERROR(VLOOKUP(O1740,PROGRAMAS[],2,FALSE),0)</f>
        <v>0</v>
      </c>
      <c r="AD1740" s="246">
        <f>IFERROR(VLOOKUP(P1740,PROGRAMAS[],2,FALSE),0)</f>
        <v>0</v>
      </c>
      <c r="AE1740" s="246">
        <f>IFERROR(VLOOKUP(Q1740,PROGRAMAS[],2,FALSE),0)</f>
        <v>0</v>
      </c>
      <c r="AF1740" s="246">
        <f>IFERROR(VLOOKUP(D1740,PROGRAMAS[],3,FALSE),0)</f>
        <v>841888629.31080008</v>
      </c>
      <c r="AG1740" s="246">
        <f>IFERROR(VLOOKUP(E1740,PROGRAMAS[],3,FALSE),0)</f>
        <v>3848980803.1642323</v>
      </c>
      <c r="AH1740" s="246">
        <f>IFERROR(VLOOKUP(F1740,PROGRAMAS[],3,FALSE),0)</f>
        <v>3394901471.387517</v>
      </c>
      <c r="AI1740" s="246">
        <f>IFERROR(VLOOKUP(G1740,PROGRAMAS[],3,FALSE),0)</f>
        <v>1233505101.0616004</v>
      </c>
      <c r="AJ1740" s="246">
        <f>IFERROR(VLOOKUP(H1740,PROGRAMAS[],3,FALSE),0)</f>
        <v>6129902208.7912121</v>
      </c>
      <c r="AK1740" s="246">
        <f>IFERROR(VLOOKUP(I1740,PROGRAMAS[],3,FALSE),0)</f>
        <v>4099471734.9978786</v>
      </c>
      <c r="AL1740" s="246">
        <f>IFERROR(VLOOKUP(J1740,PROGRAMAS[],3,FALSE),0)</f>
        <v>675517840.109828</v>
      </c>
      <c r="AM1740" s="246">
        <f>IFERROR(VLOOKUP(K1740,PROGRAMAS[],3,FALSE),0)</f>
        <v>31865326.38096505</v>
      </c>
      <c r="AN1740" s="246">
        <f>IFERROR(VLOOKUP(L1740,PROGRAMAS[],3,FALSE),0)</f>
        <v>2406564599.0319901</v>
      </c>
      <c r="AO1740" s="246">
        <f>IFERROR(VLOOKUP(M1740,PROGRAMAS[],3,FALSE),0)</f>
        <v>948595847.09039903</v>
      </c>
      <c r="AP1740" s="246">
        <f>IFERROR(VLOOKUP(N1740,PROGRAMAS[],3,FALSE),0)</f>
        <v>0</v>
      </c>
      <c r="AQ1740" s="246">
        <f>IFERROR(VLOOKUP(O1740,PROGRAMAS[],3,FALSE),0)</f>
        <v>0</v>
      </c>
      <c r="AR1740" s="246">
        <f>IFERROR(VLOOKUP(P1740,PROGRAMAS[],3,FALSE),0)</f>
        <v>0</v>
      </c>
      <c r="AS1740" s="246">
        <f>IFERROR(VLOOKUP(Q1740,PROGRAMAS[],3,FALSE),0)</f>
        <v>0</v>
      </c>
      <c r="AT1740" s="246">
        <f>IFERROR(VLOOKUP(D1740,VOL_REC[],2,FALSE),0)</f>
        <v>0</v>
      </c>
      <c r="AU1740" s="246">
        <f>IFERROR(VLOOKUP(E1740,VOL_REC[],2,FALSE),0)</f>
        <v>0</v>
      </c>
      <c r="AV1740" s="246">
        <f>IFERROR(VLOOKUP(F1740,VOL_REC[],2,FALSE),0)</f>
        <v>11089674.200000001</v>
      </c>
      <c r="AW1740" s="246">
        <f>IFERROR(VLOOKUP(G1740,VOL_REC[],2,FALSE),0)</f>
        <v>4325103.1812214684</v>
      </c>
      <c r="AX1740" s="246">
        <f>IFERROR(VLOOKUP(H1740,VOL_REC[],2,FALSE),0)</f>
        <v>15540036.397699751</v>
      </c>
      <c r="AY1740" s="246">
        <f>IFERROR(VLOOKUP(I1740,VOL_REC[],2,FALSE),0)</f>
        <v>1812240</v>
      </c>
      <c r="AZ1740" s="246">
        <f>IFERROR(VLOOKUP(J1740,VOL_REC[],2,FALSE),0)</f>
        <v>240696.79238099116</v>
      </c>
      <c r="BA1740" s="246">
        <f>IFERROR(VLOOKUP(K1740,VOL_REC[],2,FALSE),0)</f>
        <v>17074.045034105649</v>
      </c>
      <c r="BB1740" s="246">
        <f>IFERROR(VLOOKUP(L1740,VOL_REC[],2,FALSE),0)</f>
        <v>1072354.9981737854</v>
      </c>
      <c r="BC1740" s="246">
        <f>IFERROR(VLOOKUP(M1740,VOL_REC[],2,FALSE),0)</f>
        <v>740113.98115702497</v>
      </c>
      <c r="BD1740" s="246">
        <f>IFERROR(VLOOKUP(N1740,VOL_REC[],2,FALSE),0)</f>
        <v>0</v>
      </c>
      <c r="BE1740" s="246">
        <f>IFERROR(VLOOKUP(O1740,VOL_REC[],2,FALSE),0)</f>
        <v>0</v>
      </c>
      <c r="BF1740" s="246">
        <f>IFERROR(VLOOKUP(P1740,VOL_REC[],2,FALSE),0)</f>
        <v>0</v>
      </c>
      <c r="BG1740" s="246">
        <f>IFERROR(VLOOKUP(Q1740,VOL_REC[],2,FALSE),0)</f>
        <v>0</v>
      </c>
      <c r="BH1740" s="1710">
        <f t="shared" si="108"/>
        <v>26564069574.496426</v>
      </c>
      <c r="BI1740" s="1710">
        <f t="shared" si="109"/>
        <v>23611193561.326427</v>
      </c>
      <c r="BJ1740" s="1711">
        <f t="shared" si="110"/>
        <v>34837293.595667131</v>
      </c>
      <c r="BK1740" s="1711">
        <f t="shared" si="111"/>
        <v>1.1250625473676441</v>
      </c>
      <c r="BL1740">
        <f>BJ1740</f>
        <v>34837293.595667131</v>
      </c>
      <c r="BO1740">
        <f>BL1740</f>
        <v>34837293.595667131</v>
      </c>
    </row>
    <row r="1741" spans="3:67" x14ac:dyDescent="0.25">
      <c r="C1741" s="246" t="s">
        <v>3091</v>
      </c>
      <c r="D1741" s="246">
        <v>1</v>
      </c>
      <c r="E1741" s="246">
        <v>2</v>
      </c>
      <c r="F1741" s="246">
        <v>3</v>
      </c>
      <c r="G1741" s="246">
        <v>5</v>
      </c>
      <c r="H1741" s="246">
        <v>6</v>
      </c>
      <c r="I1741" s="246">
        <v>10</v>
      </c>
      <c r="J1741" s="246">
        <v>12</v>
      </c>
      <c r="K1741" s="246">
        <v>15</v>
      </c>
      <c r="L1741" s="246">
        <v>16</v>
      </c>
      <c r="M1741" s="246">
        <v>17</v>
      </c>
      <c r="N1741" s="246"/>
      <c r="O1741" s="246"/>
      <c r="P1741" s="246"/>
      <c r="Q1741" s="246"/>
      <c r="R1741" s="246">
        <f>IFERROR(VLOOKUP(D1741,PROGRAMAS[],2,FALSE),0)</f>
        <v>97037803.679377079</v>
      </c>
      <c r="S1741" s="246">
        <f>IFERROR(VLOOKUP(E1741,PROGRAMAS[],2,FALSE),0)</f>
        <v>640501509.6821388</v>
      </c>
      <c r="T1741" s="246">
        <f>IFERROR(VLOOKUP(F1741,PROGRAMAS[],2,FALSE),0)</f>
        <v>3062327798.1525245</v>
      </c>
      <c r="U1741" s="246">
        <f>IFERROR(VLOOKUP(G1741,PROGRAMAS[],2,FALSE),0)</f>
        <v>1440941976.2528784</v>
      </c>
      <c r="V1741" s="246">
        <f>IFERROR(VLOOKUP(H1741,PROGRAMAS[],2,FALSE),0)</f>
        <v>6907648435.8447599</v>
      </c>
      <c r="W1741" s="246">
        <f>IFERROR(VLOOKUP(I1741,PROGRAMAS[],2,FALSE),0)</f>
        <v>4635315027.8751087</v>
      </c>
      <c r="X1741" s="246">
        <f>IFERROR(VLOOKUP(J1741,PROGRAMAS[],2,FALSE),0)</f>
        <v>764796700.79905891</v>
      </c>
      <c r="Y1741" s="246">
        <f>IFERROR(VLOOKUP(K1741,PROGRAMAS[],2,FALSE),0)</f>
        <v>122159672.96346797</v>
      </c>
      <c r="Z1741" s="246">
        <f>IFERROR(VLOOKUP(L1741,PROGRAMAS[],2,FALSE),0)</f>
        <v>7068496961.0436354</v>
      </c>
      <c r="AA1741" s="246">
        <f>IFERROR(VLOOKUP(M1741,PROGRAMAS[],2,FALSE),0)</f>
        <v>1892779498.5211046</v>
      </c>
      <c r="AB1741" s="246">
        <f>IFERROR(VLOOKUP(N1741,PROGRAMAS[],2,FALSE),0)</f>
        <v>0</v>
      </c>
      <c r="AC1741" s="246">
        <f>IFERROR(VLOOKUP(O1741,PROGRAMAS[],2,FALSE),0)</f>
        <v>0</v>
      </c>
      <c r="AD1741" s="246">
        <f>IFERROR(VLOOKUP(P1741,PROGRAMAS[],2,FALSE),0)</f>
        <v>0</v>
      </c>
      <c r="AE1741" s="246">
        <f>IFERROR(VLOOKUP(Q1741,PROGRAMAS[],2,FALSE),0)</f>
        <v>0</v>
      </c>
      <c r="AF1741" s="246">
        <f>IFERROR(VLOOKUP(D1741,PROGRAMAS[],3,FALSE),0)</f>
        <v>841888629.31080008</v>
      </c>
      <c r="AG1741" s="246">
        <f>IFERROR(VLOOKUP(E1741,PROGRAMAS[],3,FALSE),0)</f>
        <v>3848980803.1642323</v>
      </c>
      <c r="AH1741" s="246">
        <f>IFERROR(VLOOKUP(F1741,PROGRAMAS[],3,FALSE),0)</f>
        <v>3394901471.387517</v>
      </c>
      <c r="AI1741" s="246">
        <f>IFERROR(VLOOKUP(G1741,PROGRAMAS[],3,FALSE),0)</f>
        <v>1233505101.0616004</v>
      </c>
      <c r="AJ1741" s="246">
        <f>IFERROR(VLOOKUP(H1741,PROGRAMAS[],3,FALSE),0)</f>
        <v>6129902208.7912121</v>
      </c>
      <c r="AK1741" s="246">
        <f>IFERROR(VLOOKUP(I1741,PROGRAMAS[],3,FALSE),0)</f>
        <v>4099471734.9978786</v>
      </c>
      <c r="AL1741" s="246">
        <f>IFERROR(VLOOKUP(J1741,PROGRAMAS[],3,FALSE),0)</f>
        <v>675517840.109828</v>
      </c>
      <c r="AM1741" s="246">
        <f>IFERROR(VLOOKUP(K1741,PROGRAMAS[],3,FALSE),0)</f>
        <v>118617452.52510804</v>
      </c>
      <c r="AN1741" s="246">
        <f>IFERROR(VLOOKUP(L1741,PROGRAMAS[],3,FALSE),0)</f>
        <v>2406564599.0319901</v>
      </c>
      <c r="AO1741" s="246">
        <f>IFERROR(VLOOKUP(M1741,PROGRAMAS[],3,FALSE),0)</f>
        <v>948595847.09039903</v>
      </c>
      <c r="AP1741" s="246">
        <f>IFERROR(VLOOKUP(N1741,PROGRAMAS[],3,FALSE),0)</f>
        <v>0</v>
      </c>
      <c r="AQ1741" s="246">
        <f>IFERROR(VLOOKUP(O1741,PROGRAMAS[],3,FALSE),0)</f>
        <v>0</v>
      </c>
      <c r="AR1741" s="246">
        <f>IFERROR(VLOOKUP(P1741,PROGRAMAS[],3,FALSE),0)</f>
        <v>0</v>
      </c>
      <c r="AS1741" s="246">
        <f>IFERROR(VLOOKUP(Q1741,PROGRAMAS[],3,FALSE),0)</f>
        <v>0</v>
      </c>
      <c r="AT1741" s="246">
        <f>IFERROR(VLOOKUP(D1741,VOL_REC[],2,FALSE),0)</f>
        <v>0</v>
      </c>
      <c r="AU1741" s="246">
        <f>IFERROR(VLOOKUP(E1741,VOL_REC[],2,FALSE),0)</f>
        <v>0</v>
      </c>
      <c r="AV1741" s="246">
        <f>IFERROR(VLOOKUP(F1741,VOL_REC[],2,FALSE),0)</f>
        <v>11089674.200000001</v>
      </c>
      <c r="AW1741" s="246">
        <f>IFERROR(VLOOKUP(G1741,VOL_REC[],2,FALSE),0)</f>
        <v>4325103.1812214684</v>
      </c>
      <c r="AX1741" s="246">
        <f>IFERROR(VLOOKUP(H1741,VOL_REC[],2,FALSE),0)</f>
        <v>15540036.397699751</v>
      </c>
      <c r="AY1741" s="246">
        <f>IFERROR(VLOOKUP(I1741,VOL_REC[],2,FALSE),0)</f>
        <v>1812240</v>
      </c>
      <c r="AZ1741" s="246">
        <f>IFERROR(VLOOKUP(J1741,VOL_REC[],2,FALSE),0)</f>
        <v>240696.79238099116</v>
      </c>
      <c r="BA1741" s="246">
        <f>IFERROR(VLOOKUP(K1741,VOL_REC[],2,FALSE),0)</f>
        <v>105072</v>
      </c>
      <c r="BB1741" s="246">
        <f>IFERROR(VLOOKUP(L1741,VOL_REC[],2,FALSE),0)</f>
        <v>1072354.9981737854</v>
      </c>
      <c r="BC1741" s="246">
        <f>IFERROR(VLOOKUP(M1741,VOL_REC[],2,FALSE),0)</f>
        <v>740113.98115702497</v>
      </c>
      <c r="BD1741" s="246">
        <f>IFERROR(VLOOKUP(N1741,VOL_REC[],2,FALSE),0)</f>
        <v>0</v>
      </c>
      <c r="BE1741" s="246">
        <f>IFERROR(VLOOKUP(O1741,VOL_REC[],2,FALSE),0)</f>
        <v>0</v>
      </c>
      <c r="BF1741" s="246">
        <f>IFERROR(VLOOKUP(P1741,VOL_REC[],2,FALSE),0)</f>
        <v>0</v>
      </c>
      <c r="BG1741" s="246">
        <f>IFERROR(VLOOKUP(Q1741,VOL_REC[],2,FALSE),0)</f>
        <v>0</v>
      </c>
      <c r="BH1741" s="1710">
        <f t="shared" si="108"/>
        <v>26632005384.814053</v>
      </c>
      <c r="BI1741" s="1710">
        <f t="shared" si="109"/>
        <v>23697945687.47057</v>
      </c>
      <c r="BJ1741" s="1711">
        <f t="shared" si="110"/>
        <v>34925291.550633028</v>
      </c>
      <c r="BK1741" s="1711">
        <f t="shared" si="111"/>
        <v>1.123810719124686</v>
      </c>
      <c r="BL1741">
        <f>BJ1741</f>
        <v>34925291.550633028</v>
      </c>
      <c r="BO1741">
        <f>BL1741</f>
        <v>34925291.550633028</v>
      </c>
    </row>
    <row r="1742" spans="3:67" x14ac:dyDescent="0.25">
      <c r="C1742" s="246" t="s">
        <v>3092</v>
      </c>
      <c r="D1742" s="246">
        <v>1</v>
      </c>
      <c r="E1742" s="246">
        <v>2</v>
      </c>
      <c r="F1742" s="246">
        <v>3</v>
      </c>
      <c r="G1742" s="246">
        <v>5</v>
      </c>
      <c r="H1742" s="246">
        <v>6</v>
      </c>
      <c r="I1742" s="246">
        <v>10</v>
      </c>
      <c r="J1742" s="246">
        <v>13</v>
      </c>
      <c r="K1742" s="246">
        <v>14</v>
      </c>
      <c r="L1742" s="246">
        <v>15</v>
      </c>
      <c r="M1742" s="246">
        <v>16</v>
      </c>
      <c r="N1742" s="246"/>
      <c r="O1742" s="246"/>
      <c r="P1742" s="246"/>
      <c r="Q1742" s="246"/>
      <c r="R1742" s="246">
        <f>IFERROR(VLOOKUP(D1742,PROGRAMAS[],2,FALSE),0)</f>
        <v>97037803.679377079</v>
      </c>
      <c r="S1742" s="246">
        <f>IFERROR(VLOOKUP(E1742,PROGRAMAS[],2,FALSE),0)</f>
        <v>640501509.6821388</v>
      </c>
      <c r="T1742" s="246">
        <f>IFERROR(VLOOKUP(F1742,PROGRAMAS[],2,FALSE),0)</f>
        <v>3062327798.1525245</v>
      </c>
      <c r="U1742" s="246">
        <f>IFERROR(VLOOKUP(G1742,PROGRAMAS[],2,FALSE),0)</f>
        <v>1440941976.2528784</v>
      </c>
      <c r="V1742" s="246">
        <f>IFERROR(VLOOKUP(H1742,PROGRAMAS[],2,FALSE),0)</f>
        <v>6907648435.8447599</v>
      </c>
      <c r="W1742" s="246">
        <f>IFERROR(VLOOKUP(I1742,PROGRAMAS[],2,FALSE),0)</f>
        <v>4635315027.8751087</v>
      </c>
      <c r="X1742" s="246">
        <f>IFERROR(VLOOKUP(J1742,PROGRAMAS[],2,FALSE),0)</f>
        <v>3776538594.4604583</v>
      </c>
      <c r="Y1742" s="246">
        <f>IFERROR(VLOOKUP(K1742,PROGRAMAS[],2,FALSE),0)</f>
        <v>54223862.645839565</v>
      </c>
      <c r="Z1742" s="246">
        <f>IFERROR(VLOOKUP(L1742,PROGRAMAS[],2,FALSE),0)</f>
        <v>122159672.96346797</v>
      </c>
      <c r="AA1742" s="246">
        <f>IFERROR(VLOOKUP(M1742,PROGRAMAS[],2,FALSE),0)</f>
        <v>7068496961.0436354</v>
      </c>
      <c r="AB1742" s="246">
        <f>IFERROR(VLOOKUP(N1742,PROGRAMAS[],2,FALSE),0)</f>
        <v>0</v>
      </c>
      <c r="AC1742" s="246">
        <f>IFERROR(VLOOKUP(O1742,PROGRAMAS[],2,FALSE),0)</f>
        <v>0</v>
      </c>
      <c r="AD1742" s="246">
        <f>IFERROR(VLOOKUP(P1742,PROGRAMAS[],2,FALSE),0)</f>
        <v>0</v>
      </c>
      <c r="AE1742" s="246">
        <f>IFERROR(VLOOKUP(Q1742,PROGRAMAS[],2,FALSE),0)</f>
        <v>0</v>
      </c>
      <c r="AF1742" s="246">
        <f>IFERROR(VLOOKUP(D1742,PROGRAMAS[],3,FALSE),0)</f>
        <v>841888629.31080008</v>
      </c>
      <c r="AG1742" s="246">
        <f>IFERROR(VLOOKUP(E1742,PROGRAMAS[],3,FALSE),0)</f>
        <v>3848980803.1642323</v>
      </c>
      <c r="AH1742" s="246">
        <f>IFERROR(VLOOKUP(F1742,PROGRAMAS[],3,FALSE),0)</f>
        <v>3394901471.387517</v>
      </c>
      <c r="AI1742" s="246">
        <f>IFERROR(VLOOKUP(G1742,PROGRAMAS[],3,FALSE),0)</f>
        <v>1233505101.0616004</v>
      </c>
      <c r="AJ1742" s="246">
        <f>IFERROR(VLOOKUP(H1742,PROGRAMAS[],3,FALSE),0)</f>
        <v>6129902208.7912121</v>
      </c>
      <c r="AK1742" s="246">
        <f>IFERROR(VLOOKUP(I1742,PROGRAMAS[],3,FALSE),0)</f>
        <v>4099471734.9978786</v>
      </c>
      <c r="AL1742" s="246">
        <f>IFERROR(VLOOKUP(J1742,PROGRAMAS[],3,FALSE),0)</f>
        <v>2392571243.5584412</v>
      </c>
      <c r="AM1742" s="246">
        <f>IFERROR(VLOOKUP(K1742,PROGRAMAS[],3,FALSE),0)</f>
        <v>31865326.38096505</v>
      </c>
      <c r="AN1742" s="246">
        <f>IFERROR(VLOOKUP(L1742,PROGRAMAS[],3,FALSE),0)</f>
        <v>118617452.52510804</v>
      </c>
      <c r="AO1742" s="246">
        <f>IFERROR(VLOOKUP(M1742,PROGRAMAS[],3,FALSE),0)</f>
        <v>2406564599.0319901</v>
      </c>
      <c r="AP1742" s="246">
        <f>IFERROR(VLOOKUP(N1742,PROGRAMAS[],3,FALSE),0)</f>
        <v>0</v>
      </c>
      <c r="AQ1742" s="246">
        <f>IFERROR(VLOOKUP(O1742,PROGRAMAS[],3,FALSE),0)</f>
        <v>0</v>
      </c>
      <c r="AR1742" s="246">
        <f>IFERROR(VLOOKUP(P1742,PROGRAMAS[],3,FALSE),0)</f>
        <v>0</v>
      </c>
      <c r="AS1742" s="246">
        <f>IFERROR(VLOOKUP(Q1742,PROGRAMAS[],3,FALSE),0)</f>
        <v>0</v>
      </c>
      <c r="AT1742" s="246">
        <f>IFERROR(VLOOKUP(D1742,VOL_REC[],2,FALSE),0)</f>
        <v>0</v>
      </c>
      <c r="AU1742" s="246">
        <f>IFERROR(VLOOKUP(E1742,VOL_REC[],2,FALSE),0)</f>
        <v>0</v>
      </c>
      <c r="AV1742" s="246">
        <f>IFERROR(VLOOKUP(F1742,VOL_REC[],2,FALSE),0)</f>
        <v>11089674.200000001</v>
      </c>
      <c r="AW1742" s="246">
        <f>IFERROR(VLOOKUP(G1742,VOL_REC[],2,FALSE),0)</f>
        <v>4325103.1812214684</v>
      </c>
      <c r="AX1742" s="246">
        <f>IFERROR(VLOOKUP(H1742,VOL_REC[],2,FALSE),0)</f>
        <v>15540036.397699751</v>
      </c>
      <c r="AY1742" s="246">
        <f>IFERROR(VLOOKUP(I1742,VOL_REC[],2,FALSE),0)</f>
        <v>1812240</v>
      </c>
      <c r="AZ1742" s="246">
        <f>IFERROR(VLOOKUP(J1742,VOL_REC[],2,FALSE),0)</f>
        <v>663244.80000000016</v>
      </c>
      <c r="BA1742" s="246">
        <f>IFERROR(VLOOKUP(K1742,VOL_REC[],2,FALSE),0)</f>
        <v>17074.045034105649</v>
      </c>
      <c r="BB1742" s="246">
        <f>IFERROR(VLOOKUP(L1742,VOL_REC[],2,FALSE),0)</f>
        <v>105072</v>
      </c>
      <c r="BC1742" s="246">
        <f>IFERROR(VLOOKUP(M1742,VOL_REC[],2,FALSE),0)</f>
        <v>1072354.9981737854</v>
      </c>
      <c r="BD1742" s="246">
        <f>IFERROR(VLOOKUP(N1742,VOL_REC[],2,FALSE),0)</f>
        <v>0</v>
      </c>
      <c r="BE1742" s="246">
        <f>IFERROR(VLOOKUP(O1742,VOL_REC[],2,FALSE),0)</f>
        <v>0</v>
      </c>
      <c r="BF1742" s="246">
        <f>IFERROR(VLOOKUP(P1742,VOL_REC[],2,FALSE),0)</f>
        <v>0</v>
      </c>
      <c r="BG1742" s="246">
        <f>IFERROR(VLOOKUP(Q1742,VOL_REC[],2,FALSE),0)</f>
        <v>0</v>
      </c>
      <c r="BH1742" s="1710">
        <f t="shared" si="108"/>
        <v>27805191642.600189</v>
      </c>
      <c r="BI1742" s="1710">
        <f t="shared" si="109"/>
        <v>24498268570.209747</v>
      </c>
      <c r="BJ1742" s="1711">
        <f t="shared" si="110"/>
        <v>34624799.622129112</v>
      </c>
      <c r="BK1742" s="1711">
        <f t="shared" si="111"/>
        <v>1.1349859914758103</v>
      </c>
      <c r="BL1742">
        <f>BJ1742</f>
        <v>34624799.622129112</v>
      </c>
      <c r="BO1742">
        <f>BL1742</f>
        <v>34624799.622129112</v>
      </c>
    </row>
    <row r="1743" spans="3:67" x14ac:dyDescent="0.25">
      <c r="C1743" s="246" t="s">
        <v>3093</v>
      </c>
      <c r="D1743" s="246">
        <v>1</v>
      </c>
      <c r="E1743" s="246">
        <v>2</v>
      </c>
      <c r="F1743" s="246">
        <v>3</v>
      </c>
      <c r="G1743" s="246">
        <v>5</v>
      </c>
      <c r="H1743" s="246">
        <v>6</v>
      </c>
      <c r="I1743" s="246">
        <v>10</v>
      </c>
      <c r="J1743" s="246">
        <v>13</v>
      </c>
      <c r="K1743" s="246">
        <v>14</v>
      </c>
      <c r="L1743" s="246">
        <v>15</v>
      </c>
      <c r="M1743" s="246">
        <v>17</v>
      </c>
      <c r="N1743" s="246"/>
      <c r="O1743" s="246"/>
      <c r="P1743" s="246"/>
      <c r="Q1743" s="246"/>
      <c r="R1743" s="246">
        <f>IFERROR(VLOOKUP(D1743,PROGRAMAS[],2,FALSE),0)</f>
        <v>97037803.679377079</v>
      </c>
      <c r="S1743" s="246">
        <f>IFERROR(VLOOKUP(E1743,PROGRAMAS[],2,FALSE),0)</f>
        <v>640501509.6821388</v>
      </c>
      <c r="T1743" s="246">
        <f>IFERROR(VLOOKUP(F1743,PROGRAMAS[],2,FALSE),0)</f>
        <v>3062327798.1525245</v>
      </c>
      <c r="U1743" s="246">
        <f>IFERROR(VLOOKUP(G1743,PROGRAMAS[],2,FALSE),0)</f>
        <v>1440941976.2528784</v>
      </c>
      <c r="V1743" s="246">
        <f>IFERROR(VLOOKUP(H1743,PROGRAMAS[],2,FALSE),0)</f>
        <v>6907648435.8447599</v>
      </c>
      <c r="W1743" s="246">
        <f>IFERROR(VLOOKUP(I1743,PROGRAMAS[],2,FALSE),0)</f>
        <v>4635315027.8751087</v>
      </c>
      <c r="X1743" s="246">
        <f>IFERROR(VLOOKUP(J1743,PROGRAMAS[],2,FALSE),0)</f>
        <v>3776538594.4604583</v>
      </c>
      <c r="Y1743" s="246">
        <f>IFERROR(VLOOKUP(K1743,PROGRAMAS[],2,FALSE),0)</f>
        <v>54223862.645839565</v>
      </c>
      <c r="Z1743" s="246">
        <f>IFERROR(VLOOKUP(L1743,PROGRAMAS[],2,FALSE),0)</f>
        <v>122159672.96346797</v>
      </c>
      <c r="AA1743" s="246">
        <f>IFERROR(VLOOKUP(M1743,PROGRAMAS[],2,FALSE),0)</f>
        <v>1892779498.5211046</v>
      </c>
      <c r="AB1743" s="246">
        <f>IFERROR(VLOOKUP(N1743,PROGRAMAS[],2,FALSE),0)</f>
        <v>0</v>
      </c>
      <c r="AC1743" s="246">
        <f>IFERROR(VLOOKUP(O1743,PROGRAMAS[],2,FALSE),0)</f>
        <v>0</v>
      </c>
      <c r="AD1743" s="246">
        <f>IFERROR(VLOOKUP(P1743,PROGRAMAS[],2,FALSE),0)</f>
        <v>0</v>
      </c>
      <c r="AE1743" s="246">
        <f>IFERROR(VLOOKUP(Q1743,PROGRAMAS[],2,FALSE),0)</f>
        <v>0</v>
      </c>
      <c r="AF1743" s="246">
        <f>IFERROR(VLOOKUP(D1743,PROGRAMAS[],3,FALSE),0)</f>
        <v>841888629.31080008</v>
      </c>
      <c r="AG1743" s="246">
        <f>IFERROR(VLOOKUP(E1743,PROGRAMAS[],3,FALSE),0)</f>
        <v>3848980803.1642323</v>
      </c>
      <c r="AH1743" s="246">
        <f>IFERROR(VLOOKUP(F1743,PROGRAMAS[],3,FALSE),0)</f>
        <v>3394901471.387517</v>
      </c>
      <c r="AI1743" s="246">
        <f>IFERROR(VLOOKUP(G1743,PROGRAMAS[],3,FALSE),0)</f>
        <v>1233505101.0616004</v>
      </c>
      <c r="AJ1743" s="246">
        <f>IFERROR(VLOOKUP(H1743,PROGRAMAS[],3,FALSE),0)</f>
        <v>6129902208.7912121</v>
      </c>
      <c r="AK1743" s="246">
        <f>IFERROR(VLOOKUP(I1743,PROGRAMAS[],3,FALSE),0)</f>
        <v>4099471734.9978786</v>
      </c>
      <c r="AL1743" s="246">
        <f>IFERROR(VLOOKUP(J1743,PROGRAMAS[],3,FALSE),0)</f>
        <v>2392571243.5584412</v>
      </c>
      <c r="AM1743" s="246">
        <f>IFERROR(VLOOKUP(K1743,PROGRAMAS[],3,FALSE),0)</f>
        <v>31865326.38096505</v>
      </c>
      <c r="AN1743" s="246">
        <f>IFERROR(VLOOKUP(L1743,PROGRAMAS[],3,FALSE),0)</f>
        <v>118617452.52510804</v>
      </c>
      <c r="AO1743" s="246">
        <f>IFERROR(VLOOKUP(M1743,PROGRAMAS[],3,FALSE),0)</f>
        <v>948595847.09039903</v>
      </c>
      <c r="AP1743" s="246">
        <f>IFERROR(VLOOKUP(N1743,PROGRAMAS[],3,FALSE),0)</f>
        <v>0</v>
      </c>
      <c r="AQ1743" s="246">
        <f>IFERROR(VLOOKUP(O1743,PROGRAMAS[],3,FALSE),0)</f>
        <v>0</v>
      </c>
      <c r="AR1743" s="246">
        <f>IFERROR(VLOOKUP(P1743,PROGRAMAS[],3,FALSE),0)</f>
        <v>0</v>
      </c>
      <c r="AS1743" s="246">
        <f>IFERROR(VLOOKUP(Q1743,PROGRAMAS[],3,FALSE),0)</f>
        <v>0</v>
      </c>
      <c r="AT1743" s="246">
        <f>IFERROR(VLOOKUP(D1743,VOL_REC[],2,FALSE),0)</f>
        <v>0</v>
      </c>
      <c r="AU1743" s="246">
        <f>IFERROR(VLOOKUP(E1743,VOL_REC[],2,FALSE),0)</f>
        <v>0</v>
      </c>
      <c r="AV1743" s="246">
        <f>IFERROR(VLOOKUP(F1743,VOL_REC[],2,FALSE),0)</f>
        <v>11089674.200000001</v>
      </c>
      <c r="AW1743" s="246">
        <f>IFERROR(VLOOKUP(G1743,VOL_REC[],2,FALSE),0)</f>
        <v>4325103.1812214684</v>
      </c>
      <c r="AX1743" s="246">
        <f>IFERROR(VLOOKUP(H1743,VOL_REC[],2,FALSE),0)</f>
        <v>15540036.397699751</v>
      </c>
      <c r="AY1743" s="246">
        <f>IFERROR(VLOOKUP(I1743,VOL_REC[],2,FALSE),0)</f>
        <v>1812240</v>
      </c>
      <c r="AZ1743" s="246">
        <f>IFERROR(VLOOKUP(J1743,VOL_REC[],2,FALSE),0)</f>
        <v>663244.80000000016</v>
      </c>
      <c r="BA1743" s="246">
        <f>IFERROR(VLOOKUP(K1743,VOL_REC[],2,FALSE),0)</f>
        <v>17074.045034105649</v>
      </c>
      <c r="BB1743" s="246">
        <f>IFERROR(VLOOKUP(L1743,VOL_REC[],2,FALSE),0)</f>
        <v>105072</v>
      </c>
      <c r="BC1743" s="246">
        <f>IFERROR(VLOOKUP(M1743,VOL_REC[],2,FALSE),0)</f>
        <v>740113.98115702497</v>
      </c>
      <c r="BD1743" s="246">
        <f>IFERROR(VLOOKUP(N1743,VOL_REC[],2,FALSE),0)</f>
        <v>0</v>
      </c>
      <c r="BE1743" s="246">
        <f>IFERROR(VLOOKUP(O1743,VOL_REC[],2,FALSE),0)</f>
        <v>0</v>
      </c>
      <c r="BF1743" s="246">
        <f>IFERROR(VLOOKUP(P1743,VOL_REC[],2,FALSE),0)</f>
        <v>0</v>
      </c>
      <c r="BG1743" s="246">
        <f>IFERROR(VLOOKUP(Q1743,VOL_REC[],2,FALSE),0)</f>
        <v>0</v>
      </c>
      <c r="BH1743" s="1710">
        <f t="shared" si="108"/>
        <v>22629474180.077656</v>
      </c>
      <c r="BI1743" s="1710">
        <f t="shared" si="109"/>
        <v>23040299818.268158</v>
      </c>
      <c r="BJ1743" s="1711">
        <f t="shared" si="110"/>
        <v>34292558.605112351</v>
      </c>
      <c r="BK1743" s="1711">
        <f t="shared" si="111"/>
        <v>0.98216925815067879</v>
      </c>
    </row>
    <row r="1744" spans="3:67" x14ac:dyDescent="0.25">
      <c r="C1744" s="246" t="s">
        <v>3094</v>
      </c>
      <c r="D1744" s="246">
        <v>1</v>
      </c>
      <c r="E1744" s="246">
        <v>2</v>
      </c>
      <c r="F1744" s="246">
        <v>3</v>
      </c>
      <c r="G1744" s="246">
        <v>5</v>
      </c>
      <c r="H1744" s="246">
        <v>6</v>
      </c>
      <c r="I1744" s="246">
        <v>10</v>
      </c>
      <c r="J1744" s="246">
        <v>13</v>
      </c>
      <c r="K1744" s="246">
        <v>14</v>
      </c>
      <c r="L1744" s="246">
        <v>16</v>
      </c>
      <c r="M1744" s="246">
        <v>17</v>
      </c>
      <c r="N1744" s="246"/>
      <c r="O1744" s="246"/>
      <c r="P1744" s="246"/>
      <c r="Q1744" s="246"/>
      <c r="R1744" s="246">
        <f>IFERROR(VLOOKUP(D1744,PROGRAMAS[],2,FALSE),0)</f>
        <v>97037803.679377079</v>
      </c>
      <c r="S1744" s="246">
        <f>IFERROR(VLOOKUP(E1744,PROGRAMAS[],2,FALSE),0)</f>
        <v>640501509.6821388</v>
      </c>
      <c r="T1744" s="246">
        <f>IFERROR(VLOOKUP(F1744,PROGRAMAS[],2,FALSE),0)</f>
        <v>3062327798.1525245</v>
      </c>
      <c r="U1744" s="246">
        <f>IFERROR(VLOOKUP(G1744,PROGRAMAS[],2,FALSE),0)</f>
        <v>1440941976.2528784</v>
      </c>
      <c r="V1744" s="246">
        <f>IFERROR(VLOOKUP(H1744,PROGRAMAS[],2,FALSE),0)</f>
        <v>6907648435.8447599</v>
      </c>
      <c r="W1744" s="246">
        <f>IFERROR(VLOOKUP(I1744,PROGRAMAS[],2,FALSE),0)</f>
        <v>4635315027.8751087</v>
      </c>
      <c r="X1744" s="246">
        <f>IFERROR(VLOOKUP(J1744,PROGRAMAS[],2,FALSE),0)</f>
        <v>3776538594.4604583</v>
      </c>
      <c r="Y1744" s="246">
        <f>IFERROR(VLOOKUP(K1744,PROGRAMAS[],2,FALSE),0)</f>
        <v>54223862.645839565</v>
      </c>
      <c r="Z1744" s="246">
        <f>IFERROR(VLOOKUP(L1744,PROGRAMAS[],2,FALSE),0)</f>
        <v>7068496961.0436354</v>
      </c>
      <c r="AA1744" s="246">
        <f>IFERROR(VLOOKUP(M1744,PROGRAMAS[],2,FALSE),0)</f>
        <v>1892779498.5211046</v>
      </c>
      <c r="AB1744" s="246">
        <f>IFERROR(VLOOKUP(N1744,PROGRAMAS[],2,FALSE),0)</f>
        <v>0</v>
      </c>
      <c r="AC1744" s="246">
        <f>IFERROR(VLOOKUP(O1744,PROGRAMAS[],2,FALSE),0)</f>
        <v>0</v>
      </c>
      <c r="AD1744" s="246">
        <f>IFERROR(VLOOKUP(P1744,PROGRAMAS[],2,FALSE),0)</f>
        <v>0</v>
      </c>
      <c r="AE1744" s="246">
        <f>IFERROR(VLOOKUP(Q1744,PROGRAMAS[],2,FALSE),0)</f>
        <v>0</v>
      </c>
      <c r="AF1744" s="246">
        <f>IFERROR(VLOOKUP(D1744,PROGRAMAS[],3,FALSE),0)</f>
        <v>841888629.31080008</v>
      </c>
      <c r="AG1744" s="246">
        <f>IFERROR(VLOOKUP(E1744,PROGRAMAS[],3,FALSE),0)</f>
        <v>3848980803.1642323</v>
      </c>
      <c r="AH1744" s="246">
        <f>IFERROR(VLOOKUP(F1744,PROGRAMAS[],3,FALSE),0)</f>
        <v>3394901471.387517</v>
      </c>
      <c r="AI1744" s="246">
        <f>IFERROR(VLOOKUP(G1744,PROGRAMAS[],3,FALSE),0)</f>
        <v>1233505101.0616004</v>
      </c>
      <c r="AJ1744" s="246">
        <f>IFERROR(VLOOKUP(H1744,PROGRAMAS[],3,FALSE),0)</f>
        <v>6129902208.7912121</v>
      </c>
      <c r="AK1744" s="246">
        <f>IFERROR(VLOOKUP(I1744,PROGRAMAS[],3,FALSE),0)</f>
        <v>4099471734.9978786</v>
      </c>
      <c r="AL1744" s="246">
        <f>IFERROR(VLOOKUP(J1744,PROGRAMAS[],3,FALSE),0)</f>
        <v>2392571243.5584412</v>
      </c>
      <c r="AM1744" s="246">
        <f>IFERROR(VLOOKUP(K1744,PROGRAMAS[],3,FALSE),0)</f>
        <v>31865326.38096505</v>
      </c>
      <c r="AN1744" s="246">
        <f>IFERROR(VLOOKUP(L1744,PROGRAMAS[],3,FALSE),0)</f>
        <v>2406564599.0319901</v>
      </c>
      <c r="AO1744" s="246">
        <f>IFERROR(VLOOKUP(M1744,PROGRAMAS[],3,FALSE),0)</f>
        <v>948595847.09039903</v>
      </c>
      <c r="AP1744" s="246">
        <f>IFERROR(VLOOKUP(N1744,PROGRAMAS[],3,FALSE),0)</f>
        <v>0</v>
      </c>
      <c r="AQ1744" s="246">
        <f>IFERROR(VLOOKUP(O1744,PROGRAMAS[],3,FALSE),0)</f>
        <v>0</v>
      </c>
      <c r="AR1744" s="246">
        <f>IFERROR(VLOOKUP(P1744,PROGRAMAS[],3,FALSE),0)</f>
        <v>0</v>
      </c>
      <c r="AS1744" s="246">
        <f>IFERROR(VLOOKUP(Q1744,PROGRAMAS[],3,FALSE),0)</f>
        <v>0</v>
      </c>
      <c r="AT1744" s="246">
        <f>IFERROR(VLOOKUP(D1744,VOL_REC[],2,FALSE),0)</f>
        <v>0</v>
      </c>
      <c r="AU1744" s="246">
        <f>IFERROR(VLOOKUP(E1744,VOL_REC[],2,FALSE),0)</f>
        <v>0</v>
      </c>
      <c r="AV1744" s="246">
        <f>IFERROR(VLOOKUP(F1744,VOL_REC[],2,FALSE),0)</f>
        <v>11089674.200000001</v>
      </c>
      <c r="AW1744" s="246">
        <f>IFERROR(VLOOKUP(G1744,VOL_REC[],2,FALSE),0)</f>
        <v>4325103.1812214684</v>
      </c>
      <c r="AX1744" s="246">
        <f>IFERROR(VLOOKUP(H1744,VOL_REC[],2,FALSE),0)</f>
        <v>15540036.397699751</v>
      </c>
      <c r="AY1744" s="246">
        <f>IFERROR(VLOOKUP(I1744,VOL_REC[],2,FALSE),0)</f>
        <v>1812240</v>
      </c>
      <c r="AZ1744" s="246">
        <f>IFERROR(VLOOKUP(J1744,VOL_REC[],2,FALSE),0)</f>
        <v>663244.80000000016</v>
      </c>
      <c r="BA1744" s="246">
        <f>IFERROR(VLOOKUP(K1744,VOL_REC[],2,FALSE),0)</f>
        <v>17074.045034105649</v>
      </c>
      <c r="BB1744" s="246">
        <f>IFERROR(VLOOKUP(L1744,VOL_REC[],2,FALSE),0)</f>
        <v>1072354.9981737854</v>
      </c>
      <c r="BC1744" s="246">
        <f>IFERROR(VLOOKUP(M1744,VOL_REC[],2,FALSE),0)</f>
        <v>740113.98115702497</v>
      </c>
      <c r="BD1744" s="246">
        <f>IFERROR(VLOOKUP(N1744,VOL_REC[],2,FALSE),0)</f>
        <v>0</v>
      </c>
      <c r="BE1744" s="246">
        <f>IFERROR(VLOOKUP(O1744,VOL_REC[],2,FALSE),0)</f>
        <v>0</v>
      </c>
      <c r="BF1744" s="246">
        <f>IFERROR(VLOOKUP(P1744,VOL_REC[],2,FALSE),0)</f>
        <v>0</v>
      </c>
      <c r="BG1744" s="246">
        <f>IFERROR(VLOOKUP(Q1744,VOL_REC[],2,FALSE),0)</f>
        <v>0</v>
      </c>
      <c r="BH1744" s="1710">
        <f t="shared" si="108"/>
        <v>29575811468.157825</v>
      </c>
      <c r="BI1744" s="1710">
        <f t="shared" si="109"/>
        <v>25328246964.77504</v>
      </c>
      <c r="BJ1744" s="1711">
        <f t="shared" si="110"/>
        <v>35259841.60328614</v>
      </c>
      <c r="BK1744" s="1711">
        <f t="shared" si="111"/>
        <v>1.167700690430334</v>
      </c>
      <c r="BL1744">
        <f>BJ1744</f>
        <v>35259841.60328614</v>
      </c>
      <c r="BO1744">
        <f>BL1744</f>
        <v>35259841.60328614</v>
      </c>
    </row>
    <row r="1745" spans="3:67" x14ac:dyDescent="0.25">
      <c r="C1745" s="246" t="s">
        <v>3095</v>
      </c>
      <c r="D1745" s="246">
        <v>1</v>
      </c>
      <c r="E1745" s="246">
        <v>2</v>
      </c>
      <c r="F1745" s="246">
        <v>3</v>
      </c>
      <c r="G1745" s="246">
        <v>5</v>
      </c>
      <c r="H1745" s="246">
        <v>6</v>
      </c>
      <c r="I1745" s="246">
        <v>10</v>
      </c>
      <c r="J1745" s="246">
        <v>13</v>
      </c>
      <c r="K1745" s="246">
        <v>15</v>
      </c>
      <c r="L1745" s="246">
        <v>16</v>
      </c>
      <c r="M1745" s="246">
        <v>17</v>
      </c>
      <c r="N1745" s="246"/>
      <c r="O1745" s="246"/>
      <c r="P1745" s="246"/>
      <c r="Q1745" s="246"/>
      <c r="R1745" s="246">
        <f>IFERROR(VLOOKUP(D1745,PROGRAMAS[],2,FALSE),0)</f>
        <v>97037803.679377079</v>
      </c>
      <c r="S1745" s="246">
        <f>IFERROR(VLOOKUP(E1745,PROGRAMAS[],2,FALSE),0)</f>
        <v>640501509.6821388</v>
      </c>
      <c r="T1745" s="246">
        <f>IFERROR(VLOOKUP(F1745,PROGRAMAS[],2,FALSE),0)</f>
        <v>3062327798.1525245</v>
      </c>
      <c r="U1745" s="246">
        <f>IFERROR(VLOOKUP(G1745,PROGRAMAS[],2,FALSE),0)</f>
        <v>1440941976.2528784</v>
      </c>
      <c r="V1745" s="246">
        <f>IFERROR(VLOOKUP(H1745,PROGRAMAS[],2,FALSE),0)</f>
        <v>6907648435.8447599</v>
      </c>
      <c r="W1745" s="246">
        <f>IFERROR(VLOOKUP(I1745,PROGRAMAS[],2,FALSE),0)</f>
        <v>4635315027.8751087</v>
      </c>
      <c r="X1745" s="246">
        <f>IFERROR(VLOOKUP(J1745,PROGRAMAS[],2,FALSE),0)</f>
        <v>3776538594.4604583</v>
      </c>
      <c r="Y1745" s="246">
        <f>IFERROR(VLOOKUP(K1745,PROGRAMAS[],2,FALSE),0)</f>
        <v>122159672.96346797</v>
      </c>
      <c r="Z1745" s="246">
        <f>IFERROR(VLOOKUP(L1745,PROGRAMAS[],2,FALSE),0)</f>
        <v>7068496961.0436354</v>
      </c>
      <c r="AA1745" s="246">
        <f>IFERROR(VLOOKUP(M1745,PROGRAMAS[],2,FALSE),0)</f>
        <v>1892779498.5211046</v>
      </c>
      <c r="AB1745" s="246">
        <f>IFERROR(VLOOKUP(N1745,PROGRAMAS[],2,FALSE),0)</f>
        <v>0</v>
      </c>
      <c r="AC1745" s="246">
        <f>IFERROR(VLOOKUP(O1745,PROGRAMAS[],2,FALSE),0)</f>
        <v>0</v>
      </c>
      <c r="AD1745" s="246">
        <f>IFERROR(VLOOKUP(P1745,PROGRAMAS[],2,FALSE),0)</f>
        <v>0</v>
      </c>
      <c r="AE1745" s="246">
        <f>IFERROR(VLOOKUP(Q1745,PROGRAMAS[],2,FALSE),0)</f>
        <v>0</v>
      </c>
      <c r="AF1745" s="246">
        <f>IFERROR(VLOOKUP(D1745,PROGRAMAS[],3,FALSE),0)</f>
        <v>841888629.31080008</v>
      </c>
      <c r="AG1745" s="246">
        <f>IFERROR(VLOOKUP(E1745,PROGRAMAS[],3,FALSE),0)</f>
        <v>3848980803.1642323</v>
      </c>
      <c r="AH1745" s="246">
        <f>IFERROR(VLOOKUP(F1745,PROGRAMAS[],3,FALSE),0)</f>
        <v>3394901471.387517</v>
      </c>
      <c r="AI1745" s="246">
        <f>IFERROR(VLOOKUP(G1745,PROGRAMAS[],3,FALSE),0)</f>
        <v>1233505101.0616004</v>
      </c>
      <c r="AJ1745" s="246">
        <f>IFERROR(VLOOKUP(H1745,PROGRAMAS[],3,FALSE),0)</f>
        <v>6129902208.7912121</v>
      </c>
      <c r="AK1745" s="246">
        <f>IFERROR(VLOOKUP(I1745,PROGRAMAS[],3,FALSE),0)</f>
        <v>4099471734.9978786</v>
      </c>
      <c r="AL1745" s="246">
        <f>IFERROR(VLOOKUP(J1745,PROGRAMAS[],3,FALSE),0)</f>
        <v>2392571243.5584412</v>
      </c>
      <c r="AM1745" s="246">
        <f>IFERROR(VLOOKUP(K1745,PROGRAMAS[],3,FALSE),0)</f>
        <v>118617452.52510804</v>
      </c>
      <c r="AN1745" s="246">
        <f>IFERROR(VLOOKUP(L1745,PROGRAMAS[],3,FALSE),0)</f>
        <v>2406564599.0319901</v>
      </c>
      <c r="AO1745" s="246">
        <f>IFERROR(VLOOKUP(M1745,PROGRAMAS[],3,FALSE),0)</f>
        <v>948595847.09039903</v>
      </c>
      <c r="AP1745" s="246">
        <f>IFERROR(VLOOKUP(N1745,PROGRAMAS[],3,FALSE),0)</f>
        <v>0</v>
      </c>
      <c r="AQ1745" s="246">
        <f>IFERROR(VLOOKUP(O1745,PROGRAMAS[],3,FALSE),0)</f>
        <v>0</v>
      </c>
      <c r="AR1745" s="246">
        <f>IFERROR(VLOOKUP(P1745,PROGRAMAS[],3,FALSE),0)</f>
        <v>0</v>
      </c>
      <c r="AS1745" s="246">
        <f>IFERROR(VLOOKUP(Q1745,PROGRAMAS[],3,FALSE),0)</f>
        <v>0</v>
      </c>
      <c r="AT1745" s="246">
        <f>IFERROR(VLOOKUP(D1745,VOL_REC[],2,FALSE),0)</f>
        <v>0</v>
      </c>
      <c r="AU1745" s="246">
        <f>IFERROR(VLOOKUP(E1745,VOL_REC[],2,FALSE),0)</f>
        <v>0</v>
      </c>
      <c r="AV1745" s="246">
        <f>IFERROR(VLOOKUP(F1745,VOL_REC[],2,FALSE),0)</f>
        <v>11089674.200000001</v>
      </c>
      <c r="AW1745" s="246">
        <f>IFERROR(VLOOKUP(G1745,VOL_REC[],2,FALSE),0)</f>
        <v>4325103.1812214684</v>
      </c>
      <c r="AX1745" s="246">
        <f>IFERROR(VLOOKUP(H1745,VOL_REC[],2,FALSE),0)</f>
        <v>15540036.397699751</v>
      </c>
      <c r="AY1745" s="246">
        <f>IFERROR(VLOOKUP(I1745,VOL_REC[],2,FALSE),0)</f>
        <v>1812240</v>
      </c>
      <c r="AZ1745" s="246">
        <f>IFERROR(VLOOKUP(J1745,VOL_REC[],2,FALSE),0)</f>
        <v>663244.80000000016</v>
      </c>
      <c r="BA1745" s="246">
        <f>IFERROR(VLOOKUP(K1745,VOL_REC[],2,FALSE),0)</f>
        <v>105072</v>
      </c>
      <c r="BB1745" s="246">
        <f>IFERROR(VLOOKUP(L1745,VOL_REC[],2,FALSE),0)</f>
        <v>1072354.9981737854</v>
      </c>
      <c r="BC1745" s="246">
        <f>IFERROR(VLOOKUP(M1745,VOL_REC[],2,FALSE),0)</f>
        <v>740113.98115702497</v>
      </c>
      <c r="BD1745" s="246">
        <f>IFERROR(VLOOKUP(N1745,VOL_REC[],2,FALSE),0)</f>
        <v>0</v>
      </c>
      <c r="BE1745" s="246">
        <f>IFERROR(VLOOKUP(O1745,VOL_REC[],2,FALSE),0)</f>
        <v>0</v>
      </c>
      <c r="BF1745" s="246">
        <f>IFERROR(VLOOKUP(P1745,VOL_REC[],2,FALSE),0)</f>
        <v>0</v>
      </c>
      <c r="BG1745" s="246">
        <f>IFERROR(VLOOKUP(Q1745,VOL_REC[],2,FALSE),0)</f>
        <v>0</v>
      </c>
      <c r="BH1745" s="1710">
        <f t="shared" si="108"/>
        <v>29643747278.475452</v>
      </c>
      <c r="BI1745" s="1710">
        <f t="shared" si="109"/>
        <v>25414999090.919182</v>
      </c>
      <c r="BJ1745" s="1711">
        <f t="shared" si="110"/>
        <v>35347839.558252037</v>
      </c>
      <c r="BK1745" s="1711">
        <f t="shared" si="111"/>
        <v>1.1663878945038879</v>
      </c>
      <c r="BL1745">
        <f>BJ1745</f>
        <v>35347839.558252037</v>
      </c>
      <c r="BO1745">
        <f>BL1745</f>
        <v>35347839.558252037</v>
      </c>
    </row>
    <row r="1746" spans="3:67" x14ac:dyDescent="0.25">
      <c r="C1746" s="246" t="s">
        <v>3096</v>
      </c>
      <c r="D1746" s="246">
        <v>1</v>
      </c>
      <c r="E1746" s="246">
        <v>2</v>
      </c>
      <c r="F1746" s="246">
        <v>3</v>
      </c>
      <c r="G1746" s="246">
        <v>5</v>
      </c>
      <c r="H1746" s="246">
        <v>6</v>
      </c>
      <c r="I1746" s="246">
        <v>10</v>
      </c>
      <c r="J1746" s="246">
        <v>14</v>
      </c>
      <c r="K1746" s="246">
        <v>15</v>
      </c>
      <c r="L1746" s="246">
        <v>16</v>
      </c>
      <c r="M1746" s="246">
        <v>17</v>
      </c>
      <c r="N1746" s="246"/>
      <c r="O1746" s="246"/>
      <c r="P1746" s="246"/>
      <c r="Q1746" s="246"/>
      <c r="R1746" s="246">
        <f>IFERROR(VLOOKUP(D1746,PROGRAMAS[],2,FALSE),0)</f>
        <v>97037803.679377079</v>
      </c>
      <c r="S1746" s="246">
        <f>IFERROR(VLOOKUP(E1746,PROGRAMAS[],2,FALSE),0)</f>
        <v>640501509.6821388</v>
      </c>
      <c r="T1746" s="246">
        <f>IFERROR(VLOOKUP(F1746,PROGRAMAS[],2,FALSE),0)</f>
        <v>3062327798.1525245</v>
      </c>
      <c r="U1746" s="246">
        <f>IFERROR(VLOOKUP(G1746,PROGRAMAS[],2,FALSE),0)</f>
        <v>1440941976.2528784</v>
      </c>
      <c r="V1746" s="246">
        <f>IFERROR(VLOOKUP(H1746,PROGRAMAS[],2,FALSE),0)</f>
        <v>6907648435.8447599</v>
      </c>
      <c r="W1746" s="246">
        <f>IFERROR(VLOOKUP(I1746,PROGRAMAS[],2,FALSE),0)</f>
        <v>4635315027.8751087</v>
      </c>
      <c r="X1746" s="246">
        <f>IFERROR(VLOOKUP(J1746,PROGRAMAS[],2,FALSE),0)</f>
        <v>54223862.645839565</v>
      </c>
      <c r="Y1746" s="246">
        <f>IFERROR(VLOOKUP(K1746,PROGRAMAS[],2,FALSE),0)</f>
        <v>122159672.96346797</v>
      </c>
      <c r="Z1746" s="246">
        <f>IFERROR(VLOOKUP(L1746,PROGRAMAS[],2,FALSE),0)</f>
        <v>7068496961.0436354</v>
      </c>
      <c r="AA1746" s="246">
        <f>IFERROR(VLOOKUP(M1746,PROGRAMAS[],2,FALSE),0)</f>
        <v>1892779498.5211046</v>
      </c>
      <c r="AB1746" s="246">
        <f>IFERROR(VLOOKUP(N1746,PROGRAMAS[],2,FALSE),0)</f>
        <v>0</v>
      </c>
      <c r="AC1746" s="246">
        <f>IFERROR(VLOOKUP(O1746,PROGRAMAS[],2,FALSE),0)</f>
        <v>0</v>
      </c>
      <c r="AD1746" s="246">
        <f>IFERROR(VLOOKUP(P1746,PROGRAMAS[],2,FALSE),0)</f>
        <v>0</v>
      </c>
      <c r="AE1746" s="246">
        <f>IFERROR(VLOOKUP(Q1746,PROGRAMAS[],2,FALSE),0)</f>
        <v>0</v>
      </c>
      <c r="AF1746" s="246">
        <f>IFERROR(VLOOKUP(D1746,PROGRAMAS[],3,FALSE),0)</f>
        <v>841888629.31080008</v>
      </c>
      <c r="AG1746" s="246">
        <f>IFERROR(VLOOKUP(E1746,PROGRAMAS[],3,FALSE),0)</f>
        <v>3848980803.1642323</v>
      </c>
      <c r="AH1746" s="246">
        <f>IFERROR(VLOOKUP(F1746,PROGRAMAS[],3,FALSE),0)</f>
        <v>3394901471.387517</v>
      </c>
      <c r="AI1746" s="246">
        <f>IFERROR(VLOOKUP(G1746,PROGRAMAS[],3,FALSE),0)</f>
        <v>1233505101.0616004</v>
      </c>
      <c r="AJ1746" s="246">
        <f>IFERROR(VLOOKUP(H1746,PROGRAMAS[],3,FALSE),0)</f>
        <v>6129902208.7912121</v>
      </c>
      <c r="AK1746" s="246">
        <f>IFERROR(VLOOKUP(I1746,PROGRAMAS[],3,FALSE),0)</f>
        <v>4099471734.9978786</v>
      </c>
      <c r="AL1746" s="246">
        <f>IFERROR(VLOOKUP(J1746,PROGRAMAS[],3,FALSE),0)</f>
        <v>31865326.38096505</v>
      </c>
      <c r="AM1746" s="246">
        <f>IFERROR(VLOOKUP(K1746,PROGRAMAS[],3,FALSE),0)</f>
        <v>118617452.52510804</v>
      </c>
      <c r="AN1746" s="246">
        <f>IFERROR(VLOOKUP(L1746,PROGRAMAS[],3,FALSE),0)</f>
        <v>2406564599.0319901</v>
      </c>
      <c r="AO1746" s="246">
        <f>IFERROR(VLOOKUP(M1746,PROGRAMAS[],3,FALSE),0)</f>
        <v>948595847.09039903</v>
      </c>
      <c r="AP1746" s="246">
        <f>IFERROR(VLOOKUP(N1746,PROGRAMAS[],3,FALSE),0)</f>
        <v>0</v>
      </c>
      <c r="AQ1746" s="246">
        <f>IFERROR(VLOOKUP(O1746,PROGRAMAS[],3,FALSE),0)</f>
        <v>0</v>
      </c>
      <c r="AR1746" s="246">
        <f>IFERROR(VLOOKUP(P1746,PROGRAMAS[],3,FALSE),0)</f>
        <v>0</v>
      </c>
      <c r="AS1746" s="246">
        <f>IFERROR(VLOOKUP(Q1746,PROGRAMAS[],3,FALSE),0)</f>
        <v>0</v>
      </c>
      <c r="AT1746" s="246">
        <f>IFERROR(VLOOKUP(D1746,VOL_REC[],2,FALSE),0)</f>
        <v>0</v>
      </c>
      <c r="AU1746" s="246">
        <f>IFERROR(VLOOKUP(E1746,VOL_REC[],2,FALSE),0)</f>
        <v>0</v>
      </c>
      <c r="AV1746" s="246">
        <f>IFERROR(VLOOKUP(F1746,VOL_REC[],2,FALSE),0)</f>
        <v>11089674.200000001</v>
      </c>
      <c r="AW1746" s="246">
        <f>IFERROR(VLOOKUP(G1746,VOL_REC[],2,FALSE),0)</f>
        <v>4325103.1812214684</v>
      </c>
      <c r="AX1746" s="246">
        <f>IFERROR(VLOOKUP(H1746,VOL_REC[],2,FALSE),0)</f>
        <v>15540036.397699751</v>
      </c>
      <c r="AY1746" s="246">
        <f>IFERROR(VLOOKUP(I1746,VOL_REC[],2,FALSE),0)</f>
        <v>1812240</v>
      </c>
      <c r="AZ1746" s="246">
        <f>IFERROR(VLOOKUP(J1746,VOL_REC[],2,FALSE),0)</f>
        <v>17074.045034105649</v>
      </c>
      <c r="BA1746" s="246">
        <f>IFERROR(VLOOKUP(K1746,VOL_REC[],2,FALSE),0)</f>
        <v>105072</v>
      </c>
      <c r="BB1746" s="246">
        <f>IFERROR(VLOOKUP(L1746,VOL_REC[],2,FALSE),0)</f>
        <v>1072354.9981737854</v>
      </c>
      <c r="BC1746" s="246">
        <f>IFERROR(VLOOKUP(M1746,VOL_REC[],2,FALSE),0)</f>
        <v>740113.98115702497</v>
      </c>
      <c r="BD1746" s="246">
        <f>IFERROR(VLOOKUP(N1746,VOL_REC[],2,FALSE),0)</f>
        <v>0</v>
      </c>
      <c r="BE1746" s="246">
        <f>IFERROR(VLOOKUP(O1746,VOL_REC[],2,FALSE),0)</f>
        <v>0</v>
      </c>
      <c r="BF1746" s="246">
        <f>IFERROR(VLOOKUP(P1746,VOL_REC[],2,FALSE),0)</f>
        <v>0</v>
      </c>
      <c r="BG1746" s="246">
        <f>IFERROR(VLOOKUP(Q1746,VOL_REC[],2,FALSE),0)</f>
        <v>0</v>
      </c>
      <c r="BH1746" s="1710">
        <f t="shared" si="108"/>
        <v>25921432546.660835</v>
      </c>
      <c r="BI1746" s="1710">
        <f t="shared" si="109"/>
        <v>23054293173.741707</v>
      </c>
      <c r="BJ1746" s="1711">
        <f t="shared" si="110"/>
        <v>34701668.803286143</v>
      </c>
      <c r="BK1746" s="1711">
        <f t="shared" si="111"/>
        <v>1.1243646617708813</v>
      </c>
      <c r="BL1746">
        <f>BJ1746</f>
        <v>34701668.803286143</v>
      </c>
      <c r="BO1746">
        <f>BL1746</f>
        <v>34701668.803286143</v>
      </c>
    </row>
    <row r="1747" spans="3:67" x14ac:dyDescent="0.25">
      <c r="C1747" s="246" t="s">
        <v>3097</v>
      </c>
      <c r="D1747" s="246">
        <v>1</v>
      </c>
      <c r="E1747" s="246">
        <v>2</v>
      </c>
      <c r="F1747" s="246">
        <v>3</v>
      </c>
      <c r="G1747" s="246">
        <v>5</v>
      </c>
      <c r="H1747" s="246">
        <v>6</v>
      </c>
      <c r="I1747" s="246">
        <v>12</v>
      </c>
      <c r="J1747" s="246">
        <v>13</v>
      </c>
      <c r="K1747" s="246">
        <v>14</v>
      </c>
      <c r="L1747" s="246">
        <v>15</v>
      </c>
      <c r="M1747" s="246">
        <v>16</v>
      </c>
      <c r="N1747" s="246"/>
      <c r="O1747" s="246"/>
      <c r="P1747" s="246"/>
      <c r="Q1747" s="246"/>
      <c r="R1747" s="246">
        <f>IFERROR(VLOOKUP(D1747,PROGRAMAS[],2,FALSE),0)</f>
        <v>97037803.679377079</v>
      </c>
      <c r="S1747" s="246">
        <f>IFERROR(VLOOKUP(E1747,PROGRAMAS[],2,FALSE),0)</f>
        <v>640501509.6821388</v>
      </c>
      <c r="T1747" s="246">
        <f>IFERROR(VLOOKUP(F1747,PROGRAMAS[],2,FALSE),0)</f>
        <v>3062327798.1525245</v>
      </c>
      <c r="U1747" s="246">
        <f>IFERROR(VLOOKUP(G1747,PROGRAMAS[],2,FALSE),0)</f>
        <v>1440941976.2528784</v>
      </c>
      <c r="V1747" s="246">
        <f>IFERROR(VLOOKUP(H1747,PROGRAMAS[],2,FALSE),0)</f>
        <v>6907648435.8447599</v>
      </c>
      <c r="W1747" s="246">
        <f>IFERROR(VLOOKUP(I1747,PROGRAMAS[],2,FALSE),0)</f>
        <v>764796700.79905891</v>
      </c>
      <c r="X1747" s="246">
        <f>IFERROR(VLOOKUP(J1747,PROGRAMAS[],2,FALSE),0)</f>
        <v>3776538594.4604583</v>
      </c>
      <c r="Y1747" s="246">
        <f>IFERROR(VLOOKUP(K1747,PROGRAMAS[],2,FALSE),0)</f>
        <v>54223862.645839565</v>
      </c>
      <c r="Z1747" s="246">
        <f>IFERROR(VLOOKUP(L1747,PROGRAMAS[],2,FALSE),0)</f>
        <v>122159672.96346797</v>
      </c>
      <c r="AA1747" s="246">
        <f>IFERROR(VLOOKUP(M1747,PROGRAMAS[],2,FALSE),0)</f>
        <v>7068496961.0436354</v>
      </c>
      <c r="AB1747" s="246">
        <f>IFERROR(VLOOKUP(N1747,PROGRAMAS[],2,FALSE),0)</f>
        <v>0</v>
      </c>
      <c r="AC1747" s="246">
        <f>IFERROR(VLOOKUP(O1747,PROGRAMAS[],2,FALSE),0)</f>
        <v>0</v>
      </c>
      <c r="AD1747" s="246">
        <f>IFERROR(VLOOKUP(P1747,PROGRAMAS[],2,FALSE),0)</f>
        <v>0</v>
      </c>
      <c r="AE1747" s="246">
        <f>IFERROR(VLOOKUP(Q1747,PROGRAMAS[],2,FALSE),0)</f>
        <v>0</v>
      </c>
      <c r="AF1747" s="246">
        <f>IFERROR(VLOOKUP(D1747,PROGRAMAS[],3,FALSE),0)</f>
        <v>841888629.31080008</v>
      </c>
      <c r="AG1747" s="246">
        <f>IFERROR(VLOOKUP(E1747,PROGRAMAS[],3,FALSE),0)</f>
        <v>3848980803.1642323</v>
      </c>
      <c r="AH1747" s="246">
        <f>IFERROR(VLOOKUP(F1747,PROGRAMAS[],3,FALSE),0)</f>
        <v>3394901471.387517</v>
      </c>
      <c r="AI1747" s="246">
        <f>IFERROR(VLOOKUP(G1747,PROGRAMAS[],3,FALSE),0)</f>
        <v>1233505101.0616004</v>
      </c>
      <c r="AJ1747" s="246">
        <f>IFERROR(VLOOKUP(H1747,PROGRAMAS[],3,FALSE),0)</f>
        <v>6129902208.7912121</v>
      </c>
      <c r="AK1747" s="246">
        <f>IFERROR(VLOOKUP(I1747,PROGRAMAS[],3,FALSE),0)</f>
        <v>675517840.109828</v>
      </c>
      <c r="AL1747" s="246">
        <f>IFERROR(VLOOKUP(J1747,PROGRAMAS[],3,FALSE),0)</f>
        <v>2392571243.5584412</v>
      </c>
      <c r="AM1747" s="246">
        <f>IFERROR(VLOOKUP(K1747,PROGRAMAS[],3,FALSE),0)</f>
        <v>31865326.38096505</v>
      </c>
      <c r="AN1747" s="246">
        <f>IFERROR(VLOOKUP(L1747,PROGRAMAS[],3,FALSE),0)</f>
        <v>118617452.52510804</v>
      </c>
      <c r="AO1747" s="246">
        <f>IFERROR(VLOOKUP(M1747,PROGRAMAS[],3,FALSE),0)</f>
        <v>2406564599.0319901</v>
      </c>
      <c r="AP1747" s="246">
        <f>IFERROR(VLOOKUP(N1747,PROGRAMAS[],3,FALSE),0)</f>
        <v>0</v>
      </c>
      <c r="AQ1747" s="246">
        <f>IFERROR(VLOOKUP(O1747,PROGRAMAS[],3,FALSE),0)</f>
        <v>0</v>
      </c>
      <c r="AR1747" s="246">
        <f>IFERROR(VLOOKUP(P1747,PROGRAMAS[],3,FALSE),0)</f>
        <v>0</v>
      </c>
      <c r="AS1747" s="246">
        <f>IFERROR(VLOOKUP(Q1747,PROGRAMAS[],3,FALSE),0)</f>
        <v>0</v>
      </c>
      <c r="AT1747" s="246">
        <f>IFERROR(VLOOKUP(D1747,VOL_REC[],2,FALSE),0)</f>
        <v>0</v>
      </c>
      <c r="AU1747" s="246">
        <f>IFERROR(VLOOKUP(E1747,VOL_REC[],2,FALSE),0)</f>
        <v>0</v>
      </c>
      <c r="AV1747" s="246">
        <f>IFERROR(VLOOKUP(F1747,VOL_REC[],2,FALSE),0)</f>
        <v>11089674.200000001</v>
      </c>
      <c r="AW1747" s="246">
        <f>IFERROR(VLOOKUP(G1747,VOL_REC[],2,FALSE),0)</f>
        <v>4325103.1812214684</v>
      </c>
      <c r="AX1747" s="246">
        <f>IFERROR(VLOOKUP(H1747,VOL_REC[],2,FALSE),0)</f>
        <v>15540036.397699751</v>
      </c>
      <c r="AY1747" s="246">
        <f>IFERROR(VLOOKUP(I1747,VOL_REC[],2,FALSE),0)</f>
        <v>240696.79238099116</v>
      </c>
      <c r="AZ1747" s="246">
        <f>IFERROR(VLOOKUP(J1747,VOL_REC[],2,FALSE),0)</f>
        <v>663244.80000000016</v>
      </c>
      <c r="BA1747" s="246">
        <f>IFERROR(VLOOKUP(K1747,VOL_REC[],2,FALSE),0)</f>
        <v>17074.045034105649</v>
      </c>
      <c r="BB1747" s="246">
        <f>IFERROR(VLOOKUP(L1747,VOL_REC[],2,FALSE),0)</f>
        <v>105072</v>
      </c>
      <c r="BC1747" s="246">
        <f>IFERROR(VLOOKUP(M1747,VOL_REC[],2,FALSE),0)</f>
        <v>1072354.9981737854</v>
      </c>
      <c r="BD1747" s="246">
        <f>IFERROR(VLOOKUP(N1747,VOL_REC[],2,FALSE),0)</f>
        <v>0</v>
      </c>
      <c r="BE1747" s="246">
        <f>IFERROR(VLOOKUP(O1747,VOL_REC[],2,FALSE),0)</f>
        <v>0</v>
      </c>
      <c r="BF1747" s="246">
        <f>IFERROR(VLOOKUP(P1747,VOL_REC[],2,FALSE),0)</f>
        <v>0</v>
      </c>
      <c r="BG1747" s="246">
        <f>IFERROR(VLOOKUP(Q1747,VOL_REC[],2,FALSE),0)</f>
        <v>0</v>
      </c>
      <c r="BH1747" s="1710">
        <f t="shared" si="108"/>
        <v>23934673315.524139</v>
      </c>
      <c r="BI1747" s="1710">
        <f t="shared" si="109"/>
        <v>21074314675.321697</v>
      </c>
      <c r="BJ1747" s="1711">
        <f t="shared" si="110"/>
        <v>33053256.414510105</v>
      </c>
      <c r="BK1747" s="1711">
        <f t="shared" si="111"/>
        <v>1.1357272435317654</v>
      </c>
      <c r="BL1747">
        <f>BJ1747</f>
        <v>33053256.414510105</v>
      </c>
      <c r="BO1747">
        <f>BL1747</f>
        <v>33053256.414510105</v>
      </c>
    </row>
    <row r="1748" spans="3:67" x14ac:dyDescent="0.25">
      <c r="C1748" s="246" t="s">
        <v>3098</v>
      </c>
      <c r="D1748" s="246">
        <v>1</v>
      </c>
      <c r="E1748" s="246">
        <v>2</v>
      </c>
      <c r="F1748" s="246">
        <v>3</v>
      </c>
      <c r="G1748" s="246">
        <v>5</v>
      </c>
      <c r="H1748" s="246">
        <v>6</v>
      </c>
      <c r="I1748" s="246">
        <v>12</v>
      </c>
      <c r="J1748" s="246">
        <v>13</v>
      </c>
      <c r="K1748" s="246">
        <v>14</v>
      </c>
      <c r="L1748" s="246">
        <v>15</v>
      </c>
      <c r="M1748" s="246">
        <v>17</v>
      </c>
      <c r="N1748" s="246"/>
      <c r="O1748" s="246"/>
      <c r="P1748" s="246"/>
      <c r="Q1748" s="246"/>
      <c r="R1748" s="246">
        <f>IFERROR(VLOOKUP(D1748,PROGRAMAS[],2,FALSE),0)</f>
        <v>97037803.679377079</v>
      </c>
      <c r="S1748" s="246">
        <f>IFERROR(VLOOKUP(E1748,PROGRAMAS[],2,FALSE),0)</f>
        <v>640501509.6821388</v>
      </c>
      <c r="T1748" s="246">
        <f>IFERROR(VLOOKUP(F1748,PROGRAMAS[],2,FALSE),0)</f>
        <v>3062327798.1525245</v>
      </c>
      <c r="U1748" s="246">
        <f>IFERROR(VLOOKUP(G1748,PROGRAMAS[],2,FALSE),0)</f>
        <v>1440941976.2528784</v>
      </c>
      <c r="V1748" s="246">
        <f>IFERROR(VLOOKUP(H1748,PROGRAMAS[],2,FALSE),0)</f>
        <v>6907648435.8447599</v>
      </c>
      <c r="W1748" s="246">
        <f>IFERROR(VLOOKUP(I1748,PROGRAMAS[],2,FALSE),0)</f>
        <v>764796700.79905891</v>
      </c>
      <c r="X1748" s="246">
        <f>IFERROR(VLOOKUP(J1748,PROGRAMAS[],2,FALSE),0)</f>
        <v>3776538594.4604583</v>
      </c>
      <c r="Y1748" s="246">
        <f>IFERROR(VLOOKUP(K1748,PROGRAMAS[],2,FALSE),0)</f>
        <v>54223862.645839565</v>
      </c>
      <c r="Z1748" s="246">
        <f>IFERROR(VLOOKUP(L1748,PROGRAMAS[],2,FALSE),0)</f>
        <v>122159672.96346797</v>
      </c>
      <c r="AA1748" s="246">
        <f>IFERROR(VLOOKUP(M1748,PROGRAMAS[],2,FALSE),0)</f>
        <v>1892779498.5211046</v>
      </c>
      <c r="AB1748" s="246">
        <f>IFERROR(VLOOKUP(N1748,PROGRAMAS[],2,FALSE),0)</f>
        <v>0</v>
      </c>
      <c r="AC1748" s="246">
        <f>IFERROR(VLOOKUP(O1748,PROGRAMAS[],2,FALSE),0)</f>
        <v>0</v>
      </c>
      <c r="AD1748" s="246">
        <f>IFERROR(VLOOKUP(P1748,PROGRAMAS[],2,FALSE),0)</f>
        <v>0</v>
      </c>
      <c r="AE1748" s="246">
        <f>IFERROR(VLOOKUP(Q1748,PROGRAMAS[],2,FALSE),0)</f>
        <v>0</v>
      </c>
      <c r="AF1748" s="246">
        <f>IFERROR(VLOOKUP(D1748,PROGRAMAS[],3,FALSE),0)</f>
        <v>841888629.31080008</v>
      </c>
      <c r="AG1748" s="246">
        <f>IFERROR(VLOOKUP(E1748,PROGRAMAS[],3,FALSE),0)</f>
        <v>3848980803.1642323</v>
      </c>
      <c r="AH1748" s="246">
        <f>IFERROR(VLOOKUP(F1748,PROGRAMAS[],3,FALSE),0)</f>
        <v>3394901471.387517</v>
      </c>
      <c r="AI1748" s="246">
        <f>IFERROR(VLOOKUP(G1748,PROGRAMAS[],3,FALSE),0)</f>
        <v>1233505101.0616004</v>
      </c>
      <c r="AJ1748" s="246">
        <f>IFERROR(VLOOKUP(H1748,PROGRAMAS[],3,FALSE),0)</f>
        <v>6129902208.7912121</v>
      </c>
      <c r="AK1748" s="246">
        <f>IFERROR(VLOOKUP(I1748,PROGRAMAS[],3,FALSE),0)</f>
        <v>675517840.109828</v>
      </c>
      <c r="AL1748" s="246">
        <f>IFERROR(VLOOKUP(J1748,PROGRAMAS[],3,FALSE),0)</f>
        <v>2392571243.5584412</v>
      </c>
      <c r="AM1748" s="246">
        <f>IFERROR(VLOOKUP(K1748,PROGRAMAS[],3,FALSE),0)</f>
        <v>31865326.38096505</v>
      </c>
      <c r="AN1748" s="246">
        <f>IFERROR(VLOOKUP(L1748,PROGRAMAS[],3,FALSE),0)</f>
        <v>118617452.52510804</v>
      </c>
      <c r="AO1748" s="246">
        <f>IFERROR(VLOOKUP(M1748,PROGRAMAS[],3,FALSE),0)</f>
        <v>948595847.09039903</v>
      </c>
      <c r="AP1748" s="246">
        <f>IFERROR(VLOOKUP(N1748,PROGRAMAS[],3,FALSE),0)</f>
        <v>0</v>
      </c>
      <c r="AQ1748" s="246">
        <f>IFERROR(VLOOKUP(O1748,PROGRAMAS[],3,FALSE),0)</f>
        <v>0</v>
      </c>
      <c r="AR1748" s="246">
        <f>IFERROR(VLOOKUP(P1748,PROGRAMAS[],3,FALSE),0)</f>
        <v>0</v>
      </c>
      <c r="AS1748" s="246">
        <f>IFERROR(VLOOKUP(Q1748,PROGRAMAS[],3,FALSE),0)</f>
        <v>0</v>
      </c>
      <c r="AT1748" s="246">
        <f>IFERROR(VLOOKUP(D1748,VOL_REC[],2,FALSE),0)</f>
        <v>0</v>
      </c>
      <c r="AU1748" s="246">
        <f>IFERROR(VLOOKUP(E1748,VOL_REC[],2,FALSE),0)</f>
        <v>0</v>
      </c>
      <c r="AV1748" s="246">
        <f>IFERROR(VLOOKUP(F1748,VOL_REC[],2,FALSE),0)</f>
        <v>11089674.200000001</v>
      </c>
      <c r="AW1748" s="246">
        <f>IFERROR(VLOOKUP(G1748,VOL_REC[],2,FALSE),0)</f>
        <v>4325103.1812214684</v>
      </c>
      <c r="AX1748" s="246">
        <f>IFERROR(VLOOKUP(H1748,VOL_REC[],2,FALSE),0)</f>
        <v>15540036.397699751</v>
      </c>
      <c r="AY1748" s="246">
        <f>IFERROR(VLOOKUP(I1748,VOL_REC[],2,FALSE),0)</f>
        <v>240696.79238099116</v>
      </c>
      <c r="AZ1748" s="246">
        <f>IFERROR(VLOOKUP(J1748,VOL_REC[],2,FALSE),0)</f>
        <v>663244.80000000016</v>
      </c>
      <c r="BA1748" s="246">
        <f>IFERROR(VLOOKUP(K1748,VOL_REC[],2,FALSE),0)</f>
        <v>17074.045034105649</v>
      </c>
      <c r="BB1748" s="246">
        <f>IFERROR(VLOOKUP(L1748,VOL_REC[],2,FALSE),0)</f>
        <v>105072</v>
      </c>
      <c r="BC1748" s="246">
        <f>IFERROR(VLOOKUP(M1748,VOL_REC[],2,FALSE),0)</f>
        <v>740113.98115702497</v>
      </c>
      <c r="BD1748" s="246">
        <f>IFERROR(VLOOKUP(N1748,VOL_REC[],2,FALSE),0)</f>
        <v>0</v>
      </c>
      <c r="BE1748" s="246">
        <f>IFERROR(VLOOKUP(O1748,VOL_REC[],2,FALSE),0)</f>
        <v>0</v>
      </c>
      <c r="BF1748" s="246">
        <f>IFERROR(VLOOKUP(P1748,VOL_REC[],2,FALSE),0)</f>
        <v>0</v>
      </c>
      <c r="BG1748" s="246">
        <f>IFERROR(VLOOKUP(Q1748,VOL_REC[],2,FALSE),0)</f>
        <v>0</v>
      </c>
      <c r="BH1748" s="1710">
        <f t="shared" si="108"/>
        <v>18758955853.00161</v>
      </c>
      <c r="BI1748" s="1710">
        <f t="shared" si="109"/>
        <v>19616345923.380108</v>
      </c>
      <c r="BJ1748" s="1711">
        <f t="shared" si="110"/>
        <v>32721015.397493344</v>
      </c>
      <c r="BK1748" s="1711">
        <f t="shared" si="111"/>
        <v>0.95629206001324629</v>
      </c>
    </row>
    <row r="1749" spans="3:67" x14ac:dyDescent="0.25">
      <c r="C1749" s="246" t="s">
        <v>3099</v>
      </c>
      <c r="D1749" s="246">
        <v>1</v>
      </c>
      <c r="E1749" s="246">
        <v>2</v>
      </c>
      <c r="F1749" s="246">
        <v>3</v>
      </c>
      <c r="G1749" s="246">
        <v>5</v>
      </c>
      <c r="H1749" s="246">
        <v>6</v>
      </c>
      <c r="I1749" s="246">
        <v>12</v>
      </c>
      <c r="J1749" s="246">
        <v>13</v>
      </c>
      <c r="K1749" s="246">
        <v>14</v>
      </c>
      <c r="L1749" s="246">
        <v>16</v>
      </c>
      <c r="M1749" s="246">
        <v>17</v>
      </c>
      <c r="N1749" s="246"/>
      <c r="O1749" s="246"/>
      <c r="P1749" s="246"/>
      <c r="Q1749" s="246"/>
      <c r="R1749" s="246">
        <f>IFERROR(VLOOKUP(D1749,PROGRAMAS[],2,FALSE),0)</f>
        <v>97037803.679377079</v>
      </c>
      <c r="S1749" s="246">
        <f>IFERROR(VLOOKUP(E1749,PROGRAMAS[],2,FALSE),0)</f>
        <v>640501509.6821388</v>
      </c>
      <c r="T1749" s="246">
        <f>IFERROR(VLOOKUP(F1749,PROGRAMAS[],2,FALSE),0)</f>
        <v>3062327798.1525245</v>
      </c>
      <c r="U1749" s="246">
        <f>IFERROR(VLOOKUP(G1749,PROGRAMAS[],2,FALSE),0)</f>
        <v>1440941976.2528784</v>
      </c>
      <c r="V1749" s="246">
        <f>IFERROR(VLOOKUP(H1749,PROGRAMAS[],2,FALSE),0)</f>
        <v>6907648435.8447599</v>
      </c>
      <c r="W1749" s="246">
        <f>IFERROR(VLOOKUP(I1749,PROGRAMAS[],2,FALSE),0)</f>
        <v>764796700.79905891</v>
      </c>
      <c r="X1749" s="246">
        <f>IFERROR(VLOOKUP(J1749,PROGRAMAS[],2,FALSE),0)</f>
        <v>3776538594.4604583</v>
      </c>
      <c r="Y1749" s="246">
        <f>IFERROR(VLOOKUP(K1749,PROGRAMAS[],2,FALSE),0)</f>
        <v>54223862.645839565</v>
      </c>
      <c r="Z1749" s="246">
        <f>IFERROR(VLOOKUP(L1749,PROGRAMAS[],2,FALSE),0)</f>
        <v>7068496961.0436354</v>
      </c>
      <c r="AA1749" s="246">
        <f>IFERROR(VLOOKUP(M1749,PROGRAMAS[],2,FALSE),0)</f>
        <v>1892779498.5211046</v>
      </c>
      <c r="AB1749" s="246">
        <f>IFERROR(VLOOKUP(N1749,PROGRAMAS[],2,FALSE),0)</f>
        <v>0</v>
      </c>
      <c r="AC1749" s="246">
        <f>IFERROR(VLOOKUP(O1749,PROGRAMAS[],2,FALSE),0)</f>
        <v>0</v>
      </c>
      <c r="AD1749" s="246">
        <f>IFERROR(VLOOKUP(P1749,PROGRAMAS[],2,FALSE),0)</f>
        <v>0</v>
      </c>
      <c r="AE1749" s="246">
        <f>IFERROR(VLOOKUP(Q1749,PROGRAMAS[],2,FALSE),0)</f>
        <v>0</v>
      </c>
      <c r="AF1749" s="246">
        <f>IFERROR(VLOOKUP(D1749,PROGRAMAS[],3,FALSE),0)</f>
        <v>841888629.31080008</v>
      </c>
      <c r="AG1749" s="246">
        <f>IFERROR(VLOOKUP(E1749,PROGRAMAS[],3,FALSE),0)</f>
        <v>3848980803.1642323</v>
      </c>
      <c r="AH1749" s="246">
        <f>IFERROR(VLOOKUP(F1749,PROGRAMAS[],3,FALSE),0)</f>
        <v>3394901471.387517</v>
      </c>
      <c r="AI1749" s="246">
        <f>IFERROR(VLOOKUP(G1749,PROGRAMAS[],3,FALSE),0)</f>
        <v>1233505101.0616004</v>
      </c>
      <c r="AJ1749" s="246">
        <f>IFERROR(VLOOKUP(H1749,PROGRAMAS[],3,FALSE),0)</f>
        <v>6129902208.7912121</v>
      </c>
      <c r="AK1749" s="246">
        <f>IFERROR(VLOOKUP(I1749,PROGRAMAS[],3,FALSE),0)</f>
        <v>675517840.109828</v>
      </c>
      <c r="AL1749" s="246">
        <f>IFERROR(VLOOKUP(J1749,PROGRAMAS[],3,FALSE),0)</f>
        <v>2392571243.5584412</v>
      </c>
      <c r="AM1749" s="246">
        <f>IFERROR(VLOOKUP(K1749,PROGRAMAS[],3,FALSE),0)</f>
        <v>31865326.38096505</v>
      </c>
      <c r="AN1749" s="246">
        <f>IFERROR(VLOOKUP(L1749,PROGRAMAS[],3,FALSE),0)</f>
        <v>2406564599.0319901</v>
      </c>
      <c r="AO1749" s="246">
        <f>IFERROR(VLOOKUP(M1749,PROGRAMAS[],3,FALSE),0)</f>
        <v>948595847.09039903</v>
      </c>
      <c r="AP1749" s="246">
        <f>IFERROR(VLOOKUP(N1749,PROGRAMAS[],3,FALSE),0)</f>
        <v>0</v>
      </c>
      <c r="AQ1749" s="246">
        <f>IFERROR(VLOOKUP(O1749,PROGRAMAS[],3,FALSE),0)</f>
        <v>0</v>
      </c>
      <c r="AR1749" s="246">
        <f>IFERROR(VLOOKUP(P1749,PROGRAMAS[],3,FALSE),0)</f>
        <v>0</v>
      </c>
      <c r="AS1749" s="246">
        <f>IFERROR(VLOOKUP(Q1749,PROGRAMAS[],3,FALSE),0)</f>
        <v>0</v>
      </c>
      <c r="AT1749" s="246">
        <f>IFERROR(VLOOKUP(D1749,VOL_REC[],2,FALSE),0)</f>
        <v>0</v>
      </c>
      <c r="AU1749" s="246">
        <f>IFERROR(VLOOKUP(E1749,VOL_REC[],2,FALSE),0)</f>
        <v>0</v>
      </c>
      <c r="AV1749" s="246">
        <f>IFERROR(VLOOKUP(F1749,VOL_REC[],2,FALSE),0)</f>
        <v>11089674.200000001</v>
      </c>
      <c r="AW1749" s="246">
        <f>IFERROR(VLOOKUP(G1749,VOL_REC[],2,FALSE),0)</f>
        <v>4325103.1812214684</v>
      </c>
      <c r="AX1749" s="246">
        <f>IFERROR(VLOOKUP(H1749,VOL_REC[],2,FALSE),0)</f>
        <v>15540036.397699751</v>
      </c>
      <c r="AY1749" s="246">
        <f>IFERROR(VLOOKUP(I1749,VOL_REC[],2,FALSE),0)</f>
        <v>240696.79238099116</v>
      </c>
      <c r="AZ1749" s="246">
        <f>IFERROR(VLOOKUP(J1749,VOL_REC[],2,FALSE),0)</f>
        <v>663244.80000000016</v>
      </c>
      <c r="BA1749" s="246">
        <f>IFERROR(VLOOKUP(K1749,VOL_REC[],2,FALSE),0)</f>
        <v>17074.045034105649</v>
      </c>
      <c r="BB1749" s="246">
        <f>IFERROR(VLOOKUP(L1749,VOL_REC[],2,FALSE),0)</f>
        <v>1072354.9981737854</v>
      </c>
      <c r="BC1749" s="246">
        <f>IFERROR(VLOOKUP(M1749,VOL_REC[],2,FALSE),0)</f>
        <v>740113.98115702497</v>
      </c>
      <c r="BD1749" s="246">
        <f>IFERROR(VLOOKUP(N1749,VOL_REC[],2,FALSE),0)</f>
        <v>0</v>
      </c>
      <c r="BE1749" s="246">
        <f>IFERROR(VLOOKUP(O1749,VOL_REC[],2,FALSE),0)</f>
        <v>0</v>
      </c>
      <c r="BF1749" s="246">
        <f>IFERROR(VLOOKUP(P1749,VOL_REC[],2,FALSE),0)</f>
        <v>0</v>
      </c>
      <c r="BG1749" s="246">
        <f>IFERROR(VLOOKUP(Q1749,VOL_REC[],2,FALSE),0)</f>
        <v>0</v>
      </c>
      <c r="BH1749" s="1710">
        <f t="shared" si="108"/>
        <v>25705293141.081776</v>
      </c>
      <c r="BI1749" s="1710">
        <f t="shared" si="109"/>
        <v>21904293069.88699</v>
      </c>
      <c r="BJ1749" s="1711">
        <f t="shared" si="110"/>
        <v>33688298.395667128</v>
      </c>
      <c r="BK1749" s="1711">
        <f t="shared" si="111"/>
        <v>1.173527630363028</v>
      </c>
      <c r="BL1749">
        <f>BJ1749</f>
        <v>33688298.395667128</v>
      </c>
      <c r="BO1749">
        <f>BL1749</f>
        <v>33688298.395667128</v>
      </c>
    </row>
    <row r="1750" spans="3:67" x14ac:dyDescent="0.25">
      <c r="C1750" s="246" t="s">
        <v>3100</v>
      </c>
      <c r="D1750" s="246">
        <v>1</v>
      </c>
      <c r="E1750" s="246">
        <v>2</v>
      </c>
      <c r="F1750" s="246">
        <v>3</v>
      </c>
      <c r="G1750" s="246">
        <v>5</v>
      </c>
      <c r="H1750" s="246">
        <v>6</v>
      </c>
      <c r="I1750" s="246">
        <v>12</v>
      </c>
      <c r="J1750" s="246">
        <v>13</v>
      </c>
      <c r="K1750" s="246">
        <v>15</v>
      </c>
      <c r="L1750" s="246">
        <v>16</v>
      </c>
      <c r="M1750" s="246">
        <v>17</v>
      </c>
      <c r="N1750" s="246"/>
      <c r="O1750" s="246"/>
      <c r="P1750" s="246"/>
      <c r="Q1750" s="246"/>
      <c r="R1750" s="246">
        <f>IFERROR(VLOOKUP(D1750,PROGRAMAS[],2,FALSE),0)</f>
        <v>97037803.679377079</v>
      </c>
      <c r="S1750" s="246">
        <f>IFERROR(VLOOKUP(E1750,PROGRAMAS[],2,FALSE),0)</f>
        <v>640501509.6821388</v>
      </c>
      <c r="T1750" s="246">
        <f>IFERROR(VLOOKUP(F1750,PROGRAMAS[],2,FALSE),0)</f>
        <v>3062327798.1525245</v>
      </c>
      <c r="U1750" s="246">
        <f>IFERROR(VLOOKUP(G1750,PROGRAMAS[],2,FALSE),0)</f>
        <v>1440941976.2528784</v>
      </c>
      <c r="V1750" s="246">
        <f>IFERROR(VLOOKUP(H1750,PROGRAMAS[],2,FALSE),0)</f>
        <v>6907648435.8447599</v>
      </c>
      <c r="W1750" s="246">
        <f>IFERROR(VLOOKUP(I1750,PROGRAMAS[],2,FALSE),0)</f>
        <v>764796700.79905891</v>
      </c>
      <c r="X1750" s="246">
        <f>IFERROR(VLOOKUP(J1750,PROGRAMAS[],2,FALSE),0)</f>
        <v>3776538594.4604583</v>
      </c>
      <c r="Y1750" s="246">
        <f>IFERROR(VLOOKUP(K1750,PROGRAMAS[],2,FALSE),0)</f>
        <v>122159672.96346797</v>
      </c>
      <c r="Z1750" s="246">
        <f>IFERROR(VLOOKUP(L1750,PROGRAMAS[],2,FALSE),0)</f>
        <v>7068496961.0436354</v>
      </c>
      <c r="AA1750" s="246">
        <f>IFERROR(VLOOKUP(M1750,PROGRAMAS[],2,FALSE),0)</f>
        <v>1892779498.5211046</v>
      </c>
      <c r="AB1750" s="246">
        <f>IFERROR(VLOOKUP(N1750,PROGRAMAS[],2,FALSE),0)</f>
        <v>0</v>
      </c>
      <c r="AC1750" s="246">
        <f>IFERROR(VLOOKUP(O1750,PROGRAMAS[],2,FALSE),0)</f>
        <v>0</v>
      </c>
      <c r="AD1750" s="246">
        <f>IFERROR(VLOOKUP(P1750,PROGRAMAS[],2,FALSE),0)</f>
        <v>0</v>
      </c>
      <c r="AE1750" s="246">
        <f>IFERROR(VLOOKUP(Q1750,PROGRAMAS[],2,FALSE),0)</f>
        <v>0</v>
      </c>
      <c r="AF1750" s="246">
        <f>IFERROR(VLOOKUP(D1750,PROGRAMAS[],3,FALSE),0)</f>
        <v>841888629.31080008</v>
      </c>
      <c r="AG1750" s="246">
        <f>IFERROR(VLOOKUP(E1750,PROGRAMAS[],3,FALSE),0)</f>
        <v>3848980803.1642323</v>
      </c>
      <c r="AH1750" s="246">
        <f>IFERROR(VLOOKUP(F1750,PROGRAMAS[],3,FALSE),0)</f>
        <v>3394901471.387517</v>
      </c>
      <c r="AI1750" s="246">
        <f>IFERROR(VLOOKUP(G1750,PROGRAMAS[],3,FALSE),0)</f>
        <v>1233505101.0616004</v>
      </c>
      <c r="AJ1750" s="246">
        <f>IFERROR(VLOOKUP(H1750,PROGRAMAS[],3,FALSE),0)</f>
        <v>6129902208.7912121</v>
      </c>
      <c r="AK1750" s="246">
        <f>IFERROR(VLOOKUP(I1750,PROGRAMAS[],3,FALSE),0)</f>
        <v>675517840.109828</v>
      </c>
      <c r="AL1750" s="246">
        <f>IFERROR(VLOOKUP(J1750,PROGRAMAS[],3,FALSE),0)</f>
        <v>2392571243.5584412</v>
      </c>
      <c r="AM1750" s="246">
        <f>IFERROR(VLOOKUP(K1750,PROGRAMAS[],3,FALSE),0)</f>
        <v>118617452.52510804</v>
      </c>
      <c r="AN1750" s="246">
        <f>IFERROR(VLOOKUP(L1750,PROGRAMAS[],3,FALSE),0)</f>
        <v>2406564599.0319901</v>
      </c>
      <c r="AO1750" s="246">
        <f>IFERROR(VLOOKUP(M1750,PROGRAMAS[],3,FALSE),0)</f>
        <v>948595847.09039903</v>
      </c>
      <c r="AP1750" s="246">
        <f>IFERROR(VLOOKUP(N1750,PROGRAMAS[],3,FALSE),0)</f>
        <v>0</v>
      </c>
      <c r="AQ1750" s="246">
        <f>IFERROR(VLOOKUP(O1750,PROGRAMAS[],3,FALSE),0)</f>
        <v>0</v>
      </c>
      <c r="AR1750" s="246">
        <f>IFERROR(VLOOKUP(P1750,PROGRAMAS[],3,FALSE),0)</f>
        <v>0</v>
      </c>
      <c r="AS1750" s="246">
        <f>IFERROR(VLOOKUP(Q1750,PROGRAMAS[],3,FALSE),0)</f>
        <v>0</v>
      </c>
      <c r="AT1750" s="246">
        <f>IFERROR(VLOOKUP(D1750,VOL_REC[],2,FALSE),0)</f>
        <v>0</v>
      </c>
      <c r="AU1750" s="246">
        <f>IFERROR(VLOOKUP(E1750,VOL_REC[],2,FALSE),0)</f>
        <v>0</v>
      </c>
      <c r="AV1750" s="246">
        <f>IFERROR(VLOOKUP(F1750,VOL_REC[],2,FALSE),0)</f>
        <v>11089674.200000001</v>
      </c>
      <c r="AW1750" s="246">
        <f>IFERROR(VLOOKUP(G1750,VOL_REC[],2,FALSE),0)</f>
        <v>4325103.1812214684</v>
      </c>
      <c r="AX1750" s="246">
        <f>IFERROR(VLOOKUP(H1750,VOL_REC[],2,FALSE),0)</f>
        <v>15540036.397699751</v>
      </c>
      <c r="AY1750" s="246">
        <f>IFERROR(VLOOKUP(I1750,VOL_REC[],2,FALSE),0)</f>
        <v>240696.79238099116</v>
      </c>
      <c r="AZ1750" s="246">
        <f>IFERROR(VLOOKUP(J1750,VOL_REC[],2,FALSE),0)</f>
        <v>663244.80000000016</v>
      </c>
      <c r="BA1750" s="246">
        <f>IFERROR(VLOOKUP(K1750,VOL_REC[],2,FALSE),0)</f>
        <v>105072</v>
      </c>
      <c r="BB1750" s="246">
        <f>IFERROR(VLOOKUP(L1750,VOL_REC[],2,FALSE),0)</f>
        <v>1072354.9981737854</v>
      </c>
      <c r="BC1750" s="246">
        <f>IFERROR(VLOOKUP(M1750,VOL_REC[],2,FALSE),0)</f>
        <v>740113.98115702497</v>
      </c>
      <c r="BD1750" s="246">
        <f>IFERROR(VLOOKUP(N1750,VOL_REC[],2,FALSE),0)</f>
        <v>0</v>
      </c>
      <c r="BE1750" s="246">
        <f>IFERROR(VLOOKUP(O1750,VOL_REC[],2,FALSE),0)</f>
        <v>0</v>
      </c>
      <c r="BF1750" s="246">
        <f>IFERROR(VLOOKUP(P1750,VOL_REC[],2,FALSE),0)</f>
        <v>0</v>
      </c>
      <c r="BG1750" s="246">
        <f>IFERROR(VLOOKUP(Q1750,VOL_REC[],2,FALSE),0)</f>
        <v>0</v>
      </c>
      <c r="BH1750" s="1710">
        <f t="shared" si="108"/>
        <v>25773228951.399403</v>
      </c>
      <c r="BI1750" s="1710">
        <f t="shared" si="109"/>
        <v>21991045196.031132</v>
      </c>
      <c r="BJ1750" s="1711">
        <f t="shared" si="110"/>
        <v>33776296.350633025</v>
      </c>
      <c r="BK1750" s="1711">
        <f t="shared" si="111"/>
        <v>1.1719874486025279</v>
      </c>
      <c r="BL1750">
        <f>BJ1750</f>
        <v>33776296.350633025</v>
      </c>
      <c r="BO1750">
        <f>BL1750</f>
        <v>33776296.350633025</v>
      </c>
    </row>
    <row r="1751" spans="3:67" x14ac:dyDescent="0.25">
      <c r="C1751" s="246" t="s">
        <v>3101</v>
      </c>
      <c r="D1751" s="246">
        <v>1</v>
      </c>
      <c r="E1751" s="246">
        <v>2</v>
      </c>
      <c r="F1751" s="246">
        <v>3</v>
      </c>
      <c r="G1751" s="246">
        <v>5</v>
      </c>
      <c r="H1751" s="246">
        <v>6</v>
      </c>
      <c r="I1751" s="246">
        <v>12</v>
      </c>
      <c r="J1751" s="246">
        <v>14</v>
      </c>
      <c r="K1751" s="246">
        <v>15</v>
      </c>
      <c r="L1751" s="246">
        <v>16</v>
      </c>
      <c r="M1751" s="246">
        <v>17</v>
      </c>
      <c r="N1751" s="246"/>
      <c r="O1751" s="246"/>
      <c r="P1751" s="246"/>
      <c r="Q1751" s="246"/>
      <c r="R1751" s="246">
        <f>IFERROR(VLOOKUP(D1751,PROGRAMAS[],2,FALSE),0)</f>
        <v>97037803.679377079</v>
      </c>
      <c r="S1751" s="246">
        <f>IFERROR(VLOOKUP(E1751,PROGRAMAS[],2,FALSE),0)</f>
        <v>640501509.6821388</v>
      </c>
      <c r="T1751" s="246">
        <f>IFERROR(VLOOKUP(F1751,PROGRAMAS[],2,FALSE),0)</f>
        <v>3062327798.1525245</v>
      </c>
      <c r="U1751" s="246">
        <f>IFERROR(VLOOKUP(G1751,PROGRAMAS[],2,FALSE),0)</f>
        <v>1440941976.2528784</v>
      </c>
      <c r="V1751" s="246">
        <f>IFERROR(VLOOKUP(H1751,PROGRAMAS[],2,FALSE),0)</f>
        <v>6907648435.8447599</v>
      </c>
      <c r="W1751" s="246">
        <f>IFERROR(VLOOKUP(I1751,PROGRAMAS[],2,FALSE),0)</f>
        <v>764796700.79905891</v>
      </c>
      <c r="X1751" s="246">
        <f>IFERROR(VLOOKUP(J1751,PROGRAMAS[],2,FALSE),0)</f>
        <v>54223862.645839565</v>
      </c>
      <c r="Y1751" s="246">
        <f>IFERROR(VLOOKUP(K1751,PROGRAMAS[],2,FALSE),0)</f>
        <v>122159672.96346797</v>
      </c>
      <c r="Z1751" s="246">
        <f>IFERROR(VLOOKUP(L1751,PROGRAMAS[],2,FALSE),0)</f>
        <v>7068496961.0436354</v>
      </c>
      <c r="AA1751" s="246">
        <f>IFERROR(VLOOKUP(M1751,PROGRAMAS[],2,FALSE),0)</f>
        <v>1892779498.5211046</v>
      </c>
      <c r="AB1751" s="246">
        <f>IFERROR(VLOOKUP(N1751,PROGRAMAS[],2,FALSE),0)</f>
        <v>0</v>
      </c>
      <c r="AC1751" s="246">
        <f>IFERROR(VLOOKUP(O1751,PROGRAMAS[],2,FALSE),0)</f>
        <v>0</v>
      </c>
      <c r="AD1751" s="246">
        <f>IFERROR(VLOOKUP(P1751,PROGRAMAS[],2,FALSE),0)</f>
        <v>0</v>
      </c>
      <c r="AE1751" s="246">
        <f>IFERROR(VLOOKUP(Q1751,PROGRAMAS[],2,FALSE),0)</f>
        <v>0</v>
      </c>
      <c r="AF1751" s="246">
        <f>IFERROR(VLOOKUP(D1751,PROGRAMAS[],3,FALSE),0)</f>
        <v>841888629.31080008</v>
      </c>
      <c r="AG1751" s="246">
        <f>IFERROR(VLOOKUP(E1751,PROGRAMAS[],3,FALSE),0)</f>
        <v>3848980803.1642323</v>
      </c>
      <c r="AH1751" s="246">
        <f>IFERROR(VLOOKUP(F1751,PROGRAMAS[],3,FALSE),0)</f>
        <v>3394901471.387517</v>
      </c>
      <c r="AI1751" s="246">
        <f>IFERROR(VLOOKUP(G1751,PROGRAMAS[],3,FALSE),0)</f>
        <v>1233505101.0616004</v>
      </c>
      <c r="AJ1751" s="246">
        <f>IFERROR(VLOOKUP(H1751,PROGRAMAS[],3,FALSE),0)</f>
        <v>6129902208.7912121</v>
      </c>
      <c r="AK1751" s="246">
        <f>IFERROR(VLOOKUP(I1751,PROGRAMAS[],3,FALSE),0)</f>
        <v>675517840.109828</v>
      </c>
      <c r="AL1751" s="246">
        <f>IFERROR(VLOOKUP(J1751,PROGRAMAS[],3,FALSE),0)</f>
        <v>31865326.38096505</v>
      </c>
      <c r="AM1751" s="246">
        <f>IFERROR(VLOOKUP(K1751,PROGRAMAS[],3,FALSE),0)</f>
        <v>118617452.52510804</v>
      </c>
      <c r="AN1751" s="246">
        <f>IFERROR(VLOOKUP(L1751,PROGRAMAS[],3,FALSE),0)</f>
        <v>2406564599.0319901</v>
      </c>
      <c r="AO1751" s="246">
        <f>IFERROR(VLOOKUP(M1751,PROGRAMAS[],3,FALSE),0)</f>
        <v>948595847.09039903</v>
      </c>
      <c r="AP1751" s="246">
        <f>IFERROR(VLOOKUP(N1751,PROGRAMAS[],3,FALSE),0)</f>
        <v>0</v>
      </c>
      <c r="AQ1751" s="246">
        <f>IFERROR(VLOOKUP(O1751,PROGRAMAS[],3,FALSE),0)</f>
        <v>0</v>
      </c>
      <c r="AR1751" s="246">
        <f>IFERROR(VLOOKUP(P1751,PROGRAMAS[],3,FALSE),0)</f>
        <v>0</v>
      </c>
      <c r="AS1751" s="246">
        <f>IFERROR(VLOOKUP(Q1751,PROGRAMAS[],3,FALSE),0)</f>
        <v>0</v>
      </c>
      <c r="AT1751" s="246">
        <f>IFERROR(VLOOKUP(D1751,VOL_REC[],2,FALSE),0)</f>
        <v>0</v>
      </c>
      <c r="AU1751" s="246">
        <f>IFERROR(VLOOKUP(E1751,VOL_REC[],2,FALSE),0)</f>
        <v>0</v>
      </c>
      <c r="AV1751" s="246">
        <f>IFERROR(VLOOKUP(F1751,VOL_REC[],2,FALSE),0)</f>
        <v>11089674.200000001</v>
      </c>
      <c r="AW1751" s="246">
        <f>IFERROR(VLOOKUP(G1751,VOL_REC[],2,FALSE),0)</f>
        <v>4325103.1812214684</v>
      </c>
      <c r="AX1751" s="246">
        <f>IFERROR(VLOOKUP(H1751,VOL_REC[],2,FALSE),0)</f>
        <v>15540036.397699751</v>
      </c>
      <c r="AY1751" s="246">
        <f>IFERROR(VLOOKUP(I1751,VOL_REC[],2,FALSE),0)</f>
        <v>240696.79238099116</v>
      </c>
      <c r="AZ1751" s="246">
        <f>IFERROR(VLOOKUP(J1751,VOL_REC[],2,FALSE),0)</f>
        <v>17074.045034105649</v>
      </c>
      <c r="BA1751" s="246">
        <f>IFERROR(VLOOKUP(K1751,VOL_REC[],2,FALSE),0)</f>
        <v>105072</v>
      </c>
      <c r="BB1751" s="246">
        <f>IFERROR(VLOOKUP(L1751,VOL_REC[],2,FALSE),0)</f>
        <v>1072354.9981737854</v>
      </c>
      <c r="BC1751" s="246">
        <f>IFERROR(VLOOKUP(M1751,VOL_REC[],2,FALSE),0)</f>
        <v>740113.98115702497</v>
      </c>
      <c r="BD1751" s="246">
        <f>IFERROR(VLOOKUP(N1751,VOL_REC[],2,FALSE),0)</f>
        <v>0</v>
      </c>
      <c r="BE1751" s="246">
        <f>IFERROR(VLOOKUP(O1751,VOL_REC[],2,FALSE),0)</f>
        <v>0</v>
      </c>
      <c r="BF1751" s="246">
        <f>IFERROR(VLOOKUP(P1751,VOL_REC[],2,FALSE),0)</f>
        <v>0</v>
      </c>
      <c r="BG1751" s="246">
        <f>IFERROR(VLOOKUP(Q1751,VOL_REC[],2,FALSE),0)</f>
        <v>0</v>
      </c>
      <c r="BH1751" s="1710">
        <f t="shared" si="108"/>
        <v>22050914219.584785</v>
      </c>
      <c r="BI1751" s="1710">
        <f t="shared" si="109"/>
        <v>19630339278.853653</v>
      </c>
      <c r="BJ1751" s="1711">
        <f t="shared" si="110"/>
        <v>33130125.595667128</v>
      </c>
      <c r="BK1751" s="1711">
        <f t="shared" si="111"/>
        <v>1.1233078504831877</v>
      </c>
      <c r="BL1751">
        <f>BJ1751</f>
        <v>33130125.595667128</v>
      </c>
      <c r="BO1751">
        <f>BL1751</f>
        <v>33130125.595667128</v>
      </c>
    </row>
    <row r="1752" spans="3:67" x14ac:dyDescent="0.25">
      <c r="C1752" s="246" t="s">
        <v>3102</v>
      </c>
      <c r="D1752" s="246">
        <v>1</v>
      </c>
      <c r="E1752" s="246">
        <v>2</v>
      </c>
      <c r="F1752" s="246">
        <v>3</v>
      </c>
      <c r="G1752" s="246">
        <v>5</v>
      </c>
      <c r="H1752" s="246">
        <v>6</v>
      </c>
      <c r="I1752" s="246">
        <v>13</v>
      </c>
      <c r="J1752" s="246">
        <v>14</v>
      </c>
      <c r="K1752" s="246">
        <v>15</v>
      </c>
      <c r="L1752" s="246">
        <v>16</v>
      </c>
      <c r="M1752" s="246">
        <v>17</v>
      </c>
      <c r="N1752" s="246"/>
      <c r="O1752" s="246"/>
      <c r="P1752" s="246"/>
      <c r="Q1752" s="246"/>
      <c r="R1752" s="246">
        <f>IFERROR(VLOOKUP(D1752,PROGRAMAS[],2,FALSE),0)</f>
        <v>97037803.679377079</v>
      </c>
      <c r="S1752" s="246">
        <f>IFERROR(VLOOKUP(E1752,PROGRAMAS[],2,FALSE),0)</f>
        <v>640501509.6821388</v>
      </c>
      <c r="T1752" s="246">
        <f>IFERROR(VLOOKUP(F1752,PROGRAMAS[],2,FALSE),0)</f>
        <v>3062327798.1525245</v>
      </c>
      <c r="U1752" s="246">
        <f>IFERROR(VLOOKUP(G1752,PROGRAMAS[],2,FALSE),0)</f>
        <v>1440941976.2528784</v>
      </c>
      <c r="V1752" s="246">
        <f>IFERROR(VLOOKUP(H1752,PROGRAMAS[],2,FALSE),0)</f>
        <v>6907648435.8447599</v>
      </c>
      <c r="W1752" s="246">
        <f>IFERROR(VLOOKUP(I1752,PROGRAMAS[],2,FALSE),0)</f>
        <v>3776538594.4604583</v>
      </c>
      <c r="X1752" s="246">
        <f>IFERROR(VLOOKUP(J1752,PROGRAMAS[],2,FALSE),0)</f>
        <v>54223862.645839565</v>
      </c>
      <c r="Y1752" s="246">
        <f>IFERROR(VLOOKUP(K1752,PROGRAMAS[],2,FALSE),0)</f>
        <v>122159672.96346797</v>
      </c>
      <c r="Z1752" s="246">
        <f>IFERROR(VLOOKUP(L1752,PROGRAMAS[],2,FALSE),0)</f>
        <v>7068496961.0436354</v>
      </c>
      <c r="AA1752" s="246">
        <f>IFERROR(VLOOKUP(M1752,PROGRAMAS[],2,FALSE),0)</f>
        <v>1892779498.5211046</v>
      </c>
      <c r="AB1752" s="246">
        <f>IFERROR(VLOOKUP(N1752,PROGRAMAS[],2,FALSE),0)</f>
        <v>0</v>
      </c>
      <c r="AC1752" s="246">
        <f>IFERROR(VLOOKUP(O1752,PROGRAMAS[],2,FALSE),0)</f>
        <v>0</v>
      </c>
      <c r="AD1752" s="246">
        <f>IFERROR(VLOOKUP(P1752,PROGRAMAS[],2,FALSE),0)</f>
        <v>0</v>
      </c>
      <c r="AE1752" s="246">
        <f>IFERROR(VLOOKUP(Q1752,PROGRAMAS[],2,FALSE),0)</f>
        <v>0</v>
      </c>
      <c r="AF1752" s="246">
        <f>IFERROR(VLOOKUP(D1752,PROGRAMAS[],3,FALSE),0)</f>
        <v>841888629.31080008</v>
      </c>
      <c r="AG1752" s="246">
        <f>IFERROR(VLOOKUP(E1752,PROGRAMAS[],3,FALSE),0)</f>
        <v>3848980803.1642323</v>
      </c>
      <c r="AH1752" s="246">
        <f>IFERROR(VLOOKUP(F1752,PROGRAMAS[],3,FALSE),0)</f>
        <v>3394901471.387517</v>
      </c>
      <c r="AI1752" s="246">
        <f>IFERROR(VLOOKUP(G1752,PROGRAMAS[],3,FALSE),0)</f>
        <v>1233505101.0616004</v>
      </c>
      <c r="AJ1752" s="246">
        <f>IFERROR(VLOOKUP(H1752,PROGRAMAS[],3,FALSE),0)</f>
        <v>6129902208.7912121</v>
      </c>
      <c r="AK1752" s="246">
        <f>IFERROR(VLOOKUP(I1752,PROGRAMAS[],3,FALSE),0)</f>
        <v>2392571243.5584412</v>
      </c>
      <c r="AL1752" s="246">
        <f>IFERROR(VLOOKUP(J1752,PROGRAMAS[],3,FALSE),0)</f>
        <v>31865326.38096505</v>
      </c>
      <c r="AM1752" s="246">
        <f>IFERROR(VLOOKUP(K1752,PROGRAMAS[],3,FALSE),0)</f>
        <v>118617452.52510804</v>
      </c>
      <c r="AN1752" s="246">
        <f>IFERROR(VLOOKUP(L1752,PROGRAMAS[],3,FALSE),0)</f>
        <v>2406564599.0319901</v>
      </c>
      <c r="AO1752" s="246">
        <f>IFERROR(VLOOKUP(M1752,PROGRAMAS[],3,FALSE),0)</f>
        <v>948595847.09039903</v>
      </c>
      <c r="AP1752" s="246">
        <f>IFERROR(VLOOKUP(N1752,PROGRAMAS[],3,FALSE),0)</f>
        <v>0</v>
      </c>
      <c r="AQ1752" s="246">
        <f>IFERROR(VLOOKUP(O1752,PROGRAMAS[],3,FALSE),0)</f>
        <v>0</v>
      </c>
      <c r="AR1752" s="246">
        <f>IFERROR(VLOOKUP(P1752,PROGRAMAS[],3,FALSE),0)</f>
        <v>0</v>
      </c>
      <c r="AS1752" s="246">
        <f>IFERROR(VLOOKUP(Q1752,PROGRAMAS[],3,FALSE),0)</f>
        <v>0</v>
      </c>
      <c r="AT1752" s="246">
        <f>IFERROR(VLOOKUP(D1752,VOL_REC[],2,FALSE),0)</f>
        <v>0</v>
      </c>
      <c r="AU1752" s="246">
        <f>IFERROR(VLOOKUP(E1752,VOL_REC[],2,FALSE),0)</f>
        <v>0</v>
      </c>
      <c r="AV1752" s="246">
        <f>IFERROR(VLOOKUP(F1752,VOL_REC[],2,FALSE),0)</f>
        <v>11089674.200000001</v>
      </c>
      <c r="AW1752" s="246">
        <f>IFERROR(VLOOKUP(G1752,VOL_REC[],2,FALSE),0)</f>
        <v>4325103.1812214684</v>
      </c>
      <c r="AX1752" s="246">
        <f>IFERROR(VLOOKUP(H1752,VOL_REC[],2,FALSE),0)</f>
        <v>15540036.397699751</v>
      </c>
      <c r="AY1752" s="246">
        <f>IFERROR(VLOOKUP(I1752,VOL_REC[],2,FALSE),0)</f>
        <v>663244.80000000016</v>
      </c>
      <c r="AZ1752" s="246">
        <f>IFERROR(VLOOKUP(J1752,VOL_REC[],2,FALSE),0)</f>
        <v>17074.045034105649</v>
      </c>
      <c r="BA1752" s="246">
        <f>IFERROR(VLOOKUP(K1752,VOL_REC[],2,FALSE),0)</f>
        <v>105072</v>
      </c>
      <c r="BB1752" s="246">
        <f>IFERROR(VLOOKUP(L1752,VOL_REC[],2,FALSE),0)</f>
        <v>1072354.9981737854</v>
      </c>
      <c r="BC1752" s="246">
        <f>IFERROR(VLOOKUP(M1752,VOL_REC[],2,FALSE),0)</f>
        <v>740113.98115702497</v>
      </c>
      <c r="BD1752" s="246">
        <f>IFERROR(VLOOKUP(N1752,VOL_REC[],2,FALSE),0)</f>
        <v>0</v>
      </c>
      <c r="BE1752" s="246">
        <f>IFERROR(VLOOKUP(O1752,VOL_REC[],2,FALSE),0)</f>
        <v>0</v>
      </c>
      <c r="BF1752" s="246">
        <f>IFERROR(VLOOKUP(P1752,VOL_REC[],2,FALSE),0)</f>
        <v>0</v>
      </c>
      <c r="BG1752" s="246">
        <f>IFERROR(VLOOKUP(Q1752,VOL_REC[],2,FALSE),0)</f>
        <v>0</v>
      </c>
      <c r="BH1752" s="1710">
        <f t="shared" si="108"/>
        <v>25062656113.246185</v>
      </c>
      <c r="BI1752" s="1710">
        <f t="shared" si="109"/>
        <v>21347392682.302269</v>
      </c>
      <c r="BJ1752" s="1711">
        <f t="shared" si="110"/>
        <v>33552673.603286136</v>
      </c>
      <c r="BK1752" s="1711">
        <f t="shared" si="111"/>
        <v>1.1740382765350075</v>
      </c>
      <c r="BL1752">
        <f>BJ1752</f>
        <v>33552673.603286136</v>
      </c>
      <c r="BO1752">
        <f>BL1752</f>
        <v>33552673.603286136</v>
      </c>
    </row>
    <row r="1753" spans="3:67" x14ac:dyDescent="0.25">
      <c r="C1753" s="246" t="s">
        <v>3103</v>
      </c>
      <c r="D1753" s="246">
        <v>1</v>
      </c>
      <c r="E1753" s="246">
        <v>2</v>
      </c>
      <c r="F1753" s="246">
        <v>3</v>
      </c>
      <c r="G1753" s="246">
        <v>5</v>
      </c>
      <c r="H1753" s="246">
        <v>9</v>
      </c>
      <c r="I1753" s="246">
        <v>10</v>
      </c>
      <c r="J1753" s="246">
        <v>12</v>
      </c>
      <c r="K1753" s="246">
        <v>13</v>
      </c>
      <c r="L1753" s="246">
        <v>14</v>
      </c>
      <c r="M1753" s="246">
        <v>15</v>
      </c>
      <c r="N1753" s="246"/>
      <c r="O1753" s="246"/>
      <c r="P1753" s="246"/>
      <c r="Q1753" s="246"/>
      <c r="R1753" s="246">
        <f>IFERROR(VLOOKUP(D1753,PROGRAMAS[],2,FALSE),0)</f>
        <v>97037803.679377079</v>
      </c>
      <c r="S1753" s="246">
        <f>IFERROR(VLOOKUP(E1753,PROGRAMAS[],2,FALSE),0)</f>
        <v>640501509.6821388</v>
      </c>
      <c r="T1753" s="246">
        <f>IFERROR(VLOOKUP(F1753,PROGRAMAS[],2,FALSE),0)</f>
        <v>3062327798.1525245</v>
      </c>
      <c r="U1753" s="246">
        <f>IFERROR(VLOOKUP(G1753,PROGRAMAS[],2,FALSE),0)</f>
        <v>1440941976.2528784</v>
      </c>
      <c r="V1753" s="246">
        <f>IFERROR(VLOOKUP(H1753,PROGRAMAS[],2,FALSE),0)</f>
        <v>6128579952.1618185</v>
      </c>
      <c r="W1753" s="246">
        <f>IFERROR(VLOOKUP(I1753,PROGRAMAS[],2,FALSE),0)</f>
        <v>4635315027.8751087</v>
      </c>
      <c r="X1753" s="246">
        <f>IFERROR(VLOOKUP(J1753,PROGRAMAS[],2,FALSE),0)</f>
        <v>764796700.79905891</v>
      </c>
      <c r="Y1753" s="246">
        <f>IFERROR(VLOOKUP(K1753,PROGRAMAS[],2,FALSE),0)</f>
        <v>3776538594.4604583</v>
      </c>
      <c r="Z1753" s="246">
        <f>IFERROR(VLOOKUP(L1753,PROGRAMAS[],2,FALSE),0)</f>
        <v>54223862.645839565</v>
      </c>
      <c r="AA1753" s="246">
        <f>IFERROR(VLOOKUP(M1753,PROGRAMAS[],2,FALSE),0)</f>
        <v>122159672.96346797</v>
      </c>
      <c r="AB1753" s="246">
        <f>IFERROR(VLOOKUP(N1753,PROGRAMAS[],2,FALSE),0)</f>
        <v>0</v>
      </c>
      <c r="AC1753" s="246">
        <f>IFERROR(VLOOKUP(O1753,PROGRAMAS[],2,FALSE),0)</f>
        <v>0</v>
      </c>
      <c r="AD1753" s="246">
        <f>IFERROR(VLOOKUP(P1753,PROGRAMAS[],2,FALSE),0)</f>
        <v>0</v>
      </c>
      <c r="AE1753" s="246">
        <f>IFERROR(VLOOKUP(Q1753,PROGRAMAS[],2,FALSE),0)</f>
        <v>0</v>
      </c>
      <c r="AF1753" s="246">
        <f>IFERROR(VLOOKUP(D1753,PROGRAMAS[],3,FALSE),0)</f>
        <v>841888629.31080008</v>
      </c>
      <c r="AG1753" s="246">
        <f>IFERROR(VLOOKUP(E1753,PROGRAMAS[],3,FALSE),0)</f>
        <v>3848980803.1642323</v>
      </c>
      <c r="AH1753" s="246">
        <f>IFERROR(VLOOKUP(F1753,PROGRAMAS[],3,FALSE),0)</f>
        <v>3394901471.387517</v>
      </c>
      <c r="AI1753" s="246">
        <f>IFERROR(VLOOKUP(G1753,PROGRAMAS[],3,FALSE),0)</f>
        <v>1233505101.0616004</v>
      </c>
      <c r="AJ1753" s="246">
        <f>IFERROR(VLOOKUP(H1753,PROGRAMAS[],3,FALSE),0)</f>
        <v>7011279577.519702</v>
      </c>
      <c r="AK1753" s="246">
        <f>IFERROR(VLOOKUP(I1753,PROGRAMAS[],3,FALSE),0)</f>
        <v>4099471734.9978786</v>
      </c>
      <c r="AL1753" s="246">
        <f>IFERROR(VLOOKUP(J1753,PROGRAMAS[],3,FALSE),0)</f>
        <v>675517840.109828</v>
      </c>
      <c r="AM1753" s="246">
        <f>IFERROR(VLOOKUP(K1753,PROGRAMAS[],3,FALSE),0)</f>
        <v>2392571243.5584412</v>
      </c>
      <c r="AN1753" s="246">
        <f>IFERROR(VLOOKUP(L1753,PROGRAMAS[],3,FALSE),0)</f>
        <v>31865326.38096505</v>
      </c>
      <c r="AO1753" s="246">
        <f>IFERROR(VLOOKUP(M1753,PROGRAMAS[],3,FALSE),0)</f>
        <v>118617452.52510804</v>
      </c>
      <c r="AP1753" s="246">
        <f>IFERROR(VLOOKUP(N1753,PROGRAMAS[],3,FALSE),0)</f>
        <v>0</v>
      </c>
      <c r="AQ1753" s="246">
        <f>IFERROR(VLOOKUP(O1753,PROGRAMAS[],3,FALSE),0)</f>
        <v>0</v>
      </c>
      <c r="AR1753" s="246">
        <f>IFERROR(VLOOKUP(P1753,PROGRAMAS[],3,FALSE),0)</f>
        <v>0</v>
      </c>
      <c r="AS1753" s="246">
        <f>IFERROR(VLOOKUP(Q1753,PROGRAMAS[],3,FALSE),0)</f>
        <v>0</v>
      </c>
      <c r="AT1753" s="246">
        <f>IFERROR(VLOOKUP(D1753,VOL_REC[],2,FALSE),0)</f>
        <v>0</v>
      </c>
      <c r="AU1753" s="246">
        <f>IFERROR(VLOOKUP(E1753,VOL_REC[],2,FALSE),0)</f>
        <v>0</v>
      </c>
      <c r="AV1753" s="246">
        <f>IFERROR(VLOOKUP(F1753,VOL_REC[],2,FALSE),0)</f>
        <v>11089674.200000001</v>
      </c>
      <c r="AW1753" s="246">
        <f>IFERROR(VLOOKUP(G1753,VOL_REC[],2,FALSE),0)</f>
        <v>4325103.1812214684</v>
      </c>
      <c r="AX1753" s="246">
        <f>IFERROR(VLOOKUP(H1753,VOL_REC[],2,FALSE),0)</f>
        <v>3761786</v>
      </c>
      <c r="AY1753" s="246">
        <f>IFERROR(VLOOKUP(I1753,VOL_REC[],2,FALSE),0)</f>
        <v>1812240</v>
      </c>
      <c r="AZ1753" s="246">
        <f>IFERROR(VLOOKUP(J1753,VOL_REC[],2,FALSE),0)</f>
        <v>240696.79238099116</v>
      </c>
      <c r="BA1753" s="246">
        <f>IFERROR(VLOOKUP(K1753,VOL_REC[],2,FALSE),0)</f>
        <v>663244.80000000016</v>
      </c>
      <c r="BB1753" s="246">
        <f>IFERROR(VLOOKUP(L1753,VOL_REC[],2,FALSE),0)</f>
        <v>17074.045034105649</v>
      </c>
      <c r="BC1753" s="246">
        <f>IFERROR(VLOOKUP(M1753,VOL_REC[],2,FALSE),0)</f>
        <v>105072</v>
      </c>
      <c r="BD1753" s="246">
        <f>IFERROR(VLOOKUP(N1753,VOL_REC[],2,FALSE),0)</f>
        <v>0</v>
      </c>
      <c r="BE1753" s="246">
        <f>IFERROR(VLOOKUP(O1753,VOL_REC[],2,FALSE),0)</f>
        <v>0</v>
      </c>
      <c r="BF1753" s="246">
        <f>IFERROR(VLOOKUP(P1753,VOL_REC[],2,FALSE),0)</f>
        <v>0</v>
      </c>
      <c r="BG1753" s="246">
        <f>IFERROR(VLOOKUP(Q1753,VOL_REC[],2,FALSE),0)</f>
        <v>0</v>
      </c>
      <c r="BH1753" s="1710">
        <f t="shared" si="108"/>
        <v>20722422898.672668</v>
      </c>
      <c r="BI1753" s="1710">
        <f t="shared" si="109"/>
        <v>23648599180.016075</v>
      </c>
      <c r="BJ1753" s="1711">
        <f t="shared" si="110"/>
        <v>22014891.018636569</v>
      </c>
      <c r="BK1753" s="1711">
        <f t="shared" si="111"/>
        <v>0.87626428698507719</v>
      </c>
    </row>
    <row r="1754" spans="3:67" x14ac:dyDescent="0.25">
      <c r="C1754" s="246" t="s">
        <v>3104</v>
      </c>
      <c r="D1754" s="246">
        <v>1</v>
      </c>
      <c r="E1754" s="246">
        <v>2</v>
      </c>
      <c r="F1754" s="246">
        <v>3</v>
      </c>
      <c r="G1754" s="246">
        <v>5</v>
      </c>
      <c r="H1754" s="246">
        <v>9</v>
      </c>
      <c r="I1754" s="246">
        <v>10</v>
      </c>
      <c r="J1754" s="246">
        <v>12</v>
      </c>
      <c r="K1754" s="246">
        <v>13</v>
      </c>
      <c r="L1754" s="246">
        <v>14</v>
      </c>
      <c r="M1754" s="246">
        <v>16</v>
      </c>
      <c r="N1754" s="246"/>
      <c r="O1754" s="246"/>
      <c r="P1754" s="246"/>
      <c r="Q1754" s="246"/>
      <c r="R1754" s="246">
        <f>IFERROR(VLOOKUP(D1754,PROGRAMAS[],2,FALSE),0)</f>
        <v>97037803.679377079</v>
      </c>
      <c r="S1754" s="246">
        <f>IFERROR(VLOOKUP(E1754,PROGRAMAS[],2,FALSE),0)</f>
        <v>640501509.6821388</v>
      </c>
      <c r="T1754" s="246">
        <f>IFERROR(VLOOKUP(F1754,PROGRAMAS[],2,FALSE),0)</f>
        <v>3062327798.1525245</v>
      </c>
      <c r="U1754" s="246">
        <f>IFERROR(VLOOKUP(G1754,PROGRAMAS[],2,FALSE),0)</f>
        <v>1440941976.2528784</v>
      </c>
      <c r="V1754" s="246">
        <f>IFERROR(VLOOKUP(H1754,PROGRAMAS[],2,FALSE),0)</f>
        <v>6128579952.1618185</v>
      </c>
      <c r="W1754" s="246">
        <f>IFERROR(VLOOKUP(I1754,PROGRAMAS[],2,FALSE),0)</f>
        <v>4635315027.8751087</v>
      </c>
      <c r="X1754" s="246">
        <f>IFERROR(VLOOKUP(J1754,PROGRAMAS[],2,FALSE),0)</f>
        <v>764796700.79905891</v>
      </c>
      <c r="Y1754" s="246">
        <f>IFERROR(VLOOKUP(K1754,PROGRAMAS[],2,FALSE),0)</f>
        <v>3776538594.4604583</v>
      </c>
      <c r="Z1754" s="246">
        <f>IFERROR(VLOOKUP(L1754,PROGRAMAS[],2,FALSE),0)</f>
        <v>54223862.645839565</v>
      </c>
      <c r="AA1754" s="246">
        <f>IFERROR(VLOOKUP(M1754,PROGRAMAS[],2,FALSE),0)</f>
        <v>7068496961.0436354</v>
      </c>
      <c r="AB1754" s="246">
        <f>IFERROR(VLOOKUP(N1754,PROGRAMAS[],2,FALSE),0)</f>
        <v>0</v>
      </c>
      <c r="AC1754" s="246">
        <f>IFERROR(VLOOKUP(O1754,PROGRAMAS[],2,FALSE),0)</f>
        <v>0</v>
      </c>
      <c r="AD1754" s="246">
        <f>IFERROR(VLOOKUP(P1754,PROGRAMAS[],2,FALSE),0)</f>
        <v>0</v>
      </c>
      <c r="AE1754" s="246">
        <f>IFERROR(VLOOKUP(Q1754,PROGRAMAS[],2,FALSE),0)</f>
        <v>0</v>
      </c>
      <c r="AF1754" s="246">
        <f>IFERROR(VLOOKUP(D1754,PROGRAMAS[],3,FALSE),0)</f>
        <v>841888629.31080008</v>
      </c>
      <c r="AG1754" s="246">
        <f>IFERROR(VLOOKUP(E1754,PROGRAMAS[],3,FALSE),0)</f>
        <v>3848980803.1642323</v>
      </c>
      <c r="AH1754" s="246">
        <f>IFERROR(VLOOKUP(F1754,PROGRAMAS[],3,FALSE),0)</f>
        <v>3394901471.387517</v>
      </c>
      <c r="AI1754" s="246">
        <f>IFERROR(VLOOKUP(G1754,PROGRAMAS[],3,FALSE),0)</f>
        <v>1233505101.0616004</v>
      </c>
      <c r="AJ1754" s="246">
        <f>IFERROR(VLOOKUP(H1754,PROGRAMAS[],3,FALSE),0)</f>
        <v>7011279577.519702</v>
      </c>
      <c r="AK1754" s="246">
        <f>IFERROR(VLOOKUP(I1754,PROGRAMAS[],3,FALSE),0)</f>
        <v>4099471734.9978786</v>
      </c>
      <c r="AL1754" s="246">
        <f>IFERROR(VLOOKUP(J1754,PROGRAMAS[],3,FALSE),0)</f>
        <v>675517840.109828</v>
      </c>
      <c r="AM1754" s="246">
        <f>IFERROR(VLOOKUP(K1754,PROGRAMAS[],3,FALSE),0)</f>
        <v>2392571243.5584412</v>
      </c>
      <c r="AN1754" s="246">
        <f>IFERROR(VLOOKUP(L1754,PROGRAMAS[],3,FALSE),0)</f>
        <v>31865326.38096505</v>
      </c>
      <c r="AO1754" s="246">
        <f>IFERROR(VLOOKUP(M1754,PROGRAMAS[],3,FALSE),0)</f>
        <v>2406564599.0319901</v>
      </c>
      <c r="AP1754" s="246">
        <f>IFERROR(VLOOKUP(N1754,PROGRAMAS[],3,FALSE),0)</f>
        <v>0</v>
      </c>
      <c r="AQ1754" s="246">
        <f>IFERROR(VLOOKUP(O1754,PROGRAMAS[],3,FALSE),0)</f>
        <v>0</v>
      </c>
      <c r="AR1754" s="246">
        <f>IFERROR(VLOOKUP(P1754,PROGRAMAS[],3,FALSE),0)</f>
        <v>0</v>
      </c>
      <c r="AS1754" s="246">
        <f>IFERROR(VLOOKUP(Q1754,PROGRAMAS[],3,FALSE),0)</f>
        <v>0</v>
      </c>
      <c r="AT1754" s="246">
        <f>IFERROR(VLOOKUP(D1754,VOL_REC[],2,FALSE),0)</f>
        <v>0</v>
      </c>
      <c r="AU1754" s="246">
        <f>IFERROR(VLOOKUP(E1754,VOL_REC[],2,FALSE),0)</f>
        <v>0</v>
      </c>
      <c r="AV1754" s="246">
        <f>IFERROR(VLOOKUP(F1754,VOL_REC[],2,FALSE),0)</f>
        <v>11089674.200000001</v>
      </c>
      <c r="AW1754" s="246">
        <f>IFERROR(VLOOKUP(G1754,VOL_REC[],2,FALSE),0)</f>
        <v>4325103.1812214684</v>
      </c>
      <c r="AX1754" s="246">
        <f>IFERROR(VLOOKUP(H1754,VOL_REC[],2,FALSE),0)</f>
        <v>3761786</v>
      </c>
      <c r="AY1754" s="246">
        <f>IFERROR(VLOOKUP(I1754,VOL_REC[],2,FALSE),0)</f>
        <v>1812240</v>
      </c>
      <c r="AZ1754" s="246">
        <f>IFERROR(VLOOKUP(J1754,VOL_REC[],2,FALSE),0)</f>
        <v>240696.79238099116</v>
      </c>
      <c r="BA1754" s="246">
        <f>IFERROR(VLOOKUP(K1754,VOL_REC[],2,FALSE),0)</f>
        <v>663244.80000000016</v>
      </c>
      <c r="BB1754" s="246">
        <f>IFERROR(VLOOKUP(L1754,VOL_REC[],2,FALSE),0)</f>
        <v>17074.045034105649</v>
      </c>
      <c r="BC1754" s="246">
        <f>IFERROR(VLOOKUP(M1754,VOL_REC[],2,FALSE),0)</f>
        <v>1072354.9981737854</v>
      </c>
      <c r="BD1754" s="246">
        <f>IFERROR(VLOOKUP(N1754,VOL_REC[],2,FALSE),0)</f>
        <v>0</v>
      </c>
      <c r="BE1754" s="246">
        <f>IFERROR(VLOOKUP(O1754,VOL_REC[],2,FALSE),0)</f>
        <v>0</v>
      </c>
      <c r="BF1754" s="246">
        <f>IFERROR(VLOOKUP(P1754,VOL_REC[],2,FALSE),0)</f>
        <v>0</v>
      </c>
      <c r="BG1754" s="246">
        <f>IFERROR(VLOOKUP(Q1754,VOL_REC[],2,FALSE),0)</f>
        <v>0</v>
      </c>
      <c r="BH1754" s="1710">
        <f t="shared" si="108"/>
        <v>27668760186.752838</v>
      </c>
      <c r="BI1754" s="1710">
        <f t="shared" si="109"/>
        <v>25936546326.522957</v>
      </c>
      <c r="BJ1754" s="1711">
        <f t="shared" si="110"/>
        <v>22982174.016810354</v>
      </c>
      <c r="BK1754" s="1711">
        <f t="shared" si="111"/>
        <v>1.0667866044469654</v>
      </c>
      <c r="BL1754">
        <f>BJ1754</f>
        <v>22982174.016810354</v>
      </c>
      <c r="BO1754">
        <f>BL1754</f>
        <v>22982174.016810354</v>
      </c>
    </row>
    <row r="1755" spans="3:67" x14ac:dyDescent="0.25">
      <c r="C1755" s="246" t="s">
        <v>3105</v>
      </c>
      <c r="D1755" s="246">
        <v>1</v>
      </c>
      <c r="E1755" s="246">
        <v>2</v>
      </c>
      <c r="F1755" s="246">
        <v>3</v>
      </c>
      <c r="G1755" s="246">
        <v>5</v>
      </c>
      <c r="H1755" s="246">
        <v>9</v>
      </c>
      <c r="I1755" s="246">
        <v>10</v>
      </c>
      <c r="J1755" s="246">
        <v>12</v>
      </c>
      <c r="K1755" s="246">
        <v>13</v>
      </c>
      <c r="L1755" s="246">
        <v>14</v>
      </c>
      <c r="M1755" s="246">
        <v>17</v>
      </c>
      <c r="N1755" s="246"/>
      <c r="O1755" s="246"/>
      <c r="P1755" s="246"/>
      <c r="Q1755" s="246"/>
      <c r="R1755" s="246">
        <f>IFERROR(VLOOKUP(D1755,PROGRAMAS[],2,FALSE),0)</f>
        <v>97037803.679377079</v>
      </c>
      <c r="S1755" s="246">
        <f>IFERROR(VLOOKUP(E1755,PROGRAMAS[],2,FALSE),0)</f>
        <v>640501509.6821388</v>
      </c>
      <c r="T1755" s="246">
        <f>IFERROR(VLOOKUP(F1755,PROGRAMAS[],2,FALSE),0)</f>
        <v>3062327798.1525245</v>
      </c>
      <c r="U1755" s="246">
        <f>IFERROR(VLOOKUP(G1755,PROGRAMAS[],2,FALSE),0)</f>
        <v>1440941976.2528784</v>
      </c>
      <c r="V1755" s="246">
        <f>IFERROR(VLOOKUP(H1755,PROGRAMAS[],2,FALSE),0)</f>
        <v>6128579952.1618185</v>
      </c>
      <c r="W1755" s="246">
        <f>IFERROR(VLOOKUP(I1755,PROGRAMAS[],2,FALSE),0)</f>
        <v>4635315027.8751087</v>
      </c>
      <c r="X1755" s="246">
        <f>IFERROR(VLOOKUP(J1755,PROGRAMAS[],2,FALSE),0)</f>
        <v>764796700.79905891</v>
      </c>
      <c r="Y1755" s="246">
        <f>IFERROR(VLOOKUP(K1755,PROGRAMAS[],2,FALSE),0)</f>
        <v>3776538594.4604583</v>
      </c>
      <c r="Z1755" s="246">
        <f>IFERROR(VLOOKUP(L1755,PROGRAMAS[],2,FALSE),0)</f>
        <v>54223862.645839565</v>
      </c>
      <c r="AA1755" s="246">
        <f>IFERROR(VLOOKUP(M1755,PROGRAMAS[],2,FALSE),0)</f>
        <v>1892779498.5211046</v>
      </c>
      <c r="AB1755" s="246">
        <f>IFERROR(VLOOKUP(N1755,PROGRAMAS[],2,FALSE),0)</f>
        <v>0</v>
      </c>
      <c r="AC1755" s="246">
        <f>IFERROR(VLOOKUP(O1755,PROGRAMAS[],2,FALSE),0)</f>
        <v>0</v>
      </c>
      <c r="AD1755" s="246">
        <f>IFERROR(VLOOKUP(P1755,PROGRAMAS[],2,FALSE),0)</f>
        <v>0</v>
      </c>
      <c r="AE1755" s="246">
        <f>IFERROR(VLOOKUP(Q1755,PROGRAMAS[],2,FALSE),0)</f>
        <v>0</v>
      </c>
      <c r="AF1755" s="246">
        <f>IFERROR(VLOOKUP(D1755,PROGRAMAS[],3,FALSE),0)</f>
        <v>841888629.31080008</v>
      </c>
      <c r="AG1755" s="246">
        <f>IFERROR(VLOOKUP(E1755,PROGRAMAS[],3,FALSE),0)</f>
        <v>3848980803.1642323</v>
      </c>
      <c r="AH1755" s="246">
        <f>IFERROR(VLOOKUP(F1755,PROGRAMAS[],3,FALSE),0)</f>
        <v>3394901471.387517</v>
      </c>
      <c r="AI1755" s="246">
        <f>IFERROR(VLOOKUP(G1755,PROGRAMAS[],3,FALSE),0)</f>
        <v>1233505101.0616004</v>
      </c>
      <c r="AJ1755" s="246">
        <f>IFERROR(VLOOKUP(H1755,PROGRAMAS[],3,FALSE),0)</f>
        <v>7011279577.519702</v>
      </c>
      <c r="AK1755" s="246">
        <f>IFERROR(VLOOKUP(I1755,PROGRAMAS[],3,FALSE),0)</f>
        <v>4099471734.9978786</v>
      </c>
      <c r="AL1755" s="246">
        <f>IFERROR(VLOOKUP(J1755,PROGRAMAS[],3,FALSE),0)</f>
        <v>675517840.109828</v>
      </c>
      <c r="AM1755" s="246">
        <f>IFERROR(VLOOKUP(K1755,PROGRAMAS[],3,FALSE),0)</f>
        <v>2392571243.5584412</v>
      </c>
      <c r="AN1755" s="246">
        <f>IFERROR(VLOOKUP(L1755,PROGRAMAS[],3,FALSE),0)</f>
        <v>31865326.38096505</v>
      </c>
      <c r="AO1755" s="246">
        <f>IFERROR(VLOOKUP(M1755,PROGRAMAS[],3,FALSE),0)</f>
        <v>948595847.09039903</v>
      </c>
      <c r="AP1755" s="246">
        <f>IFERROR(VLOOKUP(N1755,PROGRAMAS[],3,FALSE),0)</f>
        <v>0</v>
      </c>
      <c r="AQ1755" s="246">
        <f>IFERROR(VLOOKUP(O1755,PROGRAMAS[],3,FALSE),0)</f>
        <v>0</v>
      </c>
      <c r="AR1755" s="246">
        <f>IFERROR(VLOOKUP(P1755,PROGRAMAS[],3,FALSE),0)</f>
        <v>0</v>
      </c>
      <c r="AS1755" s="246">
        <f>IFERROR(VLOOKUP(Q1755,PROGRAMAS[],3,FALSE),0)</f>
        <v>0</v>
      </c>
      <c r="AT1755" s="246">
        <f>IFERROR(VLOOKUP(D1755,VOL_REC[],2,FALSE),0)</f>
        <v>0</v>
      </c>
      <c r="AU1755" s="246">
        <f>IFERROR(VLOOKUP(E1755,VOL_REC[],2,FALSE),0)</f>
        <v>0</v>
      </c>
      <c r="AV1755" s="246">
        <f>IFERROR(VLOOKUP(F1755,VOL_REC[],2,FALSE),0)</f>
        <v>11089674.200000001</v>
      </c>
      <c r="AW1755" s="246">
        <f>IFERROR(VLOOKUP(G1755,VOL_REC[],2,FALSE),0)</f>
        <v>4325103.1812214684</v>
      </c>
      <c r="AX1755" s="246">
        <f>IFERROR(VLOOKUP(H1755,VOL_REC[],2,FALSE),0)</f>
        <v>3761786</v>
      </c>
      <c r="AY1755" s="246">
        <f>IFERROR(VLOOKUP(I1755,VOL_REC[],2,FALSE),0)</f>
        <v>1812240</v>
      </c>
      <c r="AZ1755" s="246">
        <f>IFERROR(VLOOKUP(J1755,VOL_REC[],2,FALSE),0)</f>
        <v>240696.79238099116</v>
      </c>
      <c r="BA1755" s="246">
        <f>IFERROR(VLOOKUP(K1755,VOL_REC[],2,FALSE),0)</f>
        <v>663244.80000000016</v>
      </c>
      <c r="BB1755" s="246">
        <f>IFERROR(VLOOKUP(L1755,VOL_REC[],2,FALSE),0)</f>
        <v>17074.045034105649</v>
      </c>
      <c r="BC1755" s="246">
        <f>IFERROR(VLOOKUP(M1755,VOL_REC[],2,FALSE),0)</f>
        <v>740113.98115702497</v>
      </c>
      <c r="BD1755" s="246">
        <f>IFERROR(VLOOKUP(N1755,VOL_REC[],2,FALSE),0)</f>
        <v>0</v>
      </c>
      <c r="BE1755" s="246">
        <f>IFERROR(VLOOKUP(O1755,VOL_REC[],2,FALSE),0)</f>
        <v>0</v>
      </c>
      <c r="BF1755" s="246">
        <f>IFERROR(VLOOKUP(P1755,VOL_REC[],2,FALSE),0)</f>
        <v>0</v>
      </c>
      <c r="BG1755" s="246">
        <f>IFERROR(VLOOKUP(Q1755,VOL_REC[],2,FALSE),0)</f>
        <v>0</v>
      </c>
      <c r="BH1755" s="1710">
        <f t="shared" si="108"/>
        <v>22493042724.230305</v>
      </c>
      <c r="BI1755" s="1710">
        <f t="shared" si="109"/>
        <v>24478577574.581367</v>
      </c>
      <c r="BJ1755" s="1711">
        <f t="shared" si="110"/>
        <v>22649932.999793593</v>
      </c>
      <c r="BK1755" s="1711">
        <f t="shared" si="111"/>
        <v>0.91888683710066354</v>
      </c>
    </row>
    <row r="1756" spans="3:67" x14ac:dyDescent="0.25">
      <c r="C1756" s="246" t="s">
        <v>3106</v>
      </c>
      <c r="D1756" s="246">
        <v>1</v>
      </c>
      <c r="E1756" s="246">
        <v>2</v>
      </c>
      <c r="F1756" s="246">
        <v>3</v>
      </c>
      <c r="G1756" s="246">
        <v>5</v>
      </c>
      <c r="H1756" s="246">
        <v>9</v>
      </c>
      <c r="I1756" s="246">
        <v>10</v>
      </c>
      <c r="J1756" s="246">
        <v>12</v>
      </c>
      <c r="K1756" s="246">
        <v>13</v>
      </c>
      <c r="L1756" s="246">
        <v>15</v>
      </c>
      <c r="M1756" s="246">
        <v>16</v>
      </c>
      <c r="N1756" s="246"/>
      <c r="O1756" s="246"/>
      <c r="P1756" s="246"/>
      <c r="Q1756" s="246"/>
      <c r="R1756" s="246">
        <f>IFERROR(VLOOKUP(D1756,PROGRAMAS[],2,FALSE),0)</f>
        <v>97037803.679377079</v>
      </c>
      <c r="S1756" s="246">
        <f>IFERROR(VLOOKUP(E1756,PROGRAMAS[],2,FALSE),0)</f>
        <v>640501509.6821388</v>
      </c>
      <c r="T1756" s="246">
        <f>IFERROR(VLOOKUP(F1756,PROGRAMAS[],2,FALSE),0)</f>
        <v>3062327798.1525245</v>
      </c>
      <c r="U1756" s="246">
        <f>IFERROR(VLOOKUP(G1756,PROGRAMAS[],2,FALSE),0)</f>
        <v>1440941976.2528784</v>
      </c>
      <c r="V1756" s="246">
        <f>IFERROR(VLOOKUP(H1756,PROGRAMAS[],2,FALSE),0)</f>
        <v>6128579952.1618185</v>
      </c>
      <c r="W1756" s="246">
        <f>IFERROR(VLOOKUP(I1756,PROGRAMAS[],2,FALSE),0)</f>
        <v>4635315027.8751087</v>
      </c>
      <c r="X1756" s="246">
        <f>IFERROR(VLOOKUP(J1756,PROGRAMAS[],2,FALSE),0)</f>
        <v>764796700.79905891</v>
      </c>
      <c r="Y1756" s="246">
        <f>IFERROR(VLOOKUP(K1756,PROGRAMAS[],2,FALSE),0)</f>
        <v>3776538594.4604583</v>
      </c>
      <c r="Z1756" s="246">
        <f>IFERROR(VLOOKUP(L1756,PROGRAMAS[],2,FALSE),0)</f>
        <v>122159672.96346797</v>
      </c>
      <c r="AA1756" s="246">
        <f>IFERROR(VLOOKUP(M1756,PROGRAMAS[],2,FALSE),0)</f>
        <v>7068496961.0436354</v>
      </c>
      <c r="AB1756" s="246">
        <f>IFERROR(VLOOKUP(N1756,PROGRAMAS[],2,FALSE),0)</f>
        <v>0</v>
      </c>
      <c r="AC1756" s="246">
        <f>IFERROR(VLOOKUP(O1756,PROGRAMAS[],2,FALSE),0)</f>
        <v>0</v>
      </c>
      <c r="AD1756" s="246">
        <f>IFERROR(VLOOKUP(P1756,PROGRAMAS[],2,FALSE),0)</f>
        <v>0</v>
      </c>
      <c r="AE1756" s="246">
        <f>IFERROR(VLOOKUP(Q1756,PROGRAMAS[],2,FALSE),0)</f>
        <v>0</v>
      </c>
      <c r="AF1756" s="246">
        <f>IFERROR(VLOOKUP(D1756,PROGRAMAS[],3,FALSE),0)</f>
        <v>841888629.31080008</v>
      </c>
      <c r="AG1756" s="246">
        <f>IFERROR(VLOOKUP(E1756,PROGRAMAS[],3,FALSE),0)</f>
        <v>3848980803.1642323</v>
      </c>
      <c r="AH1756" s="246">
        <f>IFERROR(VLOOKUP(F1756,PROGRAMAS[],3,FALSE),0)</f>
        <v>3394901471.387517</v>
      </c>
      <c r="AI1756" s="246">
        <f>IFERROR(VLOOKUP(G1756,PROGRAMAS[],3,FALSE),0)</f>
        <v>1233505101.0616004</v>
      </c>
      <c r="AJ1756" s="246">
        <f>IFERROR(VLOOKUP(H1756,PROGRAMAS[],3,FALSE),0)</f>
        <v>7011279577.519702</v>
      </c>
      <c r="AK1756" s="246">
        <f>IFERROR(VLOOKUP(I1756,PROGRAMAS[],3,FALSE),0)</f>
        <v>4099471734.9978786</v>
      </c>
      <c r="AL1756" s="246">
        <f>IFERROR(VLOOKUP(J1756,PROGRAMAS[],3,FALSE),0)</f>
        <v>675517840.109828</v>
      </c>
      <c r="AM1756" s="246">
        <f>IFERROR(VLOOKUP(K1756,PROGRAMAS[],3,FALSE),0)</f>
        <v>2392571243.5584412</v>
      </c>
      <c r="AN1756" s="246">
        <f>IFERROR(VLOOKUP(L1756,PROGRAMAS[],3,FALSE),0)</f>
        <v>118617452.52510804</v>
      </c>
      <c r="AO1756" s="246">
        <f>IFERROR(VLOOKUP(M1756,PROGRAMAS[],3,FALSE),0)</f>
        <v>2406564599.0319901</v>
      </c>
      <c r="AP1756" s="246">
        <f>IFERROR(VLOOKUP(N1756,PROGRAMAS[],3,FALSE),0)</f>
        <v>0</v>
      </c>
      <c r="AQ1756" s="246">
        <f>IFERROR(VLOOKUP(O1756,PROGRAMAS[],3,FALSE),0)</f>
        <v>0</v>
      </c>
      <c r="AR1756" s="246">
        <f>IFERROR(VLOOKUP(P1756,PROGRAMAS[],3,FALSE),0)</f>
        <v>0</v>
      </c>
      <c r="AS1756" s="246">
        <f>IFERROR(VLOOKUP(Q1756,PROGRAMAS[],3,FALSE),0)</f>
        <v>0</v>
      </c>
      <c r="AT1756" s="246">
        <f>IFERROR(VLOOKUP(D1756,VOL_REC[],2,FALSE),0)</f>
        <v>0</v>
      </c>
      <c r="AU1756" s="246">
        <f>IFERROR(VLOOKUP(E1756,VOL_REC[],2,FALSE),0)</f>
        <v>0</v>
      </c>
      <c r="AV1756" s="246">
        <f>IFERROR(VLOOKUP(F1756,VOL_REC[],2,FALSE),0)</f>
        <v>11089674.200000001</v>
      </c>
      <c r="AW1756" s="246">
        <f>IFERROR(VLOOKUP(G1756,VOL_REC[],2,FALSE),0)</f>
        <v>4325103.1812214684</v>
      </c>
      <c r="AX1756" s="246">
        <f>IFERROR(VLOOKUP(H1756,VOL_REC[],2,FALSE),0)</f>
        <v>3761786</v>
      </c>
      <c r="AY1756" s="246">
        <f>IFERROR(VLOOKUP(I1756,VOL_REC[],2,FALSE),0)</f>
        <v>1812240</v>
      </c>
      <c r="AZ1756" s="246">
        <f>IFERROR(VLOOKUP(J1756,VOL_REC[],2,FALSE),0)</f>
        <v>240696.79238099116</v>
      </c>
      <c r="BA1756" s="246">
        <f>IFERROR(VLOOKUP(K1756,VOL_REC[],2,FALSE),0)</f>
        <v>663244.80000000016</v>
      </c>
      <c r="BB1756" s="246">
        <f>IFERROR(VLOOKUP(L1756,VOL_REC[],2,FALSE),0)</f>
        <v>105072</v>
      </c>
      <c r="BC1756" s="246">
        <f>IFERROR(VLOOKUP(M1756,VOL_REC[],2,FALSE),0)</f>
        <v>1072354.9981737854</v>
      </c>
      <c r="BD1756" s="246">
        <f>IFERROR(VLOOKUP(N1756,VOL_REC[],2,FALSE),0)</f>
        <v>0</v>
      </c>
      <c r="BE1756" s="246">
        <f>IFERROR(VLOOKUP(O1756,VOL_REC[],2,FALSE),0)</f>
        <v>0</v>
      </c>
      <c r="BF1756" s="246">
        <f>IFERROR(VLOOKUP(P1756,VOL_REC[],2,FALSE),0)</f>
        <v>0</v>
      </c>
      <c r="BG1756" s="246">
        <f>IFERROR(VLOOKUP(Q1756,VOL_REC[],2,FALSE),0)</f>
        <v>0</v>
      </c>
      <c r="BH1756" s="1710">
        <f t="shared" si="108"/>
        <v>27736695997.070465</v>
      </c>
      <c r="BI1756" s="1710">
        <f t="shared" si="109"/>
        <v>26023298452.667099</v>
      </c>
      <c r="BJ1756" s="1711">
        <f t="shared" si="110"/>
        <v>23070171.971776247</v>
      </c>
      <c r="BK1756" s="1711">
        <f t="shared" si="111"/>
        <v>1.0658409058913039</v>
      </c>
      <c r="BL1756">
        <f>BJ1756</f>
        <v>23070171.971776247</v>
      </c>
      <c r="BO1756">
        <f>BL1756</f>
        <v>23070171.971776247</v>
      </c>
    </row>
    <row r="1757" spans="3:67" x14ac:dyDescent="0.25">
      <c r="C1757" s="246" t="s">
        <v>3107</v>
      </c>
      <c r="D1757" s="246">
        <v>1</v>
      </c>
      <c r="E1757" s="246">
        <v>2</v>
      </c>
      <c r="F1757" s="246">
        <v>3</v>
      </c>
      <c r="G1757" s="246">
        <v>5</v>
      </c>
      <c r="H1757" s="246">
        <v>9</v>
      </c>
      <c r="I1757" s="246">
        <v>10</v>
      </c>
      <c r="J1757" s="246">
        <v>12</v>
      </c>
      <c r="K1757" s="246">
        <v>13</v>
      </c>
      <c r="L1757" s="246">
        <v>15</v>
      </c>
      <c r="M1757" s="246">
        <v>17</v>
      </c>
      <c r="N1757" s="246"/>
      <c r="O1757" s="246"/>
      <c r="P1757" s="246"/>
      <c r="Q1757" s="246"/>
      <c r="R1757" s="246">
        <f>IFERROR(VLOOKUP(D1757,PROGRAMAS[],2,FALSE),0)</f>
        <v>97037803.679377079</v>
      </c>
      <c r="S1757" s="246">
        <f>IFERROR(VLOOKUP(E1757,PROGRAMAS[],2,FALSE),0)</f>
        <v>640501509.6821388</v>
      </c>
      <c r="T1757" s="246">
        <f>IFERROR(VLOOKUP(F1757,PROGRAMAS[],2,FALSE),0)</f>
        <v>3062327798.1525245</v>
      </c>
      <c r="U1757" s="246">
        <f>IFERROR(VLOOKUP(G1757,PROGRAMAS[],2,FALSE),0)</f>
        <v>1440941976.2528784</v>
      </c>
      <c r="V1757" s="246">
        <f>IFERROR(VLOOKUP(H1757,PROGRAMAS[],2,FALSE),0)</f>
        <v>6128579952.1618185</v>
      </c>
      <c r="W1757" s="246">
        <f>IFERROR(VLOOKUP(I1757,PROGRAMAS[],2,FALSE),0)</f>
        <v>4635315027.8751087</v>
      </c>
      <c r="X1757" s="246">
        <f>IFERROR(VLOOKUP(J1757,PROGRAMAS[],2,FALSE),0)</f>
        <v>764796700.79905891</v>
      </c>
      <c r="Y1757" s="246">
        <f>IFERROR(VLOOKUP(K1757,PROGRAMAS[],2,FALSE),0)</f>
        <v>3776538594.4604583</v>
      </c>
      <c r="Z1757" s="246">
        <f>IFERROR(VLOOKUP(L1757,PROGRAMAS[],2,FALSE),0)</f>
        <v>122159672.96346797</v>
      </c>
      <c r="AA1757" s="246">
        <f>IFERROR(VLOOKUP(M1757,PROGRAMAS[],2,FALSE),0)</f>
        <v>1892779498.5211046</v>
      </c>
      <c r="AB1757" s="246">
        <f>IFERROR(VLOOKUP(N1757,PROGRAMAS[],2,FALSE),0)</f>
        <v>0</v>
      </c>
      <c r="AC1757" s="246">
        <f>IFERROR(VLOOKUP(O1757,PROGRAMAS[],2,FALSE),0)</f>
        <v>0</v>
      </c>
      <c r="AD1757" s="246">
        <f>IFERROR(VLOOKUP(P1757,PROGRAMAS[],2,FALSE),0)</f>
        <v>0</v>
      </c>
      <c r="AE1757" s="246">
        <f>IFERROR(VLOOKUP(Q1757,PROGRAMAS[],2,FALSE),0)</f>
        <v>0</v>
      </c>
      <c r="AF1757" s="246">
        <f>IFERROR(VLOOKUP(D1757,PROGRAMAS[],3,FALSE),0)</f>
        <v>841888629.31080008</v>
      </c>
      <c r="AG1757" s="246">
        <f>IFERROR(VLOOKUP(E1757,PROGRAMAS[],3,FALSE),0)</f>
        <v>3848980803.1642323</v>
      </c>
      <c r="AH1757" s="246">
        <f>IFERROR(VLOOKUP(F1757,PROGRAMAS[],3,FALSE),0)</f>
        <v>3394901471.387517</v>
      </c>
      <c r="AI1757" s="246">
        <f>IFERROR(VLOOKUP(G1757,PROGRAMAS[],3,FALSE),0)</f>
        <v>1233505101.0616004</v>
      </c>
      <c r="AJ1757" s="246">
        <f>IFERROR(VLOOKUP(H1757,PROGRAMAS[],3,FALSE),0)</f>
        <v>7011279577.519702</v>
      </c>
      <c r="AK1757" s="246">
        <f>IFERROR(VLOOKUP(I1757,PROGRAMAS[],3,FALSE),0)</f>
        <v>4099471734.9978786</v>
      </c>
      <c r="AL1757" s="246">
        <f>IFERROR(VLOOKUP(J1757,PROGRAMAS[],3,FALSE),0)</f>
        <v>675517840.109828</v>
      </c>
      <c r="AM1757" s="246">
        <f>IFERROR(VLOOKUP(K1757,PROGRAMAS[],3,FALSE),0)</f>
        <v>2392571243.5584412</v>
      </c>
      <c r="AN1757" s="246">
        <f>IFERROR(VLOOKUP(L1757,PROGRAMAS[],3,FALSE),0)</f>
        <v>118617452.52510804</v>
      </c>
      <c r="AO1757" s="246">
        <f>IFERROR(VLOOKUP(M1757,PROGRAMAS[],3,FALSE),0)</f>
        <v>948595847.09039903</v>
      </c>
      <c r="AP1757" s="246">
        <f>IFERROR(VLOOKUP(N1757,PROGRAMAS[],3,FALSE),0)</f>
        <v>0</v>
      </c>
      <c r="AQ1757" s="246">
        <f>IFERROR(VLOOKUP(O1757,PROGRAMAS[],3,FALSE),0)</f>
        <v>0</v>
      </c>
      <c r="AR1757" s="246">
        <f>IFERROR(VLOOKUP(P1757,PROGRAMAS[],3,FALSE),0)</f>
        <v>0</v>
      </c>
      <c r="AS1757" s="246">
        <f>IFERROR(VLOOKUP(Q1757,PROGRAMAS[],3,FALSE),0)</f>
        <v>0</v>
      </c>
      <c r="AT1757" s="246">
        <f>IFERROR(VLOOKUP(D1757,VOL_REC[],2,FALSE),0)</f>
        <v>0</v>
      </c>
      <c r="AU1757" s="246">
        <f>IFERROR(VLOOKUP(E1757,VOL_REC[],2,FALSE),0)</f>
        <v>0</v>
      </c>
      <c r="AV1757" s="246">
        <f>IFERROR(VLOOKUP(F1757,VOL_REC[],2,FALSE),0)</f>
        <v>11089674.200000001</v>
      </c>
      <c r="AW1757" s="246">
        <f>IFERROR(VLOOKUP(G1757,VOL_REC[],2,FALSE),0)</f>
        <v>4325103.1812214684</v>
      </c>
      <c r="AX1757" s="246">
        <f>IFERROR(VLOOKUP(H1757,VOL_REC[],2,FALSE),0)</f>
        <v>3761786</v>
      </c>
      <c r="AY1757" s="246">
        <f>IFERROR(VLOOKUP(I1757,VOL_REC[],2,FALSE),0)</f>
        <v>1812240</v>
      </c>
      <c r="AZ1757" s="246">
        <f>IFERROR(VLOOKUP(J1757,VOL_REC[],2,FALSE),0)</f>
        <v>240696.79238099116</v>
      </c>
      <c r="BA1757" s="246">
        <f>IFERROR(VLOOKUP(K1757,VOL_REC[],2,FALSE),0)</f>
        <v>663244.80000000016</v>
      </c>
      <c r="BB1757" s="246">
        <f>IFERROR(VLOOKUP(L1757,VOL_REC[],2,FALSE),0)</f>
        <v>105072</v>
      </c>
      <c r="BC1757" s="246">
        <f>IFERROR(VLOOKUP(M1757,VOL_REC[],2,FALSE),0)</f>
        <v>740113.98115702497</v>
      </c>
      <c r="BD1757" s="246">
        <f>IFERROR(VLOOKUP(N1757,VOL_REC[],2,FALSE),0)</f>
        <v>0</v>
      </c>
      <c r="BE1757" s="246">
        <f>IFERROR(VLOOKUP(O1757,VOL_REC[],2,FALSE),0)</f>
        <v>0</v>
      </c>
      <c r="BF1757" s="246">
        <f>IFERROR(VLOOKUP(P1757,VOL_REC[],2,FALSE),0)</f>
        <v>0</v>
      </c>
      <c r="BG1757" s="246">
        <f>IFERROR(VLOOKUP(Q1757,VOL_REC[],2,FALSE),0)</f>
        <v>0</v>
      </c>
      <c r="BH1757" s="1710">
        <f t="shared" si="108"/>
        <v>22560978534.547932</v>
      </c>
      <c r="BI1757" s="1710">
        <f t="shared" si="109"/>
        <v>24565329700.72551</v>
      </c>
      <c r="BJ1757" s="1711">
        <f t="shared" si="110"/>
        <v>22737930.954759486</v>
      </c>
      <c r="BK1757" s="1711">
        <f t="shared" si="111"/>
        <v>0.91840731671033171</v>
      </c>
    </row>
    <row r="1758" spans="3:67" x14ac:dyDescent="0.25">
      <c r="C1758" s="246" t="s">
        <v>3108</v>
      </c>
      <c r="D1758" s="246">
        <v>1</v>
      </c>
      <c r="E1758" s="246">
        <v>2</v>
      </c>
      <c r="F1758" s="246">
        <v>3</v>
      </c>
      <c r="G1758" s="246">
        <v>5</v>
      </c>
      <c r="H1758" s="246">
        <v>9</v>
      </c>
      <c r="I1758" s="246">
        <v>10</v>
      </c>
      <c r="J1758" s="246">
        <v>12</v>
      </c>
      <c r="K1758" s="246">
        <v>13</v>
      </c>
      <c r="L1758" s="246">
        <v>16</v>
      </c>
      <c r="M1758" s="246">
        <v>17</v>
      </c>
      <c r="N1758" s="246"/>
      <c r="O1758" s="246"/>
      <c r="P1758" s="246"/>
      <c r="Q1758" s="246"/>
      <c r="R1758" s="246">
        <f>IFERROR(VLOOKUP(D1758,PROGRAMAS[],2,FALSE),0)</f>
        <v>97037803.679377079</v>
      </c>
      <c r="S1758" s="246">
        <f>IFERROR(VLOOKUP(E1758,PROGRAMAS[],2,FALSE),0)</f>
        <v>640501509.6821388</v>
      </c>
      <c r="T1758" s="246">
        <f>IFERROR(VLOOKUP(F1758,PROGRAMAS[],2,FALSE),0)</f>
        <v>3062327798.1525245</v>
      </c>
      <c r="U1758" s="246">
        <f>IFERROR(VLOOKUP(G1758,PROGRAMAS[],2,FALSE),0)</f>
        <v>1440941976.2528784</v>
      </c>
      <c r="V1758" s="246">
        <f>IFERROR(VLOOKUP(H1758,PROGRAMAS[],2,FALSE),0)</f>
        <v>6128579952.1618185</v>
      </c>
      <c r="W1758" s="246">
        <f>IFERROR(VLOOKUP(I1758,PROGRAMAS[],2,FALSE),0)</f>
        <v>4635315027.8751087</v>
      </c>
      <c r="X1758" s="246">
        <f>IFERROR(VLOOKUP(J1758,PROGRAMAS[],2,FALSE),0)</f>
        <v>764796700.79905891</v>
      </c>
      <c r="Y1758" s="246">
        <f>IFERROR(VLOOKUP(K1758,PROGRAMAS[],2,FALSE),0)</f>
        <v>3776538594.4604583</v>
      </c>
      <c r="Z1758" s="246">
        <f>IFERROR(VLOOKUP(L1758,PROGRAMAS[],2,FALSE),0)</f>
        <v>7068496961.0436354</v>
      </c>
      <c r="AA1758" s="246">
        <f>IFERROR(VLOOKUP(M1758,PROGRAMAS[],2,FALSE),0)</f>
        <v>1892779498.5211046</v>
      </c>
      <c r="AB1758" s="246">
        <f>IFERROR(VLOOKUP(N1758,PROGRAMAS[],2,FALSE),0)</f>
        <v>0</v>
      </c>
      <c r="AC1758" s="246">
        <f>IFERROR(VLOOKUP(O1758,PROGRAMAS[],2,FALSE),0)</f>
        <v>0</v>
      </c>
      <c r="AD1758" s="246">
        <f>IFERROR(VLOOKUP(P1758,PROGRAMAS[],2,FALSE),0)</f>
        <v>0</v>
      </c>
      <c r="AE1758" s="246">
        <f>IFERROR(VLOOKUP(Q1758,PROGRAMAS[],2,FALSE),0)</f>
        <v>0</v>
      </c>
      <c r="AF1758" s="246">
        <f>IFERROR(VLOOKUP(D1758,PROGRAMAS[],3,FALSE),0)</f>
        <v>841888629.31080008</v>
      </c>
      <c r="AG1758" s="246">
        <f>IFERROR(VLOOKUP(E1758,PROGRAMAS[],3,FALSE),0)</f>
        <v>3848980803.1642323</v>
      </c>
      <c r="AH1758" s="246">
        <f>IFERROR(VLOOKUP(F1758,PROGRAMAS[],3,FALSE),0)</f>
        <v>3394901471.387517</v>
      </c>
      <c r="AI1758" s="246">
        <f>IFERROR(VLOOKUP(G1758,PROGRAMAS[],3,FALSE),0)</f>
        <v>1233505101.0616004</v>
      </c>
      <c r="AJ1758" s="246">
        <f>IFERROR(VLOOKUP(H1758,PROGRAMAS[],3,FALSE),0)</f>
        <v>7011279577.519702</v>
      </c>
      <c r="AK1758" s="246">
        <f>IFERROR(VLOOKUP(I1758,PROGRAMAS[],3,FALSE),0)</f>
        <v>4099471734.9978786</v>
      </c>
      <c r="AL1758" s="246">
        <f>IFERROR(VLOOKUP(J1758,PROGRAMAS[],3,FALSE),0)</f>
        <v>675517840.109828</v>
      </c>
      <c r="AM1758" s="246">
        <f>IFERROR(VLOOKUP(K1758,PROGRAMAS[],3,FALSE),0)</f>
        <v>2392571243.5584412</v>
      </c>
      <c r="AN1758" s="246">
        <f>IFERROR(VLOOKUP(L1758,PROGRAMAS[],3,FALSE),0)</f>
        <v>2406564599.0319901</v>
      </c>
      <c r="AO1758" s="246">
        <f>IFERROR(VLOOKUP(M1758,PROGRAMAS[],3,FALSE),0)</f>
        <v>948595847.09039903</v>
      </c>
      <c r="AP1758" s="246">
        <f>IFERROR(VLOOKUP(N1758,PROGRAMAS[],3,FALSE),0)</f>
        <v>0</v>
      </c>
      <c r="AQ1758" s="246">
        <f>IFERROR(VLOOKUP(O1758,PROGRAMAS[],3,FALSE),0)</f>
        <v>0</v>
      </c>
      <c r="AR1758" s="246">
        <f>IFERROR(VLOOKUP(P1758,PROGRAMAS[],3,FALSE),0)</f>
        <v>0</v>
      </c>
      <c r="AS1758" s="246">
        <f>IFERROR(VLOOKUP(Q1758,PROGRAMAS[],3,FALSE),0)</f>
        <v>0</v>
      </c>
      <c r="AT1758" s="246">
        <f>IFERROR(VLOOKUP(D1758,VOL_REC[],2,FALSE),0)</f>
        <v>0</v>
      </c>
      <c r="AU1758" s="246">
        <f>IFERROR(VLOOKUP(E1758,VOL_REC[],2,FALSE),0)</f>
        <v>0</v>
      </c>
      <c r="AV1758" s="246">
        <f>IFERROR(VLOOKUP(F1758,VOL_REC[],2,FALSE),0)</f>
        <v>11089674.200000001</v>
      </c>
      <c r="AW1758" s="246">
        <f>IFERROR(VLOOKUP(G1758,VOL_REC[],2,FALSE),0)</f>
        <v>4325103.1812214684</v>
      </c>
      <c r="AX1758" s="246">
        <f>IFERROR(VLOOKUP(H1758,VOL_REC[],2,FALSE),0)</f>
        <v>3761786</v>
      </c>
      <c r="AY1758" s="246">
        <f>IFERROR(VLOOKUP(I1758,VOL_REC[],2,FALSE),0)</f>
        <v>1812240</v>
      </c>
      <c r="AZ1758" s="246">
        <f>IFERROR(VLOOKUP(J1758,VOL_REC[],2,FALSE),0)</f>
        <v>240696.79238099116</v>
      </c>
      <c r="BA1758" s="246">
        <f>IFERROR(VLOOKUP(K1758,VOL_REC[],2,FALSE),0)</f>
        <v>663244.80000000016</v>
      </c>
      <c r="BB1758" s="246">
        <f>IFERROR(VLOOKUP(L1758,VOL_REC[],2,FALSE),0)</f>
        <v>1072354.9981737854</v>
      </c>
      <c r="BC1758" s="246">
        <f>IFERROR(VLOOKUP(M1758,VOL_REC[],2,FALSE),0)</f>
        <v>740113.98115702497</v>
      </c>
      <c r="BD1758" s="246">
        <f>IFERROR(VLOOKUP(N1758,VOL_REC[],2,FALSE),0)</f>
        <v>0</v>
      </c>
      <c r="BE1758" s="246">
        <f>IFERROR(VLOOKUP(O1758,VOL_REC[],2,FALSE),0)</f>
        <v>0</v>
      </c>
      <c r="BF1758" s="246">
        <f>IFERROR(VLOOKUP(P1758,VOL_REC[],2,FALSE),0)</f>
        <v>0</v>
      </c>
      <c r="BG1758" s="246">
        <f>IFERROR(VLOOKUP(Q1758,VOL_REC[],2,FALSE),0)</f>
        <v>0</v>
      </c>
      <c r="BH1758" s="1710">
        <f t="shared" si="108"/>
        <v>29507315822.628101</v>
      </c>
      <c r="BI1758" s="1710">
        <f t="shared" si="109"/>
        <v>26853276847.232391</v>
      </c>
      <c r="BJ1758" s="1711">
        <f t="shared" si="110"/>
        <v>23705213.95293327</v>
      </c>
      <c r="BK1758" s="1711">
        <f t="shared" si="111"/>
        <v>1.0988348271421202</v>
      </c>
      <c r="BL1758">
        <f>BJ1758</f>
        <v>23705213.95293327</v>
      </c>
      <c r="BO1758">
        <f>BL1758</f>
        <v>23705213.95293327</v>
      </c>
    </row>
    <row r="1759" spans="3:67" x14ac:dyDescent="0.25">
      <c r="C1759" s="246" t="s">
        <v>3109</v>
      </c>
      <c r="D1759" s="246">
        <v>1</v>
      </c>
      <c r="E1759" s="246">
        <v>2</v>
      </c>
      <c r="F1759" s="246">
        <v>3</v>
      </c>
      <c r="G1759" s="246">
        <v>5</v>
      </c>
      <c r="H1759" s="246">
        <v>9</v>
      </c>
      <c r="I1759" s="246">
        <v>10</v>
      </c>
      <c r="J1759" s="246">
        <v>12</v>
      </c>
      <c r="K1759" s="246">
        <v>14</v>
      </c>
      <c r="L1759" s="246">
        <v>15</v>
      </c>
      <c r="M1759" s="246">
        <v>16</v>
      </c>
      <c r="N1759" s="246"/>
      <c r="O1759" s="246"/>
      <c r="P1759" s="246"/>
      <c r="Q1759" s="246"/>
      <c r="R1759" s="246">
        <f>IFERROR(VLOOKUP(D1759,PROGRAMAS[],2,FALSE),0)</f>
        <v>97037803.679377079</v>
      </c>
      <c r="S1759" s="246">
        <f>IFERROR(VLOOKUP(E1759,PROGRAMAS[],2,FALSE),0)</f>
        <v>640501509.6821388</v>
      </c>
      <c r="T1759" s="246">
        <f>IFERROR(VLOOKUP(F1759,PROGRAMAS[],2,FALSE),0)</f>
        <v>3062327798.1525245</v>
      </c>
      <c r="U1759" s="246">
        <f>IFERROR(VLOOKUP(G1759,PROGRAMAS[],2,FALSE),0)</f>
        <v>1440941976.2528784</v>
      </c>
      <c r="V1759" s="246">
        <f>IFERROR(VLOOKUP(H1759,PROGRAMAS[],2,FALSE),0)</f>
        <v>6128579952.1618185</v>
      </c>
      <c r="W1759" s="246">
        <f>IFERROR(VLOOKUP(I1759,PROGRAMAS[],2,FALSE),0)</f>
        <v>4635315027.8751087</v>
      </c>
      <c r="X1759" s="246">
        <f>IFERROR(VLOOKUP(J1759,PROGRAMAS[],2,FALSE),0)</f>
        <v>764796700.79905891</v>
      </c>
      <c r="Y1759" s="246">
        <f>IFERROR(VLOOKUP(K1759,PROGRAMAS[],2,FALSE),0)</f>
        <v>54223862.645839565</v>
      </c>
      <c r="Z1759" s="246">
        <f>IFERROR(VLOOKUP(L1759,PROGRAMAS[],2,FALSE),0)</f>
        <v>122159672.96346797</v>
      </c>
      <c r="AA1759" s="246">
        <f>IFERROR(VLOOKUP(M1759,PROGRAMAS[],2,FALSE),0)</f>
        <v>7068496961.0436354</v>
      </c>
      <c r="AB1759" s="246">
        <f>IFERROR(VLOOKUP(N1759,PROGRAMAS[],2,FALSE),0)</f>
        <v>0</v>
      </c>
      <c r="AC1759" s="246">
        <f>IFERROR(VLOOKUP(O1759,PROGRAMAS[],2,FALSE),0)</f>
        <v>0</v>
      </c>
      <c r="AD1759" s="246">
        <f>IFERROR(VLOOKUP(P1759,PROGRAMAS[],2,FALSE),0)</f>
        <v>0</v>
      </c>
      <c r="AE1759" s="246">
        <f>IFERROR(VLOOKUP(Q1759,PROGRAMAS[],2,FALSE),0)</f>
        <v>0</v>
      </c>
      <c r="AF1759" s="246">
        <f>IFERROR(VLOOKUP(D1759,PROGRAMAS[],3,FALSE),0)</f>
        <v>841888629.31080008</v>
      </c>
      <c r="AG1759" s="246">
        <f>IFERROR(VLOOKUP(E1759,PROGRAMAS[],3,FALSE),0)</f>
        <v>3848980803.1642323</v>
      </c>
      <c r="AH1759" s="246">
        <f>IFERROR(VLOOKUP(F1759,PROGRAMAS[],3,FALSE),0)</f>
        <v>3394901471.387517</v>
      </c>
      <c r="AI1759" s="246">
        <f>IFERROR(VLOOKUP(G1759,PROGRAMAS[],3,FALSE),0)</f>
        <v>1233505101.0616004</v>
      </c>
      <c r="AJ1759" s="246">
        <f>IFERROR(VLOOKUP(H1759,PROGRAMAS[],3,FALSE),0)</f>
        <v>7011279577.519702</v>
      </c>
      <c r="AK1759" s="246">
        <f>IFERROR(VLOOKUP(I1759,PROGRAMAS[],3,FALSE),0)</f>
        <v>4099471734.9978786</v>
      </c>
      <c r="AL1759" s="246">
        <f>IFERROR(VLOOKUP(J1759,PROGRAMAS[],3,FALSE),0)</f>
        <v>675517840.109828</v>
      </c>
      <c r="AM1759" s="246">
        <f>IFERROR(VLOOKUP(K1759,PROGRAMAS[],3,FALSE),0)</f>
        <v>31865326.38096505</v>
      </c>
      <c r="AN1759" s="246">
        <f>IFERROR(VLOOKUP(L1759,PROGRAMAS[],3,FALSE),0)</f>
        <v>118617452.52510804</v>
      </c>
      <c r="AO1759" s="246">
        <f>IFERROR(VLOOKUP(M1759,PROGRAMAS[],3,FALSE),0)</f>
        <v>2406564599.0319901</v>
      </c>
      <c r="AP1759" s="246">
        <f>IFERROR(VLOOKUP(N1759,PROGRAMAS[],3,FALSE),0)</f>
        <v>0</v>
      </c>
      <c r="AQ1759" s="246">
        <f>IFERROR(VLOOKUP(O1759,PROGRAMAS[],3,FALSE),0)</f>
        <v>0</v>
      </c>
      <c r="AR1759" s="246">
        <f>IFERROR(VLOOKUP(P1759,PROGRAMAS[],3,FALSE),0)</f>
        <v>0</v>
      </c>
      <c r="AS1759" s="246">
        <f>IFERROR(VLOOKUP(Q1759,PROGRAMAS[],3,FALSE),0)</f>
        <v>0</v>
      </c>
      <c r="AT1759" s="246">
        <f>IFERROR(VLOOKUP(D1759,VOL_REC[],2,FALSE),0)</f>
        <v>0</v>
      </c>
      <c r="AU1759" s="246">
        <f>IFERROR(VLOOKUP(E1759,VOL_REC[],2,FALSE),0)</f>
        <v>0</v>
      </c>
      <c r="AV1759" s="246">
        <f>IFERROR(VLOOKUP(F1759,VOL_REC[],2,FALSE),0)</f>
        <v>11089674.200000001</v>
      </c>
      <c r="AW1759" s="246">
        <f>IFERROR(VLOOKUP(G1759,VOL_REC[],2,FALSE),0)</f>
        <v>4325103.1812214684</v>
      </c>
      <c r="AX1759" s="246">
        <f>IFERROR(VLOOKUP(H1759,VOL_REC[],2,FALSE),0)</f>
        <v>3761786</v>
      </c>
      <c r="AY1759" s="246">
        <f>IFERROR(VLOOKUP(I1759,VOL_REC[],2,FALSE),0)</f>
        <v>1812240</v>
      </c>
      <c r="AZ1759" s="246">
        <f>IFERROR(VLOOKUP(J1759,VOL_REC[],2,FALSE),0)</f>
        <v>240696.79238099116</v>
      </c>
      <c r="BA1759" s="246">
        <f>IFERROR(VLOOKUP(K1759,VOL_REC[],2,FALSE),0)</f>
        <v>17074.045034105649</v>
      </c>
      <c r="BB1759" s="246">
        <f>IFERROR(VLOOKUP(L1759,VOL_REC[],2,FALSE),0)</f>
        <v>105072</v>
      </c>
      <c r="BC1759" s="246">
        <f>IFERROR(VLOOKUP(M1759,VOL_REC[],2,FALSE),0)</f>
        <v>1072354.9981737854</v>
      </c>
      <c r="BD1759" s="246">
        <f>IFERROR(VLOOKUP(N1759,VOL_REC[],2,FALSE),0)</f>
        <v>0</v>
      </c>
      <c r="BE1759" s="246">
        <f>IFERROR(VLOOKUP(O1759,VOL_REC[],2,FALSE),0)</f>
        <v>0</v>
      </c>
      <c r="BF1759" s="246">
        <f>IFERROR(VLOOKUP(P1759,VOL_REC[],2,FALSE),0)</f>
        <v>0</v>
      </c>
      <c r="BG1759" s="246">
        <f>IFERROR(VLOOKUP(Q1759,VOL_REC[],2,FALSE),0)</f>
        <v>0</v>
      </c>
      <c r="BH1759" s="1710">
        <f t="shared" si="108"/>
        <v>24014381265.255848</v>
      </c>
      <c r="BI1759" s="1710">
        <f t="shared" si="109"/>
        <v>23662592535.489624</v>
      </c>
      <c r="BJ1759" s="1711">
        <f t="shared" si="110"/>
        <v>22424001.216810353</v>
      </c>
      <c r="BK1759" s="1711">
        <f t="shared" si="111"/>
        <v>1.0148668718036118</v>
      </c>
      <c r="BL1759">
        <f>BJ1759</f>
        <v>22424001.216810353</v>
      </c>
      <c r="BO1759">
        <f>BL1759</f>
        <v>22424001.216810353</v>
      </c>
    </row>
    <row r="1760" spans="3:67" x14ac:dyDescent="0.25">
      <c r="C1760" s="246" t="s">
        <v>3110</v>
      </c>
      <c r="D1760" s="246">
        <v>1</v>
      </c>
      <c r="E1760" s="246">
        <v>2</v>
      </c>
      <c r="F1760" s="246">
        <v>3</v>
      </c>
      <c r="G1760" s="246">
        <v>5</v>
      </c>
      <c r="H1760" s="246">
        <v>9</v>
      </c>
      <c r="I1760" s="246">
        <v>10</v>
      </c>
      <c r="J1760" s="246">
        <v>12</v>
      </c>
      <c r="K1760" s="246">
        <v>14</v>
      </c>
      <c r="L1760" s="246">
        <v>15</v>
      </c>
      <c r="M1760" s="246">
        <v>17</v>
      </c>
      <c r="N1760" s="246"/>
      <c r="O1760" s="246"/>
      <c r="P1760" s="246"/>
      <c r="Q1760" s="246"/>
      <c r="R1760" s="246">
        <f>IFERROR(VLOOKUP(D1760,PROGRAMAS[],2,FALSE),0)</f>
        <v>97037803.679377079</v>
      </c>
      <c r="S1760" s="246">
        <f>IFERROR(VLOOKUP(E1760,PROGRAMAS[],2,FALSE),0)</f>
        <v>640501509.6821388</v>
      </c>
      <c r="T1760" s="246">
        <f>IFERROR(VLOOKUP(F1760,PROGRAMAS[],2,FALSE),0)</f>
        <v>3062327798.1525245</v>
      </c>
      <c r="U1760" s="246">
        <f>IFERROR(VLOOKUP(G1760,PROGRAMAS[],2,FALSE),0)</f>
        <v>1440941976.2528784</v>
      </c>
      <c r="V1760" s="246">
        <f>IFERROR(VLOOKUP(H1760,PROGRAMAS[],2,FALSE),0)</f>
        <v>6128579952.1618185</v>
      </c>
      <c r="W1760" s="246">
        <f>IFERROR(VLOOKUP(I1760,PROGRAMAS[],2,FALSE),0)</f>
        <v>4635315027.8751087</v>
      </c>
      <c r="X1760" s="246">
        <f>IFERROR(VLOOKUP(J1760,PROGRAMAS[],2,FALSE),0)</f>
        <v>764796700.79905891</v>
      </c>
      <c r="Y1760" s="246">
        <f>IFERROR(VLOOKUP(K1760,PROGRAMAS[],2,FALSE),0)</f>
        <v>54223862.645839565</v>
      </c>
      <c r="Z1760" s="246">
        <f>IFERROR(VLOOKUP(L1760,PROGRAMAS[],2,FALSE),0)</f>
        <v>122159672.96346797</v>
      </c>
      <c r="AA1760" s="246">
        <f>IFERROR(VLOOKUP(M1760,PROGRAMAS[],2,FALSE),0)</f>
        <v>1892779498.5211046</v>
      </c>
      <c r="AB1760" s="246">
        <f>IFERROR(VLOOKUP(N1760,PROGRAMAS[],2,FALSE),0)</f>
        <v>0</v>
      </c>
      <c r="AC1760" s="246">
        <f>IFERROR(VLOOKUP(O1760,PROGRAMAS[],2,FALSE),0)</f>
        <v>0</v>
      </c>
      <c r="AD1760" s="246">
        <f>IFERROR(VLOOKUP(P1760,PROGRAMAS[],2,FALSE),0)</f>
        <v>0</v>
      </c>
      <c r="AE1760" s="246">
        <f>IFERROR(VLOOKUP(Q1760,PROGRAMAS[],2,FALSE),0)</f>
        <v>0</v>
      </c>
      <c r="AF1760" s="246">
        <f>IFERROR(VLOOKUP(D1760,PROGRAMAS[],3,FALSE),0)</f>
        <v>841888629.31080008</v>
      </c>
      <c r="AG1760" s="246">
        <f>IFERROR(VLOOKUP(E1760,PROGRAMAS[],3,FALSE),0)</f>
        <v>3848980803.1642323</v>
      </c>
      <c r="AH1760" s="246">
        <f>IFERROR(VLOOKUP(F1760,PROGRAMAS[],3,FALSE),0)</f>
        <v>3394901471.387517</v>
      </c>
      <c r="AI1760" s="246">
        <f>IFERROR(VLOOKUP(G1760,PROGRAMAS[],3,FALSE),0)</f>
        <v>1233505101.0616004</v>
      </c>
      <c r="AJ1760" s="246">
        <f>IFERROR(VLOOKUP(H1760,PROGRAMAS[],3,FALSE),0)</f>
        <v>7011279577.519702</v>
      </c>
      <c r="AK1760" s="246">
        <f>IFERROR(VLOOKUP(I1760,PROGRAMAS[],3,FALSE),0)</f>
        <v>4099471734.9978786</v>
      </c>
      <c r="AL1760" s="246">
        <f>IFERROR(VLOOKUP(J1760,PROGRAMAS[],3,FALSE),0)</f>
        <v>675517840.109828</v>
      </c>
      <c r="AM1760" s="246">
        <f>IFERROR(VLOOKUP(K1760,PROGRAMAS[],3,FALSE),0)</f>
        <v>31865326.38096505</v>
      </c>
      <c r="AN1760" s="246">
        <f>IFERROR(VLOOKUP(L1760,PROGRAMAS[],3,FALSE),0)</f>
        <v>118617452.52510804</v>
      </c>
      <c r="AO1760" s="246">
        <f>IFERROR(VLOOKUP(M1760,PROGRAMAS[],3,FALSE),0)</f>
        <v>948595847.09039903</v>
      </c>
      <c r="AP1760" s="246">
        <f>IFERROR(VLOOKUP(N1760,PROGRAMAS[],3,FALSE),0)</f>
        <v>0</v>
      </c>
      <c r="AQ1760" s="246">
        <f>IFERROR(VLOOKUP(O1760,PROGRAMAS[],3,FALSE),0)</f>
        <v>0</v>
      </c>
      <c r="AR1760" s="246">
        <f>IFERROR(VLOOKUP(P1760,PROGRAMAS[],3,FALSE),0)</f>
        <v>0</v>
      </c>
      <c r="AS1760" s="246">
        <f>IFERROR(VLOOKUP(Q1760,PROGRAMAS[],3,FALSE),0)</f>
        <v>0</v>
      </c>
      <c r="AT1760" s="246">
        <f>IFERROR(VLOOKUP(D1760,VOL_REC[],2,FALSE),0)</f>
        <v>0</v>
      </c>
      <c r="AU1760" s="246">
        <f>IFERROR(VLOOKUP(E1760,VOL_REC[],2,FALSE),0)</f>
        <v>0</v>
      </c>
      <c r="AV1760" s="246">
        <f>IFERROR(VLOOKUP(F1760,VOL_REC[],2,FALSE),0)</f>
        <v>11089674.200000001</v>
      </c>
      <c r="AW1760" s="246">
        <f>IFERROR(VLOOKUP(G1760,VOL_REC[],2,FALSE),0)</f>
        <v>4325103.1812214684</v>
      </c>
      <c r="AX1760" s="246">
        <f>IFERROR(VLOOKUP(H1760,VOL_REC[],2,FALSE),0)</f>
        <v>3761786</v>
      </c>
      <c r="AY1760" s="246">
        <f>IFERROR(VLOOKUP(I1760,VOL_REC[],2,FALSE),0)</f>
        <v>1812240</v>
      </c>
      <c r="AZ1760" s="246">
        <f>IFERROR(VLOOKUP(J1760,VOL_REC[],2,FALSE),0)</f>
        <v>240696.79238099116</v>
      </c>
      <c r="BA1760" s="246">
        <f>IFERROR(VLOOKUP(K1760,VOL_REC[],2,FALSE),0)</f>
        <v>17074.045034105649</v>
      </c>
      <c r="BB1760" s="246">
        <f>IFERROR(VLOOKUP(L1760,VOL_REC[],2,FALSE),0)</f>
        <v>105072</v>
      </c>
      <c r="BC1760" s="246">
        <f>IFERROR(VLOOKUP(M1760,VOL_REC[],2,FALSE),0)</f>
        <v>740113.98115702497</v>
      </c>
      <c r="BD1760" s="246">
        <f>IFERROR(VLOOKUP(N1760,VOL_REC[],2,FALSE),0)</f>
        <v>0</v>
      </c>
      <c r="BE1760" s="246">
        <f>IFERROR(VLOOKUP(O1760,VOL_REC[],2,FALSE),0)</f>
        <v>0</v>
      </c>
      <c r="BF1760" s="246">
        <f>IFERROR(VLOOKUP(P1760,VOL_REC[],2,FALSE),0)</f>
        <v>0</v>
      </c>
      <c r="BG1760" s="246">
        <f>IFERROR(VLOOKUP(Q1760,VOL_REC[],2,FALSE),0)</f>
        <v>0</v>
      </c>
      <c r="BH1760" s="1710">
        <f t="shared" si="108"/>
        <v>18838663802.733318</v>
      </c>
      <c r="BI1760" s="1710">
        <f t="shared" si="109"/>
        <v>22204623783.548035</v>
      </c>
      <c r="BJ1760" s="1711">
        <f t="shared" si="110"/>
        <v>22091760.199793592</v>
      </c>
      <c r="BK1760" s="1711">
        <f t="shared" si="111"/>
        <v>0.8484117536227459</v>
      </c>
    </row>
    <row r="1761" spans="3:67" x14ac:dyDescent="0.25">
      <c r="C1761" s="246" t="s">
        <v>3111</v>
      </c>
      <c r="D1761" s="246">
        <v>1</v>
      </c>
      <c r="E1761" s="246">
        <v>2</v>
      </c>
      <c r="F1761" s="246">
        <v>3</v>
      </c>
      <c r="G1761" s="246">
        <v>5</v>
      </c>
      <c r="H1761" s="246">
        <v>9</v>
      </c>
      <c r="I1761" s="246">
        <v>10</v>
      </c>
      <c r="J1761" s="246">
        <v>12</v>
      </c>
      <c r="K1761" s="246">
        <v>14</v>
      </c>
      <c r="L1761" s="246">
        <v>16</v>
      </c>
      <c r="M1761" s="246">
        <v>17</v>
      </c>
      <c r="N1761" s="246"/>
      <c r="O1761" s="246"/>
      <c r="P1761" s="246"/>
      <c r="Q1761" s="246"/>
      <c r="R1761" s="246">
        <f>IFERROR(VLOOKUP(D1761,PROGRAMAS[],2,FALSE),0)</f>
        <v>97037803.679377079</v>
      </c>
      <c r="S1761" s="246">
        <f>IFERROR(VLOOKUP(E1761,PROGRAMAS[],2,FALSE),0)</f>
        <v>640501509.6821388</v>
      </c>
      <c r="T1761" s="246">
        <f>IFERROR(VLOOKUP(F1761,PROGRAMAS[],2,FALSE),0)</f>
        <v>3062327798.1525245</v>
      </c>
      <c r="U1761" s="246">
        <f>IFERROR(VLOOKUP(G1761,PROGRAMAS[],2,FALSE),0)</f>
        <v>1440941976.2528784</v>
      </c>
      <c r="V1761" s="246">
        <f>IFERROR(VLOOKUP(H1761,PROGRAMAS[],2,FALSE),0)</f>
        <v>6128579952.1618185</v>
      </c>
      <c r="W1761" s="246">
        <f>IFERROR(VLOOKUP(I1761,PROGRAMAS[],2,FALSE),0)</f>
        <v>4635315027.8751087</v>
      </c>
      <c r="X1761" s="246">
        <f>IFERROR(VLOOKUP(J1761,PROGRAMAS[],2,FALSE),0)</f>
        <v>764796700.79905891</v>
      </c>
      <c r="Y1761" s="246">
        <f>IFERROR(VLOOKUP(K1761,PROGRAMAS[],2,FALSE),0)</f>
        <v>54223862.645839565</v>
      </c>
      <c r="Z1761" s="246">
        <f>IFERROR(VLOOKUP(L1761,PROGRAMAS[],2,FALSE),0)</f>
        <v>7068496961.0436354</v>
      </c>
      <c r="AA1761" s="246">
        <f>IFERROR(VLOOKUP(M1761,PROGRAMAS[],2,FALSE),0)</f>
        <v>1892779498.5211046</v>
      </c>
      <c r="AB1761" s="246">
        <f>IFERROR(VLOOKUP(N1761,PROGRAMAS[],2,FALSE),0)</f>
        <v>0</v>
      </c>
      <c r="AC1761" s="246">
        <f>IFERROR(VLOOKUP(O1761,PROGRAMAS[],2,FALSE),0)</f>
        <v>0</v>
      </c>
      <c r="AD1761" s="246">
        <f>IFERROR(VLOOKUP(P1761,PROGRAMAS[],2,FALSE),0)</f>
        <v>0</v>
      </c>
      <c r="AE1761" s="246">
        <f>IFERROR(VLOOKUP(Q1761,PROGRAMAS[],2,FALSE),0)</f>
        <v>0</v>
      </c>
      <c r="AF1761" s="246">
        <f>IFERROR(VLOOKUP(D1761,PROGRAMAS[],3,FALSE),0)</f>
        <v>841888629.31080008</v>
      </c>
      <c r="AG1761" s="246">
        <f>IFERROR(VLOOKUP(E1761,PROGRAMAS[],3,FALSE),0)</f>
        <v>3848980803.1642323</v>
      </c>
      <c r="AH1761" s="246">
        <f>IFERROR(VLOOKUP(F1761,PROGRAMAS[],3,FALSE),0)</f>
        <v>3394901471.387517</v>
      </c>
      <c r="AI1761" s="246">
        <f>IFERROR(VLOOKUP(G1761,PROGRAMAS[],3,FALSE),0)</f>
        <v>1233505101.0616004</v>
      </c>
      <c r="AJ1761" s="246">
        <f>IFERROR(VLOOKUP(H1761,PROGRAMAS[],3,FALSE),0)</f>
        <v>7011279577.519702</v>
      </c>
      <c r="AK1761" s="246">
        <f>IFERROR(VLOOKUP(I1761,PROGRAMAS[],3,FALSE),0)</f>
        <v>4099471734.9978786</v>
      </c>
      <c r="AL1761" s="246">
        <f>IFERROR(VLOOKUP(J1761,PROGRAMAS[],3,FALSE),0)</f>
        <v>675517840.109828</v>
      </c>
      <c r="AM1761" s="246">
        <f>IFERROR(VLOOKUP(K1761,PROGRAMAS[],3,FALSE),0)</f>
        <v>31865326.38096505</v>
      </c>
      <c r="AN1761" s="246">
        <f>IFERROR(VLOOKUP(L1761,PROGRAMAS[],3,FALSE),0)</f>
        <v>2406564599.0319901</v>
      </c>
      <c r="AO1761" s="246">
        <f>IFERROR(VLOOKUP(M1761,PROGRAMAS[],3,FALSE),0)</f>
        <v>948595847.09039903</v>
      </c>
      <c r="AP1761" s="246">
        <f>IFERROR(VLOOKUP(N1761,PROGRAMAS[],3,FALSE),0)</f>
        <v>0</v>
      </c>
      <c r="AQ1761" s="246">
        <f>IFERROR(VLOOKUP(O1761,PROGRAMAS[],3,FALSE),0)</f>
        <v>0</v>
      </c>
      <c r="AR1761" s="246">
        <f>IFERROR(VLOOKUP(P1761,PROGRAMAS[],3,FALSE),0)</f>
        <v>0</v>
      </c>
      <c r="AS1761" s="246">
        <f>IFERROR(VLOOKUP(Q1761,PROGRAMAS[],3,FALSE),0)</f>
        <v>0</v>
      </c>
      <c r="AT1761" s="246">
        <f>IFERROR(VLOOKUP(D1761,VOL_REC[],2,FALSE),0)</f>
        <v>0</v>
      </c>
      <c r="AU1761" s="246">
        <f>IFERROR(VLOOKUP(E1761,VOL_REC[],2,FALSE),0)</f>
        <v>0</v>
      </c>
      <c r="AV1761" s="246">
        <f>IFERROR(VLOOKUP(F1761,VOL_REC[],2,FALSE),0)</f>
        <v>11089674.200000001</v>
      </c>
      <c r="AW1761" s="246">
        <f>IFERROR(VLOOKUP(G1761,VOL_REC[],2,FALSE),0)</f>
        <v>4325103.1812214684</v>
      </c>
      <c r="AX1761" s="246">
        <f>IFERROR(VLOOKUP(H1761,VOL_REC[],2,FALSE),0)</f>
        <v>3761786</v>
      </c>
      <c r="AY1761" s="246">
        <f>IFERROR(VLOOKUP(I1761,VOL_REC[],2,FALSE),0)</f>
        <v>1812240</v>
      </c>
      <c r="AZ1761" s="246">
        <f>IFERROR(VLOOKUP(J1761,VOL_REC[],2,FALSE),0)</f>
        <v>240696.79238099116</v>
      </c>
      <c r="BA1761" s="246">
        <f>IFERROR(VLOOKUP(K1761,VOL_REC[],2,FALSE),0)</f>
        <v>17074.045034105649</v>
      </c>
      <c r="BB1761" s="246">
        <f>IFERROR(VLOOKUP(L1761,VOL_REC[],2,FALSE),0)</f>
        <v>1072354.9981737854</v>
      </c>
      <c r="BC1761" s="246">
        <f>IFERROR(VLOOKUP(M1761,VOL_REC[],2,FALSE),0)</f>
        <v>740113.98115702497</v>
      </c>
      <c r="BD1761" s="246">
        <f>IFERROR(VLOOKUP(N1761,VOL_REC[],2,FALSE),0)</f>
        <v>0</v>
      </c>
      <c r="BE1761" s="246">
        <f>IFERROR(VLOOKUP(O1761,VOL_REC[],2,FALSE),0)</f>
        <v>0</v>
      </c>
      <c r="BF1761" s="246">
        <f>IFERROR(VLOOKUP(P1761,VOL_REC[],2,FALSE),0)</f>
        <v>0</v>
      </c>
      <c r="BG1761" s="246">
        <f>IFERROR(VLOOKUP(Q1761,VOL_REC[],2,FALSE),0)</f>
        <v>0</v>
      </c>
      <c r="BH1761" s="1710">
        <f t="shared" si="108"/>
        <v>25785001090.813484</v>
      </c>
      <c r="BI1761" s="1710">
        <f t="shared" si="109"/>
        <v>24492570930.054916</v>
      </c>
      <c r="BJ1761" s="1711">
        <f t="shared" si="110"/>
        <v>23059043.197967377</v>
      </c>
      <c r="BK1761" s="1711">
        <f t="shared" si="111"/>
        <v>1.0527682522365434</v>
      </c>
      <c r="BL1761">
        <f>BJ1761</f>
        <v>23059043.197967377</v>
      </c>
      <c r="BO1761">
        <f>BL1761</f>
        <v>23059043.197967377</v>
      </c>
    </row>
    <row r="1762" spans="3:67" x14ac:dyDescent="0.25">
      <c r="C1762" s="246" t="s">
        <v>3112</v>
      </c>
      <c r="D1762" s="246">
        <v>1</v>
      </c>
      <c r="E1762" s="246">
        <v>2</v>
      </c>
      <c r="F1762" s="246">
        <v>3</v>
      </c>
      <c r="G1762" s="246">
        <v>5</v>
      </c>
      <c r="H1762" s="246">
        <v>9</v>
      </c>
      <c r="I1762" s="246">
        <v>10</v>
      </c>
      <c r="J1762" s="246">
        <v>12</v>
      </c>
      <c r="K1762" s="246">
        <v>15</v>
      </c>
      <c r="L1762" s="246">
        <v>16</v>
      </c>
      <c r="M1762" s="246">
        <v>17</v>
      </c>
      <c r="N1762" s="246"/>
      <c r="O1762" s="246"/>
      <c r="P1762" s="246"/>
      <c r="Q1762" s="246"/>
      <c r="R1762" s="246">
        <f>IFERROR(VLOOKUP(D1762,PROGRAMAS[],2,FALSE),0)</f>
        <v>97037803.679377079</v>
      </c>
      <c r="S1762" s="246">
        <f>IFERROR(VLOOKUP(E1762,PROGRAMAS[],2,FALSE),0)</f>
        <v>640501509.6821388</v>
      </c>
      <c r="T1762" s="246">
        <f>IFERROR(VLOOKUP(F1762,PROGRAMAS[],2,FALSE),0)</f>
        <v>3062327798.1525245</v>
      </c>
      <c r="U1762" s="246">
        <f>IFERROR(VLOOKUP(G1762,PROGRAMAS[],2,FALSE),0)</f>
        <v>1440941976.2528784</v>
      </c>
      <c r="V1762" s="246">
        <f>IFERROR(VLOOKUP(H1762,PROGRAMAS[],2,FALSE),0)</f>
        <v>6128579952.1618185</v>
      </c>
      <c r="W1762" s="246">
        <f>IFERROR(VLOOKUP(I1762,PROGRAMAS[],2,FALSE),0)</f>
        <v>4635315027.8751087</v>
      </c>
      <c r="X1762" s="246">
        <f>IFERROR(VLOOKUP(J1762,PROGRAMAS[],2,FALSE),0)</f>
        <v>764796700.79905891</v>
      </c>
      <c r="Y1762" s="246">
        <f>IFERROR(VLOOKUP(K1762,PROGRAMAS[],2,FALSE),0)</f>
        <v>122159672.96346797</v>
      </c>
      <c r="Z1762" s="246">
        <f>IFERROR(VLOOKUP(L1762,PROGRAMAS[],2,FALSE),0)</f>
        <v>7068496961.0436354</v>
      </c>
      <c r="AA1762" s="246">
        <f>IFERROR(VLOOKUP(M1762,PROGRAMAS[],2,FALSE),0)</f>
        <v>1892779498.5211046</v>
      </c>
      <c r="AB1762" s="246">
        <f>IFERROR(VLOOKUP(N1762,PROGRAMAS[],2,FALSE),0)</f>
        <v>0</v>
      </c>
      <c r="AC1762" s="246">
        <f>IFERROR(VLOOKUP(O1762,PROGRAMAS[],2,FALSE),0)</f>
        <v>0</v>
      </c>
      <c r="AD1762" s="246">
        <f>IFERROR(VLOOKUP(P1762,PROGRAMAS[],2,FALSE),0)</f>
        <v>0</v>
      </c>
      <c r="AE1762" s="246">
        <f>IFERROR(VLOOKUP(Q1762,PROGRAMAS[],2,FALSE),0)</f>
        <v>0</v>
      </c>
      <c r="AF1762" s="246">
        <f>IFERROR(VLOOKUP(D1762,PROGRAMAS[],3,FALSE),0)</f>
        <v>841888629.31080008</v>
      </c>
      <c r="AG1762" s="246">
        <f>IFERROR(VLOOKUP(E1762,PROGRAMAS[],3,FALSE),0)</f>
        <v>3848980803.1642323</v>
      </c>
      <c r="AH1762" s="246">
        <f>IFERROR(VLOOKUP(F1762,PROGRAMAS[],3,FALSE),0)</f>
        <v>3394901471.387517</v>
      </c>
      <c r="AI1762" s="246">
        <f>IFERROR(VLOOKUP(G1762,PROGRAMAS[],3,FALSE),0)</f>
        <v>1233505101.0616004</v>
      </c>
      <c r="AJ1762" s="246">
        <f>IFERROR(VLOOKUP(H1762,PROGRAMAS[],3,FALSE),0)</f>
        <v>7011279577.519702</v>
      </c>
      <c r="AK1762" s="246">
        <f>IFERROR(VLOOKUP(I1762,PROGRAMAS[],3,FALSE),0)</f>
        <v>4099471734.9978786</v>
      </c>
      <c r="AL1762" s="246">
        <f>IFERROR(VLOOKUP(J1762,PROGRAMAS[],3,FALSE),0)</f>
        <v>675517840.109828</v>
      </c>
      <c r="AM1762" s="246">
        <f>IFERROR(VLOOKUP(K1762,PROGRAMAS[],3,FALSE),0)</f>
        <v>118617452.52510804</v>
      </c>
      <c r="AN1762" s="246">
        <f>IFERROR(VLOOKUP(L1762,PROGRAMAS[],3,FALSE),0)</f>
        <v>2406564599.0319901</v>
      </c>
      <c r="AO1762" s="246">
        <f>IFERROR(VLOOKUP(M1762,PROGRAMAS[],3,FALSE),0)</f>
        <v>948595847.09039903</v>
      </c>
      <c r="AP1762" s="246">
        <f>IFERROR(VLOOKUP(N1762,PROGRAMAS[],3,FALSE),0)</f>
        <v>0</v>
      </c>
      <c r="AQ1762" s="246">
        <f>IFERROR(VLOOKUP(O1762,PROGRAMAS[],3,FALSE),0)</f>
        <v>0</v>
      </c>
      <c r="AR1762" s="246">
        <f>IFERROR(VLOOKUP(P1762,PROGRAMAS[],3,FALSE),0)</f>
        <v>0</v>
      </c>
      <c r="AS1762" s="246">
        <f>IFERROR(VLOOKUP(Q1762,PROGRAMAS[],3,FALSE),0)</f>
        <v>0</v>
      </c>
      <c r="AT1762" s="246">
        <f>IFERROR(VLOOKUP(D1762,VOL_REC[],2,FALSE),0)</f>
        <v>0</v>
      </c>
      <c r="AU1762" s="246">
        <f>IFERROR(VLOOKUP(E1762,VOL_REC[],2,FALSE),0)</f>
        <v>0</v>
      </c>
      <c r="AV1762" s="246">
        <f>IFERROR(VLOOKUP(F1762,VOL_REC[],2,FALSE),0)</f>
        <v>11089674.200000001</v>
      </c>
      <c r="AW1762" s="246">
        <f>IFERROR(VLOOKUP(G1762,VOL_REC[],2,FALSE),0)</f>
        <v>4325103.1812214684</v>
      </c>
      <c r="AX1762" s="246">
        <f>IFERROR(VLOOKUP(H1762,VOL_REC[],2,FALSE),0)</f>
        <v>3761786</v>
      </c>
      <c r="AY1762" s="246">
        <f>IFERROR(VLOOKUP(I1762,VOL_REC[],2,FALSE),0)</f>
        <v>1812240</v>
      </c>
      <c r="AZ1762" s="246">
        <f>IFERROR(VLOOKUP(J1762,VOL_REC[],2,FALSE),0)</f>
        <v>240696.79238099116</v>
      </c>
      <c r="BA1762" s="246">
        <f>IFERROR(VLOOKUP(K1762,VOL_REC[],2,FALSE),0)</f>
        <v>105072</v>
      </c>
      <c r="BB1762" s="246">
        <f>IFERROR(VLOOKUP(L1762,VOL_REC[],2,FALSE),0)</f>
        <v>1072354.9981737854</v>
      </c>
      <c r="BC1762" s="246">
        <f>IFERROR(VLOOKUP(M1762,VOL_REC[],2,FALSE),0)</f>
        <v>740113.98115702497</v>
      </c>
      <c r="BD1762" s="246">
        <f>IFERROR(VLOOKUP(N1762,VOL_REC[],2,FALSE),0)</f>
        <v>0</v>
      </c>
      <c r="BE1762" s="246">
        <f>IFERROR(VLOOKUP(O1762,VOL_REC[],2,FALSE),0)</f>
        <v>0</v>
      </c>
      <c r="BF1762" s="246">
        <f>IFERROR(VLOOKUP(P1762,VOL_REC[],2,FALSE),0)</f>
        <v>0</v>
      </c>
      <c r="BG1762" s="246">
        <f>IFERROR(VLOOKUP(Q1762,VOL_REC[],2,FALSE),0)</f>
        <v>0</v>
      </c>
      <c r="BH1762" s="1710">
        <f t="shared" si="108"/>
        <v>25852936901.131111</v>
      </c>
      <c r="BI1762" s="1710">
        <f t="shared" si="109"/>
        <v>24579323056.199059</v>
      </c>
      <c r="BJ1762" s="1711">
        <f t="shared" si="110"/>
        <v>23147041.15293327</v>
      </c>
      <c r="BK1762" s="1711">
        <f t="shared" si="111"/>
        <v>1.0518164736278544</v>
      </c>
      <c r="BL1762">
        <f>BJ1762</f>
        <v>23147041.15293327</v>
      </c>
      <c r="BO1762">
        <f>BL1762</f>
        <v>23147041.15293327</v>
      </c>
    </row>
    <row r="1763" spans="3:67" x14ac:dyDescent="0.25">
      <c r="C1763" s="246" t="s">
        <v>3113</v>
      </c>
      <c r="D1763" s="246">
        <v>1</v>
      </c>
      <c r="E1763" s="246">
        <v>2</v>
      </c>
      <c r="F1763" s="246">
        <v>3</v>
      </c>
      <c r="G1763" s="246">
        <v>5</v>
      </c>
      <c r="H1763" s="246">
        <v>9</v>
      </c>
      <c r="I1763" s="246">
        <v>10</v>
      </c>
      <c r="J1763" s="246">
        <v>13</v>
      </c>
      <c r="K1763" s="246">
        <v>14</v>
      </c>
      <c r="L1763" s="246">
        <v>15</v>
      </c>
      <c r="M1763" s="246">
        <v>16</v>
      </c>
      <c r="N1763" s="246"/>
      <c r="O1763" s="246"/>
      <c r="P1763" s="246"/>
      <c r="Q1763" s="246"/>
      <c r="R1763" s="246">
        <f>IFERROR(VLOOKUP(D1763,PROGRAMAS[],2,FALSE),0)</f>
        <v>97037803.679377079</v>
      </c>
      <c r="S1763" s="246">
        <f>IFERROR(VLOOKUP(E1763,PROGRAMAS[],2,FALSE),0)</f>
        <v>640501509.6821388</v>
      </c>
      <c r="T1763" s="246">
        <f>IFERROR(VLOOKUP(F1763,PROGRAMAS[],2,FALSE),0)</f>
        <v>3062327798.1525245</v>
      </c>
      <c r="U1763" s="246">
        <f>IFERROR(VLOOKUP(G1763,PROGRAMAS[],2,FALSE),0)</f>
        <v>1440941976.2528784</v>
      </c>
      <c r="V1763" s="246">
        <f>IFERROR(VLOOKUP(H1763,PROGRAMAS[],2,FALSE),0)</f>
        <v>6128579952.1618185</v>
      </c>
      <c r="W1763" s="246">
        <f>IFERROR(VLOOKUP(I1763,PROGRAMAS[],2,FALSE),0)</f>
        <v>4635315027.8751087</v>
      </c>
      <c r="X1763" s="246">
        <f>IFERROR(VLOOKUP(J1763,PROGRAMAS[],2,FALSE),0)</f>
        <v>3776538594.4604583</v>
      </c>
      <c r="Y1763" s="246">
        <f>IFERROR(VLOOKUP(K1763,PROGRAMAS[],2,FALSE),0)</f>
        <v>54223862.645839565</v>
      </c>
      <c r="Z1763" s="246">
        <f>IFERROR(VLOOKUP(L1763,PROGRAMAS[],2,FALSE),0)</f>
        <v>122159672.96346797</v>
      </c>
      <c r="AA1763" s="246">
        <f>IFERROR(VLOOKUP(M1763,PROGRAMAS[],2,FALSE),0)</f>
        <v>7068496961.0436354</v>
      </c>
      <c r="AB1763" s="246">
        <f>IFERROR(VLOOKUP(N1763,PROGRAMAS[],2,FALSE),0)</f>
        <v>0</v>
      </c>
      <c r="AC1763" s="246">
        <f>IFERROR(VLOOKUP(O1763,PROGRAMAS[],2,FALSE),0)</f>
        <v>0</v>
      </c>
      <c r="AD1763" s="246">
        <f>IFERROR(VLOOKUP(P1763,PROGRAMAS[],2,FALSE),0)</f>
        <v>0</v>
      </c>
      <c r="AE1763" s="246">
        <f>IFERROR(VLOOKUP(Q1763,PROGRAMAS[],2,FALSE),0)</f>
        <v>0</v>
      </c>
      <c r="AF1763" s="246">
        <f>IFERROR(VLOOKUP(D1763,PROGRAMAS[],3,FALSE),0)</f>
        <v>841888629.31080008</v>
      </c>
      <c r="AG1763" s="246">
        <f>IFERROR(VLOOKUP(E1763,PROGRAMAS[],3,FALSE),0)</f>
        <v>3848980803.1642323</v>
      </c>
      <c r="AH1763" s="246">
        <f>IFERROR(VLOOKUP(F1763,PROGRAMAS[],3,FALSE),0)</f>
        <v>3394901471.387517</v>
      </c>
      <c r="AI1763" s="246">
        <f>IFERROR(VLOOKUP(G1763,PROGRAMAS[],3,FALSE),0)</f>
        <v>1233505101.0616004</v>
      </c>
      <c r="AJ1763" s="246">
        <f>IFERROR(VLOOKUP(H1763,PROGRAMAS[],3,FALSE),0)</f>
        <v>7011279577.519702</v>
      </c>
      <c r="AK1763" s="246">
        <f>IFERROR(VLOOKUP(I1763,PROGRAMAS[],3,FALSE),0)</f>
        <v>4099471734.9978786</v>
      </c>
      <c r="AL1763" s="246">
        <f>IFERROR(VLOOKUP(J1763,PROGRAMAS[],3,FALSE),0)</f>
        <v>2392571243.5584412</v>
      </c>
      <c r="AM1763" s="246">
        <f>IFERROR(VLOOKUP(K1763,PROGRAMAS[],3,FALSE),0)</f>
        <v>31865326.38096505</v>
      </c>
      <c r="AN1763" s="246">
        <f>IFERROR(VLOOKUP(L1763,PROGRAMAS[],3,FALSE),0)</f>
        <v>118617452.52510804</v>
      </c>
      <c r="AO1763" s="246">
        <f>IFERROR(VLOOKUP(M1763,PROGRAMAS[],3,FALSE),0)</f>
        <v>2406564599.0319901</v>
      </c>
      <c r="AP1763" s="246">
        <f>IFERROR(VLOOKUP(N1763,PROGRAMAS[],3,FALSE),0)</f>
        <v>0</v>
      </c>
      <c r="AQ1763" s="246">
        <f>IFERROR(VLOOKUP(O1763,PROGRAMAS[],3,FALSE),0)</f>
        <v>0</v>
      </c>
      <c r="AR1763" s="246">
        <f>IFERROR(VLOOKUP(P1763,PROGRAMAS[],3,FALSE),0)</f>
        <v>0</v>
      </c>
      <c r="AS1763" s="246">
        <f>IFERROR(VLOOKUP(Q1763,PROGRAMAS[],3,FALSE),0)</f>
        <v>0</v>
      </c>
      <c r="AT1763" s="246">
        <f>IFERROR(VLOOKUP(D1763,VOL_REC[],2,FALSE),0)</f>
        <v>0</v>
      </c>
      <c r="AU1763" s="246">
        <f>IFERROR(VLOOKUP(E1763,VOL_REC[],2,FALSE),0)</f>
        <v>0</v>
      </c>
      <c r="AV1763" s="246">
        <f>IFERROR(VLOOKUP(F1763,VOL_REC[],2,FALSE),0)</f>
        <v>11089674.200000001</v>
      </c>
      <c r="AW1763" s="246">
        <f>IFERROR(VLOOKUP(G1763,VOL_REC[],2,FALSE),0)</f>
        <v>4325103.1812214684</v>
      </c>
      <c r="AX1763" s="246">
        <f>IFERROR(VLOOKUP(H1763,VOL_REC[],2,FALSE),0)</f>
        <v>3761786</v>
      </c>
      <c r="AY1763" s="246">
        <f>IFERROR(VLOOKUP(I1763,VOL_REC[],2,FALSE),0)</f>
        <v>1812240</v>
      </c>
      <c r="AZ1763" s="246">
        <f>IFERROR(VLOOKUP(J1763,VOL_REC[],2,FALSE),0)</f>
        <v>663244.80000000016</v>
      </c>
      <c r="BA1763" s="246">
        <f>IFERROR(VLOOKUP(K1763,VOL_REC[],2,FALSE),0)</f>
        <v>17074.045034105649</v>
      </c>
      <c r="BB1763" s="246">
        <f>IFERROR(VLOOKUP(L1763,VOL_REC[],2,FALSE),0)</f>
        <v>105072</v>
      </c>
      <c r="BC1763" s="246">
        <f>IFERROR(VLOOKUP(M1763,VOL_REC[],2,FALSE),0)</f>
        <v>1072354.9981737854</v>
      </c>
      <c r="BD1763" s="246">
        <f>IFERROR(VLOOKUP(N1763,VOL_REC[],2,FALSE),0)</f>
        <v>0</v>
      </c>
      <c r="BE1763" s="246">
        <f>IFERROR(VLOOKUP(O1763,VOL_REC[],2,FALSE),0)</f>
        <v>0</v>
      </c>
      <c r="BF1763" s="246">
        <f>IFERROR(VLOOKUP(P1763,VOL_REC[],2,FALSE),0)</f>
        <v>0</v>
      </c>
      <c r="BG1763" s="246">
        <f>IFERROR(VLOOKUP(Q1763,VOL_REC[],2,FALSE),0)</f>
        <v>0</v>
      </c>
      <c r="BH1763" s="1710">
        <f t="shared" si="108"/>
        <v>27026123158.917248</v>
      </c>
      <c r="BI1763" s="1710">
        <f t="shared" si="109"/>
        <v>25379645938.938236</v>
      </c>
      <c r="BJ1763" s="1711">
        <f t="shared" si="110"/>
        <v>22846549.224429362</v>
      </c>
      <c r="BK1763" s="1711">
        <f t="shared" si="111"/>
        <v>1.0648739239286602</v>
      </c>
      <c r="BL1763">
        <f>BJ1763</f>
        <v>22846549.224429362</v>
      </c>
      <c r="BO1763">
        <f>BL1763</f>
        <v>22846549.224429362</v>
      </c>
    </row>
    <row r="1764" spans="3:67" x14ac:dyDescent="0.25">
      <c r="C1764" s="246" t="s">
        <v>3114</v>
      </c>
      <c r="D1764" s="246">
        <v>1</v>
      </c>
      <c r="E1764" s="246">
        <v>2</v>
      </c>
      <c r="F1764" s="246">
        <v>3</v>
      </c>
      <c r="G1764" s="246">
        <v>5</v>
      </c>
      <c r="H1764" s="246">
        <v>9</v>
      </c>
      <c r="I1764" s="246">
        <v>10</v>
      </c>
      <c r="J1764" s="246">
        <v>13</v>
      </c>
      <c r="K1764" s="246">
        <v>14</v>
      </c>
      <c r="L1764" s="246">
        <v>15</v>
      </c>
      <c r="M1764" s="246">
        <v>17</v>
      </c>
      <c r="N1764" s="246"/>
      <c r="O1764" s="246"/>
      <c r="P1764" s="246"/>
      <c r="Q1764" s="246"/>
      <c r="R1764" s="246">
        <f>IFERROR(VLOOKUP(D1764,PROGRAMAS[],2,FALSE),0)</f>
        <v>97037803.679377079</v>
      </c>
      <c r="S1764" s="246">
        <f>IFERROR(VLOOKUP(E1764,PROGRAMAS[],2,FALSE),0)</f>
        <v>640501509.6821388</v>
      </c>
      <c r="T1764" s="246">
        <f>IFERROR(VLOOKUP(F1764,PROGRAMAS[],2,FALSE),0)</f>
        <v>3062327798.1525245</v>
      </c>
      <c r="U1764" s="246">
        <f>IFERROR(VLOOKUP(G1764,PROGRAMAS[],2,FALSE),0)</f>
        <v>1440941976.2528784</v>
      </c>
      <c r="V1764" s="246">
        <f>IFERROR(VLOOKUP(H1764,PROGRAMAS[],2,FALSE),0)</f>
        <v>6128579952.1618185</v>
      </c>
      <c r="W1764" s="246">
        <f>IFERROR(VLOOKUP(I1764,PROGRAMAS[],2,FALSE),0)</f>
        <v>4635315027.8751087</v>
      </c>
      <c r="X1764" s="246">
        <f>IFERROR(VLOOKUP(J1764,PROGRAMAS[],2,FALSE),0)</f>
        <v>3776538594.4604583</v>
      </c>
      <c r="Y1764" s="246">
        <f>IFERROR(VLOOKUP(K1764,PROGRAMAS[],2,FALSE),0)</f>
        <v>54223862.645839565</v>
      </c>
      <c r="Z1764" s="246">
        <f>IFERROR(VLOOKUP(L1764,PROGRAMAS[],2,FALSE),0)</f>
        <v>122159672.96346797</v>
      </c>
      <c r="AA1764" s="246">
        <f>IFERROR(VLOOKUP(M1764,PROGRAMAS[],2,FALSE),0)</f>
        <v>1892779498.5211046</v>
      </c>
      <c r="AB1764" s="246">
        <f>IFERROR(VLOOKUP(N1764,PROGRAMAS[],2,FALSE),0)</f>
        <v>0</v>
      </c>
      <c r="AC1764" s="246">
        <f>IFERROR(VLOOKUP(O1764,PROGRAMAS[],2,FALSE),0)</f>
        <v>0</v>
      </c>
      <c r="AD1764" s="246">
        <f>IFERROR(VLOOKUP(P1764,PROGRAMAS[],2,FALSE),0)</f>
        <v>0</v>
      </c>
      <c r="AE1764" s="246">
        <f>IFERROR(VLOOKUP(Q1764,PROGRAMAS[],2,FALSE),0)</f>
        <v>0</v>
      </c>
      <c r="AF1764" s="246">
        <f>IFERROR(VLOOKUP(D1764,PROGRAMAS[],3,FALSE),0)</f>
        <v>841888629.31080008</v>
      </c>
      <c r="AG1764" s="246">
        <f>IFERROR(VLOOKUP(E1764,PROGRAMAS[],3,FALSE),0)</f>
        <v>3848980803.1642323</v>
      </c>
      <c r="AH1764" s="246">
        <f>IFERROR(VLOOKUP(F1764,PROGRAMAS[],3,FALSE),0)</f>
        <v>3394901471.387517</v>
      </c>
      <c r="AI1764" s="246">
        <f>IFERROR(VLOOKUP(G1764,PROGRAMAS[],3,FALSE),0)</f>
        <v>1233505101.0616004</v>
      </c>
      <c r="AJ1764" s="246">
        <f>IFERROR(VLOOKUP(H1764,PROGRAMAS[],3,FALSE),0)</f>
        <v>7011279577.519702</v>
      </c>
      <c r="AK1764" s="246">
        <f>IFERROR(VLOOKUP(I1764,PROGRAMAS[],3,FALSE),0)</f>
        <v>4099471734.9978786</v>
      </c>
      <c r="AL1764" s="246">
        <f>IFERROR(VLOOKUP(J1764,PROGRAMAS[],3,FALSE),0)</f>
        <v>2392571243.5584412</v>
      </c>
      <c r="AM1764" s="246">
        <f>IFERROR(VLOOKUP(K1764,PROGRAMAS[],3,FALSE),0)</f>
        <v>31865326.38096505</v>
      </c>
      <c r="AN1764" s="246">
        <f>IFERROR(VLOOKUP(L1764,PROGRAMAS[],3,FALSE),0)</f>
        <v>118617452.52510804</v>
      </c>
      <c r="AO1764" s="246">
        <f>IFERROR(VLOOKUP(M1764,PROGRAMAS[],3,FALSE),0)</f>
        <v>948595847.09039903</v>
      </c>
      <c r="AP1764" s="246">
        <f>IFERROR(VLOOKUP(N1764,PROGRAMAS[],3,FALSE),0)</f>
        <v>0</v>
      </c>
      <c r="AQ1764" s="246">
        <f>IFERROR(VLOOKUP(O1764,PROGRAMAS[],3,FALSE),0)</f>
        <v>0</v>
      </c>
      <c r="AR1764" s="246">
        <f>IFERROR(VLOOKUP(P1764,PROGRAMAS[],3,FALSE),0)</f>
        <v>0</v>
      </c>
      <c r="AS1764" s="246">
        <f>IFERROR(VLOOKUP(Q1764,PROGRAMAS[],3,FALSE),0)</f>
        <v>0</v>
      </c>
      <c r="AT1764" s="246">
        <f>IFERROR(VLOOKUP(D1764,VOL_REC[],2,FALSE),0)</f>
        <v>0</v>
      </c>
      <c r="AU1764" s="246">
        <f>IFERROR(VLOOKUP(E1764,VOL_REC[],2,FALSE),0)</f>
        <v>0</v>
      </c>
      <c r="AV1764" s="246">
        <f>IFERROR(VLOOKUP(F1764,VOL_REC[],2,FALSE),0)</f>
        <v>11089674.200000001</v>
      </c>
      <c r="AW1764" s="246">
        <f>IFERROR(VLOOKUP(G1764,VOL_REC[],2,FALSE),0)</f>
        <v>4325103.1812214684</v>
      </c>
      <c r="AX1764" s="246">
        <f>IFERROR(VLOOKUP(H1764,VOL_REC[],2,FALSE),0)</f>
        <v>3761786</v>
      </c>
      <c r="AY1764" s="246">
        <f>IFERROR(VLOOKUP(I1764,VOL_REC[],2,FALSE),0)</f>
        <v>1812240</v>
      </c>
      <c r="AZ1764" s="246">
        <f>IFERROR(VLOOKUP(J1764,VOL_REC[],2,FALSE),0)</f>
        <v>663244.80000000016</v>
      </c>
      <c r="BA1764" s="246">
        <f>IFERROR(VLOOKUP(K1764,VOL_REC[],2,FALSE),0)</f>
        <v>17074.045034105649</v>
      </c>
      <c r="BB1764" s="246">
        <f>IFERROR(VLOOKUP(L1764,VOL_REC[],2,FALSE),0)</f>
        <v>105072</v>
      </c>
      <c r="BC1764" s="246">
        <f>IFERROR(VLOOKUP(M1764,VOL_REC[],2,FALSE),0)</f>
        <v>740113.98115702497</v>
      </c>
      <c r="BD1764" s="246">
        <f>IFERROR(VLOOKUP(N1764,VOL_REC[],2,FALSE),0)</f>
        <v>0</v>
      </c>
      <c r="BE1764" s="246">
        <f>IFERROR(VLOOKUP(O1764,VOL_REC[],2,FALSE),0)</f>
        <v>0</v>
      </c>
      <c r="BF1764" s="246">
        <f>IFERROR(VLOOKUP(P1764,VOL_REC[],2,FALSE),0)</f>
        <v>0</v>
      </c>
      <c r="BG1764" s="246">
        <f>IFERROR(VLOOKUP(Q1764,VOL_REC[],2,FALSE),0)</f>
        <v>0</v>
      </c>
      <c r="BH1764" s="1710">
        <f t="shared" si="108"/>
        <v>21850405696.394714</v>
      </c>
      <c r="BI1764" s="1710">
        <f t="shared" si="109"/>
        <v>23921677186.996647</v>
      </c>
      <c r="BJ1764" s="1711">
        <f t="shared" si="110"/>
        <v>22514308.207412601</v>
      </c>
      <c r="BK1764" s="1711">
        <f t="shared" si="111"/>
        <v>0.91341445357653117</v>
      </c>
    </row>
    <row r="1765" spans="3:67" x14ac:dyDescent="0.25">
      <c r="C1765" s="246" t="s">
        <v>3115</v>
      </c>
      <c r="D1765" s="246">
        <v>1</v>
      </c>
      <c r="E1765" s="246">
        <v>2</v>
      </c>
      <c r="F1765" s="246">
        <v>3</v>
      </c>
      <c r="G1765" s="246">
        <v>5</v>
      </c>
      <c r="H1765" s="246">
        <v>9</v>
      </c>
      <c r="I1765" s="246">
        <v>10</v>
      </c>
      <c r="J1765" s="246">
        <v>13</v>
      </c>
      <c r="K1765" s="246">
        <v>14</v>
      </c>
      <c r="L1765" s="246">
        <v>16</v>
      </c>
      <c r="M1765" s="246">
        <v>17</v>
      </c>
      <c r="N1765" s="246"/>
      <c r="O1765" s="246"/>
      <c r="P1765" s="246"/>
      <c r="Q1765" s="246"/>
      <c r="R1765" s="246">
        <f>IFERROR(VLOOKUP(D1765,PROGRAMAS[],2,FALSE),0)</f>
        <v>97037803.679377079</v>
      </c>
      <c r="S1765" s="246">
        <f>IFERROR(VLOOKUP(E1765,PROGRAMAS[],2,FALSE),0)</f>
        <v>640501509.6821388</v>
      </c>
      <c r="T1765" s="246">
        <f>IFERROR(VLOOKUP(F1765,PROGRAMAS[],2,FALSE),0)</f>
        <v>3062327798.1525245</v>
      </c>
      <c r="U1765" s="246">
        <f>IFERROR(VLOOKUP(G1765,PROGRAMAS[],2,FALSE),0)</f>
        <v>1440941976.2528784</v>
      </c>
      <c r="V1765" s="246">
        <f>IFERROR(VLOOKUP(H1765,PROGRAMAS[],2,FALSE),0)</f>
        <v>6128579952.1618185</v>
      </c>
      <c r="W1765" s="246">
        <f>IFERROR(VLOOKUP(I1765,PROGRAMAS[],2,FALSE),0)</f>
        <v>4635315027.8751087</v>
      </c>
      <c r="X1765" s="246">
        <f>IFERROR(VLOOKUP(J1765,PROGRAMAS[],2,FALSE),0)</f>
        <v>3776538594.4604583</v>
      </c>
      <c r="Y1765" s="246">
        <f>IFERROR(VLOOKUP(K1765,PROGRAMAS[],2,FALSE),0)</f>
        <v>54223862.645839565</v>
      </c>
      <c r="Z1765" s="246">
        <f>IFERROR(VLOOKUP(L1765,PROGRAMAS[],2,FALSE),0)</f>
        <v>7068496961.0436354</v>
      </c>
      <c r="AA1765" s="246">
        <f>IFERROR(VLOOKUP(M1765,PROGRAMAS[],2,FALSE),0)</f>
        <v>1892779498.5211046</v>
      </c>
      <c r="AB1765" s="246">
        <f>IFERROR(VLOOKUP(N1765,PROGRAMAS[],2,FALSE),0)</f>
        <v>0</v>
      </c>
      <c r="AC1765" s="246">
        <f>IFERROR(VLOOKUP(O1765,PROGRAMAS[],2,FALSE),0)</f>
        <v>0</v>
      </c>
      <c r="AD1765" s="246">
        <f>IFERROR(VLOOKUP(P1765,PROGRAMAS[],2,FALSE),0)</f>
        <v>0</v>
      </c>
      <c r="AE1765" s="246">
        <f>IFERROR(VLOOKUP(Q1765,PROGRAMAS[],2,FALSE),0)</f>
        <v>0</v>
      </c>
      <c r="AF1765" s="246">
        <f>IFERROR(VLOOKUP(D1765,PROGRAMAS[],3,FALSE),0)</f>
        <v>841888629.31080008</v>
      </c>
      <c r="AG1765" s="246">
        <f>IFERROR(VLOOKUP(E1765,PROGRAMAS[],3,FALSE),0)</f>
        <v>3848980803.1642323</v>
      </c>
      <c r="AH1765" s="246">
        <f>IFERROR(VLOOKUP(F1765,PROGRAMAS[],3,FALSE),0)</f>
        <v>3394901471.387517</v>
      </c>
      <c r="AI1765" s="246">
        <f>IFERROR(VLOOKUP(G1765,PROGRAMAS[],3,FALSE),0)</f>
        <v>1233505101.0616004</v>
      </c>
      <c r="AJ1765" s="246">
        <f>IFERROR(VLOOKUP(H1765,PROGRAMAS[],3,FALSE),0)</f>
        <v>7011279577.519702</v>
      </c>
      <c r="AK1765" s="246">
        <f>IFERROR(VLOOKUP(I1765,PROGRAMAS[],3,FALSE),0)</f>
        <v>4099471734.9978786</v>
      </c>
      <c r="AL1765" s="246">
        <f>IFERROR(VLOOKUP(J1765,PROGRAMAS[],3,FALSE),0)</f>
        <v>2392571243.5584412</v>
      </c>
      <c r="AM1765" s="246">
        <f>IFERROR(VLOOKUP(K1765,PROGRAMAS[],3,FALSE),0)</f>
        <v>31865326.38096505</v>
      </c>
      <c r="AN1765" s="246">
        <f>IFERROR(VLOOKUP(L1765,PROGRAMAS[],3,FALSE),0)</f>
        <v>2406564599.0319901</v>
      </c>
      <c r="AO1765" s="246">
        <f>IFERROR(VLOOKUP(M1765,PROGRAMAS[],3,FALSE),0)</f>
        <v>948595847.09039903</v>
      </c>
      <c r="AP1765" s="246">
        <f>IFERROR(VLOOKUP(N1765,PROGRAMAS[],3,FALSE),0)</f>
        <v>0</v>
      </c>
      <c r="AQ1765" s="246">
        <f>IFERROR(VLOOKUP(O1765,PROGRAMAS[],3,FALSE),0)</f>
        <v>0</v>
      </c>
      <c r="AR1765" s="246">
        <f>IFERROR(VLOOKUP(P1765,PROGRAMAS[],3,FALSE),0)</f>
        <v>0</v>
      </c>
      <c r="AS1765" s="246">
        <f>IFERROR(VLOOKUP(Q1765,PROGRAMAS[],3,FALSE),0)</f>
        <v>0</v>
      </c>
      <c r="AT1765" s="246">
        <f>IFERROR(VLOOKUP(D1765,VOL_REC[],2,FALSE),0)</f>
        <v>0</v>
      </c>
      <c r="AU1765" s="246">
        <f>IFERROR(VLOOKUP(E1765,VOL_REC[],2,FALSE),0)</f>
        <v>0</v>
      </c>
      <c r="AV1765" s="246">
        <f>IFERROR(VLOOKUP(F1765,VOL_REC[],2,FALSE),0)</f>
        <v>11089674.200000001</v>
      </c>
      <c r="AW1765" s="246">
        <f>IFERROR(VLOOKUP(G1765,VOL_REC[],2,FALSE),0)</f>
        <v>4325103.1812214684</v>
      </c>
      <c r="AX1765" s="246">
        <f>IFERROR(VLOOKUP(H1765,VOL_REC[],2,FALSE),0)</f>
        <v>3761786</v>
      </c>
      <c r="AY1765" s="246">
        <f>IFERROR(VLOOKUP(I1765,VOL_REC[],2,FALSE),0)</f>
        <v>1812240</v>
      </c>
      <c r="AZ1765" s="246">
        <f>IFERROR(VLOOKUP(J1765,VOL_REC[],2,FALSE),0)</f>
        <v>663244.80000000016</v>
      </c>
      <c r="BA1765" s="246">
        <f>IFERROR(VLOOKUP(K1765,VOL_REC[],2,FALSE),0)</f>
        <v>17074.045034105649</v>
      </c>
      <c r="BB1765" s="246">
        <f>IFERROR(VLOOKUP(L1765,VOL_REC[],2,FALSE),0)</f>
        <v>1072354.9981737854</v>
      </c>
      <c r="BC1765" s="246">
        <f>IFERROR(VLOOKUP(M1765,VOL_REC[],2,FALSE),0)</f>
        <v>740113.98115702497</v>
      </c>
      <c r="BD1765" s="246">
        <f>IFERROR(VLOOKUP(N1765,VOL_REC[],2,FALSE),0)</f>
        <v>0</v>
      </c>
      <c r="BE1765" s="246">
        <f>IFERROR(VLOOKUP(O1765,VOL_REC[],2,FALSE),0)</f>
        <v>0</v>
      </c>
      <c r="BF1765" s="246">
        <f>IFERROR(VLOOKUP(P1765,VOL_REC[],2,FALSE),0)</f>
        <v>0</v>
      </c>
      <c r="BG1765" s="246">
        <f>IFERROR(VLOOKUP(Q1765,VOL_REC[],2,FALSE),0)</f>
        <v>0</v>
      </c>
      <c r="BH1765" s="1710">
        <f t="shared" si="108"/>
        <v>28796742984.474884</v>
      </c>
      <c r="BI1765" s="1710">
        <f t="shared" si="109"/>
        <v>26209624333.503529</v>
      </c>
      <c r="BJ1765" s="1711">
        <f t="shared" si="110"/>
        <v>23481591.205586385</v>
      </c>
      <c r="BK1765" s="1711">
        <f t="shared" si="111"/>
        <v>1.098708726918465</v>
      </c>
      <c r="BL1765">
        <f>BJ1765</f>
        <v>23481591.205586385</v>
      </c>
      <c r="BO1765">
        <f>BL1765</f>
        <v>23481591.205586385</v>
      </c>
    </row>
    <row r="1766" spans="3:67" x14ac:dyDescent="0.25">
      <c r="C1766" s="246" t="s">
        <v>3116</v>
      </c>
      <c r="D1766" s="246">
        <v>1</v>
      </c>
      <c r="E1766" s="246">
        <v>2</v>
      </c>
      <c r="F1766" s="246">
        <v>3</v>
      </c>
      <c r="G1766" s="246">
        <v>5</v>
      </c>
      <c r="H1766" s="246">
        <v>9</v>
      </c>
      <c r="I1766" s="246">
        <v>10</v>
      </c>
      <c r="J1766" s="246">
        <v>13</v>
      </c>
      <c r="K1766" s="246">
        <v>15</v>
      </c>
      <c r="L1766" s="246">
        <v>16</v>
      </c>
      <c r="M1766" s="246">
        <v>17</v>
      </c>
      <c r="N1766" s="246"/>
      <c r="O1766" s="246"/>
      <c r="P1766" s="246"/>
      <c r="Q1766" s="246"/>
      <c r="R1766" s="246">
        <f>IFERROR(VLOOKUP(D1766,PROGRAMAS[],2,FALSE),0)</f>
        <v>97037803.679377079</v>
      </c>
      <c r="S1766" s="246">
        <f>IFERROR(VLOOKUP(E1766,PROGRAMAS[],2,FALSE),0)</f>
        <v>640501509.6821388</v>
      </c>
      <c r="T1766" s="246">
        <f>IFERROR(VLOOKUP(F1766,PROGRAMAS[],2,FALSE),0)</f>
        <v>3062327798.1525245</v>
      </c>
      <c r="U1766" s="246">
        <f>IFERROR(VLOOKUP(G1766,PROGRAMAS[],2,FALSE),0)</f>
        <v>1440941976.2528784</v>
      </c>
      <c r="V1766" s="246">
        <f>IFERROR(VLOOKUP(H1766,PROGRAMAS[],2,FALSE),0)</f>
        <v>6128579952.1618185</v>
      </c>
      <c r="W1766" s="246">
        <f>IFERROR(VLOOKUP(I1766,PROGRAMAS[],2,FALSE),0)</f>
        <v>4635315027.8751087</v>
      </c>
      <c r="X1766" s="246">
        <f>IFERROR(VLOOKUP(J1766,PROGRAMAS[],2,FALSE),0)</f>
        <v>3776538594.4604583</v>
      </c>
      <c r="Y1766" s="246">
        <f>IFERROR(VLOOKUP(K1766,PROGRAMAS[],2,FALSE),0)</f>
        <v>122159672.96346797</v>
      </c>
      <c r="Z1766" s="246">
        <f>IFERROR(VLOOKUP(L1766,PROGRAMAS[],2,FALSE),0)</f>
        <v>7068496961.0436354</v>
      </c>
      <c r="AA1766" s="246">
        <f>IFERROR(VLOOKUP(M1766,PROGRAMAS[],2,FALSE),0)</f>
        <v>1892779498.5211046</v>
      </c>
      <c r="AB1766" s="246">
        <f>IFERROR(VLOOKUP(N1766,PROGRAMAS[],2,FALSE),0)</f>
        <v>0</v>
      </c>
      <c r="AC1766" s="246">
        <f>IFERROR(VLOOKUP(O1766,PROGRAMAS[],2,FALSE),0)</f>
        <v>0</v>
      </c>
      <c r="AD1766" s="246">
        <f>IFERROR(VLOOKUP(P1766,PROGRAMAS[],2,FALSE),0)</f>
        <v>0</v>
      </c>
      <c r="AE1766" s="246">
        <f>IFERROR(VLOOKUP(Q1766,PROGRAMAS[],2,FALSE),0)</f>
        <v>0</v>
      </c>
      <c r="AF1766" s="246">
        <f>IFERROR(VLOOKUP(D1766,PROGRAMAS[],3,FALSE),0)</f>
        <v>841888629.31080008</v>
      </c>
      <c r="AG1766" s="246">
        <f>IFERROR(VLOOKUP(E1766,PROGRAMAS[],3,FALSE),0)</f>
        <v>3848980803.1642323</v>
      </c>
      <c r="AH1766" s="246">
        <f>IFERROR(VLOOKUP(F1766,PROGRAMAS[],3,FALSE),0)</f>
        <v>3394901471.387517</v>
      </c>
      <c r="AI1766" s="246">
        <f>IFERROR(VLOOKUP(G1766,PROGRAMAS[],3,FALSE),0)</f>
        <v>1233505101.0616004</v>
      </c>
      <c r="AJ1766" s="246">
        <f>IFERROR(VLOOKUP(H1766,PROGRAMAS[],3,FALSE),0)</f>
        <v>7011279577.519702</v>
      </c>
      <c r="AK1766" s="246">
        <f>IFERROR(VLOOKUP(I1766,PROGRAMAS[],3,FALSE),0)</f>
        <v>4099471734.9978786</v>
      </c>
      <c r="AL1766" s="246">
        <f>IFERROR(VLOOKUP(J1766,PROGRAMAS[],3,FALSE),0)</f>
        <v>2392571243.5584412</v>
      </c>
      <c r="AM1766" s="246">
        <f>IFERROR(VLOOKUP(K1766,PROGRAMAS[],3,FALSE),0)</f>
        <v>118617452.52510804</v>
      </c>
      <c r="AN1766" s="246">
        <f>IFERROR(VLOOKUP(L1766,PROGRAMAS[],3,FALSE),0)</f>
        <v>2406564599.0319901</v>
      </c>
      <c r="AO1766" s="246">
        <f>IFERROR(VLOOKUP(M1766,PROGRAMAS[],3,FALSE),0)</f>
        <v>948595847.09039903</v>
      </c>
      <c r="AP1766" s="246">
        <f>IFERROR(VLOOKUP(N1766,PROGRAMAS[],3,FALSE),0)</f>
        <v>0</v>
      </c>
      <c r="AQ1766" s="246">
        <f>IFERROR(VLOOKUP(O1766,PROGRAMAS[],3,FALSE),0)</f>
        <v>0</v>
      </c>
      <c r="AR1766" s="246">
        <f>IFERROR(VLOOKUP(P1766,PROGRAMAS[],3,FALSE),0)</f>
        <v>0</v>
      </c>
      <c r="AS1766" s="246">
        <f>IFERROR(VLOOKUP(Q1766,PROGRAMAS[],3,FALSE),0)</f>
        <v>0</v>
      </c>
      <c r="AT1766" s="246">
        <f>IFERROR(VLOOKUP(D1766,VOL_REC[],2,FALSE),0)</f>
        <v>0</v>
      </c>
      <c r="AU1766" s="246">
        <f>IFERROR(VLOOKUP(E1766,VOL_REC[],2,FALSE),0)</f>
        <v>0</v>
      </c>
      <c r="AV1766" s="246">
        <f>IFERROR(VLOOKUP(F1766,VOL_REC[],2,FALSE),0)</f>
        <v>11089674.200000001</v>
      </c>
      <c r="AW1766" s="246">
        <f>IFERROR(VLOOKUP(G1766,VOL_REC[],2,FALSE),0)</f>
        <v>4325103.1812214684</v>
      </c>
      <c r="AX1766" s="246">
        <f>IFERROR(VLOOKUP(H1766,VOL_REC[],2,FALSE),0)</f>
        <v>3761786</v>
      </c>
      <c r="AY1766" s="246">
        <f>IFERROR(VLOOKUP(I1766,VOL_REC[],2,FALSE),0)</f>
        <v>1812240</v>
      </c>
      <c r="AZ1766" s="246">
        <f>IFERROR(VLOOKUP(J1766,VOL_REC[],2,FALSE),0)</f>
        <v>663244.80000000016</v>
      </c>
      <c r="BA1766" s="246">
        <f>IFERROR(VLOOKUP(K1766,VOL_REC[],2,FALSE),0)</f>
        <v>105072</v>
      </c>
      <c r="BB1766" s="246">
        <f>IFERROR(VLOOKUP(L1766,VOL_REC[],2,FALSE),0)</f>
        <v>1072354.9981737854</v>
      </c>
      <c r="BC1766" s="246">
        <f>IFERROR(VLOOKUP(M1766,VOL_REC[],2,FALSE),0)</f>
        <v>740113.98115702497</v>
      </c>
      <c r="BD1766" s="246">
        <f>IFERROR(VLOOKUP(N1766,VOL_REC[],2,FALSE),0)</f>
        <v>0</v>
      </c>
      <c r="BE1766" s="246">
        <f>IFERROR(VLOOKUP(O1766,VOL_REC[],2,FALSE),0)</f>
        <v>0</v>
      </c>
      <c r="BF1766" s="246">
        <f>IFERROR(VLOOKUP(P1766,VOL_REC[],2,FALSE),0)</f>
        <v>0</v>
      </c>
      <c r="BG1766" s="246">
        <f>IFERROR(VLOOKUP(Q1766,VOL_REC[],2,FALSE),0)</f>
        <v>0</v>
      </c>
      <c r="BH1766" s="1710">
        <f t="shared" si="108"/>
        <v>28864678794.792511</v>
      </c>
      <c r="BI1766" s="1710">
        <f t="shared" si="109"/>
        <v>26296376459.647671</v>
      </c>
      <c r="BJ1766" s="1711">
        <f t="shared" si="110"/>
        <v>23569589.160552278</v>
      </c>
      <c r="BK1766" s="1711">
        <f t="shared" si="111"/>
        <v>1.0976675375440397</v>
      </c>
      <c r="BL1766">
        <f>BJ1766</f>
        <v>23569589.160552278</v>
      </c>
      <c r="BO1766">
        <f>BL1766</f>
        <v>23569589.160552278</v>
      </c>
    </row>
    <row r="1767" spans="3:67" x14ac:dyDescent="0.25">
      <c r="C1767" s="246" t="s">
        <v>3117</v>
      </c>
      <c r="D1767" s="246">
        <v>1</v>
      </c>
      <c r="E1767" s="246">
        <v>2</v>
      </c>
      <c r="F1767" s="246">
        <v>3</v>
      </c>
      <c r="G1767" s="246">
        <v>5</v>
      </c>
      <c r="H1767" s="246">
        <v>9</v>
      </c>
      <c r="I1767" s="246">
        <v>10</v>
      </c>
      <c r="J1767" s="246">
        <v>14</v>
      </c>
      <c r="K1767" s="246">
        <v>15</v>
      </c>
      <c r="L1767" s="246">
        <v>16</v>
      </c>
      <c r="M1767" s="246">
        <v>17</v>
      </c>
      <c r="N1767" s="246"/>
      <c r="O1767" s="246"/>
      <c r="P1767" s="246"/>
      <c r="Q1767" s="246"/>
      <c r="R1767" s="246">
        <f>IFERROR(VLOOKUP(D1767,PROGRAMAS[],2,FALSE),0)</f>
        <v>97037803.679377079</v>
      </c>
      <c r="S1767" s="246">
        <f>IFERROR(VLOOKUP(E1767,PROGRAMAS[],2,FALSE),0)</f>
        <v>640501509.6821388</v>
      </c>
      <c r="T1767" s="246">
        <f>IFERROR(VLOOKUP(F1767,PROGRAMAS[],2,FALSE),0)</f>
        <v>3062327798.1525245</v>
      </c>
      <c r="U1767" s="246">
        <f>IFERROR(VLOOKUP(G1767,PROGRAMAS[],2,FALSE),0)</f>
        <v>1440941976.2528784</v>
      </c>
      <c r="V1767" s="246">
        <f>IFERROR(VLOOKUP(H1767,PROGRAMAS[],2,FALSE),0)</f>
        <v>6128579952.1618185</v>
      </c>
      <c r="W1767" s="246">
        <f>IFERROR(VLOOKUP(I1767,PROGRAMAS[],2,FALSE),0)</f>
        <v>4635315027.8751087</v>
      </c>
      <c r="X1767" s="246">
        <f>IFERROR(VLOOKUP(J1767,PROGRAMAS[],2,FALSE),0)</f>
        <v>54223862.645839565</v>
      </c>
      <c r="Y1767" s="246">
        <f>IFERROR(VLOOKUP(K1767,PROGRAMAS[],2,FALSE),0)</f>
        <v>122159672.96346797</v>
      </c>
      <c r="Z1767" s="246">
        <f>IFERROR(VLOOKUP(L1767,PROGRAMAS[],2,FALSE),0)</f>
        <v>7068496961.0436354</v>
      </c>
      <c r="AA1767" s="246">
        <f>IFERROR(VLOOKUP(M1767,PROGRAMAS[],2,FALSE),0)</f>
        <v>1892779498.5211046</v>
      </c>
      <c r="AB1767" s="246">
        <f>IFERROR(VLOOKUP(N1767,PROGRAMAS[],2,FALSE),0)</f>
        <v>0</v>
      </c>
      <c r="AC1767" s="246">
        <f>IFERROR(VLOOKUP(O1767,PROGRAMAS[],2,FALSE),0)</f>
        <v>0</v>
      </c>
      <c r="AD1767" s="246">
        <f>IFERROR(VLOOKUP(P1767,PROGRAMAS[],2,FALSE),0)</f>
        <v>0</v>
      </c>
      <c r="AE1767" s="246">
        <f>IFERROR(VLOOKUP(Q1767,PROGRAMAS[],2,FALSE),0)</f>
        <v>0</v>
      </c>
      <c r="AF1767" s="246">
        <f>IFERROR(VLOOKUP(D1767,PROGRAMAS[],3,FALSE),0)</f>
        <v>841888629.31080008</v>
      </c>
      <c r="AG1767" s="246">
        <f>IFERROR(VLOOKUP(E1767,PROGRAMAS[],3,FALSE),0)</f>
        <v>3848980803.1642323</v>
      </c>
      <c r="AH1767" s="246">
        <f>IFERROR(VLOOKUP(F1767,PROGRAMAS[],3,FALSE),0)</f>
        <v>3394901471.387517</v>
      </c>
      <c r="AI1767" s="246">
        <f>IFERROR(VLOOKUP(G1767,PROGRAMAS[],3,FALSE),0)</f>
        <v>1233505101.0616004</v>
      </c>
      <c r="AJ1767" s="246">
        <f>IFERROR(VLOOKUP(H1767,PROGRAMAS[],3,FALSE),0)</f>
        <v>7011279577.519702</v>
      </c>
      <c r="AK1767" s="246">
        <f>IFERROR(VLOOKUP(I1767,PROGRAMAS[],3,FALSE),0)</f>
        <v>4099471734.9978786</v>
      </c>
      <c r="AL1767" s="246">
        <f>IFERROR(VLOOKUP(J1767,PROGRAMAS[],3,FALSE),0)</f>
        <v>31865326.38096505</v>
      </c>
      <c r="AM1767" s="246">
        <f>IFERROR(VLOOKUP(K1767,PROGRAMAS[],3,FALSE),0)</f>
        <v>118617452.52510804</v>
      </c>
      <c r="AN1767" s="246">
        <f>IFERROR(VLOOKUP(L1767,PROGRAMAS[],3,FALSE),0)</f>
        <v>2406564599.0319901</v>
      </c>
      <c r="AO1767" s="246">
        <f>IFERROR(VLOOKUP(M1767,PROGRAMAS[],3,FALSE),0)</f>
        <v>948595847.09039903</v>
      </c>
      <c r="AP1767" s="246">
        <f>IFERROR(VLOOKUP(N1767,PROGRAMAS[],3,FALSE),0)</f>
        <v>0</v>
      </c>
      <c r="AQ1767" s="246">
        <f>IFERROR(VLOOKUP(O1767,PROGRAMAS[],3,FALSE),0)</f>
        <v>0</v>
      </c>
      <c r="AR1767" s="246">
        <f>IFERROR(VLOOKUP(P1767,PROGRAMAS[],3,FALSE),0)</f>
        <v>0</v>
      </c>
      <c r="AS1767" s="246">
        <f>IFERROR(VLOOKUP(Q1767,PROGRAMAS[],3,FALSE),0)</f>
        <v>0</v>
      </c>
      <c r="AT1767" s="246">
        <f>IFERROR(VLOOKUP(D1767,VOL_REC[],2,FALSE),0)</f>
        <v>0</v>
      </c>
      <c r="AU1767" s="246">
        <f>IFERROR(VLOOKUP(E1767,VOL_REC[],2,FALSE),0)</f>
        <v>0</v>
      </c>
      <c r="AV1767" s="246">
        <f>IFERROR(VLOOKUP(F1767,VOL_REC[],2,FALSE),0)</f>
        <v>11089674.200000001</v>
      </c>
      <c r="AW1767" s="246">
        <f>IFERROR(VLOOKUP(G1767,VOL_REC[],2,FALSE),0)</f>
        <v>4325103.1812214684</v>
      </c>
      <c r="AX1767" s="246">
        <f>IFERROR(VLOOKUP(H1767,VOL_REC[],2,FALSE),0)</f>
        <v>3761786</v>
      </c>
      <c r="AY1767" s="246">
        <f>IFERROR(VLOOKUP(I1767,VOL_REC[],2,FALSE),0)</f>
        <v>1812240</v>
      </c>
      <c r="AZ1767" s="246">
        <f>IFERROR(VLOOKUP(J1767,VOL_REC[],2,FALSE),0)</f>
        <v>17074.045034105649</v>
      </c>
      <c r="BA1767" s="246">
        <f>IFERROR(VLOOKUP(K1767,VOL_REC[],2,FALSE),0)</f>
        <v>105072</v>
      </c>
      <c r="BB1767" s="246">
        <f>IFERROR(VLOOKUP(L1767,VOL_REC[],2,FALSE),0)</f>
        <v>1072354.9981737854</v>
      </c>
      <c r="BC1767" s="246">
        <f>IFERROR(VLOOKUP(M1767,VOL_REC[],2,FALSE),0)</f>
        <v>740113.98115702497</v>
      </c>
      <c r="BD1767" s="246">
        <f>IFERROR(VLOOKUP(N1767,VOL_REC[],2,FALSE),0)</f>
        <v>0</v>
      </c>
      <c r="BE1767" s="246">
        <f>IFERROR(VLOOKUP(O1767,VOL_REC[],2,FALSE),0)</f>
        <v>0</v>
      </c>
      <c r="BF1767" s="246">
        <f>IFERROR(VLOOKUP(P1767,VOL_REC[],2,FALSE),0)</f>
        <v>0</v>
      </c>
      <c r="BG1767" s="246">
        <f>IFERROR(VLOOKUP(Q1767,VOL_REC[],2,FALSE),0)</f>
        <v>0</v>
      </c>
      <c r="BH1767" s="1710">
        <f t="shared" si="108"/>
        <v>25142364062.977894</v>
      </c>
      <c r="BI1767" s="1710">
        <f t="shared" si="109"/>
        <v>23935670542.470196</v>
      </c>
      <c r="BJ1767" s="1711">
        <f t="shared" si="110"/>
        <v>22923418.405586384</v>
      </c>
      <c r="BK1767" s="1711">
        <f t="shared" si="111"/>
        <v>1.050414026144227</v>
      </c>
      <c r="BL1767">
        <f>BJ1767</f>
        <v>22923418.405586384</v>
      </c>
      <c r="BO1767">
        <f>BL1767</f>
        <v>22923418.405586384</v>
      </c>
    </row>
    <row r="1768" spans="3:67" x14ac:dyDescent="0.25">
      <c r="C1768" s="246" t="s">
        <v>3118</v>
      </c>
      <c r="D1768" s="246">
        <v>1</v>
      </c>
      <c r="E1768" s="246">
        <v>2</v>
      </c>
      <c r="F1768" s="246">
        <v>3</v>
      </c>
      <c r="G1768" s="246">
        <v>5</v>
      </c>
      <c r="H1768" s="246">
        <v>9</v>
      </c>
      <c r="I1768" s="246">
        <v>12</v>
      </c>
      <c r="J1768" s="246">
        <v>13</v>
      </c>
      <c r="K1768" s="246">
        <v>14</v>
      </c>
      <c r="L1768" s="246">
        <v>15</v>
      </c>
      <c r="M1768" s="246">
        <v>16</v>
      </c>
      <c r="N1768" s="246"/>
      <c r="O1768" s="246"/>
      <c r="P1768" s="246"/>
      <c r="Q1768" s="246"/>
      <c r="R1768" s="246">
        <f>IFERROR(VLOOKUP(D1768,PROGRAMAS[],2,FALSE),0)</f>
        <v>97037803.679377079</v>
      </c>
      <c r="S1768" s="246">
        <f>IFERROR(VLOOKUP(E1768,PROGRAMAS[],2,FALSE),0)</f>
        <v>640501509.6821388</v>
      </c>
      <c r="T1768" s="246">
        <f>IFERROR(VLOOKUP(F1768,PROGRAMAS[],2,FALSE),0)</f>
        <v>3062327798.1525245</v>
      </c>
      <c r="U1768" s="246">
        <f>IFERROR(VLOOKUP(G1768,PROGRAMAS[],2,FALSE),0)</f>
        <v>1440941976.2528784</v>
      </c>
      <c r="V1768" s="246">
        <f>IFERROR(VLOOKUP(H1768,PROGRAMAS[],2,FALSE),0)</f>
        <v>6128579952.1618185</v>
      </c>
      <c r="W1768" s="246">
        <f>IFERROR(VLOOKUP(I1768,PROGRAMAS[],2,FALSE),0)</f>
        <v>764796700.79905891</v>
      </c>
      <c r="X1768" s="246">
        <f>IFERROR(VLOOKUP(J1768,PROGRAMAS[],2,FALSE),0)</f>
        <v>3776538594.4604583</v>
      </c>
      <c r="Y1768" s="246">
        <f>IFERROR(VLOOKUP(K1768,PROGRAMAS[],2,FALSE),0)</f>
        <v>54223862.645839565</v>
      </c>
      <c r="Z1768" s="246">
        <f>IFERROR(VLOOKUP(L1768,PROGRAMAS[],2,FALSE),0)</f>
        <v>122159672.96346797</v>
      </c>
      <c r="AA1768" s="246">
        <f>IFERROR(VLOOKUP(M1768,PROGRAMAS[],2,FALSE),0)</f>
        <v>7068496961.0436354</v>
      </c>
      <c r="AB1768" s="246">
        <f>IFERROR(VLOOKUP(N1768,PROGRAMAS[],2,FALSE),0)</f>
        <v>0</v>
      </c>
      <c r="AC1768" s="246">
        <f>IFERROR(VLOOKUP(O1768,PROGRAMAS[],2,FALSE),0)</f>
        <v>0</v>
      </c>
      <c r="AD1768" s="246">
        <f>IFERROR(VLOOKUP(P1768,PROGRAMAS[],2,FALSE),0)</f>
        <v>0</v>
      </c>
      <c r="AE1768" s="246">
        <f>IFERROR(VLOOKUP(Q1768,PROGRAMAS[],2,FALSE),0)</f>
        <v>0</v>
      </c>
      <c r="AF1768" s="246">
        <f>IFERROR(VLOOKUP(D1768,PROGRAMAS[],3,FALSE),0)</f>
        <v>841888629.31080008</v>
      </c>
      <c r="AG1768" s="246">
        <f>IFERROR(VLOOKUP(E1768,PROGRAMAS[],3,FALSE),0)</f>
        <v>3848980803.1642323</v>
      </c>
      <c r="AH1768" s="246">
        <f>IFERROR(VLOOKUP(F1768,PROGRAMAS[],3,FALSE),0)</f>
        <v>3394901471.387517</v>
      </c>
      <c r="AI1768" s="246">
        <f>IFERROR(VLOOKUP(G1768,PROGRAMAS[],3,FALSE),0)</f>
        <v>1233505101.0616004</v>
      </c>
      <c r="AJ1768" s="246">
        <f>IFERROR(VLOOKUP(H1768,PROGRAMAS[],3,FALSE),0)</f>
        <v>7011279577.519702</v>
      </c>
      <c r="AK1768" s="246">
        <f>IFERROR(VLOOKUP(I1768,PROGRAMAS[],3,FALSE),0)</f>
        <v>675517840.109828</v>
      </c>
      <c r="AL1768" s="246">
        <f>IFERROR(VLOOKUP(J1768,PROGRAMAS[],3,FALSE),0)</f>
        <v>2392571243.5584412</v>
      </c>
      <c r="AM1768" s="246">
        <f>IFERROR(VLOOKUP(K1768,PROGRAMAS[],3,FALSE),0)</f>
        <v>31865326.38096505</v>
      </c>
      <c r="AN1768" s="246">
        <f>IFERROR(VLOOKUP(L1768,PROGRAMAS[],3,FALSE),0)</f>
        <v>118617452.52510804</v>
      </c>
      <c r="AO1768" s="246">
        <f>IFERROR(VLOOKUP(M1768,PROGRAMAS[],3,FALSE),0)</f>
        <v>2406564599.0319901</v>
      </c>
      <c r="AP1768" s="246">
        <f>IFERROR(VLOOKUP(N1768,PROGRAMAS[],3,FALSE),0)</f>
        <v>0</v>
      </c>
      <c r="AQ1768" s="246">
        <f>IFERROR(VLOOKUP(O1768,PROGRAMAS[],3,FALSE),0)</f>
        <v>0</v>
      </c>
      <c r="AR1768" s="246">
        <f>IFERROR(VLOOKUP(P1768,PROGRAMAS[],3,FALSE),0)</f>
        <v>0</v>
      </c>
      <c r="AS1768" s="246">
        <f>IFERROR(VLOOKUP(Q1768,PROGRAMAS[],3,FALSE),0)</f>
        <v>0</v>
      </c>
      <c r="AT1768" s="246">
        <f>IFERROR(VLOOKUP(D1768,VOL_REC[],2,FALSE),0)</f>
        <v>0</v>
      </c>
      <c r="AU1768" s="246">
        <f>IFERROR(VLOOKUP(E1768,VOL_REC[],2,FALSE),0)</f>
        <v>0</v>
      </c>
      <c r="AV1768" s="246">
        <f>IFERROR(VLOOKUP(F1768,VOL_REC[],2,FALSE),0)</f>
        <v>11089674.200000001</v>
      </c>
      <c r="AW1768" s="246">
        <f>IFERROR(VLOOKUP(G1768,VOL_REC[],2,FALSE),0)</f>
        <v>4325103.1812214684</v>
      </c>
      <c r="AX1768" s="246">
        <f>IFERROR(VLOOKUP(H1768,VOL_REC[],2,FALSE),0)</f>
        <v>3761786</v>
      </c>
      <c r="AY1768" s="246">
        <f>IFERROR(VLOOKUP(I1768,VOL_REC[],2,FALSE),0)</f>
        <v>240696.79238099116</v>
      </c>
      <c r="AZ1768" s="246">
        <f>IFERROR(VLOOKUP(J1768,VOL_REC[],2,FALSE),0)</f>
        <v>663244.80000000016</v>
      </c>
      <c r="BA1768" s="246">
        <f>IFERROR(VLOOKUP(K1768,VOL_REC[],2,FALSE),0)</f>
        <v>17074.045034105649</v>
      </c>
      <c r="BB1768" s="246">
        <f>IFERROR(VLOOKUP(L1768,VOL_REC[],2,FALSE),0)</f>
        <v>105072</v>
      </c>
      <c r="BC1768" s="246">
        <f>IFERROR(VLOOKUP(M1768,VOL_REC[],2,FALSE),0)</f>
        <v>1072354.9981737854</v>
      </c>
      <c r="BD1768" s="246">
        <f>IFERROR(VLOOKUP(N1768,VOL_REC[],2,FALSE),0)</f>
        <v>0</v>
      </c>
      <c r="BE1768" s="246">
        <f>IFERROR(VLOOKUP(O1768,VOL_REC[],2,FALSE),0)</f>
        <v>0</v>
      </c>
      <c r="BF1768" s="246">
        <f>IFERROR(VLOOKUP(P1768,VOL_REC[],2,FALSE),0)</f>
        <v>0</v>
      </c>
      <c r="BG1768" s="246">
        <f>IFERROR(VLOOKUP(Q1768,VOL_REC[],2,FALSE),0)</f>
        <v>0</v>
      </c>
      <c r="BH1768" s="1710">
        <f t="shared" si="108"/>
        <v>23155604831.841198</v>
      </c>
      <c r="BI1768" s="1710">
        <f t="shared" si="109"/>
        <v>21955692044.050186</v>
      </c>
      <c r="BJ1768" s="1711">
        <f t="shared" si="110"/>
        <v>21275006.016810354</v>
      </c>
      <c r="BK1768" s="1711">
        <f t="shared" si="111"/>
        <v>1.0546515584834948</v>
      </c>
      <c r="BL1768">
        <f>BJ1768</f>
        <v>21275006.016810354</v>
      </c>
      <c r="BO1768">
        <f>BL1768</f>
        <v>21275006.016810354</v>
      </c>
    </row>
    <row r="1769" spans="3:67" x14ac:dyDescent="0.25">
      <c r="C1769" s="246" t="s">
        <v>3119</v>
      </c>
      <c r="D1769" s="246">
        <v>1</v>
      </c>
      <c r="E1769" s="246">
        <v>2</v>
      </c>
      <c r="F1769" s="246">
        <v>3</v>
      </c>
      <c r="G1769" s="246">
        <v>5</v>
      </c>
      <c r="H1769" s="246">
        <v>9</v>
      </c>
      <c r="I1769" s="246">
        <v>12</v>
      </c>
      <c r="J1769" s="246">
        <v>13</v>
      </c>
      <c r="K1769" s="246">
        <v>14</v>
      </c>
      <c r="L1769" s="246">
        <v>15</v>
      </c>
      <c r="M1769" s="246">
        <v>17</v>
      </c>
      <c r="N1769" s="246"/>
      <c r="O1769" s="246"/>
      <c r="P1769" s="246"/>
      <c r="Q1769" s="246"/>
      <c r="R1769" s="246">
        <f>IFERROR(VLOOKUP(D1769,PROGRAMAS[],2,FALSE),0)</f>
        <v>97037803.679377079</v>
      </c>
      <c r="S1769" s="246">
        <f>IFERROR(VLOOKUP(E1769,PROGRAMAS[],2,FALSE),0)</f>
        <v>640501509.6821388</v>
      </c>
      <c r="T1769" s="246">
        <f>IFERROR(VLOOKUP(F1769,PROGRAMAS[],2,FALSE),0)</f>
        <v>3062327798.1525245</v>
      </c>
      <c r="U1769" s="246">
        <f>IFERROR(VLOOKUP(G1769,PROGRAMAS[],2,FALSE),0)</f>
        <v>1440941976.2528784</v>
      </c>
      <c r="V1769" s="246">
        <f>IFERROR(VLOOKUP(H1769,PROGRAMAS[],2,FALSE),0)</f>
        <v>6128579952.1618185</v>
      </c>
      <c r="W1769" s="246">
        <f>IFERROR(VLOOKUP(I1769,PROGRAMAS[],2,FALSE),0)</f>
        <v>764796700.79905891</v>
      </c>
      <c r="X1769" s="246">
        <f>IFERROR(VLOOKUP(J1769,PROGRAMAS[],2,FALSE),0)</f>
        <v>3776538594.4604583</v>
      </c>
      <c r="Y1769" s="246">
        <f>IFERROR(VLOOKUP(K1769,PROGRAMAS[],2,FALSE),0)</f>
        <v>54223862.645839565</v>
      </c>
      <c r="Z1769" s="246">
        <f>IFERROR(VLOOKUP(L1769,PROGRAMAS[],2,FALSE),0)</f>
        <v>122159672.96346797</v>
      </c>
      <c r="AA1769" s="246">
        <f>IFERROR(VLOOKUP(M1769,PROGRAMAS[],2,FALSE),0)</f>
        <v>1892779498.5211046</v>
      </c>
      <c r="AB1769" s="246">
        <f>IFERROR(VLOOKUP(N1769,PROGRAMAS[],2,FALSE),0)</f>
        <v>0</v>
      </c>
      <c r="AC1769" s="246">
        <f>IFERROR(VLOOKUP(O1769,PROGRAMAS[],2,FALSE),0)</f>
        <v>0</v>
      </c>
      <c r="AD1769" s="246">
        <f>IFERROR(VLOOKUP(P1769,PROGRAMAS[],2,FALSE),0)</f>
        <v>0</v>
      </c>
      <c r="AE1769" s="246">
        <f>IFERROR(VLOOKUP(Q1769,PROGRAMAS[],2,FALSE),0)</f>
        <v>0</v>
      </c>
      <c r="AF1769" s="246">
        <f>IFERROR(VLOOKUP(D1769,PROGRAMAS[],3,FALSE),0)</f>
        <v>841888629.31080008</v>
      </c>
      <c r="AG1769" s="246">
        <f>IFERROR(VLOOKUP(E1769,PROGRAMAS[],3,FALSE),0)</f>
        <v>3848980803.1642323</v>
      </c>
      <c r="AH1769" s="246">
        <f>IFERROR(VLOOKUP(F1769,PROGRAMAS[],3,FALSE),0)</f>
        <v>3394901471.387517</v>
      </c>
      <c r="AI1769" s="246">
        <f>IFERROR(VLOOKUP(G1769,PROGRAMAS[],3,FALSE),0)</f>
        <v>1233505101.0616004</v>
      </c>
      <c r="AJ1769" s="246">
        <f>IFERROR(VLOOKUP(H1769,PROGRAMAS[],3,FALSE),0)</f>
        <v>7011279577.519702</v>
      </c>
      <c r="AK1769" s="246">
        <f>IFERROR(VLOOKUP(I1769,PROGRAMAS[],3,FALSE),0)</f>
        <v>675517840.109828</v>
      </c>
      <c r="AL1769" s="246">
        <f>IFERROR(VLOOKUP(J1769,PROGRAMAS[],3,FALSE),0)</f>
        <v>2392571243.5584412</v>
      </c>
      <c r="AM1769" s="246">
        <f>IFERROR(VLOOKUP(K1769,PROGRAMAS[],3,FALSE),0)</f>
        <v>31865326.38096505</v>
      </c>
      <c r="AN1769" s="246">
        <f>IFERROR(VLOOKUP(L1769,PROGRAMAS[],3,FALSE),0)</f>
        <v>118617452.52510804</v>
      </c>
      <c r="AO1769" s="246">
        <f>IFERROR(VLOOKUP(M1769,PROGRAMAS[],3,FALSE),0)</f>
        <v>948595847.09039903</v>
      </c>
      <c r="AP1769" s="246">
        <f>IFERROR(VLOOKUP(N1769,PROGRAMAS[],3,FALSE),0)</f>
        <v>0</v>
      </c>
      <c r="AQ1769" s="246">
        <f>IFERROR(VLOOKUP(O1769,PROGRAMAS[],3,FALSE),0)</f>
        <v>0</v>
      </c>
      <c r="AR1769" s="246">
        <f>IFERROR(VLOOKUP(P1769,PROGRAMAS[],3,FALSE),0)</f>
        <v>0</v>
      </c>
      <c r="AS1769" s="246">
        <f>IFERROR(VLOOKUP(Q1769,PROGRAMAS[],3,FALSE),0)</f>
        <v>0</v>
      </c>
      <c r="AT1769" s="246">
        <f>IFERROR(VLOOKUP(D1769,VOL_REC[],2,FALSE),0)</f>
        <v>0</v>
      </c>
      <c r="AU1769" s="246">
        <f>IFERROR(VLOOKUP(E1769,VOL_REC[],2,FALSE),0)</f>
        <v>0</v>
      </c>
      <c r="AV1769" s="246">
        <f>IFERROR(VLOOKUP(F1769,VOL_REC[],2,FALSE),0)</f>
        <v>11089674.200000001</v>
      </c>
      <c r="AW1769" s="246">
        <f>IFERROR(VLOOKUP(G1769,VOL_REC[],2,FALSE),0)</f>
        <v>4325103.1812214684</v>
      </c>
      <c r="AX1769" s="246">
        <f>IFERROR(VLOOKUP(H1769,VOL_REC[],2,FALSE),0)</f>
        <v>3761786</v>
      </c>
      <c r="AY1769" s="246">
        <f>IFERROR(VLOOKUP(I1769,VOL_REC[],2,FALSE),0)</f>
        <v>240696.79238099116</v>
      </c>
      <c r="AZ1769" s="246">
        <f>IFERROR(VLOOKUP(J1769,VOL_REC[],2,FALSE),0)</f>
        <v>663244.80000000016</v>
      </c>
      <c r="BA1769" s="246">
        <f>IFERROR(VLOOKUP(K1769,VOL_REC[],2,FALSE),0)</f>
        <v>17074.045034105649</v>
      </c>
      <c r="BB1769" s="246">
        <f>IFERROR(VLOOKUP(L1769,VOL_REC[],2,FALSE),0)</f>
        <v>105072</v>
      </c>
      <c r="BC1769" s="246">
        <f>IFERROR(VLOOKUP(M1769,VOL_REC[],2,FALSE),0)</f>
        <v>740113.98115702497</v>
      </c>
      <c r="BD1769" s="246">
        <f>IFERROR(VLOOKUP(N1769,VOL_REC[],2,FALSE),0)</f>
        <v>0</v>
      </c>
      <c r="BE1769" s="246">
        <f>IFERROR(VLOOKUP(O1769,VOL_REC[],2,FALSE),0)</f>
        <v>0</v>
      </c>
      <c r="BF1769" s="246">
        <f>IFERROR(VLOOKUP(P1769,VOL_REC[],2,FALSE),0)</f>
        <v>0</v>
      </c>
      <c r="BG1769" s="246">
        <f>IFERROR(VLOOKUP(Q1769,VOL_REC[],2,FALSE),0)</f>
        <v>0</v>
      </c>
      <c r="BH1769" s="1710">
        <f t="shared" si="108"/>
        <v>17979887369.318668</v>
      </c>
      <c r="BI1769" s="1710">
        <f t="shared" si="109"/>
        <v>20497723292.108597</v>
      </c>
      <c r="BJ1769" s="1711">
        <f t="shared" si="110"/>
        <v>20942764.999793593</v>
      </c>
      <c r="BK1769" s="1711">
        <f t="shared" si="111"/>
        <v>0.87716509356142647</v>
      </c>
    </row>
    <row r="1770" spans="3:67" x14ac:dyDescent="0.25">
      <c r="C1770" s="246" t="s">
        <v>3120</v>
      </c>
      <c r="D1770" s="246">
        <v>1</v>
      </c>
      <c r="E1770" s="246">
        <v>2</v>
      </c>
      <c r="F1770" s="246">
        <v>3</v>
      </c>
      <c r="G1770" s="246">
        <v>5</v>
      </c>
      <c r="H1770" s="246">
        <v>9</v>
      </c>
      <c r="I1770" s="246">
        <v>12</v>
      </c>
      <c r="J1770" s="246">
        <v>13</v>
      </c>
      <c r="K1770" s="246">
        <v>14</v>
      </c>
      <c r="L1770" s="246">
        <v>16</v>
      </c>
      <c r="M1770" s="246">
        <v>17</v>
      </c>
      <c r="N1770" s="246"/>
      <c r="O1770" s="246"/>
      <c r="P1770" s="246"/>
      <c r="Q1770" s="246"/>
      <c r="R1770" s="246">
        <f>IFERROR(VLOOKUP(D1770,PROGRAMAS[],2,FALSE),0)</f>
        <v>97037803.679377079</v>
      </c>
      <c r="S1770" s="246">
        <f>IFERROR(VLOOKUP(E1770,PROGRAMAS[],2,FALSE),0)</f>
        <v>640501509.6821388</v>
      </c>
      <c r="T1770" s="246">
        <f>IFERROR(VLOOKUP(F1770,PROGRAMAS[],2,FALSE),0)</f>
        <v>3062327798.1525245</v>
      </c>
      <c r="U1770" s="246">
        <f>IFERROR(VLOOKUP(G1770,PROGRAMAS[],2,FALSE),0)</f>
        <v>1440941976.2528784</v>
      </c>
      <c r="V1770" s="246">
        <f>IFERROR(VLOOKUP(H1770,PROGRAMAS[],2,FALSE),0)</f>
        <v>6128579952.1618185</v>
      </c>
      <c r="W1770" s="246">
        <f>IFERROR(VLOOKUP(I1770,PROGRAMAS[],2,FALSE),0)</f>
        <v>764796700.79905891</v>
      </c>
      <c r="X1770" s="246">
        <f>IFERROR(VLOOKUP(J1770,PROGRAMAS[],2,FALSE),0)</f>
        <v>3776538594.4604583</v>
      </c>
      <c r="Y1770" s="246">
        <f>IFERROR(VLOOKUP(K1770,PROGRAMAS[],2,FALSE),0)</f>
        <v>54223862.645839565</v>
      </c>
      <c r="Z1770" s="246">
        <f>IFERROR(VLOOKUP(L1770,PROGRAMAS[],2,FALSE),0)</f>
        <v>7068496961.0436354</v>
      </c>
      <c r="AA1770" s="246">
        <f>IFERROR(VLOOKUP(M1770,PROGRAMAS[],2,FALSE),0)</f>
        <v>1892779498.5211046</v>
      </c>
      <c r="AB1770" s="246">
        <f>IFERROR(VLOOKUP(N1770,PROGRAMAS[],2,FALSE),0)</f>
        <v>0</v>
      </c>
      <c r="AC1770" s="246">
        <f>IFERROR(VLOOKUP(O1770,PROGRAMAS[],2,FALSE),0)</f>
        <v>0</v>
      </c>
      <c r="AD1770" s="246">
        <f>IFERROR(VLOOKUP(P1770,PROGRAMAS[],2,FALSE),0)</f>
        <v>0</v>
      </c>
      <c r="AE1770" s="246">
        <f>IFERROR(VLOOKUP(Q1770,PROGRAMAS[],2,FALSE),0)</f>
        <v>0</v>
      </c>
      <c r="AF1770" s="246">
        <f>IFERROR(VLOOKUP(D1770,PROGRAMAS[],3,FALSE),0)</f>
        <v>841888629.31080008</v>
      </c>
      <c r="AG1770" s="246">
        <f>IFERROR(VLOOKUP(E1770,PROGRAMAS[],3,FALSE),0)</f>
        <v>3848980803.1642323</v>
      </c>
      <c r="AH1770" s="246">
        <f>IFERROR(VLOOKUP(F1770,PROGRAMAS[],3,FALSE),0)</f>
        <v>3394901471.387517</v>
      </c>
      <c r="AI1770" s="246">
        <f>IFERROR(VLOOKUP(G1770,PROGRAMAS[],3,FALSE),0)</f>
        <v>1233505101.0616004</v>
      </c>
      <c r="AJ1770" s="246">
        <f>IFERROR(VLOOKUP(H1770,PROGRAMAS[],3,FALSE),0)</f>
        <v>7011279577.519702</v>
      </c>
      <c r="AK1770" s="246">
        <f>IFERROR(VLOOKUP(I1770,PROGRAMAS[],3,FALSE),0)</f>
        <v>675517840.109828</v>
      </c>
      <c r="AL1770" s="246">
        <f>IFERROR(VLOOKUP(J1770,PROGRAMAS[],3,FALSE),0)</f>
        <v>2392571243.5584412</v>
      </c>
      <c r="AM1770" s="246">
        <f>IFERROR(VLOOKUP(K1770,PROGRAMAS[],3,FALSE),0)</f>
        <v>31865326.38096505</v>
      </c>
      <c r="AN1770" s="246">
        <f>IFERROR(VLOOKUP(L1770,PROGRAMAS[],3,FALSE),0)</f>
        <v>2406564599.0319901</v>
      </c>
      <c r="AO1770" s="246">
        <f>IFERROR(VLOOKUP(M1770,PROGRAMAS[],3,FALSE),0)</f>
        <v>948595847.09039903</v>
      </c>
      <c r="AP1770" s="246">
        <f>IFERROR(VLOOKUP(N1770,PROGRAMAS[],3,FALSE),0)</f>
        <v>0</v>
      </c>
      <c r="AQ1770" s="246">
        <f>IFERROR(VLOOKUP(O1770,PROGRAMAS[],3,FALSE),0)</f>
        <v>0</v>
      </c>
      <c r="AR1770" s="246">
        <f>IFERROR(VLOOKUP(P1770,PROGRAMAS[],3,FALSE),0)</f>
        <v>0</v>
      </c>
      <c r="AS1770" s="246">
        <f>IFERROR(VLOOKUP(Q1770,PROGRAMAS[],3,FALSE),0)</f>
        <v>0</v>
      </c>
      <c r="AT1770" s="246">
        <f>IFERROR(VLOOKUP(D1770,VOL_REC[],2,FALSE),0)</f>
        <v>0</v>
      </c>
      <c r="AU1770" s="246">
        <f>IFERROR(VLOOKUP(E1770,VOL_REC[],2,FALSE),0)</f>
        <v>0</v>
      </c>
      <c r="AV1770" s="246">
        <f>IFERROR(VLOOKUP(F1770,VOL_REC[],2,FALSE),0)</f>
        <v>11089674.200000001</v>
      </c>
      <c r="AW1770" s="246">
        <f>IFERROR(VLOOKUP(G1770,VOL_REC[],2,FALSE),0)</f>
        <v>4325103.1812214684</v>
      </c>
      <c r="AX1770" s="246">
        <f>IFERROR(VLOOKUP(H1770,VOL_REC[],2,FALSE),0)</f>
        <v>3761786</v>
      </c>
      <c r="AY1770" s="246">
        <f>IFERROR(VLOOKUP(I1770,VOL_REC[],2,FALSE),0)</f>
        <v>240696.79238099116</v>
      </c>
      <c r="AZ1770" s="246">
        <f>IFERROR(VLOOKUP(J1770,VOL_REC[],2,FALSE),0)</f>
        <v>663244.80000000016</v>
      </c>
      <c r="BA1770" s="246">
        <f>IFERROR(VLOOKUP(K1770,VOL_REC[],2,FALSE),0)</f>
        <v>17074.045034105649</v>
      </c>
      <c r="BB1770" s="246">
        <f>IFERROR(VLOOKUP(L1770,VOL_REC[],2,FALSE),0)</f>
        <v>1072354.9981737854</v>
      </c>
      <c r="BC1770" s="246">
        <f>IFERROR(VLOOKUP(M1770,VOL_REC[],2,FALSE),0)</f>
        <v>740113.98115702497</v>
      </c>
      <c r="BD1770" s="246">
        <f>IFERROR(VLOOKUP(N1770,VOL_REC[],2,FALSE),0)</f>
        <v>0</v>
      </c>
      <c r="BE1770" s="246">
        <f>IFERROR(VLOOKUP(O1770,VOL_REC[],2,FALSE),0)</f>
        <v>0</v>
      </c>
      <c r="BF1770" s="246">
        <f>IFERROR(VLOOKUP(P1770,VOL_REC[],2,FALSE),0)</f>
        <v>0</v>
      </c>
      <c r="BG1770" s="246">
        <f>IFERROR(VLOOKUP(Q1770,VOL_REC[],2,FALSE),0)</f>
        <v>0</v>
      </c>
      <c r="BH1770" s="1710">
        <f t="shared" si="108"/>
        <v>24926224657.398834</v>
      </c>
      <c r="BI1770" s="1710">
        <f t="shared" si="109"/>
        <v>22785670438.615479</v>
      </c>
      <c r="BJ1770" s="1711">
        <f t="shared" si="110"/>
        <v>21910047.997967377</v>
      </c>
      <c r="BK1770" s="1711">
        <f t="shared" si="111"/>
        <v>1.0939429991559828</v>
      </c>
      <c r="BL1770">
        <f>BJ1770</f>
        <v>21910047.997967377</v>
      </c>
      <c r="BO1770">
        <f>BL1770</f>
        <v>21910047.997967377</v>
      </c>
    </row>
    <row r="1771" spans="3:67" x14ac:dyDescent="0.25">
      <c r="C1771" s="246" t="s">
        <v>3121</v>
      </c>
      <c r="D1771" s="246">
        <v>1</v>
      </c>
      <c r="E1771" s="246">
        <v>2</v>
      </c>
      <c r="F1771" s="246">
        <v>3</v>
      </c>
      <c r="G1771" s="246">
        <v>5</v>
      </c>
      <c r="H1771" s="246">
        <v>9</v>
      </c>
      <c r="I1771" s="246">
        <v>12</v>
      </c>
      <c r="J1771" s="246">
        <v>13</v>
      </c>
      <c r="K1771" s="246">
        <v>15</v>
      </c>
      <c r="L1771" s="246">
        <v>16</v>
      </c>
      <c r="M1771" s="246">
        <v>17</v>
      </c>
      <c r="N1771" s="246"/>
      <c r="O1771" s="246"/>
      <c r="P1771" s="246"/>
      <c r="Q1771" s="246"/>
      <c r="R1771" s="246">
        <f>IFERROR(VLOOKUP(D1771,PROGRAMAS[],2,FALSE),0)</f>
        <v>97037803.679377079</v>
      </c>
      <c r="S1771" s="246">
        <f>IFERROR(VLOOKUP(E1771,PROGRAMAS[],2,FALSE),0)</f>
        <v>640501509.6821388</v>
      </c>
      <c r="T1771" s="246">
        <f>IFERROR(VLOOKUP(F1771,PROGRAMAS[],2,FALSE),0)</f>
        <v>3062327798.1525245</v>
      </c>
      <c r="U1771" s="246">
        <f>IFERROR(VLOOKUP(G1771,PROGRAMAS[],2,FALSE),0)</f>
        <v>1440941976.2528784</v>
      </c>
      <c r="V1771" s="246">
        <f>IFERROR(VLOOKUP(H1771,PROGRAMAS[],2,FALSE),0)</f>
        <v>6128579952.1618185</v>
      </c>
      <c r="W1771" s="246">
        <f>IFERROR(VLOOKUP(I1771,PROGRAMAS[],2,FALSE),0)</f>
        <v>764796700.79905891</v>
      </c>
      <c r="X1771" s="246">
        <f>IFERROR(VLOOKUP(J1771,PROGRAMAS[],2,FALSE),0)</f>
        <v>3776538594.4604583</v>
      </c>
      <c r="Y1771" s="246">
        <f>IFERROR(VLOOKUP(K1771,PROGRAMAS[],2,FALSE),0)</f>
        <v>122159672.96346797</v>
      </c>
      <c r="Z1771" s="246">
        <f>IFERROR(VLOOKUP(L1771,PROGRAMAS[],2,FALSE),0)</f>
        <v>7068496961.0436354</v>
      </c>
      <c r="AA1771" s="246">
        <f>IFERROR(VLOOKUP(M1771,PROGRAMAS[],2,FALSE),0)</f>
        <v>1892779498.5211046</v>
      </c>
      <c r="AB1771" s="246">
        <f>IFERROR(VLOOKUP(N1771,PROGRAMAS[],2,FALSE),0)</f>
        <v>0</v>
      </c>
      <c r="AC1771" s="246">
        <f>IFERROR(VLOOKUP(O1771,PROGRAMAS[],2,FALSE),0)</f>
        <v>0</v>
      </c>
      <c r="AD1771" s="246">
        <f>IFERROR(VLOOKUP(P1771,PROGRAMAS[],2,FALSE),0)</f>
        <v>0</v>
      </c>
      <c r="AE1771" s="246">
        <f>IFERROR(VLOOKUP(Q1771,PROGRAMAS[],2,FALSE),0)</f>
        <v>0</v>
      </c>
      <c r="AF1771" s="246">
        <f>IFERROR(VLOOKUP(D1771,PROGRAMAS[],3,FALSE),0)</f>
        <v>841888629.31080008</v>
      </c>
      <c r="AG1771" s="246">
        <f>IFERROR(VLOOKUP(E1771,PROGRAMAS[],3,FALSE),0)</f>
        <v>3848980803.1642323</v>
      </c>
      <c r="AH1771" s="246">
        <f>IFERROR(VLOOKUP(F1771,PROGRAMAS[],3,FALSE),0)</f>
        <v>3394901471.387517</v>
      </c>
      <c r="AI1771" s="246">
        <f>IFERROR(VLOOKUP(G1771,PROGRAMAS[],3,FALSE),0)</f>
        <v>1233505101.0616004</v>
      </c>
      <c r="AJ1771" s="246">
        <f>IFERROR(VLOOKUP(H1771,PROGRAMAS[],3,FALSE),0)</f>
        <v>7011279577.519702</v>
      </c>
      <c r="AK1771" s="246">
        <f>IFERROR(VLOOKUP(I1771,PROGRAMAS[],3,FALSE),0)</f>
        <v>675517840.109828</v>
      </c>
      <c r="AL1771" s="246">
        <f>IFERROR(VLOOKUP(J1771,PROGRAMAS[],3,FALSE),0)</f>
        <v>2392571243.5584412</v>
      </c>
      <c r="AM1771" s="246">
        <f>IFERROR(VLOOKUP(K1771,PROGRAMAS[],3,FALSE),0)</f>
        <v>118617452.52510804</v>
      </c>
      <c r="AN1771" s="246">
        <f>IFERROR(VLOOKUP(L1771,PROGRAMAS[],3,FALSE),0)</f>
        <v>2406564599.0319901</v>
      </c>
      <c r="AO1771" s="246">
        <f>IFERROR(VLOOKUP(M1771,PROGRAMAS[],3,FALSE),0)</f>
        <v>948595847.09039903</v>
      </c>
      <c r="AP1771" s="246">
        <f>IFERROR(VLOOKUP(N1771,PROGRAMAS[],3,FALSE),0)</f>
        <v>0</v>
      </c>
      <c r="AQ1771" s="246">
        <f>IFERROR(VLOOKUP(O1771,PROGRAMAS[],3,FALSE),0)</f>
        <v>0</v>
      </c>
      <c r="AR1771" s="246">
        <f>IFERROR(VLOOKUP(P1771,PROGRAMAS[],3,FALSE),0)</f>
        <v>0</v>
      </c>
      <c r="AS1771" s="246">
        <f>IFERROR(VLOOKUP(Q1771,PROGRAMAS[],3,FALSE),0)</f>
        <v>0</v>
      </c>
      <c r="AT1771" s="246">
        <f>IFERROR(VLOOKUP(D1771,VOL_REC[],2,FALSE),0)</f>
        <v>0</v>
      </c>
      <c r="AU1771" s="246">
        <f>IFERROR(VLOOKUP(E1771,VOL_REC[],2,FALSE),0)</f>
        <v>0</v>
      </c>
      <c r="AV1771" s="246">
        <f>IFERROR(VLOOKUP(F1771,VOL_REC[],2,FALSE),0)</f>
        <v>11089674.200000001</v>
      </c>
      <c r="AW1771" s="246">
        <f>IFERROR(VLOOKUP(G1771,VOL_REC[],2,FALSE),0)</f>
        <v>4325103.1812214684</v>
      </c>
      <c r="AX1771" s="246">
        <f>IFERROR(VLOOKUP(H1771,VOL_REC[],2,FALSE),0)</f>
        <v>3761786</v>
      </c>
      <c r="AY1771" s="246">
        <f>IFERROR(VLOOKUP(I1771,VOL_REC[],2,FALSE),0)</f>
        <v>240696.79238099116</v>
      </c>
      <c r="AZ1771" s="246">
        <f>IFERROR(VLOOKUP(J1771,VOL_REC[],2,FALSE),0)</f>
        <v>663244.80000000016</v>
      </c>
      <c r="BA1771" s="246">
        <f>IFERROR(VLOOKUP(K1771,VOL_REC[],2,FALSE),0)</f>
        <v>105072</v>
      </c>
      <c r="BB1771" s="246">
        <f>IFERROR(VLOOKUP(L1771,VOL_REC[],2,FALSE),0)</f>
        <v>1072354.9981737854</v>
      </c>
      <c r="BC1771" s="246">
        <f>IFERROR(VLOOKUP(M1771,VOL_REC[],2,FALSE),0)</f>
        <v>740113.98115702497</v>
      </c>
      <c r="BD1771" s="246">
        <f>IFERROR(VLOOKUP(N1771,VOL_REC[],2,FALSE),0)</f>
        <v>0</v>
      </c>
      <c r="BE1771" s="246">
        <f>IFERROR(VLOOKUP(O1771,VOL_REC[],2,FALSE),0)</f>
        <v>0</v>
      </c>
      <c r="BF1771" s="246">
        <f>IFERROR(VLOOKUP(P1771,VOL_REC[],2,FALSE),0)</f>
        <v>0</v>
      </c>
      <c r="BG1771" s="246">
        <f>IFERROR(VLOOKUP(Q1771,VOL_REC[],2,FALSE),0)</f>
        <v>0</v>
      </c>
      <c r="BH1771" s="1710">
        <f t="shared" si="108"/>
        <v>24994160467.716461</v>
      </c>
      <c r="BI1771" s="1710">
        <f t="shared" si="109"/>
        <v>22872422564.759621</v>
      </c>
      <c r="BJ1771" s="1711">
        <f t="shared" si="110"/>
        <v>21998045.95293327</v>
      </c>
      <c r="BK1771" s="1711">
        <f t="shared" si="111"/>
        <v>1.0927640216924761</v>
      </c>
      <c r="BL1771">
        <f>BJ1771</f>
        <v>21998045.95293327</v>
      </c>
      <c r="BO1771">
        <f>BL1771</f>
        <v>21998045.95293327</v>
      </c>
    </row>
    <row r="1772" spans="3:67" x14ac:dyDescent="0.25">
      <c r="C1772" s="246" t="s">
        <v>3122</v>
      </c>
      <c r="D1772" s="246">
        <v>1</v>
      </c>
      <c r="E1772" s="246">
        <v>2</v>
      </c>
      <c r="F1772" s="246">
        <v>3</v>
      </c>
      <c r="G1772" s="246">
        <v>5</v>
      </c>
      <c r="H1772" s="246">
        <v>9</v>
      </c>
      <c r="I1772" s="246">
        <v>12</v>
      </c>
      <c r="J1772" s="246">
        <v>14</v>
      </c>
      <c r="K1772" s="246">
        <v>15</v>
      </c>
      <c r="L1772" s="246">
        <v>16</v>
      </c>
      <c r="M1772" s="246">
        <v>17</v>
      </c>
      <c r="N1772" s="246"/>
      <c r="O1772" s="246"/>
      <c r="P1772" s="246"/>
      <c r="Q1772" s="246"/>
      <c r="R1772" s="246">
        <f>IFERROR(VLOOKUP(D1772,PROGRAMAS[],2,FALSE),0)</f>
        <v>97037803.679377079</v>
      </c>
      <c r="S1772" s="246">
        <f>IFERROR(VLOOKUP(E1772,PROGRAMAS[],2,FALSE),0)</f>
        <v>640501509.6821388</v>
      </c>
      <c r="T1772" s="246">
        <f>IFERROR(VLOOKUP(F1772,PROGRAMAS[],2,FALSE),0)</f>
        <v>3062327798.1525245</v>
      </c>
      <c r="U1772" s="246">
        <f>IFERROR(VLOOKUP(G1772,PROGRAMAS[],2,FALSE),0)</f>
        <v>1440941976.2528784</v>
      </c>
      <c r="V1772" s="246">
        <f>IFERROR(VLOOKUP(H1772,PROGRAMAS[],2,FALSE),0)</f>
        <v>6128579952.1618185</v>
      </c>
      <c r="W1772" s="246">
        <f>IFERROR(VLOOKUP(I1772,PROGRAMAS[],2,FALSE),0)</f>
        <v>764796700.79905891</v>
      </c>
      <c r="X1772" s="246">
        <f>IFERROR(VLOOKUP(J1772,PROGRAMAS[],2,FALSE),0)</f>
        <v>54223862.645839565</v>
      </c>
      <c r="Y1772" s="246">
        <f>IFERROR(VLOOKUP(K1772,PROGRAMAS[],2,FALSE),0)</f>
        <v>122159672.96346797</v>
      </c>
      <c r="Z1772" s="246">
        <f>IFERROR(VLOOKUP(L1772,PROGRAMAS[],2,FALSE),0)</f>
        <v>7068496961.0436354</v>
      </c>
      <c r="AA1772" s="246">
        <f>IFERROR(VLOOKUP(M1772,PROGRAMAS[],2,FALSE),0)</f>
        <v>1892779498.5211046</v>
      </c>
      <c r="AB1772" s="246">
        <f>IFERROR(VLOOKUP(N1772,PROGRAMAS[],2,FALSE),0)</f>
        <v>0</v>
      </c>
      <c r="AC1772" s="246">
        <f>IFERROR(VLOOKUP(O1772,PROGRAMAS[],2,FALSE),0)</f>
        <v>0</v>
      </c>
      <c r="AD1772" s="246">
        <f>IFERROR(VLOOKUP(P1772,PROGRAMAS[],2,FALSE),0)</f>
        <v>0</v>
      </c>
      <c r="AE1772" s="246">
        <f>IFERROR(VLOOKUP(Q1772,PROGRAMAS[],2,FALSE),0)</f>
        <v>0</v>
      </c>
      <c r="AF1772" s="246">
        <f>IFERROR(VLOOKUP(D1772,PROGRAMAS[],3,FALSE),0)</f>
        <v>841888629.31080008</v>
      </c>
      <c r="AG1772" s="246">
        <f>IFERROR(VLOOKUP(E1772,PROGRAMAS[],3,FALSE),0)</f>
        <v>3848980803.1642323</v>
      </c>
      <c r="AH1772" s="246">
        <f>IFERROR(VLOOKUP(F1772,PROGRAMAS[],3,FALSE),0)</f>
        <v>3394901471.387517</v>
      </c>
      <c r="AI1772" s="246">
        <f>IFERROR(VLOOKUP(G1772,PROGRAMAS[],3,FALSE),0)</f>
        <v>1233505101.0616004</v>
      </c>
      <c r="AJ1772" s="246">
        <f>IFERROR(VLOOKUP(H1772,PROGRAMAS[],3,FALSE),0)</f>
        <v>7011279577.519702</v>
      </c>
      <c r="AK1772" s="246">
        <f>IFERROR(VLOOKUP(I1772,PROGRAMAS[],3,FALSE),0)</f>
        <v>675517840.109828</v>
      </c>
      <c r="AL1772" s="246">
        <f>IFERROR(VLOOKUP(J1772,PROGRAMAS[],3,FALSE),0)</f>
        <v>31865326.38096505</v>
      </c>
      <c r="AM1772" s="246">
        <f>IFERROR(VLOOKUP(K1772,PROGRAMAS[],3,FALSE),0)</f>
        <v>118617452.52510804</v>
      </c>
      <c r="AN1772" s="246">
        <f>IFERROR(VLOOKUP(L1772,PROGRAMAS[],3,FALSE),0)</f>
        <v>2406564599.0319901</v>
      </c>
      <c r="AO1772" s="246">
        <f>IFERROR(VLOOKUP(M1772,PROGRAMAS[],3,FALSE),0)</f>
        <v>948595847.09039903</v>
      </c>
      <c r="AP1772" s="246">
        <f>IFERROR(VLOOKUP(N1772,PROGRAMAS[],3,FALSE),0)</f>
        <v>0</v>
      </c>
      <c r="AQ1772" s="246">
        <f>IFERROR(VLOOKUP(O1772,PROGRAMAS[],3,FALSE),0)</f>
        <v>0</v>
      </c>
      <c r="AR1772" s="246">
        <f>IFERROR(VLOOKUP(P1772,PROGRAMAS[],3,FALSE),0)</f>
        <v>0</v>
      </c>
      <c r="AS1772" s="246">
        <f>IFERROR(VLOOKUP(Q1772,PROGRAMAS[],3,FALSE),0)</f>
        <v>0</v>
      </c>
      <c r="AT1772" s="246">
        <f>IFERROR(VLOOKUP(D1772,VOL_REC[],2,FALSE),0)</f>
        <v>0</v>
      </c>
      <c r="AU1772" s="246">
        <f>IFERROR(VLOOKUP(E1772,VOL_REC[],2,FALSE),0)</f>
        <v>0</v>
      </c>
      <c r="AV1772" s="246">
        <f>IFERROR(VLOOKUP(F1772,VOL_REC[],2,FALSE),0)</f>
        <v>11089674.200000001</v>
      </c>
      <c r="AW1772" s="246">
        <f>IFERROR(VLOOKUP(G1772,VOL_REC[],2,FALSE),0)</f>
        <v>4325103.1812214684</v>
      </c>
      <c r="AX1772" s="246">
        <f>IFERROR(VLOOKUP(H1772,VOL_REC[],2,FALSE),0)</f>
        <v>3761786</v>
      </c>
      <c r="AY1772" s="246">
        <f>IFERROR(VLOOKUP(I1772,VOL_REC[],2,FALSE),0)</f>
        <v>240696.79238099116</v>
      </c>
      <c r="AZ1772" s="246">
        <f>IFERROR(VLOOKUP(J1772,VOL_REC[],2,FALSE),0)</f>
        <v>17074.045034105649</v>
      </c>
      <c r="BA1772" s="246">
        <f>IFERROR(VLOOKUP(K1772,VOL_REC[],2,FALSE),0)</f>
        <v>105072</v>
      </c>
      <c r="BB1772" s="246">
        <f>IFERROR(VLOOKUP(L1772,VOL_REC[],2,FALSE),0)</f>
        <v>1072354.9981737854</v>
      </c>
      <c r="BC1772" s="246">
        <f>IFERROR(VLOOKUP(M1772,VOL_REC[],2,FALSE),0)</f>
        <v>740113.98115702497</v>
      </c>
      <c r="BD1772" s="246">
        <f>IFERROR(VLOOKUP(N1772,VOL_REC[],2,FALSE),0)</f>
        <v>0</v>
      </c>
      <c r="BE1772" s="246">
        <f>IFERROR(VLOOKUP(O1772,VOL_REC[],2,FALSE),0)</f>
        <v>0</v>
      </c>
      <c r="BF1772" s="246">
        <f>IFERROR(VLOOKUP(P1772,VOL_REC[],2,FALSE),0)</f>
        <v>0</v>
      </c>
      <c r="BG1772" s="246">
        <f>IFERROR(VLOOKUP(Q1772,VOL_REC[],2,FALSE),0)</f>
        <v>0</v>
      </c>
      <c r="BH1772" s="1710">
        <f t="shared" si="108"/>
        <v>21271845735.901844</v>
      </c>
      <c r="BI1772" s="1710">
        <f t="shared" si="109"/>
        <v>20511716647.582146</v>
      </c>
      <c r="BJ1772" s="1711">
        <f t="shared" si="110"/>
        <v>21351875.197967377</v>
      </c>
      <c r="BK1772" s="1711">
        <f t="shared" si="111"/>
        <v>1.0370582872891481</v>
      </c>
      <c r="BL1772">
        <f>BJ1772</f>
        <v>21351875.197967377</v>
      </c>
      <c r="BO1772">
        <f>BL1772</f>
        <v>21351875.197967377</v>
      </c>
    </row>
    <row r="1773" spans="3:67" x14ac:dyDescent="0.25">
      <c r="C1773" s="246" t="s">
        <v>3123</v>
      </c>
      <c r="D1773" s="246">
        <v>1</v>
      </c>
      <c r="E1773" s="246">
        <v>2</v>
      </c>
      <c r="F1773" s="246">
        <v>3</v>
      </c>
      <c r="G1773" s="246">
        <v>5</v>
      </c>
      <c r="H1773" s="246">
        <v>9</v>
      </c>
      <c r="I1773" s="246">
        <v>13</v>
      </c>
      <c r="J1773" s="246">
        <v>14</v>
      </c>
      <c r="K1773" s="246">
        <v>15</v>
      </c>
      <c r="L1773" s="246">
        <v>16</v>
      </c>
      <c r="M1773" s="246">
        <v>17</v>
      </c>
      <c r="N1773" s="246"/>
      <c r="O1773" s="246"/>
      <c r="P1773" s="246"/>
      <c r="Q1773" s="246"/>
      <c r="R1773" s="246">
        <f>IFERROR(VLOOKUP(D1773,PROGRAMAS[],2,FALSE),0)</f>
        <v>97037803.679377079</v>
      </c>
      <c r="S1773" s="246">
        <f>IFERROR(VLOOKUP(E1773,PROGRAMAS[],2,FALSE),0)</f>
        <v>640501509.6821388</v>
      </c>
      <c r="T1773" s="246">
        <f>IFERROR(VLOOKUP(F1773,PROGRAMAS[],2,FALSE),0)</f>
        <v>3062327798.1525245</v>
      </c>
      <c r="U1773" s="246">
        <f>IFERROR(VLOOKUP(G1773,PROGRAMAS[],2,FALSE),0)</f>
        <v>1440941976.2528784</v>
      </c>
      <c r="V1773" s="246">
        <f>IFERROR(VLOOKUP(H1773,PROGRAMAS[],2,FALSE),0)</f>
        <v>6128579952.1618185</v>
      </c>
      <c r="W1773" s="246">
        <f>IFERROR(VLOOKUP(I1773,PROGRAMAS[],2,FALSE),0)</f>
        <v>3776538594.4604583</v>
      </c>
      <c r="X1773" s="246">
        <f>IFERROR(VLOOKUP(J1773,PROGRAMAS[],2,FALSE),0)</f>
        <v>54223862.645839565</v>
      </c>
      <c r="Y1773" s="246">
        <f>IFERROR(VLOOKUP(K1773,PROGRAMAS[],2,FALSE),0)</f>
        <v>122159672.96346797</v>
      </c>
      <c r="Z1773" s="246">
        <f>IFERROR(VLOOKUP(L1773,PROGRAMAS[],2,FALSE),0)</f>
        <v>7068496961.0436354</v>
      </c>
      <c r="AA1773" s="246">
        <f>IFERROR(VLOOKUP(M1773,PROGRAMAS[],2,FALSE),0)</f>
        <v>1892779498.5211046</v>
      </c>
      <c r="AB1773" s="246">
        <f>IFERROR(VLOOKUP(N1773,PROGRAMAS[],2,FALSE),0)</f>
        <v>0</v>
      </c>
      <c r="AC1773" s="246">
        <f>IFERROR(VLOOKUP(O1773,PROGRAMAS[],2,FALSE),0)</f>
        <v>0</v>
      </c>
      <c r="AD1773" s="246">
        <f>IFERROR(VLOOKUP(P1773,PROGRAMAS[],2,FALSE),0)</f>
        <v>0</v>
      </c>
      <c r="AE1773" s="246">
        <f>IFERROR(VLOOKUP(Q1773,PROGRAMAS[],2,FALSE),0)</f>
        <v>0</v>
      </c>
      <c r="AF1773" s="246">
        <f>IFERROR(VLOOKUP(D1773,PROGRAMAS[],3,FALSE),0)</f>
        <v>841888629.31080008</v>
      </c>
      <c r="AG1773" s="246">
        <f>IFERROR(VLOOKUP(E1773,PROGRAMAS[],3,FALSE),0)</f>
        <v>3848980803.1642323</v>
      </c>
      <c r="AH1773" s="246">
        <f>IFERROR(VLOOKUP(F1773,PROGRAMAS[],3,FALSE),0)</f>
        <v>3394901471.387517</v>
      </c>
      <c r="AI1773" s="246">
        <f>IFERROR(VLOOKUP(G1773,PROGRAMAS[],3,FALSE),0)</f>
        <v>1233505101.0616004</v>
      </c>
      <c r="AJ1773" s="246">
        <f>IFERROR(VLOOKUP(H1773,PROGRAMAS[],3,FALSE),0)</f>
        <v>7011279577.519702</v>
      </c>
      <c r="AK1773" s="246">
        <f>IFERROR(VLOOKUP(I1773,PROGRAMAS[],3,FALSE),0)</f>
        <v>2392571243.5584412</v>
      </c>
      <c r="AL1773" s="246">
        <f>IFERROR(VLOOKUP(J1773,PROGRAMAS[],3,FALSE),0)</f>
        <v>31865326.38096505</v>
      </c>
      <c r="AM1773" s="246">
        <f>IFERROR(VLOOKUP(K1773,PROGRAMAS[],3,FALSE),0)</f>
        <v>118617452.52510804</v>
      </c>
      <c r="AN1773" s="246">
        <f>IFERROR(VLOOKUP(L1773,PROGRAMAS[],3,FALSE),0)</f>
        <v>2406564599.0319901</v>
      </c>
      <c r="AO1773" s="246">
        <f>IFERROR(VLOOKUP(M1773,PROGRAMAS[],3,FALSE),0)</f>
        <v>948595847.09039903</v>
      </c>
      <c r="AP1773" s="246">
        <f>IFERROR(VLOOKUP(N1773,PROGRAMAS[],3,FALSE),0)</f>
        <v>0</v>
      </c>
      <c r="AQ1773" s="246">
        <f>IFERROR(VLOOKUP(O1773,PROGRAMAS[],3,FALSE),0)</f>
        <v>0</v>
      </c>
      <c r="AR1773" s="246">
        <f>IFERROR(VLOOKUP(P1773,PROGRAMAS[],3,FALSE),0)</f>
        <v>0</v>
      </c>
      <c r="AS1773" s="246">
        <f>IFERROR(VLOOKUP(Q1773,PROGRAMAS[],3,FALSE),0)</f>
        <v>0</v>
      </c>
      <c r="AT1773" s="246">
        <f>IFERROR(VLOOKUP(D1773,VOL_REC[],2,FALSE),0)</f>
        <v>0</v>
      </c>
      <c r="AU1773" s="246">
        <f>IFERROR(VLOOKUP(E1773,VOL_REC[],2,FALSE),0)</f>
        <v>0</v>
      </c>
      <c r="AV1773" s="246">
        <f>IFERROR(VLOOKUP(F1773,VOL_REC[],2,FALSE),0)</f>
        <v>11089674.200000001</v>
      </c>
      <c r="AW1773" s="246">
        <f>IFERROR(VLOOKUP(G1773,VOL_REC[],2,FALSE),0)</f>
        <v>4325103.1812214684</v>
      </c>
      <c r="AX1773" s="246">
        <f>IFERROR(VLOOKUP(H1773,VOL_REC[],2,FALSE),0)</f>
        <v>3761786</v>
      </c>
      <c r="AY1773" s="246">
        <f>IFERROR(VLOOKUP(I1773,VOL_REC[],2,FALSE),0)</f>
        <v>663244.80000000016</v>
      </c>
      <c r="AZ1773" s="246">
        <f>IFERROR(VLOOKUP(J1773,VOL_REC[],2,FALSE),0)</f>
        <v>17074.045034105649</v>
      </c>
      <c r="BA1773" s="246">
        <f>IFERROR(VLOOKUP(K1773,VOL_REC[],2,FALSE),0)</f>
        <v>105072</v>
      </c>
      <c r="BB1773" s="246">
        <f>IFERROR(VLOOKUP(L1773,VOL_REC[],2,FALSE),0)</f>
        <v>1072354.9981737854</v>
      </c>
      <c r="BC1773" s="246">
        <f>IFERROR(VLOOKUP(M1773,VOL_REC[],2,FALSE),0)</f>
        <v>740113.98115702497</v>
      </c>
      <c r="BD1773" s="246">
        <f>IFERROR(VLOOKUP(N1773,VOL_REC[],2,FALSE),0)</f>
        <v>0</v>
      </c>
      <c r="BE1773" s="246">
        <f>IFERROR(VLOOKUP(O1773,VOL_REC[],2,FALSE),0)</f>
        <v>0</v>
      </c>
      <c r="BF1773" s="246">
        <f>IFERROR(VLOOKUP(P1773,VOL_REC[],2,FALSE),0)</f>
        <v>0</v>
      </c>
      <c r="BG1773" s="246">
        <f>IFERROR(VLOOKUP(Q1773,VOL_REC[],2,FALSE),0)</f>
        <v>0</v>
      </c>
      <c r="BH1773" s="1710">
        <f t="shared" si="108"/>
        <v>24283587629.563244</v>
      </c>
      <c r="BI1773" s="1710">
        <f t="shared" si="109"/>
        <v>22228770051.030758</v>
      </c>
      <c r="BJ1773" s="1711">
        <f t="shared" si="110"/>
        <v>21774423.205586385</v>
      </c>
      <c r="BK1773" s="1711">
        <f t="shared" si="111"/>
        <v>1.0924395535072442</v>
      </c>
      <c r="BL1773">
        <f>BJ1773</f>
        <v>21774423.205586385</v>
      </c>
      <c r="BO1773">
        <f>BL1773</f>
        <v>21774423.205586385</v>
      </c>
    </row>
    <row r="1774" spans="3:67" x14ac:dyDescent="0.25">
      <c r="C1774" s="246" t="s">
        <v>3124</v>
      </c>
      <c r="D1774" s="246">
        <v>1</v>
      </c>
      <c r="E1774" s="246">
        <v>2</v>
      </c>
      <c r="F1774" s="246">
        <v>3</v>
      </c>
      <c r="G1774" s="246">
        <v>5</v>
      </c>
      <c r="H1774" s="246">
        <v>10</v>
      </c>
      <c r="I1774" s="246">
        <v>12</v>
      </c>
      <c r="J1774" s="246">
        <v>13</v>
      </c>
      <c r="K1774" s="246">
        <v>14</v>
      </c>
      <c r="L1774" s="246">
        <v>15</v>
      </c>
      <c r="M1774" s="246">
        <v>16</v>
      </c>
      <c r="N1774" s="246"/>
      <c r="O1774" s="246"/>
      <c r="P1774" s="246"/>
      <c r="Q1774" s="246"/>
      <c r="R1774" s="246">
        <f>IFERROR(VLOOKUP(D1774,PROGRAMAS[],2,FALSE),0)</f>
        <v>97037803.679377079</v>
      </c>
      <c r="S1774" s="246">
        <f>IFERROR(VLOOKUP(E1774,PROGRAMAS[],2,FALSE),0)</f>
        <v>640501509.6821388</v>
      </c>
      <c r="T1774" s="246">
        <f>IFERROR(VLOOKUP(F1774,PROGRAMAS[],2,FALSE),0)</f>
        <v>3062327798.1525245</v>
      </c>
      <c r="U1774" s="246">
        <f>IFERROR(VLOOKUP(G1774,PROGRAMAS[],2,FALSE),0)</f>
        <v>1440941976.2528784</v>
      </c>
      <c r="V1774" s="246">
        <f>IFERROR(VLOOKUP(H1774,PROGRAMAS[],2,FALSE),0)</f>
        <v>4635315027.8751087</v>
      </c>
      <c r="W1774" s="246">
        <f>IFERROR(VLOOKUP(I1774,PROGRAMAS[],2,FALSE),0)</f>
        <v>764796700.79905891</v>
      </c>
      <c r="X1774" s="246">
        <f>IFERROR(VLOOKUP(J1774,PROGRAMAS[],2,FALSE),0)</f>
        <v>3776538594.4604583</v>
      </c>
      <c r="Y1774" s="246">
        <f>IFERROR(VLOOKUP(K1774,PROGRAMAS[],2,FALSE),0)</f>
        <v>54223862.645839565</v>
      </c>
      <c r="Z1774" s="246">
        <f>IFERROR(VLOOKUP(L1774,PROGRAMAS[],2,FALSE),0)</f>
        <v>122159672.96346797</v>
      </c>
      <c r="AA1774" s="246">
        <f>IFERROR(VLOOKUP(M1774,PROGRAMAS[],2,FALSE),0)</f>
        <v>7068496961.0436354</v>
      </c>
      <c r="AB1774" s="246">
        <f>IFERROR(VLOOKUP(N1774,PROGRAMAS[],2,FALSE),0)</f>
        <v>0</v>
      </c>
      <c r="AC1774" s="246">
        <f>IFERROR(VLOOKUP(O1774,PROGRAMAS[],2,FALSE),0)</f>
        <v>0</v>
      </c>
      <c r="AD1774" s="246">
        <f>IFERROR(VLOOKUP(P1774,PROGRAMAS[],2,FALSE),0)</f>
        <v>0</v>
      </c>
      <c r="AE1774" s="246">
        <f>IFERROR(VLOOKUP(Q1774,PROGRAMAS[],2,FALSE),0)</f>
        <v>0</v>
      </c>
      <c r="AF1774" s="246">
        <f>IFERROR(VLOOKUP(D1774,PROGRAMAS[],3,FALSE),0)</f>
        <v>841888629.31080008</v>
      </c>
      <c r="AG1774" s="246">
        <f>IFERROR(VLOOKUP(E1774,PROGRAMAS[],3,FALSE),0)</f>
        <v>3848980803.1642323</v>
      </c>
      <c r="AH1774" s="246">
        <f>IFERROR(VLOOKUP(F1774,PROGRAMAS[],3,FALSE),0)</f>
        <v>3394901471.387517</v>
      </c>
      <c r="AI1774" s="246">
        <f>IFERROR(VLOOKUP(G1774,PROGRAMAS[],3,FALSE),0)</f>
        <v>1233505101.0616004</v>
      </c>
      <c r="AJ1774" s="246">
        <f>IFERROR(VLOOKUP(H1774,PROGRAMAS[],3,FALSE),0)</f>
        <v>4099471734.9978786</v>
      </c>
      <c r="AK1774" s="246">
        <f>IFERROR(VLOOKUP(I1774,PROGRAMAS[],3,FALSE),0)</f>
        <v>675517840.109828</v>
      </c>
      <c r="AL1774" s="246">
        <f>IFERROR(VLOOKUP(J1774,PROGRAMAS[],3,FALSE),0)</f>
        <v>2392571243.5584412</v>
      </c>
      <c r="AM1774" s="246">
        <f>IFERROR(VLOOKUP(K1774,PROGRAMAS[],3,FALSE),0)</f>
        <v>31865326.38096505</v>
      </c>
      <c r="AN1774" s="246">
        <f>IFERROR(VLOOKUP(L1774,PROGRAMAS[],3,FALSE),0)</f>
        <v>118617452.52510804</v>
      </c>
      <c r="AO1774" s="246">
        <f>IFERROR(VLOOKUP(M1774,PROGRAMAS[],3,FALSE),0)</f>
        <v>2406564599.0319901</v>
      </c>
      <c r="AP1774" s="246">
        <f>IFERROR(VLOOKUP(N1774,PROGRAMAS[],3,FALSE),0)</f>
        <v>0</v>
      </c>
      <c r="AQ1774" s="246">
        <f>IFERROR(VLOOKUP(O1774,PROGRAMAS[],3,FALSE),0)</f>
        <v>0</v>
      </c>
      <c r="AR1774" s="246">
        <f>IFERROR(VLOOKUP(P1774,PROGRAMAS[],3,FALSE),0)</f>
        <v>0</v>
      </c>
      <c r="AS1774" s="246">
        <f>IFERROR(VLOOKUP(Q1774,PROGRAMAS[],3,FALSE),0)</f>
        <v>0</v>
      </c>
      <c r="AT1774" s="246">
        <f>IFERROR(VLOOKUP(D1774,VOL_REC[],2,FALSE),0)</f>
        <v>0</v>
      </c>
      <c r="AU1774" s="246">
        <f>IFERROR(VLOOKUP(E1774,VOL_REC[],2,FALSE),0)</f>
        <v>0</v>
      </c>
      <c r="AV1774" s="246">
        <f>IFERROR(VLOOKUP(F1774,VOL_REC[],2,FALSE),0)</f>
        <v>11089674.200000001</v>
      </c>
      <c r="AW1774" s="246">
        <f>IFERROR(VLOOKUP(G1774,VOL_REC[],2,FALSE),0)</f>
        <v>4325103.1812214684</v>
      </c>
      <c r="AX1774" s="246">
        <f>IFERROR(VLOOKUP(H1774,VOL_REC[],2,FALSE),0)</f>
        <v>1812240</v>
      </c>
      <c r="AY1774" s="246">
        <f>IFERROR(VLOOKUP(I1774,VOL_REC[],2,FALSE),0)</f>
        <v>240696.79238099116</v>
      </c>
      <c r="AZ1774" s="246">
        <f>IFERROR(VLOOKUP(J1774,VOL_REC[],2,FALSE),0)</f>
        <v>663244.80000000016</v>
      </c>
      <c r="BA1774" s="246">
        <f>IFERROR(VLOOKUP(K1774,VOL_REC[],2,FALSE),0)</f>
        <v>17074.045034105649</v>
      </c>
      <c r="BB1774" s="246">
        <f>IFERROR(VLOOKUP(L1774,VOL_REC[],2,FALSE),0)</f>
        <v>105072</v>
      </c>
      <c r="BC1774" s="246">
        <f>IFERROR(VLOOKUP(M1774,VOL_REC[],2,FALSE),0)</f>
        <v>1072354.9981737854</v>
      </c>
      <c r="BD1774" s="246">
        <f>IFERROR(VLOOKUP(N1774,VOL_REC[],2,FALSE),0)</f>
        <v>0</v>
      </c>
      <c r="BE1774" s="246">
        <f>IFERROR(VLOOKUP(O1774,VOL_REC[],2,FALSE),0)</f>
        <v>0</v>
      </c>
      <c r="BF1774" s="246">
        <f>IFERROR(VLOOKUP(P1774,VOL_REC[],2,FALSE),0)</f>
        <v>0</v>
      </c>
      <c r="BG1774" s="246">
        <f>IFERROR(VLOOKUP(Q1774,VOL_REC[],2,FALSE),0)</f>
        <v>0</v>
      </c>
      <c r="BH1774" s="1710">
        <f t="shared" si="108"/>
        <v>21662339907.554489</v>
      </c>
      <c r="BI1774" s="1710">
        <f t="shared" si="109"/>
        <v>19043884201.528358</v>
      </c>
      <c r="BJ1774" s="1711">
        <f t="shared" si="110"/>
        <v>19325460.016810354</v>
      </c>
      <c r="BK1774" s="1711">
        <f t="shared" si="111"/>
        <v>1.1374958846796595</v>
      </c>
      <c r="BL1774">
        <f>BJ1774</f>
        <v>19325460.016810354</v>
      </c>
      <c r="BO1774">
        <f>BL1774</f>
        <v>19325460.016810354</v>
      </c>
    </row>
    <row r="1775" spans="3:67" x14ac:dyDescent="0.25">
      <c r="C1775" s="246" t="s">
        <v>3125</v>
      </c>
      <c r="D1775" s="246">
        <v>1</v>
      </c>
      <c r="E1775" s="246">
        <v>2</v>
      </c>
      <c r="F1775" s="246">
        <v>3</v>
      </c>
      <c r="G1775" s="246">
        <v>5</v>
      </c>
      <c r="H1775" s="246">
        <v>10</v>
      </c>
      <c r="I1775" s="246">
        <v>12</v>
      </c>
      <c r="J1775" s="246">
        <v>13</v>
      </c>
      <c r="K1775" s="246">
        <v>14</v>
      </c>
      <c r="L1775" s="246">
        <v>15</v>
      </c>
      <c r="M1775" s="246">
        <v>17</v>
      </c>
      <c r="N1775" s="246"/>
      <c r="O1775" s="246"/>
      <c r="P1775" s="246"/>
      <c r="Q1775" s="246"/>
      <c r="R1775" s="246">
        <f>IFERROR(VLOOKUP(D1775,PROGRAMAS[],2,FALSE),0)</f>
        <v>97037803.679377079</v>
      </c>
      <c r="S1775" s="246">
        <f>IFERROR(VLOOKUP(E1775,PROGRAMAS[],2,FALSE),0)</f>
        <v>640501509.6821388</v>
      </c>
      <c r="T1775" s="246">
        <f>IFERROR(VLOOKUP(F1775,PROGRAMAS[],2,FALSE),0)</f>
        <v>3062327798.1525245</v>
      </c>
      <c r="U1775" s="246">
        <f>IFERROR(VLOOKUP(G1775,PROGRAMAS[],2,FALSE),0)</f>
        <v>1440941976.2528784</v>
      </c>
      <c r="V1775" s="246">
        <f>IFERROR(VLOOKUP(H1775,PROGRAMAS[],2,FALSE),0)</f>
        <v>4635315027.8751087</v>
      </c>
      <c r="W1775" s="246">
        <f>IFERROR(VLOOKUP(I1775,PROGRAMAS[],2,FALSE),0)</f>
        <v>764796700.79905891</v>
      </c>
      <c r="X1775" s="246">
        <f>IFERROR(VLOOKUP(J1775,PROGRAMAS[],2,FALSE),0)</f>
        <v>3776538594.4604583</v>
      </c>
      <c r="Y1775" s="246">
        <f>IFERROR(VLOOKUP(K1775,PROGRAMAS[],2,FALSE),0)</f>
        <v>54223862.645839565</v>
      </c>
      <c r="Z1775" s="246">
        <f>IFERROR(VLOOKUP(L1775,PROGRAMAS[],2,FALSE),0)</f>
        <v>122159672.96346797</v>
      </c>
      <c r="AA1775" s="246">
        <f>IFERROR(VLOOKUP(M1775,PROGRAMAS[],2,FALSE),0)</f>
        <v>1892779498.5211046</v>
      </c>
      <c r="AB1775" s="246">
        <f>IFERROR(VLOOKUP(N1775,PROGRAMAS[],2,FALSE),0)</f>
        <v>0</v>
      </c>
      <c r="AC1775" s="246">
        <f>IFERROR(VLOOKUP(O1775,PROGRAMAS[],2,FALSE),0)</f>
        <v>0</v>
      </c>
      <c r="AD1775" s="246">
        <f>IFERROR(VLOOKUP(P1775,PROGRAMAS[],2,FALSE),0)</f>
        <v>0</v>
      </c>
      <c r="AE1775" s="246">
        <f>IFERROR(VLOOKUP(Q1775,PROGRAMAS[],2,FALSE),0)</f>
        <v>0</v>
      </c>
      <c r="AF1775" s="246">
        <f>IFERROR(VLOOKUP(D1775,PROGRAMAS[],3,FALSE),0)</f>
        <v>841888629.31080008</v>
      </c>
      <c r="AG1775" s="246">
        <f>IFERROR(VLOOKUP(E1775,PROGRAMAS[],3,FALSE),0)</f>
        <v>3848980803.1642323</v>
      </c>
      <c r="AH1775" s="246">
        <f>IFERROR(VLOOKUP(F1775,PROGRAMAS[],3,FALSE),0)</f>
        <v>3394901471.387517</v>
      </c>
      <c r="AI1775" s="246">
        <f>IFERROR(VLOOKUP(G1775,PROGRAMAS[],3,FALSE),0)</f>
        <v>1233505101.0616004</v>
      </c>
      <c r="AJ1775" s="246">
        <f>IFERROR(VLOOKUP(H1775,PROGRAMAS[],3,FALSE),0)</f>
        <v>4099471734.9978786</v>
      </c>
      <c r="AK1775" s="246">
        <f>IFERROR(VLOOKUP(I1775,PROGRAMAS[],3,FALSE),0)</f>
        <v>675517840.109828</v>
      </c>
      <c r="AL1775" s="246">
        <f>IFERROR(VLOOKUP(J1775,PROGRAMAS[],3,FALSE),0)</f>
        <v>2392571243.5584412</v>
      </c>
      <c r="AM1775" s="246">
        <f>IFERROR(VLOOKUP(K1775,PROGRAMAS[],3,FALSE),0)</f>
        <v>31865326.38096505</v>
      </c>
      <c r="AN1775" s="246">
        <f>IFERROR(VLOOKUP(L1775,PROGRAMAS[],3,FALSE),0)</f>
        <v>118617452.52510804</v>
      </c>
      <c r="AO1775" s="246">
        <f>IFERROR(VLOOKUP(M1775,PROGRAMAS[],3,FALSE),0)</f>
        <v>948595847.09039903</v>
      </c>
      <c r="AP1775" s="246">
        <f>IFERROR(VLOOKUP(N1775,PROGRAMAS[],3,FALSE),0)</f>
        <v>0</v>
      </c>
      <c r="AQ1775" s="246">
        <f>IFERROR(VLOOKUP(O1775,PROGRAMAS[],3,FALSE),0)</f>
        <v>0</v>
      </c>
      <c r="AR1775" s="246">
        <f>IFERROR(VLOOKUP(P1775,PROGRAMAS[],3,FALSE),0)</f>
        <v>0</v>
      </c>
      <c r="AS1775" s="246">
        <f>IFERROR(VLOOKUP(Q1775,PROGRAMAS[],3,FALSE),0)</f>
        <v>0</v>
      </c>
      <c r="AT1775" s="246">
        <f>IFERROR(VLOOKUP(D1775,VOL_REC[],2,FALSE),0)</f>
        <v>0</v>
      </c>
      <c r="AU1775" s="246">
        <f>IFERROR(VLOOKUP(E1775,VOL_REC[],2,FALSE),0)</f>
        <v>0</v>
      </c>
      <c r="AV1775" s="246">
        <f>IFERROR(VLOOKUP(F1775,VOL_REC[],2,FALSE),0)</f>
        <v>11089674.200000001</v>
      </c>
      <c r="AW1775" s="246">
        <f>IFERROR(VLOOKUP(G1775,VOL_REC[],2,FALSE),0)</f>
        <v>4325103.1812214684</v>
      </c>
      <c r="AX1775" s="246">
        <f>IFERROR(VLOOKUP(H1775,VOL_REC[],2,FALSE),0)</f>
        <v>1812240</v>
      </c>
      <c r="AY1775" s="246">
        <f>IFERROR(VLOOKUP(I1775,VOL_REC[],2,FALSE),0)</f>
        <v>240696.79238099116</v>
      </c>
      <c r="AZ1775" s="246">
        <f>IFERROR(VLOOKUP(J1775,VOL_REC[],2,FALSE),0)</f>
        <v>663244.80000000016</v>
      </c>
      <c r="BA1775" s="246">
        <f>IFERROR(VLOOKUP(K1775,VOL_REC[],2,FALSE),0)</f>
        <v>17074.045034105649</v>
      </c>
      <c r="BB1775" s="246">
        <f>IFERROR(VLOOKUP(L1775,VOL_REC[],2,FALSE),0)</f>
        <v>105072</v>
      </c>
      <c r="BC1775" s="246">
        <f>IFERROR(VLOOKUP(M1775,VOL_REC[],2,FALSE),0)</f>
        <v>740113.98115702497</v>
      </c>
      <c r="BD1775" s="246">
        <f>IFERROR(VLOOKUP(N1775,VOL_REC[],2,FALSE),0)</f>
        <v>0</v>
      </c>
      <c r="BE1775" s="246">
        <f>IFERROR(VLOOKUP(O1775,VOL_REC[],2,FALSE),0)</f>
        <v>0</v>
      </c>
      <c r="BF1775" s="246">
        <f>IFERROR(VLOOKUP(P1775,VOL_REC[],2,FALSE),0)</f>
        <v>0</v>
      </c>
      <c r="BG1775" s="246">
        <f>IFERROR(VLOOKUP(Q1775,VOL_REC[],2,FALSE),0)</f>
        <v>0</v>
      </c>
      <c r="BH1775" s="1710">
        <f t="shared" si="108"/>
        <v>16486622445.03196</v>
      </c>
      <c r="BI1775" s="1710">
        <f t="shared" si="109"/>
        <v>17585915449.586769</v>
      </c>
      <c r="BJ1775" s="1711">
        <f t="shared" si="110"/>
        <v>18993218.999793593</v>
      </c>
      <c r="BK1775" s="1711">
        <f t="shared" si="111"/>
        <v>0.93749014615098469</v>
      </c>
    </row>
    <row r="1776" spans="3:67" x14ac:dyDescent="0.25">
      <c r="C1776" s="246" t="s">
        <v>3126</v>
      </c>
      <c r="D1776" s="246">
        <v>1</v>
      </c>
      <c r="E1776" s="246">
        <v>2</v>
      </c>
      <c r="F1776" s="246">
        <v>3</v>
      </c>
      <c r="G1776" s="246">
        <v>5</v>
      </c>
      <c r="H1776" s="246">
        <v>10</v>
      </c>
      <c r="I1776" s="246">
        <v>12</v>
      </c>
      <c r="J1776" s="246">
        <v>13</v>
      </c>
      <c r="K1776" s="246">
        <v>14</v>
      </c>
      <c r="L1776" s="246">
        <v>16</v>
      </c>
      <c r="M1776" s="246">
        <v>17</v>
      </c>
      <c r="N1776" s="246"/>
      <c r="O1776" s="246"/>
      <c r="P1776" s="246"/>
      <c r="Q1776" s="246"/>
      <c r="R1776" s="246">
        <f>IFERROR(VLOOKUP(D1776,PROGRAMAS[],2,FALSE),0)</f>
        <v>97037803.679377079</v>
      </c>
      <c r="S1776" s="246">
        <f>IFERROR(VLOOKUP(E1776,PROGRAMAS[],2,FALSE),0)</f>
        <v>640501509.6821388</v>
      </c>
      <c r="T1776" s="246">
        <f>IFERROR(VLOOKUP(F1776,PROGRAMAS[],2,FALSE),0)</f>
        <v>3062327798.1525245</v>
      </c>
      <c r="U1776" s="246">
        <f>IFERROR(VLOOKUP(G1776,PROGRAMAS[],2,FALSE),0)</f>
        <v>1440941976.2528784</v>
      </c>
      <c r="V1776" s="246">
        <f>IFERROR(VLOOKUP(H1776,PROGRAMAS[],2,FALSE),0)</f>
        <v>4635315027.8751087</v>
      </c>
      <c r="W1776" s="246">
        <f>IFERROR(VLOOKUP(I1776,PROGRAMAS[],2,FALSE),0)</f>
        <v>764796700.79905891</v>
      </c>
      <c r="X1776" s="246">
        <f>IFERROR(VLOOKUP(J1776,PROGRAMAS[],2,FALSE),0)</f>
        <v>3776538594.4604583</v>
      </c>
      <c r="Y1776" s="246">
        <f>IFERROR(VLOOKUP(K1776,PROGRAMAS[],2,FALSE),0)</f>
        <v>54223862.645839565</v>
      </c>
      <c r="Z1776" s="246">
        <f>IFERROR(VLOOKUP(L1776,PROGRAMAS[],2,FALSE),0)</f>
        <v>7068496961.0436354</v>
      </c>
      <c r="AA1776" s="246">
        <f>IFERROR(VLOOKUP(M1776,PROGRAMAS[],2,FALSE),0)</f>
        <v>1892779498.5211046</v>
      </c>
      <c r="AB1776" s="246">
        <f>IFERROR(VLOOKUP(N1776,PROGRAMAS[],2,FALSE),0)</f>
        <v>0</v>
      </c>
      <c r="AC1776" s="246">
        <f>IFERROR(VLOOKUP(O1776,PROGRAMAS[],2,FALSE),0)</f>
        <v>0</v>
      </c>
      <c r="AD1776" s="246">
        <f>IFERROR(VLOOKUP(P1776,PROGRAMAS[],2,FALSE),0)</f>
        <v>0</v>
      </c>
      <c r="AE1776" s="246">
        <f>IFERROR(VLOOKUP(Q1776,PROGRAMAS[],2,FALSE),0)</f>
        <v>0</v>
      </c>
      <c r="AF1776" s="246">
        <f>IFERROR(VLOOKUP(D1776,PROGRAMAS[],3,FALSE),0)</f>
        <v>841888629.31080008</v>
      </c>
      <c r="AG1776" s="246">
        <f>IFERROR(VLOOKUP(E1776,PROGRAMAS[],3,FALSE),0)</f>
        <v>3848980803.1642323</v>
      </c>
      <c r="AH1776" s="246">
        <f>IFERROR(VLOOKUP(F1776,PROGRAMAS[],3,FALSE),0)</f>
        <v>3394901471.387517</v>
      </c>
      <c r="AI1776" s="246">
        <f>IFERROR(VLOOKUP(G1776,PROGRAMAS[],3,FALSE),0)</f>
        <v>1233505101.0616004</v>
      </c>
      <c r="AJ1776" s="246">
        <f>IFERROR(VLOOKUP(H1776,PROGRAMAS[],3,FALSE),0)</f>
        <v>4099471734.9978786</v>
      </c>
      <c r="AK1776" s="246">
        <f>IFERROR(VLOOKUP(I1776,PROGRAMAS[],3,FALSE),0)</f>
        <v>675517840.109828</v>
      </c>
      <c r="AL1776" s="246">
        <f>IFERROR(VLOOKUP(J1776,PROGRAMAS[],3,FALSE),0)</f>
        <v>2392571243.5584412</v>
      </c>
      <c r="AM1776" s="246">
        <f>IFERROR(VLOOKUP(K1776,PROGRAMAS[],3,FALSE),0)</f>
        <v>31865326.38096505</v>
      </c>
      <c r="AN1776" s="246">
        <f>IFERROR(VLOOKUP(L1776,PROGRAMAS[],3,FALSE),0)</f>
        <v>2406564599.0319901</v>
      </c>
      <c r="AO1776" s="246">
        <f>IFERROR(VLOOKUP(M1776,PROGRAMAS[],3,FALSE),0)</f>
        <v>948595847.09039903</v>
      </c>
      <c r="AP1776" s="246">
        <f>IFERROR(VLOOKUP(N1776,PROGRAMAS[],3,FALSE),0)</f>
        <v>0</v>
      </c>
      <c r="AQ1776" s="246">
        <f>IFERROR(VLOOKUP(O1776,PROGRAMAS[],3,FALSE),0)</f>
        <v>0</v>
      </c>
      <c r="AR1776" s="246">
        <f>IFERROR(VLOOKUP(P1776,PROGRAMAS[],3,FALSE),0)</f>
        <v>0</v>
      </c>
      <c r="AS1776" s="246">
        <f>IFERROR(VLOOKUP(Q1776,PROGRAMAS[],3,FALSE),0)</f>
        <v>0</v>
      </c>
      <c r="AT1776" s="246">
        <f>IFERROR(VLOOKUP(D1776,VOL_REC[],2,FALSE),0)</f>
        <v>0</v>
      </c>
      <c r="AU1776" s="246">
        <f>IFERROR(VLOOKUP(E1776,VOL_REC[],2,FALSE),0)</f>
        <v>0</v>
      </c>
      <c r="AV1776" s="246">
        <f>IFERROR(VLOOKUP(F1776,VOL_REC[],2,FALSE),0)</f>
        <v>11089674.200000001</v>
      </c>
      <c r="AW1776" s="246">
        <f>IFERROR(VLOOKUP(G1776,VOL_REC[],2,FALSE),0)</f>
        <v>4325103.1812214684</v>
      </c>
      <c r="AX1776" s="246">
        <f>IFERROR(VLOOKUP(H1776,VOL_REC[],2,FALSE),0)</f>
        <v>1812240</v>
      </c>
      <c r="AY1776" s="246">
        <f>IFERROR(VLOOKUP(I1776,VOL_REC[],2,FALSE),0)</f>
        <v>240696.79238099116</v>
      </c>
      <c r="AZ1776" s="246">
        <f>IFERROR(VLOOKUP(J1776,VOL_REC[],2,FALSE),0)</f>
        <v>663244.80000000016</v>
      </c>
      <c r="BA1776" s="246">
        <f>IFERROR(VLOOKUP(K1776,VOL_REC[],2,FALSE),0)</f>
        <v>17074.045034105649</v>
      </c>
      <c r="BB1776" s="246">
        <f>IFERROR(VLOOKUP(L1776,VOL_REC[],2,FALSE),0)</f>
        <v>1072354.9981737854</v>
      </c>
      <c r="BC1776" s="246">
        <f>IFERROR(VLOOKUP(M1776,VOL_REC[],2,FALSE),0)</f>
        <v>740113.98115702497</v>
      </c>
      <c r="BD1776" s="246">
        <f>IFERROR(VLOOKUP(N1776,VOL_REC[],2,FALSE),0)</f>
        <v>0</v>
      </c>
      <c r="BE1776" s="246">
        <f>IFERROR(VLOOKUP(O1776,VOL_REC[],2,FALSE),0)</f>
        <v>0</v>
      </c>
      <c r="BF1776" s="246">
        <f>IFERROR(VLOOKUP(P1776,VOL_REC[],2,FALSE),0)</f>
        <v>0</v>
      </c>
      <c r="BG1776" s="246">
        <f>IFERROR(VLOOKUP(Q1776,VOL_REC[],2,FALSE),0)</f>
        <v>0</v>
      </c>
      <c r="BH1776" s="1710">
        <f t="shared" si="108"/>
        <v>23432959733.112125</v>
      </c>
      <c r="BI1776" s="1710">
        <f t="shared" si="109"/>
        <v>19873862596.093651</v>
      </c>
      <c r="BJ1776" s="1711">
        <f t="shared" si="110"/>
        <v>19960501.997967377</v>
      </c>
      <c r="BK1776" s="1711">
        <f t="shared" si="111"/>
        <v>1.1790843184010964</v>
      </c>
      <c r="BL1776">
        <f>BJ1776</f>
        <v>19960501.997967377</v>
      </c>
      <c r="BO1776">
        <f>BL1776</f>
        <v>19960501.997967377</v>
      </c>
    </row>
    <row r="1777" spans="3:67" x14ac:dyDescent="0.25">
      <c r="C1777" s="246" t="s">
        <v>3127</v>
      </c>
      <c r="D1777" s="246">
        <v>1</v>
      </c>
      <c r="E1777" s="246">
        <v>2</v>
      </c>
      <c r="F1777" s="246">
        <v>3</v>
      </c>
      <c r="G1777" s="246">
        <v>5</v>
      </c>
      <c r="H1777" s="246">
        <v>10</v>
      </c>
      <c r="I1777" s="246">
        <v>12</v>
      </c>
      <c r="J1777" s="246">
        <v>13</v>
      </c>
      <c r="K1777" s="246">
        <v>15</v>
      </c>
      <c r="L1777" s="246">
        <v>16</v>
      </c>
      <c r="M1777" s="246">
        <v>17</v>
      </c>
      <c r="N1777" s="246"/>
      <c r="O1777" s="246"/>
      <c r="P1777" s="246"/>
      <c r="Q1777" s="246"/>
      <c r="R1777" s="246">
        <f>IFERROR(VLOOKUP(D1777,PROGRAMAS[],2,FALSE),0)</f>
        <v>97037803.679377079</v>
      </c>
      <c r="S1777" s="246">
        <f>IFERROR(VLOOKUP(E1777,PROGRAMAS[],2,FALSE),0)</f>
        <v>640501509.6821388</v>
      </c>
      <c r="T1777" s="246">
        <f>IFERROR(VLOOKUP(F1777,PROGRAMAS[],2,FALSE),0)</f>
        <v>3062327798.1525245</v>
      </c>
      <c r="U1777" s="246">
        <f>IFERROR(VLOOKUP(G1777,PROGRAMAS[],2,FALSE),0)</f>
        <v>1440941976.2528784</v>
      </c>
      <c r="V1777" s="246">
        <f>IFERROR(VLOOKUP(H1777,PROGRAMAS[],2,FALSE),0)</f>
        <v>4635315027.8751087</v>
      </c>
      <c r="W1777" s="246">
        <f>IFERROR(VLOOKUP(I1777,PROGRAMAS[],2,FALSE),0)</f>
        <v>764796700.79905891</v>
      </c>
      <c r="X1777" s="246">
        <f>IFERROR(VLOOKUP(J1777,PROGRAMAS[],2,FALSE),0)</f>
        <v>3776538594.4604583</v>
      </c>
      <c r="Y1777" s="246">
        <f>IFERROR(VLOOKUP(K1777,PROGRAMAS[],2,FALSE),0)</f>
        <v>122159672.96346797</v>
      </c>
      <c r="Z1777" s="246">
        <f>IFERROR(VLOOKUP(L1777,PROGRAMAS[],2,FALSE),0)</f>
        <v>7068496961.0436354</v>
      </c>
      <c r="AA1777" s="246">
        <f>IFERROR(VLOOKUP(M1777,PROGRAMAS[],2,FALSE),0)</f>
        <v>1892779498.5211046</v>
      </c>
      <c r="AB1777" s="246">
        <f>IFERROR(VLOOKUP(N1777,PROGRAMAS[],2,FALSE),0)</f>
        <v>0</v>
      </c>
      <c r="AC1777" s="246">
        <f>IFERROR(VLOOKUP(O1777,PROGRAMAS[],2,FALSE),0)</f>
        <v>0</v>
      </c>
      <c r="AD1777" s="246">
        <f>IFERROR(VLOOKUP(P1777,PROGRAMAS[],2,FALSE),0)</f>
        <v>0</v>
      </c>
      <c r="AE1777" s="246">
        <f>IFERROR(VLOOKUP(Q1777,PROGRAMAS[],2,FALSE),0)</f>
        <v>0</v>
      </c>
      <c r="AF1777" s="246">
        <f>IFERROR(VLOOKUP(D1777,PROGRAMAS[],3,FALSE),0)</f>
        <v>841888629.31080008</v>
      </c>
      <c r="AG1777" s="246">
        <f>IFERROR(VLOOKUP(E1777,PROGRAMAS[],3,FALSE),0)</f>
        <v>3848980803.1642323</v>
      </c>
      <c r="AH1777" s="246">
        <f>IFERROR(VLOOKUP(F1777,PROGRAMAS[],3,FALSE),0)</f>
        <v>3394901471.387517</v>
      </c>
      <c r="AI1777" s="246">
        <f>IFERROR(VLOOKUP(G1777,PROGRAMAS[],3,FALSE),0)</f>
        <v>1233505101.0616004</v>
      </c>
      <c r="AJ1777" s="246">
        <f>IFERROR(VLOOKUP(H1777,PROGRAMAS[],3,FALSE),0)</f>
        <v>4099471734.9978786</v>
      </c>
      <c r="AK1777" s="246">
        <f>IFERROR(VLOOKUP(I1777,PROGRAMAS[],3,FALSE),0)</f>
        <v>675517840.109828</v>
      </c>
      <c r="AL1777" s="246">
        <f>IFERROR(VLOOKUP(J1777,PROGRAMAS[],3,FALSE),0)</f>
        <v>2392571243.5584412</v>
      </c>
      <c r="AM1777" s="246">
        <f>IFERROR(VLOOKUP(K1777,PROGRAMAS[],3,FALSE),0)</f>
        <v>118617452.52510804</v>
      </c>
      <c r="AN1777" s="246">
        <f>IFERROR(VLOOKUP(L1777,PROGRAMAS[],3,FALSE),0)</f>
        <v>2406564599.0319901</v>
      </c>
      <c r="AO1777" s="246">
        <f>IFERROR(VLOOKUP(M1777,PROGRAMAS[],3,FALSE),0)</f>
        <v>948595847.09039903</v>
      </c>
      <c r="AP1777" s="246">
        <f>IFERROR(VLOOKUP(N1777,PROGRAMAS[],3,FALSE),0)</f>
        <v>0</v>
      </c>
      <c r="AQ1777" s="246">
        <f>IFERROR(VLOOKUP(O1777,PROGRAMAS[],3,FALSE),0)</f>
        <v>0</v>
      </c>
      <c r="AR1777" s="246">
        <f>IFERROR(VLOOKUP(P1777,PROGRAMAS[],3,FALSE),0)</f>
        <v>0</v>
      </c>
      <c r="AS1777" s="246">
        <f>IFERROR(VLOOKUP(Q1777,PROGRAMAS[],3,FALSE),0)</f>
        <v>0</v>
      </c>
      <c r="AT1777" s="246">
        <f>IFERROR(VLOOKUP(D1777,VOL_REC[],2,FALSE),0)</f>
        <v>0</v>
      </c>
      <c r="AU1777" s="246">
        <f>IFERROR(VLOOKUP(E1777,VOL_REC[],2,FALSE),0)</f>
        <v>0</v>
      </c>
      <c r="AV1777" s="246">
        <f>IFERROR(VLOOKUP(F1777,VOL_REC[],2,FALSE),0)</f>
        <v>11089674.200000001</v>
      </c>
      <c r="AW1777" s="246">
        <f>IFERROR(VLOOKUP(G1777,VOL_REC[],2,FALSE),0)</f>
        <v>4325103.1812214684</v>
      </c>
      <c r="AX1777" s="246">
        <f>IFERROR(VLOOKUP(H1777,VOL_REC[],2,FALSE),0)</f>
        <v>1812240</v>
      </c>
      <c r="AY1777" s="246">
        <f>IFERROR(VLOOKUP(I1777,VOL_REC[],2,FALSE),0)</f>
        <v>240696.79238099116</v>
      </c>
      <c r="AZ1777" s="246">
        <f>IFERROR(VLOOKUP(J1777,VOL_REC[],2,FALSE),0)</f>
        <v>663244.80000000016</v>
      </c>
      <c r="BA1777" s="246">
        <f>IFERROR(VLOOKUP(K1777,VOL_REC[],2,FALSE),0)</f>
        <v>105072</v>
      </c>
      <c r="BB1777" s="246">
        <f>IFERROR(VLOOKUP(L1777,VOL_REC[],2,FALSE),0)</f>
        <v>1072354.9981737854</v>
      </c>
      <c r="BC1777" s="246">
        <f>IFERROR(VLOOKUP(M1777,VOL_REC[],2,FALSE),0)</f>
        <v>740113.98115702497</v>
      </c>
      <c r="BD1777" s="246">
        <f>IFERROR(VLOOKUP(N1777,VOL_REC[],2,FALSE),0)</f>
        <v>0</v>
      </c>
      <c r="BE1777" s="246">
        <f>IFERROR(VLOOKUP(O1777,VOL_REC[],2,FALSE),0)</f>
        <v>0</v>
      </c>
      <c r="BF1777" s="246">
        <f>IFERROR(VLOOKUP(P1777,VOL_REC[],2,FALSE),0)</f>
        <v>0</v>
      </c>
      <c r="BG1777" s="246">
        <f>IFERROR(VLOOKUP(Q1777,VOL_REC[],2,FALSE),0)</f>
        <v>0</v>
      </c>
      <c r="BH1777" s="1710">
        <f t="shared" si="108"/>
        <v>23500895543.429752</v>
      </c>
      <c r="BI1777" s="1710">
        <f t="shared" si="109"/>
        <v>19960614722.237797</v>
      </c>
      <c r="BJ1777" s="1711">
        <f t="shared" si="110"/>
        <v>20048499.95293327</v>
      </c>
      <c r="BK1777" s="1711">
        <f t="shared" si="111"/>
        <v>1.1773633162333315</v>
      </c>
      <c r="BL1777">
        <f>BJ1777</f>
        <v>20048499.95293327</v>
      </c>
      <c r="BO1777">
        <f>BL1777</f>
        <v>20048499.95293327</v>
      </c>
    </row>
    <row r="1778" spans="3:67" x14ac:dyDescent="0.25">
      <c r="C1778" s="246" t="s">
        <v>3128</v>
      </c>
      <c r="D1778" s="246">
        <v>1</v>
      </c>
      <c r="E1778" s="246">
        <v>2</v>
      </c>
      <c r="F1778" s="246">
        <v>3</v>
      </c>
      <c r="G1778" s="246">
        <v>5</v>
      </c>
      <c r="H1778" s="246">
        <v>10</v>
      </c>
      <c r="I1778" s="246">
        <v>12</v>
      </c>
      <c r="J1778" s="246">
        <v>14</v>
      </c>
      <c r="K1778" s="246">
        <v>15</v>
      </c>
      <c r="L1778" s="246">
        <v>16</v>
      </c>
      <c r="M1778" s="246">
        <v>17</v>
      </c>
      <c r="N1778" s="246"/>
      <c r="O1778" s="246"/>
      <c r="P1778" s="246"/>
      <c r="Q1778" s="246"/>
      <c r="R1778" s="246">
        <f>IFERROR(VLOOKUP(D1778,PROGRAMAS[],2,FALSE),0)</f>
        <v>97037803.679377079</v>
      </c>
      <c r="S1778" s="246">
        <f>IFERROR(VLOOKUP(E1778,PROGRAMAS[],2,FALSE),0)</f>
        <v>640501509.6821388</v>
      </c>
      <c r="T1778" s="246">
        <f>IFERROR(VLOOKUP(F1778,PROGRAMAS[],2,FALSE),0)</f>
        <v>3062327798.1525245</v>
      </c>
      <c r="U1778" s="246">
        <f>IFERROR(VLOOKUP(G1778,PROGRAMAS[],2,FALSE),0)</f>
        <v>1440941976.2528784</v>
      </c>
      <c r="V1778" s="246">
        <f>IFERROR(VLOOKUP(H1778,PROGRAMAS[],2,FALSE),0)</f>
        <v>4635315027.8751087</v>
      </c>
      <c r="W1778" s="246">
        <f>IFERROR(VLOOKUP(I1778,PROGRAMAS[],2,FALSE),0)</f>
        <v>764796700.79905891</v>
      </c>
      <c r="X1778" s="246">
        <f>IFERROR(VLOOKUP(J1778,PROGRAMAS[],2,FALSE),0)</f>
        <v>54223862.645839565</v>
      </c>
      <c r="Y1778" s="246">
        <f>IFERROR(VLOOKUP(K1778,PROGRAMAS[],2,FALSE),0)</f>
        <v>122159672.96346797</v>
      </c>
      <c r="Z1778" s="246">
        <f>IFERROR(VLOOKUP(L1778,PROGRAMAS[],2,FALSE),0)</f>
        <v>7068496961.0436354</v>
      </c>
      <c r="AA1778" s="246">
        <f>IFERROR(VLOOKUP(M1778,PROGRAMAS[],2,FALSE),0)</f>
        <v>1892779498.5211046</v>
      </c>
      <c r="AB1778" s="246">
        <f>IFERROR(VLOOKUP(N1778,PROGRAMAS[],2,FALSE),0)</f>
        <v>0</v>
      </c>
      <c r="AC1778" s="246">
        <f>IFERROR(VLOOKUP(O1778,PROGRAMAS[],2,FALSE),0)</f>
        <v>0</v>
      </c>
      <c r="AD1778" s="246">
        <f>IFERROR(VLOOKUP(P1778,PROGRAMAS[],2,FALSE),0)</f>
        <v>0</v>
      </c>
      <c r="AE1778" s="246">
        <f>IFERROR(VLOOKUP(Q1778,PROGRAMAS[],2,FALSE),0)</f>
        <v>0</v>
      </c>
      <c r="AF1778" s="246">
        <f>IFERROR(VLOOKUP(D1778,PROGRAMAS[],3,FALSE),0)</f>
        <v>841888629.31080008</v>
      </c>
      <c r="AG1778" s="246">
        <f>IFERROR(VLOOKUP(E1778,PROGRAMAS[],3,FALSE),0)</f>
        <v>3848980803.1642323</v>
      </c>
      <c r="AH1778" s="246">
        <f>IFERROR(VLOOKUP(F1778,PROGRAMAS[],3,FALSE),0)</f>
        <v>3394901471.387517</v>
      </c>
      <c r="AI1778" s="246">
        <f>IFERROR(VLOOKUP(G1778,PROGRAMAS[],3,FALSE),0)</f>
        <v>1233505101.0616004</v>
      </c>
      <c r="AJ1778" s="246">
        <f>IFERROR(VLOOKUP(H1778,PROGRAMAS[],3,FALSE),0)</f>
        <v>4099471734.9978786</v>
      </c>
      <c r="AK1778" s="246">
        <f>IFERROR(VLOOKUP(I1778,PROGRAMAS[],3,FALSE),0)</f>
        <v>675517840.109828</v>
      </c>
      <c r="AL1778" s="246">
        <f>IFERROR(VLOOKUP(J1778,PROGRAMAS[],3,FALSE),0)</f>
        <v>31865326.38096505</v>
      </c>
      <c r="AM1778" s="246">
        <f>IFERROR(VLOOKUP(K1778,PROGRAMAS[],3,FALSE),0)</f>
        <v>118617452.52510804</v>
      </c>
      <c r="AN1778" s="246">
        <f>IFERROR(VLOOKUP(L1778,PROGRAMAS[],3,FALSE),0)</f>
        <v>2406564599.0319901</v>
      </c>
      <c r="AO1778" s="246">
        <f>IFERROR(VLOOKUP(M1778,PROGRAMAS[],3,FALSE),0)</f>
        <v>948595847.09039903</v>
      </c>
      <c r="AP1778" s="246">
        <f>IFERROR(VLOOKUP(N1778,PROGRAMAS[],3,FALSE),0)</f>
        <v>0</v>
      </c>
      <c r="AQ1778" s="246">
        <f>IFERROR(VLOOKUP(O1778,PROGRAMAS[],3,FALSE),0)</f>
        <v>0</v>
      </c>
      <c r="AR1778" s="246">
        <f>IFERROR(VLOOKUP(P1778,PROGRAMAS[],3,FALSE),0)</f>
        <v>0</v>
      </c>
      <c r="AS1778" s="246">
        <f>IFERROR(VLOOKUP(Q1778,PROGRAMAS[],3,FALSE),0)</f>
        <v>0</v>
      </c>
      <c r="AT1778" s="246">
        <f>IFERROR(VLOOKUP(D1778,VOL_REC[],2,FALSE),0)</f>
        <v>0</v>
      </c>
      <c r="AU1778" s="246">
        <f>IFERROR(VLOOKUP(E1778,VOL_REC[],2,FALSE),0)</f>
        <v>0</v>
      </c>
      <c r="AV1778" s="246">
        <f>IFERROR(VLOOKUP(F1778,VOL_REC[],2,FALSE),0)</f>
        <v>11089674.200000001</v>
      </c>
      <c r="AW1778" s="246">
        <f>IFERROR(VLOOKUP(G1778,VOL_REC[],2,FALSE),0)</f>
        <v>4325103.1812214684</v>
      </c>
      <c r="AX1778" s="246">
        <f>IFERROR(VLOOKUP(H1778,VOL_REC[],2,FALSE),0)</f>
        <v>1812240</v>
      </c>
      <c r="AY1778" s="246">
        <f>IFERROR(VLOOKUP(I1778,VOL_REC[],2,FALSE),0)</f>
        <v>240696.79238099116</v>
      </c>
      <c r="AZ1778" s="246">
        <f>IFERROR(VLOOKUP(J1778,VOL_REC[],2,FALSE),0)</f>
        <v>17074.045034105649</v>
      </c>
      <c r="BA1778" s="246">
        <f>IFERROR(VLOOKUP(K1778,VOL_REC[],2,FALSE),0)</f>
        <v>105072</v>
      </c>
      <c r="BB1778" s="246">
        <f>IFERROR(VLOOKUP(L1778,VOL_REC[],2,FALSE),0)</f>
        <v>1072354.9981737854</v>
      </c>
      <c r="BC1778" s="246">
        <f>IFERROR(VLOOKUP(M1778,VOL_REC[],2,FALSE),0)</f>
        <v>740113.98115702497</v>
      </c>
      <c r="BD1778" s="246">
        <f>IFERROR(VLOOKUP(N1778,VOL_REC[],2,FALSE),0)</f>
        <v>0</v>
      </c>
      <c r="BE1778" s="246">
        <f>IFERROR(VLOOKUP(O1778,VOL_REC[],2,FALSE),0)</f>
        <v>0</v>
      </c>
      <c r="BF1778" s="246">
        <f>IFERROR(VLOOKUP(P1778,VOL_REC[],2,FALSE),0)</f>
        <v>0</v>
      </c>
      <c r="BG1778" s="246">
        <f>IFERROR(VLOOKUP(Q1778,VOL_REC[],2,FALSE),0)</f>
        <v>0</v>
      </c>
      <c r="BH1778" s="1710">
        <f t="shared" si="108"/>
        <v>19778580811.615135</v>
      </c>
      <c r="BI1778" s="1710">
        <f t="shared" si="109"/>
        <v>17599908805.060318</v>
      </c>
      <c r="BJ1778" s="1711">
        <f t="shared" si="110"/>
        <v>19402329.197967377</v>
      </c>
      <c r="BK1778" s="1711">
        <f t="shared" si="111"/>
        <v>1.1237888236061999</v>
      </c>
      <c r="BL1778">
        <f>BJ1778</f>
        <v>19402329.197967377</v>
      </c>
      <c r="BO1778">
        <f>BL1778</f>
        <v>19402329.197967377</v>
      </c>
    </row>
    <row r="1779" spans="3:67" x14ac:dyDescent="0.25">
      <c r="C1779" s="246" t="s">
        <v>3129</v>
      </c>
      <c r="D1779" s="246">
        <v>1</v>
      </c>
      <c r="E1779" s="246">
        <v>2</v>
      </c>
      <c r="F1779" s="246">
        <v>3</v>
      </c>
      <c r="G1779" s="246">
        <v>5</v>
      </c>
      <c r="H1779" s="246">
        <v>10</v>
      </c>
      <c r="I1779" s="246">
        <v>13</v>
      </c>
      <c r="J1779" s="246">
        <v>14</v>
      </c>
      <c r="K1779" s="246">
        <v>15</v>
      </c>
      <c r="L1779" s="246">
        <v>16</v>
      </c>
      <c r="M1779" s="246">
        <v>17</v>
      </c>
      <c r="N1779" s="246"/>
      <c r="O1779" s="246"/>
      <c r="P1779" s="246"/>
      <c r="Q1779" s="246"/>
      <c r="R1779" s="246">
        <f>IFERROR(VLOOKUP(D1779,PROGRAMAS[],2,FALSE),0)</f>
        <v>97037803.679377079</v>
      </c>
      <c r="S1779" s="246">
        <f>IFERROR(VLOOKUP(E1779,PROGRAMAS[],2,FALSE),0)</f>
        <v>640501509.6821388</v>
      </c>
      <c r="T1779" s="246">
        <f>IFERROR(VLOOKUP(F1779,PROGRAMAS[],2,FALSE),0)</f>
        <v>3062327798.1525245</v>
      </c>
      <c r="U1779" s="246">
        <f>IFERROR(VLOOKUP(G1779,PROGRAMAS[],2,FALSE),0)</f>
        <v>1440941976.2528784</v>
      </c>
      <c r="V1779" s="246">
        <f>IFERROR(VLOOKUP(H1779,PROGRAMAS[],2,FALSE),0)</f>
        <v>4635315027.8751087</v>
      </c>
      <c r="W1779" s="246">
        <f>IFERROR(VLOOKUP(I1779,PROGRAMAS[],2,FALSE),0)</f>
        <v>3776538594.4604583</v>
      </c>
      <c r="X1779" s="246">
        <f>IFERROR(VLOOKUP(J1779,PROGRAMAS[],2,FALSE),0)</f>
        <v>54223862.645839565</v>
      </c>
      <c r="Y1779" s="246">
        <f>IFERROR(VLOOKUP(K1779,PROGRAMAS[],2,FALSE),0)</f>
        <v>122159672.96346797</v>
      </c>
      <c r="Z1779" s="246">
        <f>IFERROR(VLOOKUP(L1779,PROGRAMAS[],2,FALSE),0)</f>
        <v>7068496961.0436354</v>
      </c>
      <c r="AA1779" s="246">
        <f>IFERROR(VLOOKUP(M1779,PROGRAMAS[],2,FALSE),0)</f>
        <v>1892779498.5211046</v>
      </c>
      <c r="AB1779" s="246">
        <f>IFERROR(VLOOKUP(N1779,PROGRAMAS[],2,FALSE),0)</f>
        <v>0</v>
      </c>
      <c r="AC1779" s="246">
        <f>IFERROR(VLOOKUP(O1779,PROGRAMAS[],2,FALSE),0)</f>
        <v>0</v>
      </c>
      <c r="AD1779" s="246">
        <f>IFERROR(VLOOKUP(P1779,PROGRAMAS[],2,FALSE),0)</f>
        <v>0</v>
      </c>
      <c r="AE1779" s="246">
        <f>IFERROR(VLOOKUP(Q1779,PROGRAMAS[],2,FALSE),0)</f>
        <v>0</v>
      </c>
      <c r="AF1779" s="246">
        <f>IFERROR(VLOOKUP(D1779,PROGRAMAS[],3,FALSE),0)</f>
        <v>841888629.31080008</v>
      </c>
      <c r="AG1779" s="246">
        <f>IFERROR(VLOOKUP(E1779,PROGRAMAS[],3,FALSE),0)</f>
        <v>3848980803.1642323</v>
      </c>
      <c r="AH1779" s="246">
        <f>IFERROR(VLOOKUP(F1779,PROGRAMAS[],3,FALSE),0)</f>
        <v>3394901471.387517</v>
      </c>
      <c r="AI1779" s="246">
        <f>IFERROR(VLOOKUP(G1779,PROGRAMAS[],3,FALSE),0)</f>
        <v>1233505101.0616004</v>
      </c>
      <c r="AJ1779" s="246">
        <f>IFERROR(VLOOKUP(H1779,PROGRAMAS[],3,FALSE),0)</f>
        <v>4099471734.9978786</v>
      </c>
      <c r="AK1779" s="246">
        <f>IFERROR(VLOOKUP(I1779,PROGRAMAS[],3,FALSE),0)</f>
        <v>2392571243.5584412</v>
      </c>
      <c r="AL1779" s="246">
        <f>IFERROR(VLOOKUP(J1779,PROGRAMAS[],3,FALSE),0)</f>
        <v>31865326.38096505</v>
      </c>
      <c r="AM1779" s="246">
        <f>IFERROR(VLOOKUP(K1779,PROGRAMAS[],3,FALSE),0)</f>
        <v>118617452.52510804</v>
      </c>
      <c r="AN1779" s="246">
        <f>IFERROR(VLOOKUP(L1779,PROGRAMAS[],3,FALSE),0)</f>
        <v>2406564599.0319901</v>
      </c>
      <c r="AO1779" s="246">
        <f>IFERROR(VLOOKUP(M1779,PROGRAMAS[],3,FALSE),0)</f>
        <v>948595847.09039903</v>
      </c>
      <c r="AP1779" s="246">
        <f>IFERROR(VLOOKUP(N1779,PROGRAMAS[],3,FALSE),0)</f>
        <v>0</v>
      </c>
      <c r="AQ1779" s="246">
        <f>IFERROR(VLOOKUP(O1779,PROGRAMAS[],3,FALSE),0)</f>
        <v>0</v>
      </c>
      <c r="AR1779" s="246">
        <f>IFERROR(VLOOKUP(P1779,PROGRAMAS[],3,FALSE),0)</f>
        <v>0</v>
      </c>
      <c r="AS1779" s="246">
        <f>IFERROR(VLOOKUP(Q1779,PROGRAMAS[],3,FALSE),0)</f>
        <v>0</v>
      </c>
      <c r="AT1779" s="246">
        <f>IFERROR(VLOOKUP(D1779,VOL_REC[],2,FALSE),0)</f>
        <v>0</v>
      </c>
      <c r="AU1779" s="246">
        <f>IFERROR(VLOOKUP(E1779,VOL_REC[],2,FALSE),0)</f>
        <v>0</v>
      </c>
      <c r="AV1779" s="246">
        <f>IFERROR(VLOOKUP(F1779,VOL_REC[],2,FALSE),0)</f>
        <v>11089674.200000001</v>
      </c>
      <c r="AW1779" s="246">
        <f>IFERROR(VLOOKUP(G1779,VOL_REC[],2,FALSE),0)</f>
        <v>4325103.1812214684</v>
      </c>
      <c r="AX1779" s="246">
        <f>IFERROR(VLOOKUP(H1779,VOL_REC[],2,FALSE),0)</f>
        <v>1812240</v>
      </c>
      <c r="AY1779" s="246">
        <f>IFERROR(VLOOKUP(I1779,VOL_REC[],2,FALSE),0)</f>
        <v>663244.80000000016</v>
      </c>
      <c r="AZ1779" s="246">
        <f>IFERROR(VLOOKUP(J1779,VOL_REC[],2,FALSE),0)</f>
        <v>17074.045034105649</v>
      </c>
      <c r="BA1779" s="246">
        <f>IFERROR(VLOOKUP(K1779,VOL_REC[],2,FALSE),0)</f>
        <v>105072</v>
      </c>
      <c r="BB1779" s="246">
        <f>IFERROR(VLOOKUP(L1779,VOL_REC[],2,FALSE),0)</f>
        <v>1072354.9981737854</v>
      </c>
      <c r="BC1779" s="246">
        <f>IFERROR(VLOOKUP(M1779,VOL_REC[],2,FALSE),0)</f>
        <v>740113.98115702497</v>
      </c>
      <c r="BD1779" s="246">
        <f>IFERROR(VLOOKUP(N1779,VOL_REC[],2,FALSE),0)</f>
        <v>0</v>
      </c>
      <c r="BE1779" s="246">
        <f>IFERROR(VLOOKUP(O1779,VOL_REC[],2,FALSE),0)</f>
        <v>0</v>
      </c>
      <c r="BF1779" s="246">
        <f>IFERROR(VLOOKUP(P1779,VOL_REC[],2,FALSE),0)</f>
        <v>0</v>
      </c>
      <c r="BG1779" s="246">
        <f>IFERROR(VLOOKUP(Q1779,VOL_REC[],2,FALSE),0)</f>
        <v>0</v>
      </c>
      <c r="BH1779" s="1710">
        <f t="shared" si="108"/>
        <v>22790322705.276535</v>
      </c>
      <c r="BI1779" s="1710">
        <f t="shared" si="109"/>
        <v>19316962208.508934</v>
      </c>
      <c r="BJ1779" s="1711">
        <f t="shared" si="110"/>
        <v>19824877.205586385</v>
      </c>
      <c r="BK1779" s="1711">
        <f t="shared" si="111"/>
        <v>1.1798088363623562</v>
      </c>
      <c r="BL1779">
        <f>BJ1779</f>
        <v>19824877.205586385</v>
      </c>
      <c r="BO1779">
        <f>BL1779</f>
        <v>19824877.205586385</v>
      </c>
    </row>
    <row r="1780" spans="3:67" x14ac:dyDescent="0.25">
      <c r="C1780" s="246" t="s">
        <v>3130</v>
      </c>
      <c r="D1780" s="246">
        <v>1</v>
      </c>
      <c r="E1780" s="246">
        <v>2</v>
      </c>
      <c r="F1780" s="246">
        <v>3</v>
      </c>
      <c r="G1780" s="246">
        <v>5</v>
      </c>
      <c r="H1780" s="246">
        <v>12</v>
      </c>
      <c r="I1780" s="246">
        <v>13</v>
      </c>
      <c r="J1780" s="246">
        <v>14</v>
      </c>
      <c r="K1780" s="246">
        <v>15</v>
      </c>
      <c r="L1780" s="246">
        <v>16</v>
      </c>
      <c r="M1780" s="246">
        <v>17</v>
      </c>
      <c r="N1780" s="246"/>
      <c r="O1780" s="246"/>
      <c r="P1780" s="246"/>
      <c r="Q1780" s="246"/>
      <c r="R1780" s="246">
        <f>IFERROR(VLOOKUP(D1780,PROGRAMAS[],2,FALSE),0)</f>
        <v>97037803.679377079</v>
      </c>
      <c r="S1780" s="246">
        <f>IFERROR(VLOOKUP(E1780,PROGRAMAS[],2,FALSE),0)</f>
        <v>640501509.6821388</v>
      </c>
      <c r="T1780" s="246">
        <f>IFERROR(VLOOKUP(F1780,PROGRAMAS[],2,FALSE),0)</f>
        <v>3062327798.1525245</v>
      </c>
      <c r="U1780" s="246">
        <f>IFERROR(VLOOKUP(G1780,PROGRAMAS[],2,FALSE),0)</f>
        <v>1440941976.2528784</v>
      </c>
      <c r="V1780" s="246">
        <f>IFERROR(VLOOKUP(H1780,PROGRAMAS[],2,FALSE),0)</f>
        <v>764796700.79905891</v>
      </c>
      <c r="W1780" s="246">
        <f>IFERROR(VLOOKUP(I1780,PROGRAMAS[],2,FALSE),0)</f>
        <v>3776538594.4604583</v>
      </c>
      <c r="X1780" s="246">
        <f>IFERROR(VLOOKUP(J1780,PROGRAMAS[],2,FALSE),0)</f>
        <v>54223862.645839565</v>
      </c>
      <c r="Y1780" s="246">
        <f>IFERROR(VLOOKUP(K1780,PROGRAMAS[],2,FALSE),0)</f>
        <v>122159672.96346797</v>
      </c>
      <c r="Z1780" s="246">
        <f>IFERROR(VLOOKUP(L1780,PROGRAMAS[],2,FALSE),0)</f>
        <v>7068496961.0436354</v>
      </c>
      <c r="AA1780" s="246">
        <f>IFERROR(VLOOKUP(M1780,PROGRAMAS[],2,FALSE),0)</f>
        <v>1892779498.5211046</v>
      </c>
      <c r="AB1780" s="246">
        <f>IFERROR(VLOOKUP(N1780,PROGRAMAS[],2,FALSE),0)</f>
        <v>0</v>
      </c>
      <c r="AC1780" s="246">
        <f>IFERROR(VLOOKUP(O1780,PROGRAMAS[],2,FALSE),0)</f>
        <v>0</v>
      </c>
      <c r="AD1780" s="246">
        <f>IFERROR(VLOOKUP(P1780,PROGRAMAS[],2,FALSE),0)</f>
        <v>0</v>
      </c>
      <c r="AE1780" s="246">
        <f>IFERROR(VLOOKUP(Q1780,PROGRAMAS[],2,FALSE),0)</f>
        <v>0</v>
      </c>
      <c r="AF1780" s="246">
        <f>IFERROR(VLOOKUP(D1780,PROGRAMAS[],3,FALSE),0)</f>
        <v>841888629.31080008</v>
      </c>
      <c r="AG1780" s="246">
        <f>IFERROR(VLOOKUP(E1780,PROGRAMAS[],3,FALSE),0)</f>
        <v>3848980803.1642323</v>
      </c>
      <c r="AH1780" s="246">
        <f>IFERROR(VLOOKUP(F1780,PROGRAMAS[],3,FALSE),0)</f>
        <v>3394901471.387517</v>
      </c>
      <c r="AI1780" s="246">
        <f>IFERROR(VLOOKUP(G1780,PROGRAMAS[],3,FALSE),0)</f>
        <v>1233505101.0616004</v>
      </c>
      <c r="AJ1780" s="246">
        <f>IFERROR(VLOOKUP(H1780,PROGRAMAS[],3,FALSE),0)</f>
        <v>675517840.109828</v>
      </c>
      <c r="AK1780" s="246">
        <f>IFERROR(VLOOKUP(I1780,PROGRAMAS[],3,FALSE),0)</f>
        <v>2392571243.5584412</v>
      </c>
      <c r="AL1780" s="246">
        <f>IFERROR(VLOOKUP(J1780,PROGRAMAS[],3,FALSE),0)</f>
        <v>31865326.38096505</v>
      </c>
      <c r="AM1780" s="246">
        <f>IFERROR(VLOOKUP(K1780,PROGRAMAS[],3,FALSE),0)</f>
        <v>118617452.52510804</v>
      </c>
      <c r="AN1780" s="246">
        <f>IFERROR(VLOOKUP(L1780,PROGRAMAS[],3,FALSE),0)</f>
        <v>2406564599.0319901</v>
      </c>
      <c r="AO1780" s="246">
        <f>IFERROR(VLOOKUP(M1780,PROGRAMAS[],3,FALSE),0)</f>
        <v>948595847.09039903</v>
      </c>
      <c r="AP1780" s="246">
        <f>IFERROR(VLOOKUP(N1780,PROGRAMAS[],3,FALSE),0)</f>
        <v>0</v>
      </c>
      <c r="AQ1780" s="246">
        <f>IFERROR(VLOOKUP(O1780,PROGRAMAS[],3,FALSE),0)</f>
        <v>0</v>
      </c>
      <c r="AR1780" s="246">
        <f>IFERROR(VLOOKUP(P1780,PROGRAMAS[],3,FALSE),0)</f>
        <v>0</v>
      </c>
      <c r="AS1780" s="246">
        <f>IFERROR(VLOOKUP(Q1780,PROGRAMAS[],3,FALSE),0)</f>
        <v>0</v>
      </c>
      <c r="AT1780" s="246">
        <f>IFERROR(VLOOKUP(D1780,VOL_REC[],2,FALSE),0)</f>
        <v>0</v>
      </c>
      <c r="AU1780" s="246">
        <f>IFERROR(VLOOKUP(E1780,VOL_REC[],2,FALSE),0)</f>
        <v>0</v>
      </c>
      <c r="AV1780" s="246">
        <f>IFERROR(VLOOKUP(F1780,VOL_REC[],2,FALSE),0)</f>
        <v>11089674.200000001</v>
      </c>
      <c r="AW1780" s="246">
        <f>IFERROR(VLOOKUP(G1780,VOL_REC[],2,FALSE),0)</f>
        <v>4325103.1812214684</v>
      </c>
      <c r="AX1780" s="246">
        <f>IFERROR(VLOOKUP(H1780,VOL_REC[],2,FALSE),0)</f>
        <v>240696.79238099116</v>
      </c>
      <c r="AY1780" s="246">
        <f>IFERROR(VLOOKUP(I1780,VOL_REC[],2,FALSE),0)</f>
        <v>663244.80000000016</v>
      </c>
      <c r="AZ1780" s="246">
        <f>IFERROR(VLOOKUP(J1780,VOL_REC[],2,FALSE),0)</f>
        <v>17074.045034105649</v>
      </c>
      <c r="BA1780" s="246">
        <f>IFERROR(VLOOKUP(K1780,VOL_REC[],2,FALSE),0)</f>
        <v>105072</v>
      </c>
      <c r="BB1780" s="246">
        <f>IFERROR(VLOOKUP(L1780,VOL_REC[],2,FALSE),0)</f>
        <v>1072354.9981737854</v>
      </c>
      <c r="BC1780" s="246">
        <f>IFERROR(VLOOKUP(M1780,VOL_REC[],2,FALSE),0)</f>
        <v>740113.98115702497</v>
      </c>
      <c r="BD1780" s="246">
        <f>IFERROR(VLOOKUP(N1780,VOL_REC[],2,FALSE),0)</f>
        <v>0</v>
      </c>
      <c r="BE1780" s="246">
        <f>IFERROR(VLOOKUP(O1780,VOL_REC[],2,FALSE),0)</f>
        <v>0</v>
      </c>
      <c r="BF1780" s="246">
        <f>IFERROR(VLOOKUP(P1780,VOL_REC[],2,FALSE),0)</f>
        <v>0</v>
      </c>
      <c r="BG1780" s="246">
        <f>IFERROR(VLOOKUP(Q1780,VOL_REC[],2,FALSE),0)</f>
        <v>0</v>
      </c>
      <c r="BH1780" s="1710">
        <f t="shared" si="108"/>
        <v>18919804378.200481</v>
      </c>
      <c r="BI1780" s="1710">
        <f t="shared" si="109"/>
        <v>15893008313.62088</v>
      </c>
      <c r="BJ1780" s="1711">
        <f t="shared" si="110"/>
        <v>18253333.997967374</v>
      </c>
      <c r="BK1780" s="1711">
        <f t="shared" si="111"/>
        <v>1.1904482779377601</v>
      </c>
      <c r="BL1780">
        <f>BJ1780</f>
        <v>18253333.997967374</v>
      </c>
      <c r="BO1780">
        <f>BL1780</f>
        <v>18253333.997967374</v>
      </c>
    </row>
    <row r="1781" spans="3:67" x14ac:dyDescent="0.25">
      <c r="C1781" s="246" t="s">
        <v>3131</v>
      </c>
      <c r="D1781" s="246">
        <v>1</v>
      </c>
      <c r="E1781" s="246">
        <v>2</v>
      </c>
      <c r="F1781" s="246">
        <v>3</v>
      </c>
      <c r="G1781" s="246">
        <v>6</v>
      </c>
      <c r="H1781" s="246">
        <v>9</v>
      </c>
      <c r="I1781" s="246">
        <v>10</v>
      </c>
      <c r="J1781" s="246">
        <v>12</v>
      </c>
      <c r="K1781" s="246">
        <v>13</v>
      </c>
      <c r="L1781" s="246">
        <v>14</v>
      </c>
      <c r="M1781" s="246">
        <v>15</v>
      </c>
      <c r="N1781" s="246"/>
      <c r="O1781" s="246"/>
      <c r="P1781" s="246"/>
      <c r="Q1781" s="246"/>
      <c r="R1781" s="246">
        <f>IFERROR(VLOOKUP(D1781,PROGRAMAS[],2,FALSE),0)</f>
        <v>97037803.679377079</v>
      </c>
      <c r="S1781" s="246">
        <f>IFERROR(VLOOKUP(E1781,PROGRAMAS[],2,FALSE),0)</f>
        <v>640501509.6821388</v>
      </c>
      <c r="T1781" s="246">
        <f>IFERROR(VLOOKUP(F1781,PROGRAMAS[],2,FALSE),0)</f>
        <v>3062327798.1525245</v>
      </c>
      <c r="U1781" s="246">
        <f>IFERROR(VLOOKUP(G1781,PROGRAMAS[],2,FALSE),0)</f>
        <v>6907648435.8447599</v>
      </c>
      <c r="V1781" s="246">
        <f>IFERROR(VLOOKUP(H1781,PROGRAMAS[],2,FALSE),0)</f>
        <v>6128579952.1618185</v>
      </c>
      <c r="W1781" s="246">
        <f>IFERROR(VLOOKUP(I1781,PROGRAMAS[],2,FALSE),0)</f>
        <v>4635315027.8751087</v>
      </c>
      <c r="X1781" s="246">
        <f>IFERROR(VLOOKUP(J1781,PROGRAMAS[],2,FALSE),0)</f>
        <v>764796700.79905891</v>
      </c>
      <c r="Y1781" s="246">
        <f>IFERROR(VLOOKUP(K1781,PROGRAMAS[],2,FALSE),0)</f>
        <v>3776538594.4604583</v>
      </c>
      <c r="Z1781" s="246">
        <f>IFERROR(VLOOKUP(L1781,PROGRAMAS[],2,FALSE),0)</f>
        <v>54223862.645839565</v>
      </c>
      <c r="AA1781" s="246">
        <f>IFERROR(VLOOKUP(M1781,PROGRAMAS[],2,FALSE),0)</f>
        <v>122159672.96346797</v>
      </c>
      <c r="AB1781" s="246">
        <f>IFERROR(VLOOKUP(N1781,PROGRAMAS[],2,FALSE),0)</f>
        <v>0</v>
      </c>
      <c r="AC1781" s="246">
        <f>IFERROR(VLOOKUP(O1781,PROGRAMAS[],2,FALSE),0)</f>
        <v>0</v>
      </c>
      <c r="AD1781" s="246">
        <f>IFERROR(VLOOKUP(P1781,PROGRAMAS[],2,FALSE),0)</f>
        <v>0</v>
      </c>
      <c r="AE1781" s="246">
        <f>IFERROR(VLOOKUP(Q1781,PROGRAMAS[],2,FALSE),0)</f>
        <v>0</v>
      </c>
      <c r="AF1781" s="246">
        <f>IFERROR(VLOOKUP(D1781,PROGRAMAS[],3,FALSE),0)</f>
        <v>841888629.31080008</v>
      </c>
      <c r="AG1781" s="246">
        <f>IFERROR(VLOOKUP(E1781,PROGRAMAS[],3,FALSE),0)</f>
        <v>3848980803.1642323</v>
      </c>
      <c r="AH1781" s="246">
        <f>IFERROR(VLOOKUP(F1781,PROGRAMAS[],3,FALSE),0)</f>
        <v>3394901471.387517</v>
      </c>
      <c r="AI1781" s="246">
        <f>IFERROR(VLOOKUP(G1781,PROGRAMAS[],3,FALSE),0)</f>
        <v>6129902208.7912121</v>
      </c>
      <c r="AJ1781" s="246">
        <f>IFERROR(VLOOKUP(H1781,PROGRAMAS[],3,FALSE),0)</f>
        <v>7011279577.519702</v>
      </c>
      <c r="AK1781" s="246">
        <f>IFERROR(VLOOKUP(I1781,PROGRAMAS[],3,FALSE),0)</f>
        <v>4099471734.9978786</v>
      </c>
      <c r="AL1781" s="246">
        <f>IFERROR(VLOOKUP(J1781,PROGRAMAS[],3,FALSE),0)</f>
        <v>675517840.109828</v>
      </c>
      <c r="AM1781" s="246">
        <f>IFERROR(VLOOKUP(K1781,PROGRAMAS[],3,FALSE),0)</f>
        <v>2392571243.5584412</v>
      </c>
      <c r="AN1781" s="246">
        <f>IFERROR(VLOOKUP(L1781,PROGRAMAS[],3,FALSE),0)</f>
        <v>31865326.38096505</v>
      </c>
      <c r="AO1781" s="246">
        <f>IFERROR(VLOOKUP(M1781,PROGRAMAS[],3,FALSE),0)</f>
        <v>118617452.52510804</v>
      </c>
      <c r="AP1781" s="246">
        <f>IFERROR(VLOOKUP(N1781,PROGRAMAS[],3,FALSE),0)</f>
        <v>0</v>
      </c>
      <c r="AQ1781" s="246">
        <f>IFERROR(VLOOKUP(O1781,PROGRAMAS[],3,FALSE),0)</f>
        <v>0</v>
      </c>
      <c r="AR1781" s="246">
        <f>IFERROR(VLOOKUP(P1781,PROGRAMAS[],3,FALSE),0)</f>
        <v>0</v>
      </c>
      <c r="AS1781" s="246">
        <f>IFERROR(VLOOKUP(Q1781,PROGRAMAS[],3,FALSE),0)</f>
        <v>0</v>
      </c>
      <c r="AT1781" s="246">
        <f>IFERROR(VLOOKUP(D1781,VOL_REC[],2,FALSE),0)</f>
        <v>0</v>
      </c>
      <c r="AU1781" s="246">
        <f>IFERROR(VLOOKUP(E1781,VOL_REC[],2,FALSE),0)</f>
        <v>0</v>
      </c>
      <c r="AV1781" s="246">
        <f>IFERROR(VLOOKUP(F1781,VOL_REC[],2,FALSE),0)</f>
        <v>11089674.200000001</v>
      </c>
      <c r="AW1781" s="246">
        <f>IFERROR(VLOOKUP(G1781,VOL_REC[],2,FALSE),0)</f>
        <v>15540036.397699751</v>
      </c>
      <c r="AX1781" s="246">
        <f>IFERROR(VLOOKUP(H1781,VOL_REC[],2,FALSE),0)</f>
        <v>3761786</v>
      </c>
      <c r="AY1781" s="246">
        <f>IFERROR(VLOOKUP(I1781,VOL_REC[],2,FALSE),0)</f>
        <v>1812240</v>
      </c>
      <c r="AZ1781" s="246">
        <f>IFERROR(VLOOKUP(J1781,VOL_REC[],2,FALSE),0)</f>
        <v>240696.79238099116</v>
      </c>
      <c r="BA1781" s="246">
        <f>IFERROR(VLOOKUP(K1781,VOL_REC[],2,FALSE),0)</f>
        <v>663244.80000000016</v>
      </c>
      <c r="BB1781" s="246">
        <f>IFERROR(VLOOKUP(L1781,VOL_REC[],2,FALSE),0)</f>
        <v>17074.045034105649</v>
      </c>
      <c r="BC1781" s="246">
        <f>IFERROR(VLOOKUP(M1781,VOL_REC[],2,FALSE),0)</f>
        <v>105072</v>
      </c>
      <c r="BD1781" s="246">
        <f>IFERROR(VLOOKUP(N1781,VOL_REC[],2,FALSE),0)</f>
        <v>0</v>
      </c>
      <c r="BE1781" s="246">
        <f>IFERROR(VLOOKUP(O1781,VOL_REC[],2,FALSE),0)</f>
        <v>0</v>
      </c>
      <c r="BF1781" s="246">
        <f>IFERROR(VLOOKUP(P1781,VOL_REC[],2,FALSE),0)</f>
        <v>0</v>
      </c>
      <c r="BG1781" s="246">
        <f>IFERROR(VLOOKUP(Q1781,VOL_REC[],2,FALSE),0)</f>
        <v>0</v>
      </c>
      <c r="BH1781" s="1710">
        <f t="shared" si="108"/>
        <v>26189129358.264549</v>
      </c>
      <c r="BI1781" s="1710">
        <f t="shared" si="109"/>
        <v>28544996287.745689</v>
      </c>
      <c r="BJ1781" s="1711">
        <f t="shared" si="110"/>
        <v>33229824.235114854</v>
      </c>
      <c r="BK1781" s="1711">
        <f t="shared" si="111"/>
        <v>0.91746830492696507</v>
      </c>
    </row>
    <row r="1782" spans="3:67" x14ac:dyDescent="0.25">
      <c r="C1782" s="246" t="s">
        <v>3132</v>
      </c>
      <c r="D1782" s="246">
        <v>1</v>
      </c>
      <c r="E1782" s="246">
        <v>2</v>
      </c>
      <c r="F1782" s="246">
        <v>3</v>
      </c>
      <c r="G1782" s="246">
        <v>6</v>
      </c>
      <c r="H1782" s="246">
        <v>9</v>
      </c>
      <c r="I1782" s="246">
        <v>10</v>
      </c>
      <c r="J1782" s="246">
        <v>12</v>
      </c>
      <c r="K1782" s="246">
        <v>13</v>
      </c>
      <c r="L1782" s="246">
        <v>14</v>
      </c>
      <c r="M1782" s="246">
        <v>16</v>
      </c>
      <c r="N1782" s="246"/>
      <c r="O1782" s="246"/>
      <c r="P1782" s="246"/>
      <c r="Q1782" s="246"/>
      <c r="R1782" s="246">
        <f>IFERROR(VLOOKUP(D1782,PROGRAMAS[],2,FALSE),0)</f>
        <v>97037803.679377079</v>
      </c>
      <c r="S1782" s="246">
        <f>IFERROR(VLOOKUP(E1782,PROGRAMAS[],2,FALSE),0)</f>
        <v>640501509.6821388</v>
      </c>
      <c r="T1782" s="246">
        <f>IFERROR(VLOOKUP(F1782,PROGRAMAS[],2,FALSE),0)</f>
        <v>3062327798.1525245</v>
      </c>
      <c r="U1782" s="246">
        <f>IFERROR(VLOOKUP(G1782,PROGRAMAS[],2,FALSE),0)</f>
        <v>6907648435.8447599</v>
      </c>
      <c r="V1782" s="246">
        <f>IFERROR(VLOOKUP(H1782,PROGRAMAS[],2,FALSE),0)</f>
        <v>6128579952.1618185</v>
      </c>
      <c r="W1782" s="246">
        <f>IFERROR(VLOOKUP(I1782,PROGRAMAS[],2,FALSE),0)</f>
        <v>4635315027.8751087</v>
      </c>
      <c r="X1782" s="246">
        <f>IFERROR(VLOOKUP(J1782,PROGRAMAS[],2,FALSE),0)</f>
        <v>764796700.79905891</v>
      </c>
      <c r="Y1782" s="246">
        <f>IFERROR(VLOOKUP(K1782,PROGRAMAS[],2,FALSE),0)</f>
        <v>3776538594.4604583</v>
      </c>
      <c r="Z1782" s="246">
        <f>IFERROR(VLOOKUP(L1782,PROGRAMAS[],2,FALSE),0)</f>
        <v>54223862.645839565</v>
      </c>
      <c r="AA1782" s="246">
        <f>IFERROR(VLOOKUP(M1782,PROGRAMAS[],2,FALSE),0)</f>
        <v>7068496961.0436354</v>
      </c>
      <c r="AB1782" s="246">
        <f>IFERROR(VLOOKUP(N1782,PROGRAMAS[],2,FALSE),0)</f>
        <v>0</v>
      </c>
      <c r="AC1782" s="246">
        <f>IFERROR(VLOOKUP(O1782,PROGRAMAS[],2,FALSE),0)</f>
        <v>0</v>
      </c>
      <c r="AD1782" s="246">
        <f>IFERROR(VLOOKUP(P1782,PROGRAMAS[],2,FALSE),0)</f>
        <v>0</v>
      </c>
      <c r="AE1782" s="246">
        <f>IFERROR(VLOOKUP(Q1782,PROGRAMAS[],2,FALSE),0)</f>
        <v>0</v>
      </c>
      <c r="AF1782" s="246">
        <f>IFERROR(VLOOKUP(D1782,PROGRAMAS[],3,FALSE),0)</f>
        <v>841888629.31080008</v>
      </c>
      <c r="AG1782" s="246">
        <f>IFERROR(VLOOKUP(E1782,PROGRAMAS[],3,FALSE),0)</f>
        <v>3848980803.1642323</v>
      </c>
      <c r="AH1782" s="246">
        <f>IFERROR(VLOOKUP(F1782,PROGRAMAS[],3,FALSE),0)</f>
        <v>3394901471.387517</v>
      </c>
      <c r="AI1782" s="246">
        <f>IFERROR(VLOOKUP(G1782,PROGRAMAS[],3,FALSE),0)</f>
        <v>6129902208.7912121</v>
      </c>
      <c r="AJ1782" s="246">
        <f>IFERROR(VLOOKUP(H1782,PROGRAMAS[],3,FALSE),0)</f>
        <v>7011279577.519702</v>
      </c>
      <c r="AK1782" s="246">
        <f>IFERROR(VLOOKUP(I1782,PROGRAMAS[],3,FALSE),0)</f>
        <v>4099471734.9978786</v>
      </c>
      <c r="AL1782" s="246">
        <f>IFERROR(VLOOKUP(J1782,PROGRAMAS[],3,FALSE),0)</f>
        <v>675517840.109828</v>
      </c>
      <c r="AM1782" s="246">
        <f>IFERROR(VLOOKUP(K1782,PROGRAMAS[],3,FALSE),0)</f>
        <v>2392571243.5584412</v>
      </c>
      <c r="AN1782" s="246">
        <f>IFERROR(VLOOKUP(L1782,PROGRAMAS[],3,FALSE),0)</f>
        <v>31865326.38096505</v>
      </c>
      <c r="AO1782" s="246">
        <f>IFERROR(VLOOKUP(M1782,PROGRAMAS[],3,FALSE),0)</f>
        <v>2406564599.0319901</v>
      </c>
      <c r="AP1782" s="246">
        <f>IFERROR(VLOOKUP(N1782,PROGRAMAS[],3,FALSE),0)</f>
        <v>0</v>
      </c>
      <c r="AQ1782" s="246">
        <f>IFERROR(VLOOKUP(O1782,PROGRAMAS[],3,FALSE),0)</f>
        <v>0</v>
      </c>
      <c r="AR1782" s="246">
        <f>IFERROR(VLOOKUP(P1782,PROGRAMAS[],3,FALSE),0)</f>
        <v>0</v>
      </c>
      <c r="AS1782" s="246">
        <f>IFERROR(VLOOKUP(Q1782,PROGRAMAS[],3,FALSE),0)</f>
        <v>0</v>
      </c>
      <c r="AT1782" s="246">
        <f>IFERROR(VLOOKUP(D1782,VOL_REC[],2,FALSE),0)</f>
        <v>0</v>
      </c>
      <c r="AU1782" s="246">
        <f>IFERROR(VLOOKUP(E1782,VOL_REC[],2,FALSE),0)</f>
        <v>0</v>
      </c>
      <c r="AV1782" s="246">
        <f>IFERROR(VLOOKUP(F1782,VOL_REC[],2,FALSE),0)</f>
        <v>11089674.200000001</v>
      </c>
      <c r="AW1782" s="246">
        <f>IFERROR(VLOOKUP(G1782,VOL_REC[],2,FALSE),0)</f>
        <v>15540036.397699751</v>
      </c>
      <c r="AX1782" s="246">
        <f>IFERROR(VLOOKUP(H1782,VOL_REC[],2,FALSE),0)</f>
        <v>3761786</v>
      </c>
      <c r="AY1782" s="246">
        <f>IFERROR(VLOOKUP(I1782,VOL_REC[],2,FALSE),0)</f>
        <v>1812240</v>
      </c>
      <c r="AZ1782" s="246">
        <f>IFERROR(VLOOKUP(J1782,VOL_REC[],2,FALSE),0)</f>
        <v>240696.79238099116</v>
      </c>
      <c r="BA1782" s="246">
        <f>IFERROR(VLOOKUP(K1782,VOL_REC[],2,FALSE),0)</f>
        <v>663244.80000000016</v>
      </c>
      <c r="BB1782" s="246">
        <f>IFERROR(VLOOKUP(L1782,VOL_REC[],2,FALSE),0)</f>
        <v>17074.045034105649</v>
      </c>
      <c r="BC1782" s="246">
        <f>IFERROR(VLOOKUP(M1782,VOL_REC[],2,FALSE),0)</f>
        <v>1072354.9981737854</v>
      </c>
      <c r="BD1782" s="246">
        <f>IFERROR(VLOOKUP(N1782,VOL_REC[],2,FALSE),0)</f>
        <v>0</v>
      </c>
      <c r="BE1782" s="246">
        <f>IFERROR(VLOOKUP(O1782,VOL_REC[],2,FALSE),0)</f>
        <v>0</v>
      </c>
      <c r="BF1782" s="246">
        <f>IFERROR(VLOOKUP(P1782,VOL_REC[],2,FALSE),0)</f>
        <v>0</v>
      </c>
      <c r="BG1782" s="246">
        <f>IFERROR(VLOOKUP(Q1782,VOL_REC[],2,FALSE),0)</f>
        <v>0</v>
      </c>
      <c r="BH1782" s="1710">
        <f t="shared" si="108"/>
        <v>33135466646.344719</v>
      </c>
      <c r="BI1782" s="1710">
        <f t="shared" si="109"/>
        <v>30832943434.252571</v>
      </c>
      <c r="BJ1782" s="1711">
        <f t="shared" si="110"/>
        <v>34197107.233288638</v>
      </c>
      <c r="BK1782" s="1711">
        <f t="shared" si="111"/>
        <v>1.0746773728237136</v>
      </c>
      <c r="BL1782">
        <f>BJ1782</f>
        <v>34197107.233288638</v>
      </c>
      <c r="BO1782">
        <f>BL1782</f>
        <v>34197107.233288638</v>
      </c>
    </row>
    <row r="1783" spans="3:67" x14ac:dyDescent="0.25">
      <c r="C1783" s="246" t="s">
        <v>3133</v>
      </c>
      <c r="D1783" s="246">
        <v>1</v>
      </c>
      <c r="E1783" s="246">
        <v>2</v>
      </c>
      <c r="F1783" s="246">
        <v>3</v>
      </c>
      <c r="G1783" s="246">
        <v>6</v>
      </c>
      <c r="H1783" s="246">
        <v>9</v>
      </c>
      <c r="I1783" s="246">
        <v>10</v>
      </c>
      <c r="J1783" s="246">
        <v>12</v>
      </c>
      <c r="K1783" s="246">
        <v>13</v>
      </c>
      <c r="L1783" s="246">
        <v>14</v>
      </c>
      <c r="M1783" s="246">
        <v>17</v>
      </c>
      <c r="N1783" s="246"/>
      <c r="O1783" s="246"/>
      <c r="P1783" s="246"/>
      <c r="Q1783" s="246"/>
      <c r="R1783" s="246">
        <f>IFERROR(VLOOKUP(D1783,PROGRAMAS[],2,FALSE),0)</f>
        <v>97037803.679377079</v>
      </c>
      <c r="S1783" s="246">
        <f>IFERROR(VLOOKUP(E1783,PROGRAMAS[],2,FALSE),0)</f>
        <v>640501509.6821388</v>
      </c>
      <c r="T1783" s="246">
        <f>IFERROR(VLOOKUP(F1783,PROGRAMAS[],2,FALSE),0)</f>
        <v>3062327798.1525245</v>
      </c>
      <c r="U1783" s="246">
        <f>IFERROR(VLOOKUP(G1783,PROGRAMAS[],2,FALSE),0)</f>
        <v>6907648435.8447599</v>
      </c>
      <c r="V1783" s="246">
        <f>IFERROR(VLOOKUP(H1783,PROGRAMAS[],2,FALSE),0)</f>
        <v>6128579952.1618185</v>
      </c>
      <c r="W1783" s="246">
        <f>IFERROR(VLOOKUP(I1783,PROGRAMAS[],2,FALSE),0)</f>
        <v>4635315027.8751087</v>
      </c>
      <c r="X1783" s="246">
        <f>IFERROR(VLOOKUP(J1783,PROGRAMAS[],2,FALSE),0)</f>
        <v>764796700.79905891</v>
      </c>
      <c r="Y1783" s="246">
        <f>IFERROR(VLOOKUP(K1783,PROGRAMAS[],2,FALSE),0)</f>
        <v>3776538594.4604583</v>
      </c>
      <c r="Z1783" s="246">
        <f>IFERROR(VLOOKUP(L1783,PROGRAMAS[],2,FALSE),0)</f>
        <v>54223862.645839565</v>
      </c>
      <c r="AA1783" s="246">
        <f>IFERROR(VLOOKUP(M1783,PROGRAMAS[],2,FALSE),0)</f>
        <v>1892779498.5211046</v>
      </c>
      <c r="AB1783" s="246">
        <f>IFERROR(VLOOKUP(N1783,PROGRAMAS[],2,FALSE),0)</f>
        <v>0</v>
      </c>
      <c r="AC1783" s="246">
        <f>IFERROR(VLOOKUP(O1783,PROGRAMAS[],2,FALSE),0)</f>
        <v>0</v>
      </c>
      <c r="AD1783" s="246">
        <f>IFERROR(VLOOKUP(P1783,PROGRAMAS[],2,FALSE),0)</f>
        <v>0</v>
      </c>
      <c r="AE1783" s="246">
        <f>IFERROR(VLOOKUP(Q1783,PROGRAMAS[],2,FALSE),0)</f>
        <v>0</v>
      </c>
      <c r="AF1783" s="246">
        <f>IFERROR(VLOOKUP(D1783,PROGRAMAS[],3,FALSE),0)</f>
        <v>841888629.31080008</v>
      </c>
      <c r="AG1783" s="246">
        <f>IFERROR(VLOOKUP(E1783,PROGRAMAS[],3,FALSE),0)</f>
        <v>3848980803.1642323</v>
      </c>
      <c r="AH1783" s="246">
        <f>IFERROR(VLOOKUP(F1783,PROGRAMAS[],3,FALSE),0)</f>
        <v>3394901471.387517</v>
      </c>
      <c r="AI1783" s="246">
        <f>IFERROR(VLOOKUP(G1783,PROGRAMAS[],3,FALSE),0)</f>
        <v>6129902208.7912121</v>
      </c>
      <c r="AJ1783" s="246">
        <f>IFERROR(VLOOKUP(H1783,PROGRAMAS[],3,FALSE),0)</f>
        <v>7011279577.519702</v>
      </c>
      <c r="AK1783" s="246">
        <f>IFERROR(VLOOKUP(I1783,PROGRAMAS[],3,FALSE),0)</f>
        <v>4099471734.9978786</v>
      </c>
      <c r="AL1783" s="246">
        <f>IFERROR(VLOOKUP(J1783,PROGRAMAS[],3,FALSE),0)</f>
        <v>675517840.109828</v>
      </c>
      <c r="AM1783" s="246">
        <f>IFERROR(VLOOKUP(K1783,PROGRAMAS[],3,FALSE),0)</f>
        <v>2392571243.5584412</v>
      </c>
      <c r="AN1783" s="246">
        <f>IFERROR(VLOOKUP(L1783,PROGRAMAS[],3,FALSE),0)</f>
        <v>31865326.38096505</v>
      </c>
      <c r="AO1783" s="246">
        <f>IFERROR(VLOOKUP(M1783,PROGRAMAS[],3,FALSE),0)</f>
        <v>948595847.09039903</v>
      </c>
      <c r="AP1783" s="246">
        <f>IFERROR(VLOOKUP(N1783,PROGRAMAS[],3,FALSE),0)</f>
        <v>0</v>
      </c>
      <c r="AQ1783" s="246">
        <f>IFERROR(VLOOKUP(O1783,PROGRAMAS[],3,FALSE),0)</f>
        <v>0</v>
      </c>
      <c r="AR1783" s="246">
        <f>IFERROR(VLOOKUP(P1783,PROGRAMAS[],3,FALSE),0)</f>
        <v>0</v>
      </c>
      <c r="AS1783" s="246">
        <f>IFERROR(VLOOKUP(Q1783,PROGRAMAS[],3,FALSE),0)</f>
        <v>0</v>
      </c>
      <c r="AT1783" s="246">
        <f>IFERROR(VLOOKUP(D1783,VOL_REC[],2,FALSE),0)</f>
        <v>0</v>
      </c>
      <c r="AU1783" s="246">
        <f>IFERROR(VLOOKUP(E1783,VOL_REC[],2,FALSE),0)</f>
        <v>0</v>
      </c>
      <c r="AV1783" s="246">
        <f>IFERROR(VLOOKUP(F1783,VOL_REC[],2,FALSE),0)</f>
        <v>11089674.200000001</v>
      </c>
      <c r="AW1783" s="246">
        <f>IFERROR(VLOOKUP(G1783,VOL_REC[],2,FALSE),0)</f>
        <v>15540036.397699751</v>
      </c>
      <c r="AX1783" s="246">
        <f>IFERROR(VLOOKUP(H1783,VOL_REC[],2,FALSE),0)</f>
        <v>3761786</v>
      </c>
      <c r="AY1783" s="246">
        <f>IFERROR(VLOOKUP(I1783,VOL_REC[],2,FALSE),0)</f>
        <v>1812240</v>
      </c>
      <c r="AZ1783" s="246">
        <f>IFERROR(VLOOKUP(J1783,VOL_REC[],2,FALSE),0)</f>
        <v>240696.79238099116</v>
      </c>
      <c r="BA1783" s="246">
        <f>IFERROR(VLOOKUP(K1783,VOL_REC[],2,FALSE),0)</f>
        <v>663244.80000000016</v>
      </c>
      <c r="BB1783" s="246">
        <f>IFERROR(VLOOKUP(L1783,VOL_REC[],2,FALSE),0)</f>
        <v>17074.045034105649</v>
      </c>
      <c r="BC1783" s="246">
        <f>IFERROR(VLOOKUP(M1783,VOL_REC[],2,FALSE),0)</f>
        <v>740113.98115702497</v>
      </c>
      <c r="BD1783" s="246">
        <f>IFERROR(VLOOKUP(N1783,VOL_REC[],2,FALSE),0)</f>
        <v>0</v>
      </c>
      <c r="BE1783" s="246">
        <f>IFERROR(VLOOKUP(O1783,VOL_REC[],2,FALSE),0)</f>
        <v>0</v>
      </c>
      <c r="BF1783" s="246">
        <f>IFERROR(VLOOKUP(P1783,VOL_REC[],2,FALSE),0)</f>
        <v>0</v>
      </c>
      <c r="BG1783" s="246">
        <f>IFERROR(VLOOKUP(Q1783,VOL_REC[],2,FALSE),0)</f>
        <v>0</v>
      </c>
      <c r="BH1783" s="1710">
        <f t="shared" si="108"/>
        <v>27959749183.822186</v>
      </c>
      <c r="BI1783" s="1710">
        <f t="shared" si="109"/>
        <v>29374974682.310982</v>
      </c>
      <c r="BJ1783" s="1711">
        <f t="shared" si="110"/>
        <v>33864866.216271877</v>
      </c>
      <c r="BK1783" s="1711">
        <f t="shared" si="111"/>
        <v>0.95182206916620704</v>
      </c>
    </row>
    <row r="1784" spans="3:67" x14ac:dyDescent="0.25">
      <c r="C1784" s="246" t="s">
        <v>3134</v>
      </c>
      <c r="D1784" s="246">
        <v>1</v>
      </c>
      <c r="E1784" s="246">
        <v>2</v>
      </c>
      <c r="F1784" s="246">
        <v>3</v>
      </c>
      <c r="G1784" s="246">
        <v>6</v>
      </c>
      <c r="H1784" s="246">
        <v>9</v>
      </c>
      <c r="I1784" s="246">
        <v>10</v>
      </c>
      <c r="J1784" s="246">
        <v>12</v>
      </c>
      <c r="K1784" s="246">
        <v>13</v>
      </c>
      <c r="L1784" s="246">
        <v>15</v>
      </c>
      <c r="M1784" s="246">
        <v>16</v>
      </c>
      <c r="N1784" s="246"/>
      <c r="O1784" s="246"/>
      <c r="P1784" s="246"/>
      <c r="Q1784" s="246"/>
      <c r="R1784" s="246">
        <f>IFERROR(VLOOKUP(D1784,PROGRAMAS[],2,FALSE),0)</f>
        <v>97037803.679377079</v>
      </c>
      <c r="S1784" s="246">
        <f>IFERROR(VLOOKUP(E1784,PROGRAMAS[],2,FALSE),0)</f>
        <v>640501509.6821388</v>
      </c>
      <c r="T1784" s="246">
        <f>IFERROR(VLOOKUP(F1784,PROGRAMAS[],2,FALSE),0)</f>
        <v>3062327798.1525245</v>
      </c>
      <c r="U1784" s="246">
        <f>IFERROR(VLOOKUP(G1784,PROGRAMAS[],2,FALSE),0)</f>
        <v>6907648435.8447599</v>
      </c>
      <c r="V1784" s="246">
        <f>IFERROR(VLOOKUP(H1784,PROGRAMAS[],2,FALSE),0)</f>
        <v>6128579952.1618185</v>
      </c>
      <c r="W1784" s="246">
        <f>IFERROR(VLOOKUP(I1784,PROGRAMAS[],2,FALSE),0)</f>
        <v>4635315027.8751087</v>
      </c>
      <c r="X1784" s="246">
        <f>IFERROR(VLOOKUP(J1784,PROGRAMAS[],2,FALSE),0)</f>
        <v>764796700.79905891</v>
      </c>
      <c r="Y1784" s="246">
        <f>IFERROR(VLOOKUP(K1784,PROGRAMAS[],2,FALSE),0)</f>
        <v>3776538594.4604583</v>
      </c>
      <c r="Z1784" s="246">
        <f>IFERROR(VLOOKUP(L1784,PROGRAMAS[],2,FALSE),0)</f>
        <v>122159672.96346797</v>
      </c>
      <c r="AA1784" s="246">
        <f>IFERROR(VLOOKUP(M1784,PROGRAMAS[],2,FALSE),0)</f>
        <v>7068496961.0436354</v>
      </c>
      <c r="AB1784" s="246">
        <f>IFERROR(VLOOKUP(N1784,PROGRAMAS[],2,FALSE),0)</f>
        <v>0</v>
      </c>
      <c r="AC1784" s="246">
        <f>IFERROR(VLOOKUP(O1784,PROGRAMAS[],2,FALSE),0)</f>
        <v>0</v>
      </c>
      <c r="AD1784" s="246">
        <f>IFERROR(VLOOKUP(P1784,PROGRAMAS[],2,FALSE),0)</f>
        <v>0</v>
      </c>
      <c r="AE1784" s="246">
        <f>IFERROR(VLOOKUP(Q1784,PROGRAMAS[],2,FALSE),0)</f>
        <v>0</v>
      </c>
      <c r="AF1784" s="246">
        <f>IFERROR(VLOOKUP(D1784,PROGRAMAS[],3,FALSE),0)</f>
        <v>841888629.31080008</v>
      </c>
      <c r="AG1784" s="246">
        <f>IFERROR(VLOOKUP(E1784,PROGRAMAS[],3,FALSE),0)</f>
        <v>3848980803.1642323</v>
      </c>
      <c r="AH1784" s="246">
        <f>IFERROR(VLOOKUP(F1784,PROGRAMAS[],3,FALSE),0)</f>
        <v>3394901471.387517</v>
      </c>
      <c r="AI1784" s="246">
        <f>IFERROR(VLOOKUP(G1784,PROGRAMAS[],3,FALSE),0)</f>
        <v>6129902208.7912121</v>
      </c>
      <c r="AJ1784" s="246">
        <f>IFERROR(VLOOKUP(H1784,PROGRAMAS[],3,FALSE),0)</f>
        <v>7011279577.519702</v>
      </c>
      <c r="AK1784" s="246">
        <f>IFERROR(VLOOKUP(I1784,PROGRAMAS[],3,FALSE),0)</f>
        <v>4099471734.9978786</v>
      </c>
      <c r="AL1784" s="246">
        <f>IFERROR(VLOOKUP(J1784,PROGRAMAS[],3,FALSE),0)</f>
        <v>675517840.109828</v>
      </c>
      <c r="AM1784" s="246">
        <f>IFERROR(VLOOKUP(K1784,PROGRAMAS[],3,FALSE),0)</f>
        <v>2392571243.5584412</v>
      </c>
      <c r="AN1784" s="246">
        <f>IFERROR(VLOOKUP(L1784,PROGRAMAS[],3,FALSE),0)</f>
        <v>118617452.52510804</v>
      </c>
      <c r="AO1784" s="246">
        <f>IFERROR(VLOOKUP(M1784,PROGRAMAS[],3,FALSE),0)</f>
        <v>2406564599.0319901</v>
      </c>
      <c r="AP1784" s="246">
        <f>IFERROR(VLOOKUP(N1784,PROGRAMAS[],3,FALSE),0)</f>
        <v>0</v>
      </c>
      <c r="AQ1784" s="246">
        <f>IFERROR(VLOOKUP(O1784,PROGRAMAS[],3,FALSE),0)</f>
        <v>0</v>
      </c>
      <c r="AR1784" s="246">
        <f>IFERROR(VLOOKUP(P1784,PROGRAMAS[],3,FALSE),0)</f>
        <v>0</v>
      </c>
      <c r="AS1784" s="246">
        <f>IFERROR(VLOOKUP(Q1784,PROGRAMAS[],3,FALSE),0)</f>
        <v>0</v>
      </c>
      <c r="AT1784" s="246">
        <f>IFERROR(VLOOKUP(D1784,VOL_REC[],2,FALSE),0)</f>
        <v>0</v>
      </c>
      <c r="AU1784" s="246">
        <f>IFERROR(VLOOKUP(E1784,VOL_REC[],2,FALSE),0)</f>
        <v>0</v>
      </c>
      <c r="AV1784" s="246">
        <f>IFERROR(VLOOKUP(F1784,VOL_REC[],2,FALSE),0)</f>
        <v>11089674.200000001</v>
      </c>
      <c r="AW1784" s="246">
        <f>IFERROR(VLOOKUP(G1784,VOL_REC[],2,FALSE),0)</f>
        <v>15540036.397699751</v>
      </c>
      <c r="AX1784" s="246">
        <f>IFERROR(VLOOKUP(H1784,VOL_REC[],2,FALSE),0)</f>
        <v>3761786</v>
      </c>
      <c r="AY1784" s="246">
        <f>IFERROR(VLOOKUP(I1784,VOL_REC[],2,FALSE),0)</f>
        <v>1812240</v>
      </c>
      <c r="AZ1784" s="246">
        <f>IFERROR(VLOOKUP(J1784,VOL_REC[],2,FALSE),0)</f>
        <v>240696.79238099116</v>
      </c>
      <c r="BA1784" s="246">
        <f>IFERROR(VLOOKUP(K1784,VOL_REC[],2,FALSE),0)</f>
        <v>663244.80000000016</v>
      </c>
      <c r="BB1784" s="246">
        <f>IFERROR(VLOOKUP(L1784,VOL_REC[],2,FALSE),0)</f>
        <v>105072</v>
      </c>
      <c r="BC1784" s="246">
        <f>IFERROR(VLOOKUP(M1784,VOL_REC[],2,FALSE),0)</f>
        <v>1072354.9981737854</v>
      </c>
      <c r="BD1784" s="246">
        <f>IFERROR(VLOOKUP(N1784,VOL_REC[],2,FALSE),0)</f>
        <v>0</v>
      </c>
      <c r="BE1784" s="246">
        <f>IFERROR(VLOOKUP(O1784,VOL_REC[],2,FALSE),0)</f>
        <v>0</v>
      </c>
      <c r="BF1784" s="246">
        <f>IFERROR(VLOOKUP(P1784,VOL_REC[],2,FALSE),0)</f>
        <v>0</v>
      </c>
      <c r="BG1784" s="246">
        <f>IFERROR(VLOOKUP(Q1784,VOL_REC[],2,FALSE),0)</f>
        <v>0</v>
      </c>
      <c r="BH1784" s="1710">
        <f t="shared" si="108"/>
        <v>33203402456.662346</v>
      </c>
      <c r="BI1784" s="1710">
        <f t="shared" si="109"/>
        <v>30919695560.396713</v>
      </c>
      <c r="BJ1784" s="1711">
        <f t="shared" si="110"/>
        <v>34285105.188254535</v>
      </c>
      <c r="BK1784" s="1711">
        <f t="shared" si="111"/>
        <v>1.0738592943712779</v>
      </c>
      <c r="BL1784">
        <f>BJ1784</f>
        <v>34285105.188254535</v>
      </c>
      <c r="BO1784">
        <f>BL1784</f>
        <v>34285105.188254535</v>
      </c>
    </row>
    <row r="1785" spans="3:67" x14ac:dyDescent="0.25">
      <c r="C1785" s="246" t="s">
        <v>3135</v>
      </c>
      <c r="D1785" s="246">
        <v>1</v>
      </c>
      <c r="E1785" s="246">
        <v>2</v>
      </c>
      <c r="F1785" s="246">
        <v>3</v>
      </c>
      <c r="G1785" s="246">
        <v>6</v>
      </c>
      <c r="H1785" s="246">
        <v>9</v>
      </c>
      <c r="I1785" s="246">
        <v>10</v>
      </c>
      <c r="J1785" s="246">
        <v>12</v>
      </c>
      <c r="K1785" s="246">
        <v>13</v>
      </c>
      <c r="L1785" s="246">
        <v>15</v>
      </c>
      <c r="M1785" s="246">
        <v>17</v>
      </c>
      <c r="N1785" s="246"/>
      <c r="O1785" s="246"/>
      <c r="P1785" s="246"/>
      <c r="Q1785" s="246"/>
      <c r="R1785" s="246">
        <f>IFERROR(VLOOKUP(D1785,PROGRAMAS[],2,FALSE),0)</f>
        <v>97037803.679377079</v>
      </c>
      <c r="S1785" s="246">
        <f>IFERROR(VLOOKUP(E1785,PROGRAMAS[],2,FALSE),0)</f>
        <v>640501509.6821388</v>
      </c>
      <c r="T1785" s="246">
        <f>IFERROR(VLOOKUP(F1785,PROGRAMAS[],2,FALSE),0)</f>
        <v>3062327798.1525245</v>
      </c>
      <c r="U1785" s="246">
        <f>IFERROR(VLOOKUP(G1785,PROGRAMAS[],2,FALSE),0)</f>
        <v>6907648435.8447599</v>
      </c>
      <c r="V1785" s="246">
        <f>IFERROR(VLOOKUP(H1785,PROGRAMAS[],2,FALSE),0)</f>
        <v>6128579952.1618185</v>
      </c>
      <c r="W1785" s="246">
        <f>IFERROR(VLOOKUP(I1785,PROGRAMAS[],2,FALSE),0)</f>
        <v>4635315027.8751087</v>
      </c>
      <c r="X1785" s="246">
        <f>IFERROR(VLOOKUP(J1785,PROGRAMAS[],2,FALSE),0)</f>
        <v>764796700.79905891</v>
      </c>
      <c r="Y1785" s="246">
        <f>IFERROR(VLOOKUP(K1785,PROGRAMAS[],2,FALSE),0)</f>
        <v>3776538594.4604583</v>
      </c>
      <c r="Z1785" s="246">
        <f>IFERROR(VLOOKUP(L1785,PROGRAMAS[],2,FALSE),0)</f>
        <v>122159672.96346797</v>
      </c>
      <c r="AA1785" s="246">
        <f>IFERROR(VLOOKUP(M1785,PROGRAMAS[],2,FALSE),0)</f>
        <v>1892779498.5211046</v>
      </c>
      <c r="AB1785" s="246">
        <f>IFERROR(VLOOKUP(N1785,PROGRAMAS[],2,FALSE),0)</f>
        <v>0</v>
      </c>
      <c r="AC1785" s="246">
        <f>IFERROR(VLOOKUP(O1785,PROGRAMAS[],2,FALSE),0)</f>
        <v>0</v>
      </c>
      <c r="AD1785" s="246">
        <f>IFERROR(VLOOKUP(P1785,PROGRAMAS[],2,FALSE),0)</f>
        <v>0</v>
      </c>
      <c r="AE1785" s="246">
        <f>IFERROR(VLOOKUP(Q1785,PROGRAMAS[],2,FALSE),0)</f>
        <v>0</v>
      </c>
      <c r="AF1785" s="246">
        <f>IFERROR(VLOOKUP(D1785,PROGRAMAS[],3,FALSE),0)</f>
        <v>841888629.31080008</v>
      </c>
      <c r="AG1785" s="246">
        <f>IFERROR(VLOOKUP(E1785,PROGRAMAS[],3,FALSE),0)</f>
        <v>3848980803.1642323</v>
      </c>
      <c r="AH1785" s="246">
        <f>IFERROR(VLOOKUP(F1785,PROGRAMAS[],3,FALSE),0)</f>
        <v>3394901471.387517</v>
      </c>
      <c r="AI1785" s="246">
        <f>IFERROR(VLOOKUP(G1785,PROGRAMAS[],3,FALSE),0)</f>
        <v>6129902208.7912121</v>
      </c>
      <c r="AJ1785" s="246">
        <f>IFERROR(VLOOKUP(H1785,PROGRAMAS[],3,FALSE),0)</f>
        <v>7011279577.519702</v>
      </c>
      <c r="AK1785" s="246">
        <f>IFERROR(VLOOKUP(I1785,PROGRAMAS[],3,FALSE),0)</f>
        <v>4099471734.9978786</v>
      </c>
      <c r="AL1785" s="246">
        <f>IFERROR(VLOOKUP(J1785,PROGRAMAS[],3,FALSE),0)</f>
        <v>675517840.109828</v>
      </c>
      <c r="AM1785" s="246">
        <f>IFERROR(VLOOKUP(K1785,PROGRAMAS[],3,FALSE),0)</f>
        <v>2392571243.5584412</v>
      </c>
      <c r="AN1785" s="246">
        <f>IFERROR(VLOOKUP(L1785,PROGRAMAS[],3,FALSE),0)</f>
        <v>118617452.52510804</v>
      </c>
      <c r="AO1785" s="246">
        <f>IFERROR(VLOOKUP(M1785,PROGRAMAS[],3,FALSE),0)</f>
        <v>948595847.09039903</v>
      </c>
      <c r="AP1785" s="246">
        <f>IFERROR(VLOOKUP(N1785,PROGRAMAS[],3,FALSE),0)</f>
        <v>0</v>
      </c>
      <c r="AQ1785" s="246">
        <f>IFERROR(VLOOKUP(O1785,PROGRAMAS[],3,FALSE),0)</f>
        <v>0</v>
      </c>
      <c r="AR1785" s="246">
        <f>IFERROR(VLOOKUP(P1785,PROGRAMAS[],3,FALSE),0)</f>
        <v>0</v>
      </c>
      <c r="AS1785" s="246">
        <f>IFERROR(VLOOKUP(Q1785,PROGRAMAS[],3,FALSE),0)</f>
        <v>0</v>
      </c>
      <c r="AT1785" s="246">
        <f>IFERROR(VLOOKUP(D1785,VOL_REC[],2,FALSE),0)</f>
        <v>0</v>
      </c>
      <c r="AU1785" s="246">
        <f>IFERROR(VLOOKUP(E1785,VOL_REC[],2,FALSE),0)</f>
        <v>0</v>
      </c>
      <c r="AV1785" s="246">
        <f>IFERROR(VLOOKUP(F1785,VOL_REC[],2,FALSE),0)</f>
        <v>11089674.200000001</v>
      </c>
      <c r="AW1785" s="246">
        <f>IFERROR(VLOOKUP(G1785,VOL_REC[],2,FALSE),0)</f>
        <v>15540036.397699751</v>
      </c>
      <c r="AX1785" s="246">
        <f>IFERROR(VLOOKUP(H1785,VOL_REC[],2,FALSE),0)</f>
        <v>3761786</v>
      </c>
      <c r="AY1785" s="246">
        <f>IFERROR(VLOOKUP(I1785,VOL_REC[],2,FALSE),0)</f>
        <v>1812240</v>
      </c>
      <c r="AZ1785" s="246">
        <f>IFERROR(VLOOKUP(J1785,VOL_REC[],2,FALSE),0)</f>
        <v>240696.79238099116</v>
      </c>
      <c r="BA1785" s="246">
        <f>IFERROR(VLOOKUP(K1785,VOL_REC[],2,FALSE),0)</f>
        <v>663244.80000000016</v>
      </c>
      <c r="BB1785" s="246">
        <f>IFERROR(VLOOKUP(L1785,VOL_REC[],2,FALSE),0)</f>
        <v>105072</v>
      </c>
      <c r="BC1785" s="246">
        <f>IFERROR(VLOOKUP(M1785,VOL_REC[],2,FALSE),0)</f>
        <v>740113.98115702497</v>
      </c>
      <c r="BD1785" s="246">
        <f>IFERROR(VLOOKUP(N1785,VOL_REC[],2,FALSE),0)</f>
        <v>0</v>
      </c>
      <c r="BE1785" s="246">
        <f>IFERROR(VLOOKUP(O1785,VOL_REC[],2,FALSE),0)</f>
        <v>0</v>
      </c>
      <c r="BF1785" s="246">
        <f>IFERROR(VLOOKUP(P1785,VOL_REC[],2,FALSE),0)</f>
        <v>0</v>
      </c>
      <c r="BG1785" s="246">
        <f>IFERROR(VLOOKUP(Q1785,VOL_REC[],2,FALSE),0)</f>
        <v>0</v>
      </c>
      <c r="BH1785" s="1710">
        <f t="shared" si="108"/>
        <v>28027684994.139812</v>
      </c>
      <c r="BI1785" s="1710">
        <f t="shared" si="109"/>
        <v>29461726808.455124</v>
      </c>
      <c r="BJ1785" s="1711">
        <f t="shared" si="110"/>
        <v>33952864.171237774</v>
      </c>
      <c r="BK1785" s="1711">
        <f t="shared" si="111"/>
        <v>0.95132526264876771</v>
      </c>
    </row>
    <row r="1786" spans="3:67" x14ac:dyDescent="0.25">
      <c r="C1786" s="246" t="s">
        <v>3136</v>
      </c>
      <c r="D1786" s="246">
        <v>1</v>
      </c>
      <c r="E1786" s="246">
        <v>2</v>
      </c>
      <c r="F1786" s="246">
        <v>3</v>
      </c>
      <c r="G1786" s="246">
        <v>6</v>
      </c>
      <c r="H1786" s="246">
        <v>9</v>
      </c>
      <c r="I1786" s="246">
        <v>10</v>
      </c>
      <c r="J1786" s="246">
        <v>12</v>
      </c>
      <c r="K1786" s="246">
        <v>13</v>
      </c>
      <c r="L1786" s="246">
        <v>16</v>
      </c>
      <c r="M1786" s="246">
        <v>17</v>
      </c>
      <c r="N1786" s="246"/>
      <c r="O1786" s="246"/>
      <c r="P1786" s="246"/>
      <c r="Q1786" s="246"/>
      <c r="R1786" s="246">
        <f>IFERROR(VLOOKUP(D1786,PROGRAMAS[],2,FALSE),0)</f>
        <v>97037803.679377079</v>
      </c>
      <c r="S1786" s="246">
        <f>IFERROR(VLOOKUP(E1786,PROGRAMAS[],2,FALSE),0)</f>
        <v>640501509.6821388</v>
      </c>
      <c r="T1786" s="246">
        <f>IFERROR(VLOOKUP(F1786,PROGRAMAS[],2,FALSE),0)</f>
        <v>3062327798.1525245</v>
      </c>
      <c r="U1786" s="246">
        <f>IFERROR(VLOOKUP(G1786,PROGRAMAS[],2,FALSE),0)</f>
        <v>6907648435.8447599</v>
      </c>
      <c r="V1786" s="246">
        <f>IFERROR(VLOOKUP(H1786,PROGRAMAS[],2,FALSE),0)</f>
        <v>6128579952.1618185</v>
      </c>
      <c r="W1786" s="246">
        <f>IFERROR(VLOOKUP(I1786,PROGRAMAS[],2,FALSE),0)</f>
        <v>4635315027.8751087</v>
      </c>
      <c r="X1786" s="246">
        <f>IFERROR(VLOOKUP(J1786,PROGRAMAS[],2,FALSE),0)</f>
        <v>764796700.79905891</v>
      </c>
      <c r="Y1786" s="246">
        <f>IFERROR(VLOOKUP(K1786,PROGRAMAS[],2,FALSE),0)</f>
        <v>3776538594.4604583</v>
      </c>
      <c r="Z1786" s="246">
        <f>IFERROR(VLOOKUP(L1786,PROGRAMAS[],2,FALSE),0)</f>
        <v>7068496961.0436354</v>
      </c>
      <c r="AA1786" s="246">
        <f>IFERROR(VLOOKUP(M1786,PROGRAMAS[],2,FALSE),0)</f>
        <v>1892779498.5211046</v>
      </c>
      <c r="AB1786" s="246">
        <f>IFERROR(VLOOKUP(N1786,PROGRAMAS[],2,FALSE),0)</f>
        <v>0</v>
      </c>
      <c r="AC1786" s="246">
        <f>IFERROR(VLOOKUP(O1786,PROGRAMAS[],2,FALSE),0)</f>
        <v>0</v>
      </c>
      <c r="AD1786" s="246">
        <f>IFERROR(VLOOKUP(P1786,PROGRAMAS[],2,FALSE),0)</f>
        <v>0</v>
      </c>
      <c r="AE1786" s="246">
        <f>IFERROR(VLOOKUP(Q1786,PROGRAMAS[],2,FALSE),0)</f>
        <v>0</v>
      </c>
      <c r="AF1786" s="246">
        <f>IFERROR(VLOOKUP(D1786,PROGRAMAS[],3,FALSE),0)</f>
        <v>841888629.31080008</v>
      </c>
      <c r="AG1786" s="246">
        <f>IFERROR(VLOOKUP(E1786,PROGRAMAS[],3,FALSE),0)</f>
        <v>3848980803.1642323</v>
      </c>
      <c r="AH1786" s="246">
        <f>IFERROR(VLOOKUP(F1786,PROGRAMAS[],3,FALSE),0)</f>
        <v>3394901471.387517</v>
      </c>
      <c r="AI1786" s="246">
        <f>IFERROR(VLOOKUP(G1786,PROGRAMAS[],3,FALSE),0)</f>
        <v>6129902208.7912121</v>
      </c>
      <c r="AJ1786" s="246">
        <f>IFERROR(VLOOKUP(H1786,PROGRAMAS[],3,FALSE),0)</f>
        <v>7011279577.519702</v>
      </c>
      <c r="AK1786" s="246">
        <f>IFERROR(VLOOKUP(I1786,PROGRAMAS[],3,FALSE),0)</f>
        <v>4099471734.9978786</v>
      </c>
      <c r="AL1786" s="246">
        <f>IFERROR(VLOOKUP(J1786,PROGRAMAS[],3,FALSE),0)</f>
        <v>675517840.109828</v>
      </c>
      <c r="AM1786" s="246">
        <f>IFERROR(VLOOKUP(K1786,PROGRAMAS[],3,FALSE),0)</f>
        <v>2392571243.5584412</v>
      </c>
      <c r="AN1786" s="246">
        <f>IFERROR(VLOOKUP(L1786,PROGRAMAS[],3,FALSE),0)</f>
        <v>2406564599.0319901</v>
      </c>
      <c r="AO1786" s="246">
        <f>IFERROR(VLOOKUP(M1786,PROGRAMAS[],3,FALSE),0)</f>
        <v>948595847.09039903</v>
      </c>
      <c r="AP1786" s="246">
        <f>IFERROR(VLOOKUP(N1786,PROGRAMAS[],3,FALSE),0)</f>
        <v>0</v>
      </c>
      <c r="AQ1786" s="246">
        <f>IFERROR(VLOOKUP(O1786,PROGRAMAS[],3,FALSE),0)</f>
        <v>0</v>
      </c>
      <c r="AR1786" s="246">
        <f>IFERROR(VLOOKUP(P1786,PROGRAMAS[],3,FALSE),0)</f>
        <v>0</v>
      </c>
      <c r="AS1786" s="246">
        <f>IFERROR(VLOOKUP(Q1786,PROGRAMAS[],3,FALSE),0)</f>
        <v>0</v>
      </c>
      <c r="AT1786" s="246">
        <f>IFERROR(VLOOKUP(D1786,VOL_REC[],2,FALSE),0)</f>
        <v>0</v>
      </c>
      <c r="AU1786" s="246">
        <f>IFERROR(VLOOKUP(E1786,VOL_REC[],2,FALSE),0)</f>
        <v>0</v>
      </c>
      <c r="AV1786" s="246">
        <f>IFERROR(VLOOKUP(F1786,VOL_REC[],2,FALSE),0)</f>
        <v>11089674.200000001</v>
      </c>
      <c r="AW1786" s="246">
        <f>IFERROR(VLOOKUP(G1786,VOL_REC[],2,FALSE),0)</f>
        <v>15540036.397699751</v>
      </c>
      <c r="AX1786" s="246">
        <f>IFERROR(VLOOKUP(H1786,VOL_REC[],2,FALSE),0)</f>
        <v>3761786</v>
      </c>
      <c r="AY1786" s="246">
        <f>IFERROR(VLOOKUP(I1786,VOL_REC[],2,FALSE),0)</f>
        <v>1812240</v>
      </c>
      <c r="AZ1786" s="246">
        <f>IFERROR(VLOOKUP(J1786,VOL_REC[],2,FALSE),0)</f>
        <v>240696.79238099116</v>
      </c>
      <c r="BA1786" s="246">
        <f>IFERROR(VLOOKUP(K1786,VOL_REC[],2,FALSE),0)</f>
        <v>663244.80000000016</v>
      </c>
      <c r="BB1786" s="246">
        <f>IFERROR(VLOOKUP(L1786,VOL_REC[],2,FALSE),0)</f>
        <v>1072354.9981737854</v>
      </c>
      <c r="BC1786" s="246">
        <f>IFERROR(VLOOKUP(M1786,VOL_REC[],2,FALSE),0)</f>
        <v>740113.98115702497</v>
      </c>
      <c r="BD1786" s="246">
        <f>IFERROR(VLOOKUP(N1786,VOL_REC[],2,FALSE),0)</f>
        <v>0</v>
      </c>
      <c r="BE1786" s="246">
        <f>IFERROR(VLOOKUP(O1786,VOL_REC[],2,FALSE),0)</f>
        <v>0</v>
      </c>
      <c r="BF1786" s="246">
        <f>IFERROR(VLOOKUP(P1786,VOL_REC[],2,FALSE),0)</f>
        <v>0</v>
      </c>
      <c r="BG1786" s="246">
        <f>IFERROR(VLOOKUP(Q1786,VOL_REC[],2,FALSE),0)</f>
        <v>0</v>
      </c>
      <c r="BH1786" s="1710">
        <f t="shared" si="108"/>
        <v>34974022282.219986</v>
      </c>
      <c r="BI1786" s="1710">
        <f t="shared" si="109"/>
        <v>31749673954.962006</v>
      </c>
      <c r="BJ1786" s="1711">
        <f t="shared" si="110"/>
        <v>34920147.169411562</v>
      </c>
      <c r="BK1786" s="1711">
        <f t="shared" si="111"/>
        <v>1.1015553209091793</v>
      </c>
      <c r="BL1786">
        <f>BJ1786</f>
        <v>34920147.169411562</v>
      </c>
      <c r="BO1786">
        <f>BL1786</f>
        <v>34920147.169411562</v>
      </c>
    </row>
    <row r="1787" spans="3:67" x14ac:dyDescent="0.25">
      <c r="C1787" s="246" t="s">
        <v>3137</v>
      </c>
      <c r="D1787" s="246">
        <v>1</v>
      </c>
      <c r="E1787" s="246">
        <v>2</v>
      </c>
      <c r="F1787" s="246">
        <v>3</v>
      </c>
      <c r="G1787" s="246">
        <v>6</v>
      </c>
      <c r="H1787" s="246">
        <v>9</v>
      </c>
      <c r="I1787" s="246">
        <v>10</v>
      </c>
      <c r="J1787" s="246">
        <v>12</v>
      </c>
      <c r="K1787" s="246">
        <v>14</v>
      </c>
      <c r="L1787" s="246">
        <v>15</v>
      </c>
      <c r="M1787" s="246">
        <v>16</v>
      </c>
      <c r="N1787" s="246"/>
      <c r="O1787" s="246"/>
      <c r="P1787" s="246"/>
      <c r="Q1787" s="246"/>
      <c r="R1787" s="246">
        <f>IFERROR(VLOOKUP(D1787,PROGRAMAS[],2,FALSE),0)</f>
        <v>97037803.679377079</v>
      </c>
      <c r="S1787" s="246">
        <f>IFERROR(VLOOKUP(E1787,PROGRAMAS[],2,FALSE),0)</f>
        <v>640501509.6821388</v>
      </c>
      <c r="T1787" s="246">
        <f>IFERROR(VLOOKUP(F1787,PROGRAMAS[],2,FALSE),0)</f>
        <v>3062327798.1525245</v>
      </c>
      <c r="U1787" s="246">
        <f>IFERROR(VLOOKUP(G1787,PROGRAMAS[],2,FALSE),0)</f>
        <v>6907648435.8447599</v>
      </c>
      <c r="V1787" s="246">
        <f>IFERROR(VLOOKUP(H1787,PROGRAMAS[],2,FALSE),0)</f>
        <v>6128579952.1618185</v>
      </c>
      <c r="W1787" s="246">
        <f>IFERROR(VLOOKUP(I1787,PROGRAMAS[],2,FALSE),0)</f>
        <v>4635315027.8751087</v>
      </c>
      <c r="X1787" s="246">
        <f>IFERROR(VLOOKUP(J1787,PROGRAMAS[],2,FALSE),0)</f>
        <v>764796700.79905891</v>
      </c>
      <c r="Y1787" s="246">
        <f>IFERROR(VLOOKUP(K1787,PROGRAMAS[],2,FALSE),0)</f>
        <v>54223862.645839565</v>
      </c>
      <c r="Z1787" s="246">
        <f>IFERROR(VLOOKUP(L1787,PROGRAMAS[],2,FALSE),0)</f>
        <v>122159672.96346797</v>
      </c>
      <c r="AA1787" s="246">
        <f>IFERROR(VLOOKUP(M1787,PROGRAMAS[],2,FALSE),0)</f>
        <v>7068496961.0436354</v>
      </c>
      <c r="AB1787" s="246">
        <f>IFERROR(VLOOKUP(N1787,PROGRAMAS[],2,FALSE),0)</f>
        <v>0</v>
      </c>
      <c r="AC1787" s="246">
        <f>IFERROR(VLOOKUP(O1787,PROGRAMAS[],2,FALSE),0)</f>
        <v>0</v>
      </c>
      <c r="AD1787" s="246">
        <f>IFERROR(VLOOKUP(P1787,PROGRAMAS[],2,FALSE),0)</f>
        <v>0</v>
      </c>
      <c r="AE1787" s="246">
        <f>IFERROR(VLOOKUP(Q1787,PROGRAMAS[],2,FALSE),0)</f>
        <v>0</v>
      </c>
      <c r="AF1787" s="246">
        <f>IFERROR(VLOOKUP(D1787,PROGRAMAS[],3,FALSE),0)</f>
        <v>841888629.31080008</v>
      </c>
      <c r="AG1787" s="246">
        <f>IFERROR(VLOOKUP(E1787,PROGRAMAS[],3,FALSE),0)</f>
        <v>3848980803.1642323</v>
      </c>
      <c r="AH1787" s="246">
        <f>IFERROR(VLOOKUP(F1787,PROGRAMAS[],3,FALSE),0)</f>
        <v>3394901471.387517</v>
      </c>
      <c r="AI1787" s="246">
        <f>IFERROR(VLOOKUP(G1787,PROGRAMAS[],3,FALSE),0)</f>
        <v>6129902208.7912121</v>
      </c>
      <c r="AJ1787" s="246">
        <f>IFERROR(VLOOKUP(H1787,PROGRAMAS[],3,FALSE),0)</f>
        <v>7011279577.519702</v>
      </c>
      <c r="AK1787" s="246">
        <f>IFERROR(VLOOKUP(I1787,PROGRAMAS[],3,FALSE),0)</f>
        <v>4099471734.9978786</v>
      </c>
      <c r="AL1787" s="246">
        <f>IFERROR(VLOOKUP(J1787,PROGRAMAS[],3,FALSE),0)</f>
        <v>675517840.109828</v>
      </c>
      <c r="AM1787" s="246">
        <f>IFERROR(VLOOKUP(K1787,PROGRAMAS[],3,FALSE),0)</f>
        <v>31865326.38096505</v>
      </c>
      <c r="AN1787" s="246">
        <f>IFERROR(VLOOKUP(L1787,PROGRAMAS[],3,FALSE),0)</f>
        <v>118617452.52510804</v>
      </c>
      <c r="AO1787" s="246">
        <f>IFERROR(VLOOKUP(M1787,PROGRAMAS[],3,FALSE),0)</f>
        <v>2406564599.0319901</v>
      </c>
      <c r="AP1787" s="246">
        <f>IFERROR(VLOOKUP(N1787,PROGRAMAS[],3,FALSE),0)</f>
        <v>0</v>
      </c>
      <c r="AQ1787" s="246">
        <f>IFERROR(VLOOKUP(O1787,PROGRAMAS[],3,FALSE),0)</f>
        <v>0</v>
      </c>
      <c r="AR1787" s="246">
        <f>IFERROR(VLOOKUP(P1787,PROGRAMAS[],3,FALSE),0)</f>
        <v>0</v>
      </c>
      <c r="AS1787" s="246">
        <f>IFERROR(VLOOKUP(Q1787,PROGRAMAS[],3,FALSE),0)</f>
        <v>0</v>
      </c>
      <c r="AT1787" s="246">
        <f>IFERROR(VLOOKUP(D1787,VOL_REC[],2,FALSE),0)</f>
        <v>0</v>
      </c>
      <c r="AU1787" s="246">
        <f>IFERROR(VLOOKUP(E1787,VOL_REC[],2,FALSE),0)</f>
        <v>0</v>
      </c>
      <c r="AV1787" s="246">
        <f>IFERROR(VLOOKUP(F1787,VOL_REC[],2,FALSE),0)</f>
        <v>11089674.200000001</v>
      </c>
      <c r="AW1787" s="246">
        <f>IFERROR(VLOOKUP(G1787,VOL_REC[],2,FALSE),0)</f>
        <v>15540036.397699751</v>
      </c>
      <c r="AX1787" s="246">
        <f>IFERROR(VLOOKUP(H1787,VOL_REC[],2,FALSE),0)</f>
        <v>3761786</v>
      </c>
      <c r="AY1787" s="246">
        <f>IFERROR(VLOOKUP(I1787,VOL_REC[],2,FALSE),0)</f>
        <v>1812240</v>
      </c>
      <c r="AZ1787" s="246">
        <f>IFERROR(VLOOKUP(J1787,VOL_REC[],2,FALSE),0)</f>
        <v>240696.79238099116</v>
      </c>
      <c r="BA1787" s="246">
        <f>IFERROR(VLOOKUP(K1787,VOL_REC[],2,FALSE),0)</f>
        <v>17074.045034105649</v>
      </c>
      <c r="BB1787" s="246">
        <f>IFERROR(VLOOKUP(L1787,VOL_REC[],2,FALSE),0)</f>
        <v>105072</v>
      </c>
      <c r="BC1787" s="246">
        <f>IFERROR(VLOOKUP(M1787,VOL_REC[],2,FALSE),0)</f>
        <v>1072354.9981737854</v>
      </c>
      <c r="BD1787" s="246">
        <f>IFERROR(VLOOKUP(N1787,VOL_REC[],2,FALSE),0)</f>
        <v>0</v>
      </c>
      <c r="BE1787" s="246">
        <f>IFERROR(VLOOKUP(O1787,VOL_REC[],2,FALSE),0)</f>
        <v>0</v>
      </c>
      <c r="BF1787" s="246">
        <f>IFERROR(VLOOKUP(P1787,VOL_REC[],2,FALSE),0)</f>
        <v>0</v>
      </c>
      <c r="BG1787" s="246">
        <f>IFERROR(VLOOKUP(Q1787,VOL_REC[],2,FALSE),0)</f>
        <v>0</v>
      </c>
      <c r="BH1787" s="1710">
        <f t="shared" si="108"/>
        <v>29481087724.847729</v>
      </c>
      <c r="BI1787" s="1710">
        <f t="shared" si="109"/>
        <v>28558989643.219238</v>
      </c>
      <c r="BJ1787" s="1711">
        <f t="shared" si="110"/>
        <v>33638934.433288641</v>
      </c>
      <c r="BK1787" s="1711">
        <f t="shared" si="111"/>
        <v>1.032287489618787</v>
      </c>
      <c r="BL1787">
        <f>BJ1787</f>
        <v>33638934.433288641</v>
      </c>
      <c r="BO1787">
        <f>BL1787</f>
        <v>33638934.433288641</v>
      </c>
    </row>
    <row r="1788" spans="3:67" x14ac:dyDescent="0.25">
      <c r="C1788" s="246" t="s">
        <v>3138</v>
      </c>
      <c r="D1788" s="246">
        <v>1</v>
      </c>
      <c r="E1788" s="246">
        <v>2</v>
      </c>
      <c r="F1788" s="246">
        <v>3</v>
      </c>
      <c r="G1788" s="246">
        <v>6</v>
      </c>
      <c r="H1788" s="246">
        <v>9</v>
      </c>
      <c r="I1788" s="246">
        <v>10</v>
      </c>
      <c r="J1788" s="246">
        <v>12</v>
      </c>
      <c r="K1788" s="246">
        <v>14</v>
      </c>
      <c r="L1788" s="246">
        <v>15</v>
      </c>
      <c r="M1788" s="246">
        <v>17</v>
      </c>
      <c r="N1788" s="246"/>
      <c r="O1788" s="246"/>
      <c r="P1788" s="246"/>
      <c r="Q1788" s="246"/>
      <c r="R1788" s="246">
        <f>IFERROR(VLOOKUP(D1788,PROGRAMAS[],2,FALSE),0)</f>
        <v>97037803.679377079</v>
      </c>
      <c r="S1788" s="246">
        <f>IFERROR(VLOOKUP(E1788,PROGRAMAS[],2,FALSE),0)</f>
        <v>640501509.6821388</v>
      </c>
      <c r="T1788" s="246">
        <f>IFERROR(VLOOKUP(F1788,PROGRAMAS[],2,FALSE),0)</f>
        <v>3062327798.1525245</v>
      </c>
      <c r="U1788" s="246">
        <f>IFERROR(VLOOKUP(G1788,PROGRAMAS[],2,FALSE),0)</f>
        <v>6907648435.8447599</v>
      </c>
      <c r="V1788" s="246">
        <f>IFERROR(VLOOKUP(H1788,PROGRAMAS[],2,FALSE),0)</f>
        <v>6128579952.1618185</v>
      </c>
      <c r="W1788" s="246">
        <f>IFERROR(VLOOKUP(I1788,PROGRAMAS[],2,FALSE),0)</f>
        <v>4635315027.8751087</v>
      </c>
      <c r="X1788" s="246">
        <f>IFERROR(VLOOKUP(J1788,PROGRAMAS[],2,FALSE),0)</f>
        <v>764796700.79905891</v>
      </c>
      <c r="Y1788" s="246">
        <f>IFERROR(VLOOKUP(K1788,PROGRAMAS[],2,FALSE),0)</f>
        <v>54223862.645839565</v>
      </c>
      <c r="Z1788" s="246">
        <f>IFERROR(VLOOKUP(L1788,PROGRAMAS[],2,FALSE),0)</f>
        <v>122159672.96346797</v>
      </c>
      <c r="AA1788" s="246">
        <f>IFERROR(VLOOKUP(M1788,PROGRAMAS[],2,FALSE),0)</f>
        <v>1892779498.5211046</v>
      </c>
      <c r="AB1788" s="246">
        <f>IFERROR(VLOOKUP(N1788,PROGRAMAS[],2,FALSE),0)</f>
        <v>0</v>
      </c>
      <c r="AC1788" s="246">
        <f>IFERROR(VLOOKUP(O1788,PROGRAMAS[],2,FALSE),0)</f>
        <v>0</v>
      </c>
      <c r="AD1788" s="246">
        <f>IFERROR(VLOOKUP(P1788,PROGRAMAS[],2,FALSE),0)</f>
        <v>0</v>
      </c>
      <c r="AE1788" s="246">
        <f>IFERROR(VLOOKUP(Q1788,PROGRAMAS[],2,FALSE),0)</f>
        <v>0</v>
      </c>
      <c r="AF1788" s="246">
        <f>IFERROR(VLOOKUP(D1788,PROGRAMAS[],3,FALSE),0)</f>
        <v>841888629.31080008</v>
      </c>
      <c r="AG1788" s="246">
        <f>IFERROR(VLOOKUP(E1788,PROGRAMAS[],3,FALSE),0)</f>
        <v>3848980803.1642323</v>
      </c>
      <c r="AH1788" s="246">
        <f>IFERROR(VLOOKUP(F1788,PROGRAMAS[],3,FALSE),0)</f>
        <v>3394901471.387517</v>
      </c>
      <c r="AI1788" s="246">
        <f>IFERROR(VLOOKUP(G1788,PROGRAMAS[],3,FALSE),0)</f>
        <v>6129902208.7912121</v>
      </c>
      <c r="AJ1788" s="246">
        <f>IFERROR(VLOOKUP(H1788,PROGRAMAS[],3,FALSE),0)</f>
        <v>7011279577.519702</v>
      </c>
      <c r="AK1788" s="246">
        <f>IFERROR(VLOOKUP(I1788,PROGRAMAS[],3,FALSE),0)</f>
        <v>4099471734.9978786</v>
      </c>
      <c r="AL1788" s="246">
        <f>IFERROR(VLOOKUP(J1788,PROGRAMAS[],3,FALSE),0)</f>
        <v>675517840.109828</v>
      </c>
      <c r="AM1788" s="246">
        <f>IFERROR(VLOOKUP(K1788,PROGRAMAS[],3,FALSE),0)</f>
        <v>31865326.38096505</v>
      </c>
      <c r="AN1788" s="246">
        <f>IFERROR(VLOOKUP(L1788,PROGRAMAS[],3,FALSE),0)</f>
        <v>118617452.52510804</v>
      </c>
      <c r="AO1788" s="246">
        <f>IFERROR(VLOOKUP(M1788,PROGRAMAS[],3,FALSE),0)</f>
        <v>948595847.09039903</v>
      </c>
      <c r="AP1788" s="246">
        <f>IFERROR(VLOOKUP(N1788,PROGRAMAS[],3,FALSE),0)</f>
        <v>0</v>
      </c>
      <c r="AQ1788" s="246">
        <f>IFERROR(VLOOKUP(O1788,PROGRAMAS[],3,FALSE),0)</f>
        <v>0</v>
      </c>
      <c r="AR1788" s="246">
        <f>IFERROR(VLOOKUP(P1788,PROGRAMAS[],3,FALSE),0)</f>
        <v>0</v>
      </c>
      <c r="AS1788" s="246">
        <f>IFERROR(VLOOKUP(Q1788,PROGRAMAS[],3,FALSE),0)</f>
        <v>0</v>
      </c>
      <c r="AT1788" s="246">
        <f>IFERROR(VLOOKUP(D1788,VOL_REC[],2,FALSE),0)</f>
        <v>0</v>
      </c>
      <c r="AU1788" s="246">
        <f>IFERROR(VLOOKUP(E1788,VOL_REC[],2,FALSE),0)</f>
        <v>0</v>
      </c>
      <c r="AV1788" s="246">
        <f>IFERROR(VLOOKUP(F1788,VOL_REC[],2,FALSE),0)</f>
        <v>11089674.200000001</v>
      </c>
      <c r="AW1788" s="246">
        <f>IFERROR(VLOOKUP(G1788,VOL_REC[],2,FALSE),0)</f>
        <v>15540036.397699751</v>
      </c>
      <c r="AX1788" s="246">
        <f>IFERROR(VLOOKUP(H1788,VOL_REC[],2,FALSE),0)</f>
        <v>3761786</v>
      </c>
      <c r="AY1788" s="246">
        <f>IFERROR(VLOOKUP(I1788,VOL_REC[],2,FALSE),0)</f>
        <v>1812240</v>
      </c>
      <c r="AZ1788" s="246">
        <f>IFERROR(VLOOKUP(J1788,VOL_REC[],2,FALSE),0)</f>
        <v>240696.79238099116</v>
      </c>
      <c r="BA1788" s="246">
        <f>IFERROR(VLOOKUP(K1788,VOL_REC[],2,FALSE),0)</f>
        <v>17074.045034105649</v>
      </c>
      <c r="BB1788" s="246">
        <f>IFERROR(VLOOKUP(L1788,VOL_REC[],2,FALSE),0)</f>
        <v>105072</v>
      </c>
      <c r="BC1788" s="246">
        <f>IFERROR(VLOOKUP(M1788,VOL_REC[],2,FALSE),0)</f>
        <v>740113.98115702497</v>
      </c>
      <c r="BD1788" s="246">
        <f>IFERROR(VLOOKUP(N1788,VOL_REC[],2,FALSE),0)</f>
        <v>0</v>
      </c>
      <c r="BE1788" s="246">
        <f>IFERROR(VLOOKUP(O1788,VOL_REC[],2,FALSE),0)</f>
        <v>0</v>
      </c>
      <c r="BF1788" s="246">
        <f>IFERROR(VLOOKUP(P1788,VOL_REC[],2,FALSE),0)</f>
        <v>0</v>
      </c>
      <c r="BG1788" s="246">
        <f>IFERROR(VLOOKUP(Q1788,VOL_REC[],2,FALSE),0)</f>
        <v>0</v>
      </c>
      <c r="BH1788" s="1710">
        <f t="shared" si="108"/>
        <v>24305370262.325195</v>
      </c>
      <c r="BI1788" s="1710">
        <f t="shared" si="109"/>
        <v>27101020891.277649</v>
      </c>
      <c r="BJ1788" s="1711">
        <f t="shared" si="110"/>
        <v>33306693.416271877</v>
      </c>
      <c r="BK1788" s="1711">
        <f t="shared" si="111"/>
        <v>0.89684334622788242</v>
      </c>
    </row>
    <row r="1789" spans="3:67" x14ac:dyDescent="0.25">
      <c r="C1789" s="246" t="s">
        <v>3139</v>
      </c>
      <c r="D1789" s="246">
        <v>1</v>
      </c>
      <c r="E1789" s="246">
        <v>2</v>
      </c>
      <c r="F1789" s="246">
        <v>3</v>
      </c>
      <c r="G1789" s="246">
        <v>6</v>
      </c>
      <c r="H1789" s="246">
        <v>9</v>
      </c>
      <c r="I1789" s="246">
        <v>10</v>
      </c>
      <c r="J1789" s="246">
        <v>12</v>
      </c>
      <c r="K1789" s="246">
        <v>14</v>
      </c>
      <c r="L1789" s="246">
        <v>16</v>
      </c>
      <c r="M1789" s="246">
        <v>17</v>
      </c>
      <c r="N1789" s="246"/>
      <c r="O1789" s="246"/>
      <c r="P1789" s="246"/>
      <c r="Q1789" s="246"/>
      <c r="R1789" s="246">
        <f>IFERROR(VLOOKUP(D1789,PROGRAMAS[],2,FALSE),0)</f>
        <v>97037803.679377079</v>
      </c>
      <c r="S1789" s="246">
        <f>IFERROR(VLOOKUP(E1789,PROGRAMAS[],2,FALSE),0)</f>
        <v>640501509.6821388</v>
      </c>
      <c r="T1789" s="246">
        <f>IFERROR(VLOOKUP(F1789,PROGRAMAS[],2,FALSE),0)</f>
        <v>3062327798.1525245</v>
      </c>
      <c r="U1789" s="246">
        <f>IFERROR(VLOOKUP(G1789,PROGRAMAS[],2,FALSE),0)</f>
        <v>6907648435.8447599</v>
      </c>
      <c r="V1789" s="246">
        <f>IFERROR(VLOOKUP(H1789,PROGRAMAS[],2,FALSE),0)</f>
        <v>6128579952.1618185</v>
      </c>
      <c r="W1789" s="246">
        <f>IFERROR(VLOOKUP(I1789,PROGRAMAS[],2,FALSE),0)</f>
        <v>4635315027.8751087</v>
      </c>
      <c r="X1789" s="246">
        <f>IFERROR(VLOOKUP(J1789,PROGRAMAS[],2,FALSE),0)</f>
        <v>764796700.79905891</v>
      </c>
      <c r="Y1789" s="246">
        <f>IFERROR(VLOOKUP(K1789,PROGRAMAS[],2,FALSE),0)</f>
        <v>54223862.645839565</v>
      </c>
      <c r="Z1789" s="246">
        <f>IFERROR(VLOOKUP(L1789,PROGRAMAS[],2,FALSE),0)</f>
        <v>7068496961.0436354</v>
      </c>
      <c r="AA1789" s="246">
        <f>IFERROR(VLOOKUP(M1789,PROGRAMAS[],2,FALSE),0)</f>
        <v>1892779498.5211046</v>
      </c>
      <c r="AB1789" s="246">
        <f>IFERROR(VLOOKUP(N1789,PROGRAMAS[],2,FALSE),0)</f>
        <v>0</v>
      </c>
      <c r="AC1789" s="246">
        <f>IFERROR(VLOOKUP(O1789,PROGRAMAS[],2,FALSE),0)</f>
        <v>0</v>
      </c>
      <c r="AD1789" s="246">
        <f>IFERROR(VLOOKUP(P1789,PROGRAMAS[],2,FALSE),0)</f>
        <v>0</v>
      </c>
      <c r="AE1789" s="246">
        <f>IFERROR(VLOOKUP(Q1789,PROGRAMAS[],2,FALSE),0)</f>
        <v>0</v>
      </c>
      <c r="AF1789" s="246">
        <f>IFERROR(VLOOKUP(D1789,PROGRAMAS[],3,FALSE),0)</f>
        <v>841888629.31080008</v>
      </c>
      <c r="AG1789" s="246">
        <f>IFERROR(VLOOKUP(E1789,PROGRAMAS[],3,FALSE),0)</f>
        <v>3848980803.1642323</v>
      </c>
      <c r="AH1789" s="246">
        <f>IFERROR(VLOOKUP(F1789,PROGRAMAS[],3,FALSE),0)</f>
        <v>3394901471.387517</v>
      </c>
      <c r="AI1789" s="246">
        <f>IFERROR(VLOOKUP(G1789,PROGRAMAS[],3,FALSE),0)</f>
        <v>6129902208.7912121</v>
      </c>
      <c r="AJ1789" s="246">
        <f>IFERROR(VLOOKUP(H1789,PROGRAMAS[],3,FALSE),0)</f>
        <v>7011279577.519702</v>
      </c>
      <c r="AK1789" s="246">
        <f>IFERROR(VLOOKUP(I1789,PROGRAMAS[],3,FALSE),0)</f>
        <v>4099471734.9978786</v>
      </c>
      <c r="AL1789" s="246">
        <f>IFERROR(VLOOKUP(J1789,PROGRAMAS[],3,FALSE),0)</f>
        <v>675517840.109828</v>
      </c>
      <c r="AM1789" s="246">
        <f>IFERROR(VLOOKUP(K1789,PROGRAMAS[],3,FALSE),0)</f>
        <v>31865326.38096505</v>
      </c>
      <c r="AN1789" s="246">
        <f>IFERROR(VLOOKUP(L1789,PROGRAMAS[],3,FALSE),0)</f>
        <v>2406564599.0319901</v>
      </c>
      <c r="AO1789" s="246">
        <f>IFERROR(VLOOKUP(M1789,PROGRAMAS[],3,FALSE),0)</f>
        <v>948595847.09039903</v>
      </c>
      <c r="AP1789" s="246">
        <f>IFERROR(VLOOKUP(N1789,PROGRAMAS[],3,FALSE),0)</f>
        <v>0</v>
      </c>
      <c r="AQ1789" s="246">
        <f>IFERROR(VLOOKUP(O1789,PROGRAMAS[],3,FALSE),0)</f>
        <v>0</v>
      </c>
      <c r="AR1789" s="246">
        <f>IFERROR(VLOOKUP(P1789,PROGRAMAS[],3,FALSE),0)</f>
        <v>0</v>
      </c>
      <c r="AS1789" s="246">
        <f>IFERROR(VLOOKUP(Q1789,PROGRAMAS[],3,FALSE),0)</f>
        <v>0</v>
      </c>
      <c r="AT1789" s="246">
        <f>IFERROR(VLOOKUP(D1789,VOL_REC[],2,FALSE),0)</f>
        <v>0</v>
      </c>
      <c r="AU1789" s="246">
        <f>IFERROR(VLOOKUP(E1789,VOL_REC[],2,FALSE),0)</f>
        <v>0</v>
      </c>
      <c r="AV1789" s="246">
        <f>IFERROR(VLOOKUP(F1789,VOL_REC[],2,FALSE),0)</f>
        <v>11089674.200000001</v>
      </c>
      <c r="AW1789" s="246">
        <f>IFERROR(VLOOKUP(G1789,VOL_REC[],2,FALSE),0)</f>
        <v>15540036.397699751</v>
      </c>
      <c r="AX1789" s="246">
        <f>IFERROR(VLOOKUP(H1789,VOL_REC[],2,FALSE),0)</f>
        <v>3761786</v>
      </c>
      <c r="AY1789" s="246">
        <f>IFERROR(VLOOKUP(I1789,VOL_REC[],2,FALSE),0)</f>
        <v>1812240</v>
      </c>
      <c r="AZ1789" s="246">
        <f>IFERROR(VLOOKUP(J1789,VOL_REC[],2,FALSE),0)</f>
        <v>240696.79238099116</v>
      </c>
      <c r="BA1789" s="246">
        <f>IFERROR(VLOOKUP(K1789,VOL_REC[],2,FALSE),0)</f>
        <v>17074.045034105649</v>
      </c>
      <c r="BB1789" s="246">
        <f>IFERROR(VLOOKUP(L1789,VOL_REC[],2,FALSE),0)</f>
        <v>1072354.9981737854</v>
      </c>
      <c r="BC1789" s="246">
        <f>IFERROR(VLOOKUP(M1789,VOL_REC[],2,FALSE),0)</f>
        <v>740113.98115702497</v>
      </c>
      <c r="BD1789" s="246">
        <f>IFERROR(VLOOKUP(N1789,VOL_REC[],2,FALSE),0)</f>
        <v>0</v>
      </c>
      <c r="BE1789" s="246">
        <f>IFERROR(VLOOKUP(O1789,VOL_REC[],2,FALSE),0)</f>
        <v>0</v>
      </c>
      <c r="BF1789" s="246">
        <f>IFERROR(VLOOKUP(P1789,VOL_REC[],2,FALSE),0)</f>
        <v>0</v>
      </c>
      <c r="BG1789" s="246">
        <f>IFERROR(VLOOKUP(Q1789,VOL_REC[],2,FALSE),0)</f>
        <v>0</v>
      </c>
      <c r="BH1789" s="1710">
        <f t="shared" si="108"/>
        <v>31251707550.405365</v>
      </c>
      <c r="BI1789" s="1710">
        <f t="shared" si="109"/>
        <v>29388968037.784531</v>
      </c>
      <c r="BJ1789" s="1711">
        <f t="shared" si="110"/>
        <v>34273976.414445661</v>
      </c>
      <c r="BK1789" s="1711">
        <f t="shared" si="111"/>
        <v>1.0633822701847158</v>
      </c>
      <c r="BL1789">
        <f>BJ1789</f>
        <v>34273976.414445661</v>
      </c>
      <c r="BO1789">
        <f>BL1789</f>
        <v>34273976.414445661</v>
      </c>
    </row>
    <row r="1790" spans="3:67" x14ac:dyDescent="0.25">
      <c r="C1790" s="246" t="s">
        <v>3140</v>
      </c>
      <c r="D1790" s="246">
        <v>1</v>
      </c>
      <c r="E1790" s="246">
        <v>2</v>
      </c>
      <c r="F1790" s="246">
        <v>3</v>
      </c>
      <c r="G1790" s="246">
        <v>6</v>
      </c>
      <c r="H1790" s="246">
        <v>9</v>
      </c>
      <c r="I1790" s="246">
        <v>10</v>
      </c>
      <c r="J1790" s="246">
        <v>12</v>
      </c>
      <c r="K1790" s="246">
        <v>15</v>
      </c>
      <c r="L1790" s="246">
        <v>16</v>
      </c>
      <c r="M1790" s="246">
        <v>17</v>
      </c>
      <c r="N1790" s="246"/>
      <c r="O1790" s="246"/>
      <c r="P1790" s="246"/>
      <c r="Q1790" s="246"/>
      <c r="R1790" s="246">
        <f>IFERROR(VLOOKUP(D1790,PROGRAMAS[],2,FALSE),0)</f>
        <v>97037803.679377079</v>
      </c>
      <c r="S1790" s="246">
        <f>IFERROR(VLOOKUP(E1790,PROGRAMAS[],2,FALSE),0)</f>
        <v>640501509.6821388</v>
      </c>
      <c r="T1790" s="246">
        <f>IFERROR(VLOOKUP(F1790,PROGRAMAS[],2,FALSE),0)</f>
        <v>3062327798.1525245</v>
      </c>
      <c r="U1790" s="246">
        <f>IFERROR(VLOOKUP(G1790,PROGRAMAS[],2,FALSE),0)</f>
        <v>6907648435.8447599</v>
      </c>
      <c r="V1790" s="246">
        <f>IFERROR(VLOOKUP(H1790,PROGRAMAS[],2,FALSE),0)</f>
        <v>6128579952.1618185</v>
      </c>
      <c r="W1790" s="246">
        <f>IFERROR(VLOOKUP(I1790,PROGRAMAS[],2,FALSE),0)</f>
        <v>4635315027.8751087</v>
      </c>
      <c r="X1790" s="246">
        <f>IFERROR(VLOOKUP(J1790,PROGRAMAS[],2,FALSE),0)</f>
        <v>764796700.79905891</v>
      </c>
      <c r="Y1790" s="246">
        <f>IFERROR(VLOOKUP(K1790,PROGRAMAS[],2,FALSE),0)</f>
        <v>122159672.96346797</v>
      </c>
      <c r="Z1790" s="246">
        <f>IFERROR(VLOOKUP(L1790,PROGRAMAS[],2,FALSE),0)</f>
        <v>7068496961.0436354</v>
      </c>
      <c r="AA1790" s="246">
        <f>IFERROR(VLOOKUP(M1790,PROGRAMAS[],2,FALSE),0)</f>
        <v>1892779498.5211046</v>
      </c>
      <c r="AB1790" s="246">
        <f>IFERROR(VLOOKUP(N1790,PROGRAMAS[],2,FALSE),0)</f>
        <v>0</v>
      </c>
      <c r="AC1790" s="246">
        <f>IFERROR(VLOOKUP(O1790,PROGRAMAS[],2,FALSE),0)</f>
        <v>0</v>
      </c>
      <c r="AD1790" s="246">
        <f>IFERROR(VLOOKUP(P1790,PROGRAMAS[],2,FALSE),0)</f>
        <v>0</v>
      </c>
      <c r="AE1790" s="246">
        <f>IFERROR(VLOOKUP(Q1790,PROGRAMAS[],2,FALSE),0)</f>
        <v>0</v>
      </c>
      <c r="AF1790" s="246">
        <f>IFERROR(VLOOKUP(D1790,PROGRAMAS[],3,FALSE),0)</f>
        <v>841888629.31080008</v>
      </c>
      <c r="AG1790" s="246">
        <f>IFERROR(VLOOKUP(E1790,PROGRAMAS[],3,FALSE),0)</f>
        <v>3848980803.1642323</v>
      </c>
      <c r="AH1790" s="246">
        <f>IFERROR(VLOOKUP(F1790,PROGRAMAS[],3,FALSE),0)</f>
        <v>3394901471.387517</v>
      </c>
      <c r="AI1790" s="246">
        <f>IFERROR(VLOOKUP(G1790,PROGRAMAS[],3,FALSE),0)</f>
        <v>6129902208.7912121</v>
      </c>
      <c r="AJ1790" s="246">
        <f>IFERROR(VLOOKUP(H1790,PROGRAMAS[],3,FALSE),0)</f>
        <v>7011279577.519702</v>
      </c>
      <c r="AK1790" s="246">
        <f>IFERROR(VLOOKUP(I1790,PROGRAMAS[],3,FALSE),0)</f>
        <v>4099471734.9978786</v>
      </c>
      <c r="AL1790" s="246">
        <f>IFERROR(VLOOKUP(J1790,PROGRAMAS[],3,FALSE),0)</f>
        <v>675517840.109828</v>
      </c>
      <c r="AM1790" s="246">
        <f>IFERROR(VLOOKUP(K1790,PROGRAMAS[],3,FALSE),0)</f>
        <v>118617452.52510804</v>
      </c>
      <c r="AN1790" s="246">
        <f>IFERROR(VLOOKUP(L1790,PROGRAMAS[],3,FALSE),0)</f>
        <v>2406564599.0319901</v>
      </c>
      <c r="AO1790" s="246">
        <f>IFERROR(VLOOKUP(M1790,PROGRAMAS[],3,FALSE),0)</f>
        <v>948595847.09039903</v>
      </c>
      <c r="AP1790" s="246">
        <f>IFERROR(VLOOKUP(N1790,PROGRAMAS[],3,FALSE),0)</f>
        <v>0</v>
      </c>
      <c r="AQ1790" s="246">
        <f>IFERROR(VLOOKUP(O1790,PROGRAMAS[],3,FALSE),0)</f>
        <v>0</v>
      </c>
      <c r="AR1790" s="246">
        <f>IFERROR(VLOOKUP(P1790,PROGRAMAS[],3,FALSE),0)</f>
        <v>0</v>
      </c>
      <c r="AS1790" s="246">
        <f>IFERROR(VLOOKUP(Q1790,PROGRAMAS[],3,FALSE),0)</f>
        <v>0</v>
      </c>
      <c r="AT1790" s="246">
        <f>IFERROR(VLOOKUP(D1790,VOL_REC[],2,FALSE),0)</f>
        <v>0</v>
      </c>
      <c r="AU1790" s="246">
        <f>IFERROR(VLOOKUP(E1790,VOL_REC[],2,FALSE),0)</f>
        <v>0</v>
      </c>
      <c r="AV1790" s="246">
        <f>IFERROR(VLOOKUP(F1790,VOL_REC[],2,FALSE),0)</f>
        <v>11089674.200000001</v>
      </c>
      <c r="AW1790" s="246">
        <f>IFERROR(VLOOKUP(G1790,VOL_REC[],2,FALSE),0)</f>
        <v>15540036.397699751</v>
      </c>
      <c r="AX1790" s="246">
        <f>IFERROR(VLOOKUP(H1790,VOL_REC[],2,FALSE),0)</f>
        <v>3761786</v>
      </c>
      <c r="AY1790" s="246">
        <f>IFERROR(VLOOKUP(I1790,VOL_REC[],2,FALSE),0)</f>
        <v>1812240</v>
      </c>
      <c r="AZ1790" s="246">
        <f>IFERROR(VLOOKUP(J1790,VOL_REC[],2,FALSE),0)</f>
        <v>240696.79238099116</v>
      </c>
      <c r="BA1790" s="246">
        <f>IFERROR(VLOOKUP(K1790,VOL_REC[],2,FALSE),0)</f>
        <v>105072</v>
      </c>
      <c r="BB1790" s="246">
        <f>IFERROR(VLOOKUP(L1790,VOL_REC[],2,FALSE),0)</f>
        <v>1072354.9981737854</v>
      </c>
      <c r="BC1790" s="246">
        <f>IFERROR(VLOOKUP(M1790,VOL_REC[],2,FALSE),0)</f>
        <v>740113.98115702497</v>
      </c>
      <c r="BD1790" s="246">
        <f>IFERROR(VLOOKUP(N1790,VOL_REC[],2,FALSE),0)</f>
        <v>0</v>
      </c>
      <c r="BE1790" s="246">
        <f>IFERROR(VLOOKUP(O1790,VOL_REC[],2,FALSE),0)</f>
        <v>0</v>
      </c>
      <c r="BF1790" s="246">
        <f>IFERROR(VLOOKUP(P1790,VOL_REC[],2,FALSE),0)</f>
        <v>0</v>
      </c>
      <c r="BG1790" s="246">
        <f>IFERROR(VLOOKUP(Q1790,VOL_REC[],2,FALSE),0)</f>
        <v>0</v>
      </c>
      <c r="BH1790" s="1710">
        <f t="shared" si="108"/>
        <v>31319643360.722992</v>
      </c>
      <c r="BI1790" s="1710">
        <f t="shared" si="109"/>
        <v>29475720163.928673</v>
      </c>
      <c r="BJ1790" s="1711">
        <f t="shared" si="110"/>
        <v>34361974.369411558</v>
      </c>
      <c r="BK1790" s="1711">
        <f t="shared" si="111"/>
        <v>1.0625573586171728</v>
      </c>
      <c r="BL1790">
        <f>BJ1790</f>
        <v>34361974.369411558</v>
      </c>
      <c r="BO1790">
        <f>BL1790</f>
        <v>34361974.369411558</v>
      </c>
    </row>
    <row r="1791" spans="3:67" x14ac:dyDescent="0.25">
      <c r="C1791" s="246" t="s">
        <v>3141</v>
      </c>
      <c r="D1791" s="246">
        <v>1</v>
      </c>
      <c r="E1791" s="246">
        <v>2</v>
      </c>
      <c r="F1791" s="246">
        <v>3</v>
      </c>
      <c r="G1791" s="246">
        <v>6</v>
      </c>
      <c r="H1791" s="246">
        <v>9</v>
      </c>
      <c r="I1791" s="246">
        <v>10</v>
      </c>
      <c r="J1791" s="246">
        <v>13</v>
      </c>
      <c r="K1791" s="246">
        <v>14</v>
      </c>
      <c r="L1791" s="246">
        <v>15</v>
      </c>
      <c r="M1791" s="246">
        <v>16</v>
      </c>
      <c r="N1791" s="246"/>
      <c r="O1791" s="246"/>
      <c r="P1791" s="246"/>
      <c r="Q1791" s="246"/>
      <c r="R1791" s="246">
        <f>IFERROR(VLOOKUP(D1791,PROGRAMAS[],2,FALSE),0)</f>
        <v>97037803.679377079</v>
      </c>
      <c r="S1791" s="246">
        <f>IFERROR(VLOOKUP(E1791,PROGRAMAS[],2,FALSE),0)</f>
        <v>640501509.6821388</v>
      </c>
      <c r="T1791" s="246">
        <f>IFERROR(VLOOKUP(F1791,PROGRAMAS[],2,FALSE),0)</f>
        <v>3062327798.1525245</v>
      </c>
      <c r="U1791" s="246">
        <f>IFERROR(VLOOKUP(G1791,PROGRAMAS[],2,FALSE),0)</f>
        <v>6907648435.8447599</v>
      </c>
      <c r="V1791" s="246">
        <f>IFERROR(VLOOKUP(H1791,PROGRAMAS[],2,FALSE),0)</f>
        <v>6128579952.1618185</v>
      </c>
      <c r="W1791" s="246">
        <f>IFERROR(VLOOKUP(I1791,PROGRAMAS[],2,FALSE),0)</f>
        <v>4635315027.8751087</v>
      </c>
      <c r="X1791" s="246">
        <f>IFERROR(VLOOKUP(J1791,PROGRAMAS[],2,FALSE),0)</f>
        <v>3776538594.4604583</v>
      </c>
      <c r="Y1791" s="246">
        <f>IFERROR(VLOOKUP(K1791,PROGRAMAS[],2,FALSE),0)</f>
        <v>54223862.645839565</v>
      </c>
      <c r="Z1791" s="246">
        <f>IFERROR(VLOOKUP(L1791,PROGRAMAS[],2,FALSE),0)</f>
        <v>122159672.96346797</v>
      </c>
      <c r="AA1791" s="246">
        <f>IFERROR(VLOOKUP(M1791,PROGRAMAS[],2,FALSE),0)</f>
        <v>7068496961.0436354</v>
      </c>
      <c r="AB1791" s="246">
        <f>IFERROR(VLOOKUP(N1791,PROGRAMAS[],2,FALSE),0)</f>
        <v>0</v>
      </c>
      <c r="AC1791" s="246">
        <f>IFERROR(VLOOKUP(O1791,PROGRAMAS[],2,FALSE),0)</f>
        <v>0</v>
      </c>
      <c r="AD1791" s="246">
        <f>IFERROR(VLOOKUP(P1791,PROGRAMAS[],2,FALSE),0)</f>
        <v>0</v>
      </c>
      <c r="AE1791" s="246">
        <f>IFERROR(VLOOKUP(Q1791,PROGRAMAS[],2,FALSE),0)</f>
        <v>0</v>
      </c>
      <c r="AF1791" s="246">
        <f>IFERROR(VLOOKUP(D1791,PROGRAMAS[],3,FALSE),0)</f>
        <v>841888629.31080008</v>
      </c>
      <c r="AG1791" s="246">
        <f>IFERROR(VLOOKUP(E1791,PROGRAMAS[],3,FALSE),0)</f>
        <v>3848980803.1642323</v>
      </c>
      <c r="AH1791" s="246">
        <f>IFERROR(VLOOKUP(F1791,PROGRAMAS[],3,FALSE),0)</f>
        <v>3394901471.387517</v>
      </c>
      <c r="AI1791" s="246">
        <f>IFERROR(VLOOKUP(G1791,PROGRAMAS[],3,FALSE),0)</f>
        <v>6129902208.7912121</v>
      </c>
      <c r="AJ1791" s="246">
        <f>IFERROR(VLOOKUP(H1791,PROGRAMAS[],3,FALSE),0)</f>
        <v>7011279577.519702</v>
      </c>
      <c r="AK1791" s="246">
        <f>IFERROR(VLOOKUP(I1791,PROGRAMAS[],3,FALSE),0)</f>
        <v>4099471734.9978786</v>
      </c>
      <c r="AL1791" s="246">
        <f>IFERROR(VLOOKUP(J1791,PROGRAMAS[],3,FALSE),0)</f>
        <v>2392571243.5584412</v>
      </c>
      <c r="AM1791" s="246">
        <f>IFERROR(VLOOKUP(K1791,PROGRAMAS[],3,FALSE),0)</f>
        <v>31865326.38096505</v>
      </c>
      <c r="AN1791" s="246">
        <f>IFERROR(VLOOKUP(L1791,PROGRAMAS[],3,FALSE),0)</f>
        <v>118617452.52510804</v>
      </c>
      <c r="AO1791" s="246">
        <f>IFERROR(VLOOKUP(M1791,PROGRAMAS[],3,FALSE),0)</f>
        <v>2406564599.0319901</v>
      </c>
      <c r="AP1791" s="246">
        <f>IFERROR(VLOOKUP(N1791,PROGRAMAS[],3,FALSE),0)</f>
        <v>0</v>
      </c>
      <c r="AQ1791" s="246">
        <f>IFERROR(VLOOKUP(O1791,PROGRAMAS[],3,FALSE),0)</f>
        <v>0</v>
      </c>
      <c r="AR1791" s="246">
        <f>IFERROR(VLOOKUP(P1791,PROGRAMAS[],3,FALSE),0)</f>
        <v>0</v>
      </c>
      <c r="AS1791" s="246">
        <f>IFERROR(VLOOKUP(Q1791,PROGRAMAS[],3,FALSE),0)</f>
        <v>0</v>
      </c>
      <c r="AT1791" s="246">
        <f>IFERROR(VLOOKUP(D1791,VOL_REC[],2,FALSE),0)</f>
        <v>0</v>
      </c>
      <c r="AU1791" s="246">
        <f>IFERROR(VLOOKUP(E1791,VOL_REC[],2,FALSE),0)</f>
        <v>0</v>
      </c>
      <c r="AV1791" s="246">
        <f>IFERROR(VLOOKUP(F1791,VOL_REC[],2,FALSE),0)</f>
        <v>11089674.200000001</v>
      </c>
      <c r="AW1791" s="246">
        <f>IFERROR(VLOOKUP(G1791,VOL_REC[],2,FALSE),0)</f>
        <v>15540036.397699751</v>
      </c>
      <c r="AX1791" s="246">
        <f>IFERROR(VLOOKUP(H1791,VOL_REC[],2,FALSE),0)</f>
        <v>3761786</v>
      </c>
      <c r="AY1791" s="246">
        <f>IFERROR(VLOOKUP(I1791,VOL_REC[],2,FALSE),0)</f>
        <v>1812240</v>
      </c>
      <c r="AZ1791" s="246">
        <f>IFERROR(VLOOKUP(J1791,VOL_REC[],2,FALSE),0)</f>
        <v>663244.80000000016</v>
      </c>
      <c r="BA1791" s="246">
        <f>IFERROR(VLOOKUP(K1791,VOL_REC[],2,FALSE),0)</f>
        <v>17074.045034105649</v>
      </c>
      <c r="BB1791" s="246">
        <f>IFERROR(VLOOKUP(L1791,VOL_REC[],2,FALSE),0)</f>
        <v>105072</v>
      </c>
      <c r="BC1791" s="246">
        <f>IFERROR(VLOOKUP(M1791,VOL_REC[],2,FALSE),0)</f>
        <v>1072354.9981737854</v>
      </c>
      <c r="BD1791" s="246">
        <f>IFERROR(VLOOKUP(N1791,VOL_REC[],2,FALSE),0)</f>
        <v>0</v>
      </c>
      <c r="BE1791" s="246">
        <f>IFERROR(VLOOKUP(O1791,VOL_REC[],2,FALSE),0)</f>
        <v>0</v>
      </c>
      <c r="BF1791" s="246">
        <f>IFERROR(VLOOKUP(P1791,VOL_REC[],2,FALSE),0)</f>
        <v>0</v>
      </c>
      <c r="BG1791" s="246">
        <f>IFERROR(VLOOKUP(Q1791,VOL_REC[],2,FALSE),0)</f>
        <v>0</v>
      </c>
      <c r="BH1791" s="1710">
        <f t="shared" si="108"/>
        <v>32492829618.509129</v>
      </c>
      <c r="BI1791" s="1710">
        <f t="shared" si="109"/>
        <v>30276043046.66785</v>
      </c>
      <c r="BJ1791" s="1711">
        <f t="shared" si="110"/>
        <v>34061482.44090765</v>
      </c>
      <c r="BK1791" s="1711">
        <f t="shared" si="111"/>
        <v>1.0732191643546118</v>
      </c>
      <c r="BL1791">
        <f>BJ1791</f>
        <v>34061482.44090765</v>
      </c>
      <c r="BO1791">
        <f>BL1791</f>
        <v>34061482.44090765</v>
      </c>
    </row>
    <row r="1792" spans="3:67" x14ac:dyDescent="0.25">
      <c r="C1792" s="246" t="s">
        <v>3142</v>
      </c>
      <c r="D1792" s="246">
        <v>1</v>
      </c>
      <c r="E1792" s="246">
        <v>2</v>
      </c>
      <c r="F1792" s="246">
        <v>3</v>
      </c>
      <c r="G1792" s="246">
        <v>6</v>
      </c>
      <c r="H1792" s="246">
        <v>9</v>
      </c>
      <c r="I1792" s="246">
        <v>10</v>
      </c>
      <c r="J1792" s="246">
        <v>13</v>
      </c>
      <c r="K1792" s="246">
        <v>14</v>
      </c>
      <c r="L1792" s="246">
        <v>15</v>
      </c>
      <c r="M1792" s="246">
        <v>17</v>
      </c>
      <c r="N1792" s="246"/>
      <c r="O1792" s="246"/>
      <c r="P1792" s="246"/>
      <c r="Q1792" s="246"/>
      <c r="R1792" s="246">
        <f>IFERROR(VLOOKUP(D1792,PROGRAMAS[],2,FALSE),0)</f>
        <v>97037803.679377079</v>
      </c>
      <c r="S1792" s="246">
        <f>IFERROR(VLOOKUP(E1792,PROGRAMAS[],2,FALSE),0)</f>
        <v>640501509.6821388</v>
      </c>
      <c r="T1792" s="246">
        <f>IFERROR(VLOOKUP(F1792,PROGRAMAS[],2,FALSE),0)</f>
        <v>3062327798.1525245</v>
      </c>
      <c r="U1792" s="246">
        <f>IFERROR(VLOOKUP(G1792,PROGRAMAS[],2,FALSE),0)</f>
        <v>6907648435.8447599</v>
      </c>
      <c r="V1792" s="246">
        <f>IFERROR(VLOOKUP(H1792,PROGRAMAS[],2,FALSE),0)</f>
        <v>6128579952.1618185</v>
      </c>
      <c r="W1792" s="246">
        <f>IFERROR(VLOOKUP(I1792,PROGRAMAS[],2,FALSE),0)</f>
        <v>4635315027.8751087</v>
      </c>
      <c r="X1792" s="246">
        <f>IFERROR(VLOOKUP(J1792,PROGRAMAS[],2,FALSE),0)</f>
        <v>3776538594.4604583</v>
      </c>
      <c r="Y1792" s="246">
        <f>IFERROR(VLOOKUP(K1792,PROGRAMAS[],2,FALSE),0)</f>
        <v>54223862.645839565</v>
      </c>
      <c r="Z1792" s="246">
        <f>IFERROR(VLOOKUP(L1792,PROGRAMAS[],2,FALSE),0)</f>
        <v>122159672.96346797</v>
      </c>
      <c r="AA1792" s="246">
        <f>IFERROR(VLOOKUP(M1792,PROGRAMAS[],2,FALSE),0)</f>
        <v>1892779498.5211046</v>
      </c>
      <c r="AB1792" s="246">
        <f>IFERROR(VLOOKUP(N1792,PROGRAMAS[],2,FALSE),0)</f>
        <v>0</v>
      </c>
      <c r="AC1792" s="246">
        <f>IFERROR(VLOOKUP(O1792,PROGRAMAS[],2,FALSE),0)</f>
        <v>0</v>
      </c>
      <c r="AD1792" s="246">
        <f>IFERROR(VLOOKUP(P1792,PROGRAMAS[],2,FALSE),0)</f>
        <v>0</v>
      </c>
      <c r="AE1792" s="246">
        <f>IFERROR(VLOOKUP(Q1792,PROGRAMAS[],2,FALSE),0)</f>
        <v>0</v>
      </c>
      <c r="AF1792" s="246">
        <f>IFERROR(VLOOKUP(D1792,PROGRAMAS[],3,FALSE),0)</f>
        <v>841888629.31080008</v>
      </c>
      <c r="AG1792" s="246">
        <f>IFERROR(VLOOKUP(E1792,PROGRAMAS[],3,FALSE),0)</f>
        <v>3848980803.1642323</v>
      </c>
      <c r="AH1792" s="246">
        <f>IFERROR(VLOOKUP(F1792,PROGRAMAS[],3,FALSE),0)</f>
        <v>3394901471.387517</v>
      </c>
      <c r="AI1792" s="246">
        <f>IFERROR(VLOOKUP(G1792,PROGRAMAS[],3,FALSE),0)</f>
        <v>6129902208.7912121</v>
      </c>
      <c r="AJ1792" s="246">
        <f>IFERROR(VLOOKUP(H1792,PROGRAMAS[],3,FALSE),0)</f>
        <v>7011279577.519702</v>
      </c>
      <c r="AK1792" s="246">
        <f>IFERROR(VLOOKUP(I1792,PROGRAMAS[],3,FALSE),0)</f>
        <v>4099471734.9978786</v>
      </c>
      <c r="AL1792" s="246">
        <f>IFERROR(VLOOKUP(J1792,PROGRAMAS[],3,FALSE),0)</f>
        <v>2392571243.5584412</v>
      </c>
      <c r="AM1792" s="246">
        <f>IFERROR(VLOOKUP(K1792,PROGRAMAS[],3,FALSE),0)</f>
        <v>31865326.38096505</v>
      </c>
      <c r="AN1792" s="246">
        <f>IFERROR(VLOOKUP(L1792,PROGRAMAS[],3,FALSE),0)</f>
        <v>118617452.52510804</v>
      </c>
      <c r="AO1792" s="246">
        <f>IFERROR(VLOOKUP(M1792,PROGRAMAS[],3,FALSE),0)</f>
        <v>948595847.09039903</v>
      </c>
      <c r="AP1792" s="246">
        <f>IFERROR(VLOOKUP(N1792,PROGRAMAS[],3,FALSE),0)</f>
        <v>0</v>
      </c>
      <c r="AQ1792" s="246">
        <f>IFERROR(VLOOKUP(O1792,PROGRAMAS[],3,FALSE),0)</f>
        <v>0</v>
      </c>
      <c r="AR1792" s="246">
        <f>IFERROR(VLOOKUP(P1792,PROGRAMAS[],3,FALSE),0)</f>
        <v>0</v>
      </c>
      <c r="AS1792" s="246">
        <f>IFERROR(VLOOKUP(Q1792,PROGRAMAS[],3,FALSE),0)</f>
        <v>0</v>
      </c>
      <c r="AT1792" s="246">
        <f>IFERROR(VLOOKUP(D1792,VOL_REC[],2,FALSE),0)</f>
        <v>0</v>
      </c>
      <c r="AU1792" s="246">
        <f>IFERROR(VLOOKUP(E1792,VOL_REC[],2,FALSE),0)</f>
        <v>0</v>
      </c>
      <c r="AV1792" s="246">
        <f>IFERROR(VLOOKUP(F1792,VOL_REC[],2,FALSE),0)</f>
        <v>11089674.200000001</v>
      </c>
      <c r="AW1792" s="246">
        <f>IFERROR(VLOOKUP(G1792,VOL_REC[],2,FALSE),0)</f>
        <v>15540036.397699751</v>
      </c>
      <c r="AX1792" s="246">
        <f>IFERROR(VLOOKUP(H1792,VOL_REC[],2,FALSE),0)</f>
        <v>3761786</v>
      </c>
      <c r="AY1792" s="246">
        <f>IFERROR(VLOOKUP(I1792,VOL_REC[],2,FALSE),0)</f>
        <v>1812240</v>
      </c>
      <c r="AZ1792" s="246">
        <f>IFERROR(VLOOKUP(J1792,VOL_REC[],2,FALSE),0)</f>
        <v>663244.80000000016</v>
      </c>
      <c r="BA1792" s="246">
        <f>IFERROR(VLOOKUP(K1792,VOL_REC[],2,FALSE),0)</f>
        <v>17074.045034105649</v>
      </c>
      <c r="BB1792" s="246">
        <f>IFERROR(VLOOKUP(L1792,VOL_REC[],2,FALSE),0)</f>
        <v>105072</v>
      </c>
      <c r="BC1792" s="246">
        <f>IFERROR(VLOOKUP(M1792,VOL_REC[],2,FALSE),0)</f>
        <v>740113.98115702497</v>
      </c>
      <c r="BD1792" s="246">
        <f>IFERROR(VLOOKUP(N1792,VOL_REC[],2,FALSE),0)</f>
        <v>0</v>
      </c>
      <c r="BE1792" s="246">
        <f>IFERROR(VLOOKUP(O1792,VOL_REC[],2,FALSE),0)</f>
        <v>0</v>
      </c>
      <c r="BF1792" s="246">
        <f>IFERROR(VLOOKUP(P1792,VOL_REC[],2,FALSE),0)</f>
        <v>0</v>
      </c>
      <c r="BG1792" s="246">
        <f>IFERROR(VLOOKUP(Q1792,VOL_REC[],2,FALSE),0)</f>
        <v>0</v>
      </c>
      <c r="BH1792" s="1710">
        <f t="shared" si="108"/>
        <v>27317112155.986595</v>
      </c>
      <c r="BI1792" s="1710">
        <f t="shared" si="109"/>
        <v>28818074294.726261</v>
      </c>
      <c r="BJ1792" s="1711">
        <f t="shared" si="110"/>
        <v>33729241.423890889</v>
      </c>
      <c r="BK1792" s="1711">
        <f t="shared" si="111"/>
        <v>0.94791594596539908</v>
      </c>
    </row>
    <row r="1793" spans="3:67" x14ac:dyDescent="0.25">
      <c r="C1793" s="246" t="s">
        <v>3143</v>
      </c>
      <c r="D1793" s="246">
        <v>1</v>
      </c>
      <c r="E1793" s="246">
        <v>2</v>
      </c>
      <c r="F1793" s="246">
        <v>3</v>
      </c>
      <c r="G1793" s="246">
        <v>6</v>
      </c>
      <c r="H1793" s="246">
        <v>9</v>
      </c>
      <c r="I1793" s="246">
        <v>10</v>
      </c>
      <c r="J1793" s="246">
        <v>13</v>
      </c>
      <c r="K1793" s="246">
        <v>14</v>
      </c>
      <c r="L1793" s="246">
        <v>16</v>
      </c>
      <c r="M1793" s="246">
        <v>17</v>
      </c>
      <c r="N1793" s="246"/>
      <c r="O1793" s="246"/>
      <c r="P1793" s="246"/>
      <c r="Q1793" s="246"/>
      <c r="R1793" s="246">
        <f>IFERROR(VLOOKUP(D1793,PROGRAMAS[],2,FALSE),0)</f>
        <v>97037803.679377079</v>
      </c>
      <c r="S1793" s="246">
        <f>IFERROR(VLOOKUP(E1793,PROGRAMAS[],2,FALSE),0)</f>
        <v>640501509.6821388</v>
      </c>
      <c r="T1793" s="246">
        <f>IFERROR(VLOOKUP(F1793,PROGRAMAS[],2,FALSE),0)</f>
        <v>3062327798.1525245</v>
      </c>
      <c r="U1793" s="246">
        <f>IFERROR(VLOOKUP(G1793,PROGRAMAS[],2,FALSE),0)</f>
        <v>6907648435.8447599</v>
      </c>
      <c r="V1793" s="246">
        <f>IFERROR(VLOOKUP(H1793,PROGRAMAS[],2,FALSE),0)</f>
        <v>6128579952.1618185</v>
      </c>
      <c r="W1793" s="246">
        <f>IFERROR(VLOOKUP(I1793,PROGRAMAS[],2,FALSE),0)</f>
        <v>4635315027.8751087</v>
      </c>
      <c r="X1793" s="246">
        <f>IFERROR(VLOOKUP(J1793,PROGRAMAS[],2,FALSE),0)</f>
        <v>3776538594.4604583</v>
      </c>
      <c r="Y1793" s="246">
        <f>IFERROR(VLOOKUP(K1793,PROGRAMAS[],2,FALSE),0)</f>
        <v>54223862.645839565</v>
      </c>
      <c r="Z1793" s="246">
        <f>IFERROR(VLOOKUP(L1793,PROGRAMAS[],2,FALSE),0)</f>
        <v>7068496961.0436354</v>
      </c>
      <c r="AA1793" s="246">
        <f>IFERROR(VLOOKUP(M1793,PROGRAMAS[],2,FALSE),0)</f>
        <v>1892779498.5211046</v>
      </c>
      <c r="AB1793" s="246">
        <f>IFERROR(VLOOKUP(N1793,PROGRAMAS[],2,FALSE),0)</f>
        <v>0</v>
      </c>
      <c r="AC1793" s="246">
        <f>IFERROR(VLOOKUP(O1793,PROGRAMAS[],2,FALSE),0)</f>
        <v>0</v>
      </c>
      <c r="AD1793" s="246">
        <f>IFERROR(VLOOKUP(P1793,PROGRAMAS[],2,FALSE),0)</f>
        <v>0</v>
      </c>
      <c r="AE1793" s="246">
        <f>IFERROR(VLOOKUP(Q1793,PROGRAMAS[],2,FALSE),0)</f>
        <v>0</v>
      </c>
      <c r="AF1793" s="246">
        <f>IFERROR(VLOOKUP(D1793,PROGRAMAS[],3,FALSE),0)</f>
        <v>841888629.31080008</v>
      </c>
      <c r="AG1793" s="246">
        <f>IFERROR(VLOOKUP(E1793,PROGRAMAS[],3,FALSE),0)</f>
        <v>3848980803.1642323</v>
      </c>
      <c r="AH1793" s="246">
        <f>IFERROR(VLOOKUP(F1793,PROGRAMAS[],3,FALSE),0)</f>
        <v>3394901471.387517</v>
      </c>
      <c r="AI1793" s="246">
        <f>IFERROR(VLOOKUP(G1793,PROGRAMAS[],3,FALSE),0)</f>
        <v>6129902208.7912121</v>
      </c>
      <c r="AJ1793" s="246">
        <f>IFERROR(VLOOKUP(H1793,PROGRAMAS[],3,FALSE),0)</f>
        <v>7011279577.519702</v>
      </c>
      <c r="AK1793" s="246">
        <f>IFERROR(VLOOKUP(I1793,PROGRAMAS[],3,FALSE),0)</f>
        <v>4099471734.9978786</v>
      </c>
      <c r="AL1793" s="246">
        <f>IFERROR(VLOOKUP(J1793,PROGRAMAS[],3,FALSE),0)</f>
        <v>2392571243.5584412</v>
      </c>
      <c r="AM1793" s="246">
        <f>IFERROR(VLOOKUP(K1793,PROGRAMAS[],3,FALSE),0)</f>
        <v>31865326.38096505</v>
      </c>
      <c r="AN1793" s="246">
        <f>IFERROR(VLOOKUP(L1793,PROGRAMAS[],3,FALSE),0)</f>
        <v>2406564599.0319901</v>
      </c>
      <c r="AO1793" s="246">
        <f>IFERROR(VLOOKUP(M1793,PROGRAMAS[],3,FALSE),0)</f>
        <v>948595847.09039903</v>
      </c>
      <c r="AP1793" s="246">
        <f>IFERROR(VLOOKUP(N1793,PROGRAMAS[],3,FALSE),0)</f>
        <v>0</v>
      </c>
      <c r="AQ1793" s="246">
        <f>IFERROR(VLOOKUP(O1793,PROGRAMAS[],3,FALSE),0)</f>
        <v>0</v>
      </c>
      <c r="AR1793" s="246">
        <f>IFERROR(VLOOKUP(P1793,PROGRAMAS[],3,FALSE),0)</f>
        <v>0</v>
      </c>
      <c r="AS1793" s="246">
        <f>IFERROR(VLOOKUP(Q1793,PROGRAMAS[],3,FALSE),0)</f>
        <v>0</v>
      </c>
      <c r="AT1793" s="246">
        <f>IFERROR(VLOOKUP(D1793,VOL_REC[],2,FALSE),0)</f>
        <v>0</v>
      </c>
      <c r="AU1793" s="246">
        <f>IFERROR(VLOOKUP(E1793,VOL_REC[],2,FALSE),0)</f>
        <v>0</v>
      </c>
      <c r="AV1793" s="246">
        <f>IFERROR(VLOOKUP(F1793,VOL_REC[],2,FALSE),0)</f>
        <v>11089674.200000001</v>
      </c>
      <c r="AW1793" s="246">
        <f>IFERROR(VLOOKUP(G1793,VOL_REC[],2,FALSE),0)</f>
        <v>15540036.397699751</v>
      </c>
      <c r="AX1793" s="246">
        <f>IFERROR(VLOOKUP(H1793,VOL_REC[],2,FALSE),0)</f>
        <v>3761786</v>
      </c>
      <c r="AY1793" s="246">
        <f>IFERROR(VLOOKUP(I1793,VOL_REC[],2,FALSE),0)</f>
        <v>1812240</v>
      </c>
      <c r="AZ1793" s="246">
        <f>IFERROR(VLOOKUP(J1793,VOL_REC[],2,FALSE),0)</f>
        <v>663244.80000000016</v>
      </c>
      <c r="BA1793" s="246">
        <f>IFERROR(VLOOKUP(K1793,VOL_REC[],2,FALSE),0)</f>
        <v>17074.045034105649</v>
      </c>
      <c r="BB1793" s="246">
        <f>IFERROR(VLOOKUP(L1793,VOL_REC[],2,FALSE),0)</f>
        <v>1072354.9981737854</v>
      </c>
      <c r="BC1793" s="246">
        <f>IFERROR(VLOOKUP(M1793,VOL_REC[],2,FALSE),0)</f>
        <v>740113.98115702497</v>
      </c>
      <c r="BD1793" s="246">
        <f>IFERROR(VLOOKUP(N1793,VOL_REC[],2,FALSE),0)</f>
        <v>0</v>
      </c>
      <c r="BE1793" s="246">
        <f>IFERROR(VLOOKUP(O1793,VOL_REC[],2,FALSE),0)</f>
        <v>0</v>
      </c>
      <c r="BF1793" s="246">
        <f>IFERROR(VLOOKUP(P1793,VOL_REC[],2,FALSE),0)</f>
        <v>0</v>
      </c>
      <c r="BG1793" s="246">
        <f>IFERROR(VLOOKUP(Q1793,VOL_REC[],2,FALSE),0)</f>
        <v>0</v>
      </c>
      <c r="BH1793" s="1710">
        <f t="shared" si="108"/>
        <v>34263449444.066765</v>
      </c>
      <c r="BI1793" s="1710">
        <f t="shared" si="109"/>
        <v>31106021441.233143</v>
      </c>
      <c r="BJ1793" s="1711">
        <f t="shared" si="110"/>
        <v>34696524.422064677</v>
      </c>
      <c r="BK1793" s="1711">
        <f t="shared" si="111"/>
        <v>1.101505363159309</v>
      </c>
      <c r="BL1793">
        <f>BJ1793</f>
        <v>34696524.422064677</v>
      </c>
      <c r="BO1793">
        <f>BL1793</f>
        <v>34696524.422064677</v>
      </c>
    </row>
    <row r="1794" spans="3:67" x14ac:dyDescent="0.25">
      <c r="C1794" s="246" t="s">
        <v>3144</v>
      </c>
      <c r="D1794" s="246">
        <v>1</v>
      </c>
      <c r="E1794" s="246">
        <v>2</v>
      </c>
      <c r="F1794" s="246">
        <v>3</v>
      </c>
      <c r="G1794" s="246">
        <v>6</v>
      </c>
      <c r="H1794" s="246">
        <v>9</v>
      </c>
      <c r="I1794" s="246">
        <v>10</v>
      </c>
      <c r="J1794" s="246">
        <v>13</v>
      </c>
      <c r="K1794" s="246">
        <v>15</v>
      </c>
      <c r="L1794" s="246">
        <v>16</v>
      </c>
      <c r="M1794" s="246">
        <v>17</v>
      </c>
      <c r="N1794" s="246"/>
      <c r="O1794" s="246"/>
      <c r="P1794" s="246"/>
      <c r="Q1794" s="246"/>
      <c r="R1794" s="246">
        <f>IFERROR(VLOOKUP(D1794,PROGRAMAS[],2,FALSE),0)</f>
        <v>97037803.679377079</v>
      </c>
      <c r="S1794" s="246">
        <f>IFERROR(VLOOKUP(E1794,PROGRAMAS[],2,FALSE),0)</f>
        <v>640501509.6821388</v>
      </c>
      <c r="T1794" s="246">
        <f>IFERROR(VLOOKUP(F1794,PROGRAMAS[],2,FALSE),0)</f>
        <v>3062327798.1525245</v>
      </c>
      <c r="U1794" s="246">
        <f>IFERROR(VLOOKUP(G1794,PROGRAMAS[],2,FALSE),0)</f>
        <v>6907648435.8447599</v>
      </c>
      <c r="V1794" s="246">
        <f>IFERROR(VLOOKUP(H1794,PROGRAMAS[],2,FALSE),0)</f>
        <v>6128579952.1618185</v>
      </c>
      <c r="W1794" s="246">
        <f>IFERROR(VLOOKUP(I1794,PROGRAMAS[],2,FALSE),0)</f>
        <v>4635315027.8751087</v>
      </c>
      <c r="X1794" s="246">
        <f>IFERROR(VLOOKUP(J1794,PROGRAMAS[],2,FALSE),0)</f>
        <v>3776538594.4604583</v>
      </c>
      <c r="Y1794" s="246">
        <f>IFERROR(VLOOKUP(K1794,PROGRAMAS[],2,FALSE),0)</f>
        <v>122159672.96346797</v>
      </c>
      <c r="Z1794" s="246">
        <f>IFERROR(VLOOKUP(L1794,PROGRAMAS[],2,FALSE),0)</f>
        <v>7068496961.0436354</v>
      </c>
      <c r="AA1794" s="246">
        <f>IFERROR(VLOOKUP(M1794,PROGRAMAS[],2,FALSE),0)</f>
        <v>1892779498.5211046</v>
      </c>
      <c r="AB1794" s="246">
        <f>IFERROR(VLOOKUP(N1794,PROGRAMAS[],2,FALSE),0)</f>
        <v>0</v>
      </c>
      <c r="AC1794" s="246">
        <f>IFERROR(VLOOKUP(O1794,PROGRAMAS[],2,FALSE),0)</f>
        <v>0</v>
      </c>
      <c r="AD1794" s="246">
        <f>IFERROR(VLOOKUP(P1794,PROGRAMAS[],2,FALSE),0)</f>
        <v>0</v>
      </c>
      <c r="AE1794" s="246">
        <f>IFERROR(VLOOKUP(Q1794,PROGRAMAS[],2,FALSE),0)</f>
        <v>0</v>
      </c>
      <c r="AF1794" s="246">
        <f>IFERROR(VLOOKUP(D1794,PROGRAMAS[],3,FALSE),0)</f>
        <v>841888629.31080008</v>
      </c>
      <c r="AG1794" s="246">
        <f>IFERROR(VLOOKUP(E1794,PROGRAMAS[],3,FALSE),0)</f>
        <v>3848980803.1642323</v>
      </c>
      <c r="AH1794" s="246">
        <f>IFERROR(VLOOKUP(F1794,PROGRAMAS[],3,FALSE),0)</f>
        <v>3394901471.387517</v>
      </c>
      <c r="AI1794" s="246">
        <f>IFERROR(VLOOKUP(G1794,PROGRAMAS[],3,FALSE),0)</f>
        <v>6129902208.7912121</v>
      </c>
      <c r="AJ1794" s="246">
        <f>IFERROR(VLOOKUP(H1794,PROGRAMAS[],3,FALSE),0)</f>
        <v>7011279577.519702</v>
      </c>
      <c r="AK1794" s="246">
        <f>IFERROR(VLOOKUP(I1794,PROGRAMAS[],3,FALSE),0)</f>
        <v>4099471734.9978786</v>
      </c>
      <c r="AL1794" s="246">
        <f>IFERROR(VLOOKUP(J1794,PROGRAMAS[],3,FALSE),0)</f>
        <v>2392571243.5584412</v>
      </c>
      <c r="AM1794" s="246">
        <f>IFERROR(VLOOKUP(K1794,PROGRAMAS[],3,FALSE),0)</f>
        <v>118617452.52510804</v>
      </c>
      <c r="AN1794" s="246">
        <f>IFERROR(VLOOKUP(L1794,PROGRAMAS[],3,FALSE),0)</f>
        <v>2406564599.0319901</v>
      </c>
      <c r="AO1794" s="246">
        <f>IFERROR(VLOOKUP(M1794,PROGRAMAS[],3,FALSE),0)</f>
        <v>948595847.09039903</v>
      </c>
      <c r="AP1794" s="246">
        <f>IFERROR(VLOOKUP(N1794,PROGRAMAS[],3,FALSE),0)</f>
        <v>0</v>
      </c>
      <c r="AQ1794" s="246">
        <f>IFERROR(VLOOKUP(O1794,PROGRAMAS[],3,FALSE),0)</f>
        <v>0</v>
      </c>
      <c r="AR1794" s="246">
        <f>IFERROR(VLOOKUP(P1794,PROGRAMAS[],3,FALSE),0)</f>
        <v>0</v>
      </c>
      <c r="AS1794" s="246">
        <f>IFERROR(VLOOKUP(Q1794,PROGRAMAS[],3,FALSE),0)</f>
        <v>0</v>
      </c>
      <c r="AT1794" s="246">
        <f>IFERROR(VLOOKUP(D1794,VOL_REC[],2,FALSE),0)</f>
        <v>0</v>
      </c>
      <c r="AU1794" s="246">
        <f>IFERROR(VLOOKUP(E1794,VOL_REC[],2,FALSE),0)</f>
        <v>0</v>
      </c>
      <c r="AV1794" s="246">
        <f>IFERROR(VLOOKUP(F1794,VOL_REC[],2,FALSE),0)</f>
        <v>11089674.200000001</v>
      </c>
      <c r="AW1794" s="246">
        <f>IFERROR(VLOOKUP(G1794,VOL_REC[],2,FALSE),0)</f>
        <v>15540036.397699751</v>
      </c>
      <c r="AX1794" s="246">
        <f>IFERROR(VLOOKUP(H1794,VOL_REC[],2,FALSE),0)</f>
        <v>3761786</v>
      </c>
      <c r="AY1794" s="246">
        <f>IFERROR(VLOOKUP(I1794,VOL_REC[],2,FALSE),0)</f>
        <v>1812240</v>
      </c>
      <c r="AZ1794" s="246">
        <f>IFERROR(VLOOKUP(J1794,VOL_REC[],2,FALSE),0)</f>
        <v>663244.80000000016</v>
      </c>
      <c r="BA1794" s="246">
        <f>IFERROR(VLOOKUP(K1794,VOL_REC[],2,FALSE),0)</f>
        <v>105072</v>
      </c>
      <c r="BB1794" s="246">
        <f>IFERROR(VLOOKUP(L1794,VOL_REC[],2,FALSE),0)</f>
        <v>1072354.9981737854</v>
      </c>
      <c r="BC1794" s="246">
        <f>IFERROR(VLOOKUP(M1794,VOL_REC[],2,FALSE),0)</f>
        <v>740113.98115702497</v>
      </c>
      <c r="BD1794" s="246">
        <f>IFERROR(VLOOKUP(N1794,VOL_REC[],2,FALSE),0)</f>
        <v>0</v>
      </c>
      <c r="BE1794" s="246">
        <f>IFERROR(VLOOKUP(O1794,VOL_REC[],2,FALSE),0)</f>
        <v>0</v>
      </c>
      <c r="BF1794" s="246">
        <f>IFERROR(VLOOKUP(P1794,VOL_REC[],2,FALSE),0)</f>
        <v>0</v>
      </c>
      <c r="BG1794" s="246">
        <f>IFERROR(VLOOKUP(Q1794,VOL_REC[],2,FALSE),0)</f>
        <v>0</v>
      </c>
      <c r="BH1794" s="1710">
        <f t="shared" ref="BH1794:BH1857" si="112">SUM(R1794:AE1794)</f>
        <v>34331385254.384392</v>
      </c>
      <c r="BI1794" s="1710">
        <f t="shared" ref="BI1794:BI1857" si="113">SUM(AF1794:AS1794)</f>
        <v>31192773567.377285</v>
      </c>
      <c r="BJ1794" s="1711">
        <f t="shared" ref="BJ1794:BJ1857" si="114">SUM(AT1794:BG1794)</f>
        <v>34784522.377030566</v>
      </c>
      <c r="BK1794" s="1711">
        <f t="shared" ref="BK1794:BK1857" si="115">IFERROR(BH1794/BI1794,0)</f>
        <v>1.1006198336363906</v>
      </c>
      <c r="BL1794">
        <f>BJ1794</f>
        <v>34784522.377030566</v>
      </c>
      <c r="BO1794">
        <f>BL1794</f>
        <v>34784522.377030566</v>
      </c>
    </row>
    <row r="1795" spans="3:67" x14ac:dyDescent="0.25">
      <c r="C1795" s="246" t="s">
        <v>3145</v>
      </c>
      <c r="D1795" s="246">
        <v>1</v>
      </c>
      <c r="E1795" s="246">
        <v>2</v>
      </c>
      <c r="F1795" s="246">
        <v>3</v>
      </c>
      <c r="G1795" s="246">
        <v>6</v>
      </c>
      <c r="H1795" s="246">
        <v>9</v>
      </c>
      <c r="I1795" s="246">
        <v>10</v>
      </c>
      <c r="J1795" s="246">
        <v>14</v>
      </c>
      <c r="K1795" s="246">
        <v>15</v>
      </c>
      <c r="L1795" s="246">
        <v>16</v>
      </c>
      <c r="M1795" s="246">
        <v>17</v>
      </c>
      <c r="N1795" s="246"/>
      <c r="O1795" s="246"/>
      <c r="P1795" s="246"/>
      <c r="Q1795" s="246"/>
      <c r="R1795" s="246">
        <f>IFERROR(VLOOKUP(D1795,PROGRAMAS[],2,FALSE),0)</f>
        <v>97037803.679377079</v>
      </c>
      <c r="S1795" s="246">
        <f>IFERROR(VLOOKUP(E1795,PROGRAMAS[],2,FALSE),0)</f>
        <v>640501509.6821388</v>
      </c>
      <c r="T1795" s="246">
        <f>IFERROR(VLOOKUP(F1795,PROGRAMAS[],2,FALSE),0)</f>
        <v>3062327798.1525245</v>
      </c>
      <c r="U1795" s="246">
        <f>IFERROR(VLOOKUP(G1795,PROGRAMAS[],2,FALSE),0)</f>
        <v>6907648435.8447599</v>
      </c>
      <c r="V1795" s="246">
        <f>IFERROR(VLOOKUP(H1795,PROGRAMAS[],2,FALSE),0)</f>
        <v>6128579952.1618185</v>
      </c>
      <c r="W1795" s="246">
        <f>IFERROR(VLOOKUP(I1795,PROGRAMAS[],2,FALSE),0)</f>
        <v>4635315027.8751087</v>
      </c>
      <c r="X1795" s="246">
        <f>IFERROR(VLOOKUP(J1795,PROGRAMAS[],2,FALSE),0)</f>
        <v>54223862.645839565</v>
      </c>
      <c r="Y1795" s="246">
        <f>IFERROR(VLOOKUP(K1795,PROGRAMAS[],2,FALSE),0)</f>
        <v>122159672.96346797</v>
      </c>
      <c r="Z1795" s="246">
        <f>IFERROR(VLOOKUP(L1795,PROGRAMAS[],2,FALSE),0)</f>
        <v>7068496961.0436354</v>
      </c>
      <c r="AA1795" s="246">
        <f>IFERROR(VLOOKUP(M1795,PROGRAMAS[],2,FALSE),0)</f>
        <v>1892779498.5211046</v>
      </c>
      <c r="AB1795" s="246">
        <f>IFERROR(VLOOKUP(N1795,PROGRAMAS[],2,FALSE),0)</f>
        <v>0</v>
      </c>
      <c r="AC1795" s="246">
        <f>IFERROR(VLOOKUP(O1795,PROGRAMAS[],2,FALSE),0)</f>
        <v>0</v>
      </c>
      <c r="AD1795" s="246">
        <f>IFERROR(VLOOKUP(P1795,PROGRAMAS[],2,FALSE),0)</f>
        <v>0</v>
      </c>
      <c r="AE1795" s="246">
        <f>IFERROR(VLOOKUP(Q1795,PROGRAMAS[],2,FALSE),0)</f>
        <v>0</v>
      </c>
      <c r="AF1795" s="246">
        <f>IFERROR(VLOOKUP(D1795,PROGRAMAS[],3,FALSE),0)</f>
        <v>841888629.31080008</v>
      </c>
      <c r="AG1795" s="246">
        <f>IFERROR(VLOOKUP(E1795,PROGRAMAS[],3,FALSE),0)</f>
        <v>3848980803.1642323</v>
      </c>
      <c r="AH1795" s="246">
        <f>IFERROR(VLOOKUP(F1795,PROGRAMAS[],3,FALSE),0)</f>
        <v>3394901471.387517</v>
      </c>
      <c r="AI1795" s="246">
        <f>IFERROR(VLOOKUP(G1795,PROGRAMAS[],3,FALSE),0)</f>
        <v>6129902208.7912121</v>
      </c>
      <c r="AJ1795" s="246">
        <f>IFERROR(VLOOKUP(H1795,PROGRAMAS[],3,FALSE),0)</f>
        <v>7011279577.519702</v>
      </c>
      <c r="AK1795" s="246">
        <f>IFERROR(VLOOKUP(I1795,PROGRAMAS[],3,FALSE),0)</f>
        <v>4099471734.9978786</v>
      </c>
      <c r="AL1795" s="246">
        <f>IFERROR(VLOOKUP(J1795,PROGRAMAS[],3,FALSE),0)</f>
        <v>31865326.38096505</v>
      </c>
      <c r="AM1795" s="246">
        <f>IFERROR(VLOOKUP(K1795,PROGRAMAS[],3,FALSE),0)</f>
        <v>118617452.52510804</v>
      </c>
      <c r="AN1795" s="246">
        <f>IFERROR(VLOOKUP(L1795,PROGRAMAS[],3,FALSE),0)</f>
        <v>2406564599.0319901</v>
      </c>
      <c r="AO1795" s="246">
        <f>IFERROR(VLOOKUP(M1795,PROGRAMAS[],3,FALSE),0)</f>
        <v>948595847.09039903</v>
      </c>
      <c r="AP1795" s="246">
        <f>IFERROR(VLOOKUP(N1795,PROGRAMAS[],3,FALSE),0)</f>
        <v>0</v>
      </c>
      <c r="AQ1795" s="246">
        <f>IFERROR(VLOOKUP(O1795,PROGRAMAS[],3,FALSE),0)</f>
        <v>0</v>
      </c>
      <c r="AR1795" s="246">
        <f>IFERROR(VLOOKUP(P1795,PROGRAMAS[],3,FALSE),0)</f>
        <v>0</v>
      </c>
      <c r="AS1795" s="246">
        <f>IFERROR(VLOOKUP(Q1795,PROGRAMAS[],3,FALSE),0)</f>
        <v>0</v>
      </c>
      <c r="AT1795" s="246">
        <f>IFERROR(VLOOKUP(D1795,VOL_REC[],2,FALSE),0)</f>
        <v>0</v>
      </c>
      <c r="AU1795" s="246">
        <f>IFERROR(VLOOKUP(E1795,VOL_REC[],2,FALSE),0)</f>
        <v>0</v>
      </c>
      <c r="AV1795" s="246">
        <f>IFERROR(VLOOKUP(F1795,VOL_REC[],2,FALSE),0)</f>
        <v>11089674.200000001</v>
      </c>
      <c r="AW1795" s="246">
        <f>IFERROR(VLOOKUP(G1795,VOL_REC[],2,FALSE),0)</f>
        <v>15540036.397699751</v>
      </c>
      <c r="AX1795" s="246">
        <f>IFERROR(VLOOKUP(H1795,VOL_REC[],2,FALSE),0)</f>
        <v>3761786</v>
      </c>
      <c r="AY1795" s="246">
        <f>IFERROR(VLOOKUP(I1795,VOL_REC[],2,FALSE),0)</f>
        <v>1812240</v>
      </c>
      <c r="AZ1795" s="246">
        <f>IFERROR(VLOOKUP(J1795,VOL_REC[],2,FALSE),0)</f>
        <v>17074.045034105649</v>
      </c>
      <c r="BA1795" s="246">
        <f>IFERROR(VLOOKUP(K1795,VOL_REC[],2,FALSE),0)</f>
        <v>105072</v>
      </c>
      <c r="BB1795" s="246">
        <f>IFERROR(VLOOKUP(L1795,VOL_REC[],2,FALSE),0)</f>
        <v>1072354.9981737854</v>
      </c>
      <c r="BC1795" s="246">
        <f>IFERROR(VLOOKUP(M1795,VOL_REC[],2,FALSE),0)</f>
        <v>740113.98115702497</v>
      </c>
      <c r="BD1795" s="246">
        <f>IFERROR(VLOOKUP(N1795,VOL_REC[],2,FALSE),0)</f>
        <v>0</v>
      </c>
      <c r="BE1795" s="246">
        <f>IFERROR(VLOOKUP(O1795,VOL_REC[],2,FALSE),0)</f>
        <v>0</v>
      </c>
      <c r="BF1795" s="246">
        <f>IFERROR(VLOOKUP(P1795,VOL_REC[],2,FALSE),0)</f>
        <v>0</v>
      </c>
      <c r="BG1795" s="246">
        <f>IFERROR(VLOOKUP(Q1795,VOL_REC[],2,FALSE),0)</f>
        <v>0</v>
      </c>
      <c r="BH1795" s="1710">
        <f t="shared" si="112"/>
        <v>30609070522.569775</v>
      </c>
      <c r="BI1795" s="1710">
        <f t="shared" si="113"/>
        <v>28832067650.19981</v>
      </c>
      <c r="BJ1795" s="1711">
        <f t="shared" si="114"/>
        <v>34138351.622064672</v>
      </c>
      <c r="BK1795" s="1711">
        <f t="shared" si="115"/>
        <v>1.061632862891734</v>
      </c>
      <c r="BL1795">
        <f>BJ1795</f>
        <v>34138351.622064672</v>
      </c>
      <c r="BO1795">
        <f>BL1795</f>
        <v>34138351.622064672</v>
      </c>
    </row>
    <row r="1796" spans="3:67" x14ac:dyDescent="0.25">
      <c r="C1796" s="246" t="s">
        <v>3146</v>
      </c>
      <c r="D1796" s="246">
        <v>1</v>
      </c>
      <c r="E1796" s="246">
        <v>2</v>
      </c>
      <c r="F1796" s="246">
        <v>3</v>
      </c>
      <c r="G1796" s="246">
        <v>6</v>
      </c>
      <c r="H1796" s="246">
        <v>9</v>
      </c>
      <c r="I1796" s="246">
        <v>12</v>
      </c>
      <c r="J1796" s="246">
        <v>13</v>
      </c>
      <c r="K1796" s="246">
        <v>14</v>
      </c>
      <c r="L1796" s="246">
        <v>15</v>
      </c>
      <c r="M1796" s="246">
        <v>16</v>
      </c>
      <c r="N1796" s="246"/>
      <c r="O1796" s="246"/>
      <c r="P1796" s="246"/>
      <c r="Q1796" s="246"/>
      <c r="R1796" s="246">
        <f>IFERROR(VLOOKUP(D1796,PROGRAMAS[],2,FALSE),0)</f>
        <v>97037803.679377079</v>
      </c>
      <c r="S1796" s="246">
        <f>IFERROR(VLOOKUP(E1796,PROGRAMAS[],2,FALSE),0)</f>
        <v>640501509.6821388</v>
      </c>
      <c r="T1796" s="246">
        <f>IFERROR(VLOOKUP(F1796,PROGRAMAS[],2,FALSE),0)</f>
        <v>3062327798.1525245</v>
      </c>
      <c r="U1796" s="246">
        <f>IFERROR(VLOOKUP(G1796,PROGRAMAS[],2,FALSE),0)</f>
        <v>6907648435.8447599</v>
      </c>
      <c r="V1796" s="246">
        <f>IFERROR(VLOOKUP(H1796,PROGRAMAS[],2,FALSE),0)</f>
        <v>6128579952.1618185</v>
      </c>
      <c r="W1796" s="246">
        <f>IFERROR(VLOOKUP(I1796,PROGRAMAS[],2,FALSE),0)</f>
        <v>764796700.79905891</v>
      </c>
      <c r="X1796" s="246">
        <f>IFERROR(VLOOKUP(J1796,PROGRAMAS[],2,FALSE),0)</f>
        <v>3776538594.4604583</v>
      </c>
      <c r="Y1796" s="246">
        <f>IFERROR(VLOOKUP(K1796,PROGRAMAS[],2,FALSE),0)</f>
        <v>54223862.645839565</v>
      </c>
      <c r="Z1796" s="246">
        <f>IFERROR(VLOOKUP(L1796,PROGRAMAS[],2,FALSE),0)</f>
        <v>122159672.96346797</v>
      </c>
      <c r="AA1796" s="246">
        <f>IFERROR(VLOOKUP(M1796,PROGRAMAS[],2,FALSE),0)</f>
        <v>7068496961.0436354</v>
      </c>
      <c r="AB1796" s="246">
        <f>IFERROR(VLOOKUP(N1796,PROGRAMAS[],2,FALSE),0)</f>
        <v>0</v>
      </c>
      <c r="AC1796" s="246">
        <f>IFERROR(VLOOKUP(O1796,PROGRAMAS[],2,FALSE),0)</f>
        <v>0</v>
      </c>
      <c r="AD1796" s="246">
        <f>IFERROR(VLOOKUP(P1796,PROGRAMAS[],2,FALSE),0)</f>
        <v>0</v>
      </c>
      <c r="AE1796" s="246">
        <f>IFERROR(VLOOKUP(Q1796,PROGRAMAS[],2,FALSE),0)</f>
        <v>0</v>
      </c>
      <c r="AF1796" s="246">
        <f>IFERROR(VLOOKUP(D1796,PROGRAMAS[],3,FALSE),0)</f>
        <v>841888629.31080008</v>
      </c>
      <c r="AG1796" s="246">
        <f>IFERROR(VLOOKUP(E1796,PROGRAMAS[],3,FALSE),0)</f>
        <v>3848980803.1642323</v>
      </c>
      <c r="AH1796" s="246">
        <f>IFERROR(VLOOKUP(F1796,PROGRAMAS[],3,FALSE),0)</f>
        <v>3394901471.387517</v>
      </c>
      <c r="AI1796" s="246">
        <f>IFERROR(VLOOKUP(G1796,PROGRAMAS[],3,FALSE),0)</f>
        <v>6129902208.7912121</v>
      </c>
      <c r="AJ1796" s="246">
        <f>IFERROR(VLOOKUP(H1796,PROGRAMAS[],3,FALSE),0)</f>
        <v>7011279577.519702</v>
      </c>
      <c r="AK1796" s="246">
        <f>IFERROR(VLOOKUP(I1796,PROGRAMAS[],3,FALSE),0)</f>
        <v>675517840.109828</v>
      </c>
      <c r="AL1796" s="246">
        <f>IFERROR(VLOOKUP(J1796,PROGRAMAS[],3,FALSE),0)</f>
        <v>2392571243.5584412</v>
      </c>
      <c r="AM1796" s="246">
        <f>IFERROR(VLOOKUP(K1796,PROGRAMAS[],3,FALSE),0)</f>
        <v>31865326.38096505</v>
      </c>
      <c r="AN1796" s="246">
        <f>IFERROR(VLOOKUP(L1796,PROGRAMAS[],3,FALSE),0)</f>
        <v>118617452.52510804</v>
      </c>
      <c r="AO1796" s="246">
        <f>IFERROR(VLOOKUP(M1796,PROGRAMAS[],3,FALSE),0)</f>
        <v>2406564599.0319901</v>
      </c>
      <c r="AP1796" s="246">
        <f>IFERROR(VLOOKUP(N1796,PROGRAMAS[],3,FALSE),0)</f>
        <v>0</v>
      </c>
      <c r="AQ1796" s="246">
        <f>IFERROR(VLOOKUP(O1796,PROGRAMAS[],3,FALSE),0)</f>
        <v>0</v>
      </c>
      <c r="AR1796" s="246">
        <f>IFERROR(VLOOKUP(P1796,PROGRAMAS[],3,FALSE),0)</f>
        <v>0</v>
      </c>
      <c r="AS1796" s="246">
        <f>IFERROR(VLOOKUP(Q1796,PROGRAMAS[],3,FALSE),0)</f>
        <v>0</v>
      </c>
      <c r="AT1796" s="246">
        <f>IFERROR(VLOOKUP(D1796,VOL_REC[],2,FALSE),0)</f>
        <v>0</v>
      </c>
      <c r="AU1796" s="246">
        <f>IFERROR(VLOOKUP(E1796,VOL_REC[],2,FALSE),0)</f>
        <v>0</v>
      </c>
      <c r="AV1796" s="246">
        <f>IFERROR(VLOOKUP(F1796,VOL_REC[],2,FALSE),0)</f>
        <v>11089674.200000001</v>
      </c>
      <c r="AW1796" s="246">
        <f>IFERROR(VLOOKUP(G1796,VOL_REC[],2,FALSE),0)</f>
        <v>15540036.397699751</v>
      </c>
      <c r="AX1796" s="246">
        <f>IFERROR(VLOOKUP(H1796,VOL_REC[],2,FALSE),0)</f>
        <v>3761786</v>
      </c>
      <c r="AY1796" s="246">
        <f>IFERROR(VLOOKUP(I1796,VOL_REC[],2,FALSE),0)</f>
        <v>240696.79238099116</v>
      </c>
      <c r="AZ1796" s="246">
        <f>IFERROR(VLOOKUP(J1796,VOL_REC[],2,FALSE),0)</f>
        <v>663244.80000000016</v>
      </c>
      <c r="BA1796" s="246">
        <f>IFERROR(VLOOKUP(K1796,VOL_REC[],2,FALSE),0)</f>
        <v>17074.045034105649</v>
      </c>
      <c r="BB1796" s="246">
        <f>IFERROR(VLOOKUP(L1796,VOL_REC[],2,FALSE),0)</f>
        <v>105072</v>
      </c>
      <c r="BC1796" s="246">
        <f>IFERROR(VLOOKUP(M1796,VOL_REC[],2,FALSE),0)</f>
        <v>1072354.9981737854</v>
      </c>
      <c r="BD1796" s="246">
        <f>IFERROR(VLOOKUP(N1796,VOL_REC[],2,FALSE),0)</f>
        <v>0</v>
      </c>
      <c r="BE1796" s="246">
        <f>IFERROR(VLOOKUP(O1796,VOL_REC[],2,FALSE),0)</f>
        <v>0</v>
      </c>
      <c r="BF1796" s="246">
        <f>IFERROR(VLOOKUP(P1796,VOL_REC[],2,FALSE),0)</f>
        <v>0</v>
      </c>
      <c r="BG1796" s="246">
        <f>IFERROR(VLOOKUP(Q1796,VOL_REC[],2,FALSE),0)</f>
        <v>0</v>
      </c>
      <c r="BH1796" s="1710">
        <f t="shared" si="112"/>
        <v>28622311291.433079</v>
      </c>
      <c r="BI1796" s="1710">
        <f t="shared" si="113"/>
        <v>26852089151.7798</v>
      </c>
      <c r="BJ1796" s="1711">
        <f t="shared" si="114"/>
        <v>32489939.233288638</v>
      </c>
      <c r="BK1796" s="1711">
        <f t="shared" si="115"/>
        <v>1.0659249315629487</v>
      </c>
      <c r="BL1796">
        <f>BJ1796</f>
        <v>32489939.233288638</v>
      </c>
      <c r="BO1796">
        <f>BL1796</f>
        <v>32489939.233288638</v>
      </c>
    </row>
    <row r="1797" spans="3:67" x14ac:dyDescent="0.25">
      <c r="C1797" s="246" t="s">
        <v>3147</v>
      </c>
      <c r="D1797" s="246">
        <v>1</v>
      </c>
      <c r="E1797" s="246">
        <v>2</v>
      </c>
      <c r="F1797" s="246">
        <v>3</v>
      </c>
      <c r="G1797" s="246">
        <v>6</v>
      </c>
      <c r="H1797" s="246">
        <v>9</v>
      </c>
      <c r="I1797" s="246">
        <v>12</v>
      </c>
      <c r="J1797" s="246">
        <v>13</v>
      </c>
      <c r="K1797" s="246">
        <v>14</v>
      </c>
      <c r="L1797" s="246">
        <v>15</v>
      </c>
      <c r="M1797" s="246">
        <v>17</v>
      </c>
      <c r="N1797" s="246"/>
      <c r="O1797" s="246"/>
      <c r="P1797" s="246"/>
      <c r="Q1797" s="246"/>
      <c r="R1797" s="246">
        <f>IFERROR(VLOOKUP(D1797,PROGRAMAS[],2,FALSE),0)</f>
        <v>97037803.679377079</v>
      </c>
      <c r="S1797" s="246">
        <f>IFERROR(VLOOKUP(E1797,PROGRAMAS[],2,FALSE),0)</f>
        <v>640501509.6821388</v>
      </c>
      <c r="T1797" s="246">
        <f>IFERROR(VLOOKUP(F1797,PROGRAMAS[],2,FALSE),0)</f>
        <v>3062327798.1525245</v>
      </c>
      <c r="U1797" s="246">
        <f>IFERROR(VLOOKUP(G1797,PROGRAMAS[],2,FALSE),0)</f>
        <v>6907648435.8447599</v>
      </c>
      <c r="V1797" s="246">
        <f>IFERROR(VLOOKUP(H1797,PROGRAMAS[],2,FALSE),0)</f>
        <v>6128579952.1618185</v>
      </c>
      <c r="W1797" s="246">
        <f>IFERROR(VLOOKUP(I1797,PROGRAMAS[],2,FALSE),0)</f>
        <v>764796700.79905891</v>
      </c>
      <c r="X1797" s="246">
        <f>IFERROR(VLOOKUP(J1797,PROGRAMAS[],2,FALSE),0)</f>
        <v>3776538594.4604583</v>
      </c>
      <c r="Y1797" s="246">
        <f>IFERROR(VLOOKUP(K1797,PROGRAMAS[],2,FALSE),0)</f>
        <v>54223862.645839565</v>
      </c>
      <c r="Z1797" s="246">
        <f>IFERROR(VLOOKUP(L1797,PROGRAMAS[],2,FALSE),0)</f>
        <v>122159672.96346797</v>
      </c>
      <c r="AA1797" s="246">
        <f>IFERROR(VLOOKUP(M1797,PROGRAMAS[],2,FALSE),0)</f>
        <v>1892779498.5211046</v>
      </c>
      <c r="AB1797" s="246">
        <f>IFERROR(VLOOKUP(N1797,PROGRAMAS[],2,FALSE),0)</f>
        <v>0</v>
      </c>
      <c r="AC1797" s="246">
        <f>IFERROR(VLOOKUP(O1797,PROGRAMAS[],2,FALSE),0)</f>
        <v>0</v>
      </c>
      <c r="AD1797" s="246">
        <f>IFERROR(VLOOKUP(P1797,PROGRAMAS[],2,FALSE),0)</f>
        <v>0</v>
      </c>
      <c r="AE1797" s="246">
        <f>IFERROR(VLOOKUP(Q1797,PROGRAMAS[],2,FALSE),0)</f>
        <v>0</v>
      </c>
      <c r="AF1797" s="246">
        <f>IFERROR(VLOOKUP(D1797,PROGRAMAS[],3,FALSE),0)</f>
        <v>841888629.31080008</v>
      </c>
      <c r="AG1797" s="246">
        <f>IFERROR(VLOOKUP(E1797,PROGRAMAS[],3,FALSE),0)</f>
        <v>3848980803.1642323</v>
      </c>
      <c r="AH1797" s="246">
        <f>IFERROR(VLOOKUP(F1797,PROGRAMAS[],3,FALSE),0)</f>
        <v>3394901471.387517</v>
      </c>
      <c r="AI1797" s="246">
        <f>IFERROR(VLOOKUP(G1797,PROGRAMAS[],3,FALSE),0)</f>
        <v>6129902208.7912121</v>
      </c>
      <c r="AJ1797" s="246">
        <f>IFERROR(VLOOKUP(H1797,PROGRAMAS[],3,FALSE),0)</f>
        <v>7011279577.519702</v>
      </c>
      <c r="AK1797" s="246">
        <f>IFERROR(VLOOKUP(I1797,PROGRAMAS[],3,FALSE),0)</f>
        <v>675517840.109828</v>
      </c>
      <c r="AL1797" s="246">
        <f>IFERROR(VLOOKUP(J1797,PROGRAMAS[],3,FALSE),0)</f>
        <v>2392571243.5584412</v>
      </c>
      <c r="AM1797" s="246">
        <f>IFERROR(VLOOKUP(K1797,PROGRAMAS[],3,FALSE),0)</f>
        <v>31865326.38096505</v>
      </c>
      <c r="AN1797" s="246">
        <f>IFERROR(VLOOKUP(L1797,PROGRAMAS[],3,FALSE),0)</f>
        <v>118617452.52510804</v>
      </c>
      <c r="AO1797" s="246">
        <f>IFERROR(VLOOKUP(M1797,PROGRAMAS[],3,FALSE),0)</f>
        <v>948595847.09039903</v>
      </c>
      <c r="AP1797" s="246">
        <f>IFERROR(VLOOKUP(N1797,PROGRAMAS[],3,FALSE),0)</f>
        <v>0</v>
      </c>
      <c r="AQ1797" s="246">
        <f>IFERROR(VLOOKUP(O1797,PROGRAMAS[],3,FALSE),0)</f>
        <v>0</v>
      </c>
      <c r="AR1797" s="246">
        <f>IFERROR(VLOOKUP(P1797,PROGRAMAS[],3,FALSE),0)</f>
        <v>0</v>
      </c>
      <c r="AS1797" s="246">
        <f>IFERROR(VLOOKUP(Q1797,PROGRAMAS[],3,FALSE),0)</f>
        <v>0</v>
      </c>
      <c r="AT1797" s="246">
        <f>IFERROR(VLOOKUP(D1797,VOL_REC[],2,FALSE),0)</f>
        <v>0</v>
      </c>
      <c r="AU1797" s="246">
        <f>IFERROR(VLOOKUP(E1797,VOL_REC[],2,FALSE),0)</f>
        <v>0</v>
      </c>
      <c r="AV1797" s="246">
        <f>IFERROR(VLOOKUP(F1797,VOL_REC[],2,FALSE),0)</f>
        <v>11089674.200000001</v>
      </c>
      <c r="AW1797" s="246">
        <f>IFERROR(VLOOKUP(G1797,VOL_REC[],2,FALSE),0)</f>
        <v>15540036.397699751</v>
      </c>
      <c r="AX1797" s="246">
        <f>IFERROR(VLOOKUP(H1797,VOL_REC[],2,FALSE),0)</f>
        <v>3761786</v>
      </c>
      <c r="AY1797" s="246">
        <f>IFERROR(VLOOKUP(I1797,VOL_REC[],2,FALSE),0)</f>
        <v>240696.79238099116</v>
      </c>
      <c r="AZ1797" s="246">
        <f>IFERROR(VLOOKUP(J1797,VOL_REC[],2,FALSE),0)</f>
        <v>663244.80000000016</v>
      </c>
      <c r="BA1797" s="246">
        <f>IFERROR(VLOOKUP(K1797,VOL_REC[],2,FALSE),0)</f>
        <v>17074.045034105649</v>
      </c>
      <c r="BB1797" s="246">
        <f>IFERROR(VLOOKUP(L1797,VOL_REC[],2,FALSE),0)</f>
        <v>105072</v>
      </c>
      <c r="BC1797" s="246">
        <f>IFERROR(VLOOKUP(M1797,VOL_REC[],2,FALSE),0)</f>
        <v>740113.98115702497</v>
      </c>
      <c r="BD1797" s="246">
        <f>IFERROR(VLOOKUP(N1797,VOL_REC[],2,FALSE),0)</f>
        <v>0</v>
      </c>
      <c r="BE1797" s="246">
        <f>IFERROR(VLOOKUP(O1797,VOL_REC[],2,FALSE),0)</f>
        <v>0</v>
      </c>
      <c r="BF1797" s="246">
        <f>IFERROR(VLOOKUP(P1797,VOL_REC[],2,FALSE),0)</f>
        <v>0</v>
      </c>
      <c r="BG1797" s="246">
        <f>IFERROR(VLOOKUP(Q1797,VOL_REC[],2,FALSE),0)</f>
        <v>0</v>
      </c>
      <c r="BH1797" s="1710">
        <f t="shared" si="112"/>
        <v>23446593828.910545</v>
      </c>
      <c r="BI1797" s="1710">
        <f t="shared" si="113"/>
        <v>25394120399.838211</v>
      </c>
      <c r="BJ1797" s="1711">
        <f t="shared" si="114"/>
        <v>32157698.216271877</v>
      </c>
      <c r="BK1797" s="1711">
        <f t="shared" si="115"/>
        <v>0.92330797285894284</v>
      </c>
    </row>
    <row r="1798" spans="3:67" x14ac:dyDescent="0.25">
      <c r="C1798" s="246" t="s">
        <v>3148</v>
      </c>
      <c r="D1798" s="246">
        <v>1</v>
      </c>
      <c r="E1798" s="246">
        <v>2</v>
      </c>
      <c r="F1798" s="246">
        <v>3</v>
      </c>
      <c r="G1798" s="246">
        <v>6</v>
      </c>
      <c r="H1798" s="246">
        <v>9</v>
      </c>
      <c r="I1798" s="246">
        <v>12</v>
      </c>
      <c r="J1798" s="246">
        <v>13</v>
      </c>
      <c r="K1798" s="246">
        <v>14</v>
      </c>
      <c r="L1798" s="246">
        <v>16</v>
      </c>
      <c r="M1798" s="246">
        <v>17</v>
      </c>
      <c r="N1798" s="246"/>
      <c r="O1798" s="246"/>
      <c r="P1798" s="246"/>
      <c r="Q1798" s="246"/>
      <c r="R1798" s="246">
        <f>IFERROR(VLOOKUP(D1798,PROGRAMAS[],2,FALSE),0)</f>
        <v>97037803.679377079</v>
      </c>
      <c r="S1798" s="246">
        <f>IFERROR(VLOOKUP(E1798,PROGRAMAS[],2,FALSE),0)</f>
        <v>640501509.6821388</v>
      </c>
      <c r="T1798" s="246">
        <f>IFERROR(VLOOKUP(F1798,PROGRAMAS[],2,FALSE),0)</f>
        <v>3062327798.1525245</v>
      </c>
      <c r="U1798" s="246">
        <f>IFERROR(VLOOKUP(G1798,PROGRAMAS[],2,FALSE),0)</f>
        <v>6907648435.8447599</v>
      </c>
      <c r="V1798" s="246">
        <f>IFERROR(VLOOKUP(H1798,PROGRAMAS[],2,FALSE),0)</f>
        <v>6128579952.1618185</v>
      </c>
      <c r="W1798" s="246">
        <f>IFERROR(VLOOKUP(I1798,PROGRAMAS[],2,FALSE),0)</f>
        <v>764796700.79905891</v>
      </c>
      <c r="X1798" s="246">
        <f>IFERROR(VLOOKUP(J1798,PROGRAMAS[],2,FALSE),0)</f>
        <v>3776538594.4604583</v>
      </c>
      <c r="Y1798" s="246">
        <f>IFERROR(VLOOKUP(K1798,PROGRAMAS[],2,FALSE),0)</f>
        <v>54223862.645839565</v>
      </c>
      <c r="Z1798" s="246">
        <f>IFERROR(VLOOKUP(L1798,PROGRAMAS[],2,FALSE),0)</f>
        <v>7068496961.0436354</v>
      </c>
      <c r="AA1798" s="246">
        <f>IFERROR(VLOOKUP(M1798,PROGRAMAS[],2,FALSE),0)</f>
        <v>1892779498.5211046</v>
      </c>
      <c r="AB1798" s="246">
        <f>IFERROR(VLOOKUP(N1798,PROGRAMAS[],2,FALSE),0)</f>
        <v>0</v>
      </c>
      <c r="AC1798" s="246">
        <f>IFERROR(VLOOKUP(O1798,PROGRAMAS[],2,FALSE),0)</f>
        <v>0</v>
      </c>
      <c r="AD1798" s="246">
        <f>IFERROR(VLOOKUP(P1798,PROGRAMAS[],2,FALSE),0)</f>
        <v>0</v>
      </c>
      <c r="AE1798" s="246">
        <f>IFERROR(VLOOKUP(Q1798,PROGRAMAS[],2,FALSE),0)</f>
        <v>0</v>
      </c>
      <c r="AF1798" s="246">
        <f>IFERROR(VLOOKUP(D1798,PROGRAMAS[],3,FALSE),0)</f>
        <v>841888629.31080008</v>
      </c>
      <c r="AG1798" s="246">
        <f>IFERROR(VLOOKUP(E1798,PROGRAMAS[],3,FALSE),0)</f>
        <v>3848980803.1642323</v>
      </c>
      <c r="AH1798" s="246">
        <f>IFERROR(VLOOKUP(F1798,PROGRAMAS[],3,FALSE),0)</f>
        <v>3394901471.387517</v>
      </c>
      <c r="AI1798" s="246">
        <f>IFERROR(VLOOKUP(G1798,PROGRAMAS[],3,FALSE),0)</f>
        <v>6129902208.7912121</v>
      </c>
      <c r="AJ1798" s="246">
        <f>IFERROR(VLOOKUP(H1798,PROGRAMAS[],3,FALSE),0)</f>
        <v>7011279577.519702</v>
      </c>
      <c r="AK1798" s="246">
        <f>IFERROR(VLOOKUP(I1798,PROGRAMAS[],3,FALSE),0)</f>
        <v>675517840.109828</v>
      </c>
      <c r="AL1798" s="246">
        <f>IFERROR(VLOOKUP(J1798,PROGRAMAS[],3,FALSE),0)</f>
        <v>2392571243.5584412</v>
      </c>
      <c r="AM1798" s="246">
        <f>IFERROR(VLOOKUP(K1798,PROGRAMAS[],3,FALSE),0)</f>
        <v>31865326.38096505</v>
      </c>
      <c r="AN1798" s="246">
        <f>IFERROR(VLOOKUP(L1798,PROGRAMAS[],3,FALSE),0)</f>
        <v>2406564599.0319901</v>
      </c>
      <c r="AO1798" s="246">
        <f>IFERROR(VLOOKUP(M1798,PROGRAMAS[],3,FALSE),0)</f>
        <v>948595847.09039903</v>
      </c>
      <c r="AP1798" s="246">
        <f>IFERROR(VLOOKUP(N1798,PROGRAMAS[],3,FALSE),0)</f>
        <v>0</v>
      </c>
      <c r="AQ1798" s="246">
        <f>IFERROR(VLOOKUP(O1798,PROGRAMAS[],3,FALSE),0)</f>
        <v>0</v>
      </c>
      <c r="AR1798" s="246">
        <f>IFERROR(VLOOKUP(P1798,PROGRAMAS[],3,FALSE),0)</f>
        <v>0</v>
      </c>
      <c r="AS1798" s="246">
        <f>IFERROR(VLOOKUP(Q1798,PROGRAMAS[],3,FALSE),0)</f>
        <v>0</v>
      </c>
      <c r="AT1798" s="246">
        <f>IFERROR(VLOOKUP(D1798,VOL_REC[],2,FALSE),0)</f>
        <v>0</v>
      </c>
      <c r="AU1798" s="246">
        <f>IFERROR(VLOOKUP(E1798,VOL_REC[],2,FALSE),0)</f>
        <v>0</v>
      </c>
      <c r="AV1798" s="246">
        <f>IFERROR(VLOOKUP(F1798,VOL_REC[],2,FALSE),0)</f>
        <v>11089674.200000001</v>
      </c>
      <c r="AW1798" s="246">
        <f>IFERROR(VLOOKUP(G1798,VOL_REC[],2,FALSE),0)</f>
        <v>15540036.397699751</v>
      </c>
      <c r="AX1798" s="246">
        <f>IFERROR(VLOOKUP(H1798,VOL_REC[],2,FALSE),0)</f>
        <v>3761786</v>
      </c>
      <c r="AY1798" s="246">
        <f>IFERROR(VLOOKUP(I1798,VOL_REC[],2,FALSE),0)</f>
        <v>240696.79238099116</v>
      </c>
      <c r="AZ1798" s="246">
        <f>IFERROR(VLOOKUP(J1798,VOL_REC[],2,FALSE),0)</f>
        <v>663244.80000000016</v>
      </c>
      <c r="BA1798" s="246">
        <f>IFERROR(VLOOKUP(K1798,VOL_REC[],2,FALSE),0)</f>
        <v>17074.045034105649</v>
      </c>
      <c r="BB1798" s="246">
        <f>IFERROR(VLOOKUP(L1798,VOL_REC[],2,FALSE),0)</f>
        <v>1072354.9981737854</v>
      </c>
      <c r="BC1798" s="246">
        <f>IFERROR(VLOOKUP(M1798,VOL_REC[],2,FALSE),0)</f>
        <v>740113.98115702497</v>
      </c>
      <c r="BD1798" s="246">
        <f>IFERROR(VLOOKUP(N1798,VOL_REC[],2,FALSE),0)</f>
        <v>0</v>
      </c>
      <c r="BE1798" s="246">
        <f>IFERROR(VLOOKUP(O1798,VOL_REC[],2,FALSE),0)</f>
        <v>0</v>
      </c>
      <c r="BF1798" s="246">
        <f>IFERROR(VLOOKUP(P1798,VOL_REC[],2,FALSE),0)</f>
        <v>0</v>
      </c>
      <c r="BG1798" s="246">
        <f>IFERROR(VLOOKUP(Q1798,VOL_REC[],2,FALSE),0)</f>
        <v>0</v>
      </c>
      <c r="BH1798" s="1710">
        <f t="shared" si="112"/>
        <v>30392931116.990715</v>
      </c>
      <c r="BI1798" s="1710">
        <f t="shared" si="113"/>
        <v>27682067546.345093</v>
      </c>
      <c r="BJ1798" s="1711">
        <f t="shared" si="114"/>
        <v>33124981.214445662</v>
      </c>
      <c r="BK1798" s="1711">
        <f t="shared" si="115"/>
        <v>1.0979285079088517</v>
      </c>
      <c r="BL1798">
        <f>BJ1798</f>
        <v>33124981.214445662</v>
      </c>
      <c r="BO1798">
        <f>BL1798</f>
        <v>33124981.214445662</v>
      </c>
    </row>
    <row r="1799" spans="3:67" x14ac:dyDescent="0.25">
      <c r="C1799" s="246" t="s">
        <v>3149</v>
      </c>
      <c r="D1799" s="246">
        <v>1</v>
      </c>
      <c r="E1799" s="246">
        <v>2</v>
      </c>
      <c r="F1799" s="246">
        <v>3</v>
      </c>
      <c r="G1799" s="246">
        <v>6</v>
      </c>
      <c r="H1799" s="246">
        <v>9</v>
      </c>
      <c r="I1799" s="246">
        <v>12</v>
      </c>
      <c r="J1799" s="246">
        <v>13</v>
      </c>
      <c r="K1799" s="246">
        <v>15</v>
      </c>
      <c r="L1799" s="246">
        <v>16</v>
      </c>
      <c r="M1799" s="246">
        <v>17</v>
      </c>
      <c r="N1799" s="246"/>
      <c r="O1799" s="246"/>
      <c r="P1799" s="246"/>
      <c r="Q1799" s="246"/>
      <c r="R1799" s="246">
        <f>IFERROR(VLOOKUP(D1799,PROGRAMAS[],2,FALSE),0)</f>
        <v>97037803.679377079</v>
      </c>
      <c r="S1799" s="246">
        <f>IFERROR(VLOOKUP(E1799,PROGRAMAS[],2,FALSE),0)</f>
        <v>640501509.6821388</v>
      </c>
      <c r="T1799" s="246">
        <f>IFERROR(VLOOKUP(F1799,PROGRAMAS[],2,FALSE),0)</f>
        <v>3062327798.1525245</v>
      </c>
      <c r="U1799" s="246">
        <f>IFERROR(VLOOKUP(G1799,PROGRAMAS[],2,FALSE),0)</f>
        <v>6907648435.8447599</v>
      </c>
      <c r="V1799" s="246">
        <f>IFERROR(VLOOKUP(H1799,PROGRAMAS[],2,FALSE),0)</f>
        <v>6128579952.1618185</v>
      </c>
      <c r="W1799" s="246">
        <f>IFERROR(VLOOKUP(I1799,PROGRAMAS[],2,FALSE),0)</f>
        <v>764796700.79905891</v>
      </c>
      <c r="X1799" s="246">
        <f>IFERROR(VLOOKUP(J1799,PROGRAMAS[],2,FALSE),0)</f>
        <v>3776538594.4604583</v>
      </c>
      <c r="Y1799" s="246">
        <f>IFERROR(VLOOKUP(K1799,PROGRAMAS[],2,FALSE),0)</f>
        <v>122159672.96346797</v>
      </c>
      <c r="Z1799" s="246">
        <f>IFERROR(VLOOKUP(L1799,PROGRAMAS[],2,FALSE),0)</f>
        <v>7068496961.0436354</v>
      </c>
      <c r="AA1799" s="246">
        <f>IFERROR(VLOOKUP(M1799,PROGRAMAS[],2,FALSE),0)</f>
        <v>1892779498.5211046</v>
      </c>
      <c r="AB1799" s="246">
        <f>IFERROR(VLOOKUP(N1799,PROGRAMAS[],2,FALSE),0)</f>
        <v>0</v>
      </c>
      <c r="AC1799" s="246">
        <f>IFERROR(VLOOKUP(O1799,PROGRAMAS[],2,FALSE),0)</f>
        <v>0</v>
      </c>
      <c r="AD1799" s="246">
        <f>IFERROR(VLOOKUP(P1799,PROGRAMAS[],2,FALSE),0)</f>
        <v>0</v>
      </c>
      <c r="AE1799" s="246">
        <f>IFERROR(VLOOKUP(Q1799,PROGRAMAS[],2,FALSE),0)</f>
        <v>0</v>
      </c>
      <c r="AF1799" s="246">
        <f>IFERROR(VLOOKUP(D1799,PROGRAMAS[],3,FALSE),0)</f>
        <v>841888629.31080008</v>
      </c>
      <c r="AG1799" s="246">
        <f>IFERROR(VLOOKUP(E1799,PROGRAMAS[],3,FALSE),0)</f>
        <v>3848980803.1642323</v>
      </c>
      <c r="AH1799" s="246">
        <f>IFERROR(VLOOKUP(F1799,PROGRAMAS[],3,FALSE),0)</f>
        <v>3394901471.387517</v>
      </c>
      <c r="AI1799" s="246">
        <f>IFERROR(VLOOKUP(G1799,PROGRAMAS[],3,FALSE),0)</f>
        <v>6129902208.7912121</v>
      </c>
      <c r="AJ1799" s="246">
        <f>IFERROR(VLOOKUP(H1799,PROGRAMAS[],3,FALSE),0)</f>
        <v>7011279577.519702</v>
      </c>
      <c r="AK1799" s="246">
        <f>IFERROR(VLOOKUP(I1799,PROGRAMAS[],3,FALSE),0)</f>
        <v>675517840.109828</v>
      </c>
      <c r="AL1799" s="246">
        <f>IFERROR(VLOOKUP(J1799,PROGRAMAS[],3,FALSE),0)</f>
        <v>2392571243.5584412</v>
      </c>
      <c r="AM1799" s="246">
        <f>IFERROR(VLOOKUP(K1799,PROGRAMAS[],3,FALSE),0)</f>
        <v>118617452.52510804</v>
      </c>
      <c r="AN1799" s="246">
        <f>IFERROR(VLOOKUP(L1799,PROGRAMAS[],3,FALSE),0)</f>
        <v>2406564599.0319901</v>
      </c>
      <c r="AO1799" s="246">
        <f>IFERROR(VLOOKUP(M1799,PROGRAMAS[],3,FALSE),0)</f>
        <v>948595847.09039903</v>
      </c>
      <c r="AP1799" s="246">
        <f>IFERROR(VLOOKUP(N1799,PROGRAMAS[],3,FALSE),0)</f>
        <v>0</v>
      </c>
      <c r="AQ1799" s="246">
        <f>IFERROR(VLOOKUP(O1799,PROGRAMAS[],3,FALSE),0)</f>
        <v>0</v>
      </c>
      <c r="AR1799" s="246">
        <f>IFERROR(VLOOKUP(P1799,PROGRAMAS[],3,FALSE),0)</f>
        <v>0</v>
      </c>
      <c r="AS1799" s="246">
        <f>IFERROR(VLOOKUP(Q1799,PROGRAMAS[],3,FALSE),0)</f>
        <v>0</v>
      </c>
      <c r="AT1799" s="246">
        <f>IFERROR(VLOOKUP(D1799,VOL_REC[],2,FALSE),0)</f>
        <v>0</v>
      </c>
      <c r="AU1799" s="246">
        <f>IFERROR(VLOOKUP(E1799,VOL_REC[],2,FALSE),0)</f>
        <v>0</v>
      </c>
      <c r="AV1799" s="246">
        <f>IFERROR(VLOOKUP(F1799,VOL_REC[],2,FALSE),0)</f>
        <v>11089674.200000001</v>
      </c>
      <c r="AW1799" s="246">
        <f>IFERROR(VLOOKUP(G1799,VOL_REC[],2,FALSE),0)</f>
        <v>15540036.397699751</v>
      </c>
      <c r="AX1799" s="246">
        <f>IFERROR(VLOOKUP(H1799,VOL_REC[],2,FALSE),0)</f>
        <v>3761786</v>
      </c>
      <c r="AY1799" s="246">
        <f>IFERROR(VLOOKUP(I1799,VOL_REC[],2,FALSE),0)</f>
        <v>240696.79238099116</v>
      </c>
      <c r="AZ1799" s="246">
        <f>IFERROR(VLOOKUP(J1799,VOL_REC[],2,FALSE),0)</f>
        <v>663244.80000000016</v>
      </c>
      <c r="BA1799" s="246">
        <f>IFERROR(VLOOKUP(K1799,VOL_REC[],2,FALSE),0)</f>
        <v>105072</v>
      </c>
      <c r="BB1799" s="246">
        <f>IFERROR(VLOOKUP(L1799,VOL_REC[],2,FALSE),0)</f>
        <v>1072354.9981737854</v>
      </c>
      <c r="BC1799" s="246">
        <f>IFERROR(VLOOKUP(M1799,VOL_REC[],2,FALSE),0)</f>
        <v>740113.98115702497</v>
      </c>
      <c r="BD1799" s="246">
        <f>IFERROR(VLOOKUP(N1799,VOL_REC[],2,FALSE),0)</f>
        <v>0</v>
      </c>
      <c r="BE1799" s="246">
        <f>IFERROR(VLOOKUP(O1799,VOL_REC[],2,FALSE),0)</f>
        <v>0</v>
      </c>
      <c r="BF1799" s="246">
        <f>IFERROR(VLOOKUP(P1799,VOL_REC[],2,FALSE),0)</f>
        <v>0</v>
      </c>
      <c r="BG1799" s="246">
        <f>IFERROR(VLOOKUP(Q1799,VOL_REC[],2,FALSE),0)</f>
        <v>0</v>
      </c>
      <c r="BH1799" s="1710">
        <f t="shared" si="112"/>
        <v>30460866927.308342</v>
      </c>
      <c r="BI1799" s="1710">
        <f t="shared" si="113"/>
        <v>27768819672.489235</v>
      </c>
      <c r="BJ1799" s="1711">
        <f t="shared" si="114"/>
        <v>33212979.169411555</v>
      </c>
      <c r="BK1799" s="1711">
        <f t="shared" si="115"/>
        <v>1.0969449651288614</v>
      </c>
      <c r="BL1799">
        <f>BJ1799</f>
        <v>33212979.169411555</v>
      </c>
      <c r="BO1799">
        <f>BL1799</f>
        <v>33212979.169411555</v>
      </c>
    </row>
    <row r="1800" spans="3:67" x14ac:dyDescent="0.25">
      <c r="C1800" s="246" t="s">
        <v>3150</v>
      </c>
      <c r="D1800" s="246">
        <v>1</v>
      </c>
      <c r="E1800" s="246">
        <v>2</v>
      </c>
      <c r="F1800" s="246">
        <v>3</v>
      </c>
      <c r="G1800" s="246">
        <v>6</v>
      </c>
      <c r="H1800" s="246">
        <v>9</v>
      </c>
      <c r="I1800" s="246">
        <v>12</v>
      </c>
      <c r="J1800" s="246">
        <v>14</v>
      </c>
      <c r="K1800" s="246">
        <v>15</v>
      </c>
      <c r="L1800" s="246">
        <v>16</v>
      </c>
      <c r="M1800" s="246">
        <v>17</v>
      </c>
      <c r="N1800" s="246"/>
      <c r="O1800" s="246"/>
      <c r="P1800" s="246"/>
      <c r="Q1800" s="246"/>
      <c r="R1800" s="246">
        <f>IFERROR(VLOOKUP(D1800,PROGRAMAS[],2,FALSE),0)</f>
        <v>97037803.679377079</v>
      </c>
      <c r="S1800" s="246">
        <f>IFERROR(VLOOKUP(E1800,PROGRAMAS[],2,FALSE),0)</f>
        <v>640501509.6821388</v>
      </c>
      <c r="T1800" s="246">
        <f>IFERROR(VLOOKUP(F1800,PROGRAMAS[],2,FALSE),0)</f>
        <v>3062327798.1525245</v>
      </c>
      <c r="U1800" s="246">
        <f>IFERROR(VLOOKUP(G1800,PROGRAMAS[],2,FALSE),0)</f>
        <v>6907648435.8447599</v>
      </c>
      <c r="V1800" s="246">
        <f>IFERROR(VLOOKUP(H1800,PROGRAMAS[],2,FALSE),0)</f>
        <v>6128579952.1618185</v>
      </c>
      <c r="W1800" s="246">
        <f>IFERROR(VLOOKUP(I1800,PROGRAMAS[],2,FALSE),0)</f>
        <v>764796700.79905891</v>
      </c>
      <c r="X1800" s="246">
        <f>IFERROR(VLOOKUP(J1800,PROGRAMAS[],2,FALSE),0)</f>
        <v>54223862.645839565</v>
      </c>
      <c r="Y1800" s="246">
        <f>IFERROR(VLOOKUP(K1800,PROGRAMAS[],2,FALSE),0)</f>
        <v>122159672.96346797</v>
      </c>
      <c r="Z1800" s="246">
        <f>IFERROR(VLOOKUP(L1800,PROGRAMAS[],2,FALSE),0)</f>
        <v>7068496961.0436354</v>
      </c>
      <c r="AA1800" s="246">
        <f>IFERROR(VLOOKUP(M1800,PROGRAMAS[],2,FALSE),0)</f>
        <v>1892779498.5211046</v>
      </c>
      <c r="AB1800" s="246">
        <f>IFERROR(VLOOKUP(N1800,PROGRAMAS[],2,FALSE),0)</f>
        <v>0</v>
      </c>
      <c r="AC1800" s="246">
        <f>IFERROR(VLOOKUP(O1800,PROGRAMAS[],2,FALSE),0)</f>
        <v>0</v>
      </c>
      <c r="AD1800" s="246">
        <f>IFERROR(VLOOKUP(P1800,PROGRAMAS[],2,FALSE),0)</f>
        <v>0</v>
      </c>
      <c r="AE1800" s="246">
        <f>IFERROR(VLOOKUP(Q1800,PROGRAMAS[],2,FALSE),0)</f>
        <v>0</v>
      </c>
      <c r="AF1800" s="246">
        <f>IFERROR(VLOOKUP(D1800,PROGRAMAS[],3,FALSE),0)</f>
        <v>841888629.31080008</v>
      </c>
      <c r="AG1800" s="246">
        <f>IFERROR(VLOOKUP(E1800,PROGRAMAS[],3,FALSE),0)</f>
        <v>3848980803.1642323</v>
      </c>
      <c r="AH1800" s="246">
        <f>IFERROR(VLOOKUP(F1800,PROGRAMAS[],3,FALSE),0)</f>
        <v>3394901471.387517</v>
      </c>
      <c r="AI1800" s="246">
        <f>IFERROR(VLOOKUP(G1800,PROGRAMAS[],3,FALSE),0)</f>
        <v>6129902208.7912121</v>
      </c>
      <c r="AJ1800" s="246">
        <f>IFERROR(VLOOKUP(H1800,PROGRAMAS[],3,FALSE),0)</f>
        <v>7011279577.519702</v>
      </c>
      <c r="AK1800" s="246">
        <f>IFERROR(VLOOKUP(I1800,PROGRAMAS[],3,FALSE),0)</f>
        <v>675517840.109828</v>
      </c>
      <c r="AL1800" s="246">
        <f>IFERROR(VLOOKUP(J1800,PROGRAMAS[],3,FALSE),0)</f>
        <v>31865326.38096505</v>
      </c>
      <c r="AM1800" s="246">
        <f>IFERROR(VLOOKUP(K1800,PROGRAMAS[],3,FALSE),0)</f>
        <v>118617452.52510804</v>
      </c>
      <c r="AN1800" s="246">
        <f>IFERROR(VLOOKUP(L1800,PROGRAMAS[],3,FALSE),0)</f>
        <v>2406564599.0319901</v>
      </c>
      <c r="AO1800" s="246">
        <f>IFERROR(VLOOKUP(M1800,PROGRAMAS[],3,FALSE),0)</f>
        <v>948595847.09039903</v>
      </c>
      <c r="AP1800" s="246">
        <f>IFERROR(VLOOKUP(N1800,PROGRAMAS[],3,FALSE),0)</f>
        <v>0</v>
      </c>
      <c r="AQ1800" s="246">
        <f>IFERROR(VLOOKUP(O1800,PROGRAMAS[],3,FALSE),0)</f>
        <v>0</v>
      </c>
      <c r="AR1800" s="246">
        <f>IFERROR(VLOOKUP(P1800,PROGRAMAS[],3,FALSE),0)</f>
        <v>0</v>
      </c>
      <c r="AS1800" s="246">
        <f>IFERROR(VLOOKUP(Q1800,PROGRAMAS[],3,FALSE),0)</f>
        <v>0</v>
      </c>
      <c r="AT1800" s="246">
        <f>IFERROR(VLOOKUP(D1800,VOL_REC[],2,FALSE),0)</f>
        <v>0</v>
      </c>
      <c r="AU1800" s="246">
        <f>IFERROR(VLOOKUP(E1800,VOL_REC[],2,FALSE),0)</f>
        <v>0</v>
      </c>
      <c r="AV1800" s="246">
        <f>IFERROR(VLOOKUP(F1800,VOL_REC[],2,FALSE),0)</f>
        <v>11089674.200000001</v>
      </c>
      <c r="AW1800" s="246">
        <f>IFERROR(VLOOKUP(G1800,VOL_REC[],2,FALSE),0)</f>
        <v>15540036.397699751</v>
      </c>
      <c r="AX1800" s="246">
        <f>IFERROR(VLOOKUP(H1800,VOL_REC[],2,FALSE),0)</f>
        <v>3761786</v>
      </c>
      <c r="AY1800" s="246">
        <f>IFERROR(VLOOKUP(I1800,VOL_REC[],2,FALSE),0)</f>
        <v>240696.79238099116</v>
      </c>
      <c r="AZ1800" s="246">
        <f>IFERROR(VLOOKUP(J1800,VOL_REC[],2,FALSE),0)</f>
        <v>17074.045034105649</v>
      </c>
      <c r="BA1800" s="246">
        <f>IFERROR(VLOOKUP(K1800,VOL_REC[],2,FALSE),0)</f>
        <v>105072</v>
      </c>
      <c r="BB1800" s="246">
        <f>IFERROR(VLOOKUP(L1800,VOL_REC[],2,FALSE),0)</f>
        <v>1072354.9981737854</v>
      </c>
      <c r="BC1800" s="246">
        <f>IFERROR(VLOOKUP(M1800,VOL_REC[],2,FALSE),0)</f>
        <v>740113.98115702497</v>
      </c>
      <c r="BD1800" s="246">
        <f>IFERROR(VLOOKUP(N1800,VOL_REC[],2,FALSE),0)</f>
        <v>0</v>
      </c>
      <c r="BE1800" s="246">
        <f>IFERROR(VLOOKUP(O1800,VOL_REC[],2,FALSE),0)</f>
        <v>0</v>
      </c>
      <c r="BF1800" s="246">
        <f>IFERROR(VLOOKUP(P1800,VOL_REC[],2,FALSE),0)</f>
        <v>0</v>
      </c>
      <c r="BG1800" s="246">
        <f>IFERROR(VLOOKUP(Q1800,VOL_REC[],2,FALSE),0)</f>
        <v>0</v>
      </c>
      <c r="BH1800" s="1710">
        <f t="shared" si="112"/>
        <v>26738552195.493725</v>
      </c>
      <c r="BI1800" s="1710">
        <f t="shared" si="113"/>
        <v>25408113755.31176</v>
      </c>
      <c r="BJ1800" s="1711">
        <f t="shared" si="114"/>
        <v>32566808.414445661</v>
      </c>
      <c r="BK1800" s="1711">
        <f t="shared" si="115"/>
        <v>1.0523627394380595</v>
      </c>
      <c r="BL1800">
        <f>BJ1800</f>
        <v>32566808.414445661</v>
      </c>
      <c r="BO1800">
        <f>BL1800</f>
        <v>32566808.414445661</v>
      </c>
    </row>
    <row r="1801" spans="3:67" x14ac:dyDescent="0.25">
      <c r="C1801" s="246" t="s">
        <v>3151</v>
      </c>
      <c r="D1801" s="246">
        <v>1</v>
      </c>
      <c r="E1801" s="246">
        <v>2</v>
      </c>
      <c r="F1801" s="246">
        <v>3</v>
      </c>
      <c r="G1801" s="246">
        <v>6</v>
      </c>
      <c r="H1801" s="246">
        <v>9</v>
      </c>
      <c r="I1801" s="246">
        <v>13</v>
      </c>
      <c r="J1801" s="246">
        <v>14</v>
      </c>
      <c r="K1801" s="246">
        <v>15</v>
      </c>
      <c r="L1801" s="246">
        <v>16</v>
      </c>
      <c r="M1801" s="246">
        <v>17</v>
      </c>
      <c r="N1801" s="246"/>
      <c r="O1801" s="246"/>
      <c r="P1801" s="246"/>
      <c r="Q1801" s="246"/>
      <c r="R1801" s="246">
        <f>IFERROR(VLOOKUP(D1801,PROGRAMAS[],2,FALSE),0)</f>
        <v>97037803.679377079</v>
      </c>
      <c r="S1801" s="246">
        <f>IFERROR(VLOOKUP(E1801,PROGRAMAS[],2,FALSE),0)</f>
        <v>640501509.6821388</v>
      </c>
      <c r="T1801" s="246">
        <f>IFERROR(VLOOKUP(F1801,PROGRAMAS[],2,FALSE),0)</f>
        <v>3062327798.1525245</v>
      </c>
      <c r="U1801" s="246">
        <f>IFERROR(VLOOKUP(G1801,PROGRAMAS[],2,FALSE),0)</f>
        <v>6907648435.8447599</v>
      </c>
      <c r="V1801" s="246">
        <f>IFERROR(VLOOKUP(H1801,PROGRAMAS[],2,FALSE),0)</f>
        <v>6128579952.1618185</v>
      </c>
      <c r="W1801" s="246">
        <f>IFERROR(VLOOKUP(I1801,PROGRAMAS[],2,FALSE),0)</f>
        <v>3776538594.4604583</v>
      </c>
      <c r="X1801" s="246">
        <f>IFERROR(VLOOKUP(J1801,PROGRAMAS[],2,FALSE),0)</f>
        <v>54223862.645839565</v>
      </c>
      <c r="Y1801" s="246">
        <f>IFERROR(VLOOKUP(K1801,PROGRAMAS[],2,FALSE),0)</f>
        <v>122159672.96346797</v>
      </c>
      <c r="Z1801" s="246">
        <f>IFERROR(VLOOKUP(L1801,PROGRAMAS[],2,FALSE),0)</f>
        <v>7068496961.0436354</v>
      </c>
      <c r="AA1801" s="246">
        <f>IFERROR(VLOOKUP(M1801,PROGRAMAS[],2,FALSE),0)</f>
        <v>1892779498.5211046</v>
      </c>
      <c r="AB1801" s="246">
        <f>IFERROR(VLOOKUP(N1801,PROGRAMAS[],2,FALSE),0)</f>
        <v>0</v>
      </c>
      <c r="AC1801" s="246">
        <f>IFERROR(VLOOKUP(O1801,PROGRAMAS[],2,FALSE),0)</f>
        <v>0</v>
      </c>
      <c r="AD1801" s="246">
        <f>IFERROR(VLOOKUP(P1801,PROGRAMAS[],2,FALSE),0)</f>
        <v>0</v>
      </c>
      <c r="AE1801" s="246">
        <f>IFERROR(VLOOKUP(Q1801,PROGRAMAS[],2,FALSE),0)</f>
        <v>0</v>
      </c>
      <c r="AF1801" s="246">
        <f>IFERROR(VLOOKUP(D1801,PROGRAMAS[],3,FALSE),0)</f>
        <v>841888629.31080008</v>
      </c>
      <c r="AG1801" s="246">
        <f>IFERROR(VLOOKUP(E1801,PROGRAMAS[],3,FALSE),0)</f>
        <v>3848980803.1642323</v>
      </c>
      <c r="AH1801" s="246">
        <f>IFERROR(VLOOKUP(F1801,PROGRAMAS[],3,FALSE),0)</f>
        <v>3394901471.387517</v>
      </c>
      <c r="AI1801" s="246">
        <f>IFERROR(VLOOKUP(G1801,PROGRAMAS[],3,FALSE),0)</f>
        <v>6129902208.7912121</v>
      </c>
      <c r="AJ1801" s="246">
        <f>IFERROR(VLOOKUP(H1801,PROGRAMAS[],3,FALSE),0)</f>
        <v>7011279577.519702</v>
      </c>
      <c r="AK1801" s="246">
        <f>IFERROR(VLOOKUP(I1801,PROGRAMAS[],3,FALSE),0)</f>
        <v>2392571243.5584412</v>
      </c>
      <c r="AL1801" s="246">
        <f>IFERROR(VLOOKUP(J1801,PROGRAMAS[],3,FALSE),0)</f>
        <v>31865326.38096505</v>
      </c>
      <c r="AM1801" s="246">
        <f>IFERROR(VLOOKUP(K1801,PROGRAMAS[],3,FALSE),0)</f>
        <v>118617452.52510804</v>
      </c>
      <c r="AN1801" s="246">
        <f>IFERROR(VLOOKUP(L1801,PROGRAMAS[],3,FALSE),0)</f>
        <v>2406564599.0319901</v>
      </c>
      <c r="AO1801" s="246">
        <f>IFERROR(VLOOKUP(M1801,PROGRAMAS[],3,FALSE),0)</f>
        <v>948595847.09039903</v>
      </c>
      <c r="AP1801" s="246">
        <f>IFERROR(VLOOKUP(N1801,PROGRAMAS[],3,FALSE),0)</f>
        <v>0</v>
      </c>
      <c r="AQ1801" s="246">
        <f>IFERROR(VLOOKUP(O1801,PROGRAMAS[],3,FALSE),0)</f>
        <v>0</v>
      </c>
      <c r="AR1801" s="246">
        <f>IFERROR(VLOOKUP(P1801,PROGRAMAS[],3,FALSE),0)</f>
        <v>0</v>
      </c>
      <c r="AS1801" s="246">
        <f>IFERROR(VLOOKUP(Q1801,PROGRAMAS[],3,FALSE),0)</f>
        <v>0</v>
      </c>
      <c r="AT1801" s="246">
        <f>IFERROR(VLOOKUP(D1801,VOL_REC[],2,FALSE),0)</f>
        <v>0</v>
      </c>
      <c r="AU1801" s="246">
        <f>IFERROR(VLOOKUP(E1801,VOL_REC[],2,FALSE),0)</f>
        <v>0</v>
      </c>
      <c r="AV1801" s="246">
        <f>IFERROR(VLOOKUP(F1801,VOL_REC[],2,FALSE),0)</f>
        <v>11089674.200000001</v>
      </c>
      <c r="AW1801" s="246">
        <f>IFERROR(VLOOKUP(G1801,VOL_REC[],2,FALSE),0)</f>
        <v>15540036.397699751</v>
      </c>
      <c r="AX1801" s="246">
        <f>IFERROR(VLOOKUP(H1801,VOL_REC[],2,FALSE),0)</f>
        <v>3761786</v>
      </c>
      <c r="AY1801" s="246">
        <f>IFERROR(VLOOKUP(I1801,VOL_REC[],2,FALSE),0)</f>
        <v>663244.80000000016</v>
      </c>
      <c r="AZ1801" s="246">
        <f>IFERROR(VLOOKUP(J1801,VOL_REC[],2,FALSE),0)</f>
        <v>17074.045034105649</v>
      </c>
      <c r="BA1801" s="246">
        <f>IFERROR(VLOOKUP(K1801,VOL_REC[],2,FALSE),0)</f>
        <v>105072</v>
      </c>
      <c r="BB1801" s="246">
        <f>IFERROR(VLOOKUP(L1801,VOL_REC[],2,FALSE),0)</f>
        <v>1072354.9981737854</v>
      </c>
      <c r="BC1801" s="246">
        <f>IFERROR(VLOOKUP(M1801,VOL_REC[],2,FALSE),0)</f>
        <v>740113.98115702497</v>
      </c>
      <c r="BD1801" s="246">
        <f>IFERROR(VLOOKUP(N1801,VOL_REC[],2,FALSE),0)</f>
        <v>0</v>
      </c>
      <c r="BE1801" s="246">
        <f>IFERROR(VLOOKUP(O1801,VOL_REC[],2,FALSE),0)</f>
        <v>0</v>
      </c>
      <c r="BF1801" s="246">
        <f>IFERROR(VLOOKUP(P1801,VOL_REC[],2,FALSE),0)</f>
        <v>0</v>
      </c>
      <c r="BG1801" s="246">
        <f>IFERROR(VLOOKUP(Q1801,VOL_REC[],2,FALSE),0)</f>
        <v>0</v>
      </c>
      <c r="BH1801" s="1710">
        <f t="shared" si="112"/>
        <v>29750294089.155121</v>
      </c>
      <c r="BI1801" s="1710">
        <f t="shared" si="113"/>
        <v>27125167158.760372</v>
      </c>
      <c r="BJ1801" s="1711">
        <f t="shared" si="114"/>
        <v>32989356.422064669</v>
      </c>
      <c r="BK1801" s="1711">
        <f t="shared" si="115"/>
        <v>1.0967782766104333</v>
      </c>
      <c r="BL1801">
        <f>BJ1801</f>
        <v>32989356.422064669</v>
      </c>
      <c r="BO1801">
        <f>BL1801</f>
        <v>32989356.422064669</v>
      </c>
    </row>
    <row r="1802" spans="3:67" x14ac:dyDescent="0.25">
      <c r="C1802" s="246" t="s">
        <v>3152</v>
      </c>
      <c r="D1802" s="246">
        <v>1</v>
      </c>
      <c r="E1802" s="246">
        <v>2</v>
      </c>
      <c r="F1802" s="246">
        <v>3</v>
      </c>
      <c r="G1802" s="246">
        <v>6</v>
      </c>
      <c r="H1802" s="246">
        <v>10</v>
      </c>
      <c r="I1802" s="246">
        <v>12</v>
      </c>
      <c r="J1802" s="246">
        <v>13</v>
      </c>
      <c r="K1802" s="246">
        <v>14</v>
      </c>
      <c r="L1802" s="246">
        <v>15</v>
      </c>
      <c r="M1802" s="246">
        <v>16</v>
      </c>
      <c r="N1802" s="246"/>
      <c r="O1802" s="246"/>
      <c r="P1802" s="246"/>
      <c r="Q1802" s="246"/>
      <c r="R1802" s="246">
        <f>IFERROR(VLOOKUP(D1802,PROGRAMAS[],2,FALSE),0)</f>
        <v>97037803.679377079</v>
      </c>
      <c r="S1802" s="246">
        <f>IFERROR(VLOOKUP(E1802,PROGRAMAS[],2,FALSE),0)</f>
        <v>640501509.6821388</v>
      </c>
      <c r="T1802" s="246">
        <f>IFERROR(VLOOKUP(F1802,PROGRAMAS[],2,FALSE),0)</f>
        <v>3062327798.1525245</v>
      </c>
      <c r="U1802" s="246">
        <f>IFERROR(VLOOKUP(G1802,PROGRAMAS[],2,FALSE),0)</f>
        <v>6907648435.8447599</v>
      </c>
      <c r="V1802" s="246">
        <f>IFERROR(VLOOKUP(H1802,PROGRAMAS[],2,FALSE),0)</f>
        <v>4635315027.8751087</v>
      </c>
      <c r="W1802" s="246">
        <f>IFERROR(VLOOKUP(I1802,PROGRAMAS[],2,FALSE),0)</f>
        <v>764796700.79905891</v>
      </c>
      <c r="X1802" s="246">
        <f>IFERROR(VLOOKUP(J1802,PROGRAMAS[],2,FALSE),0)</f>
        <v>3776538594.4604583</v>
      </c>
      <c r="Y1802" s="246">
        <f>IFERROR(VLOOKUP(K1802,PROGRAMAS[],2,FALSE),0)</f>
        <v>54223862.645839565</v>
      </c>
      <c r="Z1802" s="246">
        <f>IFERROR(VLOOKUP(L1802,PROGRAMAS[],2,FALSE),0)</f>
        <v>122159672.96346797</v>
      </c>
      <c r="AA1802" s="246">
        <f>IFERROR(VLOOKUP(M1802,PROGRAMAS[],2,FALSE),0)</f>
        <v>7068496961.0436354</v>
      </c>
      <c r="AB1802" s="246">
        <f>IFERROR(VLOOKUP(N1802,PROGRAMAS[],2,FALSE),0)</f>
        <v>0</v>
      </c>
      <c r="AC1802" s="246">
        <f>IFERROR(VLOOKUP(O1802,PROGRAMAS[],2,FALSE),0)</f>
        <v>0</v>
      </c>
      <c r="AD1802" s="246">
        <f>IFERROR(VLOOKUP(P1802,PROGRAMAS[],2,FALSE),0)</f>
        <v>0</v>
      </c>
      <c r="AE1802" s="246">
        <f>IFERROR(VLOOKUP(Q1802,PROGRAMAS[],2,FALSE),0)</f>
        <v>0</v>
      </c>
      <c r="AF1802" s="246">
        <f>IFERROR(VLOOKUP(D1802,PROGRAMAS[],3,FALSE),0)</f>
        <v>841888629.31080008</v>
      </c>
      <c r="AG1802" s="246">
        <f>IFERROR(VLOOKUP(E1802,PROGRAMAS[],3,FALSE),0)</f>
        <v>3848980803.1642323</v>
      </c>
      <c r="AH1802" s="246">
        <f>IFERROR(VLOOKUP(F1802,PROGRAMAS[],3,FALSE),0)</f>
        <v>3394901471.387517</v>
      </c>
      <c r="AI1802" s="246">
        <f>IFERROR(VLOOKUP(G1802,PROGRAMAS[],3,FALSE),0)</f>
        <v>6129902208.7912121</v>
      </c>
      <c r="AJ1802" s="246">
        <f>IFERROR(VLOOKUP(H1802,PROGRAMAS[],3,FALSE),0)</f>
        <v>4099471734.9978786</v>
      </c>
      <c r="AK1802" s="246">
        <f>IFERROR(VLOOKUP(I1802,PROGRAMAS[],3,FALSE),0)</f>
        <v>675517840.109828</v>
      </c>
      <c r="AL1802" s="246">
        <f>IFERROR(VLOOKUP(J1802,PROGRAMAS[],3,FALSE),0)</f>
        <v>2392571243.5584412</v>
      </c>
      <c r="AM1802" s="246">
        <f>IFERROR(VLOOKUP(K1802,PROGRAMAS[],3,FALSE),0)</f>
        <v>31865326.38096505</v>
      </c>
      <c r="AN1802" s="246">
        <f>IFERROR(VLOOKUP(L1802,PROGRAMAS[],3,FALSE),0)</f>
        <v>118617452.52510804</v>
      </c>
      <c r="AO1802" s="246">
        <f>IFERROR(VLOOKUP(M1802,PROGRAMAS[],3,FALSE),0)</f>
        <v>2406564599.0319901</v>
      </c>
      <c r="AP1802" s="246">
        <f>IFERROR(VLOOKUP(N1802,PROGRAMAS[],3,FALSE),0)</f>
        <v>0</v>
      </c>
      <c r="AQ1802" s="246">
        <f>IFERROR(VLOOKUP(O1802,PROGRAMAS[],3,FALSE),0)</f>
        <v>0</v>
      </c>
      <c r="AR1802" s="246">
        <f>IFERROR(VLOOKUP(P1802,PROGRAMAS[],3,FALSE),0)</f>
        <v>0</v>
      </c>
      <c r="AS1802" s="246">
        <f>IFERROR(VLOOKUP(Q1802,PROGRAMAS[],3,FALSE),0)</f>
        <v>0</v>
      </c>
      <c r="AT1802" s="246">
        <f>IFERROR(VLOOKUP(D1802,VOL_REC[],2,FALSE),0)</f>
        <v>0</v>
      </c>
      <c r="AU1802" s="246">
        <f>IFERROR(VLOOKUP(E1802,VOL_REC[],2,FALSE),0)</f>
        <v>0</v>
      </c>
      <c r="AV1802" s="246">
        <f>IFERROR(VLOOKUP(F1802,VOL_REC[],2,FALSE),0)</f>
        <v>11089674.200000001</v>
      </c>
      <c r="AW1802" s="246">
        <f>IFERROR(VLOOKUP(G1802,VOL_REC[],2,FALSE),0)</f>
        <v>15540036.397699751</v>
      </c>
      <c r="AX1802" s="246">
        <f>IFERROR(VLOOKUP(H1802,VOL_REC[],2,FALSE),0)</f>
        <v>1812240</v>
      </c>
      <c r="AY1802" s="246">
        <f>IFERROR(VLOOKUP(I1802,VOL_REC[],2,FALSE),0)</f>
        <v>240696.79238099116</v>
      </c>
      <c r="AZ1802" s="246">
        <f>IFERROR(VLOOKUP(J1802,VOL_REC[],2,FALSE),0)</f>
        <v>663244.80000000016</v>
      </c>
      <c r="BA1802" s="246">
        <f>IFERROR(VLOOKUP(K1802,VOL_REC[],2,FALSE),0)</f>
        <v>17074.045034105649</v>
      </c>
      <c r="BB1802" s="246">
        <f>IFERROR(VLOOKUP(L1802,VOL_REC[],2,FALSE),0)</f>
        <v>105072</v>
      </c>
      <c r="BC1802" s="246">
        <f>IFERROR(VLOOKUP(M1802,VOL_REC[],2,FALSE),0)</f>
        <v>1072354.9981737854</v>
      </c>
      <c r="BD1802" s="246">
        <f>IFERROR(VLOOKUP(N1802,VOL_REC[],2,FALSE),0)</f>
        <v>0</v>
      </c>
      <c r="BE1802" s="246">
        <f>IFERROR(VLOOKUP(O1802,VOL_REC[],2,FALSE),0)</f>
        <v>0</v>
      </c>
      <c r="BF1802" s="246">
        <f>IFERROR(VLOOKUP(P1802,VOL_REC[],2,FALSE),0)</f>
        <v>0</v>
      </c>
      <c r="BG1802" s="246">
        <f>IFERROR(VLOOKUP(Q1802,VOL_REC[],2,FALSE),0)</f>
        <v>0</v>
      </c>
      <c r="BH1802" s="1710">
        <f t="shared" si="112"/>
        <v>27129046367.14637</v>
      </c>
      <c r="BI1802" s="1710">
        <f t="shared" si="113"/>
        <v>23940281309.257977</v>
      </c>
      <c r="BJ1802" s="1711">
        <f t="shared" si="114"/>
        <v>30540393.233288638</v>
      </c>
      <c r="BK1802" s="1711">
        <f t="shared" si="115"/>
        <v>1.1331966411211409</v>
      </c>
      <c r="BL1802">
        <f>BJ1802</f>
        <v>30540393.233288638</v>
      </c>
      <c r="BO1802">
        <f>BL1802</f>
        <v>30540393.233288638</v>
      </c>
    </row>
    <row r="1803" spans="3:67" x14ac:dyDescent="0.25">
      <c r="C1803" s="246" t="s">
        <v>3153</v>
      </c>
      <c r="D1803" s="246">
        <v>1</v>
      </c>
      <c r="E1803" s="246">
        <v>2</v>
      </c>
      <c r="F1803" s="246">
        <v>3</v>
      </c>
      <c r="G1803" s="246">
        <v>6</v>
      </c>
      <c r="H1803" s="246">
        <v>10</v>
      </c>
      <c r="I1803" s="246">
        <v>12</v>
      </c>
      <c r="J1803" s="246">
        <v>13</v>
      </c>
      <c r="K1803" s="246">
        <v>14</v>
      </c>
      <c r="L1803" s="246">
        <v>15</v>
      </c>
      <c r="M1803" s="246">
        <v>17</v>
      </c>
      <c r="N1803" s="246"/>
      <c r="O1803" s="246"/>
      <c r="P1803" s="246"/>
      <c r="Q1803" s="246"/>
      <c r="R1803" s="246">
        <f>IFERROR(VLOOKUP(D1803,PROGRAMAS[],2,FALSE),0)</f>
        <v>97037803.679377079</v>
      </c>
      <c r="S1803" s="246">
        <f>IFERROR(VLOOKUP(E1803,PROGRAMAS[],2,FALSE),0)</f>
        <v>640501509.6821388</v>
      </c>
      <c r="T1803" s="246">
        <f>IFERROR(VLOOKUP(F1803,PROGRAMAS[],2,FALSE),0)</f>
        <v>3062327798.1525245</v>
      </c>
      <c r="U1803" s="246">
        <f>IFERROR(VLOOKUP(G1803,PROGRAMAS[],2,FALSE),0)</f>
        <v>6907648435.8447599</v>
      </c>
      <c r="V1803" s="246">
        <f>IFERROR(VLOOKUP(H1803,PROGRAMAS[],2,FALSE),0)</f>
        <v>4635315027.8751087</v>
      </c>
      <c r="W1803" s="246">
        <f>IFERROR(VLOOKUP(I1803,PROGRAMAS[],2,FALSE),0)</f>
        <v>764796700.79905891</v>
      </c>
      <c r="X1803" s="246">
        <f>IFERROR(VLOOKUP(J1803,PROGRAMAS[],2,FALSE),0)</f>
        <v>3776538594.4604583</v>
      </c>
      <c r="Y1803" s="246">
        <f>IFERROR(VLOOKUP(K1803,PROGRAMAS[],2,FALSE),0)</f>
        <v>54223862.645839565</v>
      </c>
      <c r="Z1803" s="246">
        <f>IFERROR(VLOOKUP(L1803,PROGRAMAS[],2,FALSE),0)</f>
        <v>122159672.96346797</v>
      </c>
      <c r="AA1803" s="246">
        <f>IFERROR(VLOOKUP(M1803,PROGRAMAS[],2,FALSE),0)</f>
        <v>1892779498.5211046</v>
      </c>
      <c r="AB1803" s="246">
        <f>IFERROR(VLOOKUP(N1803,PROGRAMAS[],2,FALSE),0)</f>
        <v>0</v>
      </c>
      <c r="AC1803" s="246">
        <f>IFERROR(VLOOKUP(O1803,PROGRAMAS[],2,FALSE),0)</f>
        <v>0</v>
      </c>
      <c r="AD1803" s="246">
        <f>IFERROR(VLOOKUP(P1803,PROGRAMAS[],2,FALSE),0)</f>
        <v>0</v>
      </c>
      <c r="AE1803" s="246">
        <f>IFERROR(VLOOKUP(Q1803,PROGRAMAS[],2,FALSE),0)</f>
        <v>0</v>
      </c>
      <c r="AF1803" s="246">
        <f>IFERROR(VLOOKUP(D1803,PROGRAMAS[],3,FALSE),0)</f>
        <v>841888629.31080008</v>
      </c>
      <c r="AG1803" s="246">
        <f>IFERROR(VLOOKUP(E1803,PROGRAMAS[],3,FALSE),0)</f>
        <v>3848980803.1642323</v>
      </c>
      <c r="AH1803" s="246">
        <f>IFERROR(VLOOKUP(F1803,PROGRAMAS[],3,FALSE),0)</f>
        <v>3394901471.387517</v>
      </c>
      <c r="AI1803" s="246">
        <f>IFERROR(VLOOKUP(G1803,PROGRAMAS[],3,FALSE),0)</f>
        <v>6129902208.7912121</v>
      </c>
      <c r="AJ1803" s="246">
        <f>IFERROR(VLOOKUP(H1803,PROGRAMAS[],3,FALSE),0)</f>
        <v>4099471734.9978786</v>
      </c>
      <c r="AK1803" s="246">
        <f>IFERROR(VLOOKUP(I1803,PROGRAMAS[],3,FALSE),0)</f>
        <v>675517840.109828</v>
      </c>
      <c r="AL1803" s="246">
        <f>IFERROR(VLOOKUP(J1803,PROGRAMAS[],3,FALSE),0)</f>
        <v>2392571243.5584412</v>
      </c>
      <c r="AM1803" s="246">
        <f>IFERROR(VLOOKUP(K1803,PROGRAMAS[],3,FALSE),0)</f>
        <v>31865326.38096505</v>
      </c>
      <c r="AN1803" s="246">
        <f>IFERROR(VLOOKUP(L1803,PROGRAMAS[],3,FALSE),0)</f>
        <v>118617452.52510804</v>
      </c>
      <c r="AO1803" s="246">
        <f>IFERROR(VLOOKUP(M1803,PROGRAMAS[],3,FALSE),0)</f>
        <v>948595847.09039903</v>
      </c>
      <c r="AP1803" s="246">
        <f>IFERROR(VLOOKUP(N1803,PROGRAMAS[],3,FALSE),0)</f>
        <v>0</v>
      </c>
      <c r="AQ1803" s="246">
        <f>IFERROR(VLOOKUP(O1803,PROGRAMAS[],3,FALSE),0)</f>
        <v>0</v>
      </c>
      <c r="AR1803" s="246">
        <f>IFERROR(VLOOKUP(P1803,PROGRAMAS[],3,FALSE),0)</f>
        <v>0</v>
      </c>
      <c r="AS1803" s="246">
        <f>IFERROR(VLOOKUP(Q1803,PROGRAMAS[],3,FALSE),0)</f>
        <v>0</v>
      </c>
      <c r="AT1803" s="246">
        <f>IFERROR(VLOOKUP(D1803,VOL_REC[],2,FALSE),0)</f>
        <v>0</v>
      </c>
      <c r="AU1803" s="246">
        <f>IFERROR(VLOOKUP(E1803,VOL_REC[],2,FALSE),0)</f>
        <v>0</v>
      </c>
      <c r="AV1803" s="246">
        <f>IFERROR(VLOOKUP(F1803,VOL_REC[],2,FALSE),0)</f>
        <v>11089674.200000001</v>
      </c>
      <c r="AW1803" s="246">
        <f>IFERROR(VLOOKUP(G1803,VOL_REC[],2,FALSE),0)</f>
        <v>15540036.397699751</v>
      </c>
      <c r="AX1803" s="246">
        <f>IFERROR(VLOOKUP(H1803,VOL_REC[],2,FALSE),0)</f>
        <v>1812240</v>
      </c>
      <c r="AY1803" s="246">
        <f>IFERROR(VLOOKUP(I1803,VOL_REC[],2,FALSE),0)</f>
        <v>240696.79238099116</v>
      </c>
      <c r="AZ1803" s="246">
        <f>IFERROR(VLOOKUP(J1803,VOL_REC[],2,FALSE),0)</f>
        <v>663244.80000000016</v>
      </c>
      <c r="BA1803" s="246">
        <f>IFERROR(VLOOKUP(K1803,VOL_REC[],2,FALSE),0)</f>
        <v>17074.045034105649</v>
      </c>
      <c r="BB1803" s="246">
        <f>IFERROR(VLOOKUP(L1803,VOL_REC[],2,FALSE),0)</f>
        <v>105072</v>
      </c>
      <c r="BC1803" s="246">
        <f>IFERROR(VLOOKUP(M1803,VOL_REC[],2,FALSE),0)</f>
        <v>740113.98115702497</v>
      </c>
      <c r="BD1803" s="246">
        <f>IFERROR(VLOOKUP(N1803,VOL_REC[],2,FALSE),0)</f>
        <v>0</v>
      </c>
      <c r="BE1803" s="246">
        <f>IFERROR(VLOOKUP(O1803,VOL_REC[],2,FALSE),0)</f>
        <v>0</v>
      </c>
      <c r="BF1803" s="246">
        <f>IFERROR(VLOOKUP(P1803,VOL_REC[],2,FALSE),0)</f>
        <v>0</v>
      </c>
      <c r="BG1803" s="246">
        <f>IFERROR(VLOOKUP(Q1803,VOL_REC[],2,FALSE),0)</f>
        <v>0</v>
      </c>
      <c r="BH1803" s="1710">
        <f t="shared" si="112"/>
        <v>21953328904.623837</v>
      </c>
      <c r="BI1803" s="1710">
        <f t="shared" si="113"/>
        <v>22482312557.316387</v>
      </c>
      <c r="BJ1803" s="1711">
        <f t="shared" si="114"/>
        <v>30208152.216271877</v>
      </c>
      <c r="BK1803" s="1711">
        <f t="shared" si="115"/>
        <v>0.97647111918118035</v>
      </c>
    </row>
    <row r="1804" spans="3:67" x14ac:dyDescent="0.25">
      <c r="C1804" s="246" t="s">
        <v>3154</v>
      </c>
      <c r="D1804" s="246">
        <v>1</v>
      </c>
      <c r="E1804" s="246">
        <v>2</v>
      </c>
      <c r="F1804" s="246">
        <v>3</v>
      </c>
      <c r="G1804" s="246">
        <v>6</v>
      </c>
      <c r="H1804" s="246">
        <v>10</v>
      </c>
      <c r="I1804" s="246">
        <v>12</v>
      </c>
      <c r="J1804" s="246">
        <v>13</v>
      </c>
      <c r="K1804" s="246">
        <v>14</v>
      </c>
      <c r="L1804" s="246">
        <v>16</v>
      </c>
      <c r="M1804" s="246">
        <v>17</v>
      </c>
      <c r="N1804" s="246"/>
      <c r="O1804" s="246"/>
      <c r="P1804" s="246"/>
      <c r="Q1804" s="246"/>
      <c r="R1804" s="246">
        <f>IFERROR(VLOOKUP(D1804,PROGRAMAS[],2,FALSE),0)</f>
        <v>97037803.679377079</v>
      </c>
      <c r="S1804" s="246">
        <f>IFERROR(VLOOKUP(E1804,PROGRAMAS[],2,FALSE),0)</f>
        <v>640501509.6821388</v>
      </c>
      <c r="T1804" s="246">
        <f>IFERROR(VLOOKUP(F1804,PROGRAMAS[],2,FALSE),0)</f>
        <v>3062327798.1525245</v>
      </c>
      <c r="U1804" s="246">
        <f>IFERROR(VLOOKUP(G1804,PROGRAMAS[],2,FALSE),0)</f>
        <v>6907648435.8447599</v>
      </c>
      <c r="V1804" s="246">
        <f>IFERROR(VLOOKUP(H1804,PROGRAMAS[],2,FALSE),0)</f>
        <v>4635315027.8751087</v>
      </c>
      <c r="W1804" s="246">
        <f>IFERROR(VLOOKUP(I1804,PROGRAMAS[],2,FALSE),0)</f>
        <v>764796700.79905891</v>
      </c>
      <c r="X1804" s="246">
        <f>IFERROR(VLOOKUP(J1804,PROGRAMAS[],2,FALSE),0)</f>
        <v>3776538594.4604583</v>
      </c>
      <c r="Y1804" s="246">
        <f>IFERROR(VLOOKUP(K1804,PROGRAMAS[],2,FALSE),0)</f>
        <v>54223862.645839565</v>
      </c>
      <c r="Z1804" s="246">
        <f>IFERROR(VLOOKUP(L1804,PROGRAMAS[],2,FALSE),0)</f>
        <v>7068496961.0436354</v>
      </c>
      <c r="AA1804" s="246">
        <f>IFERROR(VLOOKUP(M1804,PROGRAMAS[],2,FALSE),0)</f>
        <v>1892779498.5211046</v>
      </c>
      <c r="AB1804" s="246">
        <f>IFERROR(VLOOKUP(N1804,PROGRAMAS[],2,FALSE),0)</f>
        <v>0</v>
      </c>
      <c r="AC1804" s="246">
        <f>IFERROR(VLOOKUP(O1804,PROGRAMAS[],2,FALSE),0)</f>
        <v>0</v>
      </c>
      <c r="AD1804" s="246">
        <f>IFERROR(VLOOKUP(P1804,PROGRAMAS[],2,FALSE),0)</f>
        <v>0</v>
      </c>
      <c r="AE1804" s="246">
        <f>IFERROR(VLOOKUP(Q1804,PROGRAMAS[],2,FALSE),0)</f>
        <v>0</v>
      </c>
      <c r="AF1804" s="246">
        <f>IFERROR(VLOOKUP(D1804,PROGRAMAS[],3,FALSE),0)</f>
        <v>841888629.31080008</v>
      </c>
      <c r="AG1804" s="246">
        <f>IFERROR(VLOOKUP(E1804,PROGRAMAS[],3,FALSE),0)</f>
        <v>3848980803.1642323</v>
      </c>
      <c r="AH1804" s="246">
        <f>IFERROR(VLOOKUP(F1804,PROGRAMAS[],3,FALSE),0)</f>
        <v>3394901471.387517</v>
      </c>
      <c r="AI1804" s="246">
        <f>IFERROR(VLOOKUP(G1804,PROGRAMAS[],3,FALSE),0)</f>
        <v>6129902208.7912121</v>
      </c>
      <c r="AJ1804" s="246">
        <f>IFERROR(VLOOKUP(H1804,PROGRAMAS[],3,FALSE),0)</f>
        <v>4099471734.9978786</v>
      </c>
      <c r="AK1804" s="246">
        <f>IFERROR(VLOOKUP(I1804,PROGRAMAS[],3,FALSE),0)</f>
        <v>675517840.109828</v>
      </c>
      <c r="AL1804" s="246">
        <f>IFERROR(VLOOKUP(J1804,PROGRAMAS[],3,FALSE),0)</f>
        <v>2392571243.5584412</v>
      </c>
      <c r="AM1804" s="246">
        <f>IFERROR(VLOOKUP(K1804,PROGRAMAS[],3,FALSE),0)</f>
        <v>31865326.38096505</v>
      </c>
      <c r="AN1804" s="246">
        <f>IFERROR(VLOOKUP(L1804,PROGRAMAS[],3,FALSE),0)</f>
        <v>2406564599.0319901</v>
      </c>
      <c r="AO1804" s="246">
        <f>IFERROR(VLOOKUP(M1804,PROGRAMAS[],3,FALSE),0)</f>
        <v>948595847.09039903</v>
      </c>
      <c r="AP1804" s="246">
        <f>IFERROR(VLOOKUP(N1804,PROGRAMAS[],3,FALSE),0)</f>
        <v>0</v>
      </c>
      <c r="AQ1804" s="246">
        <f>IFERROR(VLOOKUP(O1804,PROGRAMAS[],3,FALSE),0)</f>
        <v>0</v>
      </c>
      <c r="AR1804" s="246">
        <f>IFERROR(VLOOKUP(P1804,PROGRAMAS[],3,FALSE),0)</f>
        <v>0</v>
      </c>
      <c r="AS1804" s="246">
        <f>IFERROR(VLOOKUP(Q1804,PROGRAMAS[],3,FALSE),0)</f>
        <v>0</v>
      </c>
      <c r="AT1804" s="246">
        <f>IFERROR(VLOOKUP(D1804,VOL_REC[],2,FALSE),0)</f>
        <v>0</v>
      </c>
      <c r="AU1804" s="246">
        <f>IFERROR(VLOOKUP(E1804,VOL_REC[],2,FALSE),0)</f>
        <v>0</v>
      </c>
      <c r="AV1804" s="246">
        <f>IFERROR(VLOOKUP(F1804,VOL_REC[],2,FALSE),0)</f>
        <v>11089674.200000001</v>
      </c>
      <c r="AW1804" s="246">
        <f>IFERROR(VLOOKUP(G1804,VOL_REC[],2,FALSE),0)</f>
        <v>15540036.397699751</v>
      </c>
      <c r="AX1804" s="246">
        <f>IFERROR(VLOOKUP(H1804,VOL_REC[],2,FALSE),0)</f>
        <v>1812240</v>
      </c>
      <c r="AY1804" s="246">
        <f>IFERROR(VLOOKUP(I1804,VOL_REC[],2,FALSE),0)</f>
        <v>240696.79238099116</v>
      </c>
      <c r="AZ1804" s="246">
        <f>IFERROR(VLOOKUP(J1804,VOL_REC[],2,FALSE),0)</f>
        <v>663244.80000000016</v>
      </c>
      <c r="BA1804" s="246">
        <f>IFERROR(VLOOKUP(K1804,VOL_REC[],2,FALSE),0)</f>
        <v>17074.045034105649</v>
      </c>
      <c r="BB1804" s="246">
        <f>IFERROR(VLOOKUP(L1804,VOL_REC[],2,FALSE),0)</f>
        <v>1072354.9981737854</v>
      </c>
      <c r="BC1804" s="246">
        <f>IFERROR(VLOOKUP(M1804,VOL_REC[],2,FALSE),0)</f>
        <v>740113.98115702497</v>
      </c>
      <c r="BD1804" s="246">
        <f>IFERROR(VLOOKUP(N1804,VOL_REC[],2,FALSE),0)</f>
        <v>0</v>
      </c>
      <c r="BE1804" s="246">
        <f>IFERROR(VLOOKUP(O1804,VOL_REC[],2,FALSE),0)</f>
        <v>0</v>
      </c>
      <c r="BF1804" s="246">
        <f>IFERROR(VLOOKUP(P1804,VOL_REC[],2,FALSE),0)</f>
        <v>0</v>
      </c>
      <c r="BG1804" s="246">
        <f>IFERROR(VLOOKUP(Q1804,VOL_REC[],2,FALSE),0)</f>
        <v>0</v>
      </c>
      <c r="BH1804" s="1710">
        <f t="shared" si="112"/>
        <v>28899666192.704006</v>
      </c>
      <c r="BI1804" s="1710">
        <f t="shared" si="113"/>
        <v>24770259703.823269</v>
      </c>
      <c r="BJ1804" s="1711">
        <f t="shared" si="114"/>
        <v>31175435.214445662</v>
      </c>
      <c r="BK1804" s="1711">
        <f t="shared" si="115"/>
        <v>1.1667082436056724</v>
      </c>
      <c r="BL1804">
        <f t="shared" ref="BL1804:BL1809" si="116">BJ1804</f>
        <v>31175435.214445662</v>
      </c>
      <c r="BO1804">
        <f t="shared" ref="BO1804:BO1809" si="117">BL1804</f>
        <v>31175435.214445662</v>
      </c>
    </row>
    <row r="1805" spans="3:67" x14ac:dyDescent="0.25">
      <c r="C1805" s="246" t="s">
        <v>3155</v>
      </c>
      <c r="D1805" s="246">
        <v>1</v>
      </c>
      <c r="E1805" s="246">
        <v>2</v>
      </c>
      <c r="F1805" s="246">
        <v>3</v>
      </c>
      <c r="G1805" s="246">
        <v>6</v>
      </c>
      <c r="H1805" s="246">
        <v>10</v>
      </c>
      <c r="I1805" s="246">
        <v>12</v>
      </c>
      <c r="J1805" s="246">
        <v>13</v>
      </c>
      <c r="K1805" s="246">
        <v>15</v>
      </c>
      <c r="L1805" s="246">
        <v>16</v>
      </c>
      <c r="M1805" s="246">
        <v>17</v>
      </c>
      <c r="N1805" s="246"/>
      <c r="O1805" s="246"/>
      <c r="P1805" s="246"/>
      <c r="Q1805" s="246"/>
      <c r="R1805" s="246">
        <f>IFERROR(VLOOKUP(D1805,PROGRAMAS[],2,FALSE),0)</f>
        <v>97037803.679377079</v>
      </c>
      <c r="S1805" s="246">
        <f>IFERROR(VLOOKUP(E1805,PROGRAMAS[],2,FALSE),0)</f>
        <v>640501509.6821388</v>
      </c>
      <c r="T1805" s="246">
        <f>IFERROR(VLOOKUP(F1805,PROGRAMAS[],2,FALSE),0)</f>
        <v>3062327798.1525245</v>
      </c>
      <c r="U1805" s="246">
        <f>IFERROR(VLOOKUP(G1805,PROGRAMAS[],2,FALSE),0)</f>
        <v>6907648435.8447599</v>
      </c>
      <c r="V1805" s="246">
        <f>IFERROR(VLOOKUP(H1805,PROGRAMAS[],2,FALSE),0)</f>
        <v>4635315027.8751087</v>
      </c>
      <c r="W1805" s="246">
        <f>IFERROR(VLOOKUP(I1805,PROGRAMAS[],2,FALSE),0)</f>
        <v>764796700.79905891</v>
      </c>
      <c r="X1805" s="246">
        <f>IFERROR(VLOOKUP(J1805,PROGRAMAS[],2,FALSE),0)</f>
        <v>3776538594.4604583</v>
      </c>
      <c r="Y1805" s="246">
        <f>IFERROR(VLOOKUP(K1805,PROGRAMAS[],2,FALSE),0)</f>
        <v>122159672.96346797</v>
      </c>
      <c r="Z1805" s="246">
        <f>IFERROR(VLOOKUP(L1805,PROGRAMAS[],2,FALSE),0)</f>
        <v>7068496961.0436354</v>
      </c>
      <c r="AA1805" s="246">
        <f>IFERROR(VLOOKUP(M1805,PROGRAMAS[],2,FALSE),0)</f>
        <v>1892779498.5211046</v>
      </c>
      <c r="AB1805" s="246">
        <f>IFERROR(VLOOKUP(N1805,PROGRAMAS[],2,FALSE),0)</f>
        <v>0</v>
      </c>
      <c r="AC1805" s="246">
        <f>IFERROR(VLOOKUP(O1805,PROGRAMAS[],2,FALSE),0)</f>
        <v>0</v>
      </c>
      <c r="AD1805" s="246">
        <f>IFERROR(VLOOKUP(P1805,PROGRAMAS[],2,FALSE),0)</f>
        <v>0</v>
      </c>
      <c r="AE1805" s="246">
        <f>IFERROR(VLOOKUP(Q1805,PROGRAMAS[],2,FALSE),0)</f>
        <v>0</v>
      </c>
      <c r="AF1805" s="246">
        <f>IFERROR(VLOOKUP(D1805,PROGRAMAS[],3,FALSE),0)</f>
        <v>841888629.31080008</v>
      </c>
      <c r="AG1805" s="246">
        <f>IFERROR(VLOOKUP(E1805,PROGRAMAS[],3,FALSE),0)</f>
        <v>3848980803.1642323</v>
      </c>
      <c r="AH1805" s="246">
        <f>IFERROR(VLOOKUP(F1805,PROGRAMAS[],3,FALSE),0)</f>
        <v>3394901471.387517</v>
      </c>
      <c r="AI1805" s="246">
        <f>IFERROR(VLOOKUP(G1805,PROGRAMAS[],3,FALSE),0)</f>
        <v>6129902208.7912121</v>
      </c>
      <c r="AJ1805" s="246">
        <f>IFERROR(VLOOKUP(H1805,PROGRAMAS[],3,FALSE),0)</f>
        <v>4099471734.9978786</v>
      </c>
      <c r="AK1805" s="246">
        <f>IFERROR(VLOOKUP(I1805,PROGRAMAS[],3,FALSE),0)</f>
        <v>675517840.109828</v>
      </c>
      <c r="AL1805" s="246">
        <f>IFERROR(VLOOKUP(J1805,PROGRAMAS[],3,FALSE),0)</f>
        <v>2392571243.5584412</v>
      </c>
      <c r="AM1805" s="246">
        <f>IFERROR(VLOOKUP(K1805,PROGRAMAS[],3,FALSE),0)</f>
        <v>118617452.52510804</v>
      </c>
      <c r="AN1805" s="246">
        <f>IFERROR(VLOOKUP(L1805,PROGRAMAS[],3,FALSE),0)</f>
        <v>2406564599.0319901</v>
      </c>
      <c r="AO1805" s="246">
        <f>IFERROR(VLOOKUP(M1805,PROGRAMAS[],3,FALSE),0)</f>
        <v>948595847.09039903</v>
      </c>
      <c r="AP1805" s="246">
        <f>IFERROR(VLOOKUP(N1805,PROGRAMAS[],3,FALSE),0)</f>
        <v>0</v>
      </c>
      <c r="AQ1805" s="246">
        <f>IFERROR(VLOOKUP(O1805,PROGRAMAS[],3,FALSE),0)</f>
        <v>0</v>
      </c>
      <c r="AR1805" s="246">
        <f>IFERROR(VLOOKUP(P1805,PROGRAMAS[],3,FALSE),0)</f>
        <v>0</v>
      </c>
      <c r="AS1805" s="246">
        <f>IFERROR(VLOOKUP(Q1805,PROGRAMAS[],3,FALSE),0)</f>
        <v>0</v>
      </c>
      <c r="AT1805" s="246">
        <f>IFERROR(VLOOKUP(D1805,VOL_REC[],2,FALSE),0)</f>
        <v>0</v>
      </c>
      <c r="AU1805" s="246">
        <f>IFERROR(VLOOKUP(E1805,VOL_REC[],2,FALSE),0)</f>
        <v>0</v>
      </c>
      <c r="AV1805" s="246">
        <f>IFERROR(VLOOKUP(F1805,VOL_REC[],2,FALSE),0)</f>
        <v>11089674.200000001</v>
      </c>
      <c r="AW1805" s="246">
        <f>IFERROR(VLOOKUP(G1805,VOL_REC[],2,FALSE),0)</f>
        <v>15540036.397699751</v>
      </c>
      <c r="AX1805" s="246">
        <f>IFERROR(VLOOKUP(H1805,VOL_REC[],2,FALSE),0)</f>
        <v>1812240</v>
      </c>
      <c r="AY1805" s="246">
        <f>IFERROR(VLOOKUP(I1805,VOL_REC[],2,FALSE),0)</f>
        <v>240696.79238099116</v>
      </c>
      <c r="AZ1805" s="246">
        <f>IFERROR(VLOOKUP(J1805,VOL_REC[],2,FALSE),0)</f>
        <v>663244.80000000016</v>
      </c>
      <c r="BA1805" s="246">
        <f>IFERROR(VLOOKUP(K1805,VOL_REC[],2,FALSE),0)</f>
        <v>105072</v>
      </c>
      <c r="BB1805" s="246">
        <f>IFERROR(VLOOKUP(L1805,VOL_REC[],2,FALSE),0)</f>
        <v>1072354.9981737854</v>
      </c>
      <c r="BC1805" s="246">
        <f>IFERROR(VLOOKUP(M1805,VOL_REC[],2,FALSE),0)</f>
        <v>740113.98115702497</v>
      </c>
      <c r="BD1805" s="246">
        <f>IFERROR(VLOOKUP(N1805,VOL_REC[],2,FALSE),0)</f>
        <v>0</v>
      </c>
      <c r="BE1805" s="246">
        <f>IFERROR(VLOOKUP(O1805,VOL_REC[],2,FALSE),0)</f>
        <v>0</v>
      </c>
      <c r="BF1805" s="246">
        <f>IFERROR(VLOOKUP(P1805,VOL_REC[],2,FALSE),0)</f>
        <v>0</v>
      </c>
      <c r="BG1805" s="246">
        <f>IFERROR(VLOOKUP(Q1805,VOL_REC[],2,FALSE),0)</f>
        <v>0</v>
      </c>
      <c r="BH1805" s="1710">
        <f t="shared" si="112"/>
        <v>28967602003.021633</v>
      </c>
      <c r="BI1805" s="1710">
        <f t="shared" si="113"/>
        <v>24857011829.967411</v>
      </c>
      <c r="BJ1805" s="1711">
        <f t="shared" si="114"/>
        <v>31263433.169411555</v>
      </c>
      <c r="BK1805" s="1711">
        <f t="shared" si="115"/>
        <v>1.1653694418771017</v>
      </c>
      <c r="BL1805">
        <f t="shared" si="116"/>
        <v>31263433.169411555</v>
      </c>
      <c r="BO1805">
        <f t="shared" si="117"/>
        <v>31263433.169411555</v>
      </c>
    </row>
    <row r="1806" spans="3:67" x14ac:dyDescent="0.25">
      <c r="C1806" s="246" t="s">
        <v>3156</v>
      </c>
      <c r="D1806" s="246">
        <v>1</v>
      </c>
      <c r="E1806" s="246">
        <v>2</v>
      </c>
      <c r="F1806" s="246">
        <v>3</v>
      </c>
      <c r="G1806" s="246">
        <v>6</v>
      </c>
      <c r="H1806" s="246">
        <v>10</v>
      </c>
      <c r="I1806" s="246">
        <v>12</v>
      </c>
      <c r="J1806" s="246">
        <v>14</v>
      </c>
      <c r="K1806" s="246">
        <v>15</v>
      </c>
      <c r="L1806" s="246">
        <v>16</v>
      </c>
      <c r="M1806" s="246">
        <v>17</v>
      </c>
      <c r="N1806" s="246"/>
      <c r="O1806" s="246"/>
      <c r="P1806" s="246"/>
      <c r="Q1806" s="246"/>
      <c r="R1806" s="246">
        <f>IFERROR(VLOOKUP(D1806,PROGRAMAS[],2,FALSE),0)</f>
        <v>97037803.679377079</v>
      </c>
      <c r="S1806" s="246">
        <f>IFERROR(VLOOKUP(E1806,PROGRAMAS[],2,FALSE),0)</f>
        <v>640501509.6821388</v>
      </c>
      <c r="T1806" s="246">
        <f>IFERROR(VLOOKUP(F1806,PROGRAMAS[],2,FALSE),0)</f>
        <v>3062327798.1525245</v>
      </c>
      <c r="U1806" s="246">
        <f>IFERROR(VLOOKUP(G1806,PROGRAMAS[],2,FALSE),0)</f>
        <v>6907648435.8447599</v>
      </c>
      <c r="V1806" s="246">
        <f>IFERROR(VLOOKUP(H1806,PROGRAMAS[],2,FALSE),0)</f>
        <v>4635315027.8751087</v>
      </c>
      <c r="W1806" s="246">
        <f>IFERROR(VLOOKUP(I1806,PROGRAMAS[],2,FALSE),0)</f>
        <v>764796700.79905891</v>
      </c>
      <c r="X1806" s="246">
        <f>IFERROR(VLOOKUP(J1806,PROGRAMAS[],2,FALSE),0)</f>
        <v>54223862.645839565</v>
      </c>
      <c r="Y1806" s="246">
        <f>IFERROR(VLOOKUP(K1806,PROGRAMAS[],2,FALSE),0)</f>
        <v>122159672.96346797</v>
      </c>
      <c r="Z1806" s="246">
        <f>IFERROR(VLOOKUP(L1806,PROGRAMAS[],2,FALSE),0)</f>
        <v>7068496961.0436354</v>
      </c>
      <c r="AA1806" s="246">
        <f>IFERROR(VLOOKUP(M1806,PROGRAMAS[],2,FALSE),0)</f>
        <v>1892779498.5211046</v>
      </c>
      <c r="AB1806" s="246">
        <f>IFERROR(VLOOKUP(N1806,PROGRAMAS[],2,FALSE),0)</f>
        <v>0</v>
      </c>
      <c r="AC1806" s="246">
        <f>IFERROR(VLOOKUP(O1806,PROGRAMAS[],2,FALSE),0)</f>
        <v>0</v>
      </c>
      <c r="AD1806" s="246">
        <f>IFERROR(VLOOKUP(P1806,PROGRAMAS[],2,FALSE),0)</f>
        <v>0</v>
      </c>
      <c r="AE1806" s="246">
        <f>IFERROR(VLOOKUP(Q1806,PROGRAMAS[],2,FALSE),0)</f>
        <v>0</v>
      </c>
      <c r="AF1806" s="246">
        <f>IFERROR(VLOOKUP(D1806,PROGRAMAS[],3,FALSE),0)</f>
        <v>841888629.31080008</v>
      </c>
      <c r="AG1806" s="246">
        <f>IFERROR(VLOOKUP(E1806,PROGRAMAS[],3,FALSE),0)</f>
        <v>3848980803.1642323</v>
      </c>
      <c r="AH1806" s="246">
        <f>IFERROR(VLOOKUP(F1806,PROGRAMAS[],3,FALSE),0)</f>
        <v>3394901471.387517</v>
      </c>
      <c r="AI1806" s="246">
        <f>IFERROR(VLOOKUP(G1806,PROGRAMAS[],3,FALSE),0)</f>
        <v>6129902208.7912121</v>
      </c>
      <c r="AJ1806" s="246">
        <f>IFERROR(VLOOKUP(H1806,PROGRAMAS[],3,FALSE),0)</f>
        <v>4099471734.9978786</v>
      </c>
      <c r="AK1806" s="246">
        <f>IFERROR(VLOOKUP(I1806,PROGRAMAS[],3,FALSE),0)</f>
        <v>675517840.109828</v>
      </c>
      <c r="AL1806" s="246">
        <f>IFERROR(VLOOKUP(J1806,PROGRAMAS[],3,FALSE),0)</f>
        <v>31865326.38096505</v>
      </c>
      <c r="AM1806" s="246">
        <f>IFERROR(VLOOKUP(K1806,PROGRAMAS[],3,FALSE),0)</f>
        <v>118617452.52510804</v>
      </c>
      <c r="AN1806" s="246">
        <f>IFERROR(VLOOKUP(L1806,PROGRAMAS[],3,FALSE),0)</f>
        <v>2406564599.0319901</v>
      </c>
      <c r="AO1806" s="246">
        <f>IFERROR(VLOOKUP(M1806,PROGRAMAS[],3,FALSE),0)</f>
        <v>948595847.09039903</v>
      </c>
      <c r="AP1806" s="246">
        <f>IFERROR(VLOOKUP(N1806,PROGRAMAS[],3,FALSE),0)</f>
        <v>0</v>
      </c>
      <c r="AQ1806" s="246">
        <f>IFERROR(VLOOKUP(O1806,PROGRAMAS[],3,FALSE),0)</f>
        <v>0</v>
      </c>
      <c r="AR1806" s="246">
        <f>IFERROR(VLOOKUP(P1806,PROGRAMAS[],3,FALSE),0)</f>
        <v>0</v>
      </c>
      <c r="AS1806" s="246">
        <f>IFERROR(VLOOKUP(Q1806,PROGRAMAS[],3,FALSE),0)</f>
        <v>0</v>
      </c>
      <c r="AT1806" s="246">
        <f>IFERROR(VLOOKUP(D1806,VOL_REC[],2,FALSE),0)</f>
        <v>0</v>
      </c>
      <c r="AU1806" s="246">
        <f>IFERROR(VLOOKUP(E1806,VOL_REC[],2,FALSE),0)</f>
        <v>0</v>
      </c>
      <c r="AV1806" s="246">
        <f>IFERROR(VLOOKUP(F1806,VOL_REC[],2,FALSE),0)</f>
        <v>11089674.200000001</v>
      </c>
      <c r="AW1806" s="246">
        <f>IFERROR(VLOOKUP(G1806,VOL_REC[],2,FALSE),0)</f>
        <v>15540036.397699751</v>
      </c>
      <c r="AX1806" s="246">
        <f>IFERROR(VLOOKUP(H1806,VOL_REC[],2,FALSE),0)</f>
        <v>1812240</v>
      </c>
      <c r="AY1806" s="246">
        <f>IFERROR(VLOOKUP(I1806,VOL_REC[],2,FALSE),0)</f>
        <v>240696.79238099116</v>
      </c>
      <c r="AZ1806" s="246">
        <f>IFERROR(VLOOKUP(J1806,VOL_REC[],2,FALSE),0)</f>
        <v>17074.045034105649</v>
      </c>
      <c r="BA1806" s="246">
        <f>IFERROR(VLOOKUP(K1806,VOL_REC[],2,FALSE),0)</f>
        <v>105072</v>
      </c>
      <c r="BB1806" s="246">
        <f>IFERROR(VLOOKUP(L1806,VOL_REC[],2,FALSE),0)</f>
        <v>1072354.9981737854</v>
      </c>
      <c r="BC1806" s="246">
        <f>IFERROR(VLOOKUP(M1806,VOL_REC[],2,FALSE),0)</f>
        <v>740113.98115702497</v>
      </c>
      <c r="BD1806" s="246">
        <f>IFERROR(VLOOKUP(N1806,VOL_REC[],2,FALSE),0)</f>
        <v>0</v>
      </c>
      <c r="BE1806" s="246">
        <f>IFERROR(VLOOKUP(O1806,VOL_REC[],2,FALSE),0)</f>
        <v>0</v>
      </c>
      <c r="BF1806" s="246">
        <f>IFERROR(VLOOKUP(P1806,VOL_REC[],2,FALSE),0)</f>
        <v>0</v>
      </c>
      <c r="BG1806" s="246">
        <f>IFERROR(VLOOKUP(Q1806,VOL_REC[],2,FALSE),0)</f>
        <v>0</v>
      </c>
      <c r="BH1806" s="1710">
        <f t="shared" si="112"/>
        <v>25245287271.207016</v>
      </c>
      <c r="BI1806" s="1710">
        <f t="shared" si="113"/>
        <v>22496305912.789936</v>
      </c>
      <c r="BJ1806" s="1711">
        <f t="shared" si="114"/>
        <v>30617262.414445661</v>
      </c>
      <c r="BK1806" s="1711">
        <f t="shared" si="115"/>
        <v>1.1221970117704609</v>
      </c>
      <c r="BL1806">
        <f t="shared" si="116"/>
        <v>30617262.414445661</v>
      </c>
      <c r="BO1806">
        <f t="shared" si="117"/>
        <v>30617262.414445661</v>
      </c>
    </row>
    <row r="1807" spans="3:67" x14ac:dyDescent="0.25">
      <c r="C1807" s="246" t="s">
        <v>3157</v>
      </c>
      <c r="D1807" s="246">
        <v>1</v>
      </c>
      <c r="E1807" s="246">
        <v>2</v>
      </c>
      <c r="F1807" s="246">
        <v>3</v>
      </c>
      <c r="G1807" s="246">
        <v>6</v>
      </c>
      <c r="H1807" s="246">
        <v>10</v>
      </c>
      <c r="I1807" s="246">
        <v>13</v>
      </c>
      <c r="J1807" s="246">
        <v>14</v>
      </c>
      <c r="K1807" s="246">
        <v>15</v>
      </c>
      <c r="L1807" s="246">
        <v>16</v>
      </c>
      <c r="M1807" s="246">
        <v>17</v>
      </c>
      <c r="N1807" s="246"/>
      <c r="O1807" s="246"/>
      <c r="P1807" s="246"/>
      <c r="Q1807" s="246"/>
      <c r="R1807" s="246">
        <f>IFERROR(VLOOKUP(D1807,PROGRAMAS[],2,FALSE),0)</f>
        <v>97037803.679377079</v>
      </c>
      <c r="S1807" s="246">
        <f>IFERROR(VLOOKUP(E1807,PROGRAMAS[],2,FALSE),0)</f>
        <v>640501509.6821388</v>
      </c>
      <c r="T1807" s="246">
        <f>IFERROR(VLOOKUP(F1807,PROGRAMAS[],2,FALSE),0)</f>
        <v>3062327798.1525245</v>
      </c>
      <c r="U1807" s="246">
        <f>IFERROR(VLOOKUP(G1807,PROGRAMAS[],2,FALSE),0)</f>
        <v>6907648435.8447599</v>
      </c>
      <c r="V1807" s="246">
        <f>IFERROR(VLOOKUP(H1807,PROGRAMAS[],2,FALSE),0)</f>
        <v>4635315027.8751087</v>
      </c>
      <c r="W1807" s="246">
        <f>IFERROR(VLOOKUP(I1807,PROGRAMAS[],2,FALSE),0)</f>
        <v>3776538594.4604583</v>
      </c>
      <c r="X1807" s="246">
        <f>IFERROR(VLOOKUP(J1807,PROGRAMAS[],2,FALSE),0)</f>
        <v>54223862.645839565</v>
      </c>
      <c r="Y1807" s="246">
        <f>IFERROR(VLOOKUP(K1807,PROGRAMAS[],2,FALSE),0)</f>
        <v>122159672.96346797</v>
      </c>
      <c r="Z1807" s="246">
        <f>IFERROR(VLOOKUP(L1807,PROGRAMAS[],2,FALSE),0)</f>
        <v>7068496961.0436354</v>
      </c>
      <c r="AA1807" s="246">
        <f>IFERROR(VLOOKUP(M1807,PROGRAMAS[],2,FALSE),0)</f>
        <v>1892779498.5211046</v>
      </c>
      <c r="AB1807" s="246">
        <f>IFERROR(VLOOKUP(N1807,PROGRAMAS[],2,FALSE),0)</f>
        <v>0</v>
      </c>
      <c r="AC1807" s="246">
        <f>IFERROR(VLOOKUP(O1807,PROGRAMAS[],2,FALSE),0)</f>
        <v>0</v>
      </c>
      <c r="AD1807" s="246">
        <f>IFERROR(VLOOKUP(P1807,PROGRAMAS[],2,FALSE),0)</f>
        <v>0</v>
      </c>
      <c r="AE1807" s="246">
        <f>IFERROR(VLOOKUP(Q1807,PROGRAMAS[],2,FALSE),0)</f>
        <v>0</v>
      </c>
      <c r="AF1807" s="246">
        <f>IFERROR(VLOOKUP(D1807,PROGRAMAS[],3,FALSE),0)</f>
        <v>841888629.31080008</v>
      </c>
      <c r="AG1807" s="246">
        <f>IFERROR(VLOOKUP(E1807,PROGRAMAS[],3,FALSE),0)</f>
        <v>3848980803.1642323</v>
      </c>
      <c r="AH1807" s="246">
        <f>IFERROR(VLOOKUP(F1807,PROGRAMAS[],3,FALSE),0)</f>
        <v>3394901471.387517</v>
      </c>
      <c r="AI1807" s="246">
        <f>IFERROR(VLOOKUP(G1807,PROGRAMAS[],3,FALSE),0)</f>
        <v>6129902208.7912121</v>
      </c>
      <c r="AJ1807" s="246">
        <f>IFERROR(VLOOKUP(H1807,PROGRAMAS[],3,FALSE),0)</f>
        <v>4099471734.9978786</v>
      </c>
      <c r="AK1807" s="246">
        <f>IFERROR(VLOOKUP(I1807,PROGRAMAS[],3,FALSE),0)</f>
        <v>2392571243.5584412</v>
      </c>
      <c r="AL1807" s="246">
        <f>IFERROR(VLOOKUP(J1807,PROGRAMAS[],3,FALSE),0)</f>
        <v>31865326.38096505</v>
      </c>
      <c r="AM1807" s="246">
        <f>IFERROR(VLOOKUP(K1807,PROGRAMAS[],3,FALSE),0)</f>
        <v>118617452.52510804</v>
      </c>
      <c r="AN1807" s="246">
        <f>IFERROR(VLOOKUP(L1807,PROGRAMAS[],3,FALSE),0)</f>
        <v>2406564599.0319901</v>
      </c>
      <c r="AO1807" s="246">
        <f>IFERROR(VLOOKUP(M1807,PROGRAMAS[],3,FALSE),0)</f>
        <v>948595847.09039903</v>
      </c>
      <c r="AP1807" s="246">
        <f>IFERROR(VLOOKUP(N1807,PROGRAMAS[],3,FALSE),0)</f>
        <v>0</v>
      </c>
      <c r="AQ1807" s="246">
        <f>IFERROR(VLOOKUP(O1807,PROGRAMAS[],3,FALSE),0)</f>
        <v>0</v>
      </c>
      <c r="AR1807" s="246">
        <f>IFERROR(VLOOKUP(P1807,PROGRAMAS[],3,FALSE),0)</f>
        <v>0</v>
      </c>
      <c r="AS1807" s="246">
        <f>IFERROR(VLOOKUP(Q1807,PROGRAMAS[],3,FALSE),0)</f>
        <v>0</v>
      </c>
      <c r="AT1807" s="246">
        <f>IFERROR(VLOOKUP(D1807,VOL_REC[],2,FALSE),0)</f>
        <v>0</v>
      </c>
      <c r="AU1807" s="246">
        <f>IFERROR(VLOOKUP(E1807,VOL_REC[],2,FALSE),0)</f>
        <v>0</v>
      </c>
      <c r="AV1807" s="246">
        <f>IFERROR(VLOOKUP(F1807,VOL_REC[],2,FALSE),0)</f>
        <v>11089674.200000001</v>
      </c>
      <c r="AW1807" s="246">
        <f>IFERROR(VLOOKUP(G1807,VOL_REC[],2,FALSE),0)</f>
        <v>15540036.397699751</v>
      </c>
      <c r="AX1807" s="246">
        <f>IFERROR(VLOOKUP(H1807,VOL_REC[],2,FALSE),0)</f>
        <v>1812240</v>
      </c>
      <c r="AY1807" s="246">
        <f>IFERROR(VLOOKUP(I1807,VOL_REC[],2,FALSE),0)</f>
        <v>663244.80000000016</v>
      </c>
      <c r="AZ1807" s="246">
        <f>IFERROR(VLOOKUP(J1807,VOL_REC[],2,FALSE),0)</f>
        <v>17074.045034105649</v>
      </c>
      <c r="BA1807" s="246">
        <f>IFERROR(VLOOKUP(K1807,VOL_REC[],2,FALSE),0)</f>
        <v>105072</v>
      </c>
      <c r="BB1807" s="246">
        <f>IFERROR(VLOOKUP(L1807,VOL_REC[],2,FALSE),0)</f>
        <v>1072354.9981737854</v>
      </c>
      <c r="BC1807" s="246">
        <f>IFERROR(VLOOKUP(M1807,VOL_REC[],2,FALSE),0)</f>
        <v>740113.98115702497</v>
      </c>
      <c r="BD1807" s="246">
        <f>IFERROR(VLOOKUP(N1807,VOL_REC[],2,FALSE),0)</f>
        <v>0</v>
      </c>
      <c r="BE1807" s="246">
        <f>IFERROR(VLOOKUP(O1807,VOL_REC[],2,FALSE),0)</f>
        <v>0</v>
      </c>
      <c r="BF1807" s="246">
        <f>IFERROR(VLOOKUP(P1807,VOL_REC[],2,FALSE),0)</f>
        <v>0</v>
      </c>
      <c r="BG1807" s="246">
        <f>IFERROR(VLOOKUP(Q1807,VOL_REC[],2,FALSE),0)</f>
        <v>0</v>
      </c>
      <c r="BH1807" s="1710">
        <f t="shared" si="112"/>
        <v>28257029164.868412</v>
      </c>
      <c r="BI1807" s="1710">
        <f t="shared" si="113"/>
        <v>24213359316.238548</v>
      </c>
      <c r="BJ1807" s="1711">
        <f t="shared" si="114"/>
        <v>31039810.422064669</v>
      </c>
      <c r="BK1807" s="1711">
        <f t="shared" si="115"/>
        <v>1.1670016041895517</v>
      </c>
      <c r="BL1807">
        <f t="shared" si="116"/>
        <v>31039810.422064669</v>
      </c>
      <c r="BO1807">
        <f t="shared" si="117"/>
        <v>31039810.422064669</v>
      </c>
    </row>
    <row r="1808" spans="3:67" x14ac:dyDescent="0.25">
      <c r="C1808" s="246" t="s">
        <v>3158</v>
      </c>
      <c r="D1808" s="246">
        <v>1</v>
      </c>
      <c r="E1808" s="246">
        <v>2</v>
      </c>
      <c r="F1808" s="246">
        <v>3</v>
      </c>
      <c r="G1808" s="246">
        <v>6</v>
      </c>
      <c r="H1808" s="246">
        <v>12</v>
      </c>
      <c r="I1808" s="246">
        <v>13</v>
      </c>
      <c r="J1808" s="246">
        <v>14</v>
      </c>
      <c r="K1808" s="246">
        <v>15</v>
      </c>
      <c r="L1808" s="246">
        <v>16</v>
      </c>
      <c r="M1808" s="246">
        <v>17</v>
      </c>
      <c r="N1808" s="246"/>
      <c r="O1808" s="246"/>
      <c r="P1808" s="246"/>
      <c r="Q1808" s="246"/>
      <c r="R1808" s="246">
        <f>IFERROR(VLOOKUP(D1808,PROGRAMAS[],2,FALSE),0)</f>
        <v>97037803.679377079</v>
      </c>
      <c r="S1808" s="246">
        <f>IFERROR(VLOOKUP(E1808,PROGRAMAS[],2,FALSE),0)</f>
        <v>640501509.6821388</v>
      </c>
      <c r="T1808" s="246">
        <f>IFERROR(VLOOKUP(F1808,PROGRAMAS[],2,FALSE),0)</f>
        <v>3062327798.1525245</v>
      </c>
      <c r="U1808" s="246">
        <f>IFERROR(VLOOKUP(G1808,PROGRAMAS[],2,FALSE),0)</f>
        <v>6907648435.8447599</v>
      </c>
      <c r="V1808" s="246">
        <f>IFERROR(VLOOKUP(H1808,PROGRAMAS[],2,FALSE),0)</f>
        <v>764796700.79905891</v>
      </c>
      <c r="W1808" s="246">
        <f>IFERROR(VLOOKUP(I1808,PROGRAMAS[],2,FALSE),0)</f>
        <v>3776538594.4604583</v>
      </c>
      <c r="X1808" s="246">
        <f>IFERROR(VLOOKUP(J1808,PROGRAMAS[],2,FALSE),0)</f>
        <v>54223862.645839565</v>
      </c>
      <c r="Y1808" s="246">
        <f>IFERROR(VLOOKUP(K1808,PROGRAMAS[],2,FALSE),0)</f>
        <v>122159672.96346797</v>
      </c>
      <c r="Z1808" s="246">
        <f>IFERROR(VLOOKUP(L1808,PROGRAMAS[],2,FALSE),0)</f>
        <v>7068496961.0436354</v>
      </c>
      <c r="AA1808" s="246">
        <f>IFERROR(VLOOKUP(M1808,PROGRAMAS[],2,FALSE),0)</f>
        <v>1892779498.5211046</v>
      </c>
      <c r="AB1808" s="246">
        <f>IFERROR(VLOOKUP(N1808,PROGRAMAS[],2,FALSE),0)</f>
        <v>0</v>
      </c>
      <c r="AC1808" s="246">
        <f>IFERROR(VLOOKUP(O1808,PROGRAMAS[],2,FALSE),0)</f>
        <v>0</v>
      </c>
      <c r="AD1808" s="246">
        <f>IFERROR(VLOOKUP(P1808,PROGRAMAS[],2,FALSE),0)</f>
        <v>0</v>
      </c>
      <c r="AE1808" s="246">
        <f>IFERROR(VLOOKUP(Q1808,PROGRAMAS[],2,FALSE),0)</f>
        <v>0</v>
      </c>
      <c r="AF1808" s="246">
        <f>IFERROR(VLOOKUP(D1808,PROGRAMAS[],3,FALSE),0)</f>
        <v>841888629.31080008</v>
      </c>
      <c r="AG1808" s="246">
        <f>IFERROR(VLOOKUP(E1808,PROGRAMAS[],3,FALSE),0)</f>
        <v>3848980803.1642323</v>
      </c>
      <c r="AH1808" s="246">
        <f>IFERROR(VLOOKUP(F1808,PROGRAMAS[],3,FALSE),0)</f>
        <v>3394901471.387517</v>
      </c>
      <c r="AI1808" s="246">
        <f>IFERROR(VLOOKUP(G1808,PROGRAMAS[],3,FALSE),0)</f>
        <v>6129902208.7912121</v>
      </c>
      <c r="AJ1808" s="246">
        <f>IFERROR(VLOOKUP(H1808,PROGRAMAS[],3,FALSE),0)</f>
        <v>675517840.109828</v>
      </c>
      <c r="AK1808" s="246">
        <f>IFERROR(VLOOKUP(I1808,PROGRAMAS[],3,FALSE),0)</f>
        <v>2392571243.5584412</v>
      </c>
      <c r="AL1808" s="246">
        <f>IFERROR(VLOOKUP(J1808,PROGRAMAS[],3,FALSE),0)</f>
        <v>31865326.38096505</v>
      </c>
      <c r="AM1808" s="246">
        <f>IFERROR(VLOOKUP(K1808,PROGRAMAS[],3,FALSE),0)</f>
        <v>118617452.52510804</v>
      </c>
      <c r="AN1808" s="246">
        <f>IFERROR(VLOOKUP(L1808,PROGRAMAS[],3,FALSE),0)</f>
        <v>2406564599.0319901</v>
      </c>
      <c r="AO1808" s="246">
        <f>IFERROR(VLOOKUP(M1808,PROGRAMAS[],3,FALSE),0)</f>
        <v>948595847.09039903</v>
      </c>
      <c r="AP1808" s="246">
        <f>IFERROR(VLOOKUP(N1808,PROGRAMAS[],3,FALSE),0)</f>
        <v>0</v>
      </c>
      <c r="AQ1808" s="246">
        <f>IFERROR(VLOOKUP(O1808,PROGRAMAS[],3,FALSE),0)</f>
        <v>0</v>
      </c>
      <c r="AR1808" s="246">
        <f>IFERROR(VLOOKUP(P1808,PROGRAMAS[],3,FALSE),0)</f>
        <v>0</v>
      </c>
      <c r="AS1808" s="246">
        <f>IFERROR(VLOOKUP(Q1808,PROGRAMAS[],3,FALSE),0)</f>
        <v>0</v>
      </c>
      <c r="AT1808" s="246">
        <f>IFERROR(VLOOKUP(D1808,VOL_REC[],2,FALSE),0)</f>
        <v>0</v>
      </c>
      <c r="AU1808" s="246">
        <f>IFERROR(VLOOKUP(E1808,VOL_REC[],2,FALSE),0)</f>
        <v>0</v>
      </c>
      <c r="AV1808" s="246">
        <f>IFERROR(VLOOKUP(F1808,VOL_REC[],2,FALSE),0)</f>
        <v>11089674.200000001</v>
      </c>
      <c r="AW1808" s="246">
        <f>IFERROR(VLOOKUP(G1808,VOL_REC[],2,FALSE),0)</f>
        <v>15540036.397699751</v>
      </c>
      <c r="AX1808" s="246">
        <f>IFERROR(VLOOKUP(H1808,VOL_REC[],2,FALSE),0)</f>
        <v>240696.79238099116</v>
      </c>
      <c r="AY1808" s="246">
        <f>IFERROR(VLOOKUP(I1808,VOL_REC[],2,FALSE),0)</f>
        <v>663244.80000000016</v>
      </c>
      <c r="AZ1808" s="246">
        <f>IFERROR(VLOOKUP(J1808,VOL_REC[],2,FALSE),0)</f>
        <v>17074.045034105649</v>
      </c>
      <c r="BA1808" s="246">
        <f>IFERROR(VLOOKUP(K1808,VOL_REC[],2,FALSE),0)</f>
        <v>105072</v>
      </c>
      <c r="BB1808" s="246">
        <f>IFERROR(VLOOKUP(L1808,VOL_REC[],2,FALSE),0)</f>
        <v>1072354.9981737854</v>
      </c>
      <c r="BC1808" s="246">
        <f>IFERROR(VLOOKUP(M1808,VOL_REC[],2,FALSE),0)</f>
        <v>740113.98115702497</v>
      </c>
      <c r="BD1808" s="246">
        <f>IFERROR(VLOOKUP(N1808,VOL_REC[],2,FALSE),0)</f>
        <v>0</v>
      </c>
      <c r="BE1808" s="246">
        <f>IFERROR(VLOOKUP(O1808,VOL_REC[],2,FALSE),0)</f>
        <v>0</v>
      </c>
      <c r="BF1808" s="246">
        <f>IFERROR(VLOOKUP(P1808,VOL_REC[],2,FALSE),0)</f>
        <v>0</v>
      </c>
      <c r="BG1808" s="246">
        <f>IFERROR(VLOOKUP(Q1808,VOL_REC[],2,FALSE),0)</f>
        <v>0</v>
      </c>
      <c r="BH1808" s="1710">
        <f t="shared" si="112"/>
        <v>24386510837.792366</v>
      </c>
      <c r="BI1808" s="1710">
        <f t="shared" si="113"/>
        <v>20789405421.350498</v>
      </c>
      <c r="BJ1808" s="1711">
        <f t="shared" si="114"/>
        <v>29468267.214445662</v>
      </c>
      <c r="BK1808" s="1711">
        <f t="shared" si="115"/>
        <v>1.1730258919645522</v>
      </c>
      <c r="BL1808">
        <f t="shared" si="116"/>
        <v>29468267.214445662</v>
      </c>
      <c r="BO1808">
        <f t="shared" si="117"/>
        <v>29468267.214445662</v>
      </c>
    </row>
    <row r="1809" spans="3:67" x14ac:dyDescent="0.25">
      <c r="C1809" s="246" t="s">
        <v>3159</v>
      </c>
      <c r="D1809" s="246">
        <v>1</v>
      </c>
      <c r="E1809" s="246">
        <v>2</v>
      </c>
      <c r="F1809" s="246">
        <v>3</v>
      </c>
      <c r="G1809" s="246">
        <v>9</v>
      </c>
      <c r="H1809" s="246">
        <v>10</v>
      </c>
      <c r="I1809" s="246">
        <v>12</v>
      </c>
      <c r="J1809" s="246">
        <v>13</v>
      </c>
      <c r="K1809" s="246">
        <v>14</v>
      </c>
      <c r="L1809" s="246">
        <v>15</v>
      </c>
      <c r="M1809" s="246">
        <v>16</v>
      </c>
      <c r="N1809" s="246"/>
      <c r="O1809" s="246"/>
      <c r="P1809" s="246"/>
      <c r="Q1809" s="246"/>
      <c r="R1809" s="246">
        <f>IFERROR(VLOOKUP(D1809,PROGRAMAS[],2,FALSE),0)</f>
        <v>97037803.679377079</v>
      </c>
      <c r="S1809" s="246">
        <f>IFERROR(VLOOKUP(E1809,PROGRAMAS[],2,FALSE),0)</f>
        <v>640501509.6821388</v>
      </c>
      <c r="T1809" s="246">
        <f>IFERROR(VLOOKUP(F1809,PROGRAMAS[],2,FALSE),0)</f>
        <v>3062327798.1525245</v>
      </c>
      <c r="U1809" s="246">
        <f>IFERROR(VLOOKUP(G1809,PROGRAMAS[],2,FALSE),0)</f>
        <v>6128579952.1618185</v>
      </c>
      <c r="V1809" s="246">
        <f>IFERROR(VLOOKUP(H1809,PROGRAMAS[],2,FALSE),0)</f>
        <v>4635315027.8751087</v>
      </c>
      <c r="W1809" s="246">
        <f>IFERROR(VLOOKUP(I1809,PROGRAMAS[],2,FALSE),0)</f>
        <v>764796700.79905891</v>
      </c>
      <c r="X1809" s="246">
        <f>IFERROR(VLOOKUP(J1809,PROGRAMAS[],2,FALSE),0)</f>
        <v>3776538594.4604583</v>
      </c>
      <c r="Y1809" s="246">
        <f>IFERROR(VLOOKUP(K1809,PROGRAMAS[],2,FALSE),0)</f>
        <v>54223862.645839565</v>
      </c>
      <c r="Z1809" s="246">
        <f>IFERROR(VLOOKUP(L1809,PROGRAMAS[],2,FALSE),0)</f>
        <v>122159672.96346797</v>
      </c>
      <c r="AA1809" s="246">
        <f>IFERROR(VLOOKUP(M1809,PROGRAMAS[],2,FALSE),0)</f>
        <v>7068496961.0436354</v>
      </c>
      <c r="AB1809" s="246">
        <f>IFERROR(VLOOKUP(N1809,PROGRAMAS[],2,FALSE),0)</f>
        <v>0</v>
      </c>
      <c r="AC1809" s="246">
        <f>IFERROR(VLOOKUP(O1809,PROGRAMAS[],2,FALSE),0)</f>
        <v>0</v>
      </c>
      <c r="AD1809" s="246">
        <f>IFERROR(VLOOKUP(P1809,PROGRAMAS[],2,FALSE),0)</f>
        <v>0</v>
      </c>
      <c r="AE1809" s="246">
        <f>IFERROR(VLOOKUP(Q1809,PROGRAMAS[],2,FALSE),0)</f>
        <v>0</v>
      </c>
      <c r="AF1809" s="246">
        <f>IFERROR(VLOOKUP(D1809,PROGRAMAS[],3,FALSE),0)</f>
        <v>841888629.31080008</v>
      </c>
      <c r="AG1809" s="246">
        <f>IFERROR(VLOOKUP(E1809,PROGRAMAS[],3,FALSE),0)</f>
        <v>3848980803.1642323</v>
      </c>
      <c r="AH1809" s="246">
        <f>IFERROR(VLOOKUP(F1809,PROGRAMAS[],3,FALSE),0)</f>
        <v>3394901471.387517</v>
      </c>
      <c r="AI1809" s="246">
        <f>IFERROR(VLOOKUP(G1809,PROGRAMAS[],3,FALSE),0)</f>
        <v>7011279577.519702</v>
      </c>
      <c r="AJ1809" s="246">
        <f>IFERROR(VLOOKUP(H1809,PROGRAMAS[],3,FALSE),0)</f>
        <v>4099471734.9978786</v>
      </c>
      <c r="AK1809" s="246">
        <f>IFERROR(VLOOKUP(I1809,PROGRAMAS[],3,FALSE),0)</f>
        <v>675517840.109828</v>
      </c>
      <c r="AL1809" s="246">
        <f>IFERROR(VLOOKUP(J1809,PROGRAMAS[],3,FALSE),0)</f>
        <v>2392571243.5584412</v>
      </c>
      <c r="AM1809" s="246">
        <f>IFERROR(VLOOKUP(K1809,PROGRAMAS[],3,FALSE),0)</f>
        <v>31865326.38096505</v>
      </c>
      <c r="AN1809" s="246">
        <f>IFERROR(VLOOKUP(L1809,PROGRAMAS[],3,FALSE),0)</f>
        <v>118617452.52510804</v>
      </c>
      <c r="AO1809" s="246">
        <f>IFERROR(VLOOKUP(M1809,PROGRAMAS[],3,FALSE),0)</f>
        <v>2406564599.0319901</v>
      </c>
      <c r="AP1809" s="246">
        <f>IFERROR(VLOOKUP(N1809,PROGRAMAS[],3,FALSE),0)</f>
        <v>0</v>
      </c>
      <c r="AQ1809" s="246">
        <f>IFERROR(VLOOKUP(O1809,PROGRAMAS[],3,FALSE),0)</f>
        <v>0</v>
      </c>
      <c r="AR1809" s="246">
        <f>IFERROR(VLOOKUP(P1809,PROGRAMAS[],3,FALSE),0)</f>
        <v>0</v>
      </c>
      <c r="AS1809" s="246">
        <f>IFERROR(VLOOKUP(Q1809,PROGRAMAS[],3,FALSE),0)</f>
        <v>0</v>
      </c>
      <c r="AT1809" s="246">
        <f>IFERROR(VLOOKUP(D1809,VOL_REC[],2,FALSE),0)</f>
        <v>0</v>
      </c>
      <c r="AU1809" s="246">
        <f>IFERROR(VLOOKUP(E1809,VOL_REC[],2,FALSE),0)</f>
        <v>0</v>
      </c>
      <c r="AV1809" s="246">
        <f>IFERROR(VLOOKUP(F1809,VOL_REC[],2,FALSE),0)</f>
        <v>11089674.200000001</v>
      </c>
      <c r="AW1809" s="246">
        <f>IFERROR(VLOOKUP(G1809,VOL_REC[],2,FALSE),0)</f>
        <v>3761786</v>
      </c>
      <c r="AX1809" s="246">
        <f>IFERROR(VLOOKUP(H1809,VOL_REC[],2,FALSE),0)</f>
        <v>1812240</v>
      </c>
      <c r="AY1809" s="246">
        <f>IFERROR(VLOOKUP(I1809,VOL_REC[],2,FALSE),0)</f>
        <v>240696.79238099116</v>
      </c>
      <c r="AZ1809" s="246">
        <f>IFERROR(VLOOKUP(J1809,VOL_REC[],2,FALSE),0)</f>
        <v>663244.80000000016</v>
      </c>
      <c r="BA1809" s="246">
        <f>IFERROR(VLOOKUP(K1809,VOL_REC[],2,FALSE),0)</f>
        <v>17074.045034105649</v>
      </c>
      <c r="BB1809" s="246">
        <f>IFERROR(VLOOKUP(L1809,VOL_REC[],2,FALSE),0)</f>
        <v>105072</v>
      </c>
      <c r="BC1809" s="246">
        <f>IFERROR(VLOOKUP(M1809,VOL_REC[],2,FALSE),0)</f>
        <v>1072354.9981737854</v>
      </c>
      <c r="BD1809" s="246">
        <f>IFERROR(VLOOKUP(N1809,VOL_REC[],2,FALSE),0)</f>
        <v>0</v>
      </c>
      <c r="BE1809" s="246">
        <f>IFERROR(VLOOKUP(O1809,VOL_REC[],2,FALSE),0)</f>
        <v>0</v>
      </c>
      <c r="BF1809" s="246">
        <f>IFERROR(VLOOKUP(P1809,VOL_REC[],2,FALSE),0)</f>
        <v>0</v>
      </c>
      <c r="BG1809" s="246">
        <f>IFERROR(VLOOKUP(Q1809,VOL_REC[],2,FALSE),0)</f>
        <v>0</v>
      </c>
      <c r="BH1809" s="1710">
        <f t="shared" si="112"/>
        <v>26349977883.463428</v>
      </c>
      <c r="BI1809" s="1710">
        <f t="shared" si="113"/>
        <v>24821658677.986465</v>
      </c>
      <c r="BJ1809" s="1711">
        <f t="shared" si="114"/>
        <v>18762142.835588884</v>
      </c>
      <c r="BK1809" s="1711">
        <f t="shared" si="115"/>
        <v>1.0615720015049752</v>
      </c>
      <c r="BL1809">
        <f t="shared" si="116"/>
        <v>18762142.835588884</v>
      </c>
      <c r="BO1809">
        <f t="shared" si="117"/>
        <v>18762142.835588884</v>
      </c>
    </row>
    <row r="1810" spans="3:67" x14ac:dyDescent="0.25">
      <c r="C1810" s="246" t="s">
        <v>3160</v>
      </c>
      <c r="D1810" s="246">
        <v>1</v>
      </c>
      <c r="E1810" s="246">
        <v>2</v>
      </c>
      <c r="F1810" s="246">
        <v>3</v>
      </c>
      <c r="G1810" s="246">
        <v>9</v>
      </c>
      <c r="H1810" s="246">
        <v>10</v>
      </c>
      <c r="I1810" s="246">
        <v>12</v>
      </c>
      <c r="J1810" s="246">
        <v>13</v>
      </c>
      <c r="K1810" s="246">
        <v>14</v>
      </c>
      <c r="L1810" s="246">
        <v>15</v>
      </c>
      <c r="M1810" s="246">
        <v>17</v>
      </c>
      <c r="N1810" s="246"/>
      <c r="O1810" s="246"/>
      <c r="P1810" s="246"/>
      <c r="Q1810" s="246"/>
      <c r="R1810" s="246">
        <f>IFERROR(VLOOKUP(D1810,PROGRAMAS[],2,FALSE),0)</f>
        <v>97037803.679377079</v>
      </c>
      <c r="S1810" s="246">
        <f>IFERROR(VLOOKUP(E1810,PROGRAMAS[],2,FALSE),0)</f>
        <v>640501509.6821388</v>
      </c>
      <c r="T1810" s="246">
        <f>IFERROR(VLOOKUP(F1810,PROGRAMAS[],2,FALSE),0)</f>
        <v>3062327798.1525245</v>
      </c>
      <c r="U1810" s="246">
        <f>IFERROR(VLOOKUP(G1810,PROGRAMAS[],2,FALSE),0)</f>
        <v>6128579952.1618185</v>
      </c>
      <c r="V1810" s="246">
        <f>IFERROR(VLOOKUP(H1810,PROGRAMAS[],2,FALSE),0)</f>
        <v>4635315027.8751087</v>
      </c>
      <c r="W1810" s="246">
        <f>IFERROR(VLOOKUP(I1810,PROGRAMAS[],2,FALSE),0)</f>
        <v>764796700.79905891</v>
      </c>
      <c r="X1810" s="246">
        <f>IFERROR(VLOOKUP(J1810,PROGRAMAS[],2,FALSE),0)</f>
        <v>3776538594.4604583</v>
      </c>
      <c r="Y1810" s="246">
        <f>IFERROR(VLOOKUP(K1810,PROGRAMAS[],2,FALSE),0)</f>
        <v>54223862.645839565</v>
      </c>
      <c r="Z1810" s="246">
        <f>IFERROR(VLOOKUP(L1810,PROGRAMAS[],2,FALSE),0)</f>
        <v>122159672.96346797</v>
      </c>
      <c r="AA1810" s="246">
        <f>IFERROR(VLOOKUP(M1810,PROGRAMAS[],2,FALSE),0)</f>
        <v>1892779498.5211046</v>
      </c>
      <c r="AB1810" s="246">
        <f>IFERROR(VLOOKUP(N1810,PROGRAMAS[],2,FALSE),0)</f>
        <v>0</v>
      </c>
      <c r="AC1810" s="246">
        <f>IFERROR(VLOOKUP(O1810,PROGRAMAS[],2,FALSE),0)</f>
        <v>0</v>
      </c>
      <c r="AD1810" s="246">
        <f>IFERROR(VLOOKUP(P1810,PROGRAMAS[],2,FALSE),0)</f>
        <v>0</v>
      </c>
      <c r="AE1810" s="246">
        <f>IFERROR(VLOOKUP(Q1810,PROGRAMAS[],2,FALSE),0)</f>
        <v>0</v>
      </c>
      <c r="AF1810" s="246">
        <f>IFERROR(VLOOKUP(D1810,PROGRAMAS[],3,FALSE),0)</f>
        <v>841888629.31080008</v>
      </c>
      <c r="AG1810" s="246">
        <f>IFERROR(VLOOKUP(E1810,PROGRAMAS[],3,FALSE),0)</f>
        <v>3848980803.1642323</v>
      </c>
      <c r="AH1810" s="246">
        <f>IFERROR(VLOOKUP(F1810,PROGRAMAS[],3,FALSE),0)</f>
        <v>3394901471.387517</v>
      </c>
      <c r="AI1810" s="246">
        <f>IFERROR(VLOOKUP(G1810,PROGRAMAS[],3,FALSE),0)</f>
        <v>7011279577.519702</v>
      </c>
      <c r="AJ1810" s="246">
        <f>IFERROR(VLOOKUP(H1810,PROGRAMAS[],3,FALSE),0)</f>
        <v>4099471734.9978786</v>
      </c>
      <c r="AK1810" s="246">
        <f>IFERROR(VLOOKUP(I1810,PROGRAMAS[],3,FALSE),0)</f>
        <v>675517840.109828</v>
      </c>
      <c r="AL1810" s="246">
        <f>IFERROR(VLOOKUP(J1810,PROGRAMAS[],3,FALSE),0)</f>
        <v>2392571243.5584412</v>
      </c>
      <c r="AM1810" s="246">
        <f>IFERROR(VLOOKUP(K1810,PROGRAMAS[],3,FALSE),0)</f>
        <v>31865326.38096505</v>
      </c>
      <c r="AN1810" s="246">
        <f>IFERROR(VLOOKUP(L1810,PROGRAMAS[],3,FALSE),0)</f>
        <v>118617452.52510804</v>
      </c>
      <c r="AO1810" s="246">
        <f>IFERROR(VLOOKUP(M1810,PROGRAMAS[],3,FALSE),0)</f>
        <v>948595847.09039903</v>
      </c>
      <c r="AP1810" s="246">
        <f>IFERROR(VLOOKUP(N1810,PROGRAMAS[],3,FALSE),0)</f>
        <v>0</v>
      </c>
      <c r="AQ1810" s="246">
        <f>IFERROR(VLOOKUP(O1810,PROGRAMAS[],3,FALSE),0)</f>
        <v>0</v>
      </c>
      <c r="AR1810" s="246">
        <f>IFERROR(VLOOKUP(P1810,PROGRAMAS[],3,FALSE),0)</f>
        <v>0</v>
      </c>
      <c r="AS1810" s="246">
        <f>IFERROR(VLOOKUP(Q1810,PROGRAMAS[],3,FALSE),0)</f>
        <v>0</v>
      </c>
      <c r="AT1810" s="246">
        <f>IFERROR(VLOOKUP(D1810,VOL_REC[],2,FALSE),0)</f>
        <v>0</v>
      </c>
      <c r="AU1810" s="246">
        <f>IFERROR(VLOOKUP(E1810,VOL_REC[],2,FALSE),0)</f>
        <v>0</v>
      </c>
      <c r="AV1810" s="246">
        <f>IFERROR(VLOOKUP(F1810,VOL_REC[],2,FALSE),0)</f>
        <v>11089674.200000001</v>
      </c>
      <c r="AW1810" s="246">
        <f>IFERROR(VLOOKUP(G1810,VOL_REC[],2,FALSE),0)</f>
        <v>3761786</v>
      </c>
      <c r="AX1810" s="246">
        <f>IFERROR(VLOOKUP(H1810,VOL_REC[],2,FALSE),0)</f>
        <v>1812240</v>
      </c>
      <c r="AY1810" s="246">
        <f>IFERROR(VLOOKUP(I1810,VOL_REC[],2,FALSE),0)</f>
        <v>240696.79238099116</v>
      </c>
      <c r="AZ1810" s="246">
        <f>IFERROR(VLOOKUP(J1810,VOL_REC[],2,FALSE),0)</f>
        <v>663244.80000000016</v>
      </c>
      <c r="BA1810" s="246">
        <f>IFERROR(VLOOKUP(K1810,VOL_REC[],2,FALSE),0)</f>
        <v>17074.045034105649</v>
      </c>
      <c r="BB1810" s="246">
        <f>IFERROR(VLOOKUP(L1810,VOL_REC[],2,FALSE),0)</f>
        <v>105072</v>
      </c>
      <c r="BC1810" s="246">
        <f>IFERROR(VLOOKUP(M1810,VOL_REC[],2,FALSE),0)</f>
        <v>740113.98115702497</v>
      </c>
      <c r="BD1810" s="246">
        <f>IFERROR(VLOOKUP(N1810,VOL_REC[],2,FALSE),0)</f>
        <v>0</v>
      </c>
      <c r="BE1810" s="246">
        <f>IFERROR(VLOOKUP(O1810,VOL_REC[],2,FALSE),0)</f>
        <v>0</v>
      </c>
      <c r="BF1810" s="246">
        <f>IFERROR(VLOOKUP(P1810,VOL_REC[],2,FALSE),0)</f>
        <v>0</v>
      </c>
      <c r="BG1810" s="246">
        <f>IFERROR(VLOOKUP(Q1810,VOL_REC[],2,FALSE),0)</f>
        <v>0</v>
      </c>
      <c r="BH1810" s="1710">
        <f t="shared" si="112"/>
        <v>21174260420.940895</v>
      </c>
      <c r="BI1810" s="1710">
        <f t="shared" si="113"/>
        <v>23363689926.044876</v>
      </c>
      <c r="BJ1810" s="1711">
        <f t="shared" si="114"/>
        <v>18429901.818572123</v>
      </c>
      <c r="BK1810" s="1711">
        <f t="shared" si="115"/>
        <v>0.90628922434622383</v>
      </c>
    </row>
    <row r="1811" spans="3:67" x14ac:dyDescent="0.25">
      <c r="C1811" s="246" t="s">
        <v>3161</v>
      </c>
      <c r="D1811" s="246">
        <v>1</v>
      </c>
      <c r="E1811" s="246">
        <v>2</v>
      </c>
      <c r="F1811" s="246">
        <v>3</v>
      </c>
      <c r="G1811" s="246">
        <v>9</v>
      </c>
      <c r="H1811" s="246">
        <v>10</v>
      </c>
      <c r="I1811" s="246">
        <v>12</v>
      </c>
      <c r="J1811" s="246">
        <v>13</v>
      </c>
      <c r="K1811" s="246">
        <v>14</v>
      </c>
      <c r="L1811" s="246">
        <v>16</v>
      </c>
      <c r="M1811" s="246">
        <v>17</v>
      </c>
      <c r="N1811" s="246"/>
      <c r="O1811" s="246"/>
      <c r="P1811" s="246"/>
      <c r="Q1811" s="246"/>
      <c r="R1811" s="246">
        <f>IFERROR(VLOOKUP(D1811,PROGRAMAS[],2,FALSE),0)</f>
        <v>97037803.679377079</v>
      </c>
      <c r="S1811" s="246">
        <f>IFERROR(VLOOKUP(E1811,PROGRAMAS[],2,FALSE),0)</f>
        <v>640501509.6821388</v>
      </c>
      <c r="T1811" s="246">
        <f>IFERROR(VLOOKUP(F1811,PROGRAMAS[],2,FALSE),0)</f>
        <v>3062327798.1525245</v>
      </c>
      <c r="U1811" s="246">
        <f>IFERROR(VLOOKUP(G1811,PROGRAMAS[],2,FALSE),0)</f>
        <v>6128579952.1618185</v>
      </c>
      <c r="V1811" s="246">
        <f>IFERROR(VLOOKUP(H1811,PROGRAMAS[],2,FALSE),0)</f>
        <v>4635315027.8751087</v>
      </c>
      <c r="W1811" s="246">
        <f>IFERROR(VLOOKUP(I1811,PROGRAMAS[],2,FALSE),0)</f>
        <v>764796700.79905891</v>
      </c>
      <c r="X1811" s="246">
        <f>IFERROR(VLOOKUP(J1811,PROGRAMAS[],2,FALSE),0)</f>
        <v>3776538594.4604583</v>
      </c>
      <c r="Y1811" s="246">
        <f>IFERROR(VLOOKUP(K1811,PROGRAMAS[],2,FALSE),0)</f>
        <v>54223862.645839565</v>
      </c>
      <c r="Z1811" s="246">
        <f>IFERROR(VLOOKUP(L1811,PROGRAMAS[],2,FALSE),0)</f>
        <v>7068496961.0436354</v>
      </c>
      <c r="AA1811" s="246">
        <f>IFERROR(VLOOKUP(M1811,PROGRAMAS[],2,FALSE),0)</f>
        <v>1892779498.5211046</v>
      </c>
      <c r="AB1811" s="246">
        <f>IFERROR(VLOOKUP(N1811,PROGRAMAS[],2,FALSE),0)</f>
        <v>0</v>
      </c>
      <c r="AC1811" s="246">
        <f>IFERROR(VLOOKUP(O1811,PROGRAMAS[],2,FALSE),0)</f>
        <v>0</v>
      </c>
      <c r="AD1811" s="246">
        <f>IFERROR(VLOOKUP(P1811,PROGRAMAS[],2,FALSE),0)</f>
        <v>0</v>
      </c>
      <c r="AE1811" s="246">
        <f>IFERROR(VLOOKUP(Q1811,PROGRAMAS[],2,FALSE),0)</f>
        <v>0</v>
      </c>
      <c r="AF1811" s="246">
        <f>IFERROR(VLOOKUP(D1811,PROGRAMAS[],3,FALSE),0)</f>
        <v>841888629.31080008</v>
      </c>
      <c r="AG1811" s="246">
        <f>IFERROR(VLOOKUP(E1811,PROGRAMAS[],3,FALSE),0)</f>
        <v>3848980803.1642323</v>
      </c>
      <c r="AH1811" s="246">
        <f>IFERROR(VLOOKUP(F1811,PROGRAMAS[],3,FALSE),0)</f>
        <v>3394901471.387517</v>
      </c>
      <c r="AI1811" s="246">
        <f>IFERROR(VLOOKUP(G1811,PROGRAMAS[],3,FALSE),0)</f>
        <v>7011279577.519702</v>
      </c>
      <c r="AJ1811" s="246">
        <f>IFERROR(VLOOKUP(H1811,PROGRAMAS[],3,FALSE),0)</f>
        <v>4099471734.9978786</v>
      </c>
      <c r="AK1811" s="246">
        <f>IFERROR(VLOOKUP(I1811,PROGRAMAS[],3,FALSE),0)</f>
        <v>675517840.109828</v>
      </c>
      <c r="AL1811" s="246">
        <f>IFERROR(VLOOKUP(J1811,PROGRAMAS[],3,FALSE),0)</f>
        <v>2392571243.5584412</v>
      </c>
      <c r="AM1811" s="246">
        <f>IFERROR(VLOOKUP(K1811,PROGRAMAS[],3,FALSE),0)</f>
        <v>31865326.38096505</v>
      </c>
      <c r="AN1811" s="246">
        <f>IFERROR(VLOOKUP(L1811,PROGRAMAS[],3,FALSE),0)</f>
        <v>2406564599.0319901</v>
      </c>
      <c r="AO1811" s="246">
        <f>IFERROR(VLOOKUP(M1811,PROGRAMAS[],3,FALSE),0)</f>
        <v>948595847.09039903</v>
      </c>
      <c r="AP1811" s="246">
        <f>IFERROR(VLOOKUP(N1811,PROGRAMAS[],3,FALSE),0)</f>
        <v>0</v>
      </c>
      <c r="AQ1811" s="246">
        <f>IFERROR(VLOOKUP(O1811,PROGRAMAS[],3,FALSE),0)</f>
        <v>0</v>
      </c>
      <c r="AR1811" s="246">
        <f>IFERROR(VLOOKUP(P1811,PROGRAMAS[],3,FALSE),0)</f>
        <v>0</v>
      </c>
      <c r="AS1811" s="246">
        <f>IFERROR(VLOOKUP(Q1811,PROGRAMAS[],3,FALSE),0)</f>
        <v>0</v>
      </c>
      <c r="AT1811" s="246">
        <f>IFERROR(VLOOKUP(D1811,VOL_REC[],2,FALSE),0)</f>
        <v>0</v>
      </c>
      <c r="AU1811" s="246">
        <f>IFERROR(VLOOKUP(E1811,VOL_REC[],2,FALSE),0)</f>
        <v>0</v>
      </c>
      <c r="AV1811" s="246">
        <f>IFERROR(VLOOKUP(F1811,VOL_REC[],2,FALSE),0)</f>
        <v>11089674.200000001</v>
      </c>
      <c r="AW1811" s="246">
        <f>IFERROR(VLOOKUP(G1811,VOL_REC[],2,FALSE),0)</f>
        <v>3761786</v>
      </c>
      <c r="AX1811" s="246">
        <f>IFERROR(VLOOKUP(H1811,VOL_REC[],2,FALSE),0)</f>
        <v>1812240</v>
      </c>
      <c r="AY1811" s="246">
        <f>IFERROR(VLOOKUP(I1811,VOL_REC[],2,FALSE),0)</f>
        <v>240696.79238099116</v>
      </c>
      <c r="AZ1811" s="246">
        <f>IFERROR(VLOOKUP(J1811,VOL_REC[],2,FALSE),0)</f>
        <v>663244.80000000016</v>
      </c>
      <c r="BA1811" s="246">
        <f>IFERROR(VLOOKUP(K1811,VOL_REC[],2,FALSE),0)</f>
        <v>17074.045034105649</v>
      </c>
      <c r="BB1811" s="246">
        <f>IFERROR(VLOOKUP(L1811,VOL_REC[],2,FALSE),0)</f>
        <v>1072354.9981737854</v>
      </c>
      <c r="BC1811" s="246">
        <f>IFERROR(VLOOKUP(M1811,VOL_REC[],2,FALSE),0)</f>
        <v>740113.98115702497</v>
      </c>
      <c r="BD1811" s="246">
        <f>IFERROR(VLOOKUP(N1811,VOL_REC[],2,FALSE),0)</f>
        <v>0</v>
      </c>
      <c r="BE1811" s="246">
        <f>IFERROR(VLOOKUP(O1811,VOL_REC[],2,FALSE),0)</f>
        <v>0</v>
      </c>
      <c r="BF1811" s="246">
        <f>IFERROR(VLOOKUP(P1811,VOL_REC[],2,FALSE),0)</f>
        <v>0</v>
      </c>
      <c r="BG1811" s="246">
        <f>IFERROR(VLOOKUP(Q1811,VOL_REC[],2,FALSE),0)</f>
        <v>0</v>
      </c>
      <c r="BH1811" s="1710">
        <f t="shared" si="112"/>
        <v>28120597709.021065</v>
      </c>
      <c r="BI1811" s="1710">
        <f t="shared" si="113"/>
        <v>25651637072.551758</v>
      </c>
      <c r="BJ1811" s="1711">
        <f t="shared" si="114"/>
        <v>19397184.816745907</v>
      </c>
      <c r="BK1811" s="1711">
        <f t="shared" si="115"/>
        <v>1.0962496323133775</v>
      </c>
      <c r="BL1811">
        <f t="shared" ref="BL1811:BL1816" si="118">BJ1811</f>
        <v>19397184.816745907</v>
      </c>
      <c r="BO1811">
        <f t="shared" ref="BO1811:BO1816" si="119">BL1811</f>
        <v>19397184.816745907</v>
      </c>
    </row>
    <row r="1812" spans="3:67" x14ac:dyDescent="0.25">
      <c r="C1812" s="246" t="s">
        <v>3162</v>
      </c>
      <c r="D1812" s="246">
        <v>1</v>
      </c>
      <c r="E1812" s="246">
        <v>2</v>
      </c>
      <c r="F1812" s="246">
        <v>3</v>
      </c>
      <c r="G1812" s="246">
        <v>9</v>
      </c>
      <c r="H1812" s="246">
        <v>10</v>
      </c>
      <c r="I1812" s="246">
        <v>12</v>
      </c>
      <c r="J1812" s="246">
        <v>13</v>
      </c>
      <c r="K1812" s="246">
        <v>15</v>
      </c>
      <c r="L1812" s="246">
        <v>16</v>
      </c>
      <c r="M1812" s="246">
        <v>17</v>
      </c>
      <c r="N1812" s="246"/>
      <c r="O1812" s="246"/>
      <c r="P1812" s="246"/>
      <c r="Q1812" s="246"/>
      <c r="R1812" s="246">
        <f>IFERROR(VLOOKUP(D1812,PROGRAMAS[],2,FALSE),0)</f>
        <v>97037803.679377079</v>
      </c>
      <c r="S1812" s="246">
        <f>IFERROR(VLOOKUP(E1812,PROGRAMAS[],2,FALSE),0)</f>
        <v>640501509.6821388</v>
      </c>
      <c r="T1812" s="246">
        <f>IFERROR(VLOOKUP(F1812,PROGRAMAS[],2,FALSE),0)</f>
        <v>3062327798.1525245</v>
      </c>
      <c r="U1812" s="246">
        <f>IFERROR(VLOOKUP(G1812,PROGRAMAS[],2,FALSE),0)</f>
        <v>6128579952.1618185</v>
      </c>
      <c r="V1812" s="246">
        <f>IFERROR(VLOOKUP(H1812,PROGRAMAS[],2,FALSE),0)</f>
        <v>4635315027.8751087</v>
      </c>
      <c r="W1812" s="246">
        <f>IFERROR(VLOOKUP(I1812,PROGRAMAS[],2,FALSE),0)</f>
        <v>764796700.79905891</v>
      </c>
      <c r="X1812" s="246">
        <f>IFERROR(VLOOKUP(J1812,PROGRAMAS[],2,FALSE),0)</f>
        <v>3776538594.4604583</v>
      </c>
      <c r="Y1812" s="246">
        <f>IFERROR(VLOOKUP(K1812,PROGRAMAS[],2,FALSE),0)</f>
        <v>122159672.96346797</v>
      </c>
      <c r="Z1812" s="246">
        <f>IFERROR(VLOOKUP(L1812,PROGRAMAS[],2,FALSE),0)</f>
        <v>7068496961.0436354</v>
      </c>
      <c r="AA1812" s="246">
        <f>IFERROR(VLOOKUP(M1812,PROGRAMAS[],2,FALSE),0)</f>
        <v>1892779498.5211046</v>
      </c>
      <c r="AB1812" s="246">
        <f>IFERROR(VLOOKUP(N1812,PROGRAMAS[],2,FALSE),0)</f>
        <v>0</v>
      </c>
      <c r="AC1812" s="246">
        <f>IFERROR(VLOOKUP(O1812,PROGRAMAS[],2,FALSE),0)</f>
        <v>0</v>
      </c>
      <c r="AD1812" s="246">
        <f>IFERROR(VLOOKUP(P1812,PROGRAMAS[],2,FALSE),0)</f>
        <v>0</v>
      </c>
      <c r="AE1812" s="246">
        <f>IFERROR(VLOOKUP(Q1812,PROGRAMAS[],2,FALSE),0)</f>
        <v>0</v>
      </c>
      <c r="AF1812" s="246">
        <f>IFERROR(VLOOKUP(D1812,PROGRAMAS[],3,FALSE),0)</f>
        <v>841888629.31080008</v>
      </c>
      <c r="AG1812" s="246">
        <f>IFERROR(VLOOKUP(E1812,PROGRAMAS[],3,FALSE),0)</f>
        <v>3848980803.1642323</v>
      </c>
      <c r="AH1812" s="246">
        <f>IFERROR(VLOOKUP(F1812,PROGRAMAS[],3,FALSE),0)</f>
        <v>3394901471.387517</v>
      </c>
      <c r="AI1812" s="246">
        <f>IFERROR(VLOOKUP(G1812,PROGRAMAS[],3,FALSE),0)</f>
        <v>7011279577.519702</v>
      </c>
      <c r="AJ1812" s="246">
        <f>IFERROR(VLOOKUP(H1812,PROGRAMAS[],3,FALSE),0)</f>
        <v>4099471734.9978786</v>
      </c>
      <c r="AK1812" s="246">
        <f>IFERROR(VLOOKUP(I1812,PROGRAMAS[],3,FALSE),0)</f>
        <v>675517840.109828</v>
      </c>
      <c r="AL1812" s="246">
        <f>IFERROR(VLOOKUP(J1812,PROGRAMAS[],3,FALSE),0)</f>
        <v>2392571243.5584412</v>
      </c>
      <c r="AM1812" s="246">
        <f>IFERROR(VLOOKUP(K1812,PROGRAMAS[],3,FALSE),0)</f>
        <v>118617452.52510804</v>
      </c>
      <c r="AN1812" s="246">
        <f>IFERROR(VLOOKUP(L1812,PROGRAMAS[],3,FALSE),0)</f>
        <v>2406564599.0319901</v>
      </c>
      <c r="AO1812" s="246">
        <f>IFERROR(VLOOKUP(M1812,PROGRAMAS[],3,FALSE),0)</f>
        <v>948595847.09039903</v>
      </c>
      <c r="AP1812" s="246">
        <f>IFERROR(VLOOKUP(N1812,PROGRAMAS[],3,FALSE),0)</f>
        <v>0</v>
      </c>
      <c r="AQ1812" s="246">
        <f>IFERROR(VLOOKUP(O1812,PROGRAMAS[],3,FALSE),0)</f>
        <v>0</v>
      </c>
      <c r="AR1812" s="246">
        <f>IFERROR(VLOOKUP(P1812,PROGRAMAS[],3,FALSE),0)</f>
        <v>0</v>
      </c>
      <c r="AS1812" s="246">
        <f>IFERROR(VLOOKUP(Q1812,PROGRAMAS[],3,FALSE),0)</f>
        <v>0</v>
      </c>
      <c r="AT1812" s="246">
        <f>IFERROR(VLOOKUP(D1812,VOL_REC[],2,FALSE),0)</f>
        <v>0</v>
      </c>
      <c r="AU1812" s="246">
        <f>IFERROR(VLOOKUP(E1812,VOL_REC[],2,FALSE),0)</f>
        <v>0</v>
      </c>
      <c r="AV1812" s="246">
        <f>IFERROR(VLOOKUP(F1812,VOL_REC[],2,FALSE),0)</f>
        <v>11089674.200000001</v>
      </c>
      <c r="AW1812" s="246">
        <f>IFERROR(VLOOKUP(G1812,VOL_REC[],2,FALSE),0)</f>
        <v>3761786</v>
      </c>
      <c r="AX1812" s="246">
        <f>IFERROR(VLOOKUP(H1812,VOL_REC[],2,FALSE),0)</f>
        <v>1812240</v>
      </c>
      <c r="AY1812" s="246">
        <f>IFERROR(VLOOKUP(I1812,VOL_REC[],2,FALSE),0)</f>
        <v>240696.79238099116</v>
      </c>
      <c r="AZ1812" s="246">
        <f>IFERROR(VLOOKUP(J1812,VOL_REC[],2,FALSE),0)</f>
        <v>663244.80000000016</v>
      </c>
      <c r="BA1812" s="246">
        <f>IFERROR(VLOOKUP(K1812,VOL_REC[],2,FALSE),0)</f>
        <v>105072</v>
      </c>
      <c r="BB1812" s="246">
        <f>IFERROR(VLOOKUP(L1812,VOL_REC[],2,FALSE),0)</f>
        <v>1072354.9981737854</v>
      </c>
      <c r="BC1812" s="246">
        <f>IFERROR(VLOOKUP(M1812,VOL_REC[],2,FALSE),0)</f>
        <v>740113.98115702497</v>
      </c>
      <c r="BD1812" s="246">
        <f>IFERROR(VLOOKUP(N1812,VOL_REC[],2,FALSE),0)</f>
        <v>0</v>
      </c>
      <c r="BE1812" s="246">
        <f>IFERROR(VLOOKUP(O1812,VOL_REC[],2,FALSE),0)</f>
        <v>0</v>
      </c>
      <c r="BF1812" s="246">
        <f>IFERROR(VLOOKUP(P1812,VOL_REC[],2,FALSE),0)</f>
        <v>0</v>
      </c>
      <c r="BG1812" s="246">
        <f>IFERROR(VLOOKUP(Q1812,VOL_REC[],2,FALSE),0)</f>
        <v>0</v>
      </c>
      <c r="BH1812" s="1710">
        <f t="shared" si="112"/>
        <v>28188533519.338692</v>
      </c>
      <c r="BI1812" s="1710">
        <f t="shared" si="113"/>
        <v>25738389198.6959</v>
      </c>
      <c r="BJ1812" s="1711">
        <f t="shared" si="114"/>
        <v>19485182.7717118</v>
      </c>
      <c r="BK1812" s="1711">
        <f t="shared" si="115"/>
        <v>1.09519415926646</v>
      </c>
      <c r="BL1812">
        <f t="shared" si="118"/>
        <v>19485182.7717118</v>
      </c>
      <c r="BO1812">
        <f t="shared" si="119"/>
        <v>19485182.7717118</v>
      </c>
    </row>
    <row r="1813" spans="3:67" x14ac:dyDescent="0.25">
      <c r="C1813" s="246" t="s">
        <v>3163</v>
      </c>
      <c r="D1813" s="246">
        <v>1</v>
      </c>
      <c r="E1813" s="246">
        <v>2</v>
      </c>
      <c r="F1813" s="246">
        <v>3</v>
      </c>
      <c r="G1813" s="246">
        <v>9</v>
      </c>
      <c r="H1813" s="246">
        <v>10</v>
      </c>
      <c r="I1813" s="246">
        <v>12</v>
      </c>
      <c r="J1813" s="246">
        <v>14</v>
      </c>
      <c r="K1813" s="246">
        <v>15</v>
      </c>
      <c r="L1813" s="246">
        <v>16</v>
      </c>
      <c r="M1813" s="246">
        <v>17</v>
      </c>
      <c r="N1813" s="246"/>
      <c r="O1813" s="246"/>
      <c r="P1813" s="246"/>
      <c r="Q1813" s="246"/>
      <c r="R1813" s="246">
        <f>IFERROR(VLOOKUP(D1813,PROGRAMAS[],2,FALSE),0)</f>
        <v>97037803.679377079</v>
      </c>
      <c r="S1813" s="246">
        <f>IFERROR(VLOOKUP(E1813,PROGRAMAS[],2,FALSE),0)</f>
        <v>640501509.6821388</v>
      </c>
      <c r="T1813" s="246">
        <f>IFERROR(VLOOKUP(F1813,PROGRAMAS[],2,FALSE),0)</f>
        <v>3062327798.1525245</v>
      </c>
      <c r="U1813" s="246">
        <f>IFERROR(VLOOKUP(G1813,PROGRAMAS[],2,FALSE),0)</f>
        <v>6128579952.1618185</v>
      </c>
      <c r="V1813" s="246">
        <f>IFERROR(VLOOKUP(H1813,PROGRAMAS[],2,FALSE),0)</f>
        <v>4635315027.8751087</v>
      </c>
      <c r="W1813" s="246">
        <f>IFERROR(VLOOKUP(I1813,PROGRAMAS[],2,FALSE),0)</f>
        <v>764796700.79905891</v>
      </c>
      <c r="X1813" s="246">
        <f>IFERROR(VLOOKUP(J1813,PROGRAMAS[],2,FALSE),0)</f>
        <v>54223862.645839565</v>
      </c>
      <c r="Y1813" s="246">
        <f>IFERROR(VLOOKUP(K1813,PROGRAMAS[],2,FALSE),0)</f>
        <v>122159672.96346797</v>
      </c>
      <c r="Z1813" s="246">
        <f>IFERROR(VLOOKUP(L1813,PROGRAMAS[],2,FALSE),0)</f>
        <v>7068496961.0436354</v>
      </c>
      <c r="AA1813" s="246">
        <f>IFERROR(VLOOKUP(M1813,PROGRAMAS[],2,FALSE),0)</f>
        <v>1892779498.5211046</v>
      </c>
      <c r="AB1813" s="246">
        <f>IFERROR(VLOOKUP(N1813,PROGRAMAS[],2,FALSE),0)</f>
        <v>0</v>
      </c>
      <c r="AC1813" s="246">
        <f>IFERROR(VLOOKUP(O1813,PROGRAMAS[],2,FALSE),0)</f>
        <v>0</v>
      </c>
      <c r="AD1813" s="246">
        <f>IFERROR(VLOOKUP(P1813,PROGRAMAS[],2,FALSE),0)</f>
        <v>0</v>
      </c>
      <c r="AE1813" s="246">
        <f>IFERROR(VLOOKUP(Q1813,PROGRAMAS[],2,FALSE),0)</f>
        <v>0</v>
      </c>
      <c r="AF1813" s="246">
        <f>IFERROR(VLOOKUP(D1813,PROGRAMAS[],3,FALSE),0)</f>
        <v>841888629.31080008</v>
      </c>
      <c r="AG1813" s="246">
        <f>IFERROR(VLOOKUP(E1813,PROGRAMAS[],3,FALSE),0)</f>
        <v>3848980803.1642323</v>
      </c>
      <c r="AH1813" s="246">
        <f>IFERROR(VLOOKUP(F1813,PROGRAMAS[],3,FALSE),0)</f>
        <v>3394901471.387517</v>
      </c>
      <c r="AI1813" s="246">
        <f>IFERROR(VLOOKUP(G1813,PROGRAMAS[],3,FALSE),0)</f>
        <v>7011279577.519702</v>
      </c>
      <c r="AJ1813" s="246">
        <f>IFERROR(VLOOKUP(H1813,PROGRAMAS[],3,FALSE),0)</f>
        <v>4099471734.9978786</v>
      </c>
      <c r="AK1813" s="246">
        <f>IFERROR(VLOOKUP(I1813,PROGRAMAS[],3,FALSE),0)</f>
        <v>675517840.109828</v>
      </c>
      <c r="AL1813" s="246">
        <f>IFERROR(VLOOKUP(J1813,PROGRAMAS[],3,FALSE),0)</f>
        <v>31865326.38096505</v>
      </c>
      <c r="AM1813" s="246">
        <f>IFERROR(VLOOKUP(K1813,PROGRAMAS[],3,FALSE),0)</f>
        <v>118617452.52510804</v>
      </c>
      <c r="AN1813" s="246">
        <f>IFERROR(VLOOKUP(L1813,PROGRAMAS[],3,FALSE),0)</f>
        <v>2406564599.0319901</v>
      </c>
      <c r="AO1813" s="246">
        <f>IFERROR(VLOOKUP(M1813,PROGRAMAS[],3,FALSE),0)</f>
        <v>948595847.09039903</v>
      </c>
      <c r="AP1813" s="246">
        <f>IFERROR(VLOOKUP(N1813,PROGRAMAS[],3,FALSE),0)</f>
        <v>0</v>
      </c>
      <c r="AQ1813" s="246">
        <f>IFERROR(VLOOKUP(O1813,PROGRAMAS[],3,FALSE),0)</f>
        <v>0</v>
      </c>
      <c r="AR1813" s="246">
        <f>IFERROR(VLOOKUP(P1813,PROGRAMAS[],3,FALSE),0)</f>
        <v>0</v>
      </c>
      <c r="AS1813" s="246">
        <f>IFERROR(VLOOKUP(Q1813,PROGRAMAS[],3,FALSE),0)</f>
        <v>0</v>
      </c>
      <c r="AT1813" s="246">
        <f>IFERROR(VLOOKUP(D1813,VOL_REC[],2,FALSE),0)</f>
        <v>0</v>
      </c>
      <c r="AU1813" s="246">
        <f>IFERROR(VLOOKUP(E1813,VOL_REC[],2,FALSE),0)</f>
        <v>0</v>
      </c>
      <c r="AV1813" s="246">
        <f>IFERROR(VLOOKUP(F1813,VOL_REC[],2,FALSE),0)</f>
        <v>11089674.200000001</v>
      </c>
      <c r="AW1813" s="246">
        <f>IFERROR(VLOOKUP(G1813,VOL_REC[],2,FALSE),0)</f>
        <v>3761786</v>
      </c>
      <c r="AX1813" s="246">
        <f>IFERROR(VLOOKUP(H1813,VOL_REC[],2,FALSE),0)</f>
        <v>1812240</v>
      </c>
      <c r="AY1813" s="246">
        <f>IFERROR(VLOOKUP(I1813,VOL_REC[],2,FALSE),0)</f>
        <v>240696.79238099116</v>
      </c>
      <c r="AZ1813" s="246">
        <f>IFERROR(VLOOKUP(J1813,VOL_REC[],2,FALSE),0)</f>
        <v>17074.045034105649</v>
      </c>
      <c r="BA1813" s="246">
        <f>IFERROR(VLOOKUP(K1813,VOL_REC[],2,FALSE),0)</f>
        <v>105072</v>
      </c>
      <c r="BB1813" s="246">
        <f>IFERROR(VLOOKUP(L1813,VOL_REC[],2,FALSE),0)</f>
        <v>1072354.9981737854</v>
      </c>
      <c r="BC1813" s="246">
        <f>IFERROR(VLOOKUP(M1813,VOL_REC[],2,FALSE),0)</f>
        <v>740113.98115702497</v>
      </c>
      <c r="BD1813" s="246">
        <f>IFERROR(VLOOKUP(N1813,VOL_REC[],2,FALSE),0)</f>
        <v>0</v>
      </c>
      <c r="BE1813" s="246">
        <f>IFERROR(VLOOKUP(O1813,VOL_REC[],2,FALSE),0)</f>
        <v>0</v>
      </c>
      <c r="BF1813" s="246">
        <f>IFERROR(VLOOKUP(P1813,VOL_REC[],2,FALSE),0)</f>
        <v>0</v>
      </c>
      <c r="BG1813" s="246">
        <f>IFERROR(VLOOKUP(Q1813,VOL_REC[],2,FALSE),0)</f>
        <v>0</v>
      </c>
      <c r="BH1813" s="1710">
        <f t="shared" si="112"/>
        <v>24466218787.524075</v>
      </c>
      <c r="BI1813" s="1710">
        <f t="shared" si="113"/>
        <v>23377683281.518425</v>
      </c>
      <c r="BJ1813" s="1711">
        <f t="shared" si="114"/>
        <v>18839012.016745906</v>
      </c>
      <c r="BK1813" s="1711">
        <f t="shared" si="115"/>
        <v>1.0465630187943478</v>
      </c>
      <c r="BL1813">
        <f t="shared" si="118"/>
        <v>18839012.016745906</v>
      </c>
      <c r="BO1813">
        <f t="shared" si="119"/>
        <v>18839012.016745906</v>
      </c>
    </row>
    <row r="1814" spans="3:67" x14ac:dyDescent="0.25">
      <c r="C1814" s="246" t="s">
        <v>3164</v>
      </c>
      <c r="D1814" s="246">
        <v>1</v>
      </c>
      <c r="E1814" s="246">
        <v>2</v>
      </c>
      <c r="F1814" s="246">
        <v>3</v>
      </c>
      <c r="G1814" s="246">
        <v>9</v>
      </c>
      <c r="H1814" s="246">
        <v>10</v>
      </c>
      <c r="I1814" s="246">
        <v>13</v>
      </c>
      <c r="J1814" s="246">
        <v>14</v>
      </c>
      <c r="K1814" s="246">
        <v>15</v>
      </c>
      <c r="L1814" s="246">
        <v>16</v>
      </c>
      <c r="M1814" s="246">
        <v>17</v>
      </c>
      <c r="N1814" s="246"/>
      <c r="O1814" s="246"/>
      <c r="P1814" s="246"/>
      <c r="Q1814" s="246"/>
      <c r="R1814" s="246">
        <f>IFERROR(VLOOKUP(D1814,PROGRAMAS[],2,FALSE),0)</f>
        <v>97037803.679377079</v>
      </c>
      <c r="S1814" s="246">
        <f>IFERROR(VLOOKUP(E1814,PROGRAMAS[],2,FALSE),0)</f>
        <v>640501509.6821388</v>
      </c>
      <c r="T1814" s="246">
        <f>IFERROR(VLOOKUP(F1814,PROGRAMAS[],2,FALSE),0)</f>
        <v>3062327798.1525245</v>
      </c>
      <c r="U1814" s="246">
        <f>IFERROR(VLOOKUP(G1814,PROGRAMAS[],2,FALSE),0)</f>
        <v>6128579952.1618185</v>
      </c>
      <c r="V1814" s="246">
        <f>IFERROR(VLOOKUP(H1814,PROGRAMAS[],2,FALSE),0)</f>
        <v>4635315027.8751087</v>
      </c>
      <c r="W1814" s="246">
        <f>IFERROR(VLOOKUP(I1814,PROGRAMAS[],2,FALSE),0)</f>
        <v>3776538594.4604583</v>
      </c>
      <c r="X1814" s="246">
        <f>IFERROR(VLOOKUP(J1814,PROGRAMAS[],2,FALSE),0)</f>
        <v>54223862.645839565</v>
      </c>
      <c r="Y1814" s="246">
        <f>IFERROR(VLOOKUP(K1814,PROGRAMAS[],2,FALSE),0)</f>
        <v>122159672.96346797</v>
      </c>
      <c r="Z1814" s="246">
        <f>IFERROR(VLOOKUP(L1814,PROGRAMAS[],2,FALSE),0)</f>
        <v>7068496961.0436354</v>
      </c>
      <c r="AA1814" s="246">
        <f>IFERROR(VLOOKUP(M1814,PROGRAMAS[],2,FALSE),0)</f>
        <v>1892779498.5211046</v>
      </c>
      <c r="AB1814" s="246">
        <f>IFERROR(VLOOKUP(N1814,PROGRAMAS[],2,FALSE),0)</f>
        <v>0</v>
      </c>
      <c r="AC1814" s="246">
        <f>IFERROR(VLOOKUP(O1814,PROGRAMAS[],2,FALSE),0)</f>
        <v>0</v>
      </c>
      <c r="AD1814" s="246">
        <f>IFERROR(VLOOKUP(P1814,PROGRAMAS[],2,FALSE),0)</f>
        <v>0</v>
      </c>
      <c r="AE1814" s="246">
        <f>IFERROR(VLOOKUP(Q1814,PROGRAMAS[],2,FALSE),0)</f>
        <v>0</v>
      </c>
      <c r="AF1814" s="246">
        <f>IFERROR(VLOOKUP(D1814,PROGRAMAS[],3,FALSE),0)</f>
        <v>841888629.31080008</v>
      </c>
      <c r="AG1814" s="246">
        <f>IFERROR(VLOOKUP(E1814,PROGRAMAS[],3,FALSE),0)</f>
        <v>3848980803.1642323</v>
      </c>
      <c r="AH1814" s="246">
        <f>IFERROR(VLOOKUP(F1814,PROGRAMAS[],3,FALSE),0)</f>
        <v>3394901471.387517</v>
      </c>
      <c r="AI1814" s="246">
        <f>IFERROR(VLOOKUP(G1814,PROGRAMAS[],3,FALSE),0)</f>
        <v>7011279577.519702</v>
      </c>
      <c r="AJ1814" s="246">
        <f>IFERROR(VLOOKUP(H1814,PROGRAMAS[],3,FALSE),0)</f>
        <v>4099471734.9978786</v>
      </c>
      <c r="AK1814" s="246">
        <f>IFERROR(VLOOKUP(I1814,PROGRAMAS[],3,FALSE),0)</f>
        <v>2392571243.5584412</v>
      </c>
      <c r="AL1814" s="246">
        <f>IFERROR(VLOOKUP(J1814,PROGRAMAS[],3,FALSE),0)</f>
        <v>31865326.38096505</v>
      </c>
      <c r="AM1814" s="246">
        <f>IFERROR(VLOOKUP(K1814,PROGRAMAS[],3,FALSE),0)</f>
        <v>118617452.52510804</v>
      </c>
      <c r="AN1814" s="246">
        <f>IFERROR(VLOOKUP(L1814,PROGRAMAS[],3,FALSE),0)</f>
        <v>2406564599.0319901</v>
      </c>
      <c r="AO1814" s="246">
        <f>IFERROR(VLOOKUP(M1814,PROGRAMAS[],3,FALSE),0)</f>
        <v>948595847.09039903</v>
      </c>
      <c r="AP1814" s="246">
        <f>IFERROR(VLOOKUP(N1814,PROGRAMAS[],3,FALSE),0)</f>
        <v>0</v>
      </c>
      <c r="AQ1814" s="246">
        <f>IFERROR(VLOOKUP(O1814,PROGRAMAS[],3,FALSE),0)</f>
        <v>0</v>
      </c>
      <c r="AR1814" s="246">
        <f>IFERROR(VLOOKUP(P1814,PROGRAMAS[],3,FALSE),0)</f>
        <v>0</v>
      </c>
      <c r="AS1814" s="246">
        <f>IFERROR(VLOOKUP(Q1814,PROGRAMAS[],3,FALSE),0)</f>
        <v>0</v>
      </c>
      <c r="AT1814" s="246">
        <f>IFERROR(VLOOKUP(D1814,VOL_REC[],2,FALSE),0)</f>
        <v>0</v>
      </c>
      <c r="AU1814" s="246">
        <f>IFERROR(VLOOKUP(E1814,VOL_REC[],2,FALSE),0)</f>
        <v>0</v>
      </c>
      <c r="AV1814" s="246">
        <f>IFERROR(VLOOKUP(F1814,VOL_REC[],2,FALSE),0)</f>
        <v>11089674.200000001</v>
      </c>
      <c r="AW1814" s="246">
        <f>IFERROR(VLOOKUP(G1814,VOL_REC[],2,FALSE),0)</f>
        <v>3761786</v>
      </c>
      <c r="AX1814" s="246">
        <f>IFERROR(VLOOKUP(H1814,VOL_REC[],2,FALSE),0)</f>
        <v>1812240</v>
      </c>
      <c r="AY1814" s="246">
        <f>IFERROR(VLOOKUP(I1814,VOL_REC[],2,FALSE),0)</f>
        <v>663244.80000000016</v>
      </c>
      <c r="AZ1814" s="246">
        <f>IFERROR(VLOOKUP(J1814,VOL_REC[],2,FALSE),0)</f>
        <v>17074.045034105649</v>
      </c>
      <c r="BA1814" s="246">
        <f>IFERROR(VLOOKUP(K1814,VOL_REC[],2,FALSE),0)</f>
        <v>105072</v>
      </c>
      <c r="BB1814" s="246">
        <f>IFERROR(VLOOKUP(L1814,VOL_REC[],2,FALSE),0)</f>
        <v>1072354.9981737854</v>
      </c>
      <c r="BC1814" s="246">
        <f>IFERROR(VLOOKUP(M1814,VOL_REC[],2,FALSE),0)</f>
        <v>740113.98115702497</v>
      </c>
      <c r="BD1814" s="246">
        <f>IFERROR(VLOOKUP(N1814,VOL_REC[],2,FALSE),0)</f>
        <v>0</v>
      </c>
      <c r="BE1814" s="246">
        <f>IFERROR(VLOOKUP(O1814,VOL_REC[],2,FALSE),0)</f>
        <v>0</v>
      </c>
      <c r="BF1814" s="246">
        <f>IFERROR(VLOOKUP(P1814,VOL_REC[],2,FALSE),0)</f>
        <v>0</v>
      </c>
      <c r="BG1814" s="246">
        <f>IFERROR(VLOOKUP(Q1814,VOL_REC[],2,FALSE),0)</f>
        <v>0</v>
      </c>
      <c r="BH1814" s="1710">
        <f t="shared" si="112"/>
        <v>27477960681.185471</v>
      </c>
      <c r="BI1814" s="1710">
        <f t="shared" si="113"/>
        <v>25094736684.967037</v>
      </c>
      <c r="BJ1814" s="1711">
        <f t="shared" si="114"/>
        <v>19261560.024364915</v>
      </c>
      <c r="BK1814" s="1711">
        <f t="shared" si="115"/>
        <v>1.0949690776251939</v>
      </c>
      <c r="BL1814">
        <f t="shared" si="118"/>
        <v>19261560.024364915</v>
      </c>
      <c r="BO1814">
        <f t="shared" si="119"/>
        <v>19261560.024364915</v>
      </c>
    </row>
    <row r="1815" spans="3:67" x14ac:dyDescent="0.25">
      <c r="C1815" s="246" t="s">
        <v>3165</v>
      </c>
      <c r="D1815" s="246">
        <v>1</v>
      </c>
      <c r="E1815" s="246">
        <v>2</v>
      </c>
      <c r="F1815" s="246">
        <v>3</v>
      </c>
      <c r="G1815" s="246">
        <v>9</v>
      </c>
      <c r="H1815" s="246">
        <v>12</v>
      </c>
      <c r="I1815" s="246">
        <v>13</v>
      </c>
      <c r="J1815" s="246">
        <v>14</v>
      </c>
      <c r="K1815" s="246">
        <v>15</v>
      </c>
      <c r="L1815" s="246">
        <v>16</v>
      </c>
      <c r="M1815" s="246">
        <v>17</v>
      </c>
      <c r="N1815" s="246"/>
      <c r="O1815" s="246"/>
      <c r="P1815" s="246"/>
      <c r="Q1815" s="246"/>
      <c r="R1815" s="246">
        <f>IFERROR(VLOOKUP(D1815,PROGRAMAS[],2,FALSE),0)</f>
        <v>97037803.679377079</v>
      </c>
      <c r="S1815" s="246">
        <f>IFERROR(VLOOKUP(E1815,PROGRAMAS[],2,FALSE),0)</f>
        <v>640501509.6821388</v>
      </c>
      <c r="T1815" s="246">
        <f>IFERROR(VLOOKUP(F1815,PROGRAMAS[],2,FALSE),0)</f>
        <v>3062327798.1525245</v>
      </c>
      <c r="U1815" s="246">
        <f>IFERROR(VLOOKUP(G1815,PROGRAMAS[],2,FALSE),0)</f>
        <v>6128579952.1618185</v>
      </c>
      <c r="V1815" s="246">
        <f>IFERROR(VLOOKUP(H1815,PROGRAMAS[],2,FALSE),0)</f>
        <v>764796700.79905891</v>
      </c>
      <c r="W1815" s="246">
        <f>IFERROR(VLOOKUP(I1815,PROGRAMAS[],2,FALSE),0)</f>
        <v>3776538594.4604583</v>
      </c>
      <c r="X1815" s="246">
        <f>IFERROR(VLOOKUP(J1815,PROGRAMAS[],2,FALSE),0)</f>
        <v>54223862.645839565</v>
      </c>
      <c r="Y1815" s="246">
        <f>IFERROR(VLOOKUP(K1815,PROGRAMAS[],2,FALSE),0)</f>
        <v>122159672.96346797</v>
      </c>
      <c r="Z1815" s="246">
        <f>IFERROR(VLOOKUP(L1815,PROGRAMAS[],2,FALSE),0)</f>
        <v>7068496961.0436354</v>
      </c>
      <c r="AA1815" s="246">
        <f>IFERROR(VLOOKUP(M1815,PROGRAMAS[],2,FALSE),0)</f>
        <v>1892779498.5211046</v>
      </c>
      <c r="AB1815" s="246">
        <f>IFERROR(VLOOKUP(N1815,PROGRAMAS[],2,FALSE),0)</f>
        <v>0</v>
      </c>
      <c r="AC1815" s="246">
        <f>IFERROR(VLOOKUP(O1815,PROGRAMAS[],2,FALSE),0)</f>
        <v>0</v>
      </c>
      <c r="AD1815" s="246">
        <f>IFERROR(VLOOKUP(P1815,PROGRAMAS[],2,FALSE),0)</f>
        <v>0</v>
      </c>
      <c r="AE1815" s="246">
        <f>IFERROR(VLOOKUP(Q1815,PROGRAMAS[],2,FALSE),0)</f>
        <v>0</v>
      </c>
      <c r="AF1815" s="246">
        <f>IFERROR(VLOOKUP(D1815,PROGRAMAS[],3,FALSE),0)</f>
        <v>841888629.31080008</v>
      </c>
      <c r="AG1815" s="246">
        <f>IFERROR(VLOOKUP(E1815,PROGRAMAS[],3,FALSE),0)</f>
        <v>3848980803.1642323</v>
      </c>
      <c r="AH1815" s="246">
        <f>IFERROR(VLOOKUP(F1815,PROGRAMAS[],3,FALSE),0)</f>
        <v>3394901471.387517</v>
      </c>
      <c r="AI1815" s="246">
        <f>IFERROR(VLOOKUP(G1815,PROGRAMAS[],3,FALSE),0)</f>
        <v>7011279577.519702</v>
      </c>
      <c r="AJ1815" s="246">
        <f>IFERROR(VLOOKUP(H1815,PROGRAMAS[],3,FALSE),0)</f>
        <v>675517840.109828</v>
      </c>
      <c r="AK1815" s="246">
        <f>IFERROR(VLOOKUP(I1815,PROGRAMAS[],3,FALSE),0)</f>
        <v>2392571243.5584412</v>
      </c>
      <c r="AL1815" s="246">
        <f>IFERROR(VLOOKUP(J1815,PROGRAMAS[],3,FALSE),0)</f>
        <v>31865326.38096505</v>
      </c>
      <c r="AM1815" s="246">
        <f>IFERROR(VLOOKUP(K1815,PROGRAMAS[],3,FALSE),0)</f>
        <v>118617452.52510804</v>
      </c>
      <c r="AN1815" s="246">
        <f>IFERROR(VLOOKUP(L1815,PROGRAMAS[],3,FALSE),0)</f>
        <v>2406564599.0319901</v>
      </c>
      <c r="AO1815" s="246">
        <f>IFERROR(VLOOKUP(M1815,PROGRAMAS[],3,FALSE),0)</f>
        <v>948595847.09039903</v>
      </c>
      <c r="AP1815" s="246">
        <f>IFERROR(VLOOKUP(N1815,PROGRAMAS[],3,FALSE),0)</f>
        <v>0</v>
      </c>
      <c r="AQ1815" s="246">
        <f>IFERROR(VLOOKUP(O1815,PROGRAMAS[],3,FALSE),0)</f>
        <v>0</v>
      </c>
      <c r="AR1815" s="246">
        <f>IFERROR(VLOOKUP(P1815,PROGRAMAS[],3,FALSE),0)</f>
        <v>0</v>
      </c>
      <c r="AS1815" s="246">
        <f>IFERROR(VLOOKUP(Q1815,PROGRAMAS[],3,FALSE),0)</f>
        <v>0</v>
      </c>
      <c r="AT1815" s="246">
        <f>IFERROR(VLOOKUP(D1815,VOL_REC[],2,FALSE),0)</f>
        <v>0</v>
      </c>
      <c r="AU1815" s="246">
        <f>IFERROR(VLOOKUP(E1815,VOL_REC[],2,FALSE),0)</f>
        <v>0</v>
      </c>
      <c r="AV1815" s="246">
        <f>IFERROR(VLOOKUP(F1815,VOL_REC[],2,FALSE),0)</f>
        <v>11089674.200000001</v>
      </c>
      <c r="AW1815" s="246">
        <f>IFERROR(VLOOKUP(G1815,VOL_REC[],2,FALSE),0)</f>
        <v>3761786</v>
      </c>
      <c r="AX1815" s="246">
        <f>IFERROR(VLOOKUP(H1815,VOL_REC[],2,FALSE),0)</f>
        <v>240696.79238099116</v>
      </c>
      <c r="AY1815" s="246">
        <f>IFERROR(VLOOKUP(I1815,VOL_REC[],2,FALSE),0)</f>
        <v>663244.80000000016</v>
      </c>
      <c r="AZ1815" s="246">
        <f>IFERROR(VLOOKUP(J1815,VOL_REC[],2,FALSE),0)</f>
        <v>17074.045034105649</v>
      </c>
      <c r="BA1815" s="246">
        <f>IFERROR(VLOOKUP(K1815,VOL_REC[],2,FALSE),0)</f>
        <v>105072</v>
      </c>
      <c r="BB1815" s="246">
        <f>IFERROR(VLOOKUP(L1815,VOL_REC[],2,FALSE),0)</f>
        <v>1072354.9981737854</v>
      </c>
      <c r="BC1815" s="246">
        <f>IFERROR(VLOOKUP(M1815,VOL_REC[],2,FALSE),0)</f>
        <v>740113.98115702497</v>
      </c>
      <c r="BD1815" s="246">
        <f>IFERROR(VLOOKUP(N1815,VOL_REC[],2,FALSE),0)</f>
        <v>0</v>
      </c>
      <c r="BE1815" s="246">
        <f>IFERROR(VLOOKUP(O1815,VOL_REC[],2,FALSE),0)</f>
        <v>0</v>
      </c>
      <c r="BF1815" s="246">
        <f>IFERROR(VLOOKUP(P1815,VOL_REC[],2,FALSE),0)</f>
        <v>0</v>
      </c>
      <c r="BG1815" s="246">
        <f>IFERROR(VLOOKUP(Q1815,VOL_REC[],2,FALSE),0)</f>
        <v>0</v>
      </c>
      <c r="BH1815" s="1710">
        <f t="shared" si="112"/>
        <v>23607442354.109425</v>
      </c>
      <c r="BI1815" s="1710">
        <f t="shared" si="113"/>
        <v>21670782790.078987</v>
      </c>
      <c r="BJ1815" s="1711">
        <f t="shared" si="114"/>
        <v>17690016.816745907</v>
      </c>
      <c r="BK1815" s="1711">
        <f t="shared" si="115"/>
        <v>1.0893673100224626</v>
      </c>
      <c r="BL1815">
        <f t="shared" si="118"/>
        <v>17690016.816745907</v>
      </c>
      <c r="BO1815">
        <f t="shared" si="119"/>
        <v>17690016.816745907</v>
      </c>
    </row>
    <row r="1816" spans="3:67" x14ac:dyDescent="0.25">
      <c r="C1816" s="246" t="s">
        <v>3166</v>
      </c>
      <c r="D1816" s="246">
        <v>1</v>
      </c>
      <c r="E1816" s="246">
        <v>2</v>
      </c>
      <c r="F1816" s="246">
        <v>3</v>
      </c>
      <c r="G1816" s="246">
        <v>10</v>
      </c>
      <c r="H1816" s="246">
        <v>12</v>
      </c>
      <c r="I1816" s="246">
        <v>13</v>
      </c>
      <c r="J1816" s="246">
        <v>14</v>
      </c>
      <c r="K1816" s="246">
        <v>15</v>
      </c>
      <c r="L1816" s="246">
        <v>16</v>
      </c>
      <c r="M1816" s="246">
        <v>17</v>
      </c>
      <c r="N1816" s="246"/>
      <c r="O1816" s="246"/>
      <c r="P1816" s="246"/>
      <c r="Q1816" s="246"/>
      <c r="R1816" s="246">
        <f>IFERROR(VLOOKUP(D1816,PROGRAMAS[],2,FALSE),0)</f>
        <v>97037803.679377079</v>
      </c>
      <c r="S1816" s="246">
        <f>IFERROR(VLOOKUP(E1816,PROGRAMAS[],2,FALSE),0)</f>
        <v>640501509.6821388</v>
      </c>
      <c r="T1816" s="246">
        <f>IFERROR(VLOOKUP(F1816,PROGRAMAS[],2,FALSE),0)</f>
        <v>3062327798.1525245</v>
      </c>
      <c r="U1816" s="246">
        <f>IFERROR(VLOOKUP(G1816,PROGRAMAS[],2,FALSE),0)</f>
        <v>4635315027.8751087</v>
      </c>
      <c r="V1816" s="246">
        <f>IFERROR(VLOOKUP(H1816,PROGRAMAS[],2,FALSE),0)</f>
        <v>764796700.79905891</v>
      </c>
      <c r="W1816" s="246">
        <f>IFERROR(VLOOKUP(I1816,PROGRAMAS[],2,FALSE),0)</f>
        <v>3776538594.4604583</v>
      </c>
      <c r="X1816" s="246">
        <f>IFERROR(VLOOKUP(J1816,PROGRAMAS[],2,FALSE),0)</f>
        <v>54223862.645839565</v>
      </c>
      <c r="Y1816" s="246">
        <f>IFERROR(VLOOKUP(K1816,PROGRAMAS[],2,FALSE),0)</f>
        <v>122159672.96346797</v>
      </c>
      <c r="Z1816" s="246">
        <f>IFERROR(VLOOKUP(L1816,PROGRAMAS[],2,FALSE),0)</f>
        <v>7068496961.0436354</v>
      </c>
      <c r="AA1816" s="246">
        <f>IFERROR(VLOOKUP(M1816,PROGRAMAS[],2,FALSE),0)</f>
        <v>1892779498.5211046</v>
      </c>
      <c r="AB1816" s="246">
        <f>IFERROR(VLOOKUP(N1816,PROGRAMAS[],2,FALSE),0)</f>
        <v>0</v>
      </c>
      <c r="AC1816" s="246">
        <f>IFERROR(VLOOKUP(O1816,PROGRAMAS[],2,FALSE),0)</f>
        <v>0</v>
      </c>
      <c r="AD1816" s="246">
        <f>IFERROR(VLOOKUP(P1816,PROGRAMAS[],2,FALSE),0)</f>
        <v>0</v>
      </c>
      <c r="AE1816" s="246">
        <f>IFERROR(VLOOKUP(Q1816,PROGRAMAS[],2,FALSE),0)</f>
        <v>0</v>
      </c>
      <c r="AF1816" s="246">
        <f>IFERROR(VLOOKUP(D1816,PROGRAMAS[],3,FALSE),0)</f>
        <v>841888629.31080008</v>
      </c>
      <c r="AG1816" s="246">
        <f>IFERROR(VLOOKUP(E1816,PROGRAMAS[],3,FALSE),0)</f>
        <v>3848980803.1642323</v>
      </c>
      <c r="AH1816" s="246">
        <f>IFERROR(VLOOKUP(F1816,PROGRAMAS[],3,FALSE),0)</f>
        <v>3394901471.387517</v>
      </c>
      <c r="AI1816" s="246">
        <f>IFERROR(VLOOKUP(G1816,PROGRAMAS[],3,FALSE),0)</f>
        <v>4099471734.9978786</v>
      </c>
      <c r="AJ1816" s="246">
        <f>IFERROR(VLOOKUP(H1816,PROGRAMAS[],3,FALSE),0)</f>
        <v>675517840.109828</v>
      </c>
      <c r="AK1816" s="246">
        <f>IFERROR(VLOOKUP(I1816,PROGRAMAS[],3,FALSE),0)</f>
        <v>2392571243.5584412</v>
      </c>
      <c r="AL1816" s="246">
        <f>IFERROR(VLOOKUP(J1816,PROGRAMAS[],3,FALSE),0)</f>
        <v>31865326.38096505</v>
      </c>
      <c r="AM1816" s="246">
        <f>IFERROR(VLOOKUP(K1816,PROGRAMAS[],3,FALSE),0)</f>
        <v>118617452.52510804</v>
      </c>
      <c r="AN1816" s="246">
        <f>IFERROR(VLOOKUP(L1816,PROGRAMAS[],3,FALSE),0)</f>
        <v>2406564599.0319901</v>
      </c>
      <c r="AO1816" s="246">
        <f>IFERROR(VLOOKUP(M1816,PROGRAMAS[],3,FALSE),0)</f>
        <v>948595847.09039903</v>
      </c>
      <c r="AP1816" s="246">
        <f>IFERROR(VLOOKUP(N1816,PROGRAMAS[],3,FALSE),0)</f>
        <v>0</v>
      </c>
      <c r="AQ1816" s="246">
        <f>IFERROR(VLOOKUP(O1816,PROGRAMAS[],3,FALSE),0)</f>
        <v>0</v>
      </c>
      <c r="AR1816" s="246">
        <f>IFERROR(VLOOKUP(P1816,PROGRAMAS[],3,FALSE),0)</f>
        <v>0</v>
      </c>
      <c r="AS1816" s="246">
        <f>IFERROR(VLOOKUP(Q1816,PROGRAMAS[],3,FALSE),0)</f>
        <v>0</v>
      </c>
      <c r="AT1816" s="246">
        <f>IFERROR(VLOOKUP(D1816,VOL_REC[],2,FALSE),0)</f>
        <v>0</v>
      </c>
      <c r="AU1816" s="246">
        <f>IFERROR(VLOOKUP(E1816,VOL_REC[],2,FALSE),0)</f>
        <v>0</v>
      </c>
      <c r="AV1816" s="246">
        <f>IFERROR(VLOOKUP(F1816,VOL_REC[],2,FALSE),0)</f>
        <v>11089674.200000001</v>
      </c>
      <c r="AW1816" s="246">
        <f>IFERROR(VLOOKUP(G1816,VOL_REC[],2,FALSE),0)</f>
        <v>1812240</v>
      </c>
      <c r="AX1816" s="246">
        <f>IFERROR(VLOOKUP(H1816,VOL_REC[],2,FALSE),0)</f>
        <v>240696.79238099116</v>
      </c>
      <c r="AY1816" s="246">
        <f>IFERROR(VLOOKUP(I1816,VOL_REC[],2,FALSE),0)</f>
        <v>663244.80000000016</v>
      </c>
      <c r="AZ1816" s="246">
        <f>IFERROR(VLOOKUP(J1816,VOL_REC[],2,FALSE),0)</f>
        <v>17074.045034105649</v>
      </c>
      <c r="BA1816" s="246">
        <f>IFERROR(VLOOKUP(K1816,VOL_REC[],2,FALSE),0)</f>
        <v>105072</v>
      </c>
      <c r="BB1816" s="246">
        <f>IFERROR(VLOOKUP(L1816,VOL_REC[],2,FALSE),0)</f>
        <v>1072354.9981737854</v>
      </c>
      <c r="BC1816" s="246">
        <f>IFERROR(VLOOKUP(M1816,VOL_REC[],2,FALSE),0)</f>
        <v>740113.98115702497</v>
      </c>
      <c r="BD1816" s="246">
        <f>IFERROR(VLOOKUP(N1816,VOL_REC[],2,FALSE),0)</f>
        <v>0</v>
      </c>
      <c r="BE1816" s="246">
        <f>IFERROR(VLOOKUP(O1816,VOL_REC[],2,FALSE),0)</f>
        <v>0</v>
      </c>
      <c r="BF1816" s="246">
        <f>IFERROR(VLOOKUP(P1816,VOL_REC[],2,FALSE),0)</f>
        <v>0</v>
      </c>
      <c r="BG1816" s="246">
        <f>IFERROR(VLOOKUP(Q1816,VOL_REC[],2,FALSE),0)</f>
        <v>0</v>
      </c>
      <c r="BH1816" s="1710">
        <f t="shared" si="112"/>
        <v>22114177429.822712</v>
      </c>
      <c r="BI1816" s="1710">
        <f t="shared" si="113"/>
        <v>18758974947.557159</v>
      </c>
      <c r="BJ1816" s="1711">
        <f t="shared" si="114"/>
        <v>15740470.816745909</v>
      </c>
      <c r="BK1816" s="1711">
        <f t="shared" si="115"/>
        <v>1.1788585192765277</v>
      </c>
      <c r="BL1816">
        <f t="shared" si="118"/>
        <v>15740470.816745909</v>
      </c>
      <c r="BO1816">
        <f t="shared" si="119"/>
        <v>15740470.816745909</v>
      </c>
    </row>
    <row r="1817" spans="3:67" x14ac:dyDescent="0.25">
      <c r="C1817" s="246" t="s">
        <v>3167</v>
      </c>
      <c r="D1817" s="246">
        <v>1</v>
      </c>
      <c r="E1817" s="246">
        <v>2</v>
      </c>
      <c r="F1817" s="246">
        <v>3</v>
      </c>
      <c r="G1817" s="246">
        <v>4</v>
      </c>
      <c r="H1817" s="246">
        <v>5</v>
      </c>
      <c r="I1817" s="246">
        <v>6</v>
      </c>
      <c r="J1817" s="246">
        <v>9</v>
      </c>
      <c r="K1817" s="246">
        <v>10</v>
      </c>
      <c r="L1817" s="246">
        <v>12</v>
      </c>
      <c r="M1817" s="246">
        <v>13</v>
      </c>
      <c r="N1817" s="246">
        <v>14</v>
      </c>
      <c r="O1817" s="246"/>
      <c r="P1817" s="246"/>
      <c r="Q1817" s="246"/>
      <c r="R1817" s="246">
        <f>IFERROR(VLOOKUP(D1817,PROGRAMAS[],2,FALSE),0)</f>
        <v>97037803.679377079</v>
      </c>
      <c r="S1817" s="246">
        <f>IFERROR(VLOOKUP(E1817,PROGRAMAS[],2,FALSE),0)</f>
        <v>640501509.6821388</v>
      </c>
      <c r="T1817" s="246">
        <f>IFERROR(VLOOKUP(F1817,PROGRAMAS[],2,FALSE),0)</f>
        <v>3062327798.1525245</v>
      </c>
      <c r="U1817" s="246">
        <f>IFERROR(VLOOKUP(G1817,PROGRAMAS[],2,FALSE),0)</f>
        <v>67697118.033011258</v>
      </c>
      <c r="V1817" s="246">
        <f>IFERROR(VLOOKUP(H1817,PROGRAMAS[],2,FALSE),0)</f>
        <v>1440941976.2528784</v>
      </c>
      <c r="W1817" s="246">
        <f>IFERROR(VLOOKUP(I1817,PROGRAMAS[],2,FALSE),0)</f>
        <v>6907648435.8447599</v>
      </c>
      <c r="X1817" s="246">
        <f>IFERROR(VLOOKUP(J1817,PROGRAMAS[],2,FALSE),0)</f>
        <v>6128579952.1618185</v>
      </c>
      <c r="Y1817" s="246">
        <f>IFERROR(VLOOKUP(K1817,PROGRAMAS[],2,FALSE),0)</f>
        <v>4635315027.8751087</v>
      </c>
      <c r="Z1817" s="246">
        <f>IFERROR(VLOOKUP(L1817,PROGRAMAS[],2,FALSE),0)</f>
        <v>764796700.79905891</v>
      </c>
      <c r="AA1817" s="246">
        <f>IFERROR(VLOOKUP(M1817,PROGRAMAS[],2,FALSE),0)</f>
        <v>3776538594.4604583</v>
      </c>
      <c r="AB1817" s="246">
        <f>IFERROR(VLOOKUP(N1817,PROGRAMAS[],2,FALSE),0)</f>
        <v>54223862.645839565</v>
      </c>
      <c r="AC1817" s="246">
        <f>IFERROR(VLOOKUP(O1817,PROGRAMAS[],2,FALSE),0)</f>
        <v>0</v>
      </c>
      <c r="AD1817" s="246">
        <f>IFERROR(VLOOKUP(P1817,PROGRAMAS[],2,FALSE),0)</f>
        <v>0</v>
      </c>
      <c r="AE1817" s="246">
        <f>IFERROR(VLOOKUP(Q1817,PROGRAMAS[],2,FALSE),0)</f>
        <v>0</v>
      </c>
      <c r="AF1817" s="246">
        <f>IFERROR(VLOOKUP(D1817,PROGRAMAS[],3,FALSE),0)</f>
        <v>841888629.31080008</v>
      </c>
      <c r="AG1817" s="246">
        <f>IFERROR(VLOOKUP(E1817,PROGRAMAS[],3,FALSE),0)</f>
        <v>3848980803.1642323</v>
      </c>
      <c r="AH1817" s="246">
        <f>IFERROR(VLOOKUP(F1817,PROGRAMAS[],3,FALSE),0)</f>
        <v>3394901471.387517</v>
      </c>
      <c r="AI1817" s="246">
        <f>IFERROR(VLOOKUP(G1817,PROGRAMAS[],3,FALSE),0)</f>
        <v>125317226.95549992</v>
      </c>
      <c r="AJ1817" s="246">
        <f>IFERROR(VLOOKUP(H1817,PROGRAMAS[],3,FALSE),0)</f>
        <v>1233505101.0616004</v>
      </c>
      <c r="AK1817" s="246">
        <f>IFERROR(VLOOKUP(I1817,PROGRAMAS[],3,FALSE),0)</f>
        <v>6129902208.7912121</v>
      </c>
      <c r="AL1817" s="246">
        <f>IFERROR(VLOOKUP(J1817,PROGRAMAS[],3,FALSE),0)</f>
        <v>7011279577.519702</v>
      </c>
      <c r="AM1817" s="246">
        <f>IFERROR(VLOOKUP(K1817,PROGRAMAS[],3,FALSE),0)</f>
        <v>4099471734.9978786</v>
      </c>
      <c r="AN1817" s="246">
        <f>IFERROR(VLOOKUP(L1817,PROGRAMAS[],3,FALSE),0)</f>
        <v>675517840.109828</v>
      </c>
      <c r="AO1817" s="246">
        <f>IFERROR(VLOOKUP(M1817,PROGRAMAS[],3,FALSE),0)</f>
        <v>2392571243.5584412</v>
      </c>
      <c r="AP1817" s="246">
        <f>IFERROR(VLOOKUP(N1817,PROGRAMAS[],3,FALSE),0)</f>
        <v>31865326.38096505</v>
      </c>
      <c r="AQ1817" s="246">
        <f>IFERROR(VLOOKUP(O1817,PROGRAMAS[],3,FALSE),0)</f>
        <v>0</v>
      </c>
      <c r="AR1817" s="246">
        <f>IFERROR(VLOOKUP(P1817,PROGRAMAS[],3,FALSE),0)</f>
        <v>0</v>
      </c>
      <c r="AS1817" s="246">
        <f>IFERROR(VLOOKUP(Q1817,PROGRAMAS[],3,FALSE),0)</f>
        <v>0</v>
      </c>
      <c r="AT1817" s="246">
        <f>IFERROR(VLOOKUP(D1817,VOL_REC[],2,FALSE),0)</f>
        <v>0</v>
      </c>
      <c r="AU1817" s="246">
        <f>IFERROR(VLOOKUP(E1817,VOL_REC[],2,FALSE),0)</f>
        <v>0</v>
      </c>
      <c r="AV1817" s="246">
        <f>IFERROR(VLOOKUP(F1817,VOL_REC[],2,FALSE),0)</f>
        <v>11089674.200000001</v>
      </c>
      <c r="AW1817" s="246">
        <f>IFERROR(VLOOKUP(G1817,VOL_REC[],2,FALSE),0)</f>
        <v>90439.55</v>
      </c>
      <c r="AX1817" s="246">
        <f>IFERROR(VLOOKUP(H1817,VOL_REC[],2,FALSE),0)</f>
        <v>4325103.1812214684</v>
      </c>
      <c r="AY1817" s="246">
        <f>IFERROR(VLOOKUP(I1817,VOL_REC[],2,FALSE),0)</f>
        <v>15540036.397699751</v>
      </c>
      <c r="AZ1817" s="246">
        <f>IFERROR(VLOOKUP(J1817,VOL_REC[],2,FALSE),0)</f>
        <v>3761786</v>
      </c>
      <c r="BA1817" s="246">
        <f>IFERROR(VLOOKUP(K1817,VOL_REC[],2,FALSE),0)</f>
        <v>1812240</v>
      </c>
      <c r="BB1817" s="246">
        <f>IFERROR(VLOOKUP(L1817,VOL_REC[],2,FALSE),0)</f>
        <v>240696.79238099116</v>
      </c>
      <c r="BC1817" s="246">
        <f>IFERROR(VLOOKUP(M1817,VOL_REC[],2,FALSE),0)</f>
        <v>663244.80000000016</v>
      </c>
      <c r="BD1817" s="246">
        <f>IFERROR(VLOOKUP(N1817,VOL_REC[],2,FALSE),0)</f>
        <v>17074.045034105649</v>
      </c>
      <c r="BE1817" s="246">
        <f>IFERROR(VLOOKUP(O1817,VOL_REC[],2,FALSE),0)</f>
        <v>0</v>
      </c>
      <c r="BF1817" s="246">
        <f>IFERROR(VLOOKUP(P1817,VOL_REC[],2,FALSE),0)</f>
        <v>0</v>
      </c>
      <c r="BG1817" s="246">
        <f>IFERROR(VLOOKUP(Q1817,VOL_REC[],2,FALSE),0)</f>
        <v>0</v>
      </c>
      <c r="BH1817" s="1710">
        <f t="shared" si="112"/>
        <v>27575608779.586971</v>
      </c>
      <c r="BI1817" s="1710">
        <f t="shared" si="113"/>
        <v>29785201163.237679</v>
      </c>
      <c r="BJ1817" s="1711">
        <f t="shared" si="114"/>
        <v>37540294.96633631</v>
      </c>
      <c r="BK1817" s="1711">
        <f t="shared" si="115"/>
        <v>0.92581576429378321</v>
      </c>
    </row>
    <row r="1818" spans="3:67" x14ac:dyDescent="0.25">
      <c r="C1818" s="246" t="s">
        <v>3168</v>
      </c>
      <c r="D1818" s="246">
        <v>1</v>
      </c>
      <c r="E1818" s="246">
        <v>2</v>
      </c>
      <c r="F1818" s="246">
        <v>3</v>
      </c>
      <c r="G1818" s="246">
        <v>4</v>
      </c>
      <c r="H1818" s="246">
        <v>5</v>
      </c>
      <c r="I1818" s="246">
        <v>6</v>
      </c>
      <c r="J1818" s="246">
        <v>9</v>
      </c>
      <c r="K1818" s="246">
        <v>10</v>
      </c>
      <c r="L1818" s="246">
        <v>12</v>
      </c>
      <c r="M1818" s="246">
        <v>13</v>
      </c>
      <c r="N1818" s="246">
        <v>15</v>
      </c>
      <c r="O1818" s="246"/>
      <c r="P1818" s="246"/>
      <c r="Q1818" s="246"/>
      <c r="R1818" s="246">
        <f>IFERROR(VLOOKUP(D1818,PROGRAMAS[],2,FALSE),0)</f>
        <v>97037803.679377079</v>
      </c>
      <c r="S1818" s="246">
        <f>IFERROR(VLOOKUP(E1818,PROGRAMAS[],2,FALSE),0)</f>
        <v>640501509.6821388</v>
      </c>
      <c r="T1818" s="246">
        <f>IFERROR(VLOOKUP(F1818,PROGRAMAS[],2,FALSE),0)</f>
        <v>3062327798.1525245</v>
      </c>
      <c r="U1818" s="246">
        <f>IFERROR(VLOOKUP(G1818,PROGRAMAS[],2,FALSE),0)</f>
        <v>67697118.033011258</v>
      </c>
      <c r="V1818" s="246">
        <f>IFERROR(VLOOKUP(H1818,PROGRAMAS[],2,FALSE),0)</f>
        <v>1440941976.2528784</v>
      </c>
      <c r="W1818" s="246">
        <f>IFERROR(VLOOKUP(I1818,PROGRAMAS[],2,FALSE),0)</f>
        <v>6907648435.8447599</v>
      </c>
      <c r="X1818" s="246">
        <f>IFERROR(VLOOKUP(J1818,PROGRAMAS[],2,FALSE),0)</f>
        <v>6128579952.1618185</v>
      </c>
      <c r="Y1818" s="246">
        <f>IFERROR(VLOOKUP(K1818,PROGRAMAS[],2,FALSE),0)</f>
        <v>4635315027.8751087</v>
      </c>
      <c r="Z1818" s="246">
        <f>IFERROR(VLOOKUP(L1818,PROGRAMAS[],2,FALSE),0)</f>
        <v>764796700.79905891</v>
      </c>
      <c r="AA1818" s="246">
        <f>IFERROR(VLOOKUP(M1818,PROGRAMAS[],2,FALSE),0)</f>
        <v>3776538594.4604583</v>
      </c>
      <c r="AB1818" s="246">
        <f>IFERROR(VLOOKUP(N1818,PROGRAMAS[],2,FALSE),0)</f>
        <v>122159672.96346797</v>
      </c>
      <c r="AC1818" s="246">
        <f>IFERROR(VLOOKUP(O1818,PROGRAMAS[],2,FALSE),0)</f>
        <v>0</v>
      </c>
      <c r="AD1818" s="246">
        <f>IFERROR(VLOOKUP(P1818,PROGRAMAS[],2,FALSE),0)</f>
        <v>0</v>
      </c>
      <c r="AE1818" s="246">
        <f>IFERROR(VLOOKUP(Q1818,PROGRAMAS[],2,FALSE),0)</f>
        <v>0</v>
      </c>
      <c r="AF1818" s="246">
        <f>IFERROR(VLOOKUP(D1818,PROGRAMAS[],3,FALSE),0)</f>
        <v>841888629.31080008</v>
      </c>
      <c r="AG1818" s="246">
        <f>IFERROR(VLOOKUP(E1818,PROGRAMAS[],3,FALSE),0)</f>
        <v>3848980803.1642323</v>
      </c>
      <c r="AH1818" s="246">
        <f>IFERROR(VLOOKUP(F1818,PROGRAMAS[],3,FALSE),0)</f>
        <v>3394901471.387517</v>
      </c>
      <c r="AI1818" s="246">
        <f>IFERROR(VLOOKUP(G1818,PROGRAMAS[],3,FALSE),0)</f>
        <v>125317226.95549992</v>
      </c>
      <c r="AJ1818" s="246">
        <f>IFERROR(VLOOKUP(H1818,PROGRAMAS[],3,FALSE),0)</f>
        <v>1233505101.0616004</v>
      </c>
      <c r="AK1818" s="246">
        <f>IFERROR(VLOOKUP(I1818,PROGRAMAS[],3,FALSE),0)</f>
        <v>6129902208.7912121</v>
      </c>
      <c r="AL1818" s="246">
        <f>IFERROR(VLOOKUP(J1818,PROGRAMAS[],3,FALSE),0)</f>
        <v>7011279577.519702</v>
      </c>
      <c r="AM1818" s="246">
        <f>IFERROR(VLOOKUP(K1818,PROGRAMAS[],3,FALSE),0)</f>
        <v>4099471734.9978786</v>
      </c>
      <c r="AN1818" s="246">
        <f>IFERROR(VLOOKUP(L1818,PROGRAMAS[],3,FALSE),0)</f>
        <v>675517840.109828</v>
      </c>
      <c r="AO1818" s="246">
        <f>IFERROR(VLOOKUP(M1818,PROGRAMAS[],3,FALSE),0)</f>
        <v>2392571243.5584412</v>
      </c>
      <c r="AP1818" s="246">
        <f>IFERROR(VLOOKUP(N1818,PROGRAMAS[],3,FALSE),0)</f>
        <v>118617452.52510804</v>
      </c>
      <c r="AQ1818" s="246">
        <f>IFERROR(VLOOKUP(O1818,PROGRAMAS[],3,FALSE),0)</f>
        <v>0</v>
      </c>
      <c r="AR1818" s="246">
        <f>IFERROR(VLOOKUP(P1818,PROGRAMAS[],3,FALSE),0)</f>
        <v>0</v>
      </c>
      <c r="AS1818" s="246">
        <f>IFERROR(VLOOKUP(Q1818,PROGRAMAS[],3,FALSE),0)</f>
        <v>0</v>
      </c>
      <c r="AT1818" s="246">
        <f>IFERROR(VLOOKUP(D1818,VOL_REC[],2,FALSE),0)</f>
        <v>0</v>
      </c>
      <c r="AU1818" s="246">
        <f>IFERROR(VLOOKUP(E1818,VOL_REC[],2,FALSE),0)</f>
        <v>0</v>
      </c>
      <c r="AV1818" s="246">
        <f>IFERROR(VLOOKUP(F1818,VOL_REC[],2,FALSE),0)</f>
        <v>11089674.200000001</v>
      </c>
      <c r="AW1818" s="246">
        <f>IFERROR(VLOOKUP(G1818,VOL_REC[],2,FALSE),0)</f>
        <v>90439.55</v>
      </c>
      <c r="AX1818" s="246">
        <f>IFERROR(VLOOKUP(H1818,VOL_REC[],2,FALSE),0)</f>
        <v>4325103.1812214684</v>
      </c>
      <c r="AY1818" s="246">
        <f>IFERROR(VLOOKUP(I1818,VOL_REC[],2,FALSE),0)</f>
        <v>15540036.397699751</v>
      </c>
      <c r="AZ1818" s="246">
        <f>IFERROR(VLOOKUP(J1818,VOL_REC[],2,FALSE),0)</f>
        <v>3761786</v>
      </c>
      <c r="BA1818" s="246">
        <f>IFERROR(VLOOKUP(K1818,VOL_REC[],2,FALSE),0)</f>
        <v>1812240</v>
      </c>
      <c r="BB1818" s="246">
        <f>IFERROR(VLOOKUP(L1818,VOL_REC[],2,FALSE),0)</f>
        <v>240696.79238099116</v>
      </c>
      <c r="BC1818" s="246">
        <f>IFERROR(VLOOKUP(M1818,VOL_REC[],2,FALSE),0)</f>
        <v>663244.80000000016</v>
      </c>
      <c r="BD1818" s="246">
        <f>IFERROR(VLOOKUP(N1818,VOL_REC[],2,FALSE),0)</f>
        <v>105072</v>
      </c>
      <c r="BE1818" s="246">
        <f>IFERROR(VLOOKUP(O1818,VOL_REC[],2,FALSE),0)</f>
        <v>0</v>
      </c>
      <c r="BF1818" s="246">
        <f>IFERROR(VLOOKUP(P1818,VOL_REC[],2,FALSE),0)</f>
        <v>0</v>
      </c>
      <c r="BG1818" s="246">
        <f>IFERROR(VLOOKUP(Q1818,VOL_REC[],2,FALSE),0)</f>
        <v>0</v>
      </c>
      <c r="BH1818" s="1710">
        <f t="shared" si="112"/>
        <v>27643544589.904598</v>
      </c>
      <c r="BI1818" s="1710">
        <f t="shared" si="113"/>
        <v>29871953289.381821</v>
      </c>
      <c r="BJ1818" s="1711">
        <f t="shared" si="114"/>
        <v>37628292.921302207</v>
      </c>
      <c r="BK1818" s="1711">
        <f t="shared" si="115"/>
        <v>0.92540130610510407</v>
      </c>
    </row>
    <row r="1819" spans="3:67" x14ac:dyDescent="0.25">
      <c r="C1819" s="246" t="s">
        <v>3169</v>
      </c>
      <c r="D1819" s="246">
        <v>1</v>
      </c>
      <c r="E1819" s="246">
        <v>2</v>
      </c>
      <c r="F1819" s="246">
        <v>3</v>
      </c>
      <c r="G1819" s="246">
        <v>4</v>
      </c>
      <c r="H1819" s="246">
        <v>5</v>
      </c>
      <c r="I1819" s="246">
        <v>6</v>
      </c>
      <c r="J1819" s="246">
        <v>9</v>
      </c>
      <c r="K1819" s="246">
        <v>10</v>
      </c>
      <c r="L1819" s="246">
        <v>12</v>
      </c>
      <c r="M1819" s="246">
        <v>13</v>
      </c>
      <c r="N1819" s="246">
        <v>16</v>
      </c>
      <c r="O1819" s="246"/>
      <c r="P1819" s="246"/>
      <c r="Q1819" s="246"/>
      <c r="R1819" s="246">
        <f>IFERROR(VLOOKUP(D1819,PROGRAMAS[],2,FALSE),0)</f>
        <v>97037803.679377079</v>
      </c>
      <c r="S1819" s="246">
        <f>IFERROR(VLOOKUP(E1819,PROGRAMAS[],2,FALSE),0)</f>
        <v>640501509.6821388</v>
      </c>
      <c r="T1819" s="246">
        <f>IFERROR(VLOOKUP(F1819,PROGRAMAS[],2,FALSE),0)</f>
        <v>3062327798.1525245</v>
      </c>
      <c r="U1819" s="246">
        <f>IFERROR(VLOOKUP(G1819,PROGRAMAS[],2,FALSE),0)</f>
        <v>67697118.033011258</v>
      </c>
      <c r="V1819" s="246">
        <f>IFERROR(VLOOKUP(H1819,PROGRAMAS[],2,FALSE),0)</f>
        <v>1440941976.2528784</v>
      </c>
      <c r="W1819" s="246">
        <f>IFERROR(VLOOKUP(I1819,PROGRAMAS[],2,FALSE),0)</f>
        <v>6907648435.8447599</v>
      </c>
      <c r="X1819" s="246">
        <f>IFERROR(VLOOKUP(J1819,PROGRAMAS[],2,FALSE),0)</f>
        <v>6128579952.1618185</v>
      </c>
      <c r="Y1819" s="246">
        <f>IFERROR(VLOOKUP(K1819,PROGRAMAS[],2,FALSE),0)</f>
        <v>4635315027.8751087</v>
      </c>
      <c r="Z1819" s="246">
        <f>IFERROR(VLOOKUP(L1819,PROGRAMAS[],2,FALSE),0)</f>
        <v>764796700.79905891</v>
      </c>
      <c r="AA1819" s="246">
        <f>IFERROR(VLOOKUP(M1819,PROGRAMAS[],2,FALSE),0)</f>
        <v>3776538594.4604583</v>
      </c>
      <c r="AB1819" s="246">
        <f>IFERROR(VLOOKUP(N1819,PROGRAMAS[],2,FALSE),0)</f>
        <v>7068496961.0436354</v>
      </c>
      <c r="AC1819" s="246">
        <f>IFERROR(VLOOKUP(O1819,PROGRAMAS[],2,FALSE),0)</f>
        <v>0</v>
      </c>
      <c r="AD1819" s="246">
        <f>IFERROR(VLOOKUP(P1819,PROGRAMAS[],2,FALSE),0)</f>
        <v>0</v>
      </c>
      <c r="AE1819" s="246">
        <f>IFERROR(VLOOKUP(Q1819,PROGRAMAS[],2,FALSE),0)</f>
        <v>0</v>
      </c>
      <c r="AF1819" s="246">
        <f>IFERROR(VLOOKUP(D1819,PROGRAMAS[],3,FALSE),0)</f>
        <v>841888629.31080008</v>
      </c>
      <c r="AG1819" s="246">
        <f>IFERROR(VLOOKUP(E1819,PROGRAMAS[],3,FALSE),0)</f>
        <v>3848980803.1642323</v>
      </c>
      <c r="AH1819" s="246">
        <f>IFERROR(VLOOKUP(F1819,PROGRAMAS[],3,FALSE),0)</f>
        <v>3394901471.387517</v>
      </c>
      <c r="AI1819" s="246">
        <f>IFERROR(VLOOKUP(G1819,PROGRAMAS[],3,FALSE),0)</f>
        <v>125317226.95549992</v>
      </c>
      <c r="AJ1819" s="246">
        <f>IFERROR(VLOOKUP(H1819,PROGRAMAS[],3,FALSE),0)</f>
        <v>1233505101.0616004</v>
      </c>
      <c r="AK1819" s="246">
        <f>IFERROR(VLOOKUP(I1819,PROGRAMAS[],3,FALSE),0)</f>
        <v>6129902208.7912121</v>
      </c>
      <c r="AL1819" s="246">
        <f>IFERROR(VLOOKUP(J1819,PROGRAMAS[],3,FALSE),0)</f>
        <v>7011279577.519702</v>
      </c>
      <c r="AM1819" s="246">
        <f>IFERROR(VLOOKUP(K1819,PROGRAMAS[],3,FALSE),0)</f>
        <v>4099471734.9978786</v>
      </c>
      <c r="AN1819" s="246">
        <f>IFERROR(VLOOKUP(L1819,PROGRAMAS[],3,FALSE),0)</f>
        <v>675517840.109828</v>
      </c>
      <c r="AO1819" s="246">
        <f>IFERROR(VLOOKUP(M1819,PROGRAMAS[],3,FALSE),0)</f>
        <v>2392571243.5584412</v>
      </c>
      <c r="AP1819" s="246">
        <f>IFERROR(VLOOKUP(N1819,PROGRAMAS[],3,FALSE),0)</f>
        <v>2406564599.0319901</v>
      </c>
      <c r="AQ1819" s="246">
        <f>IFERROR(VLOOKUP(O1819,PROGRAMAS[],3,FALSE),0)</f>
        <v>0</v>
      </c>
      <c r="AR1819" s="246">
        <f>IFERROR(VLOOKUP(P1819,PROGRAMAS[],3,FALSE),0)</f>
        <v>0</v>
      </c>
      <c r="AS1819" s="246">
        <f>IFERROR(VLOOKUP(Q1819,PROGRAMAS[],3,FALSE),0)</f>
        <v>0</v>
      </c>
      <c r="AT1819" s="246">
        <f>IFERROR(VLOOKUP(D1819,VOL_REC[],2,FALSE),0)</f>
        <v>0</v>
      </c>
      <c r="AU1819" s="246">
        <f>IFERROR(VLOOKUP(E1819,VOL_REC[],2,FALSE),0)</f>
        <v>0</v>
      </c>
      <c r="AV1819" s="246">
        <f>IFERROR(VLOOKUP(F1819,VOL_REC[],2,FALSE),0)</f>
        <v>11089674.200000001</v>
      </c>
      <c r="AW1819" s="246">
        <f>IFERROR(VLOOKUP(G1819,VOL_REC[],2,FALSE),0)</f>
        <v>90439.55</v>
      </c>
      <c r="AX1819" s="246">
        <f>IFERROR(VLOOKUP(H1819,VOL_REC[],2,FALSE),0)</f>
        <v>4325103.1812214684</v>
      </c>
      <c r="AY1819" s="246">
        <f>IFERROR(VLOOKUP(I1819,VOL_REC[],2,FALSE),0)</f>
        <v>15540036.397699751</v>
      </c>
      <c r="AZ1819" s="246">
        <f>IFERROR(VLOOKUP(J1819,VOL_REC[],2,FALSE),0)</f>
        <v>3761786</v>
      </c>
      <c r="BA1819" s="246">
        <f>IFERROR(VLOOKUP(K1819,VOL_REC[],2,FALSE),0)</f>
        <v>1812240</v>
      </c>
      <c r="BB1819" s="246">
        <f>IFERROR(VLOOKUP(L1819,VOL_REC[],2,FALSE),0)</f>
        <v>240696.79238099116</v>
      </c>
      <c r="BC1819" s="246">
        <f>IFERROR(VLOOKUP(M1819,VOL_REC[],2,FALSE),0)</f>
        <v>663244.80000000016</v>
      </c>
      <c r="BD1819" s="246">
        <f>IFERROR(VLOOKUP(N1819,VOL_REC[],2,FALSE),0)</f>
        <v>1072354.9981737854</v>
      </c>
      <c r="BE1819" s="246">
        <f>IFERROR(VLOOKUP(O1819,VOL_REC[],2,FALSE),0)</f>
        <v>0</v>
      </c>
      <c r="BF1819" s="246">
        <f>IFERROR(VLOOKUP(P1819,VOL_REC[],2,FALSE),0)</f>
        <v>0</v>
      </c>
      <c r="BG1819" s="246">
        <f>IFERROR(VLOOKUP(Q1819,VOL_REC[],2,FALSE),0)</f>
        <v>0</v>
      </c>
      <c r="BH1819" s="1710">
        <f t="shared" si="112"/>
        <v>34589881877.984764</v>
      </c>
      <c r="BI1819" s="1710">
        <f t="shared" si="113"/>
        <v>32159900435.888702</v>
      </c>
      <c r="BJ1819" s="1711">
        <f t="shared" si="114"/>
        <v>38595575.919475995</v>
      </c>
      <c r="BK1819" s="1711">
        <f t="shared" si="115"/>
        <v>1.0755593583674263</v>
      </c>
      <c r="BL1819">
        <f>BJ1819</f>
        <v>38595575.919475995</v>
      </c>
      <c r="BO1819">
        <f>BL1819</f>
        <v>38595575.919475995</v>
      </c>
    </row>
    <row r="1820" spans="3:67" x14ac:dyDescent="0.25">
      <c r="C1820" s="246" t="s">
        <v>3170</v>
      </c>
      <c r="D1820" s="246">
        <v>1</v>
      </c>
      <c r="E1820" s="246">
        <v>2</v>
      </c>
      <c r="F1820" s="246">
        <v>3</v>
      </c>
      <c r="G1820" s="246">
        <v>4</v>
      </c>
      <c r="H1820" s="246">
        <v>5</v>
      </c>
      <c r="I1820" s="246">
        <v>6</v>
      </c>
      <c r="J1820" s="246">
        <v>9</v>
      </c>
      <c r="K1820" s="246">
        <v>10</v>
      </c>
      <c r="L1820" s="246">
        <v>12</v>
      </c>
      <c r="M1820" s="246">
        <v>13</v>
      </c>
      <c r="N1820" s="246">
        <v>17</v>
      </c>
      <c r="O1820" s="246"/>
      <c r="P1820" s="246"/>
      <c r="Q1820" s="246"/>
      <c r="R1820" s="246">
        <f>IFERROR(VLOOKUP(D1820,PROGRAMAS[],2,FALSE),0)</f>
        <v>97037803.679377079</v>
      </c>
      <c r="S1820" s="246">
        <f>IFERROR(VLOOKUP(E1820,PROGRAMAS[],2,FALSE),0)</f>
        <v>640501509.6821388</v>
      </c>
      <c r="T1820" s="246">
        <f>IFERROR(VLOOKUP(F1820,PROGRAMAS[],2,FALSE),0)</f>
        <v>3062327798.1525245</v>
      </c>
      <c r="U1820" s="246">
        <f>IFERROR(VLOOKUP(G1820,PROGRAMAS[],2,FALSE),0)</f>
        <v>67697118.033011258</v>
      </c>
      <c r="V1820" s="246">
        <f>IFERROR(VLOOKUP(H1820,PROGRAMAS[],2,FALSE),0)</f>
        <v>1440941976.2528784</v>
      </c>
      <c r="W1820" s="246">
        <f>IFERROR(VLOOKUP(I1820,PROGRAMAS[],2,FALSE),0)</f>
        <v>6907648435.8447599</v>
      </c>
      <c r="X1820" s="246">
        <f>IFERROR(VLOOKUP(J1820,PROGRAMAS[],2,FALSE),0)</f>
        <v>6128579952.1618185</v>
      </c>
      <c r="Y1820" s="246">
        <f>IFERROR(VLOOKUP(K1820,PROGRAMAS[],2,FALSE),0)</f>
        <v>4635315027.8751087</v>
      </c>
      <c r="Z1820" s="246">
        <f>IFERROR(VLOOKUP(L1820,PROGRAMAS[],2,FALSE),0)</f>
        <v>764796700.79905891</v>
      </c>
      <c r="AA1820" s="246">
        <f>IFERROR(VLOOKUP(M1820,PROGRAMAS[],2,FALSE),0)</f>
        <v>3776538594.4604583</v>
      </c>
      <c r="AB1820" s="246">
        <f>IFERROR(VLOOKUP(N1820,PROGRAMAS[],2,FALSE),0)</f>
        <v>1892779498.5211046</v>
      </c>
      <c r="AC1820" s="246">
        <f>IFERROR(VLOOKUP(O1820,PROGRAMAS[],2,FALSE),0)</f>
        <v>0</v>
      </c>
      <c r="AD1820" s="246">
        <f>IFERROR(VLOOKUP(P1820,PROGRAMAS[],2,FALSE),0)</f>
        <v>0</v>
      </c>
      <c r="AE1820" s="246">
        <f>IFERROR(VLOOKUP(Q1820,PROGRAMAS[],2,FALSE),0)</f>
        <v>0</v>
      </c>
      <c r="AF1820" s="246">
        <f>IFERROR(VLOOKUP(D1820,PROGRAMAS[],3,FALSE),0)</f>
        <v>841888629.31080008</v>
      </c>
      <c r="AG1820" s="246">
        <f>IFERROR(VLOOKUP(E1820,PROGRAMAS[],3,FALSE),0)</f>
        <v>3848980803.1642323</v>
      </c>
      <c r="AH1820" s="246">
        <f>IFERROR(VLOOKUP(F1820,PROGRAMAS[],3,FALSE),0)</f>
        <v>3394901471.387517</v>
      </c>
      <c r="AI1820" s="246">
        <f>IFERROR(VLOOKUP(G1820,PROGRAMAS[],3,FALSE),0)</f>
        <v>125317226.95549992</v>
      </c>
      <c r="AJ1820" s="246">
        <f>IFERROR(VLOOKUP(H1820,PROGRAMAS[],3,FALSE),0)</f>
        <v>1233505101.0616004</v>
      </c>
      <c r="AK1820" s="246">
        <f>IFERROR(VLOOKUP(I1820,PROGRAMAS[],3,FALSE),0)</f>
        <v>6129902208.7912121</v>
      </c>
      <c r="AL1820" s="246">
        <f>IFERROR(VLOOKUP(J1820,PROGRAMAS[],3,FALSE),0)</f>
        <v>7011279577.519702</v>
      </c>
      <c r="AM1820" s="246">
        <f>IFERROR(VLOOKUP(K1820,PROGRAMAS[],3,FALSE),0)</f>
        <v>4099471734.9978786</v>
      </c>
      <c r="AN1820" s="246">
        <f>IFERROR(VLOOKUP(L1820,PROGRAMAS[],3,FALSE),0)</f>
        <v>675517840.109828</v>
      </c>
      <c r="AO1820" s="246">
        <f>IFERROR(VLOOKUP(M1820,PROGRAMAS[],3,FALSE),0)</f>
        <v>2392571243.5584412</v>
      </c>
      <c r="AP1820" s="246">
        <f>IFERROR(VLOOKUP(N1820,PROGRAMAS[],3,FALSE),0)</f>
        <v>948595847.09039903</v>
      </c>
      <c r="AQ1820" s="246">
        <f>IFERROR(VLOOKUP(O1820,PROGRAMAS[],3,FALSE),0)</f>
        <v>0</v>
      </c>
      <c r="AR1820" s="246">
        <f>IFERROR(VLOOKUP(P1820,PROGRAMAS[],3,FALSE),0)</f>
        <v>0</v>
      </c>
      <c r="AS1820" s="246">
        <f>IFERROR(VLOOKUP(Q1820,PROGRAMAS[],3,FALSE),0)</f>
        <v>0</v>
      </c>
      <c r="AT1820" s="246">
        <f>IFERROR(VLOOKUP(D1820,VOL_REC[],2,FALSE),0)</f>
        <v>0</v>
      </c>
      <c r="AU1820" s="246">
        <f>IFERROR(VLOOKUP(E1820,VOL_REC[],2,FALSE),0)</f>
        <v>0</v>
      </c>
      <c r="AV1820" s="246">
        <f>IFERROR(VLOOKUP(F1820,VOL_REC[],2,FALSE),0)</f>
        <v>11089674.200000001</v>
      </c>
      <c r="AW1820" s="246">
        <f>IFERROR(VLOOKUP(G1820,VOL_REC[],2,FALSE),0)</f>
        <v>90439.55</v>
      </c>
      <c r="AX1820" s="246">
        <f>IFERROR(VLOOKUP(H1820,VOL_REC[],2,FALSE),0)</f>
        <v>4325103.1812214684</v>
      </c>
      <c r="AY1820" s="246">
        <f>IFERROR(VLOOKUP(I1820,VOL_REC[],2,FALSE),0)</f>
        <v>15540036.397699751</v>
      </c>
      <c r="AZ1820" s="246">
        <f>IFERROR(VLOOKUP(J1820,VOL_REC[],2,FALSE),0)</f>
        <v>3761786</v>
      </c>
      <c r="BA1820" s="246">
        <f>IFERROR(VLOOKUP(K1820,VOL_REC[],2,FALSE),0)</f>
        <v>1812240</v>
      </c>
      <c r="BB1820" s="246">
        <f>IFERROR(VLOOKUP(L1820,VOL_REC[],2,FALSE),0)</f>
        <v>240696.79238099116</v>
      </c>
      <c r="BC1820" s="246">
        <f>IFERROR(VLOOKUP(M1820,VOL_REC[],2,FALSE),0)</f>
        <v>663244.80000000016</v>
      </c>
      <c r="BD1820" s="246">
        <f>IFERROR(VLOOKUP(N1820,VOL_REC[],2,FALSE),0)</f>
        <v>740113.98115702497</v>
      </c>
      <c r="BE1820" s="246">
        <f>IFERROR(VLOOKUP(O1820,VOL_REC[],2,FALSE),0)</f>
        <v>0</v>
      </c>
      <c r="BF1820" s="246">
        <f>IFERROR(VLOOKUP(P1820,VOL_REC[],2,FALSE),0)</f>
        <v>0</v>
      </c>
      <c r="BG1820" s="246">
        <f>IFERROR(VLOOKUP(Q1820,VOL_REC[],2,FALSE),0)</f>
        <v>0</v>
      </c>
      <c r="BH1820" s="1710">
        <f t="shared" si="112"/>
        <v>29414164415.462234</v>
      </c>
      <c r="BI1820" s="1710">
        <f t="shared" si="113"/>
        <v>30701931683.947113</v>
      </c>
      <c r="BJ1820" s="1711">
        <f t="shared" si="114"/>
        <v>38263334.902459234</v>
      </c>
      <c r="BK1820" s="1711">
        <f t="shared" si="115"/>
        <v>0.95805582261919353</v>
      </c>
    </row>
    <row r="1821" spans="3:67" x14ac:dyDescent="0.25">
      <c r="C1821" s="246" t="s">
        <v>3171</v>
      </c>
      <c r="D1821" s="246">
        <v>1</v>
      </c>
      <c r="E1821" s="246">
        <v>2</v>
      </c>
      <c r="F1821" s="246">
        <v>3</v>
      </c>
      <c r="G1821" s="246">
        <v>4</v>
      </c>
      <c r="H1821" s="246">
        <v>5</v>
      </c>
      <c r="I1821" s="246">
        <v>6</v>
      </c>
      <c r="J1821" s="246">
        <v>9</v>
      </c>
      <c r="K1821" s="246">
        <v>10</v>
      </c>
      <c r="L1821" s="246">
        <v>12</v>
      </c>
      <c r="M1821" s="246">
        <v>14</v>
      </c>
      <c r="N1821" s="246">
        <v>15</v>
      </c>
      <c r="O1821" s="246"/>
      <c r="P1821" s="246"/>
      <c r="Q1821" s="246"/>
      <c r="R1821" s="246">
        <f>IFERROR(VLOOKUP(D1821,PROGRAMAS[],2,FALSE),0)</f>
        <v>97037803.679377079</v>
      </c>
      <c r="S1821" s="246">
        <f>IFERROR(VLOOKUP(E1821,PROGRAMAS[],2,FALSE),0)</f>
        <v>640501509.6821388</v>
      </c>
      <c r="T1821" s="246">
        <f>IFERROR(VLOOKUP(F1821,PROGRAMAS[],2,FALSE),0)</f>
        <v>3062327798.1525245</v>
      </c>
      <c r="U1821" s="246">
        <f>IFERROR(VLOOKUP(G1821,PROGRAMAS[],2,FALSE),0)</f>
        <v>67697118.033011258</v>
      </c>
      <c r="V1821" s="246">
        <f>IFERROR(VLOOKUP(H1821,PROGRAMAS[],2,FALSE),0)</f>
        <v>1440941976.2528784</v>
      </c>
      <c r="W1821" s="246">
        <f>IFERROR(VLOOKUP(I1821,PROGRAMAS[],2,FALSE),0)</f>
        <v>6907648435.8447599</v>
      </c>
      <c r="X1821" s="246">
        <f>IFERROR(VLOOKUP(J1821,PROGRAMAS[],2,FALSE),0)</f>
        <v>6128579952.1618185</v>
      </c>
      <c r="Y1821" s="246">
        <f>IFERROR(VLOOKUP(K1821,PROGRAMAS[],2,FALSE),0)</f>
        <v>4635315027.8751087</v>
      </c>
      <c r="Z1821" s="246">
        <f>IFERROR(VLOOKUP(L1821,PROGRAMAS[],2,FALSE),0)</f>
        <v>764796700.79905891</v>
      </c>
      <c r="AA1821" s="246">
        <f>IFERROR(VLOOKUP(M1821,PROGRAMAS[],2,FALSE),0)</f>
        <v>54223862.645839565</v>
      </c>
      <c r="AB1821" s="246">
        <f>IFERROR(VLOOKUP(N1821,PROGRAMAS[],2,FALSE),0)</f>
        <v>122159672.96346797</v>
      </c>
      <c r="AC1821" s="246">
        <f>IFERROR(VLOOKUP(O1821,PROGRAMAS[],2,FALSE),0)</f>
        <v>0</v>
      </c>
      <c r="AD1821" s="246">
        <f>IFERROR(VLOOKUP(P1821,PROGRAMAS[],2,FALSE),0)</f>
        <v>0</v>
      </c>
      <c r="AE1821" s="246">
        <f>IFERROR(VLOOKUP(Q1821,PROGRAMAS[],2,FALSE),0)</f>
        <v>0</v>
      </c>
      <c r="AF1821" s="246">
        <f>IFERROR(VLOOKUP(D1821,PROGRAMAS[],3,FALSE),0)</f>
        <v>841888629.31080008</v>
      </c>
      <c r="AG1821" s="246">
        <f>IFERROR(VLOOKUP(E1821,PROGRAMAS[],3,FALSE),0)</f>
        <v>3848980803.1642323</v>
      </c>
      <c r="AH1821" s="246">
        <f>IFERROR(VLOOKUP(F1821,PROGRAMAS[],3,FALSE),0)</f>
        <v>3394901471.387517</v>
      </c>
      <c r="AI1821" s="246">
        <f>IFERROR(VLOOKUP(G1821,PROGRAMAS[],3,FALSE),0)</f>
        <v>125317226.95549992</v>
      </c>
      <c r="AJ1821" s="246">
        <f>IFERROR(VLOOKUP(H1821,PROGRAMAS[],3,FALSE),0)</f>
        <v>1233505101.0616004</v>
      </c>
      <c r="AK1821" s="246">
        <f>IFERROR(VLOOKUP(I1821,PROGRAMAS[],3,FALSE),0)</f>
        <v>6129902208.7912121</v>
      </c>
      <c r="AL1821" s="246">
        <f>IFERROR(VLOOKUP(J1821,PROGRAMAS[],3,FALSE),0)</f>
        <v>7011279577.519702</v>
      </c>
      <c r="AM1821" s="246">
        <f>IFERROR(VLOOKUP(K1821,PROGRAMAS[],3,FALSE),0)</f>
        <v>4099471734.9978786</v>
      </c>
      <c r="AN1821" s="246">
        <f>IFERROR(VLOOKUP(L1821,PROGRAMAS[],3,FALSE),0)</f>
        <v>675517840.109828</v>
      </c>
      <c r="AO1821" s="246">
        <f>IFERROR(VLOOKUP(M1821,PROGRAMAS[],3,FALSE),0)</f>
        <v>31865326.38096505</v>
      </c>
      <c r="AP1821" s="246">
        <f>IFERROR(VLOOKUP(N1821,PROGRAMAS[],3,FALSE),0)</f>
        <v>118617452.52510804</v>
      </c>
      <c r="AQ1821" s="246">
        <f>IFERROR(VLOOKUP(O1821,PROGRAMAS[],3,FALSE),0)</f>
        <v>0</v>
      </c>
      <c r="AR1821" s="246">
        <f>IFERROR(VLOOKUP(P1821,PROGRAMAS[],3,FALSE),0)</f>
        <v>0</v>
      </c>
      <c r="AS1821" s="246">
        <f>IFERROR(VLOOKUP(Q1821,PROGRAMAS[],3,FALSE),0)</f>
        <v>0</v>
      </c>
      <c r="AT1821" s="246">
        <f>IFERROR(VLOOKUP(D1821,VOL_REC[],2,FALSE),0)</f>
        <v>0</v>
      </c>
      <c r="AU1821" s="246">
        <f>IFERROR(VLOOKUP(E1821,VOL_REC[],2,FALSE),0)</f>
        <v>0</v>
      </c>
      <c r="AV1821" s="246">
        <f>IFERROR(VLOOKUP(F1821,VOL_REC[],2,FALSE),0)</f>
        <v>11089674.200000001</v>
      </c>
      <c r="AW1821" s="246">
        <f>IFERROR(VLOOKUP(G1821,VOL_REC[],2,FALSE),0)</f>
        <v>90439.55</v>
      </c>
      <c r="AX1821" s="246">
        <f>IFERROR(VLOOKUP(H1821,VOL_REC[],2,FALSE),0)</f>
        <v>4325103.1812214684</v>
      </c>
      <c r="AY1821" s="246">
        <f>IFERROR(VLOOKUP(I1821,VOL_REC[],2,FALSE),0)</f>
        <v>15540036.397699751</v>
      </c>
      <c r="AZ1821" s="246">
        <f>IFERROR(VLOOKUP(J1821,VOL_REC[],2,FALSE),0)</f>
        <v>3761786</v>
      </c>
      <c r="BA1821" s="246">
        <f>IFERROR(VLOOKUP(K1821,VOL_REC[],2,FALSE),0)</f>
        <v>1812240</v>
      </c>
      <c r="BB1821" s="246">
        <f>IFERROR(VLOOKUP(L1821,VOL_REC[],2,FALSE),0)</f>
        <v>240696.79238099116</v>
      </c>
      <c r="BC1821" s="246">
        <f>IFERROR(VLOOKUP(M1821,VOL_REC[],2,FALSE),0)</f>
        <v>17074.045034105649</v>
      </c>
      <c r="BD1821" s="246">
        <f>IFERROR(VLOOKUP(N1821,VOL_REC[],2,FALSE),0)</f>
        <v>105072</v>
      </c>
      <c r="BE1821" s="246">
        <f>IFERROR(VLOOKUP(O1821,VOL_REC[],2,FALSE),0)</f>
        <v>0</v>
      </c>
      <c r="BF1821" s="246">
        <f>IFERROR(VLOOKUP(P1821,VOL_REC[],2,FALSE),0)</f>
        <v>0</v>
      </c>
      <c r="BG1821" s="246">
        <f>IFERROR(VLOOKUP(Q1821,VOL_REC[],2,FALSE),0)</f>
        <v>0</v>
      </c>
      <c r="BH1821" s="1710">
        <f t="shared" si="112"/>
        <v>23921229858.089981</v>
      </c>
      <c r="BI1821" s="1710">
        <f t="shared" si="113"/>
        <v>27511247372.204346</v>
      </c>
      <c r="BJ1821" s="1711">
        <f t="shared" si="114"/>
        <v>36982122.166336313</v>
      </c>
      <c r="BK1821" s="1711">
        <f t="shared" si="115"/>
        <v>0.86950727949393181</v>
      </c>
    </row>
    <row r="1822" spans="3:67" x14ac:dyDescent="0.25">
      <c r="C1822" s="246" t="s">
        <v>3172</v>
      </c>
      <c r="D1822" s="246">
        <v>1</v>
      </c>
      <c r="E1822" s="246">
        <v>2</v>
      </c>
      <c r="F1822" s="246">
        <v>3</v>
      </c>
      <c r="G1822" s="246">
        <v>4</v>
      </c>
      <c r="H1822" s="246">
        <v>5</v>
      </c>
      <c r="I1822" s="246">
        <v>6</v>
      </c>
      <c r="J1822" s="246">
        <v>9</v>
      </c>
      <c r="K1822" s="246">
        <v>10</v>
      </c>
      <c r="L1822" s="246">
        <v>12</v>
      </c>
      <c r="M1822" s="246">
        <v>14</v>
      </c>
      <c r="N1822" s="246">
        <v>16</v>
      </c>
      <c r="O1822" s="246"/>
      <c r="P1822" s="246"/>
      <c r="Q1822" s="246"/>
      <c r="R1822" s="246">
        <f>IFERROR(VLOOKUP(D1822,PROGRAMAS[],2,FALSE),0)</f>
        <v>97037803.679377079</v>
      </c>
      <c r="S1822" s="246">
        <f>IFERROR(VLOOKUP(E1822,PROGRAMAS[],2,FALSE),0)</f>
        <v>640501509.6821388</v>
      </c>
      <c r="T1822" s="246">
        <f>IFERROR(VLOOKUP(F1822,PROGRAMAS[],2,FALSE),0)</f>
        <v>3062327798.1525245</v>
      </c>
      <c r="U1822" s="246">
        <f>IFERROR(VLOOKUP(G1822,PROGRAMAS[],2,FALSE),0)</f>
        <v>67697118.033011258</v>
      </c>
      <c r="V1822" s="246">
        <f>IFERROR(VLOOKUP(H1822,PROGRAMAS[],2,FALSE),0)</f>
        <v>1440941976.2528784</v>
      </c>
      <c r="W1822" s="246">
        <f>IFERROR(VLOOKUP(I1822,PROGRAMAS[],2,FALSE),0)</f>
        <v>6907648435.8447599</v>
      </c>
      <c r="X1822" s="246">
        <f>IFERROR(VLOOKUP(J1822,PROGRAMAS[],2,FALSE),0)</f>
        <v>6128579952.1618185</v>
      </c>
      <c r="Y1822" s="246">
        <f>IFERROR(VLOOKUP(K1822,PROGRAMAS[],2,FALSE),0)</f>
        <v>4635315027.8751087</v>
      </c>
      <c r="Z1822" s="246">
        <f>IFERROR(VLOOKUP(L1822,PROGRAMAS[],2,FALSE),0)</f>
        <v>764796700.79905891</v>
      </c>
      <c r="AA1822" s="246">
        <f>IFERROR(VLOOKUP(M1822,PROGRAMAS[],2,FALSE),0)</f>
        <v>54223862.645839565</v>
      </c>
      <c r="AB1822" s="246">
        <f>IFERROR(VLOOKUP(N1822,PROGRAMAS[],2,FALSE),0)</f>
        <v>7068496961.0436354</v>
      </c>
      <c r="AC1822" s="246">
        <f>IFERROR(VLOOKUP(O1822,PROGRAMAS[],2,FALSE),0)</f>
        <v>0</v>
      </c>
      <c r="AD1822" s="246">
        <f>IFERROR(VLOOKUP(P1822,PROGRAMAS[],2,FALSE),0)</f>
        <v>0</v>
      </c>
      <c r="AE1822" s="246">
        <f>IFERROR(VLOOKUP(Q1822,PROGRAMAS[],2,FALSE),0)</f>
        <v>0</v>
      </c>
      <c r="AF1822" s="246">
        <f>IFERROR(VLOOKUP(D1822,PROGRAMAS[],3,FALSE),0)</f>
        <v>841888629.31080008</v>
      </c>
      <c r="AG1822" s="246">
        <f>IFERROR(VLOOKUP(E1822,PROGRAMAS[],3,FALSE),0)</f>
        <v>3848980803.1642323</v>
      </c>
      <c r="AH1822" s="246">
        <f>IFERROR(VLOOKUP(F1822,PROGRAMAS[],3,FALSE),0)</f>
        <v>3394901471.387517</v>
      </c>
      <c r="AI1822" s="246">
        <f>IFERROR(VLOOKUP(G1822,PROGRAMAS[],3,FALSE),0)</f>
        <v>125317226.95549992</v>
      </c>
      <c r="AJ1822" s="246">
        <f>IFERROR(VLOOKUP(H1822,PROGRAMAS[],3,FALSE),0)</f>
        <v>1233505101.0616004</v>
      </c>
      <c r="AK1822" s="246">
        <f>IFERROR(VLOOKUP(I1822,PROGRAMAS[],3,FALSE),0)</f>
        <v>6129902208.7912121</v>
      </c>
      <c r="AL1822" s="246">
        <f>IFERROR(VLOOKUP(J1822,PROGRAMAS[],3,FALSE),0)</f>
        <v>7011279577.519702</v>
      </c>
      <c r="AM1822" s="246">
        <f>IFERROR(VLOOKUP(K1822,PROGRAMAS[],3,FALSE),0)</f>
        <v>4099471734.9978786</v>
      </c>
      <c r="AN1822" s="246">
        <f>IFERROR(VLOOKUP(L1822,PROGRAMAS[],3,FALSE),0)</f>
        <v>675517840.109828</v>
      </c>
      <c r="AO1822" s="246">
        <f>IFERROR(VLOOKUP(M1822,PROGRAMAS[],3,FALSE),0)</f>
        <v>31865326.38096505</v>
      </c>
      <c r="AP1822" s="246">
        <f>IFERROR(VLOOKUP(N1822,PROGRAMAS[],3,FALSE),0)</f>
        <v>2406564599.0319901</v>
      </c>
      <c r="AQ1822" s="246">
        <f>IFERROR(VLOOKUP(O1822,PROGRAMAS[],3,FALSE),0)</f>
        <v>0</v>
      </c>
      <c r="AR1822" s="246">
        <f>IFERROR(VLOOKUP(P1822,PROGRAMAS[],3,FALSE),0)</f>
        <v>0</v>
      </c>
      <c r="AS1822" s="246">
        <f>IFERROR(VLOOKUP(Q1822,PROGRAMAS[],3,FALSE),0)</f>
        <v>0</v>
      </c>
      <c r="AT1822" s="246">
        <f>IFERROR(VLOOKUP(D1822,VOL_REC[],2,FALSE),0)</f>
        <v>0</v>
      </c>
      <c r="AU1822" s="246">
        <f>IFERROR(VLOOKUP(E1822,VOL_REC[],2,FALSE),0)</f>
        <v>0</v>
      </c>
      <c r="AV1822" s="246">
        <f>IFERROR(VLOOKUP(F1822,VOL_REC[],2,FALSE),0)</f>
        <v>11089674.200000001</v>
      </c>
      <c r="AW1822" s="246">
        <f>IFERROR(VLOOKUP(G1822,VOL_REC[],2,FALSE),0)</f>
        <v>90439.55</v>
      </c>
      <c r="AX1822" s="246">
        <f>IFERROR(VLOOKUP(H1822,VOL_REC[],2,FALSE),0)</f>
        <v>4325103.1812214684</v>
      </c>
      <c r="AY1822" s="246">
        <f>IFERROR(VLOOKUP(I1822,VOL_REC[],2,FALSE),0)</f>
        <v>15540036.397699751</v>
      </c>
      <c r="AZ1822" s="246">
        <f>IFERROR(VLOOKUP(J1822,VOL_REC[],2,FALSE),0)</f>
        <v>3761786</v>
      </c>
      <c r="BA1822" s="246">
        <f>IFERROR(VLOOKUP(K1822,VOL_REC[],2,FALSE),0)</f>
        <v>1812240</v>
      </c>
      <c r="BB1822" s="246">
        <f>IFERROR(VLOOKUP(L1822,VOL_REC[],2,FALSE),0)</f>
        <v>240696.79238099116</v>
      </c>
      <c r="BC1822" s="246">
        <f>IFERROR(VLOOKUP(M1822,VOL_REC[],2,FALSE),0)</f>
        <v>17074.045034105649</v>
      </c>
      <c r="BD1822" s="246">
        <f>IFERROR(VLOOKUP(N1822,VOL_REC[],2,FALSE),0)</f>
        <v>1072354.9981737854</v>
      </c>
      <c r="BE1822" s="246">
        <f>IFERROR(VLOOKUP(O1822,VOL_REC[],2,FALSE),0)</f>
        <v>0</v>
      </c>
      <c r="BF1822" s="246">
        <f>IFERROR(VLOOKUP(P1822,VOL_REC[],2,FALSE),0)</f>
        <v>0</v>
      </c>
      <c r="BG1822" s="246">
        <f>IFERROR(VLOOKUP(Q1822,VOL_REC[],2,FALSE),0)</f>
        <v>0</v>
      </c>
      <c r="BH1822" s="1710">
        <f t="shared" si="112"/>
        <v>30867567146.170151</v>
      </c>
      <c r="BI1822" s="1710">
        <f t="shared" si="113"/>
        <v>29799194518.711227</v>
      </c>
      <c r="BJ1822" s="1711">
        <f t="shared" si="114"/>
        <v>37949405.164510101</v>
      </c>
      <c r="BK1822" s="1711">
        <f t="shared" si="115"/>
        <v>1.0358523995267079</v>
      </c>
      <c r="BL1822">
        <f>BJ1822</f>
        <v>37949405.164510101</v>
      </c>
      <c r="BO1822">
        <f>BL1822</f>
        <v>37949405.164510101</v>
      </c>
    </row>
    <row r="1823" spans="3:67" x14ac:dyDescent="0.25">
      <c r="C1823" s="246" t="s">
        <v>3173</v>
      </c>
      <c r="D1823" s="246">
        <v>1</v>
      </c>
      <c r="E1823" s="246">
        <v>2</v>
      </c>
      <c r="F1823" s="246">
        <v>3</v>
      </c>
      <c r="G1823" s="246">
        <v>4</v>
      </c>
      <c r="H1823" s="246">
        <v>5</v>
      </c>
      <c r="I1823" s="246">
        <v>6</v>
      </c>
      <c r="J1823" s="246">
        <v>9</v>
      </c>
      <c r="K1823" s="246">
        <v>10</v>
      </c>
      <c r="L1823" s="246">
        <v>12</v>
      </c>
      <c r="M1823" s="246">
        <v>14</v>
      </c>
      <c r="N1823" s="246">
        <v>17</v>
      </c>
      <c r="O1823" s="246"/>
      <c r="P1823" s="246"/>
      <c r="Q1823" s="246"/>
      <c r="R1823" s="246">
        <f>IFERROR(VLOOKUP(D1823,PROGRAMAS[],2,FALSE),0)</f>
        <v>97037803.679377079</v>
      </c>
      <c r="S1823" s="246">
        <f>IFERROR(VLOOKUP(E1823,PROGRAMAS[],2,FALSE),0)</f>
        <v>640501509.6821388</v>
      </c>
      <c r="T1823" s="246">
        <f>IFERROR(VLOOKUP(F1823,PROGRAMAS[],2,FALSE),0)</f>
        <v>3062327798.1525245</v>
      </c>
      <c r="U1823" s="246">
        <f>IFERROR(VLOOKUP(G1823,PROGRAMAS[],2,FALSE),0)</f>
        <v>67697118.033011258</v>
      </c>
      <c r="V1823" s="246">
        <f>IFERROR(VLOOKUP(H1823,PROGRAMAS[],2,FALSE),0)</f>
        <v>1440941976.2528784</v>
      </c>
      <c r="W1823" s="246">
        <f>IFERROR(VLOOKUP(I1823,PROGRAMAS[],2,FALSE),0)</f>
        <v>6907648435.8447599</v>
      </c>
      <c r="X1823" s="246">
        <f>IFERROR(VLOOKUP(J1823,PROGRAMAS[],2,FALSE),0)</f>
        <v>6128579952.1618185</v>
      </c>
      <c r="Y1823" s="246">
        <f>IFERROR(VLOOKUP(K1823,PROGRAMAS[],2,FALSE),0)</f>
        <v>4635315027.8751087</v>
      </c>
      <c r="Z1823" s="246">
        <f>IFERROR(VLOOKUP(L1823,PROGRAMAS[],2,FALSE),0)</f>
        <v>764796700.79905891</v>
      </c>
      <c r="AA1823" s="246">
        <f>IFERROR(VLOOKUP(M1823,PROGRAMAS[],2,FALSE),0)</f>
        <v>54223862.645839565</v>
      </c>
      <c r="AB1823" s="246">
        <f>IFERROR(VLOOKUP(N1823,PROGRAMAS[],2,FALSE),0)</f>
        <v>1892779498.5211046</v>
      </c>
      <c r="AC1823" s="246">
        <f>IFERROR(VLOOKUP(O1823,PROGRAMAS[],2,FALSE),0)</f>
        <v>0</v>
      </c>
      <c r="AD1823" s="246">
        <f>IFERROR(VLOOKUP(P1823,PROGRAMAS[],2,FALSE),0)</f>
        <v>0</v>
      </c>
      <c r="AE1823" s="246">
        <f>IFERROR(VLOOKUP(Q1823,PROGRAMAS[],2,FALSE),0)</f>
        <v>0</v>
      </c>
      <c r="AF1823" s="246">
        <f>IFERROR(VLOOKUP(D1823,PROGRAMAS[],3,FALSE),0)</f>
        <v>841888629.31080008</v>
      </c>
      <c r="AG1823" s="246">
        <f>IFERROR(VLOOKUP(E1823,PROGRAMAS[],3,FALSE),0)</f>
        <v>3848980803.1642323</v>
      </c>
      <c r="AH1823" s="246">
        <f>IFERROR(VLOOKUP(F1823,PROGRAMAS[],3,FALSE),0)</f>
        <v>3394901471.387517</v>
      </c>
      <c r="AI1823" s="246">
        <f>IFERROR(VLOOKUP(G1823,PROGRAMAS[],3,FALSE),0)</f>
        <v>125317226.95549992</v>
      </c>
      <c r="AJ1823" s="246">
        <f>IFERROR(VLOOKUP(H1823,PROGRAMAS[],3,FALSE),0)</f>
        <v>1233505101.0616004</v>
      </c>
      <c r="AK1823" s="246">
        <f>IFERROR(VLOOKUP(I1823,PROGRAMAS[],3,FALSE),0)</f>
        <v>6129902208.7912121</v>
      </c>
      <c r="AL1823" s="246">
        <f>IFERROR(VLOOKUP(J1823,PROGRAMAS[],3,FALSE),0)</f>
        <v>7011279577.519702</v>
      </c>
      <c r="AM1823" s="246">
        <f>IFERROR(VLOOKUP(K1823,PROGRAMAS[],3,FALSE),0)</f>
        <v>4099471734.9978786</v>
      </c>
      <c r="AN1823" s="246">
        <f>IFERROR(VLOOKUP(L1823,PROGRAMAS[],3,FALSE),0)</f>
        <v>675517840.109828</v>
      </c>
      <c r="AO1823" s="246">
        <f>IFERROR(VLOOKUP(M1823,PROGRAMAS[],3,FALSE),0)</f>
        <v>31865326.38096505</v>
      </c>
      <c r="AP1823" s="246">
        <f>IFERROR(VLOOKUP(N1823,PROGRAMAS[],3,FALSE),0)</f>
        <v>948595847.09039903</v>
      </c>
      <c r="AQ1823" s="246">
        <f>IFERROR(VLOOKUP(O1823,PROGRAMAS[],3,FALSE),0)</f>
        <v>0</v>
      </c>
      <c r="AR1823" s="246">
        <f>IFERROR(VLOOKUP(P1823,PROGRAMAS[],3,FALSE),0)</f>
        <v>0</v>
      </c>
      <c r="AS1823" s="246">
        <f>IFERROR(VLOOKUP(Q1823,PROGRAMAS[],3,FALSE),0)</f>
        <v>0</v>
      </c>
      <c r="AT1823" s="246">
        <f>IFERROR(VLOOKUP(D1823,VOL_REC[],2,FALSE),0)</f>
        <v>0</v>
      </c>
      <c r="AU1823" s="246">
        <f>IFERROR(VLOOKUP(E1823,VOL_REC[],2,FALSE),0)</f>
        <v>0</v>
      </c>
      <c r="AV1823" s="246">
        <f>IFERROR(VLOOKUP(F1823,VOL_REC[],2,FALSE),0)</f>
        <v>11089674.200000001</v>
      </c>
      <c r="AW1823" s="246">
        <f>IFERROR(VLOOKUP(G1823,VOL_REC[],2,FALSE),0)</f>
        <v>90439.55</v>
      </c>
      <c r="AX1823" s="246">
        <f>IFERROR(VLOOKUP(H1823,VOL_REC[],2,FALSE),0)</f>
        <v>4325103.1812214684</v>
      </c>
      <c r="AY1823" s="246">
        <f>IFERROR(VLOOKUP(I1823,VOL_REC[],2,FALSE),0)</f>
        <v>15540036.397699751</v>
      </c>
      <c r="AZ1823" s="246">
        <f>IFERROR(VLOOKUP(J1823,VOL_REC[],2,FALSE),0)</f>
        <v>3761786</v>
      </c>
      <c r="BA1823" s="246">
        <f>IFERROR(VLOOKUP(K1823,VOL_REC[],2,FALSE),0)</f>
        <v>1812240</v>
      </c>
      <c r="BB1823" s="246">
        <f>IFERROR(VLOOKUP(L1823,VOL_REC[],2,FALSE),0)</f>
        <v>240696.79238099116</v>
      </c>
      <c r="BC1823" s="246">
        <f>IFERROR(VLOOKUP(M1823,VOL_REC[],2,FALSE),0)</f>
        <v>17074.045034105649</v>
      </c>
      <c r="BD1823" s="246">
        <f>IFERROR(VLOOKUP(N1823,VOL_REC[],2,FALSE),0)</f>
        <v>740113.98115702497</v>
      </c>
      <c r="BE1823" s="246">
        <f>IFERROR(VLOOKUP(O1823,VOL_REC[],2,FALSE),0)</f>
        <v>0</v>
      </c>
      <c r="BF1823" s="246">
        <f>IFERROR(VLOOKUP(P1823,VOL_REC[],2,FALSE),0)</f>
        <v>0</v>
      </c>
      <c r="BG1823" s="246">
        <f>IFERROR(VLOOKUP(Q1823,VOL_REC[],2,FALSE),0)</f>
        <v>0</v>
      </c>
      <c r="BH1823" s="1710">
        <f t="shared" si="112"/>
        <v>25691849683.647617</v>
      </c>
      <c r="BI1823" s="1710">
        <f t="shared" si="113"/>
        <v>28341225766.769638</v>
      </c>
      <c r="BJ1823" s="1711">
        <f t="shared" si="114"/>
        <v>37617164.14749334</v>
      </c>
      <c r="BK1823" s="1711">
        <f t="shared" si="115"/>
        <v>0.90651864866662046</v>
      </c>
    </row>
    <row r="1824" spans="3:67" x14ac:dyDescent="0.25">
      <c r="C1824" s="246" t="s">
        <v>3174</v>
      </c>
      <c r="D1824" s="246">
        <v>1</v>
      </c>
      <c r="E1824" s="246">
        <v>2</v>
      </c>
      <c r="F1824" s="246">
        <v>3</v>
      </c>
      <c r="G1824" s="246">
        <v>4</v>
      </c>
      <c r="H1824" s="246">
        <v>5</v>
      </c>
      <c r="I1824" s="246">
        <v>6</v>
      </c>
      <c r="J1824" s="246">
        <v>9</v>
      </c>
      <c r="K1824" s="246">
        <v>10</v>
      </c>
      <c r="L1824" s="246">
        <v>12</v>
      </c>
      <c r="M1824" s="246">
        <v>15</v>
      </c>
      <c r="N1824" s="246">
        <v>16</v>
      </c>
      <c r="O1824" s="246"/>
      <c r="P1824" s="246"/>
      <c r="Q1824" s="246"/>
      <c r="R1824" s="246">
        <f>IFERROR(VLOOKUP(D1824,PROGRAMAS[],2,FALSE),0)</f>
        <v>97037803.679377079</v>
      </c>
      <c r="S1824" s="246">
        <f>IFERROR(VLOOKUP(E1824,PROGRAMAS[],2,FALSE),0)</f>
        <v>640501509.6821388</v>
      </c>
      <c r="T1824" s="246">
        <f>IFERROR(VLOOKUP(F1824,PROGRAMAS[],2,FALSE),0)</f>
        <v>3062327798.1525245</v>
      </c>
      <c r="U1824" s="246">
        <f>IFERROR(VLOOKUP(G1824,PROGRAMAS[],2,FALSE),0)</f>
        <v>67697118.033011258</v>
      </c>
      <c r="V1824" s="246">
        <f>IFERROR(VLOOKUP(H1824,PROGRAMAS[],2,FALSE),0)</f>
        <v>1440941976.2528784</v>
      </c>
      <c r="W1824" s="246">
        <f>IFERROR(VLOOKUP(I1824,PROGRAMAS[],2,FALSE),0)</f>
        <v>6907648435.8447599</v>
      </c>
      <c r="X1824" s="246">
        <f>IFERROR(VLOOKUP(J1824,PROGRAMAS[],2,FALSE),0)</f>
        <v>6128579952.1618185</v>
      </c>
      <c r="Y1824" s="246">
        <f>IFERROR(VLOOKUP(K1824,PROGRAMAS[],2,FALSE),0)</f>
        <v>4635315027.8751087</v>
      </c>
      <c r="Z1824" s="246">
        <f>IFERROR(VLOOKUP(L1824,PROGRAMAS[],2,FALSE),0)</f>
        <v>764796700.79905891</v>
      </c>
      <c r="AA1824" s="246">
        <f>IFERROR(VLOOKUP(M1824,PROGRAMAS[],2,FALSE),0)</f>
        <v>122159672.96346797</v>
      </c>
      <c r="AB1824" s="246">
        <f>IFERROR(VLOOKUP(N1824,PROGRAMAS[],2,FALSE),0)</f>
        <v>7068496961.0436354</v>
      </c>
      <c r="AC1824" s="246">
        <f>IFERROR(VLOOKUP(O1824,PROGRAMAS[],2,FALSE),0)</f>
        <v>0</v>
      </c>
      <c r="AD1824" s="246">
        <f>IFERROR(VLOOKUP(P1824,PROGRAMAS[],2,FALSE),0)</f>
        <v>0</v>
      </c>
      <c r="AE1824" s="246">
        <f>IFERROR(VLOOKUP(Q1824,PROGRAMAS[],2,FALSE),0)</f>
        <v>0</v>
      </c>
      <c r="AF1824" s="246">
        <f>IFERROR(VLOOKUP(D1824,PROGRAMAS[],3,FALSE),0)</f>
        <v>841888629.31080008</v>
      </c>
      <c r="AG1824" s="246">
        <f>IFERROR(VLOOKUP(E1824,PROGRAMAS[],3,FALSE),0)</f>
        <v>3848980803.1642323</v>
      </c>
      <c r="AH1824" s="246">
        <f>IFERROR(VLOOKUP(F1824,PROGRAMAS[],3,FALSE),0)</f>
        <v>3394901471.387517</v>
      </c>
      <c r="AI1824" s="246">
        <f>IFERROR(VLOOKUP(G1824,PROGRAMAS[],3,FALSE),0)</f>
        <v>125317226.95549992</v>
      </c>
      <c r="AJ1824" s="246">
        <f>IFERROR(VLOOKUP(H1824,PROGRAMAS[],3,FALSE),0)</f>
        <v>1233505101.0616004</v>
      </c>
      <c r="AK1824" s="246">
        <f>IFERROR(VLOOKUP(I1824,PROGRAMAS[],3,FALSE),0)</f>
        <v>6129902208.7912121</v>
      </c>
      <c r="AL1824" s="246">
        <f>IFERROR(VLOOKUP(J1824,PROGRAMAS[],3,FALSE),0)</f>
        <v>7011279577.519702</v>
      </c>
      <c r="AM1824" s="246">
        <f>IFERROR(VLOOKUP(K1824,PROGRAMAS[],3,FALSE),0)</f>
        <v>4099471734.9978786</v>
      </c>
      <c r="AN1824" s="246">
        <f>IFERROR(VLOOKUP(L1824,PROGRAMAS[],3,FALSE),0)</f>
        <v>675517840.109828</v>
      </c>
      <c r="AO1824" s="246">
        <f>IFERROR(VLOOKUP(M1824,PROGRAMAS[],3,FALSE),0)</f>
        <v>118617452.52510804</v>
      </c>
      <c r="AP1824" s="246">
        <f>IFERROR(VLOOKUP(N1824,PROGRAMAS[],3,FALSE),0)</f>
        <v>2406564599.0319901</v>
      </c>
      <c r="AQ1824" s="246">
        <f>IFERROR(VLOOKUP(O1824,PROGRAMAS[],3,FALSE),0)</f>
        <v>0</v>
      </c>
      <c r="AR1824" s="246">
        <f>IFERROR(VLOOKUP(P1824,PROGRAMAS[],3,FALSE),0)</f>
        <v>0</v>
      </c>
      <c r="AS1824" s="246">
        <f>IFERROR(VLOOKUP(Q1824,PROGRAMAS[],3,FALSE),0)</f>
        <v>0</v>
      </c>
      <c r="AT1824" s="246">
        <f>IFERROR(VLOOKUP(D1824,VOL_REC[],2,FALSE),0)</f>
        <v>0</v>
      </c>
      <c r="AU1824" s="246">
        <f>IFERROR(VLOOKUP(E1824,VOL_REC[],2,FALSE),0)</f>
        <v>0</v>
      </c>
      <c r="AV1824" s="246">
        <f>IFERROR(VLOOKUP(F1824,VOL_REC[],2,FALSE),0)</f>
        <v>11089674.200000001</v>
      </c>
      <c r="AW1824" s="246">
        <f>IFERROR(VLOOKUP(G1824,VOL_REC[],2,FALSE),0)</f>
        <v>90439.55</v>
      </c>
      <c r="AX1824" s="246">
        <f>IFERROR(VLOOKUP(H1824,VOL_REC[],2,FALSE),0)</f>
        <v>4325103.1812214684</v>
      </c>
      <c r="AY1824" s="246">
        <f>IFERROR(VLOOKUP(I1824,VOL_REC[],2,FALSE),0)</f>
        <v>15540036.397699751</v>
      </c>
      <c r="AZ1824" s="246">
        <f>IFERROR(VLOOKUP(J1824,VOL_REC[],2,FALSE),0)</f>
        <v>3761786</v>
      </c>
      <c r="BA1824" s="246">
        <f>IFERROR(VLOOKUP(K1824,VOL_REC[],2,FALSE),0)</f>
        <v>1812240</v>
      </c>
      <c r="BB1824" s="246">
        <f>IFERROR(VLOOKUP(L1824,VOL_REC[],2,FALSE),0)</f>
        <v>240696.79238099116</v>
      </c>
      <c r="BC1824" s="246">
        <f>IFERROR(VLOOKUP(M1824,VOL_REC[],2,FALSE),0)</f>
        <v>105072</v>
      </c>
      <c r="BD1824" s="246">
        <f>IFERROR(VLOOKUP(N1824,VOL_REC[],2,FALSE),0)</f>
        <v>1072354.9981737854</v>
      </c>
      <c r="BE1824" s="246">
        <f>IFERROR(VLOOKUP(O1824,VOL_REC[],2,FALSE),0)</f>
        <v>0</v>
      </c>
      <c r="BF1824" s="246">
        <f>IFERROR(VLOOKUP(P1824,VOL_REC[],2,FALSE),0)</f>
        <v>0</v>
      </c>
      <c r="BG1824" s="246">
        <f>IFERROR(VLOOKUP(Q1824,VOL_REC[],2,FALSE),0)</f>
        <v>0</v>
      </c>
      <c r="BH1824" s="1710">
        <f t="shared" si="112"/>
        <v>30935502956.487778</v>
      </c>
      <c r="BI1824" s="1710">
        <f t="shared" si="113"/>
        <v>29885946644.85537</v>
      </c>
      <c r="BJ1824" s="1711">
        <f t="shared" si="114"/>
        <v>38037403.119475998</v>
      </c>
      <c r="BK1824" s="1711">
        <f t="shared" si="115"/>
        <v>1.0351187239977584</v>
      </c>
      <c r="BL1824">
        <f>BJ1824</f>
        <v>38037403.119475998</v>
      </c>
      <c r="BO1824">
        <f>BL1824</f>
        <v>38037403.119475998</v>
      </c>
    </row>
    <row r="1825" spans="3:67" x14ac:dyDescent="0.25">
      <c r="C1825" s="246" t="s">
        <v>3175</v>
      </c>
      <c r="D1825" s="246">
        <v>1</v>
      </c>
      <c r="E1825" s="246">
        <v>2</v>
      </c>
      <c r="F1825" s="246">
        <v>3</v>
      </c>
      <c r="G1825" s="246">
        <v>4</v>
      </c>
      <c r="H1825" s="246">
        <v>5</v>
      </c>
      <c r="I1825" s="246">
        <v>6</v>
      </c>
      <c r="J1825" s="246">
        <v>9</v>
      </c>
      <c r="K1825" s="246">
        <v>10</v>
      </c>
      <c r="L1825" s="246">
        <v>12</v>
      </c>
      <c r="M1825" s="246">
        <v>15</v>
      </c>
      <c r="N1825" s="246">
        <v>17</v>
      </c>
      <c r="O1825" s="246"/>
      <c r="P1825" s="246"/>
      <c r="Q1825" s="246"/>
      <c r="R1825" s="246">
        <f>IFERROR(VLOOKUP(D1825,PROGRAMAS[],2,FALSE),0)</f>
        <v>97037803.679377079</v>
      </c>
      <c r="S1825" s="246">
        <f>IFERROR(VLOOKUP(E1825,PROGRAMAS[],2,FALSE),0)</f>
        <v>640501509.6821388</v>
      </c>
      <c r="T1825" s="246">
        <f>IFERROR(VLOOKUP(F1825,PROGRAMAS[],2,FALSE),0)</f>
        <v>3062327798.1525245</v>
      </c>
      <c r="U1825" s="246">
        <f>IFERROR(VLOOKUP(G1825,PROGRAMAS[],2,FALSE),0)</f>
        <v>67697118.033011258</v>
      </c>
      <c r="V1825" s="246">
        <f>IFERROR(VLOOKUP(H1825,PROGRAMAS[],2,FALSE),0)</f>
        <v>1440941976.2528784</v>
      </c>
      <c r="W1825" s="246">
        <f>IFERROR(VLOOKUP(I1825,PROGRAMAS[],2,FALSE),0)</f>
        <v>6907648435.8447599</v>
      </c>
      <c r="X1825" s="246">
        <f>IFERROR(VLOOKUP(J1825,PROGRAMAS[],2,FALSE),0)</f>
        <v>6128579952.1618185</v>
      </c>
      <c r="Y1825" s="246">
        <f>IFERROR(VLOOKUP(K1825,PROGRAMAS[],2,FALSE),0)</f>
        <v>4635315027.8751087</v>
      </c>
      <c r="Z1825" s="246">
        <f>IFERROR(VLOOKUP(L1825,PROGRAMAS[],2,FALSE),0)</f>
        <v>764796700.79905891</v>
      </c>
      <c r="AA1825" s="246">
        <f>IFERROR(VLOOKUP(M1825,PROGRAMAS[],2,FALSE),0)</f>
        <v>122159672.96346797</v>
      </c>
      <c r="AB1825" s="246">
        <f>IFERROR(VLOOKUP(N1825,PROGRAMAS[],2,FALSE),0)</f>
        <v>1892779498.5211046</v>
      </c>
      <c r="AC1825" s="246">
        <f>IFERROR(VLOOKUP(O1825,PROGRAMAS[],2,FALSE),0)</f>
        <v>0</v>
      </c>
      <c r="AD1825" s="246">
        <f>IFERROR(VLOOKUP(P1825,PROGRAMAS[],2,FALSE),0)</f>
        <v>0</v>
      </c>
      <c r="AE1825" s="246">
        <f>IFERROR(VLOOKUP(Q1825,PROGRAMAS[],2,FALSE),0)</f>
        <v>0</v>
      </c>
      <c r="AF1825" s="246">
        <f>IFERROR(VLOOKUP(D1825,PROGRAMAS[],3,FALSE),0)</f>
        <v>841888629.31080008</v>
      </c>
      <c r="AG1825" s="246">
        <f>IFERROR(VLOOKUP(E1825,PROGRAMAS[],3,FALSE),0)</f>
        <v>3848980803.1642323</v>
      </c>
      <c r="AH1825" s="246">
        <f>IFERROR(VLOOKUP(F1825,PROGRAMAS[],3,FALSE),0)</f>
        <v>3394901471.387517</v>
      </c>
      <c r="AI1825" s="246">
        <f>IFERROR(VLOOKUP(G1825,PROGRAMAS[],3,FALSE),0)</f>
        <v>125317226.95549992</v>
      </c>
      <c r="AJ1825" s="246">
        <f>IFERROR(VLOOKUP(H1825,PROGRAMAS[],3,FALSE),0)</f>
        <v>1233505101.0616004</v>
      </c>
      <c r="AK1825" s="246">
        <f>IFERROR(VLOOKUP(I1825,PROGRAMAS[],3,FALSE),0)</f>
        <v>6129902208.7912121</v>
      </c>
      <c r="AL1825" s="246">
        <f>IFERROR(VLOOKUP(J1825,PROGRAMAS[],3,FALSE),0)</f>
        <v>7011279577.519702</v>
      </c>
      <c r="AM1825" s="246">
        <f>IFERROR(VLOOKUP(K1825,PROGRAMAS[],3,FALSE),0)</f>
        <v>4099471734.9978786</v>
      </c>
      <c r="AN1825" s="246">
        <f>IFERROR(VLOOKUP(L1825,PROGRAMAS[],3,FALSE),0)</f>
        <v>675517840.109828</v>
      </c>
      <c r="AO1825" s="246">
        <f>IFERROR(VLOOKUP(M1825,PROGRAMAS[],3,FALSE),0)</f>
        <v>118617452.52510804</v>
      </c>
      <c r="AP1825" s="246">
        <f>IFERROR(VLOOKUP(N1825,PROGRAMAS[],3,FALSE),0)</f>
        <v>948595847.09039903</v>
      </c>
      <c r="AQ1825" s="246">
        <f>IFERROR(VLOOKUP(O1825,PROGRAMAS[],3,FALSE),0)</f>
        <v>0</v>
      </c>
      <c r="AR1825" s="246">
        <f>IFERROR(VLOOKUP(P1825,PROGRAMAS[],3,FALSE),0)</f>
        <v>0</v>
      </c>
      <c r="AS1825" s="246">
        <f>IFERROR(VLOOKUP(Q1825,PROGRAMAS[],3,FALSE),0)</f>
        <v>0</v>
      </c>
      <c r="AT1825" s="246">
        <f>IFERROR(VLOOKUP(D1825,VOL_REC[],2,FALSE),0)</f>
        <v>0</v>
      </c>
      <c r="AU1825" s="246">
        <f>IFERROR(VLOOKUP(E1825,VOL_REC[],2,FALSE),0)</f>
        <v>0</v>
      </c>
      <c r="AV1825" s="246">
        <f>IFERROR(VLOOKUP(F1825,VOL_REC[],2,FALSE),0)</f>
        <v>11089674.200000001</v>
      </c>
      <c r="AW1825" s="246">
        <f>IFERROR(VLOOKUP(G1825,VOL_REC[],2,FALSE),0)</f>
        <v>90439.55</v>
      </c>
      <c r="AX1825" s="246">
        <f>IFERROR(VLOOKUP(H1825,VOL_REC[],2,FALSE),0)</f>
        <v>4325103.1812214684</v>
      </c>
      <c r="AY1825" s="246">
        <f>IFERROR(VLOOKUP(I1825,VOL_REC[],2,FALSE),0)</f>
        <v>15540036.397699751</v>
      </c>
      <c r="AZ1825" s="246">
        <f>IFERROR(VLOOKUP(J1825,VOL_REC[],2,FALSE),0)</f>
        <v>3761786</v>
      </c>
      <c r="BA1825" s="246">
        <f>IFERROR(VLOOKUP(K1825,VOL_REC[],2,FALSE),0)</f>
        <v>1812240</v>
      </c>
      <c r="BB1825" s="246">
        <f>IFERROR(VLOOKUP(L1825,VOL_REC[],2,FALSE),0)</f>
        <v>240696.79238099116</v>
      </c>
      <c r="BC1825" s="246">
        <f>IFERROR(VLOOKUP(M1825,VOL_REC[],2,FALSE),0)</f>
        <v>105072</v>
      </c>
      <c r="BD1825" s="246">
        <f>IFERROR(VLOOKUP(N1825,VOL_REC[],2,FALSE),0)</f>
        <v>740113.98115702497</v>
      </c>
      <c r="BE1825" s="246">
        <f>IFERROR(VLOOKUP(O1825,VOL_REC[],2,FALSE),0)</f>
        <v>0</v>
      </c>
      <c r="BF1825" s="246">
        <f>IFERROR(VLOOKUP(P1825,VOL_REC[],2,FALSE),0)</f>
        <v>0</v>
      </c>
      <c r="BG1825" s="246">
        <f>IFERROR(VLOOKUP(Q1825,VOL_REC[],2,FALSE),0)</f>
        <v>0</v>
      </c>
      <c r="BH1825" s="1710">
        <f t="shared" si="112"/>
        <v>25759785493.965244</v>
      </c>
      <c r="BI1825" s="1710">
        <f t="shared" si="113"/>
        <v>28427977892.91378</v>
      </c>
      <c r="BJ1825" s="1711">
        <f t="shared" si="114"/>
        <v>37705162.102459237</v>
      </c>
      <c r="BK1825" s="1711">
        <f t="shared" si="115"/>
        <v>0.90614202638684216</v>
      </c>
    </row>
    <row r="1826" spans="3:67" x14ac:dyDescent="0.25">
      <c r="C1826" s="246" t="s">
        <v>3176</v>
      </c>
      <c r="D1826" s="246">
        <v>1</v>
      </c>
      <c r="E1826" s="246">
        <v>2</v>
      </c>
      <c r="F1826" s="246">
        <v>3</v>
      </c>
      <c r="G1826" s="246">
        <v>4</v>
      </c>
      <c r="H1826" s="246">
        <v>5</v>
      </c>
      <c r="I1826" s="246">
        <v>6</v>
      </c>
      <c r="J1826" s="246">
        <v>9</v>
      </c>
      <c r="K1826" s="246">
        <v>10</v>
      </c>
      <c r="L1826" s="246">
        <v>12</v>
      </c>
      <c r="M1826" s="246">
        <v>16</v>
      </c>
      <c r="N1826" s="246">
        <v>17</v>
      </c>
      <c r="O1826" s="246"/>
      <c r="P1826" s="246"/>
      <c r="Q1826" s="246"/>
      <c r="R1826" s="246">
        <f>IFERROR(VLOOKUP(D1826,PROGRAMAS[],2,FALSE),0)</f>
        <v>97037803.679377079</v>
      </c>
      <c r="S1826" s="246">
        <f>IFERROR(VLOOKUP(E1826,PROGRAMAS[],2,FALSE),0)</f>
        <v>640501509.6821388</v>
      </c>
      <c r="T1826" s="246">
        <f>IFERROR(VLOOKUP(F1826,PROGRAMAS[],2,FALSE),0)</f>
        <v>3062327798.1525245</v>
      </c>
      <c r="U1826" s="246">
        <f>IFERROR(VLOOKUP(G1826,PROGRAMAS[],2,FALSE),0)</f>
        <v>67697118.033011258</v>
      </c>
      <c r="V1826" s="246">
        <f>IFERROR(VLOOKUP(H1826,PROGRAMAS[],2,FALSE),0)</f>
        <v>1440941976.2528784</v>
      </c>
      <c r="W1826" s="246">
        <f>IFERROR(VLOOKUP(I1826,PROGRAMAS[],2,FALSE),0)</f>
        <v>6907648435.8447599</v>
      </c>
      <c r="X1826" s="246">
        <f>IFERROR(VLOOKUP(J1826,PROGRAMAS[],2,FALSE),0)</f>
        <v>6128579952.1618185</v>
      </c>
      <c r="Y1826" s="246">
        <f>IFERROR(VLOOKUP(K1826,PROGRAMAS[],2,FALSE),0)</f>
        <v>4635315027.8751087</v>
      </c>
      <c r="Z1826" s="246">
        <f>IFERROR(VLOOKUP(L1826,PROGRAMAS[],2,FALSE),0)</f>
        <v>764796700.79905891</v>
      </c>
      <c r="AA1826" s="246">
        <f>IFERROR(VLOOKUP(M1826,PROGRAMAS[],2,FALSE),0)</f>
        <v>7068496961.0436354</v>
      </c>
      <c r="AB1826" s="246">
        <f>IFERROR(VLOOKUP(N1826,PROGRAMAS[],2,FALSE),0)</f>
        <v>1892779498.5211046</v>
      </c>
      <c r="AC1826" s="246">
        <f>IFERROR(VLOOKUP(O1826,PROGRAMAS[],2,FALSE),0)</f>
        <v>0</v>
      </c>
      <c r="AD1826" s="246">
        <f>IFERROR(VLOOKUP(P1826,PROGRAMAS[],2,FALSE),0)</f>
        <v>0</v>
      </c>
      <c r="AE1826" s="246">
        <f>IFERROR(VLOOKUP(Q1826,PROGRAMAS[],2,FALSE),0)</f>
        <v>0</v>
      </c>
      <c r="AF1826" s="246">
        <f>IFERROR(VLOOKUP(D1826,PROGRAMAS[],3,FALSE),0)</f>
        <v>841888629.31080008</v>
      </c>
      <c r="AG1826" s="246">
        <f>IFERROR(VLOOKUP(E1826,PROGRAMAS[],3,FALSE),0)</f>
        <v>3848980803.1642323</v>
      </c>
      <c r="AH1826" s="246">
        <f>IFERROR(VLOOKUP(F1826,PROGRAMAS[],3,FALSE),0)</f>
        <v>3394901471.387517</v>
      </c>
      <c r="AI1826" s="246">
        <f>IFERROR(VLOOKUP(G1826,PROGRAMAS[],3,FALSE),0)</f>
        <v>125317226.95549992</v>
      </c>
      <c r="AJ1826" s="246">
        <f>IFERROR(VLOOKUP(H1826,PROGRAMAS[],3,FALSE),0)</f>
        <v>1233505101.0616004</v>
      </c>
      <c r="AK1826" s="246">
        <f>IFERROR(VLOOKUP(I1826,PROGRAMAS[],3,FALSE),0)</f>
        <v>6129902208.7912121</v>
      </c>
      <c r="AL1826" s="246">
        <f>IFERROR(VLOOKUP(J1826,PROGRAMAS[],3,FALSE),0)</f>
        <v>7011279577.519702</v>
      </c>
      <c r="AM1826" s="246">
        <f>IFERROR(VLOOKUP(K1826,PROGRAMAS[],3,FALSE),0)</f>
        <v>4099471734.9978786</v>
      </c>
      <c r="AN1826" s="246">
        <f>IFERROR(VLOOKUP(L1826,PROGRAMAS[],3,FALSE),0)</f>
        <v>675517840.109828</v>
      </c>
      <c r="AO1826" s="246">
        <f>IFERROR(VLOOKUP(M1826,PROGRAMAS[],3,FALSE),0)</f>
        <v>2406564599.0319901</v>
      </c>
      <c r="AP1826" s="246">
        <f>IFERROR(VLOOKUP(N1826,PROGRAMAS[],3,FALSE),0)</f>
        <v>948595847.09039903</v>
      </c>
      <c r="AQ1826" s="246">
        <f>IFERROR(VLOOKUP(O1826,PROGRAMAS[],3,FALSE),0)</f>
        <v>0</v>
      </c>
      <c r="AR1826" s="246">
        <f>IFERROR(VLOOKUP(P1826,PROGRAMAS[],3,FALSE),0)</f>
        <v>0</v>
      </c>
      <c r="AS1826" s="246">
        <f>IFERROR(VLOOKUP(Q1826,PROGRAMAS[],3,FALSE),0)</f>
        <v>0</v>
      </c>
      <c r="AT1826" s="246">
        <f>IFERROR(VLOOKUP(D1826,VOL_REC[],2,FALSE),0)</f>
        <v>0</v>
      </c>
      <c r="AU1826" s="246">
        <f>IFERROR(VLOOKUP(E1826,VOL_REC[],2,FALSE),0)</f>
        <v>0</v>
      </c>
      <c r="AV1826" s="246">
        <f>IFERROR(VLOOKUP(F1826,VOL_REC[],2,FALSE),0)</f>
        <v>11089674.200000001</v>
      </c>
      <c r="AW1826" s="246">
        <f>IFERROR(VLOOKUP(G1826,VOL_REC[],2,FALSE),0)</f>
        <v>90439.55</v>
      </c>
      <c r="AX1826" s="246">
        <f>IFERROR(VLOOKUP(H1826,VOL_REC[],2,FALSE),0)</f>
        <v>4325103.1812214684</v>
      </c>
      <c r="AY1826" s="246">
        <f>IFERROR(VLOOKUP(I1826,VOL_REC[],2,FALSE),0)</f>
        <v>15540036.397699751</v>
      </c>
      <c r="AZ1826" s="246">
        <f>IFERROR(VLOOKUP(J1826,VOL_REC[],2,FALSE),0)</f>
        <v>3761786</v>
      </c>
      <c r="BA1826" s="246">
        <f>IFERROR(VLOOKUP(K1826,VOL_REC[],2,FALSE),0)</f>
        <v>1812240</v>
      </c>
      <c r="BB1826" s="246">
        <f>IFERROR(VLOOKUP(L1826,VOL_REC[],2,FALSE),0)</f>
        <v>240696.79238099116</v>
      </c>
      <c r="BC1826" s="246">
        <f>IFERROR(VLOOKUP(M1826,VOL_REC[],2,FALSE),0)</f>
        <v>1072354.9981737854</v>
      </c>
      <c r="BD1826" s="246">
        <f>IFERROR(VLOOKUP(N1826,VOL_REC[],2,FALSE),0)</f>
        <v>740113.98115702497</v>
      </c>
      <c r="BE1826" s="246">
        <f>IFERROR(VLOOKUP(O1826,VOL_REC[],2,FALSE),0)</f>
        <v>0</v>
      </c>
      <c r="BF1826" s="246">
        <f>IFERROR(VLOOKUP(P1826,VOL_REC[],2,FALSE),0)</f>
        <v>0</v>
      </c>
      <c r="BG1826" s="246">
        <f>IFERROR(VLOOKUP(Q1826,VOL_REC[],2,FALSE),0)</f>
        <v>0</v>
      </c>
      <c r="BH1826" s="1710">
        <f t="shared" si="112"/>
        <v>32706122782.045414</v>
      </c>
      <c r="BI1826" s="1710">
        <f t="shared" si="113"/>
        <v>30715925039.420662</v>
      </c>
      <c r="BJ1826" s="1711">
        <f t="shared" si="114"/>
        <v>38672445.100633025</v>
      </c>
      <c r="BK1826" s="1711">
        <f t="shared" si="115"/>
        <v>1.0647936775490414</v>
      </c>
      <c r="BL1826">
        <f>BJ1826</f>
        <v>38672445.100633025</v>
      </c>
      <c r="BO1826">
        <f>BL1826</f>
        <v>38672445.100633025</v>
      </c>
    </row>
    <row r="1827" spans="3:67" x14ac:dyDescent="0.25">
      <c r="C1827" s="246" t="s">
        <v>3177</v>
      </c>
      <c r="D1827" s="246">
        <v>1</v>
      </c>
      <c r="E1827" s="246">
        <v>2</v>
      </c>
      <c r="F1827" s="246">
        <v>3</v>
      </c>
      <c r="G1827" s="246">
        <v>4</v>
      </c>
      <c r="H1827" s="246">
        <v>5</v>
      </c>
      <c r="I1827" s="246">
        <v>6</v>
      </c>
      <c r="J1827" s="246">
        <v>9</v>
      </c>
      <c r="K1827" s="246">
        <v>10</v>
      </c>
      <c r="L1827" s="246">
        <v>13</v>
      </c>
      <c r="M1827" s="246">
        <v>14</v>
      </c>
      <c r="N1827" s="246">
        <v>15</v>
      </c>
      <c r="O1827" s="246"/>
      <c r="P1827" s="246"/>
      <c r="Q1827" s="246"/>
      <c r="R1827" s="246">
        <f>IFERROR(VLOOKUP(D1827,PROGRAMAS[],2,FALSE),0)</f>
        <v>97037803.679377079</v>
      </c>
      <c r="S1827" s="246">
        <f>IFERROR(VLOOKUP(E1827,PROGRAMAS[],2,FALSE),0)</f>
        <v>640501509.6821388</v>
      </c>
      <c r="T1827" s="246">
        <f>IFERROR(VLOOKUP(F1827,PROGRAMAS[],2,FALSE),0)</f>
        <v>3062327798.1525245</v>
      </c>
      <c r="U1827" s="246">
        <f>IFERROR(VLOOKUP(G1827,PROGRAMAS[],2,FALSE),0)</f>
        <v>67697118.033011258</v>
      </c>
      <c r="V1827" s="246">
        <f>IFERROR(VLOOKUP(H1827,PROGRAMAS[],2,FALSE),0)</f>
        <v>1440941976.2528784</v>
      </c>
      <c r="W1827" s="246">
        <f>IFERROR(VLOOKUP(I1827,PROGRAMAS[],2,FALSE),0)</f>
        <v>6907648435.8447599</v>
      </c>
      <c r="X1827" s="246">
        <f>IFERROR(VLOOKUP(J1827,PROGRAMAS[],2,FALSE),0)</f>
        <v>6128579952.1618185</v>
      </c>
      <c r="Y1827" s="246">
        <f>IFERROR(VLOOKUP(K1827,PROGRAMAS[],2,FALSE),0)</f>
        <v>4635315027.8751087</v>
      </c>
      <c r="Z1827" s="246">
        <f>IFERROR(VLOOKUP(L1827,PROGRAMAS[],2,FALSE),0)</f>
        <v>3776538594.4604583</v>
      </c>
      <c r="AA1827" s="246">
        <f>IFERROR(VLOOKUP(M1827,PROGRAMAS[],2,FALSE),0)</f>
        <v>54223862.645839565</v>
      </c>
      <c r="AB1827" s="246">
        <f>IFERROR(VLOOKUP(N1827,PROGRAMAS[],2,FALSE),0)</f>
        <v>122159672.96346797</v>
      </c>
      <c r="AC1827" s="246">
        <f>IFERROR(VLOOKUP(O1827,PROGRAMAS[],2,FALSE),0)</f>
        <v>0</v>
      </c>
      <c r="AD1827" s="246">
        <f>IFERROR(VLOOKUP(P1827,PROGRAMAS[],2,FALSE),0)</f>
        <v>0</v>
      </c>
      <c r="AE1827" s="246">
        <f>IFERROR(VLOOKUP(Q1827,PROGRAMAS[],2,FALSE),0)</f>
        <v>0</v>
      </c>
      <c r="AF1827" s="246">
        <f>IFERROR(VLOOKUP(D1827,PROGRAMAS[],3,FALSE),0)</f>
        <v>841888629.31080008</v>
      </c>
      <c r="AG1827" s="246">
        <f>IFERROR(VLOOKUP(E1827,PROGRAMAS[],3,FALSE),0)</f>
        <v>3848980803.1642323</v>
      </c>
      <c r="AH1827" s="246">
        <f>IFERROR(VLOOKUP(F1827,PROGRAMAS[],3,FALSE),0)</f>
        <v>3394901471.387517</v>
      </c>
      <c r="AI1827" s="246">
        <f>IFERROR(VLOOKUP(G1827,PROGRAMAS[],3,FALSE),0)</f>
        <v>125317226.95549992</v>
      </c>
      <c r="AJ1827" s="246">
        <f>IFERROR(VLOOKUP(H1827,PROGRAMAS[],3,FALSE),0)</f>
        <v>1233505101.0616004</v>
      </c>
      <c r="AK1827" s="246">
        <f>IFERROR(VLOOKUP(I1827,PROGRAMAS[],3,FALSE),0)</f>
        <v>6129902208.7912121</v>
      </c>
      <c r="AL1827" s="246">
        <f>IFERROR(VLOOKUP(J1827,PROGRAMAS[],3,FALSE),0)</f>
        <v>7011279577.519702</v>
      </c>
      <c r="AM1827" s="246">
        <f>IFERROR(VLOOKUP(K1827,PROGRAMAS[],3,FALSE),0)</f>
        <v>4099471734.9978786</v>
      </c>
      <c r="AN1827" s="246">
        <f>IFERROR(VLOOKUP(L1827,PROGRAMAS[],3,FALSE),0)</f>
        <v>2392571243.5584412</v>
      </c>
      <c r="AO1827" s="246">
        <f>IFERROR(VLOOKUP(M1827,PROGRAMAS[],3,FALSE),0)</f>
        <v>31865326.38096505</v>
      </c>
      <c r="AP1827" s="246">
        <f>IFERROR(VLOOKUP(N1827,PROGRAMAS[],3,FALSE),0)</f>
        <v>118617452.52510804</v>
      </c>
      <c r="AQ1827" s="246">
        <f>IFERROR(VLOOKUP(O1827,PROGRAMAS[],3,FALSE),0)</f>
        <v>0</v>
      </c>
      <c r="AR1827" s="246">
        <f>IFERROR(VLOOKUP(P1827,PROGRAMAS[],3,FALSE),0)</f>
        <v>0</v>
      </c>
      <c r="AS1827" s="246">
        <f>IFERROR(VLOOKUP(Q1827,PROGRAMAS[],3,FALSE),0)</f>
        <v>0</v>
      </c>
      <c r="AT1827" s="246">
        <f>IFERROR(VLOOKUP(D1827,VOL_REC[],2,FALSE),0)</f>
        <v>0</v>
      </c>
      <c r="AU1827" s="246">
        <f>IFERROR(VLOOKUP(E1827,VOL_REC[],2,FALSE),0)</f>
        <v>0</v>
      </c>
      <c r="AV1827" s="246">
        <f>IFERROR(VLOOKUP(F1827,VOL_REC[],2,FALSE),0)</f>
        <v>11089674.200000001</v>
      </c>
      <c r="AW1827" s="246">
        <f>IFERROR(VLOOKUP(G1827,VOL_REC[],2,FALSE),0)</f>
        <v>90439.55</v>
      </c>
      <c r="AX1827" s="246">
        <f>IFERROR(VLOOKUP(H1827,VOL_REC[],2,FALSE),0)</f>
        <v>4325103.1812214684</v>
      </c>
      <c r="AY1827" s="246">
        <f>IFERROR(VLOOKUP(I1827,VOL_REC[],2,FALSE),0)</f>
        <v>15540036.397699751</v>
      </c>
      <c r="AZ1827" s="246">
        <f>IFERROR(VLOOKUP(J1827,VOL_REC[],2,FALSE),0)</f>
        <v>3761786</v>
      </c>
      <c r="BA1827" s="246">
        <f>IFERROR(VLOOKUP(K1827,VOL_REC[],2,FALSE),0)</f>
        <v>1812240</v>
      </c>
      <c r="BB1827" s="246">
        <f>IFERROR(VLOOKUP(L1827,VOL_REC[],2,FALSE),0)</f>
        <v>663244.80000000016</v>
      </c>
      <c r="BC1827" s="246">
        <f>IFERROR(VLOOKUP(M1827,VOL_REC[],2,FALSE),0)</f>
        <v>17074.045034105649</v>
      </c>
      <c r="BD1827" s="246">
        <f>IFERROR(VLOOKUP(N1827,VOL_REC[],2,FALSE),0)</f>
        <v>105072</v>
      </c>
      <c r="BE1827" s="246">
        <f>IFERROR(VLOOKUP(O1827,VOL_REC[],2,FALSE),0)</f>
        <v>0</v>
      </c>
      <c r="BF1827" s="246">
        <f>IFERROR(VLOOKUP(P1827,VOL_REC[],2,FALSE),0)</f>
        <v>0</v>
      </c>
      <c r="BG1827" s="246">
        <f>IFERROR(VLOOKUP(Q1827,VOL_REC[],2,FALSE),0)</f>
        <v>0</v>
      </c>
      <c r="BH1827" s="1710">
        <f t="shared" si="112"/>
        <v>26932971751.751381</v>
      </c>
      <c r="BI1827" s="1710">
        <f t="shared" si="113"/>
        <v>29228300775.652958</v>
      </c>
      <c r="BJ1827" s="1711">
        <f t="shared" si="114"/>
        <v>37404670.173955321</v>
      </c>
      <c r="BK1827" s="1711">
        <f t="shared" si="115"/>
        <v>0.92146895430152487</v>
      </c>
    </row>
    <row r="1828" spans="3:67" x14ac:dyDescent="0.25">
      <c r="C1828" s="246" t="s">
        <v>3178</v>
      </c>
      <c r="D1828" s="246">
        <v>1</v>
      </c>
      <c r="E1828" s="246">
        <v>2</v>
      </c>
      <c r="F1828" s="246">
        <v>3</v>
      </c>
      <c r="G1828" s="246">
        <v>4</v>
      </c>
      <c r="H1828" s="246">
        <v>5</v>
      </c>
      <c r="I1828" s="246">
        <v>6</v>
      </c>
      <c r="J1828" s="246">
        <v>9</v>
      </c>
      <c r="K1828" s="246">
        <v>10</v>
      </c>
      <c r="L1828" s="246">
        <v>13</v>
      </c>
      <c r="M1828" s="246">
        <v>14</v>
      </c>
      <c r="N1828" s="246">
        <v>16</v>
      </c>
      <c r="O1828" s="246"/>
      <c r="P1828" s="246"/>
      <c r="Q1828" s="246"/>
      <c r="R1828" s="246">
        <f>IFERROR(VLOOKUP(D1828,PROGRAMAS[],2,FALSE),0)</f>
        <v>97037803.679377079</v>
      </c>
      <c r="S1828" s="246">
        <f>IFERROR(VLOOKUP(E1828,PROGRAMAS[],2,FALSE),0)</f>
        <v>640501509.6821388</v>
      </c>
      <c r="T1828" s="246">
        <f>IFERROR(VLOOKUP(F1828,PROGRAMAS[],2,FALSE),0)</f>
        <v>3062327798.1525245</v>
      </c>
      <c r="U1828" s="246">
        <f>IFERROR(VLOOKUP(G1828,PROGRAMAS[],2,FALSE),0)</f>
        <v>67697118.033011258</v>
      </c>
      <c r="V1828" s="246">
        <f>IFERROR(VLOOKUP(H1828,PROGRAMAS[],2,FALSE),0)</f>
        <v>1440941976.2528784</v>
      </c>
      <c r="W1828" s="246">
        <f>IFERROR(VLOOKUP(I1828,PROGRAMAS[],2,FALSE),0)</f>
        <v>6907648435.8447599</v>
      </c>
      <c r="X1828" s="246">
        <f>IFERROR(VLOOKUP(J1828,PROGRAMAS[],2,FALSE),0)</f>
        <v>6128579952.1618185</v>
      </c>
      <c r="Y1828" s="246">
        <f>IFERROR(VLOOKUP(K1828,PROGRAMAS[],2,FALSE),0)</f>
        <v>4635315027.8751087</v>
      </c>
      <c r="Z1828" s="246">
        <f>IFERROR(VLOOKUP(L1828,PROGRAMAS[],2,FALSE),0)</f>
        <v>3776538594.4604583</v>
      </c>
      <c r="AA1828" s="246">
        <f>IFERROR(VLOOKUP(M1828,PROGRAMAS[],2,FALSE),0)</f>
        <v>54223862.645839565</v>
      </c>
      <c r="AB1828" s="246">
        <f>IFERROR(VLOOKUP(N1828,PROGRAMAS[],2,FALSE),0)</f>
        <v>7068496961.0436354</v>
      </c>
      <c r="AC1828" s="246">
        <f>IFERROR(VLOOKUP(O1828,PROGRAMAS[],2,FALSE),0)</f>
        <v>0</v>
      </c>
      <c r="AD1828" s="246">
        <f>IFERROR(VLOOKUP(P1828,PROGRAMAS[],2,FALSE),0)</f>
        <v>0</v>
      </c>
      <c r="AE1828" s="246">
        <f>IFERROR(VLOOKUP(Q1828,PROGRAMAS[],2,FALSE),0)</f>
        <v>0</v>
      </c>
      <c r="AF1828" s="246">
        <f>IFERROR(VLOOKUP(D1828,PROGRAMAS[],3,FALSE),0)</f>
        <v>841888629.31080008</v>
      </c>
      <c r="AG1828" s="246">
        <f>IFERROR(VLOOKUP(E1828,PROGRAMAS[],3,FALSE),0)</f>
        <v>3848980803.1642323</v>
      </c>
      <c r="AH1828" s="246">
        <f>IFERROR(VLOOKUP(F1828,PROGRAMAS[],3,FALSE),0)</f>
        <v>3394901471.387517</v>
      </c>
      <c r="AI1828" s="246">
        <f>IFERROR(VLOOKUP(G1828,PROGRAMAS[],3,FALSE),0)</f>
        <v>125317226.95549992</v>
      </c>
      <c r="AJ1828" s="246">
        <f>IFERROR(VLOOKUP(H1828,PROGRAMAS[],3,FALSE),0)</f>
        <v>1233505101.0616004</v>
      </c>
      <c r="AK1828" s="246">
        <f>IFERROR(VLOOKUP(I1828,PROGRAMAS[],3,FALSE),0)</f>
        <v>6129902208.7912121</v>
      </c>
      <c r="AL1828" s="246">
        <f>IFERROR(VLOOKUP(J1828,PROGRAMAS[],3,FALSE),0)</f>
        <v>7011279577.519702</v>
      </c>
      <c r="AM1828" s="246">
        <f>IFERROR(VLOOKUP(K1828,PROGRAMAS[],3,FALSE),0)</f>
        <v>4099471734.9978786</v>
      </c>
      <c r="AN1828" s="246">
        <f>IFERROR(VLOOKUP(L1828,PROGRAMAS[],3,FALSE),0)</f>
        <v>2392571243.5584412</v>
      </c>
      <c r="AO1828" s="246">
        <f>IFERROR(VLOOKUP(M1828,PROGRAMAS[],3,FALSE),0)</f>
        <v>31865326.38096505</v>
      </c>
      <c r="AP1828" s="246">
        <f>IFERROR(VLOOKUP(N1828,PROGRAMAS[],3,FALSE),0)</f>
        <v>2406564599.0319901</v>
      </c>
      <c r="AQ1828" s="246">
        <f>IFERROR(VLOOKUP(O1828,PROGRAMAS[],3,FALSE),0)</f>
        <v>0</v>
      </c>
      <c r="AR1828" s="246">
        <f>IFERROR(VLOOKUP(P1828,PROGRAMAS[],3,FALSE),0)</f>
        <v>0</v>
      </c>
      <c r="AS1828" s="246">
        <f>IFERROR(VLOOKUP(Q1828,PROGRAMAS[],3,FALSE),0)</f>
        <v>0</v>
      </c>
      <c r="AT1828" s="246">
        <f>IFERROR(VLOOKUP(D1828,VOL_REC[],2,FALSE),0)</f>
        <v>0</v>
      </c>
      <c r="AU1828" s="246">
        <f>IFERROR(VLOOKUP(E1828,VOL_REC[],2,FALSE),0)</f>
        <v>0</v>
      </c>
      <c r="AV1828" s="246">
        <f>IFERROR(VLOOKUP(F1828,VOL_REC[],2,FALSE),0)</f>
        <v>11089674.200000001</v>
      </c>
      <c r="AW1828" s="246">
        <f>IFERROR(VLOOKUP(G1828,VOL_REC[],2,FALSE),0)</f>
        <v>90439.55</v>
      </c>
      <c r="AX1828" s="246">
        <f>IFERROR(VLOOKUP(H1828,VOL_REC[],2,FALSE),0)</f>
        <v>4325103.1812214684</v>
      </c>
      <c r="AY1828" s="246">
        <f>IFERROR(VLOOKUP(I1828,VOL_REC[],2,FALSE),0)</f>
        <v>15540036.397699751</v>
      </c>
      <c r="AZ1828" s="246">
        <f>IFERROR(VLOOKUP(J1828,VOL_REC[],2,FALSE),0)</f>
        <v>3761786</v>
      </c>
      <c r="BA1828" s="246">
        <f>IFERROR(VLOOKUP(K1828,VOL_REC[],2,FALSE),0)</f>
        <v>1812240</v>
      </c>
      <c r="BB1828" s="246">
        <f>IFERROR(VLOOKUP(L1828,VOL_REC[],2,FALSE),0)</f>
        <v>663244.80000000016</v>
      </c>
      <c r="BC1828" s="246">
        <f>IFERROR(VLOOKUP(M1828,VOL_REC[],2,FALSE),0)</f>
        <v>17074.045034105649</v>
      </c>
      <c r="BD1828" s="246">
        <f>IFERROR(VLOOKUP(N1828,VOL_REC[],2,FALSE),0)</f>
        <v>1072354.9981737854</v>
      </c>
      <c r="BE1828" s="246">
        <f>IFERROR(VLOOKUP(O1828,VOL_REC[],2,FALSE),0)</f>
        <v>0</v>
      </c>
      <c r="BF1828" s="246">
        <f>IFERROR(VLOOKUP(P1828,VOL_REC[],2,FALSE),0)</f>
        <v>0</v>
      </c>
      <c r="BG1828" s="246">
        <f>IFERROR(VLOOKUP(Q1828,VOL_REC[],2,FALSE),0)</f>
        <v>0</v>
      </c>
      <c r="BH1828" s="1710">
        <f t="shared" si="112"/>
        <v>33879309039.831551</v>
      </c>
      <c r="BI1828" s="1710">
        <f t="shared" si="113"/>
        <v>31516247922.15984</v>
      </c>
      <c r="BJ1828" s="1711">
        <f t="shared" si="114"/>
        <v>38371953.17212911</v>
      </c>
      <c r="BK1828" s="1711">
        <f t="shared" si="115"/>
        <v>1.0749791384909808</v>
      </c>
      <c r="BL1828">
        <f>BJ1828</f>
        <v>38371953.17212911</v>
      </c>
      <c r="BO1828">
        <f>BL1828</f>
        <v>38371953.17212911</v>
      </c>
    </row>
    <row r="1829" spans="3:67" x14ac:dyDescent="0.25">
      <c r="C1829" s="246" t="s">
        <v>3179</v>
      </c>
      <c r="D1829" s="246">
        <v>1</v>
      </c>
      <c r="E1829" s="246">
        <v>2</v>
      </c>
      <c r="F1829" s="246">
        <v>3</v>
      </c>
      <c r="G1829" s="246">
        <v>4</v>
      </c>
      <c r="H1829" s="246">
        <v>5</v>
      </c>
      <c r="I1829" s="246">
        <v>6</v>
      </c>
      <c r="J1829" s="246">
        <v>9</v>
      </c>
      <c r="K1829" s="246">
        <v>10</v>
      </c>
      <c r="L1829" s="246">
        <v>13</v>
      </c>
      <c r="M1829" s="246">
        <v>14</v>
      </c>
      <c r="N1829" s="246">
        <v>17</v>
      </c>
      <c r="O1829" s="246"/>
      <c r="P1829" s="246"/>
      <c r="Q1829" s="246"/>
      <c r="R1829" s="246">
        <f>IFERROR(VLOOKUP(D1829,PROGRAMAS[],2,FALSE),0)</f>
        <v>97037803.679377079</v>
      </c>
      <c r="S1829" s="246">
        <f>IFERROR(VLOOKUP(E1829,PROGRAMAS[],2,FALSE),0)</f>
        <v>640501509.6821388</v>
      </c>
      <c r="T1829" s="246">
        <f>IFERROR(VLOOKUP(F1829,PROGRAMAS[],2,FALSE),0)</f>
        <v>3062327798.1525245</v>
      </c>
      <c r="U1829" s="246">
        <f>IFERROR(VLOOKUP(G1829,PROGRAMAS[],2,FALSE),0)</f>
        <v>67697118.033011258</v>
      </c>
      <c r="V1829" s="246">
        <f>IFERROR(VLOOKUP(H1829,PROGRAMAS[],2,FALSE),0)</f>
        <v>1440941976.2528784</v>
      </c>
      <c r="W1829" s="246">
        <f>IFERROR(VLOOKUP(I1829,PROGRAMAS[],2,FALSE),0)</f>
        <v>6907648435.8447599</v>
      </c>
      <c r="X1829" s="246">
        <f>IFERROR(VLOOKUP(J1829,PROGRAMAS[],2,FALSE),0)</f>
        <v>6128579952.1618185</v>
      </c>
      <c r="Y1829" s="246">
        <f>IFERROR(VLOOKUP(K1829,PROGRAMAS[],2,FALSE),0)</f>
        <v>4635315027.8751087</v>
      </c>
      <c r="Z1829" s="246">
        <f>IFERROR(VLOOKUP(L1829,PROGRAMAS[],2,FALSE),0)</f>
        <v>3776538594.4604583</v>
      </c>
      <c r="AA1829" s="246">
        <f>IFERROR(VLOOKUP(M1829,PROGRAMAS[],2,FALSE),0)</f>
        <v>54223862.645839565</v>
      </c>
      <c r="AB1829" s="246">
        <f>IFERROR(VLOOKUP(N1829,PROGRAMAS[],2,FALSE),0)</f>
        <v>1892779498.5211046</v>
      </c>
      <c r="AC1829" s="246">
        <f>IFERROR(VLOOKUP(O1829,PROGRAMAS[],2,FALSE),0)</f>
        <v>0</v>
      </c>
      <c r="AD1829" s="246">
        <f>IFERROR(VLOOKUP(P1829,PROGRAMAS[],2,FALSE),0)</f>
        <v>0</v>
      </c>
      <c r="AE1829" s="246">
        <f>IFERROR(VLOOKUP(Q1829,PROGRAMAS[],2,FALSE),0)</f>
        <v>0</v>
      </c>
      <c r="AF1829" s="246">
        <f>IFERROR(VLOOKUP(D1829,PROGRAMAS[],3,FALSE),0)</f>
        <v>841888629.31080008</v>
      </c>
      <c r="AG1829" s="246">
        <f>IFERROR(VLOOKUP(E1829,PROGRAMAS[],3,FALSE),0)</f>
        <v>3848980803.1642323</v>
      </c>
      <c r="AH1829" s="246">
        <f>IFERROR(VLOOKUP(F1829,PROGRAMAS[],3,FALSE),0)</f>
        <v>3394901471.387517</v>
      </c>
      <c r="AI1829" s="246">
        <f>IFERROR(VLOOKUP(G1829,PROGRAMAS[],3,FALSE),0)</f>
        <v>125317226.95549992</v>
      </c>
      <c r="AJ1829" s="246">
        <f>IFERROR(VLOOKUP(H1829,PROGRAMAS[],3,FALSE),0)</f>
        <v>1233505101.0616004</v>
      </c>
      <c r="AK1829" s="246">
        <f>IFERROR(VLOOKUP(I1829,PROGRAMAS[],3,FALSE),0)</f>
        <v>6129902208.7912121</v>
      </c>
      <c r="AL1829" s="246">
        <f>IFERROR(VLOOKUP(J1829,PROGRAMAS[],3,FALSE),0)</f>
        <v>7011279577.519702</v>
      </c>
      <c r="AM1829" s="246">
        <f>IFERROR(VLOOKUP(K1829,PROGRAMAS[],3,FALSE),0)</f>
        <v>4099471734.9978786</v>
      </c>
      <c r="AN1829" s="246">
        <f>IFERROR(VLOOKUP(L1829,PROGRAMAS[],3,FALSE),0)</f>
        <v>2392571243.5584412</v>
      </c>
      <c r="AO1829" s="246">
        <f>IFERROR(VLOOKUP(M1829,PROGRAMAS[],3,FALSE),0)</f>
        <v>31865326.38096505</v>
      </c>
      <c r="AP1829" s="246">
        <f>IFERROR(VLOOKUP(N1829,PROGRAMAS[],3,FALSE),0)</f>
        <v>948595847.09039903</v>
      </c>
      <c r="AQ1829" s="246">
        <f>IFERROR(VLOOKUP(O1829,PROGRAMAS[],3,FALSE),0)</f>
        <v>0</v>
      </c>
      <c r="AR1829" s="246">
        <f>IFERROR(VLOOKUP(P1829,PROGRAMAS[],3,FALSE),0)</f>
        <v>0</v>
      </c>
      <c r="AS1829" s="246">
        <f>IFERROR(VLOOKUP(Q1829,PROGRAMAS[],3,FALSE),0)</f>
        <v>0</v>
      </c>
      <c r="AT1829" s="246">
        <f>IFERROR(VLOOKUP(D1829,VOL_REC[],2,FALSE),0)</f>
        <v>0</v>
      </c>
      <c r="AU1829" s="246">
        <f>IFERROR(VLOOKUP(E1829,VOL_REC[],2,FALSE),0)</f>
        <v>0</v>
      </c>
      <c r="AV1829" s="246">
        <f>IFERROR(VLOOKUP(F1829,VOL_REC[],2,FALSE),0)</f>
        <v>11089674.200000001</v>
      </c>
      <c r="AW1829" s="246">
        <f>IFERROR(VLOOKUP(G1829,VOL_REC[],2,FALSE),0)</f>
        <v>90439.55</v>
      </c>
      <c r="AX1829" s="246">
        <f>IFERROR(VLOOKUP(H1829,VOL_REC[],2,FALSE),0)</f>
        <v>4325103.1812214684</v>
      </c>
      <c r="AY1829" s="246">
        <f>IFERROR(VLOOKUP(I1829,VOL_REC[],2,FALSE),0)</f>
        <v>15540036.397699751</v>
      </c>
      <c r="AZ1829" s="246">
        <f>IFERROR(VLOOKUP(J1829,VOL_REC[],2,FALSE),0)</f>
        <v>3761786</v>
      </c>
      <c r="BA1829" s="246">
        <f>IFERROR(VLOOKUP(K1829,VOL_REC[],2,FALSE),0)</f>
        <v>1812240</v>
      </c>
      <c r="BB1829" s="246">
        <f>IFERROR(VLOOKUP(L1829,VOL_REC[],2,FALSE),0)</f>
        <v>663244.80000000016</v>
      </c>
      <c r="BC1829" s="246">
        <f>IFERROR(VLOOKUP(M1829,VOL_REC[],2,FALSE),0)</f>
        <v>17074.045034105649</v>
      </c>
      <c r="BD1829" s="246">
        <f>IFERROR(VLOOKUP(N1829,VOL_REC[],2,FALSE),0)</f>
        <v>740113.98115702497</v>
      </c>
      <c r="BE1829" s="246">
        <f>IFERROR(VLOOKUP(O1829,VOL_REC[],2,FALSE),0)</f>
        <v>0</v>
      </c>
      <c r="BF1829" s="246">
        <f>IFERROR(VLOOKUP(P1829,VOL_REC[],2,FALSE),0)</f>
        <v>0</v>
      </c>
      <c r="BG1829" s="246">
        <f>IFERROR(VLOOKUP(Q1829,VOL_REC[],2,FALSE),0)</f>
        <v>0</v>
      </c>
      <c r="BH1829" s="1710">
        <f t="shared" si="112"/>
        <v>28703591577.309017</v>
      </c>
      <c r="BI1829" s="1710">
        <f t="shared" si="113"/>
        <v>30058279170.21825</v>
      </c>
      <c r="BJ1829" s="1711">
        <f t="shared" si="114"/>
        <v>38039712.155112348</v>
      </c>
      <c r="BK1829" s="1711">
        <f t="shared" si="115"/>
        <v>0.95493129911936347</v>
      </c>
    </row>
    <row r="1830" spans="3:67" x14ac:dyDescent="0.25">
      <c r="C1830" s="246" t="s">
        <v>3180</v>
      </c>
      <c r="D1830" s="246">
        <v>1</v>
      </c>
      <c r="E1830" s="246">
        <v>2</v>
      </c>
      <c r="F1830" s="246">
        <v>3</v>
      </c>
      <c r="G1830" s="246">
        <v>4</v>
      </c>
      <c r="H1830" s="246">
        <v>5</v>
      </c>
      <c r="I1830" s="246">
        <v>6</v>
      </c>
      <c r="J1830" s="246">
        <v>9</v>
      </c>
      <c r="K1830" s="246">
        <v>10</v>
      </c>
      <c r="L1830" s="246">
        <v>13</v>
      </c>
      <c r="M1830" s="246">
        <v>15</v>
      </c>
      <c r="N1830" s="246">
        <v>16</v>
      </c>
      <c r="O1830" s="246"/>
      <c r="P1830" s="246"/>
      <c r="Q1830" s="246"/>
      <c r="R1830" s="246">
        <f>IFERROR(VLOOKUP(D1830,PROGRAMAS[],2,FALSE),0)</f>
        <v>97037803.679377079</v>
      </c>
      <c r="S1830" s="246">
        <f>IFERROR(VLOOKUP(E1830,PROGRAMAS[],2,FALSE),0)</f>
        <v>640501509.6821388</v>
      </c>
      <c r="T1830" s="246">
        <f>IFERROR(VLOOKUP(F1830,PROGRAMAS[],2,FALSE),0)</f>
        <v>3062327798.1525245</v>
      </c>
      <c r="U1830" s="246">
        <f>IFERROR(VLOOKUP(G1830,PROGRAMAS[],2,FALSE),0)</f>
        <v>67697118.033011258</v>
      </c>
      <c r="V1830" s="246">
        <f>IFERROR(VLOOKUP(H1830,PROGRAMAS[],2,FALSE),0)</f>
        <v>1440941976.2528784</v>
      </c>
      <c r="W1830" s="246">
        <f>IFERROR(VLOOKUP(I1830,PROGRAMAS[],2,FALSE),0)</f>
        <v>6907648435.8447599</v>
      </c>
      <c r="X1830" s="246">
        <f>IFERROR(VLOOKUP(J1830,PROGRAMAS[],2,FALSE),0)</f>
        <v>6128579952.1618185</v>
      </c>
      <c r="Y1830" s="246">
        <f>IFERROR(VLOOKUP(K1830,PROGRAMAS[],2,FALSE),0)</f>
        <v>4635315027.8751087</v>
      </c>
      <c r="Z1830" s="246">
        <f>IFERROR(VLOOKUP(L1830,PROGRAMAS[],2,FALSE),0)</f>
        <v>3776538594.4604583</v>
      </c>
      <c r="AA1830" s="246">
        <f>IFERROR(VLOOKUP(M1830,PROGRAMAS[],2,FALSE),0)</f>
        <v>122159672.96346797</v>
      </c>
      <c r="AB1830" s="246">
        <f>IFERROR(VLOOKUP(N1830,PROGRAMAS[],2,FALSE),0)</f>
        <v>7068496961.0436354</v>
      </c>
      <c r="AC1830" s="246">
        <f>IFERROR(VLOOKUP(O1830,PROGRAMAS[],2,FALSE),0)</f>
        <v>0</v>
      </c>
      <c r="AD1830" s="246">
        <f>IFERROR(VLOOKUP(P1830,PROGRAMAS[],2,FALSE),0)</f>
        <v>0</v>
      </c>
      <c r="AE1830" s="246">
        <f>IFERROR(VLOOKUP(Q1830,PROGRAMAS[],2,FALSE),0)</f>
        <v>0</v>
      </c>
      <c r="AF1830" s="246">
        <f>IFERROR(VLOOKUP(D1830,PROGRAMAS[],3,FALSE),0)</f>
        <v>841888629.31080008</v>
      </c>
      <c r="AG1830" s="246">
        <f>IFERROR(VLOOKUP(E1830,PROGRAMAS[],3,FALSE),0)</f>
        <v>3848980803.1642323</v>
      </c>
      <c r="AH1830" s="246">
        <f>IFERROR(VLOOKUP(F1830,PROGRAMAS[],3,FALSE),0)</f>
        <v>3394901471.387517</v>
      </c>
      <c r="AI1830" s="246">
        <f>IFERROR(VLOOKUP(G1830,PROGRAMAS[],3,FALSE),0)</f>
        <v>125317226.95549992</v>
      </c>
      <c r="AJ1830" s="246">
        <f>IFERROR(VLOOKUP(H1830,PROGRAMAS[],3,FALSE),0)</f>
        <v>1233505101.0616004</v>
      </c>
      <c r="AK1830" s="246">
        <f>IFERROR(VLOOKUP(I1830,PROGRAMAS[],3,FALSE),0)</f>
        <v>6129902208.7912121</v>
      </c>
      <c r="AL1830" s="246">
        <f>IFERROR(VLOOKUP(J1830,PROGRAMAS[],3,FALSE),0)</f>
        <v>7011279577.519702</v>
      </c>
      <c r="AM1830" s="246">
        <f>IFERROR(VLOOKUP(K1830,PROGRAMAS[],3,FALSE),0)</f>
        <v>4099471734.9978786</v>
      </c>
      <c r="AN1830" s="246">
        <f>IFERROR(VLOOKUP(L1830,PROGRAMAS[],3,FALSE),0)</f>
        <v>2392571243.5584412</v>
      </c>
      <c r="AO1830" s="246">
        <f>IFERROR(VLOOKUP(M1830,PROGRAMAS[],3,FALSE),0)</f>
        <v>118617452.52510804</v>
      </c>
      <c r="AP1830" s="246">
        <f>IFERROR(VLOOKUP(N1830,PROGRAMAS[],3,FALSE),0)</f>
        <v>2406564599.0319901</v>
      </c>
      <c r="AQ1830" s="246">
        <f>IFERROR(VLOOKUP(O1830,PROGRAMAS[],3,FALSE),0)</f>
        <v>0</v>
      </c>
      <c r="AR1830" s="246">
        <f>IFERROR(VLOOKUP(P1830,PROGRAMAS[],3,FALSE),0)</f>
        <v>0</v>
      </c>
      <c r="AS1830" s="246">
        <f>IFERROR(VLOOKUP(Q1830,PROGRAMAS[],3,FALSE),0)</f>
        <v>0</v>
      </c>
      <c r="AT1830" s="246">
        <f>IFERROR(VLOOKUP(D1830,VOL_REC[],2,FALSE),0)</f>
        <v>0</v>
      </c>
      <c r="AU1830" s="246">
        <f>IFERROR(VLOOKUP(E1830,VOL_REC[],2,FALSE),0)</f>
        <v>0</v>
      </c>
      <c r="AV1830" s="246">
        <f>IFERROR(VLOOKUP(F1830,VOL_REC[],2,FALSE),0)</f>
        <v>11089674.200000001</v>
      </c>
      <c r="AW1830" s="246">
        <f>IFERROR(VLOOKUP(G1830,VOL_REC[],2,FALSE),0)</f>
        <v>90439.55</v>
      </c>
      <c r="AX1830" s="246">
        <f>IFERROR(VLOOKUP(H1830,VOL_REC[],2,FALSE),0)</f>
        <v>4325103.1812214684</v>
      </c>
      <c r="AY1830" s="246">
        <f>IFERROR(VLOOKUP(I1830,VOL_REC[],2,FALSE),0)</f>
        <v>15540036.397699751</v>
      </c>
      <c r="AZ1830" s="246">
        <f>IFERROR(VLOOKUP(J1830,VOL_REC[],2,FALSE),0)</f>
        <v>3761786</v>
      </c>
      <c r="BA1830" s="246">
        <f>IFERROR(VLOOKUP(K1830,VOL_REC[],2,FALSE),0)</f>
        <v>1812240</v>
      </c>
      <c r="BB1830" s="246">
        <f>IFERROR(VLOOKUP(L1830,VOL_REC[],2,FALSE),0)</f>
        <v>663244.80000000016</v>
      </c>
      <c r="BC1830" s="246">
        <f>IFERROR(VLOOKUP(M1830,VOL_REC[],2,FALSE),0)</f>
        <v>105072</v>
      </c>
      <c r="BD1830" s="246">
        <f>IFERROR(VLOOKUP(N1830,VOL_REC[],2,FALSE),0)</f>
        <v>1072354.9981737854</v>
      </c>
      <c r="BE1830" s="246">
        <f>IFERROR(VLOOKUP(O1830,VOL_REC[],2,FALSE),0)</f>
        <v>0</v>
      </c>
      <c r="BF1830" s="246">
        <f>IFERROR(VLOOKUP(P1830,VOL_REC[],2,FALSE),0)</f>
        <v>0</v>
      </c>
      <c r="BG1830" s="246">
        <f>IFERROR(VLOOKUP(Q1830,VOL_REC[],2,FALSE),0)</f>
        <v>0</v>
      </c>
      <c r="BH1830" s="1710">
        <f t="shared" si="112"/>
        <v>33947244850.149178</v>
      </c>
      <c r="BI1830" s="1710">
        <f t="shared" si="113"/>
        <v>31603000048.303982</v>
      </c>
      <c r="BJ1830" s="1711">
        <f t="shared" si="114"/>
        <v>38459951.127095006</v>
      </c>
      <c r="BK1830" s="1711">
        <f t="shared" si="115"/>
        <v>1.0741779197627475</v>
      </c>
      <c r="BL1830">
        <f>BJ1830</f>
        <v>38459951.127095006</v>
      </c>
      <c r="BO1830">
        <f>BL1830</f>
        <v>38459951.127095006</v>
      </c>
    </row>
    <row r="1831" spans="3:67" x14ac:dyDescent="0.25">
      <c r="C1831" s="246" t="s">
        <v>3181</v>
      </c>
      <c r="D1831" s="246">
        <v>1</v>
      </c>
      <c r="E1831" s="246">
        <v>2</v>
      </c>
      <c r="F1831" s="246">
        <v>3</v>
      </c>
      <c r="G1831" s="246">
        <v>4</v>
      </c>
      <c r="H1831" s="246">
        <v>5</v>
      </c>
      <c r="I1831" s="246">
        <v>6</v>
      </c>
      <c r="J1831" s="246">
        <v>9</v>
      </c>
      <c r="K1831" s="246">
        <v>10</v>
      </c>
      <c r="L1831" s="246">
        <v>13</v>
      </c>
      <c r="M1831" s="246">
        <v>15</v>
      </c>
      <c r="N1831" s="246">
        <v>17</v>
      </c>
      <c r="O1831" s="246"/>
      <c r="P1831" s="246"/>
      <c r="Q1831" s="246"/>
      <c r="R1831" s="246">
        <f>IFERROR(VLOOKUP(D1831,PROGRAMAS[],2,FALSE),0)</f>
        <v>97037803.679377079</v>
      </c>
      <c r="S1831" s="246">
        <f>IFERROR(VLOOKUP(E1831,PROGRAMAS[],2,FALSE),0)</f>
        <v>640501509.6821388</v>
      </c>
      <c r="T1831" s="246">
        <f>IFERROR(VLOOKUP(F1831,PROGRAMAS[],2,FALSE),0)</f>
        <v>3062327798.1525245</v>
      </c>
      <c r="U1831" s="246">
        <f>IFERROR(VLOOKUP(G1831,PROGRAMAS[],2,FALSE),0)</f>
        <v>67697118.033011258</v>
      </c>
      <c r="V1831" s="246">
        <f>IFERROR(VLOOKUP(H1831,PROGRAMAS[],2,FALSE),0)</f>
        <v>1440941976.2528784</v>
      </c>
      <c r="W1831" s="246">
        <f>IFERROR(VLOOKUP(I1831,PROGRAMAS[],2,FALSE),0)</f>
        <v>6907648435.8447599</v>
      </c>
      <c r="X1831" s="246">
        <f>IFERROR(VLOOKUP(J1831,PROGRAMAS[],2,FALSE),0)</f>
        <v>6128579952.1618185</v>
      </c>
      <c r="Y1831" s="246">
        <f>IFERROR(VLOOKUP(K1831,PROGRAMAS[],2,FALSE),0)</f>
        <v>4635315027.8751087</v>
      </c>
      <c r="Z1831" s="246">
        <f>IFERROR(VLOOKUP(L1831,PROGRAMAS[],2,FALSE),0)</f>
        <v>3776538594.4604583</v>
      </c>
      <c r="AA1831" s="246">
        <f>IFERROR(VLOOKUP(M1831,PROGRAMAS[],2,FALSE),0)</f>
        <v>122159672.96346797</v>
      </c>
      <c r="AB1831" s="246">
        <f>IFERROR(VLOOKUP(N1831,PROGRAMAS[],2,FALSE),0)</f>
        <v>1892779498.5211046</v>
      </c>
      <c r="AC1831" s="246">
        <f>IFERROR(VLOOKUP(O1831,PROGRAMAS[],2,FALSE),0)</f>
        <v>0</v>
      </c>
      <c r="AD1831" s="246">
        <f>IFERROR(VLOOKUP(P1831,PROGRAMAS[],2,FALSE),0)</f>
        <v>0</v>
      </c>
      <c r="AE1831" s="246">
        <f>IFERROR(VLOOKUP(Q1831,PROGRAMAS[],2,FALSE),0)</f>
        <v>0</v>
      </c>
      <c r="AF1831" s="246">
        <f>IFERROR(VLOOKUP(D1831,PROGRAMAS[],3,FALSE),0)</f>
        <v>841888629.31080008</v>
      </c>
      <c r="AG1831" s="246">
        <f>IFERROR(VLOOKUP(E1831,PROGRAMAS[],3,FALSE),0)</f>
        <v>3848980803.1642323</v>
      </c>
      <c r="AH1831" s="246">
        <f>IFERROR(VLOOKUP(F1831,PROGRAMAS[],3,FALSE),0)</f>
        <v>3394901471.387517</v>
      </c>
      <c r="AI1831" s="246">
        <f>IFERROR(VLOOKUP(G1831,PROGRAMAS[],3,FALSE),0)</f>
        <v>125317226.95549992</v>
      </c>
      <c r="AJ1831" s="246">
        <f>IFERROR(VLOOKUP(H1831,PROGRAMAS[],3,FALSE),0)</f>
        <v>1233505101.0616004</v>
      </c>
      <c r="AK1831" s="246">
        <f>IFERROR(VLOOKUP(I1831,PROGRAMAS[],3,FALSE),0)</f>
        <v>6129902208.7912121</v>
      </c>
      <c r="AL1831" s="246">
        <f>IFERROR(VLOOKUP(J1831,PROGRAMAS[],3,FALSE),0)</f>
        <v>7011279577.519702</v>
      </c>
      <c r="AM1831" s="246">
        <f>IFERROR(VLOOKUP(K1831,PROGRAMAS[],3,FALSE),0)</f>
        <v>4099471734.9978786</v>
      </c>
      <c r="AN1831" s="246">
        <f>IFERROR(VLOOKUP(L1831,PROGRAMAS[],3,FALSE),0)</f>
        <v>2392571243.5584412</v>
      </c>
      <c r="AO1831" s="246">
        <f>IFERROR(VLOOKUP(M1831,PROGRAMAS[],3,FALSE),0)</f>
        <v>118617452.52510804</v>
      </c>
      <c r="AP1831" s="246">
        <f>IFERROR(VLOOKUP(N1831,PROGRAMAS[],3,FALSE),0)</f>
        <v>948595847.09039903</v>
      </c>
      <c r="AQ1831" s="246">
        <f>IFERROR(VLOOKUP(O1831,PROGRAMAS[],3,FALSE),0)</f>
        <v>0</v>
      </c>
      <c r="AR1831" s="246">
        <f>IFERROR(VLOOKUP(P1831,PROGRAMAS[],3,FALSE),0)</f>
        <v>0</v>
      </c>
      <c r="AS1831" s="246">
        <f>IFERROR(VLOOKUP(Q1831,PROGRAMAS[],3,FALSE),0)</f>
        <v>0</v>
      </c>
      <c r="AT1831" s="246">
        <f>IFERROR(VLOOKUP(D1831,VOL_REC[],2,FALSE),0)</f>
        <v>0</v>
      </c>
      <c r="AU1831" s="246">
        <f>IFERROR(VLOOKUP(E1831,VOL_REC[],2,FALSE),0)</f>
        <v>0</v>
      </c>
      <c r="AV1831" s="246">
        <f>IFERROR(VLOOKUP(F1831,VOL_REC[],2,FALSE),0)</f>
        <v>11089674.200000001</v>
      </c>
      <c r="AW1831" s="246">
        <f>IFERROR(VLOOKUP(G1831,VOL_REC[],2,FALSE),0)</f>
        <v>90439.55</v>
      </c>
      <c r="AX1831" s="246">
        <f>IFERROR(VLOOKUP(H1831,VOL_REC[],2,FALSE),0)</f>
        <v>4325103.1812214684</v>
      </c>
      <c r="AY1831" s="246">
        <f>IFERROR(VLOOKUP(I1831,VOL_REC[],2,FALSE),0)</f>
        <v>15540036.397699751</v>
      </c>
      <c r="AZ1831" s="246">
        <f>IFERROR(VLOOKUP(J1831,VOL_REC[],2,FALSE),0)</f>
        <v>3761786</v>
      </c>
      <c r="BA1831" s="246">
        <f>IFERROR(VLOOKUP(K1831,VOL_REC[],2,FALSE),0)</f>
        <v>1812240</v>
      </c>
      <c r="BB1831" s="246">
        <f>IFERROR(VLOOKUP(L1831,VOL_REC[],2,FALSE),0)</f>
        <v>663244.80000000016</v>
      </c>
      <c r="BC1831" s="246">
        <f>IFERROR(VLOOKUP(M1831,VOL_REC[],2,FALSE),0)</f>
        <v>105072</v>
      </c>
      <c r="BD1831" s="246">
        <f>IFERROR(VLOOKUP(N1831,VOL_REC[],2,FALSE),0)</f>
        <v>740113.98115702497</v>
      </c>
      <c r="BE1831" s="246">
        <f>IFERROR(VLOOKUP(O1831,VOL_REC[],2,FALSE),0)</f>
        <v>0</v>
      </c>
      <c r="BF1831" s="246">
        <f>IFERROR(VLOOKUP(P1831,VOL_REC[],2,FALSE),0)</f>
        <v>0</v>
      </c>
      <c r="BG1831" s="246">
        <f>IFERROR(VLOOKUP(Q1831,VOL_REC[],2,FALSE),0)</f>
        <v>0</v>
      </c>
      <c r="BH1831" s="1710">
        <f t="shared" si="112"/>
        <v>28771527387.626644</v>
      </c>
      <c r="BI1831" s="1710">
        <f t="shared" si="113"/>
        <v>30145031296.362392</v>
      </c>
      <c r="BJ1831" s="1711">
        <f t="shared" si="114"/>
        <v>38127710.110078245</v>
      </c>
      <c r="BK1831" s="1711">
        <f t="shared" si="115"/>
        <v>0.95443680601182557</v>
      </c>
    </row>
    <row r="1832" spans="3:67" x14ac:dyDescent="0.25">
      <c r="C1832" s="246" t="s">
        <v>3182</v>
      </c>
      <c r="D1832" s="246">
        <v>1</v>
      </c>
      <c r="E1832" s="246">
        <v>2</v>
      </c>
      <c r="F1832" s="246">
        <v>3</v>
      </c>
      <c r="G1832" s="246">
        <v>4</v>
      </c>
      <c r="H1832" s="246">
        <v>5</v>
      </c>
      <c r="I1832" s="246">
        <v>6</v>
      </c>
      <c r="J1832" s="246">
        <v>9</v>
      </c>
      <c r="K1832" s="246">
        <v>10</v>
      </c>
      <c r="L1832" s="246">
        <v>13</v>
      </c>
      <c r="M1832" s="246">
        <v>16</v>
      </c>
      <c r="N1832" s="246">
        <v>17</v>
      </c>
      <c r="O1832" s="246"/>
      <c r="P1832" s="246"/>
      <c r="Q1832" s="246"/>
      <c r="R1832" s="246">
        <f>IFERROR(VLOOKUP(D1832,PROGRAMAS[],2,FALSE),0)</f>
        <v>97037803.679377079</v>
      </c>
      <c r="S1832" s="246">
        <f>IFERROR(VLOOKUP(E1832,PROGRAMAS[],2,FALSE),0)</f>
        <v>640501509.6821388</v>
      </c>
      <c r="T1832" s="246">
        <f>IFERROR(VLOOKUP(F1832,PROGRAMAS[],2,FALSE),0)</f>
        <v>3062327798.1525245</v>
      </c>
      <c r="U1832" s="246">
        <f>IFERROR(VLOOKUP(G1832,PROGRAMAS[],2,FALSE),0)</f>
        <v>67697118.033011258</v>
      </c>
      <c r="V1832" s="246">
        <f>IFERROR(VLOOKUP(H1832,PROGRAMAS[],2,FALSE),0)</f>
        <v>1440941976.2528784</v>
      </c>
      <c r="W1832" s="246">
        <f>IFERROR(VLOOKUP(I1832,PROGRAMAS[],2,FALSE),0)</f>
        <v>6907648435.8447599</v>
      </c>
      <c r="X1832" s="246">
        <f>IFERROR(VLOOKUP(J1832,PROGRAMAS[],2,FALSE),0)</f>
        <v>6128579952.1618185</v>
      </c>
      <c r="Y1832" s="246">
        <f>IFERROR(VLOOKUP(K1832,PROGRAMAS[],2,FALSE),0)</f>
        <v>4635315027.8751087</v>
      </c>
      <c r="Z1832" s="246">
        <f>IFERROR(VLOOKUP(L1832,PROGRAMAS[],2,FALSE),0)</f>
        <v>3776538594.4604583</v>
      </c>
      <c r="AA1832" s="246">
        <f>IFERROR(VLOOKUP(M1832,PROGRAMAS[],2,FALSE),0)</f>
        <v>7068496961.0436354</v>
      </c>
      <c r="AB1832" s="246">
        <f>IFERROR(VLOOKUP(N1832,PROGRAMAS[],2,FALSE),0)</f>
        <v>1892779498.5211046</v>
      </c>
      <c r="AC1832" s="246">
        <f>IFERROR(VLOOKUP(O1832,PROGRAMAS[],2,FALSE),0)</f>
        <v>0</v>
      </c>
      <c r="AD1832" s="246">
        <f>IFERROR(VLOOKUP(P1832,PROGRAMAS[],2,FALSE),0)</f>
        <v>0</v>
      </c>
      <c r="AE1832" s="246">
        <f>IFERROR(VLOOKUP(Q1832,PROGRAMAS[],2,FALSE),0)</f>
        <v>0</v>
      </c>
      <c r="AF1832" s="246">
        <f>IFERROR(VLOOKUP(D1832,PROGRAMAS[],3,FALSE),0)</f>
        <v>841888629.31080008</v>
      </c>
      <c r="AG1832" s="246">
        <f>IFERROR(VLOOKUP(E1832,PROGRAMAS[],3,FALSE),0)</f>
        <v>3848980803.1642323</v>
      </c>
      <c r="AH1832" s="246">
        <f>IFERROR(VLOOKUP(F1832,PROGRAMAS[],3,FALSE),0)</f>
        <v>3394901471.387517</v>
      </c>
      <c r="AI1832" s="246">
        <f>IFERROR(VLOOKUP(G1832,PROGRAMAS[],3,FALSE),0)</f>
        <v>125317226.95549992</v>
      </c>
      <c r="AJ1832" s="246">
        <f>IFERROR(VLOOKUP(H1832,PROGRAMAS[],3,FALSE),0)</f>
        <v>1233505101.0616004</v>
      </c>
      <c r="AK1832" s="246">
        <f>IFERROR(VLOOKUP(I1832,PROGRAMAS[],3,FALSE),0)</f>
        <v>6129902208.7912121</v>
      </c>
      <c r="AL1832" s="246">
        <f>IFERROR(VLOOKUP(J1832,PROGRAMAS[],3,FALSE),0)</f>
        <v>7011279577.519702</v>
      </c>
      <c r="AM1832" s="246">
        <f>IFERROR(VLOOKUP(K1832,PROGRAMAS[],3,FALSE),0)</f>
        <v>4099471734.9978786</v>
      </c>
      <c r="AN1832" s="246">
        <f>IFERROR(VLOOKUP(L1832,PROGRAMAS[],3,FALSE),0)</f>
        <v>2392571243.5584412</v>
      </c>
      <c r="AO1832" s="246">
        <f>IFERROR(VLOOKUP(M1832,PROGRAMAS[],3,FALSE),0)</f>
        <v>2406564599.0319901</v>
      </c>
      <c r="AP1832" s="246">
        <f>IFERROR(VLOOKUP(N1832,PROGRAMAS[],3,FALSE),0)</f>
        <v>948595847.09039903</v>
      </c>
      <c r="AQ1832" s="246">
        <f>IFERROR(VLOOKUP(O1832,PROGRAMAS[],3,FALSE),0)</f>
        <v>0</v>
      </c>
      <c r="AR1832" s="246">
        <f>IFERROR(VLOOKUP(P1832,PROGRAMAS[],3,FALSE),0)</f>
        <v>0</v>
      </c>
      <c r="AS1832" s="246">
        <f>IFERROR(VLOOKUP(Q1832,PROGRAMAS[],3,FALSE),0)</f>
        <v>0</v>
      </c>
      <c r="AT1832" s="246">
        <f>IFERROR(VLOOKUP(D1832,VOL_REC[],2,FALSE),0)</f>
        <v>0</v>
      </c>
      <c r="AU1832" s="246">
        <f>IFERROR(VLOOKUP(E1832,VOL_REC[],2,FALSE),0)</f>
        <v>0</v>
      </c>
      <c r="AV1832" s="246">
        <f>IFERROR(VLOOKUP(F1832,VOL_REC[],2,FALSE),0)</f>
        <v>11089674.200000001</v>
      </c>
      <c r="AW1832" s="246">
        <f>IFERROR(VLOOKUP(G1832,VOL_REC[],2,FALSE),0)</f>
        <v>90439.55</v>
      </c>
      <c r="AX1832" s="246">
        <f>IFERROR(VLOOKUP(H1832,VOL_REC[],2,FALSE),0)</f>
        <v>4325103.1812214684</v>
      </c>
      <c r="AY1832" s="246">
        <f>IFERROR(VLOOKUP(I1832,VOL_REC[],2,FALSE),0)</f>
        <v>15540036.397699751</v>
      </c>
      <c r="AZ1832" s="246">
        <f>IFERROR(VLOOKUP(J1832,VOL_REC[],2,FALSE),0)</f>
        <v>3761786</v>
      </c>
      <c r="BA1832" s="246">
        <f>IFERROR(VLOOKUP(K1832,VOL_REC[],2,FALSE),0)</f>
        <v>1812240</v>
      </c>
      <c r="BB1832" s="246">
        <f>IFERROR(VLOOKUP(L1832,VOL_REC[],2,FALSE),0)</f>
        <v>663244.80000000016</v>
      </c>
      <c r="BC1832" s="246">
        <f>IFERROR(VLOOKUP(M1832,VOL_REC[],2,FALSE),0)</f>
        <v>1072354.9981737854</v>
      </c>
      <c r="BD1832" s="246">
        <f>IFERROR(VLOOKUP(N1832,VOL_REC[],2,FALSE),0)</f>
        <v>740113.98115702497</v>
      </c>
      <c r="BE1832" s="246">
        <f>IFERROR(VLOOKUP(O1832,VOL_REC[],2,FALSE),0)</f>
        <v>0</v>
      </c>
      <c r="BF1832" s="246">
        <f>IFERROR(VLOOKUP(P1832,VOL_REC[],2,FALSE),0)</f>
        <v>0</v>
      </c>
      <c r="BG1832" s="246">
        <f>IFERROR(VLOOKUP(Q1832,VOL_REC[],2,FALSE),0)</f>
        <v>0</v>
      </c>
      <c r="BH1832" s="1710">
        <f t="shared" si="112"/>
        <v>35717864675.706818</v>
      </c>
      <c r="BI1832" s="1710">
        <f t="shared" si="113"/>
        <v>32432978442.869274</v>
      </c>
      <c r="BJ1832" s="1711">
        <f t="shared" si="114"/>
        <v>39094993.108252034</v>
      </c>
      <c r="BK1832" s="1711">
        <f t="shared" si="115"/>
        <v>1.101282287059262</v>
      </c>
      <c r="BL1832">
        <f>BJ1832</f>
        <v>39094993.108252034</v>
      </c>
      <c r="BO1832">
        <f>BL1832</f>
        <v>39094993.108252034</v>
      </c>
    </row>
    <row r="1833" spans="3:67" x14ac:dyDescent="0.25">
      <c r="C1833" s="246" t="s">
        <v>3183</v>
      </c>
      <c r="D1833" s="246">
        <v>1</v>
      </c>
      <c r="E1833" s="246">
        <v>2</v>
      </c>
      <c r="F1833" s="246">
        <v>3</v>
      </c>
      <c r="G1833" s="246">
        <v>4</v>
      </c>
      <c r="H1833" s="246">
        <v>5</v>
      </c>
      <c r="I1833" s="246">
        <v>6</v>
      </c>
      <c r="J1833" s="246">
        <v>9</v>
      </c>
      <c r="K1833" s="246">
        <v>10</v>
      </c>
      <c r="L1833" s="246">
        <v>14</v>
      </c>
      <c r="M1833" s="246">
        <v>15</v>
      </c>
      <c r="N1833" s="246">
        <v>16</v>
      </c>
      <c r="O1833" s="246"/>
      <c r="P1833" s="246"/>
      <c r="Q1833" s="246"/>
      <c r="R1833" s="246">
        <f>IFERROR(VLOOKUP(D1833,PROGRAMAS[],2,FALSE),0)</f>
        <v>97037803.679377079</v>
      </c>
      <c r="S1833" s="246">
        <f>IFERROR(VLOOKUP(E1833,PROGRAMAS[],2,FALSE),0)</f>
        <v>640501509.6821388</v>
      </c>
      <c r="T1833" s="246">
        <f>IFERROR(VLOOKUP(F1833,PROGRAMAS[],2,FALSE),0)</f>
        <v>3062327798.1525245</v>
      </c>
      <c r="U1833" s="246">
        <f>IFERROR(VLOOKUP(G1833,PROGRAMAS[],2,FALSE),0)</f>
        <v>67697118.033011258</v>
      </c>
      <c r="V1833" s="246">
        <f>IFERROR(VLOOKUP(H1833,PROGRAMAS[],2,FALSE),0)</f>
        <v>1440941976.2528784</v>
      </c>
      <c r="W1833" s="246">
        <f>IFERROR(VLOOKUP(I1833,PROGRAMAS[],2,FALSE),0)</f>
        <v>6907648435.8447599</v>
      </c>
      <c r="X1833" s="246">
        <f>IFERROR(VLOOKUP(J1833,PROGRAMAS[],2,FALSE),0)</f>
        <v>6128579952.1618185</v>
      </c>
      <c r="Y1833" s="246">
        <f>IFERROR(VLOOKUP(K1833,PROGRAMAS[],2,FALSE),0)</f>
        <v>4635315027.8751087</v>
      </c>
      <c r="Z1833" s="246">
        <f>IFERROR(VLOOKUP(L1833,PROGRAMAS[],2,FALSE),0)</f>
        <v>54223862.645839565</v>
      </c>
      <c r="AA1833" s="246">
        <f>IFERROR(VLOOKUP(M1833,PROGRAMAS[],2,FALSE),0)</f>
        <v>122159672.96346797</v>
      </c>
      <c r="AB1833" s="246">
        <f>IFERROR(VLOOKUP(N1833,PROGRAMAS[],2,FALSE),0)</f>
        <v>7068496961.0436354</v>
      </c>
      <c r="AC1833" s="246">
        <f>IFERROR(VLOOKUP(O1833,PROGRAMAS[],2,FALSE),0)</f>
        <v>0</v>
      </c>
      <c r="AD1833" s="246">
        <f>IFERROR(VLOOKUP(P1833,PROGRAMAS[],2,FALSE),0)</f>
        <v>0</v>
      </c>
      <c r="AE1833" s="246">
        <f>IFERROR(VLOOKUP(Q1833,PROGRAMAS[],2,FALSE),0)</f>
        <v>0</v>
      </c>
      <c r="AF1833" s="246">
        <f>IFERROR(VLOOKUP(D1833,PROGRAMAS[],3,FALSE),0)</f>
        <v>841888629.31080008</v>
      </c>
      <c r="AG1833" s="246">
        <f>IFERROR(VLOOKUP(E1833,PROGRAMAS[],3,FALSE),0)</f>
        <v>3848980803.1642323</v>
      </c>
      <c r="AH1833" s="246">
        <f>IFERROR(VLOOKUP(F1833,PROGRAMAS[],3,FALSE),0)</f>
        <v>3394901471.387517</v>
      </c>
      <c r="AI1833" s="246">
        <f>IFERROR(VLOOKUP(G1833,PROGRAMAS[],3,FALSE),0)</f>
        <v>125317226.95549992</v>
      </c>
      <c r="AJ1833" s="246">
        <f>IFERROR(VLOOKUP(H1833,PROGRAMAS[],3,FALSE),0)</f>
        <v>1233505101.0616004</v>
      </c>
      <c r="AK1833" s="246">
        <f>IFERROR(VLOOKUP(I1833,PROGRAMAS[],3,FALSE),0)</f>
        <v>6129902208.7912121</v>
      </c>
      <c r="AL1833" s="246">
        <f>IFERROR(VLOOKUP(J1833,PROGRAMAS[],3,FALSE),0)</f>
        <v>7011279577.519702</v>
      </c>
      <c r="AM1833" s="246">
        <f>IFERROR(VLOOKUP(K1833,PROGRAMAS[],3,FALSE),0)</f>
        <v>4099471734.9978786</v>
      </c>
      <c r="AN1833" s="246">
        <f>IFERROR(VLOOKUP(L1833,PROGRAMAS[],3,FALSE),0)</f>
        <v>31865326.38096505</v>
      </c>
      <c r="AO1833" s="246">
        <f>IFERROR(VLOOKUP(M1833,PROGRAMAS[],3,FALSE),0)</f>
        <v>118617452.52510804</v>
      </c>
      <c r="AP1833" s="246">
        <f>IFERROR(VLOOKUP(N1833,PROGRAMAS[],3,FALSE),0)</f>
        <v>2406564599.0319901</v>
      </c>
      <c r="AQ1833" s="246">
        <f>IFERROR(VLOOKUP(O1833,PROGRAMAS[],3,FALSE),0)</f>
        <v>0</v>
      </c>
      <c r="AR1833" s="246">
        <f>IFERROR(VLOOKUP(P1833,PROGRAMAS[],3,FALSE),0)</f>
        <v>0</v>
      </c>
      <c r="AS1833" s="246">
        <f>IFERROR(VLOOKUP(Q1833,PROGRAMAS[],3,FALSE),0)</f>
        <v>0</v>
      </c>
      <c r="AT1833" s="246">
        <f>IFERROR(VLOOKUP(D1833,VOL_REC[],2,FALSE),0)</f>
        <v>0</v>
      </c>
      <c r="AU1833" s="246">
        <f>IFERROR(VLOOKUP(E1833,VOL_REC[],2,FALSE),0)</f>
        <v>0</v>
      </c>
      <c r="AV1833" s="246">
        <f>IFERROR(VLOOKUP(F1833,VOL_REC[],2,FALSE),0)</f>
        <v>11089674.200000001</v>
      </c>
      <c r="AW1833" s="246">
        <f>IFERROR(VLOOKUP(G1833,VOL_REC[],2,FALSE),0)</f>
        <v>90439.55</v>
      </c>
      <c r="AX1833" s="246">
        <f>IFERROR(VLOOKUP(H1833,VOL_REC[],2,FALSE),0)</f>
        <v>4325103.1812214684</v>
      </c>
      <c r="AY1833" s="246">
        <f>IFERROR(VLOOKUP(I1833,VOL_REC[],2,FALSE),0)</f>
        <v>15540036.397699751</v>
      </c>
      <c r="AZ1833" s="246">
        <f>IFERROR(VLOOKUP(J1833,VOL_REC[],2,FALSE),0)</f>
        <v>3761786</v>
      </c>
      <c r="BA1833" s="246">
        <f>IFERROR(VLOOKUP(K1833,VOL_REC[],2,FALSE),0)</f>
        <v>1812240</v>
      </c>
      <c r="BB1833" s="246">
        <f>IFERROR(VLOOKUP(L1833,VOL_REC[],2,FALSE),0)</f>
        <v>17074.045034105649</v>
      </c>
      <c r="BC1833" s="246">
        <f>IFERROR(VLOOKUP(M1833,VOL_REC[],2,FALSE),0)</f>
        <v>105072</v>
      </c>
      <c r="BD1833" s="246">
        <f>IFERROR(VLOOKUP(N1833,VOL_REC[],2,FALSE),0)</f>
        <v>1072354.9981737854</v>
      </c>
      <c r="BE1833" s="246">
        <f>IFERROR(VLOOKUP(O1833,VOL_REC[],2,FALSE),0)</f>
        <v>0</v>
      </c>
      <c r="BF1833" s="246">
        <f>IFERROR(VLOOKUP(P1833,VOL_REC[],2,FALSE),0)</f>
        <v>0</v>
      </c>
      <c r="BG1833" s="246">
        <f>IFERROR(VLOOKUP(Q1833,VOL_REC[],2,FALSE),0)</f>
        <v>0</v>
      </c>
      <c r="BH1833" s="1710">
        <f t="shared" si="112"/>
        <v>30224930118.33456</v>
      </c>
      <c r="BI1833" s="1710">
        <f t="shared" si="113"/>
        <v>29242294131.126507</v>
      </c>
      <c r="BJ1833" s="1711">
        <f t="shared" si="114"/>
        <v>37813780.372129112</v>
      </c>
      <c r="BK1833" s="1711">
        <f t="shared" si="115"/>
        <v>1.033603245449956</v>
      </c>
      <c r="BL1833">
        <f>BJ1833</f>
        <v>37813780.372129112</v>
      </c>
      <c r="BO1833">
        <f>BL1833</f>
        <v>37813780.372129112</v>
      </c>
    </row>
    <row r="1834" spans="3:67" x14ac:dyDescent="0.25">
      <c r="C1834" s="246" t="s">
        <v>3184</v>
      </c>
      <c r="D1834" s="246">
        <v>1</v>
      </c>
      <c r="E1834" s="246">
        <v>2</v>
      </c>
      <c r="F1834" s="246">
        <v>3</v>
      </c>
      <c r="G1834" s="246">
        <v>4</v>
      </c>
      <c r="H1834" s="246">
        <v>5</v>
      </c>
      <c r="I1834" s="246">
        <v>6</v>
      </c>
      <c r="J1834" s="246">
        <v>9</v>
      </c>
      <c r="K1834" s="246">
        <v>10</v>
      </c>
      <c r="L1834" s="246">
        <v>14</v>
      </c>
      <c r="M1834" s="246">
        <v>15</v>
      </c>
      <c r="N1834" s="246">
        <v>17</v>
      </c>
      <c r="O1834" s="246"/>
      <c r="P1834" s="246"/>
      <c r="Q1834" s="246"/>
      <c r="R1834" s="246">
        <f>IFERROR(VLOOKUP(D1834,PROGRAMAS[],2,FALSE),0)</f>
        <v>97037803.679377079</v>
      </c>
      <c r="S1834" s="246">
        <f>IFERROR(VLOOKUP(E1834,PROGRAMAS[],2,FALSE),0)</f>
        <v>640501509.6821388</v>
      </c>
      <c r="T1834" s="246">
        <f>IFERROR(VLOOKUP(F1834,PROGRAMAS[],2,FALSE),0)</f>
        <v>3062327798.1525245</v>
      </c>
      <c r="U1834" s="246">
        <f>IFERROR(VLOOKUP(G1834,PROGRAMAS[],2,FALSE),0)</f>
        <v>67697118.033011258</v>
      </c>
      <c r="V1834" s="246">
        <f>IFERROR(VLOOKUP(H1834,PROGRAMAS[],2,FALSE),0)</f>
        <v>1440941976.2528784</v>
      </c>
      <c r="W1834" s="246">
        <f>IFERROR(VLOOKUP(I1834,PROGRAMAS[],2,FALSE),0)</f>
        <v>6907648435.8447599</v>
      </c>
      <c r="X1834" s="246">
        <f>IFERROR(VLOOKUP(J1834,PROGRAMAS[],2,FALSE),0)</f>
        <v>6128579952.1618185</v>
      </c>
      <c r="Y1834" s="246">
        <f>IFERROR(VLOOKUP(K1834,PROGRAMAS[],2,FALSE),0)</f>
        <v>4635315027.8751087</v>
      </c>
      <c r="Z1834" s="246">
        <f>IFERROR(VLOOKUP(L1834,PROGRAMAS[],2,FALSE),0)</f>
        <v>54223862.645839565</v>
      </c>
      <c r="AA1834" s="246">
        <f>IFERROR(VLOOKUP(M1834,PROGRAMAS[],2,FALSE),0)</f>
        <v>122159672.96346797</v>
      </c>
      <c r="AB1834" s="246">
        <f>IFERROR(VLOOKUP(N1834,PROGRAMAS[],2,FALSE),0)</f>
        <v>1892779498.5211046</v>
      </c>
      <c r="AC1834" s="246">
        <f>IFERROR(VLOOKUP(O1834,PROGRAMAS[],2,FALSE),0)</f>
        <v>0</v>
      </c>
      <c r="AD1834" s="246">
        <f>IFERROR(VLOOKUP(P1834,PROGRAMAS[],2,FALSE),0)</f>
        <v>0</v>
      </c>
      <c r="AE1834" s="246">
        <f>IFERROR(VLOOKUP(Q1834,PROGRAMAS[],2,FALSE),0)</f>
        <v>0</v>
      </c>
      <c r="AF1834" s="246">
        <f>IFERROR(VLOOKUP(D1834,PROGRAMAS[],3,FALSE),0)</f>
        <v>841888629.31080008</v>
      </c>
      <c r="AG1834" s="246">
        <f>IFERROR(VLOOKUP(E1834,PROGRAMAS[],3,FALSE),0)</f>
        <v>3848980803.1642323</v>
      </c>
      <c r="AH1834" s="246">
        <f>IFERROR(VLOOKUP(F1834,PROGRAMAS[],3,FALSE),0)</f>
        <v>3394901471.387517</v>
      </c>
      <c r="AI1834" s="246">
        <f>IFERROR(VLOOKUP(G1834,PROGRAMAS[],3,FALSE),0)</f>
        <v>125317226.95549992</v>
      </c>
      <c r="AJ1834" s="246">
        <f>IFERROR(VLOOKUP(H1834,PROGRAMAS[],3,FALSE),0)</f>
        <v>1233505101.0616004</v>
      </c>
      <c r="AK1834" s="246">
        <f>IFERROR(VLOOKUP(I1834,PROGRAMAS[],3,FALSE),0)</f>
        <v>6129902208.7912121</v>
      </c>
      <c r="AL1834" s="246">
        <f>IFERROR(VLOOKUP(J1834,PROGRAMAS[],3,FALSE),0)</f>
        <v>7011279577.519702</v>
      </c>
      <c r="AM1834" s="246">
        <f>IFERROR(VLOOKUP(K1834,PROGRAMAS[],3,FALSE),0)</f>
        <v>4099471734.9978786</v>
      </c>
      <c r="AN1834" s="246">
        <f>IFERROR(VLOOKUP(L1834,PROGRAMAS[],3,FALSE),0)</f>
        <v>31865326.38096505</v>
      </c>
      <c r="AO1834" s="246">
        <f>IFERROR(VLOOKUP(M1834,PROGRAMAS[],3,FALSE),0)</f>
        <v>118617452.52510804</v>
      </c>
      <c r="AP1834" s="246">
        <f>IFERROR(VLOOKUP(N1834,PROGRAMAS[],3,FALSE),0)</f>
        <v>948595847.09039903</v>
      </c>
      <c r="AQ1834" s="246">
        <f>IFERROR(VLOOKUP(O1834,PROGRAMAS[],3,FALSE),0)</f>
        <v>0</v>
      </c>
      <c r="AR1834" s="246">
        <f>IFERROR(VLOOKUP(P1834,PROGRAMAS[],3,FALSE),0)</f>
        <v>0</v>
      </c>
      <c r="AS1834" s="246">
        <f>IFERROR(VLOOKUP(Q1834,PROGRAMAS[],3,FALSE),0)</f>
        <v>0</v>
      </c>
      <c r="AT1834" s="246">
        <f>IFERROR(VLOOKUP(D1834,VOL_REC[],2,FALSE),0)</f>
        <v>0</v>
      </c>
      <c r="AU1834" s="246">
        <f>IFERROR(VLOOKUP(E1834,VOL_REC[],2,FALSE),0)</f>
        <v>0</v>
      </c>
      <c r="AV1834" s="246">
        <f>IFERROR(VLOOKUP(F1834,VOL_REC[],2,FALSE),0)</f>
        <v>11089674.200000001</v>
      </c>
      <c r="AW1834" s="246">
        <f>IFERROR(VLOOKUP(G1834,VOL_REC[],2,FALSE),0)</f>
        <v>90439.55</v>
      </c>
      <c r="AX1834" s="246">
        <f>IFERROR(VLOOKUP(H1834,VOL_REC[],2,FALSE),0)</f>
        <v>4325103.1812214684</v>
      </c>
      <c r="AY1834" s="246">
        <f>IFERROR(VLOOKUP(I1834,VOL_REC[],2,FALSE),0)</f>
        <v>15540036.397699751</v>
      </c>
      <c r="AZ1834" s="246">
        <f>IFERROR(VLOOKUP(J1834,VOL_REC[],2,FALSE),0)</f>
        <v>3761786</v>
      </c>
      <c r="BA1834" s="246">
        <f>IFERROR(VLOOKUP(K1834,VOL_REC[],2,FALSE),0)</f>
        <v>1812240</v>
      </c>
      <c r="BB1834" s="246">
        <f>IFERROR(VLOOKUP(L1834,VOL_REC[],2,FALSE),0)</f>
        <v>17074.045034105649</v>
      </c>
      <c r="BC1834" s="246">
        <f>IFERROR(VLOOKUP(M1834,VOL_REC[],2,FALSE),0)</f>
        <v>105072</v>
      </c>
      <c r="BD1834" s="246">
        <f>IFERROR(VLOOKUP(N1834,VOL_REC[],2,FALSE),0)</f>
        <v>740113.98115702497</v>
      </c>
      <c r="BE1834" s="246">
        <f>IFERROR(VLOOKUP(O1834,VOL_REC[],2,FALSE),0)</f>
        <v>0</v>
      </c>
      <c r="BF1834" s="246">
        <f>IFERROR(VLOOKUP(P1834,VOL_REC[],2,FALSE),0)</f>
        <v>0</v>
      </c>
      <c r="BG1834" s="246">
        <f>IFERROR(VLOOKUP(Q1834,VOL_REC[],2,FALSE),0)</f>
        <v>0</v>
      </c>
      <c r="BH1834" s="1710">
        <f t="shared" si="112"/>
        <v>25049212655.812027</v>
      </c>
      <c r="BI1834" s="1710">
        <f t="shared" si="113"/>
        <v>27784325379.184917</v>
      </c>
      <c r="BJ1834" s="1711">
        <f t="shared" si="114"/>
        <v>37481539.355112351</v>
      </c>
      <c r="BK1834" s="1711">
        <f t="shared" si="115"/>
        <v>0.9015591458116905</v>
      </c>
    </row>
    <row r="1835" spans="3:67" x14ac:dyDescent="0.25">
      <c r="C1835" s="246" t="s">
        <v>3185</v>
      </c>
      <c r="D1835" s="246">
        <v>1</v>
      </c>
      <c r="E1835" s="246">
        <v>2</v>
      </c>
      <c r="F1835" s="246">
        <v>3</v>
      </c>
      <c r="G1835" s="246">
        <v>4</v>
      </c>
      <c r="H1835" s="246">
        <v>5</v>
      </c>
      <c r="I1835" s="246">
        <v>6</v>
      </c>
      <c r="J1835" s="246">
        <v>9</v>
      </c>
      <c r="K1835" s="246">
        <v>10</v>
      </c>
      <c r="L1835" s="246">
        <v>14</v>
      </c>
      <c r="M1835" s="246">
        <v>16</v>
      </c>
      <c r="N1835" s="246">
        <v>17</v>
      </c>
      <c r="O1835" s="246"/>
      <c r="P1835" s="246"/>
      <c r="Q1835" s="246"/>
      <c r="R1835" s="246">
        <f>IFERROR(VLOOKUP(D1835,PROGRAMAS[],2,FALSE),0)</f>
        <v>97037803.679377079</v>
      </c>
      <c r="S1835" s="246">
        <f>IFERROR(VLOOKUP(E1835,PROGRAMAS[],2,FALSE),0)</f>
        <v>640501509.6821388</v>
      </c>
      <c r="T1835" s="246">
        <f>IFERROR(VLOOKUP(F1835,PROGRAMAS[],2,FALSE),0)</f>
        <v>3062327798.1525245</v>
      </c>
      <c r="U1835" s="246">
        <f>IFERROR(VLOOKUP(G1835,PROGRAMAS[],2,FALSE),0)</f>
        <v>67697118.033011258</v>
      </c>
      <c r="V1835" s="246">
        <f>IFERROR(VLOOKUP(H1835,PROGRAMAS[],2,FALSE),0)</f>
        <v>1440941976.2528784</v>
      </c>
      <c r="W1835" s="246">
        <f>IFERROR(VLOOKUP(I1835,PROGRAMAS[],2,FALSE),0)</f>
        <v>6907648435.8447599</v>
      </c>
      <c r="X1835" s="246">
        <f>IFERROR(VLOOKUP(J1835,PROGRAMAS[],2,FALSE),0)</f>
        <v>6128579952.1618185</v>
      </c>
      <c r="Y1835" s="246">
        <f>IFERROR(VLOOKUP(K1835,PROGRAMAS[],2,FALSE),0)</f>
        <v>4635315027.8751087</v>
      </c>
      <c r="Z1835" s="246">
        <f>IFERROR(VLOOKUP(L1835,PROGRAMAS[],2,FALSE),0)</f>
        <v>54223862.645839565</v>
      </c>
      <c r="AA1835" s="246">
        <f>IFERROR(VLOOKUP(M1835,PROGRAMAS[],2,FALSE),0)</f>
        <v>7068496961.0436354</v>
      </c>
      <c r="AB1835" s="246">
        <f>IFERROR(VLOOKUP(N1835,PROGRAMAS[],2,FALSE),0)</f>
        <v>1892779498.5211046</v>
      </c>
      <c r="AC1835" s="246">
        <f>IFERROR(VLOOKUP(O1835,PROGRAMAS[],2,FALSE),0)</f>
        <v>0</v>
      </c>
      <c r="AD1835" s="246">
        <f>IFERROR(VLOOKUP(P1835,PROGRAMAS[],2,FALSE),0)</f>
        <v>0</v>
      </c>
      <c r="AE1835" s="246">
        <f>IFERROR(VLOOKUP(Q1835,PROGRAMAS[],2,FALSE),0)</f>
        <v>0</v>
      </c>
      <c r="AF1835" s="246">
        <f>IFERROR(VLOOKUP(D1835,PROGRAMAS[],3,FALSE),0)</f>
        <v>841888629.31080008</v>
      </c>
      <c r="AG1835" s="246">
        <f>IFERROR(VLOOKUP(E1835,PROGRAMAS[],3,FALSE),0)</f>
        <v>3848980803.1642323</v>
      </c>
      <c r="AH1835" s="246">
        <f>IFERROR(VLOOKUP(F1835,PROGRAMAS[],3,FALSE),0)</f>
        <v>3394901471.387517</v>
      </c>
      <c r="AI1835" s="246">
        <f>IFERROR(VLOOKUP(G1835,PROGRAMAS[],3,FALSE),0)</f>
        <v>125317226.95549992</v>
      </c>
      <c r="AJ1835" s="246">
        <f>IFERROR(VLOOKUP(H1835,PROGRAMAS[],3,FALSE),0)</f>
        <v>1233505101.0616004</v>
      </c>
      <c r="AK1835" s="246">
        <f>IFERROR(VLOOKUP(I1835,PROGRAMAS[],3,FALSE),0)</f>
        <v>6129902208.7912121</v>
      </c>
      <c r="AL1835" s="246">
        <f>IFERROR(VLOOKUP(J1835,PROGRAMAS[],3,FALSE),0)</f>
        <v>7011279577.519702</v>
      </c>
      <c r="AM1835" s="246">
        <f>IFERROR(VLOOKUP(K1835,PROGRAMAS[],3,FALSE),0)</f>
        <v>4099471734.9978786</v>
      </c>
      <c r="AN1835" s="246">
        <f>IFERROR(VLOOKUP(L1835,PROGRAMAS[],3,FALSE),0)</f>
        <v>31865326.38096505</v>
      </c>
      <c r="AO1835" s="246">
        <f>IFERROR(VLOOKUP(M1835,PROGRAMAS[],3,FALSE),0)</f>
        <v>2406564599.0319901</v>
      </c>
      <c r="AP1835" s="246">
        <f>IFERROR(VLOOKUP(N1835,PROGRAMAS[],3,FALSE),0)</f>
        <v>948595847.09039903</v>
      </c>
      <c r="AQ1835" s="246">
        <f>IFERROR(VLOOKUP(O1835,PROGRAMAS[],3,FALSE),0)</f>
        <v>0</v>
      </c>
      <c r="AR1835" s="246">
        <f>IFERROR(VLOOKUP(P1835,PROGRAMAS[],3,FALSE),0)</f>
        <v>0</v>
      </c>
      <c r="AS1835" s="246">
        <f>IFERROR(VLOOKUP(Q1835,PROGRAMAS[],3,FALSE),0)</f>
        <v>0</v>
      </c>
      <c r="AT1835" s="246">
        <f>IFERROR(VLOOKUP(D1835,VOL_REC[],2,FALSE),0)</f>
        <v>0</v>
      </c>
      <c r="AU1835" s="246">
        <f>IFERROR(VLOOKUP(E1835,VOL_REC[],2,FALSE),0)</f>
        <v>0</v>
      </c>
      <c r="AV1835" s="246">
        <f>IFERROR(VLOOKUP(F1835,VOL_REC[],2,FALSE),0)</f>
        <v>11089674.200000001</v>
      </c>
      <c r="AW1835" s="246">
        <f>IFERROR(VLOOKUP(G1835,VOL_REC[],2,FALSE),0)</f>
        <v>90439.55</v>
      </c>
      <c r="AX1835" s="246">
        <f>IFERROR(VLOOKUP(H1835,VOL_REC[],2,FALSE),0)</f>
        <v>4325103.1812214684</v>
      </c>
      <c r="AY1835" s="246">
        <f>IFERROR(VLOOKUP(I1835,VOL_REC[],2,FALSE),0)</f>
        <v>15540036.397699751</v>
      </c>
      <c r="AZ1835" s="246">
        <f>IFERROR(VLOOKUP(J1835,VOL_REC[],2,FALSE),0)</f>
        <v>3761786</v>
      </c>
      <c r="BA1835" s="246">
        <f>IFERROR(VLOOKUP(K1835,VOL_REC[],2,FALSE),0)</f>
        <v>1812240</v>
      </c>
      <c r="BB1835" s="246">
        <f>IFERROR(VLOOKUP(L1835,VOL_REC[],2,FALSE),0)</f>
        <v>17074.045034105649</v>
      </c>
      <c r="BC1835" s="246">
        <f>IFERROR(VLOOKUP(M1835,VOL_REC[],2,FALSE),0)</f>
        <v>1072354.9981737854</v>
      </c>
      <c r="BD1835" s="246">
        <f>IFERROR(VLOOKUP(N1835,VOL_REC[],2,FALSE),0)</f>
        <v>740113.98115702497</v>
      </c>
      <c r="BE1835" s="246">
        <f>IFERROR(VLOOKUP(O1835,VOL_REC[],2,FALSE),0)</f>
        <v>0</v>
      </c>
      <c r="BF1835" s="246">
        <f>IFERROR(VLOOKUP(P1835,VOL_REC[],2,FALSE),0)</f>
        <v>0</v>
      </c>
      <c r="BG1835" s="246">
        <f>IFERROR(VLOOKUP(Q1835,VOL_REC[],2,FALSE),0)</f>
        <v>0</v>
      </c>
      <c r="BH1835" s="1710">
        <f t="shared" si="112"/>
        <v>31995549943.892197</v>
      </c>
      <c r="BI1835" s="1710">
        <f t="shared" si="113"/>
        <v>30072272525.691799</v>
      </c>
      <c r="BJ1835" s="1711">
        <f t="shared" si="114"/>
        <v>38448822.35328614</v>
      </c>
      <c r="BK1835" s="1711">
        <f t="shared" si="115"/>
        <v>1.0639551738751127</v>
      </c>
      <c r="BL1835">
        <f>BJ1835</f>
        <v>38448822.35328614</v>
      </c>
      <c r="BO1835">
        <f>BL1835</f>
        <v>38448822.35328614</v>
      </c>
    </row>
    <row r="1836" spans="3:67" x14ac:dyDescent="0.25">
      <c r="C1836" s="246" t="s">
        <v>3186</v>
      </c>
      <c r="D1836" s="246">
        <v>1</v>
      </c>
      <c r="E1836" s="246">
        <v>2</v>
      </c>
      <c r="F1836" s="246">
        <v>3</v>
      </c>
      <c r="G1836" s="246">
        <v>4</v>
      </c>
      <c r="H1836" s="246">
        <v>5</v>
      </c>
      <c r="I1836" s="246">
        <v>6</v>
      </c>
      <c r="J1836" s="246">
        <v>9</v>
      </c>
      <c r="K1836" s="246">
        <v>10</v>
      </c>
      <c r="L1836" s="246">
        <v>15</v>
      </c>
      <c r="M1836" s="246">
        <v>16</v>
      </c>
      <c r="N1836" s="246">
        <v>17</v>
      </c>
      <c r="O1836" s="246"/>
      <c r="P1836" s="246"/>
      <c r="Q1836" s="246"/>
      <c r="R1836" s="246">
        <f>IFERROR(VLOOKUP(D1836,PROGRAMAS[],2,FALSE),0)</f>
        <v>97037803.679377079</v>
      </c>
      <c r="S1836" s="246">
        <f>IFERROR(VLOOKUP(E1836,PROGRAMAS[],2,FALSE),0)</f>
        <v>640501509.6821388</v>
      </c>
      <c r="T1836" s="246">
        <f>IFERROR(VLOOKUP(F1836,PROGRAMAS[],2,FALSE),0)</f>
        <v>3062327798.1525245</v>
      </c>
      <c r="U1836" s="246">
        <f>IFERROR(VLOOKUP(G1836,PROGRAMAS[],2,FALSE),0)</f>
        <v>67697118.033011258</v>
      </c>
      <c r="V1836" s="246">
        <f>IFERROR(VLOOKUP(H1836,PROGRAMAS[],2,FALSE),0)</f>
        <v>1440941976.2528784</v>
      </c>
      <c r="W1836" s="246">
        <f>IFERROR(VLOOKUP(I1836,PROGRAMAS[],2,FALSE),0)</f>
        <v>6907648435.8447599</v>
      </c>
      <c r="X1836" s="246">
        <f>IFERROR(VLOOKUP(J1836,PROGRAMAS[],2,FALSE),0)</f>
        <v>6128579952.1618185</v>
      </c>
      <c r="Y1836" s="246">
        <f>IFERROR(VLOOKUP(K1836,PROGRAMAS[],2,FALSE),0)</f>
        <v>4635315027.8751087</v>
      </c>
      <c r="Z1836" s="246">
        <f>IFERROR(VLOOKUP(L1836,PROGRAMAS[],2,FALSE),0)</f>
        <v>122159672.96346797</v>
      </c>
      <c r="AA1836" s="246">
        <f>IFERROR(VLOOKUP(M1836,PROGRAMAS[],2,FALSE),0)</f>
        <v>7068496961.0436354</v>
      </c>
      <c r="AB1836" s="246">
        <f>IFERROR(VLOOKUP(N1836,PROGRAMAS[],2,FALSE),0)</f>
        <v>1892779498.5211046</v>
      </c>
      <c r="AC1836" s="246">
        <f>IFERROR(VLOOKUP(O1836,PROGRAMAS[],2,FALSE),0)</f>
        <v>0</v>
      </c>
      <c r="AD1836" s="246">
        <f>IFERROR(VLOOKUP(P1836,PROGRAMAS[],2,FALSE),0)</f>
        <v>0</v>
      </c>
      <c r="AE1836" s="246">
        <f>IFERROR(VLOOKUP(Q1836,PROGRAMAS[],2,FALSE),0)</f>
        <v>0</v>
      </c>
      <c r="AF1836" s="246">
        <f>IFERROR(VLOOKUP(D1836,PROGRAMAS[],3,FALSE),0)</f>
        <v>841888629.31080008</v>
      </c>
      <c r="AG1836" s="246">
        <f>IFERROR(VLOOKUP(E1836,PROGRAMAS[],3,FALSE),0)</f>
        <v>3848980803.1642323</v>
      </c>
      <c r="AH1836" s="246">
        <f>IFERROR(VLOOKUP(F1836,PROGRAMAS[],3,FALSE),0)</f>
        <v>3394901471.387517</v>
      </c>
      <c r="AI1836" s="246">
        <f>IFERROR(VLOOKUP(G1836,PROGRAMAS[],3,FALSE),0)</f>
        <v>125317226.95549992</v>
      </c>
      <c r="AJ1836" s="246">
        <f>IFERROR(VLOOKUP(H1836,PROGRAMAS[],3,FALSE),0)</f>
        <v>1233505101.0616004</v>
      </c>
      <c r="AK1836" s="246">
        <f>IFERROR(VLOOKUP(I1836,PROGRAMAS[],3,FALSE),0)</f>
        <v>6129902208.7912121</v>
      </c>
      <c r="AL1836" s="246">
        <f>IFERROR(VLOOKUP(J1836,PROGRAMAS[],3,FALSE),0)</f>
        <v>7011279577.519702</v>
      </c>
      <c r="AM1836" s="246">
        <f>IFERROR(VLOOKUP(K1836,PROGRAMAS[],3,FALSE),0)</f>
        <v>4099471734.9978786</v>
      </c>
      <c r="AN1836" s="246">
        <f>IFERROR(VLOOKUP(L1836,PROGRAMAS[],3,FALSE),0)</f>
        <v>118617452.52510804</v>
      </c>
      <c r="AO1836" s="246">
        <f>IFERROR(VLOOKUP(M1836,PROGRAMAS[],3,FALSE),0)</f>
        <v>2406564599.0319901</v>
      </c>
      <c r="AP1836" s="246">
        <f>IFERROR(VLOOKUP(N1836,PROGRAMAS[],3,FALSE),0)</f>
        <v>948595847.09039903</v>
      </c>
      <c r="AQ1836" s="246">
        <f>IFERROR(VLOOKUP(O1836,PROGRAMAS[],3,FALSE),0)</f>
        <v>0</v>
      </c>
      <c r="AR1836" s="246">
        <f>IFERROR(VLOOKUP(P1836,PROGRAMAS[],3,FALSE),0)</f>
        <v>0</v>
      </c>
      <c r="AS1836" s="246">
        <f>IFERROR(VLOOKUP(Q1836,PROGRAMAS[],3,FALSE),0)</f>
        <v>0</v>
      </c>
      <c r="AT1836" s="246">
        <f>IFERROR(VLOOKUP(D1836,VOL_REC[],2,FALSE),0)</f>
        <v>0</v>
      </c>
      <c r="AU1836" s="246">
        <f>IFERROR(VLOOKUP(E1836,VOL_REC[],2,FALSE),0)</f>
        <v>0</v>
      </c>
      <c r="AV1836" s="246">
        <f>IFERROR(VLOOKUP(F1836,VOL_REC[],2,FALSE),0)</f>
        <v>11089674.200000001</v>
      </c>
      <c r="AW1836" s="246">
        <f>IFERROR(VLOOKUP(G1836,VOL_REC[],2,FALSE),0)</f>
        <v>90439.55</v>
      </c>
      <c r="AX1836" s="246">
        <f>IFERROR(VLOOKUP(H1836,VOL_REC[],2,FALSE),0)</f>
        <v>4325103.1812214684</v>
      </c>
      <c r="AY1836" s="246">
        <f>IFERROR(VLOOKUP(I1836,VOL_REC[],2,FALSE),0)</f>
        <v>15540036.397699751</v>
      </c>
      <c r="AZ1836" s="246">
        <f>IFERROR(VLOOKUP(J1836,VOL_REC[],2,FALSE),0)</f>
        <v>3761786</v>
      </c>
      <c r="BA1836" s="246">
        <f>IFERROR(VLOOKUP(K1836,VOL_REC[],2,FALSE),0)</f>
        <v>1812240</v>
      </c>
      <c r="BB1836" s="246">
        <f>IFERROR(VLOOKUP(L1836,VOL_REC[],2,FALSE),0)</f>
        <v>105072</v>
      </c>
      <c r="BC1836" s="246">
        <f>IFERROR(VLOOKUP(M1836,VOL_REC[],2,FALSE),0)</f>
        <v>1072354.9981737854</v>
      </c>
      <c r="BD1836" s="246">
        <f>IFERROR(VLOOKUP(N1836,VOL_REC[],2,FALSE),0)</f>
        <v>740113.98115702497</v>
      </c>
      <c r="BE1836" s="246">
        <f>IFERROR(VLOOKUP(O1836,VOL_REC[],2,FALSE),0)</f>
        <v>0</v>
      </c>
      <c r="BF1836" s="246">
        <f>IFERROR(VLOOKUP(P1836,VOL_REC[],2,FALSE),0)</f>
        <v>0</v>
      </c>
      <c r="BG1836" s="246">
        <f>IFERROR(VLOOKUP(Q1836,VOL_REC[],2,FALSE),0)</f>
        <v>0</v>
      </c>
      <c r="BH1836" s="1710">
        <f t="shared" si="112"/>
        <v>32063485754.209824</v>
      </c>
      <c r="BI1836" s="1710">
        <f t="shared" si="113"/>
        <v>30159024651.835941</v>
      </c>
      <c r="BJ1836" s="1711">
        <f t="shared" si="114"/>
        <v>38536820.308252037</v>
      </c>
      <c r="BK1836" s="1711">
        <f t="shared" si="115"/>
        <v>1.0631473041439339</v>
      </c>
      <c r="BL1836">
        <f>BJ1836</f>
        <v>38536820.308252037</v>
      </c>
      <c r="BO1836">
        <f>BL1836</f>
        <v>38536820.308252037</v>
      </c>
    </row>
    <row r="1837" spans="3:67" x14ac:dyDescent="0.25">
      <c r="C1837" s="246" t="s">
        <v>3187</v>
      </c>
      <c r="D1837" s="246">
        <v>1</v>
      </c>
      <c r="E1837" s="246">
        <v>2</v>
      </c>
      <c r="F1837" s="246">
        <v>3</v>
      </c>
      <c r="G1837" s="246">
        <v>4</v>
      </c>
      <c r="H1837" s="246">
        <v>5</v>
      </c>
      <c r="I1837" s="246">
        <v>6</v>
      </c>
      <c r="J1837" s="246">
        <v>9</v>
      </c>
      <c r="K1837" s="246">
        <v>12</v>
      </c>
      <c r="L1837" s="246">
        <v>13</v>
      </c>
      <c r="M1837" s="246">
        <v>14</v>
      </c>
      <c r="N1837" s="246">
        <v>15</v>
      </c>
      <c r="O1837" s="246"/>
      <c r="P1837" s="246"/>
      <c r="Q1837" s="246"/>
      <c r="R1837" s="246">
        <f>IFERROR(VLOOKUP(D1837,PROGRAMAS[],2,FALSE),0)</f>
        <v>97037803.679377079</v>
      </c>
      <c r="S1837" s="246">
        <f>IFERROR(VLOOKUP(E1837,PROGRAMAS[],2,FALSE),0)</f>
        <v>640501509.6821388</v>
      </c>
      <c r="T1837" s="246">
        <f>IFERROR(VLOOKUP(F1837,PROGRAMAS[],2,FALSE),0)</f>
        <v>3062327798.1525245</v>
      </c>
      <c r="U1837" s="246">
        <f>IFERROR(VLOOKUP(G1837,PROGRAMAS[],2,FALSE),0)</f>
        <v>67697118.033011258</v>
      </c>
      <c r="V1837" s="246">
        <f>IFERROR(VLOOKUP(H1837,PROGRAMAS[],2,FALSE),0)</f>
        <v>1440941976.2528784</v>
      </c>
      <c r="W1837" s="246">
        <f>IFERROR(VLOOKUP(I1837,PROGRAMAS[],2,FALSE),0)</f>
        <v>6907648435.8447599</v>
      </c>
      <c r="X1837" s="246">
        <f>IFERROR(VLOOKUP(J1837,PROGRAMAS[],2,FALSE),0)</f>
        <v>6128579952.1618185</v>
      </c>
      <c r="Y1837" s="246">
        <f>IFERROR(VLOOKUP(K1837,PROGRAMAS[],2,FALSE),0)</f>
        <v>764796700.79905891</v>
      </c>
      <c r="Z1837" s="246">
        <f>IFERROR(VLOOKUP(L1837,PROGRAMAS[],2,FALSE),0)</f>
        <v>3776538594.4604583</v>
      </c>
      <c r="AA1837" s="246">
        <f>IFERROR(VLOOKUP(M1837,PROGRAMAS[],2,FALSE),0)</f>
        <v>54223862.645839565</v>
      </c>
      <c r="AB1837" s="246">
        <f>IFERROR(VLOOKUP(N1837,PROGRAMAS[],2,FALSE),0)</f>
        <v>122159672.96346797</v>
      </c>
      <c r="AC1837" s="246">
        <f>IFERROR(VLOOKUP(O1837,PROGRAMAS[],2,FALSE),0)</f>
        <v>0</v>
      </c>
      <c r="AD1837" s="246">
        <f>IFERROR(VLOOKUP(P1837,PROGRAMAS[],2,FALSE),0)</f>
        <v>0</v>
      </c>
      <c r="AE1837" s="246">
        <f>IFERROR(VLOOKUP(Q1837,PROGRAMAS[],2,FALSE),0)</f>
        <v>0</v>
      </c>
      <c r="AF1837" s="246">
        <f>IFERROR(VLOOKUP(D1837,PROGRAMAS[],3,FALSE),0)</f>
        <v>841888629.31080008</v>
      </c>
      <c r="AG1837" s="246">
        <f>IFERROR(VLOOKUP(E1837,PROGRAMAS[],3,FALSE),0)</f>
        <v>3848980803.1642323</v>
      </c>
      <c r="AH1837" s="246">
        <f>IFERROR(VLOOKUP(F1837,PROGRAMAS[],3,FALSE),0)</f>
        <v>3394901471.387517</v>
      </c>
      <c r="AI1837" s="246">
        <f>IFERROR(VLOOKUP(G1837,PROGRAMAS[],3,FALSE),0)</f>
        <v>125317226.95549992</v>
      </c>
      <c r="AJ1837" s="246">
        <f>IFERROR(VLOOKUP(H1837,PROGRAMAS[],3,FALSE),0)</f>
        <v>1233505101.0616004</v>
      </c>
      <c r="AK1837" s="246">
        <f>IFERROR(VLOOKUP(I1837,PROGRAMAS[],3,FALSE),0)</f>
        <v>6129902208.7912121</v>
      </c>
      <c r="AL1837" s="246">
        <f>IFERROR(VLOOKUP(J1837,PROGRAMAS[],3,FALSE),0)</f>
        <v>7011279577.519702</v>
      </c>
      <c r="AM1837" s="246">
        <f>IFERROR(VLOOKUP(K1837,PROGRAMAS[],3,FALSE),0)</f>
        <v>675517840.109828</v>
      </c>
      <c r="AN1837" s="246">
        <f>IFERROR(VLOOKUP(L1837,PROGRAMAS[],3,FALSE),0)</f>
        <v>2392571243.5584412</v>
      </c>
      <c r="AO1837" s="246">
        <f>IFERROR(VLOOKUP(M1837,PROGRAMAS[],3,FALSE),0)</f>
        <v>31865326.38096505</v>
      </c>
      <c r="AP1837" s="246">
        <f>IFERROR(VLOOKUP(N1837,PROGRAMAS[],3,FALSE),0)</f>
        <v>118617452.52510804</v>
      </c>
      <c r="AQ1837" s="246">
        <f>IFERROR(VLOOKUP(O1837,PROGRAMAS[],3,FALSE),0)</f>
        <v>0</v>
      </c>
      <c r="AR1837" s="246">
        <f>IFERROR(VLOOKUP(P1837,PROGRAMAS[],3,FALSE),0)</f>
        <v>0</v>
      </c>
      <c r="AS1837" s="246">
        <f>IFERROR(VLOOKUP(Q1837,PROGRAMAS[],3,FALSE),0)</f>
        <v>0</v>
      </c>
      <c r="AT1837" s="246">
        <f>IFERROR(VLOOKUP(D1837,VOL_REC[],2,FALSE),0)</f>
        <v>0</v>
      </c>
      <c r="AU1837" s="246">
        <f>IFERROR(VLOOKUP(E1837,VOL_REC[],2,FALSE),0)</f>
        <v>0</v>
      </c>
      <c r="AV1837" s="246">
        <f>IFERROR(VLOOKUP(F1837,VOL_REC[],2,FALSE),0)</f>
        <v>11089674.200000001</v>
      </c>
      <c r="AW1837" s="246">
        <f>IFERROR(VLOOKUP(G1837,VOL_REC[],2,FALSE),0)</f>
        <v>90439.55</v>
      </c>
      <c r="AX1837" s="246">
        <f>IFERROR(VLOOKUP(H1837,VOL_REC[],2,FALSE),0)</f>
        <v>4325103.1812214684</v>
      </c>
      <c r="AY1837" s="246">
        <f>IFERROR(VLOOKUP(I1837,VOL_REC[],2,FALSE),0)</f>
        <v>15540036.397699751</v>
      </c>
      <c r="AZ1837" s="246">
        <f>IFERROR(VLOOKUP(J1837,VOL_REC[],2,FALSE),0)</f>
        <v>3761786</v>
      </c>
      <c r="BA1837" s="246">
        <f>IFERROR(VLOOKUP(K1837,VOL_REC[],2,FALSE),0)</f>
        <v>240696.79238099116</v>
      </c>
      <c r="BB1837" s="246">
        <f>IFERROR(VLOOKUP(L1837,VOL_REC[],2,FALSE),0)</f>
        <v>663244.80000000016</v>
      </c>
      <c r="BC1837" s="246">
        <f>IFERROR(VLOOKUP(M1837,VOL_REC[],2,FALSE),0)</f>
        <v>17074.045034105649</v>
      </c>
      <c r="BD1837" s="246">
        <f>IFERROR(VLOOKUP(N1837,VOL_REC[],2,FALSE),0)</f>
        <v>105072</v>
      </c>
      <c r="BE1837" s="246">
        <f>IFERROR(VLOOKUP(O1837,VOL_REC[],2,FALSE),0)</f>
        <v>0</v>
      </c>
      <c r="BF1837" s="246">
        <f>IFERROR(VLOOKUP(P1837,VOL_REC[],2,FALSE),0)</f>
        <v>0</v>
      </c>
      <c r="BG1837" s="246">
        <f>IFERROR(VLOOKUP(Q1837,VOL_REC[],2,FALSE),0)</f>
        <v>0</v>
      </c>
      <c r="BH1837" s="1710">
        <f t="shared" si="112"/>
        <v>23062453424.675331</v>
      </c>
      <c r="BI1837" s="1710">
        <f t="shared" si="113"/>
        <v>25804346880.764908</v>
      </c>
      <c r="BJ1837" s="1711">
        <f t="shared" si="114"/>
        <v>35833126.96633631</v>
      </c>
      <c r="BK1837" s="1711">
        <f t="shared" si="115"/>
        <v>0.89374296242570506</v>
      </c>
    </row>
    <row r="1838" spans="3:67" x14ac:dyDescent="0.25">
      <c r="C1838" s="246" t="s">
        <v>3188</v>
      </c>
      <c r="D1838" s="246">
        <v>1</v>
      </c>
      <c r="E1838" s="246">
        <v>2</v>
      </c>
      <c r="F1838" s="246">
        <v>3</v>
      </c>
      <c r="G1838" s="246">
        <v>4</v>
      </c>
      <c r="H1838" s="246">
        <v>5</v>
      </c>
      <c r="I1838" s="246">
        <v>6</v>
      </c>
      <c r="J1838" s="246">
        <v>9</v>
      </c>
      <c r="K1838" s="246">
        <v>12</v>
      </c>
      <c r="L1838" s="246">
        <v>13</v>
      </c>
      <c r="M1838" s="246">
        <v>14</v>
      </c>
      <c r="N1838" s="246">
        <v>16</v>
      </c>
      <c r="O1838" s="246"/>
      <c r="P1838" s="246"/>
      <c r="Q1838" s="246"/>
      <c r="R1838" s="246">
        <f>IFERROR(VLOOKUP(D1838,PROGRAMAS[],2,FALSE),0)</f>
        <v>97037803.679377079</v>
      </c>
      <c r="S1838" s="246">
        <f>IFERROR(VLOOKUP(E1838,PROGRAMAS[],2,FALSE),0)</f>
        <v>640501509.6821388</v>
      </c>
      <c r="T1838" s="246">
        <f>IFERROR(VLOOKUP(F1838,PROGRAMAS[],2,FALSE),0)</f>
        <v>3062327798.1525245</v>
      </c>
      <c r="U1838" s="246">
        <f>IFERROR(VLOOKUP(G1838,PROGRAMAS[],2,FALSE),0)</f>
        <v>67697118.033011258</v>
      </c>
      <c r="V1838" s="246">
        <f>IFERROR(VLOOKUP(H1838,PROGRAMAS[],2,FALSE),0)</f>
        <v>1440941976.2528784</v>
      </c>
      <c r="W1838" s="246">
        <f>IFERROR(VLOOKUP(I1838,PROGRAMAS[],2,FALSE),0)</f>
        <v>6907648435.8447599</v>
      </c>
      <c r="X1838" s="246">
        <f>IFERROR(VLOOKUP(J1838,PROGRAMAS[],2,FALSE),0)</f>
        <v>6128579952.1618185</v>
      </c>
      <c r="Y1838" s="246">
        <f>IFERROR(VLOOKUP(K1838,PROGRAMAS[],2,FALSE),0)</f>
        <v>764796700.79905891</v>
      </c>
      <c r="Z1838" s="246">
        <f>IFERROR(VLOOKUP(L1838,PROGRAMAS[],2,FALSE),0)</f>
        <v>3776538594.4604583</v>
      </c>
      <c r="AA1838" s="246">
        <f>IFERROR(VLOOKUP(M1838,PROGRAMAS[],2,FALSE),0)</f>
        <v>54223862.645839565</v>
      </c>
      <c r="AB1838" s="246">
        <f>IFERROR(VLOOKUP(N1838,PROGRAMAS[],2,FALSE),0)</f>
        <v>7068496961.0436354</v>
      </c>
      <c r="AC1838" s="246">
        <f>IFERROR(VLOOKUP(O1838,PROGRAMAS[],2,FALSE),0)</f>
        <v>0</v>
      </c>
      <c r="AD1838" s="246">
        <f>IFERROR(VLOOKUP(P1838,PROGRAMAS[],2,FALSE),0)</f>
        <v>0</v>
      </c>
      <c r="AE1838" s="246">
        <f>IFERROR(VLOOKUP(Q1838,PROGRAMAS[],2,FALSE),0)</f>
        <v>0</v>
      </c>
      <c r="AF1838" s="246">
        <f>IFERROR(VLOOKUP(D1838,PROGRAMAS[],3,FALSE),0)</f>
        <v>841888629.31080008</v>
      </c>
      <c r="AG1838" s="246">
        <f>IFERROR(VLOOKUP(E1838,PROGRAMAS[],3,FALSE),0)</f>
        <v>3848980803.1642323</v>
      </c>
      <c r="AH1838" s="246">
        <f>IFERROR(VLOOKUP(F1838,PROGRAMAS[],3,FALSE),0)</f>
        <v>3394901471.387517</v>
      </c>
      <c r="AI1838" s="246">
        <f>IFERROR(VLOOKUP(G1838,PROGRAMAS[],3,FALSE),0)</f>
        <v>125317226.95549992</v>
      </c>
      <c r="AJ1838" s="246">
        <f>IFERROR(VLOOKUP(H1838,PROGRAMAS[],3,FALSE),0)</f>
        <v>1233505101.0616004</v>
      </c>
      <c r="AK1838" s="246">
        <f>IFERROR(VLOOKUP(I1838,PROGRAMAS[],3,FALSE),0)</f>
        <v>6129902208.7912121</v>
      </c>
      <c r="AL1838" s="246">
        <f>IFERROR(VLOOKUP(J1838,PROGRAMAS[],3,FALSE),0)</f>
        <v>7011279577.519702</v>
      </c>
      <c r="AM1838" s="246">
        <f>IFERROR(VLOOKUP(K1838,PROGRAMAS[],3,FALSE),0)</f>
        <v>675517840.109828</v>
      </c>
      <c r="AN1838" s="246">
        <f>IFERROR(VLOOKUP(L1838,PROGRAMAS[],3,FALSE),0)</f>
        <v>2392571243.5584412</v>
      </c>
      <c r="AO1838" s="246">
        <f>IFERROR(VLOOKUP(M1838,PROGRAMAS[],3,FALSE),0)</f>
        <v>31865326.38096505</v>
      </c>
      <c r="AP1838" s="246">
        <f>IFERROR(VLOOKUP(N1838,PROGRAMAS[],3,FALSE),0)</f>
        <v>2406564599.0319901</v>
      </c>
      <c r="AQ1838" s="246">
        <f>IFERROR(VLOOKUP(O1838,PROGRAMAS[],3,FALSE),0)</f>
        <v>0</v>
      </c>
      <c r="AR1838" s="246">
        <f>IFERROR(VLOOKUP(P1838,PROGRAMAS[],3,FALSE),0)</f>
        <v>0</v>
      </c>
      <c r="AS1838" s="246">
        <f>IFERROR(VLOOKUP(Q1838,PROGRAMAS[],3,FALSE),0)</f>
        <v>0</v>
      </c>
      <c r="AT1838" s="246">
        <f>IFERROR(VLOOKUP(D1838,VOL_REC[],2,FALSE),0)</f>
        <v>0</v>
      </c>
      <c r="AU1838" s="246">
        <f>IFERROR(VLOOKUP(E1838,VOL_REC[],2,FALSE),0)</f>
        <v>0</v>
      </c>
      <c r="AV1838" s="246">
        <f>IFERROR(VLOOKUP(F1838,VOL_REC[],2,FALSE),0)</f>
        <v>11089674.200000001</v>
      </c>
      <c r="AW1838" s="246">
        <f>IFERROR(VLOOKUP(G1838,VOL_REC[],2,FALSE),0)</f>
        <v>90439.55</v>
      </c>
      <c r="AX1838" s="246">
        <f>IFERROR(VLOOKUP(H1838,VOL_REC[],2,FALSE),0)</f>
        <v>4325103.1812214684</v>
      </c>
      <c r="AY1838" s="246">
        <f>IFERROR(VLOOKUP(I1838,VOL_REC[],2,FALSE),0)</f>
        <v>15540036.397699751</v>
      </c>
      <c r="AZ1838" s="246">
        <f>IFERROR(VLOOKUP(J1838,VOL_REC[],2,FALSE),0)</f>
        <v>3761786</v>
      </c>
      <c r="BA1838" s="246">
        <f>IFERROR(VLOOKUP(K1838,VOL_REC[],2,FALSE),0)</f>
        <v>240696.79238099116</v>
      </c>
      <c r="BB1838" s="246">
        <f>IFERROR(VLOOKUP(L1838,VOL_REC[],2,FALSE),0)</f>
        <v>663244.80000000016</v>
      </c>
      <c r="BC1838" s="246">
        <f>IFERROR(VLOOKUP(M1838,VOL_REC[],2,FALSE),0)</f>
        <v>17074.045034105649</v>
      </c>
      <c r="BD1838" s="246">
        <f>IFERROR(VLOOKUP(N1838,VOL_REC[],2,FALSE),0)</f>
        <v>1072354.9981737854</v>
      </c>
      <c r="BE1838" s="246">
        <f>IFERROR(VLOOKUP(O1838,VOL_REC[],2,FALSE),0)</f>
        <v>0</v>
      </c>
      <c r="BF1838" s="246">
        <f>IFERROR(VLOOKUP(P1838,VOL_REC[],2,FALSE),0)</f>
        <v>0</v>
      </c>
      <c r="BG1838" s="246">
        <f>IFERROR(VLOOKUP(Q1838,VOL_REC[],2,FALSE),0)</f>
        <v>0</v>
      </c>
      <c r="BH1838" s="1710">
        <f t="shared" si="112"/>
        <v>30008790712.755501</v>
      </c>
      <c r="BI1838" s="1710">
        <f t="shared" si="113"/>
        <v>28092294027.27179</v>
      </c>
      <c r="BJ1838" s="1711">
        <f t="shared" si="114"/>
        <v>36800409.964510098</v>
      </c>
      <c r="BK1838" s="1711">
        <f t="shared" si="115"/>
        <v>1.0682214376520192</v>
      </c>
      <c r="BL1838">
        <f>BJ1838</f>
        <v>36800409.964510098</v>
      </c>
      <c r="BO1838">
        <f>BL1838</f>
        <v>36800409.964510098</v>
      </c>
    </row>
    <row r="1839" spans="3:67" x14ac:dyDescent="0.25">
      <c r="C1839" s="246" t="s">
        <v>3189</v>
      </c>
      <c r="D1839" s="246">
        <v>1</v>
      </c>
      <c r="E1839" s="246">
        <v>2</v>
      </c>
      <c r="F1839" s="246">
        <v>3</v>
      </c>
      <c r="G1839" s="246">
        <v>4</v>
      </c>
      <c r="H1839" s="246">
        <v>5</v>
      </c>
      <c r="I1839" s="246">
        <v>6</v>
      </c>
      <c r="J1839" s="246">
        <v>9</v>
      </c>
      <c r="K1839" s="246">
        <v>12</v>
      </c>
      <c r="L1839" s="246">
        <v>13</v>
      </c>
      <c r="M1839" s="246">
        <v>14</v>
      </c>
      <c r="N1839" s="246">
        <v>17</v>
      </c>
      <c r="O1839" s="246"/>
      <c r="P1839" s="246"/>
      <c r="Q1839" s="246"/>
      <c r="R1839" s="246">
        <f>IFERROR(VLOOKUP(D1839,PROGRAMAS[],2,FALSE),0)</f>
        <v>97037803.679377079</v>
      </c>
      <c r="S1839" s="246">
        <f>IFERROR(VLOOKUP(E1839,PROGRAMAS[],2,FALSE),0)</f>
        <v>640501509.6821388</v>
      </c>
      <c r="T1839" s="246">
        <f>IFERROR(VLOOKUP(F1839,PROGRAMAS[],2,FALSE),0)</f>
        <v>3062327798.1525245</v>
      </c>
      <c r="U1839" s="246">
        <f>IFERROR(VLOOKUP(G1839,PROGRAMAS[],2,FALSE),0)</f>
        <v>67697118.033011258</v>
      </c>
      <c r="V1839" s="246">
        <f>IFERROR(VLOOKUP(H1839,PROGRAMAS[],2,FALSE),0)</f>
        <v>1440941976.2528784</v>
      </c>
      <c r="W1839" s="246">
        <f>IFERROR(VLOOKUP(I1839,PROGRAMAS[],2,FALSE),0)</f>
        <v>6907648435.8447599</v>
      </c>
      <c r="X1839" s="246">
        <f>IFERROR(VLOOKUP(J1839,PROGRAMAS[],2,FALSE),0)</f>
        <v>6128579952.1618185</v>
      </c>
      <c r="Y1839" s="246">
        <f>IFERROR(VLOOKUP(K1839,PROGRAMAS[],2,FALSE),0)</f>
        <v>764796700.79905891</v>
      </c>
      <c r="Z1839" s="246">
        <f>IFERROR(VLOOKUP(L1839,PROGRAMAS[],2,FALSE),0)</f>
        <v>3776538594.4604583</v>
      </c>
      <c r="AA1839" s="246">
        <f>IFERROR(VLOOKUP(M1839,PROGRAMAS[],2,FALSE),0)</f>
        <v>54223862.645839565</v>
      </c>
      <c r="AB1839" s="246">
        <f>IFERROR(VLOOKUP(N1839,PROGRAMAS[],2,FALSE),0)</f>
        <v>1892779498.5211046</v>
      </c>
      <c r="AC1839" s="246">
        <f>IFERROR(VLOOKUP(O1839,PROGRAMAS[],2,FALSE),0)</f>
        <v>0</v>
      </c>
      <c r="AD1839" s="246">
        <f>IFERROR(VLOOKUP(P1839,PROGRAMAS[],2,FALSE),0)</f>
        <v>0</v>
      </c>
      <c r="AE1839" s="246">
        <f>IFERROR(VLOOKUP(Q1839,PROGRAMAS[],2,FALSE),0)</f>
        <v>0</v>
      </c>
      <c r="AF1839" s="246">
        <f>IFERROR(VLOOKUP(D1839,PROGRAMAS[],3,FALSE),0)</f>
        <v>841888629.31080008</v>
      </c>
      <c r="AG1839" s="246">
        <f>IFERROR(VLOOKUP(E1839,PROGRAMAS[],3,FALSE),0)</f>
        <v>3848980803.1642323</v>
      </c>
      <c r="AH1839" s="246">
        <f>IFERROR(VLOOKUP(F1839,PROGRAMAS[],3,FALSE),0)</f>
        <v>3394901471.387517</v>
      </c>
      <c r="AI1839" s="246">
        <f>IFERROR(VLOOKUP(G1839,PROGRAMAS[],3,FALSE),0)</f>
        <v>125317226.95549992</v>
      </c>
      <c r="AJ1839" s="246">
        <f>IFERROR(VLOOKUP(H1839,PROGRAMAS[],3,FALSE),0)</f>
        <v>1233505101.0616004</v>
      </c>
      <c r="AK1839" s="246">
        <f>IFERROR(VLOOKUP(I1839,PROGRAMAS[],3,FALSE),0)</f>
        <v>6129902208.7912121</v>
      </c>
      <c r="AL1839" s="246">
        <f>IFERROR(VLOOKUP(J1839,PROGRAMAS[],3,FALSE),0)</f>
        <v>7011279577.519702</v>
      </c>
      <c r="AM1839" s="246">
        <f>IFERROR(VLOOKUP(K1839,PROGRAMAS[],3,FALSE),0)</f>
        <v>675517840.109828</v>
      </c>
      <c r="AN1839" s="246">
        <f>IFERROR(VLOOKUP(L1839,PROGRAMAS[],3,FALSE),0)</f>
        <v>2392571243.5584412</v>
      </c>
      <c r="AO1839" s="246">
        <f>IFERROR(VLOOKUP(M1839,PROGRAMAS[],3,FALSE),0)</f>
        <v>31865326.38096505</v>
      </c>
      <c r="AP1839" s="246">
        <f>IFERROR(VLOOKUP(N1839,PROGRAMAS[],3,FALSE),0)</f>
        <v>948595847.09039903</v>
      </c>
      <c r="AQ1839" s="246">
        <f>IFERROR(VLOOKUP(O1839,PROGRAMAS[],3,FALSE),0)</f>
        <v>0</v>
      </c>
      <c r="AR1839" s="246">
        <f>IFERROR(VLOOKUP(P1839,PROGRAMAS[],3,FALSE),0)</f>
        <v>0</v>
      </c>
      <c r="AS1839" s="246">
        <f>IFERROR(VLOOKUP(Q1839,PROGRAMAS[],3,FALSE),0)</f>
        <v>0</v>
      </c>
      <c r="AT1839" s="246">
        <f>IFERROR(VLOOKUP(D1839,VOL_REC[],2,FALSE),0)</f>
        <v>0</v>
      </c>
      <c r="AU1839" s="246">
        <f>IFERROR(VLOOKUP(E1839,VOL_REC[],2,FALSE),0)</f>
        <v>0</v>
      </c>
      <c r="AV1839" s="246">
        <f>IFERROR(VLOOKUP(F1839,VOL_REC[],2,FALSE),0)</f>
        <v>11089674.200000001</v>
      </c>
      <c r="AW1839" s="246">
        <f>IFERROR(VLOOKUP(G1839,VOL_REC[],2,FALSE),0)</f>
        <v>90439.55</v>
      </c>
      <c r="AX1839" s="246">
        <f>IFERROR(VLOOKUP(H1839,VOL_REC[],2,FALSE),0)</f>
        <v>4325103.1812214684</v>
      </c>
      <c r="AY1839" s="246">
        <f>IFERROR(VLOOKUP(I1839,VOL_REC[],2,FALSE),0)</f>
        <v>15540036.397699751</v>
      </c>
      <c r="AZ1839" s="246">
        <f>IFERROR(VLOOKUP(J1839,VOL_REC[],2,FALSE),0)</f>
        <v>3761786</v>
      </c>
      <c r="BA1839" s="246">
        <f>IFERROR(VLOOKUP(K1839,VOL_REC[],2,FALSE),0)</f>
        <v>240696.79238099116</v>
      </c>
      <c r="BB1839" s="246">
        <f>IFERROR(VLOOKUP(L1839,VOL_REC[],2,FALSE),0)</f>
        <v>663244.80000000016</v>
      </c>
      <c r="BC1839" s="246">
        <f>IFERROR(VLOOKUP(M1839,VOL_REC[],2,FALSE),0)</f>
        <v>17074.045034105649</v>
      </c>
      <c r="BD1839" s="246">
        <f>IFERROR(VLOOKUP(N1839,VOL_REC[],2,FALSE),0)</f>
        <v>740113.98115702497</v>
      </c>
      <c r="BE1839" s="246">
        <f>IFERROR(VLOOKUP(O1839,VOL_REC[],2,FALSE),0)</f>
        <v>0</v>
      </c>
      <c r="BF1839" s="246">
        <f>IFERROR(VLOOKUP(P1839,VOL_REC[],2,FALSE),0)</f>
        <v>0</v>
      </c>
      <c r="BG1839" s="246">
        <f>IFERROR(VLOOKUP(Q1839,VOL_REC[],2,FALSE),0)</f>
        <v>0</v>
      </c>
      <c r="BH1839" s="1710">
        <f t="shared" si="112"/>
        <v>24833073250.232967</v>
      </c>
      <c r="BI1839" s="1710">
        <f t="shared" si="113"/>
        <v>26634325275.3302</v>
      </c>
      <c r="BJ1839" s="1711">
        <f t="shared" si="114"/>
        <v>36468168.947493337</v>
      </c>
      <c r="BK1839" s="1711">
        <f t="shared" si="115"/>
        <v>0.93237102849511166</v>
      </c>
    </row>
    <row r="1840" spans="3:67" x14ac:dyDescent="0.25">
      <c r="C1840" s="246" t="s">
        <v>3190</v>
      </c>
      <c r="D1840" s="246">
        <v>1</v>
      </c>
      <c r="E1840" s="246">
        <v>2</v>
      </c>
      <c r="F1840" s="246">
        <v>3</v>
      </c>
      <c r="G1840" s="246">
        <v>4</v>
      </c>
      <c r="H1840" s="246">
        <v>5</v>
      </c>
      <c r="I1840" s="246">
        <v>6</v>
      </c>
      <c r="J1840" s="246">
        <v>9</v>
      </c>
      <c r="K1840" s="246">
        <v>12</v>
      </c>
      <c r="L1840" s="246">
        <v>13</v>
      </c>
      <c r="M1840" s="246">
        <v>15</v>
      </c>
      <c r="N1840" s="246">
        <v>16</v>
      </c>
      <c r="O1840" s="246"/>
      <c r="P1840" s="246"/>
      <c r="Q1840" s="246"/>
      <c r="R1840" s="246">
        <f>IFERROR(VLOOKUP(D1840,PROGRAMAS[],2,FALSE),0)</f>
        <v>97037803.679377079</v>
      </c>
      <c r="S1840" s="246">
        <f>IFERROR(VLOOKUP(E1840,PROGRAMAS[],2,FALSE),0)</f>
        <v>640501509.6821388</v>
      </c>
      <c r="T1840" s="246">
        <f>IFERROR(VLOOKUP(F1840,PROGRAMAS[],2,FALSE),0)</f>
        <v>3062327798.1525245</v>
      </c>
      <c r="U1840" s="246">
        <f>IFERROR(VLOOKUP(G1840,PROGRAMAS[],2,FALSE),0)</f>
        <v>67697118.033011258</v>
      </c>
      <c r="V1840" s="246">
        <f>IFERROR(VLOOKUP(H1840,PROGRAMAS[],2,FALSE),0)</f>
        <v>1440941976.2528784</v>
      </c>
      <c r="W1840" s="246">
        <f>IFERROR(VLOOKUP(I1840,PROGRAMAS[],2,FALSE),0)</f>
        <v>6907648435.8447599</v>
      </c>
      <c r="X1840" s="246">
        <f>IFERROR(VLOOKUP(J1840,PROGRAMAS[],2,FALSE),0)</f>
        <v>6128579952.1618185</v>
      </c>
      <c r="Y1840" s="246">
        <f>IFERROR(VLOOKUP(K1840,PROGRAMAS[],2,FALSE),0)</f>
        <v>764796700.79905891</v>
      </c>
      <c r="Z1840" s="246">
        <f>IFERROR(VLOOKUP(L1840,PROGRAMAS[],2,FALSE),0)</f>
        <v>3776538594.4604583</v>
      </c>
      <c r="AA1840" s="246">
        <f>IFERROR(VLOOKUP(M1840,PROGRAMAS[],2,FALSE),0)</f>
        <v>122159672.96346797</v>
      </c>
      <c r="AB1840" s="246">
        <f>IFERROR(VLOOKUP(N1840,PROGRAMAS[],2,FALSE),0)</f>
        <v>7068496961.0436354</v>
      </c>
      <c r="AC1840" s="246">
        <f>IFERROR(VLOOKUP(O1840,PROGRAMAS[],2,FALSE),0)</f>
        <v>0</v>
      </c>
      <c r="AD1840" s="246">
        <f>IFERROR(VLOOKUP(P1840,PROGRAMAS[],2,FALSE),0)</f>
        <v>0</v>
      </c>
      <c r="AE1840" s="246">
        <f>IFERROR(VLOOKUP(Q1840,PROGRAMAS[],2,FALSE),0)</f>
        <v>0</v>
      </c>
      <c r="AF1840" s="246">
        <f>IFERROR(VLOOKUP(D1840,PROGRAMAS[],3,FALSE),0)</f>
        <v>841888629.31080008</v>
      </c>
      <c r="AG1840" s="246">
        <f>IFERROR(VLOOKUP(E1840,PROGRAMAS[],3,FALSE),0)</f>
        <v>3848980803.1642323</v>
      </c>
      <c r="AH1840" s="246">
        <f>IFERROR(VLOOKUP(F1840,PROGRAMAS[],3,FALSE),0)</f>
        <v>3394901471.387517</v>
      </c>
      <c r="AI1840" s="246">
        <f>IFERROR(VLOOKUP(G1840,PROGRAMAS[],3,FALSE),0)</f>
        <v>125317226.95549992</v>
      </c>
      <c r="AJ1840" s="246">
        <f>IFERROR(VLOOKUP(H1840,PROGRAMAS[],3,FALSE),0)</f>
        <v>1233505101.0616004</v>
      </c>
      <c r="AK1840" s="246">
        <f>IFERROR(VLOOKUP(I1840,PROGRAMAS[],3,FALSE),0)</f>
        <v>6129902208.7912121</v>
      </c>
      <c r="AL1840" s="246">
        <f>IFERROR(VLOOKUP(J1840,PROGRAMAS[],3,FALSE),0)</f>
        <v>7011279577.519702</v>
      </c>
      <c r="AM1840" s="246">
        <f>IFERROR(VLOOKUP(K1840,PROGRAMAS[],3,FALSE),0)</f>
        <v>675517840.109828</v>
      </c>
      <c r="AN1840" s="246">
        <f>IFERROR(VLOOKUP(L1840,PROGRAMAS[],3,FALSE),0)</f>
        <v>2392571243.5584412</v>
      </c>
      <c r="AO1840" s="246">
        <f>IFERROR(VLOOKUP(M1840,PROGRAMAS[],3,FALSE),0)</f>
        <v>118617452.52510804</v>
      </c>
      <c r="AP1840" s="246">
        <f>IFERROR(VLOOKUP(N1840,PROGRAMAS[],3,FALSE),0)</f>
        <v>2406564599.0319901</v>
      </c>
      <c r="AQ1840" s="246">
        <f>IFERROR(VLOOKUP(O1840,PROGRAMAS[],3,FALSE),0)</f>
        <v>0</v>
      </c>
      <c r="AR1840" s="246">
        <f>IFERROR(VLOOKUP(P1840,PROGRAMAS[],3,FALSE),0)</f>
        <v>0</v>
      </c>
      <c r="AS1840" s="246">
        <f>IFERROR(VLOOKUP(Q1840,PROGRAMAS[],3,FALSE),0)</f>
        <v>0</v>
      </c>
      <c r="AT1840" s="246">
        <f>IFERROR(VLOOKUP(D1840,VOL_REC[],2,FALSE),0)</f>
        <v>0</v>
      </c>
      <c r="AU1840" s="246">
        <f>IFERROR(VLOOKUP(E1840,VOL_REC[],2,FALSE),0)</f>
        <v>0</v>
      </c>
      <c r="AV1840" s="246">
        <f>IFERROR(VLOOKUP(F1840,VOL_REC[],2,FALSE),0)</f>
        <v>11089674.200000001</v>
      </c>
      <c r="AW1840" s="246">
        <f>IFERROR(VLOOKUP(G1840,VOL_REC[],2,FALSE),0)</f>
        <v>90439.55</v>
      </c>
      <c r="AX1840" s="246">
        <f>IFERROR(VLOOKUP(H1840,VOL_REC[],2,FALSE),0)</f>
        <v>4325103.1812214684</v>
      </c>
      <c r="AY1840" s="246">
        <f>IFERROR(VLOOKUP(I1840,VOL_REC[],2,FALSE),0)</f>
        <v>15540036.397699751</v>
      </c>
      <c r="AZ1840" s="246">
        <f>IFERROR(VLOOKUP(J1840,VOL_REC[],2,FALSE),0)</f>
        <v>3761786</v>
      </c>
      <c r="BA1840" s="246">
        <f>IFERROR(VLOOKUP(K1840,VOL_REC[],2,FALSE),0)</f>
        <v>240696.79238099116</v>
      </c>
      <c r="BB1840" s="246">
        <f>IFERROR(VLOOKUP(L1840,VOL_REC[],2,FALSE),0)</f>
        <v>663244.80000000016</v>
      </c>
      <c r="BC1840" s="246">
        <f>IFERROR(VLOOKUP(M1840,VOL_REC[],2,FALSE),0)</f>
        <v>105072</v>
      </c>
      <c r="BD1840" s="246">
        <f>IFERROR(VLOOKUP(N1840,VOL_REC[],2,FALSE),0)</f>
        <v>1072354.9981737854</v>
      </c>
      <c r="BE1840" s="246">
        <f>IFERROR(VLOOKUP(O1840,VOL_REC[],2,FALSE),0)</f>
        <v>0</v>
      </c>
      <c r="BF1840" s="246">
        <f>IFERROR(VLOOKUP(P1840,VOL_REC[],2,FALSE),0)</f>
        <v>0</v>
      </c>
      <c r="BG1840" s="246">
        <f>IFERROR(VLOOKUP(Q1840,VOL_REC[],2,FALSE),0)</f>
        <v>0</v>
      </c>
      <c r="BH1840" s="1710">
        <f t="shared" si="112"/>
        <v>30076726523.073128</v>
      </c>
      <c r="BI1840" s="1710">
        <f t="shared" si="113"/>
        <v>28179046153.415932</v>
      </c>
      <c r="BJ1840" s="1711">
        <f t="shared" si="114"/>
        <v>36888407.919475995</v>
      </c>
      <c r="BK1840" s="1711">
        <f t="shared" si="115"/>
        <v>1.0673436694530256</v>
      </c>
      <c r="BL1840">
        <f>BJ1840</f>
        <v>36888407.919475995</v>
      </c>
      <c r="BO1840">
        <f>BL1840</f>
        <v>36888407.919475995</v>
      </c>
    </row>
    <row r="1841" spans="3:67" x14ac:dyDescent="0.25">
      <c r="C1841" s="246" t="s">
        <v>3191</v>
      </c>
      <c r="D1841" s="246">
        <v>1</v>
      </c>
      <c r="E1841" s="246">
        <v>2</v>
      </c>
      <c r="F1841" s="246">
        <v>3</v>
      </c>
      <c r="G1841" s="246">
        <v>4</v>
      </c>
      <c r="H1841" s="246">
        <v>5</v>
      </c>
      <c r="I1841" s="246">
        <v>6</v>
      </c>
      <c r="J1841" s="246">
        <v>9</v>
      </c>
      <c r="K1841" s="246">
        <v>12</v>
      </c>
      <c r="L1841" s="246">
        <v>13</v>
      </c>
      <c r="M1841" s="246">
        <v>15</v>
      </c>
      <c r="N1841" s="246">
        <v>17</v>
      </c>
      <c r="O1841" s="246"/>
      <c r="P1841" s="246"/>
      <c r="Q1841" s="246"/>
      <c r="R1841" s="246">
        <f>IFERROR(VLOOKUP(D1841,PROGRAMAS[],2,FALSE),0)</f>
        <v>97037803.679377079</v>
      </c>
      <c r="S1841" s="246">
        <f>IFERROR(VLOOKUP(E1841,PROGRAMAS[],2,FALSE),0)</f>
        <v>640501509.6821388</v>
      </c>
      <c r="T1841" s="246">
        <f>IFERROR(VLOOKUP(F1841,PROGRAMAS[],2,FALSE),0)</f>
        <v>3062327798.1525245</v>
      </c>
      <c r="U1841" s="246">
        <f>IFERROR(VLOOKUP(G1841,PROGRAMAS[],2,FALSE),0)</f>
        <v>67697118.033011258</v>
      </c>
      <c r="V1841" s="246">
        <f>IFERROR(VLOOKUP(H1841,PROGRAMAS[],2,FALSE),0)</f>
        <v>1440941976.2528784</v>
      </c>
      <c r="W1841" s="246">
        <f>IFERROR(VLOOKUP(I1841,PROGRAMAS[],2,FALSE),0)</f>
        <v>6907648435.8447599</v>
      </c>
      <c r="X1841" s="246">
        <f>IFERROR(VLOOKUP(J1841,PROGRAMAS[],2,FALSE),0)</f>
        <v>6128579952.1618185</v>
      </c>
      <c r="Y1841" s="246">
        <f>IFERROR(VLOOKUP(K1841,PROGRAMAS[],2,FALSE),0)</f>
        <v>764796700.79905891</v>
      </c>
      <c r="Z1841" s="246">
        <f>IFERROR(VLOOKUP(L1841,PROGRAMAS[],2,FALSE),0)</f>
        <v>3776538594.4604583</v>
      </c>
      <c r="AA1841" s="246">
        <f>IFERROR(VLOOKUP(M1841,PROGRAMAS[],2,FALSE),0)</f>
        <v>122159672.96346797</v>
      </c>
      <c r="AB1841" s="246">
        <f>IFERROR(VLOOKUP(N1841,PROGRAMAS[],2,FALSE),0)</f>
        <v>1892779498.5211046</v>
      </c>
      <c r="AC1841" s="246">
        <f>IFERROR(VLOOKUP(O1841,PROGRAMAS[],2,FALSE),0)</f>
        <v>0</v>
      </c>
      <c r="AD1841" s="246">
        <f>IFERROR(VLOOKUP(P1841,PROGRAMAS[],2,FALSE),0)</f>
        <v>0</v>
      </c>
      <c r="AE1841" s="246">
        <f>IFERROR(VLOOKUP(Q1841,PROGRAMAS[],2,FALSE),0)</f>
        <v>0</v>
      </c>
      <c r="AF1841" s="246">
        <f>IFERROR(VLOOKUP(D1841,PROGRAMAS[],3,FALSE),0)</f>
        <v>841888629.31080008</v>
      </c>
      <c r="AG1841" s="246">
        <f>IFERROR(VLOOKUP(E1841,PROGRAMAS[],3,FALSE),0)</f>
        <v>3848980803.1642323</v>
      </c>
      <c r="AH1841" s="246">
        <f>IFERROR(VLOOKUP(F1841,PROGRAMAS[],3,FALSE),0)</f>
        <v>3394901471.387517</v>
      </c>
      <c r="AI1841" s="246">
        <f>IFERROR(VLOOKUP(G1841,PROGRAMAS[],3,FALSE),0)</f>
        <v>125317226.95549992</v>
      </c>
      <c r="AJ1841" s="246">
        <f>IFERROR(VLOOKUP(H1841,PROGRAMAS[],3,FALSE),0)</f>
        <v>1233505101.0616004</v>
      </c>
      <c r="AK1841" s="246">
        <f>IFERROR(VLOOKUP(I1841,PROGRAMAS[],3,FALSE),0)</f>
        <v>6129902208.7912121</v>
      </c>
      <c r="AL1841" s="246">
        <f>IFERROR(VLOOKUP(J1841,PROGRAMAS[],3,FALSE),0)</f>
        <v>7011279577.519702</v>
      </c>
      <c r="AM1841" s="246">
        <f>IFERROR(VLOOKUP(K1841,PROGRAMAS[],3,FALSE),0)</f>
        <v>675517840.109828</v>
      </c>
      <c r="AN1841" s="246">
        <f>IFERROR(VLOOKUP(L1841,PROGRAMAS[],3,FALSE),0)</f>
        <v>2392571243.5584412</v>
      </c>
      <c r="AO1841" s="246">
        <f>IFERROR(VLOOKUP(M1841,PROGRAMAS[],3,FALSE),0)</f>
        <v>118617452.52510804</v>
      </c>
      <c r="AP1841" s="246">
        <f>IFERROR(VLOOKUP(N1841,PROGRAMAS[],3,FALSE),0)</f>
        <v>948595847.09039903</v>
      </c>
      <c r="AQ1841" s="246">
        <f>IFERROR(VLOOKUP(O1841,PROGRAMAS[],3,FALSE),0)</f>
        <v>0</v>
      </c>
      <c r="AR1841" s="246">
        <f>IFERROR(VLOOKUP(P1841,PROGRAMAS[],3,FALSE),0)</f>
        <v>0</v>
      </c>
      <c r="AS1841" s="246">
        <f>IFERROR(VLOOKUP(Q1841,PROGRAMAS[],3,FALSE),0)</f>
        <v>0</v>
      </c>
      <c r="AT1841" s="246">
        <f>IFERROR(VLOOKUP(D1841,VOL_REC[],2,FALSE),0)</f>
        <v>0</v>
      </c>
      <c r="AU1841" s="246">
        <f>IFERROR(VLOOKUP(E1841,VOL_REC[],2,FALSE),0)</f>
        <v>0</v>
      </c>
      <c r="AV1841" s="246">
        <f>IFERROR(VLOOKUP(F1841,VOL_REC[],2,FALSE),0)</f>
        <v>11089674.200000001</v>
      </c>
      <c r="AW1841" s="246">
        <f>IFERROR(VLOOKUP(G1841,VOL_REC[],2,FALSE),0)</f>
        <v>90439.55</v>
      </c>
      <c r="AX1841" s="246">
        <f>IFERROR(VLOOKUP(H1841,VOL_REC[],2,FALSE),0)</f>
        <v>4325103.1812214684</v>
      </c>
      <c r="AY1841" s="246">
        <f>IFERROR(VLOOKUP(I1841,VOL_REC[],2,FALSE),0)</f>
        <v>15540036.397699751</v>
      </c>
      <c r="AZ1841" s="246">
        <f>IFERROR(VLOOKUP(J1841,VOL_REC[],2,FALSE),0)</f>
        <v>3761786</v>
      </c>
      <c r="BA1841" s="246">
        <f>IFERROR(VLOOKUP(K1841,VOL_REC[],2,FALSE),0)</f>
        <v>240696.79238099116</v>
      </c>
      <c r="BB1841" s="246">
        <f>IFERROR(VLOOKUP(L1841,VOL_REC[],2,FALSE),0)</f>
        <v>663244.80000000016</v>
      </c>
      <c r="BC1841" s="246">
        <f>IFERROR(VLOOKUP(M1841,VOL_REC[],2,FALSE),0)</f>
        <v>105072</v>
      </c>
      <c r="BD1841" s="246">
        <f>IFERROR(VLOOKUP(N1841,VOL_REC[],2,FALSE),0)</f>
        <v>740113.98115702497</v>
      </c>
      <c r="BE1841" s="246">
        <f>IFERROR(VLOOKUP(O1841,VOL_REC[],2,FALSE),0)</f>
        <v>0</v>
      </c>
      <c r="BF1841" s="246">
        <f>IFERROR(VLOOKUP(P1841,VOL_REC[],2,FALSE),0)</f>
        <v>0</v>
      </c>
      <c r="BG1841" s="246">
        <f>IFERROR(VLOOKUP(Q1841,VOL_REC[],2,FALSE),0)</f>
        <v>0</v>
      </c>
      <c r="BH1841" s="1710">
        <f t="shared" si="112"/>
        <v>24901009060.550594</v>
      </c>
      <c r="BI1841" s="1710">
        <f t="shared" si="113"/>
        <v>26721077401.474342</v>
      </c>
      <c r="BJ1841" s="1711">
        <f t="shared" si="114"/>
        <v>36556166.902459234</v>
      </c>
      <c r="BK1841" s="1711">
        <f t="shared" si="115"/>
        <v>0.93188641634549796</v>
      </c>
    </row>
    <row r="1842" spans="3:67" x14ac:dyDescent="0.25">
      <c r="C1842" s="246" t="s">
        <v>3192</v>
      </c>
      <c r="D1842" s="246">
        <v>1</v>
      </c>
      <c r="E1842" s="246">
        <v>2</v>
      </c>
      <c r="F1842" s="246">
        <v>3</v>
      </c>
      <c r="G1842" s="246">
        <v>4</v>
      </c>
      <c r="H1842" s="246">
        <v>5</v>
      </c>
      <c r="I1842" s="246">
        <v>6</v>
      </c>
      <c r="J1842" s="246">
        <v>9</v>
      </c>
      <c r="K1842" s="246">
        <v>12</v>
      </c>
      <c r="L1842" s="246">
        <v>13</v>
      </c>
      <c r="M1842" s="246">
        <v>16</v>
      </c>
      <c r="N1842" s="246">
        <v>17</v>
      </c>
      <c r="O1842" s="246"/>
      <c r="P1842" s="246"/>
      <c r="Q1842" s="246"/>
      <c r="R1842" s="246">
        <f>IFERROR(VLOOKUP(D1842,PROGRAMAS[],2,FALSE),0)</f>
        <v>97037803.679377079</v>
      </c>
      <c r="S1842" s="246">
        <f>IFERROR(VLOOKUP(E1842,PROGRAMAS[],2,FALSE),0)</f>
        <v>640501509.6821388</v>
      </c>
      <c r="T1842" s="246">
        <f>IFERROR(VLOOKUP(F1842,PROGRAMAS[],2,FALSE),0)</f>
        <v>3062327798.1525245</v>
      </c>
      <c r="U1842" s="246">
        <f>IFERROR(VLOOKUP(G1842,PROGRAMAS[],2,FALSE),0)</f>
        <v>67697118.033011258</v>
      </c>
      <c r="V1842" s="246">
        <f>IFERROR(VLOOKUP(H1842,PROGRAMAS[],2,FALSE),0)</f>
        <v>1440941976.2528784</v>
      </c>
      <c r="W1842" s="246">
        <f>IFERROR(VLOOKUP(I1842,PROGRAMAS[],2,FALSE),0)</f>
        <v>6907648435.8447599</v>
      </c>
      <c r="X1842" s="246">
        <f>IFERROR(VLOOKUP(J1842,PROGRAMAS[],2,FALSE),0)</f>
        <v>6128579952.1618185</v>
      </c>
      <c r="Y1842" s="246">
        <f>IFERROR(VLOOKUP(K1842,PROGRAMAS[],2,FALSE),0)</f>
        <v>764796700.79905891</v>
      </c>
      <c r="Z1842" s="246">
        <f>IFERROR(VLOOKUP(L1842,PROGRAMAS[],2,FALSE),0)</f>
        <v>3776538594.4604583</v>
      </c>
      <c r="AA1842" s="246">
        <f>IFERROR(VLOOKUP(M1842,PROGRAMAS[],2,FALSE),0)</f>
        <v>7068496961.0436354</v>
      </c>
      <c r="AB1842" s="246">
        <f>IFERROR(VLOOKUP(N1842,PROGRAMAS[],2,FALSE),0)</f>
        <v>1892779498.5211046</v>
      </c>
      <c r="AC1842" s="246">
        <f>IFERROR(VLOOKUP(O1842,PROGRAMAS[],2,FALSE),0)</f>
        <v>0</v>
      </c>
      <c r="AD1842" s="246">
        <f>IFERROR(VLOOKUP(P1842,PROGRAMAS[],2,FALSE),0)</f>
        <v>0</v>
      </c>
      <c r="AE1842" s="246">
        <f>IFERROR(VLOOKUP(Q1842,PROGRAMAS[],2,FALSE),0)</f>
        <v>0</v>
      </c>
      <c r="AF1842" s="246">
        <f>IFERROR(VLOOKUP(D1842,PROGRAMAS[],3,FALSE),0)</f>
        <v>841888629.31080008</v>
      </c>
      <c r="AG1842" s="246">
        <f>IFERROR(VLOOKUP(E1842,PROGRAMAS[],3,FALSE),0)</f>
        <v>3848980803.1642323</v>
      </c>
      <c r="AH1842" s="246">
        <f>IFERROR(VLOOKUP(F1842,PROGRAMAS[],3,FALSE),0)</f>
        <v>3394901471.387517</v>
      </c>
      <c r="AI1842" s="246">
        <f>IFERROR(VLOOKUP(G1842,PROGRAMAS[],3,FALSE),0)</f>
        <v>125317226.95549992</v>
      </c>
      <c r="AJ1842" s="246">
        <f>IFERROR(VLOOKUP(H1842,PROGRAMAS[],3,FALSE),0)</f>
        <v>1233505101.0616004</v>
      </c>
      <c r="AK1842" s="246">
        <f>IFERROR(VLOOKUP(I1842,PROGRAMAS[],3,FALSE),0)</f>
        <v>6129902208.7912121</v>
      </c>
      <c r="AL1842" s="246">
        <f>IFERROR(VLOOKUP(J1842,PROGRAMAS[],3,FALSE),0)</f>
        <v>7011279577.519702</v>
      </c>
      <c r="AM1842" s="246">
        <f>IFERROR(VLOOKUP(K1842,PROGRAMAS[],3,FALSE),0)</f>
        <v>675517840.109828</v>
      </c>
      <c r="AN1842" s="246">
        <f>IFERROR(VLOOKUP(L1842,PROGRAMAS[],3,FALSE),0)</f>
        <v>2392571243.5584412</v>
      </c>
      <c r="AO1842" s="246">
        <f>IFERROR(VLOOKUP(M1842,PROGRAMAS[],3,FALSE),0)</f>
        <v>2406564599.0319901</v>
      </c>
      <c r="AP1842" s="246">
        <f>IFERROR(VLOOKUP(N1842,PROGRAMAS[],3,FALSE),0)</f>
        <v>948595847.09039903</v>
      </c>
      <c r="AQ1842" s="246">
        <f>IFERROR(VLOOKUP(O1842,PROGRAMAS[],3,FALSE),0)</f>
        <v>0</v>
      </c>
      <c r="AR1842" s="246">
        <f>IFERROR(VLOOKUP(P1842,PROGRAMAS[],3,FALSE),0)</f>
        <v>0</v>
      </c>
      <c r="AS1842" s="246">
        <f>IFERROR(VLOOKUP(Q1842,PROGRAMAS[],3,FALSE),0)</f>
        <v>0</v>
      </c>
      <c r="AT1842" s="246">
        <f>IFERROR(VLOOKUP(D1842,VOL_REC[],2,FALSE),0)</f>
        <v>0</v>
      </c>
      <c r="AU1842" s="246">
        <f>IFERROR(VLOOKUP(E1842,VOL_REC[],2,FALSE),0)</f>
        <v>0</v>
      </c>
      <c r="AV1842" s="246">
        <f>IFERROR(VLOOKUP(F1842,VOL_REC[],2,FALSE),0)</f>
        <v>11089674.200000001</v>
      </c>
      <c r="AW1842" s="246">
        <f>IFERROR(VLOOKUP(G1842,VOL_REC[],2,FALSE),0)</f>
        <v>90439.55</v>
      </c>
      <c r="AX1842" s="246">
        <f>IFERROR(VLOOKUP(H1842,VOL_REC[],2,FALSE),0)</f>
        <v>4325103.1812214684</v>
      </c>
      <c r="AY1842" s="246">
        <f>IFERROR(VLOOKUP(I1842,VOL_REC[],2,FALSE),0)</f>
        <v>15540036.397699751</v>
      </c>
      <c r="AZ1842" s="246">
        <f>IFERROR(VLOOKUP(J1842,VOL_REC[],2,FALSE),0)</f>
        <v>3761786</v>
      </c>
      <c r="BA1842" s="246">
        <f>IFERROR(VLOOKUP(K1842,VOL_REC[],2,FALSE),0)</f>
        <v>240696.79238099116</v>
      </c>
      <c r="BB1842" s="246">
        <f>IFERROR(VLOOKUP(L1842,VOL_REC[],2,FALSE),0)</f>
        <v>663244.80000000016</v>
      </c>
      <c r="BC1842" s="246">
        <f>IFERROR(VLOOKUP(M1842,VOL_REC[],2,FALSE),0)</f>
        <v>1072354.9981737854</v>
      </c>
      <c r="BD1842" s="246">
        <f>IFERROR(VLOOKUP(N1842,VOL_REC[],2,FALSE),0)</f>
        <v>740113.98115702497</v>
      </c>
      <c r="BE1842" s="246">
        <f>IFERROR(VLOOKUP(O1842,VOL_REC[],2,FALSE),0)</f>
        <v>0</v>
      </c>
      <c r="BF1842" s="246">
        <f>IFERROR(VLOOKUP(P1842,VOL_REC[],2,FALSE),0)</f>
        <v>0</v>
      </c>
      <c r="BG1842" s="246">
        <f>IFERROR(VLOOKUP(Q1842,VOL_REC[],2,FALSE),0)</f>
        <v>0</v>
      </c>
      <c r="BH1842" s="1710">
        <f t="shared" si="112"/>
        <v>31847346348.630764</v>
      </c>
      <c r="BI1842" s="1710">
        <f t="shared" si="113"/>
        <v>29009024547.981224</v>
      </c>
      <c r="BJ1842" s="1711">
        <f t="shared" si="114"/>
        <v>37523449.900633022</v>
      </c>
      <c r="BK1842" s="1711">
        <f t="shared" si="115"/>
        <v>1.0978427177361627</v>
      </c>
      <c r="BL1842">
        <f>BJ1842</f>
        <v>37523449.900633022</v>
      </c>
      <c r="BO1842">
        <f>BL1842</f>
        <v>37523449.900633022</v>
      </c>
    </row>
    <row r="1843" spans="3:67" x14ac:dyDescent="0.25">
      <c r="C1843" s="246" t="s">
        <v>3193</v>
      </c>
      <c r="D1843" s="246">
        <v>1</v>
      </c>
      <c r="E1843" s="246">
        <v>2</v>
      </c>
      <c r="F1843" s="246">
        <v>3</v>
      </c>
      <c r="G1843" s="246">
        <v>4</v>
      </c>
      <c r="H1843" s="246">
        <v>5</v>
      </c>
      <c r="I1843" s="246">
        <v>6</v>
      </c>
      <c r="J1843" s="246">
        <v>9</v>
      </c>
      <c r="K1843" s="246">
        <v>12</v>
      </c>
      <c r="L1843" s="246">
        <v>14</v>
      </c>
      <c r="M1843" s="246">
        <v>15</v>
      </c>
      <c r="N1843" s="246">
        <v>16</v>
      </c>
      <c r="O1843" s="246"/>
      <c r="P1843" s="246"/>
      <c r="Q1843" s="246"/>
      <c r="R1843" s="246">
        <f>IFERROR(VLOOKUP(D1843,PROGRAMAS[],2,FALSE),0)</f>
        <v>97037803.679377079</v>
      </c>
      <c r="S1843" s="246">
        <f>IFERROR(VLOOKUP(E1843,PROGRAMAS[],2,FALSE),0)</f>
        <v>640501509.6821388</v>
      </c>
      <c r="T1843" s="246">
        <f>IFERROR(VLOOKUP(F1843,PROGRAMAS[],2,FALSE),0)</f>
        <v>3062327798.1525245</v>
      </c>
      <c r="U1843" s="246">
        <f>IFERROR(VLOOKUP(G1843,PROGRAMAS[],2,FALSE),0)</f>
        <v>67697118.033011258</v>
      </c>
      <c r="V1843" s="246">
        <f>IFERROR(VLOOKUP(H1843,PROGRAMAS[],2,FALSE),0)</f>
        <v>1440941976.2528784</v>
      </c>
      <c r="W1843" s="246">
        <f>IFERROR(VLOOKUP(I1843,PROGRAMAS[],2,FALSE),0)</f>
        <v>6907648435.8447599</v>
      </c>
      <c r="X1843" s="246">
        <f>IFERROR(VLOOKUP(J1843,PROGRAMAS[],2,FALSE),0)</f>
        <v>6128579952.1618185</v>
      </c>
      <c r="Y1843" s="246">
        <f>IFERROR(VLOOKUP(K1843,PROGRAMAS[],2,FALSE),0)</f>
        <v>764796700.79905891</v>
      </c>
      <c r="Z1843" s="246">
        <f>IFERROR(VLOOKUP(L1843,PROGRAMAS[],2,FALSE),0)</f>
        <v>54223862.645839565</v>
      </c>
      <c r="AA1843" s="246">
        <f>IFERROR(VLOOKUP(M1843,PROGRAMAS[],2,FALSE),0)</f>
        <v>122159672.96346797</v>
      </c>
      <c r="AB1843" s="246">
        <f>IFERROR(VLOOKUP(N1843,PROGRAMAS[],2,FALSE),0)</f>
        <v>7068496961.0436354</v>
      </c>
      <c r="AC1843" s="246">
        <f>IFERROR(VLOOKUP(O1843,PROGRAMAS[],2,FALSE),0)</f>
        <v>0</v>
      </c>
      <c r="AD1843" s="246">
        <f>IFERROR(VLOOKUP(P1843,PROGRAMAS[],2,FALSE),0)</f>
        <v>0</v>
      </c>
      <c r="AE1843" s="246">
        <f>IFERROR(VLOOKUP(Q1843,PROGRAMAS[],2,FALSE),0)</f>
        <v>0</v>
      </c>
      <c r="AF1843" s="246">
        <f>IFERROR(VLOOKUP(D1843,PROGRAMAS[],3,FALSE),0)</f>
        <v>841888629.31080008</v>
      </c>
      <c r="AG1843" s="246">
        <f>IFERROR(VLOOKUP(E1843,PROGRAMAS[],3,FALSE),0)</f>
        <v>3848980803.1642323</v>
      </c>
      <c r="AH1843" s="246">
        <f>IFERROR(VLOOKUP(F1843,PROGRAMAS[],3,FALSE),0)</f>
        <v>3394901471.387517</v>
      </c>
      <c r="AI1843" s="246">
        <f>IFERROR(VLOOKUP(G1843,PROGRAMAS[],3,FALSE),0)</f>
        <v>125317226.95549992</v>
      </c>
      <c r="AJ1843" s="246">
        <f>IFERROR(VLOOKUP(H1843,PROGRAMAS[],3,FALSE),0)</f>
        <v>1233505101.0616004</v>
      </c>
      <c r="AK1843" s="246">
        <f>IFERROR(VLOOKUP(I1843,PROGRAMAS[],3,FALSE),0)</f>
        <v>6129902208.7912121</v>
      </c>
      <c r="AL1843" s="246">
        <f>IFERROR(VLOOKUP(J1843,PROGRAMAS[],3,FALSE),0)</f>
        <v>7011279577.519702</v>
      </c>
      <c r="AM1843" s="246">
        <f>IFERROR(VLOOKUP(K1843,PROGRAMAS[],3,FALSE),0)</f>
        <v>675517840.109828</v>
      </c>
      <c r="AN1843" s="246">
        <f>IFERROR(VLOOKUP(L1843,PROGRAMAS[],3,FALSE),0)</f>
        <v>31865326.38096505</v>
      </c>
      <c r="AO1843" s="246">
        <f>IFERROR(VLOOKUP(M1843,PROGRAMAS[],3,FALSE),0)</f>
        <v>118617452.52510804</v>
      </c>
      <c r="AP1843" s="246">
        <f>IFERROR(VLOOKUP(N1843,PROGRAMAS[],3,FALSE),0)</f>
        <v>2406564599.0319901</v>
      </c>
      <c r="AQ1843" s="246">
        <f>IFERROR(VLOOKUP(O1843,PROGRAMAS[],3,FALSE),0)</f>
        <v>0</v>
      </c>
      <c r="AR1843" s="246">
        <f>IFERROR(VLOOKUP(P1843,PROGRAMAS[],3,FALSE),0)</f>
        <v>0</v>
      </c>
      <c r="AS1843" s="246">
        <f>IFERROR(VLOOKUP(Q1843,PROGRAMAS[],3,FALSE),0)</f>
        <v>0</v>
      </c>
      <c r="AT1843" s="246">
        <f>IFERROR(VLOOKUP(D1843,VOL_REC[],2,FALSE),0)</f>
        <v>0</v>
      </c>
      <c r="AU1843" s="246">
        <f>IFERROR(VLOOKUP(E1843,VOL_REC[],2,FALSE),0)</f>
        <v>0</v>
      </c>
      <c r="AV1843" s="246">
        <f>IFERROR(VLOOKUP(F1843,VOL_REC[],2,FALSE),0)</f>
        <v>11089674.200000001</v>
      </c>
      <c r="AW1843" s="246">
        <f>IFERROR(VLOOKUP(G1843,VOL_REC[],2,FALSE),0)</f>
        <v>90439.55</v>
      </c>
      <c r="AX1843" s="246">
        <f>IFERROR(VLOOKUP(H1843,VOL_REC[],2,FALSE),0)</f>
        <v>4325103.1812214684</v>
      </c>
      <c r="AY1843" s="246">
        <f>IFERROR(VLOOKUP(I1843,VOL_REC[],2,FALSE),0)</f>
        <v>15540036.397699751</v>
      </c>
      <c r="AZ1843" s="246">
        <f>IFERROR(VLOOKUP(J1843,VOL_REC[],2,FALSE),0)</f>
        <v>3761786</v>
      </c>
      <c r="BA1843" s="246">
        <f>IFERROR(VLOOKUP(K1843,VOL_REC[],2,FALSE),0)</f>
        <v>240696.79238099116</v>
      </c>
      <c r="BB1843" s="246">
        <f>IFERROR(VLOOKUP(L1843,VOL_REC[],2,FALSE),0)</f>
        <v>17074.045034105649</v>
      </c>
      <c r="BC1843" s="246">
        <f>IFERROR(VLOOKUP(M1843,VOL_REC[],2,FALSE),0)</f>
        <v>105072</v>
      </c>
      <c r="BD1843" s="246">
        <f>IFERROR(VLOOKUP(N1843,VOL_REC[],2,FALSE),0)</f>
        <v>1072354.9981737854</v>
      </c>
      <c r="BE1843" s="246">
        <f>IFERROR(VLOOKUP(O1843,VOL_REC[],2,FALSE),0)</f>
        <v>0</v>
      </c>
      <c r="BF1843" s="246">
        <f>IFERROR(VLOOKUP(P1843,VOL_REC[],2,FALSE),0)</f>
        <v>0</v>
      </c>
      <c r="BG1843" s="246">
        <f>IFERROR(VLOOKUP(Q1843,VOL_REC[],2,FALSE),0)</f>
        <v>0</v>
      </c>
      <c r="BH1843" s="1710">
        <f t="shared" si="112"/>
        <v>26354411791.258511</v>
      </c>
      <c r="BI1843" s="1710">
        <f t="shared" si="113"/>
        <v>25818340236.238457</v>
      </c>
      <c r="BJ1843" s="1711">
        <f t="shared" si="114"/>
        <v>36242237.164510101</v>
      </c>
      <c r="BK1843" s="1711">
        <f t="shared" si="115"/>
        <v>1.0207632074763515</v>
      </c>
      <c r="BL1843">
        <f>BJ1843</f>
        <v>36242237.164510101</v>
      </c>
      <c r="BO1843">
        <f>BL1843</f>
        <v>36242237.164510101</v>
      </c>
    </row>
    <row r="1844" spans="3:67" x14ac:dyDescent="0.25">
      <c r="C1844" s="246" t="s">
        <v>3194</v>
      </c>
      <c r="D1844" s="246">
        <v>1</v>
      </c>
      <c r="E1844" s="246">
        <v>2</v>
      </c>
      <c r="F1844" s="246">
        <v>3</v>
      </c>
      <c r="G1844" s="246">
        <v>4</v>
      </c>
      <c r="H1844" s="246">
        <v>5</v>
      </c>
      <c r="I1844" s="246">
        <v>6</v>
      </c>
      <c r="J1844" s="246">
        <v>9</v>
      </c>
      <c r="K1844" s="246">
        <v>12</v>
      </c>
      <c r="L1844" s="246">
        <v>14</v>
      </c>
      <c r="M1844" s="246">
        <v>15</v>
      </c>
      <c r="N1844" s="246">
        <v>17</v>
      </c>
      <c r="O1844" s="246"/>
      <c r="P1844" s="246"/>
      <c r="Q1844" s="246"/>
      <c r="R1844" s="246">
        <f>IFERROR(VLOOKUP(D1844,PROGRAMAS[],2,FALSE),0)</f>
        <v>97037803.679377079</v>
      </c>
      <c r="S1844" s="246">
        <f>IFERROR(VLOOKUP(E1844,PROGRAMAS[],2,FALSE),0)</f>
        <v>640501509.6821388</v>
      </c>
      <c r="T1844" s="246">
        <f>IFERROR(VLOOKUP(F1844,PROGRAMAS[],2,FALSE),0)</f>
        <v>3062327798.1525245</v>
      </c>
      <c r="U1844" s="246">
        <f>IFERROR(VLOOKUP(G1844,PROGRAMAS[],2,FALSE),0)</f>
        <v>67697118.033011258</v>
      </c>
      <c r="V1844" s="246">
        <f>IFERROR(VLOOKUP(H1844,PROGRAMAS[],2,FALSE),0)</f>
        <v>1440941976.2528784</v>
      </c>
      <c r="W1844" s="246">
        <f>IFERROR(VLOOKUP(I1844,PROGRAMAS[],2,FALSE),0)</f>
        <v>6907648435.8447599</v>
      </c>
      <c r="X1844" s="246">
        <f>IFERROR(VLOOKUP(J1844,PROGRAMAS[],2,FALSE),0)</f>
        <v>6128579952.1618185</v>
      </c>
      <c r="Y1844" s="246">
        <f>IFERROR(VLOOKUP(K1844,PROGRAMAS[],2,FALSE),0)</f>
        <v>764796700.79905891</v>
      </c>
      <c r="Z1844" s="246">
        <f>IFERROR(VLOOKUP(L1844,PROGRAMAS[],2,FALSE),0)</f>
        <v>54223862.645839565</v>
      </c>
      <c r="AA1844" s="246">
        <f>IFERROR(VLOOKUP(M1844,PROGRAMAS[],2,FALSE),0)</f>
        <v>122159672.96346797</v>
      </c>
      <c r="AB1844" s="246">
        <f>IFERROR(VLOOKUP(N1844,PROGRAMAS[],2,FALSE),0)</f>
        <v>1892779498.5211046</v>
      </c>
      <c r="AC1844" s="246">
        <f>IFERROR(VLOOKUP(O1844,PROGRAMAS[],2,FALSE),0)</f>
        <v>0</v>
      </c>
      <c r="AD1844" s="246">
        <f>IFERROR(VLOOKUP(P1844,PROGRAMAS[],2,FALSE),0)</f>
        <v>0</v>
      </c>
      <c r="AE1844" s="246">
        <f>IFERROR(VLOOKUP(Q1844,PROGRAMAS[],2,FALSE),0)</f>
        <v>0</v>
      </c>
      <c r="AF1844" s="246">
        <f>IFERROR(VLOOKUP(D1844,PROGRAMAS[],3,FALSE),0)</f>
        <v>841888629.31080008</v>
      </c>
      <c r="AG1844" s="246">
        <f>IFERROR(VLOOKUP(E1844,PROGRAMAS[],3,FALSE),0)</f>
        <v>3848980803.1642323</v>
      </c>
      <c r="AH1844" s="246">
        <f>IFERROR(VLOOKUP(F1844,PROGRAMAS[],3,FALSE),0)</f>
        <v>3394901471.387517</v>
      </c>
      <c r="AI1844" s="246">
        <f>IFERROR(VLOOKUP(G1844,PROGRAMAS[],3,FALSE),0)</f>
        <v>125317226.95549992</v>
      </c>
      <c r="AJ1844" s="246">
        <f>IFERROR(VLOOKUP(H1844,PROGRAMAS[],3,FALSE),0)</f>
        <v>1233505101.0616004</v>
      </c>
      <c r="AK1844" s="246">
        <f>IFERROR(VLOOKUP(I1844,PROGRAMAS[],3,FALSE),0)</f>
        <v>6129902208.7912121</v>
      </c>
      <c r="AL1844" s="246">
        <f>IFERROR(VLOOKUP(J1844,PROGRAMAS[],3,FALSE),0)</f>
        <v>7011279577.519702</v>
      </c>
      <c r="AM1844" s="246">
        <f>IFERROR(VLOOKUP(K1844,PROGRAMAS[],3,FALSE),0)</f>
        <v>675517840.109828</v>
      </c>
      <c r="AN1844" s="246">
        <f>IFERROR(VLOOKUP(L1844,PROGRAMAS[],3,FALSE),0)</f>
        <v>31865326.38096505</v>
      </c>
      <c r="AO1844" s="246">
        <f>IFERROR(VLOOKUP(M1844,PROGRAMAS[],3,FALSE),0)</f>
        <v>118617452.52510804</v>
      </c>
      <c r="AP1844" s="246">
        <f>IFERROR(VLOOKUP(N1844,PROGRAMAS[],3,FALSE),0)</f>
        <v>948595847.09039903</v>
      </c>
      <c r="AQ1844" s="246">
        <f>IFERROR(VLOOKUP(O1844,PROGRAMAS[],3,FALSE),0)</f>
        <v>0</v>
      </c>
      <c r="AR1844" s="246">
        <f>IFERROR(VLOOKUP(P1844,PROGRAMAS[],3,FALSE),0)</f>
        <v>0</v>
      </c>
      <c r="AS1844" s="246">
        <f>IFERROR(VLOOKUP(Q1844,PROGRAMAS[],3,FALSE),0)</f>
        <v>0</v>
      </c>
      <c r="AT1844" s="246">
        <f>IFERROR(VLOOKUP(D1844,VOL_REC[],2,FALSE),0)</f>
        <v>0</v>
      </c>
      <c r="AU1844" s="246">
        <f>IFERROR(VLOOKUP(E1844,VOL_REC[],2,FALSE),0)</f>
        <v>0</v>
      </c>
      <c r="AV1844" s="246">
        <f>IFERROR(VLOOKUP(F1844,VOL_REC[],2,FALSE),0)</f>
        <v>11089674.200000001</v>
      </c>
      <c r="AW1844" s="246">
        <f>IFERROR(VLOOKUP(G1844,VOL_REC[],2,FALSE),0)</f>
        <v>90439.55</v>
      </c>
      <c r="AX1844" s="246">
        <f>IFERROR(VLOOKUP(H1844,VOL_REC[],2,FALSE),0)</f>
        <v>4325103.1812214684</v>
      </c>
      <c r="AY1844" s="246">
        <f>IFERROR(VLOOKUP(I1844,VOL_REC[],2,FALSE),0)</f>
        <v>15540036.397699751</v>
      </c>
      <c r="AZ1844" s="246">
        <f>IFERROR(VLOOKUP(J1844,VOL_REC[],2,FALSE),0)</f>
        <v>3761786</v>
      </c>
      <c r="BA1844" s="246">
        <f>IFERROR(VLOOKUP(K1844,VOL_REC[],2,FALSE),0)</f>
        <v>240696.79238099116</v>
      </c>
      <c r="BB1844" s="246">
        <f>IFERROR(VLOOKUP(L1844,VOL_REC[],2,FALSE),0)</f>
        <v>17074.045034105649</v>
      </c>
      <c r="BC1844" s="246">
        <f>IFERROR(VLOOKUP(M1844,VOL_REC[],2,FALSE),0)</f>
        <v>105072</v>
      </c>
      <c r="BD1844" s="246">
        <f>IFERROR(VLOOKUP(N1844,VOL_REC[],2,FALSE),0)</f>
        <v>740113.98115702497</v>
      </c>
      <c r="BE1844" s="246">
        <f>IFERROR(VLOOKUP(O1844,VOL_REC[],2,FALSE),0)</f>
        <v>0</v>
      </c>
      <c r="BF1844" s="246">
        <f>IFERROR(VLOOKUP(P1844,VOL_REC[],2,FALSE),0)</f>
        <v>0</v>
      </c>
      <c r="BG1844" s="246">
        <f>IFERROR(VLOOKUP(Q1844,VOL_REC[],2,FALSE),0)</f>
        <v>0</v>
      </c>
      <c r="BH1844" s="1710">
        <f t="shared" si="112"/>
        <v>21178694328.735977</v>
      </c>
      <c r="BI1844" s="1710">
        <f t="shared" si="113"/>
        <v>24360371484.296867</v>
      </c>
      <c r="BJ1844" s="1711">
        <f t="shared" si="114"/>
        <v>35909996.14749334</v>
      </c>
      <c r="BK1844" s="1711">
        <f t="shared" si="115"/>
        <v>0.86939127108090875</v>
      </c>
    </row>
    <row r="1845" spans="3:67" x14ac:dyDescent="0.25">
      <c r="C1845" s="246" t="s">
        <v>3195</v>
      </c>
      <c r="D1845" s="246">
        <v>1</v>
      </c>
      <c r="E1845" s="246">
        <v>2</v>
      </c>
      <c r="F1845" s="246">
        <v>3</v>
      </c>
      <c r="G1845" s="246">
        <v>4</v>
      </c>
      <c r="H1845" s="246">
        <v>5</v>
      </c>
      <c r="I1845" s="246">
        <v>6</v>
      </c>
      <c r="J1845" s="246">
        <v>9</v>
      </c>
      <c r="K1845" s="246">
        <v>12</v>
      </c>
      <c r="L1845" s="246">
        <v>14</v>
      </c>
      <c r="M1845" s="246">
        <v>16</v>
      </c>
      <c r="N1845" s="246">
        <v>17</v>
      </c>
      <c r="O1845" s="246"/>
      <c r="P1845" s="246"/>
      <c r="Q1845" s="246"/>
      <c r="R1845" s="246">
        <f>IFERROR(VLOOKUP(D1845,PROGRAMAS[],2,FALSE),0)</f>
        <v>97037803.679377079</v>
      </c>
      <c r="S1845" s="246">
        <f>IFERROR(VLOOKUP(E1845,PROGRAMAS[],2,FALSE),0)</f>
        <v>640501509.6821388</v>
      </c>
      <c r="T1845" s="246">
        <f>IFERROR(VLOOKUP(F1845,PROGRAMAS[],2,FALSE),0)</f>
        <v>3062327798.1525245</v>
      </c>
      <c r="U1845" s="246">
        <f>IFERROR(VLOOKUP(G1845,PROGRAMAS[],2,FALSE),0)</f>
        <v>67697118.033011258</v>
      </c>
      <c r="V1845" s="246">
        <f>IFERROR(VLOOKUP(H1845,PROGRAMAS[],2,FALSE),0)</f>
        <v>1440941976.2528784</v>
      </c>
      <c r="W1845" s="246">
        <f>IFERROR(VLOOKUP(I1845,PROGRAMAS[],2,FALSE),0)</f>
        <v>6907648435.8447599</v>
      </c>
      <c r="X1845" s="246">
        <f>IFERROR(VLOOKUP(J1845,PROGRAMAS[],2,FALSE),0)</f>
        <v>6128579952.1618185</v>
      </c>
      <c r="Y1845" s="246">
        <f>IFERROR(VLOOKUP(K1845,PROGRAMAS[],2,FALSE),0)</f>
        <v>764796700.79905891</v>
      </c>
      <c r="Z1845" s="246">
        <f>IFERROR(VLOOKUP(L1845,PROGRAMAS[],2,FALSE),0)</f>
        <v>54223862.645839565</v>
      </c>
      <c r="AA1845" s="246">
        <f>IFERROR(VLOOKUP(M1845,PROGRAMAS[],2,FALSE),0)</f>
        <v>7068496961.0436354</v>
      </c>
      <c r="AB1845" s="246">
        <f>IFERROR(VLOOKUP(N1845,PROGRAMAS[],2,FALSE),0)</f>
        <v>1892779498.5211046</v>
      </c>
      <c r="AC1845" s="246">
        <f>IFERROR(VLOOKUP(O1845,PROGRAMAS[],2,FALSE),0)</f>
        <v>0</v>
      </c>
      <c r="AD1845" s="246">
        <f>IFERROR(VLOOKUP(P1845,PROGRAMAS[],2,FALSE),0)</f>
        <v>0</v>
      </c>
      <c r="AE1845" s="246">
        <f>IFERROR(VLOOKUP(Q1845,PROGRAMAS[],2,FALSE),0)</f>
        <v>0</v>
      </c>
      <c r="AF1845" s="246">
        <f>IFERROR(VLOOKUP(D1845,PROGRAMAS[],3,FALSE),0)</f>
        <v>841888629.31080008</v>
      </c>
      <c r="AG1845" s="246">
        <f>IFERROR(VLOOKUP(E1845,PROGRAMAS[],3,FALSE),0)</f>
        <v>3848980803.1642323</v>
      </c>
      <c r="AH1845" s="246">
        <f>IFERROR(VLOOKUP(F1845,PROGRAMAS[],3,FALSE),0)</f>
        <v>3394901471.387517</v>
      </c>
      <c r="AI1845" s="246">
        <f>IFERROR(VLOOKUP(G1845,PROGRAMAS[],3,FALSE),0)</f>
        <v>125317226.95549992</v>
      </c>
      <c r="AJ1845" s="246">
        <f>IFERROR(VLOOKUP(H1845,PROGRAMAS[],3,FALSE),0)</f>
        <v>1233505101.0616004</v>
      </c>
      <c r="AK1845" s="246">
        <f>IFERROR(VLOOKUP(I1845,PROGRAMAS[],3,FALSE),0)</f>
        <v>6129902208.7912121</v>
      </c>
      <c r="AL1845" s="246">
        <f>IFERROR(VLOOKUP(J1845,PROGRAMAS[],3,FALSE),0)</f>
        <v>7011279577.519702</v>
      </c>
      <c r="AM1845" s="246">
        <f>IFERROR(VLOOKUP(K1845,PROGRAMAS[],3,FALSE),0)</f>
        <v>675517840.109828</v>
      </c>
      <c r="AN1845" s="246">
        <f>IFERROR(VLOOKUP(L1845,PROGRAMAS[],3,FALSE),0)</f>
        <v>31865326.38096505</v>
      </c>
      <c r="AO1845" s="246">
        <f>IFERROR(VLOOKUP(M1845,PROGRAMAS[],3,FALSE),0)</f>
        <v>2406564599.0319901</v>
      </c>
      <c r="AP1845" s="246">
        <f>IFERROR(VLOOKUP(N1845,PROGRAMAS[],3,FALSE),0)</f>
        <v>948595847.09039903</v>
      </c>
      <c r="AQ1845" s="246">
        <f>IFERROR(VLOOKUP(O1845,PROGRAMAS[],3,FALSE),0)</f>
        <v>0</v>
      </c>
      <c r="AR1845" s="246">
        <f>IFERROR(VLOOKUP(P1845,PROGRAMAS[],3,FALSE),0)</f>
        <v>0</v>
      </c>
      <c r="AS1845" s="246">
        <f>IFERROR(VLOOKUP(Q1845,PROGRAMAS[],3,FALSE),0)</f>
        <v>0</v>
      </c>
      <c r="AT1845" s="246">
        <f>IFERROR(VLOOKUP(D1845,VOL_REC[],2,FALSE),0)</f>
        <v>0</v>
      </c>
      <c r="AU1845" s="246">
        <f>IFERROR(VLOOKUP(E1845,VOL_REC[],2,FALSE),0)</f>
        <v>0</v>
      </c>
      <c r="AV1845" s="246">
        <f>IFERROR(VLOOKUP(F1845,VOL_REC[],2,FALSE),0)</f>
        <v>11089674.200000001</v>
      </c>
      <c r="AW1845" s="246">
        <f>IFERROR(VLOOKUP(G1845,VOL_REC[],2,FALSE),0)</f>
        <v>90439.55</v>
      </c>
      <c r="AX1845" s="246">
        <f>IFERROR(VLOOKUP(H1845,VOL_REC[],2,FALSE),0)</f>
        <v>4325103.1812214684</v>
      </c>
      <c r="AY1845" s="246">
        <f>IFERROR(VLOOKUP(I1845,VOL_REC[],2,FALSE),0)</f>
        <v>15540036.397699751</v>
      </c>
      <c r="AZ1845" s="246">
        <f>IFERROR(VLOOKUP(J1845,VOL_REC[],2,FALSE),0)</f>
        <v>3761786</v>
      </c>
      <c r="BA1845" s="246">
        <f>IFERROR(VLOOKUP(K1845,VOL_REC[],2,FALSE),0)</f>
        <v>240696.79238099116</v>
      </c>
      <c r="BB1845" s="246">
        <f>IFERROR(VLOOKUP(L1845,VOL_REC[],2,FALSE),0)</f>
        <v>17074.045034105649</v>
      </c>
      <c r="BC1845" s="246">
        <f>IFERROR(VLOOKUP(M1845,VOL_REC[],2,FALSE),0)</f>
        <v>1072354.9981737854</v>
      </c>
      <c r="BD1845" s="246">
        <f>IFERROR(VLOOKUP(N1845,VOL_REC[],2,FALSE),0)</f>
        <v>740113.98115702497</v>
      </c>
      <c r="BE1845" s="246">
        <f>IFERROR(VLOOKUP(O1845,VOL_REC[],2,FALSE),0)</f>
        <v>0</v>
      </c>
      <c r="BF1845" s="246">
        <f>IFERROR(VLOOKUP(P1845,VOL_REC[],2,FALSE),0)</f>
        <v>0</v>
      </c>
      <c r="BG1845" s="246">
        <f>IFERROR(VLOOKUP(Q1845,VOL_REC[],2,FALSE),0)</f>
        <v>0</v>
      </c>
      <c r="BH1845" s="1710">
        <f t="shared" si="112"/>
        <v>28125031616.816147</v>
      </c>
      <c r="BI1845" s="1710">
        <f t="shared" si="113"/>
        <v>26648318630.803749</v>
      </c>
      <c r="BJ1845" s="1711">
        <f t="shared" si="114"/>
        <v>36877279.145667128</v>
      </c>
      <c r="BK1845" s="1711">
        <f t="shared" si="115"/>
        <v>1.055414865248024</v>
      </c>
      <c r="BL1845">
        <f>BJ1845</f>
        <v>36877279.145667128</v>
      </c>
      <c r="BO1845">
        <f>BL1845</f>
        <v>36877279.145667128</v>
      </c>
    </row>
    <row r="1846" spans="3:67" x14ac:dyDescent="0.25">
      <c r="C1846" s="246" t="s">
        <v>3196</v>
      </c>
      <c r="D1846" s="246">
        <v>1</v>
      </c>
      <c r="E1846" s="246">
        <v>2</v>
      </c>
      <c r="F1846" s="246">
        <v>3</v>
      </c>
      <c r="G1846" s="246">
        <v>4</v>
      </c>
      <c r="H1846" s="246">
        <v>5</v>
      </c>
      <c r="I1846" s="246">
        <v>6</v>
      </c>
      <c r="J1846" s="246">
        <v>9</v>
      </c>
      <c r="K1846" s="246">
        <v>12</v>
      </c>
      <c r="L1846" s="246">
        <v>15</v>
      </c>
      <c r="M1846" s="246">
        <v>16</v>
      </c>
      <c r="N1846" s="246">
        <v>17</v>
      </c>
      <c r="O1846" s="246"/>
      <c r="P1846" s="246"/>
      <c r="Q1846" s="246"/>
      <c r="R1846" s="246">
        <f>IFERROR(VLOOKUP(D1846,PROGRAMAS[],2,FALSE),0)</f>
        <v>97037803.679377079</v>
      </c>
      <c r="S1846" s="246">
        <f>IFERROR(VLOOKUP(E1846,PROGRAMAS[],2,FALSE),0)</f>
        <v>640501509.6821388</v>
      </c>
      <c r="T1846" s="246">
        <f>IFERROR(VLOOKUP(F1846,PROGRAMAS[],2,FALSE),0)</f>
        <v>3062327798.1525245</v>
      </c>
      <c r="U1846" s="246">
        <f>IFERROR(VLOOKUP(G1846,PROGRAMAS[],2,FALSE),0)</f>
        <v>67697118.033011258</v>
      </c>
      <c r="V1846" s="246">
        <f>IFERROR(VLOOKUP(H1846,PROGRAMAS[],2,FALSE),0)</f>
        <v>1440941976.2528784</v>
      </c>
      <c r="W1846" s="246">
        <f>IFERROR(VLOOKUP(I1846,PROGRAMAS[],2,FALSE),0)</f>
        <v>6907648435.8447599</v>
      </c>
      <c r="X1846" s="246">
        <f>IFERROR(VLOOKUP(J1846,PROGRAMAS[],2,FALSE),0)</f>
        <v>6128579952.1618185</v>
      </c>
      <c r="Y1846" s="246">
        <f>IFERROR(VLOOKUP(K1846,PROGRAMAS[],2,FALSE),0)</f>
        <v>764796700.79905891</v>
      </c>
      <c r="Z1846" s="246">
        <f>IFERROR(VLOOKUP(L1846,PROGRAMAS[],2,FALSE),0)</f>
        <v>122159672.96346797</v>
      </c>
      <c r="AA1846" s="246">
        <f>IFERROR(VLOOKUP(M1846,PROGRAMAS[],2,FALSE),0)</f>
        <v>7068496961.0436354</v>
      </c>
      <c r="AB1846" s="246">
        <f>IFERROR(VLOOKUP(N1846,PROGRAMAS[],2,FALSE),0)</f>
        <v>1892779498.5211046</v>
      </c>
      <c r="AC1846" s="246">
        <f>IFERROR(VLOOKUP(O1846,PROGRAMAS[],2,FALSE),0)</f>
        <v>0</v>
      </c>
      <c r="AD1846" s="246">
        <f>IFERROR(VLOOKUP(P1846,PROGRAMAS[],2,FALSE),0)</f>
        <v>0</v>
      </c>
      <c r="AE1846" s="246">
        <f>IFERROR(VLOOKUP(Q1846,PROGRAMAS[],2,FALSE),0)</f>
        <v>0</v>
      </c>
      <c r="AF1846" s="246">
        <f>IFERROR(VLOOKUP(D1846,PROGRAMAS[],3,FALSE),0)</f>
        <v>841888629.31080008</v>
      </c>
      <c r="AG1846" s="246">
        <f>IFERROR(VLOOKUP(E1846,PROGRAMAS[],3,FALSE),0)</f>
        <v>3848980803.1642323</v>
      </c>
      <c r="AH1846" s="246">
        <f>IFERROR(VLOOKUP(F1846,PROGRAMAS[],3,FALSE),0)</f>
        <v>3394901471.387517</v>
      </c>
      <c r="AI1846" s="246">
        <f>IFERROR(VLOOKUP(G1846,PROGRAMAS[],3,FALSE),0)</f>
        <v>125317226.95549992</v>
      </c>
      <c r="AJ1846" s="246">
        <f>IFERROR(VLOOKUP(H1846,PROGRAMAS[],3,FALSE),0)</f>
        <v>1233505101.0616004</v>
      </c>
      <c r="AK1846" s="246">
        <f>IFERROR(VLOOKUP(I1846,PROGRAMAS[],3,FALSE),0)</f>
        <v>6129902208.7912121</v>
      </c>
      <c r="AL1846" s="246">
        <f>IFERROR(VLOOKUP(J1846,PROGRAMAS[],3,FALSE),0)</f>
        <v>7011279577.519702</v>
      </c>
      <c r="AM1846" s="246">
        <f>IFERROR(VLOOKUP(K1846,PROGRAMAS[],3,FALSE),0)</f>
        <v>675517840.109828</v>
      </c>
      <c r="AN1846" s="246">
        <f>IFERROR(VLOOKUP(L1846,PROGRAMAS[],3,FALSE),0)</f>
        <v>118617452.52510804</v>
      </c>
      <c r="AO1846" s="246">
        <f>IFERROR(VLOOKUP(M1846,PROGRAMAS[],3,FALSE),0)</f>
        <v>2406564599.0319901</v>
      </c>
      <c r="AP1846" s="246">
        <f>IFERROR(VLOOKUP(N1846,PROGRAMAS[],3,FALSE),0)</f>
        <v>948595847.09039903</v>
      </c>
      <c r="AQ1846" s="246">
        <f>IFERROR(VLOOKUP(O1846,PROGRAMAS[],3,FALSE),0)</f>
        <v>0</v>
      </c>
      <c r="AR1846" s="246">
        <f>IFERROR(VLOOKUP(P1846,PROGRAMAS[],3,FALSE),0)</f>
        <v>0</v>
      </c>
      <c r="AS1846" s="246">
        <f>IFERROR(VLOOKUP(Q1846,PROGRAMAS[],3,FALSE),0)</f>
        <v>0</v>
      </c>
      <c r="AT1846" s="246">
        <f>IFERROR(VLOOKUP(D1846,VOL_REC[],2,FALSE),0)</f>
        <v>0</v>
      </c>
      <c r="AU1846" s="246">
        <f>IFERROR(VLOOKUP(E1846,VOL_REC[],2,FALSE),0)</f>
        <v>0</v>
      </c>
      <c r="AV1846" s="246">
        <f>IFERROR(VLOOKUP(F1846,VOL_REC[],2,FALSE),0)</f>
        <v>11089674.200000001</v>
      </c>
      <c r="AW1846" s="246">
        <f>IFERROR(VLOOKUP(G1846,VOL_REC[],2,FALSE),0)</f>
        <v>90439.55</v>
      </c>
      <c r="AX1846" s="246">
        <f>IFERROR(VLOOKUP(H1846,VOL_REC[],2,FALSE),0)</f>
        <v>4325103.1812214684</v>
      </c>
      <c r="AY1846" s="246">
        <f>IFERROR(VLOOKUP(I1846,VOL_REC[],2,FALSE),0)</f>
        <v>15540036.397699751</v>
      </c>
      <c r="AZ1846" s="246">
        <f>IFERROR(VLOOKUP(J1846,VOL_REC[],2,FALSE),0)</f>
        <v>3761786</v>
      </c>
      <c r="BA1846" s="246">
        <f>IFERROR(VLOOKUP(K1846,VOL_REC[],2,FALSE),0)</f>
        <v>240696.79238099116</v>
      </c>
      <c r="BB1846" s="246">
        <f>IFERROR(VLOOKUP(L1846,VOL_REC[],2,FALSE),0)</f>
        <v>105072</v>
      </c>
      <c r="BC1846" s="246">
        <f>IFERROR(VLOOKUP(M1846,VOL_REC[],2,FALSE),0)</f>
        <v>1072354.9981737854</v>
      </c>
      <c r="BD1846" s="246">
        <f>IFERROR(VLOOKUP(N1846,VOL_REC[],2,FALSE),0)</f>
        <v>740113.98115702497</v>
      </c>
      <c r="BE1846" s="246">
        <f>IFERROR(VLOOKUP(O1846,VOL_REC[],2,FALSE),0)</f>
        <v>0</v>
      </c>
      <c r="BF1846" s="246">
        <f>IFERROR(VLOOKUP(P1846,VOL_REC[],2,FALSE),0)</f>
        <v>0</v>
      </c>
      <c r="BG1846" s="246">
        <f>IFERROR(VLOOKUP(Q1846,VOL_REC[],2,FALSE),0)</f>
        <v>0</v>
      </c>
      <c r="BH1846" s="1710">
        <f t="shared" si="112"/>
        <v>28192967427.133774</v>
      </c>
      <c r="BI1846" s="1710">
        <f t="shared" si="113"/>
        <v>26735070756.947891</v>
      </c>
      <c r="BJ1846" s="1711">
        <f t="shared" si="114"/>
        <v>36965277.100633025</v>
      </c>
      <c r="BK1846" s="1711">
        <f t="shared" si="115"/>
        <v>1.0545312441264816</v>
      </c>
      <c r="BL1846">
        <f>BJ1846</f>
        <v>36965277.100633025</v>
      </c>
      <c r="BO1846">
        <f>BL1846</f>
        <v>36965277.100633025</v>
      </c>
    </row>
    <row r="1847" spans="3:67" x14ac:dyDescent="0.25">
      <c r="C1847" s="246" t="s">
        <v>3197</v>
      </c>
      <c r="D1847" s="246">
        <v>1</v>
      </c>
      <c r="E1847" s="246">
        <v>2</v>
      </c>
      <c r="F1847" s="246">
        <v>3</v>
      </c>
      <c r="G1847" s="246">
        <v>4</v>
      </c>
      <c r="H1847" s="246">
        <v>5</v>
      </c>
      <c r="I1847" s="246">
        <v>6</v>
      </c>
      <c r="J1847" s="246">
        <v>9</v>
      </c>
      <c r="K1847" s="246">
        <v>13</v>
      </c>
      <c r="L1847" s="246">
        <v>14</v>
      </c>
      <c r="M1847" s="246">
        <v>15</v>
      </c>
      <c r="N1847" s="246">
        <v>16</v>
      </c>
      <c r="O1847" s="246"/>
      <c r="P1847" s="246"/>
      <c r="Q1847" s="246"/>
      <c r="R1847" s="246">
        <f>IFERROR(VLOOKUP(D1847,PROGRAMAS[],2,FALSE),0)</f>
        <v>97037803.679377079</v>
      </c>
      <c r="S1847" s="246">
        <f>IFERROR(VLOOKUP(E1847,PROGRAMAS[],2,FALSE),0)</f>
        <v>640501509.6821388</v>
      </c>
      <c r="T1847" s="246">
        <f>IFERROR(VLOOKUP(F1847,PROGRAMAS[],2,FALSE),0)</f>
        <v>3062327798.1525245</v>
      </c>
      <c r="U1847" s="246">
        <f>IFERROR(VLOOKUP(G1847,PROGRAMAS[],2,FALSE),0)</f>
        <v>67697118.033011258</v>
      </c>
      <c r="V1847" s="246">
        <f>IFERROR(VLOOKUP(H1847,PROGRAMAS[],2,FALSE),0)</f>
        <v>1440941976.2528784</v>
      </c>
      <c r="W1847" s="246">
        <f>IFERROR(VLOOKUP(I1847,PROGRAMAS[],2,FALSE),0)</f>
        <v>6907648435.8447599</v>
      </c>
      <c r="X1847" s="246">
        <f>IFERROR(VLOOKUP(J1847,PROGRAMAS[],2,FALSE),0)</f>
        <v>6128579952.1618185</v>
      </c>
      <c r="Y1847" s="246">
        <f>IFERROR(VLOOKUP(K1847,PROGRAMAS[],2,FALSE),0)</f>
        <v>3776538594.4604583</v>
      </c>
      <c r="Z1847" s="246">
        <f>IFERROR(VLOOKUP(L1847,PROGRAMAS[],2,FALSE),0)</f>
        <v>54223862.645839565</v>
      </c>
      <c r="AA1847" s="246">
        <f>IFERROR(VLOOKUP(M1847,PROGRAMAS[],2,FALSE),0)</f>
        <v>122159672.96346797</v>
      </c>
      <c r="AB1847" s="246">
        <f>IFERROR(VLOOKUP(N1847,PROGRAMAS[],2,FALSE),0)</f>
        <v>7068496961.0436354</v>
      </c>
      <c r="AC1847" s="246">
        <f>IFERROR(VLOOKUP(O1847,PROGRAMAS[],2,FALSE),0)</f>
        <v>0</v>
      </c>
      <c r="AD1847" s="246">
        <f>IFERROR(VLOOKUP(P1847,PROGRAMAS[],2,FALSE),0)</f>
        <v>0</v>
      </c>
      <c r="AE1847" s="246">
        <f>IFERROR(VLOOKUP(Q1847,PROGRAMAS[],2,FALSE),0)</f>
        <v>0</v>
      </c>
      <c r="AF1847" s="246">
        <f>IFERROR(VLOOKUP(D1847,PROGRAMAS[],3,FALSE),0)</f>
        <v>841888629.31080008</v>
      </c>
      <c r="AG1847" s="246">
        <f>IFERROR(VLOOKUP(E1847,PROGRAMAS[],3,FALSE),0)</f>
        <v>3848980803.1642323</v>
      </c>
      <c r="AH1847" s="246">
        <f>IFERROR(VLOOKUP(F1847,PROGRAMAS[],3,FALSE),0)</f>
        <v>3394901471.387517</v>
      </c>
      <c r="AI1847" s="246">
        <f>IFERROR(VLOOKUP(G1847,PROGRAMAS[],3,FALSE),0)</f>
        <v>125317226.95549992</v>
      </c>
      <c r="AJ1847" s="246">
        <f>IFERROR(VLOOKUP(H1847,PROGRAMAS[],3,FALSE),0)</f>
        <v>1233505101.0616004</v>
      </c>
      <c r="AK1847" s="246">
        <f>IFERROR(VLOOKUP(I1847,PROGRAMAS[],3,FALSE),0)</f>
        <v>6129902208.7912121</v>
      </c>
      <c r="AL1847" s="246">
        <f>IFERROR(VLOOKUP(J1847,PROGRAMAS[],3,FALSE),0)</f>
        <v>7011279577.519702</v>
      </c>
      <c r="AM1847" s="246">
        <f>IFERROR(VLOOKUP(K1847,PROGRAMAS[],3,FALSE),0)</f>
        <v>2392571243.5584412</v>
      </c>
      <c r="AN1847" s="246">
        <f>IFERROR(VLOOKUP(L1847,PROGRAMAS[],3,FALSE),0)</f>
        <v>31865326.38096505</v>
      </c>
      <c r="AO1847" s="246">
        <f>IFERROR(VLOOKUP(M1847,PROGRAMAS[],3,FALSE),0)</f>
        <v>118617452.52510804</v>
      </c>
      <c r="AP1847" s="246">
        <f>IFERROR(VLOOKUP(N1847,PROGRAMAS[],3,FALSE),0)</f>
        <v>2406564599.0319901</v>
      </c>
      <c r="AQ1847" s="246">
        <f>IFERROR(VLOOKUP(O1847,PROGRAMAS[],3,FALSE),0)</f>
        <v>0</v>
      </c>
      <c r="AR1847" s="246">
        <f>IFERROR(VLOOKUP(P1847,PROGRAMAS[],3,FALSE),0)</f>
        <v>0</v>
      </c>
      <c r="AS1847" s="246">
        <f>IFERROR(VLOOKUP(Q1847,PROGRAMAS[],3,FALSE),0)</f>
        <v>0</v>
      </c>
      <c r="AT1847" s="246">
        <f>IFERROR(VLOOKUP(D1847,VOL_REC[],2,FALSE),0)</f>
        <v>0</v>
      </c>
      <c r="AU1847" s="246">
        <f>IFERROR(VLOOKUP(E1847,VOL_REC[],2,FALSE),0)</f>
        <v>0</v>
      </c>
      <c r="AV1847" s="246">
        <f>IFERROR(VLOOKUP(F1847,VOL_REC[],2,FALSE),0)</f>
        <v>11089674.200000001</v>
      </c>
      <c r="AW1847" s="246">
        <f>IFERROR(VLOOKUP(G1847,VOL_REC[],2,FALSE),0)</f>
        <v>90439.55</v>
      </c>
      <c r="AX1847" s="246">
        <f>IFERROR(VLOOKUP(H1847,VOL_REC[],2,FALSE),0)</f>
        <v>4325103.1812214684</v>
      </c>
      <c r="AY1847" s="246">
        <f>IFERROR(VLOOKUP(I1847,VOL_REC[],2,FALSE),0)</f>
        <v>15540036.397699751</v>
      </c>
      <c r="AZ1847" s="246">
        <f>IFERROR(VLOOKUP(J1847,VOL_REC[],2,FALSE),0)</f>
        <v>3761786</v>
      </c>
      <c r="BA1847" s="246">
        <f>IFERROR(VLOOKUP(K1847,VOL_REC[],2,FALSE),0)</f>
        <v>663244.80000000016</v>
      </c>
      <c r="BB1847" s="246">
        <f>IFERROR(VLOOKUP(L1847,VOL_REC[],2,FALSE),0)</f>
        <v>17074.045034105649</v>
      </c>
      <c r="BC1847" s="246">
        <f>IFERROR(VLOOKUP(M1847,VOL_REC[],2,FALSE),0)</f>
        <v>105072</v>
      </c>
      <c r="BD1847" s="246">
        <f>IFERROR(VLOOKUP(N1847,VOL_REC[],2,FALSE),0)</f>
        <v>1072354.9981737854</v>
      </c>
      <c r="BE1847" s="246">
        <f>IFERROR(VLOOKUP(O1847,VOL_REC[],2,FALSE),0)</f>
        <v>0</v>
      </c>
      <c r="BF1847" s="246">
        <f>IFERROR(VLOOKUP(P1847,VOL_REC[],2,FALSE),0)</f>
        <v>0</v>
      </c>
      <c r="BG1847" s="246">
        <f>IFERROR(VLOOKUP(Q1847,VOL_REC[],2,FALSE),0)</f>
        <v>0</v>
      </c>
      <c r="BH1847" s="1710">
        <f t="shared" si="112"/>
        <v>29366153684.91991</v>
      </c>
      <c r="BI1847" s="1710">
        <f t="shared" si="113"/>
        <v>27535393639.687069</v>
      </c>
      <c r="BJ1847" s="1711">
        <f t="shared" si="114"/>
        <v>36664785.17212911</v>
      </c>
      <c r="BK1847" s="1711">
        <f t="shared" si="115"/>
        <v>1.0664875203597652</v>
      </c>
      <c r="BL1847">
        <f>BJ1847</f>
        <v>36664785.17212911</v>
      </c>
      <c r="BO1847">
        <f>BL1847</f>
        <v>36664785.17212911</v>
      </c>
    </row>
    <row r="1848" spans="3:67" x14ac:dyDescent="0.25">
      <c r="C1848" s="246" t="s">
        <v>3198</v>
      </c>
      <c r="D1848" s="246">
        <v>1</v>
      </c>
      <c r="E1848" s="246">
        <v>2</v>
      </c>
      <c r="F1848" s="246">
        <v>3</v>
      </c>
      <c r="G1848" s="246">
        <v>4</v>
      </c>
      <c r="H1848" s="246">
        <v>5</v>
      </c>
      <c r="I1848" s="246">
        <v>6</v>
      </c>
      <c r="J1848" s="246">
        <v>9</v>
      </c>
      <c r="K1848" s="246">
        <v>13</v>
      </c>
      <c r="L1848" s="246">
        <v>14</v>
      </c>
      <c r="M1848" s="246">
        <v>15</v>
      </c>
      <c r="N1848" s="246">
        <v>17</v>
      </c>
      <c r="O1848" s="246"/>
      <c r="P1848" s="246"/>
      <c r="Q1848" s="246"/>
      <c r="R1848" s="246">
        <f>IFERROR(VLOOKUP(D1848,PROGRAMAS[],2,FALSE),0)</f>
        <v>97037803.679377079</v>
      </c>
      <c r="S1848" s="246">
        <f>IFERROR(VLOOKUP(E1848,PROGRAMAS[],2,FALSE),0)</f>
        <v>640501509.6821388</v>
      </c>
      <c r="T1848" s="246">
        <f>IFERROR(VLOOKUP(F1848,PROGRAMAS[],2,FALSE),0)</f>
        <v>3062327798.1525245</v>
      </c>
      <c r="U1848" s="246">
        <f>IFERROR(VLOOKUP(G1848,PROGRAMAS[],2,FALSE),0)</f>
        <v>67697118.033011258</v>
      </c>
      <c r="V1848" s="246">
        <f>IFERROR(VLOOKUP(H1848,PROGRAMAS[],2,FALSE),0)</f>
        <v>1440941976.2528784</v>
      </c>
      <c r="W1848" s="246">
        <f>IFERROR(VLOOKUP(I1848,PROGRAMAS[],2,FALSE),0)</f>
        <v>6907648435.8447599</v>
      </c>
      <c r="X1848" s="246">
        <f>IFERROR(VLOOKUP(J1848,PROGRAMAS[],2,FALSE),0)</f>
        <v>6128579952.1618185</v>
      </c>
      <c r="Y1848" s="246">
        <f>IFERROR(VLOOKUP(K1848,PROGRAMAS[],2,FALSE),0)</f>
        <v>3776538594.4604583</v>
      </c>
      <c r="Z1848" s="246">
        <f>IFERROR(VLOOKUP(L1848,PROGRAMAS[],2,FALSE),0)</f>
        <v>54223862.645839565</v>
      </c>
      <c r="AA1848" s="246">
        <f>IFERROR(VLOOKUP(M1848,PROGRAMAS[],2,FALSE),0)</f>
        <v>122159672.96346797</v>
      </c>
      <c r="AB1848" s="246">
        <f>IFERROR(VLOOKUP(N1848,PROGRAMAS[],2,FALSE),0)</f>
        <v>1892779498.5211046</v>
      </c>
      <c r="AC1848" s="246">
        <f>IFERROR(VLOOKUP(O1848,PROGRAMAS[],2,FALSE),0)</f>
        <v>0</v>
      </c>
      <c r="AD1848" s="246">
        <f>IFERROR(VLOOKUP(P1848,PROGRAMAS[],2,FALSE),0)</f>
        <v>0</v>
      </c>
      <c r="AE1848" s="246">
        <f>IFERROR(VLOOKUP(Q1848,PROGRAMAS[],2,FALSE),0)</f>
        <v>0</v>
      </c>
      <c r="AF1848" s="246">
        <f>IFERROR(VLOOKUP(D1848,PROGRAMAS[],3,FALSE),0)</f>
        <v>841888629.31080008</v>
      </c>
      <c r="AG1848" s="246">
        <f>IFERROR(VLOOKUP(E1848,PROGRAMAS[],3,FALSE),0)</f>
        <v>3848980803.1642323</v>
      </c>
      <c r="AH1848" s="246">
        <f>IFERROR(VLOOKUP(F1848,PROGRAMAS[],3,FALSE),0)</f>
        <v>3394901471.387517</v>
      </c>
      <c r="AI1848" s="246">
        <f>IFERROR(VLOOKUP(G1848,PROGRAMAS[],3,FALSE),0)</f>
        <v>125317226.95549992</v>
      </c>
      <c r="AJ1848" s="246">
        <f>IFERROR(VLOOKUP(H1848,PROGRAMAS[],3,FALSE),0)</f>
        <v>1233505101.0616004</v>
      </c>
      <c r="AK1848" s="246">
        <f>IFERROR(VLOOKUP(I1848,PROGRAMAS[],3,FALSE),0)</f>
        <v>6129902208.7912121</v>
      </c>
      <c r="AL1848" s="246">
        <f>IFERROR(VLOOKUP(J1848,PROGRAMAS[],3,FALSE),0)</f>
        <v>7011279577.519702</v>
      </c>
      <c r="AM1848" s="246">
        <f>IFERROR(VLOOKUP(K1848,PROGRAMAS[],3,FALSE),0)</f>
        <v>2392571243.5584412</v>
      </c>
      <c r="AN1848" s="246">
        <f>IFERROR(VLOOKUP(L1848,PROGRAMAS[],3,FALSE),0)</f>
        <v>31865326.38096505</v>
      </c>
      <c r="AO1848" s="246">
        <f>IFERROR(VLOOKUP(M1848,PROGRAMAS[],3,FALSE),0)</f>
        <v>118617452.52510804</v>
      </c>
      <c r="AP1848" s="246">
        <f>IFERROR(VLOOKUP(N1848,PROGRAMAS[],3,FALSE),0)</f>
        <v>948595847.09039903</v>
      </c>
      <c r="AQ1848" s="246">
        <f>IFERROR(VLOOKUP(O1848,PROGRAMAS[],3,FALSE),0)</f>
        <v>0</v>
      </c>
      <c r="AR1848" s="246">
        <f>IFERROR(VLOOKUP(P1848,PROGRAMAS[],3,FALSE),0)</f>
        <v>0</v>
      </c>
      <c r="AS1848" s="246">
        <f>IFERROR(VLOOKUP(Q1848,PROGRAMAS[],3,FALSE),0)</f>
        <v>0</v>
      </c>
      <c r="AT1848" s="246">
        <f>IFERROR(VLOOKUP(D1848,VOL_REC[],2,FALSE),0)</f>
        <v>0</v>
      </c>
      <c r="AU1848" s="246">
        <f>IFERROR(VLOOKUP(E1848,VOL_REC[],2,FALSE),0)</f>
        <v>0</v>
      </c>
      <c r="AV1848" s="246">
        <f>IFERROR(VLOOKUP(F1848,VOL_REC[],2,FALSE),0)</f>
        <v>11089674.200000001</v>
      </c>
      <c r="AW1848" s="246">
        <f>IFERROR(VLOOKUP(G1848,VOL_REC[],2,FALSE),0)</f>
        <v>90439.55</v>
      </c>
      <c r="AX1848" s="246">
        <f>IFERROR(VLOOKUP(H1848,VOL_REC[],2,FALSE),0)</f>
        <v>4325103.1812214684</v>
      </c>
      <c r="AY1848" s="246">
        <f>IFERROR(VLOOKUP(I1848,VOL_REC[],2,FALSE),0)</f>
        <v>15540036.397699751</v>
      </c>
      <c r="AZ1848" s="246">
        <f>IFERROR(VLOOKUP(J1848,VOL_REC[],2,FALSE),0)</f>
        <v>3761786</v>
      </c>
      <c r="BA1848" s="246">
        <f>IFERROR(VLOOKUP(K1848,VOL_REC[],2,FALSE),0)</f>
        <v>663244.80000000016</v>
      </c>
      <c r="BB1848" s="246">
        <f>IFERROR(VLOOKUP(L1848,VOL_REC[],2,FALSE),0)</f>
        <v>17074.045034105649</v>
      </c>
      <c r="BC1848" s="246">
        <f>IFERROR(VLOOKUP(M1848,VOL_REC[],2,FALSE),0)</f>
        <v>105072</v>
      </c>
      <c r="BD1848" s="246">
        <f>IFERROR(VLOOKUP(N1848,VOL_REC[],2,FALSE),0)</f>
        <v>740113.98115702497</v>
      </c>
      <c r="BE1848" s="246">
        <f>IFERROR(VLOOKUP(O1848,VOL_REC[],2,FALSE),0)</f>
        <v>0</v>
      </c>
      <c r="BF1848" s="246">
        <f>IFERROR(VLOOKUP(P1848,VOL_REC[],2,FALSE),0)</f>
        <v>0</v>
      </c>
      <c r="BG1848" s="246">
        <f>IFERROR(VLOOKUP(Q1848,VOL_REC[],2,FALSE),0)</f>
        <v>0</v>
      </c>
      <c r="BH1848" s="1710">
        <f t="shared" si="112"/>
        <v>24190436222.397377</v>
      </c>
      <c r="BI1848" s="1710">
        <f t="shared" si="113"/>
        <v>26077424887.74548</v>
      </c>
      <c r="BJ1848" s="1711">
        <f t="shared" si="114"/>
        <v>36332544.155112348</v>
      </c>
      <c r="BK1848" s="1711">
        <f t="shared" si="115"/>
        <v>0.9276389952815145</v>
      </c>
    </row>
    <row r="1849" spans="3:67" x14ac:dyDescent="0.25">
      <c r="C1849" s="246" t="s">
        <v>3199</v>
      </c>
      <c r="D1849" s="246">
        <v>1</v>
      </c>
      <c r="E1849" s="246">
        <v>2</v>
      </c>
      <c r="F1849" s="246">
        <v>3</v>
      </c>
      <c r="G1849" s="246">
        <v>4</v>
      </c>
      <c r="H1849" s="246">
        <v>5</v>
      </c>
      <c r="I1849" s="246">
        <v>6</v>
      </c>
      <c r="J1849" s="246">
        <v>9</v>
      </c>
      <c r="K1849" s="246">
        <v>13</v>
      </c>
      <c r="L1849" s="246">
        <v>14</v>
      </c>
      <c r="M1849" s="246">
        <v>16</v>
      </c>
      <c r="N1849" s="246">
        <v>17</v>
      </c>
      <c r="O1849" s="246"/>
      <c r="P1849" s="246"/>
      <c r="Q1849" s="246"/>
      <c r="R1849" s="246">
        <f>IFERROR(VLOOKUP(D1849,PROGRAMAS[],2,FALSE),0)</f>
        <v>97037803.679377079</v>
      </c>
      <c r="S1849" s="246">
        <f>IFERROR(VLOOKUP(E1849,PROGRAMAS[],2,FALSE),0)</f>
        <v>640501509.6821388</v>
      </c>
      <c r="T1849" s="246">
        <f>IFERROR(VLOOKUP(F1849,PROGRAMAS[],2,FALSE),0)</f>
        <v>3062327798.1525245</v>
      </c>
      <c r="U1849" s="246">
        <f>IFERROR(VLOOKUP(G1849,PROGRAMAS[],2,FALSE),0)</f>
        <v>67697118.033011258</v>
      </c>
      <c r="V1849" s="246">
        <f>IFERROR(VLOOKUP(H1849,PROGRAMAS[],2,FALSE),0)</f>
        <v>1440941976.2528784</v>
      </c>
      <c r="W1849" s="246">
        <f>IFERROR(VLOOKUP(I1849,PROGRAMAS[],2,FALSE),0)</f>
        <v>6907648435.8447599</v>
      </c>
      <c r="X1849" s="246">
        <f>IFERROR(VLOOKUP(J1849,PROGRAMAS[],2,FALSE),0)</f>
        <v>6128579952.1618185</v>
      </c>
      <c r="Y1849" s="246">
        <f>IFERROR(VLOOKUP(K1849,PROGRAMAS[],2,FALSE),0)</f>
        <v>3776538594.4604583</v>
      </c>
      <c r="Z1849" s="246">
        <f>IFERROR(VLOOKUP(L1849,PROGRAMAS[],2,FALSE),0)</f>
        <v>54223862.645839565</v>
      </c>
      <c r="AA1849" s="246">
        <f>IFERROR(VLOOKUP(M1849,PROGRAMAS[],2,FALSE),0)</f>
        <v>7068496961.0436354</v>
      </c>
      <c r="AB1849" s="246">
        <f>IFERROR(VLOOKUP(N1849,PROGRAMAS[],2,FALSE),0)</f>
        <v>1892779498.5211046</v>
      </c>
      <c r="AC1849" s="246">
        <f>IFERROR(VLOOKUP(O1849,PROGRAMAS[],2,FALSE),0)</f>
        <v>0</v>
      </c>
      <c r="AD1849" s="246">
        <f>IFERROR(VLOOKUP(P1849,PROGRAMAS[],2,FALSE),0)</f>
        <v>0</v>
      </c>
      <c r="AE1849" s="246">
        <f>IFERROR(VLOOKUP(Q1849,PROGRAMAS[],2,FALSE),0)</f>
        <v>0</v>
      </c>
      <c r="AF1849" s="246">
        <f>IFERROR(VLOOKUP(D1849,PROGRAMAS[],3,FALSE),0)</f>
        <v>841888629.31080008</v>
      </c>
      <c r="AG1849" s="246">
        <f>IFERROR(VLOOKUP(E1849,PROGRAMAS[],3,FALSE),0)</f>
        <v>3848980803.1642323</v>
      </c>
      <c r="AH1849" s="246">
        <f>IFERROR(VLOOKUP(F1849,PROGRAMAS[],3,FALSE),0)</f>
        <v>3394901471.387517</v>
      </c>
      <c r="AI1849" s="246">
        <f>IFERROR(VLOOKUP(G1849,PROGRAMAS[],3,FALSE),0)</f>
        <v>125317226.95549992</v>
      </c>
      <c r="AJ1849" s="246">
        <f>IFERROR(VLOOKUP(H1849,PROGRAMAS[],3,FALSE),0)</f>
        <v>1233505101.0616004</v>
      </c>
      <c r="AK1849" s="246">
        <f>IFERROR(VLOOKUP(I1849,PROGRAMAS[],3,FALSE),0)</f>
        <v>6129902208.7912121</v>
      </c>
      <c r="AL1849" s="246">
        <f>IFERROR(VLOOKUP(J1849,PROGRAMAS[],3,FALSE),0)</f>
        <v>7011279577.519702</v>
      </c>
      <c r="AM1849" s="246">
        <f>IFERROR(VLOOKUP(K1849,PROGRAMAS[],3,FALSE),0)</f>
        <v>2392571243.5584412</v>
      </c>
      <c r="AN1849" s="246">
        <f>IFERROR(VLOOKUP(L1849,PROGRAMAS[],3,FALSE),0)</f>
        <v>31865326.38096505</v>
      </c>
      <c r="AO1849" s="246">
        <f>IFERROR(VLOOKUP(M1849,PROGRAMAS[],3,FALSE),0)</f>
        <v>2406564599.0319901</v>
      </c>
      <c r="AP1849" s="246">
        <f>IFERROR(VLOOKUP(N1849,PROGRAMAS[],3,FALSE),0)</f>
        <v>948595847.09039903</v>
      </c>
      <c r="AQ1849" s="246">
        <f>IFERROR(VLOOKUP(O1849,PROGRAMAS[],3,FALSE),0)</f>
        <v>0</v>
      </c>
      <c r="AR1849" s="246">
        <f>IFERROR(VLOOKUP(P1849,PROGRAMAS[],3,FALSE),0)</f>
        <v>0</v>
      </c>
      <c r="AS1849" s="246">
        <f>IFERROR(VLOOKUP(Q1849,PROGRAMAS[],3,FALSE),0)</f>
        <v>0</v>
      </c>
      <c r="AT1849" s="246">
        <f>IFERROR(VLOOKUP(D1849,VOL_REC[],2,FALSE),0)</f>
        <v>0</v>
      </c>
      <c r="AU1849" s="246">
        <f>IFERROR(VLOOKUP(E1849,VOL_REC[],2,FALSE),0)</f>
        <v>0</v>
      </c>
      <c r="AV1849" s="246">
        <f>IFERROR(VLOOKUP(F1849,VOL_REC[],2,FALSE),0)</f>
        <v>11089674.200000001</v>
      </c>
      <c r="AW1849" s="246">
        <f>IFERROR(VLOOKUP(G1849,VOL_REC[],2,FALSE),0)</f>
        <v>90439.55</v>
      </c>
      <c r="AX1849" s="246">
        <f>IFERROR(VLOOKUP(H1849,VOL_REC[],2,FALSE),0)</f>
        <v>4325103.1812214684</v>
      </c>
      <c r="AY1849" s="246">
        <f>IFERROR(VLOOKUP(I1849,VOL_REC[],2,FALSE),0)</f>
        <v>15540036.397699751</v>
      </c>
      <c r="AZ1849" s="246">
        <f>IFERROR(VLOOKUP(J1849,VOL_REC[],2,FALSE),0)</f>
        <v>3761786</v>
      </c>
      <c r="BA1849" s="246">
        <f>IFERROR(VLOOKUP(K1849,VOL_REC[],2,FALSE),0)</f>
        <v>663244.80000000016</v>
      </c>
      <c r="BB1849" s="246">
        <f>IFERROR(VLOOKUP(L1849,VOL_REC[],2,FALSE),0)</f>
        <v>17074.045034105649</v>
      </c>
      <c r="BC1849" s="246">
        <f>IFERROR(VLOOKUP(M1849,VOL_REC[],2,FALSE),0)</f>
        <v>1072354.9981737854</v>
      </c>
      <c r="BD1849" s="246">
        <f>IFERROR(VLOOKUP(N1849,VOL_REC[],2,FALSE),0)</f>
        <v>740113.98115702497</v>
      </c>
      <c r="BE1849" s="246">
        <f>IFERROR(VLOOKUP(O1849,VOL_REC[],2,FALSE),0)</f>
        <v>0</v>
      </c>
      <c r="BF1849" s="246">
        <f>IFERROR(VLOOKUP(P1849,VOL_REC[],2,FALSE),0)</f>
        <v>0</v>
      </c>
      <c r="BG1849" s="246">
        <f>IFERROR(VLOOKUP(Q1849,VOL_REC[],2,FALSE),0)</f>
        <v>0</v>
      </c>
      <c r="BH1849" s="1710">
        <f t="shared" si="112"/>
        <v>31136773510.477547</v>
      </c>
      <c r="BI1849" s="1710">
        <f t="shared" si="113"/>
        <v>28365372034.252361</v>
      </c>
      <c r="BJ1849" s="1711">
        <f t="shared" si="114"/>
        <v>37299827.153286137</v>
      </c>
      <c r="BK1849" s="1711">
        <f t="shared" si="115"/>
        <v>1.0977036885988523</v>
      </c>
      <c r="BL1849">
        <f>BJ1849</f>
        <v>37299827.153286137</v>
      </c>
      <c r="BO1849">
        <f>BL1849</f>
        <v>37299827.153286137</v>
      </c>
    </row>
    <row r="1850" spans="3:67" x14ac:dyDescent="0.25">
      <c r="C1850" s="246" t="s">
        <v>3200</v>
      </c>
      <c r="D1850" s="246">
        <v>1</v>
      </c>
      <c r="E1850" s="246">
        <v>2</v>
      </c>
      <c r="F1850" s="246">
        <v>3</v>
      </c>
      <c r="G1850" s="246">
        <v>4</v>
      </c>
      <c r="H1850" s="246">
        <v>5</v>
      </c>
      <c r="I1850" s="246">
        <v>6</v>
      </c>
      <c r="J1850" s="246">
        <v>9</v>
      </c>
      <c r="K1850" s="246">
        <v>13</v>
      </c>
      <c r="L1850" s="246">
        <v>15</v>
      </c>
      <c r="M1850" s="246">
        <v>16</v>
      </c>
      <c r="N1850" s="246">
        <v>17</v>
      </c>
      <c r="O1850" s="246"/>
      <c r="P1850" s="246"/>
      <c r="Q1850" s="246"/>
      <c r="R1850" s="246">
        <f>IFERROR(VLOOKUP(D1850,PROGRAMAS[],2,FALSE),0)</f>
        <v>97037803.679377079</v>
      </c>
      <c r="S1850" s="246">
        <f>IFERROR(VLOOKUP(E1850,PROGRAMAS[],2,FALSE),0)</f>
        <v>640501509.6821388</v>
      </c>
      <c r="T1850" s="246">
        <f>IFERROR(VLOOKUP(F1850,PROGRAMAS[],2,FALSE),0)</f>
        <v>3062327798.1525245</v>
      </c>
      <c r="U1850" s="246">
        <f>IFERROR(VLOOKUP(G1850,PROGRAMAS[],2,FALSE),0)</f>
        <v>67697118.033011258</v>
      </c>
      <c r="V1850" s="246">
        <f>IFERROR(VLOOKUP(H1850,PROGRAMAS[],2,FALSE),0)</f>
        <v>1440941976.2528784</v>
      </c>
      <c r="W1850" s="246">
        <f>IFERROR(VLOOKUP(I1850,PROGRAMAS[],2,FALSE),0)</f>
        <v>6907648435.8447599</v>
      </c>
      <c r="X1850" s="246">
        <f>IFERROR(VLOOKUP(J1850,PROGRAMAS[],2,FALSE),0)</f>
        <v>6128579952.1618185</v>
      </c>
      <c r="Y1850" s="246">
        <f>IFERROR(VLOOKUP(K1850,PROGRAMAS[],2,FALSE),0)</f>
        <v>3776538594.4604583</v>
      </c>
      <c r="Z1850" s="246">
        <f>IFERROR(VLOOKUP(L1850,PROGRAMAS[],2,FALSE),0)</f>
        <v>122159672.96346797</v>
      </c>
      <c r="AA1850" s="246">
        <f>IFERROR(VLOOKUP(M1850,PROGRAMAS[],2,FALSE),0)</f>
        <v>7068496961.0436354</v>
      </c>
      <c r="AB1850" s="246">
        <f>IFERROR(VLOOKUP(N1850,PROGRAMAS[],2,FALSE),0)</f>
        <v>1892779498.5211046</v>
      </c>
      <c r="AC1850" s="246">
        <f>IFERROR(VLOOKUP(O1850,PROGRAMAS[],2,FALSE),0)</f>
        <v>0</v>
      </c>
      <c r="AD1850" s="246">
        <f>IFERROR(VLOOKUP(P1850,PROGRAMAS[],2,FALSE),0)</f>
        <v>0</v>
      </c>
      <c r="AE1850" s="246">
        <f>IFERROR(VLOOKUP(Q1850,PROGRAMAS[],2,FALSE),0)</f>
        <v>0</v>
      </c>
      <c r="AF1850" s="246">
        <f>IFERROR(VLOOKUP(D1850,PROGRAMAS[],3,FALSE),0)</f>
        <v>841888629.31080008</v>
      </c>
      <c r="AG1850" s="246">
        <f>IFERROR(VLOOKUP(E1850,PROGRAMAS[],3,FALSE),0)</f>
        <v>3848980803.1642323</v>
      </c>
      <c r="AH1850" s="246">
        <f>IFERROR(VLOOKUP(F1850,PROGRAMAS[],3,FALSE),0)</f>
        <v>3394901471.387517</v>
      </c>
      <c r="AI1850" s="246">
        <f>IFERROR(VLOOKUP(G1850,PROGRAMAS[],3,FALSE),0)</f>
        <v>125317226.95549992</v>
      </c>
      <c r="AJ1850" s="246">
        <f>IFERROR(VLOOKUP(H1850,PROGRAMAS[],3,FALSE),0)</f>
        <v>1233505101.0616004</v>
      </c>
      <c r="AK1850" s="246">
        <f>IFERROR(VLOOKUP(I1850,PROGRAMAS[],3,FALSE),0)</f>
        <v>6129902208.7912121</v>
      </c>
      <c r="AL1850" s="246">
        <f>IFERROR(VLOOKUP(J1850,PROGRAMAS[],3,FALSE),0)</f>
        <v>7011279577.519702</v>
      </c>
      <c r="AM1850" s="246">
        <f>IFERROR(VLOOKUP(K1850,PROGRAMAS[],3,FALSE),0)</f>
        <v>2392571243.5584412</v>
      </c>
      <c r="AN1850" s="246">
        <f>IFERROR(VLOOKUP(L1850,PROGRAMAS[],3,FALSE),0)</f>
        <v>118617452.52510804</v>
      </c>
      <c r="AO1850" s="246">
        <f>IFERROR(VLOOKUP(M1850,PROGRAMAS[],3,FALSE),0)</f>
        <v>2406564599.0319901</v>
      </c>
      <c r="AP1850" s="246">
        <f>IFERROR(VLOOKUP(N1850,PROGRAMAS[],3,FALSE),0)</f>
        <v>948595847.09039903</v>
      </c>
      <c r="AQ1850" s="246">
        <f>IFERROR(VLOOKUP(O1850,PROGRAMAS[],3,FALSE),0)</f>
        <v>0</v>
      </c>
      <c r="AR1850" s="246">
        <f>IFERROR(VLOOKUP(P1850,PROGRAMAS[],3,FALSE),0)</f>
        <v>0</v>
      </c>
      <c r="AS1850" s="246">
        <f>IFERROR(VLOOKUP(Q1850,PROGRAMAS[],3,FALSE),0)</f>
        <v>0</v>
      </c>
      <c r="AT1850" s="246">
        <f>IFERROR(VLOOKUP(D1850,VOL_REC[],2,FALSE),0)</f>
        <v>0</v>
      </c>
      <c r="AU1850" s="246">
        <f>IFERROR(VLOOKUP(E1850,VOL_REC[],2,FALSE),0)</f>
        <v>0</v>
      </c>
      <c r="AV1850" s="246">
        <f>IFERROR(VLOOKUP(F1850,VOL_REC[],2,FALSE),0)</f>
        <v>11089674.200000001</v>
      </c>
      <c r="AW1850" s="246">
        <f>IFERROR(VLOOKUP(G1850,VOL_REC[],2,FALSE),0)</f>
        <v>90439.55</v>
      </c>
      <c r="AX1850" s="246">
        <f>IFERROR(VLOOKUP(H1850,VOL_REC[],2,FALSE),0)</f>
        <v>4325103.1812214684</v>
      </c>
      <c r="AY1850" s="246">
        <f>IFERROR(VLOOKUP(I1850,VOL_REC[],2,FALSE),0)</f>
        <v>15540036.397699751</v>
      </c>
      <c r="AZ1850" s="246">
        <f>IFERROR(VLOOKUP(J1850,VOL_REC[],2,FALSE),0)</f>
        <v>3761786</v>
      </c>
      <c r="BA1850" s="246">
        <f>IFERROR(VLOOKUP(K1850,VOL_REC[],2,FALSE),0)</f>
        <v>663244.80000000016</v>
      </c>
      <c r="BB1850" s="246">
        <f>IFERROR(VLOOKUP(L1850,VOL_REC[],2,FALSE),0)</f>
        <v>105072</v>
      </c>
      <c r="BC1850" s="246">
        <f>IFERROR(VLOOKUP(M1850,VOL_REC[],2,FALSE),0)</f>
        <v>1072354.9981737854</v>
      </c>
      <c r="BD1850" s="246">
        <f>IFERROR(VLOOKUP(N1850,VOL_REC[],2,FALSE),0)</f>
        <v>740113.98115702497</v>
      </c>
      <c r="BE1850" s="246">
        <f>IFERROR(VLOOKUP(O1850,VOL_REC[],2,FALSE),0)</f>
        <v>0</v>
      </c>
      <c r="BF1850" s="246">
        <f>IFERROR(VLOOKUP(P1850,VOL_REC[],2,FALSE),0)</f>
        <v>0</v>
      </c>
      <c r="BG1850" s="246">
        <f>IFERROR(VLOOKUP(Q1850,VOL_REC[],2,FALSE),0)</f>
        <v>0</v>
      </c>
      <c r="BH1850" s="1710">
        <f t="shared" si="112"/>
        <v>31204709320.795174</v>
      </c>
      <c r="BI1850" s="1710">
        <f t="shared" si="113"/>
        <v>28452124160.396503</v>
      </c>
      <c r="BJ1850" s="1711">
        <f t="shared" si="114"/>
        <v>37387825.108252034</v>
      </c>
      <c r="BK1850" s="1711">
        <f t="shared" si="115"/>
        <v>1.0967444520093192</v>
      </c>
      <c r="BL1850">
        <f>BJ1850</f>
        <v>37387825.108252034</v>
      </c>
      <c r="BO1850">
        <f>BL1850</f>
        <v>37387825.108252034</v>
      </c>
    </row>
    <row r="1851" spans="3:67" x14ac:dyDescent="0.25">
      <c r="C1851" s="246" t="s">
        <v>3201</v>
      </c>
      <c r="D1851" s="246">
        <v>1</v>
      </c>
      <c r="E1851" s="246">
        <v>2</v>
      </c>
      <c r="F1851" s="246">
        <v>3</v>
      </c>
      <c r="G1851" s="246">
        <v>4</v>
      </c>
      <c r="H1851" s="246">
        <v>5</v>
      </c>
      <c r="I1851" s="246">
        <v>6</v>
      </c>
      <c r="J1851" s="246">
        <v>9</v>
      </c>
      <c r="K1851" s="246">
        <v>14</v>
      </c>
      <c r="L1851" s="246">
        <v>15</v>
      </c>
      <c r="M1851" s="246">
        <v>16</v>
      </c>
      <c r="N1851" s="246">
        <v>17</v>
      </c>
      <c r="O1851" s="246"/>
      <c r="P1851" s="246"/>
      <c r="Q1851" s="246"/>
      <c r="R1851" s="246">
        <f>IFERROR(VLOOKUP(D1851,PROGRAMAS[],2,FALSE),0)</f>
        <v>97037803.679377079</v>
      </c>
      <c r="S1851" s="246">
        <f>IFERROR(VLOOKUP(E1851,PROGRAMAS[],2,FALSE),0)</f>
        <v>640501509.6821388</v>
      </c>
      <c r="T1851" s="246">
        <f>IFERROR(VLOOKUP(F1851,PROGRAMAS[],2,FALSE),0)</f>
        <v>3062327798.1525245</v>
      </c>
      <c r="U1851" s="246">
        <f>IFERROR(VLOOKUP(G1851,PROGRAMAS[],2,FALSE),0)</f>
        <v>67697118.033011258</v>
      </c>
      <c r="V1851" s="246">
        <f>IFERROR(VLOOKUP(H1851,PROGRAMAS[],2,FALSE),0)</f>
        <v>1440941976.2528784</v>
      </c>
      <c r="W1851" s="246">
        <f>IFERROR(VLOOKUP(I1851,PROGRAMAS[],2,FALSE),0)</f>
        <v>6907648435.8447599</v>
      </c>
      <c r="X1851" s="246">
        <f>IFERROR(VLOOKUP(J1851,PROGRAMAS[],2,FALSE),0)</f>
        <v>6128579952.1618185</v>
      </c>
      <c r="Y1851" s="246">
        <f>IFERROR(VLOOKUP(K1851,PROGRAMAS[],2,FALSE),0)</f>
        <v>54223862.645839565</v>
      </c>
      <c r="Z1851" s="246">
        <f>IFERROR(VLOOKUP(L1851,PROGRAMAS[],2,FALSE),0)</f>
        <v>122159672.96346797</v>
      </c>
      <c r="AA1851" s="246">
        <f>IFERROR(VLOOKUP(M1851,PROGRAMAS[],2,FALSE),0)</f>
        <v>7068496961.0436354</v>
      </c>
      <c r="AB1851" s="246">
        <f>IFERROR(VLOOKUP(N1851,PROGRAMAS[],2,FALSE),0)</f>
        <v>1892779498.5211046</v>
      </c>
      <c r="AC1851" s="246">
        <f>IFERROR(VLOOKUP(O1851,PROGRAMAS[],2,FALSE),0)</f>
        <v>0</v>
      </c>
      <c r="AD1851" s="246">
        <f>IFERROR(VLOOKUP(P1851,PROGRAMAS[],2,FALSE),0)</f>
        <v>0</v>
      </c>
      <c r="AE1851" s="246">
        <f>IFERROR(VLOOKUP(Q1851,PROGRAMAS[],2,FALSE),0)</f>
        <v>0</v>
      </c>
      <c r="AF1851" s="246">
        <f>IFERROR(VLOOKUP(D1851,PROGRAMAS[],3,FALSE),0)</f>
        <v>841888629.31080008</v>
      </c>
      <c r="AG1851" s="246">
        <f>IFERROR(VLOOKUP(E1851,PROGRAMAS[],3,FALSE),0)</f>
        <v>3848980803.1642323</v>
      </c>
      <c r="AH1851" s="246">
        <f>IFERROR(VLOOKUP(F1851,PROGRAMAS[],3,FALSE),0)</f>
        <v>3394901471.387517</v>
      </c>
      <c r="AI1851" s="246">
        <f>IFERROR(VLOOKUP(G1851,PROGRAMAS[],3,FALSE),0)</f>
        <v>125317226.95549992</v>
      </c>
      <c r="AJ1851" s="246">
        <f>IFERROR(VLOOKUP(H1851,PROGRAMAS[],3,FALSE),0)</f>
        <v>1233505101.0616004</v>
      </c>
      <c r="AK1851" s="246">
        <f>IFERROR(VLOOKUP(I1851,PROGRAMAS[],3,FALSE),0)</f>
        <v>6129902208.7912121</v>
      </c>
      <c r="AL1851" s="246">
        <f>IFERROR(VLOOKUP(J1851,PROGRAMAS[],3,FALSE),0)</f>
        <v>7011279577.519702</v>
      </c>
      <c r="AM1851" s="246">
        <f>IFERROR(VLOOKUP(K1851,PROGRAMAS[],3,FALSE),0)</f>
        <v>31865326.38096505</v>
      </c>
      <c r="AN1851" s="246">
        <f>IFERROR(VLOOKUP(L1851,PROGRAMAS[],3,FALSE),0)</f>
        <v>118617452.52510804</v>
      </c>
      <c r="AO1851" s="246">
        <f>IFERROR(VLOOKUP(M1851,PROGRAMAS[],3,FALSE),0)</f>
        <v>2406564599.0319901</v>
      </c>
      <c r="AP1851" s="246">
        <f>IFERROR(VLOOKUP(N1851,PROGRAMAS[],3,FALSE),0)</f>
        <v>948595847.09039903</v>
      </c>
      <c r="AQ1851" s="246">
        <f>IFERROR(VLOOKUP(O1851,PROGRAMAS[],3,FALSE),0)</f>
        <v>0</v>
      </c>
      <c r="AR1851" s="246">
        <f>IFERROR(VLOOKUP(P1851,PROGRAMAS[],3,FALSE),0)</f>
        <v>0</v>
      </c>
      <c r="AS1851" s="246">
        <f>IFERROR(VLOOKUP(Q1851,PROGRAMAS[],3,FALSE),0)</f>
        <v>0</v>
      </c>
      <c r="AT1851" s="246">
        <f>IFERROR(VLOOKUP(D1851,VOL_REC[],2,FALSE),0)</f>
        <v>0</v>
      </c>
      <c r="AU1851" s="246">
        <f>IFERROR(VLOOKUP(E1851,VOL_REC[],2,FALSE),0)</f>
        <v>0</v>
      </c>
      <c r="AV1851" s="246">
        <f>IFERROR(VLOOKUP(F1851,VOL_REC[],2,FALSE),0)</f>
        <v>11089674.200000001</v>
      </c>
      <c r="AW1851" s="246">
        <f>IFERROR(VLOOKUP(G1851,VOL_REC[],2,FALSE),0)</f>
        <v>90439.55</v>
      </c>
      <c r="AX1851" s="246">
        <f>IFERROR(VLOOKUP(H1851,VOL_REC[],2,FALSE),0)</f>
        <v>4325103.1812214684</v>
      </c>
      <c r="AY1851" s="246">
        <f>IFERROR(VLOOKUP(I1851,VOL_REC[],2,FALSE),0)</f>
        <v>15540036.397699751</v>
      </c>
      <c r="AZ1851" s="246">
        <f>IFERROR(VLOOKUP(J1851,VOL_REC[],2,FALSE),0)</f>
        <v>3761786</v>
      </c>
      <c r="BA1851" s="246">
        <f>IFERROR(VLOOKUP(K1851,VOL_REC[],2,FALSE),0)</f>
        <v>17074.045034105649</v>
      </c>
      <c r="BB1851" s="246">
        <f>IFERROR(VLOOKUP(L1851,VOL_REC[],2,FALSE),0)</f>
        <v>105072</v>
      </c>
      <c r="BC1851" s="246">
        <f>IFERROR(VLOOKUP(M1851,VOL_REC[],2,FALSE),0)</f>
        <v>1072354.9981737854</v>
      </c>
      <c r="BD1851" s="246">
        <f>IFERROR(VLOOKUP(N1851,VOL_REC[],2,FALSE),0)</f>
        <v>740113.98115702497</v>
      </c>
      <c r="BE1851" s="246">
        <f>IFERROR(VLOOKUP(O1851,VOL_REC[],2,FALSE),0)</f>
        <v>0</v>
      </c>
      <c r="BF1851" s="246">
        <f>IFERROR(VLOOKUP(P1851,VOL_REC[],2,FALSE),0)</f>
        <v>0</v>
      </c>
      <c r="BG1851" s="246">
        <f>IFERROR(VLOOKUP(Q1851,VOL_REC[],2,FALSE),0)</f>
        <v>0</v>
      </c>
      <c r="BH1851" s="1710">
        <f t="shared" si="112"/>
        <v>27482394588.980556</v>
      </c>
      <c r="BI1851" s="1710">
        <f t="shared" si="113"/>
        <v>26091418243.219028</v>
      </c>
      <c r="BJ1851" s="1711">
        <f t="shared" si="114"/>
        <v>36741654.35328614</v>
      </c>
      <c r="BK1851" s="1711">
        <f t="shared" si="115"/>
        <v>1.0533116418891117</v>
      </c>
      <c r="BL1851">
        <f>BJ1851</f>
        <v>36741654.35328614</v>
      </c>
      <c r="BO1851">
        <f>BL1851</f>
        <v>36741654.35328614</v>
      </c>
    </row>
    <row r="1852" spans="3:67" x14ac:dyDescent="0.25">
      <c r="C1852" s="246" t="s">
        <v>3202</v>
      </c>
      <c r="D1852" s="246">
        <v>1</v>
      </c>
      <c r="E1852" s="246">
        <v>2</v>
      </c>
      <c r="F1852" s="246">
        <v>3</v>
      </c>
      <c r="G1852" s="246">
        <v>4</v>
      </c>
      <c r="H1852" s="246">
        <v>5</v>
      </c>
      <c r="I1852" s="246">
        <v>6</v>
      </c>
      <c r="J1852" s="246">
        <v>10</v>
      </c>
      <c r="K1852" s="246">
        <v>12</v>
      </c>
      <c r="L1852" s="246">
        <v>13</v>
      </c>
      <c r="M1852" s="246">
        <v>14</v>
      </c>
      <c r="N1852" s="246">
        <v>15</v>
      </c>
      <c r="O1852" s="246"/>
      <c r="P1852" s="246"/>
      <c r="Q1852" s="246"/>
      <c r="R1852" s="246">
        <f>IFERROR(VLOOKUP(D1852,PROGRAMAS[],2,FALSE),0)</f>
        <v>97037803.679377079</v>
      </c>
      <c r="S1852" s="246">
        <f>IFERROR(VLOOKUP(E1852,PROGRAMAS[],2,FALSE),0)</f>
        <v>640501509.6821388</v>
      </c>
      <c r="T1852" s="246">
        <f>IFERROR(VLOOKUP(F1852,PROGRAMAS[],2,FALSE),0)</f>
        <v>3062327798.1525245</v>
      </c>
      <c r="U1852" s="246">
        <f>IFERROR(VLOOKUP(G1852,PROGRAMAS[],2,FALSE),0)</f>
        <v>67697118.033011258</v>
      </c>
      <c r="V1852" s="246">
        <f>IFERROR(VLOOKUP(H1852,PROGRAMAS[],2,FALSE),0)</f>
        <v>1440941976.2528784</v>
      </c>
      <c r="W1852" s="246">
        <f>IFERROR(VLOOKUP(I1852,PROGRAMAS[],2,FALSE),0)</f>
        <v>6907648435.8447599</v>
      </c>
      <c r="X1852" s="246">
        <f>IFERROR(VLOOKUP(J1852,PROGRAMAS[],2,FALSE),0)</f>
        <v>4635315027.8751087</v>
      </c>
      <c r="Y1852" s="246">
        <f>IFERROR(VLOOKUP(K1852,PROGRAMAS[],2,FALSE),0)</f>
        <v>764796700.79905891</v>
      </c>
      <c r="Z1852" s="246">
        <f>IFERROR(VLOOKUP(L1852,PROGRAMAS[],2,FALSE),0)</f>
        <v>3776538594.4604583</v>
      </c>
      <c r="AA1852" s="246">
        <f>IFERROR(VLOOKUP(M1852,PROGRAMAS[],2,FALSE),0)</f>
        <v>54223862.645839565</v>
      </c>
      <c r="AB1852" s="246">
        <f>IFERROR(VLOOKUP(N1852,PROGRAMAS[],2,FALSE),0)</f>
        <v>122159672.96346797</v>
      </c>
      <c r="AC1852" s="246">
        <f>IFERROR(VLOOKUP(O1852,PROGRAMAS[],2,FALSE),0)</f>
        <v>0</v>
      </c>
      <c r="AD1852" s="246">
        <f>IFERROR(VLOOKUP(P1852,PROGRAMAS[],2,FALSE),0)</f>
        <v>0</v>
      </c>
      <c r="AE1852" s="246">
        <f>IFERROR(VLOOKUP(Q1852,PROGRAMAS[],2,FALSE),0)</f>
        <v>0</v>
      </c>
      <c r="AF1852" s="246">
        <f>IFERROR(VLOOKUP(D1852,PROGRAMAS[],3,FALSE),0)</f>
        <v>841888629.31080008</v>
      </c>
      <c r="AG1852" s="246">
        <f>IFERROR(VLOOKUP(E1852,PROGRAMAS[],3,FALSE),0)</f>
        <v>3848980803.1642323</v>
      </c>
      <c r="AH1852" s="246">
        <f>IFERROR(VLOOKUP(F1852,PROGRAMAS[],3,FALSE),0)</f>
        <v>3394901471.387517</v>
      </c>
      <c r="AI1852" s="246">
        <f>IFERROR(VLOOKUP(G1852,PROGRAMAS[],3,FALSE),0)</f>
        <v>125317226.95549992</v>
      </c>
      <c r="AJ1852" s="246">
        <f>IFERROR(VLOOKUP(H1852,PROGRAMAS[],3,FALSE),0)</f>
        <v>1233505101.0616004</v>
      </c>
      <c r="AK1852" s="246">
        <f>IFERROR(VLOOKUP(I1852,PROGRAMAS[],3,FALSE),0)</f>
        <v>6129902208.7912121</v>
      </c>
      <c r="AL1852" s="246">
        <f>IFERROR(VLOOKUP(J1852,PROGRAMAS[],3,FALSE),0)</f>
        <v>4099471734.9978786</v>
      </c>
      <c r="AM1852" s="246">
        <f>IFERROR(VLOOKUP(K1852,PROGRAMAS[],3,FALSE),0)</f>
        <v>675517840.109828</v>
      </c>
      <c r="AN1852" s="246">
        <f>IFERROR(VLOOKUP(L1852,PROGRAMAS[],3,FALSE),0)</f>
        <v>2392571243.5584412</v>
      </c>
      <c r="AO1852" s="246">
        <f>IFERROR(VLOOKUP(M1852,PROGRAMAS[],3,FALSE),0)</f>
        <v>31865326.38096505</v>
      </c>
      <c r="AP1852" s="246">
        <f>IFERROR(VLOOKUP(N1852,PROGRAMAS[],3,FALSE),0)</f>
        <v>118617452.52510804</v>
      </c>
      <c r="AQ1852" s="246">
        <f>IFERROR(VLOOKUP(O1852,PROGRAMAS[],3,FALSE),0)</f>
        <v>0</v>
      </c>
      <c r="AR1852" s="246">
        <f>IFERROR(VLOOKUP(P1852,PROGRAMAS[],3,FALSE),0)</f>
        <v>0</v>
      </c>
      <c r="AS1852" s="246">
        <f>IFERROR(VLOOKUP(Q1852,PROGRAMAS[],3,FALSE),0)</f>
        <v>0</v>
      </c>
      <c r="AT1852" s="246">
        <f>IFERROR(VLOOKUP(D1852,VOL_REC[],2,FALSE),0)</f>
        <v>0</v>
      </c>
      <c r="AU1852" s="246">
        <f>IFERROR(VLOOKUP(E1852,VOL_REC[],2,FALSE),0)</f>
        <v>0</v>
      </c>
      <c r="AV1852" s="246">
        <f>IFERROR(VLOOKUP(F1852,VOL_REC[],2,FALSE),0)</f>
        <v>11089674.200000001</v>
      </c>
      <c r="AW1852" s="246">
        <f>IFERROR(VLOOKUP(G1852,VOL_REC[],2,FALSE),0)</f>
        <v>90439.55</v>
      </c>
      <c r="AX1852" s="246">
        <f>IFERROR(VLOOKUP(H1852,VOL_REC[],2,FALSE),0)</f>
        <v>4325103.1812214684</v>
      </c>
      <c r="AY1852" s="246">
        <f>IFERROR(VLOOKUP(I1852,VOL_REC[],2,FALSE),0)</f>
        <v>15540036.397699751</v>
      </c>
      <c r="AZ1852" s="246">
        <f>IFERROR(VLOOKUP(J1852,VOL_REC[],2,FALSE),0)</f>
        <v>1812240</v>
      </c>
      <c r="BA1852" s="246">
        <f>IFERROR(VLOOKUP(K1852,VOL_REC[],2,FALSE),0)</f>
        <v>240696.79238099116</v>
      </c>
      <c r="BB1852" s="246">
        <f>IFERROR(VLOOKUP(L1852,VOL_REC[],2,FALSE),0)</f>
        <v>663244.80000000016</v>
      </c>
      <c r="BC1852" s="246">
        <f>IFERROR(VLOOKUP(M1852,VOL_REC[],2,FALSE),0)</f>
        <v>17074.045034105649</v>
      </c>
      <c r="BD1852" s="246">
        <f>IFERROR(VLOOKUP(N1852,VOL_REC[],2,FALSE),0)</f>
        <v>105072</v>
      </c>
      <c r="BE1852" s="246">
        <f>IFERROR(VLOOKUP(O1852,VOL_REC[],2,FALSE),0)</f>
        <v>0</v>
      </c>
      <c r="BF1852" s="246">
        <f>IFERROR(VLOOKUP(P1852,VOL_REC[],2,FALSE),0)</f>
        <v>0</v>
      </c>
      <c r="BG1852" s="246">
        <f>IFERROR(VLOOKUP(Q1852,VOL_REC[],2,FALSE),0)</f>
        <v>0</v>
      </c>
      <c r="BH1852" s="1710">
        <f t="shared" si="112"/>
        <v>21569188500.388622</v>
      </c>
      <c r="BI1852" s="1710">
        <f t="shared" si="113"/>
        <v>22892539038.243084</v>
      </c>
      <c r="BJ1852" s="1711">
        <f t="shared" si="114"/>
        <v>33883580.966336317</v>
      </c>
      <c r="BK1852" s="1711">
        <f t="shared" si="115"/>
        <v>0.94219293300565121</v>
      </c>
    </row>
    <row r="1853" spans="3:67" x14ac:dyDescent="0.25">
      <c r="C1853" s="246" t="s">
        <v>3203</v>
      </c>
      <c r="D1853" s="246">
        <v>1</v>
      </c>
      <c r="E1853" s="246">
        <v>2</v>
      </c>
      <c r="F1853" s="246">
        <v>3</v>
      </c>
      <c r="G1853" s="246">
        <v>4</v>
      </c>
      <c r="H1853" s="246">
        <v>5</v>
      </c>
      <c r="I1853" s="246">
        <v>6</v>
      </c>
      <c r="J1853" s="246">
        <v>10</v>
      </c>
      <c r="K1853" s="246">
        <v>12</v>
      </c>
      <c r="L1853" s="246">
        <v>13</v>
      </c>
      <c r="M1853" s="246">
        <v>14</v>
      </c>
      <c r="N1853" s="246">
        <v>16</v>
      </c>
      <c r="O1853" s="246"/>
      <c r="P1853" s="246"/>
      <c r="Q1853" s="246"/>
      <c r="R1853" s="246">
        <f>IFERROR(VLOOKUP(D1853,PROGRAMAS[],2,FALSE),0)</f>
        <v>97037803.679377079</v>
      </c>
      <c r="S1853" s="246">
        <f>IFERROR(VLOOKUP(E1853,PROGRAMAS[],2,FALSE),0)</f>
        <v>640501509.6821388</v>
      </c>
      <c r="T1853" s="246">
        <f>IFERROR(VLOOKUP(F1853,PROGRAMAS[],2,FALSE),0)</f>
        <v>3062327798.1525245</v>
      </c>
      <c r="U1853" s="246">
        <f>IFERROR(VLOOKUP(G1853,PROGRAMAS[],2,FALSE),0)</f>
        <v>67697118.033011258</v>
      </c>
      <c r="V1853" s="246">
        <f>IFERROR(VLOOKUP(H1853,PROGRAMAS[],2,FALSE),0)</f>
        <v>1440941976.2528784</v>
      </c>
      <c r="W1853" s="246">
        <f>IFERROR(VLOOKUP(I1853,PROGRAMAS[],2,FALSE),0)</f>
        <v>6907648435.8447599</v>
      </c>
      <c r="X1853" s="246">
        <f>IFERROR(VLOOKUP(J1853,PROGRAMAS[],2,FALSE),0)</f>
        <v>4635315027.8751087</v>
      </c>
      <c r="Y1853" s="246">
        <f>IFERROR(VLOOKUP(K1853,PROGRAMAS[],2,FALSE),0)</f>
        <v>764796700.79905891</v>
      </c>
      <c r="Z1853" s="246">
        <f>IFERROR(VLOOKUP(L1853,PROGRAMAS[],2,FALSE),0)</f>
        <v>3776538594.4604583</v>
      </c>
      <c r="AA1853" s="246">
        <f>IFERROR(VLOOKUP(M1853,PROGRAMAS[],2,FALSE),0)</f>
        <v>54223862.645839565</v>
      </c>
      <c r="AB1853" s="246">
        <f>IFERROR(VLOOKUP(N1853,PROGRAMAS[],2,FALSE),0)</f>
        <v>7068496961.0436354</v>
      </c>
      <c r="AC1853" s="246">
        <f>IFERROR(VLOOKUP(O1853,PROGRAMAS[],2,FALSE),0)</f>
        <v>0</v>
      </c>
      <c r="AD1853" s="246">
        <f>IFERROR(VLOOKUP(P1853,PROGRAMAS[],2,FALSE),0)</f>
        <v>0</v>
      </c>
      <c r="AE1853" s="246">
        <f>IFERROR(VLOOKUP(Q1853,PROGRAMAS[],2,FALSE),0)</f>
        <v>0</v>
      </c>
      <c r="AF1853" s="246">
        <f>IFERROR(VLOOKUP(D1853,PROGRAMAS[],3,FALSE),0)</f>
        <v>841888629.31080008</v>
      </c>
      <c r="AG1853" s="246">
        <f>IFERROR(VLOOKUP(E1853,PROGRAMAS[],3,FALSE),0)</f>
        <v>3848980803.1642323</v>
      </c>
      <c r="AH1853" s="246">
        <f>IFERROR(VLOOKUP(F1853,PROGRAMAS[],3,FALSE),0)</f>
        <v>3394901471.387517</v>
      </c>
      <c r="AI1853" s="246">
        <f>IFERROR(VLOOKUP(G1853,PROGRAMAS[],3,FALSE),0)</f>
        <v>125317226.95549992</v>
      </c>
      <c r="AJ1853" s="246">
        <f>IFERROR(VLOOKUP(H1853,PROGRAMAS[],3,FALSE),0)</f>
        <v>1233505101.0616004</v>
      </c>
      <c r="AK1853" s="246">
        <f>IFERROR(VLOOKUP(I1853,PROGRAMAS[],3,FALSE),0)</f>
        <v>6129902208.7912121</v>
      </c>
      <c r="AL1853" s="246">
        <f>IFERROR(VLOOKUP(J1853,PROGRAMAS[],3,FALSE),0)</f>
        <v>4099471734.9978786</v>
      </c>
      <c r="AM1853" s="246">
        <f>IFERROR(VLOOKUP(K1853,PROGRAMAS[],3,FALSE),0)</f>
        <v>675517840.109828</v>
      </c>
      <c r="AN1853" s="246">
        <f>IFERROR(VLOOKUP(L1853,PROGRAMAS[],3,FALSE),0)</f>
        <v>2392571243.5584412</v>
      </c>
      <c r="AO1853" s="246">
        <f>IFERROR(VLOOKUP(M1853,PROGRAMAS[],3,FALSE),0)</f>
        <v>31865326.38096505</v>
      </c>
      <c r="AP1853" s="246">
        <f>IFERROR(VLOOKUP(N1853,PROGRAMAS[],3,FALSE),0)</f>
        <v>2406564599.0319901</v>
      </c>
      <c r="AQ1853" s="246">
        <f>IFERROR(VLOOKUP(O1853,PROGRAMAS[],3,FALSE),0)</f>
        <v>0</v>
      </c>
      <c r="AR1853" s="246">
        <f>IFERROR(VLOOKUP(P1853,PROGRAMAS[],3,FALSE),0)</f>
        <v>0</v>
      </c>
      <c r="AS1853" s="246">
        <f>IFERROR(VLOOKUP(Q1853,PROGRAMAS[],3,FALSE),0)</f>
        <v>0</v>
      </c>
      <c r="AT1853" s="246">
        <f>IFERROR(VLOOKUP(D1853,VOL_REC[],2,FALSE),0)</f>
        <v>0</v>
      </c>
      <c r="AU1853" s="246">
        <f>IFERROR(VLOOKUP(E1853,VOL_REC[],2,FALSE),0)</f>
        <v>0</v>
      </c>
      <c r="AV1853" s="246">
        <f>IFERROR(VLOOKUP(F1853,VOL_REC[],2,FALSE),0)</f>
        <v>11089674.200000001</v>
      </c>
      <c r="AW1853" s="246">
        <f>IFERROR(VLOOKUP(G1853,VOL_REC[],2,FALSE),0)</f>
        <v>90439.55</v>
      </c>
      <c r="AX1853" s="246">
        <f>IFERROR(VLOOKUP(H1853,VOL_REC[],2,FALSE),0)</f>
        <v>4325103.1812214684</v>
      </c>
      <c r="AY1853" s="246">
        <f>IFERROR(VLOOKUP(I1853,VOL_REC[],2,FALSE),0)</f>
        <v>15540036.397699751</v>
      </c>
      <c r="AZ1853" s="246">
        <f>IFERROR(VLOOKUP(J1853,VOL_REC[],2,FALSE),0)</f>
        <v>1812240</v>
      </c>
      <c r="BA1853" s="246">
        <f>IFERROR(VLOOKUP(K1853,VOL_REC[],2,FALSE),0)</f>
        <v>240696.79238099116</v>
      </c>
      <c r="BB1853" s="246">
        <f>IFERROR(VLOOKUP(L1853,VOL_REC[],2,FALSE),0)</f>
        <v>663244.80000000016</v>
      </c>
      <c r="BC1853" s="246">
        <f>IFERROR(VLOOKUP(M1853,VOL_REC[],2,FALSE),0)</f>
        <v>17074.045034105649</v>
      </c>
      <c r="BD1853" s="246">
        <f>IFERROR(VLOOKUP(N1853,VOL_REC[],2,FALSE),0)</f>
        <v>1072354.9981737854</v>
      </c>
      <c r="BE1853" s="246">
        <f>IFERROR(VLOOKUP(O1853,VOL_REC[],2,FALSE),0)</f>
        <v>0</v>
      </c>
      <c r="BF1853" s="246">
        <f>IFERROR(VLOOKUP(P1853,VOL_REC[],2,FALSE),0)</f>
        <v>0</v>
      </c>
      <c r="BG1853" s="246">
        <f>IFERROR(VLOOKUP(Q1853,VOL_REC[],2,FALSE),0)</f>
        <v>0</v>
      </c>
      <c r="BH1853" s="1710">
        <f t="shared" si="112"/>
        <v>28515525788.468792</v>
      </c>
      <c r="BI1853" s="1710">
        <f t="shared" si="113"/>
        <v>25180486184.749966</v>
      </c>
      <c r="BJ1853" s="1711">
        <f t="shared" si="114"/>
        <v>34850863.964510106</v>
      </c>
      <c r="BK1853" s="1711">
        <f t="shared" si="115"/>
        <v>1.1324454015402856</v>
      </c>
      <c r="BL1853">
        <f>BJ1853</f>
        <v>34850863.964510106</v>
      </c>
      <c r="BO1853">
        <f>BL1853</f>
        <v>34850863.964510106</v>
      </c>
    </row>
    <row r="1854" spans="3:67" x14ac:dyDescent="0.25">
      <c r="C1854" s="246" t="s">
        <v>3204</v>
      </c>
      <c r="D1854" s="246">
        <v>1</v>
      </c>
      <c r="E1854" s="246">
        <v>2</v>
      </c>
      <c r="F1854" s="246">
        <v>3</v>
      </c>
      <c r="G1854" s="246">
        <v>4</v>
      </c>
      <c r="H1854" s="246">
        <v>5</v>
      </c>
      <c r="I1854" s="246">
        <v>6</v>
      </c>
      <c r="J1854" s="246">
        <v>10</v>
      </c>
      <c r="K1854" s="246">
        <v>12</v>
      </c>
      <c r="L1854" s="246">
        <v>13</v>
      </c>
      <c r="M1854" s="246">
        <v>14</v>
      </c>
      <c r="N1854" s="246">
        <v>17</v>
      </c>
      <c r="O1854" s="246"/>
      <c r="P1854" s="246"/>
      <c r="Q1854" s="246"/>
      <c r="R1854" s="246">
        <f>IFERROR(VLOOKUP(D1854,PROGRAMAS[],2,FALSE),0)</f>
        <v>97037803.679377079</v>
      </c>
      <c r="S1854" s="246">
        <f>IFERROR(VLOOKUP(E1854,PROGRAMAS[],2,FALSE),0)</f>
        <v>640501509.6821388</v>
      </c>
      <c r="T1854" s="246">
        <f>IFERROR(VLOOKUP(F1854,PROGRAMAS[],2,FALSE),0)</f>
        <v>3062327798.1525245</v>
      </c>
      <c r="U1854" s="246">
        <f>IFERROR(VLOOKUP(G1854,PROGRAMAS[],2,FALSE),0)</f>
        <v>67697118.033011258</v>
      </c>
      <c r="V1854" s="246">
        <f>IFERROR(VLOOKUP(H1854,PROGRAMAS[],2,FALSE),0)</f>
        <v>1440941976.2528784</v>
      </c>
      <c r="W1854" s="246">
        <f>IFERROR(VLOOKUP(I1854,PROGRAMAS[],2,FALSE),0)</f>
        <v>6907648435.8447599</v>
      </c>
      <c r="X1854" s="246">
        <f>IFERROR(VLOOKUP(J1854,PROGRAMAS[],2,FALSE),0)</f>
        <v>4635315027.8751087</v>
      </c>
      <c r="Y1854" s="246">
        <f>IFERROR(VLOOKUP(K1854,PROGRAMAS[],2,FALSE),0)</f>
        <v>764796700.79905891</v>
      </c>
      <c r="Z1854" s="246">
        <f>IFERROR(VLOOKUP(L1854,PROGRAMAS[],2,FALSE),0)</f>
        <v>3776538594.4604583</v>
      </c>
      <c r="AA1854" s="246">
        <f>IFERROR(VLOOKUP(M1854,PROGRAMAS[],2,FALSE),0)</f>
        <v>54223862.645839565</v>
      </c>
      <c r="AB1854" s="246">
        <f>IFERROR(VLOOKUP(N1854,PROGRAMAS[],2,FALSE),0)</f>
        <v>1892779498.5211046</v>
      </c>
      <c r="AC1854" s="246">
        <f>IFERROR(VLOOKUP(O1854,PROGRAMAS[],2,FALSE),0)</f>
        <v>0</v>
      </c>
      <c r="AD1854" s="246">
        <f>IFERROR(VLOOKUP(P1854,PROGRAMAS[],2,FALSE),0)</f>
        <v>0</v>
      </c>
      <c r="AE1854" s="246">
        <f>IFERROR(VLOOKUP(Q1854,PROGRAMAS[],2,FALSE),0)</f>
        <v>0</v>
      </c>
      <c r="AF1854" s="246">
        <f>IFERROR(VLOOKUP(D1854,PROGRAMAS[],3,FALSE),0)</f>
        <v>841888629.31080008</v>
      </c>
      <c r="AG1854" s="246">
        <f>IFERROR(VLOOKUP(E1854,PROGRAMAS[],3,FALSE),0)</f>
        <v>3848980803.1642323</v>
      </c>
      <c r="AH1854" s="246">
        <f>IFERROR(VLOOKUP(F1854,PROGRAMAS[],3,FALSE),0)</f>
        <v>3394901471.387517</v>
      </c>
      <c r="AI1854" s="246">
        <f>IFERROR(VLOOKUP(G1854,PROGRAMAS[],3,FALSE),0)</f>
        <v>125317226.95549992</v>
      </c>
      <c r="AJ1854" s="246">
        <f>IFERROR(VLOOKUP(H1854,PROGRAMAS[],3,FALSE),0)</f>
        <v>1233505101.0616004</v>
      </c>
      <c r="AK1854" s="246">
        <f>IFERROR(VLOOKUP(I1854,PROGRAMAS[],3,FALSE),0)</f>
        <v>6129902208.7912121</v>
      </c>
      <c r="AL1854" s="246">
        <f>IFERROR(VLOOKUP(J1854,PROGRAMAS[],3,FALSE),0)</f>
        <v>4099471734.9978786</v>
      </c>
      <c r="AM1854" s="246">
        <f>IFERROR(VLOOKUP(K1854,PROGRAMAS[],3,FALSE),0)</f>
        <v>675517840.109828</v>
      </c>
      <c r="AN1854" s="246">
        <f>IFERROR(VLOOKUP(L1854,PROGRAMAS[],3,FALSE),0)</f>
        <v>2392571243.5584412</v>
      </c>
      <c r="AO1854" s="246">
        <f>IFERROR(VLOOKUP(M1854,PROGRAMAS[],3,FALSE),0)</f>
        <v>31865326.38096505</v>
      </c>
      <c r="AP1854" s="246">
        <f>IFERROR(VLOOKUP(N1854,PROGRAMAS[],3,FALSE),0)</f>
        <v>948595847.09039903</v>
      </c>
      <c r="AQ1854" s="246">
        <f>IFERROR(VLOOKUP(O1854,PROGRAMAS[],3,FALSE),0)</f>
        <v>0</v>
      </c>
      <c r="AR1854" s="246">
        <f>IFERROR(VLOOKUP(P1854,PROGRAMAS[],3,FALSE),0)</f>
        <v>0</v>
      </c>
      <c r="AS1854" s="246">
        <f>IFERROR(VLOOKUP(Q1854,PROGRAMAS[],3,FALSE),0)</f>
        <v>0</v>
      </c>
      <c r="AT1854" s="246">
        <f>IFERROR(VLOOKUP(D1854,VOL_REC[],2,FALSE),0)</f>
        <v>0</v>
      </c>
      <c r="AU1854" s="246">
        <f>IFERROR(VLOOKUP(E1854,VOL_REC[],2,FALSE),0)</f>
        <v>0</v>
      </c>
      <c r="AV1854" s="246">
        <f>IFERROR(VLOOKUP(F1854,VOL_REC[],2,FALSE),0)</f>
        <v>11089674.200000001</v>
      </c>
      <c r="AW1854" s="246">
        <f>IFERROR(VLOOKUP(G1854,VOL_REC[],2,FALSE),0)</f>
        <v>90439.55</v>
      </c>
      <c r="AX1854" s="246">
        <f>IFERROR(VLOOKUP(H1854,VOL_REC[],2,FALSE),0)</f>
        <v>4325103.1812214684</v>
      </c>
      <c r="AY1854" s="246">
        <f>IFERROR(VLOOKUP(I1854,VOL_REC[],2,FALSE),0)</f>
        <v>15540036.397699751</v>
      </c>
      <c r="AZ1854" s="246">
        <f>IFERROR(VLOOKUP(J1854,VOL_REC[],2,FALSE),0)</f>
        <v>1812240</v>
      </c>
      <c r="BA1854" s="246">
        <f>IFERROR(VLOOKUP(K1854,VOL_REC[],2,FALSE),0)</f>
        <v>240696.79238099116</v>
      </c>
      <c r="BB1854" s="246">
        <f>IFERROR(VLOOKUP(L1854,VOL_REC[],2,FALSE),0)</f>
        <v>663244.80000000016</v>
      </c>
      <c r="BC1854" s="246">
        <f>IFERROR(VLOOKUP(M1854,VOL_REC[],2,FALSE),0)</f>
        <v>17074.045034105649</v>
      </c>
      <c r="BD1854" s="246">
        <f>IFERROR(VLOOKUP(N1854,VOL_REC[],2,FALSE),0)</f>
        <v>740113.98115702497</v>
      </c>
      <c r="BE1854" s="246">
        <f>IFERROR(VLOOKUP(O1854,VOL_REC[],2,FALSE),0)</f>
        <v>0</v>
      </c>
      <c r="BF1854" s="246">
        <f>IFERROR(VLOOKUP(P1854,VOL_REC[],2,FALSE),0)</f>
        <v>0</v>
      </c>
      <c r="BG1854" s="246">
        <f>IFERROR(VLOOKUP(Q1854,VOL_REC[],2,FALSE),0)</f>
        <v>0</v>
      </c>
      <c r="BH1854" s="1710">
        <f t="shared" si="112"/>
        <v>23339808325.946259</v>
      </c>
      <c r="BI1854" s="1710">
        <f t="shared" si="113"/>
        <v>23722517432.808376</v>
      </c>
      <c r="BJ1854" s="1711">
        <f t="shared" si="114"/>
        <v>34518622.947493345</v>
      </c>
      <c r="BK1854" s="1711">
        <f t="shared" si="115"/>
        <v>0.98386726417438186</v>
      </c>
    </row>
    <row r="1855" spans="3:67" x14ac:dyDescent="0.25">
      <c r="C1855" s="246" t="s">
        <v>3205</v>
      </c>
      <c r="D1855" s="246">
        <v>1</v>
      </c>
      <c r="E1855" s="246">
        <v>2</v>
      </c>
      <c r="F1855" s="246">
        <v>3</v>
      </c>
      <c r="G1855" s="246">
        <v>4</v>
      </c>
      <c r="H1855" s="246">
        <v>5</v>
      </c>
      <c r="I1855" s="246">
        <v>6</v>
      </c>
      <c r="J1855" s="246">
        <v>10</v>
      </c>
      <c r="K1855" s="246">
        <v>12</v>
      </c>
      <c r="L1855" s="246">
        <v>13</v>
      </c>
      <c r="M1855" s="246">
        <v>15</v>
      </c>
      <c r="N1855" s="246">
        <v>16</v>
      </c>
      <c r="O1855" s="246"/>
      <c r="P1855" s="246"/>
      <c r="Q1855" s="246"/>
      <c r="R1855" s="246">
        <f>IFERROR(VLOOKUP(D1855,PROGRAMAS[],2,FALSE),0)</f>
        <v>97037803.679377079</v>
      </c>
      <c r="S1855" s="246">
        <f>IFERROR(VLOOKUP(E1855,PROGRAMAS[],2,FALSE),0)</f>
        <v>640501509.6821388</v>
      </c>
      <c r="T1855" s="246">
        <f>IFERROR(VLOOKUP(F1855,PROGRAMAS[],2,FALSE),0)</f>
        <v>3062327798.1525245</v>
      </c>
      <c r="U1855" s="246">
        <f>IFERROR(VLOOKUP(G1855,PROGRAMAS[],2,FALSE),0)</f>
        <v>67697118.033011258</v>
      </c>
      <c r="V1855" s="246">
        <f>IFERROR(VLOOKUP(H1855,PROGRAMAS[],2,FALSE),0)</f>
        <v>1440941976.2528784</v>
      </c>
      <c r="W1855" s="246">
        <f>IFERROR(VLOOKUP(I1855,PROGRAMAS[],2,FALSE),0)</f>
        <v>6907648435.8447599</v>
      </c>
      <c r="X1855" s="246">
        <f>IFERROR(VLOOKUP(J1855,PROGRAMAS[],2,FALSE),0)</f>
        <v>4635315027.8751087</v>
      </c>
      <c r="Y1855" s="246">
        <f>IFERROR(VLOOKUP(K1855,PROGRAMAS[],2,FALSE),0)</f>
        <v>764796700.79905891</v>
      </c>
      <c r="Z1855" s="246">
        <f>IFERROR(VLOOKUP(L1855,PROGRAMAS[],2,FALSE),0)</f>
        <v>3776538594.4604583</v>
      </c>
      <c r="AA1855" s="246">
        <f>IFERROR(VLOOKUP(M1855,PROGRAMAS[],2,FALSE),0)</f>
        <v>122159672.96346797</v>
      </c>
      <c r="AB1855" s="246">
        <f>IFERROR(VLOOKUP(N1855,PROGRAMAS[],2,FALSE),0)</f>
        <v>7068496961.0436354</v>
      </c>
      <c r="AC1855" s="246">
        <f>IFERROR(VLOOKUP(O1855,PROGRAMAS[],2,FALSE),0)</f>
        <v>0</v>
      </c>
      <c r="AD1855" s="246">
        <f>IFERROR(VLOOKUP(P1855,PROGRAMAS[],2,FALSE),0)</f>
        <v>0</v>
      </c>
      <c r="AE1855" s="246">
        <f>IFERROR(VLOOKUP(Q1855,PROGRAMAS[],2,FALSE),0)</f>
        <v>0</v>
      </c>
      <c r="AF1855" s="246">
        <f>IFERROR(VLOOKUP(D1855,PROGRAMAS[],3,FALSE),0)</f>
        <v>841888629.31080008</v>
      </c>
      <c r="AG1855" s="246">
        <f>IFERROR(VLOOKUP(E1855,PROGRAMAS[],3,FALSE),0)</f>
        <v>3848980803.1642323</v>
      </c>
      <c r="AH1855" s="246">
        <f>IFERROR(VLOOKUP(F1855,PROGRAMAS[],3,FALSE),0)</f>
        <v>3394901471.387517</v>
      </c>
      <c r="AI1855" s="246">
        <f>IFERROR(VLOOKUP(G1855,PROGRAMAS[],3,FALSE),0)</f>
        <v>125317226.95549992</v>
      </c>
      <c r="AJ1855" s="246">
        <f>IFERROR(VLOOKUP(H1855,PROGRAMAS[],3,FALSE),0)</f>
        <v>1233505101.0616004</v>
      </c>
      <c r="AK1855" s="246">
        <f>IFERROR(VLOOKUP(I1855,PROGRAMAS[],3,FALSE),0)</f>
        <v>6129902208.7912121</v>
      </c>
      <c r="AL1855" s="246">
        <f>IFERROR(VLOOKUP(J1855,PROGRAMAS[],3,FALSE),0)</f>
        <v>4099471734.9978786</v>
      </c>
      <c r="AM1855" s="246">
        <f>IFERROR(VLOOKUP(K1855,PROGRAMAS[],3,FALSE),0)</f>
        <v>675517840.109828</v>
      </c>
      <c r="AN1855" s="246">
        <f>IFERROR(VLOOKUP(L1855,PROGRAMAS[],3,FALSE),0)</f>
        <v>2392571243.5584412</v>
      </c>
      <c r="AO1855" s="246">
        <f>IFERROR(VLOOKUP(M1855,PROGRAMAS[],3,FALSE),0)</f>
        <v>118617452.52510804</v>
      </c>
      <c r="AP1855" s="246">
        <f>IFERROR(VLOOKUP(N1855,PROGRAMAS[],3,FALSE),0)</f>
        <v>2406564599.0319901</v>
      </c>
      <c r="AQ1855" s="246">
        <f>IFERROR(VLOOKUP(O1855,PROGRAMAS[],3,FALSE),0)</f>
        <v>0</v>
      </c>
      <c r="AR1855" s="246">
        <f>IFERROR(VLOOKUP(P1855,PROGRAMAS[],3,FALSE),0)</f>
        <v>0</v>
      </c>
      <c r="AS1855" s="246">
        <f>IFERROR(VLOOKUP(Q1855,PROGRAMAS[],3,FALSE),0)</f>
        <v>0</v>
      </c>
      <c r="AT1855" s="246">
        <f>IFERROR(VLOOKUP(D1855,VOL_REC[],2,FALSE),0)</f>
        <v>0</v>
      </c>
      <c r="AU1855" s="246">
        <f>IFERROR(VLOOKUP(E1855,VOL_REC[],2,FALSE),0)</f>
        <v>0</v>
      </c>
      <c r="AV1855" s="246">
        <f>IFERROR(VLOOKUP(F1855,VOL_REC[],2,FALSE),0)</f>
        <v>11089674.200000001</v>
      </c>
      <c r="AW1855" s="246">
        <f>IFERROR(VLOOKUP(G1855,VOL_REC[],2,FALSE),0)</f>
        <v>90439.55</v>
      </c>
      <c r="AX1855" s="246">
        <f>IFERROR(VLOOKUP(H1855,VOL_REC[],2,FALSE),0)</f>
        <v>4325103.1812214684</v>
      </c>
      <c r="AY1855" s="246">
        <f>IFERROR(VLOOKUP(I1855,VOL_REC[],2,FALSE),0)</f>
        <v>15540036.397699751</v>
      </c>
      <c r="AZ1855" s="246">
        <f>IFERROR(VLOOKUP(J1855,VOL_REC[],2,FALSE),0)</f>
        <v>1812240</v>
      </c>
      <c r="BA1855" s="246">
        <f>IFERROR(VLOOKUP(K1855,VOL_REC[],2,FALSE),0)</f>
        <v>240696.79238099116</v>
      </c>
      <c r="BB1855" s="246">
        <f>IFERROR(VLOOKUP(L1855,VOL_REC[],2,FALSE),0)</f>
        <v>663244.80000000016</v>
      </c>
      <c r="BC1855" s="246">
        <f>IFERROR(VLOOKUP(M1855,VOL_REC[],2,FALSE),0)</f>
        <v>105072</v>
      </c>
      <c r="BD1855" s="246">
        <f>IFERROR(VLOOKUP(N1855,VOL_REC[],2,FALSE),0)</f>
        <v>1072354.9981737854</v>
      </c>
      <c r="BE1855" s="246">
        <f>IFERROR(VLOOKUP(O1855,VOL_REC[],2,FALSE),0)</f>
        <v>0</v>
      </c>
      <c r="BF1855" s="246">
        <f>IFERROR(VLOOKUP(P1855,VOL_REC[],2,FALSE),0)</f>
        <v>0</v>
      </c>
      <c r="BG1855" s="246">
        <f>IFERROR(VLOOKUP(Q1855,VOL_REC[],2,FALSE),0)</f>
        <v>0</v>
      </c>
      <c r="BH1855" s="1710">
        <f t="shared" si="112"/>
        <v>28583461598.786419</v>
      </c>
      <c r="BI1855" s="1710">
        <f t="shared" si="113"/>
        <v>25267238310.894108</v>
      </c>
      <c r="BJ1855" s="1711">
        <f t="shared" si="114"/>
        <v>34938861.919476002</v>
      </c>
      <c r="BK1855" s="1711">
        <f t="shared" si="115"/>
        <v>1.131245973425695</v>
      </c>
      <c r="BL1855">
        <f>BJ1855</f>
        <v>34938861.919476002</v>
      </c>
      <c r="BO1855">
        <f>BL1855</f>
        <v>34938861.919476002</v>
      </c>
    </row>
    <row r="1856" spans="3:67" x14ac:dyDescent="0.25">
      <c r="C1856" s="246" t="s">
        <v>3206</v>
      </c>
      <c r="D1856" s="246">
        <v>1</v>
      </c>
      <c r="E1856" s="246">
        <v>2</v>
      </c>
      <c r="F1856" s="246">
        <v>3</v>
      </c>
      <c r="G1856" s="246">
        <v>4</v>
      </c>
      <c r="H1856" s="246">
        <v>5</v>
      </c>
      <c r="I1856" s="246">
        <v>6</v>
      </c>
      <c r="J1856" s="246">
        <v>10</v>
      </c>
      <c r="K1856" s="246">
        <v>12</v>
      </c>
      <c r="L1856" s="246">
        <v>13</v>
      </c>
      <c r="M1856" s="246">
        <v>15</v>
      </c>
      <c r="N1856" s="246">
        <v>17</v>
      </c>
      <c r="O1856" s="246"/>
      <c r="P1856" s="246"/>
      <c r="Q1856" s="246"/>
      <c r="R1856" s="246">
        <f>IFERROR(VLOOKUP(D1856,PROGRAMAS[],2,FALSE),0)</f>
        <v>97037803.679377079</v>
      </c>
      <c r="S1856" s="246">
        <f>IFERROR(VLOOKUP(E1856,PROGRAMAS[],2,FALSE),0)</f>
        <v>640501509.6821388</v>
      </c>
      <c r="T1856" s="246">
        <f>IFERROR(VLOOKUP(F1856,PROGRAMAS[],2,FALSE),0)</f>
        <v>3062327798.1525245</v>
      </c>
      <c r="U1856" s="246">
        <f>IFERROR(VLOOKUP(G1856,PROGRAMAS[],2,FALSE),0)</f>
        <v>67697118.033011258</v>
      </c>
      <c r="V1856" s="246">
        <f>IFERROR(VLOOKUP(H1856,PROGRAMAS[],2,FALSE),0)</f>
        <v>1440941976.2528784</v>
      </c>
      <c r="W1856" s="246">
        <f>IFERROR(VLOOKUP(I1856,PROGRAMAS[],2,FALSE),0)</f>
        <v>6907648435.8447599</v>
      </c>
      <c r="X1856" s="246">
        <f>IFERROR(VLOOKUP(J1856,PROGRAMAS[],2,FALSE),0)</f>
        <v>4635315027.8751087</v>
      </c>
      <c r="Y1856" s="246">
        <f>IFERROR(VLOOKUP(K1856,PROGRAMAS[],2,FALSE),0)</f>
        <v>764796700.79905891</v>
      </c>
      <c r="Z1856" s="246">
        <f>IFERROR(VLOOKUP(L1856,PROGRAMAS[],2,FALSE),0)</f>
        <v>3776538594.4604583</v>
      </c>
      <c r="AA1856" s="246">
        <f>IFERROR(VLOOKUP(M1856,PROGRAMAS[],2,FALSE),0)</f>
        <v>122159672.96346797</v>
      </c>
      <c r="AB1856" s="246">
        <f>IFERROR(VLOOKUP(N1856,PROGRAMAS[],2,FALSE),0)</f>
        <v>1892779498.5211046</v>
      </c>
      <c r="AC1856" s="246">
        <f>IFERROR(VLOOKUP(O1856,PROGRAMAS[],2,FALSE),0)</f>
        <v>0</v>
      </c>
      <c r="AD1856" s="246">
        <f>IFERROR(VLOOKUP(P1856,PROGRAMAS[],2,FALSE),0)</f>
        <v>0</v>
      </c>
      <c r="AE1856" s="246">
        <f>IFERROR(VLOOKUP(Q1856,PROGRAMAS[],2,FALSE),0)</f>
        <v>0</v>
      </c>
      <c r="AF1856" s="246">
        <f>IFERROR(VLOOKUP(D1856,PROGRAMAS[],3,FALSE),0)</f>
        <v>841888629.31080008</v>
      </c>
      <c r="AG1856" s="246">
        <f>IFERROR(VLOOKUP(E1856,PROGRAMAS[],3,FALSE),0)</f>
        <v>3848980803.1642323</v>
      </c>
      <c r="AH1856" s="246">
        <f>IFERROR(VLOOKUP(F1856,PROGRAMAS[],3,FALSE),0)</f>
        <v>3394901471.387517</v>
      </c>
      <c r="AI1856" s="246">
        <f>IFERROR(VLOOKUP(G1856,PROGRAMAS[],3,FALSE),0)</f>
        <v>125317226.95549992</v>
      </c>
      <c r="AJ1856" s="246">
        <f>IFERROR(VLOOKUP(H1856,PROGRAMAS[],3,FALSE),0)</f>
        <v>1233505101.0616004</v>
      </c>
      <c r="AK1856" s="246">
        <f>IFERROR(VLOOKUP(I1856,PROGRAMAS[],3,FALSE),0)</f>
        <v>6129902208.7912121</v>
      </c>
      <c r="AL1856" s="246">
        <f>IFERROR(VLOOKUP(J1856,PROGRAMAS[],3,FALSE),0)</f>
        <v>4099471734.9978786</v>
      </c>
      <c r="AM1856" s="246">
        <f>IFERROR(VLOOKUP(K1856,PROGRAMAS[],3,FALSE),0)</f>
        <v>675517840.109828</v>
      </c>
      <c r="AN1856" s="246">
        <f>IFERROR(VLOOKUP(L1856,PROGRAMAS[],3,FALSE),0)</f>
        <v>2392571243.5584412</v>
      </c>
      <c r="AO1856" s="246">
        <f>IFERROR(VLOOKUP(M1856,PROGRAMAS[],3,FALSE),0)</f>
        <v>118617452.52510804</v>
      </c>
      <c r="AP1856" s="246">
        <f>IFERROR(VLOOKUP(N1856,PROGRAMAS[],3,FALSE),0)</f>
        <v>948595847.09039903</v>
      </c>
      <c r="AQ1856" s="246">
        <f>IFERROR(VLOOKUP(O1856,PROGRAMAS[],3,FALSE),0)</f>
        <v>0</v>
      </c>
      <c r="AR1856" s="246">
        <f>IFERROR(VLOOKUP(P1856,PROGRAMAS[],3,FALSE),0)</f>
        <v>0</v>
      </c>
      <c r="AS1856" s="246">
        <f>IFERROR(VLOOKUP(Q1856,PROGRAMAS[],3,FALSE),0)</f>
        <v>0</v>
      </c>
      <c r="AT1856" s="246">
        <f>IFERROR(VLOOKUP(D1856,VOL_REC[],2,FALSE),0)</f>
        <v>0</v>
      </c>
      <c r="AU1856" s="246">
        <f>IFERROR(VLOOKUP(E1856,VOL_REC[],2,FALSE),0)</f>
        <v>0</v>
      </c>
      <c r="AV1856" s="246">
        <f>IFERROR(VLOOKUP(F1856,VOL_REC[],2,FALSE),0)</f>
        <v>11089674.200000001</v>
      </c>
      <c r="AW1856" s="246">
        <f>IFERROR(VLOOKUP(G1856,VOL_REC[],2,FALSE),0)</f>
        <v>90439.55</v>
      </c>
      <c r="AX1856" s="246">
        <f>IFERROR(VLOOKUP(H1856,VOL_REC[],2,FALSE),0)</f>
        <v>4325103.1812214684</v>
      </c>
      <c r="AY1856" s="246">
        <f>IFERROR(VLOOKUP(I1856,VOL_REC[],2,FALSE),0)</f>
        <v>15540036.397699751</v>
      </c>
      <c r="AZ1856" s="246">
        <f>IFERROR(VLOOKUP(J1856,VOL_REC[],2,FALSE),0)</f>
        <v>1812240</v>
      </c>
      <c r="BA1856" s="246">
        <f>IFERROR(VLOOKUP(K1856,VOL_REC[],2,FALSE),0)</f>
        <v>240696.79238099116</v>
      </c>
      <c r="BB1856" s="246">
        <f>IFERROR(VLOOKUP(L1856,VOL_REC[],2,FALSE),0)</f>
        <v>663244.80000000016</v>
      </c>
      <c r="BC1856" s="246">
        <f>IFERROR(VLOOKUP(M1856,VOL_REC[],2,FALSE),0)</f>
        <v>105072</v>
      </c>
      <c r="BD1856" s="246">
        <f>IFERROR(VLOOKUP(N1856,VOL_REC[],2,FALSE),0)</f>
        <v>740113.98115702497</v>
      </c>
      <c r="BE1856" s="246">
        <f>IFERROR(VLOOKUP(O1856,VOL_REC[],2,FALSE),0)</f>
        <v>0</v>
      </c>
      <c r="BF1856" s="246">
        <f>IFERROR(VLOOKUP(P1856,VOL_REC[],2,FALSE),0)</f>
        <v>0</v>
      </c>
      <c r="BG1856" s="246">
        <f>IFERROR(VLOOKUP(Q1856,VOL_REC[],2,FALSE),0)</f>
        <v>0</v>
      </c>
      <c r="BH1856" s="1710">
        <f t="shared" si="112"/>
        <v>23407744136.263885</v>
      </c>
      <c r="BI1856" s="1710">
        <f t="shared" si="113"/>
        <v>23809269558.952518</v>
      </c>
      <c r="BJ1856" s="1711">
        <f t="shared" si="114"/>
        <v>34606620.902459241</v>
      </c>
      <c r="BK1856" s="1711">
        <f t="shared" si="115"/>
        <v>0.98313575216180227</v>
      </c>
    </row>
    <row r="1857" spans="3:67" x14ac:dyDescent="0.25">
      <c r="C1857" s="246" t="s">
        <v>3207</v>
      </c>
      <c r="D1857" s="246">
        <v>1</v>
      </c>
      <c r="E1857" s="246">
        <v>2</v>
      </c>
      <c r="F1857" s="246">
        <v>3</v>
      </c>
      <c r="G1857" s="246">
        <v>4</v>
      </c>
      <c r="H1857" s="246">
        <v>5</v>
      </c>
      <c r="I1857" s="246">
        <v>6</v>
      </c>
      <c r="J1857" s="246">
        <v>10</v>
      </c>
      <c r="K1857" s="246">
        <v>12</v>
      </c>
      <c r="L1857" s="246">
        <v>13</v>
      </c>
      <c r="M1857" s="246">
        <v>16</v>
      </c>
      <c r="N1857" s="246">
        <v>17</v>
      </c>
      <c r="O1857" s="246"/>
      <c r="P1857" s="246"/>
      <c r="Q1857" s="246"/>
      <c r="R1857" s="246">
        <f>IFERROR(VLOOKUP(D1857,PROGRAMAS[],2,FALSE),0)</f>
        <v>97037803.679377079</v>
      </c>
      <c r="S1857" s="246">
        <f>IFERROR(VLOOKUP(E1857,PROGRAMAS[],2,FALSE),0)</f>
        <v>640501509.6821388</v>
      </c>
      <c r="T1857" s="246">
        <f>IFERROR(VLOOKUP(F1857,PROGRAMAS[],2,FALSE),0)</f>
        <v>3062327798.1525245</v>
      </c>
      <c r="U1857" s="246">
        <f>IFERROR(VLOOKUP(G1857,PROGRAMAS[],2,FALSE),0)</f>
        <v>67697118.033011258</v>
      </c>
      <c r="V1857" s="246">
        <f>IFERROR(VLOOKUP(H1857,PROGRAMAS[],2,FALSE),0)</f>
        <v>1440941976.2528784</v>
      </c>
      <c r="W1857" s="246">
        <f>IFERROR(VLOOKUP(I1857,PROGRAMAS[],2,FALSE),0)</f>
        <v>6907648435.8447599</v>
      </c>
      <c r="X1857" s="246">
        <f>IFERROR(VLOOKUP(J1857,PROGRAMAS[],2,FALSE),0)</f>
        <v>4635315027.8751087</v>
      </c>
      <c r="Y1857" s="246">
        <f>IFERROR(VLOOKUP(K1857,PROGRAMAS[],2,FALSE),0)</f>
        <v>764796700.79905891</v>
      </c>
      <c r="Z1857" s="246">
        <f>IFERROR(VLOOKUP(L1857,PROGRAMAS[],2,FALSE),0)</f>
        <v>3776538594.4604583</v>
      </c>
      <c r="AA1857" s="246">
        <f>IFERROR(VLOOKUP(M1857,PROGRAMAS[],2,FALSE),0)</f>
        <v>7068496961.0436354</v>
      </c>
      <c r="AB1857" s="246">
        <f>IFERROR(VLOOKUP(N1857,PROGRAMAS[],2,FALSE),0)</f>
        <v>1892779498.5211046</v>
      </c>
      <c r="AC1857" s="246">
        <f>IFERROR(VLOOKUP(O1857,PROGRAMAS[],2,FALSE),0)</f>
        <v>0</v>
      </c>
      <c r="AD1857" s="246">
        <f>IFERROR(VLOOKUP(P1857,PROGRAMAS[],2,FALSE),0)</f>
        <v>0</v>
      </c>
      <c r="AE1857" s="246">
        <f>IFERROR(VLOOKUP(Q1857,PROGRAMAS[],2,FALSE),0)</f>
        <v>0</v>
      </c>
      <c r="AF1857" s="246">
        <f>IFERROR(VLOOKUP(D1857,PROGRAMAS[],3,FALSE),0)</f>
        <v>841888629.31080008</v>
      </c>
      <c r="AG1857" s="246">
        <f>IFERROR(VLOOKUP(E1857,PROGRAMAS[],3,FALSE),0)</f>
        <v>3848980803.1642323</v>
      </c>
      <c r="AH1857" s="246">
        <f>IFERROR(VLOOKUP(F1857,PROGRAMAS[],3,FALSE),0)</f>
        <v>3394901471.387517</v>
      </c>
      <c r="AI1857" s="246">
        <f>IFERROR(VLOOKUP(G1857,PROGRAMAS[],3,FALSE),0)</f>
        <v>125317226.95549992</v>
      </c>
      <c r="AJ1857" s="246">
        <f>IFERROR(VLOOKUP(H1857,PROGRAMAS[],3,FALSE),0)</f>
        <v>1233505101.0616004</v>
      </c>
      <c r="AK1857" s="246">
        <f>IFERROR(VLOOKUP(I1857,PROGRAMAS[],3,FALSE),0)</f>
        <v>6129902208.7912121</v>
      </c>
      <c r="AL1857" s="246">
        <f>IFERROR(VLOOKUP(J1857,PROGRAMAS[],3,FALSE),0)</f>
        <v>4099471734.9978786</v>
      </c>
      <c r="AM1857" s="246">
        <f>IFERROR(VLOOKUP(K1857,PROGRAMAS[],3,FALSE),0)</f>
        <v>675517840.109828</v>
      </c>
      <c r="AN1857" s="246">
        <f>IFERROR(VLOOKUP(L1857,PROGRAMAS[],3,FALSE),0)</f>
        <v>2392571243.5584412</v>
      </c>
      <c r="AO1857" s="246">
        <f>IFERROR(VLOOKUP(M1857,PROGRAMAS[],3,FALSE),0)</f>
        <v>2406564599.0319901</v>
      </c>
      <c r="AP1857" s="246">
        <f>IFERROR(VLOOKUP(N1857,PROGRAMAS[],3,FALSE),0)</f>
        <v>948595847.09039903</v>
      </c>
      <c r="AQ1857" s="246">
        <f>IFERROR(VLOOKUP(O1857,PROGRAMAS[],3,FALSE),0)</f>
        <v>0</v>
      </c>
      <c r="AR1857" s="246">
        <f>IFERROR(VLOOKUP(P1857,PROGRAMAS[],3,FALSE),0)</f>
        <v>0</v>
      </c>
      <c r="AS1857" s="246">
        <f>IFERROR(VLOOKUP(Q1857,PROGRAMAS[],3,FALSE),0)</f>
        <v>0</v>
      </c>
      <c r="AT1857" s="246">
        <f>IFERROR(VLOOKUP(D1857,VOL_REC[],2,FALSE),0)</f>
        <v>0</v>
      </c>
      <c r="AU1857" s="246">
        <f>IFERROR(VLOOKUP(E1857,VOL_REC[],2,FALSE),0)</f>
        <v>0</v>
      </c>
      <c r="AV1857" s="246">
        <f>IFERROR(VLOOKUP(F1857,VOL_REC[],2,FALSE),0)</f>
        <v>11089674.200000001</v>
      </c>
      <c r="AW1857" s="246">
        <f>IFERROR(VLOOKUP(G1857,VOL_REC[],2,FALSE),0)</f>
        <v>90439.55</v>
      </c>
      <c r="AX1857" s="246">
        <f>IFERROR(VLOOKUP(H1857,VOL_REC[],2,FALSE),0)</f>
        <v>4325103.1812214684</v>
      </c>
      <c r="AY1857" s="246">
        <f>IFERROR(VLOOKUP(I1857,VOL_REC[],2,FALSE),0)</f>
        <v>15540036.397699751</v>
      </c>
      <c r="AZ1857" s="246">
        <f>IFERROR(VLOOKUP(J1857,VOL_REC[],2,FALSE),0)</f>
        <v>1812240</v>
      </c>
      <c r="BA1857" s="246">
        <f>IFERROR(VLOOKUP(K1857,VOL_REC[],2,FALSE),0)</f>
        <v>240696.79238099116</v>
      </c>
      <c r="BB1857" s="246">
        <f>IFERROR(VLOOKUP(L1857,VOL_REC[],2,FALSE),0)</f>
        <v>663244.80000000016</v>
      </c>
      <c r="BC1857" s="246">
        <f>IFERROR(VLOOKUP(M1857,VOL_REC[],2,FALSE),0)</f>
        <v>1072354.9981737854</v>
      </c>
      <c r="BD1857" s="246">
        <f>IFERROR(VLOOKUP(N1857,VOL_REC[],2,FALSE),0)</f>
        <v>740113.98115702497</v>
      </c>
      <c r="BE1857" s="246">
        <f>IFERROR(VLOOKUP(O1857,VOL_REC[],2,FALSE),0)</f>
        <v>0</v>
      </c>
      <c r="BF1857" s="246">
        <f>IFERROR(VLOOKUP(P1857,VOL_REC[],2,FALSE),0)</f>
        <v>0</v>
      </c>
      <c r="BG1857" s="246">
        <f>IFERROR(VLOOKUP(Q1857,VOL_REC[],2,FALSE),0)</f>
        <v>0</v>
      </c>
      <c r="BH1857" s="1710">
        <f t="shared" si="112"/>
        <v>30354081424.344055</v>
      </c>
      <c r="BI1857" s="1710">
        <f t="shared" si="113"/>
        <v>26097216705.4594</v>
      </c>
      <c r="BJ1857" s="1711">
        <f t="shared" si="114"/>
        <v>35573903.90063303</v>
      </c>
      <c r="BK1857" s="1711">
        <f t="shared" si="115"/>
        <v>1.1631156596861971</v>
      </c>
      <c r="BL1857">
        <f>BJ1857</f>
        <v>35573903.90063303</v>
      </c>
      <c r="BO1857">
        <f>BL1857</f>
        <v>35573903.90063303</v>
      </c>
    </row>
    <row r="1858" spans="3:67" x14ac:dyDescent="0.25">
      <c r="C1858" s="246" t="s">
        <v>3208</v>
      </c>
      <c r="D1858" s="246">
        <v>1</v>
      </c>
      <c r="E1858" s="246">
        <v>2</v>
      </c>
      <c r="F1858" s="246">
        <v>3</v>
      </c>
      <c r="G1858" s="246">
        <v>4</v>
      </c>
      <c r="H1858" s="246">
        <v>5</v>
      </c>
      <c r="I1858" s="246">
        <v>6</v>
      </c>
      <c r="J1858" s="246">
        <v>10</v>
      </c>
      <c r="K1858" s="246">
        <v>12</v>
      </c>
      <c r="L1858" s="246">
        <v>14</v>
      </c>
      <c r="M1858" s="246">
        <v>15</v>
      </c>
      <c r="N1858" s="246">
        <v>16</v>
      </c>
      <c r="O1858" s="246"/>
      <c r="P1858" s="246"/>
      <c r="Q1858" s="246"/>
      <c r="R1858" s="246">
        <f>IFERROR(VLOOKUP(D1858,PROGRAMAS[],2,FALSE),0)</f>
        <v>97037803.679377079</v>
      </c>
      <c r="S1858" s="246">
        <f>IFERROR(VLOOKUP(E1858,PROGRAMAS[],2,FALSE),0)</f>
        <v>640501509.6821388</v>
      </c>
      <c r="T1858" s="246">
        <f>IFERROR(VLOOKUP(F1858,PROGRAMAS[],2,FALSE),0)</f>
        <v>3062327798.1525245</v>
      </c>
      <c r="U1858" s="246">
        <f>IFERROR(VLOOKUP(G1858,PROGRAMAS[],2,FALSE),0)</f>
        <v>67697118.033011258</v>
      </c>
      <c r="V1858" s="246">
        <f>IFERROR(VLOOKUP(H1858,PROGRAMAS[],2,FALSE),0)</f>
        <v>1440941976.2528784</v>
      </c>
      <c r="W1858" s="246">
        <f>IFERROR(VLOOKUP(I1858,PROGRAMAS[],2,FALSE),0)</f>
        <v>6907648435.8447599</v>
      </c>
      <c r="X1858" s="246">
        <f>IFERROR(VLOOKUP(J1858,PROGRAMAS[],2,FALSE),0)</f>
        <v>4635315027.8751087</v>
      </c>
      <c r="Y1858" s="246">
        <f>IFERROR(VLOOKUP(K1858,PROGRAMAS[],2,FALSE),0)</f>
        <v>764796700.79905891</v>
      </c>
      <c r="Z1858" s="246">
        <f>IFERROR(VLOOKUP(L1858,PROGRAMAS[],2,FALSE),0)</f>
        <v>54223862.645839565</v>
      </c>
      <c r="AA1858" s="246">
        <f>IFERROR(VLOOKUP(M1858,PROGRAMAS[],2,FALSE),0)</f>
        <v>122159672.96346797</v>
      </c>
      <c r="AB1858" s="246">
        <f>IFERROR(VLOOKUP(N1858,PROGRAMAS[],2,FALSE),0)</f>
        <v>7068496961.0436354</v>
      </c>
      <c r="AC1858" s="246">
        <f>IFERROR(VLOOKUP(O1858,PROGRAMAS[],2,FALSE),0)</f>
        <v>0</v>
      </c>
      <c r="AD1858" s="246">
        <f>IFERROR(VLOOKUP(P1858,PROGRAMAS[],2,FALSE),0)</f>
        <v>0</v>
      </c>
      <c r="AE1858" s="246">
        <f>IFERROR(VLOOKUP(Q1858,PROGRAMAS[],2,FALSE),0)</f>
        <v>0</v>
      </c>
      <c r="AF1858" s="246">
        <f>IFERROR(VLOOKUP(D1858,PROGRAMAS[],3,FALSE),0)</f>
        <v>841888629.31080008</v>
      </c>
      <c r="AG1858" s="246">
        <f>IFERROR(VLOOKUP(E1858,PROGRAMAS[],3,FALSE),0)</f>
        <v>3848980803.1642323</v>
      </c>
      <c r="AH1858" s="246">
        <f>IFERROR(VLOOKUP(F1858,PROGRAMAS[],3,FALSE),0)</f>
        <v>3394901471.387517</v>
      </c>
      <c r="AI1858" s="246">
        <f>IFERROR(VLOOKUP(G1858,PROGRAMAS[],3,FALSE),0)</f>
        <v>125317226.95549992</v>
      </c>
      <c r="AJ1858" s="246">
        <f>IFERROR(VLOOKUP(H1858,PROGRAMAS[],3,FALSE),0)</f>
        <v>1233505101.0616004</v>
      </c>
      <c r="AK1858" s="246">
        <f>IFERROR(VLOOKUP(I1858,PROGRAMAS[],3,FALSE),0)</f>
        <v>6129902208.7912121</v>
      </c>
      <c r="AL1858" s="246">
        <f>IFERROR(VLOOKUP(J1858,PROGRAMAS[],3,FALSE),0)</f>
        <v>4099471734.9978786</v>
      </c>
      <c r="AM1858" s="246">
        <f>IFERROR(VLOOKUP(K1858,PROGRAMAS[],3,FALSE),0)</f>
        <v>675517840.109828</v>
      </c>
      <c r="AN1858" s="246">
        <f>IFERROR(VLOOKUP(L1858,PROGRAMAS[],3,FALSE),0)</f>
        <v>31865326.38096505</v>
      </c>
      <c r="AO1858" s="246">
        <f>IFERROR(VLOOKUP(M1858,PROGRAMAS[],3,FALSE),0)</f>
        <v>118617452.52510804</v>
      </c>
      <c r="AP1858" s="246">
        <f>IFERROR(VLOOKUP(N1858,PROGRAMAS[],3,FALSE),0)</f>
        <v>2406564599.0319901</v>
      </c>
      <c r="AQ1858" s="246">
        <f>IFERROR(VLOOKUP(O1858,PROGRAMAS[],3,FALSE),0)</f>
        <v>0</v>
      </c>
      <c r="AR1858" s="246">
        <f>IFERROR(VLOOKUP(P1858,PROGRAMAS[],3,FALSE),0)</f>
        <v>0</v>
      </c>
      <c r="AS1858" s="246">
        <f>IFERROR(VLOOKUP(Q1858,PROGRAMAS[],3,FALSE),0)</f>
        <v>0</v>
      </c>
      <c r="AT1858" s="246">
        <f>IFERROR(VLOOKUP(D1858,VOL_REC[],2,FALSE),0)</f>
        <v>0</v>
      </c>
      <c r="AU1858" s="246">
        <f>IFERROR(VLOOKUP(E1858,VOL_REC[],2,FALSE),0)</f>
        <v>0</v>
      </c>
      <c r="AV1858" s="246">
        <f>IFERROR(VLOOKUP(F1858,VOL_REC[],2,FALSE),0)</f>
        <v>11089674.200000001</v>
      </c>
      <c r="AW1858" s="246">
        <f>IFERROR(VLOOKUP(G1858,VOL_REC[],2,FALSE),0)</f>
        <v>90439.55</v>
      </c>
      <c r="AX1858" s="246">
        <f>IFERROR(VLOOKUP(H1858,VOL_REC[],2,FALSE),0)</f>
        <v>4325103.1812214684</v>
      </c>
      <c r="AY1858" s="246">
        <f>IFERROR(VLOOKUP(I1858,VOL_REC[],2,FALSE),0)</f>
        <v>15540036.397699751</v>
      </c>
      <c r="AZ1858" s="246">
        <f>IFERROR(VLOOKUP(J1858,VOL_REC[],2,FALSE),0)</f>
        <v>1812240</v>
      </c>
      <c r="BA1858" s="246">
        <f>IFERROR(VLOOKUP(K1858,VOL_REC[],2,FALSE),0)</f>
        <v>240696.79238099116</v>
      </c>
      <c r="BB1858" s="246">
        <f>IFERROR(VLOOKUP(L1858,VOL_REC[],2,FALSE),0)</f>
        <v>17074.045034105649</v>
      </c>
      <c r="BC1858" s="246">
        <f>IFERROR(VLOOKUP(M1858,VOL_REC[],2,FALSE),0)</f>
        <v>105072</v>
      </c>
      <c r="BD1858" s="246">
        <f>IFERROR(VLOOKUP(N1858,VOL_REC[],2,FALSE),0)</f>
        <v>1072354.9981737854</v>
      </c>
      <c r="BE1858" s="246">
        <f>IFERROR(VLOOKUP(O1858,VOL_REC[],2,FALSE),0)</f>
        <v>0</v>
      </c>
      <c r="BF1858" s="246">
        <f>IFERROR(VLOOKUP(P1858,VOL_REC[],2,FALSE),0)</f>
        <v>0</v>
      </c>
      <c r="BG1858" s="246">
        <f>IFERROR(VLOOKUP(Q1858,VOL_REC[],2,FALSE),0)</f>
        <v>0</v>
      </c>
      <c r="BH1858" s="1710">
        <f t="shared" ref="BH1858:BH1921" si="120">SUM(R1858:AE1858)</f>
        <v>24861146866.971802</v>
      </c>
      <c r="BI1858" s="1710">
        <f t="shared" ref="BI1858:BI1921" si="121">SUM(AF1858:AS1858)</f>
        <v>22906532393.716633</v>
      </c>
      <c r="BJ1858" s="1711">
        <f t="shared" ref="BJ1858:BJ1921" si="122">SUM(AT1858:BG1858)</f>
        <v>34292691.164510109</v>
      </c>
      <c r="BK1858" s="1711">
        <f t="shared" ref="BK1858:BK1921" si="123">IFERROR(BH1858/BI1858,0)</f>
        <v>1.0853300027982991</v>
      </c>
      <c r="BL1858">
        <f>BJ1858</f>
        <v>34292691.164510109</v>
      </c>
      <c r="BO1858">
        <f>BL1858</f>
        <v>34292691.164510109</v>
      </c>
    </row>
    <row r="1859" spans="3:67" x14ac:dyDescent="0.25">
      <c r="C1859" s="246" t="s">
        <v>3209</v>
      </c>
      <c r="D1859" s="246">
        <v>1</v>
      </c>
      <c r="E1859" s="246">
        <v>2</v>
      </c>
      <c r="F1859" s="246">
        <v>3</v>
      </c>
      <c r="G1859" s="246">
        <v>4</v>
      </c>
      <c r="H1859" s="246">
        <v>5</v>
      </c>
      <c r="I1859" s="246">
        <v>6</v>
      </c>
      <c r="J1859" s="246">
        <v>10</v>
      </c>
      <c r="K1859" s="246">
        <v>12</v>
      </c>
      <c r="L1859" s="246">
        <v>14</v>
      </c>
      <c r="M1859" s="246">
        <v>15</v>
      </c>
      <c r="N1859" s="246">
        <v>17</v>
      </c>
      <c r="O1859" s="246"/>
      <c r="P1859" s="246"/>
      <c r="Q1859" s="246"/>
      <c r="R1859" s="246">
        <f>IFERROR(VLOOKUP(D1859,PROGRAMAS[],2,FALSE),0)</f>
        <v>97037803.679377079</v>
      </c>
      <c r="S1859" s="246">
        <f>IFERROR(VLOOKUP(E1859,PROGRAMAS[],2,FALSE),0)</f>
        <v>640501509.6821388</v>
      </c>
      <c r="T1859" s="246">
        <f>IFERROR(VLOOKUP(F1859,PROGRAMAS[],2,FALSE),0)</f>
        <v>3062327798.1525245</v>
      </c>
      <c r="U1859" s="246">
        <f>IFERROR(VLOOKUP(G1859,PROGRAMAS[],2,FALSE),0)</f>
        <v>67697118.033011258</v>
      </c>
      <c r="V1859" s="246">
        <f>IFERROR(VLOOKUP(H1859,PROGRAMAS[],2,FALSE),0)</f>
        <v>1440941976.2528784</v>
      </c>
      <c r="W1859" s="246">
        <f>IFERROR(VLOOKUP(I1859,PROGRAMAS[],2,FALSE),0)</f>
        <v>6907648435.8447599</v>
      </c>
      <c r="X1859" s="246">
        <f>IFERROR(VLOOKUP(J1859,PROGRAMAS[],2,FALSE),0)</f>
        <v>4635315027.8751087</v>
      </c>
      <c r="Y1859" s="246">
        <f>IFERROR(VLOOKUP(K1859,PROGRAMAS[],2,FALSE),0)</f>
        <v>764796700.79905891</v>
      </c>
      <c r="Z1859" s="246">
        <f>IFERROR(VLOOKUP(L1859,PROGRAMAS[],2,FALSE),0)</f>
        <v>54223862.645839565</v>
      </c>
      <c r="AA1859" s="246">
        <f>IFERROR(VLOOKUP(M1859,PROGRAMAS[],2,FALSE),0)</f>
        <v>122159672.96346797</v>
      </c>
      <c r="AB1859" s="246">
        <f>IFERROR(VLOOKUP(N1859,PROGRAMAS[],2,FALSE),0)</f>
        <v>1892779498.5211046</v>
      </c>
      <c r="AC1859" s="246">
        <f>IFERROR(VLOOKUP(O1859,PROGRAMAS[],2,FALSE),0)</f>
        <v>0</v>
      </c>
      <c r="AD1859" s="246">
        <f>IFERROR(VLOOKUP(P1859,PROGRAMAS[],2,FALSE),0)</f>
        <v>0</v>
      </c>
      <c r="AE1859" s="246">
        <f>IFERROR(VLOOKUP(Q1859,PROGRAMAS[],2,FALSE),0)</f>
        <v>0</v>
      </c>
      <c r="AF1859" s="246">
        <f>IFERROR(VLOOKUP(D1859,PROGRAMAS[],3,FALSE),0)</f>
        <v>841888629.31080008</v>
      </c>
      <c r="AG1859" s="246">
        <f>IFERROR(VLOOKUP(E1859,PROGRAMAS[],3,FALSE),0)</f>
        <v>3848980803.1642323</v>
      </c>
      <c r="AH1859" s="246">
        <f>IFERROR(VLOOKUP(F1859,PROGRAMAS[],3,FALSE),0)</f>
        <v>3394901471.387517</v>
      </c>
      <c r="AI1859" s="246">
        <f>IFERROR(VLOOKUP(G1859,PROGRAMAS[],3,FALSE),0)</f>
        <v>125317226.95549992</v>
      </c>
      <c r="AJ1859" s="246">
        <f>IFERROR(VLOOKUP(H1859,PROGRAMAS[],3,FALSE),0)</f>
        <v>1233505101.0616004</v>
      </c>
      <c r="AK1859" s="246">
        <f>IFERROR(VLOOKUP(I1859,PROGRAMAS[],3,FALSE),0)</f>
        <v>6129902208.7912121</v>
      </c>
      <c r="AL1859" s="246">
        <f>IFERROR(VLOOKUP(J1859,PROGRAMAS[],3,FALSE),0)</f>
        <v>4099471734.9978786</v>
      </c>
      <c r="AM1859" s="246">
        <f>IFERROR(VLOOKUP(K1859,PROGRAMAS[],3,FALSE),0)</f>
        <v>675517840.109828</v>
      </c>
      <c r="AN1859" s="246">
        <f>IFERROR(VLOOKUP(L1859,PROGRAMAS[],3,FALSE),0)</f>
        <v>31865326.38096505</v>
      </c>
      <c r="AO1859" s="246">
        <f>IFERROR(VLOOKUP(M1859,PROGRAMAS[],3,FALSE),0)</f>
        <v>118617452.52510804</v>
      </c>
      <c r="AP1859" s="246">
        <f>IFERROR(VLOOKUP(N1859,PROGRAMAS[],3,FALSE),0)</f>
        <v>948595847.09039903</v>
      </c>
      <c r="AQ1859" s="246">
        <f>IFERROR(VLOOKUP(O1859,PROGRAMAS[],3,FALSE),0)</f>
        <v>0</v>
      </c>
      <c r="AR1859" s="246">
        <f>IFERROR(VLOOKUP(P1859,PROGRAMAS[],3,FALSE),0)</f>
        <v>0</v>
      </c>
      <c r="AS1859" s="246">
        <f>IFERROR(VLOOKUP(Q1859,PROGRAMAS[],3,FALSE),0)</f>
        <v>0</v>
      </c>
      <c r="AT1859" s="246">
        <f>IFERROR(VLOOKUP(D1859,VOL_REC[],2,FALSE),0)</f>
        <v>0</v>
      </c>
      <c r="AU1859" s="246">
        <f>IFERROR(VLOOKUP(E1859,VOL_REC[],2,FALSE),0)</f>
        <v>0</v>
      </c>
      <c r="AV1859" s="246">
        <f>IFERROR(VLOOKUP(F1859,VOL_REC[],2,FALSE),0)</f>
        <v>11089674.200000001</v>
      </c>
      <c r="AW1859" s="246">
        <f>IFERROR(VLOOKUP(G1859,VOL_REC[],2,FALSE),0)</f>
        <v>90439.55</v>
      </c>
      <c r="AX1859" s="246">
        <f>IFERROR(VLOOKUP(H1859,VOL_REC[],2,FALSE),0)</f>
        <v>4325103.1812214684</v>
      </c>
      <c r="AY1859" s="246">
        <f>IFERROR(VLOOKUP(I1859,VOL_REC[],2,FALSE),0)</f>
        <v>15540036.397699751</v>
      </c>
      <c r="AZ1859" s="246">
        <f>IFERROR(VLOOKUP(J1859,VOL_REC[],2,FALSE),0)</f>
        <v>1812240</v>
      </c>
      <c r="BA1859" s="246">
        <f>IFERROR(VLOOKUP(K1859,VOL_REC[],2,FALSE),0)</f>
        <v>240696.79238099116</v>
      </c>
      <c r="BB1859" s="246">
        <f>IFERROR(VLOOKUP(L1859,VOL_REC[],2,FALSE),0)</f>
        <v>17074.045034105649</v>
      </c>
      <c r="BC1859" s="246">
        <f>IFERROR(VLOOKUP(M1859,VOL_REC[],2,FALSE),0)</f>
        <v>105072</v>
      </c>
      <c r="BD1859" s="246">
        <f>IFERROR(VLOOKUP(N1859,VOL_REC[],2,FALSE),0)</f>
        <v>740113.98115702497</v>
      </c>
      <c r="BE1859" s="246">
        <f>IFERROR(VLOOKUP(O1859,VOL_REC[],2,FALSE),0)</f>
        <v>0</v>
      </c>
      <c r="BF1859" s="246">
        <f>IFERROR(VLOOKUP(P1859,VOL_REC[],2,FALSE),0)</f>
        <v>0</v>
      </c>
      <c r="BG1859" s="246">
        <f>IFERROR(VLOOKUP(Q1859,VOL_REC[],2,FALSE),0)</f>
        <v>0</v>
      </c>
      <c r="BH1859" s="1710">
        <f t="shared" si="120"/>
        <v>19685429404.449268</v>
      </c>
      <c r="BI1859" s="1710">
        <f t="shared" si="121"/>
        <v>21448563641.775043</v>
      </c>
      <c r="BJ1859" s="1711">
        <f t="shared" si="122"/>
        <v>33960450.147493348</v>
      </c>
      <c r="BK1859" s="1711">
        <f t="shared" si="123"/>
        <v>0.91779709509816565</v>
      </c>
    </row>
    <row r="1860" spans="3:67" x14ac:dyDescent="0.25">
      <c r="C1860" s="246" t="s">
        <v>3210</v>
      </c>
      <c r="D1860" s="246">
        <v>1</v>
      </c>
      <c r="E1860" s="246">
        <v>2</v>
      </c>
      <c r="F1860" s="246">
        <v>3</v>
      </c>
      <c r="G1860" s="246">
        <v>4</v>
      </c>
      <c r="H1860" s="246">
        <v>5</v>
      </c>
      <c r="I1860" s="246">
        <v>6</v>
      </c>
      <c r="J1860" s="246">
        <v>10</v>
      </c>
      <c r="K1860" s="246">
        <v>12</v>
      </c>
      <c r="L1860" s="246">
        <v>14</v>
      </c>
      <c r="M1860" s="246">
        <v>16</v>
      </c>
      <c r="N1860" s="246">
        <v>17</v>
      </c>
      <c r="O1860" s="246"/>
      <c r="P1860" s="246"/>
      <c r="Q1860" s="246"/>
      <c r="R1860" s="246">
        <f>IFERROR(VLOOKUP(D1860,PROGRAMAS[],2,FALSE),0)</f>
        <v>97037803.679377079</v>
      </c>
      <c r="S1860" s="246">
        <f>IFERROR(VLOOKUP(E1860,PROGRAMAS[],2,FALSE),0)</f>
        <v>640501509.6821388</v>
      </c>
      <c r="T1860" s="246">
        <f>IFERROR(VLOOKUP(F1860,PROGRAMAS[],2,FALSE),0)</f>
        <v>3062327798.1525245</v>
      </c>
      <c r="U1860" s="246">
        <f>IFERROR(VLOOKUP(G1860,PROGRAMAS[],2,FALSE),0)</f>
        <v>67697118.033011258</v>
      </c>
      <c r="V1860" s="246">
        <f>IFERROR(VLOOKUP(H1860,PROGRAMAS[],2,FALSE),0)</f>
        <v>1440941976.2528784</v>
      </c>
      <c r="W1860" s="246">
        <f>IFERROR(VLOOKUP(I1860,PROGRAMAS[],2,FALSE),0)</f>
        <v>6907648435.8447599</v>
      </c>
      <c r="X1860" s="246">
        <f>IFERROR(VLOOKUP(J1860,PROGRAMAS[],2,FALSE),0)</f>
        <v>4635315027.8751087</v>
      </c>
      <c r="Y1860" s="246">
        <f>IFERROR(VLOOKUP(K1860,PROGRAMAS[],2,FALSE),0)</f>
        <v>764796700.79905891</v>
      </c>
      <c r="Z1860" s="246">
        <f>IFERROR(VLOOKUP(L1860,PROGRAMAS[],2,FALSE),0)</f>
        <v>54223862.645839565</v>
      </c>
      <c r="AA1860" s="246">
        <f>IFERROR(VLOOKUP(M1860,PROGRAMAS[],2,FALSE),0)</f>
        <v>7068496961.0436354</v>
      </c>
      <c r="AB1860" s="246">
        <f>IFERROR(VLOOKUP(N1860,PROGRAMAS[],2,FALSE),0)</f>
        <v>1892779498.5211046</v>
      </c>
      <c r="AC1860" s="246">
        <f>IFERROR(VLOOKUP(O1860,PROGRAMAS[],2,FALSE),0)</f>
        <v>0</v>
      </c>
      <c r="AD1860" s="246">
        <f>IFERROR(VLOOKUP(P1860,PROGRAMAS[],2,FALSE),0)</f>
        <v>0</v>
      </c>
      <c r="AE1860" s="246">
        <f>IFERROR(VLOOKUP(Q1860,PROGRAMAS[],2,FALSE),0)</f>
        <v>0</v>
      </c>
      <c r="AF1860" s="246">
        <f>IFERROR(VLOOKUP(D1860,PROGRAMAS[],3,FALSE),0)</f>
        <v>841888629.31080008</v>
      </c>
      <c r="AG1860" s="246">
        <f>IFERROR(VLOOKUP(E1860,PROGRAMAS[],3,FALSE),0)</f>
        <v>3848980803.1642323</v>
      </c>
      <c r="AH1860" s="246">
        <f>IFERROR(VLOOKUP(F1860,PROGRAMAS[],3,FALSE),0)</f>
        <v>3394901471.387517</v>
      </c>
      <c r="AI1860" s="246">
        <f>IFERROR(VLOOKUP(G1860,PROGRAMAS[],3,FALSE),0)</f>
        <v>125317226.95549992</v>
      </c>
      <c r="AJ1860" s="246">
        <f>IFERROR(VLOOKUP(H1860,PROGRAMAS[],3,FALSE),0)</f>
        <v>1233505101.0616004</v>
      </c>
      <c r="AK1860" s="246">
        <f>IFERROR(VLOOKUP(I1860,PROGRAMAS[],3,FALSE),0)</f>
        <v>6129902208.7912121</v>
      </c>
      <c r="AL1860" s="246">
        <f>IFERROR(VLOOKUP(J1860,PROGRAMAS[],3,FALSE),0)</f>
        <v>4099471734.9978786</v>
      </c>
      <c r="AM1860" s="246">
        <f>IFERROR(VLOOKUP(K1860,PROGRAMAS[],3,FALSE),0)</f>
        <v>675517840.109828</v>
      </c>
      <c r="AN1860" s="246">
        <f>IFERROR(VLOOKUP(L1860,PROGRAMAS[],3,FALSE),0)</f>
        <v>31865326.38096505</v>
      </c>
      <c r="AO1860" s="246">
        <f>IFERROR(VLOOKUP(M1860,PROGRAMAS[],3,FALSE),0)</f>
        <v>2406564599.0319901</v>
      </c>
      <c r="AP1860" s="246">
        <f>IFERROR(VLOOKUP(N1860,PROGRAMAS[],3,FALSE),0)</f>
        <v>948595847.09039903</v>
      </c>
      <c r="AQ1860" s="246">
        <f>IFERROR(VLOOKUP(O1860,PROGRAMAS[],3,FALSE),0)</f>
        <v>0</v>
      </c>
      <c r="AR1860" s="246">
        <f>IFERROR(VLOOKUP(P1860,PROGRAMAS[],3,FALSE),0)</f>
        <v>0</v>
      </c>
      <c r="AS1860" s="246">
        <f>IFERROR(VLOOKUP(Q1860,PROGRAMAS[],3,FALSE),0)</f>
        <v>0</v>
      </c>
      <c r="AT1860" s="246">
        <f>IFERROR(VLOOKUP(D1860,VOL_REC[],2,FALSE),0)</f>
        <v>0</v>
      </c>
      <c r="AU1860" s="246">
        <f>IFERROR(VLOOKUP(E1860,VOL_REC[],2,FALSE),0)</f>
        <v>0</v>
      </c>
      <c r="AV1860" s="246">
        <f>IFERROR(VLOOKUP(F1860,VOL_REC[],2,FALSE),0)</f>
        <v>11089674.200000001</v>
      </c>
      <c r="AW1860" s="246">
        <f>IFERROR(VLOOKUP(G1860,VOL_REC[],2,FALSE),0)</f>
        <v>90439.55</v>
      </c>
      <c r="AX1860" s="246">
        <f>IFERROR(VLOOKUP(H1860,VOL_REC[],2,FALSE),0)</f>
        <v>4325103.1812214684</v>
      </c>
      <c r="AY1860" s="246">
        <f>IFERROR(VLOOKUP(I1860,VOL_REC[],2,FALSE),0)</f>
        <v>15540036.397699751</v>
      </c>
      <c r="AZ1860" s="246">
        <f>IFERROR(VLOOKUP(J1860,VOL_REC[],2,FALSE),0)</f>
        <v>1812240</v>
      </c>
      <c r="BA1860" s="246">
        <f>IFERROR(VLOOKUP(K1860,VOL_REC[],2,FALSE),0)</f>
        <v>240696.79238099116</v>
      </c>
      <c r="BB1860" s="246">
        <f>IFERROR(VLOOKUP(L1860,VOL_REC[],2,FALSE),0)</f>
        <v>17074.045034105649</v>
      </c>
      <c r="BC1860" s="246">
        <f>IFERROR(VLOOKUP(M1860,VOL_REC[],2,FALSE),0)</f>
        <v>1072354.9981737854</v>
      </c>
      <c r="BD1860" s="246">
        <f>IFERROR(VLOOKUP(N1860,VOL_REC[],2,FALSE),0)</f>
        <v>740113.98115702497</v>
      </c>
      <c r="BE1860" s="246">
        <f>IFERROR(VLOOKUP(O1860,VOL_REC[],2,FALSE),0)</f>
        <v>0</v>
      </c>
      <c r="BF1860" s="246">
        <f>IFERROR(VLOOKUP(P1860,VOL_REC[],2,FALSE),0)</f>
        <v>0</v>
      </c>
      <c r="BG1860" s="246">
        <f>IFERROR(VLOOKUP(Q1860,VOL_REC[],2,FALSE),0)</f>
        <v>0</v>
      </c>
      <c r="BH1860" s="1710">
        <f t="shared" si="120"/>
        <v>26631766692.529438</v>
      </c>
      <c r="BI1860" s="1710">
        <f t="shared" si="121"/>
        <v>23736510788.281925</v>
      </c>
      <c r="BJ1860" s="1711">
        <f t="shared" si="122"/>
        <v>34927733.145667136</v>
      </c>
      <c r="BK1860" s="1711">
        <f t="shared" si="123"/>
        <v>1.1219747893897203</v>
      </c>
      <c r="BL1860">
        <f>BJ1860</f>
        <v>34927733.145667136</v>
      </c>
      <c r="BO1860">
        <f>BL1860</f>
        <v>34927733.145667136</v>
      </c>
    </row>
    <row r="1861" spans="3:67" x14ac:dyDescent="0.25">
      <c r="C1861" s="246" t="s">
        <v>3211</v>
      </c>
      <c r="D1861" s="246">
        <v>1</v>
      </c>
      <c r="E1861" s="246">
        <v>2</v>
      </c>
      <c r="F1861" s="246">
        <v>3</v>
      </c>
      <c r="G1861" s="246">
        <v>4</v>
      </c>
      <c r="H1861" s="246">
        <v>5</v>
      </c>
      <c r="I1861" s="246">
        <v>6</v>
      </c>
      <c r="J1861" s="246">
        <v>10</v>
      </c>
      <c r="K1861" s="246">
        <v>12</v>
      </c>
      <c r="L1861" s="246">
        <v>15</v>
      </c>
      <c r="M1861" s="246">
        <v>16</v>
      </c>
      <c r="N1861" s="246">
        <v>17</v>
      </c>
      <c r="O1861" s="246"/>
      <c r="P1861" s="246"/>
      <c r="Q1861" s="246"/>
      <c r="R1861" s="246">
        <f>IFERROR(VLOOKUP(D1861,PROGRAMAS[],2,FALSE),0)</f>
        <v>97037803.679377079</v>
      </c>
      <c r="S1861" s="246">
        <f>IFERROR(VLOOKUP(E1861,PROGRAMAS[],2,FALSE),0)</f>
        <v>640501509.6821388</v>
      </c>
      <c r="T1861" s="246">
        <f>IFERROR(VLOOKUP(F1861,PROGRAMAS[],2,FALSE),0)</f>
        <v>3062327798.1525245</v>
      </c>
      <c r="U1861" s="246">
        <f>IFERROR(VLOOKUP(G1861,PROGRAMAS[],2,FALSE),0)</f>
        <v>67697118.033011258</v>
      </c>
      <c r="V1861" s="246">
        <f>IFERROR(VLOOKUP(H1861,PROGRAMAS[],2,FALSE),0)</f>
        <v>1440941976.2528784</v>
      </c>
      <c r="W1861" s="246">
        <f>IFERROR(VLOOKUP(I1861,PROGRAMAS[],2,FALSE),0)</f>
        <v>6907648435.8447599</v>
      </c>
      <c r="X1861" s="246">
        <f>IFERROR(VLOOKUP(J1861,PROGRAMAS[],2,FALSE),0)</f>
        <v>4635315027.8751087</v>
      </c>
      <c r="Y1861" s="246">
        <f>IFERROR(VLOOKUP(K1861,PROGRAMAS[],2,FALSE),0)</f>
        <v>764796700.79905891</v>
      </c>
      <c r="Z1861" s="246">
        <f>IFERROR(VLOOKUP(L1861,PROGRAMAS[],2,FALSE),0)</f>
        <v>122159672.96346797</v>
      </c>
      <c r="AA1861" s="246">
        <f>IFERROR(VLOOKUP(M1861,PROGRAMAS[],2,FALSE),0)</f>
        <v>7068496961.0436354</v>
      </c>
      <c r="AB1861" s="246">
        <f>IFERROR(VLOOKUP(N1861,PROGRAMAS[],2,FALSE),0)</f>
        <v>1892779498.5211046</v>
      </c>
      <c r="AC1861" s="246">
        <f>IFERROR(VLOOKUP(O1861,PROGRAMAS[],2,FALSE),0)</f>
        <v>0</v>
      </c>
      <c r="AD1861" s="246">
        <f>IFERROR(VLOOKUP(P1861,PROGRAMAS[],2,FALSE),0)</f>
        <v>0</v>
      </c>
      <c r="AE1861" s="246">
        <f>IFERROR(VLOOKUP(Q1861,PROGRAMAS[],2,FALSE),0)</f>
        <v>0</v>
      </c>
      <c r="AF1861" s="246">
        <f>IFERROR(VLOOKUP(D1861,PROGRAMAS[],3,FALSE),0)</f>
        <v>841888629.31080008</v>
      </c>
      <c r="AG1861" s="246">
        <f>IFERROR(VLOOKUP(E1861,PROGRAMAS[],3,FALSE),0)</f>
        <v>3848980803.1642323</v>
      </c>
      <c r="AH1861" s="246">
        <f>IFERROR(VLOOKUP(F1861,PROGRAMAS[],3,FALSE),0)</f>
        <v>3394901471.387517</v>
      </c>
      <c r="AI1861" s="246">
        <f>IFERROR(VLOOKUP(G1861,PROGRAMAS[],3,FALSE),0)</f>
        <v>125317226.95549992</v>
      </c>
      <c r="AJ1861" s="246">
        <f>IFERROR(VLOOKUP(H1861,PROGRAMAS[],3,FALSE),0)</f>
        <v>1233505101.0616004</v>
      </c>
      <c r="AK1861" s="246">
        <f>IFERROR(VLOOKUP(I1861,PROGRAMAS[],3,FALSE),0)</f>
        <v>6129902208.7912121</v>
      </c>
      <c r="AL1861" s="246">
        <f>IFERROR(VLOOKUP(J1861,PROGRAMAS[],3,FALSE),0)</f>
        <v>4099471734.9978786</v>
      </c>
      <c r="AM1861" s="246">
        <f>IFERROR(VLOOKUP(K1861,PROGRAMAS[],3,FALSE),0)</f>
        <v>675517840.109828</v>
      </c>
      <c r="AN1861" s="246">
        <f>IFERROR(VLOOKUP(L1861,PROGRAMAS[],3,FALSE),0)</f>
        <v>118617452.52510804</v>
      </c>
      <c r="AO1861" s="246">
        <f>IFERROR(VLOOKUP(M1861,PROGRAMAS[],3,FALSE),0)</f>
        <v>2406564599.0319901</v>
      </c>
      <c r="AP1861" s="246">
        <f>IFERROR(VLOOKUP(N1861,PROGRAMAS[],3,FALSE),0)</f>
        <v>948595847.09039903</v>
      </c>
      <c r="AQ1861" s="246">
        <f>IFERROR(VLOOKUP(O1861,PROGRAMAS[],3,FALSE),0)</f>
        <v>0</v>
      </c>
      <c r="AR1861" s="246">
        <f>IFERROR(VLOOKUP(P1861,PROGRAMAS[],3,FALSE),0)</f>
        <v>0</v>
      </c>
      <c r="AS1861" s="246">
        <f>IFERROR(VLOOKUP(Q1861,PROGRAMAS[],3,FALSE),0)</f>
        <v>0</v>
      </c>
      <c r="AT1861" s="246">
        <f>IFERROR(VLOOKUP(D1861,VOL_REC[],2,FALSE),0)</f>
        <v>0</v>
      </c>
      <c r="AU1861" s="246">
        <f>IFERROR(VLOOKUP(E1861,VOL_REC[],2,FALSE),0)</f>
        <v>0</v>
      </c>
      <c r="AV1861" s="246">
        <f>IFERROR(VLOOKUP(F1861,VOL_REC[],2,FALSE),0)</f>
        <v>11089674.200000001</v>
      </c>
      <c r="AW1861" s="246">
        <f>IFERROR(VLOOKUP(G1861,VOL_REC[],2,FALSE),0)</f>
        <v>90439.55</v>
      </c>
      <c r="AX1861" s="246">
        <f>IFERROR(VLOOKUP(H1861,VOL_REC[],2,FALSE),0)</f>
        <v>4325103.1812214684</v>
      </c>
      <c r="AY1861" s="246">
        <f>IFERROR(VLOOKUP(I1861,VOL_REC[],2,FALSE),0)</f>
        <v>15540036.397699751</v>
      </c>
      <c r="AZ1861" s="246">
        <f>IFERROR(VLOOKUP(J1861,VOL_REC[],2,FALSE),0)</f>
        <v>1812240</v>
      </c>
      <c r="BA1861" s="246">
        <f>IFERROR(VLOOKUP(K1861,VOL_REC[],2,FALSE),0)</f>
        <v>240696.79238099116</v>
      </c>
      <c r="BB1861" s="246">
        <f>IFERROR(VLOOKUP(L1861,VOL_REC[],2,FALSE),0)</f>
        <v>105072</v>
      </c>
      <c r="BC1861" s="246">
        <f>IFERROR(VLOOKUP(M1861,VOL_REC[],2,FALSE),0)</f>
        <v>1072354.9981737854</v>
      </c>
      <c r="BD1861" s="246">
        <f>IFERROR(VLOOKUP(N1861,VOL_REC[],2,FALSE),0)</f>
        <v>740113.98115702497</v>
      </c>
      <c r="BE1861" s="246">
        <f>IFERROR(VLOOKUP(O1861,VOL_REC[],2,FALSE),0)</f>
        <v>0</v>
      </c>
      <c r="BF1861" s="246">
        <f>IFERROR(VLOOKUP(P1861,VOL_REC[],2,FALSE),0)</f>
        <v>0</v>
      </c>
      <c r="BG1861" s="246">
        <f>IFERROR(VLOOKUP(Q1861,VOL_REC[],2,FALSE),0)</f>
        <v>0</v>
      </c>
      <c r="BH1861" s="1710">
        <f t="shared" si="120"/>
        <v>26699702502.847065</v>
      </c>
      <c r="BI1861" s="1710">
        <f t="shared" si="121"/>
        <v>23823262914.426067</v>
      </c>
      <c r="BJ1861" s="1711">
        <f t="shared" si="122"/>
        <v>35015731.100633025</v>
      </c>
      <c r="BK1861" s="1711">
        <f t="shared" si="123"/>
        <v>1.1207407901576396</v>
      </c>
      <c r="BL1861">
        <f>BJ1861</f>
        <v>35015731.100633025</v>
      </c>
      <c r="BO1861">
        <f>BL1861</f>
        <v>35015731.100633025</v>
      </c>
    </row>
    <row r="1862" spans="3:67" x14ac:dyDescent="0.25">
      <c r="C1862" s="246" t="s">
        <v>3212</v>
      </c>
      <c r="D1862" s="246">
        <v>1</v>
      </c>
      <c r="E1862" s="246">
        <v>2</v>
      </c>
      <c r="F1862" s="246">
        <v>3</v>
      </c>
      <c r="G1862" s="246">
        <v>4</v>
      </c>
      <c r="H1862" s="246">
        <v>5</v>
      </c>
      <c r="I1862" s="246">
        <v>6</v>
      </c>
      <c r="J1862" s="246">
        <v>10</v>
      </c>
      <c r="K1862" s="246">
        <v>13</v>
      </c>
      <c r="L1862" s="246">
        <v>14</v>
      </c>
      <c r="M1862" s="246">
        <v>15</v>
      </c>
      <c r="N1862" s="246">
        <v>16</v>
      </c>
      <c r="O1862" s="246"/>
      <c r="P1862" s="246"/>
      <c r="Q1862" s="246"/>
      <c r="R1862" s="246">
        <f>IFERROR(VLOOKUP(D1862,PROGRAMAS[],2,FALSE),0)</f>
        <v>97037803.679377079</v>
      </c>
      <c r="S1862" s="246">
        <f>IFERROR(VLOOKUP(E1862,PROGRAMAS[],2,FALSE),0)</f>
        <v>640501509.6821388</v>
      </c>
      <c r="T1862" s="246">
        <f>IFERROR(VLOOKUP(F1862,PROGRAMAS[],2,FALSE),0)</f>
        <v>3062327798.1525245</v>
      </c>
      <c r="U1862" s="246">
        <f>IFERROR(VLOOKUP(G1862,PROGRAMAS[],2,FALSE),0)</f>
        <v>67697118.033011258</v>
      </c>
      <c r="V1862" s="246">
        <f>IFERROR(VLOOKUP(H1862,PROGRAMAS[],2,FALSE),0)</f>
        <v>1440941976.2528784</v>
      </c>
      <c r="W1862" s="246">
        <f>IFERROR(VLOOKUP(I1862,PROGRAMAS[],2,FALSE),0)</f>
        <v>6907648435.8447599</v>
      </c>
      <c r="X1862" s="246">
        <f>IFERROR(VLOOKUP(J1862,PROGRAMAS[],2,FALSE),0)</f>
        <v>4635315027.8751087</v>
      </c>
      <c r="Y1862" s="246">
        <f>IFERROR(VLOOKUP(K1862,PROGRAMAS[],2,FALSE),0)</f>
        <v>3776538594.4604583</v>
      </c>
      <c r="Z1862" s="246">
        <f>IFERROR(VLOOKUP(L1862,PROGRAMAS[],2,FALSE),0)</f>
        <v>54223862.645839565</v>
      </c>
      <c r="AA1862" s="246">
        <f>IFERROR(VLOOKUP(M1862,PROGRAMAS[],2,FALSE),0)</f>
        <v>122159672.96346797</v>
      </c>
      <c r="AB1862" s="246">
        <f>IFERROR(VLOOKUP(N1862,PROGRAMAS[],2,FALSE),0)</f>
        <v>7068496961.0436354</v>
      </c>
      <c r="AC1862" s="246">
        <f>IFERROR(VLOOKUP(O1862,PROGRAMAS[],2,FALSE),0)</f>
        <v>0</v>
      </c>
      <c r="AD1862" s="246">
        <f>IFERROR(VLOOKUP(P1862,PROGRAMAS[],2,FALSE),0)</f>
        <v>0</v>
      </c>
      <c r="AE1862" s="246">
        <f>IFERROR(VLOOKUP(Q1862,PROGRAMAS[],2,FALSE),0)</f>
        <v>0</v>
      </c>
      <c r="AF1862" s="246">
        <f>IFERROR(VLOOKUP(D1862,PROGRAMAS[],3,FALSE),0)</f>
        <v>841888629.31080008</v>
      </c>
      <c r="AG1862" s="246">
        <f>IFERROR(VLOOKUP(E1862,PROGRAMAS[],3,FALSE),0)</f>
        <v>3848980803.1642323</v>
      </c>
      <c r="AH1862" s="246">
        <f>IFERROR(VLOOKUP(F1862,PROGRAMAS[],3,FALSE),0)</f>
        <v>3394901471.387517</v>
      </c>
      <c r="AI1862" s="246">
        <f>IFERROR(VLOOKUP(G1862,PROGRAMAS[],3,FALSE),0)</f>
        <v>125317226.95549992</v>
      </c>
      <c r="AJ1862" s="246">
        <f>IFERROR(VLOOKUP(H1862,PROGRAMAS[],3,FALSE),0)</f>
        <v>1233505101.0616004</v>
      </c>
      <c r="AK1862" s="246">
        <f>IFERROR(VLOOKUP(I1862,PROGRAMAS[],3,FALSE),0)</f>
        <v>6129902208.7912121</v>
      </c>
      <c r="AL1862" s="246">
        <f>IFERROR(VLOOKUP(J1862,PROGRAMAS[],3,FALSE),0)</f>
        <v>4099471734.9978786</v>
      </c>
      <c r="AM1862" s="246">
        <f>IFERROR(VLOOKUP(K1862,PROGRAMAS[],3,FALSE),0)</f>
        <v>2392571243.5584412</v>
      </c>
      <c r="AN1862" s="246">
        <f>IFERROR(VLOOKUP(L1862,PROGRAMAS[],3,FALSE),0)</f>
        <v>31865326.38096505</v>
      </c>
      <c r="AO1862" s="246">
        <f>IFERROR(VLOOKUP(M1862,PROGRAMAS[],3,FALSE),0)</f>
        <v>118617452.52510804</v>
      </c>
      <c r="AP1862" s="246">
        <f>IFERROR(VLOOKUP(N1862,PROGRAMAS[],3,FALSE),0)</f>
        <v>2406564599.0319901</v>
      </c>
      <c r="AQ1862" s="246">
        <f>IFERROR(VLOOKUP(O1862,PROGRAMAS[],3,FALSE),0)</f>
        <v>0</v>
      </c>
      <c r="AR1862" s="246">
        <f>IFERROR(VLOOKUP(P1862,PROGRAMAS[],3,FALSE),0)</f>
        <v>0</v>
      </c>
      <c r="AS1862" s="246">
        <f>IFERROR(VLOOKUP(Q1862,PROGRAMAS[],3,FALSE),0)</f>
        <v>0</v>
      </c>
      <c r="AT1862" s="246">
        <f>IFERROR(VLOOKUP(D1862,VOL_REC[],2,FALSE),0)</f>
        <v>0</v>
      </c>
      <c r="AU1862" s="246">
        <f>IFERROR(VLOOKUP(E1862,VOL_REC[],2,FALSE),0)</f>
        <v>0</v>
      </c>
      <c r="AV1862" s="246">
        <f>IFERROR(VLOOKUP(F1862,VOL_REC[],2,FALSE),0)</f>
        <v>11089674.200000001</v>
      </c>
      <c r="AW1862" s="246">
        <f>IFERROR(VLOOKUP(G1862,VOL_REC[],2,FALSE),0)</f>
        <v>90439.55</v>
      </c>
      <c r="AX1862" s="246">
        <f>IFERROR(VLOOKUP(H1862,VOL_REC[],2,FALSE),0)</f>
        <v>4325103.1812214684</v>
      </c>
      <c r="AY1862" s="246">
        <f>IFERROR(VLOOKUP(I1862,VOL_REC[],2,FALSE),0)</f>
        <v>15540036.397699751</v>
      </c>
      <c r="AZ1862" s="246">
        <f>IFERROR(VLOOKUP(J1862,VOL_REC[],2,FALSE),0)</f>
        <v>1812240</v>
      </c>
      <c r="BA1862" s="246">
        <f>IFERROR(VLOOKUP(K1862,VOL_REC[],2,FALSE),0)</f>
        <v>663244.80000000016</v>
      </c>
      <c r="BB1862" s="246">
        <f>IFERROR(VLOOKUP(L1862,VOL_REC[],2,FALSE),0)</f>
        <v>17074.045034105649</v>
      </c>
      <c r="BC1862" s="246">
        <f>IFERROR(VLOOKUP(M1862,VOL_REC[],2,FALSE),0)</f>
        <v>105072</v>
      </c>
      <c r="BD1862" s="246">
        <f>IFERROR(VLOOKUP(N1862,VOL_REC[],2,FALSE),0)</f>
        <v>1072354.9981737854</v>
      </c>
      <c r="BE1862" s="246">
        <f>IFERROR(VLOOKUP(O1862,VOL_REC[],2,FALSE),0)</f>
        <v>0</v>
      </c>
      <c r="BF1862" s="246">
        <f>IFERROR(VLOOKUP(P1862,VOL_REC[],2,FALSE),0)</f>
        <v>0</v>
      </c>
      <c r="BG1862" s="246">
        <f>IFERROR(VLOOKUP(Q1862,VOL_REC[],2,FALSE),0)</f>
        <v>0</v>
      </c>
      <c r="BH1862" s="1710">
        <f t="shared" si="120"/>
        <v>27872888760.633202</v>
      </c>
      <c r="BI1862" s="1710">
        <f t="shared" si="121"/>
        <v>24623585797.165245</v>
      </c>
      <c r="BJ1862" s="1711">
        <f t="shared" si="122"/>
        <v>34715239.172129117</v>
      </c>
      <c r="BK1862" s="1711">
        <f t="shared" si="123"/>
        <v>1.1319589677244339</v>
      </c>
      <c r="BL1862">
        <f>BJ1862</f>
        <v>34715239.172129117</v>
      </c>
      <c r="BO1862">
        <f>BL1862</f>
        <v>34715239.172129117</v>
      </c>
    </row>
    <row r="1863" spans="3:67" x14ac:dyDescent="0.25">
      <c r="C1863" s="246" t="s">
        <v>3213</v>
      </c>
      <c r="D1863" s="246">
        <v>1</v>
      </c>
      <c r="E1863" s="246">
        <v>2</v>
      </c>
      <c r="F1863" s="246">
        <v>3</v>
      </c>
      <c r="G1863" s="246">
        <v>4</v>
      </c>
      <c r="H1863" s="246">
        <v>5</v>
      </c>
      <c r="I1863" s="246">
        <v>6</v>
      </c>
      <c r="J1863" s="246">
        <v>10</v>
      </c>
      <c r="K1863" s="246">
        <v>13</v>
      </c>
      <c r="L1863" s="246">
        <v>14</v>
      </c>
      <c r="M1863" s="246">
        <v>15</v>
      </c>
      <c r="N1863" s="246">
        <v>17</v>
      </c>
      <c r="O1863" s="246"/>
      <c r="P1863" s="246"/>
      <c r="Q1863" s="246"/>
      <c r="R1863" s="246">
        <f>IFERROR(VLOOKUP(D1863,PROGRAMAS[],2,FALSE),0)</f>
        <v>97037803.679377079</v>
      </c>
      <c r="S1863" s="246">
        <f>IFERROR(VLOOKUP(E1863,PROGRAMAS[],2,FALSE),0)</f>
        <v>640501509.6821388</v>
      </c>
      <c r="T1863" s="246">
        <f>IFERROR(VLOOKUP(F1863,PROGRAMAS[],2,FALSE),0)</f>
        <v>3062327798.1525245</v>
      </c>
      <c r="U1863" s="246">
        <f>IFERROR(VLOOKUP(G1863,PROGRAMAS[],2,FALSE),0)</f>
        <v>67697118.033011258</v>
      </c>
      <c r="V1863" s="246">
        <f>IFERROR(VLOOKUP(H1863,PROGRAMAS[],2,FALSE),0)</f>
        <v>1440941976.2528784</v>
      </c>
      <c r="W1863" s="246">
        <f>IFERROR(VLOOKUP(I1863,PROGRAMAS[],2,FALSE),0)</f>
        <v>6907648435.8447599</v>
      </c>
      <c r="X1863" s="246">
        <f>IFERROR(VLOOKUP(J1863,PROGRAMAS[],2,FALSE),0)</f>
        <v>4635315027.8751087</v>
      </c>
      <c r="Y1863" s="246">
        <f>IFERROR(VLOOKUP(K1863,PROGRAMAS[],2,FALSE),0)</f>
        <v>3776538594.4604583</v>
      </c>
      <c r="Z1863" s="246">
        <f>IFERROR(VLOOKUP(L1863,PROGRAMAS[],2,FALSE),0)</f>
        <v>54223862.645839565</v>
      </c>
      <c r="AA1863" s="246">
        <f>IFERROR(VLOOKUP(M1863,PROGRAMAS[],2,FALSE),0)</f>
        <v>122159672.96346797</v>
      </c>
      <c r="AB1863" s="246">
        <f>IFERROR(VLOOKUP(N1863,PROGRAMAS[],2,FALSE),0)</f>
        <v>1892779498.5211046</v>
      </c>
      <c r="AC1863" s="246">
        <f>IFERROR(VLOOKUP(O1863,PROGRAMAS[],2,FALSE),0)</f>
        <v>0</v>
      </c>
      <c r="AD1863" s="246">
        <f>IFERROR(VLOOKUP(P1863,PROGRAMAS[],2,FALSE),0)</f>
        <v>0</v>
      </c>
      <c r="AE1863" s="246">
        <f>IFERROR(VLOOKUP(Q1863,PROGRAMAS[],2,FALSE),0)</f>
        <v>0</v>
      </c>
      <c r="AF1863" s="246">
        <f>IFERROR(VLOOKUP(D1863,PROGRAMAS[],3,FALSE),0)</f>
        <v>841888629.31080008</v>
      </c>
      <c r="AG1863" s="246">
        <f>IFERROR(VLOOKUP(E1863,PROGRAMAS[],3,FALSE),0)</f>
        <v>3848980803.1642323</v>
      </c>
      <c r="AH1863" s="246">
        <f>IFERROR(VLOOKUP(F1863,PROGRAMAS[],3,FALSE),0)</f>
        <v>3394901471.387517</v>
      </c>
      <c r="AI1863" s="246">
        <f>IFERROR(VLOOKUP(G1863,PROGRAMAS[],3,FALSE),0)</f>
        <v>125317226.95549992</v>
      </c>
      <c r="AJ1863" s="246">
        <f>IFERROR(VLOOKUP(H1863,PROGRAMAS[],3,FALSE),0)</f>
        <v>1233505101.0616004</v>
      </c>
      <c r="AK1863" s="246">
        <f>IFERROR(VLOOKUP(I1863,PROGRAMAS[],3,FALSE),0)</f>
        <v>6129902208.7912121</v>
      </c>
      <c r="AL1863" s="246">
        <f>IFERROR(VLOOKUP(J1863,PROGRAMAS[],3,FALSE),0)</f>
        <v>4099471734.9978786</v>
      </c>
      <c r="AM1863" s="246">
        <f>IFERROR(VLOOKUP(K1863,PROGRAMAS[],3,FALSE),0)</f>
        <v>2392571243.5584412</v>
      </c>
      <c r="AN1863" s="246">
        <f>IFERROR(VLOOKUP(L1863,PROGRAMAS[],3,FALSE),0)</f>
        <v>31865326.38096505</v>
      </c>
      <c r="AO1863" s="246">
        <f>IFERROR(VLOOKUP(M1863,PROGRAMAS[],3,FALSE),0)</f>
        <v>118617452.52510804</v>
      </c>
      <c r="AP1863" s="246">
        <f>IFERROR(VLOOKUP(N1863,PROGRAMAS[],3,FALSE),0)</f>
        <v>948595847.09039903</v>
      </c>
      <c r="AQ1863" s="246">
        <f>IFERROR(VLOOKUP(O1863,PROGRAMAS[],3,FALSE),0)</f>
        <v>0</v>
      </c>
      <c r="AR1863" s="246">
        <f>IFERROR(VLOOKUP(P1863,PROGRAMAS[],3,FALSE),0)</f>
        <v>0</v>
      </c>
      <c r="AS1863" s="246">
        <f>IFERROR(VLOOKUP(Q1863,PROGRAMAS[],3,FALSE),0)</f>
        <v>0</v>
      </c>
      <c r="AT1863" s="246">
        <f>IFERROR(VLOOKUP(D1863,VOL_REC[],2,FALSE),0)</f>
        <v>0</v>
      </c>
      <c r="AU1863" s="246">
        <f>IFERROR(VLOOKUP(E1863,VOL_REC[],2,FALSE),0)</f>
        <v>0</v>
      </c>
      <c r="AV1863" s="246">
        <f>IFERROR(VLOOKUP(F1863,VOL_REC[],2,FALSE),0)</f>
        <v>11089674.200000001</v>
      </c>
      <c r="AW1863" s="246">
        <f>IFERROR(VLOOKUP(G1863,VOL_REC[],2,FALSE),0)</f>
        <v>90439.55</v>
      </c>
      <c r="AX1863" s="246">
        <f>IFERROR(VLOOKUP(H1863,VOL_REC[],2,FALSE),0)</f>
        <v>4325103.1812214684</v>
      </c>
      <c r="AY1863" s="246">
        <f>IFERROR(VLOOKUP(I1863,VOL_REC[],2,FALSE),0)</f>
        <v>15540036.397699751</v>
      </c>
      <c r="AZ1863" s="246">
        <f>IFERROR(VLOOKUP(J1863,VOL_REC[],2,FALSE),0)</f>
        <v>1812240</v>
      </c>
      <c r="BA1863" s="246">
        <f>IFERROR(VLOOKUP(K1863,VOL_REC[],2,FALSE),0)</f>
        <v>663244.80000000016</v>
      </c>
      <c r="BB1863" s="246">
        <f>IFERROR(VLOOKUP(L1863,VOL_REC[],2,FALSE),0)</f>
        <v>17074.045034105649</v>
      </c>
      <c r="BC1863" s="246">
        <f>IFERROR(VLOOKUP(M1863,VOL_REC[],2,FALSE),0)</f>
        <v>105072</v>
      </c>
      <c r="BD1863" s="246">
        <f>IFERROR(VLOOKUP(N1863,VOL_REC[],2,FALSE),0)</f>
        <v>740113.98115702497</v>
      </c>
      <c r="BE1863" s="246">
        <f>IFERROR(VLOOKUP(O1863,VOL_REC[],2,FALSE),0)</f>
        <v>0</v>
      </c>
      <c r="BF1863" s="246">
        <f>IFERROR(VLOOKUP(P1863,VOL_REC[],2,FALSE),0)</f>
        <v>0</v>
      </c>
      <c r="BG1863" s="246">
        <f>IFERROR(VLOOKUP(Q1863,VOL_REC[],2,FALSE),0)</f>
        <v>0</v>
      </c>
      <c r="BH1863" s="1710">
        <f t="shared" si="120"/>
        <v>22697171298.110668</v>
      </c>
      <c r="BI1863" s="1710">
        <f t="shared" si="121"/>
        <v>23165617045.223656</v>
      </c>
      <c r="BJ1863" s="1711">
        <f t="shared" si="122"/>
        <v>34382998.155112356</v>
      </c>
      <c r="BK1863" s="1711">
        <f t="shared" si="123"/>
        <v>0.97977840408056072</v>
      </c>
    </row>
    <row r="1864" spans="3:67" x14ac:dyDescent="0.25">
      <c r="C1864" s="246" t="s">
        <v>3214</v>
      </c>
      <c r="D1864" s="246">
        <v>1</v>
      </c>
      <c r="E1864" s="246">
        <v>2</v>
      </c>
      <c r="F1864" s="246">
        <v>3</v>
      </c>
      <c r="G1864" s="246">
        <v>4</v>
      </c>
      <c r="H1864" s="246">
        <v>5</v>
      </c>
      <c r="I1864" s="246">
        <v>6</v>
      </c>
      <c r="J1864" s="246">
        <v>10</v>
      </c>
      <c r="K1864" s="246">
        <v>13</v>
      </c>
      <c r="L1864" s="246">
        <v>14</v>
      </c>
      <c r="M1864" s="246">
        <v>16</v>
      </c>
      <c r="N1864" s="246">
        <v>17</v>
      </c>
      <c r="O1864" s="246"/>
      <c r="P1864" s="246"/>
      <c r="Q1864" s="246"/>
      <c r="R1864" s="246">
        <f>IFERROR(VLOOKUP(D1864,PROGRAMAS[],2,FALSE),0)</f>
        <v>97037803.679377079</v>
      </c>
      <c r="S1864" s="246">
        <f>IFERROR(VLOOKUP(E1864,PROGRAMAS[],2,FALSE),0)</f>
        <v>640501509.6821388</v>
      </c>
      <c r="T1864" s="246">
        <f>IFERROR(VLOOKUP(F1864,PROGRAMAS[],2,FALSE),0)</f>
        <v>3062327798.1525245</v>
      </c>
      <c r="U1864" s="246">
        <f>IFERROR(VLOOKUP(G1864,PROGRAMAS[],2,FALSE),0)</f>
        <v>67697118.033011258</v>
      </c>
      <c r="V1864" s="246">
        <f>IFERROR(VLOOKUP(H1864,PROGRAMAS[],2,FALSE),0)</f>
        <v>1440941976.2528784</v>
      </c>
      <c r="W1864" s="246">
        <f>IFERROR(VLOOKUP(I1864,PROGRAMAS[],2,FALSE),0)</f>
        <v>6907648435.8447599</v>
      </c>
      <c r="X1864" s="246">
        <f>IFERROR(VLOOKUP(J1864,PROGRAMAS[],2,FALSE),0)</f>
        <v>4635315027.8751087</v>
      </c>
      <c r="Y1864" s="246">
        <f>IFERROR(VLOOKUP(K1864,PROGRAMAS[],2,FALSE),0)</f>
        <v>3776538594.4604583</v>
      </c>
      <c r="Z1864" s="246">
        <f>IFERROR(VLOOKUP(L1864,PROGRAMAS[],2,FALSE),0)</f>
        <v>54223862.645839565</v>
      </c>
      <c r="AA1864" s="246">
        <f>IFERROR(VLOOKUP(M1864,PROGRAMAS[],2,FALSE),0)</f>
        <v>7068496961.0436354</v>
      </c>
      <c r="AB1864" s="246">
        <f>IFERROR(VLOOKUP(N1864,PROGRAMAS[],2,FALSE),0)</f>
        <v>1892779498.5211046</v>
      </c>
      <c r="AC1864" s="246">
        <f>IFERROR(VLOOKUP(O1864,PROGRAMAS[],2,FALSE),0)</f>
        <v>0</v>
      </c>
      <c r="AD1864" s="246">
        <f>IFERROR(VLOOKUP(P1864,PROGRAMAS[],2,FALSE),0)</f>
        <v>0</v>
      </c>
      <c r="AE1864" s="246">
        <f>IFERROR(VLOOKUP(Q1864,PROGRAMAS[],2,FALSE),0)</f>
        <v>0</v>
      </c>
      <c r="AF1864" s="246">
        <f>IFERROR(VLOOKUP(D1864,PROGRAMAS[],3,FALSE),0)</f>
        <v>841888629.31080008</v>
      </c>
      <c r="AG1864" s="246">
        <f>IFERROR(VLOOKUP(E1864,PROGRAMAS[],3,FALSE),0)</f>
        <v>3848980803.1642323</v>
      </c>
      <c r="AH1864" s="246">
        <f>IFERROR(VLOOKUP(F1864,PROGRAMAS[],3,FALSE),0)</f>
        <v>3394901471.387517</v>
      </c>
      <c r="AI1864" s="246">
        <f>IFERROR(VLOOKUP(G1864,PROGRAMAS[],3,FALSE),0)</f>
        <v>125317226.95549992</v>
      </c>
      <c r="AJ1864" s="246">
        <f>IFERROR(VLOOKUP(H1864,PROGRAMAS[],3,FALSE),0)</f>
        <v>1233505101.0616004</v>
      </c>
      <c r="AK1864" s="246">
        <f>IFERROR(VLOOKUP(I1864,PROGRAMAS[],3,FALSE),0)</f>
        <v>6129902208.7912121</v>
      </c>
      <c r="AL1864" s="246">
        <f>IFERROR(VLOOKUP(J1864,PROGRAMAS[],3,FALSE),0)</f>
        <v>4099471734.9978786</v>
      </c>
      <c r="AM1864" s="246">
        <f>IFERROR(VLOOKUP(K1864,PROGRAMAS[],3,FALSE),0)</f>
        <v>2392571243.5584412</v>
      </c>
      <c r="AN1864" s="246">
        <f>IFERROR(VLOOKUP(L1864,PROGRAMAS[],3,FALSE),0)</f>
        <v>31865326.38096505</v>
      </c>
      <c r="AO1864" s="246">
        <f>IFERROR(VLOOKUP(M1864,PROGRAMAS[],3,FALSE),0)</f>
        <v>2406564599.0319901</v>
      </c>
      <c r="AP1864" s="246">
        <f>IFERROR(VLOOKUP(N1864,PROGRAMAS[],3,FALSE),0)</f>
        <v>948595847.09039903</v>
      </c>
      <c r="AQ1864" s="246">
        <f>IFERROR(VLOOKUP(O1864,PROGRAMAS[],3,FALSE),0)</f>
        <v>0</v>
      </c>
      <c r="AR1864" s="246">
        <f>IFERROR(VLOOKUP(P1864,PROGRAMAS[],3,FALSE),0)</f>
        <v>0</v>
      </c>
      <c r="AS1864" s="246">
        <f>IFERROR(VLOOKUP(Q1864,PROGRAMAS[],3,FALSE),0)</f>
        <v>0</v>
      </c>
      <c r="AT1864" s="246">
        <f>IFERROR(VLOOKUP(D1864,VOL_REC[],2,FALSE),0)</f>
        <v>0</v>
      </c>
      <c r="AU1864" s="246">
        <f>IFERROR(VLOOKUP(E1864,VOL_REC[],2,FALSE),0)</f>
        <v>0</v>
      </c>
      <c r="AV1864" s="246">
        <f>IFERROR(VLOOKUP(F1864,VOL_REC[],2,FALSE),0)</f>
        <v>11089674.200000001</v>
      </c>
      <c r="AW1864" s="246">
        <f>IFERROR(VLOOKUP(G1864,VOL_REC[],2,FALSE),0)</f>
        <v>90439.55</v>
      </c>
      <c r="AX1864" s="246">
        <f>IFERROR(VLOOKUP(H1864,VOL_REC[],2,FALSE),0)</f>
        <v>4325103.1812214684</v>
      </c>
      <c r="AY1864" s="246">
        <f>IFERROR(VLOOKUP(I1864,VOL_REC[],2,FALSE),0)</f>
        <v>15540036.397699751</v>
      </c>
      <c r="AZ1864" s="246">
        <f>IFERROR(VLOOKUP(J1864,VOL_REC[],2,FALSE),0)</f>
        <v>1812240</v>
      </c>
      <c r="BA1864" s="246">
        <f>IFERROR(VLOOKUP(K1864,VOL_REC[],2,FALSE),0)</f>
        <v>663244.80000000016</v>
      </c>
      <c r="BB1864" s="246">
        <f>IFERROR(VLOOKUP(L1864,VOL_REC[],2,FALSE),0)</f>
        <v>17074.045034105649</v>
      </c>
      <c r="BC1864" s="246">
        <f>IFERROR(VLOOKUP(M1864,VOL_REC[],2,FALSE),0)</f>
        <v>1072354.9981737854</v>
      </c>
      <c r="BD1864" s="246">
        <f>IFERROR(VLOOKUP(N1864,VOL_REC[],2,FALSE),0)</f>
        <v>740113.98115702497</v>
      </c>
      <c r="BE1864" s="246">
        <f>IFERROR(VLOOKUP(O1864,VOL_REC[],2,FALSE),0)</f>
        <v>0</v>
      </c>
      <c r="BF1864" s="246">
        <f>IFERROR(VLOOKUP(P1864,VOL_REC[],2,FALSE),0)</f>
        <v>0</v>
      </c>
      <c r="BG1864" s="246">
        <f>IFERROR(VLOOKUP(Q1864,VOL_REC[],2,FALSE),0)</f>
        <v>0</v>
      </c>
      <c r="BH1864" s="1710">
        <f t="shared" si="120"/>
        <v>29643508586.190838</v>
      </c>
      <c r="BI1864" s="1710">
        <f t="shared" si="121"/>
        <v>25453564191.730537</v>
      </c>
      <c r="BJ1864" s="1711">
        <f t="shared" si="122"/>
        <v>35350281.153286144</v>
      </c>
      <c r="BK1864" s="1711">
        <f t="shared" si="123"/>
        <v>1.1646113040554669</v>
      </c>
      <c r="BL1864">
        <f>BJ1864</f>
        <v>35350281.153286144</v>
      </c>
      <c r="BO1864">
        <f>BL1864</f>
        <v>35350281.153286144</v>
      </c>
    </row>
    <row r="1865" spans="3:67" x14ac:dyDescent="0.25">
      <c r="C1865" s="246" t="s">
        <v>3215</v>
      </c>
      <c r="D1865" s="246">
        <v>1</v>
      </c>
      <c r="E1865" s="246">
        <v>2</v>
      </c>
      <c r="F1865" s="246">
        <v>3</v>
      </c>
      <c r="G1865" s="246">
        <v>4</v>
      </c>
      <c r="H1865" s="246">
        <v>5</v>
      </c>
      <c r="I1865" s="246">
        <v>6</v>
      </c>
      <c r="J1865" s="246">
        <v>10</v>
      </c>
      <c r="K1865" s="246">
        <v>13</v>
      </c>
      <c r="L1865" s="246">
        <v>15</v>
      </c>
      <c r="M1865" s="246">
        <v>16</v>
      </c>
      <c r="N1865" s="246">
        <v>17</v>
      </c>
      <c r="O1865" s="246"/>
      <c r="P1865" s="246"/>
      <c r="Q1865" s="246"/>
      <c r="R1865" s="246">
        <f>IFERROR(VLOOKUP(D1865,PROGRAMAS[],2,FALSE),0)</f>
        <v>97037803.679377079</v>
      </c>
      <c r="S1865" s="246">
        <f>IFERROR(VLOOKUP(E1865,PROGRAMAS[],2,FALSE),0)</f>
        <v>640501509.6821388</v>
      </c>
      <c r="T1865" s="246">
        <f>IFERROR(VLOOKUP(F1865,PROGRAMAS[],2,FALSE),0)</f>
        <v>3062327798.1525245</v>
      </c>
      <c r="U1865" s="246">
        <f>IFERROR(VLOOKUP(G1865,PROGRAMAS[],2,FALSE),0)</f>
        <v>67697118.033011258</v>
      </c>
      <c r="V1865" s="246">
        <f>IFERROR(VLOOKUP(H1865,PROGRAMAS[],2,FALSE),0)</f>
        <v>1440941976.2528784</v>
      </c>
      <c r="W1865" s="246">
        <f>IFERROR(VLOOKUP(I1865,PROGRAMAS[],2,FALSE),0)</f>
        <v>6907648435.8447599</v>
      </c>
      <c r="X1865" s="246">
        <f>IFERROR(VLOOKUP(J1865,PROGRAMAS[],2,FALSE),0)</f>
        <v>4635315027.8751087</v>
      </c>
      <c r="Y1865" s="246">
        <f>IFERROR(VLOOKUP(K1865,PROGRAMAS[],2,FALSE),0)</f>
        <v>3776538594.4604583</v>
      </c>
      <c r="Z1865" s="246">
        <f>IFERROR(VLOOKUP(L1865,PROGRAMAS[],2,FALSE),0)</f>
        <v>122159672.96346797</v>
      </c>
      <c r="AA1865" s="246">
        <f>IFERROR(VLOOKUP(M1865,PROGRAMAS[],2,FALSE),0)</f>
        <v>7068496961.0436354</v>
      </c>
      <c r="AB1865" s="246">
        <f>IFERROR(VLOOKUP(N1865,PROGRAMAS[],2,FALSE),0)</f>
        <v>1892779498.5211046</v>
      </c>
      <c r="AC1865" s="246">
        <f>IFERROR(VLOOKUP(O1865,PROGRAMAS[],2,FALSE),0)</f>
        <v>0</v>
      </c>
      <c r="AD1865" s="246">
        <f>IFERROR(VLOOKUP(P1865,PROGRAMAS[],2,FALSE),0)</f>
        <v>0</v>
      </c>
      <c r="AE1865" s="246">
        <f>IFERROR(VLOOKUP(Q1865,PROGRAMAS[],2,FALSE),0)</f>
        <v>0</v>
      </c>
      <c r="AF1865" s="246">
        <f>IFERROR(VLOOKUP(D1865,PROGRAMAS[],3,FALSE),0)</f>
        <v>841888629.31080008</v>
      </c>
      <c r="AG1865" s="246">
        <f>IFERROR(VLOOKUP(E1865,PROGRAMAS[],3,FALSE),0)</f>
        <v>3848980803.1642323</v>
      </c>
      <c r="AH1865" s="246">
        <f>IFERROR(VLOOKUP(F1865,PROGRAMAS[],3,FALSE),0)</f>
        <v>3394901471.387517</v>
      </c>
      <c r="AI1865" s="246">
        <f>IFERROR(VLOOKUP(G1865,PROGRAMAS[],3,FALSE),0)</f>
        <v>125317226.95549992</v>
      </c>
      <c r="AJ1865" s="246">
        <f>IFERROR(VLOOKUP(H1865,PROGRAMAS[],3,FALSE),0)</f>
        <v>1233505101.0616004</v>
      </c>
      <c r="AK1865" s="246">
        <f>IFERROR(VLOOKUP(I1865,PROGRAMAS[],3,FALSE),0)</f>
        <v>6129902208.7912121</v>
      </c>
      <c r="AL1865" s="246">
        <f>IFERROR(VLOOKUP(J1865,PROGRAMAS[],3,FALSE),0)</f>
        <v>4099471734.9978786</v>
      </c>
      <c r="AM1865" s="246">
        <f>IFERROR(VLOOKUP(K1865,PROGRAMAS[],3,FALSE),0)</f>
        <v>2392571243.5584412</v>
      </c>
      <c r="AN1865" s="246">
        <f>IFERROR(VLOOKUP(L1865,PROGRAMAS[],3,FALSE),0)</f>
        <v>118617452.52510804</v>
      </c>
      <c r="AO1865" s="246">
        <f>IFERROR(VLOOKUP(M1865,PROGRAMAS[],3,FALSE),0)</f>
        <v>2406564599.0319901</v>
      </c>
      <c r="AP1865" s="246">
        <f>IFERROR(VLOOKUP(N1865,PROGRAMAS[],3,FALSE),0)</f>
        <v>948595847.09039903</v>
      </c>
      <c r="AQ1865" s="246">
        <f>IFERROR(VLOOKUP(O1865,PROGRAMAS[],3,FALSE),0)</f>
        <v>0</v>
      </c>
      <c r="AR1865" s="246">
        <f>IFERROR(VLOOKUP(P1865,PROGRAMAS[],3,FALSE),0)</f>
        <v>0</v>
      </c>
      <c r="AS1865" s="246">
        <f>IFERROR(VLOOKUP(Q1865,PROGRAMAS[],3,FALSE),0)</f>
        <v>0</v>
      </c>
      <c r="AT1865" s="246">
        <f>IFERROR(VLOOKUP(D1865,VOL_REC[],2,FALSE),0)</f>
        <v>0</v>
      </c>
      <c r="AU1865" s="246">
        <f>IFERROR(VLOOKUP(E1865,VOL_REC[],2,FALSE),0)</f>
        <v>0</v>
      </c>
      <c r="AV1865" s="246">
        <f>IFERROR(VLOOKUP(F1865,VOL_REC[],2,FALSE),0)</f>
        <v>11089674.200000001</v>
      </c>
      <c r="AW1865" s="246">
        <f>IFERROR(VLOOKUP(G1865,VOL_REC[],2,FALSE),0)</f>
        <v>90439.55</v>
      </c>
      <c r="AX1865" s="246">
        <f>IFERROR(VLOOKUP(H1865,VOL_REC[],2,FALSE),0)</f>
        <v>4325103.1812214684</v>
      </c>
      <c r="AY1865" s="246">
        <f>IFERROR(VLOOKUP(I1865,VOL_REC[],2,FALSE),0)</f>
        <v>15540036.397699751</v>
      </c>
      <c r="AZ1865" s="246">
        <f>IFERROR(VLOOKUP(J1865,VOL_REC[],2,FALSE),0)</f>
        <v>1812240</v>
      </c>
      <c r="BA1865" s="246">
        <f>IFERROR(VLOOKUP(K1865,VOL_REC[],2,FALSE),0)</f>
        <v>663244.80000000016</v>
      </c>
      <c r="BB1865" s="246">
        <f>IFERROR(VLOOKUP(L1865,VOL_REC[],2,FALSE),0)</f>
        <v>105072</v>
      </c>
      <c r="BC1865" s="246">
        <f>IFERROR(VLOOKUP(M1865,VOL_REC[],2,FALSE),0)</f>
        <v>1072354.9981737854</v>
      </c>
      <c r="BD1865" s="246">
        <f>IFERROR(VLOOKUP(N1865,VOL_REC[],2,FALSE),0)</f>
        <v>740113.98115702497</v>
      </c>
      <c r="BE1865" s="246">
        <f>IFERROR(VLOOKUP(O1865,VOL_REC[],2,FALSE),0)</f>
        <v>0</v>
      </c>
      <c r="BF1865" s="246">
        <f>IFERROR(VLOOKUP(P1865,VOL_REC[],2,FALSE),0)</f>
        <v>0</v>
      </c>
      <c r="BG1865" s="246">
        <f>IFERROR(VLOOKUP(Q1865,VOL_REC[],2,FALSE),0)</f>
        <v>0</v>
      </c>
      <c r="BH1865" s="1710">
        <f t="shared" si="120"/>
        <v>29711444396.508465</v>
      </c>
      <c r="BI1865" s="1710">
        <f t="shared" si="121"/>
        <v>25540316317.87468</v>
      </c>
      <c r="BJ1865" s="1711">
        <f t="shared" si="122"/>
        <v>35438279.108252041</v>
      </c>
      <c r="BK1865" s="1711">
        <f t="shared" si="123"/>
        <v>1.1633154431887194</v>
      </c>
      <c r="BL1865">
        <f>BJ1865</f>
        <v>35438279.108252041</v>
      </c>
      <c r="BO1865">
        <f>BL1865</f>
        <v>35438279.108252041</v>
      </c>
    </row>
    <row r="1866" spans="3:67" x14ac:dyDescent="0.25">
      <c r="C1866" s="246" t="s">
        <v>3216</v>
      </c>
      <c r="D1866" s="246">
        <v>1</v>
      </c>
      <c r="E1866" s="246">
        <v>2</v>
      </c>
      <c r="F1866" s="246">
        <v>3</v>
      </c>
      <c r="G1866" s="246">
        <v>4</v>
      </c>
      <c r="H1866" s="246">
        <v>5</v>
      </c>
      <c r="I1866" s="246">
        <v>6</v>
      </c>
      <c r="J1866" s="246">
        <v>10</v>
      </c>
      <c r="K1866" s="246">
        <v>14</v>
      </c>
      <c r="L1866" s="246">
        <v>15</v>
      </c>
      <c r="M1866" s="246">
        <v>16</v>
      </c>
      <c r="N1866" s="246">
        <v>17</v>
      </c>
      <c r="O1866" s="246"/>
      <c r="P1866" s="246"/>
      <c r="Q1866" s="246"/>
      <c r="R1866" s="246">
        <f>IFERROR(VLOOKUP(D1866,PROGRAMAS[],2,FALSE),0)</f>
        <v>97037803.679377079</v>
      </c>
      <c r="S1866" s="246">
        <f>IFERROR(VLOOKUP(E1866,PROGRAMAS[],2,FALSE),0)</f>
        <v>640501509.6821388</v>
      </c>
      <c r="T1866" s="246">
        <f>IFERROR(VLOOKUP(F1866,PROGRAMAS[],2,FALSE),0)</f>
        <v>3062327798.1525245</v>
      </c>
      <c r="U1866" s="246">
        <f>IFERROR(VLOOKUP(G1866,PROGRAMAS[],2,FALSE),0)</f>
        <v>67697118.033011258</v>
      </c>
      <c r="V1866" s="246">
        <f>IFERROR(VLOOKUP(H1866,PROGRAMAS[],2,FALSE),0)</f>
        <v>1440941976.2528784</v>
      </c>
      <c r="W1866" s="246">
        <f>IFERROR(VLOOKUP(I1866,PROGRAMAS[],2,FALSE),0)</f>
        <v>6907648435.8447599</v>
      </c>
      <c r="X1866" s="246">
        <f>IFERROR(VLOOKUP(J1866,PROGRAMAS[],2,FALSE),0)</f>
        <v>4635315027.8751087</v>
      </c>
      <c r="Y1866" s="246">
        <f>IFERROR(VLOOKUP(K1866,PROGRAMAS[],2,FALSE),0)</f>
        <v>54223862.645839565</v>
      </c>
      <c r="Z1866" s="246">
        <f>IFERROR(VLOOKUP(L1866,PROGRAMAS[],2,FALSE),0)</f>
        <v>122159672.96346797</v>
      </c>
      <c r="AA1866" s="246">
        <f>IFERROR(VLOOKUP(M1866,PROGRAMAS[],2,FALSE),0)</f>
        <v>7068496961.0436354</v>
      </c>
      <c r="AB1866" s="246">
        <f>IFERROR(VLOOKUP(N1866,PROGRAMAS[],2,FALSE),0)</f>
        <v>1892779498.5211046</v>
      </c>
      <c r="AC1866" s="246">
        <f>IFERROR(VLOOKUP(O1866,PROGRAMAS[],2,FALSE),0)</f>
        <v>0</v>
      </c>
      <c r="AD1866" s="246">
        <f>IFERROR(VLOOKUP(P1866,PROGRAMAS[],2,FALSE),0)</f>
        <v>0</v>
      </c>
      <c r="AE1866" s="246">
        <f>IFERROR(VLOOKUP(Q1866,PROGRAMAS[],2,FALSE),0)</f>
        <v>0</v>
      </c>
      <c r="AF1866" s="246">
        <f>IFERROR(VLOOKUP(D1866,PROGRAMAS[],3,FALSE),0)</f>
        <v>841888629.31080008</v>
      </c>
      <c r="AG1866" s="246">
        <f>IFERROR(VLOOKUP(E1866,PROGRAMAS[],3,FALSE),0)</f>
        <v>3848980803.1642323</v>
      </c>
      <c r="AH1866" s="246">
        <f>IFERROR(VLOOKUP(F1866,PROGRAMAS[],3,FALSE),0)</f>
        <v>3394901471.387517</v>
      </c>
      <c r="AI1866" s="246">
        <f>IFERROR(VLOOKUP(G1866,PROGRAMAS[],3,FALSE),0)</f>
        <v>125317226.95549992</v>
      </c>
      <c r="AJ1866" s="246">
        <f>IFERROR(VLOOKUP(H1866,PROGRAMAS[],3,FALSE),0)</f>
        <v>1233505101.0616004</v>
      </c>
      <c r="AK1866" s="246">
        <f>IFERROR(VLOOKUP(I1866,PROGRAMAS[],3,FALSE),0)</f>
        <v>6129902208.7912121</v>
      </c>
      <c r="AL1866" s="246">
        <f>IFERROR(VLOOKUP(J1866,PROGRAMAS[],3,FALSE),0)</f>
        <v>4099471734.9978786</v>
      </c>
      <c r="AM1866" s="246">
        <f>IFERROR(VLOOKUP(K1866,PROGRAMAS[],3,FALSE),0)</f>
        <v>31865326.38096505</v>
      </c>
      <c r="AN1866" s="246">
        <f>IFERROR(VLOOKUP(L1866,PROGRAMAS[],3,FALSE),0)</f>
        <v>118617452.52510804</v>
      </c>
      <c r="AO1866" s="246">
        <f>IFERROR(VLOOKUP(M1866,PROGRAMAS[],3,FALSE),0)</f>
        <v>2406564599.0319901</v>
      </c>
      <c r="AP1866" s="246">
        <f>IFERROR(VLOOKUP(N1866,PROGRAMAS[],3,FALSE),0)</f>
        <v>948595847.09039903</v>
      </c>
      <c r="AQ1866" s="246">
        <f>IFERROR(VLOOKUP(O1866,PROGRAMAS[],3,FALSE),0)</f>
        <v>0</v>
      </c>
      <c r="AR1866" s="246">
        <f>IFERROR(VLOOKUP(P1866,PROGRAMAS[],3,FALSE),0)</f>
        <v>0</v>
      </c>
      <c r="AS1866" s="246">
        <f>IFERROR(VLOOKUP(Q1866,PROGRAMAS[],3,FALSE),0)</f>
        <v>0</v>
      </c>
      <c r="AT1866" s="246">
        <f>IFERROR(VLOOKUP(D1866,VOL_REC[],2,FALSE),0)</f>
        <v>0</v>
      </c>
      <c r="AU1866" s="246">
        <f>IFERROR(VLOOKUP(E1866,VOL_REC[],2,FALSE),0)</f>
        <v>0</v>
      </c>
      <c r="AV1866" s="246">
        <f>IFERROR(VLOOKUP(F1866,VOL_REC[],2,FALSE),0)</f>
        <v>11089674.200000001</v>
      </c>
      <c r="AW1866" s="246">
        <f>IFERROR(VLOOKUP(G1866,VOL_REC[],2,FALSE),0)</f>
        <v>90439.55</v>
      </c>
      <c r="AX1866" s="246">
        <f>IFERROR(VLOOKUP(H1866,VOL_REC[],2,FALSE),0)</f>
        <v>4325103.1812214684</v>
      </c>
      <c r="AY1866" s="246">
        <f>IFERROR(VLOOKUP(I1866,VOL_REC[],2,FALSE),0)</f>
        <v>15540036.397699751</v>
      </c>
      <c r="AZ1866" s="246">
        <f>IFERROR(VLOOKUP(J1866,VOL_REC[],2,FALSE),0)</f>
        <v>1812240</v>
      </c>
      <c r="BA1866" s="246">
        <f>IFERROR(VLOOKUP(K1866,VOL_REC[],2,FALSE),0)</f>
        <v>17074.045034105649</v>
      </c>
      <c r="BB1866" s="246">
        <f>IFERROR(VLOOKUP(L1866,VOL_REC[],2,FALSE),0)</f>
        <v>105072</v>
      </c>
      <c r="BC1866" s="246">
        <f>IFERROR(VLOOKUP(M1866,VOL_REC[],2,FALSE),0)</f>
        <v>1072354.9981737854</v>
      </c>
      <c r="BD1866" s="246">
        <f>IFERROR(VLOOKUP(N1866,VOL_REC[],2,FALSE),0)</f>
        <v>740113.98115702497</v>
      </c>
      <c r="BE1866" s="246">
        <f>IFERROR(VLOOKUP(O1866,VOL_REC[],2,FALSE),0)</f>
        <v>0</v>
      </c>
      <c r="BF1866" s="246">
        <f>IFERROR(VLOOKUP(P1866,VOL_REC[],2,FALSE),0)</f>
        <v>0</v>
      </c>
      <c r="BG1866" s="246">
        <f>IFERROR(VLOOKUP(Q1866,VOL_REC[],2,FALSE),0)</f>
        <v>0</v>
      </c>
      <c r="BH1866" s="1710">
        <f t="shared" si="120"/>
        <v>25989129664.693848</v>
      </c>
      <c r="BI1866" s="1710">
        <f t="shared" si="121"/>
        <v>23179610400.697205</v>
      </c>
      <c r="BJ1866" s="1711">
        <f t="shared" si="122"/>
        <v>34792108.35328614</v>
      </c>
      <c r="BK1866" s="1711">
        <f t="shared" si="123"/>
        <v>1.1212064920604592</v>
      </c>
      <c r="BL1866">
        <f>BJ1866</f>
        <v>34792108.35328614</v>
      </c>
      <c r="BO1866">
        <f>BL1866</f>
        <v>34792108.35328614</v>
      </c>
    </row>
    <row r="1867" spans="3:67" x14ac:dyDescent="0.25">
      <c r="C1867" s="246" t="s">
        <v>3217</v>
      </c>
      <c r="D1867" s="246">
        <v>1</v>
      </c>
      <c r="E1867" s="246">
        <v>2</v>
      </c>
      <c r="F1867" s="246">
        <v>3</v>
      </c>
      <c r="G1867" s="246">
        <v>4</v>
      </c>
      <c r="H1867" s="246">
        <v>5</v>
      </c>
      <c r="I1867" s="246">
        <v>6</v>
      </c>
      <c r="J1867" s="246">
        <v>12</v>
      </c>
      <c r="K1867" s="246">
        <v>13</v>
      </c>
      <c r="L1867" s="246">
        <v>14</v>
      </c>
      <c r="M1867" s="246">
        <v>15</v>
      </c>
      <c r="N1867" s="246">
        <v>16</v>
      </c>
      <c r="O1867" s="246"/>
      <c r="P1867" s="246"/>
      <c r="Q1867" s="246"/>
      <c r="R1867" s="246">
        <f>IFERROR(VLOOKUP(D1867,PROGRAMAS[],2,FALSE),0)</f>
        <v>97037803.679377079</v>
      </c>
      <c r="S1867" s="246">
        <f>IFERROR(VLOOKUP(E1867,PROGRAMAS[],2,FALSE),0)</f>
        <v>640501509.6821388</v>
      </c>
      <c r="T1867" s="246">
        <f>IFERROR(VLOOKUP(F1867,PROGRAMAS[],2,FALSE),0)</f>
        <v>3062327798.1525245</v>
      </c>
      <c r="U1867" s="246">
        <f>IFERROR(VLOOKUP(G1867,PROGRAMAS[],2,FALSE),0)</f>
        <v>67697118.033011258</v>
      </c>
      <c r="V1867" s="246">
        <f>IFERROR(VLOOKUP(H1867,PROGRAMAS[],2,FALSE),0)</f>
        <v>1440941976.2528784</v>
      </c>
      <c r="W1867" s="246">
        <f>IFERROR(VLOOKUP(I1867,PROGRAMAS[],2,FALSE),0)</f>
        <v>6907648435.8447599</v>
      </c>
      <c r="X1867" s="246">
        <f>IFERROR(VLOOKUP(J1867,PROGRAMAS[],2,FALSE),0)</f>
        <v>764796700.79905891</v>
      </c>
      <c r="Y1867" s="246">
        <f>IFERROR(VLOOKUP(K1867,PROGRAMAS[],2,FALSE),0)</f>
        <v>3776538594.4604583</v>
      </c>
      <c r="Z1867" s="246">
        <f>IFERROR(VLOOKUP(L1867,PROGRAMAS[],2,FALSE),0)</f>
        <v>54223862.645839565</v>
      </c>
      <c r="AA1867" s="246">
        <f>IFERROR(VLOOKUP(M1867,PROGRAMAS[],2,FALSE),0)</f>
        <v>122159672.96346797</v>
      </c>
      <c r="AB1867" s="246">
        <f>IFERROR(VLOOKUP(N1867,PROGRAMAS[],2,FALSE),0)</f>
        <v>7068496961.0436354</v>
      </c>
      <c r="AC1867" s="246">
        <f>IFERROR(VLOOKUP(O1867,PROGRAMAS[],2,FALSE),0)</f>
        <v>0</v>
      </c>
      <c r="AD1867" s="246">
        <f>IFERROR(VLOOKUP(P1867,PROGRAMAS[],2,FALSE),0)</f>
        <v>0</v>
      </c>
      <c r="AE1867" s="246">
        <f>IFERROR(VLOOKUP(Q1867,PROGRAMAS[],2,FALSE),0)</f>
        <v>0</v>
      </c>
      <c r="AF1867" s="246">
        <f>IFERROR(VLOOKUP(D1867,PROGRAMAS[],3,FALSE),0)</f>
        <v>841888629.31080008</v>
      </c>
      <c r="AG1867" s="246">
        <f>IFERROR(VLOOKUP(E1867,PROGRAMAS[],3,FALSE),0)</f>
        <v>3848980803.1642323</v>
      </c>
      <c r="AH1867" s="246">
        <f>IFERROR(VLOOKUP(F1867,PROGRAMAS[],3,FALSE),0)</f>
        <v>3394901471.387517</v>
      </c>
      <c r="AI1867" s="246">
        <f>IFERROR(VLOOKUP(G1867,PROGRAMAS[],3,FALSE),0)</f>
        <v>125317226.95549992</v>
      </c>
      <c r="AJ1867" s="246">
        <f>IFERROR(VLOOKUP(H1867,PROGRAMAS[],3,FALSE),0)</f>
        <v>1233505101.0616004</v>
      </c>
      <c r="AK1867" s="246">
        <f>IFERROR(VLOOKUP(I1867,PROGRAMAS[],3,FALSE),0)</f>
        <v>6129902208.7912121</v>
      </c>
      <c r="AL1867" s="246">
        <f>IFERROR(VLOOKUP(J1867,PROGRAMAS[],3,FALSE),0)</f>
        <v>675517840.109828</v>
      </c>
      <c r="AM1867" s="246">
        <f>IFERROR(VLOOKUP(K1867,PROGRAMAS[],3,FALSE),0)</f>
        <v>2392571243.5584412</v>
      </c>
      <c r="AN1867" s="246">
        <f>IFERROR(VLOOKUP(L1867,PROGRAMAS[],3,FALSE),0)</f>
        <v>31865326.38096505</v>
      </c>
      <c r="AO1867" s="246">
        <f>IFERROR(VLOOKUP(M1867,PROGRAMAS[],3,FALSE),0)</f>
        <v>118617452.52510804</v>
      </c>
      <c r="AP1867" s="246">
        <f>IFERROR(VLOOKUP(N1867,PROGRAMAS[],3,FALSE),0)</f>
        <v>2406564599.0319901</v>
      </c>
      <c r="AQ1867" s="246">
        <f>IFERROR(VLOOKUP(O1867,PROGRAMAS[],3,FALSE),0)</f>
        <v>0</v>
      </c>
      <c r="AR1867" s="246">
        <f>IFERROR(VLOOKUP(P1867,PROGRAMAS[],3,FALSE),0)</f>
        <v>0</v>
      </c>
      <c r="AS1867" s="246">
        <f>IFERROR(VLOOKUP(Q1867,PROGRAMAS[],3,FALSE),0)</f>
        <v>0</v>
      </c>
      <c r="AT1867" s="246">
        <f>IFERROR(VLOOKUP(D1867,VOL_REC[],2,FALSE),0)</f>
        <v>0</v>
      </c>
      <c r="AU1867" s="246">
        <f>IFERROR(VLOOKUP(E1867,VOL_REC[],2,FALSE),0)</f>
        <v>0</v>
      </c>
      <c r="AV1867" s="246">
        <f>IFERROR(VLOOKUP(F1867,VOL_REC[],2,FALSE),0)</f>
        <v>11089674.200000001</v>
      </c>
      <c r="AW1867" s="246">
        <f>IFERROR(VLOOKUP(G1867,VOL_REC[],2,FALSE),0)</f>
        <v>90439.55</v>
      </c>
      <c r="AX1867" s="246">
        <f>IFERROR(VLOOKUP(H1867,VOL_REC[],2,FALSE),0)</f>
        <v>4325103.1812214684</v>
      </c>
      <c r="AY1867" s="246">
        <f>IFERROR(VLOOKUP(I1867,VOL_REC[],2,FALSE),0)</f>
        <v>15540036.397699751</v>
      </c>
      <c r="AZ1867" s="246">
        <f>IFERROR(VLOOKUP(J1867,VOL_REC[],2,FALSE),0)</f>
        <v>240696.79238099116</v>
      </c>
      <c r="BA1867" s="246">
        <f>IFERROR(VLOOKUP(K1867,VOL_REC[],2,FALSE),0)</f>
        <v>663244.80000000016</v>
      </c>
      <c r="BB1867" s="246">
        <f>IFERROR(VLOOKUP(L1867,VOL_REC[],2,FALSE),0)</f>
        <v>17074.045034105649</v>
      </c>
      <c r="BC1867" s="246">
        <f>IFERROR(VLOOKUP(M1867,VOL_REC[],2,FALSE),0)</f>
        <v>105072</v>
      </c>
      <c r="BD1867" s="246">
        <f>IFERROR(VLOOKUP(N1867,VOL_REC[],2,FALSE),0)</f>
        <v>1072354.9981737854</v>
      </c>
      <c r="BE1867" s="246">
        <f>IFERROR(VLOOKUP(O1867,VOL_REC[],2,FALSE),0)</f>
        <v>0</v>
      </c>
      <c r="BF1867" s="246">
        <f>IFERROR(VLOOKUP(P1867,VOL_REC[],2,FALSE),0)</f>
        <v>0</v>
      </c>
      <c r="BG1867" s="246">
        <f>IFERROR(VLOOKUP(Q1867,VOL_REC[],2,FALSE),0)</f>
        <v>0</v>
      </c>
      <c r="BH1867" s="1710">
        <f t="shared" si="120"/>
        <v>24002370433.557152</v>
      </c>
      <c r="BI1867" s="1710">
        <f t="shared" si="121"/>
        <v>21199631902.277195</v>
      </c>
      <c r="BJ1867" s="1711">
        <f t="shared" si="122"/>
        <v>33143695.964510106</v>
      </c>
      <c r="BK1867" s="1711">
        <f t="shared" si="123"/>
        <v>1.1322069432242781</v>
      </c>
      <c r="BL1867">
        <f>BJ1867</f>
        <v>33143695.964510106</v>
      </c>
      <c r="BO1867">
        <f>BL1867</f>
        <v>33143695.964510106</v>
      </c>
    </row>
    <row r="1868" spans="3:67" x14ac:dyDescent="0.25">
      <c r="C1868" s="246" t="s">
        <v>3218</v>
      </c>
      <c r="D1868" s="246">
        <v>1</v>
      </c>
      <c r="E1868" s="246">
        <v>2</v>
      </c>
      <c r="F1868" s="246">
        <v>3</v>
      </c>
      <c r="G1868" s="246">
        <v>4</v>
      </c>
      <c r="H1868" s="246">
        <v>5</v>
      </c>
      <c r="I1868" s="246">
        <v>6</v>
      </c>
      <c r="J1868" s="246">
        <v>12</v>
      </c>
      <c r="K1868" s="246">
        <v>13</v>
      </c>
      <c r="L1868" s="246">
        <v>14</v>
      </c>
      <c r="M1868" s="246">
        <v>15</v>
      </c>
      <c r="N1868" s="246">
        <v>17</v>
      </c>
      <c r="O1868" s="246"/>
      <c r="P1868" s="246"/>
      <c r="Q1868" s="246"/>
      <c r="R1868" s="246">
        <f>IFERROR(VLOOKUP(D1868,PROGRAMAS[],2,FALSE),0)</f>
        <v>97037803.679377079</v>
      </c>
      <c r="S1868" s="246">
        <f>IFERROR(VLOOKUP(E1868,PROGRAMAS[],2,FALSE),0)</f>
        <v>640501509.6821388</v>
      </c>
      <c r="T1868" s="246">
        <f>IFERROR(VLOOKUP(F1868,PROGRAMAS[],2,FALSE),0)</f>
        <v>3062327798.1525245</v>
      </c>
      <c r="U1868" s="246">
        <f>IFERROR(VLOOKUP(G1868,PROGRAMAS[],2,FALSE),0)</f>
        <v>67697118.033011258</v>
      </c>
      <c r="V1868" s="246">
        <f>IFERROR(VLOOKUP(H1868,PROGRAMAS[],2,FALSE),0)</f>
        <v>1440941976.2528784</v>
      </c>
      <c r="W1868" s="246">
        <f>IFERROR(VLOOKUP(I1868,PROGRAMAS[],2,FALSE),0)</f>
        <v>6907648435.8447599</v>
      </c>
      <c r="X1868" s="246">
        <f>IFERROR(VLOOKUP(J1868,PROGRAMAS[],2,FALSE),0)</f>
        <v>764796700.79905891</v>
      </c>
      <c r="Y1868" s="246">
        <f>IFERROR(VLOOKUP(K1868,PROGRAMAS[],2,FALSE),0)</f>
        <v>3776538594.4604583</v>
      </c>
      <c r="Z1868" s="246">
        <f>IFERROR(VLOOKUP(L1868,PROGRAMAS[],2,FALSE),0)</f>
        <v>54223862.645839565</v>
      </c>
      <c r="AA1868" s="246">
        <f>IFERROR(VLOOKUP(M1868,PROGRAMAS[],2,FALSE),0)</f>
        <v>122159672.96346797</v>
      </c>
      <c r="AB1868" s="246">
        <f>IFERROR(VLOOKUP(N1868,PROGRAMAS[],2,FALSE),0)</f>
        <v>1892779498.5211046</v>
      </c>
      <c r="AC1868" s="246">
        <f>IFERROR(VLOOKUP(O1868,PROGRAMAS[],2,FALSE),0)</f>
        <v>0</v>
      </c>
      <c r="AD1868" s="246">
        <f>IFERROR(VLOOKUP(P1868,PROGRAMAS[],2,FALSE),0)</f>
        <v>0</v>
      </c>
      <c r="AE1868" s="246">
        <f>IFERROR(VLOOKUP(Q1868,PROGRAMAS[],2,FALSE),0)</f>
        <v>0</v>
      </c>
      <c r="AF1868" s="246">
        <f>IFERROR(VLOOKUP(D1868,PROGRAMAS[],3,FALSE),0)</f>
        <v>841888629.31080008</v>
      </c>
      <c r="AG1868" s="246">
        <f>IFERROR(VLOOKUP(E1868,PROGRAMAS[],3,FALSE),0)</f>
        <v>3848980803.1642323</v>
      </c>
      <c r="AH1868" s="246">
        <f>IFERROR(VLOOKUP(F1868,PROGRAMAS[],3,FALSE),0)</f>
        <v>3394901471.387517</v>
      </c>
      <c r="AI1868" s="246">
        <f>IFERROR(VLOOKUP(G1868,PROGRAMAS[],3,FALSE),0)</f>
        <v>125317226.95549992</v>
      </c>
      <c r="AJ1868" s="246">
        <f>IFERROR(VLOOKUP(H1868,PROGRAMAS[],3,FALSE),0)</f>
        <v>1233505101.0616004</v>
      </c>
      <c r="AK1868" s="246">
        <f>IFERROR(VLOOKUP(I1868,PROGRAMAS[],3,FALSE),0)</f>
        <v>6129902208.7912121</v>
      </c>
      <c r="AL1868" s="246">
        <f>IFERROR(VLOOKUP(J1868,PROGRAMAS[],3,FALSE),0)</f>
        <v>675517840.109828</v>
      </c>
      <c r="AM1868" s="246">
        <f>IFERROR(VLOOKUP(K1868,PROGRAMAS[],3,FALSE),0)</f>
        <v>2392571243.5584412</v>
      </c>
      <c r="AN1868" s="246">
        <f>IFERROR(VLOOKUP(L1868,PROGRAMAS[],3,FALSE),0)</f>
        <v>31865326.38096505</v>
      </c>
      <c r="AO1868" s="246">
        <f>IFERROR(VLOOKUP(M1868,PROGRAMAS[],3,FALSE),0)</f>
        <v>118617452.52510804</v>
      </c>
      <c r="AP1868" s="246">
        <f>IFERROR(VLOOKUP(N1868,PROGRAMAS[],3,FALSE),0)</f>
        <v>948595847.09039903</v>
      </c>
      <c r="AQ1868" s="246">
        <f>IFERROR(VLOOKUP(O1868,PROGRAMAS[],3,FALSE),0)</f>
        <v>0</v>
      </c>
      <c r="AR1868" s="246">
        <f>IFERROR(VLOOKUP(P1868,PROGRAMAS[],3,FALSE),0)</f>
        <v>0</v>
      </c>
      <c r="AS1868" s="246">
        <f>IFERROR(VLOOKUP(Q1868,PROGRAMAS[],3,FALSE),0)</f>
        <v>0</v>
      </c>
      <c r="AT1868" s="246">
        <f>IFERROR(VLOOKUP(D1868,VOL_REC[],2,FALSE),0)</f>
        <v>0</v>
      </c>
      <c r="AU1868" s="246">
        <f>IFERROR(VLOOKUP(E1868,VOL_REC[],2,FALSE),0)</f>
        <v>0</v>
      </c>
      <c r="AV1868" s="246">
        <f>IFERROR(VLOOKUP(F1868,VOL_REC[],2,FALSE),0)</f>
        <v>11089674.200000001</v>
      </c>
      <c r="AW1868" s="246">
        <f>IFERROR(VLOOKUP(G1868,VOL_REC[],2,FALSE),0)</f>
        <v>90439.55</v>
      </c>
      <c r="AX1868" s="246">
        <f>IFERROR(VLOOKUP(H1868,VOL_REC[],2,FALSE),0)</f>
        <v>4325103.1812214684</v>
      </c>
      <c r="AY1868" s="246">
        <f>IFERROR(VLOOKUP(I1868,VOL_REC[],2,FALSE),0)</f>
        <v>15540036.397699751</v>
      </c>
      <c r="AZ1868" s="246">
        <f>IFERROR(VLOOKUP(J1868,VOL_REC[],2,FALSE),0)</f>
        <v>240696.79238099116</v>
      </c>
      <c r="BA1868" s="246">
        <f>IFERROR(VLOOKUP(K1868,VOL_REC[],2,FALSE),0)</f>
        <v>663244.80000000016</v>
      </c>
      <c r="BB1868" s="246">
        <f>IFERROR(VLOOKUP(L1868,VOL_REC[],2,FALSE),0)</f>
        <v>17074.045034105649</v>
      </c>
      <c r="BC1868" s="246">
        <f>IFERROR(VLOOKUP(M1868,VOL_REC[],2,FALSE),0)</f>
        <v>105072</v>
      </c>
      <c r="BD1868" s="246">
        <f>IFERROR(VLOOKUP(N1868,VOL_REC[],2,FALSE),0)</f>
        <v>740113.98115702497</v>
      </c>
      <c r="BE1868" s="246">
        <f>IFERROR(VLOOKUP(O1868,VOL_REC[],2,FALSE),0)</f>
        <v>0</v>
      </c>
      <c r="BF1868" s="246">
        <f>IFERROR(VLOOKUP(P1868,VOL_REC[],2,FALSE),0)</f>
        <v>0</v>
      </c>
      <c r="BG1868" s="246">
        <f>IFERROR(VLOOKUP(Q1868,VOL_REC[],2,FALSE),0)</f>
        <v>0</v>
      </c>
      <c r="BH1868" s="1710">
        <f t="shared" si="120"/>
        <v>18826652971.034622</v>
      </c>
      <c r="BI1868" s="1710">
        <f t="shared" si="121"/>
        <v>19741663150.335606</v>
      </c>
      <c r="BJ1868" s="1711">
        <f t="shared" si="122"/>
        <v>32811454.947493345</v>
      </c>
      <c r="BK1868" s="1711">
        <f t="shared" si="123"/>
        <v>0.95365080579416994</v>
      </c>
    </row>
    <row r="1869" spans="3:67" x14ac:dyDescent="0.25">
      <c r="C1869" s="246" t="s">
        <v>3219</v>
      </c>
      <c r="D1869" s="246">
        <v>1</v>
      </c>
      <c r="E1869" s="246">
        <v>2</v>
      </c>
      <c r="F1869" s="246">
        <v>3</v>
      </c>
      <c r="G1869" s="246">
        <v>4</v>
      </c>
      <c r="H1869" s="246">
        <v>5</v>
      </c>
      <c r="I1869" s="246">
        <v>6</v>
      </c>
      <c r="J1869" s="246">
        <v>12</v>
      </c>
      <c r="K1869" s="246">
        <v>13</v>
      </c>
      <c r="L1869" s="246">
        <v>14</v>
      </c>
      <c r="M1869" s="246">
        <v>16</v>
      </c>
      <c r="N1869" s="246">
        <v>17</v>
      </c>
      <c r="O1869" s="246"/>
      <c r="P1869" s="246"/>
      <c r="Q1869" s="246"/>
      <c r="R1869" s="246">
        <f>IFERROR(VLOOKUP(D1869,PROGRAMAS[],2,FALSE),0)</f>
        <v>97037803.679377079</v>
      </c>
      <c r="S1869" s="246">
        <f>IFERROR(VLOOKUP(E1869,PROGRAMAS[],2,FALSE),0)</f>
        <v>640501509.6821388</v>
      </c>
      <c r="T1869" s="246">
        <f>IFERROR(VLOOKUP(F1869,PROGRAMAS[],2,FALSE),0)</f>
        <v>3062327798.1525245</v>
      </c>
      <c r="U1869" s="246">
        <f>IFERROR(VLOOKUP(G1869,PROGRAMAS[],2,FALSE),0)</f>
        <v>67697118.033011258</v>
      </c>
      <c r="V1869" s="246">
        <f>IFERROR(VLOOKUP(H1869,PROGRAMAS[],2,FALSE),0)</f>
        <v>1440941976.2528784</v>
      </c>
      <c r="W1869" s="246">
        <f>IFERROR(VLOOKUP(I1869,PROGRAMAS[],2,FALSE),0)</f>
        <v>6907648435.8447599</v>
      </c>
      <c r="X1869" s="246">
        <f>IFERROR(VLOOKUP(J1869,PROGRAMAS[],2,FALSE),0)</f>
        <v>764796700.79905891</v>
      </c>
      <c r="Y1869" s="246">
        <f>IFERROR(VLOOKUP(K1869,PROGRAMAS[],2,FALSE),0)</f>
        <v>3776538594.4604583</v>
      </c>
      <c r="Z1869" s="246">
        <f>IFERROR(VLOOKUP(L1869,PROGRAMAS[],2,FALSE),0)</f>
        <v>54223862.645839565</v>
      </c>
      <c r="AA1869" s="246">
        <f>IFERROR(VLOOKUP(M1869,PROGRAMAS[],2,FALSE),0)</f>
        <v>7068496961.0436354</v>
      </c>
      <c r="AB1869" s="246">
        <f>IFERROR(VLOOKUP(N1869,PROGRAMAS[],2,FALSE),0)</f>
        <v>1892779498.5211046</v>
      </c>
      <c r="AC1869" s="246">
        <f>IFERROR(VLOOKUP(O1869,PROGRAMAS[],2,FALSE),0)</f>
        <v>0</v>
      </c>
      <c r="AD1869" s="246">
        <f>IFERROR(VLOOKUP(P1869,PROGRAMAS[],2,FALSE),0)</f>
        <v>0</v>
      </c>
      <c r="AE1869" s="246">
        <f>IFERROR(VLOOKUP(Q1869,PROGRAMAS[],2,FALSE),0)</f>
        <v>0</v>
      </c>
      <c r="AF1869" s="246">
        <f>IFERROR(VLOOKUP(D1869,PROGRAMAS[],3,FALSE),0)</f>
        <v>841888629.31080008</v>
      </c>
      <c r="AG1869" s="246">
        <f>IFERROR(VLOOKUP(E1869,PROGRAMAS[],3,FALSE),0)</f>
        <v>3848980803.1642323</v>
      </c>
      <c r="AH1869" s="246">
        <f>IFERROR(VLOOKUP(F1869,PROGRAMAS[],3,FALSE),0)</f>
        <v>3394901471.387517</v>
      </c>
      <c r="AI1869" s="246">
        <f>IFERROR(VLOOKUP(G1869,PROGRAMAS[],3,FALSE),0)</f>
        <v>125317226.95549992</v>
      </c>
      <c r="AJ1869" s="246">
        <f>IFERROR(VLOOKUP(H1869,PROGRAMAS[],3,FALSE),0)</f>
        <v>1233505101.0616004</v>
      </c>
      <c r="AK1869" s="246">
        <f>IFERROR(VLOOKUP(I1869,PROGRAMAS[],3,FALSE),0)</f>
        <v>6129902208.7912121</v>
      </c>
      <c r="AL1869" s="246">
        <f>IFERROR(VLOOKUP(J1869,PROGRAMAS[],3,FALSE),0)</f>
        <v>675517840.109828</v>
      </c>
      <c r="AM1869" s="246">
        <f>IFERROR(VLOOKUP(K1869,PROGRAMAS[],3,FALSE),0)</f>
        <v>2392571243.5584412</v>
      </c>
      <c r="AN1869" s="246">
        <f>IFERROR(VLOOKUP(L1869,PROGRAMAS[],3,FALSE),0)</f>
        <v>31865326.38096505</v>
      </c>
      <c r="AO1869" s="246">
        <f>IFERROR(VLOOKUP(M1869,PROGRAMAS[],3,FALSE),0)</f>
        <v>2406564599.0319901</v>
      </c>
      <c r="AP1869" s="246">
        <f>IFERROR(VLOOKUP(N1869,PROGRAMAS[],3,FALSE),0)</f>
        <v>948595847.09039903</v>
      </c>
      <c r="AQ1869" s="246">
        <f>IFERROR(VLOOKUP(O1869,PROGRAMAS[],3,FALSE),0)</f>
        <v>0</v>
      </c>
      <c r="AR1869" s="246">
        <f>IFERROR(VLOOKUP(P1869,PROGRAMAS[],3,FALSE),0)</f>
        <v>0</v>
      </c>
      <c r="AS1869" s="246">
        <f>IFERROR(VLOOKUP(Q1869,PROGRAMAS[],3,FALSE),0)</f>
        <v>0</v>
      </c>
      <c r="AT1869" s="246">
        <f>IFERROR(VLOOKUP(D1869,VOL_REC[],2,FALSE),0)</f>
        <v>0</v>
      </c>
      <c r="AU1869" s="246">
        <f>IFERROR(VLOOKUP(E1869,VOL_REC[],2,FALSE),0)</f>
        <v>0</v>
      </c>
      <c r="AV1869" s="246">
        <f>IFERROR(VLOOKUP(F1869,VOL_REC[],2,FALSE),0)</f>
        <v>11089674.200000001</v>
      </c>
      <c r="AW1869" s="246">
        <f>IFERROR(VLOOKUP(G1869,VOL_REC[],2,FALSE),0)</f>
        <v>90439.55</v>
      </c>
      <c r="AX1869" s="246">
        <f>IFERROR(VLOOKUP(H1869,VOL_REC[],2,FALSE),0)</f>
        <v>4325103.1812214684</v>
      </c>
      <c r="AY1869" s="246">
        <f>IFERROR(VLOOKUP(I1869,VOL_REC[],2,FALSE),0)</f>
        <v>15540036.397699751</v>
      </c>
      <c r="AZ1869" s="246">
        <f>IFERROR(VLOOKUP(J1869,VOL_REC[],2,FALSE),0)</f>
        <v>240696.79238099116</v>
      </c>
      <c r="BA1869" s="246">
        <f>IFERROR(VLOOKUP(K1869,VOL_REC[],2,FALSE),0)</f>
        <v>663244.80000000016</v>
      </c>
      <c r="BB1869" s="246">
        <f>IFERROR(VLOOKUP(L1869,VOL_REC[],2,FALSE),0)</f>
        <v>17074.045034105649</v>
      </c>
      <c r="BC1869" s="246">
        <f>IFERROR(VLOOKUP(M1869,VOL_REC[],2,FALSE),0)</f>
        <v>1072354.9981737854</v>
      </c>
      <c r="BD1869" s="246">
        <f>IFERROR(VLOOKUP(N1869,VOL_REC[],2,FALSE),0)</f>
        <v>740113.98115702497</v>
      </c>
      <c r="BE1869" s="246">
        <f>IFERROR(VLOOKUP(O1869,VOL_REC[],2,FALSE),0)</f>
        <v>0</v>
      </c>
      <c r="BF1869" s="246">
        <f>IFERROR(VLOOKUP(P1869,VOL_REC[],2,FALSE),0)</f>
        <v>0</v>
      </c>
      <c r="BG1869" s="246">
        <f>IFERROR(VLOOKUP(Q1869,VOL_REC[],2,FALSE),0)</f>
        <v>0</v>
      </c>
      <c r="BH1869" s="1710">
        <f t="shared" si="120"/>
        <v>25772990259.114788</v>
      </c>
      <c r="BI1869" s="1710">
        <f t="shared" si="121"/>
        <v>22029610296.842487</v>
      </c>
      <c r="BJ1869" s="1711">
        <f t="shared" si="122"/>
        <v>33778737.945667133</v>
      </c>
      <c r="BK1869" s="1711">
        <f t="shared" si="123"/>
        <v>1.1699249288494604</v>
      </c>
      <c r="BL1869">
        <f>BJ1869</f>
        <v>33778737.945667133</v>
      </c>
      <c r="BO1869">
        <f>BL1869</f>
        <v>33778737.945667133</v>
      </c>
    </row>
    <row r="1870" spans="3:67" x14ac:dyDescent="0.25">
      <c r="C1870" s="246" t="s">
        <v>3220</v>
      </c>
      <c r="D1870" s="246">
        <v>1</v>
      </c>
      <c r="E1870" s="246">
        <v>2</v>
      </c>
      <c r="F1870" s="246">
        <v>3</v>
      </c>
      <c r="G1870" s="246">
        <v>4</v>
      </c>
      <c r="H1870" s="246">
        <v>5</v>
      </c>
      <c r="I1870" s="246">
        <v>6</v>
      </c>
      <c r="J1870" s="246">
        <v>12</v>
      </c>
      <c r="K1870" s="246">
        <v>13</v>
      </c>
      <c r="L1870" s="246">
        <v>15</v>
      </c>
      <c r="M1870" s="246">
        <v>16</v>
      </c>
      <c r="N1870" s="246">
        <v>17</v>
      </c>
      <c r="O1870" s="246"/>
      <c r="P1870" s="246"/>
      <c r="Q1870" s="246"/>
      <c r="R1870" s="246">
        <f>IFERROR(VLOOKUP(D1870,PROGRAMAS[],2,FALSE),0)</f>
        <v>97037803.679377079</v>
      </c>
      <c r="S1870" s="246">
        <f>IFERROR(VLOOKUP(E1870,PROGRAMAS[],2,FALSE),0)</f>
        <v>640501509.6821388</v>
      </c>
      <c r="T1870" s="246">
        <f>IFERROR(VLOOKUP(F1870,PROGRAMAS[],2,FALSE),0)</f>
        <v>3062327798.1525245</v>
      </c>
      <c r="U1870" s="246">
        <f>IFERROR(VLOOKUP(G1870,PROGRAMAS[],2,FALSE),0)</f>
        <v>67697118.033011258</v>
      </c>
      <c r="V1870" s="246">
        <f>IFERROR(VLOOKUP(H1870,PROGRAMAS[],2,FALSE),0)</f>
        <v>1440941976.2528784</v>
      </c>
      <c r="W1870" s="246">
        <f>IFERROR(VLOOKUP(I1870,PROGRAMAS[],2,FALSE),0)</f>
        <v>6907648435.8447599</v>
      </c>
      <c r="X1870" s="246">
        <f>IFERROR(VLOOKUP(J1870,PROGRAMAS[],2,FALSE),0)</f>
        <v>764796700.79905891</v>
      </c>
      <c r="Y1870" s="246">
        <f>IFERROR(VLOOKUP(K1870,PROGRAMAS[],2,FALSE),0)</f>
        <v>3776538594.4604583</v>
      </c>
      <c r="Z1870" s="246">
        <f>IFERROR(VLOOKUP(L1870,PROGRAMAS[],2,FALSE),0)</f>
        <v>122159672.96346797</v>
      </c>
      <c r="AA1870" s="246">
        <f>IFERROR(VLOOKUP(M1870,PROGRAMAS[],2,FALSE),0)</f>
        <v>7068496961.0436354</v>
      </c>
      <c r="AB1870" s="246">
        <f>IFERROR(VLOOKUP(N1870,PROGRAMAS[],2,FALSE),0)</f>
        <v>1892779498.5211046</v>
      </c>
      <c r="AC1870" s="246">
        <f>IFERROR(VLOOKUP(O1870,PROGRAMAS[],2,FALSE),0)</f>
        <v>0</v>
      </c>
      <c r="AD1870" s="246">
        <f>IFERROR(VLOOKUP(P1870,PROGRAMAS[],2,FALSE),0)</f>
        <v>0</v>
      </c>
      <c r="AE1870" s="246">
        <f>IFERROR(VLOOKUP(Q1870,PROGRAMAS[],2,FALSE),0)</f>
        <v>0</v>
      </c>
      <c r="AF1870" s="246">
        <f>IFERROR(VLOOKUP(D1870,PROGRAMAS[],3,FALSE),0)</f>
        <v>841888629.31080008</v>
      </c>
      <c r="AG1870" s="246">
        <f>IFERROR(VLOOKUP(E1870,PROGRAMAS[],3,FALSE),0)</f>
        <v>3848980803.1642323</v>
      </c>
      <c r="AH1870" s="246">
        <f>IFERROR(VLOOKUP(F1870,PROGRAMAS[],3,FALSE),0)</f>
        <v>3394901471.387517</v>
      </c>
      <c r="AI1870" s="246">
        <f>IFERROR(VLOOKUP(G1870,PROGRAMAS[],3,FALSE),0)</f>
        <v>125317226.95549992</v>
      </c>
      <c r="AJ1870" s="246">
        <f>IFERROR(VLOOKUP(H1870,PROGRAMAS[],3,FALSE),0)</f>
        <v>1233505101.0616004</v>
      </c>
      <c r="AK1870" s="246">
        <f>IFERROR(VLOOKUP(I1870,PROGRAMAS[],3,FALSE),0)</f>
        <v>6129902208.7912121</v>
      </c>
      <c r="AL1870" s="246">
        <f>IFERROR(VLOOKUP(J1870,PROGRAMAS[],3,FALSE),0)</f>
        <v>675517840.109828</v>
      </c>
      <c r="AM1870" s="246">
        <f>IFERROR(VLOOKUP(K1870,PROGRAMAS[],3,FALSE),0)</f>
        <v>2392571243.5584412</v>
      </c>
      <c r="AN1870" s="246">
        <f>IFERROR(VLOOKUP(L1870,PROGRAMAS[],3,FALSE),0)</f>
        <v>118617452.52510804</v>
      </c>
      <c r="AO1870" s="246">
        <f>IFERROR(VLOOKUP(M1870,PROGRAMAS[],3,FALSE),0)</f>
        <v>2406564599.0319901</v>
      </c>
      <c r="AP1870" s="246">
        <f>IFERROR(VLOOKUP(N1870,PROGRAMAS[],3,FALSE),0)</f>
        <v>948595847.09039903</v>
      </c>
      <c r="AQ1870" s="246">
        <f>IFERROR(VLOOKUP(O1870,PROGRAMAS[],3,FALSE),0)</f>
        <v>0</v>
      </c>
      <c r="AR1870" s="246">
        <f>IFERROR(VLOOKUP(P1870,PROGRAMAS[],3,FALSE),0)</f>
        <v>0</v>
      </c>
      <c r="AS1870" s="246">
        <f>IFERROR(VLOOKUP(Q1870,PROGRAMAS[],3,FALSE),0)</f>
        <v>0</v>
      </c>
      <c r="AT1870" s="246">
        <f>IFERROR(VLOOKUP(D1870,VOL_REC[],2,FALSE),0)</f>
        <v>0</v>
      </c>
      <c r="AU1870" s="246">
        <f>IFERROR(VLOOKUP(E1870,VOL_REC[],2,FALSE),0)</f>
        <v>0</v>
      </c>
      <c r="AV1870" s="246">
        <f>IFERROR(VLOOKUP(F1870,VOL_REC[],2,FALSE),0)</f>
        <v>11089674.200000001</v>
      </c>
      <c r="AW1870" s="246">
        <f>IFERROR(VLOOKUP(G1870,VOL_REC[],2,FALSE),0)</f>
        <v>90439.55</v>
      </c>
      <c r="AX1870" s="246">
        <f>IFERROR(VLOOKUP(H1870,VOL_REC[],2,FALSE),0)</f>
        <v>4325103.1812214684</v>
      </c>
      <c r="AY1870" s="246">
        <f>IFERROR(VLOOKUP(I1870,VOL_REC[],2,FALSE),0)</f>
        <v>15540036.397699751</v>
      </c>
      <c r="AZ1870" s="246">
        <f>IFERROR(VLOOKUP(J1870,VOL_REC[],2,FALSE),0)</f>
        <v>240696.79238099116</v>
      </c>
      <c r="BA1870" s="246">
        <f>IFERROR(VLOOKUP(K1870,VOL_REC[],2,FALSE),0)</f>
        <v>663244.80000000016</v>
      </c>
      <c r="BB1870" s="246">
        <f>IFERROR(VLOOKUP(L1870,VOL_REC[],2,FALSE),0)</f>
        <v>105072</v>
      </c>
      <c r="BC1870" s="246">
        <f>IFERROR(VLOOKUP(M1870,VOL_REC[],2,FALSE),0)</f>
        <v>1072354.9981737854</v>
      </c>
      <c r="BD1870" s="246">
        <f>IFERROR(VLOOKUP(N1870,VOL_REC[],2,FALSE),0)</f>
        <v>740113.98115702497</v>
      </c>
      <c r="BE1870" s="246">
        <f>IFERROR(VLOOKUP(O1870,VOL_REC[],2,FALSE),0)</f>
        <v>0</v>
      </c>
      <c r="BF1870" s="246">
        <f>IFERROR(VLOOKUP(P1870,VOL_REC[],2,FALSE),0)</f>
        <v>0</v>
      </c>
      <c r="BG1870" s="246">
        <f>IFERROR(VLOOKUP(Q1870,VOL_REC[],2,FALSE),0)</f>
        <v>0</v>
      </c>
      <c r="BH1870" s="1710">
        <f t="shared" si="120"/>
        <v>25840926069.432415</v>
      </c>
      <c r="BI1870" s="1710">
        <f t="shared" si="121"/>
        <v>22116362422.986629</v>
      </c>
      <c r="BJ1870" s="1711">
        <f t="shared" si="122"/>
        <v>33866735.900633022</v>
      </c>
      <c r="BK1870" s="1711">
        <f t="shared" si="123"/>
        <v>1.1684076058807331</v>
      </c>
      <c r="BL1870">
        <f>BJ1870</f>
        <v>33866735.900633022</v>
      </c>
      <c r="BO1870">
        <f>BL1870</f>
        <v>33866735.900633022</v>
      </c>
    </row>
    <row r="1871" spans="3:67" x14ac:dyDescent="0.25">
      <c r="C1871" s="246" t="s">
        <v>3221</v>
      </c>
      <c r="D1871" s="246">
        <v>1</v>
      </c>
      <c r="E1871" s="246">
        <v>2</v>
      </c>
      <c r="F1871" s="246">
        <v>3</v>
      </c>
      <c r="G1871" s="246">
        <v>4</v>
      </c>
      <c r="H1871" s="246">
        <v>5</v>
      </c>
      <c r="I1871" s="246">
        <v>6</v>
      </c>
      <c r="J1871" s="246">
        <v>12</v>
      </c>
      <c r="K1871" s="246">
        <v>14</v>
      </c>
      <c r="L1871" s="246">
        <v>15</v>
      </c>
      <c r="M1871" s="246">
        <v>16</v>
      </c>
      <c r="N1871" s="246">
        <v>17</v>
      </c>
      <c r="O1871" s="246"/>
      <c r="P1871" s="246"/>
      <c r="Q1871" s="246"/>
      <c r="R1871" s="246">
        <f>IFERROR(VLOOKUP(D1871,PROGRAMAS[],2,FALSE),0)</f>
        <v>97037803.679377079</v>
      </c>
      <c r="S1871" s="246">
        <f>IFERROR(VLOOKUP(E1871,PROGRAMAS[],2,FALSE),0)</f>
        <v>640501509.6821388</v>
      </c>
      <c r="T1871" s="246">
        <f>IFERROR(VLOOKUP(F1871,PROGRAMAS[],2,FALSE),0)</f>
        <v>3062327798.1525245</v>
      </c>
      <c r="U1871" s="246">
        <f>IFERROR(VLOOKUP(G1871,PROGRAMAS[],2,FALSE),0)</f>
        <v>67697118.033011258</v>
      </c>
      <c r="V1871" s="246">
        <f>IFERROR(VLOOKUP(H1871,PROGRAMAS[],2,FALSE),0)</f>
        <v>1440941976.2528784</v>
      </c>
      <c r="W1871" s="246">
        <f>IFERROR(VLOOKUP(I1871,PROGRAMAS[],2,FALSE),0)</f>
        <v>6907648435.8447599</v>
      </c>
      <c r="X1871" s="246">
        <f>IFERROR(VLOOKUP(J1871,PROGRAMAS[],2,FALSE),0)</f>
        <v>764796700.79905891</v>
      </c>
      <c r="Y1871" s="246">
        <f>IFERROR(VLOOKUP(K1871,PROGRAMAS[],2,FALSE),0)</f>
        <v>54223862.645839565</v>
      </c>
      <c r="Z1871" s="246">
        <f>IFERROR(VLOOKUP(L1871,PROGRAMAS[],2,FALSE),0)</f>
        <v>122159672.96346797</v>
      </c>
      <c r="AA1871" s="246">
        <f>IFERROR(VLOOKUP(M1871,PROGRAMAS[],2,FALSE),0)</f>
        <v>7068496961.0436354</v>
      </c>
      <c r="AB1871" s="246">
        <f>IFERROR(VLOOKUP(N1871,PROGRAMAS[],2,FALSE),0)</f>
        <v>1892779498.5211046</v>
      </c>
      <c r="AC1871" s="246">
        <f>IFERROR(VLOOKUP(O1871,PROGRAMAS[],2,FALSE),0)</f>
        <v>0</v>
      </c>
      <c r="AD1871" s="246">
        <f>IFERROR(VLOOKUP(P1871,PROGRAMAS[],2,FALSE),0)</f>
        <v>0</v>
      </c>
      <c r="AE1871" s="246">
        <f>IFERROR(VLOOKUP(Q1871,PROGRAMAS[],2,FALSE),0)</f>
        <v>0</v>
      </c>
      <c r="AF1871" s="246">
        <f>IFERROR(VLOOKUP(D1871,PROGRAMAS[],3,FALSE),0)</f>
        <v>841888629.31080008</v>
      </c>
      <c r="AG1871" s="246">
        <f>IFERROR(VLOOKUP(E1871,PROGRAMAS[],3,FALSE),0)</f>
        <v>3848980803.1642323</v>
      </c>
      <c r="AH1871" s="246">
        <f>IFERROR(VLOOKUP(F1871,PROGRAMAS[],3,FALSE),0)</f>
        <v>3394901471.387517</v>
      </c>
      <c r="AI1871" s="246">
        <f>IFERROR(VLOOKUP(G1871,PROGRAMAS[],3,FALSE),0)</f>
        <v>125317226.95549992</v>
      </c>
      <c r="AJ1871" s="246">
        <f>IFERROR(VLOOKUP(H1871,PROGRAMAS[],3,FALSE),0)</f>
        <v>1233505101.0616004</v>
      </c>
      <c r="AK1871" s="246">
        <f>IFERROR(VLOOKUP(I1871,PROGRAMAS[],3,FALSE),0)</f>
        <v>6129902208.7912121</v>
      </c>
      <c r="AL1871" s="246">
        <f>IFERROR(VLOOKUP(J1871,PROGRAMAS[],3,FALSE),0)</f>
        <v>675517840.109828</v>
      </c>
      <c r="AM1871" s="246">
        <f>IFERROR(VLOOKUP(K1871,PROGRAMAS[],3,FALSE),0)</f>
        <v>31865326.38096505</v>
      </c>
      <c r="AN1871" s="246">
        <f>IFERROR(VLOOKUP(L1871,PROGRAMAS[],3,FALSE),0)</f>
        <v>118617452.52510804</v>
      </c>
      <c r="AO1871" s="246">
        <f>IFERROR(VLOOKUP(M1871,PROGRAMAS[],3,FALSE),0)</f>
        <v>2406564599.0319901</v>
      </c>
      <c r="AP1871" s="246">
        <f>IFERROR(VLOOKUP(N1871,PROGRAMAS[],3,FALSE),0)</f>
        <v>948595847.09039903</v>
      </c>
      <c r="AQ1871" s="246">
        <f>IFERROR(VLOOKUP(O1871,PROGRAMAS[],3,FALSE),0)</f>
        <v>0</v>
      </c>
      <c r="AR1871" s="246">
        <f>IFERROR(VLOOKUP(P1871,PROGRAMAS[],3,FALSE),0)</f>
        <v>0</v>
      </c>
      <c r="AS1871" s="246">
        <f>IFERROR(VLOOKUP(Q1871,PROGRAMAS[],3,FALSE),0)</f>
        <v>0</v>
      </c>
      <c r="AT1871" s="246">
        <f>IFERROR(VLOOKUP(D1871,VOL_REC[],2,FALSE),0)</f>
        <v>0</v>
      </c>
      <c r="AU1871" s="246">
        <f>IFERROR(VLOOKUP(E1871,VOL_REC[],2,FALSE),0)</f>
        <v>0</v>
      </c>
      <c r="AV1871" s="246">
        <f>IFERROR(VLOOKUP(F1871,VOL_REC[],2,FALSE),0)</f>
        <v>11089674.200000001</v>
      </c>
      <c r="AW1871" s="246">
        <f>IFERROR(VLOOKUP(G1871,VOL_REC[],2,FALSE),0)</f>
        <v>90439.55</v>
      </c>
      <c r="AX1871" s="246">
        <f>IFERROR(VLOOKUP(H1871,VOL_REC[],2,FALSE),0)</f>
        <v>4325103.1812214684</v>
      </c>
      <c r="AY1871" s="246">
        <f>IFERROR(VLOOKUP(I1871,VOL_REC[],2,FALSE),0)</f>
        <v>15540036.397699751</v>
      </c>
      <c r="AZ1871" s="246">
        <f>IFERROR(VLOOKUP(J1871,VOL_REC[],2,FALSE),0)</f>
        <v>240696.79238099116</v>
      </c>
      <c r="BA1871" s="246">
        <f>IFERROR(VLOOKUP(K1871,VOL_REC[],2,FALSE),0)</f>
        <v>17074.045034105649</v>
      </c>
      <c r="BB1871" s="246">
        <f>IFERROR(VLOOKUP(L1871,VOL_REC[],2,FALSE),0)</f>
        <v>105072</v>
      </c>
      <c r="BC1871" s="246">
        <f>IFERROR(VLOOKUP(M1871,VOL_REC[],2,FALSE),0)</f>
        <v>1072354.9981737854</v>
      </c>
      <c r="BD1871" s="246">
        <f>IFERROR(VLOOKUP(N1871,VOL_REC[],2,FALSE),0)</f>
        <v>740113.98115702497</v>
      </c>
      <c r="BE1871" s="246">
        <f>IFERROR(VLOOKUP(O1871,VOL_REC[],2,FALSE),0)</f>
        <v>0</v>
      </c>
      <c r="BF1871" s="246">
        <f>IFERROR(VLOOKUP(P1871,VOL_REC[],2,FALSE),0)</f>
        <v>0</v>
      </c>
      <c r="BG1871" s="246">
        <f>IFERROR(VLOOKUP(Q1871,VOL_REC[],2,FALSE),0)</f>
        <v>0</v>
      </c>
      <c r="BH1871" s="1710">
        <f t="shared" si="120"/>
        <v>22118611337.617798</v>
      </c>
      <c r="BI1871" s="1710">
        <f t="shared" si="121"/>
        <v>19755656505.809151</v>
      </c>
      <c r="BJ1871" s="1711">
        <f t="shared" si="122"/>
        <v>33220565.145667128</v>
      </c>
      <c r="BK1871" s="1711">
        <f t="shared" si="123"/>
        <v>1.1196090259573921</v>
      </c>
      <c r="BL1871">
        <f>BJ1871</f>
        <v>33220565.145667128</v>
      </c>
      <c r="BO1871">
        <f>BL1871</f>
        <v>33220565.145667128</v>
      </c>
    </row>
    <row r="1872" spans="3:67" x14ac:dyDescent="0.25">
      <c r="C1872" s="246" t="s">
        <v>3222</v>
      </c>
      <c r="D1872" s="246">
        <v>1</v>
      </c>
      <c r="E1872" s="246">
        <v>2</v>
      </c>
      <c r="F1872" s="246">
        <v>3</v>
      </c>
      <c r="G1872" s="246">
        <v>4</v>
      </c>
      <c r="H1872" s="246">
        <v>5</v>
      </c>
      <c r="I1872" s="246">
        <v>6</v>
      </c>
      <c r="J1872" s="246">
        <v>13</v>
      </c>
      <c r="K1872" s="246">
        <v>14</v>
      </c>
      <c r="L1872" s="246">
        <v>15</v>
      </c>
      <c r="M1872" s="246">
        <v>16</v>
      </c>
      <c r="N1872" s="246">
        <v>17</v>
      </c>
      <c r="O1872" s="246"/>
      <c r="P1872" s="246"/>
      <c r="Q1872" s="246"/>
      <c r="R1872" s="246">
        <f>IFERROR(VLOOKUP(D1872,PROGRAMAS[],2,FALSE),0)</f>
        <v>97037803.679377079</v>
      </c>
      <c r="S1872" s="246">
        <f>IFERROR(VLOOKUP(E1872,PROGRAMAS[],2,FALSE),0)</f>
        <v>640501509.6821388</v>
      </c>
      <c r="T1872" s="246">
        <f>IFERROR(VLOOKUP(F1872,PROGRAMAS[],2,FALSE),0)</f>
        <v>3062327798.1525245</v>
      </c>
      <c r="U1872" s="246">
        <f>IFERROR(VLOOKUP(G1872,PROGRAMAS[],2,FALSE),0)</f>
        <v>67697118.033011258</v>
      </c>
      <c r="V1872" s="246">
        <f>IFERROR(VLOOKUP(H1872,PROGRAMAS[],2,FALSE),0)</f>
        <v>1440941976.2528784</v>
      </c>
      <c r="W1872" s="246">
        <f>IFERROR(VLOOKUP(I1872,PROGRAMAS[],2,FALSE),0)</f>
        <v>6907648435.8447599</v>
      </c>
      <c r="X1872" s="246">
        <f>IFERROR(VLOOKUP(J1872,PROGRAMAS[],2,FALSE),0)</f>
        <v>3776538594.4604583</v>
      </c>
      <c r="Y1872" s="246">
        <f>IFERROR(VLOOKUP(K1872,PROGRAMAS[],2,FALSE),0)</f>
        <v>54223862.645839565</v>
      </c>
      <c r="Z1872" s="246">
        <f>IFERROR(VLOOKUP(L1872,PROGRAMAS[],2,FALSE),0)</f>
        <v>122159672.96346797</v>
      </c>
      <c r="AA1872" s="246">
        <f>IFERROR(VLOOKUP(M1872,PROGRAMAS[],2,FALSE),0)</f>
        <v>7068496961.0436354</v>
      </c>
      <c r="AB1872" s="246">
        <f>IFERROR(VLOOKUP(N1872,PROGRAMAS[],2,FALSE),0)</f>
        <v>1892779498.5211046</v>
      </c>
      <c r="AC1872" s="246">
        <f>IFERROR(VLOOKUP(O1872,PROGRAMAS[],2,FALSE),0)</f>
        <v>0</v>
      </c>
      <c r="AD1872" s="246">
        <f>IFERROR(VLOOKUP(P1872,PROGRAMAS[],2,FALSE),0)</f>
        <v>0</v>
      </c>
      <c r="AE1872" s="246">
        <f>IFERROR(VLOOKUP(Q1872,PROGRAMAS[],2,FALSE),0)</f>
        <v>0</v>
      </c>
      <c r="AF1872" s="246">
        <f>IFERROR(VLOOKUP(D1872,PROGRAMAS[],3,FALSE),0)</f>
        <v>841888629.31080008</v>
      </c>
      <c r="AG1872" s="246">
        <f>IFERROR(VLOOKUP(E1872,PROGRAMAS[],3,FALSE),0)</f>
        <v>3848980803.1642323</v>
      </c>
      <c r="AH1872" s="246">
        <f>IFERROR(VLOOKUP(F1872,PROGRAMAS[],3,FALSE),0)</f>
        <v>3394901471.387517</v>
      </c>
      <c r="AI1872" s="246">
        <f>IFERROR(VLOOKUP(G1872,PROGRAMAS[],3,FALSE),0)</f>
        <v>125317226.95549992</v>
      </c>
      <c r="AJ1872" s="246">
        <f>IFERROR(VLOOKUP(H1872,PROGRAMAS[],3,FALSE),0)</f>
        <v>1233505101.0616004</v>
      </c>
      <c r="AK1872" s="246">
        <f>IFERROR(VLOOKUP(I1872,PROGRAMAS[],3,FALSE),0)</f>
        <v>6129902208.7912121</v>
      </c>
      <c r="AL1872" s="246">
        <f>IFERROR(VLOOKUP(J1872,PROGRAMAS[],3,FALSE),0)</f>
        <v>2392571243.5584412</v>
      </c>
      <c r="AM1872" s="246">
        <f>IFERROR(VLOOKUP(K1872,PROGRAMAS[],3,FALSE),0)</f>
        <v>31865326.38096505</v>
      </c>
      <c r="AN1872" s="246">
        <f>IFERROR(VLOOKUP(L1872,PROGRAMAS[],3,FALSE),0)</f>
        <v>118617452.52510804</v>
      </c>
      <c r="AO1872" s="246">
        <f>IFERROR(VLOOKUP(M1872,PROGRAMAS[],3,FALSE),0)</f>
        <v>2406564599.0319901</v>
      </c>
      <c r="AP1872" s="246">
        <f>IFERROR(VLOOKUP(N1872,PROGRAMAS[],3,FALSE),0)</f>
        <v>948595847.09039903</v>
      </c>
      <c r="AQ1872" s="246">
        <f>IFERROR(VLOOKUP(O1872,PROGRAMAS[],3,FALSE),0)</f>
        <v>0</v>
      </c>
      <c r="AR1872" s="246">
        <f>IFERROR(VLOOKUP(P1872,PROGRAMAS[],3,FALSE),0)</f>
        <v>0</v>
      </c>
      <c r="AS1872" s="246">
        <f>IFERROR(VLOOKUP(Q1872,PROGRAMAS[],3,FALSE),0)</f>
        <v>0</v>
      </c>
      <c r="AT1872" s="246">
        <f>IFERROR(VLOOKUP(D1872,VOL_REC[],2,FALSE),0)</f>
        <v>0</v>
      </c>
      <c r="AU1872" s="246">
        <f>IFERROR(VLOOKUP(E1872,VOL_REC[],2,FALSE),0)</f>
        <v>0</v>
      </c>
      <c r="AV1872" s="246">
        <f>IFERROR(VLOOKUP(F1872,VOL_REC[],2,FALSE),0)</f>
        <v>11089674.200000001</v>
      </c>
      <c r="AW1872" s="246">
        <f>IFERROR(VLOOKUP(G1872,VOL_REC[],2,FALSE),0)</f>
        <v>90439.55</v>
      </c>
      <c r="AX1872" s="246">
        <f>IFERROR(VLOOKUP(H1872,VOL_REC[],2,FALSE),0)</f>
        <v>4325103.1812214684</v>
      </c>
      <c r="AY1872" s="246">
        <f>IFERROR(VLOOKUP(I1872,VOL_REC[],2,FALSE),0)</f>
        <v>15540036.397699751</v>
      </c>
      <c r="AZ1872" s="246">
        <f>IFERROR(VLOOKUP(J1872,VOL_REC[],2,FALSE),0)</f>
        <v>663244.80000000016</v>
      </c>
      <c r="BA1872" s="246">
        <f>IFERROR(VLOOKUP(K1872,VOL_REC[],2,FALSE),0)</f>
        <v>17074.045034105649</v>
      </c>
      <c r="BB1872" s="246">
        <f>IFERROR(VLOOKUP(L1872,VOL_REC[],2,FALSE),0)</f>
        <v>105072</v>
      </c>
      <c r="BC1872" s="246">
        <f>IFERROR(VLOOKUP(M1872,VOL_REC[],2,FALSE),0)</f>
        <v>1072354.9981737854</v>
      </c>
      <c r="BD1872" s="246">
        <f>IFERROR(VLOOKUP(N1872,VOL_REC[],2,FALSE),0)</f>
        <v>740113.98115702497</v>
      </c>
      <c r="BE1872" s="246">
        <f>IFERROR(VLOOKUP(O1872,VOL_REC[],2,FALSE),0)</f>
        <v>0</v>
      </c>
      <c r="BF1872" s="246">
        <f>IFERROR(VLOOKUP(P1872,VOL_REC[],2,FALSE),0)</f>
        <v>0</v>
      </c>
      <c r="BG1872" s="246">
        <f>IFERROR(VLOOKUP(Q1872,VOL_REC[],2,FALSE),0)</f>
        <v>0</v>
      </c>
      <c r="BH1872" s="1710">
        <f t="shared" si="120"/>
        <v>25130353231.279198</v>
      </c>
      <c r="BI1872" s="1710">
        <f t="shared" si="121"/>
        <v>21472709909.257767</v>
      </c>
      <c r="BJ1872" s="1711">
        <f t="shared" si="122"/>
        <v>33643113.153286137</v>
      </c>
      <c r="BK1872" s="1711">
        <f t="shared" si="123"/>
        <v>1.1703391578183837</v>
      </c>
      <c r="BL1872">
        <f>BJ1872</f>
        <v>33643113.153286137</v>
      </c>
      <c r="BO1872">
        <f>BL1872</f>
        <v>33643113.153286137</v>
      </c>
    </row>
    <row r="1873" spans="3:67" x14ac:dyDescent="0.25">
      <c r="C1873" s="246" t="s">
        <v>3223</v>
      </c>
      <c r="D1873" s="246">
        <v>1</v>
      </c>
      <c r="E1873" s="246">
        <v>2</v>
      </c>
      <c r="F1873" s="246">
        <v>3</v>
      </c>
      <c r="G1873" s="246">
        <v>4</v>
      </c>
      <c r="H1873" s="246">
        <v>5</v>
      </c>
      <c r="I1873" s="246">
        <v>9</v>
      </c>
      <c r="J1873" s="246">
        <v>10</v>
      </c>
      <c r="K1873" s="246">
        <v>12</v>
      </c>
      <c r="L1873" s="246">
        <v>13</v>
      </c>
      <c r="M1873" s="246">
        <v>14</v>
      </c>
      <c r="N1873" s="246">
        <v>15</v>
      </c>
      <c r="O1873" s="246"/>
      <c r="P1873" s="246"/>
      <c r="Q1873" s="246"/>
      <c r="R1873" s="246">
        <f>IFERROR(VLOOKUP(D1873,PROGRAMAS[],2,FALSE),0)</f>
        <v>97037803.679377079</v>
      </c>
      <c r="S1873" s="246">
        <f>IFERROR(VLOOKUP(E1873,PROGRAMAS[],2,FALSE),0)</f>
        <v>640501509.6821388</v>
      </c>
      <c r="T1873" s="246">
        <f>IFERROR(VLOOKUP(F1873,PROGRAMAS[],2,FALSE),0)</f>
        <v>3062327798.1525245</v>
      </c>
      <c r="U1873" s="246">
        <f>IFERROR(VLOOKUP(G1873,PROGRAMAS[],2,FALSE),0)</f>
        <v>67697118.033011258</v>
      </c>
      <c r="V1873" s="246">
        <f>IFERROR(VLOOKUP(H1873,PROGRAMAS[],2,FALSE),0)</f>
        <v>1440941976.2528784</v>
      </c>
      <c r="W1873" s="246">
        <f>IFERROR(VLOOKUP(I1873,PROGRAMAS[],2,FALSE),0)</f>
        <v>6128579952.1618185</v>
      </c>
      <c r="X1873" s="246">
        <f>IFERROR(VLOOKUP(J1873,PROGRAMAS[],2,FALSE),0)</f>
        <v>4635315027.8751087</v>
      </c>
      <c r="Y1873" s="246">
        <f>IFERROR(VLOOKUP(K1873,PROGRAMAS[],2,FALSE),0)</f>
        <v>764796700.79905891</v>
      </c>
      <c r="Z1873" s="246">
        <f>IFERROR(VLOOKUP(L1873,PROGRAMAS[],2,FALSE),0)</f>
        <v>3776538594.4604583</v>
      </c>
      <c r="AA1873" s="246">
        <f>IFERROR(VLOOKUP(M1873,PROGRAMAS[],2,FALSE),0)</f>
        <v>54223862.645839565</v>
      </c>
      <c r="AB1873" s="246">
        <f>IFERROR(VLOOKUP(N1873,PROGRAMAS[],2,FALSE),0)</f>
        <v>122159672.96346797</v>
      </c>
      <c r="AC1873" s="246">
        <f>IFERROR(VLOOKUP(O1873,PROGRAMAS[],2,FALSE),0)</f>
        <v>0</v>
      </c>
      <c r="AD1873" s="246">
        <f>IFERROR(VLOOKUP(P1873,PROGRAMAS[],2,FALSE),0)</f>
        <v>0</v>
      </c>
      <c r="AE1873" s="246">
        <f>IFERROR(VLOOKUP(Q1873,PROGRAMAS[],2,FALSE),0)</f>
        <v>0</v>
      </c>
      <c r="AF1873" s="246">
        <f>IFERROR(VLOOKUP(D1873,PROGRAMAS[],3,FALSE),0)</f>
        <v>841888629.31080008</v>
      </c>
      <c r="AG1873" s="246">
        <f>IFERROR(VLOOKUP(E1873,PROGRAMAS[],3,FALSE),0)</f>
        <v>3848980803.1642323</v>
      </c>
      <c r="AH1873" s="246">
        <f>IFERROR(VLOOKUP(F1873,PROGRAMAS[],3,FALSE),0)</f>
        <v>3394901471.387517</v>
      </c>
      <c r="AI1873" s="246">
        <f>IFERROR(VLOOKUP(G1873,PROGRAMAS[],3,FALSE),0)</f>
        <v>125317226.95549992</v>
      </c>
      <c r="AJ1873" s="246">
        <f>IFERROR(VLOOKUP(H1873,PROGRAMAS[],3,FALSE),0)</f>
        <v>1233505101.0616004</v>
      </c>
      <c r="AK1873" s="246">
        <f>IFERROR(VLOOKUP(I1873,PROGRAMAS[],3,FALSE),0)</f>
        <v>7011279577.519702</v>
      </c>
      <c r="AL1873" s="246">
        <f>IFERROR(VLOOKUP(J1873,PROGRAMAS[],3,FALSE),0)</f>
        <v>4099471734.9978786</v>
      </c>
      <c r="AM1873" s="246">
        <f>IFERROR(VLOOKUP(K1873,PROGRAMAS[],3,FALSE),0)</f>
        <v>675517840.109828</v>
      </c>
      <c r="AN1873" s="246">
        <f>IFERROR(VLOOKUP(L1873,PROGRAMAS[],3,FALSE),0)</f>
        <v>2392571243.5584412</v>
      </c>
      <c r="AO1873" s="246">
        <f>IFERROR(VLOOKUP(M1873,PROGRAMAS[],3,FALSE),0)</f>
        <v>31865326.38096505</v>
      </c>
      <c r="AP1873" s="246">
        <f>IFERROR(VLOOKUP(N1873,PROGRAMAS[],3,FALSE),0)</f>
        <v>118617452.52510804</v>
      </c>
      <c r="AQ1873" s="246">
        <f>IFERROR(VLOOKUP(O1873,PROGRAMAS[],3,FALSE),0)</f>
        <v>0</v>
      </c>
      <c r="AR1873" s="246">
        <f>IFERROR(VLOOKUP(P1873,PROGRAMAS[],3,FALSE),0)</f>
        <v>0</v>
      </c>
      <c r="AS1873" s="246">
        <f>IFERROR(VLOOKUP(Q1873,PROGRAMAS[],3,FALSE),0)</f>
        <v>0</v>
      </c>
      <c r="AT1873" s="246">
        <f>IFERROR(VLOOKUP(D1873,VOL_REC[],2,FALSE),0)</f>
        <v>0</v>
      </c>
      <c r="AU1873" s="246">
        <f>IFERROR(VLOOKUP(E1873,VOL_REC[],2,FALSE),0)</f>
        <v>0</v>
      </c>
      <c r="AV1873" s="246">
        <f>IFERROR(VLOOKUP(F1873,VOL_REC[],2,FALSE),0)</f>
        <v>11089674.200000001</v>
      </c>
      <c r="AW1873" s="246">
        <f>IFERROR(VLOOKUP(G1873,VOL_REC[],2,FALSE),0)</f>
        <v>90439.55</v>
      </c>
      <c r="AX1873" s="246">
        <f>IFERROR(VLOOKUP(H1873,VOL_REC[],2,FALSE),0)</f>
        <v>4325103.1812214684</v>
      </c>
      <c r="AY1873" s="246">
        <f>IFERROR(VLOOKUP(I1873,VOL_REC[],2,FALSE),0)</f>
        <v>3761786</v>
      </c>
      <c r="AZ1873" s="246">
        <f>IFERROR(VLOOKUP(J1873,VOL_REC[],2,FALSE),0)</f>
        <v>1812240</v>
      </c>
      <c r="BA1873" s="246">
        <f>IFERROR(VLOOKUP(K1873,VOL_REC[],2,FALSE),0)</f>
        <v>240696.79238099116</v>
      </c>
      <c r="BB1873" s="246">
        <f>IFERROR(VLOOKUP(L1873,VOL_REC[],2,FALSE),0)</f>
        <v>663244.80000000016</v>
      </c>
      <c r="BC1873" s="246">
        <f>IFERROR(VLOOKUP(M1873,VOL_REC[],2,FALSE),0)</f>
        <v>17074.045034105649</v>
      </c>
      <c r="BD1873" s="246">
        <f>IFERROR(VLOOKUP(N1873,VOL_REC[],2,FALSE),0)</f>
        <v>105072</v>
      </c>
      <c r="BE1873" s="246">
        <f>IFERROR(VLOOKUP(O1873,VOL_REC[],2,FALSE),0)</f>
        <v>0</v>
      </c>
      <c r="BF1873" s="246">
        <f>IFERROR(VLOOKUP(P1873,VOL_REC[],2,FALSE),0)</f>
        <v>0</v>
      </c>
      <c r="BG1873" s="246">
        <f>IFERROR(VLOOKUP(Q1873,VOL_REC[],2,FALSE),0)</f>
        <v>0</v>
      </c>
      <c r="BH1873" s="1710">
        <f t="shared" si="120"/>
        <v>20790120016.705681</v>
      </c>
      <c r="BI1873" s="1710">
        <f t="shared" si="121"/>
        <v>23773916406.971577</v>
      </c>
      <c r="BJ1873" s="1711">
        <f t="shared" si="122"/>
        <v>22105330.56863657</v>
      </c>
      <c r="BK1873" s="1711">
        <f t="shared" si="123"/>
        <v>0.87449285430351253</v>
      </c>
    </row>
    <row r="1874" spans="3:67" x14ac:dyDescent="0.25">
      <c r="C1874" s="246" t="s">
        <v>3224</v>
      </c>
      <c r="D1874" s="246">
        <v>1</v>
      </c>
      <c r="E1874" s="246">
        <v>2</v>
      </c>
      <c r="F1874" s="246">
        <v>3</v>
      </c>
      <c r="G1874" s="246">
        <v>4</v>
      </c>
      <c r="H1874" s="246">
        <v>5</v>
      </c>
      <c r="I1874" s="246">
        <v>9</v>
      </c>
      <c r="J1874" s="246">
        <v>10</v>
      </c>
      <c r="K1874" s="246">
        <v>12</v>
      </c>
      <c r="L1874" s="246">
        <v>13</v>
      </c>
      <c r="M1874" s="246">
        <v>14</v>
      </c>
      <c r="N1874" s="246">
        <v>16</v>
      </c>
      <c r="O1874" s="246"/>
      <c r="P1874" s="246"/>
      <c r="Q1874" s="246"/>
      <c r="R1874" s="246">
        <f>IFERROR(VLOOKUP(D1874,PROGRAMAS[],2,FALSE),0)</f>
        <v>97037803.679377079</v>
      </c>
      <c r="S1874" s="246">
        <f>IFERROR(VLOOKUP(E1874,PROGRAMAS[],2,FALSE),0)</f>
        <v>640501509.6821388</v>
      </c>
      <c r="T1874" s="246">
        <f>IFERROR(VLOOKUP(F1874,PROGRAMAS[],2,FALSE),0)</f>
        <v>3062327798.1525245</v>
      </c>
      <c r="U1874" s="246">
        <f>IFERROR(VLOOKUP(G1874,PROGRAMAS[],2,FALSE),0)</f>
        <v>67697118.033011258</v>
      </c>
      <c r="V1874" s="246">
        <f>IFERROR(VLOOKUP(H1874,PROGRAMAS[],2,FALSE),0)</f>
        <v>1440941976.2528784</v>
      </c>
      <c r="W1874" s="246">
        <f>IFERROR(VLOOKUP(I1874,PROGRAMAS[],2,FALSE),0)</f>
        <v>6128579952.1618185</v>
      </c>
      <c r="X1874" s="246">
        <f>IFERROR(VLOOKUP(J1874,PROGRAMAS[],2,FALSE),0)</f>
        <v>4635315027.8751087</v>
      </c>
      <c r="Y1874" s="246">
        <f>IFERROR(VLOOKUP(K1874,PROGRAMAS[],2,FALSE),0)</f>
        <v>764796700.79905891</v>
      </c>
      <c r="Z1874" s="246">
        <f>IFERROR(VLOOKUP(L1874,PROGRAMAS[],2,FALSE),0)</f>
        <v>3776538594.4604583</v>
      </c>
      <c r="AA1874" s="246">
        <f>IFERROR(VLOOKUP(M1874,PROGRAMAS[],2,FALSE),0)</f>
        <v>54223862.645839565</v>
      </c>
      <c r="AB1874" s="246">
        <f>IFERROR(VLOOKUP(N1874,PROGRAMAS[],2,FALSE),0)</f>
        <v>7068496961.0436354</v>
      </c>
      <c r="AC1874" s="246">
        <f>IFERROR(VLOOKUP(O1874,PROGRAMAS[],2,FALSE),0)</f>
        <v>0</v>
      </c>
      <c r="AD1874" s="246">
        <f>IFERROR(VLOOKUP(P1874,PROGRAMAS[],2,FALSE),0)</f>
        <v>0</v>
      </c>
      <c r="AE1874" s="246">
        <f>IFERROR(VLOOKUP(Q1874,PROGRAMAS[],2,FALSE),0)</f>
        <v>0</v>
      </c>
      <c r="AF1874" s="246">
        <f>IFERROR(VLOOKUP(D1874,PROGRAMAS[],3,FALSE),0)</f>
        <v>841888629.31080008</v>
      </c>
      <c r="AG1874" s="246">
        <f>IFERROR(VLOOKUP(E1874,PROGRAMAS[],3,FALSE),0)</f>
        <v>3848980803.1642323</v>
      </c>
      <c r="AH1874" s="246">
        <f>IFERROR(VLOOKUP(F1874,PROGRAMAS[],3,FALSE),0)</f>
        <v>3394901471.387517</v>
      </c>
      <c r="AI1874" s="246">
        <f>IFERROR(VLOOKUP(G1874,PROGRAMAS[],3,FALSE),0)</f>
        <v>125317226.95549992</v>
      </c>
      <c r="AJ1874" s="246">
        <f>IFERROR(VLOOKUP(H1874,PROGRAMAS[],3,FALSE),0)</f>
        <v>1233505101.0616004</v>
      </c>
      <c r="AK1874" s="246">
        <f>IFERROR(VLOOKUP(I1874,PROGRAMAS[],3,FALSE),0)</f>
        <v>7011279577.519702</v>
      </c>
      <c r="AL1874" s="246">
        <f>IFERROR(VLOOKUP(J1874,PROGRAMAS[],3,FALSE),0)</f>
        <v>4099471734.9978786</v>
      </c>
      <c r="AM1874" s="246">
        <f>IFERROR(VLOOKUP(K1874,PROGRAMAS[],3,FALSE),0)</f>
        <v>675517840.109828</v>
      </c>
      <c r="AN1874" s="246">
        <f>IFERROR(VLOOKUP(L1874,PROGRAMAS[],3,FALSE),0)</f>
        <v>2392571243.5584412</v>
      </c>
      <c r="AO1874" s="246">
        <f>IFERROR(VLOOKUP(M1874,PROGRAMAS[],3,FALSE),0)</f>
        <v>31865326.38096505</v>
      </c>
      <c r="AP1874" s="246">
        <f>IFERROR(VLOOKUP(N1874,PROGRAMAS[],3,FALSE),0)</f>
        <v>2406564599.0319901</v>
      </c>
      <c r="AQ1874" s="246">
        <f>IFERROR(VLOOKUP(O1874,PROGRAMAS[],3,FALSE),0)</f>
        <v>0</v>
      </c>
      <c r="AR1874" s="246">
        <f>IFERROR(VLOOKUP(P1874,PROGRAMAS[],3,FALSE),0)</f>
        <v>0</v>
      </c>
      <c r="AS1874" s="246">
        <f>IFERROR(VLOOKUP(Q1874,PROGRAMAS[],3,FALSE),0)</f>
        <v>0</v>
      </c>
      <c r="AT1874" s="246">
        <f>IFERROR(VLOOKUP(D1874,VOL_REC[],2,FALSE),0)</f>
        <v>0</v>
      </c>
      <c r="AU1874" s="246">
        <f>IFERROR(VLOOKUP(E1874,VOL_REC[],2,FALSE),0)</f>
        <v>0</v>
      </c>
      <c r="AV1874" s="246">
        <f>IFERROR(VLOOKUP(F1874,VOL_REC[],2,FALSE),0)</f>
        <v>11089674.200000001</v>
      </c>
      <c r="AW1874" s="246">
        <f>IFERROR(VLOOKUP(G1874,VOL_REC[],2,FALSE),0)</f>
        <v>90439.55</v>
      </c>
      <c r="AX1874" s="246">
        <f>IFERROR(VLOOKUP(H1874,VOL_REC[],2,FALSE),0)</f>
        <v>4325103.1812214684</v>
      </c>
      <c r="AY1874" s="246">
        <f>IFERROR(VLOOKUP(I1874,VOL_REC[],2,FALSE),0)</f>
        <v>3761786</v>
      </c>
      <c r="AZ1874" s="246">
        <f>IFERROR(VLOOKUP(J1874,VOL_REC[],2,FALSE),0)</f>
        <v>1812240</v>
      </c>
      <c r="BA1874" s="246">
        <f>IFERROR(VLOOKUP(K1874,VOL_REC[],2,FALSE),0)</f>
        <v>240696.79238099116</v>
      </c>
      <c r="BB1874" s="246">
        <f>IFERROR(VLOOKUP(L1874,VOL_REC[],2,FALSE),0)</f>
        <v>663244.80000000016</v>
      </c>
      <c r="BC1874" s="246">
        <f>IFERROR(VLOOKUP(M1874,VOL_REC[],2,FALSE),0)</f>
        <v>17074.045034105649</v>
      </c>
      <c r="BD1874" s="246">
        <f>IFERROR(VLOOKUP(N1874,VOL_REC[],2,FALSE),0)</f>
        <v>1072354.9981737854</v>
      </c>
      <c r="BE1874" s="246">
        <f>IFERROR(VLOOKUP(O1874,VOL_REC[],2,FALSE),0)</f>
        <v>0</v>
      </c>
      <c r="BF1874" s="246">
        <f>IFERROR(VLOOKUP(P1874,VOL_REC[],2,FALSE),0)</f>
        <v>0</v>
      </c>
      <c r="BG1874" s="246">
        <f>IFERROR(VLOOKUP(Q1874,VOL_REC[],2,FALSE),0)</f>
        <v>0</v>
      </c>
      <c r="BH1874" s="1710">
        <f t="shared" si="120"/>
        <v>27736457304.785851</v>
      </c>
      <c r="BI1874" s="1710">
        <f t="shared" si="121"/>
        <v>26061863553.478458</v>
      </c>
      <c r="BJ1874" s="1711">
        <f t="shared" si="122"/>
        <v>23072613.566810355</v>
      </c>
      <c r="BK1874" s="1711">
        <f t="shared" si="123"/>
        <v>1.0642545667492718</v>
      </c>
      <c r="BL1874">
        <f>BJ1874</f>
        <v>23072613.566810355</v>
      </c>
      <c r="BO1874">
        <f>BL1874</f>
        <v>23072613.566810355</v>
      </c>
    </row>
    <row r="1875" spans="3:67" x14ac:dyDescent="0.25">
      <c r="C1875" s="246" t="s">
        <v>3225</v>
      </c>
      <c r="D1875" s="246">
        <v>1</v>
      </c>
      <c r="E1875" s="246">
        <v>2</v>
      </c>
      <c r="F1875" s="246">
        <v>3</v>
      </c>
      <c r="G1875" s="246">
        <v>4</v>
      </c>
      <c r="H1875" s="246">
        <v>5</v>
      </c>
      <c r="I1875" s="246">
        <v>9</v>
      </c>
      <c r="J1875" s="246">
        <v>10</v>
      </c>
      <c r="K1875" s="246">
        <v>12</v>
      </c>
      <c r="L1875" s="246">
        <v>13</v>
      </c>
      <c r="M1875" s="246">
        <v>14</v>
      </c>
      <c r="N1875" s="246">
        <v>17</v>
      </c>
      <c r="O1875" s="246"/>
      <c r="P1875" s="246"/>
      <c r="Q1875" s="246"/>
      <c r="R1875" s="246">
        <f>IFERROR(VLOOKUP(D1875,PROGRAMAS[],2,FALSE),0)</f>
        <v>97037803.679377079</v>
      </c>
      <c r="S1875" s="246">
        <f>IFERROR(VLOOKUP(E1875,PROGRAMAS[],2,FALSE),0)</f>
        <v>640501509.6821388</v>
      </c>
      <c r="T1875" s="246">
        <f>IFERROR(VLOOKUP(F1875,PROGRAMAS[],2,FALSE),0)</f>
        <v>3062327798.1525245</v>
      </c>
      <c r="U1875" s="246">
        <f>IFERROR(VLOOKUP(G1875,PROGRAMAS[],2,FALSE),0)</f>
        <v>67697118.033011258</v>
      </c>
      <c r="V1875" s="246">
        <f>IFERROR(VLOOKUP(H1875,PROGRAMAS[],2,FALSE),0)</f>
        <v>1440941976.2528784</v>
      </c>
      <c r="W1875" s="246">
        <f>IFERROR(VLOOKUP(I1875,PROGRAMAS[],2,FALSE),0)</f>
        <v>6128579952.1618185</v>
      </c>
      <c r="X1875" s="246">
        <f>IFERROR(VLOOKUP(J1875,PROGRAMAS[],2,FALSE),0)</f>
        <v>4635315027.8751087</v>
      </c>
      <c r="Y1875" s="246">
        <f>IFERROR(VLOOKUP(K1875,PROGRAMAS[],2,FALSE),0)</f>
        <v>764796700.79905891</v>
      </c>
      <c r="Z1875" s="246">
        <f>IFERROR(VLOOKUP(L1875,PROGRAMAS[],2,FALSE),0)</f>
        <v>3776538594.4604583</v>
      </c>
      <c r="AA1875" s="246">
        <f>IFERROR(VLOOKUP(M1875,PROGRAMAS[],2,FALSE),0)</f>
        <v>54223862.645839565</v>
      </c>
      <c r="AB1875" s="246">
        <f>IFERROR(VLOOKUP(N1875,PROGRAMAS[],2,FALSE),0)</f>
        <v>1892779498.5211046</v>
      </c>
      <c r="AC1875" s="246">
        <f>IFERROR(VLOOKUP(O1875,PROGRAMAS[],2,FALSE),0)</f>
        <v>0</v>
      </c>
      <c r="AD1875" s="246">
        <f>IFERROR(VLOOKUP(P1875,PROGRAMAS[],2,FALSE),0)</f>
        <v>0</v>
      </c>
      <c r="AE1875" s="246">
        <f>IFERROR(VLOOKUP(Q1875,PROGRAMAS[],2,FALSE),0)</f>
        <v>0</v>
      </c>
      <c r="AF1875" s="246">
        <f>IFERROR(VLOOKUP(D1875,PROGRAMAS[],3,FALSE),0)</f>
        <v>841888629.31080008</v>
      </c>
      <c r="AG1875" s="246">
        <f>IFERROR(VLOOKUP(E1875,PROGRAMAS[],3,FALSE),0)</f>
        <v>3848980803.1642323</v>
      </c>
      <c r="AH1875" s="246">
        <f>IFERROR(VLOOKUP(F1875,PROGRAMAS[],3,FALSE),0)</f>
        <v>3394901471.387517</v>
      </c>
      <c r="AI1875" s="246">
        <f>IFERROR(VLOOKUP(G1875,PROGRAMAS[],3,FALSE),0)</f>
        <v>125317226.95549992</v>
      </c>
      <c r="AJ1875" s="246">
        <f>IFERROR(VLOOKUP(H1875,PROGRAMAS[],3,FALSE),0)</f>
        <v>1233505101.0616004</v>
      </c>
      <c r="AK1875" s="246">
        <f>IFERROR(VLOOKUP(I1875,PROGRAMAS[],3,FALSE),0)</f>
        <v>7011279577.519702</v>
      </c>
      <c r="AL1875" s="246">
        <f>IFERROR(VLOOKUP(J1875,PROGRAMAS[],3,FALSE),0)</f>
        <v>4099471734.9978786</v>
      </c>
      <c r="AM1875" s="246">
        <f>IFERROR(VLOOKUP(K1875,PROGRAMAS[],3,FALSE),0)</f>
        <v>675517840.109828</v>
      </c>
      <c r="AN1875" s="246">
        <f>IFERROR(VLOOKUP(L1875,PROGRAMAS[],3,FALSE),0)</f>
        <v>2392571243.5584412</v>
      </c>
      <c r="AO1875" s="246">
        <f>IFERROR(VLOOKUP(M1875,PROGRAMAS[],3,FALSE),0)</f>
        <v>31865326.38096505</v>
      </c>
      <c r="AP1875" s="246">
        <f>IFERROR(VLOOKUP(N1875,PROGRAMAS[],3,FALSE),0)</f>
        <v>948595847.09039903</v>
      </c>
      <c r="AQ1875" s="246">
        <f>IFERROR(VLOOKUP(O1875,PROGRAMAS[],3,FALSE),0)</f>
        <v>0</v>
      </c>
      <c r="AR1875" s="246">
        <f>IFERROR(VLOOKUP(P1875,PROGRAMAS[],3,FALSE),0)</f>
        <v>0</v>
      </c>
      <c r="AS1875" s="246">
        <f>IFERROR(VLOOKUP(Q1875,PROGRAMAS[],3,FALSE),0)</f>
        <v>0</v>
      </c>
      <c r="AT1875" s="246">
        <f>IFERROR(VLOOKUP(D1875,VOL_REC[],2,FALSE),0)</f>
        <v>0</v>
      </c>
      <c r="AU1875" s="246">
        <f>IFERROR(VLOOKUP(E1875,VOL_REC[],2,FALSE),0)</f>
        <v>0</v>
      </c>
      <c r="AV1875" s="246">
        <f>IFERROR(VLOOKUP(F1875,VOL_REC[],2,FALSE),0)</f>
        <v>11089674.200000001</v>
      </c>
      <c r="AW1875" s="246">
        <f>IFERROR(VLOOKUP(G1875,VOL_REC[],2,FALSE),0)</f>
        <v>90439.55</v>
      </c>
      <c r="AX1875" s="246">
        <f>IFERROR(VLOOKUP(H1875,VOL_REC[],2,FALSE),0)</f>
        <v>4325103.1812214684</v>
      </c>
      <c r="AY1875" s="246">
        <f>IFERROR(VLOOKUP(I1875,VOL_REC[],2,FALSE),0)</f>
        <v>3761786</v>
      </c>
      <c r="AZ1875" s="246">
        <f>IFERROR(VLOOKUP(J1875,VOL_REC[],2,FALSE),0)</f>
        <v>1812240</v>
      </c>
      <c r="BA1875" s="246">
        <f>IFERROR(VLOOKUP(K1875,VOL_REC[],2,FALSE),0)</f>
        <v>240696.79238099116</v>
      </c>
      <c r="BB1875" s="246">
        <f>IFERROR(VLOOKUP(L1875,VOL_REC[],2,FALSE),0)</f>
        <v>663244.80000000016</v>
      </c>
      <c r="BC1875" s="246">
        <f>IFERROR(VLOOKUP(M1875,VOL_REC[],2,FALSE),0)</f>
        <v>17074.045034105649</v>
      </c>
      <c r="BD1875" s="246">
        <f>IFERROR(VLOOKUP(N1875,VOL_REC[],2,FALSE),0)</f>
        <v>740113.98115702497</v>
      </c>
      <c r="BE1875" s="246">
        <f>IFERROR(VLOOKUP(O1875,VOL_REC[],2,FALSE),0)</f>
        <v>0</v>
      </c>
      <c r="BF1875" s="246">
        <f>IFERROR(VLOOKUP(P1875,VOL_REC[],2,FALSE),0)</f>
        <v>0</v>
      </c>
      <c r="BG1875" s="246">
        <f>IFERROR(VLOOKUP(Q1875,VOL_REC[],2,FALSE),0)</f>
        <v>0</v>
      </c>
      <c r="BH1875" s="1710">
        <f t="shared" si="120"/>
        <v>22560739842.263317</v>
      </c>
      <c r="BI1875" s="1710">
        <f t="shared" si="121"/>
        <v>24603894801.536869</v>
      </c>
      <c r="BJ1875" s="1711">
        <f t="shared" si="122"/>
        <v>22740372.549793594</v>
      </c>
      <c r="BK1875" s="1711">
        <f t="shared" si="123"/>
        <v>0.91695806799068547</v>
      </c>
    </row>
    <row r="1876" spans="3:67" x14ac:dyDescent="0.25">
      <c r="C1876" s="246" t="s">
        <v>3226</v>
      </c>
      <c r="D1876" s="246">
        <v>1</v>
      </c>
      <c r="E1876" s="246">
        <v>2</v>
      </c>
      <c r="F1876" s="246">
        <v>3</v>
      </c>
      <c r="G1876" s="246">
        <v>4</v>
      </c>
      <c r="H1876" s="246">
        <v>5</v>
      </c>
      <c r="I1876" s="246">
        <v>9</v>
      </c>
      <c r="J1876" s="246">
        <v>10</v>
      </c>
      <c r="K1876" s="246">
        <v>12</v>
      </c>
      <c r="L1876" s="246">
        <v>13</v>
      </c>
      <c r="M1876" s="246">
        <v>15</v>
      </c>
      <c r="N1876" s="246">
        <v>16</v>
      </c>
      <c r="O1876" s="246"/>
      <c r="P1876" s="246"/>
      <c r="Q1876" s="246"/>
      <c r="R1876" s="246">
        <f>IFERROR(VLOOKUP(D1876,PROGRAMAS[],2,FALSE),0)</f>
        <v>97037803.679377079</v>
      </c>
      <c r="S1876" s="246">
        <f>IFERROR(VLOOKUP(E1876,PROGRAMAS[],2,FALSE),0)</f>
        <v>640501509.6821388</v>
      </c>
      <c r="T1876" s="246">
        <f>IFERROR(VLOOKUP(F1876,PROGRAMAS[],2,FALSE),0)</f>
        <v>3062327798.1525245</v>
      </c>
      <c r="U1876" s="246">
        <f>IFERROR(VLOOKUP(G1876,PROGRAMAS[],2,FALSE),0)</f>
        <v>67697118.033011258</v>
      </c>
      <c r="V1876" s="246">
        <f>IFERROR(VLOOKUP(H1876,PROGRAMAS[],2,FALSE),0)</f>
        <v>1440941976.2528784</v>
      </c>
      <c r="W1876" s="246">
        <f>IFERROR(VLOOKUP(I1876,PROGRAMAS[],2,FALSE),0)</f>
        <v>6128579952.1618185</v>
      </c>
      <c r="X1876" s="246">
        <f>IFERROR(VLOOKUP(J1876,PROGRAMAS[],2,FALSE),0)</f>
        <v>4635315027.8751087</v>
      </c>
      <c r="Y1876" s="246">
        <f>IFERROR(VLOOKUP(K1876,PROGRAMAS[],2,FALSE),0)</f>
        <v>764796700.79905891</v>
      </c>
      <c r="Z1876" s="246">
        <f>IFERROR(VLOOKUP(L1876,PROGRAMAS[],2,FALSE),0)</f>
        <v>3776538594.4604583</v>
      </c>
      <c r="AA1876" s="246">
        <f>IFERROR(VLOOKUP(M1876,PROGRAMAS[],2,FALSE),0)</f>
        <v>122159672.96346797</v>
      </c>
      <c r="AB1876" s="246">
        <f>IFERROR(VLOOKUP(N1876,PROGRAMAS[],2,FALSE),0)</f>
        <v>7068496961.0436354</v>
      </c>
      <c r="AC1876" s="246">
        <f>IFERROR(VLOOKUP(O1876,PROGRAMAS[],2,FALSE),0)</f>
        <v>0</v>
      </c>
      <c r="AD1876" s="246">
        <f>IFERROR(VLOOKUP(P1876,PROGRAMAS[],2,FALSE),0)</f>
        <v>0</v>
      </c>
      <c r="AE1876" s="246">
        <f>IFERROR(VLOOKUP(Q1876,PROGRAMAS[],2,FALSE),0)</f>
        <v>0</v>
      </c>
      <c r="AF1876" s="246">
        <f>IFERROR(VLOOKUP(D1876,PROGRAMAS[],3,FALSE),0)</f>
        <v>841888629.31080008</v>
      </c>
      <c r="AG1876" s="246">
        <f>IFERROR(VLOOKUP(E1876,PROGRAMAS[],3,FALSE),0)</f>
        <v>3848980803.1642323</v>
      </c>
      <c r="AH1876" s="246">
        <f>IFERROR(VLOOKUP(F1876,PROGRAMAS[],3,FALSE),0)</f>
        <v>3394901471.387517</v>
      </c>
      <c r="AI1876" s="246">
        <f>IFERROR(VLOOKUP(G1876,PROGRAMAS[],3,FALSE),0)</f>
        <v>125317226.95549992</v>
      </c>
      <c r="AJ1876" s="246">
        <f>IFERROR(VLOOKUP(H1876,PROGRAMAS[],3,FALSE),0)</f>
        <v>1233505101.0616004</v>
      </c>
      <c r="AK1876" s="246">
        <f>IFERROR(VLOOKUP(I1876,PROGRAMAS[],3,FALSE),0)</f>
        <v>7011279577.519702</v>
      </c>
      <c r="AL1876" s="246">
        <f>IFERROR(VLOOKUP(J1876,PROGRAMAS[],3,FALSE),0)</f>
        <v>4099471734.9978786</v>
      </c>
      <c r="AM1876" s="246">
        <f>IFERROR(VLOOKUP(K1876,PROGRAMAS[],3,FALSE),0)</f>
        <v>675517840.109828</v>
      </c>
      <c r="AN1876" s="246">
        <f>IFERROR(VLOOKUP(L1876,PROGRAMAS[],3,FALSE),0)</f>
        <v>2392571243.5584412</v>
      </c>
      <c r="AO1876" s="246">
        <f>IFERROR(VLOOKUP(M1876,PROGRAMAS[],3,FALSE),0)</f>
        <v>118617452.52510804</v>
      </c>
      <c r="AP1876" s="246">
        <f>IFERROR(VLOOKUP(N1876,PROGRAMAS[],3,FALSE),0)</f>
        <v>2406564599.0319901</v>
      </c>
      <c r="AQ1876" s="246">
        <f>IFERROR(VLOOKUP(O1876,PROGRAMAS[],3,FALSE),0)</f>
        <v>0</v>
      </c>
      <c r="AR1876" s="246">
        <f>IFERROR(VLOOKUP(P1876,PROGRAMAS[],3,FALSE),0)</f>
        <v>0</v>
      </c>
      <c r="AS1876" s="246">
        <f>IFERROR(VLOOKUP(Q1876,PROGRAMAS[],3,FALSE),0)</f>
        <v>0</v>
      </c>
      <c r="AT1876" s="246">
        <f>IFERROR(VLOOKUP(D1876,VOL_REC[],2,FALSE),0)</f>
        <v>0</v>
      </c>
      <c r="AU1876" s="246">
        <f>IFERROR(VLOOKUP(E1876,VOL_REC[],2,FALSE),0)</f>
        <v>0</v>
      </c>
      <c r="AV1876" s="246">
        <f>IFERROR(VLOOKUP(F1876,VOL_REC[],2,FALSE),0)</f>
        <v>11089674.200000001</v>
      </c>
      <c r="AW1876" s="246">
        <f>IFERROR(VLOOKUP(G1876,VOL_REC[],2,FALSE),0)</f>
        <v>90439.55</v>
      </c>
      <c r="AX1876" s="246">
        <f>IFERROR(VLOOKUP(H1876,VOL_REC[],2,FALSE),0)</f>
        <v>4325103.1812214684</v>
      </c>
      <c r="AY1876" s="246">
        <f>IFERROR(VLOOKUP(I1876,VOL_REC[],2,FALSE),0)</f>
        <v>3761786</v>
      </c>
      <c r="AZ1876" s="246">
        <f>IFERROR(VLOOKUP(J1876,VOL_REC[],2,FALSE),0)</f>
        <v>1812240</v>
      </c>
      <c r="BA1876" s="246">
        <f>IFERROR(VLOOKUP(K1876,VOL_REC[],2,FALSE),0)</f>
        <v>240696.79238099116</v>
      </c>
      <c r="BB1876" s="246">
        <f>IFERROR(VLOOKUP(L1876,VOL_REC[],2,FALSE),0)</f>
        <v>663244.80000000016</v>
      </c>
      <c r="BC1876" s="246">
        <f>IFERROR(VLOOKUP(M1876,VOL_REC[],2,FALSE),0)</f>
        <v>105072</v>
      </c>
      <c r="BD1876" s="246">
        <f>IFERROR(VLOOKUP(N1876,VOL_REC[],2,FALSE),0)</f>
        <v>1072354.9981737854</v>
      </c>
      <c r="BE1876" s="246">
        <f>IFERROR(VLOOKUP(O1876,VOL_REC[],2,FALSE),0)</f>
        <v>0</v>
      </c>
      <c r="BF1876" s="246">
        <f>IFERROR(VLOOKUP(P1876,VOL_REC[],2,FALSE),0)</f>
        <v>0</v>
      </c>
      <c r="BG1876" s="246">
        <f>IFERROR(VLOOKUP(Q1876,VOL_REC[],2,FALSE),0)</f>
        <v>0</v>
      </c>
      <c r="BH1876" s="1710">
        <f t="shared" si="120"/>
        <v>27804393115.103477</v>
      </c>
      <c r="BI1876" s="1710">
        <f t="shared" si="121"/>
        <v>26148615679.622601</v>
      </c>
      <c r="BJ1876" s="1711">
        <f t="shared" si="122"/>
        <v>23160611.521776248</v>
      </c>
      <c r="BK1876" s="1711">
        <f t="shared" si="123"/>
        <v>1.0633218008849015</v>
      </c>
      <c r="BL1876">
        <f>BJ1876</f>
        <v>23160611.521776248</v>
      </c>
      <c r="BO1876">
        <f>BL1876</f>
        <v>23160611.521776248</v>
      </c>
    </row>
    <row r="1877" spans="3:67" x14ac:dyDescent="0.25">
      <c r="C1877" s="246" t="s">
        <v>3227</v>
      </c>
      <c r="D1877" s="246">
        <v>1</v>
      </c>
      <c r="E1877" s="246">
        <v>2</v>
      </c>
      <c r="F1877" s="246">
        <v>3</v>
      </c>
      <c r="G1877" s="246">
        <v>4</v>
      </c>
      <c r="H1877" s="246">
        <v>5</v>
      </c>
      <c r="I1877" s="246">
        <v>9</v>
      </c>
      <c r="J1877" s="246">
        <v>10</v>
      </c>
      <c r="K1877" s="246">
        <v>12</v>
      </c>
      <c r="L1877" s="246">
        <v>13</v>
      </c>
      <c r="M1877" s="246">
        <v>15</v>
      </c>
      <c r="N1877" s="246">
        <v>17</v>
      </c>
      <c r="O1877" s="246"/>
      <c r="P1877" s="246"/>
      <c r="Q1877" s="246"/>
      <c r="R1877" s="246">
        <f>IFERROR(VLOOKUP(D1877,PROGRAMAS[],2,FALSE),0)</f>
        <v>97037803.679377079</v>
      </c>
      <c r="S1877" s="246">
        <f>IFERROR(VLOOKUP(E1877,PROGRAMAS[],2,FALSE),0)</f>
        <v>640501509.6821388</v>
      </c>
      <c r="T1877" s="246">
        <f>IFERROR(VLOOKUP(F1877,PROGRAMAS[],2,FALSE),0)</f>
        <v>3062327798.1525245</v>
      </c>
      <c r="U1877" s="246">
        <f>IFERROR(VLOOKUP(G1877,PROGRAMAS[],2,FALSE),0)</f>
        <v>67697118.033011258</v>
      </c>
      <c r="V1877" s="246">
        <f>IFERROR(VLOOKUP(H1877,PROGRAMAS[],2,FALSE),0)</f>
        <v>1440941976.2528784</v>
      </c>
      <c r="W1877" s="246">
        <f>IFERROR(VLOOKUP(I1877,PROGRAMAS[],2,FALSE),0)</f>
        <v>6128579952.1618185</v>
      </c>
      <c r="X1877" s="246">
        <f>IFERROR(VLOOKUP(J1877,PROGRAMAS[],2,FALSE),0)</f>
        <v>4635315027.8751087</v>
      </c>
      <c r="Y1877" s="246">
        <f>IFERROR(VLOOKUP(K1877,PROGRAMAS[],2,FALSE),0)</f>
        <v>764796700.79905891</v>
      </c>
      <c r="Z1877" s="246">
        <f>IFERROR(VLOOKUP(L1877,PROGRAMAS[],2,FALSE),0)</f>
        <v>3776538594.4604583</v>
      </c>
      <c r="AA1877" s="246">
        <f>IFERROR(VLOOKUP(M1877,PROGRAMAS[],2,FALSE),0)</f>
        <v>122159672.96346797</v>
      </c>
      <c r="AB1877" s="246">
        <f>IFERROR(VLOOKUP(N1877,PROGRAMAS[],2,FALSE),0)</f>
        <v>1892779498.5211046</v>
      </c>
      <c r="AC1877" s="246">
        <f>IFERROR(VLOOKUP(O1877,PROGRAMAS[],2,FALSE),0)</f>
        <v>0</v>
      </c>
      <c r="AD1877" s="246">
        <f>IFERROR(VLOOKUP(P1877,PROGRAMAS[],2,FALSE),0)</f>
        <v>0</v>
      </c>
      <c r="AE1877" s="246">
        <f>IFERROR(VLOOKUP(Q1877,PROGRAMAS[],2,FALSE),0)</f>
        <v>0</v>
      </c>
      <c r="AF1877" s="246">
        <f>IFERROR(VLOOKUP(D1877,PROGRAMAS[],3,FALSE),0)</f>
        <v>841888629.31080008</v>
      </c>
      <c r="AG1877" s="246">
        <f>IFERROR(VLOOKUP(E1877,PROGRAMAS[],3,FALSE),0)</f>
        <v>3848980803.1642323</v>
      </c>
      <c r="AH1877" s="246">
        <f>IFERROR(VLOOKUP(F1877,PROGRAMAS[],3,FALSE),0)</f>
        <v>3394901471.387517</v>
      </c>
      <c r="AI1877" s="246">
        <f>IFERROR(VLOOKUP(G1877,PROGRAMAS[],3,FALSE),0)</f>
        <v>125317226.95549992</v>
      </c>
      <c r="AJ1877" s="246">
        <f>IFERROR(VLOOKUP(H1877,PROGRAMAS[],3,FALSE),0)</f>
        <v>1233505101.0616004</v>
      </c>
      <c r="AK1877" s="246">
        <f>IFERROR(VLOOKUP(I1877,PROGRAMAS[],3,FALSE),0)</f>
        <v>7011279577.519702</v>
      </c>
      <c r="AL1877" s="246">
        <f>IFERROR(VLOOKUP(J1877,PROGRAMAS[],3,FALSE),0)</f>
        <v>4099471734.9978786</v>
      </c>
      <c r="AM1877" s="246">
        <f>IFERROR(VLOOKUP(K1877,PROGRAMAS[],3,FALSE),0)</f>
        <v>675517840.109828</v>
      </c>
      <c r="AN1877" s="246">
        <f>IFERROR(VLOOKUP(L1877,PROGRAMAS[],3,FALSE),0)</f>
        <v>2392571243.5584412</v>
      </c>
      <c r="AO1877" s="246">
        <f>IFERROR(VLOOKUP(M1877,PROGRAMAS[],3,FALSE),0)</f>
        <v>118617452.52510804</v>
      </c>
      <c r="AP1877" s="246">
        <f>IFERROR(VLOOKUP(N1877,PROGRAMAS[],3,FALSE),0)</f>
        <v>948595847.09039903</v>
      </c>
      <c r="AQ1877" s="246">
        <f>IFERROR(VLOOKUP(O1877,PROGRAMAS[],3,FALSE),0)</f>
        <v>0</v>
      </c>
      <c r="AR1877" s="246">
        <f>IFERROR(VLOOKUP(P1877,PROGRAMAS[],3,FALSE),0)</f>
        <v>0</v>
      </c>
      <c r="AS1877" s="246">
        <f>IFERROR(VLOOKUP(Q1877,PROGRAMAS[],3,FALSE),0)</f>
        <v>0</v>
      </c>
      <c r="AT1877" s="246">
        <f>IFERROR(VLOOKUP(D1877,VOL_REC[],2,FALSE),0)</f>
        <v>0</v>
      </c>
      <c r="AU1877" s="246">
        <f>IFERROR(VLOOKUP(E1877,VOL_REC[],2,FALSE),0)</f>
        <v>0</v>
      </c>
      <c r="AV1877" s="246">
        <f>IFERROR(VLOOKUP(F1877,VOL_REC[],2,FALSE),0)</f>
        <v>11089674.200000001</v>
      </c>
      <c r="AW1877" s="246">
        <f>IFERROR(VLOOKUP(G1877,VOL_REC[],2,FALSE),0)</f>
        <v>90439.55</v>
      </c>
      <c r="AX1877" s="246">
        <f>IFERROR(VLOOKUP(H1877,VOL_REC[],2,FALSE),0)</f>
        <v>4325103.1812214684</v>
      </c>
      <c r="AY1877" s="246">
        <f>IFERROR(VLOOKUP(I1877,VOL_REC[],2,FALSE),0)</f>
        <v>3761786</v>
      </c>
      <c r="AZ1877" s="246">
        <f>IFERROR(VLOOKUP(J1877,VOL_REC[],2,FALSE),0)</f>
        <v>1812240</v>
      </c>
      <c r="BA1877" s="246">
        <f>IFERROR(VLOOKUP(K1877,VOL_REC[],2,FALSE),0)</f>
        <v>240696.79238099116</v>
      </c>
      <c r="BB1877" s="246">
        <f>IFERROR(VLOOKUP(L1877,VOL_REC[],2,FALSE),0)</f>
        <v>663244.80000000016</v>
      </c>
      <c r="BC1877" s="246">
        <f>IFERROR(VLOOKUP(M1877,VOL_REC[],2,FALSE),0)</f>
        <v>105072</v>
      </c>
      <c r="BD1877" s="246">
        <f>IFERROR(VLOOKUP(N1877,VOL_REC[],2,FALSE),0)</f>
        <v>740113.98115702497</v>
      </c>
      <c r="BE1877" s="246">
        <f>IFERROR(VLOOKUP(O1877,VOL_REC[],2,FALSE),0)</f>
        <v>0</v>
      </c>
      <c r="BF1877" s="246">
        <f>IFERROR(VLOOKUP(P1877,VOL_REC[],2,FALSE),0)</f>
        <v>0</v>
      </c>
      <c r="BG1877" s="246">
        <f>IFERROR(VLOOKUP(Q1877,VOL_REC[],2,FALSE),0)</f>
        <v>0</v>
      </c>
      <c r="BH1877" s="1710">
        <f t="shared" si="120"/>
        <v>22628675652.580944</v>
      </c>
      <c r="BI1877" s="1710">
        <f t="shared" si="121"/>
        <v>24690646927.681011</v>
      </c>
      <c r="BJ1877" s="1711">
        <f t="shared" si="122"/>
        <v>22828370.504759487</v>
      </c>
      <c r="BK1877" s="1711">
        <f t="shared" si="123"/>
        <v>0.9164877582535772</v>
      </c>
    </row>
    <row r="1878" spans="3:67" x14ac:dyDescent="0.25">
      <c r="C1878" s="246" t="s">
        <v>3228</v>
      </c>
      <c r="D1878" s="246">
        <v>1</v>
      </c>
      <c r="E1878" s="246">
        <v>2</v>
      </c>
      <c r="F1878" s="246">
        <v>3</v>
      </c>
      <c r="G1878" s="246">
        <v>4</v>
      </c>
      <c r="H1878" s="246">
        <v>5</v>
      </c>
      <c r="I1878" s="246">
        <v>9</v>
      </c>
      <c r="J1878" s="246">
        <v>10</v>
      </c>
      <c r="K1878" s="246">
        <v>12</v>
      </c>
      <c r="L1878" s="246">
        <v>13</v>
      </c>
      <c r="M1878" s="246">
        <v>16</v>
      </c>
      <c r="N1878" s="246">
        <v>17</v>
      </c>
      <c r="O1878" s="246"/>
      <c r="P1878" s="246"/>
      <c r="Q1878" s="246"/>
      <c r="R1878" s="246">
        <f>IFERROR(VLOOKUP(D1878,PROGRAMAS[],2,FALSE),0)</f>
        <v>97037803.679377079</v>
      </c>
      <c r="S1878" s="246">
        <f>IFERROR(VLOOKUP(E1878,PROGRAMAS[],2,FALSE),0)</f>
        <v>640501509.6821388</v>
      </c>
      <c r="T1878" s="246">
        <f>IFERROR(VLOOKUP(F1878,PROGRAMAS[],2,FALSE),0)</f>
        <v>3062327798.1525245</v>
      </c>
      <c r="U1878" s="246">
        <f>IFERROR(VLOOKUP(G1878,PROGRAMAS[],2,FALSE),0)</f>
        <v>67697118.033011258</v>
      </c>
      <c r="V1878" s="246">
        <f>IFERROR(VLOOKUP(H1878,PROGRAMAS[],2,FALSE),0)</f>
        <v>1440941976.2528784</v>
      </c>
      <c r="W1878" s="246">
        <f>IFERROR(VLOOKUP(I1878,PROGRAMAS[],2,FALSE),0)</f>
        <v>6128579952.1618185</v>
      </c>
      <c r="X1878" s="246">
        <f>IFERROR(VLOOKUP(J1878,PROGRAMAS[],2,FALSE),0)</f>
        <v>4635315027.8751087</v>
      </c>
      <c r="Y1878" s="246">
        <f>IFERROR(VLOOKUP(K1878,PROGRAMAS[],2,FALSE),0)</f>
        <v>764796700.79905891</v>
      </c>
      <c r="Z1878" s="246">
        <f>IFERROR(VLOOKUP(L1878,PROGRAMAS[],2,FALSE),0)</f>
        <v>3776538594.4604583</v>
      </c>
      <c r="AA1878" s="246">
        <f>IFERROR(VLOOKUP(M1878,PROGRAMAS[],2,FALSE),0)</f>
        <v>7068496961.0436354</v>
      </c>
      <c r="AB1878" s="246">
        <f>IFERROR(VLOOKUP(N1878,PROGRAMAS[],2,FALSE),0)</f>
        <v>1892779498.5211046</v>
      </c>
      <c r="AC1878" s="246">
        <f>IFERROR(VLOOKUP(O1878,PROGRAMAS[],2,FALSE),0)</f>
        <v>0</v>
      </c>
      <c r="AD1878" s="246">
        <f>IFERROR(VLOOKUP(P1878,PROGRAMAS[],2,FALSE),0)</f>
        <v>0</v>
      </c>
      <c r="AE1878" s="246">
        <f>IFERROR(VLOOKUP(Q1878,PROGRAMAS[],2,FALSE),0)</f>
        <v>0</v>
      </c>
      <c r="AF1878" s="246">
        <f>IFERROR(VLOOKUP(D1878,PROGRAMAS[],3,FALSE),0)</f>
        <v>841888629.31080008</v>
      </c>
      <c r="AG1878" s="246">
        <f>IFERROR(VLOOKUP(E1878,PROGRAMAS[],3,FALSE),0)</f>
        <v>3848980803.1642323</v>
      </c>
      <c r="AH1878" s="246">
        <f>IFERROR(VLOOKUP(F1878,PROGRAMAS[],3,FALSE),0)</f>
        <v>3394901471.387517</v>
      </c>
      <c r="AI1878" s="246">
        <f>IFERROR(VLOOKUP(G1878,PROGRAMAS[],3,FALSE),0)</f>
        <v>125317226.95549992</v>
      </c>
      <c r="AJ1878" s="246">
        <f>IFERROR(VLOOKUP(H1878,PROGRAMAS[],3,FALSE),0)</f>
        <v>1233505101.0616004</v>
      </c>
      <c r="AK1878" s="246">
        <f>IFERROR(VLOOKUP(I1878,PROGRAMAS[],3,FALSE),0)</f>
        <v>7011279577.519702</v>
      </c>
      <c r="AL1878" s="246">
        <f>IFERROR(VLOOKUP(J1878,PROGRAMAS[],3,FALSE),0)</f>
        <v>4099471734.9978786</v>
      </c>
      <c r="AM1878" s="246">
        <f>IFERROR(VLOOKUP(K1878,PROGRAMAS[],3,FALSE),0)</f>
        <v>675517840.109828</v>
      </c>
      <c r="AN1878" s="246">
        <f>IFERROR(VLOOKUP(L1878,PROGRAMAS[],3,FALSE),0)</f>
        <v>2392571243.5584412</v>
      </c>
      <c r="AO1878" s="246">
        <f>IFERROR(VLOOKUP(M1878,PROGRAMAS[],3,FALSE),0)</f>
        <v>2406564599.0319901</v>
      </c>
      <c r="AP1878" s="246">
        <f>IFERROR(VLOOKUP(N1878,PROGRAMAS[],3,FALSE),0)</f>
        <v>948595847.09039903</v>
      </c>
      <c r="AQ1878" s="246">
        <f>IFERROR(VLOOKUP(O1878,PROGRAMAS[],3,FALSE),0)</f>
        <v>0</v>
      </c>
      <c r="AR1878" s="246">
        <f>IFERROR(VLOOKUP(P1878,PROGRAMAS[],3,FALSE),0)</f>
        <v>0</v>
      </c>
      <c r="AS1878" s="246">
        <f>IFERROR(VLOOKUP(Q1878,PROGRAMAS[],3,FALSE),0)</f>
        <v>0</v>
      </c>
      <c r="AT1878" s="246">
        <f>IFERROR(VLOOKUP(D1878,VOL_REC[],2,FALSE),0)</f>
        <v>0</v>
      </c>
      <c r="AU1878" s="246">
        <f>IFERROR(VLOOKUP(E1878,VOL_REC[],2,FALSE),0)</f>
        <v>0</v>
      </c>
      <c r="AV1878" s="246">
        <f>IFERROR(VLOOKUP(F1878,VOL_REC[],2,FALSE),0)</f>
        <v>11089674.200000001</v>
      </c>
      <c r="AW1878" s="246">
        <f>IFERROR(VLOOKUP(G1878,VOL_REC[],2,FALSE),0)</f>
        <v>90439.55</v>
      </c>
      <c r="AX1878" s="246">
        <f>IFERROR(VLOOKUP(H1878,VOL_REC[],2,FALSE),0)</f>
        <v>4325103.1812214684</v>
      </c>
      <c r="AY1878" s="246">
        <f>IFERROR(VLOOKUP(I1878,VOL_REC[],2,FALSE),0)</f>
        <v>3761786</v>
      </c>
      <c r="AZ1878" s="246">
        <f>IFERROR(VLOOKUP(J1878,VOL_REC[],2,FALSE),0)</f>
        <v>1812240</v>
      </c>
      <c r="BA1878" s="246">
        <f>IFERROR(VLOOKUP(K1878,VOL_REC[],2,FALSE),0)</f>
        <v>240696.79238099116</v>
      </c>
      <c r="BB1878" s="246">
        <f>IFERROR(VLOOKUP(L1878,VOL_REC[],2,FALSE),0)</f>
        <v>663244.80000000016</v>
      </c>
      <c r="BC1878" s="246">
        <f>IFERROR(VLOOKUP(M1878,VOL_REC[],2,FALSE),0)</f>
        <v>1072354.9981737854</v>
      </c>
      <c r="BD1878" s="246">
        <f>IFERROR(VLOOKUP(N1878,VOL_REC[],2,FALSE),0)</f>
        <v>740113.98115702497</v>
      </c>
      <c r="BE1878" s="246">
        <f>IFERROR(VLOOKUP(O1878,VOL_REC[],2,FALSE),0)</f>
        <v>0</v>
      </c>
      <c r="BF1878" s="246">
        <f>IFERROR(VLOOKUP(P1878,VOL_REC[],2,FALSE),0)</f>
        <v>0</v>
      </c>
      <c r="BG1878" s="246">
        <f>IFERROR(VLOOKUP(Q1878,VOL_REC[],2,FALSE),0)</f>
        <v>0</v>
      </c>
      <c r="BH1878" s="1710">
        <f t="shared" si="120"/>
        <v>29575012940.661114</v>
      </c>
      <c r="BI1878" s="1710">
        <f t="shared" si="121"/>
        <v>26978594074.187893</v>
      </c>
      <c r="BJ1878" s="1711">
        <f t="shared" si="122"/>
        <v>23795653.502933271</v>
      </c>
      <c r="BK1878" s="1711">
        <f t="shared" si="123"/>
        <v>1.0962399619243828</v>
      </c>
      <c r="BL1878">
        <f>BJ1878</f>
        <v>23795653.502933271</v>
      </c>
      <c r="BO1878">
        <f>BL1878</f>
        <v>23795653.502933271</v>
      </c>
    </row>
    <row r="1879" spans="3:67" x14ac:dyDescent="0.25">
      <c r="C1879" s="246" t="s">
        <v>3229</v>
      </c>
      <c r="D1879" s="246">
        <v>1</v>
      </c>
      <c r="E1879" s="246">
        <v>2</v>
      </c>
      <c r="F1879" s="246">
        <v>3</v>
      </c>
      <c r="G1879" s="246">
        <v>4</v>
      </c>
      <c r="H1879" s="246">
        <v>5</v>
      </c>
      <c r="I1879" s="246">
        <v>9</v>
      </c>
      <c r="J1879" s="246">
        <v>10</v>
      </c>
      <c r="K1879" s="246">
        <v>12</v>
      </c>
      <c r="L1879" s="246">
        <v>14</v>
      </c>
      <c r="M1879" s="246">
        <v>15</v>
      </c>
      <c r="N1879" s="246">
        <v>16</v>
      </c>
      <c r="O1879" s="246"/>
      <c r="P1879" s="246"/>
      <c r="Q1879" s="246"/>
      <c r="R1879" s="246">
        <f>IFERROR(VLOOKUP(D1879,PROGRAMAS[],2,FALSE),0)</f>
        <v>97037803.679377079</v>
      </c>
      <c r="S1879" s="246">
        <f>IFERROR(VLOOKUP(E1879,PROGRAMAS[],2,FALSE),0)</f>
        <v>640501509.6821388</v>
      </c>
      <c r="T1879" s="246">
        <f>IFERROR(VLOOKUP(F1879,PROGRAMAS[],2,FALSE),0)</f>
        <v>3062327798.1525245</v>
      </c>
      <c r="U1879" s="246">
        <f>IFERROR(VLOOKUP(G1879,PROGRAMAS[],2,FALSE),0)</f>
        <v>67697118.033011258</v>
      </c>
      <c r="V1879" s="246">
        <f>IFERROR(VLOOKUP(H1879,PROGRAMAS[],2,FALSE),0)</f>
        <v>1440941976.2528784</v>
      </c>
      <c r="W1879" s="246">
        <f>IFERROR(VLOOKUP(I1879,PROGRAMAS[],2,FALSE),0)</f>
        <v>6128579952.1618185</v>
      </c>
      <c r="X1879" s="246">
        <f>IFERROR(VLOOKUP(J1879,PROGRAMAS[],2,FALSE),0)</f>
        <v>4635315027.8751087</v>
      </c>
      <c r="Y1879" s="246">
        <f>IFERROR(VLOOKUP(K1879,PROGRAMAS[],2,FALSE),0)</f>
        <v>764796700.79905891</v>
      </c>
      <c r="Z1879" s="246">
        <f>IFERROR(VLOOKUP(L1879,PROGRAMAS[],2,FALSE),0)</f>
        <v>54223862.645839565</v>
      </c>
      <c r="AA1879" s="246">
        <f>IFERROR(VLOOKUP(M1879,PROGRAMAS[],2,FALSE),0)</f>
        <v>122159672.96346797</v>
      </c>
      <c r="AB1879" s="246">
        <f>IFERROR(VLOOKUP(N1879,PROGRAMAS[],2,FALSE),0)</f>
        <v>7068496961.0436354</v>
      </c>
      <c r="AC1879" s="246">
        <f>IFERROR(VLOOKUP(O1879,PROGRAMAS[],2,FALSE),0)</f>
        <v>0</v>
      </c>
      <c r="AD1879" s="246">
        <f>IFERROR(VLOOKUP(P1879,PROGRAMAS[],2,FALSE),0)</f>
        <v>0</v>
      </c>
      <c r="AE1879" s="246">
        <f>IFERROR(VLOOKUP(Q1879,PROGRAMAS[],2,FALSE),0)</f>
        <v>0</v>
      </c>
      <c r="AF1879" s="246">
        <f>IFERROR(VLOOKUP(D1879,PROGRAMAS[],3,FALSE),0)</f>
        <v>841888629.31080008</v>
      </c>
      <c r="AG1879" s="246">
        <f>IFERROR(VLOOKUP(E1879,PROGRAMAS[],3,FALSE),0)</f>
        <v>3848980803.1642323</v>
      </c>
      <c r="AH1879" s="246">
        <f>IFERROR(VLOOKUP(F1879,PROGRAMAS[],3,FALSE),0)</f>
        <v>3394901471.387517</v>
      </c>
      <c r="AI1879" s="246">
        <f>IFERROR(VLOOKUP(G1879,PROGRAMAS[],3,FALSE),0)</f>
        <v>125317226.95549992</v>
      </c>
      <c r="AJ1879" s="246">
        <f>IFERROR(VLOOKUP(H1879,PROGRAMAS[],3,FALSE),0)</f>
        <v>1233505101.0616004</v>
      </c>
      <c r="AK1879" s="246">
        <f>IFERROR(VLOOKUP(I1879,PROGRAMAS[],3,FALSE),0)</f>
        <v>7011279577.519702</v>
      </c>
      <c r="AL1879" s="246">
        <f>IFERROR(VLOOKUP(J1879,PROGRAMAS[],3,FALSE),0)</f>
        <v>4099471734.9978786</v>
      </c>
      <c r="AM1879" s="246">
        <f>IFERROR(VLOOKUP(K1879,PROGRAMAS[],3,FALSE),0)</f>
        <v>675517840.109828</v>
      </c>
      <c r="AN1879" s="246">
        <f>IFERROR(VLOOKUP(L1879,PROGRAMAS[],3,FALSE),0)</f>
        <v>31865326.38096505</v>
      </c>
      <c r="AO1879" s="246">
        <f>IFERROR(VLOOKUP(M1879,PROGRAMAS[],3,FALSE),0)</f>
        <v>118617452.52510804</v>
      </c>
      <c r="AP1879" s="246">
        <f>IFERROR(VLOOKUP(N1879,PROGRAMAS[],3,FALSE),0)</f>
        <v>2406564599.0319901</v>
      </c>
      <c r="AQ1879" s="246">
        <f>IFERROR(VLOOKUP(O1879,PROGRAMAS[],3,FALSE),0)</f>
        <v>0</v>
      </c>
      <c r="AR1879" s="246">
        <f>IFERROR(VLOOKUP(P1879,PROGRAMAS[],3,FALSE),0)</f>
        <v>0</v>
      </c>
      <c r="AS1879" s="246">
        <f>IFERROR(VLOOKUP(Q1879,PROGRAMAS[],3,FALSE),0)</f>
        <v>0</v>
      </c>
      <c r="AT1879" s="246">
        <f>IFERROR(VLOOKUP(D1879,VOL_REC[],2,FALSE),0)</f>
        <v>0</v>
      </c>
      <c r="AU1879" s="246">
        <f>IFERROR(VLOOKUP(E1879,VOL_REC[],2,FALSE),0)</f>
        <v>0</v>
      </c>
      <c r="AV1879" s="246">
        <f>IFERROR(VLOOKUP(F1879,VOL_REC[],2,FALSE),0)</f>
        <v>11089674.200000001</v>
      </c>
      <c r="AW1879" s="246">
        <f>IFERROR(VLOOKUP(G1879,VOL_REC[],2,FALSE),0)</f>
        <v>90439.55</v>
      </c>
      <c r="AX1879" s="246">
        <f>IFERROR(VLOOKUP(H1879,VOL_REC[],2,FALSE),0)</f>
        <v>4325103.1812214684</v>
      </c>
      <c r="AY1879" s="246">
        <f>IFERROR(VLOOKUP(I1879,VOL_REC[],2,FALSE),0)</f>
        <v>3761786</v>
      </c>
      <c r="AZ1879" s="246">
        <f>IFERROR(VLOOKUP(J1879,VOL_REC[],2,FALSE),0)</f>
        <v>1812240</v>
      </c>
      <c r="BA1879" s="246">
        <f>IFERROR(VLOOKUP(K1879,VOL_REC[],2,FALSE),0)</f>
        <v>240696.79238099116</v>
      </c>
      <c r="BB1879" s="246">
        <f>IFERROR(VLOOKUP(L1879,VOL_REC[],2,FALSE),0)</f>
        <v>17074.045034105649</v>
      </c>
      <c r="BC1879" s="246">
        <f>IFERROR(VLOOKUP(M1879,VOL_REC[],2,FALSE),0)</f>
        <v>105072</v>
      </c>
      <c r="BD1879" s="246">
        <f>IFERROR(VLOOKUP(N1879,VOL_REC[],2,FALSE),0)</f>
        <v>1072354.9981737854</v>
      </c>
      <c r="BE1879" s="246">
        <f>IFERROR(VLOOKUP(O1879,VOL_REC[],2,FALSE),0)</f>
        <v>0</v>
      </c>
      <c r="BF1879" s="246">
        <f>IFERROR(VLOOKUP(P1879,VOL_REC[],2,FALSE),0)</f>
        <v>0</v>
      </c>
      <c r="BG1879" s="246">
        <f>IFERROR(VLOOKUP(Q1879,VOL_REC[],2,FALSE),0)</f>
        <v>0</v>
      </c>
      <c r="BH1879" s="1710">
        <f t="shared" si="120"/>
        <v>24082078383.28886</v>
      </c>
      <c r="BI1879" s="1710">
        <f t="shared" si="121"/>
        <v>23787909762.445126</v>
      </c>
      <c r="BJ1879" s="1711">
        <f t="shared" si="122"/>
        <v>22514440.766810354</v>
      </c>
      <c r="BK1879" s="1711">
        <f t="shared" si="123"/>
        <v>1.0123663080859735</v>
      </c>
      <c r="BL1879">
        <f>BJ1879</f>
        <v>22514440.766810354</v>
      </c>
      <c r="BO1879">
        <f>BL1879</f>
        <v>22514440.766810354</v>
      </c>
    </row>
    <row r="1880" spans="3:67" x14ac:dyDescent="0.25">
      <c r="C1880" s="246" t="s">
        <v>3230</v>
      </c>
      <c r="D1880" s="246">
        <v>1</v>
      </c>
      <c r="E1880" s="246">
        <v>2</v>
      </c>
      <c r="F1880" s="246">
        <v>3</v>
      </c>
      <c r="G1880" s="246">
        <v>4</v>
      </c>
      <c r="H1880" s="246">
        <v>5</v>
      </c>
      <c r="I1880" s="246">
        <v>9</v>
      </c>
      <c r="J1880" s="246">
        <v>10</v>
      </c>
      <c r="K1880" s="246">
        <v>12</v>
      </c>
      <c r="L1880" s="246">
        <v>14</v>
      </c>
      <c r="M1880" s="246">
        <v>15</v>
      </c>
      <c r="N1880" s="246">
        <v>17</v>
      </c>
      <c r="O1880" s="246"/>
      <c r="P1880" s="246"/>
      <c r="Q1880" s="246"/>
      <c r="R1880" s="246">
        <f>IFERROR(VLOOKUP(D1880,PROGRAMAS[],2,FALSE),0)</f>
        <v>97037803.679377079</v>
      </c>
      <c r="S1880" s="246">
        <f>IFERROR(VLOOKUP(E1880,PROGRAMAS[],2,FALSE),0)</f>
        <v>640501509.6821388</v>
      </c>
      <c r="T1880" s="246">
        <f>IFERROR(VLOOKUP(F1880,PROGRAMAS[],2,FALSE),0)</f>
        <v>3062327798.1525245</v>
      </c>
      <c r="U1880" s="246">
        <f>IFERROR(VLOOKUP(G1880,PROGRAMAS[],2,FALSE),0)</f>
        <v>67697118.033011258</v>
      </c>
      <c r="V1880" s="246">
        <f>IFERROR(VLOOKUP(H1880,PROGRAMAS[],2,FALSE),0)</f>
        <v>1440941976.2528784</v>
      </c>
      <c r="W1880" s="246">
        <f>IFERROR(VLOOKUP(I1880,PROGRAMAS[],2,FALSE),0)</f>
        <v>6128579952.1618185</v>
      </c>
      <c r="X1880" s="246">
        <f>IFERROR(VLOOKUP(J1880,PROGRAMAS[],2,FALSE),0)</f>
        <v>4635315027.8751087</v>
      </c>
      <c r="Y1880" s="246">
        <f>IFERROR(VLOOKUP(K1880,PROGRAMAS[],2,FALSE),0)</f>
        <v>764796700.79905891</v>
      </c>
      <c r="Z1880" s="246">
        <f>IFERROR(VLOOKUP(L1880,PROGRAMAS[],2,FALSE),0)</f>
        <v>54223862.645839565</v>
      </c>
      <c r="AA1880" s="246">
        <f>IFERROR(VLOOKUP(M1880,PROGRAMAS[],2,FALSE),0)</f>
        <v>122159672.96346797</v>
      </c>
      <c r="AB1880" s="246">
        <f>IFERROR(VLOOKUP(N1880,PROGRAMAS[],2,FALSE),0)</f>
        <v>1892779498.5211046</v>
      </c>
      <c r="AC1880" s="246">
        <f>IFERROR(VLOOKUP(O1880,PROGRAMAS[],2,FALSE),0)</f>
        <v>0</v>
      </c>
      <c r="AD1880" s="246">
        <f>IFERROR(VLOOKUP(P1880,PROGRAMAS[],2,FALSE),0)</f>
        <v>0</v>
      </c>
      <c r="AE1880" s="246">
        <f>IFERROR(VLOOKUP(Q1880,PROGRAMAS[],2,FALSE),0)</f>
        <v>0</v>
      </c>
      <c r="AF1880" s="246">
        <f>IFERROR(VLOOKUP(D1880,PROGRAMAS[],3,FALSE),0)</f>
        <v>841888629.31080008</v>
      </c>
      <c r="AG1880" s="246">
        <f>IFERROR(VLOOKUP(E1880,PROGRAMAS[],3,FALSE),0)</f>
        <v>3848980803.1642323</v>
      </c>
      <c r="AH1880" s="246">
        <f>IFERROR(VLOOKUP(F1880,PROGRAMAS[],3,FALSE),0)</f>
        <v>3394901471.387517</v>
      </c>
      <c r="AI1880" s="246">
        <f>IFERROR(VLOOKUP(G1880,PROGRAMAS[],3,FALSE),0)</f>
        <v>125317226.95549992</v>
      </c>
      <c r="AJ1880" s="246">
        <f>IFERROR(VLOOKUP(H1880,PROGRAMAS[],3,FALSE),0)</f>
        <v>1233505101.0616004</v>
      </c>
      <c r="AK1880" s="246">
        <f>IFERROR(VLOOKUP(I1880,PROGRAMAS[],3,FALSE),0)</f>
        <v>7011279577.519702</v>
      </c>
      <c r="AL1880" s="246">
        <f>IFERROR(VLOOKUP(J1880,PROGRAMAS[],3,FALSE),0)</f>
        <v>4099471734.9978786</v>
      </c>
      <c r="AM1880" s="246">
        <f>IFERROR(VLOOKUP(K1880,PROGRAMAS[],3,FALSE),0)</f>
        <v>675517840.109828</v>
      </c>
      <c r="AN1880" s="246">
        <f>IFERROR(VLOOKUP(L1880,PROGRAMAS[],3,FALSE),0)</f>
        <v>31865326.38096505</v>
      </c>
      <c r="AO1880" s="246">
        <f>IFERROR(VLOOKUP(M1880,PROGRAMAS[],3,FALSE),0)</f>
        <v>118617452.52510804</v>
      </c>
      <c r="AP1880" s="246">
        <f>IFERROR(VLOOKUP(N1880,PROGRAMAS[],3,FALSE),0)</f>
        <v>948595847.09039903</v>
      </c>
      <c r="AQ1880" s="246">
        <f>IFERROR(VLOOKUP(O1880,PROGRAMAS[],3,FALSE),0)</f>
        <v>0</v>
      </c>
      <c r="AR1880" s="246">
        <f>IFERROR(VLOOKUP(P1880,PROGRAMAS[],3,FALSE),0)</f>
        <v>0</v>
      </c>
      <c r="AS1880" s="246">
        <f>IFERROR(VLOOKUP(Q1880,PROGRAMAS[],3,FALSE),0)</f>
        <v>0</v>
      </c>
      <c r="AT1880" s="246">
        <f>IFERROR(VLOOKUP(D1880,VOL_REC[],2,FALSE),0)</f>
        <v>0</v>
      </c>
      <c r="AU1880" s="246">
        <f>IFERROR(VLOOKUP(E1880,VOL_REC[],2,FALSE),0)</f>
        <v>0</v>
      </c>
      <c r="AV1880" s="246">
        <f>IFERROR(VLOOKUP(F1880,VOL_REC[],2,FALSE),0)</f>
        <v>11089674.200000001</v>
      </c>
      <c r="AW1880" s="246">
        <f>IFERROR(VLOOKUP(G1880,VOL_REC[],2,FALSE),0)</f>
        <v>90439.55</v>
      </c>
      <c r="AX1880" s="246">
        <f>IFERROR(VLOOKUP(H1880,VOL_REC[],2,FALSE),0)</f>
        <v>4325103.1812214684</v>
      </c>
      <c r="AY1880" s="246">
        <f>IFERROR(VLOOKUP(I1880,VOL_REC[],2,FALSE),0)</f>
        <v>3761786</v>
      </c>
      <c r="AZ1880" s="246">
        <f>IFERROR(VLOOKUP(J1880,VOL_REC[],2,FALSE),0)</f>
        <v>1812240</v>
      </c>
      <c r="BA1880" s="246">
        <f>IFERROR(VLOOKUP(K1880,VOL_REC[],2,FALSE),0)</f>
        <v>240696.79238099116</v>
      </c>
      <c r="BB1880" s="246">
        <f>IFERROR(VLOOKUP(L1880,VOL_REC[],2,FALSE),0)</f>
        <v>17074.045034105649</v>
      </c>
      <c r="BC1880" s="246">
        <f>IFERROR(VLOOKUP(M1880,VOL_REC[],2,FALSE),0)</f>
        <v>105072</v>
      </c>
      <c r="BD1880" s="246">
        <f>IFERROR(VLOOKUP(N1880,VOL_REC[],2,FALSE),0)</f>
        <v>740113.98115702497</v>
      </c>
      <c r="BE1880" s="246">
        <f>IFERROR(VLOOKUP(O1880,VOL_REC[],2,FALSE),0)</f>
        <v>0</v>
      </c>
      <c r="BF1880" s="246">
        <f>IFERROR(VLOOKUP(P1880,VOL_REC[],2,FALSE),0)</f>
        <v>0</v>
      </c>
      <c r="BG1880" s="246">
        <f>IFERROR(VLOOKUP(Q1880,VOL_REC[],2,FALSE),0)</f>
        <v>0</v>
      </c>
      <c r="BH1880" s="1710">
        <f t="shared" si="120"/>
        <v>18906360920.766331</v>
      </c>
      <c r="BI1880" s="1710">
        <f t="shared" si="121"/>
        <v>22329941010.503536</v>
      </c>
      <c r="BJ1880" s="1711">
        <f t="shared" si="122"/>
        <v>22182199.749793593</v>
      </c>
      <c r="BK1880" s="1711">
        <f t="shared" si="123"/>
        <v>0.8466820808829354</v>
      </c>
    </row>
    <row r="1881" spans="3:67" x14ac:dyDescent="0.25">
      <c r="C1881" s="246" t="s">
        <v>3231</v>
      </c>
      <c r="D1881" s="246">
        <v>1</v>
      </c>
      <c r="E1881" s="246">
        <v>2</v>
      </c>
      <c r="F1881" s="246">
        <v>3</v>
      </c>
      <c r="G1881" s="246">
        <v>4</v>
      </c>
      <c r="H1881" s="246">
        <v>5</v>
      </c>
      <c r="I1881" s="246">
        <v>9</v>
      </c>
      <c r="J1881" s="246">
        <v>10</v>
      </c>
      <c r="K1881" s="246">
        <v>12</v>
      </c>
      <c r="L1881" s="246">
        <v>14</v>
      </c>
      <c r="M1881" s="246">
        <v>16</v>
      </c>
      <c r="N1881" s="246">
        <v>17</v>
      </c>
      <c r="O1881" s="246"/>
      <c r="P1881" s="246"/>
      <c r="Q1881" s="246"/>
      <c r="R1881" s="246">
        <f>IFERROR(VLOOKUP(D1881,PROGRAMAS[],2,FALSE),0)</f>
        <v>97037803.679377079</v>
      </c>
      <c r="S1881" s="246">
        <f>IFERROR(VLOOKUP(E1881,PROGRAMAS[],2,FALSE),0)</f>
        <v>640501509.6821388</v>
      </c>
      <c r="T1881" s="246">
        <f>IFERROR(VLOOKUP(F1881,PROGRAMAS[],2,FALSE),0)</f>
        <v>3062327798.1525245</v>
      </c>
      <c r="U1881" s="246">
        <f>IFERROR(VLOOKUP(G1881,PROGRAMAS[],2,FALSE),0)</f>
        <v>67697118.033011258</v>
      </c>
      <c r="V1881" s="246">
        <f>IFERROR(VLOOKUP(H1881,PROGRAMAS[],2,FALSE),0)</f>
        <v>1440941976.2528784</v>
      </c>
      <c r="W1881" s="246">
        <f>IFERROR(VLOOKUP(I1881,PROGRAMAS[],2,FALSE),0)</f>
        <v>6128579952.1618185</v>
      </c>
      <c r="X1881" s="246">
        <f>IFERROR(VLOOKUP(J1881,PROGRAMAS[],2,FALSE),0)</f>
        <v>4635315027.8751087</v>
      </c>
      <c r="Y1881" s="246">
        <f>IFERROR(VLOOKUP(K1881,PROGRAMAS[],2,FALSE),0)</f>
        <v>764796700.79905891</v>
      </c>
      <c r="Z1881" s="246">
        <f>IFERROR(VLOOKUP(L1881,PROGRAMAS[],2,FALSE),0)</f>
        <v>54223862.645839565</v>
      </c>
      <c r="AA1881" s="246">
        <f>IFERROR(VLOOKUP(M1881,PROGRAMAS[],2,FALSE),0)</f>
        <v>7068496961.0436354</v>
      </c>
      <c r="AB1881" s="246">
        <f>IFERROR(VLOOKUP(N1881,PROGRAMAS[],2,FALSE),0)</f>
        <v>1892779498.5211046</v>
      </c>
      <c r="AC1881" s="246">
        <f>IFERROR(VLOOKUP(O1881,PROGRAMAS[],2,FALSE),0)</f>
        <v>0</v>
      </c>
      <c r="AD1881" s="246">
        <f>IFERROR(VLOOKUP(P1881,PROGRAMAS[],2,FALSE),0)</f>
        <v>0</v>
      </c>
      <c r="AE1881" s="246">
        <f>IFERROR(VLOOKUP(Q1881,PROGRAMAS[],2,FALSE),0)</f>
        <v>0</v>
      </c>
      <c r="AF1881" s="246">
        <f>IFERROR(VLOOKUP(D1881,PROGRAMAS[],3,FALSE),0)</f>
        <v>841888629.31080008</v>
      </c>
      <c r="AG1881" s="246">
        <f>IFERROR(VLOOKUP(E1881,PROGRAMAS[],3,FALSE),0)</f>
        <v>3848980803.1642323</v>
      </c>
      <c r="AH1881" s="246">
        <f>IFERROR(VLOOKUP(F1881,PROGRAMAS[],3,FALSE),0)</f>
        <v>3394901471.387517</v>
      </c>
      <c r="AI1881" s="246">
        <f>IFERROR(VLOOKUP(G1881,PROGRAMAS[],3,FALSE),0)</f>
        <v>125317226.95549992</v>
      </c>
      <c r="AJ1881" s="246">
        <f>IFERROR(VLOOKUP(H1881,PROGRAMAS[],3,FALSE),0)</f>
        <v>1233505101.0616004</v>
      </c>
      <c r="AK1881" s="246">
        <f>IFERROR(VLOOKUP(I1881,PROGRAMAS[],3,FALSE),0)</f>
        <v>7011279577.519702</v>
      </c>
      <c r="AL1881" s="246">
        <f>IFERROR(VLOOKUP(J1881,PROGRAMAS[],3,FALSE),0)</f>
        <v>4099471734.9978786</v>
      </c>
      <c r="AM1881" s="246">
        <f>IFERROR(VLOOKUP(K1881,PROGRAMAS[],3,FALSE),0)</f>
        <v>675517840.109828</v>
      </c>
      <c r="AN1881" s="246">
        <f>IFERROR(VLOOKUP(L1881,PROGRAMAS[],3,FALSE),0)</f>
        <v>31865326.38096505</v>
      </c>
      <c r="AO1881" s="246">
        <f>IFERROR(VLOOKUP(M1881,PROGRAMAS[],3,FALSE),0)</f>
        <v>2406564599.0319901</v>
      </c>
      <c r="AP1881" s="246">
        <f>IFERROR(VLOOKUP(N1881,PROGRAMAS[],3,FALSE),0)</f>
        <v>948595847.09039903</v>
      </c>
      <c r="AQ1881" s="246">
        <f>IFERROR(VLOOKUP(O1881,PROGRAMAS[],3,FALSE),0)</f>
        <v>0</v>
      </c>
      <c r="AR1881" s="246">
        <f>IFERROR(VLOOKUP(P1881,PROGRAMAS[],3,FALSE),0)</f>
        <v>0</v>
      </c>
      <c r="AS1881" s="246">
        <f>IFERROR(VLOOKUP(Q1881,PROGRAMAS[],3,FALSE),0)</f>
        <v>0</v>
      </c>
      <c r="AT1881" s="246">
        <f>IFERROR(VLOOKUP(D1881,VOL_REC[],2,FALSE),0)</f>
        <v>0</v>
      </c>
      <c r="AU1881" s="246">
        <f>IFERROR(VLOOKUP(E1881,VOL_REC[],2,FALSE),0)</f>
        <v>0</v>
      </c>
      <c r="AV1881" s="246">
        <f>IFERROR(VLOOKUP(F1881,VOL_REC[],2,FALSE),0)</f>
        <v>11089674.200000001</v>
      </c>
      <c r="AW1881" s="246">
        <f>IFERROR(VLOOKUP(G1881,VOL_REC[],2,FALSE),0)</f>
        <v>90439.55</v>
      </c>
      <c r="AX1881" s="246">
        <f>IFERROR(VLOOKUP(H1881,VOL_REC[],2,FALSE),0)</f>
        <v>4325103.1812214684</v>
      </c>
      <c r="AY1881" s="246">
        <f>IFERROR(VLOOKUP(I1881,VOL_REC[],2,FALSE),0)</f>
        <v>3761786</v>
      </c>
      <c r="AZ1881" s="246">
        <f>IFERROR(VLOOKUP(J1881,VOL_REC[],2,FALSE),0)</f>
        <v>1812240</v>
      </c>
      <c r="BA1881" s="246">
        <f>IFERROR(VLOOKUP(K1881,VOL_REC[],2,FALSE),0)</f>
        <v>240696.79238099116</v>
      </c>
      <c r="BB1881" s="246">
        <f>IFERROR(VLOOKUP(L1881,VOL_REC[],2,FALSE),0)</f>
        <v>17074.045034105649</v>
      </c>
      <c r="BC1881" s="246">
        <f>IFERROR(VLOOKUP(M1881,VOL_REC[],2,FALSE),0)</f>
        <v>1072354.9981737854</v>
      </c>
      <c r="BD1881" s="246">
        <f>IFERROR(VLOOKUP(N1881,VOL_REC[],2,FALSE),0)</f>
        <v>740113.98115702497</v>
      </c>
      <c r="BE1881" s="246">
        <f>IFERROR(VLOOKUP(O1881,VOL_REC[],2,FALSE),0)</f>
        <v>0</v>
      </c>
      <c r="BF1881" s="246">
        <f>IFERROR(VLOOKUP(P1881,VOL_REC[],2,FALSE),0)</f>
        <v>0</v>
      </c>
      <c r="BG1881" s="246">
        <f>IFERROR(VLOOKUP(Q1881,VOL_REC[],2,FALSE),0)</f>
        <v>0</v>
      </c>
      <c r="BH1881" s="1710">
        <f t="shared" si="120"/>
        <v>25852698208.846497</v>
      </c>
      <c r="BI1881" s="1710">
        <f t="shared" si="121"/>
        <v>24617888157.010418</v>
      </c>
      <c r="BJ1881" s="1711">
        <f t="shared" si="122"/>
        <v>23149482.747967377</v>
      </c>
      <c r="BK1881" s="1711">
        <f t="shared" si="123"/>
        <v>1.050159056859816</v>
      </c>
      <c r="BL1881">
        <f>BJ1881</f>
        <v>23149482.747967377</v>
      </c>
      <c r="BO1881">
        <f>BL1881</f>
        <v>23149482.747967377</v>
      </c>
    </row>
    <row r="1882" spans="3:67" x14ac:dyDescent="0.25">
      <c r="C1882" s="246" t="s">
        <v>3232</v>
      </c>
      <c r="D1882" s="246">
        <v>1</v>
      </c>
      <c r="E1882" s="246">
        <v>2</v>
      </c>
      <c r="F1882" s="246">
        <v>3</v>
      </c>
      <c r="G1882" s="246">
        <v>4</v>
      </c>
      <c r="H1882" s="246">
        <v>5</v>
      </c>
      <c r="I1882" s="246">
        <v>9</v>
      </c>
      <c r="J1882" s="246">
        <v>10</v>
      </c>
      <c r="K1882" s="246">
        <v>12</v>
      </c>
      <c r="L1882" s="246">
        <v>15</v>
      </c>
      <c r="M1882" s="246">
        <v>16</v>
      </c>
      <c r="N1882" s="246">
        <v>17</v>
      </c>
      <c r="O1882" s="246"/>
      <c r="P1882" s="246"/>
      <c r="Q1882" s="246"/>
      <c r="R1882" s="246">
        <f>IFERROR(VLOOKUP(D1882,PROGRAMAS[],2,FALSE),0)</f>
        <v>97037803.679377079</v>
      </c>
      <c r="S1882" s="246">
        <f>IFERROR(VLOOKUP(E1882,PROGRAMAS[],2,FALSE),0)</f>
        <v>640501509.6821388</v>
      </c>
      <c r="T1882" s="246">
        <f>IFERROR(VLOOKUP(F1882,PROGRAMAS[],2,FALSE),0)</f>
        <v>3062327798.1525245</v>
      </c>
      <c r="U1882" s="246">
        <f>IFERROR(VLOOKUP(G1882,PROGRAMAS[],2,FALSE),0)</f>
        <v>67697118.033011258</v>
      </c>
      <c r="V1882" s="246">
        <f>IFERROR(VLOOKUP(H1882,PROGRAMAS[],2,FALSE),0)</f>
        <v>1440941976.2528784</v>
      </c>
      <c r="W1882" s="246">
        <f>IFERROR(VLOOKUP(I1882,PROGRAMAS[],2,FALSE),0)</f>
        <v>6128579952.1618185</v>
      </c>
      <c r="X1882" s="246">
        <f>IFERROR(VLOOKUP(J1882,PROGRAMAS[],2,FALSE),0)</f>
        <v>4635315027.8751087</v>
      </c>
      <c r="Y1882" s="246">
        <f>IFERROR(VLOOKUP(K1882,PROGRAMAS[],2,FALSE),0)</f>
        <v>764796700.79905891</v>
      </c>
      <c r="Z1882" s="246">
        <f>IFERROR(VLOOKUP(L1882,PROGRAMAS[],2,FALSE),0)</f>
        <v>122159672.96346797</v>
      </c>
      <c r="AA1882" s="246">
        <f>IFERROR(VLOOKUP(M1882,PROGRAMAS[],2,FALSE),0)</f>
        <v>7068496961.0436354</v>
      </c>
      <c r="AB1882" s="246">
        <f>IFERROR(VLOOKUP(N1882,PROGRAMAS[],2,FALSE),0)</f>
        <v>1892779498.5211046</v>
      </c>
      <c r="AC1882" s="246">
        <f>IFERROR(VLOOKUP(O1882,PROGRAMAS[],2,FALSE),0)</f>
        <v>0</v>
      </c>
      <c r="AD1882" s="246">
        <f>IFERROR(VLOOKUP(P1882,PROGRAMAS[],2,FALSE),0)</f>
        <v>0</v>
      </c>
      <c r="AE1882" s="246">
        <f>IFERROR(VLOOKUP(Q1882,PROGRAMAS[],2,FALSE),0)</f>
        <v>0</v>
      </c>
      <c r="AF1882" s="246">
        <f>IFERROR(VLOOKUP(D1882,PROGRAMAS[],3,FALSE),0)</f>
        <v>841888629.31080008</v>
      </c>
      <c r="AG1882" s="246">
        <f>IFERROR(VLOOKUP(E1882,PROGRAMAS[],3,FALSE),0)</f>
        <v>3848980803.1642323</v>
      </c>
      <c r="AH1882" s="246">
        <f>IFERROR(VLOOKUP(F1882,PROGRAMAS[],3,FALSE),0)</f>
        <v>3394901471.387517</v>
      </c>
      <c r="AI1882" s="246">
        <f>IFERROR(VLOOKUP(G1882,PROGRAMAS[],3,FALSE),0)</f>
        <v>125317226.95549992</v>
      </c>
      <c r="AJ1882" s="246">
        <f>IFERROR(VLOOKUP(H1882,PROGRAMAS[],3,FALSE),0)</f>
        <v>1233505101.0616004</v>
      </c>
      <c r="AK1882" s="246">
        <f>IFERROR(VLOOKUP(I1882,PROGRAMAS[],3,FALSE),0)</f>
        <v>7011279577.519702</v>
      </c>
      <c r="AL1882" s="246">
        <f>IFERROR(VLOOKUP(J1882,PROGRAMAS[],3,FALSE),0)</f>
        <v>4099471734.9978786</v>
      </c>
      <c r="AM1882" s="246">
        <f>IFERROR(VLOOKUP(K1882,PROGRAMAS[],3,FALSE),0)</f>
        <v>675517840.109828</v>
      </c>
      <c r="AN1882" s="246">
        <f>IFERROR(VLOOKUP(L1882,PROGRAMAS[],3,FALSE),0)</f>
        <v>118617452.52510804</v>
      </c>
      <c r="AO1882" s="246">
        <f>IFERROR(VLOOKUP(M1882,PROGRAMAS[],3,FALSE),0)</f>
        <v>2406564599.0319901</v>
      </c>
      <c r="AP1882" s="246">
        <f>IFERROR(VLOOKUP(N1882,PROGRAMAS[],3,FALSE),0)</f>
        <v>948595847.09039903</v>
      </c>
      <c r="AQ1882" s="246">
        <f>IFERROR(VLOOKUP(O1882,PROGRAMAS[],3,FALSE),0)</f>
        <v>0</v>
      </c>
      <c r="AR1882" s="246">
        <f>IFERROR(VLOOKUP(P1882,PROGRAMAS[],3,FALSE),0)</f>
        <v>0</v>
      </c>
      <c r="AS1882" s="246">
        <f>IFERROR(VLOOKUP(Q1882,PROGRAMAS[],3,FALSE),0)</f>
        <v>0</v>
      </c>
      <c r="AT1882" s="246">
        <f>IFERROR(VLOOKUP(D1882,VOL_REC[],2,FALSE),0)</f>
        <v>0</v>
      </c>
      <c r="AU1882" s="246">
        <f>IFERROR(VLOOKUP(E1882,VOL_REC[],2,FALSE),0)</f>
        <v>0</v>
      </c>
      <c r="AV1882" s="246">
        <f>IFERROR(VLOOKUP(F1882,VOL_REC[],2,FALSE),0)</f>
        <v>11089674.200000001</v>
      </c>
      <c r="AW1882" s="246">
        <f>IFERROR(VLOOKUP(G1882,VOL_REC[],2,FALSE),0)</f>
        <v>90439.55</v>
      </c>
      <c r="AX1882" s="246">
        <f>IFERROR(VLOOKUP(H1882,VOL_REC[],2,FALSE),0)</f>
        <v>4325103.1812214684</v>
      </c>
      <c r="AY1882" s="246">
        <f>IFERROR(VLOOKUP(I1882,VOL_REC[],2,FALSE),0)</f>
        <v>3761786</v>
      </c>
      <c r="AZ1882" s="246">
        <f>IFERROR(VLOOKUP(J1882,VOL_REC[],2,FALSE),0)</f>
        <v>1812240</v>
      </c>
      <c r="BA1882" s="246">
        <f>IFERROR(VLOOKUP(K1882,VOL_REC[],2,FALSE),0)</f>
        <v>240696.79238099116</v>
      </c>
      <c r="BB1882" s="246">
        <f>IFERROR(VLOOKUP(L1882,VOL_REC[],2,FALSE),0)</f>
        <v>105072</v>
      </c>
      <c r="BC1882" s="246">
        <f>IFERROR(VLOOKUP(M1882,VOL_REC[],2,FALSE),0)</f>
        <v>1072354.9981737854</v>
      </c>
      <c r="BD1882" s="246">
        <f>IFERROR(VLOOKUP(N1882,VOL_REC[],2,FALSE),0)</f>
        <v>740113.98115702497</v>
      </c>
      <c r="BE1882" s="246">
        <f>IFERROR(VLOOKUP(O1882,VOL_REC[],2,FALSE),0)</f>
        <v>0</v>
      </c>
      <c r="BF1882" s="246">
        <f>IFERROR(VLOOKUP(P1882,VOL_REC[],2,FALSE),0)</f>
        <v>0</v>
      </c>
      <c r="BG1882" s="246">
        <f>IFERROR(VLOOKUP(Q1882,VOL_REC[],2,FALSE),0)</f>
        <v>0</v>
      </c>
      <c r="BH1882" s="1710">
        <f t="shared" si="120"/>
        <v>25920634019.164124</v>
      </c>
      <c r="BI1882" s="1710">
        <f t="shared" si="121"/>
        <v>24704640283.15456</v>
      </c>
      <c r="BJ1882" s="1711">
        <f t="shared" si="122"/>
        <v>23237480.70293327</v>
      </c>
      <c r="BK1882" s="1711">
        <f t="shared" si="123"/>
        <v>1.0492212686391034</v>
      </c>
      <c r="BL1882">
        <f>BJ1882</f>
        <v>23237480.70293327</v>
      </c>
      <c r="BO1882">
        <f>BL1882</f>
        <v>23237480.70293327</v>
      </c>
    </row>
    <row r="1883" spans="3:67" x14ac:dyDescent="0.25">
      <c r="C1883" s="246" t="s">
        <v>3233</v>
      </c>
      <c r="D1883" s="246">
        <v>1</v>
      </c>
      <c r="E1883" s="246">
        <v>2</v>
      </c>
      <c r="F1883" s="246">
        <v>3</v>
      </c>
      <c r="G1883" s="246">
        <v>4</v>
      </c>
      <c r="H1883" s="246">
        <v>5</v>
      </c>
      <c r="I1883" s="246">
        <v>9</v>
      </c>
      <c r="J1883" s="246">
        <v>10</v>
      </c>
      <c r="K1883" s="246">
        <v>13</v>
      </c>
      <c r="L1883" s="246">
        <v>14</v>
      </c>
      <c r="M1883" s="246">
        <v>15</v>
      </c>
      <c r="N1883" s="246">
        <v>16</v>
      </c>
      <c r="O1883" s="246"/>
      <c r="P1883" s="246"/>
      <c r="Q1883" s="246"/>
      <c r="R1883" s="246">
        <f>IFERROR(VLOOKUP(D1883,PROGRAMAS[],2,FALSE),0)</f>
        <v>97037803.679377079</v>
      </c>
      <c r="S1883" s="246">
        <f>IFERROR(VLOOKUP(E1883,PROGRAMAS[],2,FALSE),0)</f>
        <v>640501509.6821388</v>
      </c>
      <c r="T1883" s="246">
        <f>IFERROR(VLOOKUP(F1883,PROGRAMAS[],2,FALSE),0)</f>
        <v>3062327798.1525245</v>
      </c>
      <c r="U1883" s="246">
        <f>IFERROR(VLOOKUP(G1883,PROGRAMAS[],2,FALSE),0)</f>
        <v>67697118.033011258</v>
      </c>
      <c r="V1883" s="246">
        <f>IFERROR(VLOOKUP(H1883,PROGRAMAS[],2,FALSE),0)</f>
        <v>1440941976.2528784</v>
      </c>
      <c r="W1883" s="246">
        <f>IFERROR(VLOOKUP(I1883,PROGRAMAS[],2,FALSE),0)</f>
        <v>6128579952.1618185</v>
      </c>
      <c r="X1883" s="246">
        <f>IFERROR(VLOOKUP(J1883,PROGRAMAS[],2,FALSE),0)</f>
        <v>4635315027.8751087</v>
      </c>
      <c r="Y1883" s="246">
        <f>IFERROR(VLOOKUP(K1883,PROGRAMAS[],2,FALSE),0)</f>
        <v>3776538594.4604583</v>
      </c>
      <c r="Z1883" s="246">
        <f>IFERROR(VLOOKUP(L1883,PROGRAMAS[],2,FALSE),0)</f>
        <v>54223862.645839565</v>
      </c>
      <c r="AA1883" s="246">
        <f>IFERROR(VLOOKUP(M1883,PROGRAMAS[],2,FALSE),0)</f>
        <v>122159672.96346797</v>
      </c>
      <c r="AB1883" s="246">
        <f>IFERROR(VLOOKUP(N1883,PROGRAMAS[],2,FALSE),0)</f>
        <v>7068496961.0436354</v>
      </c>
      <c r="AC1883" s="246">
        <f>IFERROR(VLOOKUP(O1883,PROGRAMAS[],2,FALSE),0)</f>
        <v>0</v>
      </c>
      <c r="AD1883" s="246">
        <f>IFERROR(VLOOKUP(P1883,PROGRAMAS[],2,FALSE),0)</f>
        <v>0</v>
      </c>
      <c r="AE1883" s="246">
        <f>IFERROR(VLOOKUP(Q1883,PROGRAMAS[],2,FALSE),0)</f>
        <v>0</v>
      </c>
      <c r="AF1883" s="246">
        <f>IFERROR(VLOOKUP(D1883,PROGRAMAS[],3,FALSE),0)</f>
        <v>841888629.31080008</v>
      </c>
      <c r="AG1883" s="246">
        <f>IFERROR(VLOOKUP(E1883,PROGRAMAS[],3,FALSE),0)</f>
        <v>3848980803.1642323</v>
      </c>
      <c r="AH1883" s="246">
        <f>IFERROR(VLOOKUP(F1883,PROGRAMAS[],3,FALSE),0)</f>
        <v>3394901471.387517</v>
      </c>
      <c r="AI1883" s="246">
        <f>IFERROR(VLOOKUP(G1883,PROGRAMAS[],3,FALSE),0)</f>
        <v>125317226.95549992</v>
      </c>
      <c r="AJ1883" s="246">
        <f>IFERROR(VLOOKUP(H1883,PROGRAMAS[],3,FALSE),0)</f>
        <v>1233505101.0616004</v>
      </c>
      <c r="AK1883" s="246">
        <f>IFERROR(VLOOKUP(I1883,PROGRAMAS[],3,FALSE),0)</f>
        <v>7011279577.519702</v>
      </c>
      <c r="AL1883" s="246">
        <f>IFERROR(VLOOKUP(J1883,PROGRAMAS[],3,FALSE),0)</f>
        <v>4099471734.9978786</v>
      </c>
      <c r="AM1883" s="246">
        <f>IFERROR(VLOOKUP(K1883,PROGRAMAS[],3,FALSE),0)</f>
        <v>2392571243.5584412</v>
      </c>
      <c r="AN1883" s="246">
        <f>IFERROR(VLOOKUP(L1883,PROGRAMAS[],3,FALSE),0)</f>
        <v>31865326.38096505</v>
      </c>
      <c r="AO1883" s="246">
        <f>IFERROR(VLOOKUP(M1883,PROGRAMAS[],3,FALSE),0)</f>
        <v>118617452.52510804</v>
      </c>
      <c r="AP1883" s="246">
        <f>IFERROR(VLOOKUP(N1883,PROGRAMAS[],3,FALSE),0)</f>
        <v>2406564599.0319901</v>
      </c>
      <c r="AQ1883" s="246">
        <f>IFERROR(VLOOKUP(O1883,PROGRAMAS[],3,FALSE),0)</f>
        <v>0</v>
      </c>
      <c r="AR1883" s="246">
        <f>IFERROR(VLOOKUP(P1883,PROGRAMAS[],3,FALSE),0)</f>
        <v>0</v>
      </c>
      <c r="AS1883" s="246">
        <f>IFERROR(VLOOKUP(Q1883,PROGRAMAS[],3,FALSE),0)</f>
        <v>0</v>
      </c>
      <c r="AT1883" s="246">
        <f>IFERROR(VLOOKUP(D1883,VOL_REC[],2,FALSE),0)</f>
        <v>0</v>
      </c>
      <c r="AU1883" s="246">
        <f>IFERROR(VLOOKUP(E1883,VOL_REC[],2,FALSE),0)</f>
        <v>0</v>
      </c>
      <c r="AV1883" s="246">
        <f>IFERROR(VLOOKUP(F1883,VOL_REC[],2,FALSE),0)</f>
        <v>11089674.200000001</v>
      </c>
      <c r="AW1883" s="246">
        <f>IFERROR(VLOOKUP(G1883,VOL_REC[],2,FALSE),0)</f>
        <v>90439.55</v>
      </c>
      <c r="AX1883" s="246">
        <f>IFERROR(VLOOKUP(H1883,VOL_REC[],2,FALSE),0)</f>
        <v>4325103.1812214684</v>
      </c>
      <c r="AY1883" s="246">
        <f>IFERROR(VLOOKUP(I1883,VOL_REC[],2,FALSE),0)</f>
        <v>3761786</v>
      </c>
      <c r="AZ1883" s="246">
        <f>IFERROR(VLOOKUP(J1883,VOL_REC[],2,FALSE),0)</f>
        <v>1812240</v>
      </c>
      <c r="BA1883" s="246">
        <f>IFERROR(VLOOKUP(K1883,VOL_REC[],2,FALSE),0)</f>
        <v>663244.80000000016</v>
      </c>
      <c r="BB1883" s="246">
        <f>IFERROR(VLOOKUP(L1883,VOL_REC[],2,FALSE),0)</f>
        <v>17074.045034105649</v>
      </c>
      <c r="BC1883" s="246">
        <f>IFERROR(VLOOKUP(M1883,VOL_REC[],2,FALSE),0)</f>
        <v>105072</v>
      </c>
      <c r="BD1883" s="246">
        <f>IFERROR(VLOOKUP(N1883,VOL_REC[],2,FALSE),0)</f>
        <v>1072354.9981737854</v>
      </c>
      <c r="BE1883" s="246">
        <f>IFERROR(VLOOKUP(O1883,VOL_REC[],2,FALSE),0)</f>
        <v>0</v>
      </c>
      <c r="BF1883" s="246">
        <f>IFERROR(VLOOKUP(P1883,VOL_REC[],2,FALSE),0)</f>
        <v>0</v>
      </c>
      <c r="BG1883" s="246">
        <f>IFERROR(VLOOKUP(Q1883,VOL_REC[],2,FALSE),0)</f>
        <v>0</v>
      </c>
      <c r="BH1883" s="1710">
        <f t="shared" si="120"/>
        <v>27093820276.95026</v>
      </c>
      <c r="BI1883" s="1710">
        <f t="shared" si="121"/>
        <v>25504963165.893738</v>
      </c>
      <c r="BJ1883" s="1711">
        <f t="shared" si="122"/>
        <v>22936988.774429362</v>
      </c>
      <c r="BK1883" s="1711">
        <f t="shared" si="123"/>
        <v>1.0622959970858223</v>
      </c>
      <c r="BL1883">
        <f>BJ1883</f>
        <v>22936988.774429362</v>
      </c>
      <c r="BO1883">
        <f>BL1883</f>
        <v>22936988.774429362</v>
      </c>
    </row>
    <row r="1884" spans="3:67" x14ac:dyDescent="0.25">
      <c r="C1884" s="246" t="s">
        <v>3234</v>
      </c>
      <c r="D1884" s="246">
        <v>1</v>
      </c>
      <c r="E1884" s="246">
        <v>2</v>
      </c>
      <c r="F1884" s="246">
        <v>3</v>
      </c>
      <c r="G1884" s="246">
        <v>4</v>
      </c>
      <c r="H1884" s="246">
        <v>5</v>
      </c>
      <c r="I1884" s="246">
        <v>9</v>
      </c>
      <c r="J1884" s="246">
        <v>10</v>
      </c>
      <c r="K1884" s="246">
        <v>13</v>
      </c>
      <c r="L1884" s="246">
        <v>14</v>
      </c>
      <c r="M1884" s="246">
        <v>15</v>
      </c>
      <c r="N1884" s="246">
        <v>17</v>
      </c>
      <c r="O1884" s="246"/>
      <c r="P1884" s="246"/>
      <c r="Q1884" s="246"/>
      <c r="R1884" s="246">
        <f>IFERROR(VLOOKUP(D1884,PROGRAMAS[],2,FALSE),0)</f>
        <v>97037803.679377079</v>
      </c>
      <c r="S1884" s="246">
        <f>IFERROR(VLOOKUP(E1884,PROGRAMAS[],2,FALSE),0)</f>
        <v>640501509.6821388</v>
      </c>
      <c r="T1884" s="246">
        <f>IFERROR(VLOOKUP(F1884,PROGRAMAS[],2,FALSE),0)</f>
        <v>3062327798.1525245</v>
      </c>
      <c r="U1884" s="246">
        <f>IFERROR(VLOOKUP(G1884,PROGRAMAS[],2,FALSE),0)</f>
        <v>67697118.033011258</v>
      </c>
      <c r="V1884" s="246">
        <f>IFERROR(VLOOKUP(H1884,PROGRAMAS[],2,FALSE),0)</f>
        <v>1440941976.2528784</v>
      </c>
      <c r="W1884" s="246">
        <f>IFERROR(VLOOKUP(I1884,PROGRAMAS[],2,FALSE),0)</f>
        <v>6128579952.1618185</v>
      </c>
      <c r="X1884" s="246">
        <f>IFERROR(VLOOKUP(J1884,PROGRAMAS[],2,FALSE),0)</f>
        <v>4635315027.8751087</v>
      </c>
      <c r="Y1884" s="246">
        <f>IFERROR(VLOOKUP(K1884,PROGRAMAS[],2,FALSE),0)</f>
        <v>3776538594.4604583</v>
      </c>
      <c r="Z1884" s="246">
        <f>IFERROR(VLOOKUP(L1884,PROGRAMAS[],2,FALSE),0)</f>
        <v>54223862.645839565</v>
      </c>
      <c r="AA1884" s="246">
        <f>IFERROR(VLOOKUP(M1884,PROGRAMAS[],2,FALSE),0)</f>
        <v>122159672.96346797</v>
      </c>
      <c r="AB1884" s="246">
        <f>IFERROR(VLOOKUP(N1884,PROGRAMAS[],2,FALSE),0)</f>
        <v>1892779498.5211046</v>
      </c>
      <c r="AC1884" s="246">
        <f>IFERROR(VLOOKUP(O1884,PROGRAMAS[],2,FALSE),0)</f>
        <v>0</v>
      </c>
      <c r="AD1884" s="246">
        <f>IFERROR(VLOOKUP(P1884,PROGRAMAS[],2,FALSE),0)</f>
        <v>0</v>
      </c>
      <c r="AE1884" s="246">
        <f>IFERROR(VLOOKUP(Q1884,PROGRAMAS[],2,FALSE),0)</f>
        <v>0</v>
      </c>
      <c r="AF1884" s="246">
        <f>IFERROR(VLOOKUP(D1884,PROGRAMAS[],3,FALSE),0)</f>
        <v>841888629.31080008</v>
      </c>
      <c r="AG1884" s="246">
        <f>IFERROR(VLOOKUP(E1884,PROGRAMAS[],3,FALSE),0)</f>
        <v>3848980803.1642323</v>
      </c>
      <c r="AH1884" s="246">
        <f>IFERROR(VLOOKUP(F1884,PROGRAMAS[],3,FALSE),0)</f>
        <v>3394901471.387517</v>
      </c>
      <c r="AI1884" s="246">
        <f>IFERROR(VLOOKUP(G1884,PROGRAMAS[],3,FALSE),0)</f>
        <v>125317226.95549992</v>
      </c>
      <c r="AJ1884" s="246">
        <f>IFERROR(VLOOKUP(H1884,PROGRAMAS[],3,FALSE),0)</f>
        <v>1233505101.0616004</v>
      </c>
      <c r="AK1884" s="246">
        <f>IFERROR(VLOOKUP(I1884,PROGRAMAS[],3,FALSE),0)</f>
        <v>7011279577.519702</v>
      </c>
      <c r="AL1884" s="246">
        <f>IFERROR(VLOOKUP(J1884,PROGRAMAS[],3,FALSE),0)</f>
        <v>4099471734.9978786</v>
      </c>
      <c r="AM1884" s="246">
        <f>IFERROR(VLOOKUP(K1884,PROGRAMAS[],3,FALSE),0)</f>
        <v>2392571243.5584412</v>
      </c>
      <c r="AN1884" s="246">
        <f>IFERROR(VLOOKUP(L1884,PROGRAMAS[],3,FALSE),0)</f>
        <v>31865326.38096505</v>
      </c>
      <c r="AO1884" s="246">
        <f>IFERROR(VLOOKUP(M1884,PROGRAMAS[],3,FALSE),0)</f>
        <v>118617452.52510804</v>
      </c>
      <c r="AP1884" s="246">
        <f>IFERROR(VLOOKUP(N1884,PROGRAMAS[],3,FALSE),0)</f>
        <v>948595847.09039903</v>
      </c>
      <c r="AQ1884" s="246">
        <f>IFERROR(VLOOKUP(O1884,PROGRAMAS[],3,FALSE),0)</f>
        <v>0</v>
      </c>
      <c r="AR1884" s="246">
        <f>IFERROR(VLOOKUP(P1884,PROGRAMAS[],3,FALSE),0)</f>
        <v>0</v>
      </c>
      <c r="AS1884" s="246">
        <f>IFERROR(VLOOKUP(Q1884,PROGRAMAS[],3,FALSE),0)</f>
        <v>0</v>
      </c>
      <c r="AT1884" s="246">
        <f>IFERROR(VLOOKUP(D1884,VOL_REC[],2,FALSE),0)</f>
        <v>0</v>
      </c>
      <c r="AU1884" s="246">
        <f>IFERROR(VLOOKUP(E1884,VOL_REC[],2,FALSE),0)</f>
        <v>0</v>
      </c>
      <c r="AV1884" s="246">
        <f>IFERROR(VLOOKUP(F1884,VOL_REC[],2,FALSE),0)</f>
        <v>11089674.200000001</v>
      </c>
      <c r="AW1884" s="246">
        <f>IFERROR(VLOOKUP(G1884,VOL_REC[],2,FALSE),0)</f>
        <v>90439.55</v>
      </c>
      <c r="AX1884" s="246">
        <f>IFERROR(VLOOKUP(H1884,VOL_REC[],2,FALSE),0)</f>
        <v>4325103.1812214684</v>
      </c>
      <c r="AY1884" s="246">
        <f>IFERROR(VLOOKUP(I1884,VOL_REC[],2,FALSE),0)</f>
        <v>3761786</v>
      </c>
      <c r="AZ1884" s="246">
        <f>IFERROR(VLOOKUP(J1884,VOL_REC[],2,FALSE),0)</f>
        <v>1812240</v>
      </c>
      <c r="BA1884" s="246">
        <f>IFERROR(VLOOKUP(K1884,VOL_REC[],2,FALSE),0)</f>
        <v>663244.80000000016</v>
      </c>
      <c r="BB1884" s="246">
        <f>IFERROR(VLOOKUP(L1884,VOL_REC[],2,FALSE),0)</f>
        <v>17074.045034105649</v>
      </c>
      <c r="BC1884" s="246">
        <f>IFERROR(VLOOKUP(M1884,VOL_REC[],2,FALSE),0)</f>
        <v>105072</v>
      </c>
      <c r="BD1884" s="246">
        <f>IFERROR(VLOOKUP(N1884,VOL_REC[],2,FALSE),0)</f>
        <v>740113.98115702497</v>
      </c>
      <c r="BE1884" s="246">
        <f>IFERROR(VLOOKUP(O1884,VOL_REC[],2,FALSE),0)</f>
        <v>0</v>
      </c>
      <c r="BF1884" s="246">
        <f>IFERROR(VLOOKUP(P1884,VOL_REC[],2,FALSE),0)</f>
        <v>0</v>
      </c>
      <c r="BG1884" s="246">
        <f>IFERROR(VLOOKUP(Q1884,VOL_REC[],2,FALSE),0)</f>
        <v>0</v>
      </c>
      <c r="BH1884" s="1710">
        <f t="shared" si="120"/>
        <v>21918102814.427727</v>
      </c>
      <c r="BI1884" s="1710">
        <f t="shared" si="121"/>
        <v>24046994413.952148</v>
      </c>
      <c r="BJ1884" s="1711">
        <f t="shared" si="122"/>
        <v>22604747.757412601</v>
      </c>
      <c r="BK1884" s="1711">
        <f t="shared" si="123"/>
        <v>0.9114695349083114</v>
      </c>
    </row>
    <row r="1885" spans="3:67" x14ac:dyDescent="0.25">
      <c r="C1885" s="246" t="s">
        <v>3235</v>
      </c>
      <c r="D1885" s="246">
        <v>1</v>
      </c>
      <c r="E1885" s="246">
        <v>2</v>
      </c>
      <c r="F1885" s="246">
        <v>3</v>
      </c>
      <c r="G1885" s="246">
        <v>4</v>
      </c>
      <c r="H1885" s="246">
        <v>5</v>
      </c>
      <c r="I1885" s="246">
        <v>9</v>
      </c>
      <c r="J1885" s="246">
        <v>10</v>
      </c>
      <c r="K1885" s="246">
        <v>13</v>
      </c>
      <c r="L1885" s="246">
        <v>14</v>
      </c>
      <c r="M1885" s="246">
        <v>16</v>
      </c>
      <c r="N1885" s="246">
        <v>17</v>
      </c>
      <c r="O1885" s="246"/>
      <c r="P1885" s="246"/>
      <c r="Q1885" s="246"/>
      <c r="R1885" s="246">
        <f>IFERROR(VLOOKUP(D1885,PROGRAMAS[],2,FALSE),0)</f>
        <v>97037803.679377079</v>
      </c>
      <c r="S1885" s="246">
        <f>IFERROR(VLOOKUP(E1885,PROGRAMAS[],2,FALSE),0)</f>
        <v>640501509.6821388</v>
      </c>
      <c r="T1885" s="246">
        <f>IFERROR(VLOOKUP(F1885,PROGRAMAS[],2,FALSE),0)</f>
        <v>3062327798.1525245</v>
      </c>
      <c r="U1885" s="246">
        <f>IFERROR(VLOOKUP(G1885,PROGRAMAS[],2,FALSE),0)</f>
        <v>67697118.033011258</v>
      </c>
      <c r="V1885" s="246">
        <f>IFERROR(VLOOKUP(H1885,PROGRAMAS[],2,FALSE),0)</f>
        <v>1440941976.2528784</v>
      </c>
      <c r="W1885" s="246">
        <f>IFERROR(VLOOKUP(I1885,PROGRAMAS[],2,FALSE),0)</f>
        <v>6128579952.1618185</v>
      </c>
      <c r="X1885" s="246">
        <f>IFERROR(VLOOKUP(J1885,PROGRAMAS[],2,FALSE),0)</f>
        <v>4635315027.8751087</v>
      </c>
      <c r="Y1885" s="246">
        <f>IFERROR(VLOOKUP(K1885,PROGRAMAS[],2,FALSE),0)</f>
        <v>3776538594.4604583</v>
      </c>
      <c r="Z1885" s="246">
        <f>IFERROR(VLOOKUP(L1885,PROGRAMAS[],2,FALSE),0)</f>
        <v>54223862.645839565</v>
      </c>
      <c r="AA1885" s="246">
        <f>IFERROR(VLOOKUP(M1885,PROGRAMAS[],2,FALSE),0)</f>
        <v>7068496961.0436354</v>
      </c>
      <c r="AB1885" s="246">
        <f>IFERROR(VLOOKUP(N1885,PROGRAMAS[],2,FALSE),0)</f>
        <v>1892779498.5211046</v>
      </c>
      <c r="AC1885" s="246">
        <f>IFERROR(VLOOKUP(O1885,PROGRAMAS[],2,FALSE),0)</f>
        <v>0</v>
      </c>
      <c r="AD1885" s="246">
        <f>IFERROR(VLOOKUP(P1885,PROGRAMAS[],2,FALSE),0)</f>
        <v>0</v>
      </c>
      <c r="AE1885" s="246">
        <f>IFERROR(VLOOKUP(Q1885,PROGRAMAS[],2,FALSE),0)</f>
        <v>0</v>
      </c>
      <c r="AF1885" s="246">
        <f>IFERROR(VLOOKUP(D1885,PROGRAMAS[],3,FALSE),0)</f>
        <v>841888629.31080008</v>
      </c>
      <c r="AG1885" s="246">
        <f>IFERROR(VLOOKUP(E1885,PROGRAMAS[],3,FALSE),0)</f>
        <v>3848980803.1642323</v>
      </c>
      <c r="AH1885" s="246">
        <f>IFERROR(VLOOKUP(F1885,PROGRAMAS[],3,FALSE),0)</f>
        <v>3394901471.387517</v>
      </c>
      <c r="AI1885" s="246">
        <f>IFERROR(VLOOKUP(G1885,PROGRAMAS[],3,FALSE),0)</f>
        <v>125317226.95549992</v>
      </c>
      <c r="AJ1885" s="246">
        <f>IFERROR(VLOOKUP(H1885,PROGRAMAS[],3,FALSE),0)</f>
        <v>1233505101.0616004</v>
      </c>
      <c r="AK1885" s="246">
        <f>IFERROR(VLOOKUP(I1885,PROGRAMAS[],3,FALSE),0)</f>
        <v>7011279577.519702</v>
      </c>
      <c r="AL1885" s="246">
        <f>IFERROR(VLOOKUP(J1885,PROGRAMAS[],3,FALSE),0)</f>
        <v>4099471734.9978786</v>
      </c>
      <c r="AM1885" s="246">
        <f>IFERROR(VLOOKUP(K1885,PROGRAMAS[],3,FALSE),0)</f>
        <v>2392571243.5584412</v>
      </c>
      <c r="AN1885" s="246">
        <f>IFERROR(VLOOKUP(L1885,PROGRAMAS[],3,FALSE),0)</f>
        <v>31865326.38096505</v>
      </c>
      <c r="AO1885" s="246">
        <f>IFERROR(VLOOKUP(M1885,PROGRAMAS[],3,FALSE),0)</f>
        <v>2406564599.0319901</v>
      </c>
      <c r="AP1885" s="246">
        <f>IFERROR(VLOOKUP(N1885,PROGRAMAS[],3,FALSE),0)</f>
        <v>948595847.09039903</v>
      </c>
      <c r="AQ1885" s="246">
        <f>IFERROR(VLOOKUP(O1885,PROGRAMAS[],3,FALSE),0)</f>
        <v>0</v>
      </c>
      <c r="AR1885" s="246">
        <f>IFERROR(VLOOKUP(P1885,PROGRAMAS[],3,FALSE),0)</f>
        <v>0</v>
      </c>
      <c r="AS1885" s="246">
        <f>IFERROR(VLOOKUP(Q1885,PROGRAMAS[],3,FALSE),0)</f>
        <v>0</v>
      </c>
      <c r="AT1885" s="246">
        <f>IFERROR(VLOOKUP(D1885,VOL_REC[],2,FALSE),0)</f>
        <v>0</v>
      </c>
      <c r="AU1885" s="246">
        <f>IFERROR(VLOOKUP(E1885,VOL_REC[],2,FALSE),0)</f>
        <v>0</v>
      </c>
      <c r="AV1885" s="246">
        <f>IFERROR(VLOOKUP(F1885,VOL_REC[],2,FALSE),0)</f>
        <v>11089674.200000001</v>
      </c>
      <c r="AW1885" s="246">
        <f>IFERROR(VLOOKUP(G1885,VOL_REC[],2,FALSE),0)</f>
        <v>90439.55</v>
      </c>
      <c r="AX1885" s="246">
        <f>IFERROR(VLOOKUP(H1885,VOL_REC[],2,FALSE),0)</f>
        <v>4325103.1812214684</v>
      </c>
      <c r="AY1885" s="246">
        <f>IFERROR(VLOOKUP(I1885,VOL_REC[],2,FALSE),0)</f>
        <v>3761786</v>
      </c>
      <c r="AZ1885" s="246">
        <f>IFERROR(VLOOKUP(J1885,VOL_REC[],2,FALSE),0)</f>
        <v>1812240</v>
      </c>
      <c r="BA1885" s="246">
        <f>IFERROR(VLOOKUP(K1885,VOL_REC[],2,FALSE),0)</f>
        <v>663244.80000000016</v>
      </c>
      <c r="BB1885" s="246">
        <f>IFERROR(VLOOKUP(L1885,VOL_REC[],2,FALSE),0)</f>
        <v>17074.045034105649</v>
      </c>
      <c r="BC1885" s="246">
        <f>IFERROR(VLOOKUP(M1885,VOL_REC[],2,FALSE),0)</f>
        <v>1072354.9981737854</v>
      </c>
      <c r="BD1885" s="246">
        <f>IFERROR(VLOOKUP(N1885,VOL_REC[],2,FALSE),0)</f>
        <v>740113.98115702497</v>
      </c>
      <c r="BE1885" s="246">
        <f>IFERROR(VLOOKUP(O1885,VOL_REC[],2,FALSE),0)</f>
        <v>0</v>
      </c>
      <c r="BF1885" s="246">
        <f>IFERROR(VLOOKUP(P1885,VOL_REC[],2,FALSE),0)</f>
        <v>0</v>
      </c>
      <c r="BG1885" s="246">
        <f>IFERROR(VLOOKUP(Q1885,VOL_REC[],2,FALSE),0)</f>
        <v>0</v>
      </c>
      <c r="BH1885" s="1710">
        <f t="shared" si="120"/>
        <v>28864440102.507896</v>
      </c>
      <c r="BI1885" s="1710">
        <f t="shared" si="121"/>
        <v>26334941560.45903</v>
      </c>
      <c r="BJ1885" s="1711">
        <f t="shared" si="122"/>
        <v>23572030.755586386</v>
      </c>
      <c r="BK1885" s="1711">
        <f t="shared" si="123"/>
        <v>1.0960510406389821</v>
      </c>
      <c r="BL1885">
        <f>BJ1885</f>
        <v>23572030.755586386</v>
      </c>
      <c r="BO1885">
        <f>BL1885</f>
        <v>23572030.755586386</v>
      </c>
    </row>
    <row r="1886" spans="3:67" x14ac:dyDescent="0.25">
      <c r="C1886" s="246" t="s">
        <v>3236</v>
      </c>
      <c r="D1886" s="246">
        <v>1</v>
      </c>
      <c r="E1886" s="246">
        <v>2</v>
      </c>
      <c r="F1886" s="246">
        <v>3</v>
      </c>
      <c r="G1886" s="246">
        <v>4</v>
      </c>
      <c r="H1886" s="246">
        <v>5</v>
      </c>
      <c r="I1886" s="246">
        <v>9</v>
      </c>
      <c r="J1886" s="246">
        <v>10</v>
      </c>
      <c r="K1886" s="246">
        <v>13</v>
      </c>
      <c r="L1886" s="246">
        <v>15</v>
      </c>
      <c r="M1886" s="246">
        <v>16</v>
      </c>
      <c r="N1886" s="246">
        <v>17</v>
      </c>
      <c r="O1886" s="246"/>
      <c r="P1886" s="246"/>
      <c r="Q1886" s="246"/>
      <c r="R1886" s="246">
        <f>IFERROR(VLOOKUP(D1886,PROGRAMAS[],2,FALSE),0)</f>
        <v>97037803.679377079</v>
      </c>
      <c r="S1886" s="246">
        <f>IFERROR(VLOOKUP(E1886,PROGRAMAS[],2,FALSE),0)</f>
        <v>640501509.6821388</v>
      </c>
      <c r="T1886" s="246">
        <f>IFERROR(VLOOKUP(F1886,PROGRAMAS[],2,FALSE),0)</f>
        <v>3062327798.1525245</v>
      </c>
      <c r="U1886" s="246">
        <f>IFERROR(VLOOKUP(G1886,PROGRAMAS[],2,FALSE),0)</f>
        <v>67697118.033011258</v>
      </c>
      <c r="V1886" s="246">
        <f>IFERROR(VLOOKUP(H1886,PROGRAMAS[],2,FALSE),0)</f>
        <v>1440941976.2528784</v>
      </c>
      <c r="W1886" s="246">
        <f>IFERROR(VLOOKUP(I1886,PROGRAMAS[],2,FALSE),0)</f>
        <v>6128579952.1618185</v>
      </c>
      <c r="X1886" s="246">
        <f>IFERROR(VLOOKUP(J1886,PROGRAMAS[],2,FALSE),0)</f>
        <v>4635315027.8751087</v>
      </c>
      <c r="Y1886" s="246">
        <f>IFERROR(VLOOKUP(K1886,PROGRAMAS[],2,FALSE),0)</f>
        <v>3776538594.4604583</v>
      </c>
      <c r="Z1886" s="246">
        <f>IFERROR(VLOOKUP(L1886,PROGRAMAS[],2,FALSE),0)</f>
        <v>122159672.96346797</v>
      </c>
      <c r="AA1886" s="246">
        <f>IFERROR(VLOOKUP(M1886,PROGRAMAS[],2,FALSE),0)</f>
        <v>7068496961.0436354</v>
      </c>
      <c r="AB1886" s="246">
        <f>IFERROR(VLOOKUP(N1886,PROGRAMAS[],2,FALSE),0)</f>
        <v>1892779498.5211046</v>
      </c>
      <c r="AC1886" s="246">
        <f>IFERROR(VLOOKUP(O1886,PROGRAMAS[],2,FALSE),0)</f>
        <v>0</v>
      </c>
      <c r="AD1886" s="246">
        <f>IFERROR(VLOOKUP(P1886,PROGRAMAS[],2,FALSE),0)</f>
        <v>0</v>
      </c>
      <c r="AE1886" s="246">
        <f>IFERROR(VLOOKUP(Q1886,PROGRAMAS[],2,FALSE),0)</f>
        <v>0</v>
      </c>
      <c r="AF1886" s="246">
        <f>IFERROR(VLOOKUP(D1886,PROGRAMAS[],3,FALSE),0)</f>
        <v>841888629.31080008</v>
      </c>
      <c r="AG1886" s="246">
        <f>IFERROR(VLOOKUP(E1886,PROGRAMAS[],3,FALSE),0)</f>
        <v>3848980803.1642323</v>
      </c>
      <c r="AH1886" s="246">
        <f>IFERROR(VLOOKUP(F1886,PROGRAMAS[],3,FALSE),0)</f>
        <v>3394901471.387517</v>
      </c>
      <c r="AI1886" s="246">
        <f>IFERROR(VLOOKUP(G1886,PROGRAMAS[],3,FALSE),0)</f>
        <v>125317226.95549992</v>
      </c>
      <c r="AJ1886" s="246">
        <f>IFERROR(VLOOKUP(H1886,PROGRAMAS[],3,FALSE),0)</f>
        <v>1233505101.0616004</v>
      </c>
      <c r="AK1886" s="246">
        <f>IFERROR(VLOOKUP(I1886,PROGRAMAS[],3,FALSE),0)</f>
        <v>7011279577.519702</v>
      </c>
      <c r="AL1886" s="246">
        <f>IFERROR(VLOOKUP(J1886,PROGRAMAS[],3,FALSE),0)</f>
        <v>4099471734.9978786</v>
      </c>
      <c r="AM1886" s="246">
        <f>IFERROR(VLOOKUP(K1886,PROGRAMAS[],3,FALSE),0)</f>
        <v>2392571243.5584412</v>
      </c>
      <c r="AN1886" s="246">
        <f>IFERROR(VLOOKUP(L1886,PROGRAMAS[],3,FALSE),0)</f>
        <v>118617452.52510804</v>
      </c>
      <c r="AO1886" s="246">
        <f>IFERROR(VLOOKUP(M1886,PROGRAMAS[],3,FALSE),0)</f>
        <v>2406564599.0319901</v>
      </c>
      <c r="AP1886" s="246">
        <f>IFERROR(VLOOKUP(N1886,PROGRAMAS[],3,FALSE),0)</f>
        <v>948595847.09039903</v>
      </c>
      <c r="AQ1886" s="246">
        <f>IFERROR(VLOOKUP(O1886,PROGRAMAS[],3,FALSE),0)</f>
        <v>0</v>
      </c>
      <c r="AR1886" s="246">
        <f>IFERROR(VLOOKUP(P1886,PROGRAMAS[],3,FALSE),0)</f>
        <v>0</v>
      </c>
      <c r="AS1886" s="246">
        <f>IFERROR(VLOOKUP(Q1886,PROGRAMAS[],3,FALSE),0)</f>
        <v>0</v>
      </c>
      <c r="AT1886" s="246">
        <f>IFERROR(VLOOKUP(D1886,VOL_REC[],2,FALSE),0)</f>
        <v>0</v>
      </c>
      <c r="AU1886" s="246">
        <f>IFERROR(VLOOKUP(E1886,VOL_REC[],2,FALSE),0)</f>
        <v>0</v>
      </c>
      <c r="AV1886" s="246">
        <f>IFERROR(VLOOKUP(F1886,VOL_REC[],2,FALSE),0)</f>
        <v>11089674.200000001</v>
      </c>
      <c r="AW1886" s="246">
        <f>IFERROR(VLOOKUP(G1886,VOL_REC[],2,FALSE),0)</f>
        <v>90439.55</v>
      </c>
      <c r="AX1886" s="246">
        <f>IFERROR(VLOOKUP(H1886,VOL_REC[],2,FALSE),0)</f>
        <v>4325103.1812214684</v>
      </c>
      <c r="AY1886" s="246">
        <f>IFERROR(VLOOKUP(I1886,VOL_REC[],2,FALSE),0)</f>
        <v>3761786</v>
      </c>
      <c r="AZ1886" s="246">
        <f>IFERROR(VLOOKUP(J1886,VOL_REC[],2,FALSE),0)</f>
        <v>1812240</v>
      </c>
      <c r="BA1886" s="246">
        <f>IFERROR(VLOOKUP(K1886,VOL_REC[],2,FALSE),0)</f>
        <v>663244.80000000016</v>
      </c>
      <c r="BB1886" s="246">
        <f>IFERROR(VLOOKUP(L1886,VOL_REC[],2,FALSE),0)</f>
        <v>105072</v>
      </c>
      <c r="BC1886" s="246">
        <f>IFERROR(VLOOKUP(M1886,VOL_REC[],2,FALSE),0)</f>
        <v>1072354.9981737854</v>
      </c>
      <c r="BD1886" s="246">
        <f>IFERROR(VLOOKUP(N1886,VOL_REC[],2,FALSE),0)</f>
        <v>740113.98115702497</v>
      </c>
      <c r="BE1886" s="246">
        <f>IFERROR(VLOOKUP(O1886,VOL_REC[],2,FALSE),0)</f>
        <v>0</v>
      </c>
      <c r="BF1886" s="246">
        <f>IFERROR(VLOOKUP(P1886,VOL_REC[],2,FALSE),0)</f>
        <v>0</v>
      </c>
      <c r="BG1886" s="246">
        <f>IFERROR(VLOOKUP(Q1886,VOL_REC[],2,FALSE),0)</f>
        <v>0</v>
      </c>
      <c r="BH1886" s="1710">
        <f t="shared" si="120"/>
        <v>28932375912.825523</v>
      </c>
      <c r="BI1886" s="1710">
        <f t="shared" si="121"/>
        <v>26421693686.603172</v>
      </c>
      <c r="BJ1886" s="1711">
        <f t="shared" si="122"/>
        <v>23660028.710552279</v>
      </c>
      <c r="BK1886" s="1711">
        <f t="shared" si="123"/>
        <v>1.0950235157519581</v>
      </c>
      <c r="BL1886">
        <f>BJ1886</f>
        <v>23660028.710552279</v>
      </c>
      <c r="BO1886">
        <f>BL1886</f>
        <v>23660028.710552279</v>
      </c>
    </row>
    <row r="1887" spans="3:67" x14ac:dyDescent="0.25">
      <c r="C1887" s="246" t="s">
        <v>3237</v>
      </c>
      <c r="D1887" s="246">
        <v>1</v>
      </c>
      <c r="E1887" s="246">
        <v>2</v>
      </c>
      <c r="F1887" s="246">
        <v>3</v>
      </c>
      <c r="G1887" s="246">
        <v>4</v>
      </c>
      <c r="H1887" s="246">
        <v>5</v>
      </c>
      <c r="I1887" s="246">
        <v>9</v>
      </c>
      <c r="J1887" s="246">
        <v>10</v>
      </c>
      <c r="K1887" s="246">
        <v>14</v>
      </c>
      <c r="L1887" s="246">
        <v>15</v>
      </c>
      <c r="M1887" s="246">
        <v>16</v>
      </c>
      <c r="N1887" s="246">
        <v>17</v>
      </c>
      <c r="O1887" s="246"/>
      <c r="P1887" s="246"/>
      <c r="Q1887" s="246"/>
      <c r="R1887" s="246">
        <f>IFERROR(VLOOKUP(D1887,PROGRAMAS[],2,FALSE),0)</f>
        <v>97037803.679377079</v>
      </c>
      <c r="S1887" s="246">
        <f>IFERROR(VLOOKUP(E1887,PROGRAMAS[],2,FALSE),0)</f>
        <v>640501509.6821388</v>
      </c>
      <c r="T1887" s="246">
        <f>IFERROR(VLOOKUP(F1887,PROGRAMAS[],2,FALSE),0)</f>
        <v>3062327798.1525245</v>
      </c>
      <c r="U1887" s="246">
        <f>IFERROR(VLOOKUP(G1887,PROGRAMAS[],2,FALSE),0)</f>
        <v>67697118.033011258</v>
      </c>
      <c r="V1887" s="246">
        <f>IFERROR(VLOOKUP(H1887,PROGRAMAS[],2,FALSE),0)</f>
        <v>1440941976.2528784</v>
      </c>
      <c r="W1887" s="246">
        <f>IFERROR(VLOOKUP(I1887,PROGRAMAS[],2,FALSE),0)</f>
        <v>6128579952.1618185</v>
      </c>
      <c r="X1887" s="246">
        <f>IFERROR(VLOOKUP(J1887,PROGRAMAS[],2,FALSE),0)</f>
        <v>4635315027.8751087</v>
      </c>
      <c r="Y1887" s="246">
        <f>IFERROR(VLOOKUP(K1887,PROGRAMAS[],2,FALSE),0)</f>
        <v>54223862.645839565</v>
      </c>
      <c r="Z1887" s="246">
        <f>IFERROR(VLOOKUP(L1887,PROGRAMAS[],2,FALSE),0)</f>
        <v>122159672.96346797</v>
      </c>
      <c r="AA1887" s="246">
        <f>IFERROR(VLOOKUP(M1887,PROGRAMAS[],2,FALSE),0)</f>
        <v>7068496961.0436354</v>
      </c>
      <c r="AB1887" s="246">
        <f>IFERROR(VLOOKUP(N1887,PROGRAMAS[],2,FALSE),0)</f>
        <v>1892779498.5211046</v>
      </c>
      <c r="AC1887" s="246">
        <f>IFERROR(VLOOKUP(O1887,PROGRAMAS[],2,FALSE),0)</f>
        <v>0</v>
      </c>
      <c r="AD1887" s="246">
        <f>IFERROR(VLOOKUP(P1887,PROGRAMAS[],2,FALSE),0)</f>
        <v>0</v>
      </c>
      <c r="AE1887" s="246">
        <f>IFERROR(VLOOKUP(Q1887,PROGRAMAS[],2,FALSE),0)</f>
        <v>0</v>
      </c>
      <c r="AF1887" s="246">
        <f>IFERROR(VLOOKUP(D1887,PROGRAMAS[],3,FALSE),0)</f>
        <v>841888629.31080008</v>
      </c>
      <c r="AG1887" s="246">
        <f>IFERROR(VLOOKUP(E1887,PROGRAMAS[],3,FALSE),0)</f>
        <v>3848980803.1642323</v>
      </c>
      <c r="AH1887" s="246">
        <f>IFERROR(VLOOKUP(F1887,PROGRAMAS[],3,FALSE),0)</f>
        <v>3394901471.387517</v>
      </c>
      <c r="AI1887" s="246">
        <f>IFERROR(VLOOKUP(G1887,PROGRAMAS[],3,FALSE),0)</f>
        <v>125317226.95549992</v>
      </c>
      <c r="AJ1887" s="246">
        <f>IFERROR(VLOOKUP(H1887,PROGRAMAS[],3,FALSE),0)</f>
        <v>1233505101.0616004</v>
      </c>
      <c r="AK1887" s="246">
        <f>IFERROR(VLOOKUP(I1887,PROGRAMAS[],3,FALSE),0)</f>
        <v>7011279577.519702</v>
      </c>
      <c r="AL1887" s="246">
        <f>IFERROR(VLOOKUP(J1887,PROGRAMAS[],3,FALSE),0)</f>
        <v>4099471734.9978786</v>
      </c>
      <c r="AM1887" s="246">
        <f>IFERROR(VLOOKUP(K1887,PROGRAMAS[],3,FALSE),0)</f>
        <v>31865326.38096505</v>
      </c>
      <c r="AN1887" s="246">
        <f>IFERROR(VLOOKUP(L1887,PROGRAMAS[],3,FALSE),0)</f>
        <v>118617452.52510804</v>
      </c>
      <c r="AO1887" s="246">
        <f>IFERROR(VLOOKUP(M1887,PROGRAMAS[],3,FALSE),0)</f>
        <v>2406564599.0319901</v>
      </c>
      <c r="AP1887" s="246">
        <f>IFERROR(VLOOKUP(N1887,PROGRAMAS[],3,FALSE),0)</f>
        <v>948595847.09039903</v>
      </c>
      <c r="AQ1887" s="246">
        <f>IFERROR(VLOOKUP(O1887,PROGRAMAS[],3,FALSE),0)</f>
        <v>0</v>
      </c>
      <c r="AR1887" s="246">
        <f>IFERROR(VLOOKUP(P1887,PROGRAMAS[],3,FALSE),0)</f>
        <v>0</v>
      </c>
      <c r="AS1887" s="246">
        <f>IFERROR(VLOOKUP(Q1887,PROGRAMAS[],3,FALSE),0)</f>
        <v>0</v>
      </c>
      <c r="AT1887" s="246">
        <f>IFERROR(VLOOKUP(D1887,VOL_REC[],2,FALSE),0)</f>
        <v>0</v>
      </c>
      <c r="AU1887" s="246">
        <f>IFERROR(VLOOKUP(E1887,VOL_REC[],2,FALSE),0)</f>
        <v>0</v>
      </c>
      <c r="AV1887" s="246">
        <f>IFERROR(VLOOKUP(F1887,VOL_REC[],2,FALSE),0)</f>
        <v>11089674.200000001</v>
      </c>
      <c r="AW1887" s="246">
        <f>IFERROR(VLOOKUP(G1887,VOL_REC[],2,FALSE),0)</f>
        <v>90439.55</v>
      </c>
      <c r="AX1887" s="246">
        <f>IFERROR(VLOOKUP(H1887,VOL_REC[],2,FALSE),0)</f>
        <v>4325103.1812214684</v>
      </c>
      <c r="AY1887" s="246">
        <f>IFERROR(VLOOKUP(I1887,VOL_REC[],2,FALSE),0)</f>
        <v>3761786</v>
      </c>
      <c r="AZ1887" s="246">
        <f>IFERROR(VLOOKUP(J1887,VOL_REC[],2,FALSE),0)</f>
        <v>1812240</v>
      </c>
      <c r="BA1887" s="246">
        <f>IFERROR(VLOOKUP(K1887,VOL_REC[],2,FALSE),0)</f>
        <v>17074.045034105649</v>
      </c>
      <c r="BB1887" s="246">
        <f>IFERROR(VLOOKUP(L1887,VOL_REC[],2,FALSE),0)</f>
        <v>105072</v>
      </c>
      <c r="BC1887" s="246">
        <f>IFERROR(VLOOKUP(M1887,VOL_REC[],2,FALSE),0)</f>
        <v>1072354.9981737854</v>
      </c>
      <c r="BD1887" s="246">
        <f>IFERROR(VLOOKUP(N1887,VOL_REC[],2,FALSE),0)</f>
        <v>740113.98115702497</v>
      </c>
      <c r="BE1887" s="246">
        <f>IFERROR(VLOOKUP(O1887,VOL_REC[],2,FALSE),0)</f>
        <v>0</v>
      </c>
      <c r="BF1887" s="246">
        <f>IFERROR(VLOOKUP(P1887,VOL_REC[],2,FALSE),0)</f>
        <v>0</v>
      </c>
      <c r="BG1887" s="246">
        <f>IFERROR(VLOOKUP(Q1887,VOL_REC[],2,FALSE),0)</f>
        <v>0</v>
      </c>
      <c r="BH1887" s="1710">
        <f t="shared" si="120"/>
        <v>25210061181.010906</v>
      </c>
      <c r="BI1887" s="1710">
        <f t="shared" si="121"/>
        <v>24060987769.425697</v>
      </c>
      <c r="BJ1887" s="1711">
        <f t="shared" si="122"/>
        <v>23013857.955586385</v>
      </c>
      <c r="BK1887" s="1711">
        <f t="shared" si="123"/>
        <v>1.0477567015368063</v>
      </c>
      <c r="BL1887">
        <f>BJ1887</f>
        <v>23013857.955586385</v>
      </c>
      <c r="BO1887">
        <f>BL1887</f>
        <v>23013857.955586385</v>
      </c>
    </row>
    <row r="1888" spans="3:67" x14ac:dyDescent="0.25">
      <c r="C1888" s="246" t="s">
        <v>3238</v>
      </c>
      <c r="D1888" s="246">
        <v>1</v>
      </c>
      <c r="E1888" s="246">
        <v>2</v>
      </c>
      <c r="F1888" s="246">
        <v>3</v>
      </c>
      <c r="G1888" s="246">
        <v>4</v>
      </c>
      <c r="H1888" s="246">
        <v>5</v>
      </c>
      <c r="I1888" s="246">
        <v>9</v>
      </c>
      <c r="J1888" s="246">
        <v>12</v>
      </c>
      <c r="K1888" s="246">
        <v>13</v>
      </c>
      <c r="L1888" s="246">
        <v>14</v>
      </c>
      <c r="M1888" s="246">
        <v>15</v>
      </c>
      <c r="N1888" s="246">
        <v>16</v>
      </c>
      <c r="O1888" s="246"/>
      <c r="P1888" s="246"/>
      <c r="Q1888" s="246"/>
      <c r="R1888" s="246">
        <f>IFERROR(VLOOKUP(D1888,PROGRAMAS[],2,FALSE),0)</f>
        <v>97037803.679377079</v>
      </c>
      <c r="S1888" s="246">
        <f>IFERROR(VLOOKUP(E1888,PROGRAMAS[],2,FALSE),0)</f>
        <v>640501509.6821388</v>
      </c>
      <c r="T1888" s="246">
        <f>IFERROR(VLOOKUP(F1888,PROGRAMAS[],2,FALSE),0)</f>
        <v>3062327798.1525245</v>
      </c>
      <c r="U1888" s="246">
        <f>IFERROR(VLOOKUP(G1888,PROGRAMAS[],2,FALSE),0)</f>
        <v>67697118.033011258</v>
      </c>
      <c r="V1888" s="246">
        <f>IFERROR(VLOOKUP(H1888,PROGRAMAS[],2,FALSE),0)</f>
        <v>1440941976.2528784</v>
      </c>
      <c r="W1888" s="246">
        <f>IFERROR(VLOOKUP(I1888,PROGRAMAS[],2,FALSE),0)</f>
        <v>6128579952.1618185</v>
      </c>
      <c r="X1888" s="246">
        <f>IFERROR(VLOOKUP(J1888,PROGRAMAS[],2,FALSE),0)</f>
        <v>764796700.79905891</v>
      </c>
      <c r="Y1888" s="246">
        <f>IFERROR(VLOOKUP(K1888,PROGRAMAS[],2,FALSE),0)</f>
        <v>3776538594.4604583</v>
      </c>
      <c r="Z1888" s="246">
        <f>IFERROR(VLOOKUP(L1888,PROGRAMAS[],2,FALSE),0)</f>
        <v>54223862.645839565</v>
      </c>
      <c r="AA1888" s="246">
        <f>IFERROR(VLOOKUP(M1888,PROGRAMAS[],2,FALSE),0)</f>
        <v>122159672.96346797</v>
      </c>
      <c r="AB1888" s="246">
        <f>IFERROR(VLOOKUP(N1888,PROGRAMAS[],2,FALSE),0)</f>
        <v>7068496961.0436354</v>
      </c>
      <c r="AC1888" s="246">
        <f>IFERROR(VLOOKUP(O1888,PROGRAMAS[],2,FALSE),0)</f>
        <v>0</v>
      </c>
      <c r="AD1888" s="246">
        <f>IFERROR(VLOOKUP(P1888,PROGRAMAS[],2,FALSE),0)</f>
        <v>0</v>
      </c>
      <c r="AE1888" s="246">
        <f>IFERROR(VLOOKUP(Q1888,PROGRAMAS[],2,FALSE),0)</f>
        <v>0</v>
      </c>
      <c r="AF1888" s="246">
        <f>IFERROR(VLOOKUP(D1888,PROGRAMAS[],3,FALSE),0)</f>
        <v>841888629.31080008</v>
      </c>
      <c r="AG1888" s="246">
        <f>IFERROR(VLOOKUP(E1888,PROGRAMAS[],3,FALSE),0)</f>
        <v>3848980803.1642323</v>
      </c>
      <c r="AH1888" s="246">
        <f>IFERROR(VLOOKUP(F1888,PROGRAMAS[],3,FALSE),0)</f>
        <v>3394901471.387517</v>
      </c>
      <c r="AI1888" s="246">
        <f>IFERROR(VLOOKUP(G1888,PROGRAMAS[],3,FALSE),0)</f>
        <v>125317226.95549992</v>
      </c>
      <c r="AJ1888" s="246">
        <f>IFERROR(VLOOKUP(H1888,PROGRAMAS[],3,FALSE),0)</f>
        <v>1233505101.0616004</v>
      </c>
      <c r="AK1888" s="246">
        <f>IFERROR(VLOOKUP(I1888,PROGRAMAS[],3,FALSE),0)</f>
        <v>7011279577.519702</v>
      </c>
      <c r="AL1888" s="246">
        <f>IFERROR(VLOOKUP(J1888,PROGRAMAS[],3,FALSE),0)</f>
        <v>675517840.109828</v>
      </c>
      <c r="AM1888" s="246">
        <f>IFERROR(VLOOKUP(K1888,PROGRAMAS[],3,FALSE),0)</f>
        <v>2392571243.5584412</v>
      </c>
      <c r="AN1888" s="246">
        <f>IFERROR(VLOOKUP(L1888,PROGRAMAS[],3,FALSE),0)</f>
        <v>31865326.38096505</v>
      </c>
      <c r="AO1888" s="246">
        <f>IFERROR(VLOOKUP(M1888,PROGRAMAS[],3,FALSE),0)</f>
        <v>118617452.52510804</v>
      </c>
      <c r="AP1888" s="246">
        <f>IFERROR(VLOOKUP(N1888,PROGRAMAS[],3,FALSE),0)</f>
        <v>2406564599.0319901</v>
      </c>
      <c r="AQ1888" s="246">
        <f>IFERROR(VLOOKUP(O1888,PROGRAMAS[],3,FALSE),0)</f>
        <v>0</v>
      </c>
      <c r="AR1888" s="246">
        <f>IFERROR(VLOOKUP(P1888,PROGRAMAS[],3,FALSE),0)</f>
        <v>0</v>
      </c>
      <c r="AS1888" s="246">
        <f>IFERROR(VLOOKUP(Q1888,PROGRAMAS[],3,FALSE),0)</f>
        <v>0</v>
      </c>
      <c r="AT1888" s="246">
        <f>IFERROR(VLOOKUP(D1888,VOL_REC[],2,FALSE),0)</f>
        <v>0</v>
      </c>
      <c r="AU1888" s="246">
        <f>IFERROR(VLOOKUP(E1888,VOL_REC[],2,FALSE),0)</f>
        <v>0</v>
      </c>
      <c r="AV1888" s="246">
        <f>IFERROR(VLOOKUP(F1888,VOL_REC[],2,FALSE),0)</f>
        <v>11089674.200000001</v>
      </c>
      <c r="AW1888" s="246">
        <f>IFERROR(VLOOKUP(G1888,VOL_REC[],2,FALSE),0)</f>
        <v>90439.55</v>
      </c>
      <c r="AX1888" s="246">
        <f>IFERROR(VLOOKUP(H1888,VOL_REC[],2,FALSE),0)</f>
        <v>4325103.1812214684</v>
      </c>
      <c r="AY1888" s="246">
        <f>IFERROR(VLOOKUP(I1888,VOL_REC[],2,FALSE),0)</f>
        <v>3761786</v>
      </c>
      <c r="AZ1888" s="246">
        <f>IFERROR(VLOOKUP(J1888,VOL_REC[],2,FALSE),0)</f>
        <v>240696.79238099116</v>
      </c>
      <c r="BA1888" s="246">
        <f>IFERROR(VLOOKUP(K1888,VOL_REC[],2,FALSE),0)</f>
        <v>663244.80000000016</v>
      </c>
      <c r="BB1888" s="246">
        <f>IFERROR(VLOOKUP(L1888,VOL_REC[],2,FALSE),0)</f>
        <v>17074.045034105649</v>
      </c>
      <c r="BC1888" s="246">
        <f>IFERROR(VLOOKUP(M1888,VOL_REC[],2,FALSE),0)</f>
        <v>105072</v>
      </c>
      <c r="BD1888" s="246">
        <f>IFERROR(VLOOKUP(N1888,VOL_REC[],2,FALSE),0)</f>
        <v>1072354.9981737854</v>
      </c>
      <c r="BE1888" s="246">
        <f>IFERROR(VLOOKUP(O1888,VOL_REC[],2,FALSE),0)</f>
        <v>0</v>
      </c>
      <c r="BF1888" s="246">
        <f>IFERROR(VLOOKUP(P1888,VOL_REC[],2,FALSE),0)</f>
        <v>0</v>
      </c>
      <c r="BG1888" s="246">
        <f>IFERROR(VLOOKUP(Q1888,VOL_REC[],2,FALSE),0)</f>
        <v>0</v>
      </c>
      <c r="BH1888" s="1710">
        <f t="shared" si="120"/>
        <v>23223301949.87421</v>
      </c>
      <c r="BI1888" s="1710">
        <f t="shared" si="121"/>
        <v>22081009271.005688</v>
      </c>
      <c r="BJ1888" s="1711">
        <f t="shared" si="122"/>
        <v>21365445.566810355</v>
      </c>
      <c r="BK1888" s="1711">
        <f t="shared" si="123"/>
        <v>1.0517319052244796</v>
      </c>
      <c r="BL1888">
        <f>BJ1888</f>
        <v>21365445.566810355</v>
      </c>
      <c r="BO1888">
        <f>BL1888</f>
        <v>21365445.566810355</v>
      </c>
    </row>
    <row r="1889" spans="3:67" x14ac:dyDescent="0.25">
      <c r="C1889" s="246" t="s">
        <v>3239</v>
      </c>
      <c r="D1889" s="246">
        <v>1</v>
      </c>
      <c r="E1889" s="246">
        <v>2</v>
      </c>
      <c r="F1889" s="246">
        <v>3</v>
      </c>
      <c r="G1889" s="246">
        <v>4</v>
      </c>
      <c r="H1889" s="246">
        <v>5</v>
      </c>
      <c r="I1889" s="246">
        <v>9</v>
      </c>
      <c r="J1889" s="246">
        <v>12</v>
      </c>
      <c r="K1889" s="246">
        <v>13</v>
      </c>
      <c r="L1889" s="246">
        <v>14</v>
      </c>
      <c r="M1889" s="246">
        <v>15</v>
      </c>
      <c r="N1889" s="246">
        <v>17</v>
      </c>
      <c r="O1889" s="246"/>
      <c r="P1889" s="246"/>
      <c r="Q1889" s="246"/>
      <c r="R1889" s="246">
        <f>IFERROR(VLOOKUP(D1889,PROGRAMAS[],2,FALSE),0)</f>
        <v>97037803.679377079</v>
      </c>
      <c r="S1889" s="246">
        <f>IFERROR(VLOOKUP(E1889,PROGRAMAS[],2,FALSE),0)</f>
        <v>640501509.6821388</v>
      </c>
      <c r="T1889" s="246">
        <f>IFERROR(VLOOKUP(F1889,PROGRAMAS[],2,FALSE),0)</f>
        <v>3062327798.1525245</v>
      </c>
      <c r="U1889" s="246">
        <f>IFERROR(VLOOKUP(G1889,PROGRAMAS[],2,FALSE),0)</f>
        <v>67697118.033011258</v>
      </c>
      <c r="V1889" s="246">
        <f>IFERROR(VLOOKUP(H1889,PROGRAMAS[],2,FALSE),0)</f>
        <v>1440941976.2528784</v>
      </c>
      <c r="W1889" s="246">
        <f>IFERROR(VLOOKUP(I1889,PROGRAMAS[],2,FALSE),0)</f>
        <v>6128579952.1618185</v>
      </c>
      <c r="X1889" s="246">
        <f>IFERROR(VLOOKUP(J1889,PROGRAMAS[],2,FALSE),0)</f>
        <v>764796700.79905891</v>
      </c>
      <c r="Y1889" s="246">
        <f>IFERROR(VLOOKUP(K1889,PROGRAMAS[],2,FALSE),0)</f>
        <v>3776538594.4604583</v>
      </c>
      <c r="Z1889" s="246">
        <f>IFERROR(VLOOKUP(L1889,PROGRAMAS[],2,FALSE),0)</f>
        <v>54223862.645839565</v>
      </c>
      <c r="AA1889" s="246">
        <f>IFERROR(VLOOKUP(M1889,PROGRAMAS[],2,FALSE),0)</f>
        <v>122159672.96346797</v>
      </c>
      <c r="AB1889" s="246">
        <f>IFERROR(VLOOKUP(N1889,PROGRAMAS[],2,FALSE),0)</f>
        <v>1892779498.5211046</v>
      </c>
      <c r="AC1889" s="246">
        <f>IFERROR(VLOOKUP(O1889,PROGRAMAS[],2,FALSE),0)</f>
        <v>0</v>
      </c>
      <c r="AD1889" s="246">
        <f>IFERROR(VLOOKUP(P1889,PROGRAMAS[],2,FALSE),0)</f>
        <v>0</v>
      </c>
      <c r="AE1889" s="246">
        <f>IFERROR(VLOOKUP(Q1889,PROGRAMAS[],2,FALSE),0)</f>
        <v>0</v>
      </c>
      <c r="AF1889" s="246">
        <f>IFERROR(VLOOKUP(D1889,PROGRAMAS[],3,FALSE),0)</f>
        <v>841888629.31080008</v>
      </c>
      <c r="AG1889" s="246">
        <f>IFERROR(VLOOKUP(E1889,PROGRAMAS[],3,FALSE),0)</f>
        <v>3848980803.1642323</v>
      </c>
      <c r="AH1889" s="246">
        <f>IFERROR(VLOOKUP(F1889,PROGRAMAS[],3,FALSE),0)</f>
        <v>3394901471.387517</v>
      </c>
      <c r="AI1889" s="246">
        <f>IFERROR(VLOOKUP(G1889,PROGRAMAS[],3,FALSE),0)</f>
        <v>125317226.95549992</v>
      </c>
      <c r="AJ1889" s="246">
        <f>IFERROR(VLOOKUP(H1889,PROGRAMAS[],3,FALSE),0)</f>
        <v>1233505101.0616004</v>
      </c>
      <c r="AK1889" s="246">
        <f>IFERROR(VLOOKUP(I1889,PROGRAMAS[],3,FALSE),0)</f>
        <v>7011279577.519702</v>
      </c>
      <c r="AL1889" s="246">
        <f>IFERROR(VLOOKUP(J1889,PROGRAMAS[],3,FALSE),0)</f>
        <v>675517840.109828</v>
      </c>
      <c r="AM1889" s="246">
        <f>IFERROR(VLOOKUP(K1889,PROGRAMAS[],3,FALSE),0)</f>
        <v>2392571243.5584412</v>
      </c>
      <c r="AN1889" s="246">
        <f>IFERROR(VLOOKUP(L1889,PROGRAMAS[],3,FALSE),0)</f>
        <v>31865326.38096505</v>
      </c>
      <c r="AO1889" s="246">
        <f>IFERROR(VLOOKUP(M1889,PROGRAMAS[],3,FALSE),0)</f>
        <v>118617452.52510804</v>
      </c>
      <c r="AP1889" s="246">
        <f>IFERROR(VLOOKUP(N1889,PROGRAMAS[],3,FALSE),0)</f>
        <v>948595847.09039903</v>
      </c>
      <c r="AQ1889" s="246">
        <f>IFERROR(VLOOKUP(O1889,PROGRAMAS[],3,FALSE),0)</f>
        <v>0</v>
      </c>
      <c r="AR1889" s="246">
        <f>IFERROR(VLOOKUP(P1889,PROGRAMAS[],3,FALSE),0)</f>
        <v>0</v>
      </c>
      <c r="AS1889" s="246">
        <f>IFERROR(VLOOKUP(Q1889,PROGRAMAS[],3,FALSE),0)</f>
        <v>0</v>
      </c>
      <c r="AT1889" s="246">
        <f>IFERROR(VLOOKUP(D1889,VOL_REC[],2,FALSE),0)</f>
        <v>0</v>
      </c>
      <c r="AU1889" s="246">
        <f>IFERROR(VLOOKUP(E1889,VOL_REC[],2,FALSE),0)</f>
        <v>0</v>
      </c>
      <c r="AV1889" s="246">
        <f>IFERROR(VLOOKUP(F1889,VOL_REC[],2,FALSE),0)</f>
        <v>11089674.200000001</v>
      </c>
      <c r="AW1889" s="246">
        <f>IFERROR(VLOOKUP(G1889,VOL_REC[],2,FALSE),0)</f>
        <v>90439.55</v>
      </c>
      <c r="AX1889" s="246">
        <f>IFERROR(VLOOKUP(H1889,VOL_REC[],2,FALSE),0)</f>
        <v>4325103.1812214684</v>
      </c>
      <c r="AY1889" s="246">
        <f>IFERROR(VLOOKUP(I1889,VOL_REC[],2,FALSE),0)</f>
        <v>3761786</v>
      </c>
      <c r="AZ1889" s="246">
        <f>IFERROR(VLOOKUP(J1889,VOL_REC[],2,FALSE),0)</f>
        <v>240696.79238099116</v>
      </c>
      <c r="BA1889" s="246">
        <f>IFERROR(VLOOKUP(K1889,VOL_REC[],2,FALSE),0)</f>
        <v>663244.80000000016</v>
      </c>
      <c r="BB1889" s="246">
        <f>IFERROR(VLOOKUP(L1889,VOL_REC[],2,FALSE),0)</f>
        <v>17074.045034105649</v>
      </c>
      <c r="BC1889" s="246">
        <f>IFERROR(VLOOKUP(M1889,VOL_REC[],2,FALSE),0)</f>
        <v>105072</v>
      </c>
      <c r="BD1889" s="246">
        <f>IFERROR(VLOOKUP(N1889,VOL_REC[],2,FALSE),0)</f>
        <v>740113.98115702497</v>
      </c>
      <c r="BE1889" s="246">
        <f>IFERROR(VLOOKUP(O1889,VOL_REC[],2,FALSE),0)</f>
        <v>0</v>
      </c>
      <c r="BF1889" s="246">
        <f>IFERROR(VLOOKUP(P1889,VOL_REC[],2,FALSE),0)</f>
        <v>0</v>
      </c>
      <c r="BG1889" s="246">
        <f>IFERROR(VLOOKUP(Q1889,VOL_REC[],2,FALSE),0)</f>
        <v>0</v>
      </c>
      <c r="BH1889" s="1710">
        <f t="shared" si="120"/>
        <v>18047584487.351681</v>
      </c>
      <c r="BI1889" s="1710">
        <f t="shared" si="121"/>
        <v>20623040519.064098</v>
      </c>
      <c r="BJ1889" s="1711">
        <f t="shared" si="122"/>
        <v>21033204.549793594</v>
      </c>
      <c r="BK1889" s="1711">
        <f t="shared" si="123"/>
        <v>0.87511754004790676</v>
      </c>
    </row>
    <row r="1890" spans="3:67" x14ac:dyDescent="0.25">
      <c r="C1890" s="246" t="s">
        <v>3240</v>
      </c>
      <c r="D1890" s="246">
        <v>1</v>
      </c>
      <c r="E1890" s="246">
        <v>2</v>
      </c>
      <c r="F1890" s="246">
        <v>3</v>
      </c>
      <c r="G1890" s="246">
        <v>4</v>
      </c>
      <c r="H1890" s="246">
        <v>5</v>
      </c>
      <c r="I1890" s="246">
        <v>9</v>
      </c>
      <c r="J1890" s="246">
        <v>12</v>
      </c>
      <c r="K1890" s="246">
        <v>13</v>
      </c>
      <c r="L1890" s="246">
        <v>14</v>
      </c>
      <c r="M1890" s="246">
        <v>16</v>
      </c>
      <c r="N1890" s="246">
        <v>17</v>
      </c>
      <c r="O1890" s="246"/>
      <c r="P1890" s="246"/>
      <c r="Q1890" s="246"/>
      <c r="R1890" s="246">
        <f>IFERROR(VLOOKUP(D1890,PROGRAMAS[],2,FALSE),0)</f>
        <v>97037803.679377079</v>
      </c>
      <c r="S1890" s="246">
        <f>IFERROR(VLOOKUP(E1890,PROGRAMAS[],2,FALSE),0)</f>
        <v>640501509.6821388</v>
      </c>
      <c r="T1890" s="246">
        <f>IFERROR(VLOOKUP(F1890,PROGRAMAS[],2,FALSE),0)</f>
        <v>3062327798.1525245</v>
      </c>
      <c r="U1890" s="246">
        <f>IFERROR(VLOOKUP(G1890,PROGRAMAS[],2,FALSE),0)</f>
        <v>67697118.033011258</v>
      </c>
      <c r="V1890" s="246">
        <f>IFERROR(VLOOKUP(H1890,PROGRAMAS[],2,FALSE),0)</f>
        <v>1440941976.2528784</v>
      </c>
      <c r="W1890" s="246">
        <f>IFERROR(VLOOKUP(I1890,PROGRAMAS[],2,FALSE),0)</f>
        <v>6128579952.1618185</v>
      </c>
      <c r="X1890" s="246">
        <f>IFERROR(VLOOKUP(J1890,PROGRAMAS[],2,FALSE),0)</f>
        <v>764796700.79905891</v>
      </c>
      <c r="Y1890" s="246">
        <f>IFERROR(VLOOKUP(K1890,PROGRAMAS[],2,FALSE),0)</f>
        <v>3776538594.4604583</v>
      </c>
      <c r="Z1890" s="246">
        <f>IFERROR(VLOOKUP(L1890,PROGRAMAS[],2,FALSE),0)</f>
        <v>54223862.645839565</v>
      </c>
      <c r="AA1890" s="246">
        <f>IFERROR(VLOOKUP(M1890,PROGRAMAS[],2,FALSE),0)</f>
        <v>7068496961.0436354</v>
      </c>
      <c r="AB1890" s="246">
        <f>IFERROR(VLOOKUP(N1890,PROGRAMAS[],2,FALSE),0)</f>
        <v>1892779498.5211046</v>
      </c>
      <c r="AC1890" s="246">
        <f>IFERROR(VLOOKUP(O1890,PROGRAMAS[],2,FALSE),0)</f>
        <v>0</v>
      </c>
      <c r="AD1890" s="246">
        <f>IFERROR(VLOOKUP(P1890,PROGRAMAS[],2,FALSE),0)</f>
        <v>0</v>
      </c>
      <c r="AE1890" s="246">
        <f>IFERROR(VLOOKUP(Q1890,PROGRAMAS[],2,FALSE),0)</f>
        <v>0</v>
      </c>
      <c r="AF1890" s="246">
        <f>IFERROR(VLOOKUP(D1890,PROGRAMAS[],3,FALSE),0)</f>
        <v>841888629.31080008</v>
      </c>
      <c r="AG1890" s="246">
        <f>IFERROR(VLOOKUP(E1890,PROGRAMAS[],3,FALSE),0)</f>
        <v>3848980803.1642323</v>
      </c>
      <c r="AH1890" s="246">
        <f>IFERROR(VLOOKUP(F1890,PROGRAMAS[],3,FALSE),0)</f>
        <v>3394901471.387517</v>
      </c>
      <c r="AI1890" s="246">
        <f>IFERROR(VLOOKUP(G1890,PROGRAMAS[],3,FALSE),0)</f>
        <v>125317226.95549992</v>
      </c>
      <c r="AJ1890" s="246">
        <f>IFERROR(VLOOKUP(H1890,PROGRAMAS[],3,FALSE),0)</f>
        <v>1233505101.0616004</v>
      </c>
      <c r="AK1890" s="246">
        <f>IFERROR(VLOOKUP(I1890,PROGRAMAS[],3,FALSE),0)</f>
        <v>7011279577.519702</v>
      </c>
      <c r="AL1890" s="246">
        <f>IFERROR(VLOOKUP(J1890,PROGRAMAS[],3,FALSE),0)</f>
        <v>675517840.109828</v>
      </c>
      <c r="AM1890" s="246">
        <f>IFERROR(VLOOKUP(K1890,PROGRAMAS[],3,FALSE),0)</f>
        <v>2392571243.5584412</v>
      </c>
      <c r="AN1890" s="246">
        <f>IFERROR(VLOOKUP(L1890,PROGRAMAS[],3,FALSE),0)</f>
        <v>31865326.38096505</v>
      </c>
      <c r="AO1890" s="246">
        <f>IFERROR(VLOOKUP(M1890,PROGRAMAS[],3,FALSE),0)</f>
        <v>2406564599.0319901</v>
      </c>
      <c r="AP1890" s="246">
        <f>IFERROR(VLOOKUP(N1890,PROGRAMAS[],3,FALSE),0)</f>
        <v>948595847.09039903</v>
      </c>
      <c r="AQ1890" s="246">
        <f>IFERROR(VLOOKUP(O1890,PROGRAMAS[],3,FALSE),0)</f>
        <v>0</v>
      </c>
      <c r="AR1890" s="246">
        <f>IFERROR(VLOOKUP(P1890,PROGRAMAS[],3,FALSE),0)</f>
        <v>0</v>
      </c>
      <c r="AS1890" s="246">
        <f>IFERROR(VLOOKUP(Q1890,PROGRAMAS[],3,FALSE),0)</f>
        <v>0</v>
      </c>
      <c r="AT1890" s="246">
        <f>IFERROR(VLOOKUP(D1890,VOL_REC[],2,FALSE),0)</f>
        <v>0</v>
      </c>
      <c r="AU1890" s="246">
        <f>IFERROR(VLOOKUP(E1890,VOL_REC[],2,FALSE),0)</f>
        <v>0</v>
      </c>
      <c r="AV1890" s="246">
        <f>IFERROR(VLOOKUP(F1890,VOL_REC[],2,FALSE),0)</f>
        <v>11089674.200000001</v>
      </c>
      <c r="AW1890" s="246">
        <f>IFERROR(VLOOKUP(G1890,VOL_REC[],2,FALSE),0)</f>
        <v>90439.55</v>
      </c>
      <c r="AX1890" s="246">
        <f>IFERROR(VLOOKUP(H1890,VOL_REC[],2,FALSE),0)</f>
        <v>4325103.1812214684</v>
      </c>
      <c r="AY1890" s="246">
        <f>IFERROR(VLOOKUP(I1890,VOL_REC[],2,FALSE),0)</f>
        <v>3761786</v>
      </c>
      <c r="AZ1890" s="246">
        <f>IFERROR(VLOOKUP(J1890,VOL_REC[],2,FALSE),0)</f>
        <v>240696.79238099116</v>
      </c>
      <c r="BA1890" s="246">
        <f>IFERROR(VLOOKUP(K1890,VOL_REC[],2,FALSE),0)</f>
        <v>663244.80000000016</v>
      </c>
      <c r="BB1890" s="246">
        <f>IFERROR(VLOOKUP(L1890,VOL_REC[],2,FALSE),0)</f>
        <v>17074.045034105649</v>
      </c>
      <c r="BC1890" s="246">
        <f>IFERROR(VLOOKUP(M1890,VOL_REC[],2,FALSE),0)</f>
        <v>1072354.9981737854</v>
      </c>
      <c r="BD1890" s="246">
        <f>IFERROR(VLOOKUP(N1890,VOL_REC[],2,FALSE),0)</f>
        <v>740113.98115702497</v>
      </c>
      <c r="BE1890" s="246">
        <f>IFERROR(VLOOKUP(O1890,VOL_REC[],2,FALSE),0)</f>
        <v>0</v>
      </c>
      <c r="BF1890" s="246">
        <f>IFERROR(VLOOKUP(P1890,VOL_REC[],2,FALSE),0)</f>
        <v>0</v>
      </c>
      <c r="BG1890" s="246">
        <f>IFERROR(VLOOKUP(Q1890,VOL_REC[],2,FALSE),0)</f>
        <v>0</v>
      </c>
      <c r="BH1890" s="1710">
        <f t="shared" si="120"/>
        <v>24993921775.431847</v>
      </c>
      <c r="BI1890" s="1710">
        <f t="shared" si="121"/>
        <v>22910987665.57098</v>
      </c>
      <c r="BJ1890" s="1711">
        <f t="shared" si="122"/>
        <v>22000487.547967378</v>
      </c>
      <c r="BK1890" s="1711">
        <f t="shared" si="123"/>
        <v>1.0909141997833185</v>
      </c>
      <c r="BL1890">
        <f>BJ1890</f>
        <v>22000487.547967378</v>
      </c>
      <c r="BO1890">
        <f>BL1890</f>
        <v>22000487.547967378</v>
      </c>
    </row>
    <row r="1891" spans="3:67" x14ac:dyDescent="0.25">
      <c r="C1891" s="246" t="s">
        <v>3241</v>
      </c>
      <c r="D1891" s="246">
        <v>1</v>
      </c>
      <c r="E1891" s="246">
        <v>2</v>
      </c>
      <c r="F1891" s="246">
        <v>3</v>
      </c>
      <c r="G1891" s="246">
        <v>4</v>
      </c>
      <c r="H1891" s="246">
        <v>5</v>
      </c>
      <c r="I1891" s="246">
        <v>9</v>
      </c>
      <c r="J1891" s="246">
        <v>12</v>
      </c>
      <c r="K1891" s="246">
        <v>13</v>
      </c>
      <c r="L1891" s="246">
        <v>15</v>
      </c>
      <c r="M1891" s="246">
        <v>16</v>
      </c>
      <c r="N1891" s="246">
        <v>17</v>
      </c>
      <c r="O1891" s="246"/>
      <c r="P1891" s="246"/>
      <c r="Q1891" s="246"/>
      <c r="R1891" s="246">
        <f>IFERROR(VLOOKUP(D1891,PROGRAMAS[],2,FALSE),0)</f>
        <v>97037803.679377079</v>
      </c>
      <c r="S1891" s="246">
        <f>IFERROR(VLOOKUP(E1891,PROGRAMAS[],2,FALSE),0)</f>
        <v>640501509.6821388</v>
      </c>
      <c r="T1891" s="246">
        <f>IFERROR(VLOOKUP(F1891,PROGRAMAS[],2,FALSE),0)</f>
        <v>3062327798.1525245</v>
      </c>
      <c r="U1891" s="246">
        <f>IFERROR(VLOOKUP(G1891,PROGRAMAS[],2,FALSE),0)</f>
        <v>67697118.033011258</v>
      </c>
      <c r="V1891" s="246">
        <f>IFERROR(VLOOKUP(H1891,PROGRAMAS[],2,FALSE),0)</f>
        <v>1440941976.2528784</v>
      </c>
      <c r="W1891" s="246">
        <f>IFERROR(VLOOKUP(I1891,PROGRAMAS[],2,FALSE),0)</f>
        <v>6128579952.1618185</v>
      </c>
      <c r="X1891" s="246">
        <f>IFERROR(VLOOKUP(J1891,PROGRAMAS[],2,FALSE),0)</f>
        <v>764796700.79905891</v>
      </c>
      <c r="Y1891" s="246">
        <f>IFERROR(VLOOKUP(K1891,PROGRAMAS[],2,FALSE),0)</f>
        <v>3776538594.4604583</v>
      </c>
      <c r="Z1891" s="246">
        <f>IFERROR(VLOOKUP(L1891,PROGRAMAS[],2,FALSE),0)</f>
        <v>122159672.96346797</v>
      </c>
      <c r="AA1891" s="246">
        <f>IFERROR(VLOOKUP(M1891,PROGRAMAS[],2,FALSE),0)</f>
        <v>7068496961.0436354</v>
      </c>
      <c r="AB1891" s="246">
        <f>IFERROR(VLOOKUP(N1891,PROGRAMAS[],2,FALSE),0)</f>
        <v>1892779498.5211046</v>
      </c>
      <c r="AC1891" s="246">
        <f>IFERROR(VLOOKUP(O1891,PROGRAMAS[],2,FALSE),0)</f>
        <v>0</v>
      </c>
      <c r="AD1891" s="246">
        <f>IFERROR(VLOOKUP(P1891,PROGRAMAS[],2,FALSE),0)</f>
        <v>0</v>
      </c>
      <c r="AE1891" s="246">
        <f>IFERROR(VLOOKUP(Q1891,PROGRAMAS[],2,FALSE),0)</f>
        <v>0</v>
      </c>
      <c r="AF1891" s="246">
        <f>IFERROR(VLOOKUP(D1891,PROGRAMAS[],3,FALSE),0)</f>
        <v>841888629.31080008</v>
      </c>
      <c r="AG1891" s="246">
        <f>IFERROR(VLOOKUP(E1891,PROGRAMAS[],3,FALSE),0)</f>
        <v>3848980803.1642323</v>
      </c>
      <c r="AH1891" s="246">
        <f>IFERROR(VLOOKUP(F1891,PROGRAMAS[],3,FALSE),0)</f>
        <v>3394901471.387517</v>
      </c>
      <c r="AI1891" s="246">
        <f>IFERROR(VLOOKUP(G1891,PROGRAMAS[],3,FALSE),0)</f>
        <v>125317226.95549992</v>
      </c>
      <c r="AJ1891" s="246">
        <f>IFERROR(VLOOKUP(H1891,PROGRAMAS[],3,FALSE),0)</f>
        <v>1233505101.0616004</v>
      </c>
      <c r="AK1891" s="246">
        <f>IFERROR(VLOOKUP(I1891,PROGRAMAS[],3,FALSE),0)</f>
        <v>7011279577.519702</v>
      </c>
      <c r="AL1891" s="246">
        <f>IFERROR(VLOOKUP(J1891,PROGRAMAS[],3,FALSE),0)</f>
        <v>675517840.109828</v>
      </c>
      <c r="AM1891" s="246">
        <f>IFERROR(VLOOKUP(K1891,PROGRAMAS[],3,FALSE),0)</f>
        <v>2392571243.5584412</v>
      </c>
      <c r="AN1891" s="246">
        <f>IFERROR(VLOOKUP(L1891,PROGRAMAS[],3,FALSE),0)</f>
        <v>118617452.52510804</v>
      </c>
      <c r="AO1891" s="246">
        <f>IFERROR(VLOOKUP(M1891,PROGRAMAS[],3,FALSE),0)</f>
        <v>2406564599.0319901</v>
      </c>
      <c r="AP1891" s="246">
        <f>IFERROR(VLOOKUP(N1891,PROGRAMAS[],3,FALSE),0)</f>
        <v>948595847.09039903</v>
      </c>
      <c r="AQ1891" s="246">
        <f>IFERROR(VLOOKUP(O1891,PROGRAMAS[],3,FALSE),0)</f>
        <v>0</v>
      </c>
      <c r="AR1891" s="246">
        <f>IFERROR(VLOOKUP(P1891,PROGRAMAS[],3,FALSE),0)</f>
        <v>0</v>
      </c>
      <c r="AS1891" s="246">
        <f>IFERROR(VLOOKUP(Q1891,PROGRAMAS[],3,FALSE),0)</f>
        <v>0</v>
      </c>
      <c r="AT1891" s="246">
        <f>IFERROR(VLOOKUP(D1891,VOL_REC[],2,FALSE),0)</f>
        <v>0</v>
      </c>
      <c r="AU1891" s="246">
        <f>IFERROR(VLOOKUP(E1891,VOL_REC[],2,FALSE),0)</f>
        <v>0</v>
      </c>
      <c r="AV1891" s="246">
        <f>IFERROR(VLOOKUP(F1891,VOL_REC[],2,FALSE),0)</f>
        <v>11089674.200000001</v>
      </c>
      <c r="AW1891" s="246">
        <f>IFERROR(VLOOKUP(G1891,VOL_REC[],2,FALSE),0)</f>
        <v>90439.55</v>
      </c>
      <c r="AX1891" s="246">
        <f>IFERROR(VLOOKUP(H1891,VOL_REC[],2,FALSE),0)</f>
        <v>4325103.1812214684</v>
      </c>
      <c r="AY1891" s="246">
        <f>IFERROR(VLOOKUP(I1891,VOL_REC[],2,FALSE),0)</f>
        <v>3761786</v>
      </c>
      <c r="AZ1891" s="246">
        <f>IFERROR(VLOOKUP(J1891,VOL_REC[],2,FALSE),0)</f>
        <v>240696.79238099116</v>
      </c>
      <c r="BA1891" s="246">
        <f>IFERROR(VLOOKUP(K1891,VOL_REC[],2,FALSE),0)</f>
        <v>663244.80000000016</v>
      </c>
      <c r="BB1891" s="246">
        <f>IFERROR(VLOOKUP(L1891,VOL_REC[],2,FALSE),0)</f>
        <v>105072</v>
      </c>
      <c r="BC1891" s="246">
        <f>IFERROR(VLOOKUP(M1891,VOL_REC[],2,FALSE),0)</f>
        <v>1072354.9981737854</v>
      </c>
      <c r="BD1891" s="246">
        <f>IFERROR(VLOOKUP(N1891,VOL_REC[],2,FALSE),0)</f>
        <v>740113.98115702497</v>
      </c>
      <c r="BE1891" s="246">
        <f>IFERROR(VLOOKUP(O1891,VOL_REC[],2,FALSE),0)</f>
        <v>0</v>
      </c>
      <c r="BF1891" s="246">
        <f>IFERROR(VLOOKUP(P1891,VOL_REC[],2,FALSE),0)</f>
        <v>0</v>
      </c>
      <c r="BG1891" s="246">
        <f>IFERROR(VLOOKUP(Q1891,VOL_REC[],2,FALSE),0)</f>
        <v>0</v>
      </c>
      <c r="BH1891" s="1710">
        <f t="shared" si="120"/>
        <v>25061857585.749474</v>
      </c>
      <c r="BI1891" s="1710">
        <f t="shared" si="121"/>
        <v>22997739791.715122</v>
      </c>
      <c r="BJ1891" s="1711">
        <f t="shared" si="122"/>
        <v>22088485.502933271</v>
      </c>
      <c r="BK1891" s="1711">
        <f t="shared" si="123"/>
        <v>1.0897530719422239</v>
      </c>
      <c r="BL1891">
        <f>BJ1891</f>
        <v>22088485.502933271</v>
      </c>
      <c r="BO1891">
        <f>BL1891</f>
        <v>22088485.502933271</v>
      </c>
    </row>
    <row r="1892" spans="3:67" x14ac:dyDescent="0.25">
      <c r="C1892" s="246" t="s">
        <v>3242</v>
      </c>
      <c r="D1892" s="246">
        <v>1</v>
      </c>
      <c r="E1892" s="246">
        <v>2</v>
      </c>
      <c r="F1892" s="246">
        <v>3</v>
      </c>
      <c r="G1892" s="246">
        <v>4</v>
      </c>
      <c r="H1892" s="246">
        <v>5</v>
      </c>
      <c r="I1892" s="246">
        <v>9</v>
      </c>
      <c r="J1892" s="246">
        <v>12</v>
      </c>
      <c r="K1892" s="246">
        <v>14</v>
      </c>
      <c r="L1892" s="246">
        <v>15</v>
      </c>
      <c r="M1892" s="246">
        <v>16</v>
      </c>
      <c r="N1892" s="246">
        <v>17</v>
      </c>
      <c r="O1892" s="246"/>
      <c r="P1892" s="246"/>
      <c r="Q1892" s="246"/>
      <c r="R1892" s="246">
        <f>IFERROR(VLOOKUP(D1892,PROGRAMAS[],2,FALSE),0)</f>
        <v>97037803.679377079</v>
      </c>
      <c r="S1892" s="246">
        <f>IFERROR(VLOOKUP(E1892,PROGRAMAS[],2,FALSE),0)</f>
        <v>640501509.6821388</v>
      </c>
      <c r="T1892" s="246">
        <f>IFERROR(VLOOKUP(F1892,PROGRAMAS[],2,FALSE),0)</f>
        <v>3062327798.1525245</v>
      </c>
      <c r="U1892" s="246">
        <f>IFERROR(VLOOKUP(G1892,PROGRAMAS[],2,FALSE),0)</f>
        <v>67697118.033011258</v>
      </c>
      <c r="V1892" s="246">
        <f>IFERROR(VLOOKUP(H1892,PROGRAMAS[],2,FALSE),0)</f>
        <v>1440941976.2528784</v>
      </c>
      <c r="W1892" s="246">
        <f>IFERROR(VLOOKUP(I1892,PROGRAMAS[],2,FALSE),0)</f>
        <v>6128579952.1618185</v>
      </c>
      <c r="X1892" s="246">
        <f>IFERROR(VLOOKUP(J1892,PROGRAMAS[],2,FALSE),0)</f>
        <v>764796700.79905891</v>
      </c>
      <c r="Y1892" s="246">
        <f>IFERROR(VLOOKUP(K1892,PROGRAMAS[],2,FALSE),0)</f>
        <v>54223862.645839565</v>
      </c>
      <c r="Z1892" s="246">
        <f>IFERROR(VLOOKUP(L1892,PROGRAMAS[],2,FALSE),0)</f>
        <v>122159672.96346797</v>
      </c>
      <c r="AA1892" s="246">
        <f>IFERROR(VLOOKUP(M1892,PROGRAMAS[],2,FALSE),0)</f>
        <v>7068496961.0436354</v>
      </c>
      <c r="AB1892" s="246">
        <f>IFERROR(VLOOKUP(N1892,PROGRAMAS[],2,FALSE),0)</f>
        <v>1892779498.5211046</v>
      </c>
      <c r="AC1892" s="246">
        <f>IFERROR(VLOOKUP(O1892,PROGRAMAS[],2,FALSE),0)</f>
        <v>0</v>
      </c>
      <c r="AD1892" s="246">
        <f>IFERROR(VLOOKUP(P1892,PROGRAMAS[],2,FALSE),0)</f>
        <v>0</v>
      </c>
      <c r="AE1892" s="246">
        <f>IFERROR(VLOOKUP(Q1892,PROGRAMAS[],2,FALSE),0)</f>
        <v>0</v>
      </c>
      <c r="AF1892" s="246">
        <f>IFERROR(VLOOKUP(D1892,PROGRAMAS[],3,FALSE),0)</f>
        <v>841888629.31080008</v>
      </c>
      <c r="AG1892" s="246">
        <f>IFERROR(VLOOKUP(E1892,PROGRAMAS[],3,FALSE),0)</f>
        <v>3848980803.1642323</v>
      </c>
      <c r="AH1892" s="246">
        <f>IFERROR(VLOOKUP(F1892,PROGRAMAS[],3,FALSE),0)</f>
        <v>3394901471.387517</v>
      </c>
      <c r="AI1892" s="246">
        <f>IFERROR(VLOOKUP(G1892,PROGRAMAS[],3,FALSE),0)</f>
        <v>125317226.95549992</v>
      </c>
      <c r="AJ1892" s="246">
        <f>IFERROR(VLOOKUP(H1892,PROGRAMAS[],3,FALSE),0)</f>
        <v>1233505101.0616004</v>
      </c>
      <c r="AK1892" s="246">
        <f>IFERROR(VLOOKUP(I1892,PROGRAMAS[],3,FALSE),0)</f>
        <v>7011279577.519702</v>
      </c>
      <c r="AL1892" s="246">
        <f>IFERROR(VLOOKUP(J1892,PROGRAMAS[],3,FALSE),0)</f>
        <v>675517840.109828</v>
      </c>
      <c r="AM1892" s="246">
        <f>IFERROR(VLOOKUP(K1892,PROGRAMAS[],3,FALSE),0)</f>
        <v>31865326.38096505</v>
      </c>
      <c r="AN1892" s="246">
        <f>IFERROR(VLOOKUP(L1892,PROGRAMAS[],3,FALSE),0)</f>
        <v>118617452.52510804</v>
      </c>
      <c r="AO1892" s="246">
        <f>IFERROR(VLOOKUP(M1892,PROGRAMAS[],3,FALSE),0)</f>
        <v>2406564599.0319901</v>
      </c>
      <c r="AP1892" s="246">
        <f>IFERROR(VLOOKUP(N1892,PROGRAMAS[],3,FALSE),0)</f>
        <v>948595847.09039903</v>
      </c>
      <c r="AQ1892" s="246">
        <f>IFERROR(VLOOKUP(O1892,PROGRAMAS[],3,FALSE),0)</f>
        <v>0</v>
      </c>
      <c r="AR1892" s="246">
        <f>IFERROR(VLOOKUP(P1892,PROGRAMAS[],3,FALSE),0)</f>
        <v>0</v>
      </c>
      <c r="AS1892" s="246">
        <f>IFERROR(VLOOKUP(Q1892,PROGRAMAS[],3,FALSE),0)</f>
        <v>0</v>
      </c>
      <c r="AT1892" s="246">
        <f>IFERROR(VLOOKUP(D1892,VOL_REC[],2,FALSE),0)</f>
        <v>0</v>
      </c>
      <c r="AU1892" s="246">
        <f>IFERROR(VLOOKUP(E1892,VOL_REC[],2,FALSE),0)</f>
        <v>0</v>
      </c>
      <c r="AV1892" s="246">
        <f>IFERROR(VLOOKUP(F1892,VOL_REC[],2,FALSE),0)</f>
        <v>11089674.200000001</v>
      </c>
      <c r="AW1892" s="246">
        <f>IFERROR(VLOOKUP(G1892,VOL_REC[],2,FALSE),0)</f>
        <v>90439.55</v>
      </c>
      <c r="AX1892" s="246">
        <f>IFERROR(VLOOKUP(H1892,VOL_REC[],2,FALSE),0)</f>
        <v>4325103.1812214684</v>
      </c>
      <c r="AY1892" s="246">
        <f>IFERROR(VLOOKUP(I1892,VOL_REC[],2,FALSE),0)</f>
        <v>3761786</v>
      </c>
      <c r="AZ1892" s="246">
        <f>IFERROR(VLOOKUP(J1892,VOL_REC[],2,FALSE),0)</f>
        <v>240696.79238099116</v>
      </c>
      <c r="BA1892" s="246">
        <f>IFERROR(VLOOKUP(K1892,VOL_REC[],2,FALSE),0)</f>
        <v>17074.045034105649</v>
      </c>
      <c r="BB1892" s="246">
        <f>IFERROR(VLOOKUP(L1892,VOL_REC[],2,FALSE),0)</f>
        <v>105072</v>
      </c>
      <c r="BC1892" s="246">
        <f>IFERROR(VLOOKUP(M1892,VOL_REC[],2,FALSE),0)</f>
        <v>1072354.9981737854</v>
      </c>
      <c r="BD1892" s="246">
        <f>IFERROR(VLOOKUP(N1892,VOL_REC[],2,FALSE),0)</f>
        <v>740113.98115702497</v>
      </c>
      <c r="BE1892" s="246">
        <f>IFERROR(VLOOKUP(O1892,VOL_REC[],2,FALSE),0)</f>
        <v>0</v>
      </c>
      <c r="BF1892" s="246">
        <f>IFERROR(VLOOKUP(P1892,VOL_REC[],2,FALSE),0)</f>
        <v>0</v>
      </c>
      <c r="BG1892" s="246">
        <f>IFERROR(VLOOKUP(Q1892,VOL_REC[],2,FALSE),0)</f>
        <v>0</v>
      </c>
      <c r="BH1892" s="1710">
        <f t="shared" si="120"/>
        <v>21339542853.934856</v>
      </c>
      <c r="BI1892" s="1710">
        <f t="shared" si="121"/>
        <v>20637033874.537643</v>
      </c>
      <c r="BJ1892" s="1711">
        <f t="shared" si="122"/>
        <v>21442314.747967377</v>
      </c>
      <c r="BK1892" s="1711">
        <f t="shared" si="123"/>
        <v>1.0340411797387212</v>
      </c>
      <c r="BL1892">
        <f>BJ1892</f>
        <v>21442314.747967377</v>
      </c>
      <c r="BO1892">
        <f>BL1892</f>
        <v>21442314.747967377</v>
      </c>
    </row>
    <row r="1893" spans="3:67" x14ac:dyDescent="0.25">
      <c r="C1893" s="246" t="s">
        <v>3243</v>
      </c>
      <c r="D1893" s="246">
        <v>1</v>
      </c>
      <c r="E1893" s="246">
        <v>2</v>
      </c>
      <c r="F1893" s="246">
        <v>3</v>
      </c>
      <c r="G1893" s="246">
        <v>4</v>
      </c>
      <c r="H1893" s="246">
        <v>5</v>
      </c>
      <c r="I1893" s="246">
        <v>9</v>
      </c>
      <c r="J1893" s="246">
        <v>13</v>
      </c>
      <c r="K1893" s="246">
        <v>14</v>
      </c>
      <c r="L1893" s="246">
        <v>15</v>
      </c>
      <c r="M1893" s="246">
        <v>16</v>
      </c>
      <c r="N1893" s="246">
        <v>17</v>
      </c>
      <c r="O1893" s="246"/>
      <c r="P1893" s="246"/>
      <c r="Q1893" s="246"/>
      <c r="R1893" s="246">
        <f>IFERROR(VLOOKUP(D1893,PROGRAMAS[],2,FALSE),0)</f>
        <v>97037803.679377079</v>
      </c>
      <c r="S1893" s="246">
        <f>IFERROR(VLOOKUP(E1893,PROGRAMAS[],2,FALSE),0)</f>
        <v>640501509.6821388</v>
      </c>
      <c r="T1893" s="246">
        <f>IFERROR(VLOOKUP(F1893,PROGRAMAS[],2,FALSE),0)</f>
        <v>3062327798.1525245</v>
      </c>
      <c r="U1893" s="246">
        <f>IFERROR(VLOOKUP(G1893,PROGRAMAS[],2,FALSE),0)</f>
        <v>67697118.033011258</v>
      </c>
      <c r="V1893" s="246">
        <f>IFERROR(VLOOKUP(H1893,PROGRAMAS[],2,FALSE),0)</f>
        <v>1440941976.2528784</v>
      </c>
      <c r="W1893" s="246">
        <f>IFERROR(VLOOKUP(I1893,PROGRAMAS[],2,FALSE),0)</f>
        <v>6128579952.1618185</v>
      </c>
      <c r="X1893" s="246">
        <f>IFERROR(VLOOKUP(J1893,PROGRAMAS[],2,FALSE),0)</f>
        <v>3776538594.4604583</v>
      </c>
      <c r="Y1893" s="246">
        <f>IFERROR(VLOOKUP(K1893,PROGRAMAS[],2,FALSE),0)</f>
        <v>54223862.645839565</v>
      </c>
      <c r="Z1893" s="246">
        <f>IFERROR(VLOOKUP(L1893,PROGRAMAS[],2,FALSE),0)</f>
        <v>122159672.96346797</v>
      </c>
      <c r="AA1893" s="246">
        <f>IFERROR(VLOOKUP(M1893,PROGRAMAS[],2,FALSE),0)</f>
        <v>7068496961.0436354</v>
      </c>
      <c r="AB1893" s="246">
        <f>IFERROR(VLOOKUP(N1893,PROGRAMAS[],2,FALSE),0)</f>
        <v>1892779498.5211046</v>
      </c>
      <c r="AC1893" s="246">
        <f>IFERROR(VLOOKUP(O1893,PROGRAMAS[],2,FALSE),0)</f>
        <v>0</v>
      </c>
      <c r="AD1893" s="246">
        <f>IFERROR(VLOOKUP(P1893,PROGRAMAS[],2,FALSE),0)</f>
        <v>0</v>
      </c>
      <c r="AE1893" s="246">
        <f>IFERROR(VLOOKUP(Q1893,PROGRAMAS[],2,FALSE),0)</f>
        <v>0</v>
      </c>
      <c r="AF1893" s="246">
        <f>IFERROR(VLOOKUP(D1893,PROGRAMAS[],3,FALSE),0)</f>
        <v>841888629.31080008</v>
      </c>
      <c r="AG1893" s="246">
        <f>IFERROR(VLOOKUP(E1893,PROGRAMAS[],3,FALSE),0)</f>
        <v>3848980803.1642323</v>
      </c>
      <c r="AH1893" s="246">
        <f>IFERROR(VLOOKUP(F1893,PROGRAMAS[],3,FALSE),0)</f>
        <v>3394901471.387517</v>
      </c>
      <c r="AI1893" s="246">
        <f>IFERROR(VLOOKUP(G1893,PROGRAMAS[],3,FALSE),0)</f>
        <v>125317226.95549992</v>
      </c>
      <c r="AJ1893" s="246">
        <f>IFERROR(VLOOKUP(H1893,PROGRAMAS[],3,FALSE),0)</f>
        <v>1233505101.0616004</v>
      </c>
      <c r="AK1893" s="246">
        <f>IFERROR(VLOOKUP(I1893,PROGRAMAS[],3,FALSE),0)</f>
        <v>7011279577.519702</v>
      </c>
      <c r="AL1893" s="246">
        <f>IFERROR(VLOOKUP(J1893,PROGRAMAS[],3,FALSE),0)</f>
        <v>2392571243.5584412</v>
      </c>
      <c r="AM1893" s="246">
        <f>IFERROR(VLOOKUP(K1893,PROGRAMAS[],3,FALSE),0)</f>
        <v>31865326.38096505</v>
      </c>
      <c r="AN1893" s="246">
        <f>IFERROR(VLOOKUP(L1893,PROGRAMAS[],3,FALSE),0)</f>
        <v>118617452.52510804</v>
      </c>
      <c r="AO1893" s="246">
        <f>IFERROR(VLOOKUP(M1893,PROGRAMAS[],3,FALSE),0)</f>
        <v>2406564599.0319901</v>
      </c>
      <c r="AP1893" s="246">
        <f>IFERROR(VLOOKUP(N1893,PROGRAMAS[],3,FALSE),0)</f>
        <v>948595847.09039903</v>
      </c>
      <c r="AQ1893" s="246">
        <f>IFERROR(VLOOKUP(O1893,PROGRAMAS[],3,FALSE),0)</f>
        <v>0</v>
      </c>
      <c r="AR1893" s="246">
        <f>IFERROR(VLOOKUP(P1893,PROGRAMAS[],3,FALSE),0)</f>
        <v>0</v>
      </c>
      <c r="AS1893" s="246">
        <f>IFERROR(VLOOKUP(Q1893,PROGRAMAS[],3,FALSE),0)</f>
        <v>0</v>
      </c>
      <c r="AT1893" s="246">
        <f>IFERROR(VLOOKUP(D1893,VOL_REC[],2,FALSE),0)</f>
        <v>0</v>
      </c>
      <c r="AU1893" s="246">
        <f>IFERROR(VLOOKUP(E1893,VOL_REC[],2,FALSE),0)</f>
        <v>0</v>
      </c>
      <c r="AV1893" s="246">
        <f>IFERROR(VLOOKUP(F1893,VOL_REC[],2,FALSE),0)</f>
        <v>11089674.200000001</v>
      </c>
      <c r="AW1893" s="246">
        <f>IFERROR(VLOOKUP(G1893,VOL_REC[],2,FALSE),0)</f>
        <v>90439.55</v>
      </c>
      <c r="AX1893" s="246">
        <f>IFERROR(VLOOKUP(H1893,VOL_REC[],2,FALSE),0)</f>
        <v>4325103.1812214684</v>
      </c>
      <c r="AY1893" s="246">
        <f>IFERROR(VLOOKUP(I1893,VOL_REC[],2,FALSE),0)</f>
        <v>3761786</v>
      </c>
      <c r="AZ1893" s="246">
        <f>IFERROR(VLOOKUP(J1893,VOL_REC[],2,FALSE),0)</f>
        <v>663244.80000000016</v>
      </c>
      <c r="BA1893" s="246">
        <f>IFERROR(VLOOKUP(K1893,VOL_REC[],2,FALSE),0)</f>
        <v>17074.045034105649</v>
      </c>
      <c r="BB1893" s="246">
        <f>IFERROR(VLOOKUP(L1893,VOL_REC[],2,FALSE),0)</f>
        <v>105072</v>
      </c>
      <c r="BC1893" s="246">
        <f>IFERROR(VLOOKUP(M1893,VOL_REC[],2,FALSE),0)</f>
        <v>1072354.9981737854</v>
      </c>
      <c r="BD1893" s="246">
        <f>IFERROR(VLOOKUP(N1893,VOL_REC[],2,FALSE),0)</f>
        <v>740113.98115702497</v>
      </c>
      <c r="BE1893" s="246">
        <f>IFERROR(VLOOKUP(O1893,VOL_REC[],2,FALSE),0)</f>
        <v>0</v>
      </c>
      <c r="BF1893" s="246">
        <f>IFERROR(VLOOKUP(P1893,VOL_REC[],2,FALSE),0)</f>
        <v>0</v>
      </c>
      <c r="BG1893" s="246">
        <f>IFERROR(VLOOKUP(Q1893,VOL_REC[],2,FALSE),0)</f>
        <v>0</v>
      </c>
      <c r="BH1893" s="1710">
        <f t="shared" si="120"/>
        <v>24351284747.596256</v>
      </c>
      <c r="BI1893" s="1710">
        <f t="shared" si="121"/>
        <v>22354087277.986259</v>
      </c>
      <c r="BJ1893" s="1711">
        <f t="shared" si="122"/>
        <v>21864862.755586386</v>
      </c>
      <c r="BK1893" s="1711">
        <f t="shared" si="123"/>
        <v>1.089343726933409</v>
      </c>
      <c r="BL1893">
        <f>BJ1893</f>
        <v>21864862.755586386</v>
      </c>
      <c r="BO1893">
        <f>BL1893</f>
        <v>21864862.755586386</v>
      </c>
    </row>
    <row r="1894" spans="3:67" x14ac:dyDescent="0.25">
      <c r="C1894" s="246" t="s">
        <v>3244</v>
      </c>
      <c r="D1894" s="246">
        <v>1</v>
      </c>
      <c r="E1894" s="246">
        <v>2</v>
      </c>
      <c r="F1894" s="246">
        <v>3</v>
      </c>
      <c r="G1894" s="246">
        <v>4</v>
      </c>
      <c r="H1894" s="246">
        <v>5</v>
      </c>
      <c r="I1894" s="246">
        <v>10</v>
      </c>
      <c r="J1894" s="246">
        <v>12</v>
      </c>
      <c r="K1894" s="246">
        <v>13</v>
      </c>
      <c r="L1894" s="246">
        <v>14</v>
      </c>
      <c r="M1894" s="246">
        <v>15</v>
      </c>
      <c r="N1894" s="246">
        <v>16</v>
      </c>
      <c r="O1894" s="246"/>
      <c r="P1894" s="246"/>
      <c r="Q1894" s="246"/>
      <c r="R1894" s="246">
        <f>IFERROR(VLOOKUP(D1894,PROGRAMAS[],2,FALSE),0)</f>
        <v>97037803.679377079</v>
      </c>
      <c r="S1894" s="246">
        <f>IFERROR(VLOOKUP(E1894,PROGRAMAS[],2,FALSE),0)</f>
        <v>640501509.6821388</v>
      </c>
      <c r="T1894" s="246">
        <f>IFERROR(VLOOKUP(F1894,PROGRAMAS[],2,FALSE),0)</f>
        <v>3062327798.1525245</v>
      </c>
      <c r="U1894" s="246">
        <f>IFERROR(VLOOKUP(G1894,PROGRAMAS[],2,FALSE),0)</f>
        <v>67697118.033011258</v>
      </c>
      <c r="V1894" s="246">
        <f>IFERROR(VLOOKUP(H1894,PROGRAMAS[],2,FALSE),0)</f>
        <v>1440941976.2528784</v>
      </c>
      <c r="W1894" s="246">
        <f>IFERROR(VLOOKUP(I1894,PROGRAMAS[],2,FALSE),0)</f>
        <v>4635315027.8751087</v>
      </c>
      <c r="X1894" s="246">
        <f>IFERROR(VLOOKUP(J1894,PROGRAMAS[],2,FALSE),0)</f>
        <v>764796700.79905891</v>
      </c>
      <c r="Y1894" s="246">
        <f>IFERROR(VLOOKUP(K1894,PROGRAMAS[],2,FALSE),0)</f>
        <v>3776538594.4604583</v>
      </c>
      <c r="Z1894" s="246">
        <f>IFERROR(VLOOKUP(L1894,PROGRAMAS[],2,FALSE),0)</f>
        <v>54223862.645839565</v>
      </c>
      <c r="AA1894" s="246">
        <f>IFERROR(VLOOKUP(M1894,PROGRAMAS[],2,FALSE),0)</f>
        <v>122159672.96346797</v>
      </c>
      <c r="AB1894" s="246">
        <f>IFERROR(VLOOKUP(N1894,PROGRAMAS[],2,FALSE),0)</f>
        <v>7068496961.0436354</v>
      </c>
      <c r="AC1894" s="246">
        <f>IFERROR(VLOOKUP(O1894,PROGRAMAS[],2,FALSE),0)</f>
        <v>0</v>
      </c>
      <c r="AD1894" s="246">
        <f>IFERROR(VLOOKUP(P1894,PROGRAMAS[],2,FALSE),0)</f>
        <v>0</v>
      </c>
      <c r="AE1894" s="246">
        <f>IFERROR(VLOOKUP(Q1894,PROGRAMAS[],2,FALSE),0)</f>
        <v>0</v>
      </c>
      <c r="AF1894" s="246">
        <f>IFERROR(VLOOKUP(D1894,PROGRAMAS[],3,FALSE),0)</f>
        <v>841888629.31080008</v>
      </c>
      <c r="AG1894" s="246">
        <f>IFERROR(VLOOKUP(E1894,PROGRAMAS[],3,FALSE),0)</f>
        <v>3848980803.1642323</v>
      </c>
      <c r="AH1894" s="246">
        <f>IFERROR(VLOOKUP(F1894,PROGRAMAS[],3,FALSE),0)</f>
        <v>3394901471.387517</v>
      </c>
      <c r="AI1894" s="246">
        <f>IFERROR(VLOOKUP(G1894,PROGRAMAS[],3,FALSE),0)</f>
        <v>125317226.95549992</v>
      </c>
      <c r="AJ1894" s="246">
        <f>IFERROR(VLOOKUP(H1894,PROGRAMAS[],3,FALSE),0)</f>
        <v>1233505101.0616004</v>
      </c>
      <c r="AK1894" s="246">
        <f>IFERROR(VLOOKUP(I1894,PROGRAMAS[],3,FALSE),0)</f>
        <v>4099471734.9978786</v>
      </c>
      <c r="AL1894" s="246">
        <f>IFERROR(VLOOKUP(J1894,PROGRAMAS[],3,FALSE),0)</f>
        <v>675517840.109828</v>
      </c>
      <c r="AM1894" s="246">
        <f>IFERROR(VLOOKUP(K1894,PROGRAMAS[],3,FALSE),0)</f>
        <v>2392571243.5584412</v>
      </c>
      <c r="AN1894" s="246">
        <f>IFERROR(VLOOKUP(L1894,PROGRAMAS[],3,FALSE),0)</f>
        <v>31865326.38096505</v>
      </c>
      <c r="AO1894" s="246">
        <f>IFERROR(VLOOKUP(M1894,PROGRAMAS[],3,FALSE),0)</f>
        <v>118617452.52510804</v>
      </c>
      <c r="AP1894" s="246">
        <f>IFERROR(VLOOKUP(N1894,PROGRAMAS[],3,FALSE),0)</f>
        <v>2406564599.0319901</v>
      </c>
      <c r="AQ1894" s="246">
        <f>IFERROR(VLOOKUP(O1894,PROGRAMAS[],3,FALSE),0)</f>
        <v>0</v>
      </c>
      <c r="AR1894" s="246">
        <f>IFERROR(VLOOKUP(P1894,PROGRAMAS[],3,FALSE),0)</f>
        <v>0</v>
      </c>
      <c r="AS1894" s="246">
        <f>IFERROR(VLOOKUP(Q1894,PROGRAMAS[],3,FALSE),0)</f>
        <v>0</v>
      </c>
      <c r="AT1894" s="246">
        <f>IFERROR(VLOOKUP(D1894,VOL_REC[],2,FALSE),0)</f>
        <v>0</v>
      </c>
      <c r="AU1894" s="246">
        <f>IFERROR(VLOOKUP(E1894,VOL_REC[],2,FALSE),0)</f>
        <v>0</v>
      </c>
      <c r="AV1894" s="246">
        <f>IFERROR(VLOOKUP(F1894,VOL_REC[],2,FALSE),0)</f>
        <v>11089674.200000001</v>
      </c>
      <c r="AW1894" s="246">
        <f>IFERROR(VLOOKUP(G1894,VOL_REC[],2,FALSE),0)</f>
        <v>90439.55</v>
      </c>
      <c r="AX1894" s="246">
        <f>IFERROR(VLOOKUP(H1894,VOL_REC[],2,FALSE),0)</f>
        <v>4325103.1812214684</v>
      </c>
      <c r="AY1894" s="246">
        <f>IFERROR(VLOOKUP(I1894,VOL_REC[],2,FALSE),0)</f>
        <v>1812240</v>
      </c>
      <c r="AZ1894" s="246">
        <f>IFERROR(VLOOKUP(J1894,VOL_REC[],2,FALSE),0)</f>
        <v>240696.79238099116</v>
      </c>
      <c r="BA1894" s="246">
        <f>IFERROR(VLOOKUP(K1894,VOL_REC[],2,FALSE),0)</f>
        <v>663244.80000000016</v>
      </c>
      <c r="BB1894" s="246">
        <f>IFERROR(VLOOKUP(L1894,VOL_REC[],2,FALSE),0)</f>
        <v>17074.045034105649</v>
      </c>
      <c r="BC1894" s="246">
        <f>IFERROR(VLOOKUP(M1894,VOL_REC[],2,FALSE),0)</f>
        <v>105072</v>
      </c>
      <c r="BD1894" s="246">
        <f>IFERROR(VLOOKUP(N1894,VOL_REC[],2,FALSE),0)</f>
        <v>1072354.9981737854</v>
      </c>
      <c r="BE1894" s="246">
        <f>IFERROR(VLOOKUP(O1894,VOL_REC[],2,FALSE),0)</f>
        <v>0</v>
      </c>
      <c r="BF1894" s="246">
        <f>IFERROR(VLOOKUP(P1894,VOL_REC[],2,FALSE),0)</f>
        <v>0</v>
      </c>
      <c r="BG1894" s="246">
        <f>IFERROR(VLOOKUP(Q1894,VOL_REC[],2,FALSE),0)</f>
        <v>0</v>
      </c>
      <c r="BH1894" s="1710">
        <f t="shared" si="120"/>
        <v>21730037025.587502</v>
      </c>
      <c r="BI1894" s="1710">
        <f t="shared" si="121"/>
        <v>19169201428.483864</v>
      </c>
      <c r="BJ1894" s="1711">
        <f t="shared" si="122"/>
        <v>19415899.566810355</v>
      </c>
      <c r="BK1894" s="1711">
        <f t="shared" si="123"/>
        <v>1.1335911465408488</v>
      </c>
      <c r="BL1894">
        <f>BJ1894</f>
        <v>19415899.566810355</v>
      </c>
      <c r="BO1894">
        <f>BL1894</f>
        <v>19415899.566810355</v>
      </c>
    </row>
    <row r="1895" spans="3:67" x14ac:dyDescent="0.25">
      <c r="C1895" s="246" t="s">
        <v>3245</v>
      </c>
      <c r="D1895" s="246">
        <v>1</v>
      </c>
      <c r="E1895" s="246">
        <v>2</v>
      </c>
      <c r="F1895" s="246">
        <v>3</v>
      </c>
      <c r="G1895" s="246">
        <v>4</v>
      </c>
      <c r="H1895" s="246">
        <v>5</v>
      </c>
      <c r="I1895" s="246">
        <v>10</v>
      </c>
      <c r="J1895" s="246">
        <v>12</v>
      </c>
      <c r="K1895" s="246">
        <v>13</v>
      </c>
      <c r="L1895" s="246">
        <v>14</v>
      </c>
      <c r="M1895" s="246">
        <v>15</v>
      </c>
      <c r="N1895" s="246">
        <v>17</v>
      </c>
      <c r="O1895" s="246"/>
      <c r="P1895" s="246"/>
      <c r="Q1895" s="246"/>
      <c r="R1895" s="246">
        <f>IFERROR(VLOOKUP(D1895,PROGRAMAS[],2,FALSE),0)</f>
        <v>97037803.679377079</v>
      </c>
      <c r="S1895" s="246">
        <f>IFERROR(VLOOKUP(E1895,PROGRAMAS[],2,FALSE),0)</f>
        <v>640501509.6821388</v>
      </c>
      <c r="T1895" s="246">
        <f>IFERROR(VLOOKUP(F1895,PROGRAMAS[],2,FALSE),0)</f>
        <v>3062327798.1525245</v>
      </c>
      <c r="U1895" s="246">
        <f>IFERROR(VLOOKUP(G1895,PROGRAMAS[],2,FALSE),0)</f>
        <v>67697118.033011258</v>
      </c>
      <c r="V1895" s="246">
        <f>IFERROR(VLOOKUP(H1895,PROGRAMAS[],2,FALSE),0)</f>
        <v>1440941976.2528784</v>
      </c>
      <c r="W1895" s="246">
        <f>IFERROR(VLOOKUP(I1895,PROGRAMAS[],2,FALSE),0)</f>
        <v>4635315027.8751087</v>
      </c>
      <c r="X1895" s="246">
        <f>IFERROR(VLOOKUP(J1895,PROGRAMAS[],2,FALSE),0)</f>
        <v>764796700.79905891</v>
      </c>
      <c r="Y1895" s="246">
        <f>IFERROR(VLOOKUP(K1895,PROGRAMAS[],2,FALSE),0)</f>
        <v>3776538594.4604583</v>
      </c>
      <c r="Z1895" s="246">
        <f>IFERROR(VLOOKUP(L1895,PROGRAMAS[],2,FALSE),0)</f>
        <v>54223862.645839565</v>
      </c>
      <c r="AA1895" s="246">
        <f>IFERROR(VLOOKUP(M1895,PROGRAMAS[],2,FALSE),0)</f>
        <v>122159672.96346797</v>
      </c>
      <c r="AB1895" s="246">
        <f>IFERROR(VLOOKUP(N1895,PROGRAMAS[],2,FALSE),0)</f>
        <v>1892779498.5211046</v>
      </c>
      <c r="AC1895" s="246">
        <f>IFERROR(VLOOKUP(O1895,PROGRAMAS[],2,FALSE),0)</f>
        <v>0</v>
      </c>
      <c r="AD1895" s="246">
        <f>IFERROR(VLOOKUP(P1895,PROGRAMAS[],2,FALSE),0)</f>
        <v>0</v>
      </c>
      <c r="AE1895" s="246">
        <f>IFERROR(VLOOKUP(Q1895,PROGRAMAS[],2,FALSE),0)</f>
        <v>0</v>
      </c>
      <c r="AF1895" s="246">
        <f>IFERROR(VLOOKUP(D1895,PROGRAMAS[],3,FALSE),0)</f>
        <v>841888629.31080008</v>
      </c>
      <c r="AG1895" s="246">
        <f>IFERROR(VLOOKUP(E1895,PROGRAMAS[],3,FALSE),0)</f>
        <v>3848980803.1642323</v>
      </c>
      <c r="AH1895" s="246">
        <f>IFERROR(VLOOKUP(F1895,PROGRAMAS[],3,FALSE),0)</f>
        <v>3394901471.387517</v>
      </c>
      <c r="AI1895" s="246">
        <f>IFERROR(VLOOKUP(G1895,PROGRAMAS[],3,FALSE),0)</f>
        <v>125317226.95549992</v>
      </c>
      <c r="AJ1895" s="246">
        <f>IFERROR(VLOOKUP(H1895,PROGRAMAS[],3,FALSE),0)</f>
        <v>1233505101.0616004</v>
      </c>
      <c r="AK1895" s="246">
        <f>IFERROR(VLOOKUP(I1895,PROGRAMAS[],3,FALSE),0)</f>
        <v>4099471734.9978786</v>
      </c>
      <c r="AL1895" s="246">
        <f>IFERROR(VLOOKUP(J1895,PROGRAMAS[],3,FALSE),0)</f>
        <v>675517840.109828</v>
      </c>
      <c r="AM1895" s="246">
        <f>IFERROR(VLOOKUP(K1895,PROGRAMAS[],3,FALSE),0)</f>
        <v>2392571243.5584412</v>
      </c>
      <c r="AN1895" s="246">
        <f>IFERROR(VLOOKUP(L1895,PROGRAMAS[],3,FALSE),0)</f>
        <v>31865326.38096505</v>
      </c>
      <c r="AO1895" s="246">
        <f>IFERROR(VLOOKUP(M1895,PROGRAMAS[],3,FALSE),0)</f>
        <v>118617452.52510804</v>
      </c>
      <c r="AP1895" s="246">
        <f>IFERROR(VLOOKUP(N1895,PROGRAMAS[],3,FALSE),0)</f>
        <v>948595847.09039903</v>
      </c>
      <c r="AQ1895" s="246">
        <f>IFERROR(VLOOKUP(O1895,PROGRAMAS[],3,FALSE),0)</f>
        <v>0</v>
      </c>
      <c r="AR1895" s="246">
        <f>IFERROR(VLOOKUP(P1895,PROGRAMAS[],3,FALSE),0)</f>
        <v>0</v>
      </c>
      <c r="AS1895" s="246">
        <f>IFERROR(VLOOKUP(Q1895,PROGRAMAS[],3,FALSE),0)</f>
        <v>0</v>
      </c>
      <c r="AT1895" s="246">
        <f>IFERROR(VLOOKUP(D1895,VOL_REC[],2,FALSE),0)</f>
        <v>0</v>
      </c>
      <c r="AU1895" s="246">
        <f>IFERROR(VLOOKUP(E1895,VOL_REC[],2,FALSE),0)</f>
        <v>0</v>
      </c>
      <c r="AV1895" s="246">
        <f>IFERROR(VLOOKUP(F1895,VOL_REC[],2,FALSE),0)</f>
        <v>11089674.200000001</v>
      </c>
      <c r="AW1895" s="246">
        <f>IFERROR(VLOOKUP(G1895,VOL_REC[],2,FALSE),0)</f>
        <v>90439.55</v>
      </c>
      <c r="AX1895" s="246">
        <f>IFERROR(VLOOKUP(H1895,VOL_REC[],2,FALSE),0)</f>
        <v>4325103.1812214684</v>
      </c>
      <c r="AY1895" s="246">
        <f>IFERROR(VLOOKUP(I1895,VOL_REC[],2,FALSE),0)</f>
        <v>1812240</v>
      </c>
      <c r="AZ1895" s="246">
        <f>IFERROR(VLOOKUP(J1895,VOL_REC[],2,FALSE),0)</f>
        <v>240696.79238099116</v>
      </c>
      <c r="BA1895" s="246">
        <f>IFERROR(VLOOKUP(K1895,VOL_REC[],2,FALSE),0)</f>
        <v>663244.80000000016</v>
      </c>
      <c r="BB1895" s="246">
        <f>IFERROR(VLOOKUP(L1895,VOL_REC[],2,FALSE),0)</f>
        <v>17074.045034105649</v>
      </c>
      <c r="BC1895" s="246">
        <f>IFERROR(VLOOKUP(M1895,VOL_REC[],2,FALSE),0)</f>
        <v>105072</v>
      </c>
      <c r="BD1895" s="246">
        <f>IFERROR(VLOOKUP(N1895,VOL_REC[],2,FALSE),0)</f>
        <v>740113.98115702497</v>
      </c>
      <c r="BE1895" s="246">
        <f>IFERROR(VLOOKUP(O1895,VOL_REC[],2,FALSE),0)</f>
        <v>0</v>
      </c>
      <c r="BF1895" s="246">
        <f>IFERROR(VLOOKUP(P1895,VOL_REC[],2,FALSE),0)</f>
        <v>0</v>
      </c>
      <c r="BG1895" s="246">
        <f>IFERROR(VLOOKUP(Q1895,VOL_REC[],2,FALSE),0)</f>
        <v>0</v>
      </c>
      <c r="BH1895" s="1710">
        <f t="shared" si="120"/>
        <v>16554319563.06497</v>
      </c>
      <c r="BI1895" s="1710">
        <f t="shared" si="121"/>
        <v>17711232676.542271</v>
      </c>
      <c r="BJ1895" s="1711">
        <f t="shared" si="122"/>
        <v>19083658.549793594</v>
      </c>
      <c r="BK1895" s="1711">
        <f t="shared" si="123"/>
        <v>0.9346791307750375</v>
      </c>
    </row>
    <row r="1896" spans="3:67" x14ac:dyDescent="0.25">
      <c r="C1896" s="246" t="s">
        <v>3246</v>
      </c>
      <c r="D1896" s="246">
        <v>1</v>
      </c>
      <c r="E1896" s="246">
        <v>2</v>
      </c>
      <c r="F1896" s="246">
        <v>3</v>
      </c>
      <c r="G1896" s="246">
        <v>4</v>
      </c>
      <c r="H1896" s="246">
        <v>5</v>
      </c>
      <c r="I1896" s="246">
        <v>10</v>
      </c>
      <c r="J1896" s="246">
        <v>12</v>
      </c>
      <c r="K1896" s="246">
        <v>13</v>
      </c>
      <c r="L1896" s="246">
        <v>14</v>
      </c>
      <c r="M1896" s="246">
        <v>16</v>
      </c>
      <c r="N1896" s="246">
        <v>17</v>
      </c>
      <c r="O1896" s="246"/>
      <c r="P1896" s="246"/>
      <c r="Q1896" s="246"/>
      <c r="R1896" s="246">
        <f>IFERROR(VLOOKUP(D1896,PROGRAMAS[],2,FALSE),0)</f>
        <v>97037803.679377079</v>
      </c>
      <c r="S1896" s="246">
        <f>IFERROR(VLOOKUP(E1896,PROGRAMAS[],2,FALSE),0)</f>
        <v>640501509.6821388</v>
      </c>
      <c r="T1896" s="246">
        <f>IFERROR(VLOOKUP(F1896,PROGRAMAS[],2,FALSE),0)</f>
        <v>3062327798.1525245</v>
      </c>
      <c r="U1896" s="246">
        <f>IFERROR(VLOOKUP(G1896,PROGRAMAS[],2,FALSE),0)</f>
        <v>67697118.033011258</v>
      </c>
      <c r="V1896" s="246">
        <f>IFERROR(VLOOKUP(H1896,PROGRAMAS[],2,FALSE),0)</f>
        <v>1440941976.2528784</v>
      </c>
      <c r="W1896" s="246">
        <f>IFERROR(VLOOKUP(I1896,PROGRAMAS[],2,FALSE),0)</f>
        <v>4635315027.8751087</v>
      </c>
      <c r="X1896" s="246">
        <f>IFERROR(VLOOKUP(J1896,PROGRAMAS[],2,FALSE),0)</f>
        <v>764796700.79905891</v>
      </c>
      <c r="Y1896" s="246">
        <f>IFERROR(VLOOKUP(K1896,PROGRAMAS[],2,FALSE),0)</f>
        <v>3776538594.4604583</v>
      </c>
      <c r="Z1896" s="246">
        <f>IFERROR(VLOOKUP(L1896,PROGRAMAS[],2,FALSE),0)</f>
        <v>54223862.645839565</v>
      </c>
      <c r="AA1896" s="246">
        <f>IFERROR(VLOOKUP(M1896,PROGRAMAS[],2,FALSE),0)</f>
        <v>7068496961.0436354</v>
      </c>
      <c r="AB1896" s="246">
        <f>IFERROR(VLOOKUP(N1896,PROGRAMAS[],2,FALSE),0)</f>
        <v>1892779498.5211046</v>
      </c>
      <c r="AC1896" s="246">
        <f>IFERROR(VLOOKUP(O1896,PROGRAMAS[],2,FALSE),0)</f>
        <v>0</v>
      </c>
      <c r="AD1896" s="246">
        <f>IFERROR(VLOOKUP(P1896,PROGRAMAS[],2,FALSE),0)</f>
        <v>0</v>
      </c>
      <c r="AE1896" s="246">
        <f>IFERROR(VLOOKUP(Q1896,PROGRAMAS[],2,FALSE),0)</f>
        <v>0</v>
      </c>
      <c r="AF1896" s="246">
        <f>IFERROR(VLOOKUP(D1896,PROGRAMAS[],3,FALSE),0)</f>
        <v>841888629.31080008</v>
      </c>
      <c r="AG1896" s="246">
        <f>IFERROR(VLOOKUP(E1896,PROGRAMAS[],3,FALSE),0)</f>
        <v>3848980803.1642323</v>
      </c>
      <c r="AH1896" s="246">
        <f>IFERROR(VLOOKUP(F1896,PROGRAMAS[],3,FALSE),0)</f>
        <v>3394901471.387517</v>
      </c>
      <c r="AI1896" s="246">
        <f>IFERROR(VLOOKUP(G1896,PROGRAMAS[],3,FALSE),0)</f>
        <v>125317226.95549992</v>
      </c>
      <c r="AJ1896" s="246">
        <f>IFERROR(VLOOKUP(H1896,PROGRAMAS[],3,FALSE),0)</f>
        <v>1233505101.0616004</v>
      </c>
      <c r="AK1896" s="246">
        <f>IFERROR(VLOOKUP(I1896,PROGRAMAS[],3,FALSE),0)</f>
        <v>4099471734.9978786</v>
      </c>
      <c r="AL1896" s="246">
        <f>IFERROR(VLOOKUP(J1896,PROGRAMAS[],3,FALSE),0)</f>
        <v>675517840.109828</v>
      </c>
      <c r="AM1896" s="246">
        <f>IFERROR(VLOOKUP(K1896,PROGRAMAS[],3,FALSE),0)</f>
        <v>2392571243.5584412</v>
      </c>
      <c r="AN1896" s="246">
        <f>IFERROR(VLOOKUP(L1896,PROGRAMAS[],3,FALSE),0)</f>
        <v>31865326.38096505</v>
      </c>
      <c r="AO1896" s="246">
        <f>IFERROR(VLOOKUP(M1896,PROGRAMAS[],3,FALSE),0)</f>
        <v>2406564599.0319901</v>
      </c>
      <c r="AP1896" s="246">
        <f>IFERROR(VLOOKUP(N1896,PROGRAMAS[],3,FALSE),0)</f>
        <v>948595847.09039903</v>
      </c>
      <c r="AQ1896" s="246">
        <f>IFERROR(VLOOKUP(O1896,PROGRAMAS[],3,FALSE),0)</f>
        <v>0</v>
      </c>
      <c r="AR1896" s="246">
        <f>IFERROR(VLOOKUP(P1896,PROGRAMAS[],3,FALSE),0)</f>
        <v>0</v>
      </c>
      <c r="AS1896" s="246">
        <f>IFERROR(VLOOKUP(Q1896,PROGRAMAS[],3,FALSE),0)</f>
        <v>0</v>
      </c>
      <c r="AT1896" s="246">
        <f>IFERROR(VLOOKUP(D1896,VOL_REC[],2,FALSE),0)</f>
        <v>0</v>
      </c>
      <c r="AU1896" s="246">
        <f>IFERROR(VLOOKUP(E1896,VOL_REC[],2,FALSE),0)</f>
        <v>0</v>
      </c>
      <c r="AV1896" s="246">
        <f>IFERROR(VLOOKUP(F1896,VOL_REC[],2,FALSE),0)</f>
        <v>11089674.200000001</v>
      </c>
      <c r="AW1896" s="246">
        <f>IFERROR(VLOOKUP(G1896,VOL_REC[],2,FALSE),0)</f>
        <v>90439.55</v>
      </c>
      <c r="AX1896" s="246">
        <f>IFERROR(VLOOKUP(H1896,VOL_REC[],2,FALSE),0)</f>
        <v>4325103.1812214684</v>
      </c>
      <c r="AY1896" s="246">
        <f>IFERROR(VLOOKUP(I1896,VOL_REC[],2,FALSE),0)</f>
        <v>1812240</v>
      </c>
      <c r="AZ1896" s="246">
        <f>IFERROR(VLOOKUP(J1896,VOL_REC[],2,FALSE),0)</f>
        <v>240696.79238099116</v>
      </c>
      <c r="BA1896" s="246">
        <f>IFERROR(VLOOKUP(K1896,VOL_REC[],2,FALSE),0)</f>
        <v>663244.80000000016</v>
      </c>
      <c r="BB1896" s="246">
        <f>IFERROR(VLOOKUP(L1896,VOL_REC[],2,FALSE),0)</f>
        <v>17074.045034105649</v>
      </c>
      <c r="BC1896" s="246">
        <f>IFERROR(VLOOKUP(M1896,VOL_REC[],2,FALSE),0)</f>
        <v>1072354.9981737854</v>
      </c>
      <c r="BD1896" s="246">
        <f>IFERROR(VLOOKUP(N1896,VOL_REC[],2,FALSE),0)</f>
        <v>740113.98115702497</v>
      </c>
      <c r="BE1896" s="246">
        <f>IFERROR(VLOOKUP(O1896,VOL_REC[],2,FALSE),0)</f>
        <v>0</v>
      </c>
      <c r="BF1896" s="246">
        <f>IFERROR(VLOOKUP(P1896,VOL_REC[],2,FALSE),0)</f>
        <v>0</v>
      </c>
      <c r="BG1896" s="246">
        <f>IFERROR(VLOOKUP(Q1896,VOL_REC[],2,FALSE),0)</f>
        <v>0</v>
      </c>
      <c r="BH1896" s="1710">
        <f t="shared" si="120"/>
        <v>23500656851.145134</v>
      </c>
      <c r="BI1896" s="1710">
        <f t="shared" si="121"/>
        <v>19999179823.049156</v>
      </c>
      <c r="BJ1896" s="1711">
        <f t="shared" si="122"/>
        <v>20050941.547967378</v>
      </c>
      <c r="BK1896" s="1711">
        <f t="shared" si="123"/>
        <v>1.175081031276118</v>
      </c>
      <c r="BL1896">
        <f>BJ1896</f>
        <v>20050941.547967378</v>
      </c>
      <c r="BO1896">
        <f>BL1896</f>
        <v>20050941.547967378</v>
      </c>
    </row>
    <row r="1897" spans="3:67" x14ac:dyDescent="0.25">
      <c r="C1897" s="246" t="s">
        <v>3247</v>
      </c>
      <c r="D1897" s="246">
        <v>1</v>
      </c>
      <c r="E1897" s="246">
        <v>2</v>
      </c>
      <c r="F1897" s="246">
        <v>3</v>
      </c>
      <c r="G1897" s="246">
        <v>4</v>
      </c>
      <c r="H1897" s="246">
        <v>5</v>
      </c>
      <c r="I1897" s="246">
        <v>10</v>
      </c>
      <c r="J1897" s="246">
        <v>12</v>
      </c>
      <c r="K1897" s="246">
        <v>13</v>
      </c>
      <c r="L1897" s="246">
        <v>15</v>
      </c>
      <c r="M1897" s="246">
        <v>16</v>
      </c>
      <c r="N1897" s="246">
        <v>17</v>
      </c>
      <c r="O1897" s="246"/>
      <c r="P1897" s="246"/>
      <c r="Q1897" s="246"/>
      <c r="R1897" s="246">
        <f>IFERROR(VLOOKUP(D1897,PROGRAMAS[],2,FALSE),0)</f>
        <v>97037803.679377079</v>
      </c>
      <c r="S1897" s="246">
        <f>IFERROR(VLOOKUP(E1897,PROGRAMAS[],2,FALSE),0)</f>
        <v>640501509.6821388</v>
      </c>
      <c r="T1897" s="246">
        <f>IFERROR(VLOOKUP(F1897,PROGRAMAS[],2,FALSE),0)</f>
        <v>3062327798.1525245</v>
      </c>
      <c r="U1897" s="246">
        <f>IFERROR(VLOOKUP(G1897,PROGRAMAS[],2,FALSE),0)</f>
        <v>67697118.033011258</v>
      </c>
      <c r="V1897" s="246">
        <f>IFERROR(VLOOKUP(H1897,PROGRAMAS[],2,FALSE),0)</f>
        <v>1440941976.2528784</v>
      </c>
      <c r="W1897" s="246">
        <f>IFERROR(VLOOKUP(I1897,PROGRAMAS[],2,FALSE),0)</f>
        <v>4635315027.8751087</v>
      </c>
      <c r="X1897" s="246">
        <f>IFERROR(VLOOKUP(J1897,PROGRAMAS[],2,FALSE),0)</f>
        <v>764796700.79905891</v>
      </c>
      <c r="Y1897" s="246">
        <f>IFERROR(VLOOKUP(K1897,PROGRAMAS[],2,FALSE),0)</f>
        <v>3776538594.4604583</v>
      </c>
      <c r="Z1897" s="246">
        <f>IFERROR(VLOOKUP(L1897,PROGRAMAS[],2,FALSE),0)</f>
        <v>122159672.96346797</v>
      </c>
      <c r="AA1897" s="246">
        <f>IFERROR(VLOOKUP(M1897,PROGRAMAS[],2,FALSE),0)</f>
        <v>7068496961.0436354</v>
      </c>
      <c r="AB1897" s="246">
        <f>IFERROR(VLOOKUP(N1897,PROGRAMAS[],2,FALSE),0)</f>
        <v>1892779498.5211046</v>
      </c>
      <c r="AC1897" s="246">
        <f>IFERROR(VLOOKUP(O1897,PROGRAMAS[],2,FALSE),0)</f>
        <v>0</v>
      </c>
      <c r="AD1897" s="246">
        <f>IFERROR(VLOOKUP(P1897,PROGRAMAS[],2,FALSE),0)</f>
        <v>0</v>
      </c>
      <c r="AE1897" s="246">
        <f>IFERROR(VLOOKUP(Q1897,PROGRAMAS[],2,FALSE),0)</f>
        <v>0</v>
      </c>
      <c r="AF1897" s="246">
        <f>IFERROR(VLOOKUP(D1897,PROGRAMAS[],3,FALSE),0)</f>
        <v>841888629.31080008</v>
      </c>
      <c r="AG1897" s="246">
        <f>IFERROR(VLOOKUP(E1897,PROGRAMAS[],3,FALSE),0)</f>
        <v>3848980803.1642323</v>
      </c>
      <c r="AH1897" s="246">
        <f>IFERROR(VLOOKUP(F1897,PROGRAMAS[],3,FALSE),0)</f>
        <v>3394901471.387517</v>
      </c>
      <c r="AI1897" s="246">
        <f>IFERROR(VLOOKUP(G1897,PROGRAMAS[],3,FALSE),0)</f>
        <v>125317226.95549992</v>
      </c>
      <c r="AJ1897" s="246">
        <f>IFERROR(VLOOKUP(H1897,PROGRAMAS[],3,FALSE),0)</f>
        <v>1233505101.0616004</v>
      </c>
      <c r="AK1897" s="246">
        <f>IFERROR(VLOOKUP(I1897,PROGRAMAS[],3,FALSE),0)</f>
        <v>4099471734.9978786</v>
      </c>
      <c r="AL1897" s="246">
        <f>IFERROR(VLOOKUP(J1897,PROGRAMAS[],3,FALSE),0)</f>
        <v>675517840.109828</v>
      </c>
      <c r="AM1897" s="246">
        <f>IFERROR(VLOOKUP(K1897,PROGRAMAS[],3,FALSE),0)</f>
        <v>2392571243.5584412</v>
      </c>
      <c r="AN1897" s="246">
        <f>IFERROR(VLOOKUP(L1897,PROGRAMAS[],3,FALSE),0)</f>
        <v>118617452.52510804</v>
      </c>
      <c r="AO1897" s="246">
        <f>IFERROR(VLOOKUP(M1897,PROGRAMAS[],3,FALSE),0)</f>
        <v>2406564599.0319901</v>
      </c>
      <c r="AP1897" s="246">
        <f>IFERROR(VLOOKUP(N1897,PROGRAMAS[],3,FALSE),0)</f>
        <v>948595847.09039903</v>
      </c>
      <c r="AQ1897" s="246">
        <f>IFERROR(VLOOKUP(O1897,PROGRAMAS[],3,FALSE),0)</f>
        <v>0</v>
      </c>
      <c r="AR1897" s="246">
        <f>IFERROR(VLOOKUP(P1897,PROGRAMAS[],3,FALSE),0)</f>
        <v>0</v>
      </c>
      <c r="AS1897" s="246">
        <f>IFERROR(VLOOKUP(Q1897,PROGRAMAS[],3,FALSE),0)</f>
        <v>0</v>
      </c>
      <c r="AT1897" s="246">
        <f>IFERROR(VLOOKUP(D1897,VOL_REC[],2,FALSE),0)</f>
        <v>0</v>
      </c>
      <c r="AU1897" s="246">
        <f>IFERROR(VLOOKUP(E1897,VOL_REC[],2,FALSE),0)</f>
        <v>0</v>
      </c>
      <c r="AV1897" s="246">
        <f>IFERROR(VLOOKUP(F1897,VOL_REC[],2,FALSE),0)</f>
        <v>11089674.200000001</v>
      </c>
      <c r="AW1897" s="246">
        <f>IFERROR(VLOOKUP(G1897,VOL_REC[],2,FALSE),0)</f>
        <v>90439.55</v>
      </c>
      <c r="AX1897" s="246">
        <f>IFERROR(VLOOKUP(H1897,VOL_REC[],2,FALSE),0)</f>
        <v>4325103.1812214684</v>
      </c>
      <c r="AY1897" s="246">
        <f>IFERROR(VLOOKUP(I1897,VOL_REC[],2,FALSE),0)</f>
        <v>1812240</v>
      </c>
      <c r="AZ1897" s="246">
        <f>IFERROR(VLOOKUP(J1897,VOL_REC[],2,FALSE),0)</f>
        <v>240696.79238099116</v>
      </c>
      <c r="BA1897" s="246">
        <f>IFERROR(VLOOKUP(K1897,VOL_REC[],2,FALSE),0)</f>
        <v>663244.80000000016</v>
      </c>
      <c r="BB1897" s="246">
        <f>IFERROR(VLOOKUP(L1897,VOL_REC[],2,FALSE),0)</f>
        <v>105072</v>
      </c>
      <c r="BC1897" s="246">
        <f>IFERROR(VLOOKUP(M1897,VOL_REC[],2,FALSE),0)</f>
        <v>1072354.9981737854</v>
      </c>
      <c r="BD1897" s="246">
        <f>IFERROR(VLOOKUP(N1897,VOL_REC[],2,FALSE),0)</f>
        <v>740113.98115702497</v>
      </c>
      <c r="BE1897" s="246">
        <f>IFERROR(VLOOKUP(O1897,VOL_REC[],2,FALSE),0)</f>
        <v>0</v>
      </c>
      <c r="BF1897" s="246">
        <f>IFERROR(VLOOKUP(P1897,VOL_REC[],2,FALSE),0)</f>
        <v>0</v>
      </c>
      <c r="BG1897" s="246">
        <f>IFERROR(VLOOKUP(Q1897,VOL_REC[],2,FALSE),0)</f>
        <v>0</v>
      </c>
      <c r="BH1897" s="1710">
        <f t="shared" si="120"/>
        <v>23568592661.462765</v>
      </c>
      <c r="BI1897" s="1710">
        <f t="shared" si="121"/>
        <v>20085931949.193298</v>
      </c>
      <c r="BJ1897" s="1711">
        <f t="shared" si="122"/>
        <v>20138939.502933271</v>
      </c>
      <c r="BK1897" s="1711">
        <f t="shared" si="123"/>
        <v>1.173388056928538</v>
      </c>
      <c r="BL1897">
        <f>BJ1897</f>
        <v>20138939.502933271</v>
      </c>
      <c r="BO1897">
        <f>BL1897</f>
        <v>20138939.502933271</v>
      </c>
    </row>
    <row r="1898" spans="3:67" x14ac:dyDescent="0.25">
      <c r="C1898" s="246" t="s">
        <v>3248</v>
      </c>
      <c r="D1898" s="246">
        <v>1</v>
      </c>
      <c r="E1898" s="246">
        <v>2</v>
      </c>
      <c r="F1898" s="246">
        <v>3</v>
      </c>
      <c r="G1898" s="246">
        <v>4</v>
      </c>
      <c r="H1898" s="246">
        <v>5</v>
      </c>
      <c r="I1898" s="246">
        <v>10</v>
      </c>
      <c r="J1898" s="246">
        <v>12</v>
      </c>
      <c r="K1898" s="246">
        <v>14</v>
      </c>
      <c r="L1898" s="246">
        <v>15</v>
      </c>
      <c r="M1898" s="246">
        <v>16</v>
      </c>
      <c r="N1898" s="246">
        <v>17</v>
      </c>
      <c r="O1898" s="246"/>
      <c r="P1898" s="246"/>
      <c r="Q1898" s="246"/>
      <c r="R1898" s="246">
        <f>IFERROR(VLOOKUP(D1898,PROGRAMAS[],2,FALSE),0)</f>
        <v>97037803.679377079</v>
      </c>
      <c r="S1898" s="246">
        <f>IFERROR(VLOOKUP(E1898,PROGRAMAS[],2,FALSE),0)</f>
        <v>640501509.6821388</v>
      </c>
      <c r="T1898" s="246">
        <f>IFERROR(VLOOKUP(F1898,PROGRAMAS[],2,FALSE),0)</f>
        <v>3062327798.1525245</v>
      </c>
      <c r="U1898" s="246">
        <f>IFERROR(VLOOKUP(G1898,PROGRAMAS[],2,FALSE),0)</f>
        <v>67697118.033011258</v>
      </c>
      <c r="V1898" s="246">
        <f>IFERROR(VLOOKUP(H1898,PROGRAMAS[],2,FALSE),0)</f>
        <v>1440941976.2528784</v>
      </c>
      <c r="W1898" s="246">
        <f>IFERROR(VLOOKUP(I1898,PROGRAMAS[],2,FALSE),0)</f>
        <v>4635315027.8751087</v>
      </c>
      <c r="X1898" s="246">
        <f>IFERROR(VLOOKUP(J1898,PROGRAMAS[],2,FALSE),0)</f>
        <v>764796700.79905891</v>
      </c>
      <c r="Y1898" s="246">
        <f>IFERROR(VLOOKUP(K1898,PROGRAMAS[],2,FALSE),0)</f>
        <v>54223862.645839565</v>
      </c>
      <c r="Z1898" s="246">
        <f>IFERROR(VLOOKUP(L1898,PROGRAMAS[],2,FALSE),0)</f>
        <v>122159672.96346797</v>
      </c>
      <c r="AA1898" s="246">
        <f>IFERROR(VLOOKUP(M1898,PROGRAMAS[],2,FALSE),0)</f>
        <v>7068496961.0436354</v>
      </c>
      <c r="AB1898" s="246">
        <f>IFERROR(VLOOKUP(N1898,PROGRAMAS[],2,FALSE),0)</f>
        <v>1892779498.5211046</v>
      </c>
      <c r="AC1898" s="246">
        <f>IFERROR(VLOOKUP(O1898,PROGRAMAS[],2,FALSE),0)</f>
        <v>0</v>
      </c>
      <c r="AD1898" s="246">
        <f>IFERROR(VLOOKUP(P1898,PROGRAMAS[],2,FALSE),0)</f>
        <v>0</v>
      </c>
      <c r="AE1898" s="246">
        <f>IFERROR(VLOOKUP(Q1898,PROGRAMAS[],2,FALSE),0)</f>
        <v>0</v>
      </c>
      <c r="AF1898" s="246">
        <f>IFERROR(VLOOKUP(D1898,PROGRAMAS[],3,FALSE),0)</f>
        <v>841888629.31080008</v>
      </c>
      <c r="AG1898" s="246">
        <f>IFERROR(VLOOKUP(E1898,PROGRAMAS[],3,FALSE),0)</f>
        <v>3848980803.1642323</v>
      </c>
      <c r="AH1898" s="246">
        <f>IFERROR(VLOOKUP(F1898,PROGRAMAS[],3,FALSE),0)</f>
        <v>3394901471.387517</v>
      </c>
      <c r="AI1898" s="246">
        <f>IFERROR(VLOOKUP(G1898,PROGRAMAS[],3,FALSE),0)</f>
        <v>125317226.95549992</v>
      </c>
      <c r="AJ1898" s="246">
        <f>IFERROR(VLOOKUP(H1898,PROGRAMAS[],3,FALSE),0)</f>
        <v>1233505101.0616004</v>
      </c>
      <c r="AK1898" s="246">
        <f>IFERROR(VLOOKUP(I1898,PROGRAMAS[],3,FALSE),0)</f>
        <v>4099471734.9978786</v>
      </c>
      <c r="AL1898" s="246">
        <f>IFERROR(VLOOKUP(J1898,PROGRAMAS[],3,FALSE),0)</f>
        <v>675517840.109828</v>
      </c>
      <c r="AM1898" s="246">
        <f>IFERROR(VLOOKUP(K1898,PROGRAMAS[],3,FALSE),0)</f>
        <v>31865326.38096505</v>
      </c>
      <c r="AN1898" s="246">
        <f>IFERROR(VLOOKUP(L1898,PROGRAMAS[],3,FALSE),0)</f>
        <v>118617452.52510804</v>
      </c>
      <c r="AO1898" s="246">
        <f>IFERROR(VLOOKUP(M1898,PROGRAMAS[],3,FALSE),0)</f>
        <v>2406564599.0319901</v>
      </c>
      <c r="AP1898" s="246">
        <f>IFERROR(VLOOKUP(N1898,PROGRAMAS[],3,FALSE),0)</f>
        <v>948595847.09039903</v>
      </c>
      <c r="AQ1898" s="246">
        <f>IFERROR(VLOOKUP(O1898,PROGRAMAS[],3,FALSE),0)</f>
        <v>0</v>
      </c>
      <c r="AR1898" s="246">
        <f>IFERROR(VLOOKUP(P1898,PROGRAMAS[],3,FALSE),0)</f>
        <v>0</v>
      </c>
      <c r="AS1898" s="246">
        <f>IFERROR(VLOOKUP(Q1898,PROGRAMAS[],3,FALSE),0)</f>
        <v>0</v>
      </c>
      <c r="AT1898" s="246">
        <f>IFERROR(VLOOKUP(D1898,VOL_REC[],2,FALSE),0)</f>
        <v>0</v>
      </c>
      <c r="AU1898" s="246">
        <f>IFERROR(VLOOKUP(E1898,VOL_REC[],2,FALSE),0)</f>
        <v>0</v>
      </c>
      <c r="AV1898" s="246">
        <f>IFERROR(VLOOKUP(F1898,VOL_REC[],2,FALSE),0)</f>
        <v>11089674.200000001</v>
      </c>
      <c r="AW1898" s="246">
        <f>IFERROR(VLOOKUP(G1898,VOL_REC[],2,FALSE),0)</f>
        <v>90439.55</v>
      </c>
      <c r="AX1898" s="246">
        <f>IFERROR(VLOOKUP(H1898,VOL_REC[],2,FALSE),0)</f>
        <v>4325103.1812214684</v>
      </c>
      <c r="AY1898" s="246">
        <f>IFERROR(VLOOKUP(I1898,VOL_REC[],2,FALSE),0)</f>
        <v>1812240</v>
      </c>
      <c r="AZ1898" s="246">
        <f>IFERROR(VLOOKUP(J1898,VOL_REC[],2,FALSE),0)</f>
        <v>240696.79238099116</v>
      </c>
      <c r="BA1898" s="246">
        <f>IFERROR(VLOOKUP(K1898,VOL_REC[],2,FALSE),0)</f>
        <v>17074.045034105649</v>
      </c>
      <c r="BB1898" s="246">
        <f>IFERROR(VLOOKUP(L1898,VOL_REC[],2,FALSE),0)</f>
        <v>105072</v>
      </c>
      <c r="BC1898" s="246">
        <f>IFERROR(VLOOKUP(M1898,VOL_REC[],2,FALSE),0)</f>
        <v>1072354.9981737854</v>
      </c>
      <c r="BD1898" s="246">
        <f>IFERROR(VLOOKUP(N1898,VOL_REC[],2,FALSE),0)</f>
        <v>740113.98115702497</v>
      </c>
      <c r="BE1898" s="246">
        <f>IFERROR(VLOOKUP(O1898,VOL_REC[],2,FALSE),0)</f>
        <v>0</v>
      </c>
      <c r="BF1898" s="246">
        <f>IFERROR(VLOOKUP(P1898,VOL_REC[],2,FALSE),0)</f>
        <v>0</v>
      </c>
      <c r="BG1898" s="246">
        <f>IFERROR(VLOOKUP(Q1898,VOL_REC[],2,FALSE),0)</f>
        <v>0</v>
      </c>
      <c r="BH1898" s="1710">
        <f t="shared" si="120"/>
        <v>19846277929.648144</v>
      </c>
      <c r="BI1898" s="1710">
        <f t="shared" si="121"/>
        <v>17725226032.01582</v>
      </c>
      <c r="BJ1898" s="1711">
        <f t="shared" si="122"/>
        <v>19492768.747967377</v>
      </c>
      <c r="BK1898" s="1711">
        <f t="shared" si="123"/>
        <v>1.1196628970373195</v>
      </c>
      <c r="BL1898">
        <f>BJ1898</f>
        <v>19492768.747967377</v>
      </c>
      <c r="BO1898">
        <f>BL1898</f>
        <v>19492768.747967377</v>
      </c>
    </row>
    <row r="1899" spans="3:67" x14ac:dyDescent="0.25">
      <c r="C1899" s="246" t="s">
        <v>3249</v>
      </c>
      <c r="D1899" s="246">
        <v>1</v>
      </c>
      <c r="E1899" s="246">
        <v>2</v>
      </c>
      <c r="F1899" s="246">
        <v>3</v>
      </c>
      <c r="G1899" s="246">
        <v>4</v>
      </c>
      <c r="H1899" s="246">
        <v>5</v>
      </c>
      <c r="I1899" s="246">
        <v>10</v>
      </c>
      <c r="J1899" s="246">
        <v>13</v>
      </c>
      <c r="K1899" s="246">
        <v>14</v>
      </c>
      <c r="L1899" s="246">
        <v>15</v>
      </c>
      <c r="M1899" s="246">
        <v>16</v>
      </c>
      <c r="N1899" s="246">
        <v>17</v>
      </c>
      <c r="O1899" s="246"/>
      <c r="P1899" s="246"/>
      <c r="Q1899" s="246"/>
      <c r="R1899" s="246">
        <f>IFERROR(VLOOKUP(D1899,PROGRAMAS[],2,FALSE),0)</f>
        <v>97037803.679377079</v>
      </c>
      <c r="S1899" s="246">
        <f>IFERROR(VLOOKUP(E1899,PROGRAMAS[],2,FALSE),0)</f>
        <v>640501509.6821388</v>
      </c>
      <c r="T1899" s="246">
        <f>IFERROR(VLOOKUP(F1899,PROGRAMAS[],2,FALSE),0)</f>
        <v>3062327798.1525245</v>
      </c>
      <c r="U1899" s="246">
        <f>IFERROR(VLOOKUP(G1899,PROGRAMAS[],2,FALSE),0)</f>
        <v>67697118.033011258</v>
      </c>
      <c r="V1899" s="246">
        <f>IFERROR(VLOOKUP(H1899,PROGRAMAS[],2,FALSE),0)</f>
        <v>1440941976.2528784</v>
      </c>
      <c r="W1899" s="246">
        <f>IFERROR(VLOOKUP(I1899,PROGRAMAS[],2,FALSE),0)</f>
        <v>4635315027.8751087</v>
      </c>
      <c r="X1899" s="246">
        <f>IFERROR(VLOOKUP(J1899,PROGRAMAS[],2,FALSE),0)</f>
        <v>3776538594.4604583</v>
      </c>
      <c r="Y1899" s="246">
        <f>IFERROR(VLOOKUP(K1899,PROGRAMAS[],2,FALSE),0)</f>
        <v>54223862.645839565</v>
      </c>
      <c r="Z1899" s="246">
        <f>IFERROR(VLOOKUP(L1899,PROGRAMAS[],2,FALSE),0)</f>
        <v>122159672.96346797</v>
      </c>
      <c r="AA1899" s="246">
        <f>IFERROR(VLOOKUP(M1899,PROGRAMAS[],2,FALSE),0)</f>
        <v>7068496961.0436354</v>
      </c>
      <c r="AB1899" s="246">
        <f>IFERROR(VLOOKUP(N1899,PROGRAMAS[],2,FALSE),0)</f>
        <v>1892779498.5211046</v>
      </c>
      <c r="AC1899" s="246">
        <f>IFERROR(VLOOKUP(O1899,PROGRAMAS[],2,FALSE),0)</f>
        <v>0</v>
      </c>
      <c r="AD1899" s="246">
        <f>IFERROR(VLOOKUP(P1899,PROGRAMAS[],2,FALSE),0)</f>
        <v>0</v>
      </c>
      <c r="AE1899" s="246">
        <f>IFERROR(VLOOKUP(Q1899,PROGRAMAS[],2,FALSE),0)</f>
        <v>0</v>
      </c>
      <c r="AF1899" s="246">
        <f>IFERROR(VLOOKUP(D1899,PROGRAMAS[],3,FALSE),0)</f>
        <v>841888629.31080008</v>
      </c>
      <c r="AG1899" s="246">
        <f>IFERROR(VLOOKUP(E1899,PROGRAMAS[],3,FALSE),0)</f>
        <v>3848980803.1642323</v>
      </c>
      <c r="AH1899" s="246">
        <f>IFERROR(VLOOKUP(F1899,PROGRAMAS[],3,FALSE),0)</f>
        <v>3394901471.387517</v>
      </c>
      <c r="AI1899" s="246">
        <f>IFERROR(VLOOKUP(G1899,PROGRAMAS[],3,FALSE),0)</f>
        <v>125317226.95549992</v>
      </c>
      <c r="AJ1899" s="246">
        <f>IFERROR(VLOOKUP(H1899,PROGRAMAS[],3,FALSE),0)</f>
        <v>1233505101.0616004</v>
      </c>
      <c r="AK1899" s="246">
        <f>IFERROR(VLOOKUP(I1899,PROGRAMAS[],3,FALSE),0)</f>
        <v>4099471734.9978786</v>
      </c>
      <c r="AL1899" s="246">
        <f>IFERROR(VLOOKUP(J1899,PROGRAMAS[],3,FALSE),0)</f>
        <v>2392571243.5584412</v>
      </c>
      <c r="AM1899" s="246">
        <f>IFERROR(VLOOKUP(K1899,PROGRAMAS[],3,FALSE),0)</f>
        <v>31865326.38096505</v>
      </c>
      <c r="AN1899" s="246">
        <f>IFERROR(VLOOKUP(L1899,PROGRAMAS[],3,FALSE),0)</f>
        <v>118617452.52510804</v>
      </c>
      <c r="AO1899" s="246">
        <f>IFERROR(VLOOKUP(M1899,PROGRAMAS[],3,FALSE),0)</f>
        <v>2406564599.0319901</v>
      </c>
      <c r="AP1899" s="246">
        <f>IFERROR(VLOOKUP(N1899,PROGRAMAS[],3,FALSE),0)</f>
        <v>948595847.09039903</v>
      </c>
      <c r="AQ1899" s="246">
        <f>IFERROR(VLOOKUP(O1899,PROGRAMAS[],3,FALSE),0)</f>
        <v>0</v>
      </c>
      <c r="AR1899" s="246">
        <f>IFERROR(VLOOKUP(P1899,PROGRAMAS[],3,FALSE),0)</f>
        <v>0</v>
      </c>
      <c r="AS1899" s="246">
        <f>IFERROR(VLOOKUP(Q1899,PROGRAMAS[],3,FALSE),0)</f>
        <v>0</v>
      </c>
      <c r="AT1899" s="246">
        <f>IFERROR(VLOOKUP(D1899,VOL_REC[],2,FALSE),0)</f>
        <v>0</v>
      </c>
      <c r="AU1899" s="246">
        <f>IFERROR(VLOOKUP(E1899,VOL_REC[],2,FALSE),0)</f>
        <v>0</v>
      </c>
      <c r="AV1899" s="246">
        <f>IFERROR(VLOOKUP(F1899,VOL_REC[],2,FALSE),0)</f>
        <v>11089674.200000001</v>
      </c>
      <c r="AW1899" s="246">
        <f>IFERROR(VLOOKUP(G1899,VOL_REC[],2,FALSE),0)</f>
        <v>90439.55</v>
      </c>
      <c r="AX1899" s="246">
        <f>IFERROR(VLOOKUP(H1899,VOL_REC[],2,FALSE),0)</f>
        <v>4325103.1812214684</v>
      </c>
      <c r="AY1899" s="246">
        <f>IFERROR(VLOOKUP(I1899,VOL_REC[],2,FALSE),0)</f>
        <v>1812240</v>
      </c>
      <c r="AZ1899" s="246">
        <f>IFERROR(VLOOKUP(J1899,VOL_REC[],2,FALSE),0)</f>
        <v>663244.80000000016</v>
      </c>
      <c r="BA1899" s="246">
        <f>IFERROR(VLOOKUP(K1899,VOL_REC[],2,FALSE),0)</f>
        <v>17074.045034105649</v>
      </c>
      <c r="BB1899" s="246">
        <f>IFERROR(VLOOKUP(L1899,VOL_REC[],2,FALSE),0)</f>
        <v>105072</v>
      </c>
      <c r="BC1899" s="246">
        <f>IFERROR(VLOOKUP(M1899,VOL_REC[],2,FALSE),0)</f>
        <v>1072354.9981737854</v>
      </c>
      <c r="BD1899" s="246">
        <f>IFERROR(VLOOKUP(N1899,VOL_REC[],2,FALSE),0)</f>
        <v>740113.98115702497</v>
      </c>
      <c r="BE1899" s="246">
        <f>IFERROR(VLOOKUP(O1899,VOL_REC[],2,FALSE),0)</f>
        <v>0</v>
      </c>
      <c r="BF1899" s="246">
        <f>IFERROR(VLOOKUP(P1899,VOL_REC[],2,FALSE),0)</f>
        <v>0</v>
      </c>
      <c r="BG1899" s="246">
        <f>IFERROR(VLOOKUP(Q1899,VOL_REC[],2,FALSE),0)</f>
        <v>0</v>
      </c>
      <c r="BH1899" s="1710">
        <f t="shared" si="120"/>
        <v>22858019823.309544</v>
      </c>
      <c r="BI1899" s="1710">
        <f t="shared" si="121"/>
        <v>19442279435.464432</v>
      </c>
      <c r="BJ1899" s="1711">
        <f t="shared" si="122"/>
        <v>19915316.755586386</v>
      </c>
      <c r="BK1899" s="1711">
        <f t="shared" si="123"/>
        <v>1.175686210003468</v>
      </c>
      <c r="BL1899">
        <f>BJ1899</f>
        <v>19915316.755586386</v>
      </c>
      <c r="BO1899">
        <f>BL1899</f>
        <v>19915316.755586386</v>
      </c>
    </row>
    <row r="1900" spans="3:67" x14ac:dyDescent="0.25">
      <c r="C1900" s="246" t="s">
        <v>3250</v>
      </c>
      <c r="D1900" s="246">
        <v>1</v>
      </c>
      <c r="E1900" s="246">
        <v>2</v>
      </c>
      <c r="F1900" s="246">
        <v>3</v>
      </c>
      <c r="G1900" s="246">
        <v>4</v>
      </c>
      <c r="H1900" s="246">
        <v>5</v>
      </c>
      <c r="I1900" s="246">
        <v>12</v>
      </c>
      <c r="J1900" s="246">
        <v>13</v>
      </c>
      <c r="K1900" s="246">
        <v>14</v>
      </c>
      <c r="L1900" s="246">
        <v>15</v>
      </c>
      <c r="M1900" s="246">
        <v>16</v>
      </c>
      <c r="N1900" s="246">
        <v>17</v>
      </c>
      <c r="O1900" s="246"/>
      <c r="P1900" s="246"/>
      <c r="Q1900" s="246"/>
      <c r="R1900" s="246">
        <f>IFERROR(VLOOKUP(D1900,PROGRAMAS[],2,FALSE),0)</f>
        <v>97037803.679377079</v>
      </c>
      <c r="S1900" s="246">
        <f>IFERROR(VLOOKUP(E1900,PROGRAMAS[],2,FALSE),0)</f>
        <v>640501509.6821388</v>
      </c>
      <c r="T1900" s="246">
        <f>IFERROR(VLOOKUP(F1900,PROGRAMAS[],2,FALSE),0)</f>
        <v>3062327798.1525245</v>
      </c>
      <c r="U1900" s="246">
        <f>IFERROR(VLOOKUP(G1900,PROGRAMAS[],2,FALSE),0)</f>
        <v>67697118.033011258</v>
      </c>
      <c r="V1900" s="246">
        <f>IFERROR(VLOOKUP(H1900,PROGRAMAS[],2,FALSE),0)</f>
        <v>1440941976.2528784</v>
      </c>
      <c r="W1900" s="246">
        <f>IFERROR(VLOOKUP(I1900,PROGRAMAS[],2,FALSE),0)</f>
        <v>764796700.79905891</v>
      </c>
      <c r="X1900" s="246">
        <f>IFERROR(VLOOKUP(J1900,PROGRAMAS[],2,FALSE),0)</f>
        <v>3776538594.4604583</v>
      </c>
      <c r="Y1900" s="246">
        <f>IFERROR(VLOOKUP(K1900,PROGRAMAS[],2,FALSE),0)</f>
        <v>54223862.645839565</v>
      </c>
      <c r="Z1900" s="246">
        <f>IFERROR(VLOOKUP(L1900,PROGRAMAS[],2,FALSE),0)</f>
        <v>122159672.96346797</v>
      </c>
      <c r="AA1900" s="246">
        <f>IFERROR(VLOOKUP(M1900,PROGRAMAS[],2,FALSE),0)</f>
        <v>7068496961.0436354</v>
      </c>
      <c r="AB1900" s="246">
        <f>IFERROR(VLOOKUP(N1900,PROGRAMAS[],2,FALSE),0)</f>
        <v>1892779498.5211046</v>
      </c>
      <c r="AC1900" s="246">
        <f>IFERROR(VLOOKUP(O1900,PROGRAMAS[],2,FALSE),0)</f>
        <v>0</v>
      </c>
      <c r="AD1900" s="246">
        <f>IFERROR(VLOOKUP(P1900,PROGRAMAS[],2,FALSE),0)</f>
        <v>0</v>
      </c>
      <c r="AE1900" s="246">
        <f>IFERROR(VLOOKUP(Q1900,PROGRAMAS[],2,FALSE),0)</f>
        <v>0</v>
      </c>
      <c r="AF1900" s="246">
        <f>IFERROR(VLOOKUP(D1900,PROGRAMAS[],3,FALSE),0)</f>
        <v>841888629.31080008</v>
      </c>
      <c r="AG1900" s="246">
        <f>IFERROR(VLOOKUP(E1900,PROGRAMAS[],3,FALSE),0)</f>
        <v>3848980803.1642323</v>
      </c>
      <c r="AH1900" s="246">
        <f>IFERROR(VLOOKUP(F1900,PROGRAMAS[],3,FALSE),0)</f>
        <v>3394901471.387517</v>
      </c>
      <c r="AI1900" s="246">
        <f>IFERROR(VLOOKUP(G1900,PROGRAMAS[],3,FALSE),0)</f>
        <v>125317226.95549992</v>
      </c>
      <c r="AJ1900" s="246">
        <f>IFERROR(VLOOKUP(H1900,PROGRAMAS[],3,FALSE),0)</f>
        <v>1233505101.0616004</v>
      </c>
      <c r="AK1900" s="246">
        <f>IFERROR(VLOOKUP(I1900,PROGRAMAS[],3,FALSE),0)</f>
        <v>675517840.109828</v>
      </c>
      <c r="AL1900" s="246">
        <f>IFERROR(VLOOKUP(J1900,PROGRAMAS[],3,FALSE),0)</f>
        <v>2392571243.5584412</v>
      </c>
      <c r="AM1900" s="246">
        <f>IFERROR(VLOOKUP(K1900,PROGRAMAS[],3,FALSE),0)</f>
        <v>31865326.38096505</v>
      </c>
      <c r="AN1900" s="246">
        <f>IFERROR(VLOOKUP(L1900,PROGRAMAS[],3,FALSE),0)</f>
        <v>118617452.52510804</v>
      </c>
      <c r="AO1900" s="246">
        <f>IFERROR(VLOOKUP(M1900,PROGRAMAS[],3,FALSE),0)</f>
        <v>2406564599.0319901</v>
      </c>
      <c r="AP1900" s="246">
        <f>IFERROR(VLOOKUP(N1900,PROGRAMAS[],3,FALSE),0)</f>
        <v>948595847.09039903</v>
      </c>
      <c r="AQ1900" s="246">
        <f>IFERROR(VLOOKUP(O1900,PROGRAMAS[],3,FALSE),0)</f>
        <v>0</v>
      </c>
      <c r="AR1900" s="246">
        <f>IFERROR(VLOOKUP(P1900,PROGRAMAS[],3,FALSE),0)</f>
        <v>0</v>
      </c>
      <c r="AS1900" s="246">
        <f>IFERROR(VLOOKUP(Q1900,PROGRAMAS[],3,FALSE),0)</f>
        <v>0</v>
      </c>
      <c r="AT1900" s="246">
        <f>IFERROR(VLOOKUP(D1900,VOL_REC[],2,FALSE),0)</f>
        <v>0</v>
      </c>
      <c r="AU1900" s="246">
        <f>IFERROR(VLOOKUP(E1900,VOL_REC[],2,FALSE),0)</f>
        <v>0</v>
      </c>
      <c r="AV1900" s="246">
        <f>IFERROR(VLOOKUP(F1900,VOL_REC[],2,FALSE),0)</f>
        <v>11089674.200000001</v>
      </c>
      <c r="AW1900" s="246">
        <f>IFERROR(VLOOKUP(G1900,VOL_REC[],2,FALSE),0)</f>
        <v>90439.55</v>
      </c>
      <c r="AX1900" s="246">
        <f>IFERROR(VLOOKUP(H1900,VOL_REC[],2,FALSE),0)</f>
        <v>4325103.1812214684</v>
      </c>
      <c r="AY1900" s="246">
        <f>IFERROR(VLOOKUP(I1900,VOL_REC[],2,FALSE),0)</f>
        <v>240696.79238099116</v>
      </c>
      <c r="AZ1900" s="246">
        <f>IFERROR(VLOOKUP(J1900,VOL_REC[],2,FALSE),0)</f>
        <v>663244.80000000016</v>
      </c>
      <c r="BA1900" s="246">
        <f>IFERROR(VLOOKUP(K1900,VOL_REC[],2,FALSE),0)</f>
        <v>17074.045034105649</v>
      </c>
      <c r="BB1900" s="246">
        <f>IFERROR(VLOOKUP(L1900,VOL_REC[],2,FALSE),0)</f>
        <v>105072</v>
      </c>
      <c r="BC1900" s="246">
        <f>IFERROR(VLOOKUP(M1900,VOL_REC[],2,FALSE),0)</f>
        <v>1072354.9981737854</v>
      </c>
      <c r="BD1900" s="246">
        <f>IFERROR(VLOOKUP(N1900,VOL_REC[],2,FALSE),0)</f>
        <v>740113.98115702497</v>
      </c>
      <c r="BE1900" s="246">
        <f>IFERROR(VLOOKUP(O1900,VOL_REC[],2,FALSE),0)</f>
        <v>0</v>
      </c>
      <c r="BF1900" s="246">
        <f>IFERROR(VLOOKUP(P1900,VOL_REC[],2,FALSE),0)</f>
        <v>0</v>
      </c>
      <c r="BG1900" s="246">
        <f>IFERROR(VLOOKUP(Q1900,VOL_REC[],2,FALSE),0)</f>
        <v>0</v>
      </c>
      <c r="BH1900" s="1710">
        <f t="shared" si="120"/>
        <v>18987501496.233494</v>
      </c>
      <c r="BI1900" s="1710">
        <f t="shared" si="121"/>
        <v>16018325540.576382</v>
      </c>
      <c r="BJ1900" s="1711">
        <f t="shared" si="122"/>
        <v>18343773.547967374</v>
      </c>
      <c r="BK1900" s="1711">
        <f t="shared" si="123"/>
        <v>1.185361194472907</v>
      </c>
      <c r="BL1900">
        <f>BJ1900</f>
        <v>18343773.547967374</v>
      </c>
      <c r="BO1900">
        <f>BL1900</f>
        <v>18343773.547967374</v>
      </c>
    </row>
    <row r="1901" spans="3:67" x14ac:dyDescent="0.25">
      <c r="C1901" s="246" t="s">
        <v>3251</v>
      </c>
      <c r="D1901" s="246">
        <v>1</v>
      </c>
      <c r="E1901" s="246">
        <v>2</v>
      </c>
      <c r="F1901" s="246">
        <v>3</v>
      </c>
      <c r="G1901" s="246">
        <v>4</v>
      </c>
      <c r="H1901" s="246">
        <v>6</v>
      </c>
      <c r="I1901" s="246">
        <v>9</v>
      </c>
      <c r="J1901" s="246">
        <v>10</v>
      </c>
      <c r="K1901" s="246">
        <v>12</v>
      </c>
      <c r="L1901" s="246">
        <v>13</v>
      </c>
      <c r="M1901" s="246">
        <v>14</v>
      </c>
      <c r="N1901" s="246">
        <v>15</v>
      </c>
      <c r="O1901" s="246"/>
      <c r="P1901" s="246"/>
      <c r="Q1901" s="246"/>
      <c r="R1901" s="246">
        <f>IFERROR(VLOOKUP(D1901,PROGRAMAS[],2,FALSE),0)</f>
        <v>97037803.679377079</v>
      </c>
      <c r="S1901" s="246">
        <f>IFERROR(VLOOKUP(E1901,PROGRAMAS[],2,FALSE),0)</f>
        <v>640501509.6821388</v>
      </c>
      <c r="T1901" s="246">
        <f>IFERROR(VLOOKUP(F1901,PROGRAMAS[],2,FALSE),0)</f>
        <v>3062327798.1525245</v>
      </c>
      <c r="U1901" s="246">
        <f>IFERROR(VLOOKUP(G1901,PROGRAMAS[],2,FALSE),0)</f>
        <v>67697118.033011258</v>
      </c>
      <c r="V1901" s="246">
        <f>IFERROR(VLOOKUP(H1901,PROGRAMAS[],2,FALSE),0)</f>
        <v>6907648435.8447599</v>
      </c>
      <c r="W1901" s="246">
        <f>IFERROR(VLOOKUP(I1901,PROGRAMAS[],2,FALSE),0)</f>
        <v>6128579952.1618185</v>
      </c>
      <c r="X1901" s="246">
        <f>IFERROR(VLOOKUP(J1901,PROGRAMAS[],2,FALSE),0)</f>
        <v>4635315027.8751087</v>
      </c>
      <c r="Y1901" s="246">
        <f>IFERROR(VLOOKUP(K1901,PROGRAMAS[],2,FALSE),0)</f>
        <v>764796700.79905891</v>
      </c>
      <c r="Z1901" s="246">
        <f>IFERROR(VLOOKUP(L1901,PROGRAMAS[],2,FALSE),0)</f>
        <v>3776538594.4604583</v>
      </c>
      <c r="AA1901" s="246">
        <f>IFERROR(VLOOKUP(M1901,PROGRAMAS[],2,FALSE),0)</f>
        <v>54223862.645839565</v>
      </c>
      <c r="AB1901" s="246">
        <f>IFERROR(VLOOKUP(N1901,PROGRAMAS[],2,FALSE),0)</f>
        <v>122159672.96346797</v>
      </c>
      <c r="AC1901" s="246">
        <f>IFERROR(VLOOKUP(O1901,PROGRAMAS[],2,FALSE),0)</f>
        <v>0</v>
      </c>
      <c r="AD1901" s="246">
        <f>IFERROR(VLOOKUP(P1901,PROGRAMAS[],2,FALSE),0)</f>
        <v>0</v>
      </c>
      <c r="AE1901" s="246">
        <f>IFERROR(VLOOKUP(Q1901,PROGRAMAS[],2,FALSE),0)</f>
        <v>0</v>
      </c>
      <c r="AF1901" s="246">
        <f>IFERROR(VLOOKUP(D1901,PROGRAMAS[],3,FALSE),0)</f>
        <v>841888629.31080008</v>
      </c>
      <c r="AG1901" s="246">
        <f>IFERROR(VLOOKUP(E1901,PROGRAMAS[],3,FALSE),0)</f>
        <v>3848980803.1642323</v>
      </c>
      <c r="AH1901" s="246">
        <f>IFERROR(VLOOKUP(F1901,PROGRAMAS[],3,FALSE),0)</f>
        <v>3394901471.387517</v>
      </c>
      <c r="AI1901" s="246">
        <f>IFERROR(VLOOKUP(G1901,PROGRAMAS[],3,FALSE),0)</f>
        <v>125317226.95549992</v>
      </c>
      <c r="AJ1901" s="246">
        <f>IFERROR(VLOOKUP(H1901,PROGRAMAS[],3,FALSE),0)</f>
        <v>6129902208.7912121</v>
      </c>
      <c r="AK1901" s="246">
        <f>IFERROR(VLOOKUP(I1901,PROGRAMAS[],3,FALSE),0)</f>
        <v>7011279577.519702</v>
      </c>
      <c r="AL1901" s="246">
        <f>IFERROR(VLOOKUP(J1901,PROGRAMAS[],3,FALSE),0)</f>
        <v>4099471734.9978786</v>
      </c>
      <c r="AM1901" s="246">
        <f>IFERROR(VLOOKUP(K1901,PROGRAMAS[],3,FALSE),0)</f>
        <v>675517840.109828</v>
      </c>
      <c r="AN1901" s="246">
        <f>IFERROR(VLOOKUP(L1901,PROGRAMAS[],3,FALSE),0)</f>
        <v>2392571243.5584412</v>
      </c>
      <c r="AO1901" s="246">
        <f>IFERROR(VLOOKUP(M1901,PROGRAMAS[],3,FALSE),0)</f>
        <v>31865326.38096505</v>
      </c>
      <c r="AP1901" s="246">
        <f>IFERROR(VLOOKUP(N1901,PROGRAMAS[],3,FALSE),0)</f>
        <v>118617452.52510804</v>
      </c>
      <c r="AQ1901" s="246">
        <f>IFERROR(VLOOKUP(O1901,PROGRAMAS[],3,FALSE),0)</f>
        <v>0</v>
      </c>
      <c r="AR1901" s="246">
        <f>IFERROR(VLOOKUP(P1901,PROGRAMAS[],3,FALSE),0)</f>
        <v>0</v>
      </c>
      <c r="AS1901" s="246">
        <f>IFERROR(VLOOKUP(Q1901,PROGRAMAS[],3,FALSE),0)</f>
        <v>0</v>
      </c>
      <c r="AT1901" s="246">
        <f>IFERROR(VLOOKUP(D1901,VOL_REC[],2,FALSE),0)</f>
        <v>0</v>
      </c>
      <c r="AU1901" s="246">
        <f>IFERROR(VLOOKUP(E1901,VOL_REC[],2,FALSE),0)</f>
        <v>0</v>
      </c>
      <c r="AV1901" s="246">
        <f>IFERROR(VLOOKUP(F1901,VOL_REC[],2,FALSE),0)</f>
        <v>11089674.200000001</v>
      </c>
      <c r="AW1901" s="246">
        <f>IFERROR(VLOOKUP(G1901,VOL_REC[],2,FALSE),0)</f>
        <v>90439.55</v>
      </c>
      <c r="AX1901" s="246">
        <f>IFERROR(VLOOKUP(H1901,VOL_REC[],2,FALSE),0)</f>
        <v>15540036.397699751</v>
      </c>
      <c r="AY1901" s="246">
        <f>IFERROR(VLOOKUP(I1901,VOL_REC[],2,FALSE),0)</f>
        <v>3761786</v>
      </c>
      <c r="AZ1901" s="246">
        <f>IFERROR(VLOOKUP(J1901,VOL_REC[],2,FALSE),0)</f>
        <v>1812240</v>
      </c>
      <c r="BA1901" s="246">
        <f>IFERROR(VLOOKUP(K1901,VOL_REC[],2,FALSE),0)</f>
        <v>240696.79238099116</v>
      </c>
      <c r="BB1901" s="246">
        <f>IFERROR(VLOOKUP(L1901,VOL_REC[],2,FALSE),0)</f>
        <v>663244.80000000016</v>
      </c>
      <c r="BC1901" s="246">
        <f>IFERROR(VLOOKUP(M1901,VOL_REC[],2,FALSE),0)</f>
        <v>17074.045034105649</v>
      </c>
      <c r="BD1901" s="246">
        <f>IFERROR(VLOOKUP(N1901,VOL_REC[],2,FALSE),0)</f>
        <v>105072</v>
      </c>
      <c r="BE1901" s="246">
        <f>IFERROR(VLOOKUP(O1901,VOL_REC[],2,FALSE),0)</f>
        <v>0</v>
      </c>
      <c r="BF1901" s="246">
        <f>IFERROR(VLOOKUP(P1901,VOL_REC[],2,FALSE),0)</f>
        <v>0</v>
      </c>
      <c r="BG1901" s="246">
        <f>IFERROR(VLOOKUP(Q1901,VOL_REC[],2,FALSE),0)</f>
        <v>0</v>
      </c>
      <c r="BH1901" s="1710">
        <f t="shared" si="120"/>
        <v>26256826476.297562</v>
      </c>
      <c r="BI1901" s="1710">
        <f t="shared" si="121"/>
        <v>28670313514.701187</v>
      </c>
      <c r="BJ1901" s="1711">
        <f t="shared" si="122"/>
        <v>33320263.785114851</v>
      </c>
      <c r="BK1901" s="1711">
        <f t="shared" si="123"/>
        <v>0.91581930078420426</v>
      </c>
    </row>
    <row r="1902" spans="3:67" x14ac:dyDescent="0.25">
      <c r="C1902" s="246" t="s">
        <v>3252</v>
      </c>
      <c r="D1902" s="246">
        <v>1</v>
      </c>
      <c r="E1902" s="246">
        <v>2</v>
      </c>
      <c r="F1902" s="246">
        <v>3</v>
      </c>
      <c r="G1902" s="246">
        <v>4</v>
      </c>
      <c r="H1902" s="246">
        <v>6</v>
      </c>
      <c r="I1902" s="246">
        <v>9</v>
      </c>
      <c r="J1902" s="246">
        <v>10</v>
      </c>
      <c r="K1902" s="246">
        <v>12</v>
      </c>
      <c r="L1902" s="246">
        <v>13</v>
      </c>
      <c r="M1902" s="246">
        <v>14</v>
      </c>
      <c r="N1902" s="246">
        <v>16</v>
      </c>
      <c r="O1902" s="246"/>
      <c r="P1902" s="246"/>
      <c r="Q1902" s="246"/>
      <c r="R1902" s="246">
        <f>IFERROR(VLOOKUP(D1902,PROGRAMAS[],2,FALSE),0)</f>
        <v>97037803.679377079</v>
      </c>
      <c r="S1902" s="246">
        <f>IFERROR(VLOOKUP(E1902,PROGRAMAS[],2,FALSE),0)</f>
        <v>640501509.6821388</v>
      </c>
      <c r="T1902" s="246">
        <f>IFERROR(VLOOKUP(F1902,PROGRAMAS[],2,FALSE),0)</f>
        <v>3062327798.1525245</v>
      </c>
      <c r="U1902" s="246">
        <f>IFERROR(VLOOKUP(G1902,PROGRAMAS[],2,FALSE),0)</f>
        <v>67697118.033011258</v>
      </c>
      <c r="V1902" s="246">
        <f>IFERROR(VLOOKUP(H1902,PROGRAMAS[],2,FALSE),0)</f>
        <v>6907648435.8447599</v>
      </c>
      <c r="W1902" s="246">
        <f>IFERROR(VLOOKUP(I1902,PROGRAMAS[],2,FALSE),0)</f>
        <v>6128579952.1618185</v>
      </c>
      <c r="X1902" s="246">
        <f>IFERROR(VLOOKUP(J1902,PROGRAMAS[],2,FALSE),0)</f>
        <v>4635315027.8751087</v>
      </c>
      <c r="Y1902" s="246">
        <f>IFERROR(VLOOKUP(K1902,PROGRAMAS[],2,FALSE),0)</f>
        <v>764796700.79905891</v>
      </c>
      <c r="Z1902" s="246">
        <f>IFERROR(VLOOKUP(L1902,PROGRAMAS[],2,FALSE),0)</f>
        <v>3776538594.4604583</v>
      </c>
      <c r="AA1902" s="246">
        <f>IFERROR(VLOOKUP(M1902,PROGRAMAS[],2,FALSE),0)</f>
        <v>54223862.645839565</v>
      </c>
      <c r="AB1902" s="246">
        <f>IFERROR(VLOOKUP(N1902,PROGRAMAS[],2,FALSE),0)</f>
        <v>7068496961.0436354</v>
      </c>
      <c r="AC1902" s="246">
        <f>IFERROR(VLOOKUP(O1902,PROGRAMAS[],2,FALSE),0)</f>
        <v>0</v>
      </c>
      <c r="AD1902" s="246">
        <f>IFERROR(VLOOKUP(P1902,PROGRAMAS[],2,FALSE),0)</f>
        <v>0</v>
      </c>
      <c r="AE1902" s="246">
        <f>IFERROR(VLOOKUP(Q1902,PROGRAMAS[],2,FALSE),0)</f>
        <v>0</v>
      </c>
      <c r="AF1902" s="246">
        <f>IFERROR(VLOOKUP(D1902,PROGRAMAS[],3,FALSE),0)</f>
        <v>841888629.31080008</v>
      </c>
      <c r="AG1902" s="246">
        <f>IFERROR(VLOOKUP(E1902,PROGRAMAS[],3,FALSE),0)</f>
        <v>3848980803.1642323</v>
      </c>
      <c r="AH1902" s="246">
        <f>IFERROR(VLOOKUP(F1902,PROGRAMAS[],3,FALSE),0)</f>
        <v>3394901471.387517</v>
      </c>
      <c r="AI1902" s="246">
        <f>IFERROR(VLOOKUP(G1902,PROGRAMAS[],3,FALSE),0)</f>
        <v>125317226.95549992</v>
      </c>
      <c r="AJ1902" s="246">
        <f>IFERROR(VLOOKUP(H1902,PROGRAMAS[],3,FALSE),0)</f>
        <v>6129902208.7912121</v>
      </c>
      <c r="AK1902" s="246">
        <f>IFERROR(VLOOKUP(I1902,PROGRAMAS[],3,FALSE),0)</f>
        <v>7011279577.519702</v>
      </c>
      <c r="AL1902" s="246">
        <f>IFERROR(VLOOKUP(J1902,PROGRAMAS[],3,FALSE),0)</f>
        <v>4099471734.9978786</v>
      </c>
      <c r="AM1902" s="246">
        <f>IFERROR(VLOOKUP(K1902,PROGRAMAS[],3,FALSE),0)</f>
        <v>675517840.109828</v>
      </c>
      <c r="AN1902" s="246">
        <f>IFERROR(VLOOKUP(L1902,PROGRAMAS[],3,FALSE),0)</f>
        <v>2392571243.5584412</v>
      </c>
      <c r="AO1902" s="246">
        <f>IFERROR(VLOOKUP(M1902,PROGRAMAS[],3,FALSE),0)</f>
        <v>31865326.38096505</v>
      </c>
      <c r="AP1902" s="246">
        <f>IFERROR(VLOOKUP(N1902,PROGRAMAS[],3,FALSE),0)</f>
        <v>2406564599.0319901</v>
      </c>
      <c r="AQ1902" s="246">
        <f>IFERROR(VLOOKUP(O1902,PROGRAMAS[],3,FALSE),0)</f>
        <v>0</v>
      </c>
      <c r="AR1902" s="246">
        <f>IFERROR(VLOOKUP(P1902,PROGRAMAS[],3,FALSE),0)</f>
        <v>0</v>
      </c>
      <c r="AS1902" s="246">
        <f>IFERROR(VLOOKUP(Q1902,PROGRAMAS[],3,FALSE),0)</f>
        <v>0</v>
      </c>
      <c r="AT1902" s="246">
        <f>IFERROR(VLOOKUP(D1902,VOL_REC[],2,FALSE),0)</f>
        <v>0</v>
      </c>
      <c r="AU1902" s="246">
        <f>IFERROR(VLOOKUP(E1902,VOL_REC[],2,FALSE),0)</f>
        <v>0</v>
      </c>
      <c r="AV1902" s="246">
        <f>IFERROR(VLOOKUP(F1902,VOL_REC[],2,FALSE),0)</f>
        <v>11089674.200000001</v>
      </c>
      <c r="AW1902" s="246">
        <f>IFERROR(VLOOKUP(G1902,VOL_REC[],2,FALSE),0)</f>
        <v>90439.55</v>
      </c>
      <c r="AX1902" s="246">
        <f>IFERROR(VLOOKUP(H1902,VOL_REC[],2,FALSE),0)</f>
        <v>15540036.397699751</v>
      </c>
      <c r="AY1902" s="246">
        <f>IFERROR(VLOOKUP(I1902,VOL_REC[],2,FALSE),0)</f>
        <v>3761786</v>
      </c>
      <c r="AZ1902" s="246">
        <f>IFERROR(VLOOKUP(J1902,VOL_REC[],2,FALSE),0)</f>
        <v>1812240</v>
      </c>
      <c r="BA1902" s="246">
        <f>IFERROR(VLOOKUP(K1902,VOL_REC[],2,FALSE),0)</f>
        <v>240696.79238099116</v>
      </c>
      <c r="BB1902" s="246">
        <f>IFERROR(VLOOKUP(L1902,VOL_REC[],2,FALSE),0)</f>
        <v>663244.80000000016</v>
      </c>
      <c r="BC1902" s="246">
        <f>IFERROR(VLOOKUP(M1902,VOL_REC[],2,FALSE),0)</f>
        <v>17074.045034105649</v>
      </c>
      <c r="BD1902" s="246">
        <f>IFERROR(VLOOKUP(N1902,VOL_REC[],2,FALSE),0)</f>
        <v>1072354.9981737854</v>
      </c>
      <c r="BE1902" s="246">
        <f>IFERROR(VLOOKUP(O1902,VOL_REC[],2,FALSE),0)</f>
        <v>0</v>
      </c>
      <c r="BF1902" s="246">
        <f>IFERROR(VLOOKUP(P1902,VOL_REC[],2,FALSE),0)</f>
        <v>0</v>
      </c>
      <c r="BG1902" s="246">
        <f>IFERROR(VLOOKUP(Q1902,VOL_REC[],2,FALSE),0)</f>
        <v>0</v>
      </c>
      <c r="BH1902" s="1710">
        <f t="shared" si="120"/>
        <v>33203163764.377731</v>
      </c>
      <c r="BI1902" s="1710">
        <f t="shared" si="121"/>
        <v>30958260661.208069</v>
      </c>
      <c r="BJ1902" s="1711">
        <f t="shared" si="122"/>
        <v>34287546.783288635</v>
      </c>
      <c r="BK1902" s="1711">
        <f t="shared" si="123"/>
        <v>1.0725138639969725</v>
      </c>
      <c r="BL1902">
        <f>BJ1902</f>
        <v>34287546.783288635</v>
      </c>
      <c r="BO1902">
        <f>BL1902</f>
        <v>34287546.783288635</v>
      </c>
    </row>
    <row r="1903" spans="3:67" x14ac:dyDescent="0.25">
      <c r="C1903" s="246" t="s">
        <v>3253</v>
      </c>
      <c r="D1903" s="246">
        <v>1</v>
      </c>
      <c r="E1903" s="246">
        <v>2</v>
      </c>
      <c r="F1903" s="246">
        <v>3</v>
      </c>
      <c r="G1903" s="246">
        <v>4</v>
      </c>
      <c r="H1903" s="246">
        <v>6</v>
      </c>
      <c r="I1903" s="246">
        <v>9</v>
      </c>
      <c r="J1903" s="246">
        <v>10</v>
      </c>
      <c r="K1903" s="246">
        <v>12</v>
      </c>
      <c r="L1903" s="246">
        <v>13</v>
      </c>
      <c r="M1903" s="246">
        <v>14</v>
      </c>
      <c r="N1903" s="246">
        <v>17</v>
      </c>
      <c r="O1903" s="246"/>
      <c r="P1903" s="246"/>
      <c r="Q1903" s="246"/>
      <c r="R1903" s="246">
        <f>IFERROR(VLOOKUP(D1903,PROGRAMAS[],2,FALSE),0)</f>
        <v>97037803.679377079</v>
      </c>
      <c r="S1903" s="246">
        <f>IFERROR(VLOOKUP(E1903,PROGRAMAS[],2,FALSE),0)</f>
        <v>640501509.6821388</v>
      </c>
      <c r="T1903" s="246">
        <f>IFERROR(VLOOKUP(F1903,PROGRAMAS[],2,FALSE),0)</f>
        <v>3062327798.1525245</v>
      </c>
      <c r="U1903" s="246">
        <f>IFERROR(VLOOKUP(G1903,PROGRAMAS[],2,FALSE),0)</f>
        <v>67697118.033011258</v>
      </c>
      <c r="V1903" s="246">
        <f>IFERROR(VLOOKUP(H1903,PROGRAMAS[],2,FALSE),0)</f>
        <v>6907648435.8447599</v>
      </c>
      <c r="W1903" s="246">
        <f>IFERROR(VLOOKUP(I1903,PROGRAMAS[],2,FALSE),0)</f>
        <v>6128579952.1618185</v>
      </c>
      <c r="X1903" s="246">
        <f>IFERROR(VLOOKUP(J1903,PROGRAMAS[],2,FALSE),0)</f>
        <v>4635315027.8751087</v>
      </c>
      <c r="Y1903" s="246">
        <f>IFERROR(VLOOKUP(K1903,PROGRAMAS[],2,FALSE),0)</f>
        <v>764796700.79905891</v>
      </c>
      <c r="Z1903" s="246">
        <f>IFERROR(VLOOKUP(L1903,PROGRAMAS[],2,FALSE),0)</f>
        <v>3776538594.4604583</v>
      </c>
      <c r="AA1903" s="246">
        <f>IFERROR(VLOOKUP(M1903,PROGRAMAS[],2,FALSE),0)</f>
        <v>54223862.645839565</v>
      </c>
      <c r="AB1903" s="246">
        <f>IFERROR(VLOOKUP(N1903,PROGRAMAS[],2,FALSE),0)</f>
        <v>1892779498.5211046</v>
      </c>
      <c r="AC1903" s="246">
        <f>IFERROR(VLOOKUP(O1903,PROGRAMAS[],2,FALSE),0)</f>
        <v>0</v>
      </c>
      <c r="AD1903" s="246">
        <f>IFERROR(VLOOKUP(P1903,PROGRAMAS[],2,FALSE),0)</f>
        <v>0</v>
      </c>
      <c r="AE1903" s="246">
        <f>IFERROR(VLOOKUP(Q1903,PROGRAMAS[],2,FALSE),0)</f>
        <v>0</v>
      </c>
      <c r="AF1903" s="246">
        <f>IFERROR(VLOOKUP(D1903,PROGRAMAS[],3,FALSE),0)</f>
        <v>841888629.31080008</v>
      </c>
      <c r="AG1903" s="246">
        <f>IFERROR(VLOOKUP(E1903,PROGRAMAS[],3,FALSE),0)</f>
        <v>3848980803.1642323</v>
      </c>
      <c r="AH1903" s="246">
        <f>IFERROR(VLOOKUP(F1903,PROGRAMAS[],3,FALSE),0)</f>
        <v>3394901471.387517</v>
      </c>
      <c r="AI1903" s="246">
        <f>IFERROR(VLOOKUP(G1903,PROGRAMAS[],3,FALSE),0)</f>
        <v>125317226.95549992</v>
      </c>
      <c r="AJ1903" s="246">
        <f>IFERROR(VLOOKUP(H1903,PROGRAMAS[],3,FALSE),0)</f>
        <v>6129902208.7912121</v>
      </c>
      <c r="AK1903" s="246">
        <f>IFERROR(VLOOKUP(I1903,PROGRAMAS[],3,FALSE),0)</f>
        <v>7011279577.519702</v>
      </c>
      <c r="AL1903" s="246">
        <f>IFERROR(VLOOKUP(J1903,PROGRAMAS[],3,FALSE),0)</f>
        <v>4099471734.9978786</v>
      </c>
      <c r="AM1903" s="246">
        <f>IFERROR(VLOOKUP(K1903,PROGRAMAS[],3,FALSE),0)</f>
        <v>675517840.109828</v>
      </c>
      <c r="AN1903" s="246">
        <f>IFERROR(VLOOKUP(L1903,PROGRAMAS[],3,FALSE),0)</f>
        <v>2392571243.5584412</v>
      </c>
      <c r="AO1903" s="246">
        <f>IFERROR(VLOOKUP(M1903,PROGRAMAS[],3,FALSE),0)</f>
        <v>31865326.38096505</v>
      </c>
      <c r="AP1903" s="246">
        <f>IFERROR(VLOOKUP(N1903,PROGRAMAS[],3,FALSE),0)</f>
        <v>948595847.09039903</v>
      </c>
      <c r="AQ1903" s="246">
        <f>IFERROR(VLOOKUP(O1903,PROGRAMAS[],3,FALSE),0)</f>
        <v>0</v>
      </c>
      <c r="AR1903" s="246">
        <f>IFERROR(VLOOKUP(P1903,PROGRAMAS[],3,FALSE),0)</f>
        <v>0</v>
      </c>
      <c r="AS1903" s="246">
        <f>IFERROR(VLOOKUP(Q1903,PROGRAMAS[],3,FALSE),0)</f>
        <v>0</v>
      </c>
      <c r="AT1903" s="246">
        <f>IFERROR(VLOOKUP(D1903,VOL_REC[],2,FALSE),0)</f>
        <v>0</v>
      </c>
      <c r="AU1903" s="246">
        <f>IFERROR(VLOOKUP(E1903,VOL_REC[],2,FALSE),0)</f>
        <v>0</v>
      </c>
      <c r="AV1903" s="246">
        <f>IFERROR(VLOOKUP(F1903,VOL_REC[],2,FALSE),0)</f>
        <v>11089674.200000001</v>
      </c>
      <c r="AW1903" s="246">
        <f>IFERROR(VLOOKUP(G1903,VOL_REC[],2,FALSE),0)</f>
        <v>90439.55</v>
      </c>
      <c r="AX1903" s="246">
        <f>IFERROR(VLOOKUP(H1903,VOL_REC[],2,FALSE),0)</f>
        <v>15540036.397699751</v>
      </c>
      <c r="AY1903" s="246">
        <f>IFERROR(VLOOKUP(I1903,VOL_REC[],2,FALSE),0)</f>
        <v>3761786</v>
      </c>
      <c r="AZ1903" s="246">
        <f>IFERROR(VLOOKUP(J1903,VOL_REC[],2,FALSE),0)</f>
        <v>1812240</v>
      </c>
      <c r="BA1903" s="246">
        <f>IFERROR(VLOOKUP(K1903,VOL_REC[],2,FALSE),0)</f>
        <v>240696.79238099116</v>
      </c>
      <c r="BB1903" s="246">
        <f>IFERROR(VLOOKUP(L1903,VOL_REC[],2,FALSE),0)</f>
        <v>663244.80000000016</v>
      </c>
      <c r="BC1903" s="246">
        <f>IFERROR(VLOOKUP(M1903,VOL_REC[],2,FALSE),0)</f>
        <v>17074.045034105649</v>
      </c>
      <c r="BD1903" s="246">
        <f>IFERROR(VLOOKUP(N1903,VOL_REC[],2,FALSE),0)</f>
        <v>740113.98115702497</v>
      </c>
      <c r="BE1903" s="246">
        <f>IFERROR(VLOOKUP(O1903,VOL_REC[],2,FALSE),0)</f>
        <v>0</v>
      </c>
      <c r="BF1903" s="246">
        <f>IFERROR(VLOOKUP(P1903,VOL_REC[],2,FALSE),0)</f>
        <v>0</v>
      </c>
      <c r="BG1903" s="246">
        <f>IFERROR(VLOOKUP(Q1903,VOL_REC[],2,FALSE),0)</f>
        <v>0</v>
      </c>
      <c r="BH1903" s="1710">
        <f t="shared" si="120"/>
        <v>28027446301.855198</v>
      </c>
      <c r="BI1903" s="1710">
        <f t="shared" si="121"/>
        <v>29500291909.266479</v>
      </c>
      <c r="BJ1903" s="1711">
        <f t="shared" si="122"/>
        <v>33955305.766271874</v>
      </c>
      <c r="BK1903" s="1711">
        <f t="shared" si="123"/>
        <v>0.95007352429117353</v>
      </c>
    </row>
    <row r="1904" spans="3:67" x14ac:dyDescent="0.25">
      <c r="C1904" s="246" t="s">
        <v>3254</v>
      </c>
      <c r="D1904" s="246">
        <v>1</v>
      </c>
      <c r="E1904" s="246">
        <v>2</v>
      </c>
      <c r="F1904" s="246">
        <v>3</v>
      </c>
      <c r="G1904" s="246">
        <v>4</v>
      </c>
      <c r="H1904" s="246">
        <v>6</v>
      </c>
      <c r="I1904" s="246">
        <v>9</v>
      </c>
      <c r="J1904" s="246">
        <v>10</v>
      </c>
      <c r="K1904" s="246">
        <v>12</v>
      </c>
      <c r="L1904" s="246">
        <v>13</v>
      </c>
      <c r="M1904" s="246">
        <v>15</v>
      </c>
      <c r="N1904" s="246">
        <v>16</v>
      </c>
      <c r="O1904" s="246"/>
      <c r="P1904" s="246"/>
      <c r="Q1904" s="246"/>
      <c r="R1904" s="246">
        <f>IFERROR(VLOOKUP(D1904,PROGRAMAS[],2,FALSE),0)</f>
        <v>97037803.679377079</v>
      </c>
      <c r="S1904" s="246">
        <f>IFERROR(VLOOKUP(E1904,PROGRAMAS[],2,FALSE),0)</f>
        <v>640501509.6821388</v>
      </c>
      <c r="T1904" s="246">
        <f>IFERROR(VLOOKUP(F1904,PROGRAMAS[],2,FALSE),0)</f>
        <v>3062327798.1525245</v>
      </c>
      <c r="U1904" s="246">
        <f>IFERROR(VLOOKUP(G1904,PROGRAMAS[],2,FALSE),0)</f>
        <v>67697118.033011258</v>
      </c>
      <c r="V1904" s="246">
        <f>IFERROR(VLOOKUP(H1904,PROGRAMAS[],2,FALSE),0)</f>
        <v>6907648435.8447599</v>
      </c>
      <c r="W1904" s="246">
        <f>IFERROR(VLOOKUP(I1904,PROGRAMAS[],2,FALSE),0)</f>
        <v>6128579952.1618185</v>
      </c>
      <c r="X1904" s="246">
        <f>IFERROR(VLOOKUP(J1904,PROGRAMAS[],2,FALSE),0)</f>
        <v>4635315027.8751087</v>
      </c>
      <c r="Y1904" s="246">
        <f>IFERROR(VLOOKUP(K1904,PROGRAMAS[],2,FALSE),0)</f>
        <v>764796700.79905891</v>
      </c>
      <c r="Z1904" s="246">
        <f>IFERROR(VLOOKUP(L1904,PROGRAMAS[],2,FALSE),0)</f>
        <v>3776538594.4604583</v>
      </c>
      <c r="AA1904" s="246">
        <f>IFERROR(VLOOKUP(M1904,PROGRAMAS[],2,FALSE),0)</f>
        <v>122159672.96346797</v>
      </c>
      <c r="AB1904" s="246">
        <f>IFERROR(VLOOKUP(N1904,PROGRAMAS[],2,FALSE),0)</f>
        <v>7068496961.0436354</v>
      </c>
      <c r="AC1904" s="246">
        <f>IFERROR(VLOOKUP(O1904,PROGRAMAS[],2,FALSE),0)</f>
        <v>0</v>
      </c>
      <c r="AD1904" s="246">
        <f>IFERROR(VLOOKUP(P1904,PROGRAMAS[],2,FALSE),0)</f>
        <v>0</v>
      </c>
      <c r="AE1904" s="246">
        <f>IFERROR(VLOOKUP(Q1904,PROGRAMAS[],2,FALSE),0)</f>
        <v>0</v>
      </c>
      <c r="AF1904" s="246">
        <f>IFERROR(VLOOKUP(D1904,PROGRAMAS[],3,FALSE),0)</f>
        <v>841888629.31080008</v>
      </c>
      <c r="AG1904" s="246">
        <f>IFERROR(VLOOKUP(E1904,PROGRAMAS[],3,FALSE),0)</f>
        <v>3848980803.1642323</v>
      </c>
      <c r="AH1904" s="246">
        <f>IFERROR(VLOOKUP(F1904,PROGRAMAS[],3,FALSE),0)</f>
        <v>3394901471.387517</v>
      </c>
      <c r="AI1904" s="246">
        <f>IFERROR(VLOOKUP(G1904,PROGRAMAS[],3,FALSE),0)</f>
        <v>125317226.95549992</v>
      </c>
      <c r="AJ1904" s="246">
        <f>IFERROR(VLOOKUP(H1904,PROGRAMAS[],3,FALSE),0)</f>
        <v>6129902208.7912121</v>
      </c>
      <c r="AK1904" s="246">
        <f>IFERROR(VLOOKUP(I1904,PROGRAMAS[],3,FALSE),0)</f>
        <v>7011279577.519702</v>
      </c>
      <c r="AL1904" s="246">
        <f>IFERROR(VLOOKUP(J1904,PROGRAMAS[],3,FALSE),0)</f>
        <v>4099471734.9978786</v>
      </c>
      <c r="AM1904" s="246">
        <f>IFERROR(VLOOKUP(K1904,PROGRAMAS[],3,FALSE),0)</f>
        <v>675517840.109828</v>
      </c>
      <c r="AN1904" s="246">
        <f>IFERROR(VLOOKUP(L1904,PROGRAMAS[],3,FALSE),0)</f>
        <v>2392571243.5584412</v>
      </c>
      <c r="AO1904" s="246">
        <f>IFERROR(VLOOKUP(M1904,PROGRAMAS[],3,FALSE),0)</f>
        <v>118617452.52510804</v>
      </c>
      <c r="AP1904" s="246">
        <f>IFERROR(VLOOKUP(N1904,PROGRAMAS[],3,FALSE),0)</f>
        <v>2406564599.0319901</v>
      </c>
      <c r="AQ1904" s="246">
        <f>IFERROR(VLOOKUP(O1904,PROGRAMAS[],3,FALSE),0)</f>
        <v>0</v>
      </c>
      <c r="AR1904" s="246">
        <f>IFERROR(VLOOKUP(P1904,PROGRAMAS[],3,FALSE),0)</f>
        <v>0</v>
      </c>
      <c r="AS1904" s="246">
        <f>IFERROR(VLOOKUP(Q1904,PROGRAMAS[],3,FALSE),0)</f>
        <v>0</v>
      </c>
      <c r="AT1904" s="246">
        <f>IFERROR(VLOOKUP(D1904,VOL_REC[],2,FALSE),0)</f>
        <v>0</v>
      </c>
      <c r="AU1904" s="246">
        <f>IFERROR(VLOOKUP(E1904,VOL_REC[],2,FALSE),0)</f>
        <v>0</v>
      </c>
      <c r="AV1904" s="246">
        <f>IFERROR(VLOOKUP(F1904,VOL_REC[],2,FALSE),0)</f>
        <v>11089674.200000001</v>
      </c>
      <c r="AW1904" s="246">
        <f>IFERROR(VLOOKUP(G1904,VOL_REC[],2,FALSE),0)</f>
        <v>90439.55</v>
      </c>
      <c r="AX1904" s="246">
        <f>IFERROR(VLOOKUP(H1904,VOL_REC[],2,FALSE),0)</f>
        <v>15540036.397699751</v>
      </c>
      <c r="AY1904" s="246">
        <f>IFERROR(VLOOKUP(I1904,VOL_REC[],2,FALSE),0)</f>
        <v>3761786</v>
      </c>
      <c r="AZ1904" s="246">
        <f>IFERROR(VLOOKUP(J1904,VOL_REC[],2,FALSE),0)</f>
        <v>1812240</v>
      </c>
      <c r="BA1904" s="246">
        <f>IFERROR(VLOOKUP(K1904,VOL_REC[],2,FALSE),0)</f>
        <v>240696.79238099116</v>
      </c>
      <c r="BB1904" s="246">
        <f>IFERROR(VLOOKUP(L1904,VOL_REC[],2,FALSE),0)</f>
        <v>663244.80000000016</v>
      </c>
      <c r="BC1904" s="246">
        <f>IFERROR(VLOOKUP(M1904,VOL_REC[],2,FALSE),0)</f>
        <v>105072</v>
      </c>
      <c r="BD1904" s="246">
        <f>IFERROR(VLOOKUP(N1904,VOL_REC[],2,FALSE),0)</f>
        <v>1072354.9981737854</v>
      </c>
      <c r="BE1904" s="246">
        <f>IFERROR(VLOOKUP(O1904,VOL_REC[],2,FALSE),0)</f>
        <v>0</v>
      </c>
      <c r="BF1904" s="246">
        <f>IFERROR(VLOOKUP(P1904,VOL_REC[],2,FALSE),0)</f>
        <v>0</v>
      </c>
      <c r="BG1904" s="246">
        <f>IFERROR(VLOOKUP(Q1904,VOL_REC[],2,FALSE),0)</f>
        <v>0</v>
      </c>
      <c r="BH1904" s="1710">
        <f t="shared" si="120"/>
        <v>33271099574.695358</v>
      </c>
      <c r="BI1904" s="1710">
        <f t="shared" si="121"/>
        <v>31045012787.352211</v>
      </c>
      <c r="BJ1904" s="1711">
        <f t="shared" si="122"/>
        <v>34375544.738254532</v>
      </c>
      <c r="BK1904" s="1711">
        <f t="shared" si="123"/>
        <v>1.0717051335295329</v>
      </c>
      <c r="BL1904">
        <f>BJ1904</f>
        <v>34375544.738254532</v>
      </c>
      <c r="BO1904">
        <f>BL1904</f>
        <v>34375544.738254532</v>
      </c>
    </row>
    <row r="1905" spans="3:67" x14ac:dyDescent="0.25">
      <c r="C1905" s="246" t="s">
        <v>3255</v>
      </c>
      <c r="D1905" s="246">
        <v>1</v>
      </c>
      <c r="E1905" s="246">
        <v>2</v>
      </c>
      <c r="F1905" s="246">
        <v>3</v>
      </c>
      <c r="G1905" s="246">
        <v>4</v>
      </c>
      <c r="H1905" s="246">
        <v>6</v>
      </c>
      <c r="I1905" s="246">
        <v>9</v>
      </c>
      <c r="J1905" s="246">
        <v>10</v>
      </c>
      <c r="K1905" s="246">
        <v>12</v>
      </c>
      <c r="L1905" s="246">
        <v>13</v>
      </c>
      <c r="M1905" s="246">
        <v>15</v>
      </c>
      <c r="N1905" s="246">
        <v>17</v>
      </c>
      <c r="O1905" s="246"/>
      <c r="P1905" s="246"/>
      <c r="Q1905" s="246"/>
      <c r="R1905" s="246">
        <f>IFERROR(VLOOKUP(D1905,PROGRAMAS[],2,FALSE),0)</f>
        <v>97037803.679377079</v>
      </c>
      <c r="S1905" s="246">
        <f>IFERROR(VLOOKUP(E1905,PROGRAMAS[],2,FALSE),0)</f>
        <v>640501509.6821388</v>
      </c>
      <c r="T1905" s="246">
        <f>IFERROR(VLOOKUP(F1905,PROGRAMAS[],2,FALSE),0)</f>
        <v>3062327798.1525245</v>
      </c>
      <c r="U1905" s="246">
        <f>IFERROR(VLOOKUP(G1905,PROGRAMAS[],2,FALSE),0)</f>
        <v>67697118.033011258</v>
      </c>
      <c r="V1905" s="246">
        <f>IFERROR(VLOOKUP(H1905,PROGRAMAS[],2,FALSE),0)</f>
        <v>6907648435.8447599</v>
      </c>
      <c r="W1905" s="246">
        <f>IFERROR(VLOOKUP(I1905,PROGRAMAS[],2,FALSE),0)</f>
        <v>6128579952.1618185</v>
      </c>
      <c r="X1905" s="246">
        <f>IFERROR(VLOOKUP(J1905,PROGRAMAS[],2,FALSE),0)</f>
        <v>4635315027.8751087</v>
      </c>
      <c r="Y1905" s="246">
        <f>IFERROR(VLOOKUP(K1905,PROGRAMAS[],2,FALSE),0)</f>
        <v>764796700.79905891</v>
      </c>
      <c r="Z1905" s="246">
        <f>IFERROR(VLOOKUP(L1905,PROGRAMAS[],2,FALSE),0)</f>
        <v>3776538594.4604583</v>
      </c>
      <c r="AA1905" s="246">
        <f>IFERROR(VLOOKUP(M1905,PROGRAMAS[],2,FALSE),0)</f>
        <v>122159672.96346797</v>
      </c>
      <c r="AB1905" s="246">
        <f>IFERROR(VLOOKUP(N1905,PROGRAMAS[],2,FALSE),0)</f>
        <v>1892779498.5211046</v>
      </c>
      <c r="AC1905" s="246">
        <f>IFERROR(VLOOKUP(O1905,PROGRAMAS[],2,FALSE),0)</f>
        <v>0</v>
      </c>
      <c r="AD1905" s="246">
        <f>IFERROR(VLOOKUP(P1905,PROGRAMAS[],2,FALSE),0)</f>
        <v>0</v>
      </c>
      <c r="AE1905" s="246">
        <f>IFERROR(VLOOKUP(Q1905,PROGRAMAS[],2,FALSE),0)</f>
        <v>0</v>
      </c>
      <c r="AF1905" s="246">
        <f>IFERROR(VLOOKUP(D1905,PROGRAMAS[],3,FALSE),0)</f>
        <v>841888629.31080008</v>
      </c>
      <c r="AG1905" s="246">
        <f>IFERROR(VLOOKUP(E1905,PROGRAMAS[],3,FALSE),0)</f>
        <v>3848980803.1642323</v>
      </c>
      <c r="AH1905" s="246">
        <f>IFERROR(VLOOKUP(F1905,PROGRAMAS[],3,FALSE),0)</f>
        <v>3394901471.387517</v>
      </c>
      <c r="AI1905" s="246">
        <f>IFERROR(VLOOKUP(G1905,PROGRAMAS[],3,FALSE),0)</f>
        <v>125317226.95549992</v>
      </c>
      <c r="AJ1905" s="246">
        <f>IFERROR(VLOOKUP(H1905,PROGRAMAS[],3,FALSE),0)</f>
        <v>6129902208.7912121</v>
      </c>
      <c r="AK1905" s="246">
        <f>IFERROR(VLOOKUP(I1905,PROGRAMAS[],3,FALSE),0)</f>
        <v>7011279577.519702</v>
      </c>
      <c r="AL1905" s="246">
        <f>IFERROR(VLOOKUP(J1905,PROGRAMAS[],3,FALSE),0)</f>
        <v>4099471734.9978786</v>
      </c>
      <c r="AM1905" s="246">
        <f>IFERROR(VLOOKUP(K1905,PROGRAMAS[],3,FALSE),0)</f>
        <v>675517840.109828</v>
      </c>
      <c r="AN1905" s="246">
        <f>IFERROR(VLOOKUP(L1905,PROGRAMAS[],3,FALSE),0)</f>
        <v>2392571243.5584412</v>
      </c>
      <c r="AO1905" s="246">
        <f>IFERROR(VLOOKUP(M1905,PROGRAMAS[],3,FALSE),0)</f>
        <v>118617452.52510804</v>
      </c>
      <c r="AP1905" s="246">
        <f>IFERROR(VLOOKUP(N1905,PROGRAMAS[],3,FALSE),0)</f>
        <v>948595847.09039903</v>
      </c>
      <c r="AQ1905" s="246">
        <f>IFERROR(VLOOKUP(O1905,PROGRAMAS[],3,FALSE),0)</f>
        <v>0</v>
      </c>
      <c r="AR1905" s="246">
        <f>IFERROR(VLOOKUP(P1905,PROGRAMAS[],3,FALSE),0)</f>
        <v>0</v>
      </c>
      <c r="AS1905" s="246">
        <f>IFERROR(VLOOKUP(Q1905,PROGRAMAS[],3,FALSE),0)</f>
        <v>0</v>
      </c>
      <c r="AT1905" s="246">
        <f>IFERROR(VLOOKUP(D1905,VOL_REC[],2,FALSE),0)</f>
        <v>0</v>
      </c>
      <c r="AU1905" s="246">
        <f>IFERROR(VLOOKUP(E1905,VOL_REC[],2,FALSE),0)</f>
        <v>0</v>
      </c>
      <c r="AV1905" s="246">
        <f>IFERROR(VLOOKUP(F1905,VOL_REC[],2,FALSE),0)</f>
        <v>11089674.200000001</v>
      </c>
      <c r="AW1905" s="246">
        <f>IFERROR(VLOOKUP(G1905,VOL_REC[],2,FALSE),0)</f>
        <v>90439.55</v>
      </c>
      <c r="AX1905" s="246">
        <f>IFERROR(VLOOKUP(H1905,VOL_REC[],2,FALSE),0)</f>
        <v>15540036.397699751</v>
      </c>
      <c r="AY1905" s="246">
        <f>IFERROR(VLOOKUP(I1905,VOL_REC[],2,FALSE),0)</f>
        <v>3761786</v>
      </c>
      <c r="AZ1905" s="246">
        <f>IFERROR(VLOOKUP(J1905,VOL_REC[],2,FALSE),0)</f>
        <v>1812240</v>
      </c>
      <c r="BA1905" s="246">
        <f>IFERROR(VLOOKUP(K1905,VOL_REC[],2,FALSE),0)</f>
        <v>240696.79238099116</v>
      </c>
      <c r="BB1905" s="246">
        <f>IFERROR(VLOOKUP(L1905,VOL_REC[],2,FALSE),0)</f>
        <v>663244.80000000016</v>
      </c>
      <c r="BC1905" s="246">
        <f>IFERROR(VLOOKUP(M1905,VOL_REC[],2,FALSE),0)</f>
        <v>105072</v>
      </c>
      <c r="BD1905" s="246">
        <f>IFERROR(VLOOKUP(N1905,VOL_REC[],2,FALSE),0)</f>
        <v>740113.98115702497</v>
      </c>
      <c r="BE1905" s="246">
        <f>IFERROR(VLOOKUP(O1905,VOL_REC[],2,FALSE),0)</f>
        <v>0</v>
      </c>
      <c r="BF1905" s="246">
        <f>IFERROR(VLOOKUP(P1905,VOL_REC[],2,FALSE),0)</f>
        <v>0</v>
      </c>
      <c r="BG1905" s="246">
        <f>IFERROR(VLOOKUP(Q1905,VOL_REC[],2,FALSE),0)</f>
        <v>0</v>
      </c>
      <c r="BH1905" s="1710">
        <f t="shared" si="120"/>
        <v>28095382112.172825</v>
      </c>
      <c r="BI1905" s="1710">
        <f t="shared" si="121"/>
        <v>29587044035.410622</v>
      </c>
      <c r="BJ1905" s="1711">
        <f t="shared" si="122"/>
        <v>34043303.721237771</v>
      </c>
      <c r="BK1905" s="1711">
        <f t="shared" si="123"/>
        <v>0.94958394892532916</v>
      </c>
    </row>
    <row r="1906" spans="3:67" x14ac:dyDescent="0.25">
      <c r="C1906" s="246" t="s">
        <v>3256</v>
      </c>
      <c r="D1906" s="246">
        <v>1</v>
      </c>
      <c r="E1906" s="246">
        <v>2</v>
      </c>
      <c r="F1906" s="246">
        <v>3</v>
      </c>
      <c r="G1906" s="246">
        <v>4</v>
      </c>
      <c r="H1906" s="246">
        <v>6</v>
      </c>
      <c r="I1906" s="246">
        <v>9</v>
      </c>
      <c r="J1906" s="246">
        <v>10</v>
      </c>
      <c r="K1906" s="246">
        <v>12</v>
      </c>
      <c r="L1906" s="246">
        <v>13</v>
      </c>
      <c r="M1906" s="246">
        <v>16</v>
      </c>
      <c r="N1906" s="246">
        <v>17</v>
      </c>
      <c r="O1906" s="246"/>
      <c r="P1906" s="246"/>
      <c r="Q1906" s="246"/>
      <c r="R1906" s="246">
        <f>IFERROR(VLOOKUP(D1906,PROGRAMAS[],2,FALSE),0)</f>
        <v>97037803.679377079</v>
      </c>
      <c r="S1906" s="246">
        <f>IFERROR(VLOOKUP(E1906,PROGRAMAS[],2,FALSE),0)</f>
        <v>640501509.6821388</v>
      </c>
      <c r="T1906" s="246">
        <f>IFERROR(VLOOKUP(F1906,PROGRAMAS[],2,FALSE),0)</f>
        <v>3062327798.1525245</v>
      </c>
      <c r="U1906" s="246">
        <f>IFERROR(VLOOKUP(G1906,PROGRAMAS[],2,FALSE),0)</f>
        <v>67697118.033011258</v>
      </c>
      <c r="V1906" s="246">
        <f>IFERROR(VLOOKUP(H1906,PROGRAMAS[],2,FALSE),0)</f>
        <v>6907648435.8447599</v>
      </c>
      <c r="W1906" s="246">
        <f>IFERROR(VLOOKUP(I1906,PROGRAMAS[],2,FALSE),0)</f>
        <v>6128579952.1618185</v>
      </c>
      <c r="X1906" s="246">
        <f>IFERROR(VLOOKUP(J1906,PROGRAMAS[],2,FALSE),0)</f>
        <v>4635315027.8751087</v>
      </c>
      <c r="Y1906" s="246">
        <f>IFERROR(VLOOKUP(K1906,PROGRAMAS[],2,FALSE),0)</f>
        <v>764796700.79905891</v>
      </c>
      <c r="Z1906" s="246">
        <f>IFERROR(VLOOKUP(L1906,PROGRAMAS[],2,FALSE),0)</f>
        <v>3776538594.4604583</v>
      </c>
      <c r="AA1906" s="246">
        <f>IFERROR(VLOOKUP(M1906,PROGRAMAS[],2,FALSE),0)</f>
        <v>7068496961.0436354</v>
      </c>
      <c r="AB1906" s="246">
        <f>IFERROR(VLOOKUP(N1906,PROGRAMAS[],2,FALSE),0)</f>
        <v>1892779498.5211046</v>
      </c>
      <c r="AC1906" s="246">
        <f>IFERROR(VLOOKUP(O1906,PROGRAMAS[],2,FALSE),0)</f>
        <v>0</v>
      </c>
      <c r="AD1906" s="246">
        <f>IFERROR(VLOOKUP(P1906,PROGRAMAS[],2,FALSE),0)</f>
        <v>0</v>
      </c>
      <c r="AE1906" s="246">
        <f>IFERROR(VLOOKUP(Q1906,PROGRAMAS[],2,FALSE),0)</f>
        <v>0</v>
      </c>
      <c r="AF1906" s="246">
        <f>IFERROR(VLOOKUP(D1906,PROGRAMAS[],3,FALSE),0)</f>
        <v>841888629.31080008</v>
      </c>
      <c r="AG1906" s="246">
        <f>IFERROR(VLOOKUP(E1906,PROGRAMAS[],3,FALSE),0)</f>
        <v>3848980803.1642323</v>
      </c>
      <c r="AH1906" s="246">
        <f>IFERROR(VLOOKUP(F1906,PROGRAMAS[],3,FALSE),0)</f>
        <v>3394901471.387517</v>
      </c>
      <c r="AI1906" s="246">
        <f>IFERROR(VLOOKUP(G1906,PROGRAMAS[],3,FALSE),0)</f>
        <v>125317226.95549992</v>
      </c>
      <c r="AJ1906" s="246">
        <f>IFERROR(VLOOKUP(H1906,PROGRAMAS[],3,FALSE),0)</f>
        <v>6129902208.7912121</v>
      </c>
      <c r="AK1906" s="246">
        <f>IFERROR(VLOOKUP(I1906,PROGRAMAS[],3,FALSE),0)</f>
        <v>7011279577.519702</v>
      </c>
      <c r="AL1906" s="246">
        <f>IFERROR(VLOOKUP(J1906,PROGRAMAS[],3,FALSE),0)</f>
        <v>4099471734.9978786</v>
      </c>
      <c r="AM1906" s="246">
        <f>IFERROR(VLOOKUP(K1906,PROGRAMAS[],3,FALSE),0)</f>
        <v>675517840.109828</v>
      </c>
      <c r="AN1906" s="246">
        <f>IFERROR(VLOOKUP(L1906,PROGRAMAS[],3,FALSE),0)</f>
        <v>2392571243.5584412</v>
      </c>
      <c r="AO1906" s="246">
        <f>IFERROR(VLOOKUP(M1906,PROGRAMAS[],3,FALSE),0)</f>
        <v>2406564599.0319901</v>
      </c>
      <c r="AP1906" s="246">
        <f>IFERROR(VLOOKUP(N1906,PROGRAMAS[],3,FALSE),0)</f>
        <v>948595847.09039903</v>
      </c>
      <c r="AQ1906" s="246">
        <f>IFERROR(VLOOKUP(O1906,PROGRAMAS[],3,FALSE),0)</f>
        <v>0</v>
      </c>
      <c r="AR1906" s="246">
        <f>IFERROR(VLOOKUP(P1906,PROGRAMAS[],3,FALSE),0)</f>
        <v>0</v>
      </c>
      <c r="AS1906" s="246">
        <f>IFERROR(VLOOKUP(Q1906,PROGRAMAS[],3,FALSE),0)</f>
        <v>0</v>
      </c>
      <c r="AT1906" s="246">
        <f>IFERROR(VLOOKUP(D1906,VOL_REC[],2,FALSE),0)</f>
        <v>0</v>
      </c>
      <c r="AU1906" s="246">
        <f>IFERROR(VLOOKUP(E1906,VOL_REC[],2,FALSE),0)</f>
        <v>0</v>
      </c>
      <c r="AV1906" s="246">
        <f>IFERROR(VLOOKUP(F1906,VOL_REC[],2,FALSE),0)</f>
        <v>11089674.200000001</v>
      </c>
      <c r="AW1906" s="246">
        <f>IFERROR(VLOOKUP(G1906,VOL_REC[],2,FALSE),0)</f>
        <v>90439.55</v>
      </c>
      <c r="AX1906" s="246">
        <f>IFERROR(VLOOKUP(H1906,VOL_REC[],2,FALSE),0)</f>
        <v>15540036.397699751</v>
      </c>
      <c r="AY1906" s="246">
        <f>IFERROR(VLOOKUP(I1906,VOL_REC[],2,FALSE),0)</f>
        <v>3761786</v>
      </c>
      <c r="AZ1906" s="246">
        <f>IFERROR(VLOOKUP(J1906,VOL_REC[],2,FALSE),0)</f>
        <v>1812240</v>
      </c>
      <c r="BA1906" s="246">
        <f>IFERROR(VLOOKUP(K1906,VOL_REC[],2,FALSE),0)</f>
        <v>240696.79238099116</v>
      </c>
      <c r="BB1906" s="246">
        <f>IFERROR(VLOOKUP(L1906,VOL_REC[],2,FALSE),0)</f>
        <v>663244.80000000016</v>
      </c>
      <c r="BC1906" s="246">
        <f>IFERROR(VLOOKUP(M1906,VOL_REC[],2,FALSE),0)</f>
        <v>1072354.9981737854</v>
      </c>
      <c r="BD1906" s="246">
        <f>IFERROR(VLOOKUP(N1906,VOL_REC[],2,FALSE),0)</f>
        <v>740113.98115702497</v>
      </c>
      <c r="BE1906" s="246">
        <f>IFERROR(VLOOKUP(O1906,VOL_REC[],2,FALSE),0)</f>
        <v>0</v>
      </c>
      <c r="BF1906" s="246">
        <f>IFERROR(VLOOKUP(P1906,VOL_REC[],2,FALSE),0)</f>
        <v>0</v>
      </c>
      <c r="BG1906" s="246">
        <f>IFERROR(VLOOKUP(Q1906,VOL_REC[],2,FALSE),0)</f>
        <v>0</v>
      </c>
      <c r="BH1906" s="1710">
        <f t="shared" si="120"/>
        <v>35041719400.252998</v>
      </c>
      <c r="BI1906" s="1710">
        <f t="shared" si="121"/>
        <v>31874991181.917503</v>
      </c>
      <c r="BJ1906" s="1711">
        <f t="shared" si="122"/>
        <v>35010586.719411559</v>
      </c>
      <c r="BK1906" s="1711">
        <f t="shared" si="123"/>
        <v>1.0993483637458059</v>
      </c>
      <c r="BL1906">
        <f>BJ1906</f>
        <v>35010586.719411559</v>
      </c>
      <c r="BO1906">
        <f>BL1906</f>
        <v>35010586.719411559</v>
      </c>
    </row>
    <row r="1907" spans="3:67" x14ac:dyDescent="0.25">
      <c r="C1907" s="246" t="s">
        <v>3257</v>
      </c>
      <c r="D1907" s="246">
        <v>1</v>
      </c>
      <c r="E1907" s="246">
        <v>2</v>
      </c>
      <c r="F1907" s="246">
        <v>3</v>
      </c>
      <c r="G1907" s="246">
        <v>4</v>
      </c>
      <c r="H1907" s="246">
        <v>6</v>
      </c>
      <c r="I1907" s="246">
        <v>9</v>
      </c>
      <c r="J1907" s="246">
        <v>10</v>
      </c>
      <c r="K1907" s="246">
        <v>12</v>
      </c>
      <c r="L1907" s="246">
        <v>14</v>
      </c>
      <c r="M1907" s="246">
        <v>15</v>
      </c>
      <c r="N1907" s="246">
        <v>16</v>
      </c>
      <c r="O1907" s="246"/>
      <c r="P1907" s="246"/>
      <c r="Q1907" s="246"/>
      <c r="R1907" s="246">
        <f>IFERROR(VLOOKUP(D1907,PROGRAMAS[],2,FALSE),0)</f>
        <v>97037803.679377079</v>
      </c>
      <c r="S1907" s="246">
        <f>IFERROR(VLOOKUP(E1907,PROGRAMAS[],2,FALSE),0)</f>
        <v>640501509.6821388</v>
      </c>
      <c r="T1907" s="246">
        <f>IFERROR(VLOOKUP(F1907,PROGRAMAS[],2,FALSE),0)</f>
        <v>3062327798.1525245</v>
      </c>
      <c r="U1907" s="246">
        <f>IFERROR(VLOOKUP(G1907,PROGRAMAS[],2,FALSE),0)</f>
        <v>67697118.033011258</v>
      </c>
      <c r="V1907" s="246">
        <f>IFERROR(VLOOKUP(H1907,PROGRAMAS[],2,FALSE),0)</f>
        <v>6907648435.8447599</v>
      </c>
      <c r="W1907" s="246">
        <f>IFERROR(VLOOKUP(I1907,PROGRAMAS[],2,FALSE),0)</f>
        <v>6128579952.1618185</v>
      </c>
      <c r="X1907" s="246">
        <f>IFERROR(VLOOKUP(J1907,PROGRAMAS[],2,FALSE),0)</f>
        <v>4635315027.8751087</v>
      </c>
      <c r="Y1907" s="246">
        <f>IFERROR(VLOOKUP(K1907,PROGRAMAS[],2,FALSE),0)</f>
        <v>764796700.79905891</v>
      </c>
      <c r="Z1907" s="246">
        <f>IFERROR(VLOOKUP(L1907,PROGRAMAS[],2,FALSE),0)</f>
        <v>54223862.645839565</v>
      </c>
      <c r="AA1907" s="246">
        <f>IFERROR(VLOOKUP(M1907,PROGRAMAS[],2,FALSE),0)</f>
        <v>122159672.96346797</v>
      </c>
      <c r="AB1907" s="246">
        <f>IFERROR(VLOOKUP(N1907,PROGRAMAS[],2,FALSE),0)</f>
        <v>7068496961.0436354</v>
      </c>
      <c r="AC1907" s="246">
        <f>IFERROR(VLOOKUP(O1907,PROGRAMAS[],2,FALSE),0)</f>
        <v>0</v>
      </c>
      <c r="AD1907" s="246">
        <f>IFERROR(VLOOKUP(P1907,PROGRAMAS[],2,FALSE),0)</f>
        <v>0</v>
      </c>
      <c r="AE1907" s="246">
        <f>IFERROR(VLOOKUP(Q1907,PROGRAMAS[],2,FALSE),0)</f>
        <v>0</v>
      </c>
      <c r="AF1907" s="246">
        <f>IFERROR(VLOOKUP(D1907,PROGRAMAS[],3,FALSE),0)</f>
        <v>841888629.31080008</v>
      </c>
      <c r="AG1907" s="246">
        <f>IFERROR(VLOOKUP(E1907,PROGRAMAS[],3,FALSE),0)</f>
        <v>3848980803.1642323</v>
      </c>
      <c r="AH1907" s="246">
        <f>IFERROR(VLOOKUP(F1907,PROGRAMAS[],3,FALSE),0)</f>
        <v>3394901471.387517</v>
      </c>
      <c r="AI1907" s="246">
        <f>IFERROR(VLOOKUP(G1907,PROGRAMAS[],3,FALSE),0)</f>
        <v>125317226.95549992</v>
      </c>
      <c r="AJ1907" s="246">
        <f>IFERROR(VLOOKUP(H1907,PROGRAMAS[],3,FALSE),0)</f>
        <v>6129902208.7912121</v>
      </c>
      <c r="AK1907" s="246">
        <f>IFERROR(VLOOKUP(I1907,PROGRAMAS[],3,FALSE),0)</f>
        <v>7011279577.519702</v>
      </c>
      <c r="AL1907" s="246">
        <f>IFERROR(VLOOKUP(J1907,PROGRAMAS[],3,FALSE),0)</f>
        <v>4099471734.9978786</v>
      </c>
      <c r="AM1907" s="246">
        <f>IFERROR(VLOOKUP(K1907,PROGRAMAS[],3,FALSE),0)</f>
        <v>675517840.109828</v>
      </c>
      <c r="AN1907" s="246">
        <f>IFERROR(VLOOKUP(L1907,PROGRAMAS[],3,FALSE),0)</f>
        <v>31865326.38096505</v>
      </c>
      <c r="AO1907" s="246">
        <f>IFERROR(VLOOKUP(M1907,PROGRAMAS[],3,FALSE),0)</f>
        <v>118617452.52510804</v>
      </c>
      <c r="AP1907" s="246">
        <f>IFERROR(VLOOKUP(N1907,PROGRAMAS[],3,FALSE),0)</f>
        <v>2406564599.0319901</v>
      </c>
      <c r="AQ1907" s="246">
        <f>IFERROR(VLOOKUP(O1907,PROGRAMAS[],3,FALSE),0)</f>
        <v>0</v>
      </c>
      <c r="AR1907" s="246">
        <f>IFERROR(VLOOKUP(P1907,PROGRAMAS[],3,FALSE),0)</f>
        <v>0</v>
      </c>
      <c r="AS1907" s="246">
        <f>IFERROR(VLOOKUP(Q1907,PROGRAMAS[],3,FALSE),0)</f>
        <v>0</v>
      </c>
      <c r="AT1907" s="246">
        <f>IFERROR(VLOOKUP(D1907,VOL_REC[],2,FALSE),0)</f>
        <v>0</v>
      </c>
      <c r="AU1907" s="246">
        <f>IFERROR(VLOOKUP(E1907,VOL_REC[],2,FALSE),0)</f>
        <v>0</v>
      </c>
      <c r="AV1907" s="246">
        <f>IFERROR(VLOOKUP(F1907,VOL_REC[],2,FALSE),0)</f>
        <v>11089674.200000001</v>
      </c>
      <c r="AW1907" s="246">
        <f>IFERROR(VLOOKUP(G1907,VOL_REC[],2,FALSE),0)</f>
        <v>90439.55</v>
      </c>
      <c r="AX1907" s="246">
        <f>IFERROR(VLOOKUP(H1907,VOL_REC[],2,FALSE),0)</f>
        <v>15540036.397699751</v>
      </c>
      <c r="AY1907" s="246">
        <f>IFERROR(VLOOKUP(I1907,VOL_REC[],2,FALSE),0)</f>
        <v>3761786</v>
      </c>
      <c r="AZ1907" s="246">
        <f>IFERROR(VLOOKUP(J1907,VOL_REC[],2,FALSE),0)</f>
        <v>1812240</v>
      </c>
      <c r="BA1907" s="246">
        <f>IFERROR(VLOOKUP(K1907,VOL_REC[],2,FALSE),0)</f>
        <v>240696.79238099116</v>
      </c>
      <c r="BB1907" s="246">
        <f>IFERROR(VLOOKUP(L1907,VOL_REC[],2,FALSE),0)</f>
        <v>17074.045034105649</v>
      </c>
      <c r="BC1907" s="246">
        <f>IFERROR(VLOOKUP(M1907,VOL_REC[],2,FALSE),0)</f>
        <v>105072</v>
      </c>
      <c r="BD1907" s="246">
        <f>IFERROR(VLOOKUP(N1907,VOL_REC[],2,FALSE),0)</f>
        <v>1072354.9981737854</v>
      </c>
      <c r="BE1907" s="246">
        <f>IFERROR(VLOOKUP(O1907,VOL_REC[],2,FALSE),0)</f>
        <v>0</v>
      </c>
      <c r="BF1907" s="246">
        <f>IFERROR(VLOOKUP(P1907,VOL_REC[],2,FALSE),0)</f>
        <v>0</v>
      </c>
      <c r="BG1907" s="246">
        <f>IFERROR(VLOOKUP(Q1907,VOL_REC[],2,FALSE),0)</f>
        <v>0</v>
      </c>
      <c r="BH1907" s="1710">
        <f t="shared" si="120"/>
        <v>29548784842.880741</v>
      </c>
      <c r="BI1907" s="1710">
        <f t="shared" si="121"/>
        <v>28684306870.174736</v>
      </c>
      <c r="BJ1907" s="1711">
        <f t="shared" si="122"/>
        <v>33729373.983288638</v>
      </c>
      <c r="BK1907" s="1711">
        <f t="shared" si="123"/>
        <v>1.0301376629603998</v>
      </c>
      <c r="BL1907">
        <f>BJ1907</f>
        <v>33729373.983288638</v>
      </c>
      <c r="BO1907">
        <f>BL1907</f>
        <v>33729373.983288638</v>
      </c>
    </row>
    <row r="1908" spans="3:67" x14ac:dyDescent="0.25">
      <c r="C1908" s="246" t="s">
        <v>3258</v>
      </c>
      <c r="D1908" s="246">
        <v>1</v>
      </c>
      <c r="E1908" s="246">
        <v>2</v>
      </c>
      <c r="F1908" s="246">
        <v>3</v>
      </c>
      <c r="G1908" s="246">
        <v>4</v>
      </c>
      <c r="H1908" s="246">
        <v>6</v>
      </c>
      <c r="I1908" s="246">
        <v>9</v>
      </c>
      <c r="J1908" s="246">
        <v>10</v>
      </c>
      <c r="K1908" s="246">
        <v>12</v>
      </c>
      <c r="L1908" s="246">
        <v>14</v>
      </c>
      <c r="M1908" s="246">
        <v>15</v>
      </c>
      <c r="N1908" s="246">
        <v>17</v>
      </c>
      <c r="O1908" s="246"/>
      <c r="P1908" s="246"/>
      <c r="Q1908" s="246"/>
      <c r="R1908" s="246">
        <f>IFERROR(VLOOKUP(D1908,PROGRAMAS[],2,FALSE),0)</f>
        <v>97037803.679377079</v>
      </c>
      <c r="S1908" s="246">
        <f>IFERROR(VLOOKUP(E1908,PROGRAMAS[],2,FALSE),0)</f>
        <v>640501509.6821388</v>
      </c>
      <c r="T1908" s="246">
        <f>IFERROR(VLOOKUP(F1908,PROGRAMAS[],2,FALSE),0)</f>
        <v>3062327798.1525245</v>
      </c>
      <c r="U1908" s="246">
        <f>IFERROR(VLOOKUP(G1908,PROGRAMAS[],2,FALSE),0)</f>
        <v>67697118.033011258</v>
      </c>
      <c r="V1908" s="246">
        <f>IFERROR(VLOOKUP(H1908,PROGRAMAS[],2,FALSE),0)</f>
        <v>6907648435.8447599</v>
      </c>
      <c r="W1908" s="246">
        <f>IFERROR(VLOOKUP(I1908,PROGRAMAS[],2,FALSE),0)</f>
        <v>6128579952.1618185</v>
      </c>
      <c r="X1908" s="246">
        <f>IFERROR(VLOOKUP(J1908,PROGRAMAS[],2,FALSE),0)</f>
        <v>4635315027.8751087</v>
      </c>
      <c r="Y1908" s="246">
        <f>IFERROR(VLOOKUP(K1908,PROGRAMAS[],2,FALSE),0)</f>
        <v>764796700.79905891</v>
      </c>
      <c r="Z1908" s="246">
        <f>IFERROR(VLOOKUP(L1908,PROGRAMAS[],2,FALSE),0)</f>
        <v>54223862.645839565</v>
      </c>
      <c r="AA1908" s="246">
        <f>IFERROR(VLOOKUP(M1908,PROGRAMAS[],2,FALSE),0)</f>
        <v>122159672.96346797</v>
      </c>
      <c r="AB1908" s="246">
        <f>IFERROR(VLOOKUP(N1908,PROGRAMAS[],2,FALSE),0)</f>
        <v>1892779498.5211046</v>
      </c>
      <c r="AC1908" s="246">
        <f>IFERROR(VLOOKUP(O1908,PROGRAMAS[],2,FALSE),0)</f>
        <v>0</v>
      </c>
      <c r="AD1908" s="246">
        <f>IFERROR(VLOOKUP(P1908,PROGRAMAS[],2,FALSE),0)</f>
        <v>0</v>
      </c>
      <c r="AE1908" s="246">
        <f>IFERROR(VLOOKUP(Q1908,PROGRAMAS[],2,FALSE),0)</f>
        <v>0</v>
      </c>
      <c r="AF1908" s="246">
        <f>IFERROR(VLOOKUP(D1908,PROGRAMAS[],3,FALSE),0)</f>
        <v>841888629.31080008</v>
      </c>
      <c r="AG1908" s="246">
        <f>IFERROR(VLOOKUP(E1908,PROGRAMAS[],3,FALSE),0)</f>
        <v>3848980803.1642323</v>
      </c>
      <c r="AH1908" s="246">
        <f>IFERROR(VLOOKUP(F1908,PROGRAMAS[],3,FALSE),0)</f>
        <v>3394901471.387517</v>
      </c>
      <c r="AI1908" s="246">
        <f>IFERROR(VLOOKUP(G1908,PROGRAMAS[],3,FALSE),0)</f>
        <v>125317226.95549992</v>
      </c>
      <c r="AJ1908" s="246">
        <f>IFERROR(VLOOKUP(H1908,PROGRAMAS[],3,FALSE),0)</f>
        <v>6129902208.7912121</v>
      </c>
      <c r="AK1908" s="246">
        <f>IFERROR(VLOOKUP(I1908,PROGRAMAS[],3,FALSE),0)</f>
        <v>7011279577.519702</v>
      </c>
      <c r="AL1908" s="246">
        <f>IFERROR(VLOOKUP(J1908,PROGRAMAS[],3,FALSE),0)</f>
        <v>4099471734.9978786</v>
      </c>
      <c r="AM1908" s="246">
        <f>IFERROR(VLOOKUP(K1908,PROGRAMAS[],3,FALSE),0)</f>
        <v>675517840.109828</v>
      </c>
      <c r="AN1908" s="246">
        <f>IFERROR(VLOOKUP(L1908,PROGRAMAS[],3,FALSE),0)</f>
        <v>31865326.38096505</v>
      </c>
      <c r="AO1908" s="246">
        <f>IFERROR(VLOOKUP(M1908,PROGRAMAS[],3,FALSE),0)</f>
        <v>118617452.52510804</v>
      </c>
      <c r="AP1908" s="246">
        <f>IFERROR(VLOOKUP(N1908,PROGRAMAS[],3,FALSE),0)</f>
        <v>948595847.09039903</v>
      </c>
      <c r="AQ1908" s="246">
        <f>IFERROR(VLOOKUP(O1908,PROGRAMAS[],3,FALSE),0)</f>
        <v>0</v>
      </c>
      <c r="AR1908" s="246">
        <f>IFERROR(VLOOKUP(P1908,PROGRAMAS[],3,FALSE),0)</f>
        <v>0</v>
      </c>
      <c r="AS1908" s="246">
        <f>IFERROR(VLOOKUP(Q1908,PROGRAMAS[],3,FALSE),0)</f>
        <v>0</v>
      </c>
      <c r="AT1908" s="246">
        <f>IFERROR(VLOOKUP(D1908,VOL_REC[],2,FALSE),0)</f>
        <v>0</v>
      </c>
      <c r="AU1908" s="246">
        <f>IFERROR(VLOOKUP(E1908,VOL_REC[],2,FALSE),0)</f>
        <v>0</v>
      </c>
      <c r="AV1908" s="246">
        <f>IFERROR(VLOOKUP(F1908,VOL_REC[],2,FALSE),0)</f>
        <v>11089674.200000001</v>
      </c>
      <c r="AW1908" s="246">
        <f>IFERROR(VLOOKUP(G1908,VOL_REC[],2,FALSE),0)</f>
        <v>90439.55</v>
      </c>
      <c r="AX1908" s="246">
        <f>IFERROR(VLOOKUP(H1908,VOL_REC[],2,FALSE),0)</f>
        <v>15540036.397699751</v>
      </c>
      <c r="AY1908" s="246">
        <f>IFERROR(VLOOKUP(I1908,VOL_REC[],2,FALSE),0)</f>
        <v>3761786</v>
      </c>
      <c r="AZ1908" s="246">
        <f>IFERROR(VLOOKUP(J1908,VOL_REC[],2,FALSE),0)</f>
        <v>1812240</v>
      </c>
      <c r="BA1908" s="246">
        <f>IFERROR(VLOOKUP(K1908,VOL_REC[],2,FALSE),0)</f>
        <v>240696.79238099116</v>
      </c>
      <c r="BB1908" s="246">
        <f>IFERROR(VLOOKUP(L1908,VOL_REC[],2,FALSE),0)</f>
        <v>17074.045034105649</v>
      </c>
      <c r="BC1908" s="246">
        <f>IFERROR(VLOOKUP(M1908,VOL_REC[],2,FALSE),0)</f>
        <v>105072</v>
      </c>
      <c r="BD1908" s="246">
        <f>IFERROR(VLOOKUP(N1908,VOL_REC[],2,FALSE),0)</f>
        <v>740113.98115702497</v>
      </c>
      <c r="BE1908" s="246">
        <f>IFERROR(VLOOKUP(O1908,VOL_REC[],2,FALSE),0)</f>
        <v>0</v>
      </c>
      <c r="BF1908" s="246">
        <f>IFERROR(VLOOKUP(P1908,VOL_REC[],2,FALSE),0)</f>
        <v>0</v>
      </c>
      <c r="BG1908" s="246">
        <f>IFERROR(VLOOKUP(Q1908,VOL_REC[],2,FALSE),0)</f>
        <v>0</v>
      </c>
      <c r="BH1908" s="1710">
        <f t="shared" si="120"/>
        <v>24373067380.358208</v>
      </c>
      <c r="BI1908" s="1710">
        <f t="shared" si="121"/>
        <v>27226338118.233147</v>
      </c>
      <c r="BJ1908" s="1711">
        <f t="shared" si="122"/>
        <v>33397132.966271874</v>
      </c>
      <c r="BK1908" s="1711">
        <f t="shared" si="123"/>
        <v>0.89520181797918175</v>
      </c>
    </row>
    <row r="1909" spans="3:67" x14ac:dyDescent="0.25">
      <c r="C1909" s="246" t="s">
        <v>3259</v>
      </c>
      <c r="D1909" s="246">
        <v>1</v>
      </c>
      <c r="E1909" s="246">
        <v>2</v>
      </c>
      <c r="F1909" s="246">
        <v>3</v>
      </c>
      <c r="G1909" s="246">
        <v>4</v>
      </c>
      <c r="H1909" s="246">
        <v>6</v>
      </c>
      <c r="I1909" s="246">
        <v>9</v>
      </c>
      <c r="J1909" s="246">
        <v>10</v>
      </c>
      <c r="K1909" s="246">
        <v>12</v>
      </c>
      <c r="L1909" s="246">
        <v>14</v>
      </c>
      <c r="M1909" s="246">
        <v>16</v>
      </c>
      <c r="N1909" s="246">
        <v>17</v>
      </c>
      <c r="O1909" s="246"/>
      <c r="P1909" s="246"/>
      <c r="Q1909" s="246"/>
      <c r="R1909" s="246">
        <f>IFERROR(VLOOKUP(D1909,PROGRAMAS[],2,FALSE),0)</f>
        <v>97037803.679377079</v>
      </c>
      <c r="S1909" s="246">
        <f>IFERROR(VLOOKUP(E1909,PROGRAMAS[],2,FALSE),0)</f>
        <v>640501509.6821388</v>
      </c>
      <c r="T1909" s="246">
        <f>IFERROR(VLOOKUP(F1909,PROGRAMAS[],2,FALSE),0)</f>
        <v>3062327798.1525245</v>
      </c>
      <c r="U1909" s="246">
        <f>IFERROR(VLOOKUP(G1909,PROGRAMAS[],2,FALSE),0)</f>
        <v>67697118.033011258</v>
      </c>
      <c r="V1909" s="246">
        <f>IFERROR(VLOOKUP(H1909,PROGRAMAS[],2,FALSE),0)</f>
        <v>6907648435.8447599</v>
      </c>
      <c r="W1909" s="246">
        <f>IFERROR(VLOOKUP(I1909,PROGRAMAS[],2,FALSE),0)</f>
        <v>6128579952.1618185</v>
      </c>
      <c r="X1909" s="246">
        <f>IFERROR(VLOOKUP(J1909,PROGRAMAS[],2,FALSE),0)</f>
        <v>4635315027.8751087</v>
      </c>
      <c r="Y1909" s="246">
        <f>IFERROR(VLOOKUP(K1909,PROGRAMAS[],2,FALSE),0)</f>
        <v>764796700.79905891</v>
      </c>
      <c r="Z1909" s="246">
        <f>IFERROR(VLOOKUP(L1909,PROGRAMAS[],2,FALSE),0)</f>
        <v>54223862.645839565</v>
      </c>
      <c r="AA1909" s="246">
        <f>IFERROR(VLOOKUP(M1909,PROGRAMAS[],2,FALSE),0)</f>
        <v>7068496961.0436354</v>
      </c>
      <c r="AB1909" s="246">
        <f>IFERROR(VLOOKUP(N1909,PROGRAMAS[],2,FALSE),0)</f>
        <v>1892779498.5211046</v>
      </c>
      <c r="AC1909" s="246">
        <f>IFERROR(VLOOKUP(O1909,PROGRAMAS[],2,FALSE),0)</f>
        <v>0</v>
      </c>
      <c r="AD1909" s="246">
        <f>IFERROR(VLOOKUP(P1909,PROGRAMAS[],2,FALSE),0)</f>
        <v>0</v>
      </c>
      <c r="AE1909" s="246">
        <f>IFERROR(VLOOKUP(Q1909,PROGRAMAS[],2,FALSE),0)</f>
        <v>0</v>
      </c>
      <c r="AF1909" s="246">
        <f>IFERROR(VLOOKUP(D1909,PROGRAMAS[],3,FALSE),0)</f>
        <v>841888629.31080008</v>
      </c>
      <c r="AG1909" s="246">
        <f>IFERROR(VLOOKUP(E1909,PROGRAMAS[],3,FALSE),0)</f>
        <v>3848980803.1642323</v>
      </c>
      <c r="AH1909" s="246">
        <f>IFERROR(VLOOKUP(F1909,PROGRAMAS[],3,FALSE),0)</f>
        <v>3394901471.387517</v>
      </c>
      <c r="AI1909" s="246">
        <f>IFERROR(VLOOKUP(G1909,PROGRAMAS[],3,FALSE),0)</f>
        <v>125317226.95549992</v>
      </c>
      <c r="AJ1909" s="246">
        <f>IFERROR(VLOOKUP(H1909,PROGRAMAS[],3,FALSE),0)</f>
        <v>6129902208.7912121</v>
      </c>
      <c r="AK1909" s="246">
        <f>IFERROR(VLOOKUP(I1909,PROGRAMAS[],3,FALSE),0)</f>
        <v>7011279577.519702</v>
      </c>
      <c r="AL1909" s="246">
        <f>IFERROR(VLOOKUP(J1909,PROGRAMAS[],3,FALSE),0)</f>
        <v>4099471734.9978786</v>
      </c>
      <c r="AM1909" s="246">
        <f>IFERROR(VLOOKUP(K1909,PROGRAMAS[],3,FALSE),0)</f>
        <v>675517840.109828</v>
      </c>
      <c r="AN1909" s="246">
        <f>IFERROR(VLOOKUP(L1909,PROGRAMAS[],3,FALSE),0)</f>
        <v>31865326.38096505</v>
      </c>
      <c r="AO1909" s="246">
        <f>IFERROR(VLOOKUP(M1909,PROGRAMAS[],3,FALSE),0)</f>
        <v>2406564599.0319901</v>
      </c>
      <c r="AP1909" s="246">
        <f>IFERROR(VLOOKUP(N1909,PROGRAMAS[],3,FALSE),0)</f>
        <v>948595847.09039903</v>
      </c>
      <c r="AQ1909" s="246">
        <f>IFERROR(VLOOKUP(O1909,PROGRAMAS[],3,FALSE),0)</f>
        <v>0</v>
      </c>
      <c r="AR1909" s="246">
        <f>IFERROR(VLOOKUP(P1909,PROGRAMAS[],3,FALSE),0)</f>
        <v>0</v>
      </c>
      <c r="AS1909" s="246">
        <f>IFERROR(VLOOKUP(Q1909,PROGRAMAS[],3,FALSE),0)</f>
        <v>0</v>
      </c>
      <c r="AT1909" s="246">
        <f>IFERROR(VLOOKUP(D1909,VOL_REC[],2,FALSE),0)</f>
        <v>0</v>
      </c>
      <c r="AU1909" s="246">
        <f>IFERROR(VLOOKUP(E1909,VOL_REC[],2,FALSE),0)</f>
        <v>0</v>
      </c>
      <c r="AV1909" s="246">
        <f>IFERROR(VLOOKUP(F1909,VOL_REC[],2,FALSE),0)</f>
        <v>11089674.200000001</v>
      </c>
      <c r="AW1909" s="246">
        <f>IFERROR(VLOOKUP(G1909,VOL_REC[],2,FALSE),0)</f>
        <v>90439.55</v>
      </c>
      <c r="AX1909" s="246">
        <f>IFERROR(VLOOKUP(H1909,VOL_REC[],2,FALSE),0)</f>
        <v>15540036.397699751</v>
      </c>
      <c r="AY1909" s="246">
        <f>IFERROR(VLOOKUP(I1909,VOL_REC[],2,FALSE),0)</f>
        <v>3761786</v>
      </c>
      <c r="AZ1909" s="246">
        <f>IFERROR(VLOOKUP(J1909,VOL_REC[],2,FALSE),0)</f>
        <v>1812240</v>
      </c>
      <c r="BA1909" s="246">
        <f>IFERROR(VLOOKUP(K1909,VOL_REC[],2,FALSE),0)</f>
        <v>240696.79238099116</v>
      </c>
      <c r="BB1909" s="246">
        <f>IFERROR(VLOOKUP(L1909,VOL_REC[],2,FALSE),0)</f>
        <v>17074.045034105649</v>
      </c>
      <c r="BC1909" s="246">
        <f>IFERROR(VLOOKUP(M1909,VOL_REC[],2,FALSE),0)</f>
        <v>1072354.9981737854</v>
      </c>
      <c r="BD1909" s="246">
        <f>IFERROR(VLOOKUP(N1909,VOL_REC[],2,FALSE),0)</f>
        <v>740113.98115702497</v>
      </c>
      <c r="BE1909" s="246">
        <f>IFERROR(VLOOKUP(O1909,VOL_REC[],2,FALSE),0)</f>
        <v>0</v>
      </c>
      <c r="BF1909" s="246">
        <f>IFERROR(VLOOKUP(P1909,VOL_REC[],2,FALSE),0)</f>
        <v>0</v>
      </c>
      <c r="BG1909" s="246">
        <f>IFERROR(VLOOKUP(Q1909,VOL_REC[],2,FALSE),0)</f>
        <v>0</v>
      </c>
      <c r="BH1909" s="1710">
        <f t="shared" si="120"/>
        <v>31319404668.438377</v>
      </c>
      <c r="BI1909" s="1710">
        <f t="shared" si="121"/>
        <v>29514285264.740028</v>
      </c>
      <c r="BJ1909" s="1711">
        <f t="shared" si="122"/>
        <v>34364415.964445665</v>
      </c>
      <c r="BK1909" s="1711">
        <f t="shared" si="123"/>
        <v>1.0611608713376122</v>
      </c>
      <c r="BL1909">
        <f>BJ1909</f>
        <v>34364415.964445665</v>
      </c>
      <c r="BO1909">
        <f>BL1909</f>
        <v>34364415.964445665</v>
      </c>
    </row>
    <row r="1910" spans="3:67" x14ac:dyDescent="0.25">
      <c r="C1910" s="246" t="s">
        <v>3260</v>
      </c>
      <c r="D1910" s="246">
        <v>1</v>
      </c>
      <c r="E1910" s="246">
        <v>2</v>
      </c>
      <c r="F1910" s="246">
        <v>3</v>
      </c>
      <c r="G1910" s="246">
        <v>4</v>
      </c>
      <c r="H1910" s="246">
        <v>6</v>
      </c>
      <c r="I1910" s="246">
        <v>9</v>
      </c>
      <c r="J1910" s="246">
        <v>10</v>
      </c>
      <c r="K1910" s="246">
        <v>12</v>
      </c>
      <c r="L1910" s="246">
        <v>15</v>
      </c>
      <c r="M1910" s="246">
        <v>16</v>
      </c>
      <c r="N1910" s="246">
        <v>17</v>
      </c>
      <c r="O1910" s="246"/>
      <c r="P1910" s="246"/>
      <c r="Q1910" s="246"/>
      <c r="R1910" s="246">
        <f>IFERROR(VLOOKUP(D1910,PROGRAMAS[],2,FALSE),0)</f>
        <v>97037803.679377079</v>
      </c>
      <c r="S1910" s="246">
        <f>IFERROR(VLOOKUP(E1910,PROGRAMAS[],2,FALSE),0)</f>
        <v>640501509.6821388</v>
      </c>
      <c r="T1910" s="246">
        <f>IFERROR(VLOOKUP(F1910,PROGRAMAS[],2,FALSE),0)</f>
        <v>3062327798.1525245</v>
      </c>
      <c r="U1910" s="246">
        <f>IFERROR(VLOOKUP(G1910,PROGRAMAS[],2,FALSE),0)</f>
        <v>67697118.033011258</v>
      </c>
      <c r="V1910" s="246">
        <f>IFERROR(VLOOKUP(H1910,PROGRAMAS[],2,FALSE),0)</f>
        <v>6907648435.8447599</v>
      </c>
      <c r="W1910" s="246">
        <f>IFERROR(VLOOKUP(I1910,PROGRAMAS[],2,FALSE),0)</f>
        <v>6128579952.1618185</v>
      </c>
      <c r="X1910" s="246">
        <f>IFERROR(VLOOKUP(J1910,PROGRAMAS[],2,FALSE),0)</f>
        <v>4635315027.8751087</v>
      </c>
      <c r="Y1910" s="246">
        <f>IFERROR(VLOOKUP(K1910,PROGRAMAS[],2,FALSE),0)</f>
        <v>764796700.79905891</v>
      </c>
      <c r="Z1910" s="246">
        <f>IFERROR(VLOOKUP(L1910,PROGRAMAS[],2,FALSE),0)</f>
        <v>122159672.96346797</v>
      </c>
      <c r="AA1910" s="246">
        <f>IFERROR(VLOOKUP(M1910,PROGRAMAS[],2,FALSE),0)</f>
        <v>7068496961.0436354</v>
      </c>
      <c r="AB1910" s="246">
        <f>IFERROR(VLOOKUP(N1910,PROGRAMAS[],2,FALSE),0)</f>
        <v>1892779498.5211046</v>
      </c>
      <c r="AC1910" s="246">
        <f>IFERROR(VLOOKUP(O1910,PROGRAMAS[],2,FALSE),0)</f>
        <v>0</v>
      </c>
      <c r="AD1910" s="246">
        <f>IFERROR(VLOOKUP(P1910,PROGRAMAS[],2,FALSE),0)</f>
        <v>0</v>
      </c>
      <c r="AE1910" s="246">
        <f>IFERROR(VLOOKUP(Q1910,PROGRAMAS[],2,FALSE),0)</f>
        <v>0</v>
      </c>
      <c r="AF1910" s="246">
        <f>IFERROR(VLOOKUP(D1910,PROGRAMAS[],3,FALSE),0)</f>
        <v>841888629.31080008</v>
      </c>
      <c r="AG1910" s="246">
        <f>IFERROR(VLOOKUP(E1910,PROGRAMAS[],3,FALSE),0)</f>
        <v>3848980803.1642323</v>
      </c>
      <c r="AH1910" s="246">
        <f>IFERROR(VLOOKUP(F1910,PROGRAMAS[],3,FALSE),0)</f>
        <v>3394901471.387517</v>
      </c>
      <c r="AI1910" s="246">
        <f>IFERROR(VLOOKUP(G1910,PROGRAMAS[],3,FALSE),0)</f>
        <v>125317226.95549992</v>
      </c>
      <c r="AJ1910" s="246">
        <f>IFERROR(VLOOKUP(H1910,PROGRAMAS[],3,FALSE),0)</f>
        <v>6129902208.7912121</v>
      </c>
      <c r="AK1910" s="246">
        <f>IFERROR(VLOOKUP(I1910,PROGRAMAS[],3,FALSE),0)</f>
        <v>7011279577.519702</v>
      </c>
      <c r="AL1910" s="246">
        <f>IFERROR(VLOOKUP(J1910,PROGRAMAS[],3,FALSE),0)</f>
        <v>4099471734.9978786</v>
      </c>
      <c r="AM1910" s="246">
        <f>IFERROR(VLOOKUP(K1910,PROGRAMAS[],3,FALSE),0)</f>
        <v>675517840.109828</v>
      </c>
      <c r="AN1910" s="246">
        <f>IFERROR(VLOOKUP(L1910,PROGRAMAS[],3,FALSE),0)</f>
        <v>118617452.52510804</v>
      </c>
      <c r="AO1910" s="246">
        <f>IFERROR(VLOOKUP(M1910,PROGRAMAS[],3,FALSE),0)</f>
        <v>2406564599.0319901</v>
      </c>
      <c r="AP1910" s="246">
        <f>IFERROR(VLOOKUP(N1910,PROGRAMAS[],3,FALSE),0)</f>
        <v>948595847.09039903</v>
      </c>
      <c r="AQ1910" s="246">
        <f>IFERROR(VLOOKUP(O1910,PROGRAMAS[],3,FALSE),0)</f>
        <v>0</v>
      </c>
      <c r="AR1910" s="246">
        <f>IFERROR(VLOOKUP(P1910,PROGRAMAS[],3,FALSE),0)</f>
        <v>0</v>
      </c>
      <c r="AS1910" s="246">
        <f>IFERROR(VLOOKUP(Q1910,PROGRAMAS[],3,FALSE),0)</f>
        <v>0</v>
      </c>
      <c r="AT1910" s="246">
        <f>IFERROR(VLOOKUP(D1910,VOL_REC[],2,FALSE),0)</f>
        <v>0</v>
      </c>
      <c r="AU1910" s="246">
        <f>IFERROR(VLOOKUP(E1910,VOL_REC[],2,FALSE),0)</f>
        <v>0</v>
      </c>
      <c r="AV1910" s="246">
        <f>IFERROR(VLOOKUP(F1910,VOL_REC[],2,FALSE),0)</f>
        <v>11089674.200000001</v>
      </c>
      <c r="AW1910" s="246">
        <f>IFERROR(VLOOKUP(G1910,VOL_REC[],2,FALSE),0)</f>
        <v>90439.55</v>
      </c>
      <c r="AX1910" s="246">
        <f>IFERROR(VLOOKUP(H1910,VOL_REC[],2,FALSE),0)</f>
        <v>15540036.397699751</v>
      </c>
      <c r="AY1910" s="246">
        <f>IFERROR(VLOOKUP(I1910,VOL_REC[],2,FALSE),0)</f>
        <v>3761786</v>
      </c>
      <c r="AZ1910" s="246">
        <f>IFERROR(VLOOKUP(J1910,VOL_REC[],2,FALSE),0)</f>
        <v>1812240</v>
      </c>
      <c r="BA1910" s="246">
        <f>IFERROR(VLOOKUP(K1910,VOL_REC[],2,FALSE),0)</f>
        <v>240696.79238099116</v>
      </c>
      <c r="BB1910" s="246">
        <f>IFERROR(VLOOKUP(L1910,VOL_REC[],2,FALSE),0)</f>
        <v>105072</v>
      </c>
      <c r="BC1910" s="246">
        <f>IFERROR(VLOOKUP(M1910,VOL_REC[],2,FALSE),0)</f>
        <v>1072354.9981737854</v>
      </c>
      <c r="BD1910" s="246">
        <f>IFERROR(VLOOKUP(N1910,VOL_REC[],2,FALSE),0)</f>
        <v>740113.98115702497</v>
      </c>
      <c r="BE1910" s="246">
        <f>IFERROR(VLOOKUP(O1910,VOL_REC[],2,FALSE),0)</f>
        <v>0</v>
      </c>
      <c r="BF1910" s="246">
        <f>IFERROR(VLOOKUP(P1910,VOL_REC[],2,FALSE),0)</f>
        <v>0</v>
      </c>
      <c r="BG1910" s="246">
        <f>IFERROR(VLOOKUP(Q1910,VOL_REC[],2,FALSE),0)</f>
        <v>0</v>
      </c>
      <c r="BH1910" s="1710">
        <f t="shared" si="120"/>
        <v>31387340478.756004</v>
      </c>
      <c r="BI1910" s="1710">
        <f t="shared" si="121"/>
        <v>29601037390.884171</v>
      </c>
      <c r="BJ1910" s="1711">
        <f t="shared" si="122"/>
        <v>34452413.919411555</v>
      </c>
      <c r="BK1910" s="1711">
        <f t="shared" si="123"/>
        <v>1.0603459623486688</v>
      </c>
      <c r="BL1910">
        <f>BJ1910</f>
        <v>34452413.919411555</v>
      </c>
      <c r="BO1910">
        <f>BL1910</f>
        <v>34452413.919411555</v>
      </c>
    </row>
    <row r="1911" spans="3:67" x14ac:dyDescent="0.25">
      <c r="C1911" s="246" t="s">
        <v>3261</v>
      </c>
      <c r="D1911" s="246">
        <v>1</v>
      </c>
      <c r="E1911" s="246">
        <v>2</v>
      </c>
      <c r="F1911" s="246">
        <v>3</v>
      </c>
      <c r="G1911" s="246">
        <v>4</v>
      </c>
      <c r="H1911" s="246">
        <v>6</v>
      </c>
      <c r="I1911" s="246">
        <v>9</v>
      </c>
      <c r="J1911" s="246">
        <v>10</v>
      </c>
      <c r="K1911" s="246">
        <v>13</v>
      </c>
      <c r="L1911" s="246">
        <v>14</v>
      </c>
      <c r="M1911" s="246">
        <v>15</v>
      </c>
      <c r="N1911" s="246">
        <v>16</v>
      </c>
      <c r="O1911" s="246"/>
      <c r="P1911" s="246"/>
      <c r="Q1911" s="246"/>
      <c r="R1911" s="246">
        <f>IFERROR(VLOOKUP(D1911,PROGRAMAS[],2,FALSE),0)</f>
        <v>97037803.679377079</v>
      </c>
      <c r="S1911" s="246">
        <f>IFERROR(VLOOKUP(E1911,PROGRAMAS[],2,FALSE),0)</f>
        <v>640501509.6821388</v>
      </c>
      <c r="T1911" s="246">
        <f>IFERROR(VLOOKUP(F1911,PROGRAMAS[],2,FALSE),0)</f>
        <v>3062327798.1525245</v>
      </c>
      <c r="U1911" s="246">
        <f>IFERROR(VLOOKUP(G1911,PROGRAMAS[],2,FALSE),0)</f>
        <v>67697118.033011258</v>
      </c>
      <c r="V1911" s="246">
        <f>IFERROR(VLOOKUP(H1911,PROGRAMAS[],2,FALSE),0)</f>
        <v>6907648435.8447599</v>
      </c>
      <c r="W1911" s="246">
        <f>IFERROR(VLOOKUP(I1911,PROGRAMAS[],2,FALSE),0)</f>
        <v>6128579952.1618185</v>
      </c>
      <c r="X1911" s="246">
        <f>IFERROR(VLOOKUP(J1911,PROGRAMAS[],2,FALSE),0)</f>
        <v>4635315027.8751087</v>
      </c>
      <c r="Y1911" s="246">
        <f>IFERROR(VLOOKUP(K1911,PROGRAMAS[],2,FALSE),0)</f>
        <v>3776538594.4604583</v>
      </c>
      <c r="Z1911" s="246">
        <f>IFERROR(VLOOKUP(L1911,PROGRAMAS[],2,FALSE),0)</f>
        <v>54223862.645839565</v>
      </c>
      <c r="AA1911" s="246">
        <f>IFERROR(VLOOKUP(M1911,PROGRAMAS[],2,FALSE),0)</f>
        <v>122159672.96346797</v>
      </c>
      <c r="AB1911" s="246">
        <f>IFERROR(VLOOKUP(N1911,PROGRAMAS[],2,FALSE),0)</f>
        <v>7068496961.0436354</v>
      </c>
      <c r="AC1911" s="246">
        <f>IFERROR(VLOOKUP(O1911,PROGRAMAS[],2,FALSE),0)</f>
        <v>0</v>
      </c>
      <c r="AD1911" s="246">
        <f>IFERROR(VLOOKUP(P1911,PROGRAMAS[],2,FALSE),0)</f>
        <v>0</v>
      </c>
      <c r="AE1911" s="246">
        <f>IFERROR(VLOOKUP(Q1911,PROGRAMAS[],2,FALSE),0)</f>
        <v>0</v>
      </c>
      <c r="AF1911" s="246">
        <f>IFERROR(VLOOKUP(D1911,PROGRAMAS[],3,FALSE),0)</f>
        <v>841888629.31080008</v>
      </c>
      <c r="AG1911" s="246">
        <f>IFERROR(VLOOKUP(E1911,PROGRAMAS[],3,FALSE),0)</f>
        <v>3848980803.1642323</v>
      </c>
      <c r="AH1911" s="246">
        <f>IFERROR(VLOOKUP(F1911,PROGRAMAS[],3,FALSE),0)</f>
        <v>3394901471.387517</v>
      </c>
      <c r="AI1911" s="246">
        <f>IFERROR(VLOOKUP(G1911,PROGRAMAS[],3,FALSE),0)</f>
        <v>125317226.95549992</v>
      </c>
      <c r="AJ1911" s="246">
        <f>IFERROR(VLOOKUP(H1911,PROGRAMAS[],3,FALSE),0)</f>
        <v>6129902208.7912121</v>
      </c>
      <c r="AK1911" s="246">
        <f>IFERROR(VLOOKUP(I1911,PROGRAMAS[],3,FALSE),0)</f>
        <v>7011279577.519702</v>
      </c>
      <c r="AL1911" s="246">
        <f>IFERROR(VLOOKUP(J1911,PROGRAMAS[],3,FALSE),0)</f>
        <v>4099471734.9978786</v>
      </c>
      <c r="AM1911" s="246">
        <f>IFERROR(VLOOKUP(K1911,PROGRAMAS[],3,FALSE),0)</f>
        <v>2392571243.5584412</v>
      </c>
      <c r="AN1911" s="246">
        <f>IFERROR(VLOOKUP(L1911,PROGRAMAS[],3,FALSE),0)</f>
        <v>31865326.38096505</v>
      </c>
      <c r="AO1911" s="246">
        <f>IFERROR(VLOOKUP(M1911,PROGRAMAS[],3,FALSE),0)</f>
        <v>118617452.52510804</v>
      </c>
      <c r="AP1911" s="246">
        <f>IFERROR(VLOOKUP(N1911,PROGRAMAS[],3,FALSE),0)</f>
        <v>2406564599.0319901</v>
      </c>
      <c r="AQ1911" s="246">
        <f>IFERROR(VLOOKUP(O1911,PROGRAMAS[],3,FALSE),0)</f>
        <v>0</v>
      </c>
      <c r="AR1911" s="246">
        <f>IFERROR(VLOOKUP(P1911,PROGRAMAS[],3,FALSE),0)</f>
        <v>0</v>
      </c>
      <c r="AS1911" s="246">
        <f>IFERROR(VLOOKUP(Q1911,PROGRAMAS[],3,FALSE),0)</f>
        <v>0</v>
      </c>
      <c r="AT1911" s="246">
        <f>IFERROR(VLOOKUP(D1911,VOL_REC[],2,FALSE),0)</f>
        <v>0</v>
      </c>
      <c r="AU1911" s="246">
        <f>IFERROR(VLOOKUP(E1911,VOL_REC[],2,FALSE),0)</f>
        <v>0</v>
      </c>
      <c r="AV1911" s="246">
        <f>IFERROR(VLOOKUP(F1911,VOL_REC[],2,FALSE),0)</f>
        <v>11089674.200000001</v>
      </c>
      <c r="AW1911" s="246">
        <f>IFERROR(VLOOKUP(G1911,VOL_REC[],2,FALSE),0)</f>
        <v>90439.55</v>
      </c>
      <c r="AX1911" s="246">
        <f>IFERROR(VLOOKUP(H1911,VOL_REC[],2,FALSE),0)</f>
        <v>15540036.397699751</v>
      </c>
      <c r="AY1911" s="246">
        <f>IFERROR(VLOOKUP(I1911,VOL_REC[],2,FALSE),0)</f>
        <v>3761786</v>
      </c>
      <c r="AZ1911" s="246">
        <f>IFERROR(VLOOKUP(J1911,VOL_REC[],2,FALSE),0)</f>
        <v>1812240</v>
      </c>
      <c r="BA1911" s="246">
        <f>IFERROR(VLOOKUP(K1911,VOL_REC[],2,FALSE),0)</f>
        <v>663244.80000000016</v>
      </c>
      <c r="BB1911" s="246">
        <f>IFERROR(VLOOKUP(L1911,VOL_REC[],2,FALSE),0)</f>
        <v>17074.045034105649</v>
      </c>
      <c r="BC1911" s="246">
        <f>IFERROR(VLOOKUP(M1911,VOL_REC[],2,FALSE),0)</f>
        <v>105072</v>
      </c>
      <c r="BD1911" s="246">
        <f>IFERROR(VLOOKUP(N1911,VOL_REC[],2,FALSE),0)</f>
        <v>1072354.9981737854</v>
      </c>
      <c r="BE1911" s="246">
        <f>IFERROR(VLOOKUP(O1911,VOL_REC[],2,FALSE),0)</f>
        <v>0</v>
      </c>
      <c r="BF1911" s="246">
        <f>IFERROR(VLOOKUP(P1911,VOL_REC[],2,FALSE),0)</f>
        <v>0</v>
      </c>
      <c r="BG1911" s="246">
        <f>IFERROR(VLOOKUP(Q1911,VOL_REC[],2,FALSE),0)</f>
        <v>0</v>
      </c>
      <c r="BH1911" s="1710">
        <f t="shared" si="120"/>
        <v>32560526736.542141</v>
      </c>
      <c r="BI1911" s="1710">
        <f t="shared" si="121"/>
        <v>30401360273.623348</v>
      </c>
      <c r="BJ1911" s="1711">
        <f t="shared" si="122"/>
        <v>34151921.990907647</v>
      </c>
      <c r="BK1911" s="1711">
        <f t="shared" si="123"/>
        <v>1.0710220346552097</v>
      </c>
      <c r="BL1911">
        <f>BJ1911</f>
        <v>34151921.990907647</v>
      </c>
      <c r="BO1911">
        <f>BL1911</f>
        <v>34151921.990907647</v>
      </c>
    </row>
    <row r="1912" spans="3:67" x14ac:dyDescent="0.25">
      <c r="C1912" s="246" t="s">
        <v>3262</v>
      </c>
      <c r="D1912" s="246">
        <v>1</v>
      </c>
      <c r="E1912" s="246">
        <v>2</v>
      </c>
      <c r="F1912" s="246">
        <v>3</v>
      </c>
      <c r="G1912" s="246">
        <v>4</v>
      </c>
      <c r="H1912" s="246">
        <v>6</v>
      </c>
      <c r="I1912" s="246">
        <v>9</v>
      </c>
      <c r="J1912" s="246">
        <v>10</v>
      </c>
      <c r="K1912" s="246">
        <v>13</v>
      </c>
      <c r="L1912" s="246">
        <v>14</v>
      </c>
      <c r="M1912" s="246">
        <v>15</v>
      </c>
      <c r="N1912" s="246">
        <v>17</v>
      </c>
      <c r="O1912" s="246"/>
      <c r="P1912" s="246"/>
      <c r="Q1912" s="246"/>
      <c r="R1912" s="246">
        <f>IFERROR(VLOOKUP(D1912,PROGRAMAS[],2,FALSE),0)</f>
        <v>97037803.679377079</v>
      </c>
      <c r="S1912" s="246">
        <f>IFERROR(VLOOKUP(E1912,PROGRAMAS[],2,FALSE),0)</f>
        <v>640501509.6821388</v>
      </c>
      <c r="T1912" s="246">
        <f>IFERROR(VLOOKUP(F1912,PROGRAMAS[],2,FALSE),0)</f>
        <v>3062327798.1525245</v>
      </c>
      <c r="U1912" s="246">
        <f>IFERROR(VLOOKUP(G1912,PROGRAMAS[],2,FALSE),0)</f>
        <v>67697118.033011258</v>
      </c>
      <c r="V1912" s="246">
        <f>IFERROR(VLOOKUP(H1912,PROGRAMAS[],2,FALSE),0)</f>
        <v>6907648435.8447599</v>
      </c>
      <c r="W1912" s="246">
        <f>IFERROR(VLOOKUP(I1912,PROGRAMAS[],2,FALSE),0)</f>
        <v>6128579952.1618185</v>
      </c>
      <c r="X1912" s="246">
        <f>IFERROR(VLOOKUP(J1912,PROGRAMAS[],2,FALSE),0)</f>
        <v>4635315027.8751087</v>
      </c>
      <c r="Y1912" s="246">
        <f>IFERROR(VLOOKUP(K1912,PROGRAMAS[],2,FALSE),0)</f>
        <v>3776538594.4604583</v>
      </c>
      <c r="Z1912" s="246">
        <f>IFERROR(VLOOKUP(L1912,PROGRAMAS[],2,FALSE),0)</f>
        <v>54223862.645839565</v>
      </c>
      <c r="AA1912" s="246">
        <f>IFERROR(VLOOKUP(M1912,PROGRAMAS[],2,FALSE),0)</f>
        <v>122159672.96346797</v>
      </c>
      <c r="AB1912" s="246">
        <f>IFERROR(VLOOKUP(N1912,PROGRAMAS[],2,FALSE),0)</f>
        <v>1892779498.5211046</v>
      </c>
      <c r="AC1912" s="246">
        <f>IFERROR(VLOOKUP(O1912,PROGRAMAS[],2,FALSE),0)</f>
        <v>0</v>
      </c>
      <c r="AD1912" s="246">
        <f>IFERROR(VLOOKUP(P1912,PROGRAMAS[],2,FALSE),0)</f>
        <v>0</v>
      </c>
      <c r="AE1912" s="246">
        <f>IFERROR(VLOOKUP(Q1912,PROGRAMAS[],2,FALSE),0)</f>
        <v>0</v>
      </c>
      <c r="AF1912" s="246">
        <f>IFERROR(VLOOKUP(D1912,PROGRAMAS[],3,FALSE),0)</f>
        <v>841888629.31080008</v>
      </c>
      <c r="AG1912" s="246">
        <f>IFERROR(VLOOKUP(E1912,PROGRAMAS[],3,FALSE),0)</f>
        <v>3848980803.1642323</v>
      </c>
      <c r="AH1912" s="246">
        <f>IFERROR(VLOOKUP(F1912,PROGRAMAS[],3,FALSE),0)</f>
        <v>3394901471.387517</v>
      </c>
      <c r="AI1912" s="246">
        <f>IFERROR(VLOOKUP(G1912,PROGRAMAS[],3,FALSE),0)</f>
        <v>125317226.95549992</v>
      </c>
      <c r="AJ1912" s="246">
        <f>IFERROR(VLOOKUP(H1912,PROGRAMAS[],3,FALSE),0)</f>
        <v>6129902208.7912121</v>
      </c>
      <c r="AK1912" s="246">
        <f>IFERROR(VLOOKUP(I1912,PROGRAMAS[],3,FALSE),0)</f>
        <v>7011279577.519702</v>
      </c>
      <c r="AL1912" s="246">
        <f>IFERROR(VLOOKUP(J1912,PROGRAMAS[],3,FALSE),0)</f>
        <v>4099471734.9978786</v>
      </c>
      <c r="AM1912" s="246">
        <f>IFERROR(VLOOKUP(K1912,PROGRAMAS[],3,FALSE),0)</f>
        <v>2392571243.5584412</v>
      </c>
      <c r="AN1912" s="246">
        <f>IFERROR(VLOOKUP(L1912,PROGRAMAS[],3,FALSE),0)</f>
        <v>31865326.38096505</v>
      </c>
      <c r="AO1912" s="246">
        <f>IFERROR(VLOOKUP(M1912,PROGRAMAS[],3,FALSE),0)</f>
        <v>118617452.52510804</v>
      </c>
      <c r="AP1912" s="246">
        <f>IFERROR(VLOOKUP(N1912,PROGRAMAS[],3,FALSE),0)</f>
        <v>948595847.09039903</v>
      </c>
      <c r="AQ1912" s="246">
        <f>IFERROR(VLOOKUP(O1912,PROGRAMAS[],3,FALSE),0)</f>
        <v>0</v>
      </c>
      <c r="AR1912" s="246">
        <f>IFERROR(VLOOKUP(P1912,PROGRAMAS[],3,FALSE),0)</f>
        <v>0</v>
      </c>
      <c r="AS1912" s="246">
        <f>IFERROR(VLOOKUP(Q1912,PROGRAMAS[],3,FALSE),0)</f>
        <v>0</v>
      </c>
      <c r="AT1912" s="246">
        <f>IFERROR(VLOOKUP(D1912,VOL_REC[],2,FALSE),0)</f>
        <v>0</v>
      </c>
      <c r="AU1912" s="246">
        <f>IFERROR(VLOOKUP(E1912,VOL_REC[],2,FALSE),0)</f>
        <v>0</v>
      </c>
      <c r="AV1912" s="246">
        <f>IFERROR(VLOOKUP(F1912,VOL_REC[],2,FALSE),0)</f>
        <v>11089674.200000001</v>
      </c>
      <c r="AW1912" s="246">
        <f>IFERROR(VLOOKUP(G1912,VOL_REC[],2,FALSE),0)</f>
        <v>90439.55</v>
      </c>
      <c r="AX1912" s="246">
        <f>IFERROR(VLOOKUP(H1912,VOL_REC[],2,FALSE),0)</f>
        <v>15540036.397699751</v>
      </c>
      <c r="AY1912" s="246">
        <f>IFERROR(VLOOKUP(I1912,VOL_REC[],2,FALSE),0)</f>
        <v>3761786</v>
      </c>
      <c r="AZ1912" s="246">
        <f>IFERROR(VLOOKUP(J1912,VOL_REC[],2,FALSE),0)</f>
        <v>1812240</v>
      </c>
      <c r="BA1912" s="246">
        <f>IFERROR(VLOOKUP(K1912,VOL_REC[],2,FALSE),0)</f>
        <v>663244.80000000016</v>
      </c>
      <c r="BB1912" s="246">
        <f>IFERROR(VLOOKUP(L1912,VOL_REC[],2,FALSE),0)</f>
        <v>17074.045034105649</v>
      </c>
      <c r="BC1912" s="246">
        <f>IFERROR(VLOOKUP(M1912,VOL_REC[],2,FALSE),0)</f>
        <v>105072</v>
      </c>
      <c r="BD1912" s="246">
        <f>IFERROR(VLOOKUP(N1912,VOL_REC[],2,FALSE),0)</f>
        <v>740113.98115702497</v>
      </c>
      <c r="BE1912" s="246">
        <f>IFERROR(VLOOKUP(O1912,VOL_REC[],2,FALSE),0)</f>
        <v>0</v>
      </c>
      <c r="BF1912" s="246">
        <f>IFERROR(VLOOKUP(P1912,VOL_REC[],2,FALSE),0)</f>
        <v>0</v>
      </c>
      <c r="BG1912" s="246">
        <f>IFERROR(VLOOKUP(Q1912,VOL_REC[],2,FALSE),0)</f>
        <v>0</v>
      </c>
      <c r="BH1912" s="1710">
        <f t="shared" si="120"/>
        <v>27384809274.019608</v>
      </c>
      <c r="BI1912" s="1710">
        <f t="shared" si="121"/>
        <v>28943391521.681759</v>
      </c>
      <c r="BJ1912" s="1711">
        <f t="shared" si="122"/>
        <v>33819680.973890886</v>
      </c>
      <c r="BK1912" s="1711">
        <f t="shared" si="123"/>
        <v>0.94615066978261331</v>
      </c>
    </row>
    <row r="1913" spans="3:67" x14ac:dyDescent="0.25">
      <c r="C1913" s="246" t="s">
        <v>3263</v>
      </c>
      <c r="D1913" s="246">
        <v>1</v>
      </c>
      <c r="E1913" s="246">
        <v>2</v>
      </c>
      <c r="F1913" s="246">
        <v>3</v>
      </c>
      <c r="G1913" s="246">
        <v>4</v>
      </c>
      <c r="H1913" s="246">
        <v>6</v>
      </c>
      <c r="I1913" s="246">
        <v>9</v>
      </c>
      <c r="J1913" s="246">
        <v>10</v>
      </c>
      <c r="K1913" s="246">
        <v>13</v>
      </c>
      <c r="L1913" s="246">
        <v>14</v>
      </c>
      <c r="M1913" s="246">
        <v>16</v>
      </c>
      <c r="N1913" s="246">
        <v>17</v>
      </c>
      <c r="O1913" s="246"/>
      <c r="P1913" s="246"/>
      <c r="Q1913" s="246"/>
      <c r="R1913" s="246">
        <f>IFERROR(VLOOKUP(D1913,PROGRAMAS[],2,FALSE),0)</f>
        <v>97037803.679377079</v>
      </c>
      <c r="S1913" s="246">
        <f>IFERROR(VLOOKUP(E1913,PROGRAMAS[],2,FALSE),0)</f>
        <v>640501509.6821388</v>
      </c>
      <c r="T1913" s="246">
        <f>IFERROR(VLOOKUP(F1913,PROGRAMAS[],2,FALSE),0)</f>
        <v>3062327798.1525245</v>
      </c>
      <c r="U1913" s="246">
        <f>IFERROR(VLOOKUP(G1913,PROGRAMAS[],2,FALSE),0)</f>
        <v>67697118.033011258</v>
      </c>
      <c r="V1913" s="246">
        <f>IFERROR(VLOOKUP(H1913,PROGRAMAS[],2,FALSE),0)</f>
        <v>6907648435.8447599</v>
      </c>
      <c r="W1913" s="246">
        <f>IFERROR(VLOOKUP(I1913,PROGRAMAS[],2,FALSE),0)</f>
        <v>6128579952.1618185</v>
      </c>
      <c r="X1913" s="246">
        <f>IFERROR(VLOOKUP(J1913,PROGRAMAS[],2,FALSE),0)</f>
        <v>4635315027.8751087</v>
      </c>
      <c r="Y1913" s="246">
        <f>IFERROR(VLOOKUP(K1913,PROGRAMAS[],2,FALSE),0)</f>
        <v>3776538594.4604583</v>
      </c>
      <c r="Z1913" s="246">
        <f>IFERROR(VLOOKUP(L1913,PROGRAMAS[],2,FALSE),0)</f>
        <v>54223862.645839565</v>
      </c>
      <c r="AA1913" s="246">
        <f>IFERROR(VLOOKUP(M1913,PROGRAMAS[],2,FALSE),0)</f>
        <v>7068496961.0436354</v>
      </c>
      <c r="AB1913" s="246">
        <f>IFERROR(VLOOKUP(N1913,PROGRAMAS[],2,FALSE),0)</f>
        <v>1892779498.5211046</v>
      </c>
      <c r="AC1913" s="246">
        <f>IFERROR(VLOOKUP(O1913,PROGRAMAS[],2,FALSE),0)</f>
        <v>0</v>
      </c>
      <c r="AD1913" s="246">
        <f>IFERROR(VLOOKUP(P1913,PROGRAMAS[],2,FALSE),0)</f>
        <v>0</v>
      </c>
      <c r="AE1913" s="246">
        <f>IFERROR(VLOOKUP(Q1913,PROGRAMAS[],2,FALSE),0)</f>
        <v>0</v>
      </c>
      <c r="AF1913" s="246">
        <f>IFERROR(VLOOKUP(D1913,PROGRAMAS[],3,FALSE),0)</f>
        <v>841888629.31080008</v>
      </c>
      <c r="AG1913" s="246">
        <f>IFERROR(VLOOKUP(E1913,PROGRAMAS[],3,FALSE),0)</f>
        <v>3848980803.1642323</v>
      </c>
      <c r="AH1913" s="246">
        <f>IFERROR(VLOOKUP(F1913,PROGRAMAS[],3,FALSE),0)</f>
        <v>3394901471.387517</v>
      </c>
      <c r="AI1913" s="246">
        <f>IFERROR(VLOOKUP(G1913,PROGRAMAS[],3,FALSE),0)</f>
        <v>125317226.95549992</v>
      </c>
      <c r="AJ1913" s="246">
        <f>IFERROR(VLOOKUP(H1913,PROGRAMAS[],3,FALSE),0)</f>
        <v>6129902208.7912121</v>
      </c>
      <c r="AK1913" s="246">
        <f>IFERROR(VLOOKUP(I1913,PROGRAMAS[],3,FALSE),0)</f>
        <v>7011279577.519702</v>
      </c>
      <c r="AL1913" s="246">
        <f>IFERROR(VLOOKUP(J1913,PROGRAMAS[],3,FALSE),0)</f>
        <v>4099471734.9978786</v>
      </c>
      <c r="AM1913" s="246">
        <f>IFERROR(VLOOKUP(K1913,PROGRAMAS[],3,FALSE),0)</f>
        <v>2392571243.5584412</v>
      </c>
      <c r="AN1913" s="246">
        <f>IFERROR(VLOOKUP(L1913,PROGRAMAS[],3,FALSE),0)</f>
        <v>31865326.38096505</v>
      </c>
      <c r="AO1913" s="246">
        <f>IFERROR(VLOOKUP(M1913,PROGRAMAS[],3,FALSE),0)</f>
        <v>2406564599.0319901</v>
      </c>
      <c r="AP1913" s="246">
        <f>IFERROR(VLOOKUP(N1913,PROGRAMAS[],3,FALSE),0)</f>
        <v>948595847.09039903</v>
      </c>
      <c r="AQ1913" s="246">
        <f>IFERROR(VLOOKUP(O1913,PROGRAMAS[],3,FALSE),0)</f>
        <v>0</v>
      </c>
      <c r="AR1913" s="246">
        <f>IFERROR(VLOOKUP(P1913,PROGRAMAS[],3,FALSE),0)</f>
        <v>0</v>
      </c>
      <c r="AS1913" s="246">
        <f>IFERROR(VLOOKUP(Q1913,PROGRAMAS[],3,FALSE),0)</f>
        <v>0</v>
      </c>
      <c r="AT1913" s="246">
        <f>IFERROR(VLOOKUP(D1913,VOL_REC[],2,FALSE),0)</f>
        <v>0</v>
      </c>
      <c r="AU1913" s="246">
        <f>IFERROR(VLOOKUP(E1913,VOL_REC[],2,FALSE),0)</f>
        <v>0</v>
      </c>
      <c r="AV1913" s="246">
        <f>IFERROR(VLOOKUP(F1913,VOL_REC[],2,FALSE),0)</f>
        <v>11089674.200000001</v>
      </c>
      <c r="AW1913" s="246">
        <f>IFERROR(VLOOKUP(G1913,VOL_REC[],2,FALSE),0)</f>
        <v>90439.55</v>
      </c>
      <c r="AX1913" s="246">
        <f>IFERROR(VLOOKUP(H1913,VOL_REC[],2,FALSE),0)</f>
        <v>15540036.397699751</v>
      </c>
      <c r="AY1913" s="246">
        <f>IFERROR(VLOOKUP(I1913,VOL_REC[],2,FALSE),0)</f>
        <v>3761786</v>
      </c>
      <c r="AZ1913" s="246">
        <f>IFERROR(VLOOKUP(J1913,VOL_REC[],2,FALSE),0)</f>
        <v>1812240</v>
      </c>
      <c r="BA1913" s="246">
        <f>IFERROR(VLOOKUP(K1913,VOL_REC[],2,FALSE),0)</f>
        <v>663244.80000000016</v>
      </c>
      <c r="BB1913" s="246">
        <f>IFERROR(VLOOKUP(L1913,VOL_REC[],2,FALSE),0)</f>
        <v>17074.045034105649</v>
      </c>
      <c r="BC1913" s="246">
        <f>IFERROR(VLOOKUP(M1913,VOL_REC[],2,FALSE),0)</f>
        <v>1072354.9981737854</v>
      </c>
      <c r="BD1913" s="246">
        <f>IFERROR(VLOOKUP(N1913,VOL_REC[],2,FALSE),0)</f>
        <v>740113.98115702497</v>
      </c>
      <c r="BE1913" s="246">
        <f>IFERROR(VLOOKUP(O1913,VOL_REC[],2,FALSE),0)</f>
        <v>0</v>
      </c>
      <c r="BF1913" s="246">
        <f>IFERROR(VLOOKUP(P1913,VOL_REC[],2,FALSE),0)</f>
        <v>0</v>
      </c>
      <c r="BG1913" s="246">
        <f>IFERROR(VLOOKUP(Q1913,VOL_REC[],2,FALSE),0)</f>
        <v>0</v>
      </c>
      <c r="BH1913" s="1710">
        <f t="shared" si="120"/>
        <v>34331146562.099777</v>
      </c>
      <c r="BI1913" s="1710">
        <f t="shared" si="121"/>
        <v>31231338668.188641</v>
      </c>
      <c r="BJ1913" s="1711">
        <f t="shared" si="122"/>
        <v>34786963.972064674</v>
      </c>
      <c r="BK1913" s="1711">
        <f t="shared" si="123"/>
        <v>1.0992531228598443</v>
      </c>
      <c r="BL1913">
        <f>BJ1913</f>
        <v>34786963.972064674</v>
      </c>
      <c r="BO1913">
        <f>BL1913</f>
        <v>34786963.972064674</v>
      </c>
    </row>
    <row r="1914" spans="3:67" x14ac:dyDescent="0.25">
      <c r="C1914" s="246" t="s">
        <v>3264</v>
      </c>
      <c r="D1914" s="246">
        <v>1</v>
      </c>
      <c r="E1914" s="246">
        <v>2</v>
      </c>
      <c r="F1914" s="246">
        <v>3</v>
      </c>
      <c r="G1914" s="246">
        <v>4</v>
      </c>
      <c r="H1914" s="246">
        <v>6</v>
      </c>
      <c r="I1914" s="246">
        <v>9</v>
      </c>
      <c r="J1914" s="246">
        <v>10</v>
      </c>
      <c r="K1914" s="246">
        <v>13</v>
      </c>
      <c r="L1914" s="246">
        <v>15</v>
      </c>
      <c r="M1914" s="246">
        <v>16</v>
      </c>
      <c r="N1914" s="246">
        <v>17</v>
      </c>
      <c r="O1914" s="246"/>
      <c r="P1914" s="246"/>
      <c r="Q1914" s="246"/>
      <c r="R1914" s="246">
        <f>IFERROR(VLOOKUP(D1914,PROGRAMAS[],2,FALSE),0)</f>
        <v>97037803.679377079</v>
      </c>
      <c r="S1914" s="246">
        <f>IFERROR(VLOOKUP(E1914,PROGRAMAS[],2,FALSE),0)</f>
        <v>640501509.6821388</v>
      </c>
      <c r="T1914" s="246">
        <f>IFERROR(VLOOKUP(F1914,PROGRAMAS[],2,FALSE),0)</f>
        <v>3062327798.1525245</v>
      </c>
      <c r="U1914" s="246">
        <f>IFERROR(VLOOKUP(G1914,PROGRAMAS[],2,FALSE),0)</f>
        <v>67697118.033011258</v>
      </c>
      <c r="V1914" s="246">
        <f>IFERROR(VLOOKUP(H1914,PROGRAMAS[],2,FALSE),0)</f>
        <v>6907648435.8447599</v>
      </c>
      <c r="W1914" s="246">
        <f>IFERROR(VLOOKUP(I1914,PROGRAMAS[],2,FALSE),0)</f>
        <v>6128579952.1618185</v>
      </c>
      <c r="X1914" s="246">
        <f>IFERROR(VLOOKUP(J1914,PROGRAMAS[],2,FALSE),0)</f>
        <v>4635315027.8751087</v>
      </c>
      <c r="Y1914" s="246">
        <f>IFERROR(VLOOKUP(K1914,PROGRAMAS[],2,FALSE),0)</f>
        <v>3776538594.4604583</v>
      </c>
      <c r="Z1914" s="246">
        <f>IFERROR(VLOOKUP(L1914,PROGRAMAS[],2,FALSE),0)</f>
        <v>122159672.96346797</v>
      </c>
      <c r="AA1914" s="246">
        <f>IFERROR(VLOOKUP(M1914,PROGRAMAS[],2,FALSE),0)</f>
        <v>7068496961.0436354</v>
      </c>
      <c r="AB1914" s="246">
        <f>IFERROR(VLOOKUP(N1914,PROGRAMAS[],2,FALSE),0)</f>
        <v>1892779498.5211046</v>
      </c>
      <c r="AC1914" s="246">
        <f>IFERROR(VLOOKUP(O1914,PROGRAMAS[],2,FALSE),0)</f>
        <v>0</v>
      </c>
      <c r="AD1914" s="246">
        <f>IFERROR(VLOOKUP(P1914,PROGRAMAS[],2,FALSE),0)</f>
        <v>0</v>
      </c>
      <c r="AE1914" s="246">
        <f>IFERROR(VLOOKUP(Q1914,PROGRAMAS[],2,FALSE),0)</f>
        <v>0</v>
      </c>
      <c r="AF1914" s="246">
        <f>IFERROR(VLOOKUP(D1914,PROGRAMAS[],3,FALSE),0)</f>
        <v>841888629.31080008</v>
      </c>
      <c r="AG1914" s="246">
        <f>IFERROR(VLOOKUP(E1914,PROGRAMAS[],3,FALSE),0)</f>
        <v>3848980803.1642323</v>
      </c>
      <c r="AH1914" s="246">
        <f>IFERROR(VLOOKUP(F1914,PROGRAMAS[],3,FALSE),0)</f>
        <v>3394901471.387517</v>
      </c>
      <c r="AI1914" s="246">
        <f>IFERROR(VLOOKUP(G1914,PROGRAMAS[],3,FALSE),0)</f>
        <v>125317226.95549992</v>
      </c>
      <c r="AJ1914" s="246">
        <f>IFERROR(VLOOKUP(H1914,PROGRAMAS[],3,FALSE),0)</f>
        <v>6129902208.7912121</v>
      </c>
      <c r="AK1914" s="246">
        <f>IFERROR(VLOOKUP(I1914,PROGRAMAS[],3,FALSE),0)</f>
        <v>7011279577.519702</v>
      </c>
      <c r="AL1914" s="246">
        <f>IFERROR(VLOOKUP(J1914,PROGRAMAS[],3,FALSE),0)</f>
        <v>4099471734.9978786</v>
      </c>
      <c r="AM1914" s="246">
        <f>IFERROR(VLOOKUP(K1914,PROGRAMAS[],3,FALSE),0)</f>
        <v>2392571243.5584412</v>
      </c>
      <c r="AN1914" s="246">
        <f>IFERROR(VLOOKUP(L1914,PROGRAMAS[],3,FALSE),0)</f>
        <v>118617452.52510804</v>
      </c>
      <c r="AO1914" s="246">
        <f>IFERROR(VLOOKUP(M1914,PROGRAMAS[],3,FALSE),0)</f>
        <v>2406564599.0319901</v>
      </c>
      <c r="AP1914" s="246">
        <f>IFERROR(VLOOKUP(N1914,PROGRAMAS[],3,FALSE),0)</f>
        <v>948595847.09039903</v>
      </c>
      <c r="AQ1914" s="246">
        <f>IFERROR(VLOOKUP(O1914,PROGRAMAS[],3,FALSE),0)</f>
        <v>0</v>
      </c>
      <c r="AR1914" s="246">
        <f>IFERROR(VLOOKUP(P1914,PROGRAMAS[],3,FALSE),0)</f>
        <v>0</v>
      </c>
      <c r="AS1914" s="246">
        <f>IFERROR(VLOOKUP(Q1914,PROGRAMAS[],3,FALSE),0)</f>
        <v>0</v>
      </c>
      <c r="AT1914" s="246">
        <f>IFERROR(VLOOKUP(D1914,VOL_REC[],2,FALSE),0)</f>
        <v>0</v>
      </c>
      <c r="AU1914" s="246">
        <f>IFERROR(VLOOKUP(E1914,VOL_REC[],2,FALSE),0)</f>
        <v>0</v>
      </c>
      <c r="AV1914" s="246">
        <f>IFERROR(VLOOKUP(F1914,VOL_REC[],2,FALSE),0)</f>
        <v>11089674.200000001</v>
      </c>
      <c r="AW1914" s="246">
        <f>IFERROR(VLOOKUP(G1914,VOL_REC[],2,FALSE),0)</f>
        <v>90439.55</v>
      </c>
      <c r="AX1914" s="246">
        <f>IFERROR(VLOOKUP(H1914,VOL_REC[],2,FALSE),0)</f>
        <v>15540036.397699751</v>
      </c>
      <c r="AY1914" s="246">
        <f>IFERROR(VLOOKUP(I1914,VOL_REC[],2,FALSE),0)</f>
        <v>3761786</v>
      </c>
      <c r="AZ1914" s="246">
        <f>IFERROR(VLOOKUP(J1914,VOL_REC[],2,FALSE),0)</f>
        <v>1812240</v>
      </c>
      <c r="BA1914" s="246">
        <f>IFERROR(VLOOKUP(K1914,VOL_REC[],2,FALSE),0)</f>
        <v>663244.80000000016</v>
      </c>
      <c r="BB1914" s="246">
        <f>IFERROR(VLOOKUP(L1914,VOL_REC[],2,FALSE),0)</f>
        <v>105072</v>
      </c>
      <c r="BC1914" s="246">
        <f>IFERROR(VLOOKUP(M1914,VOL_REC[],2,FALSE),0)</f>
        <v>1072354.9981737854</v>
      </c>
      <c r="BD1914" s="246">
        <f>IFERROR(VLOOKUP(N1914,VOL_REC[],2,FALSE),0)</f>
        <v>740113.98115702497</v>
      </c>
      <c r="BE1914" s="246">
        <f>IFERROR(VLOOKUP(O1914,VOL_REC[],2,FALSE),0)</f>
        <v>0</v>
      </c>
      <c r="BF1914" s="246">
        <f>IFERROR(VLOOKUP(P1914,VOL_REC[],2,FALSE),0)</f>
        <v>0</v>
      </c>
      <c r="BG1914" s="246">
        <f>IFERROR(VLOOKUP(Q1914,VOL_REC[],2,FALSE),0)</f>
        <v>0</v>
      </c>
      <c r="BH1914" s="1710">
        <f t="shared" si="120"/>
        <v>34399082372.417404</v>
      </c>
      <c r="BI1914" s="1710">
        <f t="shared" si="121"/>
        <v>31318090794.332783</v>
      </c>
      <c r="BJ1914" s="1711">
        <f t="shared" si="122"/>
        <v>34874961.927030563</v>
      </c>
      <c r="BK1914" s="1711">
        <f t="shared" si="123"/>
        <v>1.0983773755021538</v>
      </c>
      <c r="BL1914">
        <f>BJ1914</f>
        <v>34874961.927030563</v>
      </c>
      <c r="BO1914">
        <f>BL1914</f>
        <v>34874961.927030563</v>
      </c>
    </row>
    <row r="1915" spans="3:67" x14ac:dyDescent="0.25">
      <c r="C1915" s="246" t="s">
        <v>3265</v>
      </c>
      <c r="D1915" s="246">
        <v>1</v>
      </c>
      <c r="E1915" s="246">
        <v>2</v>
      </c>
      <c r="F1915" s="246">
        <v>3</v>
      </c>
      <c r="G1915" s="246">
        <v>4</v>
      </c>
      <c r="H1915" s="246">
        <v>6</v>
      </c>
      <c r="I1915" s="246">
        <v>9</v>
      </c>
      <c r="J1915" s="246">
        <v>10</v>
      </c>
      <c r="K1915" s="246">
        <v>14</v>
      </c>
      <c r="L1915" s="246">
        <v>15</v>
      </c>
      <c r="M1915" s="246">
        <v>16</v>
      </c>
      <c r="N1915" s="246">
        <v>17</v>
      </c>
      <c r="O1915" s="246"/>
      <c r="P1915" s="246"/>
      <c r="Q1915" s="246"/>
      <c r="R1915" s="246">
        <f>IFERROR(VLOOKUP(D1915,PROGRAMAS[],2,FALSE),0)</f>
        <v>97037803.679377079</v>
      </c>
      <c r="S1915" s="246">
        <f>IFERROR(VLOOKUP(E1915,PROGRAMAS[],2,FALSE),0)</f>
        <v>640501509.6821388</v>
      </c>
      <c r="T1915" s="246">
        <f>IFERROR(VLOOKUP(F1915,PROGRAMAS[],2,FALSE),0)</f>
        <v>3062327798.1525245</v>
      </c>
      <c r="U1915" s="246">
        <f>IFERROR(VLOOKUP(G1915,PROGRAMAS[],2,FALSE),0)</f>
        <v>67697118.033011258</v>
      </c>
      <c r="V1915" s="246">
        <f>IFERROR(VLOOKUP(H1915,PROGRAMAS[],2,FALSE),0)</f>
        <v>6907648435.8447599</v>
      </c>
      <c r="W1915" s="246">
        <f>IFERROR(VLOOKUP(I1915,PROGRAMAS[],2,FALSE),0)</f>
        <v>6128579952.1618185</v>
      </c>
      <c r="X1915" s="246">
        <f>IFERROR(VLOOKUP(J1915,PROGRAMAS[],2,FALSE),0)</f>
        <v>4635315027.8751087</v>
      </c>
      <c r="Y1915" s="246">
        <f>IFERROR(VLOOKUP(K1915,PROGRAMAS[],2,FALSE),0)</f>
        <v>54223862.645839565</v>
      </c>
      <c r="Z1915" s="246">
        <f>IFERROR(VLOOKUP(L1915,PROGRAMAS[],2,FALSE),0)</f>
        <v>122159672.96346797</v>
      </c>
      <c r="AA1915" s="246">
        <f>IFERROR(VLOOKUP(M1915,PROGRAMAS[],2,FALSE),0)</f>
        <v>7068496961.0436354</v>
      </c>
      <c r="AB1915" s="246">
        <f>IFERROR(VLOOKUP(N1915,PROGRAMAS[],2,FALSE),0)</f>
        <v>1892779498.5211046</v>
      </c>
      <c r="AC1915" s="246">
        <f>IFERROR(VLOOKUP(O1915,PROGRAMAS[],2,FALSE),0)</f>
        <v>0</v>
      </c>
      <c r="AD1915" s="246">
        <f>IFERROR(VLOOKUP(P1915,PROGRAMAS[],2,FALSE),0)</f>
        <v>0</v>
      </c>
      <c r="AE1915" s="246">
        <f>IFERROR(VLOOKUP(Q1915,PROGRAMAS[],2,FALSE),0)</f>
        <v>0</v>
      </c>
      <c r="AF1915" s="246">
        <f>IFERROR(VLOOKUP(D1915,PROGRAMAS[],3,FALSE),0)</f>
        <v>841888629.31080008</v>
      </c>
      <c r="AG1915" s="246">
        <f>IFERROR(VLOOKUP(E1915,PROGRAMAS[],3,FALSE),0)</f>
        <v>3848980803.1642323</v>
      </c>
      <c r="AH1915" s="246">
        <f>IFERROR(VLOOKUP(F1915,PROGRAMAS[],3,FALSE),0)</f>
        <v>3394901471.387517</v>
      </c>
      <c r="AI1915" s="246">
        <f>IFERROR(VLOOKUP(G1915,PROGRAMAS[],3,FALSE),0)</f>
        <v>125317226.95549992</v>
      </c>
      <c r="AJ1915" s="246">
        <f>IFERROR(VLOOKUP(H1915,PROGRAMAS[],3,FALSE),0)</f>
        <v>6129902208.7912121</v>
      </c>
      <c r="AK1915" s="246">
        <f>IFERROR(VLOOKUP(I1915,PROGRAMAS[],3,FALSE),0)</f>
        <v>7011279577.519702</v>
      </c>
      <c r="AL1915" s="246">
        <f>IFERROR(VLOOKUP(J1915,PROGRAMAS[],3,FALSE),0)</f>
        <v>4099471734.9978786</v>
      </c>
      <c r="AM1915" s="246">
        <f>IFERROR(VLOOKUP(K1915,PROGRAMAS[],3,FALSE),0)</f>
        <v>31865326.38096505</v>
      </c>
      <c r="AN1915" s="246">
        <f>IFERROR(VLOOKUP(L1915,PROGRAMAS[],3,FALSE),0)</f>
        <v>118617452.52510804</v>
      </c>
      <c r="AO1915" s="246">
        <f>IFERROR(VLOOKUP(M1915,PROGRAMAS[],3,FALSE),0)</f>
        <v>2406564599.0319901</v>
      </c>
      <c r="AP1915" s="246">
        <f>IFERROR(VLOOKUP(N1915,PROGRAMAS[],3,FALSE),0)</f>
        <v>948595847.09039903</v>
      </c>
      <c r="AQ1915" s="246">
        <f>IFERROR(VLOOKUP(O1915,PROGRAMAS[],3,FALSE),0)</f>
        <v>0</v>
      </c>
      <c r="AR1915" s="246">
        <f>IFERROR(VLOOKUP(P1915,PROGRAMAS[],3,FALSE),0)</f>
        <v>0</v>
      </c>
      <c r="AS1915" s="246">
        <f>IFERROR(VLOOKUP(Q1915,PROGRAMAS[],3,FALSE),0)</f>
        <v>0</v>
      </c>
      <c r="AT1915" s="246">
        <f>IFERROR(VLOOKUP(D1915,VOL_REC[],2,FALSE),0)</f>
        <v>0</v>
      </c>
      <c r="AU1915" s="246">
        <f>IFERROR(VLOOKUP(E1915,VOL_REC[],2,FALSE),0)</f>
        <v>0</v>
      </c>
      <c r="AV1915" s="246">
        <f>IFERROR(VLOOKUP(F1915,VOL_REC[],2,FALSE),0)</f>
        <v>11089674.200000001</v>
      </c>
      <c r="AW1915" s="246">
        <f>IFERROR(VLOOKUP(G1915,VOL_REC[],2,FALSE),0)</f>
        <v>90439.55</v>
      </c>
      <c r="AX1915" s="246">
        <f>IFERROR(VLOOKUP(H1915,VOL_REC[],2,FALSE),0)</f>
        <v>15540036.397699751</v>
      </c>
      <c r="AY1915" s="246">
        <f>IFERROR(VLOOKUP(I1915,VOL_REC[],2,FALSE),0)</f>
        <v>3761786</v>
      </c>
      <c r="AZ1915" s="246">
        <f>IFERROR(VLOOKUP(J1915,VOL_REC[],2,FALSE),0)</f>
        <v>1812240</v>
      </c>
      <c r="BA1915" s="246">
        <f>IFERROR(VLOOKUP(K1915,VOL_REC[],2,FALSE),0)</f>
        <v>17074.045034105649</v>
      </c>
      <c r="BB1915" s="246">
        <f>IFERROR(VLOOKUP(L1915,VOL_REC[],2,FALSE),0)</f>
        <v>105072</v>
      </c>
      <c r="BC1915" s="246">
        <f>IFERROR(VLOOKUP(M1915,VOL_REC[],2,FALSE),0)</f>
        <v>1072354.9981737854</v>
      </c>
      <c r="BD1915" s="246">
        <f>IFERROR(VLOOKUP(N1915,VOL_REC[],2,FALSE),0)</f>
        <v>740113.98115702497</v>
      </c>
      <c r="BE1915" s="246">
        <f>IFERROR(VLOOKUP(O1915,VOL_REC[],2,FALSE),0)</f>
        <v>0</v>
      </c>
      <c r="BF1915" s="246">
        <f>IFERROR(VLOOKUP(P1915,VOL_REC[],2,FALSE),0)</f>
        <v>0</v>
      </c>
      <c r="BG1915" s="246">
        <f>IFERROR(VLOOKUP(Q1915,VOL_REC[],2,FALSE),0)</f>
        <v>0</v>
      </c>
      <c r="BH1915" s="1710">
        <f t="shared" si="120"/>
        <v>30676767640.602787</v>
      </c>
      <c r="BI1915" s="1710">
        <f t="shared" si="121"/>
        <v>28957384877.155308</v>
      </c>
      <c r="BJ1915" s="1711">
        <f t="shared" si="122"/>
        <v>34228791.172064669</v>
      </c>
      <c r="BK1915" s="1711">
        <f t="shared" si="123"/>
        <v>1.0593763135290546</v>
      </c>
      <c r="BL1915">
        <f>BJ1915</f>
        <v>34228791.172064669</v>
      </c>
      <c r="BO1915">
        <f>BL1915</f>
        <v>34228791.172064669</v>
      </c>
    </row>
    <row r="1916" spans="3:67" x14ac:dyDescent="0.25">
      <c r="C1916" s="246" t="s">
        <v>3266</v>
      </c>
      <c r="D1916" s="246">
        <v>1</v>
      </c>
      <c r="E1916" s="246">
        <v>2</v>
      </c>
      <c r="F1916" s="246">
        <v>3</v>
      </c>
      <c r="G1916" s="246">
        <v>4</v>
      </c>
      <c r="H1916" s="246">
        <v>6</v>
      </c>
      <c r="I1916" s="246">
        <v>9</v>
      </c>
      <c r="J1916" s="246">
        <v>12</v>
      </c>
      <c r="K1916" s="246">
        <v>13</v>
      </c>
      <c r="L1916" s="246">
        <v>14</v>
      </c>
      <c r="M1916" s="246">
        <v>15</v>
      </c>
      <c r="N1916" s="246">
        <v>16</v>
      </c>
      <c r="O1916" s="246"/>
      <c r="P1916" s="246"/>
      <c r="Q1916" s="246"/>
      <c r="R1916" s="246">
        <f>IFERROR(VLOOKUP(D1916,PROGRAMAS[],2,FALSE),0)</f>
        <v>97037803.679377079</v>
      </c>
      <c r="S1916" s="246">
        <f>IFERROR(VLOOKUP(E1916,PROGRAMAS[],2,FALSE),0)</f>
        <v>640501509.6821388</v>
      </c>
      <c r="T1916" s="246">
        <f>IFERROR(VLOOKUP(F1916,PROGRAMAS[],2,FALSE),0)</f>
        <v>3062327798.1525245</v>
      </c>
      <c r="U1916" s="246">
        <f>IFERROR(VLOOKUP(G1916,PROGRAMAS[],2,FALSE),0)</f>
        <v>67697118.033011258</v>
      </c>
      <c r="V1916" s="246">
        <f>IFERROR(VLOOKUP(H1916,PROGRAMAS[],2,FALSE),0)</f>
        <v>6907648435.8447599</v>
      </c>
      <c r="W1916" s="246">
        <f>IFERROR(VLOOKUP(I1916,PROGRAMAS[],2,FALSE),0)</f>
        <v>6128579952.1618185</v>
      </c>
      <c r="X1916" s="246">
        <f>IFERROR(VLOOKUP(J1916,PROGRAMAS[],2,FALSE),0)</f>
        <v>764796700.79905891</v>
      </c>
      <c r="Y1916" s="246">
        <f>IFERROR(VLOOKUP(K1916,PROGRAMAS[],2,FALSE),0)</f>
        <v>3776538594.4604583</v>
      </c>
      <c r="Z1916" s="246">
        <f>IFERROR(VLOOKUP(L1916,PROGRAMAS[],2,FALSE),0)</f>
        <v>54223862.645839565</v>
      </c>
      <c r="AA1916" s="246">
        <f>IFERROR(VLOOKUP(M1916,PROGRAMAS[],2,FALSE),0)</f>
        <v>122159672.96346797</v>
      </c>
      <c r="AB1916" s="246">
        <f>IFERROR(VLOOKUP(N1916,PROGRAMAS[],2,FALSE),0)</f>
        <v>7068496961.0436354</v>
      </c>
      <c r="AC1916" s="246">
        <f>IFERROR(VLOOKUP(O1916,PROGRAMAS[],2,FALSE),0)</f>
        <v>0</v>
      </c>
      <c r="AD1916" s="246">
        <f>IFERROR(VLOOKUP(P1916,PROGRAMAS[],2,FALSE),0)</f>
        <v>0</v>
      </c>
      <c r="AE1916" s="246">
        <f>IFERROR(VLOOKUP(Q1916,PROGRAMAS[],2,FALSE),0)</f>
        <v>0</v>
      </c>
      <c r="AF1916" s="246">
        <f>IFERROR(VLOOKUP(D1916,PROGRAMAS[],3,FALSE),0)</f>
        <v>841888629.31080008</v>
      </c>
      <c r="AG1916" s="246">
        <f>IFERROR(VLOOKUP(E1916,PROGRAMAS[],3,FALSE),0)</f>
        <v>3848980803.1642323</v>
      </c>
      <c r="AH1916" s="246">
        <f>IFERROR(VLOOKUP(F1916,PROGRAMAS[],3,FALSE),0)</f>
        <v>3394901471.387517</v>
      </c>
      <c r="AI1916" s="246">
        <f>IFERROR(VLOOKUP(G1916,PROGRAMAS[],3,FALSE),0)</f>
        <v>125317226.95549992</v>
      </c>
      <c r="AJ1916" s="246">
        <f>IFERROR(VLOOKUP(H1916,PROGRAMAS[],3,FALSE),0)</f>
        <v>6129902208.7912121</v>
      </c>
      <c r="AK1916" s="246">
        <f>IFERROR(VLOOKUP(I1916,PROGRAMAS[],3,FALSE),0)</f>
        <v>7011279577.519702</v>
      </c>
      <c r="AL1916" s="246">
        <f>IFERROR(VLOOKUP(J1916,PROGRAMAS[],3,FALSE),0)</f>
        <v>675517840.109828</v>
      </c>
      <c r="AM1916" s="246">
        <f>IFERROR(VLOOKUP(K1916,PROGRAMAS[],3,FALSE),0)</f>
        <v>2392571243.5584412</v>
      </c>
      <c r="AN1916" s="246">
        <f>IFERROR(VLOOKUP(L1916,PROGRAMAS[],3,FALSE),0)</f>
        <v>31865326.38096505</v>
      </c>
      <c r="AO1916" s="246">
        <f>IFERROR(VLOOKUP(M1916,PROGRAMAS[],3,FALSE),0)</f>
        <v>118617452.52510804</v>
      </c>
      <c r="AP1916" s="246">
        <f>IFERROR(VLOOKUP(N1916,PROGRAMAS[],3,FALSE),0)</f>
        <v>2406564599.0319901</v>
      </c>
      <c r="AQ1916" s="246">
        <f>IFERROR(VLOOKUP(O1916,PROGRAMAS[],3,FALSE),0)</f>
        <v>0</v>
      </c>
      <c r="AR1916" s="246">
        <f>IFERROR(VLOOKUP(P1916,PROGRAMAS[],3,FALSE),0)</f>
        <v>0</v>
      </c>
      <c r="AS1916" s="246">
        <f>IFERROR(VLOOKUP(Q1916,PROGRAMAS[],3,FALSE),0)</f>
        <v>0</v>
      </c>
      <c r="AT1916" s="246">
        <f>IFERROR(VLOOKUP(D1916,VOL_REC[],2,FALSE),0)</f>
        <v>0</v>
      </c>
      <c r="AU1916" s="246">
        <f>IFERROR(VLOOKUP(E1916,VOL_REC[],2,FALSE),0)</f>
        <v>0</v>
      </c>
      <c r="AV1916" s="246">
        <f>IFERROR(VLOOKUP(F1916,VOL_REC[],2,FALSE),0)</f>
        <v>11089674.200000001</v>
      </c>
      <c r="AW1916" s="246">
        <f>IFERROR(VLOOKUP(G1916,VOL_REC[],2,FALSE),0)</f>
        <v>90439.55</v>
      </c>
      <c r="AX1916" s="246">
        <f>IFERROR(VLOOKUP(H1916,VOL_REC[],2,FALSE),0)</f>
        <v>15540036.397699751</v>
      </c>
      <c r="AY1916" s="246">
        <f>IFERROR(VLOOKUP(I1916,VOL_REC[],2,FALSE),0)</f>
        <v>3761786</v>
      </c>
      <c r="AZ1916" s="246">
        <f>IFERROR(VLOOKUP(J1916,VOL_REC[],2,FALSE),0)</f>
        <v>240696.79238099116</v>
      </c>
      <c r="BA1916" s="246">
        <f>IFERROR(VLOOKUP(K1916,VOL_REC[],2,FALSE),0)</f>
        <v>663244.80000000016</v>
      </c>
      <c r="BB1916" s="246">
        <f>IFERROR(VLOOKUP(L1916,VOL_REC[],2,FALSE),0)</f>
        <v>17074.045034105649</v>
      </c>
      <c r="BC1916" s="246">
        <f>IFERROR(VLOOKUP(M1916,VOL_REC[],2,FALSE),0)</f>
        <v>105072</v>
      </c>
      <c r="BD1916" s="246">
        <f>IFERROR(VLOOKUP(N1916,VOL_REC[],2,FALSE),0)</f>
        <v>1072354.9981737854</v>
      </c>
      <c r="BE1916" s="246">
        <f>IFERROR(VLOOKUP(O1916,VOL_REC[],2,FALSE),0)</f>
        <v>0</v>
      </c>
      <c r="BF1916" s="246">
        <f>IFERROR(VLOOKUP(P1916,VOL_REC[],2,FALSE),0)</f>
        <v>0</v>
      </c>
      <c r="BG1916" s="246">
        <f>IFERROR(VLOOKUP(Q1916,VOL_REC[],2,FALSE),0)</f>
        <v>0</v>
      </c>
      <c r="BH1916" s="1710">
        <f t="shared" si="120"/>
        <v>28690008409.466091</v>
      </c>
      <c r="BI1916" s="1710">
        <f t="shared" si="121"/>
        <v>26977406378.735298</v>
      </c>
      <c r="BJ1916" s="1711">
        <f t="shared" si="122"/>
        <v>32580378.783288635</v>
      </c>
      <c r="BK1916" s="1711">
        <f t="shared" si="123"/>
        <v>1.063482827321782</v>
      </c>
      <c r="BL1916">
        <f>BJ1916</f>
        <v>32580378.783288635</v>
      </c>
      <c r="BO1916">
        <f>BL1916</f>
        <v>32580378.783288635</v>
      </c>
    </row>
    <row r="1917" spans="3:67" x14ac:dyDescent="0.25">
      <c r="C1917" s="246" t="s">
        <v>3267</v>
      </c>
      <c r="D1917" s="246">
        <v>1</v>
      </c>
      <c r="E1917" s="246">
        <v>2</v>
      </c>
      <c r="F1917" s="246">
        <v>3</v>
      </c>
      <c r="G1917" s="246">
        <v>4</v>
      </c>
      <c r="H1917" s="246">
        <v>6</v>
      </c>
      <c r="I1917" s="246">
        <v>9</v>
      </c>
      <c r="J1917" s="246">
        <v>12</v>
      </c>
      <c r="K1917" s="246">
        <v>13</v>
      </c>
      <c r="L1917" s="246">
        <v>14</v>
      </c>
      <c r="M1917" s="246">
        <v>15</v>
      </c>
      <c r="N1917" s="246">
        <v>17</v>
      </c>
      <c r="O1917" s="246"/>
      <c r="P1917" s="246"/>
      <c r="Q1917" s="246"/>
      <c r="R1917" s="246">
        <f>IFERROR(VLOOKUP(D1917,PROGRAMAS[],2,FALSE),0)</f>
        <v>97037803.679377079</v>
      </c>
      <c r="S1917" s="246">
        <f>IFERROR(VLOOKUP(E1917,PROGRAMAS[],2,FALSE),0)</f>
        <v>640501509.6821388</v>
      </c>
      <c r="T1917" s="246">
        <f>IFERROR(VLOOKUP(F1917,PROGRAMAS[],2,FALSE),0)</f>
        <v>3062327798.1525245</v>
      </c>
      <c r="U1917" s="246">
        <f>IFERROR(VLOOKUP(G1917,PROGRAMAS[],2,FALSE),0)</f>
        <v>67697118.033011258</v>
      </c>
      <c r="V1917" s="246">
        <f>IFERROR(VLOOKUP(H1917,PROGRAMAS[],2,FALSE),0)</f>
        <v>6907648435.8447599</v>
      </c>
      <c r="W1917" s="246">
        <f>IFERROR(VLOOKUP(I1917,PROGRAMAS[],2,FALSE),0)</f>
        <v>6128579952.1618185</v>
      </c>
      <c r="X1917" s="246">
        <f>IFERROR(VLOOKUP(J1917,PROGRAMAS[],2,FALSE),0)</f>
        <v>764796700.79905891</v>
      </c>
      <c r="Y1917" s="246">
        <f>IFERROR(VLOOKUP(K1917,PROGRAMAS[],2,FALSE),0)</f>
        <v>3776538594.4604583</v>
      </c>
      <c r="Z1917" s="246">
        <f>IFERROR(VLOOKUP(L1917,PROGRAMAS[],2,FALSE),0)</f>
        <v>54223862.645839565</v>
      </c>
      <c r="AA1917" s="246">
        <f>IFERROR(VLOOKUP(M1917,PROGRAMAS[],2,FALSE),0)</f>
        <v>122159672.96346797</v>
      </c>
      <c r="AB1917" s="246">
        <f>IFERROR(VLOOKUP(N1917,PROGRAMAS[],2,FALSE),0)</f>
        <v>1892779498.5211046</v>
      </c>
      <c r="AC1917" s="246">
        <f>IFERROR(VLOOKUP(O1917,PROGRAMAS[],2,FALSE),0)</f>
        <v>0</v>
      </c>
      <c r="AD1917" s="246">
        <f>IFERROR(VLOOKUP(P1917,PROGRAMAS[],2,FALSE),0)</f>
        <v>0</v>
      </c>
      <c r="AE1917" s="246">
        <f>IFERROR(VLOOKUP(Q1917,PROGRAMAS[],2,FALSE),0)</f>
        <v>0</v>
      </c>
      <c r="AF1917" s="246">
        <f>IFERROR(VLOOKUP(D1917,PROGRAMAS[],3,FALSE),0)</f>
        <v>841888629.31080008</v>
      </c>
      <c r="AG1917" s="246">
        <f>IFERROR(VLOOKUP(E1917,PROGRAMAS[],3,FALSE),0)</f>
        <v>3848980803.1642323</v>
      </c>
      <c r="AH1917" s="246">
        <f>IFERROR(VLOOKUP(F1917,PROGRAMAS[],3,FALSE),0)</f>
        <v>3394901471.387517</v>
      </c>
      <c r="AI1917" s="246">
        <f>IFERROR(VLOOKUP(G1917,PROGRAMAS[],3,FALSE),0)</f>
        <v>125317226.95549992</v>
      </c>
      <c r="AJ1917" s="246">
        <f>IFERROR(VLOOKUP(H1917,PROGRAMAS[],3,FALSE),0)</f>
        <v>6129902208.7912121</v>
      </c>
      <c r="AK1917" s="246">
        <f>IFERROR(VLOOKUP(I1917,PROGRAMAS[],3,FALSE),0)</f>
        <v>7011279577.519702</v>
      </c>
      <c r="AL1917" s="246">
        <f>IFERROR(VLOOKUP(J1917,PROGRAMAS[],3,FALSE),0)</f>
        <v>675517840.109828</v>
      </c>
      <c r="AM1917" s="246">
        <f>IFERROR(VLOOKUP(K1917,PROGRAMAS[],3,FALSE),0)</f>
        <v>2392571243.5584412</v>
      </c>
      <c r="AN1917" s="246">
        <f>IFERROR(VLOOKUP(L1917,PROGRAMAS[],3,FALSE),0)</f>
        <v>31865326.38096505</v>
      </c>
      <c r="AO1917" s="246">
        <f>IFERROR(VLOOKUP(M1917,PROGRAMAS[],3,FALSE),0)</f>
        <v>118617452.52510804</v>
      </c>
      <c r="AP1917" s="246">
        <f>IFERROR(VLOOKUP(N1917,PROGRAMAS[],3,FALSE),0)</f>
        <v>948595847.09039903</v>
      </c>
      <c r="AQ1917" s="246">
        <f>IFERROR(VLOOKUP(O1917,PROGRAMAS[],3,FALSE),0)</f>
        <v>0</v>
      </c>
      <c r="AR1917" s="246">
        <f>IFERROR(VLOOKUP(P1917,PROGRAMAS[],3,FALSE),0)</f>
        <v>0</v>
      </c>
      <c r="AS1917" s="246">
        <f>IFERROR(VLOOKUP(Q1917,PROGRAMAS[],3,FALSE),0)</f>
        <v>0</v>
      </c>
      <c r="AT1917" s="246">
        <f>IFERROR(VLOOKUP(D1917,VOL_REC[],2,FALSE),0)</f>
        <v>0</v>
      </c>
      <c r="AU1917" s="246">
        <f>IFERROR(VLOOKUP(E1917,VOL_REC[],2,FALSE),0)</f>
        <v>0</v>
      </c>
      <c r="AV1917" s="246">
        <f>IFERROR(VLOOKUP(F1917,VOL_REC[],2,FALSE),0)</f>
        <v>11089674.200000001</v>
      </c>
      <c r="AW1917" s="246">
        <f>IFERROR(VLOOKUP(G1917,VOL_REC[],2,FALSE),0)</f>
        <v>90439.55</v>
      </c>
      <c r="AX1917" s="246">
        <f>IFERROR(VLOOKUP(H1917,VOL_REC[],2,FALSE),0)</f>
        <v>15540036.397699751</v>
      </c>
      <c r="AY1917" s="246">
        <f>IFERROR(VLOOKUP(I1917,VOL_REC[],2,FALSE),0)</f>
        <v>3761786</v>
      </c>
      <c r="AZ1917" s="246">
        <f>IFERROR(VLOOKUP(J1917,VOL_REC[],2,FALSE),0)</f>
        <v>240696.79238099116</v>
      </c>
      <c r="BA1917" s="246">
        <f>IFERROR(VLOOKUP(K1917,VOL_REC[],2,FALSE),0)</f>
        <v>663244.80000000016</v>
      </c>
      <c r="BB1917" s="246">
        <f>IFERROR(VLOOKUP(L1917,VOL_REC[],2,FALSE),0)</f>
        <v>17074.045034105649</v>
      </c>
      <c r="BC1917" s="246">
        <f>IFERROR(VLOOKUP(M1917,VOL_REC[],2,FALSE),0)</f>
        <v>105072</v>
      </c>
      <c r="BD1917" s="246">
        <f>IFERROR(VLOOKUP(N1917,VOL_REC[],2,FALSE),0)</f>
        <v>740113.98115702497</v>
      </c>
      <c r="BE1917" s="246">
        <f>IFERROR(VLOOKUP(O1917,VOL_REC[],2,FALSE),0)</f>
        <v>0</v>
      </c>
      <c r="BF1917" s="246">
        <f>IFERROR(VLOOKUP(P1917,VOL_REC[],2,FALSE),0)</f>
        <v>0</v>
      </c>
      <c r="BG1917" s="246">
        <f>IFERROR(VLOOKUP(Q1917,VOL_REC[],2,FALSE),0)</f>
        <v>0</v>
      </c>
      <c r="BH1917" s="1710">
        <f t="shared" si="120"/>
        <v>23514290946.943558</v>
      </c>
      <c r="BI1917" s="1710">
        <f t="shared" si="121"/>
        <v>25519437626.793709</v>
      </c>
      <c r="BJ1917" s="1711">
        <f t="shared" si="122"/>
        <v>32248137.766271874</v>
      </c>
      <c r="BK1917" s="1711">
        <f t="shared" si="123"/>
        <v>0.9214266901499083</v>
      </c>
    </row>
    <row r="1918" spans="3:67" x14ac:dyDescent="0.25">
      <c r="C1918" s="246" t="s">
        <v>3268</v>
      </c>
      <c r="D1918" s="246">
        <v>1</v>
      </c>
      <c r="E1918" s="246">
        <v>2</v>
      </c>
      <c r="F1918" s="246">
        <v>3</v>
      </c>
      <c r="G1918" s="246">
        <v>4</v>
      </c>
      <c r="H1918" s="246">
        <v>6</v>
      </c>
      <c r="I1918" s="246">
        <v>9</v>
      </c>
      <c r="J1918" s="246">
        <v>12</v>
      </c>
      <c r="K1918" s="246">
        <v>13</v>
      </c>
      <c r="L1918" s="246">
        <v>14</v>
      </c>
      <c r="M1918" s="246">
        <v>16</v>
      </c>
      <c r="N1918" s="246">
        <v>17</v>
      </c>
      <c r="O1918" s="246"/>
      <c r="P1918" s="246"/>
      <c r="Q1918" s="246"/>
      <c r="R1918" s="246">
        <f>IFERROR(VLOOKUP(D1918,PROGRAMAS[],2,FALSE),0)</f>
        <v>97037803.679377079</v>
      </c>
      <c r="S1918" s="246">
        <f>IFERROR(VLOOKUP(E1918,PROGRAMAS[],2,FALSE),0)</f>
        <v>640501509.6821388</v>
      </c>
      <c r="T1918" s="246">
        <f>IFERROR(VLOOKUP(F1918,PROGRAMAS[],2,FALSE),0)</f>
        <v>3062327798.1525245</v>
      </c>
      <c r="U1918" s="246">
        <f>IFERROR(VLOOKUP(G1918,PROGRAMAS[],2,FALSE),0)</f>
        <v>67697118.033011258</v>
      </c>
      <c r="V1918" s="246">
        <f>IFERROR(VLOOKUP(H1918,PROGRAMAS[],2,FALSE),0)</f>
        <v>6907648435.8447599</v>
      </c>
      <c r="W1918" s="246">
        <f>IFERROR(VLOOKUP(I1918,PROGRAMAS[],2,FALSE),0)</f>
        <v>6128579952.1618185</v>
      </c>
      <c r="X1918" s="246">
        <f>IFERROR(VLOOKUP(J1918,PROGRAMAS[],2,FALSE),0)</f>
        <v>764796700.79905891</v>
      </c>
      <c r="Y1918" s="246">
        <f>IFERROR(VLOOKUP(K1918,PROGRAMAS[],2,FALSE),0)</f>
        <v>3776538594.4604583</v>
      </c>
      <c r="Z1918" s="246">
        <f>IFERROR(VLOOKUP(L1918,PROGRAMAS[],2,FALSE),0)</f>
        <v>54223862.645839565</v>
      </c>
      <c r="AA1918" s="246">
        <f>IFERROR(VLOOKUP(M1918,PROGRAMAS[],2,FALSE),0)</f>
        <v>7068496961.0436354</v>
      </c>
      <c r="AB1918" s="246">
        <f>IFERROR(VLOOKUP(N1918,PROGRAMAS[],2,FALSE),0)</f>
        <v>1892779498.5211046</v>
      </c>
      <c r="AC1918" s="246">
        <f>IFERROR(VLOOKUP(O1918,PROGRAMAS[],2,FALSE),0)</f>
        <v>0</v>
      </c>
      <c r="AD1918" s="246">
        <f>IFERROR(VLOOKUP(P1918,PROGRAMAS[],2,FALSE),0)</f>
        <v>0</v>
      </c>
      <c r="AE1918" s="246">
        <f>IFERROR(VLOOKUP(Q1918,PROGRAMAS[],2,FALSE),0)</f>
        <v>0</v>
      </c>
      <c r="AF1918" s="246">
        <f>IFERROR(VLOOKUP(D1918,PROGRAMAS[],3,FALSE),0)</f>
        <v>841888629.31080008</v>
      </c>
      <c r="AG1918" s="246">
        <f>IFERROR(VLOOKUP(E1918,PROGRAMAS[],3,FALSE),0)</f>
        <v>3848980803.1642323</v>
      </c>
      <c r="AH1918" s="246">
        <f>IFERROR(VLOOKUP(F1918,PROGRAMAS[],3,FALSE),0)</f>
        <v>3394901471.387517</v>
      </c>
      <c r="AI1918" s="246">
        <f>IFERROR(VLOOKUP(G1918,PROGRAMAS[],3,FALSE),0)</f>
        <v>125317226.95549992</v>
      </c>
      <c r="AJ1918" s="246">
        <f>IFERROR(VLOOKUP(H1918,PROGRAMAS[],3,FALSE),0)</f>
        <v>6129902208.7912121</v>
      </c>
      <c r="AK1918" s="246">
        <f>IFERROR(VLOOKUP(I1918,PROGRAMAS[],3,FALSE),0)</f>
        <v>7011279577.519702</v>
      </c>
      <c r="AL1918" s="246">
        <f>IFERROR(VLOOKUP(J1918,PROGRAMAS[],3,FALSE),0)</f>
        <v>675517840.109828</v>
      </c>
      <c r="AM1918" s="246">
        <f>IFERROR(VLOOKUP(K1918,PROGRAMAS[],3,FALSE),0)</f>
        <v>2392571243.5584412</v>
      </c>
      <c r="AN1918" s="246">
        <f>IFERROR(VLOOKUP(L1918,PROGRAMAS[],3,FALSE),0)</f>
        <v>31865326.38096505</v>
      </c>
      <c r="AO1918" s="246">
        <f>IFERROR(VLOOKUP(M1918,PROGRAMAS[],3,FALSE),0)</f>
        <v>2406564599.0319901</v>
      </c>
      <c r="AP1918" s="246">
        <f>IFERROR(VLOOKUP(N1918,PROGRAMAS[],3,FALSE),0)</f>
        <v>948595847.09039903</v>
      </c>
      <c r="AQ1918" s="246">
        <f>IFERROR(VLOOKUP(O1918,PROGRAMAS[],3,FALSE),0)</f>
        <v>0</v>
      </c>
      <c r="AR1918" s="246">
        <f>IFERROR(VLOOKUP(P1918,PROGRAMAS[],3,FALSE),0)</f>
        <v>0</v>
      </c>
      <c r="AS1918" s="246">
        <f>IFERROR(VLOOKUP(Q1918,PROGRAMAS[],3,FALSE),0)</f>
        <v>0</v>
      </c>
      <c r="AT1918" s="246">
        <f>IFERROR(VLOOKUP(D1918,VOL_REC[],2,FALSE),0)</f>
        <v>0</v>
      </c>
      <c r="AU1918" s="246">
        <f>IFERROR(VLOOKUP(E1918,VOL_REC[],2,FALSE),0)</f>
        <v>0</v>
      </c>
      <c r="AV1918" s="246">
        <f>IFERROR(VLOOKUP(F1918,VOL_REC[],2,FALSE),0)</f>
        <v>11089674.200000001</v>
      </c>
      <c r="AW1918" s="246">
        <f>IFERROR(VLOOKUP(G1918,VOL_REC[],2,FALSE),0)</f>
        <v>90439.55</v>
      </c>
      <c r="AX1918" s="246">
        <f>IFERROR(VLOOKUP(H1918,VOL_REC[],2,FALSE),0)</f>
        <v>15540036.397699751</v>
      </c>
      <c r="AY1918" s="246">
        <f>IFERROR(VLOOKUP(I1918,VOL_REC[],2,FALSE),0)</f>
        <v>3761786</v>
      </c>
      <c r="AZ1918" s="246">
        <f>IFERROR(VLOOKUP(J1918,VOL_REC[],2,FALSE),0)</f>
        <v>240696.79238099116</v>
      </c>
      <c r="BA1918" s="246">
        <f>IFERROR(VLOOKUP(K1918,VOL_REC[],2,FALSE),0)</f>
        <v>663244.80000000016</v>
      </c>
      <c r="BB1918" s="246">
        <f>IFERROR(VLOOKUP(L1918,VOL_REC[],2,FALSE),0)</f>
        <v>17074.045034105649</v>
      </c>
      <c r="BC1918" s="246">
        <f>IFERROR(VLOOKUP(M1918,VOL_REC[],2,FALSE),0)</f>
        <v>1072354.9981737854</v>
      </c>
      <c r="BD1918" s="246">
        <f>IFERROR(VLOOKUP(N1918,VOL_REC[],2,FALSE),0)</f>
        <v>740113.98115702497</v>
      </c>
      <c r="BE1918" s="246">
        <f>IFERROR(VLOOKUP(O1918,VOL_REC[],2,FALSE),0)</f>
        <v>0</v>
      </c>
      <c r="BF1918" s="246">
        <f>IFERROR(VLOOKUP(P1918,VOL_REC[],2,FALSE),0)</f>
        <v>0</v>
      </c>
      <c r="BG1918" s="246">
        <f>IFERROR(VLOOKUP(Q1918,VOL_REC[],2,FALSE),0)</f>
        <v>0</v>
      </c>
      <c r="BH1918" s="1710">
        <f t="shared" si="120"/>
        <v>30460628235.023727</v>
      </c>
      <c r="BI1918" s="1710">
        <f t="shared" si="121"/>
        <v>27807384773.300591</v>
      </c>
      <c r="BJ1918" s="1711">
        <f t="shared" si="122"/>
        <v>33215420.764445659</v>
      </c>
      <c r="BK1918" s="1711">
        <f t="shared" si="123"/>
        <v>1.0954150662981679</v>
      </c>
      <c r="BL1918">
        <f>BJ1918</f>
        <v>33215420.764445659</v>
      </c>
      <c r="BO1918">
        <f>BL1918</f>
        <v>33215420.764445659</v>
      </c>
    </row>
    <row r="1919" spans="3:67" x14ac:dyDescent="0.25">
      <c r="C1919" s="246" t="s">
        <v>3269</v>
      </c>
      <c r="D1919" s="246">
        <v>1</v>
      </c>
      <c r="E1919" s="246">
        <v>2</v>
      </c>
      <c r="F1919" s="246">
        <v>3</v>
      </c>
      <c r="G1919" s="246">
        <v>4</v>
      </c>
      <c r="H1919" s="246">
        <v>6</v>
      </c>
      <c r="I1919" s="246">
        <v>9</v>
      </c>
      <c r="J1919" s="246">
        <v>12</v>
      </c>
      <c r="K1919" s="246">
        <v>13</v>
      </c>
      <c r="L1919" s="246">
        <v>15</v>
      </c>
      <c r="M1919" s="246">
        <v>16</v>
      </c>
      <c r="N1919" s="246">
        <v>17</v>
      </c>
      <c r="O1919" s="246"/>
      <c r="P1919" s="246"/>
      <c r="Q1919" s="246"/>
      <c r="R1919" s="246">
        <f>IFERROR(VLOOKUP(D1919,PROGRAMAS[],2,FALSE),0)</f>
        <v>97037803.679377079</v>
      </c>
      <c r="S1919" s="246">
        <f>IFERROR(VLOOKUP(E1919,PROGRAMAS[],2,FALSE),0)</f>
        <v>640501509.6821388</v>
      </c>
      <c r="T1919" s="246">
        <f>IFERROR(VLOOKUP(F1919,PROGRAMAS[],2,FALSE),0)</f>
        <v>3062327798.1525245</v>
      </c>
      <c r="U1919" s="246">
        <f>IFERROR(VLOOKUP(G1919,PROGRAMAS[],2,FALSE),0)</f>
        <v>67697118.033011258</v>
      </c>
      <c r="V1919" s="246">
        <f>IFERROR(VLOOKUP(H1919,PROGRAMAS[],2,FALSE),0)</f>
        <v>6907648435.8447599</v>
      </c>
      <c r="W1919" s="246">
        <f>IFERROR(VLOOKUP(I1919,PROGRAMAS[],2,FALSE),0)</f>
        <v>6128579952.1618185</v>
      </c>
      <c r="X1919" s="246">
        <f>IFERROR(VLOOKUP(J1919,PROGRAMAS[],2,FALSE),0)</f>
        <v>764796700.79905891</v>
      </c>
      <c r="Y1919" s="246">
        <f>IFERROR(VLOOKUP(K1919,PROGRAMAS[],2,FALSE),0)</f>
        <v>3776538594.4604583</v>
      </c>
      <c r="Z1919" s="246">
        <f>IFERROR(VLOOKUP(L1919,PROGRAMAS[],2,FALSE),0)</f>
        <v>122159672.96346797</v>
      </c>
      <c r="AA1919" s="246">
        <f>IFERROR(VLOOKUP(M1919,PROGRAMAS[],2,FALSE),0)</f>
        <v>7068496961.0436354</v>
      </c>
      <c r="AB1919" s="246">
        <f>IFERROR(VLOOKUP(N1919,PROGRAMAS[],2,FALSE),0)</f>
        <v>1892779498.5211046</v>
      </c>
      <c r="AC1919" s="246">
        <f>IFERROR(VLOOKUP(O1919,PROGRAMAS[],2,FALSE),0)</f>
        <v>0</v>
      </c>
      <c r="AD1919" s="246">
        <f>IFERROR(VLOOKUP(P1919,PROGRAMAS[],2,FALSE),0)</f>
        <v>0</v>
      </c>
      <c r="AE1919" s="246">
        <f>IFERROR(VLOOKUP(Q1919,PROGRAMAS[],2,FALSE),0)</f>
        <v>0</v>
      </c>
      <c r="AF1919" s="246">
        <f>IFERROR(VLOOKUP(D1919,PROGRAMAS[],3,FALSE),0)</f>
        <v>841888629.31080008</v>
      </c>
      <c r="AG1919" s="246">
        <f>IFERROR(VLOOKUP(E1919,PROGRAMAS[],3,FALSE),0)</f>
        <v>3848980803.1642323</v>
      </c>
      <c r="AH1919" s="246">
        <f>IFERROR(VLOOKUP(F1919,PROGRAMAS[],3,FALSE),0)</f>
        <v>3394901471.387517</v>
      </c>
      <c r="AI1919" s="246">
        <f>IFERROR(VLOOKUP(G1919,PROGRAMAS[],3,FALSE),0)</f>
        <v>125317226.95549992</v>
      </c>
      <c r="AJ1919" s="246">
        <f>IFERROR(VLOOKUP(H1919,PROGRAMAS[],3,FALSE),0)</f>
        <v>6129902208.7912121</v>
      </c>
      <c r="AK1919" s="246">
        <f>IFERROR(VLOOKUP(I1919,PROGRAMAS[],3,FALSE),0)</f>
        <v>7011279577.519702</v>
      </c>
      <c r="AL1919" s="246">
        <f>IFERROR(VLOOKUP(J1919,PROGRAMAS[],3,FALSE),0)</f>
        <v>675517840.109828</v>
      </c>
      <c r="AM1919" s="246">
        <f>IFERROR(VLOOKUP(K1919,PROGRAMAS[],3,FALSE),0)</f>
        <v>2392571243.5584412</v>
      </c>
      <c r="AN1919" s="246">
        <f>IFERROR(VLOOKUP(L1919,PROGRAMAS[],3,FALSE),0)</f>
        <v>118617452.52510804</v>
      </c>
      <c r="AO1919" s="246">
        <f>IFERROR(VLOOKUP(M1919,PROGRAMAS[],3,FALSE),0)</f>
        <v>2406564599.0319901</v>
      </c>
      <c r="AP1919" s="246">
        <f>IFERROR(VLOOKUP(N1919,PROGRAMAS[],3,FALSE),0)</f>
        <v>948595847.09039903</v>
      </c>
      <c r="AQ1919" s="246">
        <f>IFERROR(VLOOKUP(O1919,PROGRAMAS[],3,FALSE),0)</f>
        <v>0</v>
      </c>
      <c r="AR1919" s="246">
        <f>IFERROR(VLOOKUP(P1919,PROGRAMAS[],3,FALSE),0)</f>
        <v>0</v>
      </c>
      <c r="AS1919" s="246">
        <f>IFERROR(VLOOKUP(Q1919,PROGRAMAS[],3,FALSE),0)</f>
        <v>0</v>
      </c>
      <c r="AT1919" s="246">
        <f>IFERROR(VLOOKUP(D1919,VOL_REC[],2,FALSE),0)</f>
        <v>0</v>
      </c>
      <c r="AU1919" s="246">
        <f>IFERROR(VLOOKUP(E1919,VOL_REC[],2,FALSE),0)</f>
        <v>0</v>
      </c>
      <c r="AV1919" s="246">
        <f>IFERROR(VLOOKUP(F1919,VOL_REC[],2,FALSE),0)</f>
        <v>11089674.200000001</v>
      </c>
      <c r="AW1919" s="246">
        <f>IFERROR(VLOOKUP(G1919,VOL_REC[],2,FALSE),0)</f>
        <v>90439.55</v>
      </c>
      <c r="AX1919" s="246">
        <f>IFERROR(VLOOKUP(H1919,VOL_REC[],2,FALSE),0)</f>
        <v>15540036.397699751</v>
      </c>
      <c r="AY1919" s="246">
        <f>IFERROR(VLOOKUP(I1919,VOL_REC[],2,FALSE),0)</f>
        <v>3761786</v>
      </c>
      <c r="AZ1919" s="246">
        <f>IFERROR(VLOOKUP(J1919,VOL_REC[],2,FALSE),0)</f>
        <v>240696.79238099116</v>
      </c>
      <c r="BA1919" s="246">
        <f>IFERROR(VLOOKUP(K1919,VOL_REC[],2,FALSE),0)</f>
        <v>663244.80000000016</v>
      </c>
      <c r="BB1919" s="246">
        <f>IFERROR(VLOOKUP(L1919,VOL_REC[],2,FALSE),0)</f>
        <v>105072</v>
      </c>
      <c r="BC1919" s="246">
        <f>IFERROR(VLOOKUP(M1919,VOL_REC[],2,FALSE),0)</f>
        <v>1072354.9981737854</v>
      </c>
      <c r="BD1919" s="246">
        <f>IFERROR(VLOOKUP(N1919,VOL_REC[],2,FALSE),0)</f>
        <v>740113.98115702497</v>
      </c>
      <c r="BE1919" s="246">
        <f>IFERROR(VLOOKUP(O1919,VOL_REC[],2,FALSE),0)</f>
        <v>0</v>
      </c>
      <c r="BF1919" s="246">
        <f>IFERROR(VLOOKUP(P1919,VOL_REC[],2,FALSE),0)</f>
        <v>0</v>
      </c>
      <c r="BG1919" s="246">
        <f>IFERROR(VLOOKUP(Q1919,VOL_REC[],2,FALSE),0)</f>
        <v>0</v>
      </c>
      <c r="BH1919" s="1710">
        <f t="shared" si="120"/>
        <v>30528564045.341354</v>
      </c>
      <c r="BI1919" s="1710">
        <f t="shared" si="121"/>
        <v>27894136899.444733</v>
      </c>
      <c r="BJ1919" s="1711">
        <f t="shared" si="122"/>
        <v>33303418.719411552</v>
      </c>
      <c r="BK1919" s="1711">
        <f t="shared" si="123"/>
        <v>1.09444375910943</v>
      </c>
      <c r="BL1919">
        <f>BJ1919</f>
        <v>33303418.719411552</v>
      </c>
      <c r="BO1919">
        <f>BL1919</f>
        <v>33303418.719411552</v>
      </c>
    </row>
    <row r="1920" spans="3:67" x14ac:dyDescent="0.25">
      <c r="C1920" s="246" t="s">
        <v>3270</v>
      </c>
      <c r="D1920" s="246">
        <v>1</v>
      </c>
      <c r="E1920" s="246">
        <v>2</v>
      </c>
      <c r="F1920" s="246">
        <v>3</v>
      </c>
      <c r="G1920" s="246">
        <v>4</v>
      </c>
      <c r="H1920" s="246">
        <v>6</v>
      </c>
      <c r="I1920" s="246">
        <v>9</v>
      </c>
      <c r="J1920" s="246">
        <v>12</v>
      </c>
      <c r="K1920" s="246">
        <v>14</v>
      </c>
      <c r="L1920" s="246">
        <v>15</v>
      </c>
      <c r="M1920" s="246">
        <v>16</v>
      </c>
      <c r="N1920" s="246">
        <v>17</v>
      </c>
      <c r="O1920" s="246"/>
      <c r="P1920" s="246"/>
      <c r="Q1920" s="246"/>
      <c r="R1920" s="246">
        <f>IFERROR(VLOOKUP(D1920,PROGRAMAS[],2,FALSE),0)</f>
        <v>97037803.679377079</v>
      </c>
      <c r="S1920" s="246">
        <f>IFERROR(VLOOKUP(E1920,PROGRAMAS[],2,FALSE),0)</f>
        <v>640501509.6821388</v>
      </c>
      <c r="T1920" s="246">
        <f>IFERROR(VLOOKUP(F1920,PROGRAMAS[],2,FALSE),0)</f>
        <v>3062327798.1525245</v>
      </c>
      <c r="U1920" s="246">
        <f>IFERROR(VLOOKUP(G1920,PROGRAMAS[],2,FALSE),0)</f>
        <v>67697118.033011258</v>
      </c>
      <c r="V1920" s="246">
        <f>IFERROR(VLOOKUP(H1920,PROGRAMAS[],2,FALSE),0)</f>
        <v>6907648435.8447599</v>
      </c>
      <c r="W1920" s="246">
        <f>IFERROR(VLOOKUP(I1920,PROGRAMAS[],2,FALSE),0)</f>
        <v>6128579952.1618185</v>
      </c>
      <c r="X1920" s="246">
        <f>IFERROR(VLOOKUP(J1920,PROGRAMAS[],2,FALSE),0)</f>
        <v>764796700.79905891</v>
      </c>
      <c r="Y1920" s="246">
        <f>IFERROR(VLOOKUP(K1920,PROGRAMAS[],2,FALSE),0)</f>
        <v>54223862.645839565</v>
      </c>
      <c r="Z1920" s="246">
        <f>IFERROR(VLOOKUP(L1920,PROGRAMAS[],2,FALSE),0)</f>
        <v>122159672.96346797</v>
      </c>
      <c r="AA1920" s="246">
        <f>IFERROR(VLOOKUP(M1920,PROGRAMAS[],2,FALSE),0)</f>
        <v>7068496961.0436354</v>
      </c>
      <c r="AB1920" s="246">
        <f>IFERROR(VLOOKUP(N1920,PROGRAMAS[],2,FALSE),0)</f>
        <v>1892779498.5211046</v>
      </c>
      <c r="AC1920" s="246">
        <f>IFERROR(VLOOKUP(O1920,PROGRAMAS[],2,FALSE),0)</f>
        <v>0</v>
      </c>
      <c r="AD1920" s="246">
        <f>IFERROR(VLOOKUP(P1920,PROGRAMAS[],2,FALSE),0)</f>
        <v>0</v>
      </c>
      <c r="AE1920" s="246">
        <f>IFERROR(VLOOKUP(Q1920,PROGRAMAS[],2,FALSE),0)</f>
        <v>0</v>
      </c>
      <c r="AF1920" s="246">
        <f>IFERROR(VLOOKUP(D1920,PROGRAMAS[],3,FALSE),0)</f>
        <v>841888629.31080008</v>
      </c>
      <c r="AG1920" s="246">
        <f>IFERROR(VLOOKUP(E1920,PROGRAMAS[],3,FALSE),0)</f>
        <v>3848980803.1642323</v>
      </c>
      <c r="AH1920" s="246">
        <f>IFERROR(VLOOKUP(F1920,PROGRAMAS[],3,FALSE),0)</f>
        <v>3394901471.387517</v>
      </c>
      <c r="AI1920" s="246">
        <f>IFERROR(VLOOKUP(G1920,PROGRAMAS[],3,FALSE),0)</f>
        <v>125317226.95549992</v>
      </c>
      <c r="AJ1920" s="246">
        <f>IFERROR(VLOOKUP(H1920,PROGRAMAS[],3,FALSE),0)</f>
        <v>6129902208.7912121</v>
      </c>
      <c r="AK1920" s="246">
        <f>IFERROR(VLOOKUP(I1920,PROGRAMAS[],3,FALSE),0)</f>
        <v>7011279577.519702</v>
      </c>
      <c r="AL1920" s="246">
        <f>IFERROR(VLOOKUP(J1920,PROGRAMAS[],3,FALSE),0)</f>
        <v>675517840.109828</v>
      </c>
      <c r="AM1920" s="246">
        <f>IFERROR(VLOOKUP(K1920,PROGRAMAS[],3,FALSE),0)</f>
        <v>31865326.38096505</v>
      </c>
      <c r="AN1920" s="246">
        <f>IFERROR(VLOOKUP(L1920,PROGRAMAS[],3,FALSE),0)</f>
        <v>118617452.52510804</v>
      </c>
      <c r="AO1920" s="246">
        <f>IFERROR(VLOOKUP(M1920,PROGRAMAS[],3,FALSE),0)</f>
        <v>2406564599.0319901</v>
      </c>
      <c r="AP1920" s="246">
        <f>IFERROR(VLOOKUP(N1920,PROGRAMAS[],3,FALSE),0)</f>
        <v>948595847.09039903</v>
      </c>
      <c r="AQ1920" s="246">
        <f>IFERROR(VLOOKUP(O1920,PROGRAMAS[],3,FALSE),0)</f>
        <v>0</v>
      </c>
      <c r="AR1920" s="246">
        <f>IFERROR(VLOOKUP(P1920,PROGRAMAS[],3,FALSE),0)</f>
        <v>0</v>
      </c>
      <c r="AS1920" s="246">
        <f>IFERROR(VLOOKUP(Q1920,PROGRAMAS[],3,FALSE),0)</f>
        <v>0</v>
      </c>
      <c r="AT1920" s="246">
        <f>IFERROR(VLOOKUP(D1920,VOL_REC[],2,FALSE),0)</f>
        <v>0</v>
      </c>
      <c r="AU1920" s="246">
        <f>IFERROR(VLOOKUP(E1920,VOL_REC[],2,FALSE),0)</f>
        <v>0</v>
      </c>
      <c r="AV1920" s="246">
        <f>IFERROR(VLOOKUP(F1920,VOL_REC[],2,FALSE),0)</f>
        <v>11089674.200000001</v>
      </c>
      <c r="AW1920" s="246">
        <f>IFERROR(VLOOKUP(G1920,VOL_REC[],2,FALSE),0)</f>
        <v>90439.55</v>
      </c>
      <c r="AX1920" s="246">
        <f>IFERROR(VLOOKUP(H1920,VOL_REC[],2,FALSE),0)</f>
        <v>15540036.397699751</v>
      </c>
      <c r="AY1920" s="246">
        <f>IFERROR(VLOOKUP(I1920,VOL_REC[],2,FALSE),0)</f>
        <v>3761786</v>
      </c>
      <c r="AZ1920" s="246">
        <f>IFERROR(VLOOKUP(J1920,VOL_REC[],2,FALSE),0)</f>
        <v>240696.79238099116</v>
      </c>
      <c r="BA1920" s="246">
        <f>IFERROR(VLOOKUP(K1920,VOL_REC[],2,FALSE),0)</f>
        <v>17074.045034105649</v>
      </c>
      <c r="BB1920" s="246">
        <f>IFERROR(VLOOKUP(L1920,VOL_REC[],2,FALSE),0)</f>
        <v>105072</v>
      </c>
      <c r="BC1920" s="246">
        <f>IFERROR(VLOOKUP(M1920,VOL_REC[],2,FALSE),0)</f>
        <v>1072354.9981737854</v>
      </c>
      <c r="BD1920" s="246">
        <f>IFERROR(VLOOKUP(N1920,VOL_REC[],2,FALSE),0)</f>
        <v>740113.98115702497</v>
      </c>
      <c r="BE1920" s="246">
        <f>IFERROR(VLOOKUP(O1920,VOL_REC[],2,FALSE),0)</f>
        <v>0</v>
      </c>
      <c r="BF1920" s="246">
        <f>IFERROR(VLOOKUP(P1920,VOL_REC[],2,FALSE),0)</f>
        <v>0</v>
      </c>
      <c r="BG1920" s="246">
        <f>IFERROR(VLOOKUP(Q1920,VOL_REC[],2,FALSE),0)</f>
        <v>0</v>
      </c>
      <c r="BH1920" s="1710">
        <f t="shared" si="120"/>
        <v>26806249313.526737</v>
      </c>
      <c r="BI1920" s="1710">
        <f t="shared" si="121"/>
        <v>25533430982.267258</v>
      </c>
      <c r="BJ1920" s="1711">
        <f t="shared" si="122"/>
        <v>32657247.964445658</v>
      </c>
      <c r="BK1920" s="1711">
        <f t="shared" si="123"/>
        <v>1.0498490912617047</v>
      </c>
      <c r="BL1920">
        <f>BJ1920</f>
        <v>32657247.964445658</v>
      </c>
      <c r="BO1920">
        <f>BL1920</f>
        <v>32657247.964445658</v>
      </c>
    </row>
    <row r="1921" spans="3:67" x14ac:dyDescent="0.25">
      <c r="C1921" s="246" t="s">
        <v>3271</v>
      </c>
      <c r="D1921" s="246">
        <v>1</v>
      </c>
      <c r="E1921" s="246">
        <v>2</v>
      </c>
      <c r="F1921" s="246">
        <v>3</v>
      </c>
      <c r="G1921" s="246">
        <v>4</v>
      </c>
      <c r="H1921" s="246">
        <v>6</v>
      </c>
      <c r="I1921" s="246">
        <v>9</v>
      </c>
      <c r="J1921" s="246">
        <v>13</v>
      </c>
      <c r="K1921" s="246">
        <v>14</v>
      </c>
      <c r="L1921" s="246">
        <v>15</v>
      </c>
      <c r="M1921" s="246">
        <v>16</v>
      </c>
      <c r="N1921" s="246">
        <v>17</v>
      </c>
      <c r="O1921" s="246"/>
      <c r="P1921" s="246"/>
      <c r="Q1921" s="246"/>
      <c r="R1921" s="246">
        <f>IFERROR(VLOOKUP(D1921,PROGRAMAS[],2,FALSE),0)</f>
        <v>97037803.679377079</v>
      </c>
      <c r="S1921" s="246">
        <f>IFERROR(VLOOKUP(E1921,PROGRAMAS[],2,FALSE),0)</f>
        <v>640501509.6821388</v>
      </c>
      <c r="T1921" s="246">
        <f>IFERROR(VLOOKUP(F1921,PROGRAMAS[],2,FALSE),0)</f>
        <v>3062327798.1525245</v>
      </c>
      <c r="U1921" s="246">
        <f>IFERROR(VLOOKUP(G1921,PROGRAMAS[],2,FALSE),0)</f>
        <v>67697118.033011258</v>
      </c>
      <c r="V1921" s="246">
        <f>IFERROR(VLOOKUP(H1921,PROGRAMAS[],2,FALSE),0)</f>
        <v>6907648435.8447599</v>
      </c>
      <c r="W1921" s="246">
        <f>IFERROR(VLOOKUP(I1921,PROGRAMAS[],2,FALSE),0)</f>
        <v>6128579952.1618185</v>
      </c>
      <c r="X1921" s="246">
        <f>IFERROR(VLOOKUP(J1921,PROGRAMAS[],2,FALSE),0)</f>
        <v>3776538594.4604583</v>
      </c>
      <c r="Y1921" s="246">
        <f>IFERROR(VLOOKUP(K1921,PROGRAMAS[],2,FALSE),0)</f>
        <v>54223862.645839565</v>
      </c>
      <c r="Z1921" s="246">
        <f>IFERROR(VLOOKUP(L1921,PROGRAMAS[],2,FALSE),0)</f>
        <v>122159672.96346797</v>
      </c>
      <c r="AA1921" s="246">
        <f>IFERROR(VLOOKUP(M1921,PROGRAMAS[],2,FALSE),0)</f>
        <v>7068496961.0436354</v>
      </c>
      <c r="AB1921" s="246">
        <f>IFERROR(VLOOKUP(N1921,PROGRAMAS[],2,FALSE),0)</f>
        <v>1892779498.5211046</v>
      </c>
      <c r="AC1921" s="246">
        <f>IFERROR(VLOOKUP(O1921,PROGRAMAS[],2,FALSE),0)</f>
        <v>0</v>
      </c>
      <c r="AD1921" s="246">
        <f>IFERROR(VLOOKUP(P1921,PROGRAMAS[],2,FALSE),0)</f>
        <v>0</v>
      </c>
      <c r="AE1921" s="246">
        <f>IFERROR(VLOOKUP(Q1921,PROGRAMAS[],2,FALSE),0)</f>
        <v>0</v>
      </c>
      <c r="AF1921" s="246">
        <f>IFERROR(VLOOKUP(D1921,PROGRAMAS[],3,FALSE),0)</f>
        <v>841888629.31080008</v>
      </c>
      <c r="AG1921" s="246">
        <f>IFERROR(VLOOKUP(E1921,PROGRAMAS[],3,FALSE),0)</f>
        <v>3848980803.1642323</v>
      </c>
      <c r="AH1921" s="246">
        <f>IFERROR(VLOOKUP(F1921,PROGRAMAS[],3,FALSE),0)</f>
        <v>3394901471.387517</v>
      </c>
      <c r="AI1921" s="246">
        <f>IFERROR(VLOOKUP(G1921,PROGRAMAS[],3,FALSE),0)</f>
        <v>125317226.95549992</v>
      </c>
      <c r="AJ1921" s="246">
        <f>IFERROR(VLOOKUP(H1921,PROGRAMAS[],3,FALSE),0)</f>
        <v>6129902208.7912121</v>
      </c>
      <c r="AK1921" s="246">
        <f>IFERROR(VLOOKUP(I1921,PROGRAMAS[],3,FALSE),0)</f>
        <v>7011279577.519702</v>
      </c>
      <c r="AL1921" s="246">
        <f>IFERROR(VLOOKUP(J1921,PROGRAMAS[],3,FALSE),0)</f>
        <v>2392571243.5584412</v>
      </c>
      <c r="AM1921" s="246">
        <f>IFERROR(VLOOKUP(K1921,PROGRAMAS[],3,FALSE),0)</f>
        <v>31865326.38096505</v>
      </c>
      <c r="AN1921" s="246">
        <f>IFERROR(VLOOKUP(L1921,PROGRAMAS[],3,FALSE),0)</f>
        <v>118617452.52510804</v>
      </c>
      <c r="AO1921" s="246">
        <f>IFERROR(VLOOKUP(M1921,PROGRAMAS[],3,FALSE),0)</f>
        <v>2406564599.0319901</v>
      </c>
      <c r="AP1921" s="246">
        <f>IFERROR(VLOOKUP(N1921,PROGRAMAS[],3,FALSE),0)</f>
        <v>948595847.09039903</v>
      </c>
      <c r="AQ1921" s="246">
        <f>IFERROR(VLOOKUP(O1921,PROGRAMAS[],3,FALSE),0)</f>
        <v>0</v>
      </c>
      <c r="AR1921" s="246">
        <f>IFERROR(VLOOKUP(P1921,PROGRAMAS[],3,FALSE),0)</f>
        <v>0</v>
      </c>
      <c r="AS1921" s="246">
        <f>IFERROR(VLOOKUP(Q1921,PROGRAMAS[],3,FALSE),0)</f>
        <v>0</v>
      </c>
      <c r="AT1921" s="246">
        <f>IFERROR(VLOOKUP(D1921,VOL_REC[],2,FALSE),0)</f>
        <v>0</v>
      </c>
      <c r="AU1921" s="246">
        <f>IFERROR(VLOOKUP(E1921,VOL_REC[],2,FALSE),0)</f>
        <v>0</v>
      </c>
      <c r="AV1921" s="246">
        <f>IFERROR(VLOOKUP(F1921,VOL_REC[],2,FALSE),0)</f>
        <v>11089674.200000001</v>
      </c>
      <c r="AW1921" s="246">
        <f>IFERROR(VLOOKUP(G1921,VOL_REC[],2,FALSE),0)</f>
        <v>90439.55</v>
      </c>
      <c r="AX1921" s="246">
        <f>IFERROR(VLOOKUP(H1921,VOL_REC[],2,FALSE),0)</f>
        <v>15540036.397699751</v>
      </c>
      <c r="AY1921" s="246">
        <f>IFERROR(VLOOKUP(I1921,VOL_REC[],2,FALSE),0)</f>
        <v>3761786</v>
      </c>
      <c r="AZ1921" s="246">
        <f>IFERROR(VLOOKUP(J1921,VOL_REC[],2,FALSE),0)</f>
        <v>663244.80000000016</v>
      </c>
      <c r="BA1921" s="246">
        <f>IFERROR(VLOOKUP(K1921,VOL_REC[],2,FALSE),0)</f>
        <v>17074.045034105649</v>
      </c>
      <c r="BB1921" s="246">
        <f>IFERROR(VLOOKUP(L1921,VOL_REC[],2,FALSE),0)</f>
        <v>105072</v>
      </c>
      <c r="BC1921" s="246">
        <f>IFERROR(VLOOKUP(M1921,VOL_REC[],2,FALSE),0)</f>
        <v>1072354.9981737854</v>
      </c>
      <c r="BD1921" s="246">
        <f>IFERROR(VLOOKUP(N1921,VOL_REC[],2,FALSE),0)</f>
        <v>740113.98115702497</v>
      </c>
      <c r="BE1921" s="246">
        <f>IFERROR(VLOOKUP(O1921,VOL_REC[],2,FALSE),0)</f>
        <v>0</v>
      </c>
      <c r="BF1921" s="246">
        <f>IFERROR(VLOOKUP(P1921,VOL_REC[],2,FALSE),0)</f>
        <v>0</v>
      </c>
      <c r="BG1921" s="246">
        <f>IFERROR(VLOOKUP(Q1921,VOL_REC[],2,FALSE),0)</f>
        <v>0</v>
      </c>
      <c r="BH1921" s="1710">
        <f t="shared" si="120"/>
        <v>29817991207.188133</v>
      </c>
      <c r="BI1921" s="1710">
        <f t="shared" si="121"/>
        <v>27250484385.71587</v>
      </c>
      <c r="BJ1921" s="1711">
        <f t="shared" si="122"/>
        <v>33079795.972064666</v>
      </c>
      <c r="BK1921" s="1711">
        <f t="shared" si="123"/>
        <v>1.0942187590183936</v>
      </c>
      <c r="BL1921">
        <f>BJ1921</f>
        <v>33079795.972064666</v>
      </c>
      <c r="BO1921">
        <f>BL1921</f>
        <v>33079795.972064666</v>
      </c>
    </row>
    <row r="1922" spans="3:67" x14ac:dyDescent="0.25">
      <c r="C1922" s="246" t="s">
        <v>3272</v>
      </c>
      <c r="D1922" s="246">
        <v>1</v>
      </c>
      <c r="E1922" s="246">
        <v>2</v>
      </c>
      <c r="F1922" s="246">
        <v>3</v>
      </c>
      <c r="G1922" s="246">
        <v>4</v>
      </c>
      <c r="H1922" s="246">
        <v>6</v>
      </c>
      <c r="I1922" s="246">
        <v>10</v>
      </c>
      <c r="J1922" s="246">
        <v>12</v>
      </c>
      <c r="K1922" s="246">
        <v>13</v>
      </c>
      <c r="L1922" s="246">
        <v>14</v>
      </c>
      <c r="M1922" s="246">
        <v>15</v>
      </c>
      <c r="N1922" s="246">
        <v>16</v>
      </c>
      <c r="O1922" s="246"/>
      <c r="P1922" s="246"/>
      <c r="Q1922" s="246"/>
      <c r="R1922" s="246">
        <f>IFERROR(VLOOKUP(D1922,PROGRAMAS[],2,FALSE),0)</f>
        <v>97037803.679377079</v>
      </c>
      <c r="S1922" s="246">
        <f>IFERROR(VLOOKUP(E1922,PROGRAMAS[],2,FALSE),0)</f>
        <v>640501509.6821388</v>
      </c>
      <c r="T1922" s="246">
        <f>IFERROR(VLOOKUP(F1922,PROGRAMAS[],2,FALSE),0)</f>
        <v>3062327798.1525245</v>
      </c>
      <c r="U1922" s="246">
        <f>IFERROR(VLOOKUP(G1922,PROGRAMAS[],2,FALSE),0)</f>
        <v>67697118.033011258</v>
      </c>
      <c r="V1922" s="246">
        <f>IFERROR(VLOOKUP(H1922,PROGRAMAS[],2,FALSE),0)</f>
        <v>6907648435.8447599</v>
      </c>
      <c r="W1922" s="246">
        <f>IFERROR(VLOOKUP(I1922,PROGRAMAS[],2,FALSE),0)</f>
        <v>4635315027.8751087</v>
      </c>
      <c r="X1922" s="246">
        <f>IFERROR(VLOOKUP(J1922,PROGRAMAS[],2,FALSE),0)</f>
        <v>764796700.79905891</v>
      </c>
      <c r="Y1922" s="246">
        <f>IFERROR(VLOOKUP(K1922,PROGRAMAS[],2,FALSE),0)</f>
        <v>3776538594.4604583</v>
      </c>
      <c r="Z1922" s="246">
        <f>IFERROR(VLOOKUP(L1922,PROGRAMAS[],2,FALSE),0)</f>
        <v>54223862.645839565</v>
      </c>
      <c r="AA1922" s="246">
        <f>IFERROR(VLOOKUP(M1922,PROGRAMAS[],2,FALSE),0)</f>
        <v>122159672.96346797</v>
      </c>
      <c r="AB1922" s="246">
        <f>IFERROR(VLOOKUP(N1922,PROGRAMAS[],2,FALSE),0)</f>
        <v>7068496961.0436354</v>
      </c>
      <c r="AC1922" s="246">
        <f>IFERROR(VLOOKUP(O1922,PROGRAMAS[],2,FALSE),0)</f>
        <v>0</v>
      </c>
      <c r="AD1922" s="246">
        <f>IFERROR(VLOOKUP(P1922,PROGRAMAS[],2,FALSE),0)</f>
        <v>0</v>
      </c>
      <c r="AE1922" s="246">
        <f>IFERROR(VLOOKUP(Q1922,PROGRAMAS[],2,FALSE),0)</f>
        <v>0</v>
      </c>
      <c r="AF1922" s="246">
        <f>IFERROR(VLOOKUP(D1922,PROGRAMAS[],3,FALSE),0)</f>
        <v>841888629.31080008</v>
      </c>
      <c r="AG1922" s="246">
        <f>IFERROR(VLOOKUP(E1922,PROGRAMAS[],3,FALSE),0)</f>
        <v>3848980803.1642323</v>
      </c>
      <c r="AH1922" s="246">
        <f>IFERROR(VLOOKUP(F1922,PROGRAMAS[],3,FALSE),0)</f>
        <v>3394901471.387517</v>
      </c>
      <c r="AI1922" s="246">
        <f>IFERROR(VLOOKUP(G1922,PROGRAMAS[],3,FALSE),0)</f>
        <v>125317226.95549992</v>
      </c>
      <c r="AJ1922" s="246">
        <f>IFERROR(VLOOKUP(H1922,PROGRAMAS[],3,FALSE),0)</f>
        <v>6129902208.7912121</v>
      </c>
      <c r="AK1922" s="246">
        <f>IFERROR(VLOOKUP(I1922,PROGRAMAS[],3,FALSE),0)</f>
        <v>4099471734.9978786</v>
      </c>
      <c r="AL1922" s="246">
        <f>IFERROR(VLOOKUP(J1922,PROGRAMAS[],3,FALSE),0)</f>
        <v>675517840.109828</v>
      </c>
      <c r="AM1922" s="246">
        <f>IFERROR(VLOOKUP(K1922,PROGRAMAS[],3,FALSE),0)</f>
        <v>2392571243.5584412</v>
      </c>
      <c r="AN1922" s="246">
        <f>IFERROR(VLOOKUP(L1922,PROGRAMAS[],3,FALSE),0)</f>
        <v>31865326.38096505</v>
      </c>
      <c r="AO1922" s="246">
        <f>IFERROR(VLOOKUP(M1922,PROGRAMAS[],3,FALSE),0)</f>
        <v>118617452.52510804</v>
      </c>
      <c r="AP1922" s="246">
        <f>IFERROR(VLOOKUP(N1922,PROGRAMAS[],3,FALSE),0)</f>
        <v>2406564599.0319901</v>
      </c>
      <c r="AQ1922" s="246">
        <f>IFERROR(VLOOKUP(O1922,PROGRAMAS[],3,FALSE),0)</f>
        <v>0</v>
      </c>
      <c r="AR1922" s="246">
        <f>IFERROR(VLOOKUP(P1922,PROGRAMAS[],3,FALSE),0)</f>
        <v>0</v>
      </c>
      <c r="AS1922" s="246">
        <f>IFERROR(VLOOKUP(Q1922,PROGRAMAS[],3,FALSE),0)</f>
        <v>0</v>
      </c>
      <c r="AT1922" s="246">
        <f>IFERROR(VLOOKUP(D1922,VOL_REC[],2,FALSE),0)</f>
        <v>0</v>
      </c>
      <c r="AU1922" s="246">
        <f>IFERROR(VLOOKUP(E1922,VOL_REC[],2,FALSE),0)</f>
        <v>0</v>
      </c>
      <c r="AV1922" s="246">
        <f>IFERROR(VLOOKUP(F1922,VOL_REC[],2,FALSE),0)</f>
        <v>11089674.200000001</v>
      </c>
      <c r="AW1922" s="246">
        <f>IFERROR(VLOOKUP(G1922,VOL_REC[],2,FALSE),0)</f>
        <v>90439.55</v>
      </c>
      <c r="AX1922" s="246">
        <f>IFERROR(VLOOKUP(H1922,VOL_REC[],2,FALSE),0)</f>
        <v>15540036.397699751</v>
      </c>
      <c r="AY1922" s="246">
        <f>IFERROR(VLOOKUP(I1922,VOL_REC[],2,FALSE),0)</f>
        <v>1812240</v>
      </c>
      <c r="AZ1922" s="246">
        <f>IFERROR(VLOOKUP(J1922,VOL_REC[],2,FALSE),0)</f>
        <v>240696.79238099116</v>
      </c>
      <c r="BA1922" s="246">
        <f>IFERROR(VLOOKUP(K1922,VOL_REC[],2,FALSE),0)</f>
        <v>663244.80000000016</v>
      </c>
      <c r="BB1922" s="246">
        <f>IFERROR(VLOOKUP(L1922,VOL_REC[],2,FALSE),0)</f>
        <v>17074.045034105649</v>
      </c>
      <c r="BC1922" s="246">
        <f>IFERROR(VLOOKUP(M1922,VOL_REC[],2,FALSE),0)</f>
        <v>105072</v>
      </c>
      <c r="BD1922" s="246">
        <f>IFERROR(VLOOKUP(N1922,VOL_REC[],2,FALSE),0)</f>
        <v>1072354.9981737854</v>
      </c>
      <c r="BE1922" s="246">
        <f>IFERROR(VLOOKUP(O1922,VOL_REC[],2,FALSE),0)</f>
        <v>0</v>
      </c>
      <c r="BF1922" s="246">
        <f>IFERROR(VLOOKUP(P1922,VOL_REC[],2,FALSE),0)</f>
        <v>0</v>
      </c>
      <c r="BG1922" s="246">
        <f>IFERROR(VLOOKUP(Q1922,VOL_REC[],2,FALSE),0)</f>
        <v>0</v>
      </c>
      <c r="BH1922" s="1710">
        <f t="shared" ref="BH1922:BH1985" si="124">SUM(R1922:AE1922)</f>
        <v>27196743485.179379</v>
      </c>
      <c r="BI1922" s="1710">
        <f t="shared" ref="BI1922:BI1985" si="125">SUM(AF1922:AS1922)</f>
        <v>24065598536.213474</v>
      </c>
      <c r="BJ1922" s="1711">
        <f t="shared" ref="BJ1922:BJ1985" si="126">SUM(AT1922:BG1922)</f>
        <v>30630832.783288635</v>
      </c>
      <c r="BK1922" s="1711">
        <f t="shared" ref="BK1922:BK1985" si="127">IFERROR(BH1922/BI1922,0)</f>
        <v>1.1301087502251073</v>
      </c>
      <c r="BL1922">
        <f>BJ1922</f>
        <v>30630832.783288635</v>
      </c>
      <c r="BO1922">
        <f>BL1922</f>
        <v>30630832.783288635</v>
      </c>
    </row>
    <row r="1923" spans="3:67" x14ac:dyDescent="0.25">
      <c r="C1923" s="246" t="s">
        <v>3273</v>
      </c>
      <c r="D1923" s="246">
        <v>1</v>
      </c>
      <c r="E1923" s="246">
        <v>2</v>
      </c>
      <c r="F1923" s="246">
        <v>3</v>
      </c>
      <c r="G1923" s="246">
        <v>4</v>
      </c>
      <c r="H1923" s="246">
        <v>6</v>
      </c>
      <c r="I1923" s="246">
        <v>10</v>
      </c>
      <c r="J1923" s="246">
        <v>12</v>
      </c>
      <c r="K1923" s="246">
        <v>13</v>
      </c>
      <c r="L1923" s="246">
        <v>14</v>
      </c>
      <c r="M1923" s="246">
        <v>15</v>
      </c>
      <c r="N1923" s="246">
        <v>17</v>
      </c>
      <c r="O1923" s="246"/>
      <c r="P1923" s="246"/>
      <c r="Q1923" s="246"/>
      <c r="R1923" s="246">
        <f>IFERROR(VLOOKUP(D1923,PROGRAMAS[],2,FALSE),0)</f>
        <v>97037803.679377079</v>
      </c>
      <c r="S1923" s="246">
        <f>IFERROR(VLOOKUP(E1923,PROGRAMAS[],2,FALSE),0)</f>
        <v>640501509.6821388</v>
      </c>
      <c r="T1923" s="246">
        <f>IFERROR(VLOOKUP(F1923,PROGRAMAS[],2,FALSE),0)</f>
        <v>3062327798.1525245</v>
      </c>
      <c r="U1923" s="246">
        <f>IFERROR(VLOOKUP(G1923,PROGRAMAS[],2,FALSE),0)</f>
        <v>67697118.033011258</v>
      </c>
      <c r="V1923" s="246">
        <f>IFERROR(VLOOKUP(H1923,PROGRAMAS[],2,FALSE),0)</f>
        <v>6907648435.8447599</v>
      </c>
      <c r="W1923" s="246">
        <f>IFERROR(VLOOKUP(I1923,PROGRAMAS[],2,FALSE),0)</f>
        <v>4635315027.8751087</v>
      </c>
      <c r="X1923" s="246">
        <f>IFERROR(VLOOKUP(J1923,PROGRAMAS[],2,FALSE),0)</f>
        <v>764796700.79905891</v>
      </c>
      <c r="Y1923" s="246">
        <f>IFERROR(VLOOKUP(K1923,PROGRAMAS[],2,FALSE),0)</f>
        <v>3776538594.4604583</v>
      </c>
      <c r="Z1923" s="246">
        <f>IFERROR(VLOOKUP(L1923,PROGRAMAS[],2,FALSE),0)</f>
        <v>54223862.645839565</v>
      </c>
      <c r="AA1923" s="246">
        <f>IFERROR(VLOOKUP(M1923,PROGRAMAS[],2,FALSE),0)</f>
        <v>122159672.96346797</v>
      </c>
      <c r="AB1923" s="246">
        <f>IFERROR(VLOOKUP(N1923,PROGRAMAS[],2,FALSE),0)</f>
        <v>1892779498.5211046</v>
      </c>
      <c r="AC1923" s="246">
        <f>IFERROR(VLOOKUP(O1923,PROGRAMAS[],2,FALSE),0)</f>
        <v>0</v>
      </c>
      <c r="AD1923" s="246">
        <f>IFERROR(VLOOKUP(P1923,PROGRAMAS[],2,FALSE),0)</f>
        <v>0</v>
      </c>
      <c r="AE1923" s="246">
        <f>IFERROR(VLOOKUP(Q1923,PROGRAMAS[],2,FALSE),0)</f>
        <v>0</v>
      </c>
      <c r="AF1923" s="246">
        <f>IFERROR(VLOOKUP(D1923,PROGRAMAS[],3,FALSE),0)</f>
        <v>841888629.31080008</v>
      </c>
      <c r="AG1923" s="246">
        <f>IFERROR(VLOOKUP(E1923,PROGRAMAS[],3,FALSE),0)</f>
        <v>3848980803.1642323</v>
      </c>
      <c r="AH1923" s="246">
        <f>IFERROR(VLOOKUP(F1923,PROGRAMAS[],3,FALSE),0)</f>
        <v>3394901471.387517</v>
      </c>
      <c r="AI1923" s="246">
        <f>IFERROR(VLOOKUP(G1923,PROGRAMAS[],3,FALSE),0)</f>
        <v>125317226.95549992</v>
      </c>
      <c r="AJ1923" s="246">
        <f>IFERROR(VLOOKUP(H1923,PROGRAMAS[],3,FALSE),0)</f>
        <v>6129902208.7912121</v>
      </c>
      <c r="AK1923" s="246">
        <f>IFERROR(VLOOKUP(I1923,PROGRAMAS[],3,FALSE),0)</f>
        <v>4099471734.9978786</v>
      </c>
      <c r="AL1923" s="246">
        <f>IFERROR(VLOOKUP(J1923,PROGRAMAS[],3,FALSE),0)</f>
        <v>675517840.109828</v>
      </c>
      <c r="AM1923" s="246">
        <f>IFERROR(VLOOKUP(K1923,PROGRAMAS[],3,FALSE),0)</f>
        <v>2392571243.5584412</v>
      </c>
      <c r="AN1923" s="246">
        <f>IFERROR(VLOOKUP(L1923,PROGRAMAS[],3,FALSE),0)</f>
        <v>31865326.38096505</v>
      </c>
      <c r="AO1923" s="246">
        <f>IFERROR(VLOOKUP(M1923,PROGRAMAS[],3,FALSE),0)</f>
        <v>118617452.52510804</v>
      </c>
      <c r="AP1923" s="246">
        <f>IFERROR(VLOOKUP(N1923,PROGRAMAS[],3,FALSE),0)</f>
        <v>948595847.09039903</v>
      </c>
      <c r="AQ1923" s="246">
        <f>IFERROR(VLOOKUP(O1923,PROGRAMAS[],3,FALSE),0)</f>
        <v>0</v>
      </c>
      <c r="AR1923" s="246">
        <f>IFERROR(VLOOKUP(P1923,PROGRAMAS[],3,FALSE),0)</f>
        <v>0</v>
      </c>
      <c r="AS1923" s="246">
        <f>IFERROR(VLOOKUP(Q1923,PROGRAMAS[],3,FALSE),0)</f>
        <v>0</v>
      </c>
      <c r="AT1923" s="246">
        <f>IFERROR(VLOOKUP(D1923,VOL_REC[],2,FALSE),0)</f>
        <v>0</v>
      </c>
      <c r="AU1923" s="246">
        <f>IFERROR(VLOOKUP(E1923,VOL_REC[],2,FALSE),0)</f>
        <v>0</v>
      </c>
      <c r="AV1923" s="246">
        <f>IFERROR(VLOOKUP(F1923,VOL_REC[],2,FALSE),0)</f>
        <v>11089674.200000001</v>
      </c>
      <c r="AW1923" s="246">
        <f>IFERROR(VLOOKUP(G1923,VOL_REC[],2,FALSE),0)</f>
        <v>90439.55</v>
      </c>
      <c r="AX1923" s="246">
        <f>IFERROR(VLOOKUP(H1923,VOL_REC[],2,FALSE),0)</f>
        <v>15540036.397699751</v>
      </c>
      <c r="AY1923" s="246">
        <f>IFERROR(VLOOKUP(I1923,VOL_REC[],2,FALSE),0)</f>
        <v>1812240</v>
      </c>
      <c r="AZ1923" s="246">
        <f>IFERROR(VLOOKUP(J1923,VOL_REC[],2,FALSE),0)</f>
        <v>240696.79238099116</v>
      </c>
      <c r="BA1923" s="246">
        <f>IFERROR(VLOOKUP(K1923,VOL_REC[],2,FALSE),0)</f>
        <v>663244.80000000016</v>
      </c>
      <c r="BB1923" s="246">
        <f>IFERROR(VLOOKUP(L1923,VOL_REC[],2,FALSE),0)</f>
        <v>17074.045034105649</v>
      </c>
      <c r="BC1923" s="246">
        <f>IFERROR(VLOOKUP(M1923,VOL_REC[],2,FALSE),0)</f>
        <v>105072</v>
      </c>
      <c r="BD1923" s="246">
        <f>IFERROR(VLOOKUP(N1923,VOL_REC[],2,FALSE),0)</f>
        <v>740113.98115702497</v>
      </c>
      <c r="BE1923" s="246">
        <f>IFERROR(VLOOKUP(O1923,VOL_REC[],2,FALSE),0)</f>
        <v>0</v>
      </c>
      <c r="BF1923" s="246">
        <f>IFERROR(VLOOKUP(P1923,VOL_REC[],2,FALSE),0)</f>
        <v>0</v>
      </c>
      <c r="BG1923" s="246">
        <f>IFERROR(VLOOKUP(Q1923,VOL_REC[],2,FALSE),0)</f>
        <v>0</v>
      </c>
      <c r="BH1923" s="1710">
        <f t="shared" si="124"/>
        <v>22021026022.656845</v>
      </c>
      <c r="BI1923" s="1710">
        <f t="shared" si="125"/>
        <v>22607629784.271885</v>
      </c>
      <c r="BJ1923" s="1711">
        <f t="shared" si="126"/>
        <v>30298591.766271874</v>
      </c>
      <c r="BK1923" s="1711">
        <f t="shared" si="127"/>
        <v>0.97405284113316737</v>
      </c>
    </row>
    <row r="1924" spans="3:67" x14ac:dyDescent="0.25">
      <c r="C1924" s="246" t="s">
        <v>3274</v>
      </c>
      <c r="D1924" s="246">
        <v>1</v>
      </c>
      <c r="E1924" s="246">
        <v>2</v>
      </c>
      <c r="F1924" s="246">
        <v>3</v>
      </c>
      <c r="G1924" s="246">
        <v>4</v>
      </c>
      <c r="H1924" s="246">
        <v>6</v>
      </c>
      <c r="I1924" s="246">
        <v>10</v>
      </c>
      <c r="J1924" s="246">
        <v>12</v>
      </c>
      <c r="K1924" s="246">
        <v>13</v>
      </c>
      <c r="L1924" s="246">
        <v>14</v>
      </c>
      <c r="M1924" s="246">
        <v>16</v>
      </c>
      <c r="N1924" s="246">
        <v>17</v>
      </c>
      <c r="O1924" s="246"/>
      <c r="P1924" s="246"/>
      <c r="Q1924" s="246"/>
      <c r="R1924" s="246">
        <f>IFERROR(VLOOKUP(D1924,PROGRAMAS[],2,FALSE),0)</f>
        <v>97037803.679377079</v>
      </c>
      <c r="S1924" s="246">
        <f>IFERROR(VLOOKUP(E1924,PROGRAMAS[],2,FALSE),0)</f>
        <v>640501509.6821388</v>
      </c>
      <c r="T1924" s="246">
        <f>IFERROR(VLOOKUP(F1924,PROGRAMAS[],2,FALSE),0)</f>
        <v>3062327798.1525245</v>
      </c>
      <c r="U1924" s="246">
        <f>IFERROR(VLOOKUP(G1924,PROGRAMAS[],2,FALSE),0)</f>
        <v>67697118.033011258</v>
      </c>
      <c r="V1924" s="246">
        <f>IFERROR(VLOOKUP(H1924,PROGRAMAS[],2,FALSE),0)</f>
        <v>6907648435.8447599</v>
      </c>
      <c r="W1924" s="246">
        <f>IFERROR(VLOOKUP(I1924,PROGRAMAS[],2,FALSE),0)</f>
        <v>4635315027.8751087</v>
      </c>
      <c r="X1924" s="246">
        <f>IFERROR(VLOOKUP(J1924,PROGRAMAS[],2,FALSE),0)</f>
        <v>764796700.79905891</v>
      </c>
      <c r="Y1924" s="246">
        <f>IFERROR(VLOOKUP(K1924,PROGRAMAS[],2,FALSE),0)</f>
        <v>3776538594.4604583</v>
      </c>
      <c r="Z1924" s="246">
        <f>IFERROR(VLOOKUP(L1924,PROGRAMAS[],2,FALSE),0)</f>
        <v>54223862.645839565</v>
      </c>
      <c r="AA1924" s="246">
        <f>IFERROR(VLOOKUP(M1924,PROGRAMAS[],2,FALSE),0)</f>
        <v>7068496961.0436354</v>
      </c>
      <c r="AB1924" s="246">
        <f>IFERROR(VLOOKUP(N1924,PROGRAMAS[],2,FALSE),0)</f>
        <v>1892779498.5211046</v>
      </c>
      <c r="AC1924" s="246">
        <f>IFERROR(VLOOKUP(O1924,PROGRAMAS[],2,FALSE),0)</f>
        <v>0</v>
      </c>
      <c r="AD1924" s="246">
        <f>IFERROR(VLOOKUP(P1924,PROGRAMAS[],2,FALSE),0)</f>
        <v>0</v>
      </c>
      <c r="AE1924" s="246">
        <f>IFERROR(VLOOKUP(Q1924,PROGRAMAS[],2,FALSE),0)</f>
        <v>0</v>
      </c>
      <c r="AF1924" s="246">
        <f>IFERROR(VLOOKUP(D1924,PROGRAMAS[],3,FALSE),0)</f>
        <v>841888629.31080008</v>
      </c>
      <c r="AG1924" s="246">
        <f>IFERROR(VLOOKUP(E1924,PROGRAMAS[],3,FALSE),0)</f>
        <v>3848980803.1642323</v>
      </c>
      <c r="AH1924" s="246">
        <f>IFERROR(VLOOKUP(F1924,PROGRAMAS[],3,FALSE),0)</f>
        <v>3394901471.387517</v>
      </c>
      <c r="AI1924" s="246">
        <f>IFERROR(VLOOKUP(G1924,PROGRAMAS[],3,FALSE),0)</f>
        <v>125317226.95549992</v>
      </c>
      <c r="AJ1924" s="246">
        <f>IFERROR(VLOOKUP(H1924,PROGRAMAS[],3,FALSE),0)</f>
        <v>6129902208.7912121</v>
      </c>
      <c r="AK1924" s="246">
        <f>IFERROR(VLOOKUP(I1924,PROGRAMAS[],3,FALSE),0)</f>
        <v>4099471734.9978786</v>
      </c>
      <c r="AL1924" s="246">
        <f>IFERROR(VLOOKUP(J1924,PROGRAMAS[],3,FALSE),0)</f>
        <v>675517840.109828</v>
      </c>
      <c r="AM1924" s="246">
        <f>IFERROR(VLOOKUP(K1924,PROGRAMAS[],3,FALSE),0)</f>
        <v>2392571243.5584412</v>
      </c>
      <c r="AN1924" s="246">
        <f>IFERROR(VLOOKUP(L1924,PROGRAMAS[],3,FALSE),0)</f>
        <v>31865326.38096505</v>
      </c>
      <c r="AO1924" s="246">
        <f>IFERROR(VLOOKUP(M1924,PROGRAMAS[],3,FALSE),0)</f>
        <v>2406564599.0319901</v>
      </c>
      <c r="AP1924" s="246">
        <f>IFERROR(VLOOKUP(N1924,PROGRAMAS[],3,FALSE),0)</f>
        <v>948595847.09039903</v>
      </c>
      <c r="AQ1924" s="246">
        <f>IFERROR(VLOOKUP(O1924,PROGRAMAS[],3,FALSE),0)</f>
        <v>0</v>
      </c>
      <c r="AR1924" s="246">
        <f>IFERROR(VLOOKUP(P1924,PROGRAMAS[],3,FALSE),0)</f>
        <v>0</v>
      </c>
      <c r="AS1924" s="246">
        <f>IFERROR(VLOOKUP(Q1924,PROGRAMAS[],3,FALSE),0)</f>
        <v>0</v>
      </c>
      <c r="AT1924" s="246">
        <f>IFERROR(VLOOKUP(D1924,VOL_REC[],2,FALSE),0)</f>
        <v>0</v>
      </c>
      <c r="AU1924" s="246">
        <f>IFERROR(VLOOKUP(E1924,VOL_REC[],2,FALSE),0)</f>
        <v>0</v>
      </c>
      <c r="AV1924" s="246">
        <f>IFERROR(VLOOKUP(F1924,VOL_REC[],2,FALSE),0)</f>
        <v>11089674.200000001</v>
      </c>
      <c r="AW1924" s="246">
        <f>IFERROR(VLOOKUP(G1924,VOL_REC[],2,FALSE),0)</f>
        <v>90439.55</v>
      </c>
      <c r="AX1924" s="246">
        <f>IFERROR(VLOOKUP(H1924,VOL_REC[],2,FALSE),0)</f>
        <v>15540036.397699751</v>
      </c>
      <c r="AY1924" s="246">
        <f>IFERROR(VLOOKUP(I1924,VOL_REC[],2,FALSE),0)</f>
        <v>1812240</v>
      </c>
      <c r="AZ1924" s="246">
        <f>IFERROR(VLOOKUP(J1924,VOL_REC[],2,FALSE),0)</f>
        <v>240696.79238099116</v>
      </c>
      <c r="BA1924" s="246">
        <f>IFERROR(VLOOKUP(K1924,VOL_REC[],2,FALSE),0)</f>
        <v>663244.80000000016</v>
      </c>
      <c r="BB1924" s="246">
        <f>IFERROR(VLOOKUP(L1924,VOL_REC[],2,FALSE),0)</f>
        <v>17074.045034105649</v>
      </c>
      <c r="BC1924" s="246">
        <f>IFERROR(VLOOKUP(M1924,VOL_REC[],2,FALSE),0)</f>
        <v>1072354.9981737854</v>
      </c>
      <c r="BD1924" s="246">
        <f>IFERROR(VLOOKUP(N1924,VOL_REC[],2,FALSE),0)</f>
        <v>740113.98115702497</v>
      </c>
      <c r="BE1924" s="246">
        <f>IFERROR(VLOOKUP(O1924,VOL_REC[],2,FALSE),0)</f>
        <v>0</v>
      </c>
      <c r="BF1924" s="246">
        <f>IFERROR(VLOOKUP(P1924,VOL_REC[],2,FALSE),0)</f>
        <v>0</v>
      </c>
      <c r="BG1924" s="246">
        <f>IFERROR(VLOOKUP(Q1924,VOL_REC[],2,FALSE),0)</f>
        <v>0</v>
      </c>
      <c r="BH1924" s="1710">
        <f t="shared" si="124"/>
        <v>28967363310.737015</v>
      </c>
      <c r="BI1924" s="1710">
        <f t="shared" si="125"/>
        <v>24895576930.778767</v>
      </c>
      <c r="BJ1924" s="1711">
        <f t="shared" si="126"/>
        <v>31265874.764445659</v>
      </c>
      <c r="BK1924" s="1711">
        <f t="shared" si="127"/>
        <v>1.1635546101735139</v>
      </c>
      <c r="BL1924">
        <f t="shared" ref="BL1924:BL1929" si="128">BJ1924</f>
        <v>31265874.764445659</v>
      </c>
      <c r="BO1924">
        <f t="shared" ref="BO1924:BO1929" si="129">BL1924</f>
        <v>31265874.764445659</v>
      </c>
    </row>
    <row r="1925" spans="3:67" x14ac:dyDescent="0.25">
      <c r="C1925" s="246" t="s">
        <v>3275</v>
      </c>
      <c r="D1925" s="246">
        <v>1</v>
      </c>
      <c r="E1925" s="246">
        <v>2</v>
      </c>
      <c r="F1925" s="246">
        <v>3</v>
      </c>
      <c r="G1925" s="246">
        <v>4</v>
      </c>
      <c r="H1925" s="246">
        <v>6</v>
      </c>
      <c r="I1925" s="246">
        <v>10</v>
      </c>
      <c r="J1925" s="246">
        <v>12</v>
      </c>
      <c r="K1925" s="246">
        <v>13</v>
      </c>
      <c r="L1925" s="246">
        <v>15</v>
      </c>
      <c r="M1925" s="246">
        <v>16</v>
      </c>
      <c r="N1925" s="246">
        <v>17</v>
      </c>
      <c r="O1925" s="246"/>
      <c r="P1925" s="246"/>
      <c r="Q1925" s="246"/>
      <c r="R1925" s="246">
        <f>IFERROR(VLOOKUP(D1925,PROGRAMAS[],2,FALSE),0)</f>
        <v>97037803.679377079</v>
      </c>
      <c r="S1925" s="246">
        <f>IFERROR(VLOOKUP(E1925,PROGRAMAS[],2,FALSE),0)</f>
        <v>640501509.6821388</v>
      </c>
      <c r="T1925" s="246">
        <f>IFERROR(VLOOKUP(F1925,PROGRAMAS[],2,FALSE),0)</f>
        <v>3062327798.1525245</v>
      </c>
      <c r="U1925" s="246">
        <f>IFERROR(VLOOKUP(G1925,PROGRAMAS[],2,FALSE),0)</f>
        <v>67697118.033011258</v>
      </c>
      <c r="V1925" s="246">
        <f>IFERROR(VLOOKUP(H1925,PROGRAMAS[],2,FALSE),0)</f>
        <v>6907648435.8447599</v>
      </c>
      <c r="W1925" s="246">
        <f>IFERROR(VLOOKUP(I1925,PROGRAMAS[],2,FALSE),0)</f>
        <v>4635315027.8751087</v>
      </c>
      <c r="X1925" s="246">
        <f>IFERROR(VLOOKUP(J1925,PROGRAMAS[],2,FALSE),0)</f>
        <v>764796700.79905891</v>
      </c>
      <c r="Y1925" s="246">
        <f>IFERROR(VLOOKUP(K1925,PROGRAMAS[],2,FALSE),0)</f>
        <v>3776538594.4604583</v>
      </c>
      <c r="Z1925" s="246">
        <f>IFERROR(VLOOKUP(L1925,PROGRAMAS[],2,FALSE),0)</f>
        <v>122159672.96346797</v>
      </c>
      <c r="AA1925" s="246">
        <f>IFERROR(VLOOKUP(M1925,PROGRAMAS[],2,FALSE),0)</f>
        <v>7068496961.0436354</v>
      </c>
      <c r="AB1925" s="246">
        <f>IFERROR(VLOOKUP(N1925,PROGRAMAS[],2,FALSE),0)</f>
        <v>1892779498.5211046</v>
      </c>
      <c r="AC1925" s="246">
        <f>IFERROR(VLOOKUP(O1925,PROGRAMAS[],2,FALSE),0)</f>
        <v>0</v>
      </c>
      <c r="AD1925" s="246">
        <f>IFERROR(VLOOKUP(P1925,PROGRAMAS[],2,FALSE),0)</f>
        <v>0</v>
      </c>
      <c r="AE1925" s="246">
        <f>IFERROR(VLOOKUP(Q1925,PROGRAMAS[],2,FALSE),0)</f>
        <v>0</v>
      </c>
      <c r="AF1925" s="246">
        <f>IFERROR(VLOOKUP(D1925,PROGRAMAS[],3,FALSE),0)</f>
        <v>841888629.31080008</v>
      </c>
      <c r="AG1925" s="246">
        <f>IFERROR(VLOOKUP(E1925,PROGRAMAS[],3,FALSE),0)</f>
        <v>3848980803.1642323</v>
      </c>
      <c r="AH1925" s="246">
        <f>IFERROR(VLOOKUP(F1925,PROGRAMAS[],3,FALSE),0)</f>
        <v>3394901471.387517</v>
      </c>
      <c r="AI1925" s="246">
        <f>IFERROR(VLOOKUP(G1925,PROGRAMAS[],3,FALSE),0)</f>
        <v>125317226.95549992</v>
      </c>
      <c r="AJ1925" s="246">
        <f>IFERROR(VLOOKUP(H1925,PROGRAMAS[],3,FALSE),0)</f>
        <v>6129902208.7912121</v>
      </c>
      <c r="AK1925" s="246">
        <f>IFERROR(VLOOKUP(I1925,PROGRAMAS[],3,FALSE),0)</f>
        <v>4099471734.9978786</v>
      </c>
      <c r="AL1925" s="246">
        <f>IFERROR(VLOOKUP(J1925,PROGRAMAS[],3,FALSE),0)</f>
        <v>675517840.109828</v>
      </c>
      <c r="AM1925" s="246">
        <f>IFERROR(VLOOKUP(K1925,PROGRAMAS[],3,FALSE),0)</f>
        <v>2392571243.5584412</v>
      </c>
      <c r="AN1925" s="246">
        <f>IFERROR(VLOOKUP(L1925,PROGRAMAS[],3,FALSE),0)</f>
        <v>118617452.52510804</v>
      </c>
      <c r="AO1925" s="246">
        <f>IFERROR(VLOOKUP(M1925,PROGRAMAS[],3,FALSE),0)</f>
        <v>2406564599.0319901</v>
      </c>
      <c r="AP1925" s="246">
        <f>IFERROR(VLOOKUP(N1925,PROGRAMAS[],3,FALSE),0)</f>
        <v>948595847.09039903</v>
      </c>
      <c r="AQ1925" s="246">
        <f>IFERROR(VLOOKUP(O1925,PROGRAMAS[],3,FALSE),0)</f>
        <v>0</v>
      </c>
      <c r="AR1925" s="246">
        <f>IFERROR(VLOOKUP(P1925,PROGRAMAS[],3,FALSE),0)</f>
        <v>0</v>
      </c>
      <c r="AS1925" s="246">
        <f>IFERROR(VLOOKUP(Q1925,PROGRAMAS[],3,FALSE),0)</f>
        <v>0</v>
      </c>
      <c r="AT1925" s="246">
        <f>IFERROR(VLOOKUP(D1925,VOL_REC[],2,FALSE),0)</f>
        <v>0</v>
      </c>
      <c r="AU1925" s="246">
        <f>IFERROR(VLOOKUP(E1925,VOL_REC[],2,FALSE),0)</f>
        <v>0</v>
      </c>
      <c r="AV1925" s="246">
        <f>IFERROR(VLOOKUP(F1925,VOL_REC[],2,FALSE),0)</f>
        <v>11089674.200000001</v>
      </c>
      <c r="AW1925" s="246">
        <f>IFERROR(VLOOKUP(G1925,VOL_REC[],2,FALSE),0)</f>
        <v>90439.55</v>
      </c>
      <c r="AX1925" s="246">
        <f>IFERROR(VLOOKUP(H1925,VOL_REC[],2,FALSE),0)</f>
        <v>15540036.397699751</v>
      </c>
      <c r="AY1925" s="246">
        <f>IFERROR(VLOOKUP(I1925,VOL_REC[],2,FALSE),0)</f>
        <v>1812240</v>
      </c>
      <c r="AZ1925" s="246">
        <f>IFERROR(VLOOKUP(J1925,VOL_REC[],2,FALSE),0)</f>
        <v>240696.79238099116</v>
      </c>
      <c r="BA1925" s="246">
        <f>IFERROR(VLOOKUP(K1925,VOL_REC[],2,FALSE),0)</f>
        <v>663244.80000000016</v>
      </c>
      <c r="BB1925" s="246">
        <f>IFERROR(VLOOKUP(L1925,VOL_REC[],2,FALSE),0)</f>
        <v>105072</v>
      </c>
      <c r="BC1925" s="246">
        <f>IFERROR(VLOOKUP(M1925,VOL_REC[],2,FALSE),0)</f>
        <v>1072354.9981737854</v>
      </c>
      <c r="BD1925" s="246">
        <f>IFERROR(VLOOKUP(N1925,VOL_REC[],2,FALSE),0)</f>
        <v>740113.98115702497</v>
      </c>
      <c r="BE1925" s="246">
        <f>IFERROR(VLOOKUP(O1925,VOL_REC[],2,FALSE),0)</f>
        <v>0</v>
      </c>
      <c r="BF1925" s="246">
        <f>IFERROR(VLOOKUP(P1925,VOL_REC[],2,FALSE),0)</f>
        <v>0</v>
      </c>
      <c r="BG1925" s="246">
        <f>IFERROR(VLOOKUP(Q1925,VOL_REC[],2,FALSE),0)</f>
        <v>0</v>
      </c>
      <c r="BH1925" s="1710">
        <f t="shared" si="124"/>
        <v>29035299121.054642</v>
      </c>
      <c r="BI1925" s="1710">
        <f t="shared" si="125"/>
        <v>24982329056.922909</v>
      </c>
      <c r="BJ1925" s="1711">
        <f t="shared" si="126"/>
        <v>31353872.719411552</v>
      </c>
      <c r="BK1925" s="1711">
        <f t="shared" si="127"/>
        <v>1.1622334753055623</v>
      </c>
      <c r="BL1925">
        <f t="shared" si="128"/>
        <v>31353872.719411552</v>
      </c>
      <c r="BO1925">
        <f t="shared" si="129"/>
        <v>31353872.719411552</v>
      </c>
    </row>
    <row r="1926" spans="3:67" x14ac:dyDescent="0.25">
      <c r="C1926" s="246" t="s">
        <v>3276</v>
      </c>
      <c r="D1926" s="246">
        <v>1</v>
      </c>
      <c r="E1926" s="246">
        <v>2</v>
      </c>
      <c r="F1926" s="246">
        <v>3</v>
      </c>
      <c r="G1926" s="246">
        <v>4</v>
      </c>
      <c r="H1926" s="246">
        <v>6</v>
      </c>
      <c r="I1926" s="246">
        <v>10</v>
      </c>
      <c r="J1926" s="246">
        <v>12</v>
      </c>
      <c r="K1926" s="246">
        <v>14</v>
      </c>
      <c r="L1926" s="246">
        <v>15</v>
      </c>
      <c r="M1926" s="246">
        <v>16</v>
      </c>
      <c r="N1926" s="246">
        <v>17</v>
      </c>
      <c r="O1926" s="246"/>
      <c r="P1926" s="246"/>
      <c r="Q1926" s="246"/>
      <c r="R1926" s="246">
        <f>IFERROR(VLOOKUP(D1926,PROGRAMAS[],2,FALSE),0)</f>
        <v>97037803.679377079</v>
      </c>
      <c r="S1926" s="246">
        <f>IFERROR(VLOOKUP(E1926,PROGRAMAS[],2,FALSE),0)</f>
        <v>640501509.6821388</v>
      </c>
      <c r="T1926" s="246">
        <f>IFERROR(VLOOKUP(F1926,PROGRAMAS[],2,FALSE),0)</f>
        <v>3062327798.1525245</v>
      </c>
      <c r="U1926" s="246">
        <f>IFERROR(VLOOKUP(G1926,PROGRAMAS[],2,FALSE),0)</f>
        <v>67697118.033011258</v>
      </c>
      <c r="V1926" s="246">
        <f>IFERROR(VLOOKUP(H1926,PROGRAMAS[],2,FALSE),0)</f>
        <v>6907648435.8447599</v>
      </c>
      <c r="W1926" s="246">
        <f>IFERROR(VLOOKUP(I1926,PROGRAMAS[],2,FALSE),0)</f>
        <v>4635315027.8751087</v>
      </c>
      <c r="X1926" s="246">
        <f>IFERROR(VLOOKUP(J1926,PROGRAMAS[],2,FALSE),0)</f>
        <v>764796700.79905891</v>
      </c>
      <c r="Y1926" s="246">
        <f>IFERROR(VLOOKUP(K1926,PROGRAMAS[],2,FALSE),0)</f>
        <v>54223862.645839565</v>
      </c>
      <c r="Z1926" s="246">
        <f>IFERROR(VLOOKUP(L1926,PROGRAMAS[],2,FALSE),0)</f>
        <v>122159672.96346797</v>
      </c>
      <c r="AA1926" s="246">
        <f>IFERROR(VLOOKUP(M1926,PROGRAMAS[],2,FALSE),0)</f>
        <v>7068496961.0436354</v>
      </c>
      <c r="AB1926" s="246">
        <f>IFERROR(VLOOKUP(N1926,PROGRAMAS[],2,FALSE),0)</f>
        <v>1892779498.5211046</v>
      </c>
      <c r="AC1926" s="246">
        <f>IFERROR(VLOOKUP(O1926,PROGRAMAS[],2,FALSE),0)</f>
        <v>0</v>
      </c>
      <c r="AD1926" s="246">
        <f>IFERROR(VLOOKUP(P1926,PROGRAMAS[],2,FALSE),0)</f>
        <v>0</v>
      </c>
      <c r="AE1926" s="246">
        <f>IFERROR(VLOOKUP(Q1926,PROGRAMAS[],2,FALSE),0)</f>
        <v>0</v>
      </c>
      <c r="AF1926" s="246">
        <f>IFERROR(VLOOKUP(D1926,PROGRAMAS[],3,FALSE),0)</f>
        <v>841888629.31080008</v>
      </c>
      <c r="AG1926" s="246">
        <f>IFERROR(VLOOKUP(E1926,PROGRAMAS[],3,FALSE),0)</f>
        <v>3848980803.1642323</v>
      </c>
      <c r="AH1926" s="246">
        <f>IFERROR(VLOOKUP(F1926,PROGRAMAS[],3,FALSE),0)</f>
        <v>3394901471.387517</v>
      </c>
      <c r="AI1926" s="246">
        <f>IFERROR(VLOOKUP(G1926,PROGRAMAS[],3,FALSE),0)</f>
        <v>125317226.95549992</v>
      </c>
      <c r="AJ1926" s="246">
        <f>IFERROR(VLOOKUP(H1926,PROGRAMAS[],3,FALSE),0)</f>
        <v>6129902208.7912121</v>
      </c>
      <c r="AK1926" s="246">
        <f>IFERROR(VLOOKUP(I1926,PROGRAMAS[],3,FALSE),0)</f>
        <v>4099471734.9978786</v>
      </c>
      <c r="AL1926" s="246">
        <f>IFERROR(VLOOKUP(J1926,PROGRAMAS[],3,FALSE),0)</f>
        <v>675517840.109828</v>
      </c>
      <c r="AM1926" s="246">
        <f>IFERROR(VLOOKUP(K1926,PROGRAMAS[],3,FALSE),0)</f>
        <v>31865326.38096505</v>
      </c>
      <c r="AN1926" s="246">
        <f>IFERROR(VLOOKUP(L1926,PROGRAMAS[],3,FALSE),0)</f>
        <v>118617452.52510804</v>
      </c>
      <c r="AO1926" s="246">
        <f>IFERROR(VLOOKUP(M1926,PROGRAMAS[],3,FALSE),0)</f>
        <v>2406564599.0319901</v>
      </c>
      <c r="AP1926" s="246">
        <f>IFERROR(VLOOKUP(N1926,PROGRAMAS[],3,FALSE),0)</f>
        <v>948595847.09039903</v>
      </c>
      <c r="AQ1926" s="246">
        <f>IFERROR(VLOOKUP(O1926,PROGRAMAS[],3,FALSE),0)</f>
        <v>0</v>
      </c>
      <c r="AR1926" s="246">
        <f>IFERROR(VLOOKUP(P1926,PROGRAMAS[],3,FALSE),0)</f>
        <v>0</v>
      </c>
      <c r="AS1926" s="246">
        <f>IFERROR(VLOOKUP(Q1926,PROGRAMAS[],3,FALSE),0)</f>
        <v>0</v>
      </c>
      <c r="AT1926" s="246">
        <f>IFERROR(VLOOKUP(D1926,VOL_REC[],2,FALSE),0)</f>
        <v>0</v>
      </c>
      <c r="AU1926" s="246">
        <f>IFERROR(VLOOKUP(E1926,VOL_REC[],2,FALSE),0)</f>
        <v>0</v>
      </c>
      <c r="AV1926" s="246">
        <f>IFERROR(VLOOKUP(F1926,VOL_REC[],2,FALSE),0)</f>
        <v>11089674.200000001</v>
      </c>
      <c r="AW1926" s="246">
        <f>IFERROR(VLOOKUP(G1926,VOL_REC[],2,FALSE),0)</f>
        <v>90439.55</v>
      </c>
      <c r="AX1926" s="246">
        <f>IFERROR(VLOOKUP(H1926,VOL_REC[],2,FALSE),0)</f>
        <v>15540036.397699751</v>
      </c>
      <c r="AY1926" s="246">
        <f>IFERROR(VLOOKUP(I1926,VOL_REC[],2,FALSE),0)</f>
        <v>1812240</v>
      </c>
      <c r="AZ1926" s="246">
        <f>IFERROR(VLOOKUP(J1926,VOL_REC[],2,FALSE),0)</f>
        <v>240696.79238099116</v>
      </c>
      <c r="BA1926" s="246">
        <f>IFERROR(VLOOKUP(K1926,VOL_REC[],2,FALSE),0)</f>
        <v>17074.045034105649</v>
      </c>
      <c r="BB1926" s="246">
        <f>IFERROR(VLOOKUP(L1926,VOL_REC[],2,FALSE),0)</f>
        <v>105072</v>
      </c>
      <c r="BC1926" s="246">
        <f>IFERROR(VLOOKUP(M1926,VOL_REC[],2,FALSE),0)</f>
        <v>1072354.9981737854</v>
      </c>
      <c r="BD1926" s="246">
        <f>IFERROR(VLOOKUP(N1926,VOL_REC[],2,FALSE),0)</f>
        <v>740113.98115702497</v>
      </c>
      <c r="BE1926" s="246">
        <f>IFERROR(VLOOKUP(O1926,VOL_REC[],2,FALSE),0)</f>
        <v>0</v>
      </c>
      <c r="BF1926" s="246">
        <f>IFERROR(VLOOKUP(P1926,VOL_REC[],2,FALSE),0)</f>
        <v>0</v>
      </c>
      <c r="BG1926" s="246">
        <f>IFERROR(VLOOKUP(Q1926,VOL_REC[],2,FALSE),0)</f>
        <v>0</v>
      </c>
      <c r="BH1926" s="1710">
        <f t="shared" si="124"/>
        <v>25312984389.240025</v>
      </c>
      <c r="BI1926" s="1710">
        <f t="shared" si="125"/>
        <v>22621623139.745434</v>
      </c>
      <c r="BJ1926" s="1711">
        <f t="shared" si="126"/>
        <v>30707701.964445658</v>
      </c>
      <c r="BK1926" s="1711">
        <f t="shared" si="127"/>
        <v>1.1189729504761292</v>
      </c>
      <c r="BL1926">
        <f t="shared" si="128"/>
        <v>30707701.964445658</v>
      </c>
      <c r="BO1926">
        <f t="shared" si="129"/>
        <v>30707701.964445658</v>
      </c>
    </row>
    <row r="1927" spans="3:67" x14ac:dyDescent="0.25">
      <c r="C1927" s="246" t="s">
        <v>3277</v>
      </c>
      <c r="D1927" s="246">
        <v>1</v>
      </c>
      <c r="E1927" s="246">
        <v>2</v>
      </c>
      <c r="F1927" s="246">
        <v>3</v>
      </c>
      <c r="G1927" s="246">
        <v>4</v>
      </c>
      <c r="H1927" s="246">
        <v>6</v>
      </c>
      <c r="I1927" s="246">
        <v>10</v>
      </c>
      <c r="J1927" s="246">
        <v>13</v>
      </c>
      <c r="K1927" s="246">
        <v>14</v>
      </c>
      <c r="L1927" s="246">
        <v>15</v>
      </c>
      <c r="M1927" s="246">
        <v>16</v>
      </c>
      <c r="N1927" s="246">
        <v>17</v>
      </c>
      <c r="O1927" s="246"/>
      <c r="P1927" s="246"/>
      <c r="Q1927" s="246"/>
      <c r="R1927" s="246">
        <f>IFERROR(VLOOKUP(D1927,PROGRAMAS[],2,FALSE),0)</f>
        <v>97037803.679377079</v>
      </c>
      <c r="S1927" s="246">
        <f>IFERROR(VLOOKUP(E1927,PROGRAMAS[],2,FALSE),0)</f>
        <v>640501509.6821388</v>
      </c>
      <c r="T1927" s="246">
        <f>IFERROR(VLOOKUP(F1927,PROGRAMAS[],2,FALSE),0)</f>
        <v>3062327798.1525245</v>
      </c>
      <c r="U1927" s="246">
        <f>IFERROR(VLOOKUP(G1927,PROGRAMAS[],2,FALSE),0)</f>
        <v>67697118.033011258</v>
      </c>
      <c r="V1927" s="246">
        <f>IFERROR(VLOOKUP(H1927,PROGRAMAS[],2,FALSE),0)</f>
        <v>6907648435.8447599</v>
      </c>
      <c r="W1927" s="246">
        <f>IFERROR(VLOOKUP(I1927,PROGRAMAS[],2,FALSE),0)</f>
        <v>4635315027.8751087</v>
      </c>
      <c r="X1927" s="246">
        <f>IFERROR(VLOOKUP(J1927,PROGRAMAS[],2,FALSE),0)</f>
        <v>3776538594.4604583</v>
      </c>
      <c r="Y1927" s="246">
        <f>IFERROR(VLOOKUP(K1927,PROGRAMAS[],2,FALSE),0)</f>
        <v>54223862.645839565</v>
      </c>
      <c r="Z1927" s="246">
        <f>IFERROR(VLOOKUP(L1927,PROGRAMAS[],2,FALSE),0)</f>
        <v>122159672.96346797</v>
      </c>
      <c r="AA1927" s="246">
        <f>IFERROR(VLOOKUP(M1927,PROGRAMAS[],2,FALSE),0)</f>
        <v>7068496961.0436354</v>
      </c>
      <c r="AB1927" s="246">
        <f>IFERROR(VLOOKUP(N1927,PROGRAMAS[],2,FALSE),0)</f>
        <v>1892779498.5211046</v>
      </c>
      <c r="AC1927" s="246">
        <f>IFERROR(VLOOKUP(O1927,PROGRAMAS[],2,FALSE),0)</f>
        <v>0</v>
      </c>
      <c r="AD1927" s="246">
        <f>IFERROR(VLOOKUP(P1927,PROGRAMAS[],2,FALSE),0)</f>
        <v>0</v>
      </c>
      <c r="AE1927" s="246">
        <f>IFERROR(VLOOKUP(Q1927,PROGRAMAS[],2,FALSE),0)</f>
        <v>0</v>
      </c>
      <c r="AF1927" s="246">
        <f>IFERROR(VLOOKUP(D1927,PROGRAMAS[],3,FALSE),0)</f>
        <v>841888629.31080008</v>
      </c>
      <c r="AG1927" s="246">
        <f>IFERROR(VLOOKUP(E1927,PROGRAMAS[],3,FALSE),0)</f>
        <v>3848980803.1642323</v>
      </c>
      <c r="AH1927" s="246">
        <f>IFERROR(VLOOKUP(F1927,PROGRAMAS[],3,FALSE),0)</f>
        <v>3394901471.387517</v>
      </c>
      <c r="AI1927" s="246">
        <f>IFERROR(VLOOKUP(G1927,PROGRAMAS[],3,FALSE),0)</f>
        <v>125317226.95549992</v>
      </c>
      <c r="AJ1927" s="246">
        <f>IFERROR(VLOOKUP(H1927,PROGRAMAS[],3,FALSE),0)</f>
        <v>6129902208.7912121</v>
      </c>
      <c r="AK1927" s="246">
        <f>IFERROR(VLOOKUP(I1927,PROGRAMAS[],3,FALSE),0)</f>
        <v>4099471734.9978786</v>
      </c>
      <c r="AL1927" s="246">
        <f>IFERROR(VLOOKUP(J1927,PROGRAMAS[],3,FALSE),0)</f>
        <v>2392571243.5584412</v>
      </c>
      <c r="AM1927" s="246">
        <f>IFERROR(VLOOKUP(K1927,PROGRAMAS[],3,FALSE),0)</f>
        <v>31865326.38096505</v>
      </c>
      <c r="AN1927" s="246">
        <f>IFERROR(VLOOKUP(L1927,PROGRAMAS[],3,FALSE),0)</f>
        <v>118617452.52510804</v>
      </c>
      <c r="AO1927" s="246">
        <f>IFERROR(VLOOKUP(M1927,PROGRAMAS[],3,FALSE),0)</f>
        <v>2406564599.0319901</v>
      </c>
      <c r="AP1927" s="246">
        <f>IFERROR(VLOOKUP(N1927,PROGRAMAS[],3,FALSE),0)</f>
        <v>948595847.09039903</v>
      </c>
      <c r="AQ1927" s="246">
        <f>IFERROR(VLOOKUP(O1927,PROGRAMAS[],3,FALSE),0)</f>
        <v>0</v>
      </c>
      <c r="AR1927" s="246">
        <f>IFERROR(VLOOKUP(P1927,PROGRAMAS[],3,FALSE),0)</f>
        <v>0</v>
      </c>
      <c r="AS1927" s="246">
        <f>IFERROR(VLOOKUP(Q1927,PROGRAMAS[],3,FALSE),0)</f>
        <v>0</v>
      </c>
      <c r="AT1927" s="246">
        <f>IFERROR(VLOOKUP(D1927,VOL_REC[],2,FALSE),0)</f>
        <v>0</v>
      </c>
      <c r="AU1927" s="246">
        <f>IFERROR(VLOOKUP(E1927,VOL_REC[],2,FALSE),0)</f>
        <v>0</v>
      </c>
      <c r="AV1927" s="246">
        <f>IFERROR(VLOOKUP(F1927,VOL_REC[],2,FALSE),0)</f>
        <v>11089674.200000001</v>
      </c>
      <c r="AW1927" s="246">
        <f>IFERROR(VLOOKUP(G1927,VOL_REC[],2,FALSE),0)</f>
        <v>90439.55</v>
      </c>
      <c r="AX1927" s="246">
        <f>IFERROR(VLOOKUP(H1927,VOL_REC[],2,FALSE),0)</f>
        <v>15540036.397699751</v>
      </c>
      <c r="AY1927" s="246">
        <f>IFERROR(VLOOKUP(I1927,VOL_REC[],2,FALSE),0)</f>
        <v>1812240</v>
      </c>
      <c r="AZ1927" s="246">
        <f>IFERROR(VLOOKUP(J1927,VOL_REC[],2,FALSE),0)</f>
        <v>663244.80000000016</v>
      </c>
      <c r="BA1927" s="246">
        <f>IFERROR(VLOOKUP(K1927,VOL_REC[],2,FALSE),0)</f>
        <v>17074.045034105649</v>
      </c>
      <c r="BB1927" s="246">
        <f>IFERROR(VLOOKUP(L1927,VOL_REC[],2,FALSE),0)</f>
        <v>105072</v>
      </c>
      <c r="BC1927" s="246">
        <f>IFERROR(VLOOKUP(M1927,VOL_REC[],2,FALSE),0)</f>
        <v>1072354.9981737854</v>
      </c>
      <c r="BD1927" s="246">
        <f>IFERROR(VLOOKUP(N1927,VOL_REC[],2,FALSE),0)</f>
        <v>740113.98115702497</v>
      </c>
      <c r="BE1927" s="246">
        <f>IFERROR(VLOOKUP(O1927,VOL_REC[],2,FALSE),0)</f>
        <v>0</v>
      </c>
      <c r="BF1927" s="246">
        <f>IFERROR(VLOOKUP(P1927,VOL_REC[],2,FALSE),0)</f>
        <v>0</v>
      </c>
      <c r="BG1927" s="246">
        <f>IFERROR(VLOOKUP(Q1927,VOL_REC[],2,FALSE),0)</f>
        <v>0</v>
      </c>
      <c r="BH1927" s="1710">
        <f t="shared" si="124"/>
        <v>28324726282.901424</v>
      </c>
      <c r="BI1927" s="1710">
        <f t="shared" si="125"/>
        <v>24338676543.194046</v>
      </c>
      <c r="BJ1927" s="1711">
        <f t="shared" si="126"/>
        <v>31130249.972064666</v>
      </c>
      <c r="BK1927" s="1711">
        <f t="shared" si="127"/>
        <v>1.1637743010649451</v>
      </c>
      <c r="BL1927">
        <f t="shared" si="128"/>
        <v>31130249.972064666</v>
      </c>
      <c r="BO1927">
        <f t="shared" si="129"/>
        <v>31130249.972064666</v>
      </c>
    </row>
    <row r="1928" spans="3:67" x14ac:dyDescent="0.25">
      <c r="C1928" s="246" t="s">
        <v>3278</v>
      </c>
      <c r="D1928" s="246">
        <v>1</v>
      </c>
      <c r="E1928" s="246">
        <v>2</v>
      </c>
      <c r="F1928" s="246">
        <v>3</v>
      </c>
      <c r="G1928" s="246">
        <v>4</v>
      </c>
      <c r="H1928" s="246">
        <v>6</v>
      </c>
      <c r="I1928" s="246">
        <v>12</v>
      </c>
      <c r="J1928" s="246">
        <v>13</v>
      </c>
      <c r="K1928" s="246">
        <v>14</v>
      </c>
      <c r="L1928" s="246">
        <v>15</v>
      </c>
      <c r="M1928" s="246">
        <v>16</v>
      </c>
      <c r="N1928" s="246">
        <v>17</v>
      </c>
      <c r="O1928" s="246"/>
      <c r="P1928" s="246"/>
      <c r="Q1928" s="246"/>
      <c r="R1928" s="246">
        <f>IFERROR(VLOOKUP(D1928,PROGRAMAS[],2,FALSE),0)</f>
        <v>97037803.679377079</v>
      </c>
      <c r="S1928" s="246">
        <f>IFERROR(VLOOKUP(E1928,PROGRAMAS[],2,FALSE),0)</f>
        <v>640501509.6821388</v>
      </c>
      <c r="T1928" s="246">
        <f>IFERROR(VLOOKUP(F1928,PROGRAMAS[],2,FALSE),0)</f>
        <v>3062327798.1525245</v>
      </c>
      <c r="U1928" s="246">
        <f>IFERROR(VLOOKUP(G1928,PROGRAMAS[],2,FALSE),0)</f>
        <v>67697118.033011258</v>
      </c>
      <c r="V1928" s="246">
        <f>IFERROR(VLOOKUP(H1928,PROGRAMAS[],2,FALSE),0)</f>
        <v>6907648435.8447599</v>
      </c>
      <c r="W1928" s="246">
        <f>IFERROR(VLOOKUP(I1928,PROGRAMAS[],2,FALSE),0)</f>
        <v>764796700.79905891</v>
      </c>
      <c r="X1928" s="246">
        <f>IFERROR(VLOOKUP(J1928,PROGRAMAS[],2,FALSE),0)</f>
        <v>3776538594.4604583</v>
      </c>
      <c r="Y1928" s="246">
        <f>IFERROR(VLOOKUP(K1928,PROGRAMAS[],2,FALSE),0)</f>
        <v>54223862.645839565</v>
      </c>
      <c r="Z1928" s="246">
        <f>IFERROR(VLOOKUP(L1928,PROGRAMAS[],2,FALSE),0)</f>
        <v>122159672.96346797</v>
      </c>
      <c r="AA1928" s="246">
        <f>IFERROR(VLOOKUP(M1928,PROGRAMAS[],2,FALSE),0)</f>
        <v>7068496961.0436354</v>
      </c>
      <c r="AB1928" s="246">
        <f>IFERROR(VLOOKUP(N1928,PROGRAMAS[],2,FALSE),0)</f>
        <v>1892779498.5211046</v>
      </c>
      <c r="AC1928" s="246">
        <f>IFERROR(VLOOKUP(O1928,PROGRAMAS[],2,FALSE),0)</f>
        <v>0</v>
      </c>
      <c r="AD1928" s="246">
        <f>IFERROR(VLOOKUP(P1928,PROGRAMAS[],2,FALSE),0)</f>
        <v>0</v>
      </c>
      <c r="AE1928" s="246">
        <f>IFERROR(VLOOKUP(Q1928,PROGRAMAS[],2,FALSE),0)</f>
        <v>0</v>
      </c>
      <c r="AF1928" s="246">
        <f>IFERROR(VLOOKUP(D1928,PROGRAMAS[],3,FALSE),0)</f>
        <v>841888629.31080008</v>
      </c>
      <c r="AG1928" s="246">
        <f>IFERROR(VLOOKUP(E1928,PROGRAMAS[],3,FALSE),0)</f>
        <v>3848980803.1642323</v>
      </c>
      <c r="AH1928" s="246">
        <f>IFERROR(VLOOKUP(F1928,PROGRAMAS[],3,FALSE),0)</f>
        <v>3394901471.387517</v>
      </c>
      <c r="AI1928" s="246">
        <f>IFERROR(VLOOKUP(G1928,PROGRAMAS[],3,FALSE),0)</f>
        <v>125317226.95549992</v>
      </c>
      <c r="AJ1928" s="246">
        <f>IFERROR(VLOOKUP(H1928,PROGRAMAS[],3,FALSE),0)</f>
        <v>6129902208.7912121</v>
      </c>
      <c r="AK1928" s="246">
        <f>IFERROR(VLOOKUP(I1928,PROGRAMAS[],3,FALSE),0)</f>
        <v>675517840.109828</v>
      </c>
      <c r="AL1928" s="246">
        <f>IFERROR(VLOOKUP(J1928,PROGRAMAS[],3,FALSE),0)</f>
        <v>2392571243.5584412</v>
      </c>
      <c r="AM1928" s="246">
        <f>IFERROR(VLOOKUP(K1928,PROGRAMAS[],3,FALSE),0)</f>
        <v>31865326.38096505</v>
      </c>
      <c r="AN1928" s="246">
        <f>IFERROR(VLOOKUP(L1928,PROGRAMAS[],3,FALSE),0)</f>
        <v>118617452.52510804</v>
      </c>
      <c r="AO1928" s="246">
        <f>IFERROR(VLOOKUP(M1928,PROGRAMAS[],3,FALSE),0)</f>
        <v>2406564599.0319901</v>
      </c>
      <c r="AP1928" s="246">
        <f>IFERROR(VLOOKUP(N1928,PROGRAMAS[],3,FALSE),0)</f>
        <v>948595847.09039903</v>
      </c>
      <c r="AQ1928" s="246">
        <f>IFERROR(VLOOKUP(O1928,PROGRAMAS[],3,FALSE),0)</f>
        <v>0</v>
      </c>
      <c r="AR1928" s="246">
        <f>IFERROR(VLOOKUP(P1928,PROGRAMAS[],3,FALSE),0)</f>
        <v>0</v>
      </c>
      <c r="AS1928" s="246">
        <f>IFERROR(VLOOKUP(Q1928,PROGRAMAS[],3,FALSE),0)</f>
        <v>0</v>
      </c>
      <c r="AT1928" s="246">
        <f>IFERROR(VLOOKUP(D1928,VOL_REC[],2,FALSE),0)</f>
        <v>0</v>
      </c>
      <c r="AU1928" s="246">
        <f>IFERROR(VLOOKUP(E1928,VOL_REC[],2,FALSE),0)</f>
        <v>0</v>
      </c>
      <c r="AV1928" s="246">
        <f>IFERROR(VLOOKUP(F1928,VOL_REC[],2,FALSE),0)</f>
        <v>11089674.200000001</v>
      </c>
      <c r="AW1928" s="246">
        <f>IFERROR(VLOOKUP(G1928,VOL_REC[],2,FALSE),0)</f>
        <v>90439.55</v>
      </c>
      <c r="AX1928" s="246">
        <f>IFERROR(VLOOKUP(H1928,VOL_REC[],2,FALSE),0)</f>
        <v>15540036.397699751</v>
      </c>
      <c r="AY1928" s="246">
        <f>IFERROR(VLOOKUP(I1928,VOL_REC[],2,FALSE),0)</f>
        <v>240696.79238099116</v>
      </c>
      <c r="AZ1928" s="246">
        <f>IFERROR(VLOOKUP(J1928,VOL_REC[],2,FALSE),0)</f>
        <v>663244.80000000016</v>
      </c>
      <c r="BA1928" s="246">
        <f>IFERROR(VLOOKUP(K1928,VOL_REC[],2,FALSE),0)</f>
        <v>17074.045034105649</v>
      </c>
      <c r="BB1928" s="246">
        <f>IFERROR(VLOOKUP(L1928,VOL_REC[],2,FALSE),0)</f>
        <v>105072</v>
      </c>
      <c r="BC1928" s="246">
        <f>IFERROR(VLOOKUP(M1928,VOL_REC[],2,FALSE),0)</f>
        <v>1072354.9981737854</v>
      </c>
      <c r="BD1928" s="246">
        <f>IFERROR(VLOOKUP(N1928,VOL_REC[],2,FALSE),0)</f>
        <v>740113.98115702497</v>
      </c>
      <c r="BE1928" s="246">
        <f>IFERROR(VLOOKUP(O1928,VOL_REC[],2,FALSE),0)</f>
        <v>0</v>
      </c>
      <c r="BF1928" s="246">
        <f>IFERROR(VLOOKUP(P1928,VOL_REC[],2,FALSE),0)</f>
        <v>0</v>
      </c>
      <c r="BG1928" s="246">
        <f>IFERROR(VLOOKUP(Q1928,VOL_REC[],2,FALSE),0)</f>
        <v>0</v>
      </c>
      <c r="BH1928" s="1710">
        <f t="shared" si="124"/>
        <v>24454207955.825375</v>
      </c>
      <c r="BI1928" s="1710">
        <f t="shared" si="125"/>
        <v>20914722648.305996</v>
      </c>
      <c r="BJ1928" s="1711">
        <f t="shared" si="126"/>
        <v>29558706.764445659</v>
      </c>
      <c r="BK1928" s="1711">
        <f t="shared" si="127"/>
        <v>1.1692341498875225</v>
      </c>
      <c r="BL1928">
        <f t="shared" si="128"/>
        <v>29558706.764445659</v>
      </c>
      <c r="BO1928">
        <f t="shared" si="129"/>
        <v>29558706.764445659</v>
      </c>
    </row>
    <row r="1929" spans="3:67" x14ac:dyDescent="0.25">
      <c r="C1929" s="246" t="s">
        <v>3279</v>
      </c>
      <c r="D1929" s="246">
        <v>1</v>
      </c>
      <c r="E1929" s="246">
        <v>2</v>
      </c>
      <c r="F1929" s="246">
        <v>3</v>
      </c>
      <c r="G1929" s="246">
        <v>4</v>
      </c>
      <c r="H1929" s="246">
        <v>9</v>
      </c>
      <c r="I1929" s="246">
        <v>10</v>
      </c>
      <c r="J1929" s="246">
        <v>12</v>
      </c>
      <c r="K1929" s="246">
        <v>13</v>
      </c>
      <c r="L1929" s="246">
        <v>14</v>
      </c>
      <c r="M1929" s="246">
        <v>15</v>
      </c>
      <c r="N1929" s="246">
        <v>16</v>
      </c>
      <c r="O1929" s="246"/>
      <c r="P1929" s="246"/>
      <c r="Q1929" s="246"/>
      <c r="R1929" s="246">
        <f>IFERROR(VLOOKUP(D1929,PROGRAMAS[],2,FALSE),0)</f>
        <v>97037803.679377079</v>
      </c>
      <c r="S1929" s="246">
        <f>IFERROR(VLOOKUP(E1929,PROGRAMAS[],2,FALSE),0)</f>
        <v>640501509.6821388</v>
      </c>
      <c r="T1929" s="246">
        <f>IFERROR(VLOOKUP(F1929,PROGRAMAS[],2,FALSE),0)</f>
        <v>3062327798.1525245</v>
      </c>
      <c r="U1929" s="246">
        <f>IFERROR(VLOOKUP(G1929,PROGRAMAS[],2,FALSE),0)</f>
        <v>67697118.033011258</v>
      </c>
      <c r="V1929" s="246">
        <f>IFERROR(VLOOKUP(H1929,PROGRAMAS[],2,FALSE),0)</f>
        <v>6128579952.1618185</v>
      </c>
      <c r="W1929" s="246">
        <f>IFERROR(VLOOKUP(I1929,PROGRAMAS[],2,FALSE),0)</f>
        <v>4635315027.8751087</v>
      </c>
      <c r="X1929" s="246">
        <f>IFERROR(VLOOKUP(J1929,PROGRAMAS[],2,FALSE),0)</f>
        <v>764796700.79905891</v>
      </c>
      <c r="Y1929" s="246">
        <f>IFERROR(VLOOKUP(K1929,PROGRAMAS[],2,FALSE),0)</f>
        <v>3776538594.4604583</v>
      </c>
      <c r="Z1929" s="246">
        <f>IFERROR(VLOOKUP(L1929,PROGRAMAS[],2,FALSE),0)</f>
        <v>54223862.645839565</v>
      </c>
      <c r="AA1929" s="246">
        <f>IFERROR(VLOOKUP(M1929,PROGRAMAS[],2,FALSE),0)</f>
        <v>122159672.96346797</v>
      </c>
      <c r="AB1929" s="246">
        <f>IFERROR(VLOOKUP(N1929,PROGRAMAS[],2,FALSE),0)</f>
        <v>7068496961.0436354</v>
      </c>
      <c r="AC1929" s="246">
        <f>IFERROR(VLOOKUP(O1929,PROGRAMAS[],2,FALSE),0)</f>
        <v>0</v>
      </c>
      <c r="AD1929" s="246">
        <f>IFERROR(VLOOKUP(P1929,PROGRAMAS[],2,FALSE),0)</f>
        <v>0</v>
      </c>
      <c r="AE1929" s="246">
        <f>IFERROR(VLOOKUP(Q1929,PROGRAMAS[],2,FALSE),0)</f>
        <v>0</v>
      </c>
      <c r="AF1929" s="246">
        <f>IFERROR(VLOOKUP(D1929,PROGRAMAS[],3,FALSE),0)</f>
        <v>841888629.31080008</v>
      </c>
      <c r="AG1929" s="246">
        <f>IFERROR(VLOOKUP(E1929,PROGRAMAS[],3,FALSE),0)</f>
        <v>3848980803.1642323</v>
      </c>
      <c r="AH1929" s="246">
        <f>IFERROR(VLOOKUP(F1929,PROGRAMAS[],3,FALSE),0)</f>
        <v>3394901471.387517</v>
      </c>
      <c r="AI1929" s="246">
        <f>IFERROR(VLOOKUP(G1929,PROGRAMAS[],3,FALSE),0)</f>
        <v>125317226.95549992</v>
      </c>
      <c r="AJ1929" s="246">
        <f>IFERROR(VLOOKUP(H1929,PROGRAMAS[],3,FALSE),0)</f>
        <v>7011279577.519702</v>
      </c>
      <c r="AK1929" s="246">
        <f>IFERROR(VLOOKUP(I1929,PROGRAMAS[],3,FALSE),0)</f>
        <v>4099471734.9978786</v>
      </c>
      <c r="AL1929" s="246">
        <f>IFERROR(VLOOKUP(J1929,PROGRAMAS[],3,FALSE),0)</f>
        <v>675517840.109828</v>
      </c>
      <c r="AM1929" s="246">
        <f>IFERROR(VLOOKUP(K1929,PROGRAMAS[],3,FALSE),0)</f>
        <v>2392571243.5584412</v>
      </c>
      <c r="AN1929" s="246">
        <f>IFERROR(VLOOKUP(L1929,PROGRAMAS[],3,FALSE),0)</f>
        <v>31865326.38096505</v>
      </c>
      <c r="AO1929" s="246">
        <f>IFERROR(VLOOKUP(M1929,PROGRAMAS[],3,FALSE),0)</f>
        <v>118617452.52510804</v>
      </c>
      <c r="AP1929" s="246">
        <f>IFERROR(VLOOKUP(N1929,PROGRAMAS[],3,FALSE),0)</f>
        <v>2406564599.0319901</v>
      </c>
      <c r="AQ1929" s="246">
        <f>IFERROR(VLOOKUP(O1929,PROGRAMAS[],3,FALSE),0)</f>
        <v>0</v>
      </c>
      <c r="AR1929" s="246">
        <f>IFERROR(VLOOKUP(P1929,PROGRAMAS[],3,FALSE),0)</f>
        <v>0</v>
      </c>
      <c r="AS1929" s="246">
        <f>IFERROR(VLOOKUP(Q1929,PROGRAMAS[],3,FALSE),0)</f>
        <v>0</v>
      </c>
      <c r="AT1929" s="246">
        <f>IFERROR(VLOOKUP(D1929,VOL_REC[],2,FALSE),0)</f>
        <v>0</v>
      </c>
      <c r="AU1929" s="246">
        <f>IFERROR(VLOOKUP(E1929,VOL_REC[],2,FALSE),0)</f>
        <v>0</v>
      </c>
      <c r="AV1929" s="246">
        <f>IFERROR(VLOOKUP(F1929,VOL_REC[],2,FALSE),0)</f>
        <v>11089674.200000001</v>
      </c>
      <c r="AW1929" s="246">
        <f>IFERROR(VLOOKUP(G1929,VOL_REC[],2,FALSE),0)</f>
        <v>90439.55</v>
      </c>
      <c r="AX1929" s="246">
        <f>IFERROR(VLOOKUP(H1929,VOL_REC[],2,FALSE),0)</f>
        <v>3761786</v>
      </c>
      <c r="AY1929" s="246">
        <f>IFERROR(VLOOKUP(I1929,VOL_REC[],2,FALSE),0)</f>
        <v>1812240</v>
      </c>
      <c r="AZ1929" s="246">
        <f>IFERROR(VLOOKUP(J1929,VOL_REC[],2,FALSE),0)</f>
        <v>240696.79238099116</v>
      </c>
      <c r="BA1929" s="246">
        <f>IFERROR(VLOOKUP(K1929,VOL_REC[],2,FALSE),0)</f>
        <v>663244.80000000016</v>
      </c>
      <c r="BB1929" s="246">
        <f>IFERROR(VLOOKUP(L1929,VOL_REC[],2,FALSE),0)</f>
        <v>17074.045034105649</v>
      </c>
      <c r="BC1929" s="246">
        <f>IFERROR(VLOOKUP(M1929,VOL_REC[],2,FALSE),0)</f>
        <v>105072</v>
      </c>
      <c r="BD1929" s="246">
        <f>IFERROR(VLOOKUP(N1929,VOL_REC[],2,FALSE),0)</f>
        <v>1072354.9981737854</v>
      </c>
      <c r="BE1929" s="246">
        <f>IFERROR(VLOOKUP(O1929,VOL_REC[],2,FALSE),0)</f>
        <v>0</v>
      </c>
      <c r="BF1929" s="246">
        <f>IFERROR(VLOOKUP(P1929,VOL_REC[],2,FALSE),0)</f>
        <v>0</v>
      </c>
      <c r="BG1929" s="246">
        <f>IFERROR(VLOOKUP(Q1929,VOL_REC[],2,FALSE),0)</f>
        <v>0</v>
      </c>
      <c r="BH1929" s="1710">
        <f t="shared" si="124"/>
        <v>26417675001.496437</v>
      </c>
      <c r="BI1929" s="1710">
        <f t="shared" si="125"/>
        <v>24946975904.941963</v>
      </c>
      <c r="BJ1929" s="1711">
        <f t="shared" si="126"/>
        <v>18852582.385588884</v>
      </c>
      <c r="BK1929" s="1711">
        <f t="shared" si="127"/>
        <v>1.0589530010434303</v>
      </c>
      <c r="BL1929">
        <f t="shared" si="128"/>
        <v>18852582.385588884</v>
      </c>
      <c r="BO1929">
        <f t="shared" si="129"/>
        <v>18852582.385588884</v>
      </c>
    </row>
    <row r="1930" spans="3:67" x14ac:dyDescent="0.25">
      <c r="C1930" s="246" t="s">
        <v>3280</v>
      </c>
      <c r="D1930" s="246">
        <v>1</v>
      </c>
      <c r="E1930" s="246">
        <v>2</v>
      </c>
      <c r="F1930" s="246">
        <v>3</v>
      </c>
      <c r="G1930" s="246">
        <v>4</v>
      </c>
      <c r="H1930" s="246">
        <v>9</v>
      </c>
      <c r="I1930" s="246">
        <v>10</v>
      </c>
      <c r="J1930" s="246">
        <v>12</v>
      </c>
      <c r="K1930" s="246">
        <v>13</v>
      </c>
      <c r="L1930" s="246">
        <v>14</v>
      </c>
      <c r="M1930" s="246">
        <v>15</v>
      </c>
      <c r="N1930" s="246">
        <v>17</v>
      </c>
      <c r="O1930" s="246"/>
      <c r="P1930" s="246"/>
      <c r="Q1930" s="246"/>
      <c r="R1930" s="246">
        <f>IFERROR(VLOOKUP(D1930,PROGRAMAS[],2,FALSE),0)</f>
        <v>97037803.679377079</v>
      </c>
      <c r="S1930" s="246">
        <f>IFERROR(VLOOKUP(E1930,PROGRAMAS[],2,FALSE),0)</f>
        <v>640501509.6821388</v>
      </c>
      <c r="T1930" s="246">
        <f>IFERROR(VLOOKUP(F1930,PROGRAMAS[],2,FALSE),0)</f>
        <v>3062327798.1525245</v>
      </c>
      <c r="U1930" s="246">
        <f>IFERROR(VLOOKUP(G1930,PROGRAMAS[],2,FALSE),0)</f>
        <v>67697118.033011258</v>
      </c>
      <c r="V1930" s="246">
        <f>IFERROR(VLOOKUP(H1930,PROGRAMAS[],2,FALSE),0)</f>
        <v>6128579952.1618185</v>
      </c>
      <c r="W1930" s="246">
        <f>IFERROR(VLOOKUP(I1930,PROGRAMAS[],2,FALSE),0)</f>
        <v>4635315027.8751087</v>
      </c>
      <c r="X1930" s="246">
        <f>IFERROR(VLOOKUP(J1930,PROGRAMAS[],2,FALSE),0)</f>
        <v>764796700.79905891</v>
      </c>
      <c r="Y1930" s="246">
        <f>IFERROR(VLOOKUP(K1930,PROGRAMAS[],2,FALSE),0)</f>
        <v>3776538594.4604583</v>
      </c>
      <c r="Z1930" s="246">
        <f>IFERROR(VLOOKUP(L1930,PROGRAMAS[],2,FALSE),0)</f>
        <v>54223862.645839565</v>
      </c>
      <c r="AA1930" s="246">
        <f>IFERROR(VLOOKUP(M1930,PROGRAMAS[],2,FALSE),0)</f>
        <v>122159672.96346797</v>
      </c>
      <c r="AB1930" s="246">
        <f>IFERROR(VLOOKUP(N1930,PROGRAMAS[],2,FALSE),0)</f>
        <v>1892779498.5211046</v>
      </c>
      <c r="AC1930" s="246">
        <f>IFERROR(VLOOKUP(O1930,PROGRAMAS[],2,FALSE),0)</f>
        <v>0</v>
      </c>
      <c r="AD1930" s="246">
        <f>IFERROR(VLOOKUP(P1930,PROGRAMAS[],2,FALSE),0)</f>
        <v>0</v>
      </c>
      <c r="AE1930" s="246">
        <f>IFERROR(VLOOKUP(Q1930,PROGRAMAS[],2,FALSE),0)</f>
        <v>0</v>
      </c>
      <c r="AF1930" s="246">
        <f>IFERROR(VLOOKUP(D1930,PROGRAMAS[],3,FALSE),0)</f>
        <v>841888629.31080008</v>
      </c>
      <c r="AG1930" s="246">
        <f>IFERROR(VLOOKUP(E1930,PROGRAMAS[],3,FALSE),0)</f>
        <v>3848980803.1642323</v>
      </c>
      <c r="AH1930" s="246">
        <f>IFERROR(VLOOKUP(F1930,PROGRAMAS[],3,FALSE),0)</f>
        <v>3394901471.387517</v>
      </c>
      <c r="AI1930" s="246">
        <f>IFERROR(VLOOKUP(G1930,PROGRAMAS[],3,FALSE),0)</f>
        <v>125317226.95549992</v>
      </c>
      <c r="AJ1930" s="246">
        <f>IFERROR(VLOOKUP(H1930,PROGRAMAS[],3,FALSE),0)</f>
        <v>7011279577.519702</v>
      </c>
      <c r="AK1930" s="246">
        <f>IFERROR(VLOOKUP(I1930,PROGRAMAS[],3,FALSE),0)</f>
        <v>4099471734.9978786</v>
      </c>
      <c r="AL1930" s="246">
        <f>IFERROR(VLOOKUP(J1930,PROGRAMAS[],3,FALSE),0)</f>
        <v>675517840.109828</v>
      </c>
      <c r="AM1930" s="246">
        <f>IFERROR(VLOOKUP(K1930,PROGRAMAS[],3,FALSE),0)</f>
        <v>2392571243.5584412</v>
      </c>
      <c r="AN1930" s="246">
        <f>IFERROR(VLOOKUP(L1930,PROGRAMAS[],3,FALSE),0)</f>
        <v>31865326.38096505</v>
      </c>
      <c r="AO1930" s="246">
        <f>IFERROR(VLOOKUP(M1930,PROGRAMAS[],3,FALSE),0)</f>
        <v>118617452.52510804</v>
      </c>
      <c r="AP1930" s="246">
        <f>IFERROR(VLOOKUP(N1930,PROGRAMAS[],3,FALSE),0)</f>
        <v>948595847.09039903</v>
      </c>
      <c r="AQ1930" s="246">
        <f>IFERROR(VLOOKUP(O1930,PROGRAMAS[],3,FALSE),0)</f>
        <v>0</v>
      </c>
      <c r="AR1930" s="246">
        <f>IFERROR(VLOOKUP(P1930,PROGRAMAS[],3,FALSE),0)</f>
        <v>0</v>
      </c>
      <c r="AS1930" s="246">
        <f>IFERROR(VLOOKUP(Q1930,PROGRAMAS[],3,FALSE),0)</f>
        <v>0</v>
      </c>
      <c r="AT1930" s="246">
        <f>IFERROR(VLOOKUP(D1930,VOL_REC[],2,FALSE),0)</f>
        <v>0</v>
      </c>
      <c r="AU1930" s="246">
        <f>IFERROR(VLOOKUP(E1930,VOL_REC[],2,FALSE),0)</f>
        <v>0</v>
      </c>
      <c r="AV1930" s="246">
        <f>IFERROR(VLOOKUP(F1930,VOL_REC[],2,FALSE),0)</f>
        <v>11089674.200000001</v>
      </c>
      <c r="AW1930" s="246">
        <f>IFERROR(VLOOKUP(G1930,VOL_REC[],2,FALSE),0)</f>
        <v>90439.55</v>
      </c>
      <c r="AX1930" s="246">
        <f>IFERROR(VLOOKUP(H1930,VOL_REC[],2,FALSE),0)</f>
        <v>3761786</v>
      </c>
      <c r="AY1930" s="246">
        <f>IFERROR(VLOOKUP(I1930,VOL_REC[],2,FALSE),0)</f>
        <v>1812240</v>
      </c>
      <c r="AZ1930" s="246">
        <f>IFERROR(VLOOKUP(J1930,VOL_REC[],2,FALSE),0)</f>
        <v>240696.79238099116</v>
      </c>
      <c r="BA1930" s="246">
        <f>IFERROR(VLOOKUP(K1930,VOL_REC[],2,FALSE),0)</f>
        <v>663244.80000000016</v>
      </c>
      <c r="BB1930" s="246">
        <f>IFERROR(VLOOKUP(L1930,VOL_REC[],2,FALSE),0)</f>
        <v>17074.045034105649</v>
      </c>
      <c r="BC1930" s="246">
        <f>IFERROR(VLOOKUP(M1930,VOL_REC[],2,FALSE),0)</f>
        <v>105072</v>
      </c>
      <c r="BD1930" s="246">
        <f>IFERROR(VLOOKUP(N1930,VOL_REC[],2,FALSE),0)</f>
        <v>740113.98115702497</v>
      </c>
      <c r="BE1930" s="246">
        <f>IFERROR(VLOOKUP(O1930,VOL_REC[],2,FALSE),0)</f>
        <v>0</v>
      </c>
      <c r="BF1930" s="246">
        <f>IFERROR(VLOOKUP(P1930,VOL_REC[],2,FALSE),0)</f>
        <v>0</v>
      </c>
      <c r="BG1930" s="246">
        <f>IFERROR(VLOOKUP(Q1930,VOL_REC[],2,FALSE),0)</f>
        <v>0</v>
      </c>
      <c r="BH1930" s="1710">
        <f t="shared" si="124"/>
        <v>21241957538.973904</v>
      </c>
      <c r="BI1930" s="1710">
        <f t="shared" si="125"/>
        <v>23489007153.000374</v>
      </c>
      <c r="BJ1930" s="1711">
        <f t="shared" si="126"/>
        <v>18520341.368572123</v>
      </c>
      <c r="BK1930" s="1711">
        <f t="shared" si="127"/>
        <v>0.90433611776820277</v>
      </c>
    </row>
    <row r="1931" spans="3:67" x14ac:dyDescent="0.25">
      <c r="C1931" s="246" t="s">
        <v>3281</v>
      </c>
      <c r="D1931" s="246">
        <v>1</v>
      </c>
      <c r="E1931" s="246">
        <v>2</v>
      </c>
      <c r="F1931" s="246">
        <v>3</v>
      </c>
      <c r="G1931" s="246">
        <v>4</v>
      </c>
      <c r="H1931" s="246">
        <v>9</v>
      </c>
      <c r="I1931" s="246">
        <v>10</v>
      </c>
      <c r="J1931" s="246">
        <v>12</v>
      </c>
      <c r="K1931" s="246">
        <v>13</v>
      </c>
      <c r="L1931" s="246">
        <v>14</v>
      </c>
      <c r="M1931" s="246">
        <v>16</v>
      </c>
      <c r="N1931" s="246">
        <v>17</v>
      </c>
      <c r="O1931" s="246"/>
      <c r="P1931" s="246"/>
      <c r="Q1931" s="246"/>
      <c r="R1931" s="246">
        <f>IFERROR(VLOOKUP(D1931,PROGRAMAS[],2,FALSE),0)</f>
        <v>97037803.679377079</v>
      </c>
      <c r="S1931" s="246">
        <f>IFERROR(VLOOKUP(E1931,PROGRAMAS[],2,FALSE),0)</f>
        <v>640501509.6821388</v>
      </c>
      <c r="T1931" s="246">
        <f>IFERROR(VLOOKUP(F1931,PROGRAMAS[],2,FALSE),0)</f>
        <v>3062327798.1525245</v>
      </c>
      <c r="U1931" s="246">
        <f>IFERROR(VLOOKUP(G1931,PROGRAMAS[],2,FALSE),0)</f>
        <v>67697118.033011258</v>
      </c>
      <c r="V1931" s="246">
        <f>IFERROR(VLOOKUP(H1931,PROGRAMAS[],2,FALSE),0)</f>
        <v>6128579952.1618185</v>
      </c>
      <c r="W1931" s="246">
        <f>IFERROR(VLOOKUP(I1931,PROGRAMAS[],2,FALSE),0)</f>
        <v>4635315027.8751087</v>
      </c>
      <c r="X1931" s="246">
        <f>IFERROR(VLOOKUP(J1931,PROGRAMAS[],2,FALSE),0)</f>
        <v>764796700.79905891</v>
      </c>
      <c r="Y1931" s="246">
        <f>IFERROR(VLOOKUP(K1931,PROGRAMAS[],2,FALSE),0)</f>
        <v>3776538594.4604583</v>
      </c>
      <c r="Z1931" s="246">
        <f>IFERROR(VLOOKUP(L1931,PROGRAMAS[],2,FALSE),0)</f>
        <v>54223862.645839565</v>
      </c>
      <c r="AA1931" s="246">
        <f>IFERROR(VLOOKUP(M1931,PROGRAMAS[],2,FALSE),0)</f>
        <v>7068496961.0436354</v>
      </c>
      <c r="AB1931" s="246">
        <f>IFERROR(VLOOKUP(N1931,PROGRAMAS[],2,FALSE),0)</f>
        <v>1892779498.5211046</v>
      </c>
      <c r="AC1931" s="246">
        <f>IFERROR(VLOOKUP(O1931,PROGRAMAS[],2,FALSE),0)</f>
        <v>0</v>
      </c>
      <c r="AD1931" s="246">
        <f>IFERROR(VLOOKUP(P1931,PROGRAMAS[],2,FALSE),0)</f>
        <v>0</v>
      </c>
      <c r="AE1931" s="246">
        <f>IFERROR(VLOOKUP(Q1931,PROGRAMAS[],2,FALSE),0)</f>
        <v>0</v>
      </c>
      <c r="AF1931" s="246">
        <f>IFERROR(VLOOKUP(D1931,PROGRAMAS[],3,FALSE),0)</f>
        <v>841888629.31080008</v>
      </c>
      <c r="AG1931" s="246">
        <f>IFERROR(VLOOKUP(E1931,PROGRAMAS[],3,FALSE),0)</f>
        <v>3848980803.1642323</v>
      </c>
      <c r="AH1931" s="246">
        <f>IFERROR(VLOOKUP(F1931,PROGRAMAS[],3,FALSE),0)</f>
        <v>3394901471.387517</v>
      </c>
      <c r="AI1931" s="246">
        <f>IFERROR(VLOOKUP(G1931,PROGRAMAS[],3,FALSE),0)</f>
        <v>125317226.95549992</v>
      </c>
      <c r="AJ1931" s="246">
        <f>IFERROR(VLOOKUP(H1931,PROGRAMAS[],3,FALSE),0)</f>
        <v>7011279577.519702</v>
      </c>
      <c r="AK1931" s="246">
        <f>IFERROR(VLOOKUP(I1931,PROGRAMAS[],3,FALSE),0)</f>
        <v>4099471734.9978786</v>
      </c>
      <c r="AL1931" s="246">
        <f>IFERROR(VLOOKUP(J1931,PROGRAMAS[],3,FALSE),0)</f>
        <v>675517840.109828</v>
      </c>
      <c r="AM1931" s="246">
        <f>IFERROR(VLOOKUP(K1931,PROGRAMAS[],3,FALSE),0)</f>
        <v>2392571243.5584412</v>
      </c>
      <c r="AN1931" s="246">
        <f>IFERROR(VLOOKUP(L1931,PROGRAMAS[],3,FALSE),0)</f>
        <v>31865326.38096505</v>
      </c>
      <c r="AO1931" s="246">
        <f>IFERROR(VLOOKUP(M1931,PROGRAMAS[],3,FALSE),0)</f>
        <v>2406564599.0319901</v>
      </c>
      <c r="AP1931" s="246">
        <f>IFERROR(VLOOKUP(N1931,PROGRAMAS[],3,FALSE),0)</f>
        <v>948595847.09039903</v>
      </c>
      <c r="AQ1931" s="246">
        <f>IFERROR(VLOOKUP(O1931,PROGRAMAS[],3,FALSE),0)</f>
        <v>0</v>
      </c>
      <c r="AR1931" s="246">
        <f>IFERROR(VLOOKUP(P1931,PROGRAMAS[],3,FALSE),0)</f>
        <v>0</v>
      </c>
      <c r="AS1931" s="246">
        <f>IFERROR(VLOOKUP(Q1931,PROGRAMAS[],3,FALSE),0)</f>
        <v>0</v>
      </c>
      <c r="AT1931" s="246">
        <f>IFERROR(VLOOKUP(D1931,VOL_REC[],2,FALSE),0)</f>
        <v>0</v>
      </c>
      <c r="AU1931" s="246">
        <f>IFERROR(VLOOKUP(E1931,VOL_REC[],2,FALSE),0)</f>
        <v>0</v>
      </c>
      <c r="AV1931" s="246">
        <f>IFERROR(VLOOKUP(F1931,VOL_REC[],2,FALSE),0)</f>
        <v>11089674.200000001</v>
      </c>
      <c r="AW1931" s="246">
        <f>IFERROR(VLOOKUP(G1931,VOL_REC[],2,FALSE),0)</f>
        <v>90439.55</v>
      </c>
      <c r="AX1931" s="246">
        <f>IFERROR(VLOOKUP(H1931,VOL_REC[],2,FALSE),0)</f>
        <v>3761786</v>
      </c>
      <c r="AY1931" s="246">
        <f>IFERROR(VLOOKUP(I1931,VOL_REC[],2,FALSE),0)</f>
        <v>1812240</v>
      </c>
      <c r="AZ1931" s="246">
        <f>IFERROR(VLOOKUP(J1931,VOL_REC[],2,FALSE),0)</f>
        <v>240696.79238099116</v>
      </c>
      <c r="BA1931" s="246">
        <f>IFERROR(VLOOKUP(K1931,VOL_REC[],2,FALSE),0)</f>
        <v>663244.80000000016</v>
      </c>
      <c r="BB1931" s="246">
        <f>IFERROR(VLOOKUP(L1931,VOL_REC[],2,FALSE),0)</f>
        <v>17074.045034105649</v>
      </c>
      <c r="BC1931" s="246">
        <f>IFERROR(VLOOKUP(M1931,VOL_REC[],2,FALSE),0)</f>
        <v>1072354.9981737854</v>
      </c>
      <c r="BD1931" s="246">
        <f>IFERROR(VLOOKUP(N1931,VOL_REC[],2,FALSE),0)</f>
        <v>740113.98115702497</v>
      </c>
      <c r="BE1931" s="246">
        <f>IFERROR(VLOOKUP(O1931,VOL_REC[],2,FALSE),0)</f>
        <v>0</v>
      </c>
      <c r="BF1931" s="246">
        <f>IFERROR(VLOOKUP(P1931,VOL_REC[],2,FALSE),0)</f>
        <v>0</v>
      </c>
      <c r="BG1931" s="246">
        <f>IFERROR(VLOOKUP(Q1931,VOL_REC[],2,FALSE),0)</f>
        <v>0</v>
      </c>
      <c r="BH1931" s="1710">
        <f t="shared" si="124"/>
        <v>28188294827.054073</v>
      </c>
      <c r="BI1931" s="1710">
        <f t="shared" si="125"/>
        <v>25776954299.507256</v>
      </c>
      <c r="BJ1931" s="1711">
        <f t="shared" si="126"/>
        <v>19487624.366745908</v>
      </c>
      <c r="BK1931" s="1711">
        <f t="shared" si="127"/>
        <v>1.0935463708989432</v>
      </c>
      <c r="BL1931">
        <f t="shared" ref="BL1931:BL1936" si="130">BJ1931</f>
        <v>19487624.366745908</v>
      </c>
      <c r="BO1931">
        <f t="shared" ref="BO1931:BO1936" si="131">BL1931</f>
        <v>19487624.366745908</v>
      </c>
    </row>
    <row r="1932" spans="3:67" x14ac:dyDescent="0.25">
      <c r="C1932" s="246" t="s">
        <v>3282</v>
      </c>
      <c r="D1932" s="246">
        <v>1</v>
      </c>
      <c r="E1932" s="246">
        <v>2</v>
      </c>
      <c r="F1932" s="246">
        <v>3</v>
      </c>
      <c r="G1932" s="246">
        <v>4</v>
      </c>
      <c r="H1932" s="246">
        <v>9</v>
      </c>
      <c r="I1932" s="246">
        <v>10</v>
      </c>
      <c r="J1932" s="246">
        <v>12</v>
      </c>
      <c r="K1932" s="246">
        <v>13</v>
      </c>
      <c r="L1932" s="246">
        <v>15</v>
      </c>
      <c r="M1932" s="246">
        <v>16</v>
      </c>
      <c r="N1932" s="246">
        <v>17</v>
      </c>
      <c r="O1932" s="246"/>
      <c r="P1932" s="246"/>
      <c r="Q1932" s="246"/>
      <c r="R1932" s="246">
        <f>IFERROR(VLOOKUP(D1932,PROGRAMAS[],2,FALSE),0)</f>
        <v>97037803.679377079</v>
      </c>
      <c r="S1932" s="246">
        <f>IFERROR(VLOOKUP(E1932,PROGRAMAS[],2,FALSE),0)</f>
        <v>640501509.6821388</v>
      </c>
      <c r="T1932" s="246">
        <f>IFERROR(VLOOKUP(F1932,PROGRAMAS[],2,FALSE),0)</f>
        <v>3062327798.1525245</v>
      </c>
      <c r="U1932" s="246">
        <f>IFERROR(VLOOKUP(G1932,PROGRAMAS[],2,FALSE),0)</f>
        <v>67697118.033011258</v>
      </c>
      <c r="V1932" s="246">
        <f>IFERROR(VLOOKUP(H1932,PROGRAMAS[],2,FALSE),0)</f>
        <v>6128579952.1618185</v>
      </c>
      <c r="W1932" s="246">
        <f>IFERROR(VLOOKUP(I1932,PROGRAMAS[],2,FALSE),0)</f>
        <v>4635315027.8751087</v>
      </c>
      <c r="X1932" s="246">
        <f>IFERROR(VLOOKUP(J1932,PROGRAMAS[],2,FALSE),0)</f>
        <v>764796700.79905891</v>
      </c>
      <c r="Y1932" s="246">
        <f>IFERROR(VLOOKUP(K1932,PROGRAMAS[],2,FALSE),0)</f>
        <v>3776538594.4604583</v>
      </c>
      <c r="Z1932" s="246">
        <f>IFERROR(VLOOKUP(L1932,PROGRAMAS[],2,FALSE),0)</f>
        <v>122159672.96346797</v>
      </c>
      <c r="AA1932" s="246">
        <f>IFERROR(VLOOKUP(M1932,PROGRAMAS[],2,FALSE),0)</f>
        <v>7068496961.0436354</v>
      </c>
      <c r="AB1932" s="246">
        <f>IFERROR(VLOOKUP(N1932,PROGRAMAS[],2,FALSE),0)</f>
        <v>1892779498.5211046</v>
      </c>
      <c r="AC1932" s="246">
        <f>IFERROR(VLOOKUP(O1932,PROGRAMAS[],2,FALSE),0)</f>
        <v>0</v>
      </c>
      <c r="AD1932" s="246">
        <f>IFERROR(VLOOKUP(P1932,PROGRAMAS[],2,FALSE),0)</f>
        <v>0</v>
      </c>
      <c r="AE1932" s="246">
        <f>IFERROR(VLOOKUP(Q1932,PROGRAMAS[],2,FALSE),0)</f>
        <v>0</v>
      </c>
      <c r="AF1932" s="246">
        <f>IFERROR(VLOOKUP(D1932,PROGRAMAS[],3,FALSE),0)</f>
        <v>841888629.31080008</v>
      </c>
      <c r="AG1932" s="246">
        <f>IFERROR(VLOOKUP(E1932,PROGRAMAS[],3,FALSE),0)</f>
        <v>3848980803.1642323</v>
      </c>
      <c r="AH1932" s="246">
        <f>IFERROR(VLOOKUP(F1932,PROGRAMAS[],3,FALSE),0)</f>
        <v>3394901471.387517</v>
      </c>
      <c r="AI1932" s="246">
        <f>IFERROR(VLOOKUP(G1932,PROGRAMAS[],3,FALSE),0)</f>
        <v>125317226.95549992</v>
      </c>
      <c r="AJ1932" s="246">
        <f>IFERROR(VLOOKUP(H1932,PROGRAMAS[],3,FALSE),0)</f>
        <v>7011279577.519702</v>
      </c>
      <c r="AK1932" s="246">
        <f>IFERROR(VLOOKUP(I1932,PROGRAMAS[],3,FALSE),0)</f>
        <v>4099471734.9978786</v>
      </c>
      <c r="AL1932" s="246">
        <f>IFERROR(VLOOKUP(J1932,PROGRAMAS[],3,FALSE),0)</f>
        <v>675517840.109828</v>
      </c>
      <c r="AM1932" s="246">
        <f>IFERROR(VLOOKUP(K1932,PROGRAMAS[],3,FALSE),0)</f>
        <v>2392571243.5584412</v>
      </c>
      <c r="AN1932" s="246">
        <f>IFERROR(VLOOKUP(L1932,PROGRAMAS[],3,FALSE),0)</f>
        <v>118617452.52510804</v>
      </c>
      <c r="AO1932" s="246">
        <f>IFERROR(VLOOKUP(M1932,PROGRAMAS[],3,FALSE),0)</f>
        <v>2406564599.0319901</v>
      </c>
      <c r="AP1932" s="246">
        <f>IFERROR(VLOOKUP(N1932,PROGRAMAS[],3,FALSE),0)</f>
        <v>948595847.09039903</v>
      </c>
      <c r="AQ1932" s="246">
        <f>IFERROR(VLOOKUP(O1932,PROGRAMAS[],3,FALSE),0)</f>
        <v>0</v>
      </c>
      <c r="AR1932" s="246">
        <f>IFERROR(VLOOKUP(P1932,PROGRAMAS[],3,FALSE),0)</f>
        <v>0</v>
      </c>
      <c r="AS1932" s="246">
        <f>IFERROR(VLOOKUP(Q1932,PROGRAMAS[],3,FALSE),0)</f>
        <v>0</v>
      </c>
      <c r="AT1932" s="246">
        <f>IFERROR(VLOOKUP(D1932,VOL_REC[],2,FALSE),0)</f>
        <v>0</v>
      </c>
      <c r="AU1932" s="246">
        <f>IFERROR(VLOOKUP(E1932,VOL_REC[],2,FALSE),0)</f>
        <v>0</v>
      </c>
      <c r="AV1932" s="246">
        <f>IFERROR(VLOOKUP(F1932,VOL_REC[],2,FALSE),0)</f>
        <v>11089674.200000001</v>
      </c>
      <c r="AW1932" s="246">
        <f>IFERROR(VLOOKUP(G1932,VOL_REC[],2,FALSE),0)</f>
        <v>90439.55</v>
      </c>
      <c r="AX1932" s="246">
        <f>IFERROR(VLOOKUP(H1932,VOL_REC[],2,FALSE),0)</f>
        <v>3761786</v>
      </c>
      <c r="AY1932" s="246">
        <f>IFERROR(VLOOKUP(I1932,VOL_REC[],2,FALSE),0)</f>
        <v>1812240</v>
      </c>
      <c r="AZ1932" s="246">
        <f>IFERROR(VLOOKUP(J1932,VOL_REC[],2,FALSE),0)</f>
        <v>240696.79238099116</v>
      </c>
      <c r="BA1932" s="246">
        <f>IFERROR(VLOOKUP(K1932,VOL_REC[],2,FALSE),0)</f>
        <v>663244.80000000016</v>
      </c>
      <c r="BB1932" s="246">
        <f>IFERROR(VLOOKUP(L1932,VOL_REC[],2,FALSE),0)</f>
        <v>105072</v>
      </c>
      <c r="BC1932" s="246">
        <f>IFERROR(VLOOKUP(M1932,VOL_REC[],2,FALSE),0)</f>
        <v>1072354.9981737854</v>
      </c>
      <c r="BD1932" s="246">
        <f>IFERROR(VLOOKUP(N1932,VOL_REC[],2,FALSE),0)</f>
        <v>740113.98115702497</v>
      </c>
      <c r="BE1932" s="246">
        <f>IFERROR(VLOOKUP(O1932,VOL_REC[],2,FALSE),0)</f>
        <v>0</v>
      </c>
      <c r="BF1932" s="246">
        <f>IFERROR(VLOOKUP(P1932,VOL_REC[],2,FALSE),0)</f>
        <v>0</v>
      </c>
      <c r="BG1932" s="246">
        <f>IFERROR(VLOOKUP(Q1932,VOL_REC[],2,FALSE),0)</f>
        <v>0</v>
      </c>
      <c r="BH1932" s="1710">
        <f t="shared" si="124"/>
        <v>28256230637.3717</v>
      </c>
      <c r="BI1932" s="1710">
        <f t="shared" si="125"/>
        <v>25863706425.651398</v>
      </c>
      <c r="BJ1932" s="1711">
        <f t="shared" si="126"/>
        <v>19575622.321711801</v>
      </c>
      <c r="BK1932" s="1711">
        <f t="shared" si="127"/>
        <v>1.0925050792158473</v>
      </c>
      <c r="BL1932">
        <f t="shared" si="130"/>
        <v>19575622.321711801</v>
      </c>
      <c r="BO1932">
        <f t="shared" si="131"/>
        <v>19575622.321711801</v>
      </c>
    </row>
    <row r="1933" spans="3:67" x14ac:dyDescent="0.25">
      <c r="C1933" s="246" t="s">
        <v>3283</v>
      </c>
      <c r="D1933" s="246">
        <v>1</v>
      </c>
      <c r="E1933" s="246">
        <v>2</v>
      </c>
      <c r="F1933" s="246">
        <v>3</v>
      </c>
      <c r="G1933" s="246">
        <v>4</v>
      </c>
      <c r="H1933" s="246">
        <v>9</v>
      </c>
      <c r="I1933" s="246">
        <v>10</v>
      </c>
      <c r="J1933" s="246">
        <v>12</v>
      </c>
      <c r="K1933" s="246">
        <v>14</v>
      </c>
      <c r="L1933" s="246">
        <v>15</v>
      </c>
      <c r="M1933" s="246">
        <v>16</v>
      </c>
      <c r="N1933" s="246">
        <v>17</v>
      </c>
      <c r="O1933" s="246"/>
      <c r="P1933" s="246"/>
      <c r="Q1933" s="246"/>
      <c r="R1933" s="246">
        <f>IFERROR(VLOOKUP(D1933,PROGRAMAS[],2,FALSE),0)</f>
        <v>97037803.679377079</v>
      </c>
      <c r="S1933" s="246">
        <f>IFERROR(VLOOKUP(E1933,PROGRAMAS[],2,FALSE),0)</f>
        <v>640501509.6821388</v>
      </c>
      <c r="T1933" s="246">
        <f>IFERROR(VLOOKUP(F1933,PROGRAMAS[],2,FALSE),0)</f>
        <v>3062327798.1525245</v>
      </c>
      <c r="U1933" s="246">
        <f>IFERROR(VLOOKUP(G1933,PROGRAMAS[],2,FALSE),0)</f>
        <v>67697118.033011258</v>
      </c>
      <c r="V1933" s="246">
        <f>IFERROR(VLOOKUP(H1933,PROGRAMAS[],2,FALSE),0)</f>
        <v>6128579952.1618185</v>
      </c>
      <c r="W1933" s="246">
        <f>IFERROR(VLOOKUP(I1933,PROGRAMAS[],2,FALSE),0)</f>
        <v>4635315027.8751087</v>
      </c>
      <c r="X1933" s="246">
        <f>IFERROR(VLOOKUP(J1933,PROGRAMAS[],2,FALSE),0)</f>
        <v>764796700.79905891</v>
      </c>
      <c r="Y1933" s="246">
        <f>IFERROR(VLOOKUP(K1933,PROGRAMAS[],2,FALSE),0)</f>
        <v>54223862.645839565</v>
      </c>
      <c r="Z1933" s="246">
        <f>IFERROR(VLOOKUP(L1933,PROGRAMAS[],2,FALSE),0)</f>
        <v>122159672.96346797</v>
      </c>
      <c r="AA1933" s="246">
        <f>IFERROR(VLOOKUP(M1933,PROGRAMAS[],2,FALSE),0)</f>
        <v>7068496961.0436354</v>
      </c>
      <c r="AB1933" s="246">
        <f>IFERROR(VLOOKUP(N1933,PROGRAMAS[],2,FALSE),0)</f>
        <v>1892779498.5211046</v>
      </c>
      <c r="AC1933" s="246">
        <f>IFERROR(VLOOKUP(O1933,PROGRAMAS[],2,FALSE),0)</f>
        <v>0</v>
      </c>
      <c r="AD1933" s="246">
        <f>IFERROR(VLOOKUP(P1933,PROGRAMAS[],2,FALSE),0)</f>
        <v>0</v>
      </c>
      <c r="AE1933" s="246">
        <f>IFERROR(VLOOKUP(Q1933,PROGRAMAS[],2,FALSE),0)</f>
        <v>0</v>
      </c>
      <c r="AF1933" s="246">
        <f>IFERROR(VLOOKUP(D1933,PROGRAMAS[],3,FALSE),0)</f>
        <v>841888629.31080008</v>
      </c>
      <c r="AG1933" s="246">
        <f>IFERROR(VLOOKUP(E1933,PROGRAMAS[],3,FALSE),0)</f>
        <v>3848980803.1642323</v>
      </c>
      <c r="AH1933" s="246">
        <f>IFERROR(VLOOKUP(F1933,PROGRAMAS[],3,FALSE),0)</f>
        <v>3394901471.387517</v>
      </c>
      <c r="AI1933" s="246">
        <f>IFERROR(VLOOKUP(G1933,PROGRAMAS[],3,FALSE),0)</f>
        <v>125317226.95549992</v>
      </c>
      <c r="AJ1933" s="246">
        <f>IFERROR(VLOOKUP(H1933,PROGRAMAS[],3,FALSE),0)</f>
        <v>7011279577.519702</v>
      </c>
      <c r="AK1933" s="246">
        <f>IFERROR(VLOOKUP(I1933,PROGRAMAS[],3,FALSE),0)</f>
        <v>4099471734.9978786</v>
      </c>
      <c r="AL1933" s="246">
        <f>IFERROR(VLOOKUP(J1933,PROGRAMAS[],3,FALSE),0)</f>
        <v>675517840.109828</v>
      </c>
      <c r="AM1933" s="246">
        <f>IFERROR(VLOOKUP(K1933,PROGRAMAS[],3,FALSE),0)</f>
        <v>31865326.38096505</v>
      </c>
      <c r="AN1933" s="246">
        <f>IFERROR(VLOOKUP(L1933,PROGRAMAS[],3,FALSE),0)</f>
        <v>118617452.52510804</v>
      </c>
      <c r="AO1933" s="246">
        <f>IFERROR(VLOOKUP(M1933,PROGRAMAS[],3,FALSE),0)</f>
        <v>2406564599.0319901</v>
      </c>
      <c r="AP1933" s="246">
        <f>IFERROR(VLOOKUP(N1933,PROGRAMAS[],3,FALSE),0)</f>
        <v>948595847.09039903</v>
      </c>
      <c r="AQ1933" s="246">
        <f>IFERROR(VLOOKUP(O1933,PROGRAMAS[],3,FALSE),0)</f>
        <v>0</v>
      </c>
      <c r="AR1933" s="246">
        <f>IFERROR(VLOOKUP(P1933,PROGRAMAS[],3,FALSE),0)</f>
        <v>0</v>
      </c>
      <c r="AS1933" s="246">
        <f>IFERROR(VLOOKUP(Q1933,PROGRAMAS[],3,FALSE),0)</f>
        <v>0</v>
      </c>
      <c r="AT1933" s="246">
        <f>IFERROR(VLOOKUP(D1933,VOL_REC[],2,FALSE),0)</f>
        <v>0</v>
      </c>
      <c r="AU1933" s="246">
        <f>IFERROR(VLOOKUP(E1933,VOL_REC[],2,FALSE),0)</f>
        <v>0</v>
      </c>
      <c r="AV1933" s="246">
        <f>IFERROR(VLOOKUP(F1933,VOL_REC[],2,FALSE),0)</f>
        <v>11089674.200000001</v>
      </c>
      <c r="AW1933" s="246">
        <f>IFERROR(VLOOKUP(G1933,VOL_REC[],2,FALSE),0)</f>
        <v>90439.55</v>
      </c>
      <c r="AX1933" s="246">
        <f>IFERROR(VLOOKUP(H1933,VOL_REC[],2,FALSE),0)</f>
        <v>3761786</v>
      </c>
      <c r="AY1933" s="246">
        <f>IFERROR(VLOOKUP(I1933,VOL_REC[],2,FALSE),0)</f>
        <v>1812240</v>
      </c>
      <c r="AZ1933" s="246">
        <f>IFERROR(VLOOKUP(J1933,VOL_REC[],2,FALSE),0)</f>
        <v>240696.79238099116</v>
      </c>
      <c r="BA1933" s="246">
        <f>IFERROR(VLOOKUP(K1933,VOL_REC[],2,FALSE),0)</f>
        <v>17074.045034105649</v>
      </c>
      <c r="BB1933" s="246">
        <f>IFERROR(VLOOKUP(L1933,VOL_REC[],2,FALSE),0)</f>
        <v>105072</v>
      </c>
      <c r="BC1933" s="246">
        <f>IFERROR(VLOOKUP(M1933,VOL_REC[],2,FALSE),0)</f>
        <v>1072354.9981737854</v>
      </c>
      <c r="BD1933" s="246">
        <f>IFERROR(VLOOKUP(N1933,VOL_REC[],2,FALSE),0)</f>
        <v>740113.98115702497</v>
      </c>
      <c r="BE1933" s="246">
        <f>IFERROR(VLOOKUP(O1933,VOL_REC[],2,FALSE),0)</f>
        <v>0</v>
      </c>
      <c r="BF1933" s="246">
        <f>IFERROR(VLOOKUP(P1933,VOL_REC[],2,FALSE),0)</f>
        <v>0</v>
      </c>
      <c r="BG1933" s="246">
        <f>IFERROR(VLOOKUP(Q1933,VOL_REC[],2,FALSE),0)</f>
        <v>0</v>
      </c>
      <c r="BH1933" s="1710">
        <f t="shared" si="124"/>
        <v>24533915905.557083</v>
      </c>
      <c r="BI1933" s="1710">
        <f t="shared" si="125"/>
        <v>23503000508.473923</v>
      </c>
      <c r="BJ1933" s="1711">
        <f t="shared" si="126"/>
        <v>18929451.566745907</v>
      </c>
      <c r="BK1933" s="1711">
        <f t="shared" si="127"/>
        <v>1.0438631398025739</v>
      </c>
      <c r="BL1933">
        <f t="shared" si="130"/>
        <v>18929451.566745907</v>
      </c>
      <c r="BO1933">
        <f t="shared" si="131"/>
        <v>18929451.566745907</v>
      </c>
    </row>
    <row r="1934" spans="3:67" x14ac:dyDescent="0.25">
      <c r="C1934" s="246" t="s">
        <v>3284</v>
      </c>
      <c r="D1934" s="246">
        <v>1</v>
      </c>
      <c r="E1934" s="246">
        <v>2</v>
      </c>
      <c r="F1934" s="246">
        <v>3</v>
      </c>
      <c r="G1934" s="246">
        <v>4</v>
      </c>
      <c r="H1934" s="246">
        <v>9</v>
      </c>
      <c r="I1934" s="246">
        <v>10</v>
      </c>
      <c r="J1934" s="246">
        <v>13</v>
      </c>
      <c r="K1934" s="246">
        <v>14</v>
      </c>
      <c r="L1934" s="246">
        <v>15</v>
      </c>
      <c r="M1934" s="246">
        <v>16</v>
      </c>
      <c r="N1934" s="246">
        <v>17</v>
      </c>
      <c r="O1934" s="246"/>
      <c r="P1934" s="246"/>
      <c r="Q1934" s="246"/>
      <c r="R1934" s="246">
        <f>IFERROR(VLOOKUP(D1934,PROGRAMAS[],2,FALSE),0)</f>
        <v>97037803.679377079</v>
      </c>
      <c r="S1934" s="246">
        <f>IFERROR(VLOOKUP(E1934,PROGRAMAS[],2,FALSE),0)</f>
        <v>640501509.6821388</v>
      </c>
      <c r="T1934" s="246">
        <f>IFERROR(VLOOKUP(F1934,PROGRAMAS[],2,FALSE),0)</f>
        <v>3062327798.1525245</v>
      </c>
      <c r="U1934" s="246">
        <f>IFERROR(VLOOKUP(G1934,PROGRAMAS[],2,FALSE),0)</f>
        <v>67697118.033011258</v>
      </c>
      <c r="V1934" s="246">
        <f>IFERROR(VLOOKUP(H1934,PROGRAMAS[],2,FALSE),0)</f>
        <v>6128579952.1618185</v>
      </c>
      <c r="W1934" s="246">
        <f>IFERROR(VLOOKUP(I1934,PROGRAMAS[],2,FALSE),0)</f>
        <v>4635315027.8751087</v>
      </c>
      <c r="X1934" s="246">
        <f>IFERROR(VLOOKUP(J1934,PROGRAMAS[],2,FALSE),0)</f>
        <v>3776538594.4604583</v>
      </c>
      <c r="Y1934" s="246">
        <f>IFERROR(VLOOKUP(K1934,PROGRAMAS[],2,FALSE),0)</f>
        <v>54223862.645839565</v>
      </c>
      <c r="Z1934" s="246">
        <f>IFERROR(VLOOKUP(L1934,PROGRAMAS[],2,FALSE),0)</f>
        <v>122159672.96346797</v>
      </c>
      <c r="AA1934" s="246">
        <f>IFERROR(VLOOKUP(M1934,PROGRAMAS[],2,FALSE),0)</f>
        <v>7068496961.0436354</v>
      </c>
      <c r="AB1934" s="246">
        <f>IFERROR(VLOOKUP(N1934,PROGRAMAS[],2,FALSE),0)</f>
        <v>1892779498.5211046</v>
      </c>
      <c r="AC1934" s="246">
        <f>IFERROR(VLOOKUP(O1934,PROGRAMAS[],2,FALSE),0)</f>
        <v>0</v>
      </c>
      <c r="AD1934" s="246">
        <f>IFERROR(VLOOKUP(P1934,PROGRAMAS[],2,FALSE),0)</f>
        <v>0</v>
      </c>
      <c r="AE1934" s="246">
        <f>IFERROR(VLOOKUP(Q1934,PROGRAMAS[],2,FALSE),0)</f>
        <v>0</v>
      </c>
      <c r="AF1934" s="246">
        <f>IFERROR(VLOOKUP(D1934,PROGRAMAS[],3,FALSE),0)</f>
        <v>841888629.31080008</v>
      </c>
      <c r="AG1934" s="246">
        <f>IFERROR(VLOOKUP(E1934,PROGRAMAS[],3,FALSE),0)</f>
        <v>3848980803.1642323</v>
      </c>
      <c r="AH1934" s="246">
        <f>IFERROR(VLOOKUP(F1934,PROGRAMAS[],3,FALSE),0)</f>
        <v>3394901471.387517</v>
      </c>
      <c r="AI1934" s="246">
        <f>IFERROR(VLOOKUP(G1934,PROGRAMAS[],3,FALSE),0)</f>
        <v>125317226.95549992</v>
      </c>
      <c r="AJ1934" s="246">
        <f>IFERROR(VLOOKUP(H1934,PROGRAMAS[],3,FALSE),0)</f>
        <v>7011279577.519702</v>
      </c>
      <c r="AK1934" s="246">
        <f>IFERROR(VLOOKUP(I1934,PROGRAMAS[],3,FALSE),0)</f>
        <v>4099471734.9978786</v>
      </c>
      <c r="AL1934" s="246">
        <f>IFERROR(VLOOKUP(J1934,PROGRAMAS[],3,FALSE),0)</f>
        <v>2392571243.5584412</v>
      </c>
      <c r="AM1934" s="246">
        <f>IFERROR(VLOOKUP(K1934,PROGRAMAS[],3,FALSE),0)</f>
        <v>31865326.38096505</v>
      </c>
      <c r="AN1934" s="246">
        <f>IFERROR(VLOOKUP(L1934,PROGRAMAS[],3,FALSE),0)</f>
        <v>118617452.52510804</v>
      </c>
      <c r="AO1934" s="246">
        <f>IFERROR(VLOOKUP(M1934,PROGRAMAS[],3,FALSE),0)</f>
        <v>2406564599.0319901</v>
      </c>
      <c r="AP1934" s="246">
        <f>IFERROR(VLOOKUP(N1934,PROGRAMAS[],3,FALSE),0)</f>
        <v>948595847.09039903</v>
      </c>
      <c r="AQ1934" s="246">
        <f>IFERROR(VLOOKUP(O1934,PROGRAMAS[],3,FALSE),0)</f>
        <v>0</v>
      </c>
      <c r="AR1934" s="246">
        <f>IFERROR(VLOOKUP(P1934,PROGRAMAS[],3,FALSE),0)</f>
        <v>0</v>
      </c>
      <c r="AS1934" s="246">
        <f>IFERROR(VLOOKUP(Q1934,PROGRAMAS[],3,FALSE),0)</f>
        <v>0</v>
      </c>
      <c r="AT1934" s="246">
        <f>IFERROR(VLOOKUP(D1934,VOL_REC[],2,FALSE),0)</f>
        <v>0</v>
      </c>
      <c r="AU1934" s="246">
        <f>IFERROR(VLOOKUP(E1934,VOL_REC[],2,FALSE),0)</f>
        <v>0</v>
      </c>
      <c r="AV1934" s="246">
        <f>IFERROR(VLOOKUP(F1934,VOL_REC[],2,FALSE),0)</f>
        <v>11089674.200000001</v>
      </c>
      <c r="AW1934" s="246">
        <f>IFERROR(VLOOKUP(G1934,VOL_REC[],2,FALSE),0)</f>
        <v>90439.55</v>
      </c>
      <c r="AX1934" s="246">
        <f>IFERROR(VLOOKUP(H1934,VOL_REC[],2,FALSE),0)</f>
        <v>3761786</v>
      </c>
      <c r="AY1934" s="246">
        <f>IFERROR(VLOOKUP(I1934,VOL_REC[],2,FALSE),0)</f>
        <v>1812240</v>
      </c>
      <c r="AZ1934" s="246">
        <f>IFERROR(VLOOKUP(J1934,VOL_REC[],2,FALSE),0)</f>
        <v>663244.80000000016</v>
      </c>
      <c r="BA1934" s="246">
        <f>IFERROR(VLOOKUP(K1934,VOL_REC[],2,FALSE),0)</f>
        <v>17074.045034105649</v>
      </c>
      <c r="BB1934" s="246">
        <f>IFERROR(VLOOKUP(L1934,VOL_REC[],2,FALSE),0)</f>
        <v>105072</v>
      </c>
      <c r="BC1934" s="246">
        <f>IFERROR(VLOOKUP(M1934,VOL_REC[],2,FALSE),0)</f>
        <v>1072354.9981737854</v>
      </c>
      <c r="BD1934" s="246">
        <f>IFERROR(VLOOKUP(N1934,VOL_REC[],2,FALSE),0)</f>
        <v>740113.98115702497</v>
      </c>
      <c r="BE1934" s="246">
        <f>IFERROR(VLOOKUP(O1934,VOL_REC[],2,FALSE),0)</f>
        <v>0</v>
      </c>
      <c r="BF1934" s="246">
        <f>IFERROR(VLOOKUP(P1934,VOL_REC[],2,FALSE),0)</f>
        <v>0</v>
      </c>
      <c r="BG1934" s="246">
        <f>IFERROR(VLOOKUP(Q1934,VOL_REC[],2,FALSE),0)</f>
        <v>0</v>
      </c>
      <c r="BH1934" s="1710">
        <f t="shared" si="124"/>
        <v>27545657799.218483</v>
      </c>
      <c r="BI1934" s="1710">
        <f t="shared" si="125"/>
        <v>25220053911.922535</v>
      </c>
      <c r="BJ1934" s="1711">
        <f t="shared" si="126"/>
        <v>19351999.574364915</v>
      </c>
      <c r="BK1934" s="1711">
        <f t="shared" si="127"/>
        <v>1.0922124867543024</v>
      </c>
      <c r="BL1934">
        <f t="shared" si="130"/>
        <v>19351999.574364915</v>
      </c>
      <c r="BO1934">
        <f t="shared" si="131"/>
        <v>19351999.574364915</v>
      </c>
    </row>
    <row r="1935" spans="3:67" x14ac:dyDescent="0.25">
      <c r="C1935" s="246" t="s">
        <v>3285</v>
      </c>
      <c r="D1935" s="246">
        <v>1</v>
      </c>
      <c r="E1935" s="246">
        <v>2</v>
      </c>
      <c r="F1935" s="246">
        <v>3</v>
      </c>
      <c r="G1935" s="246">
        <v>4</v>
      </c>
      <c r="H1935" s="246">
        <v>9</v>
      </c>
      <c r="I1935" s="246">
        <v>12</v>
      </c>
      <c r="J1935" s="246">
        <v>13</v>
      </c>
      <c r="K1935" s="246">
        <v>14</v>
      </c>
      <c r="L1935" s="246">
        <v>15</v>
      </c>
      <c r="M1935" s="246">
        <v>16</v>
      </c>
      <c r="N1935" s="246">
        <v>17</v>
      </c>
      <c r="O1935" s="246"/>
      <c r="P1935" s="246"/>
      <c r="Q1935" s="246"/>
      <c r="R1935" s="246">
        <f>IFERROR(VLOOKUP(D1935,PROGRAMAS[],2,FALSE),0)</f>
        <v>97037803.679377079</v>
      </c>
      <c r="S1935" s="246">
        <f>IFERROR(VLOOKUP(E1935,PROGRAMAS[],2,FALSE),0)</f>
        <v>640501509.6821388</v>
      </c>
      <c r="T1935" s="246">
        <f>IFERROR(VLOOKUP(F1935,PROGRAMAS[],2,FALSE),0)</f>
        <v>3062327798.1525245</v>
      </c>
      <c r="U1935" s="246">
        <f>IFERROR(VLOOKUP(G1935,PROGRAMAS[],2,FALSE),0)</f>
        <v>67697118.033011258</v>
      </c>
      <c r="V1935" s="246">
        <f>IFERROR(VLOOKUP(H1935,PROGRAMAS[],2,FALSE),0)</f>
        <v>6128579952.1618185</v>
      </c>
      <c r="W1935" s="246">
        <f>IFERROR(VLOOKUP(I1935,PROGRAMAS[],2,FALSE),0)</f>
        <v>764796700.79905891</v>
      </c>
      <c r="X1935" s="246">
        <f>IFERROR(VLOOKUP(J1935,PROGRAMAS[],2,FALSE),0)</f>
        <v>3776538594.4604583</v>
      </c>
      <c r="Y1935" s="246">
        <f>IFERROR(VLOOKUP(K1935,PROGRAMAS[],2,FALSE),0)</f>
        <v>54223862.645839565</v>
      </c>
      <c r="Z1935" s="246">
        <f>IFERROR(VLOOKUP(L1935,PROGRAMAS[],2,FALSE),0)</f>
        <v>122159672.96346797</v>
      </c>
      <c r="AA1935" s="246">
        <f>IFERROR(VLOOKUP(M1935,PROGRAMAS[],2,FALSE),0)</f>
        <v>7068496961.0436354</v>
      </c>
      <c r="AB1935" s="246">
        <f>IFERROR(VLOOKUP(N1935,PROGRAMAS[],2,FALSE),0)</f>
        <v>1892779498.5211046</v>
      </c>
      <c r="AC1935" s="246">
        <f>IFERROR(VLOOKUP(O1935,PROGRAMAS[],2,FALSE),0)</f>
        <v>0</v>
      </c>
      <c r="AD1935" s="246">
        <f>IFERROR(VLOOKUP(P1935,PROGRAMAS[],2,FALSE),0)</f>
        <v>0</v>
      </c>
      <c r="AE1935" s="246">
        <f>IFERROR(VLOOKUP(Q1935,PROGRAMAS[],2,FALSE),0)</f>
        <v>0</v>
      </c>
      <c r="AF1935" s="246">
        <f>IFERROR(VLOOKUP(D1935,PROGRAMAS[],3,FALSE),0)</f>
        <v>841888629.31080008</v>
      </c>
      <c r="AG1935" s="246">
        <f>IFERROR(VLOOKUP(E1935,PROGRAMAS[],3,FALSE),0)</f>
        <v>3848980803.1642323</v>
      </c>
      <c r="AH1935" s="246">
        <f>IFERROR(VLOOKUP(F1935,PROGRAMAS[],3,FALSE),0)</f>
        <v>3394901471.387517</v>
      </c>
      <c r="AI1935" s="246">
        <f>IFERROR(VLOOKUP(G1935,PROGRAMAS[],3,FALSE),0)</f>
        <v>125317226.95549992</v>
      </c>
      <c r="AJ1935" s="246">
        <f>IFERROR(VLOOKUP(H1935,PROGRAMAS[],3,FALSE),0)</f>
        <v>7011279577.519702</v>
      </c>
      <c r="AK1935" s="246">
        <f>IFERROR(VLOOKUP(I1935,PROGRAMAS[],3,FALSE),0)</f>
        <v>675517840.109828</v>
      </c>
      <c r="AL1935" s="246">
        <f>IFERROR(VLOOKUP(J1935,PROGRAMAS[],3,FALSE),0)</f>
        <v>2392571243.5584412</v>
      </c>
      <c r="AM1935" s="246">
        <f>IFERROR(VLOOKUP(K1935,PROGRAMAS[],3,FALSE),0)</f>
        <v>31865326.38096505</v>
      </c>
      <c r="AN1935" s="246">
        <f>IFERROR(VLOOKUP(L1935,PROGRAMAS[],3,FALSE),0)</f>
        <v>118617452.52510804</v>
      </c>
      <c r="AO1935" s="246">
        <f>IFERROR(VLOOKUP(M1935,PROGRAMAS[],3,FALSE),0)</f>
        <v>2406564599.0319901</v>
      </c>
      <c r="AP1935" s="246">
        <f>IFERROR(VLOOKUP(N1935,PROGRAMAS[],3,FALSE),0)</f>
        <v>948595847.09039903</v>
      </c>
      <c r="AQ1935" s="246">
        <f>IFERROR(VLOOKUP(O1935,PROGRAMAS[],3,FALSE),0)</f>
        <v>0</v>
      </c>
      <c r="AR1935" s="246">
        <f>IFERROR(VLOOKUP(P1935,PROGRAMAS[],3,FALSE),0)</f>
        <v>0</v>
      </c>
      <c r="AS1935" s="246">
        <f>IFERROR(VLOOKUP(Q1935,PROGRAMAS[],3,FALSE),0)</f>
        <v>0</v>
      </c>
      <c r="AT1935" s="246">
        <f>IFERROR(VLOOKUP(D1935,VOL_REC[],2,FALSE),0)</f>
        <v>0</v>
      </c>
      <c r="AU1935" s="246">
        <f>IFERROR(VLOOKUP(E1935,VOL_REC[],2,FALSE),0)</f>
        <v>0</v>
      </c>
      <c r="AV1935" s="246">
        <f>IFERROR(VLOOKUP(F1935,VOL_REC[],2,FALSE),0)</f>
        <v>11089674.200000001</v>
      </c>
      <c r="AW1935" s="246">
        <f>IFERROR(VLOOKUP(G1935,VOL_REC[],2,FALSE),0)</f>
        <v>90439.55</v>
      </c>
      <c r="AX1935" s="246">
        <f>IFERROR(VLOOKUP(H1935,VOL_REC[],2,FALSE),0)</f>
        <v>3761786</v>
      </c>
      <c r="AY1935" s="246">
        <f>IFERROR(VLOOKUP(I1935,VOL_REC[],2,FALSE),0)</f>
        <v>240696.79238099116</v>
      </c>
      <c r="AZ1935" s="246">
        <f>IFERROR(VLOOKUP(J1935,VOL_REC[],2,FALSE),0)</f>
        <v>663244.80000000016</v>
      </c>
      <c r="BA1935" s="246">
        <f>IFERROR(VLOOKUP(K1935,VOL_REC[],2,FALSE),0)</f>
        <v>17074.045034105649</v>
      </c>
      <c r="BB1935" s="246">
        <f>IFERROR(VLOOKUP(L1935,VOL_REC[],2,FALSE),0)</f>
        <v>105072</v>
      </c>
      <c r="BC1935" s="246">
        <f>IFERROR(VLOOKUP(M1935,VOL_REC[],2,FALSE),0)</f>
        <v>1072354.9981737854</v>
      </c>
      <c r="BD1935" s="246">
        <f>IFERROR(VLOOKUP(N1935,VOL_REC[],2,FALSE),0)</f>
        <v>740113.98115702497</v>
      </c>
      <c r="BE1935" s="246">
        <f>IFERROR(VLOOKUP(O1935,VOL_REC[],2,FALSE),0)</f>
        <v>0</v>
      </c>
      <c r="BF1935" s="246">
        <f>IFERROR(VLOOKUP(P1935,VOL_REC[],2,FALSE),0)</f>
        <v>0</v>
      </c>
      <c r="BG1935" s="246">
        <f>IFERROR(VLOOKUP(Q1935,VOL_REC[],2,FALSE),0)</f>
        <v>0</v>
      </c>
      <c r="BH1935" s="1710">
        <f t="shared" si="124"/>
        <v>23675139472.142433</v>
      </c>
      <c r="BI1935" s="1710">
        <f t="shared" si="125"/>
        <v>21796100017.034485</v>
      </c>
      <c r="BJ1935" s="1711">
        <f t="shared" si="126"/>
        <v>17780456.366745908</v>
      </c>
      <c r="BK1935" s="1711">
        <f t="shared" si="127"/>
        <v>1.0862098932212372</v>
      </c>
      <c r="BL1935">
        <f t="shared" si="130"/>
        <v>17780456.366745908</v>
      </c>
      <c r="BO1935">
        <f t="shared" si="131"/>
        <v>17780456.366745908</v>
      </c>
    </row>
    <row r="1936" spans="3:67" x14ac:dyDescent="0.25">
      <c r="C1936" s="246" t="s">
        <v>3286</v>
      </c>
      <c r="D1936" s="246">
        <v>1</v>
      </c>
      <c r="E1936" s="246">
        <v>2</v>
      </c>
      <c r="F1936" s="246">
        <v>3</v>
      </c>
      <c r="G1936" s="246">
        <v>4</v>
      </c>
      <c r="H1936" s="246">
        <v>10</v>
      </c>
      <c r="I1936" s="246">
        <v>12</v>
      </c>
      <c r="J1936" s="246">
        <v>13</v>
      </c>
      <c r="K1936" s="246">
        <v>14</v>
      </c>
      <c r="L1936" s="246">
        <v>15</v>
      </c>
      <c r="M1936" s="246">
        <v>16</v>
      </c>
      <c r="N1936" s="246">
        <v>17</v>
      </c>
      <c r="O1936" s="246"/>
      <c r="P1936" s="246"/>
      <c r="Q1936" s="246"/>
      <c r="R1936" s="246">
        <f>IFERROR(VLOOKUP(D1936,PROGRAMAS[],2,FALSE),0)</f>
        <v>97037803.679377079</v>
      </c>
      <c r="S1936" s="246">
        <f>IFERROR(VLOOKUP(E1936,PROGRAMAS[],2,FALSE),0)</f>
        <v>640501509.6821388</v>
      </c>
      <c r="T1936" s="246">
        <f>IFERROR(VLOOKUP(F1936,PROGRAMAS[],2,FALSE),0)</f>
        <v>3062327798.1525245</v>
      </c>
      <c r="U1936" s="246">
        <f>IFERROR(VLOOKUP(G1936,PROGRAMAS[],2,FALSE),0)</f>
        <v>67697118.033011258</v>
      </c>
      <c r="V1936" s="246">
        <f>IFERROR(VLOOKUP(H1936,PROGRAMAS[],2,FALSE),0)</f>
        <v>4635315027.8751087</v>
      </c>
      <c r="W1936" s="246">
        <f>IFERROR(VLOOKUP(I1936,PROGRAMAS[],2,FALSE),0)</f>
        <v>764796700.79905891</v>
      </c>
      <c r="X1936" s="246">
        <f>IFERROR(VLOOKUP(J1936,PROGRAMAS[],2,FALSE),0)</f>
        <v>3776538594.4604583</v>
      </c>
      <c r="Y1936" s="246">
        <f>IFERROR(VLOOKUP(K1936,PROGRAMAS[],2,FALSE),0)</f>
        <v>54223862.645839565</v>
      </c>
      <c r="Z1936" s="246">
        <f>IFERROR(VLOOKUP(L1936,PROGRAMAS[],2,FALSE),0)</f>
        <v>122159672.96346797</v>
      </c>
      <c r="AA1936" s="246">
        <f>IFERROR(VLOOKUP(M1936,PROGRAMAS[],2,FALSE),0)</f>
        <v>7068496961.0436354</v>
      </c>
      <c r="AB1936" s="246">
        <f>IFERROR(VLOOKUP(N1936,PROGRAMAS[],2,FALSE),0)</f>
        <v>1892779498.5211046</v>
      </c>
      <c r="AC1936" s="246">
        <f>IFERROR(VLOOKUP(O1936,PROGRAMAS[],2,FALSE),0)</f>
        <v>0</v>
      </c>
      <c r="AD1936" s="246">
        <f>IFERROR(VLOOKUP(P1936,PROGRAMAS[],2,FALSE),0)</f>
        <v>0</v>
      </c>
      <c r="AE1936" s="246">
        <f>IFERROR(VLOOKUP(Q1936,PROGRAMAS[],2,FALSE),0)</f>
        <v>0</v>
      </c>
      <c r="AF1936" s="246">
        <f>IFERROR(VLOOKUP(D1936,PROGRAMAS[],3,FALSE),0)</f>
        <v>841888629.31080008</v>
      </c>
      <c r="AG1936" s="246">
        <f>IFERROR(VLOOKUP(E1936,PROGRAMAS[],3,FALSE),0)</f>
        <v>3848980803.1642323</v>
      </c>
      <c r="AH1936" s="246">
        <f>IFERROR(VLOOKUP(F1936,PROGRAMAS[],3,FALSE),0)</f>
        <v>3394901471.387517</v>
      </c>
      <c r="AI1936" s="246">
        <f>IFERROR(VLOOKUP(G1936,PROGRAMAS[],3,FALSE),0)</f>
        <v>125317226.95549992</v>
      </c>
      <c r="AJ1936" s="246">
        <f>IFERROR(VLOOKUP(H1936,PROGRAMAS[],3,FALSE),0)</f>
        <v>4099471734.9978786</v>
      </c>
      <c r="AK1936" s="246">
        <f>IFERROR(VLOOKUP(I1936,PROGRAMAS[],3,FALSE),0)</f>
        <v>675517840.109828</v>
      </c>
      <c r="AL1936" s="246">
        <f>IFERROR(VLOOKUP(J1936,PROGRAMAS[],3,FALSE),0)</f>
        <v>2392571243.5584412</v>
      </c>
      <c r="AM1936" s="246">
        <f>IFERROR(VLOOKUP(K1936,PROGRAMAS[],3,FALSE),0)</f>
        <v>31865326.38096505</v>
      </c>
      <c r="AN1936" s="246">
        <f>IFERROR(VLOOKUP(L1936,PROGRAMAS[],3,FALSE),0)</f>
        <v>118617452.52510804</v>
      </c>
      <c r="AO1936" s="246">
        <f>IFERROR(VLOOKUP(M1936,PROGRAMAS[],3,FALSE),0)</f>
        <v>2406564599.0319901</v>
      </c>
      <c r="AP1936" s="246">
        <f>IFERROR(VLOOKUP(N1936,PROGRAMAS[],3,FALSE),0)</f>
        <v>948595847.09039903</v>
      </c>
      <c r="AQ1936" s="246">
        <f>IFERROR(VLOOKUP(O1936,PROGRAMAS[],3,FALSE),0)</f>
        <v>0</v>
      </c>
      <c r="AR1936" s="246">
        <f>IFERROR(VLOOKUP(P1936,PROGRAMAS[],3,FALSE),0)</f>
        <v>0</v>
      </c>
      <c r="AS1936" s="246">
        <f>IFERROR(VLOOKUP(Q1936,PROGRAMAS[],3,FALSE),0)</f>
        <v>0</v>
      </c>
      <c r="AT1936" s="246">
        <f>IFERROR(VLOOKUP(D1936,VOL_REC[],2,FALSE),0)</f>
        <v>0</v>
      </c>
      <c r="AU1936" s="246">
        <f>IFERROR(VLOOKUP(E1936,VOL_REC[],2,FALSE),0)</f>
        <v>0</v>
      </c>
      <c r="AV1936" s="246">
        <f>IFERROR(VLOOKUP(F1936,VOL_REC[],2,FALSE),0)</f>
        <v>11089674.200000001</v>
      </c>
      <c r="AW1936" s="246">
        <f>IFERROR(VLOOKUP(G1936,VOL_REC[],2,FALSE),0)</f>
        <v>90439.55</v>
      </c>
      <c r="AX1936" s="246">
        <f>IFERROR(VLOOKUP(H1936,VOL_REC[],2,FALSE),0)</f>
        <v>1812240</v>
      </c>
      <c r="AY1936" s="246">
        <f>IFERROR(VLOOKUP(I1936,VOL_REC[],2,FALSE),0)</f>
        <v>240696.79238099116</v>
      </c>
      <c r="AZ1936" s="246">
        <f>IFERROR(VLOOKUP(J1936,VOL_REC[],2,FALSE),0)</f>
        <v>663244.80000000016</v>
      </c>
      <c r="BA1936" s="246">
        <f>IFERROR(VLOOKUP(K1936,VOL_REC[],2,FALSE),0)</f>
        <v>17074.045034105649</v>
      </c>
      <c r="BB1936" s="246">
        <f>IFERROR(VLOOKUP(L1936,VOL_REC[],2,FALSE),0)</f>
        <v>105072</v>
      </c>
      <c r="BC1936" s="246">
        <f>IFERROR(VLOOKUP(M1936,VOL_REC[],2,FALSE),0)</f>
        <v>1072354.9981737854</v>
      </c>
      <c r="BD1936" s="246">
        <f>IFERROR(VLOOKUP(N1936,VOL_REC[],2,FALSE),0)</f>
        <v>740113.98115702497</v>
      </c>
      <c r="BE1936" s="246">
        <f>IFERROR(VLOOKUP(O1936,VOL_REC[],2,FALSE),0)</f>
        <v>0</v>
      </c>
      <c r="BF1936" s="246">
        <f>IFERROR(VLOOKUP(P1936,VOL_REC[],2,FALSE),0)</f>
        <v>0</v>
      </c>
      <c r="BG1936" s="246">
        <f>IFERROR(VLOOKUP(Q1936,VOL_REC[],2,FALSE),0)</f>
        <v>0</v>
      </c>
      <c r="BH1936" s="1710">
        <f t="shared" si="124"/>
        <v>22181874547.855724</v>
      </c>
      <c r="BI1936" s="1710">
        <f t="shared" si="125"/>
        <v>18884292174.512657</v>
      </c>
      <c r="BJ1936" s="1711">
        <f t="shared" si="126"/>
        <v>15830910.36674591</v>
      </c>
      <c r="BK1936" s="1711">
        <f t="shared" si="127"/>
        <v>1.1746203851788355</v>
      </c>
      <c r="BL1936">
        <f t="shared" si="130"/>
        <v>15830910.36674591</v>
      </c>
      <c r="BO1936">
        <f t="shared" si="131"/>
        <v>15830910.36674591</v>
      </c>
    </row>
    <row r="1937" spans="3:67" x14ac:dyDescent="0.25">
      <c r="C1937" s="246" t="s">
        <v>3287</v>
      </c>
      <c r="D1937" s="246">
        <v>1</v>
      </c>
      <c r="E1937" s="246">
        <v>2</v>
      </c>
      <c r="F1937" s="246">
        <v>3</v>
      </c>
      <c r="G1937" s="246">
        <v>5</v>
      </c>
      <c r="H1937" s="246">
        <v>6</v>
      </c>
      <c r="I1937" s="246">
        <v>9</v>
      </c>
      <c r="J1937" s="246">
        <v>10</v>
      </c>
      <c r="K1937" s="246">
        <v>12</v>
      </c>
      <c r="L1937" s="246">
        <v>13</v>
      </c>
      <c r="M1937" s="246">
        <v>14</v>
      </c>
      <c r="N1937" s="246">
        <v>15</v>
      </c>
      <c r="O1937" s="246"/>
      <c r="P1937" s="246"/>
      <c r="Q1937" s="246"/>
      <c r="R1937" s="246">
        <f>IFERROR(VLOOKUP(D1937,PROGRAMAS[],2,FALSE),0)</f>
        <v>97037803.679377079</v>
      </c>
      <c r="S1937" s="246">
        <f>IFERROR(VLOOKUP(E1937,PROGRAMAS[],2,FALSE),0)</f>
        <v>640501509.6821388</v>
      </c>
      <c r="T1937" s="246">
        <f>IFERROR(VLOOKUP(F1937,PROGRAMAS[],2,FALSE),0)</f>
        <v>3062327798.1525245</v>
      </c>
      <c r="U1937" s="246">
        <f>IFERROR(VLOOKUP(G1937,PROGRAMAS[],2,FALSE),0)</f>
        <v>1440941976.2528784</v>
      </c>
      <c r="V1937" s="246">
        <f>IFERROR(VLOOKUP(H1937,PROGRAMAS[],2,FALSE),0)</f>
        <v>6907648435.8447599</v>
      </c>
      <c r="W1937" s="246">
        <f>IFERROR(VLOOKUP(I1937,PROGRAMAS[],2,FALSE),0)</f>
        <v>6128579952.1618185</v>
      </c>
      <c r="X1937" s="246">
        <f>IFERROR(VLOOKUP(J1937,PROGRAMAS[],2,FALSE),0)</f>
        <v>4635315027.8751087</v>
      </c>
      <c r="Y1937" s="246">
        <f>IFERROR(VLOOKUP(K1937,PROGRAMAS[],2,FALSE),0)</f>
        <v>764796700.79905891</v>
      </c>
      <c r="Z1937" s="246">
        <f>IFERROR(VLOOKUP(L1937,PROGRAMAS[],2,FALSE),0)</f>
        <v>3776538594.4604583</v>
      </c>
      <c r="AA1937" s="246">
        <f>IFERROR(VLOOKUP(M1937,PROGRAMAS[],2,FALSE),0)</f>
        <v>54223862.645839565</v>
      </c>
      <c r="AB1937" s="246">
        <f>IFERROR(VLOOKUP(N1937,PROGRAMAS[],2,FALSE),0)</f>
        <v>122159672.96346797</v>
      </c>
      <c r="AC1937" s="246">
        <f>IFERROR(VLOOKUP(O1937,PROGRAMAS[],2,FALSE),0)</f>
        <v>0</v>
      </c>
      <c r="AD1937" s="246">
        <f>IFERROR(VLOOKUP(P1937,PROGRAMAS[],2,FALSE),0)</f>
        <v>0</v>
      </c>
      <c r="AE1937" s="246">
        <f>IFERROR(VLOOKUP(Q1937,PROGRAMAS[],2,FALSE),0)</f>
        <v>0</v>
      </c>
      <c r="AF1937" s="246">
        <f>IFERROR(VLOOKUP(D1937,PROGRAMAS[],3,FALSE),0)</f>
        <v>841888629.31080008</v>
      </c>
      <c r="AG1937" s="246">
        <f>IFERROR(VLOOKUP(E1937,PROGRAMAS[],3,FALSE),0)</f>
        <v>3848980803.1642323</v>
      </c>
      <c r="AH1937" s="246">
        <f>IFERROR(VLOOKUP(F1937,PROGRAMAS[],3,FALSE),0)</f>
        <v>3394901471.387517</v>
      </c>
      <c r="AI1937" s="246">
        <f>IFERROR(VLOOKUP(G1937,PROGRAMAS[],3,FALSE),0)</f>
        <v>1233505101.0616004</v>
      </c>
      <c r="AJ1937" s="246">
        <f>IFERROR(VLOOKUP(H1937,PROGRAMAS[],3,FALSE),0)</f>
        <v>6129902208.7912121</v>
      </c>
      <c r="AK1937" s="246">
        <f>IFERROR(VLOOKUP(I1937,PROGRAMAS[],3,FALSE),0)</f>
        <v>7011279577.519702</v>
      </c>
      <c r="AL1937" s="246">
        <f>IFERROR(VLOOKUP(J1937,PROGRAMAS[],3,FALSE),0)</f>
        <v>4099471734.9978786</v>
      </c>
      <c r="AM1937" s="246">
        <f>IFERROR(VLOOKUP(K1937,PROGRAMAS[],3,FALSE),0)</f>
        <v>675517840.109828</v>
      </c>
      <c r="AN1937" s="246">
        <f>IFERROR(VLOOKUP(L1937,PROGRAMAS[],3,FALSE),0)</f>
        <v>2392571243.5584412</v>
      </c>
      <c r="AO1937" s="246">
        <f>IFERROR(VLOOKUP(M1937,PROGRAMAS[],3,FALSE),0)</f>
        <v>31865326.38096505</v>
      </c>
      <c r="AP1937" s="246">
        <f>IFERROR(VLOOKUP(N1937,PROGRAMAS[],3,FALSE),0)</f>
        <v>118617452.52510804</v>
      </c>
      <c r="AQ1937" s="246">
        <f>IFERROR(VLOOKUP(O1937,PROGRAMAS[],3,FALSE),0)</f>
        <v>0</v>
      </c>
      <c r="AR1937" s="246">
        <f>IFERROR(VLOOKUP(P1937,PROGRAMAS[],3,FALSE),0)</f>
        <v>0</v>
      </c>
      <c r="AS1937" s="246">
        <f>IFERROR(VLOOKUP(Q1937,PROGRAMAS[],3,FALSE),0)</f>
        <v>0</v>
      </c>
      <c r="AT1937" s="246">
        <f>IFERROR(VLOOKUP(D1937,VOL_REC[],2,FALSE),0)</f>
        <v>0</v>
      </c>
      <c r="AU1937" s="246">
        <f>IFERROR(VLOOKUP(E1937,VOL_REC[],2,FALSE),0)</f>
        <v>0</v>
      </c>
      <c r="AV1937" s="246">
        <f>IFERROR(VLOOKUP(F1937,VOL_REC[],2,FALSE),0)</f>
        <v>11089674.200000001</v>
      </c>
      <c r="AW1937" s="246">
        <f>IFERROR(VLOOKUP(G1937,VOL_REC[],2,FALSE),0)</f>
        <v>4325103.1812214684</v>
      </c>
      <c r="AX1937" s="246">
        <f>IFERROR(VLOOKUP(H1937,VOL_REC[],2,FALSE),0)</f>
        <v>15540036.397699751</v>
      </c>
      <c r="AY1937" s="246">
        <f>IFERROR(VLOOKUP(I1937,VOL_REC[],2,FALSE),0)</f>
        <v>3761786</v>
      </c>
      <c r="AZ1937" s="246">
        <f>IFERROR(VLOOKUP(J1937,VOL_REC[],2,FALSE),0)</f>
        <v>1812240</v>
      </c>
      <c r="BA1937" s="246">
        <f>IFERROR(VLOOKUP(K1937,VOL_REC[],2,FALSE),0)</f>
        <v>240696.79238099116</v>
      </c>
      <c r="BB1937" s="246">
        <f>IFERROR(VLOOKUP(L1937,VOL_REC[],2,FALSE),0)</f>
        <v>663244.80000000016</v>
      </c>
      <c r="BC1937" s="246">
        <f>IFERROR(VLOOKUP(M1937,VOL_REC[],2,FALSE),0)</f>
        <v>17074.045034105649</v>
      </c>
      <c r="BD1937" s="246">
        <f>IFERROR(VLOOKUP(N1937,VOL_REC[],2,FALSE),0)</f>
        <v>105072</v>
      </c>
      <c r="BE1937" s="246">
        <f>IFERROR(VLOOKUP(O1937,VOL_REC[],2,FALSE),0)</f>
        <v>0</v>
      </c>
      <c r="BF1937" s="246">
        <f>IFERROR(VLOOKUP(P1937,VOL_REC[],2,FALSE),0)</f>
        <v>0</v>
      </c>
      <c r="BG1937" s="246">
        <f>IFERROR(VLOOKUP(Q1937,VOL_REC[],2,FALSE),0)</f>
        <v>0</v>
      </c>
      <c r="BH1937" s="1710">
        <f t="shared" si="124"/>
        <v>27630071334.517426</v>
      </c>
      <c r="BI1937" s="1710">
        <f t="shared" si="125"/>
        <v>29778501388.807289</v>
      </c>
      <c r="BJ1937" s="1711">
        <f t="shared" si="126"/>
        <v>37554927.416336305</v>
      </c>
      <c r="BK1937" s="1711">
        <f t="shared" si="127"/>
        <v>0.92785298271935923</v>
      </c>
    </row>
    <row r="1938" spans="3:67" x14ac:dyDescent="0.25">
      <c r="C1938" s="246" t="s">
        <v>3288</v>
      </c>
      <c r="D1938" s="246">
        <v>1</v>
      </c>
      <c r="E1938" s="246">
        <v>2</v>
      </c>
      <c r="F1938" s="246">
        <v>3</v>
      </c>
      <c r="G1938" s="246">
        <v>5</v>
      </c>
      <c r="H1938" s="246">
        <v>6</v>
      </c>
      <c r="I1938" s="246">
        <v>9</v>
      </c>
      <c r="J1938" s="246">
        <v>10</v>
      </c>
      <c r="K1938" s="246">
        <v>12</v>
      </c>
      <c r="L1938" s="246">
        <v>13</v>
      </c>
      <c r="M1938" s="246">
        <v>14</v>
      </c>
      <c r="N1938" s="246">
        <v>16</v>
      </c>
      <c r="O1938" s="246"/>
      <c r="P1938" s="246"/>
      <c r="Q1938" s="246"/>
      <c r="R1938" s="246">
        <f>IFERROR(VLOOKUP(D1938,PROGRAMAS[],2,FALSE),0)</f>
        <v>97037803.679377079</v>
      </c>
      <c r="S1938" s="246">
        <f>IFERROR(VLOOKUP(E1938,PROGRAMAS[],2,FALSE),0)</f>
        <v>640501509.6821388</v>
      </c>
      <c r="T1938" s="246">
        <f>IFERROR(VLOOKUP(F1938,PROGRAMAS[],2,FALSE),0)</f>
        <v>3062327798.1525245</v>
      </c>
      <c r="U1938" s="246">
        <f>IFERROR(VLOOKUP(G1938,PROGRAMAS[],2,FALSE),0)</f>
        <v>1440941976.2528784</v>
      </c>
      <c r="V1938" s="246">
        <f>IFERROR(VLOOKUP(H1938,PROGRAMAS[],2,FALSE),0)</f>
        <v>6907648435.8447599</v>
      </c>
      <c r="W1938" s="246">
        <f>IFERROR(VLOOKUP(I1938,PROGRAMAS[],2,FALSE),0)</f>
        <v>6128579952.1618185</v>
      </c>
      <c r="X1938" s="246">
        <f>IFERROR(VLOOKUP(J1938,PROGRAMAS[],2,FALSE),0)</f>
        <v>4635315027.8751087</v>
      </c>
      <c r="Y1938" s="246">
        <f>IFERROR(VLOOKUP(K1938,PROGRAMAS[],2,FALSE),0)</f>
        <v>764796700.79905891</v>
      </c>
      <c r="Z1938" s="246">
        <f>IFERROR(VLOOKUP(L1938,PROGRAMAS[],2,FALSE),0)</f>
        <v>3776538594.4604583</v>
      </c>
      <c r="AA1938" s="246">
        <f>IFERROR(VLOOKUP(M1938,PROGRAMAS[],2,FALSE),0)</f>
        <v>54223862.645839565</v>
      </c>
      <c r="AB1938" s="246">
        <f>IFERROR(VLOOKUP(N1938,PROGRAMAS[],2,FALSE),0)</f>
        <v>7068496961.0436354</v>
      </c>
      <c r="AC1938" s="246">
        <f>IFERROR(VLOOKUP(O1938,PROGRAMAS[],2,FALSE),0)</f>
        <v>0</v>
      </c>
      <c r="AD1938" s="246">
        <f>IFERROR(VLOOKUP(P1938,PROGRAMAS[],2,FALSE),0)</f>
        <v>0</v>
      </c>
      <c r="AE1938" s="246">
        <f>IFERROR(VLOOKUP(Q1938,PROGRAMAS[],2,FALSE),0)</f>
        <v>0</v>
      </c>
      <c r="AF1938" s="246">
        <f>IFERROR(VLOOKUP(D1938,PROGRAMAS[],3,FALSE),0)</f>
        <v>841888629.31080008</v>
      </c>
      <c r="AG1938" s="246">
        <f>IFERROR(VLOOKUP(E1938,PROGRAMAS[],3,FALSE),0)</f>
        <v>3848980803.1642323</v>
      </c>
      <c r="AH1938" s="246">
        <f>IFERROR(VLOOKUP(F1938,PROGRAMAS[],3,FALSE),0)</f>
        <v>3394901471.387517</v>
      </c>
      <c r="AI1938" s="246">
        <f>IFERROR(VLOOKUP(G1938,PROGRAMAS[],3,FALSE),0)</f>
        <v>1233505101.0616004</v>
      </c>
      <c r="AJ1938" s="246">
        <f>IFERROR(VLOOKUP(H1938,PROGRAMAS[],3,FALSE),0)</f>
        <v>6129902208.7912121</v>
      </c>
      <c r="AK1938" s="246">
        <f>IFERROR(VLOOKUP(I1938,PROGRAMAS[],3,FALSE),0)</f>
        <v>7011279577.519702</v>
      </c>
      <c r="AL1938" s="246">
        <f>IFERROR(VLOOKUP(J1938,PROGRAMAS[],3,FALSE),0)</f>
        <v>4099471734.9978786</v>
      </c>
      <c r="AM1938" s="246">
        <f>IFERROR(VLOOKUP(K1938,PROGRAMAS[],3,FALSE),0)</f>
        <v>675517840.109828</v>
      </c>
      <c r="AN1938" s="246">
        <f>IFERROR(VLOOKUP(L1938,PROGRAMAS[],3,FALSE),0)</f>
        <v>2392571243.5584412</v>
      </c>
      <c r="AO1938" s="246">
        <f>IFERROR(VLOOKUP(M1938,PROGRAMAS[],3,FALSE),0)</f>
        <v>31865326.38096505</v>
      </c>
      <c r="AP1938" s="246">
        <f>IFERROR(VLOOKUP(N1938,PROGRAMAS[],3,FALSE),0)</f>
        <v>2406564599.0319901</v>
      </c>
      <c r="AQ1938" s="246">
        <f>IFERROR(VLOOKUP(O1938,PROGRAMAS[],3,FALSE),0)</f>
        <v>0</v>
      </c>
      <c r="AR1938" s="246">
        <f>IFERROR(VLOOKUP(P1938,PROGRAMAS[],3,FALSE),0)</f>
        <v>0</v>
      </c>
      <c r="AS1938" s="246">
        <f>IFERROR(VLOOKUP(Q1938,PROGRAMAS[],3,FALSE),0)</f>
        <v>0</v>
      </c>
      <c r="AT1938" s="246">
        <f>IFERROR(VLOOKUP(D1938,VOL_REC[],2,FALSE),0)</f>
        <v>0</v>
      </c>
      <c r="AU1938" s="246">
        <f>IFERROR(VLOOKUP(E1938,VOL_REC[],2,FALSE),0)</f>
        <v>0</v>
      </c>
      <c r="AV1938" s="246">
        <f>IFERROR(VLOOKUP(F1938,VOL_REC[],2,FALSE),0)</f>
        <v>11089674.200000001</v>
      </c>
      <c r="AW1938" s="246">
        <f>IFERROR(VLOOKUP(G1938,VOL_REC[],2,FALSE),0)</f>
        <v>4325103.1812214684</v>
      </c>
      <c r="AX1938" s="246">
        <f>IFERROR(VLOOKUP(H1938,VOL_REC[],2,FALSE),0)</f>
        <v>15540036.397699751</v>
      </c>
      <c r="AY1938" s="246">
        <f>IFERROR(VLOOKUP(I1938,VOL_REC[],2,FALSE),0)</f>
        <v>3761786</v>
      </c>
      <c r="AZ1938" s="246">
        <f>IFERROR(VLOOKUP(J1938,VOL_REC[],2,FALSE),0)</f>
        <v>1812240</v>
      </c>
      <c r="BA1938" s="246">
        <f>IFERROR(VLOOKUP(K1938,VOL_REC[],2,FALSE),0)</f>
        <v>240696.79238099116</v>
      </c>
      <c r="BB1938" s="246">
        <f>IFERROR(VLOOKUP(L1938,VOL_REC[],2,FALSE),0)</f>
        <v>663244.80000000016</v>
      </c>
      <c r="BC1938" s="246">
        <f>IFERROR(VLOOKUP(M1938,VOL_REC[],2,FALSE),0)</f>
        <v>17074.045034105649</v>
      </c>
      <c r="BD1938" s="246">
        <f>IFERROR(VLOOKUP(N1938,VOL_REC[],2,FALSE),0)</f>
        <v>1072354.9981737854</v>
      </c>
      <c r="BE1938" s="246">
        <f>IFERROR(VLOOKUP(O1938,VOL_REC[],2,FALSE),0)</f>
        <v>0</v>
      </c>
      <c r="BF1938" s="246">
        <f>IFERROR(VLOOKUP(P1938,VOL_REC[],2,FALSE),0)</f>
        <v>0</v>
      </c>
      <c r="BG1938" s="246">
        <f>IFERROR(VLOOKUP(Q1938,VOL_REC[],2,FALSE),0)</f>
        <v>0</v>
      </c>
      <c r="BH1938" s="1710">
        <f t="shared" si="124"/>
        <v>34576408622.597595</v>
      </c>
      <c r="BI1938" s="1710">
        <f t="shared" si="125"/>
        <v>32066448535.314171</v>
      </c>
      <c r="BJ1938" s="1711">
        <f t="shared" si="126"/>
        <v>38522210.414510094</v>
      </c>
      <c r="BK1938" s="1711">
        <f t="shared" si="127"/>
        <v>1.0782737160468285</v>
      </c>
      <c r="BL1938">
        <f>BJ1938</f>
        <v>38522210.414510094</v>
      </c>
      <c r="BO1938">
        <f>BL1938</f>
        <v>38522210.414510094</v>
      </c>
    </row>
    <row r="1939" spans="3:67" x14ac:dyDescent="0.25">
      <c r="C1939" s="246" t="s">
        <v>3289</v>
      </c>
      <c r="D1939" s="246">
        <v>1</v>
      </c>
      <c r="E1939" s="246">
        <v>2</v>
      </c>
      <c r="F1939" s="246">
        <v>3</v>
      </c>
      <c r="G1939" s="246">
        <v>5</v>
      </c>
      <c r="H1939" s="246">
        <v>6</v>
      </c>
      <c r="I1939" s="246">
        <v>9</v>
      </c>
      <c r="J1939" s="246">
        <v>10</v>
      </c>
      <c r="K1939" s="246">
        <v>12</v>
      </c>
      <c r="L1939" s="246">
        <v>13</v>
      </c>
      <c r="M1939" s="246">
        <v>14</v>
      </c>
      <c r="N1939" s="246">
        <v>17</v>
      </c>
      <c r="O1939" s="246"/>
      <c r="P1939" s="246"/>
      <c r="Q1939" s="246"/>
      <c r="R1939" s="246">
        <f>IFERROR(VLOOKUP(D1939,PROGRAMAS[],2,FALSE),0)</f>
        <v>97037803.679377079</v>
      </c>
      <c r="S1939" s="246">
        <f>IFERROR(VLOOKUP(E1939,PROGRAMAS[],2,FALSE),0)</f>
        <v>640501509.6821388</v>
      </c>
      <c r="T1939" s="246">
        <f>IFERROR(VLOOKUP(F1939,PROGRAMAS[],2,FALSE),0)</f>
        <v>3062327798.1525245</v>
      </c>
      <c r="U1939" s="246">
        <f>IFERROR(VLOOKUP(G1939,PROGRAMAS[],2,FALSE),0)</f>
        <v>1440941976.2528784</v>
      </c>
      <c r="V1939" s="246">
        <f>IFERROR(VLOOKUP(H1939,PROGRAMAS[],2,FALSE),0)</f>
        <v>6907648435.8447599</v>
      </c>
      <c r="W1939" s="246">
        <f>IFERROR(VLOOKUP(I1939,PROGRAMAS[],2,FALSE),0)</f>
        <v>6128579952.1618185</v>
      </c>
      <c r="X1939" s="246">
        <f>IFERROR(VLOOKUP(J1939,PROGRAMAS[],2,FALSE),0)</f>
        <v>4635315027.8751087</v>
      </c>
      <c r="Y1939" s="246">
        <f>IFERROR(VLOOKUP(K1939,PROGRAMAS[],2,FALSE),0)</f>
        <v>764796700.79905891</v>
      </c>
      <c r="Z1939" s="246">
        <f>IFERROR(VLOOKUP(L1939,PROGRAMAS[],2,FALSE),0)</f>
        <v>3776538594.4604583</v>
      </c>
      <c r="AA1939" s="246">
        <f>IFERROR(VLOOKUP(M1939,PROGRAMAS[],2,FALSE),0)</f>
        <v>54223862.645839565</v>
      </c>
      <c r="AB1939" s="246">
        <f>IFERROR(VLOOKUP(N1939,PROGRAMAS[],2,FALSE),0)</f>
        <v>1892779498.5211046</v>
      </c>
      <c r="AC1939" s="246">
        <f>IFERROR(VLOOKUP(O1939,PROGRAMAS[],2,FALSE),0)</f>
        <v>0</v>
      </c>
      <c r="AD1939" s="246">
        <f>IFERROR(VLOOKUP(P1939,PROGRAMAS[],2,FALSE),0)</f>
        <v>0</v>
      </c>
      <c r="AE1939" s="246">
        <f>IFERROR(VLOOKUP(Q1939,PROGRAMAS[],2,FALSE),0)</f>
        <v>0</v>
      </c>
      <c r="AF1939" s="246">
        <f>IFERROR(VLOOKUP(D1939,PROGRAMAS[],3,FALSE),0)</f>
        <v>841888629.31080008</v>
      </c>
      <c r="AG1939" s="246">
        <f>IFERROR(VLOOKUP(E1939,PROGRAMAS[],3,FALSE),0)</f>
        <v>3848980803.1642323</v>
      </c>
      <c r="AH1939" s="246">
        <f>IFERROR(VLOOKUP(F1939,PROGRAMAS[],3,FALSE),0)</f>
        <v>3394901471.387517</v>
      </c>
      <c r="AI1939" s="246">
        <f>IFERROR(VLOOKUP(G1939,PROGRAMAS[],3,FALSE),0)</f>
        <v>1233505101.0616004</v>
      </c>
      <c r="AJ1939" s="246">
        <f>IFERROR(VLOOKUP(H1939,PROGRAMAS[],3,FALSE),0)</f>
        <v>6129902208.7912121</v>
      </c>
      <c r="AK1939" s="246">
        <f>IFERROR(VLOOKUP(I1939,PROGRAMAS[],3,FALSE),0)</f>
        <v>7011279577.519702</v>
      </c>
      <c r="AL1939" s="246">
        <f>IFERROR(VLOOKUP(J1939,PROGRAMAS[],3,FALSE),0)</f>
        <v>4099471734.9978786</v>
      </c>
      <c r="AM1939" s="246">
        <f>IFERROR(VLOOKUP(K1939,PROGRAMAS[],3,FALSE),0)</f>
        <v>675517840.109828</v>
      </c>
      <c r="AN1939" s="246">
        <f>IFERROR(VLOOKUP(L1939,PROGRAMAS[],3,FALSE),0)</f>
        <v>2392571243.5584412</v>
      </c>
      <c r="AO1939" s="246">
        <f>IFERROR(VLOOKUP(M1939,PROGRAMAS[],3,FALSE),0)</f>
        <v>31865326.38096505</v>
      </c>
      <c r="AP1939" s="246">
        <f>IFERROR(VLOOKUP(N1939,PROGRAMAS[],3,FALSE),0)</f>
        <v>948595847.09039903</v>
      </c>
      <c r="AQ1939" s="246">
        <f>IFERROR(VLOOKUP(O1939,PROGRAMAS[],3,FALSE),0)</f>
        <v>0</v>
      </c>
      <c r="AR1939" s="246">
        <f>IFERROR(VLOOKUP(P1939,PROGRAMAS[],3,FALSE),0)</f>
        <v>0</v>
      </c>
      <c r="AS1939" s="246">
        <f>IFERROR(VLOOKUP(Q1939,PROGRAMAS[],3,FALSE),0)</f>
        <v>0</v>
      </c>
      <c r="AT1939" s="246">
        <f>IFERROR(VLOOKUP(D1939,VOL_REC[],2,FALSE),0)</f>
        <v>0</v>
      </c>
      <c r="AU1939" s="246">
        <f>IFERROR(VLOOKUP(E1939,VOL_REC[],2,FALSE),0)</f>
        <v>0</v>
      </c>
      <c r="AV1939" s="246">
        <f>IFERROR(VLOOKUP(F1939,VOL_REC[],2,FALSE),0)</f>
        <v>11089674.200000001</v>
      </c>
      <c r="AW1939" s="246">
        <f>IFERROR(VLOOKUP(G1939,VOL_REC[],2,FALSE),0)</f>
        <v>4325103.1812214684</v>
      </c>
      <c r="AX1939" s="246">
        <f>IFERROR(VLOOKUP(H1939,VOL_REC[],2,FALSE),0)</f>
        <v>15540036.397699751</v>
      </c>
      <c r="AY1939" s="246">
        <f>IFERROR(VLOOKUP(I1939,VOL_REC[],2,FALSE),0)</f>
        <v>3761786</v>
      </c>
      <c r="AZ1939" s="246">
        <f>IFERROR(VLOOKUP(J1939,VOL_REC[],2,FALSE),0)</f>
        <v>1812240</v>
      </c>
      <c r="BA1939" s="246">
        <f>IFERROR(VLOOKUP(K1939,VOL_REC[],2,FALSE),0)</f>
        <v>240696.79238099116</v>
      </c>
      <c r="BB1939" s="246">
        <f>IFERROR(VLOOKUP(L1939,VOL_REC[],2,FALSE),0)</f>
        <v>663244.80000000016</v>
      </c>
      <c r="BC1939" s="246">
        <f>IFERROR(VLOOKUP(M1939,VOL_REC[],2,FALSE),0)</f>
        <v>17074.045034105649</v>
      </c>
      <c r="BD1939" s="246">
        <f>IFERROR(VLOOKUP(N1939,VOL_REC[],2,FALSE),0)</f>
        <v>740113.98115702497</v>
      </c>
      <c r="BE1939" s="246">
        <f>IFERROR(VLOOKUP(O1939,VOL_REC[],2,FALSE),0)</f>
        <v>0</v>
      </c>
      <c r="BF1939" s="246">
        <f>IFERROR(VLOOKUP(P1939,VOL_REC[],2,FALSE),0)</f>
        <v>0</v>
      </c>
      <c r="BG1939" s="246">
        <f>IFERROR(VLOOKUP(Q1939,VOL_REC[],2,FALSE),0)</f>
        <v>0</v>
      </c>
      <c r="BH1939" s="1710">
        <f t="shared" si="124"/>
        <v>29400691160.075062</v>
      </c>
      <c r="BI1939" s="1710">
        <f t="shared" si="125"/>
        <v>30608479783.372581</v>
      </c>
      <c r="BJ1939" s="1711">
        <f t="shared" si="126"/>
        <v>38189969.397493333</v>
      </c>
      <c r="BK1939" s="1711">
        <f t="shared" si="127"/>
        <v>0.96054071839420052</v>
      </c>
    </row>
    <row r="1940" spans="3:67" x14ac:dyDescent="0.25">
      <c r="C1940" s="246" t="s">
        <v>3290</v>
      </c>
      <c r="D1940" s="246">
        <v>1</v>
      </c>
      <c r="E1940" s="246">
        <v>2</v>
      </c>
      <c r="F1940" s="246">
        <v>3</v>
      </c>
      <c r="G1940" s="246">
        <v>5</v>
      </c>
      <c r="H1940" s="246">
        <v>6</v>
      </c>
      <c r="I1940" s="246">
        <v>9</v>
      </c>
      <c r="J1940" s="246">
        <v>10</v>
      </c>
      <c r="K1940" s="246">
        <v>12</v>
      </c>
      <c r="L1940" s="246">
        <v>13</v>
      </c>
      <c r="M1940" s="246">
        <v>15</v>
      </c>
      <c r="N1940" s="246">
        <v>16</v>
      </c>
      <c r="O1940" s="246"/>
      <c r="P1940" s="246"/>
      <c r="Q1940" s="246"/>
      <c r="R1940" s="246">
        <f>IFERROR(VLOOKUP(D1940,PROGRAMAS[],2,FALSE),0)</f>
        <v>97037803.679377079</v>
      </c>
      <c r="S1940" s="246">
        <f>IFERROR(VLOOKUP(E1940,PROGRAMAS[],2,FALSE),0)</f>
        <v>640501509.6821388</v>
      </c>
      <c r="T1940" s="246">
        <f>IFERROR(VLOOKUP(F1940,PROGRAMAS[],2,FALSE),0)</f>
        <v>3062327798.1525245</v>
      </c>
      <c r="U1940" s="246">
        <f>IFERROR(VLOOKUP(G1940,PROGRAMAS[],2,FALSE),0)</f>
        <v>1440941976.2528784</v>
      </c>
      <c r="V1940" s="246">
        <f>IFERROR(VLOOKUP(H1940,PROGRAMAS[],2,FALSE),0)</f>
        <v>6907648435.8447599</v>
      </c>
      <c r="W1940" s="246">
        <f>IFERROR(VLOOKUP(I1940,PROGRAMAS[],2,FALSE),0)</f>
        <v>6128579952.1618185</v>
      </c>
      <c r="X1940" s="246">
        <f>IFERROR(VLOOKUP(J1940,PROGRAMAS[],2,FALSE),0)</f>
        <v>4635315027.8751087</v>
      </c>
      <c r="Y1940" s="246">
        <f>IFERROR(VLOOKUP(K1940,PROGRAMAS[],2,FALSE),0)</f>
        <v>764796700.79905891</v>
      </c>
      <c r="Z1940" s="246">
        <f>IFERROR(VLOOKUP(L1940,PROGRAMAS[],2,FALSE),0)</f>
        <v>3776538594.4604583</v>
      </c>
      <c r="AA1940" s="246">
        <f>IFERROR(VLOOKUP(M1940,PROGRAMAS[],2,FALSE),0)</f>
        <v>122159672.96346797</v>
      </c>
      <c r="AB1940" s="246">
        <f>IFERROR(VLOOKUP(N1940,PROGRAMAS[],2,FALSE),0)</f>
        <v>7068496961.0436354</v>
      </c>
      <c r="AC1940" s="246">
        <f>IFERROR(VLOOKUP(O1940,PROGRAMAS[],2,FALSE),0)</f>
        <v>0</v>
      </c>
      <c r="AD1940" s="246">
        <f>IFERROR(VLOOKUP(P1940,PROGRAMAS[],2,FALSE),0)</f>
        <v>0</v>
      </c>
      <c r="AE1940" s="246">
        <f>IFERROR(VLOOKUP(Q1940,PROGRAMAS[],2,FALSE),0)</f>
        <v>0</v>
      </c>
      <c r="AF1940" s="246">
        <f>IFERROR(VLOOKUP(D1940,PROGRAMAS[],3,FALSE),0)</f>
        <v>841888629.31080008</v>
      </c>
      <c r="AG1940" s="246">
        <f>IFERROR(VLOOKUP(E1940,PROGRAMAS[],3,FALSE),0)</f>
        <v>3848980803.1642323</v>
      </c>
      <c r="AH1940" s="246">
        <f>IFERROR(VLOOKUP(F1940,PROGRAMAS[],3,FALSE),0)</f>
        <v>3394901471.387517</v>
      </c>
      <c r="AI1940" s="246">
        <f>IFERROR(VLOOKUP(G1940,PROGRAMAS[],3,FALSE),0)</f>
        <v>1233505101.0616004</v>
      </c>
      <c r="AJ1940" s="246">
        <f>IFERROR(VLOOKUP(H1940,PROGRAMAS[],3,FALSE),0)</f>
        <v>6129902208.7912121</v>
      </c>
      <c r="AK1940" s="246">
        <f>IFERROR(VLOOKUP(I1940,PROGRAMAS[],3,FALSE),0)</f>
        <v>7011279577.519702</v>
      </c>
      <c r="AL1940" s="246">
        <f>IFERROR(VLOOKUP(J1940,PROGRAMAS[],3,FALSE),0)</f>
        <v>4099471734.9978786</v>
      </c>
      <c r="AM1940" s="246">
        <f>IFERROR(VLOOKUP(K1940,PROGRAMAS[],3,FALSE),0)</f>
        <v>675517840.109828</v>
      </c>
      <c r="AN1940" s="246">
        <f>IFERROR(VLOOKUP(L1940,PROGRAMAS[],3,FALSE),0)</f>
        <v>2392571243.5584412</v>
      </c>
      <c r="AO1940" s="246">
        <f>IFERROR(VLOOKUP(M1940,PROGRAMAS[],3,FALSE),0)</f>
        <v>118617452.52510804</v>
      </c>
      <c r="AP1940" s="246">
        <f>IFERROR(VLOOKUP(N1940,PROGRAMAS[],3,FALSE),0)</f>
        <v>2406564599.0319901</v>
      </c>
      <c r="AQ1940" s="246">
        <f>IFERROR(VLOOKUP(O1940,PROGRAMAS[],3,FALSE),0)</f>
        <v>0</v>
      </c>
      <c r="AR1940" s="246">
        <f>IFERROR(VLOOKUP(P1940,PROGRAMAS[],3,FALSE),0)</f>
        <v>0</v>
      </c>
      <c r="AS1940" s="246">
        <f>IFERROR(VLOOKUP(Q1940,PROGRAMAS[],3,FALSE),0)</f>
        <v>0</v>
      </c>
      <c r="AT1940" s="246">
        <f>IFERROR(VLOOKUP(D1940,VOL_REC[],2,FALSE),0)</f>
        <v>0</v>
      </c>
      <c r="AU1940" s="246">
        <f>IFERROR(VLOOKUP(E1940,VOL_REC[],2,FALSE),0)</f>
        <v>0</v>
      </c>
      <c r="AV1940" s="246">
        <f>IFERROR(VLOOKUP(F1940,VOL_REC[],2,FALSE),0)</f>
        <v>11089674.200000001</v>
      </c>
      <c r="AW1940" s="246">
        <f>IFERROR(VLOOKUP(G1940,VOL_REC[],2,FALSE),0)</f>
        <v>4325103.1812214684</v>
      </c>
      <c r="AX1940" s="246">
        <f>IFERROR(VLOOKUP(H1940,VOL_REC[],2,FALSE),0)</f>
        <v>15540036.397699751</v>
      </c>
      <c r="AY1940" s="246">
        <f>IFERROR(VLOOKUP(I1940,VOL_REC[],2,FALSE),0)</f>
        <v>3761786</v>
      </c>
      <c r="AZ1940" s="246">
        <f>IFERROR(VLOOKUP(J1940,VOL_REC[],2,FALSE),0)</f>
        <v>1812240</v>
      </c>
      <c r="BA1940" s="246">
        <f>IFERROR(VLOOKUP(K1940,VOL_REC[],2,FALSE),0)</f>
        <v>240696.79238099116</v>
      </c>
      <c r="BB1940" s="246">
        <f>IFERROR(VLOOKUP(L1940,VOL_REC[],2,FALSE),0)</f>
        <v>663244.80000000016</v>
      </c>
      <c r="BC1940" s="246">
        <f>IFERROR(VLOOKUP(M1940,VOL_REC[],2,FALSE),0)</f>
        <v>105072</v>
      </c>
      <c r="BD1940" s="246">
        <f>IFERROR(VLOOKUP(N1940,VOL_REC[],2,FALSE),0)</f>
        <v>1072354.9981737854</v>
      </c>
      <c r="BE1940" s="246">
        <f>IFERROR(VLOOKUP(O1940,VOL_REC[],2,FALSE),0)</f>
        <v>0</v>
      </c>
      <c r="BF1940" s="246">
        <f>IFERROR(VLOOKUP(P1940,VOL_REC[],2,FALSE),0)</f>
        <v>0</v>
      </c>
      <c r="BG1940" s="246">
        <f>IFERROR(VLOOKUP(Q1940,VOL_REC[],2,FALSE),0)</f>
        <v>0</v>
      </c>
      <c r="BH1940" s="1710">
        <f t="shared" si="124"/>
        <v>34644344432.915222</v>
      </c>
      <c r="BI1940" s="1710">
        <f t="shared" si="125"/>
        <v>32153200661.458313</v>
      </c>
      <c r="BJ1940" s="1711">
        <f t="shared" si="126"/>
        <v>38610208.369475991</v>
      </c>
      <c r="BK1940" s="1711">
        <f t="shared" si="127"/>
        <v>1.0774773185937603</v>
      </c>
      <c r="BL1940">
        <f>BJ1940</f>
        <v>38610208.369475991</v>
      </c>
      <c r="BO1940">
        <f>BL1940</f>
        <v>38610208.369475991</v>
      </c>
    </row>
    <row r="1941" spans="3:67" x14ac:dyDescent="0.25">
      <c r="C1941" s="246" t="s">
        <v>3291</v>
      </c>
      <c r="D1941" s="246">
        <v>1</v>
      </c>
      <c r="E1941" s="246">
        <v>2</v>
      </c>
      <c r="F1941" s="246">
        <v>3</v>
      </c>
      <c r="G1941" s="246">
        <v>5</v>
      </c>
      <c r="H1941" s="246">
        <v>6</v>
      </c>
      <c r="I1941" s="246">
        <v>9</v>
      </c>
      <c r="J1941" s="246">
        <v>10</v>
      </c>
      <c r="K1941" s="246">
        <v>12</v>
      </c>
      <c r="L1941" s="246">
        <v>13</v>
      </c>
      <c r="M1941" s="246">
        <v>15</v>
      </c>
      <c r="N1941" s="246">
        <v>17</v>
      </c>
      <c r="O1941" s="246"/>
      <c r="P1941" s="246"/>
      <c r="Q1941" s="246"/>
      <c r="R1941" s="246">
        <f>IFERROR(VLOOKUP(D1941,PROGRAMAS[],2,FALSE),0)</f>
        <v>97037803.679377079</v>
      </c>
      <c r="S1941" s="246">
        <f>IFERROR(VLOOKUP(E1941,PROGRAMAS[],2,FALSE),0)</f>
        <v>640501509.6821388</v>
      </c>
      <c r="T1941" s="246">
        <f>IFERROR(VLOOKUP(F1941,PROGRAMAS[],2,FALSE),0)</f>
        <v>3062327798.1525245</v>
      </c>
      <c r="U1941" s="246">
        <f>IFERROR(VLOOKUP(G1941,PROGRAMAS[],2,FALSE),0)</f>
        <v>1440941976.2528784</v>
      </c>
      <c r="V1941" s="246">
        <f>IFERROR(VLOOKUP(H1941,PROGRAMAS[],2,FALSE),0)</f>
        <v>6907648435.8447599</v>
      </c>
      <c r="W1941" s="246">
        <f>IFERROR(VLOOKUP(I1941,PROGRAMAS[],2,FALSE),0)</f>
        <v>6128579952.1618185</v>
      </c>
      <c r="X1941" s="246">
        <f>IFERROR(VLOOKUP(J1941,PROGRAMAS[],2,FALSE),0)</f>
        <v>4635315027.8751087</v>
      </c>
      <c r="Y1941" s="246">
        <f>IFERROR(VLOOKUP(K1941,PROGRAMAS[],2,FALSE),0)</f>
        <v>764796700.79905891</v>
      </c>
      <c r="Z1941" s="246">
        <f>IFERROR(VLOOKUP(L1941,PROGRAMAS[],2,FALSE),0)</f>
        <v>3776538594.4604583</v>
      </c>
      <c r="AA1941" s="246">
        <f>IFERROR(VLOOKUP(M1941,PROGRAMAS[],2,FALSE),0)</f>
        <v>122159672.96346797</v>
      </c>
      <c r="AB1941" s="246">
        <f>IFERROR(VLOOKUP(N1941,PROGRAMAS[],2,FALSE),0)</f>
        <v>1892779498.5211046</v>
      </c>
      <c r="AC1941" s="246">
        <f>IFERROR(VLOOKUP(O1941,PROGRAMAS[],2,FALSE),0)</f>
        <v>0</v>
      </c>
      <c r="AD1941" s="246">
        <f>IFERROR(VLOOKUP(P1941,PROGRAMAS[],2,FALSE),0)</f>
        <v>0</v>
      </c>
      <c r="AE1941" s="246">
        <f>IFERROR(VLOOKUP(Q1941,PROGRAMAS[],2,FALSE),0)</f>
        <v>0</v>
      </c>
      <c r="AF1941" s="246">
        <f>IFERROR(VLOOKUP(D1941,PROGRAMAS[],3,FALSE),0)</f>
        <v>841888629.31080008</v>
      </c>
      <c r="AG1941" s="246">
        <f>IFERROR(VLOOKUP(E1941,PROGRAMAS[],3,FALSE),0)</f>
        <v>3848980803.1642323</v>
      </c>
      <c r="AH1941" s="246">
        <f>IFERROR(VLOOKUP(F1941,PROGRAMAS[],3,FALSE),0)</f>
        <v>3394901471.387517</v>
      </c>
      <c r="AI1941" s="246">
        <f>IFERROR(VLOOKUP(G1941,PROGRAMAS[],3,FALSE),0)</f>
        <v>1233505101.0616004</v>
      </c>
      <c r="AJ1941" s="246">
        <f>IFERROR(VLOOKUP(H1941,PROGRAMAS[],3,FALSE),0)</f>
        <v>6129902208.7912121</v>
      </c>
      <c r="AK1941" s="246">
        <f>IFERROR(VLOOKUP(I1941,PROGRAMAS[],3,FALSE),0)</f>
        <v>7011279577.519702</v>
      </c>
      <c r="AL1941" s="246">
        <f>IFERROR(VLOOKUP(J1941,PROGRAMAS[],3,FALSE),0)</f>
        <v>4099471734.9978786</v>
      </c>
      <c r="AM1941" s="246">
        <f>IFERROR(VLOOKUP(K1941,PROGRAMAS[],3,FALSE),0)</f>
        <v>675517840.109828</v>
      </c>
      <c r="AN1941" s="246">
        <f>IFERROR(VLOOKUP(L1941,PROGRAMAS[],3,FALSE),0)</f>
        <v>2392571243.5584412</v>
      </c>
      <c r="AO1941" s="246">
        <f>IFERROR(VLOOKUP(M1941,PROGRAMAS[],3,FALSE),0)</f>
        <v>118617452.52510804</v>
      </c>
      <c r="AP1941" s="246">
        <f>IFERROR(VLOOKUP(N1941,PROGRAMAS[],3,FALSE),0)</f>
        <v>948595847.09039903</v>
      </c>
      <c r="AQ1941" s="246">
        <f>IFERROR(VLOOKUP(O1941,PROGRAMAS[],3,FALSE),0)</f>
        <v>0</v>
      </c>
      <c r="AR1941" s="246">
        <f>IFERROR(VLOOKUP(P1941,PROGRAMAS[],3,FALSE),0)</f>
        <v>0</v>
      </c>
      <c r="AS1941" s="246">
        <f>IFERROR(VLOOKUP(Q1941,PROGRAMAS[],3,FALSE),0)</f>
        <v>0</v>
      </c>
      <c r="AT1941" s="246">
        <f>IFERROR(VLOOKUP(D1941,VOL_REC[],2,FALSE),0)</f>
        <v>0</v>
      </c>
      <c r="AU1941" s="246">
        <f>IFERROR(VLOOKUP(E1941,VOL_REC[],2,FALSE),0)</f>
        <v>0</v>
      </c>
      <c r="AV1941" s="246">
        <f>IFERROR(VLOOKUP(F1941,VOL_REC[],2,FALSE),0)</f>
        <v>11089674.200000001</v>
      </c>
      <c r="AW1941" s="246">
        <f>IFERROR(VLOOKUP(G1941,VOL_REC[],2,FALSE),0)</f>
        <v>4325103.1812214684</v>
      </c>
      <c r="AX1941" s="246">
        <f>IFERROR(VLOOKUP(H1941,VOL_REC[],2,FALSE),0)</f>
        <v>15540036.397699751</v>
      </c>
      <c r="AY1941" s="246">
        <f>IFERROR(VLOOKUP(I1941,VOL_REC[],2,FALSE),0)</f>
        <v>3761786</v>
      </c>
      <c r="AZ1941" s="246">
        <f>IFERROR(VLOOKUP(J1941,VOL_REC[],2,FALSE),0)</f>
        <v>1812240</v>
      </c>
      <c r="BA1941" s="246">
        <f>IFERROR(VLOOKUP(K1941,VOL_REC[],2,FALSE),0)</f>
        <v>240696.79238099116</v>
      </c>
      <c r="BB1941" s="246">
        <f>IFERROR(VLOOKUP(L1941,VOL_REC[],2,FALSE),0)</f>
        <v>663244.80000000016</v>
      </c>
      <c r="BC1941" s="246">
        <f>IFERROR(VLOOKUP(M1941,VOL_REC[],2,FALSE),0)</f>
        <v>105072</v>
      </c>
      <c r="BD1941" s="246">
        <f>IFERROR(VLOOKUP(N1941,VOL_REC[],2,FALSE),0)</f>
        <v>740113.98115702497</v>
      </c>
      <c r="BE1941" s="246">
        <f>IFERROR(VLOOKUP(O1941,VOL_REC[],2,FALSE),0)</f>
        <v>0</v>
      </c>
      <c r="BF1941" s="246">
        <f>IFERROR(VLOOKUP(P1941,VOL_REC[],2,FALSE),0)</f>
        <v>0</v>
      </c>
      <c r="BG1941" s="246">
        <f>IFERROR(VLOOKUP(Q1941,VOL_REC[],2,FALSE),0)</f>
        <v>0</v>
      </c>
      <c r="BH1941" s="1710">
        <f t="shared" si="124"/>
        <v>29468626970.392689</v>
      </c>
      <c r="BI1941" s="1710">
        <f t="shared" si="125"/>
        <v>30695231909.516724</v>
      </c>
      <c r="BJ1941" s="1711">
        <f t="shared" si="126"/>
        <v>38277967.35245923</v>
      </c>
      <c r="BK1941" s="1711">
        <f t="shared" si="127"/>
        <v>0.96003923532033197</v>
      </c>
    </row>
    <row r="1942" spans="3:67" x14ac:dyDescent="0.25">
      <c r="C1942" s="246" t="s">
        <v>3292</v>
      </c>
      <c r="D1942" s="246">
        <v>1</v>
      </c>
      <c r="E1942" s="246">
        <v>2</v>
      </c>
      <c r="F1942" s="246">
        <v>3</v>
      </c>
      <c r="G1942" s="246">
        <v>5</v>
      </c>
      <c r="H1942" s="246">
        <v>6</v>
      </c>
      <c r="I1942" s="246">
        <v>9</v>
      </c>
      <c r="J1942" s="246">
        <v>10</v>
      </c>
      <c r="K1942" s="246">
        <v>12</v>
      </c>
      <c r="L1942" s="246">
        <v>13</v>
      </c>
      <c r="M1942" s="246">
        <v>16</v>
      </c>
      <c r="N1942" s="246">
        <v>17</v>
      </c>
      <c r="O1942" s="246"/>
      <c r="P1942" s="246"/>
      <c r="Q1942" s="246"/>
      <c r="R1942" s="246">
        <f>IFERROR(VLOOKUP(D1942,PROGRAMAS[],2,FALSE),0)</f>
        <v>97037803.679377079</v>
      </c>
      <c r="S1942" s="246">
        <f>IFERROR(VLOOKUP(E1942,PROGRAMAS[],2,FALSE),0)</f>
        <v>640501509.6821388</v>
      </c>
      <c r="T1942" s="246">
        <f>IFERROR(VLOOKUP(F1942,PROGRAMAS[],2,FALSE),0)</f>
        <v>3062327798.1525245</v>
      </c>
      <c r="U1942" s="246">
        <f>IFERROR(VLOOKUP(G1942,PROGRAMAS[],2,FALSE),0)</f>
        <v>1440941976.2528784</v>
      </c>
      <c r="V1942" s="246">
        <f>IFERROR(VLOOKUP(H1942,PROGRAMAS[],2,FALSE),0)</f>
        <v>6907648435.8447599</v>
      </c>
      <c r="W1942" s="246">
        <f>IFERROR(VLOOKUP(I1942,PROGRAMAS[],2,FALSE),0)</f>
        <v>6128579952.1618185</v>
      </c>
      <c r="X1942" s="246">
        <f>IFERROR(VLOOKUP(J1942,PROGRAMAS[],2,FALSE),0)</f>
        <v>4635315027.8751087</v>
      </c>
      <c r="Y1942" s="246">
        <f>IFERROR(VLOOKUP(K1942,PROGRAMAS[],2,FALSE),0)</f>
        <v>764796700.79905891</v>
      </c>
      <c r="Z1942" s="246">
        <f>IFERROR(VLOOKUP(L1942,PROGRAMAS[],2,FALSE),0)</f>
        <v>3776538594.4604583</v>
      </c>
      <c r="AA1942" s="246">
        <f>IFERROR(VLOOKUP(M1942,PROGRAMAS[],2,FALSE),0)</f>
        <v>7068496961.0436354</v>
      </c>
      <c r="AB1942" s="246">
        <f>IFERROR(VLOOKUP(N1942,PROGRAMAS[],2,FALSE),0)</f>
        <v>1892779498.5211046</v>
      </c>
      <c r="AC1942" s="246">
        <f>IFERROR(VLOOKUP(O1942,PROGRAMAS[],2,FALSE),0)</f>
        <v>0</v>
      </c>
      <c r="AD1942" s="246">
        <f>IFERROR(VLOOKUP(P1942,PROGRAMAS[],2,FALSE),0)</f>
        <v>0</v>
      </c>
      <c r="AE1942" s="246">
        <f>IFERROR(VLOOKUP(Q1942,PROGRAMAS[],2,FALSE),0)</f>
        <v>0</v>
      </c>
      <c r="AF1942" s="246">
        <f>IFERROR(VLOOKUP(D1942,PROGRAMAS[],3,FALSE),0)</f>
        <v>841888629.31080008</v>
      </c>
      <c r="AG1942" s="246">
        <f>IFERROR(VLOOKUP(E1942,PROGRAMAS[],3,FALSE),0)</f>
        <v>3848980803.1642323</v>
      </c>
      <c r="AH1942" s="246">
        <f>IFERROR(VLOOKUP(F1942,PROGRAMAS[],3,FALSE),0)</f>
        <v>3394901471.387517</v>
      </c>
      <c r="AI1942" s="246">
        <f>IFERROR(VLOOKUP(G1942,PROGRAMAS[],3,FALSE),0)</f>
        <v>1233505101.0616004</v>
      </c>
      <c r="AJ1942" s="246">
        <f>IFERROR(VLOOKUP(H1942,PROGRAMAS[],3,FALSE),0)</f>
        <v>6129902208.7912121</v>
      </c>
      <c r="AK1942" s="246">
        <f>IFERROR(VLOOKUP(I1942,PROGRAMAS[],3,FALSE),0)</f>
        <v>7011279577.519702</v>
      </c>
      <c r="AL1942" s="246">
        <f>IFERROR(VLOOKUP(J1942,PROGRAMAS[],3,FALSE),0)</f>
        <v>4099471734.9978786</v>
      </c>
      <c r="AM1942" s="246">
        <f>IFERROR(VLOOKUP(K1942,PROGRAMAS[],3,FALSE),0)</f>
        <v>675517840.109828</v>
      </c>
      <c r="AN1942" s="246">
        <f>IFERROR(VLOOKUP(L1942,PROGRAMAS[],3,FALSE),0)</f>
        <v>2392571243.5584412</v>
      </c>
      <c r="AO1942" s="246">
        <f>IFERROR(VLOOKUP(M1942,PROGRAMAS[],3,FALSE),0)</f>
        <v>2406564599.0319901</v>
      </c>
      <c r="AP1942" s="246">
        <f>IFERROR(VLOOKUP(N1942,PROGRAMAS[],3,FALSE),0)</f>
        <v>948595847.09039903</v>
      </c>
      <c r="AQ1942" s="246">
        <f>IFERROR(VLOOKUP(O1942,PROGRAMAS[],3,FALSE),0)</f>
        <v>0</v>
      </c>
      <c r="AR1942" s="246">
        <f>IFERROR(VLOOKUP(P1942,PROGRAMAS[],3,FALSE),0)</f>
        <v>0</v>
      </c>
      <c r="AS1942" s="246">
        <f>IFERROR(VLOOKUP(Q1942,PROGRAMAS[],3,FALSE),0)</f>
        <v>0</v>
      </c>
      <c r="AT1942" s="246">
        <f>IFERROR(VLOOKUP(D1942,VOL_REC[],2,FALSE),0)</f>
        <v>0</v>
      </c>
      <c r="AU1942" s="246">
        <f>IFERROR(VLOOKUP(E1942,VOL_REC[],2,FALSE),0)</f>
        <v>0</v>
      </c>
      <c r="AV1942" s="246">
        <f>IFERROR(VLOOKUP(F1942,VOL_REC[],2,FALSE),0)</f>
        <v>11089674.200000001</v>
      </c>
      <c r="AW1942" s="246">
        <f>IFERROR(VLOOKUP(G1942,VOL_REC[],2,FALSE),0)</f>
        <v>4325103.1812214684</v>
      </c>
      <c r="AX1942" s="246">
        <f>IFERROR(VLOOKUP(H1942,VOL_REC[],2,FALSE),0)</f>
        <v>15540036.397699751</v>
      </c>
      <c r="AY1942" s="246">
        <f>IFERROR(VLOOKUP(I1942,VOL_REC[],2,FALSE),0)</f>
        <v>3761786</v>
      </c>
      <c r="AZ1942" s="246">
        <f>IFERROR(VLOOKUP(J1942,VOL_REC[],2,FALSE),0)</f>
        <v>1812240</v>
      </c>
      <c r="BA1942" s="246">
        <f>IFERROR(VLOOKUP(K1942,VOL_REC[],2,FALSE),0)</f>
        <v>240696.79238099116</v>
      </c>
      <c r="BB1942" s="246">
        <f>IFERROR(VLOOKUP(L1942,VOL_REC[],2,FALSE),0)</f>
        <v>663244.80000000016</v>
      </c>
      <c r="BC1942" s="246">
        <f>IFERROR(VLOOKUP(M1942,VOL_REC[],2,FALSE),0)</f>
        <v>1072354.9981737854</v>
      </c>
      <c r="BD1942" s="246">
        <f>IFERROR(VLOOKUP(N1942,VOL_REC[],2,FALSE),0)</f>
        <v>740113.98115702497</v>
      </c>
      <c r="BE1942" s="246">
        <f>IFERROR(VLOOKUP(O1942,VOL_REC[],2,FALSE),0)</f>
        <v>0</v>
      </c>
      <c r="BF1942" s="246">
        <f>IFERROR(VLOOKUP(P1942,VOL_REC[],2,FALSE),0)</f>
        <v>0</v>
      </c>
      <c r="BG1942" s="246">
        <f>IFERROR(VLOOKUP(Q1942,VOL_REC[],2,FALSE),0)</f>
        <v>0</v>
      </c>
      <c r="BH1942" s="1710">
        <f t="shared" si="124"/>
        <v>36414964258.472855</v>
      </c>
      <c r="BI1942" s="1710">
        <f t="shared" si="125"/>
        <v>32983179056.023605</v>
      </c>
      <c r="BJ1942" s="1711">
        <f t="shared" si="126"/>
        <v>39245250.350633018</v>
      </c>
      <c r="BK1942" s="1711">
        <f t="shared" si="127"/>
        <v>1.104046526158688</v>
      </c>
      <c r="BL1942">
        <f>BJ1942</f>
        <v>39245250.350633018</v>
      </c>
      <c r="BO1942">
        <f>BL1942</f>
        <v>39245250.350633018</v>
      </c>
    </row>
    <row r="1943" spans="3:67" x14ac:dyDescent="0.25">
      <c r="C1943" s="246" t="s">
        <v>3293</v>
      </c>
      <c r="D1943" s="246">
        <v>1</v>
      </c>
      <c r="E1943" s="246">
        <v>2</v>
      </c>
      <c r="F1943" s="246">
        <v>3</v>
      </c>
      <c r="G1943" s="246">
        <v>5</v>
      </c>
      <c r="H1943" s="246">
        <v>6</v>
      </c>
      <c r="I1943" s="246">
        <v>9</v>
      </c>
      <c r="J1943" s="246">
        <v>10</v>
      </c>
      <c r="K1943" s="246">
        <v>12</v>
      </c>
      <c r="L1943" s="246">
        <v>14</v>
      </c>
      <c r="M1943" s="246">
        <v>15</v>
      </c>
      <c r="N1943" s="246">
        <v>16</v>
      </c>
      <c r="O1943" s="246"/>
      <c r="P1943" s="246"/>
      <c r="Q1943" s="246"/>
      <c r="R1943" s="246">
        <f>IFERROR(VLOOKUP(D1943,PROGRAMAS[],2,FALSE),0)</f>
        <v>97037803.679377079</v>
      </c>
      <c r="S1943" s="246">
        <f>IFERROR(VLOOKUP(E1943,PROGRAMAS[],2,FALSE),0)</f>
        <v>640501509.6821388</v>
      </c>
      <c r="T1943" s="246">
        <f>IFERROR(VLOOKUP(F1943,PROGRAMAS[],2,FALSE),0)</f>
        <v>3062327798.1525245</v>
      </c>
      <c r="U1943" s="246">
        <f>IFERROR(VLOOKUP(G1943,PROGRAMAS[],2,FALSE),0)</f>
        <v>1440941976.2528784</v>
      </c>
      <c r="V1943" s="246">
        <f>IFERROR(VLOOKUP(H1943,PROGRAMAS[],2,FALSE),0)</f>
        <v>6907648435.8447599</v>
      </c>
      <c r="W1943" s="246">
        <f>IFERROR(VLOOKUP(I1943,PROGRAMAS[],2,FALSE),0)</f>
        <v>6128579952.1618185</v>
      </c>
      <c r="X1943" s="246">
        <f>IFERROR(VLOOKUP(J1943,PROGRAMAS[],2,FALSE),0)</f>
        <v>4635315027.8751087</v>
      </c>
      <c r="Y1943" s="246">
        <f>IFERROR(VLOOKUP(K1943,PROGRAMAS[],2,FALSE),0)</f>
        <v>764796700.79905891</v>
      </c>
      <c r="Z1943" s="246">
        <f>IFERROR(VLOOKUP(L1943,PROGRAMAS[],2,FALSE),0)</f>
        <v>54223862.645839565</v>
      </c>
      <c r="AA1943" s="246">
        <f>IFERROR(VLOOKUP(M1943,PROGRAMAS[],2,FALSE),0)</f>
        <v>122159672.96346797</v>
      </c>
      <c r="AB1943" s="246">
        <f>IFERROR(VLOOKUP(N1943,PROGRAMAS[],2,FALSE),0)</f>
        <v>7068496961.0436354</v>
      </c>
      <c r="AC1943" s="246">
        <f>IFERROR(VLOOKUP(O1943,PROGRAMAS[],2,FALSE),0)</f>
        <v>0</v>
      </c>
      <c r="AD1943" s="246">
        <f>IFERROR(VLOOKUP(P1943,PROGRAMAS[],2,FALSE),0)</f>
        <v>0</v>
      </c>
      <c r="AE1943" s="246">
        <f>IFERROR(VLOOKUP(Q1943,PROGRAMAS[],2,FALSE),0)</f>
        <v>0</v>
      </c>
      <c r="AF1943" s="246">
        <f>IFERROR(VLOOKUP(D1943,PROGRAMAS[],3,FALSE),0)</f>
        <v>841888629.31080008</v>
      </c>
      <c r="AG1943" s="246">
        <f>IFERROR(VLOOKUP(E1943,PROGRAMAS[],3,FALSE),0)</f>
        <v>3848980803.1642323</v>
      </c>
      <c r="AH1943" s="246">
        <f>IFERROR(VLOOKUP(F1943,PROGRAMAS[],3,FALSE),0)</f>
        <v>3394901471.387517</v>
      </c>
      <c r="AI1943" s="246">
        <f>IFERROR(VLOOKUP(G1943,PROGRAMAS[],3,FALSE),0)</f>
        <v>1233505101.0616004</v>
      </c>
      <c r="AJ1943" s="246">
        <f>IFERROR(VLOOKUP(H1943,PROGRAMAS[],3,FALSE),0)</f>
        <v>6129902208.7912121</v>
      </c>
      <c r="AK1943" s="246">
        <f>IFERROR(VLOOKUP(I1943,PROGRAMAS[],3,FALSE),0)</f>
        <v>7011279577.519702</v>
      </c>
      <c r="AL1943" s="246">
        <f>IFERROR(VLOOKUP(J1943,PROGRAMAS[],3,FALSE),0)</f>
        <v>4099471734.9978786</v>
      </c>
      <c r="AM1943" s="246">
        <f>IFERROR(VLOOKUP(K1943,PROGRAMAS[],3,FALSE),0)</f>
        <v>675517840.109828</v>
      </c>
      <c r="AN1943" s="246">
        <f>IFERROR(VLOOKUP(L1943,PROGRAMAS[],3,FALSE),0)</f>
        <v>31865326.38096505</v>
      </c>
      <c r="AO1943" s="246">
        <f>IFERROR(VLOOKUP(M1943,PROGRAMAS[],3,FALSE),0)</f>
        <v>118617452.52510804</v>
      </c>
      <c r="AP1943" s="246">
        <f>IFERROR(VLOOKUP(N1943,PROGRAMAS[],3,FALSE),0)</f>
        <v>2406564599.0319901</v>
      </c>
      <c r="AQ1943" s="246">
        <f>IFERROR(VLOOKUP(O1943,PROGRAMAS[],3,FALSE),0)</f>
        <v>0</v>
      </c>
      <c r="AR1943" s="246">
        <f>IFERROR(VLOOKUP(P1943,PROGRAMAS[],3,FALSE),0)</f>
        <v>0</v>
      </c>
      <c r="AS1943" s="246">
        <f>IFERROR(VLOOKUP(Q1943,PROGRAMAS[],3,FALSE),0)</f>
        <v>0</v>
      </c>
      <c r="AT1943" s="246">
        <f>IFERROR(VLOOKUP(D1943,VOL_REC[],2,FALSE),0)</f>
        <v>0</v>
      </c>
      <c r="AU1943" s="246">
        <f>IFERROR(VLOOKUP(E1943,VOL_REC[],2,FALSE),0)</f>
        <v>0</v>
      </c>
      <c r="AV1943" s="246">
        <f>IFERROR(VLOOKUP(F1943,VOL_REC[],2,FALSE),0)</f>
        <v>11089674.200000001</v>
      </c>
      <c r="AW1943" s="246">
        <f>IFERROR(VLOOKUP(G1943,VOL_REC[],2,FALSE),0)</f>
        <v>4325103.1812214684</v>
      </c>
      <c r="AX1943" s="246">
        <f>IFERROR(VLOOKUP(H1943,VOL_REC[],2,FALSE),0)</f>
        <v>15540036.397699751</v>
      </c>
      <c r="AY1943" s="246">
        <f>IFERROR(VLOOKUP(I1943,VOL_REC[],2,FALSE),0)</f>
        <v>3761786</v>
      </c>
      <c r="AZ1943" s="246">
        <f>IFERROR(VLOOKUP(J1943,VOL_REC[],2,FALSE),0)</f>
        <v>1812240</v>
      </c>
      <c r="BA1943" s="246">
        <f>IFERROR(VLOOKUP(K1943,VOL_REC[],2,FALSE),0)</f>
        <v>240696.79238099116</v>
      </c>
      <c r="BB1943" s="246">
        <f>IFERROR(VLOOKUP(L1943,VOL_REC[],2,FALSE),0)</f>
        <v>17074.045034105649</v>
      </c>
      <c r="BC1943" s="246">
        <f>IFERROR(VLOOKUP(M1943,VOL_REC[],2,FALSE),0)</f>
        <v>105072</v>
      </c>
      <c r="BD1943" s="246">
        <f>IFERROR(VLOOKUP(N1943,VOL_REC[],2,FALSE),0)</f>
        <v>1072354.9981737854</v>
      </c>
      <c r="BE1943" s="246">
        <f>IFERROR(VLOOKUP(O1943,VOL_REC[],2,FALSE),0)</f>
        <v>0</v>
      </c>
      <c r="BF1943" s="246">
        <f>IFERROR(VLOOKUP(P1943,VOL_REC[],2,FALSE),0)</f>
        <v>0</v>
      </c>
      <c r="BG1943" s="246">
        <f>IFERROR(VLOOKUP(Q1943,VOL_REC[],2,FALSE),0)</f>
        <v>0</v>
      </c>
      <c r="BH1943" s="1710">
        <f t="shared" si="124"/>
        <v>30922029701.100605</v>
      </c>
      <c r="BI1943" s="1710">
        <f t="shared" si="125"/>
        <v>29792494744.280838</v>
      </c>
      <c r="BJ1943" s="1711">
        <f t="shared" si="126"/>
        <v>37964037.614510097</v>
      </c>
      <c r="BK1943" s="1711">
        <f t="shared" si="127"/>
        <v>1.0379134062627164</v>
      </c>
      <c r="BL1943">
        <f>BJ1943</f>
        <v>37964037.614510097</v>
      </c>
      <c r="BO1943">
        <f>BL1943</f>
        <v>37964037.614510097</v>
      </c>
    </row>
    <row r="1944" spans="3:67" x14ac:dyDescent="0.25">
      <c r="C1944" s="246" t="s">
        <v>3294</v>
      </c>
      <c r="D1944" s="246">
        <v>1</v>
      </c>
      <c r="E1944" s="246">
        <v>2</v>
      </c>
      <c r="F1944" s="246">
        <v>3</v>
      </c>
      <c r="G1944" s="246">
        <v>5</v>
      </c>
      <c r="H1944" s="246">
        <v>6</v>
      </c>
      <c r="I1944" s="246">
        <v>9</v>
      </c>
      <c r="J1944" s="246">
        <v>10</v>
      </c>
      <c r="K1944" s="246">
        <v>12</v>
      </c>
      <c r="L1944" s="246">
        <v>14</v>
      </c>
      <c r="M1944" s="246">
        <v>15</v>
      </c>
      <c r="N1944" s="246">
        <v>17</v>
      </c>
      <c r="O1944" s="246"/>
      <c r="P1944" s="246"/>
      <c r="Q1944" s="246"/>
      <c r="R1944" s="246">
        <f>IFERROR(VLOOKUP(D1944,PROGRAMAS[],2,FALSE),0)</f>
        <v>97037803.679377079</v>
      </c>
      <c r="S1944" s="246">
        <f>IFERROR(VLOOKUP(E1944,PROGRAMAS[],2,FALSE),0)</f>
        <v>640501509.6821388</v>
      </c>
      <c r="T1944" s="246">
        <f>IFERROR(VLOOKUP(F1944,PROGRAMAS[],2,FALSE),0)</f>
        <v>3062327798.1525245</v>
      </c>
      <c r="U1944" s="246">
        <f>IFERROR(VLOOKUP(G1944,PROGRAMAS[],2,FALSE),0)</f>
        <v>1440941976.2528784</v>
      </c>
      <c r="V1944" s="246">
        <f>IFERROR(VLOOKUP(H1944,PROGRAMAS[],2,FALSE),0)</f>
        <v>6907648435.8447599</v>
      </c>
      <c r="W1944" s="246">
        <f>IFERROR(VLOOKUP(I1944,PROGRAMAS[],2,FALSE),0)</f>
        <v>6128579952.1618185</v>
      </c>
      <c r="X1944" s="246">
        <f>IFERROR(VLOOKUP(J1944,PROGRAMAS[],2,FALSE),0)</f>
        <v>4635315027.8751087</v>
      </c>
      <c r="Y1944" s="246">
        <f>IFERROR(VLOOKUP(K1944,PROGRAMAS[],2,FALSE),0)</f>
        <v>764796700.79905891</v>
      </c>
      <c r="Z1944" s="246">
        <f>IFERROR(VLOOKUP(L1944,PROGRAMAS[],2,FALSE),0)</f>
        <v>54223862.645839565</v>
      </c>
      <c r="AA1944" s="246">
        <f>IFERROR(VLOOKUP(M1944,PROGRAMAS[],2,FALSE),0)</f>
        <v>122159672.96346797</v>
      </c>
      <c r="AB1944" s="246">
        <f>IFERROR(VLOOKUP(N1944,PROGRAMAS[],2,FALSE),0)</f>
        <v>1892779498.5211046</v>
      </c>
      <c r="AC1944" s="246">
        <f>IFERROR(VLOOKUP(O1944,PROGRAMAS[],2,FALSE),0)</f>
        <v>0</v>
      </c>
      <c r="AD1944" s="246">
        <f>IFERROR(VLOOKUP(P1944,PROGRAMAS[],2,FALSE),0)</f>
        <v>0</v>
      </c>
      <c r="AE1944" s="246">
        <f>IFERROR(VLOOKUP(Q1944,PROGRAMAS[],2,FALSE),0)</f>
        <v>0</v>
      </c>
      <c r="AF1944" s="246">
        <f>IFERROR(VLOOKUP(D1944,PROGRAMAS[],3,FALSE),0)</f>
        <v>841888629.31080008</v>
      </c>
      <c r="AG1944" s="246">
        <f>IFERROR(VLOOKUP(E1944,PROGRAMAS[],3,FALSE),0)</f>
        <v>3848980803.1642323</v>
      </c>
      <c r="AH1944" s="246">
        <f>IFERROR(VLOOKUP(F1944,PROGRAMAS[],3,FALSE),0)</f>
        <v>3394901471.387517</v>
      </c>
      <c r="AI1944" s="246">
        <f>IFERROR(VLOOKUP(G1944,PROGRAMAS[],3,FALSE),0)</f>
        <v>1233505101.0616004</v>
      </c>
      <c r="AJ1944" s="246">
        <f>IFERROR(VLOOKUP(H1944,PROGRAMAS[],3,FALSE),0)</f>
        <v>6129902208.7912121</v>
      </c>
      <c r="AK1944" s="246">
        <f>IFERROR(VLOOKUP(I1944,PROGRAMAS[],3,FALSE),0)</f>
        <v>7011279577.519702</v>
      </c>
      <c r="AL1944" s="246">
        <f>IFERROR(VLOOKUP(J1944,PROGRAMAS[],3,FALSE),0)</f>
        <v>4099471734.9978786</v>
      </c>
      <c r="AM1944" s="246">
        <f>IFERROR(VLOOKUP(K1944,PROGRAMAS[],3,FALSE),0)</f>
        <v>675517840.109828</v>
      </c>
      <c r="AN1944" s="246">
        <f>IFERROR(VLOOKUP(L1944,PROGRAMAS[],3,FALSE),0)</f>
        <v>31865326.38096505</v>
      </c>
      <c r="AO1944" s="246">
        <f>IFERROR(VLOOKUP(M1944,PROGRAMAS[],3,FALSE),0)</f>
        <v>118617452.52510804</v>
      </c>
      <c r="AP1944" s="246">
        <f>IFERROR(VLOOKUP(N1944,PROGRAMAS[],3,FALSE),0)</f>
        <v>948595847.09039903</v>
      </c>
      <c r="AQ1944" s="246">
        <f>IFERROR(VLOOKUP(O1944,PROGRAMAS[],3,FALSE),0)</f>
        <v>0</v>
      </c>
      <c r="AR1944" s="246">
        <f>IFERROR(VLOOKUP(P1944,PROGRAMAS[],3,FALSE),0)</f>
        <v>0</v>
      </c>
      <c r="AS1944" s="246">
        <f>IFERROR(VLOOKUP(Q1944,PROGRAMAS[],3,FALSE),0)</f>
        <v>0</v>
      </c>
      <c r="AT1944" s="246">
        <f>IFERROR(VLOOKUP(D1944,VOL_REC[],2,FALSE),0)</f>
        <v>0</v>
      </c>
      <c r="AU1944" s="246">
        <f>IFERROR(VLOOKUP(E1944,VOL_REC[],2,FALSE),0)</f>
        <v>0</v>
      </c>
      <c r="AV1944" s="246">
        <f>IFERROR(VLOOKUP(F1944,VOL_REC[],2,FALSE),0)</f>
        <v>11089674.200000001</v>
      </c>
      <c r="AW1944" s="246">
        <f>IFERROR(VLOOKUP(G1944,VOL_REC[],2,FALSE),0)</f>
        <v>4325103.1812214684</v>
      </c>
      <c r="AX1944" s="246">
        <f>IFERROR(VLOOKUP(H1944,VOL_REC[],2,FALSE),0)</f>
        <v>15540036.397699751</v>
      </c>
      <c r="AY1944" s="246">
        <f>IFERROR(VLOOKUP(I1944,VOL_REC[],2,FALSE),0)</f>
        <v>3761786</v>
      </c>
      <c r="AZ1944" s="246">
        <f>IFERROR(VLOOKUP(J1944,VOL_REC[],2,FALSE),0)</f>
        <v>1812240</v>
      </c>
      <c r="BA1944" s="246">
        <f>IFERROR(VLOOKUP(K1944,VOL_REC[],2,FALSE),0)</f>
        <v>240696.79238099116</v>
      </c>
      <c r="BB1944" s="246">
        <f>IFERROR(VLOOKUP(L1944,VOL_REC[],2,FALSE),0)</f>
        <v>17074.045034105649</v>
      </c>
      <c r="BC1944" s="246">
        <f>IFERROR(VLOOKUP(M1944,VOL_REC[],2,FALSE),0)</f>
        <v>105072</v>
      </c>
      <c r="BD1944" s="246">
        <f>IFERROR(VLOOKUP(N1944,VOL_REC[],2,FALSE),0)</f>
        <v>740113.98115702497</v>
      </c>
      <c r="BE1944" s="246">
        <f>IFERROR(VLOOKUP(O1944,VOL_REC[],2,FALSE),0)</f>
        <v>0</v>
      </c>
      <c r="BF1944" s="246">
        <f>IFERROR(VLOOKUP(P1944,VOL_REC[],2,FALSE),0)</f>
        <v>0</v>
      </c>
      <c r="BG1944" s="246">
        <f>IFERROR(VLOOKUP(Q1944,VOL_REC[],2,FALSE),0)</f>
        <v>0</v>
      </c>
      <c r="BH1944" s="1710">
        <f t="shared" si="124"/>
        <v>25746312238.578072</v>
      </c>
      <c r="BI1944" s="1710">
        <f t="shared" si="125"/>
        <v>28334525992.339249</v>
      </c>
      <c r="BJ1944" s="1711">
        <f t="shared" si="126"/>
        <v>37631796.597493336</v>
      </c>
      <c r="BK1944" s="1711">
        <f t="shared" si="127"/>
        <v>0.90865512433626217</v>
      </c>
    </row>
    <row r="1945" spans="3:67" x14ac:dyDescent="0.25">
      <c r="C1945" s="246" t="s">
        <v>3295</v>
      </c>
      <c r="D1945" s="246">
        <v>1</v>
      </c>
      <c r="E1945" s="246">
        <v>2</v>
      </c>
      <c r="F1945" s="246">
        <v>3</v>
      </c>
      <c r="G1945" s="246">
        <v>5</v>
      </c>
      <c r="H1945" s="246">
        <v>6</v>
      </c>
      <c r="I1945" s="246">
        <v>9</v>
      </c>
      <c r="J1945" s="246">
        <v>10</v>
      </c>
      <c r="K1945" s="246">
        <v>12</v>
      </c>
      <c r="L1945" s="246">
        <v>14</v>
      </c>
      <c r="M1945" s="246">
        <v>16</v>
      </c>
      <c r="N1945" s="246">
        <v>17</v>
      </c>
      <c r="O1945" s="246"/>
      <c r="P1945" s="246"/>
      <c r="Q1945" s="246"/>
      <c r="R1945" s="246">
        <f>IFERROR(VLOOKUP(D1945,PROGRAMAS[],2,FALSE),0)</f>
        <v>97037803.679377079</v>
      </c>
      <c r="S1945" s="246">
        <f>IFERROR(VLOOKUP(E1945,PROGRAMAS[],2,FALSE),0)</f>
        <v>640501509.6821388</v>
      </c>
      <c r="T1945" s="246">
        <f>IFERROR(VLOOKUP(F1945,PROGRAMAS[],2,FALSE),0)</f>
        <v>3062327798.1525245</v>
      </c>
      <c r="U1945" s="246">
        <f>IFERROR(VLOOKUP(G1945,PROGRAMAS[],2,FALSE),0)</f>
        <v>1440941976.2528784</v>
      </c>
      <c r="V1945" s="246">
        <f>IFERROR(VLOOKUP(H1945,PROGRAMAS[],2,FALSE),0)</f>
        <v>6907648435.8447599</v>
      </c>
      <c r="W1945" s="246">
        <f>IFERROR(VLOOKUP(I1945,PROGRAMAS[],2,FALSE),0)</f>
        <v>6128579952.1618185</v>
      </c>
      <c r="X1945" s="246">
        <f>IFERROR(VLOOKUP(J1945,PROGRAMAS[],2,FALSE),0)</f>
        <v>4635315027.8751087</v>
      </c>
      <c r="Y1945" s="246">
        <f>IFERROR(VLOOKUP(K1945,PROGRAMAS[],2,FALSE),0)</f>
        <v>764796700.79905891</v>
      </c>
      <c r="Z1945" s="246">
        <f>IFERROR(VLOOKUP(L1945,PROGRAMAS[],2,FALSE),0)</f>
        <v>54223862.645839565</v>
      </c>
      <c r="AA1945" s="246">
        <f>IFERROR(VLOOKUP(M1945,PROGRAMAS[],2,FALSE),0)</f>
        <v>7068496961.0436354</v>
      </c>
      <c r="AB1945" s="246">
        <f>IFERROR(VLOOKUP(N1945,PROGRAMAS[],2,FALSE),0)</f>
        <v>1892779498.5211046</v>
      </c>
      <c r="AC1945" s="246">
        <f>IFERROR(VLOOKUP(O1945,PROGRAMAS[],2,FALSE),0)</f>
        <v>0</v>
      </c>
      <c r="AD1945" s="246">
        <f>IFERROR(VLOOKUP(P1945,PROGRAMAS[],2,FALSE),0)</f>
        <v>0</v>
      </c>
      <c r="AE1945" s="246">
        <f>IFERROR(VLOOKUP(Q1945,PROGRAMAS[],2,FALSE),0)</f>
        <v>0</v>
      </c>
      <c r="AF1945" s="246">
        <f>IFERROR(VLOOKUP(D1945,PROGRAMAS[],3,FALSE),0)</f>
        <v>841888629.31080008</v>
      </c>
      <c r="AG1945" s="246">
        <f>IFERROR(VLOOKUP(E1945,PROGRAMAS[],3,FALSE),0)</f>
        <v>3848980803.1642323</v>
      </c>
      <c r="AH1945" s="246">
        <f>IFERROR(VLOOKUP(F1945,PROGRAMAS[],3,FALSE),0)</f>
        <v>3394901471.387517</v>
      </c>
      <c r="AI1945" s="246">
        <f>IFERROR(VLOOKUP(G1945,PROGRAMAS[],3,FALSE),0)</f>
        <v>1233505101.0616004</v>
      </c>
      <c r="AJ1945" s="246">
        <f>IFERROR(VLOOKUP(H1945,PROGRAMAS[],3,FALSE),0)</f>
        <v>6129902208.7912121</v>
      </c>
      <c r="AK1945" s="246">
        <f>IFERROR(VLOOKUP(I1945,PROGRAMAS[],3,FALSE),0)</f>
        <v>7011279577.519702</v>
      </c>
      <c r="AL1945" s="246">
        <f>IFERROR(VLOOKUP(J1945,PROGRAMAS[],3,FALSE),0)</f>
        <v>4099471734.9978786</v>
      </c>
      <c r="AM1945" s="246">
        <f>IFERROR(VLOOKUP(K1945,PROGRAMAS[],3,FALSE),0)</f>
        <v>675517840.109828</v>
      </c>
      <c r="AN1945" s="246">
        <f>IFERROR(VLOOKUP(L1945,PROGRAMAS[],3,FALSE),0)</f>
        <v>31865326.38096505</v>
      </c>
      <c r="AO1945" s="246">
        <f>IFERROR(VLOOKUP(M1945,PROGRAMAS[],3,FALSE),0)</f>
        <v>2406564599.0319901</v>
      </c>
      <c r="AP1945" s="246">
        <f>IFERROR(VLOOKUP(N1945,PROGRAMAS[],3,FALSE),0)</f>
        <v>948595847.09039903</v>
      </c>
      <c r="AQ1945" s="246">
        <f>IFERROR(VLOOKUP(O1945,PROGRAMAS[],3,FALSE),0)</f>
        <v>0</v>
      </c>
      <c r="AR1945" s="246">
        <f>IFERROR(VLOOKUP(P1945,PROGRAMAS[],3,FALSE),0)</f>
        <v>0</v>
      </c>
      <c r="AS1945" s="246">
        <f>IFERROR(VLOOKUP(Q1945,PROGRAMAS[],3,FALSE),0)</f>
        <v>0</v>
      </c>
      <c r="AT1945" s="246">
        <f>IFERROR(VLOOKUP(D1945,VOL_REC[],2,FALSE),0)</f>
        <v>0</v>
      </c>
      <c r="AU1945" s="246">
        <f>IFERROR(VLOOKUP(E1945,VOL_REC[],2,FALSE),0)</f>
        <v>0</v>
      </c>
      <c r="AV1945" s="246">
        <f>IFERROR(VLOOKUP(F1945,VOL_REC[],2,FALSE),0)</f>
        <v>11089674.200000001</v>
      </c>
      <c r="AW1945" s="246">
        <f>IFERROR(VLOOKUP(G1945,VOL_REC[],2,FALSE),0)</f>
        <v>4325103.1812214684</v>
      </c>
      <c r="AX1945" s="246">
        <f>IFERROR(VLOOKUP(H1945,VOL_REC[],2,FALSE),0)</f>
        <v>15540036.397699751</v>
      </c>
      <c r="AY1945" s="246">
        <f>IFERROR(VLOOKUP(I1945,VOL_REC[],2,FALSE),0)</f>
        <v>3761786</v>
      </c>
      <c r="AZ1945" s="246">
        <f>IFERROR(VLOOKUP(J1945,VOL_REC[],2,FALSE),0)</f>
        <v>1812240</v>
      </c>
      <c r="BA1945" s="246">
        <f>IFERROR(VLOOKUP(K1945,VOL_REC[],2,FALSE),0)</f>
        <v>240696.79238099116</v>
      </c>
      <c r="BB1945" s="246">
        <f>IFERROR(VLOOKUP(L1945,VOL_REC[],2,FALSE),0)</f>
        <v>17074.045034105649</v>
      </c>
      <c r="BC1945" s="246">
        <f>IFERROR(VLOOKUP(M1945,VOL_REC[],2,FALSE),0)</f>
        <v>1072354.9981737854</v>
      </c>
      <c r="BD1945" s="246">
        <f>IFERROR(VLOOKUP(N1945,VOL_REC[],2,FALSE),0)</f>
        <v>740113.98115702497</v>
      </c>
      <c r="BE1945" s="246">
        <f>IFERROR(VLOOKUP(O1945,VOL_REC[],2,FALSE),0)</f>
        <v>0</v>
      </c>
      <c r="BF1945" s="246">
        <f>IFERROR(VLOOKUP(P1945,VOL_REC[],2,FALSE),0)</f>
        <v>0</v>
      </c>
      <c r="BG1945" s="246">
        <f>IFERROR(VLOOKUP(Q1945,VOL_REC[],2,FALSE),0)</f>
        <v>0</v>
      </c>
      <c r="BH1945" s="1710">
        <f t="shared" si="124"/>
        <v>32692649526.658241</v>
      </c>
      <c r="BI1945" s="1710">
        <f t="shared" si="125"/>
        <v>30622473138.84613</v>
      </c>
      <c r="BJ1945" s="1711">
        <f t="shared" si="126"/>
        <v>38599079.595667124</v>
      </c>
      <c r="BK1945" s="1711">
        <f t="shared" si="127"/>
        <v>1.067603174257862</v>
      </c>
      <c r="BL1945">
        <f>BJ1945</f>
        <v>38599079.595667124</v>
      </c>
      <c r="BO1945">
        <f>BL1945</f>
        <v>38599079.595667124</v>
      </c>
    </row>
    <row r="1946" spans="3:67" x14ac:dyDescent="0.25">
      <c r="C1946" s="246" t="s">
        <v>3296</v>
      </c>
      <c r="D1946" s="246">
        <v>1</v>
      </c>
      <c r="E1946" s="246">
        <v>2</v>
      </c>
      <c r="F1946" s="246">
        <v>3</v>
      </c>
      <c r="G1946" s="246">
        <v>5</v>
      </c>
      <c r="H1946" s="246">
        <v>6</v>
      </c>
      <c r="I1946" s="246">
        <v>9</v>
      </c>
      <c r="J1946" s="246">
        <v>10</v>
      </c>
      <c r="K1946" s="246">
        <v>12</v>
      </c>
      <c r="L1946" s="246">
        <v>15</v>
      </c>
      <c r="M1946" s="246">
        <v>16</v>
      </c>
      <c r="N1946" s="246">
        <v>17</v>
      </c>
      <c r="O1946" s="246"/>
      <c r="P1946" s="246"/>
      <c r="Q1946" s="246"/>
      <c r="R1946" s="246">
        <f>IFERROR(VLOOKUP(D1946,PROGRAMAS[],2,FALSE),0)</f>
        <v>97037803.679377079</v>
      </c>
      <c r="S1946" s="246">
        <f>IFERROR(VLOOKUP(E1946,PROGRAMAS[],2,FALSE),0)</f>
        <v>640501509.6821388</v>
      </c>
      <c r="T1946" s="246">
        <f>IFERROR(VLOOKUP(F1946,PROGRAMAS[],2,FALSE),0)</f>
        <v>3062327798.1525245</v>
      </c>
      <c r="U1946" s="246">
        <f>IFERROR(VLOOKUP(G1946,PROGRAMAS[],2,FALSE),0)</f>
        <v>1440941976.2528784</v>
      </c>
      <c r="V1946" s="246">
        <f>IFERROR(VLOOKUP(H1946,PROGRAMAS[],2,FALSE),0)</f>
        <v>6907648435.8447599</v>
      </c>
      <c r="W1946" s="246">
        <f>IFERROR(VLOOKUP(I1946,PROGRAMAS[],2,FALSE),0)</f>
        <v>6128579952.1618185</v>
      </c>
      <c r="X1946" s="246">
        <f>IFERROR(VLOOKUP(J1946,PROGRAMAS[],2,FALSE),0)</f>
        <v>4635315027.8751087</v>
      </c>
      <c r="Y1946" s="246">
        <f>IFERROR(VLOOKUP(K1946,PROGRAMAS[],2,FALSE),0)</f>
        <v>764796700.79905891</v>
      </c>
      <c r="Z1946" s="246">
        <f>IFERROR(VLOOKUP(L1946,PROGRAMAS[],2,FALSE),0)</f>
        <v>122159672.96346797</v>
      </c>
      <c r="AA1946" s="246">
        <f>IFERROR(VLOOKUP(M1946,PROGRAMAS[],2,FALSE),0)</f>
        <v>7068496961.0436354</v>
      </c>
      <c r="AB1946" s="246">
        <f>IFERROR(VLOOKUP(N1946,PROGRAMAS[],2,FALSE),0)</f>
        <v>1892779498.5211046</v>
      </c>
      <c r="AC1946" s="246">
        <f>IFERROR(VLOOKUP(O1946,PROGRAMAS[],2,FALSE),0)</f>
        <v>0</v>
      </c>
      <c r="AD1946" s="246">
        <f>IFERROR(VLOOKUP(P1946,PROGRAMAS[],2,FALSE),0)</f>
        <v>0</v>
      </c>
      <c r="AE1946" s="246">
        <f>IFERROR(VLOOKUP(Q1946,PROGRAMAS[],2,FALSE),0)</f>
        <v>0</v>
      </c>
      <c r="AF1946" s="246">
        <f>IFERROR(VLOOKUP(D1946,PROGRAMAS[],3,FALSE),0)</f>
        <v>841888629.31080008</v>
      </c>
      <c r="AG1946" s="246">
        <f>IFERROR(VLOOKUP(E1946,PROGRAMAS[],3,FALSE),0)</f>
        <v>3848980803.1642323</v>
      </c>
      <c r="AH1946" s="246">
        <f>IFERROR(VLOOKUP(F1946,PROGRAMAS[],3,FALSE),0)</f>
        <v>3394901471.387517</v>
      </c>
      <c r="AI1946" s="246">
        <f>IFERROR(VLOOKUP(G1946,PROGRAMAS[],3,FALSE),0)</f>
        <v>1233505101.0616004</v>
      </c>
      <c r="AJ1946" s="246">
        <f>IFERROR(VLOOKUP(H1946,PROGRAMAS[],3,FALSE),0)</f>
        <v>6129902208.7912121</v>
      </c>
      <c r="AK1946" s="246">
        <f>IFERROR(VLOOKUP(I1946,PROGRAMAS[],3,FALSE),0)</f>
        <v>7011279577.519702</v>
      </c>
      <c r="AL1946" s="246">
        <f>IFERROR(VLOOKUP(J1946,PROGRAMAS[],3,FALSE),0)</f>
        <v>4099471734.9978786</v>
      </c>
      <c r="AM1946" s="246">
        <f>IFERROR(VLOOKUP(K1946,PROGRAMAS[],3,FALSE),0)</f>
        <v>675517840.109828</v>
      </c>
      <c r="AN1946" s="246">
        <f>IFERROR(VLOOKUP(L1946,PROGRAMAS[],3,FALSE),0)</f>
        <v>118617452.52510804</v>
      </c>
      <c r="AO1946" s="246">
        <f>IFERROR(VLOOKUP(M1946,PROGRAMAS[],3,FALSE),0)</f>
        <v>2406564599.0319901</v>
      </c>
      <c r="AP1946" s="246">
        <f>IFERROR(VLOOKUP(N1946,PROGRAMAS[],3,FALSE),0)</f>
        <v>948595847.09039903</v>
      </c>
      <c r="AQ1946" s="246">
        <f>IFERROR(VLOOKUP(O1946,PROGRAMAS[],3,FALSE),0)</f>
        <v>0</v>
      </c>
      <c r="AR1946" s="246">
        <f>IFERROR(VLOOKUP(P1946,PROGRAMAS[],3,FALSE),0)</f>
        <v>0</v>
      </c>
      <c r="AS1946" s="246">
        <f>IFERROR(VLOOKUP(Q1946,PROGRAMAS[],3,FALSE),0)</f>
        <v>0</v>
      </c>
      <c r="AT1946" s="246">
        <f>IFERROR(VLOOKUP(D1946,VOL_REC[],2,FALSE),0)</f>
        <v>0</v>
      </c>
      <c r="AU1946" s="246">
        <f>IFERROR(VLOOKUP(E1946,VOL_REC[],2,FALSE),0)</f>
        <v>0</v>
      </c>
      <c r="AV1946" s="246">
        <f>IFERROR(VLOOKUP(F1946,VOL_REC[],2,FALSE),0)</f>
        <v>11089674.200000001</v>
      </c>
      <c r="AW1946" s="246">
        <f>IFERROR(VLOOKUP(G1946,VOL_REC[],2,FALSE),0)</f>
        <v>4325103.1812214684</v>
      </c>
      <c r="AX1946" s="246">
        <f>IFERROR(VLOOKUP(H1946,VOL_REC[],2,FALSE),0)</f>
        <v>15540036.397699751</v>
      </c>
      <c r="AY1946" s="246">
        <f>IFERROR(VLOOKUP(I1946,VOL_REC[],2,FALSE),0)</f>
        <v>3761786</v>
      </c>
      <c r="AZ1946" s="246">
        <f>IFERROR(VLOOKUP(J1946,VOL_REC[],2,FALSE),0)</f>
        <v>1812240</v>
      </c>
      <c r="BA1946" s="246">
        <f>IFERROR(VLOOKUP(K1946,VOL_REC[],2,FALSE),0)</f>
        <v>240696.79238099116</v>
      </c>
      <c r="BB1946" s="246">
        <f>IFERROR(VLOOKUP(L1946,VOL_REC[],2,FALSE),0)</f>
        <v>105072</v>
      </c>
      <c r="BC1946" s="246">
        <f>IFERROR(VLOOKUP(M1946,VOL_REC[],2,FALSE),0)</f>
        <v>1072354.9981737854</v>
      </c>
      <c r="BD1946" s="246">
        <f>IFERROR(VLOOKUP(N1946,VOL_REC[],2,FALSE),0)</f>
        <v>740113.98115702497</v>
      </c>
      <c r="BE1946" s="246">
        <f>IFERROR(VLOOKUP(O1946,VOL_REC[],2,FALSE),0)</f>
        <v>0</v>
      </c>
      <c r="BF1946" s="246">
        <f>IFERROR(VLOOKUP(P1946,VOL_REC[],2,FALSE),0)</f>
        <v>0</v>
      </c>
      <c r="BG1946" s="246">
        <f>IFERROR(VLOOKUP(Q1946,VOL_REC[],2,FALSE),0)</f>
        <v>0</v>
      </c>
      <c r="BH1946" s="1710">
        <f t="shared" si="124"/>
        <v>32760585336.975868</v>
      </c>
      <c r="BI1946" s="1710">
        <f t="shared" si="125"/>
        <v>30709225264.990273</v>
      </c>
      <c r="BJ1946" s="1711">
        <f t="shared" si="126"/>
        <v>38687077.550633021</v>
      </c>
      <c r="BK1946" s="1711">
        <f t="shared" si="127"/>
        <v>1.0667994732620047</v>
      </c>
      <c r="BL1946">
        <f>BJ1946</f>
        <v>38687077.550633021</v>
      </c>
      <c r="BO1946">
        <f>BL1946</f>
        <v>38687077.550633021</v>
      </c>
    </row>
    <row r="1947" spans="3:67" x14ac:dyDescent="0.25">
      <c r="C1947" s="246" t="s">
        <v>3297</v>
      </c>
      <c r="D1947" s="246">
        <v>1</v>
      </c>
      <c r="E1947" s="246">
        <v>2</v>
      </c>
      <c r="F1947" s="246">
        <v>3</v>
      </c>
      <c r="G1947" s="246">
        <v>5</v>
      </c>
      <c r="H1947" s="246">
        <v>6</v>
      </c>
      <c r="I1947" s="246">
        <v>9</v>
      </c>
      <c r="J1947" s="246">
        <v>10</v>
      </c>
      <c r="K1947" s="246">
        <v>13</v>
      </c>
      <c r="L1947" s="246">
        <v>14</v>
      </c>
      <c r="M1947" s="246">
        <v>15</v>
      </c>
      <c r="N1947" s="246">
        <v>16</v>
      </c>
      <c r="O1947" s="246"/>
      <c r="P1947" s="246"/>
      <c r="Q1947" s="246"/>
      <c r="R1947" s="246">
        <f>IFERROR(VLOOKUP(D1947,PROGRAMAS[],2,FALSE),0)</f>
        <v>97037803.679377079</v>
      </c>
      <c r="S1947" s="246">
        <f>IFERROR(VLOOKUP(E1947,PROGRAMAS[],2,FALSE),0)</f>
        <v>640501509.6821388</v>
      </c>
      <c r="T1947" s="246">
        <f>IFERROR(VLOOKUP(F1947,PROGRAMAS[],2,FALSE),0)</f>
        <v>3062327798.1525245</v>
      </c>
      <c r="U1947" s="246">
        <f>IFERROR(VLOOKUP(G1947,PROGRAMAS[],2,FALSE),0)</f>
        <v>1440941976.2528784</v>
      </c>
      <c r="V1947" s="246">
        <f>IFERROR(VLOOKUP(H1947,PROGRAMAS[],2,FALSE),0)</f>
        <v>6907648435.8447599</v>
      </c>
      <c r="W1947" s="246">
        <f>IFERROR(VLOOKUP(I1947,PROGRAMAS[],2,FALSE),0)</f>
        <v>6128579952.1618185</v>
      </c>
      <c r="X1947" s="246">
        <f>IFERROR(VLOOKUP(J1947,PROGRAMAS[],2,FALSE),0)</f>
        <v>4635315027.8751087</v>
      </c>
      <c r="Y1947" s="246">
        <f>IFERROR(VLOOKUP(K1947,PROGRAMAS[],2,FALSE),0)</f>
        <v>3776538594.4604583</v>
      </c>
      <c r="Z1947" s="246">
        <f>IFERROR(VLOOKUP(L1947,PROGRAMAS[],2,FALSE),0)</f>
        <v>54223862.645839565</v>
      </c>
      <c r="AA1947" s="246">
        <f>IFERROR(VLOOKUP(M1947,PROGRAMAS[],2,FALSE),0)</f>
        <v>122159672.96346797</v>
      </c>
      <c r="AB1947" s="246">
        <f>IFERROR(VLOOKUP(N1947,PROGRAMAS[],2,FALSE),0)</f>
        <v>7068496961.0436354</v>
      </c>
      <c r="AC1947" s="246">
        <f>IFERROR(VLOOKUP(O1947,PROGRAMAS[],2,FALSE),0)</f>
        <v>0</v>
      </c>
      <c r="AD1947" s="246">
        <f>IFERROR(VLOOKUP(P1947,PROGRAMAS[],2,FALSE),0)</f>
        <v>0</v>
      </c>
      <c r="AE1947" s="246">
        <f>IFERROR(VLOOKUP(Q1947,PROGRAMAS[],2,FALSE),0)</f>
        <v>0</v>
      </c>
      <c r="AF1947" s="246">
        <f>IFERROR(VLOOKUP(D1947,PROGRAMAS[],3,FALSE),0)</f>
        <v>841888629.31080008</v>
      </c>
      <c r="AG1947" s="246">
        <f>IFERROR(VLOOKUP(E1947,PROGRAMAS[],3,FALSE),0)</f>
        <v>3848980803.1642323</v>
      </c>
      <c r="AH1947" s="246">
        <f>IFERROR(VLOOKUP(F1947,PROGRAMAS[],3,FALSE),0)</f>
        <v>3394901471.387517</v>
      </c>
      <c r="AI1947" s="246">
        <f>IFERROR(VLOOKUP(G1947,PROGRAMAS[],3,FALSE),0)</f>
        <v>1233505101.0616004</v>
      </c>
      <c r="AJ1947" s="246">
        <f>IFERROR(VLOOKUP(H1947,PROGRAMAS[],3,FALSE),0)</f>
        <v>6129902208.7912121</v>
      </c>
      <c r="AK1947" s="246">
        <f>IFERROR(VLOOKUP(I1947,PROGRAMAS[],3,FALSE),0)</f>
        <v>7011279577.519702</v>
      </c>
      <c r="AL1947" s="246">
        <f>IFERROR(VLOOKUP(J1947,PROGRAMAS[],3,FALSE),0)</f>
        <v>4099471734.9978786</v>
      </c>
      <c r="AM1947" s="246">
        <f>IFERROR(VLOOKUP(K1947,PROGRAMAS[],3,FALSE),0)</f>
        <v>2392571243.5584412</v>
      </c>
      <c r="AN1947" s="246">
        <f>IFERROR(VLOOKUP(L1947,PROGRAMAS[],3,FALSE),0)</f>
        <v>31865326.38096505</v>
      </c>
      <c r="AO1947" s="246">
        <f>IFERROR(VLOOKUP(M1947,PROGRAMAS[],3,FALSE),0)</f>
        <v>118617452.52510804</v>
      </c>
      <c r="AP1947" s="246">
        <f>IFERROR(VLOOKUP(N1947,PROGRAMAS[],3,FALSE),0)</f>
        <v>2406564599.0319901</v>
      </c>
      <c r="AQ1947" s="246">
        <f>IFERROR(VLOOKUP(O1947,PROGRAMAS[],3,FALSE),0)</f>
        <v>0</v>
      </c>
      <c r="AR1947" s="246">
        <f>IFERROR(VLOOKUP(P1947,PROGRAMAS[],3,FALSE),0)</f>
        <v>0</v>
      </c>
      <c r="AS1947" s="246">
        <f>IFERROR(VLOOKUP(Q1947,PROGRAMAS[],3,FALSE),0)</f>
        <v>0</v>
      </c>
      <c r="AT1947" s="246">
        <f>IFERROR(VLOOKUP(D1947,VOL_REC[],2,FALSE),0)</f>
        <v>0</v>
      </c>
      <c r="AU1947" s="246">
        <f>IFERROR(VLOOKUP(E1947,VOL_REC[],2,FALSE),0)</f>
        <v>0</v>
      </c>
      <c r="AV1947" s="246">
        <f>IFERROR(VLOOKUP(F1947,VOL_REC[],2,FALSE),0)</f>
        <v>11089674.200000001</v>
      </c>
      <c r="AW1947" s="246">
        <f>IFERROR(VLOOKUP(G1947,VOL_REC[],2,FALSE),0)</f>
        <v>4325103.1812214684</v>
      </c>
      <c r="AX1947" s="246">
        <f>IFERROR(VLOOKUP(H1947,VOL_REC[],2,FALSE),0)</f>
        <v>15540036.397699751</v>
      </c>
      <c r="AY1947" s="246">
        <f>IFERROR(VLOOKUP(I1947,VOL_REC[],2,FALSE),0)</f>
        <v>3761786</v>
      </c>
      <c r="AZ1947" s="246">
        <f>IFERROR(VLOOKUP(J1947,VOL_REC[],2,FALSE),0)</f>
        <v>1812240</v>
      </c>
      <c r="BA1947" s="246">
        <f>IFERROR(VLOOKUP(K1947,VOL_REC[],2,FALSE),0)</f>
        <v>663244.80000000016</v>
      </c>
      <c r="BB1947" s="246">
        <f>IFERROR(VLOOKUP(L1947,VOL_REC[],2,FALSE),0)</f>
        <v>17074.045034105649</v>
      </c>
      <c r="BC1947" s="246">
        <f>IFERROR(VLOOKUP(M1947,VOL_REC[],2,FALSE),0)</f>
        <v>105072</v>
      </c>
      <c r="BD1947" s="246">
        <f>IFERROR(VLOOKUP(N1947,VOL_REC[],2,FALSE),0)</f>
        <v>1072354.9981737854</v>
      </c>
      <c r="BE1947" s="246">
        <f>IFERROR(VLOOKUP(O1947,VOL_REC[],2,FALSE),0)</f>
        <v>0</v>
      </c>
      <c r="BF1947" s="246">
        <f>IFERROR(VLOOKUP(P1947,VOL_REC[],2,FALSE),0)</f>
        <v>0</v>
      </c>
      <c r="BG1947" s="246">
        <f>IFERROR(VLOOKUP(Q1947,VOL_REC[],2,FALSE),0)</f>
        <v>0</v>
      </c>
      <c r="BH1947" s="1710">
        <f t="shared" si="124"/>
        <v>33933771594.762005</v>
      </c>
      <c r="BI1947" s="1710">
        <f t="shared" si="125"/>
        <v>31509548147.72945</v>
      </c>
      <c r="BJ1947" s="1711">
        <f t="shared" si="126"/>
        <v>38386585.622129105</v>
      </c>
      <c r="BK1947" s="1711">
        <f t="shared" si="127"/>
        <v>1.0769361539450462</v>
      </c>
      <c r="BL1947">
        <f>BJ1947</f>
        <v>38386585.622129105</v>
      </c>
      <c r="BO1947">
        <f>BL1947</f>
        <v>38386585.622129105</v>
      </c>
    </row>
    <row r="1948" spans="3:67" x14ac:dyDescent="0.25">
      <c r="C1948" s="246" t="s">
        <v>3298</v>
      </c>
      <c r="D1948" s="246">
        <v>1</v>
      </c>
      <c r="E1948" s="246">
        <v>2</v>
      </c>
      <c r="F1948" s="246">
        <v>3</v>
      </c>
      <c r="G1948" s="246">
        <v>5</v>
      </c>
      <c r="H1948" s="246">
        <v>6</v>
      </c>
      <c r="I1948" s="246">
        <v>9</v>
      </c>
      <c r="J1948" s="246">
        <v>10</v>
      </c>
      <c r="K1948" s="246">
        <v>13</v>
      </c>
      <c r="L1948" s="246">
        <v>14</v>
      </c>
      <c r="M1948" s="246">
        <v>15</v>
      </c>
      <c r="N1948" s="246">
        <v>17</v>
      </c>
      <c r="O1948" s="246"/>
      <c r="P1948" s="246"/>
      <c r="Q1948" s="246"/>
      <c r="R1948" s="246">
        <f>IFERROR(VLOOKUP(D1948,PROGRAMAS[],2,FALSE),0)</f>
        <v>97037803.679377079</v>
      </c>
      <c r="S1948" s="246">
        <f>IFERROR(VLOOKUP(E1948,PROGRAMAS[],2,FALSE),0)</f>
        <v>640501509.6821388</v>
      </c>
      <c r="T1948" s="246">
        <f>IFERROR(VLOOKUP(F1948,PROGRAMAS[],2,FALSE),0)</f>
        <v>3062327798.1525245</v>
      </c>
      <c r="U1948" s="246">
        <f>IFERROR(VLOOKUP(G1948,PROGRAMAS[],2,FALSE),0)</f>
        <v>1440941976.2528784</v>
      </c>
      <c r="V1948" s="246">
        <f>IFERROR(VLOOKUP(H1948,PROGRAMAS[],2,FALSE),0)</f>
        <v>6907648435.8447599</v>
      </c>
      <c r="W1948" s="246">
        <f>IFERROR(VLOOKUP(I1948,PROGRAMAS[],2,FALSE),0)</f>
        <v>6128579952.1618185</v>
      </c>
      <c r="X1948" s="246">
        <f>IFERROR(VLOOKUP(J1948,PROGRAMAS[],2,FALSE),0)</f>
        <v>4635315027.8751087</v>
      </c>
      <c r="Y1948" s="246">
        <f>IFERROR(VLOOKUP(K1948,PROGRAMAS[],2,FALSE),0)</f>
        <v>3776538594.4604583</v>
      </c>
      <c r="Z1948" s="246">
        <f>IFERROR(VLOOKUP(L1948,PROGRAMAS[],2,FALSE),0)</f>
        <v>54223862.645839565</v>
      </c>
      <c r="AA1948" s="246">
        <f>IFERROR(VLOOKUP(M1948,PROGRAMAS[],2,FALSE),0)</f>
        <v>122159672.96346797</v>
      </c>
      <c r="AB1948" s="246">
        <f>IFERROR(VLOOKUP(N1948,PROGRAMAS[],2,FALSE),0)</f>
        <v>1892779498.5211046</v>
      </c>
      <c r="AC1948" s="246">
        <f>IFERROR(VLOOKUP(O1948,PROGRAMAS[],2,FALSE),0)</f>
        <v>0</v>
      </c>
      <c r="AD1948" s="246">
        <f>IFERROR(VLOOKUP(P1948,PROGRAMAS[],2,FALSE),0)</f>
        <v>0</v>
      </c>
      <c r="AE1948" s="246">
        <f>IFERROR(VLOOKUP(Q1948,PROGRAMAS[],2,FALSE),0)</f>
        <v>0</v>
      </c>
      <c r="AF1948" s="246">
        <f>IFERROR(VLOOKUP(D1948,PROGRAMAS[],3,FALSE),0)</f>
        <v>841888629.31080008</v>
      </c>
      <c r="AG1948" s="246">
        <f>IFERROR(VLOOKUP(E1948,PROGRAMAS[],3,FALSE),0)</f>
        <v>3848980803.1642323</v>
      </c>
      <c r="AH1948" s="246">
        <f>IFERROR(VLOOKUP(F1948,PROGRAMAS[],3,FALSE),0)</f>
        <v>3394901471.387517</v>
      </c>
      <c r="AI1948" s="246">
        <f>IFERROR(VLOOKUP(G1948,PROGRAMAS[],3,FALSE),0)</f>
        <v>1233505101.0616004</v>
      </c>
      <c r="AJ1948" s="246">
        <f>IFERROR(VLOOKUP(H1948,PROGRAMAS[],3,FALSE),0)</f>
        <v>6129902208.7912121</v>
      </c>
      <c r="AK1948" s="246">
        <f>IFERROR(VLOOKUP(I1948,PROGRAMAS[],3,FALSE),0)</f>
        <v>7011279577.519702</v>
      </c>
      <c r="AL1948" s="246">
        <f>IFERROR(VLOOKUP(J1948,PROGRAMAS[],3,FALSE),0)</f>
        <v>4099471734.9978786</v>
      </c>
      <c r="AM1948" s="246">
        <f>IFERROR(VLOOKUP(K1948,PROGRAMAS[],3,FALSE),0)</f>
        <v>2392571243.5584412</v>
      </c>
      <c r="AN1948" s="246">
        <f>IFERROR(VLOOKUP(L1948,PROGRAMAS[],3,FALSE),0)</f>
        <v>31865326.38096505</v>
      </c>
      <c r="AO1948" s="246">
        <f>IFERROR(VLOOKUP(M1948,PROGRAMAS[],3,FALSE),0)</f>
        <v>118617452.52510804</v>
      </c>
      <c r="AP1948" s="246">
        <f>IFERROR(VLOOKUP(N1948,PROGRAMAS[],3,FALSE),0)</f>
        <v>948595847.09039903</v>
      </c>
      <c r="AQ1948" s="246">
        <f>IFERROR(VLOOKUP(O1948,PROGRAMAS[],3,FALSE),0)</f>
        <v>0</v>
      </c>
      <c r="AR1948" s="246">
        <f>IFERROR(VLOOKUP(P1948,PROGRAMAS[],3,FALSE),0)</f>
        <v>0</v>
      </c>
      <c r="AS1948" s="246">
        <f>IFERROR(VLOOKUP(Q1948,PROGRAMAS[],3,FALSE),0)</f>
        <v>0</v>
      </c>
      <c r="AT1948" s="246">
        <f>IFERROR(VLOOKUP(D1948,VOL_REC[],2,FALSE),0)</f>
        <v>0</v>
      </c>
      <c r="AU1948" s="246">
        <f>IFERROR(VLOOKUP(E1948,VOL_REC[],2,FALSE),0)</f>
        <v>0</v>
      </c>
      <c r="AV1948" s="246">
        <f>IFERROR(VLOOKUP(F1948,VOL_REC[],2,FALSE),0)</f>
        <v>11089674.200000001</v>
      </c>
      <c r="AW1948" s="246">
        <f>IFERROR(VLOOKUP(G1948,VOL_REC[],2,FALSE),0)</f>
        <v>4325103.1812214684</v>
      </c>
      <c r="AX1948" s="246">
        <f>IFERROR(VLOOKUP(H1948,VOL_REC[],2,FALSE),0)</f>
        <v>15540036.397699751</v>
      </c>
      <c r="AY1948" s="246">
        <f>IFERROR(VLOOKUP(I1948,VOL_REC[],2,FALSE),0)</f>
        <v>3761786</v>
      </c>
      <c r="AZ1948" s="246">
        <f>IFERROR(VLOOKUP(J1948,VOL_REC[],2,FALSE),0)</f>
        <v>1812240</v>
      </c>
      <c r="BA1948" s="246">
        <f>IFERROR(VLOOKUP(K1948,VOL_REC[],2,FALSE),0)</f>
        <v>663244.80000000016</v>
      </c>
      <c r="BB1948" s="246">
        <f>IFERROR(VLOOKUP(L1948,VOL_REC[],2,FALSE),0)</f>
        <v>17074.045034105649</v>
      </c>
      <c r="BC1948" s="246">
        <f>IFERROR(VLOOKUP(M1948,VOL_REC[],2,FALSE),0)</f>
        <v>105072</v>
      </c>
      <c r="BD1948" s="246">
        <f>IFERROR(VLOOKUP(N1948,VOL_REC[],2,FALSE),0)</f>
        <v>740113.98115702497</v>
      </c>
      <c r="BE1948" s="246">
        <f>IFERROR(VLOOKUP(O1948,VOL_REC[],2,FALSE),0)</f>
        <v>0</v>
      </c>
      <c r="BF1948" s="246">
        <f>IFERROR(VLOOKUP(P1948,VOL_REC[],2,FALSE),0)</f>
        <v>0</v>
      </c>
      <c r="BG1948" s="246">
        <f>IFERROR(VLOOKUP(Q1948,VOL_REC[],2,FALSE),0)</f>
        <v>0</v>
      </c>
      <c r="BH1948" s="1710">
        <f t="shared" si="124"/>
        <v>28758054132.239471</v>
      </c>
      <c r="BI1948" s="1710">
        <f t="shared" si="125"/>
        <v>30051579395.787861</v>
      </c>
      <c r="BJ1948" s="1711">
        <f t="shared" si="126"/>
        <v>38054344.605112344</v>
      </c>
      <c r="BK1948" s="1711">
        <f t="shared" si="127"/>
        <v>0.95695649647852798</v>
      </c>
    </row>
    <row r="1949" spans="3:67" x14ac:dyDescent="0.25">
      <c r="C1949" s="246" t="s">
        <v>3299</v>
      </c>
      <c r="D1949" s="246">
        <v>1</v>
      </c>
      <c r="E1949" s="246">
        <v>2</v>
      </c>
      <c r="F1949" s="246">
        <v>3</v>
      </c>
      <c r="G1949" s="246">
        <v>5</v>
      </c>
      <c r="H1949" s="246">
        <v>6</v>
      </c>
      <c r="I1949" s="246">
        <v>9</v>
      </c>
      <c r="J1949" s="246">
        <v>10</v>
      </c>
      <c r="K1949" s="246">
        <v>13</v>
      </c>
      <c r="L1949" s="246">
        <v>14</v>
      </c>
      <c r="M1949" s="246">
        <v>16</v>
      </c>
      <c r="N1949" s="246">
        <v>17</v>
      </c>
      <c r="O1949" s="246"/>
      <c r="P1949" s="246"/>
      <c r="Q1949" s="246"/>
      <c r="R1949" s="246">
        <f>IFERROR(VLOOKUP(D1949,PROGRAMAS[],2,FALSE),0)</f>
        <v>97037803.679377079</v>
      </c>
      <c r="S1949" s="246">
        <f>IFERROR(VLOOKUP(E1949,PROGRAMAS[],2,FALSE),0)</f>
        <v>640501509.6821388</v>
      </c>
      <c r="T1949" s="246">
        <f>IFERROR(VLOOKUP(F1949,PROGRAMAS[],2,FALSE),0)</f>
        <v>3062327798.1525245</v>
      </c>
      <c r="U1949" s="246">
        <f>IFERROR(VLOOKUP(G1949,PROGRAMAS[],2,FALSE),0)</f>
        <v>1440941976.2528784</v>
      </c>
      <c r="V1949" s="246">
        <f>IFERROR(VLOOKUP(H1949,PROGRAMAS[],2,FALSE),0)</f>
        <v>6907648435.8447599</v>
      </c>
      <c r="W1949" s="246">
        <f>IFERROR(VLOOKUP(I1949,PROGRAMAS[],2,FALSE),0)</f>
        <v>6128579952.1618185</v>
      </c>
      <c r="X1949" s="246">
        <f>IFERROR(VLOOKUP(J1949,PROGRAMAS[],2,FALSE),0)</f>
        <v>4635315027.8751087</v>
      </c>
      <c r="Y1949" s="246">
        <f>IFERROR(VLOOKUP(K1949,PROGRAMAS[],2,FALSE),0)</f>
        <v>3776538594.4604583</v>
      </c>
      <c r="Z1949" s="246">
        <f>IFERROR(VLOOKUP(L1949,PROGRAMAS[],2,FALSE),0)</f>
        <v>54223862.645839565</v>
      </c>
      <c r="AA1949" s="246">
        <f>IFERROR(VLOOKUP(M1949,PROGRAMAS[],2,FALSE),0)</f>
        <v>7068496961.0436354</v>
      </c>
      <c r="AB1949" s="246">
        <f>IFERROR(VLOOKUP(N1949,PROGRAMAS[],2,FALSE),0)</f>
        <v>1892779498.5211046</v>
      </c>
      <c r="AC1949" s="246">
        <f>IFERROR(VLOOKUP(O1949,PROGRAMAS[],2,FALSE),0)</f>
        <v>0</v>
      </c>
      <c r="AD1949" s="246">
        <f>IFERROR(VLOOKUP(P1949,PROGRAMAS[],2,FALSE),0)</f>
        <v>0</v>
      </c>
      <c r="AE1949" s="246">
        <f>IFERROR(VLOOKUP(Q1949,PROGRAMAS[],2,FALSE),0)</f>
        <v>0</v>
      </c>
      <c r="AF1949" s="246">
        <f>IFERROR(VLOOKUP(D1949,PROGRAMAS[],3,FALSE),0)</f>
        <v>841888629.31080008</v>
      </c>
      <c r="AG1949" s="246">
        <f>IFERROR(VLOOKUP(E1949,PROGRAMAS[],3,FALSE),0)</f>
        <v>3848980803.1642323</v>
      </c>
      <c r="AH1949" s="246">
        <f>IFERROR(VLOOKUP(F1949,PROGRAMAS[],3,FALSE),0)</f>
        <v>3394901471.387517</v>
      </c>
      <c r="AI1949" s="246">
        <f>IFERROR(VLOOKUP(G1949,PROGRAMAS[],3,FALSE),0)</f>
        <v>1233505101.0616004</v>
      </c>
      <c r="AJ1949" s="246">
        <f>IFERROR(VLOOKUP(H1949,PROGRAMAS[],3,FALSE),0)</f>
        <v>6129902208.7912121</v>
      </c>
      <c r="AK1949" s="246">
        <f>IFERROR(VLOOKUP(I1949,PROGRAMAS[],3,FALSE),0)</f>
        <v>7011279577.519702</v>
      </c>
      <c r="AL1949" s="246">
        <f>IFERROR(VLOOKUP(J1949,PROGRAMAS[],3,FALSE),0)</f>
        <v>4099471734.9978786</v>
      </c>
      <c r="AM1949" s="246">
        <f>IFERROR(VLOOKUP(K1949,PROGRAMAS[],3,FALSE),0)</f>
        <v>2392571243.5584412</v>
      </c>
      <c r="AN1949" s="246">
        <f>IFERROR(VLOOKUP(L1949,PROGRAMAS[],3,FALSE),0)</f>
        <v>31865326.38096505</v>
      </c>
      <c r="AO1949" s="246">
        <f>IFERROR(VLOOKUP(M1949,PROGRAMAS[],3,FALSE),0)</f>
        <v>2406564599.0319901</v>
      </c>
      <c r="AP1949" s="246">
        <f>IFERROR(VLOOKUP(N1949,PROGRAMAS[],3,FALSE),0)</f>
        <v>948595847.09039903</v>
      </c>
      <c r="AQ1949" s="246">
        <f>IFERROR(VLOOKUP(O1949,PROGRAMAS[],3,FALSE),0)</f>
        <v>0</v>
      </c>
      <c r="AR1949" s="246">
        <f>IFERROR(VLOOKUP(P1949,PROGRAMAS[],3,FALSE),0)</f>
        <v>0</v>
      </c>
      <c r="AS1949" s="246">
        <f>IFERROR(VLOOKUP(Q1949,PROGRAMAS[],3,FALSE),0)</f>
        <v>0</v>
      </c>
      <c r="AT1949" s="246">
        <f>IFERROR(VLOOKUP(D1949,VOL_REC[],2,FALSE),0)</f>
        <v>0</v>
      </c>
      <c r="AU1949" s="246">
        <f>IFERROR(VLOOKUP(E1949,VOL_REC[],2,FALSE),0)</f>
        <v>0</v>
      </c>
      <c r="AV1949" s="246">
        <f>IFERROR(VLOOKUP(F1949,VOL_REC[],2,FALSE),0)</f>
        <v>11089674.200000001</v>
      </c>
      <c r="AW1949" s="246">
        <f>IFERROR(VLOOKUP(G1949,VOL_REC[],2,FALSE),0)</f>
        <v>4325103.1812214684</v>
      </c>
      <c r="AX1949" s="246">
        <f>IFERROR(VLOOKUP(H1949,VOL_REC[],2,FALSE),0)</f>
        <v>15540036.397699751</v>
      </c>
      <c r="AY1949" s="246">
        <f>IFERROR(VLOOKUP(I1949,VOL_REC[],2,FALSE),0)</f>
        <v>3761786</v>
      </c>
      <c r="AZ1949" s="246">
        <f>IFERROR(VLOOKUP(J1949,VOL_REC[],2,FALSE),0)</f>
        <v>1812240</v>
      </c>
      <c r="BA1949" s="246">
        <f>IFERROR(VLOOKUP(K1949,VOL_REC[],2,FALSE),0)</f>
        <v>663244.80000000016</v>
      </c>
      <c r="BB1949" s="246">
        <f>IFERROR(VLOOKUP(L1949,VOL_REC[],2,FALSE),0)</f>
        <v>17074.045034105649</v>
      </c>
      <c r="BC1949" s="246">
        <f>IFERROR(VLOOKUP(M1949,VOL_REC[],2,FALSE),0)</f>
        <v>1072354.9981737854</v>
      </c>
      <c r="BD1949" s="246">
        <f>IFERROR(VLOOKUP(N1949,VOL_REC[],2,FALSE),0)</f>
        <v>740113.98115702497</v>
      </c>
      <c r="BE1949" s="246">
        <f>IFERROR(VLOOKUP(O1949,VOL_REC[],2,FALSE),0)</f>
        <v>0</v>
      </c>
      <c r="BF1949" s="246">
        <f>IFERROR(VLOOKUP(P1949,VOL_REC[],2,FALSE),0)</f>
        <v>0</v>
      </c>
      <c r="BG1949" s="246">
        <f>IFERROR(VLOOKUP(Q1949,VOL_REC[],2,FALSE),0)</f>
        <v>0</v>
      </c>
      <c r="BH1949" s="1710">
        <f t="shared" si="124"/>
        <v>35704391420.319641</v>
      </c>
      <c r="BI1949" s="1710">
        <f t="shared" si="125"/>
        <v>32339526542.294743</v>
      </c>
      <c r="BJ1949" s="1711">
        <f t="shared" si="126"/>
        <v>39021627.603286132</v>
      </c>
      <c r="BK1949" s="1711">
        <f t="shared" si="127"/>
        <v>1.1040480562887713</v>
      </c>
      <c r="BL1949">
        <f>BJ1949</f>
        <v>39021627.603286132</v>
      </c>
      <c r="BO1949">
        <f>BL1949</f>
        <v>39021627.603286132</v>
      </c>
    </row>
    <row r="1950" spans="3:67" x14ac:dyDescent="0.25">
      <c r="C1950" s="246" t="s">
        <v>3300</v>
      </c>
      <c r="D1950" s="246">
        <v>1</v>
      </c>
      <c r="E1950" s="246">
        <v>2</v>
      </c>
      <c r="F1950" s="246">
        <v>3</v>
      </c>
      <c r="G1950" s="246">
        <v>5</v>
      </c>
      <c r="H1950" s="246">
        <v>6</v>
      </c>
      <c r="I1950" s="246">
        <v>9</v>
      </c>
      <c r="J1950" s="246">
        <v>10</v>
      </c>
      <c r="K1950" s="246">
        <v>13</v>
      </c>
      <c r="L1950" s="246">
        <v>15</v>
      </c>
      <c r="M1950" s="246">
        <v>16</v>
      </c>
      <c r="N1950" s="246">
        <v>17</v>
      </c>
      <c r="O1950" s="246"/>
      <c r="P1950" s="246"/>
      <c r="Q1950" s="246"/>
      <c r="R1950" s="246">
        <f>IFERROR(VLOOKUP(D1950,PROGRAMAS[],2,FALSE),0)</f>
        <v>97037803.679377079</v>
      </c>
      <c r="S1950" s="246">
        <f>IFERROR(VLOOKUP(E1950,PROGRAMAS[],2,FALSE),0)</f>
        <v>640501509.6821388</v>
      </c>
      <c r="T1950" s="246">
        <f>IFERROR(VLOOKUP(F1950,PROGRAMAS[],2,FALSE),0)</f>
        <v>3062327798.1525245</v>
      </c>
      <c r="U1950" s="246">
        <f>IFERROR(VLOOKUP(G1950,PROGRAMAS[],2,FALSE),0)</f>
        <v>1440941976.2528784</v>
      </c>
      <c r="V1950" s="246">
        <f>IFERROR(VLOOKUP(H1950,PROGRAMAS[],2,FALSE),0)</f>
        <v>6907648435.8447599</v>
      </c>
      <c r="W1950" s="246">
        <f>IFERROR(VLOOKUP(I1950,PROGRAMAS[],2,FALSE),0)</f>
        <v>6128579952.1618185</v>
      </c>
      <c r="X1950" s="246">
        <f>IFERROR(VLOOKUP(J1950,PROGRAMAS[],2,FALSE),0)</f>
        <v>4635315027.8751087</v>
      </c>
      <c r="Y1950" s="246">
        <f>IFERROR(VLOOKUP(K1950,PROGRAMAS[],2,FALSE),0)</f>
        <v>3776538594.4604583</v>
      </c>
      <c r="Z1950" s="246">
        <f>IFERROR(VLOOKUP(L1950,PROGRAMAS[],2,FALSE),0)</f>
        <v>122159672.96346797</v>
      </c>
      <c r="AA1950" s="246">
        <f>IFERROR(VLOOKUP(M1950,PROGRAMAS[],2,FALSE),0)</f>
        <v>7068496961.0436354</v>
      </c>
      <c r="AB1950" s="246">
        <f>IFERROR(VLOOKUP(N1950,PROGRAMAS[],2,FALSE),0)</f>
        <v>1892779498.5211046</v>
      </c>
      <c r="AC1950" s="246">
        <f>IFERROR(VLOOKUP(O1950,PROGRAMAS[],2,FALSE),0)</f>
        <v>0</v>
      </c>
      <c r="AD1950" s="246">
        <f>IFERROR(VLOOKUP(P1950,PROGRAMAS[],2,FALSE),0)</f>
        <v>0</v>
      </c>
      <c r="AE1950" s="246">
        <f>IFERROR(VLOOKUP(Q1950,PROGRAMAS[],2,FALSE),0)</f>
        <v>0</v>
      </c>
      <c r="AF1950" s="246">
        <f>IFERROR(VLOOKUP(D1950,PROGRAMAS[],3,FALSE),0)</f>
        <v>841888629.31080008</v>
      </c>
      <c r="AG1950" s="246">
        <f>IFERROR(VLOOKUP(E1950,PROGRAMAS[],3,FALSE),0)</f>
        <v>3848980803.1642323</v>
      </c>
      <c r="AH1950" s="246">
        <f>IFERROR(VLOOKUP(F1950,PROGRAMAS[],3,FALSE),0)</f>
        <v>3394901471.387517</v>
      </c>
      <c r="AI1950" s="246">
        <f>IFERROR(VLOOKUP(G1950,PROGRAMAS[],3,FALSE),0)</f>
        <v>1233505101.0616004</v>
      </c>
      <c r="AJ1950" s="246">
        <f>IFERROR(VLOOKUP(H1950,PROGRAMAS[],3,FALSE),0)</f>
        <v>6129902208.7912121</v>
      </c>
      <c r="AK1950" s="246">
        <f>IFERROR(VLOOKUP(I1950,PROGRAMAS[],3,FALSE),0)</f>
        <v>7011279577.519702</v>
      </c>
      <c r="AL1950" s="246">
        <f>IFERROR(VLOOKUP(J1950,PROGRAMAS[],3,FALSE),0)</f>
        <v>4099471734.9978786</v>
      </c>
      <c r="AM1950" s="246">
        <f>IFERROR(VLOOKUP(K1950,PROGRAMAS[],3,FALSE),0)</f>
        <v>2392571243.5584412</v>
      </c>
      <c r="AN1950" s="246">
        <f>IFERROR(VLOOKUP(L1950,PROGRAMAS[],3,FALSE),0)</f>
        <v>118617452.52510804</v>
      </c>
      <c r="AO1950" s="246">
        <f>IFERROR(VLOOKUP(M1950,PROGRAMAS[],3,FALSE),0)</f>
        <v>2406564599.0319901</v>
      </c>
      <c r="AP1950" s="246">
        <f>IFERROR(VLOOKUP(N1950,PROGRAMAS[],3,FALSE),0)</f>
        <v>948595847.09039903</v>
      </c>
      <c r="AQ1950" s="246">
        <f>IFERROR(VLOOKUP(O1950,PROGRAMAS[],3,FALSE),0)</f>
        <v>0</v>
      </c>
      <c r="AR1950" s="246">
        <f>IFERROR(VLOOKUP(P1950,PROGRAMAS[],3,FALSE),0)</f>
        <v>0</v>
      </c>
      <c r="AS1950" s="246">
        <f>IFERROR(VLOOKUP(Q1950,PROGRAMAS[],3,FALSE),0)</f>
        <v>0</v>
      </c>
      <c r="AT1950" s="246">
        <f>IFERROR(VLOOKUP(D1950,VOL_REC[],2,FALSE),0)</f>
        <v>0</v>
      </c>
      <c r="AU1950" s="246">
        <f>IFERROR(VLOOKUP(E1950,VOL_REC[],2,FALSE),0)</f>
        <v>0</v>
      </c>
      <c r="AV1950" s="246">
        <f>IFERROR(VLOOKUP(F1950,VOL_REC[],2,FALSE),0)</f>
        <v>11089674.200000001</v>
      </c>
      <c r="AW1950" s="246">
        <f>IFERROR(VLOOKUP(G1950,VOL_REC[],2,FALSE),0)</f>
        <v>4325103.1812214684</v>
      </c>
      <c r="AX1950" s="246">
        <f>IFERROR(VLOOKUP(H1950,VOL_REC[],2,FALSE),0)</f>
        <v>15540036.397699751</v>
      </c>
      <c r="AY1950" s="246">
        <f>IFERROR(VLOOKUP(I1950,VOL_REC[],2,FALSE),0)</f>
        <v>3761786</v>
      </c>
      <c r="AZ1950" s="246">
        <f>IFERROR(VLOOKUP(J1950,VOL_REC[],2,FALSE),0)</f>
        <v>1812240</v>
      </c>
      <c r="BA1950" s="246">
        <f>IFERROR(VLOOKUP(K1950,VOL_REC[],2,FALSE),0)</f>
        <v>663244.80000000016</v>
      </c>
      <c r="BB1950" s="246">
        <f>IFERROR(VLOOKUP(L1950,VOL_REC[],2,FALSE),0)</f>
        <v>105072</v>
      </c>
      <c r="BC1950" s="246">
        <f>IFERROR(VLOOKUP(M1950,VOL_REC[],2,FALSE),0)</f>
        <v>1072354.9981737854</v>
      </c>
      <c r="BD1950" s="246">
        <f>IFERROR(VLOOKUP(N1950,VOL_REC[],2,FALSE),0)</f>
        <v>740113.98115702497</v>
      </c>
      <c r="BE1950" s="246">
        <f>IFERROR(VLOOKUP(O1950,VOL_REC[],2,FALSE),0)</f>
        <v>0</v>
      </c>
      <c r="BF1950" s="246">
        <f>IFERROR(VLOOKUP(P1950,VOL_REC[],2,FALSE),0)</f>
        <v>0</v>
      </c>
      <c r="BG1950" s="246">
        <f>IFERROR(VLOOKUP(Q1950,VOL_REC[],2,FALSE),0)</f>
        <v>0</v>
      </c>
      <c r="BH1950" s="1710">
        <f t="shared" si="124"/>
        <v>35772327230.637268</v>
      </c>
      <c r="BI1950" s="1710">
        <f t="shared" si="125"/>
        <v>32426278668.438885</v>
      </c>
      <c r="BJ1950" s="1711">
        <f t="shared" si="126"/>
        <v>39109625.558252029</v>
      </c>
      <c r="BK1950" s="1711">
        <f t="shared" si="127"/>
        <v>1.1031894099354409</v>
      </c>
      <c r="BL1950">
        <f>BJ1950</f>
        <v>39109625.558252029</v>
      </c>
      <c r="BO1950">
        <f>BL1950</f>
        <v>39109625.558252029</v>
      </c>
    </row>
    <row r="1951" spans="3:67" x14ac:dyDescent="0.25">
      <c r="C1951" s="246" t="s">
        <v>3301</v>
      </c>
      <c r="D1951" s="246">
        <v>1</v>
      </c>
      <c r="E1951" s="246">
        <v>2</v>
      </c>
      <c r="F1951" s="246">
        <v>3</v>
      </c>
      <c r="G1951" s="246">
        <v>5</v>
      </c>
      <c r="H1951" s="246">
        <v>6</v>
      </c>
      <c r="I1951" s="246">
        <v>9</v>
      </c>
      <c r="J1951" s="246">
        <v>10</v>
      </c>
      <c r="K1951" s="246">
        <v>14</v>
      </c>
      <c r="L1951" s="246">
        <v>15</v>
      </c>
      <c r="M1951" s="246">
        <v>16</v>
      </c>
      <c r="N1951" s="246">
        <v>17</v>
      </c>
      <c r="O1951" s="246"/>
      <c r="P1951" s="246"/>
      <c r="Q1951" s="246"/>
      <c r="R1951" s="246">
        <f>IFERROR(VLOOKUP(D1951,PROGRAMAS[],2,FALSE),0)</f>
        <v>97037803.679377079</v>
      </c>
      <c r="S1951" s="246">
        <f>IFERROR(VLOOKUP(E1951,PROGRAMAS[],2,FALSE),0)</f>
        <v>640501509.6821388</v>
      </c>
      <c r="T1951" s="246">
        <f>IFERROR(VLOOKUP(F1951,PROGRAMAS[],2,FALSE),0)</f>
        <v>3062327798.1525245</v>
      </c>
      <c r="U1951" s="246">
        <f>IFERROR(VLOOKUP(G1951,PROGRAMAS[],2,FALSE),0)</f>
        <v>1440941976.2528784</v>
      </c>
      <c r="V1951" s="246">
        <f>IFERROR(VLOOKUP(H1951,PROGRAMAS[],2,FALSE),0)</f>
        <v>6907648435.8447599</v>
      </c>
      <c r="W1951" s="246">
        <f>IFERROR(VLOOKUP(I1951,PROGRAMAS[],2,FALSE),0)</f>
        <v>6128579952.1618185</v>
      </c>
      <c r="X1951" s="246">
        <f>IFERROR(VLOOKUP(J1951,PROGRAMAS[],2,FALSE),0)</f>
        <v>4635315027.8751087</v>
      </c>
      <c r="Y1951" s="246">
        <f>IFERROR(VLOOKUP(K1951,PROGRAMAS[],2,FALSE),0)</f>
        <v>54223862.645839565</v>
      </c>
      <c r="Z1951" s="246">
        <f>IFERROR(VLOOKUP(L1951,PROGRAMAS[],2,FALSE),0)</f>
        <v>122159672.96346797</v>
      </c>
      <c r="AA1951" s="246">
        <f>IFERROR(VLOOKUP(M1951,PROGRAMAS[],2,FALSE),0)</f>
        <v>7068496961.0436354</v>
      </c>
      <c r="AB1951" s="246">
        <f>IFERROR(VLOOKUP(N1951,PROGRAMAS[],2,FALSE),0)</f>
        <v>1892779498.5211046</v>
      </c>
      <c r="AC1951" s="246">
        <f>IFERROR(VLOOKUP(O1951,PROGRAMAS[],2,FALSE),0)</f>
        <v>0</v>
      </c>
      <c r="AD1951" s="246">
        <f>IFERROR(VLOOKUP(P1951,PROGRAMAS[],2,FALSE),0)</f>
        <v>0</v>
      </c>
      <c r="AE1951" s="246">
        <f>IFERROR(VLOOKUP(Q1951,PROGRAMAS[],2,FALSE),0)</f>
        <v>0</v>
      </c>
      <c r="AF1951" s="246">
        <f>IFERROR(VLOOKUP(D1951,PROGRAMAS[],3,FALSE),0)</f>
        <v>841888629.31080008</v>
      </c>
      <c r="AG1951" s="246">
        <f>IFERROR(VLOOKUP(E1951,PROGRAMAS[],3,FALSE),0)</f>
        <v>3848980803.1642323</v>
      </c>
      <c r="AH1951" s="246">
        <f>IFERROR(VLOOKUP(F1951,PROGRAMAS[],3,FALSE),0)</f>
        <v>3394901471.387517</v>
      </c>
      <c r="AI1951" s="246">
        <f>IFERROR(VLOOKUP(G1951,PROGRAMAS[],3,FALSE),0)</f>
        <v>1233505101.0616004</v>
      </c>
      <c r="AJ1951" s="246">
        <f>IFERROR(VLOOKUP(H1951,PROGRAMAS[],3,FALSE),0)</f>
        <v>6129902208.7912121</v>
      </c>
      <c r="AK1951" s="246">
        <f>IFERROR(VLOOKUP(I1951,PROGRAMAS[],3,FALSE),0)</f>
        <v>7011279577.519702</v>
      </c>
      <c r="AL1951" s="246">
        <f>IFERROR(VLOOKUP(J1951,PROGRAMAS[],3,FALSE),0)</f>
        <v>4099471734.9978786</v>
      </c>
      <c r="AM1951" s="246">
        <f>IFERROR(VLOOKUP(K1951,PROGRAMAS[],3,FALSE),0)</f>
        <v>31865326.38096505</v>
      </c>
      <c r="AN1951" s="246">
        <f>IFERROR(VLOOKUP(L1951,PROGRAMAS[],3,FALSE),0)</f>
        <v>118617452.52510804</v>
      </c>
      <c r="AO1951" s="246">
        <f>IFERROR(VLOOKUP(M1951,PROGRAMAS[],3,FALSE),0)</f>
        <v>2406564599.0319901</v>
      </c>
      <c r="AP1951" s="246">
        <f>IFERROR(VLOOKUP(N1951,PROGRAMAS[],3,FALSE),0)</f>
        <v>948595847.09039903</v>
      </c>
      <c r="AQ1951" s="246">
        <f>IFERROR(VLOOKUP(O1951,PROGRAMAS[],3,FALSE),0)</f>
        <v>0</v>
      </c>
      <c r="AR1951" s="246">
        <f>IFERROR(VLOOKUP(P1951,PROGRAMAS[],3,FALSE),0)</f>
        <v>0</v>
      </c>
      <c r="AS1951" s="246">
        <f>IFERROR(VLOOKUP(Q1951,PROGRAMAS[],3,FALSE),0)</f>
        <v>0</v>
      </c>
      <c r="AT1951" s="246">
        <f>IFERROR(VLOOKUP(D1951,VOL_REC[],2,FALSE),0)</f>
        <v>0</v>
      </c>
      <c r="AU1951" s="246">
        <f>IFERROR(VLOOKUP(E1951,VOL_REC[],2,FALSE),0)</f>
        <v>0</v>
      </c>
      <c r="AV1951" s="246">
        <f>IFERROR(VLOOKUP(F1951,VOL_REC[],2,FALSE),0)</f>
        <v>11089674.200000001</v>
      </c>
      <c r="AW1951" s="246">
        <f>IFERROR(VLOOKUP(G1951,VOL_REC[],2,FALSE),0)</f>
        <v>4325103.1812214684</v>
      </c>
      <c r="AX1951" s="246">
        <f>IFERROR(VLOOKUP(H1951,VOL_REC[],2,FALSE),0)</f>
        <v>15540036.397699751</v>
      </c>
      <c r="AY1951" s="246">
        <f>IFERROR(VLOOKUP(I1951,VOL_REC[],2,FALSE),0)</f>
        <v>3761786</v>
      </c>
      <c r="AZ1951" s="246">
        <f>IFERROR(VLOOKUP(J1951,VOL_REC[],2,FALSE),0)</f>
        <v>1812240</v>
      </c>
      <c r="BA1951" s="246">
        <f>IFERROR(VLOOKUP(K1951,VOL_REC[],2,FALSE),0)</f>
        <v>17074.045034105649</v>
      </c>
      <c r="BB1951" s="246">
        <f>IFERROR(VLOOKUP(L1951,VOL_REC[],2,FALSE),0)</f>
        <v>105072</v>
      </c>
      <c r="BC1951" s="246">
        <f>IFERROR(VLOOKUP(M1951,VOL_REC[],2,FALSE),0)</f>
        <v>1072354.9981737854</v>
      </c>
      <c r="BD1951" s="246">
        <f>IFERROR(VLOOKUP(N1951,VOL_REC[],2,FALSE),0)</f>
        <v>740113.98115702497</v>
      </c>
      <c r="BE1951" s="246">
        <f>IFERROR(VLOOKUP(O1951,VOL_REC[],2,FALSE),0)</f>
        <v>0</v>
      </c>
      <c r="BF1951" s="246">
        <f>IFERROR(VLOOKUP(P1951,VOL_REC[],2,FALSE),0)</f>
        <v>0</v>
      </c>
      <c r="BG1951" s="246">
        <f>IFERROR(VLOOKUP(Q1951,VOL_REC[],2,FALSE),0)</f>
        <v>0</v>
      </c>
      <c r="BH1951" s="1710">
        <f t="shared" si="124"/>
        <v>32050012498.822651</v>
      </c>
      <c r="BI1951" s="1710">
        <f t="shared" si="125"/>
        <v>30065572751.26141</v>
      </c>
      <c r="BJ1951" s="1711">
        <f t="shared" si="126"/>
        <v>38463454.803286135</v>
      </c>
      <c r="BK1951" s="1711">
        <f t="shared" si="127"/>
        <v>1.0660037233941597</v>
      </c>
      <c r="BL1951">
        <f>BJ1951</f>
        <v>38463454.803286135</v>
      </c>
      <c r="BO1951">
        <f>BL1951</f>
        <v>38463454.803286135</v>
      </c>
    </row>
    <row r="1952" spans="3:67" x14ac:dyDescent="0.25">
      <c r="C1952" s="246" t="s">
        <v>3302</v>
      </c>
      <c r="D1952" s="246">
        <v>1</v>
      </c>
      <c r="E1952" s="246">
        <v>2</v>
      </c>
      <c r="F1952" s="246">
        <v>3</v>
      </c>
      <c r="G1952" s="246">
        <v>5</v>
      </c>
      <c r="H1952" s="246">
        <v>6</v>
      </c>
      <c r="I1952" s="246">
        <v>9</v>
      </c>
      <c r="J1952" s="246">
        <v>12</v>
      </c>
      <c r="K1952" s="246">
        <v>13</v>
      </c>
      <c r="L1952" s="246">
        <v>14</v>
      </c>
      <c r="M1952" s="246">
        <v>15</v>
      </c>
      <c r="N1952" s="246">
        <v>16</v>
      </c>
      <c r="O1952" s="246"/>
      <c r="P1952" s="246"/>
      <c r="Q1952" s="246"/>
      <c r="R1952" s="246">
        <f>IFERROR(VLOOKUP(D1952,PROGRAMAS[],2,FALSE),0)</f>
        <v>97037803.679377079</v>
      </c>
      <c r="S1952" s="246">
        <f>IFERROR(VLOOKUP(E1952,PROGRAMAS[],2,FALSE),0)</f>
        <v>640501509.6821388</v>
      </c>
      <c r="T1952" s="246">
        <f>IFERROR(VLOOKUP(F1952,PROGRAMAS[],2,FALSE),0)</f>
        <v>3062327798.1525245</v>
      </c>
      <c r="U1952" s="246">
        <f>IFERROR(VLOOKUP(G1952,PROGRAMAS[],2,FALSE),0)</f>
        <v>1440941976.2528784</v>
      </c>
      <c r="V1952" s="246">
        <f>IFERROR(VLOOKUP(H1952,PROGRAMAS[],2,FALSE),0)</f>
        <v>6907648435.8447599</v>
      </c>
      <c r="W1952" s="246">
        <f>IFERROR(VLOOKUP(I1952,PROGRAMAS[],2,FALSE),0)</f>
        <v>6128579952.1618185</v>
      </c>
      <c r="X1952" s="246">
        <f>IFERROR(VLOOKUP(J1952,PROGRAMAS[],2,FALSE),0)</f>
        <v>764796700.79905891</v>
      </c>
      <c r="Y1952" s="246">
        <f>IFERROR(VLOOKUP(K1952,PROGRAMAS[],2,FALSE),0)</f>
        <v>3776538594.4604583</v>
      </c>
      <c r="Z1952" s="246">
        <f>IFERROR(VLOOKUP(L1952,PROGRAMAS[],2,FALSE),0)</f>
        <v>54223862.645839565</v>
      </c>
      <c r="AA1952" s="246">
        <f>IFERROR(VLOOKUP(M1952,PROGRAMAS[],2,FALSE),0)</f>
        <v>122159672.96346797</v>
      </c>
      <c r="AB1952" s="246">
        <f>IFERROR(VLOOKUP(N1952,PROGRAMAS[],2,FALSE),0)</f>
        <v>7068496961.0436354</v>
      </c>
      <c r="AC1952" s="246">
        <f>IFERROR(VLOOKUP(O1952,PROGRAMAS[],2,FALSE),0)</f>
        <v>0</v>
      </c>
      <c r="AD1952" s="246">
        <f>IFERROR(VLOOKUP(P1952,PROGRAMAS[],2,FALSE),0)</f>
        <v>0</v>
      </c>
      <c r="AE1952" s="246">
        <f>IFERROR(VLOOKUP(Q1952,PROGRAMAS[],2,FALSE),0)</f>
        <v>0</v>
      </c>
      <c r="AF1952" s="246">
        <f>IFERROR(VLOOKUP(D1952,PROGRAMAS[],3,FALSE),0)</f>
        <v>841888629.31080008</v>
      </c>
      <c r="AG1952" s="246">
        <f>IFERROR(VLOOKUP(E1952,PROGRAMAS[],3,FALSE),0)</f>
        <v>3848980803.1642323</v>
      </c>
      <c r="AH1952" s="246">
        <f>IFERROR(VLOOKUP(F1952,PROGRAMAS[],3,FALSE),0)</f>
        <v>3394901471.387517</v>
      </c>
      <c r="AI1952" s="246">
        <f>IFERROR(VLOOKUP(G1952,PROGRAMAS[],3,FALSE),0)</f>
        <v>1233505101.0616004</v>
      </c>
      <c r="AJ1952" s="246">
        <f>IFERROR(VLOOKUP(H1952,PROGRAMAS[],3,FALSE),0)</f>
        <v>6129902208.7912121</v>
      </c>
      <c r="AK1952" s="246">
        <f>IFERROR(VLOOKUP(I1952,PROGRAMAS[],3,FALSE),0)</f>
        <v>7011279577.519702</v>
      </c>
      <c r="AL1952" s="246">
        <f>IFERROR(VLOOKUP(J1952,PROGRAMAS[],3,FALSE),0)</f>
        <v>675517840.109828</v>
      </c>
      <c r="AM1952" s="246">
        <f>IFERROR(VLOOKUP(K1952,PROGRAMAS[],3,FALSE),0)</f>
        <v>2392571243.5584412</v>
      </c>
      <c r="AN1952" s="246">
        <f>IFERROR(VLOOKUP(L1952,PROGRAMAS[],3,FALSE),0)</f>
        <v>31865326.38096505</v>
      </c>
      <c r="AO1952" s="246">
        <f>IFERROR(VLOOKUP(M1952,PROGRAMAS[],3,FALSE),0)</f>
        <v>118617452.52510804</v>
      </c>
      <c r="AP1952" s="246">
        <f>IFERROR(VLOOKUP(N1952,PROGRAMAS[],3,FALSE),0)</f>
        <v>2406564599.0319901</v>
      </c>
      <c r="AQ1952" s="246">
        <f>IFERROR(VLOOKUP(O1952,PROGRAMAS[],3,FALSE),0)</f>
        <v>0</v>
      </c>
      <c r="AR1952" s="246">
        <f>IFERROR(VLOOKUP(P1952,PROGRAMAS[],3,FALSE),0)</f>
        <v>0</v>
      </c>
      <c r="AS1952" s="246">
        <f>IFERROR(VLOOKUP(Q1952,PROGRAMAS[],3,FALSE),0)</f>
        <v>0</v>
      </c>
      <c r="AT1952" s="246">
        <f>IFERROR(VLOOKUP(D1952,VOL_REC[],2,FALSE),0)</f>
        <v>0</v>
      </c>
      <c r="AU1952" s="246">
        <f>IFERROR(VLOOKUP(E1952,VOL_REC[],2,FALSE),0)</f>
        <v>0</v>
      </c>
      <c r="AV1952" s="246">
        <f>IFERROR(VLOOKUP(F1952,VOL_REC[],2,FALSE),0)</f>
        <v>11089674.200000001</v>
      </c>
      <c r="AW1952" s="246">
        <f>IFERROR(VLOOKUP(G1952,VOL_REC[],2,FALSE),0)</f>
        <v>4325103.1812214684</v>
      </c>
      <c r="AX1952" s="246">
        <f>IFERROR(VLOOKUP(H1952,VOL_REC[],2,FALSE),0)</f>
        <v>15540036.397699751</v>
      </c>
      <c r="AY1952" s="246">
        <f>IFERROR(VLOOKUP(I1952,VOL_REC[],2,FALSE),0)</f>
        <v>3761786</v>
      </c>
      <c r="AZ1952" s="246">
        <f>IFERROR(VLOOKUP(J1952,VOL_REC[],2,FALSE),0)</f>
        <v>240696.79238099116</v>
      </c>
      <c r="BA1952" s="246">
        <f>IFERROR(VLOOKUP(K1952,VOL_REC[],2,FALSE),0)</f>
        <v>663244.80000000016</v>
      </c>
      <c r="BB1952" s="246">
        <f>IFERROR(VLOOKUP(L1952,VOL_REC[],2,FALSE),0)</f>
        <v>17074.045034105649</v>
      </c>
      <c r="BC1952" s="246">
        <f>IFERROR(VLOOKUP(M1952,VOL_REC[],2,FALSE),0)</f>
        <v>105072</v>
      </c>
      <c r="BD1952" s="246">
        <f>IFERROR(VLOOKUP(N1952,VOL_REC[],2,FALSE),0)</f>
        <v>1072354.9981737854</v>
      </c>
      <c r="BE1952" s="246">
        <f>IFERROR(VLOOKUP(O1952,VOL_REC[],2,FALSE),0)</f>
        <v>0</v>
      </c>
      <c r="BF1952" s="246">
        <f>IFERROR(VLOOKUP(P1952,VOL_REC[],2,FALSE),0)</f>
        <v>0</v>
      </c>
      <c r="BG1952" s="246">
        <f>IFERROR(VLOOKUP(Q1952,VOL_REC[],2,FALSE),0)</f>
        <v>0</v>
      </c>
      <c r="BH1952" s="1710">
        <f t="shared" si="124"/>
        <v>30063253267.685955</v>
      </c>
      <c r="BI1952" s="1710">
        <f t="shared" si="125"/>
        <v>28085594252.8414</v>
      </c>
      <c r="BJ1952" s="1711">
        <f t="shared" si="126"/>
        <v>36815042.414510094</v>
      </c>
      <c r="BK1952" s="1711">
        <f t="shared" si="127"/>
        <v>1.0704154235456305</v>
      </c>
      <c r="BL1952">
        <f>BJ1952</f>
        <v>36815042.414510094</v>
      </c>
      <c r="BO1952">
        <f>BL1952</f>
        <v>36815042.414510094</v>
      </c>
    </row>
    <row r="1953" spans="3:67" x14ac:dyDescent="0.25">
      <c r="C1953" s="246" t="s">
        <v>3303</v>
      </c>
      <c r="D1953" s="246">
        <v>1</v>
      </c>
      <c r="E1953" s="246">
        <v>2</v>
      </c>
      <c r="F1953" s="246">
        <v>3</v>
      </c>
      <c r="G1953" s="246">
        <v>5</v>
      </c>
      <c r="H1953" s="246">
        <v>6</v>
      </c>
      <c r="I1953" s="246">
        <v>9</v>
      </c>
      <c r="J1953" s="246">
        <v>12</v>
      </c>
      <c r="K1953" s="246">
        <v>13</v>
      </c>
      <c r="L1953" s="246">
        <v>14</v>
      </c>
      <c r="M1953" s="246">
        <v>15</v>
      </c>
      <c r="N1953" s="246">
        <v>17</v>
      </c>
      <c r="O1953" s="246"/>
      <c r="P1953" s="246"/>
      <c r="Q1953" s="246"/>
      <c r="R1953" s="246">
        <f>IFERROR(VLOOKUP(D1953,PROGRAMAS[],2,FALSE),0)</f>
        <v>97037803.679377079</v>
      </c>
      <c r="S1953" s="246">
        <f>IFERROR(VLOOKUP(E1953,PROGRAMAS[],2,FALSE),0)</f>
        <v>640501509.6821388</v>
      </c>
      <c r="T1953" s="246">
        <f>IFERROR(VLOOKUP(F1953,PROGRAMAS[],2,FALSE),0)</f>
        <v>3062327798.1525245</v>
      </c>
      <c r="U1953" s="246">
        <f>IFERROR(VLOOKUP(G1953,PROGRAMAS[],2,FALSE),0)</f>
        <v>1440941976.2528784</v>
      </c>
      <c r="V1953" s="246">
        <f>IFERROR(VLOOKUP(H1953,PROGRAMAS[],2,FALSE),0)</f>
        <v>6907648435.8447599</v>
      </c>
      <c r="W1953" s="246">
        <f>IFERROR(VLOOKUP(I1953,PROGRAMAS[],2,FALSE),0)</f>
        <v>6128579952.1618185</v>
      </c>
      <c r="X1953" s="246">
        <f>IFERROR(VLOOKUP(J1953,PROGRAMAS[],2,FALSE),0)</f>
        <v>764796700.79905891</v>
      </c>
      <c r="Y1953" s="246">
        <f>IFERROR(VLOOKUP(K1953,PROGRAMAS[],2,FALSE),0)</f>
        <v>3776538594.4604583</v>
      </c>
      <c r="Z1953" s="246">
        <f>IFERROR(VLOOKUP(L1953,PROGRAMAS[],2,FALSE),0)</f>
        <v>54223862.645839565</v>
      </c>
      <c r="AA1953" s="246">
        <f>IFERROR(VLOOKUP(M1953,PROGRAMAS[],2,FALSE),0)</f>
        <v>122159672.96346797</v>
      </c>
      <c r="AB1953" s="246">
        <f>IFERROR(VLOOKUP(N1953,PROGRAMAS[],2,FALSE),0)</f>
        <v>1892779498.5211046</v>
      </c>
      <c r="AC1953" s="246">
        <f>IFERROR(VLOOKUP(O1953,PROGRAMAS[],2,FALSE),0)</f>
        <v>0</v>
      </c>
      <c r="AD1953" s="246">
        <f>IFERROR(VLOOKUP(P1953,PROGRAMAS[],2,FALSE),0)</f>
        <v>0</v>
      </c>
      <c r="AE1953" s="246">
        <f>IFERROR(VLOOKUP(Q1953,PROGRAMAS[],2,FALSE),0)</f>
        <v>0</v>
      </c>
      <c r="AF1953" s="246">
        <f>IFERROR(VLOOKUP(D1953,PROGRAMAS[],3,FALSE),0)</f>
        <v>841888629.31080008</v>
      </c>
      <c r="AG1953" s="246">
        <f>IFERROR(VLOOKUP(E1953,PROGRAMAS[],3,FALSE),0)</f>
        <v>3848980803.1642323</v>
      </c>
      <c r="AH1953" s="246">
        <f>IFERROR(VLOOKUP(F1953,PROGRAMAS[],3,FALSE),0)</f>
        <v>3394901471.387517</v>
      </c>
      <c r="AI1953" s="246">
        <f>IFERROR(VLOOKUP(G1953,PROGRAMAS[],3,FALSE),0)</f>
        <v>1233505101.0616004</v>
      </c>
      <c r="AJ1953" s="246">
        <f>IFERROR(VLOOKUP(H1953,PROGRAMAS[],3,FALSE),0)</f>
        <v>6129902208.7912121</v>
      </c>
      <c r="AK1953" s="246">
        <f>IFERROR(VLOOKUP(I1953,PROGRAMAS[],3,FALSE),0)</f>
        <v>7011279577.519702</v>
      </c>
      <c r="AL1953" s="246">
        <f>IFERROR(VLOOKUP(J1953,PROGRAMAS[],3,FALSE),0)</f>
        <v>675517840.109828</v>
      </c>
      <c r="AM1953" s="246">
        <f>IFERROR(VLOOKUP(K1953,PROGRAMAS[],3,FALSE),0)</f>
        <v>2392571243.5584412</v>
      </c>
      <c r="AN1953" s="246">
        <f>IFERROR(VLOOKUP(L1953,PROGRAMAS[],3,FALSE),0)</f>
        <v>31865326.38096505</v>
      </c>
      <c r="AO1953" s="246">
        <f>IFERROR(VLOOKUP(M1953,PROGRAMAS[],3,FALSE),0)</f>
        <v>118617452.52510804</v>
      </c>
      <c r="AP1953" s="246">
        <f>IFERROR(VLOOKUP(N1953,PROGRAMAS[],3,FALSE),0)</f>
        <v>948595847.09039903</v>
      </c>
      <c r="AQ1953" s="246">
        <f>IFERROR(VLOOKUP(O1953,PROGRAMAS[],3,FALSE),0)</f>
        <v>0</v>
      </c>
      <c r="AR1953" s="246">
        <f>IFERROR(VLOOKUP(P1953,PROGRAMAS[],3,FALSE),0)</f>
        <v>0</v>
      </c>
      <c r="AS1953" s="246">
        <f>IFERROR(VLOOKUP(Q1953,PROGRAMAS[],3,FALSE),0)</f>
        <v>0</v>
      </c>
      <c r="AT1953" s="246">
        <f>IFERROR(VLOOKUP(D1953,VOL_REC[],2,FALSE),0)</f>
        <v>0</v>
      </c>
      <c r="AU1953" s="246">
        <f>IFERROR(VLOOKUP(E1953,VOL_REC[],2,FALSE),0)</f>
        <v>0</v>
      </c>
      <c r="AV1953" s="246">
        <f>IFERROR(VLOOKUP(F1953,VOL_REC[],2,FALSE),0)</f>
        <v>11089674.200000001</v>
      </c>
      <c r="AW1953" s="246">
        <f>IFERROR(VLOOKUP(G1953,VOL_REC[],2,FALSE),0)</f>
        <v>4325103.1812214684</v>
      </c>
      <c r="AX1953" s="246">
        <f>IFERROR(VLOOKUP(H1953,VOL_REC[],2,FALSE),0)</f>
        <v>15540036.397699751</v>
      </c>
      <c r="AY1953" s="246">
        <f>IFERROR(VLOOKUP(I1953,VOL_REC[],2,FALSE),0)</f>
        <v>3761786</v>
      </c>
      <c r="AZ1953" s="246">
        <f>IFERROR(VLOOKUP(J1953,VOL_REC[],2,FALSE),0)</f>
        <v>240696.79238099116</v>
      </c>
      <c r="BA1953" s="246">
        <f>IFERROR(VLOOKUP(K1953,VOL_REC[],2,FALSE),0)</f>
        <v>663244.80000000016</v>
      </c>
      <c r="BB1953" s="246">
        <f>IFERROR(VLOOKUP(L1953,VOL_REC[],2,FALSE),0)</f>
        <v>17074.045034105649</v>
      </c>
      <c r="BC1953" s="246">
        <f>IFERROR(VLOOKUP(M1953,VOL_REC[],2,FALSE),0)</f>
        <v>105072</v>
      </c>
      <c r="BD1953" s="246">
        <f>IFERROR(VLOOKUP(N1953,VOL_REC[],2,FALSE),0)</f>
        <v>740113.98115702497</v>
      </c>
      <c r="BE1953" s="246">
        <f>IFERROR(VLOOKUP(O1953,VOL_REC[],2,FALSE),0)</f>
        <v>0</v>
      </c>
      <c r="BF1953" s="246">
        <f>IFERROR(VLOOKUP(P1953,VOL_REC[],2,FALSE),0)</f>
        <v>0</v>
      </c>
      <c r="BG1953" s="246">
        <f>IFERROR(VLOOKUP(Q1953,VOL_REC[],2,FALSE),0)</f>
        <v>0</v>
      </c>
      <c r="BH1953" s="1710">
        <f t="shared" si="124"/>
        <v>24887535805.163422</v>
      </c>
      <c r="BI1953" s="1710">
        <f t="shared" si="125"/>
        <v>26627625500.899811</v>
      </c>
      <c r="BJ1953" s="1711">
        <f t="shared" si="126"/>
        <v>36482801.397493333</v>
      </c>
      <c r="BK1953" s="1711">
        <f t="shared" si="127"/>
        <v>0.93465096256226121</v>
      </c>
    </row>
    <row r="1954" spans="3:67" x14ac:dyDescent="0.25">
      <c r="C1954" s="246" t="s">
        <v>3304</v>
      </c>
      <c r="D1954" s="246">
        <v>1</v>
      </c>
      <c r="E1954" s="246">
        <v>2</v>
      </c>
      <c r="F1954" s="246">
        <v>3</v>
      </c>
      <c r="G1954" s="246">
        <v>5</v>
      </c>
      <c r="H1954" s="246">
        <v>6</v>
      </c>
      <c r="I1954" s="246">
        <v>9</v>
      </c>
      <c r="J1954" s="246">
        <v>12</v>
      </c>
      <c r="K1954" s="246">
        <v>13</v>
      </c>
      <c r="L1954" s="246">
        <v>14</v>
      </c>
      <c r="M1954" s="246">
        <v>16</v>
      </c>
      <c r="N1954" s="246">
        <v>17</v>
      </c>
      <c r="O1954" s="246"/>
      <c r="P1954" s="246"/>
      <c r="Q1954" s="246"/>
      <c r="R1954" s="246">
        <f>IFERROR(VLOOKUP(D1954,PROGRAMAS[],2,FALSE),0)</f>
        <v>97037803.679377079</v>
      </c>
      <c r="S1954" s="246">
        <f>IFERROR(VLOOKUP(E1954,PROGRAMAS[],2,FALSE),0)</f>
        <v>640501509.6821388</v>
      </c>
      <c r="T1954" s="246">
        <f>IFERROR(VLOOKUP(F1954,PROGRAMAS[],2,FALSE),0)</f>
        <v>3062327798.1525245</v>
      </c>
      <c r="U1954" s="246">
        <f>IFERROR(VLOOKUP(G1954,PROGRAMAS[],2,FALSE),0)</f>
        <v>1440941976.2528784</v>
      </c>
      <c r="V1954" s="246">
        <f>IFERROR(VLOOKUP(H1954,PROGRAMAS[],2,FALSE),0)</f>
        <v>6907648435.8447599</v>
      </c>
      <c r="W1954" s="246">
        <f>IFERROR(VLOOKUP(I1954,PROGRAMAS[],2,FALSE),0)</f>
        <v>6128579952.1618185</v>
      </c>
      <c r="X1954" s="246">
        <f>IFERROR(VLOOKUP(J1954,PROGRAMAS[],2,FALSE),0)</f>
        <v>764796700.79905891</v>
      </c>
      <c r="Y1954" s="246">
        <f>IFERROR(VLOOKUP(K1954,PROGRAMAS[],2,FALSE),0)</f>
        <v>3776538594.4604583</v>
      </c>
      <c r="Z1954" s="246">
        <f>IFERROR(VLOOKUP(L1954,PROGRAMAS[],2,FALSE),0)</f>
        <v>54223862.645839565</v>
      </c>
      <c r="AA1954" s="246">
        <f>IFERROR(VLOOKUP(M1954,PROGRAMAS[],2,FALSE),0)</f>
        <v>7068496961.0436354</v>
      </c>
      <c r="AB1954" s="246">
        <f>IFERROR(VLOOKUP(N1954,PROGRAMAS[],2,FALSE),0)</f>
        <v>1892779498.5211046</v>
      </c>
      <c r="AC1954" s="246">
        <f>IFERROR(VLOOKUP(O1954,PROGRAMAS[],2,FALSE),0)</f>
        <v>0</v>
      </c>
      <c r="AD1954" s="246">
        <f>IFERROR(VLOOKUP(P1954,PROGRAMAS[],2,FALSE),0)</f>
        <v>0</v>
      </c>
      <c r="AE1954" s="246">
        <f>IFERROR(VLOOKUP(Q1954,PROGRAMAS[],2,FALSE),0)</f>
        <v>0</v>
      </c>
      <c r="AF1954" s="246">
        <f>IFERROR(VLOOKUP(D1954,PROGRAMAS[],3,FALSE),0)</f>
        <v>841888629.31080008</v>
      </c>
      <c r="AG1954" s="246">
        <f>IFERROR(VLOOKUP(E1954,PROGRAMAS[],3,FALSE),0)</f>
        <v>3848980803.1642323</v>
      </c>
      <c r="AH1954" s="246">
        <f>IFERROR(VLOOKUP(F1954,PROGRAMAS[],3,FALSE),0)</f>
        <v>3394901471.387517</v>
      </c>
      <c r="AI1954" s="246">
        <f>IFERROR(VLOOKUP(G1954,PROGRAMAS[],3,FALSE),0)</f>
        <v>1233505101.0616004</v>
      </c>
      <c r="AJ1954" s="246">
        <f>IFERROR(VLOOKUP(H1954,PROGRAMAS[],3,FALSE),0)</f>
        <v>6129902208.7912121</v>
      </c>
      <c r="AK1954" s="246">
        <f>IFERROR(VLOOKUP(I1954,PROGRAMAS[],3,FALSE),0)</f>
        <v>7011279577.519702</v>
      </c>
      <c r="AL1954" s="246">
        <f>IFERROR(VLOOKUP(J1954,PROGRAMAS[],3,FALSE),0)</f>
        <v>675517840.109828</v>
      </c>
      <c r="AM1954" s="246">
        <f>IFERROR(VLOOKUP(K1954,PROGRAMAS[],3,FALSE),0)</f>
        <v>2392571243.5584412</v>
      </c>
      <c r="AN1954" s="246">
        <f>IFERROR(VLOOKUP(L1954,PROGRAMAS[],3,FALSE),0)</f>
        <v>31865326.38096505</v>
      </c>
      <c r="AO1954" s="246">
        <f>IFERROR(VLOOKUP(M1954,PROGRAMAS[],3,FALSE),0)</f>
        <v>2406564599.0319901</v>
      </c>
      <c r="AP1954" s="246">
        <f>IFERROR(VLOOKUP(N1954,PROGRAMAS[],3,FALSE),0)</f>
        <v>948595847.09039903</v>
      </c>
      <c r="AQ1954" s="246">
        <f>IFERROR(VLOOKUP(O1954,PROGRAMAS[],3,FALSE),0)</f>
        <v>0</v>
      </c>
      <c r="AR1954" s="246">
        <f>IFERROR(VLOOKUP(P1954,PROGRAMAS[],3,FALSE),0)</f>
        <v>0</v>
      </c>
      <c r="AS1954" s="246">
        <f>IFERROR(VLOOKUP(Q1954,PROGRAMAS[],3,FALSE),0)</f>
        <v>0</v>
      </c>
      <c r="AT1954" s="246">
        <f>IFERROR(VLOOKUP(D1954,VOL_REC[],2,FALSE),0)</f>
        <v>0</v>
      </c>
      <c r="AU1954" s="246">
        <f>IFERROR(VLOOKUP(E1954,VOL_REC[],2,FALSE),0)</f>
        <v>0</v>
      </c>
      <c r="AV1954" s="246">
        <f>IFERROR(VLOOKUP(F1954,VOL_REC[],2,FALSE),0)</f>
        <v>11089674.200000001</v>
      </c>
      <c r="AW1954" s="246">
        <f>IFERROR(VLOOKUP(G1954,VOL_REC[],2,FALSE),0)</f>
        <v>4325103.1812214684</v>
      </c>
      <c r="AX1954" s="246">
        <f>IFERROR(VLOOKUP(H1954,VOL_REC[],2,FALSE),0)</f>
        <v>15540036.397699751</v>
      </c>
      <c r="AY1954" s="246">
        <f>IFERROR(VLOOKUP(I1954,VOL_REC[],2,FALSE),0)</f>
        <v>3761786</v>
      </c>
      <c r="AZ1954" s="246">
        <f>IFERROR(VLOOKUP(J1954,VOL_REC[],2,FALSE),0)</f>
        <v>240696.79238099116</v>
      </c>
      <c r="BA1954" s="246">
        <f>IFERROR(VLOOKUP(K1954,VOL_REC[],2,FALSE),0)</f>
        <v>663244.80000000016</v>
      </c>
      <c r="BB1954" s="246">
        <f>IFERROR(VLOOKUP(L1954,VOL_REC[],2,FALSE),0)</f>
        <v>17074.045034105649</v>
      </c>
      <c r="BC1954" s="246">
        <f>IFERROR(VLOOKUP(M1954,VOL_REC[],2,FALSE),0)</f>
        <v>1072354.9981737854</v>
      </c>
      <c r="BD1954" s="246">
        <f>IFERROR(VLOOKUP(N1954,VOL_REC[],2,FALSE),0)</f>
        <v>740113.98115702497</v>
      </c>
      <c r="BE1954" s="246">
        <f>IFERROR(VLOOKUP(O1954,VOL_REC[],2,FALSE),0)</f>
        <v>0</v>
      </c>
      <c r="BF1954" s="246">
        <f>IFERROR(VLOOKUP(P1954,VOL_REC[],2,FALSE),0)</f>
        <v>0</v>
      </c>
      <c r="BG1954" s="246">
        <f>IFERROR(VLOOKUP(Q1954,VOL_REC[],2,FALSE),0)</f>
        <v>0</v>
      </c>
      <c r="BH1954" s="1710">
        <f t="shared" si="124"/>
        <v>31833873093.243591</v>
      </c>
      <c r="BI1954" s="1710">
        <f t="shared" si="125"/>
        <v>28915572647.406693</v>
      </c>
      <c r="BJ1954" s="1711">
        <f t="shared" si="126"/>
        <v>37450084.395667121</v>
      </c>
      <c r="BK1954" s="1711">
        <f t="shared" si="127"/>
        <v>1.1009248712250086</v>
      </c>
      <c r="BL1954">
        <f>BJ1954</f>
        <v>37450084.395667121</v>
      </c>
      <c r="BO1954">
        <f>BL1954</f>
        <v>37450084.395667121</v>
      </c>
    </row>
    <row r="1955" spans="3:67" x14ac:dyDescent="0.25">
      <c r="C1955" s="246" t="s">
        <v>3305</v>
      </c>
      <c r="D1955" s="246">
        <v>1</v>
      </c>
      <c r="E1955" s="246">
        <v>2</v>
      </c>
      <c r="F1955" s="246">
        <v>3</v>
      </c>
      <c r="G1955" s="246">
        <v>5</v>
      </c>
      <c r="H1955" s="246">
        <v>6</v>
      </c>
      <c r="I1955" s="246">
        <v>9</v>
      </c>
      <c r="J1955" s="246">
        <v>12</v>
      </c>
      <c r="K1955" s="246">
        <v>13</v>
      </c>
      <c r="L1955" s="246">
        <v>15</v>
      </c>
      <c r="M1955" s="246">
        <v>16</v>
      </c>
      <c r="N1955" s="246">
        <v>17</v>
      </c>
      <c r="O1955" s="246"/>
      <c r="P1955" s="246"/>
      <c r="Q1955" s="246"/>
      <c r="R1955" s="246">
        <f>IFERROR(VLOOKUP(D1955,PROGRAMAS[],2,FALSE),0)</f>
        <v>97037803.679377079</v>
      </c>
      <c r="S1955" s="246">
        <f>IFERROR(VLOOKUP(E1955,PROGRAMAS[],2,FALSE),0)</f>
        <v>640501509.6821388</v>
      </c>
      <c r="T1955" s="246">
        <f>IFERROR(VLOOKUP(F1955,PROGRAMAS[],2,FALSE),0)</f>
        <v>3062327798.1525245</v>
      </c>
      <c r="U1955" s="246">
        <f>IFERROR(VLOOKUP(G1955,PROGRAMAS[],2,FALSE),0)</f>
        <v>1440941976.2528784</v>
      </c>
      <c r="V1955" s="246">
        <f>IFERROR(VLOOKUP(H1955,PROGRAMAS[],2,FALSE),0)</f>
        <v>6907648435.8447599</v>
      </c>
      <c r="W1955" s="246">
        <f>IFERROR(VLOOKUP(I1955,PROGRAMAS[],2,FALSE),0)</f>
        <v>6128579952.1618185</v>
      </c>
      <c r="X1955" s="246">
        <f>IFERROR(VLOOKUP(J1955,PROGRAMAS[],2,FALSE),0)</f>
        <v>764796700.79905891</v>
      </c>
      <c r="Y1955" s="246">
        <f>IFERROR(VLOOKUP(K1955,PROGRAMAS[],2,FALSE),0)</f>
        <v>3776538594.4604583</v>
      </c>
      <c r="Z1955" s="246">
        <f>IFERROR(VLOOKUP(L1955,PROGRAMAS[],2,FALSE),0)</f>
        <v>122159672.96346797</v>
      </c>
      <c r="AA1955" s="246">
        <f>IFERROR(VLOOKUP(M1955,PROGRAMAS[],2,FALSE),0)</f>
        <v>7068496961.0436354</v>
      </c>
      <c r="AB1955" s="246">
        <f>IFERROR(VLOOKUP(N1955,PROGRAMAS[],2,FALSE),0)</f>
        <v>1892779498.5211046</v>
      </c>
      <c r="AC1955" s="246">
        <f>IFERROR(VLOOKUP(O1955,PROGRAMAS[],2,FALSE),0)</f>
        <v>0</v>
      </c>
      <c r="AD1955" s="246">
        <f>IFERROR(VLOOKUP(P1955,PROGRAMAS[],2,FALSE),0)</f>
        <v>0</v>
      </c>
      <c r="AE1955" s="246">
        <f>IFERROR(VLOOKUP(Q1955,PROGRAMAS[],2,FALSE),0)</f>
        <v>0</v>
      </c>
      <c r="AF1955" s="246">
        <f>IFERROR(VLOOKUP(D1955,PROGRAMAS[],3,FALSE),0)</f>
        <v>841888629.31080008</v>
      </c>
      <c r="AG1955" s="246">
        <f>IFERROR(VLOOKUP(E1955,PROGRAMAS[],3,FALSE),0)</f>
        <v>3848980803.1642323</v>
      </c>
      <c r="AH1955" s="246">
        <f>IFERROR(VLOOKUP(F1955,PROGRAMAS[],3,FALSE),0)</f>
        <v>3394901471.387517</v>
      </c>
      <c r="AI1955" s="246">
        <f>IFERROR(VLOOKUP(G1955,PROGRAMAS[],3,FALSE),0)</f>
        <v>1233505101.0616004</v>
      </c>
      <c r="AJ1955" s="246">
        <f>IFERROR(VLOOKUP(H1955,PROGRAMAS[],3,FALSE),0)</f>
        <v>6129902208.7912121</v>
      </c>
      <c r="AK1955" s="246">
        <f>IFERROR(VLOOKUP(I1955,PROGRAMAS[],3,FALSE),0)</f>
        <v>7011279577.519702</v>
      </c>
      <c r="AL1955" s="246">
        <f>IFERROR(VLOOKUP(J1955,PROGRAMAS[],3,FALSE),0)</f>
        <v>675517840.109828</v>
      </c>
      <c r="AM1955" s="246">
        <f>IFERROR(VLOOKUP(K1955,PROGRAMAS[],3,FALSE),0)</f>
        <v>2392571243.5584412</v>
      </c>
      <c r="AN1955" s="246">
        <f>IFERROR(VLOOKUP(L1955,PROGRAMAS[],3,FALSE),0)</f>
        <v>118617452.52510804</v>
      </c>
      <c r="AO1955" s="246">
        <f>IFERROR(VLOOKUP(M1955,PROGRAMAS[],3,FALSE),0)</f>
        <v>2406564599.0319901</v>
      </c>
      <c r="AP1955" s="246">
        <f>IFERROR(VLOOKUP(N1955,PROGRAMAS[],3,FALSE),0)</f>
        <v>948595847.09039903</v>
      </c>
      <c r="AQ1955" s="246">
        <f>IFERROR(VLOOKUP(O1955,PROGRAMAS[],3,FALSE),0)</f>
        <v>0</v>
      </c>
      <c r="AR1955" s="246">
        <f>IFERROR(VLOOKUP(P1955,PROGRAMAS[],3,FALSE),0)</f>
        <v>0</v>
      </c>
      <c r="AS1955" s="246">
        <f>IFERROR(VLOOKUP(Q1955,PROGRAMAS[],3,FALSE),0)</f>
        <v>0</v>
      </c>
      <c r="AT1955" s="246">
        <f>IFERROR(VLOOKUP(D1955,VOL_REC[],2,FALSE),0)</f>
        <v>0</v>
      </c>
      <c r="AU1955" s="246">
        <f>IFERROR(VLOOKUP(E1955,VOL_REC[],2,FALSE),0)</f>
        <v>0</v>
      </c>
      <c r="AV1955" s="246">
        <f>IFERROR(VLOOKUP(F1955,VOL_REC[],2,FALSE),0)</f>
        <v>11089674.200000001</v>
      </c>
      <c r="AW1955" s="246">
        <f>IFERROR(VLOOKUP(G1955,VOL_REC[],2,FALSE),0)</f>
        <v>4325103.1812214684</v>
      </c>
      <c r="AX1955" s="246">
        <f>IFERROR(VLOOKUP(H1955,VOL_REC[],2,FALSE),0)</f>
        <v>15540036.397699751</v>
      </c>
      <c r="AY1955" s="246">
        <f>IFERROR(VLOOKUP(I1955,VOL_REC[],2,FALSE),0)</f>
        <v>3761786</v>
      </c>
      <c r="AZ1955" s="246">
        <f>IFERROR(VLOOKUP(J1955,VOL_REC[],2,FALSE),0)</f>
        <v>240696.79238099116</v>
      </c>
      <c r="BA1955" s="246">
        <f>IFERROR(VLOOKUP(K1955,VOL_REC[],2,FALSE),0)</f>
        <v>663244.80000000016</v>
      </c>
      <c r="BB1955" s="246">
        <f>IFERROR(VLOOKUP(L1955,VOL_REC[],2,FALSE),0)</f>
        <v>105072</v>
      </c>
      <c r="BC1955" s="246">
        <f>IFERROR(VLOOKUP(M1955,VOL_REC[],2,FALSE),0)</f>
        <v>1072354.9981737854</v>
      </c>
      <c r="BD1955" s="246">
        <f>IFERROR(VLOOKUP(N1955,VOL_REC[],2,FALSE),0)</f>
        <v>740113.98115702497</v>
      </c>
      <c r="BE1955" s="246">
        <f>IFERROR(VLOOKUP(O1955,VOL_REC[],2,FALSE),0)</f>
        <v>0</v>
      </c>
      <c r="BF1955" s="246">
        <f>IFERROR(VLOOKUP(P1955,VOL_REC[],2,FALSE),0)</f>
        <v>0</v>
      </c>
      <c r="BG1955" s="246">
        <f>IFERROR(VLOOKUP(Q1955,VOL_REC[],2,FALSE),0)</f>
        <v>0</v>
      </c>
      <c r="BH1955" s="1710">
        <f t="shared" si="124"/>
        <v>31901808903.561218</v>
      </c>
      <c r="BI1955" s="1710">
        <f t="shared" si="125"/>
        <v>29002324773.550835</v>
      </c>
      <c r="BJ1955" s="1711">
        <f t="shared" si="126"/>
        <v>37538082.350633018</v>
      </c>
      <c r="BK1955" s="1711">
        <f t="shared" si="127"/>
        <v>1.0999741969876367</v>
      </c>
      <c r="BL1955">
        <f>BJ1955</f>
        <v>37538082.350633018</v>
      </c>
      <c r="BO1955">
        <f>BL1955</f>
        <v>37538082.350633018</v>
      </c>
    </row>
    <row r="1956" spans="3:67" x14ac:dyDescent="0.25">
      <c r="C1956" s="246" t="s">
        <v>3306</v>
      </c>
      <c r="D1956" s="246">
        <v>1</v>
      </c>
      <c r="E1956" s="246">
        <v>2</v>
      </c>
      <c r="F1956" s="246">
        <v>3</v>
      </c>
      <c r="G1956" s="246">
        <v>5</v>
      </c>
      <c r="H1956" s="246">
        <v>6</v>
      </c>
      <c r="I1956" s="246">
        <v>9</v>
      </c>
      <c r="J1956" s="246">
        <v>12</v>
      </c>
      <c r="K1956" s="246">
        <v>14</v>
      </c>
      <c r="L1956" s="246">
        <v>15</v>
      </c>
      <c r="M1956" s="246">
        <v>16</v>
      </c>
      <c r="N1956" s="246">
        <v>17</v>
      </c>
      <c r="O1956" s="246"/>
      <c r="P1956" s="246"/>
      <c r="Q1956" s="246"/>
      <c r="R1956" s="246">
        <f>IFERROR(VLOOKUP(D1956,PROGRAMAS[],2,FALSE),0)</f>
        <v>97037803.679377079</v>
      </c>
      <c r="S1956" s="246">
        <f>IFERROR(VLOOKUP(E1956,PROGRAMAS[],2,FALSE),0)</f>
        <v>640501509.6821388</v>
      </c>
      <c r="T1956" s="246">
        <f>IFERROR(VLOOKUP(F1956,PROGRAMAS[],2,FALSE),0)</f>
        <v>3062327798.1525245</v>
      </c>
      <c r="U1956" s="246">
        <f>IFERROR(VLOOKUP(G1956,PROGRAMAS[],2,FALSE),0)</f>
        <v>1440941976.2528784</v>
      </c>
      <c r="V1956" s="246">
        <f>IFERROR(VLOOKUP(H1956,PROGRAMAS[],2,FALSE),0)</f>
        <v>6907648435.8447599</v>
      </c>
      <c r="W1956" s="246">
        <f>IFERROR(VLOOKUP(I1956,PROGRAMAS[],2,FALSE),0)</f>
        <v>6128579952.1618185</v>
      </c>
      <c r="X1956" s="246">
        <f>IFERROR(VLOOKUP(J1956,PROGRAMAS[],2,FALSE),0)</f>
        <v>764796700.79905891</v>
      </c>
      <c r="Y1956" s="246">
        <f>IFERROR(VLOOKUP(K1956,PROGRAMAS[],2,FALSE),0)</f>
        <v>54223862.645839565</v>
      </c>
      <c r="Z1956" s="246">
        <f>IFERROR(VLOOKUP(L1956,PROGRAMAS[],2,FALSE),0)</f>
        <v>122159672.96346797</v>
      </c>
      <c r="AA1956" s="246">
        <f>IFERROR(VLOOKUP(M1956,PROGRAMAS[],2,FALSE),0)</f>
        <v>7068496961.0436354</v>
      </c>
      <c r="AB1956" s="246">
        <f>IFERROR(VLOOKUP(N1956,PROGRAMAS[],2,FALSE),0)</f>
        <v>1892779498.5211046</v>
      </c>
      <c r="AC1956" s="246">
        <f>IFERROR(VLOOKUP(O1956,PROGRAMAS[],2,FALSE),0)</f>
        <v>0</v>
      </c>
      <c r="AD1956" s="246">
        <f>IFERROR(VLOOKUP(P1956,PROGRAMAS[],2,FALSE),0)</f>
        <v>0</v>
      </c>
      <c r="AE1956" s="246">
        <f>IFERROR(VLOOKUP(Q1956,PROGRAMAS[],2,FALSE),0)</f>
        <v>0</v>
      </c>
      <c r="AF1956" s="246">
        <f>IFERROR(VLOOKUP(D1956,PROGRAMAS[],3,FALSE),0)</f>
        <v>841888629.31080008</v>
      </c>
      <c r="AG1956" s="246">
        <f>IFERROR(VLOOKUP(E1956,PROGRAMAS[],3,FALSE),0)</f>
        <v>3848980803.1642323</v>
      </c>
      <c r="AH1956" s="246">
        <f>IFERROR(VLOOKUP(F1956,PROGRAMAS[],3,FALSE),0)</f>
        <v>3394901471.387517</v>
      </c>
      <c r="AI1956" s="246">
        <f>IFERROR(VLOOKUP(G1956,PROGRAMAS[],3,FALSE),0)</f>
        <v>1233505101.0616004</v>
      </c>
      <c r="AJ1956" s="246">
        <f>IFERROR(VLOOKUP(H1956,PROGRAMAS[],3,FALSE),0)</f>
        <v>6129902208.7912121</v>
      </c>
      <c r="AK1956" s="246">
        <f>IFERROR(VLOOKUP(I1956,PROGRAMAS[],3,FALSE),0)</f>
        <v>7011279577.519702</v>
      </c>
      <c r="AL1956" s="246">
        <f>IFERROR(VLOOKUP(J1956,PROGRAMAS[],3,FALSE),0)</f>
        <v>675517840.109828</v>
      </c>
      <c r="AM1956" s="246">
        <f>IFERROR(VLOOKUP(K1956,PROGRAMAS[],3,FALSE),0)</f>
        <v>31865326.38096505</v>
      </c>
      <c r="AN1956" s="246">
        <f>IFERROR(VLOOKUP(L1956,PROGRAMAS[],3,FALSE),0)</f>
        <v>118617452.52510804</v>
      </c>
      <c r="AO1956" s="246">
        <f>IFERROR(VLOOKUP(M1956,PROGRAMAS[],3,FALSE),0)</f>
        <v>2406564599.0319901</v>
      </c>
      <c r="AP1956" s="246">
        <f>IFERROR(VLOOKUP(N1956,PROGRAMAS[],3,FALSE),0)</f>
        <v>948595847.09039903</v>
      </c>
      <c r="AQ1956" s="246">
        <f>IFERROR(VLOOKUP(O1956,PROGRAMAS[],3,FALSE),0)</f>
        <v>0</v>
      </c>
      <c r="AR1956" s="246">
        <f>IFERROR(VLOOKUP(P1956,PROGRAMAS[],3,FALSE),0)</f>
        <v>0</v>
      </c>
      <c r="AS1956" s="246">
        <f>IFERROR(VLOOKUP(Q1956,PROGRAMAS[],3,FALSE),0)</f>
        <v>0</v>
      </c>
      <c r="AT1956" s="246">
        <f>IFERROR(VLOOKUP(D1956,VOL_REC[],2,FALSE),0)</f>
        <v>0</v>
      </c>
      <c r="AU1956" s="246">
        <f>IFERROR(VLOOKUP(E1956,VOL_REC[],2,FALSE),0)</f>
        <v>0</v>
      </c>
      <c r="AV1956" s="246">
        <f>IFERROR(VLOOKUP(F1956,VOL_REC[],2,FALSE),0)</f>
        <v>11089674.200000001</v>
      </c>
      <c r="AW1956" s="246">
        <f>IFERROR(VLOOKUP(G1956,VOL_REC[],2,FALSE),0)</f>
        <v>4325103.1812214684</v>
      </c>
      <c r="AX1956" s="246">
        <f>IFERROR(VLOOKUP(H1956,VOL_REC[],2,FALSE),0)</f>
        <v>15540036.397699751</v>
      </c>
      <c r="AY1956" s="246">
        <f>IFERROR(VLOOKUP(I1956,VOL_REC[],2,FALSE),0)</f>
        <v>3761786</v>
      </c>
      <c r="AZ1956" s="246">
        <f>IFERROR(VLOOKUP(J1956,VOL_REC[],2,FALSE),0)</f>
        <v>240696.79238099116</v>
      </c>
      <c r="BA1956" s="246">
        <f>IFERROR(VLOOKUP(K1956,VOL_REC[],2,FALSE),0)</f>
        <v>17074.045034105649</v>
      </c>
      <c r="BB1956" s="246">
        <f>IFERROR(VLOOKUP(L1956,VOL_REC[],2,FALSE),0)</f>
        <v>105072</v>
      </c>
      <c r="BC1956" s="246">
        <f>IFERROR(VLOOKUP(M1956,VOL_REC[],2,FALSE),0)</f>
        <v>1072354.9981737854</v>
      </c>
      <c r="BD1956" s="246">
        <f>IFERROR(VLOOKUP(N1956,VOL_REC[],2,FALSE),0)</f>
        <v>740113.98115702497</v>
      </c>
      <c r="BE1956" s="246">
        <f>IFERROR(VLOOKUP(O1956,VOL_REC[],2,FALSE),0)</f>
        <v>0</v>
      </c>
      <c r="BF1956" s="246">
        <f>IFERROR(VLOOKUP(P1956,VOL_REC[],2,FALSE),0)</f>
        <v>0</v>
      </c>
      <c r="BG1956" s="246">
        <f>IFERROR(VLOOKUP(Q1956,VOL_REC[],2,FALSE),0)</f>
        <v>0</v>
      </c>
      <c r="BH1956" s="1710">
        <f t="shared" si="124"/>
        <v>28179494171.746601</v>
      </c>
      <c r="BI1956" s="1710">
        <f t="shared" si="125"/>
        <v>26641618856.37336</v>
      </c>
      <c r="BJ1956" s="1711">
        <f t="shared" si="126"/>
        <v>36891911.595667124</v>
      </c>
      <c r="BK1956" s="1711">
        <f t="shared" si="127"/>
        <v>1.0577245445805685</v>
      </c>
      <c r="BL1956">
        <f>BJ1956</f>
        <v>36891911.595667124</v>
      </c>
      <c r="BO1956">
        <f>BL1956</f>
        <v>36891911.595667124</v>
      </c>
    </row>
    <row r="1957" spans="3:67" x14ac:dyDescent="0.25">
      <c r="C1957" s="246" t="s">
        <v>3307</v>
      </c>
      <c r="D1957" s="246">
        <v>1</v>
      </c>
      <c r="E1957" s="246">
        <v>2</v>
      </c>
      <c r="F1957" s="246">
        <v>3</v>
      </c>
      <c r="G1957" s="246">
        <v>5</v>
      </c>
      <c r="H1957" s="246">
        <v>6</v>
      </c>
      <c r="I1957" s="246">
        <v>9</v>
      </c>
      <c r="J1957" s="246">
        <v>13</v>
      </c>
      <c r="K1957" s="246">
        <v>14</v>
      </c>
      <c r="L1957" s="246">
        <v>15</v>
      </c>
      <c r="M1957" s="246">
        <v>16</v>
      </c>
      <c r="N1957" s="246">
        <v>17</v>
      </c>
      <c r="O1957" s="246"/>
      <c r="P1957" s="246"/>
      <c r="Q1957" s="246"/>
      <c r="R1957" s="246">
        <f>IFERROR(VLOOKUP(D1957,PROGRAMAS[],2,FALSE),0)</f>
        <v>97037803.679377079</v>
      </c>
      <c r="S1957" s="246">
        <f>IFERROR(VLOOKUP(E1957,PROGRAMAS[],2,FALSE),0)</f>
        <v>640501509.6821388</v>
      </c>
      <c r="T1957" s="246">
        <f>IFERROR(VLOOKUP(F1957,PROGRAMAS[],2,FALSE),0)</f>
        <v>3062327798.1525245</v>
      </c>
      <c r="U1957" s="246">
        <f>IFERROR(VLOOKUP(G1957,PROGRAMAS[],2,FALSE),0)</f>
        <v>1440941976.2528784</v>
      </c>
      <c r="V1957" s="246">
        <f>IFERROR(VLOOKUP(H1957,PROGRAMAS[],2,FALSE),0)</f>
        <v>6907648435.8447599</v>
      </c>
      <c r="W1957" s="246">
        <f>IFERROR(VLOOKUP(I1957,PROGRAMAS[],2,FALSE),0)</f>
        <v>6128579952.1618185</v>
      </c>
      <c r="X1957" s="246">
        <f>IFERROR(VLOOKUP(J1957,PROGRAMAS[],2,FALSE),0)</f>
        <v>3776538594.4604583</v>
      </c>
      <c r="Y1957" s="246">
        <f>IFERROR(VLOOKUP(K1957,PROGRAMAS[],2,FALSE),0)</f>
        <v>54223862.645839565</v>
      </c>
      <c r="Z1957" s="246">
        <f>IFERROR(VLOOKUP(L1957,PROGRAMAS[],2,FALSE),0)</f>
        <v>122159672.96346797</v>
      </c>
      <c r="AA1957" s="246">
        <f>IFERROR(VLOOKUP(M1957,PROGRAMAS[],2,FALSE),0)</f>
        <v>7068496961.0436354</v>
      </c>
      <c r="AB1957" s="246">
        <f>IFERROR(VLOOKUP(N1957,PROGRAMAS[],2,FALSE),0)</f>
        <v>1892779498.5211046</v>
      </c>
      <c r="AC1957" s="246">
        <f>IFERROR(VLOOKUP(O1957,PROGRAMAS[],2,FALSE),0)</f>
        <v>0</v>
      </c>
      <c r="AD1957" s="246">
        <f>IFERROR(VLOOKUP(P1957,PROGRAMAS[],2,FALSE),0)</f>
        <v>0</v>
      </c>
      <c r="AE1957" s="246">
        <f>IFERROR(VLOOKUP(Q1957,PROGRAMAS[],2,FALSE),0)</f>
        <v>0</v>
      </c>
      <c r="AF1957" s="246">
        <f>IFERROR(VLOOKUP(D1957,PROGRAMAS[],3,FALSE),0)</f>
        <v>841888629.31080008</v>
      </c>
      <c r="AG1957" s="246">
        <f>IFERROR(VLOOKUP(E1957,PROGRAMAS[],3,FALSE),0)</f>
        <v>3848980803.1642323</v>
      </c>
      <c r="AH1957" s="246">
        <f>IFERROR(VLOOKUP(F1957,PROGRAMAS[],3,FALSE),0)</f>
        <v>3394901471.387517</v>
      </c>
      <c r="AI1957" s="246">
        <f>IFERROR(VLOOKUP(G1957,PROGRAMAS[],3,FALSE),0)</f>
        <v>1233505101.0616004</v>
      </c>
      <c r="AJ1957" s="246">
        <f>IFERROR(VLOOKUP(H1957,PROGRAMAS[],3,FALSE),0)</f>
        <v>6129902208.7912121</v>
      </c>
      <c r="AK1957" s="246">
        <f>IFERROR(VLOOKUP(I1957,PROGRAMAS[],3,FALSE),0)</f>
        <v>7011279577.519702</v>
      </c>
      <c r="AL1957" s="246">
        <f>IFERROR(VLOOKUP(J1957,PROGRAMAS[],3,FALSE),0)</f>
        <v>2392571243.5584412</v>
      </c>
      <c r="AM1957" s="246">
        <f>IFERROR(VLOOKUP(K1957,PROGRAMAS[],3,FALSE),0)</f>
        <v>31865326.38096505</v>
      </c>
      <c r="AN1957" s="246">
        <f>IFERROR(VLOOKUP(L1957,PROGRAMAS[],3,FALSE),0)</f>
        <v>118617452.52510804</v>
      </c>
      <c r="AO1957" s="246">
        <f>IFERROR(VLOOKUP(M1957,PROGRAMAS[],3,FALSE),0)</f>
        <v>2406564599.0319901</v>
      </c>
      <c r="AP1957" s="246">
        <f>IFERROR(VLOOKUP(N1957,PROGRAMAS[],3,FALSE),0)</f>
        <v>948595847.09039903</v>
      </c>
      <c r="AQ1957" s="246">
        <f>IFERROR(VLOOKUP(O1957,PROGRAMAS[],3,FALSE),0)</f>
        <v>0</v>
      </c>
      <c r="AR1957" s="246">
        <f>IFERROR(VLOOKUP(P1957,PROGRAMAS[],3,FALSE),0)</f>
        <v>0</v>
      </c>
      <c r="AS1957" s="246">
        <f>IFERROR(VLOOKUP(Q1957,PROGRAMAS[],3,FALSE),0)</f>
        <v>0</v>
      </c>
      <c r="AT1957" s="246">
        <f>IFERROR(VLOOKUP(D1957,VOL_REC[],2,FALSE),0)</f>
        <v>0</v>
      </c>
      <c r="AU1957" s="246">
        <f>IFERROR(VLOOKUP(E1957,VOL_REC[],2,FALSE),0)</f>
        <v>0</v>
      </c>
      <c r="AV1957" s="246">
        <f>IFERROR(VLOOKUP(F1957,VOL_REC[],2,FALSE),0)</f>
        <v>11089674.200000001</v>
      </c>
      <c r="AW1957" s="246">
        <f>IFERROR(VLOOKUP(G1957,VOL_REC[],2,FALSE),0)</f>
        <v>4325103.1812214684</v>
      </c>
      <c r="AX1957" s="246">
        <f>IFERROR(VLOOKUP(H1957,VOL_REC[],2,FALSE),0)</f>
        <v>15540036.397699751</v>
      </c>
      <c r="AY1957" s="246">
        <f>IFERROR(VLOOKUP(I1957,VOL_REC[],2,FALSE),0)</f>
        <v>3761786</v>
      </c>
      <c r="AZ1957" s="246">
        <f>IFERROR(VLOOKUP(J1957,VOL_REC[],2,FALSE),0)</f>
        <v>663244.80000000016</v>
      </c>
      <c r="BA1957" s="246">
        <f>IFERROR(VLOOKUP(K1957,VOL_REC[],2,FALSE),0)</f>
        <v>17074.045034105649</v>
      </c>
      <c r="BB1957" s="246">
        <f>IFERROR(VLOOKUP(L1957,VOL_REC[],2,FALSE),0)</f>
        <v>105072</v>
      </c>
      <c r="BC1957" s="246">
        <f>IFERROR(VLOOKUP(M1957,VOL_REC[],2,FALSE),0)</f>
        <v>1072354.9981737854</v>
      </c>
      <c r="BD1957" s="246">
        <f>IFERROR(VLOOKUP(N1957,VOL_REC[],2,FALSE),0)</f>
        <v>740113.98115702497</v>
      </c>
      <c r="BE1957" s="246">
        <f>IFERROR(VLOOKUP(O1957,VOL_REC[],2,FALSE),0)</f>
        <v>0</v>
      </c>
      <c r="BF1957" s="246">
        <f>IFERROR(VLOOKUP(P1957,VOL_REC[],2,FALSE),0)</f>
        <v>0</v>
      </c>
      <c r="BG1957" s="246">
        <f>IFERROR(VLOOKUP(Q1957,VOL_REC[],2,FALSE),0)</f>
        <v>0</v>
      </c>
      <c r="BH1957" s="1710">
        <f t="shared" si="124"/>
        <v>31191236065.408001</v>
      </c>
      <c r="BI1957" s="1710">
        <f t="shared" si="125"/>
        <v>28358672259.821972</v>
      </c>
      <c r="BJ1957" s="1711">
        <f t="shared" si="126"/>
        <v>37314459.603286132</v>
      </c>
      <c r="BK1957" s="1711">
        <f t="shared" si="127"/>
        <v>1.0998835128680955</v>
      </c>
      <c r="BL1957">
        <f>BJ1957</f>
        <v>37314459.603286132</v>
      </c>
      <c r="BO1957">
        <f>BL1957</f>
        <v>37314459.603286132</v>
      </c>
    </row>
    <row r="1958" spans="3:67" x14ac:dyDescent="0.25">
      <c r="C1958" s="246" t="s">
        <v>3308</v>
      </c>
      <c r="D1958" s="246">
        <v>1</v>
      </c>
      <c r="E1958" s="246">
        <v>2</v>
      </c>
      <c r="F1958" s="246">
        <v>3</v>
      </c>
      <c r="G1958" s="246">
        <v>5</v>
      </c>
      <c r="H1958" s="246">
        <v>6</v>
      </c>
      <c r="I1958" s="246">
        <v>10</v>
      </c>
      <c r="J1958" s="246">
        <v>12</v>
      </c>
      <c r="K1958" s="246">
        <v>13</v>
      </c>
      <c r="L1958" s="246">
        <v>14</v>
      </c>
      <c r="M1958" s="246">
        <v>15</v>
      </c>
      <c r="N1958" s="246">
        <v>16</v>
      </c>
      <c r="O1958" s="246"/>
      <c r="P1958" s="246"/>
      <c r="Q1958" s="246"/>
      <c r="R1958" s="246">
        <f>IFERROR(VLOOKUP(D1958,PROGRAMAS[],2,FALSE),0)</f>
        <v>97037803.679377079</v>
      </c>
      <c r="S1958" s="246">
        <f>IFERROR(VLOOKUP(E1958,PROGRAMAS[],2,FALSE),0)</f>
        <v>640501509.6821388</v>
      </c>
      <c r="T1958" s="246">
        <f>IFERROR(VLOOKUP(F1958,PROGRAMAS[],2,FALSE),0)</f>
        <v>3062327798.1525245</v>
      </c>
      <c r="U1958" s="246">
        <f>IFERROR(VLOOKUP(G1958,PROGRAMAS[],2,FALSE),0)</f>
        <v>1440941976.2528784</v>
      </c>
      <c r="V1958" s="246">
        <f>IFERROR(VLOOKUP(H1958,PROGRAMAS[],2,FALSE),0)</f>
        <v>6907648435.8447599</v>
      </c>
      <c r="W1958" s="246">
        <f>IFERROR(VLOOKUP(I1958,PROGRAMAS[],2,FALSE),0)</f>
        <v>4635315027.8751087</v>
      </c>
      <c r="X1958" s="246">
        <f>IFERROR(VLOOKUP(J1958,PROGRAMAS[],2,FALSE),0)</f>
        <v>764796700.79905891</v>
      </c>
      <c r="Y1958" s="246">
        <f>IFERROR(VLOOKUP(K1958,PROGRAMAS[],2,FALSE),0)</f>
        <v>3776538594.4604583</v>
      </c>
      <c r="Z1958" s="246">
        <f>IFERROR(VLOOKUP(L1958,PROGRAMAS[],2,FALSE),0)</f>
        <v>54223862.645839565</v>
      </c>
      <c r="AA1958" s="246">
        <f>IFERROR(VLOOKUP(M1958,PROGRAMAS[],2,FALSE),0)</f>
        <v>122159672.96346797</v>
      </c>
      <c r="AB1958" s="246">
        <f>IFERROR(VLOOKUP(N1958,PROGRAMAS[],2,FALSE),0)</f>
        <v>7068496961.0436354</v>
      </c>
      <c r="AC1958" s="246">
        <f>IFERROR(VLOOKUP(O1958,PROGRAMAS[],2,FALSE),0)</f>
        <v>0</v>
      </c>
      <c r="AD1958" s="246">
        <f>IFERROR(VLOOKUP(P1958,PROGRAMAS[],2,FALSE),0)</f>
        <v>0</v>
      </c>
      <c r="AE1958" s="246">
        <f>IFERROR(VLOOKUP(Q1958,PROGRAMAS[],2,FALSE),0)</f>
        <v>0</v>
      </c>
      <c r="AF1958" s="246">
        <f>IFERROR(VLOOKUP(D1958,PROGRAMAS[],3,FALSE),0)</f>
        <v>841888629.31080008</v>
      </c>
      <c r="AG1958" s="246">
        <f>IFERROR(VLOOKUP(E1958,PROGRAMAS[],3,FALSE),0)</f>
        <v>3848980803.1642323</v>
      </c>
      <c r="AH1958" s="246">
        <f>IFERROR(VLOOKUP(F1958,PROGRAMAS[],3,FALSE),0)</f>
        <v>3394901471.387517</v>
      </c>
      <c r="AI1958" s="246">
        <f>IFERROR(VLOOKUP(G1958,PROGRAMAS[],3,FALSE),0)</f>
        <v>1233505101.0616004</v>
      </c>
      <c r="AJ1958" s="246">
        <f>IFERROR(VLOOKUP(H1958,PROGRAMAS[],3,FALSE),0)</f>
        <v>6129902208.7912121</v>
      </c>
      <c r="AK1958" s="246">
        <f>IFERROR(VLOOKUP(I1958,PROGRAMAS[],3,FALSE),0)</f>
        <v>4099471734.9978786</v>
      </c>
      <c r="AL1958" s="246">
        <f>IFERROR(VLOOKUP(J1958,PROGRAMAS[],3,FALSE),0)</f>
        <v>675517840.109828</v>
      </c>
      <c r="AM1958" s="246">
        <f>IFERROR(VLOOKUP(K1958,PROGRAMAS[],3,FALSE),0)</f>
        <v>2392571243.5584412</v>
      </c>
      <c r="AN1958" s="246">
        <f>IFERROR(VLOOKUP(L1958,PROGRAMAS[],3,FALSE),0)</f>
        <v>31865326.38096505</v>
      </c>
      <c r="AO1958" s="246">
        <f>IFERROR(VLOOKUP(M1958,PROGRAMAS[],3,FALSE),0)</f>
        <v>118617452.52510804</v>
      </c>
      <c r="AP1958" s="246">
        <f>IFERROR(VLOOKUP(N1958,PROGRAMAS[],3,FALSE),0)</f>
        <v>2406564599.0319901</v>
      </c>
      <c r="AQ1958" s="246">
        <f>IFERROR(VLOOKUP(O1958,PROGRAMAS[],3,FALSE),0)</f>
        <v>0</v>
      </c>
      <c r="AR1958" s="246">
        <f>IFERROR(VLOOKUP(P1958,PROGRAMAS[],3,FALSE),0)</f>
        <v>0</v>
      </c>
      <c r="AS1958" s="246">
        <f>IFERROR(VLOOKUP(Q1958,PROGRAMAS[],3,FALSE),0)</f>
        <v>0</v>
      </c>
      <c r="AT1958" s="246">
        <f>IFERROR(VLOOKUP(D1958,VOL_REC[],2,FALSE),0)</f>
        <v>0</v>
      </c>
      <c r="AU1958" s="246">
        <f>IFERROR(VLOOKUP(E1958,VOL_REC[],2,FALSE),0)</f>
        <v>0</v>
      </c>
      <c r="AV1958" s="246">
        <f>IFERROR(VLOOKUP(F1958,VOL_REC[],2,FALSE),0)</f>
        <v>11089674.200000001</v>
      </c>
      <c r="AW1958" s="246">
        <f>IFERROR(VLOOKUP(G1958,VOL_REC[],2,FALSE),0)</f>
        <v>4325103.1812214684</v>
      </c>
      <c r="AX1958" s="246">
        <f>IFERROR(VLOOKUP(H1958,VOL_REC[],2,FALSE),0)</f>
        <v>15540036.397699751</v>
      </c>
      <c r="AY1958" s="246">
        <f>IFERROR(VLOOKUP(I1958,VOL_REC[],2,FALSE),0)</f>
        <v>1812240</v>
      </c>
      <c r="AZ1958" s="246">
        <f>IFERROR(VLOOKUP(J1958,VOL_REC[],2,FALSE),0)</f>
        <v>240696.79238099116</v>
      </c>
      <c r="BA1958" s="246">
        <f>IFERROR(VLOOKUP(K1958,VOL_REC[],2,FALSE),0)</f>
        <v>663244.80000000016</v>
      </c>
      <c r="BB1958" s="246">
        <f>IFERROR(VLOOKUP(L1958,VOL_REC[],2,FALSE),0)</f>
        <v>17074.045034105649</v>
      </c>
      <c r="BC1958" s="246">
        <f>IFERROR(VLOOKUP(M1958,VOL_REC[],2,FALSE),0)</f>
        <v>105072</v>
      </c>
      <c r="BD1958" s="246">
        <f>IFERROR(VLOOKUP(N1958,VOL_REC[],2,FALSE),0)</f>
        <v>1072354.9981737854</v>
      </c>
      <c r="BE1958" s="246">
        <f>IFERROR(VLOOKUP(O1958,VOL_REC[],2,FALSE),0)</f>
        <v>0</v>
      </c>
      <c r="BF1958" s="246">
        <f>IFERROR(VLOOKUP(P1958,VOL_REC[],2,FALSE),0)</f>
        <v>0</v>
      </c>
      <c r="BG1958" s="246">
        <f>IFERROR(VLOOKUP(Q1958,VOL_REC[],2,FALSE),0)</f>
        <v>0</v>
      </c>
      <c r="BH1958" s="1710">
        <f t="shared" si="124"/>
        <v>28569988343.399246</v>
      </c>
      <c r="BI1958" s="1710">
        <f t="shared" si="125"/>
        <v>25173786410.319576</v>
      </c>
      <c r="BJ1958" s="1711">
        <f t="shared" si="126"/>
        <v>34865496.414510101</v>
      </c>
      <c r="BK1958" s="1711">
        <f t="shared" si="127"/>
        <v>1.1349102545689136</v>
      </c>
      <c r="BL1958">
        <f>BJ1958</f>
        <v>34865496.414510101</v>
      </c>
      <c r="BO1958">
        <f>BL1958</f>
        <v>34865496.414510101</v>
      </c>
    </row>
    <row r="1959" spans="3:67" x14ac:dyDescent="0.25">
      <c r="C1959" s="246" t="s">
        <v>3309</v>
      </c>
      <c r="D1959" s="246">
        <v>1</v>
      </c>
      <c r="E1959" s="246">
        <v>2</v>
      </c>
      <c r="F1959" s="246">
        <v>3</v>
      </c>
      <c r="G1959" s="246">
        <v>5</v>
      </c>
      <c r="H1959" s="246">
        <v>6</v>
      </c>
      <c r="I1959" s="246">
        <v>10</v>
      </c>
      <c r="J1959" s="246">
        <v>12</v>
      </c>
      <c r="K1959" s="246">
        <v>13</v>
      </c>
      <c r="L1959" s="246">
        <v>14</v>
      </c>
      <c r="M1959" s="246">
        <v>15</v>
      </c>
      <c r="N1959" s="246">
        <v>17</v>
      </c>
      <c r="O1959" s="246"/>
      <c r="P1959" s="246"/>
      <c r="Q1959" s="246"/>
      <c r="R1959" s="246">
        <f>IFERROR(VLOOKUP(D1959,PROGRAMAS[],2,FALSE),0)</f>
        <v>97037803.679377079</v>
      </c>
      <c r="S1959" s="246">
        <f>IFERROR(VLOOKUP(E1959,PROGRAMAS[],2,FALSE),0)</f>
        <v>640501509.6821388</v>
      </c>
      <c r="T1959" s="246">
        <f>IFERROR(VLOOKUP(F1959,PROGRAMAS[],2,FALSE),0)</f>
        <v>3062327798.1525245</v>
      </c>
      <c r="U1959" s="246">
        <f>IFERROR(VLOOKUP(G1959,PROGRAMAS[],2,FALSE),0)</f>
        <v>1440941976.2528784</v>
      </c>
      <c r="V1959" s="246">
        <f>IFERROR(VLOOKUP(H1959,PROGRAMAS[],2,FALSE),0)</f>
        <v>6907648435.8447599</v>
      </c>
      <c r="W1959" s="246">
        <f>IFERROR(VLOOKUP(I1959,PROGRAMAS[],2,FALSE),0)</f>
        <v>4635315027.8751087</v>
      </c>
      <c r="X1959" s="246">
        <f>IFERROR(VLOOKUP(J1959,PROGRAMAS[],2,FALSE),0)</f>
        <v>764796700.79905891</v>
      </c>
      <c r="Y1959" s="246">
        <f>IFERROR(VLOOKUP(K1959,PROGRAMAS[],2,FALSE),0)</f>
        <v>3776538594.4604583</v>
      </c>
      <c r="Z1959" s="246">
        <f>IFERROR(VLOOKUP(L1959,PROGRAMAS[],2,FALSE),0)</f>
        <v>54223862.645839565</v>
      </c>
      <c r="AA1959" s="246">
        <f>IFERROR(VLOOKUP(M1959,PROGRAMAS[],2,FALSE),0)</f>
        <v>122159672.96346797</v>
      </c>
      <c r="AB1959" s="246">
        <f>IFERROR(VLOOKUP(N1959,PROGRAMAS[],2,FALSE),0)</f>
        <v>1892779498.5211046</v>
      </c>
      <c r="AC1959" s="246">
        <f>IFERROR(VLOOKUP(O1959,PROGRAMAS[],2,FALSE),0)</f>
        <v>0</v>
      </c>
      <c r="AD1959" s="246">
        <f>IFERROR(VLOOKUP(P1959,PROGRAMAS[],2,FALSE),0)</f>
        <v>0</v>
      </c>
      <c r="AE1959" s="246">
        <f>IFERROR(VLOOKUP(Q1959,PROGRAMAS[],2,FALSE),0)</f>
        <v>0</v>
      </c>
      <c r="AF1959" s="246">
        <f>IFERROR(VLOOKUP(D1959,PROGRAMAS[],3,FALSE),0)</f>
        <v>841888629.31080008</v>
      </c>
      <c r="AG1959" s="246">
        <f>IFERROR(VLOOKUP(E1959,PROGRAMAS[],3,FALSE),0)</f>
        <v>3848980803.1642323</v>
      </c>
      <c r="AH1959" s="246">
        <f>IFERROR(VLOOKUP(F1959,PROGRAMAS[],3,FALSE),0)</f>
        <v>3394901471.387517</v>
      </c>
      <c r="AI1959" s="246">
        <f>IFERROR(VLOOKUP(G1959,PROGRAMAS[],3,FALSE),0)</f>
        <v>1233505101.0616004</v>
      </c>
      <c r="AJ1959" s="246">
        <f>IFERROR(VLOOKUP(H1959,PROGRAMAS[],3,FALSE),0)</f>
        <v>6129902208.7912121</v>
      </c>
      <c r="AK1959" s="246">
        <f>IFERROR(VLOOKUP(I1959,PROGRAMAS[],3,FALSE),0)</f>
        <v>4099471734.9978786</v>
      </c>
      <c r="AL1959" s="246">
        <f>IFERROR(VLOOKUP(J1959,PROGRAMAS[],3,FALSE),0)</f>
        <v>675517840.109828</v>
      </c>
      <c r="AM1959" s="246">
        <f>IFERROR(VLOOKUP(K1959,PROGRAMAS[],3,FALSE),0)</f>
        <v>2392571243.5584412</v>
      </c>
      <c r="AN1959" s="246">
        <f>IFERROR(VLOOKUP(L1959,PROGRAMAS[],3,FALSE),0)</f>
        <v>31865326.38096505</v>
      </c>
      <c r="AO1959" s="246">
        <f>IFERROR(VLOOKUP(M1959,PROGRAMAS[],3,FALSE),0)</f>
        <v>118617452.52510804</v>
      </c>
      <c r="AP1959" s="246">
        <f>IFERROR(VLOOKUP(N1959,PROGRAMAS[],3,FALSE),0)</f>
        <v>948595847.09039903</v>
      </c>
      <c r="AQ1959" s="246">
        <f>IFERROR(VLOOKUP(O1959,PROGRAMAS[],3,FALSE),0)</f>
        <v>0</v>
      </c>
      <c r="AR1959" s="246">
        <f>IFERROR(VLOOKUP(P1959,PROGRAMAS[],3,FALSE),0)</f>
        <v>0</v>
      </c>
      <c r="AS1959" s="246">
        <f>IFERROR(VLOOKUP(Q1959,PROGRAMAS[],3,FALSE),0)</f>
        <v>0</v>
      </c>
      <c r="AT1959" s="246">
        <f>IFERROR(VLOOKUP(D1959,VOL_REC[],2,FALSE),0)</f>
        <v>0</v>
      </c>
      <c r="AU1959" s="246">
        <f>IFERROR(VLOOKUP(E1959,VOL_REC[],2,FALSE),0)</f>
        <v>0</v>
      </c>
      <c r="AV1959" s="246">
        <f>IFERROR(VLOOKUP(F1959,VOL_REC[],2,FALSE),0)</f>
        <v>11089674.200000001</v>
      </c>
      <c r="AW1959" s="246">
        <f>IFERROR(VLOOKUP(G1959,VOL_REC[],2,FALSE),0)</f>
        <v>4325103.1812214684</v>
      </c>
      <c r="AX1959" s="246">
        <f>IFERROR(VLOOKUP(H1959,VOL_REC[],2,FALSE),0)</f>
        <v>15540036.397699751</v>
      </c>
      <c r="AY1959" s="246">
        <f>IFERROR(VLOOKUP(I1959,VOL_REC[],2,FALSE),0)</f>
        <v>1812240</v>
      </c>
      <c r="AZ1959" s="246">
        <f>IFERROR(VLOOKUP(J1959,VOL_REC[],2,FALSE),0)</f>
        <v>240696.79238099116</v>
      </c>
      <c r="BA1959" s="246">
        <f>IFERROR(VLOOKUP(K1959,VOL_REC[],2,FALSE),0)</f>
        <v>663244.80000000016</v>
      </c>
      <c r="BB1959" s="246">
        <f>IFERROR(VLOOKUP(L1959,VOL_REC[],2,FALSE),0)</f>
        <v>17074.045034105649</v>
      </c>
      <c r="BC1959" s="246">
        <f>IFERROR(VLOOKUP(M1959,VOL_REC[],2,FALSE),0)</f>
        <v>105072</v>
      </c>
      <c r="BD1959" s="246">
        <f>IFERROR(VLOOKUP(N1959,VOL_REC[],2,FALSE),0)</f>
        <v>740113.98115702497</v>
      </c>
      <c r="BE1959" s="246">
        <f>IFERROR(VLOOKUP(O1959,VOL_REC[],2,FALSE),0)</f>
        <v>0</v>
      </c>
      <c r="BF1959" s="246">
        <f>IFERROR(VLOOKUP(P1959,VOL_REC[],2,FALSE),0)</f>
        <v>0</v>
      </c>
      <c r="BG1959" s="246">
        <f>IFERROR(VLOOKUP(Q1959,VOL_REC[],2,FALSE),0)</f>
        <v>0</v>
      </c>
      <c r="BH1959" s="1710">
        <f t="shared" si="124"/>
        <v>23394270880.876713</v>
      </c>
      <c r="BI1959" s="1710">
        <f t="shared" si="125"/>
        <v>23715817658.377987</v>
      </c>
      <c r="BJ1959" s="1711">
        <f t="shared" si="126"/>
        <v>34533255.39749334</v>
      </c>
      <c r="BK1959" s="1711">
        <f t="shared" si="127"/>
        <v>0.9864416744076423</v>
      </c>
    </row>
    <row r="1960" spans="3:67" x14ac:dyDescent="0.25">
      <c r="C1960" s="246" t="s">
        <v>3310</v>
      </c>
      <c r="D1960" s="246">
        <v>1</v>
      </c>
      <c r="E1960" s="246">
        <v>2</v>
      </c>
      <c r="F1960" s="246">
        <v>3</v>
      </c>
      <c r="G1960" s="246">
        <v>5</v>
      </c>
      <c r="H1960" s="246">
        <v>6</v>
      </c>
      <c r="I1960" s="246">
        <v>10</v>
      </c>
      <c r="J1960" s="246">
        <v>12</v>
      </c>
      <c r="K1960" s="246">
        <v>13</v>
      </c>
      <c r="L1960" s="246">
        <v>14</v>
      </c>
      <c r="M1960" s="246">
        <v>16</v>
      </c>
      <c r="N1960" s="246">
        <v>17</v>
      </c>
      <c r="O1960" s="246"/>
      <c r="P1960" s="246"/>
      <c r="Q1960" s="246"/>
      <c r="R1960" s="246">
        <f>IFERROR(VLOOKUP(D1960,PROGRAMAS[],2,FALSE),0)</f>
        <v>97037803.679377079</v>
      </c>
      <c r="S1960" s="246">
        <f>IFERROR(VLOOKUP(E1960,PROGRAMAS[],2,FALSE),0)</f>
        <v>640501509.6821388</v>
      </c>
      <c r="T1960" s="246">
        <f>IFERROR(VLOOKUP(F1960,PROGRAMAS[],2,FALSE),0)</f>
        <v>3062327798.1525245</v>
      </c>
      <c r="U1960" s="246">
        <f>IFERROR(VLOOKUP(G1960,PROGRAMAS[],2,FALSE),0)</f>
        <v>1440941976.2528784</v>
      </c>
      <c r="V1960" s="246">
        <f>IFERROR(VLOOKUP(H1960,PROGRAMAS[],2,FALSE),0)</f>
        <v>6907648435.8447599</v>
      </c>
      <c r="W1960" s="246">
        <f>IFERROR(VLOOKUP(I1960,PROGRAMAS[],2,FALSE),0)</f>
        <v>4635315027.8751087</v>
      </c>
      <c r="X1960" s="246">
        <f>IFERROR(VLOOKUP(J1960,PROGRAMAS[],2,FALSE),0)</f>
        <v>764796700.79905891</v>
      </c>
      <c r="Y1960" s="246">
        <f>IFERROR(VLOOKUP(K1960,PROGRAMAS[],2,FALSE),0)</f>
        <v>3776538594.4604583</v>
      </c>
      <c r="Z1960" s="246">
        <f>IFERROR(VLOOKUP(L1960,PROGRAMAS[],2,FALSE),0)</f>
        <v>54223862.645839565</v>
      </c>
      <c r="AA1960" s="246">
        <f>IFERROR(VLOOKUP(M1960,PROGRAMAS[],2,FALSE),0)</f>
        <v>7068496961.0436354</v>
      </c>
      <c r="AB1960" s="246">
        <f>IFERROR(VLOOKUP(N1960,PROGRAMAS[],2,FALSE),0)</f>
        <v>1892779498.5211046</v>
      </c>
      <c r="AC1960" s="246">
        <f>IFERROR(VLOOKUP(O1960,PROGRAMAS[],2,FALSE),0)</f>
        <v>0</v>
      </c>
      <c r="AD1960" s="246">
        <f>IFERROR(VLOOKUP(P1960,PROGRAMAS[],2,FALSE),0)</f>
        <v>0</v>
      </c>
      <c r="AE1960" s="246">
        <f>IFERROR(VLOOKUP(Q1960,PROGRAMAS[],2,FALSE),0)</f>
        <v>0</v>
      </c>
      <c r="AF1960" s="246">
        <f>IFERROR(VLOOKUP(D1960,PROGRAMAS[],3,FALSE),0)</f>
        <v>841888629.31080008</v>
      </c>
      <c r="AG1960" s="246">
        <f>IFERROR(VLOOKUP(E1960,PROGRAMAS[],3,FALSE),0)</f>
        <v>3848980803.1642323</v>
      </c>
      <c r="AH1960" s="246">
        <f>IFERROR(VLOOKUP(F1960,PROGRAMAS[],3,FALSE),0)</f>
        <v>3394901471.387517</v>
      </c>
      <c r="AI1960" s="246">
        <f>IFERROR(VLOOKUP(G1960,PROGRAMAS[],3,FALSE),0)</f>
        <v>1233505101.0616004</v>
      </c>
      <c r="AJ1960" s="246">
        <f>IFERROR(VLOOKUP(H1960,PROGRAMAS[],3,FALSE),0)</f>
        <v>6129902208.7912121</v>
      </c>
      <c r="AK1960" s="246">
        <f>IFERROR(VLOOKUP(I1960,PROGRAMAS[],3,FALSE),0)</f>
        <v>4099471734.9978786</v>
      </c>
      <c r="AL1960" s="246">
        <f>IFERROR(VLOOKUP(J1960,PROGRAMAS[],3,FALSE),0)</f>
        <v>675517840.109828</v>
      </c>
      <c r="AM1960" s="246">
        <f>IFERROR(VLOOKUP(K1960,PROGRAMAS[],3,FALSE),0)</f>
        <v>2392571243.5584412</v>
      </c>
      <c r="AN1960" s="246">
        <f>IFERROR(VLOOKUP(L1960,PROGRAMAS[],3,FALSE),0)</f>
        <v>31865326.38096505</v>
      </c>
      <c r="AO1960" s="246">
        <f>IFERROR(VLOOKUP(M1960,PROGRAMAS[],3,FALSE),0)</f>
        <v>2406564599.0319901</v>
      </c>
      <c r="AP1960" s="246">
        <f>IFERROR(VLOOKUP(N1960,PROGRAMAS[],3,FALSE),0)</f>
        <v>948595847.09039903</v>
      </c>
      <c r="AQ1960" s="246">
        <f>IFERROR(VLOOKUP(O1960,PROGRAMAS[],3,FALSE),0)</f>
        <v>0</v>
      </c>
      <c r="AR1960" s="246">
        <f>IFERROR(VLOOKUP(P1960,PROGRAMAS[],3,FALSE),0)</f>
        <v>0</v>
      </c>
      <c r="AS1960" s="246">
        <f>IFERROR(VLOOKUP(Q1960,PROGRAMAS[],3,FALSE),0)</f>
        <v>0</v>
      </c>
      <c r="AT1960" s="246">
        <f>IFERROR(VLOOKUP(D1960,VOL_REC[],2,FALSE),0)</f>
        <v>0</v>
      </c>
      <c r="AU1960" s="246">
        <f>IFERROR(VLOOKUP(E1960,VOL_REC[],2,FALSE),0)</f>
        <v>0</v>
      </c>
      <c r="AV1960" s="246">
        <f>IFERROR(VLOOKUP(F1960,VOL_REC[],2,FALSE),0)</f>
        <v>11089674.200000001</v>
      </c>
      <c r="AW1960" s="246">
        <f>IFERROR(VLOOKUP(G1960,VOL_REC[],2,FALSE),0)</f>
        <v>4325103.1812214684</v>
      </c>
      <c r="AX1960" s="246">
        <f>IFERROR(VLOOKUP(H1960,VOL_REC[],2,FALSE),0)</f>
        <v>15540036.397699751</v>
      </c>
      <c r="AY1960" s="246">
        <f>IFERROR(VLOOKUP(I1960,VOL_REC[],2,FALSE),0)</f>
        <v>1812240</v>
      </c>
      <c r="AZ1960" s="246">
        <f>IFERROR(VLOOKUP(J1960,VOL_REC[],2,FALSE),0)</f>
        <v>240696.79238099116</v>
      </c>
      <c r="BA1960" s="246">
        <f>IFERROR(VLOOKUP(K1960,VOL_REC[],2,FALSE),0)</f>
        <v>663244.80000000016</v>
      </c>
      <c r="BB1960" s="246">
        <f>IFERROR(VLOOKUP(L1960,VOL_REC[],2,FALSE),0)</f>
        <v>17074.045034105649</v>
      </c>
      <c r="BC1960" s="246">
        <f>IFERROR(VLOOKUP(M1960,VOL_REC[],2,FALSE),0)</f>
        <v>1072354.9981737854</v>
      </c>
      <c r="BD1960" s="246">
        <f>IFERROR(VLOOKUP(N1960,VOL_REC[],2,FALSE),0)</f>
        <v>740113.98115702497</v>
      </c>
      <c r="BE1960" s="246">
        <f>IFERROR(VLOOKUP(O1960,VOL_REC[],2,FALSE),0)</f>
        <v>0</v>
      </c>
      <c r="BF1960" s="246">
        <f>IFERROR(VLOOKUP(P1960,VOL_REC[],2,FALSE),0)</f>
        <v>0</v>
      </c>
      <c r="BG1960" s="246">
        <f>IFERROR(VLOOKUP(Q1960,VOL_REC[],2,FALSE),0)</f>
        <v>0</v>
      </c>
      <c r="BH1960" s="1710">
        <f t="shared" si="124"/>
        <v>30340608168.956882</v>
      </c>
      <c r="BI1960" s="1710">
        <f t="shared" si="125"/>
        <v>26003764804.884869</v>
      </c>
      <c r="BJ1960" s="1711">
        <f t="shared" si="126"/>
        <v>35500538.395667128</v>
      </c>
      <c r="BK1960" s="1711">
        <f t="shared" si="127"/>
        <v>1.1667775184329205</v>
      </c>
      <c r="BL1960">
        <f t="shared" ref="BL1960:BL1965" si="132">BJ1960</f>
        <v>35500538.395667128</v>
      </c>
      <c r="BO1960">
        <f t="shared" ref="BO1960:BO1965" si="133">BL1960</f>
        <v>35500538.395667128</v>
      </c>
    </row>
    <row r="1961" spans="3:67" x14ac:dyDescent="0.25">
      <c r="C1961" s="246" t="s">
        <v>3311</v>
      </c>
      <c r="D1961" s="246">
        <v>1</v>
      </c>
      <c r="E1961" s="246">
        <v>2</v>
      </c>
      <c r="F1961" s="246">
        <v>3</v>
      </c>
      <c r="G1961" s="246">
        <v>5</v>
      </c>
      <c r="H1961" s="246">
        <v>6</v>
      </c>
      <c r="I1961" s="246">
        <v>10</v>
      </c>
      <c r="J1961" s="246">
        <v>12</v>
      </c>
      <c r="K1961" s="246">
        <v>13</v>
      </c>
      <c r="L1961" s="246">
        <v>15</v>
      </c>
      <c r="M1961" s="246">
        <v>16</v>
      </c>
      <c r="N1961" s="246">
        <v>17</v>
      </c>
      <c r="O1961" s="246"/>
      <c r="P1961" s="246"/>
      <c r="Q1961" s="246"/>
      <c r="R1961" s="246">
        <f>IFERROR(VLOOKUP(D1961,PROGRAMAS[],2,FALSE),0)</f>
        <v>97037803.679377079</v>
      </c>
      <c r="S1961" s="246">
        <f>IFERROR(VLOOKUP(E1961,PROGRAMAS[],2,FALSE),0)</f>
        <v>640501509.6821388</v>
      </c>
      <c r="T1961" s="246">
        <f>IFERROR(VLOOKUP(F1961,PROGRAMAS[],2,FALSE),0)</f>
        <v>3062327798.1525245</v>
      </c>
      <c r="U1961" s="246">
        <f>IFERROR(VLOOKUP(G1961,PROGRAMAS[],2,FALSE),0)</f>
        <v>1440941976.2528784</v>
      </c>
      <c r="V1961" s="246">
        <f>IFERROR(VLOOKUP(H1961,PROGRAMAS[],2,FALSE),0)</f>
        <v>6907648435.8447599</v>
      </c>
      <c r="W1961" s="246">
        <f>IFERROR(VLOOKUP(I1961,PROGRAMAS[],2,FALSE),0)</f>
        <v>4635315027.8751087</v>
      </c>
      <c r="X1961" s="246">
        <f>IFERROR(VLOOKUP(J1961,PROGRAMAS[],2,FALSE),0)</f>
        <v>764796700.79905891</v>
      </c>
      <c r="Y1961" s="246">
        <f>IFERROR(VLOOKUP(K1961,PROGRAMAS[],2,FALSE),0)</f>
        <v>3776538594.4604583</v>
      </c>
      <c r="Z1961" s="246">
        <f>IFERROR(VLOOKUP(L1961,PROGRAMAS[],2,FALSE),0)</f>
        <v>122159672.96346797</v>
      </c>
      <c r="AA1961" s="246">
        <f>IFERROR(VLOOKUP(M1961,PROGRAMAS[],2,FALSE),0)</f>
        <v>7068496961.0436354</v>
      </c>
      <c r="AB1961" s="246">
        <f>IFERROR(VLOOKUP(N1961,PROGRAMAS[],2,FALSE),0)</f>
        <v>1892779498.5211046</v>
      </c>
      <c r="AC1961" s="246">
        <f>IFERROR(VLOOKUP(O1961,PROGRAMAS[],2,FALSE),0)</f>
        <v>0</v>
      </c>
      <c r="AD1961" s="246">
        <f>IFERROR(VLOOKUP(P1961,PROGRAMAS[],2,FALSE),0)</f>
        <v>0</v>
      </c>
      <c r="AE1961" s="246">
        <f>IFERROR(VLOOKUP(Q1961,PROGRAMAS[],2,FALSE),0)</f>
        <v>0</v>
      </c>
      <c r="AF1961" s="246">
        <f>IFERROR(VLOOKUP(D1961,PROGRAMAS[],3,FALSE),0)</f>
        <v>841888629.31080008</v>
      </c>
      <c r="AG1961" s="246">
        <f>IFERROR(VLOOKUP(E1961,PROGRAMAS[],3,FALSE),0)</f>
        <v>3848980803.1642323</v>
      </c>
      <c r="AH1961" s="246">
        <f>IFERROR(VLOOKUP(F1961,PROGRAMAS[],3,FALSE),0)</f>
        <v>3394901471.387517</v>
      </c>
      <c r="AI1961" s="246">
        <f>IFERROR(VLOOKUP(G1961,PROGRAMAS[],3,FALSE),0)</f>
        <v>1233505101.0616004</v>
      </c>
      <c r="AJ1961" s="246">
        <f>IFERROR(VLOOKUP(H1961,PROGRAMAS[],3,FALSE),0)</f>
        <v>6129902208.7912121</v>
      </c>
      <c r="AK1961" s="246">
        <f>IFERROR(VLOOKUP(I1961,PROGRAMAS[],3,FALSE),0)</f>
        <v>4099471734.9978786</v>
      </c>
      <c r="AL1961" s="246">
        <f>IFERROR(VLOOKUP(J1961,PROGRAMAS[],3,FALSE),0)</f>
        <v>675517840.109828</v>
      </c>
      <c r="AM1961" s="246">
        <f>IFERROR(VLOOKUP(K1961,PROGRAMAS[],3,FALSE),0)</f>
        <v>2392571243.5584412</v>
      </c>
      <c r="AN1961" s="246">
        <f>IFERROR(VLOOKUP(L1961,PROGRAMAS[],3,FALSE),0)</f>
        <v>118617452.52510804</v>
      </c>
      <c r="AO1961" s="246">
        <f>IFERROR(VLOOKUP(M1961,PROGRAMAS[],3,FALSE),0)</f>
        <v>2406564599.0319901</v>
      </c>
      <c r="AP1961" s="246">
        <f>IFERROR(VLOOKUP(N1961,PROGRAMAS[],3,FALSE),0)</f>
        <v>948595847.09039903</v>
      </c>
      <c r="AQ1961" s="246">
        <f>IFERROR(VLOOKUP(O1961,PROGRAMAS[],3,FALSE),0)</f>
        <v>0</v>
      </c>
      <c r="AR1961" s="246">
        <f>IFERROR(VLOOKUP(P1961,PROGRAMAS[],3,FALSE),0)</f>
        <v>0</v>
      </c>
      <c r="AS1961" s="246">
        <f>IFERROR(VLOOKUP(Q1961,PROGRAMAS[],3,FALSE),0)</f>
        <v>0</v>
      </c>
      <c r="AT1961" s="246">
        <f>IFERROR(VLOOKUP(D1961,VOL_REC[],2,FALSE),0)</f>
        <v>0</v>
      </c>
      <c r="AU1961" s="246">
        <f>IFERROR(VLOOKUP(E1961,VOL_REC[],2,FALSE),0)</f>
        <v>0</v>
      </c>
      <c r="AV1961" s="246">
        <f>IFERROR(VLOOKUP(F1961,VOL_REC[],2,FALSE),0)</f>
        <v>11089674.200000001</v>
      </c>
      <c r="AW1961" s="246">
        <f>IFERROR(VLOOKUP(G1961,VOL_REC[],2,FALSE),0)</f>
        <v>4325103.1812214684</v>
      </c>
      <c r="AX1961" s="246">
        <f>IFERROR(VLOOKUP(H1961,VOL_REC[],2,FALSE),0)</f>
        <v>15540036.397699751</v>
      </c>
      <c r="AY1961" s="246">
        <f>IFERROR(VLOOKUP(I1961,VOL_REC[],2,FALSE),0)</f>
        <v>1812240</v>
      </c>
      <c r="AZ1961" s="246">
        <f>IFERROR(VLOOKUP(J1961,VOL_REC[],2,FALSE),0)</f>
        <v>240696.79238099116</v>
      </c>
      <c r="BA1961" s="246">
        <f>IFERROR(VLOOKUP(K1961,VOL_REC[],2,FALSE),0)</f>
        <v>663244.80000000016</v>
      </c>
      <c r="BB1961" s="246">
        <f>IFERROR(VLOOKUP(L1961,VOL_REC[],2,FALSE),0)</f>
        <v>105072</v>
      </c>
      <c r="BC1961" s="246">
        <f>IFERROR(VLOOKUP(M1961,VOL_REC[],2,FALSE),0)</f>
        <v>1072354.9981737854</v>
      </c>
      <c r="BD1961" s="246">
        <f>IFERROR(VLOOKUP(N1961,VOL_REC[],2,FALSE),0)</f>
        <v>740113.98115702497</v>
      </c>
      <c r="BE1961" s="246">
        <f>IFERROR(VLOOKUP(O1961,VOL_REC[],2,FALSE),0)</f>
        <v>0</v>
      </c>
      <c r="BF1961" s="246">
        <f>IFERROR(VLOOKUP(P1961,VOL_REC[],2,FALSE),0)</f>
        <v>0</v>
      </c>
      <c r="BG1961" s="246">
        <f>IFERROR(VLOOKUP(Q1961,VOL_REC[],2,FALSE),0)</f>
        <v>0</v>
      </c>
      <c r="BH1961" s="1710">
        <f t="shared" si="124"/>
        <v>30408543979.274509</v>
      </c>
      <c r="BI1961" s="1710">
        <f t="shared" si="125"/>
        <v>26090516931.029011</v>
      </c>
      <c r="BJ1961" s="1711">
        <f t="shared" si="126"/>
        <v>35588536.350633025</v>
      </c>
      <c r="BK1961" s="1711">
        <f t="shared" si="127"/>
        <v>1.165501782109581</v>
      </c>
      <c r="BL1961">
        <f t="shared" si="132"/>
        <v>35588536.350633025</v>
      </c>
      <c r="BO1961">
        <f t="shared" si="133"/>
        <v>35588536.350633025</v>
      </c>
    </row>
    <row r="1962" spans="3:67" x14ac:dyDescent="0.25">
      <c r="C1962" s="246" t="s">
        <v>3312</v>
      </c>
      <c r="D1962" s="246">
        <v>1</v>
      </c>
      <c r="E1962" s="246">
        <v>2</v>
      </c>
      <c r="F1962" s="246">
        <v>3</v>
      </c>
      <c r="G1962" s="246">
        <v>5</v>
      </c>
      <c r="H1962" s="246">
        <v>6</v>
      </c>
      <c r="I1962" s="246">
        <v>10</v>
      </c>
      <c r="J1962" s="246">
        <v>12</v>
      </c>
      <c r="K1962" s="246">
        <v>14</v>
      </c>
      <c r="L1962" s="246">
        <v>15</v>
      </c>
      <c r="M1962" s="246">
        <v>16</v>
      </c>
      <c r="N1962" s="246">
        <v>17</v>
      </c>
      <c r="O1962" s="246"/>
      <c r="P1962" s="246"/>
      <c r="Q1962" s="246"/>
      <c r="R1962" s="246">
        <f>IFERROR(VLOOKUP(D1962,PROGRAMAS[],2,FALSE),0)</f>
        <v>97037803.679377079</v>
      </c>
      <c r="S1962" s="246">
        <f>IFERROR(VLOOKUP(E1962,PROGRAMAS[],2,FALSE),0)</f>
        <v>640501509.6821388</v>
      </c>
      <c r="T1962" s="246">
        <f>IFERROR(VLOOKUP(F1962,PROGRAMAS[],2,FALSE),0)</f>
        <v>3062327798.1525245</v>
      </c>
      <c r="U1962" s="246">
        <f>IFERROR(VLOOKUP(G1962,PROGRAMAS[],2,FALSE),0)</f>
        <v>1440941976.2528784</v>
      </c>
      <c r="V1962" s="246">
        <f>IFERROR(VLOOKUP(H1962,PROGRAMAS[],2,FALSE),0)</f>
        <v>6907648435.8447599</v>
      </c>
      <c r="W1962" s="246">
        <f>IFERROR(VLOOKUP(I1962,PROGRAMAS[],2,FALSE),0)</f>
        <v>4635315027.8751087</v>
      </c>
      <c r="X1962" s="246">
        <f>IFERROR(VLOOKUP(J1962,PROGRAMAS[],2,FALSE),0)</f>
        <v>764796700.79905891</v>
      </c>
      <c r="Y1962" s="246">
        <f>IFERROR(VLOOKUP(K1962,PROGRAMAS[],2,FALSE),0)</f>
        <v>54223862.645839565</v>
      </c>
      <c r="Z1962" s="246">
        <f>IFERROR(VLOOKUP(L1962,PROGRAMAS[],2,FALSE),0)</f>
        <v>122159672.96346797</v>
      </c>
      <c r="AA1962" s="246">
        <f>IFERROR(VLOOKUP(M1962,PROGRAMAS[],2,FALSE),0)</f>
        <v>7068496961.0436354</v>
      </c>
      <c r="AB1962" s="246">
        <f>IFERROR(VLOOKUP(N1962,PROGRAMAS[],2,FALSE),0)</f>
        <v>1892779498.5211046</v>
      </c>
      <c r="AC1962" s="246">
        <f>IFERROR(VLOOKUP(O1962,PROGRAMAS[],2,FALSE),0)</f>
        <v>0</v>
      </c>
      <c r="AD1962" s="246">
        <f>IFERROR(VLOOKUP(P1962,PROGRAMAS[],2,FALSE),0)</f>
        <v>0</v>
      </c>
      <c r="AE1962" s="246">
        <f>IFERROR(VLOOKUP(Q1962,PROGRAMAS[],2,FALSE),0)</f>
        <v>0</v>
      </c>
      <c r="AF1962" s="246">
        <f>IFERROR(VLOOKUP(D1962,PROGRAMAS[],3,FALSE),0)</f>
        <v>841888629.31080008</v>
      </c>
      <c r="AG1962" s="246">
        <f>IFERROR(VLOOKUP(E1962,PROGRAMAS[],3,FALSE),0)</f>
        <v>3848980803.1642323</v>
      </c>
      <c r="AH1962" s="246">
        <f>IFERROR(VLOOKUP(F1962,PROGRAMAS[],3,FALSE),0)</f>
        <v>3394901471.387517</v>
      </c>
      <c r="AI1962" s="246">
        <f>IFERROR(VLOOKUP(G1962,PROGRAMAS[],3,FALSE),0)</f>
        <v>1233505101.0616004</v>
      </c>
      <c r="AJ1962" s="246">
        <f>IFERROR(VLOOKUP(H1962,PROGRAMAS[],3,FALSE),0)</f>
        <v>6129902208.7912121</v>
      </c>
      <c r="AK1962" s="246">
        <f>IFERROR(VLOOKUP(I1962,PROGRAMAS[],3,FALSE),0)</f>
        <v>4099471734.9978786</v>
      </c>
      <c r="AL1962" s="246">
        <f>IFERROR(VLOOKUP(J1962,PROGRAMAS[],3,FALSE),0)</f>
        <v>675517840.109828</v>
      </c>
      <c r="AM1962" s="246">
        <f>IFERROR(VLOOKUP(K1962,PROGRAMAS[],3,FALSE),0)</f>
        <v>31865326.38096505</v>
      </c>
      <c r="AN1962" s="246">
        <f>IFERROR(VLOOKUP(L1962,PROGRAMAS[],3,FALSE),0)</f>
        <v>118617452.52510804</v>
      </c>
      <c r="AO1962" s="246">
        <f>IFERROR(VLOOKUP(M1962,PROGRAMAS[],3,FALSE),0)</f>
        <v>2406564599.0319901</v>
      </c>
      <c r="AP1962" s="246">
        <f>IFERROR(VLOOKUP(N1962,PROGRAMAS[],3,FALSE),0)</f>
        <v>948595847.09039903</v>
      </c>
      <c r="AQ1962" s="246">
        <f>IFERROR(VLOOKUP(O1962,PROGRAMAS[],3,FALSE),0)</f>
        <v>0</v>
      </c>
      <c r="AR1962" s="246">
        <f>IFERROR(VLOOKUP(P1962,PROGRAMAS[],3,FALSE),0)</f>
        <v>0</v>
      </c>
      <c r="AS1962" s="246">
        <f>IFERROR(VLOOKUP(Q1962,PROGRAMAS[],3,FALSE),0)</f>
        <v>0</v>
      </c>
      <c r="AT1962" s="246">
        <f>IFERROR(VLOOKUP(D1962,VOL_REC[],2,FALSE),0)</f>
        <v>0</v>
      </c>
      <c r="AU1962" s="246">
        <f>IFERROR(VLOOKUP(E1962,VOL_REC[],2,FALSE),0)</f>
        <v>0</v>
      </c>
      <c r="AV1962" s="246">
        <f>IFERROR(VLOOKUP(F1962,VOL_REC[],2,FALSE),0)</f>
        <v>11089674.200000001</v>
      </c>
      <c r="AW1962" s="246">
        <f>IFERROR(VLOOKUP(G1962,VOL_REC[],2,FALSE),0)</f>
        <v>4325103.1812214684</v>
      </c>
      <c r="AX1962" s="246">
        <f>IFERROR(VLOOKUP(H1962,VOL_REC[],2,FALSE),0)</f>
        <v>15540036.397699751</v>
      </c>
      <c r="AY1962" s="246">
        <f>IFERROR(VLOOKUP(I1962,VOL_REC[],2,FALSE),0)</f>
        <v>1812240</v>
      </c>
      <c r="AZ1962" s="246">
        <f>IFERROR(VLOOKUP(J1962,VOL_REC[],2,FALSE),0)</f>
        <v>240696.79238099116</v>
      </c>
      <c r="BA1962" s="246">
        <f>IFERROR(VLOOKUP(K1962,VOL_REC[],2,FALSE),0)</f>
        <v>17074.045034105649</v>
      </c>
      <c r="BB1962" s="246">
        <f>IFERROR(VLOOKUP(L1962,VOL_REC[],2,FALSE),0)</f>
        <v>105072</v>
      </c>
      <c r="BC1962" s="246">
        <f>IFERROR(VLOOKUP(M1962,VOL_REC[],2,FALSE),0)</f>
        <v>1072354.9981737854</v>
      </c>
      <c r="BD1962" s="246">
        <f>IFERROR(VLOOKUP(N1962,VOL_REC[],2,FALSE),0)</f>
        <v>740113.98115702497</v>
      </c>
      <c r="BE1962" s="246">
        <f>IFERROR(VLOOKUP(O1962,VOL_REC[],2,FALSE),0)</f>
        <v>0</v>
      </c>
      <c r="BF1962" s="246">
        <f>IFERROR(VLOOKUP(P1962,VOL_REC[],2,FALSE),0)</f>
        <v>0</v>
      </c>
      <c r="BG1962" s="246">
        <f>IFERROR(VLOOKUP(Q1962,VOL_REC[],2,FALSE),0)</f>
        <v>0</v>
      </c>
      <c r="BH1962" s="1710">
        <f t="shared" si="124"/>
        <v>26686229247.459892</v>
      </c>
      <c r="BI1962" s="1710">
        <f t="shared" si="125"/>
        <v>23729811013.851536</v>
      </c>
      <c r="BJ1962" s="1711">
        <f t="shared" si="126"/>
        <v>34942365.595667131</v>
      </c>
      <c r="BK1962" s="1711">
        <f t="shared" si="127"/>
        <v>1.1245866741999184</v>
      </c>
      <c r="BL1962">
        <f t="shared" si="132"/>
        <v>34942365.595667131</v>
      </c>
      <c r="BO1962">
        <f t="shared" si="133"/>
        <v>34942365.595667131</v>
      </c>
    </row>
    <row r="1963" spans="3:67" x14ac:dyDescent="0.25">
      <c r="C1963" s="246" t="s">
        <v>3313</v>
      </c>
      <c r="D1963" s="246">
        <v>1</v>
      </c>
      <c r="E1963" s="246">
        <v>2</v>
      </c>
      <c r="F1963" s="246">
        <v>3</v>
      </c>
      <c r="G1963" s="246">
        <v>5</v>
      </c>
      <c r="H1963" s="246">
        <v>6</v>
      </c>
      <c r="I1963" s="246">
        <v>10</v>
      </c>
      <c r="J1963" s="246">
        <v>13</v>
      </c>
      <c r="K1963" s="246">
        <v>14</v>
      </c>
      <c r="L1963" s="246">
        <v>15</v>
      </c>
      <c r="M1963" s="246">
        <v>16</v>
      </c>
      <c r="N1963" s="246">
        <v>17</v>
      </c>
      <c r="O1963" s="246"/>
      <c r="P1963" s="246"/>
      <c r="Q1963" s="246"/>
      <c r="R1963" s="246">
        <f>IFERROR(VLOOKUP(D1963,PROGRAMAS[],2,FALSE),0)</f>
        <v>97037803.679377079</v>
      </c>
      <c r="S1963" s="246">
        <f>IFERROR(VLOOKUP(E1963,PROGRAMAS[],2,FALSE),0)</f>
        <v>640501509.6821388</v>
      </c>
      <c r="T1963" s="246">
        <f>IFERROR(VLOOKUP(F1963,PROGRAMAS[],2,FALSE),0)</f>
        <v>3062327798.1525245</v>
      </c>
      <c r="U1963" s="246">
        <f>IFERROR(VLOOKUP(G1963,PROGRAMAS[],2,FALSE),0)</f>
        <v>1440941976.2528784</v>
      </c>
      <c r="V1963" s="246">
        <f>IFERROR(VLOOKUP(H1963,PROGRAMAS[],2,FALSE),0)</f>
        <v>6907648435.8447599</v>
      </c>
      <c r="W1963" s="246">
        <f>IFERROR(VLOOKUP(I1963,PROGRAMAS[],2,FALSE),0)</f>
        <v>4635315027.8751087</v>
      </c>
      <c r="X1963" s="246">
        <f>IFERROR(VLOOKUP(J1963,PROGRAMAS[],2,FALSE),0)</f>
        <v>3776538594.4604583</v>
      </c>
      <c r="Y1963" s="246">
        <f>IFERROR(VLOOKUP(K1963,PROGRAMAS[],2,FALSE),0)</f>
        <v>54223862.645839565</v>
      </c>
      <c r="Z1963" s="246">
        <f>IFERROR(VLOOKUP(L1963,PROGRAMAS[],2,FALSE),0)</f>
        <v>122159672.96346797</v>
      </c>
      <c r="AA1963" s="246">
        <f>IFERROR(VLOOKUP(M1963,PROGRAMAS[],2,FALSE),0)</f>
        <v>7068496961.0436354</v>
      </c>
      <c r="AB1963" s="246">
        <f>IFERROR(VLOOKUP(N1963,PROGRAMAS[],2,FALSE),0)</f>
        <v>1892779498.5211046</v>
      </c>
      <c r="AC1963" s="246">
        <f>IFERROR(VLOOKUP(O1963,PROGRAMAS[],2,FALSE),0)</f>
        <v>0</v>
      </c>
      <c r="AD1963" s="246">
        <f>IFERROR(VLOOKUP(P1963,PROGRAMAS[],2,FALSE),0)</f>
        <v>0</v>
      </c>
      <c r="AE1963" s="246">
        <f>IFERROR(VLOOKUP(Q1963,PROGRAMAS[],2,FALSE),0)</f>
        <v>0</v>
      </c>
      <c r="AF1963" s="246">
        <f>IFERROR(VLOOKUP(D1963,PROGRAMAS[],3,FALSE),0)</f>
        <v>841888629.31080008</v>
      </c>
      <c r="AG1963" s="246">
        <f>IFERROR(VLOOKUP(E1963,PROGRAMAS[],3,FALSE),0)</f>
        <v>3848980803.1642323</v>
      </c>
      <c r="AH1963" s="246">
        <f>IFERROR(VLOOKUP(F1963,PROGRAMAS[],3,FALSE),0)</f>
        <v>3394901471.387517</v>
      </c>
      <c r="AI1963" s="246">
        <f>IFERROR(VLOOKUP(G1963,PROGRAMAS[],3,FALSE),0)</f>
        <v>1233505101.0616004</v>
      </c>
      <c r="AJ1963" s="246">
        <f>IFERROR(VLOOKUP(H1963,PROGRAMAS[],3,FALSE),0)</f>
        <v>6129902208.7912121</v>
      </c>
      <c r="AK1963" s="246">
        <f>IFERROR(VLOOKUP(I1963,PROGRAMAS[],3,FALSE),0)</f>
        <v>4099471734.9978786</v>
      </c>
      <c r="AL1963" s="246">
        <f>IFERROR(VLOOKUP(J1963,PROGRAMAS[],3,FALSE),0)</f>
        <v>2392571243.5584412</v>
      </c>
      <c r="AM1963" s="246">
        <f>IFERROR(VLOOKUP(K1963,PROGRAMAS[],3,FALSE),0)</f>
        <v>31865326.38096505</v>
      </c>
      <c r="AN1963" s="246">
        <f>IFERROR(VLOOKUP(L1963,PROGRAMAS[],3,FALSE),0)</f>
        <v>118617452.52510804</v>
      </c>
      <c r="AO1963" s="246">
        <f>IFERROR(VLOOKUP(M1963,PROGRAMAS[],3,FALSE),0)</f>
        <v>2406564599.0319901</v>
      </c>
      <c r="AP1963" s="246">
        <f>IFERROR(VLOOKUP(N1963,PROGRAMAS[],3,FALSE),0)</f>
        <v>948595847.09039903</v>
      </c>
      <c r="AQ1963" s="246">
        <f>IFERROR(VLOOKUP(O1963,PROGRAMAS[],3,FALSE),0)</f>
        <v>0</v>
      </c>
      <c r="AR1963" s="246">
        <f>IFERROR(VLOOKUP(P1963,PROGRAMAS[],3,FALSE),0)</f>
        <v>0</v>
      </c>
      <c r="AS1963" s="246">
        <f>IFERROR(VLOOKUP(Q1963,PROGRAMAS[],3,FALSE),0)</f>
        <v>0</v>
      </c>
      <c r="AT1963" s="246">
        <f>IFERROR(VLOOKUP(D1963,VOL_REC[],2,FALSE),0)</f>
        <v>0</v>
      </c>
      <c r="AU1963" s="246">
        <f>IFERROR(VLOOKUP(E1963,VOL_REC[],2,FALSE),0)</f>
        <v>0</v>
      </c>
      <c r="AV1963" s="246">
        <f>IFERROR(VLOOKUP(F1963,VOL_REC[],2,FALSE),0)</f>
        <v>11089674.200000001</v>
      </c>
      <c r="AW1963" s="246">
        <f>IFERROR(VLOOKUP(G1963,VOL_REC[],2,FALSE),0)</f>
        <v>4325103.1812214684</v>
      </c>
      <c r="AX1963" s="246">
        <f>IFERROR(VLOOKUP(H1963,VOL_REC[],2,FALSE),0)</f>
        <v>15540036.397699751</v>
      </c>
      <c r="AY1963" s="246">
        <f>IFERROR(VLOOKUP(I1963,VOL_REC[],2,FALSE),0)</f>
        <v>1812240</v>
      </c>
      <c r="AZ1963" s="246">
        <f>IFERROR(VLOOKUP(J1963,VOL_REC[],2,FALSE),0)</f>
        <v>663244.80000000016</v>
      </c>
      <c r="BA1963" s="246">
        <f>IFERROR(VLOOKUP(K1963,VOL_REC[],2,FALSE),0)</f>
        <v>17074.045034105649</v>
      </c>
      <c r="BB1963" s="246">
        <f>IFERROR(VLOOKUP(L1963,VOL_REC[],2,FALSE),0)</f>
        <v>105072</v>
      </c>
      <c r="BC1963" s="246">
        <f>IFERROR(VLOOKUP(M1963,VOL_REC[],2,FALSE),0)</f>
        <v>1072354.9981737854</v>
      </c>
      <c r="BD1963" s="246">
        <f>IFERROR(VLOOKUP(N1963,VOL_REC[],2,FALSE),0)</f>
        <v>740113.98115702497</v>
      </c>
      <c r="BE1963" s="246">
        <f>IFERROR(VLOOKUP(O1963,VOL_REC[],2,FALSE),0)</f>
        <v>0</v>
      </c>
      <c r="BF1963" s="246">
        <f>IFERROR(VLOOKUP(P1963,VOL_REC[],2,FALSE),0)</f>
        <v>0</v>
      </c>
      <c r="BG1963" s="246">
        <f>IFERROR(VLOOKUP(Q1963,VOL_REC[],2,FALSE),0)</f>
        <v>0</v>
      </c>
      <c r="BH1963" s="1710">
        <f t="shared" si="124"/>
        <v>29697971141.121292</v>
      </c>
      <c r="BI1963" s="1710">
        <f t="shared" si="125"/>
        <v>25446864417.300148</v>
      </c>
      <c r="BJ1963" s="1711">
        <f t="shared" si="126"/>
        <v>35364913.60328614</v>
      </c>
      <c r="BK1963" s="1711">
        <f t="shared" si="127"/>
        <v>1.1670581747954383</v>
      </c>
      <c r="BL1963">
        <f t="shared" si="132"/>
        <v>35364913.60328614</v>
      </c>
      <c r="BO1963">
        <f t="shared" si="133"/>
        <v>35364913.60328614</v>
      </c>
    </row>
    <row r="1964" spans="3:67" x14ac:dyDescent="0.25">
      <c r="C1964" s="246" t="s">
        <v>3314</v>
      </c>
      <c r="D1964" s="246">
        <v>1</v>
      </c>
      <c r="E1964" s="246">
        <v>2</v>
      </c>
      <c r="F1964" s="246">
        <v>3</v>
      </c>
      <c r="G1964" s="246">
        <v>5</v>
      </c>
      <c r="H1964" s="246">
        <v>6</v>
      </c>
      <c r="I1964" s="246">
        <v>12</v>
      </c>
      <c r="J1964" s="246">
        <v>13</v>
      </c>
      <c r="K1964" s="246">
        <v>14</v>
      </c>
      <c r="L1964" s="246">
        <v>15</v>
      </c>
      <c r="M1964" s="246">
        <v>16</v>
      </c>
      <c r="N1964" s="246">
        <v>17</v>
      </c>
      <c r="O1964" s="246"/>
      <c r="P1964" s="246"/>
      <c r="Q1964" s="246"/>
      <c r="R1964" s="246">
        <f>IFERROR(VLOOKUP(D1964,PROGRAMAS[],2,FALSE),0)</f>
        <v>97037803.679377079</v>
      </c>
      <c r="S1964" s="246">
        <f>IFERROR(VLOOKUP(E1964,PROGRAMAS[],2,FALSE),0)</f>
        <v>640501509.6821388</v>
      </c>
      <c r="T1964" s="246">
        <f>IFERROR(VLOOKUP(F1964,PROGRAMAS[],2,FALSE),0)</f>
        <v>3062327798.1525245</v>
      </c>
      <c r="U1964" s="246">
        <f>IFERROR(VLOOKUP(G1964,PROGRAMAS[],2,FALSE),0)</f>
        <v>1440941976.2528784</v>
      </c>
      <c r="V1964" s="246">
        <f>IFERROR(VLOOKUP(H1964,PROGRAMAS[],2,FALSE),0)</f>
        <v>6907648435.8447599</v>
      </c>
      <c r="W1964" s="246">
        <f>IFERROR(VLOOKUP(I1964,PROGRAMAS[],2,FALSE),0)</f>
        <v>764796700.79905891</v>
      </c>
      <c r="X1964" s="246">
        <f>IFERROR(VLOOKUP(J1964,PROGRAMAS[],2,FALSE),0)</f>
        <v>3776538594.4604583</v>
      </c>
      <c r="Y1964" s="246">
        <f>IFERROR(VLOOKUP(K1964,PROGRAMAS[],2,FALSE),0)</f>
        <v>54223862.645839565</v>
      </c>
      <c r="Z1964" s="246">
        <f>IFERROR(VLOOKUP(L1964,PROGRAMAS[],2,FALSE),0)</f>
        <v>122159672.96346797</v>
      </c>
      <c r="AA1964" s="246">
        <f>IFERROR(VLOOKUP(M1964,PROGRAMAS[],2,FALSE),0)</f>
        <v>7068496961.0436354</v>
      </c>
      <c r="AB1964" s="246">
        <f>IFERROR(VLOOKUP(N1964,PROGRAMAS[],2,FALSE),0)</f>
        <v>1892779498.5211046</v>
      </c>
      <c r="AC1964" s="246">
        <f>IFERROR(VLOOKUP(O1964,PROGRAMAS[],2,FALSE),0)</f>
        <v>0</v>
      </c>
      <c r="AD1964" s="246">
        <f>IFERROR(VLOOKUP(P1964,PROGRAMAS[],2,FALSE),0)</f>
        <v>0</v>
      </c>
      <c r="AE1964" s="246">
        <f>IFERROR(VLOOKUP(Q1964,PROGRAMAS[],2,FALSE),0)</f>
        <v>0</v>
      </c>
      <c r="AF1964" s="246">
        <f>IFERROR(VLOOKUP(D1964,PROGRAMAS[],3,FALSE),0)</f>
        <v>841888629.31080008</v>
      </c>
      <c r="AG1964" s="246">
        <f>IFERROR(VLOOKUP(E1964,PROGRAMAS[],3,FALSE),0)</f>
        <v>3848980803.1642323</v>
      </c>
      <c r="AH1964" s="246">
        <f>IFERROR(VLOOKUP(F1964,PROGRAMAS[],3,FALSE),0)</f>
        <v>3394901471.387517</v>
      </c>
      <c r="AI1964" s="246">
        <f>IFERROR(VLOOKUP(G1964,PROGRAMAS[],3,FALSE),0)</f>
        <v>1233505101.0616004</v>
      </c>
      <c r="AJ1964" s="246">
        <f>IFERROR(VLOOKUP(H1964,PROGRAMAS[],3,FALSE),0)</f>
        <v>6129902208.7912121</v>
      </c>
      <c r="AK1964" s="246">
        <f>IFERROR(VLOOKUP(I1964,PROGRAMAS[],3,FALSE),0)</f>
        <v>675517840.109828</v>
      </c>
      <c r="AL1964" s="246">
        <f>IFERROR(VLOOKUP(J1964,PROGRAMAS[],3,FALSE),0)</f>
        <v>2392571243.5584412</v>
      </c>
      <c r="AM1964" s="246">
        <f>IFERROR(VLOOKUP(K1964,PROGRAMAS[],3,FALSE),0)</f>
        <v>31865326.38096505</v>
      </c>
      <c r="AN1964" s="246">
        <f>IFERROR(VLOOKUP(L1964,PROGRAMAS[],3,FALSE),0)</f>
        <v>118617452.52510804</v>
      </c>
      <c r="AO1964" s="246">
        <f>IFERROR(VLOOKUP(M1964,PROGRAMAS[],3,FALSE),0)</f>
        <v>2406564599.0319901</v>
      </c>
      <c r="AP1964" s="246">
        <f>IFERROR(VLOOKUP(N1964,PROGRAMAS[],3,FALSE),0)</f>
        <v>948595847.09039903</v>
      </c>
      <c r="AQ1964" s="246">
        <f>IFERROR(VLOOKUP(O1964,PROGRAMAS[],3,FALSE),0)</f>
        <v>0</v>
      </c>
      <c r="AR1964" s="246">
        <f>IFERROR(VLOOKUP(P1964,PROGRAMAS[],3,FALSE),0)</f>
        <v>0</v>
      </c>
      <c r="AS1964" s="246">
        <f>IFERROR(VLOOKUP(Q1964,PROGRAMAS[],3,FALSE),0)</f>
        <v>0</v>
      </c>
      <c r="AT1964" s="246">
        <f>IFERROR(VLOOKUP(D1964,VOL_REC[],2,FALSE),0)</f>
        <v>0</v>
      </c>
      <c r="AU1964" s="246">
        <f>IFERROR(VLOOKUP(E1964,VOL_REC[],2,FALSE),0)</f>
        <v>0</v>
      </c>
      <c r="AV1964" s="246">
        <f>IFERROR(VLOOKUP(F1964,VOL_REC[],2,FALSE),0)</f>
        <v>11089674.200000001</v>
      </c>
      <c r="AW1964" s="246">
        <f>IFERROR(VLOOKUP(G1964,VOL_REC[],2,FALSE),0)</f>
        <v>4325103.1812214684</v>
      </c>
      <c r="AX1964" s="246">
        <f>IFERROR(VLOOKUP(H1964,VOL_REC[],2,FALSE),0)</f>
        <v>15540036.397699751</v>
      </c>
      <c r="AY1964" s="246">
        <f>IFERROR(VLOOKUP(I1964,VOL_REC[],2,FALSE),0)</f>
        <v>240696.79238099116</v>
      </c>
      <c r="AZ1964" s="246">
        <f>IFERROR(VLOOKUP(J1964,VOL_REC[],2,FALSE),0)</f>
        <v>663244.80000000016</v>
      </c>
      <c r="BA1964" s="246">
        <f>IFERROR(VLOOKUP(K1964,VOL_REC[],2,FALSE),0)</f>
        <v>17074.045034105649</v>
      </c>
      <c r="BB1964" s="246">
        <f>IFERROR(VLOOKUP(L1964,VOL_REC[],2,FALSE),0)</f>
        <v>105072</v>
      </c>
      <c r="BC1964" s="246">
        <f>IFERROR(VLOOKUP(M1964,VOL_REC[],2,FALSE),0)</f>
        <v>1072354.9981737854</v>
      </c>
      <c r="BD1964" s="246">
        <f>IFERROR(VLOOKUP(N1964,VOL_REC[],2,FALSE),0)</f>
        <v>740113.98115702497</v>
      </c>
      <c r="BE1964" s="246">
        <f>IFERROR(VLOOKUP(O1964,VOL_REC[],2,FALSE),0)</f>
        <v>0</v>
      </c>
      <c r="BF1964" s="246">
        <f>IFERROR(VLOOKUP(P1964,VOL_REC[],2,FALSE),0)</f>
        <v>0</v>
      </c>
      <c r="BG1964" s="246">
        <f>IFERROR(VLOOKUP(Q1964,VOL_REC[],2,FALSE),0)</f>
        <v>0</v>
      </c>
      <c r="BH1964" s="1710">
        <f t="shared" si="124"/>
        <v>25827452814.045242</v>
      </c>
      <c r="BI1964" s="1710">
        <f t="shared" si="125"/>
        <v>22022910522.412098</v>
      </c>
      <c r="BJ1964" s="1711">
        <f t="shared" si="126"/>
        <v>33793370.395667128</v>
      </c>
      <c r="BK1964" s="1711">
        <f t="shared" si="127"/>
        <v>1.1727538368628148</v>
      </c>
      <c r="BL1964">
        <f t="shared" si="132"/>
        <v>33793370.395667128</v>
      </c>
      <c r="BO1964">
        <f t="shared" si="133"/>
        <v>33793370.395667128</v>
      </c>
    </row>
    <row r="1965" spans="3:67" x14ac:dyDescent="0.25">
      <c r="C1965" s="246" t="s">
        <v>3315</v>
      </c>
      <c r="D1965" s="246">
        <v>1</v>
      </c>
      <c r="E1965" s="246">
        <v>2</v>
      </c>
      <c r="F1965" s="246">
        <v>3</v>
      </c>
      <c r="G1965" s="246">
        <v>5</v>
      </c>
      <c r="H1965" s="246">
        <v>9</v>
      </c>
      <c r="I1965" s="246">
        <v>10</v>
      </c>
      <c r="J1965" s="246">
        <v>12</v>
      </c>
      <c r="K1965" s="246">
        <v>13</v>
      </c>
      <c r="L1965" s="246">
        <v>14</v>
      </c>
      <c r="M1965" s="246">
        <v>15</v>
      </c>
      <c r="N1965" s="246">
        <v>16</v>
      </c>
      <c r="O1965" s="246"/>
      <c r="P1965" s="246"/>
      <c r="Q1965" s="246"/>
      <c r="R1965" s="246">
        <f>IFERROR(VLOOKUP(D1965,PROGRAMAS[],2,FALSE),0)</f>
        <v>97037803.679377079</v>
      </c>
      <c r="S1965" s="246">
        <f>IFERROR(VLOOKUP(E1965,PROGRAMAS[],2,FALSE),0)</f>
        <v>640501509.6821388</v>
      </c>
      <c r="T1965" s="246">
        <f>IFERROR(VLOOKUP(F1965,PROGRAMAS[],2,FALSE),0)</f>
        <v>3062327798.1525245</v>
      </c>
      <c r="U1965" s="246">
        <f>IFERROR(VLOOKUP(G1965,PROGRAMAS[],2,FALSE),0)</f>
        <v>1440941976.2528784</v>
      </c>
      <c r="V1965" s="246">
        <f>IFERROR(VLOOKUP(H1965,PROGRAMAS[],2,FALSE),0)</f>
        <v>6128579952.1618185</v>
      </c>
      <c r="W1965" s="246">
        <f>IFERROR(VLOOKUP(I1965,PROGRAMAS[],2,FALSE),0)</f>
        <v>4635315027.8751087</v>
      </c>
      <c r="X1965" s="246">
        <f>IFERROR(VLOOKUP(J1965,PROGRAMAS[],2,FALSE),0)</f>
        <v>764796700.79905891</v>
      </c>
      <c r="Y1965" s="246">
        <f>IFERROR(VLOOKUP(K1965,PROGRAMAS[],2,FALSE),0)</f>
        <v>3776538594.4604583</v>
      </c>
      <c r="Z1965" s="246">
        <f>IFERROR(VLOOKUP(L1965,PROGRAMAS[],2,FALSE),0)</f>
        <v>54223862.645839565</v>
      </c>
      <c r="AA1965" s="246">
        <f>IFERROR(VLOOKUP(M1965,PROGRAMAS[],2,FALSE),0)</f>
        <v>122159672.96346797</v>
      </c>
      <c r="AB1965" s="246">
        <f>IFERROR(VLOOKUP(N1965,PROGRAMAS[],2,FALSE),0)</f>
        <v>7068496961.0436354</v>
      </c>
      <c r="AC1965" s="246">
        <f>IFERROR(VLOOKUP(O1965,PROGRAMAS[],2,FALSE),0)</f>
        <v>0</v>
      </c>
      <c r="AD1965" s="246">
        <f>IFERROR(VLOOKUP(P1965,PROGRAMAS[],2,FALSE),0)</f>
        <v>0</v>
      </c>
      <c r="AE1965" s="246">
        <f>IFERROR(VLOOKUP(Q1965,PROGRAMAS[],2,FALSE),0)</f>
        <v>0</v>
      </c>
      <c r="AF1965" s="246">
        <f>IFERROR(VLOOKUP(D1965,PROGRAMAS[],3,FALSE),0)</f>
        <v>841888629.31080008</v>
      </c>
      <c r="AG1965" s="246">
        <f>IFERROR(VLOOKUP(E1965,PROGRAMAS[],3,FALSE),0)</f>
        <v>3848980803.1642323</v>
      </c>
      <c r="AH1965" s="246">
        <f>IFERROR(VLOOKUP(F1965,PROGRAMAS[],3,FALSE),0)</f>
        <v>3394901471.387517</v>
      </c>
      <c r="AI1965" s="246">
        <f>IFERROR(VLOOKUP(G1965,PROGRAMAS[],3,FALSE),0)</f>
        <v>1233505101.0616004</v>
      </c>
      <c r="AJ1965" s="246">
        <f>IFERROR(VLOOKUP(H1965,PROGRAMAS[],3,FALSE),0)</f>
        <v>7011279577.519702</v>
      </c>
      <c r="AK1965" s="246">
        <f>IFERROR(VLOOKUP(I1965,PROGRAMAS[],3,FALSE),0)</f>
        <v>4099471734.9978786</v>
      </c>
      <c r="AL1965" s="246">
        <f>IFERROR(VLOOKUP(J1965,PROGRAMAS[],3,FALSE),0)</f>
        <v>675517840.109828</v>
      </c>
      <c r="AM1965" s="246">
        <f>IFERROR(VLOOKUP(K1965,PROGRAMAS[],3,FALSE),0)</f>
        <v>2392571243.5584412</v>
      </c>
      <c r="AN1965" s="246">
        <f>IFERROR(VLOOKUP(L1965,PROGRAMAS[],3,FALSE),0)</f>
        <v>31865326.38096505</v>
      </c>
      <c r="AO1965" s="246">
        <f>IFERROR(VLOOKUP(M1965,PROGRAMAS[],3,FALSE),0)</f>
        <v>118617452.52510804</v>
      </c>
      <c r="AP1965" s="246">
        <f>IFERROR(VLOOKUP(N1965,PROGRAMAS[],3,FALSE),0)</f>
        <v>2406564599.0319901</v>
      </c>
      <c r="AQ1965" s="246">
        <f>IFERROR(VLOOKUP(O1965,PROGRAMAS[],3,FALSE),0)</f>
        <v>0</v>
      </c>
      <c r="AR1965" s="246">
        <f>IFERROR(VLOOKUP(P1965,PROGRAMAS[],3,FALSE),0)</f>
        <v>0</v>
      </c>
      <c r="AS1965" s="246">
        <f>IFERROR(VLOOKUP(Q1965,PROGRAMAS[],3,FALSE),0)</f>
        <v>0</v>
      </c>
      <c r="AT1965" s="246">
        <f>IFERROR(VLOOKUP(D1965,VOL_REC[],2,FALSE),0)</f>
        <v>0</v>
      </c>
      <c r="AU1965" s="246">
        <f>IFERROR(VLOOKUP(E1965,VOL_REC[],2,FALSE),0)</f>
        <v>0</v>
      </c>
      <c r="AV1965" s="246">
        <f>IFERROR(VLOOKUP(F1965,VOL_REC[],2,FALSE),0)</f>
        <v>11089674.200000001</v>
      </c>
      <c r="AW1965" s="246">
        <f>IFERROR(VLOOKUP(G1965,VOL_REC[],2,FALSE),0)</f>
        <v>4325103.1812214684</v>
      </c>
      <c r="AX1965" s="246">
        <f>IFERROR(VLOOKUP(H1965,VOL_REC[],2,FALSE),0)</f>
        <v>3761786</v>
      </c>
      <c r="AY1965" s="246">
        <f>IFERROR(VLOOKUP(I1965,VOL_REC[],2,FALSE),0)</f>
        <v>1812240</v>
      </c>
      <c r="AZ1965" s="246">
        <f>IFERROR(VLOOKUP(J1965,VOL_REC[],2,FALSE),0)</f>
        <v>240696.79238099116</v>
      </c>
      <c r="BA1965" s="246">
        <f>IFERROR(VLOOKUP(K1965,VOL_REC[],2,FALSE),0)</f>
        <v>663244.80000000016</v>
      </c>
      <c r="BB1965" s="246">
        <f>IFERROR(VLOOKUP(L1965,VOL_REC[],2,FALSE),0)</f>
        <v>17074.045034105649</v>
      </c>
      <c r="BC1965" s="246">
        <f>IFERROR(VLOOKUP(M1965,VOL_REC[],2,FALSE),0)</f>
        <v>105072</v>
      </c>
      <c r="BD1965" s="246">
        <f>IFERROR(VLOOKUP(N1965,VOL_REC[],2,FALSE),0)</f>
        <v>1072354.9981737854</v>
      </c>
      <c r="BE1965" s="246">
        <f>IFERROR(VLOOKUP(O1965,VOL_REC[],2,FALSE),0)</f>
        <v>0</v>
      </c>
      <c r="BF1965" s="246">
        <f>IFERROR(VLOOKUP(P1965,VOL_REC[],2,FALSE),0)</f>
        <v>0</v>
      </c>
      <c r="BG1965" s="246">
        <f>IFERROR(VLOOKUP(Q1965,VOL_REC[],2,FALSE),0)</f>
        <v>0</v>
      </c>
      <c r="BH1965" s="1710">
        <f t="shared" si="124"/>
        <v>27790919859.716305</v>
      </c>
      <c r="BI1965" s="1710">
        <f t="shared" si="125"/>
        <v>26055163779.048065</v>
      </c>
      <c r="BJ1965" s="1711">
        <f t="shared" si="126"/>
        <v>23087246.016810354</v>
      </c>
      <c r="BK1965" s="1711">
        <f t="shared" si="127"/>
        <v>1.0666185058511906</v>
      </c>
      <c r="BL1965">
        <f t="shared" si="132"/>
        <v>23087246.016810354</v>
      </c>
      <c r="BO1965">
        <f t="shared" si="133"/>
        <v>23087246.016810354</v>
      </c>
    </row>
    <row r="1966" spans="3:67" x14ac:dyDescent="0.25">
      <c r="C1966" s="246" t="s">
        <v>3316</v>
      </c>
      <c r="D1966" s="246">
        <v>1</v>
      </c>
      <c r="E1966" s="246">
        <v>2</v>
      </c>
      <c r="F1966" s="246">
        <v>3</v>
      </c>
      <c r="G1966" s="246">
        <v>5</v>
      </c>
      <c r="H1966" s="246">
        <v>9</v>
      </c>
      <c r="I1966" s="246">
        <v>10</v>
      </c>
      <c r="J1966" s="246">
        <v>12</v>
      </c>
      <c r="K1966" s="246">
        <v>13</v>
      </c>
      <c r="L1966" s="246">
        <v>14</v>
      </c>
      <c r="M1966" s="246">
        <v>15</v>
      </c>
      <c r="N1966" s="246">
        <v>17</v>
      </c>
      <c r="O1966" s="246"/>
      <c r="P1966" s="246"/>
      <c r="Q1966" s="246"/>
      <c r="R1966" s="246">
        <f>IFERROR(VLOOKUP(D1966,PROGRAMAS[],2,FALSE),0)</f>
        <v>97037803.679377079</v>
      </c>
      <c r="S1966" s="246">
        <f>IFERROR(VLOOKUP(E1966,PROGRAMAS[],2,FALSE),0)</f>
        <v>640501509.6821388</v>
      </c>
      <c r="T1966" s="246">
        <f>IFERROR(VLOOKUP(F1966,PROGRAMAS[],2,FALSE),0)</f>
        <v>3062327798.1525245</v>
      </c>
      <c r="U1966" s="246">
        <f>IFERROR(VLOOKUP(G1966,PROGRAMAS[],2,FALSE),0)</f>
        <v>1440941976.2528784</v>
      </c>
      <c r="V1966" s="246">
        <f>IFERROR(VLOOKUP(H1966,PROGRAMAS[],2,FALSE),0)</f>
        <v>6128579952.1618185</v>
      </c>
      <c r="W1966" s="246">
        <f>IFERROR(VLOOKUP(I1966,PROGRAMAS[],2,FALSE),0)</f>
        <v>4635315027.8751087</v>
      </c>
      <c r="X1966" s="246">
        <f>IFERROR(VLOOKUP(J1966,PROGRAMAS[],2,FALSE),0)</f>
        <v>764796700.79905891</v>
      </c>
      <c r="Y1966" s="246">
        <f>IFERROR(VLOOKUP(K1966,PROGRAMAS[],2,FALSE),0)</f>
        <v>3776538594.4604583</v>
      </c>
      <c r="Z1966" s="246">
        <f>IFERROR(VLOOKUP(L1966,PROGRAMAS[],2,FALSE),0)</f>
        <v>54223862.645839565</v>
      </c>
      <c r="AA1966" s="246">
        <f>IFERROR(VLOOKUP(M1966,PROGRAMAS[],2,FALSE),0)</f>
        <v>122159672.96346797</v>
      </c>
      <c r="AB1966" s="246">
        <f>IFERROR(VLOOKUP(N1966,PROGRAMAS[],2,FALSE),0)</f>
        <v>1892779498.5211046</v>
      </c>
      <c r="AC1966" s="246">
        <f>IFERROR(VLOOKUP(O1966,PROGRAMAS[],2,FALSE),0)</f>
        <v>0</v>
      </c>
      <c r="AD1966" s="246">
        <f>IFERROR(VLOOKUP(P1966,PROGRAMAS[],2,FALSE),0)</f>
        <v>0</v>
      </c>
      <c r="AE1966" s="246">
        <f>IFERROR(VLOOKUP(Q1966,PROGRAMAS[],2,FALSE),0)</f>
        <v>0</v>
      </c>
      <c r="AF1966" s="246">
        <f>IFERROR(VLOOKUP(D1966,PROGRAMAS[],3,FALSE),0)</f>
        <v>841888629.31080008</v>
      </c>
      <c r="AG1966" s="246">
        <f>IFERROR(VLOOKUP(E1966,PROGRAMAS[],3,FALSE),0)</f>
        <v>3848980803.1642323</v>
      </c>
      <c r="AH1966" s="246">
        <f>IFERROR(VLOOKUP(F1966,PROGRAMAS[],3,FALSE),0)</f>
        <v>3394901471.387517</v>
      </c>
      <c r="AI1966" s="246">
        <f>IFERROR(VLOOKUP(G1966,PROGRAMAS[],3,FALSE),0)</f>
        <v>1233505101.0616004</v>
      </c>
      <c r="AJ1966" s="246">
        <f>IFERROR(VLOOKUP(H1966,PROGRAMAS[],3,FALSE),0)</f>
        <v>7011279577.519702</v>
      </c>
      <c r="AK1966" s="246">
        <f>IFERROR(VLOOKUP(I1966,PROGRAMAS[],3,FALSE),0)</f>
        <v>4099471734.9978786</v>
      </c>
      <c r="AL1966" s="246">
        <f>IFERROR(VLOOKUP(J1966,PROGRAMAS[],3,FALSE),0)</f>
        <v>675517840.109828</v>
      </c>
      <c r="AM1966" s="246">
        <f>IFERROR(VLOOKUP(K1966,PROGRAMAS[],3,FALSE),0)</f>
        <v>2392571243.5584412</v>
      </c>
      <c r="AN1966" s="246">
        <f>IFERROR(VLOOKUP(L1966,PROGRAMAS[],3,FALSE),0)</f>
        <v>31865326.38096505</v>
      </c>
      <c r="AO1966" s="246">
        <f>IFERROR(VLOOKUP(M1966,PROGRAMAS[],3,FALSE),0)</f>
        <v>118617452.52510804</v>
      </c>
      <c r="AP1966" s="246">
        <f>IFERROR(VLOOKUP(N1966,PROGRAMAS[],3,FALSE),0)</f>
        <v>948595847.09039903</v>
      </c>
      <c r="AQ1966" s="246">
        <f>IFERROR(VLOOKUP(O1966,PROGRAMAS[],3,FALSE),0)</f>
        <v>0</v>
      </c>
      <c r="AR1966" s="246">
        <f>IFERROR(VLOOKUP(P1966,PROGRAMAS[],3,FALSE),0)</f>
        <v>0</v>
      </c>
      <c r="AS1966" s="246">
        <f>IFERROR(VLOOKUP(Q1966,PROGRAMAS[],3,FALSE),0)</f>
        <v>0</v>
      </c>
      <c r="AT1966" s="246">
        <f>IFERROR(VLOOKUP(D1966,VOL_REC[],2,FALSE),0)</f>
        <v>0</v>
      </c>
      <c r="AU1966" s="246">
        <f>IFERROR(VLOOKUP(E1966,VOL_REC[],2,FALSE),0)</f>
        <v>0</v>
      </c>
      <c r="AV1966" s="246">
        <f>IFERROR(VLOOKUP(F1966,VOL_REC[],2,FALSE),0)</f>
        <v>11089674.200000001</v>
      </c>
      <c r="AW1966" s="246">
        <f>IFERROR(VLOOKUP(G1966,VOL_REC[],2,FALSE),0)</f>
        <v>4325103.1812214684</v>
      </c>
      <c r="AX1966" s="246">
        <f>IFERROR(VLOOKUP(H1966,VOL_REC[],2,FALSE),0)</f>
        <v>3761786</v>
      </c>
      <c r="AY1966" s="246">
        <f>IFERROR(VLOOKUP(I1966,VOL_REC[],2,FALSE),0)</f>
        <v>1812240</v>
      </c>
      <c r="AZ1966" s="246">
        <f>IFERROR(VLOOKUP(J1966,VOL_REC[],2,FALSE),0)</f>
        <v>240696.79238099116</v>
      </c>
      <c r="BA1966" s="246">
        <f>IFERROR(VLOOKUP(K1966,VOL_REC[],2,FALSE),0)</f>
        <v>663244.80000000016</v>
      </c>
      <c r="BB1966" s="246">
        <f>IFERROR(VLOOKUP(L1966,VOL_REC[],2,FALSE),0)</f>
        <v>17074.045034105649</v>
      </c>
      <c r="BC1966" s="246">
        <f>IFERROR(VLOOKUP(M1966,VOL_REC[],2,FALSE),0)</f>
        <v>105072</v>
      </c>
      <c r="BD1966" s="246">
        <f>IFERROR(VLOOKUP(N1966,VOL_REC[],2,FALSE),0)</f>
        <v>740113.98115702497</v>
      </c>
      <c r="BE1966" s="246">
        <f>IFERROR(VLOOKUP(O1966,VOL_REC[],2,FALSE),0)</f>
        <v>0</v>
      </c>
      <c r="BF1966" s="246">
        <f>IFERROR(VLOOKUP(P1966,VOL_REC[],2,FALSE),0)</f>
        <v>0</v>
      </c>
      <c r="BG1966" s="246">
        <f>IFERROR(VLOOKUP(Q1966,VOL_REC[],2,FALSE),0)</f>
        <v>0</v>
      </c>
      <c r="BH1966" s="1710">
        <f t="shared" si="124"/>
        <v>22615202397.193771</v>
      </c>
      <c r="BI1966" s="1710">
        <f t="shared" si="125"/>
        <v>24597195027.106476</v>
      </c>
      <c r="BJ1966" s="1711">
        <f t="shared" si="126"/>
        <v>22755004.999793593</v>
      </c>
      <c r="BK1966" s="1711">
        <f t="shared" si="127"/>
        <v>0.9194220061381585</v>
      </c>
    </row>
    <row r="1967" spans="3:67" x14ac:dyDescent="0.25">
      <c r="C1967" s="246" t="s">
        <v>3317</v>
      </c>
      <c r="D1967" s="246">
        <v>1</v>
      </c>
      <c r="E1967" s="246">
        <v>2</v>
      </c>
      <c r="F1967" s="246">
        <v>3</v>
      </c>
      <c r="G1967" s="246">
        <v>5</v>
      </c>
      <c r="H1967" s="246">
        <v>9</v>
      </c>
      <c r="I1967" s="246">
        <v>10</v>
      </c>
      <c r="J1967" s="246">
        <v>12</v>
      </c>
      <c r="K1967" s="246">
        <v>13</v>
      </c>
      <c r="L1967" s="246">
        <v>14</v>
      </c>
      <c r="M1967" s="246">
        <v>16</v>
      </c>
      <c r="N1967" s="246">
        <v>17</v>
      </c>
      <c r="O1967" s="246"/>
      <c r="P1967" s="246"/>
      <c r="Q1967" s="246"/>
      <c r="R1967" s="246">
        <f>IFERROR(VLOOKUP(D1967,PROGRAMAS[],2,FALSE),0)</f>
        <v>97037803.679377079</v>
      </c>
      <c r="S1967" s="246">
        <f>IFERROR(VLOOKUP(E1967,PROGRAMAS[],2,FALSE),0)</f>
        <v>640501509.6821388</v>
      </c>
      <c r="T1967" s="246">
        <f>IFERROR(VLOOKUP(F1967,PROGRAMAS[],2,FALSE),0)</f>
        <v>3062327798.1525245</v>
      </c>
      <c r="U1967" s="246">
        <f>IFERROR(VLOOKUP(G1967,PROGRAMAS[],2,FALSE),0)</f>
        <v>1440941976.2528784</v>
      </c>
      <c r="V1967" s="246">
        <f>IFERROR(VLOOKUP(H1967,PROGRAMAS[],2,FALSE),0)</f>
        <v>6128579952.1618185</v>
      </c>
      <c r="W1967" s="246">
        <f>IFERROR(VLOOKUP(I1967,PROGRAMAS[],2,FALSE),0)</f>
        <v>4635315027.8751087</v>
      </c>
      <c r="X1967" s="246">
        <f>IFERROR(VLOOKUP(J1967,PROGRAMAS[],2,FALSE),0)</f>
        <v>764796700.79905891</v>
      </c>
      <c r="Y1967" s="246">
        <f>IFERROR(VLOOKUP(K1967,PROGRAMAS[],2,FALSE),0)</f>
        <v>3776538594.4604583</v>
      </c>
      <c r="Z1967" s="246">
        <f>IFERROR(VLOOKUP(L1967,PROGRAMAS[],2,FALSE),0)</f>
        <v>54223862.645839565</v>
      </c>
      <c r="AA1967" s="246">
        <f>IFERROR(VLOOKUP(M1967,PROGRAMAS[],2,FALSE),0)</f>
        <v>7068496961.0436354</v>
      </c>
      <c r="AB1967" s="246">
        <f>IFERROR(VLOOKUP(N1967,PROGRAMAS[],2,FALSE),0)</f>
        <v>1892779498.5211046</v>
      </c>
      <c r="AC1967" s="246">
        <f>IFERROR(VLOOKUP(O1967,PROGRAMAS[],2,FALSE),0)</f>
        <v>0</v>
      </c>
      <c r="AD1967" s="246">
        <f>IFERROR(VLOOKUP(P1967,PROGRAMAS[],2,FALSE),0)</f>
        <v>0</v>
      </c>
      <c r="AE1967" s="246">
        <f>IFERROR(VLOOKUP(Q1967,PROGRAMAS[],2,FALSE),0)</f>
        <v>0</v>
      </c>
      <c r="AF1967" s="246">
        <f>IFERROR(VLOOKUP(D1967,PROGRAMAS[],3,FALSE),0)</f>
        <v>841888629.31080008</v>
      </c>
      <c r="AG1967" s="246">
        <f>IFERROR(VLOOKUP(E1967,PROGRAMAS[],3,FALSE),0)</f>
        <v>3848980803.1642323</v>
      </c>
      <c r="AH1967" s="246">
        <f>IFERROR(VLOOKUP(F1967,PROGRAMAS[],3,FALSE),0)</f>
        <v>3394901471.387517</v>
      </c>
      <c r="AI1967" s="246">
        <f>IFERROR(VLOOKUP(G1967,PROGRAMAS[],3,FALSE),0)</f>
        <v>1233505101.0616004</v>
      </c>
      <c r="AJ1967" s="246">
        <f>IFERROR(VLOOKUP(H1967,PROGRAMAS[],3,FALSE),0)</f>
        <v>7011279577.519702</v>
      </c>
      <c r="AK1967" s="246">
        <f>IFERROR(VLOOKUP(I1967,PROGRAMAS[],3,FALSE),0)</f>
        <v>4099471734.9978786</v>
      </c>
      <c r="AL1967" s="246">
        <f>IFERROR(VLOOKUP(J1967,PROGRAMAS[],3,FALSE),0)</f>
        <v>675517840.109828</v>
      </c>
      <c r="AM1967" s="246">
        <f>IFERROR(VLOOKUP(K1967,PROGRAMAS[],3,FALSE),0)</f>
        <v>2392571243.5584412</v>
      </c>
      <c r="AN1967" s="246">
        <f>IFERROR(VLOOKUP(L1967,PROGRAMAS[],3,FALSE),0)</f>
        <v>31865326.38096505</v>
      </c>
      <c r="AO1967" s="246">
        <f>IFERROR(VLOOKUP(M1967,PROGRAMAS[],3,FALSE),0)</f>
        <v>2406564599.0319901</v>
      </c>
      <c r="AP1967" s="246">
        <f>IFERROR(VLOOKUP(N1967,PROGRAMAS[],3,FALSE),0)</f>
        <v>948595847.09039903</v>
      </c>
      <c r="AQ1967" s="246">
        <f>IFERROR(VLOOKUP(O1967,PROGRAMAS[],3,FALSE),0)</f>
        <v>0</v>
      </c>
      <c r="AR1967" s="246">
        <f>IFERROR(VLOOKUP(P1967,PROGRAMAS[],3,FALSE),0)</f>
        <v>0</v>
      </c>
      <c r="AS1967" s="246">
        <f>IFERROR(VLOOKUP(Q1967,PROGRAMAS[],3,FALSE),0)</f>
        <v>0</v>
      </c>
      <c r="AT1967" s="246">
        <f>IFERROR(VLOOKUP(D1967,VOL_REC[],2,FALSE),0)</f>
        <v>0</v>
      </c>
      <c r="AU1967" s="246">
        <f>IFERROR(VLOOKUP(E1967,VOL_REC[],2,FALSE),0)</f>
        <v>0</v>
      </c>
      <c r="AV1967" s="246">
        <f>IFERROR(VLOOKUP(F1967,VOL_REC[],2,FALSE),0)</f>
        <v>11089674.200000001</v>
      </c>
      <c r="AW1967" s="246">
        <f>IFERROR(VLOOKUP(G1967,VOL_REC[],2,FALSE),0)</f>
        <v>4325103.1812214684</v>
      </c>
      <c r="AX1967" s="246">
        <f>IFERROR(VLOOKUP(H1967,VOL_REC[],2,FALSE),0)</f>
        <v>3761786</v>
      </c>
      <c r="AY1967" s="246">
        <f>IFERROR(VLOOKUP(I1967,VOL_REC[],2,FALSE),0)</f>
        <v>1812240</v>
      </c>
      <c r="AZ1967" s="246">
        <f>IFERROR(VLOOKUP(J1967,VOL_REC[],2,FALSE),0)</f>
        <v>240696.79238099116</v>
      </c>
      <c r="BA1967" s="246">
        <f>IFERROR(VLOOKUP(K1967,VOL_REC[],2,FALSE),0)</f>
        <v>663244.80000000016</v>
      </c>
      <c r="BB1967" s="246">
        <f>IFERROR(VLOOKUP(L1967,VOL_REC[],2,FALSE),0)</f>
        <v>17074.045034105649</v>
      </c>
      <c r="BC1967" s="246">
        <f>IFERROR(VLOOKUP(M1967,VOL_REC[],2,FALSE),0)</f>
        <v>1072354.9981737854</v>
      </c>
      <c r="BD1967" s="246">
        <f>IFERROR(VLOOKUP(N1967,VOL_REC[],2,FALSE),0)</f>
        <v>740113.98115702497</v>
      </c>
      <c r="BE1967" s="246">
        <f>IFERROR(VLOOKUP(O1967,VOL_REC[],2,FALSE),0)</f>
        <v>0</v>
      </c>
      <c r="BF1967" s="246">
        <f>IFERROR(VLOOKUP(P1967,VOL_REC[],2,FALSE),0)</f>
        <v>0</v>
      </c>
      <c r="BG1967" s="246">
        <f>IFERROR(VLOOKUP(Q1967,VOL_REC[],2,FALSE),0)</f>
        <v>0</v>
      </c>
      <c r="BH1967" s="1710">
        <f t="shared" si="124"/>
        <v>29561539685.273941</v>
      </c>
      <c r="BI1967" s="1710">
        <f t="shared" si="125"/>
        <v>26885142173.613358</v>
      </c>
      <c r="BJ1967" s="1711">
        <f t="shared" si="126"/>
        <v>23722287.997967377</v>
      </c>
      <c r="BK1967" s="1711">
        <f t="shared" si="127"/>
        <v>1.0995493159149947</v>
      </c>
      <c r="BL1967">
        <f t="shared" ref="BL1967:BL1973" si="134">BJ1967</f>
        <v>23722287.997967377</v>
      </c>
      <c r="BO1967">
        <f t="shared" ref="BO1967:BO1973" si="135">BL1967</f>
        <v>23722287.997967377</v>
      </c>
    </row>
    <row r="1968" spans="3:67" x14ac:dyDescent="0.25">
      <c r="C1968" s="246" t="s">
        <v>3318</v>
      </c>
      <c r="D1968" s="246">
        <v>1</v>
      </c>
      <c r="E1968" s="246">
        <v>2</v>
      </c>
      <c r="F1968" s="246">
        <v>3</v>
      </c>
      <c r="G1968" s="246">
        <v>5</v>
      </c>
      <c r="H1968" s="246">
        <v>9</v>
      </c>
      <c r="I1968" s="246">
        <v>10</v>
      </c>
      <c r="J1968" s="246">
        <v>12</v>
      </c>
      <c r="K1968" s="246">
        <v>13</v>
      </c>
      <c r="L1968" s="246">
        <v>15</v>
      </c>
      <c r="M1968" s="246">
        <v>16</v>
      </c>
      <c r="N1968" s="246">
        <v>17</v>
      </c>
      <c r="O1968" s="246"/>
      <c r="P1968" s="246"/>
      <c r="Q1968" s="246"/>
      <c r="R1968" s="246">
        <f>IFERROR(VLOOKUP(D1968,PROGRAMAS[],2,FALSE),0)</f>
        <v>97037803.679377079</v>
      </c>
      <c r="S1968" s="246">
        <f>IFERROR(VLOOKUP(E1968,PROGRAMAS[],2,FALSE),0)</f>
        <v>640501509.6821388</v>
      </c>
      <c r="T1968" s="246">
        <f>IFERROR(VLOOKUP(F1968,PROGRAMAS[],2,FALSE),0)</f>
        <v>3062327798.1525245</v>
      </c>
      <c r="U1968" s="246">
        <f>IFERROR(VLOOKUP(G1968,PROGRAMAS[],2,FALSE),0)</f>
        <v>1440941976.2528784</v>
      </c>
      <c r="V1968" s="246">
        <f>IFERROR(VLOOKUP(H1968,PROGRAMAS[],2,FALSE),0)</f>
        <v>6128579952.1618185</v>
      </c>
      <c r="W1968" s="246">
        <f>IFERROR(VLOOKUP(I1968,PROGRAMAS[],2,FALSE),0)</f>
        <v>4635315027.8751087</v>
      </c>
      <c r="X1968" s="246">
        <f>IFERROR(VLOOKUP(J1968,PROGRAMAS[],2,FALSE),0)</f>
        <v>764796700.79905891</v>
      </c>
      <c r="Y1968" s="246">
        <f>IFERROR(VLOOKUP(K1968,PROGRAMAS[],2,FALSE),0)</f>
        <v>3776538594.4604583</v>
      </c>
      <c r="Z1968" s="246">
        <f>IFERROR(VLOOKUP(L1968,PROGRAMAS[],2,FALSE),0)</f>
        <v>122159672.96346797</v>
      </c>
      <c r="AA1968" s="246">
        <f>IFERROR(VLOOKUP(M1968,PROGRAMAS[],2,FALSE),0)</f>
        <v>7068496961.0436354</v>
      </c>
      <c r="AB1968" s="246">
        <f>IFERROR(VLOOKUP(N1968,PROGRAMAS[],2,FALSE),0)</f>
        <v>1892779498.5211046</v>
      </c>
      <c r="AC1968" s="246">
        <f>IFERROR(VLOOKUP(O1968,PROGRAMAS[],2,FALSE),0)</f>
        <v>0</v>
      </c>
      <c r="AD1968" s="246">
        <f>IFERROR(VLOOKUP(P1968,PROGRAMAS[],2,FALSE),0)</f>
        <v>0</v>
      </c>
      <c r="AE1968" s="246">
        <f>IFERROR(VLOOKUP(Q1968,PROGRAMAS[],2,FALSE),0)</f>
        <v>0</v>
      </c>
      <c r="AF1968" s="246">
        <f>IFERROR(VLOOKUP(D1968,PROGRAMAS[],3,FALSE),0)</f>
        <v>841888629.31080008</v>
      </c>
      <c r="AG1968" s="246">
        <f>IFERROR(VLOOKUP(E1968,PROGRAMAS[],3,FALSE),0)</f>
        <v>3848980803.1642323</v>
      </c>
      <c r="AH1968" s="246">
        <f>IFERROR(VLOOKUP(F1968,PROGRAMAS[],3,FALSE),0)</f>
        <v>3394901471.387517</v>
      </c>
      <c r="AI1968" s="246">
        <f>IFERROR(VLOOKUP(G1968,PROGRAMAS[],3,FALSE),0)</f>
        <v>1233505101.0616004</v>
      </c>
      <c r="AJ1968" s="246">
        <f>IFERROR(VLOOKUP(H1968,PROGRAMAS[],3,FALSE),0)</f>
        <v>7011279577.519702</v>
      </c>
      <c r="AK1968" s="246">
        <f>IFERROR(VLOOKUP(I1968,PROGRAMAS[],3,FALSE),0)</f>
        <v>4099471734.9978786</v>
      </c>
      <c r="AL1968" s="246">
        <f>IFERROR(VLOOKUP(J1968,PROGRAMAS[],3,FALSE),0)</f>
        <v>675517840.109828</v>
      </c>
      <c r="AM1968" s="246">
        <f>IFERROR(VLOOKUP(K1968,PROGRAMAS[],3,FALSE),0)</f>
        <v>2392571243.5584412</v>
      </c>
      <c r="AN1968" s="246">
        <f>IFERROR(VLOOKUP(L1968,PROGRAMAS[],3,FALSE),0)</f>
        <v>118617452.52510804</v>
      </c>
      <c r="AO1968" s="246">
        <f>IFERROR(VLOOKUP(M1968,PROGRAMAS[],3,FALSE),0)</f>
        <v>2406564599.0319901</v>
      </c>
      <c r="AP1968" s="246">
        <f>IFERROR(VLOOKUP(N1968,PROGRAMAS[],3,FALSE),0)</f>
        <v>948595847.09039903</v>
      </c>
      <c r="AQ1968" s="246">
        <f>IFERROR(VLOOKUP(O1968,PROGRAMAS[],3,FALSE),0)</f>
        <v>0</v>
      </c>
      <c r="AR1968" s="246">
        <f>IFERROR(VLOOKUP(P1968,PROGRAMAS[],3,FALSE),0)</f>
        <v>0</v>
      </c>
      <c r="AS1968" s="246">
        <f>IFERROR(VLOOKUP(Q1968,PROGRAMAS[],3,FALSE),0)</f>
        <v>0</v>
      </c>
      <c r="AT1968" s="246">
        <f>IFERROR(VLOOKUP(D1968,VOL_REC[],2,FALSE),0)</f>
        <v>0</v>
      </c>
      <c r="AU1968" s="246">
        <f>IFERROR(VLOOKUP(E1968,VOL_REC[],2,FALSE),0)</f>
        <v>0</v>
      </c>
      <c r="AV1968" s="246">
        <f>IFERROR(VLOOKUP(F1968,VOL_REC[],2,FALSE),0)</f>
        <v>11089674.200000001</v>
      </c>
      <c r="AW1968" s="246">
        <f>IFERROR(VLOOKUP(G1968,VOL_REC[],2,FALSE),0)</f>
        <v>4325103.1812214684</v>
      </c>
      <c r="AX1968" s="246">
        <f>IFERROR(VLOOKUP(H1968,VOL_REC[],2,FALSE),0)</f>
        <v>3761786</v>
      </c>
      <c r="AY1968" s="246">
        <f>IFERROR(VLOOKUP(I1968,VOL_REC[],2,FALSE),0)</f>
        <v>1812240</v>
      </c>
      <c r="AZ1968" s="246">
        <f>IFERROR(VLOOKUP(J1968,VOL_REC[],2,FALSE),0)</f>
        <v>240696.79238099116</v>
      </c>
      <c r="BA1968" s="246">
        <f>IFERROR(VLOOKUP(K1968,VOL_REC[],2,FALSE),0)</f>
        <v>663244.80000000016</v>
      </c>
      <c r="BB1968" s="246">
        <f>IFERROR(VLOOKUP(L1968,VOL_REC[],2,FALSE),0)</f>
        <v>105072</v>
      </c>
      <c r="BC1968" s="246">
        <f>IFERROR(VLOOKUP(M1968,VOL_REC[],2,FALSE),0)</f>
        <v>1072354.9981737854</v>
      </c>
      <c r="BD1968" s="246">
        <f>IFERROR(VLOOKUP(N1968,VOL_REC[],2,FALSE),0)</f>
        <v>740113.98115702497</v>
      </c>
      <c r="BE1968" s="246">
        <f>IFERROR(VLOOKUP(O1968,VOL_REC[],2,FALSE),0)</f>
        <v>0</v>
      </c>
      <c r="BF1968" s="246">
        <f>IFERROR(VLOOKUP(P1968,VOL_REC[],2,FALSE),0)</f>
        <v>0</v>
      </c>
      <c r="BG1968" s="246">
        <f>IFERROR(VLOOKUP(Q1968,VOL_REC[],2,FALSE),0)</f>
        <v>0</v>
      </c>
      <c r="BH1968" s="1710">
        <f t="shared" si="124"/>
        <v>29629475495.591568</v>
      </c>
      <c r="BI1968" s="1710">
        <f t="shared" si="125"/>
        <v>26971894299.7575</v>
      </c>
      <c r="BJ1968" s="1711">
        <f t="shared" si="126"/>
        <v>23810285.95293327</v>
      </c>
      <c r="BK1968" s="1711">
        <f t="shared" si="127"/>
        <v>1.098531499727031</v>
      </c>
      <c r="BL1968">
        <f t="shared" si="134"/>
        <v>23810285.95293327</v>
      </c>
      <c r="BO1968">
        <f t="shared" si="135"/>
        <v>23810285.95293327</v>
      </c>
    </row>
    <row r="1969" spans="3:67" x14ac:dyDescent="0.25">
      <c r="C1969" s="246" t="s">
        <v>3319</v>
      </c>
      <c r="D1969" s="246">
        <v>1</v>
      </c>
      <c r="E1969" s="246">
        <v>2</v>
      </c>
      <c r="F1969" s="246">
        <v>3</v>
      </c>
      <c r="G1969" s="246">
        <v>5</v>
      </c>
      <c r="H1969" s="246">
        <v>9</v>
      </c>
      <c r="I1969" s="246">
        <v>10</v>
      </c>
      <c r="J1969" s="246">
        <v>12</v>
      </c>
      <c r="K1969" s="246">
        <v>14</v>
      </c>
      <c r="L1969" s="246">
        <v>15</v>
      </c>
      <c r="M1969" s="246">
        <v>16</v>
      </c>
      <c r="N1969" s="246">
        <v>17</v>
      </c>
      <c r="O1969" s="246"/>
      <c r="P1969" s="246"/>
      <c r="Q1969" s="246"/>
      <c r="R1969" s="246">
        <f>IFERROR(VLOOKUP(D1969,PROGRAMAS[],2,FALSE),0)</f>
        <v>97037803.679377079</v>
      </c>
      <c r="S1969" s="246">
        <f>IFERROR(VLOOKUP(E1969,PROGRAMAS[],2,FALSE),0)</f>
        <v>640501509.6821388</v>
      </c>
      <c r="T1969" s="246">
        <f>IFERROR(VLOOKUP(F1969,PROGRAMAS[],2,FALSE),0)</f>
        <v>3062327798.1525245</v>
      </c>
      <c r="U1969" s="246">
        <f>IFERROR(VLOOKUP(G1969,PROGRAMAS[],2,FALSE),0)</f>
        <v>1440941976.2528784</v>
      </c>
      <c r="V1969" s="246">
        <f>IFERROR(VLOOKUP(H1969,PROGRAMAS[],2,FALSE),0)</f>
        <v>6128579952.1618185</v>
      </c>
      <c r="W1969" s="246">
        <f>IFERROR(VLOOKUP(I1969,PROGRAMAS[],2,FALSE),0)</f>
        <v>4635315027.8751087</v>
      </c>
      <c r="X1969" s="246">
        <f>IFERROR(VLOOKUP(J1969,PROGRAMAS[],2,FALSE),0)</f>
        <v>764796700.79905891</v>
      </c>
      <c r="Y1969" s="246">
        <f>IFERROR(VLOOKUP(K1969,PROGRAMAS[],2,FALSE),0)</f>
        <v>54223862.645839565</v>
      </c>
      <c r="Z1969" s="246">
        <f>IFERROR(VLOOKUP(L1969,PROGRAMAS[],2,FALSE),0)</f>
        <v>122159672.96346797</v>
      </c>
      <c r="AA1969" s="246">
        <f>IFERROR(VLOOKUP(M1969,PROGRAMAS[],2,FALSE),0)</f>
        <v>7068496961.0436354</v>
      </c>
      <c r="AB1969" s="246">
        <f>IFERROR(VLOOKUP(N1969,PROGRAMAS[],2,FALSE),0)</f>
        <v>1892779498.5211046</v>
      </c>
      <c r="AC1969" s="246">
        <f>IFERROR(VLOOKUP(O1969,PROGRAMAS[],2,FALSE),0)</f>
        <v>0</v>
      </c>
      <c r="AD1969" s="246">
        <f>IFERROR(VLOOKUP(P1969,PROGRAMAS[],2,FALSE),0)</f>
        <v>0</v>
      </c>
      <c r="AE1969" s="246">
        <f>IFERROR(VLOOKUP(Q1969,PROGRAMAS[],2,FALSE),0)</f>
        <v>0</v>
      </c>
      <c r="AF1969" s="246">
        <f>IFERROR(VLOOKUP(D1969,PROGRAMAS[],3,FALSE),0)</f>
        <v>841888629.31080008</v>
      </c>
      <c r="AG1969" s="246">
        <f>IFERROR(VLOOKUP(E1969,PROGRAMAS[],3,FALSE),0)</f>
        <v>3848980803.1642323</v>
      </c>
      <c r="AH1969" s="246">
        <f>IFERROR(VLOOKUP(F1969,PROGRAMAS[],3,FALSE),0)</f>
        <v>3394901471.387517</v>
      </c>
      <c r="AI1969" s="246">
        <f>IFERROR(VLOOKUP(G1969,PROGRAMAS[],3,FALSE),0)</f>
        <v>1233505101.0616004</v>
      </c>
      <c r="AJ1969" s="246">
        <f>IFERROR(VLOOKUP(H1969,PROGRAMAS[],3,FALSE),0)</f>
        <v>7011279577.519702</v>
      </c>
      <c r="AK1969" s="246">
        <f>IFERROR(VLOOKUP(I1969,PROGRAMAS[],3,FALSE),0)</f>
        <v>4099471734.9978786</v>
      </c>
      <c r="AL1969" s="246">
        <f>IFERROR(VLOOKUP(J1969,PROGRAMAS[],3,FALSE),0)</f>
        <v>675517840.109828</v>
      </c>
      <c r="AM1969" s="246">
        <f>IFERROR(VLOOKUP(K1969,PROGRAMAS[],3,FALSE),0)</f>
        <v>31865326.38096505</v>
      </c>
      <c r="AN1969" s="246">
        <f>IFERROR(VLOOKUP(L1969,PROGRAMAS[],3,FALSE),0)</f>
        <v>118617452.52510804</v>
      </c>
      <c r="AO1969" s="246">
        <f>IFERROR(VLOOKUP(M1969,PROGRAMAS[],3,FALSE),0)</f>
        <v>2406564599.0319901</v>
      </c>
      <c r="AP1969" s="246">
        <f>IFERROR(VLOOKUP(N1969,PROGRAMAS[],3,FALSE),0)</f>
        <v>948595847.09039903</v>
      </c>
      <c r="AQ1969" s="246">
        <f>IFERROR(VLOOKUP(O1969,PROGRAMAS[],3,FALSE),0)</f>
        <v>0</v>
      </c>
      <c r="AR1969" s="246">
        <f>IFERROR(VLOOKUP(P1969,PROGRAMAS[],3,FALSE),0)</f>
        <v>0</v>
      </c>
      <c r="AS1969" s="246">
        <f>IFERROR(VLOOKUP(Q1969,PROGRAMAS[],3,FALSE),0)</f>
        <v>0</v>
      </c>
      <c r="AT1969" s="246">
        <f>IFERROR(VLOOKUP(D1969,VOL_REC[],2,FALSE),0)</f>
        <v>0</v>
      </c>
      <c r="AU1969" s="246">
        <f>IFERROR(VLOOKUP(E1969,VOL_REC[],2,FALSE),0)</f>
        <v>0</v>
      </c>
      <c r="AV1969" s="246">
        <f>IFERROR(VLOOKUP(F1969,VOL_REC[],2,FALSE),0)</f>
        <v>11089674.200000001</v>
      </c>
      <c r="AW1969" s="246">
        <f>IFERROR(VLOOKUP(G1969,VOL_REC[],2,FALSE),0)</f>
        <v>4325103.1812214684</v>
      </c>
      <c r="AX1969" s="246">
        <f>IFERROR(VLOOKUP(H1969,VOL_REC[],2,FALSE),0)</f>
        <v>3761786</v>
      </c>
      <c r="AY1969" s="246">
        <f>IFERROR(VLOOKUP(I1969,VOL_REC[],2,FALSE),0)</f>
        <v>1812240</v>
      </c>
      <c r="AZ1969" s="246">
        <f>IFERROR(VLOOKUP(J1969,VOL_REC[],2,FALSE),0)</f>
        <v>240696.79238099116</v>
      </c>
      <c r="BA1969" s="246">
        <f>IFERROR(VLOOKUP(K1969,VOL_REC[],2,FALSE),0)</f>
        <v>17074.045034105649</v>
      </c>
      <c r="BB1969" s="246">
        <f>IFERROR(VLOOKUP(L1969,VOL_REC[],2,FALSE),0)</f>
        <v>105072</v>
      </c>
      <c r="BC1969" s="246">
        <f>IFERROR(VLOOKUP(M1969,VOL_REC[],2,FALSE),0)</f>
        <v>1072354.9981737854</v>
      </c>
      <c r="BD1969" s="246">
        <f>IFERROR(VLOOKUP(N1969,VOL_REC[],2,FALSE),0)</f>
        <v>740113.98115702497</v>
      </c>
      <c r="BE1969" s="246">
        <f>IFERROR(VLOOKUP(O1969,VOL_REC[],2,FALSE),0)</f>
        <v>0</v>
      </c>
      <c r="BF1969" s="246">
        <f>IFERROR(VLOOKUP(P1969,VOL_REC[],2,FALSE),0)</f>
        <v>0</v>
      </c>
      <c r="BG1969" s="246">
        <f>IFERROR(VLOOKUP(Q1969,VOL_REC[],2,FALSE),0)</f>
        <v>0</v>
      </c>
      <c r="BH1969" s="1710">
        <f t="shared" si="124"/>
        <v>25907160763.776951</v>
      </c>
      <c r="BI1969" s="1710">
        <f t="shared" si="125"/>
        <v>24611188382.580025</v>
      </c>
      <c r="BJ1969" s="1711">
        <f t="shared" si="126"/>
        <v>23164115.197967377</v>
      </c>
      <c r="BK1969" s="1711">
        <f t="shared" si="127"/>
        <v>1.0526578546736989</v>
      </c>
      <c r="BL1969">
        <f t="shared" si="134"/>
        <v>23164115.197967377</v>
      </c>
      <c r="BO1969">
        <f t="shared" si="135"/>
        <v>23164115.197967377</v>
      </c>
    </row>
    <row r="1970" spans="3:67" x14ac:dyDescent="0.25">
      <c r="C1970" s="246" t="s">
        <v>3320</v>
      </c>
      <c r="D1970" s="246">
        <v>1</v>
      </c>
      <c r="E1970" s="246">
        <v>2</v>
      </c>
      <c r="F1970" s="246">
        <v>3</v>
      </c>
      <c r="G1970" s="246">
        <v>5</v>
      </c>
      <c r="H1970" s="246">
        <v>9</v>
      </c>
      <c r="I1970" s="246">
        <v>10</v>
      </c>
      <c r="J1970" s="246">
        <v>13</v>
      </c>
      <c r="K1970" s="246">
        <v>14</v>
      </c>
      <c r="L1970" s="246">
        <v>15</v>
      </c>
      <c r="M1970" s="246">
        <v>16</v>
      </c>
      <c r="N1970" s="246">
        <v>17</v>
      </c>
      <c r="O1970" s="246"/>
      <c r="P1970" s="246"/>
      <c r="Q1970" s="246"/>
      <c r="R1970" s="246">
        <f>IFERROR(VLOOKUP(D1970,PROGRAMAS[],2,FALSE),0)</f>
        <v>97037803.679377079</v>
      </c>
      <c r="S1970" s="246">
        <f>IFERROR(VLOOKUP(E1970,PROGRAMAS[],2,FALSE),0)</f>
        <v>640501509.6821388</v>
      </c>
      <c r="T1970" s="246">
        <f>IFERROR(VLOOKUP(F1970,PROGRAMAS[],2,FALSE),0)</f>
        <v>3062327798.1525245</v>
      </c>
      <c r="U1970" s="246">
        <f>IFERROR(VLOOKUP(G1970,PROGRAMAS[],2,FALSE),0)</f>
        <v>1440941976.2528784</v>
      </c>
      <c r="V1970" s="246">
        <f>IFERROR(VLOOKUP(H1970,PROGRAMAS[],2,FALSE),0)</f>
        <v>6128579952.1618185</v>
      </c>
      <c r="W1970" s="246">
        <f>IFERROR(VLOOKUP(I1970,PROGRAMAS[],2,FALSE),0)</f>
        <v>4635315027.8751087</v>
      </c>
      <c r="X1970" s="246">
        <f>IFERROR(VLOOKUP(J1970,PROGRAMAS[],2,FALSE),0)</f>
        <v>3776538594.4604583</v>
      </c>
      <c r="Y1970" s="246">
        <f>IFERROR(VLOOKUP(K1970,PROGRAMAS[],2,FALSE),0)</f>
        <v>54223862.645839565</v>
      </c>
      <c r="Z1970" s="246">
        <f>IFERROR(VLOOKUP(L1970,PROGRAMAS[],2,FALSE),0)</f>
        <v>122159672.96346797</v>
      </c>
      <c r="AA1970" s="246">
        <f>IFERROR(VLOOKUP(M1970,PROGRAMAS[],2,FALSE),0)</f>
        <v>7068496961.0436354</v>
      </c>
      <c r="AB1970" s="246">
        <f>IFERROR(VLOOKUP(N1970,PROGRAMAS[],2,FALSE),0)</f>
        <v>1892779498.5211046</v>
      </c>
      <c r="AC1970" s="246">
        <f>IFERROR(VLOOKUP(O1970,PROGRAMAS[],2,FALSE),0)</f>
        <v>0</v>
      </c>
      <c r="AD1970" s="246">
        <f>IFERROR(VLOOKUP(P1970,PROGRAMAS[],2,FALSE),0)</f>
        <v>0</v>
      </c>
      <c r="AE1970" s="246">
        <f>IFERROR(VLOOKUP(Q1970,PROGRAMAS[],2,FALSE),0)</f>
        <v>0</v>
      </c>
      <c r="AF1970" s="246">
        <f>IFERROR(VLOOKUP(D1970,PROGRAMAS[],3,FALSE),0)</f>
        <v>841888629.31080008</v>
      </c>
      <c r="AG1970" s="246">
        <f>IFERROR(VLOOKUP(E1970,PROGRAMAS[],3,FALSE),0)</f>
        <v>3848980803.1642323</v>
      </c>
      <c r="AH1970" s="246">
        <f>IFERROR(VLOOKUP(F1970,PROGRAMAS[],3,FALSE),0)</f>
        <v>3394901471.387517</v>
      </c>
      <c r="AI1970" s="246">
        <f>IFERROR(VLOOKUP(G1970,PROGRAMAS[],3,FALSE),0)</f>
        <v>1233505101.0616004</v>
      </c>
      <c r="AJ1970" s="246">
        <f>IFERROR(VLOOKUP(H1970,PROGRAMAS[],3,FALSE),0)</f>
        <v>7011279577.519702</v>
      </c>
      <c r="AK1970" s="246">
        <f>IFERROR(VLOOKUP(I1970,PROGRAMAS[],3,FALSE),0)</f>
        <v>4099471734.9978786</v>
      </c>
      <c r="AL1970" s="246">
        <f>IFERROR(VLOOKUP(J1970,PROGRAMAS[],3,FALSE),0)</f>
        <v>2392571243.5584412</v>
      </c>
      <c r="AM1970" s="246">
        <f>IFERROR(VLOOKUP(K1970,PROGRAMAS[],3,FALSE),0)</f>
        <v>31865326.38096505</v>
      </c>
      <c r="AN1970" s="246">
        <f>IFERROR(VLOOKUP(L1970,PROGRAMAS[],3,FALSE),0)</f>
        <v>118617452.52510804</v>
      </c>
      <c r="AO1970" s="246">
        <f>IFERROR(VLOOKUP(M1970,PROGRAMAS[],3,FALSE),0)</f>
        <v>2406564599.0319901</v>
      </c>
      <c r="AP1970" s="246">
        <f>IFERROR(VLOOKUP(N1970,PROGRAMAS[],3,FALSE),0)</f>
        <v>948595847.09039903</v>
      </c>
      <c r="AQ1970" s="246">
        <f>IFERROR(VLOOKUP(O1970,PROGRAMAS[],3,FALSE),0)</f>
        <v>0</v>
      </c>
      <c r="AR1970" s="246">
        <f>IFERROR(VLOOKUP(P1970,PROGRAMAS[],3,FALSE),0)</f>
        <v>0</v>
      </c>
      <c r="AS1970" s="246">
        <f>IFERROR(VLOOKUP(Q1970,PROGRAMAS[],3,FALSE),0)</f>
        <v>0</v>
      </c>
      <c r="AT1970" s="246">
        <f>IFERROR(VLOOKUP(D1970,VOL_REC[],2,FALSE),0)</f>
        <v>0</v>
      </c>
      <c r="AU1970" s="246">
        <f>IFERROR(VLOOKUP(E1970,VOL_REC[],2,FALSE),0)</f>
        <v>0</v>
      </c>
      <c r="AV1970" s="246">
        <f>IFERROR(VLOOKUP(F1970,VOL_REC[],2,FALSE),0)</f>
        <v>11089674.200000001</v>
      </c>
      <c r="AW1970" s="246">
        <f>IFERROR(VLOOKUP(G1970,VOL_REC[],2,FALSE),0)</f>
        <v>4325103.1812214684</v>
      </c>
      <c r="AX1970" s="246">
        <f>IFERROR(VLOOKUP(H1970,VOL_REC[],2,FALSE),0)</f>
        <v>3761786</v>
      </c>
      <c r="AY1970" s="246">
        <f>IFERROR(VLOOKUP(I1970,VOL_REC[],2,FALSE),0)</f>
        <v>1812240</v>
      </c>
      <c r="AZ1970" s="246">
        <f>IFERROR(VLOOKUP(J1970,VOL_REC[],2,FALSE),0)</f>
        <v>663244.80000000016</v>
      </c>
      <c r="BA1970" s="246">
        <f>IFERROR(VLOOKUP(K1970,VOL_REC[],2,FALSE),0)</f>
        <v>17074.045034105649</v>
      </c>
      <c r="BB1970" s="246">
        <f>IFERROR(VLOOKUP(L1970,VOL_REC[],2,FALSE),0)</f>
        <v>105072</v>
      </c>
      <c r="BC1970" s="246">
        <f>IFERROR(VLOOKUP(M1970,VOL_REC[],2,FALSE),0)</f>
        <v>1072354.9981737854</v>
      </c>
      <c r="BD1970" s="246">
        <f>IFERROR(VLOOKUP(N1970,VOL_REC[],2,FALSE),0)</f>
        <v>740113.98115702497</v>
      </c>
      <c r="BE1970" s="246">
        <f>IFERROR(VLOOKUP(O1970,VOL_REC[],2,FALSE),0)</f>
        <v>0</v>
      </c>
      <c r="BF1970" s="246">
        <f>IFERROR(VLOOKUP(P1970,VOL_REC[],2,FALSE),0)</f>
        <v>0</v>
      </c>
      <c r="BG1970" s="246">
        <f>IFERROR(VLOOKUP(Q1970,VOL_REC[],2,FALSE),0)</f>
        <v>0</v>
      </c>
      <c r="BH1970" s="1710">
        <f t="shared" si="124"/>
        <v>28918902657.438351</v>
      </c>
      <c r="BI1970" s="1710">
        <f t="shared" si="125"/>
        <v>26328241786.028637</v>
      </c>
      <c r="BJ1970" s="1711">
        <f t="shared" si="126"/>
        <v>23586663.205586385</v>
      </c>
      <c r="BK1970" s="1711">
        <f t="shared" si="127"/>
        <v>1.0983985521123738</v>
      </c>
      <c r="BL1970">
        <f t="shared" si="134"/>
        <v>23586663.205586385</v>
      </c>
      <c r="BO1970">
        <f t="shared" si="135"/>
        <v>23586663.205586385</v>
      </c>
    </row>
    <row r="1971" spans="3:67" x14ac:dyDescent="0.25">
      <c r="C1971" s="246" t="s">
        <v>3321</v>
      </c>
      <c r="D1971" s="246">
        <v>1</v>
      </c>
      <c r="E1971" s="246">
        <v>2</v>
      </c>
      <c r="F1971" s="246">
        <v>3</v>
      </c>
      <c r="G1971" s="246">
        <v>5</v>
      </c>
      <c r="H1971" s="246">
        <v>9</v>
      </c>
      <c r="I1971" s="246">
        <v>12</v>
      </c>
      <c r="J1971" s="246">
        <v>13</v>
      </c>
      <c r="K1971" s="246">
        <v>14</v>
      </c>
      <c r="L1971" s="246">
        <v>15</v>
      </c>
      <c r="M1971" s="246">
        <v>16</v>
      </c>
      <c r="N1971" s="246">
        <v>17</v>
      </c>
      <c r="O1971" s="246"/>
      <c r="P1971" s="246"/>
      <c r="Q1971" s="246"/>
      <c r="R1971" s="246">
        <f>IFERROR(VLOOKUP(D1971,PROGRAMAS[],2,FALSE),0)</f>
        <v>97037803.679377079</v>
      </c>
      <c r="S1971" s="246">
        <f>IFERROR(VLOOKUP(E1971,PROGRAMAS[],2,FALSE),0)</f>
        <v>640501509.6821388</v>
      </c>
      <c r="T1971" s="246">
        <f>IFERROR(VLOOKUP(F1971,PROGRAMAS[],2,FALSE),0)</f>
        <v>3062327798.1525245</v>
      </c>
      <c r="U1971" s="246">
        <f>IFERROR(VLOOKUP(G1971,PROGRAMAS[],2,FALSE),0)</f>
        <v>1440941976.2528784</v>
      </c>
      <c r="V1971" s="246">
        <f>IFERROR(VLOOKUP(H1971,PROGRAMAS[],2,FALSE),0)</f>
        <v>6128579952.1618185</v>
      </c>
      <c r="W1971" s="246">
        <f>IFERROR(VLOOKUP(I1971,PROGRAMAS[],2,FALSE),0)</f>
        <v>764796700.79905891</v>
      </c>
      <c r="X1971" s="246">
        <f>IFERROR(VLOOKUP(J1971,PROGRAMAS[],2,FALSE),0)</f>
        <v>3776538594.4604583</v>
      </c>
      <c r="Y1971" s="246">
        <f>IFERROR(VLOOKUP(K1971,PROGRAMAS[],2,FALSE),0)</f>
        <v>54223862.645839565</v>
      </c>
      <c r="Z1971" s="246">
        <f>IFERROR(VLOOKUP(L1971,PROGRAMAS[],2,FALSE),0)</f>
        <v>122159672.96346797</v>
      </c>
      <c r="AA1971" s="246">
        <f>IFERROR(VLOOKUP(M1971,PROGRAMAS[],2,FALSE),0)</f>
        <v>7068496961.0436354</v>
      </c>
      <c r="AB1971" s="246">
        <f>IFERROR(VLOOKUP(N1971,PROGRAMAS[],2,FALSE),0)</f>
        <v>1892779498.5211046</v>
      </c>
      <c r="AC1971" s="246">
        <f>IFERROR(VLOOKUP(O1971,PROGRAMAS[],2,FALSE),0)</f>
        <v>0</v>
      </c>
      <c r="AD1971" s="246">
        <f>IFERROR(VLOOKUP(P1971,PROGRAMAS[],2,FALSE),0)</f>
        <v>0</v>
      </c>
      <c r="AE1971" s="246">
        <f>IFERROR(VLOOKUP(Q1971,PROGRAMAS[],2,FALSE),0)</f>
        <v>0</v>
      </c>
      <c r="AF1971" s="246">
        <f>IFERROR(VLOOKUP(D1971,PROGRAMAS[],3,FALSE),0)</f>
        <v>841888629.31080008</v>
      </c>
      <c r="AG1971" s="246">
        <f>IFERROR(VLOOKUP(E1971,PROGRAMAS[],3,FALSE),0)</f>
        <v>3848980803.1642323</v>
      </c>
      <c r="AH1971" s="246">
        <f>IFERROR(VLOOKUP(F1971,PROGRAMAS[],3,FALSE),0)</f>
        <v>3394901471.387517</v>
      </c>
      <c r="AI1971" s="246">
        <f>IFERROR(VLOOKUP(G1971,PROGRAMAS[],3,FALSE),0)</f>
        <v>1233505101.0616004</v>
      </c>
      <c r="AJ1971" s="246">
        <f>IFERROR(VLOOKUP(H1971,PROGRAMAS[],3,FALSE),0)</f>
        <v>7011279577.519702</v>
      </c>
      <c r="AK1971" s="246">
        <f>IFERROR(VLOOKUP(I1971,PROGRAMAS[],3,FALSE),0)</f>
        <v>675517840.109828</v>
      </c>
      <c r="AL1971" s="246">
        <f>IFERROR(VLOOKUP(J1971,PROGRAMAS[],3,FALSE),0)</f>
        <v>2392571243.5584412</v>
      </c>
      <c r="AM1971" s="246">
        <f>IFERROR(VLOOKUP(K1971,PROGRAMAS[],3,FALSE),0)</f>
        <v>31865326.38096505</v>
      </c>
      <c r="AN1971" s="246">
        <f>IFERROR(VLOOKUP(L1971,PROGRAMAS[],3,FALSE),0)</f>
        <v>118617452.52510804</v>
      </c>
      <c r="AO1971" s="246">
        <f>IFERROR(VLOOKUP(M1971,PROGRAMAS[],3,FALSE),0)</f>
        <v>2406564599.0319901</v>
      </c>
      <c r="AP1971" s="246">
        <f>IFERROR(VLOOKUP(N1971,PROGRAMAS[],3,FALSE),0)</f>
        <v>948595847.09039903</v>
      </c>
      <c r="AQ1971" s="246">
        <f>IFERROR(VLOOKUP(O1971,PROGRAMAS[],3,FALSE),0)</f>
        <v>0</v>
      </c>
      <c r="AR1971" s="246">
        <f>IFERROR(VLOOKUP(P1971,PROGRAMAS[],3,FALSE),0)</f>
        <v>0</v>
      </c>
      <c r="AS1971" s="246">
        <f>IFERROR(VLOOKUP(Q1971,PROGRAMAS[],3,FALSE),0)</f>
        <v>0</v>
      </c>
      <c r="AT1971" s="246">
        <f>IFERROR(VLOOKUP(D1971,VOL_REC[],2,FALSE),0)</f>
        <v>0</v>
      </c>
      <c r="AU1971" s="246">
        <f>IFERROR(VLOOKUP(E1971,VOL_REC[],2,FALSE),0)</f>
        <v>0</v>
      </c>
      <c r="AV1971" s="246">
        <f>IFERROR(VLOOKUP(F1971,VOL_REC[],2,FALSE),0)</f>
        <v>11089674.200000001</v>
      </c>
      <c r="AW1971" s="246">
        <f>IFERROR(VLOOKUP(G1971,VOL_REC[],2,FALSE),0)</f>
        <v>4325103.1812214684</v>
      </c>
      <c r="AX1971" s="246">
        <f>IFERROR(VLOOKUP(H1971,VOL_REC[],2,FALSE),0)</f>
        <v>3761786</v>
      </c>
      <c r="AY1971" s="246">
        <f>IFERROR(VLOOKUP(I1971,VOL_REC[],2,FALSE),0)</f>
        <v>240696.79238099116</v>
      </c>
      <c r="AZ1971" s="246">
        <f>IFERROR(VLOOKUP(J1971,VOL_REC[],2,FALSE),0)</f>
        <v>663244.80000000016</v>
      </c>
      <c r="BA1971" s="246">
        <f>IFERROR(VLOOKUP(K1971,VOL_REC[],2,FALSE),0)</f>
        <v>17074.045034105649</v>
      </c>
      <c r="BB1971" s="246">
        <f>IFERROR(VLOOKUP(L1971,VOL_REC[],2,FALSE),0)</f>
        <v>105072</v>
      </c>
      <c r="BC1971" s="246">
        <f>IFERROR(VLOOKUP(M1971,VOL_REC[],2,FALSE),0)</f>
        <v>1072354.9981737854</v>
      </c>
      <c r="BD1971" s="246">
        <f>IFERROR(VLOOKUP(N1971,VOL_REC[],2,FALSE),0)</f>
        <v>740113.98115702497</v>
      </c>
      <c r="BE1971" s="246">
        <f>IFERROR(VLOOKUP(O1971,VOL_REC[],2,FALSE),0)</f>
        <v>0</v>
      </c>
      <c r="BF1971" s="246">
        <f>IFERROR(VLOOKUP(P1971,VOL_REC[],2,FALSE),0)</f>
        <v>0</v>
      </c>
      <c r="BG1971" s="246">
        <f>IFERROR(VLOOKUP(Q1971,VOL_REC[],2,FALSE),0)</f>
        <v>0</v>
      </c>
      <c r="BH1971" s="1710">
        <f t="shared" si="124"/>
        <v>25048384330.362301</v>
      </c>
      <c r="BI1971" s="1710">
        <f t="shared" si="125"/>
        <v>22904287891.140587</v>
      </c>
      <c r="BJ1971" s="1711">
        <f t="shared" si="126"/>
        <v>22015119.997967377</v>
      </c>
      <c r="BK1971" s="1711">
        <f t="shared" si="127"/>
        <v>1.0936111373299255</v>
      </c>
      <c r="BL1971">
        <f t="shared" si="134"/>
        <v>22015119.997967377</v>
      </c>
      <c r="BO1971">
        <f t="shared" si="135"/>
        <v>22015119.997967377</v>
      </c>
    </row>
    <row r="1972" spans="3:67" x14ac:dyDescent="0.25">
      <c r="C1972" s="246" t="s">
        <v>3322</v>
      </c>
      <c r="D1972" s="246">
        <v>1</v>
      </c>
      <c r="E1972" s="246">
        <v>2</v>
      </c>
      <c r="F1972" s="246">
        <v>3</v>
      </c>
      <c r="G1972" s="246">
        <v>5</v>
      </c>
      <c r="H1972" s="246">
        <v>10</v>
      </c>
      <c r="I1972" s="246">
        <v>12</v>
      </c>
      <c r="J1972" s="246">
        <v>13</v>
      </c>
      <c r="K1972" s="246">
        <v>14</v>
      </c>
      <c r="L1972" s="246">
        <v>15</v>
      </c>
      <c r="M1972" s="246">
        <v>16</v>
      </c>
      <c r="N1972" s="246">
        <v>17</v>
      </c>
      <c r="O1972" s="246"/>
      <c r="P1972" s="246"/>
      <c r="Q1972" s="246"/>
      <c r="R1972" s="246">
        <f>IFERROR(VLOOKUP(D1972,PROGRAMAS[],2,FALSE),0)</f>
        <v>97037803.679377079</v>
      </c>
      <c r="S1972" s="246">
        <f>IFERROR(VLOOKUP(E1972,PROGRAMAS[],2,FALSE),0)</f>
        <v>640501509.6821388</v>
      </c>
      <c r="T1972" s="246">
        <f>IFERROR(VLOOKUP(F1972,PROGRAMAS[],2,FALSE),0)</f>
        <v>3062327798.1525245</v>
      </c>
      <c r="U1972" s="246">
        <f>IFERROR(VLOOKUP(G1972,PROGRAMAS[],2,FALSE),0)</f>
        <v>1440941976.2528784</v>
      </c>
      <c r="V1972" s="246">
        <f>IFERROR(VLOOKUP(H1972,PROGRAMAS[],2,FALSE),0)</f>
        <v>4635315027.8751087</v>
      </c>
      <c r="W1972" s="246">
        <f>IFERROR(VLOOKUP(I1972,PROGRAMAS[],2,FALSE),0)</f>
        <v>764796700.79905891</v>
      </c>
      <c r="X1972" s="246">
        <f>IFERROR(VLOOKUP(J1972,PROGRAMAS[],2,FALSE),0)</f>
        <v>3776538594.4604583</v>
      </c>
      <c r="Y1972" s="246">
        <f>IFERROR(VLOOKUP(K1972,PROGRAMAS[],2,FALSE),0)</f>
        <v>54223862.645839565</v>
      </c>
      <c r="Z1972" s="246">
        <f>IFERROR(VLOOKUP(L1972,PROGRAMAS[],2,FALSE),0)</f>
        <v>122159672.96346797</v>
      </c>
      <c r="AA1972" s="246">
        <f>IFERROR(VLOOKUP(M1972,PROGRAMAS[],2,FALSE),0)</f>
        <v>7068496961.0436354</v>
      </c>
      <c r="AB1972" s="246">
        <f>IFERROR(VLOOKUP(N1972,PROGRAMAS[],2,FALSE),0)</f>
        <v>1892779498.5211046</v>
      </c>
      <c r="AC1972" s="246">
        <f>IFERROR(VLOOKUP(O1972,PROGRAMAS[],2,FALSE),0)</f>
        <v>0</v>
      </c>
      <c r="AD1972" s="246">
        <f>IFERROR(VLOOKUP(P1972,PROGRAMAS[],2,FALSE),0)</f>
        <v>0</v>
      </c>
      <c r="AE1972" s="246">
        <f>IFERROR(VLOOKUP(Q1972,PROGRAMAS[],2,FALSE),0)</f>
        <v>0</v>
      </c>
      <c r="AF1972" s="246">
        <f>IFERROR(VLOOKUP(D1972,PROGRAMAS[],3,FALSE),0)</f>
        <v>841888629.31080008</v>
      </c>
      <c r="AG1972" s="246">
        <f>IFERROR(VLOOKUP(E1972,PROGRAMAS[],3,FALSE),0)</f>
        <v>3848980803.1642323</v>
      </c>
      <c r="AH1972" s="246">
        <f>IFERROR(VLOOKUP(F1972,PROGRAMAS[],3,FALSE),0)</f>
        <v>3394901471.387517</v>
      </c>
      <c r="AI1972" s="246">
        <f>IFERROR(VLOOKUP(G1972,PROGRAMAS[],3,FALSE),0)</f>
        <v>1233505101.0616004</v>
      </c>
      <c r="AJ1972" s="246">
        <f>IFERROR(VLOOKUP(H1972,PROGRAMAS[],3,FALSE),0)</f>
        <v>4099471734.9978786</v>
      </c>
      <c r="AK1972" s="246">
        <f>IFERROR(VLOOKUP(I1972,PROGRAMAS[],3,FALSE),0)</f>
        <v>675517840.109828</v>
      </c>
      <c r="AL1972" s="246">
        <f>IFERROR(VLOOKUP(J1972,PROGRAMAS[],3,FALSE),0)</f>
        <v>2392571243.5584412</v>
      </c>
      <c r="AM1972" s="246">
        <f>IFERROR(VLOOKUP(K1972,PROGRAMAS[],3,FALSE),0)</f>
        <v>31865326.38096505</v>
      </c>
      <c r="AN1972" s="246">
        <f>IFERROR(VLOOKUP(L1972,PROGRAMAS[],3,FALSE),0)</f>
        <v>118617452.52510804</v>
      </c>
      <c r="AO1972" s="246">
        <f>IFERROR(VLOOKUP(M1972,PROGRAMAS[],3,FALSE),0)</f>
        <v>2406564599.0319901</v>
      </c>
      <c r="AP1972" s="246">
        <f>IFERROR(VLOOKUP(N1972,PROGRAMAS[],3,FALSE),0)</f>
        <v>948595847.09039903</v>
      </c>
      <c r="AQ1972" s="246">
        <f>IFERROR(VLOOKUP(O1972,PROGRAMAS[],3,FALSE),0)</f>
        <v>0</v>
      </c>
      <c r="AR1972" s="246">
        <f>IFERROR(VLOOKUP(P1972,PROGRAMAS[],3,FALSE),0)</f>
        <v>0</v>
      </c>
      <c r="AS1972" s="246">
        <f>IFERROR(VLOOKUP(Q1972,PROGRAMAS[],3,FALSE),0)</f>
        <v>0</v>
      </c>
      <c r="AT1972" s="246">
        <f>IFERROR(VLOOKUP(D1972,VOL_REC[],2,FALSE),0)</f>
        <v>0</v>
      </c>
      <c r="AU1972" s="246">
        <f>IFERROR(VLOOKUP(E1972,VOL_REC[],2,FALSE),0)</f>
        <v>0</v>
      </c>
      <c r="AV1972" s="246">
        <f>IFERROR(VLOOKUP(F1972,VOL_REC[],2,FALSE),0)</f>
        <v>11089674.200000001</v>
      </c>
      <c r="AW1972" s="246">
        <f>IFERROR(VLOOKUP(G1972,VOL_REC[],2,FALSE),0)</f>
        <v>4325103.1812214684</v>
      </c>
      <c r="AX1972" s="246">
        <f>IFERROR(VLOOKUP(H1972,VOL_REC[],2,FALSE),0)</f>
        <v>1812240</v>
      </c>
      <c r="AY1972" s="246">
        <f>IFERROR(VLOOKUP(I1972,VOL_REC[],2,FALSE),0)</f>
        <v>240696.79238099116</v>
      </c>
      <c r="AZ1972" s="246">
        <f>IFERROR(VLOOKUP(J1972,VOL_REC[],2,FALSE),0)</f>
        <v>663244.80000000016</v>
      </c>
      <c r="BA1972" s="246">
        <f>IFERROR(VLOOKUP(K1972,VOL_REC[],2,FALSE),0)</f>
        <v>17074.045034105649</v>
      </c>
      <c r="BB1972" s="246">
        <f>IFERROR(VLOOKUP(L1972,VOL_REC[],2,FALSE),0)</f>
        <v>105072</v>
      </c>
      <c r="BC1972" s="246">
        <f>IFERROR(VLOOKUP(M1972,VOL_REC[],2,FALSE),0)</f>
        <v>1072354.9981737854</v>
      </c>
      <c r="BD1972" s="246">
        <f>IFERROR(VLOOKUP(N1972,VOL_REC[],2,FALSE),0)</f>
        <v>740113.98115702497</v>
      </c>
      <c r="BE1972" s="246">
        <f>IFERROR(VLOOKUP(O1972,VOL_REC[],2,FALSE),0)</f>
        <v>0</v>
      </c>
      <c r="BF1972" s="246">
        <f>IFERROR(VLOOKUP(P1972,VOL_REC[],2,FALSE),0)</f>
        <v>0</v>
      </c>
      <c r="BG1972" s="246">
        <f>IFERROR(VLOOKUP(Q1972,VOL_REC[],2,FALSE),0)</f>
        <v>0</v>
      </c>
      <c r="BH1972" s="1710">
        <f t="shared" si="124"/>
        <v>23555119406.075592</v>
      </c>
      <c r="BI1972" s="1710">
        <f t="shared" si="125"/>
        <v>19992480048.618759</v>
      </c>
      <c r="BJ1972" s="1711">
        <f t="shared" si="126"/>
        <v>20065573.997967377</v>
      </c>
      <c r="BK1972" s="1711">
        <f t="shared" si="127"/>
        <v>1.178198970252466</v>
      </c>
      <c r="BL1972">
        <f t="shared" si="134"/>
        <v>20065573.997967377</v>
      </c>
      <c r="BO1972">
        <f t="shared" si="135"/>
        <v>20065573.997967377</v>
      </c>
    </row>
    <row r="1973" spans="3:67" x14ac:dyDescent="0.25">
      <c r="C1973" s="246" t="s">
        <v>3323</v>
      </c>
      <c r="D1973" s="246">
        <v>1</v>
      </c>
      <c r="E1973" s="246">
        <v>2</v>
      </c>
      <c r="F1973" s="246">
        <v>3</v>
      </c>
      <c r="G1973" s="246">
        <v>6</v>
      </c>
      <c r="H1973" s="246">
        <v>9</v>
      </c>
      <c r="I1973" s="246">
        <v>10</v>
      </c>
      <c r="J1973" s="246">
        <v>12</v>
      </c>
      <c r="K1973" s="246">
        <v>13</v>
      </c>
      <c r="L1973" s="246">
        <v>14</v>
      </c>
      <c r="M1973" s="246">
        <v>15</v>
      </c>
      <c r="N1973" s="246">
        <v>16</v>
      </c>
      <c r="O1973" s="246"/>
      <c r="P1973" s="246"/>
      <c r="Q1973" s="246"/>
      <c r="R1973" s="246">
        <f>IFERROR(VLOOKUP(D1973,PROGRAMAS[],2,FALSE),0)</f>
        <v>97037803.679377079</v>
      </c>
      <c r="S1973" s="246">
        <f>IFERROR(VLOOKUP(E1973,PROGRAMAS[],2,FALSE),0)</f>
        <v>640501509.6821388</v>
      </c>
      <c r="T1973" s="246">
        <f>IFERROR(VLOOKUP(F1973,PROGRAMAS[],2,FALSE),0)</f>
        <v>3062327798.1525245</v>
      </c>
      <c r="U1973" s="246">
        <f>IFERROR(VLOOKUP(G1973,PROGRAMAS[],2,FALSE),0)</f>
        <v>6907648435.8447599</v>
      </c>
      <c r="V1973" s="246">
        <f>IFERROR(VLOOKUP(H1973,PROGRAMAS[],2,FALSE),0)</f>
        <v>6128579952.1618185</v>
      </c>
      <c r="W1973" s="246">
        <f>IFERROR(VLOOKUP(I1973,PROGRAMAS[],2,FALSE),0)</f>
        <v>4635315027.8751087</v>
      </c>
      <c r="X1973" s="246">
        <f>IFERROR(VLOOKUP(J1973,PROGRAMAS[],2,FALSE),0)</f>
        <v>764796700.79905891</v>
      </c>
      <c r="Y1973" s="246">
        <f>IFERROR(VLOOKUP(K1973,PROGRAMAS[],2,FALSE),0)</f>
        <v>3776538594.4604583</v>
      </c>
      <c r="Z1973" s="246">
        <f>IFERROR(VLOOKUP(L1973,PROGRAMAS[],2,FALSE),0)</f>
        <v>54223862.645839565</v>
      </c>
      <c r="AA1973" s="246">
        <f>IFERROR(VLOOKUP(M1973,PROGRAMAS[],2,FALSE),0)</f>
        <v>122159672.96346797</v>
      </c>
      <c r="AB1973" s="246">
        <f>IFERROR(VLOOKUP(N1973,PROGRAMAS[],2,FALSE),0)</f>
        <v>7068496961.0436354</v>
      </c>
      <c r="AC1973" s="246">
        <f>IFERROR(VLOOKUP(O1973,PROGRAMAS[],2,FALSE),0)</f>
        <v>0</v>
      </c>
      <c r="AD1973" s="246">
        <f>IFERROR(VLOOKUP(P1973,PROGRAMAS[],2,FALSE),0)</f>
        <v>0</v>
      </c>
      <c r="AE1973" s="246">
        <f>IFERROR(VLOOKUP(Q1973,PROGRAMAS[],2,FALSE),0)</f>
        <v>0</v>
      </c>
      <c r="AF1973" s="246">
        <f>IFERROR(VLOOKUP(D1973,PROGRAMAS[],3,FALSE),0)</f>
        <v>841888629.31080008</v>
      </c>
      <c r="AG1973" s="246">
        <f>IFERROR(VLOOKUP(E1973,PROGRAMAS[],3,FALSE),0)</f>
        <v>3848980803.1642323</v>
      </c>
      <c r="AH1973" s="246">
        <f>IFERROR(VLOOKUP(F1973,PROGRAMAS[],3,FALSE),0)</f>
        <v>3394901471.387517</v>
      </c>
      <c r="AI1973" s="246">
        <f>IFERROR(VLOOKUP(G1973,PROGRAMAS[],3,FALSE),0)</f>
        <v>6129902208.7912121</v>
      </c>
      <c r="AJ1973" s="246">
        <f>IFERROR(VLOOKUP(H1973,PROGRAMAS[],3,FALSE),0)</f>
        <v>7011279577.519702</v>
      </c>
      <c r="AK1973" s="246">
        <f>IFERROR(VLOOKUP(I1973,PROGRAMAS[],3,FALSE),0)</f>
        <v>4099471734.9978786</v>
      </c>
      <c r="AL1973" s="246">
        <f>IFERROR(VLOOKUP(J1973,PROGRAMAS[],3,FALSE),0)</f>
        <v>675517840.109828</v>
      </c>
      <c r="AM1973" s="246">
        <f>IFERROR(VLOOKUP(K1973,PROGRAMAS[],3,FALSE),0)</f>
        <v>2392571243.5584412</v>
      </c>
      <c r="AN1973" s="246">
        <f>IFERROR(VLOOKUP(L1973,PROGRAMAS[],3,FALSE),0)</f>
        <v>31865326.38096505</v>
      </c>
      <c r="AO1973" s="246">
        <f>IFERROR(VLOOKUP(M1973,PROGRAMAS[],3,FALSE),0)</f>
        <v>118617452.52510804</v>
      </c>
      <c r="AP1973" s="246">
        <f>IFERROR(VLOOKUP(N1973,PROGRAMAS[],3,FALSE),0)</f>
        <v>2406564599.0319901</v>
      </c>
      <c r="AQ1973" s="246">
        <f>IFERROR(VLOOKUP(O1973,PROGRAMAS[],3,FALSE),0)</f>
        <v>0</v>
      </c>
      <c r="AR1973" s="246">
        <f>IFERROR(VLOOKUP(P1973,PROGRAMAS[],3,FALSE),0)</f>
        <v>0</v>
      </c>
      <c r="AS1973" s="246">
        <f>IFERROR(VLOOKUP(Q1973,PROGRAMAS[],3,FALSE),0)</f>
        <v>0</v>
      </c>
      <c r="AT1973" s="246">
        <f>IFERROR(VLOOKUP(D1973,VOL_REC[],2,FALSE),0)</f>
        <v>0</v>
      </c>
      <c r="AU1973" s="246">
        <f>IFERROR(VLOOKUP(E1973,VOL_REC[],2,FALSE),0)</f>
        <v>0</v>
      </c>
      <c r="AV1973" s="246">
        <f>IFERROR(VLOOKUP(F1973,VOL_REC[],2,FALSE),0)</f>
        <v>11089674.200000001</v>
      </c>
      <c r="AW1973" s="246">
        <f>IFERROR(VLOOKUP(G1973,VOL_REC[],2,FALSE),0)</f>
        <v>15540036.397699751</v>
      </c>
      <c r="AX1973" s="246">
        <f>IFERROR(VLOOKUP(H1973,VOL_REC[],2,FALSE),0)</f>
        <v>3761786</v>
      </c>
      <c r="AY1973" s="246">
        <f>IFERROR(VLOOKUP(I1973,VOL_REC[],2,FALSE),0)</f>
        <v>1812240</v>
      </c>
      <c r="AZ1973" s="246">
        <f>IFERROR(VLOOKUP(J1973,VOL_REC[],2,FALSE),0)</f>
        <v>240696.79238099116</v>
      </c>
      <c r="BA1973" s="246">
        <f>IFERROR(VLOOKUP(K1973,VOL_REC[],2,FALSE),0)</f>
        <v>663244.80000000016</v>
      </c>
      <c r="BB1973" s="246">
        <f>IFERROR(VLOOKUP(L1973,VOL_REC[],2,FALSE),0)</f>
        <v>17074.045034105649</v>
      </c>
      <c r="BC1973" s="246">
        <f>IFERROR(VLOOKUP(M1973,VOL_REC[],2,FALSE),0)</f>
        <v>105072</v>
      </c>
      <c r="BD1973" s="246">
        <f>IFERROR(VLOOKUP(N1973,VOL_REC[],2,FALSE),0)</f>
        <v>1072354.9981737854</v>
      </c>
      <c r="BE1973" s="246">
        <f>IFERROR(VLOOKUP(O1973,VOL_REC[],2,FALSE),0)</f>
        <v>0</v>
      </c>
      <c r="BF1973" s="246">
        <f>IFERROR(VLOOKUP(P1973,VOL_REC[],2,FALSE),0)</f>
        <v>0</v>
      </c>
      <c r="BG1973" s="246">
        <f>IFERROR(VLOOKUP(Q1973,VOL_REC[],2,FALSE),0)</f>
        <v>0</v>
      </c>
      <c r="BH1973" s="1710">
        <f t="shared" si="124"/>
        <v>33257626319.308186</v>
      </c>
      <c r="BI1973" s="1710">
        <f t="shared" si="125"/>
        <v>30951560886.777679</v>
      </c>
      <c r="BJ1973" s="1711">
        <f t="shared" si="126"/>
        <v>34302179.233288638</v>
      </c>
      <c r="BK1973" s="1711">
        <f t="shared" si="127"/>
        <v>1.0745056264194948</v>
      </c>
      <c r="BL1973">
        <f t="shared" si="134"/>
        <v>34302179.233288638</v>
      </c>
      <c r="BO1973">
        <f t="shared" si="135"/>
        <v>34302179.233288638</v>
      </c>
    </row>
    <row r="1974" spans="3:67" x14ac:dyDescent="0.25">
      <c r="C1974" s="246" t="s">
        <v>3324</v>
      </c>
      <c r="D1974" s="246">
        <v>1</v>
      </c>
      <c r="E1974" s="246">
        <v>2</v>
      </c>
      <c r="F1974" s="246">
        <v>3</v>
      </c>
      <c r="G1974" s="246">
        <v>6</v>
      </c>
      <c r="H1974" s="246">
        <v>9</v>
      </c>
      <c r="I1974" s="246">
        <v>10</v>
      </c>
      <c r="J1974" s="246">
        <v>12</v>
      </c>
      <c r="K1974" s="246">
        <v>13</v>
      </c>
      <c r="L1974" s="246">
        <v>14</v>
      </c>
      <c r="M1974" s="246">
        <v>15</v>
      </c>
      <c r="N1974" s="246">
        <v>17</v>
      </c>
      <c r="O1974" s="246"/>
      <c r="P1974" s="246"/>
      <c r="Q1974" s="246"/>
      <c r="R1974" s="246">
        <f>IFERROR(VLOOKUP(D1974,PROGRAMAS[],2,FALSE),0)</f>
        <v>97037803.679377079</v>
      </c>
      <c r="S1974" s="246">
        <f>IFERROR(VLOOKUP(E1974,PROGRAMAS[],2,FALSE),0)</f>
        <v>640501509.6821388</v>
      </c>
      <c r="T1974" s="246">
        <f>IFERROR(VLOOKUP(F1974,PROGRAMAS[],2,FALSE),0)</f>
        <v>3062327798.1525245</v>
      </c>
      <c r="U1974" s="246">
        <f>IFERROR(VLOOKUP(G1974,PROGRAMAS[],2,FALSE),0)</f>
        <v>6907648435.8447599</v>
      </c>
      <c r="V1974" s="246">
        <f>IFERROR(VLOOKUP(H1974,PROGRAMAS[],2,FALSE),0)</f>
        <v>6128579952.1618185</v>
      </c>
      <c r="W1974" s="246">
        <f>IFERROR(VLOOKUP(I1974,PROGRAMAS[],2,FALSE),0)</f>
        <v>4635315027.8751087</v>
      </c>
      <c r="X1974" s="246">
        <f>IFERROR(VLOOKUP(J1974,PROGRAMAS[],2,FALSE),0)</f>
        <v>764796700.79905891</v>
      </c>
      <c r="Y1974" s="246">
        <f>IFERROR(VLOOKUP(K1974,PROGRAMAS[],2,FALSE),0)</f>
        <v>3776538594.4604583</v>
      </c>
      <c r="Z1974" s="246">
        <f>IFERROR(VLOOKUP(L1974,PROGRAMAS[],2,FALSE),0)</f>
        <v>54223862.645839565</v>
      </c>
      <c r="AA1974" s="246">
        <f>IFERROR(VLOOKUP(M1974,PROGRAMAS[],2,FALSE),0)</f>
        <v>122159672.96346797</v>
      </c>
      <c r="AB1974" s="246">
        <f>IFERROR(VLOOKUP(N1974,PROGRAMAS[],2,FALSE),0)</f>
        <v>1892779498.5211046</v>
      </c>
      <c r="AC1974" s="246">
        <f>IFERROR(VLOOKUP(O1974,PROGRAMAS[],2,FALSE),0)</f>
        <v>0</v>
      </c>
      <c r="AD1974" s="246">
        <f>IFERROR(VLOOKUP(P1974,PROGRAMAS[],2,FALSE),0)</f>
        <v>0</v>
      </c>
      <c r="AE1974" s="246">
        <f>IFERROR(VLOOKUP(Q1974,PROGRAMAS[],2,FALSE),0)</f>
        <v>0</v>
      </c>
      <c r="AF1974" s="246">
        <f>IFERROR(VLOOKUP(D1974,PROGRAMAS[],3,FALSE),0)</f>
        <v>841888629.31080008</v>
      </c>
      <c r="AG1974" s="246">
        <f>IFERROR(VLOOKUP(E1974,PROGRAMAS[],3,FALSE),0)</f>
        <v>3848980803.1642323</v>
      </c>
      <c r="AH1974" s="246">
        <f>IFERROR(VLOOKUP(F1974,PROGRAMAS[],3,FALSE),0)</f>
        <v>3394901471.387517</v>
      </c>
      <c r="AI1974" s="246">
        <f>IFERROR(VLOOKUP(G1974,PROGRAMAS[],3,FALSE),0)</f>
        <v>6129902208.7912121</v>
      </c>
      <c r="AJ1974" s="246">
        <f>IFERROR(VLOOKUP(H1974,PROGRAMAS[],3,FALSE),0)</f>
        <v>7011279577.519702</v>
      </c>
      <c r="AK1974" s="246">
        <f>IFERROR(VLOOKUP(I1974,PROGRAMAS[],3,FALSE),0)</f>
        <v>4099471734.9978786</v>
      </c>
      <c r="AL1974" s="246">
        <f>IFERROR(VLOOKUP(J1974,PROGRAMAS[],3,FALSE),0)</f>
        <v>675517840.109828</v>
      </c>
      <c r="AM1974" s="246">
        <f>IFERROR(VLOOKUP(K1974,PROGRAMAS[],3,FALSE),0)</f>
        <v>2392571243.5584412</v>
      </c>
      <c r="AN1974" s="246">
        <f>IFERROR(VLOOKUP(L1974,PROGRAMAS[],3,FALSE),0)</f>
        <v>31865326.38096505</v>
      </c>
      <c r="AO1974" s="246">
        <f>IFERROR(VLOOKUP(M1974,PROGRAMAS[],3,FALSE),0)</f>
        <v>118617452.52510804</v>
      </c>
      <c r="AP1974" s="246">
        <f>IFERROR(VLOOKUP(N1974,PROGRAMAS[],3,FALSE),0)</f>
        <v>948595847.09039903</v>
      </c>
      <c r="AQ1974" s="246">
        <f>IFERROR(VLOOKUP(O1974,PROGRAMAS[],3,FALSE),0)</f>
        <v>0</v>
      </c>
      <c r="AR1974" s="246">
        <f>IFERROR(VLOOKUP(P1974,PROGRAMAS[],3,FALSE),0)</f>
        <v>0</v>
      </c>
      <c r="AS1974" s="246">
        <f>IFERROR(VLOOKUP(Q1974,PROGRAMAS[],3,FALSE),0)</f>
        <v>0</v>
      </c>
      <c r="AT1974" s="246">
        <f>IFERROR(VLOOKUP(D1974,VOL_REC[],2,FALSE),0)</f>
        <v>0</v>
      </c>
      <c r="AU1974" s="246">
        <f>IFERROR(VLOOKUP(E1974,VOL_REC[],2,FALSE),0)</f>
        <v>0</v>
      </c>
      <c r="AV1974" s="246">
        <f>IFERROR(VLOOKUP(F1974,VOL_REC[],2,FALSE),0)</f>
        <v>11089674.200000001</v>
      </c>
      <c r="AW1974" s="246">
        <f>IFERROR(VLOOKUP(G1974,VOL_REC[],2,FALSE),0)</f>
        <v>15540036.397699751</v>
      </c>
      <c r="AX1974" s="246">
        <f>IFERROR(VLOOKUP(H1974,VOL_REC[],2,FALSE),0)</f>
        <v>3761786</v>
      </c>
      <c r="AY1974" s="246">
        <f>IFERROR(VLOOKUP(I1974,VOL_REC[],2,FALSE),0)</f>
        <v>1812240</v>
      </c>
      <c r="AZ1974" s="246">
        <f>IFERROR(VLOOKUP(J1974,VOL_REC[],2,FALSE),0)</f>
        <v>240696.79238099116</v>
      </c>
      <c r="BA1974" s="246">
        <f>IFERROR(VLOOKUP(K1974,VOL_REC[],2,FALSE),0)</f>
        <v>663244.80000000016</v>
      </c>
      <c r="BB1974" s="246">
        <f>IFERROR(VLOOKUP(L1974,VOL_REC[],2,FALSE),0)</f>
        <v>17074.045034105649</v>
      </c>
      <c r="BC1974" s="246">
        <f>IFERROR(VLOOKUP(M1974,VOL_REC[],2,FALSE),0)</f>
        <v>105072</v>
      </c>
      <c r="BD1974" s="246">
        <f>IFERROR(VLOOKUP(N1974,VOL_REC[],2,FALSE),0)</f>
        <v>740113.98115702497</v>
      </c>
      <c r="BE1974" s="246">
        <f>IFERROR(VLOOKUP(O1974,VOL_REC[],2,FALSE),0)</f>
        <v>0</v>
      </c>
      <c r="BF1974" s="246">
        <f>IFERROR(VLOOKUP(P1974,VOL_REC[],2,FALSE),0)</f>
        <v>0</v>
      </c>
      <c r="BG1974" s="246">
        <f>IFERROR(VLOOKUP(Q1974,VOL_REC[],2,FALSE),0)</f>
        <v>0</v>
      </c>
      <c r="BH1974" s="1710">
        <f t="shared" si="124"/>
        <v>28081908856.785652</v>
      </c>
      <c r="BI1974" s="1710">
        <f t="shared" si="125"/>
        <v>29493592134.83609</v>
      </c>
      <c r="BJ1974" s="1711">
        <f t="shared" si="126"/>
        <v>33969938.216271877</v>
      </c>
      <c r="BK1974" s="1711">
        <f t="shared" si="127"/>
        <v>0.95213593272746722</v>
      </c>
    </row>
    <row r="1975" spans="3:67" x14ac:dyDescent="0.25">
      <c r="C1975" s="246" t="s">
        <v>3325</v>
      </c>
      <c r="D1975" s="246">
        <v>1</v>
      </c>
      <c r="E1975" s="246">
        <v>2</v>
      </c>
      <c r="F1975" s="246">
        <v>3</v>
      </c>
      <c r="G1975" s="246">
        <v>6</v>
      </c>
      <c r="H1975" s="246">
        <v>9</v>
      </c>
      <c r="I1975" s="246">
        <v>10</v>
      </c>
      <c r="J1975" s="246">
        <v>12</v>
      </c>
      <c r="K1975" s="246">
        <v>13</v>
      </c>
      <c r="L1975" s="246">
        <v>14</v>
      </c>
      <c r="M1975" s="246">
        <v>16</v>
      </c>
      <c r="N1975" s="246">
        <v>17</v>
      </c>
      <c r="O1975" s="246"/>
      <c r="P1975" s="246"/>
      <c r="Q1975" s="246"/>
      <c r="R1975" s="246">
        <f>IFERROR(VLOOKUP(D1975,PROGRAMAS[],2,FALSE),0)</f>
        <v>97037803.679377079</v>
      </c>
      <c r="S1975" s="246">
        <f>IFERROR(VLOOKUP(E1975,PROGRAMAS[],2,FALSE),0)</f>
        <v>640501509.6821388</v>
      </c>
      <c r="T1975" s="246">
        <f>IFERROR(VLOOKUP(F1975,PROGRAMAS[],2,FALSE),0)</f>
        <v>3062327798.1525245</v>
      </c>
      <c r="U1975" s="246">
        <f>IFERROR(VLOOKUP(G1975,PROGRAMAS[],2,FALSE),0)</f>
        <v>6907648435.8447599</v>
      </c>
      <c r="V1975" s="246">
        <f>IFERROR(VLOOKUP(H1975,PROGRAMAS[],2,FALSE),0)</f>
        <v>6128579952.1618185</v>
      </c>
      <c r="W1975" s="246">
        <f>IFERROR(VLOOKUP(I1975,PROGRAMAS[],2,FALSE),0)</f>
        <v>4635315027.8751087</v>
      </c>
      <c r="X1975" s="246">
        <f>IFERROR(VLOOKUP(J1975,PROGRAMAS[],2,FALSE),0)</f>
        <v>764796700.79905891</v>
      </c>
      <c r="Y1975" s="246">
        <f>IFERROR(VLOOKUP(K1975,PROGRAMAS[],2,FALSE),0)</f>
        <v>3776538594.4604583</v>
      </c>
      <c r="Z1975" s="246">
        <f>IFERROR(VLOOKUP(L1975,PROGRAMAS[],2,FALSE),0)</f>
        <v>54223862.645839565</v>
      </c>
      <c r="AA1975" s="246">
        <f>IFERROR(VLOOKUP(M1975,PROGRAMAS[],2,FALSE),0)</f>
        <v>7068496961.0436354</v>
      </c>
      <c r="AB1975" s="246">
        <f>IFERROR(VLOOKUP(N1975,PROGRAMAS[],2,FALSE),0)</f>
        <v>1892779498.5211046</v>
      </c>
      <c r="AC1975" s="246">
        <f>IFERROR(VLOOKUP(O1975,PROGRAMAS[],2,FALSE),0)</f>
        <v>0</v>
      </c>
      <c r="AD1975" s="246">
        <f>IFERROR(VLOOKUP(P1975,PROGRAMAS[],2,FALSE),0)</f>
        <v>0</v>
      </c>
      <c r="AE1975" s="246">
        <f>IFERROR(VLOOKUP(Q1975,PROGRAMAS[],2,FALSE),0)</f>
        <v>0</v>
      </c>
      <c r="AF1975" s="246">
        <f>IFERROR(VLOOKUP(D1975,PROGRAMAS[],3,FALSE),0)</f>
        <v>841888629.31080008</v>
      </c>
      <c r="AG1975" s="246">
        <f>IFERROR(VLOOKUP(E1975,PROGRAMAS[],3,FALSE),0)</f>
        <v>3848980803.1642323</v>
      </c>
      <c r="AH1975" s="246">
        <f>IFERROR(VLOOKUP(F1975,PROGRAMAS[],3,FALSE),0)</f>
        <v>3394901471.387517</v>
      </c>
      <c r="AI1975" s="246">
        <f>IFERROR(VLOOKUP(G1975,PROGRAMAS[],3,FALSE),0)</f>
        <v>6129902208.7912121</v>
      </c>
      <c r="AJ1975" s="246">
        <f>IFERROR(VLOOKUP(H1975,PROGRAMAS[],3,FALSE),0)</f>
        <v>7011279577.519702</v>
      </c>
      <c r="AK1975" s="246">
        <f>IFERROR(VLOOKUP(I1975,PROGRAMAS[],3,FALSE),0)</f>
        <v>4099471734.9978786</v>
      </c>
      <c r="AL1975" s="246">
        <f>IFERROR(VLOOKUP(J1975,PROGRAMAS[],3,FALSE),0)</f>
        <v>675517840.109828</v>
      </c>
      <c r="AM1975" s="246">
        <f>IFERROR(VLOOKUP(K1975,PROGRAMAS[],3,FALSE),0)</f>
        <v>2392571243.5584412</v>
      </c>
      <c r="AN1975" s="246">
        <f>IFERROR(VLOOKUP(L1975,PROGRAMAS[],3,FALSE),0)</f>
        <v>31865326.38096505</v>
      </c>
      <c r="AO1975" s="246">
        <f>IFERROR(VLOOKUP(M1975,PROGRAMAS[],3,FALSE),0)</f>
        <v>2406564599.0319901</v>
      </c>
      <c r="AP1975" s="246">
        <f>IFERROR(VLOOKUP(N1975,PROGRAMAS[],3,FALSE),0)</f>
        <v>948595847.09039903</v>
      </c>
      <c r="AQ1975" s="246">
        <f>IFERROR(VLOOKUP(O1975,PROGRAMAS[],3,FALSE),0)</f>
        <v>0</v>
      </c>
      <c r="AR1975" s="246">
        <f>IFERROR(VLOOKUP(P1975,PROGRAMAS[],3,FALSE),0)</f>
        <v>0</v>
      </c>
      <c r="AS1975" s="246">
        <f>IFERROR(VLOOKUP(Q1975,PROGRAMAS[],3,FALSE),0)</f>
        <v>0</v>
      </c>
      <c r="AT1975" s="246">
        <f>IFERROR(VLOOKUP(D1975,VOL_REC[],2,FALSE),0)</f>
        <v>0</v>
      </c>
      <c r="AU1975" s="246">
        <f>IFERROR(VLOOKUP(E1975,VOL_REC[],2,FALSE),0)</f>
        <v>0</v>
      </c>
      <c r="AV1975" s="246">
        <f>IFERROR(VLOOKUP(F1975,VOL_REC[],2,FALSE),0)</f>
        <v>11089674.200000001</v>
      </c>
      <c r="AW1975" s="246">
        <f>IFERROR(VLOOKUP(G1975,VOL_REC[],2,FALSE),0)</f>
        <v>15540036.397699751</v>
      </c>
      <c r="AX1975" s="246">
        <f>IFERROR(VLOOKUP(H1975,VOL_REC[],2,FALSE),0)</f>
        <v>3761786</v>
      </c>
      <c r="AY1975" s="246">
        <f>IFERROR(VLOOKUP(I1975,VOL_REC[],2,FALSE),0)</f>
        <v>1812240</v>
      </c>
      <c r="AZ1975" s="246">
        <f>IFERROR(VLOOKUP(J1975,VOL_REC[],2,FALSE),0)</f>
        <v>240696.79238099116</v>
      </c>
      <c r="BA1975" s="246">
        <f>IFERROR(VLOOKUP(K1975,VOL_REC[],2,FALSE),0)</f>
        <v>663244.80000000016</v>
      </c>
      <c r="BB1975" s="246">
        <f>IFERROR(VLOOKUP(L1975,VOL_REC[],2,FALSE),0)</f>
        <v>17074.045034105649</v>
      </c>
      <c r="BC1975" s="246">
        <f>IFERROR(VLOOKUP(M1975,VOL_REC[],2,FALSE),0)</f>
        <v>1072354.9981737854</v>
      </c>
      <c r="BD1975" s="246">
        <f>IFERROR(VLOOKUP(N1975,VOL_REC[],2,FALSE),0)</f>
        <v>740113.98115702497</v>
      </c>
      <c r="BE1975" s="246">
        <f>IFERROR(VLOOKUP(O1975,VOL_REC[],2,FALSE),0)</f>
        <v>0</v>
      </c>
      <c r="BF1975" s="246">
        <f>IFERROR(VLOOKUP(P1975,VOL_REC[],2,FALSE),0)</f>
        <v>0</v>
      </c>
      <c r="BG1975" s="246">
        <f>IFERROR(VLOOKUP(Q1975,VOL_REC[],2,FALSE),0)</f>
        <v>0</v>
      </c>
      <c r="BH1975" s="1710">
        <f t="shared" si="124"/>
        <v>35028246144.865822</v>
      </c>
      <c r="BI1975" s="1710">
        <f t="shared" si="125"/>
        <v>31781539281.342972</v>
      </c>
      <c r="BJ1975" s="1711">
        <f t="shared" si="126"/>
        <v>34937221.214445665</v>
      </c>
      <c r="BK1975" s="1711">
        <f t="shared" si="127"/>
        <v>1.1021570048820384</v>
      </c>
      <c r="BL1975">
        <f t="shared" ref="BL1975:BL1981" si="136">BJ1975</f>
        <v>34937221.214445665</v>
      </c>
      <c r="BO1975">
        <f t="shared" ref="BO1975:BO1981" si="137">BL1975</f>
        <v>34937221.214445665</v>
      </c>
    </row>
    <row r="1976" spans="3:67" x14ac:dyDescent="0.25">
      <c r="C1976" s="246" t="s">
        <v>3326</v>
      </c>
      <c r="D1976" s="246">
        <v>1</v>
      </c>
      <c r="E1976" s="246">
        <v>2</v>
      </c>
      <c r="F1976" s="246">
        <v>3</v>
      </c>
      <c r="G1976" s="246">
        <v>6</v>
      </c>
      <c r="H1976" s="246">
        <v>9</v>
      </c>
      <c r="I1976" s="246">
        <v>10</v>
      </c>
      <c r="J1976" s="246">
        <v>12</v>
      </c>
      <c r="K1976" s="246">
        <v>13</v>
      </c>
      <c r="L1976" s="246">
        <v>15</v>
      </c>
      <c r="M1976" s="246">
        <v>16</v>
      </c>
      <c r="N1976" s="246">
        <v>17</v>
      </c>
      <c r="O1976" s="246"/>
      <c r="P1976" s="246"/>
      <c r="Q1976" s="246"/>
      <c r="R1976" s="246">
        <f>IFERROR(VLOOKUP(D1976,PROGRAMAS[],2,FALSE),0)</f>
        <v>97037803.679377079</v>
      </c>
      <c r="S1976" s="246">
        <f>IFERROR(VLOOKUP(E1976,PROGRAMAS[],2,FALSE),0)</f>
        <v>640501509.6821388</v>
      </c>
      <c r="T1976" s="246">
        <f>IFERROR(VLOOKUP(F1976,PROGRAMAS[],2,FALSE),0)</f>
        <v>3062327798.1525245</v>
      </c>
      <c r="U1976" s="246">
        <f>IFERROR(VLOOKUP(G1976,PROGRAMAS[],2,FALSE),0)</f>
        <v>6907648435.8447599</v>
      </c>
      <c r="V1976" s="246">
        <f>IFERROR(VLOOKUP(H1976,PROGRAMAS[],2,FALSE),0)</f>
        <v>6128579952.1618185</v>
      </c>
      <c r="W1976" s="246">
        <f>IFERROR(VLOOKUP(I1976,PROGRAMAS[],2,FALSE),0)</f>
        <v>4635315027.8751087</v>
      </c>
      <c r="X1976" s="246">
        <f>IFERROR(VLOOKUP(J1976,PROGRAMAS[],2,FALSE),0)</f>
        <v>764796700.79905891</v>
      </c>
      <c r="Y1976" s="246">
        <f>IFERROR(VLOOKUP(K1976,PROGRAMAS[],2,FALSE),0)</f>
        <v>3776538594.4604583</v>
      </c>
      <c r="Z1976" s="246">
        <f>IFERROR(VLOOKUP(L1976,PROGRAMAS[],2,FALSE),0)</f>
        <v>122159672.96346797</v>
      </c>
      <c r="AA1976" s="246">
        <f>IFERROR(VLOOKUP(M1976,PROGRAMAS[],2,FALSE),0)</f>
        <v>7068496961.0436354</v>
      </c>
      <c r="AB1976" s="246">
        <f>IFERROR(VLOOKUP(N1976,PROGRAMAS[],2,FALSE),0)</f>
        <v>1892779498.5211046</v>
      </c>
      <c r="AC1976" s="246">
        <f>IFERROR(VLOOKUP(O1976,PROGRAMAS[],2,FALSE),0)</f>
        <v>0</v>
      </c>
      <c r="AD1976" s="246">
        <f>IFERROR(VLOOKUP(P1976,PROGRAMAS[],2,FALSE),0)</f>
        <v>0</v>
      </c>
      <c r="AE1976" s="246">
        <f>IFERROR(VLOOKUP(Q1976,PROGRAMAS[],2,FALSE),0)</f>
        <v>0</v>
      </c>
      <c r="AF1976" s="246">
        <f>IFERROR(VLOOKUP(D1976,PROGRAMAS[],3,FALSE),0)</f>
        <v>841888629.31080008</v>
      </c>
      <c r="AG1976" s="246">
        <f>IFERROR(VLOOKUP(E1976,PROGRAMAS[],3,FALSE),0)</f>
        <v>3848980803.1642323</v>
      </c>
      <c r="AH1976" s="246">
        <f>IFERROR(VLOOKUP(F1976,PROGRAMAS[],3,FALSE),0)</f>
        <v>3394901471.387517</v>
      </c>
      <c r="AI1976" s="246">
        <f>IFERROR(VLOOKUP(G1976,PROGRAMAS[],3,FALSE),0)</f>
        <v>6129902208.7912121</v>
      </c>
      <c r="AJ1976" s="246">
        <f>IFERROR(VLOOKUP(H1976,PROGRAMAS[],3,FALSE),0)</f>
        <v>7011279577.519702</v>
      </c>
      <c r="AK1976" s="246">
        <f>IFERROR(VLOOKUP(I1976,PROGRAMAS[],3,FALSE),0)</f>
        <v>4099471734.9978786</v>
      </c>
      <c r="AL1976" s="246">
        <f>IFERROR(VLOOKUP(J1976,PROGRAMAS[],3,FALSE),0)</f>
        <v>675517840.109828</v>
      </c>
      <c r="AM1976" s="246">
        <f>IFERROR(VLOOKUP(K1976,PROGRAMAS[],3,FALSE),0)</f>
        <v>2392571243.5584412</v>
      </c>
      <c r="AN1976" s="246">
        <f>IFERROR(VLOOKUP(L1976,PROGRAMAS[],3,FALSE),0)</f>
        <v>118617452.52510804</v>
      </c>
      <c r="AO1976" s="246">
        <f>IFERROR(VLOOKUP(M1976,PROGRAMAS[],3,FALSE),0)</f>
        <v>2406564599.0319901</v>
      </c>
      <c r="AP1976" s="246">
        <f>IFERROR(VLOOKUP(N1976,PROGRAMAS[],3,FALSE),0)</f>
        <v>948595847.09039903</v>
      </c>
      <c r="AQ1976" s="246">
        <f>IFERROR(VLOOKUP(O1976,PROGRAMAS[],3,FALSE),0)</f>
        <v>0</v>
      </c>
      <c r="AR1976" s="246">
        <f>IFERROR(VLOOKUP(P1976,PROGRAMAS[],3,FALSE),0)</f>
        <v>0</v>
      </c>
      <c r="AS1976" s="246">
        <f>IFERROR(VLOOKUP(Q1976,PROGRAMAS[],3,FALSE),0)</f>
        <v>0</v>
      </c>
      <c r="AT1976" s="246">
        <f>IFERROR(VLOOKUP(D1976,VOL_REC[],2,FALSE),0)</f>
        <v>0</v>
      </c>
      <c r="AU1976" s="246">
        <f>IFERROR(VLOOKUP(E1976,VOL_REC[],2,FALSE),0)</f>
        <v>0</v>
      </c>
      <c r="AV1976" s="246">
        <f>IFERROR(VLOOKUP(F1976,VOL_REC[],2,FALSE),0)</f>
        <v>11089674.200000001</v>
      </c>
      <c r="AW1976" s="246">
        <f>IFERROR(VLOOKUP(G1976,VOL_REC[],2,FALSE),0)</f>
        <v>15540036.397699751</v>
      </c>
      <c r="AX1976" s="246">
        <f>IFERROR(VLOOKUP(H1976,VOL_REC[],2,FALSE),0)</f>
        <v>3761786</v>
      </c>
      <c r="AY1976" s="246">
        <f>IFERROR(VLOOKUP(I1976,VOL_REC[],2,FALSE),0)</f>
        <v>1812240</v>
      </c>
      <c r="AZ1976" s="246">
        <f>IFERROR(VLOOKUP(J1976,VOL_REC[],2,FALSE),0)</f>
        <v>240696.79238099116</v>
      </c>
      <c r="BA1976" s="246">
        <f>IFERROR(VLOOKUP(K1976,VOL_REC[],2,FALSE),0)</f>
        <v>663244.80000000016</v>
      </c>
      <c r="BB1976" s="246">
        <f>IFERROR(VLOOKUP(L1976,VOL_REC[],2,FALSE),0)</f>
        <v>105072</v>
      </c>
      <c r="BC1976" s="246">
        <f>IFERROR(VLOOKUP(M1976,VOL_REC[],2,FALSE),0)</f>
        <v>1072354.9981737854</v>
      </c>
      <c r="BD1976" s="246">
        <f>IFERROR(VLOOKUP(N1976,VOL_REC[],2,FALSE),0)</f>
        <v>740113.98115702497</v>
      </c>
      <c r="BE1976" s="246">
        <f>IFERROR(VLOOKUP(O1976,VOL_REC[],2,FALSE),0)</f>
        <v>0</v>
      </c>
      <c r="BF1976" s="246">
        <f>IFERROR(VLOOKUP(P1976,VOL_REC[],2,FALSE),0)</f>
        <v>0</v>
      </c>
      <c r="BG1976" s="246">
        <f>IFERROR(VLOOKUP(Q1976,VOL_REC[],2,FALSE),0)</f>
        <v>0</v>
      </c>
      <c r="BH1976" s="1710">
        <f t="shared" si="124"/>
        <v>35096181955.183449</v>
      </c>
      <c r="BI1976" s="1710">
        <f t="shared" si="125"/>
        <v>31868291407.487114</v>
      </c>
      <c r="BJ1976" s="1711">
        <f t="shared" si="126"/>
        <v>35025219.169411562</v>
      </c>
      <c r="BK1976" s="1711">
        <f t="shared" si="127"/>
        <v>1.1012884721814102</v>
      </c>
      <c r="BL1976">
        <f t="shared" si="136"/>
        <v>35025219.169411562</v>
      </c>
      <c r="BO1976">
        <f t="shared" si="137"/>
        <v>35025219.169411562</v>
      </c>
    </row>
    <row r="1977" spans="3:67" x14ac:dyDescent="0.25">
      <c r="C1977" s="246" t="s">
        <v>3327</v>
      </c>
      <c r="D1977" s="246">
        <v>1</v>
      </c>
      <c r="E1977" s="246">
        <v>2</v>
      </c>
      <c r="F1977" s="246">
        <v>3</v>
      </c>
      <c r="G1977" s="246">
        <v>6</v>
      </c>
      <c r="H1977" s="246">
        <v>9</v>
      </c>
      <c r="I1977" s="246">
        <v>10</v>
      </c>
      <c r="J1977" s="246">
        <v>12</v>
      </c>
      <c r="K1977" s="246">
        <v>14</v>
      </c>
      <c r="L1977" s="246">
        <v>15</v>
      </c>
      <c r="M1977" s="246">
        <v>16</v>
      </c>
      <c r="N1977" s="246">
        <v>17</v>
      </c>
      <c r="O1977" s="246"/>
      <c r="P1977" s="246"/>
      <c r="Q1977" s="246"/>
      <c r="R1977" s="246">
        <f>IFERROR(VLOOKUP(D1977,PROGRAMAS[],2,FALSE),0)</f>
        <v>97037803.679377079</v>
      </c>
      <c r="S1977" s="246">
        <f>IFERROR(VLOOKUP(E1977,PROGRAMAS[],2,FALSE),0)</f>
        <v>640501509.6821388</v>
      </c>
      <c r="T1977" s="246">
        <f>IFERROR(VLOOKUP(F1977,PROGRAMAS[],2,FALSE),0)</f>
        <v>3062327798.1525245</v>
      </c>
      <c r="U1977" s="246">
        <f>IFERROR(VLOOKUP(G1977,PROGRAMAS[],2,FALSE),0)</f>
        <v>6907648435.8447599</v>
      </c>
      <c r="V1977" s="246">
        <f>IFERROR(VLOOKUP(H1977,PROGRAMAS[],2,FALSE),0)</f>
        <v>6128579952.1618185</v>
      </c>
      <c r="W1977" s="246">
        <f>IFERROR(VLOOKUP(I1977,PROGRAMAS[],2,FALSE),0)</f>
        <v>4635315027.8751087</v>
      </c>
      <c r="X1977" s="246">
        <f>IFERROR(VLOOKUP(J1977,PROGRAMAS[],2,FALSE),0)</f>
        <v>764796700.79905891</v>
      </c>
      <c r="Y1977" s="246">
        <f>IFERROR(VLOOKUP(K1977,PROGRAMAS[],2,FALSE),0)</f>
        <v>54223862.645839565</v>
      </c>
      <c r="Z1977" s="246">
        <f>IFERROR(VLOOKUP(L1977,PROGRAMAS[],2,FALSE),0)</f>
        <v>122159672.96346797</v>
      </c>
      <c r="AA1977" s="246">
        <f>IFERROR(VLOOKUP(M1977,PROGRAMAS[],2,FALSE),0)</f>
        <v>7068496961.0436354</v>
      </c>
      <c r="AB1977" s="246">
        <f>IFERROR(VLOOKUP(N1977,PROGRAMAS[],2,FALSE),0)</f>
        <v>1892779498.5211046</v>
      </c>
      <c r="AC1977" s="246">
        <f>IFERROR(VLOOKUP(O1977,PROGRAMAS[],2,FALSE),0)</f>
        <v>0</v>
      </c>
      <c r="AD1977" s="246">
        <f>IFERROR(VLOOKUP(P1977,PROGRAMAS[],2,FALSE),0)</f>
        <v>0</v>
      </c>
      <c r="AE1977" s="246">
        <f>IFERROR(VLOOKUP(Q1977,PROGRAMAS[],2,FALSE),0)</f>
        <v>0</v>
      </c>
      <c r="AF1977" s="246">
        <f>IFERROR(VLOOKUP(D1977,PROGRAMAS[],3,FALSE),0)</f>
        <v>841888629.31080008</v>
      </c>
      <c r="AG1977" s="246">
        <f>IFERROR(VLOOKUP(E1977,PROGRAMAS[],3,FALSE),0)</f>
        <v>3848980803.1642323</v>
      </c>
      <c r="AH1977" s="246">
        <f>IFERROR(VLOOKUP(F1977,PROGRAMAS[],3,FALSE),0)</f>
        <v>3394901471.387517</v>
      </c>
      <c r="AI1977" s="246">
        <f>IFERROR(VLOOKUP(G1977,PROGRAMAS[],3,FALSE),0)</f>
        <v>6129902208.7912121</v>
      </c>
      <c r="AJ1977" s="246">
        <f>IFERROR(VLOOKUP(H1977,PROGRAMAS[],3,FALSE),0)</f>
        <v>7011279577.519702</v>
      </c>
      <c r="AK1977" s="246">
        <f>IFERROR(VLOOKUP(I1977,PROGRAMAS[],3,FALSE),0)</f>
        <v>4099471734.9978786</v>
      </c>
      <c r="AL1977" s="246">
        <f>IFERROR(VLOOKUP(J1977,PROGRAMAS[],3,FALSE),0)</f>
        <v>675517840.109828</v>
      </c>
      <c r="AM1977" s="246">
        <f>IFERROR(VLOOKUP(K1977,PROGRAMAS[],3,FALSE),0)</f>
        <v>31865326.38096505</v>
      </c>
      <c r="AN1977" s="246">
        <f>IFERROR(VLOOKUP(L1977,PROGRAMAS[],3,FALSE),0)</f>
        <v>118617452.52510804</v>
      </c>
      <c r="AO1977" s="246">
        <f>IFERROR(VLOOKUP(M1977,PROGRAMAS[],3,FALSE),0)</f>
        <v>2406564599.0319901</v>
      </c>
      <c r="AP1977" s="246">
        <f>IFERROR(VLOOKUP(N1977,PROGRAMAS[],3,FALSE),0)</f>
        <v>948595847.09039903</v>
      </c>
      <c r="AQ1977" s="246">
        <f>IFERROR(VLOOKUP(O1977,PROGRAMAS[],3,FALSE),0)</f>
        <v>0</v>
      </c>
      <c r="AR1977" s="246">
        <f>IFERROR(VLOOKUP(P1977,PROGRAMAS[],3,FALSE),0)</f>
        <v>0</v>
      </c>
      <c r="AS1977" s="246">
        <f>IFERROR(VLOOKUP(Q1977,PROGRAMAS[],3,FALSE),0)</f>
        <v>0</v>
      </c>
      <c r="AT1977" s="246">
        <f>IFERROR(VLOOKUP(D1977,VOL_REC[],2,FALSE),0)</f>
        <v>0</v>
      </c>
      <c r="AU1977" s="246">
        <f>IFERROR(VLOOKUP(E1977,VOL_REC[],2,FALSE),0)</f>
        <v>0</v>
      </c>
      <c r="AV1977" s="246">
        <f>IFERROR(VLOOKUP(F1977,VOL_REC[],2,FALSE),0)</f>
        <v>11089674.200000001</v>
      </c>
      <c r="AW1977" s="246">
        <f>IFERROR(VLOOKUP(G1977,VOL_REC[],2,FALSE),0)</f>
        <v>15540036.397699751</v>
      </c>
      <c r="AX1977" s="246">
        <f>IFERROR(VLOOKUP(H1977,VOL_REC[],2,FALSE),0)</f>
        <v>3761786</v>
      </c>
      <c r="AY1977" s="246">
        <f>IFERROR(VLOOKUP(I1977,VOL_REC[],2,FALSE),0)</f>
        <v>1812240</v>
      </c>
      <c r="AZ1977" s="246">
        <f>IFERROR(VLOOKUP(J1977,VOL_REC[],2,FALSE),0)</f>
        <v>240696.79238099116</v>
      </c>
      <c r="BA1977" s="246">
        <f>IFERROR(VLOOKUP(K1977,VOL_REC[],2,FALSE),0)</f>
        <v>17074.045034105649</v>
      </c>
      <c r="BB1977" s="246">
        <f>IFERROR(VLOOKUP(L1977,VOL_REC[],2,FALSE),0)</f>
        <v>105072</v>
      </c>
      <c r="BC1977" s="246">
        <f>IFERROR(VLOOKUP(M1977,VOL_REC[],2,FALSE),0)</f>
        <v>1072354.9981737854</v>
      </c>
      <c r="BD1977" s="246">
        <f>IFERROR(VLOOKUP(N1977,VOL_REC[],2,FALSE),0)</f>
        <v>740113.98115702497</v>
      </c>
      <c r="BE1977" s="246">
        <f>IFERROR(VLOOKUP(O1977,VOL_REC[],2,FALSE),0)</f>
        <v>0</v>
      </c>
      <c r="BF1977" s="246">
        <f>IFERROR(VLOOKUP(P1977,VOL_REC[],2,FALSE),0)</f>
        <v>0</v>
      </c>
      <c r="BG1977" s="246">
        <f>IFERROR(VLOOKUP(Q1977,VOL_REC[],2,FALSE),0)</f>
        <v>0</v>
      </c>
      <c r="BH1977" s="1710">
        <f t="shared" si="124"/>
        <v>31373867223.368832</v>
      </c>
      <c r="BI1977" s="1710">
        <f t="shared" si="125"/>
        <v>29507585490.309639</v>
      </c>
      <c r="BJ1977" s="1711">
        <f t="shared" si="126"/>
        <v>34379048.414445668</v>
      </c>
      <c r="BK1977" s="1711">
        <f t="shared" si="127"/>
        <v>1.0632475243924002</v>
      </c>
      <c r="BL1977">
        <f t="shared" si="136"/>
        <v>34379048.414445668</v>
      </c>
      <c r="BO1977">
        <f t="shared" si="137"/>
        <v>34379048.414445668</v>
      </c>
    </row>
    <row r="1978" spans="3:67" x14ac:dyDescent="0.25">
      <c r="C1978" s="246" t="s">
        <v>3328</v>
      </c>
      <c r="D1978" s="246">
        <v>1</v>
      </c>
      <c r="E1978" s="246">
        <v>2</v>
      </c>
      <c r="F1978" s="246">
        <v>3</v>
      </c>
      <c r="G1978" s="246">
        <v>6</v>
      </c>
      <c r="H1978" s="246">
        <v>9</v>
      </c>
      <c r="I1978" s="246">
        <v>10</v>
      </c>
      <c r="J1978" s="246">
        <v>13</v>
      </c>
      <c r="K1978" s="246">
        <v>14</v>
      </c>
      <c r="L1978" s="246">
        <v>15</v>
      </c>
      <c r="M1978" s="246">
        <v>16</v>
      </c>
      <c r="N1978" s="246">
        <v>17</v>
      </c>
      <c r="O1978" s="246"/>
      <c r="P1978" s="246"/>
      <c r="Q1978" s="246"/>
      <c r="R1978" s="246">
        <f>IFERROR(VLOOKUP(D1978,PROGRAMAS[],2,FALSE),0)</f>
        <v>97037803.679377079</v>
      </c>
      <c r="S1978" s="246">
        <f>IFERROR(VLOOKUP(E1978,PROGRAMAS[],2,FALSE),0)</f>
        <v>640501509.6821388</v>
      </c>
      <c r="T1978" s="246">
        <f>IFERROR(VLOOKUP(F1978,PROGRAMAS[],2,FALSE),0)</f>
        <v>3062327798.1525245</v>
      </c>
      <c r="U1978" s="246">
        <f>IFERROR(VLOOKUP(G1978,PROGRAMAS[],2,FALSE),0)</f>
        <v>6907648435.8447599</v>
      </c>
      <c r="V1978" s="246">
        <f>IFERROR(VLOOKUP(H1978,PROGRAMAS[],2,FALSE),0)</f>
        <v>6128579952.1618185</v>
      </c>
      <c r="W1978" s="246">
        <f>IFERROR(VLOOKUP(I1978,PROGRAMAS[],2,FALSE),0)</f>
        <v>4635315027.8751087</v>
      </c>
      <c r="X1978" s="246">
        <f>IFERROR(VLOOKUP(J1978,PROGRAMAS[],2,FALSE),0)</f>
        <v>3776538594.4604583</v>
      </c>
      <c r="Y1978" s="246">
        <f>IFERROR(VLOOKUP(K1978,PROGRAMAS[],2,FALSE),0)</f>
        <v>54223862.645839565</v>
      </c>
      <c r="Z1978" s="246">
        <f>IFERROR(VLOOKUP(L1978,PROGRAMAS[],2,FALSE),0)</f>
        <v>122159672.96346797</v>
      </c>
      <c r="AA1978" s="246">
        <f>IFERROR(VLOOKUP(M1978,PROGRAMAS[],2,FALSE),0)</f>
        <v>7068496961.0436354</v>
      </c>
      <c r="AB1978" s="246">
        <f>IFERROR(VLOOKUP(N1978,PROGRAMAS[],2,FALSE),0)</f>
        <v>1892779498.5211046</v>
      </c>
      <c r="AC1978" s="246">
        <f>IFERROR(VLOOKUP(O1978,PROGRAMAS[],2,FALSE),0)</f>
        <v>0</v>
      </c>
      <c r="AD1978" s="246">
        <f>IFERROR(VLOOKUP(P1978,PROGRAMAS[],2,FALSE),0)</f>
        <v>0</v>
      </c>
      <c r="AE1978" s="246">
        <f>IFERROR(VLOOKUP(Q1978,PROGRAMAS[],2,FALSE),0)</f>
        <v>0</v>
      </c>
      <c r="AF1978" s="246">
        <f>IFERROR(VLOOKUP(D1978,PROGRAMAS[],3,FALSE),0)</f>
        <v>841888629.31080008</v>
      </c>
      <c r="AG1978" s="246">
        <f>IFERROR(VLOOKUP(E1978,PROGRAMAS[],3,FALSE),0)</f>
        <v>3848980803.1642323</v>
      </c>
      <c r="AH1978" s="246">
        <f>IFERROR(VLOOKUP(F1978,PROGRAMAS[],3,FALSE),0)</f>
        <v>3394901471.387517</v>
      </c>
      <c r="AI1978" s="246">
        <f>IFERROR(VLOOKUP(G1978,PROGRAMAS[],3,FALSE),0)</f>
        <v>6129902208.7912121</v>
      </c>
      <c r="AJ1978" s="246">
        <f>IFERROR(VLOOKUP(H1978,PROGRAMAS[],3,FALSE),0)</f>
        <v>7011279577.519702</v>
      </c>
      <c r="AK1978" s="246">
        <f>IFERROR(VLOOKUP(I1978,PROGRAMAS[],3,FALSE),0)</f>
        <v>4099471734.9978786</v>
      </c>
      <c r="AL1978" s="246">
        <f>IFERROR(VLOOKUP(J1978,PROGRAMAS[],3,FALSE),0)</f>
        <v>2392571243.5584412</v>
      </c>
      <c r="AM1978" s="246">
        <f>IFERROR(VLOOKUP(K1978,PROGRAMAS[],3,FALSE),0)</f>
        <v>31865326.38096505</v>
      </c>
      <c r="AN1978" s="246">
        <f>IFERROR(VLOOKUP(L1978,PROGRAMAS[],3,FALSE),0)</f>
        <v>118617452.52510804</v>
      </c>
      <c r="AO1978" s="246">
        <f>IFERROR(VLOOKUP(M1978,PROGRAMAS[],3,FALSE),0)</f>
        <v>2406564599.0319901</v>
      </c>
      <c r="AP1978" s="246">
        <f>IFERROR(VLOOKUP(N1978,PROGRAMAS[],3,FALSE),0)</f>
        <v>948595847.09039903</v>
      </c>
      <c r="AQ1978" s="246">
        <f>IFERROR(VLOOKUP(O1978,PROGRAMAS[],3,FALSE),0)</f>
        <v>0</v>
      </c>
      <c r="AR1978" s="246">
        <f>IFERROR(VLOOKUP(P1978,PROGRAMAS[],3,FALSE),0)</f>
        <v>0</v>
      </c>
      <c r="AS1978" s="246">
        <f>IFERROR(VLOOKUP(Q1978,PROGRAMAS[],3,FALSE),0)</f>
        <v>0</v>
      </c>
      <c r="AT1978" s="246">
        <f>IFERROR(VLOOKUP(D1978,VOL_REC[],2,FALSE),0)</f>
        <v>0</v>
      </c>
      <c r="AU1978" s="246">
        <f>IFERROR(VLOOKUP(E1978,VOL_REC[],2,FALSE),0)</f>
        <v>0</v>
      </c>
      <c r="AV1978" s="246">
        <f>IFERROR(VLOOKUP(F1978,VOL_REC[],2,FALSE),0)</f>
        <v>11089674.200000001</v>
      </c>
      <c r="AW1978" s="246">
        <f>IFERROR(VLOOKUP(G1978,VOL_REC[],2,FALSE),0)</f>
        <v>15540036.397699751</v>
      </c>
      <c r="AX1978" s="246">
        <f>IFERROR(VLOOKUP(H1978,VOL_REC[],2,FALSE),0)</f>
        <v>3761786</v>
      </c>
      <c r="AY1978" s="246">
        <f>IFERROR(VLOOKUP(I1978,VOL_REC[],2,FALSE),0)</f>
        <v>1812240</v>
      </c>
      <c r="AZ1978" s="246">
        <f>IFERROR(VLOOKUP(J1978,VOL_REC[],2,FALSE),0)</f>
        <v>663244.80000000016</v>
      </c>
      <c r="BA1978" s="246">
        <f>IFERROR(VLOOKUP(K1978,VOL_REC[],2,FALSE),0)</f>
        <v>17074.045034105649</v>
      </c>
      <c r="BB1978" s="246">
        <f>IFERROR(VLOOKUP(L1978,VOL_REC[],2,FALSE),0)</f>
        <v>105072</v>
      </c>
      <c r="BC1978" s="246">
        <f>IFERROR(VLOOKUP(M1978,VOL_REC[],2,FALSE),0)</f>
        <v>1072354.9981737854</v>
      </c>
      <c r="BD1978" s="246">
        <f>IFERROR(VLOOKUP(N1978,VOL_REC[],2,FALSE),0)</f>
        <v>740113.98115702497</v>
      </c>
      <c r="BE1978" s="246">
        <f>IFERROR(VLOOKUP(O1978,VOL_REC[],2,FALSE),0)</f>
        <v>0</v>
      </c>
      <c r="BF1978" s="246">
        <f>IFERROR(VLOOKUP(P1978,VOL_REC[],2,FALSE),0)</f>
        <v>0</v>
      </c>
      <c r="BG1978" s="246">
        <f>IFERROR(VLOOKUP(Q1978,VOL_REC[],2,FALSE),0)</f>
        <v>0</v>
      </c>
      <c r="BH1978" s="1710">
        <f t="shared" si="124"/>
        <v>34385609117.030235</v>
      </c>
      <c r="BI1978" s="1710">
        <f t="shared" si="125"/>
        <v>31224638893.758251</v>
      </c>
      <c r="BJ1978" s="1711">
        <f t="shared" si="126"/>
        <v>34801596.422064677</v>
      </c>
      <c r="BK1978" s="1711">
        <f t="shared" si="127"/>
        <v>1.1012332034976346</v>
      </c>
      <c r="BL1978">
        <f t="shared" si="136"/>
        <v>34801596.422064677</v>
      </c>
      <c r="BO1978">
        <f t="shared" si="137"/>
        <v>34801596.422064677</v>
      </c>
    </row>
    <row r="1979" spans="3:67" x14ac:dyDescent="0.25">
      <c r="C1979" s="246" t="s">
        <v>3329</v>
      </c>
      <c r="D1979" s="246">
        <v>1</v>
      </c>
      <c r="E1979" s="246">
        <v>2</v>
      </c>
      <c r="F1979" s="246">
        <v>3</v>
      </c>
      <c r="G1979" s="246">
        <v>6</v>
      </c>
      <c r="H1979" s="246">
        <v>9</v>
      </c>
      <c r="I1979" s="246">
        <v>12</v>
      </c>
      <c r="J1979" s="246">
        <v>13</v>
      </c>
      <c r="K1979" s="246">
        <v>14</v>
      </c>
      <c r="L1979" s="246">
        <v>15</v>
      </c>
      <c r="M1979" s="246">
        <v>16</v>
      </c>
      <c r="N1979" s="246">
        <v>17</v>
      </c>
      <c r="O1979" s="246"/>
      <c r="P1979" s="246"/>
      <c r="Q1979" s="246"/>
      <c r="R1979" s="246">
        <f>IFERROR(VLOOKUP(D1979,PROGRAMAS[],2,FALSE),0)</f>
        <v>97037803.679377079</v>
      </c>
      <c r="S1979" s="246">
        <f>IFERROR(VLOOKUP(E1979,PROGRAMAS[],2,FALSE),0)</f>
        <v>640501509.6821388</v>
      </c>
      <c r="T1979" s="246">
        <f>IFERROR(VLOOKUP(F1979,PROGRAMAS[],2,FALSE),0)</f>
        <v>3062327798.1525245</v>
      </c>
      <c r="U1979" s="246">
        <f>IFERROR(VLOOKUP(G1979,PROGRAMAS[],2,FALSE),0)</f>
        <v>6907648435.8447599</v>
      </c>
      <c r="V1979" s="246">
        <f>IFERROR(VLOOKUP(H1979,PROGRAMAS[],2,FALSE),0)</f>
        <v>6128579952.1618185</v>
      </c>
      <c r="W1979" s="246">
        <f>IFERROR(VLOOKUP(I1979,PROGRAMAS[],2,FALSE),0)</f>
        <v>764796700.79905891</v>
      </c>
      <c r="X1979" s="246">
        <f>IFERROR(VLOOKUP(J1979,PROGRAMAS[],2,FALSE),0)</f>
        <v>3776538594.4604583</v>
      </c>
      <c r="Y1979" s="246">
        <f>IFERROR(VLOOKUP(K1979,PROGRAMAS[],2,FALSE),0)</f>
        <v>54223862.645839565</v>
      </c>
      <c r="Z1979" s="246">
        <f>IFERROR(VLOOKUP(L1979,PROGRAMAS[],2,FALSE),0)</f>
        <v>122159672.96346797</v>
      </c>
      <c r="AA1979" s="246">
        <f>IFERROR(VLOOKUP(M1979,PROGRAMAS[],2,FALSE),0)</f>
        <v>7068496961.0436354</v>
      </c>
      <c r="AB1979" s="246">
        <f>IFERROR(VLOOKUP(N1979,PROGRAMAS[],2,FALSE),0)</f>
        <v>1892779498.5211046</v>
      </c>
      <c r="AC1979" s="246">
        <f>IFERROR(VLOOKUP(O1979,PROGRAMAS[],2,FALSE),0)</f>
        <v>0</v>
      </c>
      <c r="AD1979" s="246">
        <f>IFERROR(VLOOKUP(P1979,PROGRAMAS[],2,FALSE),0)</f>
        <v>0</v>
      </c>
      <c r="AE1979" s="246">
        <f>IFERROR(VLOOKUP(Q1979,PROGRAMAS[],2,FALSE),0)</f>
        <v>0</v>
      </c>
      <c r="AF1979" s="246">
        <f>IFERROR(VLOOKUP(D1979,PROGRAMAS[],3,FALSE),0)</f>
        <v>841888629.31080008</v>
      </c>
      <c r="AG1979" s="246">
        <f>IFERROR(VLOOKUP(E1979,PROGRAMAS[],3,FALSE),0)</f>
        <v>3848980803.1642323</v>
      </c>
      <c r="AH1979" s="246">
        <f>IFERROR(VLOOKUP(F1979,PROGRAMAS[],3,FALSE),0)</f>
        <v>3394901471.387517</v>
      </c>
      <c r="AI1979" s="246">
        <f>IFERROR(VLOOKUP(G1979,PROGRAMAS[],3,FALSE),0)</f>
        <v>6129902208.7912121</v>
      </c>
      <c r="AJ1979" s="246">
        <f>IFERROR(VLOOKUP(H1979,PROGRAMAS[],3,FALSE),0)</f>
        <v>7011279577.519702</v>
      </c>
      <c r="AK1979" s="246">
        <f>IFERROR(VLOOKUP(I1979,PROGRAMAS[],3,FALSE),0)</f>
        <v>675517840.109828</v>
      </c>
      <c r="AL1979" s="246">
        <f>IFERROR(VLOOKUP(J1979,PROGRAMAS[],3,FALSE),0)</f>
        <v>2392571243.5584412</v>
      </c>
      <c r="AM1979" s="246">
        <f>IFERROR(VLOOKUP(K1979,PROGRAMAS[],3,FALSE),0)</f>
        <v>31865326.38096505</v>
      </c>
      <c r="AN1979" s="246">
        <f>IFERROR(VLOOKUP(L1979,PROGRAMAS[],3,FALSE),0)</f>
        <v>118617452.52510804</v>
      </c>
      <c r="AO1979" s="246">
        <f>IFERROR(VLOOKUP(M1979,PROGRAMAS[],3,FALSE),0)</f>
        <v>2406564599.0319901</v>
      </c>
      <c r="AP1979" s="246">
        <f>IFERROR(VLOOKUP(N1979,PROGRAMAS[],3,FALSE),0)</f>
        <v>948595847.09039903</v>
      </c>
      <c r="AQ1979" s="246">
        <f>IFERROR(VLOOKUP(O1979,PROGRAMAS[],3,FALSE),0)</f>
        <v>0</v>
      </c>
      <c r="AR1979" s="246">
        <f>IFERROR(VLOOKUP(P1979,PROGRAMAS[],3,FALSE),0)</f>
        <v>0</v>
      </c>
      <c r="AS1979" s="246">
        <f>IFERROR(VLOOKUP(Q1979,PROGRAMAS[],3,FALSE),0)</f>
        <v>0</v>
      </c>
      <c r="AT1979" s="246">
        <f>IFERROR(VLOOKUP(D1979,VOL_REC[],2,FALSE),0)</f>
        <v>0</v>
      </c>
      <c r="AU1979" s="246">
        <f>IFERROR(VLOOKUP(E1979,VOL_REC[],2,FALSE),0)</f>
        <v>0</v>
      </c>
      <c r="AV1979" s="246">
        <f>IFERROR(VLOOKUP(F1979,VOL_REC[],2,FALSE),0)</f>
        <v>11089674.200000001</v>
      </c>
      <c r="AW1979" s="246">
        <f>IFERROR(VLOOKUP(G1979,VOL_REC[],2,FALSE),0)</f>
        <v>15540036.397699751</v>
      </c>
      <c r="AX1979" s="246">
        <f>IFERROR(VLOOKUP(H1979,VOL_REC[],2,FALSE),0)</f>
        <v>3761786</v>
      </c>
      <c r="AY1979" s="246">
        <f>IFERROR(VLOOKUP(I1979,VOL_REC[],2,FALSE),0)</f>
        <v>240696.79238099116</v>
      </c>
      <c r="AZ1979" s="246">
        <f>IFERROR(VLOOKUP(J1979,VOL_REC[],2,FALSE),0)</f>
        <v>663244.80000000016</v>
      </c>
      <c r="BA1979" s="246">
        <f>IFERROR(VLOOKUP(K1979,VOL_REC[],2,FALSE),0)</f>
        <v>17074.045034105649</v>
      </c>
      <c r="BB1979" s="246">
        <f>IFERROR(VLOOKUP(L1979,VOL_REC[],2,FALSE),0)</f>
        <v>105072</v>
      </c>
      <c r="BC1979" s="246">
        <f>IFERROR(VLOOKUP(M1979,VOL_REC[],2,FALSE),0)</f>
        <v>1072354.9981737854</v>
      </c>
      <c r="BD1979" s="246">
        <f>IFERROR(VLOOKUP(N1979,VOL_REC[],2,FALSE),0)</f>
        <v>740113.98115702497</v>
      </c>
      <c r="BE1979" s="246">
        <f>IFERROR(VLOOKUP(O1979,VOL_REC[],2,FALSE),0)</f>
        <v>0</v>
      </c>
      <c r="BF1979" s="246">
        <f>IFERROR(VLOOKUP(P1979,VOL_REC[],2,FALSE),0)</f>
        <v>0</v>
      </c>
      <c r="BG1979" s="246">
        <f>IFERROR(VLOOKUP(Q1979,VOL_REC[],2,FALSE),0)</f>
        <v>0</v>
      </c>
      <c r="BH1979" s="1710">
        <f t="shared" si="124"/>
        <v>30515090789.954182</v>
      </c>
      <c r="BI1979" s="1710">
        <f t="shared" si="125"/>
        <v>27800684998.870201</v>
      </c>
      <c r="BJ1979" s="1711">
        <f t="shared" si="126"/>
        <v>33230053.214445662</v>
      </c>
      <c r="BK1979" s="1711">
        <f t="shared" si="127"/>
        <v>1.0976380902554845</v>
      </c>
      <c r="BL1979">
        <f t="shared" si="136"/>
        <v>33230053.214445662</v>
      </c>
      <c r="BO1979">
        <f t="shared" si="137"/>
        <v>33230053.214445662</v>
      </c>
    </row>
    <row r="1980" spans="3:67" x14ac:dyDescent="0.25">
      <c r="C1980" s="246" t="s">
        <v>3330</v>
      </c>
      <c r="D1980" s="246">
        <v>1</v>
      </c>
      <c r="E1980" s="246">
        <v>2</v>
      </c>
      <c r="F1980" s="246">
        <v>3</v>
      </c>
      <c r="G1980" s="246">
        <v>6</v>
      </c>
      <c r="H1980" s="246">
        <v>10</v>
      </c>
      <c r="I1980" s="246">
        <v>12</v>
      </c>
      <c r="J1980" s="246">
        <v>13</v>
      </c>
      <c r="K1980" s="246">
        <v>14</v>
      </c>
      <c r="L1980" s="246">
        <v>15</v>
      </c>
      <c r="M1980" s="246">
        <v>16</v>
      </c>
      <c r="N1980" s="246">
        <v>17</v>
      </c>
      <c r="O1980" s="246"/>
      <c r="P1980" s="246"/>
      <c r="Q1980" s="246"/>
      <c r="R1980" s="246">
        <f>IFERROR(VLOOKUP(D1980,PROGRAMAS[],2,FALSE),0)</f>
        <v>97037803.679377079</v>
      </c>
      <c r="S1980" s="246">
        <f>IFERROR(VLOOKUP(E1980,PROGRAMAS[],2,FALSE),0)</f>
        <v>640501509.6821388</v>
      </c>
      <c r="T1980" s="246">
        <f>IFERROR(VLOOKUP(F1980,PROGRAMAS[],2,FALSE),0)</f>
        <v>3062327798.1525245</v>
      </c>
      <c r="U1980" s="246">
        <f>IFERROR(VLOOKUP(G1980,PROGRAMAS[],2,FALSE),0)</f>
        <v>6907648435.8447599</v>
      </c>
      <c r="V1980" s="246">
        <f>IFERROR(VLOOKUP(H1980,PROGRAMAS[],2,FALSE),0)</f>
        <v>4635315027.8751087</v>
      </c>
      <c r="W1980" s="246">
        <f>IFERROR(VLOOKUP(I1980,PROGRAMAS[],2,FALSE),0)</f>
        <v>764796700.79905891</v>
      </c>
      <c r="X1980" s="246">
        <f>IFERROR(VLOOKUP(J1980,PROGRAMAS[],2,FALSE),0)</f>
        <v>3776538594.4604583</v>
      </c>
      <c r="Y1980" s="246">
        <f>IFERROR(VLOOKUP(K1980,PROGRAMAS[],2,FALSE),0)</f>
        <v>54223862.645839565</v>
      </c>
      <c r="Z1980" s="246">
        <f>IFERROR(VLOOKUP(L1980,PROGRAMAS[],2,FALSE),0)</f>
        <v>122159672.96346797</v>
      </c>
      <c r="AA1980" s="246">
        <f>IFERROR(VLOOKUP(M1980,PROGRAMAS[],2,FALSE),0)</f>
        <v>7068496961.0436354</v>
      </c>
      <c r="AB1980" s="246">
        <f>IFERROR(VLOOKUP(N1980,PROGRAMAS[],2,FALSE),0)</f>
        <v>1892779498.5211046</v>
      </c>
      <c r="AC1980" s="246">
        <f>IFERROR(VLOOKUP(O1980,PROGRAMAS[],2,FALSE),0)</f>
        <v>0</v>
      </c>
      <c r="AD1980" s="246">
        <f>IFERROR(VLOOKUP(P1980,PROGRAMAS[],2,FALSE),0)</f>
        <v>0</v>
      </c>
      <c r="AE1980" s="246">
        <f>IFERROR(VLOOKUP(Q1980,PROGRAMAS[],2,FALSE),0)</f>
        <v>0</v>
      </c>
      <c r="AF1980" s="246">
        <f>IFERROR(VLOOKUP(D1980,PROGRAMAS[],3,FALSE),0)</f>
        <v>841888629.31080008</v>
      </c>
      <c r="AG1980" s="246">
        <f>IFERROR(VLOOKUP(E1980,PROGRAMAS[],3,FALSE),0)</f>
        <v>3848980803.1642323</v>
      </c>
      <c r="AH1980" s="246">
        <f>IFERROR(VLOOKUP(F1980,PROGRAMAS[],3,FALSE),0)</f>
        <v>3394901471.387517</v>
      </c>
      <c r="AI1980" s="246">
        <f>IFERROR(VLOOKUP(G1980,PROGRAMAS[],3,FALSE),0)</f>
        <v>6129902208.7912121</v>
      </c>
      <c r="AJ1980" s="246">
        <f>IFERROR(VLOOKUP(H1980,PROGRAMAS[],3,FALSE),0)</f>
        <v>4099471734.9978786</v>
      </c>
      <c r="AK1980" s="246">
        <f>IFERROR(VLOOKUP(I1980,PROGRAMAS[],3,FALSE),0)</f>
        <v>675517840.109828</v>
      </c>
      <c r="AL1980" s="246">
        <f>IFERROR(VLOOKUP(J1980,PROGRAMAS[],3,FALSE),0)</f>
        <v>2392571243.5584412</v>
      </c>
      <c r="AM1980" s="246">
        <f>IFERROR(VLOOKUP(K1980,PROGRAMAS[],3,FALSE),0)</f>
        <v>31865326.38096505</v>
      </c>
      <c r="AN1980" s="246">
        <f>IFERROR(VLOOKUP(L1980,PROGRAMAS[],3,FALSE),0)</f>
        <v>118617452.52510804</v>
      </c>
      <c r="AO1980" s="246">
        <f>IFERROR(VLOOKUP(M1980,PROGRAMAS[],3,FALSE),0)</f>
        <v>2406564599.0319901</v>
      </c>
      <c r="AP1980" s="246">
        <f>IFERROR(VLOOKUP(N1980,PROGRAMAS[],3,FALSE),0)</f>
        <v>948595847.09039903</v>
      </c>
      <c r="AQ1980" s="246">
        <f>IFERROR(VLOOKUP(O1980,PROGRAMAS[],3,FALSE),0)</f>
        <v>0</v>
      </c>
      <c r="AR1980" s="246">
        <f>IFERROR(VLOOKUP(P1980,PROGRAMAS[],3,FALSE),0)</f>
        <v>0</v>
      </c>
      <c r="AS1980" s="246">
        <f>IFERROR(VLOOKUP(Q1980,PROGRAMAS[],3,FALSE),0)</f>
        <v>0</v>
      </c>
      <c r="AT1980" s="246">
        <f>IFERROR(VLOOKUP(D1980,VOL_REC[],2,FALSE),0)</f>
        <v>0</v>
      </c>
      <c r="AU1980" s="246">
        <f>IFERROR(VLOOKUP(E1980,VOL_REC[],2,FALSE),0)</f>
        <v>0</v>
      </c>
      <c r="AV1980" s="246">
        <f>IFERROR(VLOOKUP(F1980,VOL_REC[],2,FALSE),0)</f>
        <v>11089674.200000001</v>
      </c>
      <c r="AW1980" s="246">
        <f>IFERROR(VLOOKUP(G1980,VOL_REC[],2,FALSE),0)</f>
        <v>15540036.397699751</v>
      </c>
      <c r="AX1980" s="246">
        <f>IFERROR(VLOOKUP(H1980,VOL_REC[],2,FALSE),0)</f>
        <v>1812240</v>
      </c>
      <c r="AY1980" s="246">
        <f>IFERROR(VLOOKUP(I1980,VOL_REC[],2,FALSE),0)</f>
        <v>240696.79238099116</v>
      </c>
      <c r="AZ1980" s="246">
        <f>IFERROR(VLOOKUP(J1980,VOL_REC[],2,FALSE),0)</f>
        <v>663244.80000000016</v>
      </c>
      <c r="BA1980" s="246">
        <f>IFERROR(VLOOKUP(K1980,VOL_REC[],2,FALSE),0)</f>
        <v>17074.045034105649</v>
      </c>
      <c r="BB1980" s="246">
        <f>IFERROR(VLOOKUP(L1980,VOL_REC[],2,FALSE),0)</f>
        <v>105072</v>
      </c>
      <c r="BC1980" s="246">
        <f>IFERROR(VLOOKUP(M1980,VOL_REC[],2,FALSE),0)</f>
        <v>1072354.9981737854</v>
      </c>
      <c r="BD1980" s="246">
        <f>IFERROR(VLOOKUP(N1980,VOL_REC[],2,FALSE),0)</f>
        <v>740113.98115702497</v>
      </c>
      <c r="BE1980" s="246">
        <f>IFERROR(VLOOKUP(O1980,VOL_REC[],2,FALSE),0)</f>
        <v>0</v>
      </c>
      <c r="BF1980" s="246">
        <f>IFERROR(VLOOKUP(P1980,VOL_REC[],2,FALSE),0)</f>
        <v>0</v>
      </c>
      <c r="BG1980" s="246">
        <f>IFERROR(VLOOKUP(Q1980,VOL_REC[],2,FALSE),0)</f>
        <v>0</v>
      </c>
      <c r="BH1980" s="1710">
        <f t="shared" si="124"/>
        <v>29021825865.667473</v>
      </c>
      <c r="BI1980" s="1710">
        <f t="shared" si="125"/>
        <v>24888877156.348377</v>
      </c>
      <c r="BJ1980" s="1711">
        <f t="shared" si="126"/>
        <v>31280507.214445662</v>
      </c>
      <c r="BK1980" s="1711">
        <f t="shared" si="127"/>
        <v>1.1660560532062776</v>
      </c>
      <c r="BL1980">
        <f t="shared" si="136"/>
        <v>31280507.214445662</v>
      </c>
      <c r="BO1980">
        <f t="shared" si="137"/>
        <v>31280507.214445662</v>
      </c>
    </row>
    <row r="1981" spans="3:67" x14ac:dyDescent="0.25">
      <c r="C1981" s="246" t="s">
        <v>3331</v>
      </c>
      <c r="D1981" s="246">
        <v>1</v>
      </c>
      <c r="E1981" s="246">
        <v>2</v>
      </c>
      <c r="F1981" s="246">
        <v>3</v>
      </c>
      <c r="G1981" s="246">
        <v>9</v>
      </c>
      <c r="H1981" s="246">
        <v>10</v>
      </c>
      <c r="I1981" s="246">
        <v>12</v>
      </c>
      <c r="J1981" s="246">
        <v>13</v>
      </c>
      <c r="K1981" s="246">
        <v>14</v>
      </c>
      <c r="L1981" s="246">
        <v>15</v>
      </c>
      <c r="M1981" s="246">
        <v>16</v>
      </c>
      <c r="N1981" s="246">
        <v>17</v>
      </c>
      <c r="O1981" s="246"/>
      <c r="P1981" s="246"/>
      <c r="Q1981" s="246"/>
      <c r="R1981" s="246">
        <f>IFERROR(VLOOKUP(D1981,PROGRAMAS[],2,FALSE),0)</f>
        <v>97037803.679377079</v>
      </c>
      <c r="S1981" s="246">
        <f>IFERROR(VLOOKUP(E1981,PROGRAMAS[],2,FALSE),0)</f>
        <v>640501509.6821388</v>
      </c>
      <c r="T1981" s="246">
        <f>IFERROR(VLOOKUP(F1981,PROGRAMAS[],2,FALSE),0)</f>
        <v>3062327798.1525245</v>
      </c>
      <c r="U1981" s="246">
        <f>IFERROR(VLOOKUP(G1981,PROGRAMAS[],2,FALSE),0)</f>
        <v>6128579952.1618185</v>
      </c>
      <c r="V1981" s="246">
        <f>IFERROR(VLOOKUP(H1981,PROGRAMAS[],2,FALSE),0)</f>
        <v>4635315027.8751087</v>
      </c>
      <c r="W1981" s="246">
        <f>IFERROR(VLOOKUP(I1981,PROGRAMAS[],2,FALSE),0)</f>
        <v>764796700.79905891</v>
      </c>
      <c r="X1981" s="246">
        <f>IFERROR(VLOOKUP(J1981,PROGRAMAS[],2,FALSE),0)</f>
        <v>3776538594.4604583</v>
      </c>
      <c r="Y1981" s="246">
        <f>IFERROR(VLOOKUP(K1981,PROGRAMAS[],2,FALSE),0)</f>
        <v>54223862.645839565</v>
      </c>
      <c r="Z1981" s="246">
        <f>IFERROR(VLOOKUP(L1981,PROGRAMAS[],2,FALSE),0)</f>
        <v>122159672.96346797</v>
      </c>
      <c r="AA1981" s="246">
        <f>IFERROR(VLOOKUP(M1981,PROGRAMAS[],2,FALSE),0)</f>
        <v>7068496961.0436354</v>
      </c>
      <c r="AB1981" s="246">
        <f>IFERROR(VLOOKUP(N1981,PROGRAMAS[],2,FALSE),0)</f>
        <v>1892779498.5211046</v>
      </c>
      <c r="AC1981" s="246">
        <f>IFERROR(VLOOKUP(O1981,PROGRAMAS[],2,FALSE),0)</f>
        <v>0</v>
      </c>
      <c r="AD1981" s="246">
        <f>IFERROR(VLOOKUP(P1981,PROGRAMAS[],2,FALSE),0)</f>
        <v>0</v>
      </c>
      <c r="AE1981" s="246">
        <f>IFERROR(VLOOKUP(Q1981,PROGRAMAS[],2,FALSE),0)</f>
        <v>0</v>
      </c>
      <c r="AF1981" s="246">
        <f>IFERROR(VLOOKUP(D1981,PROGRAMAS[],3,FALSE),0)</f>
        <v>841888629.31080008</v>
      </c>
      <c r="AG1981" s="246">
        <f>IFERROR(VLOOKUP(E1981,PROGRAMAS[],3,FALSE),0)</f>
        <v>3848980803.1642323</v>
      </c>
      <c r="AH1981" s="246">
        <f>IFERROR(VLOOKUP(F1981,PROGRAMAS[],3,FALSE),0)</f>
        <v>3394901471.387517</v>
      </c>
      <c r="AI1981" s="246">
        <f>IFERROR(VLOOKUP(G1981,PROGRAMAS[],3,FALSE),0)</f>
        <v>7011279577.519702</v>
      </c>
      <c r="AJ1981" s="246">
        <f>IFERROR(VLOOKUP(H1981,PROGRAMAS[],3,FALSE),0)</f>
        <v>4099471734.9978786</v>
      </c>
      <c r="AK1981" s="246">
        <f>IFERROR(VLOOKUP(I1981,PROGRAMAS[],3,FALSE),0)</f>
        <v>675517840.109828</v>
      </c>
      <c r="AL1981" s="246">
        <f>IFERROR(VLOOKUP(J1981,PROGRAMAS[],3,FALSE),0)</f>
        <v>2392571243.5584412</v>
      </c>
      <c r="AM1981" s="246">
        <f>IFERROR(VLOOKUP(K1981,PROGRAMAS[],3,FALSE),0)</f>
        <v>31865326.38096505</v>
      </c>
      <c r="AN1981" s="246">
        <f>IFERROR(VLOOKUP(L1981,PROGRAMAS[],3,FALSE),0)</f>
        <v>118617452.52510804</v>
      </c>
      <c r="AO1981" s="246">
        <f>IFERROR(VLOOKUP(M1981,PROGRAMAS[],3,FALSE),0)</f>
        <v>2406564599.0319901</v>
      </c>
      <c r="AP1981" s="246">
        <f>IFERROR(VLOOKUP(N1981,PROGRAMAS[],3,FALSE),0)</f>
        <v>948595847.09039903</v>
      </c>
      <c r="AQ1981" s="246">
        <f>IFERROR(VLOOKUP(O1981,PROGRAMAS[],3,FALSE),0)</f>
        <v>0</v>
      </c>
      <c r="AR1981" s="246">
        <f>IFERROR(VLOOKUP(P1981,PROGRAMAS[],3,FALSE),0)</f>
        <v>0</v>
      </c>
      <c r="AS1981" s="246">
        <f>IFERROR(VLOOKUP(Q1981,PROGRAMAS[],3,FALSE),0)</f>
        <v>0</v>
      </c>
      <c r="AT1981" s="246">
        <f>IFERROR(VLOOKUP(D1981,VOL_REC[],2,FALSE),0)</f>
        <v>0</v>
      </c>
      <c r="AU1981" s="246">
        <f>IFERROR(VLOOKUP(E1981,VOL_REC[],2,FALSE),0)</f>
        <v>0</v>
      </c>
      <c r="AV1981" s="246">
        <f>IFERROR(VLOOKUP(F1981,VOL_REC[],2,FALSE),0)</f>
        <v>11089674.200000001</v>
      </c>
      <c r="AW1981" s="246">
        <f>IFERROR(VLOOKUP(G1981,VOL_REC[],2,FALSE),0)</f>
        <v>3761786</v>
      </c>
      <c r="AX1981" s="246">
        <f>IFERROR(VLOOKUP(H1981,VOL_REC[],2,FALSE),0)</f>
        <v>1812240</v>
      </c>
      <c r="AY1981" s="246">
        <f>IFERROR(VLOOKUP(I1981,VOL_REC[],2,FALSE),0)</f>
        <v>240696.79238099116</v>
      </c>
      <c r="AZ1981" s="246">
        <f>IFERROR(VLOOKUP(J1981,VOL_REC[],2,FALSE),0)</f>
        <v>663244.80000000016</v>
      </c>
      <c r="BA1981" s="246">
        <f>IFERROR(VLOOKUP(K1981,VOL_REC[],2,FALSE),0)</f>
        <v>17074.045034105649</v>
      </c>
      <c r="BB1981" s="246">
        <f>IFERROR(VLOOKUP(L1981,VOL_REC[],2,FALSE),0)</f>
        <v>105072</v>
      </c>
      <c r="BC1981" s="246">
        <f>IFERROR(VLOOKUP(M1981,VOL_REC[],2,FALSE),0)</f>
        <v>1072354.9981737854</v>
      </c>
      <c r="BD1981" s="246">
        <f>IFERROR(VLOOKUP(N1981,VOL_REC[],2,FALSE),0)</f>
        <v>740113.98115702497</v>
      </c>
      <c r="BE1981" s="246">
        <f>IFERROR(VLOOKUP(O1981,VOL_REC[],2,FALSE),0)</f>
        <v>0</v>
      </c>
      <c r="BF1981" s="246">
        <f>IFERROR(VLOOKUP(P1981,VOL_REC[],2,FALSE),0)</f>
        <v>0</v>
      </c>
      <c r="BG1981" s="246">
        <f>IFERROR(VLOOKUP(Q1981,VOL_REC[],2,FALSE),0)</f>
        <v>0</v>
      </c>
      <c r="BH1981" s="1710">
        <f t="shared" si="124"/>
        <v>28242757381.984531</v>
      </c>
      <c r="BI1981" s="1710">
        <f t="shared" si="125"/>
        <v>25770254525.076866</v>
      </c>
      <c r="BJ1981" s="1711">
        <f t="shared" si="126"/>
        <v>19502256.816745907</v>
      </c>
      <c r="BK1981" s="1711">
        <f t="shared" si="127"/>
        <v>1.0959440604089372</v>
      </c>
      <c r="BL1981">
        <f t="shared" si="136"/>
        <v>19502256.816745907</v>
      </c>
      <c r="BO1981">
        <f t="shared" si="137"/>
        <v>19502256.816745907</v>
      </c>
    </row>
    <row r="1982" spans="3:67" x14ac:dyDescent="0.25">
      <c r="C1982" s="246" t="s">
        <v>3332</v>
      </c>
      <c r="D1982" s="246">
        <v>1</v>
      </c>
      <c r="E1982" s="246">
        <v>2</v>
      </c>
      <c r="F1982" s="246">
        <v>3</v>
      </c>
      <c r="G1982" s="246">
        <v>4</v>
      </c>
      <c r="H1982" s="246">
        <v>5</v>
      </c>
      <c r="I1982" s="246">
        <v>6</v>
      </c>
      <c r="J1982" s="246">
        <v>9</v>
      </c>
      <c r="K1982" s="246">
        <v>10</v>
      </c>
      <c r="L1982" s="246">
        <v>12</v>
      </c>
      <c r="M1982" s="246">
        <v>13</v>
      </c>
      <c r="N1982" s="246">
        <v>14</v>
      </c>
      <c r="O1982" s="246">
        <v>15</v>
      </c>
      <c r="P1982" s="246"/>
      <c r="Q1982" s="246"/>
      <c r="R1982" s="246">
        <f>IFERROR(VLOOKUP(D1982,PROGRAMAS[],2,FALSE),0)</f>
        <v>97037803.679377079</v>
      </c>
      <c r="S1982" s="246">
        <f>IFERROR(VLOOKUP(E1982,PROGRAMAS[],2,FALSE),0)</f>
        <v>640501509.6821388</v>
      </c>
      <c r="T1982" s="246">
        <f>IFERROR(VLOOKUP(F1982,PROGRAMAS[],2,FALSE),0)</f>
        <v>3062327798.1525245</v>
      </c>
      <c r="U1982" s="246">
        <f>IFERROR(VLOOKUP(G1982,PROGRAMAS[],2,FALSE),0)</f>
        <v>67697118.033011258</v>
      </c>
      <c r="V1982" s="246">
        <f>IFERROR(VLOOKUP(H1982,PROGRAMAS[],2,FALSE),0)</f>
        <v>1440941976.2528784</v>
      </c>
      <c r="W1982" s="246">
        <f>IFERROR(VLOOKUP(I1982,PROGRAMAS[],2,FALSE),0)</f>
        <v>6907648435.8447599</v>
      </c>
      <c r="X1982" s="246">
        <f>IFERROR(VLOOKUP(J1982,PROGRAMAS[],2,FALSE),0)</f>
        <v>6128579952.1618185</v>
      </c>
      <c r="Y1982" s="246">
        <f>IFERROR(VLOOKUP(K1982,PROGRAMAS[],2,FALSE),0)</f>
        <v>4635315027.8751087</v>
      </c>
      <c r="Z1982" s="246">
        <f>IFERROR(VLOOKUP(L1982,PROGRAMAS[],2,FALSE),0)</f>
        <v>764796700.79905891</v>
      </c>
      <c r="AA1982" s="246">
        <f>IFERROR(VLOOKUP(M1982,PROGRAMAS[],2,FALSE),0)</f>
        <v>3776538594.4604583</v>
      </c>
      <c r="AB1982" s="246">
        <f>IFERROR(VLOOKUP(N1982,PROGRAMAS[],2,FALSE),0)</f>
        <v>54223862.645839565</v>
      </c>
      <c r="AC1982" s="246">
        <f>IFERROR(VLOOKUP(O1982,PROGRAMAS[],2,FALSE),0)</f>
        <v>122159672.96346797</v>
      </c>
      <c r="AD1982" s="246">
        <f>IFERROR(VLOOKUP(P1982,PROGRAMAS[],2,FALSE),0)</f>
        <v>0</v>
      </c>
      <c r="AE1982" s="246">
        <f>IFERROR(VLOOKUP(Q1982,PROGRAMAS[],2,FALSE),0)</f>
        <v>0</v>
      </c>
      <c r="AF1982" s="246">
        <f>IFERROR(VLOOKUP(D1982,PROGRAMAS[],3,FALSE),0)</f>
        <v>841888629.31080008</v>
      </c>
      <c r="AG1982" s="246">
        <f>IFERROR(VLOOKUP(E1982,PROGRAMAS[],3,FALSE),0)</f>
        <v>3848980803.1642323</v>
      </c>
      <c r="AH1982" s="246">
        <f>IFERROR(VLOOKUP(F1982,PROGRAMAS[],3,FALSE),0)</f>
        <v>3394901471.387517</v>
      </c>
      <c r="AI1982" s="246">
        <f>IFERROR(VLOOKUP(G1982,PROGRAMAS[],3,FALSE),0)</f>
        <v>125317226.95549992</v>
      </c>
      <c r="AJ1982" s="246">
        <f>IFERROR(VLOOKUP(H1982,PROGRAMAS[],3,FALSE),0)</f>
        <v>1233505101.0616004</v>
      </c>
      <c r="AK1982" s="246">
        <f>IFERROR(VLOOKUP(I1982,PROGRAMAS[],3,FALSE),0)</f>
        <v>6129902208.7912121</v>
      </c>
      <c r="AL1982" s="246">
        <f>IFERROR(VLOOKUP(J1982,PROGRAMAS[],3,FALSE),0)</f>
        <v>7011279577.519702</v>
      </c>
      <c r="AM1982" s="246">
        <f>IFERROR(VLOOKUP(K1982,PROGRAMAS[],3,FALSE),0)</f>
        <v>4099471734.9978786</v>
      </c>
      <c r="AN1982" s="246">
        <f>IFERROR(VLOOKUP(L1982,PROGRAMAS[],3,FALSE),0)</f>
        <v>675517840.109828</v>
      </c>
      <c r="AO1982" s="246">
        <f>IFERROR(VLOOKUP(M1982,PROGRAMAS[],3,FALSE),0)</f>
        <v>2392571243.5584412</v>
      </c>
      <c r="AP1982" s="246">
        <f>IFERROR(VLOOKUP(N1982,PROGRAMAS[],3,FALSE),0)</f>
        <v>31865326.38096505</v>
      </c>
      <c r="AQ1982" s="246">
        <f>IFERROR(VLOOKUP(O1982,PROGRAMAS[],3,FALSE),0)</f>
        <v>118617452.52510804</v>
      </c>
      <c r="AR1982" s="246">
        <f>IFERROR(VLOOKUP(P1982,PROGRAMAS[],3,FALSE),0)</f>
        <v>0</v>
      </c>
      <c r="AS1982" s="246">
        <f>IFERROR(VLOOKUP(Q1982,PROGRAMAS[],3,FALSE),0)</f>
        <v>0</v>
      </c>
      <c r="AT1982" s="246">
        <f>IFERROR(VLOOKUP(D1982,VOL_REC[],2,FALSE),0)</f>
        <v>0</v>
      </c>
      <c r="AU1982" s="246">
        <f>IFERROR(VLOOKUP(E1982,VOL_REC[],2,FALSE),0)</f>
        <v>0</v>
      </c>
      <c r="AV1982" s="246">
        <f>IFERROR(VLOOKUP(F1982,VOL_REC[],2,FALSE),0)</f>
        <v>11089674.200000001</v>
      </c>
      <c r="AW1982" s="246">
        <f>IFERROR(VLOOKUP(G1982,VOL_REC[],2,FALSE),0)</f>
        <v>90439.55</v>
      </c>
      <c r="AX1982" s="246">
        <f>IFERROR(VLOOKUP(H1982,VOL_REC[],2,FALSE),0)</f>
        <v>4325103.1812214684</v>
      </c>
      <c r="AY1982" s="246">
        <f>IFERROR(VLOOKUP(I1982,VOL_REC[],2,FALSE),0)</f>
        <v>15540036.397699751</v>
      </c>
      <c r="AZ1982" s="246">
        <f>IFERROR(VLOOKUP(J1982,VOL_REC[],2,FALSE),0)</f>
        <v>3761786</v>
      </c>
      <c r="BA1982" s="246">
        <f>IFERROR(VLOOKUP(K1982,VOL_REC[],2,FALSE),0)</f>
        <v>1812240</v>
      </c>
      <c r="BB1982" s="246">
        <f>IFERROR(VLOOKUP(L1982,VOL_REC[],2,FALSE),0)</f>
        <v>240696.79238099116</v>
      </c>
      <c r="BC1982" s="246">
        <f>IFERROR(VLOOKUP(M1982,VOL_REC[],2,FALSE),0)</f>
        <v>663244.80000000016</v>
      </c>
      <c r="BD1982" s="246">
        <f>IFERROR(VLOOKUP(N1982,VOL_REC[],2,FALSE),0)</f>
        <v>17074.045034105649</v>
      </c>
      <c r="BE1982" s="246">
        <f>IFERROR(VLOOKUP(O1982,VOL_REC[],2,FALSE),0)</f>
        <v>105072</v>
      </c>
      <c r="BF1982" s="246">
        <f>IFERROR(VLOOKUP(P1982,VOL_REC[],2,FALSE),0)</f>
        <v>0</v>
      </c>
      <c r="BG1982" s="246">
        <f>IFERROR(VLOOKUP(Q1982,VOL_REC[],2,FALSE),0)</f>
        <v>0</v>
      </c>
      <c r="BH1982" s="1710">
        <f t="shared" si="124"/>
        <v>27697768452.550438</v>
      </c>
      <c r="BI1982" s="1710">
        <f t="shared" si="125"/>
        <v>29903818615.762787</v>
      </c>
      <c r="BJ1982" s="1711">
        <f t="shared" si="126"/>
        <v>37645366.96633631</v>
      </c>
      <c r="BK1982" s="1711">
        <f t="shared" si="127"/>
        <v>0.92622847966147359</v>
      </c>
    </row>
    <row r="1983" spans="3:67" x14ac:dyDescent="0.25">
      <c r="C1983" s="246" t="s">
        <v>3333</v>
      </c>
      <c r="D1983" s="246">
        <v>1</v>
      </c>
      <c r="E1983" s="246">
        <v>2</v>
      </c>
      <c r="F1983" s="246">
        <v>3</v>
      </c>
      <c r="G1983" s="246">
        <v>4</v>
      </c>
      <c r="H1983" s="246">
        <v>5</v>
      </c>
      <c r="I1983" s="246">
        <v>6</v>
      </c>
      <c r="J1983" s="246">
        <v>9</v>
      </c>
      <c r="K1983" s="246">
        <v>10</v>
      </c>
      <c r="L1983" s="246">
        <v>12</v>
      </c>
      <c r="M1983" s="246">
        <v>13</v>
      </c>
      <c r="N1983" s="246">
        <v>14</v>
      </c>
      <c r="O1983" s="246">
        <v>16</v>
      </c>
      <c r="P1983" s="246"/>
      <c r="Q1983" s="246"/>
      <c r="R1983" s="246">
        <f>IFERROR(VLOOKUP(D1983,PROGRAMAS[],2,FALSE),0)</f>
        <v>97037803.679377079</v>
      </c>
      <c r="S1983" s="246">
        <f>IFERROR(VLOOKUP(E1983,PROGRAMAS[],2,FALSE),0)</f>
        <v>640501509.6821388</v>
      </c>
      <c r="T1983" s="246">
        <f>IFERROR(VLOOKUP(F1983,PROGRAMAS[],2,FALSE),0)</f>
        <v>3062327798.1525245</v>
      </c>
      <c r="U1983" s="246">
        <f>IFERROR(VLOOKUP(G1983,PROGRAMAS[],2,FALSE),0)</f>
        <v>67697118.033011258</v>
      </c>
      <c r="V1983" s="246">
        <f>IFERROR(VLOOKUP(H1983,PROGRAMAS[],2,FALSE),0)</f>
        <v>1440941976.2528784</v>
      </c>
      <c r="W1983" s="246">
        <f>IFERROR(VLOOKUP(I1983,PROGRAMAS[],2,FALSE),0)</f>
        <v>6907648435.8447599</v>
      </c>
      <c r="X1983" s="246">
        <f>IFERROR(VLOOKUP(J1983,PROGRAMAS[],2,FALSE),0)</f>
        <v>6128579952.1618185</v>
      </c>
      <c r="Y1983" s="246">
        <f>IFERROR(VLOOKUP(K1983,PROGRAMAS[],2,FALSE),0)</f>
        <v>4635315027.8751087</v>
      </c>
      <c r="Z1983" s="246">
        <f>IFERROR(VLOOKUP(L1983,PROGRAMAS[],2,FALSE),0)</f>
        <v>764796700.79905891</v>
      </c>
      <c r="AA1983" s="246">
        <f>IFERROR(VLOOKUP(M1983,PROGRAMAS[],2,FALSE),0)</f>
        <v>3776538594.4604583</v>
      </c>
      <c r="AB1983" s="246">
        <f>IFERROR(VLOOKUP(N1983,PROGRAMAS[],2,FALSE),0)</f>
        <v>54223862.645839565</v>
      </c>
      <c r="AC1983" s="246">
        <f>IFERROR(VLOOKUP(O1983,PROGRAMAS[],2,FALSE),0)</f>
        <v>7068496961.0436354</v>
      </c>
      <c r="AD1983" s="246">
        <f>IFERROR(VLOOKUP(P1983,PROGRAMAS[],2,FALSE),0)</f>
        <v>0</v>
      </c>
      <c r="AE1983" s="246">
        <f>IFERROR(VLOOKUP(Q1983,PROGRAMAS[],2,FALSE),0)</f>
        <v>0</v>
      </c>
      <c r="AF1983" s="246">
        <f>IFERROR(VLOOKUP(D1983,PROGRAMAS[],3,FALSE),0)</f>
        <v>841888629.31080008</v>
      </c>
      <c r="AG1983" s="246">
        <f>IFERROR(VLOOKUP(E1983,PROGRAMAS[],3,FALSE),0)</f>
        <v>3848980803.1642323</v>
      </c>
      <c r="AH1983" s="246">
        <f>IFERROR(VLOOKUP(F1983,PROGRAMAS[],3,FALSE),0)</f>
        <v>3394901471.387517</v>
      </c>
      <c r="AI1983" s="246">
        <f>IFERROR(VLOOKUP(G1983,PROGRAMAS[],3,FALSE),0)</f>
        <v>125317226.95549992</v>
      </c>
      <c r="AJ1983" s="246">
        <f>IFERROR(VLOOKUP(H1983,PROGRAMAS[],3,FALSE),0)</f>
        <v>1233505101.0616004</v>
      </c>
      <c r="AK1983" s="246">
        <f>IFERROR(VLOOKUP(I1983,PROGRAMAS[],3,FALSE),0)</f>
        <v>6129902208.7912121</v>
      </c>
      <c r="AL1983" s="246">
        <f>IFERROR(VLOOKUP(J1983,PROGRAMAS[],3,FALSE),0)</f>
        <v>7011279577.519702</v>
      </c>
      <c r="AM1983" s="246">
        <f>IFERROR(VLOOKUP(K1983,PROGRAMAS[],3,FALSE),0)</f>
        <v>4099471734.9978786</v>
      </c>
      <c r="AN1983" s="246">
        <f>IFERROR(VLOOKUP(L1983,PROGRAMAS[],3,FALSE),0)</f>
        <v>675517840.109828</v>
      </c>
      <c r="AO1983" s="246">
        <f>IFERROR(VLOOKUP(M1983,PROGRAMAS[],3,FALSE),0)</f>
        <v>2392571243.5584412</v>
      </c>
      <c r="AP1983" s="246">
        <f>IFERROR(VLOOKUP(N1983,PROGRAMAS[],3,FALSE),0)</f>
        <v>31865326.38096505</v>
      </c>
      <c r="AQ1983" s="246">
        <f>IFERROR(VLOOKUP(O1983,PROGRAMAS[],3,FALSE),0)</f>
        <v>2406564599.0319901</v>
      </c>
      <c r="AR1983" s="246">
        <f>IFERROR(VLOOKUP(P1983,PROGRAMAS[],3,FALSE),0)</f>
        <v>0</v>
      </c>
      <c r="AS1983" s="246">
        <f>IFERROR(VLOOKUP(Q1983,PROGRAMAS[],3,FALSE),0)</f>
        <v>0</v>
      </c>
      <c r="AT1983" s="246">
        <f>IFERROR(VLOOKUP(D1983,VOL_REC[],2,FALSE),0)</f>
        <v>0</v>
      </c>
      <c r="AU1983" s="246">
        <f>IFERROR(VLOOKUP(E1983,VOL_REC[],2,FALSE),0)</f>
        <v>0</v>
      </c>
      <c r="AV1983" s="246">
        <f>IFERROR(VLOOKUP(F1983,VOL_REC[],2,FALSE),0)</f>
        <v>11089674.200000001</v>
      </c>
      <c r="AW1983" s="246">
        <f>IFERROR(VLOOKUP(G1983,VOL_REC[],2,FALSE),0)</f>
        <v>90439.55</v>
      </c>
      <c r="AX1983" s="246">
        <f>IFERROR(VLOOKUP(H1983,VOL_REC[],2,FALSE),0)</f>
        <v>4325103.1812214684</v>
      </c>
      <c r="AY1983" s="246">
        <f>IFERROR(VLOOKUP(I1983,VOL_REC[],2,FALSE),0)</f>
        <v>15540036.397699751</v>
      </c>
      <c r="AZ1983" s="246">
        <f>IFERROR(VLOOKUP(J1983,VOL_REC[],2,FALSE),0)</f>
        <v>3761786</v>
      </c>
      <c r="BA1983" s="246">
        <f>IFERROR(VLOOKUP(K1983,VOL_REC[],2,FALSE),0)</f>
        <v>1812240</v>
      </c>
      <c r="BB1983" s="246">
        <f>IFERROR(VLOOKUP(L1983,VOL_REC[],2,FALSE),0)</f>
        <v>240696.79238099116</v>
      </c>
      <c r="BC1983" s="246">
        <f>IFERROR(VLOOKUP(M1983,VOL_REC[],2,FALSE),0)</f>
        <v>663244.80000000016</v>
      </c>
      <c r="BD1983" s="246">
        <f>IFERROR(VLOOKUP(N1983,VOL_REC[],2,FALSE),0)</f>
        <v>17074.045034105649</v>
      </c>
      <c r="BE1983" s="246">
        <f>IFERROR(VLOOKUP(O1983,VOL_REC[],2,FALSE),0)</f>
        <v>1072354.9981737854</v>
      </c>
      <c r="BF1983" s="246">
        <f>IFERROR(VLOOKUP(P1983,VOL_REC[],2,FALSE),0)</f>
        <v>0</v>
      </c>
      <c r="BG1983" s="246">
        <f>IFERROR(VLOOKUP(Q1983,VOL_REC[],2,FALSE),0)</f>
        <v>0</v>
      </c>
      <c r="BH1983" s="1710">
        <f t="shared" si="124"/>
        <v>34644105740.630608</v>
      </c>
      <c r="BI1983" s="1710">
        <f t="shared" si="125"/>
        <v>32191765762.269669</v>
      </c>
      <c r="BJ1983" s="1711">
        <f t="shared" si="126"/>
        <v>38612649.964510098</v>
      </c>
      <c r="BK1983" s="1711">
        <f t="shared" si="127"/>
        <v>1.076179107305608</v>
      </c>
      <c r="BL1983">
        <f>BJ1983</f>
        <v>38612649.964510098</v>
      </c>
      <c r="BO1983">
        <f>BL1983</f>
        <v>38612649.964510098</v>
      </c>
    </row>
    <row r="1984" spans="3:67" x14ac:dyDescent="0.25">
      <c r="C1984" s="246" t="s">
        <v>3334</v>
      </c>
      <c r="D1984" s="246">
        <v>1</v>
      </c>
      <c r="E1984" s="246">
        <v>2</v>
      </c>
      <c r="F1984" s="246">
        <v>3</v>
      </c>
      <c r="G1984" s="246">
        <v>4</v>
      </c>
      <c r="H1984" s="246">
        <v>5</v>
      </c>
      <c r="I1984" s="246">
        <v>6</v>
      </c>
      <c r="J1984" s="246">
        <v>9</v>
      </c>
      <c r="K1984" s="246">
        <v>10</v>
      </c>
      <c r="L1984" s="246">
        <v>12</v>
      </c>
      <c r="M1984" s="246">
        <v>13</v>
      </c>
      <c r="N1984" s="246">
        <v>14</v>
      </c>
      <c r="O1984" s="246">
        <v>17</v>
      </c>
      <c r="P1984" s="246"/>
      <c r="Q1984" s="246"/>
      <c r="R1984" s="246">
        <f>IFERROR(VLOOKUP(D1984,PROGRAMAS[],2,FALSE),0)</f>
        <v>97037803.679377079</v>
      </c>
      <c r="S1984" s="246">
        <f>IFERROR(VLOOKUP(E1984,PROGRAMAS[],2,FALSE),0)</f>
        <v>640501509.6821388</v>
      </c>
      <c r="T1984" s="246">
        <f>IFERROR(VLOOKUP(F1984,PROGRAMAS[],2,FALSE),0)</f>
        <v>3062327798.1525245</v>
      </c>
      <c r="U1984" s="246">
        <f>IFERROR(VLOOKUP(G1984,PROGRAMAS[],2,FALSE),0)</f>
        <v>67697118.033011258</v>
      </c>
      <c r="V1984" s="246">
        <f>IFERROR(VLOOKUP(H1984,PROGRAMAS[],2,FALSE),0)</f>
        <v>1440941976.2528784</v>
      </c>
      <c r="W1984" s="246">
        <f>IFERROR(VLOOKUP(I1984,PROGRAMAS[],2,FALSE),0)</f>
        <v>6907648435.8447599</v>
      </c>
      <c r="X1984" s="246">
        <f>IFERROR(VLOOKUP(J1984,PROGRAMAS[],2,FALSE),0)</f>
        <v>6128579952.1618185</v>
      </c>
      <c r="Y1984" s="246">
        <f>IFERROR(VLOOKUP(K1984,PROGRAMAS[],2,FALSE),0)</f>
        <v>4635315027.8751087</v>
      </c>
      <c r="Z1984" s="246">
        <f>IFERROR(VLOOKUP(L1984,PROGRAMAS[],2,FALSE),0)</f>
        <v>764796700.79905891</v>
      </c>
      <c r="AA1984" s="246">
        <f>IFERROR(VLOOKUP(M1984,PROGRAMAS[],2,FALSE),0)</f>
        <v>3776538594.4604583</v>
      </c>
      <c r="AB1984" s="246">
        <f>IFERROR(VLOOKUP(N1984,PROGRAMAS[],2,FALSE),0)</f>
        <v>54223862.645839565</v>
      </c>
      <c r="AC1984" s="246">
        <f>IFERROR(VLOOKUP(O1984,PROGRAMAS[],2,FALSE),0)</f>
        <v>1892779498.5211046</v>
      </c>
      <c r="AD1984" s="246">
        <f>IFERROR(VLOOKUP(P1984,PROGRAMAS[],2,FALSE),0)</f>
        <v>0</v>
      </c>
      <c r="AE1984" s="246">
        <f>IFERROR(VLOOKUP(Q1984,PROGRAMAS[],2,FALSE),0)</f>
        <v>0</v>
      </c>
      <c r="AF1984" s="246">
        <f>IFERROR(VLOOKUP(D1984,PROGRAMAS[],3,FALSE),0)</f>
        <v>841888629.31080008</v>
      </c>
      <c r="AG1984" s="246">
        <f>IFERROR(VLOOKUP(E1984,PROGRAMAS[],3,FALSE),0)</f>
        <v>3848980803.1642323</v>
      </c>
      <c r="AH1984" s="246">
        <f>IFERROR(VLOOKUP(F1984,PROGRAMAS[],3,FALSE),0)</f>
        <v>3394901471.387517</v>
      </c>
      <c r="AI1984" s="246">
        <f>IFERROR(VLOOKUP(G1984,PROGRAMAS[],3,FALSE),0)</f>
        <v>125317226.95549992</v>
      </c>
      <c r="AJ1984" s="246">
        <f>IFERROR(VLOOKUP(H1984,PROGRAMAS[],3,FALSE),0)</f>
        <v>1233505101.0616004</v>
      </c>
      <c r="AK1984" s="246">
        <f>IFERROR(VLOOKUP(I1984,PROGRAMAS[],3,FALSE),0)</f>
        <v>6129902208.7912121</v>
      </c>
      <c r="AL1984" s="246">
        <f>IFERROR(VLOOKUP(J1984,PROGRAMAS[],3,FALSE),0)</f>
        <v>7011279577.519702</v>
      </c>
      <c r="AM1984" s="246">
        <f>IFERROR(VLOOKUP(K1984,PROGRAMAS[],3,FALSE),0)</f>
        <v>4099471734.9978786</v>
      </c>
      <c r="AN1984" s="246">
        <f>IFERROR(VLOOKUP(L1984,PROGRAMAS[],3,FALSE),0)</f>
        <v>675517840.109828</v>
      </c>
      <c r="AO1984" s="246">
        <f>IFERROR(VLOOKUP(M1984,PROGRAMAS[],3,FALSE),0)</f>
        <v>2392571243.5584412</v>
      </c>
      <c r="AP1984" s="246">
        <f>IFERROR(VLOOKUP(N1984,PROGRAMAS[],3,FALSE),0)</f>
        <v>31865326.38096505</v>
      </c>
      <c r="AQ1984" s="246">
        <f>IFERROR(VLOOKUP(O1984,PROGRAMAS[],3,FALSE),0)</f>
        <v>948595847.09039903</v>
      </c>
      <c r="AR1984" s="246">
        <f>IFERROR(VLOOKUP(P1984,PROGRAMAS[],3,FALSE),0)</f>
        <v>0</v>
      </c>
      <c r="AS1984" s="246">
        <f>IFERROR(VLOOKUP(Q1984,PROGRAMAS[],3,FALSE),0)</f>
        <v>0</v>
      </c>
      <c r="AT1984" s="246">
        <f>IFERROR(VLOOKUP(D1984,VOL_REC[],2,FALSE),0)</f>
        <v>0</v>
      </c>
      <c r="AU1984" s="246">
        <f>IFERROR(VLOOKUP(E1984,VOL_REC[],2,FALSE),0)</f>
        <v>0</v>
      </c>
      <c r="AV1984" s="246">
        <f>IFERROR(VLOOKUP(F1984,VOL_REC[],2,FALSE),0)</f>
        <v>11089674.200000001</v>
      </c>
      <c r="AW1984" s="246">
        <f>IFERROR(VLOOKUP(G1984,VOL_REC[],2,FALSE),0)</f>
        <v>90439.55</v>
      </c>
      <c r="AX1984" s="246">
        <f>IFERROR(VLOOKUP(H1984,VOL_REC[],2,FALSE),0)</f>
        <v>4325103.1812214684</v>
      </c>
      <c r="AY1984" s="246">
        <f>IFERROR(VLOOKUP(I1984,VOL_REC[],2,FALSE),0)</f>
        <v>15540036.397699751</v>
      </c>
      <c r="AZ1984" s="246">
        <f>IFERROR(VLOOKUP(J1984,VOL_REC[],2,FALSE),0)</f>
        <v>3761786</v>
      </c>
      <c r="BA1984" s="246">
        <f>IFERROR(VLOOKUP(K1984,VOL_REC[],2,FALSE),0)</f>
        <v>1812240</v>
      </c>
      <c r="BB1984" s="246">
        <f>IFERROR(VLOOKUP(L1984,VOL_REC[],2,FALSE),0)</f>
        <v>240696.79238099116</v>
      </c>
      <c r="BC1984" s="246">
        <f>IFERROR(VLOOKUP(M1984,VOL_REC[],2,FALSE),0)</f>
        <v>663244.80000000016</v>
      </c>
      <c r="BD1984" s="246">
        <f>IFERROR(VLOOKUP(N1984,VOL_REC[],2,FALSE),0)</f>
        <v>17074.045034105649</v>
      </c>
      <c r="BE1984" s="246">
        <f>IFERROR(VLOOKUP(O1984,VOL_REC[],2,FALSE),0)</f>
        <v>740113.98115702497</v>
      </c>
      <c r="BF1984" s="246">
        <f>IFERROR(VLOOKUP(P1984,VOL_REC[],2,FALSE),0)</f>
        <v>0</v>
      </c>
      <c r="BG1984" s="246">
        <f>IFERROR(VLOOKUP(Q1984,VOL_REC[],2,FALSE),0)</f>
        <v>0</v>
      </c>
      <c r="BH1984" s="1710">
        <f t="shared" si="124"/>
        <v>29468388278.108074</v>
      </c>
      <c r="BI1984" s="1710">
        <f t="shared" si="125"/>
        <v>30733797010.328079</v>
      </c>
      <c r="BJ1984" s="1711">
        <f t="shared" si="126"/>
        <v>38280408.947493337</v>
      </c>
      <c r="BK1984" s="1711">
        <f t="shared" si="127"/>
        <v>0.95882680126393871</v>
      </c>
    </row>
    <row r="1985" spans="3:67" x14ac:dyDescent="0.25">
      <c r="C1985" s="246" t="s">
        <v>3335</v>
      </c>
      <c r="D1985" s="246">
        <v>1</v>
      </c>
      <c r="E1985" s="246">
        <v>2</v>
      </c>
      <c r="F1985" s="246">
        <v>3</v>
      </c>
      <c r="G1985" s="246">
        <v>4</v>
      </c>
      <c r="H1985" s="246">
        <v>5</v>
      </c>
      <c r="I1985" s="246">
        <v>6</v>
      </c>
      <c r="J1985" s="246">
        <v>9</v>
      </c>
      <c r="K1985" s="246">
        <v>10</v>
      </c>
      <c r="L1985" s="246">
        <v>12</v>
      </c>
      <c r="M1985" s="246">
        <v>13</v>
      </c>
      <c r="N1985" s="246">
        <v>15</v>
      </c>
      <c r="O1985" s="246">
        <v>16</v>
      </c>
      <c r="P1985" s="246"/>
      <c r="Q1985" s="246"/>
      <c r="R1985" s="246">
        <f>IFERROR(VLOOKUP(D1985,PROGRAMAS[],2,FALSE),0)</f>
        <v>97037803.679377079</v>
      </c>
      <c r="S1985" s="246">
        <f>IFERROR(VLOOKUP(E1985,PROGRAMAS[],2,FALSE),0)</f>
        <v>640501509.6821388</v>
      </c>
      <c r="T1985" s="246">
        <f>IFERROR(VLOOKUP(F1985,PROGRAMAS[],2,FALSE),0)</f>
        <v>3062327798.1525245</v>
      </c>
      <c r="U1985" s="246">
        <f>IFERROR(VLOOKUP(G1985,PROGRAMAS[],2,FALSE),0)</f>
        <v>67697118.033011258</v>
      </c>
      <c r="V1985" s="246">
        <f>IFERROR(VLOOKUP(H1985,PROGRAMAS[],2,FALSE),0)</f>
        <v>1440941976.2528784</v>
      </c>
      <c r="W1985" s="246">
        <f>IFERROR(VLOOKUP(I1985,PROGRAMAS[],2,FALSE),0)</f>
        <v>6907648435.8447599</v>
      </c>
      <c r="X1985" s="246">
        <f>IFERROR(VLOOKUP(J1985,PROGRAMAS[],2,FALSE),0)</f>
        <v>6128579952.1618185</v>
      </c>
      <c r="Y1985" s="246">
        <f>IFERROR(VLOOKUP(K1985,PROGRAMAS[],2,FALSE),0)</f>
        <v>4635315027.8751087</v>
      </c>
      <c r="Z1985" s="246">
        <f>IFERROR(VLOOKUP(L1985,PROGRAMAS[],2,FALSE),0)</f>
        <v>764796700.79905891</v>
      </c>
      <c r="AA1985" s="246">
        <f>IFERROR(VLOOKUP(M1985,PROGRAMAS[],2,FALSE),0)</f>
        <v>3776538594.4604583</v>
      </c>
      <c r="AB1985" s="246">
        <f>IFERROR(VLOOKUP(N1985,PROGRAMAS[],2,FALSE),0)</f>
        <v>122159672.96346797</v>
      </c>
      <c r="AC1985" s="246">
        <f>IFERROR(VLOOKUP(O1985,PROGRAMAS[],2,FALSE),0)</f>
        <v>7068496961.0436354</v>
      </c>
      <c r="AD1985" s="246">
        <f>IFERROR(VLOOKUP(P1985,PROGRAMAS[],2,FALSE),0)</f>
        <v>0</v>
      </c>
      <c r="AE1985" s="246">
        <f>IFERROR(VLOOKUP(Q1985,PROGRAMAS[],2,FALSE),0)</f>
        <v>0</v>
      </c>
      <c r="AF1985" s="246">
        <f>IFERROR(VLOOKUP(D1985,PROGRAMAS[],3,FALSE),0)</f>
        <v>841888629.31080008</v>
      </c>
      <c r="AG1985" s="246">
        <f>IFERROR(VLOOKUP(E1985,PROGRAMAS[],3,FALSE),0)</f>
        <v>3848980803.1642323</v>
      </c>
      <c r="AH1985" s="246">
        <f>IFERROR(VLOOKUP(F1985,PROGRAMAS[],3,FALSE),0)</f>
        <v>3394901471.387517</v>
      </c>
      <c r="AI1985" s="246">
        <f>IFERROR(VLOOKUP(G1985,PROGRAMAS[],3,FALSE),0)</f>
        <v>125317226.95549992</v>
      </c>
      <c r="AJ1985" s="246">
        <f>IFERROR(VLOOKUP(H1985,PROGRAMAS[],3,FALSE),0)</f>
        <v>1233505101.0616004</v>
      </c>
      <c r="AK1985" s="246">
        <f>IFERROR(VLOOKUP(I1985,PROGRAMAS[],3,FALSE),0)</f>
        <v>6129902208.7912121</v>
      </c>
      <c r="AL1985" s="246">
        <f>IFERROR(VLOOKUP(J1985,PROGRAMAS[],3,FALSE),0)</f>
        <v>7011279577.519702</v>
      </c>
      <c r="AM1985" s="246">
        <f>IFERROR(VLOOKUP(K1985,PROGRAMAS[],3,FALSE),0)</f>
        <v>4099471734.9978786</v>
      </c>
      <c r="AN1985" s="246">
        <f>IFERROR(VLOOKUP(L1985,PROGRAMAS[],3,FALSE),0)</f>
        <v>675517840.109828</v>
      </c>
      <c r="AO1985" s="246">
        <f>IFERROR(VLOOKUP(M1985,PROGRAMAS[],3,FALSE),0)</f>
        <v>2392571243.5584412</v>
      </c>
      <c r="AP1985" s="246">
        <f>IFERROR(VLOOKUP(N1985,PROGRAMAS[],3,FALSE),0)</f>
        <v>118617452.52510804</v>
      </c>
      <c r="AQ1985" s="246">
        <f>IFERROR(VLOOKUP(O1985,PROGRAMAS[],3,FALSE),0)</f>
        <v>2406564599.0319901</v>
      </c>
      <c r="AR1985" s="246">
        <f>IFERROR(VLOOKUP(P1985,PROGRAMAS[],3,FALSE),0)</f>
        <v>0</v>
      </c>
      <c r="AS1985" s="246">
        <f>IFERROR(VLOOKUP(Q1985,PROGRAMAS[],3,FALSE),0)</f>
        <v>0</v>
      </c>
      <c r="AT1985" s="246">
        <f>IFERROR(VLOOKUP(D1985,VOL_REC[],2,FALSE),0)</f>
        <v>0</v>
      </c>
      <c r="AU1985" s="246">
        <f>IFERROR(VLOOKUP(E1985,VOL_REC[],2,FALSE),0)</f>
        <v>0</v>
      </c>
      <c r="AV1985" s="246">
        <f>IFERROR(VLOOKUP(F1985,VOL_REC[],2,FALSE),0)</f>
        <v>11089674.200000001</v>
      </c>
      <c r="AW1985" s="246">
        <f>IFERROR(VLOOKUP(G1985,VOL_REC[],2,FALSE),0)</f>
        <v>90439.55</v>
      </c>
      <c r="AX1985" s="246">
        <f>IFERROR(VLOOKUP(H1985,VOL_REC[],2,FALSE),0)</f>
        <v>4325103.1812214684</v>
      </c>
      <c r="AY1985" s="246">
        <f>IFERROR(VLOOKUP(I1985,VOL_REC[],2,FALSE),0)</f>
        <v>15540036.397699751</v>
      </c>
      <c r="AZ1985" s="246">
        <f>IFERROR(VLOOKUP(J1985,VOL_REC[],2,FALSE),0)</f>
        <v>3761786</v>
      </c>
      <c r="BA1985" s="246">
        <f>IFERROR(VLOOKUP(K1985,VOL_REC[],2,FALSE),0)</f>
        <v>1812240</v>
      </c>
      <c r="BB1985" s="246">
        <f>IFERROR(VLOOKUP(L1985,VOL_REC[],2,FALSE),0)</f>
        <v>240696.79238099116</v>
      </c>
      <c r="BC1985" s="246">
        <f>IFERROR(VLOOKUP(M1985,VOL_REC[],2,FALSE),0)</f>
        <v>663244.80000000016</v>
      </c>
      <c r="BD1985" s="246">
        <f>IFERROR(VLOOKUP(N1985,VOL_REC[],2,FALSE),0)</f>
        <v>105072</v>
      </c>
      <c r="BE1985" s="246">
        <f>IFERROR(VLOOKUP(O1985,VOL_REC[],2,FALSE),0)</f>
        <v>1072354.9981737854</v>
      </c>
      <c r="BF1985" s="246">
        <f>IFERROR(VLOOKUP(P1985,VOL_REC[],2,FALSE),0)</f>
        <v>0</v>
      </c>
      <c r="BG1985" s="246">
        <f>IFERROR(VLOOKUP(Q1985,VOL_REC[],2,FALSE),0)</f>
        <v>0</v>
      </c>
      <c r="BH1985" s="1710">
        <f t="shared" si="124"/>
        <v>34712041550.948235</v>
      </c>
      <c r="BI1985" s="1710">
        <f t="shared" si="125"/>
        <v>32278517888.413811</v>
      </c>
      <c r="BJ1985" s="1711">
        <f t="shared" si="126"/>
        <v>38700647.919475995</v>
      </c>
      <c r="BK1985" s="1711">
        <f t="shared" si="127"/>
        <v>1.0753914312592376</v>
      </c>
      <c r="BL1985">
        <f>BJ1985</f>
        <v>38700647.919475995</v>
      </c>
      <c r="BO1985">
        <f>BL1985</f>
        <v>38700647.919475995</v>
      </c>
    </row>
    <row r="1986" spans="3:67" x14ac:dyDescent="0.25">
      <c r="C1986" s="246" t="s">
        <v>3336</v>
      </c>
      <c r="D1986" s="246">
        <v>1</v>
      </c>
      <c r="E1986" s="246">
        <v>2</v>
      </c>
      <c r="F1986" s="246">
        <v>3</v>
      </c>
      <c r="G1986" s="246">
        <v>4</v>
      </c>
      <c r="H1986" s="246">
        <v>5</v>
      </c>
      <c r="I1986" s="246">
        <v>6</v>
      </c>
      <c r="J1986" s="246">
        <v>9</v>
      </c>
      <c r="K1986" s="246">
        <v>10</v>
      </c>
      <c r="L1986" s="246">
        <v>12</v>
      </c>
      <c r="M1986" s="246">
        <v>13</v>
      </c>
      <c r="N1986" s="246">
        <v>15</v>
      </c>
      <c r="O1986" s="246">
        <v>17</v>
      </c>
      <c r="P1986" s="246"/>
      <c r="Q1986" s="246"/>
      <c r="R1986" s="246">
        <f>IFERROR(VLOOKUP(D1986,PROGRAMAS[],2,FALSE),0)</f>
        <v>97037803.679377079</v>
      </c>
      <c r="S1986" s="246">
        <f>IFERROR(VLOOKUP(E1986,PROGRAMAS[],2,FALSE),0)</f>
        <v>640501509.6821388</v>
      </c>
      <c r="T1986" s="246">
        <f>IFERROR(VLOOKUP(F1986,PROGRAMAS[],2,FALSE),0)</f>
        <v>3062327798.1525245</v>
      </c>
      <c r="U1986" s="246">
        <f>IFERROR(VLOOKUP(G1986,PROGRAMAS[],2,FALSE),0)</f>
        <v>67697118.033011258</v>
      </c>
      <c r="V1986" s="246">
        <f>IFERROR(VLOOKUP(H1986,PROGRAMAS[],2,FALSE),0)</f>
        <v>1440941976.2528784</v>
      </c>
      <c r="W1986" s="246">
        <f>IFERROR(VLOOKUP(I1986,PROGRAMAS[],2,FALSE),0)</f>
        <v>6907648435.8447599</v>
      </c>
      <c r="X1986" s="246">
        <f>IFERROR(VLOOKUP(J1986,PROGRAMAS[],2,FALSE),0)</f>
        <v>6128579952.1618185</v>
      </c>
      <c r="Y1986" s="246">
        <f>IFERROR(VLOOKUP(K1986,PROGRAMAS[],2,FALSE),0)</f>
        <v>4635315027.8751087</v>
      </c>
      <c r="Z1986" s="246">
        <f>IFERROR(VLOOKUP(L1986,PROGRAMAS[],2,FALSE),0)</f>
        <v>764796700.79905891</v>
      </c>
      <c r="AA1986" s="246">
        <f>IFERROR(VLOOKUP(M1986,PROGRAMAS[],2,FALSE),0)</f>
        <v>3776538594.4604583</v>
      </c>
      <c r="AB1986" s="246">
        <f>IFERROR(VLOOKUP(N1986,PROGRAMAS[],2,FALSE),0)</f>
        <v>122159672.96346797</v>
      </c>
      <c r="AC1986" s="246">
        <f>IFERROR(VLOOKUP(O1986,PROGRAMAS[],2,FALSE),0)</f>
        <v>1892779498.5211046</v>
      </c>
      <c r="AD1986" s="246">
        <f>IFERROR(VLOOKUP(P1986,PROGRAMAS[],2,FALSE),0)</f>
        <v>0</v>
      </c>
      <c r="AE1986" s="246">
        <f>IFERROR(VLOOKUP(Q1986,PROGRAMAS[],2,FALSE),0)</f>
        <v>0</v>
      </c>
      <c r="AF1986" s="246">
        <f>IFERROR(VLOOKUP(D1986,PROGRAMAS[],3,FALSE),0)</f>
        <v>841888629.31080008</v>
      </c>
      <c r="AG1986" s="246">
        <f>IFERROR(VLOOKUP(E1986,PROGRAMAS[],3,FALSE),0)</f>
        <v>3848980803.1642323</v>
      </c>
      <c r="AH1986" s="246">
        <f>IFERROR(VLOOKUP(F1986,PROGRAMAS[],3,FALSE),0)</f>
        <v>3394901471.387517</v>
      </c>
      <c r="AI1986" s="246">
        <f>IFERROR(VLOOKUP(G1986,PROGRAMAS[],3,FALSE),0)</f>
        <v>125317226.95549992</v>
      </c>
      <c r="AJ1986" s="246">
        <f>IFERROR(VLOOKUP(H1986,PROGRAMAS[],3,FALSE),0)</f>
        <v>1233505101.0616004</v>
      </c>
      <c r="AK1986" s="246">
        <f>IFERROR(VLOOKUP(I1986,PROGRAMAS[],3,FALSE),0)</f>
        <v>6129902208.7912121</v>
      </c>
      <c r="AL1986" s="246">
        <f>IFERROR(VLOOKUP(J1986,PROGRAMAS[],3,FALSE),0)</f>
        <v>7011279577.519702</v>
      </c>
      <c r="AM1986" s="246">
        <f>IFERROR(VLOOKUP(K1986,PROGRAMAS[],3,FALSE),0)</f>
        <v>4099471734.9978786</v>
      </c>
      <c r="AN1986" s="246">
        <f>IFERROR(VLOOKUP(L1986,PROGRAMAS[],3,FALSE),0)</f>
        <v>675517840.109828</v>
      </c>
      <c r="AO1986" s="246">
        <f>IFERROR(VLOOKUP(M1986,PROGRAMAS[],3,FALSE),0)</f>
        <v>2392571243.5584412</v>
      </c>
      <c r="AP1986" s="246">
        <f>IFERROR(VLOOKUP(N1986,PROGRAMAS[],3,FALSE),0)</f>
        <v>118617452.52510804</v>
      </c>
      <c r="AQ1986" s="246">
        <f>IFERROR(VLOOKUP(O1986,PROGRAMAS[],3,FALSE),0)</f>
        <v>948595847.09039903</v>
      </c>
      <c r="AR1986" s="246">
        <f>IFERROR(VLOOKUP(P1986,PROGRAMAS[],3,FALSE),0)</f>
        <v>0</v>
      </c>
      <c r="AS1986" s="246">
        <f>IFERROR(VLOOKUP(Q1986,PROGRAMAS[],3,FALSE),0)</f>
        <v>0</v>
      </c>
      <c r="AT1986" s="246">
        <f>IFERROR(VLOOKUP(D1986,VOL_REC[],2,FALSE),0)</f>
        <v>0</v>
      </c>
      <c r="AU1986" s="246">
        <f>IFERROR(VLOOKUP(E1986,VOL_REC[],2,FALSE),0)</f>
        <v>0</v>
      </c>
      <c r="AV1986" s="246">
        <f>IFERROR(VLOOKUP(F1986,VOL_REC[],2,FALSE),0)</f>
        <v>11089674.200000001</v>
      </c>
      <c r="AW1986" s="246">
        <f>IFERROR(VLOOKUP(G1986,VOL_REC[],2,FALSE),0)</f>
        <v>90439.55</v>
      </c>
      <c r="AX1986" s="246">
        <f>IFERROR(VLOOKUP(H1986,VOL_REC[],2,FALSE),0)</f>
        <v>4325103.1812214684</v>
      </c>
      <c r="AY1986" s="246">
        <f>IFERROR(VLOOKUP(I1986,VOL_REC[],2,FALSE),0)</f>
        <v>15540036.397699751</v>
      </c>
      <c r="AZ1986" s="246">
        <f>IFERROR(VLOOKUP(J1986,VOL_REC[],2,FALSE),0)</f>
        <v>3761786</v>
      </c>
      <c r="BA1986" s="246">
        <f>IFERROR(VLOOKUP(K1986,VOL_REC[],2,FALSE),0)</f>
        <v>1812240</v>
      </c>
      <c r="BB1986" s="246">
        <f>IFERROR(VLOOKUP(L1986,VOL_REC[],2,FALSE),0)</f>
        <v>240696.79238099116</v>
      </c>
      <c r="BC1986" s="246">
        <f>IFERROR(VLOOKUP(M1986,VOL_REC[],2,FALSE),0)</f>
        <v>663244.80000000016</v>
      </c>
      <c r="BD1986" s="246">
        <f>IFERROR(VLOOKUP(N1986,VOL_REC[],2,FALSE),0)</f>
        <v>105072</v>
      </c>
      <c r="BE1986" s="246">
        <f>IFERROR(VLOOKUP(O1986,VOL_REC[],2,FALSE),0)</f>
        <v>740113.98115702497</v>
      </c>
      <c r="BF1986" s="246">
        <f>IFERROR(VLOOKUP(P1986,VOL_REC[],2,FALSE),0)</f>
        <v>0</v>
      </c>
      <c r="BG1986" s="246">
        <f>IFERROR(VLOOKUP(Q1986,VOL_REC[],2,FALSE),0)</f>
        <v>0</v>
      </c>
      <c r="BH1986" s="1710">
        <f t="shared" ref="BH1986:BH2048" si="138">SUM(R1986:AE1986)</f>
        <v>29536324088.425701</v>
      </c>
      <c r="BI1986" s="1710">
        <f t="shared" ref="BI1986:BI2048" si="139">SUM(AF1986:AS1986)</f>
        <v>30820549136.472221</v>
      </c>
      <c r="BJ1986" s="1711">
        <f t="shared" ref="BJ1986:BJ2048" si="140">SUM(AT1986:BG1986)</f>
        <v>38368406.902459234</v>
      </c>
      <c r="BK1986" s="1711">
        <f t="shared" ref="BK1986:BK2048" si="141">IFERROR(BH1986/BI1986,0)</f>
        <v>0.95833218148190613</v>
      </c>
    </row>
    <row r="1987" spans="3:67" x14ac:dyDescent="0.25">
      <c r="C1987" s="246" t="s">
        <v>3337</v>
      </c>
      <c r="D1987" s="246">
        <v>1</v>
      </c>
      <c r="E1987" s="246">
        <v>2</v>
      </c>
      <c r="F1987" s="246">
        <v>3</v>
      </c>
      <c r="G1987" s="246">
        <v>4</v>
      </c>
      <c r="H1987" s="246">
        <v>5</v>
      </c>
      <c r="I1987" s="246">
        <v>6</v>
      </c>
      <c r="J1987" s="246">
        <v>9</v>
      </c>
      <c r="K1987" s="246">
        <v>10</v>
      </c>
      <c r="L1987" s="246">
        <v>12</v>
      </c>
      <c r="M1987" s="246">
        <v>13</v>
      </c>
      <c r="N1987" s="246">
        <v>16</v>
      </c>
      <c r="O1987" s="246">
        <v>17</v>
      </c>
      <c r="P1987" s="246"/>
      <c r="Q1987" s="246"/>
      <c r="R1987" s="246">
        <f>IFERROR(VLOOKUP(D1987,PROGRAMAS[],2,FALSE),0)</f>
        <v>97037803.679377079</v>
      </c>
      <c r="S1987" s="246">
        <f>IFERROR(VLOOKUP(E1987,PROGRAMAS[],2,FALSE),0)</f>
        <v>640501509.6821388</v>
      </c>
      <c r="T1987" s="246">
        <f>IFERROR(VLOOKUP(F1987,PROGRAMAS[],2,FALSE),0)</f>
        <v>3062327798.1525245</v>
      </c>
      <c r="U1987" s="246">
        <f>IFERROR(VLOOKUP(G1987,PROGRAMAS[],2,FALSE),0)</f>
        <v>67697118.033011258</v>
      </c>
      <c r="V1987" s="246">
        <f>IFERROR(VLOOKUP(H1987,PROGRAMAS[],2,FALSE),0)</f>
        <v>1440941976.2528784</v>
      </c>
      <c r="W1987" s="246">
        <f>IFERROR(VLOOKUP(I1987,PROGRAMAS[],2,FALSE),0)</f>
        <v>6907648435.8447599</v>
      </c>
      <c r="X1987" s="246">
        <f>IFERROR(VLOOKUP(J1987,PROGRAMAS[],2,FALSE),0)</f>
        <v>6128579952.1618185</v>
      </c>
      <c r="Y1987" s="246">
        <f>IFERROR(VLOOKUP(K1987,PROGRAMAS[],2,FALSE),0)</f>
        <v>4635315027.8751087</v>
      </c>
      <c r="Z1987" s="246">
        <f>IFERROR(VLOOKUP(L1987,PROGRAMAS[],2,FALSE),0)</f>
        <v>764796700.79905891</v>
      </c>
      <c r="AA1987" s="246">
        <f>IFERROR(VLOOKUP(M1987,PROGRAMAS[],2,FALSE),0)</f>
        <v>3776538594.4604583</v>
      </c>
      <c r="AB1987" s="246">
        <f>IFERROR(VLOOKUP(N1987,PROGRAMAS[],2,FALSE),0)</f>
        <v>7068496961.0436354</v>
      </c>
      <c r="AC1987" s="246">
        <f>IFERROR(VLOOKUP(O1987,PROGRAMAS[],2,FALSE),0)</f>
        <v>1892779498.5211046</v>
      </c>
      <c r="AD1987" s="246">
        <f>IFERROR(VLOOKUP(P1987,PROGRAMAS[],2,FALSE),0)</f>
        <v>0</v>
      </c>
      <c r="AE1987" s="246">
        <f>IFERROR(VLOOKUP(Q1987,PROGRAMAS[],2,FALSE),0)</f>
        <v>0</v>
      </c>
      <c r="AF1987" s="246">
        <f>IFERROR(VLOOKUP(D1987,PROGRAMAS[],3,FALSE),0)</f>
        <v>841888629.31080008</v>
      </c>
      <c r="AG1987" s="246">
        <f>IFERROR(VLOOKUP(E1987,PROGRAMAS[],3,FALSE),0)</f>
        <v>3848980803.1642323</v>
      </c>
      <c r="AH1987" s="246">
        <f>IFERROR(VLOOKUP(F1987,PROGRAMAS[],3,FALSE),0)</f>
        <v>3394901471.387517</v>
      </c>
      <c r="AI1987" s="246">
        <f>IFERROR(VLOOKUP(G1987,PROGRAMAS[],3,FALSE),0)</f>
        <v>125317226.95549992</v>
      </c>
      <c r="AJ1987" s="246">
        <f>IFERROR(VLOOKUP(H1987,PROGRAMAS[],3,FALSE),0)</f>
        <v>1233505101.0616004</v>
      </c>
      <c r="AK1987" s="246">
        <f>IFERROR(VLOOKUP(I1987,PROGRAMAS[],3,FALSE),0)</f>
        <v>6129902208.7912121</v>
      </c>
      <c r="AL1987" s="246">
        <f>IFERROR(VLOOKUP(J1987,PROGRAMAS[],3,FALSE),0)</f>
        <v>7011279577.519702</v>
      </c>
      <c r="AM1987" s="246">
        <f>IFERROR(VLOOKUP(K1987,PROGRAMAS[],3,FALSE),0)</f>
        <v>4099471734.9978786</v>
      </c>
      <c r="AN1987" s="246">
        <f>IFERROR(VLOOKUP(L1987,PROGRAMAS[],3,FALSE),0)</f>
        <v>675517840.109828</v>
      </c>
      <c r="AO1987" s="246">
        <f>IFERROR(VLOOKUP(M1987,PROGRAMAS[],3,FALSE),0)</f>
        <v>2392571243.5584412</v>
      </c>
      <c r="AP1987" s="246">
        <f>IFERROR(VLOOKUP(N1987,PROGRAMAS[],3,FALSE),0)</f>
        <v>2406564599.0319901</v>
      </c>
      <c r="AQ1987" s="246">
        <f>IFERROR(VLOOKUP(O1987,PROGRAMAS[],3,FALSE),0)</f>
        <v>948595847.09039903</v>
      </c>
      <c r="AR1987" s="246">
        <f>IFERROR(VLOOKUP(P1987,PROGRAMAS[],3,FALSE),0)</f>
        <v>0</v>
      </c>
      <c r="AS1987" s="246">
        <f>IFERROR(VLOOKUP(Q1987,PROGRAMAS[],3,FALSE),0)</f>
        <v>0</v>
      </c>
      <c r="AT1987" s="246">
        <f>IFERROR(VLOOKUP(D1987,VOL_REC[],2,FALSE),0)</f>
        <v>0</v>
      </c>
      <c r="AU1987" s="246">
        <f>IFERROR(VLOOKUP(E1987,VOL_REC[],2,FALSE),0)</f>
        <v>0</v>
      </c>
      <c r="AV1987" s="246">
        <f>IFERROR(VLOOKUP(F1987,VOL_REC[],2,FALSE),0)</f>
        <v>11089674.200000001</v>
      </c>
      <c r="AW1987" s="246">
        <f>IFERROR(VLOOKUP(G1987,VOL_REC[],2,FALSE),0)</f>
        <v>90439.55</v>
      </c>
      <c r="AX1987" s="246">
        <f>IFERROR(VLOOKUP(H1987,VOL_REC[],2,FALSE),0)</f>
        <v>4325103.1812214684</v>
      </c>
      <c r="AY1987" s="246">
        <f>IFERROR(VLOOKUP(I1987,VOL_REC[],2,FALSE),0)</f>
        <v>15540036.397699751</v>
      </c>
      <c r="AZ1987" s="246">
        <f>IFERROR(VLOOKUP(J1987,VOL_REC[],2,FALSE),0)</f>
        <v>3761786</v>
      </c>
      <c r="BA1987" s="246">
        <f>IFERROR(VLOOKUP(K1987,VOL_REC[],2,FALSE),0)</f>
        <v>1812240</v>
      </c>
      <c r="BB1987" s="246">
        <f>IFERROR(VLOOKUP(L1987,VOL_REC[],2,FALSE),0)</f>
        <v>240696.79238099116</v>
      </c>
      <c r="BC1987" s="246">
        <f>IFERROR(VLOOKUP(M1987,VOL_REC[],2,FALSE),0)</f>
        <v>663244.80000000016</v>
      </c>
      <c r="BD1987" s="246">
        <f>IFERROR(VLOOKUP(N1987,VOL_REC[],2,FALSE),0)</f>
        <v>1072354.9981737854</v>
      </c>
      <c r="BE1987" s="246">
        <f>IFERROR(VLOOKUP(O1987,VOL_REC[],2,FALSE),0)</f>
        <v>740113.98115702497</v>
      </c>
      <c r="BF1987" s="246">
        <f>IFERROR(VLOOKUP(P1987,VOL_REC[],2,FALSE),0)</f>
        <v>0</v>
      </c>
      <c r="BG1987" s="246">
        <f>IFERROR(VLOOKUP(Q1987,VOL_REC[],2,FALSE),0)</f>
        <v>0</v>
      </c>
      <c r="BH1987" s="1710">
        <f t="shared" si="138"/>
        <v>36482661376.505867</v>
      </c>
      <c r="BI1987" s="1710">
        <f t="shared" si="139"/>
        <v>33108496282.979103</v>
      </c>
      <c r="BJ1987" s="1711">
        <f t="shared" si="140"/>
        <v>39335689.900633022</v>
      </c>
      <c r="BK1987" s="1711">
        <f t="shared" si="141"/>
        <v>1.1019123630589469</v>
      </c>
      <c r="BL1987">
        <f>BJ1987</f>
        <v>39335689.900633022</v>
      </c>
      <c r="BO1987">
        <f>BL1987</f>
        <v>39335689.900633022</v>
      </c>
    </row>
    <row r="1988" spans="3:67" x14ac:dyDescent="0.25">
      <c r="C1988" s="246" t="s">
        <v>3338</v>
      </c>
      <c r="D1988" s="246">
        <v>1</v>
      </c>
      <c r="E1988" s="246">
        <v>2</v>
      </c>
      <c r="F1988" s="246">
        <v>3</v>
      </c>
      <c r="G1988" s="246">
        <v>4</v>
      </c>
      <c r="H1988" s="246">
        <v>5</v>
      </c>
      <c r="I1988" s="246">
        <v>6</v>
      </c>
      <c r="J1988" s="246">
        <v>9</v>
      </c>
      <c r="K1988" s="246">
        <v>10</v>
      </c>
      <c r="L1988" s="246">
        <v>12</v>
      </c>
      <c r="M1988" s="246">
        <v>14</v>
      </c>
      <c r="N1988" s="246">
        <v>15</v>
      </c>
      <c r="O1988" s="246">
        <v>16</v>
      </c>
      <c r="P1988" s="246"/>
      <c r="Q1988" s="246"/>
      <c r="R1988" s="246">
        <f>IFERROR(VLOOKUP(D1988,PROGRAMAS[],2,FALSE),0)</f>
        <v>97037803.679377079</v>
      </c>
      <c r="S1988" s="246">
        <f>IFERROR(VLOOKUP(E1988,PROGRAMAS[],2,FALSE),0)</f>
        <v>640501509.6821388</v>
      </c>
      <c r="T1988" s="246">
        <f>IFERROR(VLOOKUP(F1988,PROGRAMAS[],2,FALSE),0)</f>
        <v>3062327798.1525245</v>
      </c>
      <c r="U1988" s="246">
        <f>IFERROR(VLOOKUP(G1988,PROGRAMAS[],2,FALSE),0)</f>
        <v>67697118.033011258</v>
      </c>
      <c r="V1988" s="246">
        <f>IFERROR(VLOOKUP(H1988,PROGRAMAS[],2,FALSE),0)</f>
        <v>1440941976.2528784</v>
      </c>
      <c r="W1988" s="246">
        <f>IFERROR(VLOOKUP(I1988,PROGRAMAS[],2,FALSE),0)</f>
        <v>6907648435.8447599</v>
      </c>
      <c r="X1988" s="246">
        <f>IFERROR(VLOOKUP(J1988,PROGRAMAS[],2,FALSE),0)</f>
        <v>6128579952.1618185</v>
      </c>
      <c r="Y1988" s="246">
        <f>IFERROR(VLOOKUP(K1988,PROGRAMAS[],2,FALSE),0)</f>
        <v>4635315027.8751087</v>
      </c>
      <c r="Z1988" s="246">
        <f>IFERROR(VLOOKUP(L1988,PROGRAMAS[],2,FALSE),0)</f>
        <v>764796700.79905891</v>
      </c>
      <c r="AA1988" s="246">
        <f>IFERROR(VLOOKUP(M1988,PROGRAMAS[],2,FALSE),0)</f>
        <v>54223862.645839565</v>
      </c>
      <c r="AB1988" s="246">
        <f>IFERROR(VLOOKUP(N1988,PROGRAMAS[],2,FALSE),0)</f>
        <v>122159672.96346797</v>
      </c>
      <c r="AC1988" s="246">
        <f>IFERROR(VLOOKUP(O1988,PROGRAMAS[],2,FALSE),0)</f>
        <v>7068496961.0436354</v>
      </c>
      <c r="AD1988" s="246">
        <f>IFERROR(VLOOKUP(P1988,PROGRAMAS[],2,FALSE),0)</f>
        <v>0</v>
      </c>
      <c r="AE1988" s="246">
        <f>IFERROR(VLOOKUP(Q1988,PROGRAMAS[],2,FALSE),0)</f>
        <v>0</v>
      </c>
      <c r="AF1988" s="246">
        <f>IFERROR(VLOOKUP(D1988,PROGRAMAS[],3,FALSE),0)</f>
        <v>841888629.31080008</v>
      </c>
      <c r="AG1988" s="246">
        <f>IFERROR(VLOOKUP(E1988,PROGRAMAS[],3,FALSE),0)</f>
        <v>3848980803.1642323</v>
      </c>
      <c r="AH1988" s="246">
        <f>IFERROR(VLOOKUP(F1988,PROGRAMAS[],3,FALSE),0)</f>
        <v>3394901471.387517</v>
      </c>
      <c r="AI1988" s="246">
        <f>IFERROR(VLOOKUP(G1988,PROGRAMAS[],3,FALSE),0)</f>
        <v>125317226.95549992</v>
      </c>
      <c r="AJ1988" s="246">
        <f>IFERROR(VLOOKUP(H1988,PROGRAMAS[],3,FALSE),0)</f>
        <v>1233505101.0616004</v>
      </c>
      <c r="AK1988" s="246">
        <f>IFERROR(VLOOKUP(I1988,PROGRAMAS[],3,FALSE),0)</f>
        <v>6129902208.7912121</v>
      </c>
      <c r="AL1988" s="246">
        <f>IFERROR(VLOOKUP(J1988,PROGRAMAS[],3,FALSE),0)</f>
        <v>7011279577.519702</v>
      </c>
      <c r="AM1988" s="246">
        <f>IFERROR(VLOOKUP(K1988,PROGRAMAS[],3,FALSE),0)</f>
        <v>4099471734.9978786</v>
      </c>
      <c r="AN1988" s="246">
        <f>IFERROR(VLOOKUP(L1988,PROGRAMAS[],3,FALSE),0)</f>
        <v>675517840.109828</v>
      </c>
      <c r="AO1988" s="246">
        <f>IFERROR(VLOOKUP(M1988,PROGRAMAS[],3,FALSE),0)</f>
        <v>31865326.38096505</v>
      </c>
      <c r="AP1988" s="246">
        <f>IFERROR(VLOOKUP(N1988,PROGRAMAS[],3,FALSE),0)</f>
        <v>118617452.52510804</v>
      </c>
      <c r="AQ1988" s="246">
        <f>IFERROR(VLOOKUP(O1988,PROGRAMAS[],3,FALSE),0)</f>
        <v>2406564599.0319901</v>
      </c>
      <c r="AR1988" s="246">
        <f>IFERROR(VLOOKUP(P1988,PROGRAMAS[],3,FALSE),0)</f>
        <v>0</v>
      </c>
      <c r="AS1988" s="246">
        <f>IFERROR(VLOOKUP(Q1988,PROGRAMAS[],3,FALSE),0)</f>
        <v>0</v>
      </c>
      <c r="AT1988" s="246">
        <f>IFERROR(VLOOKUP(D1988,VOL_REC[],2,FALSE),0)</f>
        <v>0</v>
      </c>
      <c r="AU1988" s="246">
        <f>IFERROR(VLOOKUP(E1988,VOL_REC[],2,FALSE),0)</f>
        <v>0</v>
      </c>
      <c r="AV1988" s="246">
        <f>IFERROR(VLOOKUP(F1988,VOL_REC[],2,FALSE),0)</f>
        <v>11089674.200000001</v>
      </c>
      <c r="AW1988" s="246">
        <f>IFERROR(VLOOKUP(G1988,VOL_REC[],2,FALSE),0)</f>
        <v>90439.55</v>
      </c>
      <c r="AX1988" s="246">
        <f>IFERROR(VLOOKUP(H1988,VOL_REC[],2,FALSE),0)</f>
        <v>4325103.1812214684</v>
      </c>
      <c r="AY1988" s="246">
        <f>IFERROR(VLOOKUP(I1988,VOL_REC[],2,FALSE),0)</f>
        <v>15540036.397699751</v>
      </c>
      <c r="AZ1988" s="246">
        <f>IFERROR(VLOOKUP(J1988,VOL_REC[],2,FALSE),0)</f>
        <v>3761786</v>
      </c>
      <c r="BA1988" s="246">
        <f>IFERROR(VLOOKUP(K1988,VOL_REC[],2,FALSE),0)</f>
        <v>1812240</v>
      </c>
      <c r="BB1988" s="246">
        <f>IFERROR(VLOOKUP(L1988,VOL_REC[],2,FALSE),0)</f>
        <v>240696.79238099116</v>
      </c>
      <c r="BC1988" s="246">
        <f>IFERROR(VLOOKUP(M1988,VOL_REC[],2,FALSE),0)</f>
        <v>17074.045034105649</v>
      </c>
      <c r="BD1988" s="246">
        <f>IFERROR(VLOOKUP(N1988,VOL_REC[],2,FALSE),0)</f>
        <v>105072</v>
      </c>
      <c r="BE1988" s="246">
        <f>IFERROR(VLOOKUP(O1988,VOL_REC[],2,FALSE),0)</f>
        <v>1072354.9981737854</v>
      </c>
      <c r="BF1988" s="246">
        <f>IFERROR(VLOOKUP(P1988,VOL_REC[],2,FALSE),0)</f>
        <v>0</v>
      </c>
      <c r="BG1988" s="246">
        <f>IFERROR(VLOOKUP(Q1988,VOL_REC[],2,FALSE),0)</f>
        <v>0</v>
      </c>
      <c r="BH1988" s="1710">
        <f t="shared" si="138"/>
        <v>30989726819.133617</v>
      </c>
      <c r="BI1988" s="1710">
        <f t="shared" si="139"/>
        <v>29917811971.236336</v>
      </c>
      <c r="BJ1988" s="1711">
        <f t="shared" si="140"/>
        <v>38054477.164510101</v>
      </c>
      <c r="BK1988" s="1711">
        <f t="shared" si="141"/>
        <v>1.0358286511369161</v>
      </c>
      <c r="BL1988">
        <f>BJ1988</f>
        <v>38054477.164510101</v>
      </c>
      <c r="BO1988">
        <f>BL1988</f>
        <v>38054477.164510101</v>
      </c>
    </row>
    <row r="1989" spans="3:67" x14ac:dyDescent="0.25">
      <c r="C1989" s="246" t="s">
        <v>3339</v>
      </c>
      <c r="D1989" s="246">
        <v>1</v>
      </c>
      <c r="E1989" s="246">
        <v>2</v>
      </c>
      <c r="F1989" s="246">
        <v>3</v>
      </c>
      <c r="G1989" s="246">
        <v>4</v>
      </c>
      <c r="H1989" s="246">
        <v>5</v>
      </c>
      <c r="I1989" s="246">
        <v>6</v>
      </c>
      <c r="J1989" s="246">
        <v>9</v>
      </c>
      <c r="K1989" s="246">
        <v>10</v>
      </c>
      <c r="L1989" s="246">
        <v>12</v>
      </c>
      <c r="M1989" s="246">
        <v>14</v>
      </c>
      <c r="N1989" s="246">
        <v>15</v>
      </c>
      <c r="O1989" s="246">
        <v>17</v>
      </c>
      <c r="P1989" s="246"/>
      <c r="Q1989" s="246"/>
      <c r="R1989" s="246">
        <f>IFERROR(VLOOKUP(D1989,PROGRAMAS[],2,FALSE),0)</f>
        <v>97037803.679377079</v>
      </c>
      <c r="S1989" s="246">
        <f>IFERROR(VLOOKUP(E1989,PROGRAMAS[],2,FALSE),0)</f>
        <v>640501509.6821388</v>
      </c>
      <c r="T1989" s="246">
        <f>IFERROR(VLOOKUP(F1989,PROGRAMAS[],2,FALSE),0)</f>
        <v>3062327798.1525245</v>
      </c>
      <c r="U1989" s="246">
        <f>IFERROR(VLOOKUP(G1989,PROGRAMAS[],2,FALSE),0)</f>
        <v>67697118.033011258</v>
      </c>
      <c r="V1989" s="246">
        <f>IFERROR(VLOOKUP(H1989,PROGRAMAS[],2,FALSE),0)</f>
        <v>1440941976.2528784</v>
      </c>
      <c r="W1989" s="246">
        <f>IFERROR(VLOOKUP(I1989,PROGRAMAS[],2,FALSE),0)</f>
        <v>6907648435.8447599</v>
      </c>
      <c r="X1989" s="246">
        <f>IFERROR(VLOOKUP(J1989,PROGRAMAS[],2,FALSE),0)</f>
        <v>6128579952.1618185</v>
      </c>
      <c r="Y1989" s="246">
        <f>IFERROR(VLOOKUP(K1989,PROGRAMAS[],2,FALSE),0)</f>
        <v>4635315027.8751087</v>
      </c>
      <c r="Z1989" s="246">
        <f>IFERROR(VLOOKUP(L1989,PROGRAMAS[],2,FALSE),0)</f>
        <v>764796700.79905891</v>
      </c>
      <c r="AA1989" s="246">
        <f>IFERROR(VLOOKUP(M1989,PROGRAMAS[],2,FALSE),0)</f>
        <v>54223862.645839565</v>
      </c>
      <c r="AB1989" s="246">
        <f>IFERROR(VLOOKUP(N1989,PROGRAMAS[],2,FALSE),0)</f>
        <v>122159672.96346797</v>
      </c>
      <c r="AC1989" s="246">
        <f>IFERROR(VLOOKUP(O1989,PROGRAMAS[],2,FALSE),0)</f>
        <v>1892779498.5211046</v>
      </c>
      <c r="AD1989" s="246">
        <f>IFERROR(VLOOKUP(P1989,PROGRAMAS[],2,FALSE),0)</f>
        <v>0</v>
      </c>
      <c r="AE1989" s="246">
        <f>IFERROR(VLOOKUP(Q1989,PROGRAMAS[],2,FALSE),0)</f>
        <v>0</v>
      </c>
      <c r="AF1989" s="246">
        <f>IFERROR(VLOOKUP(D1989,PROGRAMAS[],3,FALSE),0)</f>
        <v>841888629.31080008</v>
      </c>
      <c r="AG1989" s="246">
        <f>IFERROR(VLOOKUP(E1989,PROGRAMAS[],3,FALSE),0)</f>
        <v>3848980803.1642323</v>
      </c>
      <c r="AH1989" s="246">
        <f>IFERROR(VLOOKUP(F1989,PROGRAMAS[],3,FALSE),0)</f>
        <v>3394901471.387517</v>
      </c>
      <c r="AI1989" s="246">
        <f>IFERROR(VLOOKUP(G1989,PROGRAMAS[],3,FALSE),0)</f>
        <v>125317226.95549992</v>
      </c>
      <c r="AJ1989" s="246">
        <f>IFERROR(VLOOKUP(H1989,PROGRAMAS[],3,FALSE),0)</f>
        <v>1233505101.0616004</v>
      </c>
      <c r="AK1989" s="246">
        <f>IFERROR(VLOOKUP(I1989,PROGRAMAS[],3,FALSE),0)</f>
        <v>6129902208.7912121</v>
      </c>
      <c r="AL1989" s="246">
        <f>IFERROR(VLOOKUP(J1989,PROGRAMAS[],3,FALSE),0)</f>
        <v>7011279577.519702</v>
      </c>
      <c r="AM1989" s="246">
        <f>IFERROR(VLOOKUP(K1989,PROGRAMAS[],3,FALSE),0)</f>
        <v>4099471734.9978786</v>
      </c>
      <c r="AN1989" s="246">
        <f>IFERROR(VLOOKUP(L1989,PROGRAMAS[],3,FALSE),0)</f>
        <v>675517840.109828</v>
      </c>
      <c r="AO1989" s="246">
        <f>IFERROR(VLOOKUP(M1989,PROGRAMAS[],3,FALSE),0)</f>
        <v>31865326.38096505</v>
      </c>
      <c r="AP1989" s="246">
        <f>IFERROR(VLOOKUP(N1989,PROGRAMAS[],3,FALSE),0)</f>
        <v>118617452.52510804</v>
      </c>
      <c r="AQ1989" s="246">
        <f>IFERROR(VLOOKUP(O1989,PROGRAMAS[],3,FALSE),0)</f>
        <v>948595847.09039903</v>
      </c>
      <c r="AR1989" s="246">
        <f>IFERROR(VLOOKUP(P1989,PROGRAMAS[],3,FALSE),0)</f>
        <v>0</v>
      </c>
      <c r="AS1989" s="246">
        <f>IFERROR(VLOOKUP(Q1989,PROGRAMAS[],3,FALSE),0)</f>
        <v>0</v>
      </c>
      <c r="AT1989" s="246">
        <f>IFERROR(VLOOKUP(D1989,VOL_REC[],2,FALSE),0)</f>
        <v>0</v>
      </c>
      <c r="AU1989" s="246">
        <f>IFERROR(VLOOKUP(E1989,VOL_REC[],2,FALSE),0)</f>
        <v>0</v>
      </c>
      <c r="AV1989" s="246">
        <f>IFERROR(VLOOKUP(F1989,VOL_REC[],2,FALSE),0)</f>
        <v>11089674.200000001</v>
      </c>
      <c r="AW1989" s="246">
        <f>IFERROR(VLOOKUP(G1989,VOL_REC[],2,FALSE),0)</f>
        <v>90439.55</v>
      </c>
      <c r="AX1989" s="246">
        <f>IFERROR(VLOOKUP(H1989,VOL_REC[],2,FALSE),0)</f>
        <v>4325103.1812214684</v>
      </c>
      <c r="AY1989" s="246">
        <f>IFERROR(VLOOKUP(I1989,VOL_REC[],2,FALSE),0)</f>
        <v>15540036.397699751</v>
      </c>
      <c r="AZ1989" s="246">
        <f>IFERROR(VLOOKUP(J1989,VOL_REC[],2,FALSE),0)</f>
        <v>3761786</v>
      </c>
      <c r="BA1989" s="246">
        <f>IFERROR(VLOOKUP(K1989,VOL_REC[],2,FALSE),0)</f>
        <v>1812240</v>
      </c>
      <c r="BB1989" s="246">
        <f>IFERROR(VLOOKUP(L1989,VOL_REC[],2,FALSE),0)</f>
        <v>240696.79238099116</v>
      </c>
      <c r="BC1989" s="246">
        <f>IFERROR(VLOOKUP(M1989,VOL_REC[],2,FALSE),0)</f>
        <v>17074.045034105649</v>
      </c>
      <c r="BD1989" s="246">
        <f>IFERROR(VLOOKUP(N1989,VOL_REC[],2,FALSE),0)</f>
        <v>105072</v>
      </c>
      <c r="BE1989" s="246">
        <f>IFERROR(VLOOKUP(O1989,VOL_REC[],2,FALSE),0)</f>
        <v>740113.98115702497</v>
      </c>
      <c r="BF1989" s="246">
        <f>IFERROR(VLOOKUP(P1989,VOL_REC[],2,FALSE),0)</f>
        <v>0</v>
      </c>
      <c r="BG1989" s="246">
        <f>IFERROR(VLOOKUP(Q1989,VOL_REC[],2,FALSE),0)</f>
        <v>0</v>
      </c>
      <c r="BH1989" s="1710">
        <f t="shared" si="138"/>
        <v>25814009356.611084</v>
      </c>
      <c r="BI1989" s="1710">
        <f t="shared" si="139"/>
        <v>28459843219.294746</v>
      </c>
      <c r="BJ1989" s="1711">
        <f t="shared" si="140"/>
        <v>37722236.14749334</v>
      </c>
      <c r="BK1989" s="1711">
        <f t="shared" si="141"/>
        <v>0.90703273232053916</v>
      </c>
    </row>
    <row r="1990" spans="3:67" x14ac:dyDescent="0.25">
      <c r="C1990" s="246" t="s">
        <v>3340</v>
      </c>
      <c r="D1990" s="246">
        <v>1</v>
      </c>
      <c r="E1990" s="246">
        <v>2</v>
      </c>
      <c r="F1990" s="246">
        <v>3</v>
      </c>
      <c r="G1990" s="246">
        <v>4</v>
      </c>
      <c r="H1990" s="246">
        <v>5</v>
      </c>
      <c r="I1990" s="246">
        <v>6</v>
      </c>
      <c r="J1990" s="246">
        <v>9</v>
      </c>
      <c r="K1990" s="246">
        <v>10</v>
      </c>
      <c r="L1990" s="246">
        <v>12</v>
      </c>
      <c r="M1990" s="246">
        <v>14</v>
      </c>
      <c r="N1990" s="246">
        <v>16</v>
      </c>
      <c r="O1990" s="246">
        <v>17</v>
      </c>
      <c r="P1990" s="246"/>
      <c r="Q1990" s="246"/>
      <c r="R1990" s="246">
        <f>IFERROR(VLOOKUP(D1990,PROGRAMAS[],2,FALSE),0)</f>
        <v>97037803.679377079</v>
      </c>
      <c r="S1990" s="246">
        <f>IFERROR(VLOOKUP(E1990,PROGRAMAS[],2,FALSE),0)</f>
        <v>640501509.6821388</v>
      </c>
      <c r="T1990" s="246">
        <f>IFERROR(VLOOKUP(F1990,PROGRAMAS[],2,FALSE),0)</f>
        <v>3062327798.1525245</v>
      </c>
      <c r="U1990" s="246">
        <f>IFERROR(VLOOKUP(G1990,PROGRAMAS[],2,FALSE),0)</f>
        <v>67697118.033011258</v>
      </c>
      <c r="V1990" s="246">
        <f>IFERROR(VLOOKUP(H1990,PROGRAMAS[],2,FALSE),0)</f>
        <v>1440941976.2528784</v>
      </c>
      <c r="W1990" s="246">
        <f>IFERROR(VLOOKUP(I1990,PROGRAMAS[],2,FALSE),0)</f>
        <v>6907648435.8447599</v>
      </c>
      <c r="X1990" s="246">
        <f>IFERROR(VLOOKUP(J1990,PROGRAMAS[],2,FALSE),0)</f>
        <v>6128579952.1618185</v>
      </c>
      <c r="Y1990" s="246">
        <f>IFERROR(VLOOKUP(K1990,PROGRAMAS[],2,FALSE),0)</f>
        <v>4635315027.8751087</v>
      </c>
      <c r="Z1990" s="246">
        <f>IFERROR(VLOOKUP(L1990,PROGRAMAS[],2,FALSE),0)</f>
        <v>764796700.79905891</v>
      </c>
      <c r="AA1990" s="246">
        <f>IFERROR(VLOOKUP(M1990,PROGRAMAS[],2,FALSE),0)</f>
        <v>54223862.645839565</v>
      </c>
      <c r="AB1990" s="246">
        <f>IFERROR(VLOOKUP(N1990,PROGRAMAS[],2,FALSE),0)</f>
        <v>7068496961.0436354</v>
      </c>
      <c r="AC1990" s="246">
        <f>IFERROR(VLOOKUP(O1990,PROGRAMAS[],2,FALSE),0)</f>
        <v>1892779498.5211046</v>
      </c>
      <c r="AD1990" s="246">
        <f>IFERROR(VLOOKUP(P1990,PROGRAMAS[],2,FALSE),0)</f>
        <v>0</v>
      </c>
      <c r="AE1990" s="246">
        <f>IFERROR(VLOOKUP(Q1990,PROGRAMAS[],2,FALSE),0)</f>
        <v>0</v>
      </c>
      <c r="AF1990" s="246">
        <f>IFERROR(VLOOKUP(D1990,PROGRAMAS[],3,FALSE),0)</f>
        <v>841888629.31080008</v>
      </c>
      <c r="AG1990" s="246">
        <f>IFERROR(VLOOKUP(E1990,PROGRAMAS[],3,FALSE),0)</f>
        <v>3848980803.1642323</v>
      </c>
      <c r="AH1990" s="246">
        <f>IFERROR(VLOOKUP(F1990,PROGRAMAS[],3,FALSE),0)</f>
        <v>3394901471.387517</v>
      </c>
      <c r="AI1990" s="246">
        <f>IFERROR(VLOOKUP(G1990,PROGRAMAS[],3,FALSE),0)</f>
        <v>125317226.95549992</v>
      </c>
      <c r="AJ1990" s="246">
        <f>IFERROR(VLOOKUP(H1990,PROGRAMAS[],3,FALSE),0)</f>
        <v>1233505101.0616004</v>
      </c>
      <c r="AK1990" s="246">
        <f>IFERROR(VLOOKUP(I1990,PROGRAMAS[],3,FALSE),0)</f>
        <v>6129902208.7912121</v>
      </c>
      <c r="AL1990" s="246">
        <f>IFERROR(VLOOKUP(J1990,PROGRAMAS[],3,FALSE),0)</f>
        <v>7011279577.519702</v>
      </c>
      <c r="AM1990" s="246">
        <f>IFERROR(VLOOKUP(K1990,PROGRAMAS[],3,FALSE),0)</f>
        <v>4099471734.9978786</v>
      </c>
      <c r="AN1990" s="246">
        <f>IFERROR(VLOOKUP(L1990,PROGRAMAS[],3,FALSE),0)</f>
        <v>675517840.109828</v>
      </c>
      <c r="AO1990" s="246">
        <f>IFERROR(VLOOKUP(M1990,PROGRAMAS[],3,FALSE),0)</f>
        <v>31865326.38096505</v>
      </c>
      <c r="AP1990" s="246">
        <f>IFERROR(VLOOKUP(N1990,PROGRAMAS[],3,FALSE),0)</f>
        <v>2406564599.0319901</v>
      </c>
      <c r="AQ1990" s="246">
        <f>IFERROR(VLOOKUP(O1990,PROGRAMAS[],3,FALSE),0)</f>
        <v>948595847.09039903</v>
      </c>
      <c r="AR1990" s="246">
        <f>IFERROR(VLOOKUP(P1990,PROGRAMAS[],3,FALSE),0)</f>
        <v>0</v>
      </c>
      <c r="AS1990" s="246">
        <f>IFERROR(VLOOKUP(Q1990,PROGRAMAS[],3,FALSE),0)</f>
        <v>0</v>
      </c>
      <c r="AT1990" s="246">
        <f>IFERROR(VLOOKUP(D1990,VOL_REC[],2,FALSE),0)</f>
        <v>0</v>
      </c>
      <c r="AU1990" s="246">
        <f>IFERROR(VLOOKUP(E1990,VOL_REC[],2,FALSE),0)</f>
        <v>0</v>
      </c>
      <c r="AV1990" s="246">
        <f>IFERROR(VLOOKUP(F1990,VOL_REC[],2,FALSE),0)</f>
        <v>11089674.200000001</v>
      </c>
      <c r="AW1990" s="246">
        <f>IFERROR(VLOOKUP(G1990,VOL_REC[],2,FALSE),0)</f>
        <v>90439.55</v>
      </c>
      <c r="AX1990" s="246">
        <f>IFERROR(VLOOKUP(H1990,VOL_REC[],2,FALSE),0)</f>
        <v>4325103.1812214684</v>
      </c>
      <c r="AY1990" s="246">
        <f>IFERROR(VLOOKUP(I1990,VOL_REC[],2,FALSE),0)</f>
        <v>15540036.397699751</v>
      </c>
      <c r="AZ1990" s="246">
        <f>IFERROR(VLOOKUP(J1990,VOL_REC[],2,FALSE),0)</f>
        <v>3761786</v>
      </c>
      <c r="BA1990" s="246">
        <f>IFERROR(VLOOKUP(K1990,VOL_REC[],2,FALSE),0)</f>
        <v>1812240</v>
      </c>
      <c r="BB1990" s="246">
        <f>IFERROR(VLOOKUP(L1990,VOL_REC[],2,FALSE),0)</f>
        <v>240696.79238099116</v>
      </c>
      <c r="BC1990" s="246">
        <f>IFERROR(VLOOKUP(M1990,VOL_REC[],2,FALSE),0)</f>
        <v>17074.045034105649</v>
      </c>
      <c r="BD1990" s="246">
        <f>IFERROR(VLOOKUP(N1990,VOL_REC[],2,FALSE),0)</f>
        <v>1072354.9981737854</v>
      </c>
      <c r="BE1990" s="246">
        <f>IFERROR(VLOOKUP(O1990,VOL_REC[],2,FALSE),0)</f>
        <v>740113.98115702497</v>
      </c>
      <c r="BF1990" s="246">
        <f>IFERROR(VLOOKUP(P1990,VOL_REC[],2,FALSE),0)</f>
        <v>0</v>
      </c>
      <c r="BG1990" s="246">
        <f>IFERROR(VLOOKUP(Q1990,VOL_REC[],2,FALSE),0)</f>
        <v>0</v>
      </c>
      <c r="BH1990" s="1710">
        <f t="shared" si="138"/>
        <v>32760346644.691254</v>
      </c>
      <c r="BI1990" s="1710">
        <f t="shared" si="139"/>
        <v>30747790365.801628</v>
      </c>
      <c r="BJ1990" s="1711">
        <f t="shared" si="140"/>
        <v>38689519.145667128</v>
      </c>
      <c r="BK1990" s="1711">
        <f t="shared" si="141"/>
        <v>1.0654536880519401</v>
      </c>
      <c r="BL1990">
        <f>BJ1990</f>
        <v>38689519.145667128</v>
      </c>
      <c r="BO1990">
        <f>BL1990</f>
        <v>38689519.145667128</v>
      </c>
    </row>
    <row r="1991" spans="3:67" x14ac:dyDescent="0.25">
      <c r="C1991" s="246" t="s">
        <v>3341</v>
      </c>
      <c r="D1991" s="246">
        <v>1</v>
      </c>
      <c r="E1991" s="246">
        <v>2</v>
      </c>
      <c r="F1991" s="246">
        <v>3</v>
      </c>
      <c r="G1991" s="246">
        <v>4</v>
      </c>
      <c r="H1991" s="246">
        <v>5</v>
      </c>
      <c r="I1991" s="246">
        <v>6</v>
      </c>
      <c r="J1991" s="246">
        <v>9</v>
      </c>
      <c r="K1991" s="246">
        <v>10</v>
      </c>
      <c r="L1991" s="246">
        <v>12</v>
      </c>
      <c r="M1991" s="246">
        <v>15</v>
      </c>
      <c r="N1991" s="246">
        <v>16</v>
      </c>
      <c r="O1991" s="246">
        <v>17</v>
      </c>
      <c r="P1991" s="246"/>
      <c r="Q1991" s="246"/>
      <c r="R1991" s="246">
        <f>IFERROR(VLOOKUP(D1991,PROGRAMAS[],2,FALSE),0)</f>
        <v>97037803.679377079</v>
      </c>
      <c r="S1991" s="246">
        <f>IFERROR(VLOOKUP(E1991,PROGRAMAS[],2,FALSE),0)</f>
        <v>640501509.6821388</v>
      </c>
      <c r="T1991" s="246">
        <f>IFERROR(VLOOKUP(F1991,PROGRAMAS[],2,FALSE),0)</f>
        <v>3062327798.1525245</v>
      </c>
      <c r="U1991" s="246">
        <f>IFERROR(VLOOKUP(G1991,PROGRAMAS[],2,FALSE),0)</f>
        <v>67697118.033011258</v>
      </c>
      <c r="V1991" s="246">
        <f>IFERROR(VLOOKUP(H1991,PROGRAMAS[],2,FALSE),0)</f>
        <v>1440941976.2528784</v>
      </c>
      <c r="W1991" s="246">
        <f>IFERROR(VLOOKUP(I1991,PROGRAMAS[],2,FALSE),0)</f>
        <v>6907648435.8447599</v>
      </c>
      <c r="X1991" s="246">
        <f>IFERROR(VLOOKUP(J1991,PROGRAMAS[],2,FALSE),0)</f>
        <v>6128579952.1618185</v>
      </c>
      <c r="Y1991" s="246">
        <f>IFERROR(VLOOKUP(K1991,PROGRAMAS[],2,FALSE),0)</f>
        <v>4635315027.8751087</v>
      </c>
      <c r="Z1991" s="246">
        <f>IFERROR(VLOOKUP(L1991,PROGRAMAS[],2,FALSE),0)</f>
        <v>764796700.79905891</v>
      </c>
      <c r="AA1991" s="246">
        <f>IFERROR(VLOOKUP(M1991,PROGRAMAS[],2,FALSE),0)</f>
        <v>122159672.96346797</v>
      </c>
      <c r="AB1991" s="246">
        <f>IFERROR(VLOOKUP(N1991,PROGRAMAS[],2,FALSE),0)</f>
        <v>7068496961.0436354</v>
      </c>
      <c r="AC1991" s="246">
        <f>IFERROR(VLOOKUP(O1991,PROGRAMAS[],2,FALSE),0)</f>
        <v>1892779498.5211046</v>
      </c>
      <c r="AD1991" s="246">
        <f>IFERROR(VLOOKUP(P1991,PROGRAMAS[],2,FALSE),0)</f>
        <v>0</v>
      </c>
      <c r="AE1991" s="246">
        <f>IFERROR(VLOOKUP(Q1991,PROGRAMAS[],2,FALSE),0)</f>
        <v>0</v>
      </c>
      <c r="AF1991" s="246">
        <f>IFERROR(VLOOKUP(D1991,PROGRAMAS[],3,FALSE),0)</f>
        <v>841888629.31080008</v>
      </c>
      <c r="AG1991" s="246">
        <f>IFERROR(VLOOKUP(E1991,PROGRAMAS[],3,FALSE),0)</f>
        <v>3848980803.1642323</v>
      </c>
      <c r="AH1991" s="246">
        <f>IFERROR(VLOOKUP(F1991,PROGRAMAS[],3,FALSE),0)</f>
        <v>3394901471.387517</v>
      </c>
      <c r="AI1991" s="246">
        <f>IFERROR(VLOOKUP(G1991,PROGRAMAS[],3,FALSE),0)</f>
        <v>125317226.95549992</v>
      </c>
      <c r="AJ1991" s="246">
        <f>IFERROR(VLOOKUP(H1991,PROGRAMAS[],3,FALSE),0)</f>
        <v>1233505101.0616004</v>
      </c>
      <c r="AK1991" s="246">
        <f>IFERROR(VLOOKUP(I1991,PROGRAMAS[],3,FALSE),0)</f>
        <v>6129902208.7912121</v>
      </c>
      <c r="AL1991" s="246">
        <f>IFERROR(VLOOKUP(J1991,PROGRAMAS[],3,FALSE),0)</f>
        <v>7011279577.519702</v>
      </c>
      <c r="AM1991" s="246">
        <f>IFERROR(VLOOKUP(K1991,PROGRAMAS[],3,FALSE),0)</f>
        <v>4099471734.9978786</v>
      </c>
      <c r="AN1991" s="246">
        <f>IFERROR(VLOOKUP(L1991,PROGRAMAS[],3,FALSE),0)</f>
        <v>675517840.109828</v>
      </c>
      <c r="AO1991" s="246">
        <f>IFERROR(VLOOKUP(M1991,PROGRAMAS[],3,FALSE),0)</f>
        <v>118617452.52510804</v>
      </c>
      <c r="AP1991" s="246">
        <f>IFERROR(VLOOKUP(N1991,PROGRAMAS[],3,FALSE),0)</f>
        <v>2406564599.0319901</v>
      </c>
      <c r="AQ1991" s="246">
        <f>IFERROR(VLOOKUP(O1991,PROGRAMAS[],3,FALSE),0)</f>
        <v>948595847.09039903</v>
      </c>
      <c r="AR1991" s="246">
        <f>IFERROR(VLOOKUP(P1991,PROGRAMAS[],3,FALSE),0)</f>
        <v>0</v>
      </c>
      <c r="AS1991" s="246">
        <f>IFERROR(VLOOKUP(Q1991,PROGRAMAS[],3,FALSE),0)</f>
        <v>0</v>
      </c>
      <c r="AT1991" s="246">
        <f>IFERROR(VLOOKUP(D1991,VOL_REC[],2,FALSE),0)</f>
        <v>0</v>
      </c>
      <c r="AU1991" s="246">
        <f>IFERROR(VLOOKUP(E1991,VOL_REC[],2,FALSE),0)</f>
        <v>0</v>
      </c>
      <c r="AV1991" s="246">
        <f>IFERROR(VLOOKUP(F1991,VOL_REC[],2,FALSE),0)</f>
        <v>11089674.200000001</v>
      </c>
      <c r="AW1991" s="246">
        <f>IFERROR(VLOOKUP(G1991,VOL_REC[],2,FALSE),0)</f>
        <v>90439.55</v>
      </c>
      <c r="AX1991" s="246">
        <f>IFERROR(VLOOKUP(H1991,VOL_REC[],2,FALSE),0)</f>
        <v>4325103.1812214684</v>
      </c>
      <c r="AY1991" s="246">
        <f>IFERROR(VLOOKUP(I1991,VOL_REC[],2,FALSE),0)</f>
        <v>15540036.397699751</v>
      </c>
      <c r="AZ1991" s="246">
        <f>IFERROR(VLOOKUP(J1991,VOL_REC[],2,FALSE),0)</f>
        <v>3761786</v>
      </c>
      <c r="BA1991" s="246">
        <f>IFERROR(VLOOKUP(K1991,VOL_REC[],2,FALSE),0)</f>
        <v>1812240</v>
      </c>
      <c r="BB1991" s="246">
        <f>IFERROR(VLOOKUP(L1991,VOL_REC[],2,FALSE),0)</f>
        <v>240696.79238099116</v>
      </c>
      <c r="BC1991" s="246">
        <f>IFERROR(VLOOKUP(M1991,VOL_REC[],2,FALSE),0)</f>
        <v>105072</v>
      </c>
      <c r="BD1991" s="246">
        <f>IFERROR(VLOOKUP(N1991,VOL_REC[],2,FALSE),0)</f>
        <v>1072354.9981737854</v>
      </c>
      <c r="BE1991" s="246">
        <f>IFERROR(VLOOKUP(O1991,VOL_REC[],2,FALSE),0)</f>
        <v>740113.98115702497</v>
      </c>
      <c r="BF1991" s="246">
        <f>IFERROR(VLOOKUP(P1991,VOL_REC[],2,FALSE),0)</f>
        <v>0</v>
      </c>
      <c r="BG1991" s="246">
        <f>IFERROR(VLOOKUP(Q1991,VOL_REC[],2,FALSE),0)</f>
        <v>0</v>
      </c>
      <c r="BH1991" s="1710">
        <f t="shared" si="138"/>
        <v>32828282455.008881</v>
      </c>
      <c r="BI1991" s="1710">
        <f t="shared" si="139"/>
        <v>30834542491.94577</v>
      </c>
      <c r="BJ1991" s="1711">
        <f t="shared" si="140"/>
        <v>38777517.100633025</v>
      </c>
      <c r="BK1991" s="1711">
        <f t="shared" si="141"/>
        <v>1.0646593009636478</v>
      </c>
      <c r="BL1991">
        <f>BJ1991</f>
        <v>38777517.100633025</v>
      </c>
      <c r="BO1991">
        <f>BL1991</f>
        <v>38777517.100633025</v>
      </c>
    </row>
    <row r="1992" spans="3:67" x14ac:dyDescent="0.25">
      <c r="C1992" s="246" t="s">
        <v>3342</v>
      </c>
      <c r="D1992" s="246">
        <v>1</v>
      </c>
      <c r="E1992" s="246">
        <v>2</v>
      </c>
      <c r="F1992" s="246">
        <v>3</v>
      </c>
      <c r="G1992" s="246">
        <v>4</v>
      </c>
      <c r="H1992" s="246">
        <v>5</v>
      </c>
      <c r="I1992" s="246">
        <v>6</v>
      </c>
      <c r="J1992" s="246">
        <v>9</v>
      </c>
      <c r="K1992" s="246">
        <v>10</v>
      </c>
      <c r="L1992" s="246">
        <v>13</v>
      </c>
      <c r="M1992" s="246">
        <v>14</v>
      </c>
      <c r="N1992" s="246">
        <v>15</v>
      </c>
      <c r="O1992" s="246">
        <v>16</v>
      </c>
      <c r="P1992" s="246"/>
      <c r="Q1992" s="246"/>
      <c r="R1992" s="246">
        <f>IFERROR(VLOOKUP(D1992,PROGRAMAS[],2,FALSE),0)</f>
        <v>97037803.679377079</v>
      </c>
      <c r="S1992" s="246">
        <f>IFERROR(VLOOKUP(E1992,PROGRAMAS[],2,FALSE),0)</f>
        <v>640501509.6821388</v>
      </c>
      <c r="T1992" s="246">
        <f>IFERROR(VLOOKUP(F1992,PROGRAMAS[],2,FALSE),0)</f>
        <v>3062327798.1525245</v>
      </c>
      <c r="U1992" s="246">
        <f>IFERROR(VLOOKUP(G1992,PROGRAMAS[],2,FALSE),0)</f>
        <v>67697118.033011258</v>
      </c>
      <c r="V1992" s="246">
        <f>IFERROR(VLOOKUP(H1992,PROGRAMAS[],2,FALSE),0)</f>
        <v>1440941976.2528784</v>
      </c>
      <c r="W1992" s="246">
        <f>IFERROR(VLOOKUP(I1992,PROGRAMAS[],2,FALSE),0)</f>
        <v>6907648435.8447599</v>
      </c>
      <c r="X1992" s="246">
        <f>IFERROR(VLOOKUP(J1992,PROGRAMAS[],2,FALSE),0)</f>
        <v>6128579952.1618185</v>
      </c>
      <c r="Y1992" s="246">
        <f>IFERROR(VLOOKUP(K1992,PROGRAMAS[],2,FALSE),0)</f>
        <v>4635315027.8751087</v>
      </c>
      <c r="Z1992" s="246">
        <f>IFERROR(VLOOKUP(L1992,PROGRAMAS[],2,FALSE),0)</f>
        <v>3776538594.4604583</v>
      </c>
      <c r="AA1992" s="246">
        <f>IFERROR(VLOOKUP(M1992,PROGRAMAS[],2,FALSE),0)</f>
        <v>54223862.645839565</v>
      </c>
      <c r="AB1992" s="246">
        <f>IFERROR(VLOOKUP(N1992,PROGRAMAS[],2,FALSE),0)</f>
        <v>122159672.96346797</v>
      </c>
      <c r="AC1992" s="246">
        <f>IFERROR(VLOOKUP(O1992,PROGRAMAS[],2,FALSE),0)</f>
        <v>7068496961.0436354</v>
      </c>
      <c r="AD1992" s="246">
        <f>IFERROR(VLOOKUP(P1992,PROGRAMAS[],2,FALSE),0)</f>
        <v>0</v>
      </c>
      <c r="AE1992" s="246">
        <f>IFERROR(VLOOKUP(Q1992,PROGRAMAS[],2,FALSE),0)</f>
        <v>0</v>
      </c>
      <c r="AF1992" s="246">
        <f>IFERROR(VLOOKUP(D1992,PROGRAMAS[],3,FALSE),0)</f>
        <v>841888629.31080008</v>
      </c>
      <c r="AG1992" s="246">
        <f>IFERROR(VLOOKUP(E1992,PROGRAMAS[],3,FALSE),0)</f>
        <v>3848980803.1642323</v>
      </c>
      <c r="AH1992" s="246">
        <f>IFERROR(VLOOKUP(F1992,PROGRAMAS[],3,FALSE),0)</f>
        <v>3394901471.387517</v>
      </c>
      <c r="AI1992" s="246">
        <f>IFERROR(VLOOKUP(G1992,PROGRAMAS[],3,FALSE),0)</f>
        <v>125317226.95549992</v>
      </c>
      <c r="AJ1992" s="246">
        <f>IFERROR(VLOOKUP(H1992,PROGRAMAS[],3,FALSE),0)</f>
        <v>1233505101.0616004</v>
      </c>
      <c r="AK1992" s="246">
        <f>IFERROR(VLOOKUP(I1992,PROGRAMAS[],3,FALSE),0)</f>
        <v>6129902208.7912121</v>
      </c>
      <c r="AL1992" s="246">
        <f>IFERROR(VLOOKUP(J1992,PROGRAMAS[],3,FALSE),0)</f>
        <v>7011279577.519702</v>
      </c>
      <c r="AM1992" s="246">
        <f>IFERROR(VLOOKUP(K1992,PROGRAMAS[],3,FALSE),0)</f>
        <v>4099471734.9978786</v>
      </c>
      <c r="AN1992" s="246">
        <f>IFERROR(VLOOKUP(L1992,PROGRAMAS[],3,FALSE),0)</f>
        <v>2392571243.5584412</v>
      </c>
      <c r="AO1992" s="246">
        <f>IFERROR(VLOOKUP(M1992,PROGRAMAS[],3,FALSE),0)</f>
        <v>31865326.38096505</v>
      </c>
      <c r="AP1992" s="246">
        <f>IFERROR(VLOOKUP(N1992,PROGRAMAS[],3,FALSE),0)</f>
        <v>118617452.52510804</v>
      </c>
      <c r="AQ1992" s="246">
        <f>IFERROR(VLOOKUP(O1992,PROGRAMAS[],3,FALSE),0)</f>
        <v>2406564599.0319901</v>
      </c>
      <c r="AR1992" s="246">
        <f>IFERROR(VLOOKUP(P1992,PROGRAMAS[],3,FALSE),0)</f>
        <v>0</v>
      </c>
      <c r="AS1992" s="246">
        <f>IFERROR(VLOOKUP(Q1992,PROGRAMAS[],3,FALSE),0)</f>
        <v>0</v>
      </c>
      <c r="AT1992" s="246">
        <f>IFERROR(VLOOKUP(D1992,VOL_REC[],2,FALSE),0)</f>
        <v>0</v>
      </c>
      <c r="AU1992" s="246">
        <f>IFERROR(VLOOKUP(E1992,VOL_REC[],2,FALSE),0)</f>
        <v>0</v>
      </c>
      <c r="AV1992" s="246">
        <f>IFERROR(VLOOKUP(F1992,VOL_REC[],2,FALSE),0)</f>
        <v>11089674.200000001</v>
      </c>
      <c r="AW1992" s="246">
        <f>IFERROR(VLOOKUP(G1992,VOL_REC[],2,FALSE),0)</f>
        <v>90439.55</v>
      </c>
      <c r="AX1992" s="246">
        <f>IFERROR(VLOOKUP(H1992,VOL_REC[],2,FALSE),0)</f>
        <v>4325103.1812214684</v>
      </c>
      <c r="AY1992" s="246">
        <f>IFERROR(VLOOKUP(I1992,VOL_REC[],2,FALSE),0)</f>
        <v>15540036.397699751</v>
      </c>
      <c r="AZ1992" s="246">
        <f>IFERROR(VLOOKUP(J1992,VOL_REC[],2,FALSE),0)</f>
        <v>3761786</v>
      </c>
      <c r="BA1992" s="246">
        <f>IFERROR(VLOOKUP(K1992,VOL_REC[],2,FALSE),0)</f>
        <v>1812240</v>
      </c>
      <c r="BB1992" s="246">
        <f>IFERROR(VLOOKUP(L1992,VOL_REC[],2,FALSE),0)</f>
        <v>663244.80000000016</v>
      </c>
      <c r="BC1992" s="246">
        <f>IFERROR(VLOOKUP(M1992,VOL_REC[],2,FALSE),0)</f>
        <v>17074.045034105649</v>
      </c>
      <c r="BD1992" s="246">
        <f>IFERROR(VLOOKUP(N1992,VOL_REC[],2,FALSE),0)</f>
        <v>105072</v>
      </c>
      <c r="BE1992" s="246">
        <f>IFERROR(VLOOKUP(O1992,VOL_REC[],2,FALSE),0)</f>
        <v>1072354.9981737854</v>
      </c>
      <c r="BF1992" s="246">
        <f>IFERROR(VLOOKUP(P1992,VOL_REC[],2,FALSE),0)</f>
        <v>0</v>
      </c>
      <c r="BG1992" s="246">
        <f>IFERROR(VLOOKUP(Q1992,VOL_REC[],2,FALSE),0)</f>
        <v>0</v>
      </c>
      <c r="BH1992" s="1710">
        <f t="shared" si="138"/>
        <v>34001468712.795017</v>
      </c>
      <c r="BI1992" s="1710">
        <f t="shared" si="139"/>
        <v>31634865374.684948</v>
      </c>
      <c r="BJ1992" s="1711">
        <f t="shared" si="140"/>
        <v>38477025.17212911</v>
      </c>
      <c r="BK1992" s="1711">
        <f t="shared" si="141"/>
        <v>1.0748099702679275</v>
      </c>
      <c r="BL1992">
        <f>BJ1992</f>
        <v>38477025.17212911</v>
      </c>
      <c r="BO1992">
        <f>BL1992</f>
        <v>38477025.17212911</v>
      </c>
    </row>
    <row r="1993" spans="3:67" x14ac:dyDescent="0.25">
      <c r="C1993" s="246" t="s">
        <v>3343</v>
      </c>
      <c r="D1993" s="246">
        <v>1</v>
      </c>
      <c r="E1993" s="246">
        <v>2</v>
      </c>
      <c r="F1993" s="246">
        <v>3</v>
      </c>
      <c r="G1993" s="246">
        <v>4</v>
      </c>
      <c r="H1993" s="246">
        <v>5</v>
      </c>
      <c r="I1993" s="246">
        <v>6</v>
      </c>
      <c r="J1993" s="246">
        <v>9</v>
      </c>
      <c r="K1993" s="246">
        <v>10</v>
      </c>
      <c r="L1993" s="246">
        <v>13</v>
      </c>
      <c r="M1993" s="246">
        <v>14</v>
      </c>
      <c r="N1993" s="246">
        <v>15</v>
      </c>
      <c r="O1993" s="246">
        <v>17</v>
      </c>
      <c r="P1993" s="246"/>
      <c r="Q1993" s="246"/>
      <c r="R1993" s="246">
        <f>IFERROR(VLOOKUP(D1993,PROGRAMAS[],2,FALSE),0)</f>
        <v>97037803.679377079</v>
      </c>
      <c r="S1993" s="246">
        <f>IFERROR(VLOOKUP(E1993,PROGRAMAS[],2,FALSE),0)</f>
        <v>640501509.6821388</v>
      </c>
      <c r="T1993" s="246">
        <f>IFERROR(VLOOKUP(F1993,PROGRAMAS[],2,FALSE),0)</f>
        <v>3062327798.1525245</v>
      </c>
      <c r="U1993" s="246">
        <f>IFERROR(VLOOKUP(G1993,PROGRAMAS[],2,FALSE),0)</f>
        <v>67697118.033011258</v>
      </c>
      <c r="V1993" s="246">
        <f>IFERROR(VLOOKUP(H1993,PROGRAMAS[],2,FALSE),0)</f>
        <v>1440941976.2528784</v>
      </c>
      <c r="W1993" s="246">
        <f>IFERROR(VLOOKUP(I1993,PROGRAMAS[],2,FALSE),0)</f>
        <v>6907648435.8447599</v>
      </c>
      <c r="X1993" s="246">
        <f>IFERROR(VLOOKUP(J1993,PROGRAMAS[],2,FALSE),0)</f>
        <v>6128579952.1618185</v>
      </c>
      <c r="Y1993" s="246">
        <f>IFERROR(VLOOKUP(K1993,PROGRAMAS[],2,FALSE),0)</f>
        <v>4635315027.8751087</v>
      </c>
      <c r="Z1993" s="246">
        <f>IFERROR(VLOOKUP(L1993,PROGRAMAS[],2,FALSE),0)</f>
        <v>3776538594.4604583</v>
      </c>
      <c r="AA1993" s="246">
        <f>IFERROR(VLOOKUP(M1993,PROGRAMAS[],2,FALSE),0)</f>
        <v>54223862.645839565</v>
      </c>
      <c r="AB1993" s="246">
        <f>IFERROR(VLOOKUP(N1993,PROGRAMAS[],2,FALSE),0)</f>
        <v>122159672.96346797</v>
      </c>
      <c r="AC1993" s="246">
        <f>IFERROR(VLOOKUP(O1993,PROGRAMAS[],2,FALSE),0)</f>
        <v>1892779498.5211046</v>
      </c>
      <c r="AD1993" s="246">
        <f>IFERROR(VLOOKUP(P1993,PROGRAMAS[],2,FALSE),0)</f>
        <v>0</v>
      </c>
      <c r="AE1993" s="246">
        <f>IFERROR(VLOOKUP(Q1993,PROGRAMAS[],2,FALSE),0)</f>
        <v>0</v>
      </c>
      <c r="AF1993" s="246">
        <f>IFERROR(VLOOKUP(D1993,PROGRAMAS[],3,FALSE),0)</f>
        <v>841888629.31080008</v>
      </c>
      <c r="AG1993" s="246">
        <f>IFERROR(VLOOKUP(E1993,PROGRAMAS[],3,FALSE),0)</f>
        <v>3848980803.1642323</v>
      </c>
      <c r="AH1993" s="246">
        <f>IFERROR(VLOOKUP(F1993,PROGRAMAS[],3,FALSE),0)</f>
        <v>3394901471.387517</v>
      </c>
      <c r="AI1993" s="246">
        <f>IFERROR(VLOOKUP(G1993,PROGRAMAS[],3,FALSE),0)</f>
        <v>125317226.95549992</v>
      </c>
      <c r="AJ1993" s="246">
        <f>IFERROR(VLOOKUP(H1993,PROGRAMAS[],3,FALSE),0)</f>
        <v>1233505101.0616004</v>
      </c>
      <c r="AK1993" s="246">
        <f>IFERROR(VLOOKUP(I1993,PROGRAMAS[],3,FALSE),0)</f>
        <v>6129902208.7912121</v>
      </c>
      <c r="AL1993" s="246">
        <f>IFERROR(VLOOKUP(J1993,PROGRAMAS[],3,FALSE),0)</f>
        <v>7011279577.519702</v>
      </c>
      <c r="AM1993" s="246">
        <f>IFERROR(VLOOKUP(K1993,PROGRAMAS[],3,FALSE),0)</f>
        <v>4099471734.9978786</v>
      </c>
      <c r="AN1993" s="246">
        <f>IFERROR(VLOOKUP(L1993,PROGRAMAS[],3,FALSE),0)</f>
        <v>2392571243.5584412</v>
      </c>
      <c r="AO1993" s="246">
        <f>IFERROR(VLOOKUP(M1993,PROGRAMAS[],3,FALSE),0)</f>
        <v>31865326.38096505</v>
      </c>
      <c r="AP1993" s="246">
        <f>IFERROR(VLOOKUP(N1993,PROGRAMAS[],3,FALSE),0)</f>
        <v>118617452.52510804</v>
      </c>
      <c r="AQ1993" s="246">
        <f>IFERROR(VLOOKUP(O1993,PROGRAMAS[],3,FALSE),0)</f>
        <v>948595847.09039903</v>
      </c>
      <c r="AR1993" s="246">
        <f>IFERROR(VLOOKUP(P1993,PROGRAMAS[],3,FALSE),0)</f>
        <v>0</v>
      </c>
      <c r="AS1993" s="246">
        <f>IFERROR(VLOOKUP(Q1993,PROGRAMAS[],3,FALSE),0)</f>
        <v>0</v>
      </c>
      <c r="AT1993" s="246">
        <f>IFERROR(VLOOKUP(D1993,VOL_REC[],2,FALSE),0)</f>
        <v>0</v>
      </c>
      <c r="AU1993" s="246">
        <f>IFERROR(VLOOKUP(E1993,VOL_REC[],2,FALSE),0)</f>
        <v>0</v>
      </c>
      <c r="AV1993" s="246">
        <f>IFERROR(VLOOKUP(F1993,VOL_REC[],2,FALSE),0)</f>
        <v>11089674.200000001</v>
      </c>
      <c r="AW1993" s="246">
        <f>IFERROR(VLOOKUP(G1993,VOL_REC[],2,FALSE),0)</f>
        <v>90439.55</v>
      </c>
      <c r="AX1993" s="246">
        <f>IFERROR(VLOOKUP(H1993,VOL_REC[],2,FALSE),0)</f>
        <v>4325103.1812214684</v>
      </c>
      <c r="AY1993" s="246">
        <f>IFERROR(VLOOKUP(I1993,VOL_REC[],2,FALSE),0)</f>
        <v>15540036.397699751</v>
      </c>
      <c r="AZ1993" s="246">
        <f>IFERROR(VLOOKUP(J1993,VOL_REC[],2,FALSE),0)</f>
        <v>3761786</v>
      </c>
      <c r="BA1993" s="246">
        <f>IFERROR(VLOOKUP(K1993,VOL_REC[],2,FALSE),0)</f>
        <v>1812240</v>
      </c>
      <c r="BB1993" s="246">
        <f>IFERROR(VLOOKUP(L1993,VOL_REC[],2,FALSE),0)</f>
        <v>663244.80000000016</v>
      </c>
      <c r="BC1993" s="246">
        <f>IFERROR(VLOOKUP(M1993,VOL_REC[],2,FALSE),0)</f>
        <v>17074.045034105649</v>
      </c>
      <c r="BD1993" s="246">
        <f>IFERROR(VLOOKUP(N1993,VOL_REC[],2,FALSE),0)</f>
        <v>105072</v>
      </c>
      <c r="BE1993" s="246">
        <f>IFERROR(VLOOKUP(O1993,VOL_REC[],2,FALSE),0)</f>
        <v>740113.98115702497</v>
      </c>
      <c r="BF1993" s="246">
        <f>IFERROR(VLOOKUP(P1993,VOL_REC[],2,FALSE),0)</f>
        <v>0</v>
      </c>
      <c r="BG1993" s="246">
        <f>IFERROR(VLOOKUP(Q1993,VOL_REC[],2,FALSE),0)</f>
        <v>0</v>
      </c>
      <c r="BH1993" s="1710">
        <f t="shared" si="138"/>
        <v>28825751250.272484</v>
      </c>
      <c r="BI1993" s="1710">
        <f t="shared" si="139"/>
        <v>30176896622.743359</v>
      </c>
      <c r="BJ1993" s="1711">
        <f t="shared" si="140"/>
        <v>38144784.155112348</v>
      </c>
      <c r="BK1993" s="1711">
        <f t="shared" si="141"/>
        <v>0.95522583420812857</v>
      </c>
    </row>
    <row r="1994" spans="3:67" x14ac:dyDescent="0.25">
      <c r="C1994" s="246" t="s">
        <v>3344</v>
      </c>
      <c r="D1994" s="246">
        <v>1</v>
      </c>
      <c r="E1994" s="246">
        <v>2</v>
      </c>
      <c r="F1994" s="246">
        <v>3</v>
      </c>
      <c r="G1994" s="246">
        <v>4</v>
      </c>
      <c r="H1994" s="246">
        <v>5</v>
      </c>
      <c r="I1994" s="246">
        <v>6</v>
      </c>
      <c r="J1994" s="246">
        <v>9</v>
      </c>
      <c r="K1994" s="246">
        <v>10</v>
      </c>
      <c r="L1994" s="246">
        <v>13</v>
      </c>
      <c r="M1994" s="246">
        <v>14</v>
      </c>
      <c r="N1994" s="246">
        <v>16</v>
      </c>
      <c r="O1994" s="246">
        <v>17</v>
      </c>
      <c r="P1994" s="246"/>
      <c r="Q1994" s="246"/>
      <c r="R1994" s="246">
        <f>IFERROR(VLOOKUP(D1994,PROGRAMAS[],2,FALSE),0)</f>
        <v>97037803.679377079</v>
      </c>
      <c r="S1994" s="246">
        <f>IFERROR(VLOOKUP(E1994,PROGRAMAS[],2,FALSE),0)</f>
        <v>640501509.6821388</v>
      </c>
      <c r="T1994" s="246">
        <f>IFERROR(VLOOKUP(F1994,PROGRAMAS[],2,FALSE),0)</f>
        <v>3062327798.1525245</v>
      </c>
      <c r="U1994" s="246">
        <f>IFERROR(VLOOKUP(G1994,PROGRAMAS[],2,FALSE),0)</f>
        <v>67697118.033011258</v>
      </c>
      <c r="V1994" s="246">
        <f>IFERROR(VLOOKUP(H1994,PROGRAMAS[],2,FALSE),0)</f>
        <v>1440941976.2528784</v>
      </c>
      <c r="W1994" s="246">
        <f>IFERROR(VLOOKUP(I1994,PROGRAMAS[],2,FALSE),0)</f>
        <v>6907648435.8447599</v>
      </c>
      <c r="X1994" s="246">
        <f>IFERROR(VLOOKUP(J1994,PROGRAMAS[],2,FALSE),0)</f>
        <v>6128579952.1618185</v>
      </c>
      <c r="Y1994" s="246">
        <f>IFERROR(VLOOKUP(K1994,PROGRAMAS[],2,FALSE),0)</f>
        <v>4635315027.8751087</v>
      </c>
      <c r="Z1994" s="246">
        <f>IFERROR(VLOOKUP(L1994,PROGRAMAS[],2,FALSE),0)</f>
        <v>3776538594.4604583</v>
      </c>
      <c r="AA1994" s="246">
        <f>IFERROR(VLOOKUP(M1994,PROGRAMAS[],2,FALSE),0)</f>
        <v>54223862.645839565</v>
      </c>
      <c r="AB1994" s="246">
        <f>IFERROR(VLOOKUP(N1994,PROGRAMAS[],2,FALSE),0)</f>
        <v>7068496961.0436354</v>
      </c>
      <c r="AC1994" s="246">
        <f>IFERROR(VLOOKUP(O1994,PROGRAMAS[],2,FALSE),0)</f>
        <v>1892779498.5211046</v>
      </c>
      <c r="AD1994" s="246">
        <f>IFERROR(VLOOKUP(P1994,PROGRAMAS[],2,FALSE),0)</f>
        <v>0</v>
      </c>
      <c r="AE1994" s="246">
        <f>IFERROR(VLOOKUP(Q1994,PROGRAMAS[],2,FALSE),0)</f>
        <v>0</v>
      </c>
      <c r="AF1994" s="246">
        <f>IFERROR(VLOOKUP(D1994,PROGRAMAS[],3,FALSE),0)</f>
        <v>841888629.31080008</v>
      </c>
      <c r="AG1994" s="246">
        <f>IFERROR(VLOOKUP(E1994,PROGRAMAS[],3,FALSE),0)</f>
        <v>3848980803.1642323</v>
      </c>
      <c r="AH1994" s="246">
        <f>IFERROR(VLOOKUP(F1994,PROGRAMAS[],3,FALSE),0)</f>
        <v>3394901471.387517</v>
      </c>
      <c r="AI1994" s="246">
        <f>IFERROR(VLOOKUP(G1994,PROGRAMAS[],3,FALSE),0)</f>
        <v>125317226.95549992</v>
      </c>
      <c r="AJ1994" s="246">
        <f>IFERROR(VLOOKUP(H1994,PROGRAMAS[],3,FALSE),0)</f>
        <v>1233505101.0616004</v>
      </c>
      <c r="AK1994" s="246">
        <f>IFERROR(VLOOKUP(I1994,PROGRAMAS[],3,FALSE),0)</f>
        <v>6129902208.7912121</v>
      </c>
      <c r="AL1994" s="246">
        <f>IFERROR(VLOOKUP(J1994,PROGRAMAS[],3,FALSE),0)</f>
        <v>7011279577.519702</v>
      </c>
      <c r="AM1994" s="246">
        <f>IFERROR(VLOOKUP(K1994,PROGRAMAS[],3,FALSE),0)</f>
        <v>4099471734.9978786</v>
      </c>
      <c r="AN1994" s="246">
        <f>IFERROR(VLOOKUP(L1994,PROGRAMAS[],3,FALSE),0)</f>
        <v>2392571243.5584412</v>
      </c>
      <c r="AO1994" s="246">
        <f>IFERROR(VLOOKUP(M1994,PROGRAMAS[],3,FALSE),0)</f>
        <v>31865326.38096505</v>
      </c>
      <c r="AP1994" s="246">
        <f>IFERROR(VLOOKUP(N1994,PROGRAMAS[],3,FALSE),0)</f>
        <v>2406564599.0319901</v>
      </c>
      <c r="AQ1994" s="246">
        <f>IFERROR(VLOOKUP(O1994,PROGRAMAS[],3,FALSE),0)</f>
        <v>948595847.09039903</v>
      </c>
      <c r="AR1994" s="246">
        <f>IFERROR(VLOOKUP(P1994,PROGRAMAS[],3,FALSE),0)</f>
        <v>0</v>
      </c>
      <c r="AS1994" s="246">
        <f>IFERROR(VLOOKUP(Q1994,PROGRAMAS[],3,FALSE),0)</f>
        <v>0</v>
      </c>
      <c r="AT1994" s="246">
        <f>IFERROR(VLOOKUP(D1994,VOL_REC[],2,FALSE),0)</f>
        <v>0</v>
      </c>
      <c r="AU1994" s="246">
        <f>IFERROR(VLOOKUP(E1994,VOL_REC[],2,FALSE),0)</f>
        <v>0</v>
      </c>
      <c r="AV1994" s="246">
        <f>IFERROR(VLOOKUP(F1994,VOL_REC[],2,FALSE),0)</f>
        <v>11089674.200000001</v>
      </c>
      <c r="AW1994" s="246">
        <f>IFERROR(VLOOKUP(G1994,VOL_REC[],2,FALSE),0)</f>
        <v>90439.55</v>
      </c>
      <c r="AX1994" s="246">
        <f>IFERROR(VLOOKUP(H1994,VOL_REC[],2,FALSE),0)</f>
        <v>4325103.1812214684</v>
      </c>
      <c r="AY1994" s="246">
        <f>IFERROR(VLOOKUP(I1994,VOL_REC[],2,FALSE),0)</f>
        <v>15540036.397699751</v>
      </c>
      <c r="AZ1994" s="246">
        <f>IFERROR(VLOOKUP(J1994,VOL_REC[],2,FALSE),0)</f>
        <v>3761786</v>
      </c>
      <c r="BA1994" s="246">
        <f>IFERROR(VLOOKUP(K1994,VOL_REC[],2,FALSE),0)</f>
        <v>1812240</v>
      </c>
      <c r="BB1994" s="246">
        <f>IFERROR(VLOOKUP(L1994,VOL_REC[],2,FALSE),0)</f>
        <v>663244.80000000016</v>
      </c>
      <c r="BC1994" s="246">
        <f>IFERROR(VLOOKUP(M1994,VOL_REC[],2,FALSE),0)</f>
        <v>17074.045034105649</v>
      </c>
      <c r="BD1994" s="246">
        <f>IFERROR(VLOOKUP(N1994,VOL_REC[],2,FALSE),0)</f>
        <v>1072354.9981737854</v>
      </c>
      <c r="BE1994" s="246">
        <f>IFERROR(VLOOKUP(O1994,VOL_REC[],2,FALSE),0)</f>
        <v>740113.98115702497</v>
      </c>
      <c r="BF1994" s="246">
        <f>IFERROR(VLOOKUP(P1994,VOL_REC[],2,FALSE),0)</f>
        <v>0</v>
      </c>
      <c r="BG1994" s="246">
        <f>IFERROR(VLOOKUP(Q1994,VOL_REC[],2,FALSE),0)</f>
        <v>0</v>
      </c>
      <c r="BH1994" s="1710">
        <f t="shared" si="138"/>
        <v>35772088538.352654</v>
      </c>
      <c r="BI1994" s="1710">
        <f t="shared" si="139"/>
        <v>32464843769.25024</v>
      </c>
      <c r="BJ1994" s="1711">
        <f t="shared" si="140"/>
        <v>39112067.153286137</v>
      </c>
      <c r="BK1994" s="1711">
        <f t="shared" si="141"/>
        <v>1.1018715750677641</v>
      </c>
      <c r="BL1994">
        <f>BJ1994</f>
        <v>39112067.153286137</v>
      </c>
      <c r="BO1994">
        <f>BL1994</f>
        <v>39112067.153286137</v>
      </c>
    </row>
    <row r="1995" spans="3:67" x14ac:dyDescent="0.25">
      <c r="C1995" s="246" t="s">
        <v>3345</v>
      </c>
      <c r="D1995" s="246">
        <v>1</v>
      </c>
      <c r="E1995" s="246">
        <v>2</v>
      </c>
      <c r="F1995" s="246">
        <v>3</v>
      </c>
      <c r="G1995" s="246">
        <v>4</v>
      </c>
      <c r="H1995" s="246">
        <v>5</v>
      </c>
      <c r="I1995" s="246">
        <v>6</v>
      </c>
      <c r="J1995" s="246">
        <v>9</v>
      </c>
      <c r="K1995" s="246">
        <v>10</v>
      </c>
      <c r="L1995" s="246">
        <v>13</v>
      </c>
      <c r="M1995" s="246">
        <v>15</v>
      </c>
      <c r="N1995" s="246">
        <v>16</v>
      </c>
      <c r="O1995" s="246">
        <v>17</v>
      </c>
      <c r="P1995" s="246"/>
      <c r="Q1995" s="246"/>
      <c r="R1995" s="246">
        <f>IFERROR(VLOOKUP(D1995,PROGRAMAS[],2,FALSE),0)</f>
        <v>97037803.679377079</v>
      </c>
      <c r="S1995" s="246">
        <f>IFERROR(VLOOKUP(E1995,PROGRAMAS[],2,FALSE),0)</f>
        <v>640501509.6821388</v>
      </c>
      <c r="T1995" s="246">
        <f>IFERROR(VLOOKUP(F1995,PROGRAMAS[],2,FALSE),0)</f>
        <v>3062327798.1525245</v>
      </c>
      <c r="U1995" s="246">
        <f>IFERROR(VLOOKUP(G1995,PROGRAMAS[],2,FALSE),0)</f>
        <v>67697118.033011258</v>
      </c>
      <c r="V1995" s="246">
        <f>IFERROR(VLOOKUP(H1995,PROGRAMAS[],2,FALSE),0)</f>
        <v>1440941976.2528784</v>
      </c>
      <c r="W1995" s="246">
        <f>IFERROR(VLOOKUP(I1995,PROGRAMAS[],2,FALSE),0)</f>
        <v>6907648435.8447599</v>
      </c>
      <c r="X1995" s="246">
        <f>IFERROR(VLOOKUP(J1995,PROGRAMAS[],2,FALSE),0)</f>
        <v>6128579952.1618185</v>
      </c>
      <c r="Y1995" s="246">
        <f>IFERROR(VLOOKUP(K1995,PROGRAMAS[],2,FALSE),0)</f>
        <v>4635315027.8751087</v>
      </c>
      <c r="Z1995" s="246">
        <f>IFERROR(VLOOKUP(L1995,PROGRAMAS[],2,FALSE),0)</f>
        <v>3776538594.4604583</v>
      </c>
      <c r="AA1995" s="246">
        <f>IFERROR(VLOOKUP(M1995,PROGRAMAS[],2,FALSE),0)</f>
        <v>122159672.96346797</v>
      </c>
      <c r="AB1995" s="246">
        <f>IFERROR(VLOOKUP(N1995,PROGRAMAS[],2,FALSE),0)</f>
        <v>7068496961.0436354</v>
      </c>
      <c r="AC1995" s="246">
        <f>IFERROR(VLOOKUP(O1995,PROGRAMAS[],2,FALSE),0)</f>
        <v>1892779498.5211046</v>
      </c>
      <c r="AD1995" s="246">
        <f>IFERROR(VLOOKUP(P1995,PROGRAMAS[],2,FALSE),0)</f>
        <v>0</v>
      </c>
      <c r="AE1995" s="246">
        <f>IFERROR(VLOOKUP(Q1995,PROGRAMAS[],2,FALSE),0)</f>
        <v>0</v>
      </c>
      <c r="AF1995" s="246">
        <f>IFERROR(VLOOKUP(D1995,PROGRAMAS[],3,FALSE),0)</f>
        <v>841888629.31080008</v>
      </c>
      <c r="AG1995" s="246">
        <f>IFERROR(VLOOKUP(E1995,PROGRAMAS[],3,FALSE),0)</f>
        <v>3848980803.1642323</v>
      </c>
      <c r="AH1995" s="246">
        <f>IFERROR(VLOOKUP(F1995,PROGRAMAS[],3,FALSE),0)</f>
        <v>3394901471.387517</v>
      </c>
      <c r="AI1995" s="246">
        <f>IFERROR(VLOOKUP(G1995,PROGRAMAS[],3,FALSE),0)</f>
        <v>125317226.95549992</v>
      </c>
      <c r="AJ1995" s="246">
        <f>IFERROR(VLOOKUP(H1995,PROGRAMAS[],3,FALSE),0)</f>
        <v>1233505101.0616004</v>
      </c>
      <c r="AK1995" s="246">
        <f>IFERROR(VLOOKUP(I1995,PROGRAMAS[],3,FALSE),0)</f>
        <v>6129902208.7912121</v>
      </c>
      <c r="AL1995" s="246">
        <f>IFERROR(VLOOKUP(J1995,PROGRAMAS[],3,FALSE),0)</f>
        <v>7011279577.519702</v>
      </c>
      <c r="AM1995" s="246">
        <f>IFERROR(VLOOKUP(K1995,PROGRAMAS[],3,FALSE),0)</f>
        <v>4099471734.9978786</v>
      </c>
      <c r="AN1995" s="246">
        <f>IFERROR(VLOOKUP(L1995,PROGRAMAS[],3,FALSE),0)</f>
        <v>2392571243.5584412</v>
      </c>
      <c r="AO1995" s="246">
        <f>IFERROR(VLOOKUP(M1995,PROGRAMAS[],3,FALSE),0)</f>
        <v>118617452.52510804</v>
      </c>
      <c r="AP1995" s="246">
        <f>IFERROR(VLOOKUP(N1995,PROGRAMAS[],3,FALSE),0)</f>
        <v>2406564599.0319901</v>
      </c>
      <c r="AQ1995" s="246">
        <f>IFERROR(VLOOKUP(O1995,PROGRAMAS[],3,FALSE),0)</f>
        <v>948595847.09039903</v>
      </c>
      <c r="AR1995" s="246">
        <f>IFERROR(VLOOKUP(P1995,PROGRAMAS[],3,FALSE),0)</f>
        <v>0</v>
      </c>
      <c r="AS1995" s="246">
        <f>IFERROR(VLOOKUP(Q1995,PROGRAMAS[],3,FALSE),0)</f>
        <v>0</v>
      </c>
      <c r="AT1995" s="246">
        <f>IFERROR(VLOOKUP(D1995,VOL_REC[],2,FALSE),0)</f>
        <v>0</v>
      </c>
      <c r="AU1995" s="246">
        <f>IFERROR(VLOOKUP(E1995,VOL_REC[],2,FALSE),0)</f>
        <v>0</v>
      </c>
      <c r="AV1995" s="246">
        <f>IFERROR(VLOOKUP(F1995,VOL_REC[],2,FALSE),0)</f>
        <v>11089674.200000001</v>
      </c>
      <c r="AW1995" s="246">
        <f>IFERROR(VLOOKUP(G1995,VOL_REC[],2,FALSE),0)</f>
        <v>90439.55</v>
      </c>
      <c r="AX1995" s="246">
        <f>IFERROR(VLOOKUP(H1995,VOL_REC[],2,FALSE),0)</f>
        <v>4325103.1812214684</v>
      </c>
      <c r="AY1995" s="246">
        <f>IFERROR(VLOOKUP(I1995,VOL_REC[],2,FALSE),0)</f>
        <v>15540036.397699751</v>
      </c>
      <c r="AZ1995" s="246">
        <f>IFERROR(VLOOKUP(J1995,VOL_REC[],2,FALSE),0)</f>
        <v>3761786</v>
      </c>
      <c r="BA1995" s="246">
        <f>IFERROR(VLOOKUP(K1995,VOL_REC[],2,FALSE),0)</f>
        <v>1812240</v>
      </c>
      <c r="BB1995" s="246">
        <f>IFERROR(VLOOKUP(L1995,VOL_REC[],2,FALSE),0)</f>
        <v>663244.80000000016</v>
      </c>
      <c r="BC1995" s="246">
        <f>IFERROR(VLOOKUP(M1995,VOL_REC[],2,FALSE),0)</f>
        <v>105072</v>
      </c>
      <c r="BD1995" s="246">
        <f>IFERROR(VLOOKUP(N1995,VOL_REC[],2,FALSE),0)</f>
        <v>1072354.9981737854</v>
      </c>
      <c r="BE1995" s="246">
        <f>IFERROR(VLOOKUP(O1995,VOL_REC[],2,FALSE),0)</f>
        <v>740113.98115702497</v>
      </c>
      <c r="BF1995" s="246">
        <f>IFERROR(VLOOKUP(P1995,VOL_REC[],2,FALSE),0)</f>
        <v>0</v>
      </c>
      <c r="BG1995" s="246">
        <f>IFERROR(VLOOKUP(Q1995,VOL_REC[],2,FALSE),0)</f>
        <v>0</v>
      </c>
      <c r="BH1995" s="1710">
        <f t="shared" si="138"/>
        <v>35840024348.67028</v>
      </c>
      <c r="BI1995" s="1710">
        <f t="shared" si="139"/>
        <v>32551595895.394382</v>
      </c>
      <c r="BJ1995" s="1711">
        <f t="shared" si="140"/>
        <v>39200065.108252034</v>
      </c>
      <c r="BK1995" s="1711">
        <f t="shared" si="141"/>
        <v>1.1010220347980286</v>
      </c>
      <c r="BL1995">
        <f>BJ1995</f>
        <v>39200065.108252034</v>
      </c>
      <c r="BO1995">
        <f>BL1995</f>
        <v>39200065.108252034</v>
      </c>
    </row>
    <row r="1996" spans="3:67" x14ac:dyDescent="0.25">
      <c r="C1996" s="246" t="s">
        <v>3346</v>
      </c>
      <c r="D1996" s="246">
        <v>1</v>
      </c>
      <c r="E1996" s="246">
        <v>2</v>
      </c>
      <c r="F1996" s="246">
        <v>3</v>
      </c>
      <c r="G1996" s="246">
        <v>4</v>
      </c>
      <c r="H1996" s="246">
        <v>5</v>
      </c>
      <c r="I1996" s="246">
        <v>6</v>
      </c>
      <c r="J1996" s="246">
        <v>9</v>
      </c>
      <c r="K1996" s="246">
        <v>10</v>
      </c>
      <c r="L1996" s="246">
        <v>14</v>
      </c>
      <c r="M1996" s="246">
        <v>15</v>
      </c>
      <c r="N1996" s="246">
        <v>16</v>
      </c>
      <c r="O1996" s="246">
        <v>17</v>
      </c>
      <c r="P1996" s="246"/>
      <c r="Q1996" s="246"/>
      <c r="R1996" s="246">
        <f>IFERROR(VLOOKUP(D1996,PROGRAMAS[],2,FALSE),0)</f>
        <v>97037803.679377079</v>
      </c>
      <c r="S1996" s="246">
        <f>IFERROR(VLOOKUP(E1996,PROGRAMAS[],2,FALSE),0)</f>
        <v>640501509.6821388</v>
      </c>
      <c r="T1996" s="246">
        <f>IFERROR(VLOOKUP(F1996,PROGRAMAS[],2,FALSE),0)</f>
        <v>3062327798.1525245</v>
      </c>
      <c r="U1996" s="246">
        <f>IFERROR(VLOOKUP(G1996,PROGRAMAS[],2,FALSE),0)</f>
        <v>67697118.033011258</v>
      </c>
      <c r="V1996" s="246">
        <f>IFERROR(VLOOKUP(H1996,PROGRAMAS[],2,FALSE),0)</f>
        <v>1440941976.2528784</v>
      </c>
      <c r="W1996" s="246">
        <f>IFERROR(VLOOKUP(I1996,PROGRAMAS[],2,FALSE),0)</f>
        <v>6907648435.8447599</v>
      </c>
      <c r="X1996" s="246">
        <f>IFERROR(VLOOKUP(J1996,PROGRAMAS[],2,FALSE),0)</f>
        <v>6128579952.1618185</v>
      </c>
      <c r="Y1996" s="246">
        <f>IFERROR(VLOOKUP(K1996,PROGRAMAS[],2,FALSE),0)</f>
        <v>4635315027.8751087</v>
      </c>
      <c r="Z1996" s="246">
        <f>IFERROR(VLOOKUP(L1996,PROGRAMAS[],2,FALSE),0)</f>
        <v>54223862.645839565</v>
      </c>
      <c r="AA1996" s="246">
        <f>IFERROR(VLOOKUP(M1996,PROGRAMAS[],2,FALSE),0)</f>
        <v>122159672.96346797</v>
      </c>
      <c r="AB1996" s="246">
        <f>IFERROR(VLOOKUP(N1996,PROGRAMAS[],2,FALSE),0)</f>
        <v>7068496961.0436354</v>
      </c>
      <c r="AC1996" s="246">
        <f>IFERROR(VLOOKUP(O1996,PROGRAMAS[],2,FALSE),0)</f>
        <v>1892779498.5211046</v>
      </c>
      <c r="AD1996" s="246">
        <f>IFERROR(VLOOKUP(P1996,PROGRAMAS[],2,FALSE),0)</f>
        <v>0</v>
      </c>
      <c r="AE1996" s="246">
        <f>IFERROR(VLOOKUP(Q1996,PROGRAMAS[],2,FALSE),0)</f>
        <v>0</v>
      </c>
      <c r="AF1996" s="246">
        <f>IFERROR(VLOOKUP(D1996,PROGRAMAS[],3,FALSE),0)</f>
        <v>841888629.31080008</v>
      </c>
      <c r="AG1996" s="246">
        <f>IFERROR(VLOOKUP(E1996,PROGRAMAS[],3,FALSE),0)</f>
        <v>3848980803.1642323</v>
      </c>
      <c r="AH1996" s="246">
        <f>IFERROR(VLOOKUP(F1996,PROGRAMAS[],3,FALSE),0)</f>
        <v>3394901471.387517</v>
      </c>
      <c r="AI1996" s="246">
        <f>IFERROR(VLOOKUP(G1996,PROGRAMAS[],3,FALSE),0)</f>
        <v>125317226.95549992</v>
      </c>
      <c r="AJ1996" s="246">
        <f>IFERROR(VLOOKUP(H1996,PROGRAMAS[],3,FALSE),0)</f>
        <v>1233505101.0616004</v>
      </c>
      <c r="AK1996" s="246">
        <f>IFERROR(VLOOKUP(I1996,PROGRAMAS[],3,FALSE),0)</f>
        <v>6129902208.7912121</v>
      </c>
      <c r="AL1996" s="246">
        <f>IFERROR(VLOOKUP(J1996,PROGRAMAS[],3,FALSE),0)</f>
        <v>7011279577.519702</v>
      </c>
      <c r="AM1996" s="246">
        <f>IFERROR(VLOOKUP(K1996,PROGRAMAS[],3,FALSE),0)</f>
        <v>4099471734.9978786</v>
      </c>
      <c r="AN1996" s="246">
        <f>IFERROR(VLOOKUP(L1996,PROGRAMAS[],3,FALSE),0)</f>
        <v>31865326.38096505</v>
      </c>
      <c r="AO1996" s="246">
        <f>IFERROR(VLOOKUP(M1996,PROGRAMAS[],3,FALSE),0)</f>
        <v>118617452.52510804</v>
      </c>
      <c r="AP1996" s="246">
        <f>IFERROR(VLOOKUP(N1996,PROGRAMAS[],3,FALSE),0)</f>
        <v>2406564599.0319901</v>
      </c>
      <c r="AQ1996" s="246">
        <f>IFERROR(VLOOKUP(O1996,PROGRAMAS[],3,FALSE),0)</f>
        <v>948595847.09039903</v>
      </c>
      <c r="AR1996" s="246">
        <f>IFERROR(VLOOKUP(P1996,PROGRAMAS[],3,FALSE),0)</f>
        <v>0</v>
      </c>
      <c r="AS1996" s="246">
        <f>IFERROR(VLOOKUP(Q1996,PROGRAMAS[],3,FALSE),0)</f>
        <v>0</v>
      </c>
      <c r="AT1996" s="246">
        <f>IFERROR(VLOOKUP(D1996,VOL_REC[],2,FALSE),0)</f>
        <v>0</v>
      </c>
      <c r="AU1996" s="246">
        <f>IFERROR(VLOOKUP(E1996,VOL_REC[],2,FALSE),0)</f>
        <v>0</v>
      </c>
      <c r="AV1996" s="246">
        <f>IFERROR(VLOOKUP(F1996,VOL_REC[],2,FALSE),0)</f>
        <v>11089674.200000001</v>
      </c>
      <c r="AW1996" s="246">
        <f>IFERROR(VLOOKUP(G1996,VOL_REC[],2,FALSE),0)</f>
        <v>90439.55</v>
      </c>
      <c r="AX1996" s="246">
        <f>IFERROR(VLOOKUP(H1996,VOL_REC[],2,FALSE),0)</f>
        <v>4325103.1812214684</v>
      </c>
      <c r="AY1996" s="246">
        <f>IFERROR(VLOOKUP(I1996,VOL_REC[],2,FALSE),0)</f>
        <v>15540036.397699751</v>
      </c>
      <c r="AZ1996" s="246">
        <f>IFERROR(VLOOKUP(J1996,VOL_REC[],2,FALSE),0)</f>
        <v>3761786</v>
      </c>
      <c r="BA1996" s="246">
        <f>IFERROR(VLOOKUP(K1996,VOL_REC[],2,FALSE),0)</f>
        <v>1812240</v>
      </c>
      <c r="BB1996" s="246">
        <f>IFERROR(VLOOKUP(L1996,VOL_REC[],2,FALSE),0)</f>
        <v>17074.045034105649</v>
      </c>
      <c r="BC1996" s="246">
        <f>IFERROR(VLOOKUP(M1996,VOL_REC[],2,FALSE),0)</f>
        <v>105072</v>
      </c>
      <c r="BD1996" s="246">
        <f>IFERROR(VLOOKUP(N1996,VOL_REC[],2,FALSE),0)</f>
        <v>1072354.9981737854</v>
      </c>
      <c r="BE1996" s="246">
        <f>IFERROR(VLOOKUP(O1996,VOL_REC[],2,FALSE),0)</f>
        <v>740113.98115702497</v>
      </c>
      <c r="BF1996" s="246">
        <f>IFERROR(VLOOKUP(P1996,VOL_REC[],2,FALSE),0)</f>
        <v>0</v>
      </c>
      <c r="BG1996" s="246">
        <f>IFERROR(VLOOKUP(Q1996,VOL_REC[],2,FALSE),0)</f>
        <v>0</v>
      </c>
      <c r="BH1996" s="1710">
        <f t="shared" si="138"/>
        <v>32117709616.855663</v>
      </c>
      <c r="BI1996" s="1710">
        <f t="shared" si="139"/>
        <v>30190889978.216908</v>
      </c>
      <c r="BJ1996" s="1711">
        <f t="shared" si="140"/>
        <v>38553894.35328614</v>
      </c>
      <c r="BK1996" s="1711">
        <f t="shared" si="141"/>
        <v>1.0638212268677398</v>
      </c>
      <c r="BL1996">
        <f>BJ1996</f>
        <v>38553894.35328614</v>
      </c>
      <c r="BO1996">
        <f>BL1996</f>
        <v>38553894.35328614</v>
      </c>
    </row>
    <row r="1997" spans="3:67" x14ac:dyDescent="0.25">
      <c r="C1997" s="246" t="s">
        <v>3347</v>
      </c>
      <c r="D1997" s="246">
        <v>1</v>
      </c>
      <c r="E1997" s="246">
        <v>2</v>
      </c>
      <c r="F1997" s="246">
        <v>3</v>
      </c>
      <c r="G1997" s="246">
        <v>4</v>
      </c>
      <c r="H1997" s="246">
        <v>5</v>
      </c>
      <c r="I1997" s="246">
        <v>6</v>
      </c>
      <c r="J1997" s="246">
        <v>9</v>
      </c>
      <c r="K1997" s="246">
        <v>12</v>
      </c>
      <c r="L1997" s="246">
        <v>13</v>
      </c>
      <c r="M1997" s="246">
        <v>14</v>
      </c>
      <c r="N1997" s="246">
        <v>15</v>
      </c>
      <c r="O1997" s="246">
        <v>16</v>
      </c>
      <c r="P1997" s="246"/>
      <c r="Q1997" s="246"/>
      <c r="R1997" s="246">
        <f>IFERROR(VLOOKUP(D1997,PROGRAMAS[],2,FALSE),0)</f>
        <v>97037803.679377079</v>
      </c>
      <c r="S1997" s="246">
        <f>IFERROR(VLOOKUP(E1997,PROGRAMAS[],2,FALSE),0)</f>
        <v>640501509.6821388</v>
      </c>
      <c r="T1997" s="246">
        <f>IFERROR(VLOOKUP(F1997,PROGRAMAS[],2,FALSE),0)</f>
        <v>3062327798.1525245</v>
      </c>
      <c r="U1997" s="246">
        <f>IFERROR(VLOOKUP(G1997,PROGRAMAS[],2,FALSE),0)</f>
        <v>67697118.033011258</v>
      </c>
      <c r="V1997" s="246">
        <f>IFERROR(VLOOKUP(H1997,PROGRAMAS[],2,FALSE),0)</f>
        <v>1440941976.2528784</v>
      </c>
      <c r="W1997" s="246">
        <f>IFERROR(VLOOKUP(I1997,PROGRAMAS[],2,FALSE),0)</f>
        <v>6907648435.8447599</v>
      </c>
      <c r="X1997" s="246">
        <f>IFERROR(VLOOKUP(J1997,PROGRAMAS[],2,FALSE),0)</f>
        <v>6128579952.1618185</v>
      </c>
      <c r="Y1997" s="246">
        <f>IFERROR(VLOOKUP(K1997,PROGRAMAS[],2,FALSE),0)</f>
        <v>764796700.79905891</v>
      </c>
      <c r="Z1997" s="246">
        <f>IFERROR(VLOOKUP(L1997,PROGRAMAS[],2,FALSE),0)</f>
        <v>3776538594.4604583</v>
      </c>
      <c r="AA1997" s="246">
        <f>IFERROR(VLOOKUP(M1997,PROGRAMAS[],2,FALSE),0)</f>
        <v>54223862.645839565</v>
      </c>
      <c r="AB1997" s="246">
        <f>IFERROR(VLOOKUP(N1997,PROGRAMAS[],2,FALSE),0)</f>
        <v>122159672.96346797</v>
      </c>
      <c r="AC1997" s="246">
        <f>IFERROR(VLOOKUP(O1997,PROGRAMAS[],2,FALSE),0)</f>
        <v>7068496961.0436354</v>
      </c>
      <c r="AD1997" s="246">
        <f>IFERROR(VLOOKUP(P1997,PROGRAMAS[],2,FALSE),0)</f>
        <v>0</v>
      </c>
      <c r="AE1997" s="246">
        <f>IFERROR(VLOOKUP(Q1997,PROGRAMAS[],2,FALSE),0)</f>
        <v>0</v>
      </c>
      <c r="AF1997" s="246">
        <f>IFERROR(VLOOKUP(D1997,PROGRAMAS[],3,FALSE),0)</f>
        <v>841888629.31080008</v>
      </c>
      <c r="AG1997" s="246">
        <f>IFERROR(VLOOKUP(E1997,PROGRAMAS[],3,FALSE),0)</f>
        <v>3848980803.1642323</v>
      </c>
      <c r="AH1997" s="246">
        <f>IFERROR(VLOOKUP(F1997,PROGRAMAS[],3,FALSE),0)</f>
        <v>3394901471.387517</v>
      </c>
      <c r="AI1997" s="246">
        <f>IFERROR(VLOOKUP(G1997,PROGRAMAS[],3,FALSE),0)</f>
        <v>125317226.95549992</v>
      </c>
      <c r="AJ1997" s="246">
        <f>IFERROR(VLOOKUP(H1997,PROGRAMAS[],3,FALSE),0)</f>
        <v>1233505101.0616004</v>
      </c>
      <c r="AK1997" s="246">
        <f>IFERROR(VLOOKUP(I1997,PROGRAMAS[],3,FALSE),0)</f>
        <v>6129902208.7912121</v>
      </c>
      <c r="AL1997" s="246">
        <f>IFERROR(VLOOKUP(J1997,PROGRAMAS[],3,FALSE),0)</f>
        <v>7011279577.519702</v>
      </c>
      <c r="AM1997" s="246">
        <f>IFERROR(VLOOKUP(K1997,PROGRAMAS[],3,FALSE),0)</f>
        <v>675517840.109828</v>
      </c>
      <c r="AN1997" s="246">
        <f>IFERROR(VLOOKUP(L1997,PROGRAMAS[],3,FALSE),0)</f>
        <v>2392571243.5584412</v>
      </c>
      <c r="AO1997" s="246">
        <f>IFERROR(VLOOKUP(M1997,PROGRAMAS[],3,FALSE),0)</f>
        <v>31865326.38096505</v>
      </c>
      <c r="AP1997" s="246">
        <f>IFERROR(VLOOKUP(N1997,PROGRAMAS[],3,FALSE),0)</f>
        <v>118617452.52510804</v>
      </c>
      <c r="AQ1997" s="246">
        <f>IFERROR(VLOOKUP(O1997,PROGRAMAS[],3,FALSE),0)</f>
        <v>2406564599.0319901</v>
      </c>
      <c r="AR1997" s="246">
        <f>IFERROR(VLOOKUP(P1997,PROGRAMAS[],3,FALSE),0)</f>
        <v>0</v>
      </c>
      <c r="AS1997" s="246">
        <f>IFERROR(VLOOKUP(Q1997,PROGRAMAS[],3,FALSE),0)</f>
        <v>0</v>
      </c>
      <c r="AT1997" s="246">
        <f>IFERROR(VLOOKUP(D1997,VOL_REC[],2,FALSE),0)</f>
        <v>0</v>
      </c>
      <c r="AU1997" s="246">
        <f>IFERROR(VLOOKUP(E1997,VOL_REC[],2,FALSE),0)</f>
        <v>0</v>
      </c>
      <c r="AV1997" s="246">
        <f>IFERROR(VLOOKUP(F1997,VOL_REC[],2,FALSE),0)</f>
        <v>11089674.200000001</v>
      </c>
      <c r="AW1997" s="246">
        <f>IFERROR(VLOOKUP(G1997,VOL_REC[],2,FALSE),0)</f>
        <v>90439.55</v>
      </c>
      <c r="AX1997" s="246">
        <f>IFERROR(VLOOKUP(H1997,VOL_REC[],2,FALSE),0)</f>
        <v>4325103.1812214684</v>
      </c>
      <c r="AY1997" s="246">
        <f>IFERROR(VLOOKUP(I1997,VOL_REC[],2,FALSE),0)</f>
        <v>15540036.397699751</v>
      </c>
      <c r="AZ1997" s="246">
        <f>IFERROR(VLOOKUP(J1997,VOL_REC[],2,FALSE),0)</f>
        <v>3761786</v>
      </c>
      <c r="BA1997" s="246">
        <f>IFERROR(VLOOKUP(K1997,VOL_REC[],2,FALSE),0)</f>
        <v>240696.79238099116</v>
      </c>
      <c r="BB1997" s="246">
        <f>IFERROR(VLOOKUP(L1997,VOL_REC[],2,FALSE),0)</f>
        <v>663244.80000000016</v>
      </c>
      <c r="BC1997" s="246">
        <f>IFERROR(VLOOKUP(M1997,VOL_REC[],2,FALSE),0)</f>
        <v>17074.045034105649</v>
      </c>
      <c r="BD1997" s="246">
        <f>IFERROR(VLOOKUP(N1997,VOL_REC[],2,FALSE),0)</f>
        <v>105072</v>
      </c>
      <c r="BE1997" s="246">
        <f>IFERROR(VLOOKUP(O1997,VOL_REC[],2,FALSE),0)</f>
        <v>1072354.9981737854</v>
      </c>
      <c r="BF1997" s="246">
        <f>IFERROR(VLOOKUP(P1997,VOL_REC[],2,FALSE),0)</f>
        <v>0</v>
      </c>
      <c r="BG1997" s="246">
        <f>IFERROR(VLOOKUP(Q1997,VOL_REC[],2,FALSE),0)</f>
        <v>0</v>
      </c>
      <c r="BH1997" s="1710">
        <f t="shared" si="138"/>
        <v>30130950385.718967</v>
      </c>
      <c r="BI1997" s="1710">
        <f t="shared" si="139"/>
        <v>28210911479.796898</v>
      </c>
      <c r="BJ1997" s="1711">
        <f t="shared" si="140"/>
        <v>36905481.964510098</v>
      </c>
      <c r="BK1997" s="1711">
        <f t="shared" si="141"/>
        <v>1.0680601513813934</v>
      </c>
      <c r="BL1997">
        <f>BJ1997</f>
        <v>36905481.964510098</v>
      </c>
      <c r="BO1997">
        <f>BL1997</f>
        <v>36905481.964510098</v>
      </c>
    </row>
    <row r="1998" spans="3:67" x14ac:dyDescent="0.25">
      <c r="C1998" s="246" t="s">
        <v>3348</v>
      </c>
      <c r="D1998" s="246">
        <v>1</v>
      </c>
      <c r="E1998" s="246">
        <v>2</v>
      </c>
      <c r="F1998" s="246">
        <v>3</v>
      </c>
      <c r="G1998" s="246">
        <v>4</v>
      </c>
      <c r="H1998" s="246">
        <v>5</v>
      </c>
      <c r="I1998" s="246">
        <v>6</v>
      </c>
      <c r="J1998" s="246">
        <v>9</v>
      </c>
      <c r="K1998" s="246">
        <v>12</v>
      </c>
      <c r="L1998" s="246">
        <v>13</v>
      </c>
      <c r="M1998" s="246">
        <v>14</v>
      </c>
      <c r="N1998" s="246">
        <v>15</v>
      </c>
      <c r="O1998" s="246">
        <v>17</v>
      </c>
      <c r="P1998" s="246"/>
      <c r="Q1998" s="246"/>
      <c r="R1998" s="246">
        <f>IFERROR(VLOOKUP(D1998,PROGRAMAS[],2,FALSE),0)</f>
        <v>97037803.679377079</v>
      </c>
      <c r="S1998" s="246">
        <f>IFERROR(VLOOKUP(E1998,PROGRAMAS[],2,FALSE),0)</f>
        <v>640501509.6821388</v>
      </c>
      <c r="T1998" s="246">
        <f>IFERROR(VLOOKUP(F1998,PROGRAMAS[],2,FALSE),0)</f>
        <v>3062327798.1525245</v>
      </c>
      <c r="U1998" s="246">
        <f>IFERROR(VLOOKUP(G1998,PROGRAMAS[],2,FALSE),0)</f>
        <v>67697118.033011258</v>
      </c>
      <c r="V1998" s="246">
        <f>IFERROR(VLOOKUP(H1998,PROGRAMAS[],2,FALSE),0)</f>
        <v>1440941976.2528784</v>
      </c>
      <c r="W1998" s="246">
        <f>IFERROR(VLOOKUP(I1998,PROGRAMAS[],2,FALSE),0)</f>
        <v>6907648435.8447599</v>
      </c>
      <c r="X1998" s="246">
        <f>IFERROR(VLOOKUP(J1998,PROGRAMAS[],2,FALSE),0)</f>
        <v>6128579952.1618185</v>
      </c>
      <c r="Y1998" s="246">
        <f>IFERROR(VLOOKUP(K1998,PROGRAMAS[],2,FALSE),0)</f>
        <v>764796700.79905891</v>
      </c>
      <c r="Z1998" s="246">
        <f>IFERROR(VLOOKUP(L1998,PROGRAMAS[],2,FALSE),0)</f>
        <v>3776538594.4604583</v>
      </c>
      <c r="AA1998" s="246">
        <f>IFERROR(VLOOKUP(M1998,PROGRAMAS[],2,FALSE),0)</f>
        <v>54223862.645839565</v>
      </c>
      <c r="AB1998" s="246">
        <f>IFERROR(VLOOKUP(N1998,PROGRAMAS[],2,FALSE),0)</f>
        <v>122159672.96346797</v>
      </c>
      <c r="AC1998" s="246">
        <f>IFERROR(VLOOKUP(O1998,PROGRAMAS[],2,FALSE),0)</f>
        <v>1892779498.5211046</v>
      </c>
      <c r="AD1998" s="246">
        <f>IFERROR(VLOOKUP(P1998,PROGRAMAS[],2,FALSE),0)</f>
        <v>0</v>
      </c>
      <c r="AE1998" s="246">
        <f>IFERROR(VLOOKUP(Q1998,PROGRAMAS[],2,FALSE),0)</f>
        <v>0</v>
      </c>
      <c r="AF1998" s="246">
        <f>IFERROR(VLOOKUP(D1998,PROGRAMAS[],3,FALSE),0)</f>
        <v>841888629.31080008</v>
      </c>
      <c r="AG1998" s="246">
        <f>IFERROR(VLOOKUP(E1998,PROGRAMAS[],3,FALSE),0)</f>
        <v>3848980803.1642323</v>
      </c>
      <c r="AH1998" s="246">
        <f>IFERROR(VLOOKUP(F1998,PROGRAMAS[],3,FALSE),0)</f>
        <v>3394901471.387517</v>
      </c>
      <c r="AI1998" s="246">
        <f>IFERROR(VLOOKUP(G1998,PROGRAMAS[],3,FALSE),0)</f>
        <v>125317226.95549992</v>
      </c>
      <c r="AJ1998" s="246">
        <f>IFERROR(VLOOKUP(H1998,PROGRAMAS[],3,FALSE),0)</f>
        <v>1233505101.0616004</v>
      </c>
      <c r="AK1998" s="246">
        <f>IFERROR(VLOOKUP(I1998,PROGRAMAS[],3,FALSE),0)</f>
        <v>6129902208.7912121</v>
      </c>
      <c r="AL1998" s="246">
        <f>IFERROR(VLOOKUP(J1998,PROGRAMAS[],3,FALSE),0)</f>
        <v>7011279577.519702</v>
      </c>
      <c r="AM1998" s="246">
        <f>IFERROR(VLOOKUP(K1998,PROGRAMAS[],3,FALSE),0)</f>
        <v>675517840.109828</v>
      </c>
      <c r="AN1998" s="246">
        <f>IFERROR(VLOOKUP(L1998,PROGRAMAS[],3,FALSE),0)</f>
        <v>2392571243.5584412</v>
      </c>
      <c r="AO1998" s="246">
        <f>IFERROR(VLOOKUP(M1998,PROGRAMAS[],3,FALSE),0)</f>
        <v>31865326.38096505</v>
      </c>
      <c r="AP1998" s="246">
        <f>IFERROR(VLOOKUP(N1998,PROGRAMAS[],3,FALSE),0)</f>
        <v>118617452.52510804</v>
      </c>
      <c r="AQ1998" s="246">
        <f>IFERROR(VLOOKUP(O1998,PROGRAMAS[],3,FALSE),0)</f>
        <v>948595847.09039903</v>
      </c>
      <c r="AR1998" s="246">
        <f>IFERROR(VLOOKUP(P1998,PROGRAMAS[],3,FALSE),0)</f>
        <v>0</v>
      </c>
      <c r="AS1998" s="246">
        <f>IFERROR(VLOOKUP(Q1998,PROGRAMAS[],3,FALSE),0)</f>
        <v>0</v>
      </c>
      <c r="AT1998" s="246">
        <f>IFERROR(VLOOKUP(D1998,VOL_REC[],2,FALSE),0)</f>
        <v>0</v>
      </c>
      <c r="AU1998" s="246">
        <f>IFERROR(VLOOKUP(E1998,VOL_REC[],2,FALSE),0)</f>
        <v>0</v>
      </c>
      <c r="AV1998" s="246">
        <f>IFERROR(VLOOKUP(F1998,VOL_REC[],2,FALSE),0)</f>
        <v>11089674.200000001</v>
      </c>
      <c r="AW1998" s="246">
        <f>IFERROR(VLOOKUP(G1998,VOL_REC[],2,FALSE),0)</f>
        <v>90439.55</v>
      </c>
      <c r="AX1998" s="246">
        <f>IFERROR(VLOOKUP(H1998,VOL_REC[],2,FALSE),0)</f>
        <v>4325103.1812214684</v>
      </c>
      <c r="AY1998" s="246">
        <f>IFERROR(VLOOKUP(I1998,VOL_REC[],2,FALSE),0)</f>
        <v>15540036.397699751</v>
      </c>
      <c r="AZ1998" s="246">
        <f>IFERROR(VLOOKUP(J1998,VOL_REC[],2,FALSE),0)</f>
        <v>3761786</v>
      </c>
      <c r="BA1998" s="246">
        <f>IFERROR(VLOOKUP(K1998,VOL_REC[],2,FALSE),0)</f>
        <v>240696.79238099116</v>
      </c>
      <c r="BB1998" s="246">
        <f>IFERROR(VLOOKUP(L1998,VOL_REC[],2,FALSE),0)</f>
        <v>663244.80000000016</v>
      </c>
      <c r="BC1998" s="246">
        <f>IFERROR(VLOOKUP(M1998,VOL_REC[],2,FALSE),0)</f>
        <v>17074.045034105649</v>
      </c>
      <c r="BD1998" s="246">
        <f>IFERROR(VLOOKUP(N1998,VOL_REC[],2,FALSE),0)</f>
        <v>105072</v>
      </c>
      <c r="BE1998" s="246">
        <f>IFERROR(VLOOKUP(O1998,VOL_REC[],2,FALSE),0)</f>
        <v>740113.98115702497</v>
      </c>
      <c r="BF1998" s="246">
        <f>IFERROR(VLOOKUP(P1998,VOL_REC[],2,FALSE),0)</f>
        <v>0</v>
      </c>
      <c r="BG1998" s="246">
        <f>IFERROR(VLOOKUP(Q1998,VOL_REC[],2,FALSE),0)</f>
        <v>0</v>
      </c>
      <c r="BH1998" s="1710">
        <f t="shared" si="138"/>
        <v>24955232923.196434</v>
      </c>
      <c r="BI1998" s="1710">
        <f t="shared" si="139"/>
        <v>26752942727.855309</v>
      </c>
      <c r="BJ1998" s="1711">
        <f t="shared" si="140"/>
        <v>36573240.947493337</v>
      </c>
      <c r="BK1998" s="1711">
        <f t="shared" si="141"/>
        <v>0.93280328736370788</v>
      </c>
    </row>
    <row r="1999" spans="3:67" x14ac:dyDescent="0.25">
      <c r="C1999" s="246" t="s">
        <v>3349</v>
      </c>
      <c r="D1999" s="246">
        <v>1</v>
      </c>
      <c r="E1999" s="246">
        <v>2</v>
      </c>
      <c r="F1999" s="246">
        <v>3</v>
      </c>
      <c r="G1999" s="246">
        <v>4</v>
      </c>
      <c r="H1999" s="246">
        <v>5</v>
      </c>
      <c r="I1999" s="246">
        <v>6</v>
      </c>
      <c r="J1999" s="246">
        <v>9</v>
      </c>
      <c r="K1999" s="246">
        <v>12</v>
      </c>
      <c r="L1999" s="246">
        <v>13</v>
      </c>
      <c r="M1999" s="246">
        <v>14</v>
      </c>
      <c r="N1999" s="246">
        <v>16</v>
      </c>
      <c r="O1999" s="246">
        <v>17</v>
      </c>
      <c r="P1999" s="246"/>
      <c r="Q1999" s="246"/>
      <c r="R1999" s="246">
        <f>IFERROR(VLOOKUP(D1999,PROGRAMAS[],2,FALSE),0)</f>
        <v>97037803.679377079</v>
      </c>
      <c r="S1999" s="246">
        <f>IFERROR(VLOOKUP(E1999,PROGRAMAS[],2,FALSE),0)</f>
        <v>640501509.6821388</v>
      </c>
      <c r="T1999" s="246">
        <f>IFERROR(VLOOKUP(F1999,PROGRAMAS[],2,FALSE),0)</f>
        <v>3062327798.1525245</v>
      </c>
      <c r="U1999" s="246">
        <f>IFERROR(VLOOKUP(G1999,PROGRAMAS[],2,FALSE),0)</f>
        <v>67697118.033011258</v>
      </c>
      <c r="V1999" s="246">
        <f>IFERROR(VLOOKUP(H1999,PROGRAMAS[],2,FALSE),0)</f>
        <v>1440941976.2528784</v>
      </c>
      <c r="W1999" s="246">
        <f>IFERROR(VLOOKUP(I1999,PROGRAMAS[],2,FALSE),0)</f>
        <v>6907648435.8447599</v>
      </c>
      <c r="X1999" s="246">
        <f>IFERROR(VLOOKUP(J1999,PROGRAMAS[],2,FALSE),0)</f>
        <v>6128579952.1618185</v>
      </c>
      <c r="Y1999" s="246">
        <f>IFERROR(VLOOKUP(K1999,PROGRAMAS[],2,FALSE),0)</f>
        <v>764796700.79905891</v>
      </c>
      <c r="Z1999" s="246">
        <f>IFERROR(VLOOKUP(L1999,PROGRAMAS[],2,FALSE),0)</f>
        <v>3776538594.4604583</v>
      </c>
      <c r="AA1999" s="246">
        <f>IFERROR(VLOOKUP(M1999,PROGRAMAS[],2,FALSE),0)</f>
        <v>54223862.645839565</v>
      </c>
      <c r="AB1999" s="246">
        <f>IFERROR(VLOOKUP(N1999,PROGRAMAS[],2,FALSE),0)</f>
        <v>7068496961.0436354</v>
      </c>
      <c r="AC1999" s="246">
        <f>IFERROR(VLOOKUP(O1999,PROGRAMAS[],2,FALSE),0)</f>
        <v>1892779498.5211046</v>
      </c>
      <c r="AD1999" s="246">
        <f>IFERROR(VLOOKUP(P1999,PROGRAMAS[],2,FALSE),0)</f>
        <v>0</v>
      </c>
      <c r="AE1999" s="246">
        <f>IFERROR(VLOOKUP(Q1999,PROGRAMAS[],2,FALSE),0)</f>
        <v>0</v>
      </c>
      <c r="AF1999" s="246">
        <f>IFERROR(VLOOKUP(D1999,PROGRAMAS[],3,FALSE),0)</f>
        <v>841888629.31080008</v>
      </c>
      <c r="AG1999" s="246">
        <f>IFERROR(VLOOKUP(E1999,PROGRAMAS[],3,FALSE),0)</f>
        <v>3848980803.1642323</v>
      </c>
      <c r="AH1999" s="246">
        <f>IFERROR(VLOOKUP(F1999,PROGRAMAS[],3,FALSE),0)</f>
        <v>3394901471.387517</v>
      </c>
      <c r="AI1999" s="246">
        <f>IFERROR(VLOOKUP(G1999,PROGRAMAS[],3,FALSE),0)</f>
        <v>125317226.95549992</v>
      </c>
      <c r="AJ1999" s="246">
        <f>IFERROR(VLOOKUP(H1999,PROGRAMAS[],3,FALSE),0)</f>
        <v>1233505101.0616004</v>
      </c>
      <c r="AK1999" s="246">
        <f>IFERROR(VLOOKUP(I1999,PROGRAMAS[],3,FALSE),0)</f>
        <v>6129902208.7912121</v>
      </c>
      <c r="AL1999" s="246">
        <f>IFERROR(VLOOKUP(J1999,PROGRAMAS[],3,FALSE),0)</f>
        <v>7011279577.519702</v>
      </c>
      <c r="AM1999" s="246">
        <f>IFERROR(VLOOKUP(K1999,PROGRAMAS[],3,FALSE),0)</f>
        <v>675517840.109828</v>
      </c>
      <c r="AN1999" s="246">
        <f>IFERROR(VLOOKUP(L1999,PROGRAMAS[],3,FALSE),0)</f>
        <v>2392571243.5584412</v>
      </c>
      <c r="AO1999" s="246">
        <f>IFERROR(VLOOKUP(M1999,PROGRAMAS[],3,FALSE),0)</f>
        <v>31865326.38096505</v>
      </c>
      <c r="AP1999" s="246">
        <f>IFERROR(VLOOKUP(N1999,PROGRAMAS[],3,FALSE),0)</f>
        <v>2406564599.0319901</v>
      </c>
      <c r="AQ1999" s="246">
        <f>IFERROR(VLOOKUP(O1999,PROGRAMAS[],3,FALSE),0)</f>
        <v>948595847.09039903</v>
      </c>
      <c r="AR1999" s="246">
        <f>IFERROR(VLOOKUP(P1999,PROGRAMAS[],3,FALSE),0)</f>
        <v>0</v>
      </c>
      <c r="AS1999" s="246">
        <f>IFERROR(VLOOKUP(Q1999,PROGRAMAS[],3,FALSE),0)</f>
        <v>0</v>
      </c>
      <c r="AT1999" s="246">
        <f>IFERROR(VLOOKUP(D1999,VOL_REC[],2,FALSE),0)</f>
        <v>0</v>
      </c>
      <c r="AU1999" s="246">
        <f>IFERROR(VLOOKUP(E1999,VOL_REC[],2,FALSE),0)</f>
        <v>0</v>
      </c>
      <c r="AV1999" s="246">
        <f>IFERROR(VLOOKUP(F1999,VOL_REC[],2,FALSE),0)</f>
        <v>11089674.200000001</v>
      </c>
      <c r="AW1999" s="246">
        <f>IFERROR(VLOOKUP(G1999,VOL_REC[],2,FALSE),0)</f>
        <v>90439.55</v>
      </c>
      <c r="AX1999" s="246">
        <f>IFERROR(VLOOKUP(H1999,VOL_REC[],2,FALSE),0)</f>
        <v>4325103.1812214684</v>
      </c>
      <c r="AY1999" s="246">
        <f>IFERROR(VLOOKUP(I1999,VOL_REC[],2,FALSE),0)</f>
        <v>15540036.397699751</v>
      </c>
      <c r="AZ1999" s="246">
        <f>IFERROR(VLOOKUP(J1999,VOL_REC[],2,FALSE),0)</f>
        <v>3761786</v>
      </c>
      <c r="BA1999" s="246">
        <f>IFERROR(VLOOKUP(K1999,VOL_REC[],2,FALSE),0)</f>
        <v>240696.79238099116</v>
      </c>
      <c r="BB1999" s="246">
        <f>IFERROR(VLOOKUP(L1999,VOL_REC[],2,FALSE),0)</f>
        <v>663244.80000000016</v>
      </c>
      <c r="BC1999" s="246">
        <f>IFERROR(VLOOKUP(M1999,VOL_REC[],2,FALSE),0)</f>
        <v>17074.045034105649</v>
      </c>
      <c r="BD1999" s="246">
        <f>IFERROR(VLOOKUP(N1999,VOL_REC[],2,FALSE),0)</f>
        <v>1072354.9981737854</v>
      </c>
      <c r="BE1999" s="246">
        <f>IFERROR(VLOOKUP(O1999,VOL_REC[],2,FALSE),0)</f>
        <v>740113.98115702497</v>
      </c>
      <c r="BF1999" s="246">
        <f>IFERROR(VLOOKUP(P1999,VOL_REC[],2,FALSE),0)</f>
        <v>0</v>
      </c>
      <c r="BG1999" s="246">
        <f>IFERROR(VLOOKUP(Q1999,VOL_REC[],2,FALSE),0)</f>
        <v>0</v>
      </c>
      <c r="BH1999" s="1710">
        <f t="shared" si="138"/>
        <v>31901570211.276604</v>
      </c>
      <c r="BI1999" s="1710">
        <f t="shared" si="139"/>
        <v>29040889874.36219</v>
      </c>
      <c r="BJ1999" s="1711">
        <f t="shared" si="140"/>
        <v>37540523.945667125</v>
      </c>
      <c r="BK1999" s="1711">
        <f t="shared" si="141"/>
        <v>1.0985052575623679</v>
      </c>
      <c r="BL1999">
        <f>BJ1999</f>
        <v>37540523.945667125</v>
      </c>
      <c r="BO1999">
        <f>BL1999</f>
        <v>37540523.945667125</v>
      </c>
    </row>
    <row r="2000" spans="3:67" x14ac:dyDescent="0.25">
      <c r="C2000" s="246" t="s">
        <v>3350</v>
      </c>
      <c r="D2000" s="246">
        <v>1</v>
      </c>
      <c r="E2000" s="246">
        <v>2</v>
      </c>
      <c r="F2000" s="246">
        <v>3</v>
      </c>
      <c r="G2000" s="246">
        <v>4</v>
      </c>
      <c r="H2000" s="246">
        <v>5</v>
      </c>
      <c r="I2000" s="246">
        <v>6</v>
      </c>
      <c r="J2000" s="246">
        <v>9</v>
      </c>
      <c r="K2000" s="246">
        <v>12</v>
      </c>
      <c r="L2000" s="246">
        <v>13</v>
      </c>
      <c r="M2000" s="246">
        <v>15</v>
      </c>
      <c r="N2000" s="246">
        <v>16</v>
      </c>
      <c r="O2000" s="246">
        <v>17</v>
      </c>
      <c r="P2000" s="246"/>
      <c r="Q2000" s="246"/>
      <c r="R2000" s="246">
        <f>IFERROR(VLOOKUP(D2000,PROGRAMAS[],2,FALSE),0)</f>
        <v>97037803.679377079</v>
      </c>
      <c r="S2000" s="246">
        <f>IFERROR(VLOOKUP(E2000,PROGRAMAS[],2,FALSE),0)</f>
        <v>640501509.6821388</v>
      </c>
      <c r="T2000" s="246">
        <f>IFERROR(VLOOKUP(F2000,PROGRAMAS[],2,FALSE),0)</f>
        <v>3062327798.1525245</v>
      </c>
      <c r="U2000" s="246">
        <f>IFERROR(VLOOKUP(G2000,PROGRAMAS[],2,FALSE),0)</f>
        <v>67697118.033011258</v>
      </c>
      <c r="V2000" s="246">
        <f>IFERROR(VLOOKUP(H2000,PROGRAMAS[],2,FALSE),0)</f>
        <v>1440941976.2528784</v>
      </c>
      <c r="W2000" s="246">
        <f>IFERROR(VLOOKUP(I2000,PROGRAMAS[],2,FALSE),0)</f>
        <v>6907648435.8447599</v>
      </c>
      <c r="X2000" s="246">
        <f>IFERROR(VLOOKUP(J2000,PROGRAMAS[],2,FALSE),0)</f>
        <v>6128579952.1618185</v>
      </c>
      <c r="Y2000" s="246">
        <f>IFERROR(VLOOKUP(K2000,PROGRAMAS[],2,FALSE),0)</f>
        <v>764796700.79905891</v>
      </c>
      <c r="Z2000" s="246">
        <f>IFERROR(VLOOKUP(L2000,PROGRAMAS[],2,FALSE),0)</f>
        <v>3776538594.4604583</v>
      </c>
      <c r="AA2000" s="246">
        <f>IFERROR(VLOOKUP(M2000,PROGRAMAS[],2,FALSE),0)</f>
        <v>122159672.96346797</v>
      </c>
      <c r="AB2000" s="246">
        <f>IFERROR(VLOOKUP(N2000,PROGRAMAS[],2,FALSE),0)</f>
        <v>7068496961.0436354</v>
      </c>
      <c r="AC2000" s="246">
        <f>IFERROR(VLOOKUP(O2000,PROGRAMAS[],2,FALSE),0)</f>
        <v>1892779498.5211046</v>
      </c>
      <c r="AD2000" s="246">
        <f>IFERROR(VLOOKUP(P2000,PROGRAMAS[],2,FALSE),0)</f>
        <v>0</v>
      </c>
      <c r="AE2000" s="246">
        <f>IFERROR(VLOOKUP(Q2000,PROGRAMAS[],2,FALSE),0)</f>
        <v>0</v>
      </c>
      <c r="AF2000" s="246">
        <f>IFERROR(VLOOKUP(D2000,PROGRAMAS[],3,FALSE),0)</f>
        <v>841888629.31080008</v>
      </c>
      <c r="AG2000" s="246">
        <f>IFERROR(VLOOKUP(E2000,PROGRAMAS[],3,FALSE),0)</f>
        <v>3848980803.1642323</v>
      </c>
      <c r="AH2000" s="246">
        <f>IFERROR(VLOOKUP(F2000,PROGRAMAS[],3,FALSE),0)</f>
        <v>3394901471.387517</v>
      </c>
      <c r="AI2000" s="246">
        <f>IFERROR(VLOOKUP(G2000,PROGRAMAS[],3,FALSE),0)</f>
        <v>125317226.95549992</v>
      </c>
      <c r="AJ2000" s="246">
        <f>IFERROR(VLOOKUP(H2000,PROGRAMAS[],3,FALSE),0)</f>
        <v>1233505101.0616004</v>
      </c>
      <c r="AK2000" s="246">
        <f>IFERROR(VLOOKUP(I2000,PROGRAMAS[],3,FALSE),0)</f>
        <v>6129902208.7912121</v>
      </c>
      <c r="AL2000" s="246">
        <f>IFERROR(VLOOKUP(J2000,PROGRAMAS[],3,FALSE),0)</f>
        <v>7011279577.519702</v>
      </c>
      <c r="AM2000" s="246">
        <f>IFERROR(VLOOKUP(K2000,PROGRAMAS[],3,FALSE),0)</f>
        <v>675517840.109828</v>
      </c>
      <c r="AN2000" s="246">
        <f>IFERROR(VLOOKUP(L2000,PROGRAMAS[],3,FALSE),0)</f>
        <v>2392571243.5584412</v>
      </c>
      <c r="AO2000" s="246">
        <f>IFERROR(VLOOKUP(M2000,PROGRAMAS[],3,FALSE),0)</f>
        <v>118617452.52510804</v>
      </c>
      <c r="AP2000" s="246">
        <f>IFERROR(VLOOKUP(N2000,PROGRAMAS[],3,FALSE),0)</f>
        <v>2406564599.0319901</v>
      </c>
      <c r="AQ2000" s="246">
        <f>IFERROR(VLOOKUP(O2000,PROGRAMAS[],3,FALSE),0)</f>
        <v>948595847.09039903</v>
      </c>
      <c r="AR2000" s="246">
        <f>IFERROR(VLOOKUP(P2000,PROGRAMAS[],3,FALSE),0)</f>
        <v>0</v>
      </c>
      <c r="AS2000" s="246">
        <f>IFERROR(VLOOKUP(Q2000,PROGRAMAS[],3,FALSE),0)</f>
        <v>0</v>
      </c>
      <c r="AT2000" s="246">
        <f>IFERROR(VLOOKUP(D2000,VOL_REC[],2,FALSE),0)</f>
        <v>0</v>
      </c>
      <c r="AU2000" s="246">
        <f>IFERROR(VLOOKUP(E2000,VOL_REC[],2,FALSE),0)</f>
        <v>0</v>
      </c>
      <c r="AV2000" s="246">
        <f>IFERROR(VLOOKUP(F2000,VOL_REC[],2,FALSE),0)</f>
        <v>11089674.200000001</v>
      </c>
      <c r="AW2000" s="246">
        <f>IFERROR(VLOOKUP(G2000,VOL_REC[],2,FALSE),0)</f>
        <v>90439.55</v>
      </c>
      <c r="AX2000" s="246">
        <f>IFERROR(VLOOKUP(H2000,VOL_REC[],2,FALSE),0)</f>
        <v>4325103.1812214684</v>
      </c>
      <c r="AY2000" s="246">
        <f>IFERROR(VLOOKUP(I2000,VOL_REC[],2,FALSE),0)</f>
        <v>15540036.397699751</v>
      </c>
      <c r="AZ2000" s="246">
        <f>IFERROR(VLOOKUP(J2000,VOL_REC[],2,FALSE),0)</f>
        <v>3761786</v>
      </c>
      <c r="BA2000" s="246">
        <f>IFERROR(VLOOKUP(K2000,VOL_REC[],2,FALSE),0)</f>
        <v>240696.79238099116</v>
      </c>
      <c r="BB2000" s="246">
        <f>IFERROR(VLOOKUP(L2000,VOL_REC[],2,FALSE),0)</f>
        <v>663244.80000000016</v>
      </c>
      <c r="BC2000" s="246">
        <f>IFERROR(VLOOKUP(M2000,VOL_REC[],2,FALSE),0)</f>
        <v>105072</v>
      </c>
      <c r="BD2000" s="246">
        <f>IFERROR(VLOOKUP(N2000,VOL_REC[],2,FALSE),0)</f>
        <v>1072354.9981737854</v>
      </c>
      <c r="BE2000" s="246">
        <f>IFERROR(VLOOKUP(O2000,VOL_REC[],2,FALSE),0)</f>
        <v>740113.98115702497</v>
      </c>
      <c r="BF2000" s="246">
        <f>IFERROR(VLOOKUP(P2000,VOL_REC[],2,FALSE),0)</f>
        <v>0</v>
      </c>
      <c r="BG2000" s="246">
        <f>IFERROR(VLOOKUP(Q2000,VOL_REC[],2,FALSE),0)</f>
        <v>0</v>
      </c>
      <c r="BH2000" s="1710">
        <f t="shared" si="138"/>
        <v>31969506021.594231</v>
      </c>
      <c r="BI2000" s="1710">
        <f t="shared" si="139"/>
        <v>29127642000.506332</v>
      </c>
      <c r="BJ2000" s="1711">
        <f t="shared" si="140"/>
        <v>37628521.900633022</v>
      </c>
      <c r="BK2000" s="1711">
        <f t="shared" si="141"/>
        <v>1.0975658798964398</v>
      </c>
      <c r="BL2000">
        <f>BJ2000</f>
        <v>37628521.900633022</v>
      </c>
      <c r="BO2000">
        <f>BL2000</f>
        <v>37628521.900633022</v>
      </c>
    </row>
    <row r="2001" spans="3:67" x14ac:dyDescent="0.25">
      <c r="C2001" s="246" t="s">
        <v>3351</v>
      </c>
      <c r="D2001" s="246">
        <v>1</v>
      </c>
      <c r="E2001" s="246">
        <v>2</v>
      </c>
      <c r="F2001" s="246">
        <v>3</v>
      </c>
      <c r="G2001" s="246">
        <v>4</v>
      </c>
      <c r="H2001" s="246">
        <v>5</v>
      </c>
      <c r="I2001" s="246">
        <v>6</v>
      </c>
      <c r="J2001" s="246">
        <v>9</v>
      </c>
      <c r="K2001" s="246">
        <v>12</v>
      </c>
      <c r="L2001" s="246">
        <v>14</v>
      </c>
      <c r="M2001" s="246">
        <v>15</v>
      </c>
      <c r="N2001" s="246">
        <v>16</v>
      </c>
      <c r="O2001" s="246">
        <v>17</v>
      </c>
      <c r="P2001" s="246"/>
      <c r="Q2001" s="246"/>
      <c r="R2001" s="246">
        <f>IFERROR(VLOOKUP(D2001,PROGRAMAS[],2,FALSE),0)</f>
        <v>97037803.679377079</v>
      </c>
      <c r="S2001" s="246">
        <f>IFERROR(VLOOKUP(E2001,PROGRAMAS[],2,FALSE),0)</f>
        <v>640501509.6821388</v>
      </c>
      <c r="T2001" s="246">
        <f>IFERROR(VLOOKUP(F2001,PROGRAMAS[],2,FALSE),0)</f>
        <v>3062327798.1525245</v>
      </c>
      <c r="U2001" s="246">
        <f>IFERROR(VLOOKUP(G2001,PROGRAMAS[],2,FALSE),0)</f>
        <v>67697118.033011258</v>
      </c>
      <c r="V2001" s="246">
        <f>IFERROR(VLOOKUP(H2001,PROGRAMAS[],2,FALSE),0)</f>
        <v>1440941976.2528784</v>
      </c>
      <c r="W2001" s="246">
        <f>IFERROR(VLOOKUP(I2001,PROGRAMAS[],2,FALSE),0)</f>
        <v>6907648435.8447599</v>
      </c>
      <c r="X2001" s="246">
        <f>IFERROR(VLOOKUP(J2001,PROGRAMAS[],2,FALSE),0)</f>
        <v>6128579952.1618185</v>
      </c>
      <c r="Y2001" s="246">
        <f>IFERROR(VLOOKUP(K2001,PROGRAMAS[],2,FALSE),0)</f>
        <v>764796700.79905891</v>
      </c>
      <c r="Z2001" s="246">
        <f>IFERROR(VLOOKUP(L2001,PROGRAMAS[],2,FALSE),0)</f>
        <v>54223862.645839565</v>
      </c>
      <c r="AA2001" s="246">
        <f>IFERROR(VLOOKUP(M2001,PROGRAMAS[],2,FALSE),0)</f>
        <v>122159672.96346797</v>
      </c>
      <c r="AB2001" s="246">
        <f>IFERROR(VLOOKUP(N2001,PROGRAMAS[],2,FALSE),0)</f>
        <v>7068496961.0436354</v>
      </c>
      <c r="AC2001" s="246">
        <f>IFERROR(VLOOKUP(O2001,PROGRAMAS[],2,FALSE),0)</f>
        <v>1892779498.5211046</v>
      </c>
      <c r="AD2001" s="246">
        <f>IFERROR(VLOOKUP(P2001,PROGRAMAS[],2,FALSE),0)</f>
        <v>0</v>
      </c>
      <c r="AE2001" s="246">
        <f>IFERROR(VLOOKUP(Q2001,PROGRAMAS[],2,FALSE),0)</f>
        <v>0</v>
      </c>
      <c r="AF2001" s="246">
        <f>IFERROR(VLOOKUP(D2001,PROGRAMAS[],3,FALSE),0)</f>
        <v>841888629.31080008</v>
      </c>
      <c r="AG2001" s="246">
        <f>IFERROR(VLOOKUP(E2001,PROGRAMAS[],3,FALSE),0)</f>
        <v>3848980803.1642323</v>
      </c>
      <c r="AH2001" s="246">
        <f>IFERROR(VLOOKUP(F2001,PROGRAMAS[],3,FALSE),0)</f>
        <v>3394901471.387517</v>
      </c>
      <c r="AI2001" s="246">
        <f>IFERROR(VLOOKUP(G2001,PROGRAMAS[],3,FALSE),0)</f>
        <v>125317226.95549992</v>
      </c>
      <c r="AJ2001" s="246">
        <f>IFERROR(VLOOKUP(H2001,PROGRAMAS[],3,FALSE),0)</f>
        <v>1233505101.0616004</v>
      </c>
      <c r="AK2001" s="246">
        <f>IFERROR(VLOOKUP(I2001,PROGRAMAS[],3,FALSE),0)</f>
        <v>6129902208.7912121</v>
      </c>
      <c r="AL2001" s="246">
        <f>IFERROR(VLOOKUP(J2001,PROGRAMAS[],3,FALSE),0)</f>
        <v>7011279577.519702</v>
      </c>
      <c r="AM2001" s="246">
        <f>IFERROR(VLOOKUP(K2001,PROGRAMAS[],3,FALSE),0)</f>
        <v>675517840.109828</v>
      </c>
      <c r="AN2001" s="246">
        <f>IFERROR(VLOOKUP(L2001,PROGRAMAS[],3,FALSE),0)</f>
        <v>31865326.38096505</v>
      </c>
      <c r="AO2001" s="246">
        <f>IFERROR(VLOOKUP(M2001,PROGRAMAS[],3,FALSE),0)</f>
        <v>118617452.52510804</v>
      </c>
      <c r="AP2001" s="246">
        <f>IFERROR(VLOOKUP(N2001,PROGRAMAS[],3,FALSE),0)</f>
        <v>2406564599.0319901</v>
      </c>
      <c r="AQ2001" s="246">
        <f>IFERROR(VLOOKUP(O2001,PROGRAMAS[],3,FALSE),0)</f>
        <v>948595847.09039903</v>
      </c>
      <c r="AR2001" s="246">
        <f>IFERROR(VLOOKUP(P2001,PROGRAMAS[],3,FALSE),0)</f>
        <v>0</v>
      </c>
      <c r="AS2001" s="246">
        <f>IFERROR(VLOOKUP(Q2001,PROGRAMAS[],3,FALSE),0)</f>
        <v>0</v>
      </c>
      <c r="AT2001" s="246">
        <f>IFERROR(VLOOKUP(D2001,VOL_REC[],2,FALSE),0)</f>
        <v>0</v>
      </c>
      <c r="AU2001" s="246">
        <f>IFERROR(VLOOKUP(E2001,VOL_REC[],2,FALSE),0)</f>
        <v>0</v>
      </c>
      <c r="AV2001" s="246">
        <f>IFERROR(VLOOKUP(F2001,VOL_REC[],2,FALSE),0)</f>
        <v>11089674.200000001</v>
      </c>
      <c r="AW2001" s="246">
        <f>IFERROR(VLOOKUP(G2001,VOL_REC[],2,FALSE),0)</f>
        <v>90439.55</v>
      </c>
      <c r="AX2001" s="246">
        <f>IFERROR(VLOOKUP(H2001,VOL_REC[],2,FALSE),0)</f>
        <v>4325103.1812214684</v>
      </c>
      <c r="AY2001" s="246">
        <f>IFERROR(VLOOKUP(I2001,VOL_REC[],2,FALSE),0)</f>
        <v>15540036.397699751</v>
      </c>
      <c r="AZ2001" s="246">
        <f>IFERROR(VLOOKUP(J2001,VOL_REC[],2,FALSE),0)</f>
        <v>3761786</v>
      </c>
      <c r="BA2001" s="246">
        <f>IFERROR(VLOOKUP(K2001,VOL_REC[],2,FALSE),0)</f>
        <v>240696.79238099116</v>
      </c>
      <c r="BB2001" s="246">
        <f>IFERROR(VLOOKUP(L2001,VOL_REC[],2,FALSE),0)</f>
        <v>17074.045034105649</v>
      </c>
      <c r="BC2001" s="246">
        <f>IFERROR(VLOOKUP(M2001,VOL_REC[],2,FALSE),0)</f>
        <v>105072</v>
      </c>
      <c r="BD2001" s="246">
        <f>IFERROR(VLOOKUP(N2001,VOL_REC[],2,FALSE),0)</f>
        <v>1072354.9981737854</v>
      </c>
      <c r="BE2001" s="246">
        <f>IFERROR(VLOOKUP(O2001,VOL_REC[],2,FALSE),0)</f>
        <v>740113.98115702497</v>
      </c>
      <c r="BF2001" s="246">
        <f>IFERROR(VLOOKUP(P2001,VOL_REC[],2,FALSE),0)</f>
        <v>0</v>
      </c>
      <c r="BG2001" s="246">
        <f>IFERROR(VLOOKUP(Q2001,VOL_REC[],2,FALSE),0)</f>
        <v>0</v>
      </c>
      <c r="BH2001" s="1710">
        <f t="shared" si="138"/>
        <v>28247191289.779613</v>
      </c>
      <c r="BI2001" s="1710">
        <f t="shared" si="139"/>
        <v>26766936083.328857</v>
      </c>
      <c r="BJ2001" s="1711">
        <f t="shared" si="140"/>
        <v>36982351.145667128</v>
      </c>
      <c r="BK2001" s="1711">
        <f t="shared" si="141"/>
        <v>1.0553016304085956</v>
      </c>
      <c r="BL2001">
        <f>BJ2001</f>
        <v>36982351.145667128</v>
      </c>
      <c r="BO2001">
        <f>BL2001</f>
        <v>36982351.145667128</v>
      </c>
    </row>
    <row r="2002" spans="3:67" x14ac:dyDescent="0.25">
      <c r="C2002" s="246" t="s">
        <v>3352</v>
      </c>
      <c r="D2002" s="246">
        <v>1</v>
      </c>
      <c r="E2002" s="246">
        <v>2</v>
      </c>
      <c r="F2002" s="246">
        <v>3</v>
      </c>
      <c r="G2002" s="246">
        <v>4</v>
      </c>
      <c r="H2002" s="246">
        <v>5</v>
      </c>
      <c r="I2002" s="246">
        <v>6</v>
      </c>
      <c r="J2002" s="246">
        <v>9</v>
      </c>
      <c r="K2002" s="246">
        <v>13</v>
      </c>
      <c r="L2002" s="246">
        <v>14</v>
      </c>
      <c r="M2002" s="246">
        <v>15</v>
      </c>
      <c r="N2002" s="246">
        <v>16</v>
      </c>
      <c r="O2002" s="246">
        <v>17</v>
      </c>
      <c r="P2002" s="246"/>
      <c r="Q2002" s="246"/>
      <c r="R2002" s="246">
        <f>IFERROR(VLOOKUP(D2002,PROGRAMAS[],2,FALSE),0)</f>
        <v>97037803.679377079</v>
      </c>
      <c r="S2002" s="246">
        <f>IFERROR(VLOOKUP(E2002,PROGRAMAS[],2,FALSE),0)</f>
        <v>640501509.6821388</v>
      </c>
      <c r="T2002" s="246">
        <f>IFERROR(VLOOKUP(F2002,PROGRAMAS[],2,FALSE),0)</f>
        <v>3062327798.1525245</v>
      </c>
      <c r="U2002" s="246">
        <f>IFERROR(VLOOKUP(G2002,PROGRAMAS[],2,FALSE),0)</f>
        <v>67697118.033011258</v>
      </c>
      <c r="V2002" s="246">
        <f>IFERROR(VLOOKUP(H2002,PROGRAMAS[],2,FALSE),0)</f>
        <v>1440941976.2528784</v>
      </c>
      <c r="W2002" s="246">
        <f>IFERROR(VLOOKUP(I2002,PROGRAMAS[],2,FALSE),0)</f>
        <v>6907648435.8447599</v>
      </c>
      <c r="X2002" s="246">
        <f>IFERROR(VLOOKUP(J2002,PROGRAMAS[],2,FALSE),0)</f>
        <v>6128579952.1618185</v>
      </c>
      <c r="Y2002" s="246">
        <f>IFERROR(VLOOKUP(K2002,PROGRAMAS[],2,FALSE),0)</f>
        <v>3776538594.4604583</v>
      </c>
      <c r="Z2002" s="246">
        <f>IFERROR(VLOOKUP(L2002,PROGRAMAS[],2,FALSE),0)</f>
        <v>54223862.645839565</v>
      </c>
      <c r="AA2002" s="246">
        <f>IFERROR(VLOOKUP(M2002,PROGRAMAS[],2,FALSE),0)</f>
        <v>122159672.96346797</v>
      </c>
      <c r="AB2002" s="246">
        <f>IFERROR(VLOOKUP(N2002,PROGRAMAS[],2,FALSE),0)</f>
        <v>7068496961.0436354</v>
      </c>
      <c r="AC2002" s="246">
        <f>IFERROR(VLOOKUP(O2002,PROGRAMAS[],2,FALSE),0)</f>
        <v>1892779498.5211046</v>
      </c>
      <c r="AD2002" s="246">
        <f>IFERROR(VLOOKUP(P2002,PROGRAMAS[],2,FALSE),0)</f>
        <v>0</v>
      </c>
      <c r="AE2002" s="246">
        <f>IFERROR(VLOOKUP(Q2002,PROGRAMAS[],2,FALSE),0)</f>
        <v>0</v>
      </c>
      <c r="AF2002" s="246">
        <f>IFERROR(VLOOKUP(D2002,PROGRAMAS[],3,FALSE),0)</f>
        <v>841888629.31080008</v>
      </c>
      <c r="AG2002" s="246">
        <f>IFERROR(VLOOKUP(E2002,PROGRAMAS[],3,FALSE),0)</f>
        <v>3848980803.1642323</v>
      </c>
      <c r="AH2002" s="246">
        <f>IFERROR(VLOOKUP(F2002,PROGRAMAS[],3,FALSE),0)</f>
        <v>3394901471.387517</v>
      </c>
      <c r="AI2002" s="246">
        <f>IFERROR(VLOOKUP(G2002,PROGRAMAS[],3,FALSE),0)</f>
        <v>125317226.95549992</v>
      </c>
      <c r="AJ2002" s="246">
        <f>IFERROR(VLOOKUP(H2002,PROGRAMAS[],3,FALSE),0)</f>
        <v>1233505101.0616004</v>
      </c>
      <c r="AK2002" s="246">
        <f>IFERROR(VLOOKUP(I2002,PROGRAMAS[],3,FALSE),0)</f>
        <v>6129902208.7912121</v>
      </c>
      <c r="AL2002" s="246">
        <f>IFERROR(VLOOKUP(J2002,PROGRAMAS[],3,FALSE),0)</f>
        <v>7011279577.519702</v>
      </c>
      <c r="AM2002" s="246">
        <f>IFERROR(VLOOKUP(K2002,PROGRAMAS[],3,FALSE),0)</f>
        <v>2392571243.5584412</v>
      </c>
      <c r="AN2002" s="246">
        <f>IFERROR(VLOOKUP(L2002,PROGRAMAS[],3,FALSE),0)</f>
        <v>31865326.38096505</v>
      </c>
      <c r="AO2002" s="246">
        <f>IFERROR(VLOOKUP(M2002,PROGRAMAS[],3,FALSE),0)</f>
        <v>118617452.52510804</v>
      </c>
      <c r="AP2002" s="246">
        <f>IFERROR(VLOOKUP(N2002,PROGRAMAS[],3,FALSE),0)</f>
        <v>2406564599.0319901</v>
      </c>
      <c r="AQ2002" s="246">
        <f>IFERROR(VLOOKUP(O2002,PROGRAMAS[],3,FALSE),0)</f>
        <v>948595847.09039903</v>
      </c>
      <c r="AR2002" s="246">
        <f>IFERROR(VLOOKUP(P2002,PROGRAMAS[],3,FALSE),0)</f>
        <v>0</v>
      </c>
      <c r="AS2002" s="246">
        <f>IFERROR(VLOOKUP(Q2002,PROGRAMAS[],3,FALSE),0)</f>
        <v>0</v>
      </c>
      <c r="AT2002" s="246">
        <f>IFERROR(VLOOKUP(D2002,VOL_REC[],2,FALSE),0)</f>
        <v>0</v>
      </c>
      <c r="AU2002" s="246">
        <f>IFERROR(VLOOKUP(E2002,VOL_REC[],2,FALSE),0)</f>
        <v>0</v>
      </c>
      <c r="AV2002" s="246">
        <f>IFERROR(VLOOKUP(F2002,VOL_REC[],2,FALSE),0)</f>
        <v>11089674.200000001</v>
      </c>
      <c r="AW2002" s="246">
        <f>IFERROR(VLOOKUP(G2002,VOL_REC[],2,FALSE),0)</f>
        <v>90439.55</v>
      </c>
      <c r="AX2002" s="246">
        <f>IFERROR(VLOOKUP(H2002,VOL_REC[],2,FALSE),0)</f>
        <v>4325103.1812214684</v>
      </c>
      <c r="AY2002" s="246">
        <f>IFERROR(VLOOKUP(I2002,VOL_REC[],2,FALSE),0)</f>
        <v>15540036.397699751</v>
      </c>
      <c r="AZ2002" s="246">
        <f>IFERROR(VLOOKUP(J2002,VOL_REC[],2,FALSE),0)</f>
        <v>3761786</v>
      </c>
      <c r="BA2002" s="246">
        <f>IFERROR(VLOOKUP(K2002,VOL_REC[],2,FALSE),0)</f>
        <v>663244.80000000016</v>
      </c>
      <c r="BB2002" s="246">
        <f>IFERROR(VLOOKUP(L2002,VOL_REC[],2,FALSE),0)</f>
        <v>17074.045034105649</v>
      </c>
      <c r="BC2002" s="246">
        <f>IFERROR(VLOOKUP(M2002,VOL_REC[],2,FALSE),0)</f>
        <v>105072</v>
      </c>
      <c r="BD2002" s="246">
        <f>IFERROR(VLOOKUP(N2002,VOL_REC[],2,FALSE),0)</f>
        <v>1072354.9981737854</v>
      </c>
      <c r="BE2002" s="246">
        <f>IFERROR(VLOOKUP(O2002,VOL_REC[],2,FALSE),0)</f>
        <v>740113.98115702497</v>
      </c>
      <c r="BF2002" s="246">
        <f>IFERROR(VLOOKUP(P2002,VOL_REC[],2,FALSE),0)</f>
        <v>0</v>
      </c>
      <c r="BG2002" s="246">
        <f>IFERROR(VLOOKUP(Q2002,VOL_REC[],2,FALSE),0)</f>
        <v>0</v>
      </c>
      <c r="BH2002" s="1710">
        <f t="shared" si="138"/>
        <v>31258933183.441013</v>
      </c>
      <c r="BI2002" s="1710">
        <f t="shared" si="139"/>
        <v>28483989486.77747</v>
      </c>
      <c r="BJ2002" s="1711">
        <f t="shared" si="140"/>
        <v>37404899.153286137</v>
      </c>
      <c r="BK2002" s="1711">
        <f t="shared" si="141"/>
        <v>1.0974211740231017</v>
      </c>
      <c r="BL2002">
        <f>BJ2002</f>
        <v>37404899.153286137</v>
      </c>
      <c r="BO2002">
        <f>BL2002</f>
        <v>37404899.153286137</v>
      </c>
    </row>
    <row r="2003" spans="3:67" x14ac:dyDescent="0.25">
      <c r="C2003" s="246" t="s">
        <v>3353</v>
      </c>
      <c r="D2003" s="246">
        <v>1</v>
      </c>
      <c r="E2003" s="246">
        <v>2</v>
      </c>
      <c r="F2003" s="246">
        <v>3</v>
      </c>
      <c r="G2003" s="246">
        <v>4</v>
      </c>
      <c r="H2003" s="246">
        <v>5</v>
      </c>
      <c r="I2003" s="246">
        <v>6</v>
      </c>
      <c r="J2003" s="246">
        <v>10</v>
      </c>
      <c r="K2003" s="246">
        <v>12</v>
      </c>
      <c r="L2003" s="246">
        <v>13</v>
      </c>
      <c r="M2003" s="246">
        <v>14</v>
      </c>
      <c r="N2003" s="246">
        <v>15</v>
      </c>
      <c r="O2003" s="246">
        <v>16</v>
      </c>
      <c r="P2003" s="246"/>
      <c r="Q2003" s="246"/>
      <c r="R2003" s="246">
        <f>IFERROR(VLOOKUP(D2003,PROGRAMAS[],2,FALSE),0)</f>
        <v>97037803.679377079</v>
      </c>
      <c r="S2003" s="246">
        <f>IFERROR(VLOOKUP(E2003,PROGRAMAS[],2,FALSE),0)</f>
        <v>640501509.6821388</v>
      </c>
      <c r="T2003" s="246">
        <f>IFERROR(VLOOKUP(F2003,PROGRAMAS[],2,FALSE),0)</f>
        <v>3062327798.1525245</v>
      </c>
      <c r="U2003" s="246">
        <f>IFERROR(VLOOKUP(G2003,PROGRAMAS[],2,FALSE),0)</f>
        <v>67697118.033011258</v>
      </c>
      <c r="V2003" s="246">
        <f>IFERROR(VLOOKUP(H2003,PROGRAMAS[],2,FALSE),0)</f>
        <v>1440941976.2528784</v>
      </c>
      <c r="W2003" s="246">
        <f>IFERROR(VLOOKUP(I2003,PROGRAMAS[],2,FALSE),0)</f>
        <v>6907648435.8447599</v>
      </c>
      <c r="X2003" s="246">
        <f>IFERROR(VLOOKUP(J2003,PROGRAMAS[],2,FALSE),0)</f>
        <v>4635315027.8751087</v>
      </c>
      <c r="Y2003" s="246">
        <f>IFERROR(VLOOKUP(K2003,PROGRAMAS[],2,FALSE),0)</f>
        <v>764796700.79905891</v>
      </c>
      <c r="Z2003" s="246">
        <f>IFERROR(VLOOKUP(L2003,PROGRAMAS[],2,FALSE),0)</f>
        <v>3776538594.4604583</v>
      </c>
      <c r="AA2003" s="246">
        <f>IFERROR(VLOOKUP(M2003,PROGRAMAS[],2,FALSE),0)</f>
        <v>54223862.645839565</v>
      </c>
      <c r="AB2003" s="246">
        <f>IFERROR(VLOOKUP(N2003,PROGRAMAS[],2,FALSE),0)</f>
        <v>122159672.96346797</v>
      </c>
      <c r="AC2003" s="246">
        <f>IFERROR(VLOOKUP(O2003,PROGRAMAS[],2,FALSE),0)</f>
        <v>7068496961.0436354</v>
      </c>
      <c r="AD2003" s="246">
        <f>IFERROR(VLOOKUP(P2003,PROGRAMAS[],2,FALSE),0)</f>
        <v>0</v>
      </c>
      <c r="AE2003" s="246">
        <f>IFERROR(VLOOKUP(Q2003,PROGRAMAS[],2,FALSE),0)</f>
        <v>0</v>
      </c>
      <c r="AF2003" s="246">
        <f>IFERROR(VLOOKUP(D2003,PROGRAMAS[],3,FALSE),0)</f>
        <v>841888629.31080008</v>
      </c>
      <c r="AG2003" s="246">
        <f>IFERROR(VLOOKUP(E2003,PROGRAMAS[],3,FALSE),0)</f>
        <v>3848980803.1642323</v>
      </c>
      <c r="AH2003" s="246">
        <f>IFERROR(VLOOKUP(F2003,PROGRAMAS[],3,FALSE),0)</f>
        <v>3394901471.387517</v>
      </c>
      <c r="AI2003" s="246">
        <f>IFERROR(VLOOKUP(G2003,PROGRAMAS[],3,FALSE),0)</f>
        <v>125317226.95549992</v>
      </c>
      <c r="AJ2003" s="246">
        <f>IFERROR(VLOOKUP(H2003,PROGRAMAS[],3,FALSE),0)</f>
        <v>1233505101.0616004</v>
      </c>
      <c r="AK2003" s="246">
        <f>IFERROR(VLOOKUP(I2003,PROGRAMAS[],3,FALSE),0)</f>
        <v>6129902208.7912121</v>
      </c>
      <c r="AL2003" s="246">
        <f>IFERROR(VLOOKUP(J2003,PROGRAMAS[],3,FALSE),0)</f>
        <v>4099471734.9978786</v>
      </c>
      <c r="AM2003" s="246">
        <f>IFERROR(VLOOKUP(K2003,PROGRAMAS[],3,FALSE),0)</f>
        <v>675517840.109828</v>
      </c>
      <c r="AN2003" s="246">
        <f>IFERROR(VLOOKUP(L2003,PROGRAMAS[],3,FALSE),0)</f>
        <v>2392571243.5584412</v>
      </c>
      <c r="AO2003" s="246">
        <f>IFERROR(VLOOKUP(M2003,PROGRAMAS[],3,FALSE),0)</f>
        <v>31865326.38096505</v>
      </c>
      <c r="AP2003" s="246">
        <f>IFERROR(VLOOKUP(N2003,PROGRAMAS[],3,FALSE),0)</f>
        <v>118617452.52510804</v>
      </c>
      <c r="AQ2003" s="246">
        <f>IFERROR(VLOOKUP(O2003,PROGRAMAS[],3,FALSE),0)</f>
        <v>2406564599.0319901</v>
      </c>
      <c r="AR2003" s="246">
        <f>IFERROR(VLOOKUP(P2003,PROGRAMAS[],3,FALSE),0)</f>
        <v>0</v>
      </c>
      <c r="AS2003" s="246">
        <f>IFERROR(VLOOKUP(Q2003,PROGRAMAS[],3,FALSE),0)</f>
        <v>0</v>
      </c>
      <c r="AT2003" s="246">
        <f>IFERROR(VLOOKUP(D2003,VOL_REC[],2,FALSE),0)</f>
        <v>0</v>
      </c>
      <c r="AU2003" s="246">
        <f>IFERROR(VLOOKUP(E2003,VOL_REC[],2,FALSE),0)</f>
        <v>0</v>
      </c>
      <c r="AV2003" s="246">
        <f>IFERROR(VLOOKUP(F2003,VOL_REC[],2,FALSE),0)</f>
        <v>11089674.200000001</v>
      </c>
      <c r="AW2003" s="246">
        <f>IFERROR(VLOOKUP(G2003,VOL_REC[],2,FALSE),0)</f>
        <v>90439.55</v>
      </c>
      <c r="AX2003" s="246">
        <f>IFERROR(VLOOKUP(H2003,VOL_REC[],2,FALSE),0)</f>
        <v>4325103.1812214684</v>
      </c>
      <c r="AY2003" s="246">
        <f>IFERROR(VLOOKUP(I2003,VOL_REC[],2,FALSE),0)</f>
        <v>15540036.397699751</v>
      </c>
      <c r="AZ2003" s="246">
        <f>IFERROR(VLOOKUP(J2003,VOL_REC[],2,FALSE),0)</f>
        <v>1812240</v>
      </c>
      <c r="BA2003" s="246">
        <f>IFERROR(VLOOKUP(K2003,VOL_REC[],2,FALSE),0)</f>
        <v>240696.79238099116</v>
      </c>
      <c r="BB2003" s="246">
        <f>IFERROR(VLOOKUP(L2003,VOL_REC[],2,FALSE),0)</f>
        <v>663244.80000000016</v>
      </c>
      <c r="BC2003" s="246">
        <f>IFERROR(VLOOKUP(M2003,VOL_REC[],2,FALSE),0)</f>
        <v>17074.045034105649</v>
      </c>
      <c r="BD2003" s="246">
        <f>IFERROR(VLOOKUP(N2003,VOL_REC[],2,FALSE),0)</f>
        <v>105072</v>
      </c>
      <c r="BE2003" s="246">
        <f>IFERROR(VLOOKUP(O2003,VOL_REC[],2,FALSE),0)</f>
        <v>1072354.9981737854</v>
      </c>
      <c r="BF2003" s="246">
        <f>IFERROR(VLOOKUP(P2003,VOL_REC[],2,FALSE),0)</f>
        <v>0</v>
      </c>
      <c r="BG2003" s="246">
        <f>IFERROR(VLOOKUP(Q2003,VOL_REC[],2,FALSE),0)</f>
        <v>0</v>
      </c>
      <c r="BH2003" s="1710">
        <f t="shared" si="138"/>
        <v>28637685461.432259</v>
      </c>
      <c r="BI2003" s="1710">
        <f t="shared" si="139"/>
        <v>25299103637.275074</v>
      </c>
      <c r="BJ2003" s="1711">
        <f t="shared" si="140"/>
        <v>34955935.964510106</v>
      </c>
      <c r="BK2003" s="1711">
        <f t="shared" si="141"/>
        <v>1.1319644313104518</v>
      </c>
      <c r="BL2003">
        <f>BJ2003</f>
        <v>34955935.964510106</v>
      </c>
      <c r="BO2003">
        <f>BL2003</f>
        <v>34955935.964510106</v>
      </c>
    </row>
    <row r="2004" spans="3:67" x14ac:dyDescent="0.25">
      <c r="C2004" s="246" t="s">
        <v>3354</v>
      </c>
      <c r="D2004" s="246">
        <v>1</v>
      </c>
      <c r="E2004" s="246">
        <v>2</v>
      </c>
      <c r="F2004" s="246">
        <v>3</v>
      </c>
      <c r="G2004" s="246">
        <v>4</v>
      </c>
      <c r="H2004" s="246">
        <v>5</v>
      </c>
      <c r="I2004" s="246">
        <v>6</v>
      </c>
      <c r="J2004" s="246">
        <v>10</v>
      </c>
      <c r="K2004" s="246">
        <v>12</v>
      </c>
      <c r="L2004" s="246">
        <v>13</v>
      </c>
      <c r="M2004" s="246">
        <v>14</v>
      </c>
      <c r="N2004" s="246">
        <v>15</v>
      </c>
      <c r="O2004" s="246">
        <v>17</v>
      </c>
      <c r="P2004" s="246"/>
      <c r="Q2004" s="246"/>
      <c r="R2004" s="246">
        <f>IFERROR(VLOOKUP(D2004,PROGRAMAS[],2,FALSE),0)</f>
        <v>97037803.679377079</v>
      </c>
      <c r="S2004" s="246">
        <f>IFERROR(VLOOKUP(E2004,PROGRAMAS[],2,FALSE),0)</f>
        <v>640501509.6821388</v>
      </c>
      <c r="T2004" s="246">
        <f>IFERROR(VLOOKUP(F2004,PROGRAMAS[],2,FALSE),0)</f>
        <v>3062327798.1525245</v>
      </c>
      <c r="U2004" s="246">
        <f>IFERROR(VLOOKUP(G2004,PROGRAMAS[],2,FALSE),0)</f>
        <v>67697118.033011258</v>
      </c>
      <c r="V2004" s="246">
        <f>IFERROR(VLOOKUP(H2004,PROGRAMAS[],2,FALSE),0)</f>
        <v>1440941976.2528784</v>
      </c>
      <c r="W2004" s="246">
        <f>IFERROR(VLOOKUP(I2004,PROGRAMAS[],2,FALSE),0)</f>
        <v>6907648435.8447599</v>
      </c>
      <c r="X2004" s="246">
        <f>IFERROR(VLOOKUP(J2004,PROGRAMAS[],2,FALSE),0)</f>
        <v>4635315027.8751087</v>
      </c>
      <c r="Y2004" s="246">
        <f>IFERROR(VLOOKUP(K2004,PROGRAMAS[],2,FALSE),0)</f>
        <v>764796700.79905891</v>
      </c>
      <c r="Z2004" s="246">
        <f>IFERROR(VLOOKUP(L2004,PROGRAMAS[],2,FALSE),0)</f>
        <v>3776538594.4604583</v>
      </c>
      <c r="AA2004" s="246">
        <f>IFERROR(VLOOKUP(M2004,PROGRAMAS[],2,FALSE),0)</f>
        <v>54223862.645839565</v>
      </c>
      <c r="AB2004" s="246">
        <f>IFERROR(VLOOKUP(N2004,PROGRAMAS[],2,FALSE),0)</f>
        <v>122159672.96346797</v>
      </c>
      <c r="AC2004" s="246">
        <f>IFERROR(VLOOKUP(O2004,PROGRAMAS[],2,FALSE),0)</f>
        <v>1892779498.5211046</v>
      </c>
      <c r="AD2004" s="246">
        <f>IFERROR(VLOOKUP(P2004,PROGRAMAS[],2,FALSE),0)</f>
        <v>0</v>
      </c>
      <c r="AE2004" s="246">
        <f>IFERROR(VLOOKUP(Q2004,PROGRAMAS[],2,FALSE),0)</f>
        <v>0</v>
      </c>
      <c r="AF2004" s="246">
        <f>IFERROR(VLOOKUP(D2004,PROGRAMAS[],3,FALSE),0)</f>
        <v>841888629.31080008</v>
      </c>
      <c r="AG2004" s="246">
        <f>IFERROR(VLOOKUP(E2004,PROGRAMAS[],3,FALSE),0)</f>
        <v>3848980803.1642323</v>
      </c>
      <c r="AH2004" s="246">
        <f>IFERROR(VLOOKUP(F2004,PROGRAMAS[],3,FALSE),0)</f>
        <v>3394901471.387517</v>
      </c>
      <c r="AI2004" s="246">
        <f>IFERROR(VLOOKUP(G2004,PROGRAMAS[],3,FALSE),0)</f>
        <v>125317226.95549992</v>
      </c>
      <c r="AJ2004" s="246">
        <f>IFERROR(VLOOKUP(H2004,PROGRAMAS[],3,FALSE),0)</f>
        <v>1233505101.0616004</v>
      </c>
      <c r="AK2004" s="246">
        <f>IFERROR(VLOOKUP(I2004,PROGRAMAS[],3,FALSE),0)</f>
        <v>6129902208.7912121</v>
      </c>
      <c r="AL2004" s="246">
        <f>IFERROR(VLOOKUP(J2004,PROGRAMAS[],3,FALSE),0)</f>
        <v>4099471734.9978786</v>
      </c>
      <c r="AM2004" s="246">
        <f>IFERROR(VLOOKUP(K2004,PROGRAMAS[],3,FALSE),0)</f>
        <v>675517840.109828</v>
      </c>
      <c r="AN2004" s="246">
        <f>IFERROR(VLOOKUP(L2004,PROGRAMAS[],3,FALSE),0)</f>
        <v>2392571243.5584412</v>
      </c>
      <c r="AO2004" s="246">
        <f>IFERROR(VLOOKUP(M2004,PROGRAMAS[],3,FALSE),0)</f>
        <v>31865326.38096505</v>
      </c>
      <c r="AP2004" s="246">
        <f>IFERROR(VLOOKUP(N2004,PROGRAMAS[],3,FALSE),0)</f>
        <v>118617452.52510804</v>
      </c>
      <c r="AQ2004" s="246">
        <f>IFERROR(VLOOKUP(O2004,PROGRAMAS[],3,FALSE),0)</f>
        <v>948595847.09039903</v>
      </c>
      <c r="AR2004" s="246">
        <f>IFERROR(VLOOKUP(P2004,PROGRAMAS[],3,FALSE),0)</f>
        <v>0</v>
      </c>
      <c r="AS2004" s="246">
        <f>IFERROR(VLOOKUP(Q2004,PROGRAMAS[],3,FALSE),0)</f>
        <v>0</v>
      </c>
      <c r="AT2004" s="246">
        <f>IFERROR(VLOOKUP(D2004,VOL_REC[],2,FALSE),0)</f>
        <v>0</v>
      </c>
      <c r="AU2004" s="246">
        <f>IFERROR(VLOOKUP(E2004,VOL_REC[],2,FALSE),0)</f>
        <v>0</v>
      </c>
      <c r="AV2004" s="246">
        <f>IFERROR(VLOOKUP(F2004,VOL_REC[],2,FALSE),0)</f>
        <v>11089674.200000001</v>
      </c>
      <c r="AW2004" s="246">
        <f>IFERROR(VLOOKUP(G2004,VOL_REC[],2,FALSE),0)</f>
        <v>90439.55</v>
      </c>
      <c r="AX2004" s="246">
        <f>IFERROR(VLOOKUP(H2004,VOL_REC[],2,FALSE),0)</f>
        <v>4325103.1812214684</v>
      </c>
      <c r="AY2004" s="246">
        <f>IFERROR(VLOOKUP(I2004,VOL_REC[],2,FALSE),0)</f>
        <v>15540036.397699751</v>
      </c>
      <c r="AZ2004" s="246">
        <f>IFERROR(VLOOKUP(J2004,VOL_REC[],2,FALSE),0)</f>
        <v>1812240</v>
      </c>
      <c r="BA2004" s="246">
        <f>IFERROR(VLOOKUP(K2004,VOL_REC[],2,FALSE),0)</f>
        <v>240696.79238099116</v>
      </c>
      <c r="BB2004" s="246">
        <f>IFERROR(VLOOKUP(L2004,VOL_REC[],2,FALSE),0)</f>
        <v>663244.80000000016</v>
      </c>
      <c r="BC2004" s="246">
        <f>IFERROR(VLOOKUP(M2004,VOL_REC[],2,FALSE),0)</f>
        <v>17074.045034105649</v>
      </c>
      <c r="BD2004" s="246">
        <f>IFERROR(VLOOKUP(N2004,VOL_REC[],2,FALSE),0)</f>
        <v>105072</v>
      </c>
      <c r="BE2004" s="246">
        <f>IFERROR(VLOOKUP(O2004,VOL_REC[],2,FALSE),0)</f>
        <v>740113.98115702497</v>
      </c>
      <c r="BF2004" s="246">
        <f>IFERROR(VLOOKUP(P2004,VOL_REC[],2,FALSE),0)</f>
        <v>0</v>
      </c>
      <c r="BG2004" s="246">
        <f>IFERROR(VLOOKUP(Q2004,VOL_REC[],2,FALSE),0)</f>
        <v>0</v>
      </c>
      <c r="BH2004" s="1710">
        <f t="shared" si="138"/>
        <v>23461967998.909725</v>
      </c>
      <c r="BI2004" s="1710">
        <f t="shared" si="139"/>
        <v>23841134885.333485</v>
      </c>
      <c r="BJ2004" s="1711">
        <f t="shared" si="140"/>
        <v>34623694.947493345</v>
      </c>
      <c r="BK2004" s="1711">
        <f t="shared" si="141"/>
        <v>0.98409610581679929</v>
      </c>
    </row>
    <row r="2005" spans="3:67" x14ac:dyDescent="0.25">
      <c r="C2005" s="246" t="s">
        <v>3355</v>
      </c>
      <c r="D2005" s="246">
        <v>1</v>
      </c>
      <c r="E2005" s="246">
        <v>2</v>
      </c>
      <c r="F2005" s="246">
        <v>3</v>
      </c>
      <c r="G2005" s="246">
        <v>4</v>
      </c>
      <c r="H2005" s="246">
        <v>5</v>
      </c>
      <c r="I2005" s="246">
        <v>6</v>
      </c>
      <c r="J2005" s="246">
        <v>10</v>
      </c>
      <c r="K2005" s="246">
        <v>12</v>
      </c>
      <c r="L2005" s="246">
        <v>13</v>
      </c>
      <c r="M2005" s="246">
        <v>14</v>
      </c>
      <c r="N2005" s="246">
        <v>16</v>
      </c>
      <c r="O2005" s="246">
        <v>17</v>
      </c>
      <c r="P2005" s="246"/>
      <c r="Q2005" s="246"/>
      <c r="R2005" s="246">
        <f>IFERROR(VLOOKUP(D2005,PROGRAMAS[],2,FALSE),0)</f>
        <v>97037803.679377079</v>
      </c>
      <c r="S2005" s="246">
        <f>IFERROR(VLOOKUP(E2005,PROGRAMAS[],2,FALSE),0)</f>
        <v>640501509.6821388</v>
      </c>
      <c r="T2005" s="246">
        <f>IFERROR(VLOOKUP(F2005,PROGRAMAS[],2,FALSE),0)</f>
        <v>3062327798.1525245</v>
      </c>
      <c r="U2005" s="246">
        <f>IFERROR(VLOOKUP(G2005,PROGRAMAS[],2,FALSE),0)</f>
        <v>67697118.033011258</v>
      </c>
      <c r="V2005" s="246">
        <f>IFERROR(VLOOKUP(H2005,PROGRAMAS[],2,FALSE),0)</f>
        <v>1440941976.2528784</v>
      </c>
      <c r="W2005" s="246">
        <f>IFERROR(VLOOKUP(I2005,PROGRAMAS[],2,FALSE),0)</f>
        <v>6907648435.8447599</v>
      </c>
      <c r="X2005" s="246">
        <f>IFERROR(VLOOKUP(J2005,PROGRAMAS[],2,FALSE),0)</f>
        <v>4635315027.8751087</v>
      </c>
      <c r="Y2005" s="246">
        <f>IFERROR(VLOOKUP(K2005,PROGRAMAS[],2,FALSE),0)</f>
        <v>764796700.79905891</v>
      </c>
      <c r="Z2005" s="246">
        <f>IFERROR(VLOOKUP(L2005,PROGRAMAS[],2,FALSE),0)</f>
        <v>3776538594.4604583</v>
      </c>
      <c r="AA2005" s="246">
        <f>IFERROR(VLOOKUP(M2005,PROGRAMAS[],2,FALSE),0)</f>
        <v>54223862.645839565</v>
      </c>
      <c r="AB2005" s="246">
        <f>IFERROR(VLOOKUP(N2005,PROGRAMAS[],2,FALSE),0)</f>
        <v>7068496961.0436354</v>
      </c>
      <c r="AC2005" s="246">
        <f>IFERROR(VLOOKUP(O2005,PROGRAMAS[],2,FALSE),0)</f>
        <v>1892779498.5211046</v>
      </c>
      <c r="AD2005" s="246">
        <f>IFERROR(VLOOKUP(P2005,PROGRAMAS[],2,FALSE),0)</f>
        <v>0</v>
      </c>
      <c r="AE2005" s="246">
        <f>IFERROR(VLOOKUP(Q2005,PROGRAMAS[],2,FALSE),0)</f>
        <v>0</v>
      </c>
      <c r="AF2005" s="246">
        <f>IFERROR(VLOOKUP(D2005,PROGRAMAS[],3,FALSE),0)</f>
        <v>841888629.31080008</v>
      </c>
      <c r="AG2005" s="246">
        <f>IFERROR(VLOOKUP(E2005,PROGRAMAS[],3,FALSE),0)</f>
        <v>3848980803.1642323</v>
      </c>
      <c r="AH2005" s="246">
        <f>IFERROR(VLOOKUP(F2005,PROGRAMAS[],3,FALSE),0)</f>
        <v>3394901471.387517</v>
      </c>
      <c r="AI2005" s="246">
        <f>IFERROR(VLOOKUP(G2005,PROGRAMAS[],3,FALSE),0)</f>
        <v>125317226.95549992</v>
      </c>
      <c r="AJ2005" s="246">
        <f>IFERROR(VLOOKUP(H2005,PROGRAMAS[],3,FALSE),0)</f>
        <v>1233505101.0616004</v>
      </c>
      <c r="AK2005" s="246">
        <f>IFERROR(VLOOKUP(I2005,PROGRAMAS[],3,FALSE),0)</f>
        <v>6129902208.7912121</v>
      </c>
      <c r="AL2005" s="246">
        <f>IFERROR(VLOOKUP(J2005,PROGRAMAS[],3,FALSE),0)</f>
        <v>4099471734.9978786</v>
      </c>
      <c r="AM2005" s="246">
        <f>IFERROR(VLOOKUP(K2005,PROGRAMAS[],3,FALSE),0)</f>
        <v>675517840.109828</v>
      </c>
      <c r="AN2005" s="246">
        <f>IFERROR(VLOOKUP(L2005,PROGRAMAS[],3,FALSE),0)</f>
        <v>2392571243.5584412</v>
      </c>
      <c r="AO2005" s="246">
        <f>IFERROR(VLOOKUP(M2005,PROGRAMAS[],3,FALSE),0)</f>
        <v>31865326.38096505</v>
      </c>
      <c r="AP2005" s="246">
        <f>IFERROR(VLOOKUP(N2005,PROGRAMAS[],3,FALSE),0)</f>
        <v>2406564599.0319901</v>
      </c>
      <c r="AQ2005" s="246">
        <f>IFERROR(VLOOKUP(O2005,PROGRAMAS[],3,FALSE),0)</f>
        <v>948595847.09039903</v>
      </c>
      <c r="AR2005" s="246">
        <f>IFERROR(VLOOKUP(P2005,PROGRAMAS[],3,FALSE),0)</f>
        <v>0</v>
      </c>
      <c r="AS2005" s="246">
        <f>IFERROR(VLOOKUP(Q2005,PROGRAMAS[],3,FALSE),0)</f>
        <v>0</v>
      </c>
      <c r="AT2005" s="246">
        <f>IFERROR(VLOOKUP(D2005,VOL_REC[],2,FALSE),0)</f>
        <v>0</v>
      </c>
      <c r="AU2005" s="246">
        <f>IFERROR(VLOOKUP(E2005,VOL_REC[],2,FALSE),0)</f>
        <v>0</v>
      </c>
      <c r="AV2005" s="246">
        <f>IFERROR(VLOOKUP(F2005,VOL_REC[],2,FALSE),0)</f>
        <v>11089674.200000001</v>
      </c>
      <c r="AW2005" s="246">
        <f>IFERROR(VLOOKUP(G2005,VOL_REC[],2,FALSE),0)</f>
        <v>90439.55</v>
      </c>
      <c r="AX2005" s="246">
        <f>IFERROR(VLOOKUP(H2005,VOL_REC[],2,FALSE),0)</f>
        <v>4325103.1812214684</v>
      </c>
      <c r="AY2005" s="246">
        <f>IFERROR(VLOOKUP(I2005,VOL_REC[],2,FALSE),0)</f>
        <v>15540036.397699751</v>
      </c>
      <c r="AZ2005" s="246">
        <f>IFERROR(VLOOKUP(J2005,VOL_REC[],2,FALSE),0)</f>
        <v>1812240</v>
      </c>
      <c r="BA2005" s="246">
        <f>IFERROR(VLOOKUP(K2005,VOL_REC[],2,FALSE),0)</f>
        <v>240696.79238099116</v>
      </c>
      <c r="BB2005" s="246">
        <f>IFERROR(VLOOKUP(L2005,VOL_REC[],2,FALSE),0)</f>
        <v>663244.80000000016</v>
      </c>
      <c r="BC2005" s="246">
        <f>IFERROR(VLOOKUP(M2005,VOL_REC[],2,FALSE),0)</f>
        <v>17074.045034105649</v>
      </c>
      <c r="BD2005" s="246">
        <f>IFERROR(VLOOKUP(N2005,VOL_REC[],2,FALSE),0)</f>
        <v>1072354.9981737854</v>
      </c>
      <c r="BE2005" s="246">
        <f>IFERROR(VLOOKUP(O2005,VOL_REC[],2,FALSE),0)</f>
        <v>740113.98115702497</v>
      </c>
      <c r="BF2005" s="246">
        <f>IFERROR(VLOOKUP(P2005,VOL_REC[],2,FALSE),0)</f>
        <v>0</v>
      </c>
      <c r="BG2005" s="246">
        <f>IFERROR(VLOOKUP(Q2005,VOL_REC[],2,FALSE),0)</f>
        <v>0</v>
      </c>
      <c r="BH2005" s="1710">
        <f t="shared" si="138"/>
        <v>30408305286.989895</v>
      </c>
      <c r="BI2005" s="1710">
        <f t="shared" si="139"/>
        <v>26129082031.840366</v>
      </c>
      <c r="BJ2005" s="1711">
        <f t="shared" si="140"/>
        <v>35590977.945667133</v>
      </c>
      <c r="BK2005" s="1711">
        <f t="shared" si="141"/>
        <v>1.1637724298899959</v>
      </c>
      <c r="BL2005">
        <f t="shared" ref="BL2005:BL2010" si="142">BJ2005</f>
        <v>35590977.945667133</v>
      </c>
      <c r="BO2005">
        <f t="shared" ref="BO2005:BO2010" si="143">BL2005</f>
        <v>35590977.945667133</v>
      </c>
    </row>
    <row r="2006" spans="3:67" x14ac:dyDescent="0.25">
      <c r="C2006" s="246" t="s">
        <v>3356</v>
      </c>
      <c r="D2006" s="246">
        <v>1</v>
      </c>
      <c r="E2006" s="246">
        <v>2</v>
      </c>
      <c r="F2006" s="246">
        <v>3</v>
      </c>
      <c r="G2006" s="246">
        <v>4</v>
      </c>
      <c r="H2006" s="246">
        <v>5</v>
      </c>
      <c r="I2006" s="246">
        <v>6</v>
      </c>
      <c r="J2006" s="246">
        <v>10</v>
      </c>
      <c r="K2006" s="246">
        <v>12</v>
      </c>
      <c r="L2006" s="246">
        <v>13</v>
      </c>
      <c r="M2006" s="246">
        <v>15</v>
      </c>
      <c r="N2006" s="246">
        <v>16</v>
      </c>
      <c r="O2006" s="246">
        <v>17</v>
      </c>
      <c r="P2006" s="246"/>
      <c r="Q2006" s="246"/>
      <c r="R2006" s="246">
        <f>IFERROR(VLOOKUP(D2006,PROGRAMAS[],2,FALSE),0)</f>
        <v>97037803.679377079</v>
      </c>
      <c r="S2006" s="246">
        <f>IFERROR(VLOOKUP(E2006,PROGRAMAS[],2,FALSE),0)</f>
        <v>640501509.6821388</v>
      </c>
      <c r="T2006" s="246">
        <f>IFERROR(VLOOKUP(F2006,PROGRAMAS[],2,FALSE),0)</f>
        <v>3062327798.1525245</v>
      </c>
      <c r="U2006" s="246">
        <f>IFERROR(VLOOKUP(G2006,PROGRAMAS[],2,FALSE),0)</f>
        <v>67697118.033011258</v>
      </c>
      <c r="V2006" s="246">
        <f>IFERROR(VLOOKUP(H2006,PROGRAMAS[],2,FALSE),0)</f>
        <v>1440941976.2528784</v>
      </c>
      <c r="W2006" s="246">
        <f>IFERROR(VLOOKUP(I2006,PROGRAMAS[],2,FALSE),0)</f>
        <v>6907648435.8447599</v>
      </c>
      <c r="X2006" s="246">
        <f>IFERROR(VLOOKUP(J2006,PROGRAMAS[],2,FALSE),0)</f>
        <v>4635315027.8751087</v>
      </c>
      <c r="Y2006" s="246">
        <f>IFERROR(VLOOKUP(K2006,PROGRAMAS[],2,FALSE),0)</f>
        <v>764796700.79905891</v>
      </c>
      <c r="Z2006" s="246">
        <f>IFERROR(VLOOKUP(L2006,PROGRAMAS[],2,FALSE),0)</f>
        <v>3776538594.4604583</v>
      </c>
      <c r="AA2006" s="246">
        <f>IFERROR(VLOOKUP(M2006,PROGRAMAS[],2,FALSE),0)</f>
        <v>122159672.96346797</v>
      </c>
      <c r="AB2006" s="246">
        <f>IFERROR(VLOOKUP(N2006,PROGRAMAS[],2,FALSE),0)</f>
        <v>7068496961.0436354</v>
      </c>
      <c r="AC2006" s="246">
        <f>IFERROR(VLOOKUP(O2006,PROGRAMAS[],2,FALSE),0)</f>
        <v>1892779498.5211046</v>
      </c>
      <c r="AD2006" s="246">
        <f>IFERROR(VLOOKUP(P2006,PROGRAMAS[],2,FALSE),0)</f>
        <v>0</v>
      </c>
      <c r="AE2006" s="246">
        <f>IFERROR(VLOOKUP(Q2006,PROGRAMAS[],2,FALSE),0)</f>
        <v>0</v>
      </c>
      <c r="AF2006" s="246">
        <f>IFERROR(VLOOKUP(D2006,PROGRAMAS[],3,FALSE),0)</f>
        <v>841888629.31080008</v>
      </c>
      <c r="AG2006" s="246">
        <f>IFERROR(VLOOKUP(E2006,PROGRAMAS[],3,FALSE),0)</f>
        <v>3848980803.1642323</v>
      </c>
      <c r="AH2006" s="246">
        <f>IFERROR(VLOOKUP(F2006,PROGRAMAS[],3,FALSE),0)</f>
        <v>3394901471.387517</v>
      </c>
      <c r="AI2006" s="246">
        <f>IFERROR(VLOOKUP(G2006,PROGRAMAS[],3,FALSE),0)</f>
        <v>125317226.95549992</v>
      </c>
      <c r="AJ2006" s="246">
        <f>IFERROR(VLOOKUP(H2006,PROGRAMAS[],3,FALSE),0)</f>
        <v>1233505101.0616004</v>
      </c>
      <c r="AK2006" s="246">
        <f>IFERROR(VLOOKUP(I2006,PROGRAMAS[],3,FALSE),0)</f>
        <v>6129902208.7912121</v>
      </c>
      <c r="AL2006" s="246">
        <f>IFERROR(VLOOKUP(J2006,PROGRAMAS[],3,FALSE),0)</f>
        <v>4099471734.9978786</v>
      </c>
      <c r="AM2006" s="246">
        <f>IFERROR(VLOOKUP(K2006,PROGRAMAS[],3,FALSE),0)</f>
        <v>675517840.109828</v>
      </c>
      <c r="AN2006" s="246">
        <f>IFERROR(VLOOKUP(L2006,PROGRAMAS[],3,FALSE),0)</f>
        <v>2392571243.5584412</v>
      </c>
      <c r="AO2006" s="246">
        <f>IFERROR(VLOOKUP(M2006,PROGRAMAS[],3,FALSE),0)</f>
        <v>118617452.52510804</v>
      </c>
      <c r="AP2006" s="246">
        <f>IFERROR(VLOOKUP(N2006,PROGRAMAS[],3,FALSE),0)</f>
        <v>2406564599.0319901</v>
      </c>
      <c r="AQ2006" s="246">
        <f>IFERROR(VLOOKUP(O2006,PROGRAMAS[],3,FALSE),0)</f>
        <v>948595847.09039903</v>
      </c>
      <c r="AR2006" s="246">
        <f>IFERROR(VLOOKUP(P2006,PROGRAMAS[],3,FALSE),0)</f>
        <v>0</v>
      </c>
      <c r="AS2006" s="246">
        <f>IFERROR(VLOOKUP(Q2006,PROGRAMAS[],3,FALSE),0)</f>
        <v>0</v>
      </c>
      <c r="AT2006" s="246">
        <f>IFERROR(VLOOKUP(D2006,VOL_REC[],2,FALSE),0)</f>
        <v>0</v>
      </c>
      <c r="AU2006" s="246">
        <f>IFERROR(VLOOKUP(E2006,VOL_REC[],2,FALSE),0)</f>
        <v>0</v>
      </c>
      <c r="AV2006" s="246">
        <f>IFERROR(VLOOKUP(F2006,VOL_REC[],2,FALSE),0)</f>
        <v>11089674.200000001</v>
      </c>
      <c r="AW2006" s="246">
        <f>IFERROR(VLOOKUP(G2006,VOL_REC[],2,FALSE),0)</f>
        <v>90439.55</v>
      </c>
      <c r="AX2006" s="246">
        <f>IFERROR(VLOOKUP(H2006,VOL_REC[],2,FALSE),0)</f>
        <v>4325103.1812214684</v>
      </c>
      <c r="AY2006" s="246">
        <f>IFERROR(VLOOKUP(I2006,VOL_REC[],2,FALSE),0)</f>
        <v>15540036.397699751</v>
      </c>
      <c r="AZ2006" s="246">
        <f>IFERROR(VLOOKUP(J2006,VOL_REC[],2,FALSE),0)</f>
        <v>1812240</v>
      </c>
      <c r="BA2006" s="246">
        <f>IFERROR(VLOOKUP(K2006,VOL_REC[],2,FALSE),0)</f>
        <v>240696.79238099116</v>
      </c>
      <c r="BB2006" s="246">
        <f>IFERROR(VLOOKUP(L2006,VOL_REC[],2,FALSE),0)</f>
        <v>663244.80000000016</v>
      </c>
      <c r="BC2006" s="246">
        <f>IFERROR(VLOOKUP(M2006,VOL_REC[],2,FALSE),0)</f>
        <v>105072</v>
      </c>
      <c r="BD2006" s="246">
        <f>IFERROR(VLOOKUP(N2006,VOL_REC[],2,FALSE),0)</f>
        <v>1072354.9981737854</v>
      </c>
      <c r="BE2006" s="246">
        <f>IFERROR(VLOOKUP(O2006,VOL_REC[],2,FALSE),0)</f>
        <v>740113.98115702497</v>
      </c>
      <c r="BF2006" s="246">
        <f>IFERROR(VLOOKUP(P2006,VOL_REC[],2,FALSE),0)</f>
        <v>0</v>
      </c>
      <c r="BG2006" s="246">
        <f>IFERROR(VLOOKUP(Q2006,VOL_REC[],2,FALSE),0)</f>
        <v>0</v>
      </c>
      <c r="BH2006" s="1710">
        <f t="shared" si="138"/>
        <v>30476241097.307522</v>
      </c>
      <c r="BI2006" s="1710">
        <f t="shared" si="139"/>
        <v>26215834157.984509</v>
      </c>
      <c r="BJ2006" s="1711">
        <f t="shared" si="140"/>
        <v>35678975.90063303</v>
      </c>
      <c r="BK2006" s="1711">
        <f t="shared" si="141"/>
        <v>1.1625127361444429</v>
      </c>
      <c r="BL2006">
        <f t="shared" si="142"/>
        <v>35678975.90063303</v>
      </c>
      <c r="BO2006">
        <f t="shared" si="143"/>
        <v>35678975.90063303</v>
      </c>
    </row>
    <row r="2007" spans="3:67" x14ac:dyDescent="0.25">
      <c r="C2007" s="246" t="s">
        <v>3357</v>
      </c>
      <c r="D2007" s="246">
        <v>1</v>
      </c>
      <c r="E2007" s="246">
        <v>2</v>
      </c>
      <c r="F2007" s="246">
        <v>3</v>
      </c>
      <c r="G2007" s="246">
        <v>4</v>
      </c>
      <c r="H2007" s="246">
        <v>5</v>
      </c>
      <c r="I2007" s="246">
        <v>6</v>
      </c>
      <c r="J2007" s="246">
        <v>10</v>
      </c>
      <c r="K2007" s="246">
        <v>12</v>
      </c>
      <c r="L2007" s="246">
        <v>14</v>
      </c>
      <c r="M2007" s="246">
        <v>15</v>
      </c>
      <c r="N2007" s="246">
        <v>16</v>
      </c>
      <c r="O2007" s="246">
        <v>17</v>
      </c>
      <c r="P2007" s="246"/>
      <c r="Q2007" s="246"/>
      <c r="R2007" s="246">
        <f>IFERROR(VLOOKUP(D2007,PROGRAMAS[],2,FALSE),0)</f>
        <v>97037803.679377079</v>
      </c>
      <c r="S2007" s="246">
        <f>IFERROR(VLOOKUP(E2007,PROGRAMAS[],2,FALSE),0)</f>
        <v>640501509.6821388</v>
      </c>
      <c r="T2007" s="246">
        <f>IFERROR(VLOOKUP(F2007,PROGRAMAS[],2,FALSE),0)</f>
        <v>3062327798.1525245</v>
      </c>
      <c r="U2007" s="246">
        <f>IFERROR(VLOOKUP(G2007,PROGRAMAS[],2,FALSE),0)</f>
        <v>67697118.033011258</v>
      </c>
      <c r="V2007" s="246">
        <f>IFERROR(VLOOKUP(H2007,PROGRAMAS[],2,FALSE),0)</f>
        <v>1440941976.2528784</v>
      </c>
      <c r="W2007" s="246">
        <f>IFERROR(VLOOKUP(I2007,PROGRAMAS[],2,FALSE),0)</f>
        <v>6907648435.8447599</v>
      </c>
      <c r="X2007" s="246">
        <f>IFERROR(VLOOKUP(J2007,PROGRAMAS[],2,FALSE),0)</f>
        <v>4635315027.8751087</v>
      </c>
      <c r="Y2007" s="246">
        <f>IFERROR(VLOOKUP(K2007,PROGRAMAS[],2,FALSE),0)</f>
        <v>764796700.79905891</v>
      </c>
      <c r="Z2007" s="246">
        <f>IFERROR(VLOOKUP(L2007,PROGRAMAS[],2,FALSE),0)</f>
        <v>54223862.645839565</v>
      </c>
      <c r="AA2007" s="246">
        <f>IFERROR(VLOOKUP(M2007,PROGRAMAS[],2,FALSE),0)</f>
        <v>122159672.96346797</v>
      </c>
      <c r="AB2007" s="246">
        <f>IFERROR(VLOOKUP(N2007,PROGRAMAS[],2,FALSE),0)</f>
        <v>7068496961.0436354</v>
      </c>
      <c r="AC2007" s="246">
        <f>IFERROR(VLOOKUP(O2007,PROGRAMAS[],2,FALSE),0)</f>
        <v>1892779498.5211046</v>
      </c>
      <c r="AD2007" s="246">
        <f>IFERROR(VLOOKUP(P2007,PROGRAMAS[],2,FALSE),0)</f>
        <v>0</v>
      </c>
      <c r="AE2007" s="246">
        <f>IFERROR(VLOOKUP(Q2007,PROGRAMAS[],2,FALSE),0)</f>
        <v>0</v>
      </c>
      <c r="AF2007" s="246">
        <f>IFERROR(VLOOKUP(D2007,PROGRAMAS[],3,FALSE),0)</f>
        <v>841888629.31080008</v>
      </c>
      <c r="AG2007" s="246">
        <f>IFERROR(VLOOKUP(E2007,PROGRAMAS[],3,FALSE),0)</f>
        <v>3848980803.1642323</v>
      </c>
      <c r="AH2007" s="246">
        <f>IFERROR(VLOOKUP(F2007,PROGRAMAS[],3,FALSE),0)</f>
        <v>3394901471.387517</v>
      </c>
      <c r="AI2007" s="246">
        <f>IFERROR(VLOOKUP(G2007,PROGRAMAS[],3,FALSE),0)</f>
        <v>125317226.95549992</v>
      </c>
      <c r="AJ2007" s="246">
        <f>IFERROR(VLOOKUP(H2007,PROGRAMAS[],3,FALSE),0)</f>
        <v>1233505101.0616004</v>
      </c>
      <c r="AK2007" s="246">
        <f>IFERROR(VLOOKUP(I2007,PROGRAMAS[],3,FALSE),0)</f>
        <v>6129902208.7912121</v>
      </c>
      <c r="AL2007" s="246">
        <f>IFERROR(VLOOKUP(J2007,PROGRAMAS[],3,FALSE),0)</f>
        <v>4099471734.9978786</v>
      </c>
      <c r="AM2007" s="246">
        <f>IFERROR(VLOOKUP(K2007,PROGRAMAS[],3,FALSE),0)</f>
        <v>675517840.109828</v>
      </c>
      <c r="AN2007" s="246">
        <f>IFERROR(VLOOKUP(L2007,PROGRAMAS[],3,FALSE),0)</f>
        <v>31865326.38096505</v>
      </c>
      <c r="AO2007" s="246">
        <f>IFERROR(VLOOKUP(M2007,PROGRAMAS[],3,FALSE),0)</f>
        <v>118617452.52510804</v>
      </c>
      <c r="AP2007" s="246">
        <f>IFERROR(VLOOKUP(N2007,PROGRAMAS[],3,FALSE),0)</f>
        <v>2406564599.0319901</v>
      </c>
      <c r="AQ2007" s="246">
        <f>IFERROR(VLOOKUP(O2007,PROGRAMAS[],3,FALSE),0)</f>
        <v>948595847.09039903</v>
      </c>
      <c r="AR2007" s="246">
        <f>IFERROR(VLOOKUP(P2007,PROGRAMAS[],3,FALSE),0)</f>
        <v>0</v>
      </c>
      <c r="AS2007" s="246">
        <f>IFERROR(VLOOKUP(Q2007,PROGRAMAS[],3,FALSE),0)</f>
        <v>0</v>
      </c>
      <c r="AT2007" s="246">
        <f>IFERROR(VLOOKUP(D2007,VOL_REC[],2,FALSE),0)</f>
        <v>0</v>
      </c>
      <c r="AU2007" s="246">
        <f>IFERROR(VLOOKUP(E2007,VOL_REC[],2,FALSE),0)</f>
        <v>0</v>
      </c>
      <c r="AV2007" s="246">
        <f>IFERROR(VLOOKUP(F2007,VOL_REC[],2,FALSE),0)</f>
        <v>11089674.200000001</v>
      </c>
      <c r="AW2007" s="246">
        <f>IFERROR(VLOOKUP(G2007,VOL_REC[],2,FALSE),0)</f>
        <v>90439.55</v>
      </c>
      <c r="AX2007" s="246">
        <f>IFERROR(VLOOKUP(H2007,VOL_REC[],2,FALSE),0)</f>
        <v>4325103.1812214684</v>
      </c>
      <c r="AY2007" s="246">
        <f>IFERROR(VLOOKUP(I2007,VOL_REC[],2,FALSE),0)</f>
        <v>15540036.397699751</v>
      </c>
      <c r="AZ2007" s="246">
        <f>IFERROR(VLOOKUP(J2007,VOL_REC[],2,FALSE),0)</f>
        <v>1812240</v>
      </c>
      <c r="BA2007" s="246">
        <f>IFERROR(VLOOKUP(K2007,VOL_REC[],2,FALSE),0)</f>
        <v>240696.79238099116</v>
      </c>
      <c r="BB2007" s="246">
        <f>IFERROR(VLOOKUP(L2007,VOL_REC[],2,FALSE),0)</f>
        <v>17074.045034105649</v>
      </c>
      <c r="BC2007" s="246">
        <f>IFERROR(VLOOKUP(M2007,VOL_REC[],2,FALSE),0)</f>
        <v>105072</v>
      </c>
      <c r="BD2007" s="246">
        <f>IFERROR(VLOOKUP(N2007,VOL_REC[],2,FALSE),0)</f>
        <v>1072354.9981737854</v>
      </c>
      <c r="BE2007" s="246">
        <f>IFERROR(VLOOKUP(O2007,VOL_REC[],2,FALSE),0)</f>
        <v>740113.98115702497</v>
      </c>
      <c r="BF2007" s="246">
        <f>IFERROR(VLOOKUP(P2007,VOL_REC[],2,FALSE),0)</f>
        <v>0</v>
      </c>
      <c r="BG2007" s="246">
        <f>IFERROR(VLOOKUP(Q2007,VOL_REC[],2,FALSE),0)</f>
        <v>0</v>
      </c>
      <c r="BH2007" s="1710">
        <f t="shared" si="138"/>
        <v>26753926365.492905</v>
      </c>
      <c r="BI2007" s="1710">
        <f t="shared" si="139"/>
        <v>23855128240.807034</v>
      </c>
      <c r="BJ2007" s="1711">
        <f t="shared" si="140"/>
        <v>35032805.145667136</v>
      </c>
      <c r="BK2007" s="1711">
        <f t="shared" si="141"/>
        <v>1.1215167697035111</v>
      </c>
      <c r="BL2007">
        <f t="shared" si="142"/>
        <v>35032805.145667136</v>
      </c>
      <c r="BO2007">
        <f t="shared" si="143"/>
        <v>35032805.145667136</v>
      </c>
    </row>
    <row r="2008" spans="3:67" x14ac:dyDescent="0.25">
      <c r="C2008" s="246" t="s">
        <v>3358</v>
      </c>
      <c r="D2008" s="246">
        <v>1</v>
      </c>
      <c r="E2008" s="246">
        <v>2</v>
      </c>
      <c r="F2008" s="246">
        <v>3</v>
      </c>
      <c r="G2008" s="246">
        <v>4</v>
      </c>
      <c r="H2008" s="246">
        <v>5</v>
      </c>
      <c r="I2008" s="246">
        <v>6</v>
      </c>
      <c r="J2008" s="246">
        <v>10</v>
      </c>
      <c r="K2008" s="246">
        <v>13</v>
      </c>
      <c r="L2008" s="246">
        <v>14</v>
      </c>
      <c r="M2008" s="246">
        <v>15</v>
      </c>
      <c r="N2008" s="246">
        <v>16</v>
      </c>
      <c r="O2008" s="246">
        <v>17</v>
      </c>
      <c r="P2008" s="246"/>
      <c r="Q2008" s="246"/>
      <c r="R2008" s="246">
        <f>IFERROR(VLOOKUP(D2008,PROGRAMAS[],2,FALSE),0)</f>
        <v>97037803.679377079</v>
      </c>
      <c r="S2008" s="246">
        <f>IFERROR(VLOOKUP(E2008,PROGRAMAS[],2,FALSE),0)</f>
        <v>640501509.6821388</v>
      </c>
      <c r="T2008" s="246">
        <f>IFERROR(VLOOKUP(F2008,PROGRAMAS[],2,FALSE),0)</f>
        <v>3062327798.1525245</v>
      </c>
      <c r="U2008" s="246">
        <f>IFERROR(VLOOKUP(G2008,PROGRAMAS[],2,FALSE),0)</f>
        <v>67697118.033011258</v>
      </c>
      <c r="V2008" s="246">
        <f>IFERROR(VLOOKUP(H2008,PROGRAMAS[],2,FALSE),0)</f>
        <v>1440941976.2528784</v>
      </c>
      <c r="W2008" s="246">
        <f>IFERROR(VLOOKUP(I2008,PROGRAMAS[],2,FALSE),0)</f>
        <v>6907648435.8447599</v>
      </c>
      <c r="X2008" s="246">
        <f>IFERROR(VLOOKUP(J2008,PROGRAMAS[],2,FALSE),0)</f>
        <v>4635315027.8751087</v>
      </c>
      <c r="Y2008" s="246">
        <f>IFERROR(VLOOKUP(K2008,PROGRAMAS[],2,FALSE),0)</f>
        <v>3776538594.4604583</v>
      </c>
      <c r="Z2008" s="246">
        <f>IFERROR(VLOOKUP(L2008,PROGRAMAS[],2,FALSE),0)</f>
        <v>54223862.645839565</v>
      </c>
      <c r="AA2008" s="246">
        <f>IFERROR(VLOOKUP(M2008,PROGRAMAS[],2,FALSE),0)</f>
        <v>122159672.96346797</v>
      </c>
      <c r="AB2008" s="246">
        <f>IFERROR(VLOOKUP(N2008,PROGRAMAS[],2,FALSE),0)</f>
        <v>7068496961.0436354</v>
      </c>
      <c r="AC2008" s="246">
        <f>IFERROR(VLOOKUP(O2008,PROGRAMAS[],2,FALSE),0)</f>
        <v>1892779498.5211046</v>
      </c>
      <c r="AD2008" s="246">
        <f>IFERROR(VLOOKUP(P2008,PROGRAMAS[],2,FALSE),0)</f>
        <v>0</v>
      </c>
      <c r="AE2008" s="246">
        <f>IFERROR(VLOOKUP(Q2008,PROGRAMAS[],2,FALSE),0)</f>
        <v>0</v>
      </c>
      <c r="AF2008" s="246">
        <f>IFERROR(VLOOKUP(D2008,PROGRAMAS[],3,FALSE),0)</f>
        <v>841888629.31080008</v>
      </c>
      <c r="AG2008" s="246">
        <f>IFERROR(VLOOKUP(E2008,PROGRAMAS[],3,FALSE),0)</f>
        <v>3848980803.1642323</v>
      </c>
      <c r="AH2008" s="246">
        <f>IFERROR(VLOOKUP(F2008,PROGRAMAS[],3,FALSE),0)</f>
        <v>3394901471.387517</v>
      </c>
      <c r="AI2008" s="246">
        <f>IFERROR(VLOOKUP(G2008,PROGRAMAS[],3,FALSE),0)</f>
        <v>125317226.95549992</v>
      </c>
      <c r="AJ2008" s="246">
        <f>IFERROR(VLOOKUP(H2008,PROGRAMAS[],3,FALSE),0)</f>
        <v>1233505101.0616004</v>
      </c>
      <c r="AK2008" s="246">
        <f>IFERROR(VLOOKUP(I2008,PROGRAMAS[],3,FALSE),0)</f>
        <v>6129902208.7912121</v>
      </c>
      <c r="AL2008" s="246">
        <f>IFERROR(VLOOKUP(J2008,PROGRAMAS[],3,FALSE),0)</f>
        <v>4099471734.9978786</v>
      </c>
      <c r="AM2008" s="246">
        <f>IFERROR(VLOOKUP(K2008,PROGRAMAS[],3,FALSE),0)</f>
        <v>2392571243.5584412</v>
      </c>
      <c r="AN2008" s="246">
        <f>IFERROR(VLOOKUP(L2008,PROGRAMAS[],3,FALSE),0)</f>
        <v>31865326.38096505</v>
      </c>
      <c r="AO2008" s="246">
        <f>IFERROR(VLOOKUP(M2008,PROGRAMAS[],3,FALSE),0)</f>
        <v>118617452.52510804</v>
      </c>
      <c r="AP2008" s="246">
        <f>IFERROR(VLOOKUP(N2008,PROGRAMAS[],3,FALSE),0)</f>
        <v>2406564599.0319901</v>
      </c>
      <c r="AQ2008" s="246">
        <f>IFERROR(VLOOKUP(O2008,PROGRAMAS[],3,FALSE),0)</f>
        <v>948595847.09039903</v>
      </c>
      <c r="AR2008" s="246">
        <f>IFERROR(VLOOKUP(P2008,PROGRAMAS[],3,FALSE),0)</f>
        <v>0</v>
      </c>
      <c r="AS2008" s="246">
        <f>IFERROR(VLOOKUP(Q2008,PROGRAMAS[],3,FALSE),0)</f>
        <v>0</v>
      </c>
      <c r="AT2008" s="246">
        <f>IFERROR(VLOOKUP(D2008,VOL_REC[],2,FALSE),0)</f>
        <v>0</v>
      </c>
      <c r="AU2008" s="246">
        <f>IFERROR(VLOOKUP(E2008,VOL_REC[],2,FALSE),0)</f>
        <v>0</v>
      </c>
      <c r="AV2008" s="246">
        <f>IFERROR(VLOOKUP(F2008,VOL_REC[],2,FALSE),0)</f>
        <v>11089674.200000001</v>
      </c>
      <c r="AW2008" s="246">
        <f>IFERROR(VLOOKUP(G2008,VOL_REC[],2,FALSE),0)</f>
        <v>90439.55</v>
      </c>
      <c r="AX2008" s="246">
        <f>IFERROR(VLOOKUP(H2008,VOL_REC[],2,FALSE),0)</f>
        <v>4325103.1812214684</v>
      </c>
      <c r="AY2008" s="246">
        <f>IFERROR(VLOOKUP(I2008,VOL_REC[],2,FALSE),0)</f>
        <v>15540036.397699751</v>
      </c>
      <c r="AZ2008" s="246">
        <f>IFERROR(VLOOKUP(J2008,VOL_REC[],2,FALSE),0)</f>
        <v>1812240</v>
      </c>
      <c r="BA2008" s="246">
        <f>IFERROR(VLOOKUP(K2008,VOL_REC[],2,FALSE),0)</f>
        <v>663244.80000000016</v>
      </c>
      <c r="BB2008" s="246">
        <f>IFERROR(VLOOKUP(L2008,VOL_REC[],2,FALSE),0)</f>
        <v>17074.045034105649</v>
      </c>
      <c r="BC2008" s="246">
        <f>IFERROR(VLOOKUP(M2008,VOL_REC[],2,FALSE),0)</f>
        <v>105072</v>
      </c>
      <c r="BD2008" s="246">
        <f>IFERROR(VLOOKUP(N2008,VOL_REC[],2,FALSE),0)</f>
        <v>1072354.9981737854</v>
      </c>
      <c r="BE2008" s="246">
        <f>IFERROR(VLOOKUP(O2008,VOL_REC[],2,FALSE),0)</f>
        <v>740113.98115702497</v>
      </c>
      <c r="BF2008" s="246">
        <f>IFERROR(VLOOKUP(P2008,VOL_REC[],2,FALSE),0)</f>
        <v>0</v>
      </c>
      <c r="BG2008" s="246">
        <f>IFERROR(VLOOKUP(Q2008,VOL_REC[],2,FALSE),0)</f>
        <v>0</v>
      </c>
      <c r="BH2008" s="1710">
        <f t="shared" si="138"/>
        <v>29765668259.154305</v>
      </c>
      <c r="BI2008" s="1710">
        <f t="shared" si="139"/>
        <v>25572181644.255646</v>
      </c>
      <c r="BJ2008" s="1711">
        <f t="shared" si="140"/>
        <v>35455353.153286144</v>
      </c>
      <c r="BK2008" s="1711">
        <f t="shared" si="141"/>
        <v>1.1639862673132799</v>
      </c>
      <c r="BL2008">
        <f t="shared" si="142"/>
        <v>35455353.153286144</v>
      </c>
      <c r="BO2008">
        <f t="shared" si="143"/>
        <v>35455353.153286144</v>
      </c>
    </row>
    <row r="2009" spans="3:67" x14ac:dyDescent="0.25">
      <c r="C2009" s="246" t="s">
        <v>3359</v>
      </c>
      <c r="D2009" s="246">
        <v>1</v>
      </c>
      <c r="E2009" s="246">
        <v>2</v>
      </c>
      <c r="F2009" s="246">
        <v>3</v>
      </c>
      <c r="G2009" s="246">
        <v>4</v>
      </c>
      <c r="H2009" s="246">
        <v>5</v>
      </c>
      <c r="I2009" s="246">
        <v>6</v>
      </c>
      <c r="J2009" s="246">
        <v>12</v>
      </c>
      <c r="K2009" s="246">
        <v>13</v>
      </c>
      <c r="L2009" s="246">
        <v>14</v>
      </c>
      <c r="M2009" s="246">
        <v>15</v>
      </c>
      <c r="N2009" s="246">
        <v>16</v>
      </c>
      <c r="O2009" s="246">
        <v>17</v>
      </c>
      <c r="P2009" s="246"/>
      <c r="Q2009" s="246"/>
      <c r="R2009" s="246">
        <f>IFERROR(VLOOKUP(D2009,PROGRAMAS[],2,FALSE),0)</f>
        <v>97037803.679377079</v>
      </c>
      <c r="S2009" s="246">
        <f>IFERROR(VLOOKUP(E2009,PROGRAMAS[],2,FALSE),0)</f>
        <v>640501509.6821388</v>
      </c>
      <c r="T2009" s="246">
        <f>IFERROR(VLOOKUP(F2009,PROGRAMAS[],2,FALSE),0)</f>
        <v>3062327798.1525245</v>
      </c>
      <c r="U2009" s="246">
        <f>IFERROR(VLOOKUP(G2009,PROGRAMAS[],2,FALSE),0)</f>
        <v>67697118.033011258</v>
      </c>
      <c r="V2009" s="246">
        <f>IFERROR(VLOOKUP(H2009,PROGRAMAS[],2,FALSE),0)</f>
        <v>1440941976.2528784</v>
      </c>
      <c r="W2009" s="246">
        <f>IFERROR(VLOOKUP(I2009,PROGRAMAS[],2,FALSE),0)</f>
        <v>6907648435.8447599</v>
      </c>
      <c r="X2009" s="246">
        <f>IFERROR(VLOOKUP(J2009,PROGRAMAS[],2,FALSE),0)</f>
        <v>764796700.79905891</v>
      </c>
      <c r="Y2009" s="246">
        <f>IFERROR(VLOOKUP(K2009,PROGRAMAS[],2,FALSE),0)</f>
        <v>3776538594.4604583</v>
      </c>
      <c r="Z2009" s="246">
        <f>IFERROR(VLOOKUP(L2009,PROGRAMAS[],2,FALSE),0)</f>
        <v>54223862.645839565</v>
      </c>
      <c r="AA2009" s="246">
        <f>IFERROR(VLOOKUP(M2009,PROGRAMAS[],2,FALSE),0)</f>
        <v>122159672.96346797</v>
      </c>
      <c r="AB2009" s="246">
        <f>IFERROR(VLOOKUP(N2009,PROGRAMAS[],2,FALSE),0)</f>
        <v>7068496961.0436354</v>
      </c>
      <c r="AC2009" s="246">
        <f>IFERROR(VLOOKUP(O2009,PROGRAMAS[],2,FALSE),0)</f>
        <v>1892779498.5211046</v>
      </c>
      <c r="AD2009" s="246">
        <f>IFERROR(VLOOKUP(P2009,PROGRAMAS[],2,FALSE),0)</f>
        <v>0</v>
      </c>
      <c r="AE2009" s="246">
        <f>IFERROR(VLOOKUP(Q2009,PROGRAMAS[],2,FALSE),0)</f>
        <v>0</v>
      </c>
      <c r="AF2009" s="246">
        <f>IFERROR(VLOOKUP(D2009,PROGRAMAS[],3,FALSE),0)</f>
        <v>841888629.31080008</v>
      </c>
      <c r="AG2009" s="246">
        <f>IFERROR(VLOOKUP(E2009,PROGRAMAS[],3,FALSE),0)</f>
        <v>3848980803.1642323</v>
      </c>
      <c r="AH2009" s="246">
        <f>IFERROR(VLOOKUP(F2009,PROGRAMAS[],3,FALSE),0)</f>
        <v>3394901471.387517</v>
      </c>
      <c r="AI2009" s="246">
        <f>IFERROR(VLOOKUP(G2009,PROGRAMAS[],3,FALSE),0)</f>
        <v>125317226.95549992</v>
      </c>
      <c r="AJ2009" s="246">
        <f>IFERROR(VLOOKUP(H2009,PROGRAMAS[],3,FALSE),0)</f>
        <v>1233505101.0616004</v>
      </c>
      <c r="AK2009" s="246">
        <f>IFERROR(VLOOKUP(I2009,PROGRAMAS[],3,FALSE),0)</f>
        <v>6129902208.7912121</v>
      </c>
      <c r="AL2009" s="246">
        <f>IFERROR(VLOOKUP(J2009,PROGRAMAS[],3,FALSE),0)</f>
        <v>675517840.109828</v>
      </c>
      <c r="AM2009" s="246">
        <f>IFERROR(VLOOKUP(K2009,PROGRAMAS[],3,FALSE),0)</f>
        <v>2392571243.5584412</v>
      </c>
      <c r="AN2009" s="246">
        <f>IFERROR(VLOOKUP(L2009,PROGRAMAS[],3,FALSE),0)</f>
        <v>31865326.38096505</v>
      </c>
      <c r="AO2009" s="246">
        <f>IFERROR(VLOOKUP(M2009,PROGRAMAS[],3,FALSE),0)</f>
        <v>118617452.52510804</v>
      </c>
      <c r="AP2009" s="246">
        <f>IFERROR(VLOOKUP(N2009,PROGRAMAS[],3,FALSE),0)</f>
        <v>2406564599.0319901</v>
      </c>
      <c r="AQ2009" s="246">
        <f>IFERROR(VLOOKUP(O2009,PROGRAMAS[],3,FALSE),0)</f>
        <v>948595847.09039903</v>
      </c>
      <c r="AR2009" s="246">
        <f>IFERROR(VLOOKUP(P2009,PROGRAMAS[],3,FALSE),0)</f>
        <v>0</v>
      </c>
      <c r="AS2009" s="246">
        <f>IFERROR(VLOOKUP(Q2009,PROGRAMAS[],3,FALSE),0)</f>
        <v>0</v>
      </c>
      <c r="AT2009" s="246">
        <f>IFERROR(VLOOKUP(D2009,VOL_REC[],2,FALSE),0)</f>
        <v>0</v>
      </c>
      <c r="AU2009" s="246">
        <f>IFERROR(VLOOKUP(E2009,VOL_REC[],2,FALSE),0)</f>
        <v>0</v>
      </c>
      <c r="AV2009" s="246">
        <f>IFERROR(VLOOKUP(F2009,VOL_REC[],2,FALSE),0)</f>
        <v>11089674.200000001</v>
      </c>
      <c r="AW2009" s="246">
        <f>IFERROR(VLOOKUP(G2009,VOL_REC[],2,FALSE),0)</f>
        <v>90439.55</v>
      </c>
      <c r="AX2009" s="246">
        <f>IFERROR(VLOOKUP(H2009,VOL_REC[],2,FALSE),0)</f>
        <v>4325103.1812214684</v>
      </c>
      <c r="AY2009" s="246">
        <f>IFERROR(VLOOKUP(I2009,VOL_REC[],2,FALSE),0)</f>
        <v>15540036.397699751</v>
      </c>
      <c r="AZ2009" s="246">
        <f>IFERROR(VLOOKUP(J2009,VOL_REC[],2,FALSE),0)</f>
        <v>240696.79238099116</v>
      </c>
      <c r="BA2009" s="246">
        <f>IFERROR(VLOOKUP(K2009,VOL_REC[],2,FALSE),0)</f>
        <v>663244.80000000016</v>
      </c>
      <c r="BB2009" s="246">
        <f>IFERROR(VLOOKUP(L2009,VOL_REC[],2,FALSE),0)</f>
        <v>17074.045034105649</v>
      </c>
      <c r="BC2009" s="246">
        <f>IFERROR(VLOOKUP(M2009,VOL_REC[],2,FALSE),0)</f>
        <v>105072</v>
      </c>
      <c r="BD2009" s="246">
        <f>IFERROR(VLOOKUP(N2009,VOL_REC[],2,FALSE),0)</f>
        <v>1072354.9981737854</v>
      </c>
      <c r="BE2009" s="246">
        <f>IFERROR(VLOOKUP(O2009,VOL_REC[],2,FALSE),0)</f>
        <v>740113.98115702497</v>
      </c>
      <c r="BF2009" s="246">
        <f>IFERROR(VLOOKUP(P2009,VOL_REC[],2,FALSE),0)</f>
        <v>0</v>
      </c>
      <c r="BG2009" s="246">
        <f>IFERROR(VLOOKUP(Q2009,VOL_REC[],2,FALSE),0)</f>
        <v>0</v>
      </c>
      <c r="BH2009" s="1710">
        <f t="shared" si="138"/>
        <v>25895149932.078255</v>
      </c>
      <c r="BI2009" s="1710">
        <f t="shared" si="139"/>
        <v>22148227749.367596</v>
      </c>
      <c r="BJ2009" s="1711">
        <f t="shared" si="140"/>
        <v>33883809.945667133</v>
      </c>
      <c r="BK2009" s="1711">
        <f t="shared" si="141"/>
        <v>1.1691748082560531</v>
      </c>
      <c r="BL2009">
        <f t="shared" si="142"/>
        <v>33883809.945667133</v>
      </c>
      <c r="BO2009">
        <f t="shared" si="143"/>
        <v>33883809.945667133</v>
      </c>
    </row>
    <row r="2010" spans="3:67" x14ac:dyDescent="0.25">
      <c r="C2010" s="246" t="s">
        <v>3360</v>
      </c>
      <c r="D2010" s="246">
        <v>1</v>
      </c>
      <c r="E2010" s="246">
        <v>2</v>
      </c>
      <c r="F2010" s="246">
        <v>3</v>
      </c>
      <c r="G2010" s="246">
        <v>4</v>
      </c>
      <c r="H2010" s="246">
        <v>5</v>
      </c>
      <c r="I2010" s="246">
        <v>9</v>
      </c>
      <c r="J2010" s="246">
        <v>10</v>
      </c>
      <c r="K2010" s="246">
        <v>12</v>
      </c>
      <c r="L2010" s="246">
        <v>13</v>
      </c>
      <c r="M2010" s="246">
        <v>14</v>
      </c>
      <c r="N2010" s="246">
        <v>15</v>
      </c>
      <c r="O2010" s="246">
        <v>16</v>
      </c>
      <c r="P2010" s="246"/>
      <c r="Q2010" s="246"/>
      <c r="R2010" s="246">
        <f>IFERROR(VLOOKUP(D2010,PROGRAMAS[],2,FALSE),0)</f>
        <v>97037803.679377079</v>
      </c>
      <c r="S2010" s="246">
        <f>IFERROR(VLOOKUP(E2010,PROGRAMAS[],2,FALSE),0)</f>
        <v>640501509.6821388</v>
      </c>
      <c r="T2010" s="246">
        <f>IFERROR(VLOOKUP(F2010,PROGRAMAS[],2,FALSE),0)</f>
        <v>3062327798.1525245</v>
      </c>
      <c r="U2010" s="246">
        <f>IFERROR(VLOOKUP(G2010,PROGRAMAS[],2,FALSE),0)</f>
        <v>67697118.033011258</v>
      </c>
      <c r="V2010" s="246">
        <f>IFERROR(VLOOKUP(H2010,PROGRAMAS[],2,FALSE),0)</f>
        <v>1440941976.2528784</v>
      </c>
      <c r="W2010" s="246">
        <f>IFERROR(VLOOKUP(I2010,PROGRAMAS[],2,FALSE),0)</f>
        <v>6128579952.1618185</v>
      </c>
      <c r="X2010" s="246">
        <f>IFERROR(VLOOKUP(J2010,PROGRAMAS[],2,FALSE),0)</f>
        <v>4635315027.8751087</v>
      </c>
      <c r="Y2010" s="246">
        <f>IFERROR(VLOOKUP(K2010,PROGRAMAS[],2,FALSE),0)</f>
        <v>764796700.79905891</v>
      </c>
      <c r="Z2010" s="246">
        <f>IFERROR(VLOOKUP(L2010,PROGRAMAS[],2,FALSE),0)</f>
        <v>3776538594.4604583</v>
      </c>
      <c r="AA2010" s="246">
        <f>IFERROR(VLOOKUP(M2010,PROGRAMAS[],2,FALSE),0)</f>
        <v>54223862.645839565</v>
      </c>
      <c r="AB2010" s="246">
        <f>IFERROR(VLOOKUP(N2010,PROGRAMAS[],2,FALSE),0)</f>
        <v>122159672.96346797</v>
      </c>
      <c r="AC2010" s="246">
        <f>IFERROR(VLOOKUP(O2010,PROGRAMAS[],2,FALSE),0)</f>
        <v>7068496961.0436354</v>
      </c>
      <c r="AD2010" s="246">
        <f>IFERROR(VLOOKUP(P2010,PROGRAMAS[],2,FALSE),0)</f>
        <v>0</v>
      </c>
      <c r="AE2010" s="246">
        <f>IFERROR(VLOOKUP(Q2010,PROGRAMAS[],2,FALSE),0)</f>
        <v>0</v>
      </c>
      <c r="AF2010" s="246">
        <f>IFERROR(VLOOKUP(D2010,PROGRAMAS[],3,FALSE),0)</f>
        <v>841888629.31080008</v>
      </c>
      <c r="AG2010" s="246">
        <f>IFERROR(VLOOKUP(E2010,PROGRAMAS[],3,FALSE),0)</f>
        <v>3848980803.1642323</v>
      </c>
      <c r="AH2010" s="246">
        <f>IFERROR(VLOOKUP(F2010,PROGRAMAS[],3,FALSE),0)</f>
        <v>3394901471.387517</v>
      </c>
      <c r="AI2010" s="246">
        <f>IFERROR(VLOOKUP(G2010,PROGRAMAS[],3,FALSE),0)</f>
        <v>125317226.95549992</v>
      </c>
      <c r="AJ2010" s="246">
        <f>IFERROR(VLOOKUP(H2010,PROGRAMAS[],3,FALSE),0)</f>
        <v>1233505101.0616004</v>
      </c>
      <c r="AK2010" s="246">
        <f>IFERROR(VLOOKUP(I2010,PROGRAMAS[],3,FALSE),0)</f>
        <v>7011279577.519702</v>
      </c>
      <c r="AL2010" s="246">
        <f>IFERROR(VLOOKUP(J2010,PROGRAMAS[],3,FALSE),0)</f>
        <v>4099471734.9978786</v>
      </c>
      <c r="AM2010" s="246">
        <f>IFERROR(VLOOKUP(K2010,PROGRAMAS[],3,FALSE),0)</f>
        <v>675517840.109828</v>
      </c>
      <c r="AN2010" s="246">
        <f>IFERROR(VLOOKUP(L2010,PROGRAMAS[],3,FALSE),0)</f>
        <v>2392571243.5584412</v>
      </c>
      <c r="AO2010" s="246">
        <f>IFERROR(VLOOKUP(M2010,PROGRAMAS[],3,FALSE),0)</f>
        <v>31865326.38096505</v>
      </c>
      <c r="AP2010" s="246">
        <f>IFERROR(VLOOKUP(N2010,PROGRAMAS[],3,FALSE),0)</f>
        <v>118617452.52510804</v>
      </c>
      <c r="AQ2010" s="246">
        <f>IFERROR(VLOOKUP(O2010,PROGRAMAS[],3,FALSE),0)</f>
        <v>2406564599.0319901</v>
      </c>
      <c r="AR2010" s="246">
        <f>IFERROR(VLOOKUP(P2010,PROGRAMAS[],3,FALSE),0)</f>
        <v>0</v>
      </c>
      <c r="AS2010" s="246">
        <f>IFERROR(VLOOKUP(Q2010,PROGRAMAS[],3,FALSE),0)</f>
        <v>0</v>
      </c>
      <c r="AT2010" s="246">
        <f>IFERROR(VLOOKUP(D2010,VOL_REC[],2,FALSE),0)</f>
        <v>0</v>
      </c>
      <c r="AU2010" s="246">
        <f>IFERROR(VLOOKUP(E2010,VOL_REC[],2,FALSE),0)</f>
        <v>0</v>
      </c>
      <c r="AV2010" s="246">
        <f>IFERROR(VLOOKUP(F2010,VOL_REC[],2,FALSE),0)</f>
        <v>11089674.200000001</v>
      </c>
      <c r="AW2010" s="246">
        <f>IFERROR(VLOOKUP(G2010,VOL_REC[],2,FALSE),0)</f>
        <v>90439.55</v>
      </c>
      <c r="AX2010" s="246">
        <f>IFERROR(VLOOKUP(H2010,VOL_REC[],2,FALSE),0)</f>
        <v>4325103.1812214684</v>
      </c>
      <c r="AY2010" s="246">
        <f>IFERROR(VLOOKUP(I2010,VOL_REC[],2,FALSE),0)</f>
        <v>3761786</v>
      </c>
      <c r="AZ2010" s="246">
        <f>IFERROR(VLOOKUP(J2010,VOL_REC[],2,FALSE),0)</f>
        <v>1812240</v>
      </c>
      <c r="BA2010" s="246">
        <f>IFERROR(VLOOKUP(K2010,VOL_REC[],2,FALSE),0)</f>
        <v>240696.79238099116</v>
      </c>
      <c r="BB2010" s="246">
        <f>IFERROR(VLOOKUP(L2010,VOL_REC[],2,FALSE),0)</f>
        <v>663244.80000000016</v>
      </c>
      <c r="BC2010" s="246">
        <f>IFERROR(VLOOKUP(M2010,VOL_REC[],2,FALSE),0)</f>
        <v>17074.045034105649</v>
      </c>
      <c r="BD2010" s="246">
        <f>IFERROR(VLOOKUP(N2010,VOL_REC[],2,FALSE),0)</f>
        <v>105072</v>
      </c>
      <c r="BE2010" s="246">
        <f>IFERROR(VLOOKUP(O2010,VOL_REC[],2,FALSE),0)</f>
        <v>1072354.9981737854</v>
      </c>
      <c r="BF2010" s="246">
        <f>IFERROR(VLOOKUP(P2010,VOL_REC[],2,FALSE),0)</f>
        <v>0</v>
      </c>
      <c r="BG2010" s="246">
        <f>IFERROR(VLOOKUP(Q2010,VOL_REC[],2,FALSE),0)</f>
        <v>0</v>
      </c>
      <c r="BH2010" s="1710">
        <f t="shared" si="138"/>
        <v>27858616977.749317</v>
      </c>
      <c r="BI2010" s="1710">
        <f t="shared" si="139"/>
        <v>26180481006.003567</v>
      </c>
      <c r="BJ2010" s="1711">
        <f t="shared" si="140"/>
        <v>23177685.566810355</v>
      </c>
      <c r="BK2010" s="1711">
        <f t="shared" si="141"/>
        <v>1.0640987448382224</v>
      </c>
      <c r="BL2010">
        <f t="shared" si="142"/>
        <v>23177685.566810355</v>
      </c>
      <c r="BO2010">
        <f t="shared" si="143"/>
        <v>23177685.566810355</v>
      </c>
    </row>
    <row r="2011" spans="3:67" x14ac:dyDescent="0.25">
      <c r="C2011" s="246" t="s">
        <v>3361</v>
      </c>
      <c r="D2011" s="246">
        <v>1</v>
      </c>
      <c r="E2011" s="246">
        <v>2</v>
      </c>
      <c r="F2011" s="246">
        <v>3</v>
      </c>
      <c r="G2011" s="246">
        <v>4</v>
      </c>
      <c r="H2011" s="246">
        <v>5</v>
      </c>
      <c r="I2011" s="246">
        <v>9</v>
      </c>
      <c r="J2011" s="246">
        <v>10</v>
      </c>
      <c r="K2011" s="246">
        <v>12</v>
      </c>
      <c r="L2011" s="246">
        <v>13</v>
      </c>
      <c r="M2011" s="246">
        <v>14</v>
      </c>
      <c r="N2011" s="246">
        <v>15</v>
      </c>
      <c r="O2011" s="246">
        <v>17</v>
      </c>
      <c r="P2011" s="246"/>
      <c r="Q2011" s="246"/>
      <c r="R2011" s="246">
        <f>IFERROR(VLOOKUP(D2011,PROGRAMAS[],2,FALSE),0)</f>
        <v>97037803.679377079</v>
      </c>
      <c r="S2011" s="246">
        <f>IFERROR(VLOOKUP(E2011,PROGRAMAS[],2,FALSE),0)</f>
        <v>640501509.6821388</v>
      </c>
      <c r="T2011" s="246">
        <f>IFERROR(VLOOKUP(F2011,PROGRAMAS[],2,FALSE),0)</f>
        <v>3062327798.1525245</v>
      </c>
      <c r="U2011" s="246">
        <f>IFERROR(VLOOKUP(G2011,PROGRAMAS[],2,FALSE),0)</f>
        <v>67697118.033011258</v>
      </c>
      <c r="V2011" s="246">
        <f>IFERROR(VLOOKUP(H2011,PROGRAMAS[],2,FALSE),0)</f>
        <v>1440941976.2528784</v>
      </c>
      <c r="W2011" s="246">
        <f>IFERROR(VLOOKUP(I2011,PROGRAMAS[],2,FALSE),0)</f>
        <v>6128579952.1618185</v>
      </c>
      <c r="X2011" s="246">
        <f>IFERROR(VLOOKUP(J2011,PROGRAMAS[],2,FALSE),0)</f>
        <v>4635315027.8751087</v>
      </c>
      <c r="Y2011" s="246">
        <f>IFERROR(VLOOKUP(K2011,PROGRAMAS[],2,FALSE),0)</f>
        <v>764796700.79905891</v>
      </c>
      <c r="Z2011" s="246">
        <f>IFERROR(VLOOKUP(L2011,PROGRAMAS[],2,FALSE),0)</f>
        <v>3776538594.4604583</v>
      </c>
      <c r="AA2011" s="246">
        <f>IFERROR(VLOOKUP(M2011,PROGRAMAS[],2,FALSE),0)</f>
        <v>54223862.645839565</v>
      </c>
      <c r="AB2011" s="246">
        <f>IFERROR(VLOOKUP(N2011,PROGRAMAS[],2,FALSE),0)</f>
        <v>122159672.96346797</v>
      </c>
      <c r="AC2011" s="246">
        <f>IFERROR(VLOOKUP(O2011,PROGRAMAS[],2,FALSE),0)</f>
        <v>1892779498.5211046</v>
      </c>
      <c r="AD2011" s="246">
        <f>IFERROR(VLOOKUP(P2011,PROGRAMAS[],2,FALSE),0)</f>
        <v>0</v>
      </c>
      <c r="AE2011" s="246">
        <f>IFERROR(VLOOKUP(Q2011,PROGRAMAS[],2,FALSE),0)</f>
        <v>0</v>
      </c>
      <c r="AF2011" s="246">
        <f>IFERROR(VLOOKUP(D2011,PROGRAMAS[],3,FALSE),0)</f>
        <v>841888629.31080008</v>
      </c>
      <c r="AG2011" s="246">
        <f>IFERROR(VLOOKUP(E2011,PROGRAMAS[],3,FALSE),0)</f>
        <v>3848980803.1642323</v>
      </c>
      <c r="AH2011" s="246">
        <f>IFERROR(VLOOKUP(F2011,PROGRAMAS[],3,FALSE),0)</f>
        <v>3394901471.387517</v>
      </c>
      <c r="AI2011" s="246">
        <f>IFERROR(VLOOKUP(G2011,PROGRAMAS[],3,FALSE),0)</f>
        <v>125317226.95549992</v>
      </c>
      <c r="AJ2011" s="246">
        <f>IFERROR(VLOOKUP(H2011,PROGRAMAS[],3,FALSE),0)</f>
        <v>1233505101.0616004</v>
      </c>
      <c r="AK2011" s="246">
        <f>IFERROR(VLOOKUP(I2011,PROGRAMAS[],3,FALSE),0)</f>
        <v>7011279577.519702</v>
      </c>
      <c r="AL2011" s="246">
        <f>IFERROR(VLOOKUP(J2011,PROGRAMAS[],3,FALSE),0)</f>
        <v>4099471734.9978786</v>
      </c>
      <c r="AM2011" s="246">
        <f>IFERROR(VLOOKUP(K2011,PROGRAMAS[],3,FALSE),0)</f>
        <v>675517840.109828</v>
      </c>
      <c r="AN2011" s="246">
        <f>IFERROR(VLOOKUP(L2011,PROGRAMAS[],3,FALSE),0)</f>
        <v>2392571243.5584412</v>
      </c>
      <c r="AO2011" s="246">
        <f>IFERROR(VLOOKUP(M2011,PROGRAMAS[],3,FALSE),0)</f>
        <v>31865326.38096505</v>
      </c>
      <c r="AP2011" s="246">
        <f>IFERROR(VLOOKUP(N2011,PROGRAMAS[],3,FALSE),0)</f>
        <v>118617452.52510804</v>
      </c>
      <c r="AQ2011" s="246">
        <f>IFERROR(VLOOKUP(O2011,PROGRAMAS[],3,FALSE),0)</f>
        <v>948595847.09039903</v>
      </c>
      <c r="AR2011" s="246">
        <f>IFERROR(VLOOKUP(P2011,PROGRAMAS[],3,FALSE),0)</f>
        <v>0</v>
      </c>
      <c r="AS2011" s="246">
        <f>IFERROR(VLOOKUP(Q2011,PROGRAMAS[],3,FALSE),0)</f>
        <v>0</v>
      </c>
      <c r="AT2011" s="246">
        <f>IFERROR(VLOOKUP(D2011,VOL_REC[],2,FALSE),0)</f>
        <v>0</v>
      </c>
      <c r="AU2011" s="246">
        <f>IFERROR(VLOOKUP(E2011,VOL_REC[],2,FALSE),0)</f>
        <v>0</v>
      </c>
      <c r="AV2011" s="246">
        <f>IFERROR(VLOOKUP(F2011,VOL_REC[],2,FALSE),0)</f>
        <v>11089674.200000001</v>
      </c>
      <c r="AW2011" s="246">
        <f>IFERROR(VLOOKUP(G2011,VOL_REC[],2,FALSE),0)</f>
        <v>90439.55</v>
      </c>
      <c r="AX2011" s="246">
        <f>IFERROR(VLOOKUP(H2011,VOL_REC[],2,FALSE),0)</f>
        <v>4325103.1812214684</v>
      </c>
      <c r="AY2011" s="246">
        <f>IFERROR(VLOOKUP(I2011,VOL_REC[],2,FALSE),0)</f>
        <v>3761786</v>
      </c>
      <c r="AZ2011" s="246">
        <f>IFERROR(VLOOKUP(J2011,VOL_REC[],2,FALSE),0)</f>
        <v>1812240</v>
      </c>
      <c r="BA2011" s="246">
        <f>IFERROR(VLOOKUP(K2011,VOL_REC[],2,FALSE),0)</f>
        <v>240696.79238099116</v>
      </c>
      <c r="BB2011" s="246">
        <f>IFERROR(VLOOKUP(L2011,VOL_REC[],2,FALSE),0)</f>
        <v>663244.80000000016</v>
      </c>
      <c r="BC2011" s="246">
        <f>IFERROR(VLOOKUP(M2011,VOL_REC[],2,FALSE),0)</f>
        <v>17074.045034105649</v>
      </c>
      <c r="BD2011" s="246">
        <f>IFERROR(VLOOKUP(N2011,VOL_REC[],2,FALSE),0)</f>
        <v>105072</v>
      </c>
      <c r="BE2011" s="246">
        <f>IFERROR(VLOOKUP(O2011,VOL_REC[],2,FALSE),0)</f>
        <v>740113.98115702497</v>
      </c>
      <c r="BF2011" s="246">
        <f>IFERROR(VLOOKUP(P2011,VOL_REC[],2,FALSE),0)</f>
        <v>0</v>
      </c>
      <c r="BG2011" s="246">
        <f>IFERROR(VLOOKUP(Q2011,VOL_REC[],2,FALSE),0)</f>
        <v>0</v>
      </c>
      <c r="BH2011" s="1710">
        <f t="shared" si="138"/>
        <v>22682899515.226784</v>
      </c>
      <c r="BI2011" s="1710">
        <f t="shared" si="139"/>
        <v>24722512254.061977</v>
      </c>
      <c r="BJ2011" s="1711">
        <f t="shared" si="140"/>
        <v>22845444.549793594</v>
      </c>
      <c r="BK2011" s="1711">
        <f t="shared" si="141"/>
        <v>0.91749977842562991</v>
      </c>
    </row>
    <row r="2012" spans="3:67" x14ac:dyDescent="0.25">
      <c r="C2012" s="246" t="s">
        <v>3362</v>
      </c>
      <c r="D2012" s="246">
        <v>1</v>
      </c>
      <c r="E2012" s="246">
        <v>2</v>
      </c>
      <c r="F2012" s="246">
        <v>3</v>
      </c>
      <c r="G2012" s="246">
        <v>4</v>
      </c>
      <c r="H2012" s="246">
        <v>5</v>
      </c>
      <c r="I2012" s="246">
        <v>9</v>
      </c>
      <c r="J2012" s="246">
        <v>10</v>
      </c>
      <c r="K2012" s="246">
        <v>12</v>
      </c>
      <c r="L2012" s="246">
        <v>13</v>
      </c>
      <c r="M2012" s="246">
        <v>14</v>
      </c>
      <c r="N2012" s="246">
        <v>16</v>
      </c>
      <c r="O2012" s="246">
        <v>17</v>
      </c>
      <c r="P2012" s="246"/>
      <c r="Q2012" s="246"/>
      <c r="R2012" s="246">
        <f>IFERROR(VLOOKUP(D2012,PROGRAMAS[],2,FALSE),0)</f>
        <v>97037803.679377079</v>
      </c>
      <c r="S2012" s="246">
        <f>IFERROR(VLOOKUP(E2012,PROGRAMAS[],2,FALSE),0)</f>
        <v>640501509.6821388</v>
      </c>
      <c r="T2012" s="246">
        <f>IFERROR(VLOOKUP(F2012,PROGRAMAS[],2,FALSE),0)</f>
        <v>3062327798.1525245</v>
      </c>
      <c r="U2012" s="246">
        <f>IFERROR(VLOOKUP(G2012,PROGRAMAS[],2,FALSE),0)</f>
        <v>67697118.033011258</v>
      </c>
      <c r="V2012" s="246">
        <f>IFERROR(VLOOKUP(H2012,PROGRAMAS[],2,FALSE),0)</f>
        <v>1440941976.2528784</v>
      </c>
      <c r="W2012" s="246">
        <f>IFERROR(VLOOKUP(I2012,PROGRAMAS[],2,FALSE),0)</f>
        <v>6128579952.1618185</v>
      </c>
      <c r="X2012" s="246">
        <f>IFERROR(VLOOKUP(J2012,PROGRAMAS[],2,FALSE),0)</f>
        <v>4635315027.8751087</v>
      </c>
      <c r="Y2012" s="246">
        <f>IFERROR(VLOOKUP(K2012,PROGRAMAS[],2,FALSE),0)</f>
        <v>764796700.79905891</v>
      </c>
      <c r="Z2012" s="246">
        <f>IFERROR(VLOOKUP(L2012,PROGRAMAS[],2,FALSE),0)</f>
        <v>3776538594.4604583</v>
      </c>
      <c r="AA2012" s="246">
        <f>IFERROR(VLOOKUP(M2012,PROGRAMAS[],2,FALSE),0)</f>
        <v>54223862.645839565</v>
      </c>
      <c r="AB2012" s="246">
        <f>IFERROR(VLOOKUP(N2012,PROGRAMAS[],2,FALSE),0)</f>
        <v>7068496961.0436354</v>
      </c>
      <c r="AC2012" s="246">
        <f>IFERROR(VLOOKUP(O2012,PROGRAMAS[],2,FALSE),0)</f>
        <v>1892779498.5211046</v>
      </c>
      <c r="AD2012" s="246">
        <f>IFERROR(VLOOKUP(P2012,PROGRAMAS[],2,FALSE),0)</f>
        <v>0</v>
      </c>
      <c r="AE2012" s="246">
        <f>IFERROR(VLOOKUP(Q2012,PROGRAMAS[],2,FALSE),0)</f>
        <v>0</v>
      </c>
      <c r="AF2012" s="246">
        <f>IFERROR(VLOOKUP(D2012,PROGRAMAS[],3,FALSE),0)</f>
        <v>841888629.31080008</v>
      </c>
      <c r="AG2012" s="246">
        <f>IFERROR(VLOOKUP(E2012,PROGRAMAS[],3,FALSE),0)</f>
        <v>3848980803.1642323</v>
      </c>
      <c r="AH2012" s="246">
        <f>IFERROR(VLOOKUP(F2012,PROGRAMAS[],3,FALSE),0)</f>
        <v>3394901471.387517</v>
      </c>
      <c r="AI2012" s="246">
        <f>IFERROR(VLOOKUP(G2012,PROGRAMAS[],3,FALSE),0)</f>
        <v>125317226.95549992</v>
      </c>
      <c r="AJ2012" s="246">
        <f>IFERROR(VLOOKUP(H2012,PROGRAMAS[],3,FALSE),0)</f>
        <v>1233505101.0616004</v>
      </c>
      <c r="AK2012" s="246">
        <f>IFERROR(VLOOKUP(I2012,PROGRAMAS[],3,FALSE),0)</f>
        <v>7011279577.519702</v>
      </c>
      <c r="AL2012" s="246">
        <f>IFERROR(VLOOKUP(J2012,PROGRAMAS[],3,FALSE),0)</f>
        <v>4099471734.9978786</v>
      </c>
      <c r="AM2012" s="246">
        <f>IFERROR(VLOOKUP(K2012,PROGRAMAS[],3,FALSE),0)</f>
        <v>675517840.109828</v>
      </c>
      <c r="AN2012" s="246">
        <f>IFERROR(VLOOKUP(L2012,PROGRAMAS[],3,FALSE),0)</f>
        <v>2392571243.5584412</v>
      </c>
      <c r="AO2012" s="246">
        <f>IFERROR(VLOOKUP(M2012,PROGRAMAS[],3,FALSE),0)</f>
        <v>31865326.38096505</v>
      </c>
      <c r="AP2012" s="246">
        <f>IFERROR(VLOOKUP(N2012,PROGRAMAS[],3,FALSE),0)</f>
        <v>2406564599.0319901</v>
      </c>
      <c r="AQ2012" s="246">
        <f>IFERROR(VLOOKUP(O2012,PROGRAMAS[],3,FALSE),0)</f>
        <v>948595847.09039903</v>
      </c>
      <c r="AR2012" s="246">
        <f>IFERROR(VLOOKUP(P2012,PROGRAMAS[],3,FALSE),0)</f>
        <v>0</v>
      </c>
      <c r="AS2012" s="246">
        <f>IFERROR(VLOOKUP(Q2012,PROGRAMAS[],3,FALSE),0)</f>
        <v>0</v>
      </c>
      <c r="AT2012" s="246">
        <f>IFERROR(VLOOKUP(D2012,VOL_REC[],2,FALSE),0)</f>
        <v>0</v>
      </c>
      <c r="AU2012" s="246">
        <f>IFERROR(VLOOKUP(E2012,VOL_REC[],2,FALSE),0)</f>
        <v>0</v>
      </c>
      <c r="AV2012" s="246">
        <f>IFERROR(VLOOKUP(F2012,VOL_REC[],2,FALSE),0)</f>
        <v>11089674.200000001</v>
      </c>
      <c r="AW2012" s="246">
        <f>IFERROR(VLOOKUP(G2012,VOL_REC[],2,FALSE),0)</f>
        <v>90439.55</v>
      </c>
      <c r="AX2012" s="246">
        <f>IFERROR(VLOOKUP(H2012,VOL_REC[],2,FALSE),0)</f>
        <v>4325103.1812214684</v>
      </c>
      <c r="AY2012" s="246">
        <f>IFERROR(VLOOKUP(I2012,VOL_REC[],2,FALSE),0)</f>
        <v>3761786</v>
      </c>
      <c r="AZ2012" s="246">
        <f>IFERROR(VLOOKUP(J2012,VOL_REC[],2,FALSE),0)</f>
        <v>1812240</v>
      </c>
      <c r="BA2012" s="246">
        <f>IFERROR(VLOOKUP(K2012,VOL_REC[],2,FALSE),0)</f>
        <v>240696.79238099116</v>
      </c>
      <c r="BB2012" s="246">
        <f>IFERROR(VLOOKUP(L2012,VOL_REC[],2,FALSE),0)</f>
        <v>663244.80000000016</v>
      </c>
      <c r="BC2012" s="246">
        <f>IFERROR(VLOOKUP(M2012,VOL_REC[],2,FALSE),0)</f>
        <v>17074.045034105649</v>
      </c>
      <c r="BD2012" s="246">
        <f>IFERROR(VLOOKUP(N2012,VOL_REC[],2,FALSE),0)</f>
        <v>1072354.9981737854</v>
      </c>
      <c r="BE2012" s="246">
        <f>IFERROR(VLOOKUP(O2012,VOL_REC[],2,FALSE),0)</f>
        <v>740113.98115702497</v>
      </c>
      <c r="BF2012" s="246">
        <f>IFERROR(VLOOKUP(P2012,VOL_REC[],2,FALSE),0)</f>
        <v>0</v>
      </c>
      <c r="BG2012" s="246">
        <f>IFERROR(VLOOKUP(Q2012,VOL_REC[],2,FALSE),0)</f>
        <v>0</v>
      </c>
      <c r="BH2012" s="1710">
        <f t="shared" si="138"/>
        <v>29629236803.306953</v>
      </c>
      <c r="BI2012" s="1710">
        <f t="shared" si="139"/>
        <v>27010459400.568859</v>
      </c>
      <c r="BJ2012" s="1711">
        <f t="shared" si="140"/>
        <v>23812727.547967378</v>
      </c>
      <c r="BK2012" s="1711">
        <f t="shared" si="141"/>
        <v>1.0969541970353507</v>
      </c>
      <c r="BL2012">
        <f t="shared" ref="BL2012:BL2018" si="144">BJ2012</f>
        <v>23812727.547967378</v>
      </c>
      <c r="BO2012">
        <f t="shared" ref="BO2012:BO2018" si="145">BL2012</f>
        <v>23812727.547967378</v>
      </c>
    </row>
    <row r="2013" spans="3:67" x14ac:dyDescent="0.25">
      <c r="C2013" s="246" t="s">
        <v>3363</v>
      </c>
      <c r="D2013" s="246">
        <v>1</v>
      </c>
      <c r="E2013" s="246">
        <v>2</v>
      </c>
      <c r="F2013" s="246">
        <v>3</v>
      </c>
      <c r="G2013" s="246">
        <v>4</v>
      </c>
      <c r="H2013" s="246">
        <v>5</v>
      </c>
      <c r="I2013" s="246">
        <v>9</v>
      </c>
      <c r="J2013" s="246">
        <v>10</v>
      </c>
      <c r="K2013" s="246">
        <v>12</v>
      </c>
      <c r="L2013" s="246">
        <v>13</v>
      </c>
      <c r="M2013" s="246">
        <v>15</v>
      </c>
      <c r="N2013" s="246">
        <v>16</v>
      </c>
      <c r="O2013" s="246">
        <v>17</v>
      </c>
      <c r="P2013" s="246"/>
      <c r="Q2013" s="246"/>
      <c r="R2013" s="246">
        <f>IFERROR(VLOOKUP(D2013,PROGRAMAS[],2,FALSE),0)</f>
        <v>97037803.679377079</v>
      </c>
      <c r="S2013" s="246">
        <f>IFERROR(VLOOKUP(E2013,PROGRAMAS[],2,FALSE),0)</f>
        <v>640501509.6821388</v>
      </c>
      <c r="T2013" s="246">
        <f>IFERROR(VLOOKUP(F2013,PROGRAMAS[],2,FALSE),0)</f>
        <v>3062327798.1525245</v>
      </c>
      <c r="U2013" s="246">
        <f>IFERROR(VLOOKUP(G2013,PROGRAMAS[],2,FALSE),0)</f>
        <v>67697118.033011258</v>
      </c>
      <c r="V2013" s="246">
        <f>IFERROR(VLOOKUP(H2013,PROGRAMAS[],2,FALSE),0)</f>
        <v>1440941976.2528784</v>
      </c>
      <c r="W2013" s="246">
        <f>IFERROR(VLOOKUP(I2013,PROGRAMAS[],2,FALSE),0)</f>
        <v>6128579952.1618185</v>
      </c>
      <c r="X2013" s="246">
        <f>IFERROR(VLOOKUP(J2013,PROGRAMAS[],2,FALSE),0)</f>
        <v>4635315027.8751087</v>
      </c>
      <c r="Y2013" s="246">
        <f>IFERROR(VLOOKUP(K2013,PROGRAMAS[],2,FALSE),0)</f>
        <v>764796700.79905891</v>
      </c>
      <c r="Z2013" s="246">
        <f>IFERROR(VLOOKUP(L2013,PROGRAMAS[],2,FALSE),0)</f>
        <v>3776538594.4604583</v>
      </c>
      <c r="AA2013" s="246">
        <f>IFERROR(VLOOKUP(M2013,PROGRAMAS[],2,FALSE),0)</f>
        <v>122159672.96346797</v>
      </c>
      <c r="AB2013" s="246">
        <f>IFERROR(VLOOKUP(N2013,PROGRAMAS[],2,FALSE),0)</f>
        <v>7068496961.0436354</v>
      </c>
      <c r="AC2013" s="246">
        <f>IFERROR(VLOOKUP(O2013,PROGRAMAS[],2,FALSE),0)</f>
        <v>1892779498.5211046</v>
      </c>
      <c r="AD2013" s="246">
        <f>IFERROR(VLOOKUP(P2013,PROGRAMAS[],2,FALSE),0)</f>
        <v>0</v>
      </c>
      <c r="AE2013" s="246">
        <f>IFERROR(VLOOKUP(Q2013,PROGRAMAS[],2,FALSE),0)</f>
        <v>0</v>
      </c>
      <c r="AF2013" s="246">
        <f>IFERROR(VLOOKUP(D2013,PROGRAMAS[],3,FALSE),0)</f>
        <v>841888629.31080008</v>
      </c>
      <c r="AG2013" s="246">
        <f>IFERROR(VLOOKUP(E2013,PROGRAMAS[],3,FALSE),0)</f>
        <v>3848980803.1642323</v>
      </c>
      <c r="AH2013" s="246">
        <f>IFERROR(VLOOKUP(F2013,PROGRAMAS[],3,FALSE),0)</f>
        <v>3394901471.387517</v>
      </c>
      <c r="AI2013" s="246">
        <f>IFERROR(VLOOKUP(G2013,PROGRAMAS[],3,FALSE),0)</f>
        <v>125317226.95549992</v>
      </c>
      <c r="AJ2013" s="246">
        <f>IFERROR(VLOOKUP(H2013,PROGRAMAS[],3,FALSE),0)</f>
        <v>1233505101.0616004</v>
      </c>
      <c r="AK2013" s="246">
        <f>IFERROR(VLOOKUP(I2013,PROGRAMAS[],3,FALSE),0)</f>
        <v>7011279577.519702</v>
      </c>
      <c r="AL2013" s="246">
        <f>IFERROR(VLOOKUP(J2013,PROGRAMAS[],3,FALSE),0)</f>
        <v>4099471734.9978786</v>
      </c>
      <c r="AM2013" s="246">
        <f>IFERROR(VLOOKUP(K2013,PROGRAMAS[],3,FALSE),0)</f>
        <v>675517840.109828</v>
      </c>
      <c r="AN2013" s="246">
        <f>IFERROR(VLOOKUP(L2013,PROGRAMAS[],3,FALSE),0)</f>
        <v>2392571243.5584412</v>
      </c>
      <c r="AO2013" s="246">
        <f>IFERROR(VLOOKUP(M2013,PROGRAMAS[],3,FALSE),0)</f>
        <v>118617452.52510804</v>
      </c>
      <c r="AP2013" s="246">
        <f>IFERROR(VLOOKUP(N2013,PROGRAMAS[],3,FALSE),0)</f>
        <v>2406564599.0319901</v>
      </c>
      <c r="AQ2013" s="246">
        <f>IFERROR(VLOOKUP(O2013,PROGRAMAS[],3,FALSE),0)</f>
        <v>948595847.09039903</v>
      </c>
      <c r="AR2013" s="246">
        <f>IFERROR(VLOOKUP(P2013,PROGRAMAS[],3,FALSE),0)</f>
        <v>0</v>
      </c>
      <c r="AS2013" s="246">
        <f>IFERROR(VLOOKUP(Q2013,PROGRAMAS[],3,FALSE),0)</f>
        <v>0</v>
      </c>
      <c r="AT2013" s="246">
        <f>IFERROR(VLOOKUP(D2013,VOL_REC[],2,FALSE),0)</f>
        <v>0</v>
      </c>
      <c r="AU2013" s="246">
        <f>IFERROR(VLOOKUP(E2013,VOL_REC[],2,FALSE),0)</f>
        <v>0</v>
      </c>
      <c r="AV2013" s="246">
        <f>IFERROR(VLOOKUP(F2013,VOL_REC[],2,FALSE),0)</f>
        <v>11089674.200000001</v>
      </c>
      <c r="AW2013" s="246">
        <f>IFERROR(VLOOKUP(G2013,VOL_REC[],2,FALSE),0)</f>
        <v>90439.55</v>
      </c>
      <c r="AX2013" s="246">
        <f>IFERROR(VLOOKUP(H2013,VOL_REC[],2,FALSE),0)</f>
        <v>4325103.1812214684</v>
      </c>
      <c r="AY2013" s="246">
        <f>IFERROR(VLOOKUP(I2013,VOL_REC[],2,FALSE),0)</f>
        <v>3761786</v>
      </c>
      <c r="AZ2013" s="246">
        <f>IFERROR(VLOOKUP(J2013,VOL_REC[],2,FALSE),0)</f>
        <v>1812240</v>
      </c>
      <c r="BA2013" s="246">
        <f>IFERROR(VLOOKUP(K2013,VOL_REC[],2,FALSE),0)</f>
        <v>240696.79238099116</v>
      </c>
      <c r="BB2013" s="246">
        <f>IFERROR(VLOOKUP(L2013,VOL_REC[],2,FALSE),0)</f>
        <v>663244.80000000016</v>
      </c>
      <c r="BC2013" s="246">
        <f>IFERROR(VLOOKUP(M2013,VOL_REC[],2,FALSE),0)</f>
        <v>105072</v>
      </c>
      <c r="BD2013" s="246">
        <f>IFERROR(VLOOKUP(N2013,VOL_REC[],2,FALSE),0)</f>
        <v>1072354.9981737854</v>
      </c>
      <c r="BE2013" s="246">
        <f>IFERROR(VLOOKUP(O2013,VOL_REC[],2,FALSE),0)</f>
        <v>740113.98115702497</v>
      </c>
      <c r="BF2013" s="246">
        <f>IFERROR(VLOOKUP(P2013,VOL_REC[],2,FALSE),0)</f>
        <v>0</v>
      </c>
      <c r="BG2013" s="246">
        <f>IFERROR(VLOOKUP(Q2013,VOL_REC[],2,FALSE),0)</f>
        <v>0</v>
      </c>
      <c r="BH2013" s="1710">
        <f t="shared" si="138"/>
        <v>29697172613.62458</v>
      </c>
      <c r="BI2013" s="1710">
        <f t="shared" si="139"/>
        <v>27097211526.713001</v>
      </c>
      <c r="BJ2013" s="1711">
        <f t="shared" si="140"/>
        <v>23900725.502933271</v>
      </c>
      <c r="BK2013" s="1711">
        <f t="shared" si="141"/>
        <v>1.0959493962819193</v>
      </c>
      <c r="BL2013">
        <f t="shared" si="144"/>
        <v>23900725.502933271</v>
      </c>
      <c r="BO2013">
        <f t="shared" si="145"/>
        <v>23900725.502933271</v>
      </c>
    </row>
    <row r="2014" spans="3:67" x14ac:dyDescent="0.25">
      <c r="C2014" s="246" t="s">
        <v>3364</v>
      </c>
      <c r="D2014" s="246">
        <v>1</v>
      </c>
      <c r="E2014" s="246">
        <v>2</v>
      </c>
      <c r="F2014" s="246">
        <v>3</v>
      </c>
      <c r="G2014" s="246">
        <v>4</v>
      </c>
      <c r="H2014" s="246">
        <v>5</v>
      </c>
      <c r="I2014" s="246">
        <v>9</v>
      </c>
      <c r="J2014" s="246">
        <v>10</v>
      </c>
      <c r="K2014" s="246">
        <v>12</v>
      </c>
      <c r="L2014" s="246">
        <v>14</v>
      </c>
      <c r="M2014" s="246">
        <v>15</v>
      </c>
      <c r="N2014" s="246">
        <v>16</v>
      </c>
      <c r="O2014" s="246">
        <v>17</v>
      </c>
      <c r="P2014" s="246"/>
      <c r="Q2014" s="246"/>
      <c r="R2014" s="246">
        <f>IFERROR(VLOOKUP(D2014,PROGRAMAS[],2,FALSE),0)</f>
        <v>97037803.679377079</v>
      </c>
      <c r="S2014" s="246">
        <f>IFERROR(VLOOKUP(E2014,PROGRAMAS[],2,FALSE),0)</f>
        <v>640501509.6821388</v>
      </c>
      <c r="T2014" s="246">
        <f>IFERROR(VLOOKUP(F2014,PROGRAMAS[],2,FALSE),0)</f>
        <v>3062327798.1525245</v>
      </c>
      <c r="U2014" s="246">
        <f>IFERROR(VLOOKUP(G2014,PROGRAMAS[],2,FALSE),0)</f>
        <v>67697118.033011258</v>
      </c>
      <c r="V2014" s="246">
        <f>IFERROR(VLOOKUP(H2014,PROGRAMAS[],2,FALSE),0)</f>
        <v>1440941976.2528784</v>
      </c>
      <c r="W2014" s="246">
        <f>IFERROR(VLOOKUP(I2014,PROGRAMAS[],2,FALSE),0)</f>
        <v>6128579952.1618185</v>
      </c>
      <c r="X2014" s="246">
        <f>IFERROR(VLOOKUP(J2014,PROGRAMAS[],2,FALSE),0)</f>
        <v>4635315027.8751087</v>
      </c>
      <c r="Y2014" s="246">
        <f>IFERROR(VLOOKUP(K2014,PROGRAMAS[],2,FALSE),0)</f>
        <v>764796700.79905891</v>
      </c>
      <c r="Z2014" s="246">
        <f>IFERROR(VLOOKUP(L2014,PROGRAMAS[],2,FALSE),0)</f>
        <v>54223862.645839565</v>
      </c>
      <c r="AA2014" s="246">
        <f>IFERROR(VLOOKUP(M2014,PROGRAMAS[],2,FALSE),0)</f>
        <v>122159672.96346797</v>
      </c>
      <c r="AB2014" s="246">
        <f>IFERROR(VLOOKUP(N2014,PROGRAMAS[],2,FALSE),0)</f>
        <v>7068496961.0436354</v>
      </c>
      <c r="AC2014" s="246">
        <f>IFERROR(VLOOKUP(O2014,PROGRAMAS[],2,FALSE),0)</f>
        <v>1892779498.5211046</v>
      </c>
      <c r="AD2014" s="246">
        <f>IFERROR(VLOOKUP(P2014,PROGRAMAS[],2,FALSE),0)</f>
        <v>0</v>
      </c>
      <c r="AE2014" s="246">
        <f>IFERROR(VLOOKUP(Q2014,PROGRAMAS[],2,FALSE),0)</f>
        <v>0</v>
      </c>
      <c r="AF2014" s="246">
        <f>IFERROR(VLOOKUP(D2014,PROGRAMAS[],3,FALSE),0)</f>
        <v>841888629.31080008</v>
      </c>
      <c r="AG2014" s="246">
        <f>IFERROR(VLOOKUP(E2014,PROGRAMAS[],3,FALSE),0)</f>
        <v>3848980803.1642323</v>
      </c>
      <c r="AH2014" s="246">
        <f>IFERROR(VLOOKUP(F2014,PROGRAMAS[],3,FALSE),0)</f>
        <v>3394901471.387517</v>
      </c>
      <c r="AI2014" s="246">
        <f>IFERROR(VLOOKUP(G2014,PROGRAMAS[],3,FALSE),0)</f>
        <v>125317226.95549992</v>
      </c>
      <c r="AJ2014" s="246">
        <f>IFERROR(VLOOKUP(H2014,PROGRAMAS[],3,FALSE),0)</f>
        <v>1233505101.0616004</v>
      </c>
      <c r="AK2014" s="246">
        <f>IFERROR(VLOOKUP(I2014,PROGRAMAS[],3,FALSE),0)</f>
        <v>7011279577.519702</v>
      </c>
      <c r="AL2014" s="246">
        <f>IFERROR(VLOOKUP(J2014,PROGRAMAS[],3,FALSE),0)</f>
        <v>4099471734.9978786</v>
      </c>
      <c r="AM2014" s="246">
        <f>IFERROR(VLOOKUP(K2014,PROGRAMAS[],3,FALSE),0)</f>
        <v>675517840.109828</v>
      </c>
      <c r="AN2014" s="246">
        <f>IFERROR(VLOOKUP(L2014,PROGRAMAS[],3,FALSE),0)</f>
        <v>31865326.38096505</v>
      </c>
      <c r="AO2014" s="246">
        <f>IFERROR(VLOOKUP(M2014,PROGRAMAS[],3,FALSE),0)</f>
        <v>118617452.52510804</v>
      </c>
      <c r="AP2014" s="246">
        <f>IFERROR(VLOOKUP(N2014,PROGRAMAS[],3,FALSE),0)</f>
        <v>2406564599.0319901</v>
      </c>
      <c r="AQ2014" s="246">
        <f>IFERROR(VLOOKUP(O2014,PROGRAMAS[],3,FALSE),0)</f>
        <v>948595847.09039903</v>
      </c>
      <c r="AR2014" s="246">
        <f>IFERROR(VLOOKUP(P2014,PROGRAMAS[],3,FALSE),0)</f>
        <v>0</v>
      </c>
      <c r="AS2014" s="246">
        <f>IFERROR(VLOOKUP(Q2014,PROGRAMAS[],3,FALSE),0)</f>
        <v>0</v>
      </c>
      <c r="AT2014" s="246">
        <f>IFERROR(VLOOKUP(D2014,VOL_REC[],2,FALSE),0)</f>
        <v>0</v>
      </c>
      <c r="AU2014" s="246">
        <f>IFERROR(VLOOKUP(E2014,VOL_REC[],2,FALSE),0)</f>
        <v>0</v>
      </c>
      <c r="AV2014" s="246">
        <f>IFERROR(VLOOKUP(F2014,VOL_REC[],2,FALSE),0)</f>
        <v>11089674.200000001</v>
      </c>
      <c r="AW2014" s="246">
        <f>IFERROR(VLOOKUP(G2014,VOL_REC[],2,FALSE),0)</f>
        <v>90439.55</v>
      </c>
      <c r="AX2014" s="246">
        <f>IFERROR(VLOOKUP(H2014,VOL_REC[],2,FALSE),0)</f>
        <v>4325103.1812214684</v>
      </c>
      <c r="AY2014" s="246">
        <f>IFERROR(VLOOKUP(I2014,VOL_REC[],2,FALSE),0)</f>
        <v>3761786</v>
      </c>
      <c r="AZ2014" s="246">
        <f>IFERROR(VLOOKUP(J2014,VOL_REC[],2,FALSE),0)</f>
        <v>1812240</v>
      </c>
      <c r="BA2014" s="246">
        <f>IFERROR(VLOOKUP(K2014,VOL_REC[],2,FALSE),0)</f>
        <v>240696.79238099116</v>
      </c>
      <c r="BB2014" s="246">
        <f>IFERROR(VLOOKUP(L2014,VOL_REC[],2,FALSE),0)</f>
        <v>17074.045034105649</v>
      </c>
      <c r="BC2014" s="246">
        <f>IFERROR(VLOOKUP(M2014,VOL_REC[],2,FALSE),0)</f>
        <v>105072</v>
      </c>
      <c r="BD2014" s="246">
        <f>IFERROR(VLOOKUP(N2014,VOL_REC[],2,FALSE),0)</f>
        <v>1072354.9981737854</v>
      </c>
      <c r="BE2014" s="246">
        <f>IFERROR(VLOOKUP(O2014,VOL_REC[],2,FALSE),0)</f>
        <v>740113.98115702497</v>
      </c>
      <c r="BF2014" s="246">
        <f>IFERROR(VLOOKUP(P2014,VOL_REC[],2,FALSE),0)</f>
        <v>0</v>
      </c>
      <c r="BG2014" s="246">
        <f>IFERROR(VLOOKUP(Q2014,VOL_REC[],2,FALSE),0)</f>
        <v>0</v>
      </c>
      <c r="BH2014" s="1710">
        <f t="shared" si="138"/>
        <v>25974857881.809963</v>
      </c>
      <c r="BI2014" s="1710">
        <f t="shared" si="139"/>
        <v>24736505609.535526</v>
      </c>
      <c r="BJ2014" s="1711">
        <f t="shared" si="140"/>
        <v>23254554.747967377</v>
      </c>
      <c r="BK2014" s="1711">
        <f t="shared" si="141"/>
        <v>1.0500617302953685</v>
      </c>
      <c r="BL2014">
        <f t="shared" si="144"/>
        <v>23254554.747967377</v>
      </c>
      <c r="BO2014">
        <f t="shared" si="145"/>
        <v>23254554.747967377</v>
      </c>
    </row>
    <row r="2015" spans="3:67" x14ac:dyDescent="0.25">
      <c r="C2015" s="246" t="s">
        <v>3365</v>
      </c>
      <c r="D2015" s="246">
        <v>1</v>
      </c>
      <c r="E2015" s="246">
        <v>2</v>
      </c>
      <c r="F2015" s="246">
        <v>3</v>
      </c>
      <c r="G2015" s="246">
        <v>4</v>
      </c>
      <c r="H2015" s="246">
        <v>5</v>
      </c>
      <c r="I2015" s="246">
        <v>9</v>
      </c>
      <c r="J2015" s="246">
        <v>10</v>
      </c>
      <c r="K2015" s="246">
        <v>13</v>
      </c>
      <c r="L2015" s="246">
        <v>14</v>
      </c>
      <c r="M2015" s="246">
        <v>15</v>
      </c>
      <c r="N2015" s="246">
        <v>16</v>
      </c>
      <c r="O2015" s="246">
        <v>17</v>
      </c>
      <c r="P2015" s="246"/>
      <c r="Q2015" s="246"/>
      <c r="R2015" s="246">
        <f>IFERROR(VLOOKUP(D2015,PROGRAMAS[],2,FALSE),0)</f>
        <v>97037803.679377079</v>
      </c>
      <c r="S2015" s="246">
        <f>IFERROR(VLOOKUP(E2015,PROGRAMAS[],2,FALSE),0)</f>
        <v>640501509.6821388</v>
      </c>
      <c r="T2015" s="246">
        <f>IFERROR(VLOOKUP(F2015,PROGRAMAS[],2,FALSE),0)</f>
        <v>3062327798.1525245</v>
      </c>
      <c r="U2015" s="246">
        <f>IFERROR(VLOOKUP(G2015,PROGRAMAS[],2,FALSE),0)</f>
        <v>67697118.033011258</v>
      </c>
      <c r="V2015" s="246">
        <f>IFERROR(VLOOKUP(H2015,PROGRAMAS[],2,FALSE),0)</f>
        <v>1440941976.2528784</v>
      </c>
      <c r="W2015" s="246">
        <f>IFERROR(VLOOKUP(I2015,PROGRAMAS[],2,FALSE),0)</f>
        <v>6128579952.1618185</v>
      </c>
      <c r="X2015" s="246">
        <f>IFERROR(VLOOKUP(J2015,PROGRAMAS[],2,FALSE),0)</f>
        <v>4635315027.8751087</v>
      </c>
      <c r="Y2015" s="246">
        <f>IFERROR(VLOOKUP(K2015,PROGRAMAS[],2,FALSE),0)</f>
        <v>3776538594.4604583</v>
      </c>
      <c r="Z2015" s="246">
        <f>IFERROR(VLOOKUP(L2015,PROGRAMAS[],2,FALSE),0)</f>
        <v>54223862.645839565</v>
      </c>
      <c r="AA2015" s="246">
        <f>IFERROR(VLOOKUP(M2015,PROGRAMAS[],2,FALSE),0)</f>
        <v>122159672.96346797</v>
      </c>
      <c r="AB2015" s="246">
        <f>IFERROR(VLOOKUP(N2015,PROGRAMAS[],2,FALSE),0)</f>
        <v>7068496961.0436354</v>
      </c>
      <c r="AC2015" s="246">
        <f>IFERROR(VLOOKUP(O2015,PROGRAMAS[],2,FALSE),0)</f>
        <v>1892779498.5211046</v>
      </c>
      <c r="AD2015" s="246">
        <f>IFERROR(VLOOKUP(P2015,PROGRAMAS[],2,FALSE),0)</f>
        <v>0</v>
      </c>
      <c r="AE2015" s="246">
        <f>IFERROR(VLOOKUP(Q2015,PROGRAMAS[],2,FALSE),0)</f>
        <v>0</v>
      </c>
      <c r="AF2015" s="246">
        <f>IFERROR(VLOOKUP(D2015,PROGRAMAS[],3,FALSE),0)</f>
        <v>841888629.31080008</v>
      </c>
      <c r="AG2015" s="246">
        <f>IFERROR(VLOOKUP(E2015,PROGRAMAS[],3,FALSE),0)</f>
        <v>3848980803.1642323</v>
      </c>
      <c r="AH2015" s="246">
        <f>IFERROR(VLOOKUP(F2015,PROGRAMAS[],3,FALSE),0)</f>
        <v>3394901471.387517</v>
      </c>
      <c r="AI2015" s="246">
        <f>IFERROR(VLOOKUP(G2015,PROGRAMAS[],3,FALSE),0)</f>
        <v>125317226.95549992</v>
      </c>
      <c r="AJ2015" s="246">
        <f>IFERROR(VLOOKUP(H2015,PROGRAMAS[],3,FALSE),0)</f>
        <v>1233505101.0616004</v>
      </c>
      <c r="AK2015" s="246">
        <f>IFERROR(VLOOKUP(I2015,PROGRAMAS[],3,FALSE),0)</f>
        <v>7011279577.519702</v>
      </c>
      <c r="AL2015" s="246">
        <f>IFERROR(VLOOKUP(J2015,PROGRAMAS[],3,FALSE),0)</f>
        <v>4099471734.9978786</v>
      </c>
      <c r="AM2015" s="246">
        <f>IFERROR(VLOOKUP(K2015,PROGRAMAS[],3,FALSE),0)</f>
        <v>2392571243.5584412</v>
      </c>
      <c r="AN2015" s="246">
        <f>IFERROR(VLOOKUP(L2015,PROGRAMAS[],3,FALSE),0)</f>
        <v>31865326.38096505</v>
      </c>
      <c r="AO2015" s="246">
        <f>IFERROR(VLOOKUP(M2015,PROGRAMAS[],3,FALSE),0)</f>
        <v>118617452.52510804</v>
      </c>
      <c r="AP2015" s="246">
        <f>IFERROR(VLOOKUP(N2015,PROGRAMAS[],3,FALSE),0)</f>
        <v>2406564599.0319901</v>
      </c>
      <c r="AQ2015" s="246">
        <f>IFERROR(VLOOKUP(O2015,PROGRAMAS[],3,FALSE),0)</f>
        <v>948595847.09039903</v>
      </c>
      <c r="AR2015" s="246">
        <f>IFERROR(VLOOKUP(P2015,PROGRAMAS[],3,FALSE),0)</f>
        <v>0</v>
      </c>
      <c r="AS2015" s="246">
        <f>IFERROR(VLOOKUP(Q2015,PROGRAMAS[],3,FALSE),0)</f>
        <v>0</v>
      </c>
      <c r="AT2015" s="246">
        <f>IFERROR(VLOOKUP(D2015,VOL_REC[],2,FALSE),0)</f>
        <v>0</v>
      </c>
      <c r="AU2015" s="246">
        <f>IFERROR(VLOOKUP(E2015,VOL_REC[],2,FALSE),0)</f>
        <v>0</v>
      </c>
      <c r="AV2015" s="246">
        <f>IFERROR(VLOOKUP(F2015,VOL_REC[],2,FALSE),0)</f>
        <v>11089674.200000001</v>
      </c>
      <c r="AW2015" s="246">
        <f>IFERROR(VLOOKUP(G2015,VOL_REC[],2,FALSE),0)</f>
        <v>90439.55</v>
      </c>
      <c r="AX2015" s="246">
        <f>IFERROR(VLOOKUP(H2015,VOL_REC[],2,FALSE),0)</f>
        <v>4325103.1812214684</v>
      </c>
      <c r="AY2015" s="246">
        <f>IFERROR(VLOOKUP(I2015,VOL_REC[],2,FALSE),0)</f>
        <v>3761786</v>
      </c>
      <c r="AZ2015" s="246">
        <f>IFERROR(VLOOKUP(J2015,VOL_REC[],2,FALSE),0)</f>
        <v>1812240</v>
      </c>
      <c r="BA2015" s="246">
        <f>IFERROR(VLOOKUP(K2015,VOL_REC[],2,FALSE),0)</f>
        <v>663244.80000000016</v>
      </c>
      <c r="BB2015" s="246">
        <f>IFERROR(VLOOKUP(L2015,VOL_REC[],2,FALSE),0)</f>
        <v>17074.045034105649</v>
      </c>
      <c r="BC2015" s="246">
        <f>IFERROR(VLOOKUP(M2015,VOL_REC[],2,FALSE),0)</f>
        <v>105072</v>
      </c>
      <c r="BD2015" s="246">
        <f>IFERROR(VLOOKUP(N2015,VOL_REC[],2,FALSE),0)</f>
        <v>1072354.9981737854</v>
      </c>
      <c r="BE2015" s="246">
        <f>IFERROR(VLOOKUP(O2015,VOL_REC[],2,FALSE),0)</f>
        <v>740113.98115702497</v>
      </c>
      <c r="BF2015" s="246">
        <f>IFERROR(VLOOKUP(P2015,VOL_REC[],2,FALSE),0)</f>
        <v>0</v>
      </c>
      <c r="BG2015" s="246">
        <f>IFERROR(VLOOKUP(Q2015,VOL_REC[],2,FALSE),0)</f>
        <v>0</v>
      </c>
      <c r="BH2015" s="1710">
        <f t="shared" si="138"/>
        <v>28986599775.471363</v>
      </c>
      <c r="BI2015" s="1710">
        <f t="shared" si="139"/>
        <v>26453559012.984138</v>
      </c>
      <c r="BJ2015" s="1711">
        <f t="shared" si="140"/>
        <v>23677102.755586386</v>
      </c>
      <c r="BK2015" s="1711">
        <f t="shared" si="141"/>
        <v>1.0957542522442421</v>
      </c>
      <c r="BL2015">
        <f t="shared" si="144"/>
        <v>23677102.755586386</v>
      </c>
      <c r="BO2015">
        <f t="shared" si="145"/>
        <v>23677102.755586386</v>
      </c>
    </row>
    <row r="2016" spans="3:67" x14ac:dyDescent="0.25">
      <c r="C2016" s="246" t="s">
        <v>3366</v>
      </c>
      <c r="D2016" s="246">
        <v>1</v>
      </c>
      <c r="E2016" s="246">
        <v>2</v>
      </c>
      <c r="F2016" s="246">
        <v>3</v>
      </c>
      <c r="G2016" s="246">
        <v>4</v>
      </c>
      <c r="H2016" s="246">
        <v>5</v>
      </c>
      <c r="I2016" s="246">
        <v>9</v>
      </c>
      <c r="J2016" s="246">
        <v>12</v>
      </c>
      <c r="K2016" s="246">
        <v>13</v>
      </c>
      <c r="L2016" s="246">
        <v>14</v>
      </c>
      <c r="M2016" s="246">
        <v>15</v>
      </c>
      <c r="N2016" s="246">
        <v>16</v>
      </c>
      <c r="O2016" s="246">
        <v>17</v>
      </c>
      <c r="P2016" s="246"/>
      <c r="Q2016" s="246"/>
      <c r="R2016" s="246">
        <f>IFERROR(VLOOKUP(D2016,PROGRAMAS[],2,FALSE),0)</f>
        <v>97037803.679377079</v>
      </c>
      <c r="S2016" s="246">
        <f>IFERROR(VLOOKUP(E2016,PROGRAMAS[],2,FALSE),0)</f>
        <v>640501509.6821388</v>
      </c>
      <c r="T2016" s="246">
        <f>IFERROR(VLOOKUP(F2016,PROGRAMAS[],2,FALSE),0)</f>
        <v>3062327798.1525245</v>
      </c>
      <c r="U2016" s="246">
        <f>IFERROR(VLOOKUP(G2016,PROGRAMAS[],2,FALSE),0)</f>
        <v>67697118.033011258</v>
      </c>
      <c r="V2016" s="246">
        <f>IFERROR(VLOOKUP(H2016,PROGRAMAS[],2,FALSE),0)</f>
        <v>1440941976.2528784</v>
      </c>
      <c r="W2016" s="246">
        <f>IFERROR(VLOOKUP(I2016,PROGRAMAS[],2,FALSE),0)</f>
        <v>6128579952.1618185</v>
      </c>
      <c r="X2016" s="246">
        <f>IFERROR(VLOOKUP(J2016,PROGRAMAS[],2,FALSE),0)</f>
        <v>764796700.79905891</v>
      </c>
      <c r="Y2016" s="246">
        <f>IFERROR(VLOOKUP(K2016,PROGRAMAS[],2,FALSE),0)</f>
        <v>3776538594.4604583</v>
      </c>
      <c r="Z2016" s="246">
        <f>IFERROR(VLOOKUP(L2016,PROGRAMAS[],2,FALSE),0)</f>
        <v>54223862.645839565</v>
      </c>
      <c r="AA2016" s="246">
        <f>IFERROR(VLOOKUP(M2016,PROGRAMAS[],2,FALSE),0)</f>
        <v>122159672.96346797</v>
      </c>
      <c r="AB2016" s="246">
        <f>IFERROR(VLOOKUP(N2016,PROGRAMAS[],2,FALSE),0)</f>
        <v>7068496961.0436354</v>
      </c>
      <c r="AC2016" s="246">
        <f>IFERROR(VLOOKUP(O2016,PROGRAMAS[],2,FALSE),0)</f>
        <v>1892779498.5211046</v>
      </c>
      <c r="AD2016" s="246">
        <f>IFERROR(VLOOKUP(P2016,PROGRAMAS[],2,FALSE),0)</f>
        <v>0</v>
      </c>
      <c r="AE2016" s="246">
        <f>IFERROR(VLOOKUP(Q2016,PROGRAMAS[],2,FALSE),0)</f>
        <v>0</v>
      </c>
      <c r="AF2016" s="246">
        <f>IFERROR(VLOOKUP(D2016,PROGRAMAS[],3,FALSE),0)</f>
        <v>841888629.31080008</v>
      </c>
      <c r="AG2016" s="246">
        <f>IFERROR(VLOOKUP(E2016,PROGRAMAS[],3,FALSE),0)</f>
        <v>3848980803.1642323</v>
      </c>
      <c r="AH2016" s="246">
        <f>IFERROR(VLOOKUP(F2016,PROGRAMAS[],3,FALSE),0)</f>
        <v>3394901471.387517</v>
      </c>
      <c r="AI2016" s="246">
        <f>IFERROR(VLOOKUP(G2016,PROGRAMAS[],3,FALSE),0)</f>
        <v>125317226.95549992</v>
      </c>
      <c r="AJ2016" s="246">
        <f>IFERROR(VLOOKUP(H2016,PROGRAMAS[],3,FALSE),0)</f>
        <v>1233505101.0616004</v>
      </c>
      <c r="AK2016" s="246">
        <f>IFERROR(VLOOKUP(I2016,PROGRAMAS[],3,FALSE),0)</f>
        <v>7011279577.519702</v>
      </c>
      <c r="AL2016" s="246">
        <f>IFERROR(VLOOKUP(J2016,PROGRAMAS[],3,FALSE),0)</f>
        <v>675517840.109828</v>
      </c>
      <c r="AM2016" s="246">
        <f>IFERROR(VLOOKUP(K2016,PROGRAMAS[],3,FALSE),0)</f>
        <v>2392571243.5584412</v>
      </c>
      <c r="AN2016" s="246">
        <f>IFERROR(VLOOKUP(L2016,PROGRAMAS[],3,FALSE),0)</f>
        <v>31865326.38096505</v>
      </c>
      <c r="AO2016" s="246">
        <f>IFERROR(VLOOKUP(M2016,PROGRAMAS[],3,FALSE),0)</f>
        <v>118617452.52510804</v>
      </c>
      <c r="AP2016" s="246">
        <f>IFERROR(VLOOKUP(N2016,PROGRAMAS[],3,FALSE),0)</f>
        <v>2406564599.0319901</v>
      </c>
      <c r="AQ2016" s="246">
        <f>IFERROR(VLOOKUP(O2016,PROGRAMAS[],3,FALSE),0)</f>
        <v>948595847.09039903</v>
      </c>
      <c r="AR2016" s="246">
        <f>IFERROR(VLOOKUP(P2016,PROGRAMAS[],3,FALSE),0)</f>
        <v>0</v>
      </c>
      <c r="AS2016" s="246">
        <f>IFERROR(VLOOKUP(Q2016,PROGRAMAS[],3,FALSE),0)</f>
        <v>0</v>
      </c>
      <c r="AT2016" s="246">
        <f>IFERROR(VLOOKUP(D2016,VOL_REC[],2,FALSE),0)</f>
        <v>0</v>
      </c>
      <c r="AU2016" s="246">
        <f>IFERROR(VLOOKUP(E2016,VOL_REC[],2,FALSE),0)</f>
        <v>0</v>
      </c>
      <c r="AV2016" s="246">
        <f>IFERROR(VLOOKUP(F2016,VOL_REC[],2,FALSE),0)</f>
        <v>11089674.200000001</v>
      </c>
      <c r="AW2016" s="246">
        <f>IFERROR(VLOOKUP(G2016,VOL_REC[],2,FALSE),0)</f>
        <v>90439.55</v>
      </c>
      <c r="AX2016" s="246">
        <f>IFERROR(VLOOKUP(H2016,VOL_REC[],2,FALSE),0)</f>
        <v>4325103.1812214684</v>
      </c>
      <c r="AY2016" s="246">
        <f>IFERROR(VLOOKUP(I2016,VOL_REC[],2,FALSE),0)</f>
        <v>3761786</v>
      </c>
      <c r="AZ2016" s="246">
        <f>IFERROR(VLOOKUP(J2016,VOL_REC[],2,FALSE),0)</f>
        <v>240696.79238099116</v>
      </c>
      <c r="BA2016" s="246">
        <f>IFERROR(VLOOKUP(K2016,VOL_REC[],2,FALSE),0)</f>
        <v>663244.80000000016</v>
      </c>
      <c r="BB2016" s="246">
        <f>IFERROR(VLOOKUP(L2016,VOL_REC[],2,FALSE),0)</f>
        <v>17074.045034105649</v>
      </c>
      <c r="BC2016" s="246">
        <f>IFERROR(VLOOKUP(M2016,VOL_REC[],2,FALSE),0)</f>
        <v>105072</v>
      </c>
      <c r="BD2016" s="246">
        <f>IFERROR(VLOOKUP(N2016,VOL_REC[],2,FALSE),0)</f>
        <v>1072354.9981737854</v>
      </c>
      <c r="BE2016" s="246">
        <f>IFERROR(VLOOKUP(O2016,VOL_REC[],2,FALSE),0)</f>
        <v>740113.98115702497</v>
      </c>
      <c r="BF2016" s="246">
        <f>IFERROR(VLOOKUP(P2016,VOL_REC[],2,FALSE),0)</f>
        <v>0</v>
      </c>
      <c r="BG2016" s="246">
        <f>IFERROR(VLOOKUP(Q2016,VOL_REC[],2,FALSE),0)</f>
        <v>0</v>
      </c>
      <c r="BH2016" s="1710">
        <f t="shared" si="138"/>
        <v>25116081448.395313</v>
      </c>
      <c r="BI2016" s="1710">
        <f t="shared" si="139"/>
        <v>23029605118.096088</v>
      </c>
      <c r="BJ2016" s="1711">
        <f t="shared" si="140"/>
        <v>22105559.547967378</v>
      </c>
      <c r="BK2016" s="1711">
        <f t="shared" si="141"/>
        <v>1.0905997440946011</v>
      </c>
      <c r="BL2016">
        <f t="shared" si="144"/>
        <v>22105559.547967378</v>
      </c>
      <c r="BO2016">
        <f t="shared" si="145"/>
        <v>22105559.547967378</v>
      </c>
    </row>
    <row r="2017" spans="3:67" x14ac:dyDescent="0.25">
      <c r="C2017" s="246" t="s">
        <v>3367</v>
      </c>
      <c r="D2017" s="246">
        <v>1</v>
      </c>
      <c r="E2017" s="246">
        <v>2</v>
      </c>
      <c r="F2017" s="246">
        <v>3</v>
      </c>
      <c r="G2017" s="246">
        <v>4</v>
      </c>
      <c r="H2017" s="246">
        <v>5</v>
      </c>
      <c r="I2017" s="246">
        <v>10</v>
      </c>
      <c r="J2017" s="246">
        <v>12</v>
      </c>
      <c r="K2017" s="246">
        <v>13</v>
      </c>
      <c r="L2017" s="246">
        <v>14</v>
      </c>
      <c r="M2017" s="246">
        <v>15</v>
      </c>
      <c r="N2017" s="246">
        <v>16</v>
      </c>
      <c r="O2017" s="246">
        <v>17</v>
      </c>
      <c r="P2017" s="246"/>
      <c r="Q2017" s="246"/>
      <c r="R2017" s="246">
        <f>IFERROR(VLOOKUP(D2017,PROGRAMAS[],2,FALSE),0)</f>
        <v>97037803.679377079</v>
      </c>
      <c r="S2017" s="246">
        <f>IFERROR(VLOOKUP(E2017,PROGRAMAS[],2,FALSE),0)</f>
        <v>640501509.6821388</v>
      </c>
      <c r="T2017" s="246">
        <f>IFERROR(VLOOKUP(F2017,PROGRAMAS[],2,FALSE),0)</f>
        <v>3062327798.1525245</v>
      </c>
      <c r="U2017" s="246">
        <f>IFERROR(VLOOKUP(G2017,PROGRAMAS[],2,FALSE),0)</f>
        <v>67697118.033011258</v>
      </c>
      <c r="V2017" s="246">
        <f>IFERROR(VLOOKUP(H2017,PROGRAMAS[],2,FALSE),0)</f>
        <v>1440941976.2528784</v>
      </c>
      <c r="W2017" s="246">
        <f>IFERROR(VLOOKUP(I2017,PROGRAMAS[],2,FALSE),0)</f>
        <v>4635315027.8751087</v>
      </c>
      <c r="X2017" s="246">
        <f>IFERROR(VLOOKUP(J2017,PROGRAMAS[],2,FALSE),0)</f>
        <v>764796700.79905891</v>
      </c>
      <c r="Y2017" s="246">
        <f>IFERROR(VLOOKUP(K2017,PROGRAMAS[],2,FALSE),0)</f>
        <v>3776538594.4604583</v>
      </c>
      <c r="Z2017" s="246">
        <f>IFERROR(VLOOKUP(L2017,PROGRAMAS[],2,FALSE),0)</f>
        <v>54223862.645839565</v>
      </c>
      <c r="AA2017" s="246">
        <f>IFERROR(VLOOKUP(M2017,PROGRAMAS[],2,FALSE),0)</f>
        <v>122159672.96346797</v>
      </c>
      <c r="AB2017" s="246">
        <f>IFERROR(VLOOKUP(N2017,PROGRAMAS[],2,FALSE),0)</f>
        <v>7068496961.0436354</v>
      </c>
      <c r="AC2017" s="246">
        <f>IFERROR(VLOOKUP(O2017,PROGRAMAS[],2,FALSE),0)</f>
        <v>1892779498.5211046</v>
      </c>
      <c r="AD2017" s="246">
        <f>IFERROR(VLOOKUP(P2017,PROGRAMAS[],2,FALSE),0)</f>
        <v>0</v>
      </c>
      <c r="AE2017" s="246">
        <f>IFERROR(VLOOKUP(Q2017,PROGRAMAS[],2,FALSE),0)</f>
        <v>0</v>
      </c>
      <c r="AF2017" s="246">
        <f>IFERROR(VLOOKUP(D2017,PROGRAMAS[],3,FALSE),0)</f>
        <v>841888629.31080008</v>
      </c>
      <c r="AG2017" s="246">
        <f>IFERROR(VLOOKUP(E2017,PROGRAMAS[],3,FALSE),0)</f>
        <v>3848980803.1642323</v>
      </c>
      <c r="AH2017" s="246">
        <f>IFERROR(VLOOKUP(F2017,PROGRAMAS[],3,FALSE),0)</f>
        <v>3394901471.387517</v>
      </c>
      <c r="AI2017" s="246">
        <f>IFERROR(VLOOKUP(G2017,PROGRAMAS[],3,FALSE),0)</f>
        <v>125317226.95549992</v>
      </c>
      <c r="AJ2017" s="246">
        <f>IFERROR(VLOOKUP(H2017,PROGRAMAS[],3,FALSE),0)</f>
        <v>1233505101.0616004</v>
      </c>
      <c r="AK2017" s="246">
        <f>IFERROR(VLOOKUP(I2017,PROGRAMAS[],3,FALSE),0)</f>
        <v>4099471734.9978786</v>
      </c>
      <c r="AL2017" s="246">
        <f>IFERROR(VLOOKUP(J2017,PROGRAMAS[],3,FALSE),0)</f>
        <v>675517840.109828</v>
      </c>
      <c r="AM2017" s="246">
        <f>IFERROR(VLOOKUP(K2017,PROGRAMAS[],3,FALSE),0)</f>
        <v>2392571243.5584412</v>
      </c>
      <c r="AN2017" s="246">
        <f>IFERROR(VLOOKUP(L2017,PROGRAMAS[],3,FALSE),0)</f>
        <v>31865326.38096505</v>
      </c>
      <c r="AO2017" s="246">
        <f>IFERROR(VLOOKUP(M2017,PROGRAMAS[],3,FALSE),0)</f>
        <v>118617452.52510804</v>
      </c>
      <c r="AP2017" s="246">
        <f>IFERROR(VLOOKUP(N2017,PROGRAMAS[],3,FALSE),0)</f>
        <v>2406564599.0319901</v>
      </c>
      <c r="AQ2017" s="246">
        <f>IFERROR(VLOOKUP(O2017,PROGRAMAS[],3,FALSE),0)</f>
        <v>948595847.09039903</v>
      </c>
      <c r="AR2017" s="246">
        <f>IFERROR(VLOOKUP(P2017,PROGRAMAS[],3,FALSE),0)</f>
        <v>0</v>
      </c>
      <c r="AS2017" s="246">
        <f>IFERROR(VLOOKUP(Q2017,PROGRAMAS[],3,FALSE),0)</f>
        <v>0</v>
      </c>
      <c r="AT2017" s="246">
        <f>IFERROR(VLOOKUP(D2017,VOL_REC[],2,FALSE),0)</f>
        <v>0</v>
      </c>
      <c r="AU2017" s="246">
        <f>IFERROR(VLOOKUP(E2017,VOL_REC[],2,FALSE),0)</f>
        <v>0</v>
      </c>
      <c r="AV2017" s="246">
        <f>IFERROR(VLOOKUP(F2017,VOL_REC[],2,FALSE),0)</f>
        <v>11089674.200000001</v>
      </c>
      <c r="AW2017" s="246">
        <f>IFERROR(VLOOKUP(G2017,VOL_REC[],2,FALSE),0)</f>
        <v>90439.55</v>
      </c>
      <c r="AX2017" s="246">
        <f>IFERROR(VLOOKUP(H2017,VOL_REC[],2,FALSE),0)</f>
        <v>4325103.1812214684</v>
      </c>
      <c r="AY2017" s="246">
        <f>IFERROR(VLOOKUP(I2017,VOL_REC[],2,FALSE),0)</f>
        <v>1812240</v>
      </c>
      <c r="AZ2017" s="246">
        <f>IFERROR(VLOOKUP(J2017,VOL_REC[],2,FALSE),0)</f>
        <v>240696.79238099116</v>
      </c>
      <c r="BA2017" s="246">
        <f>IFERROR(VLOOKUP(K2017,VOL_REC[],2,FALSE),0)</f>
        <v>663244.80000000016</v>
      </c>
      <c r="BB2017" s="246">
        <f>IFERROR(VLOOKUP(L2017,VOL_REC[],2,FALSE),0)</f>
        <v>17074.045034105649</v>
      </c>
      <c r="BC2017" s="246">
        <f>IFERROR(VLOOKUP(M2017,VOL_REC[],2,FALSE),0)</f>
        <v>105072</v>
      </c>
      <c r="BD2017" s="246">
        <f>IFERROR(VLOOKUP(N2017,VOL_REC[],2,FALSE),0)</f>
        <v>1072354.9981737854</v>
      </c>
      <c r="BE2017" s="246">
        <f>IFERROR(VLOOKUP(O2017,VOL_REC[],2,FALSE),0)</f>
        <v>740113.98115702497</v>
      </c>
      <c r="BF2017" s="246">
        <f>IFERROR(VLOOKUP(P2017,VOL_REC[],2,FALSE),0)</f>
        <v>0</v>
      </c>
      <c r="BG2017" s="246">
        <f>IFERROR(VLOOKUP(Q2017,VOL_REC[],2,FALSE),0)</f>
        <v>0</v>
      </c>
      <c r="BH2017" s="1710">
        <f t="shared" si="138"/>
        <v>23622816524.108604</v>
      </c>
      <c r="BI2017" s="1710">
        <f t="shared" si="139"/>
        <v>20117797275.574265</v>
      </c>
      <c r="BJ2017" s="1711">
        <f t="shared" si="140"/>
        <v>20156013.547967378</v>
      </c>
      <c r="BK2017" s="1711">
        <f t="shared" si="141"/>
        <v>1.1742248020756183</v>
      </c>
      <c r="BL2017">
        <f t="shared" si="144"/>
        <v>20156013.547967378</v>
      </c>
      <c r="BO2017">
        <f t="shared" si="145"/>
        <v>20156013.547967378</v>
      </c>
    </row>
    <row r="2018" spans="3:67" x14ac:dyDescent="0.25">
      <c r="C2018" s="246" t="s">
        <v>3368</v>
      </c>
      <c r="D2018" s="246">
        <v>1</v>
      </c>
      <c r="E2018" s="246">
        <v>2</v>
      </c>
      <c r="F2018" s="246">
        <v>3</v>
      </c>
      <c r="G2018" s="246">
        <v>4</v>
      </c>
      <c r="H2018" s="246">
        <v>6</v>
      </c>
      <c r="I2018" s="246">
        <v>9</v>
      </c>
      <c r="J2018" s="246">
        <v>10</v>
      </c>
      <c r="K2018" s="246">
        <v>12</v>
      </c>
      <c r="L2018" s="246">
        <v>13</v>
      </c>
      <c r="M2018" s="246">
        <v>14</v>
      </c>
      <c r="N2018" s="246">
        <v>15</v>
      </c>
      <c r="O2018" s="246">
        <v>16</v>
      </c>
      <c r="P2018" s="246"/>
      <c r="Q2018" s="246"/>
      <c r="R2018" s="246">
        <f>IFERROR(VLOOKUP(D2018,PROGRAMAS[],2,FALSE),0)</f>
        <v>97037803.679377079</v>
      </c>
      <c r="S2018" s="246">
        <f>IFERROR(VLOOKUP(E2018,PROGRAMAS[],2,FALSE),0)</f>
        <v>640501509.6821388</v>
      </c>
      <c r="T2018" s="246">
        <f>IFERROR(VLOOKUP(F2018,PROGRAMAS[],2,FALSE),0)</f>
        <v>3062327798.1525245</v>
      </c>
      <c r="U2018" s="246">
        <f>IFERROR(VLOOKUP(G2018,PROGRAMAS[],2,FALSE),0)</f>
        <v>67697118.033011258</v>
      </c>
      <c r="V2018" s="246">
        <f>IFERROR(VLOOKUP(H2018,PROGRAMAS[],2,FALSE),0)</f>
        <v>6907648435.8447599</v>
      </c>
      <c r="W2018" s="246">
        <f>IFERROR(VLOOKUP(I2018,PROGRAMAS[],2,FALSE),0)</f>
        <v>6128579952.1618185</v>
      </c>
      <c r="X2018" s="246">
        <f>IFERROR(VLOOKUP(J2018,PROGRAMAS[],2,FALSE),0)</f>
        <v>4635315027.8751087</v>
      </c>
      <c r="Y2018" s="246">
        <f>IFERROR(VLOOKUP(K2018,PROGRAMAS[],2,FALSE),0)</f>
        <v>764796700.79905891</v>
      </c>
      <c r="Z2018" s="246">
        <f>IFERROR(VLOOKUP(L2018,PROGRAMAS[],2,FALSE),0)</f>
        <v>3776538594.4604583</v>
      </c>
      <c r="AA2018" s="246">
        <f>IFERROR(VLOOKUP(M2018,PROGRAMAS[],2,FALSE),0)</f>
        <v>54223862.645839565</v>
      </c>
      <c r="AB2018" s="246">
        <f>IFERROR(VLOOKUP(N2018,PROGRAMAS[],2,FALSE),0)</f>
        <v>122159672.96346797</v>
      </c>
      <c r="AC2018" s="246">
        <f>IFERROR(VLOOKUP(O2018,PROGRAMAS[],2,FALSE),0)</f>
        <v>7068496961.0436354</v>
      </c>
      <c r="AD2018" s="246">
        <f>IFERROR(VLOOKUP(P2018,PROGRAMAS[],2,FALSE),0)</f>
        <v>0</v>
      </c>
      <c r="AE2018" s="246">
        <f>IFERROR(VLOOKUP(Q2018,PROGRAMAS[],2,FALSE),0)</f>
        <v>0</v>
      </c>
      <c r="AF2018" s="246">
        <f>IFERROR(VLOOKUP(D2018,PROGRAMAS[],3,FALSE),0)</f>
        <v>841888629.31080008</v>
      </c>
      <c r="AG2018" s="246">
        <f>IFERROR(VLOOKUP(E2018,PROGRAMAS[],3,FALSE),0)</f>
        <v>3848980803.1642323</v>
      </c>
      <c r="AH2018" s="246">
        <f>IFERROR(VLOOKUP(F2018,PROGRAMAS[],3,FALSE),0)</f>
        <v>3394901471.387517</v>
      </c>
      <c r="AI2018" s="246">
        <f>IFERROR(VLOOKUP(G2018,PROGRAMAS[],3,FALSE),0)</f>
        <v>125317226.95549992</v>
      </c>
      <c r="AJ2018" s="246">
        <f>IFERROR(VLOOKUP(H2018,PROGRAMAS[],3,FALSE),0)</f>
        <v>6129902208.7912121</v>
      </c>
      <c r="AK2018" s="246">
        <f>IFERROR(VLOOKUP(I2018,PROGRAMAS[],3,FALSE),0)</f>
        <v>7011279577.519702</v>
      </c>
      <c r="AL2018" s="246">
        <f>IFERROR(VLOOKUP(J2018,PROGRAMAS[],3,FALSE),0)</f>
        <v>4099471734.9978786</v>
      </c>
      <c r="AM2018" s="246">
        <f>IFERROR(VLOOKUP(K2018,PROGRAMAS[],3,FALSE),0)</f>
        <v>675517840.109828</v>
      </c>
      <c r="AN2018" s="246">
        <f>IFERROR(VLOOKUP(L2018,PROGRAMAS[],3,FALSE),0)</f>
        <v>2392571243.5584412</v>
      </c>
      <c r="AO2018" s="246">
        <f>IFERROR(VLOOKUP(M2018,PROGRAMAS[],3,FALSE),0)</f>
        <v>31865326.38096505</v>
      </c>
      <c r="AP2018" s="246">
        <f>IFERROR(VLOOKUP(N2018,PROGRAMAS[],3,FALSE),0)</f>
        <v>118617452.52510804</v>
      </c>
      <c r="AQ2018" s="246">
        <f>IFERROR(VLOOKUP(O2018,PROGRAMAS[],3,FALSE),0)</f>
        <v>2406564599.0319901</v>
      </c>
      <c r="AR2018" s="246">
        <f>IFERROR(VLOOKUP(P2018,PROGRAMAS[],3,FALSE),0)</f>
        <v>0</v>
      </c>
      <c r="AS2018" s="246">
        <f>IFERROR(VLOOKUP(Q2018,PROGRAMAS[],3,FALSE),0)</f>
        <v>0</v>
      </c>
      <c r="AT2018" s="246">
        <f>IFERROR(VLOOKUP(D2018,VOL_REC[],2,FALSE),0)</f>
        <v>0</v>
      </c>
      <c r="AU2018" s="246">
        <f>IFERROR(VLOOKUP(E2018,VOL_REC[],2,FALSE),0)</f>
        <v>0</v>
      </c>
      <c r="AV2018" s="246">
        <f>IFERROR(VLOOKUP(F2018,VOL_REC[],2,FALSE),0)</f>
        <v>11089674.200000001</v>
      </c>
      <c r="AW2018" s="246">
        <f>IFERROR(VLOOKUP(G2018,VOL_REC[],2,FALSE),0)</f>
        <v>90439.55</v>
      </c>
      <c r="AX2018" s="246">
        <f>IFERROR(VLOOKUP(H2018,VOL_REC[],2,FALSE),0)</f>
        <v>15540036.397699751</v>
      </c>
      <c r="AY2018" s="246">
        <f>IFERROR(VLOOKUP(I2018,VOL_REC[],2,FALSE),0)</f>
        <v>3761786</v>
      </c>
      <c r="AZ2018" s="246">
        <f>IFERROR(VLOOKUP(J2018,VOL_REC[],2,FALSE),0)</f>
        <v>1812240</v>
      </c>
      <c r="BA2018" s="246">
        <f>IFERROR(VLOOKUP(K2018,VOL_REC[],2,FALSE),0)</f>
        <v>240696.79238099116</v>
      </c>
      <c r="BB2018" s="246">
        <f>IFERROR(VLOOKUP(L2018,VOL_REC[],2,FALSE),0)</f>
        <v>663244.80000000016</v>
      </c>
      <c r="BC2018" s="246">
        <f>IFERROR(VLOOKUP(M2018,VOL_REC[],2,FALSE),0)</f>
        <v>17074.045034105649</v>
      </c>
      <c r="BD2018" s="246">
        <f>IFERROR(VLOOKUP(N2018,VOL_REC[],2,FALSE),0)</f>
        <v>105072</v>
      </c>
      <c r="BE2018" s="246">
        <f>IFERROR(VLOOKUP(O2018,VOL_REC[],2,FALSE),0)</f>
        <v>1072354.9981737854</v>
      </c>
      <c r="BF2018" s="246">
        <f>IFERROR(VLOOKUP(P2018,VOL_REC[],2,FALSE),0)</f>
        <v>0</v>
      </c>
      <c r="BG2018" s="246">
        <f>IFERROR(VLOOKUP(Q2018,VOL_REC[],2,FALSE),0)</f>
        <v>0</v>
      </c>
      <c r="BH2018" s="1710">
        <f t="shared" si="138"/>
        <v>33325323437.341198</v>
      </c>
      <c r="BI2018" s="1710">
        <f t="shared" si="139"/>
        <v>31076878113.733177</v>
      </c>
      <c r="BJ2018" s="1711">
        <f t="shared" si="140"/>
        <v>34392618.783288635</v>
      </c>
      <c r="BK2018" s="1711">
        <f t="shared" si="141"/>
        <v>1.0723510680635071</v>
      </c>
      <c r="BL2018">
        <f t="shared" si="144"/>
        <v>34392618.783288635</v>
      </c>
      <c r="BO2018">
        <f t="shared" si="145"/>
        <v>34392618.783288635</v>
      </c>
    </row>
    <row r="2019" spans="3:67" x14ac:dyDescent="0.25">
      <c r="C2019" s="246" t="s">
        <v>3369</v>
      </c>
      <c r="D2019" s="246">
        <v>1</v>
      </c>
      <c r="E2019" s="246">
        <v>2</v>
      </c>
      <c r="F2019" s="246">
        <v>3</v>
      </c>
      <c r="G2019" s="246">
        <v>4</v>
      </c>
      <c r="H2019" s="246">
        <v>6</v>
      </c>
      <c r="I2019" s="246">
        <v>9</v>
      </c>
      <c r="J2019" s="246">
        <v>10</v>
      </c>
      <c r="K2019" s="246">
        <v>12</v>
      </c>
      <c r="L2019" s="246">
        <v>13</v>
      </c>
      <c r="M2019" s="246">
        <v>14</v>
      </c>
      <c r="N2019" s="246">
        <v>15</v>
      </c>
      <c r="O2019" s="246">
        <v>17</v>
      </c>
      <c r="P2019" s="246"/>
      <c r="Q2019" s="246"/>
      <c r="R2019" s="246">
        <f>IFERROR(VLOOKUP(D2019,PROGRAMAS[],2,FALSE),0)</f>
        <v>97037803.679377079</v>
      </c>
      <c r="S2019" s="246">
        <f>IFERROR(VLOOKUP(E2019,PROGRAMAS[],2,FALSE),0)</f>
        <v>640501509.6821388</v>
      </c>
      <c r="T2019" s="246">
        <f>IFERROR(VLOOKUP(F2019,PROGRAMAS[],2,FALSE),0)</f>
        <v>3062327798.1525245</v>
      </c>
      <c r="U2019" s="246">
        <f>IFERROR(VLOOKUP(G2019,PROGRAMAS[],2,FALSE),0)</f>
        <v>67697118.033011258</v>
      </c>
      <c r="V2019" s="246">
        <f>IFERROR(VLOOKUP(H2019,PROGRAMAS[],2,FALSE),0)</f>
        <v>6907648435.8447599</v>
      </c>
      <c r="W2019" s="246">
        <f>IFERROR(VLOOKUP(I2019,PROGRAMAS[],2,FALSE),0)</f>
        <v>6128579952.1618185</v>
      </c>
      <c r="X2019" s="246">
        <f>IFERROR(VLOOKUP(J2019,PROGRAMAS[],2,FALSE),0)</f>
        <v>4635315027.8751087</v>
      </c>
      <c r="Y2019" s="246">
        <f>IFERROR(VLOOKUP(K2019,PROGRAMAS[],2,FALSE),0)</f>
        <v>764796700.79905891</v>
      </c>
      <c r="Z2019" s="246">
        <f>IFERROR(VLOOKUP(L2019,PROGRAMAS[],2,FALSE),0)</f>
        <v>3776538594.4604583</v>
      </c>
      <c r="AA2019" s="246">
        <f>IFERROR(VLOOKUP(M2019,PROGRAMAS[],2,FALSE),0)</f>
        <v>54223862.645839565</v>
      </c>
      <c r="AB2019" s="246">
        <f>IFERROR(VLOOKUP(N2019,PROGRAMAS[],2,FALSE),0)</f>
        <v>122159672.96346797</v>
      </c>
      <c r="AC2019" s="246">
        <f>IFERROR(VLOOKUP(O2019,PROGRAMAS[],2,FALSE),0)</f>
        <v>1892779498.5211046</v>
      </c>
      <c r="AD2019" s="246">
        <f>IFERROR(VLOOKUP(P2019,PROGRAMAS[],2,FALSE),0)</f>
        <v>0</v>
      </c>
      <c r="AE2019" s="246">
        <f>IFERROR(VLOOKUP(Q2019,PROGRAMAS[],2,FALSE),0)</f>
        <v>0</v>
      </c>
      <c r="AF2019" s="246">
        <f>IFERROR(VLOOKUP(D2019,PROGRAMAS[],3,FALSE),0)</f>
        <v>841888629.31080008</v>
      </c>
      <c r="AG2019" s="246">
        <f>IFERROR(VLOOKUP(E2019,PROGRAMAS[],3,FALSE),0)</f>
        <v>3848980803.1642323</v>
      </c>
      <c r="AH2019" s="246">
        <f>IFERROR(VLOOKUP(F2019,PROGRAMAS[],3,FALSE),0)</f>
        <v>3394901471.387517</v>
      </c>
      <c r="AI2019" s="246">
        <f>IFERROR(VLOOKUP(G2019,PROGRAMAS[],3,FALSE),0)</f>
        <v>125317226.95549992</v>
      </c>
      <c r="AJ2019" s="246">
        <f>IFERROR(VLOOKUP(H2019,PROGRAMAS[],3,FALSE),0)</f>
        <v>6129902208.7912121</v>
      </c>
      <c r="AK2019" s="246">
        <f>IFERROR(VLOOKUP(I2019,PROGRAMAS[],3,FALSE),0)</f>
        <v>7011279577.519702</v>
      </c>
      <c r="AL2019" s="246">
        <f>IFERROR(VLOOKUP(J2019,PROGRAMAS[],3,FALSE),0)</f>
        <v>4099471734.9978786</v>
      </c>
      <c r="AM2019" s="246">
        <f>IFERROR(VLOOKUP(K2019,PROGRAMAS[],3,FALSE),0)</f>
        <v>675517840.109828</v>
      </c>
      <c r="AN2019" s="246">
        <f>IFERROR(VLOOKUP(L2019,PROGRAMAS[],3,FALSE),0)</f>
        <v>2392571243.5584412</v>
      </c>
      <c r="AO2019" s="246">
        <f>IFERROR(VLOOKUP(M2019,PROGRAMAS[],3,FALSE),0)</f>
        <v>31865326.38096505</v>
      </c>
      <c r="AP2019" s="246">
        <f>IFERROR(VLOOKUP(N2019,PROGRAMAS[],3,FALSE),0)</f>
        <v>118617452.52510804</v>
      </c>
      <c r="AQ2019" s="246">
        <f>IFERROR(VLOOKUP(O2019,PROGRAMAS[],3,FALSE),0)</f>
        <v>948595847.09039903</v>
      </c>
      <c r="AR2019" s="246">
        <f>IFERROR(VLOOKUP(P2019,PROGRAMAS[],3,FALSE),0)</f>
        <v>0</v>
      </c>
      <c r="AS2019" s="246">
        <f>IFERROR(VLOOKUP(Q2019,PROGRAMAS[],3,FALSE),0)</f>
        <v>0</v>
      </c>
      <c r="AT2019" s="246">
        <f>IFERROR(VLOOKUP(D2019,VOL_REC[],2,FALSE),0)</f>
        <v>0</v>
      </c>
      <c r="AU2019" s="246">
        <f>IFERROR(VLOOKUP(E2019,VOL_REC[],2,FALSE),0)</f>
        <v>0</v>
      </c>
      <c r="AV2019" s="246">
        <f>IFERROR(VLOOKUP(F2019,VOL_REC[],2,FALSE),0)</f>
        <v>11089674.200000001</v>
      </c>
      <c r="AW2019" s="246">
        <f>IFERROR(VLOOKUP(G2019,VOL_REC[],2,FALSE),0)</f>
        <v>90439.55</v>
      </c>
      <c r="AX2019" s="246">
        <f>IFERROR(VLOOKUP(H2019,VOL_REC[],2,FALSE),0)</f>
        <v>15540036.397699751</v>
      </c>
      <c r="AY2019" s="246">
        <f>IFERROR(VLOOKUP(I2019,VOL_REC[],2,FALSE),0)</f>
        <v>3761786</v>
      </c>
      <c r="AZ2019" s="246">
        <f>IFERROR(VLOOKUP(J2019,VOL_REC[],2,FALSE),0)</f>
        <v>1812240</v>
      </c>
      <c r="BA2019" s="246">
        <f>IFERROR(VLOOKUP(K2019,VOL_REC[],2,FALSE),0)</f>
        <v>240696.79238099116</v>
      </c>
      <c r="BB2019" s="246">
        <f>IFERROR(VLOOKUP(L2019,VOL_REC[],2,FALSE),0)</f>
        <v>663244.80000000016</v>
      </c>
      <c r="BC2019" s="246">
        <f>IFERROR(VLOOKUP(M2019,VOL_REC[],2,FALSE),0)</f>
        <v>17074.045034105649</v>
      </c>
      <c r="BD2019" s="246">
        <f>IFERROR(VLOOKUP(N2019,VOL_REC[],2,FALSE),0)</f>
        <v>105072</v>
      </c>
      <c r="BE2019" s="246">
        <f>IFERROR(VLOOKUP(O2019,VOL_REC[],2,FALSE),0)</f>
        <v>740113.98115702497</v>
      </c>
      <c r="BF2019" s="246">
        <f>IFERROR(VLOOKUP(P2019,VOL_REC[],2,FALSE),0)</f>
        <v>0</v>
      </c>
      <c r="BG2019" s="246">
        <f>IFERROR(VLOOKUP(Q2019,VOL_REC[],2,FALSE),0)</f>
        <v>0</v>
      </c>
      <c r="BH2019" s="1710">
        <f t="shared" si="138"/>
        <v>28149605974.818665</v>
      </c>
      <c r="BI2019" s="1710">
        <f t="shared" si="139"/>
        <v>29618909361.791588</v>
      </c>
      <c r="BJ2019" s="1711">
        <f t="shared" si="140"/>
        <v>34060377.766271874</v>
      </c>
      <c r="BK2019" s="1711">
        <f t="shared" si="141"/>
        <v>0.95039306245123512</v>
      </c>
    </row>
    <row r="2020" spans="3:67" x14ac:dyDescent="0.25">
      <c r="C2020" s="246" t="s">
        <v>3370</v>
      </c>
      <c r="D2020" s="246">
        <v>1</v>
      </c>
      <c r="E2020" s="246">
        <v>2</v>
      </c>
      <c r="F2020" s="246">
        <v>3</v>
      </c>
      <c r="G2020" s="246">
        <v>4</v>
      </c>
      <c r="H2020" s="246">
        <v>6</v>
      </c>
      <c r="I2020" s="246">
        <v>9</v>
      </c>
      <c r="J2020" s="246">
        <v>10</v>
      </c>
      <c r="K2020" s="246">
        <v>12</v>
      </c>
      <c r="L2020" s="246">
        <v>13</v>
      </c>
      <c r="M2020" s="246">
        <v>14</v>
      </c>
      <c r="N2020" s="246">
        <v>16</v>
      </c>
      <c r="O2020" s="246">
        <v>17</v>
      </c>
      <c r="P2020" s="246"/>
      <c r="Q2020" s="246"/>
      <c r="R2020" s="246">
        <f>IFERROR(VLOOKUP(D2020,PROGRAMAS[],2,FALSE),0)</f>
        <v>97037803.679377079</v>
      </c>
      <c r="S2020" s="246">
        <f>IFERROR(VLOOKUP(E2020,PROGRAMAS[],2,FALSE),0)</f>
        <v>640501509.6821388</v>
      </c>
      <c r="T2020" s="246">
        <f>IFERROR(VLOOKUP(F2020,PROGRAMAS[],2,FALSE),0)</f>
        <v>3062327798.1525245</v>
      </c>
      <c r="U2020" s="246">
        <f>IFERROR(VLOOKUP(G2020,PROGRAMAS[],2,FALSE),0)</f>
        <v>67697118.033011258</v>
      </c>
      <c r="V2020" s="246">
        <f>IFERROR(VLOOKUP(H2020,PROGRAMAS[],2,FALSE),0)</f>
        <v>6907648435.8447599</v>
      </c>
      <c r="W2020" s="246">
        <f>IFERROR(VLOOKUP(I2020,PROGRAMAS[],2,FALSE),0)</f>
        <v>6128579952.1618185</v>
      </c>
      <c r="X2020" s="246">
        <f>IFERROR(VLOOKUP(J2020,PROGRAMAS[],2,FALSE),0)</f>
        <v>4635315027.8751087</v>
      </c>
      <c r="Y2020" s="246">
        <f>IFERROR(VLOOKUP(K2020,PROGRAMAS[],2,FALSE),0)</f>
        <v>764796700.79905891</v>
      </c>
      <c r="Z2020" s="246">
        <f>IFERROR(VLOOKUP(L2020,PROGRAMAS[],2,FALSE),0)</f>
        <v>3776538594.4604583</v>
      </c>
      <c r="AA2020" s="246">
        <f>IFERROR(VLOOKUP(M2020,PROGRAMAS[],2,FALSE),0)</f>
        <v>54223862.645839565</v>
      </c>
      <c r="AB2020" s="246">
        <f>IFERROR(VLOOKUP(N2020,PROGRAMAS[],2,FALSE),0)</f>
        <v>7068496961.0436354</v>
      </c>
      <c r="AC2020" s="246">
        <f>IFERROR(VLOOKUP(O2020,PROGRAMAS[],2,FALSE),0)</f>
        <v>1892779498.5211046</v>
      </c>
      <c r="AD2020" s="246">
        <f>IFERROR(VLOOKUP(P2020,PROGRAMAS[],2,FALSE),0)</f>
        <v>0</v>
      </c>
      <c r="AE2020" s="246">
        <f>IFERROR(VLOOKUP(Q2020,PROGRAMAS[],2,FALSE),0)</f>
        <v>0</v>
      </c>
      <c r="AF2020" s="246">
        <f>IFERROR(VLOOKUP(D2020,PROGRAMAS[],3,FALSE),0)</f>
        <v>841888629.31080008</v>
      </c>
      <c r="AG2020" s="246">
        <f>IFERROR(VLOOKUP(E2020,PROGRAMAS[],3,FALSE),0)</f>
        <v>3848980803.1642323</v>
      </c>
      <c r="AH2020" s="246">
        <f>IFERROR(VLOOKUP(F2020,PROGRAMAS[],3,FALSE),0)</f>
        <v>3394901471.387517</v>
      </c>
      <c r="AI2020" s="246">
        <f>IFERROR(VLOOKUP(G2020,PROGRAMAS[],3,FALSE),0)</f>
        <v>125317226.95549992</v>
      </c>
      <c r="AJ2020" s="246">
        <f>IFERROR(VLOOKUP(H2020,PROGRAMAS[],3,FALSE),0)</f>
        <v>6129902208.7912121</v>
      </c>
      <c r="AK2020" s="246">
        <f>IFERROR(VLOOKUP(I2020,PROGRAMAS[],3,FALSE),0)</f>
        <v>7011279577.519702</v>
      </c>
      <c r="AL2020" s="246">
        <f>IFERROR(VLOOKUP(J2020,PROGRAMAS[],3,FALSE),0)</f>
        <v>4099471734.9978786</v>
      </c>
      <c r="AM2020" s="246">
        <f>IFERROR(VLOOKUP(K2020,PROGRAMAS[],3,FALSE),0)</f>
        <v>675517840.109828</v>
      </c>
      <c r="AN2020" s="246">
        <f>IFERROR(VLOOKUP(L2020,PROGRAMAS[],3,FALSE),0)</f>
        <v>2392571243.5584412</v>
      </c>
      <c r="AO2020" s="246">
        <f>IFERROR(VLOOKUP(M2020,PROGRAMAS[],3,FALSE),0)</f>
        <v>31865326.38096505</v>
      </c>
      <c r="AP2020" s="246">
        <f>IFERROR(VLOOKUP(N2020,PROGRAMAS[],3,FALSE),0)</f>
        <v>2406564599.0319901</v>
      </c>
      <c r="AQ2020" s="246">
        <f>IFERROR(VLOOKUP(O2020,PROGRAMAS[],3,FALSE),0)</f>
        <v>948595847.09039903</v>
      </c>
      <c r="AR2020" s="246">
        <f>IFERROR(VLOOKUP(P2020,PROGRAMAS[],3,FALSE),0)</f>
        <v>0</v>
      </c>
      <c r="AS2020" s="246">
        <f>IFERROR(VLOOKUP(Q2020,PROGRAMAS[],3,FALSE),0)</f>
        <v>0</v>
      </c>
      <c r="AT2020" s="246">
        <f>IFERROR(VLOOKUP(D2020,VOL_REC[],2,FALSE),0)</f>
        <v>0</v>
      </c>
      <c r="AU2020" s="246">
        <f>IFERROR(VLOOKUP(E2020,VOL_REC[],2,FALSE),0)</f>
        <v>0</v>
      </c>
      <c r="AV2020" s="246">
        <f>IFERROR(VLOOKUP(F2020,VOL_REC[],2,FALSE),0)</f>
        <v>11089674.200000001</v>
      </c>
      <c r="AW2020" s="246">
        <f>IFERROR(VLOOKUP(G2020,VOL_REC[],2,FALSE),0)</f>
        <v>90439.55</v>
      </c>
      <c r="AX2020" s="246">
        <f>IFERROR(VLOOKUP(H2020,VOL_REC[],2,FALSE),0)</f>
        <v>15540036.397699751</v>
      </c>
      <c r="AY2020" s="246">
        <f>IFERROR(VLOOKUP(I2020,VOL_REC[],2,FALSE),0)</f>
        <v>3761786</v>
      </c>
      <c r="AZ2020" s="246">
        <f>IFERROR(VLOOKUP(J2020,VOL_REC[],2,FALSE),0)</f>
        <v>1812240</v>
      </c>
      <c r="BA2020" s="246">
        <f>IFERROR(VLOOKUP(K2020,VOL_REC[],2,FALSE),0)</f>
        <v>240696.79238099116</v>
      </c>
      <c r="BB2020" s="246">
        <f>IFERROR(VLOOKUP(L2020,VOL_REC[],2,FALSE),0)</f>
        <v>663244.80000000016</v>
      </c>
      <c r="BC2020" s="246">
        <f>IFERROR(VLOOKUP(M2020,VOL_REC[],2,FALSE),0)</f>
        <v>17074.045034105649</v>
      </c>
      <c r="BD2020" s="246">
        <f>IFERROR(VLOOKUP(N2020,VOL_REC[],2,FALSE),0)</f>
        <v>1072354.9981737854</v>
      </c>
      <c r="BE2020" s="246">
        <f>IFERROR(VLOOKUP(O2020,VOL_REC[],2,FALSE),0)</f>
        <v>740113.98115702497</v>
      </c>
      <c r="BF2020" s="246">
        <f>IFERROR(VLOOKUP(P2020,VOL_REC[],2,FALSE),0)</f>
        <v>0</v>
      </c>
      <c r="BG2020" s="246">
        <f>IFERROR(VLOOKUP(Q2020,VOL_REC[],2,FALSE),0)</f>
        <v>0</v>
      </c>
      <c r="BH2020" s="1710">
        <f t="shared" si="138"/>
        <v>35095943262.898834</v>
      </c>
      <c r="BI2020" s="1710">
        <f t="shared" si="139"/>
        <v>31906856508.29847</v>
      </c>
      <c r="BJ2020" s="1711">
        <f t="shared" si="140"/>
        <v>35027660.764445662</v>
      </c>
      <c r="BK2020" s="1711">
        <f t="shared" si="141"/>
        <v>1.0999498886319601</v>
      </c>
      <c r="BL2020">
        <f t="shared" ref="BL2020:BL2027" si="146">BJ2020</f>
        <v>35027660.764445662</v>
      </c>
      <c r="BO2020">
        <f t="shared" ref="BO2020:BO2027" si="147">BL2020</f>
        <v>35027660.764445662</v>
      </c>
    </row>
    <row r="2021" spans="3:67" x14ac:dyDescent="0.25">
      <c r="C2021" s="246" t="s">
        <v>3371</v>
      </c>
      <c r="D2021" s="246">
        <v>1</v>
      </c>
      <c r="E2021" s="246">
        <v>2</v>
      </c>
      <c r="F2021" s="246">
        <v>3</v>
      </c>
      <c r="G2021" s="246">
        <v>4</v>
      </c>
      <c r="H2021" s="246">
        <v>6</v>
      </c>
      <c r="I2021" s="246">
        <v>9</v>
      </c>
      <c r="J2021" s="246">
        <v>10</v>
      </c>
      <c r="K2021" s="246">
        <v>12</v>
      </c>
      <c r="L2021" s="246">
        <v>13</v>
      </c>
      <c r="M2021" s="246">
        <v>15</v>
      </c>
      <c r="N2021" s="246">
        <v>16</v>
      </c>
      <c r="O2021" s="246">
        <v>17</v>
      </c>
      <c r="P2021" s="246"/>
      <c r="Q2021" s="246"/>
      <c r="R2021" s="246">
        <f>IFERROR(VLOOKUP(D2021,PROGRAMAS[],2,FALSE),0)</f>
        <v>97037803.679377079</v>
      </c>
      <c r="S2021" s="246">
        <f>IFERROR(VLOOKUP(E2021,PROGRAMAS[],2,FALSE),0)</f>
        <v>640501509.6821388</v>
      </c>
      <c r="T2021" s="246">
        <f>IFERROR(VLOOKUP(F2021,PROGRAMAS[],2,FALSE),0)</f>
        <v>3062327798.1525245</v>
      </c>
      <c r="U2021" s="246">
        <f>IFERROR(VLOOKUP(G2021,PROGRAMAS[],2,FALSE),0)</f>
        <v>67697118.033011258</v>
      </c>
      <c r="V2021" s="246">
        <f>IFERROR(VLOOKUP(H2021,PROGRAMAS[],2,FALSE),0)</f>
        <v>6907648435.8447599</v>
      </c>
      <c r="W2021" s="246">
        <f>IFERROR(VLOOKUP(I2021,PROGRAMAS[],2,FALSE),0)</f>
        <v>6128579952.1618185</v>
      </c>
      <c r="X2021" s="246">
        <f>IFERROR(VLOOKUP(J2021,PROGRAMAS[],2,FALSE),0)</f>
        <v>4635315027.8751087</v>
      </c>
      <c r="Y2021" s="246">
        <f>IFERROR(VLOOKUP(K2021,PROGRAMAS[],2,FALSE),0)</f>
        <v>764796700.79905891</v>
      </c>
      <c r="Z2021" s="246">
        <f>IFERROR(VLOOKUP(L2021,PROGRAMAS[],2,FALSE),0)</f>
        <v>3776538594.4604583</v>
      </c>
      <c r="AA2021" s="246">
        <f>IFERROR(VLOOKUP(M2021,PROGRAMAS[],2,FALSE),0)</f>
        <v>122159672.96346797</v>
      </c>
      <c r="AB2021" s="246">
        <f>IFERROR(VLOOKUP(N2021,PROGRAMAS[],2,FALSE),0)</f>
        <v>7068496961.0436354</v>
      </c>
      <c r="AC2021" s="246">
        <f>IFERROR(VLOOKUP(O2021,PROGRAMAS[],2,FALSE),0)</f>
        <v>1892779498.5211046</v>
      </c>
      <c r="AD2021" s="246">
        <f>IFERROR(VLOOKUP(P2021,PROGRAMAS[],2,FALSE),0)</f>
        <v>0</v>
      </c>
      <c r="AE2021" s="246">
        <f>IFERROR(VLOOKUP(Q2021,PROGRAMAS[],2,FALSE),0)</f>
        <v>0</v>
      </c>
      <c r="AF2021" s="246">
        <f>IFERROR(VLOOKUP(D2021,PROGRAMAS[],3,FALSE),0)</f>
        <v>841888629.31080008</v>
      </c>
      <c r="AG2021" s="246">
        <f>IFERROR(VLOOKUP(E2021,PROGRAMAS[],3,FALSE),0)</f>
        <v>3848980803.1642323</v>
      </c>
      <c r="AH2021" s="246">
        <f>IFERROR(VLOOKUP(F2021,PROGRAMAS[],3,FALSE),0)</f>
        <v>3394901471.387517</v>
      </c>
      <c r="AI2021" s="246">
        <f>IFERROR(VLOOKUP(G2021,PROGRAMAS[],3,FALSE),0)</f>
        <v>125317226.95549992</v>
      </c>
      <c r="AJ2021" s="246">
        <f>IFERROR(VLOOKUP(H2021,PROGRAMAS[],3,FALSE),0)</f>
        <v>6129902208.7912121</v>
      </c>
      <c r="AK2021" s="246">
        <f>IFERROR(VLOOKUP(I2021,PROGRAMAS[],3,FALSE),0)</f>
        <v>7011279577.519702</v>
      </c>
      <c r="AL2021" s="246">
        <f>IFERROR(VLOOKUP(J2021,PROGRAMAS[],3,FALSE),0)</f>
        <v>4099471734.9978786</v>
      </c>
      <c r="AM2021" s="246">
        <f>IFERROR(VLOOKUP(K2021,PROGRAMAS[],3,FALSE),0)</f>
        <v>675517840.109828</v>
      </c>
      <c r="AN2021" s="246">
        <f>IFERROR(VLOOKUP(L2021,PROGRAMAS[],3,FALSE),0)</f>
        <v>2392571243.5584412</v>
      </c>
      <c r="AO2021" s="246">
        <f>IFERROR(VLOOKUP(M2021,PROGRAMAS[],3,FALSE),0)</f>
        <v>118617452.52510804</v>
      </c>
      <c r="AP2021" s="246">
        <f>IFERROR(VLOOKUP(N2021,PROGRAMAS[],3,FALSE),0)</f>
        <v>2406564599.0319901</v>
      </c>
      <c r="AQ2021" s="246">
        <f>IFERROR(VLOOKUP(O2021,PROGRAMAS[],3,FALSE),0)</f>
        <v>948595847.09039903</v>
      </c>
      <c r="AR2021" s="246">
        <f>IFERROR(VLOOKUP(P2021,PROGRAMAS[],3,FALSE),0)</f>
        <v>0</v>
      </c>
      <c r="AS2021" s="246">
        <f>IFERROR(VLOOKUP(Q2021,PROGRAMAS[],3,FALSE),0)</f>
        <v>0</v>
      </c>
      <c r="AT2021" s="246">
        <f>IFERROR(VLOOKUP(D2021,VOL_REC[],2,FALSE),0)</f>
        <v>0</v>
      </c>
      <c r="AU2021" s="246">
        <f>IFERROR(VLOOKUP(E2021,VOL_REC[],2,FALSE),0)</f>
        <v>0</v>
      </c>
      <c r="AV2021" s="246">
        <f>IFERROR(VLOOKUP(F2021,VOL_REC[],2,FALSE),0)</f>
        <v>11089674.200000001</v>
      </c>
      <c r="AW2021" s="246">
        <f>IFERROR(VLOOKUP(G2021,VOL_REC[],2,FALSE),0)</f>
        <v>90439.55</v>
      </c>
      <c r="AX2021" s="246">
        <f>IFERROR(VLOOKUP(H2021,VOL_REC[],2,FALSE),0)</f>
        <v>15540036.397699751</v>
      </c>
      <c r="AY2021" s="246">
        <f>IFERROR(VLOOKUP(I2021,VOL_REC[],2,FALSE),0)</f>
        <v>3761786</v>
      </c>
      <c r="AZ2021" s="246">
        <f>IFERROR(VLOOKUP(J2021,VOL_REC[],2,FALSE),0)</f>
        <v>1812240</v>
      </c>
      <c r="BA2021" s="246">
        <f>IFERROR(VLOOKUP(K2021,VOL_REC[],2,FALSE),0)</f>
        <v>240696.79238099116</v>
      </c>
      <c r="BB2021" s="246">
        <f>IFERROR(VLOOKUP(L2021,VOL_REC[],2,FALSE),0)</f>
        <v>663244.80000000016</v>
      </c>
      <c r="BC2021" s="246">
        <f>IFERROR(VLOOKUP(M2021,VOL_REC[],2,FALSE),0)</f>
        <v>105072</v>
      </c>
      <c r="BD2021" s="246">
        <f>IFERROR(VLOOKUP(N2021,VOL_REC[],2,FALSE),0)</f>
        <v>1072354.9981737854</v>
      </c>
      <c r="BE2021" s="246">
        <f>IFERROR(VLOOKUP(O2021,VOL_REC[],2,FALSE),0)</f>
        <v>740113.98115702497</v>
      </c>
      <c r="BF2021" s="246">
        <f>IFERROR(VLOOKUP(P2021,VOL_REC[],2,FALSE),0)</f>
        <v>0</v>
      </c>
      <c r="BG2021" s="246">
        <f>IFERROR(VLOOKUP(Q2021,VOL_REC[],2,FALSE),0)</f>
        <v>0</v>
      </c>
      <c r="BH2021" s="1710">
        <f t="shared" si="138"/>
        <v>35163879073.216461</v>
      </c>
      <c r="BI2021" s="1710">
        <f t="shared" si="139"/>
        <v>31993608634.442612</v>
      </c>
      <c r="BJ2021" s="1711">
        <f t="shared" si="140"/>
        <v>35115658.719411559</v>
      </c>
      <c r="BK2021" s="1711">
        <f t="shared" si="141"/>
        <v>1.0990907426229157</v>
      </c>
      <c r="BL2021">
        <f t="shared" si="146"/>
        <v>35115658.719411559</v>
      </c>
      <c r="BO2021">
        <f t="shared" si="147"/>
        <v>35115658.719411559</v>
      </c>
    </row>
    <row r="2022" spans="3:67" x14ac:dyDescent="0.25">
      <c r="C2022" s="246" t="s">
        <v>3372</v>
      </c>
      <c r="D2022" s="246">
        <v>1</v>
      </c>
      <c r="E2022" s="246">
        <v>2</v>
      </c>
      <c r="F2022" s="246">
        <v>3</v>
      </c>
      <c r="G2022" s="246">
        <v>4</v>
      </c>
      <c r="H2022" s="246">
        <v>6</v>
      </c>
      <c r="I2022" s="246">
        <v>9</v>
      </c>
      <c r="J2022" s="246">
        <v>10</v>
      </c>
      <c r="K2022" s="246">
        <v>12</v>
      </c>
      <c r="L2022" s="246">
        <v>14</v>
      </c>
      <c r="M2022" s="246">
        <v>15</v>
      </c>
      <c r="N2022" s="246">
        <v>16</v>
      </c>
      <c r="O2022" s="246">
        <v>17</v>
      </c>
      <c r="P2022" s="246"/>
      <c r="Q2022" s="246"/>
      <c r="R2022" s="246">
        <f>IFERROR(VLOOKUP(D2022,PROGRAMAS[],2,FALSE),0)</f>
        <v>97037803.679377079</v>
      </c>
      <c r="S2022" s="246">
        <f>IFERROR(VLOOKUP(E2022,PROGRAMAS[],2,FALSE),0)</f>
        <v>640501509.6821388</v>
      </c>
      <c r="T2022" s="246">
        <f>IFERROR(VLOOKUP(F2022,PROGRAMAS[],2,FALSE),0)</f>
        <v>3062327798.1525245</v>
      </c>
      <c r="U2022" s="246">
        <f>IFERROR(VLOOKUP(G2022,PROGRAMAS[],2,FALSE),0)</f>
        <v>67697118.033011258</v>
      </c>
      <c r="V2022" s="246">
        <f>IFERROR(VLOOKUP(H2022,PROGRAMAS[],2,FALSE),0)</f>
        <v>6907648435.8447599</v>
      </c>
      <c r="W2022" s="246">
        <f>IFERROR(VLOOKUP(I2022,PROGRAMAS[],2,FALSE),0)</f>
        <v>6128579952.1618185</v>
      </c>
      <c r="X2022" s="246">
        <f>IFERROR(VLOOKUP(J2022,PROGRAMAS[],2,FALSE),0)</f>
        <v>4635315027.8751087</v>
      </c>
      <c r="Y2022" s="246">
        <f>IFERROR(VLOOKUP(K2022,PROGRAMAS[],2,FALSE),0)</f>
        <v>764796700.79905891</v>
      </c>
      <c r="Z2022" s="246">
        <f>IFERROR(VLOOKUP(L2022,PROGRAMAS[],2,FALSE),0)</f>
        <v>54223862.645839565</v>
      </c>
      <c r="AA2022" s="246">
        <f>IFERROR(VLOOKUP(M2022,PROGRAMAS[],2,FALSE),0)</f>
        <v>122159672.96346797</v>
      </c>
      <c r="AB2022" s="246">
        <f>IFERROR(VLOOKUP(N2022,PROGRAMAS[],2,FALSE),0)</f>
        <v>7068496961.0436354</v>
      </c>
      <c r="AC2022" s="246">
        <f>IFERROR(VLOOKUP(O2022,PROGRAMAS[],2,FALSE),0)</f>
        <v>1892779498.5211046</v>
      </c>
      <c r="AD2022" s="246">
        <f>IFERROR(VLOOKUP(P2022,PROGRAMAS[],2,FALSE),0)</f>
        <v>0</v>
      </c>
      <c r="AE2022" s="246">
        <f>IFERROR(VLOOKUP(Q2022,PROGRAMAS[],2,FALSE),0)</f>
        <v>0</v>
      </c>
      <c r="AF2022" s="246">
        <f>IFERROR(VLOOKUP(D2022,PROGRAMAS[],3,FALSE),0)</f>
        <v>841888629.31080008</v>
      </c>
      <c r="AG2022" s="246">
        <f>IFERROR(VLOOKUP(E2022,PROGRAMAS[],3,FALSE),0)</f>
        <v>3848980803.1642323</v>
      </c>
      <c r="AH2022" s="246">
        <f>IFERROR(VLOOKUP(F2022,PROGRAMAS[],3,FALSE),0)</f>
        <v>3394901471.387517</v>
      </c>
      <c r="AI2022" s="246">
        <f>IFERROR(VLOOKUP(G2022,PROGRAMAS[],3,FALSE),0)</f>
        <v>125317226.95549992</v>
      </c>
      <c r="AJ2022" s="246">
        <f>IFERROR(VLOOKUP(H2022,PROGRAMAS[],3,FALSE),0)</f>
        <v>6129902208.7912121</v>
      </c>
      <c r="AK2022" s="246">
        <f>IFERROR(VLOOKUP(I2022,PROGRAMAS[],3,FALSE),0)</f>
        <v>7011279577.519702</v>
      </c>
      <c r="AL2022" s="246">
        <f>IFERROR(VLOOKUP(J2022,PROGRAMAS[],3,FALSE),0)</f>
        <v>4099471734.9978786</v>
      </c>
      <c r="AM2022" s="246">
        <f>IFERROR(VLOOKUP(K2022,PROGRAMAS[],3,FALSE),0)</f>
        <v>675517840.109828</v>
      </c>
      <c r="AN2022" s="246">
        <f>IFERROR(VLOOKUP(L2022,PROGRAMAS[],3,FALSE),0)</f>
        <v>31865326.38096505</v>
      </c>
      <c r="AO2022" s="246">
        <f>IFERROR(VLOOKUP(M2022,PROGRAMAS[],3,FALSE),0)</f>
        <v>118617452.52510804</v>
      </c>
      <c r="AP2022" s="246">
        <f>IFERROR(VLOOKUP(N2022,PROGRAMAS[],3,FALSE),0)</f>
        <v>2406564599.0319901</v>
      </c>
      <c r="AQ2022" s="246">
        <f>IFERROR(VLOOKUP(O2022,PROGRAMAS[],3,FALSE),0)</f>
        <v>948595847.09039903</v>
      </c>
      <c r="AR2022" s="246">
        <f>IFERROR(VLOOKUP(P2022,PROGRAMAS[],3,FALSE),0)</f>
        <v>0</v>
      </c>
      <c r="AS2022" s="246">
        <f>IFERROR(VLOOKUP(Q2022,PROGRAMAS[],3,FALSE),0)</f>
        <v>0</v>
      </c>
      <c r="AT2022" s="246">
        <f>IFERROR(VLOOKUP(D2022,VOL_REC[],2,FALSE),0)</f>
        <v>0</v>
      </c>
      <c r="AU2022" s="246">
        <f>IFERROR(VLOOKUP(E2022,VOL_REC[],2,FALSE),0)</f>
        <v>0</v>
      </c>
      <c r="AV2022" s="246">
        <f>IFERROR(VLOOKUP(F2022,VOL_REC[],2,FALSE),0)</f>
        <v>11089674.200000001</v>
      </c>
      <c r="AW2022" s="246">
        <f>IFERROR(VLOOKUP(G2022,VOL_REC[],2,FALSE),0)</f>
        <v>90439.55</v>
      </c>
      <c r="AX2022" s="246">
        <f>IFERROR(VLOOKUP(H2022,VOL_REC[],2,FALSE),0)</f>
        <v>15540036.397699751</v>
      </c>
      <c r="AY2022" s="246">
        <f>IFERROR(VLOOKUP(I2022,VOL_REC[],2,FALSE),0)</f>
        <v>3761786</v>
      </c>
      <c r="AZ2022" s="246">
        <f>IFERROR(VLOOKUP(J2022,VOL_REC[],2,FALSE),0)</f>
        <v>1812240</v>
      </c>
      <c r="BA2022" s="246">
        <f>IFERROR(VLOOKUP(K2022,VOL_REC[],2,FALSE),0)</f>
        <v>240696.79238099116</v>
      </c>
      <c r="BB2022" s="246">
        <f>IFERROR(VLOOKUP(L2022,VOL_REC[],2,FALSE),0)</f>
        <v>17074.045034105649</v>
      </c>
      <c r="BC2022" s="246">
        <f>IFERROR(VLOOKUP(M2022,VOL_REC[],2,FALSE),0)</f>
        <v>105072</v>
      </c>
      <c r="BD2022" s="246">
        <f>IFERROR(VLOOKUP(N2022,VOL_REC[],2,FALSE),0)</f>
        <v>1072354.9981737854</v>
      </c>
      <c r="BE2022" s="246">
        <f>IFERROR(VLOOKUP(O2022,VOL_REC[],2,FALSE),0)</f>
        <v>740113.98115702497</v>
      </c>
      <c r="BF2022" s="246">
        <f>IFERROR(VLOOKUP(P2022,VOL_REC[],2,FALSE),0)</f>
        <v>0</v>
      </c>
      <c r="BG2022" s="246">
        <f>IFERROR(VLOOKUP(Q2022,VOL_REC[],2,FALSE),0)</f>
        <v>0</v>
      </c>
      <c r="BH2022" s="1710">
        <f t="shared" si="138"/>
        <v>31441564341.401844</v>
      </c>
      <c r="BI2022" s="1710">
        <f t="shared" si="139"/>
        <v>29632902717.265137</v>
      </c>
      <c r="BJ2022" s="1711">
        <f t="shared" si="140"/>
        <v>34469487.964445665</v>
      </c>
      <c r="BK2022" s="1711">
        <f t="shared" si="141"/>
        <v>1.0610355874142199</v>
      </c>
      <c r="BL2022">
        <f t="shared" si="146"/>
        <v>34469487.964445665</v>
      </c>
      <c r="BO2022">
        <f t="shared" si="147"/>
        <v>34469487.964445665</v>
      </c>
    </row>
    <row r="2023" spans="3:67" x14ac:dyDescent="0.25">
      <c r="C2023" s="246" t="s">
        <v>3373</v>
      </c>
      <c r="D2023" s="246">
        <v>1</v>
      </c>
      <c r="E2023" s="246">
        <v>2</v>
      </c>
      <c r="F2023" s="246">
        <v>3</v>
      </c>
      <c r="G2023" s="246">
        <v>4</v>
      </c>
      <c r="H2023" s="246">
        <v>6</v>
      </c>
      <c r="I2023" s="246">
        <v>9</v>
      </c>
      <c r="J2023" s="246">
        <v>10</v>
      </c>
      <c r="K2023" s="246">
        <v>13</v>
      </c>
      <c r="L2023" s="246">
        <v>14</v>
      </c>
      <c r="M2023" s="246">
        <v>15</v>
      </c>
      <c r="N2023" s="246">
        <v>16</v>
      </c>
      <c r="O2023" s="246">
        <v>17</v>
      </c>
      <c r="P2023" s="246"/>
      <c r="Q2023" s="246"/>
      <c r="R2023" s="246">
        <f>IFERROR(VLOOKUP(D2023,PROGRAMAS[],2,FALSE),0)</f>
        <v>97037803.679377079</v>
      </c>
      <c r="S2023" s="246">
        <f>IFERROR(VLOOKUP(E2023,PROGRAMAS[],2,FALSE),0)</f>
        <v>640501509.6821388</v>
      </c>
      <c r="T2023" s="246">
        <f>IFERROR(VLOOKUP(F2023,PROGRAMAS[],2,FALSE),0)</f>
        <v>3062327798.1525245</v>
      </c>
      <c r="U2023" s="246">
        <f>IFERROR(VLOOKUP(G2023,PROGRAMAS[],2,FALSE),0)</f>
        <v>67697118.033011258</v>
      </c>
      <c r="V2023" s="246">
        <f>IFERROR(VLOOKUP(H2023,PROGRAMAS[],2,FALSE),0)</f>
        <v>6907648435.8447599</v>
      </c>
      <c r="W2023" s="246">
        <f>IFERROR(VLOOKUP(I2023,PROGRAMAS[],2,FALSE),0)</f>
        <v>6128579952.1618185</v>
      </c>
      <c r="X2023" s="246">
        <f>IFERROR(VLOOKUP(J2023,PROGRAMAS[],2,FALSE),0)</f>
        <v>4635315027.8751087</v>
      </c>
      <c r="Y2023" s="246">
        <f>IFERROR(VLOOKUP(K2023,PROGRAMAS[],2,FALSE),0)</f>
        <v>3776538594.4604583</v>
      </c>
      <c r="Z2023" s="246">
        <f>IFERROR(VLOOKUP(L2023,PROGRAMAS[],2,FALSE),0)</f>
        <v>54223862.645839565</v>
      </c>
      <c r="AA2023" s="246">
        <f>IFERROR(VLOOKUP(M2023,PROGRAMAS[],2,FALSE),0)</f>
        <v>122159672.96346797</v>
      </c>
      <c r="AB2023" s="246">
        <f>IFERROR(VLOOKUP(N2023,PROGRAMAS[],2,FALSE),0)</f>
        <v>7068496961.0436354</v>
      </c>
      <c r="AC2023" s="246">
        <f>IFERROR(VLOOKUP(O2023,PROGRAMAS[],2,FALSE),0)</f>
        <v>1892779498.5211046</v>
      </c>
      <c r="AD2023" s="246">
        <f>IFERROR(VLOOKUP(P2023,PROGRAMAS[],2,FALSE),0)</f>
        <v>0</v>
      </c>
      <c r="AE2023" s="246">
        <f>IFERROR(VLOOKUP(Q2023,PROGRAMAS[],2,FALSE),0)</f>
        <v>0</v>
      </c>
      <c r="AF2023" s="246">
        <f>IFERROR(VLOOKUP(D2023,PROGRAMAS[],3,FALSE),0)</f>
        <v>841888629.31080008</v>
      </c>
      <c r="AG2023" s="246">
        <f>IFERROR(VLOOKUP(E2023,PROGRAMAS[],3,FALSE),0)</f>
        <v>3848980803.1642323</v>
      </c>
      <c r="AH2023" s="246">
        <f>IFERROR(VLOOKUP(F2023,PROGRAMAS[],3,FALSE),0)</f>
        <v>3394901471.387517</v>
      </c>
      <c r="AI2023" s="246">
        <f>IFERROR(VLOOKUP(G2023,PROGRAMAS[],3,FALSE),0)</f>
        <v>125317226.95549992</v>
      </c>
      <c r="AJ2023" s="246">
        <f>IFERROR(VLOOKUP(H2023,PROGRAMAS[],3,FALSE),0)</f>
        <v>6129902208.7912121</v>
      </c>
      <c r="AK2023" s="246">
        <f>IFERROR(VLOOKUP(I2023,PROGRAMAS[],3,FALSE),0)</f>
        <v>7011279577.519702</v>
      </c>
      <c r="AL2023" s="246">
        <f>IFERROR(VLOOKUP(J2023,PROGRAMAS[],3,FALSE),0)</f>
        <v>4099471734.9978786</v>
      </c>
      <c r="AM2023" s="246">
        <f>IFERROR(VLOOKUP(K2023,PROGRAMAS[],3,FALSE),0)</f>
        <v>2392571243.5584412</v>
      </c>
      <c r="AN2023" s="246">
        <f>IFERROR(VLOOKUP(L2023,PROGRAMAS[],3,FALSE),0)</f>
        <v>31865326.38096505</v>
      </c>
      <c r="AO2023" s="246">
        <f>IFERROR(VLOOKUP(M2023,PROGRAMAS[],3,FALSE),0)</f>
        <v>118617452.52510804</v>
      </c>
      <c r="AP2023" s="246">
        <f>IFERROR(VLOOKUP(N2023,PROGRAMAS[],3,FALSE),0)</f>
        <v>2406564599.0319901</v>
      </c>
      <c r="AQ2023" s="246">
        <f>IFERROR(VLOOKUP(O2023,PROGRAMAS[],3,FALSE),0)</f>
        <v>948595847.09039903</v>
      </c>
      <c r="AR2023" s="246">
        <f>IFERROR(VLOOKUP(P2023,PROGRAMAS[],3,FALSE),0)</f>
        <v>0</v>
      </c>
      <c r="AS2023" s="246">
        <f>IFERROR(VLOOKUP(Q2023,PROGRAMAS[],3,FALSE),0)</f>
        <v>0</v>
      </c>
      <c r="AT2023" s="246">
        <f>IFERROR(VLOOKUP(D2023,VOL_REC[],2,FALSE),0)</f>
        <v>0</v>
      </c>
      <c r="AU2023" s="246">
        <f>IFERROR(VLOOKUP(E2023,VOL_REC[],2,FALSE),0)</f>
        <v>0</v>
      </c>
      <c r="AV2023" s="246">
        <f>IFERROR(VLOOKUP(F2023,VOL_REC[],2,FALSE),0)</f>
        <v>11089674.200000001</v>
      </c>
      <c r="AW2023" s="246">
        <f>IFERROR(VLOOKUP(G2023,VOL_REC[],2,FALSE),0)</f>
        <v>90439.55</v>
      </c>
      <c r="AX2023" s="246">
        <f>IFERROR(VLOOKUP(H2023,VOL_REC[],2,FALSE),0)</f>
        <v>15540036.397699751</v>
      </c>
      <c r="AY2023" s="246">
        <f>IFERROR(VLOOKUP(I2023,VOL_REC[],2,FALSE),0)</f>
        <v>3761786</v>
      </c>
      <c r="AZ2023" s="246">
        <f>IFERROR(VLOOKUP(J2023,VOL_REC[],2,FALSE),0)</f>
        <v>1812240</v>
      </c>
      <c r="BA2023" s="246">
        <f>IFERROR(VLOOKUP(K2023,VOL_REC[],2,FALSE),0)</f>
        <v>663244.80000000016</v>
      </c>
      <c r="BB2023" s="246">
        <f>IFERROR(VLOOKUP(L2023,VOL_REC[],2,FALSE),0)</f>
        <v>17074.045034105649</v>
      </c>
      <c r="BC2023" s="246">
        <f>IFERROR(VLOOKUP(M2023,VOL_REC[],2,FALSE),0)</f>
        <v>105072</v>
      </c>
      <c r="BD2023" s="246">
        <f>IFERROR(VLOOKUP(N2023,VOL_REC[],2,FALSE),0)</f>
        <v>1072354.9981737854</v>
      </c>
      <c r="BE2023" s="246">
        <f>IFERROR(VLOOKUP(O2023,VOL_REC[],2,FALSE),0)</f>
        <v>740113.98115702497</v>
      </c>
      <c r="BF2023" s="246">
        <f>IFERROR(VLOOKUP(P2023,VOL_REC[],2,FALSE),0)</f>
        <v>0</v>
      </c>
      <c r="BG2023" s="246">
        <f>IFERROR(VLOOKUP(Q2023,VOL_REC[],2,FALSE),0)</f>
        <v>0</v>
      </c>
      <c r="BH2023" s="1710">
        <f t="shared" si="138"/>
        <v>34453306235.063248</v>
      </c>
      <c r="BI2023" s="1710">
        <f t="shared" si="139"/>
        <v>31349956120.713749</v>
      </c>
      <c r="BJ2023" s="1711">
        <f t="shared" si="140"/>
        <v>34892035.972064674</v>
      </c>
      <c r="BK2023" s="1711">
        <f t="shared" si="141"/>
        <v>1.0989905728224938</v>
      </c>
      <c r="BL2023">
        <f t="shared" si="146"/>
        <v>34892035.972064674</v>
      </c>
      <c r="BO2023">
        <f t="shared" si="147"/>
        <v>34892035.972064674</v>
      </c>
    </row>
    <row r="2024" spans="3:67" x14ac:dyDescent="0.25">
      <c r="C2024" s="246" t="s">
        <v>3374</v>
      </c>
      <c r="D2024" s="246">
        <v>1</v>
      </c>
      <c r="E2024" s="246">
        <v>2</v>
      </c>
      <c r="F2024" s="246">
        <v>3</v>
      </c>
      <c r="G2024" s="246">
        <v>4</v>
      </c>
      <c r="H2024" s="246">
        <v>6</v>
      </c>
      <c r="I2024" s="246">
        <v>9</v>
      </c>
      <c r="J2024" s="246">
        <v>12</v>
      </c>
      <c r="K2024" s="246">
        <v>13</v>
      </c>
      <c r="L2024" s="246">
        <v>14</v>
      </c>
      <c r="M2024" s="246">
        <v>15</v>
      </c>
      <c r="N2024" s="246">
        <v>16</v>
      </c>
      <c r="O2024" s="246">
        <v>17</v>
      </c>
      <c r="P2024" s="246"/>
      <c r="Q2024" s="246"/>
      <c r="R2024" s="246">
        <f>IFERROR(VLOOKUP(D2024,PROGRAMAS[],2,FALSE),0)</f>
        <v>97037803.679377079</v>
      </c>
      <c r="S2024" s="246">
        <f>IFERROR(VLOOKUP(E2024,PROGRAMAS[],2,FALSE),0)</f>
        <v>640501509.6821388</v>
      </c>
      <c r="T2024" s="246">
        <f>IFERROR(VLOOKUP(F2024,PROGRAMAS[],2,FALSE),0)</f>
        <v>3062327798.1525245</v>
      </c>
      <c r="U2024" s="246">
        <f>IFERROR(VLOOKUP(G2024,PROGRAMAS[],2,FALSE),0)</f>
        <v>67697118.033011258</v>
      </c>
      <c r="V2024" s="246">
        <f>IFERROR(VLOOKUP(H2024,PROGRAMAS[],2,FALSE),0)</f>
        <v>6907648435.8447599</v>
      </c>
      <c r="W2024" s="246">
        <f>IFERROR(VLOOKUP(I2024,PROGRAMAS[],2,FALSE),0)</f>
        <v>6128579952.1618185</v>
      </c>
      <c r="X2024" s="246">
        <f>IFERROR(VLOOKUP(J2024,PROGRAMAS[],2,FALSE),0)</f>
        <v>764796700.79905891</v>
      </c>
      <c r="Y2024" s="246">
        <f>IFERROR(VLOOKUP(K2024,PROGRAMAS[],2,FALSE),0)</f>
        <v>3776538594.4604583</v>
      </c>
      <c r="Z2024" s="246">
        <f>IFERROR(VLOOKUP(L2024,PROGRAMAS[],2,FALSE),0)</f>
        <v>54223862.645839565</v>
      </c>
      <c r="AA2024" s="246">
        <f>IFERROR(VLOOKUP(M2024,PROGRAMAS[],2,FALSE),0)</f>
        <v>122159672.96346797</v>
      </c>
      <c r="AB2024" s="246">
        <f>IFERROR(VLOOKUP(N2024,PROGRAMAS[],2,FALSE),0)</f>
        <v>7068496961.0436354</v>
      </c>
      <c r="AC2024" s="246">
        <f>IFERROR(VLOOKUP(O2024,PROGRAMAS[],2,FALSE),0)</f>
        <v>1892779498.5211046</v>
      </c>
      <c r="AD2024" s="246">
        <f>IFERROR(VLOOKUP(P2024,PROGRAMAS[],2,FALSE),0)</f>
        <v>0</v>
      </c>
      <c r="AE2024" s="246">
        <f>IFERROR(VLOOKUP(Q2024,PROGRAMAS[],2,FALSE),0)</f>
        <v>0</v>
      </c>
      <c r="AF2024" s="246">
        <f>IFERROR(VLOOKUP(D2024,PROGRAMAS[],3,FALSE),0)</f>
        <v>841888629.31080008</v>
      </c>
      <c r="AG2024" s="246">
        <f>IFERROR(VLOOKUP(E2024,PROGRAMAS[],3,FALSE),0)</f>
        <v>3848980803.1642323</v>
      </c>
      <c r="AH2024" s="246">
        <f>IFERROR(VLOOKUP(F2024,PROGRAMAS[],3,FALSE),0)</f>
        <v>3394901471.387517</v>
      </c>
      <c r="AI2024" s="246">
        <f>IFERROR(VLOOKUP(G2024,PROGRAMAS[],3,FALSE),0)</f>
        <v>125317226.95549992</v>
      </c>
      <c r="AJ2024" s="246">
        <f>IFERROR(VLOOKUP(H2024,PROGRAMAS[],3,FALSE),0)</f>
        <v>6129902208.7912121</v>
      </c>
      <c r="AK2024" s="246">
        <f>IFERROR(VLOOKUP(I2024,PROGRAMAS[],3,FALSE),0)</f>
        <v>7011279577.519702</v>
      </c>
      <c r="AL2024" s="246">
        <f>IFERROR(VLOOKUP(J2024,PROGRAMAS[],3,FALSE),0)</f>
        <v>675517840.109828</v>
      </c>
      <c r="AM2024" s="246">
        <f>IFERROR(VLOOKUP(K2024,PROGRAMAS[],3,FALSE),0)</f>
        <v>2392571243.5584412</v>
      </c>
      <c r="AN2024" s="246">
        <f>IFERROR(VLOOKUP(L2024,PROGRAMAS[],3,FALSE),0)</f>
        <v>31865326.38096505</v>
      </c>
      <c r="AO2024" s="246">
        <f>IFERROR(VLOOKUP(M2024,PROGRAMAS[],3,FALSE),0)</f>
        <v>118617452.52510804</v>
      </c>
      <c r="AP2024" s="246">
        <f>IFERROR(VLOOKUP(N2024,PROGRAMAS[],3,FALSE),0)</f>
        <v>2406564599.0319901</v>
      </c>
      <c r="AQ2024" s="246">
        <f>IFERROR(VLOOKUP(O2024,PROGRAMAS[],3,FALSE),0)</f>
        <v>948595847.09039903</v>
      </c>
      <c r="AR2024" s="246">
        <f>IFERROR(VLOOKUP(P2024,PROGRAMAS[],3,FALSE),0)</f>
        <v>0</v>
      </c>
      <c r="AS2024" s="246">
        <f>IFERROR(VLOOKUP(Q2024,PROGRAMAS[],3,FALSE),0)</f>
        <v>0</v>
      </c>
      <c r="AT2024" s="246">
        <f>IFERROR(VLOOKUP(D2024,VOL_REC[],2,FALSE),0)</f>
        <v>0</v>
      </c>
      <c r="AU2024" s="246">
        <f>IFERROR(VLOOKUP(E2024,VOL_REC[],2,FALSE),0)</f>
        <v>0</v>
      </c>
      <c r="AV2024" s="246">
        <f>IFERROR(VLOOKUP(F2024,VOL_REC[],2,FALSE),0)</f>
        <v>11089674.200000001</v>
      </c>
      <c r="AW2024" s="246">
        <f>IFERROR(VLOOKUP(G2024,VOL_REC[],2,FALSE),0)</f>
        <v>90439.55</v>
      </c>
      <c r="AX2024" s="246">
        <f>IFERROR(VLOOKUP(H2024,VOL_REC[],2,FALSE),0)</f>
        <v>15540036.397699751</v>
      </c>
      <c r="AY2024" s="246">
        <f>IFERROR(VLOOKUP(I2024,VOL_REC[],2,FALSE),0)</f>
        <v>3761786</v>
      </c>
      <c r="AZ2024" s="246">
        <f>IFERROR(VLOOKUP(J2024,VOL_REC[],2,FALSE),0)</f>
        <v>240696.79238099116</v>
      </c>
      <c r="BA2024" s="246">
        <f>IFERROR(VLOOKUP(K2024,VOL_REC[],2,FALSE),0)</f>
        <v>663244.80000000016</v>
      </c>
      <c r="BB2024" s="246">
        <f>IFERROR(VLOOKUP(L2024,VOL_REC[],2,FALSE),0)</f>
        <v>17074.045034105649</v>
      </c>
      <c r="BC2024" s="246">
        <f>IFERROR(VLOOKUP(M2024,VOL_REC[],2,FALSE),0)</f>
        <v>105072</v>
      </c>
      <c r="BD2024" s="246">
        <f>IFERROR(VLOOKUP(N2024,VOL_REC[],2,FALSE),0)</f>
        <v>1072354.9981737854</v>
      </c>
      <c r="BE2024" s="246">
        <f>IFERROR(VLOOKUP(O2024,VOL_REC[],2,FALSE),0)</f>
        <v>740113.98115702497</v>
      </c>
      <c r="BF2024" s="246">
        <f>IFERROR(VLOOKUP(P2024,VOL_REC[],2,FALSE),0)</f>
        <v>0</v>
      </c>
      <c r="BG2024" s="246">
        <f>IFERROR(VLOOKUP(Q2024,VOL_REC[],2,FALSE),0)</f>
        <v>0</v>
      </c>
      <c r="BH2024" s="1710">
        <f t="shared" si="138"/>
        <v>30582787907.987194</v>
      </c>
      <c r="BI2024" s="1710">
        <f t="shared" si="139"/>
        <v>27926002225.825699</v>
      </c>
      <c r="BJ2024" s="1711">
        <f t="shared" si="140"/>
        <v>33320492.764445659</v>
      </c>
      <c r="BK2024" s="1711">
        <f t="shared" si="141"/>
        <v>1.0951366278881309</v>
      </c>
      <c r="BL2024">
        <f t="shared" si="146"/>
        <v>33320492.764445659</v>
      </c>
      <c r="BO2024">
        <f t="shared" si="147"/>
        <v>33320492.764445659</v>
      </c>
    </row>
    <row r="2025" spans="3:67" x14ac:dyDescent="0.25">
      <c r="C2025" s="246" t="s">
        <v>3375</v>
      </c>
      <c r="D2025" s="246">
        <v>1</v>
      </c>
      <c r="E2025" s="246">
        <v>2</v>
      </c>
      <c r="F2025" s="246">
        <v>3</v>
      </c>
      <c r="G2025" s="246">
        <v>4</v>
      </c>
      <c r="H2025" s="246">
        <v>6</v>
      </c>
      <c r="I2025" s="246">
        <v>10</v>
      </c>
      <c r="J2025" s="246">
        <v>12</v>
      </c>
      <c r="K2025" s="246">
        <v>13</v>
      </c>
      <c r="L2025" s="246">
        <v>14</v>
      </c>
      <c r="M2025" s="246">
        <v>15</v>
      </c>
      <c r="N2025" s="246">
        <v>16</v>
      </c>
      <c r="O2025" s="246">
        <v>17</v>
      </c>
      <c r="P2025" s="246"/>
      <c r="Q2025" s="246"/>
      <c r="R2025" s="246">
        <f>IFERROR(VLOOKUP(D2025,PROGRAMAS[],2,FALSE),0)</f>
        <v>97037803.679377079</v>
      </c>
      <c r="S2025" s="246">
        <f>IFERROR(VLOOKUP(E2025,PROGRAMAS[],2,FALSE),0)</f>
        <v>640501509.6821388</v>
      </c>
      <c r="T2025" s="246">
        <f>IFERROR(VLOOKUP(F2025,PROGRAMAS[],2,FALSE),0)</f>
        <v>3062327798.1525245</v>
      </c>
      <c r="U2025" s="246">
        <f>IFERROR(VLOOKUP(G2025,PROGRAMAS[],2,FALSE),0)</f>
        <v>67697118.033011258</v>
      </c>
      <c r="V2025" s="246">
        <f>IFERROR(VLOOKUP(H2025,PROGRAMAS[],2,FALSE),0)</f>
        <v>6907648435.8447599</v>
      </c>
      <c r="W2025" s="246">
        <f>IFERROR(VLOOKUP(I2025,PROGRAMAS[],2,FALSE),0)</f>
        <v>4635315027.8751087</v>
      </c>
      <c r="X2025" s="246">
        <f>IFERROR(VLOOKUP(J2025,PROGRAMAS[],2,FALSE),0)</f>
        <v>764796700.79905891</v>
      </c>
      <c r="Y2025" s="246">
        <f>IFERROR(VLOOKUP(K2025,PROGRAMAS[],2,FALSE),0)</f>
        <v>3776538594.4604583</v>
      </c>
      <c r="Z2025" s="246">
        <f>IFERROR(VLOOKUP(L2025,PROGRAMAS[],2,FALSE),0)</f>
        <v>54223862.645839565</v>
      </c>
      <c r="AA2025" s="246">
        <f>IFERROR(VLOOKUP(M2025,PROGRAMAS[],2,FALSE),0)</f>
        <v>122159672.96346797</v>
      </c>
      <c r="AB2025" s="246">
        <f>IFERROR(VLOOKUP(N2025,PROGRAMAS[],2,FALSE),0)</f>
        <v>7068496961.0436354</v>
      </c>
      <c r="AC2025" s="246">
        <f>IFERROR(VLOOKUP(O2025,PROGRAMAS[],2,FALSE),0)</f>
        <v>1892779498.5211046</v>
      </c>
      <c r="AD2025" s="246">
        <f>IFERROR(VLOOKUP(P2025,PROGRAMAS[],2,FALSE),0)</f>
        <v>0</v>
      </c>
      <c r="AE2025" s="246">
        <f>IFERROR(VLOOKUP(Q2025,PROGRAMAS[],2,FALSE),0)</f>
        <v>0</v>
      </c>
      <c r="AF2025" s="246">
        <f>IFERROR(VLOOKUP(D2025,PROGRAMAS[],3,FALSE),0)</f>
        <v>841888629.31080008</v>
      </c>
      <c r="AG2025" s="246">
        <f>IFERROR(VLOOKUP(E2025,PROGRAMAS[],3,FALSE),0)</f>
        <v>3848980803.1642323</v>
      </c>
      <c r="AH2025" s="246">
        <f>IFERROR(VLOOKUP(F2025,PROGRAMAS[],3,FALSE),0)</f>
        <v>3394901471.387517</v>
      </c>
      <c r="AI2025" s="246">
        <f>IFERROR(VLOOKUP(G2025,PROGRAMAS[],3,FALSE),0)</f>
        <v>125317226.95549992</v>
      </c>
      <c r="AJ2025" s="246">
        <f>IFERROR(VLOOKUP(H2025,PROGRAMAS[],3,FALSE),0)</f>
        <v>6129902208.7912121</v>
      </c>
      <c r="AK2025" s="246">
        <f>IFERROR(VLOOKUP(I2025,PROGRAMAS[],3,FALSE),0)</f>
        <v>4099471734.9978786</v>
      </c>
      <c r="AL2025" s="246">
        <f>IFERROR(VLOOKUP(J2025,PROGRAMAS[],3,FALSE),0)</f>
        <v>675517840.109828</v>
      </c>
      <c r="AM2025" s="246">
        <f>IFERROR(VLOOKUP(K2025,PROGRAMAS[],3,FALSE),0)</f>
        <v>2392571243.5584412</v>
      </c>
      <c r="AN2025" s="246">
        <f>IFERROR(VLOOKUP(L2025,PROGRAMAS[],3,FALSE),0)</f>
        <v>31865326.38096505</v>
      </c>
      <c r="AO2025" s="246">
        <f>IFERROR(VLOOKUP(M2025,PROGRAMAS[],3,FALSE),0)</f>
        <v>118617452.52510804</v>
      </c>
      <c r="AP2025" s="246">
        <f>IFERROR(VLOOKUP(N2025,PROGRAMAS[],3,FALSE),0)</f>
        <v>2406564599.0319901</v>
      </c>
      <c r="AQ2025" s="246">
        <f>IFERROR(VLOOKUP(O2025,PROGRAMAS[],3,FALSE),0)</f>
        <v>948595847.09039903</v>
      </c>
      <c r="AR2025" s="246">
        <f>IFERROR(VLOOKUP(P2025,PROGRAMAS[],3,FALSE),0)</f>
        <v>0</v>
      </c>
      <c r="AS2025" s="246">
        <f>IFERROR(VLOOKUP(Q2025,PROGRAMAS[],3,FALSE),0)</f>
        <v>0</v>
      </c>
      <c r="AT2025" s="246">
        <f>IFERROR(VLOOKUP(D2025,VOL_REC[],2,FALSE),0)</f>
        <v>0</v>
      </c>
      <c r="AU2025" s="246">
        <f>IFERROR(VLOOKUP(E2025,VOL_REC[],2,FALSE),0)</f>
        <v>0</v>
      </c>
      <c r="AV2025" s="246">
        <f>IFERROR(VLOOKUP(F2025,VOL_REC[],2,FALSE),0)</f>
        <v>11089674.200000001</v>
      </c>
      <c r="AW2025" s="246">
        <f>IFERROR(VLOOKUP(G2025,VOL_REC[],2,FALSE),0)</f>
        <v>90439.55</v>
      </c>
      <c r="AX2025" s="246">
        <f>IFERROR(VLOOKUP(H2025,VOL_REC[],2,FALSE),0)</f>
        <v>15540036.397699751</v>
      </c>
      <c r="AY2025" s="246">
        <f>IFERROR(VLOOKUP(I2025,VOL_REC[],2,FALSE),0)</f>
        <v>1812240</v>
      </c>
      <c r="AZ2025" s="246">
        <f>IFERROR(VLOOKUP(J2025,VOL_REC[],2,FALSE),0)</f>
        <v>240696.79238099116</v>
      </c>
      <c r="BA2025" s="246">
        <f>IFERROR(VLOOKUP(K2025,VOL_REC[],2,FALSE),0)</f>
        <v>663244.80000000016</v>
      </c>
      <c r="BB2025" s="246">
        <f>IFERROR(VLOOKUP(L2025,VOL_REC[],2,FALSE),0)</f>
        <v>17074.045034105649</v>
      </c>
      <c r="BC2025" s="246">
        <f>IFERROR(VLOOKUP(M2025,VOL_REC[],2,FALSE),0)</f>
        <v>105072</v>
      </c>
      <c r="BD2025" s="246">
        <f>IFERROR(VLOOKUP(N2025,VOL_REC[],2,FALSE),0)</f>
        <v>1072354.9981737854</v>
      </c>
      <c r="BE2025" s="246">
        <f>IFERROR(VLOOKUP(O2025,VOL_REC[],2,FALSE),0)</f>
        <v>740113.98115702497</v>
      </c>
      <c r="BF2025" s="246">
        <f>IFERROR(VLOOKUP(P2025,VOL_REC[],2,FALSE),0)</f>
        <v>0</v>
      </c>
      <c r="BG2025" s="246">
        <f>IFERROR(VLOOKUP(Q2025,VOL_REC[],2,FALSE),0)</f>
        <v>0</v>
      </c>
      <c r="BH2025" s="1710">
        <f t="shared" si="138"/>
        <v>29089522983.700481</v>
      </c>
      <c r="BI2025" s="1710">
        <f t="shared" si="139"/>
        <v>25014194383.303875</v>
      </c>
      <c r="BJ2025" s="1711">
        <f t="shared" si="140"/>
        <v>31370946.764445659</v>
      </c>
      <c r="BK2025" s="1711">
        <f t="shared" si="141"/>
        <v>1.1629206416944113</v>
      </c>
      <c r="BL2025">
        <f t="shared" si="146"/>
        <v>31370946.764445659</v>
      </c>
      <c r="BO2025">
        <f t="shared" si="147"/>
        <v>31370946.764445659</v>
      </c>
    </row>
    <row r="2026" spans="3:67" x14ac:dyDescent="0.25">
      <c r="C2026" s="246" t="s">
        <v>3376</v>
      </c>
      <c r="D2026" s="246">
        <v>1</v>
      </c>
      <c r="E2026" s="246">
        <v>2</v>
      </c>
      <c r="F2026" s="246">
        <v>3</v>
      </c>
      <c r="G2026" s="246">
        <v>4</v>
      </c>
      <c r="H2026" s="246">
        <v>9</v>
      </c>
      <c r="I2026" s="246">
        <v>10</v>
      </c>
      <c r="J2026" s="246">
        <v>12</v>
      </c>
      <c r="K2026" s="246">
        <v>13</v>
      </c>
      <c r="L2026" s="246">
        <v>14</v>
      </c>
      <c r="M2026" s="246">
        <v>15</v>
      </c>
      <c r="N2026" s="246">
        <v>16</v>
      </c>
      <c r="O2026" s="246">
        <v>17</v>
      </c>
      <c r="P2026" s="246"/>
      <c r="Q2026" s="246"/>
      <c r="R2026" s="246">
        <f>IFERROR(VLOOKUP(D2026,PROGRAMAS[],2,FALSE),0)</f>
        <v>97037803.679377079</v>
      </c>
      <c r="S2026" s="246">
        <f>IFERROR(VLOOKUP(E2026,PROGRAMAS[],2,FALSE),0)</f>
        <v>640501509.6821388</v>
      </c>
      <c r="T2026" s="246">
        <f>IFERROR(VLOOKUP(F2026,PROGRAMAS[],2,FALSE),0)</f>
        <v>3062327798.1525245</v>
      </c>
      <c r="U2026" s="246">
        <f>IFERROR(VLOOKUP(G2026,PROGRAMAS[],2,FALSE),0)</f>
        <v>67697118.033011258</v>
      </c>
      <c r="V2026" s="246">
        <f>IFERROR(VLOOKUP(H2026,PROGRAMAS[],2,FALSE),0)</f>
        <v>6128579952.1618185</v>
      </c>
      <c r="W2026" s="246">
        <f>IFERROR(VLOOKUP(I2026,PROGRAMAS[],2,FALSE),0)</f>
        <v>4635315027.8751087</v>
      </c>
      <c r="X2026" s="246">
        <f>IFERROR(VLOOKUP(J2026,PROGRAMAS[],2,FALSE),0)</f>
        <v>764796700.79905891</v>
      </c>
      <c r="Y2026" s="246">
        <f>IFERROR(VLOOKUP(K2026,PROGRAMAS[],2,FALSE),0)</f>
        <v>3776538594.4604583</v>
      </c>
      <c r="Z2026" s="246">
        <f>IFERROR(VLOOKUP(L2026,PROGRAMAS[],2,FALSE),0)</f>
        <v>54223862.645839565</v>
      </c>
      <c r="AA2026" s="246">
        <f>IFERROR(VLOOKUP(M2026,PROGRAMAS[],2,FALSE),0)</f>
        <v>122159672.96346797</v>
      </c>
      <c r="AB2026" s="246">
        <f>IFERROR(VLOOKUP(N2026,PROGRAMAS[],2,FALSE),0)</f>
        <v>7068496961.0436354</v>
      </c>
      <c r="AC2026" s="246">
        <f>IFERROR(VLOOKUP(O2026,PROGRAMAS[],2,FALSE),0)</f>
        <v>1892779498.5211046</v>
      </c>
      <c r="AD2026" s="246">
        <f>IFERROR(VLOOKUP(P2026,PROGRAMAS[],2,FALSE),0)</f>
        <v>0</v>
      </c>
      <c r="AE2026" s="246">
        <f>IFERROR(VLOOKUP(Q2026,PROGRAMAS[],2,FALSE),0)</f>
        <v>0</v>
      </c>
      <c r="AF2026" s="246">
        <f>IFERROR(VLOOKUP(D2026,PROGRAMAS[],3,FALSE),0)</f>
        <v>841888629.31080008</v>
      </c>
      <c r="AG2026" s="246">
        <f>IFERROR(VLOOKUP(E2026,PROGRAMAS[],3,FALSE),0)</f>
        <v>3848980803.1642323</v>
      </c>
      <c r="AH2026" s="246">
        <f>IFERROR(VLOOKUP(F2026,PROGRAMAS[],3,FALSE),0)</f>
        <v>3394901471.387517</v>
      </c>
      <c r="AI2026" s="246">
        <f>IFERROR(VLOOKUP(G2026,PROGRAMAS[],3,FALSE),0)</f>
        <v>125317226.95549992</v>
      </c>
      <c r="AJ2026" s="246">
        <f>IFERROR(VLOOKUP(H2026,PROGRAMAS[],3,FALSE),0)</f>
        <v>7011279577.519702</v>
      </c>
      <c r="AK2026" s="246">
        <f>IFERROR(VLOOKUP(I2026,PROGRAMAS[],3,FALSE),0)</f>
        <v>4099471734.9978786</v>
      </c>
      <c r="AL2026" s="246">
        <f>IFERROR(VLOOKUP(J2026,PROGRAMAS[],3,FALSE),0)</f>
        <v>675517840.109828</v>
      </c>
      <c r="AM2026" s="246">
        <f>IFERROR(VLOOKUP(K2026,PROGRAMAS[],3,FALSE),0)</f>
        <v>2392571243.5584412</v>
      </c>
      <c r="AN2026" s="246">
        <f>IFERROR(VLOOKUP(L2026,PROGRAMAS[],3,FALSE),0)</f>
        <v>31865326.38096505</v>
      </c>
      <c r="AO2026" s="246">
        <f>IFERROR(VLOOKUP(M2026,PROGRAMAS[],3,FALSE),0)</f>
        <v>118617452.52510804</v>
      </c>
      <c r="AP2026" s="246">
        <f>IFERROR(VLOOKUP(N2026,PROGRAMAS[],3,FALSE),0)</f>
        <v>2406564599.0319901</v>
      </c>
      <c r="AQ2026" s="246">
        <f>IFERROR(VLOOKUP(O2026,PROGRAMAS[],3,FALSE),0)</f>
        <v>948595847.09039903</v>
      </c>
      <c r="AR2026" s="246">
        <f>IFERROR(VLOOKUP(P2026,PROGRAMAS[],3,FALSE),0)</f>
        <v>0</v>
      </c>
      <c r="AS2026" s="246">
        <f>IFERROR(VLOOKUP(Q2026,PROGRAMAS[],3,FALSE),0)</f>
        <v>0</v>
      </c>
      <c r="AT2026" s="246">
        <f>IFERROR(VLOOKUP(D2026,VOL_REC[],2,FALSE),0)</f>
        <v>0</v>
      </c>
      <c r="AU2026" s="246">
        <f>IFERROR(VLOOKUP(E2026,VOL_REC[],2,FALSE),0)</f>
        <v>0</v>
      </c>
      <c r="AV2026" s="246">
        <f>IFERROR(VLOOKUP(F2026,VOL_REC[],2,FALSE),0)</f>
        <v>11089674.200000001</v>
      </c>
      <c r="AW2026" s="246">
        <f>IFERROR(VLOOKUP(G2026,VOL_REC[],2,FALSE),0)</f>
        <v>90439.55</v>
      </c>
      <c r="AX2026" s="246">
        <f>IFERROR(VLOOKUP(H2026,VOL_REC[],2,FALSE),0)</f>
        <v>3761786</v>
      </c>
      <c r="AY2026" s="246">
        <f>IFERROR(VLOOKUP(I2026,VOL_REC[],2,FALSE),0)</f>
        <v>1812240</v>
      </c>
      <c r="AZ2026" s="246">
        <f>IFERROR(VLOOKUP(J2026,VOL_REC[],2,FALSE),0)</f>
        <v>240696.79238099116</v>
      </c>
      <c r="BA2026" s="246">
        <f>IFERROR(VLOOKUP(K2026,VOL_REC[],2,FALSE),0)</f>
        <v>663244.80000000016</v>
      </c>
      <c r="BB2026" s="246">
        <f>IFERROR(VLOOKUP(L2026,VOL_REC[],2,FALSE),0)</f>
        <v>17074.045034105649</v>
      </c>
      <c r="BC2026" s="246">
        <f>IFERROR(VLOOKUP(M2026,VOL_REC[],2,FALSE),0)</f>
        <v>105072</v>
      </c>
      <c r="BD2026" s="246">
        <f>IFERROR(VLOOKUP(N2026,VOL_REC[],2,FALSE),0)</f>
        <v>1072354.9981737854</v>
      </c>
      <c r="BE2026" s="246">
        <f>IFERROR(VLOOKUP(O2026,VOL_REC[],2,FALSE),0)</f>
        <v>740113.98115702497</v>
      </c>
      <c r="BF2026" s="246">
        <f>IFERROR(VLOOKUP(P2026,VOL_REC[],2,FALSE),0)</f>
        <v>0</v>
      </c>
      <c r="BG2026" s="246">
        <f>IFERROR(VLOOKUP(Q2026,VOL_REC[],2,FALSE),0)</f>
        <v>0</v>
      </c>
      <c r="BH2026" s="1710">
        <f t="shared" si="138"/>
        <v>28310454500.01754</v>
      </c>
      <c r="BI2026" s="1710">
        <f t="shared" si="139"/>
        <v>25895571752.032364</v>
      </c>
      <c r="BJ2026" s="1711">
        <f t="shared" si="140"/>
        <v>19592696.366745908</v>
      </c>
      <c r="BK2026" s="1711">
        <f t="shared" si="141"/>
        <v>1.0932546603376558</v>
      </c>
      <c r="BL2026">
        <f t="shared" si="146"/>
        <v>19592696.366745908</v>
      </c>
      <c r="BO2026">
        <f t="shared" si="147"/>
        <v>19592696.366745908</v>
      </c>
    </row>
    <row r="2027" spans="3:67" x14ac:dyDescent="0.25">
      <c r="C2027" s="246" t="s">
        <v>3377</v>
      </c>
      <c r="D2027" s="246">
        <v>1</v>
      </c>
      <c r="E2027" s="246">
        <v>2</v>
      </c>
      <c r="F2027" s="246">
        <v>3</v>
      </c>
      <c r="G2027" s="246">
        <v>5</v>
      </c>
      <c r="H2027" s="246">
        <v>6</v>
      </c>
      <c r="I2027" s="246">
        <v>9</v>
      </c>
      <c r="J2027" s="246">
        <v>10</v>
      </c>
      <c r="K2027" s="246">
        <v>12</v>
      </c>
      <c r="L2027" s="246">
        <v>13</v>
      </c>
      <c r="M2027" s="246">
        <v>14</v>
      </c>
      <c r="N2027" s="246">
        <v>15</v>
      </c>
      <c r="O2027" s="246">
        <v>16</v>
      </c>
      <c r="P2027" s="246"/>
      <c r="Q2027" s="246"/>
      <c r="R2027" s="246">
        <f>IFERROR(VLOOKUP(D2027,PROGRAMAS[],2,FALSE),0)</f>
        <v>97037803.679377079</v>
      </c>
      <c r="S2027" s="246">
        <f>IFERROR(VLOOKUP(E2027,PROGRAMAS[],2,FALSE),0)</f>
        <v>640501509.6821388</v>
      </c>
      <c r="T2027" s="246">
        <f>IFERROR(VLOOKUP(F2027,PROGRAMAS[],2,FALSE),0)</f>
        <v>3062327798.1525245</v>
      </c>
      <c r="U2027" s="246">
        <f>IFERROR(VLOOKUP(G2027,PROGRAMAS[],2,FALSE),0)</f>
        <v>1440941976.2528784</v>
      </c>
      <c r="V2027" s="246">
        <f>IFERROR(VLOOKUP(H2027,PROGRAMAS[],2,FALSE),0)</f>
        <v>6907648435.8447599</v>
      </c>
      <c r="W2027" s="246">
        <f>IFERROR(VLOOKUP(I2027,PROGRAMAS[],2,FALSE),0)</f>
        <v>6128579952.1618185</v>
      </c>
      <c r="X2027" s="246">
        <f>IFERROR(VLOOKUP(J2027,PROGRAMAS[],2,FALSE),0)</f>
        <v>4635315027.8751087</v>
      </c>
      <c r="Y2027" s="246">
        <f>IFERROR(VLOOKUP(K2027,PROGRAMAS[],2,FALSE),0)</f>
        <v>764796700.79905891</v>
      </c>
      <c r="Z2027" s="246">
        <f>IFERROR(VLOOKUP(L2027,PROGRAMAS[],2,FALSE),0)</f>
        <v>3776538594.4604583</v>
      </c>
      <c r="AA2027" s="246">
        <f>IFERROR(VLOOKUP(M2027,PROGRAMAS[],2,FALSE),0)</f>
        <v>54223862.645839565</v>
      </c>
      <c r="AB2027" s="246">
        <f>IFERROR(VLOOKUP(N2027,PROGRAMAS[],2,FALSE),0)</f>
        <v>122159672.96346797</v>
      </c>
      <c r="AC2027" s="246">
        <f>IFERROR(VLOOKUP(O2027,PROGRAMAS[],2,FALSE),0)</f>
        <v>7068496961.0436354</v>
      </c>
      <c r="AD2027" s="246">
        <f>IFERROR(VLOOKUP(P2027,PROGRAMAS[],2,FALSE),0)</f>
        <v>0</v>
      </c>
      <c r="AE2027" s="246">
        <f>IFERROR(VLOOKUP(Q2027,PROGRAMAS[],2,FALSE),0)</f>
        <v>0</v>
      </c>
      <c r="AF2027" s="246">
        <f>IFERROR(VLOOKUP(D2027,PROGRAMAS[],3,FALSE),0)</f>
        <v>841888629.31080008</v>
      </c>
      <c r="AG2027" s="246">
        <f>IFERROR(VLOOKUP(E2027,PROGRAMAS[],3,FALSE),0)</f>
        <v>3848980803.1642323</v>
      </c>
      <c r="AH2027" s="246">
        <f>IFERROR(VLOOKUP(F2027,PROGRAMAS[],3,FALSE),0)</f>
        <v>3394901471.387517</v>
      </c>
      <c r="AI2027" s="246">
        <f>IFERROR(VLOOKUP(G2027,PROGRAMAS[],3,FALSE),0)</f>
        <v>1233505101.0616004</v>
      </c>
      <c r="AJ2027" s="246">
        <f>IFERROR(VLOOKUP(H2027,PROGRAMAS[],3,FALSE),0)</f>
        <v>6129902208.7912121</v>
      </c>
      <c r="AK2027" s="246">
        <f>IFERROR(VLOOKUP(I2027,PROGRAMAS[],3,FALSE),0)</f>
        <v>7011279577.519702</v>
      </c>
      <c r="AL2027" s="246">
        <f>IFERROR(VLOOKUP(J2027,PROGRAMAS[],3,FALSE),0)</f>
        <v>4099471734.9978786</v>
      </c>
      <c r="AM2027" s="246">
        <f>IFERROR(VLOOKUP(K2027,PROGRAMAS[],3,FALSE),0)</f>
        <v>675517840.109828</v>
      </c>
      <c r="AN2027" s="246">
        <f>IFERROR(VLOOKUP(L2027,PROGRAMAS[],3,FALSE),0)</f>
        <v>2392571243.5584412</v>
      </c>
      <c r="AO2027" s="246">
        <f>IFERROR(VLOOKUP(M2027,PROGRAMAS[],3,FALSE),0)</f>
        <v>31865326.38096505</v>
      </c>
      <c r="AP2027" s="246">
        <f>IFERROR(VLOOKUP(N2027,PROGRAMAS[],3,FALSE),0)</f>
        <v>118617452.52510804</v>
      </c>
      <c r="AQ2027" s="246">
        <f>IFERROR(VLOOKUP(O2027,PROGRAMAS[],3,FALSE),0)</f>
        <v>2406564599.0319901</v>
      </c>
      <c r="AR2027" s="246">
        <f>IFERROR(VLOOKUP(P2027,PROGRAMAS[],3,FALSE),0)</f>
        <v>0</v>
      </c>
      <c r="AS2027" s="246">
        <f>IFERROR(VLOOKUP(Q2027,PROGRAMAS[],3,FALSE),0)</f>
        <v>0</v>
      </c>
      <c r="AT2027" s="246">
        <f>IFERROR(VLOOKUP(D2027,VOL_REC[],2,FALSE),0)</f>
        <v>0</v>
      </c>
      <c r="AU2027" s="246">
        <f>IFERROR(VLOOKUP(E2027,VOL_REC[],2,FALSE),0)</f>
        <v>0</v>
      </c>
      <c r="AV2027" s="246">
        <f>IFERROR(VLOOKUP(F2027,VOL_REC[],2,FALSE),0)</f>
        <v>11089674.200000001</v>
      </c>
      <c r="AW2027" s="246">
        <f>IFERROR(VLOOKUP(G2027,VOL_REC[],2,FALSE),0)</f>
        <v>4325103.1812214684</v>
      </c>
      <c r="AX2027" s="246">
        <f>IFERROR(VLOOKUP(H2027,VOL_REC[],2,FALSE),0)</f>
        <v>15540036.397699751</v>
      </c>
      <c r="AY2027" s="246">
        <f>IFERROR(VLOOKUP(I2027,VOL_REC[],2,FALSE),0)</f>
        <v>3761786</v>
      </c>
      <c r="AZ2027" s="246">
        <f>IFERROR(VLOOKUP(J2027,VOL_REC[],2,FALSE),0)</f>
        <v>1812240</v>
      </c>
      <c r="BA2027" s="246">
        <f>IFERROR(VLOOKUP(K2027,VOL_REC[],2,FALSE),0)</f>
        <v>240696.79238099116</v>
      </c>
      <c r="BB2027" s="246">
        <f>IFERROR(VLOOKUP(L2027,VOL_REC[],2,FALSE),0)</f>
        <v>663244.80000000016</v>
      </c>
      <c r="BC2027" s="246">
        <f>IFERROR(VLOOKUP(M2027,VOL_REC[],2,FALSE),0)</f>
        <v>17074.045034105649</v>
      </c>
      <c r="BD2027" s="246">
        <f>IFERROR(VLOOKUP(N2027,VOL_REC[],2,FALSE),0)</f>
        <v>105072</v>
      </c>
      <c r="BE2027" s="246">
        <f>IFERROR(VLOOKUP(O2027,VOL_REC[],2,FALSE),0)</f>
        <v>1072354.9981737854</v>
      </c>
      <c r="BF2027" s="246">
        <f>IFERROR(VLOOKUP(P2027,VOL_REC[],2,FALSE),0)</f>
        <v>0</v>
      </c>
      <c r="BG2027" s="246">
        <f>IFERROR(VLOOKUP(Q2027,VOL_REC[],2,FALSE),0)</f>
        <v>0</v>
      </c>
      <c r="BH2027" s="1710">
        <f t="shared" si="138"/>
        <v>34698568295.561058</v>
      </c>
      <c r="BI2027" s="1710">
        <f t="shared" si="139"/>
        <v>32185065987.839279</v>
      </c>
      <c r="BJ2027" s="1711">
        <f t="shared" si="140"/>
        <v>38627282.414510094</v>
      </c>
      <c r="BK2027" s="1711">
        <f t="shared" si="141"/>
        <v>1.07809529763498</v>
      </c>
      <c r="BL2027">
        <f t="shared" si="146"/>
        <v>38627282.414510094</v>
      </c>
      <c r="BO2027">
        <f t="shared" si="147"/>
        <v>38627282.414510094</v>
      </c>
    </row>
    <row r="2028" spans="3:67" x14ac:dyDescent="0.25">
      <c r="C2028" s="246" t="s">
        <v>3378</v>
      </c>
      <c r="D2028" s="246">
        <v>1</v>
      </c>
      <c r="E2028" s="246">
        <v>2</v>
      </c>
      <c r="F2028" s="246">
        <v>3</v>
      </c>
      <c r="G2028" s="246">
        <v>5</v>
      </c>
      <c r="H2028" s="246">
        <v>6</v>
      </c>
      <c r="I2028" s="246">
        <v>9</v>
      </c>
      <c r="J2028" s="246">
        <v>10</v>
      </c>
      <c r="K2028" s="246">
        <v>12</v>
      </c>
      <c r="L2028" s="246">
        <v>13</v>
      </c>
      <c r="M2028" s="246">
        <v>14</v>
      </c>
      <c r="N2028" s="246">
        <v>15</v>
      </c>
      <c r="O2028" s="246">
        <v>17</v>
      </c>
      <c r="P2028" s="246"/>
      <c r="Q2028" s="246"/>
      <c r="R2028" s="246">
        <f>IFERROR(VLOOKUP(D2028,PROGRAMAS[],2,FALSE),0)</f>
        <v>97037803.679377079</v>
      </c>
      <c r="S2028" s="246">
        <f>IFERROR(VLOOKUP(E2028,PROGRAMAS[],2,FALSE),0)</f>
        <v>640501509.6821388</v>
      </c>
      <c r="T2028" s="246">
        <f>IFERROR(VLOOKUP(F2028,PROGRAMAS[],2,FALSE),0)</f>
        <v>3062327798.1525245</v>
      </c>
      <c r="U2028" s="246">
        <f>IFERROR(VLOOKUP(G2028,PROGRAMAS[],2,FALSE),0)</f>
        <v>1440941976.2528784</v>
      </c>
      <c r="V2028" s="246">
        <f>IFERROR(VLOOKUP(H2028,PROGRAMAS[],2,FALSE),0)</f>
        <v>6907648435.8447599</v>
      </c>
      <c r="W2028" s="246">
        <f>IFERROR(VLOOKUP(I2028,PROGRAMAS[],2,FALSE),0)</f>
        <v>6128579952.1618185</v>
      </c>
      <c r="X2028" s="246">
        <f>IFERROR(VLOOKUP(J2028,PROGRAMAS[],2,FALSE),0)</f>
        <v>4635315027.8751087</v>
      </c>
      <c r="Y2028" s="246">
        <f>IFERROR(VLOOKUP(K2028,PROGRAMAS[],2,FALSE),0)</f>
        <v>764796700.79905891</v>
      </c>
      <c r="Z2028" s="246">
        <f>IFERROR(VLOOKUP(L2028,PROGRAMAS[],2,FALSE),0)</f>
        <v>3776538594.4604583</v>
      </c>
      <c r="AA2028" s="246">
        <f>IFERROR(VLOOKUP(M2028,PROGRAMAS[],2,FALSE),0)</f>
        <v>54223862.645839565</v>
      </c>
      <c r="AB2028" s="246">
        <f>IFERROR(VLOOKUP(N2028,PROGRAMAS[],2,FALSE),0)</f>
        <v>122159672.96346797</v>
      </c>
      <c r="AC2028" s="246">
        <f>IFERROR(VLOOKUP(O2028,PROGRAMAS[],2,FALSE),0)</f>
        <v>1892779498.5211046</v>
      </c>
      <c r="AD2028" s="246">
        <f>IFERROR(VLOOKUP(P2028,PROGRAMAS[],2,FALSE),0)</f>
        <v>0</v>
      </c>
      <c r="AE2028" s="246">
        <f>IFERROR(VLOOKUP(Q2028,PROGRAMAS[],2,FALSE),0)</f>
        <v>0</v>
      </c>
      <c r="AF2028" s="246">
        <f>IFERROR(VLOOKUP(D2028,PROGRAMAS[],3,FALSE),0)</f>
        <v>841888629.31080008</v>
      </c>
      <c r="AG2028" s="246">
        <f>IFERROR(VLOOKUP(E2028,PROGRAMAS[],3,FALSE),0)</f>
        <v>3848980803.1642323</v>
      </c>
      <c r="AH2028" s="246">
        <f>IFERROR(VLOOKUP(F2028,PROGRAMAS[],3,FALSE),0)</f>
        <v>3394901471.387517</v>
      </c>
      <c r="AI2028" s="246">
        <f>IFERROR(VLOOKUP(G2028,PROGRAMAS[],3,FALSE),0)</f>
        <v>1233505101.0616004</v>
      </c>
      <c r="AJ2028" s="246">
        <f>IFERROR(VLOOKUP(H2028,PROGRAMAS[],3,FALSE),0)</f>
        <v>6129902208.7912121</v>
      </c>
      <c r="AK2028" s="246">
        <f>IFERROR(VLOOKUP(I2028,PROGRAMAS[],3,FALSE),0)</f>
        <v>7011279577.519702</v>
      </c>
      <c r="AL2028" s="246">
        <f>IFERROR(VLOOKUP(J2028,PROGRAMAS[],3,FALSE),0)</f>
        <v>4099471734.9978786</v>
      </c>
      <c r="AM2028" s="246">
        <f>IFERROR(VLOOKUP(K2028,PROGRAMAS[],3,FALSE),0)</f>
        <v>675517840.109828</v>
      </c>
      <c r="AN2028" s="246">
        <f>IFERROR(VLOOKUP(L2028,PROGRAMAS[],3,FALSE),0)</f>
        <v>2392571243.5584412</v>
      </c>
      <c r="AO2028" s="246">
        <f>IFERROR(VLOOKUP(M2028,PROGRAMAS[],3,FALSE),0)</f>
        <v>31865326.38096505</v>
      </c>
      <c r="AP2028" s="246">
        <f>IFERROR(VLOOKUP(N2028,PROGRAMAS[],3,FALSE),0)</f>
        <v>118617452.52510804</v>
      </c>
      <c r="AQ2028" s="246">
        <f>IFERROR(VLOOKUP(O2028,PROGRAMAS[],3,FALSE),0)</f>
        <v>948595847.09039903</v>
      </c>
      <c r="AR2028" s="246">
        <f>IFERROR(VLOOKUP(P2028,PROGRAMAS[],3,FALSE),0)</f>
        <v>0</v>
      </c>
      <c r="AS2028" s="246">
        <f>IFERROR(VLOOKUP(Q2028,PROGRAMAS[],3,FALSE),0)</f>
        <v>0</v>
      </c>
      <c r="AT2028" s="246">
        <f>IFERROR(VLOOKUP(D2028,VOL_REC[],2,FALSE),0)</f>
        <v>0</v>
      </c>
      <c r="AU2028" s="246">
        <f>IFERROR(VLOOKUP(E2028,VOL_REC[],2,FALSE),0)</f>
        <v>0</v>
      </c>
      <c r="AV2028" s="246">
        <f>IFERROR(VLOOKUP(F2028,VOL_REC[],2,FALSE),0)</f>
        <v>11089674.200000001</v>
      </c>
      <c r="AW2028" s="246">
        <f>IFERROR(VLOOKUP(G2028,VOL_REC[],2,FALSE),0)</f>
        <v>4325103.1812214684</v>
      </c>
      <c r="AX2028" s="246">
        <f>IFERROR(VLOOKUP(H2028,VOL_REC[],2,FALSE),0)</f>
        <v>15540036.397699751</v>
      </c>
      <c r="AY2028" s="246">
        <f>IFERROR(VLOOKUP(I2028,VOL_REC[],2,FALSE),0)</f>
        <v>3761786</v>
      </c>
      <c r="AZ2028" s="246">
        <f>IFERROR(VLOOKUP(J2028,VOL_REC[],2,FALSE),0)</f>
        <v>1812240</v>
      </c>
      <c r="BA2028" s="246">
        <f>IFERROR(VLOOKUP(K2028,VOL_REC[],2,FALSE),0)</f>
        <v>240696.79238099116</v>
      </c>
      <c r="BB2028" s="246">
        <f>IFERROR(VLOOKUP(L2028,VOL_REC[],2,FALSE),0)</f>
        <v>663244.80000000016</v>
      </c>
      <c r="BC2028" s="246">
        <f>IFERROR(VLOOKUP(M2028,VOL_REC[],2,FALSE),0)</f>
        <v>17074.045034105649</v>
      </c>
      <c r="BD2028" s="246">
        <f>IFERROR(VLOOKUP(N2028,VOL_REC[],2,FALSE),0)</f>
        <v>105072</v>
      </c>
      <c r="BE2028" s="246">
        <f>IFERROR(VLOOKUP(O2028,VOL_REC[],2,FALSE),0)</f>
        <v>740113.98115702497</v>
      </c>
      <c r="BF2028" s="246">
        <f>IFERROR(VLOOKUP(P2028,VOL_REC[],2,FALSE),0)</f>
        <v>0</v>
      </c>
      <c r="BG2028" s="246">
        <f>IFERROR(VLOOKUP(Q2028,VOL_REC[],2,FALSE),0)</f>
        <v>0</v>
      </c>
      <c r="BH2028" s="1710">
        <f t="shared" si="138"/>
        <v>29522850833.038528</v>
      </c>
      <c r="BI2028" s="1710">
        <f t="shared" si="139"/>
        <v>30727097235.89769</v>
      </c>
      <c r="BJ2028" s="1711">
        <f t="shared" si="140"/>
        <v>38295041.397493333</v>
      </c>
      <c r="BK2028" s="1711">
        <f t="shared" si="141"/>
        <v>0.96080832518561921</v>
      </c>
    </row>
    <row r="2029" spans="3:67" x14ac:dyDescent="0.25">
      <c r="C2029" s="246" t="s">
        <v>3379</v>
      </c>
      <c r="D2029" s="246">
        <v>1</v>
      </c>
      <c r="E2029" s="246">
        <v>2</v>
      </c>
      <c r="F2029" s="246">
        <v>3</v>
      </c>
      <c r="G2029" s="246">
        <v>5</v>
      </c>
      <c r="H2029" s="246">
        <v>6</v>
      </c>
      <c r="I2029" s="246">
        <v>9</v>
      </c>
      <c r="J2029" s="246">
        <v>10</v>
      </c>
      <c r="K2029" s="246">
        <v>12</v>
      </c>
      <c r="L2029" s="246">
        <v>13</v>
      </c>
      <c r="M2029" s="246">
        <v>14</v>
      </c>
      <c r="N2029" s="246">
        <v>16</v>
      </c>
      <c r="O2029" s="246">
        <v>17</v>
      </c>
      <c r="P2029" s="246"/>
      <c r="Q2029" s="246"/>
      <c r="R2029" s="246">
        <f>IFERROR(VLOOKUP(D2029,PROGRAMAS[],2,FALSE),0)</f>
        <v>97037803.679377079</v>
      </c>
      <c r="S2029" s="246">
        <f>IFERROR(VLOOKUP(E2029,PROGRAMAS[],2,FALSE),0)</f>
        <v>640501509.6821388</v>
      </c>
      <c r="T2029" s="246">
        <f>IFERROR(VLOOKUP(F2029,PROGRAMAS[],2,FALSE),0)</f>
        <v>3062327798.1525245</v>
      </c>
      <c r="U2029" s="246">
        <f>IFERROR(VLOOKUP(G2029,PROGRAMAS[],2,FALSE),0)</f>
        <v>1440941976.2528784</v>
      </c>
      <c r="V2029" s="246">
        <f>IFERROR(VLOOKUP(H2029,PROGRAMAS[],2,FALSE),0)</f>
        <v>6907648435.8447599</v>
      </c>
      <c r="W2029" s="246">
        <f>IFERROR(VLOOKUP(I2029,PROGRAMAS[],2,FALSE),0)</f>
        <v>6128579952.1618185</v>
      </c>
      <c r="X2029" s="246">
        <f>IFERROR(VLOOKUP(J2029,PROGRAMAS[],2,FALSE),0)</f>
        <v>4635315027.8751087</v>
      </c>
      <c r="Y2029" s="246">
        <f>IFERROR(VLOOKUP(K2029,PROGRAMAS[],2,FALSE),0)</f>
        <v>764796700.79905891</v>
      </c>
      <c r="Z2029" s="246">
        <f>IFERROR(VLOOKUP(L2029,PROGRAMAS[],2,FALSE),0)</f>
        <v>3776538594.4604583</v>
      </c>
      <c r="AA2029" s="246">
        <f>IFERROR(VLOOKUP(M2029,PROGRAMAS[],2,FALSE),0)</f>
        <v>54223862.645839565</v>
      </c>
      <c r="AB2029" s="246">
        <f>IFERROR(VLOOKUP(N2029,PROGRAMAS[],2,FALSE),0)</f>
        <v>7068496961.0436354</v>
      </c>
      <c r="AC2029" s="246">
        <f>IFERROR(VLOOKUP(O2029,PROGRAMAS[],2,FALSE),0)</f>
        <v>1892779498.5211046</v>
      </c>
      <c r="AD2029" s="246">
        <f>IFERROR(VLOOKUP(P2029,PROGRAMAS[],2,FALSE),0)</f>
        <v>0</v>
      </c>
      <c r="AE2029" s="246">
        <f>IFERROR(VLOOKUP(Q2029,PROGRAMAS[],2,FALSE),0)</f>
        <v>0</v>
      </c>
      <c r="AF2029" s="246">
        <f>IFERROR(VLOOKUP(D2029,PROGRAMAS[],3,FALSE),0)</f>
        <v>841888629.31080008</v>
      </c>
      <c r="AG2029" s="246">
        <f>IFERROR(VLOOKUP(E2029,PROGRAMAS[],3,FALSE),0)</f>
        <v>3848980803.1642323</v>
      </c>
      <c r="AH2029" s="246">
        <f>IFERROR(VLOOKUP(F2029,PROGRAMAS[],3,FALSE),0)</f>
        <v>3394901471.387517</v>
      </c>
      <c r="AI2029" s="246">
        <f>IFERROR(VLOOKUP(G2029,PROGRAMAS[],3,FALSE),0)</f>
        <v>1233505101.0616004</v>
      </c>
      <c r="AJ2029" s="246">
        <f>IFERROR(VLOOKUP(H2029,PROGRAMAS[],3,FALSE),0)</f>
        <v>6129902208.7912121</v>
      </c>
      <c r="AK2029" s="246">
        <f>IFERROR(VLOOKUP(I2029,PROGRAMAS[],3,FALSE),0)</f>
        <v>7011279577.519702</v>
      </c>
      <c r="AL2029" s="246">
        <f>IFERROR(VLOOKUP(J2029,PROGRAMAS[],3,FALSE),0)</f>
        <v>4099471734.9978786</v>
      </c>
      <c r="AM2029" s="246">
        <f>IFERROR(VLOOKUP(K2029,PROGRAMAS[],3,FALSE),0)</f>
        <v>675517840.109828</v>
      </c>
      <c r="AN2029" s="246">
        <f>IFERROR(VLOOKUP(L2029,PROGRAMAS[],3,FALSE),0)</f>
        <v>2392571243.5584412</v>
      </c>
      <c r="AO2029" s="246">
        <f>IFERROR(VLOOKUP(M2029,PROGRAMAS[],3,FALSE),0)</f>
        <v>31865326.38096505</v>
      </c>
      <c r="AP2029" s="246">
        <f>IFERROR(VLOOKUP(N2029,PROGRAMAS[],3,FALSE),0)</f>
        <v>2406564599.0319901</v>
      </c>
      <c r="AQ2029" s="246">
        <f>IFERROR(VLOOKUP(O2029,PROGRAMAS[],3,FALSE),0)</f>
        <v>948595847.09039903</v>
      </c>
      <c r="AR2029" s="246">
        <f>IFERROR(VLOOKUP(P2029,PROGRAMAS[],3,FALSE),0)</f>
        <v>0</v>
      </c>
      <c r="AS2029" s="246">
        <f>IFERROR(VLOOKUP(Q2029,PROGRAMAS[],3,FALSE),0)</f>
        <v>0</v>
      </c>
      <c r="AT2029" s="246">
        <f>IFERROR(VLOOKUP(D2029,VOL_REC[],2,FALSE),0)</f>
        <v>0</v>
      </c>
      <c r="AU2029" s="246">
        <f>IFERROR(VLOOKUP(E2029,VOL_REC[],2,FALSE),0)</f>
        <v>0</v>
      </c>
      <c r="AV2029" s="246">
        <f>IFERROR(VLOOKUP(F2029,VOL_REC[],2,FALSE),0)</f>
        <v>11089674.200000001</v>
      </c>
      <c r="AW2029" s="246">
        <f>IFERROR(VLOOKUP(G2029,VOL_REC[],2,FALSE),0)</f>
        <v>4325103.1812214684</v>
      </c>
      <c r="AX2029" s="246">
        <f>IFERROR(VLOOKUP(H2029,VOL_REC[],2,FALSE),0)</f>
        <v>15540036.397699751</v>
      </c>
      <c r="AY2029" s="246">
        <f>IFERROR(VLOOKUP(I2029,VOL_REC[],2,FALSE),0)</f>
        <v>3761786</v>
      </c>
      <c r="AZ2029" s="246">
        <f>IFERROR(VLOOKUP(J2029,VOL_REC[],2,FALSE),0)</f>
        <v>1812240</v>
      </c>
      <c r="BA2029" s="246">
        <f>IFERROR(VLOOKUP(K2029,VOL_REC[],2,FALSE),0)</f>
        <v>240696.79238099116</v>
      </c>
      <c r="BB2029" s="246">
        <f>IFERROR(VLOOKUP(L2029,VOL_REC[],2,FALSE),0)</f>
        <v>663244.80000000016</v>
      </c>
      <c r="BC2029" s="246">
        <f>IFERROR(VLOOKUP(M2029,VOL_REC[],2,FALSE),0)</f>
        <v>17074.045034105649</v>
      </c>
      <c r="BD2029" s="246">
        <f>IFERROR(VLOOKUP(N2029,VOL_REC[],2,FALSE),0)</f>
        <v>1072354.9981737854</v>
      </c>
      <c r="BE2029" s="246">
        <f>IFERROR(VLOOKUP(O2029,VOL_REC[],2,FALSE),0)</f>
        <v>740113.98115702497</v>
      </c>
      <c r="BF2029" s="246">
        <f>IFERROR(VLOOKUP(P2029,VOL_REC[],2,FALSE),0)</f>
        <v>0</v>
      </c>
      <c r="BG2029" s="246">
        <f>IFERROR(VLOOKUP(Q2029,VOL_REC[],2,FALSE),0)</f>
        <v>0</v>
      </c>
      <c r="BH2029" s="1710">
        <f t="shared" si="138"/>
        <v>36469188121.118698</v>
      </c>
      <c r="BI2029" s="1710">
        <f t="shared" si="139"/>
        <v>33015044382.404572</v>
      </c>
      <c r="BJ2029" s="1711">
        <f t="shared" si="140"/>
        <v>39262324.395667121</v>
      </c>
      <c r="BK2029" s="1711">
        <f t="shared" si="141"/>
        <v>1.1046233256180331</v>
      </c>
      <c r="BL2029">
        <f t="shared" ref="BL2029:BL2037" si="148">BJ2029</f>
        <v>39262324.395667121</v>
      </c>
      <c r="BO2029">
        <f t="shared" ref="BO2029:BO2037" si="149">BL2029</f>
        <v>39262324.395667121</v>
      </c>
    </row>
    <row r="2030" spans="3:67" x14ac:dyDescent="0.25">
      <c r="C2030" s="246" t="s">
        <v>3380</v>
      </c>
      <c r="D2030" s="246">
        <v>1</v>
      </c>
      <c r="E2030" s="246">
        <v>2</v>
      </c>
      <c r="F2030" s="246">
        <v>3</v>
      </c>
      <c r="G2030" s="246">
        <v>5</v>
      </c>
      <c r="H2030" s="246">
        <v>6</v>
      </c>
      <c r="I2030" s="246">
        <v>9</v>
      </c>
      <c r="J2030" s="246">
        <v>10</v>
      </c>
      <c r="K2030" s="246">
        <v>12</v>
      </c>
      <c r="L2030" s="246">
        <v>13</v>
      </c>
      <c r="M2030" s="246">
        <v>15</v>
      </c>
      <c r="N2030" s="246">
        <v>16</v>
      </c>
      <c r="O2030" s="246">
        <v>17</v>
      </c>
      <c r="P2030" s="246"/>
      <c r="Q2030" s="246"/>
      <c r="R2030" s="246">
        <f>IFERROR(VLOOKUP(D2030,PROGRAMAS[],2,FALSE),0)</f>
        <v>97037803.679377079</v>
      </c>
      <c r="S2030" s="246">
        <f>IFERROR(VLOOKUP(E2030,PROGRAMAS[],2,FALSE),0)</f>
        <v>640501509.6821388</v>
      </c>
      <c r="T2030" s="246">
        <f>IFERROR(VLOOKUP(F2030,PROGRAMAS[],2,FALSE),0)</f>
        <v>3062327798.1525245</v>
      </c>
      <c r="U2030" s="246">
        <f>IFERROR(VLOOKUP(G2030,PROGRAMAS[],2,FALSE),0)</f>
        <v>1440941976.2528784</v>
      </c>
      <c r="V2030" s="246">
        <f>IFERROR(VLOOKUP(H2030,PROGRAMAS[],2,FALSE),0)</f>
        <v>6907648435.8447599</v>
      </c>
      <c r="W2030" s="246">
        <f>IFERROR(VLOOKUP(I2030,PROGRAMAS[],2,FALSE),0)</f>
        <v>6128579952.1618185</v>
      </c>
      <c r="X2030" s="246">
        <f>IFERROR(VLOOKUP(J2030,PROGRAMAS[],2,FALSE),0)</f>
        <v>4635315027.8751087</v>
      </c>
      <c r="Y2030" s="246">
        <f>IFERROR(VLOOKUP(K2030,PROGRAMAS[],2,FALSE),0)</f>
        <v>764796700.79905891</v>
      </c>
      <c r="Z2030" s="246">
        <f>IFERROR(VLOOKUP(L2030,PROGRAMAS[],2,FALSE),0)</f>
        <v>3776538594.4604583</v>
      </c>
      <c r="AA2030" s="246">
        <f>IFERROR(VLOOKUP(M2030,PROGRAMAS[],2,FALSE),0)</f>
        <v>122159672.96346797</v>
      </c>
      <c r="AB2030" s="246">
        <f>IFERROR(VLOOKUP(N2030,PROGRAMAS[],2,FALSE),0)</f>
        <v>7068496961.0436354</v>
      </c>
      <c r="AC2030" s="246">
        <f>IFERROR(VLOOKUP(O2030,PROGRAMAS[],2,FALSE),0)</f>
        <v>1892779498.5211046</v>
      </c>
      <c r="AD2030" s="246">
        <f>IFERROR(VLOOKUP(P2030,PROGRAMAS[],2,FALSE),0)</f>
        <v>0</v>
      </c>
      <c r="AE2030" s="246">
        <f>IFERROR(VLOOKUP(Q2030,PROGRAMAS[],2,FALSE),0)</f>
        <v>0</v>
      </c>
      <c r="AF2030" s="246">
        <f>IFERROR(VLOOKUP(D2030,PROGRAMAS[],3,FALSE),0)</f>
        <v>841888629.31080008</v>
      </c>
      <c r="AG2030" s="246">
        <f>IFERROR(VLOOKUP(E2030,PROGRAMAS[],3,FALSE),0)</f>
        <v>3848980803.1642323</v>
      </c>
      <c r="AH2030" s="246">
        <f>IFERROR(VLOOKUP(F2030,PROGRAMAS[],3,FALSE),0)</f>
        <v>3394901471.387517</v>
      </c>
      <c r="AI2030" s="246">
        <f>IFERROR(VLOOKUP(G2030,PROGRAMAS[],3,FALSE),0)</f>
        <v>1233505101.0616004</v>
      </c>
      <c r="AJ2030" s="246">
        <f>IFERROR(VLOOKUP(H2030,PROGRAMAS[],3,FALSE),0)</f>
        <v>6129902208.7912121</v>
      </c>
      <c r="AK2030" s="246">
        <f>IFERROR(VLOOKUP(I2030,PROGRAMAS[],3,FALSE),0)</f>
        <v>7011279577.519702</v>
      </c>
      <c r="AL2030" s="246">
        <f>IFERROR(VLOOKUP(J2030,PROGRAMAS[],3,FALSE),0)</f>
        <v>4099471734.9978786</v>
      </c>
      <c r="AM2030" s="246">
        <f>IFERROR(VLOOKUP(K2030,PROGRAMAS[],3,FALSE),0)</f>
        <v>675517840.109828</v>
      </c>
      <c r="AN2030" s="246">
        <f>IFERROR(VLOOKUP(L2030,PROGRAMAS[],3,FALSE),0)</f>
        <v>2392571243.5584412</v>
      </c>
      <c r="AO2030" s="246">
        <f>IFERROR(VLOOKUP(M2030,PROGRAMAS[],3,FALSE),0)</f>
        <v>118617452.52510804</v>
      </c>
      <c r="AP2030" s="246">
        <f>IFERROR(VLOOKUP(N2030,PROGRAMAS[],3,FALSE),0)</f>
        <v>2406564599.0319901</v>
      </c>
      <c r="AQ2030" s="246">
        <f>IFERROR(VLOOKUP(O2030,PROGRAMAS[],3,FALSE),0)</f>
        <v>948595847.09039903</v>
      </c>
      <c r="AR2030" s="246">
        <f>IFERROR(VLOOKUP(P2030,PROGRAMAS[],3,FALSE),0)</f>
        <v>0</v>
      </c>
      <c r="AS2030" s="246">
        <f>IFERROR(VLOOKUP(Q2030,PROGRAMAS[],3,FALSE),0)</f>
        <v>0</v>
      </c>
      <c r="AT2030" s="246">
        <f>IFERROR(VLOOKUP(D2030,VOL_REC[],2,FALSE),0)</f>
        <v>0</v>
      </c>
      <c r="AU2030" s="246">
        <f>IFERROR(VLOOKUP(E2030,VOL_REC[],2,FALSE),0)</f>
        <v>0</v>
      </c>
      <c r="AV2030" s="246">
        <f>IFERROR(VLOOKUP(F2030,VOL_REC[],2,FALSE),0)</f>
        <v>11089674.200000001</v>
      </c>
      <c r="AW2030" s="246">
        <f>IFERROR(VLOOKUP(G2030,VOL_REC[],2,FALSE),0)</f>
        <v>4325103.1812214684</v>
      </c>
      <c r="AX2030" s="246">
        <f>IFERROR(VLOOKUP(H2030,VOL_REC[],2,FALSE),0)</f>
        <v>15540036.397699751</v>
      </c>
      <c r="AY2030" s="246">
        <f>IFERROR(VLOOKUP(I2030,VOL_REC[],2,FALSE),0)</f>
        <v>3761786</v>
      </c>
      <c r="AZ2030" s="246">
        <f>IFERROR(VLOOKUP(J2030,VOL_REC[],2,FALSE),0)</f>
        <v>1812240</v>
      </c>
      <c r="BA2030" s="246">
        <f>IFERROR(VLOOKUP(K2030,VOL_REC[],2,FALSE),0)</f>
        <v>240696.79238099116</v>
      </c>
      <c r="BB2030" s="246">
        <f>IFERROR(VLOOKUP(L2030,VOL_REC[],2,FALSE),0)</f>
        <v>663244.80000000016</v>
      </c>
      <c r="BC2030" s="246">
        <f>IFERROR(VLOOKUP(M2030,VOL_REC[],2,FALSE),0)</f>
        <v>105072</v>
      </c>
      <c r="BD2030" s="246">
        <f>IFERROR(VLOOKUP(N2030,VOL_REC[],2,FALSE),0)</f>
        <v>1072354.9981737854</v>
      </c>
      <c r="BE2030" s="246">
        <f>IFERROR(VLOOKUP(O2030,VOL_REC[],2,FALSE),0)</f>
        <v>740113.98115702497</v>
      </c>
      <c r="BF2030" s="246">
        <f>IFERROR(VLOOKUP(P2030,VOL_REC[],2,FALSE),0)</f>
        <v>0</v>
      </c>
      <c r="BG2030" s="246">
        <f>IFERROR(VLOOKUP(Q2030,VOL_REC[],2,FALSE),0)</f>
        <v>0</v>
      </c>
      <c r="BH2030" s="1710">
        <f t="shared" si="138"/>
        <v>36537123931.436325</v>
      </c>
      <c r="BI2030" s="1710">
        <f t="shared" si="139"/>
        <v>33101796508.548714</v>
      </c>
      <c r="BJ2030" s="1711">
        <f t="shared" si="140"/>
        <v>39350322.350633018</v>
      </c>
      <c r="BK2030" s="1711">
        <f t="shared" si="141"/>
        <v>1.1037806942593107</v>
      </c>
      <c r="BL2030">
        <f t="shared" si="148"/>
        <v>39350322.350633018</v>
      </c>
      <c r="BO2030">
        <f t="shared" si="149"/>
        <v>39350322.350633018</v>
      </c>
    </row>
    <row r="2031" spans="3:67" x14ac:dyDescent="0.25">
      <c r="C2031" s="246" t="s">
        <v>3381</v>
      </c>
      <c r="D2031" s="246">
        <v>1</v>
      </c>
      <c r="E2031" s="246">
        <v>2</v>
      </c>
      <c r="F2031" s="246">
        <v>3</v>
      </c>
      <c r="G2031" s="246">
        <v>5</v>
      </c>
      <c r="H2031" s="246">
        <v>6</v>
      </c>
      <c r="I2031" s="246">
        <v>9</v>
      </c>
      <c r="J2031" s="246">
        <v>10</v>
      </c>
      <c r="K2031" s="246">
        <v>12</v>
      </c>
      <c r="L2031" s="246">
        <v>14</v>
      </c>
      <c r="M2031" s="246">
        <v>15</v>
      </c>
      <c r="N2031" s="246">
        <v>16</v>
      </c>
      <c r="O2031" s="246">
        <v>17</v>
      </c>
      <c r="P2031" s="246"/>
      <c r="Q2031" s="246"/>
      <c r="R2031" s="246">
        <f>IFERROR(VLOOKUP(D2031,PROGRAMAS[],2,FALSE),0)</f>
        <v>97037803.679377079</v>
      </c>
      <c r="S2031" s="246">
        <f>IFERROR(VLOOKUP(E2031,PROGRAMAS[],2,FALSE),0)</f>
        <v>640501509.6821388</v>
      </c>
      <c r="T2031" s="246">
        <f>IFERROR(VLOOKUP(F2031,PROGRAMAS[],2,FALSE),0)</f>
        <v>3062327798.1525245</v>
      </c>
      <c r="U2031" s="246">
        <f>IFERROR(VLOOKUP(G2031,PROGRAMAS[],2,FALSE),0)</f>
        <v>1440941976.2528784</v>
      </c>
      <c r="V2031" s="246">
        <f>IFERROR(VLOOKUP(H2031,PROGRAMAS[],2,FALSE),0)</f>
        <v>6907648435.8447599</v>
      </c>
      <c r="W2031" s="246">
        <f>IFERROR(VLOOKUP(I2031,PROGRAMAS[],2,FALSE),0)</f>
        <v>6128579952.1618185</v>
      </c>
      <c r="X2031" s="246">
        <f>IFERROR(VLOOKUP(J2031,PROGRAMAS[],2,FALSE),0)</f>
        <v>4635315027.8751087</v>
      </c>
      <c r="Y2031" s="246">
        <f>IFERROR(VLOOKUP(K2031,PROGRAMAS[],2,FALSE),0)</f>
        <v>764796700.79905891</v>
      </c>
      <c r="Z2031" s="246">
        <f>IFERROR(VLOOKUP(L2031,PROGRAMAS[],2,FALSE),0)</f>
        <v>54223862.645839565</v>
      </c>
      <c r="AA2031" s="246">
        <f>IFERROR(VLOOKUP(M2031,PROGRAMAS[],2,FALSE),0)</f>
        <v>122159672.96346797</v>
      </c>
      <c r="AB2031" s="246">
        <f>IFERROR(VLOOKUP(N2031,PROGRAMAS[],2,FALSE),0)</f>
        <v>7068496961.0436354</v>
      </c>
      <c r="AC2031" s="246">
        <f>IFERROR(VLOOKUP(O2031,PROGRAMAS[],2,FALSE),0)</f>
        <v>1892779498.5211046</v>
      </c>
      <c r="AD2031" s="246">
        <f>IFERROR(VLOOKUP(P2031,PROGRAMAS[],2,FALSE),0)</f>
        <v>0</v>
      </c>
      <c r="AE2031" s="246">
        <f>IFERROR(VLOOKUP(Q2031,PROGRAMAS[],2,FALSE),0)</f>
        <v>0</v>
      </c>
      <c r="AF2031" s="246">
        <f>IFERROR(VLOOKUP(D2031,PROGRAMAS[],3,FALSE),0)</f>
        <v>841888629.31080008</v>
      </c>
      <c r="AG2031" s="246">
        <f>IFERROR(VLOOKUP(E2031,PROGRAMAS[],3,FALSE),0)</f>
        <v>3848980803.1642323</v>
      </c>
      <c r="AH2031" s="246">
        <f>IFERROR(VLOOKUP(F2031,PROGRAMAS[],3,FALSE),0)</f>
        <v>3394901471.387517</v>
      </c>
      <c r="AI2031" s="246">
        <f>IFERROR(VLOOKUP(G2031,PROGRAMAS[],3,FALSE),0)</f>
        <v>1233505101.0616004</v>
      </c>
      <c r="AJ2031" s="246">
        <f>IFERROR(VLOOKUP(H2031,PROGRAMAS[],3,FALSE),0)</f>
        <v>6129902208.7912121</v>
      </c>
      <c r="AK2031" s="246">
        <f>IFERROR(VLOOKUP(I2031,PROGRAMAS[],3,FALSE),0)</f>
        <v>7011279577.519702</v>
      </c>
      <c r="AL2031" s="246">
        <f>IFERROR(VLOOKUP(J2031,PROGRAMAS[],3,FALSE),0)</f>
        <v>4099471734.9978786</v>
      </c>
      <c r="AM2031" s="246">
        <f>IFERROR(VLOOKUP(K2031,PROGRAMAS[],3,FALSE),0)</f>
        <v>675517840.109828</v>
      </c>
      <c r="AN2031" s="246">
        <f>IFERROR(VLOOKUP(L2031,PROGRAMAS[],3,FALSE),0)</f>
        <v>31865326.38096505</v>
      </c>
      <c r="AO2031" s="246">
        <f>IFERROR(VLOOKUP(M2031,PROGRAMAS[],3,FALSE),0)</f>
        <v>118617452.52510804</v>
      </c>
      <c r="AP2031" s="246">
        <f>IFERROR(VLOOKUP(N2031,PROGRAMAS[],3,FALSE),0)</f>
        <v>2406564599.0319901</v>
      </c>
      <c r="AQ2031" s="246">
        <f>IFERROR(VLOOKUP(O2031,PROGRAMAS[],3,FALSE),0)</f>
        <v>948595847.09039903</v>
      </c>
      <c r="AR2031" s="246">
        <f>IFERROR(VLOOKUP(P2031,PROGRAMAS[],3,FALSE),0)</f>
        <v>0</v>
      </c>
      <c r="AS2031" s="246">
        <f>IFERROR(VLOOKUP(Q2031,PROGRAMAS[],3,FALSE),0)</f>
        <v>0</v>
      </c>
      <c r="AT2031" s="246">
        <f>IFERROR(VLOOKUP(D2031,VOL_REC[],2,FALSE),0)</f>
        <v>0</v>
      </c>
      <c r="AU2031" s="246">
        <f>IFERROR(VLOOKUP(E2031,VOL_REC[],2,FALSE),0)</f>
        <v>0</v>
      </c>
      <c r="AV2031" s="246">
        <f>IFERROR(VLOOKUP(F2031,VOL_REC[],2,FALSE),0)</f>
        <v>11089674.200000001</v>
      </c>
      <c r="AW2031" s="246">
        <f>IFERROR(VLOOKUP(G2031,VOL_REC[],2,FALSE),0)</f>
        <v>4325103.1812214684</v>
      </c>
      <c r="AX2031" s="246">
        <f>IFERROR(VLOOKUP(H2031,VOL_REC[],2,FALSE),0)</f>
        <v>15540036.397699751</v>
      </c>
      <c r="AY2031" s="246">
        <f>IFERROR(VLOOKUP(I2031,VOL_REC[],2,FALSE),0)</f>
        <v>3761786</v>
      </c>
      <c r="AZ2031" s="246">
        <f>IFERROR(VLOOKUP(J2031,VOL_REC[],2,FALSE),0)</f>
        <v>1812240</v>
      </c>
      <c r="BA2031" s="246">
        <f>IFERROR(VLOOKUP(K2031,VOL_REC[],2,FALSE),0)</f>
        <v>240696.79238099116</v>
      </c>
      <c r="BB2031" s="246">
        <f>IFERROR(VLOOKUP(L2031,VOL_REC[],2,FALSE),0)</f>
        <v>17074.045034105649</v>
      </c>
      <c r="BC2031" s="246">
        <f>IFERROR(VLOOKUP(M2031,VOL_REC[],2,FALSE),0)</f>
        <v>105072</v>
      </c>
      <c r="BD2031" s="246">
        <f>IFERROR(VLOOKUP(N2031,VOL_REC[],2,FALSE),0)</f>
        <v>1072354.9981737854</v>
      </c>
      <c r="BE2031" s="246">
        <f>IFERROR(VLOOKUP(O2031,VOL_REC[],2,FALSE),0)</f>
        <v>740113.98115702497</v>
      </c>
      <c r="BF2031" s="246">
        <f>IFERROR(VLOOKUP(P2031,VOL_REC[],2,FALSE),0)</f>
        <v>0</v>
      </c>
      <c r="BG2031" s="246">
        <f>IFERROR(VLOOKUP(Q2031,VOL_REC[],2,FALSE),0)</f>
        <v>0</v>
      </c>
      <c r="BH2031" s="1710">
        <f t="shared" si="138"/>
        <v>32814809199.621708</v>
      </c>
      <c r="BI2031" s="1710">
        <f t="shared" si="139"/>
        <v>30741090591.371239</v>
      </c>
      <c r="BJ2031" s="1711">
        <f t="shared" si="140"/>
        <v>38704151.595667124</v>
      </c>
      <c r="BK2031" s="1711">
        <f t="shared" si="141"/>
        <v>1.0674575484590174</v>
      </c>
      <c r="BL2031">
        <f t="shared" si="148"/>
        <v>38704151.595667124</v>
      </c>
      <c r="BO2031">
        <f t="shared" si="149"/>
        <v>38704151.595667124</v>
      </c>
    </row>
    <row r="2032" spans="3:67" x14ac:dyDescent="0.25">
      <c r="C2032" s="246" t="s">
        <v>3382</v>
      </c>
      <c r="D2032" s="246">
        <v>1</v>
      </c>
      <c r="E2032" s="246">
        <v>2</v>
      </c>
      <c r="F2032" s="246">
        <v>3</v>
      </c>
      <c r="G2032" s="246">
        <v>5</v>
      </c>
      <c r="H2032" s="246">
        <v>6</v>
      </c>
      <c r="I2032" s="246">
        <v>9</v>
      </c>
      <c r="J2032" s="246">
        <v>10</v>
      </c>
      <c r="K2032" s="246">
        <v>13</v>
      </c>
      <c r="L2032" s="246">
        <v>14</v>
      </c>
      <c r="M2032" s="246">
        <v>15</v>
      </c>
      <c r="N2032" s="246">
        <v>16</v>
      </c>
      <c r="O2032" s="246">
        <v>17</v>
      </c>
      <c r="P2032" s="246"/>
      <c r="Q2032" s="246"/>
      <c r="R2032" s="246">
        <f>IFERROR(VLOOKUP(D2032,PROGRAMAS[],2,FALSE),0)</f>
        <v>97037803.679377079</v>
      </c>
      <c r="S2032" s="246">
        <f>IFERROR(VLOOKUP(E2032,PROGRAMAS[],2,FALSE),0)</f>
        <v>640501509.6821388</v>
      </c>
      <c r="T2032" s="246">
        <f>IFERROR(VLOOKUP(F2032,PROGRAMAS[],2,FALSE),0)</f>
        <v>3062327798.1525245</v>
      </c>
      <c r="U2032" s="246">
        <f>IFERROR(VLOOKUP(G2032,PROGRAMAS[],2,FALSE),0)</f>
        <v>1440941976.2528784</v>
      </c>
      <c r="V2032" s="246">
        <f>IFERROR(VLOOKUP(H2032,PROGRAMAS[],2,FALSE),0)</f>
        <v>6907648435.8447599</v>
      </c>
      <c r="W2032" s="246">
        <f>IFERROR(VLOOKUP(I2032,PROGRAMAS[],2,FALSE),0)</f>
        <v>6128579952.1618185</v>
      </c>
      <c r="X2032" s="246">
        <f>IFERROR(VLOOKUP(J2032,PROGRAMAS[],2,FALSE),0)</f>
        <v>4635315027.8751087</v>
      </c>
      <c r="Y2032" s="246">
        <f>IFERROR(VLOOKUP(K2032,PROGRAMAS[],2,FALSE),0)</f>
        <v>3776538594.4604583</v>
      </c>
      <c r="Z2032" s="246">
        <f>IFERROR(VLOOKUP(L2032,PROGRAMAS[],2,FALSE),0)</f>
        <v>54223862.645839565</v>
      </c>
      <c r="AA2032" s="246">
        <f>IFERROR(VLOOKUP(M2032,PROGRAMAS[],2,FALSE),0)</f>
        <v>122159672.96346797</v>
      </c>
      <c r="AB2032" s="246">
        <f>IFERROR(VLOOKUP(N2032,PROGRAMAS[],2,FALSE),0)</f>
        <v>7068496961.0436354</v>
      </c>
      <c r="AC2032" s="246">
        <f>IFERROR(VLOOKUP(O2032,PROGRAMAS[],2,FALSE),0)</f>
        <v>1892779498.5211046</v>
      </c>
      <c r="AD2032" s="246">
        <f>IFERROR(VLOOKUP(P2032,PROGRAMAS[],2,FALSE),0)</f>
        <v>0</v>
      </c>
      <c r="AE2032" s="246">
        <f>IFERROR(VLOOKUP(Q2032,PROGRAMAS[],2,FALSE),0)</f>
        <v>0</v>
      </c>
      <c r="AF2032" s="246">
        <f>IFERROR(VLOOKUP(D2032,PROGRAMAS[],3,FALSE),0)</f>
        <v>841888629.31080008</v>
      </c>
      <c r="AG2032" s="246">
        <f>IFERROR(VLOOKUP(E2032,PROGRAMAS[],3,FALSE),0)</f>
        <v>3848980803.1642323</v>
      </c>
      <c r="AH2032" s="246">
        <f>IFERROR(VLOOKUP(F2032,PROGRAMAS[],3,FALSE),0)</f>
        <v>3394901471.387517</v>
      </c>
      <c r="AI2032" s="246">
        <f>IFERROR(VLOOKUP(G2032,PROGRAMAS[],3,FALSE),0)</f>
        <v>1233505101.0616004</v>
      </c>
      <c r="AJ2032" s="246">
        <f>IFERROR(VLOOKUP(H2032,PROGRAMAS[],3,FALSE),0)</f>
        <v>6129902208.7912121</v>
      </c>
      <c r="AK2032" s="246">
        <f>IFERROR(VLOOKUP(I2032,PROGRAMAS[],3,FALSE),0)</f>
        <v>7011279577.519702</v>
      </c>
      <c r="AL2032" s="246">
        <f>IFERROR(VLOOKUP(J2032,PROGRAMAS[],3,FALSE),0)</f>
        <v>4099471734.9978786</v>
      </c>
      <c r="AM2032" s="246">
        <f>IFERROR(VLOOKUP(K2032,PROGRAMAS[],3,FALSE),0)</f>
        <v>2392571243.5584412</v>
      </c>
      <c r="AN2032" s="246">
        <f>IFERROR(VLOOKUP(L2032,PROGRAMAS[],3,FALSE),0)</f>
        <v>31865326.38096505</v>
      </c>
      <c r="AO2032" s="246">
        <f>IFERROR(VLOOKUP(M2032,PROGRAMAS[],3,FALSE),0)</f>
        <v>118617452.52510804</v>
      </c>
      <c r="AP2032" s="246">
        <f>IFERROR(VLOOKUP(N2032,PROGRAMAS[],3,FALSE),0)</f>
        <v>2406564599.0319901</v>
      </c>
      <c r="AQ2032" s="246">
        <f>IFERROR(VLOOKUP(O2032,PROGRAMAS[],3,FALSE),0)</f>
        <v>948595847.09039903</v>
      </c>
      <c r="AR2032" s="246">
        <f>IFERROR(VLOOKUP(P2032,PROGRAMAS[],3,FALSE),0)</f>
        <v>0</v>
      </c>
      <c r="AS2032" s="246">
        <f>IFERROR(VLOOKUP(Q2032,PROGRAMAS[],3,FALSE),0)</f>
        <v>0</v>
      </c>
      <c r="AT2032" s="246">
        <f>IFERROR(VLOOKUP(D2032,VOL_REC[],2,FALSE),0)</f>
        <v>0</v>
      </c>
      <c r="AU2032" s="246">
        <f>IFERROR(VLOOKUP(E2032,VOL_REC[],2,FALSE),0)</f>
        <v>0</v>
      </c>
      <c r="AV2032" s="246">
        <f>IFERROR(VLOOKUP(F2032,VOL_REC[],2,FALSE),0)</f>
        <v>11089674.200000001</v>
      </c>
      <c r="AW2032" s="246">
        <f>IFERROR(VLOOKUP(G2032,VOL_REC[],2,FALSE),0)</f>
        <v>4325103.1812214684</v>
      </c>
      <c r="AX2032" s="246">
        <f>IFERROR(VLOOKUP(H2032,VOL_REC[],2,FALSE),0)</f>
        <v>15540036.397699751</v>
      </c>
      <c r="AY2032" s="246">
        <f>IFERROR(VLOOKUP(I2032,VOL_REC[],2,FALSE),0)</f>
        <v>3761786</v>
      </c>
      <c r="AZ2032" s="246">
        <f>IFERROR(VLOOKUP(J2032,VOL_REC[],2,FALSE),0)</f>
        <v>1812240</v>
      </c>
      <c r="BA2032" s="246">
        <f>IFERROR(VLOOKUP(K2032,VOL_REC[],2,FALSE),0)</f>
        <v>663244.80000000016</v>
      </c>
      <c r="BB2032" s="246">
        <f>IFERROR(VLOOKUP(L2032,VOL_REC[],2,FALSE),0)</f>
        <v>17074.045034105649</v>
      </c>
      <c r="BC2032" s="246">
        <f>IFERROR(VLOOKUP(M2032,VOL_REC[],2,FALSE),0)</f>
        <v>105072</v>
      </c>
      <c r="BD2032" s="246">
        <f>IFERROR(VLOOKUP(N2032,VOL_REC[],2,FALSE),0)</f>
        <v>1072354.9981737854</v>
      </c>
      <c r="BE2032" s="246">
        <f>IFERROR(VLOOKUP(O2032,VOL_REC[],2,FALSE),0)</f>
        <v>740113.98115702497</v>
      </c>
      <c r="BF2032" s="246">
        <f>IFERROR(VLOOKUP(P2032,VOL_REC[],2,FALSE),0)</f>
        <v>0</v>
      </c>
      <c r="BG2032" s="246">
        <f>IFERROR(VLOOKUP(Q2032,VOL_REC[],2,FALSE),0)</f>
        <v>0</v>
      </c>
      <c r="BH2032" s="1710">
        <f t="shared" si="138"/>
        <v>35826551093.283112</v>
      </c>
      <c r="BI2032" s="1710">
        <f t="shared" si="139"/>
        <v>32458143994.819851</v>
      </c>
      <c r="BJ2032" s="1711">
        <f t="shared" si="140"/>
        <v>39126699.603286132</v>
      </c>
      <c r="BK2032" s="1711">
        <f t="shared" si="141"/>
        <v>1.1037769472894334</v>
      </c>
      <c r="BL2032">
        <f t="shared" si="148"/>
        <v>39126699.603286132</v>
      </c>
      <c r="BO2032">
        <f t="shared" si="149"/>
        <v>39126699.603286132</v>
      </c>
    </row>
    <row r="2033" spans="3:67" x14ac:dyDescent="0.25">
      <c r="C2033" s="246" t="s">
        <v>3383</v>
      </c>
      <c r="D2033" s="246">
        <v>1</v>
      </c>
      <c r="E2033" s="246">
        <v>2</v>
      </c>
      <c r="F2033" s="246">
        <v>3</v>
      </c>
      <c r="G2033" s="246">
        <v>5</v>
      </c>
      <c r="H2033" s="246">
        <v>6</v>
      </c>
      <c r="I2033" s="246">
        <v>9</v>
      </c>
      <c r="J2033" s="246">
        <v>12</v>
      </c>
      <c r="K2033" s="246">
        <v>13</v>
      </c>
      <c r="L2033" s="246">
        <v>14</v>
      </c>
      <c r="M2033" s="246">
        <v>15</v>
      </c>
      <c r="N2033" s="246">
        <v>16</v>
      </c>
      <c r="O2033" s="246">
        <v>17</v>
      </c>
      <c r="P2033" s="246"/>
      <c r="Q2033" s="246"/>
      <c r="R2033" s="246">
        <f>IFERROR(VLOOKUP(D2033,PROGRAMAS[],2,FALSE),0)</f>
        <v>97037803.679377079</v>
      </c>
      <c r="S2033" s="246">
        <f>IFERROR(VLOOKUP(E2033,PROGRAMAS[],2,FALSE),0)</f>
        <v>640501509.6821388</v>
      </c>
      <c r="T2033" s="246">
        <f>IFERROR(VLOOKUP(F2033,PROGRAMAS[],2,FALSE),0)</f>
        <v>3062327798.1525245</v>
      </c>
      <c r="U2033" s="246">
        <f>IFERROR(VLOOKUP(G2033,PROGRAMAS[],2,FALSE),0)</f>
        <v>1440941976.2528784</v>
      </c>
      <c r="V2033" s="246">
        <f>IFERROR(VLOOKUP(H2033,PROGRAMAS[],2,FALSE),0)</f>
        <v>6907648435.8447599</v>
      </c>
      <c r="W2033" s="246">
        <f>IFERROR(VLOOKUP(I2033,PROGRAMAS[],2,FALSE),0)</f>
        <v>6128579952.1618185</v>
      </c>
      <c r="X2033" s="246">
        <f>IFERROR(VLOOKUP(J2033,PROGRAMAS[],2,FALSE),0)</f>
        <v>764796700.79905891</v>
      </c>
      <c r="Y2033" s="246">
        <f>IFERROR(VLOOKUP(K2033,PROGRAMAS[],2,FALSE),0)</f>
        <v>3776538594.4604583</v>
      </c>
      <c r="Z2033" s="246">
        <f>IFERROR(VLOOKUP(L2033,PROGRAMAS[],2,FALSE),0)</f>
        <v>54223862.645839565</v>
      </c>
      <c r="AA2033" s="246">
        <f>IFERROR(VLOOKUP(M2033,PROGRAMAS[],2,FALSE),0)</f>
        <v>122159672.96346797</v>
      </c>
      <c r="AB2033" s="246">
        <f>IFERROR(VLOOKUP(N2033,PROGRAMAS[],2,FALSE),0)</f>
        <v>7068496961.0436354</v>
      </c>
      <c r="AC2033" s="246">
        <f>IFERROR(VLOOKUP(O2033,PROGRAMAS[],2,FALSE),0)</f>
        <v>1892779498.5211046</v>
      </c>
      <c r="AD2033" s="246">
        <f>IFERROR(VLOOKUP(P2033,PROGRAMAS[],2,FALSE),0)</f>
        <v>0</v>
      </c>
      <c r="AE2033" s="246">
        <f>IFERROR(VLOOKUP(Q2033,PROGRAMAS[],2,FALSE),0)</f>
        <v>0</v>
      </c>
      <c r="AF2033" s="246">
        <f>IFERROR(VLOOKUP(D2033,PROGRAMAS[],3,FALSE),0)</f>
        <v>841888629.31080008</v>
      </c>
      <c r="AG2033" s="246">
        <f>IFERROR(VLOOKUP(E2033,PROGRAMAS[],3,FALSE),0)</f>
        <v>3848980803.1642323</v>
      </c>
      <c r="AH2033" s="246">
        <f>IFERROR(VLOOKUP(F2033,PROGRAMAS[],3,FALSE),0)</f>
        <v>3394901471.387517</v>
      </c>
      <c r="AI2033" s="246">
        <f>IFERROR(VLOOKUP(G2033,PROGRAMAS[],3,FALSE),0)</f>
        <v>1233505101.0616004</v>
      </c>
      <c r="AJ2033" s="246">
        <f>IFERROR(VLOOKUP(H2033,PROGRAMAS[],3,FALSE),0)</f>
        <v>6129902208.7912121</v>
      </c>
      <c r="AK2033" s="246">
        <f>IFERROR(VLOOKUP(I2033,PROGRAMAS[],3,FALSE),0)</f>
        <v>7011279577.519702</v>
      </c>
      <c r="AL2033" s="246">
        <f>IFERROR(VLOOKUP(J2033,PROGRAMAS[],3,FALSE),0)</f>
        <v>675517840.109828</v>
      </c>
      <c r="AM2033" s="246">
        <f>IFERROR(VLOOKUP(K2033,PROGRAMAS[],3,FALSE),0)</f>
        <v>2392571243.5584412</v>
      </c>
      <c r="AN2033" s="246">
        <f>IFERROR(VLOOKUP(L2033,PROGRAMAS[],3,FALSE),0)</f>
        <v>31865326.38096505</v>
      </c>
      <c r="AO2033" s="246">
        <f>IFERROR(VLOOKUP(M2033,PROGRAMAS[],3,FALSE),0)</f>
        <v>118617452.52510804</v>
      </c>
      <c r="AP2033" s="246">
        <f>IFERROR(VLOOKUP(N2033,PROGRAMAS[],3,FALSE),0)</f>
        <v>2406564599.0319901</v>
      </c>
      <c r="AQ2033" s="246">
        <f>IFERROR(VLOOKUP(O2033,PROGRAMAS[],3,FALSE),0)</f>
        <v>948595847.09039903</v>
      </c>
      <c r="AR2033" s="246">
        <f>IFERROR(VLOOKUP(P2033,PROGRAMAS[],3,FALSE),0)</f>
        <v>0</v>
      </c>
      <c r="AS2033" s="246">
        <f>IFERROR(VLOOKUP(Q2033,PROGRAMAS[],3,FALSE),0)</f>
        <v>0</v>
      </c>
      <c r="AT2033" s="246">
        <f>IFERROR(VLOOKUP(D2033,VOL_REC[],2,FALSE),0)</f>
        <v>0</v>
      </c>
      <c r="AU2033" s="246">
        <f>IFERROR(VLOOKUP(E2033,VOL_REC[],2,FALSE),0)</f>
        <v>0</v>
      </c>
      <c r="AV2033" s="246">
        <f>IFERROR(VLOOKUP(F2033,VOL_REC[],2,FALSE),0)</f>
        <v>11089674.200000001</v>
      </c>
      <c r="AW2033" s="246">
        <f>IFERROR(VLOOKUP(G2033,VOL_REC[],2,FALSE),0)</f>
        <v>4325103.1812214684</v>
      </c>
      <c r="AX2033" s="246">
        <f>IFERROR(VLOOKUP(H2033,VOL_REC[],2,FALSE),0)</f>
        <v>15540036.397699751</v>
      </c>
      <c r="AY2033" s="246">
        <f>IFERROR(VLOOKUP(I2033,VOL_REC[],2,FALSE),0)</f>
        <v>3761786</v>
      </c>
      <c r="AZ2033" s="246">
        <f>IFERROR(VLOOKUP(J2033,VOL_REC[],2,FALSE),0)</f>
        <v>240696.79238099116</v>
      </c>
      <c r="BA2033" s="246">
        <f>IFERROR(VLOOKUP(K2033,VOL_REC[],2,FALSE),0)</f>
        <v>663244.80000000016</v>
      </c>
      <c r="BB2033" s="246">
        <f>IFERROR(VLOOKUP(L2033,VOL_REC[],2,FALSE),0)</f>
        <v>17074.045034105649</v>
      </c>
      <c r="BC2033" s="246">
        <f>IFERROR(VLOOKUP(M2033,VOL_REC[],2,FALSE),0)</f>
        <v>105072</v>
      </c>
      <c r="BD2033" s="246">
        <f>IFERROR(VLOOKUP(N2033,VOL_REC[],2,FALSE),0)</f>
        <v>1072354.9981737854</v>
      </c>
      <c r="BE2033" s="246">
        <f>IFERROR(VLOOKUP(O2033,VOL_REC[],2,FALSE),0)</f>
        <v>740113.98115702497</v>
      </c>
      <c r="BF2033" s="246">
        <f>IFERROR(VLOOKUP(P2033,VOL_REC[],2,FALSE),0)</f>
        <v>0</v>
      </c>
      <c r="BG2033" s="246">
        <f>IFERROR(VLOOKUP(Q2033,VOL_REC[],2,FALSE),0)</f>
        <v>0</v>
      </c>
      <c r="BH2033" s="1710">
        <f t="shared" si="138"/>
        <v>31956032766.207058</v>
      </c>
      <c r="BI2033" s="1710">
        <f t="shared" si="139"/>
        <v>29034190099.931801</v>
      </c>
      <c r="BJ2033" s="1711">
        <f t="shared" si="140"/>
        <v>37555156.395667121</v>
      </c>
      <c r="BK2033" s="1711">
        <f t="shared" si="141"/>
        <v>1.100634550377285</v>
      </c>
      <c r="BL2033">
        <f t="shared" si="148"/>
        <v>37555156.395667121</v>
      </c>
      <c r="BO2033">
        <f t="shared" si="149"/>
        <v>37555156.395667121</v>
      </c>
    </row>
    <row r="2034" spans="3:67" x14ac:dyDescent="0.25">
      <c r="C2034" s="246" t="s">
        <v>3384</v>
      </c>
      <c r="D2034" s="246">
        <v>1</v>
      </c>
      <c r="E2034" s="246">
        <v>2</v>
      </c>
      <c r="F2034" s="246">
        <v>3</v>
      </c>
      <c r="G2034" s="246">
        <v>5</v>
      </c>
      <c r="H2034" s="246">
        <v>6</v>
      </c>
      <c r="I2034" s="246">
        <v>10</v>
      </c>
      <c r="J2034" s="246">
        <v>12</v>
      </c>
      <c r="K2034" s="246">
        <v>13</v>
      </c>
      <c r="L2034" s="246">
        <v>14</v>
      </c>
      <c r="M2034" s="246">
        <v>15</v>
      </c>
      <c r="N2034" s="246">
        <v>16</v>
      </c>
      <c r="O2034" s="246">
        <v>17</v>
      </c>
      <c r="P2034" s="246"/>
      <c r="Q2034" s="246"/>
      <c r="R2034" s="246">
        <f>IFERROR(VLOOKUP(D2034,PROGRAMAS[],2,FALSE),0)</f>
        <v>97037803.679377079</v>
      </c>
      <c r="S2034" s="246">
        <f>IFERROR(VLOOKUP(E2034,PROGRAMAS[],2,FALSE),0)</f>
        <v>640501509.6821388</v>
      </c>
      <c r="T2034" s="246">
        <f>IFERROR(VLOOKUP(F2034,PROGRAMAS[],2,FALSE),0)</f>
        <v>3062327798.1525245</v>
      </c>
      <c r="U2034" s="246">
        <f>IFERROR(VLOOKUP(G2034,PROGRAMAS[],2,FALSE),0)</f>
        <v>1440941976.2528784</v>
      </c>
      <c r="V2034" s="246">
        <f>IFERROR(VLOOKUP(H2034,PROGRAMAS[],2,FALSE),0)</f>
        <v>6907648435.8447599</v>
      </c>
      <c r="W2034" s="246">
        <f>IFERROR(VLOOKUP(I2034,PROGRAMAS[],2,FALSE),0)</f>
        <v>4635315027.8751087</v>
      </c>
      <c r="X2034" s="246">
        <f>IFERROR(VLOOKUP(J2034,PROGRAMAS[],2,FALSE),0)</f>
        <v>764796700.79905891</v>
      </c>
      <c r="Y2034" s="246">
        <f>IFERROR(VLOOKUP(K2034,PROGRAMAS[],2,FALSE),0)</f>
        <v>3776538594.4604583</v>
      </c>
      <c r="Z2034" s="246">
        <f>IFERROR(VLOOKUP(L2034,PROGRAMAS[],2,FALSE),0)</f>
        <v>54223862.645839565</v>
      </c>
      <c r="AA2034" s="246">
        <f>IFERROR(VLOOKUP(M2034,PROGRAMAS[],2,FALSE),0)</f>
        <v>122159672.96346797</v>
      </c>
      <c r="AB2034" s="246">
        <f>IFERROR(VLOOKUP(N2034,PROGRAMAS[],2,FALSE),0)</f>
        <v>7068496961.0436354</v>
      </c>
      <c r="AC2034" s="246">
        <f>IFERROR(VLOOKUP(O2034,PROGRAMAS[],2,FALSE),0)</f>
        <v>1892779498.5211046</v>
      </c>
      <c r="AD2034" s="246">
        <f>IFERROR(VLOOKUP(P2034,PROGRAMAS[],2,FALSE),0)</f>
        <v>0</v>
      </c>
      <c r="AE2034" s="246">
        <f>IFERROR(VLOOKUP(Q2034,PROGRAMAS[],2,FALSE),0)</f>
        <v>0</v>
      </c>
      <c r="AF2034" s="246">
        <f>IFERROR(VLOOKUP(D2034,PROGRAMAS[],3,FALSE),0)</f>
        <v>841888629.31080008</v>
      </c>
      <c r="AG2034" s="246">
        <f>IFERROR(VLOOKUP(E2034,PROGRAMAS[],3,FALSE),0)</f>
        <v>3848980803.1642323</v>
      </c>
      <c r="AH2034" s="246">
        <f>IFERROR(VLOOKUP(F2034,PROGRAMAS[],3,FALSE),0)</f>
        <v>3394901471.387517</v>
      </c>
      <c r="AI2034" s="246">
        <f>IFERROR(VLOOKUP(G2034,PROGRAMAS[],3,FALSE),0)</f>
        <v>1233505101.0616004</v>
      </c>
      <c r="AJ2034" s="246">
        <f>IFERROR(VLOOKUP(H2034,PROGRAMAS[],3,FALSE),0)</f>
        <v>6129902208.7912121</v>
      </c>
      <c r="AK2034" s="246">
        <f>IFERROR(VLOOKUP(I2034,PROGRAMAS[],3,FALSE),0)</f>
        <v>4099471734.9978786</v>
      </c>
      <c r="AL2034" s="246">
        <f>IFERROR(VLOOKUP(J2034,PROGRAMAS[],3,FALSE),0)</f>
        <v>675517840.109828</v>
      </c>
      <c r="AM2034" s="246">
        <f>IFERROR(VLOOKUP(K2034,PROGRAMAS[],3,FALSE),0)</f>
        <v>2392571243.5584412</v>
      </c>
      <c r="AN2034" s="246">
        <f>IFERROR(VLOOKUP(L2034,PROGRAMAS[],3,FALSE),0)</f>
        <v>31865326.38096505</v>
      </c>
      <c r="AO2034" s="246">
        <f>IFERROR(VLOOKUP(M2034,PROGRAMAS[],3,FALSE),0)</f>
        <v>118617452.52510804</v>
      </c>
      <c r="AP2034" s="246">
        <f>IFERROR(VLOOKUP(N2034,PROGRAMAS[],3,FALSE),0)</f>
        <v>2406564599.0319901</v>
      </c>
      <c r="AQ2034" s="246">
        <f>IFERROR(VLOOKUP(O2034,PROGRAMAS[],3,FALSE),0)</f>
        <v>948595847.09039903</v>
      </c>
      <c r="AR2034" s="246">
        <f>IFERROR(VLOOKUP(P2034,PROGRAMAS[],3,FALSE),0)</f>
        <v>0</v>
      </c>
      <c r="AS2034" s="246">
        <f>IFERROR(VLOOKUP(Q2034,PROGRAMAS[],3,FALSE),0)</f>
        <v>0</v>
      </c>
      <c r="AT2034" s="246">
        <f>IFERROR(VLOOKUP(D2034,VOL_REC[],2,FALSE),0)</f>
        <v>0</v>
      </c>
      <c r="AU2034" s="246">
        <f>IFERROR(VLOOKUP(E2034,VOL_REC[],2,FALSE),0)</f>
        <v>0</v>
      </c>
      <c r="AV2034" s="246">
        <f>IFERROR(VLOOKUP(F2034,VOL_REC[],2,FALSE),0)</f>
        <v>11089674.200000001</v>
      </c>
      <c r="AW2034" s="246">
        <f>IFERROR(VLOOKUP(G2034,VOL_REC[],2,FALSE),0)</f>
        <v>4325103.1812214684</v>
      </c>
      <c r="AX2034" s="246">
        <f>IFERROR(VLOOKUP(H2034,VOL_REC[],2,FALSE),0)</f>
        <v>15540036.397699751</v>
      </c>
      <c r="AY2034" s="246">
        <f>IFERROR(VLOOKUP(I2034,VOL_REC[],2,FALSE),0)</f>
        <v>1812240</v>
      </c>
      <c r="AZ2034" s="246">
        <f>IFERROR(VLOOKUP(J2034,VOL_REC[],2,FALSE),0)</f>
        <v>240696.79238099116</v>
      </c>
      <c r="BA2034" s="246">
        <f>IFERROR(VLOOKUP(K2034,VOL_REC[],2,FALSE),0)</f>
        <v>663244.80000000016</v>
      </c>
      <c r="BB2034" s="246">
        <f>IFERROR(VLOOKUP(L2034,VOL_REC[],2,FALSE),0)</f>
        <v>17074.045034105649</v>
      </c>
      <c r="BC2034" s="246">
        <f>IFERROR(VLOOKUP(M2034,VOL_REC[],2,FALSE),0)</f>
        <v>105072</v>
      </c>
      <c r="BD2034" s="246">
        <f>IFERROR(VLOOKUP(N2034,VOL_REC[],2,FALSE),0)</f>
        <v>1072354.9981737854</v>
      </c>
      <c r="BE2034" s="246">
        <f>IFERROR(VLOOKUP(O2034,VOL_REC[],2,FALSE),0)</f>
        <v>740113.98115702497</v>
      </c>
      <c r="BF2034" s="246">
        <f>IFERROR(VLOOKUP(P2034,VOL_REC[],2,FALSE),0)</f>
        <v>0</v>
      </c>
      <c r="BG2034" s="246">
        <f>IFERROR(VLOOKUP(Q2034,VOL_REC[],2,FALSE),0)</f>
        <v>0</v>
      </c>
      <c r="BH2034" s="1710">
        <f t="shared" si="138"/>
        <v>30462767841.920349</v>
      </c>
      <c r="BI2034" s="1710">
        <f t="shared" si="139"/>
        <v>26122382257.409977</v>
      </c>
      <c r="BJ2034" s="1711">
        <f t="shared" si="140"/>
        <v>35605610.395667128</v>
      </c>
      <c r="BK2034" s="1711">
        <f t="shared" si="141"/>
        <v>1.166155810053624</v>
      </c>
      <c r="BL2034">
        <f t="shared" si="148"/>
        <v>35605610.395667128</v>
      </c>
      <c r="BO2034">
        <f t="shared" si="149"/>
        <v>35605610.395667128</v>
      </c>
    </row>
    <row r="2035" spans="3:67" x14ac:dyDescent="0.25">
      <c r="C2035" s="246" t="s">
        <v>3385</v>
      </c>
      <c r="D2035" s="246">
        <v>1</v>
      </c>
      <c r="E2035" s="246">
        <v>2</v>
      </c>
      <c r="F2035" s="246">
        <v>3</v>
      </c>
      <c r="G2035" s="246">
        <v>5</v>
      </c>
      <c r="H2035" s="246">
        <v>9</v>
      </c>
      <c r="I2035" s="246">
        <v>10</v>
      </c>
      <c r="J2035" s="246">
        <v>12</v>
      </c>
      <c r="K2035" s="246">
        <v>13</v>
      </c>
      <c r="L2035" s="246">
        <v>14</v>
      </c>
      <c r="M2035" s="246">
        <v>15</v>
      </c>
      <c r="N2035" s="246">
        <v>16</v>
      </c>
      <c r="O2035" s="246">
        <v>17</v>
      </c>
      <c r="P2035" s="246"/>
      <c r="Q2035" s="246"/>
      <c r="R2035" s="246">
        <f>IFERROR(VLOOKUP(D2035,PROGRAMAS[],2,FALSE),0)</f>
        <v>97037803.679377079</v>
      </c>
      <c r="S2035" s="246">
        <f>IFERROR(VLOOKUP(E2035,PROGRAMAS[],2,FALSE),0)</f>
        <v>640501509.6821388</v>
      </c>
      <c r="T2035" s="246">
        <f>IFERROR(VLOOKUP(F2035,PROGRAMAS[],2,FALSE),0)</f>
        <v>3062327798.1525245</v>
      </c>
      <c r="U2035" s="246">
        <f>IFERROR(VLOOKUP(G2035,PROGRAMAS[],2,FALSE),0)</f>
        <v>1440941976.2528784</v>
      </c>
      <c r="V2035" s="246">
        <f>IFERROR(VLOOKUP(H2035,PROGRAMAS[],2,FALSE),0)</f>
        <v>6128579952.1618185</v>
      </c>
      <c r="W2035" s="246">
        <f>IFERROR(VLOOKUP(I2035,PROGRAMAS[],2,FALSE),0)</f>
        <v>4635315027.8751087</v>
      </c>
      <c r="X2035" s="246">
        <f>IFERROR(VLOOKUP(J2035,PROGRAMAS[],2,FALSE),0)</f>
        <v>764796700.79905891</v>
      </c>
      <c r="Y2035" s="246">
        <f>IFERROR(VLOOKUP(K2035,PROGRAMAS[],2,FALSE),0)</f>
        <v>3776538594.4604583</v>
      </c>
      <c r="Z2035" s="246">
        <f>IFERROR(VLOOKUP(L2035,PROGRAMAS[],2,FALSE),0)</f>
        <v>54223862.645839565</v>
      </c>
      <c r="AA2035" s="246">
        <f>IFERROR(VLOOKUP(M2035,PROGRAMAS[],2,FALSE),0)</f>
        <v>122159672.96346797</v>
      </c>
      <c r="AB2035" s="246">
        <f>IFERROR(VLOOKUP(N2035,PROGRAMAS[],2,FALSE),0)</f>
        <v>7068496961.0436354</v>
      </c>
      <c r="AC2035" s="246">
        <f>IFERROR(VLOOKUP(O2035,PROGRAMAS[],2,FALSE),0)</f>
        <v>1892779498.5211046</v>
      </c>
      <c r="AD2035" s="246">
        <f>IFERROR(VLOOKUP(P2035,PROGRAMAS[],2,FALSE),0)</f>
        <v>0</v>
      </c>
      <c r="AE2035" s="246">
        <f>IFERROR(VLOOKUP(Q2035,PROGRAMAS[],2,FALSE),0)</f>
        <v>0</v>
      </c>
      <c r="AF2035" s="246">
        <f>IFERROR(VLOOKUP(D2035,PROGRAMAS[],3,FALSE),0)</f>
        <v>841888629.31080008</v>
      </c>
      <c r="AG2035" s="246">
        <f>IFERROR(VLOOKUP(E2035,PROGRAMAS[],3,FALSE),0)</f>
        <v>3848980803.1642323</v>
      </c>
      <c r="AH2035" s="246">
        <f>IFERROR(VLOOKUP(F2035,PROGRAMAS[],3,FALSE),0)</f>
        <v>3394901471.387517</v>
      </c>
      <c r="AI2035" s="246">
        <f>IFERROR(VLOOKUP(G2035,PROGRAMAS[],3,FALSE),0)</f>
        <v>1233505101.0616004</v>
      </c>
      <c r="AJ2035" s="246">
        <f>IFERROR(VLOOKUP(H2035,PROGRAMAS[],3,FALSE),0)</f>
        <v>7011279577.519702</v>
      </c>
      <c r="AK2035" s="246">
        <f>IFERROR(VLOOKUP(I2035,PROGRAMAS[],3,FALSE),0)</f>
        <v>4099471734.9978786</v>
      </c>
      <c r="AL2035" s="246">
        <f>IFERROR(VLOOKUP(J2035,PROGRAMAS[],3,FALSE),0)</f>
        <v>675517840.109828</v>
      </c>
      <c r="AM2035" s="246">
        <f>IFERROR(VLOOKUP(K2035,PROGRAMAS[],3,FALSE),0)</f>
        <v>2392571243.5584412</v>
      </c>
      <c r="AN2035" s="246">
        <f>IFERROR(VLOOKUP(L2035,PROGRAMAS[],3,FALSE),0)</f>
        <v>31865326.38096505</v>
      </c>
      <c r="AO2035" s="246">
        <f>IFERROR(VLOOKUP(M2035,PROGRAMAS[],3,FALSE),0)</f>
        <v>118617452.52510804</v>
      </c>
      <c r="AP2035" s="246">
        <f>IFERROR(VLOOKUP(N2035,PROGRAMAS[],3,FALSE),0)</f>
        <v>2406564599.0319901</v>
      </c>
      <c r="AQ2035" s="246">
        <f>IFERROR(VLOOKUP(O2035,PROGRAMAS[],3,FALSE),0)</f>
        <v>948595847.09039903</v>
      </c>
      <c r="AR2035" s="246">
        <f>IFERROR(VLOOKUP(P2035,PROGRAMAS[],3,FALSE),0)</f>
        <v>0</v>
      </c>
      <c r="AS2035" s="246">
        <f>IFERROR(VLOOKUP(Q2035,PROGRAMAS[],3,FALSE),0)</f>
        <v>0</v>
      </c>
      <c r="AT2035" s="246">
        <f>IFERROR(VLOOKUP(D2035,VOL_REC[],2,FALSE),0)</f>
        <v>0</v>
      </c>
      <c r="AU2035" s="246">
        <f>IFERROR(VLOOKUP(E2035,VOL_REC[],2,FALSE),0)</f>
        <v>0</v>
      </c>
      <c r="AV2035" s="246">
        <f>IFERROR(VLOOKUP(F2035,VOL_REC[],2,FALSE),0)</f>
        <v>11089674.200000001</v>
      </c>
      <c r="AW2035" s="246">
        <f>IFERROR(VLOOKUP(G2035,VOL_REC[],2,FALSE),0)</f>
        <v>4325103.1812214684</v>
      </c>
      <c r="AX2035" s="246">
        <f>IFERROR(VLOOKUP(H2035,VOL_REC[],2,FALSE),0)</f>
        <v>3761786</v>
      </c>
      <c r="AY2035" s="246">
        <f>IFERROR(VLOOKUP(I2035,VOL_REC[],2,FALSE),0)</f>
        <v>1812240</v>
      </c>
      <c r="AZ2035" s="246">
        <f>IFERROR(VLOOKUP(J2035,VOL_REC[],2,FALSE),0)</f>
        <v>240696.79238099116</v>
      </c>
      <c r="BA2035" s="246">
        <f>IFERROR(VLOOKUP(K2035,VOL_REC[],2,FALSE),0)</f>
        <v>663244.80000000016</v>
      </c>
      <c r="BB2035" s="246">
        <f>IFERROR(VLOOKUP(L2035,VOL_REC[],2,FALSE),0)</f>
        <v>17074.045034105649</v>
      </c>
      <c r="BC2035" s="246">
        <f>IFERROR(VLOOKUP(M2035,VOL_REC[],2,FALSE),0)</f>
        <v>105072</v>
      </c>
      <c r="BD2035" s="246">
        <f>IFERROR(VLOOKUP(N2035,VOL_REC[],2,FALSE),0)</f>
        <v>1072354.9981737854</v>
      </c>
      <c r="BE2035" s="246">
        <f>IFERROR(VLOOKUP(O2035,VOL_REC[],2,FALSE),0)</f>
        <v>740113.98115702497</v>
      </c>
      <c r="BF2035" s="246">
        <f>IFERROR(VLOOKUP(P2035,VOL_REC[],2,FALSE),0)</f>
        <v>0</v>
      </c>
      <c r="BG2035" s="246">
        <f>IFERROR(VLOOKUP(Q2035,VOL_REC[],2,FALSE),0)</f>
        <v>0</v>
      </c>
      <c r="BH2035" s="1710">
        <f t="shared" si="138"/>
        <v>29683699358.237408</v>
      </c>
      <c r="BI2035" s="1710">
        <f t="shared" si="139"/>
        <v>27003759626.138466</v>
      </c>
      <c r="BJ2035" s="1711">
        <f t="shared" si="140"/>
        <v>23827359.997967377</v>
      </c>
      <c r="BK2035" s="1711">
        <f t="shared" si="141"/>
        <v>1.0992432079533427</v>
      </c>
      <c r="BL2035">
        <f t="shared" si="148"/>
        <v>23827359.997967377</v>
      </c>
      <c r="BO2035">
        <f t="shared" si="149"/>
        <v>23827359.997967377</v>
      </c>
    </row>
    <row r="2036" spans="3:67" x14ac:dyDescent="0.25">
      <c r="C2036" s="246" t="s">
        <v>3386</v>
      </c>
      <c r="D2036" s="246">
        <v>1</v>
      </c>
      <c r="E2036" s="246">
        <v>2</v>
      </c>
      <c r="F2036" s="246">
        <v>3</v>
      </c>
      <c r="G2036" s="246">
        <v>6</v>
      </c>
      <c r="H2036" s="246">
        <v>9</v>
      </c>
      <c r="I2036" s="246">
        <v>10</v>
      </c>
      <c r="J2036" s="246">
        <v>12</v>
      </c>
      <c r="K2036" s="246">
        <v>13</v>
      </c>
      <c r="L2036" s="246">
        <v>14</v>
      </c>
      <c r="M2036" s="246">
        <v>15</v>
      </c>
      <c r="N2036" s="246">
        <v>16</v>
      </c>
      <c r="O2036" s="246">
        <v>17</v>
      </c>
      <c r="P2036" s="246"/>
      <c r="Q2036" s="246"/>
      <c r="R2036" s="246">
        <f>IFERROR(VLOOKUP(D2036,PROGRAMAS[],2,FALSE),0)</f>
        <v>97037803.679377079</v>
      </c>
      <c r="S2036" s="246">
        <f>IFERROR(VLOOKUP(E2036,PROGRAMAS[],2,FALSE),0)</f>
        <v>640501509.6821388</v>
      </c>
      <c r="T2036" s="246">
        <f>IFERROR(VLOOKUP(F2036,PROGRAMAS[],2,FALSE),0)</f>
        <v>3062327798.1525245</v>
      </c>
      <c r="U2036" s="246">
        <f>IFERROR(VLOOKUP(G2036,PROGRAMAS[],2,FALSE),0)</f>
        <v>6907648435.8447599</v>
      </c>
      <c r="V2036" s="246">
        <f>IFERROR(VLOOKUP(H2036,PROGRAMAS[],2,FALSE),0)</f>
        <v>6128579952.1618185</v>
      </c>
      <c r="W2036" s="246">
        <f>IFERROR(VLOOKUP(I2036,PROGRAMAS[],2,FALSE),0)</f>
        <v>4635315027.8751087</v>
      </c>
      <c r="X2036" s="246">
        <f>IFERROR(VLOOKUP(J2036,PROGRAMAS[],2,FALSE),0)</f>
        <v>764796700.79905891</v>
      </c>
      <c r="Y2036" s="246">
        <f>IFERROR(VLOOKUP(K2036,PROGRAMAS[],2,FALSE),0)</f>
        <v>3776538594.4604583</v>
      </c>
      <c r="Z2036" s="246">
        <f>IFERROR(VLOOKUP(L2036,PROGRAMAS[],2,FALSE),0)</f>
        <v>54223862.645839565</v>
      </c>
      <c r="AA2036" s="246">
        <f>IFERROR(VLOOKUP(M2036,PROGRAMAS[],2,FALSE),0)</f>
        <v>122159672.96346797</v>
      </c>
      <c r="AB2036" s="246">
        <f>IFERROR(VLOOKUP(N2036,PROGRAMAS[],2,FALSE),0)</f>
        <v>7068496961.0436354</v>
      </c>
      <c r="AC2036" s="246">
        <f>IFERROR(VLOOKUP(O2036,PROGRAMAS[],2,FALSE),0)</f>
        <v>1892779498.5211046</v>
      </c>
      <c r="AD2036" s="246">
        <f>IFERROR(VLOOKUP(P2036,PROGRAMAS[],2,FALSE),0)</f>
        <v>0</v>
      </c>
      <c r="AE2036" s="246">
        <f>IFERROR(VLOOKUP(Q2036,PROGRAMAS[],2,FALSE),0)</f>
        <v>0</v>
      </c>
      <c r="AF2036" s="246">
        <f>IFERROR(VLOOKUP(D2036,PROGRAMAS[],3,FALSE),0)</f>
        <v>841888629.31080008</v>
      </c>
      <c r="AG2036" s="246">
        <f>IFERROR(VLOOKUP(E2036,PROGRAMAS[],3,FALSE),0)</f>
        <v>3848980803.1642323</v>
      </c>
      <c r="AH2036" s="246">
        <f>IFERROR(VLOOKUP(F2036,PROGRAMAS[],3,FALSE),0)</f>
        <v>3394901471.387517</v>
      </c>
      <c r="AI2036" s="246">
        <f>IFERROR(VLOOKUP(G2036,PROGRAMAS[],3,FALSE),0)</f>
        <v>6129902208.7912121</v>
      </c>
      <c r="AJ2036" s="246">
        <f>IFERROR(VLOOKUP(H2036,PROGRAMAS[],3,FALSE),0)</f>
        <v>7011279577.519702</v>
      </c>
      <c r="AK2036" s="246">
        <f>IFERROR(VLOOKUP(I2036,PROGRAMAS[],3,FALSE),0)</f>
        <v>4099471734.9978786</v>
      </c>
      <c r="AL2036" s="246">
        <f>IFERROR(VLOOKUP(J2036,PROGRAMAS[],3,FALSE),0)</f>
        <v>675517840.109828</v>
      </c>
      <c r="AM2036" s="246">
        <f>IFERROR(VLOOKUP(K2036,PROGRAMAS[],3,FALSE),0)</f>
        <v>2392571243.5584412</v>
      </c>
      <c r="AN2036" s="246">
        <f>IFERROR(VLOOKUP(L2036,PROGRAMAS[],3,FALSE),0)</f>
        <v>31865326.38096505</v>
      </c>
      <c r="AO2036" s="246">
        <f>IFERROR(VLOOKUP(M2036,PROGRAMAS[],3,FALSE),0)</f>
        <v>118617452.52510804</v>
      </c>
      <c r="AP2036" s="246">
        <f>IFERROR(VLOOKUP(N2036,PROGRAMAS[],3,FALSE),0)</f>
        <v>2406564599.0319901</v>
      </c>
      <c r="AQ2036" s="246">
        <f>IFERROR(VLOOKUP(O2036,PROGRAMAS[],3,FALSE),0)</f>
        <v>948595847.09039903</v>
      </c>
      <c r="AR2036" s="246">
        <f>IFERROR(VLOOKUP(P2036,PROGRAMAS[],3,FALSE),0)</f>
        <v>0</v>
      </c>
      <c r="AS2036" s="246">
        <f>IFERROR(VLOOKUP(Q2036,PROGRAMAS[],3,FALSE),0)</f>
        <v>0</v>
      </c>
      <c r="AT2036" s="246">
        <f>IFERROR(VLOOKUP(D2036,VOL_REC[],2,FALSE),0)</f>
        <v>0</v>
      </c>
      <c r="AU2036" s="246">
        <f>IFERROR(VLOOKUP(E2036,VOL_REC[],2,FALSE),0)</f>
        <v>0</v>
      </c>
      <c r="AV2036" s="246">
        <f>IFERROR(VLOOKUP(F2036,VOL_REC[],2,FALSE),0)</f>
        <v>11089674.200000001</v>
      </c>
      <c r="AW2036" s="246">
        <f>IFERROR(VLOOKUP(G2036,VOL_REC[],2,FALSE),0)</f>
        <v>15540036.397699751</v>
      </c>
      <c r="AX2036" s="246">
        <f>IFERROR(VLOOKUP(H2036,VOL_REC[],2,FALSE),0)</f>
        <v>3761786</v>
      </c>
      <c r="AY2036" s="246">
        <f>IFERROR(VLOOKUP(I2036,VOL_REC[],2,FALSE),0)</f>
        <v>1812240</v>
      </c>
      <c r="AZ2036" s="246">
        <f>IFERROR(VLOOKUP(J2036,VOL_REC[],2,FALSE),0)</f>
        <v>240696.79238099116</v>
      </c>
      <c r="BA2036" s="246">
        <f>IFERROR(VLOOKUP(K2036,VOL_REC[],2,FALSE),0)</f>
        <v>663244.80000000016</v>
      </c>
      <c r="BB2036" s="246">
        <f>IFERROR(VLOOKUP(L2036,VOL_REC[],2,FALSE),0)</f>
        <v>17074.045034105649</v>
      </c>
      <c r="BC2036" s="246">
        <f>IFERROR(VLOOKUP(M2036,VOL_REC[],2,FALSE),0)</f>
        <v>105072</v>
      </c>
      <c r="BD2036" s="246">
        <f>IFERROR(VLOOKUP(N2036,VOL_REC[],2,FALSE),0)</f>
        <v>1072354.9981737854</v>
      </c>
      <c r="BE2036" s="246">
        <f>IFERROR(VLOOKUP(O2036,VOL_REC[],2,FALSE),0)</f>
        <v>740113.98115702497</v>
      </c>
      <c r="BF2036" s="246">
        <f>IFERROR(VLOOKUP(P2036,VOL_REC[],2,FALSE),0)</f>
        <v>0</v>
      </c>
      <c r="BG2036" s="246">
        <f>IFERROR(VLOOKUP(Q2036,VOL_REC[],2,FALSE),0)</f>
        <v>0</v>
      </c>
      <c r="BH2036" s="1710">
        <f t="shared" si="138"/>
        <v>35150405817.829292</v>
      </c>
      <c r="BI2036" s="1710">
        <f t="shared" si="139"/>
        <v>31900156733.86808</v>
      </c>
      <c r="BJ2036" s="1711">
        <f t="shared" si="140"/>
        <v>35042293.214445665</v>
      </c>
      <c r="BK2036" s="1711">
        <f t="shared" si="141"/>
        <v>1.1018881854116551</v>
      </c>
      <c r="BL2036">
        <f t="shared" si="148"/>
        <v>35042293.214445665</v>
      </c>
      <c r="BO2036">
        <f t="shared" si="149"/>
        <v>35042293.214445665</v>
      </c>
    </row>
    <row r="2037" spans="3:67" x14ac:dyDescent="0.25">
      <c r="C2037" s="246" t="s">
        <v>3387</v>
      </c>
      <c r="D2037" s="246">
        <v>1</v>
      </c>
      <c r="E2037" s="246">
        <v>2</v>
      </c>
      <c r="F2037" s="246">
        <v>3</v>
      </c>
      <c r="G2037" s="246">
        <v>4</v>
      </c>
      <c r="H2037" s="246">
        <v>5</v>
      </c>
      <c r="I2037" s="246">
        <v>6</v>
      </c>
      <c r="J2037" s="246">
        <v>9</v>
      </c>
      <c r="K2037" s="246">
        <v>10</v>
      </c>
      <c r="L2037" s="246">
        <v>12</v>
      </c>
      <c r="M2037" s="246">
        <v>13</v>
      </c>
      <c r="N2037" s="246">
        <v>14</v>
      </c>
      <c r="O2037" s="246">
        <v>15</v>
      </c>
      <c r="P2037" s="246">
        <v>16</v>
      </c>
      <c r="Q2037" s="246"/>
      <c r="R2037" s="246">
        <f>IFERROR(VLOOKUP(D2037,PROGRAMAS[],2,FALSE),0)</f>
        <v>97037803.679377079</v>
      </c>
      <c r="S2037" s="246">
        <f>IFERROR(VLOOKUP(E2037,PROGRAMAS[],2,FALSE),0)</f>
        <v>640501509.6821388</v>
      </c>
      <c r="T2037" s="246">
        <f>IFERROR(VLOOKUP(F2037,PROGRAMAS[],2,FALSE),0)</f>
        <v>3062327798.1525245</v>
      </c>
      <c r="U2037" s="246">
        <f>IFERROR(VLOOKUP(G2037,PROGRAMAS[],2,FALSE),0)</f>
        <v>67697118.033011258</v>
      </c>
      <c r="V2037" s="246">
        <f>IFERROR(VLOOKUP(H2037,PROGRAMAS[],2,FALSE),0)</f>
        <v>1440941976.2528784</v>
      </c>
      <c r="W2037" s="246">
        <f>IFERROR(VLOOKUP(I2037,PROGRAMAS[],2,FALSE),0)</f>
        <v>6907648435.8447599</v>
      </c>
      <c r="X2037" s="246">
        <f>IFERROR(VLOOKUP(J2037,PROGRAMAS[],2,FALSE),0)</f>
        <v>6128579952.1618185</v>
      </c>
      <c r="Y2037" s="246">
        <f>IFERROR(VLOOKUP(K2037,PROGRAMAS[],2,FALSE),0)</f>
        <v>4635315027.8751087</v>
      </c>
      <c r="Z2037" s="246">
        <f>IFERROR(VLOOKUP(L2037,PROGRAMAS[],2,FALSE),0)</f>
        <v>764796700.79905891</v>
      </c>
      <c r="AA2037" s="246">
        <f>IFERROR(VLOOKUP(M2037,PROGRAMAS[],2,FALSE),0)</f>
        <v>3776538594.4604583</v>
      </c>
      <c r="AB2037" s="246">
        <f>IFERROR(VLOOKUP(N2037,PROGRAMAS[],2,FALSE),0)</f>
        <v>54223862.645839565</v>
      </c>
      <c r="AC2037" s="246">
        <f>IFERROR(VLOOKUP(O2037,PROGRAMAS[],2,FALSE),0)</f>
        <v>122159672.96346797</v>
      </c>
      <c r="AD2037" s="246">
        <f>IFERROR(VLOOKUP(P2037,PROGRAMAS[],2,FALSE),0)</f>
        <v>7068496961.0436354</v>
      </c>
      <c r="AE2037" s="246">
        <f>IFERROR(VLOOKUP(Q2037,PROGRAMAS[],2,FALSE),0)</f>
        <v>0</v>
      </c>
      <c r="AF2037" s="246">
        <f>IFERROR(VLOOKUP(D2037,PROGRAMAS[],3,FALSE),0)</f>
        <v>841888629.31080008</v>
      </c>
      <c r="AG2037" s="246">
        <f>IFERROR(VLOOKUP(E2037,PROGRAMAS[],3,FALSE),0)</f>
        <v>3848980803.1642323</v>
      </c>
      <c r="AH2037" s="246">
        <f>IFERROR(VLOOKUP(F2037,PROGRAMAS[],3,FALSE),0)</f>
        <v>3394901471.387517</v>
      </c>
      <c r="AI2037" s="246">
        <f>IFERROR(VLOOKUP(G2037,PROGRAMAS[],3,FALSE),0)</f>
        <v>125317226.95549992</v>
      </c>
      <c r="AJ2037" s="246">
        <f>IFERROR(VLOOKUP(H2037,PROGRAMAS[],3,FALSE),0)</f>
        <v>1233505101.0616004</v>
      </c>
      <c r="AK2037" s="246">
        <f>IFERROR(VLOOKUP(I2037,PROGRAMAS[],3,FALSE),0)</f>
        <v>6129902208.7912121</v>
      </c>
      <c r="AL2037" s="246">
        <f>IFERROR(VLOOKUP(J2037,PROGRAMAS[],3,FALSE),0)</f>
        <v>7011279577.519702</v>
      </c>
      <c r="AM2037" s="246">
        <f>IFERROR(VLOOKUP(K2037,PROGRAMAS[],3,FALSE),0)</f>
        <v>4099471734.9978786</v>
      </c>
      <c r="AN2037" s="246">
        <f>IFERROR(VLOOKUP(L2037,PROGRAMAS[],3,FALSE),0)</f>
        <v>675517840.109828</v>
      </c>
      <c r="AO2037" s="246">
        <f>IFERROR(VLOOKUP(M2037,PROGRAMAS[],3,FALSE),0)</f>
        <v>2392571243.5584412</v>
      </c>
      <c r="AP2037" s="246">
        <f>IFERROR(VLOOKUP(N2037,PROGRAMAS[],3,FALSE),0)</f>
        <v>31865326.38096505</v>
      </c>
      <c r="AQ2037" s="246">
        <f>IFERROR(VLOOKUP(O2037,PROGRAMAS[],3,FALSE),0)</f>
        <v>118617452.52510804</v>
      </c>
      <c r="AR2037" s="246">
        <f>IFERROR(VLOOKUP(P2037,PROGRAMAS[],3,FALSE),0)</f>
        <v>2406564599.0319901</v>
      </c>
      <c r="AS2037" s="246">
        <f>IFERROR(VLOOKUP(Q2037,PROGRAMAS[],3,FALSE),0)</f>
        <v>0</v>
      </c>
      <c r="AT2037" s="246">
        <f>IFERROR(VLOOKUP(D2037,VOL_REC[],2,FALSE),0)</f>
        <v>0</v>
      </c>
      <c r="AU2037" s="246">
        <f>IFERROR(VLOOKUP(E2037,VOL_REC[],2,FALSE),0)</f>
        <v>0</v>
      </c>
      <c r="AV2037" s="246">
        <f>IFERROR(VLOOKUP(F2037,VOL_REC[],2,FALSE),0)</f>
        <v>11089674.200000001</v>
      </c>
      <c r="AW2037" s="246">
        <f>IFERROR(VLOOKUP(G2037,VOL_REC[],2,FALSE),0)</f>
        <v>90439.55</v>
      </c>
      <c r="AX2037" s="246">
        <f>IFERROR(VLOOKUP(H2037,VOL_REC[],2,FALSE),0)</f>
        <v>4325103.1812214684</v>
      </c>
      <c r="AY2037" s="246">
        <f>IFERROR(VLOOKUP(I2037,VOL_REC[],2,FALSE),0)</f>
        <v>15540036.397699751</v>
      </c>
      <c r="AZ2037" s="246">
        <f>IFERROR(VLOOKUP(J2037,VOL_REC[],2,FALSE),0)</f>
        <v>3761786</v>
      </c>
      <c r="BA2037" s="246">
        <f>IFERROR(VLOOKUP(K2037,VOL_REC[],2,FALSE),0)</f>
        <v>1812240</v>
      </c>
      <c r="BB2037" s="246">
        <f>IFERROR(VLOOKUP(L2037,VOL_REC[],2,FALSE),0)</f>
        <v>240696.79238099116</v>
      </c>
      <c r="BC2037" s="246">
        <f>IFERROR(VLOOKUP(M2037,VOL_REC[],2,FALSE),0)</f>
        <v>663244.80000000016</v>
      </c>
      <c r="BD2037" s="246">
        <f>IFERROR(VLOOKUP(N2037,VOL_REC[],2,FALSE),0)</f>
        <v>17074.045034105649</v>
      </c>
      <c r="BE2037" s="246">
        <f>IFERROR(VLOOKUP(O2037,VOL_REC[],2,FALSE),0)</f>
        <v>105072</v>
      </c>
      <c r="BF2037" s="246">
        <f>IFERROR(VLOOKUP(P2037,VOL_REC[],2,FALSE),0)</f>
        <v>1072354.9981737854</v>
      </c>
      <c r="BG2037" s="246">
        <f>IFERROR(VLOOKUP(Q2037,VOL_REC[],2,FALSE),0)</f>
        <v>0</v>
      </c>
      <c r="BH2037" s="1710">
        <f t="shared" si="138"/>
        <v>34766265413.59407</v>
      </c>
      <c r="BI2037" s="1710">
        <f t="shared" si="139"/>
        <v>32310383214.794777</v>
      </c>
      <c r="BJ2037" s="1711">
        <f t="shared" si="140"/>
        <v>38717721.964510098</v>
      </c>
      <c r="BK2037" s="1711">
        <f t="shared" si="141"/>
        <v>1.0760090705973044</v>
      </c>
      <c r="BL2037">
        <f t="shared" si="148"/>
        <v>38717721.964510098</v>
      </c>
      <c r="BO2037">
        <f t="shared" si="149"/>
        <v>38717721.964510098</v>
      </c>
    </row>
    <row r="2038" spans="3:67" x14ac:dyDescent="0.25">
      <c r="C2038" s="246" t="s">
        <v>3388</v>
      </c>
      <c r="D2038" s="246">
        <v>1</v>
      </c>
      <c r="E2038" s="246">
        <v>2</v>
      </c>
      <c r="F2038" s="246">
        <v>3</v>
      </c>
      <c r="G2038" s="246">
        <v>4</v>
      </c>
      <c r="H2038" s="246">
        <v>5</v>
      </c>
      <c r="I2038" s="246">
        <v>6</v>
      </c>
      <c r="J2038" s="246">
        <v>9</v>
      </c>
      <c r="K2038" s="246">
        <v>10</v>
      </c>
      <c r="L2038" s="246">
        <v>12</v>
      </c>
      <c r="M2038" s="246">
        <v>13</v>
      </c>
      <c r="N2038" s="246">
        <v>14</v>
      </c>
      <c r="O2038" s="246">
        <v>15</v>
      </c>
      <c r="P2038" s="246">
        <v>17</v>
      </c>
      <c r="Q2038" s="246"/>
      <c r="R2038" s="246">
        <f>IFERROR(VLOOKUP(D2038,PROGRAMAS[],2,FALSE),0)</f>
        <v>97037803.679377079</v>
      </c>
      <c r="S2038" s="246">
        <f>IFERROR(VLOOKUP(E2038,PROGRAMAS[],2,FALSE),0)</f>
        <v>640501509.6821388</v>
      </c>
      <c r="T2038" s="246">
        <f>IFERROR(VLOOKUP(F2038,PROGRAMAS[],2,FALSE),0)</f>
        <v>3062327798.1525245</v>
      </c>
      <c r="U2038" s="246">
        <f>IFERROR(VLOOKUP(G2038,PROGRAMAS[],2,FALSE),0)</f>
        <v>67697118.033011258</v>
      </c>
      <c r="V2038" s="246">
        <f>IFERROR(VLOOKUP(H2038,PROGRAMAS[],2,FALSE),0)</f>
        <v>1440941976.2528784</v>
      </c>
      <c r="W2038" s="246">
        <f>IFERROR(VLOOKUP(I2038,PROGRAMAS[],2,FALSE),0)</f>
        <v>6907648435.8447599</v>
      </c>
      <c r="X2038" s="246">
        <f>IFERROR(VLOOKUP(J2038,PROGRAMAS[],2,FALSE),0)</f>
        <v>6128579952.1618185</v>
      </c>
      <c r="Y2038" s="246">
        <f>IFERROR(VLOOKUP(K2038,PROGRAMAS[],2,FALSE),0)</f>
        <v>4635315027.8751087</v>
      </c>
      <c r="Z2038" s="246">
        <f>IFERROR(VLOOKUP(L2038,PROGRAMAS[],2,FALSE),0)</f>
        <v>764796700.79905891</v>
      </c>
      <c r="AA2038" s="246">
        <f>IFERROR(VLOOKUP(M2038,PROGRAMAS[],2,FALSE),0)</f>
        <v>3776538594.4604583</v>
      </c>
      <c r="AB2038" s="246">
        <f>IFERROR(VLOOKUP(N2038,PROGRAMAS[],2,FALSE),0)</f>
        <v>54223862.645839565</v>
      </c>
      <c r="AC2038" s="246">
        <f>IFERROR(VLOOKUP(O2038,PROGRAMAS[],2,FALSE),0)</f>
        <v>122159672.96346797</v>
      </c>
      <c r="AD2038" s="246">
        <f>IFERROR(VLOOKUP(P2038,PROGRAMAS[],2,FALSE),0)</f>
        <v>1892779498.5211046</v>
      </c>
      <c r="AE2038" s="246">
        <f>IFERROR(VLOOKUP(Q2038,PROGRAMAS[],2,FALSE),0)</f>
        <v>0</v>
      </c>
      <c r="AF2038" s="246">
        <f>IFERROR(VLOOKUP(D2038,PROGRAMAS[],3,FALSE),0)</f>
        <v>841888629.31080008</v>
      </c>
      <c r="AG2038" s="246">
        <f>IFERROR(VLOOKUP(E2038,PROGRAMAS[],3,FALSE),0)</f>
        <v>3848980803.1642323</v>
      </c>
      <c r="AH2038" s="246">
        <f>IFERROR(VLOOKUP(F2038,PROGRAMAS[],3,FALSE),0)</f>
        <v>3394901471.387517</v>
      </c>
      <c r="AI2038" s="246">
        <f>IFERROR(VLOOKUP(G2038,PROGRAMAS[],3,FALSE),0)</f>
        <v>125317226.95549992</v>
      </c>
      <c r="AJ2038" s="246">
        <f>IFERROR(VLOOKUP(H2038,PROGRAMAS[],3,FALSE),0)</f>
        <v>1233505101.0616004</v>
      </c>
      <c r="AK2038" s="246">
        <f>IFERROR(VLOOKUP(I2038,PROGRAMAS[],3,FALSE),0)</f>
        <v>6129902208.7912121</v>
      </c>
      <c r="AL2038" s="246">
        <f>IFERROR(VLOOKUP(J2038,PROGRAMAS[],3,FALSE),0)</f>
        <v>7011279577.519702</v>
      </c>
      <c r="AM2038" s="246">
        <f>IFERROR(VLOOKUP(K2038,PROGRAMAS[],3,FALSE),0)</f>
        <v>4099471734.9978786</v>
      </c>
      <c r="AN2038" s="246">
        <f>IFERROR(VLOOKUP(L2038,PROGRAMAS[],3,FALSE),0)</f>
        <v>675517840.109828</v>
      </c>
      <c r="AO2038" s="246">
        <f>IFERROR(VLOOKUP(M2038,PROGRAMAS[],3,FALSE),0)</f>
        <v>2392571243.5584412</v>
      </c>
      <c r="AP2038" s="246">
        <f>IFERROR(VLOOKUP(N2038,PROGRAMAS[],3,FALSE),0)</f>
        <v>31865326.38096505</v>
      </c>
      <c r="AQ2038" s="246">
        <f>IFERROR(VLOOKUP(O2038,PROGRAMAS[],3,FALSE),0)</f>
        <v>118617452.52510804</v>
      </c>
      <c r="AR2038" s="246">
        <f>IFERROR(VLOOKUP(P2038,PROGRAMAS[],3,FALSE),0)</f>
        <v>948595847.09039903</v>
      </c>
      <c r="AS2038" s="246">
        <f>IFERROR(VLOOKUP(Q2038,PROGRAMAS[],3,FALSE),0)</f>
        <v>0</v>
      </c>
      <c r="AT2038" s="246">
        <f>IFERROR(VLOOKUP(D2038,VOL_REC[],2,FALSE),0)</f>
        <v>0</v>
      </c>
      <c r="AU2038" s="246">
        <f>IFERROR(VLOOKUP(E2038,VOL_REC[],2,FALSE),0)</f>
        <v>0</v>
      </c>
      <c r="AV2038" s="246">
        <f>IFERROR(VLOOKUP(F2038,VOL_REC[],2,FALSE),0)</f>
        <v>11089674.200000001</v>
      </c>
      <c r="AW2038" s="246">
        <f>IFERROR(VLOOKUP(G2038,VOL_REC[],2,FALSE),0)</f>
        <v>90439.55</v>
      </c>
      <c r="AX2038" s="246">
        <f>IFERROR(VLOOKUP(H2038,VOL_REC[],2,FALSE),0)</f>
        <v>4325103.1812214684</v>
      </c>
      <c r="AY2038" s="246">
        <f>IFERROR(VLOOKUP(I2038,VOL_REC[],2,FALSE),0)</f>
        <v>15540036.397699751</v>
      </c>
      <c r="AZ2038" s="246">
        <f>IFERROR(VLOOKUP(J2038,VOL_REC[],2,FALSE),0)</f>
        <v>3761786</v>
      </c>
      <c r="BA2038" s="246">
        <f>IFERROR(VLOOKUP(K2038,VOL_REC[],2,FALSE),0)</f>
        <v>1812240</v>
      </c>
      <c r="BB2038" s="246">
        <f>IFERROR(VLOOKUP(L2038,VOL_REC[],2,FALSE),0)</f>
        <v>240696.79238099116</v>
      </c>
      <c r="BC2038" s="246">
        <f>IFERROR(VLOOKUP(M2038,VOL_REC[],2,FALSE),0)</f>
        <v>663244.80000000016</v>
      </c>
      <c r="BD2038" s="246">
        <f>IFERROR(VLOOKUP(N2038,VOL_REC[],2,FALSE),0)</f>
        <v>17074.045034105649</v>
      </c>
      <c r="BE2038" s="246">
        <f>IFERROR(VLOOKUP(O2038,VOL_REC[],2,FALSE),0)</f>
        <v>105072</v>
      </c>
      <c r="BF2038" s="246">
        <f>IFERROR(VLOOKUP(P2038,VOL_REC[],2,FALSE),0)</f>
        <v>740113.98115702497</v>
      </c>
      <c r="BG2038" s="246">
        <f>IFERROR(VLOOKUP(Q2038,VOL_REC[],2,FALSE),0)</f>
        <v>0</v>
      </c>
      <c r="BH2038" s="1710">
        <f t="shared" si="138"/>
        <v>29590547951.071541</v>
      </c>
      <c r="BI2038" s="1710">
        <f t="shared" si="139"/>
        <v>30852414462.853188</v>
      </c>
      <c r="BJ2038" s="1711">
        <f t="shared" si="140"/>
        <v>38385480.947493337</v>
      </c>
      <c r="BK2038" s="1711">
        <f t="shared" si="141"/>
        <v>0.95909991053371346</v>
      </c>
    </row>
    <row r="2039" spans="3:67" x14ac:dyDescent="0.25">
      <c r="C2039" s="246" t="s">
        <v>3389</v>
      </c>
      <c r="D2039" s="246">
        <v>1</v>
      </c>
      <c r="E2039" s="246">
        <v>2</v>
      </c>
      <c r="F2039" s="246">
        <v>3</v>
      </c>
      <c r="G2039" s="246">
        <v>4</v>
      </c>
      <c r="H2039" s="246">
        <v>5</v>
      </c>
      <c r="I2039" s="246">
        <v>6</v>
      </c>
      <c r="J2039" s="246">
        <v>9</v>
      </c>
      <c r="K2039" s="246">
        <v>10</v>
      </c>
      <c r="L2039" s="246">
        <v>12</v>
      </c>
      <c r="M2039" s="246">
        <v>13</v>
      </c>
      <c r="N2039" s="246">
        <v>14</v>
      </c>
      <c r="O2039" s="246">
        <v>16</v>
      </c>
      <c r="P2039" s="246">
        <v>17</v>
      </c>
      <c r="Q2039" s="246"/>
      <c r="R2039" s="246">
        <f>IFERROR(VLOOKUP(D2039,PROGRAMAS[],2,FALSE),0)</f>
        <v>97037803.679377079</v>
      </c>
      <c r="S2039" s="246">
        <f>IFERROR(VLOOKUP(E2039,PROGRAMAS[],2,FALSE),0)</f>
        <v>640501509.6821388</v>
      </c>
      <c r="T2039" s="246">
        <f>IFERROR(VLOOKUP(F2039,PROGRAMAS[],2,FALSE),0)</f>
        <v>3062327798.1525245</v>
      </c>
      <c r="U2039" s="246">
        <f>IFERROR(VLOOKUP(G2039,PROGRAMAS[],2,FALSE),0)</f>
        <v>67697118.033011258</v>
      </c>
      <c r="V2039" s="246">
        <f>IFERROR(VLOOKUP(H2039,PROGRAMAS[],2,FALSE),0)</f>
        <v>1440941976.2528784</v>
      </c>
      <c r="W2039" s="246">
        <f>IFERROR(VLOOKUP(I2039,PROGRAMAS[],2,FALSE),0)</f>
        <v>6907648435.8447599</v>
      </c>
      <c r="X2039" s="246">
        <f>IFERROR(VLOOKUP(J2039,PROGRAMAS[],2,FALSE),0)</f>
        <v>6128579952.1618185</v>
      </c>
      <c r="Y2039" s="246">
        <f>IFERROR(VLOOKUP(K2039,PROGRAMAS[],2,FALSE),0)</f>
        <v>4635315027.8751087</v>
      </c>
      <c r="Z2039" s="246">
        <f>IFERROR(VLOOKUP(L2039,PROGRAMAS[],2,FALSE),0)</f>
        <v>764796700.79905891</v>
      </c>
      <c r="AA2039" s="246">
        <f>IFERROR(VLOOKUP(M2039,PROGRAMAS[],2,FALSE),0)</f>
        <v>3776538594.4604583</v>
      </c>
      <c r="AB2039" s="246">
        <f>IFERROR(VLOOKUP(N2039,PROGRAMAS[],2,FALSE),0)</f>
        <v>54223862.645839565</v>
      </c>
      <c r="AC2039" s="246">
        <f>IFERROR(VLOOKUP(O2039,PROGRAMAS[],2,FALSE),0)</f>
        <v>7068496961.0436354</v>
      </c>
      <c r="AD2039" s="246">
        <f>IFERROR(VLOOKUP(P2039,PROGRAMAS[],2,FALSE),0)</f>
        <v>1892779498.5211046</v>
      </c>
      <c r="AE2039" s="246">
        <f>IFERROR(VLOOKUP(Q2039,PROGRAMAS[],2,FALSE),0)</f>
        <v>0</v>
      </c>
      <c r="AF2039" s="246">
        <f>IFERROR(VLOOKUP(D2039,PROGRAMAS[],3,FALSE),0)</f>
        <v>841888629.31080008</v>
      </c>
      <c r="AG2039" s="246">
        <f>IFERROR(VLOOKUP(E2039,PROGRAMAS[],3,FALSE),0)</f>
        <v>3848980803.1642323</v>
      </c>
      <c r="AH2039" s="246">
        <f>IFERROR(VLOOKUP(F2039,PROGRAMAS[],3,FALSE),0)</f>
        <v>3394901471.387517</v>
      </c>
      <c r="AI2039" s="246">
        <f>IFERROR(VLOOKUP(G2039,PROGRAMAS[],3,FALSE),0)</f>
        <v>125317226.95549992</v>
      </c>
      <c r="AJ2039" s="246">
        <f>IFERROR(VLOOKUP(H2039,PROGRAMAS[],3,FALSE),0)</f>
        <v>1233505101.0616004</v>
      </c>
      <c r="AK2039" s="246">
        <f>IFERROR(VLOOKUP(I2039,PROGRAMAS[],3,FALSE),0)</f>
        <v>6129902208.7912121</v>
      </c>
      <c r="AL2039" s="246">
        <f>IFERROR(VLOOKUP(J2039,PROGRAMAS[],3,FALSE),0)</f>
        <v>7011279577.519702</v>
      </c>
      <c r="AM2039" s="246">
        <f>IFERROR(VLOOKUP(K2039,PROGRAMAS[],3,FALSE),0)</f>
        <v>4099471734.9978786</v>
      </c>
      <c r="AN2039" s="246">
        <f>IFERROR(VLOOKUP(L2039,PROGRAMAS[],3,FALSE),0)</f>
        <v>675517840.109828</v>
      </c>
      <c r="AO2039" s="246">
        <f>IFERROR(VLOOKUP(M2039,PROGRAMAS[],3,FALSE),0)</f>
        <v>2392571243.5584412</v>
      </c>
      <c r="AP2039" s="246">
        <f>IFERROR(VLOOKUP(N2039,PROGRAMAS[],3,FALSE),0)</f>
        <v>31865326.38096505</v>
      </c>
      <c r="AQ2039" s="246">
        <f>IFERROR(VLOOKUP(O2039,PROGRAMAS[],3,FALSE),0)</f>
        <v>2406564599.0319901</v>
      </c>
      <c r="AR2039" s="246">
        <f>IFERROR(VLOOKUP(P2039,PROGRAMAS[],3,FALSE),0)</f>
        <v>948595847.09039903</v>
      </c>
      <c r="AS2039" s="246">
        <f>IFERROR(VLOOKUP(Q2039,PROGRAMAS[],3,FALSE),0)</f>
        <v>0</v>
      </c>
      <c r="AT2039" s="246">
        <f>IFERROR(VLOOKUP(D2039,VOL_REC[],2,FALSE),0)</f>
        <v>0</v>
      </c>
      <c r="AU2039" s="246">
        <f>IFERROR(VLOOKUP(E2039,VOL_REC[],2,FALSE),0)</f>
        <v>0</v>
      </c>
      <c r="AV2039" s="246">
        <f>IFERROR(VLOOKUP(F2039,VOL_REC[],2,FALSE),0)</f>
        <v>11089674.200000001</v>
      </c>
      <c r="AW2039" s="246">
        <f>IFERROR(VLOOKUP(G2039,VOL_REC[],2,FALSE),0)</f>
        <v>90439.55</v>
      </c>
      <c r="AX2039" s="246">
        <f>IFERROR(VLOOKUP(H2039,VOL_REC[],2,FALSE),0)</f>
        <v>4325103.1812214684</v>
      </c>
      <c r="AY2039" s="246">
        <f>IFERROR(VLOOKUP(I2039,VOL_REC[],2,FALSE),0)</f>
        <v>15540036.397699751</v>
      </c>
      <c r="AZ2039" s="246">
        <f>IFERROR(VLOOKUP(J2039,VOL_REC[],2,FALSE),0)</f>
        <v>3761786</v>
      </c>
      <c r="BA2039" s="246">
        <f>IFERROR(VLOOKUP(K2039,VOL_REC[],2,FALSE),0)</f>
        <v>1812240</v>
      </c>
      <c r="BB2039" s="246">
        <f>IFERROR(VLOOKUP(L2039,VOL_REC[],2,FALSE),0)</f>
        <v>240696.79238099116</v>
      </c>
      <c r="BC2039" s="246">
        <f>IFERROR(VLOOKUP(M2039,VOL_REC[],2,FALSE),0)</f>
        <v>663244.80000000016</v>
      </c>
      <c r="BD2039" s="246">
        <f>IFERROR(VLOOKUP(N2039,VOL_REC[],2,FALSE),0)</f>
        <v>17074.045034105649</v>
      </c>
      <c r="BE2039" s="246">
        <f>IFERROR(VLOOKUP(O2039,VOL_REC[],2,FALSE),0)</f>
        <v>1072354.9981737854</v>
      </c>
      <c r="BF2039" s="246">
        <f>IFERROR(VLOOKUP(P2039,VOL_REC[],2,FALSE),0)</f>
        <v>740113.98115702497</v>
      </c>
      <c r="BG2039" s="246">
        <f>IFERROR(VLOOKUP(Q2039,VOL_REC[],2,FALSE),0)</f>
        <v>0</v>
      </c>
      <c r="BH2039" s="1710">
        <f t="shared" si="138"/>
        <v>36536885239.151711</v>
      </c>
      <c r="BI2039" s="1710">
        <f t="shared" si="139"/>
        <v>33140361609.360069</v>
      </c>
      <c r="BJ2039" s="1711">
        <f t="shared" si="140"/>
        <v>39352763.945667125</v>
      </c>
      <c r="BK2039" s="1711">
        <f t="shared" si="141"/>
        <v>1.1024890334579915</v>
      </c>
      <c r="BL2039">
        <f t="shared" ref="BL2039:BL2048" si="150">BJ2039</f>
        <v>39352763.945667125</v>
      </c>
      <c r="BO2039">
        <f t="shared" ref="BO2039:BO2048" si="151">BL2039</f>
        <v>39352763.945667125</v>
      </c>
    </row>
    <row r="2040" spans="3:67" x14ac:dyDescent="0.25">
      <c r="C2040" s="246" t="s">
        <v>3390</v>
      </c>
      <c r="D2040" s="246">
        <v>1</v>
      </c>
      <c r="E2040" s="246">
        <v>2</v>
      </c>
      <c r="F2040" s="246">
        <v>3</v>
      </c>
      <c r="G2040" s="246">
        <v>4</v>
      </c>
      <c r="H2040" s="246">
        <v>5</v>
      </c>
      <c r="I2040" s="246">
        <v>6</v>
      </c>
      <c r="J2040" s="246">
        <v>9</v>
      </c>
      <c r="K2040" s="246">
        <v>10</v>
      </c>
      <c r="L2040" s="246">
        <v>12</v>
      </c>
      <c r="M2040" s="246">
        <v>13</v>
      </c>
      <c r="N2040" s="246">
        <v>15</v>
      </c>
      <c r="O2040" s="246">
        <v>16</v>
      </c>
      <c r="P2040" s="246">
        <v>17</v>
      </c>
      <c r="Q2040" s="246"/>
      <c r="R2040" s="246">
        <f>IFERROR(VLOOKUP(D2040,PROGRAMAS[],2,FALSE),0)</f>
        <v>97037803.679377079</v>
      </c>
      <c r="S2040" s="246">
        <f>IFERROR(VLOOKUP(E2040,PROGRAMAS[],2,FALSE),0)</f>
        <v>640501509.6821388</v>
      </c>
      <c r="T2040" s="246">
        <f>IFERROR(VLOOKUP(F2040,PROGRAMAS[],2,FALSE),0)</f>
        <v>3062327798.1525245</v>
      </c>
      <c r="U2040" s="246">
        <f>IFERROR(VLOOKUP(G2040,PROGRAMAS[],2,FALSE),0)</f>
        <v>67697118.033011258</v>
      </c>
      <c r="V2040" s="246">
        <f>IFERROR(VLOOKUP(H2040,PROGRAMAS[],2,FALSE),0)</f>
        <v>1440941976.2528784</v>
      </c>
      <c r="W2040" s="246">
        <f>IFERROR(VLOOKUP(I2040,PROGRAMAS[],2,FALSE),0)</f>
        <v>6907648435.8447599</v>
      </c>
      <c r="X2040" s="246">
        <f>IFERROR(VLOOKUP(J2040,PROGRAMAS[],2,FALSE),0)</f>
        <v>6128579952.1618185</v>
      </c>
      <c r="Y2040" s="246">
        <f>IFERROR(VLOOKUP(K2040,PROGRAMAS[],2,FALSE),0)</f>
        <v>4635315027.8751087</v>
      </c>
      <c r="Z2040" s="246">
        <f>IFERROR(VLOOKUP(L2040,PROGRAMAS[],2,FALSE),0)</f>
        <v>764796700.79905891</v>
      </c>
      <c r="AA2040" s="246">
        <f>IFERROR(VLOOKUP(M2040,PROGRAMAS[],2,FALSE),0)</f>
        <v>3776538594.4604583</v>
      </c>
      <c r="AB2040" s="246">
        <f>IFERROR(VLOOKUP(N2040,PROGRAMAS[],2,FALSE),0)</f>
        <v>122159672.96346797</v>
      </c>
      <c r="AC2040" s="246">
        <f>IFERROR(VLOOKUP(O2040,PROGRAMAS[],2,FALSE),0)</f>
        <v>7068496961.0436354</v>
      </c>
      <c r="AD2040" s="246">
        <f>IFERROR(VLOOKUP(P2040,PROGRAMAS[],2,FALSE),0)</f>
        <v>1892779498.5211046</v>
      </c>
      <c r="AE2040" s="246">
        <f>IFERROR(VLOOKUP(Q2040,PROGRAMAS[],2,FALSE),0)</f>
        <v>0</v>
      </c>
      <c r="AF2040" s="246">
        <f>IFERROR(VLOOKUP(D2040,PROGRAMAS[],3,FALSE),0)</f>
        <v>841888629.31080008</v>
      </c>
      <c r="AG2040" s="246">
        <f>IFERROR(VLOOKUP(E2040,PROGRAMAS[],3,FALSE),0)</f>
        <v>3848980803.1642323</v>
      </c>
      <c r="AH2040" s="246">
        <f>IFERROR(VLOOKUP(F2040,PROGRAMAS[],3,FALSE),0)</f>
        <v>3394901471.387517</v>
      </c>
      <c r="AI2040" s="246">
        <f>IFERROR(VLOOKUP(G2040,PROGRAMAS[],3,FALSE),0)</f>
        <v>125317226.95549992</v>
      </c>
      <c r="AJ2040" s="246">
        <f>IFERROR(VLOOKUP(H2040,PROGRAMAS[],3,FALSE),0)</f>
        <v>1233505101.0616004</v>
      </c>
      <c r="AK2040" s="246">
        <f>IFERROR(VLOOKUP(I2040,PROGRAMAS[],3,FALSE),0)</f>
        <v>6129902208.7912121</v>
      </c>
      <c r="AL2040" s="246">
        <f>IFERROR(VLOOKUP(J2040,PROGRAMAS[],3,FALSE),0)</f>
        <v>7011279577.519702</v>
      </c>
      <c r="AM2040" s="246">
        <f>IFERROR(VLOOKUP(K2040,PROGRAMAS[],3,FALSE),0)</f>
        <v>4099471734.9978786</v>
      </c>
      <c r="AN2040" s="246">
        <f>IFERROR(VLOOKUP(L2040,PROGRAMAS[],3,FALSE),0)</f>
        <v>675517840.109828</v>
      </c>
      <c r="AO2040" s="246">
        <f>IFERROR(VLOOKUP(M2040,PROGRAMAS[],3,FALSE),0)</f>
        <v>2392571243.5584412</v>
      </c>
      <c r="AP2040" s="246">
        <f>IFERROR(VLOOKUP(N2040,PROGRAMAS[],3,FALSE),0)</f>
        <v>118617452.52510804</v>
      </c>
      <c r="AQ2040" s="246">
        <f>IFERROR(VLOOKUP(O2040,PROGRAMAS[],3,FALSE),0)</f>
        <v>2406564599.0319901</v>
      </c>
      <c r="AR2040" s="246">
        <f>IFERROR(VLOOKUP(P2040,PROGRAMAS[],3,FALSE),0)</f>
        <v>948595847.09039903</v>
      </c>
      <c r="AS2040" s="246">
        <f>IFERROR(VLOOKUP(Q2040,PROGRAMAS[],3,FALSE),0)</f>
        <v>0</v>
      </c>
      <c r="AT2040" s="246">
        <f>IFERROR(VLOOKUP(D2040,VOL_REC[],2,FALSE),0)</f>
        <v>0</v>
      </c>
      <c r="AU2040" s="246">
        <f>IFERROR(VLOOKUP(E2040,VOL_REC[],2,FALSE),0)</f>
        <v>0</v>
      </c>
      <c r="AV2040" s="246">
        <f>IFERROR(VLOOKUP(F2040,VOL_REC[],2,FALSE),0)</f>
        <v>11089674.200000001</v>
      </c>
      <c r="AW2040" s="246">
        <f>IFERROR(VLOOKUP(G2040,VOL_REC[],2,FALSE),0)</f>
        <v>90439.55</v>
      </c>
      <c r="AX2040" s="246">
        <f>IFERROR(VLOOKUP(H2040,VOL_REC[],2,FALSE),0)</f>
        <v>4325103.1812214684</v>
      </c>
      <c r="AY2040" s="246">
        <f>IFERROR(VLOOKUP(I2040,VOL_REC[],2,FALSE),0)</f>
        <v>15540036.397699751</v>
      </c>
      <c r="AZ2040" s="246">
        <f>IFERROR(VLOOKUP(J2040,VOL_REC[],2,FALSE),0)</f>
        <v>3761786</v>
      </c>
      <c r="BA2040" s="246">
        <f>IFERROR(VLOOKUP(K2040,VOL_REC[],2,FALSE),0)</f>
        <v>1812240</v>
      </c>
      <c r="BB2040" s="246">
        <f>IFERROR(VLOOKUP(L2040,VOL_REC[],2,FALSE),0)</f>
        <v>240696.79238099116</v>
      </c>
      <c r="BC2040" s="246">
        <f>IFERROR(VLOOKUP(M2040,VOL_REC[],2,FALSE),0)</f>
        <v>663244.80000000016</v>
      </c>
      <c r="BD2040" s="246">
        <f>IFERROR(VLOOKUP(N2040,VOL_REC[],2,FALSE),0)</f>
        <v>105072</v>
      </c>
      <c r="BE2040" s="246">
        <f>IFERROR(VLOOKUP(O2040,VOL_REC[],2,FALSE),0)</f>
        <v>1072354.9981737854</v>
      </c>
      <c r="BF2040" s="246">
        <f>IFERROR(VLOOKUP(P2040,VOL_REC[],2,FALSE),0)</f>
        <v>740113.98115702497</v>
      </c>
      <c r="BG2040" s="246">
        <f>IFERROR(VLOOKUP(Q2040,VOL_REC[],2,FALSE),0)</f>
        <v>0</v>
      </c>
      <c r="BH2040" s="1710">
        <f t="shared" si="138"/>
        <v>36604821049.469337</v>
      </c>
      <c r="BI2040" s="1710">
        <f t="shared" si="139"/>
        <v>33227113735.504211</v>
      </c>
      <c r="BJ2040" s="1711">
        <f t="shared" si="140"/>
        <v>39440761.900633022</v>
      </c>
      <c r="BK2040" s="1711">
        <f t="shared" si="141"/>
        <v>1.1016551525014326</v>
      </c>
      <c r="BL2040">
        <f t="shared" si="150"/>
        <v>39440761.900633022</v>
      </c>
      <c r="BO2040">
        <f t="shared" si="151"/>
        <v>39440761.900633022</v>
      </c>
    </row>
    <row r="2041" spans="3:67" x14ac:dyDescent="0.25">
      <c r="C2041" s="246" t="s">
        <v>3391</v>
      </c>
      <c r="D2041" s="246">
        <v>1</v>
      </c>
      <c r="E2041" s="246">
        <v>2</v>
      </c>
      <c r="F2041" s="246">
        <v>3</v>
      </c>
      <c r="G2041" s="246">
        <v>4</v>
      </c>
      <c r="H2041" s="246">
        <v>5</v>
      </c>
      <c r="I2041" s="246">
        <v>6</v>
      </c>
      <c r="J2041" s="246">
        <v>9</v>
      </c>
      <c r="K2041" s="246">
        <v>10</v>
      </c>
      <c r="L2041" s="246">
        <v>12</v>
      </c>
      <c r="M2041" s="246">
        <v>14</v>
      </c>
      <c r="N2041" s="246">
        <v>15</v>
      </c>
      <c r="O2041" s="246">
        <v>16</v>
      </c>
      <c r="P2041" s="246">
        <v>17</v>
      </c>
      <c r="Q2041" s="246"/>
      <c r="R2041" s="246">
        <f>IFERROR(VLOOKUP(D2041,PROGRAMAS[],2,FALSE),0)</f>
        <v>97037803.679377079</v>
      </c>
      <c r="S2041" s="246">
        <f>IFERROR(VLOOKUP(E2041,PROGRAMAS[],2,FALSE),0)</f>
        <v>640501509.6821388</v>
      </c>
      <c r="T2041" s="246">
        <f>IFERROR(VLOOKUP(F2041,PROGRAMAS[],2,FALSE),0)</f>
        <v>3062327798.1525245</v>
      </c>
      <c r="U2041" s="246">
        <f>IFERROR(VLOOKUP(G2041,PROGRAMAS[],2,FALSE),0)</f>
        <v>67697118.033011258</v>
      </c>
      <c r="V2041" s="246">
        <f>IFERROR(VLOOKUP(H2041,PROGRAMAS[],2,FALSE),0)</f>
        <v>1440941976.2528784</v>
      </c>
      <c r="W2041" s="246">
        <f>IFERROR(VLOOKUP(I2041,PROGRAMAS[],2,FALSE),0)</f>
        <v>6907648435.8447599</v>
      </c>
      <c r="X2041" s="246">
        <f>IFERROR(VLOOKUP(J2041,PROGRAMAS[],2,FALSE),0)</f>
        <v>6128579952.1618185</v>
      </c>
      <c r="Y2041" s="246">
        <f>IFERROR(VLOOKUP(K2041,PROGRAMAS[],2,FALSE),0)</f>
        <v>4635315027.8751087</v>
      </c>
      <c r="Z2041" s="246">
        <f>IFERROR(VLOOKUP(L2041,PROGRAMAS[],2,FALSE),0)</f>
        <v>764796700.79905891</v>
      </c>
      <c r="AA2041" s="246">
        <f>IFERROR(VLOOKUP(M2041,PROGRAMAS[],2,FALSE),0)</f>
        <v>54223862.645839565</v>
      </c>
      <c r="AB2041" s="246">
        <f>IFERROR(VLOOKUP(N2041,PROGRAMAS[],2,FALSE),0)</f>
        <v>122159672.96346797</v>
      </c>
      <c r="AC2041" s="246">
        <f>IFERROR(VLOOKUP(O2041,PROGRAMAS[],2,FALSE),0)</f>
        <v>7068496961.0436354</v>
      </c>
      <c r="AD2041" s="246">
        <f>IFERROR(VLOOKUP(P2041,PROGRAMAS[],2,FALSE),0)</f>
        <v>1892779498.5211046</v>
      </c>
      <c r="AE2041" s="246">
        <f>IFERROR(VLOOKUP(Q2041,PROGRAMAS[],2,FALSE),0)</f>
        <v>0</v>
      </c>
      <c r="AF2041" s="246">
        <f>IFERROR(VLOOKUP(D2041,PROGRAMAS[],3,FALSE),0)</f>
        <v>841888629.31080008</v>
      </c>
      <c r="AG2041" s="246">
        <f>IFERROR(VLOOKUP(E2041,PROGRAMAS[],3,FALSE),0)</f>
        <v>3848980803.1642323</v>
      </c>
      <c r="AH2041" s="246">
        <f>IFERROR(VLOOKUP(F2041,PROGRAMAS[],3,FALSE),0)</f>
        <v>3394901471.387517</v>
      </c>
      <c r="AI2041" s="246">
        <f>IFERROR(VLOOKUP(G2041,PROGRAMAS[],3,FALSE),0)</f>
        <v>125317226.95549992</v>
      </c>
      <c r="AJ2041" s="246">
        <f>IFERROR(VLOOKUP(H2041,PROGRAMAS[],3,FALSE),0)</f>
        <v>1233505101.0616004</v>
      </c>
      <c r="AK2041" s="246">
        <f>IFERROR(VLOOKUP(I2041,PROGRAMAS[],3,FALSE),0)</f>
        <v>6129902208.7912121</v>
      </c>
      <c r="AL2041" s="246">
        <f>IFERROR(VLOOKUP(J2041,PROGRAMAS[],3,FALSE),0)</f>
        <v>7011279577.519702</v>
      </c>
      <c r="AM2041" s="246">
        <f>IFERROR(VLOOKUP(K2041,PROGRAMAS[],3,FALSE),0)</f>
        <v>4099471734.9978786</v>
      </c>
      <c r="AN2041" s="246">
        <f>IFERROR(VLOOKUP(L2041,PROGRAMAS[],3,FALSE),0)</f>
        <v>675517840.109828</v>
      </c>
      <c r="AO2041" s="246">
        <f>IFERROR(VLOOKUP(M2041,PROGRAMAS[],3,FALSE),0)</f>
        <v>31865326.38096505</v>
      </c>
      <c r="AP2041" s="246">
        <f>IFERROR(VLOOKUP(N2041,PROGRAMAS[],3,FALSE),0)</f>
        <v>118617452.52510804</v>
      </c>
      <c r="AQ2041" s="246">
        <f>IFERROR(VLOOKUP(O2041,PROGRAMAS[],3,FALSE),0)</f>
        <v>2406564599.0319901</v>
      </c>
      <c r="AR2041" s="246">
        <f>IFERROR(VLOOKUP(P2041,PROGRAMAS[],3,FALSE),0)</f>
        <v>948595847.09039903</v>
      </c>
      <c r="AS2041" s="246">
        <f>IFERROR(VLOOKUP(Q2041,PROGRAMAS[],3,FALSE),0)</f>
        <v>0</v>
      </c>
      <c r="AT2041" s="246">
        <f>IFERROR(VLOOKUP(D2041,VOL_REC[],2,FALSE),0)</f>
        <v>0</v>
      </c>
      <c r="AU2041" s="246">
        <f>IFERROR(VLOOKUP(E2041,VOL_REC[],2,FALSE),0)</f>
        <v>0</v>
      </c>
      <c r="AV2041" s="246">
        <f>IFERROR(VLOOKUP(F2041,VOL_REC[],2,FALSE),0)</f>
        <v>11089674.200000001</v>
      </c>
      <c r="AW2041" s="246">
        <f>IFERROR(VLOOKUP(G2041,VOL_REC[],2,FALSE),0)</f>
        <v>90439.55</v>
      </c>
      <c r="AX2041" s="246">
        <f>IFERROR(VLOOKUP(H2041,VOL_REC[],2,FALSE),0)</f>
        <v>4325103.1812214684</v>
      </c>
      <c r="AY2041" s="246">
        <f>IFERROR(VLOOKUP(I2041,VOL_REC[],2,FALSE),0)</f>
        <v>15540036.397699751</v>
      </c>
      <c r="AZ2041" s="246">
        <f>IFERROR(VLOOKUP(J2041,VOL_REC[],2,FALSE),0)</f>
        <v>3761786</v>
      </c>
      <c r="BA2041" s="246">
        <f>IFERROR(VLOOKUP(K2041,VOL_REC[],2,FALSE),0)</f>
        <v>1812240</v>
      </c>
      <c r="BB2041" s="246">
        <f>IFERROR(VLOOKUP(L2041,VOL_REC[],2,FALSE),0)</f>
        <v>240696.79238099116</v>
      </c>
      <c r="BC2041" s="246">
        <f>IFERROR(VLOOKUP(M2041,VOL_REC[],2,FALSE),0)</f>
        <v>17074.045034105649</v>
      </c>
      <c r="BD2041" s="246">
        <f>IFERROR(VLOOKUP(N2041,VOL_REC[],2,FALSE),0)</f>
        <v>105072</v>
      </c>
      <c r="BE2041" s="246">
        <f>IFERROR(VLOOKUP(O2041,VOL_REC[],2,FALSE),0)</f>
        <v>1072354.9981737854</v>
      </c>
      <c r="BF2041" s="246">
        <f>IFERROR(VLOOKUP(P2041,VOL_REC[],2,FALSE),0)</f>
        <v>740113.98115702497</v>
      </c>
      <c r="BG2041" s="246">
        <f>IFERROR(VLOOKUP(Q2041,VOL_REC[],2,FALSE),0)</f>
        <v>0</v>
      </c>
      <c r="BH2041" s="1710">
        <f t="shared" si="138"/>
        <v>32882506317.65472</v>
      </c>
      <c r="BI2041" s="1710">
        <f t="shared" si="139"/>
        <v>30866407818.326736</v>
      </c>
      <c r="BJ2041" s="1711">
        <f t="shared" si="140"/>
        <v>38794591.145667128</v>
      </c>
      <c r="BK2041" s="1711">
        <f t="shared" si="141"/>
        <v>1.065316913817582</v>
      </c>
      <c r="BL2041">
        <f t="shared" si="150"/>
        <v>38794591.145667128</v>
      </c>
      <c r="BO2041">
        <f t="shared" si="151"/>
        <v>38794591.145667128</v>
      </c>
    </row>
    <row r="2042" spans="3:67" x14ac:dyDescent="0.25">
      <c r="C2042" s="246" t="s">
        <v>3392</v>
      </c>
      <c r="D2042" s="246">
        <v>1</v>
      </c>
      <c r="E2042" s="246">
        <v>2</v>
      </c>
      <c r="F2042" s="246">
        <v>3</v>
      </c>
      <c r="G2042" s="246">
        <v>4</v>
      </c>
      <c r="H2042" s="246">
        <v>5</v>
      </c>
      <c r="I2042" s="246">
        <v>6</v>
      </c>
      <c r="J2042" s="246">
        <v>9</v>
      </c>
      <c r="K2042" s="246">
        <v>10</v>
      </c>
      <c r="L2042" s="246">
        <v>13</v>
      </c>
      <c r="M2042" s="246">
        <v>14</v>
      </c>
      <c r="N2042" s="246">
        <v>15</v>
      </c>
      <c r="O2042" s="246">
        <v>16</v>
      </c>
      <c r="P2042" s="246">
        <v>17</v>
      </c>
      <c r="Q2042" s="246"/>
      <c r="R2042" s="246">
        <f>IFERROR(VLOOKUP(D2042,PROGRAMAS[],2,FALSE),0)</f>
        <v>97037803.679377079</v>
      </c>
      <c r="S2042" s="246">
        <f>IFERROR(VLOOKUP(E2042,PROGRAMAS[],2,FALSE),0)</f>
        <v>640501509.6821388</v>
      </c>
      <c r="T2042" s="246">
        <f>IFERROR(VLOOKUP(F2042,PROGRAMAS[],2,FALSE),0)</f>
        <v>3062327798.1525245</v>
      </c>
      <c r="U2042" s="246">
        <f>IFERROR(VLOOKUP(G2042,PROGRAMAS[],2,FALSE),0)</f>
        <v>67697118.033011258</v>
      </c>
      <c r="V2042" s="246">
        <f>IFERROR(VLOOKUP(H2042,PROGRAMAS[],2,FALSE),0)</f>
        <v>1440941976.2528784</v>
      </c>
      <c r="W2042" s="246">
        <f>IFERROR(VLOOKUP(I2042,PROGRAMAS[],2,FALSE),0)</f>
        <v>6907648435.8447599</v>
      </c>
      <c r="X2042" s="246">
        <f>IFERROR(VLOOKUP(J2042,PROGRAMAS[],2,FALSE),0)</f>
        <v>6128579952.1618185</v>
      </c>
      <c r="Y2042" s="246">
        <f>IFERROR(VLOOKUP(K2042,PROGRAMAS[],2,FALSE),0)</f>
        <v>4635315027.8751087</v>
      </c>
      <c r="Z2042" s="246">
        <f>IFERROR(VLOOKUP(L2042,PROGRAMAS[],2,FALSE),0)</f>
        <v>3776538594.4604583</v>
      </c>
      <c r="AA2042" s="246">
        <f>IFERROR(VLOOKUP(M2042,PROGRAMAS[],2,FALSE),0)</f>
        <v>54223862.645839565</v>
      </c>
      <c r="AB2042" s="246">
        <f>IFERROR(VLOOKUP(N2042,PROGRAMAS[],2,FALSE),0)</f>
        <v>122159672.96346797</v>
      </c>
      <c r="AC2042" s="246">
        <f>IFERROR(VLOOKUP(O2042,PROGRAMAS[],2,FALSE),0)</f>
        <v>7068496961.0436354</v>
      </c>
      <c r="AD2042" s="246">
        <f>IFERROR(VLOOKUP(P2042,PROGRAMAS[],2,FALSE),0)</f>
        <v>1892779498.5211046</v>
      </c>
      <c r="AE2042" s="246">
        <f>IFERROR(VLOOKUP(Q2042,PROGRAMAS[],2,FALSE),0)</f>
        <v>0</v>
      </c>
      <c r="AF2042" s="246">
        <f>IFERROR(VLOOKUP(D2042,PROGRAMAS[],3,FALSE),0)</f>
        <v>841888629.31080008</v>
      </c>
      <c r="AG2042" s="246">
        <f>IFERROR(VLOOKUP(E2042,PROGRAMAS[],3,FALSE),0)</f>
        <v>3848980803.1642323</v>
      </c>
      <c r="AH2042" s="246">
        <f>IFERROR(VLOOKUP(F2042,PROGRAMAS[],3,FALSE),0)</f>
        <v>3394901471.387517</v>
      </c>
      <c r="AI2042" s="246">
        <f>IFERROR(VLOOKUP(G2042,PROGRAMAS[],3,FALSE),0)</f>
        <v>125317226.95549992</v>
      </c>
      <c r="AJ2042" s="246">
        <f>IFERROR(VLOOKUP(H2042,PROGRAMAS[],3,FALSE),0)</f>
        <v>1233505101.0616004</v>
      </c>
      <c r="AK2042" s="246">
        <f>IFERROR(VLOOKUP(I2042,PROGRAMAS[],3,FALSE),0)</f>
        <v>6129902208.7912121</v>
      </c>
      <c r="AL2042" s="246">
        <f>IFERROR(VLOOKUP(J2042,PROGRAMAS[],3,FALSE),0)</f>
        <v>7011279577.519702</v>
      </c>
      <c r="AM2042" s="246">
        <f>IFERROR(VLOOKUP(K2042,PROGRAMAS[],3,FALSE),0)</f>
        <v>4099471734.9978786</v>
      </c>
      <c r="AN2042" s="246">
        <f>IFERROR(VLOOKUP(L2042,PROGRAMAS[],3,FALSE),0)</f>
        <v>2392571243.5584412</v>
      </c>
      <c r="AO2042" s="246">
        <f>IFERROR(VLOOKUP(M2042,PROGRAMAS[],3,FALSE),0)</f>
        <v>31865326.38096505</v>
      </c>
      <c r="AP2042" s="246">
        <f>IFERROR(VLOOKUP(N2042,PROGRAMAS[],3,FALSE),0)</f>
        <v>118617452.52510804</v>
      </c>
      <c r="AQ2042" s="246">
        <f>IFERROR(VLOOKUP(O2042,PROGRAMAS[],3,FALSE),0)</f>
        <v>2406564599.0319901</v>
      </c>
      <c r="AR2042" s="246">
        <f>IFERROR(VLOOKUP(P2042,PROGRAMAS[],3,FALSE),0)</f>
        <v>948595847.09039903</v>
      </c>
      <c r="AS2042" s="246">
        <f>IFERROR(VLOOKUP(Q2042,PROGRAMAS[],3,FALSE),0)</f>
        <v>0</v>
      </c>
      <c r="AT2042" s="246">
        <f>IFERROR(VLOOKUP(D2042,VOL_REC[],2,FALSE),0)</f>
        <v>0</v>
      </c>
      <c r="AU2042" s="246">
        <f>IFERROR(VLOOKUP(E2042,VOL_REC[],2,FALSE),0)</f>
        <v>0</v>
      </c>
      <c r="AV2042" s="246">
        <f>IFERROR(VLOOKUP(F2042,VOL_REC[],2,FALSE),0)</f>
        <v>11089674.200000001</v>
      </c>
      <c r="AW2042" s="246">
        <f>IFERROR(VLOOKUP(G2042,VOL_REC[],2,FALSE),0)</f>
        <v>90439.55</v>
      </c>
      <c r="AX2042" s="246">
        <f>IFERROR(VLOOKUP(H2042,VOL_REC[],2,FALSE),0)</f>
        <v>4325103.1812214684</v>
      </c>
      <c r="AY2042" s="246">
        <f>IFERROR(VLOOKUP(I2042,VOL_REC[],2,FALSE),0)</f>
        <v>15540036.397699751</v>
      </c>
      <c r="AZ2042" s="246">
        <f>IFERROR(VLOOKUP(J2042,VOL_REC[],2,FALSE),0)</f>
        <v>3761786</v>
      </c>
      <c r="BA2042" s="246">
        <f>IFERROR(VLOOKUP(K2042,VOL_REC[],2,FALSE),0)</f>
        <v>1812240</v>
      </c>
      <c r="BB2042" s="246">
        <f>IFERROR(VLOOKUP(L2042,VOL_REC[],2,FALSE),0)</f>
        <v>663244.80000000016</v>
      </c>
      <c r="BC2042" s="246">
        <f>IFERROR(VLOOKUP(M2042,VOL_REC[],2,FALSE),0)</f>
        <v>17074.045034105649</v>
      </c>
      <c r="BD2042" s="246">
        <f>IFERROR(VLOOKUP(N2042,VOL_REC[],2,FALSE),0)</f>
        <v>105072</v>
      </c>
      <c r="BE2042" s="246">
        <f>IFERROR(VLOOKUP(O2042,VOL_REC[],2,FALSE),0)</f>
        <v>1072354.9981737854</v>
      </c>
      <c r="BF2042" s="246">
        <f>IFERROR(VLOOKUP(P2042,VOL_REC[],2,FALSE),0)</f>
        <v>740113.98115702497</v>
      </c>
      <c r="BG2042" s="246">
        <f>IFERROR(VLOOKUP(Q2042,VOL_REC[],2,FALSE),0)</f>
        <v>0</v>
      </c>
      <c r="BH2042" s="1710">
        <f t="shared" si="138"/>
        <v>35894248211.316124</v>
      </c>
      <c r="BI2042" s="1710">
        <f t="shared" si="139"/>
        <v>32583461221.775349</v>
      </c>
      <c r="BJ2042" s="1711">
        <f t="shared" si="140"/>
        <v>39217139.153286137</v>
      </c>
      <c r="BK2042" s="1711">
        <f t="shared" si="141"/>
        <v>1.1016094320675851</v>
      </c>
      <c r="BL2042">
        <f t="shared" si="150"/>
        <v>39217139.153286137</v>
      </c>
      <c r="BO2042">
        <f t="shared" si="151"/>
        <v>39217139.153286137</v>
      </c>
    </row>
    <row r="2043" spans="3:67" x14ac:dyDescent="0.25">
      <c r="C2043" s="246" t="s">
        <v>3393</v>
      </c>
      <c r="D2043" s="246">
        <v>1</v>
      </c>
      <c r="E2043" s="246">
        <v>2</v>
      </c>
      <c r="F2043" s="246">
        <v>3</v>
      </c>
      <c r="G2043" s="246">
        <v>4</v>
      </c>
      <c r="H2043" s="246">
        <v>5</v>
      </c>
      <c r="I2043" s="246">
        <v>6</v>
      </c>
      <c r="J2043" s="246">
        <v>9</v>
      </c>
      <c r="K2043" s="246">
        <v>12</v>
      </c>
      <c r="L2043" s="246">
        <v>13</v>
      </c>
      <c r="M2043" s="246">
        <v>14</v>
      </c>
      <c r="N2043" s="246">
        <v>15</v>
      </c>
      <c r="O2043" s="246">
        <v>16</v>
      </c>
      <c r="P2043" s="246">
        <v>17</v>
      </c>
      <c r="Q2043" s="246"/>
      <c r="R2043" s="246">
        <f>IFERROR(VLOOKUP(D2043,PROGRAMAS[],2,FALSE),0)</f>
        <v>97037803.679377079</v>
      </c>
      <c r="S2043" s="246">
        <f>IFERROR(VLOOKUP(E2043,PROGRAMAS[],2,FALSE),0)</f>
        <v>640501509.6821388</v>
      </c>
      <c r="T2043" s="246">
        <f>IFERROR(VLOOKUP(F2043,PROGRAMAS[],2,FALSE),0)</f>
        <v>3062327798.1525245</v>
      </c>
      <c r="U2043" s="246">
        <f>IFERROR(VLOOKUP(G2043,PROGRAMAS[],2,FALSE),0)</f>
        <v>67697118.033011258</v>
      </c>
      <c r="V2043" s="246">
        <f>IFERROR(VLOOKUP(H2043,PROGRAMAS[],2,FALSE),0)</f>
        <v>1440941976.2528784</v>
      </c>
      <c r="W2043" s="246">
        <f>IFERROR(VLOOKUP(I2043,PROGRAMAS[],2,FALSE),0)</f>
        <v>6907648435.8447599</v>
      </c>
      <c r="X2043" s="246">
        <f>IFERROR(VLOOKUP(J2043,PROGRAMAS[],2,FALSE),0)</f>
        <v>6128579952.1618185</v>
      </c>
      <c r="Y2043" s="246">
        <f>IFERROR(VLOOKUP(K2043,PROGRAMAS[],2,FALSE),0)</f>
        <v>764796700.79905891</v>
      </c>
      <c r="Z2043" s="246">
        <f>IFERROR(VLOOKUP(L2043,PROGRAMAS[],2,FALSE),0)</f>
        <v>3776538594.4604583</v>
      </c>
      <c r="AA2043" s="246">
        <f>IFERROR(VLOOKUP(M2043,PROGRAMAS[],2,FALSE),0)</f>
        <v>54223862.645839565</v>
      </c>
      <c r="AB2043" s="246">
        <f>IFERROR(VLOOKUP(N2043,PROGRAMAS[],2,FALSE),0)</f>
        <v>122159672.96346797</v>
      </c>
      <c r="AC2043" s="246">
        <f>IFERROR(VLOOKUP(O2043,PROGRAMAS[],2,FALSE),0)</f>
        <v>7068496961.0436354</v>
      </c>
      <c r="AD2043" s="246">
        <f>IFERROR(VLOOKUP(P2043,PROGRAMAS[],2,FALSE),0)</f>
        <v>1892779498.5211046</v>
      </c>
      <c r="AE2043" s="246">
        <f>IFERROR(VLOOKUP(Q2043,PROGRAMAS[],2,FALSE),0)</f>
        <v>0</v>
      </c>
      <c r="AF2043" s="246">
        <f>IFERROR(VLOOKUP(D2043,PROGRAMAS[],3,FALSE),0)</f>
        <v>841888629.31080008</v>
      </c>
      <c r="AG2043" s="246">
        <f>IFERROR(VLOOKUP(E2043,PROGRAMAS[],3,FALSE),0)</f>
        <v>3848980803.1642323</v>
      </c>
      <c r="AH2043" s="246">
        <f>IFERROR(VLOOKUP(F2043,PROGRAMAS[],3,FALSE),0)</f>
        <v>3394901471.387517</v>
      </c>
      <c r="AI2043" s="246">
        <f>IFERROR(VLOOKUP(G2043,PROGRAMAS[],3,FALSE),0)</f>
        <v>125317226.95549992</v>
      </c>
      <c r="AJ2043" s="246">
        <f>IFERROR(VLOOKUP(H2043,PROGRAMAS[],3,FALSE),0)</f>
        <v>1233505101.0616004</v>
      </c>
      <c r="AK2043" s="246">
        <f>IFERROR(VLOOKUP(I2043,PROGRAMAS[],3,FALSE),0)</f>
        <v>6129902208.7912121</v>
      </c>
      <c r="AL2043" s="246">
        <f>IFERROR(VLOOKUP(J2043,PROGRAMAS[],3,FALSE),0)</f>
        <v>7011279577.519702</v>
      </c>
      <c r="AM2043" s="246">
        <f>IFERROR(VLOOKUP(K2043,PROGRAMAS[],3,FALSE),0)</f>
        <v>675517840.109828</v>
      </c>
      <c r="AN2043" s="246">
        <f>IFERROR(VLOOKUP(L2043,PROGRAMAS[],3,FALSE),0)</f>
        <v>2392571243.5584412</v>
      </c>
      <c r="AO2043" s="246">
        <f>IFERROR(VLOOKUP(M2043,PROGRAMAS[],3,FALSE),0)</f>
        <v>31865326.38096505</v>
      </c>
      <c r="AP2043" s="246">
        <f>IFERROR(VLOOKUP(N2043,PROGRAMAS[],3,FALSE),0)</f>
        <v>118617452.52510804</v>
      </c>
      <c r="AQ2043" s="246">
        <f>IFERROR(VLOOKUP(O2043,PROGRAMAS[],3,FALSE),0)</f>
        <v>2406564599.0319901</v>
      </c>
      <c r="AR2043" s="246">
        <f>IFERROR(VLOOKUP(P2043,PROGRAMAS[],3,FALSE),0)</f>
        <v>948595847.09039903</v>
      </c>
      <c r="AS2043" s="246">
        <f>IFERROR(VLOOKUP(Q2043,PROGRAMAS[],3,FALSE),0)</f>
        <v>0</v>
      </c>
      <c r="AT2043" s="246">
        <f>IFERROR(VLOOKUP(D2043,VOL_REC[],2,FALSE),0)</f>
        <v>0</v>
      </c>
      <c r="AU2043" s="246">
        <f>IFERROR(VLOOKUP(E2043,VOL_REC[],2,FALSE),0)</f>
        <v>0</v>
      </c>
      <c r="AV2043" s="246">
        <f>IFERROR(VLOOKUP(F2043,VOL_REC[],2,FALSE),0)</f>
        <v>11089674.200000001</v>
      </c>
      <c r="AW2043" s="246">
        <f>IFERROR(VLOOKUP(G2043,VOL_REC[],2,FALSE),0)</f>
        <v>90439.55</v>
      </c>
      <c r="AX2043" s="246">
        <f>IFERROR(VLOOKUP(H2043,VOL_REC[],2,FALSE),0)</f>
        <v>4325103.1812214684</v>
      </c>
      <c r="AY2043" s="246">
        <f>IFERROR(VLOOKUP(I2043,VOL_REC[],2,FALSE),0)</f>
        <v>15540036.397699751</v>
      </c>
      <c r="AZ2043" s="246">
        <f>IFERROR(VLOOKUP(J2043,VOL_REC[],2,FALSE),0)</f>
        <v>3761786</v>
      </c>
      <c r="BA2043" s="246">
        <f>IFERROR(VLOOKUP(K2043,VOL_REC[],2,FALSE),0)</f>
        <v>240696.79238099116</v>
      </c>
      <c r="BB2043" s="246">
        <f>IFERROR(VLOOKUP(L2043,VOL_REC[],2,FALSE),0)</f>
        <v>663244.80000000016</v>
      </c>
      <c r="BC2043" s="246">
        <f>IFERROR(VLOOKUP(M2043,VOL_REC[],2,FALSE),0)</f>
        <v>17074.045034105649</v>
      </c>
      <c r="BD2043" s="246">
        <f>IFERROR(VLOOKUP(N2043,VOL_REC[],2,FALSE),0)</f>
        <v>105072</v>
      </c>
      <c r="BE2043" s="246">
        <f>IFERROR(VLOOKUP(O2043,VOL_REC[],2,FALSE),0)</f>
        <v>1072354.9981737854</v>
      </c>
      <c r="BF2043" s="246">
        <f>IFERROR(VLOOKUP(P2043,VOL_REC[],2,FALSE),0)</f>
        <v>740113.98115702497</v>
      </c>
      <c r="BG2043" s="246">
        <f>IFERROR(VLOOKUP(Q2043,VOL_REC[],2,FALSE),0)</f>
        <v>0</v>
      </c>
      <c r="BH2043" s="1710">
        <f t="shared" si="138"/>
        <v>32023729884.24007</v>
      </c>
      <c r="BI2043" s="1710">
        <f t="shared" si="139"/>
        <v>29159507326.887299</v>
      </c>
      <c r="BJ2043" s="1711">
        <f t="shared" si="140"/>
        <v>37645595.945667125</v>
      </c>
      <c r="BK2043" s="1711">
        <f t="shared" si="141"/>
        <v>1.0982260271150652</v>
      </c>
      <c r="BL2043">
        <f t="shared" si="150"/>
        <v>37645595.945667125</v>
      </c>
      <c r="BO2043">
        <f t="shared" si="151"/>
        <v>37645595.945667125</v>
      </c>
    </row>
    <row r="2044" spans="3:67" x14ac:dyDescent="0.25">
      <c r="C2044" s="246" t="s">
        <v>3394</v>
      </c>
      <c r="D2044" s="246">
        <v>1</v>
      </c>
      <c r="E2044" s="246">
        <v>2</v>
      </c>
      <c r="F2044" s="246">
        <v>3</v>
      </c>
      <c r="G2044" s="246">
        <v>4</v>
      </c>
      <c r="H2044" s="246">
        <v>5</v>
      </c>
      <c r="I2044" s="246">
        <v>6</v>
      </c>
      <c r="J2044" s="246">
        <v>10</v>
      </c>
      <c r="K2044" s="246">
        <v>12</v>
      </c>
      <c r="L2044" s="246">
        <v>13</v>
      </c>
      <c r="M2044" s="246">
        <v>14</v>
      </c>
      <c r="N2044" s="246">
        <v>15</v>
      </c>
      <c r="O2044" s="246">
        <v>16</v>
      </c>
      <c r="P2044" s="246">
        <v>17</v>
      </c>
      <c r="Q2044" s="246"/>
      <c r="R2044" s="246">
        <f>IFERROR(VLOOKUP(D2044,PROGRAMAS[],2,FALSE),0)</f>
        <v>97037803.679377079</v>
      </c>
      <c r="S2044" s="246">
        <f>IFERROR(VLOOKUP(E2044,PROGRAMAS[],2,FALSE),0)</f>
        <v>640501509.6821388</v>
      </c>
      <c r="T2044" s="246">
        <f>IFERROR(VLOOKUP(F2044,PROGRAMAS[],2,FALSE),0)</f>
        <v>3062327798.1525245</v>
      </c>
      <c r="U2044" s="246">
        <f>IFERROR(VLOOKUP(G2044,PROGRAMAS[],2,FALSE),0)</f>
        <v>67697118.033011258</v>
      </c>
      <c r="V2044" s="246">
        <f>IFERROR(VLOOKUP(H2044,PROGRAMAS[],2,FALSE),0)</f>
        <v>1440941976.2528784</v>
      </c>
      <c r="W2044" s="246">
        <f>IFERROR(VLOOKUP(I2044,PROGRAMAS[],2,FALSE),0)</f>
        <v>6907648435.8447599</v>
      </c>
      <c r="X2044" s="246">
        <f>IFERROR(VLOOKUP(J2044,PROGRAMAS[],2,FALSE),0)</f>
        <v>4635315027.8751087</v>
      </c>
      <c r="Y2044" s="246">
        <f>IFERROR(VLOOKUP(K2044,PROGRAMAS[],2,FALSE),0)</f>
        <v>764796700.79905891</v>
      </c>
      <c r="Z2044" s="246">
        <f>IFERROR(VLOOKUP(L2044,PROGRAMAS[],2,FALSE),0)</f>
        <v>3776538594.4604583</v>
      </c>
      <c r="AA2044" s="246">
        <f>IFERROR(VLOOKUP(M2044,PROGRAMAS[],2,FALSE),0)</f>
        <v>54223862.645839565</v>
      </c>
      <c r="AB2044" s="246">
        <f>IFERROR(VLOOKUP(N2044,PROGRAMAS[],2,FALSE),0)</f>
        <v>122159672.96346797</v>
      </c>
      <c r="AC2044" s="246">
        <f>IFERROR(VLOOKUP(O2044,PROGRAMAS[],2,FALSE),0)</f>
        <v>7068496961.0436354</v>
      </c>
      <c r="AD2044" s="246">
        <f>IFERROR(VLOOKUP(P2044,PROGRAMAS[],2,FALSE),0)</f>
        <v>1892779498.5211046</v>
      </c>
      <c r="AE2044" s="246">
        <f>IFERROR(VLOOKUP(Q2044,PROGRAMAS[],2,FALSE),0)</f>
        <v>0</v>
      </c>
      <c r="AF2044" s="246">
        <f>IFERROR(VLOOKUP(D2044,PROGRAMAS[],3,FALSE),0)</f>
        <v>841888629.31080008</v>
      </c>
      <c r="AG2044" s="246">
        <f>IFERROR(VLOOKUP(E2044,PROGRAMAS[],3,FALSE),0)</f>
        <v>3848980803.1642323</v>
      </c>
      <c r="AH2044" s="246">
        <f>IFERROR(VLOOKUP(F2044,PROGRAMAS[],3,FALSE),0)</f>
        <v>3394901471.387517</v>
      </c>
      <c r="AI2044" s="246">
        <f>IFERROR(VLOOKUP(G2044,PROGRAMAS[],3,FALSE),0)</f>
        <v>125317226.95549992</v>
      </c>
      <c r="AJ2044" s="246">
        <f>IFERROR(VLOOKUP(H2044,PROGRAMAS[],3,FALSE),0)</f>
        <v>1233505101.0616004</v>
      </c>
      <c r="AK2044" s="246">
        <f>IFERROR(VLOOKUP(I2044,PROGRAMAS[],3,FALSE),0)</f>
        <v>6129902208.7912121</v>
      </c>
      <c r="AL2044" s="246">
        <f>IFERROR(VLOOKUP(J2044,PROGRAMAS[],3,FALSE),0)</f>
        <v>4099471734.9978786</v>
      </c>
      <c r="AM2044" s="246">
        <f>IFERROR(VLOOKUP(K2044,PROGRAMAS[],3,FALSE),0)</f>
        <v>675517840.109828</v>
      </c>
      <c r="AN2044" s="246">
        <f>IFERROR(VLOOKUP(L2044,PROGRAMAS[],3,FALSE),0)</f>
        <v>2392571243.5584412</v>
      </c>
      <c r="AO2044" s="246">
        <f>IFERROR(VLOOKUP(M2044,PROGRAMAS[],3,FALSE),0)</f>
        <v>31865326.38096505</v>
      </c>
      <c r="AP2044" s="246">
        <f>IFERROR(VLOOKUP(N2044,PROGRAMAS[],3,FALSE),0)</f>
        <v>118617452.52510804</v>
      </c>
      <c r="AQ2044" s="246">
        <f>IFERROR(VLOOKUP(O2044,PROGRAMAS[],3,FALSE),0)</f>
        <v>2406564599.0319901</v>
      </c>
      <c r="AR2044" s="246">
        <f>IFERROR(VLOOKUP(P2044,PROGRAMAS[],3,FALSE),0)</f>
        <v>948595847.09039903</v>
      </c>
      <c r="AS2044" s="246">
        <f>IFERROR(VLOOKUP(Q2044,PROGRAMAS[],3,FALSE),0)</f>
        <v>0</v>
      </c>
      <c r="AT2044" s="246">
        <f>IFERROR(VLOOKUP(D2044,VOL_REC[],2,FALSE),0)</f>
        <v>0</v>
      </c>
      <c r="AU2044" s="246">
        <f>IFERROR(VLOOKUP(E2044,VOL_REC[],2,FALSE),0)</f>
        <v>0</v>
      </c>
      <c r="AV2044" s="246">
        <f>IFERROR(VLOOKUP(F2044,VOL_REC[],2,FALSE),0)</f>
        <v>11089674.200000001</v>
      </c>
      <c r="AW2044" s="246">
        <f>IFERROR(VLOOKUP(G2044,VOL_REC[],2,FALSE),0)</f>
        <v>90439.55</v>
      </c>
      <c r="AX2044" s="246">
        <f>IFERROR(VLOOKUP(H2044,VOL_REC[],2,FALSE),0)</f>
        <v>4325103.1812214684</v>
      </c>
      <c r="AY2044" s="246">
        <f>IFERROR(VLOOKUP(I2044,VOL_REC[],2,FALSE),0)</f>
        <v>15540036.397699751</v>
      </c>
      <c r="AZ2044" s="246">
        <f>IFERROR(VLOOKUP(J2044,VOL_REC[],2,FALSE),0)</f>
        <v>1812240</v>
      </c>
      <c r="BA2044" s="246">
        <f>IFERROR(VLOOKUP(K2044,VOL_REC[],2,FALSE),0)</f>
        <v>240696.79238099116</v>
      </c>
      <c r="BB2044" s="246">
        <f>IFERROR(VLOOKUP(L2044,VOL_REC[],2,FALSE),0)</f>
        <v>663244.80000000016</v>
      </c>
      <c r="BC2044" s="246">
        <f>IFERROR(VLOOKUP(M2044,VOL_REC[],2,FALSE),0)</f>
        <v>17074.045034105649</v>
      </c>
      <c r="BD2044" s="246">
        <f>IFERROR(VLOOKUP(N2044,VOL_REC[],2,FALSE),0)</f>
        <v>105072</v>
      </c>
      <c r="BE2044" s="246">
        <f>IFERROR(VLOOKUP(O2044,VOL_REC[],2,FALSE),0)</f>
        <v>1072354.9981737854</v>
      </c>
      <c r="BF2044" s="246">
        <f>IFERROR(VLOOKUP(P2044,VOL_REC[],2,FALSE),0)</f>
        <v>740113.98115702497</v>
      </c>
      <c r="BG2044" s="246">
        <f>IFERROR(VLOOKUP(Q2044,VOL_REC[],2,FALSE),0)</f>
        <v>0</v>
      </c>
      <c r="BH2044" s="1710">
        <f t="shared" si="138"/>
        <v>30530464959.953362</v>
      </c>
      <c r="BI2044" s="1710">
        <f t="shared" si="139"/>
        <v>26247699484.365475</v>
      </c>
      <c r="BJ2044" s="1711">
        <f t="shared" si="140"/>
        <v>35696049.945667133</v>
      </c>
      <c r="BK2044" s="1711">
        <f t="shared" si="141"/>
        <v>1.1631672702645399</v>
      </c>
      <c r="BL2044">
        <f t="shared" si="150"/>
        <v>35696049.945667133</v>
      </c>
      <c r="BO2044">
        <f t="shared" si="151"/>
        <v>35696049.945667133</v>
      </c>
    </row>
    <row r="2045" spans="3:67" x14ac:dyDescent="0.25">
      <c r="C2045" s="246" t="s">
        <v>3395</v>
      </c>
      <c r="D2045" s="246">
        <v>1</v>
      </c>
      <c r="E2045" s="246">
        <v>2</v>
      </c>
      <c r="F2045" s="246">
        <v>3</v>
      </c>
      <c r="G2045" s="246">
        <v>4</v>
      </c>
      <c r="H2045" s="246">
        <v>5</v>
      </c>
      <c r="I2045" s="246">
        <v>9</v>
      </c>
      <c r="J2045" s="246">
        <v>10</v>
      </c>
      <c r="K2045" s="246">
        <v>12</v>
      </c>
      <c r="L2045" s="246">
        <v>13</v>
      </c>
      <c r="M2045" s="246">
        <v>14</v>
      </c>
      <c r="N2045" s="246">
        <v>15</v>
      </c>
      <c r="O2045" s="246">
        <v>16</v>
      </c>
      <c r="P2045" s="246">
        <v>17</v>
      </c>
      <c r="Q2045" s="246"/>
      <c r="R2045" s="246">
        <f>IFERROR(VLOOKUP(D2045,PROGRAMAS[],2,FALSE),0)</f>
        <v>97037803.679377079</v>
      </c>
      <c r="S2045" s="246">
        <f>IFERROR(VLOOKUP(E2045,PROGRAMAS[],2,FALSE),0)</f>
        <v>640501509.6821388</v>
      </c>
      <c r="T2045" s="246">
        <f>IFERROR(VLOOKUP(F2045,PROGRAMAS[],2,FALSE),0)</f>
        <v>3062327798.1525245</v>
      </c>
      <c r="U2045" s="246">
        <f>IFERROR(VLOOKUP(G2045,PROGRAMAS[],2,FALSE),0)</f>
        <v>67697118.033011258</v>
      </c>
      <c r="V2045" s="246">
        <f>IFERROR(VLOOKUP(H2045,PROGRAMAS[],2,FALSE),0)</f>
        <v>1440941976.2528784</v>
      </c>
      <c r="W2045" s="246">
        <f>IFERROR(VLOOKUP(I2045,PROGRAMAS[],2,FALSE),0)</f>
        <v>6128579952.1618185</v>
      </c>
      <c r="X2045" s="246">
        <f>IFERROR(VLOOKUP(J2045,PROGRAMAS[],2,FALSE),0)</f>
        <v>4635315027.8751087</v>
      </c>
      <c r="Y2045" s="246">
        <f>IFERROR(VLOOKUP(K2045,PROGRAMAS[],2,FALSE),0)</f>
        <v>764796700.79905891</v>
      </c>
      <c r="Z2045" s="246">
        <f>IFERROR(VLOOKUP(L2045,PROGRAMAS[],2,FALSE),0)</f>
        <v>3776538594.4604583</v>
      </c>
      <c r="AA2045" s="246">
        <f>IFERROR(VLOOKUP(M2045,PROGRAMAS[],2,FALSE),0)</f>
        <v>54223862.645839565</v>
      </c>
      <c r="AB2045" s="246">
        <f>IFERROR(VLOOKUP(N2045,PROGRAMAS[],2,FALSE),0)</f>
        <v>122159672.96346797</v>
      </c>
      <c r="AC2045" s="246">
        <f>IFERROR(VLOOKUP(O2045,PROGRAMAS[],2,FALSE),0)</f>
        <v>7068496961.0436354</v>
      </c>
      <c r="AD2045" s="246">
        <f>IFERROR(VLOOKUP(P2045,PROGRAMAS[],2,FALSE),0)</f>
        <v>1892779498.5211046</v>
      </c>
      <c r="AE2045" s="246">
        <f>IFERROR(VLOOKUP(Q2045,PROGRAMAS[],2,FALSE),0)</f>
        <v>0</v>
      </c>
      <c r="AF2045" s="246">
        <f>IFERROR(VLOOKUP(D2045,PROGRAMAS[],3,FALSE),0)</f>
        <v>841888629.31080008</v>
      </c>
      <c r="AG2045" s="246">
        <f>IFERROR(VLOOKUP(E2045,PROGRAMAS[],3,FALSE),0)</f>
        <v>3848980803.1642323</v>
      </c>
      <c r="AH2045" s="246">
        <f>IFERROR(VLOOKUP(F2045,PROGRAMAS[],3,FALSE),0)</f>
        <v>3394901471.387517</v>
      </c>
      <c r="AI2045" s="246">
        <f>IFERROR(VLOOKUP(G2045,PROGRAMAS[],3,FALSE),0)</f>
        <v>125317226.95549992</v>
      </c>
      <c r="AJ2045" s="246">
        <f>IFERROR(VLOOKUP(H2045,PROGRAMAS[],3,FALSE),0)</f>
        <v>1233505101.0616004</v>
      </c>
      <c r="AK2045" s="246">
        <f>IFERROR(VLOOKUP(I2045,PROGRAMAS[],3,FALSE),0)</f>
        <v>7011279577.519702</v>
      </c>
      <c r="AL2045" s="246">
        <f>IFERROR(VLOOKUP(J2045,PROGRAMAS[],3,FALSE),0)</f>
        <v>4099471734.9978786</v>
      </c>
      <c r="AM2045" s="246">
        <f>IFERROR(VLOOKUP(K2045,PROGRAMAS[],3,FALSE),0)</f>
        <v>675517840.109828</v>
      </c>
      <c r="AN2045" s="246">
        <f>IFERROR(VLOOKUP(L2045,PROGRAMAS[],3,FALSE),0)</f>
        <v>2392571243.5584412</v>
      </c>
      <c r="AO2045" s="246">
        <f>IFERROR(VLOOKUP(M2045,PROGRAMAS[],3,FALSE),0)</f>
        <v>31865326.38096505</v>
      </c>
      <c r="AP2045" s="246">
        <f>IFERROR(VLOOKUP(N2045,PROGRAMAS[],3,FALSE),0)</f>
        <v>118617452.52510804</v>
      </c>
      <c r="AQ2045" s="246">
        <f>IFERROR(VLOOKUP(O2045,PROGRAMAS[],3,FALSE),0)</f>
        <v>2406564599.0319901</v>
      </c>
      <c r="AR2045" s="246">
        <f>IFERROR(VLOOKUP(P2045,PROGRAMAS[],3,FALSE),0)</f>
        <v>948595847.09039903</v>
      </c>
      <c r="AS2045" s="246">
        <f>IFERROR(VLOOKUP(Q2045,PROGRAMAS[],3,FALSE),0)</f>
        <v>0</v>
      </c>
      <c r="AT2045" s="246">
        <f>IFERROR(VLOOKUP(D2045,VOL_REC[],2,FALSE),0)</f>
        <v>0</v>
      </c>
      <c r="AU2045" s="246">
        <f>IFERROR(VLOOKUP(E2045,VOL_REC[],2,FALSE),0)</f>
        <v>0</v>
      </c>
      <c r="AV2045" s="246">
        <f>IFERROR(VLOOKUP(F2045,VOL_REC[],2,FALSE),0)</f>
        <v>11089674.200000001</v>
      </c>
      <c r="AW2045" s="246">
        <f>IFERROR(VLOOKUP(G2045,VOL_REC[],2,FALSE),0)</f>
        <v>90439.55</v>
      </c>
      <c r="AX2045" s="246">
        <f>IFERROR(VLOOKUP(H2045,VOL_REC[],2,FALSE),0)</f>
        <v>4325103.1812214684</v>
      </c>
      <c r="AY2045" s="246">
        <f>IFERROR(VLOOKUP(I2045,VOL_REC[],2,FALSE),0)</f>
        <v>3761786</v>
      </c>
      <c r="AZ2045" s="246">
        <f>IFERROR(VLOOKUP(J2045,VOL_REC[],2,FALSE),0)</f>
        <v>1812240</v>
      </c>
      <c r="BA2045" s="246">
        <f>IFERROR(VLOOKUP(K2045,VOL_REC[],2,FALSE),0)</f>
        <v>240696.79238099116</v>
      </c>
      <c r="BB2045" s="246">
        <f>IFERROR(VLOOKUP(L2045,VOL_REC[],2,FALSE),0)</f>
        <v>663244.80000000016</v>
      </c>
      <c r="BC2045" s="246">
        <f>IFERROR(VLOOKUP(M2045,VOL_REC[],2,FALSE),0)</f>
        <v>17074.045034105649</v>
      </c>
      <c r="BD2045" s="246">
        <f>IFERROR(VLOOKUP(N2045,VOL_REC[],2,FALSE),0)</f>
        <v>105072</v>
      </c>
      <c r="BE2045" s="246">
        <f>IFERROR(VLOOKUP(O2045,VOL_REC[],2,FALSE),0)</f>
        <v>1072354.9981737854</v>
      </c>
      <c r="BF2045" s="246">
        <f>IFERROR(VLOOKUP(P2045,VOL_REC[],2,FALSE),0)</f>
        <v>740113.98115702497</v>
      </c>
      <c r="BG2045" s="246">
        <f>IFERROR(VLOOKUP(Q2045,VOL_REC[],2,FALSE),0)</f>
        <v>0</v>
      </c>
      <c r="BH2045" s="1710">
        <f t="shared" si="138"/>
        <v>29751396476.27042</v>
      </c>
      <c r="BI2045" s="1710">
        <f t="shared" si="139"/>
        <v>27129076853.093967</v>
      </c>
      <c r="BJ2045" s="1711">
        <f t="shared" si="140"/>
        <v>23917799.547967378</v>
      </c>
      <c r="BK2045" s="1711">
        <f t="shared" si="141"/>
        <v>1.0966608498098374</v>
      </c>
      <c r="BL2045">
        <f t="shared" si="150"/>
        <v>23917799.547967378</v>
      </c>
      <c r="BO2045">
        <f t="shared" si="151"/>
        <v>23917799.547967378</v>
      </c>
    </row>
    <row r="2046" spans="3:67" x14ac:dyDescent="0.25">
      <c r="C2046" s="246" t="s">
        <v>3396</v>
      </c>
      <c r="D2046" s="246">
        <v>1</v>
      </c>
      <c r="E2046" s="246">
        <v>2</v>
      </c>
      <c r="F2046" s="246">
        <v>3</v>
      </c>
      <c r="G2046" s="246">
        <v>4</v>
      </c>
      <c r="H2046" s="246">
        <v>6</v>
      </c>
      <c r="I2046" s="246">
        <v>9</v>
      </c>
      <c r="J2046" s="246">
        <v>10</v>
      </c>
      <c r="K2046" s="246">
        <v>12</v>
      </c>
      <c r="L2046" s="246">
        <v>13</v>
      </c>
      <c r="M2046" s="246">
        <v>14</v>
      </c>
      <c r="N2046" s="246">
        <v>15</v>
      </c>
      <c r="O2046" s="246">
        <v>16</v>
      </c>
      <c r="P2046" s="246">
        <v>17</v>
      </c>
      <c r="Q2046" s="246"/>
      <c r="R2046" s="246">
        <f>IFERROR(VLOOKUP(D2046,PROGRAMAS[],2,FALSE),0)</f>
        <v>97037803.679377079</v>
      </c>
      <c r="S2046" s="246">
        <f>IFERROR(VLOOKUP(E2046,PROGRAMAS[],2,FALSE),0)</f>
        <v>640501509.6821388</v>
      </c>
      <c r="T2046" s="246">
        <f>IFERROR(VLOOKUP(F2046,PROGRAMAS[],2,FALSE),0)</f>
        <v>3062327798.1525245</v>
      </c>
      <c r="U2046" s="246">
        <f>IFERROR(VLOOKUP(G2046,PROGRAMAS[],2,FALSE),0)</f>
        <v>67697118.033011258</v>
      </c>
      <c r="V2046" s="246">
        <f>IFERROR(VLOOKUP(H2046,PROGRAMAS[],2,FALSE),0)</f>
        <v>6907648435.8447599</v>
      </c>
      <c r="W2046" s="246">
        <f>IFERROR(VLOOKUP(I2046,PROGRAMAS[],2,FALSE),0)</f>
        <v>6128579952.1618185</v>
      </c>
      <c r="X2046" s="246">
        <f>IFERROR(VLOOKUP(J2046,PROGRAMAS[],2,FALSE),0)</f>
        <v>4635315027.8751087</v>
      </c>
      <c r="Y2046" s="246">
        <f>IFERROR(VLOOKUP(K2046,PROGRAMAS[],2,FALSE),0)</f>
        <v>764796700.79905891</v>
      </c>
      <c r="Z2046" s="246">
        <f>IFERROR(VLOOKUP(L2046,PROGRAMAS[],2,FALSE),0)</f>
        <v>3776538594.4604583</v>
      </c>
      <c r="AA2046" s="246">
        <f>IFERROR(VLOOKUP(M2046,PROGRAMAS[],2,FALSE),0)</f>
        <v>54223862.645839565</v>
      </c>
      <c r="AB2046" s="246">
        <f>IFERROR(VLOOKUP(N2046,PROGRAMAS[],2,FALSE),0)</f>
        <v>122159672.96346797</v>
      </c>
      <c r="AC2046" s="246">
        <f>IFERROR(VLOOKUP(O2046,PROGRAMAS[],2,FALSE),0)</f>
        <v>7068496961.0436354</v>
      </c>
      <c r="AD2046" s="246">
        <f>IFERROR(VLOOKUP(P2046,PROGRAMAS[],2,FALSE),0)</f>
        <v>1892779498.5211046</v>
      </c>
      <c r="AE2046" s="246">
        <f>IFERROR(VLOOKUP(Q2046,PROGRAMAS[],2,FALSE),0)</f>
        <v>0</v>
      </c>
      <c r="AF2046" s="246">
        <f>IFERROR(VLOOKUP(D2046,PROGRAMAS[],3,FALSE),0)</f>
        <v>841888629.31080008</v>
      </c>
      <c r="AG2046" s="246">
        <f>IFERROR(VLOOKUP(E2046,PROGRAMAS[],3,FALSE),0)</f>
        <v>3848980803.1642323</v>
      </c>
      <c r="AH2046" s="246">
        <f>IFERROR(VLOOKUP(F2046,PROGRAMAS[],3,FALSE),0)</f>
        <v>3394901471.387517</v>
      </c>
      <c r="AI2046" s="246">
        <f>IFERROR(VLOOKUP(G2046,PROGRAMAS[],3,FALSE),0)</f>
        <v>125317226.95549992</v>
      </c>
      <c r="AJ2046" s="246">
        <f>IFERROR(VLOOKUP(H2046,PROGRAMAS[],3,FALSE),0)</f>
        <v>6129902208.7912121</v>
      </c>
      <c r="AK2046" s="246">
        <f>IFERROR(VLOOKUP(I2046,PROGRAMAS[],3,FALSE),0)</f>
        <v>7011279577.519702</v>
      </c>
      <c r="AL2046" s="246">
        <f>IFERROR(VLOOKUP(J2046,PROGRAMAS[],3,FALSE),0)</f>
        <v>4099471734.9978786</v>
      </c>
      <c r="AM2046" s="246">
        <f>IFERROR(VLOOKUP(K2046,PROGRAMAS[],3,FALSE),0)</f>
        <v>675517840.109828</v>
      </c>
      <c r="AN2046" s="246">
        <f>IFERROR(VLOOKUP(L2046,PROGRAMAS[],3,FALSE),0)</f>
        <v>2392571243.5584412</v>
      </c>
      <c r="AO2046" s="246">
        <f>IFERROR(VLOOKUP(M2046,PROGRAMAS[],3,FALSE),0)</f>
        <v>31865326.38096505</v>
      </c>
      <c r="AP2046" s="246">
        <f>IFERROR(VLOOKUP(N2046,PROGRAMAS[],3,FALSE),0)</f>
        <v>118617452.52510804</v>
      </c>
      <c r="AQ2046" s="246">
        <f>IFERROR(VLOOKUP(O2046,PROGRAMAS[],3,FALSE),0)</f>
        <v>2406564599.0319901</v>
      </c>
      <c r="AR2046" s="246">
        <f>IFERROR(VLOOKUP(P2046,PROGRAMAS[],3,FALSE),0)</f>
        <v>948595847.09039903</v>
      </c>
      <c r="AS2046" s="246">
        <f>IFERROR(VLOOKUP(Q2046,PROGRAMAS[],3,FALSE),0)</f>
        <v>0</v>
      </c>
      <c r="AT2046" s="246">
        <f>IFERROR(VLOOKUP(D2046,VOL_REC[],2,FALSE),0)</f>
        <v>0</v>
      </c>
      <c r="AU2046" s="246">
        <f>IFERROR(VLOOKUP(E2046,VOL_REC[],2,FALSE),0)</f>
        <v>0</v>
      </c>
      <c r="AV2046" s="246">
        <f>IFERROR(VLOOKUP(F2046,VOL_REC[],2,FALSE),0)</f>
        <v>11089674.200000001</v>
      </c>
      <c r="AW2046" s="246">
        <f>IFERROR(VLOOKUP(G2046,VOL_REC[],2,FALSE),0)</f>
        <v>90439.55</v>
      </c>
      <c r="AX2046" s="246">
        <f>IFERROR(VLOOKUP(H2046,VOL_REC[],2,FALSE),0)</f>
        <v>15540036.397699751</v>
      </c>
      <c r="AY2046" s="246">
        <f>IFERROR(VLOOKUP(I2046,VOL_REC[],2,FALSE),0)</f>
        <v>3761786</v>
      </c>
      <c r="AZ2046" s="246">
        <f>IFERROR(VLOOKUP(J2046,VOL_REC[],2,FALSE),0)</f>
        <v>1812240</v>
      </c>
      <c r="BA2046" s="246">
        <f>IFERROR(VLOOKUP(K2046,VOL_REC[],2,FALSE),0)</f>
        <v>240696.79238099116</v>
      </c>
      <c r="BB2046" s="246">
        <f>IFERROR(VLOOKUP(L2046,VOL_REC[],2,FALSE),0)</f>
        <v>663244.80000000016</v>
      </c>
      <c r="BC2046" s="246">
        <f>IFERROR(VLOOKUP(M2046,VOL_REC[],2,FALSE),0)</f>
        <v>17074.045034105649</v>
      </c>
      <c r="BD2046" s="246">
        <f>IFERROR(VLOOKUP(N2046,VOL_REC[],2,FALSE),0)</f>
        <v>105072</v>
      </c>
      <c r="BE2046" s="246">
        <f>IFERROR(VLOOKUP(O2046,VOL_REC[],2,FALSE),0)</f>
        <v>1072354.9981737854</v>
      </c>
      <c r="BF2046" s="246">
        <f>IFERROR(VLOOKUP(P2046,VOL_REC[],2,FALSE),0)</f>
        <v>740113.98115702497</v>
      </c>
      <c r="BG2046" s="246">
        <f>IFERROR(VLOOKUP(Q2046,VOL_REC[],2,FALSE),0)</f>
        <v>0</v>
      </c>
      <c r="BH2046" s="1710">
        <f t="shared" si="138"/>
        <v>35218102935.862305</v>
      </c>
      <c r="BI2046" s="1710">
        <f t="shared" si="139"/>
        <v>32025473960.823578</v>
      </c>
      <c r="BJ2046" s="1711">
        <f t="shared" si="140"/>
        <v>35132732.764445662</v>
      </c>
      <c r="BK2046" s="1711">
        <f t="shared" si="141"/>
        <v>1.0996902958858388</v>
      </c>
      <c r="BL2046">
        <f t="shared" si="150"/>
        <v>35132732.764445662</v>
      </c>
      <c r="BO2046">
        <f t="shared" si="151"/>
        <v>35132732.764445662</v>
      </c>
    </row>
    <row r="2047" spans="3:67" x14ac:dyDescent="0.25">
      <c r="C2047" s="246" t="s">
        <v>3397</v>
      </c>
      <c r="D2047" s="246">
        <v>1</v>
      </c>
      <c r="E2047" s="246">
        <v>2</v>
      </c>
      <c r="F2047" s="246">
        <v>3</v>
      </c>
      <c r="G2047" s="246">
        <v>5</v>
      </c>
      <c r="H2047" s="246">
        <v>6</v>
      </c>
      <c r="I2047" s="246">
        <v>9</v>
      </c>
      <c r="J2047" s="246">
        <v>10</v>
      </c>
      <c r="K2047" s="246">
        <v>12</v>
      </c>
      <c r="L2047" s="246">
        <v>13</v>
      </c>
      <c r="M2047" s="246">
        <v>14</v>
      </c>
      <c r="N2047" s="246">
        <v>15</v>
      </c>
      <c r="O2047" s="246">
        <v>16</v>
      </c>
      <c r="P2047" s="246">
        <v>17</v>
      </c>
      <c r="Q2047" s="246"/>
      <c r="R2047" s="246">
        <f>IFERROR(VLOOKUP(D2047,PROGRAMAS[],2,FALSE),0)</f>
        <v>97037803.679377079</v>
      </c>
      <c r="S2047" s="246">
        <f>IFERROR(VLOOKUP(E2047,PROGRAMAS[],2,FALSE),0)</f>
        <v>640501509.6821388</v>
      </c>
      <c r="T2047" s="246">
        <f>IFERROR(VLOOKUP(F2047,PROGRAMAS[],2,FALSE),0)</f>
        <v>3062327798.1525245</v>
      </c>
      <c r="U2047" s="246">
        <f>IFERROR(VLOOKUP(G2047,PROGRAMAS[],2,FALSE),0)</f>
        <v>1440941976.2528784</v>
      </c>
      <c r="V2047" s="246">
        <f>IFERROR(VLOOKUP(H2047,PROGRAMAS[],2,FALSE),0)</f>
        <v>6907648435.8447599</v>
      </c>
      <c r="W2047" s="246">
        <f>IFERROR(VLOOKUP(I2047,PROGRAMAS[],2,FALSE),0)</f>
        <v>6128579952.1618185</v>
      </c>
      <c r="X2047" s="246">
        <f>IFERROR(VLOOKUP(J2047,PROGRAMAS[],2,FALSE),0)</f>
        <v>4635315027.8751087</v>
      </c>
      <c r="Y2047" s="246">
        <f>IFERROR(VLOOKUP(K2047,PROGRAMAS[],2,FALSE),0)</f>
        <v>764796700.79905891</v>
      </c>
      <c r="Z2047" s="246">
        <f>IFERROR(VLOOKUP(L2047,PROGRAMAS[],2,FALSE),0)</f>
        <v>3776538594.4604583</v>
      </c>
      <c r="AA2047" s="246">
        <f>IFERROR(VLOOKUP(M2047,PROGRAMAS[],2,FALSE),0)</f>
        <v>54223862.645839565</v>
      </c>
      <c r="AB2047" s="246">
        <f>IFERROR(VLOOKUP(N2047,PROGRAMAS[],2,FALSE),0)</f>
        <v>122159672.96346797</v>
      </c>
      <c r="AC2047" s="246">
        <f>IFERROR(VLOOKUP(O2047,PROGRAMAS[],2,FALSE),0)</f>
        <v>7068496961.0436354</v>
      </c>
      <c r="AD2047" s="246">
        <f>IFERROR(VLOOKUP(P2047,PROGRAMAS[],2,FALSE),0)</f>
        <v>1892779498.5211046</v>
      </c>
      <c r="AE2047" s="246">
        <f>IFERROR(VLOOKUP(Q2047,PROGRAMAS[],2,FALSE),0)</f>
        <v>0</v>
      </c>
      <c r="AF2047" s="246">
        <f>IFERROR(VLOOKUP(D2047,PROGRAMAS[],3,FALSE),0)</f>
        <v>841888629.31080008</v>
      </c>
      <c r="AG2047" s="246">
        <f>IFERROR(VLOOKUP(E2047,PROGRAMAS[],3,FALSE),0)</f>
        <v>3848980803.1642323</v>
      </c>
      <c r="AH2047" s="246">
        <f>IFERROR(VLOOKUP(F2047,PROGRAMAS[],3,FALSE),0)</f>
        <v>3394901471.387517</v>
      </c>
      <c r="AI2047" s="246">
        <f>IFERROR(VLOOKUP(G2047,PROGRAMAS[],3,FALSE),0)</f>
        <v>1233505101.0616004</v>
      </c>
      <c r="AJ2047" s="246">
        <f>IFERROR(VLOOKUP(H2047,PROGRAMAS[],3,FALSE),0)</f>
        <v>6129902208.7912121</v>
      </c>
      <c r="AK2047" s="246">
        <f>IFERROR(VLOOKUP(I2047,PROGRAMAS[],3,FALSE),0)</f>
        <v>7011279577.519702</v>
      </c>
      <c r="AL2047" s="246">
        <f>IFERROR(VLOOKUP(J2047,PROGRAMAS[],3,FALSE),0)</f>
        <v>4099471734.9978786</v>
      </c>
      <c r="AM2047" s="246">
        <f>IFERROR(VLOOKUP(K2047,PROGRAMAS[],3,FALSE),0)</f>
        <v>675517840.109828</v>
      </c>
      <c r="AN2047" s="246">
        <f>IFERROR(VLOOKUP(L2047,PROGRAMAS[],3,FALSE),0)</f>
        <v>2392571243.5584412</v>
      </c>
      <c r="AO2047" s="246">
        <f>IFERROR(VLOOKUP(M2047,PROGRAMAS[],3,FALSE),0)</f>
        <v>31865326.38096505</v>
      </c>
      <c r="AP2047" s="246">
        <f>IFERROR(VLOOKUP(N2047,PROGRAMAS[],3,FALSE),0)</f>
        <v>118617452.52510804</v>
      </c>
      <c r="AQ2047" s="246">
        <f>IFERROR(VLOOKUP(O2047,PROGRAMAS[],3,FALSE),0)</f>
        <v>2406564599.0319901</v>
      </c>
      <c r="AR2047" s="246">
        <f>IFERROR(VLOOKUP(P2047,PROGRAMAS[],3,FALSE),0)</f>
        <v>948595847.09039903</v>
      </c>
      <c r="AS2047" s="246">
        <f>IFERROR(VLOOKUP(Q2047,PROGRAMAS[],3,FALSE),0)</f>
        <v>0</v>
      </c>
      <c r="AT2047" s="246">
        <f>IFERROR(VLOOKUP(D2047,VOL_REC[],2,FALSE),0)</f>
        <v>0</v>
      </c>
      <c r="AU2047" s="246">
        <f>IFERROR(VLOOKUP(E2047,VOL_REC[],2,FALSE),0)</f>
        <v>0</v>
      </c>
      <c r="AV2047" s="246">
        <f>IFERROR(VLOOKUP(F2047,VOL_REC[],2,FALSE),0)</f>
        <v>11089674.200000001</v>
      </c>
      <c r="AW2047" s="246">
        <f>IFERROR(VLOOKUP(G2047,VOL_REC[],2,FALSE),0)</f>
        <v>4325103.1812214684</v>
      </c>
      <c r="AX2047" s="246">
        <f>IFERROR(VLOOKUP(H2047,VOL_REC[],2,FALSE),0)</f>
        <v>15540036.397699751</v>
      </c>
      <c r="AY2047" s="246">
        <f>IFERROR(VLOOKUP(I2047,VOL_REC[],2,FALSE),0)</f>
        <v>3761786</v>
      </c>
      <c r="AZ2047" s="246">
        <f>IFERROR(VLOOKUP(J2047,VOL_REC[],2,FALSE),0)</f>
        <v>1812240</v>
      </c>
      <c r="BA2047" s="246">
        <f>IFERROR(VLOOKUP(K2047,VOL_REC[],2,FALSE),0)</f>
        <v>240696.79238099116</v>
      </c>
      <c r="BB2047" s="246">
        <f>IFERROR(VLOOKUP(L2047,VOL_REC[],2,FALSE),0)</f>
        <v>663244.80000000016</v>
      </c>
      <c r="BC2047" s="246">
        <f>IFERROR(VLOOKUP(M2047,VOL_REC[],2,FALSE),0)</f>
        <v>17074.045034105649</v>
      </c>
      <c r="BD2047" s="246">
        <f>IFERROR(VLOOKUP(N2047,VOL_REC[],2,FALSE),0)</f>
        <v>105072</v>
      </c>
      <c r="BE2047" s="246">
        <f>IFERROR(VLOOKUP(O2047,VOL_REC[],2,FALSE),0)</f>
        <v>1072354.9981737854</v>
      </c>
      <c r="BF2047" s="246">
        <f>IFERROR(VLOOKUP(P2047,VOL_REC[],2,FALSE),0)</f>
        <v>740113.98115702497</v>
      </c>
      <c r="BG2047" s="246">
        <f>IFERROR(VLOOKUP(Q2047,VOL_REC[],2,FALSE),0)</f>
        <v>0</v>
      </c>
      <c r="BH2047" s="1710">
        <f t="shared" si="138"/>
        <v>36591347794.082161</v>
      </c>
      <c r="BI2047" s="1710">
        <f t="shared" si="139"/>
        <v>33133661834.92968</v>
      </c>
      <c r="BJ2047" s="1711">
        <f t="shared" si="140"/>
        <v>39367396.395667121</v>
      </c>
      <c r="BK2047" s="1711">
        <f t="shared" si="141"/>
        <v>1.1043556844510125</v>
      </c>
      <c r="BL2047">
        <f t="shared" si="150"/>
        <v>39367396.395667121</v>
      </c>
      <c r="BO2047">
        <f t="shared" si="151"/>
        <v>39367396.395667121</v>
      </c>
    </row>
    <row r="2048" spans="3:67" x14ac:dyDescent="0.25">
      <c r="C2048" s="246" t="s">
        <v>3398</v>
      </c>
      <c r="D2048" s="246">
        <v>1</v>
      </c>
      <c r="E2048" s="246">
        <v>2</v>
      </c>
      <c r="F2048" s="246">
        <v>3</v>
      </c>
      <c r="G2048" s="246">
        <v>4</v>
      </c>
      <c r="H2048" s="246">
        <v>5</v>
      </c>
      <c r="I2048" s="246">
        <v>6</v>
      </c>
      <c r="J2048" s="246">
        <v>9</v>
      </c>
      <c r="K2048" s="246">
        <v>10</v>
      </c>
      <c r="L2048" s="246">
        <v>12</v>
      </c>
      <c r="M2048" s="246">
        <v>13</v>
      </c>
      <c r="N2048" s="246">
        <v>14</v>
      </c>
      <c r="O2048" s="246">
        <v>15</v>
      </c>
      <c r="P2048" s="246">
        <v>16</v>
      </c>
      <c r="Q2048" s="246">
        <v>17</v>
      </c>
      <c r="R2048" s="246">
        <f>IFERROR(VLOOKUP(D2048,PROGRAMAS[],2,FALSE),0)</f>
        <v>97037803.679377079</v>
      </c>
      <c r="S2048" s="246">
        <f>IFERROR(VLOOKUP(E2048,PROGRAMAS[],2,FALSE),0)</f>
        <v>640501509.6821388</v>
      </c>
      <c r="T2048" s="246">
        <f>IFERROR(VLOOKUP(F2048,PROGRAMAS[],2,FALSE),0)</f>
        <v>3062327798.1525245</v>
      </c>
      <c r="U2048" s="246">
        <f>IFERROR(VLOOKUP(G2048,PROGRAMAS[],2,FALSE),0)</f>
        <v>67697118.033011258</v>
      </c>
      <c r="V2048" s="246">
        <f>IFERROR(VLOOKUP(H2048,PROGRAMAS[],2,FALSE),0)</f>
        <v>1440941976.2528784</v>
      </c>
      <c r="W2048" s="246">
        <f>IFERROR(VLOOKUP(I2048,PROGRAMAS[],2,FALSE),0)</f>
        <v>6907648435.8447599</v>
      </c>
      <c r="X2048" s="246">
        <f>IFERROR(VLOOKUP(J2048,PROGRAMAS[],2,FALSE),0)</f>
        <v>6128579952.1618185</v>
      </c>
      <c r="Y2048" s="246">
        <f>IFERROR(VLOOKUP(K2048,PROGRAMAS[],2,FALSE),0)</f>
        <v>4635315027.8751087</v>
      </c>
      <c r="Z2048" s="246">
        <f>IFERROR(VLOOKUP(L2048,PROGRAMAS[],2,FALSE),0)</f>
        <v>764796700.79905891</v>
      </c>
      <c r="AA2048" s="246">
        <f>IFERROR(VLOOKUP(M2048,PROGRAMAS[],2,FALSE),0)</f>
        <v>3776538594.4604583</v>
      </c>
      <c r="AB2048" s="246">
        <f>IFERROR(VLOOKUP(N2048,PROGRAMAS[],2,FALSE),0)</f>
        <v>54223862.645839565</v>
      </c>
      <c r="AC2048" s="246">
        <f>IFERROR(VLOOKUP(O2048,PROGRAMAS[],2,FALSE),0)</f>
        <v>122159672.96346797</v>
      </c>
      <c r="AD2048" s="246">
        <f>IFERROR(VLOOKUP(P2048,PROGRAMAS[],2,FALSE),0)</f>
        <v>7068496961.0436354</v>
      </c>
      <c r="AE2048" s="246">
        <f>IFERROR(VLOOKUP(Q2048,PROGRAMAS[],2,FALSE),0)</f>
        <v>1892779498.5211046</v>
      </c>
      <c r="AF2048" s="246">
        <f>IFERROR(VLOOKUP(D2048,PROGRAMAS[],3,FALSE),0)</f>
        <v>841888629.31080008</v>
      </c>
      <c r="AG2048" s="246">
        <f>IFERROR(VLOOKUP(E2048,PROGRAMAS[],3,FALSE),0)</f>
        <v>3848980803.1642323</v>
      </c>
      <c r="AH2048" s="246">
        <f>IFERROR(VLOOKUP(F2048,PROGRAMAS[],3,FALSE),0)</f>
        <v>3394901471.387517</v>
      </c>
      <c r="AI2048" s="246">
        <f>IFERROR(VLOOKUP(G2048,PROGRAMAS[],3,FALSE),0)</f>
        <v>125317226.95549992</v>
      </c>
      <c r="AJ2048" s="246">
        <f>IFERROR(VLOOKUP(H2048,PROGRAMAS[],3,FALSE),0)</f>
        <v>1233505101.0616004</v>
      </c>
      <c r="AK2048" s="246">
        <f>IFERROR(VLOOKUP(I2048,PROGRAMAS[],3,FALSE),0)</f>
        <v>6129902208.7912121</v>
      </c>
      <c r="AL2048" s="246">
        <f>IFERROR(VLOOKUP(J2048,PROGRAMAS[],3,FALSE),0)</f>
        <v>7011279577.519702</v>
      </c>
      <c r="AM2048" s="246">
        <f>IFERROR(VLOOKUP(K2048,PROGRAMAS[],3,FALSE),0)</f>
        <v>4099471734.9978786</v>
      </c>
      <c r="AN2048" s="246">
        <f>IFERROR(VLOOKUP(L2048,PROGRAMAS[],3,FALSE),0)</f>
        <v>675517840.109828</v>
      </c>
      <c r="AO2048" s="246">
        <f>IFERROR(VLOOKUP(M2048,PROGRAMAS[],3,FALSE),0)</f>
        <v>2392571243.5584412</v>
      </c>
      <c r="AP2048" s="246">
        <f>IFERROR(VLOOKUP(N2048,PROGRAMAS[],3,FALSE),0)</f>
        <v>31865326.38096505</v>
      </c>
      <c r="AQ2048" s="246">
        <f>IFERROR(VLOOKUP(O2048,PROGRAMAS[],3,FALSE),0)</f>
        <v>118617452.52510804</v>
      </c>
      <c r="AR2048" s="246">
        <f>IFERROR(VLOOKUP(P2048,PROGRAMAS[],3,FALSE),0)</f>
        <v>2406564599.0319901</v>
      </c>
      <c r="AS2048" s="246">
        <f>IFERROR(VLOOKUP(Q2048,PROGRAMAS[],3,FALSE),0)</f>
        <v>948595847.09039903</v>
      </c>
      <c r="AT2048" s="246">
        <f>IFERROR(VLOOKUP(D2048,VOL_REC[],2,FALSE),0)</f>
        <v>0</v>
      </c>
      <c r="AU2048" s="246">
        <f>IFERROR(VLOOKUP(E2048,VOL_REC[],2,FALSE),0)</f>
        <v>0</v>
      </c>
      <c r="AV2048" s="246">
        <f>IFERROR(VLOOKUP(F2048,VOL_REC[],2,FALSE),0)</f>
        <v>11089674.200000001</v>
      </c>
      <c r="AW2048" s="246">
        <f>IFERROR(VLOOKUP(G2048,VOL_REC[],2,FALSE),0)</f>
        <v>90439.55</v>
      </c>
      <c r="AX2048" s="246">
        <f>IFERROR(VLOOKUP(H2048,VOL_REC[],2,FALSE),0)</f>
        <v>4325103.1812214684</v>
      </c>
      <c r="AY2048" s="246">
        <f>IFERROR(VLOOKUP(I2048,VOL_REC[],2,FALSE),0)</f>
        <v>15540036.397699751</v>
      </c>
      <c r="AZ2048" s="246">
        <f>IFERROR(VLOOKUP(J2048,VOL_REC[],2,FALSE),0)</f>
        <v>3761786</v>
      </c>
      <c r="BA2048" s="246">
        <f>IFERROR(VLOOKUP(K2048,VOL_REC[],2,FALSE),0)</f>
        <v>1812240</v>
      </c>
      <c r="BB2048" s="246">
        <f>IFERROR(VLOOKUP(L2048,VOL_REC[],2,FALSE),0)</f>
        <v>240696.79238099116</v>
      </c>
      <c r="BC2048" s="246">
        <f>IFERROR(VLOOKUP(M2048,VOL_REC[],2,FALSE),0)</f>
        <v>663244.80000000016</v>
      </c>
      <c r="BD2048" s="246">
        <f>IFERROR(VLOOKUP(N2048,VOL_REC[],2,FALSE),0)</f>
        <v>17074.045034105649</v>
      </c>
      <c r="BE2048" s="246">
        <f>IFERROR(VLOOKUP(O2048,VOL_REC[],2,FALSE),0)</f>
        <v>105072</v>
      </c>
      <c r="BF2048" s="246">
        <f>IFERROR(VLOOKUP(P2048,VOL_REC[],2,FALSE),0)</f>
        <v>1072354.9981737854</v>
      </c>
      <c r="BG2048" s="246">
        <f>IFERROR(VLOOKUP(Q2048,VOL_REC[],2,FALSE),0)</f>
        <v>740113.98115702497</v>
      </c>
      <c r="BH2048" s="1710">
        <f t="shared" si="138"/>
        <v>36659044912.115173</v>
      </c>
      <c r="BI2048" s="1710">
        <f t="shared" si="139"/>
        <v>33258979061.885178</v>
      </c>
      <c r="BJ2048" s="1711">
        <f t="shared" si="140"/>
        <v>39457835.945667125</v>
      </c>
      <c r="BK2048" s="1711">
        <f t="shared" si="141"/>
        <v>1.1022300126502222</v>
      </c>
      <c r="BL2048">
        <f t="shared" si="150"/>
        <v>39457835.945667125</v>
      </c>
      <c r="BO2048">
        <f t="shared" si="151"/>
        <v>39457835.945667125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0BEB39-1F62-4ABD-A866-7FE71587ED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47</vt:i4>
      </vt:variant>
      <vt:variant>
        <vt:lpstr>Gráficos</vt:lpstr>
      </vt:variant>
      <vt:variant>
        <vt:i4>1</vt:i4>
      </vt:variant>
      <vt:variant>
        <vt:lpstr>Rangos con nombre</vt:lpstr>
      </vt:variant>
      <vt:variant>
        <vt:i4>31</vt:i4>
      </vt:variant>
    </vt:vector>
  </HeadingPairs>
  <TitlesOfParts>
    <vt:vector size="79" baseType="lpstr">
      <vt:lpstr>INICIO</vt:lpstr>
      <vt:lpstr>PARÁMETROS</vt:lpstr>
      <vt:lpstr>EV PROG TÉCNICOS</vt:lpstr>
      <vt:lpstr>PROG TÉCNICOS</vt:lpstr>
      <vt:lpstr>RESUMEN CANTIDADES</vt:lpstr>
      <vt:lpstr>RESUMEN VOL RECUPERADO</vt:lpstr>
      <vt:lpstr>C UNIT PROG TÉCNICOS</vt:lpstr>
      <vt:lpstr>EV PROG CCIALES</vt:lpstr>
      <vt:lpstr>PROG CCIALES</vt:lpstr>
      <vt:lpstr>C UNIT PROG CCIALES</vt:lpstr>
      <vt:lpstr>RESUMEN CANTIDADES CC</vt:lpstr>
      <vt:lpstr>RESUMEN FINANCIERO</vt:lpstr>
      <vt:lpstr>BC TÉCNICO P1</vt:lpstr>
      <vt:lpstr>BC TÉCNICO P2</vt:lpstr>
      <vt:lpstr>BC TÉCNICO P3</vt:lpstr>
      <vt:lpstr>BC TÉCNICO P4</vt:lpstr>
      <vt:lpstr>BC TÉCNICO P5</vt:lpstr>
      <vt:lpstr>BC TÉCNICO P6</vt:lpstr>
      <vt:lpstr>BC TÉCNICO P7</vt:lpstr>
      <vt:lpstr>BC TÉCNICO P8</vt:lpstr>
      <vt:lpstr>BC TOTAL TÉCNICO</vt:lpstr>
      <vt:lpstr>BC COMERCIAL P9</vt:lpstr>
      <vt:lpstr>BC COMERCIAL P10</vt:lpstr>
      <vt:lpstr>BC COMERCIAL P11</vt:lpstr>
      <vt:lpstr>BC COMERCIAL P12</vt:lpstr>
      <vt:lpstr>BC COMERCIAL P13</vt:lpstr>
      <vt:lpstr>BC COMERCIAL P14</vt:lpstr>
      <vt:lpstr>BC COMERCIAL P15</vt:lpstr>
      <vt:lpstr>BC COMERCIAL P16</vt:lpstr>
      <vt:lpstr>BC COMERCIAL P17</vt:lpstr>
      <vt:lpstr>BC COMERCIAL P18</vt:lpstr>
      <vt:lpstr>BC COMERCIAL P19</vt:lpstr>
      <vt:lpstr>BC TOTAL COMERCIAL</vt:lpstr>
      <vt:lpstr>BC TOTAL PROGRAMAS</vt:lpstr>
      <vt:lpstr>CMO PPERDIDAS</vt:lpstr>
      <vt:lpstr>INV POIR PPERDIDAS</vt:lpstr>
      <vt:lpstr>INDICES</vt:lpstr>
      <vt:lpstr>BANREPÚBLICA</vt:lpstr>
      <vt:lpstr>PROYEC SUSC</vt:lpstr>
      <vt:lpstr>CMI POIR PPERDIDAS</vt:lpstr>
      <vt:lpstr>Consolidado Programas</vt:lpstr>
      <vt:lpstr>Alternativas</vt:lpstr>
      <vt:lpstr>BC PROGR ALTERNATIVA + TARIFA</vt:lpstr>
      <vt:lpstr>EVOLUCION BH</vt:lpstr>
      <vt:lpstr>FCAJA PROYECTO TASA 16,28</vt:lpstr>
      <vt:lpstr>RESUMEN EJECUTIVO</vt:lpstr>
      <vt:lpstr>Registros</vt:lpstr>
      <vt:lpstr>GRÁFICO TASA 16,28</vt:lpstr>
      <vt:lpstr>AP.1</vt:lpstr>
      <vt:lpstr>AP.10</vt:lpstr>
      <vt:lpstr>AP.11</vt:lpstr>
      <vt:lpstr>AP.12</vt:lpstr>
      <vt:lpstr>AP.13</vt:lpstr>
      <vt:lpstr>AP.14</vt:lpstr>
      <vt:lpstr>AP.15</vt:lpstr>
      <vt:lpstr>AP.16</vt:lpstr>
      <vt:lpstr>AP.17</vt:lpstr>
      <vt:lpstr>AP.18</vt:lpstr>
      <vt:lpstr>AP.19</vt:lpstr>
      <vt:lpstr>AP.2</vt:lpstr>
      <vt:lpstr>AP.3</vt:lpstr>
      <vt:lpstr>AP.4</vt:lpstr>
      <vt:lpstr>AP.5</vt:lpstr>
      <vt:lpstr>AP.6</vt:lpstr>
      <vt:lpstr>AP.7</vt:lpstr>
      <vt:lpstr>AP.8</vt:lpstr>
      <vt:lpstr>AP.9</vt:lpstr>
      <vt:lpstr>'C UNIT PROG CCIALES'!Área_de_impresión</vt:lpstr>
      <vt:lpstr>'RESUMEN CANTIDADES'!Área_de_impresión</vt:lpstr>
      <vt:lpstr>'RESUMEN CANTIDADES CC'!Área_de_impresión</vt:lpstr>
      <vt:lpstr>'RESUMEN VOL RECUPERADO'!Área_de_impresión</vt:lpstr>
      <vt:lpstr>G</vt:lpstr>
      <vt:lpstr>ha</vt:lpstr>
      <vt:lpstr>kol</vt:lpstr>
      <vt:lpstr>MACAP</vt:lpstr>
      <vt:lpstr>MAEPTAP</vt:lpstr>
      <vt:lpstr>MASPTAP</vt:lpstr>
      <vt:lpstr>porc</vt:lpstr>
      <vt:lpstr>TQTOTAL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Mónica Liliana Rodríguez Muñoz</dc:creator>
  <cp:lastModifiedBy>Daniel Ruge</cp:lastModifiedBy>
  <cp:lastPrinted>2026-05-08T13:21:41Z</cp:lastPrinted>
  <dcterms:created xsi:type="dcterms:W3CDTF">2021-06-15T19:57:59Z</dcterms:created>
  <dcterms:modified xsi:type="dcterms:W3CDTF">2026-09-03T20:26:35Z</dcterms:modified>
</cp:coreProperties>
</file>